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officedocument.vmlDrawing" PartName="/xl/drawings/vmlDrawing40.vml"/>
  <Override ContentType="application/vnd.openxmlformats-officedocument.spreadsheetml.worksheet+xml" PartName="/xl/worksheets/sheet41.xml"/>
  <Override ContentType="application/vnd.openxmlformats-officedocument.vmlDrawing" PartName="/xl/drawings/vmlDrawing41.vml"/>
  <Override ContentType="application/vnd.openxmlformats-officedocument.spreadsheetml.worksheet+xml" PartName="/xl/worksheets/sheet42.xml"/>
  <Override ContentType="application/vnd.openxmlformats-officedocument.vmlDrawing" PartName="/xl/drawings/vmlDrawing42.vml"/>
  <Override ContentType="application/vnd.openxmlformats-officedocument.spreadsheetml.worksheet+xml" PartName="/xl/worksheets/sheet43.xml"/>
  <Override ContentType="application/vnd.openxmlformats-officedocument.vmlDrawing" PartName="/xl/drawings/vmlDrawing43.vml"/>
  <Override ContentType="application/vnd.openxmlformats-officedocument.spreadsheetml.worksheet+xml" PartName="/xl/worksheets/sheet44.xml"/>
  <Override ContentType="application/vnd.openxmlformats-officedocument.vmlDrawing" PartName="/xl/drawings/vmlDrawing44.vml"/>
  <Override ContentType="application/vnd.openxmlformats-officedocument.spreadsheetml.worksheet+xml" PartName="/xl/worksheets/sheet45.xml"/>
  <Override ContentType="application/vnd.openxmlformats-officedocument.vmlDrawing" PartName="/xl/drawings/vmlDrawing45.vml"/>
  <Override ContentType="application/vnd.openxmlformats-officedocument.spreadsheetml.worksheet+xml" PartName="/xl/worksheets/sheet46.xml"/>
  <Override ContentType="application/vnd.openxmlformats-officedocument.vmlDrawing" PartName="/xl/drawings/vmlDrawing46.vml"/>
  <Override ContentType="application/vnd.openxmlformats-officedocument.spreadsheetml.worksheet+xml" PartName="/xl/worksheets/sheet47.xml"/>
  <Override ContentType="application/vnd.openxmlformats-officedocument.vmlDrawing" PartName="/xl/drawings/vmlDrawing47.vml"/>
  <Override ContentType="application/vnd.openxmlformats-officedocument.spreadsheetml.worksheet+xml" PartName="/xl/worksheets/sheet48.xml"/>
  <Override ContentType="application/vnd.openxmlformats-officedocument.vmlDrawing" PartName="/xl/drawings/vmlDrawing48.vml"/>
  <Override ContentType="application/vnd.openxmlformats-officedocument.spreadsheetml.worksheet+xml" PartName="/xl/worksheets/sheet49.xml"/>
  <Override ContentType="application/vnd.openxmlformats-officedocument.vmlDrawing" PartName="/xl/drawings/vmlDrawing49.vml"/>
  <Override ContentType="application/vnd.openxmlformats-officedocument.spreadsheetml.worksheet+xml" PartName="/xl/worksheets/sheet50.xml"/>
  <Override ContentType="application/vnd.openxmlformats-officedocument.vmlDrawing" PartName="/xl/drawings/vmlDrawing50.vml"/>
  <Override ContentType="application/vnd.openxmlformats-officedocument.spreadsheetml.worksheet+xml" PartName="/xl/worksheets/sheet51.xml"/>
  <Override ContentType="application/vnd.openxmlformats-officedocument.vmlDrawing" PartName="/xl/drawings/vmlDrawing51.vml"/>
  <Override ContentType="application/vnd.openxmlformats-officedocument.spreadsheetml.worksheet+xml" PartName="/xl/worksheets/sheet52.xml"/>
  <Override ContentType="application/vnd.openxmlformats-officedocument.vmlDrawing" PartName="/xl/drawings/vmlDrawing52.vml"/>
  <Override ContentType="application/vnd.openxmlformats-officedocument.spreadsheetml.worksheet+xml" PartName="/xl/worksheets/sheet53.xml"/>
  <Override ContentType="application/vnd.openxmlformats-officedocument.vmlDrawing" PartName="/xl/drawings/vmlDrawing53.vml"/>
  <Override ContentType="application/vnd.openxmlformats-officedocument.spreadsheetml.worksheet+xml" PartName="/xl/worksheets/sheet54.xml"/>
  <Override ContentType="application/vnd.openxmlformats-officedocument.vmlDrawing" PartName="/xl/drawings/vmlDrawing54.vml"/>
  <Override ContentType="application/vnd.openxmlformats-officedocument.spreadsheetml.worksheet+xml" PartName="/xl/worksheets/sheet55.xml"/>
  <Override ContentType="application/vnd.openxmlformats-officedocument.vmlDrawing" PartName="/xl/drawings/vmlDrawing55.vml"/>
  <Override ContentType="application/vnd.openxmlformats-officedocument.spreadsheetml.worksheet+xml" PartName="/xl/worksheets/sheet56.xml"/>
  <Override ContentType="application/vnd.openxmlformats-officedocument.vmlDrawing" PartName="/xl/drawings/vmlDrawing56.vml"/>
  <Override ContentType="application/vnd.openxmlformats-officedocument.spreadsheetml.worksheet+xml" PartName="/xl/worksheets/sheet57.xml"/>
  <Override ContentType="application/vnd.openxmlformats-officedocument.vmlDrawing" PartName="/xl/drawings/vmlDrawing57.vml"/>
  <Override ContentType="application/vnd.openxmlformats-officedocument.spreadsheetml.worksheet+xml" PartName="/xl/worksheets/sheet58.xml"/>
  <Override ContentType="application/vnd.openxmlformats-officedocument.vmlDrawing" PartName="/xl/drawings/vmlDrawing58.vml"/>
  <Override ContentType="application/vnd.openxmlformats-officedocument.spreadsheetml.worksheet+xml" PartName="/xl/worksheets/sheet59.xml"/>
  <Override ContentType="application/vnd.openxmlformats-officedocument.vmlDrawing" PartName="/xl/drawings/vmlDrawing59.vml"/>
  <Override ContentType="application/vnd.openxmlformats-officedocument.spreadsheetml.worksheet+xml" PartName="/xl/worksheets/sheet60.xml"/>
  <Override ContentType="application/vnd.openxmlformats-officedocument.vmlDrawing" PartName="/xl/drawings/vmlDrawing60.vml"/>
  <Override ContentType="application/vnd.openxmlformats-officedocument.spreadsheetml.worksheet+xml" PartName="/xl/worksheets/sheet61.xml"/>
  <Override ContentType="application/vnd.openxmlformats-officedocument.vmlDrawing" PartName="/xl/drawings/vmlDrawing61.vml"/>
  <Override ContentType="application/vnd.openxmlformats-officedocument.spreadsheetml.worksheet+xml" PartName="/xl/worksheets/sheet62.xml"/>
  <Override ContentType="application/vnd.openxmlformats-officedocument.vmlDrawing" PartName="/xl/drawings/vmlDrawing62.vml"/>
  <Override ContentType="application/vnd.openxmlformats-officedocument.spreadsheetml.worksheet+xml" PartName="/xl/worksheets/sheet63.xml"/>
  <Override ContentType="application/vnd.openxmlformats-officedocument.vmlDrawing" PartName="/xl/drawings/vmlDrawing63.vml"/>
  <Override ContentType="application/vnd.openxmlformats-officedocument.spreadsheetml.worksheet+xml" PartName="/xl/worksheets/sheet64.xml"/>
  <Override ContentType="application/vnd.openxmlformats-officedocument.vmlDrawing" PartName="/xl/drawings/vmlDrawing64.vml"/>
  <Override ContentType="application/vnd.openxmlformats-officedocument.spreadsheetml.worksheet+xml" PartName="/xl/worksheets/sheet65.xml"/>
  <Override ContentType="application/vnd.openxmlformats-officedocument.vmlDrawing" PartName="/xl/drawings/vmlDrawing65.vml"/>
  <Override ContentType="application/vnd.openxmlformats-officedocument.spreadsheetml.worksheet+xml" PartName="/xl/worksheets/sheet66.xml"/>
  <Override ContentType="application/vnd.openxmlformats-officedocument.vmlDrawing" PartName="/xl/drawings/vmlDrawing66.vml"/>
  <Override ContentType="application/vnd.openxmlformats-officedocument.spreadsheetml.worksheet+xml" PartName="/xl/worksheets/sheet67.xml"/>
  <Override ContentType="application/vnd.openxmlformats-officedocument.vmlDrawing" PartName="/xl/drawings/vmlDrawing67.vml"/>
  <Override ContentType="application/vnd.openxmlformats-officedocument.spreadsheetml.worksheet+xml" PartName="/xl/worksheets/sheet68.xml"/>
  <Override ContentType="application/vnd.openxmlformats-officedocument.vmlDrawing" PartName="/xl/drawings/vmlDrawing68.vml"/>
  <Override ContentType="application/vnd.openxmlformats-officedocument.spreadsheetml.worksheet+xml" PartName="/xl/worksheets/sheet69.xml"/>
  <Override ContentType="application/vnd.openxmlformats-officedocument.vmlDrawing" PartName="/xl/drawings/vmlDrawing69.vml"/>
  <Override ContentType="application/vnd.openxmlformats-officedocument.spreadsheetml.worksheet+xml" PartName="/xl/worksheets/sheet70.xml"/>
  <Override ContentType="application/vnd.openxmlformats-officedocument.vmlDrawing" PartName="/xl/drawings/vmlDrawing70.vml"/>
  <Override ContentType="application/vnd.openxmlformats-officedocument.spreadsheetml.worksheet+xml" PartName="/xl/worksheets/sheet71.xml"/>
  <Override ContentType="application/vnd.openxmlformats-officedocument.vmlDrawing" PartName="/xl/drawings/vmlDrawing71.vml"/>
  <Override ContentType="application/vnd.openxmlformats-officedocument.spreadsheetml.worksheet+xml" PartName="/xl/worksheets/sheet72.xml"/>
  <Override ContentType="application/vnd.openxmlformats-officedocument.vmlDrawing" PartName="/xl/drawings/vmlDrawing72.vml"/>
  <Override ContentType="application/vnd.openxmlformats-officedocument.spreadsheetml.worksheet+xml" PartName="/xl/worksheets/sheet73.xml"/>
  <Override ContentType="application/vnd.openxmlformats-officedocument.vmlDrawing" PartName="/xl/drawings/vmlDrawing73.vml"/>
  <Override ContentType="application/vnd.openxmlformats-officedocument.spreadsheetml.worksheet+xml" PartName="/xl/worksheets/sheet74.xml"/>
  <Override ContentType="application/vnd.openxmlformats-officedocument.vmlDrawing" PartName="/xl/drawings/vmlDrawing74.vml"/>
  <Override ContentType="application/vnd.openxmlformats-officedocument.spreadsheetml.worksheet+xml" PartName="/xl/worksheets/sheet75.xml"/>
  <Override ContentType="application/vnd.openxmlformats-officedocument.vmlDrawing" PartName="/xl/drawings/vmlDrawing75.vml"/>
  <Override ContentType="application/vnd.openxmlformats-officedocument.spreadsheetml.worksheet+xml" PartName="/xl/worksheets/sheet76.xml"/>
  <Override ContentType="application/vnd.openxmlformats-officedocument.vmlDrawing" PartName="/xl/drawings/vmlDrawing76.vml"/>
  <Override ContentType="application/vnd.openxmlformats-officedocument.spreadsheetml.worksheet+xml" PartName="/xl/worksheets/sheet77.xml"/>
  <Override ContentType="application/vnd.openxmlformats-officedocument.vmlDrawing" PartName="/xl/drawings/vmlDrawing77.vml"/>
  <Override ContentType="application/vnd.openxmlformats-officedocument.spreadsheetml.worksheet+xml" PartName="/xl/worksheets/sheet78.xml"/>
  <Override ContentType="application/vnd.openxmlformats-officedocument.vmlDrawing" PartName="/xl/drawings/vmlDrawing78.vml"/>
  <Override ContentType="application/vnd.openxmlformats-officedocument.spreadsheetml.worksheet+xml" PartName="/xl/worksheets/sheet79.xml"/>
  <Override ContentType="application/vnd.openxmlformats-officedocument.vmlDrawing" PartName="/xl/drawings/vmlDrawing79.vml"/>
  <Override ContentType="application/vnd.openxmlformats-officedocument.spreadsheetml.worksheet+xml" PartName="/xl/worksheets/sheet80.xml"/>
  <Override ContentType="application/vnd.openxmlformats-officedocument.vmlDrawing" PartName="/xl/drawings/vmlDrawing80.vml"/>
  <Override ContentType="application/vnd.openxmlformats-officedocument.spreadsheetml.worksheet+xml" PartName="/xl/worksheets/sheet81.xml"/>
  <Override ContentType="application/vnd.openxmlformats-officedocument.vmlDrawing" PartName="/xl/drawings/vmlDrawing81.vml"/>
  <Override ContentType="application/vnd.openxmlformats-officedocument.spreadsheetml.worksheet+xml" PartName="/xl/worksheets/sheet82.xml"/>
  <Override ContentType="application/vnd.openxmlformats-officedocument.vmlDrawing" PartName="/xl/drawings/vmlDrawing82.vml"/>
  <Override ContentType="application/vnd.openxmlformats-officedocument.spreadsheetml.worksheet+xml" PartName="/xl/worksheets/sheet83.xml"/>
  <Override ContentType="application/vnd.openxmlformats-officedocument.vmlDrawing" PartName="/xl/drawings/vmlDrawing83.vml"/>
  <Override ContentType="application/vnd.openxmlformats-officedocument.spreadsheetml.worksheet+xml" PartName="/xl/worksheets/sheet84.xml"/>
  <Override ContentType="application/vnd.openxmlformats-officedocument.vmlDrawing" PartName="/xl/drawings/vmlDrawing84.vml"/>
  <Override ContentType="application/vnd.openxmlformats-officedocument.spreadsheetml.worksheet+xml" PartName="/xl/worksheets/sheet85.xml"/>
  <Override ContentType="application/vnd.openxmlformats-officedocument.vmlDrawing" PartName="/xl/drawings/vmlDrawing85.vml"/>
  <Override ContentType="application/vnd.openxmlformats-officedocument.spreadsheetml.worksheet+xml" PartName="/xl/worksheets/sheet86.xml"/>
  <Override ContentType="application/vnd.openxmlformats-officedocument.vmlDrawing" PartName="/xl/drawings/vmlDrawing86.vml"/>
  <Override ContentType="application/vnd.openxmlformats-officedocument.spreadsheetml.worksheet+xml" PartName="/xl/worksheets/sheet87.xml"/>
  <Override ContentType="application/vnd.openxmlformats-officedocument.vmlDrawing" PartName="/xl/drawings/vmlDrawing87.vml"/>
  <Override ContentType="application/vnd.openxmlformats-officedocument.spreadsheetml.worksheet+xml" PartName="/xl/worksheets/sheet88.xml"/>
  <Override ContentType="application/vnd.openxmlformats-officedocument.vmlDrawing" PartName="/xl/drawings/vmlDrawing88.vml"/>
  <Override ContentType="application/vnd.openxmlformats-officedocument.spreadsheetml.worksheet+xml" PartName="/xl/worksheets/sheet89.xml"/>
  <Override ContentType="application/vnd.openxmlformats-officedocument.vmlDrawing" PartName="/xl/drawings/vmlDrawing89.vml"/>
  <Override ContentType="application/vnd.openxmlformats-officedocument.spreadsheetml.worksheet+xml" PartName="/xl/worksheets/sheet90.xml"/>
  <Override ContentType="application/vnd.openxmlformats-officedocument.vmlDrawing" PartName="/xl/drawings/vmlDrawing90.vml"/>
  <Override ContentType="application/vnd.openxmlformats-officedocument.spreadsheetml.worksheet+xml" PartName="/xl/worksheets/sheet91.xml"/>
  <Override ContentType="application/vnd.openxmlformats-officedocument.vmlDrawing" PartName="/xl/drawings/vmlDrawing91.vml"/>
  <Override ContentType="application/vnd.openxmlformats-officedocument.spreadsheetml.worksheet+xml" PartName="/xl/worksheets/sheet92.xml"/>
  <Override ContentType="application/vnd.openxmlformats-officedocument.vmlDrawing" PartName="/xl/drawings/vmlDrawing92.vml"/>
  <Override ContentType="application/vnd.openxmlformats-officedocument.spreadsheetml.worksheet+xml" PartName="/xl/worksheets/sheet93.xml"/>
  <Override ContentType="application/vnd.openxmlformats-officedocument.vmlDrawing" PartName="/xl/drawings/vmlDrawing93.vml"/>
  <Override ContentType="application/vnd.openxmlformats-officedocument.spreadsheetml.worksheet+xml" PartName="/xl/worksheets/sheet94.xml"/>
  <Override ContentType="application/vnd.openxmlformats-officedocument.vmlDrawing" PartName="/xl/drawings/vmlDrawing94.vml"/>
  <Override ContentType="application/vnd.openxmlformats-officedocument.spreadsheetml.worksheet+xml" PartName="/xl/worksheets/sheet95.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comments+xml" PartName="/xl/comments40.xml"/>
  <Override ContentType="application/vnd.openxmlformats-officedocument.spreadsheetml.comments+xml" PartName="/xl/comments41.xml"/>
  <Override ContentType="application/vnd.openxmlformats-officedocument.spreadsheetml.comments+xml" PartName="/xl/comments42.xml"/>
  <Override ContentType="application/vnd.openxmlformats-officedocument.spreadsheetml.comments+xml" PartName="/xl/comments43.xml"/>
  <Override ContentType="application/vnd.openxmlformats-officedocument.spreadsheetml.comments+xml" PartName="/xl/comments44.xml"/>
  <Override ContentType="application/vnd.openxmlformats-officedocument.spreadsheetml.comments+xml" PartName="/xl/comments45.xml"/>
  <Override ContentType="application/vnd.openxmlformats-officedocument.spreadsheetml.comments+xml" PartName="/xl/comments46.xml"/>
  <Override ContentType="application/vnd.openxmlformats-officedocument.spreadsheetml.comments+xml" PartName="/xl/comments47.xml"/>
  <Override ContentType="application/vnd.openxmlformats-officedocument.spreadsheetml.comments+xml" PartName="/xl/comments48.xml"/>
  <Override ContentType="application/vnd.openxmlformats-officedocument.spreadsheetml.comments+xml" PartName="/xl/comments49.xml"/>
  <Override ContentType="application/vnd.openxmlformats-officedocument.spreadsheetml.comments+xml" PartName="/xl/comments50.xml"/>
  <Override ContentType="application/vnd.openxmlformats-officedocument.spreadsheetml.comments+xml" PartName="/xl/comments51.xml"/>
  <Override ContentType="application/vnd.openxmlformats-officedocument.spreadsheetml.comments+xml" PartName="/xl/comments52.xml"/>
  <Override ContentType="application/vnd.openxmlformats-officedocument.spreadsheetml.comments+xml" PartName="/xl/comments53.xml"/>
  <Override ContentType="application/vnd.openxmlformats-officedocument.spreadsheetml.comments+xml" PartName="/xl/comments54.xml"/>
  <Override ContentType="application/vnd.openxmlformats-officedocument.spreadsheetml.comments+xml" PartName="/xl/comments55.xml"/>
  <Override ContentType="application/vnd.openxmlformats-officedocument.spreadsheetml.comments+xml" PartName="/xl/comments56.xml"/>
  <Override ContentType="application/vnd.openxmlformats-officedocument.spreadsheetml.comments+xml" PartName="/xl/comments57.xml"/>
  <Override ContentType="application/vnd.openxmlformats-officedocument.spreadsheetml.comments+xml" PartName="/xl/comments58.xml"/>
  <Override ContentType="application/vnd.openxmlformats-officedocument.spreadsheetml.comments+xml" PartName="/xl/comments59.xml"/>
  <Override ContentType="application/vnd.openxmlformats-officedocument.spreadsheetml.comments+xml" PartName="/xl/comments60.xml"/>
  <Override ContentType="application/vnd.openxmlformats-officedocument.spreadsheetml.comments+xml" PartName="/xl/comments61.xml"/>
  <Override ContentType="application/vnd.openxmlformats-officedocument.spreadsheetml.comments+xml" PartName="/xl/comments62.xml"/>
  <Override ContentType="application/vnd.openxmlformats-officedocument.spreadsheetml.comments+xml" PartName="/xl/comments63.xml"/>
  <Override ContentType="application/vnd.openxmlformats-officedocument.spreadsheetml.comments+xml" PartName="/xl/comments64.xml"/>
  <Override ContentType="application/vnd.openxmlformats-officedocument.spreadsheetml.comments+xml" PartName="/xl/comments65.xml"/>
  <Override ContentType="application/vnd.openxmlformats-officedocument.spreadsheetml.comments+xml" PartName="/xl/comments66.xml"/>
  <Override ContentType="application/vnd.openxmlformats-officedocument.spreadsheetml.comments+xml" PartName="/xl/comments67.xml"/>
  <Override ContentType="application/vnd.openxmlformats-officedocument.spreadsheetml.comments+xml" PartName="/xl/comments68.xml"/>
  <Override ContentType="application/vnd.openxmlformats-officedocument.spreadsheetml.comments+xml" PartName="/xl/comments69.xml"/>
  <Override ContentType="application/vnd.openxmlformats-officedocument.spreadsheetml.comments+xml" PartName="/xl/comments70.xml"/>
  <Override ContentType="application/vnd.openxmlformats-officedocument.spreadsheetml.comments+xml" PartName="/xl/comments71.xml"/>
  <Override ContentType="application/vnd.openxmlformats-officedocument.spreadsheetml.comments+xml" PartName="/xl/comments72.xml"/>
  <Override ContentType="application/vnd.openxmlformats-officedocument.spreadsheetml.comments+xml" PartName="/xl/comments73.xml"/>
  <Override ContentType="application/vnd.openxmlformats-officedocument.spreadsheetml.comments+xml" PartName="/xl/comments74.xml"/>
  <Override ContentType="application/vnd.openxmlformats-officedocument.spreadsheetml.comments+xml" PartName="/xl/comments75.xml"/>
  <Override ContentType="application/vnd.openxmlformats-officedocument.spreadsheetml.comments+xml" PartName="/xl/comments76.xml"/>
  <Override ContentType="application/vnd.openxmlformats-officedocument.spreadsheetml.comments+xml" PartName="/xl/comments77.xml"/>
  <Override ContentType="application/vnd.openxmlformats-officedocument.spreadsheetml.comments+xml" PartName="/xl/comments78.xml"/>
  <Override ContentType="application/vnd.openxmlformats-officedocument.spreadsheetml.comments+xml" PartName="/xl/comments79.xml"/>
  <Override ContentType="application/vnd.openxmlformats-officedocument.spreadsheetml.comments+xml" PartName="/xl/comments80.xml"/>
  <Override ContentType="application/vnd.openxmlformats-officedocument.spreadsheetml.comments+xml" PartName="/xl/comments81.xml"/>
  <Override ContentType="application/vnd.openxmlformats-officedocument.spreadsheetml.comments+xml" PartName="/xl/comments82.xml"/>
  <Override ContentType="application/vnd.openxmlformats-officedocument.spreadsheetml.comments+xml" PartName="/xl/comments83.xml"/>
  <Override ContentType="application/vnd.openxmlformats-officedocument.spreadsheetml.comments+xml" PartName="/xl/comments84.xml"/>
  <Override ContentType="application/vnd.openxmlformats-officedocument.spreadsheetml.comments+xml" PartName="/xl/comments85.xml"/>
  <Override ContentType="application/vnd.openxmlformats-officedocument.spreadsheetml.comments+xml" PartName="/xl/comments86.xml"/>
  <Override ContentType="application/vnd.openxmlformats-officedocument.spreadsheetml.comments+xml" PartName="/xl/comments87.xml"/>
  <Override ContentType="application/vnd.openxmlformats-officedocument.spreadsheetml.comments+xml" PartName="/xl/comments88.xml"/>
  <Override ContentType="application/vnd.openxmlformats-officedocument.spreadsheetml.comments+xml" PartName="/xl/comments89.xml"/>
  <Override ContentType="application/vnd.openxmlformats-officedocument.spreadsheetml.comments+xml" PartName="/xl/comments90.xml"/>
  <Override ContentType="application/vnd.openxmlformats-officedocument.spreadsheetml.comments+xml" PartName="/xl/comments91.xml"/>
  <Override ContentType="application/vnd.openxmlformats-officedocument.spreadsheetml.comments+xml" PartName="/xl/comments92.xml"/>
  <Override ContentType="application/vnd.openxmlformats-officedocument.spreadsheetml.comments+xml" PartName="/xl/comments93.xml"/>
  <Override ContentType="application/vnd.openxmlformats-officedocument.spreadsheetml.comments+xml" PartName="/xl/comments9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RulebookReleases" sheetId="1" r:id="rId1"/>
    <sheet name="OntologyProfiles" sheetId="2" r:id="rId3"/>
    <sheet name="EvaluationContexts" sheetId="3" r:id="rId4"/>
    <sheet name="Organizations" sheetId="4" r:id="rId5"/>
    <sheet name="Agents" sheetId="5" r:id="rId6"/>
    <sheet name="Roles" sheetId="6" r:id="rId7"/>
    <sheet name="RoleAssignments" sheetId="7" r:id="rId8"/>
    <sheet name="CommunitiesOfPractice" sheetId="8" r:id="rId9"/>
    <sheet name="Mentorships" sheetId="9" r:id="rId10"/>
    <sheet name="ProcedureTypes" sheetId="10" r:id="rId11"/>
    <sheet name="Procedures" sheetId="11" r:id="rId12"/>
    <sheet name="ProcedureVersions" sheetId="12" r:id="rId13"/>
    <sheet name="ProcedureVersionLinks" sheetId="13" r:id="rId14"/>
    <sheet name="ProcedureStatusChanges" sheetId="14" r:id="rId15"/>
    <sheet name="Steps" sheetId="15" r:id="rId16"/>
    <sheet name="StepTransitions" sheetId="16" r:id="rId17"/>
    <sheet name="Actions" sheetId="17" r:id="rId18"/>
    <sheet name="Functions" sheetId="18" r:id="rId19"/>
    <sheet name="Tools" sheetId="19" r:id="rId20"/>
    <sheet name="StepActions" sheetId="20" r:id="rId21"/>
    <sheet name="StepFunctions" sheetId="21" r:id="rId22"/>
    <sheet name="StepTools" sheetId="22" r:id="rId23"/>
    <sheet name="Requirements" sheetId="23" r:id="rId24"/>
    <sheet name="StepRequirements" sheetId="24" r:id="rId25"/>
    <sheet name="StepVerifications" sheetId="25" r:id="rId26"/>
    <sheet name="Rationales" sheetId="26" r:id="rId27"/>
    <sheet name="Exceptions" sheetId="27" r:id="rId28"/>
    <sheet name="Resources" sheetId="28" r:id="rId29"/>
    <sheet name="ProcedureResources" sheetId="29" r:id="rId30"/>
    <sheet name="ElicitationSessions" sheetId="30" r:id="rId31"/>
    <sheet name="KnowledgeFragments" sheetId="31" r:id="rId32"/>
    <sheet name="KnowledgeGaps" sheetId="32" r:id="rId33"/>
    <sheet name="FAQs" sheetId="33" r:id="rId34"/>
    <sheet name="Explanations" sheetId="34" r:id="rId35"/>
    <sheet name="ProcedureExecutions" sheetId="35" r:id="rId36"/>
    <sheet name="StepExecutions" sheetId="36" r:id="rId37"/>
    <sheet name="RequirementSatisfactions" sheetId="37" r:id="rId38"/>
    <sheet name="Errors" sheetId="38" r:id="rId39"/>
    <sheet name="IssueOccurrences" sheetId="39" r:id="rId40"/>
    <sheet name="UserQuestions" sheetId="40" r:id="rId41"/>
    <sheet name="UserFeedback" sheetId="41" r:id="rId42"/>
    <sheet name="StewardshipAssignments" sheetId="42" r:id="rId43"/>
    <sheet name="ChangeRequests" sheetId="43" r:id="rId44"/>
    <sheet name="ReviewEvents" sheetId="44" r:id="rId45"/>
    <sheet name="LearningActivities" sheetId="45" r:id="rId46"/>
    <sheet name="OperationalBindings" sheetId="46" r:id="rId47"/>
    <sheet name="CommunicationPolicies" sheetId="47" r:id="rId48"/>
    <sheet name="MessageTemplates" sheetId="48" r:id="rId49"/>
    <sheet name="SemanticMappings" sheetId="49" r:id="rId50"/>
    <sheet name="WitnessLoops" sheetId="50" r:id="rId51"/>
    <sheet name="RoleQuestions" sheetId="51" r:id="rId52"/>
    <sheet name="RulebookFields" sheetId="52" r:id="rId53"/>
    <sheet name="TestSuites" sheetId="53" r:id="rId54"/>
    <sheet name="TestCases" sheetId="54" r:id="rId55"/>
    <sheet name="ERBVersions" sheetId="55" r:id="rId56"/>
    <sheet name="ERBCustomizations" sheetId="56" r:id="rId57"/>
    <sheet name="ExceptionInvocations" sheetId="57" r:id="rId58"/>
    <sheet name="VerificationOutcomes" sheetId="58" r:id="rId59"/>
    <sheet name="ObservedTransitions" sheetId="59" r:id="rId60"/>
    <sheet name="Recipients" sheetId="60" r:id="rId61"/>
    <sheet name="MessageDeliveries" sheetId="61" r:id="rId62"/>
    <sheet name="TemplateApprovals" sheetId="62" r:id="rId63"/>
    <sheet name="SendIntents" sheetId="63" r:id="rId64"/>
    <sheet name="AgentDecisionRecords" sheetId="64" r:id="rId65"/>
    <sheet name="DeliveredCommunications" sheetId="65" r:id="rId66"/>
    <sheet name="AuthorityBoundaries" sheetId="66" r:id="rId67"/>
    <sheet name="BindingObservations" sheetId="67" r:id="rId68"/>
    <sheet name="Attestations" sheetId="68" r:id="rId69"/>
    <sheet name="AppRoleProfiles" sheetId="69" r:id="rId70"/>
    <sheet name="AppNavGroups" sheetId="70" r:id="rId71"/>
    <sheet name="AppRoutes" sheetId="71" r:id="rId72"/>
    <sheet name="AppRouteQuestions" sheetId="72" r:id="rId73"/>
    <sheet name="AppRouteReferences" sheetId="73" r:id="rId74"/>
    <sheet name="RulebookTables" sheetId="74" r:id="rId75"/>
    <sheet name="AccessPrincipals" sheetId="75" r:id="rId76"/>
    <sheet name="AccessPolicies" sheetId="76" r:id="rId77"/>
    <sheet name="FieldGrants" sheetId="77" r:id="rId78"/>
    <sheet name="RoleSchemas" sheetId="78" r:id="rId79"/>
    <sheet name="RoleSchemaViews" sheetId="79" r:id="rId80"/>
    <sheet name="JwtClaimMappings" sheetId="80" r:id="rId81"/>
    <sheet name="AccessDenialTests" sheetId="81" r:id="rId82"/>
    <sheet name="AppUsers" sheetId="82" r:id="rId83"/>
    <sheet name="PrincipalAssignments" sheetId="83" r:id="rId84"/>
    <sheet name="IssuedTokens" sheetId="84" r:id="rId85"/>
    <sheet name="ProcessMiningRuns" sheetId="85" r:id="rId86"/>
    <sheet name="Vocabularies" sheetId="86" r:id="rId87"/>
    <sheet name="VocabularyTerms" sheetId="87" r:id="rId88"/>
    <sheet name="KnowledgeBrokerLinks" sheetId="88" r:id="rId89"/>
    <sheet name="ConformanceSubstrates" sheetId="89" r:id="rId90"/>
    <sheet name="ConformanceRuns" sheetId="90" r:id="rId91"/>
    <sheet name="SubstrateRunScores" sheetId="91" r:id="rId92"/>
    <sheet name="TableConformance" sheetId="92" r:id="rId93"/>
    <sheet name="FieldDisagreements" sheetId="93" r:id="rId94"/>
    <sheet name="CellDisagreements" sheetId="94" r:id="rId95"/>
    <sheet name="_original_json" sheetId="95" r:id="rId96" state="hidden"/>
  </sheets>
  <definedNames>
    <definedName name="_xlnm._FilterDatabase" localSheetId="80" hidden="1">AccessDenialTests!$A$1:$R$1</definedName>
    <definedName name="_xlnm._FilterDatabase" localSheetId="75" hidden="1">AccessPolicies!$A$1:$P$1</definedName>
    <definedName name="_xlnm._FilterDatabase" localSheetId="74" hidden="1">AccessPrincipals!$A$1:$O$1</definedName>
    <definedName name="_xlnm._FilterDatabase" localSheetId="16" hidden="1">Actions!$A$1:$E$1</definedName>
    <definedName name="_xlnm._FilterDatabase" localSheetId="63" hidden="1">AgentDecisionRecords!$A$1:$AN$1</definedName>
    <definedName name="_xlnm._FilterDatabase" localSheetId="4" hidden="1">Agents!$A$1:$W$1</definedName>
    <definedName name="_xlnm._FilterDatabase" localSheetId="69" hidden="1">AppNavGroups!$A$1:$E$1</definedName>
    <definedName name="_xlnm._FilterDatabase" localSheetId="68" hidden="1">AppRoleProfiles!$A$1:$L$1</definedName>
    <definedName name="_xlnm._FilterDatabase" localSheetId="71" hidden="1">AppRouteQuestions!$A$1:$E$1</definedName>
    <definedName name="_xlnm._FilterDatabase" localSheetId="72" hidden="1">AppRouteReferences!$A$1:$E$1</definedName>
    <definedName name="_xlnm._FilterDatabase" localSheetId="70" hidden="1">AppRoutes!$A$1:$R$1</definedName>
    <definedName name="_xlnm._FilterDatabase" localSheetId="81" hidden="1">AppUsers!$A$1:$M$1</definedName>
    <definedName name="_xlnm._FilterDatabase" localSheetId="67" hidden="1">Attestations!$A$1:$L$1</definedName>
    <definedName name="_xlnm._FilterDatabase" localSheetId="65" hidden="1">AuthorityBoundaries!$A$1:$AG$1</definedName>
    <definedName name="_xlnm._FilterDatabase" localSheetId="66" hidden="1">BindingObservations!$A$1:$K$1</definedName>
    <definedName name="_xlnm._FilterDatabase" localSheetId="93" hidden="1">CellDisagreements!$A$1:$J$1</definedName>
    <definedName name="_xlnm._FilterDatabase" localSheetId="42" hidden="1">ChangeRequests!$A$1:$AS$1</definedName>
    <definedName name="_xlnm._FilterDatabase" localSheetId="46" hidden="1">CommunicationPolicies!$A$1:$V$1</definedName>
    <definedName name="_xlnm._FilterDatabase" localSheetId="7" hidden="1">CommunitiesOfPractice!$A$1:$H$1</definedName>
    <definedName name="_xlnm._FilterDatabase" localSheetId="89" hidden="1">ConformanceRuns!$A$1:$P$1</definedName>
    <definedName name="_xlnm._FilterDatabase" localSheetId="88" hidden="1">ConformanceSubstrates!$A$1:$T$1</definedName>
    <definedName name="_xlnm._FilterDatabase" localSheetId="64" hidden="1">DeliveredCommunications!$A$1:$R$1</definedName>
    <definedName name="_xlnm._FilterDatabase" localSheetId="29" hidden="1">ElicitationSessions!$A$1:$U$1</definedName>
    <definedName name="_xlnm._FilterDatabase" localSheetId="55" hidden="1">ERBCustomizations!$A$1:$F$1</definedName>
    <definedName name="_xlnm._FilterDatabase" localSheetId="54" hidden="1">ERBVersions!$A$1:$G$1</definedName>
    <definedName name="_xlnm._FilterDatabase" localSheetId="37" hidden="1">Errors!$A$1:$F$1</definedName>
    <definedName name="_xlnm._FilterDatabase" localSheetId="2" hidden="1">EvaluationContexts!$A$1:$G$1</definedName>
    <definedName name="_xlnm._FilterDatabase" localSheetId="56" hidden="1">ExceptionInvocations!$A$1:$U$1</definedName>
    <definedName name="_xlnm._FilterDatabase" localSheetId="26" hidden="1">Exceptions!$A$1:$K$1</definedName>
    <definedName name="_xlnm._FilterDatabase" localSheetId="33" hidden="1">Explanations!$A$1:$G$1</definedName>
    <definedName name="_xlnm._FilterDatabase" localSheetId="32" hidden="1">FAQs!$A$1:$I$1</definedName>
    <definedName name="_xlnm._FilterDatabase" localSheetId="92" hidden="1">FieldDisagreements!$A$1:$M$1</definedName>
    <definedName name="_xlnm._FilterDatabase" localSheetId="76" hidden="1">FieldGrants!$A$1:$N$1</definedName>
    <definedName name="_xlnm._FilterDatabase" localSheetId="17" hidden="1">Functions!$A$1:$F$1</definedName>
    <definedName name="_xlnm._FilterDatabase" localSheetId="83" hidden="1">IssuedTokens!$A$1:$K$1</definedName>
    <definedName name="_xlnm._FilterDatabase" localSheetId="38" hidden="1">IssueOccurrences!$A$1:$L$1</definedName>
    <definedName name="_xlnm._FilterDatabase" localSheetId="79" hidden="1">JwtClaimMappings!$A$1:$I$1</definedName>
    <definedName name="_xlnm._FilterDatabase" localSheetId="87" hidden="1">KnowledgeBrokerLinks!$A$1:$P$1</definedName>
    <definedName name="_xlnm._FilterDatabase" localSheetId="30" hidden="1">KnowledgeFragments!$A$1:$CB$1</definedName>
    <definedName name="_xlnm._FilterDatabase" localSheetId="31" hidden="1">KnowledgeGaps!$A$1:$AB$1</definedName>
    <definedName name="_xlnm._FilterDatabase" localSheetId="44" hidden="1">LearningActivities!$A$1:$J$1</definedName>
    <definedName name="_xlnm._FilterDatabase" localSheetId="8" hidden="1">Mentorships!$A$1:$J$1</definedName>
    <definedName name="_xlnm._FilterDatabase" localSheetId="60" hidden="1">MessageDeliveries!$A$1:$CP$1</definedName>
    <definedName name="_xlnm._FilterDatabase" localSheetId="47" hidden="1">MessageTemplates!$A$1:$Z$1</definedName>
    <definedName name="_xlnm._FilterDatabase" localSheetId="58" hidden="1">ObservedTransitions!$A$1:$H$1</definedName>
    <definedName name="_xlnm._FilterDatabase" localSheetId="1" hidden="1">OntologyProfiles!$A$1:$H$1</definedName>
    <definedName name="_xlnm._FilterDatabase" localSheetId="45" hidden="1">OperationalBindings!$A$1:$V$1</definedName>
    <definedName name="_xlnm._FilterDatabase" localSheetId="3" hidden="1">Organizations!$A$1:$F$1</definedName>
    <definedName name="_xlnm._FilterDatabase" localSheetId="82" hidden="1">PrincipalAssignments!$A$1:$K$1</definedName>
    <definedName name="_xlnm._FilterDatabase" localSheetId="34" hidden="1">ProcedureExecutions!$A$1:$BZ$1</definedName>
    <definedName name="_xlnm._FilterDatabase" localSheetId="28" hidden="1">ProcedureResources!$A$1:$F$1</definedName>
    <definedName name="_xlnm._FilterDatabase" localSheetId="10" hidden="1">Procedures!$A$1:$K$1</definedName>
    <definedName name="_xlnm._FilterDatabase" localSheetId="13" hidden="1">ProcedureStatusChanges!$A$1:$I$1</definedName>
    <definedName name="_xlnm._FilterDatabase" localSheetId="9" hidden="1">ProcedureTypes!$A$1:$E$1</definedName>
    <definedName name="_xlnm._FilterDatabase" localSheetId="12" hidden="1">ProcedureVersionLinks!$A$1:$G$1</definedName>
    <definedName name="_xlnm._FilterDatabase" localSheetId="11" hidden="1">ProcedureVersions!$A$1:$CH$1</definedName>
    <definedName name="_xlnm._FilterDatabase" localSheetId="84" hidden="1">ProcessMiningRuns!$A$1:$S$1</definedName>
    <definedName name="_xlnm._FilterDatabase" localSheetId="25" hidden="1">Rationales!$A$1:$I$1</definedName>
    <definedName name="_xlnm._FilterDatabase" localSheetId="59" hidden="1">Recipients!$A$1:$O$1</definedName>
    <definedName name="_xlnm._FilterDatabase" localSheetId="22" hidden="1">Requirements!$A$1:$AQ$1</definedName>
    <definedName name="_xlnm._FilterDatabase" localSheetId="36" hidden="1">RequirementSatisfactions!$A$1:$AT$1</definedName>
    <definedName name="_xlnm._FilterDatabase" localSheetId="27" hidden="1">Resources!$A$1:$K$1</definedName>
    <definedName name="_xlnm._FilterDatabase" localSheetId="43" hidden="1">ReviewEvents!$A$1:$T$1</definedName>
    <definedName name="_xlnm._FilterDatabase" localSheetId="6" hidden="1">RoleAssignments!$A$1:$BM$1</definedName>
    <definedName name="_xlnm._FilterDatabase" localSheetId="50" hidden="1">RoleQuestions!$A$1:$K$1</definedName>
    <definedName name="_xlnm._FilterDatabase" localSheetId="5" hidden="1">Roles!$A$1:$X$1</definedName>
    <definedName name="_xlnm._FilterDatabase" localSheetId="77" hidden="1">RoleSchemas!$A$1:$I$1</definedName>
    <definedName name="_xlnm._FilterDatabase" localSheetId="78" hidden="1">RoleSchemaViews!$A$1:$N$1</definedName>
    <definedName name="_xlnm._FilterDatabase" localSheetId="51" hidden="1">RulebookFields!$A$1:$M$1</definedName>
    <definedName name="_xlnm._FilterDatabase" localSheetId="0" hidden="1">RulebookReleases!$A$1:$K$1</definedName>
    <definedName name="_xlnm._FilterDatabase" localSheetId="73" hidden="1">RulebookTables!$A$1:$L$1</definedName>
    <definedName name="_xlnm._FilterDatabase" localSheetId="48" hidden="1">SemanticMappings!$A$1:$H$1</definedName>
    <definedName name="_xlnm._FilterDatabase" localSheetId="62" hidden="1">SendIntents!$A$1:$CV$1</definedName>
    <definedName name="_xlnm._FilterDatabase" localSheetId="19" hidden="1">StepActions!$A$1:$D$1</definedName>
    <definedName name="_xlnm._FilterDatabase" localSheetId="35" hidden="1">StepExecutions!$A$1:$DE$1</definedName>
    <definedName name="_xlnm._FilterDatabase" localSheetId="20" hidden="1">StepFunctions!$A$1:$D$1</definedName>
    <definedName name="_xlnm._FilterDatabase" localSheetId="23" hidden="1">StepRequirements!$A$1:$M$1</definedName>
    <definedName name="_xlnm._FilterDatabase" localSheetId="14" hidden="1">Steps!$A$1:$AP$1</definedName>
    <definedName name="_xlnm._FilterDatabase" localSheetId="21" hidden="1">StepTools!$A$1:$D$1</definedName>
    <definedName name="_xlnm._FilterDatabase" localSheetId="15" hidden="1">StepTransitions!$A$1:$W$1</definedName>
    <definedName name="_xlnm._FilterDatabase" localSheetId="24" hidden="1">StepVerifications!$A$1:$H$1</definedName>
    <definedName name="_xlnm._FilterDatabase" localSheetId="41" hidden="1">StewardshipAssignments!$A$1:$N$1</definedName>
    <definedName name="_xlnm._FilterDatabase" localSheetId="90" hidden="1">SubstrateRunScores!$A$1:$AA$1</definedName>
    <definedName name="_xlnm._FilterDatabase" localSheetId="91" hidden="1">TableConformance!$A$1:$S$1</definedName>
    <definedName name="_xlnm._FilterDatabase" localSheetId="61" hidden="1">TemplateApprovals!$A$1:$O$1</definedName>
    <definedName name="_xlnm._FilterDatabase" localSheetId="53" hidden="1">TestCases!$A$1:$T$1</definedName>
    <definedName name="_xlnm._FilterDatabase" localSheetId="52" hidden="1">TestSuites!$A$1:$H$1</definedName>
    <definedName name="_xlnm._FilterDatabase" localSheetId="18" hidden="1">Tools!$A$1:$E$1</definedName>
    <definedName name="_xlnm._FilterDatabase" localSheetId="40" hidden="1">UserFeedback!$A$1:$I$1</definedName>
    <definedName name="_xlnm._FilterDatabase" localSheetId="39" hidden="1">UserQuestions!$A$1:$J$1</definedName>
    <definedName name="_xlnm._FilterDatabase" localSheetId="57" hidden="1">VerificationOutcomes!$A$1:$Z$1</definedName>
    <definedName name="_xlnm._FilterDatabase" localSheetId="85" hidden="1">Vocabularies!$A$1:$I$1</definedName>
    <definedName name="_xlnm._FilterDatabase" localSheetId="86" hidden="1">VocabularyTerms!$A$1:$K$1</definedName>
    <definedName name="_xlnm._FilterDatabase" localSheetId="49" hidden="1">WitnessLoops!$A$1:$M$1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RulebookReleases row.</t>
        </r>
      </text>
    </comment>
    <comment ref="C1" authorId="0">
      <text>
        <r>
          <rPr>
            <rFont val="Aptos Narrow"/>
            <b/>
            <color rgb="FFFFFFFF"/>
            <sz val="11"/>
          </rPr>
          <t>Semantic version of this canonical rulebook release.</t>
        </r>
      </text>
    </comment>
    <comment ref="D1" authorId="0">
      <text>
        <r>
          <rPr>
            <rFont val="Aptos Narrow"/>
            <b/>
            <color rgb="FFFFFFFF"/>
            <sz val="11"/>
          </rPr>
          <t>Version of the ERB-PKO profile schema.</t>
        </r>
      </text>
    </comment>
    <comment ref="E1" authorId="0">
      <text>
        <r>
          <rPr>
            <rFont val="Aptos Narrow"/>
            <b/>
            <color rgb="FFFFFFFF"/>
            <sz val="11"/>
          </rPr>
          <t>Repository-relative path to the ERB-PKO JSON profile schema.</t>
        </r>
      </text>
    </comment>
    <comment ref="F1" authorId="0">
      <text>
        <r>
          <rPr>
            <rFont val="Aptos Narrow"/>
            <b/>
            <color rgb="FFFFFFFF"/>
            <sz val="11"/>
          </rPr>
          <t>Exact version IRI of the PKO core ontology used by this release.</t>
        </r>
      </text>
    </comment>
    <comment ref="G1" authorId="0">
      <text>
        <r>
          <rPr>
            <rFont val="Aptos Narrow"/>
            <b/>
            <color rgb="FFFFFFFF"/>
            <sz val="11"/>
          </rPr>
          <t>Exact version IRI of the PKO industry module used by this release.</t>
        </r>
      </text>
    </comment>
    <comment ref="H1" authorId="0">
      <text>
        <r>
          <rPr>
            <rFont val="Aptos Narrow"/>
            <b/>
            <color rgb="FFFFFFFF"/>
            <sz val="11"/>
          </rPr>
          <t>Timestamp at which this rulebook release was issued.</t>
        </r>
      </text>
    </comment>
    <comment ref="I1" authorId="0">
      <text>
        <r>
          <rPr>
            <rFont val="Aptos Narrow"/>
            <b/>
            <color rgb="FFFFFFFF"/>
            <sz val="11"/>
          </rPr>
          <t>Release status such as Draft, Candidate, or Published.</t>
        </r>
      </text>
    </comment>
    <comment ref="J1" authorId="0">
      <text>
        <r>
          <rPr>
            <rFont val="Aptos Narrow"/>
            <b/>
            <color rgb="FFFFFFFF"/>
            <sz val="11"/>
          </rPr>
          <t>Human-readable semantic changelog for this release.</t>
        </r>
      </text>
    </comment>
    <comment ref="K1" authorId="0">
      <text>
        <r>
          <rPr>
            <rFont val="Aptos Narrow"/>
            <b/>
            <color rgb="FFFFFFFF"/>
            <sz val="11"/>
          </rPr>
          <t>TRUE only for the current rulebook release.</t>
        </r>
      </text>
    </comment>
    <comment ref="B1" authorId="0">
      <text>
        <r>
          <rPr>
            <rFont val="Aptos Narrow"/>
            <b/>
            <color rgb="FFFFFFFF"/>
            <sz val="11"/>
          </rPr>
          <t>Human-readable calculated display alias for the RulebookReleases row.</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OntologyProfiles row.</t>
        </r>
      </text>
    </comment>
    <comment ref="C1" authorId="0">
      <text>
        <r>
          <rPr>
            <rFont val="Aptos Narrow"/>
            <b/>
            <color rgb="FFFFFFFF"/>
            <sz val="11"/>
          </rPr>
          <t>Human-readable ontology or vocabulary name.</t>
        </r>
      </text>
    </comment>
    <comment ref="D1" authorId="0">
      <text>
        <r>
          <rPr>
            <rFont val="Aptos Narrow"/>
            <b/>
            <color rgb="FFFFFFFF"/>
            <sz val="11"/>
          </rPr>
          <t>Referenced release or specification version.</t>
        </r>
      </text>
    </comment>
    <comment ref="E1" authorId="0">
      <text>
        <r>
          <rPr>
            <rFont val="Aptos Narrow"/>
            <b/>
            <color rgb="FFFFFFFF"/>
            <sz val="11"/>
          </rPr>
          <t>Exact version IRI or normative specification URI.</t>
        </r>
      </text>
    </comment>
    <comment ref="F1" authorId="0">
      <text>
        <r>
          <rPr>
            <rFont val="Aptos Narrow"/>
            <b/>
            <color rgb="FFFFFFFF"/>
            <sz val="11"/>
          </rPr>
          <t>Namespace used for class/property IRIs.</t>
        </r>
      </text>
    </comment>
    <comment ref="G1" authorId="0">
      <text>
        <r>
          <rPr>
            <rFont val="Aptos Narrow"/>
            <b/>
            <color rgb="FFFFFFFF"/>
            <sz val="11"/>
          </rPr>
          <t>License or standards body attribution.</t>
        </r>
      </text>
    </comment>
    <comment ref="H1" authorId="0">
      <text>
        <r>
          <rPr>
            <rFont val="Aptos Narrow"/>
            <b/>
            <color rgb="FFFFFFFF"/>
            <sz val="11"/>
          </rPr>
          <t>How the profile is used in this rulebook.</t>
        </r>
      </text>
    </comment>
    <comment ref="B1" authorId="0">
      <text>
        <r>
          <rPr>
            <rFont val="Aptos Narrow"/>
            <b/>
            <color rgb="FFFFFFFF"/>
            <sz val="11"/>
          </rPr>
          <t>Human-readable calculated display alias for the OntologyProfiles row.</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EvaluationContexts row.</t>
        </r>
      </text>
    </comment>
    <comment ref="C1" authorId="0">
      <text>
        <r>
          <rPr>
            <rFont val="Aptos Narrow"/>
            <b/>
            <color rgb="FFFFFFFF"/>
            <sz val="11"/>
          </rPr>
          <t>What this evaluation instant represents.</t>
        </r>
      </text>
    </comment>
    <comment ref="D1" authorId="0">
      <text>
        <r>
          <rPr>
            <rFont val="Aptos Narrow"/>
            <b/>
            <color rgb="FFFFFFFF"/>
            <sz val="11"/>
          </rPr>
          <t>The instant all time-dependent witnesses are evaluated against.</t>
        </r>
      </text>
    </comment>
    <comment ref="E1" authorId="0">
      <text>
        <r>
          <rPr>
            <rFont val="Aptos Narrow"/>
            <b/>
            <color rgb="FFFFFFFF"/>
            <sz val="11"/>
          </rPr>
          <t>TRUE for the single active evaluation context.</t>
        </r>
      </text>
    </comment>
    <comment ref="F1" authorId="0">
      <text>
        <r>
          <rPr>
            <rFont val="Aptos Narrow"/>
            <b/>
            <color rgb="FFFFFFFF"/>
            <sz val="11"/>
          </rPr>
          <t>Why this instant was chosen.</t>
        </r>
      </text>
    </comment>
    <comment ref="G1" authorId="0">
      <text>
        <r>
          <rPr>
            <rFont val="Aptos Narrow"/>
            <b/>
            <color rgb="FFFFFFFF"/>
            <sz val="11"/>
          </rPr>
          <t>Extension class IRI.</t>
        </r>
      </text>
    </comment>
    <comment ref="B1" authorId="0">
      <text>
        <r>
          <rPr>
            <rFont val="Aptos Narrow"/>
            <b/>
            <color rgb="FFFFFFFF"/>
            <sz val="11"/>
          </rPr>
          <t>Human-readable calculated display alias for the EvaluationContexts row.</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Organizations row.</t>
        </r>
      </text>
    </comment>
    <comment ref="C1" authorId="0">
      <text>
        <r>
          <rPr>
            <rFont val="Aptos Narrow"/>
            <b/>
            <color rgb="FFFFFFFF"/>
            <sz val="11"/>
          </rPr>
          <t>Organization's human-readable name.</t>
        </r>
      </text>
    </comment>
    <comment ref="D1" authorId="0">
      <text>
        <r>
          <rPr>
            <rFont val="Aptos Narrow"/>
            <b/>
            <color rgb="FFFFFFFF"/>
            <sz val="11"/>
          </rPr>
          <t>Type such as Company, Department, Vendor, or Regulator.</t>
        </r>
      </text>
    </comment>
    <comment ref="E1" authorId="0">
      <text>
        <r>
          <rPr>
            <rFont val="Aptos Narrow"/>
            <b/>
            <color rgb="FFFFFFFF"/>
            <sz val="11"/>
          </rPr>
          <t>Identifier in an operational directory or master-data system.</t>
        </r>
      </text>
    </comment>
    <comment ref="F1" authorId="0">
      <text>
        <r>
          <rPr>
            <rFont val="Aptos Narrow"/>
            <b/>
            <color rgb="FFFFFFFF"/>
            <sz val="11"/>
          </rPr>
          <t>Exact RDF class IRI for the organization.</t>
        </r>
      </text>
    </comment>
    <comment ref="B1" authorId="0">
      <text>
        <r>
          <rPr>
            <rFont val="Aptos Narrow"/>
            <b/>
            <color rgb="FFFFFFFF"/>
            <sz val="11"/>
          </rPr>
          <t>Human-readable calculated display alias for the Organizations row.</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Agents row.</t>
        </r>
      </text>
    </comment>
    <comment ref="C1" authorId="0">
      <text>
        <r>
          <rPr>
            <rFont val="Aptos Narrow"/>
            <b/>
            <color rgb="FFFFFFFF"/>
            <sz val="11"/>
          </rPr>
          <t>Agent's human-readable name.</t>
        </r>
      </text>
    </comment>
    <comment ref="D1" authorId="0">
      <text>
        <r>
          <rPr>
            <rFont val="Aptos Narrow"/>
            <b/>
            <color rgb="FFFFFFFF"/>
            <sz val="11"/>
          </rPr>
          <t>Human, AIAgent, AutomatedPipeline, Organization, or another explicit agent category.</t>
        </r>
      </text>
    </comment>
    <comment ref="E1" authorId="0">
      <text>
        <r>
          <rPr>
            <rFont val="Aptos Narrow"/>
            <b/>
            <color rgb="FFFFFFFF"/>
            <sz val="11"/>
          </rPr>
          <t>Organization to which the agent belongs.</t>
        </r>
      </text>
    </comment>
    <comment ref="F1" authorId="0">
      <text>
        <r>
          <rPr>
            <rFont val="Aptos Narrow"/>
            <b/>
            <color rgb="FFFFFFFF"/>
            <sz val="11"/>
          </rPr>
          <t>Contact address when applicable.</t>
        </r>
      </text>
    </comment>
    <comment ref="G1" authorId="0">
      <text>
        <r>
          <rPr>
            <rFont val="Aptos Narrow"/>
            <b/>
            <color rgb="FFFFFFFF"/>
            <sz val="11"/>
          </rPr>
          <t>Model version, pipeline release, or employment assignment key.</t>
        </r>
      </text>
    </comment>
    <comment ref="H1" authorId="0">
      <text>
        <r>
          <rPr>
            <rFont val="Aptos Narrow"/>
            <b/>
            <color rgb="FFFFFFFF"/>
            <sz val="11"/>
          </rPr>
          <t>How many role assignments this agent currently holds. Counts only CURRENT assignments via the CurrentAgentKey echo — counting all assignments would report a departed agent as engaged forever.</t>
        </r>
      </text>
    </comment>
    <comment ref="I1" authorId="0">
      <text>
        <r>
          <rPr>
            <rFont val="Aptos Narrow"/>
            <b/>
            <color rgb="FFFFFFFF"/>
            <sz val="11"/>
          </rPr>
          <t>TRUE when this agent currently holds at least one role in the organization.</t>
        </r>
      </text>
    </comment>
    <comment ref="J1" authorId="0">
      <text>
        <r>
          <rPr>
            <rFont val="Aptos Narrow"/>
            <b/>
            <color rgb="FFFFFFFF"/>
            <sz val="11"/>
          </rPr>
          <t>Total decisions this agent has recorded.</t>
        </r>
      </text>
    </comment>
    <comment ref="K1" authorId="0">
      <text>
        <r>
          <rPr>
            <rFont val="Aptos Narrow"/>
            <b/>
            <color rgb="FFFFFFFF"/>
            <sz val="11"/>
          </rPr>
          <t>Decisions by this agent that a human corrected or reversed.</t>
        </r>
      </text>
    </comment>
    <comment ref="L1" authorId="0">
      <text>
        <r>
          <rPr>
            <rFont val="Aptos Narrow"/>
            <b/>
            <color rgb="FFFFFFFF"/>
            <sz val="11"/>
          </rPr>
          <t>Percentage of this agent's decisions that were overridden by a human.</t>
        </r>
      </text>
    </comment>
    <comment ref="M1" authorId="0">
      <text>
        <r>
          <rPr>
            <rFont val="Aptos Narrow"/>
            <b/>
            <color rgb="FFFFFFFF"/>
            <sz val="11"/>
          </rPr>
          <t>TRUE when this agent is an AI agent or an automated pipeline.</t>
        </r>
      </text>
    </comment>
    <comment ref="N1" authorId="0">
      <text>
        <r>
          <rPr>
            <rFont val="Aptos Narrow"/>
            <b/>
            <color rgb="FFFFFFFF"/>
            <sz val="11"/>
          </rPr>
          <t>Number of decisions by this agent that violated an authority boundary.</t>
        </r>
      </text>
    </comment>
    <comment ref="O1" authorId="0">
      <text>
        <r>
          <rPr>
            <rFont val="Aptos Narrow"/>
            <b/>
            <color rgb="FFFFFFFF"/>
            <sz val="11"/>
          </rPr>
          <t>TRUE when this agent has made at least one decision an authority boundary forbids.</t>
        </r>
      </text>
    </comment>
    <comment ref="P1" authorId="0">
      <text>
        <r>
          <rPr>
            <rFont val="Aptos Narrow"/>
            <b/>
            <color rgb="FFFFFFFF"/>
            <sz val="11"/>
          </rPr>
          <t>Number of drafting decisions this agent has made.</t>
        </r>
      </text>
    </comment>
    <comment ref="Q1" authorId="0">
      <text>
        <r>
          <rPr>
            <rFont val="Aptos Narrow"/>
            <b/>
            <color rgb="FFFFFFFF"/>
            <sz val="11"/>
          </rPr>
          <t>Number of this agent's drafting decisions a human corrected or reversed.</t>
        </r>
      </text>
    </comment>
    <comment ref="R1" authorId="0">
      <text>
        <r>
          <rPr>
            <rFont val="Aptos Narrow"/>
            <b/>
            <color rgb="FFFFFFFF"/>
            <sz val="11"/>
          </rPr>
          <t>Percentage of this agent's drafting output that a human rewrote.</t>
        </r>
      </text>
    </comment>
    <comment ref="S1" authorId="0">
      <text>
        <r>
          <rPr>
            <rFont val="Aptos Narrow"/>
            <b/>
            <color rgb="FFFFFFFF"/>
            <sz val="11"/>
          </rPr>
          <t>How many active informal-reliance links name this agent as the one actually consulted.</t>
        </r>
      </text>
    </comment>
    <comment ref="T1" authorId="0">
      <text>
        <r>
          <rPr>
            <rFont val="Aptos Narrow"/>
            <b/>
            <color rgb="FFFFFFFF"/>
            <sz val="11"/>
          </rPr>
          <t>TRUE when at least three people actively rely on this agent as an informal knowledge broker.</t>
        </r>
      </text>
    </comment>
    <comment ref="U1" authorId="0">
      <text>
        <r>
          <rPr>
            <rFont val="Aptos Narrow"/>
            <b/>
            <color rgb="FFFFFFFF"/>
            <sz val="11"/>
          </rPr>
          <t>How many active informal-reliance links name this agent while this agent holds no current role.</t>
        </r>
      </text>
    </comment>
    <comment ref="V1" authorId="0">
      <text>
        <r>
          <rPr>
            <rFont val="Aptos Narrow"/>
            <b/>
            <color rgb="FFFFFFFF"/>
            <sz val="11"/>
          </rPr>
          <t>TRUE when people are actively relying on this agent even though they have already left every role.</t>
        </r>
      </text>
    </comment>
    <comment ref="W1" authorId="0">
      <text>
        <r>
          <rPr>
            <rFont val="Aptos Narrow"/>
            <b/>
            <color rgb="FFFFFFFF"/>
            <sz val="11"/>
          </rPr>
          <t>Exact semantic type IRI used when projecting the agent.</t>
        </r>
      </text>
    </comment>
    <comment ref="B1" authorId="0">
      <text>
        <r>
          <rPr>
            <rFont val="Aptos Narrow"/>
            <b/>
            <color rgb="FFFFFFFF"/>
            <sz val="11"/>
          </rPr>
          <t>Human-readable calculated display alias for the Agents row.</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Roles row.</t>
        </r>
      </text>
    </comment>
    <comment ref="C1" authorId="0">
      <text>
        <r>
          <rPr>
            <rFont val="Aptos Narrow"/>
            <b/>
            <color rgb="FFFFFFFF"/>
            <sz val="11"/>
          </rPr>
          <t>Human-readable role label.</t>
        </r>
      </text>
    </comment>
    <comment ref="D1" authorId="0">
      <text>
        <r>
          <rPr>
            <rFont val="Aptos Narrow"/>
            <b/>
            <color rgb="FFFFFFFF"/>
            <sz val="11"/>
          </rPr>
          <t>Organization that owns the role.</t>
        </r>
      </text>
    </comment>
    <comment ref="E1" authorId="0">
      <text>
        <r>
          <rPr>
            <rFont val="Aptos Narrow"/>
            <b/>
            <color rgb="FFFFFFFF"/>
            <sz val="11"/>
          </rPr>
          <t>Current agent filling the role; history is retained in RoleAssignments.</t>
        </r>
      </text>
    </comment>
    <comment ref="F1" authorId="0">
      <text>
        <r>
          <rPr>
            <rFont val="Aptos Narrow"/>
            <b/>
            <color rgb="FFFFFFFF"/>
            <sz val="11"/>
          </rPr>
          <t>Agent category of the current role filler.</t>
        </r>
      </text>
    </comment>
    <comment ref="G1" authorId="0">
      <text>
        <r>
          <rPr>
            <rFont val="Aptos Narrow"/>
            <b/>
            <color rgb="FFFFFFFF"/>
            <sz val="11"/>
          </rPr>
          <t>Accountability and responsibility assigned to the role.</t>
        </r>
      </text>
    </comment>
    <comment ref="H1" authorId="0">
      <text>
        <r>
          <rPr>
            <rFont val="Aptos Narrow"/>
            <b/>
            <color rgb="FFFFFFFF"/>
            <sz val="11"/>
          </rPr>
          <t>Total number of assignment rows ever recorded against this role.</t>
        </r>
      </text>
    </comment>
    <comment ref="I1" authorId="0">
      <text>
        <r>
          <rPr>
            <rFont val="Aptos Narrow"/>
            <b/>
            <color rgb="FFFFFFFF"/>
            <sz val="11"/>
          </rPr>
          <t>Number of assignment rows for this role that are in force right now.</t>
        </r>
      </text>
    </comment>
    <comment ref="J1" authorId="0">
      <text>
        <r>
          <rPr>
            <rFont val="Aptos Narrow"/>
            <b/>
            <color rgb="FFFFFFFF"/>
            <sz val="11"/>
          </rPr>
          <t>TRUE when no assignment currently covers this role — the role is uncovered.</t>
        </r>
      </text>
    </comment>
    <comment ref="K1" authorId="0">
      <text>
        <r>
          <rPr>
            <rFont val="Aptos Narrow"/>
            <b/>
            <color rgb="FFFFFFFF"/>
            <sz val="11"/>
          </rPr>
          <t>How many change requests name this role as the deciding authority.</t>
        </r>
      </text>
    </comment>
    <comment ref="L1" authorId="0">
      <text>
        <r>
          <rPr>
            <rFont val="Aptos Narrow"/>
            <b/>
            <color rgb="FFFFFFFF"/>
            <sz val="11"/>
          </rPr>
          <t>The RoleAssignments id of the assignment by which this role is currently held. Deliberately a raw identifier, not a relationship: RoleAssignments already points at Roles, so an FK back would make the two mutually dependent and this rulebook must stay acyclic.</t>
        </r>
      </text>
    </comment>
    <comment ref="M1" authorId="0">
      <text>
        <r>
          <rPr>
            <rFont val="Aptos Narrow"/>
            <b/>
            <color rgb="FFFFFFFF"/>
            <sz val="11"/>
          </rPr>
          <t>Start of the currently-in-force assignment for this role.</t>
        </r>
      </text>
    </comment>
    <comment ref="N1" authorId="0">
      <text>
        <r>
          <rPr>
            <rFont val="Aptos Narrow"/>
            <b/>
            <color rgb="FFFFFFFF"/>
            <sz val="11"/>
          </rPr>
          <t>TRUE when the role's current agent is an AI agent or automated pipeline.</t>
        </r>
      </text>
    </comment>
    <comment ref="O1" authorId="0">
      <text>
        <r>
          <rPr>
            <rFont val="Aptos Narrow"/>
            <b/>
            <color rgb="FFFFFFFF"/>
            <sz val="11"/>
          </rPr>
          <t>TRUE when a role is pointed at a non-human agent but has no assignment row granting it.</t>
        </r>
      </text>
    </comment>
    <comment ref="P1" authorId="0">
      <text>
        <r>
          <rPr>
            <rFont val="Aptos Narrow"/>
            <b/>
            <color rgb="FFFFFFFF"/>
            <sz val="11"/>
          </rPr>
          <t>How many assignments to this role have ended.</t>
        </r>
      </text>
    </comment>
    <comment ref="Q1" authorId="0">
      <text>
        <r>
          <rPr>
            <rFont val="Aptos Narrow"/>
            <b/>
            <color rgb="FFFFFFFF"/>
            <sz val="11"/>
          </rPr>
          <t>Whether anyone has ever departed this role.</t>
        </r>
      </text>
    </comment>
    <comment ref="R1" authorId="0">
      <text>
        <r>
          <rPr>
            <rFont val="Aptos Narrow"/>
            <b/>
            <color rgb="FFFFFFFF"/>
            <sz val="11"/>
          </rPr>
          <t>A role somebody departed and that nobody currently covers.</t>
        </r>
      </text>
    </comment>
    <comment ref="S1" authorId="0">
      <text>
        <r>
          <rPr>
            <rFont val="Aptos Narrow"/>
            <b/>
            <color rgb="FFFFFFFF"/>
            <sz val="11"/>
          </rPr>
          <t>How many boundaries constrain this role on lapsed authority.</t>
        </r>
      </text>
    </comment>
    <comment ref="T1" authorId="0">
      <text>
        <r>
          <rPr>
            <rFont val="Aptos Narrow"/>
            <b/>
            <color rgb="FFFFFFFF"/>
            <sz val="11"/>
          </rPr>
          <t>TRUE when at least one constraint on this role rests on knowledge that is no longer valid.</t>
        </r>
      </text>
    </comment>
    <comment ref="U1" authorId="0">
      <text>
        <r>
          <rPr>
            <rFont val="Aptos Narrow"/>
            <b/>
            <color rgb="FFFFFFFF"/>
            <sz val="11"/>
          </rPr>
          <t>How many refusals this role should have been told about and was not.</t>
        </r>
      </text>
    </comment>
    <comment ref="V1" authorId="0">
      <text>
        <r>
          <rPr>
            <rFont val="Aptos Narrow"/>
            <b/>
            <color rgb="FFFFFFFF"/>
            <sz val="11"/>
          </rPr>
          <t>How many current assignments of this role are unauthorized enforcement assignments.</t>
        </r>
      </text>
    </comment>
    <comment ref="W1" authorId="0">
      <text>
        <r>
          <rPr>
            <rFont val="Aptos Narrow"/>
            <b/>
            <color rgb="FFFFFFFF"/>
            <sz val="11"/>
          </rPr>
          <t>TRUE when a role that enforces controls on others is held with no recorded authorization.</t>
        </r>
      </text>
    </comment>
    <comment ref="X1" authorId="0">
      <text>
        <r>
          <rPr>
            <rFont val="Aptos Narrow"/>
            <b/>
            <color rgb="FFFFFFFF"/>
            <sz val="11"/>
          </rPr>
          <t>Exact semantic type IRI for the role.</t>
        </r>
      </text>
    </comment>
    <comment ref="B1" authorId="0">
      <text>
        <r>
          <rPr>
            <rFont val="Aptos Narrow"/>
            <b/>
            <color rgb="FFFFFFFF"/>
            <sz val="11"/>
          </rPr>
          <t>Human-readable calculated display alias for the Roles row.</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RoleAssignments row.</t>
        </r>
      </text>
    </comment>
    <comment ref="C1" authorId="0">
      <text>
        <r>
          <rPr>
            <rFont val="Aptos Narrow"/>
            <b/>
            <color rgb="FFFFFFFF"/>
            <sz val="11"/>
          </rPr>
          <t>Role held during the assignment.</t>
        </r>
      </text>
    </comment>
    <comment ref="D1" authorId="0">
      <text>
        <r>
          <rPr>
            <rFont val="Aptos Narrow"/>
            <b/>
            <color rgb="FFFFFFFF"/>
            <sz val="11"/>
          </rPr>
          <t>Agent holding the role.</t>
        </r>
      </text>
    </comment>
    <comment ref="E1" authorId="0">
      <text>
        <r>
          <rPr>
            <rFont val="Aptos Narrow"/>
            <b/>
            <color rgb="FFFFFFFF"/>
            <sz val="11"/>
          </rPr>
          <t>Start of the assignment's valid-time interval.</t>
        </r>
      </text>
    </comment>
    <comment ref="F1" authorId="0">
      <text>
        <r>
          <rPr>
            <rFont val="Aptos Narrow"/>
            <b/>
            <color rgb="FFFFFFFF"/>
            <sz val="11"/>
          </rPr>
          <t>End of the assignment's valid-time interval; null means open-ended.</t>
        </r>
      </text>
    </comment>
    <comment ref="G1" authorId="0">
      <text>
        <r>
          <rPr>
            <rFont val="Aptos Narrow"/>
            <b/>
            <color rgb="FFFFFFFF"/>
            <sz val="11"/>
          </rPr>
          <t>Rationale for the assignment or reassignment.</t>
        </r>
      </text>
    </comment>
    <comment ref="H1" authorId="0">
      <text>
        <r>
          <rPr>
            <rFont val="Aptos Narrow"/>
            <b/>
            <color rgb="FFFFFFFF"/>
            <sz val="11"/>
          </rPr>
          <t>Active, Superseded, Planned, or Revoked.</t>
        </r>
      </text>
    </comment>
    <comment ref="I1" authorId="0">
      <text>
        <r>
          <rPr>
            <rFont val="Aptos Narrow"/>
            <b/>
            <color rgb="FFFFFFFF"/>
            <sz val="11"/>
          </rPr>
          <t>The evaluation context this assignment's currency is judged under.</t>
        </r>
      </text>
    </comment>
    <comment ref="J1" authorId="0">
      <text>
        <r>
          <rPr>
            <rFont val="Aptos Narrow"/>
            <b/>
            <color rgb="FFFFFFFF"/>
            <sz val="11"/>
          </rPr>
          <t>The evaluation instant this assignment's currency is judged against.</t>
        </r>
      </text>
    </comment>
    <comment ref="K1" authorId="0">
      <text>
        <r>
          <rPr>
            <rFont val="Aptos Narrow"/>
            <b/>
            <color rgb="FFFFFFFF"/>
            <sz val="11"/>
          </rPr>
          <t>TRUE when the assignment is valid now.</t>
        </r>
      </text>
    </comment>
    <comment ref="L1" authorId="0">
      <text>
        <r>
          <rPr>
            <rFont val="Aptos Narrow"/>
            <b/>
            <color rgb="FFFFFFFF"/>
            <sz val="11"/>
          </rPr>
          <t>Echoes the Agent id only while this assignment is current; empty otherwise. Lets a parent count CURRENT assignments with a single-criterion COUNTIFS, which is the only shape this transpiler translates correctly.</t>
        </r>
      </text>
    </comment>
    <comment ref="M1" authorId="0">
      <text>
        <r>
          <rPr>
            <rFont val="Aptos Narrow"/>
            <b/>
            <color rgb="FFFFFFFF"/>
            <sz val="11"/>
          </rPr>
          <t>TRUE when this role assignment is active and has not lapsed.</t>
        </r>
      </text>
    </comment>
    <comment ref="N1" authorId="0">
      <text>
        <r>
          <rPr>
            <rFont val="Aptos Narrow"/>
            <b/>
            <color rgb="FFFFFFFF"/>
            <sz val="11"/>
          </rPr>
          <t>Composite agent+role key, emitted only for currently-valid assignments.</t>
        </r>
      </text>
    </comment>
    <comment ref="O1" authorId="0">
      <text>
        <r>
          <rPr>
            <rFont val="Aptos Narrow"/>
            <b/>
            <color rgb="FFFFFFFF"/>
            <sz val="11"/>
          </rPr>
          <t>TRUE when this role assignment has ended — the agent no longer holds the role.</t>
        </r>
      </text>
    </comment>
    <comment ref="P1" authorId="0">
      <text>
        <r>
          <rPr>
            <rFont val="Aptos Narrow"/>
            <b/>
            <color rgb="FFFFFFFF"/>
            <sz val="11"/>
          </rPr>
          <t>TRUE when this assignment is both status-Active and inside its valid-time window right now.</t>
        </r>
      </text>
    </comment>
    <comment ref="Q1" authorId="0">
      <text>
        <r>
          <rPr>
            <rFont val="Aptos Narrow"/>
            <b/>
            <color rgb="FFFFFFFF"/>
            <sz val="11"/>
          </rPr>
          <t>Echoes the role id when this assignment is currently in force, blank otherwise.</t>
        </r>
      </text>
    </comment>
    <comment ref="R1" authorId="0">
      <text>
        <r>
          <rPr>
            <rFont val="Aptos Narrow"/>
            <b/>
            <color rgb="FFFFFFFF"/>
            <sz val="11"/>
          </rPr>
          <t>Whether the agent holding this assignment is Human, AIAgent, or AutomatedPipeline.</t>
        </r>
      </text>
    </comment>
    <comment ref="S1" authorId="0">
      <text>
        <r>
          <rPr>
            <rFont val="Aptos Narrow"/>
            <b/>
            <color rgb="FFFFFFFF"/>
            <sz val="11"/>
          </rPr>
          <t>TRUE when this assignment places a non-human agent into the role.</t>
        </r>
      </text>
    </comment>
    <comment ref="T1" authorId="0">
      <text>
        <r>
          <rPr>
            <rFont val="Aptos Narrow"/>
            <b/>
            <color rgb="FFFFFFFF"/>
            <sz val="11"/>
          </rPr>
          <t>The assignment this one replaced, if any.</t>
        </r>
      </text>
    </comment>
    <comment ref="U1" authorId="0">
      <text>
        <r>
          <rPr>
            <rFont val="Aptos Narrow"/>
            <b/>
            <color rgb="FFFFFFFF"/>
            <sz val="11"/>
          </rPr>
          <t>Agent kind of the assignment this one superseded.</t>
        </r>
      </text>
    </comment>
    <comment ref="V1" authorId="0">
      <text>
        <r>
          <rPr>
            <rFont val="Aptos Narrow"/>
            <b/>
            <color rgb="FFFFFFFF"/>
            <sz val="11"/>
          </rPr>
          <t>TRUE when this assignment handed a role from a human to a non-human agent.</t>
        </r>
      </text>
    </comment>
    <comment ref="W1" authorId="0">
      <text>
        <r>
          <rPr>
            <rFont val="Aptos Narrow"/>
            <b/>
            <color rgb="FFFFFFFF"/>
            <sz val="11"/>
          </rPr>
          <t>Role that approved this assignment.</t>
        </r>
      </text>
    </comment>
    <comment ref="X1" authorId="0">
      <text>
        <r>
          <rPr>
            <rFont val="Aptos Narrow"/>
            <b/>
            <color rgb="FFFFFFFF"/>
            <sz val="11"/>
          </rPr>
          <t>Change request under which this assignment was approved.</t>
        </r>
      </text>
    </comment>
    <comment ref="Y1" authorId="0">
      <text>
        <r>
          <rPr>
            <rFont val="Aptos Narrow"/>
            <b/>
            <color rgb="FFFFFFFF"/>
            <sz val="11"/>
          </rPr>
          <t>TRUE when a non-human agent holds this role with no approving authority recorded at all. An authority named without a change request is still an authority; the separate WasAuthorizedByChangeRequest column carries that weaker distinction.</t>
        </r>
      </text>
    </comment>
    <comment ref="Z1" authorId="0">
      <text>
        <r>
          <rPr>
            <rFont val="Aptos Narrow"/>
            <b/>
            <color rgb="FFFFFFFF"/>
            <sz val="11"/>
          </rPr>
          <t>TRUE when this assignment's authorization is traceable to a change request, not merely to a named role. The stronger form of authorization, kept separate so the weaker one is not silently reported as unauthorized.</t>
        </r>
      </text>
    </comment>
    <comment ref="AA1" authorId="0">
      <text>
        <r>
          <rPr>
            <rFont val="Aptos Narrow"/>
            <b/>
            <color rgb="FFFFFFFF"/>
            <sz val="11"/>
          </rPr>
          <t>Decisions made under this assignment.</t>
        </r>
      </text>
    </comment>
    <comment ref="AB1" authorId="0">
      <text>
        <r>
          <rPr>
            <rFont val="Aptos Narrow"/>
            <b/>
            <color rgb="FFFFFFFF"/>
            <sz val="11"/>
          </rPr>
          <t>Decisions made under this assignment that a human corrected or reversed.</t>
        </r>
      </text>
    </comment>
    <comment ref="AC1" authorId="0">
      <text>
        <r>
          <rPr>
            <rFont val="Aptos Narrow"/>
            <b/>
            <color rgb="FFFFFFFF"/>
            <sz val="11"/>
          </rPr>
          <t>Percentage of decisions under this assignment that a human overrode.</t>
        </r>
      </text>
    </comment>
    <comment ref="AD1" authorId="0">
      <text>
        <r>
          <rPr>
            <rFont val="Aptos Narrow"/>
            <b/>
            <color rgb="FFFFFFFF"/>
            <sz val="11"/>
          </rPr>
          <t>Override rate of the assignment this one superseded.</t>
        </r>
      </text>
    </comment>
    <comment ref="AE1" authorId="0">
      <text>
        <r>
          <rPr>
            <rFont val="Aptos Narrow"/>
            <b/>
            <color rgb="FFFFFFFF"/>
            <sz val="11"/>
          </rPr>
          <t>TRUE when this assignment is overridden by humans more often than the assignment it replaced.</t>
        </r>
      </text>
    </comment>
    <comment ref="AF1" authorId="0">
      <text>
        <r>
          <rPr>
            <rFont val="Aptos Narrow"/>
            <b/>
            <color rgb="FFFFFFFF"/>
            <sz val="11"/>
          </rPr>
          <t>Composite-key echo: the role this assignment covered when the assignment has ended, blank otherwise.</t>
        </r>
      </text>
    </comment>
    <comment ref="AG1" authorId="0">
      <text>
        <r>
          <rPr>
            <rFont val="Aptos Narrow"/>
            <b/>
            <color rgb="FFFFFFFF"/>
            <sz val="11"/>
          </rPr>
          <t>The number of decisions below which an override-rate comparison is not considered evidentially meaningful for this role.</t>
        </r>
      </text>
    </comment>
    <comment ref="AH1" authorId="0">
      <text>
        <r>
          <rPr>
            <rFont val="Aptos Narrow"/>
            <b/>
            <color rgb="FFFFFFFF"/>
            <sz val="11"/>
          </rPr>
          <t>How many decisions the superseded assignment produced.</t>
        </r>
      </text>
    </comment>
    <comment ref="AI1" authorId="0">
      <text>
        <r>
          <rPr>
            <rFont val="Aptos Narrow"/>
            <b/>
            <color rgb="FFFFFFFF"/>
            <sz val="11"/>
          </rPr>
          <t>TRUE when this assignment has produced enough decisions for its override rate to mean anything.</t>
        </r>
      </text>
    </comment>
    <comment ref="AJ1" authorId="0">
      <text>
        <r>
          <rPr>
            <rFont val="Aptos Narrow"/>
            <b/>
            <color rgb="FFFFFFFF"/>
            <sz val="11"/>
          </rPr>
          <t>TRUE when the predecessor assignment produced enough decisions to compare against.</t>
        </r>
      </text>
    </comment>
    <comment ref="AK1" authorId="0">
      <text>
        <r>
          <rPr>
            <rFont val="Aptos Narrow"/>
            <b/>
            <color rgb="FFFFFFFF"/>
            <sz val="11"/>
          </rPr>
          <t>TRUE when both sides of the override-rate comparison rest on adequate samples.</t>
        </r>
      </text>
    </comment>
    <comment ref="AL1" authorId="0">
      <text>
        <r>
          <rPr>
            <rFont val="Aptos Narrow"/>
            <b/>
            <color rgb="FFFFFFFF"/>
            <sz val="11"/>
          </rPr>
          <t>How many percentage points one additional override would move this assignment's rate. The fragility of the number.</t>
        </r>
      </text>
    </comment>
    <comment ref="AM1" authorId="0">
      <text>
        <r>
          <rPr>
            <rFont val="Aptos Narrow"/>
            <b/>
            <color rgb="FFFFFFFF"/>
            <sz val="11"/>
          </rPr>
          <t>TRUE when a quality verdict is being reported for this assignment on a sample too small to support it.</t>
        </r>
      </text>
    </comment>
    <comment ref="AN1" authorId="0">
      <text>
        <r>
          <rPr>
            <rFont val="Aptos Narrow"/>
            <b/>
            <color rgb="FFFFFFFF"/>
            <sz val="11"/>
          </rPr>
          <t>TRUE when a human-to-machine handover is operating without a statistically meaningful quality comparison behind it.</t>
        </r>
      </text>
    </comment>
    <comment ref="AO1" authorId="0">
      <text>
        <r>
          <rPr>
            <rFont val="Aptos Narrow"/>
            <b/>
            <color rgb="FFFFFFFF"/>
            <sz val="11"/>
          </rPr>
          <t>How many of this assignment's decisions were overridden because they were wrong.</t>
        </r>
      </text>
    </comment>
    <comment ref="AP1" authorId="0">
      <text>
        <r>
          <rPr>
            <rFont val="Aptos Narrow"/>
            <b/>
            <color rgb="FFFFFFFF"/>
            <sz val="11"/>
          </rPr>
          <t>Percentage of this assignment's decisions overridden as errors -- the override rate with reserved-judgment overrides removed.</t>
        </r>
      </text>
    </comment>
    <comment ref="AQ1" authorId="0">
      <text>
        <r>
          <rPr>
            <rFont val="Aptos Narrow"/>
            <b/>
            <color rgb="FFFFFFFF"/>
            <sz val="11"/>
          </rPr>
          <t>When the approving authority actually granted this assignment. Empty when no authorization was ever recorded.</t>
        </r>
      </text>
    </comment>
    <comment ref="AR1" authorId="0">
      <text>
        <r>
          <rPr>
            <rFont val="Aptos Narrow"/>
            <b/>
            <color rgb="FFFFFFFF"/>
            <sz val="11"/>
          </rPr>
          <t>When the authorization for this assignment was last re-examined.</t>
        </r>
      </text>
    </comment>
    <comment ref="AS1" authorId="0">
      <text>
        <r>
          <rPr>
            <rFont val="Aptos Narrow"/>
            <b/>
            <color rgb="FFFFFFFF"/>
            <sz val="11"/>
          </rPr>
          <t>How often this assignment's authorization is promised to be re-examined.</t>
        </r>
      </text>
    </comment>
    <comment ref="AT1" authorId="0">
      <text>
        <r>
          <rPr>
            <rFont val="Aptos Narrow"/>
            <b/>
            <color rgb="FFFFFFFF"/>
            <sz val="11"/>
          </rPr>
          <t>TRUE when this assignment carries both a named approving authority and the date they granted it.</t>
        </r>
      </text>
    </comment>
    <comment ref="AU1" authorId="0">
      <text>
        <r>
          <rPr>
            <rFont val="Aptos Narrow"/>
            <b/>
            <color rgb="FFFFFFFF"/>
            <sz val="11"/>
          </rPr>
          <t>How long since this assignment's authorization was last re-examined.</t>
        </r>
      </text>
    </comment>
    <comment ref="AV1" authorId="0">
      <text>
        <r>
          <rPr>
            <rFont val="Aptos Narrow"/>
            <b/>
            <color rgb="FFFFFFFF"/>
            <sz val="11"/>
          </rPr>
          <t>TRUE when the promised re-examination interval has elapsed without a review.</t>
        </r>
      </text>
    </comment>
    <comment ref="AW1" authorId="0">
      <text>
        <r>
          <rPr>
            <rFont val="Aptos Narrow"/>
            <b/>
            <color rgb="FFFFFFFF"/>
            <sz val="11"/>
          </rPr>
          <t>TRUE when a currently-active non-human assignment has been running past its authorization review date.</t>
        </r>
      </text>
    </comment>
    <comment ref="AX1" authorId="0">
      <text>
        <r>
          <rPr>
            <rFont val="Aptos Narrow"/>
            <b/>
            <color rgb="FFFFFFFF"/>
            <sz val="11"/>
          </rPr>
          <t>TRUE when a human-to-machine handover was authorized with no promised review cadence at all -- granted once, permanently.</t>
        </r>
      </text>
    </comment>
    <comment ref="AY1" authorId="0">
      <text>
        <r>
          <rPr>
            <rFont val="Aptos Narrow"/>
            <b/>
            <color rgb="FFFFFFFF"/>
            <sz val="11"/>
          </rPr>
          <t>The error rate at or above which this assignment must stop making decisions unaided.</t>
        </r>
      </text>
    </comment>
    <comment ref="AZ1" authorId="0">
      <text>
        <r>
          <rPr>
            <rFont val="Aptos Narrow"/>
            <b/>
            <color rgb="FFFFFFFF"/>
            <sz val="11"/>
          </rPr>
          <t>TRUE when this assignment's error rate has reached the threshold set when it was authorized.</t>
        </r>
      </text>
    </comment>
    <comment ref="BA1" authorId="0">
      <text>
        <r>
          <rPr>
            <rFont val="Aptos Narrow"/>
            <b/>
            <color rgb="FFFFFFFF"/>
            <sz val="11"/>
          </rPr>
          <t>How many decisions under this assignment violated an authority boundary.</t>
        </r>
      </text>
    </comment>
    <comment ref="BB1" authorId="0">
      <text>
        <r>
          <rPr>
            <rFont val="Aptos Narrow"/>
            <b/>
            <color rgb="FFFFFFFF"/>
            <sz val="11"/>
          </rPr>
          <t>TRUE when any decision under this assignment crossed a boundary it was forbidden to cross.</t>
        </r>
      </text>
    </comment>
    <comment ref="BC1" authorId="0">
      <text>
        <r>
          <rPr>
            <rFont val="Aptos Narrow"/>
            <b/>
            <color rgb="FFFFFFFF"/>
            <sz val="11"/>
          </rPr>
          <t>TRUE when at least one boundary constraining this assignment's role rests on lapsed knowledge.</t>
        </r>
      </text>
    </comment>
    <comment ref="BD1" authorId="0">
      <text>
        <r>
          <rPr>
            <rFont val="Aptos Narrow"/>
            <b/>
            <color rgb="FFFFFFFF"/>
            <sz val="11"/>
          </rPr>
          <t>TRUE when any pre-declared condition requiring this assignment to stop deciding unaided has been met.</t>
        </r>
      </text>
    </comment>
    <comment ref="BE1" authorId="0">
      <text>
        <r>
          <rPr>
            <rFont val="Aptos Narrow"/>
            <b/>
            <color rgb="FFFFFFFF"/>
            <sz val="11"/>
          </rPr>
          <t>TRUE when a suspension condition has been met and the assignment is nonetheless still active and still deciding.</t>
        </r>
      </text>
    </comment>
    <comment ref="BF1" authorId="0">
      <text>
        <r>
          <rPr>
            <rFont val="Aptos Narrow"/>
            <b/>
            <color rgb="FFFFFFFF"/>
            <sz val="11"/>
          </rPr>
          <t>TRUE when this assignment has any pre-declared condition under which it must stop at all.</t>
        </r>
      </text>
    </comment>
    <comment ref="BG1" authorId="0">
      <text>
        <r>
          <rPr>
            <rFont val="Aptos Narrow"/>
            <b/>
            <color rgb="FFFFFFFF"/>
            <sz val="11"/>
          </rPr>
          <t>TRUE when a role is recorded as having approved this assignment.</t>
        </r>
      </text>
    </comment>
    <comment ref="BH1" authorId="0">
      <text>
        <r>
          <rPr>
            <rFont val="Aptos Narrow"/>
            <b/>
            <color rgb="FFFFFFFF"/>
            <sz val="11"/>
          </rPr>
          <t>TRUE when a change request is recorded as the governance vehicle for this assignment.</t>
        </r>
      </text>
    </comment>
    <comment ref="BI1" authorId="0">
      <text>
        <r>
          <rPr>
            <rFont val="Aptos Narrow"/>
            <b/>
            <color rgb="FFFFFFFF"/>
            <sz val="11"/>
          </rPr>
          <t>Whether this role's function is to enforce controls on other agents' actions.</t>
        </r>
      </text>
    </comment>
    <comment ref="BJ1" authorId="0">
      <text>
        <r>
          <rPr>
            <rFont val="Aptos Narrow"/>
            <b/>
            <color rgb="FFFFFFFF"/>
            <sz val="11"/>
          </rPr>
          <t>TRUE when a non-human agent enforces controls on others while holding no recorded authorization of its own.</t>
        </r>
      </text>
    </comment>
    <comment ref="BK1" authorId="0">
      <text>
        <r>
          <rPr>
            <rFont val="Aptos Narrow"/>
            <b/>
            <color rgb="FFFFFFFF"/>
            <sz val="11"/>
          </rPr>
          <t>How many independent governance artifacts back this assignment: an approving role, an authorizing change request.</t>
        </r>
      </text>
    </comment>
    <comment ref="BL1" authorId="0">
      <text>
        <r>
          <rPr>
            <rFont val="Aptos Narrow"/>
            <b/>
            <color rgb="FFFFFFFF"/>
            <sz val="11"/>
          </rPr>
          <t>Echoes the role only for non-human assignments nobody authorized; empty otherwise.</t>
        </r>
      </text>
    </comment>
    <comment ref="BM1" authorId="0">
      <text>
        <r>
          <rPr>
            <rFont val="Aptos Narrow"/>
            <b/>
            <color rgb="FFFFFFFF"/>
            <sz val="11"/>
          </rPr>
          <t>Exact class IRI for the assignment event.</t>
        </r>
      </text>
    </comment>
    <comment ref="B1" authorId="0">
      <text>
        <r>
          <rPr>
            <rFont val="Aptos Narrow"/>
            <b/>
            <color rgb="FFFFFFFF"/>
            <sz val="11"/>
          </rPr>
          <t>Human-readable calculated display alias for the RoleAssignments row.</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CommunitiesOfPractice row.</t>
        </r>
      </text>
    </comment>
    <comment ref="C1" authorId="0">
      <text>
        <r>
          <rPr>
            <rFont val="Aptos Narrow"/>
            <b/>
            <color rgb="FFFFFFFF"/>
            <sz val="11"/>
          </rPr>
          <t>Community's human-readable name.</t>
        </r>
      </text>
    </comment>
    <comment ref="D1" authorId="0">
      <text>
        <r>
          <rPr>
            <rFont val="Aptos Narrow"/>
            <b/>
            <color rgb="FFFFFFFF"/>
            <sz val="11"/>
          </rPr>
          <t>Organization hosting the community.</t>
        </r>
      </text>
    </comment>
    <comment ref="E1" authorId="0">
      <text>
        <r>
          <rPr>
            <rFont val="Aptos Narrow"/>
            <b/>
            <color rgb="FFFFFFFF"/>
            <sz val="11"/>
          </rPr>
          <t>Role accountable for convening and maintaining the community.</t>
        </r>
      </text>
    </comment>
    <comment ref="F1" authorId="0">
      <text>
        <r>
          <rPr>
            <rFont val="Aptos Narrow"/>
            <b/>
            <color rgb="FFFFFFFF"/>
            <sz val="11"/>
          </rPr>
          <t>Shared practice and knowledge-transfer purpose.</t>
        </r>
      </text>
    </comment>
    <comment ref="G1" authorId="0">
      <text>
        <r>
          <rPr>
            <rFont val="Aptos Narrow"/>
            <b/>
            <color rgb="FFFFFFFF"/>
            <sz val="11"/>
          </rPr>
          <t>Meeting or practice cadence.</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CommunitiesOfPractice row.</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Mentorships row.</t>
        </r>
      </text>
    </comment>
    <comment ref="C1" authorId="0">
      <text>
        <r>
          <rPr>
            <rFont val="Aptos Narrow"/>
            <b/>
            <color rgb="FFFFFFFF"/>
            <sz val="11"/>
          </rPr>
          <t>Community in which the mentorship operates.</t>
        </r>
      </text>
    </comment>
    <comment ref="D1" authorId="0">
      <text>
        <r>
          <rPr>
            <rFont val="Aptos Narrow"/>
            <b/>
            <color rgb="FFFFFFFF"/>
            <sz val="11"/>
          </rPr>
          <t>Experienced practitioner serving as mentor.</t>
        </r>
      </text>
    </comment>
    <comment ref="E1" authorId="0">
      <text>
        <r>
          <rPr>
            <rFont val="Aptos Narrow"/>
            <b/>
            <color rgb="FFFFFFFF"/>
            <sz val="11"/>
          </rPr>
          <t>Practitioner learning the procedure.</t>
        </r>
      </text>
    </comment>
    <comment ref="F1" authorId="0">
      <text>
        <r>
          <rPr>
            <rFont val="Aptos Narrow"/>
            <b/>
            <color rgb="FFFFFFFF"/>
            <sz val="11"/>
          </rPr>
          <t>Mentorship start.</t>
        </r>
      </text>
    </comment>
    <comment ref="G1" authorId="0">
      <text>
        <r>
          <rPr>
            <rFont val="Aptos Narrow"/>
            <b/>
            <color rgb="FFFFFFFF"/>
            <sz val="11"/>
          </rPr>
          <t>Mentorship end.</t>
        </r>
      </text>
    </comment>
    <comment ref="H1" authorId="0">
      <text>
        <r>
          <rPr>
            <rFont val="Aptos Narrow"/>
            <b/>
            <color rgb="FFFFFFFF"/>
            <sz val="11"/>
          </rPr>
          <t>Procedural capability to be transferred.</t>
        </r>
      </text>
    </comment>
    <comment ref="I1" authorId="0">
      <text>
        <r>
          <rPr>
            <rFont val="Aptos Narrow"/>
            <b/>
            <color rgb="FFFFFFFF"/>
            <sz val="11"/>
          </rPr>
          <t>Evidence showing completion or competence.</t>
        </r>
      </text>
    </comment>
    <comment ref="J1" authorId="0">
      <text>
        <r>
          <rPr>
            <rFont val="Aptos Narrow"/>
            <b/>
            <color rgb="FFFFFFFF"/>
            <sz val="11"/>
          </rPr>
          <t>Extension class IRI.</t>
        </r>
      </text>
    </comment>
    <comment ref="B1" authorId="0">
      <text>
        <r>
          <rPr>
            <rFont val="Aptos Narrow"/>
            <b/>
            <color rgb="FFFFFFFF"/>
            <sz val="11"/>
          </rPr>
          <t>Human-readable calculated display alias for the Mentorships row.</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ProcedureTypes row.</t>
        </r>
      </text>
    </comment>
    <comment ref="C1" authorId="0">
      <text>
        <r>
          <rPr>
            <rFont val="Aptos Narrow"/>
            <b/>
            <color rgb="FFFFFFFF"/>
            <sz val="11"/>
          </rPr>
          <t>Procedure type label.</t>
        </r>
      </text>
    </comment>
    <comment ref="D1" authorId="0">
      <text>
        <r>
          <rPr>
            <rFont val="Aptos Narrow"/>
            <b/>
            <color rgb="FFFFFFFF"/>
            <sz val="11"/>
          </rPr>
          <t>Definition and scope of the procedure type.</t>
        </r>
      </text>
    </comment>
    <comment ref="E1" authorId="0">
      <text>
        <r>
          <rPr>
            <rFont val="Aptos Narrow"/>
            <b/>
            <color rgb="FFFFFFFF"/>
            <sz val="11"/>
          </rPr>
          <t>Exact class IRI for procedure types.</t>
        </r>
      </text>
    </comment>
    <comment ref="B1" authorId="0">
      <text>
        <r>
          <rPr>
            <rFont val="Aptos Narrow"/>
            <b/>
            <color rgb="FFFFFFFF"/>
            <sz val="11"/>
          </rPr>
          <t>Human-readable calculated display alias for the ProcedureTypes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 row.</t>
        </r>
      </text>
    </comment>
    <comment ref="C1" authorId="0">
      <text>
        <r>
          <rPr>
            <rFont val="Aptos Narrow"/>
            <b/>
            <color rgb="FFFFFFFF"/>
            <sz val="11"/>
          </rPr>
          <t>Human-readable title; maps to dcterms:title.</t>
        </r>
      </text>
    </comment>
    <comment ref="D1" authorId="0">
      <text>
        <r>
          <rPr>
            <rFont val="Aptos Narrow"/>
            <b/>
            <color rgb="FFFFFFFF"/>
            <sz val="11"/>
          </rPr>
          <t>Procedure type; maps to pko:hasProcedureType.</t>
        </r>
      </text>
    </comment>
    <comment ref="E1" authorId="0">
      <text>
        <r>
          <rPr>
            <rFont val="Aptos Narrow"/>
            <b/>
            <color rgb="FFFFFFFF"/>
            <sz val="11"/>
          </rPr>
          <t>Organization that owns the procedure.</t>
        </r>
      </text>
    </comment>
    <comment ref="F1" authorId="0">
      <text>
        <r>
          <rPr>
            <rFont val="Aptos Narrow"/>
            <b/>
            <color rgb="FFFFFFFF"/>
            <sz val="11"/>
          </rPr>
          <t>Organization that adopts the procedure; maps to pko:isAdoptedBy.</t>
        </r>
      </text>
    </comment>
    <comment ref="G1" authorId="0">
      <text>
        <r>
          <rPr>
            <rFont val="Aptos Narrow"/>
            <b/>
            <color rgb="FFFFFFFF"/>
            <sz val="11"/>
          </rPr>
          <t>Desired outcome and scope of the procedure.</t>
        </r>
      </text>
    </comment>
    <comment ref="H1" authorId="0">
      <text>
        <r>
          <rPr>
            <rFont val="Aptos Narrow"/>
            <b/>
            <color rgb="FFFFFFFF"/>
            <sz val="11"/>
          </rPr>
          <t>Thing or population on which the procedure acts; maps to pko:hasProcedureTarget.</t>
        </r>
      </text>
    </comment>
    <comment ref="I1" authorId="0">
      <text>
        <r>
          <rPr>
            <rFont val="Aptos Narrow"/>
            <b/>
            <color rgb="FFFFFFFF"/>
            <sz val="11"/>
          </rPr>
          <t>TRUE when the procedure is a reusable template; maps to pko:isTemplate.</t>
        </r>
      </text>
    </comment>
    <comment ref="J1" authorId="0">
      <text>
        <r>
          <rPr>
            <rFont val="Aptos Narrow"/>
            <b/>
            <color rgb="FFFFFFFF"/>
            <sz val="11"/>
          </rPr>
          <t>Current version identifier, mirrored structurally by ProcedureVersions.IsCurrent.</t>
        </r>
      </text>
    </comment>
    <comment ref="K1" authorId="0">
      <text>
        <r>
          <rPr>
            <rFont val="Aptos Narrow"/>
            <b/>
            <color rgb="FFFFFFFF"/>
            <sz val="11"/>
          </rPr>
          <t>Exact PKO class IRI.</t>
        </r>
      </text>
    </comment>
    <comment ref="B1" authorId="0">
      <text>
        <r>
          <rPr>
            <rFont val="Aptos Narrow"/>
            <b/>
            <color rgb="FFFFFFFF"/>
            <sz val="11"/>
          </rPr>
          <t>Human-readable calculated display alias for the Procedures row.</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ProcedureVersions row.</t>
        </r>
      </text>
    </comment>
    <comment ref="C1" authorId="0">
      <text>
        <r>
          <rPr>
            <rFont val="Aptos Narrow"/>
            <b/>
            <color rgb="FFFFFFFF"/>
            <sz val="11"/>
          </rPr>
          <t>Abstract procedure of which this is a version.</t>
        </r>
      </text>
    </comment>
    <comment ref="D1" authorId="0">
      <text>
        <r>
          <rPr>
            <rFont val="Aptos Narrow"/>
            <b/>
            <color rgb="FFFFFFFF"/>
            <sz val="11"/>
          </rPr>
          <t>Version number; maps to pko:versionNumber.</t>
        </r>
      </text>
    </comment>
    <comment ref="E1" authorId="0">
      <text>
        <r>
          <rPr>
            <rFont val="Aptos Narrow"/>
            <b/>
            <color rgb="FFFFFFFF"/>
            <sz val="11"/>
          </rPr>
          <t>Version-specific title.</t>
        </r>
      </text>
    </comment>
    <comment ref="F1" authorId="0">
      <text>
        <r>
          <rPr>
            <rFont val="Aptos Narrow"/>
            <b/>
            <color rgb="FFFFFFFF"/>
            <sz val="11"/>
          </rPr>
          <t>PKO procedure status individual: Draft, Validation, Approval, Approved, Deprecated, or Archived.</t>
        </r>
      </text>
    </comment>
    <comment ref="G1" authorId="0">
      <text>
        <r>
          <rPr>
            <rFont val="Aptos Narrow"/>
            <b/>
            <color rgb="FFFFFFFF"/>
            <sz val="11"/>
          </rPr>
          <t>Issue timestamp; maps to dcterms:issued.</t>
        </r>
      </text>
    </comment>
    <comment ref="H1" authorId="0">
      <text>
        <r>
          <rPr>
            <rFont val="Aptos Narrow"/>
            <b/>
            <color rgb="FFFFFFFF"/>
            <sz val="11"/>
          </rPr>
          <t>Last semantic modification; maps to dcterms:modified.</t>
        </r>
      </text>
    </comment>
    <comment ref="I1" authorId="0">
      <text>
        <r>
          <rPr>
            <rFont val="Aptos Narrow"/>
            <b/>
            <color rgb="FFFFFFFF"/>
            <sz val="11"/>
          </rPr>
          <t>Agent that created the version; maps to dcterms:creator.</t>
        </r>
      </text>
    </comment>
    <comment ref="J1" authorId="0">
      <text>
        <r>
          <rPr>
            <rFont val="Aptos Narrow"/>
            <b/>
            <color rgb="FFFFFFFF"/>
            <sz val="11"/>
          </rPr>
          <t>Agent that last modified the version; maps to pko:wasModifiedBy.</t>
        </r>
      </text>
    </comment>
    <comment ref="K1" authorId="0">
      <text>
        <r>
          <rPr>
            <rFont val="Aptos Narrow"/>
            <b/>
            <color rgb="FFFFFFFF"/>
            <sz val="11"/>
          </rPr>
          <t>Reason for the new version; maps to pko:newVersionMotivation.</t>
        </r>
      </text>
    </comment>
    <comment ref="L1" authorId="0">
      <text>
        <r>
          <rPr>
            <rFont val="Aptos Narrow"/>
            <b/>
            <color rgb="FFFFFFFF"/>
            <sz val="11"/>
          </rPr>
          <t>Semantic change description; maps to pko:changelogDescription.</t>
        </r>
      </text>
    </comment>
    <comment ref="M1" authorId="0">
      <text>
        <r>
          <rPr>
            <rFont val="Aptos Narrow"/>
            <b/>
            <color rgb="FFFFFFFF"/>
            <sz val="11"/>
          </rPr>
          <t>TRUE when this is the current version.</t>
        </r>
      </text>
    </comment>
    <comment ref="N1" authorId="0">
      <text>
        <r>
          <rPr>
            <rFont val="Aptos Narrow"/>
            <b/>
            <color rgb="FFFFFFFF"/>
            <sz val="11"/>
          </rPr>
          <t>Number of steps in this version.</t>
        </r>
      </text>
    </comment>
    <comment ref="O1" authorId="0">
      <text>
        <r>
          <rPr>
            <rFont val="Aptos Narrow"/>
            <b/>
            <color rgb="FFFFFFFF"/>
            <sz val="11"/>
          </rPr>
          <t>Open knowledge gaps for this version.</t>
        </r>
      </text>
    </comment>
    <comment ref="P1" authorId="0">
      <text>
        <r>
          <rPr>
            <rFont val="Aptos Narrow"/>
            <b/>
            <color rgb="FFFFFFFF"/>
            <sz val="11"/>
          </rPr>
          <t>TRUE when approved, populated, and free of blocking knowledge gaps.</t>
        </r>
      </text>
    </comment>
    <comment ref="Q1" authorId="0">
      <text>
        <r>
          <rPr>
            <rFont val="Aptos Narrow"/>
            <b/>
            <color rgb="FFFFFFFF"/>
            <sz val="11"/>
          </rPr>
          <t>How many steps the specification defines for this version.</t>
        </r>
      </text>
    </comment>
    <comment ref="R1" authorId="0">
      <text>
        <r>
          <rPr>
            <rFont val="Aptos Narrow"/>
            <b/>
            <color rgb="FFFFFFFF"/>
            <sz val="11"/>
          </rPr>
          <t>How many reviews of this procedure version are past due.</t>
        </r>
      </text>
    </comment>
    <comment ref="S1" authorId="0">
      <text>
        <r>
          <rPr>
            <rFont val="Aptos Narrow"/>
            <b/>
            <color rgb="FFFFFFFF"/>
            <sz val="11"/>
          </rPr>
          <t>How many change requests are open against this version.</t>
        </r>
      </text>
    </comment>
    <comment ref="T1" authorId="0">
      <text>
        <r>
          <rPr>
            <rFont val="Aptos Narrow"/>
            <b/>
            <color rgb="FFFFFFFF"/>
            <sz val="11"/>
          </rPr>
          <t>How many high-severity knowledge gaps are open against this version.</t>
        </r>
      </text>
    </comment>
    <comment ref="U1" authorId="0">
      <text>
        <r>
          <rPr>
            <rFont val="Aptos Narrow"/>
            <b/>
            <color rgb="FFFFFFFF"/>
            <sz val="11"/>
          </rPr>
          <t>TRUE when this version is approved, current on review, and carries no open change request or high-severity gap.</t>
        </r>
      </text>
    </comment>
    <comment ref="V1" authorId="0">
      <text>
        <r>
          <rPr>
            <rFont val="Aptos Narrow"/>
            <b/>
            <color rgb="FFFFFFFF"/>
            <sz val="11"/>
          </rPr>
          <t>The review cadence promised by this version's stewardship assignment, in days. Summed because a version has at most one active steward; this is the hop that lets ReviewEvents resolve the promise via a primary-key match.</t>
        </r>
      </text>
    </comment>
    <comment ref="W1" authorId="0">
      <text>
        <r>
          <rPr>
            <rFont val="Aptos Narrow"/>
            <b/>
            <color rgb="FFFFFFFF"/>
            <sz val="11"/>
          </rPr>
          <t>How many stewardship assignments of any vintage point at this version.</t>
        </r>
      </text>
    </comment>
    <comment ref="X1" authorId="0">
      <text>
        <r>
          <rPr>
            <rFont val="Aptos Narrow"/>
            <b/>
            <color rgb="FFFFFFFF"/>
            <sz val="11"/>
          </rPr>
          <t>TRUE if any stewardship assignment has ever named this version.</t>
        </r>
      </text>
    </comment>
    <comment ref="Y1" authorId="0">
      <text>
        <r>
          <rPr>
            <rFont val="Aptos Narrow"/>
            <b/>
            <color rgb="FFFFFFFF"/>
            <sz val="11"/>
          </rPr>
          <t>TRUE when this version is in a state where somebody could execute it.</t>
        </r>
      </text>
    </comment>
    <comment ref="Z1" authorId="0">
      <text>
        <r>
          <rPr>
            <rFont val="Aptos Narrow"/>
            <b/>
            <color rgb="FFFFFFFF"/>
            <sz val="11"/>
          </rPr>
          <t>TRUE when no stewardship assignment names this version.</t>
        </r>
      </text>
    </comment>
    <comment ref="AA1" authorId="0">
      <text>
        <r>
          <rPr>
            <rFont val="Aptos Narrow"/>
            <b/>
            <color rgb="FFFFFFFF"/>
            <sz val="11"/>
          </rPr>
          <t>TRUE when an executable version has nobody accountable for keeping it healthy.</t>
        </r>
      </text>
    </comment>
    <comment ref="AB1" authorId="0">
      <text>
        <r>
          <rPr>
            <rFont val="Aptos Narrow"/>
            <b/>
            <color rgb="FFFFFFFF"/>
            <sz val="11"/>
          </rPr>
          <t>How many open blocking gaps stand against this version.</t>
        </r>
      </text>
    </comment>
    <comment ref="AC1" authorId="0">
      <text>
        <r>
          <rPr>
            <rFont val="Aptos Narrow"/>
            <b/>
            <color rgb="FFFFFFFF"/>
            <sz val="11"/>
          </rPr>
          <t>TRUE when at least one open blocking gap stands against this version.</t>
        </r>
      </text>
    </comment>
    <comment ref="AD1" authorId="0">
      <text>
        <r>
          <rPr>
            <rFont val="Aptos Narrow"/>
            <b/>
            <color rgb="FFFFFFFF"/>
            <sz val="11"/>
          </rPr>
          <t>TRUE when an executable version carries an unresolved blocking knowledge gap.</t>
        </r>
      </text>
    </comment>
    <comment ref="AE1" authorId="0">
      <text>
        <r>
          <rPr>
            <rFont val="Aptos Narrow"/>
            <b/>
            <color rgb="FFFFFFFF"/>
            <sz val="11"/>
          </rPr>
          <t>TRUE when the model says this version is ready to execute while a blocking gap is open against it.</t>
        </r>
      </text>
    </comment>
    <comment ref="AF1" authorId="0">
      <text>
        <r>
          <rPr>
            <rFont val="Aptos Narrow"/>
            <b/>
            <color rgb="FFFFFFFF"/>
            <sz val="11"/>
          </rPr>
          <t>How many unapproved claims this version is relying on.</t>
        </r>
      </text>
    </comment>
    <comment ref="AG1" authorId="0">
      <text>
        <r>
          <rPr>
            <rFont val="Aptos Narrow"/>
            <b/>
            <color rgb="FFFFFFFF"/>
            <sz val="11"/>
          </rPr>
          <t>TRUE when this version depends on at least one claim the knowledge authority has not approved.</t>
        </r>
      </text>
    </comment>
    <comment ref="AH1" authorId="0">
      <text>
        <r>
          <rPr>
            <rFont val="Aptos Narrow"/>
            <b/>
            <color rgb="FFFFFFFF"/>
            <sz val="11"/>
          </rPr>
          <t>How many acknowledged unknowns against this version have outlived their tolerance.</t>
        </r>
      </text>
    </comment>
    <comment ref="AI1" authorId="0">
      <text>
        <r>
          <rPr>
            <rFont val="Aptos Narrow"/>
            <b/>
            <color rgb="FFFFFFFF"/>
            <sz val="11"/>
          </rPr>
          <t>How many change requests have ever been raised against this version.</t>
        </r>
      </text>
    </comment>
    <comment ref="AJ1" authorId="0">
      <text>
        <r>
          <rPr>
            <rFont val="Aptos Narrow"/>
            <b/>
            <color rgb="FFFFFFFF"/>
            <sz val="11"/>
          </rPr>
          <t>How many review events have ever been recorded against this version.</t>
        </r>
      </text>
    </comment>
    <comment ref="AK1" authorId="0">
      <text>
        <r>
          <rPr>
            <rFont val="Aptos Narrow"/>
            <b/>
            <color rgb="FFFFFFFF"/>
            <sz val="11"/>
          </rPr>
          <t>TRUE when at least one change request or review event exists for this version.</t>
        </r>
      </text>
    </comment>
    <comment ref="AL1" authorId="0">
      <text>
        <r>
          <rPr>
            <rFont val="Aptos Narrow"/>
            <b/>
            <color rgb="FFFFFFFF"/>
            <sz val="11"/>
          </rPr>
          <t>The evaluation context this row's time-dependent witnesses are judged under.</t>
        </r>
      </text>
    </comment>
    <comment ref="AM1" authorId="0">
      <text>
        <r>
          <rPr>
            <rFont val="Aptos Narrow"/>
            <b/>
            <color rgb="FFFFFFFF"/>
            <sz val="11"/>
          </rPr>
          <t>The evaluation instant this row's time-dependent witnesses are judged against.</t>
        </r>
      </text>
    </comment>
    <comment ref="AN1" authorId="0">
      <text>
        <r>
          <rPr>
            <rFont val="Aptos Narrow"/>
            <b/>
            <color rgb="FFFFFFFF"/>
            <sz val="11"/>
          </rPr>
          <t>Days since this version's content was last changed.</t>
        </r>
      </text>
    </comment>
    <comment ref="AO1" authorId="0">
      <text>
        <r>
          <rPr>
            <rFont val="Aptos Narrow"/>
            <b/>
            <color rgb="FFFFFFFF"/>
            <sz val="11"/>
          </rPr>
          <t>Days since the most recent review of this version.</t>
        </r>
      </text>
    </comment>
    <comment ref="AP1" authorId="0">
      <text>
        <r>
          <rPr>
            <rFont val="Aptos Narrow"/>
            <b/>
            <color rgb="FFFFFFFF"/>
            <sz val="11"/>
          </rPr>
          <t>TRUE when the version was edited more recently than it was reviewed.</t>
        </r>
      </text>
    </comment>
    <comment ref="AQ1" authorId="0">
      <text>
        <r>
          <rPr>
            <rFont val="Aptos Narrow"/>
            <b/>
            <color rgb="FFFFFFFF"/>
            <sz val="11"/>
          </rPr>
          <t>The kind of agent that last modified this version.</t>
        </r>
      </text>
    </comment>
    <comment ref="AR1" authorId="0">
      <text>
        <r>
          <rPr>
            <rFont val="Aptos Narrow"/>
            <b/>
            <color rgb="FFFFFFFF"/>
            <sz val="11"/>
          </rPr>
          <t>TRUE when a live version's current content postdates every review it has had.</t>
        </r>
      </text>
    </comment>
    <comment ref="AS1" authorId="0">
      <text>
        <r>
          <rPr>
            <rFont val="Aptos Narrow"/>
            <b/>
            <color rgb="FFFFFFFF"/>
            <sz val="11"/>
          </rPr>
          <t>How many supporting claims have outlived this version's review cadence.</t>
        </r>
      </text>
    </comment>
    <comment ref="AT1" authorId="0">
      <text>
        <r>
          <rPr>
            <rFont val="Aptos Narrow"/>
            <b/>
            <color rgb="FFFFFFFF"/>
            <sz val="11"/>
          </rPr>
          <t>TRUE when this version rests on at least one claim older than its own review cadence.</t>
        </r>
      </text>
    </comment>
    <comment ref="AU1" authorId="0">
      <text>
        <r>
          <rPr>
            <rFont val="Aptos Narrow"/>
            <b/>
            <color rgb="FFFFFFFF"/>
            <sz val="11"/>
          </rPr>
          <t>How many compound-fragile knowledge fragments this version rests on.</t>
        </r>
      </text>
    </comment>
    <comment ref="AV1" authorId="0">
      <text>
        <r>
          <rPr>
            <rFont val="Aptos Narrow"/>
            <b/>
            <color rgb="FFFFFFFF"/>
            <sz val="11"/>
          </rPr>
          <t>A live procedure version resting on at least one knowledge fragment that carries three or more decay signals.</t>
        </r>
      </text>
    </comment>
    <comment ref="AW1" authorId="0">
      <text>
        <r>
          <rPr>
            <rFont val="Aptos Narrow"/>
            <b/>
            <color rgb="FFFFFFFF"/>
            <sz val="11"/>
          </rPr>
          <t>How many concentrated single-witness sessions underwrite this version's knowledge base.</t>
        </r>
      </text>
    </comment>
    <comment ref="AX1" authorId="0">
      <text>
        <r>
          <rPr>
            <rFont val="Aptos Narrow"/>
            <b/>
            <color rgb="FFFFFFFF"/>
            <sz val="11"/>
          </rPr>
          <t>A live version where at least one single-witness session alone underwrites three or more of its live claims.</t>
        </r>
      </text>
    </comment>
    <comment ref="AY1" authorId="0">
      <text>
        <r>
          <rPr>
            <rFont val="Aptos Narrow"/>
            <b/>
            <color rgb="FFFFFFFF"/>
            <sz val="11"/>
          </rPr>
          <t>How many unapproved claims this version feeds directly to software-assigned steps.</t>
        </r>
      </text>
    </comment>
    <comment ref="AZ1" authorId="0">
      <text>
        <r>
          <rPr>
            <rFont val="Aptos Narrow"/>
            <b/>
            <color rgb="FFFFFFFF"/>
            <sz val="11"/>
          </rPr>
          <t>A live version that hands unapproved knowledge to a step no human is positioned to review.</t>
        </r>
      </text>
    </comment>
    <comment ref="BA1" authorId="0">
      <text>
        <r>
          <rPr>
            <rFont val="Aptos Narrow"/>
            <b/>
            <color rgb="FFFFFFFF"/>
            <sz val="11"/>
          </rPr>
          <t>How many of this version's claims are overdue by actual review record rather than by inference.</t>
        </r>
      </text>
    </comment>
    <comment ref="BB1" authorId="0">
      <text>
        <r>
          <rPr>
            <rFont val="Aptos Narrow"/>
            <b/>
            <color rgb="FFFFFFFF"/>
            <sz val="11"/>
          </rPr>
          <t>How many decisions are pending against this live version.</t>
        </r>
      </text>
    </comment>
    <comment ref="BC1" authorId="0">
      <text>
        <r>
          <rPr>
            <rFont val="Aptos Narrow"/>
            <b/>
            <color rgb="FFFFFFFF"/>
            <sz val="11"/>
          </rPr>
          <t>How many open blocking gaps belong to THIS version, correctly scoped.</t>
        </r>
      </text>
    </comment>
    <comment ref="BD1" authorId="0">
      <text>
        <r>
          <rPr>
            <rFont val="Aptos Narrow"/>
            <b/>
            <color rgb="FFFFFFFF"/>
            <sz val="11"/>
          </rPr>
          <t>A live version carrying both an undecided change request and an open blocking gap — the gap cannot close until the decision lands.</t>
        </r>
      </text>
    </comment>
    <comment ref="BE1" authorId="0">
      <text>
        <r>
          <rPr>
            <rFont val="Aptos Narrow"/>
            <b/>
            <color rgb="FFFFFFFF"/>
            <sz val="11"/>
          </rPr>
          <t>How many of this version's human-only gates have never been approached by software.</t>
        </r>
      </text>
    </comment>
    <comment ref="BF1" authorId="0">
      <text>
        <r>
          <rPr>
            <rFont val="Aptos Narrow"/>
            <b/>
            <color rgb="FFFFFFFF"/>
            <sz val="11"/>
          </rPr>
          <t>A live version whose human-only gates rest on assertion rather than on any observed attempt by software.</t>
        </r>
      </text>
    </comment>
    <comment ref="BG1" authorId="0">
      <text>
        <r>
          <rPr>
            <rFont val="Aptos Narrow"/>
            <b/>
            <color rgb="FFFFFFFF"/>
            <sz val="11"/>
          </rPr>
          <t>How many high-blast-radius unapproved claims this version rests on.</t>
        </r>
      </text>
    </comment>
    <comment ref="BH1" authorId="0">
      <text>
        <r>
          <rPr>
            <rFont val="Aptos Narrow"/>
            <b/>
            <color rgb="FFFFFFFF"/>
            <sz val="11"/>
          </rPr>
          <t>How many decided-but-unimplemented change requests hold this version's fitness down.</t>
        </r>
      </text>
    </comment>
    <comment ref="BI1" authorId="0">
      <text>
        <r>
          <rPr>
            <rFont val="Aptos Narrow"/>
            <b/>
            <color rgb="FFFFFFFF"/>
            <sz val="11"/>
          </rPr>
          <t>How many unrehearsed control entries exist in this procedure version.</t>
        </r>
      </text>
    </comment>
    <comment ref="BJ1" authorId="0">
      <text>
        <r>
          <rPr>
            <rFont val="Aptos Narrow"/>
            <b/>
            <color rgb="FFFFFFFF"/>
            <sz val="11"/>
          </rPr>
          <t>Whether this live version has at least one blocking control that is only reachable by a path nobody has ever walked.</t>
        </r>
      </text>
    </comment>
    <comment ref="BK1" authorId="0">
      <text>
        <r>
          <rPr>
            <rFont val="Aptos Narrow"/>
            <b/>
            <color rgb="FFFFFFFF"/>
            <sz val="11"/>
          </rPr>
          <t>A version that is live for execution while carrying at least one never-rehearsed blocking control entry.</t>
        </r>
      </text>
    </comment>
    <comment ref="BL1" authorId="0">
      <text>
        <r>
          <rPr>
            <rFont val="Aptos Narrow"/>
            <b/>
            <color rgb="FFFFFFFF"/>
            <sz val="11"/>
          </rPr>
          <t>How many review events on this version are past their promised cadence.</t>
        </r>
      </text>
    </comment>
    <comment ref="BM1" authorId="0">
      <text>
        <r>
          <rPr>
            <rFont val="Aptos Narrow"/>
            <b/>
            <color rgb="FFFFFFFF"/>
            <sz val="11"/>
          </rPr>
          <t>Whether this version currently has at least one review event past the cadence its steward promised.</t>
        </r>
      </text>
    </comment>
    <comment ref="BN1" authorId="0">
      <text>
        <r>
          <rPr>
            <rFont val="Aptos Narrow"/>
            <b/>
            <color rgb="FFFFFFFF"/>
            <sz val="11"/>
          </rPr>
          <t>Whether this version has at least one change request that is still open.</t>
        </r>
      </text>
    </comment>
    <comment ref="BO1" authorId="0">
      <text>
        <r>
          <rPr>
            <rFont val="Aptos Narrow"/>
            <b/>
            <color rgb="FFFFFFFF"/>
            <sz val="11"/>
          </rPr>
          <t>A cadence breach with no open change request against the version — a broken promise with no response in motion.</t>
        </r>
      </text>
    </comment>
    <comment ref="BP1" authorId="0">
      <text>
        <r>
          <rPr>
            <rFont val="Aptos Narrow"/>
            <b/>
            <color rgb="FFFFFFFF"/>
            <sz val="11"/>
          </rPr>
          <t>A cadence breach where a change request is at least open against the version.</t>
        </r>
      </text>
    </comment>
    <comment ref="BQ1" authorId="0">
      <text>
        <r>
          <rPr>
            <rFont val="Aptos Narrow"/>
            <b/>
            <color rgb="FFFFFFFF"/>
            <sz val="11"/>
          </rPr>
          <t>A live version with neither a change request nor a review event ever recorded against it.</t>
        </r>
      </text>
    </comment>
    <comment ref="BR1" authorId="0">
      <text>
        <r>
          <rPr>
            <rFont val="Aptos Narrow"/>
            <b/>
            <color rgb="FFFFFFFF"/>
            <sz val="11"/>
          </rPr>
          <t>How many currently-valid knowledge fragments are attached to this version.</t>
        </r>
      </text>
    </comment>
    <comment ref="BS1" authorId="0">
      <text>
        <r>
          <rPr>
            <rFont val="Aptos Narrow"/>
            <b/>
            <color rgb="FFFFFFFF"/>
            <sz val="11"/>
          </rPr>
          <t>Whether this version still holds at least one knowledge fragment that is currently valid.</t>
        </r>
      </text>
    </comment>
    <comment ref="BT1" authorId="0">
      <text>
        <r>
          <rPr>
            <rFont val="Aptos Narrow"/>
            <b/>
            <color rgb="FFFFFFFF"/>
            <sz val="11"/>
          </rPr>
          <t>How many other versions declare that they supersede this one.</t>
        </r>
      </text>
    </comment>
    <comment ref="BU1" authorId="0">
      <text>
        <r>
          <rPr>
            <rFont val="Aptos Narrow"/>
            <b/>
            <color rgb="FFFFFFFF"/>
            <sz val="11"/>
          </rPr>
          <t>Whether any other version points at this one through a supersession link.</t>
        </r>
      </text>
    </comment>
    <comment ref="BV1" authorId="0">
      <text>
        <r>
          <rPr>
            <rFont val="Aptos Narrow"/>
            <b/>
            <color rgb="FFFFFFFF"/>
            <sz val="11"/>
          </rPr>
          <t>An unstewarded version that is still referenced by a supersession link or still owns currently-valid knowledge — nobody is accountable for it and something still depends on it.</t>
        </r>
      </text>
    </comment>
    <comment ref="BW1" authorId="0">
      <text>
        <r>
          <rPr>
            <rFont val="Aptos Narrow"/>
            <b/>
            <color rgb="FFFFFFFF"/>
            <sz val="11"/>
          </rPr>
          <t>An unstewarded version that nothing depends on — a genuine, safe retirement.</t>
        </r>
      </text>
    </comment>
    <comment ref="BX1" authorId="0">
      <text>
        <r>
          <rPr>
            <rFont val="Aptos Narrow"/>
            <b/>
            <color rgb="FFFFFFFF"/>
            <sz val="11"/>
          </rPr>
          <t>How many approved-but-unimplemented change requests are stalled against this version.</t>
        </r>
      </text>
    </comment>
    <comment ref="BY1" authorId="0">
      <text>
        <r>
          <rPr>
            <rFont val="Aptos Narrow"/>
            <b/>
            <color rgb="FFFFFFFF"/>
            <sz val="11"/>
          </rPr>
          <t>A version reading unfit to execute specifically because approved changes have not been marked implemented.</t>
        </r>
      </text>
    </comment>
    <comment ref="BZ1" authorId="0">
      <text>
        <r>
          <rPr>
            <rFont val="Aptos Narrow"/>
            <b/>
            <color rgb="FFFFFFFF"/>
            <sz val="11"/>
          </rPr>
          <t>How many steps in this version have not declared a control kind.</t>
        </r>
      </text>
    </comment>
    <comment ref="CA1" authorId="0">
      <text>
        <r>
          <rPr>
            <rFont val="Aptos Narrow"/>
            <b/>
            <color rgb="FFFFFFFF"/>
            <sz val="11"/>
          </rPr>
          <t>Whether this version contains any step whose control kind is unstated — meaning role-based and id-based control predicates cannot be trusted to cover it.</t>
        </r>
      </text>
    </comment>
    <comment ref="CB1" authorId="0">
      <text>
        <r>
          <rPr>
            <rFont val="Aptos Narrow"/>
            <b/>
            <color rgb="FFFFFFFF"/>
            <sz val="11"/>
          </rPr>
          <t>TRUE when at least one change request against this version has been approved.</t>
        </r>
      </text>
    </comment>
    <comment ref="CC1" authorId="0">
      <text>
        <r>
          <rPr>
            <rFont val="Aptos Narrow"/>
            <b/>
            <color rgb="FFFFFFFF"/>
            <sz val="11"/>
          </rPr>
          <t>How many change requests against this version have been approved.</t>
        </r>
      </text>
    </comment>
    <comment ref="CD1" authorId="0">
      <text>
        <r>
          <rPr>
            <rFont val="Aptos Narrow"/>
            <b/>
            <color rgb="FFFFFFFF"/>
            <sz val="11"/>
          </rPr>
          <t>How many blocking controls in the model are neither computed nor owned.</t>
        </r>
      </text>
    </comment>
    <comment ref="CE1" authorId="0">
      <text>
        <r>
          <rPr>
            <rFont val="Aptos Narrow"/>
            <b/>
            <color rgb="FFFFFFFF"/>
            <sz val="11"/>
          </rPr>
          <t>How many process-mining conformance runs exist for this procedure version.</t>
        </r>
      </text>
    </comment>
    <comment ref="CF1" authorId="0">
      <text>
        <r>
          <rPr>
            <rFont val="Aptos Narrow"/>
            <b/>
            <color rgb="FFFFFFFF"/>
            <sz val="11"/>
          </rPr>
          <t>How many mining runs found major, real drift while this version was live.</t>
        </r>
      </text>
    </comment>
    <comment ref="CG1" authorId="0">
      <text>
        <r>
          <rPr>
            <rFont val="Aptos Narrow"/>
            <b/>
            <color rgb="FFFFFFFF"/>
            <sz val="11"/>
          </rPr>
          <t>TRUE when mined operational evidence contradicts this live version's documented path.</t>
        </r>
      </text>
    </comment>
    <comment ref="CH1" authorId="0">
      <text>
        <r>
          <rPr>
            <rFont val="Aptos Narrow"/>
            <b/>
            <color rgb="FFFFFFFF"/>
            <sz val="11"/>
          </rPr>
          <t>Exact PKO class IRI.</t>
        </r>
      </text>
    </comment>
    <comment ref="B1" authorId="0">
      <text>
        <r>
          <rPr>
            <rFont val="Aptos Narrow"/>
            <b/>
            <color rgb="FFFFFFFF"/>
            <sz val="11"/>
          </rPr>
          <t>Human-readable calculated display alias for the ProcedureVersions row.</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ProcedureVersionLinks row.</t>
        </r>
      </text>
    </comment>
    <comment ref="C1" authorId="0">
      <text>
        <r>
          <rPr>
            <rFont val="Aptos Narrow"/>
            <b/>
            <color rgb="FFFFFFFF"/>
            <sz val="11"/>
          </rPr>
          <t>Earlier version.</t>
        </r>
      </text>
    </comment>
    <comment ref="D1" authorId="0">
      <text>
        <r>
          <rPr>
            <rFont val="Aptos Narrow"/>
            <b/>
            <color rgb="FFFFFFFF"/>
            <sz val="11"/>
          </rPr>
          <t>Later version.</t>
        </r>
      </text>
    </comment>
    <comment ref="E1" authorId="0">
      <text>
        <r>
          <rPr>
            <rFont val="Aptos Narrow"/>
            <b/>
            <color rgb="FFFFFFFF"/>
            <sz val="11"/>
          </rPr>
          <t>Exact version relation IRI.</t>
        </r>
      </text>
    </comment>
    <comment ref="F1" authorId="0">
      <text>
        <r>
          <rPr>
            <rFont val="Aptos Narrow"/>
            <b/>
            <color rgb="FFFFFFFF"/>
            <sz val="11"/>
          </rPr>
          <t>Summary of semantic change across the edge.</t>
        </r>
      </text>
    </comment>
    <comment ref="G1" authorId="0">
      <text>
        <r>
          <rPr>
            <rFont val="Aptos Narrow"/>
            <b/>
            <color rgb="FFFFFFFF"/>
            <sz val="11"/>
          </rPr>
          <t>Echoes the superseded (previous) version id for rows that express a next-version relation. Supersession is carried by RelationIri here, not by a separate link-kind column.</t>
        </r>
      </text>
    </comment>
    <comment ref="B1" authorId="0">
      <text>
        <r>
          <rPr>
            <rFont val="Aptos Narrow"/>
            <b/>
            <color rgb="FFFFFFFF"/>
            <sz val="11"/>
          </rPr>
          <t>Human-readable calculated display alias for the ProcedureVersionLinks row.</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ProcedureStatusChanges row.</t>
        </r>
      </text>
    </comment>
    <comment ref="C1" authorId="0">
      <text>
        <r>
          <rPr>
            <rFont val="Aptos Narrow"/>
            <b/>
            <color rgb="FFFFFFFF"/>
            <sz val="11"/>
          </rPr>
          <t>Procedure version whose status changed.</t>
        </r>
      </text>
    </comment>
    <comment ref="D1" authorId="0">
      <text>
        <r>
          <rPr>
            <rFont val="Aptos Narrow"/>
            <b/>
            <color rgb="FFFFFFFF"/>
            <sz val="11"/>
          </rPr>
          <t>Previous PKO status.</t>
        </r>
      </text>
    </comment>
    <comment ref="E1" authorId="0">
      <text>
        <r>
          <rPr>
            <rFont val="Aptos Narrow"/>
            <b/>
            <color rgb="FFFFFFFF"/>
            <sz val="11"/>
          </rPr>
          <t>New PKO status.</t>
        </r>
      </text>
    </comment>
    <comment ref="F1" authorId="0">
      <text>
        <r>
          <rPr>
            <rFont val="Aptos Narrow"/>
            <b/>
            <color rgb="FFFFFFFF"/>
            <sz val="11"/>
          </rPr>
          <t>Time of change; maps to prov:atTime.</t>
        </r>
      </text>
    </comment>
    <comment ref="G1" authorId="0">
      <text>
        <r>
          <rPr>
            <rFont val="Aptos Narrow"/>
            <b/>
            <color rgb="FFFFFFFF"/>
            <sz val="11"/>
          </rPr>
          <t>Agent responsible for the change.</t>
        </r>
      </text>
    </comment>
    <comment ref="H1" authorId="0">
      <text>
        <r>
          <rPr>
            <rFont val="Aptos Narrow"/>
            <b/>
            <color rgb="FFFFFFFF"/>
            <sz val="11"/>
          </rPr>
          <t>Reason for changing status.</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ProcedureStatusChanges row.</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Steps row.</t>
        </r>
      </text>
    </comment>
    <comment ref="C1" authorId="0">
      <text>
        <r>
          <rPr>
            <rFont val="Aptos Narrow"/>
            <b/>
            <color rgb="FFFFFFFF"/>
            <sz val="11"/>
          </rPr>
          <t>Procedure version containing the step; maps to pko:hasStep/pplan:isStepOfPlan.</t>
        </r>
      </text>
    </comment>
    <comment ref="D1" authorId="0">
      <text>
        <r>
          <rPr>
            <rFont val="Aptos Narrow"/>
            <b/>
            <color rgb="FFFFFFFF"/>
            <sz val="11"/>
          </rPr>
          <t>Stable sequence label; maps to pko:stepNumber.</t>
        </r>
      </text>
    </comment>
    <comment ref="E1" authorId="0">
      <text>
        <r>
          <rPr>
            <rFont val="Aptos Narrow"/>
            <b/>
            <color rgb="FFFFFFFF"/>
            <sz val="11"/>
          </rPr>
          <t>Human-readable step title.</t>
        </r>
      </text>
    </comment>
    <comment ref="F1" authorId="0">
      <text>
        <r>
          <rPr>
            <rFont val="Aptos Narrow"/>
            <b/>
            <color rgb="FFFFFFFF"/>
            <sz val="11"/>
          </rPr>
          <t>Atomic or MultiStep.</t>
        </r>
      </text>
    </comment>
    <comment ref="G1" authorId="0">
      <text>
        <r>
          <rPr>
            <rFont val="Aptos Narrow"/>
            <b/>
            <color rgb="FFFFFFFF"/>
            <sz val="11"/>
          </rPr>
          <t>Role responsible for the step.</t>
        </r>
      </text>
    </comment>
    <comment ref="H1" authorId="0">
      <text>
        <r>
          <rPr>
            <rFont val="Aptos Narrow"/>
            <b/>
            <color rgb="FFFFFFFF"/>
            <sz val="11"/>
          </rPr>
          <t>Resolved role label.</t>
        </r>
      </text>
    </comment>
    <comment ref="I1" authorId="0">
      <text>
        <r>
          <rPr>
            <rFont val="Aptos Narrow"/>
            <b/>
            <color rgb="FFFFFFFF"/>
            <sz val="11"/>
          </rPr>
          <t>Current role-filler category.</t>
        </r>
      </text>
    </comment>
    <comment ref="J1" authorId="0">
      <text>
        <r>
          <rPr>
            <rFont val="Aptos Narrow"/>
            <b/>
            <color rgb="FFFFFFFF"/>
            <sz val="11"/>
          </rPr>
          <t>Normative step instruction.</t>
        </r>
      </text>
    </comment>
    <comment ref="K1" authorId="0">
      <text>
        <r>
          <rPr>
            <rFont val="Aptos Narrow"/>
            <b/>
            <color rgb="FFFFFFFF"/>
            <sz val="11"/>
          </rPr>
          <t>Expected duration represented as an OWL-Time duration in semantic projections.</t>
        </r>
      </text>
    </comment>
    <comment ref="L1" authorId="0">
      <text>
        <r>
          <rPr>
            <rFont val="Aptos Narrow"/>
            <b/>
            <color rgb="FFFFFFFF"/>
            <sz val="11"/>
          </rPr>
          <t>PKO expertise level: Junior, Senior, Expert, or Master.</t>
        </r>
      </text>
    </comment>
    <comment ref="M1" authorId="0">
      <text>
        <r>
          <rPr>
            <rFont val="Aptos Narrow"/>
            <b/>
            <color rgb="FFFFFFFF"/>
            <sz val="11"/>
          </rPr>
          <t>TRUE when a human must confirm the step; maps to pko:wasConfirmedBy at execution.</t>
        </r>
      </text>
    </comment>
    <comment ref="N1" authorId="0">
      <text>
        <r>
          <rPr>
            <rFont val="Aptos Narrow"/>
            <b/>
            <color rgb="FFFFFFFF"/>
            <sz val="11"/>
          </rPr>
          <t>How many blocking requirements the specification attaches to this step.</t>
        </r>
      </text>
    </comment>
    <comment ref="O1" authorId="0">
      <text>
        <r>
          <rPr>
            <rFont val="Aptos Narrow"/>
            <b/>
            <color rgb="FFFFFFFF"/>
            <sz val="11"/>
          </rPr>
          <t>How many operational bindings for this step are currently outside their freshness SLA.</t>
        </r>
      </text>
    </comment>
    <comment ref="P1" authorId="0">
      <text>
        <r>
          <rPr>
            <rFont val="Aptos Narrow"/>
            <b/>
            <color rgb="FFFFFFFF"/>
            <sz val="11"/>
          </rPr>
          <t>How many authoritative bindings for this step are currently stale.</t>
        </r>
      </text>
    </comment>
    <comment ref="Q1" authorId="0">
      <text>
        <r>
          <rPr>
            <rFont val="Aptos Narrow"/>
            <b/>
            <color rgb="FFFFFFFF"/>
            <sz val="11"/>
          </rPr>
          <t>How many active exceptions the specification defines for this step.</t>
        </r>
      </text>
    </comment>
    <comment ref="R1" authorId="0">
      <text>
        <r>
          <rPr>
            <rFont val="Aptos Narrow"/>
            <b/>
            <color rgb="FFFFFFFF"/>
            <sz val="11"/>
          </rPr>
          <t>How many verifications the specification declares for this step.</t>
        </r>
      </text>
    </comment>
    <comment ref="S1" authorId="0">
      <text>
        <r>
          <rPr>
            <rFont val="Aptos Narrow"/>
            <b/>
            <color rgb="FFFFFFFF"/>
            <sz val="11"/>
          </rPr>
          <t>TRUE for steps whose assigned role produces the work product rather than reviewing it.</t>
        </r>
      </text>
    </comment>
    <comment ref="T1" authorId="0">
      <text>
        <r>
          <rPr>
            <rFont val="Aptos Narrow"/>
            <b/>
            <color rgb="FFFFFFFF"/>
            <sz val="11"/>
          </rPr>
          <t>TRUE for steps whose assigned role is an approval authority.</t>
        </r>
      </text>
    </comment>
    <comment ref="U1" authorId="0">
      <text>
        <r>
          <rPr>
            <rFont val="Aptos Narrow"/>
            <b/>
            <color rgb="FFFFFFFF"/>
            <sz val="11"/>
          </rPr>
          <t>Number of authoritative bindings for this step that are past their freshness SLA.</t>
        </r>
      </text>
    </comment>
    <comment ref="V1" authorId="0">
      <text>
        <r>
          <rPr>
            <rFont val="Aptos Narrow"/>
            <b/>
            <color rgb="FFFFFFFF"/>
            <sz val="11"/>
          </rPr>
          <t>TRUE when no authoritative binding for this step is stale.</t>
        </r>
      </text>
    </comment>
    <comment ref="W1" authorId="0">
      <text>
        <r>
          <rPr>
            <rFont val="Aptos Narrow"/>
            <b/>
            <color rgb="FFFFFFFF"/>
            <sz val="11"/>
          </rPr>
          <t>TRUE when this step is specified to be performed by software rather than a person.</t>
        </r>
      </text>
    </comment>
    <comment ref="X1" authorId="0">
      <text>
        <r>
          <rPr>
            <rFont val="Aptos Narrow"/>
            <b/>
            <color rgb="FFFFFFFF"/>
            <sz val="11"/>
          </rPr>
          <t>TRUE for the steps that exist specifically to place a human commitment between drafting and delivery.</t>
        </r>
      </text>
    </comment>
    <comment ref="Y1" authorId="0">
      <text>
        <r>
          <rPr>
            <rFont val="Aptos Narrow"/>
            <b/>
            <color rgb="FFFFFFFF"/>
            <sz val="11"/>
          </rPr>
          <t>TRUE when a designated approval gate is in fact assigned to a human role.</t>
        </r>
      </text>
    </comment>
    <comment ref="Z1" authorId="0">
      <text>
        <r>
          <rPr>
            <rFont val="Aptos Narrow"/>
            <b/>
            <color rgb="FFFFFFFF"/>
            <sz val="11"/>
          </rPr>
          <t>Number of authority boundaries currently binding at this step.</t>
        </r>
      </text>
    </comment>
    <comment ref="AA1" authorId="0">
      <text>
        <r>
          <rPr>
            <rFont val="Aptos Narrow"/>
            <b/>
            <color rgb="FFFFFFFF"/>
            <sz val="11"/>
          </rPr>
          <t>Whether this step's assigned role is a non-human role with no governing assignment.</t>
        </r>
      </text>
    </comment>
    <comment ref="AB1" authorId="0">
      <text>
        <r>
          <rPr>
            <rFont val="Aptos Narrow"/>
            <b/>
            <color rgb="FFFFFFFF"/>
            <sz val="11"/>
          </rPr>
          <t>Number of bindings at this step that are unapproved or stale.</t>
        </r>
      </text>
    </comment>
    <comment ref="AC1" authorId="0">
      <text>
        <r>
          <rPr>
            <rFont val="Aptos Narrow"/>
            <b/>
            <color rgb="FFFFFFFF"/>
            <sz val="11"/>
          </rPr>
          <t>TRUE when every binding at this step is an approved, fresh source.</t>
        </r>
      </text>
    </comment>
    <comment ref="AD1" authorId="0">
      <text>
        <r>
          <rPr>
            <rFont val="Aptos Narrow"/>
            <b/>
            <color rgb="FFFFFFFF"/>
            <sz val="11"/>
          </rPr>
          <t>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t>
        </r>
      </text>
    </comment>
    <comment ref="AE1" authorId="0">
      <text>
        <r>
          <rPr>
            <rFont val="Aptos Narrow"/>
            <b/>
            <color rgb="FFFFFFFF"/>
            <sz val="11"/>
          </rPr>
          <t>How many boundaries governing this step are being enforced without a valid ratifying claim.</t>
        </r>
      </text>
    </comment>
    <comment ref="AF1" authorId="0">
      <text>
        <r>
          <rPr>
            <rFont val="Aptos Narrow"/>
            <b/>
            <color rgb="FFFFFFFF"/>
            <sz val="11"/>
          </rPr>
          <t>Whether this step's constraints on machine authority rest on a claim that is no longer valid.</t>
        </r>
      </text>
    </comment>
    <comment ref="AG1" authorId="0">
      <text>
        <r>
          <rPr>
            <rFont val="Aptos Narrow"/>
            <b/>
            <color rgb="FFFFFFFF"/>
            <sz val="11"/>
          </rPr>
          <t>How many times a software agent has actually executed this step.</t>
        </r>
      </text>
    </comment>
    <comment ref="AH1" authorId="0">
      <text>
        <r>
          <rPr>
            <rFont val="Aptos Narrow"/>
            <b/>
            <color rgb="FFFFFFFF"/>
            <sz val="11"/>
          </rPr>
          <t>Whether any software agent has ever executed this step.</t>
        </r>
      </text>
    </comment>
    <comment ref="AI1" authorId="0">
      <text>
        <r>
          <rPr>
            <rFont val="Aptos Narrow"/>
            <b/>
            <color rgb="FFFFFFFF"/>
            <sz val="11"/>
          </rPr>
          <t>A human-only approval gate that no software agent has ever attempted — the control is asserted, not demonstrated.</t>
        </r>
      </text>
    </comment>
    <comment ref="AJ1" authorId="0">
      <text>
        <r>
          <rPr>
            <rFont val="Aptos Narrow"/>
            <b/>
            <color rgb="FFFFFFFF"/>
            <sz val="11"/>
          </rPr>
          <t>A human gate that software has actually reached and that a human nevertheless held.</t>
        </r>
      </text>
    </comment>
    <comment ref="AK1" authorId="0">
      <text>
        <r>
          <rPr>
            <rFont val="Aptos Narrow"/>
            <b/>
            <color rgb="FFFFFFFF"/>
            <sz val="11"/>
          </rPr>
          <t>Composite-key echo: this step's procedure version when the step is an unexercised human gate, blank otherwise.</t>
        </r>
      </text>
    </comment>
    <comment ref="AL1" authorId="0">
      <text>
        <r>
          <rPr>
            <rFont val="Aptos Narrow"/>
            <b/>
            <color rgb="FFFFFFFF"/>
            <sz val="11"/>
          </rPr>
          <t>Whether this step declares what kind of control it is.</t>
        </r>
      </text>
    </comment>
    <comment ref="AM1" authorId="0">
      <text>
        <r>
          <rPr>
            <rFont val="Aptos Narrow"/>
            <b/>
            <color rgb="FFFFFFFF"/>
            <sz val="11"/>
          </rPr>
          <t>Composite-key echo: this step's procedure version when the step has no declared control kind, blank otherwise.</t>
        </r>
      </text>
    </comment>
    <comment ref="AN1" authorId="0">
      <text>
        <r>
          <rPr>
            <rFont val="Aptos Narrow"/>
            <b/>
            <color rgb="FFFFFFFF"/>
            <sz val="11"/>
          </rPr>
          <t>An approval-kind step whose assigned role is currently held by an AI agent or automated pipeline.</t>
        </r>
      </text>
    </comment>
    <comment ref="AO1" authorId="0">
      <text>
        <r>
          <rPr>
            <rFont val="Aptos Narrow"/>
            <b/>
            <color rgb="FFFFFFFF"/>
            <sz val="11"/>
          </rPr>
          <t>How many blocking controls bound to this step have no computed witness.</t>
        </r>
      </text>
    </comment>
    <comment ref="AP1" authorId="0">
      <text>
        <r>
          <rPr>
            <rFont val="Aptos Narrow"/>
            <b/>
            <color rgb="FFFFFFFF"/>
            <sz val="11"/>
          </rPr>
          <t>Exact P-Plan class IRI.</t>
        </r>
      </text>
    </comment>
    <comment ref="B1" authorId="0">
      <text>
        <r>
          <rPr>
            <rFont val="Aptos Narrow"/>
            <b/>
            <color rgb="FFFFFFFF"/>
            <sz val="11"/>
          </rPr>
          <t>Human-readable calculated display alias for the Steps row.</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StepTransitions row.</t>
        </r>
      </text>
    </comment>
    <comment ref="C1" authorId="0">
      <text>
        <r>
          <rPr>
            <rFont val="Aptos Narrow"/>
            <b/>
            <color rgb="FFFFFFFF"/>
            <sz val="11"/>
          </rPr>
          <t>Procedure version whose control flow owns the transition.</t>
        </r>
      </text>
    </comment>
    <comment ref="D1" authorId="0">
      <text>
        <r>
          <rPr>
            <rFont val="Aptos Narrow"/>
            <b/>
            <color rgb="FFFFFFFF"/>
            <sz val="11"/>
          </rPr>
          <t>Source step; maps to pko:fromStep.</t>
        </r>
      </text>
    </comment>
    <comment ref="E1" authorId="0">
      <text>
        <r>
          <rPr>
            <rFont val="Aptos Narrow"/>
            <b/>
            <color rgb="FFFFFFFF"/>
            <sz val="11"/>
          </rPr>
          <t>Destination step; maps to pko:toStep.</t>
        </r>
      </text>
    </comment>
    <comment ref="F1" authorId="0">
      <text>
        <r>
          <rPr>
            <rFont val="Aptos Narrow"/>
            <b/>
            <color rgb="FFFFFFFF"/>
            <sz val="11"/>
          </rPr>
          <t>Next, Alternative, or Fallback.</t>
        </r>
      </text>
    </comment>
    <comment ref="G1" authorId="0">
      <text>
        <r>
          <rPr>
            <rFont val="Aptos Narrow"/>
            <b/>
            <color rgb="FFFFFFFF"/>
            <sz val="11"/>
          </rPr>
          <t>Condition under which the edge is taken.</t>
        </r>
      </text>
    </comment>
    <comment ref="H1" authorId="0">
      <text>
        <r>
          <rPr>
            <rFont val="Aptos Narrow"/>
            <b/>
            <color rgb="FFFFFFFF"/>
            <sz val="11"/>
          </rPr>
          <t>Evaluation priority when several outgoing edges exist.</t>
        </r>
      </text>
    </comment>
    <comment ref="I1" authorId="0">
      <text>
        <r>
          <rPr>
            <rFont val="Aptos Narrow"/>
            <b/>
            <color rgb="FFFFFFFF"/>
            <sz val="11"/>
          </rPr>
          <t>TRUE when this transition is a non-default path taken because something went wrong.</t>
        </r>
      </text>
    </comment>
    <comment ref="J1" authorId="0">
      <text>
        <r>
          <rPr>
            <rFont val="Aptos Narrow"/>
            <b/>
            <color rgb="FFFFFFFF"/>
            <sz val="11"/>
          </rPr>
          <t>How many times the step this transition leaves from has actually been executed.</t>
        </r>
      </text>
    </comment>
    <comment ref="K1" authorId="0">
      <text>
        <r>
          <rPr>
            <rFont val="Aptos Narrow"/>
            <b/>
            <color rgb="FFFFFFFF"/>
            <sz val="11"/>
          </rPr>
          <t>How many times the step this transition arrives at has actually been executed.</t>
        </r>
      </text>
    </comment>
    <comment ref="L1" authorId="0">
      <text>
        <r>
          <rPr>
            <rFont val="Aptos Narrow"/>
            <b/>
            <color rgb="FFFFFFFF"/>
            <sz val="11"/>
          </rPr>
          <t>TRUE when the origin step of this transition has been executed at least once.</t>
        </r>
      </text>
    </comment>
    <comment ref="M1" authorId="0">
      <text>
        <r>
          <rPr>
            <rFont val="Aptos Narrow"/>
            <b/>
            <color rgb="FFFFFFFF"/>
            <sz val="11"/>
          </rPr>
          <t>TRUE when the destination step of this transition has been executed at least once.</t>
        </r>
      </text>
    </comment>
    <comment ref="N1" authorId="0">
      <text>
        <r>
          <rPr>
            <rFont val="Aptos Narrow"/>
            <b/>
            <color rgb="FFFFFFFF"/>
            <sz val="11"/>
          </rPr>
          <t>TRUE when at least one end of this transition has never appeared in any step execution.</t>
        </r>
      </text>
    </comment>
    <comment ref="O1" authorId="0">
      <text>
        <r>
          <rPr>
            <rFont val="Aptos Narrow"/>
            <b/>
            <color rgb="FFFFFFFF"/>
            <sz val="11"/>
          </rPr>
          <t>TRUE for a Fallback or Alternative transition whose endpoints show no execution evidence.</t>
        </r>
      </text>
    </comment>
    <comment ref="P1" authorId="0">
      <text>
        <r>
          <rPr>
            <rFont val="Aptos Narrow"/>
            <b/>
            <color rgb="FFFFFFFF"/>
            <sz val="11"/>
          </rPr>
          <t>How many times this exact transition has actually been traversed.</t>
        </r>
      </text>
    </comment>
    <comment ref="Q1" authorId="0">
      <text>
        <r>
          <rPr>
            <rFont val="Aptos Narrow"/>
            <b/>
            <color rgb="FFFFFFFF"/>
            <sz val="11"/>
          </rPr>
          <t>TRUE when this transition has been walked at least once.</t>
        </r>
      </text>
    </comment>
    <comment ref="R1" authorId="0">
      <text>
        <r>
          <rPr>
            <rFont val="Aptos Narrow"/>
            <b/>
            <color rgb="FFFFFFFF"/>
            <sz val="11"/>
          </rPr>
          <t>TRUE for a Fallback/Alternative transition with zero recorded traversals.</t>
        </r>
      </text>
    </comment>
    <comment ref="S1" authorId="0">
      <text>
        <r>
          <rPr>
            <rFont val="Aptos Narrow"/>
            <b/>
            <color rgb="FFFFFFFF"/>
            <sz val="11"/>
          </rPr>
          <t>How many blocking requirements are attached to the step this transition lands on.</t>
        </r>
      </text>
    </comment>
    <comment ref="T1" authorId="0">
      <text>
        <r>
          <rPr>
            <rFont val="Aptos Narrow"/>
            <b/>
            <color rgb="FFFFFFFF"/>
            <sz val="11"/>
          </rPr>
          <t>Whether the destination step of this transition carries at least one blocking control.</t>
        </r>
      </text>
    </comment>
    <comment ref="U1" authorId="0">
      <text>
        <r>
          <rPr>
            <rFont val="Aptos Narrow"/>
            <b/>
            <color rgb="FFFFFFFF"/>
            <sz val="11"/>
          </rPr>
          <t>A recovery path that has never been traversed and that leads into a step carrying a blocking control.</t>
        </r>
      </text>
    </comment>
    <comment ref="V1" authorId="0">
      <text>
        <r>
          <rPr>
            <rFont val="Aptos Narrow"/>
            <b/>
            <color rgb="FFFFFFFF"/>
            <sz val="11"/>
          </rPr>
          <t>Composite-key echo: this transition's procedure version when it is an unrehearsed control entry, blank otherwise.</t>
        </r>
      </text>
    </comment>
    <comment ref="W1" authorId="0">
      <text>
        <r>
          <rPr>
            <rFont val="Aptos Narrow"/>
            <b/>
            <color rgb="FFFFFFFF"/>
            <sz val="11"/>
          </rPr>
          <t>Exact PKO class IRI.</t>
        </r>
      </text>
    </comment>
    <comment ref="B1" authorId="0">
      <text>
        <r>
          <rPr>
            <rFont val="Aptos Narrow"/>
            <b/>
            <color rgb="FFFFFFFF"/>
            <sz val="11"/>
          </rPr>
          <t>Human-readable calculated display alias for the StepTransitions row.</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Actions row.</t>
        </r>
      </text>
    </comment>
    <comment ref="C1" authorId="0">
      <text>
        <r>
          <rPr>
            <rFont val="Aptos Narrow"/>
            <b/>
            <color rgb="FFFFFFFF"/>
            <sz val="11"/>
          </rPr>
          <t>Action label.</t>
        </r>
      </text>
    </comment>
    <comment ref="D1" authorId="0">
      <text>
        <r>
          <rPr>
            <rFont val="Aptos Narrow"/>
            <b/>
            <color rgb="FFFFFFFF"/>
            <sz val="11"/>
          </rPr>
          <t>Normative definition of the action.</t>
        </r>
      </text>
    </comment>
    <comment ref="E1" authorId="0">
      <text>
        <r>
          <rPr>
            <rFont val="Aptos Narrow"/>
            <b/>
            <color rgb="FFFFFFFF"/>
            <sz val="11"/>
          </rPr>
          <t>Exact PKO class IRI.</t>
        </r>
      </text>
    </comment>
    <comment ref="B1" authorId="0">
      <text>
        <r>
          <rPr>
            <rFont val="Aptos Narrow"/>
            <b/>
            <color rgb="FFFFFFFF"/>
            <sz val="11"/>
          </rPr>
          <t>Human-readable calculated display alias for the Actions row.</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Functions row.</t>
        </r>
      </text>
    </comment>
    <comment ref="C1" authorId="0">
      <text>
        <r>
          <rPr>
            <rFont val="Aptos Narrow"/>
            <b/>
            <color rgb="FFFFFFFF"/>
            <sz val="11"/>
          </rPr>
          <t>Function label.</t>
        </r>
      </text>
    </comment>
    <comment ref="D1" authorId="0">
      <text>
        <r>
          <rPr>
            <rFont val="Aptos Narrow"/>
            <b/>
            <color rgb="FFFFFFFF"/>
            <sz val="11"/>
          </rPr>
          <t>Deterministic or AI-assisted behavior.</t>
        </r>
      </text>
    </comment>
    <comment ref="E1" authorId="0">
      <text>
        <r>
          <rPr>
            <rFont val="Aptos Narrow"/>
            <b/>
            <color rgb="FFFFFFFF"/>
            <sz val="11"/>
          </rPr>
          <t>Operational implementation or model key.</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Functions row.</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Tools row.</t>
        </r>
      </text>
    </comment>
    <comment ref="C1" authorId="0">
      <text>
        <r>
          <rPr>
            <rFont val="Aptos Narrow"/>
            <b/>
            <color rgb="FFFFFFFF"/>
            <sz val="11"/>
          </rPr>
          <t>Tool label.</t>
        </r>
      </text>
    </comment>
    <comment ref="D1" authorId="0">
      <text>
        <r>
          <rPr>
            <rFont val="Aptos Narrow"/>
            <b/>
            <color rgb="FFFFFFFF"/>
            <sz val="11"/>
          </rPr>
          <t>Operational purpose.</t>
        </r>
      </text>
    </comment>
    <comment ref="E1" authorId="0">
      <text>
        <r>
          <rPr>
            <rFont val="Aptos Narrow"/>
            <b/>
            <color rgb="FFFFFFFF"/>
            <sz val="11"/>
          </rPr>
          <t>Exact semantic class IRI.</t>
        </r>
      </text>
    </comment>
    <comment ref="B1" authorId="0">
      <text>
        <r>
          <rPr>
            <rFont val="Aptos Narrow"/>
            <b/>
            <color rgb="FFFFFFFF"/>
            <sz val="11"/>
          </rPr>
          <t>Human-readable calculated display alias for the Tools row.</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StepActions row.</t>
        </r>
      </text>
    </comment>
    <comment ref="C1" authorId="0">
      <text>
        <r>
          <rPr>
            <rFont val="Aptos Narrow"/>
            <b/>
            <color rgb="FFFFFFFF"/>
            <sz val="11"/>
          </rPr>
          <t>Step side of the relationship.</t>
        </r>
      </text>
    </comment>
    <comment ref="D1" authorId="0">
      <text>
        <r>
          <rPr>
            <rFont val="Aptos Narrow"/>
            <b/>
            <color rgb="FFFFFFFF"/>
            <sz val="11"/>
          </rPr>
          <t>Action side of the relationship.</t>
        </r>
      </text>
    </comment>
    <comment ref="B1" authorId="0">
      <text>
        <r>
          <rPr>
            <rFont val="Aptos Narrow"/>
            <b/>
            <color rgb="FFFFFFFF"/>
            <sz val="11"/>
          </rPr>
          <t>Human-readable calculated display alias for the StepActions row.</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StepFunctions row.</t>
        </r>
      </text>
    </comment>
    <comment ref="C1" authorId="0">
      <text>
        <r>
          <rPr>
            <rFont val="Aptos Narrow"/>
            <b/>
            <color rgb="FFFFFFFF"/>
            <sz val="11"/>
          </rPr>
          <t>Step side of the relationship.</t>
        </r>
      </text>
    </comment>
    <comment ref="D1" authorId="0">
      <text>
        <r>
          <rPr>
            <rFont val="Aptos Narrow"/>
            <b/>
            <color rgb="FFFFFFFF"/>
            <sz val="11"/>
          </rPr>
          <t>Function side of the relationship.</t>
        </r>
      </text>
    </comment>
    <comment ref="B1" authorId="0">
      <text>
        <r>
          <rPr>
            <rFont val="Aptos Narrow"/>
            <b/>
            <color rgb="FFFFFFFF"/>
            <sz val="11"/>
          </rPr>
          <t>Human-readable calculated display alias for the StepFunctions row.</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StepTools row.</t>
        </r>
      </text>
    </comment>
    <comment ref="C1" authorId="0">
      <text>
        <r>
          <rPr>
            <rFont val="Aptos Narrow"/>
            <b/>
            <color rgb="FFFFFFFF"/>
            <sz val="11"/>
          </rPr>
          <t>Step side of the relationship.</t>
        </r>
      </text>
    </comment>
    <comment ref="D1" authorId="0">
      <text>
        <r>
          <rPr>
            <rFont val="Aptos Narrow"/>
            <b/>
            <color rgb="FFFFFFFF"/>
            <sz val="11"/>
          </rPr>
          <t>Tool side of the relationship.</t>
        </r>
      </text>
    </comment>
    <comment ref="B1" authorId="0">
      <text>
        <r>
          <rPr>
            <rFont val="Aptos Narrow"/>
            <b/>
            <color rgb="FFFFFFFF"/>
            <sz val="11"/>
          </rPr>
          <t>Human-readable calculated display alias for the StepTools row.</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 row.</t>
        </r>
      </text>
    </comment>
    <comment ref="C1" authorId="0">
      <text>
        <r>
          <rPr>
            <rFont val="Aptos Narrow"/>
            <b/>
            <color rgb="FFFFFFFF"/>
            <sz val="11"/>
          </rPr>
          <t>Requirement label.</t>
        </r>
      </text>
    </comment>
    <comment ref="D1" authorId="0">
      <text>
        <r>
          <rPr>
            <rFont val="Aptos Narrow"/>
            <b/>
            <color rgb="FFFFFFFF"/>
            <sz val="11"/>
          </rPr>
          <t>Controlled requirement type; maps to pko:hasRequirementType.</t>
        </r>
      </text>
    </comment>
    <comment ref="E1" authorId="0">
      <text>
        <r>
          <rPr>
            <rFont val="Aptos Narrow"/>
            <b/>
            <color rgb="FFFFFFFF"/>
            <sz val="11"/>
          </rPr>
          <t>Normative requirement statement.</t>
        </r>
      </text>
    </comment>
    <comment ref="F1" authorId="0">
      <text>
        <r>
          <rPr>
            <rFont val="Aptos Narrow"/>
            <b/>
            <color rgb="FFFFFFFF"/>
            <sz val="11"/>
          </rPr>
          <t>Why the requirement exists.</t>
        </r>
      </text>
    </comment>
    <comment ref="G1" authorId="0">
      <text>
        <r>
          <rPr>
            <rFont val="Aptos Narrow"/>
            <b/>
            <color rgb="FFFFFFFF"/>
            <sz val="11"/>
          </rPr>
          <t>TRUE when unsatisfied requirement blocks execution or approval.</t>
        </r>
      </text>
    </comment>
    <comment ref="H1" authorId="0">
      <text>
        <r>
          <rPr>
            <rFont val="Aptos Narrow"/>
            <b/>
            <color rgb="FFFFFFFF"/>
            <sz val="11"/>
          </rPr>
          <t>How many times this requirement has ever been evaluated against an execution.</t>
        </r>
      </text>
    </comment>
    <comment ref="I1" authorId="0">
      <text>
        <r>
          <rPr>
            <rFont val="Aptos Narrow"/>
            <b/>
            <color rgb="FFFFFFFF"/>
            <sz val="11"/>
          </rPr>
          <t>How many steps the specification binds this requirement to.</t>
        </r>
      </text>
    </comment>
    <comment ref="J1" authorId="0">
      <text>
        <r>
          <rPr>
            <rFont val="Aptos Narrow"/>
            <b/>
            <color rgb="FFFFFFFF"/>
            <sz val="11"/>
          </rPr>
          <t>TRUE when at least one step carries this requirement.</t>
        </r>
      </text>
    </comment>
    <comment ref="K1" authorId="0">
      <text>
        <r>
          <rPr>
            <rFont val="Aptos Narrow"/>
            <b/>
            <color rgb="FFFFFFFF"/>
            <sz val="11"/>
          </rPr>
          <t>TRUE when this requirement has at least one satisfaction record in the model.</t>
        </r>
      </text>
    </comment>
    <comment ref="L1" authorId="0">
      <text>
        <r>
          <rPr>
            <rFont val="Aptos Narrow"/>
            <b/>
            <color rgb="FFFFFFFF"/>
            <sz val="11"/>
          </rPr>
          <t>How many times this requirement has ever produced a less-than-satisfied outcome.</t>
        </r>
      </text>
    </comment>
    <comment ref="M1" authorId="0">
      <text>
        <r>
          <rPr>
            <rFont val="Aptos Narrow"/>
            <b/>
            <color rgb="FFFFFFFF"/>
            <sz val="11"/>
          </rPr>
          <t>TRUE for a blocking requirement that is attached to a step in the specification but has never once been evaluated on any execution.</t>
        </r>
      </text>
    </comment>
    <comment ref="N1" authorId="0">
      <text>
        <r>
          <rPr>
            <rFont val="Aptos Narrow"/>
            <b/>
            <color rgb="FFFFFFFF"/>
            <sz val="11"/>
          </rPr>
          <t>TRUE for a blocking requirement that is not attached to any step at all.</t>
        </r>
      </text>
    </comment>
    <comment ref="O1" authorId="0">
      <text>
        <r>
          <rPr>
            <rFont val="Aptos Narrow"/>
            <b/>
            <color rgb="FFFFFFFF"/>
            <sz val="11"/>
          </rPr>
          <t>Whether a computed predicate in this rulebook evaluates this requirement, as opposed to it being satisfied by human assertion only.</t>
        </r>
      </text>
    </comment>
    <comment ref="P1" authorId="0">
      <text>
        <r>
          <rPr>
            <rFont val="Aptos Narrow"/>
            <b/>
            <color rgb="FFFFFFFF"/>
            <sz val="11"/>
          </rPr>
          <t>The fully-qualified Table.Field of the predicate that computes this requirement, when one exists.</t>
        </r>
      </text>
    </comment>
    <comment ref="Q1" authorId="0">
      <text>
        <r>
          <rPr>
            <rFont val="Aptos Narrow"/>
            <b/>
            <color rgb="FFFFFFFF"/>
            <sz val="11"/>
          </rPr>
          <t>TRUE when this requirement has at least once been scored as anything other than Satisfied.</t>
        </r>
      </text>
    </comment>
    <comment ref="R1" authorId="0">
      <text>
        <r>
          <rPr>
            <rFont val="Aptos Narrow"/>
            <b/>
            <color rgb="FFFFFFFF"/>
            <sz val="11"/>
          </rPr>
          <t>TRUE for a blocking control that HAS been evaluated at least once and has never returned a negative result.</t>
        </r>
      </text>
    </comment>
    <comment ref="S1" authorId="0">
      <text>
        <r>
          <rPr>
            <rFont val="Aptos Narrow"/>
            <b/>
            <color rgb="FFFFFFFF"/>
            <sz val="11"/>
          </rPr>
          <t>TRUE when this requirement names a field it claims computes it.</t>
        </r>
      </text>
    </comment>
    <comment ref="T1" authorId="0">
      <text>
        <r>
          <rPr>
            <rFont val="Aptos Narrow"/>
            <b/>
            <color rgb="FFFFFFFF"/>
            <sz val="11"/>
          </rPr>
          <t>TRUE when the field named in WitnessFieldName actually exists in the field catalog AND is a derived (calculated/lookup/aggregation) field.</t>
        </r>
      </text>
    </comment>
    <comment ref="U1" authorId="0">
      <text>
        <r>
          <rPr>
            <rFont val="Aptos Narrow"/>
            <b/>
            <color rgb="FFFFFFFF"/>
            <sz val="11"/>
          </rPr>
          <t>Whether this requirement genuinely has a computed witness, derived from the field catalog rather than asserted.</t>
        </r>
      </text>
    </comment>
    <comment ref="V1" authorId="0">
      <text>
        <r>
          <rPr>
            <rFont val="Aptos Narrow"/>
            <b/>
            <color rgb="FFFFFFFF"/>
            <sz val="11"/>
          </rPr>
          <t>TRUE when the hand-typed HasComputedWitness flag disagrees with what the field catalog says.</t>
        </r>
      </text>
    </comment>
    <comment ref="W1" authorId="0">
      <text>
        <r>
          <rPr>
            <rFont val="Aptos Narrow"/>
            <b/>
            <color rgb="FFFFFFFF"/>
            <sz val="11"/>
          </rPr>
          <t>TRUE for a blocking control with no verified computed witness behind it.</t>
        </r>
      </text>
    </comment>
    <comment ref="X1" authorId="0">
      <text>
        <r>
          <rPr>
            <rFont val="Aptos Narrow"/>
            <b/>
            <color rgb="FFFFFFFF"/>
            <sz val="11"/>
          </rPr>
          <t>How many times this requirement's evaluation has returned a non-Satisfied result.</t>
        </r>
      </text>
    </comment>
    <comment ref="Y1" authorId="0">
      <text>
        <r>
          <rPr>
            <rFont val="Aptos Narrow"/>
            <b/>
            <color rgb="FFFFFFFF"/>
            <sz val="11"/>
          </rPr>
          <t>TRUE for a requirement that has a computed witness which has never once returned a negative result.</t>
        </r>
      </text>
    </comment>
    <comment ref="Z1" authorId="0">
      <text>
        <r>
          <rPr>
            <rFont val="Aptos Narrow"/>
            <b/>
            <color rgb="FFFFFFFF"/>
            <sz val="11"/>
          </rPr>
          <t>How many times this requirement has been evaluated at all.</t>
        </r>
      </text>
    </comment>
    <comment ref="AA1" authorId="0">
      <text>
        <r>
          <rPr>
            <rFont val="Aptos Narrow"/>
            <b/>
            <color rgb="FFFFFFFF"/>
            <sz val="11"/>
          </rPr>
          <t>TRUE when this requirement has been evaluated often enough that a clean record is informative.</t>
        </r>
      </text>
    </comment>
    <comment ref="AB1" authorId="0">
      <text>
        <r>
          <rPr>
            <rFont val="Aptos Narrow"/>
            <b/>
            <color rgb="FFFFFFFF"/>
            <sz val="11"/>
          </rPr>
          <t>The number of clean evaluations this control must accumulate before its silence counts as evidence.</t>
        </r>
      </text>
    </comment>
    <comment ref="AC1" authorId="0">
      <text>
        <r>
          <rPr>
            <rFont val="Aptos Narrow"/>
            <b/>
            <color rgb="FFFFFFFF"/>
            <sz val="11"/>
          </rPr>
          <t>TRUE for a witness that has never fired and has not been exercised enough for that silence to mean anything.</t>
        </r>
      </text>
    </comment>
    <comment ref="AD1" authorId="0">
      <text>
        <r>
          <rPr>
            <rFont val="Aptos Narrow"/>
            <b/>
            <color rgb="FFFFFFFF"/>
            <sz val="11"/>
          </rPr>
          <t>TRUE for a witness that has never fired across a sample large enough for that to constitute evidence.</t>
        </r>
      </text>
    </comment>
    <comment ref="AE1" authorId="0">
      <text>
        <r>
          <rPr>
            <rFont val="Aptos Narrow"/>
            <b/>
            <color rgb="FFFFFFFF"/>
            <sz val="11"/>
          </rPr>
          <t>One of Decorative, Inoperative, Asserted, Demonstrated, Holding, or Untested — the single control-health verdict for this requirement.</t>
        </r>
      </text>
    </comment>
    <comment ref="AF1" authorId="0">
      <text>
        <r>
          <rPr>
            <rFont val="Aptos Narrow"/>
            <b/>
            <color rgb="FFFFFFFF"/>
            <sz val="11"/>
          </rPr>
          <t>How many of this control's step bindings have never been evaluated.</t>
        </r>
      </text>
    </comment>
    <comment ref="AG1" authorId="0">
      <text>
        <r>
          <rPr>
            <rFont val="Aptos Narrow"/>
            <b/>
            <color rgb="FFFFFFFF"/>
            <sz val="11"/>
          </rPr>
          <t>TRUE when a control has a computed witness but at least one of its step bindings has never been exercised by it.</t>
        </r>
      </text>
    </comment>
    <comment ref="AH1" authorId="0">
      <text>
        <r>
          <rPr>
            <rFont val="Aptos Narrow"/>
            <b/>
            <color rgb="FFFFFFFF"/>
            <sz val="11"/>
          </rPr>
          <t>The role answerable for this control operating as designed.</t>
        </r>
      </text>
    </comment>
    <comment ref="AI1" authorId="0">
      <text>
        <r>
          <rPr>
            <rFont val="Aptos Narrow"/>
            <b/>
            <color rgb="FFFFFFFF"/>
            <sz val="11"/>
          </rPr>
          <t>The person currently holding the accountable role for this control.</t>
        </r>
      </text>
    </comment>
    <comment ref="AJ1" authorId="0">
      <text>
        <r>
          <rPr>
            <rFont val="Aptos Narrow"/>
            <b/>
            <color rgb="FFFFFFFF"/>
            <sz val="11"/>
          </rPr>
          <t>TRUE when a role has been named as accountable for this control.</t>
        </r>
      </text>
    </comment>
    <comment ref="AK1" authorId="0">
      <text>
        <r>
          <rPr>
            <rFont val="Aptos Narrow"/>
            <b/>
            <color rgb="FFFFFFFF"/>
            <sz val="11"/>
          </rPr>
          <t>TRUE for a blocking control with nobody named as accountable for it.</t>
        </r>
      </text>
    </comment>
    <comment ref="AL1" authorId="0">
      <text>
        <r>
          <rPr>
            <rFont val="Aptos Narrow"/>
            <b/>
            <color rgb="FFFFFFFF"/>
            <sz val="11"/>
          </rPr>
          <t>TRUE for a blocking control that nothing computes and nobody owns.</t>
        </r>
      </text>
    </comment>
    <comment ref="AM1" authorId="0">
      <text>
        <r>
          <rPr>
            <rFont val="Aptos Narrow"/>
            <b/>
            <color rgb="FFFFFFFF"/>
            <sz val="11"/>
          </rPr>
          <t>States, per control, what kind of exposure attesting to it creates.</t>
        </r>
      </text>
    </comment>
    <comment ref="AN1" authorId="0">
      <text>
        <r>
          <rPr>
            <rFont val="Aptos Narrow"/>
            <b/>
            <color rgb="FFFFFFFF"/>
            <sz val="11"/>
          </rPr>
          <t>Constant marker echoed when this control is both unwatched and unowned.</t>
        </r>
      </text>
    </comment>
    <comment ref="AO1" authorId="0">
      <text>
        <r>
          <rPr>
            <rFont val="Aptos Narrow"/>
            <b/>
            <color rgb="FFFFFFFF"/>
            <sz val="11"/>
          </rPr>
          <t>Controlled vocabulary term this requirement's concept maps to, if any.</t>
        </r>
      </text>
    </comment>
    <comment ref="AP1" authorId="0">
      <text>
        <r>
          <rPr>
            <rFont val="Aptos Narrow"/>
            <b/>
            <color rgb="FFFFFFFF"/>
            <sz val="11"/>
          </rPr>
          <t>TRUE when this requirement points at a controlled term instead of only free-texting the concept.</t>
        </r>
      </text>
    </comment>
    <comment ref="AQ1" authorId="0">
      <text>
        <r>
          <rPr>
            <rFont val="Aptos Narrow"/>
            <b/>
            <color rgb="FFFFFFFF"/>
            <sz val="11"/>
          </rPr>
          <t>Exact PKO class IRI.</t>
        </r>
      </text>
    </comment>
    <comment ref="B1" authorId="0">
      <text>
        <r>
          <rPr>
            <rFont val="Aptos Narrow"/>
            <b/>
            <color rgb="FFFFFFFF"/>
            <sz val="11"/>
          </rPr>
          <t>Human-readable calculated display alias for the Requirements row.</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StepRequirements row.</t>
        </r>
      </text>
    </comment>
    <comment ref="C1" authorId="0">
      <text>
        <r>
          <rPr>
            <rFont val="Aptos Narrow"/>
            <b/>
            <color rgb="FFFFFFFF"/>
            <sz val="11"/>
          </rPr>
          <t>Step side of the relationship.</t>
        </r>
      </text>
    </comment>
    <comment ref="D1" authorId="0">
      <text>
        <r>
          <rPr>
            <rFont val="Aptos Narrow"/>
            <b/>
            <color rgb="FFFFFFFF"/>
            <sz val="11"/>
          </rPr>
          <t>Requirement side of the relationship.</t>
        </r>
      </text>
    </comment>
    <comment ref="E1" authorId="0">
      <text>
        <r>
          <rPr>
            <rFont val="Aptos Narrow"/>
            <b/>
            <color rgb="FFFFFFFF"/>
            <sz val="11"/>
          </rPr>
          <t>Whether this spec-side step/requirement binding names a blocking control.</t>
        </r>
      </text>
    </comment>
    <comment ref="F1" authorId="0">
      <text>
        <r>
          <rPr>
            <rFont val="Aptos Narrow"/>
            <b/>
            <color rgb="FFFFFFFF"/>
            <sz val="11"/>
          </rPr>
          <t>Echoes the Step id only when the bound requirement is blocking; empty otherwise.</t>
        </r>
      </text>
    </comment>
    <comment ref="G1" authorId="0">
      <text>
        <r>
          <rPr>
            <rFont val="Aptos Narrow"/>
            <b/>
            <color rgb="FFFFFFFF"/>
            <sz val="11"/>
          </rPr>
          <t>Echoes the step id when the bound requirement is blocking, blank otherwise.</t>
        </r>
      </text>
    </comment>
    <comment ref="H1" authorId="0">
      <text>
        <r>
          <rPr>
            <rFont val="Aptos Narrow"/>
            <b/>
            <color rgb="FFFFFFFF"/>
            <sz val="11"/>
          </rPr>
          <t>Whether the requirement bound at this step is a blocking control with no computed witness.</t>
        </r>
      </text>
    </comment>
    <comment ref="I1" authorId="0">
      <text>
        <r>
          <rPr>
            <rFont val="Aptos Narrow"/>
            <b/>
            <color rgb="FFFFFFFF"/>
            <sz val="11"/>
          </rPr>
          <t>Echoes the step id when the requirement bound here has no computed witness.</t>
        </r>
      </text>
    </comment>
    <comment ref="J1" authorId="0">
      <text>
        <r>
          <rPr>
            <rFont val="Aptos Narrow"/>
            <b/>
            <color rgb="FFFFFFFF"/>
            <sz val="11"/>
          </rPr>
          <t>How many times this specific (step, requirement) binding has been evaluated in any execution.</t>
        </r>
      </text>
    </comment>
    <comment ref="K1" authorId="0">
      <text>
        <r>
          <rPr>
            <rFont val="Aptos Narrow"/>
            <b/>
            <color rgb="FFFFFFFF"/>
            <sz val="11"/>
          </rPr>
          <t>TRUE when this specific (step, requirement) pair has been evaluated at least once.</t>
        </r>
      </text>
    </comment>
    <comment ref="L1" authorId="0">
      <text>
        <r>
          <rPr>
            <rFont val="Aptos Narrow"/>
            <b/>
            <color rgb="FFFFFFFF"/>
            <sz val="11"/>
          </rPr>
          <t>TRUE for a blocking control bound to a step where it has never actually been evaluated.</t>
        </r>
      </text>
    </comment>
    <comment ref="M1" authorId="0">
      <text>
        <r>
          <rPr>
            <rFont val="Aptos Narrow"/>
            <b/>
            <color rgb="FFFFFFFF"/>
            <sz val="11"/>
          </rPr>
          <t>Echoes the requirement id when this binding has never been exercised.</t>
        </r>
      </text>
    </comment>
    <comment ref="B1" authorId="0">
      <text>
        <r>
          <rPr>
            <rFont val="Aptos Narrow"/>
            <b/>
            <color rgb="FFFFFFFF"/>
            <sz val="11"/>
          </rPr>
          <t>Human-readable calculated display alias for the StepRequirements row.</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StepVerifications row.</t>
        </r>
      </text>
    </comment>
    <comment ref="C1" authorId="0">
      <text>
        <r>
          <rPr>
            <rFont val="Aptos Narrow"/>
            <b/>
            <color rgb="FFFFFFFF"/>
            <sz val="11"/>
          </rPr>
          <t>Step whose execution is verified; maps to pko:hasStepVerification.</t>
        </r>
      </text>
    </comment>
    <comment ref="D1" authorId="0">
      <text>
        <r>
          <rPr>
            <rFont val="Aptos Narrow"/>
            <b/>
            <color rgb="FFFFFFFF"/>
            <sz val="11"/>
          </rPr>
          <t>SignalVerification, ApprovalVerification, ProvenanceVerification, or another documented kind.</t>
        </r>
      </text>
    </comment>
    <comment ref="E1" authorId="0">
      <text>
        <r>
          <rPr>
            <rFont val="Aptos Narrow"/>
            <b/>
            <color rgb="FFFFFFFF"/>
            <sz val="11"/>
          </rPr>
          <t>Signal or evidence key; maps to pko:signalIdentifier for signal verifications.</t>
        </r>
      </text>
    </comment>
    <comment ref="F1" authorId="0">
      <text>
        <r>
          <rPr>
            <rFont val="Aptos Narrow"/>
            <b/>
            <color rgb="FFFFFFFF"/>
            <sz val="11"/>
          </rPr>
          <t>Expected value; maps to pko:expectedSignalValue.</t>
        </r>
      </text>
    </comment>
    <comment ref="G1" authorId="0">
      <text>
        <r>
          <rPr>
            <rFont val="Aptos Narrow"/>
            <b/>
            <color rgb="FFFFFFFF"/>
            <sz val="11"/>
          </rPr>
          <t>How to verify the step.</t>
        </r>
      </text>
    </comment>
    <comment ref="H1" authorId="0">
      <text>
        <r>
          <rPr>
            <rFont val="Aptos Narrow"/>
            <b/>
            <color rgb="FFFFFFFF"/>
            <sz val="11"/>
          </rPr>
          <t>Exact PKO or extension class IRI.</t>
        </r>
      </text>
    </comment>
    <comment ref="B1" authorId="0">
      <text>
        <r>
          <rPr>
            <rFont val="Aptos Narrow"/>
            <b/>
            <color rgb="FFFFFFFF"/>
            <sz val="11"/>
          </rPr>
          <t>Human-readable calculated display alias for the StepVerifications row.</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Rationales row.</t>
        </r>
      </text>
    </comment>
    <comment ref="C1" authorId="0">
      <text>
        <r>
          <rPr>
            <rFont val="Aptos Narrow"/>
            <b/>
            <color rgb="FFFFFFFF"/>
            <sz val="11"/>
          </rPr>
          <t>Version justified by the rationale.</t>
        </r>
      </text>
    </comment>
    <comment ref="D1" authorId="0">
      <text>
        <r>
          <rPr>
            <rFont val="Aptos Narrow"/>
            <b/>
            <color rgb="FFFFFFFF"/>
            <sz val="11"/>
          </rPr>
          <t>Optional step justified by the rationale.</t>
        </r>
      </text>
    </comment>
    <comment ref="E1" authorId="0">
      <text>
        <r>
          <rPr>
            <rFont val="Aptos Narrow"/>
            <b/>
            <color rgb="FFFFFFFF"/>
            <sz val="11"/>
          </rPr>
          <t>Rationale title.</t>
        </r>
      </text>
    </comment>
    <comment ref="F1" authorId="0">
      <text>
        <r>
          <rPr>
            <rFont val="Aptos Narrow"/>
            <b/>
            <color rgb="FFFFFFFF"/>
            <sz val="11"/>
          </rPr>
          <t>Reasoned explanation.</t>
        </r>
      </text>
    </comment>
    <comment ref="G1" authorId="0">
      <text>
        <r>
          <rPr>
            <rFont val="Aptos Narrow"/>
            <b/>
            <color rgb="FFFFFFFF"/>
            <sz val="11"/>
          </rPr>
          <t>Draft, Reviewed, Approved, or Superseded.</t>
        </r>
      </text>
    </comment>
    <comment ref="H1" authorId="0">
      <text>
        <r>
          <rPr>
            <rFont val="Aptos Narrow"/>
            <b/>
            <color rgb="FFFFFFFF"/>
            <sz val="11"/>
          </rPr>
          <t>Role authorized to approve the rationale.</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Rationales row.</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Exceptions row.</t>
        </r>
      </text>
    </comment>
    <comment ref="C1" authorId="0">
      <text>
        <r>
          <rPr>
            <rFont val="Aptos Narrow"/>
            <b/>
            <color rgb="FFFFFFFF"/>
            <sz val="11"/>
          </rPr>
          <t>Procedure version containing the exception.</t>
        </r>
      </text>
    </comment>
    <comment ref="D1" authorId="0">
      <text>
        <r>
          <rPr>
            <rFont val="Aptos Narrow"/>
            <b/>
            <color rgb="FFFFFFFF"/>
            <sz val="11"/>
          </rPr>
          <t>Step at which the exception becomes relevant.</t>
        </r>
      </text>
    </comment>
    <comment ref="E1" authorId="0">
      <text>
        <r>
          <rPr>
            <rFont val="Aptos Narrow"/>
            <b/>
            <color rgb="FFFFFFFF"/>
            <sz val="11"/>
          </rPr>
          <t>Exception condition.</t>
        </r>
      </text>
    </comment>
    <comment ref="F1" authorId="0">
      <text>
        <r>
          <rPr>
            <rFont val="Aptos Narrow"/>
            <b/>
            <color rgb="FFFFFFFF"/>
            <sz val="11"/>
          </rPr>
          <t>Required handling and guardrails.</t>
        </r>
      </text>
    </comment>
    <comment ref="G1" authorId="0">
      <text>
        <r>
          <rPr>
            <rFont val="Aptos Narrow"/>
            <b/>
            <color rgb="FFFFFFFF"/>
            <sz val="11"/>
          </rPr>
          <t>Role that approves use of the exception.</t>
        </r>
      </text>
    </comment>
    <comment ref="H1" authorId="0">
      <text>
        <r>
          <rPr>
            <rFont val="Aptos Narrow"/>
            <b/>
            <color rgb="FFFFFFFF"/>
            <sz val="11"/>
          </rPr>
          <t>Role or function that executes fallback handling.</t>
        </r>
      </text>
    </comment>
    <comment ref="I1" authorId="0">
      <text>
        <r>
          <rPr>
            <rFont val="Aptos Narrow"/>
            <b/>
            <color rgb="FFFFFFFF"/>
            <sz val="11"/>
          </rPr>
          <t>Active, Draft, Retired, or Superseded.</t>
        </r>
      </text>
    </comment>
    <comment ref="J1" authorId="0">
      <text>
        <r>
          <rPr>
            <rFont val="Aptos Narrow"/>
            <b/>
            <color rgb="FFFFFFFF"/>
            <sz val="11"/>
          </rPr>
          <t>Echoes the TriggerStep id only for exceptions currently in Active status.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Exceptions row.</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Resources row.</t>
        </r>
      </text>
    </comment>
    <comment ref="C1" authorId="0">
      <text>
        <r>
          <rPr>
            <rFont val="Aptos Narrow"/>
            <b/>
            <color rgb="FFFFFFFF"/>
            <sz val="11"/>
          </rPr>
          <t>Resource title; maps to dcterms:title.</t>
        </r>
      </text>
    </comment>
    <comment ref="D1" authorId="0">
      <text>
        <r>
          <rPr>
            <rFont val="Aptos Narrow"/>
            <b/>
            <color rgb="FFFFFFFF"/>
            <sz val="11"/>
          </rPr>
          <t>Document, Dataset, API, Template, OperationalRecord, Image, Video, or another declared type.</t>
        </r>
      </text>
    </comment>
    <comment ref="E1" authorId="0">
      <text>
        <r>
          <rPr>
            <rFont val="Aptos Narrow"/>
            <b/>
            <color rgb="FFFFFFFF"/>
            <sz val="11"/>
          </rPr>
          <t>Resolvable or organization-internal resource identifier.</t>
        </r>
      </text>
    </comment>
    <comment ref="F1" authorId="0">
      <text>
        <r>
          <rPr>
            <rFont val="Aptos Narrow"/>
            <b/>
            <color rgb="FFFFFFFF"/>
            <sz val="11"/>
          </rPr>
          <t>Creation time; maps to dcterms:created.</t>
        </r>
      </text>
    </comment>
    <comment ref="G1" authorId="0">
      <text>
        <r>
          <rPr>
            <rFont val="Aptos Narrow"/>
            <b/>
            <color rgb="FFFFFFFF"/>
            <sz val="11"/>
          </rPr>
          <t>Modification time; maps to dcterms:modified.</t>
        </r>
      </text>
    </comment>
    <comment ref="H1" authorId="0">
      <text>
        <r>
          <rPr>
            <rFont val="Aptos Narrow"/>
            <b/>
            <color rgb="FFFFFFFF"/>
            <sz val="11"/>
          </rPr>
          <t>Resource description; maps to dcterms:description.</t>
        </r>
      </text>
    </comment>
    <comment ref="I1" authorId="0">
      <text>
        <r>
          <rPr>
            <rFont val="Aptos Narrow"/>
            <b/>
            <color rgb="FFFFFFFF"/>
            <sz val="11"/>
          </rPr>
          <t>Approved, Draft, Deprecated, or Unvetted.</t>
        </r>
      </text>
    </comment>
    <comment ref="J1" authorId="0">
      <text>
        <r>
          <rPr>
            <rFont val="Aptos Narrow"/>
            <b/>
            <color rgb="FFFFFFFF"/>
            <sz val="11"/>
          </rPr>
          <t>TRUE when this resource is an approved source.</t>
        </r>
      </text>
    </comment>
    <comment ref="K1" authorId="0">
      <text>
        <r>
          <rPr>
            <rFont val="Aptos Narrow"/>
            <b/>
            <color rgb="FFFFFFFF"/>
            <sz val="11"/>
          </rPr>
          <t>Exact semantic class IRI.</t>
        </r>
      </text>
    </comment>
    <comment ref="B1" authorId="0">
      <text>
        <r>
          <rPr>
            <rFont val="Aptos Narrow"/>
            <b/>
            <color rgb="FFFFFFFF"/>
            <sz val="11"/>
          </rPr>
          <t>Human-readable calculated display alias for the Resources row.</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ProcedureResources row.</t>
        </r>
      </text>
    </comment>
    <comment ref="C1" authorId="0">
      <text>
        <r>
          <rPr>
            <rFont val="Aptos Narrow"/>
            <b/>
            <color rgb="FFFFFFFF"/>
            <sz val="11"/>
          </rPr>
          <t>Procedure version.</t>
        </r>
      </text>
    </comment>
    <comment ref="D1" authorId="0">
      <text>
        <r>
          <rPr>
            <rFont val="Aptos Narrow"/>
            <b/>
            <color rgb="FFFFFFFF"/>
            <sz val="11"/>
          </rPr>
          <t>Referenced or source resource.</t>
        </r>
      </text>
    </comment>
    <comment ref="E1" authorId="0">
      <text>
        <r>
          <rPr>
            <rFont val="Aptos Narrow"/>
            <b/>
            <color rgb="FFFFFFFF"/>
            <sz val="11"/>
          </rPr>
          <t>wasExtractedFrom, references, generated, used, or another declared relation.</t>
        </r>
      </text>
    </comment>
    <comment ref="F1" authorId="0">
      <text>
        <r>
          <rPr>
            <rFont val="Aptos Narrow"/>
            <b/>
            <color rgb="FFFFFFFF"/>
            <sz val="11"/>
          </rPr>
          <t>Exact semantic property IRI for the relation.</t>
        </r>
      </text>
    </comment>
    <comment ref="B1" authorId="0">
      <text>
        <r>
          <rPr>
            <rFont val="Aptos Narrow"/>
            <b/>
            <color rgb="FFFFFFFF"/>
            <sz val="11"/>
          </rPr>
          <t>Human-readable calculated display alias for the ProcedureResources row.</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ElicitationSessions row.</t>
        </r>
      </text>
    </comment>
    <comment ref="C1" authorId="0">
      <text>
        <r>
          <rPr>
            <rFont val="Aptos Narrow"/>
            <b/>
            <color rgb="FFFFFFFF"/>
            <sz val="11"/>
          </rPr>
          <t>Procedure version whose knowledge was elicited.</t>
        </r>
      </text>
    </comment>
    <comment ref="D1" authorId="0">
      <text>
        <r>
          <rPr>
            <rFont val="Aptos Narrow"/>
            <b/>
            <color rgb="FFFFFFFF"/>
            <sz val="11"/>
          </rPr>
          <t>Interview, shadowing, workshop, observation, document analysis, or another method.</t>
        </r>
      </text>
    </comment>
    <comment ref="E1" authorId="0">
      <text>
        <r>
          <rPr>
            <rFont val="Aptos Narrow"/>
            <b/>
            <color rgb="FFFFFFFF"/>
            <sz val="11"/>
          </rPr>
          <t>Start time; maps to prov:startedAtTime.</t>
        </r>
      </text>
    </comment>
    <comment ref="F1" authorId="0">
      <text>
        <r>
          <rPr>
            <rFont val="Aptos Narrow"/>
            <b/>
            <color rgb="FFFFFFFF"/>
            <sz val="11"/>
          </rPr>
          <t>End time; maps to prov:endedAtTime.</t>
        </r>
      </text>
    </comment>
    <comment ref="G1" authorId="0">
      <text>
        <r>
          <rPr>
            <rFont val="Aptos Narrow"/>
            <b/>
            <color rgb="FFFFFFFF"/>
            <sz val="11"/>
          </rPr>
          <t>Domain practitioner providing knowledge.</t>
        </r>
      </text>
    </comment>
    <comment ref="H1" authorId="0">
      <text>
        <r>
          <rPr>
            <rFont val="Aptos Narrow"/>
            <b/>
            <color rgb="FFFFFFFF"/>
            <sz val="11"/>
          </rPr>
          <t>Person facilitating elicitation.</t>
        </r>
      </text>
    </comment>
    <comment ref="I1" authorId="0">
      <text>
        <r>
          <rPr>
            <rFont val="Aptos Narrow"/>
            <b/>
            <color rgb="FFFFFFFF"/>
            <sz val="11"/>
          </rPr>
          <t>What was learned and captured.</t>
        </r>
      </text>
    </comment>
    <comment ref="J1" authorId="0">
      <text>
        <r>
          <rPr>
            <rFont val="Aptos Narrow"/>
            <b/>
            <color rgb="FFFFFFFF"/>
            <sz val="11"/>
          </rPr>
          <t>Draft, Reviewed, Approved, or Rejected.</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Days elapsed since this elicitation session concluded.</t>
        </r>
      </text>
    </comment>
    <comment ref="N1" authorId="0">
      <text>
        <r>
          <rPr>
            <rFont val="Aptos Narrow"/>
            <b/>
            <color rgb="FFFFFFFF"/>
            <sz val="11"/>
          </rPr>
          <t>TRUE when this session captured one practitioner's account rather than a group's.</t>
        </r>
      </text>
    </comment>
    <comment ref="O1" authorId="0">
      <text>
        <r>
          <rPr>
            <rFont val="Aptos Narrow"/>
            <b/>
            <color rgb="FFFFFFFF"/>
            <sz val="11"/>
          </rPr>
          <t>Whether the practitioner whose knowledge this session captured still holds a role here.</t>
        </r>
      </text>
    </comment>
    <comment ref="P1" authorId="0">
      <text>
        <r>
          <rPr>
            <rFont val="Aptos Narrow"/>
            <b/>
            <color rgb="FFFFFFFF"/>
            <sz val="11"/>
          </rPr>
          <t>How many currently-valid knowledge fragments this one session produced.</t>
        </r>
      </text>
    </comment>
    <comment ref="Q1" authorId="0">
      <text>
        <r>
          <rPr>
            <rFont val="Aptos Narrow"/>
            <b/>
            <color rgb="FFFFFFFF"/>
            <sz val="11"/>
          </rPr>
          <t>A session that alone underwrites three or more currently-valid claims.</t>
        </r>
      </text>
    </comment>
    <comment ref="R1" authorId="0">
      <text>
        <r>
          <rPr>
            <rFont val="Aptos Narrow"/>
            <b/>
            <color rgb="FFFFFFFF"/>
            <sz val="11"/>
          </rPr>
          <t>One unrepeated session with one witness that underwrites three or more live claims.</t>
        </r>
      </text>
    </comment>
    <comment ref="S1" authorId="0">
      <text>
        <r>
          <rPr>
            <rFont val="Aptos Narrow"/>
            <b/>
            <color rgb="FFFFFFFF"/>
            <sz val="11"/>
          </rPr>
          <t>A concentrated single-witness session more than 180 days old — matching the single-witness expiry horizon loop 1 already established.</t>
        </r>
      </text>
    </comment>
    <comment ref="T1" authorId="0">
      <text>
        <r>
          <rPr>
            <rFont val="Aptos Narrow"/>
            <b/>
            <color rgb="FFFFFFFF"/>
            <sz val="11"/>
          </rPr>
          <t>Composite-key echo: this session's procedure version when the session is a concentrated single witness, blank otherwise.</t>
        </r>
      </text>
    </comment>
    <comment ref="U1" authorId="0">
      <text>
        <r>
          <rPr>
            <rFont val="Aptos Narrow"/>
            <b/>
            <color rgb="FFFFFFFF"/>
            <sz val="11"/>
          </rPr>
          <t>Class IRI used in semantic projection.</t>
        </r>
      </text>
    </comment>
    <comment ref="B1" authorId="0">
      <text>
        <r>
          <rPr>
            <rFont val="Aptos Narrow"/>
            <b/>
            <color rgb="FFFFFFFF"/>
            <sz val="11"/>
          </rPr>
          <t>Human-readable calculated display alias for the ElicitationSessions row.</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KnowledgeFragments row.</t>
        </r>
      </text>
    </comment>
    <comment ref="C1" authorId="0">
      <text>
        <r>
          <rPr>
            <rFont val="Aptos Narrow"/>
            <b/>
            <color rgb="FFFFFFFF"/>
            <sz val="11"/>
          </rPr>
          <t>Procedure version informed by the fragment.</t>
        </r>
      </text>
    </comment>
    <comment ref="D1" authorId="0">
      <text>
        <r>
          <rPr>
            <rFont val="Aptos Narrow"/>
            <b/>
            <color rgb="FFFFFFFF"/>
            <sz val="11"/>
          </rPr>
          <t>Optional step to which the fragment applies.</t>
        </r>
      </text>
    </comment>
    <comment ref="E1" authorId="0">
      <text>
        <r>
          <rPr>
            <rFont val="Aptos Narrow"/>
            <b/>
            <color rgb="FFFFFFFF"/>
            <sz val="11"/>
          </rPr>
          <t>Tacit, Implicit, Explicit, SituatedJudgment, LessonLearned, or another declared form.</t>
        </r>
      </text>
    </comment>
    <comment ref="F1" authorId="0">
      <text>
        <r>
          <rPr>
            <rFont val="Aptos Narrow"/>
            <b/>
            <color rgb="FFFFFFFF"/>
            <sz val="11"/>
          </rPr>
          <t>Captured knowledge statement.</t>
        </r>
      </text>
    </comment>
    <comment ref="G1" authorId="0">
      <text>
        <r>
          <rPr>
            <rFont val="Aptos Narrow"/>
            <b/>
            <color rgb="FFFFFFFF"/>
            <sz val="11"/>
          </rPr>
          <t>Optional elicitation session that produced the fragment.</t>
        </r>
      </text>
    </comment>
    <comment ref="H1" authorId="0">
      <text>
        <r>
          <rPr>
            <rFont val="Aptos Narrow"/>
            <b/>
            <color rgb="FFFFFFFF"/>
            <sz val="11"/>
          </rPr>
          <t>Practitioner or source agent.</t>
        </r>
      </text>
    </comment>
    <comment ref="I1" authorId="0">
      <text>
        <r>
          <rPr>
            <rFont val="Aptos Narrow"/>
            <b/>
            <color rgb="FFFFFFFF"/>
            <sz val="11"/>
          </rPr>
          <t>Low, Medium, or High confidence.</t>
        </r>
      </text>
    </comment>
    <comment ref="J1" authorId="0">
      <text>
        <r>
          <rPr>
            <rFont val="Aptos Narrow"/>
            <b/>
            <color rgb="FFFFFFFF"/>
            <sz val="11"/>
          </rPr>
          <t>Start of the fragment's valid-time interval.</t>
        </r>
      </text>
    </comment>
    <comment ref="K1" authorId="0">
      <text>
        <r>
          <rPr>
            <rFont val="Aptos Narrow"/>
            <b/>
            <color rgb="FFFFFFFF"/>
            <sz val="11"/>
          </rPr>
          <t>End of the fragment's valid-time interval.</t>
        </r>
      </text>
    </comment>
    <comment ref="L1" authorId="0">
      <text>
        <r>
          <rPr>
            <rFont val="Aptos Narrow"/>
            <b/>
            <color rgb="FFFFFFFF"/>
            <sz val="11"/>
          </rPr>
          <t>Draft, Reviewed, Approved, Rejected, or Superseded.</t>
        </r>
      </text>
    </comment>
    <comment ref="M1" authorId="0">
      <text>
        <r>
          <rPr>
            <rFont val="Aptos Narrow"/>
            <b/>
            <color rgb="FFFFFFFF"/>
            <sz val="11"/>
          </rPr>
          <t>Role accountable for maintaining the fragment.</t>
        </r>
      </text>
    </comment>
    <comment ref="N1" authorId="0">
      <text>
        <r>
          <rPr>
            <rFont val="Aptos Narrow"/>
            <b/>
            <color rgb="FFFFFFFF"/>
            <sz val="11"/>
          </rPr>
          <t>The evaluation context this row's time-dependent witnesses are judged under.</t>
        </r>
      </text>
    </comment>
    <comment ref="O1" authorId="0">
      <text>
        <r>
          <rPr>
            <rFont val="Aptos Narrow"/>
            <b/>
            <color rgb="FFFFFFFF"/>
            <sz val="11"/>
          </rPr>
          <t>The evaluation instant this row's time-dependent witnesses are judged against.</t>
        </r>
      </text>
    </comment>
    <comment ref="P1" authorId="0">
      <text>
        <r>
          <rPr>
            <rFont val="Aptos Narrow"/>
            <b/>
            <color rgb="FFFFFFFF"/>
            <sz val="11"/>
          </rPr>
          <t>TRUE when the fragment is approved and valid now.</t>
        </r>
      </text>
    </comment>
    <comment ref="Q1" authorId="0">
      <text>
        <r>
          <rPr>
            <rFont val="Aptos Narrow"/>
            <b/>
            <color rgb="FFFFFFFF"/>
            <sz val="11"/>
          </rPr>
          <t>Whether the agent who is the source of this claim still holds a role here.</t>
        </r>
      </text>
    </comment>
    <comment ref="R1" authorId="0">
      <text>
        <r>
          <rPr>
            <rFont val="Aptos Narrow"/>
            <b/>
            <color rgb="FFFFFFFF"/>
            <sz val="11"/>
          </rPr>
          <t>Whether the source of this claim is a Human, an AIAgent, or an AutomatedPipeline.</t>
        </r>
      </text>
    </comment>
    <comment ref="S1" authorId="0">
      <text>
        <r>
          <rPr>
            <rFont val="Aptos Narrow"/>
            <b/>
            <color rgb="FFFFFFFF"/>
            <sz val="11"/>
          </rPr>
          <t>TRUE when the claim originates from a human practitioner rather than software.</t>
        </r>
      </text>
    </comment>
    <comment ref="T1" authorId="0">
      <text>
        <r>
          <rPr>
            <rFont val="Aptos Narrow"/>
            <b/>
            <color rgb="FFFFFFFF"/>
            <sz val="11"/>
          </rPr>
          <t>TRUE when we still rely on this claim but the agent who gave it to us no longer holds a role here.</t>
        </r>
      </text>
    </comment>
    <comment ref="U1" authorId="0">
      <text>
        <r>
          <rPr>
            <rFont val="Aptos Narrow"/>
            <b/>
            <color rgb="FFFFFFFF"/>
            <sz val="11"/>
          </rPr>
          <t>TRUE when an orphaned claim is of a kind that lives in a person's head rather than in a document.</t>
        </r>
      </text>
    </comment>
    <comment ref="V1" authorId="0">
      <text>
        <r>
          <rPr>
            <rFont val="Aptos Narrow"/>
            <b/>
            <color rgb="FFFFFFFF"/>
            <sz val="11"/>
          </rPr>
          <t>TRUE when this claim has passed knowledge-authority approval.</t>
        </r>
      </text>
    </comment>
    <comment ref="W1" authorId="0">
      <text>
        <r>
          <rPr>
            <rFont val="Aptos Narrow"/>
            <b/>
            <color rgb="FFFFFFFF"/>
            <sz val="11"/>
          </rPr>
          <t>TRUE when this claim's stated validity window contains the present moment.</t>
        </r>
      </text>
    </comment>
    <comment ref="X1" authorId="0">
      <text>
        <r>
          <rPr>
            <rFont val="Aptos Narrow"/>
            <b/>
            <color rgb="FFFFFFFF"/>
            <sz val="11"/>
          </rPr>
          <t>TRUE when this claim is attached to a specific step and is inside its validity window — i.e. it is operationally in play.</t>
        </r>
      </text>
    </comment>
    <comment ref="Y1" authorId="0">
      <text>
        <r>
          <rPr>
            <rFont val="Aptos Narrow"/>
            <b/>
            <color rgb="FFFFFFFF"/>
            <sz val="11"/>
          </rPr>
          <t>The procedure version owning the step this claim is attached to.</t>
        </r>
      </text>
    </comment>
    <comment ref="Z1" authorId="0">
      <text>
        <r>
          <rPr>
            <rFont val="Aptos Narrow"/>
            <b/>
            <color rgb="FFFFFFFF"/>
            <sz val="11"/>
          </rPr>
          <t>Whether the procedure version this claim belongs to is currently executable.</t>
        </r>
      </text>
    </comment>
    <comment ref="AA1" authorId="0">
      <text>
        <r>
          <rPr>
            <rFont val="Aptos Narrow"/>
            <b/>
            <color rgb="FFFFFFFF"/>
            <sz val="11"/>
          </rPr>
          <t>TRUE when a live procedure is acting on a claim that has not been approved by the knowledge authority.</t>
        </r>
      </text>
    </comment>
    <comment ref="AB1" authorId="0">
      <text>
        <r>
          <rPr>
            <rFont val="Aptos Narrow"/>
            <b/>
            <color rgb="FFFFFFFF"/>
            <sz val="11"/>
          </rPr>
          <t>Age in days of the elicitation session this claim came from.</t>
        </r>
      </text>
    </comment>
    <comment ref="AC1" authorId="0">
      <text>
        <r>
          <rPr>
            <rFont val="Aptos Narrow"/>
            <b/>
            <color rgb="FFFFFFFF"/>
            <sz val="11"/>
          </rPr>
          <t>TRUE when this claim traces to a recorded elicitation session.</t>
        </r>
      </text>
    </comment>
    <comment ref="AD1" authorId="0">
      <text>
        <r>
          <rPr>
            <rFont val="Aptos Narrow"/>
            <b/>
            <color rgb="FFFFFFFF"/>
            <sz val="11"/>
          </rPr>
          <t>Whether this claim rests on a single practitioner's account.</t>
        </r>
      </text>
    </comment>
    <comment ref="AE1" authorId="0">
      <text>
        <r>
          <rPr>
            <rFont val="Aptos Narrow"/>
            <b/>
            <color rgb="FFFFFFFF"/>
            <sz val="11"/>
          </rPr>
          <t>How many days this claim's evidence is trusted for, given how it was gathered.</t>
        </r>
      </text>
    </comment>
    <comment ref="AF1" authorId="0">
      <text>
        <r>
          <rPr>
            <rFont val="Aptos Narrow"/>
            <b/>
            <color rgb="FFFFFFFF"/>
            <sz val="11"/>
          </rPr>
          <t>TRUE when the evidence behind this claim is older than we trust evidence of its kind to be.</t>
        </r>
      </text>
    </comment>
    <comment ref="AG1" authorId="0">
      <text>
        <r>
          <rPr>
            <rFont val="Aptos Narrow"/>
            <b/>
            <color rgb="FFFFFFFF"/>
            <sz val="11"/>
          </rPr>
          <t>The agent currently holding the role that owns this claim.</t>
        </r>
      </text>
    </comment>
    <comment ref="AH1" authorId="0">
      <text>
        <r>
          <rPr>
            <rFont val="Aptos Narrow"/>
            <b/>
            <color rgb="FFFFFFFF"/>
            <sz val="11"/>
          </rPr>
          <t>TRUE when this claim has been reviewed but not yet approved.</t>
        </r>
      </text>
    </comment>
    <comment ref="AI1" authorId="0">
      <text>
        <r>
          <rPr>
            <rFont val="Aptos Narrow"/>
            <b/>
            <color rgb="FFFFFFFF"/>
            <sz val="11"/>
          </rPr>
          <t>TRUE when the People Policy Owner role owns this claim.</t>
        </r>
      </text>
    </comment>
    <comment ref="AJ1" authorId="0">
      <text>
        <r>
          <rPr>
            <rFont val="Aptos Narrow"/>
            <b/>
            <color rgb="FFFFFFFF"/>
            <sz val="11"/>
          </rPr>
          <t>TRUE when a claim I own has been reviewed and is waiting on my approval.</t>
        </r>
      </text>
    </comment>
    <comment ref="AK1" authorId="0">
      <text>
        <r>
          <rPr>
            <rFont val="Aptos Narrow"/>
            <b/>
            <color rgb="FFFFFFFF"/>
            <sz val="11"/>
          </rPr>
          <t>How many documented exception handlers trigger on the same step this claim is attached to.</t>
        </r>
      </text>
    </comment>
    <comment ref="AL1" authorId="0">
      <text>
        <r>
          <rPr>
            <rFont val="Aptos Narrow"/>
            <b/>
            <color rgb="FFFFFFFF"/>
            <sz val="11"/>
          </rPr>
          <t>TRUE when an exception handler exists on the step this claim governs.</t>
        </r>
      </text>
    </comment>
    <comment ref="AM1" authorId="0">
      <text>
        <r>
          <rPr>
            <rFont val="Aptos Narrow"/>
            <b/>
            <color rgb="FFFFFFFF"/>
            <sz val="11"/>
          </rPr>
          <t>TRUE when a claim awaiting my approval is already being acted on through a documented exception path.</t>
        </r>
      </text>
    </comment>
    <comment ref="AN1" authorId="0">
      <text>
        <r>
          <rPr>
            <rFont val="Aptos Narrow"/>
            <b/>
            <color rgb="FFFFFFFF"/>
            <sz val="11"/>
          </rPr>
          <t>Days since this claim became valid.</t>
        </r>
      </text>
    </comment>
    <comment ref="AO1" authorId="0">
      <text>
        <r>
          <rPr>
            <rFont val="Aptos Narrow"/>
            <b/>
            <color rgb="FFFFFFFF"/>
            <sz val="11"/>
          </rPr>
          <t>TRUE when this claim was recorded with less than high confidence.</t>
        </r>
      </text>
    </comment>
    <comment ref="AP1" authorId="0">
      <text>
        <r>
          <rPr>
            <rFont val="Aptos Narrow"/>
            <b/>
            <color rgb="FFFFFFFF"/>
            <sz val="11"/>
          </rPr>
          <t>The review cadence promised for the version this claim supports.</t>
        </r>
      </text>
    </comment>
    <comment ref="AQ1" authorId="0">
      <text>
        <r>
          <rPr>
            <rFont val="Aptos Narrow"/>
            <b/>
            <color rgb="FFFFFFFF"/>
            <sz val="11"/>
          </rPr>
          <t>TRUE when this claim is older than the review cadence promised for the version it supports.</t>
        </r>
      </text>
    </comment>
    <comment ref="AR1" authorId="0">
      <text>
        <r>
          <rPr>
            <rFont val="Aptos Narrow"/>
            <b/>
            <color rgb="FFFFFFFF"/>
            <sz val="11"/>
          </rPr>
          <t>TRUE when a claim we were never sure about has also outlived its version's review cadence.</t>
        </r>
      </text>
    </comment>
    <comment ref="AS1" authorId="0">
      <text>
        <r>
          <rPr>
            <rFont val="Aptos Narrow"/>
            <b/>
            <color rgb="FFFFFFFF"/>
            <sz val="11"/>
          </rPr>
          <t>Agent kind of whoever currently holds the role that owns this knowledge fragment.</t>
        </r>
      </text>
    </comment>
    <comment ref="AT1" authorId="0">
      <text>
        <r>
          <rPr>
            <rFont val="Aptos Narrow"/>
            <b/>
            <color rgb="FFFFFFFF"/>
            <sz val="11"/>
          </rPr>
          <t>TRUE when the owning role is currently held by a human.</t>
        </r>
      </text>
    </comment>
    <comment ref="AU1" authorId="0">
      <text>
        <r>
          <rPr>
            <rFont val="Aptos Narrow"/>
            <b/>
            <color rgb="FFFFFFFF"/>
            <sz val="11"/>
          </rPr>
          <t>TRUE when knowledge came from a non-human source AND is owned by a non-human-held role.</t>
        </r>
      </text>
    </comment>
    <comment ref="AV1" authorId="0">
      <text>
        <r>
          <rPr>
            <rFont val="Aptos Narrow"/>
            <b/>
            <color rgb="FFFFFFFF"/>
            <sz val="11"/>
          </rPr>
          <t>The review cadence promised for the procedure version this fragment supports, resolved via ProcedureVersions because INDEX/MATCH only matches a target primary key.</t>
        </r>
      </text>
    </comment>
    <comment ref="AW1" authorId="0">
      <text>
        <r>
          <rPr>
            <rFont val="Aptos Narrow"/>
            <b/>
            <color rgb="FFFFFFFF"/>
            <sz val="11"/>
          </rPr>
          <t>TRUE when a currently-valid fragment has gone longer than its stewardship cadence without review.</t>
        </r>
      </text>
    </comment>
    <comment ref="AX1" authorId="0">
      <text>
        <r>
          <rPr>
            <rFont val="Aptos Narrow"/>
            <b/>
            <color rgb="FFFFFFFF"/>
            <sz val="11"/>
          </rPr>
          <t>TRUE when this knowledge became valid before the current holder of its owning role took the role.</t>
        </r>
      </text>
    </comment>
    <comment ref="AY1" authorId="0">
      <text>
        <r>
          <rPr>
            <rFont val="Aptos Narrow"/>
            <b/>
            <color rgb="FFFFFFFF"/>
            <sz val="11"/>
          </rPr>
          <t>When the current holder of the owning role took that role.</t>
        </r>
      </text>
    </comment>
    <comment ref="AZ1" authorId="0">
      <text>
        <r>
          <rPr>
            <rFont val="Aptos Narrow"/>
            <b/>
            <color rgb="FFFFFFFF"/>
            <sz val="11"/>
          </rPr>
          <t>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t>
        </r>
      </text>
    </comment>
    <comment ref="BA1" authorId="0">
      <text>
        <r>
          <rPr>
            <rFont val="Aptos Narrow"/>
            <b/>
            <color rgb="FFFFFFFF"/>
            <sz val="11"/>
          </rPr>
          <t>How many of the four loop-1 decay signals are simultaneously true for this fragment: single witness, overdue for review, low confidence, operational reliance.</t>
        </r>
      </text>
    </comment>
    <comment ref="BB1" authorId="0">
      <text>
        <r>
          <rPr>
            <rFont val="Aptos Narrow"/>
            <b/>
            <color rgb="FFFFFFFF"/>
            <sz val="11"/>
          </rPr>
          <t>A fragment carrying at least three of the four decay signals at once.</t>
        </r>
      </text>
    </comment>
    <comment ref="BC1" authorId="0">
      <text>
        <r>
          <rPr>
            <rFont val="Aptos Narrow"/>
            <b/>
            <color rgb="FFFFFFFF"/>
            <sz val="11"/>
          </rPr>
          <t>A claim that rests on exactly one person's word and that an active exception handler actually routes cases against.</t>
        </r>
      </text>
    </comment>
    <comment ref="BD1" authorId="0">
      <text>
        <r>
          <rPr>
            <rFont val="Aptos Narrow"/>
            <b/>
            <color rgb="FFFFFFFF"/>
            <sz val="11"/>
          </rPr>
          <t>A single-sourced, operationally relied-upon claim that is also past its review date.</t>
        </r>
      </text>
    </comment>
    <comment ref="BE1" authorId="0">
      <text>
        <r>
          <rPr>
            <rFont val="Aptos Narrow"/>
            <b/>
            <color rgb="FFFFFFFF"/>
            <sz val="11"/>
          </rPr>
          <t>Composite-key echo: this fragment's procedure version when the fragment is compound-fragile, blank otherwise.</t>
        </r>
      </text>
    </comment>
    <comment ref="BF1" authorId="0">
      <text>
        <r>
          <rPr>
            <rFont val="Aptos Narrow"/>
            <b/>
            <color rgb="FFFFFFFF"/>
            <sz val="11"/>
          </rPr>
          <t>Composite-key echo: the elicitation session behind this fragment when the fragment is currently valid, blank otherwise.</t>
        </r>
      </text>
    </comment>
    <comment ref="BG1" authorId="0">
      <text>
        <r>
          <rPr>
            <rFont val="Aptos Narrow"/>
            <b/>
            <color rgb="FFFFFFFF"/>
            <sz val="11"/>
          </rPr>
          <t>Whether the step that consumes this fragment is assigned to an AI agent or an automated pipeline.</t>
        </r>
      </text>
    </comment>
    <comment ref="BH1" authorId="0">
      <text>
        <r>
          <rPr>
            <rFont val="Aptos Narrow"/>
            <b/>
            <color rgb="FFFFFFFF"/>
            <sz val="11"/>
          </rPr>
          <t>The kind of agent currently holding the role assigned to the step that consumes this fragment.</t>
        </r>
      </text>
    </comment>
    <comment ref="BI1" authorId="0">
      <text>
        <r>
          <rPr>
            <rFont val="Aptos Narrow"/>
            <b/>
            <color rgb="FFFFFFFF"/>
            <sz val="11"/>
          </rPr>
          <t>An unapproved claim that a software-assigned step actually relies on — executed literally, with no human in position to notice it is wrong.</t>
        </r>
      </text>
    </comment>
    <comment ref="BJ1" authorId="0">
      <text>
        <r>
          <rPr>
            <rFont val="Aptos Narrow"/>
            <b/>
            <color rgb="FFFFFFFF"/>
            <sz val="11"/>
          </rPr>
          <t>An unapproved claim relied on by a human-assigned step — a reviewable risk rather than a silent one.</t>
        </r>
      </text>
    </comment>
    <comment ref="BK1" authorId="0">
      <text>
        <r>
          <rPr>
            <rFont val="Aptos Narrow"/>
            <b/>
            <color rgb="FFFFFFFF"/>
            <sz val="11"/>
          </rPr>
          <t>Composite-key echo: this fragment's procedure version when the fragment is unapproved and machine-consumed, blank otherwise.</t>
        </r>
      </text>
    </comment>
    <comment ref="BL1" authorId="0">
      <text>
        <r>
          <rPr>
            <rFont val="Aptos Narrow"/>
            <b/>
            <color rgb="FFFFFFFF"/>
            <sz val="11"/>
          </rPr>
          <t>Whether this fragment has ever had an actual review recorded, as opposed to merely having a ValidFrom date.</t>
        </r>
      </text>
    </comment>
    <comment ref="BM1" authorId="0">
      <text>
        <r>
          <rPr>
            <rFont val="Aptos Narrow"/>
            <b/>
            <color rgb="FFFFFFFF"/>
            <sz val="11"/>
          </rPr>
          <t>Days elapsed since this fragment was last actually reviewed. Zero when no review has ever been recorded — read this only alongside HasReviewRecord, never on its own.</t>
        </r>
      </text>
    </comment>
    <comment ref="BN1" authorId="0">
      <text>
        <r>
          <rPr>
            <rFont val="Aptos Narrow"/>
            <b/>
            <color rgb="FFFFFFFF"/>
            <sz val="11"/>
          </rPr>
          <t>A currently-valid claim that nobody has ever reviewed since it was written.</t>
        </r>
      </text>
    </comment>
    <comment ref="BO1" authorId="0">
      <text>
        <r>
          <rPr>
            <rFont val="Aptos Narrow"/>
            <b/>
            <color rgb="FFFFFFFF"/>
            <sz val="11"/>
          </rPr>
          <t>A valid claim whose LAST ACTUAL REVIEW is older than the cadence its owning version promised.</t>
        </r>
      </text>
    </comment>
    <comment ref="BP1" authorId="0">
      <text>
        <r>
          <rPr>
            <rFont val="Aptos Narrow"/>
            <b/>
            <color rgb="FFFFFFFF"/>
            <sz val="11"/>
          </rPr>
          <t>A fragment reported overdue by the loop-1 inference purely because no review has ever been recorded — the number is an artifact of missing data, not evidence of neglect.</t>
        </r>
      </text>
    </comment>
    <comment ref="BQ1" authorId="0">
      <text>
        <r>
          <rPr>
            <rFont val="Aptos Narrow"/>
            <b/>
            <color rgb="FFFFFFFF"/>
            <sz val="11"/>
          </rPr>
          <t>A fragment the ValidFrom inference calls overdue but which was in fact reviewed inside its cadence — a false positive in the loop-1 predicate, now provable.</t>
        </r>
      </text>
    </comment>
    <comment ref="BR1" authorId="0">
      <text>
        <r>
          <rPr>
            <rFont val="Aptos Narrow"/>
            <b/>
            <color rgb="FFFFFFFF"/>
            <sz val="11"/>
          </rPr>
          <t>Composite-key echo: this fragment's procedure version when the fragment is genuinely overdue, blank otherwise.</t>
        </r>
      </text>
    </comment>
    <comment ref="BS1" authorId="0">
      <text>
        <r>
          <rPr>
            <rFont val="Aptos Narrow"/>
            <b/>
            <color rgb="FFFFFFFF"/>
            <sz val="11"/>
          </rPr>
          <t>How many currently-binding authority boundaries this fragment ratifies.</t>
        </r>
      </text>
    </comment>
    <comment ref="BT1" authorId="0">
      <text>
        <r>
          <rPr>
            <rFont val="Aptos Narrow"/>
            <b/>
            <color rgb="FFFFFFFF"/>
            <sz val="11"/>
          </rPr>
          <t>Total number of distinct downstream dependents on this claim: exception handlers plus ratified authority boundaries.</t>
        </r>
      </text>
    </comment>
    <comment ref="BU1" authorId="0">
      <text>
        <r>
          <rPr>
            <rFont val="Aptos Narrow"/>
            <b/>
            <color rgb="FFFFFFFF"/>
            <sz val="11"/>
          </rPr>
          <t>How long a claim of mine has been sitting at Reviewed without my approval. Zero when the claim is not mine or is already decided.</t>
        </r>
      </text>
    </comment>
    <comment ref="BV1" authorId="0">
      <text>
        <r>
          <rPr>
            <rFont val="Aptos Narrow"/>
            <b/>
            <color rgb="FFFFFFFF"/>
            <sz val="11"/>
          </rPr>
          <t>An unapproved, operationally live claim of mine with more than one distinct downstream dependent.</t>
        </r>
      </text>
    </comment>
    <comment ref="BW1" authorId="0">
      <text>
        <r>
          <rPr>
            <rFont val="Aptos Narrow"/>
            <b/>
            <color rgb="FFFFFFFF"/>
            <sz val="11"/>
          </rPr>
          <t>A claim that has waited on my signature for more than thirty days.</t>
        </r>
      </text>
    </comment>
    <comment ref="BX1" authorId="0">
      <text>
        <r>
          <rPr>
            <rFont val="Aptos Narrow"/>
            <b/>
            <color rgb="FFFFFFFF"/>
            <sz val="11"/>
          </rPr>
          <t>Composite-key echo: this fragment's procedure version when it is a high-blast-radius unapproved claim, blank otherwise.</t>
        </r>
      </text>
    </comment>
    <comment ref="BY1" authorId="0">
      <text>
        <r>
          <rPr>
            <rFont val="Aptos Narrow"/>
            <b/>
            <color rgb="FFFFFFFF"/>
            <sz val="11"/>
          </rPr>
          <t>Whether the role that owns this claim is currently vacated.</t>
        </r>
      </text>
    </comment>
    <comment ref="BZ1" authorId="0">
      <text>
        <r>
          <rPr>
            <rFont val="Aptos Narrow"/>
            <b/>
            <color rgb="FFFFFFFF"/>
            <sz val="11"/>
          </rPr>
          <t>A currently-valid claim whose owning role nobody holds — accountable to a vacancy.</t>
        </r>
      </text>
    </comment>
    <comment ref="CA1" authorId="0">
      <text>
        <r>
          <rPr>
            <rFont val="Aptos Narrow"/>
            <b/>
            <color rgb="FFFFFFFF"/>
            <sz val="11"/>
          </rPr>
          <t>Composite-key echo: this fragment's owning procedure version when the fragment is currently valid, blank otherwise.</t>
        </r>
      </text>
    </comment>
    <comment ref="CB1" authorId="0">
      <text>
        <r>
          <rPr>
            <rFont val="Aptos Narrow"/>
            <b/>
            <color rgb="FFFFFFFF"/>
            <sz val="11"/>
          </rPr>
          <t>Extension class IRI.</t>
        </r>
      </text>
    </comment>
    <comment ref="B1" authorId="0">
      <text>
        <r>
          <rPr>
            <rFont val="Aptos Narrow"/>
            <b/>
            <color rgb="FFFFFFFF"/>
            <sz val="11"/>
          </rPr>
          <t>Human-readable calculated display alias for the KnowledgeFragments row.</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KnowledgeGaps row.</t>
        </r>
      </text>
    </comment>
    <comment ref="C1" authorId="0">
      <text>
        <r>
          <rPr>
            <rFont val="Aptos Narrow"/>
            <b/>
            <color rgb="FFFFFFFF"/>
            <sz val="11"/>
          </rPr>
          <t>Affected procedure version.</t>
        </r>
      </text>
    </comment>
    <comment ref="D1" authorId="0">
      <text>
        <r>
          <rPr>
            <rFont val="Aptos Narrow"/>
            <b/>
            <color rgb="FFFFFFFF"/>
            <sz val="11"/>
          </rPr>
          <t>Affected step.</t>
        </r>
      </text>
    </comment>
    <comment ref="E1" authorId="0">
      <text>
        <r>
          <rPr>
            <rFont val="Aptos Narrow"/>
            <b/>
            <color rgb="FFFFFFFF"/>
            <sz val="11"/>
          </rPr>
          <t>What is not yet known or represented.</t>
        </r>
      </text>
    </comment>
    <comment ref="F1" authorId="0">
      <text>
        <r>
          <rPr>
            <rFont val="Aptos Narrow"/>
            <b/>
            <color rgb="FFFFFFFF"/>
            <sz val="11"/>
          </rPr>
          <t>Low, Medium, High, or Critical.</t>
        </r>
      </text>
    </comment>
    <comment ref="G1" authorId="0">
      <text>
        <r>
          <rPr>
            <rFont val="Aptos Narrow"/>
            <b/>
            <color rgb="FFFFFFFF"/>
            <sz val="11"/>
          </rPr>
          <t>Blocking or NonBlocking.</t>
        </r>
      </text>
    </comment>
    <comment ref="H1" authorId="0">
      <text>
        <r>
          <rPr>
            <rFont val="Aptos Narrow"/>
            <b/>
            <color rgb="FFFFFFFF"/>
            <sz val="11"/>
          </rPr>
          <t>Open, Investigating, Resolved, AcceptedRisk, or Closed.</t>
        </r>
      </text>
    </comment>
    <comment ref="I1" authorId="0">
      <text>
        <r>
          <rPr>
            <rFont val="Aptos Narrow"/>
            <b/>
            <color rgb="FFFFFFFF"/>
            <sz val="11"/>
          </rPr>
          <t>Role responsible for resolving the gap.</t>
        </r>
      </text>
    </comment>
    <comment ref="J1" authorId="0">
      <text>
        <r>
          <rPr>
            <rFont val="Aptos Narrow"/>
            <b/>
            <color rgb="FFFFFFFF"/>
            <sz val="11"/>
          </rPr>
          <t>Time the gap was identified.</t>
        </r>
      </text>
    </comment>
    <comment ref="K1" authorId="0">
      <text>
        <r>
          <rPr>
            <rFont val="Aptos Narrow"/>
            <b/>
            <color rgb="FFFFFFFF"/>
            <sz val="11"/>
          </rPr>
          <t>Resolution plan or final resolution.</t>
        </r>
      </text>
    </comment>
    <comment ref="L1" authorId="0">
      <text>
        <r>
          <rPr>
            <rFont val="Aptos Narrow"/>
            <b/>
            <color rgb="FFFFFFFF"/>
            <sz val="11"/>
          </rPr>
          <t>TRUE when the gap remains open.</t>
        </r>
      </text>
    </comment>
    <comment ref="M1" authorId="0">
      <text>
        <r>
          <rPr>
            <rFont val="Aptos Narrow"/>
            <b/>
            <color rgb="FFFFFFFF"/>
            <sz val="11"/>
          </rPr>
          <t>Echoes the ProcedureVersion id for open high-severity knowledge gaps.</t>
        </r>
      </text>
    </comment>
    <comment ref="N1" authorId="0">
      <text>
        <r>
          <rPr>
            <rFont val="Aptos Narrow"/>
            <b/>
            <color rgb="FFFFFFFF"/>
            <sz val="11"/>
          </rPr>
          <t>TRUE when this gap is declared blocking rather than informational.</t>
        </r>
      </text>
    </comment>
    <comment ref="O1" authorId="0">
      <text>
        <r>
          <rPr>
            <rFont val="Aptos Narrow"/>
            <b/>
            <color rgb="FFFFFFFF"/>
            <sz val="11"/>
          </rPr>
          <t>TRUE when this gap is both unresolved and declared blocking.</t>
        </r>
      </text>
    </comment>
    <comment ref="P1" authorId="0">
      <text>
        <r>
          <rPr>
            <rFont val="Aptos Narrow"/>
            <b/>
            <color rgb="FFFFFFFF"/>
            <sz val="11"/>
          </rPr>
          <t>The evaluation context this row's time-dependent witnesses are judged under.</t>
        </r>
      </text>
    </comment>
    <comment ref="Q1" authorId="0">
      <text>
        <r>
          <rPr>
            <rFont val="Aptos Narrow"/>
            <b/>
            <color rgb="FFFFFFFF"/>
            <sz val="11"/>
          </rPr>
          <t>The evaluation instant this row's time-dependent witnesses are judged against.</t>
        </r>
      </text>
    </comment>
    <comment ref="R1" authorId="0">
      <text>
        <r>
          <rPr>
            <rFont val="Aptos Narrow"/>
            <b/>
            <color rgb="FFFFFFFF"/>
            <sz val="11"/>
          </rPr>
          <t>Days this gap has been unresolved, or zero once closed.</t>
        </r>
      </text>
    </comment>
    <comment ref="S1" authorId="0">
      <text>
        <r>
          <rPr>
            <rFont val="Aptos Narrow"/>
            <b/>
            <color rgb="FFFFFFFF"/>
            <sz val="11"/>
          </rPr>
          <t>How long a gap of this severity may remain open before it becomes a governance failure in its own right.</t>
        </r>
      </text>
    </comment>
    <comment ref="T1" authorId="0">
      <text>
        <r>
          <rPr>
            <rFont val="Aptos Narrow"/>
            <b/>
            <color rgb="FFFFFFFF"/>
            <sz val="11"/>
          </rPr>
          <t>TRUE when this acknowledged unknown has outlived the tolerance for its severity.</t>
        </r>
      </text>
    </comment>
    <comment ref="U1" authorId="0">
      <text>
        <r>
          <rPr>
            <rFont val="Aptos Narrow"/>
            <b/>
            <color rgb="FFFFFFFF"/>
            <sz val="11"/>
          </rPr>
          <t>The agent currently holding the role that owns resolving this gap.</t>
        </r>
      </text>
    </comment>
    <comment ref="V1" authorId="0">
      <text>
        <r>
          <rPr>
            <rFont val="Aptos Narrow"/>
            <b/>
            <color rgb="FFFFFFFF"/>
            <sz val="11"/>
          </rPr>
          <t>Whether the agent responsible for closing this gap still holds a role here.</t>
        </r>
      </text>
    </comment>
    <comment ref="W1" authorId="0">
      <text>
        <r>
          <rPr>
            <rFont val="Aptos Narrow"/>
            <b/>
            <color rgb="FFFFFFFF"/>
            <sz val="11"/>
          </rPr>
          <t>TRUE when someone has written down how this gap would be closed.</t>
        </r>
      </text>
    </comment>
    <comment ref="X1" authorId="0">
      <text>
        <r>
          <rPr>
            <rFont val="Aptos Narrow"/>
            <b/>
            <color rgb="FFFFFFFF"/>
            <sz val="11"/>
          </rPr>
          <t>TRUE when an overdue gap has either no plan or no living owner — an admission of ignorance that nobody is acting on.</t>
        </r>
      </text>
    </comment>
    <comment ref="Y1" authorId="0">
      <text>
        <r>
          <rPr>
            <rFont val="Aptos Narrow"/>
            <b/>
            <color rgb="FFFFFFFF"/>
            <sz val="11"/>
          </rPr>
          <t>Composite-key echo: this gap's procedure version when the gap is both open and blocking, blank otherwise.</t>
        </r>
      </text>
    </comment>
    <comment ref="Z1" authorId="0">
      <text>
        <r>
          <rPr>
            <rFont val="Aptos Narrow"/>
            <b/>
            <color rgb="FFFFFFFF"/>
            <sz val="11"/>
          </rPr>
          <t>Whether the role that owns this gap is currently vacated.</t>
        </r>
      </text>
    </comment>
    <comment ref="AA1" authorId="0">
      <text>
        <r>
          <rPr>
            <rFont val="Aptos Narrow"/>
            <b/>
            <color rgb="FFFFFFFF"/>
            <sz val="11"/>
          </rPr>
          <t>An open gap whose owning role nobody currently holds — an acknowledged unknown with nobody accountable for closing it.</t>
        </r>
      </text>
    </comment>
    <comment ref="AB1" authorId="0">
      <text>
        <r>
          <rPr>
            <rFont val="Aptos Narrow"/>
            <b/>
            <color rgb="FFFFFFFF"/>
            <sz val="11"/>
          </rPr>
          <t>Extension class IRI.</t>
        </r>
      </text>
    </comment>
    <comment ref="B1" authorId="0">
      <text>
        <r>
          <rPr>
            <rFont val="Aptos Narrow"/>
            <b/>
            <color rgb="FFFFFFFF"/>
            <sz val="11"/>
          </rPr>
          <t>Human-readable calculated display alias for the KnowledgeGaps row.</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FAQs row.</t>
        </r>
      </text>
    </comment>
    <comment ref="C1" authorId="0">
      <text>
        <r>
          <rPr>
            <rFont val="Aptos Narrow"/>
            <b/>
            <color rgb="FFFFFFFF"/>
            <sz val="11"/>
          </rPr>
          <t>Procedure version addressed by the FAQ.</t>
        </r>
      </text>
    </comment>
    <comment ref="D1" authorId="0">
      <text>
        <r>
          <rPr>
            <rFont val="Aptos Narrow"/>
            <b/>
            <color rgb="FFFFFFFF"/>
            <sz val="11"/>
          </rPr>
          <t>Optional step targeted by the FAQ.</t>
        </r>
      </text>
    </comment>
    <comment ref="E1" authorId="0">
      <text>
        <r>
          <rPr>
            <rFont val="Aptos Narrow"/>
            <b/>
            <color rgb="FFFFFFFF"/>
            <sz val="11"/>
          </rPr>
          <t>FAQ category.</t>
        </r>
      </text>
    </comment>
    <comment ref="F1" authorId="0">
      <text>
        <r>
          <rPr>
            <rFont val="Aptos Narrow"/>
            <b/>
            <color rgb="FFFFFFFF"/>
            <sz val="11"/>
          </rPr>
          <t>Procedure, Step, Tool, Resource, or Execution.</t>
        </r>
      </text>
    </comment>
    <comment ref="G1" authorId="0">
      <text>
        <r>
          <rPr>
            <rFont val="Aptos Narrow"/>
            <b/>
            <color rgb="FFFFFFFF"/>
            <sz val="11"/>
          </rPr>
          <t>FAQ question; maps to pko:question.</t>
        </r>
      </text>
    </comment>
    <comment ref="H1" authorId="0">
      <text>
        <r>
          <rPr>
            <rFont val="Aptos Narrow"/>
            <b/>
            <color rgb="FFFFFFFF"/>
            <sz val="11"/>
          </rPr>
          <t>Approved answer; maps to pko:answer.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FAQs row.</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Explanations row.</t>
        </r>
      </text>
    </comment>
    <comment ref="C1" authorId="0">
      <text>
        <r>
          <rPr>
            <rFont val="Aptos Narrow"/>
            <b/>
            <color rgb="FFFFFFFF"/>
            <sz val="11"/>
          </rPr>
          <t>Procedure version explained.</t>
        </r>
      </text>
    </comment>
    <comment ref="D1" authorId="0">
      <text>
        <r>
          <rPr>
            <rFont val="Aptos Narrow"/>
            <b/>
            <color rgb="FFFFFFFF"/>
            <sz val="11"/>
          </rPr>
          <t>Step explained.</t>
        </r>
      </text>
    </comment>
    <comment ref="E1" authorId="0">
      <text>
        <r>
          <rPr>
            <rFont val="Aptos Narrow"/>
            <b/>
            <color rgb="FFFFFFFF"/>
            <sz val="11"/>
          </rPr>
          <t>Explanation title.</t>
        </r>
      </text>
    </comment>
    <comment ref="F1" authorId="0">
      <text>
        <r>
          <rPr>
            <rFont val="Aptos Narrow"/>
            <b/>
            <color rgb="FFFFFFFF"/>
            <sz val="11"/>
          </rPr>
          <t>What the explanation traces.</t>
        </r>
      </text>
    </comment>
    <comment ref="G1" authorId="0">
      <text>
        <r>
          <rPr>
            <rFont val="Aptos Narrow"/>
            <b/>
            <color rgb="FFFFFFFF"/>
            <sz val="11"/>
          </rPr>
          <t>Exact PKO class IRI.</t>
        </r>
      </text>
    </comment>
    <comment ref="B1" authorId="0">
      <text>
        <r>
          <rPr>
            <rFont val="Aptos Narrow"/>
            <b/>
            <color rgb="FFFFFFFF"/>
            <sz val="11"/>
          </rPr>
          <t>Human-readable calculated display alias for the Explanations row.</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ProcedureExecutions row.</t>
        </r>
      </text>
    </comment>
    <comment ref="C1" authorId="0">
      <text>
        <r>
          <rPr>
            <rFont val="Aptos Narrow"/>
            <b/>
            <color rgb="FFFFFFFF"/>
            <sz val="11"/>
          </rPr>
          <t>Exact procedure specification executed; maps to pko:hasExecutedProcedure.</t>
        </r>
      </text>
    </comment>
    <comment ref="D1" authorId="0">
      <text>
        <r>
          <rPr>
            <rFont val="Aptos Narrow"/>
            <b/>
            <color rgb="FFFFFFFF"/>
            <sz val="11"/>
          </rPr>
          <t>PKO execution status: InProgress, Completed, Paused, or Cancelled.</t>
        </r>
      </text>
    </comment>
    <comment ref="E1" authorId="0">
      <text>
        <r>
          <rPr>
            <rFont val="Aptos Narrow"/>
            <b/>
            <color rgb="FFFFFFFF"/>
            <sz val="11"/>
          </rPr>
          <t>Execution start; maps to prov:startedAtTime.</t>
        </r>
      </text>
    </comment>
    <comment ref="F1" authorId="0">
      <text>
        <r>
          <rPr>
            <rFont val="Aptos Narrow"/>
            <b/>
            <color rgb="FFFFFFFF"/>
            <sz val="11"/>
          </rPr>
          <t>Execution end; maps to prov:endedAtTime.</t>
        </r>
      </text>
    </comment>
    <comment ref="G1" authorId="0">
      <text>
        <r>
          <rPr>
            <rFont val="Aptos Narrow"/>
            <b/>
            <color rgb="FFFFFFFF"/>
            <sz val="11"/>
          </rPr>
          <t>Agent accountable for the overall execution; maps to pko:wasExecutedBy.</t>
        </r>
      </text>
    </comment>
    <comment ref="H1" authorId="0">
      <text>
        <r>
          <rPr>
            <rFont val="Aptos Narrow"/>
            <b/>
            <color rgb="FFFFFFFF"/>
            <sz val="11"/>
          </rPr>
          <t>Execution-specific scope or target.</t>
        </r>
      </text>
    </comment>
    <comment ref="I1" authorId="0">
      <text>
        <r>
          <rPr>
            <rFont val="Aptos Narrow"/>
            <b/>
            <color rgb="FFFFFFFF"/>
            <sz val="11"/>
          </rPr>
          <t>Identifier in the operational execution system.</t>
        </r>
      </text>
    </comment>
    <comment ref="J1" authorId="0">
      <text>
        <r>
          <rPr>
            <rFont val="Aptos Narrow"/>
            <b/>
            <color rgb="FFFFFFFF"/>
            <sz val="11"/>
          </rPr>
          <t>How many steps this execution was supposed to perform.</t>
        </r>
      </text>
    </comment>
    <comment ref="K1" authorId="0">
      <text>
        <r>
          <rPr>
            <rFont val="Aptos Narrow"/>
            <b/>
            <color rgb="FFFFFFFF"/>
            <sz val="11"/>
          </rPr>
          <t>How many steps of this execution actually reached Completed.</t>
        </r>
      </text>
    </comment>
    <comment ref="L1" authorId="0">
      <text>
        <r>
          <rPr>
            <rFont val="Aptos Narrow"/>
            <b/>
            <color rgb="FFFFFFFF"/>
            <sz val="11"/>
          </rPr>
          <t>Total step executions in this run that carry at least one control breach.</t>
        </r>
      </text>
    </comment>
    <comment ref="M1" authorId="0">
      <text>
        <r>
          <rPr>
            <rFont val="Aptos Narrow"/>
            <b/>
            <color rgb="FFFFFFFF"/>
            <sz val="11"/>
          </rPr>
          <t>How many steps in this execution ran long.</t>
        </r>
      </text>
    </comment>
    <comment ref="N1" authorId="0">
      <text>
        <r>
          <rPr>
            <rFont val="Aptos Narrow"/>
            <b/>
            <color rgb="FFFFFFFF"/>
            <sz val="11"/>
          </rPr>
          <t>TRUE when every specified step of the procedure version reached Completed in this execution.</t>
        </r>
      </text>
    </comment>
    <comment ref="O1" authorId="0">
      <text>
        <r>
          <rPr>
            <rFont val="Aptos Narrow"/>
            <b/>
            <color rgb="FFFFFFFF"/>
            <sz val="11"/>
          </rPr>
          <t>TRUE when the execution either skipped specified steps or carried at least one control breach.</t>
        </r>
      </text>
    </comment>
    <comment ref="P1" authorId="0">
      <text>
        <r>
          <rPr>
            <rFont val="Aptos Narrow"/>
            <b/>
            <color rgb="FFFFFFFF"/>
            <sz val="11"/>
          </rPr>
          <t>TRUE when every blocking requirement bound to every step of this execution received a satisfaction record.</t>
        </r>
      </text>
    </comment>
    <comment ref="Q1" authorId="0">
      <text>
        <r>
          <rPr>
            <rFont val="Aptos Narrow"/>
            <b/>
            <color rgb="FFFFFFFF"/>
            <sz val="11"/>
          </rPr>
          <t>How many step executions in this run left at least one blocking control unevaluated.</t>
        </r>
      </text>
    </comment>
    <comment ref="R1" authorId="0">
      <text>
        <r>
          <rPr>
            <rFont val="Aptos Narrow"/>
            <b/>
            <color rgb="FFFFFFFF"/>
            <sz val="11"/>
          </rPr>
          <t>TRUE when no agent both prepared and approved within this execution.</t>
        </r>
      </text>
    </comment>
    <comment ref="S1" authorId="0">
      <text>
        <r>
          <rPr>
            <rFont val="Aptos Narrow"/>
            <b/>
            <color rgb="FFFFFFFF"/>
            <sz val="11"/>
          </rPr>
          <t>Number of segregation-of-duties violations in this execution.</t>
        </r>
      </text>
    </comment>
    <comment ref="T1" authorId="0">
      <text>
        <r>
          <rPr>
            <rFont val="Aptos Narrow"/>
            <b/>
            <color rgb="FFFFFFFF"/>
            <sz val="11"/>
          </rPr>
          <t>TRUE only when every step completed, no control breached, every blocking control was actually evaluated, and segregation of duties held.</t>
        </r>
      </text>
    </comment>
    <comment ref="U1" authorId="0">
      <text>
        <r>
          <rPr>
            <rFont val="Aptos Narrow"/>
            <b/>
            <color rgb="FFFFFFFF"/>
            <sz val="11"/>
          </rPr>
          <t>Names the highest-severity reason the attestation cannot be signed, or empty when it can.</t>
        </r>
      </text>
    </comment>
    <comment ref="V1" authorId="0">
      <text>
        <r>
          <rPr>
            <rFont val="Aptos Narrow"/>
            <b/>
            <color rgb="FFFFFFFF"/>
            <sz val="11"/>
          </rPr>
          <t>Whether the procedure version this execution ran against is currently fit to execute.</t>
        </r>
      </text>
    </comment>
    <comment ref="W1" authorId="0">
      <text>
        <r>
          <rPr>
            <rFont val="Aptos Narrow"/>
            <b/>
            <color rgb="FFFFFFFF"/>
            <sz val="11"/>
          </rPr>
          <t>TRUE when a completed execution was run against a procedure version the organization no longer stands behind.</t>
        </r>
      </text>
    </comment>
    <comment ref="X1" authorId="0">
      <text>
        <r>
          <rPr>
            <rFont val="Aptos Narrow"/>
            <b/>
            <color rgb="FFFFFFFF"/>
            <sz val="11"/>
          </rPr>
          <t>How many blocking controls in this execution passed on human assertion alone.</t>
        </r>
      </text>
    </comment>
    <comment ref="Y1" authorId="0">
      <text>
        <r>
          <rPr>
            <rFont val="Aptos Narrow"/>
            <b/>
            <color rgb="FFFFFFFF"/>
            <sz val="11"/>
          </rPr>
          <t>TRUE when any blocking control in this execution passed without a computed witness behind it.</t>
        </r>
      </text>
    </comment>
    <comment ref="Z1" authorId="0">
      <text>
        <r>
          <rPr>
            <rFont val="Aptos Narrow"/>
            <b/>
            <color rgb="FFFFFFFF"/>
            <sz val="11"/>
          </rPr>
          <t>Number of deliveries in this execution where unreachable handling was wrong -- either fabricated acknowledgement or no exception invoked.</t>
        </r>
      </text>
    </comment>
    <comment ref="AA1" authorId="0">
      <text>
        <r>
          <rPr>
            <rFont val="Aptos Narrow"/>
            <b/>
            <color rgb="FFFFFFFF"/>
            <sz val="11"/>
          </rPr>
          <t>Number of transmitted messages in this execution whose text we no longer hold despite an active retention obligation.</t>
        </r>
      </text>
    </comment>
    <comment ref="AB1" authorId="0">
      <text>
        <r>
          <rPr>
            <rFont val="Aptos Narrow"/>
            <b/>
            <color rgb="FFFFFFFF"/>
            <sz val="11"/>
          </rPr>
          <t>How many passed legal reviews exist for this execution.</t>
        </r>
      </text>
    </comment>
    <comment ref="AC1" authorId="0">
      <text>
        <r>
          <rPr>
            <rFont val="Aptos Narrow"/>
            <b/>
            <color rgb="FFFFFFFF"/>
            <sz val="11"/>
          </rPr>
          <t>TRUE when legal review has passed for this execution.</t>
        </r>
      </text>
    </comment>
    <comment ref="AD1" authorId="0">
      <text>
        <r>
          <rPr>
            <rFont val="Aptos Narrow"/>
            <b/>
            <color rgb="FFFFFFFF"/>
            <sz val="11"/>
          </rPr>
          <t>Number of failed deliveries in this run that nobody picked up.</t>
        </r>
      </text>
    </comment>
    <comment ref="AE1" authorId="0">
      <text>
        <r>
          <rPr>
            <rFont val="Aptos Narrow"/>
            <b/>
            <color rgb="FFFFFFFF"/>
            <sz val="11"/>
          </rPr>
          <t>Number of confirmed-delivered messages in this run.</t>
        </r>
      </text>
    </comment>
    <comment ref="AF1" authorId="0">
      <text>
        <r>
          <rPr>
            <rFont val="Aptos Narrow"/>
            <b/>
            <color rgb="FFFFFFFF"/>
            <sz val="11"/>
          </rPr>
          <t>Total delivery records of any status for this run.</t>
        </r>
      </text>
    </comment>
    <comment ref="AG1" authorId="0">
      <text>
        <r>
          <rPr>
            <rFont val="Aptos Narrow"/>
            <b/>
            <color rgb="FFFFFFFF"/>
            <sz val="11"/>
          </rPr>
          <t>TRUE when this run has any untriaged delivery failure.</t>
        </r>
      </text>
    </comment>
    <comment ref="AH1" authorId="0">
      <text>
        <r>
          <rPr>
            <rFont val="Aptos Narrow"/>
            <b/>
            <color rgb="FFFFFFFF"/>
            <sz val="11"/>
          </rPr>
          <t>Number of gate refusals in this run that were either overridden or silently dropped.</t>
        </r>
      </text>
    </comment>
    <comment ref="AI1" authorId="0">
      <text>
        <r>
          <rPr>
            <rFont val="Aptos Narrow"/>
            <b/>
            <color rgb="FFFFFFFF"/>
            <sz val="11"/>
          </rPr>
          <t>Number of step executions in this run that were not clean.</t>
        </r>
      </text>
    </comment>
    <comment ref="AJ1" authorId="0">
      <text>
        <r>
          <rPr>
            <rFont val="Aptos Narrow"/>
            <b/>
            <color rgb="FFFFFFFF"/>
            <sz val="11"/>
          </rPr>
          <t>TRUE when every step execution in this run was clean.</t>
        </r>
      </text>
    </comment>
    <comment ref="AK1" authorId="0">
      <text>
        <r>
          <rPr>
            <rFont val="Aptos Narrow"/>
            <b/>
            <color rgb="FFFFFFFF"/>
            <sz val="11"/>
          </rPr>
          <t>How many human approval gates were executed in this run.</t>
        </r>
      </text>
    </comment>
    <comment ref="AL1" authorId="0">
      <text>
        <r>
          <rPr>
            <rFont val="Aptos Narrow"/>
            <b/>
            <color rgb="FFFFFFFF"/>
            <sz val="11"/>
          </rPr>
          <t>TRUE when at least one human approval gate was executed in this run.</t>
        </r>
      </text>
    </comment>
    <comment ref="AM1" authorId="0">
      <text>
        <r>
          <rPr>
            <rFont val="Aptos Narrow"/>
            <b/>
            <color rgb="FFFFFFFF"/>
            <sz val="11"/>
          </rPr>
          <t>How many times the send step ran in this execution.</t>
        </r>
      </text>
    </comment>
    <comment ref="AN1" authorId="0">
      <text>
        <r>
          <rPr>
            <rFont val="Aptos Narrow"/>
            <b/>
            <color rgb="FFFFFFFF"/>
            <sz val="11"/>
          </rPr>
          <t>TRUE when this run has sent communications to employees.</t>
        </r>
      </text>
    </comment>
    <comment ref="AO1" authorId="0">
      <text>
        <r>
          <rPr>
            <rFont val="Aptos Narrow"/>
            <b/>
            <color rgb="FFFFFFFF"/>
            <sz val="11"/>
          </rPr>
          <t>TRUE when a run sent employee communications without executing a human approval gate.</t>
        </r>
      </text>
    </comment>
    <comment ref="AP1" authorId="0">
      <text>
        <r>
          <rPr>
            <rFont val="Aptos Narrow"/>
            <b/>
            <color rgb="FFFFFFFF"/>
            <sz val="11"/>
          </rPr>
          <t>Number of approval-type requirements in this run that are incomplete or non-human-evaluated.</t>
        </r>
      </text>
    </comment>
    <comment ref="AQ1" authorId="0">
      <text>
        <r>
          <rPr>
            <rFont val="Aptos Narrow"/>
            <b/>
            <color rgb="FFFFFFFF"/>
            <sz val="11"/>
          </rPr>
          <t>TRUE when every approval-type requirement in this run is fully satisfied by a human.</t>
        </r>
      </text>
    </comment>
    <comment ref="AR1" authorId="0">
      <text>
        <r>
          <rPr>
            <rFont val="Aptos Narrow"/>
            <b/>
            <color rgb="FFFFFFFF"/>
            <sz val="11"/>
          </rPr>
          <t>How many steps in this run were clean only because nothing checked them.</t>
        </r>
      </text>
    </comment>
    <comment ref="AS1" authorId="0">
      <text>
        <r>
          <rPr>
            <rFont val="Aptos Narrow"/>
            <b/>
            <color rgb="FFFFFFFF"/>
            <sz val="11"/>
          </rPr>
          <t>How many preparation steps this execution actually ran.</t>
        </r>
      </text>
    </comment>
    <comment ref="AT1" authorId="0">
      <text>
        <r>
          <rPr>
            <rFont val="Aptos Narrow"/>
            <b/>
            <color rgb="FFFFFFFF"/>
            <sz val="11"/>
          </rPr>
          <t>How many approval steps this execution actually ran.</t>
        </r>
      </text>
    </comment>
    <comment ref="AU1" authorId="0">
      <text>
        <r>
          <rPr>
            <rFont val="Aptos Narrow"/>
            <b/>
            <color rgb="FFFFFFFF"/>
            <sz val="11"/>
          </rPr>
          <t>TRUE when this execution contained both a preparation step and an approval step, so segregation of duties had an opportunity to fail.</t>
        </r>
      </text>
    </comment>
    <comment ref="AV1" authorId="0">
      <text>
        <r>
          <rPr>
            <rFont val="Aptos Narrow"/>
            <b/>
            <color rgb="FFFFFFFF"/>
            <sz val="11"/>
          </rPr>
          <t>TRUE only when segregation of duties both could have failed and did not.</t>
        </r>
      </text>
    </comment>
    <comment ref="AW1" authorId="0">
      <text>
        <r>
          <rPr>
            <rFont val="Aptos Narrow"/>
            <b/>
            <color rgb="FFFFFFFF"/>
            <sz val="11"/>
          </rPr>
          <t>TRUE when the segregation control reports as held on a run where it could not have failed.</t>
        </r>
      </text>
    </comment>
    <comment ref="AX1" authorId="0">
      <text>
        <r>
          <rPr>
            <rFont val="Aptos Narrow"/>
            <b/>
            <color rgb="FFFFFFFF"/>
            <sz val="11"/>
          </rPr>
          <t>The sentence that goes into the control narrative for this execution.</t>
        </r>
      </text>
    </comment>
    <comment ref="AY1" authorId="0">
      <text>
        <r>
          <rPr>
            <rFont val="Aptos Narrow"/>
            <b/>
            <color rgb="FFFFFFFF"/>
            <sz val="11"/>
          </rPr>
          <t>How many steps in this run departed from spec with nothing authorising the departure.</t>
        </r>
      </text>
    </comment>
    <comment ref="AZ1" authorId="0">
      <text>
        <r>
          <rPr>
            <rFont val="Aptos Narrow"/>
            <b/>
            <color rgb="FFFFFFFF"/>
            <sz val="11"/>
          </rPr>
          <t>TRUE when this run departed from specification and every departure was authorised.</t>
        </r>
      </text>
    </comment>
    <comment ref="BA1" authorId="0">
      <text>
        <r>
          <rPr>
            <rFont val="Aptos Narrow"/>
            <b/>
            <color rgb="FFFFFFFF"/>
            <sz val="11"/>
          </rPr>
          <t>How many blocking controls in this run were cleared by something computed.</t>
        </r>
      </text>
    </comment>
    <comment ref="BB1" authorId="0">
      <text>
        <r>
          <rPr>
            <rFont val="Aptos Narrow"/>
            <b/>
            <color rgb="FFFFFFFF"/>
            <sz val="11"/>
          </rPr>
          <t>Total blocking controls actually evaluated in this run, computed and asserted together.</t>
        </r>
      </text>
    </comment>
    <comment ref="BC1" authorId="0">
      <text>
        <r>
          <rPr>
            <rFont val="Aptos Narrow"/>
            <b/>
            <color rgb="FFFFFFFF"/>
            <sz val="11"/>
          </rPr>
          <t>The fraction of evaluated blocking controls in this run that rest on a computed witness rather than a human assertion.</t>
        </r>
      </text>
    </comment>
    <comment ref="BD1" authorId="0">
      <text>
        <r>
          <rPr>
            <rFont val="Aptos Narrow"/>
            <b/>
            <color rgb="FFFFFFFF"/>
            <sz val="11"/>
          </rPr>
          <t>How many controls in this run were cleared by assertion from someone with an interest in the outcome.</t>
        </r>
      </text>
    </comment>
    <comment ref="BE1" authorId="0">
      <text>
        <r>
          <rPr>
            <rFont val="Aptos Narrow"/>
            <b/>
            <color rgb="FFFFFFFF"/>
            <sz val="11"/>
          </rPr>
          <t>Names the quality of the assurance behind this execution, worst case first.</t>
        </r>
      </text>
    </comment>
    <comment ref="BF1" authorId="0">
      <text>
        <r>
          <rPr>
            <rFont val="Aptos Narrow"/>
            <b/>
            <color rgb="FFFFFFFF"/>
            <sz val="11"/>
          </rPr>
          <t>TRUE when the model says I may sign, but the basis for that permission is mostly or partly unwitnessed assertion.</t>
        </r>
      </text>
    </comment>
    <comment ref="BG1" authorId="0">
      <text>
        <r>
          <rPr>
            <rFont val="Aptos Narrow"/>
            <b/>
            <color rgb="FFFFFFFF"/>
            <sz val="11"/>
          </rPr>
          <t>How many verifications in this run were independently observed by a human with evidence attached.</t>
        </r>
      </text>
    </comment>
    <comment ref="BH1" authorId="0">
      <text>
        <r>
          <rPr>
            <rFont val="Aptos Narrow"/>
            <b/>
            <color rgb="FFFFFFFF"/>
            <sz val="11"/>
          </rPr>
          <t>TRUE when at least one verification in this run was independently observed by a human.</t>
        </r>
      </text>
    </comment>
    <comment ref="BI1" authorId="0">
      <text>
        <r>
          <rPr>
            <rFont val="Aptos Narrow"/>
            <b/>
            <color rgb="FFFFFFFF"/>
            <sz val="11"/>
          </rPr>
          <t>How many approval steps in this run rested on self-attestation.</t>
        </r>
      </text>
    </comment>
    <comment ref="BJ1" authorId="0">
      <text>
        <r>
          <rPr>
            <rFont val="Aptos Narrow"/>
            <b/>
            <color rgb="FFFFFFFF"/>
            <sz val="11"/>
          </rPr>
          <t>TRUE when every approval in this run rests on self-attestation and no independent human observation exists anywhere in it.</t>
        </r>
      </text>
    </comment>
    <comment ref="BK1" authorId="0">
      <text>
        <r>
          <rPr>
            <rFont val="Aptos Narrow"/>
            <b/>
            <color rgb="FFFFFFFF"/>
            <sz val="11"/>
          </rPr>
          <t>The most recent signature instant for this execution.</t>
        </r>
      </text>
    </comment>
    <comment ref="BL1" authorId="0">
      <text>
        <r>
          <rPr>
            <rFont val="Aptos Narrow"/>
            <b/>
            <color rgb="FFFFFFFF"/>
            <sz val="11"/>
          </rPr>
          <t>TRUE when someone has signed for this execution.</t>
        </r>
      </text>
    </comment>
    <comment ref="BM1" authorId="0">
      <text>
        <r>
          <rPr>
            <rFont val="Aptos Narrow"/>
            <b/>
            <color rgb="FFFFFFFF"/>
            <sz val="11"/>
          </rPr>
          <t>How many signatures exist against this execution.</t>
        </r>
      </text>
    </comment>
    <comment ref="BN1" authorId="0">
      <text>
        <r>
          <rPr>
            <rFont val="Aptos Narrow"/>
            <b/>
            <color rgb="FFFFFFFF"/>
            <sz val="11"/>
          </rPr>
          <t>How many controls were scored after this execution was signed.</t>
        </r>
      </text>
    </comment>
    <comment ref="BO1" authorId="0">
      <text>
        <r>
          <rPr>
            <rFont val="Aptos Narrow"/>
            <b/>
            <color rgb="FFFFFFFF"/>
            <sz val="11"/>
          </rPr>
          <t>TRUE when controls this attestation depended on were scored after the signature was given.</t>
        </r>
      </text>
    </comment>
    <comment ref="BP1" authorId="0">
      <text>
        <r>
          <rPr>
            <rFont val="Aptos Narrow"/>
            <b/>
            <color rgb="FFFFFFFF"/>
            <sz val="11"/>
          </rPr>
          <t>TRUE when the basis changed after signature AND the execution no longer reads as attestable.</t>
        </r>
      </text>
    </comment>
    <comment ref="BQ1" authorId="0">
      <text>
        <r>
          <rPr>
            <rFont val="Aptos Narrow"/>
            <b/>
            <color rgb="FFFFFFFF"/>
            <sz val="11"/>
          </rPr>
          <t>How many sends this campaign proposed to make.</t>
        </r>
      </text>
    </comment>
    <comment ref="BR1" authorId="0">
      <text>
        <r>
          <rPr>
            <rFont val="Aptos Narrow"/>
            <b/>
            <color rgb="FFFFFFFF"/>
            <sz val="11"/>
          </rPr>
          <t>How many of those sends actually left our systems.</t>
        </r>
      </text>
    </comment>
    <comment ref="BS1" authorId="0">
      <text>
        <r>
          <rPr>
            <rFont val="Aptos Narrow"/>
            <b/>
            <color rgb="FFFFFFFF"/>
            <sz val="11"/>
          </rPr>
          <t>How many intended recipients disappeared from this campaign with no record.</t>
        </r>
      </text>
    </comment>
    <comment ref="BT1" authorId="0">
      <text>
        <r>
          <rPr>
            <rFont val="Aptos Narrow"/>
            <b/>
            <color rgb="FFFFFFFF"/>
            <sz val="11"/>
          </rPr>
          <t>Percentage of intended recipients who actually received the communication.</t>
        </r>
      </text>
    </comment>
    <comment ref="BU1" authorId="0">
      <text>
        <r>
          <rPr>
            <rFont val="Aptos Narrow"/>
            <b/>
            <color rgb="FFFFFFFF"/>
            <sz val="11"/>
          </rPr>
          <t>TRUE when a campaign lost intended recipients without producing any record of the loss.</t>
        </r>
      </text>
    </comment>
    <comment ref="BV1" authorId="0">
      <text>
        <r>
          <rPr>
            <rFont val="Aptos Narrow"/>
            <b/>
            <color rgb="FFFFFFFF"/>
            <sz val="11"/>
          </rPr>
          <t>How many sends this execution refused without recording the refusal anywhere.</t>
        </r>
      </text>
    </comment>
    <comment ref="BW1" authorId="0">
      <text>
        <r>
          <rPr>
            <rFont val="Aptos Narrow"/>
            <b/>
            <color rgb="FFFFFFFF"/>
            <sz val="11"/>
          </rPr>
          <t>TRUE when this run contains at least one refusal that left no trace anywhere.</t>
        </r>
      </text>
    </comment>
    <comment ref="BX1" authorId="0">
      <text>
        <r>
          <rPr>
            <rFont val="Aptos Narrow"/>
            <b/>
            <color rgb="FFFFFFFF"/>
            <sz val="11"/>
          </rPr>
          <t>How many of this execution's send decisions were corroborated by a delivery record.</t>
        </r>
      </text>
    </comment>
    <comment ref="BY1" authorId="0">
      <text>
        <r>
          <rPr>
            <rFont val="Aptos Narrow"/>
            <b/>
            <color rgb="FFFFFFFF"/>
            <sz val="11"/>
          </rPr>
          <t>TRUE when no send decision in this run was confirmed by anything other than the pipeline itself.</t>
        </r>
      </text>
    </comment>
    <comment ref="BZ1" authorId="0">
      <text>
        <r>
          <rPr>
            <rFont val="Aptos Narrow"/>
            <b/>
            <color rgb="FFFFFFFF"/>
            <sz val="11"/>
          </rPr>
          <t>Exact PKO class IRI.</t>
        </r>
      </text>
    </comment>
    <comment ref="B1" authorId="0">
      <text>
        <r>
          <rPr>
            <rFont val="Aptos Narrow"/>
            <b/>
            <color rgb="FFFFFFFF"/>
            <sz val="11"/>
          </rPr>
          <t>Human-readable calculated display alias for the ProcedureExecutions row.</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StepExecutions row.</t>
        </r>
      </text>
    </comment>
    <comment ref="C1" authorId="0">
      <text>
        <r>
          <rPr>
            <rFont val="Aptos Narrow"/>
            <b/>
            <color rgb="FFFFFFFF"/>
            <sz val="11"/>
          </rPr>
          <t>Parent procedure execution.</t>
        </r>
      </text>
    </comment>
    <comment ref="D1" authorId="0">
      <text>
        <r>
          <rPr>
            <rFont val="Aptos Narrow"/>
            <b/>
            <color rgb="FFFFFFFF"/>
            <sz val="11"/>
          </rPr>
          <t>Specified step executed; maps to pko:hasExecutedStep.</t>
        </r>
      </text>
    </comment>
    <comment ref="E1" authorId="0">
      <text>
        <r>
          <rPr>
            <rFont val="Aptos Narrow"/>
            <b/>
            <color rgb="FFFFFFFF"/>
            <sz val="11"/>
          </rPr>
          <t>Agent executing the step; maps to pko:wasExecutedBy.</t>
        </r>
      </text>
    </comment>
    <comment ref="F1" authorId="0">
      <text>
        <r>
          <rPr>
            <rFont val="Aptos Narrow"/>
            <b/>
            <color rgb="FFFFFFFF"/>
            <sz val="11"/>
          </rPr>
          <t>InProgress, Completed, Paused, Cancelled, or Failed.</t>
        </r>
      </text>
    </comment>
    <comment ref="G1" authorId="0">
      <text>
        <r>
          <rPr>
            <rFont val="Aptos Narrow"/>
            <b/>
            <color rgb="FFFFFFFF"/>
            <sz val="11"/>
          </rPr>
          <t>Execution start.</t>
        </r>
      </text>
    </comment>
    <comment ref="H1" authorId="0">
      <text>
        <r>
          <rPr>
            <rFont val="Aptos Narrow"/>
            <b/>
            <color rgb="FFFFFFFF"/>
            <sz val="11"/>
          </rPr>
          <t>Execution end.</t>
        </r>
      </text>
    </comment>
    <comment ref="I1" authorId="0">
      <text>
        <r>
          <rPr>
            <rFont val="Aptos Narrow"/>
            <b/>
            <color rgb="FFFFFFFF"/>
            <sz val="11"/>
          </rPr>
          <t>PASS, WARN, FAIL, or PENDING.</t>
        </r>
      </text>
    </comment>
    <comment ref="J1" authorId="0">
      <text>
        <r>
          <rPr>
            <rFont val="Aptos Narrow"/>
            <b/>
            <color rgb="FFFFFFFF"/>
            <sz val="11"/>
          </rPr>
          <t>Observed deviation from the specification.</t>
        </r>
      </text>
    </comment>
    <comment ref="K1" authorId="0">
      <text>
        <r>
          <rPr>
            <rFont val="Aptos Narrow"/>
            <b/>
            <color rgb="FFFFFFFF"/>
            <sz val="11"/>
          </rPr>
          <t>Observed duration in minutes.</t>
        </r>
      </text>
    </comment>
    <comment ref="L1" authorId="0">
      <text>
        <r>
          <rPr>
            <rFont val="Aptos Narrow"/>
            <b/>
            <color rgb="FFFFFFFF"/>
            <sz val="11"/>
          </rPr>
          <t>Expected duration from the specification.</t>
        </r>
      </text>
    </comment>
    <comment ref="M1" authorId="0">
      <text>
        <r>
          <rPr>
            <rFont val="Aptos Narrow"/>
            <b/>
            <color rgb="FFFFFFFF"/>
            <sz val="11"/>
          </rPr>
          <t>TRUE when actual duration exceeds expected duration.</t>
        </r>
      </text>
    </comment>
    <comment ref="N1" authorId="0">
      <text>
        <r>
          <rPr>
            <rFont val="Aptos Narrow"/>
            <b/>
            <color rgb="FFFFFFFF"/>
            <sz val="11"/>
          </rPr>
          <t>How many blocking requirements attached to this step execution are recorded as not fully satisfied.</t>
        </r>
      </text>
    </comment>
    <comment ref="O1" authorId="0">
      <text>
        <r>
          <rPr>
            <rFont val="Aptos Narrow"/>
            <b/>
            <color rgb="FFFFFFFF"/>
            <sz val="11"/>
          </rPr>
          <t>Count of blocking-but-unmet requirements on this step execution, computed via the single-criterion key so no criterion is dropped.</t>
        </r>
      </text>
    </comment>
    <comment ref="P1" authorId="0">
      <text>
        <r>
          <rPr>
            <rFont val="Aptos Narrow"/>
            <b/>
            <color rgb="FFFFFFFF"/>
            <sz val="11"/>
          </rPr>
          <t>TRUE when a step execution reached Completed even though a blocking requirement on it was never fully satisfied.</t>
        </r>
      </text>
    </comment>
    <comment ref="Q1" authorId="0">
      <text>
        <r>
          <rPr>
            <rFont val="Aptos Narrow"/>
            <b/>
            <color rgb="FFFFFFFF"/>
            <sz val="11"/>
          </rPr>
          <t>How many blocking requirements this execution's step was supposed to have evaluated.</t>
        </r>
      </text>
    </comment>
    <comment ref="R1" authorId="0">
      <text>
        <r>
          <rPr>
            <rFont val="Aptos Narrow"/>
            <b/>
            <color rgb="FFFFFFFF"/>
            <sz val="11"/>
          </rPr>
          <t>How many blocking requirements actually received a satisfaction record on this step execution, at any level.</t>
        </r>
      </text>
    </comment>
    <comment ref="S1" authorId="0">
      <text>
        <r>
          <rPr>
            <rFont val="Aptos Narrow"/>
            <b/>
            <color rgb="FFFFFFFF"/>
            <sz val="11"/>
          </rPr>
          <t>Blocking requirements that were bound to this step but never assessed on this execution.</t>
        </r>
      </text>
    </comment>
    <comment ref="T1" authorId="0">
      <text>
        <r>
          <rPr>
            <rFont val="Aptos Narrow"/>
            <b/>
            <color rgb="FFFFFFFF"/>
            <sz val="11"/>
          </rPr>
          <t>TRUE when at least one blocking control bound to this step was never evaluated on this execution.</t>
        </r>
      </text>
    </comment>
    <comment ref="U1" authorId="0">
      <text>
        <r>
          <rPr>
            <rFont val="Aptos Narrow"/>
            <b/>
            <color rgb="FFFFFFFF"/>
            <sz val="11"/>
          </rPr>
          <t>Number of stale authoritative sources bound to the step this execution ran.</t>
        </r>
      </text>
    </comment>
    <comment ref="V1" authorId="0">
      <text>
        <r>
          <rPr>
            <rFont val="Aptos Narrow"/>
            <b/>
            <color rgb="FFFFFFFF"/>
            <sz val="11"/>
          </rPr>
          <t>TRUE when this execution's step depends on at least one authoritative source that is outside its freshness SLA.</t>
        </r>
      </text>
    </comment>
    <comment ref="W1" authorId="0">
      <text>
        <r>
          <rPr>
            <rFont val="Aptos Narrow"/>
            <b/>
            <color rgb="FFFFFFFF"/>
            <sz val="11"/>
          </rPr>
          <t>TRUE when a human recorded some deviation narrative on this execution.</t>
        </r>
      </text>
    </comment>
    <comment ref="X1" authorId="0">
      <text>
        <r>
          <rPr>
            <rFont val="Aptos Narrow"/>
            <b/>
            <color rgb="FFFFFFFF"/>
            <sz val="11"/>
          </rPr>
          <t>TRUE when the execution exceeded its expected duration and no deviation was recorded.</t>
        </r>
      </text>
    </comment>
    <comment ref="Y1" authorId="0">
      <text>
        <r>
          <rPr>
            <rFont val="Aptos Narrow"/>
            <b/>
            <color rgb="FFFFFFFF"/>
            <sz val="11"/>
          </rPr>
          <t>How many active exceptions were available to this execution's step.</t>
        </r>
      </text>
    </comment>
    <comment ref="Z1" authorId="0">
      <text>
        <r>
          <rPr>
            <rFont val="Aptos Narrow"/>
            <b/>
            <color rgb="FFFFFFFF"/>
            <sz val="11"/>
          </rPr>
          <t>TRUE when an execution ran long with no explanation despite the specification defining an active exception for exactly that situation.</t>
        </r>
      </text>
    </comment>
    <comment ref="AA1" authorId="0">
      <text>
        <r>
          <rPr>
            <rFont val="Aptos Narrow"/>
            <b/>
            <color rgb="FFFFFFFF"/>
            <sz val="11"/>
          </rPr>
          <t>How many verifications this execution was supposed to perform.</t>
        </r>
      </text>
    </comment>
    <comment ref="AB1" authorId="0">
      <text>
        <r>
          <rPr>
            <rFont val="Aptos Narrow"/>
            <b/>
            <color rgb="FFFFFFFF"/>
            <sz val="11"/>
          </rPr>
          <t>How many verification outcomes were actually recorded against this execution.</t>
        </r>
      </text>
    </comment>
    <comment ref="AC1" authorId="0">
      <text>
        <r>
          <rPr>
            <rFont val="Aptos Narrow"/>
            <b/>
            <color rgb="FFFFFFFF"/>
            <sz val="11"/>
          </rPr>
          <t>Declared verifications with no recorded outcome on this execution.</t>
        </r>
      </text>
    </comment>
    <comment ref="AD1" authorId="0">
      <text>
        <r>
          <rPr>
            <rFont val="Aptos Narrow"/>
            <b/>
            <color rgb="FFFFFFFF"/>
            <sz val="11"/>
          </rPr>
          <t>TRUE when a declared verification was never performed on this execution.</t>
        </r>
      </text>
    </comment>
    <comment ref="AE1" authorId="0">
      <text>
        <r>
          <rPr>
            <rFont val="Aptos Narrow"/>
            <b/>
            <color rgb="FFFFFFFF"/>
            <sz val="11"/>
          </rPr>
          <t>TRUE when an execution asserts PASS while at least one declared verification has no recorded outcome.</t>
        </r>
      </text>
    </comment>
    <comment ref="AF1" authorId="0">
      <text>
        <r>
          <rPr>
            <rFont val="Aptos Narrow"/>
            <b/>
            <color rgb="FFFFFFFF"/>
            <sz val="11"/>
          </rPr>
          <t>Whether this execution ran a preparation step.</t>
        </r>
      </text>
    </comment>
    <comment ref="AG1" authorId="0">
      <text>
        <r>
          <rPr>
            <rFont val="Aptos Narrow"/>
            <b/>
            <color rgb="FFFFFFFF"/>
            <sz val="11"/>
          </rPr>
          <t>Whether this execution ran an approval step.</t>
        </r>
      </text>
    </comment>
    <comment ref="AH1" authorId="0">
      <text>
        <r>
          <rPr>
            <rFont val="Aptos Narrow"/>
            <b/>
            <color rgb="FFFFFFFF"/>
            <sz val="11"/>
          </rPr>
          <t>Composite execution+agent key, emitted only for preparation steps.</t>
        </r>
      </text>
    </comment>
    <comment ref="AI1" authorId="0">
      <text>
        <r>
          <rPr>
            <rFont val="Aptos Narrow"/>
            <b/>
            <color rgb="FFFFFFFF"/>
            <sz val="11"/>
          </rPr>
          <t>Composite execution+agent key, emitted only for approval steps.</t>
        </r>
      </text>
    </comment>
    <comment ref="AJ1" authorId="0">
      <text>
        <r>
          <rPr>
            <rFont val="Aptos Narrow"/>
            <b/>
            <color rgb="FFFFFFFF"/>
            <sz val="11"/>
          </rPr>
          <t>On an approval row, how many preparation steps in the SAME procedure execution were run by this same agent.</t>
        </r>
      </text>
    </comment>
    <comment ref="AK1" authorId="0">
      <text>
        <r>
          <rPr>
            <rFont val="Aptos Narrow"/>
            <b/>
            <color rgb="FFFFFFFF"/>
            <sz val="11"/>
          </rPr>
          <t>TRUE when the agent approving this step also prepared work earlier in the same procedure execution.</t>
        </r>
      </text>
    </comment>
    <comment ref="AL1" authorId="0">
      <text>
        <r>
          <rPr>
            <rFont val="Aptos Narrow"/>
            <b/>
            <color rgb="FFFFFFFF"/>
            <sz val="11"/>
          </rPr>
          <t>The role the specification assigns to this step.</t>
        </r>
      </text>
    </comment>
    <comment ref="AM1" authorId="0">
      <text>
        <r>
          <rPr>
            <rFont val="Aptos Narrow"/>
            <b/>
            <color rgb="FFFFFFFF"/>
            <sz val="11"/>
          </rPr>
          <t>The agent+role pair that would need to exist as a valid assignment for this execution to be properly authorized.</t>
        </r>
      </text>
    </comment>
    <comment ref="AN1" authorId="0">
      <text>
        <r>
          <rPr>
            <rFont val="Aptos Narrow"/>
            <b/>
            <color rgb="FFFFFFFF"/>
            <sz val="11"/>
          </rPr>
          <t>How many currently-valid role assignments grant this executor the role their step required.</t>
        </r>
      </text>
    </comment>
    <comment ref="AO1" authorId="0">
      <text>
        <r>
          <rPr>
            <rFont val="Aptos Narrow"/>
            <b/>
            <color rgb="FFFFFFFF"/>
            <sz val="11"/>
          </rPr>
          <t>TRUE when the executing agent holds a currently-valid assignment to the role the step required.</t>
        </r>
      </text>
    </comment>
    <comment ref="AP1" authorId="0">
      <text>
        <r>
          <rPr>
            <rFont val="Aptos Narrow"/>
            <b/>
            <color rgb="FFFFFFFF"/>
            <sz val="11"/>
          </rPr>
          <t>TRUE when an approval step was executed by an agent who does not hold the required approving role.</t>
        </r>
      </text>
    </comment>
    <comment ref="AQ1" authorId="0">
      <text>
        <r>
          <rPr>
            <rFont val="Aptos Narrow"/>
            <b/>
            <color rgb="FFFFFFFF"/>
            <sz val="11"/>
          </rPr>
          <t>Echoes the parent execution id only for completed steps.</t>
        </r>
      </text>
    </comment>
    <comment ref="AR1" authorId="0">
      <text>
        <r>
          <rPr>
            <rFont val="Aptos Narrow"/>
            <b/>
            <color rgb="FFFFFFFF"/>
            <sz val="11"/>
          </rPr>
          <t>Echoes the parent execution id when this step execution carries ANY control breach.</t>
        </r>
      </text>
    </comment>
    <comment ref="AS1" authorId="0">
      <text>
        <r>
          <rPr>
            <rFont val="Aptos Narrow"/>
            <b/>
            <color rgb="FFFFFFFF"/>
            <sz val="11"/>
          </rPr>
          <t>Echoes the parent execution id only for steps that ran past their expected duration.</t>
        </r>
      </text>
    </comment>
    <comment ref="AT1" authorId="0">
      <text>
        <r>
          <rPr>
            <rFont val="Aptos Narrow"/>
            <b/>
            <color rgb="FFFFFFFF"/>
            <sz val="11"/>
          </rPr>
          <t>Human, AIAgent, or AutomatedPipeline — what kind of agent actually ran this step.</t>
        </r>
      </text>
    </comment>
    <comment ref="AU1" authorId="0">
      <text>
        <r>
          <rPr>
            <rFont val="Aptos Narrow"/>
            <b/>
            <color rgb="FFFFFFFF"/>
            <sz val="11"/>
          </rPr>
          <t>TRUE when a human executed this step.</t>
        </r>
      </text>
    </comment>
    <comment ref="AV1" authorId="0">
      <text>
        <r>
          <rPr>
            <rFont val="Aptos Narrow"/>
            <b/>
            <color rgb="FFFFFFFF"/>
            <sz val="11"/>
          </rPr>
          <t>Whether the specification requires this step to be human-confirmed.</t>
        </r>
      </text>
    </comment>
    <comment ref="AW1" authorId="0">
      <text>
        <r>
          <rPr>
            <rFont val="Aptos Narrow"/>
            <b/>
            <color rgb="FFFFFFFF"/>
            <sz val="11"/>
          </rPr>
          <t>TRUE when a step requiring human confirmation was executed by an AI agent or automated pipeline.</t>
        </r>
      </text>
    </comment>
    <comment ref="AX1" authorId="0">
      <text>
        <r>
          <rPr>
            <rFont val="Aptos Narrow"/>
            <b/>
            <color rgb="FFFFFFFF"/>
            <sz val="11"/>
          </rPr>
          <t>TRUE when an approval-authority step was executed by a non-human agent, regardless of the RequiresHumanConfirmation flag.</t>
        </r>
      </text>
    </comment>
    <comment ref="AY1" authorId="0">
      <text>
        <r>
          <rPr>
            <rFont val="Aptos Narrow"/>
            <b/>
            <color rgb="FFFFFFFF"/>
            <sz val="11"/>
          </rPr>
          <t>Echoes the parent execution id when this step left a blocking control unevaluated.</t>
        </r>
      </text>
    </comment>
    <comment ref="AZ1" authorId="0">
      <text>
        <r>
          <rPr>
            <rFont val="Aptos Narrow"/>
            <b/>
            <color rgb="FFFFFFFF"/>
            <sz val="11"/>
          </rPr>
          <t>Echoes the parent execution id when this step execution violates segregation of duties.</t>
        </r>
      </text>
    </comment>
    <comment ref="BA1" authorId="0">
      <text>
        <r>
          <rPr>
            <rFont val="Aptos Narrow"/>
            <b/>
            <color rgb="FFFFFFFF"/>
            <sz val="11"/>
          </rPr>
          <t>How many of this execution's verifications were observed by the same agent who ran the step.</t>
        </r>
      </text>
    </comment>
    <comment ref="BB1" authorId="0">
      <text>
        <r>
          <rPr>
            <rFont val="Aptos Narrow"/>
            <b/>
            <color rgb="FFFFFFFF"/>
            <sz val="11"/>
          </rPr>
          <t>How many verifications on this execution recorded a matching signal with no retained evidence artifact.</t>
        </r>
      </text>
    </comment>
    <comment ref="BC1" authorId="0">
      <text>
        <r>
          <rPr>
            <rFont val="Aptos Narrow"/>
            <b/>
            <color rgb="FFFFFFFF"/>
            <sz val="11"/>
          </rPr>
          <t>TRUE when an approval step's verification was either self-witnessed by the approver or never performed at all.</t>
        </r>
      </text>
    </comment>
    <comment ref="BD1" authorId="0">
      <text>
        <r>
          <rPr>
            <rFont val="Aptos Narrow"/>
            <b/>
            <color rgb="FFFFFFFF"/>
            <sz val="11"/>
          </rPr>
          <t>How many specified exceptions were invoked during this step execution.</t>
        </r>
      </text>
    </comment>
    <comment ref="BE1" authorId="0">
      <text>
        <r>
          <rPr>
            <rFont val="Aptos Narrow"/>
            <b/>
            <color rgb="FFFFFFFF"/>
            <sz val="11"/>
          </rPr>
          <t>TRUE when this execution invoked at least one specified exception.</t>
        </r>
      </text>
    </comment>
    <comment ref="BF1" authorId="0">
      <text>
        <r>
          <rPr>
            <rFont val="Aptos Narrow"/>
            <b/>
            <color rgb="FFFFFFFF"/>
            <sz val="11"/>
          </rPr>
          <t>TRUE when this step execution reached a completed state.</t>
        </r>
      </text>
    </comment>
    <comment ref="BG1" authorId="0">
      <text>
        <r>
          <rPr>
            <rFont val="Aptos Narrow"/>
            <b/>
            <color rgb="FFFFFFFF"/>
            <sz val="11"/>
          </rPr>
          <t>TRUE only when this step execution's verification actually passed. PENDING and FAIL are both not-passed.</t>
        </r>
      </text>
    </comment>
    <comment ref="BH1" authorId="0">
      <text>
        <r>
          <rPr>
            <rFont val="Aptos Narrow"/>
            <b/>
            <color rgb="FFFFFFFF"/>
            <sz val="11"/>
          </rPr>
          <t>TRUE for executions of the legal and privacy review step.</t>
        </r>
      </text>
    </comment>
    <comment ref="BI1" authorId="0">
      <text>
        <r>
          <rPr>
            <rFont val="Aptos Narrow"/>
            <b/>
            <color rgb="FFFFFFFF"/>
            <sz val="11"/>
          </rPr>
          <t>Carries the execution id only when this row is a PASSED legal review; empty string otherwise.</t>
        </r>
      </text>
    </comment>
    <comment ref="BJ1" authorId="0">
      <text>
        <r>
          <rPr>
            <rFont val="Aptos Narrow"/>
            <b/>
            <color rgb="FFFFFFFF"/>
            <sz val="11"/>
          </rPr>
          <t>The role the specification assigns to this step.</t>
        </r>
      </text>
    </comment>
    <comment ref="BK1" authorId="0">
      <text>
        <r>
          <rPr>
            <rFont val="Aptos Narrow"/>
            <b/>
            <color rgb="FFFFFFFF"/>
            <sz val="11"/>
          </rPr>
          <t>The agent currently designated to hold the step's assigned role.</t>
        </r>
      </text>
    </comment>
    <comment ref="BL1" authorId="0">
      <text>
        <r>
          <rPr>
            <rFont val="Aptos Narrow"/>
            <b/>
            <color rgb="FFFFFFFF"/>
            <sz val="11"/>
          </rPr>
          <t>TRUE when the agent that executed the step is the agent currently designated for the step's role.</t>
        </r>
      </text>
    </comment>
    <comment ref="BM1" authorId="0">
      <text>
        <r>
          <rPr>
            <rFont val="Aptos Narrow"/>
            <b/>
            <color rgb="FFFFFFFF"/>
            <sz val="11"/>
          </rPr>
          <t>Freshness verdict for the step this execution ran.</t>
        </r>
      </text>
    </comment>
    <comment ref="BN1" authorId="0">
      <text>
        <r>
          <rPr>
            <rFont val="Aptos Narrow"/>
            <b/>
            <color rgb="FFFFFFFF"/>
            <sz val="11"/>
          </rPr>
          <t>TRUE when an execution completed even though its step's authoritative inputs are stale.</t>
        </r>
      </text>
    </comment>
    <comment ref="BO1" authorId="0">
      <text>
        <r>
          <rPr>
            <rFont val="Aptos Narrow"/>
            <b/>
            <color rgb="FFFFFFFF"/>
            <sz val="11"/>
          </rPr>
          <t>Number of unresolved issue occurrences recorded against this execution.</t>
        </r>
      </text>
    </comment>
    <comment ref="BP1" authorId="0">
      <text>
        <r>
          <rPr>
            <rFont val="Aptos Narrow"/>
            <b/>
            <color rgb="FFFFFFFF"/>
            <sz val="11"/>
          </rPr>
          <t>TRUE when a deviation from the specification was recorded.</t>
        </r>
      </text>
    </comment>
    <comment ref="BQ1" authorId="0">
      <text>
        <r>
          <rPr>
            <rFont val="Aptos Narrow"/>
            <b/>
            <color rgb="FFFFFFFF"/>
            <sz val="11"/>
          </rPr>
          <t>TRUE when this execution passed verification, deviated from nothing, left no open issue, and finished on time.</t>
        </r>
      </text>
    </comment>
    <comment ref="BR1" authorId="0">
      <text>
        <r>
          <rPr>
            <rFont val="Aptos Narrow"/>
            <b/>
            <color rgb="FFFFFFFF"/>
            <sz val="11"/>
          </rPr>
          <t>Echoes the parent execution id when this step execution is not clean, blank otherwise.</t>
        </r>
      </text>
    </comment>
    <comment ref="BS1" authorId="0">
      <text>
        <r>
          <rPr>
            <rFont val="Aptos Narrow"/>
            <b/>
            <color rgb="FFFFFFFF"/>
            <sz val="11"/>
          </rPr>
          <t>Number of requirements actually scored against this execution.</t>
        </r>
      </text>
    </comment>
    <comment ref="BT1" authorId="0">
      <text>
        <r>
          <rPr>
            <rFont val="Aptos Narrow"/>
            <b/>
            <color rgb="FFFFFFFF"/>
            <sz val="11"/>
          </rPr>
          <t>Number of blocking requirements the specification demands for this step.</t>
        </r>
      </text>
    </comment>
    <comment ref="BU1" authorId="0">
      <text>
        <r>
          <rPr>
            <rFont val="Aptos Narrow"/>
            <b/>
            <color rgb="FFFFFFFF"/>
            <sz val="11"/>
          </rPr>
          <t>TRUE when fewer requirements were scored than the step has blocking requirements.</t>
        </r>
      </text>
    </comment>
    <comment ref="BV1" authorId="0">
      <text>
        <r>
          <rPr>
            <rFont val="Aptos Narrow"/>
            <b/>
            <color rgb="FFFFFFFF"/>
            <sz val="11"/>
          </rPr>
          <t>The kind of agent that actually performed this step execution.</t>
        </r>
      </text>
    </comment>
    <comment ref="BW1" authorId="0">
      <text>
        <r>
          <rPr>
            <rFont val="Aptos Narrow"/>
            <b/>
            <color rgb="FFFFFFFF"/>
            <sz val="11"/>
          </rPr>
          <t>TRUE when software actually performed this step.</t>
        </r>
      </text>
    </comment>
    <comment ref="BX1" authorId="0">
      <text>
        <r>
          <rPr>
            <rFont val="Aptos Narrow"/>
            <b/>
            <color rgb="FFFFFFFF"/>
            <sz val="11"/>
          </rPr>
          <t>Whether the step being executed was specified as a software step.</t>
        </r>
      </text>
    </comment>
    <comment ref="BY1" authorId="0">
      <text>
        <r>
          <rPr>
            <rFont val="Aptos Narrow"/>
            <b/>
            <color rgb="FFFFFFFF"/>
            <sz val="11"/>
          </rPr>
          <t>TRUE when software performed a step the procedure specified for a human.</t>
        </r>
      </text>
    </comment>
    <comment ref="BZ1" authorId="0">
      <text>
        <r>
          <rPr>
            <rFont val="Aptos Narrow"/>
            <b/>
            <color rgb="FFFFFFFF"/>
            <sz val="11"/>
          </rPr>
          <t>Whether this execution is of a designated human approval gate.</t>
        </r>
      </text>
    </comment>
    <comment ref="CA1" authorId="0">
      <text>
        <r>
          <rPr>
            <rFont val="Aptos Narrow"/>
            <b/>
            <color rgb="FFFFFFFF"/>
            <sz val="11"/>
          </rPr>
          <t>TRUE when this execution recorded a positive verification outcome.</t>
        </r>
      </text>
    </comment>
    <comment ref="CB1" authorId="0">
      <text>
        <r>
          <rPr>
            <rFont val="Aptos Narrow"/>
            <b/>
            <color rgb="FFFFFFFF"/>
            <sz val="11"/>
          </rPr>
          <t>Number of material non-human decisions in this execution that no human confirmed.</t>
        </r>
      </text>
    </comment>
    <comment ref="CC1" authorId="0">
      <text>
        <r>
          <rPr>
            <rFont val="Aptos Narrow"/>
            <b/>
            <color rgb="FFFFFFFF"/>
            <sz val="11"/>
          </rPr>
          <t>Whether the specification requires human confirmation for this step.</t>
        </r>
      </text>
    </comment>
    <comment ref="CD1" authorId="0">
      <text>
        <r>
          <rPr>
            <rFont val="Aptos Narrow"/>
            <b/>
            <color rgb="FFFFFFFF"/>
            <sz val="11"/>
          </rPr>
          <t>TRUE when a step requiring human confirmation contains unconfirmed material non-human decisions.</t>
        </r>
      </text>
    </comment>
    <comment ref="CE1" authorId="0">
      <text>
        <r>
          <rPr>
            <rFont val="Aptos Narrow"/>
            <b/>
            <color rgb="FFFFFFFF"/>
            <sz val="11"/>
          </rPr>
          <t>TRUE when a drafting execution completed despite an unapproved or stale source at its step.</t>
        </r>
      </text>
    </comment>
    <comment ref="CF1" authorId="0">
      <text>
        <r>
          <rPr>
            <rFont val="Aptos Narrow"/>
            <b/>
            <color rgb="FFFFFFFF"/>
            <sz val="11"/>
          </rPr>
          <t>Source-usability verdict for the step this execution ran.</t>
        </r>
      </text>
    </comment>
    <comment ref="CG1" authorId="0">
      <text>
        <r>
          <rPr>
            <rFont val="Aptos Narrow"/>
            <b/>
            <color rgb="FFFFFFFF"/>
            <sz val="11"/>
          </rPr>
          <t>Composite-key echo: the step this execution ran when it was carried out by software, blank otherwise.</t>
        </r>
      </text>
    </comment>
    <comment ref="CH1" authorId="0">
      <text>
        <r>
          <rPr>
            <rFont val="Aptos Narrow"/>
            <b/>
            <color rgb="FFFFFFFF"/>
            <sz val="11"/>
          </rPr>
          <t>The control kind of the step this execution ran.</t>
        </r>
      </text>
    </comment>
    <comment ref="CI1" authorId="0">
      <text>
        <r>
          <rPr>
            <rFont val="Aptos Narrow"/>
            <b/>
            <color rgb="FFFFFFFF"/>
            <sz val="11"/>
          </rPr>
          <t>How many of this step's blocking clearances came from controls that have never once failed.</t>
        </r>
      </text>
    </comment>
    <comment ref="CJ1" authorId="0">
      <text>
        <r>
          <rPr>
            <rFont val="Aptos Narrow"/>
            <b/>
            <color rgb="FFFFFFFF"/>
            <sz val="11"/>
          </rPr>
          <t>TRUE when every blocking control evaluated on this step is one that has never returned a negative result.</t>
        </r>
      </text>
    </comment>
    <comment ref="CK1" authorId="0">
      <text>
        <r>
          <rPr>
            <rFont val="Aptos Narrow"/>
            <b/>
            <color rgb="FFFFFFFF"/>
            <sz val="11"/>
          </rPr>
          <t>How many authoritative sources this step read that were already out of SLA when it read them.</t>
        </r>
      </text>
    </comment>
    <comment ref="CL1" authorId="0">
      <text>
        <r>
          <rPr>
            <rFont val="Aptos Narrow"/>
            <b/>
            <color rgb="FFFFFFFF"/>
            <sz val="11"/>
          </rPr>
          <t>TRUE when this execution consumed at least one authoritative source that was stale at the time of reading.</t>
        </r>
      </text>
    </comment>
    <comment ref="CM1" authorId="0">
      <text>
        <r>
          <rPr>
            <rFont val="Aptos Narrow"/>
            <b/>
            <color rgb="FFFFFFFF"/>
            <sz val="11"/>
          </rPr>
          <t>TRUE when the as-of-now staleness verdict disagrees with the as-of-run verdict for the same step.</t>
        </r>
      </text>
    </comment>
    <comment ref="CN1" authorId="0">
      <text>
        <r>
          <rPr>
            <rFont val="Aptos Narrow"/>
            <b/>
            <color rgb="FFFFFFFF"/>
            <sz val="11"/>
          </rPr>
          <t>TRUE when the specification declared at least one verification or one blocking requirement for this step.</t>
        </r>
      </text>
    </comment>
    <comment ref="CO1" authorId="0">
      <text>
        <r>
          <rPr>
            <rFont val="Aptos Narrow"/>
            <b/>
            <color rgb="FFFFFFFF"/>
            <sz val="11"/>
          </rPr>
          <t>Total number of checks actually carried out on this execution, verifications plus blocking-control evaluations.</t>
        </r>
      </text>
    </comment>
    <comment ref="CP1" authorId="0">
      <text>
        <r>
          <rPr>
            <rFont val="Aptos Narrow"/>
            <b/>
            <color rgb="FFFFFFFF"/>
            <sz val="11"/>
          </rPr>
          <t>Total number of checks the specification called for on this step.</t>
        </r>
      </text>
    </comment>
    <comment ref="CQ1" authorId="0">
      <text>
        <r>
          <rPr>
            <rFont val="Aptos Narrow"/>
            <b/>
            <color rgb="FFFFFFFF"/>
            <sz val="11"/>
          </rPr>
          <t>TRUE when the specification asked for no verification and no blocking control on this step at all.</t>
        </r>
      </text>
    </comment>
    <comment ref="CR1" authorId="0">
      <text>
        <r>
          <rPr>
            <rFont val="Aptos Narrow"/>
            <b/>
            <color rgb="FFFFFFFF"/>
            <sz val="11"/>
          </rPr>
          <t>TRUE when this execution reads clean and nothing was ever declared that could have made it read otherwise.</t>
        </r>
      </text>
    </comment>
    <comment ref="CS1" authorId="0">
      <text>
        <r>
          <rPr>
            <rFont val="Aptos Narrow"/>
            <b/>
            <color rgb="FFFFFFFF"/>
            <sz val="11"/>
          </rPr>
          <t>TRUE when this execution is clean AND every declared check was actually performed.</t>
        </r>
      </text>
    </comment>
    <comment ref="CT1" authorId="0">
      <text>
        <r>
          <rPr>
            <rFont val="Aptos Narrow"/>
            <b/>
            <color rgb="FFFFFFFF"/>
            <sz val="11"/>
          </rPr>
          <t>Echoes the parent execution id when this step is vacuously clean.</t>
        </r>
      </text>
    </comment>
    <comment ref="CU1" authorId="0">
      <text>
        <r>
          <rPr>
            <rFont val="Aptos Narrow"/>
            <b/>
            <color rgb="FFFFFFFF"/>
            <sz val="11"/>
          </rPr>
          <t>How many of this step's passing verifications were observed by the executor with no evidence attached.</t>
        </r>
      </text>
    </comment>
    <comment ref="CV1" authorId="0">
      <text>
        <r>
          <rPr>
            <rFont val="Aptos Narrow"/>
            <b/>
            <color rgb="FFFFFFFF"/>
            <sz val="11"/>
          </rPr>
          <t>TRUE when every verification performed on this step was an uncorroborated self-witnessed pass.</t>
        </r>
      </text>
    </comment>
    <comment ref="CW1" authorId="0">
      <text>
        <r>
          <rPr>
            <rFont val="Aptos Narrow"/>
            <b/>
            <color rgb="FFFFFFFF"/>
            <sz val="11"/>
          </rPr>
          <t>Echoes the parent execution id when this step execution is a preparation step.</t>
        </r>
      </text>
    </comment>
    <comment ref="CX1" authorId="0">
      <text>
        <r>
          <rPr>
            <rFont val="Aptos Narrow"/>
            <b/>
            <color rgb="FFFFFFFF"/>
            <sz val="11"/>
          </rPr>
          <t>Echoes the parent execution id when this step execution is an approval step.</t>
        </r>
      </text>
    </comment>
    <comment ref="CY1" authorId="0">
      <text>
        <r>
          <rPr>
            <rFont val="Aptos Narrow"/>
            <b/>
            <color rgb="FFFFFFFF"/>
            <sz val="11"/>
          </rPr>
          <t>TRUE when this step's departure from spec is covered by an invoked exception or an approved change request against its procedure version.</t>
        </r>
      </text>
    </comment>
    <comment ref="CZ1" authorId="0">
      <text>
        <r>
          <rPr>
            <rFont val="Aptos Narrow"/>
            <b/>
            <color rgb="FFFFFFFF"/>
            <sz val="11"/>
          </rPr>
          <t>Whether the procedure version this step belongs to has an approved change request that could account for a departure.</t>
        </r>
      </text>
    </comment>
    <comment ref="DA1" authorId="0">
      <text>
        <r>
          <rPr>
            <rFont val="Aptos Narrow"/>
            <b/>
            <color rgb="FFFFFFFF"/>
            <sz val="11"/>
          </rPr>
          <t>The procedure version this step execution's specification step belongs to.</t>
        </r>
      </text>
    </comment>
    <comment ref="DB1" authorId="0">
      <text>
        <r>
          <rPr>
            <rFont val="Aptos Narrow"/>
            <b/>
            <color rgb="FFFFFFFF"/>
            <sz val="11"/>
          </rPr>
          <t>TRUE when this step departed from specification and no exception or approved change covers it.</t>
        </r>
      </text>
    </comment>
    <comment ref="DC1" authorId="0">
      <text>
        <r>
          <rPr>
            <rFont val="Aptos Narrow"/>
            <b/>
            <color rgb="FFFFFFFF"/>
            <sz val="11"/>
          </rPr>
          <t>Echoes the parent execution id when this step diverged without governance.</t>
        </r>
      </text>
    </comment>
    <comment ref="DD1" authorId="0">
      <text>
        <r>
          <rPr>
            <rFont val="Aptos Narrow"/>
            <b/>
            <color rgb="FFFFFFFF"/>
            <sz val="11"/>
          </rPr>
          <t>Echoes the parent execution id when this approval rested on self-attestation.</t>
        </r>
      </text>
    </comment>
    <comment ref="DE1" authorId="0">
      <text>
        <r>
          <rPr>
            <rFont val="Aptos Narrow"/>
            <b/>
            <color rgb="FFFFFFFF"/>
            <sz val="11"/>
          </rPr>
          <t>Exact PKO class IRI.</t>
        </r>
      </text>
    </comment>
    <comment ref="B1" authorId="0">
      <text>
        <r>
          <rPr>
            <rFont val="Aptos Narrow"/>
            <b/>
            <color rgb="FFFFFFFF"/>
            <sz val="11"/>
          </rPr>
          <t>Human-readable calculated display alias for the StepExecutions row.</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RequirementSatisfactions row.</t>
        </r>
      </text>
    </comment>
    <comment ref="C1" authorId="0">
      <text>
        <r>
          <rPr>
            <rFont val="Aptos Narrow"/>
            <b/>
            <color rgb="FFFFFFFF"/>
            <sz val="11"/>
          </rPr>
          <t>Execution being evaluated.</t>
        </r>
      </text>
    </comment>
    <comment ref="D1" authorId="0">
      <text>
        <r>
          <rPr>
            <rFont val="Aptos Narrow"/>
            <b/>
            <color rgb="FFFFFFFF"/>
            <sz val="11"/>
          </rPr>
          <t>Requirement evaluated.</t>
        </r>
      </text>
    </comment>
    <comment ref="E1" authorId="0">
      <text>
        <r>
          <rPr>
            <rFont val="Aptos Narrow"/>
            <b/>
            <color rgb="FFFFFFFF"/>
            <sz val="11"/>
          </rPr>
          <t>NotEvaluated, NotSatisfied, PartiallySatisfied, or Satisfied.</t>
        </r>
      </text>
    </comment>
    <comment ref="F1" authorId="0">
      <text>
        <r>
          <rPr>
            <rFont val="Aptos Narrow"/>
            <b/>
            <color rgb="FFFFFFFF"/>
            <sz val="11"/>
          </rPr>
          <t>Evidence supporting the evaluation.</t>
        </r>
      </text>
    </comment>
    <comment ref="G1" authorId="0">
      <text>
        <r>
          <rPr>
            <rFont val="Aptos Narrow"/>
            <b/>
            <color rgb="FFFFFFFF"/>
            <sz val="11"/>
          </rPr>
          <t>Agent that evaluated satisfaction.</t>
        </r>
      </text>
    </comment>
    <comment ref="H1" authorId="0">
      <text>
        <r>
          <rPr>
            <rFont val="Aptos Narrow"/>
            <b/>
            <color rgb="FFFFFFFF"/>
            <sz val="11"/>
          </rPr>
          <t>Evaluation timestamp.</t>
        </r>
      </text>
    </comment>
    <comment ref="I1" authorId="0">
      <text>
        <r>
          <rPr>
            <rFont val="Aptos Narrow"/>
            <b/>
            <color rgb="FFFFFFFF"/>
            <sz val="11"/>
          </rPr>
          <t>Whether the requirement being evaluated on this satisfaction row is a blocking control.</t>
        </r>
      </text>
    </comment>
    <comment ref="J1" authorId="0">
      <text>
        <r>
          <rPr>
            <rFont val="Aptos Narrow"/>
            <b/>
            <color rgb="FFFFFFFF"/>
            <sz val="11"/>
          </rPr>
          <t>TRUE only when the requirement is recorded as fully Satisfied. PartiallySatisfied, Unsatisfied, Waived, and blank are all FALSE.</t>
        </r>
      </text>
    </comment>
    <comment ref="K1" authorId="0">
      <text>
        <r>
          <rPr>
            <rFont val="Aptos Narrow"/>
            <b/>
            <color rgb="FFFFFFFF"/>
            <sz val="11"/>
          </rPr>
          <t>TRUE when a blocking requirement is recorded at anything less than fully Satisfied. This is the control-failure witness at the requirement grain.</t>
        </r>
      </text>
    </comment>
    <comment ref="L1" authorId="0">
      <text>
        <r>
          <rPr>
            <rFont val="Aptos Narrow"/>
            <b/>
            <color rgb="FFFFFFFF"/>
            <sz val="11"/>
          </rPr>
          <t>Echoes the parent StepExecution id only when this row is a blocking-unmet violation; empty string otherwise.</t>
        </r>
      </text>
    </comment>
    <comment ref="M1" authorId="0">
      <text>
        <r>
          <rPr>
            <rFont val="Aptos Narrow"/>
            <b/>
            <color rgb="FFFFFFFF"/>
            <sz val="11"/>
          </rPr>
          <t>Echoes the parent StepExecution id when this satisfaction row concerns a blocking requirement.</t>
        </r>
      </text>
    </comment>
    <comment ref="N1" authorId="0">
      <text>
        <r>
          <rPr>
            <rFont val="Aptos Narrow"/>
            <b/>
            <color rgb="FFFFFFFF"/>
            <sz val="11"/>
          </rPr>
          <t>Echoes the Requirement id only when this evaluation came out at less than fully Satisfied.</t>
        </r>
      </text>
    </comment>
    <comment ref="O1" authorId="0">
      <text>
        <r>
          <rPr>
            <rFont val="Aptos Narrow"/>
            <b/>
            <color rgb="FFFFFFFF"/>
            <sz val="11"/>
          </rPr>
          <t>What kind of agent evaluated this requirement satisfaction.</t>
        </r>
      </text>
    </comment>
    <comment ref="P1" authorId="0">
      <text>
        <r>
          <rPr>
            <rFont val="Aptos Narrow"/>
            <b/>
            <color rgb="FFFFFFFF"/>
            <sz val="11"/>
          </rPr>
          <t>TRUE when a blocking requirement was evaluated by a non-human agent.</t>
        </r>
      </text>
    </comment>
    <comment ref="Q1" authorId="0">
      <text>
        <r>
          <rPr>
            <rFont val="Aptos Narrow"/>
            <b/>
            <color rgb="FFFFFFFF"/>
            <sz val="11"/>
          </rPr>
          <t>Whether the requirement this row evaluates has a computed witness behind it.</t>
        </r>
      </text>
    </comment>
    <comment ref="R1" authorId="0">
      <text>
        <r>
          <rPr>
            <rFont val="Aptos Narrow"/>
            <b/>
            <color rgb="FFFFFFFF"/>
            <sz val="11"/>
          </rPr>
          <t>TRUE when a blocking requirement is recorded as Satisfied purely on human assertion, with no computed predicate behind it.</t>
        </r>
      </text>
    </comment>
    <comment ref="S1" authorId="0">
      <text>
        <r>
          <rPr>
            <rFont val="Aptos Narrow"/>
            <b/>
            <color rgb="FFFFFFFF"/>
            <sz val="11"/>
          </rPr>
          <t>Echoes the grandparent procedure execution id for assertion-only satisfactions.</t>
        </r>
      </text>
    </comment>
    <comment ref="T1" authorId="0">
      <text>
        <r>
          <rPr>
            <rFont val="Aptos Narrow"/>
            <b/>
            <color rgb="FFFFFFFF"/>
            <sz val="11"/>
          </rPr>
          <t>The procedure execution this satisfaction ultimately belongs to.</t>
        </r>
      </text>
    </comment>
    <comment ref="U1" authorId="0">
      <text>
        <r>
          <rPr>
            <rFont val="Aptos Narrow"/>
            <b/>
            <color rgb="FFFFFFFF"/>
            <sz val="11"/>
          </rPr>
          <t>Echoes the step-execution id when a satisfaction level was actually recorded, blank otherwise.</t>
        </r>
      </text>
    </comment>
    <comment ref="V1" authorId="0">
      <text>
        <r>
          <rPr>
            <rFont val="Aptos Narrow"/>
            <b/>
            <color rgb="FFFFFFFF"/>
            <sz val="11"/>
          </rPr>
          <t>TRUE when a human evaluated this requirement satisfaction.</t>
        </r>
      </text>
    </comment>
    <comment ref="W1" authorId="0">
      <text>
        <r>
          <rPr>
            <rFont val="Aptos Narrow"/>
            <b/>
            <color rgb="FFFFFFFF"/>
            <sz val="11"/>
          </rPr>
          <t>The requirement's type, e.g. Approval, Control, Privacy.</t>
        </r>
      </text>
    </comment>
    <comment ref="X1" authorId="0">
      <text>
        <r>
          <rPr>
            <rFont val="Aptos Narrow"/>
            <b/>
            <color rgb="FFFFFFFF"/>
            <sz val="11"/>
          </rPr>
          <t>TRUE when an approval-type requirement is not fully satisfied, or was not evaluated by a human.</t>
        </r>
      </text>
    </comment>
    <comment ref="Y1" authorId="0">
      <text>
        <r>
          <rPr>
            <rFont val="Aptos Narrow"/>
            <b/>
            <color rgb="FFFFFFFF"/>
            <sz val="11"/>
          </rPr>
          <t>The run this satisfaction belongs to.</t>
        </r>
      </text>
    </comment>
    <comment ref="Z1" authorId="0">
      <text>
        <r>
          <rPr>
            <rFont val="Aptos Narrow"/>
            <b/>
            <color rgb="FFFFFFFF"/>
            <sz val="11"/>
          </rPr>
          <t>Echoes the run id when this is an invalid approval, blank otherwise.</t>
        </r>
      </text>
    </comment>
    <comment ref="AA1" authorId="0">
      <text>
        <r>
          <rPr>
            <rFont val="Aptos Narrow"/>
            <b/>
            <color rgb="FFFFFFFF"/>
            <sz val="11"/>
          </rPr>
          <t>Whether the requirement behind this satisfaction record has never once returned a negative result.</t>
        </r>
      </text>
    </comment>
    <comment ref="AB1" authorId="0">
      <text>
        <r>
          <rPr>
            <rFont val="Aptos Narrow"/>
            <b/>
            <color rgb="FFFFFFFF"/>
            <sz val="11"/>
          </rPr>
          <t>TRUE when this record cleared a step against a blocking control that has never produced a negative outcome.</t>
        </r>
      </text>
    </comment>
    <comment ref="AC1" authorId="0">
      <text>
        <r>
          <rPr>
            <rFont val="Aptos Narrow"/>
            <b/>
            <color rgb="FFFFFFFF"/>
            <sz val="11"/>
          </rPr>
          <t>Echoes the step execution id when this clearance came from an unfalsified control.</t>
        </r>
      </text>
    </comment>
    <comment ref="AD1" authorId="0">
      <text>
        <r>
          <rPr>
            <rFont val="Aptos Narrow"/>
            <b/>
            <color rgb="FFFFFFFF"/>
            <sz val="11"/>
          </rPr>
          <t>The specification step behind the step execution this satisfaction was recorded against.</t>
        </r>
      </text>
    </comment>
    <comment ref="AE1" authorId="0">
      <text>
        <r>
          <rPr>
            <rFont val="Aptos Narrow"/>
            <b/>
            <color rgb="FFFFFFFF"/>
            <sz val="11"/>
          </rPr>
          <t>The StepRequirements binding this satisfaction record exercised.</t>
        </r>
      </text>
    </comment>
    <comment ref="AF1" authorId="0">
      <text>
        <r>
          <rPr>
            <rFont val="Aptos Narrow"/>
            <b/>
            <color rgb="FFFFFFFF"/>
            <sz val="11"/>
          </rPr>
          <t>The agent who executed the step this satisfaction record scores.</t>
        </r>
      </text>
    </comment>
    <comment ref="AG1" authorId="0">
      <text>
        <r>
          <rPr>
            <rFont val="Aptos Narrow"/>
            <b/>
            <color rgb="FFFFFFFF"/>
            <sz val="11"/>
          </rPr>
          <t>TRUE when the agent who scored this control is the same agent who performed the step being scored.</t>
        </r>
      </text>
    </comment>
    <comment ref="AH1" authorId="0">
      <text>
        <r>
          <rPr>
            <rFont val="Aptos Narrow"/>
            <b/>
            <color rgb="FFFFFFFF"/>
            <sz val="11"/>
          </rPr>
          <t>The agent accountable for the whole procedure execution this satisfaction sits inside.</t>
        </r>
      </text>
    </comment>
    <comment ref="AI1" authorId="0">
      <text>
        <r>
          <rPr>
            <rFont val="Aptos Narrow"/>
            <b/>
            <color rgb="FFFFFFFF"/>
            <sz val="11"/>
          </rPr>
          <t>TRUE when the agent scoring this control is the agent accountable for the execution it belongs to.</t>
        </r>
      </text>
    </comment>
    <comment ref="AJ1" authorId="0">
      <text>
        <r>
          <rPr>
            <rFont val="Aptos Narrow"/>
            <b/>
            <color rgb="FFFFFFFF"/>
            <sz val="11"/>
          </rPr>
          <t>TRUE when a blocking control's only evidence is an assertion made by someone with an interest in the outcome.</t>
        </r>
      </text>
    </comment>
    <comment ref="AK1" authorId="0">
      <text>
        <r>
          <rPr>
            <rFont val="Aptos Narrow"/>
            <b/>
            <color rgb="FFFFFFFF"/>
            <sz val="11"/>
          </rPr>
          <t>TRUE when this satisfaction record carries any evidence text at all.</t>
        </r>
      </text>
    </comment>
    <comment ref="AL1" authorId="0">
      <text>
        <r>
          <rPr>
            <rFont val="Aptos Narrow"/>
            <b/>
            <color rgb="FFFFFFFF"/>
            <sz val="11"/>
          </rPr>
          <t>TRUE when a blocking control was cleared with no computed witness and no written justification.</t>
        </r>
      </text>
    </comment>
    <comment ref="AM1" authorId="0">
      <text>
        <r>
          <rPr>
            <rFont val="Aptos Narrow"/>
            <b/>
            <color rgb="FFFFFFFF"/>
            <sz val="11"/>
          </rPr>
          <t>Echoes the parent execution id when this record is an interested-party assertion.</t>
        </r>
      </text>
    </comment>
    <comment ref="AN1" authorId="0">
      <text>
        <r>
          <rPr>
            <rFont val="Aptos Narrow"/>
            <b/>
            <color rgb="FFFFFFFF"/>
            <sz val="11"/>
          </rPr>
          <t>TRUE when this record scores a blocking control that has a computed witness behind it.</t>
        </r>
      </text>
    </comment>
    <comment ref="AO1" authorId="0">
      <text>
        <r>
          <rPr>
            <rFont val="Aptos Narrow"/>
            <b/>
            <color rgb="FFFFFFFF"/>
            <sz val="11"/>
          </rPr>
          <t>Echoes the parent execution id when this control was computationally witnessed.</t>
        </r>
      </text>
    </comment>
    <comment ref="AP1" authorId="0">
      <text>
        <r>
          <rPr>
            <rFont val="Aptos Narrow"/>
            <b/>
            <color rgb="FFFFFFFF"/>
            <sz val="11"/>
          </rPr>
          <t>The agent who executed the step this satisfaction record scores.</t>
        </r>
      </text>
    </comment>
    <comment ref="AQ1" authorId="0">
      <text>
        <r>
          <rPr>
            <rFont val="Aptos Narrow"/>
            <b/>
            <color rgb="FFFFFFFF"/>
            <sz val="11"/>
          </rPr>
          <t>TRUE when this control was scored after the run it belongs to had already been attested.</t>
        </r>
      </text>
    </comment>
    <comment ref="AR1" authorId="0">
      <text>
        <r>
          <rPr>
            <rFont val="Aptos Narrow"/>
            <b/>
            <color rgb="FFFFFFFF"/>
            <sz val="11"/>
          </rPr>
          <t>When the parent execution was attested, if it has been.</t>
        </r>
      </text>
    </comment>
    <comment ref="AS1" authorId="0">
      <text>
        <r>
          <rPr>
            <rFont val="Aptos Narrow"/>
            <b/>
            <color rgb="FFFFFFFF"/>
            <sz val="11"/>
          </rPr>
          <t>Echoes the parent execution id when this control was scored after signature.</t>
        </r>
      </text>
    </comment>
    <comment ref="AT1" authorId="0">
      <text>
        <r>
          <rPr>
            <rFont val="Aptos Narrow"/>
            <b/>
            <color rgb="FFFFFFFF"/>
            <sz val="11"/>
          </rPr>
          <t>Exact PKO class IRI.</t>
        </r>
      </text>
    </comment>
    <comment ref="B1" authorId="0">
      <text>
        <r>
          <rPr>
            <rFont val="Aptos Narrow"/>
            <b/>
            <color rgb="FFFFFFFF"/>
            <sz val="11"/>
          </rPr>
          <t>Human-readable calculated display alias for the RequirementSatisfactions row.</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Errors row.</t>
        </r>
      </text>
    </comment>
    <comment ref="C1" authorId="0">
      <text>
        <r>
          <rPr>
            <rFont val="Aptos Narrow"/>
            <b/>
            <color rgb="FFFFFFFF"/>
            <sz val="11"/>
          </rPr>
          <t>Error label.</t>
        </r>
      </text>
    </comment>
    <comment ref="D1" authorId="0">
      <text>
        <r>
          <rPr>
            <rFont val="Aptos Narrow"/>
            <b/>
            <color rgb="FFFFFFFF"/>
            <sz val="11"/>
          </rPr>
          <t>Error code; maps to pko:errorCode.</t>
        </r>
      </text>
    </comment>
    <comment ref="E1" authorId="0">
      <text>
        <r>
          <rPr>
            <rFont val="Aptos Narrow"/>
            <b/>
            <color rgb="FFFFFFFF"/>
            <sz val="11"/>
          </rPr>
          <t>Known or suspected cause; maps to pko:errorCause.</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Errors row.</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IssueOccurrences row.</t>
        </r>
      </text>
    </comment>
    <comment ref="C1" authorId="0">
      <text>
        <r>
          <rPr>
            <rFont val="Aptos Narrow"/>
            <b/>
            <color rgb="FFFFFFFF"/>
            <sz val="11"/>
          </rPr>
          <t>Step execution during which the issue occurred.</t>
        </r>
      </text>
    </comment>
    <comment ref="D1" authorId="0">
      <text>
        <r>
          <rPr>
            <rFont val="Aptos Narrow"/>
            <b/>
            <color rgb="FFFFFFFF"/>
            <sz val="11"/>
          </rPr>
          <t>Error encountered.</t>
        </r>
      </text>
    </comment>
    <comment ref="E1" authorId="0">
      <text>
        <r>
          <rPr>
            <rFont val="Aptos Narrow"/>
            <b/>
            <color rgb="FFFFFFFF"/>
            <sz val="11"/>
          </rPr>
          <t>Agent that encountered or reported the issue.</t>
        </r>
      </text>
    </comment>
    <comment ref="F1" authorId="0">
      <text>
        <r>
          <rPr>
            <rFont val="Aptos Narrow"/>
            <b/>
            <color rgb="FFFFFFFF"/>
            <sz val="11"/>
          </rPr>
          <t>Occurrence time.</t>
        </r>
      </text>
    </comment>
    <comment ref="G1" authorId="0">
      <text>
        <r>
          <rPr>
            <rFont val="Aptos Narrow"/>
            <b/>
            <color rgb="FFFFFFFF"/>
            <sz val="11"/>
          </rPr>
          <t>Execution-specific cause; maps to pko:issueCause.</t>
        </r>
      </text>
    </comment>
    <comment ref="H1" authorId="0">
      <text>
        <r>
          <rPr>
            <rFont val="Aptos Narrow"/>
            <b/>
            <color rgb="FFFFFFFF"/>
            <sz val="11"/>
          </rPr>
          <t>Applied solution; maps to pko:issueSolution.</t>
        </r>
      </text>
    </comment>
    <comment ref="I1" authorId="0">
      <text>
        <r>
          <rPr>
            <rFont val="Aptos Narrow"/>
            <b/>
            <color rgb="FFFFFFFF"/>
            <sz val="11"/>
          </rPr>
          <t>Open, Monitoring, Resolved, or Closed.</t>
        </r>
      </text>
    </comment>
    <comment ref="J1" authorId="0">
      <text>
        <r>
          <rPr>
            <rFont val="Aptos Narrow"/>
            <b/>
            <color rgb="FFFFFFFF"/>
            <sz val="11"/>
          </rPr>
          <t>TRUE when this issue occurrence has not been closed out.</t>
        </r>
      </text>
    </comment>
    <comment ref="K1" authorId="0">
      <text>
        <r>
          <rPr>
            <rFont val="Aptos Narrow"/>
            <b/>
            <color rgb="FFFFFFFF"/>
            <sz val="11"/>
          </rPr>
          <t>Echoes the step-execution id when the issue is unresolved, blank otherwise.</t>
        </r>
      </text>
    </comment>
    <comment ref="L1" authorId="0">
      <text>
        <r>
          <rPr>
            <rFont val="Aptos Narrow"/>
            <b/>
            <color rgb="FFFFFFFF"/>
            <sz val="11"/>
          </rPr>
          <t>Exact PKO class IRI.</t>
        </r>
      </text>
    </comment>
    <comment ref="B1" authorId="0">
      <text>
        <r>
          <rPr>
            <rFont val="Aptos Narrow"/>
            <b/>
            <color rgb="FFFFFFFF"/>
            <sz val="11"/>
          </rPr>
          <t>Human-readable calculated display alias for the IssueOccurrences row.</t>
        </r>
      </text>
    </comment>
  </commentList>
</comments>
</file>

<file path=xl/comments4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UserQuestions row.</t>
        </r>
      </text>
    </comment>
    <comment ref="C1" authorId="0">
      <text>
        <r>
          <rPr>
            <rFont val="Aptos Narrow"/>
            <b/>
            <color rgb="FFFFFFFF"/>
            <sz val="11"/>
          </rPr>
          <t>Execution context for the question.</t>
        </r>
      </text>
    </comment>
    <comment ref="D1" authorId="0">
      <text>
        <r>
          <rPr>
            <rFont val="Aptos Narrow"/>
            <b/>
            <color rgb="FFFFFFFF"/>
            <sz val="11"/>
          </rPr>
          <t>Agent asking the question.</t>
        </r>
      </text>
    </comment>
    <comment ref="E1" authorId="0">
      <text>
        <r>
          <rPr>
            <rFont val="Aptos Narrow"/>
            <b/>
            <color rgb="FFFFFFFF"/>
            <sz val="11"/>
          </rPr>
          <t>Question time.</t>
        </r>
      </text>
    </comment>
    <comment ref="F1" authorId="0">
      <text>
        <r>
          <rPr>
            <rFont val="Aptos Narrow"/>
            <b/>
            <color rgb="FFFFFFFF"/>
            <sz val="11"/>
          </rPr>
          <t>Question text; maps to pko:questionByUser.</t>
        </r>
      </text>
    </comment>
    <comment ref="G1" authorId="0">
      <text>
        <r>
          <rPr>
            <rFont val="Aptos Narrow"/>
            <b/>
            <color rgb="FFFFFFFF"/>
            <sz val="11"/>
          </rPr>
          <t>FAQ used to resolve the question.</t>
        </r>
      </text>
    </comment>
    <comment ref="H1" authorId="0">
      <text>
        <r>
          <rPr>
            <rFont val="Aptos Narrow"/>
            <b/>
            <color rgb="FFFFFFFF"/>
            <sz val="11"/>
          </rPr>
          <t>Resource that addressed the question.</t>
        </r>
      </text>
    </comment>
    <comment ref="I1" authorId="0">
      <text>
        <r>
          <rPr>
            <rFont val="Aptos Narrow"/>
            <b/>
            <color rgb="FFFFFFFF"/>
            <sz val="11"/>
          </rPr>
          <t>Open, Answered, Escalated, or Closed.</t>
        </r>
      </text>
    </comment>
    <comment ref="J1" authorId="0">
      <text>
        <r>
          <rPr>
            <rFont val="Aptos Narrow"/>
            <b/>
            <color rgb="FFFFFFFF"/>
            <sz val="11"/>
          </rPr>
          <t>Exact PKO class IRI.</t>
        </r>
      </text>
    </comment>
    <comment ref="B1" authorId="0">
      <text>
        <r>
          <rPr>
            <rFont val="Aptos Narrow"/>
            <b/>
            <color rgb="FFFFFFFF"/>
            <sz val="11"/>
          </rPr>
          <t>Human-readable calculated display alias for the UserQuestions row.</t>
        </r>
      </text>
    </comment>
  </commentList>
</comments>
</file>

<file path=xl/comments4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UserFeedback row.</t>
        </r>
      </text>
    </comment>
    <comment ref="C1" authorId="0">
      <text>
        <r>
          <rPr>
            <rFont val="Aptos Narrow"/>
            <b/>
            <color rgb="FFFFFFFF"/>
            <sz val="11"/>
          </rPr>
          <t>Execution receiving feedback.</t>
        </r>
      </text>
    </comment>
    <comment ref="D1" authorId="0">
      <text>
        <r>
          <rPr>
            <rFont val="Aptos Narrow"/>
            <b/>
            <color rgb="FFFFFFFF"/>
            <sz val="11"/>
          </rPr>
          <t>Agent providing feedback.</t>
        </r>
      </text>
    </comment>
    <comment ref="E1" authorId="0">
      <text>
        <r>
          <rPr>
            <rFont val="Aptos Narrow"/>
            <b/>
            <color rgb="FFFFFFFF"/>
            <sz val="11"/>
          </rPr>
          <t>Feedback time.</t>
        </r>
      </text>
    </comment>
    <comment ref="F1" authorId="0">
      <text>
        <r>
          <rPr>
            <rFont val="Aptos Narrow"/>
            <b/>
            <color rgb="FFFFFFFF"/>
            <sz val="11"/>
          </rPr>
          <t>Feedback statement.</t>
        </r>
      </text>
    </comment>
    <comment ref="G1" authorId="0">
      <text>
        <r>
          <rPr>
            <rFont val="Aptos Narrow"/>
            <b/>
            <color rgb="FFFFFFFF"/>
            <sz val="11"/>
          </rPr>
          <t>Accepted, Rejected, UnderReview, or Deferred.</t>
        </r>
      </text>
    </comment>
    <comment ref="H1" authorId="0">
      <text>
        <r>
          <rPr>
            <rFont val="Aptos Narrow"/>
            <b/>
            <color rgb="FFFFFFFF"/>
            <sz val="11"/>
          </rPr>
          <t>Related change request identifier.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UserFeedback row.</t>
        </r>
      </text>
    </comment>
  </commentList>
</comments>
</file>

<file path=xl/comments4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StewardshipAssignments row.</t>
        </r>
      </text>
    </comment>
    <comment ref="C1" authorId="0">
      <text>
        <r>
          <rPr>
            <rFont val="Aptos Narrow"/>
            <b/>
            <color rgb="FFFFFFFF"/>
            <sz val="11"/>
          </rPr>
          <t>Governed procedure version.</t>
        </r>
      </text>
    </comment>
    <comment ref="D1" authorId="0">
      <text>
        <r>
          <rPr>
            <rFont val="Aptos Narrow"/>
            <b/>
            <color rgb="FFFFFFFF"/>
            <sz val="11"/>
          </rPr>
          <t>Role responsible for health, review, and maintenance.</t>
        </r>
      </text>
    </comment>
    <comment ref="E1" authorId="0">
      <text>
        <r>
          <rPr>
            <rFont val="Aptos Narrow"/>
            <b/>
            <color rgb="FFFFFFFF"/>
            <sz val="11"/>
          </rPr>
          <t>Role authorized to approve semantic changes.</t>
        </r>
      </text>
    </comment>
    <comment ref="F1" authorId="0">
      <text>
        <r>
          <rPr>
            <rFont val="Aptos Narrow"/>
            <b/>
            <color rgb="FFFFFFFF"/>
            <sz val="11"/>
          </rPr>
          <t>Start of stewardship interval.</t>
        </r>
      </text>
    </comment>
    <comment ref="G1" authorId="0">
      <text>
        <r>
          <rPr>
            <rFont val="Aptos Narrow"/>
            <b/>
            <color rgb="FFFFFFFF"/>
            <sz val="11"/>
          </rPr>
          <t>End of stewardship interval.</t>
        </r>
      </text>
    </comment>
    <comment ref="H1" authorId="0">
      <text>
        <r>
          <rPr>
            <rFont val="Aptos Narrow"/>
            <b/>
            <color rgb="FFFFFFFF"/>
            <sz val="11"/>
          </rPr>
          <t>Required review cadence.</t>
        </r>
      </text>
    </comment>
    <comment ref="I1" authorId="0">
      <text>
        <r>
          <rPr>
            <rFont val="Aptos Narrow"/>
            <b/>
            <color rgb="FFFFFFFF"/>
            <sz val="11"/>
          </rPr>
          <t>How many review events have ever been recorded for the procedure version this assignment stewards.</t>
        </r>
      </text>
    </comment>
    <comment ref="J1" authorId="0">
      <text>
        <r>
          <rPr>
            <rFont val="Aptos Narrow"/>
            <b/>
            <color rgb="FFFFFFFF"/>
            <sz val="11"/>
          </rPr>
          <t>TRUE if at least one review event exists for the stewarded procedure version.</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TRUE when this stewardship assignment is in force right now.</t>
        </r>
      </text>
    </comment>
    <comment ref="N1" authorId="0">
      <text>
        <r>
          <rPr>
            <rFont val="Aptos Narrow"/>
            <b/>
            <color rgb="FFFFFFFF"/>
            <sz val="11"/>
          </rPr>
          <t>Extension class IRI.</t>
        </r>
      </text>
    </comment>
    <comment ref="B1" authorId="0">
      <text>
        <r>
          <rPr>
            <rFont val="Aptos Narrow"/>
            <b/>
            <color rgb="FFFFFFFF"/>
            <sz val="11"/>
          </rPr>
          <t>Human-readable calculated display alias for the StewardshipAssignments row.</t>
        </r>
      </text>
    </comment>
  </commentList>
</comments>
</file>

<file path=xl/comments4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ChangeRequests row.</t>
        </r>
      </text>
    </comment>
    <comment ref="C1" authorId="0">
      <text>
        <r>
          <rPr>
            <rFont val="Aptos Narrow"/>
            <b/>
            <color rgb="FFFFFFFF"/>
            <sz val="11"/>
          </rPr>
          <t>Procedure version affected.</t>
        </r>
      </text>
    </comment>
    <comment ref="D1" authorId="0">
      <text>
        <r>
          <rPr>
            <rFont val="Aptos Narrow"/>
            <b/>
            <color rgb="FFFFFFFF"/>
            <sz val="11"/>
          </rPr>
          <t>Change title.</t>
        </r>
      </text>
    </comment>
    <comment ref="E1" authorId="0">
      <text>
        <r>
          <rPr>
            <rFont val="Aptos Narrow"/>
            <b/>
            <color rgb="FFFFFFFF"/>
            <sz val="11"/>
          </rPr>
          <t>Defect, Enhancement, NewRequirement, DataOperation, or BreakingChange.</t>
        </r>
      </text>
    </comment>
    <comment ref="F1" authorId="0">
      <text>
        <r>
          <rPr>
            <rFont val="Aptos Narrow"/>
            <b/>
            <color rgb="FFFFFFFF"/>
            <sz val="11"/>
          </rPr>
          <t>Draft, UnderReview, Approved, Rejected, Implemented, or Closed.</t>
        </r>
      </text>
    </comment>
    <comment ref="G1" authorId="0">
      <text>
        <r>
          <rPr>
            <rFont val="Aptos Narrow"/>
            <b/>
            <color rgb="FFFFFFFF"/>
            <sz val="11"/>
          </rPr>
          <t>Agent requesting the change.</t>
        </r>
      </text>
    </comment>
    <comment ref="H1" authorId="0">
      <text>
        <r>
          <rPr>
            <rFont val="Aptos Narrow"/>
            <b/>
            <color rgb="FFFFFFFF"/>
            <sz val="11"/>
          </rPr>
          <t>Role authorized to approve the change.</t>
        </r>
      </text>
    </comment>
    <comment ref="I1" authorId="0">
      <text>
        <r>
          <rPr>
            <rFont val="Aptos Narrow"/>
            <b/>
            <color rgb="FFFFFFFF"/>
            <sz val="11"/>
          </rPr>
          <t>Request time.</t>
        </r>
      </text>
    </comment>
    <comment ref="J1" authorId="0">
      <text>
        <r>
          <rPr>
            <rFont val="Aptos Narrow"/>
            <b/>
            <color rgb="FFFFFFFF"/>
            <sz val="11"/>
          </rPr>
          <t>Decision time.</t>
        </r>
      </text>
    </comment>
    <comment ref="K1" authorId="0">
      <text>
        <r>
          <rPr>
            <rFont val="Aptos Narrow"/>
            <b/>
            <color rgb="FFFFFFFF"/>
            <sz val="11"/>
          </rPr>
          <t>Expected effect on commitments, data, projections, and tests.</t>
        </r>
      </text>
    </comment>
    <comment ref="L1" authorId="0">
      <text>
        <r>
          <rPr>
            <rFont val="Aptos Narrow"/>
            <b/>
            <color rgb="FFFFFFFF"/>
            <sz val="11"/>
          </rPr>
          <t>TRUE while the change request is still outstanding. An Approved request stays open until ImplementedAt records that it actually landed — approval is a decision, not an outcome.</t>
        </r>
      </text>
    </comment>
    <comment ref="M1" authorId="0">
      <text>
        <r>
          <rPr>
            <rFont val="Aptos Narrow"/>
            <b/>
            <color rgb="FFFFFFFF"/>
            <sz val="11"/>
          </rPr>
          <t>Echoes the ProcedureVersion id only for change requests still open.</t>
        </r>
      </text>
    </comment>
    <comment ref="N1" authorId="0">
      <text>
        <r>
          <rPr>
            <rFont val="Aptos Narrow"/>
            <b/>
            <color rgb="FFFFFFFF"/>
            <sz val="11"/>
          </rPr>
          <t>TRUE when a decision timestamp has been recorded.</t>
        </r>
      </text>
    </comment>
    <comment ref="O1" authorId="0">
      <text>
        <r>
          <rPr>
            <rFont val="Aptos Narrow"/>
            <b/>
            <color rgb="FFFFFFFF"/>
            <sz val="11"/>
          </rPr>
          <t>The evaluation context this row's time-dependent witnesses are judged under.</t>
        </r>
      </text>
    </comment>
    <comment ref="P1" authorId="0">
      <text>
        <r>
          <rPr>
            <rFont val="Aptos Narrow"/>
            <b/>
            <color rgb="FFFFFFFF"/>
            <sz val="11"/>
          </rPr>
          <t>The evaluation instant this row's time-dependent witnesses are judged against.</t>
        </r>
      </text>
    </comment>
    <comment ref="Q1" authorId="0">
      <text>
        <r>
          <rPr>
            <rFont val="Aptos Narrow"/>
            <b/>
            <color rgb="FFFFFFFF"/>
            <sz val="11"/>
          </rPr>
          <t>Days from request to decision, or to now if still undecided.</t>
        </r>
      </text>
    </comment>
    <comment ref="R1" authorId="0">
      <text>
        <r>
          <rPr>
            <rFont val="Aptos Narrow"/>
            <b/>
            <color rgb="FFFFFFFF"/>
            <sz val="11"/>
          </rPr>
          <t>TRUE when the request is in an open status and has no decision recorded.</t>
        </r>
      </text>
    </comment>
    <comment ref="S1" authorId="0">
      <text>
        <r>
          <rPr>
            <rFont val="Aptos Narrow"/>
            <b/>
            <color rgb="FFFFFFFF"/>
            <sz val="11"/>
          </rPr>
          <t>TRUE when an undecided change request has been pending more than fourteen days.</t>
        </r>
      </text>
    </comment>
    <comment ref="T1" authorId="0">
      <text>
        <r>
          <rPr>
            <rFont val="Aptos Narrow"/>
            <b/>
            <color rgb="FFFFFFFF"/>
            <sz val="11"/>
          </rPr>
          <t>The agent currently holding the authority role that owes a decision on this request.</t>
        </r>
      </text>
    </comment>
    <comment ref="U1" authorId="0">
      <text>
        <r>
          <rPr>
            <rFont val="Aptos Narrow"/>
            <b/>
            <color rgb="FFFFFFFF"/>
            <sz val="11"/>
          </rPr>
          <t>TRUE when the agent who raised the request is also the agent who decides it.</t>
        </r>
      </text>
    </comment>
    <comment ref="V1" authorId="0">
      <text>
        <r>
          <rPr>
            <rFont val="Aptos Narrow"/>
            <b/>
            <color rgb="FFFFFFFF"/>
            <sz val="11"/>
          </rPr>
          <t>TRUE when this request is formally before its authority and no decision has been recorded.</t>
        </r>
      </text>
    </comment>
    <comment ref="W1" authorId="0">
      <text>
        <r>
          <rPr>
            <rFont val="Aptos Narrow"/>
            <b/>
            <color rgb="FFFFFFFF"/>
            <sz val="11"/>
          </rPr>
          <t>Human-readable label of the role that owes a decision.</t>
        </r>
      </text>
    </comment>
    <comment ref="X1" authorId="0">
      <text>
        <r>
          <rPr>
            <rFont val="Aptos Narrow"/>
            <b/>
            <color rgb="FFFFFFFF"/>
            <sz val="11"/>
          </rPr>
          <t>Whether the version this request would alter is currently executable.</t>
        </r>
      </text>
    </comment>
    <comment ref="Y1" authorId="0">
      <text>
        <r>
          <rPr>
            <rFont val="Aptos Narrow"/>
            <b/>
            <color rgb="FFFFFFFF"/>
            <sz val="11"/>
          </rPr>
          <t>TRUE when a decision I owe is blocking a change to a procedure currently in production.</t>
        </r>
      </text>
    </comment>
    <comment ref="Z1" authorId="0">
      <text>
        <r>
          <rPr>
            <rFont val="Aptos Narrow"/>
            <b/>
            <color rgb="FFFFFFFF"/>
            <sz val="11"/>
          </rPr>
          <t>TRUE when an undecided request against a live version is the kind that exists to close a known gap.</t>
        </r>
      </text>
    </comment>
    <comment ref="AA1" authorId="0">
      <text>
        <r>
          <rPr>
            <rFont val="Aptos Narrow"/>
            <b/>
            <color rgb="FFFFFFFF"/>
            <sz val="11"/>
          </rPr>
          <t>When the approved change was actually applied to the procedure version. Null until it lands. Distinct from DecidedAt, which records only that the authority ruled. Approval and implementation are separate events; conflating them is what left IsOpen with no terminal state.</t>
        </r>
      </text>
    </comment>
    <comment ref="AB1" authorId="0">
      <text>
        <r>
          <rPr>
            <rFont val="Aptos Narrow"/>
            <b/>
            <color rgb="FFFFFFFF"/>
            <sz val="11"/>
          </rPr>
          <t>Composite-key echo: this request's procedure version when it is live decision backlog, blank otherwise.</t>
        </r>
      </text>
    </comment>
    <comment ref="AC1" authorId="0">
      <text>
        <r>
          <rPr>
            <rFont val="Aptos Narrow"/>
            <b/>
            <color rgb="FFFFFFFF"/>
            <sz val="11"/>
          </rPr>
          <t>A change request awaiting a decision that is mine personally to make.</t>
        </r>
      </text>
    </comment>
    <comment ref="AD1" authorId="0">
      <text>
        <r>
          <rPr>
            <rFont val="Aptos Narrow"/>
            <b/>
            <color rgb="FFFFFFFF"/>
            <sz val="11"/>
          </rPr>
          <t>A decision waiting on me that is holding an open gap on a live procedure.</t>
        </r>
      </text>
    </comment>
    <comment ref="AE1" authorId="0">
      <text>
        <r>
          <rPr>
            <rFont val="Aptos Narrow"/>
            <b/>
            <color rgb="FFFFFFFF"/>
            <sz val="11"/>
          </rPr>
          <t>A blocking decision that has waited on me for more than two weeks.</t>
        </r>
      </text>
    </comment>
    <comment ref="AF1" authorId="0">
      <text>
        <r>
          <rPr>
            <rFont val="Aptos Narrow"/>
            <b/>
            <color rgb="FFFFFFFF"/>
            <sz val="11"/>
          </rPr>
          <t>Whether the approved change has actually been applied.</t>
        </r>
      </text>
    </comment>
    <comment ref="AG1" authorId="0">
      <text>
        <r>
          <rPr>
            <rFont val="Aptos Narrow"/>
            <b/>
            <color rgb="FFFFFFFF"/>
            <sz val="11"/>
          </rPr>
          <t>A change request I have personally ruled on.</t>
        </r>
      </text>
    </comment>
    <comment ref="AH1" authorId="0">
      <text>
        <r>
          <rPr>
            <rFont val="Aptos Narrow"/>
            <b/>
            <color rgb="FFFFFFFF"/>
            <sz val="11"/>
          </rPr>
          <t>A decision I have made that has not yet been applied — still counted against me by the loop-1 open-request measure.</t>
        </r>
      </text>
    </comment>
    <comment ref="AI1" authorId="0">
      <text>
        <r>
          <rPr>
            <rFont val="Aptos Narrow"/>
            <b/>
            <color rgb="FFFFFFFF"/>
            <sz val="11"/>
          </rPr>
          <t>How many days I took to rule, once ruled. Zero when undecided — read only alongside IsDecided.</t>
        </r>
      </text>
    </comment>
    <comment ref="AJ1" authorId="0">
      <text>
        <r>
          <rPr>
            <rFont val="Aptos Narrow"/>
            <b/>
            <color rgb="FFFFFFFF"/>
            <sz val="11"/>
          </rPr>
          <t>How many days elapsed between my ruling and the change actually landing. Zero when not yet implemented.</t>
        </r>
      </text>
    </comment>
    <comment ref="AK1" authorId="0">
      <text>
        <r>
          <rPr>
            <rFont val="Aptos Narrow"/>
            <b/>
            <color rgb="FFFFFFFF"/>
            <sz val="11"/>
          </rPr>
          <t>A request I decided promptly that is nevertheless still outstanding because nobody has implemented it.</t>
        </r>
      </text>
    </comment>
    <comment ref="AL1" authorId="0">
      <text>
        <r>
          <rPr>
            <rFont val="Aptos Narrow"/>
            <b/>
            <color rgb="FFFFFFFF"/>
            <sz val="11"/>
          </rPr>
          <t>Composite-key echo: this request's procedure version when I have decided it but it has not landed, blank otherwise.</t>
        </r>
      </text>
    </comment>
    <comment ref="AM1" authorId="0">
      <text>
        <r>
          <rPr>
            <rFont val="Aptos Narrow"/>
            <b/>
            <color rgb="FFFFFFFF"/>
            <sz val="11"/>
          </rPr>
          <t>A change request the authority approved but that has not yet been applied.</t>
        </r>
      </text>
    </comment>
    <comment ref="AN1" authorId="0">
      <text>
        <r>
          <rPr>
            <rFont val="Aptos Narrow"/>
            <b/>
            <color rgb="FFFFFFFF"/>
            <sz val="11"/>
          </rPr>
          <t>How many days have elapsed since the authority decided this request. Zero when undecided.</t>
        </r>
      </text>
    </comment>
    <comment ref="AO1" authorId="0">
      <text>
        <r>
          <rPr>
            <rFont val="Aptos Narrow"/>
            <b/>
            <color rgb="FFFFFFFF"/>
            <sz val="11"/>
          </rPr>
          <t>An approved change request that has sat unimplemented for more than two weeks.</t>
        </r>
      </text>
    </comment>
    <comment ref="AP1" authorId="0">
      <text>
        <r>
          <rPr>
            <rFont val="Aptos Narrow"/>
            <b/>
            <color rgb="FFFFFFFF"/>
            <sz val="11"/>
          </rPr>
          <t>Composite-key echo: this request's procedure version when its implementation is stalled, blank otherwise.</t>
        </r>
      </text>
    </comment>
    <comment ref="AQ1" authorId="0">
      <text>
        <r>
          <rPr>
            <rFont val="Aptos Narrow"/>
            <b/>
            <color rgb="FFFFFFFF"/>
            <sz val="11"/>
          </rPr>
          <t>Echoes the target version id when this change request was approved.</t>
        </r>
      </text>
    </comment>
    <comment ref="AR1" authorId="0">
      <text>
        <r>
          <rPr>
            <rFont val="Aptos Narrow"/>
            <b/>
            <color rgb="FFFFFFFF"/>
            <sz val="11"/>
          </rPr>
          <t>TRUE when this change request was decided in the affirmative.</t>
        </r>
      </text>
    </comment>
    <comment ref="AS1" authorId="0">
      <text>
        <r>
          <rPr>
            <rFont val="Aptos Narrow"/>
            <b/>
            <color rgb="FFFFFFFF"/>
            <sz val="11"/>
          </rPr>
          <t>Extension class IRI.</t>
        </r>
      </text>
    </comment>
    <comment ref="B1" authorId="0">
      <text>
        <r>
          <rPr>
            <rFont val="Aptos Narrow"/>
            <b/>
            <color rgb="FFFFFFFF"/>
            <sz val="11"/>
          </rPr>
          <t>Human-readable calculated display alias for the ChangeRequests row.</t>
        </r>
      </text>
    </comment>
  </commentList>
</comments>
</file>

<file path=xl/comments4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ReviewEvents row.</t>
        </r>
      </text>
    </comment>
    <comment ref="C1" authorId="0">
      <text>
        <r>
          <rPr>
            <rFont val="Aptos Narrow"/>
            <b/>
            <color rgb="FFFFFFFF"/>
            <sz val="11"/>
          </rPr>
          <t>Reviewed procedure version.</t>
        </r>
      </text>
    </comment>
    <comment ref="D1" authorId="0">
      <text>
        <r>
          <rPr>
            <rFont val="Aptos Narrow"/>
            <b/>
            <color rgb="FFFFFFFF"/>
            <sz val="11"/>
          </rPr>
          <t>Review type.</t>
        </r>
      </text>
    </comment>
    <comment ref="E1" authorId="0">
      <text>
        <r>
          <rPr>
            <rFont val="Aptos Narrow"/>
            <b/>
            <color rgb="FFFFFFFF"/>
            <sz val="11"/>
          </rPr>
          <t>Review timestamp.</t>
        </r>
      </text>
    </comment>
    <comment ref="F1" authorId="0">
      <text>
        <r>
          <rPr>
            <rFont val="Aptos Narrow"/>
            <b/>
            <color rgb="FFFFFFFF"/>
            <sz val="11"/>
          </rPr>
          <t>Reviewing agent.</t>
        </r>
      </text>
    </comment>
    <comment ref="G1" authorId="0">
      <text>
        <r>
          <rPr>
            <rFont val="Aptos Narrow"/>
            <b/>
            <color rgb="FFFFFFFF"/>
            <sz val="11"/>
          </rPr>
          <t>Passed, PassedWithChange, Failed, or Deferred.</t>
        </r>
      </text>
    </comment>
    <comment ref="H1" authorId="0">
      <text>
        <r>
          <rPr>
            <rFont val="Aptos Narrow"/>
            <b/>
            <color rgb="FFFFFFFF"/>
            <sz val="11"/>
          </rPr>
          <t>Change request produced or considered.</t>
        </r>
      </text>
    </comment>
    <comment ref="I1" authorId="0">
      <text>
        <r>
          <rPr>
            <rFont val="Aptos Narrow"/>
            <b/>
            <color rgb="FFFFFFFF"/>
            <sz val="11"/>
          </rPr>
          <t>Next required review.</t>
        </r>
      </text>
    </comment>
    <comment ref="J1" authorId="0">
      <text>
        <r>
          <rPr>
            <rFont val="Aptos Narrow"/>
            <b/>
            <color rgb="FFFFFFFF"/>
            <sz val="11"/>
          </rPr>
          <t>The evaluation context this row's time-dependent witnesses are judged under.</t>
        </r>
      </text>
    </comment>
    <comment ref="K1" authorId="0">
      <text>
        <r>
          <rPr>
            <rFont val="Aptos Narrow"/>
            <b/>
            <color rgb="FFFFFFFF"/>
            <sz val="11"/>
          </rPr>
          <t>The evaluation instant this row's time-dependent witnesses are judged against.</t>
        </r>
      </text>
    </comment>
    <comment ref="L1" authorId="0">
      <text>
        <r>
          <rPr>
            <rFont val="Aptos Narrow"/>
            <b/>
            <color rgb="FFFFFFFF"/>
            <sz val="11"/>
          </rPr>
          <t>TRUE when review is overdue.</t>
        </r>
      </text>
    </comment>
    <comment ref="M1" authorId="0">
      <text>
        <r>
          <rPr>
            <rFont val="Aptos Narrow"/>
            <b/>
            <color rgb="FFFFFFFF"/>
            <sz val="11"/>
          </rPr>
          <t>Echoes the ProcedureVersion id only when this review is past its next-due date.</t>
        </r>
      </text>
    </comment>
    <comment ref="N1" authorId="0">
      <text>
        <r>
          <rPr>
            <rFont val="Aptos Narrow"/>
            <b/>
            <color rgb="FFFFFFFF"/>
            <sz val="11"/>
          </rPr>
          <t>The review cadence promised for this procedure version, resolved via ProcedureVersions because INDEX/MATCH can only match a target table primary key.</t>
        </r>
      </text>
    </comment>
    <comment ref="O1" authorId="0">
      <text>
        <r>
          <rPr>
            <rFont val="Aptos Narrow"/>
            <b/>
            <color rgb="FFFFFFFF"/>
            <sz val="11"/>
          </rPr>
          <t>Elapsed days since this review actually happened.</t>
        </r>
      </text>
    </comment>
    <comment ref="P1" authorId="0">
      <text>
        <r>
          <rPr>
            <rFont val="Aptos Narrow"/>
            <b/>
            <color rgb="FFFFFFFF"/>
            <sz val="11"/>
          </rPr>
          <t>TRUE when more days have elapsed since this review than the stewardship assignment promised as a cadence.</t>
        </r>
      </text>
    </comment>
    <comment ref="Q1" authorId="0">
      <text>
        <r>
          <rPr>
            <rFont val="Aptos Narrow"/>
            <b/>
            <color rgb="FFFFFFFF"/>
            <sz val="11"/>
          </rPr>
          <t>Signed drift: positive means we are past the promised cadence by this many days; negative means we are still inside it.</t>
        </r>
      </text>
    </comment>
    <comment ref="R1" authorId="0">
      <text>
        <r>
          <rPr>
            <rFont val="Aptos Narrow"/>
            <b/>
            <color rgb="FFFFFFFF"/>
            <sz val="11"/>
          </rPr>
          <t>TRUE when the promised cadence has been blown but the hand-entered NextReviewDue still says we are fine.</t>
        </r>
      </text>
    </comment>
    <comment ref="S1" authorId="0">
      <text>
        <r>
          <rPr>
            <rFont val="Aptos Narrow"/>
            <b/>
            <color rgb="FFFFFFFF"/>
            <sz val="11"/>
          </rPr>
          <t>Composite-key echo: this review event's procedure version when the promised cadence has been exceeded, blank otherwise.</t>
        </r>
      </text>
    </comment>
    <comment ref="T1" authorId="0">
      <text>
        <r>
          <rPr>
            <rFont val="Aptos Narrow"/>
            <b/>
            <color rgb="FFFFFFFF"/>
            <sz val="11"/>
          </rPr>
          <t>Class IRI used in projection.</t>
        </r>
      </text>
    </comment>
    <comment ref="B1" authorId="0">
      <text>
        <r>
          <rPr>
            <rFont val="Aptos Narrow"/>
            <b/>
            <color rgb="FFFFFFFF"/>
            <sz val="11"/>
          </rPr>
          <t>Human-readable calculated display alias for the ReviewEvents row.</t>
        </r>
      </text>
    </comment>
  </commentList>
</comments>
</file>

<file path=xl/comments4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LearningActivities row.</t>
        </r>
      </text>
    </comment>
    <comment ref="C1" authorId="0">
      <text>
        <r>
          <rPr>
            <rFont val="Aptos Narrow"/>
            <b/>
            <color rgb="FFFFFFFF"/>
            <sz val="11"/>
          </rPr>
          <t>Community hosting the activity.</t>
        </r>
      </text>
    </comment>
    <comment ref="D1" authorId="0">
      <text>
        <r>
          <rPr>
            <rFont val="Aptos Narrow"/>
            <b/>
            <color rgb="FFFFFFFF"/>
            <sz val="11"/>
          </rPr>
          <t>Procedure version practiced or reviewed.</t>
        </r>
      </text>
    </comment>
    <comment ref="E1" authorId="0">
      <text>
        <r>
          <rPr>
            <rFont val="Aptos Narrow"/>
            <b/>
            <color rgb="FFFFFFFF"/>
            <sz val="11"/>
          </rPr>
          <t>Retrospective, TabletopExercise, Onboarding, Drill, or Apprenticeship.</t>
        </r>
      </text>
    </comment>
    <comment ref="F1" authorId="0">
      <text>
        <r>
          <rPr>
            <rFont val="Aptos Narrow"/>
            <b/>
            <color rgb="FFFFFFFF"/>
            <sz val="11"/>
          </rPr>
          <t>Activity time.</t>
        </r>
      </text>
    </comment>
    <comment ref="G1" authorId="0">
      <text>
        <r>
          <rPr>
            <rFont val="Aptos Narrow"/>
            <b/>
            <color rgb="FFFFFFFF"/>
            <sz val="11"/>
          </rPr>
          <t>Facilitator.</t>
        </r>
      </text>
    </comment>
    <comment ref="H1" authorId="0">
      <text>
        <r>
          <rPr>
            <rFont val="Aptos Narrow"/>
            <b/>
            <color rgb="FFFFFFFF"/>
            <sz val="11"/>
          </rPr>
          <t>Knowledge or competence produced.</t>
        </r>
      </text>
    </comment>
    <comment ref="I1" authorId="0">
      <text>
        <r>
          <rPr>
            <rFont val="Aptos Narrow"/>
            <b/>
            <color rgb="FFFFFFFF"/>
            <sz val="11"/>
          </rPr>
          <t>Evidence or material produced.</t>
        </r>
      </text>
    </comment>
    <comment ref="J1" authorId="0">
      <text>
        <r>
          <rPr>
            <rFont val="Aptos Narrow"/>
            <b/>
            <color rgb="FFFFFFFF"/>
            <sz val="11"/>
          </rPr>
          <t>Class IRI used in projection.</t>
        </r>
      </text>
    </comment>
    <comment ref="B1" authorId="0">
      <text>
        <r>
          <rPr>
            <rFont val="Aptos Narrow"/>
            <b/>
            <color rgb="FFFFFFFF"/>
            <sz val="11"/>
          </rPr>
          <t>Human-readable calculated display alias for the LearningActivities row.</t>
        </r>
      </text>
    </comment>
  </commentList>
</comments>
</file>

<file path=xl/comments4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OperationalBindings row.</t>
        </r>
      </text>
    </comment>
    <comment ref="C1" authorId="0">
      <text>
        <r>
          <rPr>
            <rFont val="Aptos Narrow"/>
            <b/>
            <color rgb="FFFFFFFF"/>
            <sz val="11"/>
          </rPr>
          <t>Procedure version using the binding.</t>
        </r>
      </text>
    </comment>
    <comment ref="D1" authorId="0">
      <text>
        <r>
          <rPr>
            <rFont val="Aptos Narrow"/>
            <b/>
            <color rgb="FFFFFFFF"/>
            <sz val="11"/>
          </rPr>
          <t>Step using the binding.</t>
        </r>
      </text>
    </comment>
    <comment ref="E1" authorId="0">
      <text>
        <r>
          <rPr>
            <rFont val="Aptos Narrow"/>
            <b/>
            <color rgb="FFFFFFFF"/>
            <sz val="11"/>
          </rPr>
          <t>Bound operational resource.</t>
        </r>
      </text>
    </comment>
    <comment ref="F1" authorId="0">
      <text>
        <r>
          <rPr>
            <rFont val="Aptos Narrow"/>
            <b/>
            <color rgb="FFFFFFFF"/>
            <sz val="11"/>
          </rPr>
          <t>Read, Write, ReadWrite, Subscribe, or Publish.</t>
        </r>
      </text>
    </comment>
    <comment ref="G1" authorId="0">
      <text>
        <r>
          <rPr>
            <rFont val="Aptos Narrow"/>
            <b/>
            <color rgb="FFFFFFFF"/>
            <sz val="11"/>
          </rPr>
          <t>Operational record, table, event, or schema key.</t>
        </r>
      </text>
    </comment>
    <comment ref="H1" authorId="0">
      <text>
        <r>
          <rPr>
            <rFont val="Aptos Narrow"/>
            <b/>
            <color rgb="FFFFFFFF"/>
            <sz val="11"/>
          </rPr>
          <t>Most recent successful observation.</t>
        </r>
      </text>
    </comment>
    <comment ref="I1" authorId="0">
      <text>
        <r>
          <rPr>
            <rFont val="Aptos Narrow"/>
            <b/>
            <color rgb="FFFFFFFF"/>
            <sz val="11"/>
          </rPr>
          <t>Maximum allowed data age.</t>
        </r>
      </text>
    </comment>
    <comment ref="J1" authorId="0">
      <text>
        <r>
          <rPr>
            <rFont val="Aptos Narrow"/>
            <b/>
            <color rgb="FFFFFFFF"/>
            <sz val="11"/>
          </rPr>
          <t>TRUE when the binding is authoritative for the represented fact.</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Current observed age.</t>
        </r>
      </text>
    </comment>
    <comment ref="N1" authorId="0">
      <text>
        <r>
          <rPr>
            <rFont val="Aptos Narrow"/>
            <b/>
            <color rgb="FFFFFFFF"/>
            <sz val="11"/>
          </rPr>
          <t>TRUE when within freshness SLA.</t>
        </r>
      </text>
    </comment>
    <comment ref="O1" authorId="0">
      <text>
        <r>
          <rPr>
            <rFont val="Aptos Narrow"/>
            <b/>
            <color rgb="FFFFFFFF"/>
            <sz val="11"/>
          </rPr>
          <t>Echoes the bound Step id only when the binding is outside its freshness SLA.</t>
        </r>
      </text>
    </comment>
    <comment ref="P1" authorId="0">
      <text>
        <r>
          <rPr>
            <rFont val="Aptos Narrow"/>
            <b/>
            <color rgb="FFFFFFFF"/>
            <sz val="11"/>
          </rPr>
          <t>Echoes the bound Step id only when an AUTHORITATIVE binding is stale.</t>
        </r>
      </text>
    </comment>
    <comment ref="Q1" authorId="0">
      <text>
        <r>
          <rPr>
            <rFont val="Aptos Narrow"/>
            <b/>
            <color rgb="FFFFFFFF"/>
            <sz val="11"/>
          </rPr>
          <t>TRUE when an authoritative binding has aged past its freshness SLA.</t>
        </r>
      </text>
    </comment>
    <comment ref="R1" authorId="0">
      <text>
        <r>
          <rPr>
            <rFont val="Aptos Narrow"/>
            <b/>
            <color rgb="FFFFFFFF"/>
            <sz val="11"/>
          </rPr>
          <t>Echoes the step id when this authoritative binding is stale, blank otherwise.</t>
        </r>
      </text>
    </comment>
    <comment ref="S1" authorId="0">
      <text>
        <r>
          <rPr>
            <rFont val="Aptos Narrow"/>
            <b/>
            <color rgb="FFFFFFFF"/>
            <sz val="11"/>
          </rPr>
          <t>Whether the resource behind this binding is an approved source.</t>
        </r>
      </text>
    </comment>
    <comment ref="T1" authorId="0">
      <text>
        <r>
          <rPr>
            <rFont val="Aptos Narrow"/>
            <b/>
            <color rgb="FFFFFFFF"/>
            <sz val="11"/>
          </rPr>
          <t>TRUE when this binding points at an approved source that is still inside its freshness SLA.</t>
        </r>
      </text>
    </comment>
    <comment ref="U1" authorId="0">
      <text>
        <r>
          <rPr>
            <rFont val="Aptos Narrow"/>
            <b/>
            <color rgb="FFFFFFFF"/>
            <sz val="11"/>
          </rPr>
          <t>Echoes the step id when this binding is NOT usable for drafting, blank otherwise.</t>
        </r>
      </text>
    </comment>
    <comment ref="V1" authorId="0">
      <text>
        <r>
          <rPr>
            <rFont val="Aptos Narrow"/>
            <b/>
            <color rgb="FFFFFFFF"/>
            <sz val="11"/>
          </rPr>
          <t>Extension class IRI.</t>
        </r>
      </text>
    </comment>
    <comment ref="B1" authorId="0">
      <text>
        <r>
          <rPr>
            <rFont val="Aptos Narrow"/>
            <b/>
            <color rgb="FFFFFFFF"/>
            <sz val="11"/>
          </rPr>
          <t>Human-readable calculated display alias for the OperationalBindings row.</t>
        </r>
      </text>
    </comment>
  </commentList>
</comments>
</file>

<file path=xl/comments4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CommunicationPolicies row.</t>
        </r>
      </text>
    </comment>
    <comment ref="C1" authorId="0">
      <text>
        <r>
          <rPr>
            <rFont val="Aptos Narrow"/>
            <b/>
            <color rgb="FFFFFFFF"/>
            <sz val="11"/>
          </rPr>
          <t>Procedure version governing the channel.</t>
        </r>
      </text>
    </comment>
    <comment ref="D1" authorId="0">
      <text>
        <r>
          <rPr>
            <rFont val="Aptos Narrow"/>
            <b/>
            <color rgb="FFFFFFFF"/>
            <sz val="11"/>
          </rPr>
          <t>Email, SMS, Push, Postal, or another declared channel.</t>
        </r>
      </text>
    </comment>
    <comment ref="E1" authorId="0">
      <text>
        <r>
          <rPr>
            <rFont val="Aptos Narrow"/>
            <b/>
            <color rgb="FFFFFFFF"/>
            <sz val="11"/>
          </rPr>
          <t>Rule that identifies eligible recipients.</t>
        </r>
      </text>
    </comment>
    <comment ref="F1" authorId="0">
      <text>
        <r>
          <rPr>
            <rFont val="Aptos Narrow"/>
            <b/>
            <color rgb="FFFFFFFF"/>
            <sz val="11"/>
          </rPr>
          <t>Whether active consent is required.</t>
        </r>
      </text>
    </comment>
    <comment ref="G1" authorId="0">
      <text>
        <r>
          <rPr>
            <rFont val="Aptos Narrow"/>
            <b/>
            <color rgb="FFFFFFFF"/>
            <sz val="11"/>
          </rPr>
          <t>Recipient-local quiet-hours start.</t>
        </r>
      </text>
    </comment>
    <comment ref="H1" authorId="0">
      <text>
        <r>
          <rPr>
            <rFont val="Aptos Narrow"/>
            <b/>
            <color rgb="FFFFFFFF"/>
            <sz val="11"/>
          </rPr>
          <t>Recipient-local quiet-hours end.</t>
        </r>
      </text>
    </comment>
    <comment ref="I1" authorId="0">
      <text>
        <r>
          <rPr>
            <rFont val="Aptos Narrow"/>
            <b/>
            <color rgb="FFFFFFFF"/>
            <sz val="11"/>
          </rPr>
          <t>Maximum message length for one unit.</t>
        </r>
      </text>
    </comment>
    <comment ref="J1" authorId="0">
      <text>
        <r>
          <rPr>
            <rFont val="Aptos Narrow"/>
            <b/>
            <color rgb="FFFFFFFF"/>
            <sz val="11"/>
          </rPr>
          <t>Maximum number of channel segments.</t>
        </r>
      </text>
    </comment>
    <comment ref="K1" authorId="0">
      <text>
        <r>
          <rPr>
            <rFont val="Aptos Narrow"/>
            <b/>
            <color rgb="FFFFFFFF"/>
            <sz val="11"/>
          </rPr>
          <t>Retention period for rendered messages and delivery records.</t>
        </r>
      </text>
    </comment>
    <comment ref="L1" authorId="0">
      <text>
        <r>
          <rPr>
            <rFont val="Aptos Narrow"/>
            <b/>
            <color rgb="FFFFFFFF"/>
            <sz val="11"/>
          </rPr>
          <t>Role approving the channel policy.</t>
        </r>
      </text>
    </comment>
    <comment ref="M1" authorId="0">
      <text>
        <r>
          <rPr>
            <rFont val="Aptos Narrow"/>
            <b/>
            <color rgb="FFFFFFFF"/>
            <sz val="11"/>
          </rPr>
          <t>Content that every message must include.</t>
        </r>
      </text>
    </comment>
    <comment ref="N1" authorId="0">
      <text>
        <r>
          <rPr>
            <rFont val="Aptos Narrow"/>
            <b/>
            <color rgb="FFFFFFFF"/>
            <sz val="11"/>
          </rPr>
          <t>Which artifact is authoritative.</t>
        </r>
      </text>
    </comment>
    <comment ref="O1" authorId="0">
      <text>
        <r>
          <rPr>
            <rFont val="Aptos Narrow"/>
            <b/>
            <color rgb="FFFFFFFF"/>
            <sz val="11"/>
          </rPr>
          <t>Draft, Active, Suspended, or Retired.</t>
        </r>
      </text>
    </comment>
    <comment ref="P1" authorId="0">
      <text>
        <r>
          <rPr>
            <rFont val="Aptos Narrow"/>
            <b/>
            <color rgb="FFFFFFFF"/>
            <sz val="11"/>
          </rPr>
          <t>Number of consent violations attributable to this channel policy.</t>
        </r>
      </text>
    </comment>
    <comment ref="Q1" authorId="0">
      <text>
        <r>
          <rPr>
            <rFont val="Aptos Narrow"/>
            <b/>
            <color rgb="FFFFFFFF"/>
            <sz val="11"/>
          </rPr>
          <t>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t>
        </r>
      </text>
    </comment>
    <comment ref="R1" authorId="0">
      <text>
        <r>
          <rPr>
            <rFont val="Aptos Narrow"/>
            <b/>
            <color rgb="FFFFFFFF"/>
            <sz val="11"/>
          </rPr>
          <t>Numeric hour 0-23 at which quiet hours end. Seeded 8 for comm-sms-policy, 0 for comm-email-policy.</t>
        </r>
      </text>
    </comment>
    <comment ref="S1" authorId="0">
      <text>
        <r>
          <rPr>
            <rFont val="Aptos Narrow"/>
            <b/>
            <color rgb="FFFFFFFF"/>
            <sz val="11"/>
          </rPr>
          <t>Number of transmitted messages that breached this policy's quiet-hours window.</t>
        </r>
      </text>
    </comment>
    <comment ref="T1" authorId="0">
      <text>
        <r>
          <rPr>
            <rFont val="Aptos Narrow"/>
            <b/>
            <color rgb="FFFFFFFF"/>
            <sz val="11"/>
          </rPr>
          <t>The exact opt-out phrase every message on this channel must contain. Seeded 'Reply STOP' for comm-sms-policy, empty string for comm-email-policy.</t>
        </r>
      </text>
    </comment>
    <comment ref="U1" authorId="0">
      <text>
        <r>
          <rPr>
            <rFont val="Aptos Narrow"/>
            <b/>
            <color rgb="FFFFFFFF"/>
            <sz val="11"/>
          </rPr>
          <t>TRUE only when this channel policy is in Active status.</t>
        </r>
      </text>
    </comment>
    <comment ref="V1" authorId="0">
      <text>
        <r>
          <rPr>
            <rFont val="Aptos Narrow"/>
            <b/>
            <color rgb="FFFFFFFF"/>
            <sz val="11"/>
          </rPr>
          <t>ODRL Policy class IRI.</t>
        </r>
      </text>
    </comment>
    <comment ref="B1" authorId="0">
      <text>
        <r>
          <rPr>
            <rFont val="Aptos Narrow"/>
            <b/>
            <color rgb="FFFFFFFF"/>
            <sz val="11"/>
          </rPr>
          <t>Human-readable calculated display alias for the CommunicationPolicies row.</t>
        </r>
      </text>
    </comment>
  </commentList>
</comments>
</file>

<file path=xl/comments4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MessageTemplates row.</t>
        </r>
      </text>
    </comment>
    <comment ref="C1" authorId="0">
      <text>
        <r>
          <rPr>
            <rFont val="Aptos Narrow"/>
            <b/>
            <color rgb="FFFFFFFF"/>
            <sz val="11"/>
          </rPr>
          <t>Channel policy governing the template.</t>
        </r>
      </text>
    </comment>
    <comment ref="D1" authorId="0">
      <text>
        <r>
          <rPr>
            <rFont val="Aptos Narrow"/>
            <b/>
            <color rgb="FFFFFFFF"/>
            <sz val="11"/>
          </rPr>
          <t>Template resource.</t>
        </r>
      </text>
    </comment>
    <comment ref="E1" authorId="0">
      <text>
        <r>
          <rPr>
            <rFont val="Aptos Narrow"/>
            <b/>
            <color rgb="FFFFFFFF"/>
            <sz val="11"/>
          </rPr>
          <t>Subject template where supported.</t>
        </r>
      </text>
    </comment>
    <comment ref="F1" authorId="0">
      <text>
        <r>
          <rPr>
            <rFont val="Aptos Narrow"/>
            <b/>
            <color rgb="FFFFFFFF"/>
            <sz val="11"/>
          </rPr>
          <t>Body template.</t>
        </r>
      </text>
    </comment>
    <comment ref="G1" authorId="0">
      <text>
        <r>
          <rPr>
            <rFont val="Aptos Narrow"/>
            <b/>
            <color rgb="FFFFFFFF"/>
            <sz val="11"/>
          </rPr>
          <t>Locale or language tag.</t>
        </r>
      </text>
    </comment>
    <comment ref="H1" authorId="0">
      <text>
        <r>
          <rPr>
            <rFont val="Aptos Narrow"/>
            <b/>
            <color rgb="FFFFFFFF"/>
            <sz val="11"/>
          </rPr>
          <t>Draft, Approved, Retired, or Superseded.</t>
        </r>
      </text>
    </comment>
    <comment ref="I1" authorId="0">
      <text>
        <r>
          <rPr>
            <rFont val="Aptos Narrow"/>
            <b/>
            <color rgb="FFFFFFFF"/>
            <sz val="11"/>
          </rPr>
          <t>Per-segment character limit inherited from the governing channel policy.</t>
        </r>
      </text>
    </comment>
    <comment ref="J1" authorId="0">
      <text>
        <r>
          <rPr>
            <rFont val="Aptos Narrow"/>
            <b/>
            <color rgb="FFFFFFFF"/>
            <sz val="11"/>
          </rPr>
          <t>Maximum permitted segment count from the governing channel policy.</t>
        </r>
      </text>
    </comment>
    <comment ref="K1" authorId="0">
      <text>
        <r>
          <rPr>
            <rFont val="Aptos Narrow"/>
            <b/>
            <color rgb="FFFFFFFF"/>
            <sz val="11"/>
          </rPr>
          <t>Character length of the raw template body before variable substitution.</t>
        </r>
      </text>
    </comment>
    <comment ref="L1" authorId="0">
      <text>
        <r>
          <rPr>
            <rFont val="Aptos Narrow"/>
            <b/>
            <color rgb="FFFFFFFF"/>
            <sz val="11"/>
          </rPr>
          <t>TRUE when the template body alone already exceeds the single-segment limit before any variables are substituted in.</t>
        </r>
      </text>
    </comment>
    <comment ref="M1" authorId="0">
      <text>
        <r>
          <rPr>
            <rFont val="Aptos Narrow"/>
            <b/>
            <color rgb="FFFFFFFF"/>
            <sz val="11"/>
          </rPr>
          <t>Number of properly-authorized approvals on record for this template.</t>
        </r>
      </text>
    </comment>
    <comment ref="N1" authorId="0">
      <text>
        <r>
          <rPr>
            <rFont val="Aptos Narrow"/>
            <b/>
            <color rgb="FFFFFFFF"/>
            <sz val="11"/>
          </rPr>
          <t>TRUE when at least one properly-authorized approval exists for this template.</t>
        </r>
      </text>
    </comment>
    <comment ref="O1" authorId="0">
      <text>
        <r>
          <rPr>
            <rFont val="Aptos Narrow"/>
            <b/>
            <color rgb="FFFFFFFF"/>
            <sz val="11"/>
          </rPr>
          <t>TRUE when a template's Status says Approved but no properly-authorized approval record backs it. The phantom-approval witness.</t>
        </r>
      </text>
    </comment>
    <comment ref="P1" authorId="0">
      <text>
        <r>
          <rPr>
            <rFont val="Aptos Narrow"/>
            <b/>
            <color rgb="FFFFFFFF"/>
            <sz val="11"/>
          </rPr>
          <t>Digest of the template's current body text, maintained whenever the body is edited.</t>
        </r>
      </text>
    </comment>
    <comment ref="Q1" authorId="0">
      <text>
        <r>
          <rPr>
            <rFont val="Aptos Narrow"/>
            <b/>
            <color rgb="FFFFFFFF"/>
            <sz val="11"/>
          </rPr>
          <t>Digest of the body text as it stood at the most recent valid approval.</t>
        </r>
      </text>
    </comment>
    <comment ref="R1" authorId="0">
      <text>
        <r>
          <rPr>
            <rFont val="Aptos Narrow"/>
            <b/>
            <color rgb="FFFFFFFF"/>
            <sz val="11"/>
          </rPr>
          <t>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t>
        </r>
      </text>
    </comment>
    <comment ref="S1" authorId="0">
      <text>
        <r>
          <rPr>
            <rFont val="Aptos Narrow"/>
            <b/>
            <color rgb="FFFFFFFF"/>
            <sz val="11"/>
          </rPr>
          <t>TRUE when the template body no longer matches what was approved.</t>
        </r>
      </text>
    </comment>
    <comment ref="T1" authorId="0">
      <text>
        <r>
          <rPr>
            <rFont val="Aptos Narrow"/>
            <b/>
            <color rgb="FFFFFFFF"/>
            <sz val="11"/>
          </rPr>
          <t>TRUE only when the template is marked Approved, has a properly-authorized approval, AND its body still matches what was approved.</t>
        </r>
      </text>
    </comment>
    <comment ref="U1" authorId="0">
      <text>
        <r>
          <rPr>
            <rFont val="Aptos Narrow"/>
            <b/>
            <color rgb="FFFFFFFF"/>
            <sz val="11"/>
          </rPr>
          <t>How many messages went out from this template while it was not validly sendable.</t>
        </r>
      </text>
    </comment>
    <comment ref="V1" authorId="0">
      <text>
        <r>
          <rPr>
            <rFont val="Aptos Narrow"/>
            <b/>
            <color rgb="FFFFFFFF"/>
            <sz val="11"/>
          </rPr>
          <t>How many transmitted messages from this template drew no acknowledgement.</t>
        </r>
      </text>
    </comment>
    <comment ref="W1" authorId="0">
      <text>
        <r>
          <rPr>
            <rFont val="Aptos Narrow"/>
            <b/>
            <color rgb="FFFFFFFF"/>
            <sz val="11"/>
          </rPr>
          <t>How many deliveries using this template were actually transmitted.</t>
        </r>
      </text>
    </comment>
    <comment ref="X1" authorId="0">
      <text>
        <r>
          <rPr>
            <rFont val="Aptos Narrow"/>
            <b/>
            <color rgb="FFFFFFFF"/>
            <sz val="11"/>
          </rPr>
          <t>TRUE when every transmitted message from this template went unacknowledged.</t>
        </r>
      </text>
    </comment>
    <comment ref="Y1" authorId="0">
      <text>
        <r>
          <rPr>
            <rFont val="Aptos Narrow"/>
            <b/>
            <color rgb="FFFFFFFF"/>
            <sz val="11"/>
          </rPr>
          <t>When this template's currently-governing approval was decided.</t>
        </r>
      </text>
    </comment>
    <comment ref="Z1" authorId="0">
      <text>
        <r>
          <rPr>
            <rFont val="Aptos Narrow"/>
            <b/>
            <color rgb="FFFFFFFF"/>
            <sz val="11"/>
          </rPr>
          <t>Resource class IRI.</t>
        </r>
      </text>
    </comment>
    <comment ref="B1" authorId="0">
      <text>
        <r>
          <rPr>
            <rFont val="Aptos Narrow"/>
            <b/>
            <color rgb="FFFFFFFF"/>
            <sz val="11"/>
          </rPr>
          <t>Human-readable calculated display alias for the MessageTemplates row.</t>
        </r>
      </text>
    </comment>
  </commentList>
</comments>
</file>

<file path=xl/comments4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SemanticMappings row.</t>
        </r>
      </text>
    </comment>
    <comment ref="C1" authorId="0">
      <text>
        <r>
          <rPr>
            <rFont val="Aptos Narrow"/>
            <b/>
            <color rgb="FFFFFFFF"/>
            <sz val="11"/>
          </rPr>
          <t>ERB table, field, or discriminator path.</t>
        </r>
      </text>
    </comment>
    <comment ref="D1" authorId="0">
      <text>
        <r>
          <rPr>
            <rFont val="Aptos Narrow"/>
            <b/>
            <color rgb="FFFFFFFF"/>
            <sz val="11"/>
          </rPr>
          <t>class, objectProperty, datatypeProperty, individual, or rule.</t>
        </r>
      </text>
    </comment>
    <comment ref="E1" authorId="0">
      <text>
        <r>
          <rPr>
            <rFont val="Aptos Narrow"/>
            <b/>
            <color rgb="FFFFFFFF"/>
            <sz val="11"/>
          </rPr>
          <t>Exact target semantic IRI.</t>
        </r>
      </text>
    </comment>
    <comment ref="F1" authorId="0">
      <text>
        <r>
          <rPr>
            <rFont val="Aptos Narrow"/>
            <b/>
            <color rgb="FFFFFFFF"/>
            <sz val="11"/>
          </rPr>
          <t>exact, aligned, subclass, subproperty, or extension.</t>
        </r>
      </text>
    </comment>
    <comment ref="G1" authorId="0">
      <text>
        <r>
          <rPr>
            <rFont val="Aptos Narrow"/>
            <b/>
            <color rgb="FFFFFFFF"/>
            <sz val="11"/>
          </rPr>
          <t>Versioned ontology profile containing the target term.</t>
        </r>
      </text>
    </comment>
    <comment ref="H1" authorId="0">
      <text>
        <r>
          <rPr>
            <rFont val="Aptos Narrow"/>
            <b/>
            <color rgb="FFFFFFFF"/>
            <sz val="11"/>
          </rPr>
          <t>Mapping semantics and boundaries.</t>
        </r>
      </text>
    </comment>
    <comment ref="B1" authorId="0">
      <text>
        <r>
          <rPr>
            <rFont val="Aptos Narrow"/>
            <b/>
            <color rgb="FFFFFFFF"/>
            <sz val="11"/>
          </rPr>
          <t>Human-readable calculated display alias for the SemanticMappings row.</t>
        </r>
      </text>
    </comment>
  </commentList>
</comments>
</file>

<file path=xl/comments5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WitnessLoops row.</t>
        </r>
      </text>
    </comment>
    <comment ref="C1" authorId="0">
      <text>
        <r>
          <rPr>
            <rFont val="Aptos Narrow"/>
            <b/>
            <color rgb="FFFFFFFF"/>
            <sz val="11"/>
          </rPr>
          <t>Ordinal of this expansion loop. Loop 1 is the founding set of role questions.</t>
        </r>
      </text>
    </comment>
    <comment ref="D1" authorId="0">
      <text>
        <r>
          <rPr>
            <rFont val="Aptos Narrow"/>
            <b/>
            <color rgb="FFFFFFFF"/>
            <sz val="11"/>
          </rPr>
          <t>Short title for what this loop set out to make askable.</t>
        </r>
      </text>
    </comment>
    <comment ref="E1" authorId="0">
      <text>
        <r>
          <rPr>
            <rFont val="Aptos Narrow"/>
            <b/>
            <color rgb="FFFFFFFF"/>
            <sz val="11"/>
          </rPr>
          <t>Why this loop's questions became askable. For loop N&gt;1 this names the loop N-1 predicates that made them possible.</t>
        </r>
      </text>
    </comment>
    <comment ref="F1" authorId="0">
      <text>
        <r>
          <rPr>
            <rFont val="Aptos Narrow"/>
            <b/>
            <color rgb="FFFFFFFF"/>
            <sz val="11"/>
          </rPr>
          <t>Time this loop began.</t>
        </r>
      </text>
    </comment>
    <comment ref="G1" authorId="0">
      <text>
        <r>
          <rPr>
            <rFont val="Aptos Narrow"/>
            <b/>
            <color rgb="FFFFFFFF"/>
            <sz val="11"/>
          </rPr>
          <t>Time this loop was committed. Null while in progress.</t>
        </r>
      </text>
    </comment>
    <comment ref="H1" authorId="0">
      <text>
        <r>
          <rPr>
            <rFont val="Aptos Narrow"/>
            <b/>
            <color rgb="FFFFFFFF"/>
            <sz val="11"/>
          </rPr>
          <t>How many role questions were posed in this loop.</t>
        </r>
      </text>
    </comment>
    <comment ref="I1" authorId="0">
      <text>
        <r>
          <rPr>
            <rFont val="Aptos Narrow"/>
            <b/>
            <color rgb="FFFFFFFF"/>
            <sz val="11"/>
          </rPr>
          <t>TRUE once the loop has been committed.</t>
        </r>
      </text>
    </comment>
    <comment ref="J1" authorId="0">
      <text>
        <r>
          <rPr>
            <rFont val="Aptos Narrow"/>
            <b/>
            <color rgb="FFFFFFFF"/>
            <sz val="11"/>
          </rPr>
          <t>Total fields in the rulebook after this loop completed.</t>
        </r>
      </text>
    </comment>
    <comment ref="K1" authorId="0">
      <text>
        <r>
          <rPr>
            <rFont val="Aptos Narrow"/>
            <b/>
            <color rgb="FFFFFFFF"/>
            <sz val="11"/>
          </rPr>
          <t>Derived fields after this loop completed.</t>
        </r>
      </text>
    </comment>
    <comment ref="L1" authorId="0">
      <text>
        <r>
          <rPr>
            <rFont val="Aptos Narrow"/>
            <b/>
            <color rgb="FFFFFFFF"/>
            <sz val="11"/>
          </rPr>
          <t>Fields invented for a role question after this loop completed.</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WitnessLoops row.</t>
        </r>
      </text>
    </comment>
  </commentList>
</comments>
</file>

<file path=xl/comments5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RoleQuestions row.</t>
        </r>
      </text>
    </comment>
    <comment ref="C1" authorId="0">
      <text>
        <r>
          <rPr>
            <rFont val="Aptos Narrow"/>
            <b/>
            <color rgb="FFFFFFFF"/>
            <sz val="11"/>
          </rPr>
          <t>The role that wants this question answered.</t>
        </r>
      </text>
    </comment>
    <comment ref="D1" authorId="0">
      <text>
        <r>
          <rPr>
            <rFont val="Aptos Narrow"/>
            <b/>
            <color rgb="FFFFFFFF"/>
            <sz val="11"/>
          </rPr>
          <t>The expansion loop in which this question was posed.</t>
        </r>
      </text>
    </comment>
    <comment ref="E1" authorId="0">
      <text>
        <r>
          <rPr>
            <rFont val="Aptos Narrow"/>
            <b/>
            <color rgb="FFFFFFFF"/>
            <sz val="11"/>
          </rPr>
          <t>The question in the role's own words.</t>
        </r>
      </text>
    </comment>
    <comment ref="F1" authorId="0">
      <text>
        <r>
          <rPr>
            <rFont val="Aptos Narrow"/>
            <b/>
            <color rgb="FFFFFFFF"/>
            <sz val="11"/>
          </rPr>
          <t>What goes wrong in the real world when this question cannot be answered.</t>
        </r>
      </text>
    </comment>
    <comment ref="G1" authorId="0">
      <text>
        <r>
          <rPr>
            <rFont val="Aptos Narrow"/>
            <b/>
            <color rgb="FFFFFFFF"/>
            <sz val="11"/>
          </rPr>
          <t>TRUE if the model could already answer this before its loop ran. FALSE means the loop had to invent predicates for it.</t>
        </r>
      </text>
    </comment>
    <comment ref="H1" authorId="0">
      <text>
        <r>
          <rPr>
            <rFont val="Aptos Narrow"/>
            <b/>
            <color rgb="FFFFFFFF"/>
            <sz val="11"/>
          </rPr>
          <t>How many fields were invented to answer this question.</t>
        </r>
      </text>
    </comment>
    <comment ref="I1" authorId="0">
      <text>
        <r>
          <rPr>
            <rFont val="Aptos Narrow"/>
            <b/>
            <color rgb="FFFFFFFF"/>
            <sz val="11"/>
          </rPr>
          <t>TRUE when at least one predicate exists to answer this question.</t>
        </r>
      </text>
    </comment>
    <comment ref="J1" authorId="0">
      <text>
        <r>
          <rPr>
            <rFont val="Aptos Narrow"/>
            <b/>
            <color rgb="FFFFFFFF"/>
            <sz val="11"/>
          </rPr>
          <t>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RoleQuestions row.</t>
        </r>
      </text>
    </comment>
  </commentList>
</comments>
</file>

<file path=xl/comments5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RulebookFields row. Formed as &lt;TargetTable&gt;.&lt;FieldName&gt;.</t>
        </r>
      </text>
    </comment>
    <comment ref="C1" authorId="0">
      <text>
        <r>
          <rPr>
            <rFont val="Aptos Narrow"/>
            <b/>
            <color rgb="FFFFFFFF"/>
            <sz val="11"/>
          </rPr>
          <t>The table this field lives on.</t>
        </r>
      </text>
    </comment>
    <comment ref="D1" authorId="0">
      <text>
        <r>
          <rPr>
            <rFont val="Aptos Narrow"/>
            <b/>
            <color rgb="FFFFFFFF"/>
            <sz val="11"/>
          </rPr>
          <t>The field's name within its table.</t>
        </r>
      </text>
    </comment>
    <comment ref="E1" authorId="0">
      <text>
        <r>
          <rPr>
            <rFont val="Aptos Narrow"/>
            <b/>
            <color rgb="FFFFFFFF"/>
            <sz val="11"/>
          </rPr>
          <t>raw, calculated, lookup, relationship, or aggregation.</t>
        </r>
      </text>
    </comment>
    <comment ref="F1" authorId="0">
      <text>
        <r>
          <rPr>
            <rFont val="Aptos Narrow"/>
            <b/>
            <color rgb="FFFFFFFF"/>
            <sz val="11"/>
          </rPr>
          <t>The field's declared datatype.</t>
        </r>
      </text>
    </comment>
    <comment ref="G1" authorId="0">
      <text>
        <r>
          <rPr>
            <rFont val="Aptos Narrow"/>
            <b/>
            <color rgb="FFFFFFFF"/>
            <sz val="11"/>
          </rPr>
          <t>The field's formula when it is derived. Null for raw and relationship fields.</t>
        </r>
      </text>
    </comment>
    <comment ref="H1" authorId="0">
      <text>
        <r>
          <rPr>
            <rFont val="Aptos Narrow"/>
            <b/>
            <color rgb="FFFFFFFF"/>
            <sz val="11"/>
          </rPr>
          <t>The role question that motivated this field's existence. Null for fields that predate the witness-loop exercise.</t>
        </r>
      </text>
    </comment>
    <comment ref="I1" authorId="0">
      <text>
        <r>
          <rPr>
            <rFont val="Aptos Narrow"/>
            <b/>
            <color rgb="FFFFFFFF"/>
            <sz val="11"/>
          </rPr>
          <t>TRUE when this field is computed rather than stored.</t>
        </r>
      </text>
    </comment>
    <comment ref="J1" authorId="0">
      <text>
        <r>
          <rPr>
            <rFont val="Aptos Narrow"/>
            <b/>
            <color rgb="FFFFFFFF"/>
            <sz val="11"/>
          </rPr>
          <t>TRUE when this field exists because a role asked a question. These are the fields the witness loops added.</t>
        </r>
      </text>
    </comment>
    <comment ref="K1" authorId="0">
      <text>
        <r>
          <rPr>
            <rFont val="Aptos Narrow"/>
            <b/>
            <color rgb="FFFFFFFF"/>
            <sz val="11"/>
          </rPr>
          <t>How many substrates computed this field differently from the answer key in the latest conformance run. 0 means every substrate agreed.</t>
        </r>
      </text>
    </comment>
    <comment ref="L1" authorId="0">
      <text>
        <r>
          <rPr>
            <rFont val="Aptos Narrow"/>
            <b/>
            <color rgb="FFFFFFFF"/>
            <sz val="11"/>
          </rPr>
          <t>True when at least one substrate disagrees about this field's values.</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RulebookFields row.</t>
        </r>
      </text>
    </comment>
  </commentList>
</comments>
</file>

<file path=xl/comments5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TestSuites row.</t>
        </r>
      </text>
    </comment>
    <comment ref="C1" authorId="0">
      <text>
        <r>
          <rPr>
            <rFont val="Aptos Narrow"/>
            <b/>
            <color rgb="FFFFFFFF"/>
            <sz val="11"/>
          </rPr>
          <t>Display name for this suite.</t>
        </r>
      </text>
    </comment>
    <comment ref="D1" authorId="0">
      <text>
        <r>
          <rPr>
            <rFont val="Aptos Narrow"/>
            <b/>
            <color rgb="FFFFFFFF"/>
            <sz val="11"/>
          </rPr>
          <t>How many checks belong to this suite.</t>
        </r>
      </text>
    </comment>
    <comment ref="E1" authorId="0">
      <text>
        <r>
          <rPr>
            <rFont val="Aptos Narrow"/>
            <b/>
            <color rgb="FFFFFFFF"/>
            <sz val="11"/>
          </rPr>
          <t>How many checks passed on the last run.</t>
        </r>
      </text>
    </comment>
    <comment ref="F1" authorId="0">
      <text>
        <r>
          <rPr>
            <rFont val="Aptos Narrow"/>
            <b/>
            <color rgb="FFFFFFFF"/>
            <sz val="11"/>
          </rPr>
          <t>How many blocking checks failed. This is the number that must be zero for the board to be green.</t>
        </r>
      </text>
    </comment>
    <comment ref="G1" authorId="0">
      <text>
        <r>
          <rPr>
            <rFont val="Aptos Narrow"/>
            <b/>
            <color rgb="FFFFFFFF"/>
            <sz val="11"/>
          </rPr>
          <t>TRUE when no blocking check is failing. Advisory warnings do not break the board.</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TestSuites row.</t>
        </r>
      </text>
    </comment>
  </commentList>
</comments>
</file>

<file path=xl/comments5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TestCases row.</t>
        </r>
      </text>
    </comment>
    <comment ref="C1" authorId="0">
      <text>
        <r>
          <rPr>
            <rFont val="Aptos Narrow"/>
            <b/>
            <color rgb="FFFFFFFF"/>
            <sz val="11"/>
          </rPr>
          <t>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t>
        </r>
      </text>
    </comment>
    <comment ref="D1" authorId="0">
      <text>
        <r>
          <rPr>
            <rFont val="Aptos Narrow"/>
            <b/>
            <color rgb="FFFFFFFF"/>
            <sz val="11"/>
          </rPr>
          <t>What is under test — a Table.Field, a table, a view, or a question id.</t>
        </r>
      </text>
    </comment>
    <comment ref="E1" authorId="0">
      <text>
        <r>
          <rPr>
            <rFont val="Aptos Narrow"/>
            <b/>
            <color rgb="FFFFFFFF"/>
            <sz val="11"/>
          </rPr>
          <t>The table this check reads, when it reads one.</t>
        </r>
      </text>
    </comment>
    <comment ref="F1" authorId="0">
      <text>
        <r>
          <rPr>
            <rFont val="Aptos Narrow"/>
            <b/>
            <color rgb="FFFFFFFF"/>
            <sz val="11"/>
          </rPr>
          <t>The field this check reads, when it reads one.</t>
        </r>
      </text>
    </comment>
    <comment ref="G1" authorId="0">
      <text>
        <r>
          <rPr>
            <rFont val="Aptos Narrow"/>
            <b/>
            <color rgb="FFFFFFFF"/>
            <sz val="11"/>
          </rPr>
          <t>What must be true, stated so a human can judge the verdict without reading code.</t>
        </r>
      </text>
    </comment>
    <comment ref="H1" authorId="0">
      <text>
        <r>
          <rPr>
            <rFont val="Aptos Narrow"/>
            <b/>
            <color rgb="FFFFFFFF"/>
            <sz val="11"/>
          </rPr>
          <t>The role question whose answer this check protects. Null for checks that defend the model's structure rather than a specific question.</t>
        </r>
      </text>
    </comment>
    <comment ref="I1" authorId="0">
      <text>
        <r>
          <rPr>
            <rFont val="Aptos Narrow"/>
            <b/>
            <color rgb="FFFFFFFF"/>
            <sz val="11"/>
          </rPr>
          <t>The suite this check belongs to.</t>
        </r>
      </text>
    </comment>
    <comment ref="J1" authorId="0">
      <text>
        <r>
          <rPr>
            <rFont val="Aptos Narrow"/>
            <b/>
            <color rgb="FFFFFFFF"/>
            <sz val="11"/>
          </rPr>
          <t>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t>
        </r>
      </text>
    </comment>
    <comment ref="K1" authorId="0">
      <text>
        <r>
          <rPr>
            <rFont val="Aptos Narrow"/>
            <b/>
            <color rgb="FFFFFFFF"/>
            <sz val="11"/>
          </rPr>
          <t>TRUE when a failure of this check means the model is asserting something false.</t>
        </r>
      </text>
    </comment>
    <comment ref="L1" authorId="0">
      <text>
        <r>
          <rPr>
            <rFont val="Aptos Narrow"/>
            <b/>
            <color rgb="FFFFFFFF"/>
            <sz val="11"/>
          </rPr>
          <t>PASS, WARN, FAIL, or SKIP from the most recent run. Written by tools/run_test_suite.py from the substrate — never hand-edited.</t>
        </r>
      </text>
    </comment>
    <comment ref="M1" authorId="0">
      <text>
        <r>
          <rPr>
            <rFont val="Aptos Narrow"/>
            <b/>
            <color rgb="FFFFFFFF"/>
            <sz val="11"/>
          </rPr>
          <t>The observed reading behind LastOutcome, e.g. a fire count or the error text.</t>
        </r>
      </text>
    </comment>
    <comment ref="N1" authorId="0">
      <text>
        <r>
          <rPr>
            <rFont val="Aptos Narrow"/>
            <b/>
            <color rgb="FFFFFFFF"/>
            <sz val="11"/>
          </rPr>
          <t>When this check last ran.</t>
        </r>
      </text>
    </comment>
    <comment ref="O1" authorId="0">
      <text>
        <r>
          <rPr>
            <rFont val="Aptos Narrow"/>
            <b/>
            <color rgb="FFFFFFFF"/>
            <sz val="11"/>
          </rPr>
          <t>TRUE when the last run passed outright.</t>
        </r>
      </text>
    </comment>
    <comment ref="P1" authorId="0">
      <text>
        <r>
          <rPr>
            <rFont val="Aptos Narrow"/>
            <b/>
            <color rgb="FFFFFFFF"/>
            <sz val="11"/>
          </rPr>
          <t>TRUE when the last run failed. A blocking failure means the model is asserting something false.</t>
        </r>
      </text>
    </comment>
    <comment ref="Q1" authorId="0">
      <text>
        <r>
          <rPr>
            <rFont val="Aptos Narrow"/>
            <b/>
            <color rgb="FFFFFFFF"/>
            <sz val="11"/>
          </rPr>
          <t>TRUE when this check failed and its failure means the model is wrong. This is the number that must be zero.</t>
        </r>
      </text>
    </comment>
    <comment ref="R1" authorId="0">
      <text>
        <r>
          <rPr>
            <rFont val="Aptos Narrow"/>
            <b/>
            <color rgb="FFFFFFFF"/>
            <sz val="11"/>
          </rPr>
          <t>Echoes the suite id only for checks that passed; empty otherwise. Single-criterion COUNTIFS key.</t>
        </r>
      </text>
    </comment>
    <comment ref="S1" authorId="0">
      <text>
        <r>
          <rPr>
            <rFont val="Aptos Narrow"/>
            <b/>
            <color rgb="FFFFFFFF"/>
            <sz val="11"/>
          </rPr>
          <t>Echoes the suite id only for blocking checks that failed; empty otherwise. Single-criterion COUNTIFS key.</t>
        </r>
      </text>
    </comment>
    <comment ref="T1" authorId="0">
      <text>
        <r>
          <rPr>
            <rFont val="Aptos Narrow"/>
            <b/>
            <color rgb="FFFFFFFF"/>
            <sz val="11"/>
          </rPr>
          <t>Extension class IRI.</t>
        </r>
      </text>
    </comment>
    <comment ref="B1" authorId="0">
      <text>
        <r>
          <rPr>
            <rFont val="Aptos Narrow"/>
            <b/>
            <color rgb="FFFFFFFF"/>
            <sz val="11"/>
          </rPr>
          <t>Human-readable calculated display alias for the TestCases row.</t>
        </r>
      </text>
    </comment>
  </commentList>
</comments>
</file>

<file path=xl/comments5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ERB version identifier.</t>
        </r>
      </text>
    </comment>
    <comment ref="C1" authorId="0">
      <text>
        <r>
          <rPr>
            <rFont val="Aptos Narrow"/>
            <b/>
            <color rgb="FFFFFFFF"/>
            <sz val="11"/>
          </rPr>
          <t>Version label.</t>
        </r>
      </text>
    </comment>
    <comment ref="D1" authorId="0">
      <text>
        <r>
          <rPr>
            <rFont val="Aptos Narrow"/>
            <b/>
            <color rgb="FFFFFFFF"/>
            <sz val="11"/>
          </rPr>
          <t>Version message.</t>
        </r>
      </text>
    </comment>
    <comment ref="E1" authorId="0">
      <text>
        <r>
          <rPr>
            <rFont val="Aptos Narrow"/>
            <b/>
            <color rgb="FFFFFFFF"/>
            <sz val="11"/>
          </rPr>
          <t>Version notes.</t>
        </r>
      </text>
    </comment>
    <comment ref="F1" authorId="0">
      <text>
        <r>
          <rPr>
            <rFont val="Aptos Narrow"/>
            <b/>
            <color rgb="FFFFFFFF"/>
            <sz val="11"/>
          </rPr>
          <t>Commit timestamp.</t>
        </r>
      </text>
    </comment>
    <comment ref="G1" authorId="0">
      <text>
        <r>
          <rPr>
            <rFont val="Aptos Narrow"/>
            <b/>
            <color rgb="FFFFFFFF"/>
            <sz val="11"/>
          </rPr>
          <t>Publication flag.</t>
        </r>
      </text>
    </comment>
    <comment ref="B1" authorId="0">
      <text>
        <r>
          <rPr>
            <rFont val="Aptos Narrow"/>
            <b/>
            <color rgb="FFFFFFFF"/>
            <sz val="11"/>
          </rPr>
          <t>Source base identifier.</t>
        </r>
      </text>
    </comment>
  </commentList>
</comments>
</file>

<file path=xl/comments5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Customization identifier.</t>
        </r>
      </text>
    </comment>
    <comment ref="C1" authorId="0">
      <text>
        <r>
          <rPr>
            <rFont val="Aptos Narrow"/>
            <b/>
            <color rgb="FFFFFFFF"/>
            <sz val="11"/>
          </rPr>
          <t>Customization title.</t>
        </r>
      </text>
    </comment>
    <comment ref="D1" authorId="0">
      <text>
        <r>
          <rPr>
            <rFont val="Aptos Narrow"/>
            <b/>
            <color rgb="FFFFFFFF"/>
            <sz val="11"/>
          </rPr>
          <t>Customization SQL.</t>
        </r>
      </text>
    </comment>
    <comment ref="E1" authorId="0">
      <text>
        <r>
          <rPr>
            <rFont val="Aptos Narrow"/>
            <b/>
            <color rgb="FFFFFFFF"/>
            <sz val="11"/>
          </rPr>
          <t>Target substrate.</t>
        </r>
      </text>
    </comment>
    <comment ref="F1" authorId="0">
      <text>
        <r>
          <rPr>
            <rFont val="Aptos Narrow"/>
            <b/>
            <color rgb="FFFFFFFF"/>
            <sz val="11"/>
          </rPr>
          <t>Customization category.</t>
        </r>
      </text>
    </comment>
    <comment ref="B1" authorId="0">
      <text>
        <r>
          <rPr>
            <rFont val="Aptos Narrow"/>
            <b/>
            <color rgb="FFFFFFFF"/>
            <sz val="11"/>
          </rPr>
          <t>Customization file name.</t>
        </r>
      </text>
    </comment>
  </commentList>
</comments>
</file>

<file path=xl/comments5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ExceptionInvocations row.</t>
        </r>
      </text>
    </comment>
    <comment ref="C1" authorId="0">
      <text>
        <r>
          <rPr>
            <rFont val="Aptos Narrow"/>
            <b/>
            <color rgb="FFFFFFFF"/>
            <sz val="11"/>
          </rPr>
          <t>The execution during which the exception was invoked.</t>
        </r>
      </text>
    </comment>
    <comment ref="D1" authorId="0">
      <text>
        <r>
          <rPr>
            <rFont val="Aptos Narrow"/>
            <b/>
            <color rgb="FFFFFFFF"/>
            <sz val="11"/>
          </rPr>
          <t>The specified exception that was invoked.</t>
        </r>
      </text>
    </comment>
    <comment ref="E1" authorId="0">
      <text>
        <r>
          <rPr>
            <rFont val="Aptos Narrow"/>
            <b/>
            <color rgb="FFFFFFFF"/>
            <sz val="11"/>
          </rPr>
          <t>Agent who invoked the exception.</t>
        </r>
      </text>
    </comment>
    <comment ref="F1" authorId="0">
      <text>
        <r>
          <rPr>
            <rFont val="Aptos Narrow"/>
            <b/>
            <color rgb="FFFFFFFF"/>
            <sz val="11"/>
          </rPr>
          <t>Agent who approved the invocation. Must satisfy the exception's ApprovalRole.</t>
        </r>
      </text>
    </comment>
    <comment ref="G1" authorId="0">
      <text>
        <r>
          <rPr>
            <rFont val="Aptos Narrow"/>
            <b/>
            <color rgb="FFFFFFFF"/>
            <sz val="11"/>
          </rPr>
          <t>When the exception was invoked.</t>
        </r>
      </text>
    </comment>
    <comment ref="H1" authorId="0">
      <text>
        <r>
          <rPr>
            <rFont val="Aptos Narrow"/>
            <b/>
            <color rgb="FFFFFFFF"/>
            <sz val="11"/>
          </rPr>
          <t>What was actually done, in the invoker's words.</t>
        </r>
      </text>
    </comment>
    <comment ref="I1" authorId="0">
      <text>
        <r>
          <rPr>
            <rFont val="Aptos Narrow"/>
            <b/>
            <color rgb="FFFFFFFF"/>
            <sz val="11"/>
          </rPr>
          <t>The handling the specification prescribes.</t>
        </r>
      </text>
    </comment>
    <comment ref="J1" authorId="0">
      <text>
        <r>
          <rPr>
            <rFont val="Aptos Narrow"/>
            <b/>
            <color rgb="FFFFFFFF"/>
            <sz val="11"/>
          </rPr>
          <t>The role the specification requires to approve this exception.</t>
        </r>
      </text>
    </comment>
    <comment ref="K1" authorId="0">
      <text>
        <r>
          <rPr>
            <rFont val="Aptos Narrow"/>
            <b/>
            <color rgb="FFFFFFFF"/>
            <sz val="11"/>
          </rPr>
          <t>The agent who currently holds the role that must approve this exception.</t>
        </r>
      </text>
    </comment>
    <comment ref="L1" authorId="0">
      <text>
        <r>
          <rPr>
            <rFont val="Aptos Narrow"/>
            <b/>
            <color rgb="FFFFFFFF"/>
            <sz val="11"/>
          </rPr>
          <t>TRUE when the agent who approved is the holder of the role the exception requires.</t>
        </r>
      </text>
    </comment>
    <comment ref="M1" authorId="0">
      <text>
        <r>
          <rPr>
            <rFont val="Aptos Narrow"/>
            <b/>
            <color rgb="FFFFFFFF"/>
            <sz val="11"/>
          </rPr>
          <t>TRUE when an approver was recorded at all.</t>
        </r>
      </text>
    </comment>
    <comment ref="N1" authorId="0">
      <text>
        <r>
          <rPr>
            <rFont val="Aptos Narrow"/>
            <b/>
            <color rgb="FFFFFFFF"/>
            <sz val="11"/>
          </rPr>
          <t>TRUE when an exception was invoked without an approver, or approved by an agent who does not hold the required role.</t>
        </r>
      </text>
    </comment>
    <comment ref="O1" authorId="0">
      <text>
        <r>
          <rPr>
            <rFont val="Aptos Narrow"/>
            <b/>
            <color rgb="FFFFFFFF"/>
            <sz val="11"/>
          </rPr>
          <t>What kind of agent invoked the exception.</t>
        </r>
      </text>
    </comment>
    <comment ref="P1" authorId="0">
      <text>
        <r>
          <rPr>
            <rFont val="Aptos Narrow"/>
            <b/>
            <color rgb="FFFFFFFF"/>
            <sz val="11"/>
          </rPr>
          <t>Composite execution+approver key, in the same key space as StepExecutions.PreparerAgentKey.</t>
        </r>
      </text>
    </comment>
    <comment ref="Q1" authorId="0">
      <text>
        <r>
          <rPr>
            <rFont val="Aptos Narrow"/>
            <b/>
            <color rgb="FFFFFFFF"/>
            <sz val="11"/>
          </rPr>
          <t>The procedure execution this invocation belongs to.</t>
        </r>
      </text>
    </comment>
    <comment ref="R1" authorId="0">
      <text>
        <r>
          <rPr>
            <rFont val="Aptos Narrow"/>
            <b/>
            <color rgb="FFFFFFFF"/>
            <sz val="11"/>
          </rPr>
          <t>How many preparation steps in the same execution were run by the agent who approved this exception.</t>
        </r>
      </text>
    </comment>
    <comment ref="S1" authorId="0">
      <text>
        <r>
          <rPr>
            <rFont val="Aptos Narrow"/>
            <b/>
            <color rgb="FFFFFFFF"/>
            <sz val="11"/>
          </rPr>
          <t>TRUE when an exception routed approval authority to an agent who prepared work in the same execution.</t>
        </r>
      </text>
    </comment>
    <comment ref="T1" authorId="0">
      <text>
        <r>
          <rPr>
            <rFont val="Aptos Narrow"/>
            <b/>
            <color rgb="FFFFFFFF"/>
            <sz val="11"/>
          </rPr>
          <t>TRUE when an exception was invoked without proper role authority, or routed authority to the preparer.</t>
        </r>
      </text>
    </comment>
    <comment ref="U1" authorId="0">
      <text>
        <r>
          <rPr>
            <rFont val="Aptos Narrow"/>
            <b/>
            <color rgb="FFFFFFFF"/>
            <sz val="11"/>
          </rPr>
          <t>Extension IRI — PKO does not define exception invocation.</t>
        </r>
      </text>
    </comment>
    <comment ref="B1" authorId="0">
      <text>
        <r>
          <rPr>
            <rFont val="Aptos Narrow"/>
            <b/>
            <color rgb="FFFFFFFF"/>
            <sz val="11"/>
          </rPr>
          <t>Human-readable calculated display alias.</t>
        </r>
      </text>
    </comment>
  </commentList>
</comments>
</file>

<file path=xl/comments5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VerificationOutcomes row.</t>
        </r>
      </text>
    </comment>
    <comment ref="C1" authorId="0">
      <text>
        <r>
          <rPr>
            <rFont val="Aptos Narrow"/>
            <b/>
            <color rgb="FFFFFFFF"/>
            <sz val="11"/>
          </rPr>
          <t>The execution during which the verification was performed.</t>
        </r>
      </text>
    </comment>
    <comment ref="D1" authorId="0">
      <text>
        <r>
          <rPr>
            <rFont val="Aptos Narrow"/>
            <b/>
            <color rgb="FFFFFFFF"/>
            <sz val="11"/>
          </rPr>
          <t>The declared verification being performed.</t>
        </r>
      </text>
    </comment>
    <comment ref="E1" authorId="0">
      <text>
        <r>
          <rPr>
            <rFont val="Aptos Narrow"/>
            <b/>
            <color rgb="FFFFFFFF"/>
            <sz val="11"/>
          </rPr>
          <t>The value the signal actually read at verification time.</t>
        </r>
      </text>
    </comment>
    <comment ref="F1" authorId="0">
      <text>
        <r>
          <rPr>
            <rFont val="Aptos Narrow"/>
            <b/>
            <color rgb="FFFFFFFF"/>
            <sz val="11"/>
          </rPr>
          <t>Agent who observed the signal.</t>
        </r>
      </text>
    </comment>
    <comment ref="G1" authorId="0">
      <text>
        <r>
          <rPr>
            <rFont val="Aptos Narrow"/>
            <b/>
            <color rgb="FFFFFFFF"/>
            <sz val="11"/>
          </rPr>
          <t>When the signal was observed.</t>
        </r>
      </text>
    </comment>
    <comment ref="H1" authorId="0">
      <text>
        <r>
          <rPr>
            <rFont val="Aptos Narrow"/>
            <b/>
            <color rgb="FFFFFFFF"/>
            <sz val="11"/>
          </rPr>
          <t>Pointer to the retained artifact backing the observation.</t>
        </r>
      </text>
    </comment>
    <comment ref="I1" authorId="0">
      <text>
        <r>
          <rPr>
            <rFont val="Aptos Narrow"/>
            <b/>
            <color rgb="FFFFFFFF"/>
            <sz val="11"/>
          </rPr>
          <t>The value the specification expects.</t>
        </r>
      </text>
    </comment>
    <comment ref="J1" authorId="0">
      <text>
        <r>
          <rPr>
            <rFont val="Aptos Narrow"/>
            <b/>
            <color rgb="FFFFFFFF"/>
            <sz val="11"/>
          </rPr>
          <t>Which signal this outcome concerns.</t>
        </r>
      </text>
    </comment>
    <comment ref="K1" authorId="0">
      <text>
        <r>
          <rPr>
            <rFont val="Aptos Narrow"/>
            <b/>
            <color rgb="FFFFFFFF"/>
            <sz val="11"/>
          </rPr>
          <t>TRUE when the observed value equals the expected value.</t>
        </r>
      </text>
    </comment>
    <comment ref="L1" authorId="0">
      <text>
        <r>
          <rPr>
            <rFont val="Aptos Narrow"/>
            <b/>
            <color rgb="FFFFFFFF"/>
            <sz val="11"/>
          </rPr>
          <t>TRUE when a retained artifact backs this observation.</t>
        </r>
      </text>
    </comment>
    <comment ref="M1" authorId="0">
      <text>
        <r>
          <rPr>
            <rFont val="Aptos Narrow"/>
            <b/>
            <color rgb="FFFFFFFF"/>
            <sz val="11"/>
          </rPr>
          <t>TRUE when a verification was recorded as matching but no evidence artifact was retained.</t>
        </r>
      </text>
    </comment>
    <comment ref="N1" authorId="0">
      <text>
        <r>
          <rPr>
            <rFont val="Aptos Narrow"/>
            <b/>
            <color rgb="FFFFFFFF"/>
            <sz val="11"/>
          </rPr>
          <t>TRUE when the agent who observed the verification signal is the same agent who executed the step being verified.</t>
        </r>
      </text>
    </comment>
    <comment ref="O1" authorId="0">
      <text>
        <r>
          <rPr>
            <rFont val="Aptos Narrow"/>
            <b/>
            <color rgb="FFFFFFFF"/>
            <sz val="11"/>
          </rPr>
          <t>The agent who executed the step this verification outcome concerns.</t>
        </r>
      </text>
    </comment>
    <comment ref="P1" authorId="0">
      <text>
        <r>
          <rPr>
            <rFont val="Aptos Narrow"/>
            <b/>
            <color rgb="FFFFFFFF"/>
            <sz val="11"/>
          </rPr>
          <t>Echoes the StepExecution id only for self-witnessed verifications.</t>
        </r>
      </text>
    </comment>
    <comment ref="Q1" authorId="0">
      <text>
        <r>
          <rPr>
            <rFont val="Aptos Narrow"/>
            <b/>
            <color rgb="FFFFFFFF"/>
            <sz val="11"/>
          </rPr>
          <t>Echoes the StepExecution id when a verification matched but retained no evidence.</t>
        </r>
      </text>
    </comment>
    <comment ref="R1" authorId="0">
      <text>
        <r>
          <rPr>
            <rFont val="Aptos Narrow"/>
            <b/>
            <color rgb="FFFFFFFF"/>
            <sz val="11"/>
          </rPr>
          <t>TRUE when the executor observed their own passing signal and attached no evidence.</t>
        </r>
      </text>
    </comment>
    <comment ref="S1" authorId="0">
      <text>
        <r>
          <rPr>
            <rFont val="Aptos Narrow"/>
            <b/>
            <color rgb="FFFFFFFF"/>
            <sz val="11"/>
          </rPr>
          <t>TRUE when a PASSING signal was self-observed with no evidence behind it.</t>
        </r>
      </text>
    </comment>
    <comment ref="T1" authorId="0">
      <text>
        <r>
          <rPr>
            <rFont val="Aptos Narrow"/>
            <b/>
            <color rgb="FFFFFFFF"/>
            <sz val="11"/>
          </rPr>
          <t>Echoes the step execution id when this outcome is an uncorroborated pass.</t>
        </r>
      </text>
    </comment>
    <comment ref="U1" authorId="0">
      <text>
        <r>
          <rPr>
            <rFont val="Aptos Narrow"/>
            <b/>
            <color rgb="FFFFFFFF"/>
            <sz val="11"/>
          </rPr>
          <t>Whether the agent who recorded this observation is non-human. Agents has no PrimaryRole column and an FK from Agents back to Roles would create a table cycle, so the independence question is answered by agent kind rather than by role.</t>
        </r>
      </text>
    </comment>
    <comment ref="V1" authorId="0">
      <text>
        <r>
          <rPr>
            <rFont val="Aptos Narrow"/>
            <b/>
            <color rgb="FFFFFFFF"/>
            <sz val="11"/>
          </rPr>
          <t>TRUE when someone other than the step's executor recorded the observation.</t>
        </r>
      </text>
    </comment>
    <comment ref="W1" authorId="0">
      <text>
        <r>
          <rPr>
            <rFont val="Aptos Narrow"/>
            <b/>
            <color rgb="FFFFFFFF"/>
            <sz val="11"/>
          </rPr>
          <t>TRUE when a human other than the step's executor observed this signal and attached evidence.</t>
        </r>
      </text>
    </comment>
    <comment ref="X1" authorId="0">
      <text>
        <r>
          <rPr>
            <rFont val="Aptos Narrow"/>
            <b/>
            <color rgb="FFFFFFFF"/>
            <sz val="11"/>
          </rPr>
          <t>Echoes the parent execution id when this is an independent human observation.</t>
        </r>
      </text>
    </comment>
    <comment ref="Y1" authorId="0">
      <text>
        <r>
          <rPr>
            <rFont val="Aptos Narrow"/>
            <b/>
            <color rgb="FFFFFFFF"/>
            <sz val="11"/>
          </rPr>
          <t>The procedure execution this verification outcome belongs to.</t>
        </r>
      </text>
    </comment>
    <comment ref="Z1" authorId="0">
      <text>
        <r>
          <rPr>
            <rFont val="Aptos Narrow"/>
            <b/>
            <color rgb="FFFFFFFF"/>
            <sz val="11"/>
          </rPr>
          <t>Extension IRI — PKO 2.0.0 has no execution-side verification outcome class.</t>
        </r>
      </text>
    </comment>
    <comment ref="B1" authorId="0">
      <text>
        <r>
          <rPr>
            <rFont val="Aptos Narrow"/>
            <b/>
            <color rgb="FFFFFFFF"/>
            <sz val="11"/>
          </rPr>
          <t>Human-readable calculated display alias.</t>
        </r>
      </text>
    </comment>
  </commentList>
</comments>
</file>

<file path=xl/comments5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ObservedTransitions row.</t>
        </r>
      </text>
    </comment>
    <comment ref="C1" authorId="0">
      <text>
        <r>
          <rPr>
            <rFont val="Aptos Narrow"/>
            <b/>
            <color rgb="FFFFFFFF"/>
            <sz val="11"/>
          </rPr>
          <t>The procedure execution during which this transition was traversed.</t>
        </r>
      </text>
    </comment>
    <comment ref="D1" authorId="0">
      <text>
        <r>
          <rPr>
            <rFont val="Aptos Narrow"/>
            <b/>
            <color rgb="FFFFFFFF"/>
            <sz val="11"/>
          </rPr>
          <t>The specification-level transition that was actually taken.</t>
        </r>
      </text>
    </comment>
    <comment ref="E1" authorId="0">
      <text>
        <r>
          <rPr>
            <rFont val="Aptos Narrow"/>
            <b/>
            <color rgb="FFFFFFFF"/>
            <sz val="11"/>
          </rPr>
          <t>The step execution that this traversal produced.</t>
        </r>
      </text>
    </comment>
    <comment ref="F1" authorId="0">
      <text>
        <r>
          <rPr>
            <rFont val="Aptos Narrow"/>
            <b/>
            <color rgb="FFFFFFFF"/>
            <sz val="11"/>
          </rPr>
          <t>When the traversal occurred.</t>
        </r>
      </text>
    </comment>
    <comment ref="G1" authorId="0">
      <text>
        <r>
          <rPr>
            <rFont val="Aptos Narrow"/>
            <b/>
            <color rgb="FFFFFFFF"/>
            <sz val="11"/>
          </rPr>
          <t>Why this path rather than the default was taken.</t>
        </r>
      </text>
    </comment>
    <comment ref="H1" authorId="0">
      <text>
        <r>
          <rPr>
            <rFont val="Aptos Narrow"/>
            <b/>
            <color rgb="FFFFFFFF"/>
            <sz val="11"/>
          </rPr>
          <t>Extension class IRI.</t>
        </r>
      </text>
    </comment>
    <comment ref="B1" authorId="0">
      <text>
        <r>
          <rPr>
            <rFont val="Aptos Narrow"/>
            <b/>
            <color rgb="FFFFFFFF"/>
            <sz val="11"/>
          </rPr>
          <t>Human-readable calculated display alias.</t>
        </r>
      </text>
    </comment>
  </commentList>
</comments>
</file>

<file path=xl/comments6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Recipients row.</t>
        </r>
      </text>
    </comment>
    <comment ref="C1" authorId="0">
      <text>
        <r>
          <rPr>
            <rFont val="Aptos Narrow"/>
            <b/>
            <color rgb="FFFFFFFF"/>
            <sz val="11"/>
          </rPr>
          <t>Employee display name as carried in the consent registry.</t>
        </r>
      </text>
    </comment>
    <comment ref="D1" authorId="0">
      <text>
        <r>
          <rPr>
            <rFont val="Aptos Narrow"/>
            <b/>
            <color rgb="FFFFFFFF"/>
            <sz val="11"/>
          </rPr>
          <t>Organization the recipient belongs to.</t>
        </r>
      </text>
    </comment>
    <comment ref="E1" authorId="0">
      <text>
        <r>
          <rPr>
            <rFont val="Aptos Narrow"/>
            <b/>
            <color rgb="FFFFFFFF"/>
            <sz val="11"/>
          </rPr>
          <t>Corporate email address; empty string when the recipient has no valid corporate email.</t>
        </r>
      </text>
    </comment>
    <comment ref="F1" authorId="0">
      <text>
        <r>
          <rPr>
            <rFont val="Aptos Narrow"/>
            <b/>
            <color rgb="FFFFFFFF"/>
            <sz val="11"/>
          </rPr>
          <t>Mobile number in E.164 form; empty string when no mobile number is on file.</t>
        </r>
      </text>
    </comment>
    <comment ref="G1" authorId="0">
      <text>
        <r>
          <rPr>
            <rFont val="Aptos Narrow"/>
            <b/>
            <color rgb="FFFFFFFF"/>
            <sz val="11"/>
          </rPr>
          <t>Consent state as observed in the consent registry: Granted, Revoked, or NeverGiven.</t>
        </r>
      </text>
    </comment>
    <comment ref="H1" authorId="0">
      <text>
        <r>
          <rPr>
            <rFont val="Aptos Narrow"/>
            <b/>
            <color rgb="FFFFFFFF"/>
            <sz val="11"/>
          </rPr>
          <t>Timestamp at which the current SMS consent state took effect.</t>
        </r>
      </text>
    </comment>
    <comment ref="I1" authorId="0">
      <text>
        <r>
          <rPr>
            <rFont val="Aptos Narrow"/>
            <b/>
            <color rgb="FFFFFFFF"/>
            <sz val="11"/>
          </rPr>
          <t>Operational binding through which this consent state was observed.</t>
        </r>
      </text>
    </comment>
    <comment ref="J1" authorId="0">
      <text>
        <r>
          <rPr>
            <rFont val="Aptos Narrow"/>
            <b/>
            <color rgb="FFFFFFFF"/>
            <sz val="11"/>
          </rPr>
          <t>TRUE only when the recipient's SMS consent state is Granted.</t>
        </r>
      </text>
    </comment>
    <comment ref="K1" authorId="0">
      <text>
        <r>
          <rPr>
            <rFont val="Aptos Narrow"/>
            <b/>
            <color rgb="FFFFFFFF"/>
            <sz val="11"/>
          </rPr>
          <t>TRUE when a corporate email address is on file for this recipient.</t>
        </r>
      </text>
    </comment>
    <comment ref="L1" authorId="0">
      <text>
        <r>
          <rPr>
            <rFont val="Aptos Narrow"/>
            <b/>
            <color rgb="FFFFFFFF"/>
            <sz val="11"/>
          </rPr>
          <t>TRUE when a mobile number is on file for this recipient.</t>
        </r>
      </text>
    </comment>
    <comment ref="M1" authorId="0">
      <text>
        <r>
          <rPr>
            <rFont val="Aptos Narrow"/>
            <b/>
            <color rgb="FFFFFFFF"/>
            <sz val="11"/>
          </rPr>
          <t>TRUE when the recipient has neither an email address nor a mobile number -- the exc-unreachable trigger condition.</t>
        </r>
      </text>
    </comment>
    <comment ref="N1" authorId="0">
      <text>
        <r>
          <rPr>
            <rFont val="Aptos Narrow"/>
            <b/>
            <color rgb="FFFFFFFF"/>
            <sz val="11"/>
          </rPr>
          <t>TRUE when every channel we hold for this person is either non-consenting or unreachable, so no lawful route exists at all.</t>
        </r>
      </text>
    </comment>
    <comment ref="O1" authorId="0">
      <text>
        <r>
          <rPr>
            <rFont val="Aptos Narrow"/>
            <b/>
            <color rgb="FFFFFFFF"/>
            <sz val="11"/>
          </rPr>
          <t>Extension IRI; recipients are not a PKO 2.0.0 native class.</t>
        </r>
      </text>
    </comment>
    <comment ref="B1" authorId="0">
      <text>
        <r>
          <rPr>
            <rFont val="Aptos Narrow"/>
            <b/>
            <color rgb="FFFFFFFF"/>
            <sz val="11"/>
          </rPr>
          <t>Human-readable calculated display alias for the Recipients row.</t>
        </r>
      </text>
    </comment>
  </commentList>
</comments>
</file>

<file path=xl/comments6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MessageDeliveries row.</t>
        </r>
      </text>
    </comment>
    <comment ref="C1" authorId="0">
      <text>
        <r>
          <rPr>
            <rFont val="Aptos Narrow"/>
            <b/>
            <color rgb="FFFFFFFF"/>
            <sz val="11"/>
          </rPr>
          <t>The procedure execution this send was performed under.</t>
        </r>
      </text>
    </comment>
    <comment ref="D1" authorId="0">
      <text>
        <r>
          <rPr>
            <rFont val="Aptos Narrow"/>
            <b/>
            <color rgb="FFFFFFFF"/>
            <sz val="11"/>
          </rPr>
          <t>The step execution that performed the send.</t>
        </r>
      </text>
    </comment>
    <comment ref="E1" authorId="0">
      <text>
        <r>
          <rPr>
            <rFont val="Aptos Narrow"/>
            <b/>
            <color rgb="FFFFFFFF"/>
            <sz val="11"/>
          </rPr>
          <t>Who the message was sent to.</t>
        </r>
      </text>
    </comment>
    <comment ref="F1" authorId="0">
      <text>
        <r>
          <rPr>
            <rFont val="Aptos Narrow"/>
            <b/>
            <color rgb="FFFFFFFF"/>
            <sz val="11"/>
          </rPr>
          <t>Template that was rendered for this send.</t>
        </r>
      </text>
    </comment>
    <comment ref="G1" authorId="0">
      <text>
        <r>
          <rPr>
            <rFont val="Aptos Narrow"/>
            <b/>
            <color rgb="FFFFFFFF"/>
            <sz val="11"/>
          </rPr>
          <t>Agent that performed the send.</t>
        </r>
      </text>
    </comment>
    <comment ref="H1" authorId="0">
      <text>
        <r>
          <rPr>
            <rFont val="Aptos Narrow"/>
            <b/>
            <color rgb="FFFFFFFF"/>
            <sz val="11"/>
          </rPr>
          <t>The exact body text that was transmitted, after variable substitution.</t>
        </r>
      </text>
    </comment>
    <comment ref="I1" authorId="0">
      <text>
        <r>
          <rPr>
            <rFont val="Aptos Narrow"/>
            <b/>
            <color rgb="FFFFFFFF"/>
            <sz val="11"/>
          </rPr>
          <t>Transmission timestamp.</t>
        </r>
      </text>
    </comment>
    <comment ref="J1" authorId="0">
      <text>
        <r>
          <rPr>
            <rFont val="Aptos Narrow"/>
            <b/>
            <color rgb="FFFFFFFF"/>
            <sz val="11"/>
          </rPr>
          <t>Hour of day 0-23 in the RECIPIENT's local timezone at transmission. Stored raw because recipient-local time is what the quiet-hours rule is written against and it is not derivable from SentAt alone.</t>
        </r>
      </text>
    </comment>
    <comment ref="K1" authorId="0">
      <text>
        <r>
          <rPr>
            <rFont val="Aptos Narrow"/>
            <b/>
            <color rgb="FFFFFFFF"/>
            <sz val="11"/>
          </rPr>
          <t>Sent, Delivered, Failed, Suppressed, or Bounced.</t>
        </r>
      </text>
    </comment>
    <comment ref="L1" authorId="0">
      <text>
        <r>
          <rPr>
            <rFont val="Aptos Narrow"/>
            <b/>
            <color rgb="FFFFFFFF"/>
            <sz val="11"/>
          </rPr>
          <t>When DeliveryStatus is Suppressed, why; empty string otherwise.</t>
        </r>
      </text>
    </comment>
    <comment ref="M1" authorId="0">
      <text>
        <r>
          <rPr>
            <rFont val="Aptos Narrow"/>
            <b/>
            <color rgb="FFFFFFFF"/>
            <sz val="11"/>
          </rPr>
          <t>Documented exception invoked for this delivery, when one was.</t>
        </r>
      </text>
    </comment>
    <comment ref="N1" authorId="0">
      <text>
        <r>
          <rPr>
            <rFont val="Aptos Narrow"/>
            <b/>
            <color rgb="FFFFFFFF"/>
            <sz val="11"/>
          </rPr>
          <t>When the recipient acknowledged; null when not acknowledged.</t>
        </r>
      </text>
    </comment>
    <comment ref="O1" authorId="0">
      <text>
        <r>
          <rPr>
            <rFont val="Aptos Narrow"/>
            <b/>
            <color rgb="FFFFFFFF"/>
            <sz val="11"/>
          </rPr>
          <t>The communication policy governing the template that was sent.</t>
        </r>
      </text>
    </comment>
    <comment ref="P1" authorId="0">
      <text>
        <r>
          <rPr>
            <rFont val="Aptos Narrow"/>
            <b/>
            <color rgb="FFFFFFFF"/>
            <sz val="11"/>
          </rPr>
          <t>Channel (Email, SMS) of the policy this delivery went out under.</t>
        </r>
      </text>
    </comment>
    <comment ref="Q1" authorId="0">
      <text>
        <r>
          <rPr>
            <rFont val="Aptos Narrow"/>
            <b/>
            <color rgb="FFFFFFFF"/>
            <sz val="11"/>
          </rPr>
          <t>Whether the governing policy requires active consent for this channel.</t>
        </r>
      </text>
    </comment>
    <comment ref="R1" authorId="0">
      <text>
        <r>
          <rPr>
            <rFont val="Aptos Narrow"/>
            <b/>
            <color rgb="FFFFFFFF"/>
            <sz val="11"/>
          </rPr>
          <t>Whether the recipient of this delivery had SMS consent on file.</t>
        </r>
      </text>
    </comment>
    <comment ref="S1" authorId="0">
      <text>
        <r>
          <rPr>
            <rFont val="Aptos Narrow"/>
            <b/>
            <color rgb="FFFFFFFF"/>
            <sz val="11"/>
          </rPr>
          <t>TRUE when the message actually left our systems. Suppressed and Failed messages never reached the carrier.</t>
        </r>
      </text>
    </comment>
    <comment ref="T1" authorId="0">
      <text>
        <r>
          <rPr>
            <rFont val="Aptos Narrow"/>
            <b/>
            <color rgb="FFFFFFFF"/>
            <sz val="11"/>
          </rPr>
          <t>TRUE when a message was actually transmitted on a consent-required channel to a recipient without consent. This is the TCPA witness.</t>
        </r>
      </text>
    </comment>
    <comment ref="U1" authorId="0">
      <text>
        <r>
          <rPr>
            <rFont val="Aptos Narrow"/>
            <b/>
            <color rgb="FFFFFFFF"/>
            <sz val="11"/>
          </rPr>
          <t>Carries the policy id only on rows that are consent violations; empty string otherwise.</t>
        </r>
      </text>
    </comment>
    <comment ref="V1" authorId="0">
      <text>
        <r>
          <rPr>
            <rFont val="Aptos Narrow"/>
            <b/>
            <color rgb="FFFFFFFF"/>
            <sz val="11"/>
          </rPr>
          <t>Quiet-hours start hour (0-23) from the governing policy.</t>
        </r>
      </text>
    </comment>
    <comment ref="W1" authorId="0">
      <text>
        <r>
          <rPr>
            <rFont val="Aptos Narrow"/>
            <b/>
            <color rgb="FFFFFFFF"/>
            <sz val="11"/>
          </rPr>
          <t>Quiet-hours end hour (0-23) from the governing policy.</t>
        </r>
      </text>
    </comment>
    <comment ref="X1" authorId="0">
      <text>
        <r>
          <rPr>
            <rFont val="Aptos Narrow"/>
            <b/>
            <color rgb="FFFFFFFF"/>
            <sz val="11"/>
          </rPr>
          <t>TRUE when the governing policy actually declares a quiet-hours window. comm-email-policy has 00:00-00:00, meaning no window.</t>
        </r>
      </text>
    </comment>
    <comment ref="Y1" authorId="0">
      <text>
        <r>
          <rPr>
            <rFont val="Aptos Narrow"/>
            <b/>
            <color rgb="FFFFFFFF"/>
            <sz val="11"/>
          </rPr>
          <t>TRUE when the quiet window crosses midnight (20:00 -&gt; 08:00 does).</t>
        </r>
      </text>
    </comment>
    <comment ref="Z1" authorId="0">
      <text>
        <r>
          <rPr>
            <rFont val="Aptos Narrow"/>
            <b/>
            <color rgb="FFFFFFFF"/>
            <sz val="11"/>
          </rPr>
          <t>TRUE when the recipient-local send hour falls inside the declared quiet window, handling the midnight wrap correctly.</t>
        </r>
      </text>
    </comment>
    <comment ref="AA1" authorId="0">
      <text>
        <r>
          <rPr>
            <rFont val="Aptos Narrow"/>
            <b/>
            <color rgb="FFFFFFFF"/>
            <sz val="11"/>
          </rPr>
          <t>TRUE when a message was actually transmitted inside a declared quiet-hours window. The quiet-hours witness.</t>
        </r>
      </text>
    </comment>
    <comment ref="AB1" authorId="0">
      <text>
        <r>
          <rPr>
            <rFont val="Aptos Narrow"/>
            <b/>
            <color rgb="FFFFFFFF"/>
            <sz val="11"/>
          </rPr>
          <t>Carries the policy id only on quiet-hours violations; empty string otherwise.</t>
        </r>
      </text>
    </comment>
    <comment ref="AC1" authorId="0">
      <text>
        <r>
          <rPr>
            <rFont val="Aptos Narrow"/>
            <b/>
            <color rgb="FFFFFFFF"/>
            <sz val="11"/>
          </rPr>
          <t>Whether the recipient has neither email nor mobile on file -- the exc-unreachable trigger.</t>
        </r>
      </text>
    </comment>
    <comment ref="AD1" authorId="0">
      <text>
        <r>
          <rPr>
            <rFont val="Aptos Narrow"/>
            <b/>
            <color rgb="FFFFFFFF"/>
            <sz val="11"/>
          </rPr>
          <t>TRUE when an acknowledgement timestamp is recorded for this delivery.</t>
        </r>
      </text>
    </comment>
    <comment ref="AE1" authorId="0">
      <text>
        <r>
          <rPr>
            <rFont val="Aptos Narrow"/>
            <b/>
            <color rgb="FFFFFFFF"/>
            <sz val="11"/>
          </rPr>
          <t>The documented condition of the exception invoked on this delivery, if any.</t>
        </r>
      </text>
    </comment>
    <comment ref="AF1" authorId="0">
      <text>
        <r>
          <rPr>
            <rFont val="Aptos Narrow"/>
            <b/>
            <color rgb="FFFFFFFF"/>
            <sz val="11"/>
          </rPr>
          <t>TRUE when the documented unreachable-recipient exception was formally invoked on this delivery.</t>
        </r>
      </text>
    </comment>
    <comment ref="AG1" authorId="0">
      <text>
        <r>
          <rPr>
            <rFont val="Aptos Narrow"/>
            <b/>
            <color rgb="FFFFFFFF"/>
            <sz val="11"/>
          </rPr>
          <t>TRUE when an acknowledgement is recorded for a recipient we could not reach. This is the misrepresentation witness.</t>
        </r>
      </text>
    </comment>
    <comment ref="AH1" authorId="0">
      <text>
        <r>
          <rPr>
            <rFont val="Aptos Narrow"/>
            <b/>
            <color rgb="FFFFFFFF"/>
            <sz val="11"/>
          </rPr>
          <t>TRUE when a recipient was unreachable but no documented exception was invoked -- the case fell on the floor silently.</t>
        </r>
      </text>
    </comment>
    <comment ref="AI1" authorId="0">
      <text>
        <r>
          <rPr>
            <rFont val="Aptos Narrow"/>
            <b/>
            <color rgb="FFFFFFFF"/>
            <sz val="11"/>
          </rPr>
          <t>Carries the execution id on any unreachable-handling failure; empty string otherwise.</t>
        </r>
      </text>
    </comment>
    <comment ref="AJ1" authorId="0">
      <text>
        <r>
          <rPr>
            <rFont val="Aptos Narrow"/>
            <b/>
            <color rgb="FFFFFFFF"/>
            <sz val="11"/>
          </rPr>
          <t>Retention commitment in days inherited from the governing channel policy.</t>
        </r>
      </text>
    </comment>
    <comment ref="AK1" authorId="0">
      <text>
        <r>
          <rPr>
            <rFont val="Aptos Narrow"/>
            <b/>
            <color rgb="FFFFFFFF"/>
            <sz val="11"/>
          </rPr>
          <t>The evaluation context this row's time-dependent witnesses are judged under.</t>
        </r>
      </text>
    </comment>
    <comment ref="AL1" authorId="0">
      <text>
        <r>
          <rPr>
            <rFont val="Aptos Narrow"/>
            <b/>
            <color rgb="FFFFFFFF"/>
            <sz val="11"/>
          </rPr>
          <t>The evaluation instant this row's time-dependent witnesses are judged against.</t>
        </r>
      </text>
    </comment>
    <comment ref="AM1" authorId="0">
      <text>
        <r>
          <rPr>
            <rFont val="Aptos Narrow"/>
            <b/>
            <color rgb="FFFFFFFF"/>
            <sz val="11"/>
          </rPr>
          <t>Days elapsed since transmission.</t>
        </r>
      </text>
    </comment>
    <comment ref="AN1" authorId="0">
      <text>
        <r>
          <rPr>
            <rFont val="Aptos Narrow"/>
            <b/>
            <color rgb="FFFFFFFF"/>
            <sz val="11"/>
          </rPr>
          <t>TRUE while this delivery is still inside its committed retention period.</t>
        </r>
      </text>
    </comment>
    <comment ref="AO1" authorId="0">
      <text>
        <r>
          <rPr>
            <rFont val="Aptos Narrow"/>
            <b/>
            <color rgb="FFFFFFFF"/>
            <sz val="11"/>
          </rPr>
          <t>TRUE when the exact transmitted text is still held on this record.</t>
        </r>
      </text>
    </comment>
    <comment ref="AP1" authorId="0">
      <text>
        <r>
          <rPr>
            <rFont val="Aptos Narrow"/>
            <b/>
            <color rgb="FFFFFFFF"/>
            <sz val="11"/>
          </rPr>
          <t>TRUE when we are still obliged to hold this message's text.</t>
        </r>
      </text>
    </comment>
    <comment ref="AQ1" authorId="0">
      <text>
        <r>
          <rPr>
            <rFont val="Aptos Narrow"/>
            <b/>
            <color rgb="FFFFFFFF"/>
            <sz val="11"/>
          </rPr>
          <t>TRUE when we are obliged to hold the message text and do not. The evidentiary-gap witness.</t>
        </r>
      </text>
    </comment>
    <comment ref="AR1" authorId="0">
      <text>
        <r>
          <rPr>
            <rFont val="Aptos Narrow"/>
            <b/>
            <color rgb="FFFFFFFF"/>
            <sz val="11"/>
          </rPr>
          <t>Carries the execution id on retention breaches; empty string otherwise.</t>
        </r>
      </text>
    </comment>
    <comment ref="AS1" authorId="0">
      <text>
        <r>
          <rPr>
            <rFont val="Aptos Narrow"/>
            <b/>
            <color rgb="FFFFFFFF"/>
            <sz val="11"/>
          </rPr>
          <t>Which procedure step this delivery was performed under.</t>
        </r>
      </text>
    </comment>
    <comment ref="AT1" authorId="0">
      <text>
        <r>
          <rPr>
            <rFont val="Aptos Narrow"/>
            <b/>
            <color rgb="FFFFFFFF"/>
            <sz val="11"/>
          </rPr>
          <t>Whether legal review had passed for the execution this delivery belongs to.</t>
        </r>
      </text>
    </comment>
    <comment ref="AU1" authorId="0">
      <text>
        <r>
          <rPr>
            <rFont val="Aptos Narrow"/>
            <b/>
            <color rgb="FFFFFFFF"/>
            <sz val="11"/>
          </rPr>
          <t>TRUE when a message was transmitted under an execution whose legal review had not passed. The ungated-send witness.</t>
        </r>
      </text>
    </comment>
    <comment ref="AV1" authorId="0">
      <text>
        <r>
          <rPr>
            <rFont val="Aptos Narrow"/>
            <b/>
            <color rgb="FFFFFFFF"/>
            <sz val="11"/>
          </rPr>
          <t>Character length of the exact text that was actually transmitted.</t>
        </r>
      </text>
    </comment>
    <comment ref="AW1" authorId="0">
      <text>
        <r>
          <rPr>
            <rFont val="Aptos Narrow"/>
            <b/>
            <color rgb="FFFFFFFF"/>
            <sz val="11"/>
          </rPr>
          <t>The per-segment limit that governed this specific send.</t>
        </r>
      </text>
    </comment>
    <comment ref="AX1" authorId="0">
      <text>
        <r>
          <rPr>
            <rFont val="Aptos Narrow"/>
            <b/>
            <color rgb="FFFFFFFF"/>
            <sz val="11"/>
          </rPr>
          <t>How many channel segments the transmitted text occupied.</t>
        </r>
      </text>
    </comment>
    <comment ref="AY1" authorId="0">
      <text>
        <r>
          <rPr>
            <rFont val="Aptos Narrow"/>
            <b/>
            <color rgb="FFFFFFFF"/>
            <sz val="11"/>
          </rPr>
          <t>The segment ceiling that governed this specific send.</t>
        </r>
      </text>
    </comment>
    <comment ref="AZ1" authorId="0">
      <text>
        <r>
          <rPr>
            <rFont val="Aptos Narrow"/>
            <b/>
            <color rgb="FFFFFFFF"/>
            <sz val="11"/>
          </rPr>
          <t>TRUE when a transmitted message split into more segments than the policy permits. The oversize witness.</t>
        </r>
      </text>
    </comment>
    <comment ref="BA1" authorId="0">
      <text>
        <r>
          <rPr>
            <rFont val="Aptos Narrow"/>
            <b/>
            <color rgb="FFFFFFFF"/>
            <sz val="11"/>
          </rPr>
          <t>Whether the template used for this delivery had a properly-authorized approval.</t>
        </r>
      </text>
    </comment>
    <comment ref="BB1" authorId="0">
      <text>
        <r>
          <rPr>
            <rFont val="Aptos Narrow"/>
            <b/>
            <color rgb="FFFFFFFF"/>
            <sz val="11"/>
          </rPr>
          <t>TRUE when a message was transmitted using a template with no valid approval behind it.</t>
        </r>
      </text>
    </comment>
    <comment ref="BC1" authorId="0">
      <text>
        <r>
          <rPr>
            <rFont val="Aptos Narrow"/>
            <b/>
            <color rgb="FFFFFFFF"/>
            <sz val="11"/>
          </rPr>
          <t>The opt-out phrase required for this delivery's channel.</t>
        </r>
      </text>
    </comment>
    <comment ref="BD1" authorId="0">
      <text>
        <r>
          <rPr>
            <rFont val="Aptos Narrow"/>
            <b/>
            <color rgb="FFFFFFFF"/>
            <sz val="11"/>
          </rPr>
          <t>TRUE when the governing channel policy declares a required opt-out phrase at all.</t>
        </r>
      </text>
    </comment>
    <comment ref="BE1" authorId="0">
      <text>
        <r>
          <rPr>
            <rFont val="Aptos Narrow"/>
            <b/>
            <color rgb="FFFFFFFF"/>
            <sz val="11"/>
          </rPr>
          <t>Character position at which the required opt-out phrase appears in the transmitted text; 0 when absent.</t>
        </r>
      </text>
    </comment>
    <comment ref="BF1" authorId="0">
      <text>
        <r>
          <rPr>
            <rFont val="Aptos Narrow"/>
            <b/>
            <color rgb="FFFFFFFF"/>
            <sz val="11"/>
          </rPr>
          <t>TRUE when the required opt-out phrase appears anywhere in the transmitted text.</t>
        </r>
      </text>
    </comment>
    <comment ref="BG1" authorId="0">
      <text>
        <r>
          <rPr>
            <rFont val="Aptos Narrow"/>
            <b/>
            <color rgb="FFFFFFFF"/>
            <sz val="11"/>
          </rPr>
          <t>TRUE when the opt-out phrase falls inside the first segment, where it is guaranteed to be read.</t>
        </r>
      </text>
    </comment>
    <comment ref="BH1" authorId="0">
      <text>
        <r>
          <rPr>
            <rFont val="Aptos Narrow"/>
            <b/>
            <color rgb="FFFFFFFF"/>
            <sz val="11"/>
          </rPr>
          <t>TRUE when a transmitted message on an opt-out-required channel did not contain the phrase at all. The hard witness.</t>
        </r>
      </text>
    </comment>
    <comment ref="BI1" authorId="0">
      <text>
        <r>
          <rPr>
            <rFont val="Aptos Narrow"/>
            <b/>
            <color rgb="FFFFFFFF"/>
            <sz val="11"/>
          </rPr>
          <t>TRUE when the opt-out phrase is present but sits beyond the first segment, where carrier truncation or out-of-order delivery can hide it. The soft witness.</t>
        </r>
      </text>
    </comment>
    <comment ref="BJ1" authorId="0">
      <text>
        <r>
          <rPr>
            <rFont val="Aptos Narrow"/>
            <b/>
            <color rgb="FFFFFFFF"/>
            <sz val="11"/>
          </rPr>
          <t>TRUE when the message left our systems but did not land.</t>
        </r>
      </text>
    </comment>
    <comment ref="BK1" authorId="0">
      <text>
        <r>
          <rPr>
            <rFont val="Aptos Narrow"/>
            <b/>
            <color rgb="FFFFFFFF"/>
            <sz val="11"/>
          </rPr>
          <t>TRUE when we deliberately chose not to transmit.</t>
        </r>
      </text>
    </comment>
    <comment ref="BL1" authorId="0">
      <text>
        <r>
          <rPr>
            <rFont val="Aptos Narrow"/>
            <b/>
            <color rgb="FFFFFFFF"/>
            <sz val="11"/>
          </rPr>
          <t>TRUE when some documented exception was formally invoked on this delivery -- i.e. a human or a rule picked it up.</t>
        </r>
      </text>
    </comment>
    <comment ref="BM1" authorId="0">
      <text>
        <r>
          <rPr>
            <rFont val="Aptos Narrow"/>
            <b/>
            <color rgb="FFFFFFFF"/>
            <sz val="11"/>
          </rPr>
          <t>TRUE when a delivery failed and no documented exception was invoked. The abandoned-bounce witness.</t>
        </r>
      </text>
    </comment>
    <comment ref="BN1" authorId="0">
      <text>
        <r>
          <rPr>
            <rFont val="Aptos Narrow"/>
            <b/>
            <color rgb="FFFFFFFF"/>
            <sz val="11"/>
          </rPr>
          <t>Carries the execution id on abandoned failures; empty string otherwise.</t>
        </r>
      </text>
    </comment>
    <comment ref="BO1" authorId="0">
      <text>
        <r>
          <rPr>
            <rFont val="Aptos Narrow"/>
            <b/>
            <color rgb="FFFFFFFF"/>
            <sz val="11"/>
          </rPr>
          <t>Carries the execution id on confirmed-delivered messages; empty string otherwise.</t>
        </r>
      </text>
    </comment>
    <comment ref="BP1" authorId="0">
      <text>
        <r>
          <rPr>
            <rFont val="Aptos Narrow"/>
            <b/>
            <color rgb="FFFFFFFF"/>
            <sz val="11"/>
          </rPr>
          <t>Whether the template used for this delivery was fully sendable under a current, matching approval.</t>
        </r>
      </text>
    </comment>
    <comment ref="BQ1" authorId="0">
      <text>
        <r>
          <rPr>
            <rFont val="Aptos Narrow"/>
            <b/>
            <color rgb="FFFFFFFF"/>
            <sz val="11"/>
          </rPr>
          <t>TRUE when a message was transmitted from a template that was not validly sendable at the time. The drift witness.</t>
        </r>
      </text>
    </comment>
    <comment ref="BR1" authorId="0">
      <text>
        <r>
          <rPr>
            <rFont val="Aptos Narrow"/>
            <b/>
            <color rgb="FFFFFFFF"/>
            <sz val="11"/>
          </rPr>
          <t>Carries the template id on drifted sends; empty string otherwise.</t>
        </r>
      </text>
    </comment>
    <comment ref="BS1" authorId="0">
      <text>
        <r>
          <rPr>
            <rFont val="Aptos Narrow"/>
            <b/>
            <color rgb="FFFFFFFF"/>
            <sz val="11"/>
          </rPr>
          <t>TRUE when this message landed before 08:00 or after 18:00 in the recipient's local time.</t>
        </r>
      </text>
    </comment>
    <comment ref="BT1" authorId="0">
      <text>
        <r>
          <rPr>
            <rFont val="Aptos Narrow"/>
            <b/>
            <color rgb="FFFFFFFF"/>
            <sz val="11"/>
          </rPr>
          <t>TRUE when a message actually reached someone and no acknowledgement came back.</t>
        </r>
      </text>
    </comment>
    <comment ref="BU1" authorId="0">
      <text>
        <r>
          <rPr>
            <rFont val="Aptos Narrow"/>
            <b/>
            <color rgb="FFFFFFFF"/>
            <sz val="11"/>
          </rPr>
          <t>TRUE when an unanswered message was delivered outside business hours -- a timing hypothesis for the silence.</t>
        </r>
      </text>
    </comment>
    <comment ref="BV1" authorId="0">
      <text>
        <r>
          <rPr>
            <rFont val="Aptos Narrow"/>
            <b/>
            <color rgb="FFFFFFFF"/>
            <sz val="11"/>
          </rPr>
          <t>TRUE when a message was delivered at a reasonable hour and still drew no response.</t>
        </r>
      </text>
    </comment>
    <comment ref="BW1" authorId="0">
      <text>
        <r>
          <rPr>
            <rFont val="Aptos Narrow"/>
            <b/>
            <color rgb="FFFFFFFF"/>
            <sz val="11"/>
          </rPr>
          <t>The template id when this delivery went unanswered, otherwise empty string.</t>
        </r>
      </text>
    </comment>
    <comment ref="BX1" authorId="0">
      <text>
        <r>
          <rPr>
            <rFont val="Aptos Narrow"/>
            <b/>
            <color rgb="FFFFFFFF"/>
            <sz val="11"/>
          </rPr>
          <t>The template id when this delivery actually reached someone.</t>
        </r>
      </text>
    </comment>
    <comment ref="BY1" authorId="0">
      <text>
        <r>
          <rPr>
            <rFont val="Aptos Narrow"/>
            <b/>
            <color rgb="FFFFFFFF"/>
            <sz val="11"/>
          </rPr>
          <t>The agent whose approval authorized this specific transmission, frozen at send time.</t>
        </r>
      </text>
    </comment>
    <comment ref="BZ1" authorId="0">
      <text>
        <r>
          <rPr>
            <rFont val="Aptos Narrow"/>
            <b/>
            <color rgb="FFFFFFFF"/>
            <sz val="11"/>
          </rPr>
          <t>The role that agent held when they approved, frozen at send time.</t>
        </r>
      </text>
    </comment>
    <comment ref="CA1" authorId="0">
      <text>
        <r>
          <rPr>
            <rFont val="Aptos Narrow"/>
            <b/>
            <color rgb="FFFFFFFF"/>
            <sz val="11"/>
          </rPr>
          <t>When the relied-upon approval was granted, frozen at send time.</t>
        </r>
      </text>
    </comment>
    <comment ref="CB1" authorId="0">
      <text>
        <r>
          <rPr>
            <rFont val="Aptos Narrow"/>
            <b/>
            <color rgb="FFFFFFFF"/>
            <sz val="11"/>
          </rPr>
          <t>TRUE when the approval we relied on was granted before the message went out.</t>
        </r>
      </text>
    </comment>
    <comment ref="CC1" authorId="0">
      <text>
        <r>
          <rPr>
            <rFont val="Aptos Narrow"/>
            <b/>
            <color rgb="FFFFFFFF"/>
            <sz val="11"/>
          </rPr>
          <t>TRUE when this delivery carries a complete frozen record of who authorized it and when.</t>
        </r>
      </text>
    </comment>
    <comment ref="CD1" authorId="0">
      <text>
        <r>
          <rPr>
            <rFont val="Aptos Narrow"/>
            <b/>
            <color rgb="FFFFFFFF"/>
            <sz val="11"/>
          </rPr>
          <t>TRUE when we have no frozen evidence and the only available answer comes from recomputing against today's template state.</t>
        </r>
      </text>
    </comment>
    <comment ref="CE1" authorId="0">
      <text>
        <r>
          <rPr>
            <rFont val="Aptos Narrow"/>
            <b/>
            <color rgb="FFFFFFFF"/>
            <sz val="11"/>
          </rPr>
          <t>The template's most recent approval time as it stands NOW, for comparison against what was approved at send.</t>
        </r>
      </text>
    </comment>
    <comment ref="CF1" authorId="0">
      <text>
        <r>
          <rPr>
            <rFont val="Aptos Narrow"/>
            <b/>
            <color rgb="FFFFFFFF"/>
            <sz val="11"/>
          </rPr>
          <t>TRUE when the template has picked up a newer approval since this message was transmitted.</t>
        </r>
      </text>
    </comment>
    <comment ref="CG1" authorId="0">
      <text>
        <r>
          <rPr>
            <rFont val="Aptos Narrow"/>
            <b/>
            <color rgb="FFFFFFFF"/>
            <sz val="11"/>
          </rPr>
          <t>TRUE when we assert this send was approved, hold no frozen evidence, and the template has been re-approved since. The claim cannot be substantiated from the record.</t>
        </r>
      </text>
    </comment>
    <comment ref="CH1" authorId="0">
      <text>
        <r>
          <rPr>
            <rFont val="Aptos Narrow"/>
            <b/>
            <color rgb="FFFFFFFF"/>
            <sz val="11"/>
          </rPr>
          <t>When I sent a follow-up reminder about this unacknowledged message. Empty when I never did.</t>
        </r>
      </text>
    </comment>
    <comment ref="CI1" authorId="0">
      <text>
        <r>
          <rPr>
            <rFont val="Aptos Narrow"/>
            <b/>
            <color rgb="FFFFFFFF"/>
            <sz val="11"/>
          </rPr>
          <t>How many reminders I have sent for this delivery.</t>
        </r>
      </text>
    </comment>
    <comment ref="CJ1" authorId="0">
      <text>
        <r>
          <rPr>
            <rFont val="Aptos Narrow"/>
            <b/>
            <color rgb="FFFFFFFF"/>
            <sz val="11"/>
          </rPr>
          <t>TRUE when at least one reminder went out for this delivery.</t>
        </r>
      </text>
    </comment>
    <comment ref="CK1" authorId="0">
      <text>
        <r>
          <rPr>
            <rFont val="Aptos Narrow"/>
            <b/>
            <color rgb="FFFFFFFF"/>
            <sz val="11"/>
          </rPr>
          <t>TRUE when a message actually reached someone, carried an acknowledgement obligation, and has not been acknowledged.</t>
        </r>
      </text>
    </comment>
    <comment ref="CL1" authorId="0">
      <text>
        <r>
          <rPr>
            <rFont val="Aptos Narrow"/>
            <b/>
            <color rgb="FFFFFFFF"/>
            <sz val="11"/>
          </rPr>
          <t>How long this acknowledgement has been outstanding.</t>
        </r>
      </text>
    </comment>
    <comment ref="CM1" authorId="0">
      <text>
        <r>
          <rPr>
            <rFont val="Aptos Narrow"/>
            <b/>
            <color rgb="FFFFFFFF"/>
            <sz val="11"/>
          </rPr>
          <t>TRUE when an acknowledgement has been outstanding for more than 7 days and I have never sent a reminder.</t>
        </r>
      </text>
    </comment>
    <comment ref="CN1" authorId="0">
      <text>
        <r>
          <rPr>
            <rFont val="Aptos Narrow"/>
            <b/>
            <color rgb="FFFFFFFF"/>
            <sz val="11"/>
          </rPr>
          <t>TRUE when I have sent three or more reminders and still have no acknowledgement -- the point at which this stops being my work and becomes a human escalation.</t>
        </r>
      </text>
    </comment>
    <comment ref="CO1" authorId="0">
      <text>
        <r>
          <rPr>
            <rFont val="Aptos Narrow"/>
            <b/>
            <color rgb="FFFFFFFF"/>
            <sz val="11"/>
          </rPr>
          <t>TRUE when follow-up is exhausted and no exception has been invoked to close out the obligation.</t>
        </r>
      </text>
    </comment>
    <comment ref="CP1" authorId="0">
      <text>
        <r>
          <rPr>
            <rFont val="Aptos Narrow"/>
            <b/>
            <color rgb="FFFFFFFF"/>
            <sz val="11"/>
          </rPr>
          <t>Extension IRI; per-recipient delivery events are not a PKO 2.0.0 native class.</t>
        </r>
      </text>
    </comment>
    <comment ref="B1" authorId="0">
      <text>
        <r>
          <rPr>
            <rFont val="Aptos Narrow"/>
            <b/>
            <color rgb="FFFFFFFF"/>
            <sz val="11"/>
          </rPr>
          <t>Human-readable calculated display alias for the MessageDeliveries row.</t>
        </r>
      </text>
    </comment>
  </commentList>
</comments>
</file>

<file path=xl/comments6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TemplateApprovals row.</t>
        </r>
      </text>
    </comment>
    <comment ref="C1" authorId="0">
      <text>
        <r>
          <rPr>
            <rFont val="Aptos Narrow"/>
            <b/>
            <color rgb="FFFFFFFF"/>
            <sz val="11"/>
          </rPr>
          <t>Template this decision applies to.</t>
        </r>
      </text>
    </comment>
    <comment ref="D1" authorId="0">
      <text>
        <r>
          <rPr>
            <rFont val="Aptos Narrow"/>
            <b/>
            <color rgb="FFFFFFFF"/>
            <sz val="11"/>
          </rPr>
          <t>Agent who made the approval decision.</t>
        </r>
      </text>
    </comment>
    <comment ref="E1" authorId="0">
      <text>
        <r>
          <rPr>
            <rFont val="Aptos Narrow"/>
            <b/>
            <color rgb="FFFFFFFF"/>
            <sz val="11"/>
          </rPr>
          <t>Role the agent was acting in when deciding.</t>
        </r>
      </text>
    </comment>
    <comment ref="F1" authorId="0">
      <text>
        <r>
          <rPr>
            <rFont val="Aptos Narrow"/>
            <b/>
            <color rgb="FFFFFFFF"/>
            <sz val="11"/>
          </rPr>
          <t>Approved, Rejected, or Withdrawn.</t>
        </r>
      </text>
    </comment>
    <comment ref="G1" authorId="0">
      <text>
        <r>
          <rPr>
            <rFont val="Aptos Narrow"/>
            <b/>
            <color rgb="FFFFFFFF"/>
            <sz val="11"/>
          </rPr>
          <t>When the decision was recorded.</t>
        </r>
      </text>
    </comment>
    <comment ref="H1" authorId="0">
      <text>
        <r>
          <rPr>
            <rFont val="Aptos Narrow"/>
            <b/>
            <color rgb="FFFFFFFF"/>
            <sz val="11"/>
          </rPr>
          <t>Digest of the exact template body that was approved, so later edits are detectable.</t>
        </r>
      </text>
    </comment>
    <comment ref="I1" authorId="0">
      <text>
        <r>
          <rPr>
            <rFont val="Aptos Narrow"/>
            <b/>
            <color rgb="FFFFFFFF"/>
            <sz val="11"/>
          </rPr>
          <t>Approver's rationale or conditions.</t>
        </r>
      </text>
    </comment>
    <comment ref="J1" authorId="0">
      <text>
        <r>
          <rPr>
            <rFont val="Aptos Narrow"/>
            <b/>
            <color rgb="FFFFFFFF"/>
            <sz val="11"/>
          </rPr>
          <t>TRUE when this decision row is an approval rather than a rejection or withdrawal.</t>
        </r>
      </text>
    </comment>
    <comment ref="K1" authorId="0">
      <text>
        <r>
          <rPr>
            <rFont val="Aptos Narrow"/>
            <b/>
            <color rgb="FFFFFFFF"/>
            <sz val="11"/>
          </rPr>
          <t>The communication policy governing the template being approved.</t>
        </r>
      </text>
    </comment>
    <comment ref="L1" authorId="0">
      <text>
        <r>
          <rPr>
            <rFont val="Aptos Narrow"/>
            <b/>
            <color rgb="FFFFFFFF"/>
            <sz val="11"/>
          </rPr>
          <t>The role the governing policy designates as approver -- communications-manager for both current policies.</t>
        </r>
      </text>
    </comment>
    <comment ref="M1" authorId="0">
      <text>
        <r>
          <rPr>
            <rFont val="Aptos Narrow"/>
            <b/>
            <color rgb="FFFFFFFF"/>
            <sz val="11"/>
          </rPr>
          <t>TRUE when the approving role matches the role the policy designates.</t>
        </r>
      </text>
    </comment>
    <comment ref="N1" authorId="0">
      <text>
        <r>
          <rPr>
            <rFont val="Aptos Narrow"/>
            <b/>
            <color rgb="FFFFFFFF"/>
            <sz val="11"/>
          </rPr>
          <t>Carries the template id only on approvals made by the correct role; empty string otherwise.</t>
        </r>
      </text>
    </comment>
    <comment ref="O1" authorId="0">
      <text>
        <r>
          <rPr>
            <rFont val="Aptos Narrow"/>
            <b/>
            <color rgb="FFFFFFFF"/>
            <sz val="11"/>
          </rPr>
          <t>Extension IRI; template approval events are not a PKO 2.0.0 native class.</t>
        </r>
      </text>
    </comment>
    <comment ref="B1" authorId="0">
      <text>
        <r>
          <rPr>
            <rFont val="Aptos Narrow"/>
            <b/>
            <color rgb="FFFFFFFF"/>
            <sz val="11"/>
          </rPr>
          <t>Human-readable calculated display alias for the TemplateApprovals row.</t>
        </r>
      </text>
    </comment>
  </commentList>
</comments>
</file>

<file path=xl/comments6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SendIntents row.</t>
        </r>
      </text>
    </comment>
    <comment ref="C1" authorId="0">
      <text>
        <r>
          <rPr>
            <rFont val="Aptos Narrow"/>
            <b/>
            <color rgb="FFFFFFFF"/>
            <sz val="11"/>
          </rPr>
          <t>Execution this send intent belongs to.</t>
        </r>
      </text>
    </comment>
    <comment ref="D1" authorId="0">
      <text>
        <r>
          <rPr>
            <rFont val="Aptos Narrow"/>
            <b/>
            <color rgb="FFFFFFFF"/>
            <sz val="11"/>
          </rPr>
          <t>Step execution evaluating this intent.</t>
        </r>
      </text>
    </comment>
    <comment ref="E1" authorId="0">
      <text>
        <r>
          <rPr>
            <rFont val="Aptos Narrow"/>
            <b/>
            <color rgb="FFFFFFFF"/>
            <sz val="11"/>
          </rPr>
          <t>Intended recipient.</t>
        </r>
      </text>
    </comment>
    <comment ref="F1" authorId="0">
      <text>
        <r>
          <rPr>
            <rFont val="Aptos Narrow"/>
            <b/>
            <color rgb="FFFFFFFF"/>
            <sz val="11"/>
          </rPr>
          <t>Template the pipeline intends to render and send.</t>
        </r>
      </text>
    </comment>
    <comment ref="G1" authorId="0">
      <text>
        <r>
          <rPr>
            <rFont val="Aptos Narrow"/>
            <b/>
            <color rgb="FFFFFFFF"/>
            <sz val="11"/>
          </rPr>
          <t>The fully rendered text the pipeline intends to transmit, before transmission.</t>
        </r>
      </text>
    </comment>
    <comment ref="H1" authorId="0">
      <text>
        <r>
          <rPr>
            <rFont val="Aptos Narrow"/>
            <b/>
            <color rgb="FFFFFFFF"/>
            <sz val="11"/>
          </rPr>
          <t>Hour 0-23 in the recipient's local timezone at which the pipeline intends to transmit.</t>
        </r>
      </text>
    </comment>
    <comment ref="I1" authorId="0">
      <text>
        <r>
          <rPr>
            <rFont val="Aptos Narrow"/>
            <b/>
            <color rgb="FFFFFFFF"/>
            <sz val="11"/>
          </rPr>
          <t>When the pipeline evaluated the gates for this intent.</t>
        </r>
      </text>
    </comment>
    <comment ref="J1" authorId="0">
      <text>
        <r>
          <rPr>
            <rFont val="Aptos Narrow"/>
            <b/>
            <color rgb="FFFFFFFF"/>
            <sz val="11"/>
          </rPr>
          <t>The delivery record produced from this intent, whether transmitted or suppressed.</t>
        </r>
      </text>
    </comment>
    <comment ref="K1" authorId="0">
      <text>
        <r>
          <rPr>
            <rFont val="Aptos Narrow"/>
            <b/>
            <color rgb="FFFFFFFF"/>
            <sz val="11"/>
          </rPr>
          <t>The communication policy governing the template this intent would send.</t>
        </r>
      </text>
    </comment>
    <comment ref="L1" authorId="0">
      <text>
        <r>
          <rPr>
            <rFont val="Aptos Narrow"/>
            <b/>
            <color rgb="FFFFFFFF"/>
            <sz val="11"/>
          </rPr>
          <t>Channel this intent would transmit on.</t>
        </r>
      </text>
    </comment>
    <comment ref="M1" authorId="0">
      <text>
        <r>
          <rPr>
            <rFont val="Aptos Narrow"/>
            <b/>
            <color rgb="FFFFFFFF"/>
            <sz val="11"/>
          </rPr>
          <t>Whether the governing policy is currently Active rather than Draft, Suspended, or Retired.</t>
        </r>
      </text>
    </comment>
    <comment ref="N1" authorId="0">
      <text>
        <r>
          <rPr>
            <rFont val="Aptos Narrow"/>
            <b/>
            <color rgb="FFFFFFFF"/>
            <sz val="11"/>
          </rPr>
          <t>Whether the governing policy requires consent for this channel.</t>
        </r>
      </text>
    </comment>
    <comment ref="O1" authorId="0">
      <text>
        <r>
          <rPr>
            <rFont val="Aptos Narrow"/>
            <b/>
            <color rgb="FFFFFFFF"/>
            <sz val="11"/>
          </rPr>
          <t>Whether the intended recipient has active SMS consent on record.</t>
        </r>
      </text>
    </comment>
    <comment ref="P1" authorId="0">
      <text>
        <r>
          <rPr>
            <rFont val="Aptos Narrow"/>
            <b/>
            <color rgb="FFFFFFFF"/>
            <sz val="11"/>
          </rPr>
          <t>TRUE when either the channel does not require consent, or the recipient has granted it.</t>
        </r>
      </text>
    </comment>
    <comment ref="Q1" authorId="0">
      <text>
        <r>
          <rPr>
            <rFont val="Aptos Narrow"/>
            <b/>
            <color rgb="FFFFFFFF"/>
            <sz val="11"/>
          </rPr>
          <t>Whether a mobile number is on file for the intended recipient.</t>
        </r>
      </text>
    </comment>
    <comment ref="R1" authorId="0">
      <text>
        <r>
          <rPr>
            <rFont val="Aptos Narrow"/>
            <b/>
            <color rgb="FFFFFFFF"/>
            <sz val="11"/>
          </rPr>
          <t>Whether an email address is on file for the intended recipient.</t>
        </r>
      </text>
    </comment>
    <comment ref="S1" authorId="0">
      <text>
        <r>
          <rPr>
            <rFont val="Aptos Narrow"/>
            <b/>
            <color rgb="FFFFFFFF"/>
            <sz val="11"/>
          </rPr>
          <t>TRUE when the recipient is reachable on the channel this intent would use.</t>
        </r>
      </text>
    </comment>
    <comment ref="T1" authorId="0">
      <text>
        <r>
          <rPr>
            <rFont val="Aptos Narrow"/>
            <b/>
            <color rgb="FFFFFFFF"/>
            <sz val="11"/>
          </rPr>
          <t>TRUE when the policy is active, consent is satisfied, and the recipient is reachable on this channel. The channel-permission gate.</t>
        </r>
      </text>
    </comment>
    <comment ref="U1" authorId="0">
      <text>
        <r>
          <rPr>
            <rFont val="Aptos Narrow"/>
            <b/>
            <color rgb="FFFFFFFF"/>
            <sz val="11"/>
          </rPr>
          <t>Quiet-hours start hour from the governing policy.</t>
        </r>
      </text>
    </comment>
    <comment ref="V1" authorId="0">
      <text>
        <r>
          <rPr>
            <rFont val="Aptos Narrow"/>
            <b/>
            <color rgb="FFFFFFFF"/>
            <sz val="11"/>
          </rPr>
          <t>Quiet-hours end hour from the governing policy.</t>
        </r>
      </text>
    </comment>
    <comment ref="W1" authorId="0">
      <text>
        <r>
          <rPr>
            <rFont val="Aptos Narrow"/>
            <b/>
            <color rgb="FFFFFFFF"/>
            <sz val="11"/>
          </rPr>
          <t>TRUE when the governing policy declares a real quiet-hours window.</t>
        </r>
      </text>
    </comment>
    <comment ref="X1" authorId="0">
      <text>
        <r>
          <rPr>
            <rFont val="Aptos Narrow"/>
            <b/>
            <color rgb="FFFFFFFF"/>
            <sz val="11"/>
          </rPr>
          <t>TRUE when the quiet window crosses midnight.</t>
        </r>
      </text>
    </comment>
    <comment ref="Y1" authorId="0">
      <text>
        <r>
          <rPr>
            <rFont val="Aptos Narrow"/>
            <b/>
            <color rgb="FFFFFFFF"/>
            <sz val="11"/>
          </rPr>
          <t>TRUE when the proposed recipient-local send hour falls inside the forbidden window.</t>
        </r>
      </text>
    </comment>
    <comment ref="Z1" authorId="0">
      <text>
        <r>
          <rPr>
            <rFont val="Aptos Narrow"/>
            <b/>
            <color rgb="FFFFFFFF"/>
            <sz val="11"/>
          </rPr>
          <t>TRUE when transmitting now is permitted on timing grounds. The timing gate.</t>
        </r>
      </text>
    </comment>
    <comment ref="AA1" authorId="0">
      <text>
        <r>
          <rPr>
            <rFont val="Aptos Narrow"/>
            <b/>
            <color rgb="FFFFFFFF"/>
            <sz val="11"/>
          </rPr>
          <t>How many hours the pipeline must defer before transmission becomes permitted; 0 when already permitted.</t>
        </r>
      </text>
    </comment>
    <comment ref="AB1" authorId="0">
      <text>
        <r>
          <rPr>
            <rFont val="Aptos Narrow"/>
            <b/>
            <color rgb="FFFFFFFF"/>
            <sz val="11"/>
          </rPr>
          <t>Per-segment character limit from the governing policy.</t>
        </r>
      </text>
    </comment>
    <comment ref="AC1" authorId="0">
      <text>
        <r>
          <rPr>
            <rFont val="Aptos Narrow"/>
            <b/>
            <color rgb="FFFFFFFF"/>
            <sz val="11"/>
          </rPr>
          <t>Segment ceiling from the governing policy.</t>
        </r>
      </text>
    </comment>
    <comment ref="AD1" authorId="0">
      <text>
        <r>
          <rPr>
            <rFont val="Aptos Narrow"/>
            <b/>
            <color rgb="FFFFFFFF"/>
            <sz val="11"/>
          </rPr>
          <t>Character count of ProposedBody, written by the pipeline at render time.</t>
        </r>
      </text>
    </comment>
    <comment ref="AE1" authorId="0">
      <text>
        <r>
          <rPr>
            <rFont val="Aptos Narrow"/>
            <b/>
            <color rgb="FFFFFFFF"/>
            <sz val="11"/>
          </rPr>
          <t>Number of channel segments ProposedBody will occupy, computed by the pipeline at render time.</t>
        </r>
      </text>
    </comment>
    <comment ref="AF1" authorId="0">
      <text>
        <r>
          <rPr>
            <rFont val="Aptos Narrow"/>
            <b/>
            <color rgb="FFFFFFFF"/>
            <sz val="11"/>
          </rPr>
          <t>TRUE when the proposed text is non-empty and fits within the segment ceiling.</t>
        </r>
      </text>
    </comment>
    <comment ref="AG1" authorId="0">
      <text>
        <r>
          <rPr>
            <rFont val="Aptos Narrow"/>
            <b/>
            <color rgb="FFFFFFFF"/>
            <sz val="11"/>
          </rPr>
          <t>Opt-out phrase the governing policy requires in every message on this channel.</t>
        </r>
      </text>
    </comment>
    <comment ref="AH1" authorId="0">
      <text>
        <r>
          <rPr>
            <rFont val="Aptos Narrow"/>
            <b/>
            <color rgb="FFFFFFFF"/>
            <sz val="11"/>
          </rPr>
          <t>Character position of the required opt-out phrase within ProposedBody; 0 when absent. Written by the pipeline at render time.</t>
        </r>
      </text>
    </comment>
    <comment ref="AI1" authorId="0">
      <text>
        <r>
          <rPr>
            <rFont val="Aptos Narrow"/>
            <b/>
            <color rgb="FFFFFFFF"/>
            <sz val="11"/>
          </rPr>
          <t>TRUE when no opt-out is required, or the required phrase is present within the first segment.</t>
        </r>
      </text>
    </comment>
    <comment ref="AJ1" authorId="0">
      <text>
        <r>
          <rPr>
            <rFont val="Aptos Narrow"/>
            <b/>
            <color rgb="FFFFFFFF"/>
            <sz val="11"/>
          </rPr>
          <t>TRUE when the proposed text satisfies every content rule of the governing channel policy.</t>
        </r>
      </text>
    </comment>
    <comment ref="AK1" authorId="0">
      <text>
        <r>
          <rPr>
            <rFont val="Aptos Narrow"/>
            <b/>
            <color rgb="FFFFFFFF"/>
            <sz val="11"/>
          </rPr>
          <t>Whether the template carries a current, properly-authorized, non-drifted approval.</t>
        </r>
      </text>
    </comment>
    <comment ref="AL1" authorId="0">
      <text>
        <r>
          <rPr>
            <rFont val="Aptos Narrow"/>
            <b/>
            <color rgb="FFFFFFFF"/>
            <sz val="11"/>
          </rPr>
          <t>Whether legal review has passed for the execution this intent belongs to.</t>
        </r>
      </text>
    </comment>
    <comment ref="AM1" authorId="0">
      <text>
        <r>
          <rPr>
            <rFont val="Aptos Narrow"/>
            <b/>
            <color rgb="FFFFFFFF"/>
            <sz val="11"/>
          </rPr>
          <t>The role the governing policy designates as the approving authority.</t>
        </r>
      </text>
    </comment>
    <comment ref="AN1" authorId="0">
      <text>
        <r>
          <rPr>
            <rFont val="Aptos Narrow"/>
            <b/>
            <color rgb="FFFFFFFF"/>
            <sz val="11"/>
          </rPr>
          <t>Whether the agent currently filling the designated approval role is Human, AIAgent, or AutomatedPipeline.</t>
        </r>
      </text>
    </comment>
    <comment ref="AO1" authorId="0">
      <text>
        <r>
          <rPr>
            <rFont val="Aptos Narrow"/>
            <b/>
            <color rgb="FFFFFFFF"/>
            <sz val="11"/>
          </rPr>
          <t>TRUE when the designated approval role is currently held by a human agent.</t>
        </r>
      </text>
    </comment>
    <comment ref="AP1" authorId="0">
      <text>
        <r>
          <rPr>
            <rFont val="Aptos Narrow"/>
            <b/>
            <color rgb="FFFFFFFF"/>
            <sz val="11"/>
          </rPr>
          <t>TRUE only when the template is validly approved, legal review has cleared, and the approving role is held by a human. The authorization gate.</t>
        </r>
      </text>
    </comment>
    <comment ref="AQ1" authorId="0">
      <text>
        <r>
          <rPr>
            <rFont val="Aptos Narrow"/>
            <b/>
            <color rgb="FFFFFFFF"/>
            <sz val="11"/>
          </rPr>
          <t>TRUE only when all four gates pass. THE single column the pipeline reads before transmitting.</t>
        </r>
      </text>
    </comment>
    <comment ref="AR1" authorId="0">
      <text>
        <r>
          <rPr>
            <rFont val="Aptos Narrow"/>
            <b/>
            <color rgb="FFFFFFFF"/>
            <sz val="11"/>
          </rPr>
          <t>Names the first gate that refused, for the suppression reason; empty string when cleared.</t>
        </r>
      </text>
    </comment>
    <comment ref="AS1" authorId="0">
      <text>
        <r>
          <rPr>
            <rFont val="Aptos Narrow"/>
            <b/>
            <color rgb="FFFFFFFF"/>
            <sz val="11"/>
          </rPr>
          <t>TRUE when this intent produced a delivery record of any status.</t>
        </r>
      </text>
    </comment>
    <comment ref="AT1" authorId="0">
      <text>
        <r>
          <rPr>
            <rFont val="Aptos Narrow"/>
            <b/>
            <color rgb="FFFFFFFF"/>
            <sz val="11"/>
          </rPr>
          <t>Whether the delivery produced from this intent actually left our systems.</t>
        </r>
      </text>
    </comment>
    <comment ref="AU1" authorId="0">
      <text>
        <r>
          <rPr>
            <rFont val="Aptos Narrow"/>
            <b/>
            <color rgb="FFFFFFFF"/>
            <sz val="11"/>
          </rPr>
          <t>TRUE when a gate refused and the message was transmitted regardless. The override witness.</t>
        </r>
      </text>
    </comment>
    <comment ref="AV1" authorId="0">
      <text>
        <r>
          <rPr>
            <rFont val="Aptos Narrow"/>
            <b/>
            <color rgb="FFFFFFFF"/>
            <sz val="11"/>
          </rPr>
          <t>TRUE when a gate refused and no delivery record of any kind was produced -- the recipient vanished from the run.</t>
        </r>
      </text>
    </comment>
    <comment ref="AW1" authorId="0">
      <text>
        <r>
          <rPr>
            <rFont val="Aptos Narrow"/>
            <b/>
            <color rgb="FFFFFFFF"/>
            <sz val="11"/>
          </rPr>
          <t>The documented exception invoked on the delivery produced from this intent, if any.</t>
        </r>
      </text>
    </comment>
    <comment ref="AX1" authorId="0">
      <text>
        <r>
          <rPr>
            <rFont val="Aptos Narrow"/>
            <b/>
            <color rgb="FFFFFFFF"/>
            <sz val="11"/>
          </rPr>
          <t>TRUE when the suppression produced by this refusal cited a documented exception.</t>
        </r>
      </text>
    </comment>
    <comment ref="AY1" authorId="0">
      <text>
        <r>
          <rPr>
            <rFont val="Aptos Narrow"/>
            <b/>
            <color rgb="FFFFFFFF"/>
            <sz val="11"/>
          </rPr>
          <t>TRUE when a refusal correctly resulted in a non-transmitted delivery record citing a documented exception. The positive witness.</t>
        </r>
      </text>
    </comment>
    <comment ref="AZ1" authorId="0">
      <text>
        <r>
          <rPr>
            <rFont val="Aptos Narrow"/>
            <b/>
            <color rgb="FFFFFFFF"/>
            <sz val="11"/>
          </rPr>
          <t>Carries the execution id on any mishandled refusal; empty string otherwise.</t>
        </r>
      </text>
    </comment>
    <comment ref="BA1" authorId="0">
      <text>
        <r>
          <rPr>
            <rFont val="Aptos Narrow"/>
            <b/>
            <color rgb="FFFFFFFF"/>
            <sz val="11"/>
          </rPr>
          <t>The procedure execution id for every intent, used as the campaign rollup key.</t>
        </r>
      </text>
    </comment>
    <comment ref="BB1" authorId="0">
      <text>
        <r>
          <rPr>
            <rFont val="Aptos Narrow"/>
            <b/>
            <color rgb="FFFFFFFF"/>
            <sz val="11"/>
          </rPr>
          <t>The execution id when this intent actually reached a person, otherwise empty string.</t>
        </r>
      </text>
    </comment>
    <comment ref="BC1" authorId="0">
      <text>
        <r>
          <rPr>
            <rFont val="Aptos Narrow"/>
            <b/>
            <color rgb="FFFFFFFF"/>
            <sz val="11"/>
          </rPr>
          <t>The execution id when this intent was refused and left no record at all.</t>
        </r>
      </text>
    </comment>
    <comment ref="BD1" authorId="0">
      <text>
        <r>
          <rPr>
            <rFont val="Aptos Narrow"/>
            <b/>
            <color rgb="FFFFFFFF"/>
            <sz val="11"/>
          </rPr>
          <t>TRUE when the template carried a valid approval at the moment this intent was evaluated.</t>
        </r>
      </text>
    </comment>
    <comment ref="BE1" authorId="0">
      <text>
        <r>
          <rPr>
            <rFont val="Aptos Narrow"/>
            <b/>
            <color rgb="FFFFFFFF"/>
            <sz val="11"/>
          </rPr>
          <t>TRUE when the pipeline refused an intent on content grounds even though the template was approved.</t>
        </r>
      </text>
    </comment>
    <comment ref="BF1" authorId="0">
      <text>
        <r>
          <rPr>
            <rFont val="Aptos Narrow"/>
            <b/>
            <color rgb="FFFFFFFF"/>
            <sz val="11"/>
          </rPr>
          <t>TRUE when the only content failure was a missing or mispositioned opt-out phrase.</t>
        </r>
      </text>
    </comment>
    <comment ref="BG1" authorId="0">
      <text>
        <r>
          <rPr>
            <rFont val="Aptos Narrow"/>
            <b/>
            <color rgb="FFFFFFFF"/>
            <sz val="11"/>
          </rPr>
          <t>TRUE when the refusal came from a communications rule I own -- content, length, opt-out, quiet hours.</t>
        </r>
      </text>
    </comment>
    <comment ref="BH1" authorId="0">
      <text>
        <r>
          <rPr>
            <rFont val="Aptos Narrow"/>
            <b/>
            <color rgb="FFFFFFFF"/>
            <sz val="11"/>
          </rPr>
          <t>TRUE when the refusal came from consent, reachability, or authorization -- none of which I can fix by editing a template.</t>
        </r>
      </text>
    </comment>
    <comment ref="BI1" authorId="0">
      <text>
        <r>
          <rPr>
            <rFont val="Aptos Narrow"/>
            <b/>
            <color rgb="FFFFFFFF"/>
            <sz val="11"/>
          </rPr>
          <t>Whether the approving human was informed that this intent was refused.</t>
        </r>
      </text>
    </comment>
    <comment ref="BJ1" authorId="0">
      <text>
        <r>
          <rPr>
            <rFont val="Aptos Narrow"/>
            <b/>
            <color rgb="FFFFFFFF"/>
            <sz val="11"/>
          </rPr>
          <t>TRUE when a refusal I own and could have fixed was never surfaced to me.</t>
        </r>
      </text>
    </comment>
    <comment ref="BK1" authorId="0">
      <text>
        <r>
          <rPr>
            <rFont val="Aptos Narrow"/>
            <b/>
            <color rgb="FFFFFFFF"/>
            <sz val="11"/>
          </rPr>
          <t>TRUE when the pipeline overrode a valid human approval on content grounds and told nobody.</t>
        </r>
      </text>
    </comment>
    <comment ref="BL1" authorId="0">
      <text>
        <r>
          <rPr>
            <rFont val="Aptos Narrow"/>
            <b/>
            <color rgb="FFFFFFFF"/>
            <sz val="11"/>
          </rPr>
          <t>The follow-up intent raised on a different channel after this one was refused. Stored as a raw identifier rather than an FK: SendIntents pointing at SendIntents would make the table self-referential in a way the DAG contract does not allow here.</t>
        </r>
      </text>
    </comment>
    <comment ref="BM1" authorId="0">
      <text>
        <r>
          <rPr>
            <rFont val="Aptos Narrow"/>
            <b/>
            <color rgb="FFFFFFFF"/>
            <sz val="11"/>
          </rPr>
          <t>TRUE when a follow-up intent on another channel was raised for this refused send.</t>
        </r>
      </text>
    </comment>
    <comment ref="BN1" authorId="0">
      <text>
        <r>
          <rPr>
            <rFont val="Aptos Narrow"/>
            <b/>
            <color rgb="FFFFFFFF"/>
            <sz val="11"/>
          </rPr>
          <t>Whether the follow-up intent itself passed all gates.</t>
        </r>
      </text>
    </comment>
    <comment ref="BO1" authorId="0">
      <text>
        <r>
          <rPr>
            <rFont val="Aptos Narrow"/>
            <b/>
            <color rgb="FFFFFFFF"/>
            <sz val="11"/>
          </rPr>
          <t>TRUE when a send was refused and no attempt was ever made on any other channel.</t>
        </r>
      </text>
    </comment>
    <comment ref="BP1" authorId="0">
      <text>
        <r>
          <rPr>
            <rFont val="Aptos Narrow"/>
            <b/>
            <color rgb="FFFFFFFF"/>
            <sz val="11"/>
          </rPr>
          <t>TRUE when the documented exception for this refusal prescribes a different-channel send as the correct handling.</t>
        </r>
      </text>
    </comment>
    <comment ref="BQ1" authorId="0">
      <text>
        <r>
          <rPr>
            <rFont val="Aptos Narrow"/>
            <b/>
            <color rgb="FFFFFFFF"/>
            <sz val="11"/>
          </rPr>
          <t>TRUE when the exception prescribed an alternate channel and an alternate intent was actually raised and cleared.</t>
        </r>
      </text>
    </comment>
    <comment ref="BR1" authorId="0">
      <text>
        <r>
          <rPr>
            <rFont val="Aptos Narrow"/>
            <b/>
            <color rgb="FFFFFFFF"/>
            <sz val="11"/>
          </rPr>
          <t>TRUE when we cited an exception that prescribed an alternate channel and then never performed it.</t>
        </r>
      </text>
    </comment>
    <comment ref="BS1" authorId="0">
      <text>
        <r>
          <rPr>
            <rFont val="Aptos Narrow"/>
            <b/>
            <color rgb="FFFFFFFF"/>
            <sz val="11"/>
          </rPr>
          <t>When this refusal was written to a durable record. Empty when no record was ever emitted.</t>
        </r>
      </text>
    </comment>
    <comment ref="BT1" authorId="0">
      <text>
        <r>
          <rPr>
            <rFont val="Aptos Narrow"/>
            <b/>
            <color rgb="FFFFFFFF"/>
            <sz val="11"/>
          </rPr>
          <t>The role informed that this send was refused.</t>
        </r>
      </text>
    </comment>
    <comment ref="BU1" authorId="0">
      <text>
        <r>
          <rPr>
            <rFont val="Aptos Narrow"/>
            <b/>
            <color rgb="FFFFFFFF"/>
            <sz val="11"/>
          </rPr>
          <t>TRUE when this refusal was written down somewhere a human can find it.</t>
        </r>
      </text>
    </comment>
    <comment ref="BV1" authorId="0">
      <text>
        <r>
          <rPr>
            <rFont val="Aptos Narrow"/>
            <b/>
            <color rgb="FFFFFFFF"/>
            <sz val="11"/>
          </rPr>
          <t>TRUE when a specific role was notified of this refusal.</t>
        </r>
      </text>
    </comment>
    <comment ref="BW1" authorId="0">
      <text>
        <r>
          <rPr>
            <rFont val="Aptos Narrow"/>
            <b/>
            <color rgb="FFFFFFFF"/>
            <sz val="11"/>
          </rPr>
          <t>TRUE when I refused a send and produced no delivery record, no refusal record, and no exception. The refusal left no trace of any kind.</t>
        </r>
      </text>
    </comment>
    <comment ref="BX1" authorId="0">
      <text>
        <r>
          <rPr>
            <rFont val="Aptos Narrow"/>
            <b/>
            <color rgb="FFFFFFFF"/>
            <sz val="11"/>
          </rPr>
          <t>TRUE when a refusal was recorded but no human role was ever told.</t>
        </r>
      </text>
    </comment>
    <comment ref="BY1" authorId="0">
      <text>
        <r>
          <rPr>
            <rFont val="Aptos Narrow"/>
            <b/>
            <color rgb="FFFFFFFF"/>
            <sz val="11"/>
          </rPr>
          <t>Echoes the role that should have been told about this refusal, but only when the refusal went unrecorded. Empty otherwise.</t>
        </r>
      </text>
    </comment>
    <comment ref="BZ1" authorId="0">
      <text>
        <r>
          <rPr>
            <rFont val="Aptos Narrow"/>
            <b/>
            <color rgb="FFFFFFFF"/>
            <sz val="11"/>
          </rPr>
          <t>Echoes the parent procedure execution only for refusals nobody recorded; empty otherwise.</t>
        </r>
      </text>
    </comment>
    <comment ref="CA1" authorId="0">
      <text>
        <r>
          <rPr>
            <rFont val="Aptos Narrow"/>
            <b/>
            <color rgb="FFFFFFFF"/>
            <sz val="11"/>
          </rPr>
          <t>The intent I raised when the quiet window reopened for this deferred send. Raw identifier rather than an FK: a SendIntents self-reference is not expressible as a relationship without making the table depend on itself.</t>
        </r>
      </text>
    </comment>
    <comment ref="CB1" authorId="0">
      <text>
        <r>
          <rPr>
            <rFont val="Aptos Narrow"/>
            <b/>
            <color rgb="FFFFFFFF"/>
            <sz val="11"/>
          </rPr>
          <t>TRUE when the timing gate is the reason this intent did not clear, and every other gate passed.</t>
        </r>
      </text>
    </comment>
    <comment ref="CC1" authorId="0">
      <text>
        <r>
          <rPr>
            <rFont val="Aptos Narrow"/>
            <b/>
            <color rgb="FFFFFFFF"/>
            <sz val="11"/>
          </rPr>
          <t>The evaluation context this row's time-dependent witnesses are judged under.</t>
        </r>
      </text>
    </comment>
    <comment ref="CD1" authorId="0">
      <text>
        <r>
          <rPr>
            <rFont val="Aptos Narrow"/>
            <b/>
            <color rgb="FFFFFFFF"/>
            <sz val="11"/>
          </rPr>
          <t>The evaluation instant this row's time-dependent witnesses are judged against.</t>
        </r>
      </text>
    </comment>
    <comment ref="CE1" authorId="0">
      <text>
        <r>
          <rPr>
            <rFont val="Aptos Narrow"/>
            <b/>
            <color rgb="FFFFFFFF"/>
            <sz val="11"/>
          </rPr>
          <t>TRUE when enough time has passed since evaluation that the quiet window this intent hit must have closed.</t>
        </r>
      </text>
    </comment>
    <comment ref="CF1" authorId="0">
      <text>
        <r>
          <rPr>
            <rFont val="Aptos Narrow"/>
            <b/>
            <color rgb="FFFFFFFF"/>
            <sz val="11"/>
          </rPr>
          <t>TRUE when a retry intent was raised for this deferred send.</t>
        </r>
      </text>
    </comment>
    <comment ref="CG1" authorId="0">
      <text>
        <r>
          <rPr>
            <rFont val="Aptos Narrow"/>
            <b/>
            <color rgb="FFFFFFFF"/>
            <sz val="11"/>
          </rPr>
          <t>Whether the retry intent itself passed all gates.</t>
        </r>
      </text>
    </comment>
    <comment ref="CH1" authorId="0">
      <text>
        <r>
          <rPr>
            <rFont val="Aptos Narrow"/>
            <b/>
            <color rgb="FFFFFFFF"/>
            <sz val="11"/>
          </rPr>
          <t>TRUE when a send was deferred for timing, the window has since reopened, and no retry was ever raised. A deferral silently converted into a cancellation.</t>
        </r>
      </text>
    </comment>
    <comment ref="CI1" authorId="0">
      <text>
        <r>
          <rPr>
            <rFont val="Aptos Narrow"/>
            <b/>
            <color rgb="FFFFFFFF"/>
            <sz val="11"/>
          </rPr>
          <t>How long this deferred intent has been sitting since evaluation.</t>
        </r>
      </text>
    </comment>
    <comment ref="CJ1" authorId="0">
      <text>
        <r>
          <rPr>
            <rFont val="Aptos Narrow"/>
            <b/>
            <color rgb="FFFFFFFF"/>
            <sz val="11"/>
          </rPr>
          <t>TRUE when a deferred send has been waiting more than 24 hours -- longer than any quiet window can justify.</t>
        </r>
      </text>
    </comment>
    <comment ref="CK1" authorId="0">
      <text>
        <r>
          <rPr>
            <rFont val="Aptos Narrow"/>
            <b/>
            <color rgb="FFFFFFFF"/>
            <sz val="11"/>
          </rPr>
          <t>The RoleAssignments id under which the pipeline evaluated this send intent. Raw rather than an FK because SendIntents already sits downstream of the execution graph and an added edge to RoleAssignments is not needed to resolve it.</t>
        </r>
      </text>
    </comment>
    <comment ref="CL1" authorId="0">
      <text>
        <r>
          <rPr>
            <rFont val="Aptos Narrow"/>
            <b/>
            <color rgb="FFFFFFFF"/>
            <sz val="11"/>
          </rPr>
          <t>Whether the gate decision on this intent was made by an agent holding an unauthorized enforcement assignment.</t>
        </r>
      </text>
    </comment>
    <comment ref="CM1" authorId="0">
      <text>
        <r>
          <rPr>
            <rFont val="Aptos Narrow"/>
            <b/>
            <color rgb="FFFFFFFF"/>
            <sz val="11"/>
          </rPr>
          <t>TRUE when the recipient's consent state was actually retrievable, as opposed to absent and read as a refusal.</t>
        </r>
      </text>
    </comment>
    <comment ref="CN1" authorId="0">
      <text>
        <r>
          <rPr>
            <rFont val="Aptos Narrow"/>
            <b/>
            <color rgb="FFFFFFFF"/>
            <sz val="11"/>
          </rPr>
          <t>The recipient's consent status as a string: Granted, Revoked, NeverGiven, or empty if no consent record exists at all.</t>
        </r>
      </text>
    </comment>
    <comment ref="CO1" authorId="0">
      <text>
        <r>
          <rPr>
            <rFont val="Aptos Narrow"/>
            <b/>
            <color rgb="FFFFFFFF"/>
            <sz val="11"/>
          </rPr>
          <t>TRUE when a governing communication policy was actually found for this intent.</t>
        </r>
      </text>
    </comment>
    <comment ref="CP1" authorId="0">
      <text>
        <r>
          <rPr>
            <rFont val="Aptos Narrow"/>
            <b/>
            <color rgb="FFFFFFFF"/>
            <sz val="11"/>
          </rPr>
          <t>TRUE when every input my gates depend on was actually retrievable.</t>
        </r>
      </text>
    </comment>
    <comment ref="CQ1" authorId="0">
      <text>
        <r>
          <rPr>
            <rFont val="Aptos Narrow"/>
            <b/>
            <color rgb="FFFFFFFF"/>
            <sz val="11"/>
          </rPr>
          <t>TRUE when I refused a send but at least one gate input could not be resolved -- so I do not actually know whether the rule was violated or merely unreadable.</t>
        </r>
      </text>
    </comment>
    <comment ref="CR1" authorId="0">
      <text>
        <r>
          <rPr>
            <rFont val="Aptos Narrow"/>
            <b/>
            <color rgb="FFFFFFFF"/>
            <sz val="11"/>
          </rPr>
          <t>Whether any agent other than me verified this gate outcome.</t>
        </r>
      </text>
    </comment>
    <comment ref="CS1" authorId="0">
      <text>
        <r>
          <rPr>
            <rFont val="Aptos Narrow"/>
            <b/>
            <color rgb="FFFFFFFF"/>
            <sz val="11"/>
          </rPr>
          <t>TRUE when the entire decision to send or refuse rests solely on my own computation, unconfirmed by anything else.</t>
        </r>
      </text>
    </comment>
    <comment ref="CT1" authorId="0">
      <text>
        <r>
          <rPr>
            <rFont val="Aptos Narrow"/>
            <b/>
            <color rgb="FFFFFFFF"/>
            <sz val="11"/>
          </rPr>
          <t>TRUE when this intent's decision was corroborated by an actual delivery record rather than resting solely on the pipeline's own say-so.</t>
        </r>
      </text>
    </comment>
    <comment ref="CU1" authorId="0">
      <text>
        <r>
          <rPr>
            <rFont val="Aptos Narrow"/>
            <b/>
            <color rgb="FFFFFFFF"/>
            <sz val="11"/>
          </rPr>
          <t>Echoes the parent execution only for independently confirmed intents; empty otherwise.</t>
        </r>
      </text>
    </comment>
    <comment ref="CV1" authorId="0">
      <text>
        <r>
          <rPr>
            <rFont val="Aptos Narrow"/>
            <b/>
            <color rgb="FFFFFFFF"/>
            <sz val="11"/>
          </rPr>
          <t>Extension IRI; pre-send intents are not a PKO 2.0.0 native class.</t>
        </r>
      </text>
    </comment>
    <comment ref="B1" authorId="0">
      <text>
        <r>
          <rPr>
            <rFont val="Aptos Narrow"/>
            <b/>
            <color rgb="FFFFFFFF"/>
            <sz val="11"/>
          </rPr>
          <t>Human-readable calculated display alias for the SendIntents row.</t>
        </r>
      </text>
    </comment>
  </commentList>
</comments>
</file>

<file path=xl/comments6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AgentDecisionRecords row.</t>
        </r>
      </text>
    </comment>
    <comment ref="C1" authorId="0">
      <text>
        <r>
          <rPr>
            <rFont val="Aptos Narrow"/>
            <b/>
            <color rgb="FFFFFFFF"/>
            <sz val="11"/>
          </rPr>
          <t>Step execution during which the decision was made.</t>
        </r>
      </text>
    </comment>
    <comment ref="D1" authorId="0">
      <text>
        <r>
          <rPr>
            <rFont val="Aptos Narrow"/>
            <b/>
            <color rgb="FFFFFFFF"/>
            <sz val="11"/>
          </rPr>
          <t>Agent that made the decision.</t>
        </r>
      </text>
    </comment>
    <comment ref="E1" authorId="0">
      <text>
        <r>
          <rPr>
            <rFont val="Aptos Narrow"/>
            <b/>
            <color rgb="FFFFFFFF"/>
            <sz val="11"/>
          </rPr>
          <t>Classification, Prioritization, Draft, Suppression, Escalation, or Posting.</t>
        </r>
      </text>
    </comment>
    <comment ref="F1" authorId="0">
      <text>
        <r>
          <rPr>
            <rFont val="Aptos Narrow"/>
            <b/>
            <color rgb="FFFFFFFF"/>
            <sz val="11"/>
          </rPr>
          <t>What the agent decided, in one sentence.</t>
        </r>
      </text>
    </comment>
    <comment ref="G1" authorId="0">
      <text>
        <r>
          <rPr>
            <rFont val="Aptos Narrow"/>
            <b/>
            <color rgb="FFFFFFFF"/>
            <sz val="11"/>
          </rPr>
          <t>When the decision was made.</t>
        </r>
      </text>
    </comment>
    <comment ref="H1" authorId="0">
      <text>
        <r>
          <rPr>
            <rFont val="Aptos Narrow"/>
            <b/>
            <color rgb="FFFFFFFF"/>
            <sz val="11"/>
          </rPr>
          <t>BelowThreshold, Material, or Escalated.</t>
        </r>
      </text>
    </comment>
    <comment ref="I1" authorId="0">
      <text>
        <r>
          <rPr>
            <rFont val="Aptos Narrow"/>
            <b/>
            <color rgb="FFFFFFFF"/>
            <sz val="11"/>
          </rPr>
          <t>Accepted, Corrected, Reversed, or NotReviewed.</t>
        </r>
      </text>
    </comment>
    <comment ref="J1" authorId="0">
      <text>
        <r>
          <rPr>
            <rFont val="Aptos Narrow"/>
            <b/>
            <color rgb="FFFFFFFF"/>
            <sz val="11"/>
          </rPr>
          <t>Human agent that dispositioned the decision.</t>
        </r>
      </text>
    </comment>
    <comment ref="K1" authorId="0">
      <text>
        <r>
          <rPr>
            <rFont val="Aptos Narrow"/>
            <b/>
            <color rgb="FFFFFFFF"/>
            <sz val="11"/>
          </rPr>
          <t>When a human dispositioned the decision.</t>
        </r>
      </text>
    </comment>
    <comment ref="L1" authorId="0">
      <text>
        <r>
          <rPr>
            <rFont val="Aptos Narrow"/>
            <b/>
            <color rgb="FFFFFFFF"/>
            <sz val="11"/>
          </rPr>
          <t>TRUE when a human corrected or reversed this decision.</t>
        </r>
      </text>
    </comment>
    <comment ref="M1" authorId="0">
      <text>
        <r>
          <rPr>
            <rFont val="Aptos Narrow"/>
            <b/>
            <color rgb="FFFFFFFF"/>
            <sz val="11"/>
          </rPr>
          <t>TRUE when a human actually dispositioned this decision.</t>
        </r>
      </text>
    </comment>
    <comment ref="N1" authorId="0">
      <text>
        <r>
          <rPr>
            <rFont val="Aptos Narrow"/>
            <b/>
            <color rgb="FFFFFFFF"/>
            <sz val="11"/>
          </rPr>
          <t>Whether the deciding agent is Human, AIAgent, or AutomatedPipeline.</t>
        </r>
      </text>
    </comment>
    <comment ref="O1" authorId="0">
      <text>
        <r>
          <rPr>
            <rFont val="Aptos Narrow"/>
            <b/>
            <color rgb="FFFFFFFF"/>
            <sz val="11"/>
          </rPr>
          <t>Echoes the deciding agent id when the decision was overridden, blank otherwise.</t>
        </r>
      </text>
    </comment>
    <comment ref="P1" authorId="0">
      <text>
        <r>
          <rPr>
            <rFont val="Aptos Narrow"/>
            <b/>
            <color rgb="FFFFFFFF"/>
            <sz val="11"/>
          </rPr>
          <t>Role assignment in force when the decision was made; anchors the decision to one side of a handover.</t>
        </r>
      </text>
    </comment>
    <comment ref="Q1" authorId="0">
      <text>
        <r>
          <rPr>
            <rFont val="Aptos Narrow"/>
            <b/>
            <color rgb="FFFFFFFF"/>
            <sz val="11"/>
          </rPr>
          <t>Echoes the governing role assignment when one is recorded, blank otherwise.</t>
        </r>
      </text>
    </comment>
    <comment ref="R1" authorId="0">
      <text>
        <r>
          <rPr>
            <rFont val="Aptos Narrow"/>
            <b/>
            <color rgb="FFFFFFFF"/>
            <sz val="11"/>
          </rPr>
          <t>Echoes the governing role assignment when the decision was overridden, blank otherwise.</t>
        </r>
      </text>
    </comment>
    <comment ref="S1" authorId="0">
      <text>
        <r>
          <rPr>
            <rFont val="Aptos Narrow"/>
            <b/>
            <color rgb="FFFFFFFF"/>
            <sz val="11"/>
          </rPr>
          <t>The specified step at which this decision was made.</t>
        </r>
      </text>
    </comment>
    <comment ref="T1" authorId="0">
      <text>
        <r>
          <rPr>
            <rFont val="Aptos Narrow"/>
            <b/>
            <color rgb="FFFFFFFF"/>
            <sz val="11"/>
          </rPr>
          <t>Composite key of step, deciding agent kind, and decision kind for this decision.</t>
        </r>
      </text>
    </comment>
    <comment ref="U1" authorId="0">
      <text>
        <r>
          <rPr>
            <rFont val="Aptos Narrow"/>
            <b/>
            <color rgb="FFFFFFFF"/>
            <sz val="11"/>
          </rPr>
          <t>Number of authority boundaries this decision matches.</t>
        </r>
      </text>
    </comment>
    <comment ref="V1" authorId="0">
      <text>
        <r>
          <rPr>
            <rFont val="Aptos Narrow"/>
            <b/>
            <color rgb="FFFFFFFF"/>
            <sz val="11"/>
          </rPr>
          <t>TRUE when this decision matches an authority boundary that forbids it.</t>
        </r>
      </text>
    </comment>
    <comment ref="W1" authorId="0">
      <text>
        <r>
          <rPr>
            <rFont val="Aptos Narrow"/>
            <b/>
            <color rgb="FFFFFFFF"/>
            <sz val="11"/>
          </rPr>
          <t>Agent kind of the reviewer, if any.</t>
        </r>
      </text>
    </comment>
    <comment ref="X1" authorId="0">
      <text>
        <r>
          <rPr>
            <rFont val="Aptos Narrow"/>
            <b/>
            <color rgb="FFFFFFFF"/>
            <sz val="11"/>
          </rPr>
          <t>TRUE when a human agent actually dispositioned this decision.</t>
        </r>
      </text>
    </comment>
    <comment ref="Y1" authorId="0">
      <text>
        <r>
          <rPr>
            <rFont val="Aptos Narrow"/>
            <b/>
            <color rgb="FFFFFFFF"/>
            <sz val="11"/>
          </rPr>
          <t>TRUE when a non-human agent made a material or escalated decision.</t>
        </r>
      </text>
    </comment>
    <comment ref="Z1" authorId="0">
      <text>
        <r>
          <rPr>
            <rFont val="Aptos Narrow"/>
            <b/>
            <color rgb="FFFFFFFF"/>
            <sz val="11"/>
          </rPr>
          <t>TRUE when a material non-human decision was never confirmed by a human.</t>
        </r>
      </text>
    </comment>
    <comment ref="AA1" authorId="0">
      <text>
        <r>
          <rPr>
            <rFont val="Aptos Narrow"/>
            <b/>
            <color rgb="FFFFFFFF"/>
            <sz val="11"/>
          </rPr>
          <t>Echoes the step-execution id when the decision is an unconfirmed non-human material decision, blank otherwise.</t>
        </r>
      </text>
    </comment>
    <comment ref="AB1" authorId="0">
      <text>
        <r>
          <rPr>
            <rFont val="Aptos Narrow"/>
            <b/>
            <color rgb="FFFFFFFF"/>
            <sz val="11"/>
          </rPr>
          <t>Echoes the deciding agent id when the decision violated a boundary, blank otherwise.</t>
        </r>
      </text>
    </comment>
    <comment ref="AC1" authorId="0">
      <text>
        <r>
          <rPr>
            <rFont val="Aptos Narrow"/>
            <b/>
            <color rgb="FFFFFFFF"/>
            <sz val="11"/>
          </rPr>
          <t>Minutes between the decision and its human disposition; 0 when never reviewed. Declared number, not integer: DATETIME_DIFF returns a numeric and an integer cast makes the entire view fail on read.</t>
        </r>
      </text>
    </comment>
    <comment ref="AD1" authorId="0">
      <text>
        <r>
          <rPr>
            <rFont val="Aptos Narrow"/>
            <b/>
            <color rgb="FFFFFFFF"/>
            <sz val="11"/>
          </rPr>
          <t>TRUE when this decision produced text — the drafter's own output class.</t>
        </r>
      </text>
    </comment>
    <comment ref="AE1" authorId="0">
      <text>
        <r>
          <rPr>
            <rFont val="Aptos Narrow"/>
            <b/>
            <color rgb="FFFFFFFF"/>
            <sz val="11"/>
          </rPr>
          <t>Echoes the deciding agent id when a drafting decision was overridden, blank otherwise.</t>
        </r>
      </text>
    </comment>
    <comment ref="AF1" authorId="0">
      <text>
        <r>
          <rPr>
            <rFont val="Aptos Narrow"/>
            <b/>
            <color rgb="FFFFFFFF"/>
            <sz val="11"/>
          </rPr>
          <t>Echoes the deciding agent id when the decision produced text, blank otherwise.</t>
        </r>
      </text>
    </comment>
    <comment ref="AG1" authorId="0">
      <text>
        <r>
          <rPr>
            <rFont val="Aptos Narrow"/>
            <b/>
            <color rgb="FFFFFFFF"/>
            <sz val="11"/>
          </rPr>
          <t>Why the human changed my output: ErrorCorrection, JudgmentReserved, PolicyChange, or empty when not overridden.</t>
        </r>
      </text>
    </comment>
    <comment ref="AH1" authorId="0">
      <text>
        <r>
          <rPr>
            <rFont val="Aptos Narrow"/>
            <b/>
            <color rgb="FFFFFFFF"/>
            <sz val="11"/>
          </rPr>
          <t>TRUE when the override corrected something I got wrong.</t>
        </r>
      </text>
    </comment>
    <comment ref="AI1" authorId="0">
      <text>
        <r>
          <rPr>
            <rFont val="Aptos Narrow"/>
            <b/>
            <color rgb="FFFFFFFF"/>
            <sz val="11"/>
          </rPr>
          <t>TRUE when the override was a human exercising authority the procedure always reserved to them.</t>
        </r>
      </text>
    </comment>
    <comment ref="AJ1" authorId="0">
      <text>
        <r>
          <rPr>
            <rFont val="Aptos Narrow"/>
            <b/>
            <color rgb="FFFFFFFF"/>
            <sz val="11"/>
          </rPr>
          <t>TRUE when an override carries a stated reason.</t>
        </r>
      </text>
    </comment>
    <comment ref="AK1" authorId="0">
      <text>
        <r>
          <rPr>
            <rFont val="Aptos Narrow"/>
            <b/>
            <color rgb="FFFFFFFF"/>
            <sz val="11"/>
          </rPr>
          <t>TRUE when my output was changed and nobody recorded why.</t>
        </r>
      </text>
    </comment>
    <comment ref="AL1" authorId="0">
      <text>
        <r>
          <rPr>
            <rFont val="Aptos Narrow"/>
            <b/>
            <color rgb="FFFFFFFF"/>
            <sz val="11"/>
          </rPr>
          <t>The role assignment id when this decision was overridden as an error correction, otherwise empty.</t>
        </r>
      </text>
    </comment>
    <comment ref="AM1" authorId="0">
      <text>
        <r>
          <rPr>
            <rFont val="Aptos Narrow"/>
            <b/>
            <color rgb="FFFFFFFF"/>
            <sz val="11"/>
          </rPr>
          <t>Echoes the role assignment this decision was made under, but only when the decision violated an authority boundary. Empty otherwise.</t>
        </r>
      </text>
    </comment>
    <comment ref="AN1" authorId="0">
      <text>
        <r>
          <rPr>
            <rFont val="Aptos Narrow"/>
            <b/>
            <color rgb="FFFFFFFF"/>
            <sz val="11"/>
          </rPr>
          <t>Extension class IRI for an agent decision record.</t>
        </r>
      </text>
    </comment>
    <comment ref="B1" authorId="0">
      <text>
        <r>
          <rPr>
            <rFont val="Aptos Narrow"/>
            <b/>
            <color rgb="FFFFFFFF"/>
            <sz val="11"/>
          </rPr>
          <t>Human-readable calculated display alias for the AgentDecisionRecords row.</t>
        </r>
      </text>
    </comment>
  </commentList>
</comments>
</file>

<file path=xl/comments6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DeliveredCommunications row.</t>
        </r>
      </text>
    </comment>
    <comment ref="C1" authorId="0">
      <text>
        <r>
          <rPr>
            <rFont val="Aptos Narrow"/>
            <b/>
            <color rgb="FFFFFFFF"/>
            <sz val="11"/>
          </rPr>
          <t>The run that produced this delivery.</t>
        </r>
      </text>
    </comment>
    <comment ref="D1" authorId="0">
      <text>
        <r>
          <rPr>
            <rFont val="Aptos Narrow"/>
            <b/>
            <color rgb="FFFFFFFF"/>
            <sz val="11"/>
          </rPr>
          <t>The policy-07 step execution that sent it.</t>
        </r>
      </text>
    </comment>
    <comment ref="E1" authorId="0">
      <text>
        <r>
          <rPr>
            <rFont val="Aptos Narrow"/>
            <b/>
            <color rgb="FFFFFFFF"/>
            <sz val="11"/>
          </rPr>
          <t>The human approval gate execution that authorized this content. Null means nobody approved it.</t>
        </r>
      </text>
    </comment>
    <comment ref="F1" authorId="0">
      <text>
        <r>
          <rPr>
            <rFont val="Aptos Narrow"/>
            <b/>
            <color rgb="FFFFFFFF"/>
            <sz val="11"/>
          </rPr>
          <t>The approved template this delivery was rendered from.</t>
        </r>
      </text>
    </comment>
    <comment ref="G1" authorId="0">
      <text>
        <r>
          <rPr>
            <rFont val="Aptos Narrow"/>
            <b/>
            <color rgb="FFFFFFFF"/>
            <sz val="11"/>
          </rPr>
          <t>Email or SMS.</t>
        </r>
      </text>
    </comment>
    <comment ref="H1" authorId="0">
      <text>
        <r>
          <rPr>
            <rFont val="Aptos Narrow"/>
            <b/>
            <color rgb="FFFFFFFF"/>
            <sz val="11"/>
          </rPr>
          <t>Opaque recipient identifier; no personal data in the rulebook.</t>
        </r>
      </text>
    </comment>
    <comment ref="I1" authorId="0">
      <text>
        <r>
          <rPr>
            <rFont val="Aptos Narrow"/>
            <b/>
            <color rgb="FFFFFFFF"/>
            <sz val="11"/>
          </rPr>
          <t>When the message was dispatched.</t>
        </r>
      </text>
    </comment>
    <comment ref="J1" authorId="0">
      <text>
        <r>
          <rPr>
            <rFont val="Aptos Narrow"/>
            <b/>
            <color rgb="FFFFFFFF"/>
            <sz val="11"/>
          </rPr>
          <t>Hash of the exact bytes delivered, for comparison against the approved rendering.</t>
        </r>
      </text>
    </comment>
    <comment ref="K1" authorId="0">
      <text>
        <r>
          <rPr>
            <rFont val="Aptos Narrow"/>
            <b/>
            <color rgb="FFFFFFFF"/>
            <sz val="11"/>
          </rPr>
          <t>Hash of the content as it stood at the approval gate.</t>
        </r>
      </text>
    </comment>
    <comment ref="L1" authorId="0">
      <text>
        <r>
          <rPr>
            <rFont val="Aptos Narrow"/>
            <b/>
            <color rgb="FFFFFFFF"/>
            <sz val="11"/>
          </rPr>
          <t>Provider-reported delivery outcome.</t>
        </r>
      </text>
    </comment>
    <comment ref="M1" authorId="0">
      <text>
        <r>
          <rPr>
            <rFont val="Aptos Narrow"/>
            <b/>
            <color rgb="FFFFFFFF"/>
            <sz val="11"/>
          </rPr>
          <t>Extension class IRI.</t>
        </r>
      </text>
    </comment>
    <comment ref="N1" authorId="0">
      <text>
        <r>
          <rPr>
            <rFont val="Aptos Narrow"/>
            <b/>
            <color rgb="FFFFFFFF"/>
            <sz val="11"/>
          </rPr>
          <t>TRUE when this delivery names the approval that authorized it.</t>
        </r>
      </text>
    </comment>
    <comment ref="O1" authorId="0">
      <text>
        <r>
          <rPr>
            <rFont val="Aptos Narrow"/>
            <b/>
            <color rgb="FFFFFFFF"/>
            <sz val="11"/>
          </rPr>
          <t>TRUE when the bytes delivered are the bytes approved.</t>
        </r>
      </text>
    </comment>
    <comment ref="P1" authorId="0">
      <text>
        <r>
          <rPr>
            <rFont val="Aptos Narrow"/>
            <b/>
            <color rgb="FFFFFFFF"/>
            <sz val="11"/>
          </rPr>
          <t>When the authorizing approval completed.</t>
        </r>
      </text>
    </comment>
    <comment ref="Q1" authorId="0">
      <text>
        <r>
          <rPr>
            <rFont val="Aptos Narrow"/>
            <b/>
            <color rgb="FFFFFFFF"/>
            <sz val="11"/>
          </rPr>
          <t>TRUE when the approval preceded the send.</t>
        </r>
      </text>
    </comment>
    <comment ref="R1" authorId="0">
      <text>
        <r>
          <rPr>
            <rFont val="Aptos Narrow"/>
            <b/>
            <color rgb="FFFFFFFF"/>
            <sz val="11"/>
          </rPr>
          <t>TRUE when this delivery can be defended in a dispute: authorized, unaltered, and approved beforehand.</t>
        </r>
      </text>
    </comment>
    <comment ref="B1" authorId="0">
      <text>
        <r>
          <rPr>
            <rFont val="Aptos Narrow"/>
            <b/>
            <color rgb="FFFFFFFF"/>
            <sz val="11"/>
          </rPr>
          <t>Human-readable calculated display alias.</t>
        </r>
      </text>
    </comment>
  </commentList>
</comments>
</file>

<file path=xl/comments6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AuthorityBoundaries row.</t>
        </r>
      </text>
    </comment>
    <comment ref="C1" authorId="0">
      <text>
        <r>
          <rPr>
            <rFont val="Aptos Narrow"/>
            <b/>
            <color rgb="FFFFFFFF"/>
            <sz val="11"/>
          </rPr>
          <t>Step at which the boundary applies.</t>
        </r>
      </text>
    </comment>
    <comment ref="D1" authorId="0">
      <text>
        <r>
          <rPr>
            <rFont val="Aptos Narrow"/>
            <b/>
            <color rgb="FFFFFFFF"/>
            <sz val="11"/>
          </rPr>
          <t>Agent kind that may not perform the forbidden decision kind: Human, AIAgent, or AutomatedPipeline.</t>
        </r>
      </text>
    </comment>
    <comment ref="E1" authorId="0">
      <text>
        <r>
          <rPr>
            <rFont val="Aptos Narrow"/>
            <b/>
            <color rgb="FFFFFFFF"/>
            <sz val="11"/>
          </rPr>
          <t>Decision kind forbidden to that agent kind at this step.</t>
        </r>
      </text>
    </comment>
    <comment ref="F1" authorId="0">
      <text>
        <r>
          <rPr>
            <rFont val="Aptos Narrow"/>
            <b/>
            <color rgb="FFFFFFFF"/>
            <sz val="11"/>
          </rPr>
          <t>Knowledge fragment that states the boundary.</t>
        </r>
      </text>
    </comment>
    <comment ref="G1" authorId="0">
      <text>
        <r>
          <rPr>
            <rFont val="Aptos Narrow"/>
            <b/>
            <color rgb="FFFFFFFF"/>
            <sz val="11"/>
          </rPr>
          <t>Requirement under which the boundary is enforced, if any.</t>
        </r>
      </text>
    </comment>
    <comment ref="H1" authorId="0">
      <text>
        <r>
          <rPr>
            <rFont val="Aptos Narrow"/>
            <b/>
            <color rgb="FFFFFFFF"/>
            <sz val="11"/>
          </rPr>
          <t>Role accountable for the boundary.</t>
        </r>
      </text>
    </comment>
    <comment ref="I1" authorId="0">
      <text>
        <r>
          <rPr>
            <rFont val="Aptos Narrow"/>
            <b/>
            <color rgb="FFFFFFFF"/>
            <sz val="11"/>
          </rPr>
          <t>Start of the boundary's valid-time interval.</t>
        </r>
      </text>
    </comment>
    <comment ref="J1" authorId="0">
      <text>
        <r>
          <rPr>
            <rFont val="Aptos Narrow"/>
            <b/>
            <color rgb="FFFFFFFF"/>
            <sz val="11"/>
          </rPr>
          <t>End of the boundary's valid-time interval; null means open-ended.</t>
        </r>
      </text>
    </comment>
    <comment ref="K1" authorId="0">
      <text>
        <r>
          <rPr>
            <rFont val="Aptos Narrow"/>
            <b/>
            <color rgb="FFFFFFFF"/>
            <sz val="11"/>
          </rPr>
          <t>Approved, Proposed, or Retired.</t>
        </r>
      </text>
    </comment>
    <comment ref="L1" authorId="0">
      <text>
        <r>
          <rPr>
            <rFont val="Aptos Narrow"/>
            <b/>
            <color rgb="FFFFFFFF"/>
            <sz val="11"/>
          </rPr>
          <t>The evaluation context this boundary's currency is judged under.</t>
        </r>
      </text>
    </comment>
    <comment ref="M1" authorId="0">
      <text>
        <r>
          <rPr>
            <rFont val="Aptos Narrow"/>
            <b/>
            <color rgb="FFFFFFFF"/>
            <sz val="11"/>
          </rPr>
          <t>The evaluation instant this boundary is judged against.</t>
        </r>
      </text>
    </comment>
    <comment ref="N1" authorId="0">
      <text>
        <r>
          <rPr>
            <rFont val="Aptos Narrow"/>
            <b/>
            <color rgb="FFFFFFFF"/>
            <sz val="11"/>
          </rPr>
          <t>TRUE when this boundary is approved and inside its valid-time window right now.</t>
        </r>
      </text>
    </comment>
    <comment ref="O1" authorId="0">
      <text>
        <r>
          <rPr>
            <rFont val="Aptos Narrow"/>
            <b/>
            <color rgb="FFFFFFFF"/>
            <sz val="11"/>
          </rPr>
          <t>Whether the knowledge fragment that ratified this boundary is still valid.</t>
        </r>
      </text>
    </comment>
    <comment ref="P1" authorId="0">
      <text>
        <r>
          <rPr>
            <rFont val="Aptos Narrow"/>
            <b/>
            <color rgb="FFFFFFFF"/>
            <sz val="11"/>
          </rPr>
          <t>Echoes the step id when this boundary is currently binding, blank otherwise.</t>
        </r>
      </text>
    </comment>
    <comment ref="Q1" authorId="0">
      <text>
        <r>
          <rPr>
            <rFont val="Aptos Narrow"/>
            <b/>
            <color rgb="FFFFFFFF"/>
            <sz val="11"/>
          </rPr>
          <t>Composite key of step, forbidden agent kind, and forbidden decision kind.</t>
        </r>
      </text>
    </comment>
    <comment ref="R1" authorId="0">
      <text>
        <r>
          <rPr>
            <rFont val="Aptos Narrow"/>
            <b/>
            <color rgb="FFFFFFFF"/>
            <sz val="11"/>
          </rPr>
          <t>Number of recorded decisions that this boundary forbids.</t>
        </r>
      </text>
    </comment>
    <comment ref="S1" authorId="0">
      <text>
        <r>
          <rPr>
            <rFont val="Aptos Narrow"/>
            <b/>
            <color rgb="FFFFFFFF"/>
            <sz val="11"/>
          </rPr>
          <t>TRUE when a binding boundary has never been triggered by any recorded decision.</t>
        </r>
      </text>
    </comment>
    <comment ref="T1" authorId="0">
      <text>
        <r>
          <rPr>
            <rFont val="Aptos Narrow"/>
            <b/>
            <color rgb="FFFFFFFF"/>
            <sz val="11"/>
          </rPr>
          <t>TRUE when this boundary names a knowledge fragment as its justification. FALSE means the rule constrains behaviour on nobody's recorded authority — strictly worse than resting on an expired claim, and previously invisible because the ratification lookup returned NULL.</t>
        </r>
      </text>
    </comment>
    <comment ref="U1" authorId="0">
      <text>
        <r>
          <rPr>
            <rFont val="Aptos Narrow"/>
            <b/>
            <color rgb="FFFFFFFF"/>
            <sz val="11"/>
          </rPr>
          <t>TRUE when a binding constraint on authority rests on no ratifying claim at all, or on one that is no longer valid. Either way the rule is being enforced without a live justification.</t>
        </r>
      </text>
    </comment>
    <comment ref="V1" authorId="0">
      <text>
        <r>
          <rPr>
            <rFont val="Aptos Narrow"/>
            <b/>
            <color rgb="FFFFFFFF"/>
            <sz val="11"/>
          </rPr>
          <t>Whether the fragment ratifying this boundary is past its review date.</t>
        </r>
      </text>
    </comment>
    <comment ref="W1" authorId="0">
      <text>
        <r>
          <rPr>
            <rFont val="Aptos Narrow"/>
            <b/>
            <color rgb="FFFFFFFF"/>
            <sz val="11"/>
          </rPr>
          <t>Whether the fragment ratifying this boundary rests on a single witness.</t>
        </r>
      </text>
    </comment>
    <comment ref="X1" authorId="0">
      <text>
        <r>
          <rPr>
            <rFont val="Aptos Narrow"/>
            <b/>
            <color rgb="FFFFFFFF"/>
            <sz val="11"/>
          </rPr>
          <t>A binding boundary whose ratifying knowledge is either overdue for review or single-sourced — still valid, but weakly warranted.</t>
        </r>
      </text>
    </comment>
    <comment ref="Y1" authorId="0">
      <text>
        <r>
          <rPr>
            <rFont val="Aptos Narrow"/>
            <b/>
            <color rgb="FFFFFFFF"/>
            <sz val="11"/>
          </rPr>
          <t>A boundary whose ratification has lapsed and which no agent decision has ever been evaluated against — we cannot show it works and we cannot show why it exists.</t>
        </r>
      </text>
    </comment>
    <comment ref="Z1" authorId="0">
      <text>
        <r>
          <rPr>
            <rFont val="Aptos Narrow"/>
            <b/>
            <color rgb="FFFFFFFF"/>
            <sz val="11"/>
          </rPr>
          <t>Composite-key echo: the step this boundary governs when the boundary is unwarranted, blank otherwise.</t>
        </r>
      </text>
    </comment>
    <comment ref="AA1" authorId="0">
      <text>
        <r>
          <rPr>
            <rFont val="Aptos Narrow"/>
            <b/>
            <color rgb="FFFFFFFF"/>
            <sz val="11"/>
          </rPr>
          <t>Composite-key echo: the fragment ratifying this boundary when the boundary is currently binding, blank otherwise.</t>
        </r>
      </text>
    </comment>
    <comment ref="AB1" authorId="0">
      <text>
        <r>
          <rPr>
            <rFont val="Aptos Narrow"/>
            <b/>
            <color rgb="FFFFFFFF"/>
            <sz val="11"/>
          </rPr>
          <t>The status string of the knowledge fragment that ratifies this boundary: Approved, Reviewed, Draft, or empty.</t>
        </r>
      </text>
    </comment>
    <comment ref="AC1" authorId="0">
      <text>
        <r>
          <rPr>
            <rFont val="Aptos Narrow"/>
            <b/>
            <color rgb="FFFFFFFF"/>
            <sz val="11"/>
          </rPr>
          <t>TRUE when this boundary names a ratifying fragment and that fragment is no longer valid.</t>
        </r>
      </text>
    </comment>
    <comment ref="AD1" authorId="0">
      <text>
        <r>
          <rPr>
            <rFont val="Aptos Narrow"/>
            <b/>
            <color rgb="FFFFFFFF"/>
            <sz val="11"/>
          </rPr>
          <t>TRUE when a boundary is still enforced against agents while the knowledge that authorized it has lapsed.</t>
        </r>
      </text>
    </comment>
    <comment ref="AE1" authorId="0">
      <text>
        <r>
          <rPr>
            <rFont val="Aptos Narrow"/>
            <b/>
            <color rgb="FFFFFFFF"/>
            <sz val="11"/>
          </rPr>
          <t>TRUE when a boundary has lapsed ratification AND has never once been exercised -- so neither its authority nor its operation has ever been demonstrated.</t>
        </r>
      </text>
    </comment>
    <comment ref="AF1" authorId="0">
      <text>
        <r>
          <rPr>
            <rFont val="Aptos Narrow"/>
            <b/>
            <color rgb="FFFFFFFF"/>
            <sz val="11"/>
          </rPr>
          <t>The role id this boundary constrains, emitted only when the boundary is ungrounded.</t>
        </r>
      </text>
    </comment>
    <comment ref="AG1" authorId="0">
      <text>
        <r>
          <rPr>
            <rFont val="Aptos Narrow"/>
            <b/>
            <color rgb="FFFFFFFF"/>
            <sz val="11"/>
          </rPr>
          <t>Extension class IRI for an authority boundary.</t>
        </r>
      </text>
    </comment>
    <comment ref="B1" authorId="0">
      <text>
        <r>
          <rPr>
            <rFont val="Aptos Narrow"/>
            <b/>
            <color rgb="FFFFFFFF"/>
            <sz val="11"/>
          </rPr>
          <t>Human-readable calculated display alias for the AuthorityBoundaries row.</t>
        </r>
      </text>
    </comment>
  </commentList>
</comments>
</file>

<file path=xl/comments6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an execution-side observation of one operational binding, frozen at the moment a step actually ran.</t>
        </r>
      </text>
    </comment>
    <comment ref="C1" authorId="0">
      <text>
        <r>
          <rPr>
            <rFont val="Aptos Narrow"/>
            <b/>
            <color rgb="FFFFFFFF"/>
            <sz val="11"/>
          </rPr>
          <t>The step execution during which this binding was read.</t>
        </r>
      </text>
    </comment>
    <comment ref="D1" authorId="0">
      <text>
        <r>
          <rPr>
            <rFont val="Aptos Narrow"/>
            <b/>
            <color rgb="FFFFFFFF"/>
            <sz val="11"/>
          </rPr>
          <t>The spec-side binding this observation instantiates.</t>
        </r>
      </text>
    </comment>
    <comment ref="E1" authorId="0">
      <text>
        <r>
          <rPr>
            <rFont val="Aptos Narrow"/>
            <b/>
            <color rgb="FFFFFFFF"/>
            <sz val="11"/>
          </rPr>
          <t>The LastObservedAt value the source actually carried at run time, captured then and never recomputed.</t>
        </r>
      </text>
    </comment>
    <comment ref="F1" authorId="0">
      <text>
        <r>
          <rPr>
            <rFont val="Aptos Narrow"/>
            <b/>
            <color rgb="FFFFFFFF"/>
            <sz val="11"/>
          </rPr>
          <t>When the step execution actually read this binding.</t>
        </r>
      </text>
    </comment>
    <comment ref="G1" authorId="0">
      <text>
        <r>
          <rPr>
            <rFont val="Aptos Narrow"/>
            <b/>
            <color rgb="FFFFFFFF"/>
            <sz val="11"/>
          </rPr>
          <t>The freshness SLA declared for this binding.</t>
        </r>
      </text>
    </comment>
    <comment ref="H1" authorId="0">
      <text>
        <r>
          <rPr>
            <rFont val="Aptos Narrow"/>
            <b/>
            <color rgb="FFFFFFFF"/>
            <sz val="11"/>
          </rPr>
          <t>How old the source data was at the instant the step read it.</t>
        </r>
      </text>
    </comment>
    <comment ref="I1" authorId="0">
      <text>
        <r>
          <rPr>
            <rFont val="Aptos Narrow"/>
            <b/>
            <color rgb="FFFFFFFF"/>
            <sz val="11"/>
          </rPr>
          <t>TRUE when an authoritative source was already outside its SLA at the moment the step consumed it.</t>
        </r>
      </text>
    </comment>
    <comment ref="J1" authorId="0">
      <text>
        <r>
          <rPr>
            <rFont val="Aptos Narrow"/>
            <b/>
            <color rgb="FFFFFFFF"/>
            <sz val="11"/>
          </rPr>
          <t>Whether the binding observed is the authoritative source for its record key.</t>
        </r>
      </text>
    </comment>
    <comment ref="K1" authorId="0">
      <text>
        <r>
          <rPr>
            <rFont val="Aptos Narrow"/>
            <b/>
            <color rgb="FFFFFFFF"/>
            <sz val="11"/>
          </rPr>
          <t>Echoes the step execution id when the source was stale at run time.</t>
        </r>
      </text>
    </comment>
    <comment ref="B1" authorId="0">
      <text>
        <r>
          <rPr>
            <rFont val="Aptos Narrow"/>
            <b/>
            <color rgb="FFFFFFFF"/>
            <sz val="11"/>
          </rPr>
          <t>Human-readable calculated display alias for the BindingObservations row.</t>
        </r>
      </text>
    </comment>
  </commentList>
</comments>
</file>

<file path=xl/comments6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 signature event: one person, one execution, one instant.</t>
        </r>
      </text>
    </comment>
    <comment ref="C1" authorId="0">
      <text>
        <r>
          <rPr>
            <rFont val="Aptos Narrow"/>
            <b/>
            <color rgb="FFFFFFFF"/>
            <sz val="11"/>
          </rPr>
          <t>The execution being attested to.</t>
        </r>
      </text>
    </comment>
    <comment ref="D1" authorId="0">
      <text>
        <r>
          <rPr>
            <rFont val="Aptos Narrow"/>
            <b/>
            <color rgb="FFFFFFFF"/>
            <sz val="11"/>
          </rPr>
          <t>The human who signed.</t>
        </r>
      </text>
    </comment>
    <comment ref="E1" authorId="0">
      <text>
        <r>
          <rPr>
            <rFont val="Aptos Narrow"/>
            <b/>
            <color rgb="FFFFFFFF"/>
            <sz val="11"/>
          </rPr>
          <t>The instant of signature.</t>
        </r>
      </text>
    </comment>
    <comment ref="F1" authorId="0">
      <text>
        <r>
          <rPr>
            <rFont val="Aptos Narrow"/>
            <b/>
            <color rgb="FFFFFFFF"/>
            <sz val="11"/>
          </rPr>
          <t>The AssuranceGrade string as the model reported it at the moment of signature, captured then and never recomputed.</t>
        </r>
      </text>
    </comment>
    <comment ref="G1" authorId="0">
      <text>
        <r>
          <rPr>
            <rFont val="Aptos Narrow"/>
            <b/>
            <color rgb="FFFFFFFF"/>
            <sz val="11"/>
          </rPr>
          <t>Whether the executed procedure version was fit to execute at the moment of signature.</t>
        </r>
      </text>
    </comment>
    <comment ref="H1" authorId="0">
      <text>
        <r>
          <rPr>
            <rFont val="Aptos Narrow"/>
            <b/>
            <color rgb="FFFFFFFF"/>
            <sz val="11"/>
          </rPr>
          <t>Whether the executed version reads as fit today.</t>
        </r>
      </text>
    </comment>
    <comment ref="I1" authorId="0">
      <text>
        <r>
          <rPr>
            <rFont val="Aptos Narrow"/>
            <b/>
            <color rgb="FFFFFFFF"/>
            <sz val="11"/>
          </rPr>
          <t>TRUE when the fitness of the signed version reads differently today than it did at signature.</t>
        </r>
      </text>
    </comment>
    <comment ref="J1" authorId="0">
      <text>
        <r>
          <rPr>
            <rFont val="Aptos Narrow"/>
            <b/>
            <color rgb="FFFFFFFF"/>
            <sz val="11"/>
          </rPr>
          <t>The AssuranceGrade the model reports for this execution today.</t>
        </r>
      </text>
    </comment>
    <comment ref="K1" authorId="0">
      <text>
        <r>
          <rPr>
            <rFont val="Aptos Narrow"/>
            <b/>
            <color rgb="FFFFFFFF"/>
            <sz val="11"/>
          </rPr>
          <t>TRUE when the assurance behind this signature is described differently now than it was at signature.</t>
        </r>
      </text>
    </comment>
    <comment ref="L1" authorId="0">
      <text>
        <r>
          <rPr>
            <rFont val="Aptos Narrow"/>
            <b/>
            <color rgb="FFFFFFFF"/>
            <sz val="11"/>
          </rPr>
          <t>TRUE when re-deriving this attestation today would not reproduce what the model said when it was signed.</t>
        </r>
      </text>
    </comment>
    <comment ref="B1" authorId="0">
      <text>
        <r>
          <rPr>
            <rFont val="Aptos Narrow"/>
            <b/>
            <color rgb="FFFFFFFF"/>
            <sz val="11"/>
          </rPr>
          <t>Human-readable calculated display alias for the Attestations row.</t>
        </r>
      </text>
    </comment>
  </commentList>
</comments>
</file>

<file path=xl/comments6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AppRoleProfiles row.</t>
        </r>
      </text>
    </comment>
    <comment ref="C1" authorId="0">
      <text>
        <r>
          <rPr>
            <rFont val="Aptos Narrow"/>
            <b/>
            <color rgb="FFFFFFFF"/>
            <sz val="11"/>
          </rPr>
          <t>The role this presentation profile describes.</t>
        </r>
      </text>
    </comment>
    <comment ref="D1" authorId="0">
      <text>
        <r>
          <rPr>
            <rFont val="Aptos Narrow"/>
            <b/>
            <color rgb="FFFFFFFF"/>
            <sz val="11"/>
          </rPr>
          <t>Label shown on the login card and in the app chrome.</t>
        </r>
      </text>
    </comment>
    <comment ref="E1" authorId="0">
      <text>
        <r>
          <rPr>
            <rFont val="Aptos Narrow"/>
            <b/>
            <color rgb="FFFFFFFF"/>
            <sz val="11"/>
          </rPr>
          <t>human or software. Drives the login-card silhouette and the icon plate shape.</t>
        </r>
      </text>
    </comment>
    <comment ref="F1" authorId="0">
      <text>
        <r>
          <rPr>
            <rFont val="Aptos Narrow"/>
            <b/>
            <color rgb="FFFFFFFF"/>
            <sz val="11"/>
          </rPr>
          <t>Hex accent colour. Distinctive per role; used for chrome, the left-nav active state, and the icon plate.</t>
        </r>
      </text>
    </comment>
    <comment ref="G1" authorId="0">
      <text>
        <r>
          <rPr>
            <rFont val="Aptos Narrow"/>
            <b/>
            <color rgb="FFFFFFFF"/>
            <sz val="11"/>
          </rPr>
          <t>Name of the geometric mark drawn on this role's icon. Colour is never the only signal — the mark discriminates in greyscale.</t>
        </r>
      </text>
    </comment>
    <comment ref="H1" authorId="0">
      <text>
        <r>
          <rPr>
            <rFont val="Aptos Narrow"/>
            <b/>
            <color rgb="FFFFFFFF"/>
            <sz val="11"/>
          </rPr>
          <t>128x128 PNG icon for this role, base64-encoded, no data: prefix. Rendered on the login card and beside the role name throughout the app.</t>
        </r>
      </text>
    </comment>
    <comment ref="I1" authorId="0">
      <text>
        <r>
          <rPr>
            <rFont val="Aptos Narrow"/>
            <b/>
            <color rgb="FFFFFFFF"/>
            <sz val="11"/>
          </rPr>
          <t>One line of login-card copy: what this role opens the app to do, in that role's own terms.</t>
        </r>
      </text>
    </comment>
    <comment ref="J1" authorId="0">
      <text>
        <r>
          <rPr>
            <rFont val="Aptos Narrow"/>
            <b/>
            <color rgb="FFFFFFFF"/>
            <sz val="11"/>
          </rPr>
          <t>Display order on the login screen. Human roles first, then software roles.</t>
        </r>
      </text>
    </comment>
    <comment ref="K1" authorId="0">
      <text>
        <r>
          <rPr>
            <rFont val="Aptos Narrow"/>
            <b/>
            <color rgb="FFFFFFFF"/>
            <sz val="11"/>
          </rPr>
          <t>How many routes this role has.</t>
        </r>
      </text>
    </comment>
    <comment ref="L1" authorId="0">
      <text>
        <r>
          <rPr>
            <rFont val="Aptos Narrow"/>
            <b/>
            <color rgb="FFFFFFFF"/>
            <sz val="11"/>
          </rPr>
          <t>Semantic type IRI for this row. An extension: PKO does not model application presentation.</t>
        </r>
      </text>
    </comment>
    <comment ref="B1" authorId="0">
      <text>
        <r>
          <rPr>
            <rFont val="Aptos Narrow"/>
            <b/>
            <color rgb="FFFFFFFF"/>
            <sz val="11"/>
          </rPr>
          <t>Human-readable calculated display alias for the AppRoleProfiles row.</t>
        </r>
      </text>
    </comment>
  </commentList>
</comments>
</file>

<file path=xl/comments7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AppNavGroups row.</t>
        </r>
      </text>
    </comment>
    <comment ref="C1" authorId="0">
      <text>
        <r>
          <rPr>
            <rFont val="Aptos Narrow"/>
            <b/>
            <color rgb="FFFFFFFF"/>
            <sz val="11"/>
          </rPr>
          <t>Section header text rendered in the left navigation.</t>
        </r>
      </text>
    </comment>
    <comment ref="D1" authorId="0">
      <text>
        <r>
          <rPr>
            <rFont val="Aptos Narrow"/>
            <b/>
            <color rgb="FFFFFFFF"/>
            <sz val="11"/>
          </rPr>
          <t>How many routes sit under this nav group across all roles.</t>
        </r>
      </text>
    </comment>
    <comment ref="E1" authorId="0">
      <text>
        <r>
          <rPr>
            <rFont val="Aptos Narrow"/>
            <b/>
            <color rgb="FFFFFFFF"/>
            <sz val="11"/>
          </rPr>
          <t>Semantic type IRI for this row. An extension: PKO does not model navigation.</t>
        </r>
      </text>
    </comment>
    <comment ref="B1" authorId="0">
      <text>
        <r>
          <rPr>
            <rFont val="Aptos Narrow"/>
            <b/>
            <color rgb="FFFFFFFF"/>
            <sz val="11"/>
          </rPr>
          <t>Human-readable calculated display alias for the AppNavGroups row.</t>
        </r>
      </text>
    </comment>
  </commentList>
</comments>
</file>

<file path=xl/comments7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AppRoutes row.</t>
        </r>
      </text>
    </comment>
    <comment ref="C1" authorId="0">
      <text>
        <r>
          <rPr>
            <rFont val="Aptos Narrow"/>
            <b/>
            <color rgb="FFFFFFFF"/>
            <sz val="11"/>
          </rPr>
          <t>The URL path, /{role}/{dashboard}/{entity...}. Shared detail routes live under /shared/ because the same entity serves every role.</t>
        </r>
      </text>
    </comment>
    <comment ref="D1" authorId="0">
      <text>
        <r>
          <rPr>
            <rFont val="Aptos Narrow"/>
            <b/>
            <color rgb="FFFFFFFF"/>
            <sz val="11"/>
          </rPr>
          <t>Short label. This is the left-nav text.</t>
        </r>
      </text>
    </comment>
    <comment ref="E1" authorId="0">
      <text>
        <r>
          <rPr>
            <rFont val="Aptos Narrow"/>
            <b/>
            <color rgb="FFFFFFFF"/>
            <sz val="11"/>
          </rPr>
          <t>domain | maintainer. Domain routes belong to the twelve accountable Roles. Maintainer routes are the model's own instrumentation (Admin, Explorer) and deliberately have no owning role — 'admin' is not a role anyone is accountable in.</t>
        </r>
      </text>
    </comment>
    <comment ref="F1" authorId="0">
      <text>
        <r>
          <rPr>
            <rFont val="Aptos Narrow"/>
            <b/>
            <color rgb="FFFFFFFF"/>
            <sz val="11"/>
          </rPr>
          <t>The role whose navigation contains this route. Null for shared routes reachable from several roles.</t>
        </r>
      </text>
    </comment>
    <comment ref="G1" authorId="0">
      <text>
        <r>
          <rPr>
            <rFont val="Aptos Narrow"/>
            <b/>
            <color rgb="FFFFFFFF"/>
            <sz val="11"/>
          </rPr>
          <t>Left-nav section this route appears under. Null for detail routes reached by drill-down rather than from the nav.</t>
        </r>
      </text>
    </comment>
    <comment ref="H1" authorId="0">
      <text>
        <r>
          <rPr>
            <rFont val="Aptos Narrow"/>
            <b/>
            <color rgb="FFFFFFFF"/>
            <sz val="11"/>
          </rPr>
          <t>Sort order within the nav group.</t>
        </r>
      </text>
    </comment>
    <comment ref="I1" authorId="0">
      <text>
        <r>
          <rPr>
            <rFont val="Aptos Narrow"/>
            <b/>
            <color rgb="FFFFFFFF"/>
            <sz val="11"/>
          </rPr>
          <t>dashboard | workspace | detail | index | action. Detail routes carry path parameters and are not in the nav.</t>
        </r>
      </text>
    </comment>
    <comment ref="J1" authorId="0">
      <text>
        <r>
          <rPr>
            <rFont val="Aptos Narrow"/>
            <b/>
            <color rgb="FFFFFFFF"/>
            <sz val="11"/>
          </rPr>
          <t>What the role does here, in that role's own voice. This is the brief for the build session.</t>
        </r>
      </text>
    </comment>
    <comment ref="K1" authorId="0">
      <text>
        <r>
          <rPr>
            <rFont val="Aptos Narrow"/>
            <b/>
            <color rgb="FFFFFFFF"/>
            <sz val="11"/>
          </rPr>
          <t>Brief layout direction: the shape of the screen, what leads, and what must not be collapsed or implied.</t>
        </r>
      </text>
    </comment>
    <comment ref="L1" authorId="0">
      <text>
        <r>
          <rPr>
            <rFont val="Aptos Narrow"/>
            <b/>
            <color rgb="FFFFFFFF"/>
            <sz val="11"/>
          </rPr>
          <t>Whether this route appears in the left navigation. Detail routes do not.</t>
        </r>
      </text>
    </comment>
    <comment ref="M1" authorId="0">
      <text>
        <r>
          <rPr>
            <rFont val="Aptos Narrow"/>
            <b/>
            <color rgb="FFFFFFFF"/>
            <sz val="11"/>
          </rPr>
          <t>Whether this route is shared across domain roles rather than owned by one. A maintainer route is not shared — it belongs to a different surface entirely.</t>
        </r>
      </text>
    </comment>
    <comment ref="N1" authorId="0">
      <text>
        <r>
          <rPr>
            <rFont val="Aptos Narrow"/>
            <b/>
            <color rgb="FFFFFFFF"/>
            <sz val="11"/>
          </rPr>
          <t>Whether this route is model instrumentation rather than a domain workspace. Maintainer routes are reached from the login page's maintainer section, not from a role card.</t>
        </r>
      </text>
    </comment>
    <comment ref="O1" authorId="0">
      <text>
        <r>
          <rPr>
            <rFont val="Aptos Narrow"/>
            <b/>
            <color rgb="FFFFFFFF"/>
            <sz val="11"/>
          </rPr>
          <t>How many role questions this route helps answer.</t>
        </r>
      </text>
    </comment>
    <comment ref="P1" authorId="0">
      <text>
        <r>
          <rPr>
            <rFont val="Aptos Narrow"/>
            <b/>
            <color rgb="FFFFFFFF"/>
            <sz val="11"/>
          </rPr>
          <t>How many other routes this route links to.</t>
        </r>
      </text>
    </comment>
    <comment ref="Q1" authorId="0">
      <text>
        <r>
          <rPr>
            <rFont val="Aptos Narrow"/>
            <b/>
            <color rgb="FFFFFFFF"/>
            <sz val="11"/>
          </rPr>
          <t>A domain route owned by a role that answers no role question. Not automatically wrong, but it should be justified. Maintainer routes are excluded: they answer questions about the model itself, which are not RoleQuestions and must not be fabricated as such.</t>
        </r>
      </text>
    </comment>
    <comment ref="R1" authorId="0">
      <text>
        <r>
          <rPr>
            <rFont val="Aptos Narrow"/>
            <b/>
            <color rgb="FFFFFFFF"/>
            <sz val="11"/>
          </rPr>
          <t>Semantic type IRI for this row. An extension: PKO models procedures, not the applications that display them.</t>
        </r>
      </text>
    </comment>
    <comment ref="B1" authorId="0">
      <text>
        <r>
          <rPr>
            <rFont val="Aptos Narrow"/>
            <b/>
            <color rgb="FFFFFFFF"/>
            <sz val="11"/>
          </rPr>
          <t>Human-readable calculated display alias for the AppRoutes row.</t>
        </r>
      </text>
    </comment>
  </commentList>
</comments>
</file>

<file path=xl/comments7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AppRouteQuestions row.</t>
        </r>
      </text>
    </comment>
    <comment ref="C1" authorId="0">
      <text>
        <r>
          <rPr>
            <rFont val="Aptos Narrow"/>
            <b/>
            <color rgb="FFFFFFFF"/>
            <sz val="11"/>
          </rPr>
          <t>The route that helps answer the question.</t>
        </r>
      </text>
    </comment>
    <comment ref="D1" authorId="0">
      <text>
        <r>
          <rPr>
            <rFont val="Aptos Narrow"/>
            <b/>
            <color rgb="FFFFFFFF"/>
            <sz val="11"/>
          </rPr>
          <t>The role question this route helps answer.</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AppRouteQuestions row.</t>
        </r>
      </text>
    </comment>
  </commentList>
</comments>
</file>

<file path=xl/comments7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AppRouteReferences row.</t>
        </r>
      </text>
    </comment>
    <comment ref="C1" authorId="0">
      <text>
        <r>
          <rPr>
            <rFont val="Aptos Narrow"/>
            <b/>
            <color rgb="FFFFFFFF"/>
            <sz val="11"/>
          </rPr>
          <t>The route that links out.</t>
        </r>
      </text>
    </comment>
    <comment ref="D1" authorId="0">
      <text>
        <r>
          <rPr>
            <rFont val="Aptos Narrow"/>
            <b/>
            <color rgb="FFFFFFFF"/>
            <sz val="11"/>
          </rPr>
          <t>The route being linked to.</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AppRouteReferences row.</t>
        </r>
      </text>
    </comment>
  </commentList>
</comments>
</file>

<file path=xl/comments7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the rulebook table name, verbatim. rulebook-to-postgres synthesizes a lowercased slug PK for a table with no &lt;Entity&gt;Id and rewrites every FK to it, which broke each formula comparing an FK to TableName.</t>
        </r>
      </text>
    </comment>
    <comment ref="C1" authorId="0">
      <text>
        <r>
          <rPr>
            <rFont val="Aptos Narrow"/>
            <b/>
            <color rgb="FFFFFFFF"/>
            <sz val="11"/>
          </rPr>
          <t>Human-readable calculated display alias.</t>
        </r>
      </text>
    </comment>
    <comment ref="D1" authorId="0">
      <text>
        <r>
          <rPr>
            <rFont val="Aptos Narrow"/>
            <b/>
            <color rgb="FFFFFFFF"/>
            <sz val="11"/>
          </rPr>
          <t>snake_case Postgres base table name emitted by rulebook-to-postgres.</t>
        </r>
      </text>
    </comment>
    <comment ref="E1" authorId="0">
      <text>
        <r>
          <rPr>
            <rFont val="Aptos Narrow"/>
            <b/>
            <color rgb="FFFFFFFF"/>
            <sz val="11"/>
          </rPr>
          <t>snake_case Postgres view name (vw_*) carrying the computed columns.</t>
        </r>
      </text>
    </comment>
    <comment ref="F1" authorId="0">
      <text>
        <r>
          <rPr>
            <rFont val="Aptos Narrow"/>
            <b/>
            <color rgb="FFFFFFFF"/>
            <sz val="11"/>
          </rPr>
          <t>Coarse grouping used to organise role schemas, e.g. 'execution', 'governance'.</t>
        </r>
      </text>
    </comment>
    <comment ref="G1" authorId="0">
      <text>
        <r>
          <rPr>
            <rFont val="Aptos Narrow"/>
            <b/>
            <color rgb="FFFFFFFF"/>
            <sz val="11"/>
          </rPr>
          <t>True when this table is an ERB extension rather than a native/aligned PKO term.</t>
        </r>
      </text>
    </comment>
    <comment ref="H1" authorId="0">
      <text>
        <r>
          <rPr>
            <rFont val="Aptos Narrow"/>
            <b/>
            <color rgb="FFFFFFFF"/>
            <sz val="11"/>
          </rPr>
          <t>Number of catalogued fields on this table.</t>
        </r>
      </text>
    </comment>
    <comment ref="I1" authorId="0">
      <text>
        <r>
          <rPr>
            <rFont val="Aptos Narrow"/>
            <b/>
            <color rgb="FFFFFFFF"/>
            <sz val="11"/>
          </rPr>
          <t>Number of access policies targeting this table.</t>
        </r>
      </text>
    </comment>
    <comment ref="J1" authorId="0">
      <text>
        <r>
          <rPr>
            <rFont val="Aptos Narrow"/>
            <b/>
            <color rgb="FFFFFFFF"/>
            <sz val="11"/>
          </rPr>
          <t>True when RLS is enabled but no policy targets the table, so every principal sees zero rows. A fail-closed table nobody has granted access to.</t>
        </r>
      </text>
    </comment>
    <comment ref="K1" authorId="0">
      <text>
        <r>
          <rPr>
            <rFont val="Aptos Narrow"/>
            <b/>
            <color rgb="FFFFFFFF"/>
            <sz val="11"/>
          </rPr>
          <t>How many substrates got at least one cell of this table wrong in the latest conformance run.</t>
        </r>
      </text>
    </comment>
    <comment ref="L1" authorId="0">
      <text>
        <r>
          <rPr>
            <rFont val="Aptos Narrow"/>
            <b/>
            <color rgb="FFFFFFFF"/>
            <sz val="11"/>
          </rPr>
          <t>Semantic type IRI.</t>
        </r>
      </text>
    </comment>
    <comment ref="B1" authorId="0">
      <text>
        <r>
          <rPr>
            <rFont val="Aptos Narrow"/>
            <b/>
            <color rgb="FFFFFFFF"/>
            <sz val="11"/>
          </rPr>
          <t>Stored logical identifier: the rulebook table name, e.g. 'Procedures'.</t>
        </r>
      </text>
    </comment>
  </commentList>
</comments>
</file>

<file path=xl/comments7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'principal-controller'.</t>
        </r>
      </text>
    </comment>
    <comment ref="C1" authorId="0">
      <text>
        <r>
          <rPr>
            <rFont val="Aptos Narrow"/>
            <b/>
            <color rgb="FFFFFFFF"/>
            <sz val="11"/>
          </rPr>
          <t>Display label shown in the console role picker.</t>
        </r>
      </text>
    </comment>
    <comment ref="D1" authorId="0">
      <text>
        <r>
          <rPr>
            <rFont val="Aptos Narrow"/>
            <b/>
            <color rgb="FFFFFFFF"/>
            <sz val="11"/>
          </rPr>
          <t>Domain role whose authority this principal exercises.</t>
        </r>
      </text>
    </comment>
    <comment ref="E1" authorId="0">
      <text>
        <r>
          <rPr>
            <rFont val="Aptos Narrow"/>
            <b/>
            <color rgb="FFFFFFFF"/>
            <sz val="11"/>
          </rPr>
          <t>Postgres role name this principal authenticates as, e.g. 'pko_controller'.</t>
        </r>
      </text>
    </comment>
    <comment ref="F1" authorId="0">
      <text>
        <r>
          <rPr>
            <rFont val="Aptos Narrow"/>
            <b/>
            <color rgb="FFFFFFFF"/>
            <sz val="11"/>
          </rPr>
          <t>Postgres schema that is this principal's entire visible world, e.g. 'pko_controller'.</t>
        </r>
      </text>
    </comment>
    <comment ref="G1" authorId="0">
      <text>
        <r>
          <rPr>
            <rFont val="Aptos Narrow"/>
            <b/>
            <color rgb="FFFFFFFF"/>
            <sz val="11"/>
          </rPr>
          <t>True when this principal may read every table and edit access policy.</t>
        </r>
      </text>
    </comment>
    <comment ref="H1" authorId="0">
      <text>
        <r>
          <rPr>
            <rFont val="Aptos Narrow"/>
            <b/>
            <color rgb="FFFFFFFF"/>
            <sz val="11"/>
          </rPr>
          <t>Organization inherited from the domain role; the default tenancy boundary for row predicates.</t>
        </r>
      </text>
    </comment>
    <comment ref="I1" authorId="0">
      <text>
        <r>
          <rPr>
            <rFont val="Aptos Narrow"/>
            <b/>
            <color rgb="FFFFFFFF"/>
            <sz val="11"/>
          </rPr>
          <t>Label of the domain role, for display.</t>
        </r>
      </text>
    </comment>
    <comment ref="J1" authorId="0">
      <text>
        <r>
          <rPr>
            <rFont val="Aptos Narrow"/>
            <b/>
            <color rgb="FFFFFFFF"/>
            <sz val="11"/>
          </rPr>
          <t>Number of row policies granted to this principal.</t>
        </r>
      </text>
    </comment>
    <comment ref="K1" authorId="0">
      <text>
        <r>
          <rPr>
            <rFont val="Aptos Narrow"/>
            <b/>
            <color rgb="FFFFFFFF"/>
            <sz val="11"/>
          </rPr>
          <t>Number of field grants held by this principal.</t>
        </r>
      </text>
    </comment>
    <comment ref="L1" authorId="0">
      <text>
        <r>
          <rPr>
            <rFont val="Aptos Narrow"/>
            <b/>
            <color rgb="FFFFFFFF"/>
            <sz val="11"/>
          </rPr>
          <t>Number of tables exposed in this principal's schema.</t>
        </r>
      </text>
    </comment>
    <comment ref="M1" authorId="0">
      <text>
        <r>
          <rPr>
            <rFont val="Aptos Narrow"/>
            <b/>
            <color rgb="FFFFFFFF"/>
            <sz val="11"/>
          </rPr>
          <t>True when the principal holds no policies at all, so its schema is empty and it can read nothing. Fail-closed by construction.</t>
        </r>
      </text>
    </comment>
    <comment ref="N1" authorId="0">
      <text>
        <r>
          <rPr>
            <rFont val="Aptos Narrow"/>
            <b/>
            <color rgb="FFFFFFFF"/>
            <sz val="11"/>
          </rPr>
          <t>True when a non-administrator principal can reach every table in the rulebook -- an admin-equivalent principal that was never declared as one.</t>
        </r>
      </text>
    </comment>
    <comment ref="O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'pol-controller-procedures-select'.</t>
        </r>
      </text>
    </comment>
    <comment ref="C1" authorId="0">
      <text>
        <r>
          <rPr>
            <rFont val="Aptos Narrow"/>
            <b/>
            <color rgb="FFFFFFFF"/>
            <sz val="11"/>
          </rPr>
          <t>Principal this policy grants to.</t>
        </r>
      </text>
    </comment>
    <comment ref="D1" authorId="0">
      <text>
        <r>
          <rPr>
            <rFont val="Aptos Narrow"/>
            <b/>
            <color rgb="FFFFFFFF"/>
            <sz val="11"/>
          </rPr>
          <t>Rulebook table this policy guards.</t>
        </r>
      </text>
    </comment>
    <comment ref="E1" authorId="0">
      <text>
        <r>
          <rPr>
            <rFont val="Aptos Narrow"/>
            <b/>
            <color rgb="FFFFFFFF"/>
            <sz val="11"/>
          </rPr>
          <t>SQL command the policy governs: SELECT, INSERT, UPDATE, DELETE or ALL.</t>
        </r>
      </text>
    </comment>
    <comment ref="F1" authorId="0">
      <text>
        <r>
          <rPr>
            <rFont val="Aptos Narrow"/>
            <b/>
            <color rgb="FFFFFFFF"/>
            <sz val="11"/>
          </rPr>
          <t>SQL boolean expression emitted into USING(...). Empty means all rows of the table. Must not sub-select the guarded table -- Postgres raises infinite recursion; route such predicates through a SECURITY DEFINER function instead.</t>
        </r>
      </text>
    </comment>
    <comment ref="G1" authorId="0">
      <text>
        <r>
          <rPr>
            <rFont val="Aptos Narrow"/>
            <b/>
            <color rgb="FFFFFFFF"/>
            <sz val="11"/>
          </rPr>
          <t>SQL boolean expression emitted into WITH CHECK(...) for write commands. Empty reuses RowPredicate.</t>
        </r>
      </text>
    </comment>
    <comment ref="H1" authorId="0">
      <text>
        <r>
          <rPr>
            <rFont val="Aptos Narrow"/>
            <b/>
            <color rgb="FFFFFFFF"/>
            <sz val="11"/>
          </rPr>
          <t>Why this principal is entitled to these rows, in the granting authority's words.</t>
        </r>
      </text>
    </comment>
    <comment ref="I1" authorId="0">
      <text>
        <r>
          <rPr>
            <rFont val="Aptos Narrow"/>
            <b/>
            <color rgb="FFFFFFFF"/>
            <sz val="11"/>
          </rPr>
          <t>True when RowPredicate calls a calc_* function, i.e. the cut depends on a derived field rather than a stored column.</t>
        </r>
      </text>
    </comment>
    <comment ref="J1" authorId="0">
      <text>
        <r>
          <rPr>
            <rFont val="Aptos Narrow"/>
            <b/>
            <color rgb="FFFFFFFF"/>
            <sz val="11"/>
          </rPr>
          <t>True when this policy governs a mutating command.</t>
        </r>
      </text>
    </comment>
    <comment ref="K1" authorId="0">
      <text>
        <r>
          <rPr>
            <rFont val="Aptos Narrow"/>
            <b/>
            <color rgb="FFFFFFFF"/>
            <sz val="11"/>
          </rPr>
          <t>True when the policy carries no predicate, exposing every row of the target table to the principal.</t>
        </r>
      </text>
    </comment>
    <comment ref="L1" authorId="0">
      <text>
        <r>
          <rPr>
            <rFont val="Aptos Narrow"/>
            <b/>
            <color rgb="FFFFFFFF"/>
            <sz val="11"/>
          </rPr>
          <t>Whether the granted principal is an administrator.</t>
        </r>
      </text>
    </comment>
    <comment ref="M1" authorId="0">
      <text>
        <r>
          <rPr>
            <rFont val="Aptos Narrow"/>
            <b/>
            <color rgb="FFFFFFFF"/>
            <sz val="11"/>
          </rPr>
          <t>True when a non-administrator principal is granted an unrestricted policy -- a whole-table exposure that no row predicate narrows. The single highest-signal privilege-escalation witness in the model.</t>
        </r>
      </text>
    </comment>
    <comment ref="N1" authorId="0">
      <text>
        <r>
          <rPr>
            <rFont val="Aptos Narrow"/>
            <b/>
            <color rgb="FFFFFFFF"/>
            <sz val="11"/>
          </rPr>
          <t>True when a write policy has no denial test proving it refuses out-of-scope rows. An untested write grant is an assertion, not evidence.</t>
        </r>
      </text>
    </comment>
    <comment ref="O1" authorId="0">
      <text>
        <r>
          <rPr>
            <rFont val="Aptos Narrow"/>
            <b/>
            <color rgb="FFFFFFFF"/>
            <sz val="11"/>
          </rPr>
          <t>Number of denial tests seeded against this policy.</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'fg-controller-Procedures.Title'.</t>
        </r>
      </text>
    </comment>
    <comment ref="C1" authorId="0">
      <text>
        <r>
          <rPr>
            <rFont val="Aptos Narrow"/>
            <b/>
            <color rgb="FFFFFFFF"/>
            <sz val="11"/>
          </rPr>
          <t>Principal receiving the grant.</t>
        </r>
      </text>
    </comment>
    <comment ref="D1" authorId="0">
      <text>
        <r>
          <rPr>
            <rFont val="Aptos Narrow"/>
            <b/>
            <color rgb="FFFFFFFF"/>
            <sz val="11"/>
          </rPr>
          <t>Catalogued field being exposed.</t>
        </r>
      </text>
    </comment>
    <comment ref="E1" authorId="0">
      <text>
        <r>
          <rPr>
            <rFont val="Aptos Narrow"/>
            <b/>
            <color rgb="FFFFFFFF"/>
            <sz val="11"/>
          </rPr>
          <t>True when the principal may read this field.</t>
        </r>
      </text>
    </comment>
    <comment ref="F1" authorId="0">
      <text>
        <r>
          <rPr>
            <rFont val="Aptos Narrow"/>
            <b/>
            <color rgb="FFFFFFFF"/>
            <sz val="11"/>
          </rPr>
          <t>True when the principal may write this field.</t>
        </r>
      </text>
    </comment>
    <comment ref="G1" authorId="0">
      <text>
        <r>
          <rPr>
            <rFont val="Aptos Narrow"/>
            <b/>
            <color rgb="FFFFFFFF"/>
            <sz val="11"/>
          </rPr>
          <t>How the value is presented when read: 'plain', 'redacted' or 'hashed'.</t>
        </r>
      </text>
    </comment>
    <comment ref="H1" authorId="0">
      <text>
        <r>
          <rPr>
            <rFont val="Aptos Narrow"/>
            <b/>
            <color rgb="FFFFFFFF"/>
            <sz val="11"/>
          </rPr>
          <t>Table the granted field belongs to.</t>
        </r>
      </text>
    </comment>
    <comment ref="I1" authorId="0">
      <text>
        <r>
          <rPr>
            <rFont val="Aptos Narrow"/>
            <b/>
            <color rgb="FFFFFFFF"/>
            <sz val="11"/>
          </rPr>
          <t>Name of the granted field.</t>
        </r>
      </text>
    </comment>
    <comment ref="J1" authorId="0">
      <text>
        <r>
          <rPr>
            <rFont val="Aptos Narrow"/>
            <b/>
            <color rgb="FFFFFFFF"/>
            <sz val="11"/>
          </rPr>
          <t>Whether the granted field is a derived (calculated/lookup/aggregation) field.</t>
        </r>
      </text>
    </comment>
    <comment ref="K1" authorId="0">
      <text>
        <r>
          <rPr>
            <rFont val="Aptos Narrow"/>
            <b/>
            <color rgb="FFFFFFFF"/>
            <sz val="11"/>
          </rPr>
          <t>True when a derived field has been granted write access. Derived fields are computed by the substrate and cannot be written -- such a grant is incoherent and must be corrected.</t>
        </r>
      </text>
    </comment>
    <comment ref="L1" authorId="0">
      <text>
        <r>
          <rPr>
            <rFont val="Aptos Narrow"/>
            <b/>
            <color rgb="FFFFFFFF"/>
            <sz val="11"/>
          </rPr>
          <t>True when the value is transformed rather than shown verbatim.</t>
        </r>
      </text>
    </comment>
    <comment ref="M1" authorId="0">
      <text>
        <r>
          <rPr>
            <rFont val="Aptos Narrow"/>
            <b/>
            <color rgb="FFFFFFFF"/>
            <sz val="11"/>
          </rPr>
          <t>Composite echo of principal and table, blank unless readable. Enables single-criterion COUNTIFS rollups of readable columns per principal per table, per the documented multi-criteria COUNTIFS defect.</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'schema-controller'.</t>
        </r>
      </text>
    </comment>
    <comment ref="C1" authorId="0">
      <text>
        <r>
          <rPr>
            <rFont val="Aptos Narrow"/>
            <b/>
            <color rgb="FFFFFFFF"/>
            <sz val="11"/>
          </rPr>
          <t>Principal that owns this schema.</t>
        </r>
      </text>
    </comment>
    <comment ref="D1" authorId="0">
      <text>
        <r>
          <rPr>
            <rFont val="Aptos Narrow"/>
            <b/>
            <color rgb="FFFFFFFF"/>
            <sz val="11"/>
          </rPr>
          <t>Postgres schema name, e.g. 'pko_controller'.</t>
        </r>
      </text>
    </comment>
    <comment ref="E1" authorId="0">
      <text>
        <r>
          <rPr>
            <rFont val="Aptos Narrow"/>
            <b/>
            <color rgb="FFFFFFFF"/>
            <sz val="11"/>
          </rPr>
          <t>search_path set for this principal's sessions. The principal's own schema only -- public is deliberately excluded so base tables cannot be named.</t>
        </r>
      </text>
    </comment>
    <comment ref="F1" authorId="0">
      <text>
        <r>
          <rPr>
            <rFont val="Aptos Narrow"/>
            <b/>
            <color rgb="FFFFFFFF"/>
            <sz val="11"/>
          </rPr>
          <t>True when the principal may not create objects in its own schema.</t>
        </r>
      </text>
    </comment>
    <comment ref="G1" authorId="0">
      <text>
        <r>
          <rPr>
            <rFont val="Aptos Narrow"/>
            <b/>
            <color rgb="FFFFFFFF"/>
            <sz val="11"/>
          </rPr>
          <t>Number of views exposed in this schema.</t>
        </r>
      </text>
    </comment>
    <comment ref="H1" authorId="0">
      <text>
        <r>
          <rPr>
            <rFont val="Aptos Narrow"/>
            <b/>
            <color rgb="FFFFFFFF"/>
            <sz val="11"/>
          </rPr>
          <t>True when the schema exposes no views, so the principal can read nothing at all.</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'rsv-controller-procedures'.</t>
        </r>
      </text>
    </comment>
    <comment ref="C1" authorId="0">
      <text>
        <r>
          <rPr>
            <rFont val="Aptos Narrow"/>
            <b/>
            <color rgb="FFFFFFFF"/>
            <sz val="11"/>
          </rPr>
          <t>Schema this view is emitted into.</t>
        </r>
      </text>
    </comment>
    <comment ref="D1" authorId="0">
      <text>
        <r>
          <rPr>
            <rFont val="Aptos Narrow"/>
            <b/>
            <color rgb="FFFFFFFF"/>
            <sz val="11"/>
          </rPr>
          <t>Principal that will read this view.</t>
        </r>
      </text>
    </comment>
    <comment ref="E1" authorId="0">
      <text>
        <r>
          <rPr>
            <rFont val="Aptos Narrow"/>
            <b/>
            <color rgb="FFFFFFFF"/>
            <sz val="11"/>
          </rPr>
          <t>Rulebook table this view exposes.</t>
        </r>
      </text>
    </comment>
    <comment ref="F1" authorId="0">
      <text>
        <r>
          <rPr>
            <rFont val="Aptos Narrow"/>
            <b/>
            <color rgb="FFFFFFFF"/>
            <sz val="11"/>
          </rPr>
          <t>Unqualified view name inside the principal's schema, e.g. 'procedures'.</t>
        </r>
      </text>
    </comment>
    <comment ref="G1" authorId="0">
      <text>
        <r>
          <rPr>
            <rFont val="Aptos Narrow"/>
            <b/>
            <color rgb="FFFFFFFF"/>
            <sz val="11"/>
          </rPr>
          <t>Schema name, from the owning RoleSchemas row.</t>
        </r>
      </text>
    </comment>
    <comment ref="H1" authorId="0">
      <text>
        <r>
          <rPr>
            <rFont val="Aptos Narrow"/>
            <b/>
            <color rgb="FFFFFFFF"/>
            <sz val="11"/>
          </rPr>
          <t>Underlying computed view this narrows, e.g. 'vw_procedures'.</t>
        </r>
      </text>
    </comment>
    <comment ref="I1" authorId="0">
      <text>
        <r>
          <rPr>
            <rFont val="Aptos Narrow"/>
            <b/>
            <color rgb="FFFFFFFF"/>
            <sz val="11"/>
          </rPr>
          <t>Composite key matching FieldGrants.GrantKeyWhenReadable, used to roll up this view's readable column count.</t>
        </r>
      </text>
    </comment>
    <comment ref="J1" authorId="0">
      <text>
        <r>
          <rPr>
            <rFont val="Aptos Narrow"/>
            <b/>
            <color rgb="FFFFFFFF"/>
            <sz val="11"/>
          </rPr>
          <t>Number of columns exposed, derived live from the principal's readable field grants. Change one grant and this view's shape changes.</t>
        </r>
      </text>
    </comment>
    <comment ref="K1" authorId="0">
      <text>
        <r>
          <rPr>
            <rFont val="Aptos Narrow"/>
            <b/>
            <color rgb="FFFFFFFF"/>
            <sz val="11"/>
          </rPr>
          <t>Total catalogued fields on the target table.</t>
        </r>
      </text>
    </comment>
    <comment ref="L1" authorId="0">
      <text>
        <r>
          <rPr>
            <rFont val="Aptos Narrow"/>
            <b/>
            <color rgb="FFFFFFFF"/>
            <sz val="11"/>
          </rPr>
          <t>True when every field on the table is exposed, so the horizontal cut removes nothing.</t>
        </r>
      </text>
    </comment>
    <comment ref="M1" authorId="0">
      <text>
        <r>
          <rPr>
            <rFont val="Aptos Narrow"/>
            <b/>
            <color rgb="FFFFFFFF"/>
            <sz val="11"/>
          </rPr>
          <t>True when the view exposes zero columns -- an emitted view that cannot be selected from. A generator that emits this has produced invalid DDL.</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'claim-email'.</t>
        </r>
      </text>
    </comment>
    <comment ref="C1" authorId="0">
      <text>
        <r>
          <rPr>
            <rFont val="Aptos Narrow"/>
            <b/>
            <color rgb="FFFFFFFF"/>
            <sz val="11"/>
          </rPr>
          <t>Claim key as it appears in the verified JWT payload, e.g. 'email'.</t>
        </r>
      </text>
    </comment>
    <comment ref="D1" authorId="0">
      <text>
        <r>
          <rPr>
            <rFont val="Aptos Narrow"/>
            <b/>
            <color rgb="FFFFFFFF"/>
            <sz val="11"/>
          </rPr>
          <t>SQL function a policy calls to read the claim, e.g. 'app.jwt_email()'.</t>
        </r>
      </text>
    </comment>
    <comment ref="E1" authorId="0">
      <text>
        <r>
          <rPr>
            <rFont val="Aptos Narrow"/>
            <b/>
            <color rgb="FFFFFFFF"/>
            <sz val="11"/>
          </rPr>
          <t>True for claims magic-links controls and an app cannot override: email, iss, iat, nbf, exp, sub, tenant_id.</t>
        </r>
      </text>
    </comment>
    <comment ref="F1" authorId="0">
      <text>
        <r>
          <rPr>
            <rFont val="Aptos Narrow"/>
            <b/>
            <color rgb="FFFFFFFF"/>
            <sz val="11"/>
          </rPr>
          <t>True when this claim is what resolves the caller to an AccessPrincipals row.</t>
        </r>
      </text>
    </comment>
    <comment ref="G1" authorId="0">
      <text>
        <r>
          <rPr>
            <rFont val="Aptos Narrow"/>
            <b/>
            <color rgb="FFFFFFFF"/>
            <sz val="11"/>
          </rPr>
          <t>What the claim asserts and who vouches for it.</t>
        </r>
      </text>
    </comment>
    <comment ref="H1" authorId="0">
      <text>
        <r>
          <rPr>
            <rFont val="Aptos Narrow"/>
            <b/>
            <color rgb="FFFFFFFF"/>
            <sz val="11"/>
          </rPr>
          <t>Number of policies whose predicate calls this accessor.</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'deny-analyst-other-org-procedures'.</t>
        </r>
      </text>
    </comment>
    <comment ref="C1" authorId="0">
      <text>
        <r>
          <rPr>
            <rFont val="Aptos Narrow"/>
            <b/>
            <color rgb="FFFFFFFF"/>
            <sz val="11"/>
          </rPr>
          <t>Policy this test exercises.</t>
        </r>
      </text>
    </comment>
    <comment ref="D1" authorId="0">
      <text>
        <r>
          <rPr>
            <rFont val="Aptos Narrow"/>
            <b/>
            <color rgb="FFFFFFFF"/>
            <sz val="11"/>
          </rPr>
          <t>Principal the query runs as.</t>
        </r>
      </text>
    </comment>
    <comment ref="E1" authorId="0">
      <text>
        <r>
          <rPr>
            <rFont val="Aptos Narrow"/>
            <b/>
            <color rgb="FFFFFFFF"/>
            <sz val="11"/>
          </rPr>
          <t>Table queried.</t>
        </r>
      </text>
    </comment>
    <comment ref="F1" authorId="0">
      <text>
        <r>
          <rPr>
            <rFont val="Aptos Narrow"/>
            <b/>
            <color rgb="FFFFFFFF"/>
            <sz val="11"/>
          </rPr>
          <t>Primary key of the row that must be invisible to this principal.</t>
        </r>
      </text>
    </comment>
    <comment ref="G1" authorId="0">
      <text>
        <r>
          <rPr>
            <rFont val="Aptos Narrow"/>
            <b/>
            <color rgb="FFFFFFFF"/>
            <sz val="11"/>
          </rPr>
          <t>False for a denial test: the row must not appear. True asserts a row the principal is entitled to does appear.</t>
        </r>
      </text>
    </comment>
    <comment ref="H1" authorId="0">
      <text>
        <r>
          <rPr>
            <rFont val="Aptos Narrow"/>
            <b/>
            <color rgb="FFFFFFFF"/>
            <sz val="11"/>
          </rPr>
          <t>What the substrate actually returned on the last run. Written back by the verifier, never hand-set.</t>
        </r>
      </text>
    </comment>
    <comment ref="I1" authorId="0">
      <text>
        <r>
          <rPr>
            <rFont val="Aptos Narrow"/>
            <b/>
            <color rgb="FFFFFFFF"/>
            <sz val="11"/>
          </rPr>
          <t>When this test was last executed against Postgres.</t>
        </r>
      </text>
    </comment>
    <comment ref="J1" authorId="0">
      <text>
        <r>
          <rPr>
            <rFont val="Aptos Narrow"/>
            <b/>
            <color rgb="FFFFFFFF"/>
            <sz val="11"/>
          </rPr>
          <t>True once the test has been executed at least once.</t>
        </r>
      </text>
    </comment>
    <comment ref="K1" authorId="0">
      <text>
        <r>
          <rPr>
            <rFont val="Aptos Narrow"/>
            <b/>
            <color rgb="FFFFFFFF"/>
            <sz val="11"/>
          </rPr>
          <t>True when observed visibility matches expectation.</t>
        </r>
      </text>
    </comment>
    <comment ref="L1" authorId="0">
      <text>
        <r>
          <rPr>
            <rFont val="Aptos Narrow"/>
            <b/>
            <color rgb="FFFFFFFF"/>
            <sz val="11"/>
          </rPr>
          <t>True when a row that must be invisible was returned. A confirmed access-control breach.</t>
        </r>
      </text>
    </comment>
    <comment ref="M1" authorId="0">
      <text>
        <r>
          <rPr>
            <rFont val="Aptos Narrow"/>
            <b/>
            <color rgb="FFFFFFFF"/>
            <sz val="11"/>
          </rPr>
          <t>True when the test has never run, so it proves nothing regardless of how it is written.</t>
        </r>
      </text>
    </comment>
    <comment ref="N1" authorId="0">
      <text>
        <r>
          <rPr>
            <rFont val="Aptos Narrow"/>
            <b/>
            <color rgb="FFFFFFFF"/>
            <sz val="11"/>
          </rPr>
          <t>Why this row must (or must not) be visible, and which predicate it exercises.</t>
        </r>
      </text>
    </comment>
    <comment ref="O1" authorId="0">
      <text>
        <r>
          <rPr>
            <rFont val="Aptos Narrow"/>
            <b/>
            <color rgb="FFFFFFFF"/>
            <sz val="11"/>
          </rPr>
          <t>True when this test asserts a row the principal IS entitled to. A denial suite with no positive controls cannot distinguish a working policy from one that denies everything.</t>
        </r>
      </text>
    </comment>
    <comment ref="P1" authorId="0">
      <text>
        <r>
          <rPr>
            <rFont val="Aptos Narrow"/>
            <b/>
            <color rgb="FFFFFFFF"/>
            <sz val="11"/>
          </rPr>
          <t>For a table-absence witness: the table that must NOT exist in this principal's schema. Selecting it must raise 'relation does not exist', not return zero rows.</t>
        </r>
      </text>
    </comment>
    <comment ref="Q1" authorId="0">
      <text>
        <r>
          <rPr>
            <rFont val="Aptos Narrow"/>
            <b/>
            <color rgb="FFFFFFFF"/>
            <sz val="11"/>
          </rPr>
          <t>For a column-absence witness: the column that must NOT exist in this principal's view. Selecting it must raise 'column does not exist', not return null.</t>
        </r>
      </text>
    </comment>
    <comment ref="R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'user-maria-chen'.</t>
        </r>
      </text>
    </comment>
    <comment ref="C1" authorId="0">
      <text>
        <r>
          <rPr>
            <rFont val="Aptos Narrow"/>
            <b/>
            <color rgb="FFFFFFFF"/>
            <sz val="11"/>
          </rPr>
          <t>Verified email. The one claim magic-links vouches for, and the join key from a token back to this row.</t>
        </r>
      </text>
    </comment>
    <comment ref="D1" authorId="0">
      <text>
        <r>
          <rPr>
            <rFont val="Aptos Narrow"/>
            <b/>
            <color rgb="FFFFFFFF"/>
            <sz val="11"/>
          </rPr>
          <t>Name shown in the console.</t>
        </r>
      </text>
    </comment>
    <comment ref="E1" authorId="0">
      <text>
        <r>
          <rPr>
            <rFont val="Aptos Narrow"/>
            <b/>
            <color rgb="FFFFFFFF"/>
            <sz val="11"/>
          </rPr>
          <t>Domain agent this sign-in identity corresponds to.</t>
        </r>
      </text>
    </comment>
    <comment ref="F1" authorId="0">
      <text>
        <r>
          <rPr>
            <rFont val="Aptos Narrow"/>
            <b/>
            <color rgb="FFFFFFFF"/>
            <sz val="11"/>
          </rPr>
          <t>False disables sign-in without deleting the identity or its history.</t>
        </r>
      </text>
    </comment>
    <comment ref="G1" authorId="0">
      <text>
        <r>
          <rPr>
            <rFont val="Aptos Narrow"/>
            <b/>
            <color rgb="FFFFFFFF"/>
            <sz val="11"/>
          </rPr>
          <t>Whether the linked agent is Human, AIAgent or AutomatedPipeline.</t>
        </r>
      </text>
    </comment>
    <comment ref="H1" authorId="0">
      <text>
        <r>
          <rPr>
            <rFont val="Aptos Narrow"/>
            <b/>
            <color rgb="FFFFFFFF"/>
            <sz val="11"/>
          </rPr>
          <t>Organization inherited from the linked agent; the tenancy claim baked into issued tokens.</t>
        </r>
      </text>
    </comment>
    <comment ref="I1" authorId="0">
      <text>
        <r>
          <rPr>
            <rFont val="Aptos Narrow"/>
            <b/>
            <color rgb="FFFFFFFF"/>
            <sz val="11"/>
          </rPr>
          <t>Number of principals this user may act as.</t>
        </r>
      </text>
    </comment>
    <comment ref="J1" authorId="0">
      <text>
        <r>
          <rPr>
            <rFont val="Aptos Narrow"/>
            <b/>
            <color rgb="FFFFFFFF"/>
            <sz val="11"/>
          </rPr>
          <t>True when the user may act as no principal at all, so a successfully verified token still grants nothing. Authentication without authorization.</t>
        </r>
      </text>
    </comment>
    <comment ref="K1" authorId="0">
      <text>
        <r>
          <rPr>
            <rFont val="Aptos Narrow"/>
            <b/>
            <color rgb="FFFFFFFF"/>
            <sz val="11"/>
          </rPr>
          <t>True when the user may act as more than one principal, so the principal cannot be inferred from the email alone and must be chosen explicitly at sign-in.</t>
        </r>
      </text>
    </comment>
    <comment ref="L1" authorId="0">
      <text>
        <r>
          <rPr>
            <rFont val="Aptos Narrow"/>
            <b/>
            <color rgb="FFFFFFFF"/>
            <sz val="11"/>
          </rPr>
          <t>True when a non-human agent has a sign-in identity. Pipelines and AI agents authenticate too, and their tokens are scoped exactly like a person's.</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'pa-maria-finance-analyst'.</t>
        </r>
      </text>
    </comment>
    <comment ref="C1" authorId="0">
      <text>
        <r>
          <rPr>
            <rFont val="Aptos Narrow"/>
            <b/>
            <color rgb="FFFFFFFF"/>
            <sz val="11"/>
          </rPr>
          <t>Sign-in identity being granted.</t>
        </r>
      </text>
    </comment>
    <comment ref="D1" authorId="0">
      <text>
        <r>
          <rPr>
            <rFont val="Aptos Narrow"/>
            <b/>
            <color rgb="FFFFFFFF"/>
            <sz val="11"/>
          </rPr>
          <t>Principal the user may act as.</t>
        </r>
      </text>
    </comment>
    <comment ref="E1" authorId="0">
      <text>
        <r>
          <rPr>
            <rFont val="Aptos Narrow"/>
            <b/>
            <color rgb="FFFFFFFF"/>
            <sz val="11"/>
          </rPr>
          <t>True for the principal selected when the user does not name one.</t>
        </r>
      </text>
    </comment>
    <comment ref="F1" authorId="0">
      <text>
        <r>
          <rPr>
            <rFont val="Aptos Narrow"/>
            <b/>
            <color rgb="FFFFFFFF"/>
            <sz val="11"/>
          </rPr>
          <t>Why this user may act as this principal.</t>
        </r>
      </text>
    </comment>
    <comment ref="G1" authorId="0">
      <text>
        <r>
          <rPr>
            <rFont val="Aptos Narrow"/>
            <b/>
            <color rgb="FFFFFFFF"/>
            <sz val="11"/>
          </rPr>
          <t>Whether the assigned principal is an administrator.</t>
        </r>
      </text>
    </comment>
    <comment ref="H1" authorId="0">
      <text>
        <r>
          <rPr>
            <rFont val="Aptos Narrow"/>
            <b/>
            <color rgb="FFFFFFFF"/>
            <sz val="11"/>
          </rPr>
          <t>Organization of the signing-in user.</t>
        </r>
      </text>
    </comment>
    <comment ref="I1" authorId="0">
      <text>
        <r>
          <rPr>
            <rFont val="Aptos Narrow"/>
            <b/>
            <color rgb="FFFFFFFF"/>
            <sz val="11"/>
          </rPr>
          <t>Organization of the principal being assumed.</t>
        </r>
      </text>
    </comment>
    <comment ref="J1" authorId="0">
      <text>
        <r>
          <rPr>
            <rFont val="Aptos Narrow"/>
            <b/>
            <color rgb="FFFFFFFF"/>
            <sz val="11"/>
          </rPr>
          <t>True when a user is allowed to act as a principal in a different organization. Legitimate for shared-service roles, but it crosses the tenancy boundary and should be deliberate rather than accidental.</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mint event.</t>
        </r>
      </text>
    </comment>
    <comment ref="C1" authorId="0">
      <text>
        <r>
          <rPr>
            <rFont val="Aptos Narrow"/>
            <b/>
            <color rgb="FFFFFFFF"/>
            <sz val="11"/>
          </rPr>
          <t>Identity that signed in.</t>
        </r>
      </text>
    </comment>
    <comment ref="D1" authorId="0">
      <text>
        <r>
          <rPr>
            <rFont val="Aptos Narrow"/>
            <b/>
            <color rgb="FFFFFFFF"/>
            <sz val="11"/>
          </rPr>
          <t>Principal the token authorises.</t>
        </r>
      </text>
    </comment>
    <comment ref="E1" authorId="0">
      <text>
        <r>
          <rPr>
            <rFont val="Aptos Narrow"/>
            <b/>
            <color rgb="FFFFFFFF"/>
            <sz val="11"/>
          </rPr>
          <t>When the token was minted.</t>
        </r>
      </text>
    </comment>
    <comment ref="F1" authorId="0">
      <text>
        <r>
          <rPr>
            <rFont val="Aptos Narrow"/>
            <b/>
            <color rgb="FFFFFFFF"/>
            <sz val="11"/>
          </rPr>
          <t>When the token stops being accepted.</t>
        </r>
      </text>
    </comment>
    <comment ref="G1" authorId="0">
      <text>
        <r>
          <rPr>
            <rFont val="Aptos Narrow"/>
            <b/>
            <color rgb="FFFFFFFF"/>
            <sz val="11"/>
          </rPr>
          <t>Who minted it: 'dev-mint' locally, or the magic-links tenant URL in production.</t>
        </r>
      </text>
    </comment>
    <comment ref="H1" authorId="0">
      <text>
        <r>
          <rPr>
            <rFont val="Aptos Narrow"/>
            <b/>
            <color rgb="FFFFFFFF"/>
            <sz val="11"/>
          </rPr>
          <t>The 'sub' claim: the AppUserId the bearer is asserted to be.</t>
        </r>
      </text>
    </comment>
    <comment ref="I1" authorId="0">
      <text>
        <r>
          <rPr>
            <rFont val="Aptos Narrow"/>
            <b/>
            <color rgb="FFFFFFFF"/>
            <sz val="11"/>
          </rPr>
          <t>JSON of the additional claims joined from the database at mint time.</t>
        </r>
      </text>
    </comment>
    <comment ref="J1" authorId="0">
      <text>
        <r>
          <rPr>
            <rFont val="Aptos Narrow"/>
            <b/>
            <color rgb="FFFFFFFF"/>
            <sz val="11"/>
          </rPr>
          <t>True when issued by the local dev minter rather than a real magic-links tenant. Dev tokens are genuine RS256 tokens with a genuine keypair; they simply skip the email round-trip.</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ProcessMiningRuns row.</t>
        </r>
      </text>
    </comment>
    <comment ref="C1" authorId="0">
      <text>
        <r>
          <rPr>
            <rFont val="Aptos Narrow"/>
            <b/>
            <color rgb="FFFFFFFF"/>
            <sz val="11"/>
          </rPr>
          <t>Procedure version this mined event log is checked against.</t>
        </r>
      </text>
    </comment>
    <comment ref="D1" authorId="0">
      <text>
        <r>
          <rPr>
            <rFont val="Aptos Narrow"/>
            <b/>
            <color rgb="FFFFFFFF"/>
            <sz val="11"/>
          </rPr>
          <t>System or log the event log was extracted from (e.g. an ERP audit log).</t>
        </r>
      </text>
    </comment>
    <comment ref="E1" authorId="0">
      <text>
        <r>
          <rPr>
            <rFont val="Aptos Narrow"/>
            <b/>
            <color rgb="FFFFFFFF"/>
            <sz val="11"/>
          </rPr>
          <t>When this mining/conformance-checking run was performed.</t>
        </r>
      </text>
    </comment>
    <comment ref="F1" authorId="0">
      <text>
        <r>
          <rPr>
            <rFont val="Aptos Narrow"/>
            <b/>
            <color rgb="FFFFFFFF"/>
            <sz val="11"/>
          </rPr>
          <t>Distinct process variants discovered in the mined event log.</t>
        </r>
      </text>
    </comment>
    <comment ref="G1" authorId="0">
      <text>
        <r>
          <rPr>
            <rFont val="Aptos Narrow"/>
            <b/>
            <color rgb="FFFFFFFF"/>
            <sz val="11"/>
          </rPr>
          <t>How many of the discovered variants exactly match a documented path through StepTransitions.</t>
        </r>
      </text>
    </comment>
    <comment ref="H1" authorId="0">
      <text>
        <r>
          <rPr>
            <rFont val="Aptos Narrow"/>
            <b/>
            <color rgb="FFFFFFFF"/>
            <sz val="11"/>
          </rPr>
          <t>Narrative of the most significant discovered deviation, if any.</t>
        </r>
      </text>
    </comment>
    <comment ref="I1" authorId="0">
      <text>
        <r>
          <rPr>
            <rFont val="Aptos Narrow"/>
            <b/>
            <color rgb="FFFFFFFF"/>
            <sz val="11"/>
          </rPr>
          <t>The evaluation context this row's time-dependent witnesses are judged under.</t>
        </r>
      </text>
    </comment>
    <comment ref="J1" authorId="0">
      <text>
        <r>
          <rPr>
            <rFont val="Aptos Narrow"/>
            <b/>
            <color rgb="FFFFFFFF"/>
            <sz val="11"/>
          </rPr>
          <t>The evaluation instant this row's time-dependent witnesses are judged under.</t>
        </r>
      </text>
    </comment>
    <comment ref="K1" authorId="0">
      <text>
        <r>
          <rPr>
            <rFont val="Aptos Narrow"/>
            <b/>
            <color rgb="FFFFFFFF"/>
            <sz val="11"/>
          </rPr>
          <t>Share of discovered variants that conform to the documented procedure.</t>
        </r>
      </text>
    </comment>
    <comment ref="L1" authorId="0">
      <text>
        <r>
          <rPr>
            <rFont val="Aptos Narrow"/>
            <b/>
            <color rgb="FFFFFFFF"/>
            <sz val="11"/>
          </rPr>
          <t>TRUE when at least 80% of what actually happened matches what was documented.</t>
        </r>
      </text>
    </comment>
    <comment ref="M1" authorId="0">
      <text>
        <r>
          <rPr>
            <rFont val="Aptos Narrow"/>
            <b/>
            <color rgb="FFFFFFFF"/>
            <sz val="11"/>
          </rPr>
          <t>TRUE when less than half of what actually happened matches what was documented.</t>
        </r>
      </text>
    </comment>
    <comment ref="N1" authorId="0">
      <text>
        <r>
          <rPr>
            <rFont val="Aptos Narrow"/>
            <b/>
            <color rgb="FFFFFFFF"/>
            <sz val="11"/>
          </rPr>
          <t>Days elapsed since this event log was mined.</t>
        </r>
      </text>
    </comment>
    <comment ref="O1" authorId="0">
      <text>
        <r>
          <rPr>
            <rFont val="Aptos Narrow"/>
            <b/>
            <color rgb="FFFFFFFF"/>
            <sz val="11"/>
          </rPr>
          <t>TRUE when this mining evidence is more than 180 days old.</t>
        </r>
      </text>
    </comment>
    <comment ref="P1" authorId="0">
      <text>
        <r>
          <rPr>
            <rFont val="Aptos Narrow"/>
            <b/>
            <color rgb="FFFFFFFF"/>
            <sz val="11"/>
          </rPr>
          <t>Whether the procedure version this run was checked against is currently live.</t>
        </r>
      </text>
    </comment>
    <comment ref="Q1" authorId="0">
      <text>
        <r>
          <rPr>
            <rFont val="Aptos Narrow"/>
            <b/>
            <color rgb="FFFFFFFF"/>
            <sz val="11"/>
          </rPr>
          <t>TRUE when a major, real, mined deviation exists against a procedure version people are actually executing right now.</t>
        </r>
      </text>
    </comment>
    <comment ref="R1" authorId="0">
      <text>
        <r>
          <rPr>
            <rFont val="Aptos Narrow"/>
            <b/>
            <color rgb="FFFFFFFF"/>
            <sz val="11"/>
          </rPr>
          <t>Composite-key echo: this run's procedure version when the run drifted on a live version, else blank.</t>
        </r>
      </text>
    </comment>
    <comment ref="S1" authorId="0">
      <text>
        <r>
          <rPr>
            <rFont val="Aptos Narrow"/>
            <b/>
            <color rgb="FFFFFFFF"/>
            <sz val="11"/>
          </rPr>
          <t>Extension class IRI.</t>
        </r>
      </text>
    </comment>
    <comment ref="B1" authorId="0">
      <text>
        <r>
          <rPr>
            <rFont val="Aptos Narrow"/>
            <b/>
            <color rgb="FFFFFFFF"/>
            <sz val="11"/>
          </rPr>
          <t>Human-readable calculated display alias for the ProcessMiningRuns row.</t>
        </r>
      </text>
    </comment>
  </commentList>
</comments>
</file>

<file path=xl/comments8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Vocabularies row.</t>
        </r>
      </text>
    </comment>
    <comment ref="C1" authorId="0">
      <text>
        <r>
          <rPr>
            <rFont val="Aptos Narrow"/>
            <b/>
            <color rgb="FFFFFFFF"/>
            <sz val="11"/>
          </rPr>
          <t>Human-facing name of this controlled vocabulary.</t>
        </r>
      </text>
    </comment>
    <comment ref="D1" authorId="0">
      <text>
        <r>
          <rPr>
            <rFont val="Aptos Narrow"/>
            <b/>
            <color rgb="FFFFFFFF"/>
            <sz val="11"/>
          </rPr>
          <t>SKOS ConceptScheme IRI for this vocabulary.</t>
        </r>
      </text>
    </comment>
    <comment ref="E1" authorId="0">
      <text>
        <r>
          <rPr>
            <rFont val="Aptos Narrow"/>
            <b/>
            <color rgb="FFFFFFFF"/>
            <sz val="11"/>
          </rPr>
          <t>Role accountable for defining and maintaining terms in this vocabulary.</t>
        </r>
      </text>
    </comment>
    <comment ref="F1" authorId="0">
      <text>
        <r>
          <rPr>
            <rFont val="Aptos Narrow"/>
            <b/>
            <color rgb="FFFFFFFF"/>
            <sz val="11"/>
          </rPr>
          <t>How many terms belong to this vocabulary.</t>
        </r>
      </text>
    </comment>
    <comment ref="G1" authorId="0">
      <text>
        <r>
          <rPr>
            <rFont val="Aptos Narrow"/>
            <b/>
            <color rgb="FFFFFFFF"/>
            <sz val="11"/>
          </rPr>
          <t>How many terms in this vocabulary have never actually been used.</t>
        </r>
      </text>
    </comment>
    <comment ref="H1" authorId="0">
      <text>
        <r>
          <rPr>
            <rFont val="Aptos Narrow"/>
            <b/>
            <color rgb="FFFFFFFF"/>
            <sz val="11"/>
          </rPr>
          <t>TRUE when this vocabulary has at least one defined-but-unused term.</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Vocabularies row.</t>
        </r>
      </text>
    </comment>
  </commentList>
</comments>
</file>

<file path=xl/comments8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VocabularyTerms row.</t>
        </r>
      </text>
    </comment>
    <comment ref="C1" authorId="0">
      <text>
        <r>
          <rPr>
            <rFont val="Aptos Narrow"/>
            <b/>
            <color rgb="FFFFFFFF"/>
            <sz val="11"/>
          </rPr>
          <t>Vocabulary this term belongs to.</t>
        </r>
      </text>
    </comment>
    <comment ref="D1" authorId="0">
      <text>
        <r>
          <rPr>
            <rFont val="Aptos Narrow"/>
            <b/>
            <color rgb="FFFFFFFF"/>
            <sz val="11"/>
          </rPr>
          <t>SKOS preferred label — the controlled term itself.</t>
        </r>
      </text>
    </comment>
    <comment ref="E1" authorId="0">
      <text>
        <r>
          <rPr>
            <rFont val="Aptos Narrow"/>
            <b/>
            <color rgb="FFFFFFFF"/>
            <sz val="11"/>
          </rPr>
          <t>Comma-separated synonyms this term should also match.</t>
        </r>
      </text>
    </comment>
    <comment ref="F1" authorId="0">
      <text>
        <r>
          <rPr>
            <rFont val="Aptos Narrow"/>
            <b/>
            <color rgb="FFFFFFFF"/>
            <sz val="11"/>
          </rPr>
          <t>SKOS definition of what this term means.</t>
        </r>
      </text>
    </comment>
    <comment ref="G1" authorId="0">
      <text>
        <r>
          <rPr>
            <rFont val="Aptos Narrow"/>
            <b/>
            <color rgb="FFFFFFFF"/>
            <sz val="11"/>
          </rPr>
          <t>How many Requirements point at this exact term instead of free-texting the concept.</t>
        </r>
      </text>
    </comment>
    <comment ref="H1" authorId="0">
      <text>
        <r>
          <rPr>
            <rFont val="Aptos Narrow"/>
            <b/>
            <color rgb="FFFFFFFF"/>
            <sz val="11"/>
          </rPr>
          <t>TRUE when this term has been defined but nothing in the model actually uses it yet.</t>
        </r>
      </text>
    </comment>
    <comment ref="I1" authorId="0">
      <text>
        <r>
          <rPr>
            <rFont val="Aptos Narrow"/>
            <b/>
            <color rgb="FFFFFFFF"/>
            <sz val="11"/>
          </rPr>
          <t>TRUE when more than one Requirement shares this exact controlled term.</t>
        </r>
      </text>
    </comment>
    <comment ref="J1" authorId="0">
      <text>
        <r>
          <rPr>
            <rFont val="Aptos Narrow"/>
            <b/>
            <color rgb="FFFFFFFF"/>
            <sz val="11"/>
          </rPr>
          <t>Composite-key echo: this term's vocabulary when the term is an orphan, else blank.</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VocabularyTerms row.</t>
        </r>
      </text>
    </comment>
  </commentList>
</comments>
</file>

<file path=xl/comments8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KnowledgeBrokerLinks row.</t>
        </r>
      </text>
    </comment>
    <comment ref="C1" authorId="0">
      <text>
        <r>
          <rPr>
            <rFont val="Aptos Narrow"/>
            <b/>
            <color rgb="FFFFFFFF"/>
            <sz val="11"/>
          </rPr>
          <t>The agent who goes to someone else for this topic.</t>
        </r>
      </text>
    </comment>
    <comment ref="D1" authorId="0">
      <text>
        <r>
          <rPr>
            <rFont val="Aptos Narrow"/>
            <b/>
            <color rgb="FFFFFFFF"/>
            <sz val="11"/>
          </rPr>
          <t>The agent who is actually consulted, whether or not they hold a formal role for it.</t>
        </r>
      </text>
    </comment>
    <comment ref="E1" authorId="0">
      <text>
        <r>
          <rPr>
            <rFont val="Aptos Narrow"/>
            <b/>
            <color rgb="FFFFFFFF"/>
            <sz val="11"/>
          </rPr>
          <t>The controlled topic this reliance is about.</t>
        </r>
      </text>
    </comment>
    <comment ref="F1" authorId="0">
      <text>
        <r>
          <rPr>
            <rFont val="Aptos Narrow"/>
            <b/>
            <color rgb="FFFFFFFF"/>
            <sz val="11"/>
          </rPr>
          <t>Rarely, Sometimes, or Often.</t>
        </r>
      </text>
    </comment>
    <comment ref="G1" authorId="0">
      <text>
        <r>
          <rPr>
            <rFont val="Aptos Narrow"/>
            <b/>
            <color rgb="FFFFFFFF"/>
            <sz val="11"/>
          </rPr>
          <t>When the seeker last actually consulted the broker on this topic.</t>
        </r>
      </text>
    </comment>
    <comment ref="H1" authorId="0">
      <text>
        <r>
          <rPr>
            <rFont val="Aptos Narrow"/>
            <b/>
            <color rgb="FFFFFFFF"/>
            <sz val="11"/>
          </rPr>
          <t>The evaluation context this row's time-dependent witnesses are judged under.</t>
        </r>
      </text>
    </comment>
    <comment ref="I1" authorId="0">
      <text>
        <r>
          <rPr>
            <rFont val="Aptos Narrow"/>
            <b/>
            <color rgb="FFFFFFFF"/>
            <sz val="11"/>
          </rPr>
          <t>The evaluation instant this row's time-dependent witnesses are judged under.</t>
        </r>
      </text>
    </comment>
    <comment ref="J1" authorId="0">
      <text>
        <r>
          <rPr>
            <rFont val="Aptos Narrow"/>
            <b/>
            <color rgb="FFFFFFFF"/>
            <sz val="11"/>
          </rPr>
          <t>Days elapsed since the seeker last consulted the broker.</t>
        </r>
      </text>
    </comment>
    <comment ref="K1" authorId="0">
      <text>
        <r>
          <rPr>
            <rFont val="Aptos Narrow"/>
            <b/>
            <color rgb="FFFFFFFF"/>
            <sz val="11"/>
          </rPr>
          <t>TRUE when this is a live, ongoing informal dependency rather than a one-off or stale contact.</t>
        </r>
      </text>
    </comment>
    <comment ref="L1" authorId="0">
      <text>
        <r>
          <rPr>
            <rFont val="Aptos Narrow"/>
            <b/>
            <color rgb="FFFFFFFF"/>
            <sz val="11"/>
          </rPr>
          <t>Whether the broker being relied on still holds any current role at all.</t>
        </r>
      </text>
    </comment>
    <comment ref="M1" authorId="0">
      <text>
        <r>
          <rPr>
            <rFont val="Aptos Narrow"/>
            <b/>
            <color rgb="FFFFFFFF"/>
            <sz val="11"/>
          </rPr>
          <t>TRUE when someone is actively relying on a broker who has already left every role they held.</t>
        </r>
      </text>
    </comment>
    <comment ref="N1" authorId="0">
      <text>
        <r>
          <rPr>
            <rFont val="Aptos Narrow"/>
            <b/>
            <color rgb="FFFFFFFF"/>
            <sz val="11"/>
          </rPr>
          <t>Composite-key echo: the broker this link names when the reliance is active, else blank.</t>
        </r>
      </text>
    </comment>
    <comment ref="O1" authorId="0">
      <text>
        <r>
          <rPr>
            <rFont val="Aptos Narrow"/>
            <b/>
            <color rgb="FFFFFFFF"/>
            <sz val="11"/>
          </rPr>
          <t>Composite-key echo: the broker this link names when the reliance is at risk, else blank.</t>
        </r>
      </text>
    </comment>
    <comment ref="P1" authorId="0">
      <text>
        <r>
          <rPr>
            <rFont val="Aptos Narrow"/>
            <b/>
            <color rgb="FFFFFFFF"/>
            <sz val="11"/>
          </rPr>
          <t>Extension class IRI.</t>
        </r>
      </text>
    </comment>
    <comment ref="B1" authorId="0">
      <text>
        <r>
          <rPr>
            <rFont val="Aptos Narrow"/>
            <b/>
            <color rgb="FFFFFFFF"/>
            <sz val="11"/>
          </rPr>
          <t>Human-readable calculated display alias for the KnowledgeBrokerLinks row.</t>
        </r>
      </text>
    </comment>
  </commentList>
</comments>
</file>

<file path=xl/comments8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Substrate name as the conformance harness knows it, e.g. 'effortless-python'.</t>
        </r>
      </text>
    </comment>
    <comment ref="C1" authorId="0">
      <text>
        <r>
          <rPr>
            <rFont val="Aptos Narrow"/>
            <b/>
            <color rgb="FFFFFFFF"/>
            <sz val="11"/>
          </rPr>
          <t>Short human label, e.g. 'Python'.</t>
        </r>
      </text>
    </comment>
    <comment ref="D1" authorId="0">
      <text>
        <r>
          <rPr>
            <rFont val="Aptos Narrow"/>
            <b/>
            <color rgb="FFFFFFFF"/>
            <sz val="11"/>
          </rPr>
          <t>The effortless.json tool that produces this substrate, e.g. 'rulebook-to-python'.</t>
        </r>
      </text>
    </comment>
    <comment ref="E1" authorId="0">
      <text>
        <r>
          <rPr>
            <rFont val="Aptos Narrow"/>
            <b/>
            <color rgb="FFFFFFFF"/>
            <sz val="11"/>
          </rPr>
          <t>Project folder the tool writes into, e.g. '/effortless-python'.</t>
        </r>
      </text>
    </comment>
    <comment ref="F1" authorId="0">
      <text>
        <r>
          <rPr>
            <rFont val="Aptos Narrow"/>
            <b/>
            <color rgb="FFFFFFFF"/>
            <sz val="11"/>
          </rPr>
          <t>What actually evaluates the formulas: a database, a language runtime, a spreadsheet engine or a reasoner.</t>
        </r>
      </text>
    </comment>
    <comment ref="G1" authorId="0">
      <text>
        <r>
          <rPr>
            <rFont val="Aptos Narrow"/>
            <b/>
            <color rgb="FFFFFFFF"/>
            <sz val="11"/>
          </rPr>
          <t>One paragraph a curious reader can follow: what the tool emits and how the harness makes it produce answers.</t>
        </r>
      </text>
    </comment>
    <comment ref="H1" authorId="0">
      <text>
        <r>
          <rPr>
            <rFont val="Aptos Narrow"/>
            <b/>
            <color rgb="FFFFFFFF"/>
            <sz val="11"/>
          </rPr>
          <t>'answer-key' for the tool whose stored values every other substrate is graded against; 'graded' for everything else.</t>
        </r>
      </text>
    </comment>
    <comment ref="I1" authorId="0">
      <text>
        <r>
          <rPr>
            <rFont val="Aptos Narrow"/>
            <b/>
            <color rgb="FFFFFFFF"/>
            <sz val="11"/>
          </rPr>
          <t>Display order.</t>
        </r>
      </text>
    </comment>
    <comment ref="J1" authorId="0">
      <text>
        <r>
          <rPr>
            <rFont val="Aptos Narrow"/>
            <b/>
            <color rgb="FFFFFFFF"/>
            <sz val="11"/>
          </rPr>
          <t>True for substrates the harness scores.</t>
        </r>
      </text>
    </comment>
    <comment ref="K1" authorId="0">
      <text>
        <r>
          <rPr>
            <rFont val="Aptos Narrow"/>
            <b/>
            <color rgb="FFFFFFFF"/>
            <sz val="11"/>
          </rPr>
          <t>How many recorded conformance runs graded this substrate.</t>
        </r>
      </text>
    </comment>
    <comment ref="L1" authorId="0">
      <text>
        <r>
          <rPr>
            <rFont val="Aptos Narrow"/>
            <b/>
            <color rgb="FFFFFFFF"/>
            <sz val="11"/>
          </rPr>
          <t>Cells graded in the latest run: every (record x derived field) pair in the answer keys.</t>
        </r>
      </text>
    </comment>
    <comment ref="M1" authorId="0">
      <text>
        <r>
          <rPr>
            <rFont val="Aptos Narrow"/>
            <b/>
            <color rgb="FFFFFFFF"/>
            <sz val="11"/>
          </rPr>
          <t>Cells this substrate computed identically to the answer key in the latest run.</t>
        </r>
      </text>
    </comment>
    <comment ref="N1" authorId="0">
      <text>
        <r>
          <rPr>
            <rFont val="Aptos Narrow"/>
            <b/>
            <color rgb="FFFFFFFF"/>
            <sz val="11"/>
          </rPr>
          <t>1 when the latest run could not execute this substrate at all.</t>
        </r>
      </text>
    </comment>
    <comment ref="O1" authorId="0">
      <text>
        <r>
          <rPr>
            <rFont val="Aptos Narrow"/>
            <b/>
            <color rgb="FFFFFFFF"/>
            <sz val="11"/>
          </rPr>
          <t>Cells this substrate got wrong, or did not produce, in the latest run.</t>
        </r>
      </text>
    </comment>
    <comment ref="P1" authorId="0">
      <text>
        <r>
          <rPr>
            <rFont val="Aptos Narrow"/>
            <b/>
            <color rgb="FFFFFFFF"/>
            <sz val="11"/>
          </rPr>
          <t>Percent of cells agreeing with the answer key in the latest run.</t>
        </r>
      </text>
    </comment>
    <comment ref="Q1" authorId="0">
      <text>
        <r>
          <rPr>
            <rFont val="Aptos Narrow"/>
            <b/>
            <color rgb="FFFFFFFF"/>
            <sz val="11"/>
          </rPr>
          <t>Derived fields on which this substrate got at least one cell wrong in the latest run.</t>
        </r>
      </text>
    </comment>
    <comment ref="R1" authorId="0">
      <text>
        <r>
          <rPr>
            <rFont val="Aptos Narrow"/>
            <b/>
            <color rgb="FFFFFFFF"/>
            <sz val="11"/>
          </rPr>
          <t>Tables on which this substrate got at least one cell wrong in the latest run.</t>
        </r>
      </text>
    </comment>
    <comment ref="S1" authorId="0">
      <text>
        <r>
          <rPr>
            <rFont val="Aptos Narrow"/>
            <b/>
            <color rgb="FFFFFFFF"/>
            <sz val="11"/>
          </rPr>
          <t>True when the latest run graded this substrate, it ran, and every cell agreed. A substrate never graded is not conformant.</t>
        </r>
      </text>
    </comment>
    <comment ref="T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'run-20260913-171500'.</t>
        </r>
      </text>
    </comment>
    <comment ref="C1" authorId="0">
      <text>
        <r>
          <rPr>
            <rFont val="Aptos Narrow"/>
            <b/>
            <color rgb="FFFFFFFF"/>
            <sz val="11"/>
          </rPr>
          <t>When the harness graded the substrates.</t>
        </r>
      </text>
    </comment>
    <comment ref="D1" authorId="0">
      <text>
        <r>
          <rPr>
            <rFont val="Aptos Narrow"/>
            <b/>
            <color rgb="FFFFFFFF"/>
            <sz val="11"/>
          </rPr>
          <t>git HEAD of the repository when the run was recorded; the rulebook may also carry uncommitted edits, noted in Notes.</t>
        </r>
      </text>
    </comment>
    <comment ref="E1" authorId="0">
      <text>
        <r>
          <rPr>
            <rFont val="Aptos Narrow"/>
            <b/>
            <color rgb="FFFFFFFF"/>
            <sz val="11"/>
          </rPr>
          <t>The substrate whose stored values were the answer keys for this run.</t>
        </r>
      </text>
    </comment>
    <comment ref="F1" authorId="0">
      <text>
        <r>
          <rPr>
            <rFont val="Aptos Narrow"/>
            <b/>
            <color rgb="FFFFFFFF"/>
            <sz val="11"/>
          </rPr>
          <t>True for the most recent recorded run only. The recorder moves it.</t>
        </r>
      </text>
    </comment>
    <comment ref="G1" authorId="0">
      <text>
        <r>
          <rPr>
            <rFont val="Aptos Narrow"/>
            <b/>
            <color rgb="FFFFFFFF"/>
            <sz val="11"/>
          </rPr>
          <t>Anything a reader needs to interpret the run.</t>
        </r>
      </text>
    </comment>
    <comment ref="H1" authorId="0">
      <text>
        <r>
          <rPr>
            <rFont val="Aptos Narrow"/>
            <b/>
            <color rgb="FFFFFFFF"/>
            <sz val="11"/>
          </rPr>
          <t>Substrates graded in this run.</t>
        </r>
      </text>
    </comment>
    <comment ref="I1" authorId="0">
      <text>
        <r>
          <rPr>
            <rFont val="Aptos Narrow"/>
            <b/>
            <color rgb="FFFFFFFF"/>
            <sz val="11"/>
          </rPr>
          <t>Substrates that ran and agreed on every cell.</t>
        </r>
      </text>
    </comment>
    <comment ref="J1" authorId="0">
      <text>
        <r>
          <rPr>
            <rFont val="Aptos Narrow"/>
            <b/>
            <color rgb="FFFFFFFF"/>
            <sz val="11"/>
          </rPr>
          <t>Cells graded across all substrates.</t>
        </r>
      </text>
    </comment>
    <comment ref="K1" authorId="0">
      <text>
        <r>
          <rPr>
            <rFont val="Aptos Narrow"/>
            <b/>
            <color rgb="FFFFFFFF"/>
            <sz val="11"/>
          </rPr>
          <t>Cells that agreed across all substrates.</t>
        </r>
      </text>
    </comment>
    <comment ref="L1" authorId="0">
      <text>
        <r>
          <rPr>
            <rFont val="Aptos Narrow"/>
            <b/>
            <color rgb="FFFFFFFF"/>
            <sz val="11"/>
          </rPr>
          <t>Cells that disagreed across all substrates.</t>
        </r>
      </text>
    </comment>
    <comment ref="M1" authorId="0">
      <text>
        <r>
          <rPr>
            <rFont val="Aptos Narrow"/>
            <b/>
            <color rgb="FFFFFFFF"/>
            <sz val="11"/>
          </rPr>
          <t>Percent of all graded cells, across all substrates, that agreed.</t>
        </r>
      </text>
    </comment>
    <comment ref="N1" authorId="0">
      <text>
        <r>
          <rPr>
            <rFont val="Aptos Narrow"/>
            <b/>
            <color rgb="FFFFFFFF"/>
            <sz val="11"/>
          </rPr>
          <t>Substrates with at least one disagreeing cell or a harness error.</t>
        </r>
      </text>
    </comment>
    <comment ref="O1" authorId="0">
      <text>
        <r>
          <rPr>
            <rFont val="Aptos Narrow"/>
            <b/>
            <color rgb="FFFFFFFF"/>
            <sz val="11"/>
          </rPr>
          <t>True when every substrate graded in this run agreed on every cell: the 100% bar.</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'&lt;run&gt;|&lt;substrate&gt;'.</t>
        </r>
      </text>
    </comment>
    <comment ref="C1" authorId="0">
      <text>
        <r>
          <rPr>
            <rFont val="Aptos Narrow"/>
            <b/>
            <color rgb="FFFFFFFF"/>
            <sz val="11"/>
          </rPr>
          <t>The run that produced this grade.</t>
        </r>
      </text>
    </comment>
    <comment ref="D1" authorId="0">
      <text>
        <r>
          <rPr>
            <rFont val="Aptos Narrow"/>
            <b/>
            <color rgb="FFFFFFFF"/>
            <sz val="11"/>
          </rPr>
          <t>The substrate graded.</t>
        </r>
      </text>
    </comment>
    <comment ref="E1" authorId="0">
      <text>
        <r>
          <rPr>
            <rFont val="Aptos Narrow"/>
            <b/>
            <color rgb="FFFFFFFF"/>
            <sz val="11"/>
          </rPr>
          <t>Why the substrate could not be run, verbatim from the harness. Blank when it ran.</t>
        </r>
      </text>
    </comment>
    <comment ref="F1" authorId="0">
      <text>
        <r>
          <rPr>
            <rFont val="Aptos Narrow"/>
            <b/>
            <color rgb="FFFFFFFF"/>
            <sz val="11"/>
          </rPr>
          <t>Wall-clock seconds to produce answers.</t>
        </r>
      </text>
    </comment>
    <comment ref="G1" authorId="0">
      <text>
        <r>
          <rPr>
            <rFont val="Aptos Narrow"/>
            <b/>
            <color rgb="FFFFFFFF"/>
            <sz val="11"/>
          </rPr>
          <t>Every (record x derived field) pair in the answer keys.</t>
        </r>
      </text>
    </comment>
    <comment ref="H1" authorId="0">
      <text>
        <r>
          <rPr>
            <rFont val="Aptos Narrow"/>
            <b/>
            <color rgb="FFFFFFFF"/>
            <sz val="11"/>
          </rPr>
          <t>Cells matching the answer key.</t>
        </r>
      </text>
    </comment>
    <comment ref="I1" authorId="0">
      <text>
        <r>
          <rPr>
            <rFont val="Aptos Narrow"/>
            <b/>
            <color rgb="FFFFFFFF"/>
            <sz val="11"/>
          </rPr>
          <t>Cells of calculated (same-row formula) fields.</t>
        </r>
      </text>
    </comment>
    <comment ref="J1" authorId="0">
      <text>
        <r>
          <rPr>
            <rFont val="Aptos Narrow"/>
            <b/>
            <color rgb="FFFFFFFF"/>
            <sz val="11"/>
          </rPr>
          <t>Calculated cells that matched.</t>
        </r>
      </text>
    </comment>
    <comment ref="K1" authorId="0">
      <text>
        <r>
          <rPr>
            <rFont val="Aptos Narrow"/>
            <b/>
            <color rgb="FFFFFFFF"/>
            <sz val="11"/>
          </rPr>
          <t>Cells of lookup (cross-table INDEX/MATCH) fields.</t>
        </r>
      </text>
    </comment>
    <comment ref="L1" authorId="0">
      <text>
        <r>
          <rPr>
            <rFont val="Aptos Narrow"/>
            <b/>
            <color rgb="FFFFFFFF"/>
            <sz val="11"/>
          </rPr>
          <t>Lookup cells that matched.</t>
        </r>
      </text>
    </comment>
    <comment ref="M1" authorId="0">
      <text>
        <r>
          <rPr>
            <rFont val="Aptos Narrow"/>
            <b/>
            <color rgb="FFFFFFFF"/>
            <sz val="11"/>
          </rPr>
          <t>Cells of aggregation (COUNTIFS/SUMIFS rollup) fields.</t>
        </r>
      </text>
    </comment>
    <comment ref="N1" authorId="0">
      <text>
        <r>
          <rPr>
            <rFont val="Aptos Narrow"/>
            <b/>
            <color rgb="FFFFFFFF"/>
            <sz val="11"/>
          </rPr>
          <t>Aggregation cells that matched.</t>
        </r>
      </text>
    </comment>
    <comment ref="O1" authorId="0">
      <text>
        <r>
          <rPr>
            <rFont val="Aptos Narrow"/>
            <b/>
            <color rgb="FFFFFFFF"/>
            <sz val="11"/>
          </rPr>
          <t>Cells that did not match.</t>
        </r>
      </text>
    </comment>
    <comment ref="P1" authorId="0">
      <text>
        <r>
          <rPr>
            <rFont val="Aptos Narrow"/>
            <b/>
            <color rgb="FFFFFFFF"/>
            <sz val="11"/>
          </rPr>
          <t>Percent of cells matching.</t>
        </r>
      </text>
    </comment>
    <comment ref="Q1" authorId="0">
      <text>
        <r>
          <rPr>
            <rFont val="Aptos Narrow"/>
            <b/>
            <color rgb="FFFFFFFF"/>
            <sz val="11"/>
          </rPr>
          <t>Percent of calculated cells matching.</t>
        </r>
      </text>
    </comment>
    <comment ref="R1" authorId="0">
      <text>
        <r>
          <rPr>
            <rFont val="Aptos Narrow"/>
            <b/>
            <color rgb="FFFFFFFF"/>
            <sz val="11"/>
          </rPr>
          <t>Percent of lookup cells matching.</t>
        </r>
      </text>
    </comment>
    <comment ref="S1" authorId="0">
      <text>
        <r>
          <rPr>
            <rFont val="Aptos Narrow"/>
            <b/>
            <color rgb="FFFFFFFF"/>
            <sz val="11"/>
          </rPr>
          <t>Percent of aggregation cells matching.</t>
        </r>
      </text>
    </comment>
    <comment ref="T1" authorId="0">
      <text>
        <r>
          <rPr>
            <rFont val="Aptos Narrow"/>
            <b/>
            <color rgb="FFFFFFFF"/>
            <sz val="11"/>
          </rPr>
          <t>True when the substrate ran and matched every cell.</t>
        </r>
      </text>
    </comment>
    <comment ref="U1" authorId="0">
      <text>
        <r>
          <rPr>
            <rFont val="Aptos Narrow"/>
            <b/>
            <color rgb="FFFFFFFF"/>
            <sz val="11"/>
          </rPr>
          <t>The run id when this grade is perfect, else blank; lets the run count its perfect substrates with a single-criterion COUNTIFS.</t>
        </r>
      </text>
    </comment>
    <comment ref="V1" authorId="0">
      <text>
        <r>
          <rPr>
            <rFont val="Aptos Narrow"/>
            <b/>
            <color rgb="FFFFFFFF"/>
            <sz val="11"/>
          </rPr>
          <t>Whether this grade belongs to the latest run.</t>
        </r>
      </text>
    </comment>
    <comment ref="W1" authorId="0">
      <text>
        <r>
          <rPr>
            <rFont val="Aptos Narrow"/>
            <b/>
            <color rgb="FFFFFFFF"/>
            <sz val="11"/>
          </rPr>
          <t>CellsTested when in the latest run, else 0.</t>
        </r>
      </text>
    </comment>
    <comment ref="X1" authorId="0">
      <text>
        <r>
          <rPr>
            <rFont val="Aptos Narrow"/>
            <b/>
            <color rgb="FFFFFFFF"/>
            <sz val="11"/>
          </rPr>
          <t>CellsPassed when in the latest run, else 0.</t>
        </r>
      </text>
    </comment>
    <comment ref="Y1" authorId="0">
      <text>
        <r>
          <rPr>
            <rFont val="Aptos Narrow"/>
            <b/>
            <color rgb="FFFFFFFF"/>
            <sz val="11"/>
          </rPr>
          <t>1 when this is the latest run and the harness could not run the substrate.</t>
        </r>
      </text>
    </comment>
    <comment ref="Z1" authorId="0">
      <text>
        <r>
          <rPr>
            <rFont val="Aptos Narrow"/>
            <b/>
            <color rgb="FFFFFFFF"/>
            <sz val="11"/>
          </rPr>
          <t>The substrate's short label.</t>
        </r>
      </text>
    </comment>
    <comment ref="AA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t>
        </r>
      </text>
    </comment>
    <comment ref="C1" authorId="0">
      <text>
        <r>
          <rPr>
            <rFont val="Aptos Narrow"/>
            <b/>
            <color rgb="FFFFFFFF"/>
            <sz val="11"/>
          </rPr>
          <t>The run this row describes.</t>
        </r>
      </text>
    </comment>
    <comment ref="D1" authorId="0">
      <text>
        <r>
          <rPr>
            <rFont val="Aptos Narrow"/>
            <b/>
            <color rgb="FFFFFFFF"/>
            <sz val="11"/>
          </rPr>
          <t>The substrate graded.</t>
        </r>
      </text>
    </comment>
    <comment ref="E1" authorId="0">
      <text>
        <r>
          <rPr>
            <rFont val="Aptos Narrow"/>
            <b/>
            <color rgb="FFFFFFFF"/>
            <sz val="11"/>
          </rPr>
          <t>The table graded.</t>
        </r>
      </text>
    </comment>
    <comment ref="F1" authorId="0">
      <text>
        <r>
          <rPr>
            <rFont val="Aptos Narrow"/>
            <b/>
            <color rgb="FFFFFFFF"/>
            <sz val="11"/>
          </rPr>
          <t>Rows in the answer key for this table.</t>
        </r>
      </text>
    </comment>
    <comment ref="G1" authorId="0">
      <text>
        <r>
          <rPr>
            <rFont val="Aptos Narrow"/>
            <b/>
            <color rgb="FFFFFFFF"/>
            <sz val="11"/>
          </rPr>
          <t>Derived fields graded on this table.</t>
        </r>
      </text>
    </comment>
    <comment ref="H1" authorId="0">
      <text>
        <r>
          <rPr>
            <rFont val="Aptos Narrow"/>
            <b/>
            <color rgb="FFFFFFFF"/>
            <sz val="11"/>
          </rPr>
          <t>RecordCount x DerivedFieldCount.</t>
        </r>
      </text>
    </comment>
    <comment ref="I1" authorId="0">
      <text>
        <r>
          <rPr>
            <rFont val="Aptos Narrow"/>
            <b/>
            <color rgb="FFFFFFFF"/>
            <sz val="11"/>
          </rPr>
          <t>Cells matching the answer key.</t>
        </r>
      </text>
    </comment>
    <comment ref="J1" authorId="0">
      <text>
        <r>
          <rPr>
            <rFont val="Aptos Narrow"/>
            <b/>
            <color rgb="FFFFFFFF"/>
            <sz val="11"/>
          </rPr>
          <t>True when the substrate produced no answers for this table at all; every cell then counts as failed.</t>
        </r>
      </text>
    </comment>
    <comment ref="K1" authorId="0">
      <text>
        <r>
          <rPr>
            <rFont val="Aptos Narrow"/>
            <b/>
            <color rgb="FFFFFFFF"/>
            <sz val="11"/>
          </rPr>
          <t>Cells that did not match.</t>
        </r>
      </text>
    </comment>
    <comment ref="L1" authorId="0">
      <text>
        <r>
          <rPr>
            <rFont val="Aptos Narrow"/>
            <b/>
            <color rgb="FFFFFFFF"/>
            <sz val="11"/>
          </rPr>
          <t>Percent of cells matching.</t>
        </r>
      </text>
    </comment>
    <comment ref="M1" authorId="0">
      <text>
        <r>
          <rPr>
            <rFont val="Aptos Narrow"/>
            <b/>
            <color rgb="FFFFFFFF"/>
            <sz val="11"/>
          </rPr>
          <t>True when every cell matched.</t>
        </r>
      </text>
    </comment>
    <comment ref="N1" authorId="0">
      <text>
        <r>
          <rPr>
            <rFont val="Aptos Narrow"/>
            <b/>
            <color rgb="FFFFFFFF"/>
            <sz val="11"/>
          </rPr>
          <t>The substrate id when this table is imperfect, else blank.</t>
        </r>
      </text>
    </comment>
    <comment ref="O1" authorId="0">
      <text>
        <r>
          <rPr>
            <rFont val="Aptos Narrow"/>
            <b/>
            <color rgb="FFFFFFFF"/>
            <sz val="11"/>
          </rPr>
          <t>The table id when this table is imperfect, else blank.</t>
        </r>
      </text>
    </comment>
    <comment ref="P1" authorId="0">
      <text>
        <r>
          <rPr>
            <rFont val="Aptos Narrow"/>
            <b/>
            <color rgb="FFFFFFFF"/>
            <sz val="11"/>
          </rPr>
          <t>Fields on this table the substrate got at least one cell wrong.</t>
        </r>
      </text>
    </comment>
    <comment ref="Q1" authorId="0">
      <text>
        <r>
          <rPr>
            <rFont val="Aptos Narrow"/>
            <b/>
            <color rgb="FFFFFFFF"/>
            <sz val="11"/>
          </rPr>
          <t>The substrate's short label.</t>
        </r>
      </text>
    </comment>
    <comment ref="R1" authorId="0">
      <text>
        <r>
          <rPr>
            <rFont val="Aptos Narrow"/>
            <b/>
            <color rgb="FFFFFFFF"/>
            <sz val="11"/>
          </rPr>
          <t>The table's subject area.</t>
        </r>
      </text>
    </comment>
    <comment ref="S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t>
        </r>
      </text>
    </comment>
    <comment ref="C1" authorId="0">
      <text>
        <r>
          <rPr>
            <rFont val="Aptos Narrow"/>
            <b/>
            <color rgb="FFFFFFFF"/>
            <sz val="11"/>
          </rPr>
          <t>The substrate that disagreed.</t>
        </r>
      </text>
    </comment>
    <comment ref="D1" authorId="0">
      <text>
        <r>
          <rPr>
            <rFont val="Aptos Narrow"/>
            <b/>
            <color rgb="FFFFFFFF"/>
            <sz val="11"/>
          </rPr>
          <t>The field it disagreed on.</t>
        </r>
      </text>
    </comment>
    <comment ref="E1" authorId="0">
      <text>
        <r>
          <rPr>
            <rFont val="Aptos Narrow"/>
            <b/>
            <color rgb="FFFFFFFF"/>
            <sz val="11"/>
          </rPr>
          <t>The substrate-by-table row this field belongs to.</t>
        </r>
      </text>
    </comment>
    <comment ref="F1" authorId="0">
      <text>
        <r>
          <rPr>
            <rFont val="Aptos Narrow"/>
            <b/>
            <color rgb="FFFFFFFF"/>
            <sz val="11"/>
          </rPr>
          <t>calculated, lookup or aggregation.</t>
        </r>
      </text>
    </comment>
    <comment ref="G1" authorId="0">
      <text>
        <r>
          <rPr>
            <rFont val="Aptos Narrow"/>
            <b/>
            <color rgb="FFFFFFFF"/>
            <sz val="11"/>
          </rPr>
          <t>Every cell of this field the substrate got wrong, not just the sampled ones.</t>
        </r>
      </text>
    </comment>
    <comment ref="H1" authorId="0">
      <text>
        <r>
          <rPr>
            <rFont val="Aptos Narrow"/>
            <b/>
            <color rgb="FFFFFFFF"/>
            <sz val="11"/>
          </rPr>
          <t>The harness's most frequent reason: 'wrong/null value', 'missing record' or 'missing entity file'.</t>
        </r>
      </text>
    </comment>
    <comment ref="I1" authorId="0">
      <text>
        <r>
          <rPr>
            <rFont val="Aptos Narrow"/>
            <b/>
            <color rgb="FFFFFFFF"/>
            <sz val="11"/>
          </rPr>
          <t>Failing cells recorded as CellDisagreements rows.</t>
        </r>
      </text>
    </comment>
    <comment ref="J1" authorId="0">
      <text>
        <r>
          <rPr>
            <rFont val="Aptos Narrow"/>
            <b/>
            <color rgb="FFFFFFFF"/>
            <sz val="11"/>
          </rPr>
          <t>True when every failing cell is recorded, not just a sample.</t>
        </r>
      </text>
    </comment>
    <comment ref="K1" authorId="0">
      <text>
        <r>
          <rPr>
            <rFont val="Aptos Narrow"/>
            <b/>
            <color rgb="FFFFFFFF"/>
            <sz val="11"/>
          </rPr>
          <t>The formula every substrate was asked to compute, shown as evidence.</t>
        </r>
      </text>
    </comment>
    <comment ref="L1" authorId="0">
      <text>
        <r>
          <rPr>
            <rFont val="Aptos Narrow"/>
            <b/>
            <color rgb="FFFFFFFF"/>
            <sz val="11"/>
          </rPr>
          <t>The substrate's short label.</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'&lt;substrate&gt;|&lt;Table&gt;.&lt;Field&gt;|&lt;record id&gt;'.</t>
        </r>
      </text>
    </comment>
    <comment ref="C1" authorId="0">
      <text>
        <r>
          <rPr>
            <rFont val="Aptos Narrow"/>
            <b/>
            <color rgb="FFFFFFFF"/>
            <sz val="11"/>
          </rPr>
          <t>The substrate-by-field disagreement this cell belongs to.</t>
        </r>
      </text>
    </comment>
    <comment ref="D1" authorId="0">
      <text>
        <r>
          <rPr>
            <rFont val="Aptos Narrow"/>
            <b/>
            <color rgb="FFFFFFFF"/>
            <sz val="11"/>
          </rPr>
          <t>Primary key of the row whose cell disagreed.</t>
        </r>
      </text>
    </comment>
    <comment ref="E1" authorId="0">
      <text>
        <r>
          <rPr>
            <rFont val="Aptos Narrow"/>
            <b/>
            <color rgb="FFFFFFFF"/>
            <sz val="11"/>
          </rPr>
          <t>The answer key's value, JSON-encoded so null, '', false and 0 stay distinguishable.</t>
        </r>
      </text>
    </comment>
    <comment ref="F1" authorId="0">
      <text>
        <r>
          <rPr>
            <rFont val="Aptos Narrow"/>
            <b/>
            <color rgb="FFFFFFFF"/>
            <sz val="11"/>
          </rPr>
          <t>The substrate's value, JSON-encoded the same way.</t>
        </r>
      </text>
    </comment>
    <comment ref="G1" authorId="0">
      <text>
        <r>
          <rPr>
            <rFont val="Aptos Narrow"/>
            <b/>
            <color rgb="FFFFFFFF"/>
            <sz val="11"/>
          </rPr>
          <t>The harness's reason: 'wrong/null value', 'missing record' or 'missing entity file'.</t>
        </r>
      </text>
    </comment>
    <comment ref="H1" authorId="0">
      <text>
        <r>
          <rPr>
            <rFont val="Aptos Narrow"/>
            <b/>
            <color rgb="FFFFFFFF"/>
            <sz val="11"/>
          </rPr>
          <t>The substrate that produced ActualValue.</t>
        </r>
      </text>
    </comment>
    <comment ref="I1" authorId="0">
      <text>
        <r>
          <rPr>
            <rFont val="Aptos Narrow"/>
            <b/>
            <color rgb="FFFFFFFF"/>
            <sz val="11"/>
          </rPr>
          <t>The field.</t>
        </r>
      </text>
    </comment>
    <comment ref="J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sharedStrings.xml><?xml version="1.0" encoding="utf-8"?>
<sst xmlns="http://schemas.openxmlformats.org/spreadsheetml/2006/main" count="17251" uniqueCount="17251">
  <si>
    <t>RulebookReleaseId</t>
  </si>
  <si>
    <t>Name</t>
  </si>
  <si>
    <t>RulebookVersion</t>
  </si>
  <si>
    <t>ProfileVersion</t>
  </si>
  <si>
    <t>ProfileSchemaPath</t>
  </si>
  <si>
    <t>PkoCoreVersionIri</t>
  </si>
  <si>
    <t>PkoIndustryVersionIri</t>
  </si>
  <si>
    <t>IssuedAt</t>
  </si>
  <si>
    <t>Status</t>
  </si>
  <si>
    <t>Changelog</t>
  </si>
  <si>
    <t>IsCurrent</t>
  </si>
  <si>
    <t>erb-pko-1.0.0</t>
  </si>
  <si>
    <t>1.0.0</t>
  </si>
  <si>
    <t>schemas/pko-erb-profile-1.0.0.schema.json</t>
  </si>
  <si>
    <t>https://w3id.org/pko/2.0.0</t>
  </si>
  <si>
    <t>https://w3id.org/pko/industry/2.0.0</t>
  </si>
  <si>
    <t>Candidate</t>
  </si>
  <si>
    <t>Initial executable PKO-native canonical rulebook and projection-tool proof.</t>
  </si>
  <si>
    <t>OntologyProfileId</t>
  </si>
  <si>
    <t>Label</t>
  </si>
  <si>
    <t>Version</t>
  </si>
  <si>
    <t>VersionIri</t>
  </si>
  <si>
    <t>NamespaceIri</t>
  </si>
  <si>
    <t>License</t>
  </si>
  <si>
    <t>Scope</t>
  </si>
  <si>
    <t>pko-core-2.0.0</t>
  </si>
  <si>
    <t>PKO Core</t>
  </si>
  <si>
    <t>2.0.0</t>
  </si>
  <si>
    <t>https://w3id.org/pko#</t>
  </si>
  <si>
    <t>CC BY 4.0</t>
  </si>
  <si>
    <t>Core procedural knowledge: procedures, steps, executions, transitions, requirements, issues, feedback, and agents.</t>
  </si>
  <si>
    <t>pko-industry-2.0.0</t>
  </si>
  <si>
    <t>PKO Industry</t>
  </si>
  <si>
    <t>https://w3id.org/pko/industry#</t>
  </si>
  <si>
    <t>Industry extension for machines, sites, departments, PPE, locks, energy sources, and tools.</t>
  </si>
  <si>
    <t>p-plan</t>
  </si>
  <si>
    <t>P-Plan</t>
  </si>
  <si>
    <t>1</t>
  </si>
  <si>
    <t>http://purl.org/net/p-plan</t>
  </si>
  <si>
    <t>http://purl.org/net/p-plan#</t>
  </si>
  <si>
    <t>External</t>
  </si>
  <si>
    <t>Plan, Step, MultiStep, and plan/execution alignment.</t>
  </si>
  <si>
    <t>prov-o</t>
  </si>
  <si>
    <t>PROV-O</t>
  </si>
  <si>
    <t>2013</t>
  </si>
  <si>
    <t>https://www.w3.org/TR/prov-o/</t>
  </si>
  <si>
    <t>http://www.w3.org/ns/prov#</t>
  </si>
  <si>
    <t>W3C</t>
  </si>
  <si>
    <t>Agents, activities, entities, attribution, provenance, and execution time.</t>
  </si>
  <si>
    <t>dcat-3</t>
  </si>
  <si>
    <t>DCAT</t>
  </si>
  <si>
    <t>3</t>
  </si>
  <si>
    <t>https://www.w3.org/TR/vocab-dcat-3/</t>
  </si>
  <si>
    <t>http://www.w3.org/ns/dcat#</t>
  </si>
  <si>
    <t>Resources and versioned catalog assets.</t>
  </si>
  <si>
    <t>dcterms</t>
  </si>
  <si>
    <t>DCMI Terms</t>
  </si>
  <si>
    <t>current</t>
  </si>
  <si>
    <t>https://www.dublincore.org/specifications/dublin-core/dcmi-terms/</t>
  </si>
  <si>
    <t>http://purl.org/dc/terms/</t>
  </si>
  <si>
    <t>DCMI</t>
  </si>
  <si>
    <t>Titles, descriptions, identifiers, dates, references, and lifecycle metadata.</t>
  </si>
  <si>
    <t>owl-time</t>
  </si>
  <si>
    <t>OWL-Time</t>
  </si>
  <si>
    <t>2017</t>
  </si>
  <si>
    <t>https://www.w3.org/TR/owl-time/</t>
  </si>
  <si>
    <t>http://www.w3.org/2006/time#</t>
  </si>
  <si>
    <t>Durations and time intervals.</t>
  </si>
  <si>
    <t>pro</t>
  </si>
  <si>
    <t>Publishing Roles Ontology</t>
  </si>
  <si>
    <t>http://www.sparontologies.net/ontologies/pro</t>
  </si>
  <si>
    <t>http://purl.org/spar/pro/</t>
  </si>
  <si>
    <t>CC BY</t>
  </si>
  <si>
    <t>Roles and roles held during a period of time.</t>
  </si>
  <si>
    <t>m4ing</t>
  </si>
  <si>
    <t>Metadata4Ing</t>
  </si>
  <si>
    <t>https://nfdi4ing.pages.rwth-aachen.de/metadata4ing/</t>
  </si>
  <si>
    <t>http://w3id.org/nfdi4ing/metadata4ing#</t>
  </si>
  <si>
    <t>Tools and engineering-resource metadata.</t>
  </si>
  <si>
    <t>odrl</t>
  </si>
  <si>
    <t>ODRL</t>
  </si>
  <si>
    <t>2.2</t>
  </si>
  <si>
    <t>https://www.w3.org/TR/odrl-model/</t>
  </si>
  <si>
    <t>http://www.w3.org/ns/odrl/2/</t>
  </si>
  <si>
    <t>Policies, rules, assignee roles, duties, permissions, and prohibitions.</t>
  </si>
  <si>
    <t>erb-pko-extension-1.0.0</t>
  </si>
  <si>
    <t>ERB-PKO Enterprise Extension</t>
  </si>
  <si>
    <t>urn:effortless:pko-extension:1.0.0</t>
  </si>
  <si>
    <t>urn:effortless:pko-extension#</t>
  </si>
  <si>
    <t>Apache-2.0</t>
  </si>
  <si>
    <t>Explicit extension for elicitation, tacit knowledge, governance, learning, operational bindings, and communication-channel policy.</t>
  </si>
  <si>
    <t>EvaluationContextId</t>
  </si>
  <si>
    <t>AsOfInstant</t>
  </si>
  <si>
    <t>Rationale</t>
  </si>
  <si>
    <t>SemanticTypeIri</t>
  </si>
  <si>
    <t>eval-current</t>
  </si>
  <si>
    <t>Post-close evaluation</t>
  </si>
  <si>
    <t>Shortly after the Q3 close execution and the policy notification run, so both procedure families have completed executions to witness against. Fixed as data so freshness and overdue answers are reproducible.</t>
  </si>
  <si>
    <t>urn:effortless:pko-extension#EvaluationContext</t>
  </si>
  <si>
    <t>OrganizationId</t>
  </si>
  <si>
    <t>DisplayName</t>
  </si>
  <si>
    <t>OrganizationType</t>
  </si>
  <si>
    <t>ExternalIdentifier</t>
  </si>
  <si>
    <t>acme-corp</t>
  </si>
  <si>
    <t>ACME Corporation</t>
  </si>
  <si>
    <t>Company</t>
  </si>
  <si>
    <t>org-001</t>
  </si>
  <si>
    <t>http://www.w3.org/ns/prov#Organization</t>
  </si>
  <si>
    <t>acme-finance</t>
  </si>
  <si>
    <t>ACME Finance</t>
  </si>
  <si>
    <t>Department</t>
  </si>
  <si>
    <t>dept-fin</t>
  </si>
  <si>
    <t>https://w3id.org/pko/industry#Department</t>
  </si>
  <si>
    <t>acme-people</t>
  </si>
  <si>
    <t>ACME People Operations</t>
  </si>
  <si>
    <t>dept-people</t>
  </si>
  <si>
    <t>acme-legal</t>
  </si>
  <si>
    <t>ACME Legal</t>
  </si>
  <si>
    <t>dept-legal</t>
  </si>
  <si>
    <t>AgentId</t>
  </si>
  <si>
    <t>AgentKind</t>
  </si>
  <si>
    <t>Organization</t>
  </si>
  <si>
    <t>ContactAddress</t>
  </si>
  <si>
    <t>VersionOrEmploymentKey</t>
  </si>
  <si>
    <t>CountOfCurrentRoleAssignments</t>
  </si>
  <si>
    <t>IsStillEngaged</t>
  </si>
  <si>
    <t>DecisionCount</t>
  </si>
  <si>
    <t>OverriddenDecisionCount</t>
  </si>
  <si>
    <t>OverrideRatePercent</t>
  </si>
  <si>
    <t>IsNonHuman</t>
  </si>
  <si>
    <t>BoundaryViolationCount</t>
  </si>
  <si>
    <t>IsOperatingOutsideBoundary</t>
  </si>
  <si>
    <t>DraftDecisionCount</t>
  </si>
  <si>
    <t>OverriddenDraftCount</t>
  </si>
  <si>
    <t>DraftRewriteRatePercent</t>
  </si>
  <si>
    <t>TimesNamedAsBroker</t>
  </si>
  <si>
    <t>IsRecognizedBroker</t>
  </si>
  <si>
    <t>AtRiskRelianceCount</t>
  </si>
  <si>
    <t>HasAtRiskKnowledgeReliance</t>
  </si>
  <si>
    <t>maria-chen</t>
  </si>
  <si>
    <t>Maria Chen</t>
  </si>
  <si>
    <t>Human</t>
  </si>
  <si>
    <t>maria.chen@example.com</t>
  </si>
  <si>
    <t>finance-analyst-2026</t>
  </si>
  <si>
    <t>prov:Agent</t>
  </si>
  <si>
    <t>devon-okafor</t>
  </si>
  <si>
    <t>Devon Okafor</t>
  </si>
  <si>
    <t>devon.okafor@example.com</t>
  </si>
  <si>
    <t>controller-2026</t>
  </si>
  <si>
    <t>priya-raman</t>
  </si>
  <si>
    <t>Priya Raman</t>
  </si>
  <si>
    <t>priya.raman@example.com</t>
  </si>
  <si>
    <t>cfo-2026</t>
  </si>
  <si>
    <t>elena-garcia</t>
  </si>
  <si>
    <t>Elena Garcia</t>
  </si>
  <si>
    <t>elena.garcia@example.com</t>
  </si>
  <si>
    <t>hr-owner-2026</t>
  </si>
  <si>
    <t>noah-williams</t>
  </si>
  <si>
    <t>Noah Williams</t>
  </si>
  <si>
    <t>noah.williams@example.com</t>
  </si>
  <si>
    <t>employment-counsel-2026</t>
  </si>
  <si>
    <t>amina-yusuf</t>
  </si>
  <si>
    <t>Amina Yusuf</t>
  </si>
  <si>
    <t>amina.yusuf@example.com</t>
  </si>
  <si>
    <t>communications-2026</t>
  </si>
  <si>
    <t>close-pipeline</t>
  </si>
  <si>
    <t>Close Automation Pipeline</t>
  </si>
  <si>
    <t>AutomatedPipeline</t>
  </si>
  <si>
    <t/>
  </si>
  <si>
    <t>close-pipeline-v5.2</t>
  </si>
  <si>
    <t>prov:SoftwareAgent</t>
  </si>
  <si>
    <t>variance-ai</t>
  </si>
  <si>
    <t>Variance Analysis AI</t>
  </si>
  <si>
    <t>AIAgent</t>
  </si>
  <si>
    <t>variance-model-v3.1</t>
  </si>
  <si>
    <t>policy-drafting-ai</t>
  </si>
  <si>
    <t>Policy Drafting AI</t>
  </si>
  <si>
    <t>policy-drafter-v2.0</t>
  </si>
  <si>
    <t>notification-pipeline</t>
  </si>
  <si>
    <t>Employee Notification Pipeline</t>
  </si>
  <si>
    <t>notify-v4.4</t>
  </si>
  <si>
    <t>jordan-park</t>
  </si>
  <si>
    <t>Jordan Park</t>
  </si>
  <si>
    <t>RoleId</t>
  </si>
  <si>
    <t>CurrentAgent</t>
  </si>
  <si>
    <t>CurrentAgentKind</t>
  </si>
  <si>
    <t>Responsibility</t>
  </si>
  <si>
    <t>ActiveAssignmentCount</t>
  </si>
  <si>
    <t>CurrentlyCoveredAssignmentCount</t>
  </si>
  <si>
    <t>HasNoCurrentHolder</t>
  </si>
  <si>
    <t>CountOfAwaitedDecisions</t>
  </si>
  <si>
    <t>CurrentAssignment</t>
  </si>
  <si>
    <t>CurrentAssignmentValidFrom</t>
  </si>
  <si>
    <t>IsNonHumanHeld</t>
  </si>
  <si>
    <t>IsUngovernedNonHumanRole</t>
  </si>
  <si>
    <t>DepartedAssignmentCount</t>
  </si>
  <si>
    <t>HasLostAHolder</t>
  </si>
  <si>
    <t>IsVacatedRole</t>
  </si>
  <si>
    <t>UngroundedBoundaryCount</t>
  </si>
  <si>
    <t>IsGovernedByLapsedAuthority</t>
  </si>
  <si>
    <t>UnescalatedRefusalCount</t>
  </si>
  <si>
    <t>UnauthorizedEnforcementAssignmentCount</t>
  </si>
  <si>
    <t>IsUngovernedEnforcementRole</t>
  </si>
  <si>
    <t>finance-analyst</t>
  </si>
  <si>
    <t>Finance Analyst</t>
  </si>
  <si>
    <t>Preparer of reconciliations and variance evidence.</t>
  </si>
  <si>
    <t>ra-finance-2026</t>
  </si>
  <si>
    <t>http://purl.org/spar/pro/Role</t>
  </si>
  <si>
    <t>controller</t>
  </si>
  <si>
    <t>Corporate Controller</t>
  </si>
  <si>
    <t>Owner of close controls and first approval authority.</t>
  </si>
  <si>
    <t>ra-controller-2026</t>
  </si>
  <si>
    <t>cfo</t>
  </si>
  <si>
    <t>Chief Financial Officer</t>
  </si>
  <si>
    <t>Final authority for the financial close.</t>
  </si>
  <si>
    <t>ra-cfo-2026</t>
  </si>
  <si>
    <t>hr-policy-owner</t>
  </si>
  <si>
    <t>People Policy Owner</t>
  </si>
  <si>
    <t>Accountable owner for employment policy content.</t>
  </si>
  <si>
    <t>ra-policy-owner-2026</t>
  </si>
  <si>
    <t>employment-counsel</t>
  </si>
  <si>
    <t>Employment Counsel</t>
  </si>
  <si>
    <t>Legal reviewer for workforce policy changes.</t>
  </si>
  <si>
    <t>ra-counsel-2026</t>
  </si>
  <si>
    <t>communications-manager</t>
  </si>
  <si>
    <t>Employee Communications Manager</t>
  </si>
  <si>
    <t>Human owner of employee communications.</t>
  </si>
  <si>
    <t>ra-comms-2026</t>
  </si>
  <si>
    <t>close-automation</t>
  </si>
  <si>
    <t>Close Automation Operator</t>
  </si>
  <si>
    <t>Deterministic extraction, posting, and archival operator.</t>
  </si>
  <si>
    <t>ra-close-pipeline-2026</t>
  </si>
  <si>
    <t>variance-review-agent</t>
  </si>
  <si>
    <t>Variance Review Agent</t>
  </si>
  <si>
    <t>AI assistant that classifies and prioritizes variances.</t>
  </si>
  <si>
    <t>ra-new-variance</t>
  </si>
  <si>
    <t>policy-drafting-agent</t>
  </si>
  <si>
    <t>Policy Drafting Agent</t>
  </si>
  <si>
    <t>AI assistant that drafts policy and channel variants.</t>
  </si>
  <si>
    <t>ra-policy-ai-2026</t>
  </si>
  <si>
    <t>notification-publisher</t>
  </si>
  <si>
    <t>Notification Publisher</t>
  </si>
  <si>
    <t>Pipeline that applies channel rules and sends approved messages.</t>
  </si>
  <si>
    <t>ra-notify-pipeline-2026</t>
  </si>
  <si>
    <t>process-steward</t>
  </si>
  <si>
    <t>Procedural Knowledge Steward</t>
  </si>
  <si>
    <t>Maintains procedural knowledge health and review cadence.</t>
  </si>
  <si>
    <t>ra-steward-2026</t>
  </si>
  <si>
    <t>knowledge-authority</t>
  </si>
  <si>
    <t>Procedural Knowledge Authority</t>
  </si>
  <si>
    <t>Approves semantic changes that alter commitments or controls.</t>
  </si>
  <si>
    <t>ra-authority-2026</t>
  </si>
  <si>
    <t>RoleAssignmentId</t>
  </si>
  <si>
    <t>Role</t>
  </si>
  <si>
    <t>Agent</t>
  </si>
  <si>
    <t>ValidFrom</t>
  </si>
  <si>
    <t>ValidTo</t>
  </si>
  <si>
    <t>Reason</t>
  </si>
  <si>
    <t>EvaluationContext</t>
  </si>
  <si>
    <t>CurrentAgentKey</t>
  </si>
  <si>
    <t>IsCurrentlyValid</t>
  </si>
  <si>
    <t>AgentRoleKey</t>
  </si>
  <si>
    <t>HasDeparted</t>
  </si>
  <si>
    <t>CoversNow</t>
  </si>
  <si>
    <t>RoleWhenCovering</t>
  </si>
  <si>
    <t>IsNonHumanAssignment</t>
  </si>
  <si>
    <t>SupersedesAssignment</t>
  </si>
  <si>
    <t>PredecessorAgentKind</t>
  </si>
  <si>
    <t>IsHumanToNonHumanHandover</t>
  </si>
  <si>
    <t>ApprovingAuthorityRole</t>
  </si>
  <si>
    <t>AuthorizingChangeRequest</t>
  </si>
  <si>
    <t>IsUnauthorizedNonHumanAssignment</t>
  </si>
  <si>
    <t>WasAuthorizedByChangeRequest</t>
  </si>
  <si>
    <t>PredecessorOverrideRatePercent</t>
  </si>
  <si>
    <t>QualityRegressedVsPredecessor</t>
  </si>
  <si>
    <t>DepartedRoleKey</t>
  </si>
  <si>
    <t>MinimumDecisionsForComparison</t>
  </si>
  <si>
    <t>PredecessorDecisionCount</t>
  </si>
  <si>
    <t>HasSufficientSample</t>
  </si>
  <si>
    <t>PredecessorHasSufficientSample</t>
  </si>
  <si>
    <t>ComparisonIsEvidentiallySound</t>
  </si>
  <si>
    <t>SingleOverrideSwingPercent</t>
  </si>
  <si>
    <t>QualityVerdictIsUnsupported</t>
  </si>
  <si>
    <t>IsUnmeasuredAutomationHandover</t>
  </si>
  <si>
    <t>ErrorCorrectionCount</t>
  </si>
  <si>
    <t>ErrorRatePercent</t>
  </si>
  <si>
    <t>AuthorizationDecidedAt</t>
  </si>
  <si>
    <t>AuthorizationReviewedAt</t>
  </si>
  <si>
    <t>AuthorizationReviewCadenceDays</t>
  </si>
  <si>
    <t>HasDatedAuthorization</t>
  </si>
  <si>
    <t>DaysSinceAuthorizationReview</t>
  </si>
  <si>
    <t>AuthorizationIsOverdueForReview</t>
  </si>
  <si>
    <t>IsStandingUnreviewedAutomation</t>
  </si>
  <si>
    <t>IsUnconditionedAutomationHandover</t>
  </si>
  <si>
    <t>MaxTolerableErrorRatePercent</t>
  </si>
  <si>
    <t>ExceedsTolerableErrorRate</t>
  </si>
  <si>
    <t>BoundaryViolationCountForAssignment</t>
  </si>
  <si>
    <t>HasAnyBoundaryViolation</t>
  </si>
  <si>
    <t>HasUngroundedGoverningBoundary</t>
  </si>
  <si>
    <t>SuspensionConditionMet</t>
  </si>
  <si>
    <t>IsOperatingUnderMetSuspensionCondition</t>
  </si>
  <si>
    <t>HasDeclaredSuspensionCondition</t>
  </si>
  <si>
    <t>HasApprovingAuthority</t>
  </si>
  <si>
    <t>HasAuthorizingChangeRequest</t>
  </si>
  <si>
    <t>IsEnforcementRole</t>
  </si>
  <si>
    <t>IsUnauthorizedEnforcementAgent</t>
  </si>
  <si>
    <t>GovernanceEvidenceCount</t>
  </si>
  <si>
    <t>UnauthorizedEnforcementRoleKey</t>
  </si>
  <si>
    <t>Assigned for fiscal 2026</t>
  </si>
  <si>
    <t>Active</t>
  </si>
  <si>
    <t>http://purl.org/spar/pro/RoleInTime</t>
  </si>
  <si>
    <t>Controller appointment</t>
  </si>
  <si>
    <t>CFO appointment</t>
  </si>
  <si>
    <t>Policy stewardship assignment</t>
  </si>
  <si>
    <t>Employment counsel assignment</t>
  </si>
  <si>
    <t>Notification platform release 4.4</t>
  </si>
  <si>
    <t>ra-old-variance</t>
  </si>
  <si>
    <t>Human pilot before AI deployment</t>
  </si>
  <si>
    <t>Superseded</t>
  </si>
  <si>
    <t>Approved AI-assisted variance triage</t>
  </si>
  <si>
    <t>Communications manager appointment</t>
  </si>
  <si>
    <t>Knowledge authority vested with the CFO for financial procedures</t>
  </si>
  <si>
    <t>Process stewardship assignment</t>
  </si>
  <si>
    <t>Close automation platform release 3.2</t>
  </si>
  <si>
    <t>Approved AI-assisted policy drafting</t>
  </si>
  <si>
    <t>CommunityOfPracticeId</t>
  </si>
  <si>
    <t>StewardRole</t>
  </si>
  <si>
    <t>Purpose</t>
  </si>
  <si>
    <t>Cadence</t>
  </si>
  <si>
    <t>close-practice-guild</t>
  </si>
  <si>
    <t>Financial Close Community of Practice</t>
  </si>
  <si>
    <t>Share close exceptions, reconcile recurring failure modes, and mentor new preparers.</t>
  </si>
  <si>
    <t>Monthly and after every quarter close</t>
  </si>
  <si>
    <t>urn:effortless:pko-extension#CommunityOfPractice</t>
  </si>
  <si>
    <t>policy-stewards-circle</t>
  </si>
  <si>
    <t>Policy Stewardship Circle</t>
  </si>
  <si>
    <t>Review workforce-policy changes, employee feedback, and notification effectiveness.</t>
  </si>
  <si>
    <t>Biweekly</t>
  </si>
  <si>
    <t>MentorshipId</t>
  </si>
  <si>
    <t>CommunityOfPractice</t>
  </si>
  <si>
    <t>MentorAgent</t>
  </si>
  <si>
    <t>LearnerAgent</t>
  </si>
  <si>
    <t>LearningObjective</t>
  </si>
  <si>
    <t>EvidenceOfCompletion</t>
  </si>
  <si>
    <t>mentor-close-2026</t>
  </si>
  <si>
    <t>Independently diagnose material variances and produce an auditable controller-ready explanation.</t>
  </si>
  <si>
    <t>Three consecutive reconciliations accepted without rework.</t>
  </si>
  <si>
    <t>urn:effortless:pko-extension#Mentorship</t>
  </si>
  <si>
    <t>ProcedureTypeId</t>
  </si>
  <si>
    <t>Definition</t>
  </si>
  <si>
    <t>financial-sop</t>
  </si>
  <si>
    <t>Financial Standard Operating Procedure</t>
  </si>
  <si>
    <t>A controlled procedure for financial operations, approvals, evidence, and auditability.</t>
  </si>
  <si>
    <t>https://w3id.org/pko#ProcedureType</t>
  </si>
  <si>
    <t>communication-policy</t>
  </si>
  <si>
    <t>Employee Communication Policy Procedure</t>
  </si>
  <si>
    <t>A controlled procedure that creates, approves, and distributes workforce policy communications.</t>
  </si>
  <si>
    <t>ProcedureId</t>
  </si>
  <si>
    <t>Title</t>
  </si>
  <si>
    <t>ProcedureType</t>
  </si>
  <si>
    <t>OwnerOrganization</t>
  </si>
  <si>
    <t>AdoptedByOrganization</t>
  </si>
  <si>
    <t>Target</t>
  </si>
  <si>
    <t>IsTemplate</t>
  </si>
  <si>
    <t>CurrentVersionKey</t>
  </si>
  <si>
    <t>quarter-end-close</t>
  </si>
  <si>
    <t>Quarter-End Financial Close</t>
  </si>
  <si>
    <t>Close the general ledger accurately, produce evidence, and obtain independent approval.</t>
  </si>
  <si>
    <t>Corporate general ledger and reporting package</t>
  </si>
  <si>
    <t>close-v1.1.0</t>
  </si>
  <si>
    <t>https://w3id.org/pko#Procedure</t>
  </si>
  <si>
    <t>workforce-policy-notification</t>
  </si>
  <si>
    <t>Workforce Policy Change and Employee Notification</t>
  </si>
  <si>
    <t>Turn an approved workforce policy change into governed, channel-appropriate employee communications and acknowledgements.</t>
  </si>
  <si>
    <t>All affected employees and workforce-policy records</t>
  </si>
  <si>
    <t>policy-v1.0.0</t>
  </si>
  <si>
    <t>ProcedureVersionId</t>
  </si>
  <si>
    <t>Procedure</t>
  </si>
  <si>
    <t>VersionNumber</t>
  </si>
  <si>
    <t>ModifiedAt</t>
  </si>
  <si>
    <t>CreatedByAgent</t>
  </si>
  <si>
    <t>ModifiedByAgent</t>
  </si>
  <si>
    <t>NewVersionMotivation</t>
  </si>
  <si>
    <t>ChangelogDescription</t>
  </si>
  <si>
    <t>CountOfSteps</t>
  </si>
  <si>
    <t>CountOfOpenKnowledgeGaps</t>
  </si>
  <si>
    <t>IsReadyForExecution</t>
  </si>
  <si>
    <t>SpecifiedStepCount</t>
  </si>
  <si>
    <t>OverdueReviewCount</t>
  </si>
  <si>
    <t>OpenChangeRequestCount</t>
  </si>
  <si>
    <t>OpenHighSeverityGapCount</t>
  </si>
  <si>
    <t>IsFitToExecute</t>
  </si>
  <si>
    <t>StewardReviewCadenceDays</t>
  </si>
  <si>
    <t>CountOfStewardshipAssignments</t>
  </si>
  <si>
    <t>HasAnySteward</t>
  </si>
  <si>
    <t>IsLive</t>
  </si>
  <si>
    <t>IsUnstewarded</t>
  </si>
  <si>
    <t>IsLiveAndUnstewarded</t>
  </si>
  <si>
    <t>CountOfOpenBlockingGaps</t>
  </si>
  <si>
    <t>HasOpenBlockingGap</t>
  </si>
  <si>
    <t>IsLiveWithBlockingGap</t>
  </si>
  <si>
    <t>ShouldNotBeExecutable</t>
  </si>
  <si>
    <t>CountOfUnapprovedRelianceFragments</t>
  </si>
  <si>
    <t>RunsOnUnapprovedKnowledge</t>
  </si>
  <si>
    <t>CountOfOverdueGaps</t>
  </si>
  <si>
    <t>CountOfChangeRequests</t>
  </si>
  <si>
    <t>CountOfReviewEvents</t>
  </si>
  <si>
    <t>HasGovernanceRecord</t>
  </si>
  <si>
    <t>DaysSinceModified</t>
  </si>
  <si>
    <t>DaysSinceLastReview</t>
  </si>
  <si>
    <t>WasModifiedSinceLastReview</t>
  </si>
  <si>
    <t>ModifierIsAuthority</t>
  </si>
  <si>
    <t>HasUnwitnessedChange</t>
  </si>
  <si>
    <t>CountOfStaleFragments</t>
  </si>
  <si>
    <t>KnowledgeIsStalerThanCadence</t>
  </si>
  <si>
    <t>CompoundFragileFragmentCount</t>
  </si>
  <si>
    <t>RestsOnCompoundFragileKnowledge</t>
  </si>
  <si>
    <t>ConcentratedWitnessSessionCount</t>
  </si>
  <si>
    <t>KnowledgeBaseIsConcentrated</t>
  </si>
  <si>
    <t>MachineConsumedUnapprovedCount</t>
  </si>
  <si>
    <t>FeedsUnapprovedKnowledgeToMachines</t>
  </si>
  <si>
    <t>GenuinelyOverdueFragmentCount</t>
  </si>
  <si>
    <t>AwaitedDecisionCount</t>
  </si>
  <si>
    <t>ScopedOpenBlockingGapCount</t>
  </si>
  <si>
    <t>IsBlockedOnPendingDecision</t>
  </si>
  <si>
    <t>UnexercisedHumanGateCount</t>
  </si>
  <si>
    <t>AiBoundaryIsUnevidenced</t>
  </si>
  <si>
    <t>LoadBearingUnapprovedCount</t>
  </si>
  <si>
    <t>UnlandedDecisionCount</t>
  </si>
  <si>
    <t>UnrehearsedControlEntryCount</t>
  </si>
  <si>
    <t>HasUnrehearsedControlEntry</t>
  </si>
  <si>
    <t>IsLiveWithUnrehearsedControl</t>
  </si>
  <si>
    <t>CadenceBreachCount</t>
  </si>
  <si>
    <t>IsInCadenceBreach</t>
  </si>
  <si>
    <t>HasDecisionInFlight</t>
  </si>
  <si>
    <t>IsUnremediatedCadenceBreach</t>
  </si>
  <si>
    <t>IsManagedCadenceBreach</t>
  </si>
  <si>
    <t>GovernanceIsSilent</t>
  </si>
  <si>
    <t>ValidFragmentCount</t>
  </si>
  <si>
    <t>StillOwnsValidKnowledge</t>
  </si>
  <si>
    <t>IncomingSupersessionCount</t>
  </si>
  <si>
    <t>IsStillReferenced</t>
  </si>
  <si>
    <t>IsLoadBearingOrphan</t>
  </si>
  <si>
    <t>IsCleanlyRetired</t>
  </si>
  <si>
    <t>StalledImplementationCount</t>
  </si>
  <si>
    <t>IsHeldUnfitByLandedDecisions</t>
  </si>
  <si>
    <t>UndeclaredControlKindCount</t>
  </si>
  <si>
    <t>ControlTaxonomyIsIncomplete</t>
  </si>
  <si>
    <t>HasApprovedChangeRequest</t>
  </si>
  <si>
    <t>ApprovedChangeRequestCount</t>
  </si>
  <si>
    <t>UnwatchedUnownedControlCount</t>
  </si>
  <si>
    <t>MiningRunCount</t>
  </si>
  <si>
    <t>DriftedMiningRunCount</t>
  </si>
  <si>
    <t>HasUnresolvedMiningDrift</t>
  </si>
  <si>
    <t>close-v1.0.0</t>
  </si>
  <si>
    <t>Quarter-End Financial Close v1.0.0</t>
  </si>
  <si>
    <t>Archived</t>
  </si>
  <si>
    <t>Initial governed close procedure.</t>
  </si>
  <si>
    <t>Baseline eight-step close.</t>
  </si>
  <si>
    <t>1.1.0</t>
  </si>
  <si>
    <t>Quarter-End Financial Close v1.1.0</t>
  </si>
  <si>
    <t>Approved</t>
  </si>
  <si>
    <t>Capture FX timestamp failure mode and AI-assisted variance triage.</t>
  </si>
  <si>
    <t>Adds explicit feed-timestamp check, knowledge fragment, and variance-triage verification.</t>
  </si>
  <si>
    <t>Workforce Policy Change and Employee Notification v1.0.0</t>
  </si>
  <si>
    <t>Initial governed policy-notification procedure.</t>
  </si>
  <si>
    <t>Adds legal review, human approval, email/SMS channel controls, acknowledgements, and feedback review.</t>
  </si>
  <si>
    <t>ProcedureVersionLinkId</t>
  </si>
  <si>
    <t>PreviousProcedureVersion</t>
  </si>
  <si>
    <t>NextProcedureVersion</t>
  </si>
  <si>
    <t>RelationIri</t>
  </si>
  <si>
    <t>ChangeSummary</t>
  </si>
  <si>
    <t>SupersededVersionKey</t>
  </si>
  <si>
    <t>close-v1.0.0-to-v1.1.0</t>
  </si>
  <si>
    <t>https://w3id.org/pko#nextVersion</t>
  </si>
  <si>
    <t>Added timestamp control, AI variance triage, and explicit knowledge capture.</t>
  </si>
  <si>
    <t>ProcedureStatusChangeId</t>
  </si>
  <si>
    <t>ProcedureVersion</t>
  </si>
  <si>
    <t>FromStatus</t>
  </si>
  <si>
    <t>ToStatus</t>
  </si>
  <si>
    <t>ChangedAt</t>
  </si>
  <si>
    <t>ChangedByAgent</t>
  </si>
  <si>
    <t>Motivation</t>
  </si>
  <si>
    <t>status-close-draft-validation</t>
  </si>
  <si>
    <t>Draft</t>
  </si>
  <si>
    <t>Validation</t>
  </si>
  <si>
    <t>Ready for control and ontology validation.</t>
  </si>
  <si>
    <t>https://w3id.org/pko#ChangeOfStatus</t>
  </si>
  <si>
    <t>status-close-validation-approval</t>
  </si>
  <si>
    <t>Approval</t>
  </si>
  <si>
    <t>All requirements and test cases passed.</t>
  </si>
  <si>
    <t>status-close-approval-approved</t>
  </si>
  <si>
    <t>Final authority approved release.</t>
  </si>
  <si>
    <t>status-policy-draft-validation</t>
  </si>
  <si>
    <t>Ready for legal and communications review.</t>
  </si>
  <si>
    <t>status-policy-validation-approved</t>
  </si>
  <si>
    <t>Approved with channel safeguards.</t>
  </si>
  <si>
    <t>StepId</t>
  </si>
  <si>
    <t>StepNumber</t>
  </si>
  <si>
    <t>StepKind</t>
  </si>
  <si>
    <t>AssignedRole</t>
  </si>
  <si>
    <t>AssignedRoleLabel</t>
  </si>
  <si>
    <t>AssignedAgentKind</t>
  </si>
  <si>
    <t>Instruction</t>
  </si>
  <si>
    <t>ExpectedDurationMinutes</t>
  </si>
  <si>
    <t>ExpertiseLevel</t>
  </si>
  <si>
    <t>RequiresHumanConfirmation</t>
  </si>
  <si>
    <t>BlockingRequirementCount</t>
  </si>
  <si>
    <t>StaleBindingCount</t>
  </si>
  <si>
    <t>AuthoritativeStaleCount</t>
  </si>
  <si>
    <t>AvailableExceptionCount</t>
  </si>
  <si>
    <t>DeclaredVerificationCount</t>
  </si>
  <si>
    <t>IsPreparationStep</t>
  </si>
  <si>
    <t>IsApprovalStep</t>
  </si>
  <si>
    <t>StaleAuthoritativeBindingCount</t>
  </si>
  <si>
    <t>InputsAreFresh</t>
  </si>
  <si>
    <t>IsSoftwareAssigned</t>
  </si>
  <si>
    <t>IsHumanApprovalGate</t>
  </si>
  <si>
    <t>GateHeldByHuman</t>
  </si>
  <si>
    <t>BindingBoundaryCount</t>
  </si>
  <si>
    <t>AssignedRoleIsUngoverned</t>
  </si>
  <si>
    <t>UnusableBindingCount</t>
  </si>
  <si>
    <t>AllSourcesUsable</t>
  </si>
  <si>
    <t>ControlKind</t>
  </si>
  <si>
    <t>UnwarrantedBoundaryCount</t>
  </si>
  <si>
    <t>IsGovernedByUnwarrantedBoundary</t>
  </si>
  <si>
    <t>SoftwareExecutionCount</t>
  </si>
  <si>
    <t>HasBeenApproachedBySoftware</t>
  </si>
  <si>
    <t>IsUnexercisedHumanGate</t>
  </si>
  <si>
    <t>IsDemonstratedHumanGate</t>
  </si>
  <si>
    <t>UnexercisedGateVersionKey</t>
  </si>
  <si>
    <t>HasDeclaredControlKind</t>
  </si>
  <si>
    <t>UndeclaredControlVersionKey</t>
  </si>
  <si>
    <t>ApprovalStepIsSoftwareAssigned</t>
  </si>
  <si>
    <t>UnwitnessedBlockingCount</t>
  </si>
  <si>
    <t>close-01</t>
  </si>
  <si>
    <t>01</t>
  </si>
  <si>
    <t>Freeze transaction entry</t>
  </si>
  <si>
    <t>Atomic</t>
  </si>
  <si>
    <t>Lock subledgers and prevent late postings.</t>
  </si>
  <si>
    <t>Senior</t>
  </si>
  <si>
    <t>Extraction</t>
  </si>
  <si>
    <t>http://purl.org/net/p-plan#Step</t>
  </si>
  <si>
    <t>close-02</t>
  </si>
  <si>
    <t>02</t>
  </si>
  <si>
    <t>Extract trial balance and feed timestamps</t>
  </si>
  <si>
    <t>Extract the trial balance and source-system timestamps.</t>
  </si>
  <si>
    <t>close-03</t>
  </si>
  <si>
    <t>03</t>
  </si>
  <si>
    <t>Reconcile material accounts</t>
  </si>
  <si>
    <t>MultiStep</t>
  </si>
  <si>
    <t>Reconcile material accounts and attach evidence.</t>
  </si>
  <si>
    <t>Preparation</t>
  </si>
  <si>
    <t>http://purl.org/net/p-plan#MultiStep</t>
  </si>
  <si>
    <t>close-04</t>
  </si>
  <si>
    <t>04</t>
  </si>
  <si>
    <t>Classify and investigate variances</t>
  </si>
  <si>
    <t>Use AI triage, then apply human situated judgment to material or anomalous variances.</t>
  </si>
  <si>
    <t>Expert</t>
  </si>
  <si>
    <t>close-05</t>
  </si>
  <si>
    <t>05</t>
  </si>
  <si>
    <t>Controller review</t>
  </si>
  <si>
    <t>Independently review reconciliations, evidence, and unresolved items.</t>
  </si>
  <si>
    <t>close-06</t>
  </si>
  <si>
    <t>06</t>
  </si>
  <si>
    <t>CFO approval</t>
  </si>
  <si>
    <t>Approve the close package or return it with required corrections.</t>
  </si>
  <si>
    <t>Master</t>
  </si>
  <si>
    <t>close-07</t>
  </si>
  <si>
    <t>07</t>
  </si>
  <si>
    <t>Post close and publish package</t>
  </si>
  <si>
    <t>Post approved entries and publish the reporting package.</t>
  </si>
  <si>
    <t>Publication</t>
  </si>
  <si>
    <t>close-08</t>
  </si>
  <si>
    <t>08</t>
  </si>
  <si>
    <t>Archive evidence and hold retrospective</t>
  </si>
  <si>
    <t>Archive evidence and capture questions, issues, and lessons learned.</t>
  </si>
  <si>
    <t>Retrospective</t>
  </si>
  <si>
    <t>policy-01</t>
  </si>
  <si>
    <t>Identify policy trigger and affected population</t>
  </si>
  <si>
    <t>Establish the legal/business trigger and population affected.</t>
  </si>
  <si>
    <t>policy-02</t>
  </si>
  <si>
    <t>Elicit process and practitioner knowledge</t>
  </si>
  <si>
    <t>Interview practitioners, inspect source artifacts, and record tacit/implicit/explicit knowledge.</t>
  </si>
  <si>
    <t>policy-03</t>
  </si>
  <si>
    <t>Draft policy and channel variants</t>
  </si>
  <si>
    <t>Draft the policy and proposed email/SMS variants from approved sources.</t>
  </si>
  <si>
    <t>policy-04</t>
  </si>
  <si>
    <t>Legal and privacy review</t>
  </si>
  <si>
    <t>Review legal commitments, privacy, consent, retention, and jurisdictional requirements.</t>
  </si>
  <si>
    <t>LegalReview</t>
  </si>
  <si>
    <t>policy-05</t>
  </si>
  <si>
    <t>Human authority approval</t>
  </si>
  <si>
    <t>Approve the policy meaning and all channel constraints.</t>
  </si>
  <si>
    <t>policy-06</t>
  </si>
  <si>
    <t>Generate approved communications</t>
  </si>
  <si>
    <t>Render approved email and SMS messages without changing policy meaning.</t>
  </si>
  <si>
    <t>policy-07</t>
  </si>
  <si>
    <t>Apply channel controls and send</t>
  </si>
  <si>
    <t>Enforce consent, quiet hours, opt-out text, recipient scope, and delivery logging.</t>
  </si>
  <si>
    <t>policy-08</t>
  </si>
  <si>
    <t>Collect acknowledgements and exceptions</t>
  </si>
  <si>
    <t>Collect acknowledgements and create exception tasks for unreachable recipients.</t>
  </si>
  <si>
    <t>Verification</t>
  </si>
  <si>
    <t>policy-09</t>
  </si>
  <si>
    <t>09</t>
  </si>
  <si>
    <t>Review feedback and update knowledge</t>
  </si>
  <si>
    <t>Review questions, feedback, delivery failures, and proposed knowledge changes.</t>
  </si>
  <si>
    <t>StepTransitionId</t>
  </si>
  <si>
    <t>FromStep</t>
  </si>
  <si>
    <t>ToStep</t>
  </si>
  <si>
    <t>TransitionKind</t>
  </si>
  <si>
    <t>Condition</t>
  </si>
  <si>
    <t>Priority</t>
  </si>
  <si>
    <t>IsRecoveryPath</t>
  </si>
  <si>
    <t>CountOfFromStepExecutions</t>
  </si>
  <si>
    <t>CountOfToStepExecutions</t>
  </si>
  <si>
    <t>HasReachableOrigin</t>
  </si>
  <si>
    <t>HasReachableTarget</t>
  </si>
  <si>
    <t>IsNeverExercised</t>
  </si>
  <si>
    <t>IsUntestedRecoveryPath</t>
  </si>
  <si>
    <t>CountOfObservedTraversals</t>
  </si>
  <si>
    <t>HasBeenTraversed</t>
  </si>
  <si>
    <t>IsUnwalkedRecoveryPath</t>
  </si>
  <si>
    <t>TargetBlockingRequirementCount</t>
  </si>
  <si>
    <t>TargetCarriesBlockingControl</t>
  </si>
  <si>
    <t>IsUnrehearsedControlEntry</t>
  </si>
  <si>
    <t>UnrehearsedControlVersionKey</t>
  </si>
  <si>
    <t>close-01-to-close-02</t>
  </si>
  <si>
    <t>Next</t>
  </si>
  <si>
    <t>Default sequence</t>
  </si>
  <si>
    <t>https://w3id.org/pko#Transition</t>
  </si>
  <si>
    <t>close-02-to-close-03</t>
  </si>
  <si>
    <t>close-03-to-close-04</t>
  </si>
  <si>
    <t>close-04-to-close-05</t>
  </si>
  <si>
    <t>close-05-to-close-06</t>
  </si>
  <si>
    <t>close-06-to-close-07</t>
  </si>
  <si>
    <t>close-07-to-close-08</t>
  </si>
  <si>
    <t>policy-01-to-policy-02</t>
  </si>
  <si>
    <t>policy-02-to-policy-03</t>
  </si>
  <si>
    <t>policy-03-to-policy-04</t>
  </si>
  <si>
    <t>policy-04-to-policy-05</t>
  </si>
  <si>
    <t>policy-05-to-policy-06</t>
  </si>
  <si>
    <t>policy-06-to-policy-07</t>
  </si>
  <si>
    <t>policy-07-to-policy-08</t>
  </si>
  <si>
    <t>policy-08-to-policy-09</t>
  </si>
  <si>
    <t>close-04-fallback-close-03</t>
  </si>
  <si>
    <t>Fallback</t>
  </si>
  <si>
    <t>Evidence is incomplete or source balance changed after extraction</t>
  </si>
  <si>
    <t>close-06-return-close-04</t>
  </si>
  <si>
    <t>Alternative</t>
  </si>
  <si>
    <t>CFO rejects package or requests further analysis</t>
  </si>
  <si>
    <t>policy-04-return-policy-03</t>
  </si>
  <si>
    <t>Legal review requires semantic revision</t>
  </si>
  <si>
    <t>policy-07-fallback-policy-06</t>
  </si>
  <si>
    <t>Rendered message violates channel length or disclosure constraints</t>
  </si>
  <si>
    <t>ActionId</t>
  </si>
  <si>
    <t>freeze-ledgers</t>
  </si>
  <si>
    <t>Freeze ledgers</t>
  </si>
  <si>
    <t>Prevent late transaction entry after the close cutoff.</t>
  </si>
  <si>
    <t>https://w3id.org/pko#Action</t>
  </si>
  <si>
    <t>reconcile-account</t>
  </si>
  <si>
    <t>Reconcile account</t>
  </si>
  <si>
    <t>Compare balances, source records, and supporting evidence.</t>
  </si>
  <si>
    <t>investigate-variance</t>
  </si>
  <si>
    <t>Investigate variance</t>
  </si>
  <si>
    <t>Apply documented checks and situated judgment to explain a material variance.</t>
  </si>
  <si>
    <t>review-close-package</t>
  </si>
  <si>
    <t>Review close package</t>
  </si>
  <si>
    <t>Perform an independent control review.</t>
  </si>
  <si>
    <t>approve-close</t>
  </si>
  <si>
    <t>Approve close</t>
  </si>
  <si>
    <t>Authorize publication of the financial statements package.</t>
  </si>
  <si>
    <t>interview-practitioner</t>
  </si>
  <si>
    <t>Interview practitioner</t>
  </si>
  <si>
    <t>Elicit tacit, implicit, and explicit procedural knowledge.</t>
  </si>
  <si>
    <t>review-policy</t>
  </si>
  <si>
    <t>Review employment policy</t>
  </si>
  <si>
    <t>Review legal, privacy, and operational commitments.</t>
  </si>
  <si>
    <t>approve-policy</t>
  </si>
  <si>
    <t>Approve employment policy</t>
  </si>
  <si>
    <t>Authorize the policy's semantic content and channel requirements.</t>
  </si>
  <si>
    <t>review-feedback</t>
  </si>
  <si>
    <t>Review procedural feedback</t>
  </si>
  <si>
    <t>Evaluate questions, issues, and lessons for future versions.</t>
  </si>
  <si>
    <t>FunctionId</t>
  </si>
  <si>
    <t>ImplementationKey</t>
  </si>
  <si>
    <t>extract-trial-balance</t>
  </si>
  <si>
    <t>Extract trial balance</t>
  </si>
  <si>
    <t>Deterministically extract balances and source timestamps.</t>
  </si>
  <si>
    <t>extract-trial-balance-impl</t>
  </si>
  <si>
    <t>https://w3id.org/pko#Function</t>
  </si>
  <si>
    <t>classify-variance</t>
  </si>
  <si>
    <t>Classify variance</t>
  </si>
  <si>
    <t>Rank and classify variances using the approved AI model.</t>
  </si>
  <si>
    <t>classify-variance-impl</t>
  </si>
  <si>
    <t>post-close-entries</t>
  </si>
  <si>
    <t>Post close entries</t>
  </si>
  <si>
    <t>Post only approved journal entries.</t>
  </si>
  <si>
    <t>post-close-entries-impl</t>
  </si>
  <si>
    <t>draft-policy</t>
  </si>
  <si>
    <t>Draft policy</t>
  </si>
  <si>
    <t>Generate a draft from approved sources and requirements.</t>
  </si>
  <si>
    <t>draft-policy-impl</t>
  </si>
  <si>
    <t>render-email</t>
  </si>
  <si>
    <t>Render email</t>
  </si>
  <si>
    <t>Produce an email projection without changing policy meaning.</t>
  </si>
  <si>
    <t>render-email-impl</t>
  </si>
  <si>
    <t>render-sms</t>
  </si>
  <si>
    <t>Render SMS</t>
  </si>
  <si>
    <t>Produce a length-constrained SMS projection without changing policy meaning.</t>
  </si>
  <si>
    <t>render-sms-impl</t>
  </si>
  <si>
    <t>send-notification</t>
  </si>
  <si>
    <t>Send notification</t>
  </si>
  <si>
    <t>Apply channel policy and deliver an approved message.</t>
  </si>
  <si>
    <t>send-notification-impl</t>
  </si>
  <si>
    <t>collect-acknowledgement</t>
  </si>
  <si>
    <t>Collect acknowledgement</t>
  </si>
  <si>
    <t>Record receipt, acknowledgement, or exception state.</t>
  </si>
  <si>
    <t>collect-acknowledgement-impl</t>
  </si>
  <si>
    <t>ToolId</t>
  </si>
  <si>
    <t>erp-ledger</t>
  </si>
  <si>
    <t>ERP General Ledger</t>
  </si>
  <si>
    <t>Financial system of record</t>
  </si>
  <si>
    <t>http://w3id.org/nfdi4ing/metadata4ing#Tool</t>
  </si>
  <si>
    <t>close-workpaper</t>
  </si>
  <si>
    <t>Close Workpaper Workbook</t>
  </si>
  <si>
    <t>Controlled reconciliation workbook</t>
  </si>
  <si>
    <t>variance-model</t>
  </si>
  <si>
    <t>Variance AI Console</t>
  </si>
  <si>
    <t>Approved AI variance-triage interface</t>
  </si>
  <si>
    <t>policy-registry</t>
  </si>
  <si>
    <t>Policy Registry</t>
  </si>
  <si>
    <t>Versioned workforce-policy source of truth</t>
  </si>
  <si>
    <t>consent-registry</t>
  </si>
  <si>
    <t>Employee Consent Registry</t>
  </si>
  <si>
    <t>Consent and channel preference system</t>
  </si>
  <si>
    <t>email-gateway</t>
  </si>
  <si>
    <t>Email Gateway</t>
  </si>
  <si>
    <t>Transactional employee email service</t>
  </si>
  <si>
    <t>sms-gateway</t>
  </si>
  <si>
    <t>SMS Gateway</t>
  </si>
  <si>
    <t>Transactional SMS service</t>
  </si>
  <si>
    <t>knowledge-capture-form</t>
  </si>
  <si>
    <t>Knowledge Capture Form</t>
  </si>
  <si>
    <t>Structured elicitation and review interface</t>
  </si>
  <si>
    <t>StepActionId</t>
  </si>
  <si>
    <t>Step</t>
  </si>
  <si>
    <t>Action</t>
  </si>
  <si>
    <t>sa-close01</t>
  </si>
  <si>
    <t>sa-close03</t>
  </si>
  <si>
    <t>sa-close04</t>
  </si>
  <si>
    <t>sa-close05</t>
  </si>
  <si>
    <t>sa-close06</t>
  </si>
  <si>
    <t>sa-policy02</t>
  </si>
  <si>
    <t>sa-policy04</t>
  </si>
  <si>
    <t>sa-policy05</t>
  </si>
  <si>
    <t>sa-policy09</t>
  </si>
  <si>
    <t>StepFunctionId</t>
  </si>
  <si>
    <t>Function</t>
  </si>
  <si>
    <t>sf-close02</t>
  </si>
  <si>
    <t>sf-close04</t>
  </si>
  <si>
    <t>sf-close07</t>
  </si>
  <si>
    <t>sf-policy03</t>
  </si>
  <si>
    <t>sf-policy06-email</t>
  </si>
  <si>
    <t>sf-policy06-sms</t>
  </si>
  <si>
    <t>sf-policy07</t>
  </si>
  <si>
    <t>sf-policy08</t>
  </si>
  <si>
    <t>StepToolId</t>
  </si>
  <si>
    <t>Tool</t>
  </si>
  <si>
    <t>st-close01</t>
  </si>
  <si>
    <t>st-close02</t>
  </si>
  <si>
    <t>st-close03</t>
  </si>
  <si>
    <t>st-close04a</t>
  </si>
  <si>
    <t>st-close04b</t>
  </si>
  <si>
    <t>st-policy02</t>
  </si>
  <si>
    <t>st-policy03</t>
  </si>
  <si>
    <t>st-policy07a</t>
  </si>
  <si>
    <t>st-policy07b</t>
  </si>
  <si>
    <t>st-policy07c</t>
  </si>
  <si>
    <t>RequirementId</t>
  </si>
  <si>
    <t>RequirementType</t>
  </si>
  <si>
    <t>Statement</t>
  </si>
  <si>
    <t>IsBlocking</t>
  </si>
  <si>
    <t>SatisfactionRecordCount</t>
  </si>
  <si>
    <t>StepBindingCount</t>
  </si>
  <si>
    <t>IsBoundToAnyStep</t>
  </si>
  <si>
    <t>HasEverBeenEvaluated</t>
  </si>
  <si>
    <t>NegativeOutcomeCount</t>
  </si>
  <si>
    <t>IsInoperativeControl</t>
  </si>
  <si>
    <t>IsDecorativeControl</t>
  </si>
  <si>
    <t>HasComputedWitness</t>
  </si>
  <si>
    <t>WitnessFieldName</t>
  </si>
  <si>
    <t>HasEverProducedNegative</t>
  </si>
  <si>
    <t>IsUnfalsifiedControl</t>
  </si>
  <si>
    <t>ClaimsAWitnessField</t>
  </si>
  <si>
    <t>NamedWitnessFieldExists</t>
  </si>
  <si>
    <t>DerivedHasComputedWitness</t>
  </si>
  <si>
    <t>WitnessClaimIsUnverified</t>
  </si>
  <si>
    <t>IsUnwitnessedBlockingControl</t>
  </si>
  <si>
    <t>WitnessFireCount</t>
  </si>
  <si>
    <t>WitnessHasNeverFired</t>
  </si>
  <si>
    <t>EvaluationSampleSize</t>
  </si>
  <si>
    <t>HasMeaningfulSample</t>
  </si>
  <si>
    <t>MinimumSampleForAssurance</t>
  </si>
  <si>
    <t>IsUntestedWitness</t>
  </si>
  <si>
    <t>IsEvidencedHoldingControl</t>
  </si>
  <si>
    <t>ControlAssuranceState</t>
  </si>
  <si>
    <t>UnexercisedBindingCount</t>
  </si>
  <si>
    <t>WitnessIsPartiallyScoped</t>
  </si>
  <si>
    <t>AccountableRole</t>
  </si>
  <si>
    <t>AccountableAgent</t>
  </si>
  <si>
    <t>HasNamedOwner</t>
  </si>
  <si>
    <t>IsOrphanedBlockingControl</t>
  </si>
  <si>
    <t>IsUnwatchedAndUnowned</t>
  </si>
  <si>
    <t>AttestationExposureNote</t>
  </si>
  <si>
    <t>UnwatchedUnownedFlag</t>
  </si>
  <si>
    <t>ControlledTerm</t>
  </si>
  <si>
    <t>UsesControlledVocabulary</t>
  </si>
  <si>
    <t>req-close-cutoff</t>
  </si>
  <si>
    <t>Close cutoff enforced</t>
  </si>
  <si>
    <t>Control</t>
  </si>
  <si>
    <t>No ledger entry may be posted after cutoff without controller-approved reopening.</t>
  </si>
  <si>
    <t>SOX control design</t>
  </si>
  <si>
    <t>VerificationOutcomes.SignalMatchesExpected</t>
  </si>
  <si>
    <t>vt-cutoff</t>
  </si>
  <si>
    <t>https://w3id.org/pko#Requirement</t>
  </si>
  <si>
    <t>req-close-balance</t>
  </si>
  <si>
    <t>Reconciled balance integrity</t>
  </si>
  <si>
    <t>Every material account must reconcile or carry an approved exception.</t>
  </si>
  <si>
    <t>Financial reporting accuracy</t>
  </si>
  <si>
    <t>VerificationOutcomes.IsUnbackedObservation</t>
  </si>
  <si>
    <t>vt-reconciliation</t>
  </si>
  <si>
    <t>req-close-separation</t>
  </si>
  <si>
    <t>Preparer/approver separation</t>
  </si>
  <si>
    <t>Governance</t>
  </si>
  <si>
    <t>The preparer may not be the final approver.</t>
  </si>
  <si>
    <t>Segregation of duties</t>
  </si>
  <si>
    <t>StepExecutions.ViolatesSeparationOfDuties</t>
  </si>
  <si>
    <t>vt-segregation</t>
  </si>
  <si>
    <t>req-close-evidence</t>
  </si>
  <si>
    <t>Evidence retention</t>
  </si>
  <si>
    <t>Retention</t>
  </si>
  <si>
    <t>Evidence must remain retrievable for 7 years.</t>
  </si>
  <si>
    <t>Audit and legal retention</t>
  </si>
  <si>
    <t>RequirementSatisfactions.IsBlockingAndUnmet</t>
  </si>
  <si>
    <t>vt-evidence-retention</t>
  </si>
  <si>
    <t>req-close-human-approval</t>
  </si>
  <si>
    <t>Human final approval</t>
  </si>
  <si>
    <t>Controller and CFO approvals must be human-confirmed.</t>
  </si>
  <si>
    <t>Accountability</t>
  </si>
  <si>
    <t>vt-human-approval-gate</t>
  </si>
  <si>
    <t>req-policy-source</t>
  </si>
  <si>
    <t>Approved source only</t>
  </si>
  <si>
    <t>Provenance</t>
  </si>
  <si>
    <t>Drafting may use only approved source resources and validated elicitation records.</t>
  </si>
  <si>
    <t>Semantic integrity</t>
  </si>
  <si>
    <t>req-policy-legal</t>
  </si>
  <si>
    <t>Legal review required</t>
  </si>
  <si>
    <t>Employment counsel must approve legal and privacy commitments.</t>
  </si>
  <si>
    <t>Legal accountability</t>
  </si>
  <si>
    <t>vt-legal-review</t>
  </si>
  <si>
    <t>req-policy-human-approval</t>
  </si>
  <si>
    <t>Human meaning approval</t>
  </si>
  <si>
    <t>An AI agent may draft, but a human policy owner must approve meaning.</t>
  </si>
  <si>
    <t>Human accountability</t>
  </si>
  <si>
    <t>req-policy-consent</t>
  </si>
  <si>
    <t>SMS consent required</t>
  </si>
  <si>
    <t>Privacy</t>
  </si>
  <si>
    <t>SMS may be sent only to recipients with active consent.</t>
  </si>
  <si>
    <t>Consent and privacy</t>
  </si>
  <si>
    <t>vt-consent</t>
  </si>
  <si>
    <t>req-policy-quiet-hours</t>
  </si>
  <si>
    <t>Quiet hours enforced</t>
  </si>
  <si>
    <t>Communication</t>
  </si>
  <si>
    <t>SMS delivery must not occur between 20:00 and 08:00 recipient-local time.</t>
  </si>
  <si>
    <t>Employee experience</t>
  </si>
  <si>
    <t>vt-quiet-hours</t>
  </si>
  <si>
    <t>req-policy-optout</t>
  </si>
  <si>
    <t>Opt-out text required</t>
  </si>
  <si>
    <t>Every SMS must include approved opt-out language.</t>
  </si>
  <si>
    <t>Consent management</t>
  </si>
  <si>
    <t>vt-optout</t>
  </si>
  <si>
    <t>req-policy-retention</t>
  </si>
  <si>
    <t>Communication evidence retention</t>
  </si>
  <si>
    <t>Rendered messages, approvals, recipient scope, and delivery results must be retained for 7 years.</t>
  </si>
  <si>
    <t>Auditability</t>
  </si>
  <si>
    <t>req-policy-accessibility</t>
  </si>
  <si>
    <t>Plain-language and accessibility</t>
  </si>
  <si>
    <t>Quality</t>
  </si>
  <si>
    <t>Email content must be readable, accessible, and include an alternate contact method.</t>
  </si>
  <si>
    <t>Inclusive communication</t>
  </si>
  <si>
    <t>vt-accessibility</t>
  </si>
  <si>
    <t>StepRequirementId</t>
  </si>
  <si>
    <t>Requirement</t>
  </si>
  <si>
    <t>RequirementIsBlocking</t>
  </si>
  <si>
    <t>BlockingStepKey</t>
  </si>
  <si>
    <t>StepWhenBlocking</t>
  </si>
  <si>
    <t>RequirementLacksWitness</t>
  </si>
  <si>
    <t>UnwitnessedStepKey</t>
  </si>
  <si>
    <t>SatisfactionCountForBinding</t>
  </si>
  <si>
    <t>BindingWasEverExercised</t>
  </si>
  <si>
    <t>IsUnexercisedBlockingBinding</t>
  </si>
  <si>
    <t>UnexercisedBindingRequirementKey</t>
  </si>
  <si>
    <t>sr-c01</t>
  </si>
  <si>
    <t>sr-c03a</t>
  </si>
  <si>
    <t>sr-c03b</t>
  </si>
  <si>
    <t>sr-c05</t>
  </si>
  <si>
    <t>sr-c06</t>
  </si>
  <si>
    <t>sr-c08</t>
  </si>
  <si>
    <t>sr-p03</t>
  </si>
  <si>
    <t>sr-p04</t>
  </si>
  <si>
    <t>sr-p05</t>
  </si>
  <si>
    <t>sr-p06</t>
  </si>
  <si>
    <t>sr-p07a</t>
  </si>
  <si>
    <t>sr-p07b</t>
  </si>
  <si>
    <t>sr-p07c</t>
  </si>
  <si>
    <t>sr-p07d</t>
  </si>
  <si>
    <t>sr-p08</t>
  </si>
  <si>
    <t>StepVerificationId</t>
  </si>
  <si>
    <t>VerificationKind</t>
  </si>
  <si>
    <t>SignalIdentifier</t>
  </si>
  <si>
    <t>ExpectedSignalValue</t>
  </si>
  <si>
    <t>verify-close-cutoff</t>
  </si>
  <si>
    <t>SignalVerification</t>
  </si>
  <si>
    <t>ledger-lock-state</t>
  </si>
  <si>
    <t>LOCKED</t>
  </si>
  <si>
    <t>The ERP reports the close period locked.</t>
  </si>
  <si>
    <t>https://w3id.org/pko#SignalVerification</t>
  </si>
  <si>
    <t>verify-feed-time</t>
  </si>
  <si>
    <t>max-feed-age-minutes</t>
  </si>
  <si>
    <t>15</t>
  </si>
  <si>
    <t>All source feeds are no more than 15 minutes old.</t>
  </si>
  <si>
    <t>verify-reconciliation</t>
  </si>
  <si>
    <t>unexplained-material-variance</t>
  </si>
  <si>
    <t>0</t>
  </si>
  <si>
    <t>No unexplained material variance remains.</t>
  </si>
  <si>
    <t>verify-controller</t>
  </si>
  <si>
    <t>ApprovalVerification</t>
  </si>
  <si>
    <t>controller-approval</t>
  </si>
  <si>
    <t>APPROVED</t>
  </si>
  <si>
    <t>Controller approval record exists.</t>
  </si>
  <si>
    <t>https://w3id.org/pko#StepVerification</t>
  </si>
  <si>
    <t>verify-cfo</t>
  </si>
  <si>
    <t>cfo-approval</t>
  </si>
  <si>
    <t>CFO approval record exists.</t>
  </si>
  <si>
    <t>verify-policy-source</t>
  </si>
  <si>
    <t>ProvenanceVerification</t>
  </si>
  <si>
    <t>unapproved-source-count</t>
  </si>
  <si>
    <t>Draft contains no unapproved source.</t>
  </si>
  <si>
    <t>verify-legal</t>
  </si>
  <si>
    <t>legal-approval</t>
  </si>
  <si>
    <t>Employment counsel approval exists.</t>
  </si>
  <si>
    <t>verify-policy-owner</t>
  </si>
  <si>
    <t>policy-owner-approval</t>
  </si>
  <si>
    <t>Human policy-owner approval exists.</t>
  </si>
  <si>
    <t>verify-sms-consent</t>
  </si>
  <si>
    <t>sms-without-consent-count</t>
  </si>
  <si>
    <t>No SMS recipient lacks active consent.</t>
  </si>
  <si>
    <t>verify-quiet-hours</t>
  </si>
  <si>
    <t>quiet-hours-violation-count</t>
  </si>
  <si>
    <t>No message was sent during quiet hours.</t>
  </si>
  <si>
    <t>verify-ack</t>
  </si>
  <si>
    <t>unresolved-recipient-count</t>
  </si>
  <si>
    <t>All recipients acknowledged or have an exception task.</t>
  </si>
  <si>
    <t>RationaleId</t>
  </si>
  <si>
    <t>AuthorityRole</t>
  </si>
  <si>
    <t>rat-close-separation</t>
  </si>
  <si>
    <t>Why the preparer cannot approve</t>
  </si>
  <si>
    <t>Independent review prevents self-certification and makes accountability legible.</t>
  </si>
  <si>
    <t>urn:effortless:pko-extension#Rationale</t>
  </si>
  <si>
    <t>rat-close-ai</t>
  </si>
  <si>
    <t>Why AI ranks but does not close variances</t>
  </si>
  <si>
    <t>The model accelerates triage; materiality, anomaly context, and acceptance remain human judgments.</t>
  </si>
  <si>
    <t>rat-policy-ai</t>
  </si>
  <si>
    <t>Why AI may draft but not approve</t>
  </si>
  <si>
    <t>Drafting is reversible assistance; legal and organizational commitments require human authority.</t>
  </si>
  <si>
    <t>rat-policy-multichannel</t>
  </si>
  <si>
    <t>Why both email and SMS exist</t>
  </si>
  <si>
    <t>Email carries complete policy context; consented SMS provides timely notice and a link without becoming the legal record.</t>
  </si>
  <si>
    <t>ExceptionId</t>
  </si>
  <si>
    <t>TriggerStep</t>
  </si>
  <si>
    <t>Handling</t>
  </si>
  <si>
    <t>ApprovalRole</t>
  </si>
  <si>
    <t>FallbackRole</t>
  </si>
  <si>
    <t>ActiveExceptionStepKey</t>
  </si>
  <si>
    <t>exc-cfo-unavailable</t>
  </si>
  <si>
    <t>CFO unavailable during close</t>
  </si>
  <si>
    <t>Delegate approval to the formally designated Acting CFO; never to the preparer.</t>
  </si>
  <si>
    <t>urn:effortless:pko-extension#Exception</t>
  </si>
  <si>
    <t>exc-ledger-outage</t>
  </si>
  <si>
    <t>ERP source unavailable</t>
  </si>
  <si>
    <t>Use a digitally signed, timestamped snapshot and open a blocking incident; do not silently substitute a spreadsheet.</t>
  </si>
  <si>
    <t>exc-no-sms-consent</t>
  </si>
  <si>
    <t>Recipient lacks SMS consent</t>
  </si>
  <si>
    <t>Suppress SMS and send approved email only.</t>
  </si>
  <si>
    <t>exc-unreachable</t>
  </si>
  <si>
    <t>Recipient unreachable</t>
  </si>
  <si>
    <t>Create an HR case and route to the employee's manager without marking acknowledgement complete.</t>
  </si>
  <si>
    <t>ResourceId</t>
  </si>
  <si>
    <t>ResourceKind</t>
  </si>
  <si>
    <t>ExternalUri</t>
  </si>
  <si>
    <t>CreatedAt</t>
  </si>
  <si>
    <t>Description</t>
  </si>
  <si>
    <t>ApprovalStatus</t>
  </si>
  <si>
    <t>IsApprovedSource</t>
  </si>
  <si>
    <t>res-close-sop-pdf</t>
  </si>
  <si>
    <t>Quarter-End Close SOP PDF</t>
  </si>
  <si>
    <t>Document</t>
  </si>
  <si>
    <t>doc://finance/close-sop-v1.0</t>
  </si>
  <si>
    <t>Controlled source document from which the initial procedure was extracted.</t>
  </si>
  <si>
    <t>http://www.w3.org/ns/dcat#Resource</t>
  </si>
  <si>
    <t>res-erp-api</t>
  </si>
  <si>
    <t>ERP Ledger API</t>
  </si>
  <si>
    <t>API</t>
  </si>
  <si>
    <t>api://erp/general-ledger/v3</t>
  </si>
  <si>
    <t>Live operational ledger and timestamp source.</t>
  </si>
  <si>
    <t>res-close-checklist</t>
  </si>
  <si>
    <t>Close Control Checklist</t>
  </si>
  <si>
    <t>Checklist</t>
  </si>
  <si>
    <t>doc://finance/close-checklist-v1.1</t>
  </si>
  <si>
    <t>Approved close evidence checklist.</t>
  </si>
  <si>
    <t>res-policy-source</t>
  </si>
  <si>
    <t>Approved Workforce Policy Source</t>
  </si>
  <si>
    <t>doc://people/policy-remote-work-v3</t>
  </si>
  <si>
    <t>Approved policy text and change rationale.</t>
  </si>
  <si>
    <t>res-consent-registry</t>
  </si>
  <si>
    <t>Employee Communication Consent Registry</t>
  </si>
  <si>
    <t>Dataset</t>
  </si>
  <si>
    <t>data://hr/communication-consent</t>
  </si>
  <si>
    <t>Live channel consent and preference data.</t>
  </si>
  <si>
    <t>res-email-template</t>
  </si>
  <si>
    <t>Employee Policy Email Template</t>
  </si>
  <si>
    <t>Template</t>
  </si>
  <si>
    <t>template://people/policy-email-v2</t>
  </si>
  <si>
    <t>Approved full-context email template.</t>
  </si>
  <si>
    <t>res-sms-template</t>
  </si>
  <si>
    <t>Employee Policy SMS Template</t>
  </si>
  <si>
    <t>template://people/policy-sms-v2</t>
  </si>
  <si>
    <t>Approved SMS template with opt-out text.</t>
  </si>
  <si>
    <t>res-change-ticket</t>
  </si>
  <si>
    <t>Policy Change Ticket HR-4821</t>
  </si>
  <si>
    <t>OperationalRecord</t>
  </si>
  <si>
    <t>ticket://hr/HR-4821</t>
  </si>
  <si>
    <t>Operational record that initiated and tracks the policy change.</t>
  </si>
  <si>
    <t>ProcedureResourceId</t>
  </si>
  <si>
    <t>Resource</t>
  </si>
  <si>
    <t>Relation</t>
  </si>
  <si>
    <t>pr-close-source</t>
  </si>
  <si>
    <t>wasExtractedFrom</t>
  </si>
  <si>
    <t>pr-close-api</t>
  </si>
  <si>
    <t>references</t>
  </si>
  <si>
    <t>pr-close-check</t>
  </si>
  <si>
    <t>pr-policy-source</t>
  </si>
  <si>
    <t>pr-policy-consent</t>
  </si>
  <si>
    <t>pr-policy-email</t>
  </si>
  <si>
    <t>pr-policy-sms</t>
  </si>
  <si>
    <t>pr-policy-ticket</t>
  </si>
  <si>
    <t>ElicitationSessionId</t>
  </si>
  <si>
    <t>Method</t>
  </si>
  <si>
    <t>StartedAt</t>
  </si>
  <si>
    <t>EndedAt</t>
  </si>
  <si>
    <t>PractitionerAgent</t>
  </si>
  <si>
    <t>FacilitatorAgent</t>
  </si>
  <si>
    <t>Summary</t>
  </si>
  <si>
    <t>DaysSinceElicited</t>
  </si>
  <si>
    <t>IsSingleWitnessMethod</t>
  </si>
  <si>
    <t>PractitionerIsStillEngaged</t>
  </si>
  <si>
    <t>ValidFragmentsProduced</t>
  </si>
  <si>
    <t>IsHighYieldSession</t>
  </si>
  <si>
    <t>IsConcentratedSingleWitness</t>
  </si>
  <si>
    <t>IsStaleConcentratedWitness</t>
  </si>
  <si>
    <t>ConcentratedSessionVersionKey</t>
  </si>
  <si>
    <t>elicit-close-shadow</t>
  </si>
  <si>
    <t>Shadowing</t>
  </si>
  <si>
    <t>Observed actual variance investigation and captured timestamp-related failure mode.</t>
  </si>
  <si>
    <t>http://www.w3.org/ns/prov#Activity</t>
  </si>
  <si>
    <t>elicit-policy-workshop</t>
  </si>
  <si>
    <t>FacilitatedWorkshop</t>
  </si>
  <si>
    <t>Mapped policy drafting, legal review, channel constraints, and acknowledgement exceptions.</t>
  </si>
  <si>
    <t>elicit-policy-interview</t>
  </si>
  <si>
    <t>PractitionerInterview</t>
  </si>
  <si>
    <t>Captured legal rationale and the boundary between AI drafting and human commitment.</t>
  </si>
  <si>
    <t>KnowledgeFragmentId</t>
  </si>
  <si>
    <t>KnowledgeForm</t>
  </si>
  <si>
    <t>ElicitationSession</t>
  </si>
  <si>
    <t>SourceAgent</t>
  </si>
  <si>
    <t>Confidence</t>
  </si>
  <si>
    <t>OwnerRole</t>
  </si>
  <si>
    <t>SourceAgentIsStillEngaged</t>
  </si>
  <si>
    <t>SourceAgentKind</t>
  </si>
  <si>
    <t>HasHumanSource</t>
  </si>
  <si>
    <t>HasOrphanedProvenance</t>
  </si>
  <si>
    <t>IsUndefendableTacitClaim</t>
  </si>
  <si>
    <t>IsApproved</t>
  </si>
  <si>
    <t>IsWithinValidityWindow</t>
  </si>
  <si>
    <t>IsReliedUpon</t>
  </si>
  <si>
    <t>StepProcedureVersionStatus</t>
  </si>
  <si>
    <t>IsAttachedToLiveVersion</t>
  </si>
  <si>
    <t>IsUnapprovedButReliedOn</t>
  </si>
  <si>
    <t>EvidenceAgeDays</t>
  </si>
  <si>
    <t>HasRecordedElicitation</t>
  </si>
  <si>
    <t>IsFromSingleWitness</t>
  </si>
  <si>
    <t>EvidenceExpiryDays</t>
  </si>
  <si>
    <t>EvidenceHasExpired</t>
  </si>
  <si>
    <t>OwnerAgent</t>
  </si>
  <si>
    <t>IsAwaitingApproval</t>
  </si>
  <si>
    <t>OwnerIsMe</t>
  </si>
  <si>
    <t>IsMyUnfinishedApproval</t>
  </si>
  <si>
    <t>IsInvokedByAnException</t>
  </si>
  <si>
    <t>HasOperationalReliance</t>
  </si>
  <si>
    <t>IsUnapprovedAndOperationallyLive</t>
  </si>
  <si>
    <t>AgeDays</t>
  </si>
  <si>
    <t>IsLowConfidence</t>
  </si>
  <si>
    <t>OwningVersionCadenceDays</t>
  </si>
  <si>
    <t>ExceedsOwningCadence</t>
  </si>
  <si>
    <t>IsAgingLowConfidenceClaim</t>
  </si>
  <si>
    <t>OwnerRoleAgentKind</t>
  </si>
  <si>
    <t>IsHumanOwned</t>
  </si>
  <si>
    <t>IsAiValidatedByAi</t>
  </si>
  <si>
    <t>ReviewCadenceDays</t>
  </si>
  <si>
    <t>IsOverdueForReview</t>
  </si>
  <si>
    <t>PredatesCurrentRoleHolder</t>
  </si>
  <si>
    <t>OwnerRoleAssignmentValidFrom</t>
  </si>
  <si>
    <t>LastReviewedAt</t>
  </si>
  <si>
    <t>FragilitySignalCount</t>
  </si>
  <si>
    <t>IsCompoundFragile</t>
  </si>
  <si>
    <t>IsSinglePointOfFailure</t>
  </si>
  <si>
    <t>IsExpiringSinglePointOfFailure</t>
  </si>
  <si>
    <t>CompoundFragileVersionKey</t>
  </si>
  <si>
    <t>ValidFragmentSessionKey</t>
  </si>
  <si>
    <t>ConsumingStepIsSoftwareAssigned</t>
  </si>
  <si>
    <t>ConsumingStepAgentKind</t>
  </si>
  <si>
    <t>IsUnapprovedAndMachineConsumed</t>
  </si>
  <si>
    <t>IsUnapprovedAndHumanConsumed</t>
  </si>
  <si>
    <t>MachineConsumedUnapprovedVersionKey</t>
  </si>
  <si>
    <t>HasReviewRecord</t>
  </si>
  <si>
    <t>DaysSinceActualReview</t>
  </si>
  <si>
    <t>IsUnreviewedSinceAuthoring</t>
  </si>
  <si>
    <t>IsGenuinelyOverdue</t>
  </si>
  <si>
    <t>ReviewRecencyIsInferred</t>
  </si>
  <si>
    <t>InferenceDisagreesWithRecord</t>
  </si>
  <si>
    <t>GenuinelyOverdueVersionKey</t>
  </si>
  <si>
    <t>RatifiedBoundaryCount</t>
  </si>
  <si>
    <t>RelianceSurfaceCount</t>
  </si>
  <si>
    <t>DaysAwaitingMyApproval</t>
  </si>
  <si>
    <t>IsHighBlastRadiusUnapproved</t>
  </si>
  <si>
    <t>IsLongUnapproved</t>
  </si>
  <si>
    <t>UnapprovedLoadBearingVersionKey</t>
  </si>
  <si>
    <t>OwnerRoleIsVacated</t>
  </si>
  <si>
    <t>IsOrphanedByRole</t>
  </si>
  <si>
    <t>ValidFragmentVersionKey</t>
  </si>
  <si>
    <t>kf-close-fx-time</t>
  </si>
  <si>
    <t>Tacit</t>
  </si>
  <si>
    <t>When FX variance spikes near a daylight-saving cutover, compare each feed's source timestamp before investigating economics.</t>
  </si>
  <si>
    <t>High</t>
  </si>
  <si>
    <t>urn:effortless:pko-extension#KnowledgeFragment</t>
  </si>
  <si>
    <t>kf-close-top-ten</t>
  </si>
  <si>
    <t>Implicit</t>
  </si>
  <si>
    <t>The controller normally reviews the ten largest unexplained variances even when each is below the individual materiality threshold.</t>
  </si>
  <si>
    <t>Medium</t>
  </si>
  <si>
    <t>kf-close-retention</t>
  </si>
  <si>
    <t>Explicit</t>
  </si>
  <si>
    <t>Close evidence is retained for seven years and must remain linked to the execution that produced it.</t>
  </si>
  <si>
    <t>kf-close-judgment</t>
  </si>
  <si>
    <t>SituatedJudgment</t>
  </si>
  <si>
    <t>Escalate a variance when its pattern is anomalous or recurring, even if the net amount is below the numeric threshold.</t>
  </si>
  <si>
    <t>kf-policy-ai-boundary</t>
  </si>
  <si>
    <t>AI may draft from approved sources but may not create new legal commitments or approve meaning.</t>
  </si>
  <si>
    <t>kf-policy-channel</t>
  </si>
  <si>
    <t>Employees respond faster to concise SMS notices, but disputes are resolved against the complete approved email and policy record.</t>
  </si>
  <si>
    <t>kf-policy-manager-route</t>
  </si>
  <si>
    <t>When an employee is unreachable for 48 hours, the communications team normally routes a case to the employee's manager.</t>
  </si>
  <si>
    <t>Reviewed</t>
  </si>
  <si>
    <t>KnowledgeGapId</t>
  </si>
  <si>
    <t>Severity</t>
  </si>
  <si>
    <t>BlockingKind</t>
  </si>
  <si>
    <t>IdentifiedAt</t>
  </si>
  <si>
    <t>ResolutionPlan</t>
  </si>
  <si>
    <t>IsOpen</t>
  </si>
  <si>
    <t>OpenGapVersionKey</t>
  </si>
  <si>
    <t>IsOpenAndBlocking</t>
  </si>
  <si>
    <t>DaysOpen</t>
  </si>
  <si>
    <t>ToleranceDays</t>
  </si>
  <si>
    <t>IsOverdueGap</t>
  </si>
  <si>
    <t>OwnerIsStillEngaged</t>
  </si>
  <si>
    <t>HasResolutionPlan</t>
  </si>
  <si>
    <t>IsAbandonedUnknown</t>
  </si>
  <si>
    <t>OpenBlockingGapVersionKey</t>
  </si>
  <si>
    <t>IsOwnerlessOpenGap</t>
  </si>
  <si>
    <t>gap-close-dual-outage</t>
  </si>
  <si>
    <t>No validated fallback exists for simultaneous ERP and signed-snapshot repository outage.</t>
  </si>
  <si>
    <t>Blocking</t>
  </si>
  <si>
    <t>Resolved</t>
  </si>
  <si>
    <t>Resolved by adding offline signed export escrow.</t>
  </si>
  <si>
    <t>urn:effortless:pko-extension#KnowledgeGap</t>
  </si>
  <si>
    <t>gap-policy-delivery-receipts</t>
  </si>
  <si>
    <t>SMS provider delivery receipts are not always final for ported numbers.</t>
  </si>
  <si>
    <t>NonBlocking</t>
  </si>
  <si>
    <t>Open</t>
  </si>
  <si>
    <t>Pilot secondary delivery-status reconciliation.</t>
  </si>
  <si>
    <t>gap-close-sod-unwitnessed</t>
  </si>
  <si>
    <t>req-close-separation stated the preparer may not be the final approver, but nothing evaluated it. The control existed only as prose in a Requirements row, so a violation would have been invisible.</t>
  </si>
  <si>
    <t>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t>
  </si>
  <si>
    <t>gap-close-cadence-unmeasured</t>
  </si>
  <si>
    <t>StewardshipAssignments promised a 90-day review cadence for close-v1.1.0 and 60 days for policy-v1.0.0. Both the promise and the actual review history were in the model and nothing compared them, so a lapsed cadence was invisible.</t>
  </si>
  <si>
    <t>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t>
  </si>
  <si>
    <t>gap-roles-unauditable-holders</t>
  </si>
  <si>
    <t>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t>
  </si>
  <si>
    <t>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t>
  </si>
  <si>
    <t>gap-policy-consent-unenforced</t>
  </si>
  <si>
    <t>comm-sms-policy set ConsentRequired=true and exc-no-sms-consent documented the suppress-and-email handling, but no per-recipient delivery record existed, so a send to a non-consenting recipient was structurally invisible. req-policy-consent was a blocking control with zero satisfaction records.</t>
  </si>
  <si>
    <t>Critical</t>
  </si>
  <si>
    <t>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t>
  </si>
  <si>
    <t>gap-policy-quiet-hours-unenforced</t>
  </si>
  <si>
    <t>comm-sms-policy defined a 20:00-08:00 quiet window and nothing compared a send time against it.</t>
  </si>
  <si>
    <t>Resolved by MessageDeliveries.IsInsideQuietWindow and IsQuietHoursViolation, proven on md-005 (21:00 send). QuietHoursStartHour is stored rather than parsed: VALUE(LEFT("20:00",2)) does not translate — the transpiler casts the string to a timestamp and the view errors.</t>
  </si>
  <si>
    <t>gap-policy-unauthorized-sends</t>
  </si>
  <si>
    <t>MessageTemplates carried Status="Approved" as a bare string with no approval record behind it, and nothing evaluated a send BEFORE transmission. Every gate the communication policies define — consent, quiet hours, length, opt-out, approval — was checkable only after the fact, if at all.</t>
  </si>
  <si>
    <t>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t>
  </si>
  <si>
    <t>FaqId</t>
  </si>
  <si>
    <t>Category</t>
  </si>
  <si>
    <t>TargetKind</t>
  </si>
  <si>
    <t>Question</t>
  </si>
  <si>
    <t>Answer</t>
  </si>
  <si>
    <t>faq-close-workpapers</t>
  </si>
  <si>
    <t>Storage</t>
  </si>
  <si>
    <t>Where are close workpapers stored?</t>
  </si>
  <si>
    <t>In the controlled close evidence repository linked from the execution record; email attachments are not the system of record.</t>
  </si>
  <si>
    <t>https://w3id.org/pko#FrequentlyAskedQuestion</t>
  </si>
  <si>
    <t>faq-policy-ai</t>
  </si>
  <si>
    <t>Authority</t>
  </si>
  <si>
    <t>Can the drafting AI approve a workforce policy?</t>
  </si>
  <si>
    <t>No. It may draft from approved sources, but a human policy owner and legal reviewer must approve the commitments.</t>
  </si>
  <si>
    <t>faq-policy-optout</t>
  </si>
  <si>
    <t>Consent</t>
  </si>
  <si>
    <t>What happens when an employee opts out of SMS?</t>
  </si>
  <si>
    <t>The pipeline suppresses SMS and continues through the approved email channel.</t>
  </si>
  <si>
    <t>ExplanationId</t>
  </si>
  <si>
    <t>exp-close-variance</t>
  </si>
  <si>
    <t>Variance escalation explanation</t>
  </si>
  <si>
    <t>Explains the derived path from source timestamps, materiality, recurrence, and anomaly classification to the escalation decision.</t>
  </si>
  <si>
    <t>https://w3id.org/pko#Explanation</t>
  </si>
  <si>
    <t>exp-policy-channel</t>
  </si>
  <si>
    <t>Channel eligibility explanation</t>
  </si>
  <si>
    <t>Explains why each recipient received email, SMS, both, or an exception task based on consent and channel policy.</t>
  </si>
  <si>
    <t>ProcedureExecutionId</t>
  </si>
  <si>
    <t>ExecutionStatus</t>
  </si>
  <si>
    <t>ExecutedByAgent</t>
  </si>
  <si>
    <t>Context</t>
  </si>
  <si>
    <t>OperationalRecordUri</t>
  </si>
  <si>
    <t>ExpectedStepCount</t>
  </si>
  <si>
    <t>CompletedStepCount</t>
  </si>
  <si>
    <t>ControlBreachCount</t>
  </si>
  <si>
    <t>LateStepCount</t>
  </si>
  <si>
    <t>IsStructurallyComplete</t>
  </si>
  <si>
    <t>DivergedFromSpecification</t>
  </si>
  <si>
    <t>AllBlockingControlsEvaluated</t>
  </si>
  <si>
    <t>UnevaluatedBlockingTotal</t>
  </si>
  <si>
    <t>SeparationOfDutiesHeld</t>
  </si>
  <si>
    <t>SeparationViolationCount</t>
  </si>
  <si>
    <t>IsAttestationReady</t>
  </si>
  <si>
    <t>AttestationBlockerSummary</t>
  </si>
  <si>
    <t>ExecutedVersionIsFit</t>
  </si>
  <si>
    <t>SignedAgainstUnfitVersion</t>
  </si>
  <si>
    <t>AssertedOnlyControlCount</t>
  </si>
  <si>
    <t>AssuranceIsMostlyAsserted</t>
  </si>
  <si>
    <t>UnreachableHandlingFailureCount</t>
  </si>
  <si>
    <t>RetentionBreachCount</t>
  </si>
  <si>
    <t>ClearedLegalReviewCount</t>
  </si>
  <si>
    <t>HasClearedLegalReview</t>
  </si>
  <si>
    <t>AbandonedFailureCount</t>
  </si>
  <si>
    <t>DeliveredCount</t>
  </si>
  <si>
    <t>TotalDeliveryAttemptCount</t>
  </si>
  <si>
    <t>HasAbandonedFailures</t>
  </si>
  <si>
    <t>MishandledRefusalCount</t>
  </si>
  <si>
    <t>UncleanStepCount</t>
  </si>
  <si>
    <t>RanClean</t>
  </si>
  <si>
    <t>CountOfApprovalExecutions</t>
  </si>
  <si>
    <t>HasHumanApproval</t>
  </si>
  <si>
    <t>CountOfDeliveryExecutions</t>
  </si>
  <si>
    <t>HasDelivered</t>
  </si>
  <si>
    <t>DeliveredWithoutApproval</t>
  </si>
  <si>
    <t>InvalidApprovalCount</t>
  </si>
  <si>
    <t>ApprovalChainIsComplete</t>
  </si>
  <si>
    <t>VacuouslyCleanStepCount</t>
  </si>
  <si>
    <t>PreparationStepCount</t>
  </si>
  <si>
    <t>ApprovalStepCount</t>
  </si>
  <si>
    <t>SeparationWasTestable</t>
  </si>
  <si>
    <t>SeparationHeldUnderTest</t>
  </si>
  <si>
    <t>SeparationIsVacuouslyGreen</t>
  </si>
  <si>
    <t>SeparationAssuranceNote</t>
  </si>
  <si>
    <t>UngovernedDivergenceCount</t>
  </si>
  <si>
    <t>DivergenceWasFullyGoverned</t>
  </si>
  <si>
    <t>ComputedlyWitnessedControlCount</t>
  </si>
  <si>
    <t>EvaluatedControlCount</t>
  </si>
  <si>
    <t>ComputedAssuranceRatio</t>
  </si>
  <si>
    <t>InterestedPartyAssertionCount</t>
  </si>
  <si>
    <t>AssuranceGrade</t>
  </si>
  <si>
    <t>AttestationWouldBeWeaklyBased</t>
  </si>
  <si>
    <t>IndependentHumanObservationCount</t>
  </si>
  <si>
    <t>HasAnyIndependentObservation</t>
  </si>
  <si>
    <t>SelfAttestedApprovalCount</t>
  </si>
  <si>
    <t>AssuranceChainIsCircular</t>
  </si>
  <si>
    <t>LatestAttestationInstant</t>
  </si>
  <si>
    <t>HasBeenAttested</t>
  </si>
  <si>
    <t>AttestationCount</t>
  </si>
  <si>
    <t>PostAttestationScoreCount</t>
  </si>
  <si>
    <t>BasisChangedAfterSignature</t>
  </si>
  <si>
    <t>RequiresReAttestation</t>
  </si>
  <si>
    <t>IntendedRecipientCount</t>
  </si>
  <si>
    <t>ReachedRecipientCount</t>
  </si>
  <si>
    <t>SilentlyDroppedCount</t>
  </si>
  <si>
    <t>DeliveryYieldPercent</t>
  </si>
  <si>
    <t>CampaignSilentlyLostAudience</t>
  </si>
  <si>
    <t>UnrecordedRefusalCount</t>
  </si>
  <si>
    <t>HasUnrecordedRefusals</t>
  </si>
  <si>
    <t>IndependentlyConfirmedIntentCount</t>
  </si>
  <si>
    <t>SendDecisionsAreEntirelySelfWitnessed</t>
  </si>
  <si>
    <t>exec-close-2026-q2</t>
  </si>
  <si>
    <t>Completed</t>
  </si>
  <si>
    <t>Quarter ended 2026-06-30</t>
  </si>
  <si>
    <t>execution://finance/close/2026-q2</t>
  </si>
  <si>
    <t>https://w3id.org/pko#ProcedureExecution</t>
  </si>
  <si>
    <t>exec-policy-hr4821</t>
  </si>
  <si>
    <t>InProgress</t>
  </si>
  <si>
    <t>Remote-work policy revision HR-4821</t>
  </si>
  <si>
    <t>execution://people/policy/HR-4821</t>
  </si>
  <si>
    <t>StepExecutionId</t>
  </si>
  <si>
    <t>ProcedureExecution</t>
  </si>
  <si>
    <t>VerificationResult</t>
  </si>
  <si>
    <t>Deviation</t>
  </si>
  <si>
    <t>ActualDurationMinutes</t>
  </si>
  <si>
    <t>IsLate</t>
  </si>
  <si>
    <t>BlockingUnmetCount</t>
  </si>
  <si>
    <t>BlockingUnmetCountSafe</t>
  </si>
  <si>
    <t>ProceededPastBlockingControl</t>
  </si>
  <si>
    <t>ExpectedBlockingCount</t>
  </si>
  <si>
    <t>EvaluatedBlockingCount</t>
  </si>
  <si>
    <t>UnevaluatedBlockingCount</t>
  </si>
  <si>
    <t>HasUnevaluatedBlockingControl</t>
  </si>
  <si>
    <t>StaleAuthoritativeSourceCount</t>
  </si>
  <si>
    <t>RanOnStaleAuthoritativeSource</t>
  </si>
  <si>
    <t>HasDeviationNote</t>
  </si>
  <si>
    <t>IsLateAndUnexplained</t>
  </si>
  <si>
    <t>AvailableExceptionCountForStep</t>
  </si>
  <si>
    <t>HadUninvokedExceptionAvailable</t>
  </si>
  <si>
    <t>ExpectedVerificationCount</t>
  </si>
  <si>
    <t>PerformedVerificationCount</t>
  </si>
  <si>
    <t>SkippedVerificationCount</t>
  </si>
  <si>
    <t>HasSkippedVerification</t>
  </si>
  <si>
    <t>ClaimsPassWithoutEvidence</t>
  </si>
  <si>
    <t>StepIsPreparation</t>
  </si>
  <si>
    <t>StepIsApproval</t>
  </si>
  <si>
    <t>PreparerAgentKey</t>
  </si>
  <si>
    <t>ApproverAgentKey</t>
  </si>
  <si>
    <t>PreparedByThisAgentCount</t>
  </si>
  <si>
    <t>ViolatesSeparationOfDuties</t>
  </si>
  <si>
    <t>RequiredRoleForStep</t>
  </si>
  <si>
    <t>ExecutorRoleKey</t>
  </si>
  <si>
    <t>ExecutorAuthorityCount</t>
  </si>
  <si>
    <t>ExecutorHeldRequiredRole</t>
  </si>
  <si>
    <t>IsUnauthorizedApproval</t>
  </si>
  <si>
    <t>CompletedExecutionKey</t>
  </si>
  <si>
    <t>ControlBreachExecutionKey</t>
  </si>
  <si>
    <t>LateExecutionKey</t>
  </si>
  <si>
    <t>ExecutorAgentKind</t>
  </si>
  <si>
    <t>ExecutorIsHuman</t>
  </si>
  <si>
    <t>StepRequiresHumanConfirmation</t>
  </si>
  <si>
    <t>NonHumanRanHumanStep</t>
  </si>
  <si>
    <t>NonHumanApproval</t>
  </si>
  <si>
    <t>UnevaluatedBlockingExecutionKey</t>
  </si>
  <si>
    <t>SeparationViolationExecutionKey</t>
  </si>
  <si>
    <t>SelfWitnessedVerificationCount</t>
  </si>
  <si>
    <t>UnbackedVerificationCount</t>
  </si>
  <si>
    <t>ApprovalRestsOnSelfAttestation</t>
  </si>
  <si>
    <t>ExceptionInvocationCount</t>
  </si>
  <si>
    <t>RanUnderException</t>
  </si>
  <si>
    <t>IsCompleted</t>
  </si>
  <si>
    <t>IsVerificationPassed</t>
  </si>
  <si>
    <t>IsLegalReviewStep</t>
  </si>
  <si>
    <t>ClearedLegalReviewKey</t>
  </si>
  <si>
    <t>RoleCurrentAgent</t>
  </si>
  <si>
    <t>ExecutorIsDesignatedAgent</t>
  </si>
  <si>
    <t>InputsWereFreshAtRun</t>
  </si>
  <si>
    <t>RanOnStaleInputs</t>
  </si>
  <si>
    <t>UnresolvedIssueCount</t>
  </si>
  <si>
    <t>HasDeviation</t>
  </si>
  <si>
    <t>IsClean</t>
  </si>
  <si>
    <t>ProcedureExecutionWhenUnclean</t>
  </si>
  <si>
    <t>EvaluatedRequirementCount</t>
  </si>
  <si>
    <t>RequiredBlockingCount</t>
  </si>
  <si>
    <t>HasUnevaluatedBlockingRequirement</t>
  </si>
  <si>
    <t>ExecutingAgentKind</t>
  </si>
  <si>
    <t>WasExecutedBySoftware</t>
  </si>
  <si>
    <t>StepIsSoftwareAssigned</t>
  </si>
  <si>
    <t>SoftwareDidHumanWork</t>
  </si>
  <si>
    <t>IsApprovalExecution</t>
  </si>
  <si>
    <t>IsVerified</t>
  </si>
  <si>
    <t>UnconfirmedNonHumanDecisionCount</t>
  </si>
  <si>
    <t>HumanConfirmationMissing</t>
  </si>
  <si>
    <t>DraftedFromUnusableSource</t>
  </si>
  <si>
    <t>InputsWereUsable</t>
  </si>
  <si>
    <t>SoftwareExecutionStepKey</t>
  </si>
  <si>
    <t>StepControlKind</t>
  </si>
  <si>
    <t>UnfalsifiedClearanceCount</t>
  </si>
  <si>
    <t>AllClearancesAreUnfalsified</t>
  </si>
  <si>
    <t>StaleAtRunCount</t>
  </si>
  <si>
    <t>WasStaleWhenIRanIt</t>
  </si>
  <si>
    <t>StalenessAnswerIsTenseDependent</t>
  </si>
  <si>
    <t>HasAnyDeclaredCheck</t>
  </si>
  <si>
    <t>PerformedCheckCount</t>
  </si>
  <si>
    <t>DeclaredCheckCount</t>
  </si>
  <si>
    <t>IsUncheckedByDesign</t>
  </si>
  <si>
    <t>IsVacuouslyClean</t>
  </si>
  <si>
    <t>IsSubstantivelyClean</t>
  </si>
  <si>
    <t>VacuouslyCleanExecutionKey</t>
  </si>
  <si>
    <t>UncorroboratedPassCount</t>
  </si>
  <si>
    <t>EvidencePositionIsWeak</t>
  </si>
  <si>
    <t>PreparationExecutionKey</t>
  </si>
  <si>
    <t>ApprovalExecutionKey</t>
  </si>
  <si>
    <t>HasGoverningInstrument</t>
  </si>
  <si>
    <t>HasApprovedChangeCoverage</t>
  </si>
  <si>
    <t>VersionOfStep</t>
  </si>
  <si>
    <t>IsUngovernedDivergence</t>
  </si>
  <si>
    <t>UngovernedDivergenceExecutionKey</t>
  </si>
  <si>
    <t>SelfAttestedApprovalExecutionKey</t>
  </si>
  <si>
    <t>se-close01</t>
  </si>
  <si>
    <t>PASS</t>
  </si>
  <si>
    <t>https://w3id.org/pko#StepExecution</t>
  </si>
  <si>
    <t>se-close02</t>
  </si>
  <si>
    <t>WARN</t>
  </si>
  <si>
    <t>One source feed was 17 minutes old; controller approved rerun.</t>
  </si>
  <si>
    <t>se-close03</t>
  </si>
  <si>
    <t>se-close04</t>
  </si>
  <si>
    <t>Human analyst confirmed all material escalations.</t>
  </si>
  <si>
    <t>se-close05</t>
  </si>
  <si>
    <t>se-close06</t>
  </si>
  <si>
    <t>se-close07</t>
  </si>
  <si>
    <t>se-close08</t>
  </si>
  <si>
    <t>Retrospective captured timestamp failure mode.</t>
  </si>
  <si>
    <t>se-policy01</t>
  </si>
  <si>
    <t>se-policy02</t>
  </si>
  <si>
    <t>se-policy03</t>
  </si>
  <si>
    <t>se-policy04</t>
  </si>
  <si>
    <t>Legal review in progress.</t>
  </si>
  <si>
    <t>RequirementSatisfactionId</t>
  </si>
  <si>
    <t>StepExecution</t>
  </si>
  <si>
    <t>SatisfactionLevel</t>
  </si>
  <si>
    <t>Evidence</t>
  </si>
  <si>
    <t>EvaluatedByAgent</t>
  </si>
  <si>
    <t>EvaluatedAt</t>
  </si>
  <si>
    <t>IsFullySatisfied</t>
  </si>
  <si>
    <t>IsBlockingAndUnmet</t>
  </si>
  <si>
    <t>BlockingUnmetStepKey</t>
  </si>
  <si>
    <t>BlockingSatisfactionStepKey</t>
  </si>
  <si>
    <t>NegativeOutcomeRequirementKey</t>
  </si>
  <si>
    <t>EvaluatorAgentKind</t>
  </si>
  <si>
    <t>NonHumanEvaluatedHumanControl</t>
  </si>
  <si>
    <t>RequirementHasComputedWitness</t>
  </si>
  <si>
    <t>IsAssertedOnly</t>
  </si>
  <si>
    <t>AssertedOnlyExecutionKey</t>
  </si>
  <si>
    <t>ParentProcedureExecution</t>
  </si>
  <si>
    <t>StepExecutionWhenScored</t>
  </si>
  <si>
    <t>IsHumanEvaluated</t>
  </si>
  <si>
    <t>RequirementIsApprovalType</t>
  </si>
  <si>
    <t>IsInvalidApproval</t>
  </si>
  <si>
    <t>ProcedureExecutionOfSatisfaction</t>
  </si>
  <si>
    <t>RunWhenInvalidApproval</t>
  </si>
  <si>
    <t>RequirementIsUnfalsified</t>
  </si>
  <si>
    <t>IsClearanceByUnfalsifiedControl</t>
  </si>
  <si>
    <t>UnfalsifiedClearanceStepKey</t>
  </si>
  <si>
    <t>SpecStepOfExecution</t>
  </si>
  <si>
    <t>BindingKey</t>
  </si>
  <si>
    <t>ScoredStepExecutorAgent</t>
  </si>
  <si>
    <t>EvaluatorIsStepExecutor</t>
  </si>
  <si>
    <t>RunOwnerAgent</t>
  </si>
  <si>
    <t>EvaluatorOwnsTheRun</t>
  </si>
  <si>
    <t>IsInterestedPartyAssertion</t>
  </si>
  <si>
    <t>HasWrittenEvidence</t>
  </si>
  <si>
    <t>IsBareAssertion</t>
  </si>
  <si>
    <t>InterestedAssertionExecutionKey</t>
  </si>
  <si>
    <t>IsComputedlyWitnessed</t>
  </si>
  <si>
    <t>ComputedWitnessExecutionKey</t>
  </si>
  <si>
    <t>StepExecutorAgent</t>
  </si>
  <si>
    <t>WasScoredAfterAttestation</t>
  </si>
  <si>
    <t>AttestationInstantForRun</t>
  </si>
  <si>
    <t>PostAttestationScoreExecutionKey</t>
  </si>
  <si>
    <t>sat-close-cutoff</t>
  </si>
  <si>
    <t>Satisfied</t>
  </si>
  <si>
    <t>ERP lock event verified.</t>
  </si>
  <si>
    <t>https://w3id.org/pko#RequirementSatisfaction</t>
  </si>
  <si>
    <t>sat-close-balance</t>
  </si>
  <si>
    <t>No unexplained material balance remained.</t>
  </si>
  <si>
    <t>sat-close-separation</t>
  </si>
  <si>
    <t>Preparer and reviewer were different agents.</t>
  </si>
  <si>
    <t>sat-close-human</t>
  </si>
  <si>
    <t>Human CFO approval recorded.</t>
  </si>
  <si>
    <t>sat-policy-source</t>
  </si>
  <si>
    <t>Draft provenance contains only approved source and elicitation records.</t>
  </si>
  <si>
    <t>sat-policy-legal</t>
  </si>
  <si>
    <t>Employment counsel review completed 2026-07-19: notice content, acknowledgement mechanism, and retention period cleared against employment law and TCPA consent requirements.</t>
  </si>
  <si>
    <t>sat-close-evidence</t>
  </si>
  <si>
    <t>Unsatisfied</t>
  </si>
  <si>
    <t>Reconciliation workpapers were attached to a personal drive, not the 7-year retention archive.</t>
  </si>
  <si>
    <t>sat-close08-evidence</t>
  </si>
  <si>
    <t>Close package archived to the retention system with a 7-year hold.</t>
  </si>
  <si>
    <t>ErrorId</t>
  </si>
  <si>
    <t>ErrorCode</t>
  </si>
  <si>
    <t>ErrorCause</t>
  </si>
  <si>
    <t>err-feed-stale</t>
  </si>
  <si>
    <t>Source feed timestamp too old</t>
  </si>
  <si>
    <t>FEED-STALE</t>
  </si>
  <si>
    <t>Source integration lag or daylight-saving timestamp normalization issue.</t>
  </si>
  <si>
    <t>https://w3id.org/pko#Error</t>
  </si>
  <si>
    <t>err-sms-throttle</t>
  </si>
  <si>
    <t>SMS provider throttled requests</t>
  </si>
  <si>
    <t>SMS-429</t>
  </si>
  <si>
    <t>Provider rate limit or temporary carrier congestion.</t>
  </si>
  <si>
    <t>IssueOccurrenceId</t>
  </si>
  <si>
    <t>Error</t>
  </si>
  <si>
    <t>EncounteredByAgent</t>
  </si>
  <si>
    <t>OccurredAt</t>
  </si>
  <si>
    <t>IssueCause</t>
  </si>
  <si>
    <t>IssueSolution</t>
  </si>
  <si>
    <t>IsUnresolved</t>
  </si>
  <si>
    <t>StepExecutionWhenUnresolved</t>
  </si>
  <si>
    <t>issue-close-feed</t>
  </si>
  <si>
    <t>One feed was 17 minutes old.</t>
  </si>
  <si>
    <t>Reran extraction after source timestamp normalized; added explicit timestamp knowledge fragment.</t>
  </si>
  <si>
    <t>https://w3id.org/pko#IssueOccurrence</t>
  </si>
  <si>
    <t>issue-policy-sms</t>
  </si>
  <si>
    <t>Synthetic channel test observed provider throttling.</t>
  </si>
  <si>
    <t>Queue with exponential backoff and preserve recipient-local quiet-hours constraint.</t>
  </si>
  <si>
    <t>Monitoring</t>
  </si>
  <si>
    <t>UserQuestionId</t>
  </si>
  <si>
    <t>AskedByAgent</t>
  </si>
  <si>
    <t>AskedAt</t>
  </si>
  <si>
    <t>QuestionText</t>
  </si>
  <si>
    <t>ResolvedByFaq</t>
  </si>
  <si>
    <t>AddressedByResource</t>
  </si>
  <si>
    <t>q-close-fx</t>
  </si>
  <si>
    <t>Why did the FX variance appear only after the cutover?</t>
  </si>
  <si>
    <t>Answered</t>
  </si>
  <si>
    <t>https://w3id.org/pko#UserQuestionOccurrence</t>
  </si>
  <si>
    <t>q-policy-ai</t>
  </si>
  <si>
    <t>Can the drafting AI add a new legal exception if it seems reasonable?</t>
  </si>
  <si>
    <t>UserFeedbackId</t>
  </si>
  <si>
    <t>ProvidedByAgent</t>
  </si>
  <si>
    <t>ProvidedAt</t>
  </si>
  <si>
    <t>FeedbackText</t>
  </si>
  <si>
    <t>Disposition</t>
  </si>
  <si>
    <t>ChangeRequestKey</t>
  </si>
  <si>
    <t>fb-close-retro</t>
  </si>
  <si>
    <t>The feed timestamp check should be a required precondition, not a troubleshooting note.</t>
  </si>
  <si>
    <t>Accepted</t>
  </si>
  <si>
    <t>cr-close-timestamp</t>
  </si>
  <si>
    <t>https://w3id.org/pko#UserFeedbackOccurrence</t>
  </si>
  <si>
    <t>fb-policy-sms</t>
  </si>
  <si>
    <t>Add a secondary path for employees whose carrier reports a delayed delivery receipt.</t>
  </si>
  <si>
    <t>UnderReview</t>
  </si>
  <si>
    <t>cr-policy-delivery</t>
  </si>
  <si>
    <t>StewardshipAssignmentId</t>
  </si>
  <si>
    <t>HasEverBeenReviewed</t>
  </si>
  <si>
    <t>IsCurrentAssignment</t>
  </si>
  <si>
    <t>stew-close</t>
  </si>
  <si>
    <t>urn:effortless:pko-extension#StewardshipAssignment</t>
  </si>
  <si>
    <t>stew-policy</t>
  </si>
  <si>
    <t>ChangeRequestId</t>
  </si>
  <si>
    <t>ChangeKind</t>
  </si>
  <si>
    <t>RequestedByAgent</t>
  </si>
  <si>
    <t>RequestedAt</t>
  </si>
  <si>
    <t>DecidedAt</t>
  </si>
  <si>
    <t>ImpactAssessment</t>
  </si>
  <si>
    <t>OpenChangeVersionKey</t>
  </si>
  <si>
    <t>IsDecided</t>
  </si>
  <si>
    <t>DaysPending</t>
  </si>
  <si>
    <t>IsStillPending</t>
  </si>
  <si>
    <t>IsStalled</t>
  </si>
  <si>
    <t>AuthorityAgent</t>
  </si>
  <si>
    <t>RequesterIsAuthority</t>
  </si>
  <si>
    <t>AwaitsAuthorityDecision</t>
  </si>
  <si>
    <t>AuthorityRoleLabel</t>
  </si>
  <si>
    <t>TouchesLiveVersion</t>
  </si>
  <si>
    <t>IsLiveDecisionBacklog</t>
  </si>
  <si>
    <t>BlocksAnOpenGap</t>
  </si>
  <si>
    <t>ImplementedAt</t>
  </si>
  <si>
    <t>BacklogVersionKey</t>
  </si>
  <si>
    <t>IsMyPendingDecision</t>
  </si>
  <si>
    <t>IsMyBlockingBacklog</t>
  </si>
  <si>
    <t>IsMyOverdueBacklog</t>
  </si>
  <si>
    <t>IsImplemented</t>
  </si>
  <si>
    <t>IsMyDecidedRequest</t>
  </si>
  <si>
    <t>IsMyDecidedButUnlanded</t>
  </si>
  <si>
    <t>DecisionLatencyDays</t>
  </si>
  <si>
    <t>ImplementationLatencyDays</t>
  </si>
  <si>
    <t>DelayIsDownstreamOfMe</t>
  </si>
  <si>
    <t>UnlandedVersionKey</t>
  </si>
  <si>
    <t>IsApprovedNotImplemented</t>
  </si>
  <si>
    <t>DaysSinceApproval</t>
  </si>
  <si>
    <t>IsStalledImplementation</t>
  </si>
  <si>
    <t>StalledImplementationVersionKey</t>
  </si>
  <si>
    <t>ApprovedVersionKey</t>
  </si>
  <si>
    <t>IsApprovedDecision</t>
  </si>
  <si>
    <t>Add source timestamp as blocking verification</t>
  </si>
  <si>
    <t>Defect</t>
  </si>
  <si>
    <t>Adds requirement and verification; no breaking class change.</t>
  </si>
  <si>
    <t>urn:effortless:pko-extension#ChangeRequest</t>
  </si>
  <si>
    <t>Add secondary delivery receipt reconciliation</t>
  </si>
  <si>
    <t>Enhancement</t>
  </si>
  <si>
    <t>May add a step or fallback transition and operational binding.</t>
  </si>
  <si>
    <t>ReviewEventId</t>
  </si>
  <si>
    <t>ReviewKind</t>
  </si>
  <si>
    <t>ReviewedAt</t>
  </si>
  <si>
    <t>ReviewedByAgent</t>
  </si>
  <si>
    <t>Outcome</t>
  </si>
  <si>
    <t>RelatedChangeRequest</t>
  </si>
  <si>
    <t>NextReviewDue</t>
  </si>
  <si>
    <t>IsOverdue</t>
  </si>
  <si>
    <t>OverdueVersionKey</t>
  </si>
  <si>
    <t>PromisedCadenceDays</t>
  </si>
  <si>
    <t>DaysSinceReviewed</t>
  </si>
  <si>
    <t>ExceedsPromisedCadence</t>
  </si>
  <si>
    <t>CadenceDriftDays</t>
  </si>
  <si>
    <t>PromiseAndBehaviorDisagree</t>
  </si>
  <si>
    <t>CadenceBreachVersionKey</t>
  </si>
  <si>
    <t>review-close-q1</t>
  </si>
  <si>
    <t>QuarterlySemanticReview</t>
  </si>
  <si>
    <t>Passed</t>
  </si>
  <si>
    <t>https://w3id.org/pko#ReviewEvent</t>
  </si>
  <si>
    <t>review-close-q2</t>
  </si>
  <si>
    <t>PassedWithChange</t>
  </si>
  <si>
    <t>review-policy-prelaunch</t>
  </si>
  <si>
    <t>PreLaunchReview</t>
  </si>
  <si>
    <t>LearningActivityId</t>
  </si>
  <si>
    <t>ActivityKind</t>
  </si>
  <si>
    <t>EvidenceResource</t>
  </si>
  <si>
    <t>learn-close-retro</t>
  </si>
  <si>
    <t>Captured feed timestamp failure mode and updated the rulebook.</t>
  </si>
  <si>
    <t>learn-policy-tabletop</t>
  </si>
  <si>
    <t>TabletopExercise</t>
  </si>
  <si>
    <t>Tested consent, quiet-hours, and unreachable-recipient exceptions.</t>
  </si>
  <si>
    <t>OperationalBindingId</t>
  </si>
  <si>
    <t>AccessMode</t>
  </si>
  <si>
    <t>RecordOrSchemaKey</t>
  </si>
  <si>
    <t>LastObservedAt</t>
  </si>
  <si>
    <t>FreshnessSlaMinutes</t>
  </si>
  <si>
    <t>IsAuthoritative</t>
  </si>
  <si>
    <t>AgeMinutes</t>
  </si>
  <si>
    <t>IsFresh</t>
  </si>
  <si>
    <t>StaleBindingStepKey</t>
  </si>
  <si>
    <t>AuthoritativeStaleStepKey</t>
  </si>
  <si>
    <t>IsStaleAndAuthoritative</t>
  </si>
  <si>
    <t>StepWhenStale</t>
  </si>
  <si>
    <t>ResourceIsApproved</t>
  </si>
  <si>
    <t>IsUsableForDrafting</t>
  </si>
  <si>
    <t>StepWhenUnusable</t>
  </si>
  <si>
    <t>bind-close-erp</t>
  </si>
  <si>
    <t>Read</t>
  </si>
  <si>
    <t>GeneralLedger.TrialBalance</t>
  </si>
  <si>
    <t>urn:effortless:pko-extension#OperationalBinding</t>
  </si>
  <si>
    <t>bind-policy-ticket</t>
  </si>
  <si>
    <t>ReadWrite</t>
  </si>
  <si>
    <t>HR.ChangeTicket</t>
  </si>
  <si>
    <t>bind-policy-consent</t>
  </si>
  <si>
    <t>HR.CommunicationConsent</t>
  </si>
  <si>
    <t>bind-policy-email</t>
  </si>
  <si>
    <t>People.EmailTemplate</t>
  </si>
  <si>
    <t>bind-policy-sms</t>
  </si>
  <si>
    <t>People.SmsTemplate</t>
  </si>
  <si>
    <t>CommunicationPolicyId</t>
  </si>
  <si>
    <t>Channel</t>
  </si>
  <si>
    <t>AudienceRule</t>
  </si>
  <si>
    <t>ConsentRequired</t>
  </si>
  <si>
    <t>QuietHoursStart</t>
  </si>
  <si>
    <t>QuietHoursEnd</t>
  </si>
  <si>
    <t>MaxMessageLength</t>
  </si>
  <si>
    <t>MaxSegments</t>
  </si>
  <si>
    <t>RetentionDays</t>
  </si>
  <si>
    <t>RequiredContent</t>
  </si>
  <si>
    <t>AuthorityStatement</t>
  </si>
  <si>
    <t>ConsentViolationCount</t>
  </si>
  <si>
    <t>QuietHoursStartHour</t>
  </si>
  <si>
    <t>QuietHoursEndHour</t>
  </si>
  <si>
    <t>QuietHoursViolationCount</t>
  </si>
  <si>
    <t>RequiredOptOutPhrase</t>
  </si>
  <si>
    <t>IsActivePolicy</t>
  </si>
  <si>
    <t>comm-email-policy</t>
  </si>
  <si>
    <t>Email</t>
  </si>
  <si>
    <t>All affected employees with a valid corporate email</t>
  </si>
  <si>
    <t>00:00</t>
  </si>
  <si>
    <t>Full policy context, effective date, action required, alternate contact</t>
  </si>
  <si>
    <t>Email is the complete official notification record.</t>
  </si>
  <si>
    <t>http://www.w3.org/ns/odrl/2/Policy</t>
  </si>
  <si>
    <t>comm-sms-policy</t>
  </si>
  <si>
    <t>SMS</t>
  </si>
  <si>
    <t>Affected employees with active SMS consent</t>
  </si>
  <si>
    <t>20:00</t>
  </si>
  <si>
    <t>08:00</t>
  </si>
  <si>
    <t>Short notice, secure link, approved opt-out text</t>
  </si>
  <si>
    <t>SMS is a supplemental notice; the linked email/policy is authoritative.</t>
  </si>
  <si>
    <t>Reply STOP to opt out</t>
  </si>
  <si>
    <t>MessageTemplateId</t>
  </si>
  <si>
    <t>CommunicationPolicy</t>
  </si>
  <si>
    <t>SubjectTemplate</t>
  </si>
  <si>
    <t>BodyTemplate</t>
  </si>
  <si>
    <t>Locale</t>
  </si>
  <si>
    <t>PolicyMaxMessageLength</t>
  </si>
  <si>
    <t>PolicyMaxSegments</t>
  </si>
  <si>
    <t>BodyTemplateLength</t>
  </si>
  <si>
    <t>IsTemplateOverLength</t>
  </si>
  <si>
    <t>ValidApprovalCount</t>
  </si>
  <si>
    <t>HasValidApproval</t>
  </si>
  <si>
    <t>IsClaimingUnbackedApproval</t>
  </si>
  <si>
    <t>CurrentBodyHash</t>
  </si>
  <si>
    <t>LastApprovedBodyHash</t>
  </si>
  <si>
    <t>LastValidApproval</t>
  </si>
  <si>
    <t>HasBodyDrifted</t>
  </si>
  <si>
    <t>IsSendableUnderApproval</t>
  </si>
  <si>
    <t>DriftedSendCount</t>
  </si>
  <si>
    <t>UnansweredDeliveryCount</t>
  </si>
  <si>
    <t>TransmittedDeliveryCount</t>
  </si>
  <si>
    <t>TemplateDrawsNoResponse</t>
  </si>
  <si>
    <t>LastApprovalAt</t>
  </si>
  <si>
    <t>tmpl-policy-email</t>
  </si>
  <si>
    <t>Remote-work policy update effective {{EffectiveDate}}</t>
  </si>
  <si>
    <t>A workforce policy affecting your work has changed. Review the complete policy at {{PolicyUrl}}. Required action: {{RequiredAction}}. Questions: {{ContactAddress}}.</t>
  </si>
  <si>
    <t>en-US</t>
  </si>
  <si>
    <t>h-email-v1</t>
  </si>
  <si>
    <t>tap-email-001</t>
  </si>
  <si>
    <t>tmpl-policy-sms</t>
  </si>
  <si>
    <t>ACME policy update effective {{EffectiveDate}}. Review: {{ShortUrl}}. Reply STOP to opt out of SMS; email notices continue.</t>
  </si>
  <si>
    <t>h-sms-v1</t>
  </si>
  <si>
    <t>tap-sms-001</t>
  </si>
  <si>
    <t>SemanticMappingId</t>
  </si>
  <si>
    <t>SourcePath</t>
  </si>
  <si>
    <t>MappingKind</t>
  </si>
  <si>
    <t>TargetIri</t>
  </si>
  <si>
    <t>MappingRelation</t>
  </si>
  <si>
    <t>OntologyProfile</t>
  </si>
  <si>
    <t>Notes</t>
  </si>
  <si>
    <t>map-procedures</t>
  </si>
  <si>
    <t>Procedures</t>
  </si>
  <si>
    <t>class</t>
  </si>
  <si>
    <t>exact</t>
  </si>
  <si>
    <t>Abstract procedure.</t>
  </si>
  <si>
    <t>map-procedure-versions</t>
  </si>
  <si>
    <t>ProcedureVersions</t>
  </si>
  <si>
    <t>Versioned procedure resources.</t>
  </si>
  <si>
    <t>map-procedure-version-number</t>
  </si>
  <si>
    <t>ProcedureVersions.VersionNumber</t>
  </si>
  <si>
    <t>datatypeProperty</t>
  </si>
  <si>
    <t>https://w3id.org/pko#versionNumber</t>
  </si>
  <si>
    <t>PKO version number.</t>
  </si>
  <si>
    <t>map-status-change</t>
  </si>
  <si>
    <t>ProcedureStatusChanges</t>
  </si>
  <si>
    <t>Status transition activity.</t>
  </si>
  <si>
    <t>map-steps</t>
  </si>
  <si>
    <t>Steps</t>
  </si>
  <si>
    <t>Atomic steps.</t>
  </si>
  <si>
    <t>map-multisteps</t>
  </si>
  <si>
    <t>Steps.StepKind=MultiStep</t>
  </si>
  <si>
    <t>Composite steps.</t>
  </si>
  <si>
    <t>map-transitions</t>
  </si>
  <si>
    <t>StepTransitions</t>
  </si>
  <si>
    <t>Transition instance.</t>
  </si>
  <si>
    <t>map-from-step</t>
  </si>
  <si>
    <t>StepTransitions.FromStep</t>
  </si>
  <si>
    <t>objectProperty</t>
  </si>
  <si>
    <t>https://w3id.org/pko#fromStep</t>
  </si>
  <si>
    <t>Transition source.</t>
  </si>
  <si>
    <t>map-to-step</t>
  </si>
  <si>
    <t>StepTransitions.ToStep</t>
  </si>
  <si>
    <t>https://w3id.org/pko#toStep</t>
  </si>
  <si>
    <t>Transition destination.</t>
  </si>
  <si>
    <t>map-actions</t>
  </si>
  <si>
    <t>Actions</t>
  </si>
  <si>
    <t>Human action.</t>
  </si>
  <si>
    <t>map-functions</t>
  </si>
  <si>
    <t>Functions</t>
  </si>
  <si>
    <t>Software function.</t>
  </si>
  <si>
    <t>map-tools</t>
  </si>
  <si>
    <t>Tools</t>
  </si>
  <si>
    <t>Tool.</t>
  </si>
  <si>
    <t>map-requirements</t>
  </si>
  <si>
    <t>Requirements</t>
  </si>
  <si>
    <t>Requirement.</t>
  </si>
  <si>
    <t>map-verifications</t>
  </si>
  <si>
    <t>StepVerifications</t>
  </si>
  <si>
    <t>Step verification.</t>
  </si>
  <si>
    <t>map-resources</t>
  </si>
  <si>
    <t>Resources</t>
  </si>
  <si>
    <t>Referenced resources.</t>
  </si>
  <si>
    <t>map-agents</t>
  </si>
  <si>
    <t>Agents</t>
  </si>
  <si>
    <t>http://www.w3.org/ns/prov#Agent</t>
  </si>
  <si>
    <t>Agents.</t>
  </si>
  <si>
    <t>map-roles</t>
  </si>
  <si>
    <t>Roles</t>
  </si>
  <si>
    <t>Roles.</t>
  </si>
  <si>
    <t>map-role-time</t>
  </si>
  <si>
    <t>RoleAssignments</t>
  </si>
  <si>
    <t>Time-bounded role assignments.</t>
  </si>
  <si>
    <t>map-procedure-executions</t>
  </si>
  <si>
    <t>ProcedureExecutions</t>
  </si>
  <si>
    <t>Procedure execution.</t>
  </si>
  <si>
    <t>map-step-executions</t>
  </si>
  <si>
    <t>StepExecutions</t>
  </si>
  <si>
    <t>Step execution.</t>
  </si>
  <si>
    <t>map-satisfactions</t>
  </si>
  <si>
    <t>RequirementSatisfactions</t>
  </si>
  <si>
    <t>Requirement satisfaction.</t>
  </si>
  <si>
    <t>map-errors</t>
  </si>
  <si>
    <t>Errors</t>
  </si>
  <si>
    <t>Error.</t>
  </si>
  <si>
    <t>map-issues</t>
  </si>
  <si>
    <t>IssueOccurrences</t>
  </si>
  <si>
    <t>Issue occurrence.</t>
  </si>
  <si>
    <t>map-questions</t>
  </si>
  <si>
    <t>UserQuestions</t>
  </si>
  <si>
    <t>Question occurrence.</t>
  </si>
  <si>
    <t>map-feedback</t>
  </si>
  <si>
    <t>UserFeedback</t>
  </si>
  <si>
    <t>Feedback occurrence.</t>
  </si>
  <si>
    <t>map-faqs</t>
  </si>
  <si>
    <t>FAQs</t>
  </si>
  <si>
    <t>FAQ.</t>
  </si>
  <si>
    <t>map-explanations</t>
  </si>
  <si>
    <t>Explanations</t>
  </si>
  <si>
    <t>Explanation.</t>
  </si>
  <si>
    <t>map-knowledge-fragments</t>
  </si>
  <si>
    <t>KnowledgeFragments</t>
  </si>
  <si>
    <t>extension</t>
  </si>
  <si>
    <t>Tacit/implicit/explicit knowledge capture.</t>
  </si>
  <si>
    <t>map-elicitation</t>
  </si>
  <si>
    <t>ElicitationSessions</t>
  </si>
  <si>
    <t>urn:effortless:pko-extension#ElicitationSession</t>
  </si>
  <si>
    <t>Knowledge elicitation activity.</t>
  </si>
  <si>
    <t>map-governance</t>
  </si>
  <si>
    <t>StewardshipAssignments</t>
  </si>
  <si>
    <t>Stewardship and authority.</t>
  </si>
  <si>
    <t>map-operational-binding</t>
  </si>
  <si>
    <t>OperationalBindings</t>
  </si>
  <si>
    <t>Live data binding.</t>
  </si>
  <si>
    <t>map-communication-policy</t>
  </si>
  <si>
    <t>CommunicationPolicies</t>
  </si>
  <si>
    <t>aligned</t>
  </si>
  <si>
    <t>Channel policy.</t>
  </si>
  <si>
    <t>map-approleprofiles</t>
  </si>
  <si>
    <t>AppRoleProfiles</t>
  </si>
  <si>
    <t>urn:effortless:pko-extension#AppRoleProfile</t>
  </si>
  <si>
    <t>How a role is presented in the application: accent colour, icon, login-card copy. Not a PKO concern — PKO models procedural knowledge, not the applications that display it.</t>
  </si>
  <si>
    <t>map-appnavgroups</t>
  </si>
  <si>
    <t>AppNavGroups</t>
  </si>
  <si>
    <t>urn:effortless:pko-extension#AppNavGroup</t>
  </si>
  <si>
    <t>Left-navigation section headers for the role-navigated application.</t>
  </si>
  <si>
    <t>map-approutes</t>
  </si>
  <si>
    <t>AppRoutes</t>
  </si>
  <si>
    <t>urn:effortless:pko-extension#AppRoute</t>
  </si>
  <si>
    <t>One screen in the role-navigated application, addressed as /{role}/{dashboard}/{entity...}.</t>
  </si>
  <si>
    <t>map-approutequestions</t>
  </si>
  <si>
    <t>AppRouteQuestions</t>
  </si>
  <si>
    <t>urn:effortless:pko-extension#AppRouteQuestion</t>
  </si>
  <si>
    <t>Junction relating a route to the RoleQuestions it helps answer. Many-to-many by design.</t>
  </si>
  <si>
    <t>map-approutereferences</t>
  </si>
  <si>
    <t>AppRouteReferences</t>
  </si>
  <si>
    <t>urn:effortless:pko-extension#AppRouteReference</t>
  </si>
  <si>
    <t>Junction relating a route to other routes it links to: the navigation graph.</t>
  </si>
  <si>
    <t>map-process-mining-runs</t>
  </si>
  <si>
    <t>ProcessMiningRuns</t>
  </si>
  <si>
    <t>urn:effortless:pko-extension#ProcessMiningRun</t>
  </si>
  <si>
    <t>Process-mining conformance evidence — not part of PKO 2.0.0.</t>
  </si>
  <si>
    <t>map-vocabularies</t>
  </si>
  <si>
    <t>Vocabularies</t>
  </si>
  <si>
    <t>urn:effortless:pko-extension#Vocabulary</t>
  </si>
  <si>
    <t>A controlled-vocabulary concept scheme — not part of PKO 2.0.0.</t>
  </si>
  <si>
    <t>map-vocabulary-terms</t>
  </si>
  <si>
    <t>VocabularyTerms</t>
  </si>
  <si>
    <t>urn:effortless:pko-extension#VocabularyTerm</t>
  </si>
  <si>
    <t>A SKOS-style controlled term — not part of PKO 2.0.0.</t>
  </si>
  <si>
    <t>map-knowledge-broker-links</t>
  </si>
  <si>
    <t>KnowledgeBrokerLinks</t>
  </si>
  <si>
    <t>urn:effortless:pko-extension#KnowledgeBrokerLink</t>
  </si>
  <si>
    <t>An informal expertise-network edge — not part of PKO 2.0.0.</t>
  </si>
  <si>
    <t>map-conformance-substrates</t>
  </si>
  <si>
    <t>ConformanceSubstrates</t>
  </si>
  <si>
    <t>urn:effortless:pko-extension#ConformanceSubstrate</t>
  </si>
  <si>
    <t>Substrates the conformance harness grades, and the answer-key author. Not part of PKO 2.0.0.</t>
  </si>
  <si>
    <t>map-conformance-runs</t>
  </si>
  <si>
    <t>ConformanceRuns</t>
  </si>
  <si>
    <t>urn:effortless:pko-extension#ConformanceRun</t>
  </si>
  <si>
    <t>Conformance harness executions. Not part of PKO 2.0.0.</t>
  </si>
  <si>
    <t>map-substrate-run-scores</t>
  </si>
  <si>
    <t>SubstrateRunScores</t>
  </si>
  <si>
    <t>urn:effortless:pko-extension#SubstrateRunScore</t>
  </si>
  <si>
    <t>Per-run, per-substrate grades. Not part of PKO 2.0.0.</t>
  </si>
  <si>
    <t>map-table-conformance</t>
  </si>
  <si>
    <t>TableConformance</t>
  </si>
  <si>
    <t>urn:effortless:pko-extension#TableConformance</t>
  </si>
  <si>
    <t>Latest-run grades per substrate and table. Not part of PKO 2.0.0.</t>
  </si>
  <si>
    <t>map-field-disagreements</t>
  </si>
  <si>
    <t>FieldDisagreements</t>
  </si>
  <si>
    <t>urn:effortless:pko-extension#FieldDisagreement</t>
  </si>
  <si>
    <t>Latest-run fields a substrate got wrong. Not part of PKO 2.0.0.</t>
  </si>
  <si>
    <t>map-cell-disagreements</t>
  </si>
  <si>
    <t>CellDisagreements</t>
  </si>
  <si>
    <t>urn:effortless:pko-extension#CellDisagreement</t>
  </si>
  <si>
    <t>Latest-run sampled failing cells. Not part of PKO 2.0.0.</t>
  </si>
  <si>
    <t>WitnessLoopId</t>
  </si>
  <si>
    <t>LoopNumber</t>
  </si>
  <si>
    <t>Premise</t>
  </si>
  <si>
    <t>CompletedAt</t>
  </si>
  <si>
    <t>QuestionCount</t>
  </si>
  <si>
    <t>IsComplete</t>
  </si>
  <si>
    <t>FieldsAfter</t>
  </si>
  <si>
    <t>DerivedAfter</t>
  </si>
  <si>
    <t>WitnessedAfter</t>
  </si>
  <si>
    <t>loop-01</t>
  </si>
  <si>
    <t>The founding questions</t>
  </si>
  <si>
    <t>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t>
  </si>
  <si>
    <t>urn:effortless:pko-extension#WitnessLoop</t>
  </si>
  <si>
    <t>loop-02</t>
  </si>
  <si>
    <t>Questions only loop 1 made askable</t>
  </si>
  <si>
    <t>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t>
  </si>
  <si>
    <t>loop-03</t>
  </si>
  <si>
    <t>Loop 3: the three gaps the source articles named and the model didn't have</t>
  </si>
  <si>
    <t>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t>
  </si>
  <si>
    <t>RoleQuestionId</t>
  </si>
  <si>
    <t>AskingRole</t>
  </si>
  <si>
    <t>WitnessLoop</t>
  </si>
  <si>
    <t>WhyItMatters</t>
  </si>
  <si>
    <t>AnswerableBefore</t>
  </si>
  <si>
    <t>PredicateCount</t>
  </si>
  <si>
    <t>IsAnswered</t>
  </si>
  <si>
    <t>WitnessedAnswer</t>
  </si>
  <si>
    <t>q-analyst-blocking-unmet-on-my-step</t>
  </si>
  <si>
    <t>On the steps I personally executed, did any of them close out while a BLOCKING requirement was still not fully satisfied?</t>
  </si>
  <si>
    <t>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t>
  </si>
  <si>
    <t>RequirementSatisfactions.IsBlockingAndUnmet=1/8; RequirementSatisfactions.IsFullySatisfied=7/8; RequirementSatisfactions.RequirementIsBlocking=8/8; StepExecutions.ProceededPastBlockingControl=1/12</t>
  </si>
  <si>
    <t>urn:effortless:pko-extension#RoleQuestion</t>
  </si>
  <si>
    <t>q-analyst-blocking-never-evaluated</t>
  </si>
  <si>
    <t>Which blocking requirements were attached to a step I ran but never got a satisfaction record at all — not satisfied, not unsatisfied, just never assessed?</t>
  </si>
  <si>
    <t>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t>
  </si>
  <si>
    <t>StepExecutions.HasUnevaluatedBlockingControl=0/12; StepRequirements.RequirementIsBlocking=15/15</t>
  </si>
  <si>
    <t>q-analyst-evidence-binding-stale</t>
  </si>
  <si>
    <t>When I attested my reconciliation, was the underlying ledger data actually fresh — or was I certifying against a source that had already gone stale under its own SLA?</t>
  </si>
  <si>
    <t>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t>
  </si>
  <si>
    <t>StepExecutions.RanOnStaleAuthoritativeSource=2/12</t>
  </si>
  <si>
    <t>q-analyst-my-late-steps-unexplained</t>
  </si>
  <si>
    <t>Which of my steps ran long without anybody recording why — and of those, which ones had an exception available that nobody invoked?</t>
  </si>
  <si>
    <t>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t>
  </si>
  <si>
    <t>StepExecutions.HadUninvokedExceptionAvailable=0/12; StepExecutions.HasDeviationNote=4/12; StepExecutions.IsLateAndUnexplained=3/12</t>
  </si>
  <si>
    <t>q-analyst-verification-declared-never-performed</t>
  </si>
  <si>
    <t>For every step I ran that had a declared verification, did anybody actually perform it and record the observed signal — or did I just get a PASS with nothing behind it?</t>
  </si>
  <si>
    <t>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t>
  </si>
  <si>
    <t>StepExecutions.ClaimsPassWithoutEvidence=3/12; StepExecutions.HasSkippedVerification=3/12</t>
  </si>
  <si>
    <t>q-controller-separation-of-duties</t>
  </si>
  <si>
    <t>Did the same agent both prepare and approve any part of this close? req-close-separation says the preparer may not be the final approver — show me that it actually held, on exec-close-2026-q2, computed and not asserted.</t>
  </si>
  <si>
    <t>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t>
  </si>
  <si>
    <t>StepExecutions.StepIsApproval=2/12; StepExecutions.StepIsPreparation=2/12; StepExecutions.ViolatesSeparationOfDuties=0/12; Steps.IsApprovalStep=2/17; Steps.IsPreparationStep=2/17</t>
  </si>
  <si>
    <t>q-controller-approval-authority-valid</t>
  </si>
  <si>
    <t>Every approval on this close — was it given by an agent who actually held the required role AT THE TIME they approved, not just someone who holds it today?</t>
  </si>
  <si>
    <t>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t>
  </si>
  <si>
    <t>RoleAssignments.IsCurrentlyValid=12/13; StepExecutions.ExecutorHeldRequiredRole=12/12; StepExecutions.IsUnauthorizedApproval=0/12</t>
  </si>
  <si>
    <t>q-controller-blocking-control-inoperative</t>
  </si>
  <si>
    <t>Which of my blocking close controls are structurally incapable of failing — declared, bound to a step, and yet with no mechanism that could ever produce a negative result?</t>
  </si>
  <si>
    <t>req-close-cutoff, req-close-balance, req-close-separation, and req-close-evidence are all IsBlocking=true. All four are pure prose. A control that cannot fail is not a control, it is a comment. Before I sign anything I want a list of my own controls ranked by whether they can actually operate. This is the meta-question — it is about the model's ability to hold me accountable, and it is the one I would ask first if I were the external auditor rather than the controller.</t>
  </si>
  <si>
    <t>Requirements.HasEverBeenEvaluated=7/13; Requirements.IsBoundToAnyStep=13/13; Requirements.IsDecorativeControl=0/13; Requirements.IsInoperativeControl=6/13</t>
  </si>
  <si>
    <t>q-controller-execution-diverged-from-spec</t>
  </si>
  <si>
    <t>Give me one number per close: did exec-close-2026-q2 actually conform to close-v1.1.0, and if not, how far off was it?</t>
  </si>
  <si>
    <t>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t>
  </si>
  <si>
    <t>ProcedureExecutions.DivergedFromSpecification=2/2; ProcedureExecutions.IsStructurallyComplete=1/2</t>
  </si>
  <si>
    <t>q-controller-ai-agent-approved-meaning</t>
  </si>
  <si>
    <t>Did any AI agent or automated pipeline execute a step that requires human confirmation, or sign off on something a human was supposed to own?</t>
  </si>
  <si>
    <t>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t>
  </si>
  <si>
    <t>RequirementSatisfactions.NonHumanEvaluatedHumanControl=0/8; StepExecutions.ExecutorIsHuman=7/12; StepExecutions.NonHumanApproval=0/12; StepExecutions.NonHumanRanHumanStep=0/12; StepExecutions.StepRequiresHumanConfirmation=3/12</t>
  </si>
  <si>
    <t>q-cfo-can-i-sign</t>
  </si>
  <si>
    <t>Can I sign the attestation for exec-close-2026-q2 — yes or no — and if no, name the blocker.</t>
  </si>
  <si>
    <t>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t>
  </si>
  <si>
    <t>ProcedureExecutions.AllBlockingControlsEvaluated=2/2; ProcedureExecutions.IsAttestationReady=0/2; ProcedureExecutions.SeparationOfDutiesHeld=2/2</t>
  </si>
  <si>
    <t>q-cfo-approving-on-unfit-version</t>
  </si>
  <si>
    <t>Am I being asked to approve an execution of a procedure version that is itself overdue for review, or that has an open change request against it?</t>
  </si>
  <si>
    <t>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t>
  </si>
  <si>
    <t>ProcedureExecutions.ExecutedVersionIsFit=0/2; ProcedureExecutions.SignedAgainstUnfitVersion=1/2; ProcedureVersions.IsFitToExecute=0/3</t>
  </si>
  <si>
    <t>q-cfo-approval-was-actually-verified</t>
  </si>
  <si>
    <t>My own approval on se-close06 — is there anything behind it other than the fact that I clicked approve?</t>
  </si>
  <si>
    <t>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t>
  </si>
  <si>
    <t>StepExecutions.ApprovalRestsOnSelfAttestation=2/12; VerificationOutcomes.IsSelfWitnessed=3/4</t>
  </si>
  <si>
    <t>q-cfo-who-actually-held-authority</t>
  </si>
  <si>
    <t>For every approval in this close, tell me the human who was personally accountable — and whether an exception was used to route authority away from the person who normally holds it.</t>
  </si>
  <si>
    <t>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t>
  </si>
  <si>
    <t>ExceptionInvocations.DelegatedToPreparer=0/1; ExceptionInvocations.IsUngovernedInvocation=0/1; StepExecutions.RanUnderException=1/12</t>
  </si>
  <si>
    <t>q-cfo-am-i-being-told-everything</t>
  </si>
  <si>
    <t>Across everything I am signing, is there any control claim in this model that rests on a human typing a conclusion rather than on something computed?</t>
  </si>
  <si>
    <t>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t>
  </si>
  <si>
    <t>ProcedureExecutions.AssuranceIsMostlyAsserted=2/2; RequirementSatisfactions.IsAssertedOnly=3/8; RequirementSatisfactions.RequirementHasComputedWitness=5/8; Requirements.HasComputedWitness=4/13</t>
  </si>
  <si>
    <t>q-steward-cadence-breach</t>
  </si>
  <si>
    <t>For close-v1.1.0 I promised a 90-day review cadence and for policy-v1.0.0 a 60-day cadence. Is the ACTUAL interval since the last review already longer than the cadence I promised?</t>
  </si>
  <si>
    <t>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t>
  </si>
  <si>
    <t>ReviewEvents.ExceedsPromisedCadence=1/3; ReviewEvents.PromiseAndBehaviorDisagree=0/3; StewardshipAssignments.HasEverBeenReviewed=2/2</t>
  </si>
  <si>
    <t>q-steward-orphan-versions</t>
  </si>
  <si>
    <t>Which procedure versions have no steward at all? close-v1.0.0 is Archived but still referenced by ProcedureVersionLinks — does anyone own it?</t>
  </si>
  <si>
    <t>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t>
  </si>
  <si>
    <t>ProcedureVersions.HasAnySteward=2/3; ProcedureVersions.IsLive=2/3; ProcedureVersions.IsLiveAndUnstewarded=0/3; ProcedureVersions.IsUnstewarded=1/3; StewardshipAssignments.IsCurrentAssignment=2/2</t>
  </si>
  <si>
    <t>q-steward-untested-fallbacks</t>
  </si>
  <si>
    <t>close-04-fallback-close-03 and policy-07-fallback-policy-06 are the paths we take when things go wrong. Have they EVER been walked in a real execution?</t>
  </si>
  <si>
    <t>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t>
  </si>
  <si>
    <t>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t>
  </si>
  <si>
    <t>q-steward-published-with-blocking-gap</t>
  </si>
  <si>
    <t>Is any procedure version live with an Open BLOCKING knowledge gap against it?</t>
  </si>
  <si>
    <t>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t>
  </si>
  <si>
    <t>KnowledgeGaps.IsBlocking=5/8; KnowledgeGaps.IsOpenAndBlocking=0/8; ProcedureVersions.HasOpenBlockingGap=0/3; ProcedureVersions.IsLiveWithBlockingGap=0/3; ProcedureVersions.ShouldNotBeExecutable=0/3</t>
  </si>
  <si>
    <t>q-steward-stalled-change-requests</t>
  </si>
  <si>
    <t>cr-policy-delivery was requested on 2026-07-19 and has no DecidedAt. How long has it been sitting, and is that longer than we tolerate?</t>
  </si>
  <si>
    <t>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t>
  </si>
  <si>
    <t>ChangeRequests.IsDecided=1/2; ChangeRequests.IsStalled=0/2; ChangeRequests.IsStillPending=1/2; ChangeRequests.RequesterIsAuthority=0/2</t>
  </si>
  <si>
    <t>q-authority-orphaned-provenance</t>
  </si>
  <si>
    <t>kf-close-fx-time, kf-close-top-ten and kf-close-judgment all trace to devon-okafor via elicit-close-shadow. If Devon's controller role assignment ends, which of our beliefs lose their witness?</t>
  </si>
  <si>
    <t>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t>
  </si>
  <si>
    <t>Agents.IsStillEngaged=10/11; KnowledgeFragments.HasHumanSource=7/7; KnowledgeFragments.HasOrphanedProvenance=0/7; KnowledgeFragments.IsUndefendableTacitClaim=0/7; KnowledgeFragments.SourceAgentIsStillEngaged=7/7; RoleAssignments.HasDeparted=1/13</t>
  </si>
  <si>
    <t>q-authority-non-approved-dependency</t>
  </si>
  <si>
    <t>kf-policy-manager-route is Status=Reviewed, not Approved, so IsCurrentlyValid is FALSE. policy-08 is a live step. Are we running a procedure on knowledge I never approved?</t>
  </si>
  <si>
    <t>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t>
  </si>
  <si>
    <t>KnowledgeFragments.IsApproved=6/7; KnowledgeFragments.IsAttachedToLiveVersion=7/7; KnowledgeFragments.IsReliedUpon=7/7; KnowledgeFragments.IsUnapprovedButReliedOn=1/7; KnowledgeFragments.IsWithinValidityWindow=7/7; ProcedureVersions.RunsOnUnapprovedKnowledge=3/3</t>
  </si>
  <si>
    <t>q-authority-stale-elicitation</t>
  </si>
  <si>
    <t>elicit-close-shadow ran on 2026-04-03 and elicit-policy-workshop on 2026-05-10. How old is the evidence behind each belief, and at what age do I stop trusting a shadowing session I have not repeated?</t>
  </si>
  <si>
    <t>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t>
  </si>
  <si>
    <t>ElicitationSessions.IsSingleWitnessMethod=2/3; ElicitationSessions.PractitionerIsStillEngaged=3/3; KnowledgeFragments.EvidenceHasExpired=0/7; KnowledgeFragments.HasRecordedElicitation=6/7; KnowledgeFragments.IsFromSingleWitness=4/7</t>
  </si>
  <si>
    <t>q-authority-known-unknowns</t>
  </si>
  <si>
    <t>What do we know that we do not know? gap-policy-delivery-receipts has been Open since 2026-07-18 with a ResolutionPlan and no owner activity. How long do our acknowledged ignorances stay acknowledged and unresolved?</t>
  </si>
  <si>
    <t>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t>
  </si>
  <si>
    <t>KnowledgeGaps.HasResolutionPlan=8/8; KnowledgeGaps.IsAbandonedUnknown=0/8; KnowledgeGaps.IsOverdueGap=0/8; KnowledgeGaps.OwnerIsStillEngaged=8/8</t>
  </si>
  <si>
    <t>q-authority-unwitnessed-change</t>
  </si>
  <si>
    <t>cr-close-timestamp altered a blocking control on close-v1.1.0 and was decided by me. Did any semantic change to a live procedure reach production without a change request and without a review event behind it?</t>
  </si>
  <si>
    <t>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t>
  </si>
  <si>
    <t>ProcedureVersions.HasGovernanceRecord=2/3; ProcedureVersions.HasUnwitnessedChange=0/3; ProcedureVersions.WasModifiedSinceLastReview=0/3</t>
  </si>
  <si>
    <t>q-counsel-sms-without-consent</t>
  </si>
  <si>
    <t>Did we send an SMS to any recipient who had not given SMS consent at the moment we sent it?</t>
  </si>
  <si>
    <t>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t>
  </si>
  <si>
    <t>MessageDeliveries.IsConsentViolation=0/6; MessageDeliveries.PolicyRequiresConsent=4/6; MessageDeliveries.RecipientHasSmsConsent=4/6; MessageDeliveries.WasActuallyTransmitted=4/6</t>
  </si>
  <si>
    <t>q-counsel-quiet-hours-breach</t>
  </si>
  <si>
    <t>Did any SMS go out between 20:00 and 08:00 in the recipient's own local time?</t>
  </si>
  <si>
    <t>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t>
  </si>
  <si>
    <t>MessageDeliveries.IsInsideQuietWindow=1/6; MessageDeliveries.IsQuietHoursViolation=1/6; MessageDeliveries.PolicyHasQuietHours=4/6; MessageDeliveries.QuietWindowWrapsMidnight=4/6</t>
  </si>
  <si>
    <t>q-counsel-unreachable-not-acknowledged</t>
  </si>
  <si>
    <t>For every recipient we could not reach, did we correctly refrain from marking their acknowledgement complete?</t>
  </si>
  <si>
    <t>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t>
  </si>
  <si>
    <t>MessageDeliveries.HasUnreachableExceptionInvoked=1/6; MessageDeliveries.IsAcknowledged=1/6; MessageDeliveries.IsFabricatedAcknowledgement=0/6; MessageDeliveries.IsUnhandledUnreachable=0/6; MessageDeliveries.RecipientIsUnreachable=0/6</t>
  </si>
  <si>
    <t>q-counsel-retention-evidence</t>
  </si>
  <si>
    <t>Do we still hold the exact text of every message we sent, for the full 2555-day retention period the policy commits us to?</t>
  </si>
  <si>
    <t>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t>
  </si>
  <si>
    <t>MessageDeliveries.HasRenderedBody=6/6; MessageDeliveries.IsEvidenceRequired=4/6; MessageDeliveries.IsRetentionBreach=0/6; MessageDeliveries.IsWithinRetentionWindow=6/6</t>
  </si>
  <si>
    <t>q-counsel-legal-review-gated-send</t>
  </si>
  <si>
    <t>Did any message go out before my legal review of the underlying policy version was actually complete?</t>
  </si>
  <si>
    <t>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t>
  </si>
  <si>
    <t>MessageDeliveries.ExecutionHasClearedLegalReview=6/6; MessageDeliveries.IsUnreviewedSend=0/6; ProcedureExecutions.HasClearedLegalReview=1/2; StepExecutions.IsLegalReviewStep=1/12; StepExecutions.IsVerificationPassed=11/12</t>
  </si>
  <si>
    <t>q-comms-oversized-sms</t>
  </si>
  <si>
    <t>Did any SMS we sent exceed 160 characters or split into more than 3 segments?</t>
  </si>
  <si>
    <t>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t>
  </si>
  <si>
    <t>MessageDeliveries.IsOverSegmentLimit=0/6; MessageTemplates.IsTemplateOverLength=0/2</t>
  </si>
  <si>
    <t>q-comms-approval-authority</t>
  </si>
  <si>
    <t>Was every template we actually sent approved by me -- the ApprovalRole the policy names -- before it went out?</t>
  </si>
  <si>
    <t>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t>
  </si>
  <si>
    <t>MessageDeliveries.IsUnapprovedSend=0/6; MessageDeliveries.TemplateHasValidApproval=6/6; MessageTemplates.HasValidApproval=2/2; MessageTemplates.IsClaimingUnbackedApproval=0/2; TemplateApprovals.IsApprovalDecision=2/2; TemplateApprovals.IsDecidedByRequiredRole=2/2</t>
  </si>
  <si>
    <t>q-comms-optout-present</t>
  </si>
  <si>
    <t>Did every SMS we actually transmitted carry the approved opt-out text?</t>
  </si>
  <si>
    <t>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t>
  </si>
  <si>
    <t>MessageDeliveries.HasOptOutPhrase=3/6; MessageDeliveries.IsMissingRequiredOptOut=1/6; MessageDeliveries.IsOptOutAtRiskOfTruncation=0/6; MessageDeliveries.IsOptOutInFirstSegment=3/6; MessageDeliveries.PolicyRequiresOptOut=4/6</t>
  </si>
  <si>
    <t>q-comms-deliverability</t>
  </si>
  <si>
    <t>For this policy run, what fraction of the affected population actually received something -- and how many are sitting in a bounced or failed state that nobody is working?</t>
  </si>
  <si>
    <t>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t>
  </si>
  <si>
    <t>MessageDeliveries.IsAbandonedFailure=0/6; MessageDeliveries.IsFailedDelivery=1/6; MessageDeliveries.IsSuppressed=1/6; MessageDeliveries.IsTriaged=3/6; ProcedureExecutions.HasAbandonedFailures=0/2</t>
  </si>
  <si>
    <t>q-comms-template-drift</t>
  </si>
  <si>
    <t>Has any template been edited since I approved it, and did we send the edited version under cover of my old approval?</t>
  </si>
  <si>
    <t>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t>
  </si>
  <si>
    <t>MessageDeliveries.IsDriftedSend=0/6; MessageDeliveries.TemplateWasSendable=6/6; MessageTemplates.HasBodyDrifted=0/2; MessageTemplates.IsSendableUnderApproval=2/2</t>
  </si>
  <si>
    <t>q-publisher-may-i-transmit</t>
  </si>
  <si>
    <t>Before I transmit, am I permitted to use this channel for this recipient at all?</t>
  </si>
  <si>
    <t>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t>
  </si>
  <si>
    <t>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t>
  </si>
  <si>
    <t>q-publisher-may-i-transmit-now</t>
  </si>
  <si>
    <t>Before I transmit, is the current moment inside a window this channel forbids?</t>
  </si>
  <si>
    <t>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t>
  </si>
  <si>
    <t>SendIntents.IntentIsInsideQuietWindow=1/7; SendIntents.IntentPolicyHasQuietHours=6/7; SendIntents.IntentQuietWindowWraps=6/7; SendIntents.TimingGatePassed=6/7</t>
  </si>
  <si>
    <t>q-publisher-is-this-content-permitted</t>
  </si>
  <si>
    <t>Before I transmit, is the exact text I am holding within this channel's content rules?</t>
  </si>
  <si>
    <t>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t>
  </si>
  <si>
    <t>SendIntents.ContentGatePassed=5/7; SendIntents.LengthGatePassed=7/7; SendIntents.OptOutGatePassed=5/7</t>
  </si>
  <si>
    <t>q-publisher-am-i-authorized-to-act</t>
  </si>
  <si>
    <t>Before I transmit, has every human authorization my instructions depend on actually been granted?</t>
  </si>
  <si>
    <t>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t>
  </si>
  <si>
    <t>SendIntents.ApprovalIsHuman=7/7; SendIntents.AuthorizationGatePassed=7/7; SendIntents.ExecutionHasLegalClearance=7/7; SendIntents.IsClearedToSend=3/7; SendIntents.TemplateIsSendable=7/7</t>
  </si>
  <si>
    <t>q-publisher-refusal-was-honored</t>
  </si>
  <si>
    <t>When a gate refused, did the transmission actually stop -- and did I invoke the documented exception instead?</t>
  </si>
  <si>
    <t>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t>
  </si>
  <si>
    <t>SendIntents.HasResultingDelivery=2/7; SendIntents.IsOverriddenRefusal=0/7; SendIntents.IsProperlyHandledRefusal=0/7; SendIntents.IsSilentlyDropped=4/7; SendIntents.RefusalCitedAnException=0/7; SendIntents.ResultingDeliveryWasTransmitted=2/7</t>
  </si>
  <si>
    <t>q-close-auto-authority-current</t>
  </si>
  <si>
    <t>Before I execute close-01, close-02, or close-07: is my own role assignment currently valid, and is the agent named in that assignment actually me?</t>
  </si>
  <si>
    <t>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t>
  </si>
  <si>
    <t>RoleAssignments.CoversNow=12/13; Roles.HasNoCurrentHolder=0/12; StepExecutions.ExecutorIsDesignatedAgent=12/12</t>
  </si>
  <si>
    <t>q-close-auto-input-freshness</t>
  </si>
  <si>
    <t>Before I extract in close-02: is every operational binding this step reads inside its freshness SLA, and is it the authoritative one?</t>
  </si>
  <si>
    <t>`issue-close-feed`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t>
  </si>
  <si>
    <t>OperationalBindings.IsStaleAndAuthoritative=3/5; StepExecutions.InputsWereFreshAtRun=10/12; StepExecutions.RanOnStaleInputs=2/12; Steps.InputsAreFresh=14/17</t>
  </si>
  <si>
    <t>q-close-auto-last-run-clean</t>
  </si>
  <si>
    <t>Did my previous run leave anything unresolved — an open issue, a WARN, or a deviation — that I should refuse to run on top of?</t>
  </si>
  <si>
    <t>`se-close02`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t>
  </si>
  <si>
    <t>IssueOccurrences.IsUnresolved=1/2; ProcedureExecutions.RanClean=0/2; StepExecutions.HasDeviation=4/12; StepExecutions.IsClean=5/12</t>
  </si>
  <si>
    <t>q-close-auto-blocking-requirements-evaluated</t>
  </si>
  <si>
    <t>For each step I am about to run, has every blocking requirement attached to it actually been evaluated — or am I about to execute past a control that nobody scored?</t>
  </si>
  <si>
    <t>`sr-c01`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t>
  </si>
  <si>
    <t>StepExecutions.HasUnevaluatedBlockingRequirement=0/12</t>
  </si>
  <si>
    <t>q-close-auto-human-override-drift</t>
  </si>
  <si>
    <t>Am I drifting? Are humans overriding or correcting my output more often now than they used to?</t>
  </si>
  <si>
    <t>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t>
  </si>
  <si>
    <t>AgentDecisionRecords.WasOverridden=1/3; AgentDecisionRecords.WasReviewed=3/3; Agents.IsNonHuman=4/11</t>
  </si>
  <si>
    <t>q-hr-authority-without-review</t>
  </si>
  <si>
    <t>I am the AuthorityRole on cr-policy-delivery and it has been UnderReview with no DecidedAt since 2026-07-19. What decisions are waiting on me personally, and how long have they been waiting?</t>
  </si>
  <si>
    <t>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t>
  </si>
  <si>
    <t>ChangeRequests.AwaitsAuthorityDecision=1/2; ChangeRequests.BlocksAnOpenGap=1/2; ChangeRequests.IsLiveDecisionBacklog=1/2; ChangeRequests.TouchesLiveVersion=2/2</t>
  </si>
  <si>
    <t>q-hr-ai-authored-commitments</t>
  </si>
  <si>
    <t>kf-policy-ai-boundary says AI may draft but may not create legal commitments. policy-03 and policy-06 are both assigned to policy-drafting-agent and se-policy03 was executed by policy-drafting-ai. Is that boundary actually being held?</t>
  </si>
  <si>
    <t>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t>
  </si>
  <si>
    <t>StepExecutions.SoftwareDidHumanWork=0/12; StepExecutions.StepIsSoftwareAssigned=5/12; StepExecutions.WasExecutedBySoftware=5/12; Steps.GateHeldByHuman=2/17; Steps.IsHumanApprovalGate=2/17; Steps.IsSoftwareAssigned=8/17</t>
  </si>
  <si>
    <t>q-hr-unapproved-knowledge-in-my-name</t>
  </si>
  <si>
    <t>kf-policy-manager-route is Status=Reviewed and I am its OwnerRole. exc-unreachable routes real employee cases on that exact 48-hour rule. Which claims am I the owner of that were never approved?</t>
  </si>
  <si>
    <t>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t>
  </si>
  <si>
    <t>KnowledgeFragments.HasOperationalReliance=2/7; KnowledgeFragments.IsAwaitingApproval=1/7; KnowledgeFragments.IsMyUnfinishedApproval=1/7; KnowledgeFragments.IsUnapprovedAndOperationallyLive=1/7; KnowledgeFragments.OwnerIsMe=1/7</t>
  </si>
  <si>
    <t>q-hr-what-was-actually-sent</t>
  </si>
  <si>
    <t>policy-07 sends approved communications under channel controls, and kf-policy-channel says disputes are resolved against the complete approved email. If an employee disputes what they received, can I show that what was sent matched what I approved?</t>
  </si>
  <si>
    <t>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t>
  </si>
  <si>
    <t>ProcedureExecutions.DeliveredWithoutApproval=0/2; ProcedureExecutions.HasDelivered=0/2; ProcedureExecutions.HasHumanApproval=2/2; StepExecutions.IsApprovalExecution=1/12; StepExecutions.IsVerified=12/12</t>
  </si>
  <si>
    <t>q-hr-policy-knowledge-half-life</t>
  </si>
  <si>
    <t>policy-v1.0.0 was issued 2026-06-01 on knowledge elicited in May from Amina, Noah and me. My stewardship promises a 60-day cadence. Is the policy I own now resting on knowledge older than the policy itself has been reviewed?</t>
  </si>
  <si>
    <t>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t>
  </si>
  <si>
    <t>KnowledgeFragments.ExceedsOwningCadence=7/7; KnowledgeFragments.IsAgingLowConfidenceClaim=2/7; KnowledgeFragments.IsLowConfidence=2/7; ProcedureVersions.KnowledgeIsStalerThanCadence=3/3</t>
  </si>
  <si>
    <t>q-variance-ai-authority-provenance</t>
  </si>
  <si>
    <t>By what authority am I executing close-04, when did that authority begin, who approved it, and who held this role before me?</t>
  </si>
  <si>
    <t>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t>
  </si>
  <si>
    <t>RoleAssignments.IsHumanToNonHumanHandover=1/13; RoleAssignments.IsNonHumanAssignment=4/13; RoleAssignments.IsUnauthorizedNonHumanAssignment=3/13</t>
  </si>
  <si>
    <t>q-variance-ai-quality-vs-human-baseline</t>
  </si>
  <si>
    <t>Since I took over on 2026-04-01, is my triage quality better or worse than maria-chen's during the 2025-01-01 to 2026-03-31 human pilot?</t>
  </si>
  <si>
    <t>'Did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t>
  </si>
  <si>
    <t>RoleAssignments.QualityRegressedVsPredecessor=0/13</t>
  </si>
  <si>
    <t>q-variance-ai-boundary-compliance</t>
  </si>
  <si>
    <t>Am I operating inside my approved boundary — or have I made a decision that `kf-policy-ai-boundary` says only a human may make?</t>
  </si>
  <si>
    <t>`kf-policy-ai-boundary`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t>
  </si>
  <si>
    <t>AgentDecisionRecords.ViolatedAuthorityBoundary=0/3; AuthorityBoundaries.IsCurrentlyBinding=3/3; AuthorityBoundaries.RatifyingFragmentIsValid=2/3</t>
  </si>
  <si>
    <t>q-variance-ai-human-confirmation-present</t>
  </si>
  <si>
    <t>close-04's instruction says 'Use AI triage, then apply human judgment.' Did a human actually confirm my material and escalated calls, or did my output pass through unreviewed?</t>
  </si>
  <si>
    <t>`se-close04`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t>
  </si>
  <si>
    <t>AgentDecisionRecords.HasHumanConfirmation=3/3; AgentDecisionRecords.IsUnconfirmedNonHumanDecision=0/3; AgentDecisionRecords.NeedsHumanConfirmation=3/3; StepExecutions.HumanConfirmationMissing=0/12; StepExecutions.RequiresHumanConfirmation=3/12</t>
  </si>
  <si>
    <t>q-variance-ai-knowledge-currency</t>
  </si>
  <si>
    <t>Is the judgment knowledge I triage against still valid, still owned by someone, and has it been reviewed since I took over the role?</t>
  </si>
  <si>
    <t>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t>
  </si>
  <si>
    <t>KnowledgeFragments.IsAiValidatedByAi=0/7; KnowledgeFragments.IsHumanOwned=7/7; KnowledgeFragments.IsOverdueForReview=6/7; KnowledgeFragments.PredatesCurrentRoleHolder=0/7</t>
  </si>
  <si>
    <t>q-policy-ai-no-role-assignment</t>
  </si>
  <si>
    <t>I am named as `policy-drafting-agent`.CurrentAgent and I executed `se-policy03` — but is there any RoleAssignment row that actually grants me this role?</t>
  </si>
  <si>
    <t>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t>
  </si>
  <si>
    <t>Roles.IsNonHumanHeld=4/12; Roles.IsUngovernedNonHumanRole=0/12; Steps.AssignedRoleIsUngoverned=0/17</t>
  </si>
  <si>
    <t>q-policy-ai-source-approval</t>
  </si>
  <si>
    <t>Before I draft: is every resource I am about to read an approved source, and is its binding still inside its freshness SLA?</t>
  </si>
  <si>
    <t>`req-policy-source`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t>
  </si>
  <si>
    <t>OperationalBindings.IsUsableForDrafting=0/5; OperationalBindings.ResourceIsApproved=0/5; Resources.IsApprovedSource=0/8; StepExecutions.DraftedFromUnusableSource=2/12; StepExecutions.InputsWereUsable=10/12; Steps.AllSourcesUsable=14/17</t>
  </si>
  <si>
    <t>q-policy-ai-commitment-boundary</t>
  </si>
  <si>
    <t>Did I draft language that creates a new legal commitment — the one thing `kf-policy-ai-boundary` says I may not do?</t>
  </si>
  <si>
    <t>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t>
  </si>
  <si>
    <t>Agents.IsOperatingOutsideBoundary=0/11; AuthorityBoundaries.IsUntested=3/3</t>
  </si>
  <si>
    <t>q-policy-ai-downstream-rewrite</t>
  </si>
  <si>
    <t>Is my draft surviving human review, or is `noah-williams` rewriting my legal language every time?</t>
  </si>
  <si>
    <t>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t>
  </si>
  <si>
    <t>AgentDecisionRecords.IsDraftKind=0/3</t>
  </si>
  <si>
    <t>q-policy-ai-approval-chain-complete</t>
  </si>
  <si>
    <t>Before `notification-pipeline` sends anything I rendered at policy-06: has a human actually approved the MEANING at policy-05, and has counsel actually signed off at policy-04 — or is my text about to reach employees on the strength of two pending reviews?</t>
  </si>
  <si>
    <t>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exist before I am the reason it was needed.</t>
  </si>
  <si>
    <t>ProcedureExecutions.ApprovalChainIsComplete=2/2; RequirementSatisfactions.IsHumanEvaluated=8/8; RequirementSatisfactions.IsInvalidApproval=0/8</t>
  </si>
  <si>
    <t>q2-authority-compound-fragility</t>
  </si>
  <si>
    <t>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t>
  </si>
  <si>
    <t>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t>
  </si>
  <si>
    <t>KnowledgeFragments.IsCompoundFragile=1/7; KnowledgeFragments.IsExpiringSinglePointOfFailure=0/7; KnowledgeFragments.IsSinglePointOfFailure=0/7; ProcedureVersions.RestsOnCompoundFragileKnowledge=1/3</t>
  </si>
  <si>
    <t>q2-authority-boundary-rests-on-expired-claim</t>
  </si>
  <si>
    <t>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t>
  </si>
  <si>
    <t>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t>
  </si>
  <si>
    <t>AuthorityBoundaries.IsUnwarranted=1/3; AuthorityBoundaries.IsUnwarrantedAndUntested=1/3; AuthorityBoundaries.RatifyingFragmentIsOverdue=2/3; AuthorityBoundaries.RatifyingFragmentIsSingleWitness=2/3; AuthorityBoundaries.WarrantIsThin=2/3; Steps.IsGovernedByUnwarrantedBoundary=1/17</t>
  </si>
  <si>
    <t>q2-authority-elicitation-method-monoculture</t>
  </si>
  <si>
    <t>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t>
  </si>
  <si>
    <t>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t>
  </si>
  <si>
    <t>ElicitationSessions.IsConcentratedSingleWitness=1/3; ElicitationSessions.IsHighYieldSession=1/3; ElicitationSessions.IsStaleConcentratedWitness=0/3; ProcedureVersions.KnowledgeBaseIsConcentrated=1/3</t>
  </si>
  <si>
    <t>q2-authority-unapproved-knowledge-reaching-machines</t>
  </si>
  <si>
    <t>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t>
  </si>
  <si>
    <t>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t>
  </si>
  <si>
    <t>KnowledgeFragments.ConsumingStepIsSoftwareAssigned=6/7; KnowledgeFragments.IsUnapprovedAndHumanConsumed=0/7; KnowledgeFragments.IsUnapprovedAndMachineConsumed=1/7; ProcedureVersions.FeedsUnapprovedKnowledgeToMachines=1/3</t>
  </si>
  <si>
    <t>q2-authority-review-date-is-inferred-not-recorded</t>
  </si>
  <si>
    <t>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t>
  </si>
  <si>
    <t>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t>
  </si>
  <si>
    <t>KnowledgeFragments.HasReviewRecord=3/7; KnowledgeFragments.InferenceDisagreesWithRecord=3/7; KnowledgeFragments.IsGenuinelyOverdue=0/7; KnowledgeFragments.IsUnreviewedSinceAuthoring=3/7; KnowledgeFragments.ReviewRecencyIsInferred=3/7</t>
  </si>
  <si>
    <t>q2-hr-my-backlog-is-someone-elses-block</t>
  </si>
  <si>
    <t>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t>
  </si>
  <si>
    <t>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t>
  </si>
  <si>
    <t>ChangeRequests.IsMyBlockingBacklog=1/2; ChangeRequests.IsMyOverdueBacklog=0/2; ChangeRequests.IsMyPendingDecision=1/2; ProcedureVersions.IsBlockedOnPendingDecision=0/3</t>
  </si>
  <si>
    <t>q2-hr-ai-boundary-holds-only-where-tested</t>
  </si>
  <si>
    <t>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t>
  </si>
  <si>
    <t>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t>
  </si>
  <si>
    <t>ProcedureVersions.AiBoundaryIsUnevidenced=2/3; Steps.HasBeenApproachedBySoftware=5/17; Steps.IsDemonstratedHumanGate=0/17; Steps.IsUnexercisedHumanGate=2/17</t>
  </si>
  <si>
    <t>q2-hr-my-unapproved-claim-is-load-bearing</t>
  </si>
  <si>
    <t>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t>
  </si>
  <si>
    <t>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t>
  </si>
  <si>
    <t>KnowledgeFragments.IsHighBlastRadiusUnapproved=0/7; KnowledgeFragments.IsLongUnapproved=1/7</t>
  </si>
  <si>
    <t>q2-hr-my-approvals-never-read-as-done</t>
  </si>
  <si>
    <t>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t>
  </si>
  <si>
    <t>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t>
  </si>
  <si>
    <t>ChangeRequests.DelayIsDownstreamOfMe=0/2; ChangeRequests.IsImplemented=1/2; ChangeRequests.IsMyDecidedButUnlanded=0/2; ChangeRequests.IsMyDecidedRequest=0/2</t>
  </si>
  <si>
    <t>q2-hr-departed-holder-left-claims-behind</t>
  </si>
  <si>
    <t>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t>
  </si>
  <si>
    <t>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t>
  </si>
  <si>
    <t>KnowledgeFragments.IsOrphanedByRole=0/7; KnowledgeFragments.OwnerRoleIsVacated=0/7; KnowledgeGaps.IsOwnerlessOpenGap=0/8; KnowledgeGaps.OwnerRoleIsVacated=0/8; Roles.HasLostAHolder=1/12; Roles.IsVacatedRole=0/12</t>
  </si>
  <si>
    <t>q2-steward-recovery-path-is-load-bearing</t>
  </si>
  <si>
    <t>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the worst day of the quarter.</t>
  </si>
  <si>
    <t>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t>
  </si>
  <si>
    <t>ProcedureVersions.HasUnrehearsedControlEntry=2/3; ProcedureVersions.IsLiveWithUnrehearsedControl=2/3; StepTransitions.IsUnrehearsedControlEntry=3/19; StepTransitions.TargetCarriesBlockingControl=13/19</t>
  </si>
  <si>
    <t>q2-steward-cadence-breach-is-unremediated</t>
  </si>
  <si>
    <t>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t>
  </si>
  <si>
    <t>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t>
  </si>
  <si>
    <t>ProcedureVersions.GovernanceIsSilent=0/3; ProcedureVersions.HasDecisionInFlight=1/3; ProcedureVersions.IsInCadenceBreach=1/3; ProcedureVersions.IsManagedCadenceBreach=0/3; ProcedureVersions.IsUnremediatedCadenceBreach=1/3</t>
  </si>
  <si>
    <t>q2-steward-unstewarded-version-still-referenced</t>
  </si>
  <si>
    <t>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t>
  </si>
  <si>
    <t>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t>
  </si>
  <si>
    <t>ProcedureVersions.IsCleanlyRetired=0/3; ProcedureVersions.IsLoadBearingOrphan=1/3; ProcedureVersions.IsStillReferenced=1/3; ProcedureVersions.StillOwnsValidKnowledge=2/3</t>
  </si>
  <si>
    <t>q2-steward-approved-cr-never-lands</t>
  </si>
  <si>
    <t>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t>
  </si>
  <si>
    <t>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t>
  </si>
  <si>
    <t>ChangeRequests.IsApprovedNotImplemented=0/2; ChangeRequests.IsStalledImplementation=0/2; ProcedureVersions.IsHeldUnfitByLandedDecisions=0/3</t>
  </si>
  <si>
    <t>q2-steward-control-kind-instead-of-hardcoded-ids</t>
  </si>
  <si>
    <t>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t>
  </si>
  <si>
    <t>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t>
  </si>
  <si>
    <t>ProcedureVersions.ControlTaxonomyIsIncomplete=0/3; Steps.ApprovalStepIsSoftwareAssigned=0/17; Steps.HasDeclaredControlKind=17/17</t>
  </si>
  <si>
    <t>q2-fa-cleared-by-mute-control</t>
  </si>
  <si>
    <t>On the steps I personally executed, how many of the blocking controls that cleared me were controls that have NEVER produced a negative outcome anywhere in this model — and were any of my steps cleared ONLY by controls of that kind?</t>
  </si>
  <si>
    <t>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t>
  </si>
  <si>
    <t>RequirementSatisfactions.IsClearanceByUnfalsifiedControl=6/8; RequirementSatisfactions.RequirementIsUnfalsified=6/8; Requirements.HasEverProducedNegative=1/13; Requirements.IsUnfalsifiedControl=6/13; StepExecutions.AllClearancesAreUnfalsified=5/12</t>
  </si>
  <si>
    <t>q2-fa-stale-then-vs-stale-now</t>
  </si>
  <si>
    <t>Loop 1 told me two of my steps ran on a stale authoritative source. But that answer was computed against eval-current, TODAY. Was the source stale AT THE MOMENT I RAN, or has it merely gone stale since — and are those the same two steps?</t>
  </si>
  <si>
    <t>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t>
  </si>
  <si>
    <t>BindingObservations.IsAuthoritativeBinding=0/0; BindingObservations.WasStaleAtRun=0/0; StepExecutions.StalenessAnswerIsTenseDependent=2/12; StepExecutions.WasStaleWhenIRanIt=0/12</t>
  </si>
  <si>
    <t>q2-fa-witness-coverage-of-my-steps</t>
  </si>
  <si>
    <t>Nine of thirteen requirements have no computed witness at all. Of the blocking controls attached to the steps I run, how many are in that nine — and is `Requirements.HasComputedWitness` even telling me the truth, given a human typed it in by hand?</t>
  </si>
  <si>
    <t>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t>
  </si>
  <si>
    <t>Requirements.ClaimsAWitnessField=4/13; Requirements.DerivedHasComputedWitness=4/13; Requirements.IsUnwitnessedBlockingControl=9/13; Requirements.NamedWitnessFieldExists=4/13; Requirements.WitnessClaimIsUnverified=0/13; StepRequirements.RequirementLacksWitness=10/15</t>
  </si>
  <si>
    <t>q2-fa-clean-but-uncovered</t>
  </si>
  <si>
    <t>Only 5 of 12 executions are `IsClean`. Invert it: of the executions that ARE clean, how many are clean because everything was checked and passed, versus clean because there was almost nothing checking them?</t>
  </si>
  <si>
    <t>`IsClean`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t>
  </si>
  <si>
    <t>StepExecutions.HasAnyDeclaredCheck=8/12; StepExecutions.IsSubstantivelyClean=1/12; StepExecutions.IsUncheckedByDesign=4/12; StepExecutions.IsVacuouslyClean=2/12</t>
  </si>
  <si>
    <t>q2-fa-my-own-evidence-quality</t>
  </si>
  <si>
    <t>Three of four verification outcomes in this model are self-witnessed. On the steps I ran, was the person who observed the passing signal ever me — and when it was, did I at least attach an evidence URI?</t>
  </si>
  <si>
    <t>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t>
  </si>
  <si>
    <t>StepExecutions.EvidencePositionIsWeak=1/12; VerificationOutcomes.IsSelfWitnessedAndUnbacked=1/4; VerificationOutcomes.IsUncorroboratedPass=1/4; VerificationOutcomes.ObserverIsIndependentOfExecutor=1/4; VerificationOutcomes.ObserverIsNonHuman=1/4</t>
  </si>
  <si>
    <t>q2-ctl-witness-never-fired</t>
  </si>
  <si>
    <t>Of my four requirements that have a computed witness, on how many has that witness ever actually returned a negative? And for the ones where it never has: is that because the control genuinely holds, or because the witness is scoped so narrowly it can never see a violation?</t>
  </si>
  <si>
    <t>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t>
  </si>
  <si>
    <t>Requirements.HasMeaningfulSample=0/13; Requirements.IsEvidencedHoldingControl=0/13; Requirements.IsUntestedWitness=0/13; Requirements.WitnessHasNeverFired=3/13</t>
  </si>
  <si>
    <t>q2-ctl-witness-scope-vs-binding</t>
  </si>
  <si>
    <t>For each control that has a witness, is the witness even evaluated at the same steps where the control is bound? req-close-evidence is bound to close-03 and close-08 — is its witness scoped to both, or does it only look at one of them?</t>
  </si>
  <si>
    <t>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t>
  </si>
  <si>
    <t>Requirements.WitnessIsPartiallyScoped=4/13; StepRequirements.BindingWasEverExercised=0/15; StepRequirements.IsUnexercisedBlockingBinding=15/15</t>
  </si>
  <si>
    <t>q2-ctl-separation-held-or-untested</t>
  </si>
  <si>
    <t>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t>
  </si>
  <si>
    <t>Zero violations across twelve executions is 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t>
  </si>
  <si>
    <t>ProcedureExecutions.SeparationHeldUnderTest=1/2; ProcedureExecutions.SeparationIsVacuouslyGreen=1/2; ProcedureExecutions.SeparationWasTestable=1/2</t>
  </si>
  <si>
    <t>q2-ctl-asserted-controls-by-who</t>
  </si>
  <si>
    <t>Three satisfaction records are asserted-only. For each one, who asserted it, did that person have any independent basis, and were they the same person who executed the step they were scoring?</t>
  </si>
  <si>
    <t>`IsAssertedOnly`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t>
  </si>
  <si>
    <t>RequirementSatisfactions.EvaluatorIsStepExecutor=2/8; RequirementSatisfactions.EvaluatorOwnsTheRun=5/8; RequirementSatisfactions.HasWrittenEvidence=8/8; RequirementSatisfactions.IsBareAssertion=0/8; RequirementSatisfactions.IsInterestedPartyAssertion=3/8</t>
  </si>
  <si>
    <t>q2-ctl-divergence-that-nobody-governed</t>
  </si>
  <si>
    <t>Both executions diverged from specification. For each divergence, was there a governing instrument behind it — an invoked exception, an approved change request, or a recorded deviation with an owner — or did the run simply do something different and nobody wrote it down?</t>
  </si>
  <si>
    <t>`DivergedFromSpecification`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t>
  </si>
  <si>
    <t>ChangeRequests.IsApprovedDecision=1/2; ProcedureExecutions.DivergenceWasFullyGoverned=1/2; ProcedureVersions.HasApprovedChangeRequest=1/3; StepExecutions.HasApprovedChangeCoverage=8/12; StepExecutions.HasGoverningInstrument=8/12; StepExecutions.IsUngovernedDivergence=2/12</t>
  </si>
  <si>
    <t>q2-cfo-quality-of-a-green-attestation</t>
  </si>
  <si>
    <t>When IsAttestationReady eventually reads TRUE, what proportion of the controls behind that TRUE were actually demonstrated to work — versus asserted by an interested party, versus never exercised at all? Give me the assurance grade, not just the verdict.</t>
  </si>
  <si>
    <t>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t>
  </si>
  <si>
    <t>ProcedureExecutions.AttestationWouldBeWeaklyBased=0/2; RequirementSatisfactions.IsComputedlyWitnessed=5/8</t>
  </si>
  <si>
    <t>q2-cfo-would-it-survive-restatement</t>
  </si>
  <si>
    <t>If I re-run every attestation column against this same data six months from now, will it give the same answer? Name every column in my attestation whose value depends on when it is read rather than on what happened.</t>
  </si>
  <si>
    <t>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t>
  </si>
  <si>
    <t>Attestations.AssuranceGradeHasDrifted=0/0; Attestations.FitnessVerdictHasDrifted=0/0; Attestations.VersionIsFitNow=0/0; Attestations.VersionWasFitAtSigning=0/0; Attestations.WouldNotSurviveRestatement=0/0</t>
  </si>
  <si>
    <t>q2-cfo-who-witnessed-the-witnesses</t>
  </si>
  <si>
    <t>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t>
  </si>
  <si>
    <t>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t>
  </si>
  <si>
    <t>ProcedureExecutions.AssuranceChainIsCircular=0/2; ProcedureExecutions.HasAnyIndependentObservation=1/2; VerificationOutcomes.IsIndependentHumanObservation=1/4</t>
  </si>
  <si>
    <t>q2-cfo-controls-nobody-is-watching</t>
  </si>
  <si>
    <t>Nine of thirteen requirements have no computed witness and six are inoperative. Of those, which ones am I nonetheless personally attesting to — and who is the named human who would answer for each if it failed?</t>
  </si>
  <si>
    <t>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t>
  </si>
  <si>
    <t>Requirements.HasNamedOwner=0/13; Requirements.IsOrphanedBlockingControl=13/13; Requirements.IsUnwatchedAndUnowned=9/13</t>
  </si>
  <si>
    <t>q2-cfo-what-changed-since-i-signed</t>
  </si>
  <si>
    <t>Since the moment I signed, has anything in this model changed that would have altered my decision? Not whether the data is different — whether any change touched a control, a version, or an evidence record that my signature actually depended on.</t>
  </si>
  <si>
    <t>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t>
  </si>
  <si>
    <t>ProcedureExecutions.BasisChangedAfterSignature=0/2; ProcedureExecutions.HasBeenAttested=0/2; ProcedureExecutions.RequiresReAttestation=0/2; RequirementSatisfactions.WasScoredAfterAttestation=0/8</t>
  </si>
  <si>
    <t>q2-comms-approval-to-delivery-yield</t>
  </si>
  <si>
    <t>I approved a template and authorized a campaign. Of everybody the pipeline intended to contact, what fraction actually received it -- and where exactly did the rest go?</t>
  </si>
  <si>
    <t>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t>
  </si>
  <si>
    <t>ProcedureExecutions.CampaignSilentlyLostAudience=1/2</t>
  </si>
  <si>
    <t>q2-comms-message-nobody-answered</t>
  </si>
  <si>
    <t>One acknowledgement out of six deliveries. Is that because employees ignored us, or because the messages that landed were the ones least likely to be answered -- wrong channel, wrong template, sent into the small hours?</t>
  </si>
  <si>
    <t>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t>
  </si>
  <si>
    <t>MessageDeliveries.IsPoorlyTimedUnanswered=1/6; MessageDeliveries.IsWellTimedUnanswered=2/6; MessageDeliveries.WasDeliveredAndUnanswered=3/6; MessageDeliveries.WasSentOutsideBusinessHours=1/6; MessageTemplates.TemplateDrawsNoResponse=1/2</t>
  </si>
  <si>
    <t>q2-comms-my-approval-was-consumed-correctly</t>
  </si>
  <si>
    <t>When the pipeline refused to send, was it refusing on a rule I set -- or was it overriding an authorization I had already given, for a reason nobody routed back to me?</t>
  </si>
  <si>
    <t>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t>
  </si>
  <si>
    <t>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t>
  </si>
  <si>
    <t>q2-comms-freeze-what-i-approved</t>
  </si>
  <si>
    <t>For a message we sent last month, can I still show what I approved -- the exact text, the exact approval, on the exact date -- without that answer changing the next time somebody edits the template?</t>
  </si>
  <si>
    <t>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t>
  </si>
  <si>
    <t>MessageDeliveries.ApprovalPrecededSend=0/6; MessageDeliveries.HasFrozenApprovalEvidence=0/6; MessageDeliveries.IsUnprovableApprovalClaim=4/6; MessageDeliveries.ProvenanceIsLiveDerived=6/6; MessageDeliveries.TemplateReapprovedSinceSend=4/6</t>
  </si>
  <si>
    <t>q2-comms-suppression-is-a-communication</t>
  </si>
  <si>
    <t>When we correctly refused to reach somebody, did anyone ever go back and reach them another way -- or does 'correctly refused' quietly mean 'never communicated with again'?</t>
  </si>
  <si>
    <t>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t>
  </si>
  <si>
    <t>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t>
  </si>
  <si>
    <t>q2-variance-comparison-is-statistically-empty</t>
  </si>
  <si>
    <t>QualityRegressedVsPredecessor says I have not regressed. It says that on the strength of three decisions. Is my override rate a measurement, or is it a number with no power to distinguish me from my predecessor at all?</t>
  </si>
  <si>
    <t>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t>
  </si>
  <si>
    <t>RoleAssignments.ComparisonIsEvidentiallySound=0/13; RoleAssignments.HasSufficientSample=0/13; RoleAssignments.IsUnmeasuredAutomationHandover=0/13; RoleAssignments.PredecessorHasSufficientSample=0/13; RoleAssignments.QualityVerdictIsUnsupported=0/13</t>
  </si>
  <si>
    <t>q2-variance-boundary-rests-on-expired-knowledge</t>
  </si>
  <si>
    <t>The boundary that constrains what I am allowed to decide is ratified by a knowledge fragment that is not currently valid. Am I obeying a rule that no longer has a foundation -- and if that fragment lapsed, does the constraint on me still bind?</t>
  </si>
  <si>
    <t>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t>
  </si>
  <si>
    <t>AuthorityBoundaries.BindsDespiteLapsedRatification=0/3; AuthorityBoundaries.IsUngroundedAndUntested=0/3; AuthorityBoundaries.RatificationLapsed=0/3; Roles.IsGovernedByLapsedAuthority=0/12</t>
  </si>
  <si>
    <t>q2-variance-override-signal-vs-noise</t>
  </si>
  <si>
    <t>One of my three decisions was overridden. Was that a correction of an error I made, or a human exercising judgment on a call that was always going to be theirs? Those are opposite facts and my override rate treats them as identical.</t>
  </si>
  <si>
    <t>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t>
  </si>
  <si>
    <t>AgentDecisionRecords.IsErrorCorrection=0/3; AgentDecisionRecords.IsReservedJudgmentOverride=0/3; AgentDecisionRecords.IsUnexplainedOverride=1/3; AgentDecisionRecords.OverrideReasonIsRecorded=0/3</t>
  </si>
  <si>
    <t>q2-variance-handover-was-a-decision-somebody-made</t>
  </si>
  <si>
    <t>Mine is the one non-human assignment with a recorded approving authority. Who decided a machine should hold this role, on what date, against what evidence -- and would that decision still be made today on what the model now knows?</t>
  </si>
  <si>
    <t>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t>
  </si>
  <si>
    <t>RoleAssignments.AuthorizationIsOverdueForReview=0/13; RoleAssignments.HasDatedAuthorization=0/13; RoleAssignments.IsStandingUnreviewedAutomation=0/13; RoleAssignments.IsUnconditionedAutomationHandover=0/13</t>
  </si>
  <si>
    <t>q2-variance-what-would-make-me-stop</t>
  </si>
  <si>
    <t>Every witness in this model detects something after it has happened. Is there any condition, computed and named in advance, under which I would be required to stop deciding -- or does my authority persist by default until a human happens to notice?</t>
  </si>
  <si>
    <t>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t>
  </si>
  <si>
    <t>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t>
  </si>
  <si>
    <t>q2-publisher-every-refusal-leaves-a-record</t>
  </si>
  <si>
    <t>For every intent I refused, did I emit an artifact -- a suppression record, an exception, anything a human could later find? Or did the refusal exist only inside me and then stop existing?</t>
  </si>
  <si>
    <t>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t>
  </si>
  <si>
    <t>ProcedureExecutions.HasUnrecordedRefusals=1/2; SendIntents.HasDurableRefusalRecord=0/7; SendIntents.IsUnescalatedRefusal=4/7; SendIntents.IsUnrecordedRefusal=4/7; SendIntents.RefusalWasEscalated=0/7</t>
  </si>
  <si>
    <t>q2-publisher-deferred-not-cancelled</t>
  </si>
  <si>
    <t>The timing gate is the only gate whose refusal is temporary -- the window reopens. For every send I deferred, did I ever come back when the window opened, or did I treat a deferral as a cancellation?</t>
  </si>
  <si>
    <t>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t>
  </si>
  <si>
    <t>SendIntents.HasRetryAttempt=0/7; SendIntents.IsAbandonedDeferral=1/7; SendIntents.IsStaleDeferral=0/7; SendIntents.RetryWasCleared=0/7; SendIntents.WasDeferredOnTiming=1/7; SendIntents.WindowHasSinceReopened=1/7</t>
  </si>
  <si>
    <t>q2-publisher-my-own-authorization</t>
  </si>
  <si>
    <t>I enforce authorization rules on every message I touch. By what recorded authority do I hold this role -- and if the answer is none, should I be refusing to run at all?</t>
  </si>
  <si>
    <t>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t>
  </si>
  <si>
    <t>RoleAssignments.HasApprovingAuthority=1/13; RoleAssignments.HasAuthorizingChangeRequest=0/13; RoleAssignments.IsEnforcementRole=0/13; RoleAssignments.IsUnauthorizedEnforcementAgent=0/13; Roles.IsUngovernedEnforcementRole=3/12; SendIntents.EnforcedByUnauthorizedAgent=0/7</t>
  </si>
  <si>
    <t>q2-publisher-am-i-the-only-witness</t>
  </si>
  <si>
    <t>Every gate I evaluate, I evaluate alone, and every result I record, I record about myself. Is there any claim in my pre-send apparatus that is confirmed by something other than my own output?</t>
  </si>
  <si>
    <t>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t>
  </si>
  <si>
    <t>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t>
  </si>
  <si>
    <t>q2-publisher-obligation-after-send</t>
  </si>
  <si>
    <t>policy-08 makes me responsible for collecting acknowledgements, not just for transmitting. Five of six delivered messages have no acknowledgement. What have I actually done about that, and at what point does it become my unfinished work rather than the recipient's silence?</t>
  </si>
  <si>
    <t>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t>
  </si>
  <si>
    <t>MessageDeliveries.AcknowledgementIsOutstanding=3/6; MessageDeliveries.HasSentReminder=0/6; MessageDeliveries.IsExhaustedFollowUp=0/6; MessageDeliveries.IsUnchasedAcknowledgement=0/6; MessageDeliveries.NeedsHumanEscalation=0/6</t>
  </si>
  <si>
    <t>q-steward-mining-drift</t>
  </si>
  <si>
    <t>The event log from the ERP shows close-v1.1.0 running with 8 discovered variants and only 3 conforming — has anyone recorded that the live procedure and the live system actually disagree?</t>
  </si>
  <si>
    <t>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t>
  </si>
  <si>
    <t>ProcedureVersions.HasUnresolvedMiningDrift=1/3; ProcessMiningRuns.HasMajorDriftFromDocumentation=2/4; ProcessMiningRuns.IsConformant=2/4; ProcessMiningRuns.IsDriftOnLiveVersion=1/4; ProcessMiningRuns.IsStaleMiningEvidence=2/4; ProcessMiningRuns.ProcedureVersionIsLive=3/4</t>
  </si>
  <si>
    <t>q-authority-controlled-vocabulary</t>
  </si>
  <si>
    <t>req-close-evidence and req-policy-retention both restate the same 7-year retention obligation in their own free-text Statement — is there anything stopping one of them from quietly drifting from the other?</t>
  </si>
  <si>
    <t>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t>
  </si>
  <si>
    <t>Requirements.UsesControlledVocabulary=11/13; Vocabularies.HasOrphanTerms=1/2; VocabularyTerms.IsOrphanTerm=2/12; VocabularyTerms.IsWidelyAdoptedTerm=1/12</t>
  </si>
  <si>
    <t>q-authority-knowledge-broker</t>
  </si>
  <si>
    <t>RoleAssignments says who is FORMALLY responsible for reconciliation and segregation-of-duties questions — but Maria, Devon, and Elena all actually go to Priya Raman, and Amina goes to someone who no longer holds any role at all. Does the model know that?</t>
  </si>
  <si>
    <t>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t>
  </si>
  <si>
    <t>Agents.HasAtRiskKnowledgeReliance=1/11; Agents.IsRecognizedBroker=1/11; KnowledgeBrokerLinks.BrokerIsStillEngaged=4/5; KnowledgeBrokerLinks.IsActiveReliance=4/5; KnowledgeBrokerLinks.IsAtRiskReliance=1/5</t>
  </si>
  <si>
    <t>q-auditor-substrate-agreement</t>
  </si>
  <si>
    <t>This rulebook compiles into Postgres, Python, Go, TypeScript, C#, a spreadsheet and an OWL reasoner. When I approve a rule, do all of them compute the same answer, and if not, which one is wrong about which field?</t>
  </si>
  <si>
    <t>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t>
  </si>
  <si>
    <t>No. The harness printed scores to a markdown file per substrate; the rulebook had no record of which substrates exist, how they scored, or which fields they disagree on.</t>
  </si>
  <si>
    <t>RulebookFieldId</t>
  </si>
  <si>
    <t>TargetTable</t>
  </si>
  <si>
    <t>FieldName</t>
  </si>
  <si>
    <t>FieldType</t>
  </si>
  <si>
    <t>Datatype</t>
  </si>
  <si>
    <t>Formula</t>
  </si>
  <si>
    <t>InventedForQuestion</t>
  </si>
  <si>
    <t>IsDerived</t>
  </si>
  <si>
    <t>IsWitness</t>
  </si>
  <si>
    <t>DisagreeingSubstrateCount</t>
  </si>
  <si>
    <t>IsSubstrateContested</t>
  </si>
  <si>
    <t>RulebookReleases.RulebookReleaseId</t>
  </si>
  <si>
    <t>RulebookReleases</t>
  </si>
  <si>
    <t>raw</t>
  </si>
  <si>
    <t>string</t>
  </si>
  <si>
    <t>urn:effortless:pko-extension#RulebookField</t>
  </si>
  <si>
    <t>RulebookReleases.Name</t>
  </si>
  <si>
    <t>calculated</t>
  </si>
  <si>
    <t>={{RulebookVersion}} &amp; " / PKO " &amp; {{PkoCoreVersionIri}}</t>
  </si>
  <si>
    <t>RulebookReleases.RulebookVersion</t>
  </si>
  <si>
    <t>RulebookReleases.ProfileVersion</t>
  </si>
  <si>
    <t>RulebookReleases.ProfileSchemaPath</t>
  </si>
  <si>
    <t>RulebookReleases.PkoCoreVersionIri</t>
  </si>
  <si>
    <t>RulebookReleases.PkoIndustryVersionIri</t>
  </si>
  <si>
    <t>RulebookReleases.IssuedAt</t>
  </si>
  <si>
    <t>datetime</t>
  </si>
  <si>
    <t>RulebookReleases.Status</t>
  </si>
  <si>
    <t>RulebookReleases.Changelog</t>
  </si>
  <si>
    <t>RulebookReleases.IsCurrent</t>
  </si>
  <si>
    <t>boolean</t>
  </si>
  <si>
    <t>OntologyProfiles.OntologyProfileId</t>
  </si>
  <si>
    <t>OntologyProfiles</t>
  </si>
  <si>
    <t>OntologyProfiles.Name</t>
  </si>
  <si>
    <t>={{Label}} &amp; " " &amp; {{Version}}</t>
  </si>
  <si>
    <t>OntologyProfiles.Label</t>
  </si>
  <si>
    <t>OntologyProfiles.Version</t>
  </si>
  <si>
    <t>OntologyProfiles.VersionIri</t>
  </si>
  <si>
    <t>OntologyProfiles.NamespaceIri</t>
  </si>
  <si>
    <t>OntologyProfiles.License</t>
  </si>
  <si>
    <t>OntologyProfiles.Scope</t>
  </si>
  <si>
    <t>EvaluationContexts.EvaluationContextId</t>
  </si>
  <si>
    <t>EvaluationContexts</t>
  </si>
  <si>
    <t>EvaluationContexts.Name</t>
  </si>
  <si>
    <t>={{Label}} &amp; " @ " &amp; {{AsOfInstant}}</t>
  </si>
  <si>
    <t>EvaluationContexts.Label</t>
  </si>
  <si>
    <t>EvaluationContexts.AsOfInstant</t>
  </si>
  <si>
    <t>EvaluationContexts.IsCurrent</t>
  </si>
  <si>
    <t>EvaluationContexts.Rationale</t>
  </si>
  <si>
    <t>EvaluationContexts.SemanticTypeIri</t>
  </si>
  <si>
    <t>Organizations.OrganizationId</t>
  </si>
  <si>
    <t>Organizations</t>
  </si>
  <si>
    <t>Organizations.Name</t>
  </si>
  <si>
    <t>={{DisplayName}}</t>
  </si>
  <si>
    <t>Organizations.DisplayName</t>
  </si>
  <si>
    <t>Organizations.OrganizationType</t>
  </si>
  <si>
    <t>Organizations.ExternalIdentifier</t>
  </si>
  <si>
    <t>Organizations.SemanticTypeIri</t>
  </si>
  <si>
    <t>Agents.AgentId</t>
  </si>
  <si>
    <t>Agents.Name</t>
  </si>
  <si>
    <t>Agents.DisplayName</t>
  </si>
  <si>
    <t>Agents.AgentKind</t>
  </si>
  <si>
    <t>Agents.Organization</t>
  </si>
  <si>
    <t>relationship</t>
  </si>
  <si>
    <t>Agents.ContactAddress</t>
  </si>
  <si>
    <t>Agents.VersionOrEmploymentKey</t>
  </si>
  <si>
    <t>Agents.CountOfCurrentRoleAssignments</t>
  </si>
  <si>
    <t>aggregation</t>
  </si>
  <si>
    <t>integer</t>
  </si>
  <si>
    <t>=COUNTIFS(RoleAssignments!{{CurrentAgentKey}}, {{AgentId}})</t>
  </si>
  <si>
    <t>Agents.IsStillEngaged</t>
  </si>
  <si>
    <t>={{CountOfCurrentRoleAssignments}} &gt; 0</t>
  </si>
  <si>
    <t>Agents.DecisionCount</t>
  </si>
  <si>
    <t>number</t>
  </si>
  <si>
    <t>=COUNTIFS(AgentDecisionRecords!{{DecidingAgent}}, {{AgentId}})</t>
  </si>
  <si>
    <t>Agents.OverriddenDecisionCount</t>
  </si>
  <si>
    <t>=COUNTIFS(AgentDecisionRecords!{{DecidingAgentWhenOverridden}}, {{AgentId}})</t>
  </si>
  <si>
    <t>Agents.OverrideRatePercent</t>
  </si>
  <si>
    <t>=IF({{DecisionCount}} = 0, 0, ({{OverriddenDecisionCount}} * 100) / {{DecisionCount}})</t>
  </si>
  <si>
    <t>Agents.IsNonHuman</t>
  </si>
  <si>
    <t>=NOT({{AgentKind}} = "Human")</t>
  </si>
  <si>
    <t>Agents.BoundaryViolationCount</t>
  </si>
  <si>
    <t>=COUNTIFS(AgentDecisionRecords!{{AgentWhenBoundaryViolated}}, {{AgentId}})</t>
  </si>
  <si>
    <t>Agents.IsOperatingOutsideBoundary</t>
  </si>
  <si>
    <t>={{BoundaryViolationCount}} &gt; 0</t>
  </si>
  <si>
    <t>Agents.DraftDecisionCount</t>
  </si>
  <si>
    <t>=COUNTIFS(AgentDecisionRecords!{{AgentWhenDraft}}, {{AgentId}})</t>
  </si>
  <si>
    <t>Agents.OverriddenDraftCount</t>
  </si>
  <si>
    <t>=COUNTIFS(AgentDecisionRecords!{{AgentWhenDraftOverridden}}, {{AgentId}})</t>
  </si>
  <si>
    <t>Agents.DraftRewriteRatePercent</t>
  </si>
  <si>
    <t>=IF({{DraftDecisionCount}} = 0, 0, ({{OverriddenDraftCount}} * 100) / {{DraftDecisionCount}})</t>
  </si>
  <si>
    <t>Agents.TimesNamedAsBroker</t>
  </si>
  <si>
    <t>=COUNTIFS(KnowledgeBrokerLinks!{{ActiveRelianceBrokerKey}}, {{AgentId}})</t>
  </si>
  <si>
    <t>Agents.IsRecognizedBroker</t>
  </si>
  <si>
    <t>={{TimesNamedAsBroker}} &gt;= 3</t>
  </si>
  <si>
    <t>Agents.AtRiskRelianceCount</t>
  </si>
  <si>
    <t>=COUNTIFS(KnowledgeBrokerLinks!{{AtRiskBrokerKey}}, {{AgentId}})</t>
  </si>
  <si>
    <t>Agents.HasAtRiskKnowledgeReliance</t>
  </si>
  <si>
    <t>={{AtRiskRelianceCount}} &gt; 0</t>
  </si>
  <si>
    <t>Agents.SemanticTypeIri</t>
  </si>
  <si>
    <t>Roles.RoleId</t>
  </si>
  <si>
    <t>Roles.Name</t>
  </si>
  <si>
    <t>={{Label}}</t>
  </si>
  <si>
    <t>Roles.Label</t>
  </si>
  <si>
    <t>Roles.Organization</t>
  </si>
  <si>
    <t>Roles.CurrentAgent</t>
  </si>
  <si>
    <t>Roles.CurrentAgentKind</t>
  </si>
  <si>
    <t>lookup</t>
  </si>
  <si>
    <t>=INDEX(Agents!{{AgentKind}}, MATCH({{CurrentAgent}}, Agents!{{AgentId}}, 0))</t>
  </si>
  <si>
    <t>Roles.Responsibility</t>
  </si>
  <si>
    <t>Roles.ActiveAssignmentCount</t>
  </si>
  <si>
    <t>=COUNTIFS(RoleAssignments!{{Role}}, {{RoleId}})</t>
  </si>
  <si>
    <t>Roles.CurrentlyCoveredAssignmentCount</t>
  </si>
  <si>
    <t>=COUNTIFS(RoleAssignments!{{RoleWhenCovering}}, {{RoleId}})</t>
  </si>
  <si>
    <t>Roles.HasNoCurrentHolder</t>
  </si>
  <si>
    <t>={{CurrentlyCoveredAssignmentCount}} = 0</t>
  </si>
  <si>
    <t>Roles.CountOfAwaitedDecisions</t>
  </si>
  <si>
    <t>=COUNTIFS(ChangeRequests!{{AuthorityRole}}, Roles!{{RoleId}})</t>
  </si>
  <si>
    <t>Roles.CurrentAssignment</t>
  </si>
  <si>
    <t>Roles.CurrentAssignmentValidFrom</t>
  </si>
  <si>
    <t>=INDEX(RoleAssignments!{{ValidFrom}}, MATCH({{CurrentAssignment}}, RoleAssignments!{{RoleAssignmentId}}, 0))</t>
  </si>
  <si>
    <t>Roles.IsNonHumanHeld</t>
  </si>
  <si>
    <t>=NOT({{CurrentAgentKind}} = "Human")</t>
  </si>
  <si>
    <t>Roles.IsUngovernedNonHumanRole</t>
  </si>
  <si>
    <t>=AND({{IsNonHumanHeld}}, {{HasNoCurrentHolder}})</t>
  </si>
  <si>
    <t>Roles.DepartedAssignmentCount</t>
  </si>
  <si>
    <t>=COUNTIFS(RoleAssignments!{{DepartedRoleKey}}, {{RoleId}})</t>
  </si>
  <si>
    <t>Roles.HasLostAHolder</t>
  </si>
  <si>
    <t>={{DepartedAssignmentCount}} &gt; 0</t>
  </si>
  <si>
    <t>Roles.IsVacatedRole</t>
  </si>
  <si>
    <t>=AND({{HasLostAHolder}}, {{HasNoCurrentHolder}})</t>
  </si>
  <si>
    <t>Roles.UngroundedBoundaryCount</t>
  </si>
  <si>
    <t>=COUNTIFS(AuthorityBoundaries!{{ConstrainedRoleAssignmentKey}}, {{RoleId}})</t>
  </si>
  <si>
    <t>Roles.IsGovernedByLapsedAuthority</t>
  </si>
  <si>
    <t>=({{UngroundedBoundaryCount}} &gt; 0)</t>
  </si>
  <si>
    <t>Roles.UnescalatedRefusalCount</t>
  </si>
  <si>
    <t>=COUNTIFS(SendIntents!{{UnescalatedRefusalRoleKey}}, {{RoleId}})</t>
  </si>
  <si>
    <t>Roles.UnauthorizedEnforcementAssignmentCount</t>
  </si>
  <si>
    <t>=COUNTIFS(RoleAssignments!{{UnauthorizedEnforcementRoleKey}}, {{RoleId}})</t>
  </si>
  <si>
    <t>Roles.IsUngovernedEnforcementRole</t>
  </si>
  <si>
    <t>=({{UnauthorizedEnforcementAssignmentCount}} &gt; 0)</t>
  </si>
  <si>
    <t>Roles.SemanticTypeIri</t>
  </si>
  <si>
    <t>RoleAssignments.RoleAssignmentId</t>
  </si>
  <si>
    <t>RoleAssignments.Name</t>
  </si>
  <si>
    <t>={{Role}} &amp; " @ " &amp; {{ValidFrom}}</t>
  </si>
  <si>
    <t>RoleAssignments.Role</t>
  </si>
  <si>
    <t>RoleAssignments.Agent</t>
  </si>
  <si>
    <t>RoleAssignments.ValidFrom</t>
  </si>
  <si>
    <t>RoleAssignments.ValidTo</t>
  </si>
  <si>
    <t>RoleAssignments.Reason</t>
  </si>
  <si>
    <t>RoleAssignments.Status</t>
  </si>
  <si>
    <t>RoleAssignments.EvaluationContext</t>
  </si>
  <si>
    <t>RoleAssignments.AsOfInstant</t>
  </si>
  <si>
    <t>=INDEX(EvaluationContexts!{{AsOfInstant}}, MATCH({{EvaluationContext}}, EvaluationContexts!{{EvaluationContextId}}, 0))</t>
  </si>
  <si>
    <t>RoleAssignments.IsCurrent</t>
  </si>
  <si>
    <t>=AND({{ValidFrom}} &lt;= {{AsOfInstant}}, OR({{ValidTo}} = "", {{ValidTo}} &gt; {{AsOfInstant}}))</t>
  </si>
  <si>
    <t>RoleAssignments.CurrentAgentKey</t>
  </si>
  <si>
    <t>=IF({{IsCurrent}}, {{Agent}}, "")</t>
  </si>
  <si>
    <t>RoleAssignments.IsCurrentlyValid</t>
  </si>
  <si>
    <t>=AND({{Status}} = "Active", OR({{ValidTo}} = "", {{ValidTo}} &gt; {{AsOfInstant}}))</t>
  </si>
  <si>
    <t>RoleAssignments.AgentRoleKey</t>
  </si>
  <si>
    <t>=IF({{IsCurrentlyValid}}, {{Agent}} &amp; "|" &amp; {{Role}}, "")</t>
  </si>
  <si>
    <t>RoleAssignments.HasDeparted</t>
  </si>
  <si>
    <t>=AND({{ValidTo}} &lt;&gt; "", {{ValidTo}} &lt;= {{AsOfInstant}})</t>
  </si>
  <si>
    <t>RoleAssignments.CoversNow</t>
  </si>
  <si>
    <t>=AND({{Status}} = "Active", {{ValidFrom}} &lt;= {{AsOfInstant}}, OR({{ValidTo}} = "", {{ValidTo}} &gt; {{AsOfInstant}}))</t>
  </si>
  <si>
    <t>RoleAssignments.RoleWhenCovering</t>
  </si>
  <si>
    <t>=IF({{CoversNow}}, {{Role}}, "")</t>
  </si>
  <si>
    <t>RoleAssignments.AgentKind</t>
  </si>
  <si>
    <t>=INDEX(Agents!{{AgentKind}}, MATCH({{Agent}}, Agents!{{AgentId}}, 0))</t>
  </si>
  <si>
    <t>RoleAssignments.IsNonHumanAssignment</t>
  </si>
  <si>
    <t>RoleAssignments.SupersedesAssignment</t>
  </si>
  <si>
    <t>RoleAssignments.PredecessorAgentKind</t>
  </si>
  <si>
    <t>=INDEX(RoleAssignments!{{AgentKind}}, MATCH({{SupersedesAssignment}}, RoleAssignments!{{RoleAssignmentId}}, 0))</t>
  </si>
  <si>
    <t>RoleAssignments.IsHumanToNonHumanHandover</t>
  </si>
  <si>
    <t>=AND({{PredecessorAgentKind}} = "Human", {{IsNonHumanAssignment}})</t>
  </si>
  <si>
    <t>RoleAssignments.ApprovingAuthorityRole</t>
  </si>
  <si>
    <t>RoleAssignments.AuthorizingChangeRequest</t>
  </si>
  <si>
    <t>RoleAssignments.IsUnauthorizedNonHumanAssignment</t>
  </si>
  <si>
    <t>=AND({{IsNonHumanAssignment}}, NOT({{HasApprovingAuthority}}))</t>
  </si>
  <si>
    <t>RoleAssignments.WasAuthorizedByChangeRequest</t>
  </si>
  <si>
    <t>=AND({{HasApprovingAuthority}}, {{AuthorizingChangeRequest}} &lt;&gt; "")</t>
  </si>
  <si>
    <t>RoleAssignments.DecisionCount</t>
  </si>
  <si>
    <t>=COUNTIFS(AgentDecisionRecords!{{RoleAssignmentWhenScored}}, {{RoleAssignmentId}})</t>
  </si>
  <si>
    <t>RoleAssignments.OverriddenDecisionCount</t>
  </si>
  <si>
    <t>=COUNTIFS(AgentDecisionRecords!{{RoleAssignmentWhenOverridden}}, {{RoleAssignmentId}})</t>
  </si>
  <si>
    <t>RoleAssignments.OverrideRatePercent</t>
  </si>
  <si>
    <t>RoleAssignments.PredecessorOverrideRatePercent</t>
  </si>
  <si>
    <t>=INDEX(RoleAssignments!{{OverrideRatePercent}}, MATCH({{SupersedesAssignment}}, RoleAssignments!{{RoleAssignmentId}}, 0))</t>
  </si>
  <si>
    <t>RoleAssignments.QualityRegressedVsPredecessor</t>
  </si>
  <si>
    <t>=AND({{SupersedesAssignment}} &lt;&gt; "", {{OverrideRatePercent}} &gt; {{PredecessorOverrideRatePercent}})</t>
  </si>
  <si>
    <t>RoleAssignments.DepartedRoleKey</t>
  </si>
  <si>
    <t>=IF({{HasDeparted}}, {{Role}}, "")</t>
  </si>
  <si>
    <t>RoleAssignments.MinimumDecisionsForComparison</t>
  </si>
  <si>
    <t>RoleAssignments.PredecessorDecisionCount</t>
  </si>
  <si>
    <t>=INDEX(RoleAssignments!{{DecisionCount}}, MATCH({{SupersedesAssignment}}, RoleAssignments!{{RoleAssignmentId}}, 0))</t>
  </si>
  <si>
    <t>RoleAssignments.HasSufficientSample</t>
  </si>
  <si>
    <t>={{DecisionCount}} &gt;= {{MinimumDecisionsForComparison}}</t>
  </si>
  <si>
    <t>RoleAssignments.PredecessorHasSufficientSample</t>
  </si>
  <si>
    <t>={{PredecessorDecisionCount}} &gt;= {{MinimumDecisionsForComparison}}</t>
  </si>
  <si>
    <t>RoleAssignments.ComparisonIsEvidentiallySound</t>
  </si>
  <si>
    <t>=AND({{HasSufficientSample}}, {{PredecessorHasSufficientSample}})</t>
  </si>
  <si>
    <t>RoleAssignments.SingleOverrideSwingPercent</t>
  </si>
  <si>
    <t>=IF({{DecisionCount}} &gt; 0, 100 / {{DecisionCount}}, 0)</t>
  </si>
  <si>
    <t>RoleAssignments.QualityVerdictIsUnsupported</t>
  </si>
  <si>
    <t>=AND(NOT({{ComparisonIsEvidentiallySound}}), NOT({{QualityRegressedVsPredecessor}}))</t>
  </si>
  <si>
    <t>RoleAssignments.IsUnmeasuredAutomationHandover</t>
  </si>
  <si>
    <t>=AND({{IsHumanToNonHumanHandover}}, NOT({{ComparisonIsEvidentiallySound}}))</t>
  </si>
  <si>
    <t>RoleAssignments.ErrorCorrectionCount</t>
  </si>
  <si>
    <t>=COUNTIFS(AgentDecisionRecords!{{ErrorCorrectionRoleAssignmentKey}}, {{RoleAssignmentId}})</t>
  </si>
  <si>
    <t>RoleAssignments.ErrorRatePercent</t>
  </si>
  <si>
    <t>=IF({{DecisionCount}} &gt; 0, {{ErrorCorrectionCount}} * 100 / {{DecisionCount}}, 0)</t>
  </si>
  <si>
    <t>RoleAssignments.AuthorizationDecidedAt</t>
  </si>
  <si>
    <t>RoleAssignments.AuthorizationReviewedAt</t>
  </si>
  <si>
    <t>RoleAssignments.AuthorizationReviewCadenceDays</t>
  </si>
  <si>
    <t>RoleAssignments.HasDatedAuthorization</t>
  </si>
  <si>
    <t>=AND({{ApprovingAuthorityRole}} &lt;&gt; "", {{AuthorizationDecidedAt}} &lt;&gt; "")</t>
  </si>
  <si>
    <t>RoleAssignments.DaysSinceAuthorizationReview</t>
  </si>
  <si>
    <t>=IF({{AuthorizationReviewedAt}} &lt;&gt; "", DATETIME_DIFF({{AsOfInstant}}, {{AuthorizationReviewedAt}}, "days"), DATETIME_DIFF({{AsOfInstant}}, {{ValidFrom}}, "days"))</t>
  </si>
  <si>
    <t>RoleAssignments.AuthorizationIsOverdueForReview</t>
  </si>
  <si>
    <t>=AND({{AuthorizationReviewCadenceDays}} &gt; 0, {{DaysSinceAuthorizationReview}} &gt; {{AuthorizationReviewCadenceDays}})</t>
  </si>
  <si>
    <t>RoleAssignments.IsStandingUnreviewedAutomation</t>
  </si>
  <si>
    <t>=AND({{CoversNow}}, AND({{IsNonHumanAssignment}}, {{AuthorizationIsOverdueForReview}}))</t>
  </si>
  <si>
    <t>RoleAssignments.IsUnconditionedAutomationHandover</t>
  </si>
  <si>
    <t>=AND({{IsHumanToNonHumanHandover}}, {{AuthorizationReviewCadenceDays}} = 0)</t>
  </si>
  <si>
    <t>RoleAssignments.MaxTolerableErrorRatePercent</t>
  </si>
  <si>
    <t>RoleAssignments.ExceedsTolerableErrorRate</t>
  </si>
  <si>
    <t>=AND({{MaxTolerableErrorRatePercent}} &gt; 0, {{ErrorRatePercent}} &gt;= {{MaxTolerableErrorRatePercent}})</t>
  </si>
  <si>
    <t>RoleAssignments.BoundaryViolationCountForAssignment</t>
  </si>
  <si>
    <t>=COUNTIFS(AgentDecisionRecords!{{BoundaryViolationRoleAssignmentKey}}, {{RoleAssignmentId}})</t>
  </si>
  <si>
    <t>RoleAssignments.HasAnyBoundaryViolation</t>
  </si>
  <si>
    <t>=({{BoundaryViolationCountForAssignment}} &gt; 0)</t>
  </si>
  <si>
    <t>RoleAssignments.HasUngroundedGoverningBoundary</t>
  </si>
  <si>
    <t>=INDEX(Roles!{{IsGovernedByLapsedAuthority}}, MATCH({{Role}}, Roles!{{RoleId}}, 0))</t>
  </si>
  <si>
    <t>RoleAssignments.SuspensionConditionMet</t>
  </si>
  <si>
    <t>=OR({{ExceedsTolerableErrorRate}}, OR({{HasAnyBoundaryViolation}}, {{HasUngroundedGoverningBoundary}}))</t>
  </si>
  <si>
    <t>RoleAssignments.IsOperatingUnderMetSuspensionCondition</t>
  </si>
  <si>
    <t>=AND({{SuspensionConditionMet}}, AND({{CoversNow}}, {{IsNonHumanAssignment}}))</t>
  </si>
  <si>
    <t>RoleAssignments.HasDeclaredSuspensionCondition</t>
  </si>
  <si>
    <t>={{MaxTolerableErrorRatePercent}} &gt; 0</t>
  </si>
  <si>
    <t>RoleAssignments.HasApprovingAuthority</t>
  </si>
  <si>
    <t>={{ApprovingAuthorityRole}} &lt;&gt; ""</t>
  </si>
  <si>
    <t>RoleAssignments.HasAuthorizingChangeRequest</t>
  </si>
  <si>
    <t>={{AuthorizingChangeRequest}} &lt;&gt; ""</t>
  </si>
  <si>
    <t>RoleAssignments.IsEnforcementRole</t>
  </si>
  <si>
    <t>RoleAssignments.IsUnauthorizedEnforcementAgent</t>
  </si>
  <si>
    <t>=AND({{IsEnforcementRole}}, {{IsUnauthorizedNonHumanAssignment}})</t>
  </si>
  <si>
    <t>RoleAssignments.GovernanceEvidenceCount</t>
  </si>
  <si>
    <t>=IF({{HasApprovingAuthority}}, 1, 0) + IF({{HasAuthorizingChangeRequest}}, 1, 0)</t>
  </si>
  <si>
    <t>RoleAssignments.UnauthorizedEnforcementRoleKey</t>
  </si>
  <si>
    <t>=IF({{IsUnauthorizedNonHumanAssignment}}, {{Role}}, "")</t>
  </si>
  <si>
    <t>RoleAssignments.SemanticTypeIri</t>
  </si>
  <si>
    <t>CommunitiesOfPractice.CommunityOfPracticeId</t>
  </si>
  <si>
    <t>CommunitiesOfPractice</t>
  </si>
  <si>
    <t>CommunitiesOfPractice.Name</t>
  </si>
  <si>
    <t>CommunitiesOfPractice.Label</t>
  </si>
  <si>
    <t>CommunitiesOfPractice.Organization</t>
  </si>
  <si>
    <t>CommunitiesOfPractice.StewardRole</t>
  </si>
  <si>
    <t>CommunitiesOfPractice.Purpose</t>
  </si>
  <si>
    <t>CommunitiesOfPractice.Cadence</t>
  </si>
  <si>
    <t>CommunitiesOfPractice.SemanticTypeIri</t>
  </si>
  <si>
    <t>Mentorships.MentorshipId</t>
  </si>
  <si>
    <t>Mentorships</t>
  </si>
  <si>
    <t>Mentorships.Name</t>
  </si>
  <si>
    <t>={{MentorAgent}} &amp; " -&gt; " &amp; {{LearnerAgent}}</t>
  </si>
  <si>
    <t>Mentorships.CommunityOfPractice</t>
  </si>
  <si>
    <t>Mentorships.MentorAgent</t>
  </si>
  <si>
    <t>Mentorships.LearnerAgent</t>
  </si>
  <si>
    <t>Mentorships.ValidFrom</t>
  </si>
  <si>
    <t>Mentorships.ValidTo</t>
  </si>
  <si>
    <t>Mentorships.LearningObjective</t>
  </si>
  <si>
    <t>Mentorships.EvidenceOfCompletion</t>
  </si>
  <si>
    <t>Mentorships.SemanticTypeIri</t>
  </si>
  <si>
    <t>ProcedureTypes.ProcedureTypeId</t>
  </si>
  <si>
    <t>ProcedureTypes</t>
  </si>
  <si>
    <t>ProcedureTypes.Name</t>
  </si>
  <si>
    <t>ProcedureTypes.Label</t>
  </si>
  <si>
    <t>ProcedureTypes.Definition</t>
  </si>
  <si>
    <t>ProcedureTypes.SemanticTypeIri</t>
  </si>
  <si>
    <t>Procedures.ProcedureId</t>
  </si>
  <si>
    <t>Procedures.Name</t>
  </si>
  <si>
    <t>={{Title}}</t>
  </si>
  <si>
    <t>Procedures.Title</t>
  </si>
  <si>
    <t>Procedures.ProcedureType</t>
  </si>
  <si>
    <t>Procedures.OwnerOrganization</t>
  </si>
  <si>
    <t>Procedures.AdoptedByOrganization</t>
  </si>
  <si>
    <t>Procedures.Purpose</t>
  </si>
  <si>
    <t>Procedures.Target</t>
  </si>
  <si>
    <t>Procedures.IsTemplate</t>
  </si>
  <si>
    <t>Procedures.CurrentVersionKey</t>
  </si>
  <si>
    <t>Procedures.SemanticTypeIri</t>
  </si>
  <si>
    <t>ProcedureVersions.ProcedureVersionId</t>
  </si>
  <si>
    <t>ProcedureVersions.Name</t>
  </si>
  <si>
    <t>ProcedureVersions.Procedure</t>
  </si>
  <si>
    <t>ProcedureVersions.Title</t>
  </si>
  <si>
    <t>ProcedureVersions.Status</t>
  </si>
  <si>
    <t>ProcedureVersions.IssuedAt</t>
  </si>
  <si>
    <t>ProcedureVersions.ModifiedAt</t>
  </si>
  <si>
    <t>ProcedureVersions.CreatedByAgent</t>
  </si>
  <si>
    <t>ProcedureVersions.ModifiedByAgent</t>
  </si>
  <si>
    <t>ProcedureVersions.NewVersionMotivation</t>
  </si>
  <si>
    <t>ProcedureVersions.ChangelogDescription</t>
  </si>
  <si>
    <t>ProcedureVersions.IsCurrent</t>
  </si>
  <si>
    <t>ProcedureVersions.CountOfSteps</t>
  </si>
  <si>
    <t>=COUNTIFS(Steps!{{ProcedureVersion}}, ProcedureVersions!{{ProcedureVersionId}})</t>
  </si>
  <si>
    <t>ProcedureVersions.CountOfOpenKnowledgeGaps</t>
  </si>
  <si>
    <t>=COUNTIFS(KnowledgeGaps!{{ProcedureVersion}}, ProcedureVersions!{{ProcedureVersionId}}, KnowledgeGaps!{{Status}}, "Open")</t>
  </si>
  <si>
    <t>ProcedureVersions.IsReadyForExecution</t>
  </si>
  <si>
    <t>=AND({{Status}} = "Approved", {{CountOfSteps}} &gt; 0, {{CountOfOpenKnowledgeGaps}} = 0)</t>
  </si>
  <si>
    <t>ProcedureVersions.SpecifiedStepCount</t>
  </si>
  <si>
    <t>=COUNTIFS(Steps!{{ProcedureVersion}}, {{ProcedureVersionId}})</t>
  </si>
  <si>
    <t>ProcedureVersions.OverdueReviewCount</t>
  </si>
  <si>
    <t>=COUNTIFS(ReviewEvents!{{OverdueVersionKey}}, {{ProcedureVersionId}})</t>
  </si>
  <si>
    <t>ProcedureVersions.OpenChangeRequestCount</t>
  </si>
  <si>
    <t>=COUNTIFS(ChangeRequests!{{OpenChangeVersionKey}}, {{ProcedureVersionId}})</t>
  </si>
  <si>
    <t>ProcedureVersions.OpenHighSeverityGapCount</t>
  </si>
  <si>
    <t>=COUNTIFS(KnowledgeGaps!{{OpenGapVersionKey}}, {{ProcedureVersionId}})</t>
  </si>
  <si>
    <t>ProcedureVersions.IsFitToExecute</t>
  </si>
  <si>
    <t>=AND({{Status}} = "Approved", {{OverdueReviewCount}} = 0, {{OpenChangeRequestCount}} = 0, {{OpenHighSeverityGapCount}} = 0)</t>
  </si>
  <si>
    <t>ProcedureVersions.StewardReviewCadenceDays</t>
  </si>
  <si>
    <t>=SUMIFS(StewardshipAssignments!{{ReviewCadenceDays}}, StewardshipAssignments!{{ProcedureVersion}}, {{ProcedureVersionId}})</t>
  </si>
  <si>
    <t>ProcedureVersions.CountOfStewardshipAssignments</t>
  </si>
  <si>
    <t>=COUNTIFS(StewardshipAssignments!{{ProcedureVersion}}, ProcedureVersions!{{ProcedureVersionId}})</t>
  </si>
  <si>
    <t>ProcedureVersions.HasAnySteward</t>
  </si>
  <si>
    <t>={{CountOfStewardshipAssignments}} &gt; 0</t>
  </si>
  <si>
    <t>ProcedureVersions.IsLive</t>
  </si>
  <si>
    <t>=OR({{Status}} = "Approved", {{Status}} = "Published")</t>
  </si>
  <si>
    <t>ProcedureVersions.IsUnstewarded</t>
  </si>
  <si>
    <t>=NOT({{HasAnySteward}})</t>
  </si>
  <si>
    <t>ProcedureVersions.IsLiveAndUnstewarded</t>
  </si>
  <si>
    <t>=AND({{IsLive}}, {{IsUnstewarded}})</t>
  </si>
  <si>
    <t>ProcedureVersions.CountOfOpenBlockingGaps</t>
  </si>
  <si>
    <t>=COUNTIFS(KnowledgeGaps!{{IsOpenAndBlocking}}, TRUE)</t>
  </si>
  <si>
    <t>ProcedureVersions.HasOpenBlockingGap</t>
  </si>
  <si>
    <t>={{CountOfOpenBlockingGaps}} &gt; 0</t>
  </si>
  <si>
    <t>ProcedureVersions.IsLiveWithBlockingGap</t>
  </si>
  <si>
    <t>=AND({{IsLive}}, {{HasOpenBlockingGap}})</t>
  </si>
  <si>
    <t>ProcedureVersions.ShouldNotBeExecutable</t>
  </si>
  <si>
    <t>=AND({{IsReadyForExecution}}, {{HasOpenBlockingGap}})</t>
  </si>
  <si>
    <t>ProcedureVersions.CountOfUnapprovedRelianceFragments</t>
  </si>
  <si>
    <t>=COUNTIFS(KnowledgeFragments!{{IsUnapprovedButReliedOn}}, TRUE)</t>
  </si>
  <si>
    <t>ProcedureVersions.RunsOnUnapprovedKnowledge</t>
  </si>
  <si>
    <t>={{CountOfUnapprovedRelianceFragments}} &gt; 0</t>
  </si>
  <si>
    <t>ProcedureVersions.CountOfOverdueGaps</t>
  </si>
  <si>
    <t>=COUNTIFS(KnowledgeGaps!{{IsOverdueGap}}, TRUE)</t>
  </si>
  <si>
    <t>ProcedureVersions.CountOfChangeRequests</t>
  </si>
  <si>
    <t>=COUNTIFS(ChangeRequests!{{ProcedureVersion}}, ProcedureVersions!{{ProcedureVersionId}})</t>
  </si>
  <si>
    <t>ProcedureVersions.CountOfReviewEvents</t>
  </si>
  <si>
    <t>=COUNTIFS(ReviewEvents!{{ProcedureVersion}}, ProcedureVersions!{{ProcedureVersionId}})</t>
  </si>
  <si>
    <t>ProcedureVersions.HasGovernanceRecord</t>
  </si>
  <si>
    <t>=OR({{CountOfChangeRequests}} &gt; 0, {{CountOfReviewEvents}} &gt; 0)</t>
  </si>
  <si>
    <t>ProcedureVersions.EvaluationContext</t>
  </si>
  <si>
    <t>ProcedureVersions.AsOfInstant</t>
  </si>
  <si>
    <t>ProcedureVersions.DaysSinceModified</t>
  </si>
  <si>
    <t>=DATETIME_DIFF({{AsOfInstant}}, {{ModifiedAt}}, "days")</t>
  </si>
  <si>
    <t>ProcedureVersions.DaysSinceLastReview</t>
  </si>
  <si>
    <t>=DATETIME_DIFF({{AsOfInstant}}, MAXIFS(ReviewEvents!{{ReviewedAt}}, ReviewEvents!{{ProcedureVersion}}, ProcedureVersions!{{ProcedureVersionId}}), "days")</t>
  </si>
  <si>
    <t>ProcedureVersions.WasModifiedSinceLastReview</t>
  </si>
  <si>
    <t>={{DaysSinceModified}} &lt; {{DaysSinceLastReview}}</t>
  </si>
  <si>
    <t>ProcedureVersions.ModifierIsAuthority</t>
  </si>
  <si>
    <t>=INDEX(Agents!{{AgentKind}}, MATCH({{ModifiedByAgent}}, Agents!{{AgentId}}, 0))</t>
  </si>
  <si>
    <t>ProcedureVersions.HasUnwitnessedChange</t>
  </si>
  <si>
    <t>=AND({{IsLive}}, {{WasModifiedSinceLastReview}})</t>
  </si>
  <si>
    <t>ProcedureVersions.CountOfStaleFragments</t>
  </si>
  <si>
    <t>=COUNTIFS(KnowledgeFragments!{{ExceedsOwningCadence}}, TRUE)</t>
  </si>
  <si>
    <t>ProcedureVersions.KnowledgeIsStalerThanCadence</t>
  </si>
  <si>
    <t>={{CountOfStaleFragments}} &gt; 0</t>
  </si>
  <si>
    <t>ProcedureVersions.CompoundFragileFragmentCount</t>
  </si>
  <si>
    <t>=COUNTIFS(KnowledgeFragments!{{CompoundFragileVersionKey}}, {{ProcedureVersionId}})</t>
  </si>
  <si>
    <t>ProcedureVersions.RestsOnCompoundFragileKnowledge</t>
  </si>
  <si>
    <t>=AND({{IsLive}}, {{CompoundFragileFragmentCount}} &gt; 0)</t>
  </si>
  <si>
    <t>ProcedureVersions.ConcentratedWitnessSessionCount</t>
  </si>
  <si>
    <t>=COUNTIFS(ElicitationSessions!{{ConcentratedSessionVersionKey}}, {{ProcedureVersionId}})</t>
  </si>
  <si>
    <t>ProcedureVersions.KnowledgeBaseIsConcentrated</t>
  </si>
  <si>
    <t>=AND({{IsLive}}, {{ConcentratedWitnessSessionCount}} &gt; 0)</t>
  </si>
  <si>
    <t>ProcedureVersions.MachineConsumedUnapprovedCount</t>
  </si>
  <si>
    <t>=COUNTIFS(KnowledgeFragments!{{MachineConsumedUnapprovedVersionKey}}, {{ProcedureVersionId}})</t>
  </si>
  <si>
    <t>ProcedureVersions.FeedsUnapprovedKnowledgeToMachines</t>
  </si>
  <si>
    <t>=AND({{IsLive}}, {{MachineConsumedUnapprovedCount}} &gt; 0)</t>
  </si>
  <si>
    <t>ProcedureVersions.GenuinelyOverdueFragmentCount</t>
  </si>
  <si>
    <t>=COUNTIFS(KnowledgeFragments!{{GenuinelyOverdueVersionKey}}, {{ProcedureVersionId}})</t>
  </si>
  <si>
    <t>ProcedureVersions.AwaitedDecisionCount</t>
  </si>
  <si>
    <t>=COUNTIFS(ChangeRequests!{{BacklogVersionKey}}, {{ProcedureVersionId}})</t>
  </si>
  <si>
    <t>ProcedureVersions.ScopedOpenBlockingGapCount</t>
  </si>
  <si>
    <t>=COUNTIFS(KnowledgeGaps!{{OpenBlockingGapVersionKey}}, {{ProcedureVersionId}})</t>
  </si>
  <si>
    <t>ProcedureVersions.IsBlockedOnPendingDecision</t>
  </si>
  <si>
    <t>=AND({{AwaitedDecisionCount}} &gt; 0, {{ScopedOpenBlockingGapCount}} &gt; 0)</t>
  </si>
  <si>
    <t>ProcedureVersions.UnexercisedHumanGateCount</t>
  </si>
  <si>
    <t>=COUNTIFS(Steps!{{UnexercisedGateVersionKey}}, {{ProcedureVersionId}})</t>
  </si>
  <si>
    <t>ProcedureVersions.AiBoundaryIsUnevidenced</t>
  </si>
  <si>
    <t>=AND({{IsLive}}, {{UnexercisedHumanGateCount}} &gt; 0)</t>
  </si>
  <si>
    <t>ProcedureVersions.LoadBearingUnapprovedCount</t>
  </si>
  <si>
    <t>=COUNTIFS(KnowledgeFragments!{{UnapprovedLoadBearingVersionKey}}, {{ProcedureVersionId}})</t>
  </si>
  <si>
    <t>ProcedureVersions.UnlandedDecisionCount</t>
  </si>
  <si>
    <t>=COUNTIFS(ChangeRequests!{{UnlandedVersionKey}}, {{ProcedureVersionId}})</t>
  </si>
  <si>
    <t>ProcedureVersions.UnrehearsedControlEntryCount</t>
  </si>
  <si>
    <t>=COUNTIFS(StepTransitions!{{UnrehearsedControlVersionKey}}, {{ProcedureVersionId}})</t>
  </si>
  <si>
    <t>ProcedureVersions.HasUnrehearsedControlEntry</t>
  </si>
  <si>
    <t>={{UnrehearsedControlEntryCount}} &gt; 0</t>
  </si>
  <si>
    <t>ProcedureVersions.IsLiveWithUnrehearsedControl</t>
  </si>
  <si>
    <t>=AND({{IsLive}}, {{HasUnrehearsedControlEntry}})</t>
  </si>
  <si>
    <t>ProcedureVersions.CadenceBreachCount</t>
  </si>
  <si>
    <t>=COUNTIFS(ReviewEvents!{{CadenceBreachVersionKey}}, {{ProcedureVersionId}})</t>
  </si>
  <si>
    <t>ProcedureVersions.IsInCadenceBreach</t>
  </si>
  <si>
    <t>={{CadenceBreachCount}} &gt; 0</t>
  </si>
  <si>
    <t>ProcedureVersions.HasDecisionInFlight</t>
  </si>
  <si>
    <t>={{OpenChangeRequestCount}} &gt; 0</t>
  </si>
  <si>
    <t>ProcedureVersions.IsUnremediatedCadenceBreach</t>
  </si>
  <si>
    <t>=AND({{IsInCadenceBreach}}, NOT({{HasDecisionInFlight}}))</t>
  </si>
  <si>
    <t>ProcedureVersions.IsManagedCadenceBreach</t>
  </si>
  <si>
    <t>=AND({{IsInCadenceBreach}}, {{HasDecisionInFlight}})</t>
  </si>
  <si>
    <t>ProcedureVersions.GovernanceIsSilent</t>
  </si>
  <si>
    <t>=AND({{IsLive}}, NOT({{HasGovernanceRecord}}))</t>
  </si>
  <si>
    <t>ProcedureVersions.ValidFragmentCount</t>
  </si>
  <si>
    <t>=COUNTIFS(KnowledgeFragments!{{ValidFragmentVersionKey}}, {{ProcedureVersionId}})</t>
  </si>
  <si>
    <t>ProcedureVersions.StillOwnsValidKnowledge</t>
  </si>
  <si>
    <t>={{ValidFragmentCount}} &gt; 0</t>
  </si>
  <si>
    <t>ProcedureVersions.IncomingSupersessionCount</t>
  </si>
  <si>
    <t>=COUNTIFS(ProcedureVersionLinks!{{SupersededVersionKey}}, {{ProcedureVersionId}})</t>
  </si>
  <si>
    <t>ProcedureVersions.IsStillReferenced</t>
  </si>
  <si>
    <t>={{IncomingSupersessionCount}} &gt; 0</t>
  </si>
  <si>
    <t>ProcedureVersions.IsLoadBearingOrphan</t>
  </si>
  <si>
    <t>=AND({{IsUnstewarded}}, OR({{StillOwnsValidKnowledge}}, {{IsStillReferenced}}))</t>
  </si>
  <si>
    <t>ProcedureVersions.IsCleanlyRetired</t>
  </si>
  <si>
    <t>=AND({{IsUnstewarded}}, NOT({{StillOwnsValidKnowledge}}), NOT({{IsStillReferenced}}))</t>
  </si>
  <si>
    <t>ProcedureVersions.StalledImplementationCount</t>
  </si>
  <si>
    <t>=COUNTIFS(ChangeRequests!{{StalledImplementationVersionKey}}, {{ProcedureVersionId}})</t>
  </si>
  <si>
    <t>ProcedureVersions.IsHeldUnfitByLandedDecisions</t>
  </si>
  <si>
    <t>=AND(NOT({{IsFitToExecute}}), {{StalledImplementationCount}} &gt; 0)</t>
  </si>
  <si>
    <t>ProcedureVersions.UndeclaredControlKindCount</t>
  </si>
  <si>
    <t>=COUNTIFS(Steps!{{UndeclaredControlVersionKey}}, {{ProcedureVersionId}})</t>
  </si>
  <si>
    <t>ProcedureVersions.ControlTaxonomyIsIncomplete</t>
  </si>
  <si>
    <t>={{UndeclaredControlKindCount}} &gt; 0</t>
  </si>
  <si>
    <t>ProcedureVersions.HasApprovedChangeRequest</t>
  </si>
  <si>
    <t>={{ApprovedChangeRequestCount}} &gt; 0</t>
  </si>
  <si>
    <t>ProcedureVersions.ApprovedChangeRequestCount</t>
  </si>
  <si>
    <t>=COUNTIFS(ChangeRequests!{{ApprovedVersionKey}}, {{ProcedureVersionId}})</t>
  </si>
  <si>
    <t>ProcedureVersions.UnwatchedUnownedControlCount</t>
  </si>
  <si>
    <t>=COUNTIFS(Requirements!{{UnwatchedUnownedFlag}}, "unwatched-unowned")</t>
  </si>
  <si>
    <t>ProcedureVersions.MiningRunCount</t>
  </si>
  <si>
    <t>=COUNTIFS(ProcessMiningRuns!{{ProcedureVersion}}, {{ProcedureVersionId}})</t>
  </si>
  <si>
    <t>ProcedureVersions.DriftedMiningRunCount</t>
  </si>
  <si>
    <t>=COUNTIFS(ProcessMiningRuns!{{DriftedMiningRunKey}}, {{ProcedureVersionId}})</t>
  </si>
  <si>
    <t>ProcedureVersions.HasUnresolvedMiningDrift</t>
  </si>
  <si>
    <t>={{DriftedMiningRunCount}} &gt; 0</t>
  </si>
  <si>
    <t>ProcedureVersions.SemanticTypeIri</t>
  </si>
  <si>
    <t>ProcedureVersionLinks.ProcedureVersionLinkId</t>
  </si>
  <si>
    <t>ProcedureVersionLinks</t>
  </si>
  <si>
    <t>ProcedureVersionLinks.Name</t>
  </si>
  <si>
    <t>={{PreviousProcedureVersion}} &amp; " -&gt; " &amp; {{NextProcedureVersion}}</t>
  </si>
  <si>
    <t>ProcedureVersionLinks.PreviousProcedureVersion</t>
  </si>
  <si>
    <t>ProcedureVersionLinks.NextProcedureVersion</t>
  </si>
  <si>
    <t>ProcedureVersionLinks.RelationIri</t>
  </si>
  <si>
    <t>ProcedureVersionLinks.ChangeSummary</t>
  </si>
  <si>
    <t>ProcedureVersionLinks.SupersededVersionKey</t>
  </si>
  <si>
    <t>=IF({{RelationIri}} = "https://w3id.org/pko#nextVersion", {{PreviousProcedureVersion}}, "")</t>
  </si>
  <si>
    <t>ProcedureStatusChanges.ProcedureStatusChangeId</t>
  </si>
  <si>
    <t>ProcedureStatusChanges.Name</t>
  </si>
  <si>
    <t>={{ProcedureVersion}} &amp; ": " &amp; {{FromStatus}} &amp; " -&gt; " &amp; {{ToStatus}}</t>
  </si>
  <si>
    <t>ProcedureStatusChanges.ProcedureVersion</t>
  </si>
  <si>
    <t>ProcedureStatusChanges.FromStatus</t>
  </si>
  <si>
    <t>ProcedureStatusChanges.ToStatus</t>
  </si>
  <si>
    <t>ProcedureStatusChanges.ChangedAt</t>
  </si>
  <si>
    <t>ProcedureStatusChanges.ChangedByAgent</t>
  </si>
  <si>
    <t>ProcedureStatusChanges.Motivation</t>
  </si>
  <si>
    <t>ProcedureStatusChanges.SemanticTypeIri</t>
  </si>
  <si>
    <t>Steps.StepId</t>
  </si>
  <si>
    <t>Steps.Name</t>
  </si>
  <si>
    <t>={{StepNumber}} &amp; ". " &amp; {{Title}}</t>
  </si>
  <si>
    <t>Steps.ProcedureVersion</t>
  </si>
  <si>
    <t>Steps.StepNumber</t>
  </si>
  <si>
    <t>Steps.Title</t>
  </si>
  <si>
    <t>Steps.StepKind</t>
  </si>
  <si>
    <t>Steps.AssignedRole</t>
  </si>
  <si>
    <t>Steps.AssignedRoleLabel</t>
  </si>
  <si>
    <t>=INDEX(Roles!{{Label}}, MATCH({{AssignedRole}}, Roles!{{RoleId}}, 0))</t>
  </si>
  <si>
    <t>Steps.AssignedAgentKind</t>
  </si>
  <si>
    <t>=INDEX(Roles!{{CurrentAgentKind}}, MATCH({{AssignedRole}}, Roles!{{RoleId}}, 0))</t>
  </si>
  <si>
    <t>Steps.Instruction</t>
  </si>
  <si>
    <t>Steps.ExpectedDurationMinutes</t>
  </si>
  <si>
    <t>Steps.ExpertiseLevel</t>
  </si>
  <si>
    <t>Steps.RequiresHumanConfirmation</t>
  </si>
  <si>
    <t>Steps.BlockingRequirementCount</t>
  </si>
  <si>
    <t>=COUNTIFS(StepRequirements!{{BlockingStepKey}}, {{StepId}})</t>
  </si>
  <si>
    <t>Steps.StaleBindingCount</t>
  </si>
  <si>
    <t>=COUNTIFS(OperationalBindings!{{StaleBindingStepKey}}, {{StepId}})</t>
  </si>
  <si>
    <t>Steps.AuthoritativeStaleCount</t>
  </si>
  <si>
    <t>=COUNTIFS(OperationalBindings!{{AuthoritativeStaleStepKey}}, {{StepId}})</t>
  </si>
  <si>
    <t>Steps.AvailableExceptionCount</t>
  </si>
  <si>
    <t>=COUNTIFS(Exceptions!{{ActiveExceptionStepKey}}, {{StepId}})</t>
  </si>
  <si>
    <t>Steps.DeclaredVerificationCount</t>
  </si>
  <si>
    <t>=COUNTIFS(StepVerifications!{{Step}}, {{StepId}})</t>
  </si>
  <si>
    <t>Steps.IsPreparationStep</t>
  </si>
  <si>
    <t>=OR({{AssignedRole}} = "finance-analyst", {{AssignedRole}} = "variance-review-agent")</t>
  </si>
  <si>
    <t>Steps.IsApprovalStep</t>
  </si>
  <si>
    <t>=OR({{AssignedRole}} = "controller", {{AssignedRole}} = "cfo")</t>
  </si>
  <si>
    <t>Steps.StaleAuthoritativeBindingCount</t>
  </si>
  <si>
    <t>=COUNTIFS(OperationalBindings!{{StepWhenStale}}, {{StepId}})</t>
  </si>
  <si>
    <t>Steps.InputsAreFresh</t>
  </si>
  <si>
    <t>={{StaleAuthoritativeBindingCount}} = 0</t>
  </si>
  <si>
    <t>Steps.IsSoftwareAssigned</t>
  </si>
  <si>
    <t>=OR({{AssignedAgentKind}} = "AIAgent", {{AssignedAgentKind}} = "AutomatedPipeline")</t>
  </si>
  <si>
    <t>Steps.IsHumanApprovalGate</t>
  </si>
  <si>
    <t>=AND(NOT({{IsSoftwareAssigned}}), OR({{StepId}} = "policy-05", {{StepId}} = "close-06"))</t>
  </si>
  <si>
    <t>Steps.GateHeldByHuman</t>
  </si>
  <si>
    <t>=AND({{IsHumanApprovalGate}}, {{AssignedAgentKind}} = "Human")</t>
  </si>
  <si>
    <t>Steps.BindingBoundaryCount</t>
  </si>
  <si>
    <t>=COUNTIFS(AuthorityBoundaries!{{StepWhenBinding}}, {{StepId}})</t>
  </si>
  <si>
    <t>Steps.AssignedRoleIsUngoverned</t>
  </si>
  <si>
    <t>=INDEX(Roles!{{IsUngovernedNonHumanRole}}, MATCH({{AssignedRole}}, Roles!{{RoleId}}, 0))</t>
  </si>
  <si>
    <t>Steps.UnusableBindingCount</t>
  </si>
  <si>
    <t>=COUNTIFS(OperationalBindings!{{StepWhenUnusable}}, {{StepId}})</t>
  </si>
  <si>
    <t>Steps.AllSourcesUsable</t>
  </si>
  <si>
    <t>={{UnusableBindingCount}} = 0</t>
  </si>
  <si>
    <t>Steps.ControlKind</t>
  </si>
  <si>
    <t>Steps.UnwarrantedBoundaryCount</t>
  </si>
  <si>
    <t>=COUNTIFS(AuthorityBoundaries!{{UnwarrantedBoundaryStepKey}}, {{StepId}})</t>
  </si>
  <si>
    <t>Steps.IsGovernedByUnwarrantedBoundary</t>
  </si>
  <si>
    <t>={{UnwarrantedBoundaryCount}} &gt; 0</t>
  </si>
  <si>
    <t>Steps.SoftwareExecutionCount</t>
  </si>
  <si>
    <t>=COUNTIFS(StepExecutions!{{SoftwareExecutionStepKey}}, {{StepId}})</t>
  </si>
  <si>
    <t>Steps.HasBeenApproachedBySoftware</t>
  </si>
  <si>
    <t>={{SoftwareExecutionCount}} &gt; 0</t>
  </si>
  <si>
    <t>Steps.IsUnexercisedHumanGate</t>
  </si>
  <si>
    <t>=AND({{IsHumanApprovalGate}}, NOT({{HasBeenApproachedBySoftware}}))</t>
  </si>
  <si>
    <t>Steps.IsDemonstratedHumanGate</t>
  </si>
  <si>
    <t>=AND({{IsHumanApprovalGate}}, {{HasBeenApproachedBySoftware}}, {{GateHeldByHuman}})</t>
  </si>
  <si>
    <t>Steps.UnexercisedGateVersionKey</t>
  </si>
  <si>
    <t>=IF({{IsUnexercisedHumanGate}}, {{ProcedureVersion}}, "")</t>
  </si>
  <si>
    <t>Steps.HasDeclaredControlKind</t>
  </si>
  <si>
    <t>={{ControlKind}} &lt;&gt; ""</t>
  </si>
  <si>
    <t>Steps.UndeclaredControlVersionKey</t>
  </si>
  <si>
    <t>=IF({{HasDeclaredControlKind}}, "", {{ProcedureVersion}})</t>
  </si>
  <si>
    <t>Steps.ApprovalStepIsSoftwareAssigned</t>
  </si>
  <si>
    <t>=AND({{ControlKind}} = "Approval", {{IsSoftwareAssigned}})</t>
  </si>
  <si>
    <t>Steps.UnwitnessedBlockingCount</t>
  </si>
  <si>
    <t>=COUNTIFS(StepRequirements!{{UnwitnessedStepKey}}, {{StepId}})</t>
  </si>
  <si>
    <t>Steps.SemanticTypeIri</t>
  </si>
  <si>
    <t>StepTransitions.StepTransitionId</t>
  </si>
  <si>
    <t>StepTransitions.Name</t>
  </si>
  <si>
    <t>={{FromStep}} &amp; " -&gt; " &amp; {{ToStep}}</t>
  </si>
  <si>
    <t>StepTransitions.ProcedureVersion</t>
  </si>
  <si>
    <t>StepTransitions.TransitionKind</t>
  </si>
  <si>
    <t>StepTransitions.Condition</t>
  </si>
  <si>
    <t>StepTransitions.Priority</t>
  </si>
  <si>
    <t>StepTransitions.IsRecoveryPath</t>
  </si>
  <si>
    <t>=OR({{TransitionKind}} = "Fallback", {{TransitionKind}} = "Alternative")</t>
  </si>
  <si>
    <t>StepTransitions.CountOfFromStepExecutions</t>
  </si>
  <si>
    <t>=COUNTIFS(StepExecutions!{{Step}}, StepTransitions!{{FromStep}})</t>
  </si>
  <si>
    <t>StepTransitions.CountOfToStepExecutions</t>
  </si>
  <si>
    <t>=COUNTIFS(StepExecutions!{{Step}}, StepTransitions!{{ToStep}})</t>
  </si>
  <si>
    <t>StepTransitions.HasReachableOrigin</t>
  </si>
  <si>
    <t>={{CountOfFromStepExecutions}} &gt; 0</t>
  </si>
  <si>
    <t>StepTransitions.HasReachableTarget</t>
  </si>
  <si>
    <t>={{CountOfToStepExecutions}} &gt; 0</t>
  </si>
  <si>
    <t>StepTransitions.IsNeverExercised</t>
  </si>
  <si>
    <t>=NOT(AND({{HasReachableOrigin}}, {{HasReachableTarget}}))</t>
  </si>
  <si>
    <t>StepTransitions.IsUntestedRecoveryPath</t>
  </si>
  <si>
    <t>=AND({{IsRecoveryPath}}, {{IsNeverExercised}})</t>
  </si>
  <si>
    <t>StepTransitions.CountOfObservedTraversals</t>
  </si>
  <si>
    <t>=COUNTIFS(ObservedTransitions!{{StepTransition}}, StepTransitions!{{StepTransitionId}})</t>
  </si>
  <si>
    <t>StepTransitions.HasBeenTraversed</t>
  </si>
  <si>
    <t>={{CountOfObservedTraversals}} &gt; 0</t>
  </si>
  <si>
    <t>StepTransitions.IsUnwalkedRecoveryPath</t>
  </si>
  <si>
    <t>=AND({{IsRecoveryPath}}, NOT({{HasBeenTraversed}}))</t>
  </si>
  <si>
    <t>StepTransitions.TargetBlockingRequirementCount</t>
  </si>
  <si>
    <t>=INDEX(Steps!{{BlockingRequirementCount}}, MATCH({{ToStep}}, Steps!{{StepId}}, 0))</t>
  </si>
  <si>
    <t>StepTransitions.TargetCarriesBlockingControl</t>
  </si>
  <si>
    <t>={{TargetBlockingRequirementCount}} &gt; 0</t>
  </si>
  <si>
    <t>StepTransitions.IsUnrehearsedControlEntry</t>
  </si>
  <si>
    <t>=AND({{IsUnwalkedRecoveryPath}}, {{TargetCarriesBlockingControl}})</t>
  </si>
  <si>
    <t>StepTransitions.UnrehearsedControlVersionKey</t>
  </si>
  <si>
    <t>=IF({{IsUnrehearsedControlEntry}}, {{ProcedureVersion}}, "")</t>
  </si>
  <si>
    <t>StepTransitions.SemanticTypeIri</t>
  </si>
  <si>
    <t>Actions.ActionId</t>
  </si>
  <si>
    <t>Actions.Name</t>
  </si>
  <si>
    <t>Actions.Label</t>
  </si>
  <si>
    <t>Actions.Definition</t>
  </si>
  <si>
    <t>Actions.SemanticTypeIri</t>
  </si>
  <si>
    <t>Functions.FunctionId</t>
  </si>
  <si>
    <t>Functions.Name</t>
  </si>
  <si>
    <t>Functions.Label</t>
  </si>
  <si>
    <t>Functions.Definition</t>
  </si>
  <si>
    <t>Functions.ImplementationKey</t>
  </si>
  <si>
    <t>Functions.SemanticTypeIri</t>
  </si>
  <si>
    <t>Tools.ToolId</t>
  </si>
  <si>
    <t>Tools.Name</t>
  </si>
  <si>
    <t>Tools.Label</t>
  </si>
  <si>
    <t>Tools.Purpose</t>
  </si>
  <si>
    <t>Tools.SemanticTypeIri</t>
  </si>
  <si>
    <t>StepActions.StepActionId</t>
  </si>
  <si>
    <t>StepActions</t>
  </si>
  <si>
    <t>StepActions.Name</t>
  </si>
  <si>
    <t>={{Step}} &amp; " / " &amp; {{Action}}</t>
  </si>
  <si>
    <t>StepActions.Step</t>
  </si>
  <si>
    <t>StepActions.Action</t>
  </si>
  <si>
    <t>StepFunctions.StepFunctionId</t>
  </si>
  <si>
    <t>StepFunctions</t>
  </si>
  <si>
    <t>StepFunctions.Name</t>
  </si>
  <si>
    <t>={{Step}} &amp; " / " &amp; {{Function}}</t>
  </si>
  <si>
    <t>StepFunctions.Step</t>
  </si>
  <si>
    <t>StepFunctions.Function</t>
  </si>
  <si>
    <t>StepTools.StepToolId</t>
  </si>
  <si>
    <t>StepTools</t>
  </si>
  <si>
    <t>StepTools.Name</t>
  </si>
  <si>
    <t>={{Step}} &amp; " / " &amp; {{Tool}}</t>
  </si>
  <si>
    <t>StepTools.Step</t>
  </si>
  <si>
    <t>StepTools.Tool</t>
  </si>
  <si>
    <t>Requirements.RequirementId</t>
  </si>
  <si>
    <t>Requirements.Name</t>
  </si>
  <si>
    <t>Requirements.Label</t>
  </si>
  <si>
    <t>Requirements.RequirementType</t>
  </si>
  <si>
    <t>Requirements.Statement</t>
  </si>
  <si>
    <t>Requirements.Rationale</t>
  </si>
  <si>
    <t>Requirements.IsBlocking</t>
  </si>
  <si>
    <t>Requirements.SatisfactionRecordCount</t>
  </si>
  <si>
    <t>=COUNTIFS(RequirementSatisfactions!{{Requirement}}, {{RequirementId}})</t>
  </si>
  <si>
    <t>Requirements.StepBindingCount</t>
  </si>
  <si>
    <t>=COUNTIFS(StepRequirements!{{Requirement}}, {{RequirementId}})</t>
  </si>
  <si>
    <t>Requirements.IsBoundToAnyStep</t>
  </si>
  <si>
    <t>={{StepBindingCount}} &gt; 0</t>
  </si>
  <si>
    <t>Requirements.HasEverBeenEvaluated</t>
  </si>
  <si>
    <t>={{SatisfactionRecordCount}} &gt; 0</t>
  </si>
  <si>
    <t>Requirements.NegativeOutcomeCount</t>
  </si>
  <si>
    <t>=COUNTIFS(RequirementSatisfactions!{{NegativeOutcomeRequirementKey}}, {{RequirementId}})</t>
  </si>
  <si>
    <t>Requirements.IsInoperativeControl</t>
  </si>
  <si>
    <t>=AND({{IsBlocking}}, {{IsBoundToAnyStep}}, NOT({{HasEverBeenEvaluated}}))</t>
  </si>
  <si>
    <t>Requirements.IsDecorativeControl</t>
  </si>
  <si>
    <t>=AND({{IsBlocking}}, NOT({{IsBoundToAnyStep}}))</t>
  </si>
  <si>
    <t>Requirements.HasComputedWitness</t>
  </si>
  <si>
    <t>Requirements.WitnessFieldName</t>
  </si>
  <si>
    <t>Requirements.HasEverProducedNegative</t>
  </si>
  <si>
    <t>={{NegativeOutcomeCount}} &gt; 0</t>
  </si>
  <si>
    <t>Requirements.IsUnfalsifiedControl</t>
  </si>
  <si>
    <t>=AND({{IsBlocking}}, {{HasEverBeenEvaluated}}, NOT({{HasEverProducedNegative}}))</t>
  </si>
  <si>
    <t>Requirements.ClaimsAWitnessField</t>
  </si>
  <si>
    <t>={{WitnessFieldName}} &lt;&gt; ""</t>
  </si>
  <si>
    <t>Requirements.NamedWitnessFieldExists</t>
  </si>
  <si>
    <t>=INDEX(RulebookFields!{{IsDerived}}, MATCH({{WitnessFieldName}}, RulebookFields!{{RulebookFieldId}}, 0))</t>
  </si>
  <si>
    <t>Requirements.DerivedHasComputedWitness</t>
  </si>
  <si>
    <t>=AND({{ClaimsAWitnessField}}, {{NamedWitnessFieldExists}})</t>
  </si>
  <si>
    <t>Requirements.WitnessClaimIsUnverified</t>
  </si>
  <si>
    <t>=NOT({{HasComputedWitness}} = {{DerivedHasComputedWitness}})</t>
  </si>
  <si>
    <t>Requirements.IsUnwitnessedBlockingControl</t>
  </si>
  <si>
    <t>=AND({{IsBlocking}}, NOT({{DerivedHasComputedWitness}}))</t>
  </si>
  <si>
    <t>Requirements.WitnessFireCount</t>
  </si>
  <si>
    <t>={{NegativeOutcomeCount}}</t>
  </si>
  <si>
    <t>Requirements.WitnessHasNeverFired</t>
  </si>
  <si>
    <t>=AND({{HasComputedWitness}}, {{WitnessFireCount}} = 0)</t>
  </si>
  <si>
    <t>Requirements.EvaluationSampleSize</t>
  </si>
  <si>
    <t>={{SatisfactionRecordCount}}</t>
  </si>
  <si>
    <t>Requirements.HasMeaningfulSample</t>
  </si>
  <si>
    <t>={{EvaluationSampleSize}} &gt;= {{MinimumSampleForAssurance}}</t>
  </si>
  <si>
    <t>Requirements.MinimumSampleForAssurance</t>
  </si>
  <si>
    <t>Requirements.IsUntestedWitness</t>
  </si>
  <si>
    <t>=AND({{WitnessHasNeverFired}}, NOT({{HasMeaningfulSample}}))</t>
  </si>
  <si>
    <t>Requirements.IsEvidencedHoldingControl</t>
  </si>
  <si>
    <t>=AND({{WitnessHasNeverFired}}, {{HasMeaningfulSample}})</t>
  </si>
  <si>
    <t>Requirements.ControlAssuranceState</t>
  </si>
  <si>
    <t>=IF(NOT({{IsBoundToAnyStep}}), "Decorative", IF(NOT({{HasEverBeenEvaluated}}), "Inoperative", IF(NOT({{HasComputedWitness}}), "Asserted", IF({{WitnessFireCount}} &gt; 0, "Demonstrated", IF({{HasMeaningfulSample}}, "Holding", "Untested")))))</t>
  </si>
  <si>
    <t>Requirements.UnexercisedBindingCount</t>
  </si>
  <si>
    <t>=COUNTIFS(StepRequirements!{{UnexercisedBindingRequirementKey}}, {{RequirementId}})</t>
  </si>
  <si>
    <t>Requirements.WitnessIsPartiallyScoped</t>
  </si>
  <si>
    <t>=AND({{HasComputedWitness}}, {{UnexercisedBindingCount}} &gt; 0)</t>
  </si>
  <si>
    <t>Requirements.AccountableRole</t>
  </si>
  <si>
    <t>Requirements.AccountableAgent</t>
  </si>
  <si>
    <t>=INDEX(Roles!{{CurrentAgent}}, MATCH({{AccountableRole}}, Roles!{{RoleId}}, 0))</t>
  </si>
  <si>
    <t>Requirements.HasNamedOwner</t>
  </si>
  <si>
    <t>={{AccountableRole}} &lt;&gt; ""</t>
  </si>
  <si>
    <t>Requirements.IsOrphanedBlockingControl</t>
  </si>
  <si>
    <t>=AND({{IsBlocking}}, NOT({{HasNamedOwner}}))</t>
  </si>
  <si>
    <t>Requirements.IsUnwatchedAndUnowned</t>
  </si>
  <si>
    <t>=AND({{IsBlocking}}, NOT({{HasComputedWitness}}), NOT({{HasNamedOwner}}))</t>
  </si>
  <si>
    <t>Requirements.AttestationExposureNote</t>
  </si>
  <si>
    <t>=IF(NOT({{IsBlocking}}), "", IF({{IsUnwatchedAndUnowned}}, "Unwatched and unowned: exposure defaults to the signatory.", IF({{IsOrphanedBlockingControl}}, "Witnessed but unowned: no named accountability.", IF(NOT({{HasComputedWitness}}), "Owned but unwitnessed: rests on human judgement.", ""))))</t>
  </si>
  <si>
    <t>Requirements.UnwatchedUnownedFlag</t>
  </si>
  <si>
    <t>=IF({{IsUnwatchedAndUnowned}}, "unwatched-unowned", "")</t>
  </si>
  <si>
    <t>Requirements.ControlledTerm</t>
  </si>
  <si>
    <t>Requirements.UsesControlledVocabulary</t>
  </si>
  <si>
    <t>={{ControlledTerm}} &lt;&gt; ""</t>
  </si>
  <si>
    <t>Requirements.SemanticTypeIri</t>
  </si>
  <si>
    <t>StepRequirements.StepRequirementId</t>
  </si>
  <si>
    <t>StepRequirements</t>
  </si>
  <si>
    <t>StepRequirements.Name</t>
  </si>
  <si>
    <t>={{Step}} &amp; " / " &amp; {{Requirement}}</t>
  </si>
  <si>
    <t>StepRequirements.Step</t>
  </si>
  <si>
    <t>StepRequirements.Requirement</t>
  </si>
  <si>
    <t>StepRequirements.RequirementIsBlocking</t>
  </si>
  <si>
    <t>=INDEX(Requirements!{{IsBlocking}}, MATCH({{Requirement}}, Requirements!{{RequirementId}}, 0))</t>
  </si>
  <si>
    <t>StepRequirements.BlockingStepKey</t>
  </si>
  <si>
    <t>=IF({{RequirementIsBlocking}}, {{Step}}, "")</t>
  </si>
  <si>
    <t>StepRequirements.StepWhenBlocking</t>
  </si>
  <si>
    <t>StepRequirements.RequirementLacksWitness</t>
  </si>
  <si>
    <t>=INDEX(Requirements!{{IsUnwitnessedBlockingControl}}, MATCH({{Requirement}}, Requirements!{{RequirementId}}, 0))</t>
  </si>
  <si>
    <t>StepRequirements.UnwitnessedStepKey</t>
  </si>
  <si>
    <t>=IF({{RequirementLacksWitness}}, {{Step}}, "")</t>
  </si>
  <si>
    <t>StepRequirements.SatisfactionCountForBinding</t>
  </si>
  <si>
    <t>=COUNTIFS(RequirementSatisfactions!{{BindingKey}}, {{StepRequirementId}})</t>
  </si>
  <si>
    <t>StepRequirements.BindingWasEverExercised</t>
  </si>
  <si>
    <t>={{SatisfactionCountForBinding}} &gt; 0</t>
  </si>
  <si>
    <t>StepRequirements.IsUnexercisedBlockingBinding</t>
  </si>
  <si>
    <t>=AND({{RequirementIsBlocking}}, NOT({{BindingWasEverExercised}}))</t>
  </si>
  <si>
    <t>StepRequirements.UnexercisedBindingRequirementKey</t>
  </si>
  <si>
    <t>=IF({{IsUnexercisedBlockingBinding}}, {{Requirement}}, "")</t>
  </si>
  <si>
    <t>StepVerifications.StepVerificationId</t>
  </si>
  <si>
    <t>StepVerifications.Name</t>
  </si>
  <si>
    <t>={{Step}} &amp; " / " &amp; {{VerificationKind}}</t>
  </si>
  <si>
    <t>StepVerifications.Step</t>
  </si>
  <si>
    <t>StepVerifications.VerificationKind</t>
  </si>
  <si>
    <t>StepVerifications.SignalIdentifier</t>
  </si>
  <si>
    <t>StepVerifications.ExpectedSignalValue</t>
  </si>
  <si>
    <t>StepVerifications.Instruction</t>
  </si>
  <si>
    <t>StepVerifications.SemanticTypeIri</t>
  </si>
  <si>
    <t>Rationales.RationaleId</t>
  </si>
  <si>
    <t>Rationales</t>
  </si>
  <si>
    <t>Rationales.Name</t>
  </si>
  <si>
    <t>Rationales.ProcedureVersion</t>
  </si>
  <si>
    <t>Rationales.Step</t>
  </si>
  <si>
    <t>Rationales.Title</t>
  </si>
  <si>
    <t>Rationales.Statement</t>
  </si>
  <si>
    <t>Rationales.Status</t>
  </si>
  <si>
    <t>Rationales.AuthorityRole</t>
  </si>
  <si>
    <t>Rationales.SemanticTypeIri</t>
  </si>
  <si>
    <t>Exceptions.ExceptionId</t>
  </si>
  <si>
    <t>Exceptions</t>
  </si>
  <si>
    <t>Exceptions.Name</t>
  </si>
  <si>
    <t>={{Condition}}</t>
  </si>
  <si>
    <t>Exceptions.ProcedureVersion</t>
  </si>
  <si>
    <t>Exceptions.TriggerStep</t>
  </si>
  <si>
    <t>Exceptions.Condition</t>
  </si>
  <si>
    <t>Exceptions.Handling</t>
  </si>
  <si>
    <t>Exceptions.ApprovalRole</t>
  </si>
  <si>
    <t>Exceptions.FallbackRole</t>
  </si>
  <si>
    <t>Exceptions.Status</t>
  </si>
  <si>
    <t>Exceptions.ActiveExceptionStepKey</t>
  </si>
  <si>
    <t>=IF({{Status}} = "Active", {{TriggerStep}}, "")</t>
  </si>
  <si>
    <t>Exceptions.SemanticTypeIri</t>
  </si>
  <si>
    <t>Resources.ResourceId</t>
  </si>
  <si>
    <t>Resources.Name</t>
  </si>
  <si>
    <t>Resources.Title</t>
  </si>
  <si>
    <t>Resources.ResourceKind</t>
  </si>
  <si>
    <t>Resources.ExternalUri</t>
  </si>
  <si>
    <t>Resources.CreatedAt</t>
  </si>
  <si>
    <t>Resources.ModifiedAt</t>
  </si>
  <si>
    <t>Resources.Description</t>
  </si>
  <si>
    <t>Resources.ApprovalStatus</t>
  </si>
  <si>
    <t>Resources.IsApprovedSource</t>
  </si>
  <si>
    <t>={{ApprovalStatus}} = "Approved"</t>
  </si>
  <si>
    <t>Resources.SemanticTypeIri</t>
  </si>
  <si>
    <t>ProcedureResources.ProcedureResourceId</t>
  </si>
  <si>
    <t>ProcedureResources</t>
  </si>
  <si>
    <t>ProcedureResources.Name</t>
  </si>
  <si>
    <t>={{ProcedureVersion}} &amp; " / " &amp; {{Resource}}</t>
  </si>
  <si>
    <t>ProcedureResources.ProcedureVersion</t>
  </si>
  <si>
    <t>ProcedureResources.Resource</t>
  </si>
  <si>
    <t>ProcedureResources.Relation</t>
  </si>
  <si>
    <t>ProcedureResources.RelationIri</t>
  </si>
  <si>
    <t>=IF({{Relation}} = "wasExtractedFrom", "https://w3id.org/pko#wasExtractedFrom", "http://purl.org/dc/terms/references")</t>
  </si>
  <si>
    <t>ElicitationSessions.ElicitationSessionId</t>
  </si>
  <si>
    <t>ElicitationSessions.Name</t>
  </si>
  <si>
    <t>={{Method}} &amp; " / " &amp; {{StartedAt}}</t>
  </si>
  <si>
    <t>ElicitationSessions.ProcedureVersion</t>
  </si>
  <si>
    <t>ElicitationSessions.Method</t>
  </si>
  <si>
    <t>ElicitationSessions.StartedAt</t>
  </si>
  <si>
    <t>ElicitationSessions.EndedAt</t>
  </si>
  <si>
    <t>ElicitationSessions.PractitionerAgent</t>
  </si>
  <si>
    <t>ElicitationSessions.FacilitatorAgent</t>
  </si>
  <si>
    <t>ElicitationSessions.Summary</t>
  </si>
  <si>
    <t>ElicitationSessions.Status</t>
  </si>
  <si>
    <t>ElicitationSessions.EvaluationContext</t>
  </si>
  <si>
    <t>ElicitationSessions.AsOfInstant</t>
  </si>
  <si>
    <t>ElicitationSessions.DaysSinceElicited</t>
  </si>
  <si>
    <t>=DATETIME_DIFF({{AsOfInstant}}, {{EndedAt}}, "days")</t>
  </si>
  <si>
    <t>ElicitationSessions.IsSingleWitnessMethod</t>
  </si>
  <si>
    <t>=OR({{Method}} = "Shadowing", {{Method}} = "PractitionerInterview")</t>
  </si>
  <si>
    <t>ElicitationSessions.PractitionerIsStillEngaged</t>
  </si>
  <si>
    <t>=INDEX(Agents!{{IsStillEngaged}}, MATCH({{PractitionerAgent}}, Agents!{{AgentId}}, 0))</t>
  </si>
  <si>
    <t>ElicitationSessions.ValidFragmentsProduced</t>
  </si>
  <si>
    <t>=COUNTIFS(KnowledgeFragments!{{ValidFragmentSessionKey}}, {{ElicitationSessionId}})</t>
  </si>
  <si>
    <t>ElicitationSessions.IsHighYieldSession</t>
  </si>
  <si>
    <t>={{ValidFragmentsProduced}} &gt;= 3</t>
  </si>
  <si>
    <t>ElicitationSessions.IsConcentratedSingleWitness</t>
  </si>
  <si>
    <t>=AND({{IsSingleWitnessMethod}}, {{IsHighYieldSession}})</t>
  </si>
  <si>
    <t>ElicitationSessions.IsStaleConcentratedWitness</t>
  </si>
  <si>
    <t>=AND({{IsConcentratedSingleWitness}}, {{DaysSinceElicited}} &gt; 180)</t>
  </si>
  <si>
    <t>ElicitationSessions.ConcentratedSessionVersionKey</t>
  </si>
  <si>
    <t>=IF({{IsConcentratedSingleWitness}}, {{ProcedureVersion}}, "")</t>
  </si>
  <si>
    <t>ElicitationSessions.SemanticTypeIri</t>
  </si>
  <si>
    <t>KnowledgeFragments.KnowledgeFragmentId</t>
  </si>
  <si>
    <t>KnowledgeFragments.Name</t>
  </si>
  <si>
    <t>={{KnowledgeForm}} &amp; ": " &amp; LEFT({{Statement}}, 60)</t>
  </si>
  <si>
    <t>KnowledgeFragments.ProcedureVersion</t>
  </si>
  <si>
    <t>KnowledgeFragments.Step</t>
  </si>
  <si>
    <t>KnowledgeFragments.KnowledgeForm</t>
  </si>
  <si>
    <t>KnowledgeFragments.Statement</t>
  </si>
  <si>
    <t>KnowledgeFragments.ElicitationSession</t>
  </si>
  <si>
    <t>KnowledgeFragments.SourceAgent</t>
  </si>
  <si>
    <t>KnowledgeFragments.Confidence</t>
  </si>
  <si>
    <t>KnowledgeFragments.ValidFrom</t>
  </si>
  <si>
    <t>KnowledgeFragments.ValidTo</t>
  </si>
  <si>
    <t>KnowledgeFragments.Status</t>
  </si>
  <si>
    <t>KnowledgeFragments.OwnerRole</t>
  </si>
  <si>
    <t>KnowledgeFragments.EvaluationContext</t>
  </si>
  <si>
    <t>KnowledgeFragments.AsOfInstant</t>
  </si>
  <si>
    <t>KnowledgeFragments.IsCurrentlyValid</t>
  </si>
  <si>
    <t>=AND({{ValidFrom}} &lt;= {{AsOfInstant}}, OR({{ValidTo}} = "", {{ValidTo}} &gt; {{AsOfInstant}}), {{Status}} = "Approved")</t>
  </si>
  <si>
    <t>KnowledgeFragments.SourceAgentIsStillEngaged</t>
  </si>
  <si>
    <t>=INDEX(Agents!{{IsStillEngaged}}, MATCH({{SourceAgent}}, Agents!{{AgentId}}, 0))</t>
  </si>
  <si>
    <t>KnowledgeFragments.SourceAgentKind</t>
  </si>
  <si>
    <t>=INDEX(Agents!{{AgentKind}}, MATCH({{SourceAgent}}, Agents!{{AgentId}}, 0))</t>
  </si>
  <si>
    <t>KnowledgeFragments.HasHumanSource</t>
  </si>
  <si>
    <t>={{SourceAgentKind}} = "Human"</t>
  </si>
  <si>
    <t>KnowledgeFragments.HasOrphanedProvenance</t>
  </si>
  <si>
    <t>=AND({{IsCurrentlyValid}}, NOT({{SourceAgentIsStillEngaged}}))</t>
  </si>
  <si>
    <t>KnowledgeFragments.IsUndefendableTacitClaim</t>
  </si>
  <si>
    <t>=AND({{HasOrphanedProvenance}}, OR({{KnowledgeForm}} = "Tacit", {{KnowledgeForm}} = "SituatedJudgment"))</t>
  </si>
  <si>
    <t>KnowledgeFragments.IsApproved</t>
  </si>
  <si>
    <t>={{Status}} = "Approved"</t>
  </si>
  <si>
    <t>KnowledgeFragments.IsWithinValidityWindow</t>
  </si>
  <si>
    <t>KnowledgeFragments.IsReliedUpon</t>
  </si>
  <si>
    <t>=AND({{Step}} &lt;&gt; "", {{IsWithinValidityWindow}})</t>
  </si>
  <si>
    <t>KnowledgeFragments.StepProcedureVersionStatus</t>
  </si>
  <si>
    <t>=INDEX(Steps!{{ProcedureVersion}}, MATCH({{Step}}, Steps!{{StepId}}, 0))</t>
  </si>
  <si>
    <t>KnowledgeFragments.IsAttachedToLiveVersion</t>
  </si>
  <si>
    <t>=INDEX(ProcedureVersions!{{IsLive}}, MATCH({{ProcedureVersion}}, ProcedureVersions!{{ProcedureVersionId}}, 0))</t>
  </si>
  <si>
    <t>KnowledgeFragments.IsUnapprovedButReliedOn</t>
  </si>
  <si>
    <t>=AND({{IsReliedUpon}}, {{IsAttachedToLiveVersion}}, NOT({{IsApproved}}))</t>
  </si>
  <si>
    <t>KnowledgeFragments.EvidenceAgeDays</t>
  </si>
  <si>
    <t>=INDEX(ElicitationSessions!{{DaysSinceElicited}}, MATCH({{ElicitationSession}}, ElicitationSessions!{{ElicitationSessionId}}, 0))</t>
  </si>
  <si>
    <t>KnowledgeFragments.HasRecordedElicitation</t>
  </si>
  <si>
    <t>={{ElicitationSession}} &lt;&gt; ""</t>
  </si>
  <si>
    <t>KnowledgeFragments.IsFromSingleWitness</t>
  </si>
  <si>
    <t>=INDEX(ElicitationSessions!{{IsSingleWitnessMethod}}, MATCH({{ElicitationSession}}, ElicitationSessions!{{ElicitationSessionId}}, 0))</t>
  </si>
  <si>
    <t>KnowledgeFragments.EvidenceExpiryDays</t>
  </si>
  <si>
    <t>=IF({{IsFromSingleWitness}}, 180, 365)</t>
  </si>
  <si>
    <t>KnowledgeFragments.EvidenceHasExpired</t>
  </si>
  <si>
    <t>=AND({{HasRecordedElicitation}}, {{EvidenceAgeDays}} &gt; {{EvidenceExpiryDays}})</t>
  </si>
  <si>
    <t>KnowledgeFragments.OwnerAgent</t>
  </si>
  <si>
    <t>=INDEX(Roles!{{CurrentAgent}}, MATCH({{OwnerRole}}, Roles!{{RoleId}}, 0))</t>
  </si>
  <si>
    <t>KnowledgeFragments.IsAwaitingApproval</t>
  </si>
  <si>
    <t>={{Status}} = "Reviewed"</t>
  </si>
  <si>
    <t>KnowledgeFragments.OwnerIsMe</t>
  </si>
  <si>
    <t>={{OwnerRole}} = "hr-policy-owner"</t>
  </si>
  <si>
    <t>KnowledgeFragments.IsMyUnfinishedApproval</t>
  </si>
  <si>
    <t>=AND({{OwnerIsMe}}, {{IsAwaitingApproval}})</t>
  </si>
  <si>
    <t>KnowledgeFragments.IsInvokedByAnException</t>
  </si>
  <si>
    <t>=COUNTIFS(Exceptions!{{TriggerStep}}, KnowledgeFragments!{{Step}})</t>
  </si>
  <si>
    <t>KnowledgeFragments.HasOperationalReliance</t>
  </si>
  <si>
    <t>={{IsInvokedByAnException}} &gt; 0</t>
  </si>
  <si>
    <t>KnowledgeFragments.IsUnapprovedAndOperationallyLive</t>
  </si>
  <si>
    <t>=AND({{IsMyUnfinishedApproval}}, {{HasOperationalReliance}})</t>
  </si>
  <si>
    <t>KnowledgeFragments.AgeDays</t>
  </si>
  <si>
    <t>=DATETIME_DIFF({{AsOfInstant}}, {{ValidFrom}}, "days")</t>
  </si>
  <si>
    <t>KnowledgeFragments.IsLowConfidence</t>
  </si>
  <si>
    <t>=OR({{Confidence}} = "Medium", {{Confidence}} = "Low")</t>
  </si>
  <si>
    <t>KnowledgeFragments.OwningVersionCadenceDays</t>
  </si>
  <si>
    <t>=INDEX(ProcedureVersions!{{StewardReviewCadenceDays}}, MATCH({{ProcedureVersion}}, ProcedureVersions!{{ProcedureVersionId}}, 0))</t>
  </si>
  <si>
    <t>KnowledgeFragments.ExceedsOwningCadence</t>
  </si>
  <si>
    <t>={{AgeDays}} &gt; {{OwningVersionCadenceDays}}</t>
  </si>
  <si>
    <t>KnowledgeFragments.IsAgingLowConfidenceClaim</t>
  </si>
  <si>
    <t>=AND({{ExceedsOwningCadence}}, {{IsLowConfidence}})</t>
  </si>
  <si>
    <t>KnowledgeFragments.OwnerRoleAgentKind</t>
  </si>
  <si>
    <t>=INDEX(Roles!{{CurrentAgentKind}}, MATCH({{OwnerRole}}, Roles!{{RoleId}}, 0))</t>
  </si>
  <si>
    <t>KnowledgeFragments.IsHumanOwned</t>
  </si>
  <si>
    <t>={{OwnerRoleAgentKind}} = "Human"</t>
  </si>
  <si>
    <t>KnowledgeFragments.IsAiValidatedByAi</t>
  </si>
  <si>
    <t>=AND(NOT({{SourceAgentKind}} = "Human"), NOT({{IsHumanOwned}}))</t>
  </si>
  <si>
    <t>KnowledgeFragments.ReviewCadenceDays</t>
  </si>
  <si>
    <t>KnowledgeFragments.IsOverdueForReview</t>
  </si>
  <si>
    <t>=AND({{IsCurrentlyValid}}, {{AgeDays}} &gt; {{ReviewCadenceDays}})</t>
  </si>
  <si>
    <t>KnowledgeFragments.PredatesCurrentRoleHolder</t>
  </si>
  <si>
    <t>=AND({{OwnerRoleAgentKind}} &lt;&gt; "", {{ValidFrom}} &lt; {{OwnerRoleAssignmentValidFrom}})</t>
  </si>
  <si>
    <t>KnowledgeFragments.OwnerRoleAssignmentValidFrom</t>
  </si>
  <si>
    <t>=INDEX(Roles!{{CurrentAssignmentValidFrom}}, MATCH({{OwnerRole}}, Roles!{{RoleId}}, 0))</t>
  </si>
  <si>
    <t>KnowledgeFragments.LastReviewedAt</t>
  </si>
  <si>
    <t>KnowledgeFragments.FragilitySignalCount</t>
  </si>
  <si>
    <t>=IF({{IsFromSingleWitness}}, 1, 0) + IF({{IsOverdueForReview}}, 1, 0) + IF({{IsLowConfidence}}, 1, 0) + IF({{HasOperationalReliance}}, 1, 0)</t>
  </si>
  <si>
    <t>KnowledgeFragments.IsCompoundFragile</t>
  </si>
  <si>
    <t>={{FragilitySignalCount}} &gt;= 3</t>
  </si>
  <si>
    <t>KnowledgeFragments.IsSinglePointOfFailure</t>
  </si>
  <si>
    <t>=AND({{IsFromSingleWitness}}, {{HasOperationalReliance}})</t>
  </si>
  <si>
    <t>KnowledgeFragments.IsExpiringSinglePointOfFailure</t>
  </si>
  <si>
    <t>=AND({{IsSinglePointOfFailure}}, {{IsOverdueForReview}})</t>
  </si>
  <si>
    <t>KnowledgeFragments.CompoundFragileVersionKey</t>
  </si>
  <si>
    <t>=IF({{IsCompoundFragile}}, {{ProcedureVersion}}, "")</t>
  </si>
  <si>
    <t>KnowledgeFragments.ValidFragmentSessionKey</t>
  </si>
  <si>
    <t>=IF({{IsCurrentlyValid}}, {{ElicitationSession}}, "")</t>
  </si>
  <si>
    <t>KnowledgeFragments.ConsumingStepIsSoftwareAssigned</t>
  </si>
  <si>
    <t>=INDEX(Steps!{{IsSoftwareAssigned}}, MATCH({{Step}}, Steps!{{StepId}}, 0))</t>
  </si>
  <si>
    <t>KnowledgeFragments.ConsumingStepAgentKind</t>
  </si>
  <si>
    <t>=INDEX(Steps!{{AssignedAgentKind}}, MATCH({{Step}}, Steps!{{StepId}}, 0))</t>
  </si>
  <si>
    <t>KnowledgeFragments.IsUnapprovedAndMachineConsumed</t>
  </si>
  <si>
    <t>=AND({{IsUnapprovedButReliedOn}}, {{ConsumingStepIsSoftwareAssigned}})</t>
  </si>
  <si>
    <t>KnowledgeFragments.IsUnapprovedAndHumanConsumed</t>
  </si>
  <si>
    <t>=AND({{IsUnapprovedButReliedOn}}, NOT({{ConsumingStepIsSoftwareAssigned}}))</t>
  </si>
  <si>
    <t>KnowledgeFragments.MachineConsumedUnapprovedVersionKey</t>
  </si>
  <si>
    <t>=IF({{IsUnapprovedAndMachineConsumed}}, {{ProcedureVersion}}, "")</t>
  </si>
  <si>
    <t>KnowledgeFragments.HasReviewRecord</t>
  </si>
  <si>
    <t>={{LastReviewedAt}} &lt;&gt; ""</t>
  </si>
  <si>
    <t>KnowledgeFragments.DaysSinceActualReview</t>
  </si>
  <si>
    <t>=IF({{HasReviewRecord}}, DATETIME_DIFF({{AsOfInstant}}, {{LastReviewedAt}}, "days"), 0)</t>
  </si>
  <si>
    <t>KnowledgeFragments.IsUnreviewedSinceAuthoring</t>
  </si>
  <si>
    <t>=AND({{IsCurrentlyValid}}, NOT({{HasReviewRecord}}))</t>
  </si>
  <si>
    <t>KnowledgeFragments.IsGenuinelyOverdue</t>
  </si>
  <si>
    <t>=AND({{IsCurrentlyValid}}, {{HasReviewRecord}}, {{DaysSinceActualReview}} &gt; {{ReviewCadenceDays}})</t>
  </si>
  <si>
    <t>KnowledgeFragments.ReviewRecencyIsInferred</t>
  </si>
  <si>
    <t>=AND({{IsOverdueForReview}}, NOT({{HasReviewRecord}}))</t>
  </si>
  <si>
    <t>KnowledgeFragments.InferenceDisagreesWithRecord</t>
  </si>
  <si>
    <t>=AND({{HasReviewRecord}}, {{IsOverdueForReview}}, NOT({{IsGenuinelyOverdue}}))</t>
  </si>
  <si>
    <t>KnowledgeFragments.GenuinelyOverdueVersionKey</t>
  </si>
  <si>
    <t>=IF({{IsGenuinelyOverdue}}, {{ProcedureVersion}}, "")</t>
  </si>
  <si>
    <t>KnowledgeFragments.RatifiedBoundaryCount</t>
  </si>
  <si>
    <t>=COUNTIFS(AuthorityBoundaries!{{RatifyingFragmentKey}}, {{KnowledgeFragmentId}})</t>
  </si>
  <si>
    <t>KnowledgeFragments.RelianceSurfaceCount</t>
  </si>
  <si>
    <t>={{IsInvokedByAnException}} + {{RatifiedBoundaryCount}}</t>
  </si>
  <si>
    <t>KnowledgeFragments.DaysAwaitingMyApproval</t>
  </si>
  <si>
    <t>=IF({{IsMyUnfinishedApproval}}, DATETIME_DIFF({{AsOfInstant}}, {{ValidFrom}}, "days"), 0)</t>
  </si>
  <si>
    <t>KnowledgeFragments.IsHighBlastRadiusUnapproved</t>
  </si>
  <si>
    <t>=AND({{IsUnapprovedAndOperationallyLive}}, {{RelianceSurfaceCount}} &gt; 1)</t>
  </si>
  <si>
    <t>KnowledgeFragments.IsLongUnapproved</t>
  </si>
  <si>
    <t>=AND({{IsMyUnfinishedApproval}}, {{DaysAwaitingMyApproval}} &gt; 30)</t>
  </si>
  <si>
    <t>KnowledgeFragments.UnapprovedLoadBearingVersionKey</t>
  </si>
  <si>
    <t>=IF({{IsHighBlastRadiusUnapproved}}, {{ProcedureVersion}}, "")</t>
  </si>
  <si>
    <t>KnowledgeFragments.OwnerRoleIsVacated</t>
  </si>
  <si>
    <t>=INDEX(Roles!{{IsVacatedRole}}, MATCH({{OwnerRole}}, Roles!{{RoleId}}, 0))</t>
  </si>
  <si>
    <t>KnowledgeFragments.IsOrphanedByRole</t>
  </si>
  <si>
    <t>=AND({{IsCurrentlyValid}}, {{OwnerRoleIsVacated}})</t>
  </si>
  <si>
    <t>KnowledgeFragments.ValidFragmentVersionKey</t>
  </si>
  <si>
    <t>=IF({{IsCurrentlyValid}}, {{ProcedureVersion}}, "")</t>
  </si>
  <si>
    <t>KnowledgeFragments.SemanticTypeIri</t>
  </si>
  <si>
    <t>KnowledgeGaps.KnowledgeGapId</t>
  </si>
  <si>
    <t>KnowledgeGaps</t>
  </si>
  <si>
    <t>KnowledgeGaps.Name</t>
  </si>
  <si>
    <t>={{Severity}} &amp; ": " &amp; LEFT({{Statement}}, 60)</t>
  </si>
  <si>
    <t>KnowledgeGaps.ProcedureVersion</t>
  </si>
  <si>
    <t>KnowledgeGaps.Step</t>
  </si>
  <si>
    <t>KnowledgeGaps.Statement</t>
  </si>
  <si>
    <t>KnowledgeGaps.Severity</t>
  </si>
  <si>
    <t>KnowledgeGaps.BlockingKind</t>
  </si>
  <si>
    <t>KnowledgeGaps.Status</t>
  </si>
  <si>
    <t>KnowledgeGaps.OwnerRole</t>
  </si>
  <si>
    <t>KnowledgeGaps.IdentifiedAt</t>
  </si>
  <si>
    <t>KnowledgeGaps.ResolutionPlan</t>
  </si>
  <si>
    <t>KnowledgeGaps.IsOpen</t>
  </si>
  <si>
    <t>=OR({{Status}} = "Open", {{Status}} = "Investigating")</t>
  </si>
  <si>
    <t>KnowledgeGaps.OpenGapVersionKey</t>
  </si>
  <si>
    <t>=IF(AND({{IsOpen}}, {{Severity}} = "High"), {{ProcedureVersion}}, "")</t>
  </si>
  <si>
    <t>KnowledgeGaps.IsBlocking</t>
  </si>
  <si>
    <t>={{BlockingKind}} = "Blocking"</t>
  </si>
  <si>
    <t>KnowledgeGaps.IsOpenAndBlocking</t>
  </si>
  <si>
    <t>=AND({{IsOpen}}, {{IsBlocking}})</t>
  </si>
  <si>
    <t>KnowledgeGaps.EvaluationContext</t>
  </si>
  <si>
    <t>KnowledgeGaps.AsOfInstant</t>
  </si>
  <si>
    <t>KnowledgeGaps.DaysOpen</t>
  </si>
  <si>
    <t>=IF({{IsOpen}}, DATETIME_DIFF({{AsOfInstant}}, {{IdentifiedAt}}, "days"), 0)</t>
  </si>
  <si>
    <t>KnowledgeGaps.ToleranceDays</t>
  </si>
  <si>
    <t>=IF({{Severity}} = "High", 30, IF({{Severity}} = "Medium", 90, 180))</t>
  </si>
  <si>
    <t>KnowledgeGaps.IsOverdueGap</t>
  </si>
  <si>
    <t>={{DaysOpen}} &gt; {{ToleranceDays}}</t>
  </si>
  <si>
    <t>KnowledgeGaps.OwnerAgent</t>
  </si>
  <si>
    <t>KnowledgeGaps.OwnerIsStillEngaged</t>
  </si>
  <si>
    <t>=INDEX(Agents!{{IsStillEngaged}}, MATCH({{OwnerAgent}}, Agents!{{AgentId}}, 0))</t>
  </si>
  <si>
    <t>KnowledgeGaps.HasResolutionPlan</t>
  </si>
  <si>
    <t>={{ResolutionPlan}} &lt;&gt; ""</t>
  </si>
  <si>
    <t>KnowledgeGaps.IsAbandonedUnknown</t>
  </si>
  <si>
    <t>=AND({{IsOverdueGap}}, OR(NOT({{HasResolutionPlan}}), NOT({{OwnerIsStillEngaged}})))</t>
  </si>
  <si>
    <t>KnowledgeGaps.OpenBlockingGapVersionKey</t>
  </si>
  <si>
    <t>=IF({{IsOpenAndBlocking}}, {{ProcedureVersion}}, "")</t>
  </si>
  <si>
    <t>KnowledgeGaps.OwnerRoleIsVacated</t>
  </si>
  <si>
    <t>KnowledgeGaps.IsOwnerlessOpenGap</t>
  </si>
  <si>
    <t>=AND({{IsOpen}}, {{OwnerRoleIsVacated}})</t>
  </si>
  <si>
    <t>KnowledgeGaps.SemanticTypeIri</t>
  </si>
  <si>
    <t>FAQs.FaqId</t>
  </si>
  <si>
    <t>FAQs.Name</t>
  </si>
  <si>
    <t>={{Question}}</t>
  </si>
  <si>
    <t>FAQs.ProcedureVersion</t>
  </si>
  <si>
    <t>FAQs.Step</t>
  </si>
  <si>
    <t>FAQs.Category</t>
  </si>
  <si>
    <t>FAQs.TargetKind</t>
  </si>
  <si>
    <t>FAQs.Question</t>
  </si>
  <si>
    <t>FAQs.Answer</t>
  </si>
  <si>
    <t>FAQs.SemanticTypeIri</t>
  </si>
  <si>
    <t>Explanations.ExplanationId</t>
  </si>
  <si>
    <t>Explanations.Name</t>
  </si>
  <si>
    <t>Explanations.ProcedureVersion</t>
  </si>
  <si>
    <t>Explanations.Step</t>
  </si>
  <si>
    <t>Explanations.Title</t>
  </si>
  <si>
    <t>Explanations.Description</t>
  </si>
  <si>
    <t>Explanations.SemanticTypeIri</t>
  </si>
  <si>
    <t>ProcedureExecutions.ProcedureExecutionId</t>
  </si>
  <si>
    <t>ProcedureExecutions.Name</t>
  </si>
  <si>
    <t>={{ProcedureVersion}} &amp; " / " &amp; {{Context}}</t>
  </si>
  <si>
    <t>ProcedureExecutions.ProcedureVersion</t>
  </si>
  <si>
    <t>ProcedureExecutions.ExecutionStatus</t>
  </si>
  <si>
    <t>ProcedureExecutions.StartedAt</t>
  </si>
  <si>
    <t>ProcedureExecutions.EndedAt</t>
  </si>
  <si>
    <t>ProcedureExecutions.ExecutedByAgent</t>
  </si>
  <si>
    <t>ProcedureExecutions.Context</t>
  </si>
  <si>
    <t>ProcedureExecutions.OperationalRecordUri</t>
  </si>
  <si>
    <t>ProcedureExecutions.ExpectedStepCount</t>
  </si>
  <si>
    <t>=INDEX(ProcedureVersions!{{SpecifiedStepCount}}, MATCH({{ProcedureVersion}}, ProcedureVersions!{{ProcedureVersionId}}, 0))</t>
  </si>
  <si>
    <t>ProcedureExecutions.CompletedStepCount</t>
  </si>
  <si>
    <t>=COUNTIFS(StepExecutions!{{CompletedExecutionKey}}, {{ProcedureExecutionId}})</t>
  </si>
  <si>
    <t>ProcedureExecutions.ControlBreachCount</t>
  </si>
  <si>
    <t>=COUNTIFS(StepExecutions!{{ControlBreachExecutionKey}}, {{ProcedureExecutionId}})</t>
  </si>
  <si>
    <t>ProcedureExecutions.LateStepCount</t>
  </si>
  <si>
    <t>=COUNTIFS(StepExecutions!{{LateExecutionKey}}, {{ProcedureExecutionId}})</t>
  </si>
  <si>
    <t>ProcedureExecutions.IsStructurallyComplete</t>
  </si>
  <si>
    <t>={{CompletedStepCount}} &gt;= {{ExpectedStepCount}}</t>
  </si>
  <si>
    <t>ProcedureExecutions.DivergedFromSpecification</t>
  </si>
  <si>
    <t>=OR(NOT({{IsStructurallyComplete}}), {{ControlBreachCount}} &gt; 0)</t>
  </si>
  <si>
    <t>ProcedureExecutions.AllBlockingControlsEvaluated</t>
  </si>
  <si>
    <t>={{UnevaluatedBlockingTotal}} = 0</t>
  </si>
  <si>
    <t>ProcedureExecutions.UnevaluatedBlockingTotal</t>
  </si>
  <si>
    <t>=COUNTIFS(StepExecutions!{{UnevaluatedBlockingExecutionKey}}, {{ProcedureExecutionId}})</t>
  </si>
  <si>
    <t>ProcedureExecutions.SeparationOfDutiesHeld</t>
  </si>
  <si>
    <t>={{SeparationViolationCount}} = 0</t>
  </si>
  <si>
    <t>ProcedureExecutions.SeparationViolationCount</t>
  </si>
  <si>
    <t>=COUNTIFS(StepExecutions!{{SeparationViolationExecutionKey}}, {{ProcedureExecutionId}})</t>
  </si>
  <si>
    <t>ProcedureExecutions.IsAttestationReady</t>
  </si>
  <si>
    <t>=AND({{IsStructurallyComplete}}, NOT({{DivergedFromSpecification}}), {{AllBlockingControlsEvaluated}}, {{SeparationOfDutiesHeld}})</t>
  </si>
  <si>
    <t>ProcedureExecutions.AttestationBlockerSummary</t>
  </si>
  <si>
    <t>=IF({{IsAttestationReady}}, "", IF(NOT({{IsStructurallyComplete}}), "Incomplete: specified steps did not all complete.", IF({{SeparationViolationCount}} &gt; 0, "Segregation of duties violated.", IF({{UnevaluatedBlockingTotal}} &gt; 0, "Blocking controls were never evaluated.", "Control breach recorded on one or more steps."))))</t>
  </si>
  <si>
    <t>ProcedureExecutions.ExecutedVersionIsFit</t>
  </si>
  <si>
    <t>=INDEX(ProcedureVersions!{{IsFitToExecute}}, MATCH({{ProcedureVersion}}, ProcedureVersions!{{ProcedureVersionId}}, 0))</t>
  </si>
  <si>
    <t>ProcedureExecutions.SignedAgainstUnfitVersion</t>
  </si>
  <si>
    <t>=AND({{ExecutionStatus}} = "Completed", NOT({{ExecutedVersionIsFit}}))</t>
  </si>
  <si>
    <t>ProcedureExecutions.AssertedOnlyControlCount</t>
  </si>
  <si>
    <t>=COUNTIFS(RequirementSatisfactions!{{AssertedOnlyExecutionKey}}, {{ProcedureExecutionId}})</t>
  </si>
  <si>
    <t>ProcedureExecutions.AssuranceIsMostlyAsserted</t>
  </si>
  <si>
    <t>={{AssertedOnlyControlCount}} &gt; 0</t>
  </si>
  <si>
    <t>ProcedureExecutions.UnreachableHandlingFailureCount</t>
  </si>
  <si>
    <t>=COUNTIFS(MessageDeliveries!{{UnreachableFailureKey}}, {{ProcedureExecutionId}})</t>
  </si>
  <si>
    <t>ProcedureExecutions.RetentionBreachCount</t>
  </si>
  <si>
    <t>=COUNTIFS(MessageDeliveries!{{RetentionBreachExecutionKey}}, {{ProcedureExecutionId}})</t>
  </si>
  <si>
    <t>ProcedureExecutions.ClearedLegalReviewCount</t>
  </si>
  <si>
    <t>=COUNTIFS(StepExecutions!{{ClearedLegalReviewKey}}, {{ProcedureExecutionId}})</t>
  </si>
  <si>
    <t>ProcedureExecutions.HasClearedLegalReview</t>
  </si>
  <si>
    <t>={{ClearedLegalReviewCount}} &gt; 0</t>
  </si>
  <si>
    <t>ProcedureExecutions.AbandonedFailureCount</t>
  </si>
  <si>
    <t>=COUNTIFS(MessageDeliveries!{{AbandonedFailureExecutionKey}}, {{ProcedureExecutionId}})</t>
  </si>
  <si>
    <t>ProcedureExecutions.DeliveredCount</t>
  </si>
  <si>
    <t>=COUNTIFS(MessageDeliveries!{{ReachedExecutionKey}}, {{ProcedureExecutionId}})</t>
  </si>
  <si>
    <t>ProcedureExecutions.TotalDeliveryAttemptCount</t>
  </si>
  <si>
    <t>=COUNTIFS(MessageDeliveries!{{ProcedureExecution}}, {{ProcedureExecutionId}})</t>
  </si>
  <si>
    <t>ProcedureExecutions.HasAbandonedFailures</t>
  </si>
  <si>
    <t>={{AbandonedFailureCount}} &gt; 0</t>
  </si>
  <si>
    <t>ProcedureExecutions.MishandledRefusalCount</t>
  </si>
  <si>
    <t>=COUNTIFS(SendIntents!{{RefusalFailureExecutionKey}}, {{ProcedureExecutionId}})</t>
  </si>
  <si>
    <t>ProcedureExecutions.UncleanStepCount</t>
  </si>
  <si>
    <t>=COUNTIFS(StepExecutions!{{ProcedureExecutionWhenUnclean}}, {{ProcedureExecutionId}})</t>
  </si>
  <si>
    <t>ProcedureExecutions.RanClean</t>
  </si>
  <si>
    <t>={{UncleanStepCount}} = 0</t>
  </si>
  <si>
    <t>ProcedureExecutions.CountOfApprovalExecutions</t>
  </si>
  <si>
    <t>=COUNTIFS(StepExecutions!{{IsApprovalExecution}}, TRUE)</t>
  </si>
  <si>
    <t>ProcedureExecutions.HasHumanApproval</t>
  </si>
  <si>
    <t>={{CountOfApprovalExecutions}} &gt; 0</t>
  </si>
  <si>
    <t>ProcedureExecutions.CountOfDeliveryExecutions</t>
  </si>
  <si>
    <t>=COUNTIFS(StepExecutions!{{Step}}, "policy-07")</t>
  </si>
  <si>
    <t>ProcedureExecutions.HasDelivered</t>
  </si>
  <si>
    <t>={{CountOfDeliveryExecutions}} &gt; 0</t>
  </si>
  <si>
    <t>ProcedureExecutions.DeliveredWithoutApproval</t>
  </si>
  <si>
    <t>=AND({{HasDelivered}}, NOT({{HasHumanApproval}}))</t>
  </si>
  <si>
    <t>ProcedureExecutions.InvalidApprovalCount</t>
  </si>
  <si>
    <t>=COUNTIFS(RequirementSatisfactions!{{RunWhenInvalidApproval}}, {{ProcedureExecutionId}})</t>
  </si>
  <si>
    <t>ProcedureExecutions.ApprovalChainIsComplete</t>
  </si>
  <si>
    <t>={{InvalidApprovalCount}} = 0</t>
  </si>
  <si>
    <t>ProcedureExecutions.VacuouslyCleanStepCount</t>
  </si>
  <si>
    <t>=COUNTIFS(StepExecutions!{{VacuouslyCleanExecutionKey}}, {{ProcedureExecutionId}})</t>
  </si>
  <si>
    <t>ProcedureExecutions.PreparationStepCount</t>
  </si>
  <si>
    <t>=COUNTIFS(StepExecutions!{{PreparationExecutionKey}}, {{ProcedureExecutionId}})</t>
  </si>
  <si>
    <t>ProcedureExecutions.ApprovalStepCount</t>
  </si>
  <si>
    <t>=COUNTIFS(StepExecutions!{{ApprovalExecutionKey}}, {{ProcedureExecutionId}})</t>
  </si>
  <si>
    <t>ProcedureExecutions.SeparationWasTestable</t>
  </si>
  <si>
    <t>=AND({{PreparationStepCount}} &gt; 0, {{ApprovalStepCount}} &gt; 0)</t>
  </si>
  <si>
    <t>ProcedureExecutions.SeparationHeldUnderTest</t>
  </si>
  <si>
    <t>=AND({{SeparationWasTestable}}, {{SeparationOfDutiesHeld}})</t>
  </si>
  <si>
    <t>ProcedureExecutions.SeparationIsVacuouslyGreen</t>
  </si>
  <si>
    <t>=AND({{SeparationOfDutiesHeld}}, NOT({{SeparationWasTestable}}))</t>
  </si>
  <si>
    <t>ProcedureExecutions.SeparationAssuranceNote</t>
  </si>
  <si>
    <t>=IF({{SeparationViolationCount}} &gt; 0, "Violated: same agent prepared and approved.", IF({{SeparationIsVacuouslyGreen}}, "Not tested: this run had no preparation/approval pair.", "Held under test."))</t>
  </si>
  <si>
    <t>ProcedureExecutions.UngovernedDivergenceCount</t>
  </si>
  <si>
    <t>=COUNTIFS(StepExecutions!{{UngovernedDivergenceExecutionKey}}, {{ProcedureExecutionId}})</t>
  </si>
  <si>
    <t>ProcedureExecutions.DivergenceWasFullyGoverned</t>
  </si>
  <si>
    <t>=AND({{DivergedFromSpecification}}, {{UngovernedDivergenceCount}} = 0)</t>
  </si>
  <si>
    <t>ProcedureExecutions.ComputedlyWitnessedControlCount</t>
  </si>
  <si>
    <t>=COUNTIFS(RequirementSatisfactions!{{ComputedWitnessExecutionKey}}, {{ProcedureExecutionId}})</t>
  </si>
  <si>
    <t>ProcedureExecutions.EvaluatedControlCount</t>
  </si>
  <si>
    <t>={{ComputedlyWitnessedControlCount}} + {{AssertedOnlyControlCount}}</t>
  </si>
  <si>
    <t>ProcedureExecutions.ComputedAssuranceRatio</t>
  </si>
  <si>
    <t>=IF({{EvaluatedControlCount}} = 0, 0, {{ComputedlyWitnessedControlCount}} / {{EvaluatedControlCount}})</t>
  </si>
  <si>
    <t>ProcedureExecutions.InterestedPartyAssertionCount</t>
  </si>
  <si>
    <t>=COUNTIFS(RequirementSatisfactions!{{InterestedAssertionExecutionKey}}, {{ProcedureExecutionId}})</t>
  </si>
  <si>
    <t>ProcedureExecutions.AssuranceGrade</t>
  </si>
  <si>
    <t>=IF({{EvaluatedControlCount}}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t>
  </si>
  <si>
    <t>ProcedureExecutions.AttestationWouldBeWeaklyBased</t>
  </si>
  <si>
    <t>=AND({{IsAttestationReady}}, OR({{InterestedPartyAssertionCount}} &gt; 0, {{ComputedAssuranceRatio}} &lt; 0.5))</t>
  </si>
  <si>
    <t>ProcedureExecutions.IndependentHumanObservationCount</t>
  </si>
  <si>
    <t>=COUNTIFS(VerificationOutcomes!{{IndependentObservationExecutionKey}}, {{ProcedureExecutionId}})</t>
  </si>
  <si>
    <t>ProcedureExecutions.HasAnyIndependentObservation</t>
  </si>
  <si>
    <t>={{IndependentHumanObservationCount}} &gt; 0</t>
  </si>
  <si>
    <t>ProcedureExecutions.SelfAttestedApprovalCount</t>
  </si>
  <si>
    <t>=COUNTIFS(StepExecutions!{{SelfAttestedApprovalExecutionKey}}, {{ProcedureExecutionId}})</t>
  </si>
  <si>
    <t>ProcedureExecutions.AssuranceChainIsCircular</t>
  </si>
  <si>
    <t>=AND({{SelfAttestedApprovalCount}} &gt; 0, NOT({{HasAnyIndependentObservation}}))</t>
  </si>
  <si>
    <t>ProcedureExecutions.LatestAttestationInstant</t>
  </si>
  <si>
    <t>=MAXIFS(Attestations!{{SignedAt}}, Attestations!{{ProcedureExecution}}, {{ProcedureExecutionId}})</t>
  </si>
  <si>
    <t>ProcedureExecutions.HasBeenAttested</t>
  </si>
  <si>
    <t>={{AttestationCount}} &gt; 0</t>
  </si>
  <si>
    <t>ProcedureExecutions.AttestationCount</t>
  </si>
  <si>
    <t>=COUNTIFS(Attestations!{{ProcedureExecution}}, {{ProcedureExecutionId}})</t>
  </si>
  <si>
    <t>ProcedureExecutions.PostAttestationScoreCount</t>
  </si>
  <si>
    <t>=COUNTIFS(RequirementSatisfactions!{{PostAttestationScoreExecutionKey}}, {{ProcedureExecutionId}})</t>
  </si>
  <si>
    <t>ProcedureExecutions.BasisChangedAfterSignature</t>
  </si>
  <si>
    <t>=AND({{HasBeenAttested}}, {{PostAttestationScoreCount}} &gt; 0)</t>
  </si>
  <si>
    <t>ProcedureExecutions.RequiresReAttestation</t>
  </si>
  <si>
    <t>=AND({{BasisChangedAfterSignature}}, NOT({{IsAttestationReady}}))</t>
  </si>
  <si>
    <t>ProcedureExecutions.IntendedRecipientCount</t>
  </si>
  <si>
    <t>=COUNTIFS(SendIntents!{{IntentExecutionKey}}, {{ProcedureExecutionId}})</t>
  </si>
  <si>
    <t>ProcedureExecutions.ReachedRecipientCount</t>
  </si>
  <si>
    <t>=COUNTIFS(SendIntents!{{DeliveredIntentExecutionKey}}, {{ProcedureExecutionId}})</t>
  </si>
  <si>
    <t>ProcedureExecutions.SilentlyDroppedCount</t>
  </si>
  <si>
    <t>=COUNTIFS(SendIntents!{{DroppedIntentExecutionKey}}, {{ProcedureExecutionId}})</t>
  </si>
  <si>
    <t>ProcedureExecutions.DeliveryYieldPercent</t>
  </si>
  <si>
    <t>=IF({{IntendedRecipientCount}} &gt; 0, {{ReachedRecipientCount}} * 100 / {{IntendedRecipientCount}}, 0)</t>
  </si>
  <si>
    <t>ProcedureExecutions.CampaignSilentlyLostAudience</t>
  </si>
  <si>
    <t>=({{SilentlyDroppedCount}} &gt; 0)</t>
  </si>
  <si>
    <t>ProcedureExecutions.UnrecordedRefusalCount</t>
  </si>
  <si>
    <t>=COUNTIFS(SendIntents!{{UnrecordedRefusalExecutionKey}}, {{ProcedureExecutionId}})</t>
  </si>
  <si>
    <t>ProcedureExecutions.HasUnrecordedRefusals</t>
  </si>
  <si>
    <t>=({{UnrecordedRefusalCount}} &gt; 0)</t>
  </si>
  <si>
    <t>ProcedureExecutions.IndependentlyConfirmedIntentCount</t>
  </si>
  <si>
    <t>=COUNTIFS(SendIntents!{{IndependentlyConfirmedExecutionKey}}, {{ProcedureExecutionId}})</t>
  </si>
  <si>
    <t>ProcedureExecutions.SendDecisionsAreEntirelySelfWitnessed</t>
  </si>
  <si>
    <t>=AND({{IntendedRecipientCount}} &gt; 0, {{IndependentlyConfirmedIntentCount}} = 0)</t>
  </si>
  <si>
    <t>ProcedureExecutions.SemanticTypeIri</t>
  </si>
  <si>
    <t>StepExecutions.StepExecutionId</t>
  </si>
  <si>
    <t>StepExecutions.Name</t>
  </si>
  <si>
    <t>={{ProcedureExecution}} &amp; " / " &amp; {{Step}}</t>
  </si>
  <si>
    <t>StepExecutions.ProcedureExecution</t>
  </si>
  <si>
    <t>StepExecutions.Step</t>
  </si>
  <si>
    <t>StepExecutions.ExecutedByAgent</t>
  </si>
  <si>
    <t>StepExecutions.ExecutionStatus</t>
  </si>
  <si>
    <t>StepExecutions.StartedAt</t>
  </si>
  <si>
    <t>StepExecutions.EndedAt</t>
  </si>
  <si>
    <t>StepExecutions.VerificationResult</t>
  </si>
  <si>
    <t>StepExecutions.Deviation</t>
  </si>
  <si>
    <t>StepExecutions.ActualDurationMinutes</t>
  </si>
  <si>
    <t>=IF({{EndedAt}} = "", 0, DATETIME_DIFF({{EndedAt}}, {{StartedAt}}, "minutes"))</t>
  </si>
  <si>
    <t>StepExecutions.ExpectedDurationMinutes</t>
  </si>
  <si>
    <t>=INDEX(Steps!{{ExpectedDurationMinutes}}, MATCH({{Step}}, Steps!{{StepId}}, 0))</t>
  </si>
  <si>
    <t>StepExecutions.IsLate</t>
  </si>
  <si>
    <t>={{ActualDurationMinutes}} &gt; {{ExpectedDurationMinutes}}</t>
  </si>
  <si>
    <t>StepExecutions.BlockingUnmetCount</t>
  </si>
  <si>
    <t>=COUNTIFS(RequirementSatisfactions!{{StepExecution}}, {{StepExecutionId}}, RequirementSatisfactions!{{IsBlockingAndUnmet}}, TRUE)</t>
  </si>
  <si>
    <t>StepExecutions.BlockingUnmetCountSafe</t>
  </si>
  <si>
    <t>=COUNTIFS(RequirementSatisfactions!{{BlockingUnmetStepKey}}, {{StepExecutionId}})</t>
  </si>
  <si>
    <t>StepExecutions.ProceededPastBlockingControl</t>
  </si>
  <si>
    <t>=AND({{ExecutionStatus}} = "Completed", {{BlockingUnmetCountSafe}} &gt; 0)</t>
  </si>
  <si>
    <t>StepExecutions.ExpectedBlockingCount</t>
  </si>
  <si>
    <t>=INDEX(Steps!{{BlockingRequirementCount}}, MATCH({{Step}}, Steps!{{StepId}}, 0))</t>
  </si>
  <si>
    <t>StepExecutions.EvaluatedBlockingCount</t>
  </si>
  <si>
    <t>=COUNTIFS(RequirementSatisfactions!{{BlockingSatisfactionStepKey}}, {{StepExecutionId}})</t>
  </si>
  <si>
    <t>StepExecutions.UnevaluatedBlockingCount</t>
  </si>
  <si>
    <t>={{ExpectedBlockingCount}} - {{EvaluatedBlockingCount}}</t>
  </si>
  <si>
    <t>StepExecutions.HasUnevaluatedBlockingControl</t>
  </si>
  <si>
    <t>={{UnevaluatedBlockingCount}} &gt; 0</t>
  </si>
  <si>
    <t>StepExecutions.StaleAuthoritativeSourceCount</t>
  </si>
  <si>
    <t>=INDEX(Steps!{{AuthoritativeStaleCount}}, MATCH({{Step}}, Steps!{{StepId}}, 0))</t>
  </si>
  <si>
    <t>StepExecutions.RanOnStaleAuthoritativeSource</t>
  </si>
  <si>
    <t>={{StaleAuthoritativeSourceCount}} &gt; 0</t>
  </si>
  <si>
    <t>StepExecutions.HasDeviationNote</t>
  </si>
  <si>
    <t>={{Deviation}} &lt;&gt; ""</t>
  </si>
  <si>
    <t>StepExecutions.IsLateAndUnexplained</t>
  </si>
  <si>
    <t>=AND({{IsLate}}, NOT({{HasDeviationNote}}))</t>
  </si>
  <si>
    <t>StepExecutions.AvailableExceptionCountForStep</t>
  </si>
  <si>
    <t>=INDEX(Steps!{{AvailableExceptionCount}}, MATCH({{Step}}, Steps!{{StepId}}, 0))</t>
  </si>
  <si>
    <t>StepExecutions.HadUninvokedExceptionAvailable</t>
  </si>
  <si>
    <t>=AND({{IsLateAndUnexplained}}, {{AvailableExceptionCountForStep}} &gt; 0)</t>
  </si>
  <si>
    <t>StepExecutions.ExpectedVerificationCount</t>
  </si>
  <si>
    <t>=INDEX(Steps!{{DeclaredVerificationCount}}, MATCH({{Step}}, Steps!{{StepId}}, 0))</t>
  </si>
  <si>
    <t>StepExecutions.PerformedVerificationCount</t>
  </si>
  <si>
    <t>=COUNTIFS(VerificationOutcomes!{{StepExecution}}, {{StepExecutionId}})</t>
  </si>
  <si>
    <t>StepExecutions.SkippedVerificationCount</t>
  </si>
  <si>
    <t>={{ExpectedVerificationCount}} - {{PerformedVerificationCount}}</t>
  </si>
  <si>
    <t>StepExecutions.HasSkippedVerification</t>
  </si>
  <si>
    <t>={{SkippedVerificationCount}} &gt; 0</t>
  </si>
  <si>
    <t>StepExecutions.ClaimsPassWithoutEvidence</t>
  </si>
  <si>
    <t>=AND({{VerificationResult}} = "PASS", {{HasSkippedVerification}})</t>
  </si>
  <si>
    <t>StepExecutions.StepIsPreparation</t>
  </si>
  <si>
    <t>=INDEX(Steps!{{IsPreparationStep}}, MATCH({{Step}}, Steps!{{StepId}}, 0))</t>
  </si>
  <si>
    <t>StepExecutions.StepIsApproval</t>
  </si>
  <si>
    <t>=INDEX(Steps!{{IsApprovalStep}}, MATCH({{Step}}, Steps!{{StepId}}, 0))</t>
  </si>
  <si>
    <t>StepExecutions.PreparerAgentKey</t>
  </si>
  <si>
    <t>=IF({{StepIsPreparation}}, {{ProcedureExecution}} &amp; "|" &amp; {{ExecutedByAgent}}, "")</t>
  </si>
  <si>
    <t>StepExecutions.ApproverAgentKey</t>
  </si>
  <si>
    <t>=IF({{StepIsApproval}}, {{ProcedureExecution}} &amp; "|" &amp; {{ExecutedByAgent}}, "")</t>
  </si>
  <si>
    <t>StepExecutions.PreparedByThisAgentCount</t>
  </si>
  <si>
    <t>=COUNTIFS(StepExecutions!{{PreparerAgentKey}}, {{ApproverAgentKey}})</t>
  </si>
  <si>
    <t>=AND({{StepIsApproval}}, {{PreparedByThisAgentCount}} &gt; 0)</t>
  </si>
  <si>
    <t>StepExecutions.RequiredRoleForStep</t>
  </si>
  <si>
    <t>=INDEX(Steps!{{AssignedRole}}, MATCH({{Step}}, Steps!{{StepId}}, 0))</t>
  </si>
  <si>
    <t>StepExecutions.ExecutorRoleKey</t>
  </si>
  <si>
    <t>={{ExecutedByAgent}} &amp; "|" &amp; {{RequiredRoleForStep}}</t>
  </si>
  <si>
    <t>StepExecutions.ExecutorAuthorityCount</t>
  </si>
  <si>
    <t>=COUNTIFS(RoleAssignments!{{AgentRoleKey}}, {{ExecutorRoleKey}})</t>
  </si>
  <si>
    <t>StepExecutions.ExecutorHeldRequiredRole</t>
  </si>
  <si>
    <t>={{ExecutorAuthorityCount}} &gt; 0</t>
  </si>
  <si>
    <t>StepExecutions.IsUnauthorizedApproval</t>
  </si>
  <si>
    <t>=AND({{StepIsApproval}}, NOT({{ExecutorHeldRequiredRole}}))</t>
  </si>
  <si>
    <t>StepExecutions.CompletedExecutionKey</t>
  </si>
  <si>
    <t>=IF({{ExecutionStatus}} = "Completed", {{ProcedureExecution}}, "")</t>
  </si>
  <si>
    <t>StepExecutions.ControlBreachExecutionKey</t>
  </si>
  <si>
    <t>=IF(OR({{ProceededPastBlockingControl}}, {{ViolatesSeparationOfDuties}}, {{IsUnauthorizedApproval}}, {{ClaimsPassWithoutEvidence}}), {{ProcedureExecution}}, "")</t>
  </si>
  <si>
    <t>StepExecutions.LateExecutionKey</t>
  </si>
  <si>
    <t>=IF({{IsLate}}, {{ProcedureExecution}}, "")</t>
  </si>
  <si>
    <t>StepExecutions.ExecutorAgentKind</t>
  </si>
  <si>
    <t>=INDEX(Agents!{{AgentKind}}, MATCH({{ExecutedByAgent}}, Agents!{{AgentId}}, 0))</t>
  </si>
  <si>
    <t>StepExecutions.ExecutorIsHuman</t>
  </si>
  <si>
    <t>={{ExecutorAgentKind}} = "Human"</t>
  </si>
  <si>
    <t>StepExecutions.StepRequiresHumanConfirmation</t>
  </si>
  <si>
    <t>=INDEX(Steps!{{RequiresHumanConfirmation}}, MATCH({{Step}}, Steps!{{StepId}}, 0))</t>
  </si>
  <si>
    <t>StepExecutions.NonHumanRanHumanStep</t>
  </si>
  <si>
    <t>=AND({{StepRequiresHumanConfirmation}}, NOT({{ExecutorIsHuman}}))</t>
  </si>
  <si>
    <t>StepExecutions.NonHumanApproval</t>
  </si>
  <si>
    <t>=AND({{StepIsApproval}}, NOT({{ExecutorIsHuman}}))</t>
  </si>
  <si>
    <t>StepExecutions.UnevaluatedBlockingExecutionKey</t>
  </si>
  <si>
    <t>=IF({{HasUnevaluatedBlockingControl}}, {{ProcedureExecution}}, "")</t>
  </si>
  <si>
    <t>StepExecutions.SeparationViolationExecutionKey</t>
  </si>
  <si>
    <t>=IF({{ViolatesSeparationOfDuties}}, {{ProcedureExecution}}, "")</t>
  </si>
  <si>
    <t>StepExecutions.SelfWitnessedVerificationCount</t>
  </si>
  <si>
    <t>=COUNTIFS(VerificationOutcomes!{{SelfWitnessedStepKey}}, {{StepExecutionId}})</t>
  </si>
  <si>
    <t>StepExecutions.UnbackedVerificationCount</t>
  </si>
  <si>
    <t>=COUNTIFS(VerificationOutcomes!{{UnbackedStepKey}}, {{StepExecutionId}})</t>
  </si>
  <si>
    <t>StepExecutions.ApprovalRestsOnSelfAttestation</t>
  </si>
  <si>
    <t>=AND({{StepIsApproval}}, OR({{SelfWitnessedVerificationCount}} &gt; 0, {{HasSkippedVerification}}))</t>
  </si>
  <si>
    <t>StepExecutions.ExceptionInvocationCount</t>
  </si>
  <si>
    <t>=COUNTIFS(ExceptionInvocations!{{StepExecution}}, {{StepExecutionId}})</t>
  </si>
  <si>
    <t>StepExecutions.RanUnderException</t>
  </si>
  <si>
    <t>={{ExceptionInvocationCount}} &gt; 0</t>
  </si>
  <si>
    <t>StepExecutions.IsCompleted</t>
  </si>
  <si>
    <t>={{ExecutionStatus}} = "Completed"</t>
  </si>
  <si>
    <t>StepExecutions.IsVerificationPassed</t>
  </si>
  <si>
    <t>={{VerificationResult}} = "PASS"</t>
  </si>
  <si>
    <t>StepExecutions.IsLegalReviewStep</t>
  </si>
  <si>
    <t>={{Step}} = "policy-04"</t>
  </si>
  <si>
    <t>StepExecutions.ClearedLegalReviewKey</t>
  </si>
  <si>
    <t>=IF(AND({{IsLegalReviewStep}}, {{IsVerificationPassed}}), {{ProcedureExecution}}, "")</t>
  </si>
  <si>
    <t>StepExecutions.AssignedRole</t>
  </si>
  <si>
    <t>StepExecutions.RoleCurrentAgent</t>
  </si>
  <si>
    <t>=INDEX(Roles!{{CurrentAgent}}, MATCH({{AssignedRole}}, Roles!{{RoleId}}, 0))</t>
  </si>
  <si>
    <t>StepExecutions.ExecutorIsDesignatedAgent</t>
  </si>
  <si>
    <t>={{ExecutedByAgent}} = {{RoleCurrentAgent}}</t>
  </si>
  <si>
    <t>StepExecutions.InputsWereFreshAtRun</t>
  </si>
  <si>
    <t>=INDEX(Steps!{{InputsAreFresh}}, MATCH({{Step}}, Steps!{{StepId}}, 0))</t>
  </si>
  <si>
    <t>StepExecutions.RanOnStaleInputs</t>
  </si>
  <si>
    <t>=AND({{ExecutionStatus}} = "Completed", NOT({{InputsWereFreshAtRun}}))</t>
  </si>
  <si>
    <t>StepExecutions.UnresolvedIssueCount</t>
  </si>
  <si>
    <t>=COUNTIFS(IssueOccurrences!{{StepExecutionWhenUnresolved}}, {{StepExecutionId}})</t>
  </si>
  <si>
    <t>StepExecutions.HasDeviation</t>
  </si>
  <si>
    <t>StepExecutions.IsClean</t>
  </si>
  <si>
    <t>=AND({{VerificationResult}} = "PASS", NOT({{HasDeviation}}), {{UnresolvedIssueCount}} = 0, NOT({{IsLate}}))</t>
  </si>
  <si>
    <t>StepExecutions.ProcedureExecutionWhenUnclean</t>
  </si>
  <si>
    <t>=IF({{IsClean}}, "", {{ProcedureExecution}})</t>
  </si>
  <si>
    <t>StepExecutions.EvaluatedRequirementCount</t>
  </si>
  <si>
    <t>=COUNTIFS(RequirementSatisfactions!{{StepExecutionWhenScored}}, {{StepExecutionId}})</t>
  </si>
  <si>
    <t>StepExecutions.RequiredBlockingCount</t>
  </si>
  <si>
    <t>StepExecutions.HasUnevaluatedBlockingRequirement</t>
  </si>
  <si>
    <t>={{EvaluatedRequirementCount}} &lt; {{RequiredBlockingCount}}</t>
  </si>
  <si>
    <t>StepExecutions.ExecutingAgentKind</t>
  </si>
  <si>
    <t>StepExecutions.WasExecutedBySoftware</t>
  </si>
  <si>
    <t>=OR({{ExecutingAgentKind}} = "AIAgent", {{ExecutingAgentKind}} = "AutomatedPipeline")</t>
  </si>
  <si>
    <t>StepExecutions.StepIsSoftwareAssigned</t>
  </si>
  <si>
    <t>StepExecutions.SoftwareDidHumanWork</t>
  </si>
  <si>
    <t>=AND({{WasExecutedBySoftware}}, NOT({{StepIsSoftwareAssigned}}))</t>
  </si>
  <si>
    <t>StepExecutions.IsApprovalExecution</t>
  </si>
  <si>
    <t>=INDEX(Steps!{{IsHumanApprovalGate}}, MATCH({{Step}}, Steps!{{StepId}}, 0))</t>
  </si>
  <si>
    <t>StepExecutions.IsVerified</t>
  </si>
  <si>
    <t>=AND({{VerificationResult}} &lt;&gt; "", {{VerificationResult}} &lt;&gt; "PENDING", {{VerificationResult}} &lt;&gt; "FAIL")</t>
  </si>
  <si>
    <t>StepExecutions.UnconfirmedNonHumanDecisionCount</t>
  </si>
  <si>
    <t>=COUNTIFS(AgentDecisionRecords!{{StepExecutionWhenUnconfirmed}}, {{StepExecutionId}})</t>
  </si>
  <si>
    <t>StepExecutions.RequiresHumanConfirmation</t>
  </si>
  <si>
    <t>StepExecutions.HumanConfirmationMissing</t>
  </si>
  <si>
    <t>=AND({{RequiresHumanConfirmation}}, {{UnconfirmedNonHumanDecisionCount}} &gt; 0)</t>
  </si>
  <si>
    <t>StepExecutions.DraftedFromUnusableSource</t>
  </si>
  <si>
    <t>=AND({{ExecutionStatus}} = "Completed", NOT({{InputsWereUsable}}))</t>
  </si>
  <si>
    <t>StepExecutions.InputsWereUsable</t>
  </si>
  <si>
    <t>=INDEX(Steps!{{AllSourcesUsable}}, MATCH({{Step}}, Steps!{{StepId}}, 0))</t>
  </si>
  <si>
    <t>StepExecutions.SoftwareExecutionStepKey</t>
  </si>
  <si>
    <t>=IF({{WasExecutedBySoftware}}, {{Step}}, "")</t>
  </si>
  <si>
    <t>StepExecutions.StepControlKind</t>
  </si>
  <si>
    <t>=INDEX(Steps!{{ControlKind}}, MATCH({{Step}}, Steps!{{StepId}}, 0))</t>
  </si>
  <si>
    <t>StepExecutions.UnfalsifiedClearanceCount</t>
  </si>
  <si>
    <t>=COUNTIFS(RequirementSatisfactions!{{UnfalsifiedClearanceStepKey}}, {{StepExecutionId}})</t>
  </si>
  <si>
    <t>StepExecutions.AllClearancesAreUnfalsified</t>
  </si>
  <si>
    <t>=AND({{EvaluatedBlockingCount}} &gt; 0, {{UnfalsifiedClearanceCount}} &gt;= {{EvaluatedBlockingCount}})</t>
  </si>
  <si>
    <t>StepExecutions.StaleAtRunCount</t>
  </si>
  <si>
    <t>=COUNTIFS(BindingObservations!{{StaleAtRunStepKey}}, {{StepExecutionId}})</t>
  </si>
  <si>
    <t>StepExecutions.WasStaleWhenIRanIt</t>
  </si>
  <si>
    <t>={{StaleAtRunCount}} &gt; 0</t>
  </si>
  <si>
    <t>StepExecutions.StalenessAnswerIsTenseDependent</t>
  </si>
  <si>
    <t>=NOT({{WasStaleWhenIRanIt}} = {{RanOnStaleAuthoritativeSource}})</t>
  </si>
  <si>
    <t>StepExecutions.HasAnyDeclaredCheck</t>
  </si>
  <si>
    <t>=OR({{ExpectedVerificationCount}} &gt; 0, {{ExpectedBlockingCount}} &gt; 0)</t>
  </si>
  <si>
    <t>StepExecutions.PerformedCheckCount</t>
  </si>
  <si>
    <t>={{PerformedVerificationCount}} + {{EvaluatedBlockingCount}}</t>
  </si>
  <si>
    <t>StepExecutions.DeclaredCheckCount</t>
  </si>
  <si>
    <t>={{ExpectedVerificationCount}} + {{ExpectedBlockingCount}}</t>
  </si>
  <si>
    <t>StepExecutions.IsUncheckedByDesign</t>
  </si>
  <si>
    <t>={{DeclaredCheckCount}} = 0</t>
  </si>
  <si>
    <t>StepExecutions.IsVacuouslyClean</t>
  </si>
  <si>
    <t>=AND({{IsClean}}, {{IsUncheckedByDesign}})</t>
  </si>
  <si>
    <t>StepExecutions.IsSubstantivelyClean</t>
  </si>
  <si>
    <t>=AND({{IsClean}}, {{PerformedCheckCount}} &gt;= {{DeclaredCheckCount}}, {{DeclaredCheckCount}} &gt; 0)</t>
  </si>
  <si>
    <t>StepExecutions.VacuouslyCleanExecutionKey</t>
  </si>
  <si>
    <t>=IF({{IsVacuouslyClean}}, {{ProcedureExecution}}, "")</t>
  </si>
  <si>
    <t>StepExecutions.UncorroboratedPassCount</t>
  </si>
  <si>
    <t>=COUNTIFS(VerificationOutcomes!{{UncorroboratedPassStepKey}}, {{StepExecutionId}})</t>
  </si>
  <si>
    <t>StepExecutions.EvidencePositionIsWeak</t>
  </si>
  <si>
    <t>=AND({{PerformedVerificationCount}} &gt; 0, {{UncorroboratedPassCount}} &gt;= {{PerformedVerificationCount}})</t>
  </si>
  <si>
    <t>StepExecutions.PreparationExecutionKey</t>
  </si>
  <si>
    <t>=IF({{StepIsPreparation}}, {{ProcedureExecution}}, "")</t>
  </si>
  <si>
    <t>StepExecutions.ApprovalExecutionKey</t>
  </si>
  <si>
    <t>=IF({{StepIsApproval}}, {{ProcedureExecution}}, "")</t>
  </si>
  <si>
    <t>StepExecutions.HasGoverningInstrument</t>
  </si>
  <si>
    <t>=OR({{RanUnderException}}, {{HasApprovedChangeCoverage}})</t>
  </si>
  <si>
    <t>StepExecutions.HasApprovedChangeCoverage</t>
  </si>
  <si>
    <t>=INDEX(ProcedureVersions!{{HasApprovedChangeRequest}}, MATCH({{VersionOfStep}}, ProcedureVersions!{{ProcedureVersionId}}, 0))</t>
  </si>
  <si>
    <t>StepExecutions.VersionOfStep</t>
  </si>
  <si>
    <t>StepExecutions.IsUngovernedDivergence</t>
  </si>
  <si>
    <t>=AND(OR({{HasDeviation}}, {{IsLate}}, {{ProceededPastBlockingControl}}), NOT({{HasGoverningInstrument}}))</t>
  </si>
  <si>
    <t>StepExecutions.UngovernedDivergenceExecutionKey</t>
  </si>
  <si>
    <t>=IF({{IsUngovernedDivergence}}, {{ProcedureExecution}}, "")</t>
  </si>
  <si>
    <t>StepExecutions.SelfAttestedApprovalExecutionKey</t>
  </si>
  <si>
    <t>=IF({{ApprovalRestsOnSelfAttestation}}, {{ProcedureExecution}}, "")</t>
  </si>
  <si>
    <t>StepExecutions.SemanticTypeIri</t>
  </si>
  <si>
    <t>RequirementSatisfactions.RequirementSatisfactionId</t>
  </si>
  <si>
    <t>RequirementSatisfactions.Name</t>
  </si>
  <si>
    <t>={{Requirement}} &amp; " / " &amp; {{SatisfactionLevel}}</t>
  </si>
  <si>
    <t>RequirementSatisfactions.StepExecution</t>
  </si>
  <si>
    <t>RequirementSatisfactions.Requirement</t>
  </si>
  <si>
    <t>RequirementSatisfactions.SatisfactionLevel</t>
  </si>
  <si>
    <t>RequirementSatisfactions.Evidence</t>
  </si>
  <si>
    <t>RequirementSatisfactions.EvaluatedByAgent</t>
  </si>
  <si>
    <t>RequirementSatisfactions.EvaluatedAt</t>
  </si>
  <si>
    <t>RequirementSatisfactions.RequirementIsBlocking</t>
  </si>
  <si>
    <t>RequirementSatisfactions.IsFullySatisfied</t>
  </si>
  <si>
    <t>={{SatisfactionLevel}} = "Satisfied"</t>
  </si>
  <si>
    <t>=AND({{RequirementIsBlocking}}, NOT({{IsFullySatisfied}}))</t>
  </si>
  <si>
    <t>RequirementSatisfactions.BlockingUnmetStepKey</t>
  </si>
  <si>
    <t>=IF({{IsBlockingAndUnmet}}, {{StepExecution}}, "")</t>
  </si>
  <si>
    <t>RequirementSatisfactions.BlockingSatisfactionStepKey</t>
  </si>
  <si>
    <t>=IF({{RequirementIsBlocking}}, {{StepExecution}}, "")</t>
  </si>
  <si>
    <t>RequirementSatisfactions.NegativeOutcomeRequirementKey</t>
  </si>
  <si>
    <t>=IF(NOT({{IsFullySatisfied}}), {{Requirement}}, "")</t>
  </si>
  <si>
    <t>RequirementSatisfactions.EvaluatorAgentKind</t>
  </si>
  <si>
    <t>=INDEX(Agents!{{AgentKind}}, MATCH({{EvaluatedByAgent}}, Agents!{{AgentId}}, 0))</t>
  </si>
  <si>
    <t>RequirementSatisfactions.NonHumanEvaluatedHumanControl</t>
  </si>
  <si>
    <t>=AND({{RequirementIsBlocking}}, {{EvaluatorAgentKind}} &lt;&gt; "Human")</t>
  </si>
  <si>
    <t>RequirementSatisfactions.RequirementHasComputedWitness</t>
  </si>
  <si>
    <t>=INDEX(Requirements!{{HasComputedWitness}}, MATCH({{Requirement}}, Requirements!{{RequirementId}}, 0))</t>
  </si>
  <si>
    <t>RequirementSatisfactions.IsAssertedOnly</t>
  </si>
  <si>
    <t>=AND({{RequirementIsBlocking}}, {{IsFullySatisfied}}, NOT({{RequirementHasComputedWitness}}))</t>
  </si>
  <si>
    <t>RequirementSatisfactions.AssertedOnlyExecutionKey</t>
  </si>
  <si>
    <t>=IF({{IsAssertedOnly}}, {{ParentProcedureExecution}}, "")</t>
  </si>
  <si>
    <t>RequirementSatisfactions.ParentProcedureExecution</t>
  </si>
  <si>
    <t>=INDEX(StepExecutions!{{ProcedureExecution}}, MATCH({{StepExecution}}, StepExecutions!{{StepExecutionId}}, 0))</t>
  </si>
  <si>
    <t>RequirementSatisfactions.StepExecutionWhenScored</t>
  </si>
  <si>
    <t>=IF({{SatisfactionLevel}} &lt;&gt; "", {{StepExecution}}, "")</t>
  </si>
  <si>
    <t>RequirementSatisfactions.IsHumanEvaluated</t>
  </si>
  <si>
    <t>={{EvaluatorAgentKind}} = "Human"</t>
  </si>
  <si>
    <t>RequirementSatisfactions.RequirementIsApprovalType</t>
  </si>
  <si>
    <t>=INDEX(Requirements!{{RequirementType}}, MATCH({{Requirement}}, Requirements!{{RequirementId}}, 0))</t>
  </si>
  <si>
    <t>RequirementSatisfactions.IsInvalidApproval</t>
  </si>
  <si>
    <t>=AND({{RequirementIsApprovalType}} = "Approval", OR(NOT({{IsFullySatisfied}}), NOT({{IsHumanEvaluated}})))</t>
  </si>
  <si>
    <t>RequirementSatisfactions.ProcedureExecutionOfSatisfaction</t>
  </si>
  <si>
    <t>RequirementSatisfactions.RunWhenInvalidApproval</t>
  </si>
  <si>
    <t>=IF({{IsInvalidApproval}}, {{ProcedureExecutionOfSatisfaction}}, "")</t>
  </si>
  <si>
    <t>RequirementSatisfactions.RequirementIsUnfalsified</t>
  </si>
  <si>
    <t>=INDEX(Requirements!{{IsUnfalsifiedControl}}, MATCH({{Requirement}}, Requirements!{{RequirementId}}, 0))</t>
  </si>
  <si>
    <t>RequirementSatisfactions.IsClearanceByUnfalsifiedControl</t>
  </si>
  <si>
    <t>=AND({{IsFullySatisfied}}, {{RequirementIsBlocking}}, {{RequirementIsUnfalsified}})</t>
  </si>
  <si>
    <t>RequirementSatisfactions.UnfalsifiedClearanceStepKey</t>
  </si>
  <si>
    <t>=IF({{IsClearanceByUnfalsifiedControl}}, {{StepExecution}}, "")</t>
  </si>
  <si>
    <t>RequirementSatisfactions.SpecStepOfExecution</t>
  </si>
  <si>
    <t>=INDEX(StepExecutions!{{Step}}, MATCH({{StepExecution}}, StepExecutions!{{StepExecutionId}}, 0))</t>
  </si>
  <si>
    <t>RequirementSatisfactions.BindingKey</t>
  </si>
  <si>
    <t>=INDEX(StepRequirements!{{StepRequirementId}}, MATCH({{RequirementSatisfactionId}}, StepRequirements!{{StepRequirementId}}, 0))</t>
  </si>
  <si>
    <t>RequirementSatisfactions.ScoredStepExecutorAgent</t>
  </si>
  <si>
    <t>=INDEX(StepExecutions!{{ExecutedByAgent}}, MATCH({{StepExecution}}, StepExecutions!{{StepExecutionId}}, 0))</t>
  </si>
  <si>
    <t>RequirementSatisfactions.EvaluatorIsStepExecutor</t>
  </si>
  <si>
    <t>={{EvaluatedByAgent}} = {{ScoredStepExecutorAgent}}</t>
  </si>
  <si>
    <t>RequirementSatisfactions.RunOwnerAgent</t>
  </si>
  <si>
    <t>=INDEX(ProcedureExecutions!{{ExecutedByAgent}}, MATCH({{ParentProcedureExecution}}, ProcedureExecutions!{{ProcedureExecutionId}}, 0))</t>
  </si>
  <si>
    <t>RequirementSatisfactions.EvaluatorOwnsTheRun</t>
  </si>
  <si>
    <t>={{EvaluatedByAgent}} = {{RunOwnerAgent}}</t>
  </si>
  <si>
    <t>RequirementSatisfactions.IsInterestedPartyAssertion</t>
  </si>
  <si>
    <t>=AND({{IsAssertedOnly}}, OR({{EvaluatorIsStepExecutor}}, {{EvaluatorOwnsTheRun}}))</t>
  </si>
  <si>
    <t>RequirementSatisfactions.HasWrittenEvidence</t>
  </si>
  <si>
    <t>={{Evidence}} &lt;&gt; ""</t>
  </si>
  <si>
    <t>RequirementSatisfactions.IsBareAssertion</t>
  </si>
  <si>
    <t>=AND({{IsAssertedOnly}}, NOT({{HasWrittenEvidence}}))</t>
  </si>
  <si>
    <t>RequirementSatisfactions.InterestedAssertionExecutionKey</t>
  </si>
  <si>
    <t>=IF({{IsInterestedPartyAssertion}}, {{ParentProcedureExecution}}, "")</t>
  </si>
  <si>
    <t>RequirementSatisfactions.IsComputedlyWitnessed</t>
  </si>
  <si>
    <t>=AND({{RequirementIsBlocking}}, {{RequirementHasComputedWitness}})</t>
  </si>
  <si>
    <t>RequirementSatisfactions.ComputedWitnessExecutionKey</t>
  </si>
  <si>
    <t>=IF({{IsComputedlyWitnessed}}, {{ParentProcedureExecution}}, "")</t>
  </si>
  <si>
    <t>RequirementSatisfactions.StepExecutorAgent</t>
  </si>
  <si>
    <t>RequirementSatisfactions.WasScoredAfterAttestation</t>
  </si>
  <si>
    <t>=DATETIME_DIFF({{EvaluatedAt}}, {{AttestationInstantForRun}}, "minutes") &gt; 0</t>
  </si>
  <si>
    <t>RequirementSatisfactions.AttestationInstantForRun</t>
  </si>
  <si>
    <t>=INDEX(ProcedureExecutions!{{LatestAttestationInstant}}, MATCH({{ParentProcedureExecution}}, ProcedureExecutions!{{ProcedureExecutionId}}, 0))</t>
  </si>
  <si>
    <t>RequirementSatisfactions.PostAttestationScoreExecutionKey</t>
  </si>
  <si>
    <t>=IF({{WasScoredAfterAttestation}}, {{ParentProcedureExecution}}, "")</t>
  </si>
  <si>
    <t>RequirementSatisfactions.SemanticTypeIri</t>
  </si>
  <si>
    <t>Errors.ErrorId</t>
  </si>
  <si>
    <t>Errors.Name</t>
  </si>
  <si>
    <t>={{ErrorCode}} &amp; " - " &amp; {{Label}}</t>
  </si>
  <si>
    <t>Errors.Label</t>
  </si>
  <si>
    <t>Errors.ErrorCode</t>
  </si>
  <si>
    <t>Errors.ErrorCause</t>
  </si>
  <si>
    <t>Errors.SemanticTypeIri</t>
  </si>
  <si>
    <t>IssueOccurrences.IssueOccurrenceId</t>
  </si>
  <si>
    <t>IssueOccurrences.Name</t>
  </si>
  <si>
    <t>={{Error}} &amp; " @ " &amp; {{OccurredAt}}</t>
  </si>
  <si>
    <t>IssueOccurrences.StepExecution</t>
  </si>
  <si>
    <t>IssueOccurrences.Error</t>
  </si>
  <si>
    <t>IssueOccurrences.EncounteredByAgent</t>
  </si>
  <si>
    <t>IssueOccurrences.OccurredAt</t>
  </si>
  <si>
    <t>IssueOccurrences.IssueCause</t>
  </si>
  <si>
    <t>IssueOccurrences.IssueSolution</t>
  </si>
  <si>
    <t>IssueOccurrences.Status</t>
  </si>
  <si>
    <t>IssueOccurrences.IsUnresolved</t>
  </si>
  <si>
    <t>=OR({{Status}} = "Open", {{Status}} = "Investigating", {{Status}} = "Monitoring")</t>
  </si>
  <si>
    <t>IssueOccurrences.StepExecutionWhenUnresolved</t>
  </si>
  <si>
    <t>=IF({{IsUnresolved}}, {{StepExecution}}, "")</t>
  </si>
  <si>
    <t>IssueOccurrences.SemanticTypeIri</t>
  </si>
  <si>
    <t>UserQuestions.UserQuestionId</t>
  </si>
  <si>
    <t>UserQuestions.Name</t>
  </si>
  <si>
    <t>=LEFT({{QuestionText}}, 70)</t>
  </si>
  <si>
    <t>UserQuestions.StepExecution</t>
  </si>
  <si>
    <t>UserQuestions.AskedByAgent</t>
  </si>
  <si>
    <t>UserQuestions.AskedAt</t>
  </si>
  <si>
    <t>UserQuestions.QuestionText</t>
  </si>
  <si>
    <t>UserQuestions.ResolvedByFaq</t>
  </si>
  <si>
    <t>UserQuestions.AddressedByResource</t>
  </si>
  <si>
    <t>UserQuestions.Status</t>
  </si>
  <si>
    <t>UserQuestions.SemanticTypeIri</t>
  </si>
  <si>
    <t>UserFeedback.UserFeedbackId</t>
  </si>
  <si>
    <t>UserFeedback.Name</t>
  </si>
  <si>
    <t>={{Disposition}} &amp; ": " &amp; LEFT({{FeedbackText}}, 60)</t>
  </si>
  <si>
    <t>UserFeedback.ProcedureExecution</t>
  </si>
  <si>
    <t>UserFeedback.ProvidedByAgent</t>
  </si>
  <si>
    <t>UserFeedback.ProvidedAt</t>
  </si>
  <si>
    <t>UserFeedback.FeedbackText</t>
  </si>
  <si>
    <t>UserFeedback.Disposition</t>
  </si>
  <si>
    <t>UserFeedback.ChangeRequestKey</t>
  </si>
  <si>
    <t>UserFeedback.SemanticTypeIri</t>
  </si>
  <si>
    <t>StewardshipAssignments.StewardshipAssignmentId</t>
  </si>
  <si>
    <t>StewardshipAssignments.Name</t>
  </si>
  <si>
    <t>={{ProcedureVersion}} &amp; " / steward=" &amp; {{StewardRole}}</t>
  </si>
  <si>
    <t>StewardshipAssignments.ProcedureVersion</t>
  </si>
  <si>
    <t>StewardshipAssignments.StewardRole</t>
  </si>
  <si>
    <t>StewardshipAssignments.AuthorityRole</t>
  </si>
  <si>
    <t>StewardshipAssignments.ValidFrom</t>
  </si>
  <si>
    <t>StewardshipAssignments.ValidTo</t>
  </si>
  <si>
    <t>StewardshipAssignments.ReviewCadenceDays</t>
  </si>
  <si>
    <t>StewardshipAssignments.CountOfReviewEvents</t>
  </si>
  <si>
    <t>=COUNTIFS(ReviewEvents!{{ProcedureVersion}}, StewardshipAssignments!{{ProcedureVersion}})</t>
  </si>
  <si>
    <t>StewardshipAssignments.HasEverBeenReviewed</t>
  </si>
  <si>
    <t>={{CountOfReviewEvents}} &gt; 0</t>
  </si>
  <si>
    <t>StewardshipAssignments.EvaluationContext</t>
  </si>
  <si>
    <t>StewardshipAssignments.AsOfInstant</t>
  </si>
  <si>
    <t>StewardshipAssignments.IsCurrentAssignment</t>
  </si>
  <si>
    <t>StewardshipAssignments.SemanticTypeIri</t>
  </si>
  <si>
    <t>ChangeRequests.ChangeRequestId</t>
  </si>
  <si>
    <t>ChangeRequests</t>
  </si>
  <si>
    <t>ChangeRequests.Name</t>
  </si>
  <si>
    <t>ChangeRequests.ProcedureVersion</t>
  </si>
  <si>
    <t>ChangeRequests.Title</t>
  </si>
  <si>
    <t>ChangeRequests.ChangeKind</t>
  </si>
  <si>
    <t>ChangeRequests.Status</t>
  </si>
  <si>
    <t>ChangeRequests.RequestedByAgent</t>
  </si>
  <si>
    <t>ChangeRequests.AuthorityRole</t>
  </si>
  <si>
    <t>ChangeRequests.RequestedAt</t>
  </si>
  <si>
    <t>ChangeRequests.DecidedAt</t>
  </si>
  <si>
    <t>ChangeRequests.ImpactAssessment</t>
  </si>
  <si>
    <t>ChangeRequests.IsOpen</t>
  </si>
  <si>
    <t>=AND(OR({{Status}} = "Draft", {{Status}} = "UnderReview", {{Status}} = "Approved"), {{ImplementedAt}} = "")</t>
  </si>
  <si>
    <t>ChangeRequests.OpenChangeVersionKey</t>
  </si>
  <si>
    <t>=IF({{IsOpen}}, {{ProcedureVersion}}, "")</t>
  </si>
  <si>
    <t>ChangeRequests.IsDecided</t>
  </si>
  <si>
    <t>={{DecidedAt}} &lt;&gt; ""</t>
  </si>
  <si>
    <t>ChangeRequests.EvaluationContext</t>
  </si>
  <si>
    <t>ChangeRequests.AsOfInstant</t>
  </si>
  <si>
    <t>ChangeRequests.DaysPending</t>
  </si>
  <si>
    <t>=IF({{IsDecided}}, DATETIME_DIFF({{DecidedAt}}, {{RequestedAt}}, "days"), DATETIME_DIFF({{AsOfInstant}}, {{RequestedAt}}, "days"))</t>
  </si>
  <si>
    <t>ChangeRequests.IsStillPending</t>
  </si>
  <si>
    <t>=AND({{IsOpen}}, NOT({{IsDecided}}))</t>
  </si>
  <si>
    <t>ChangeRequests.IsStalled</t>
  </si>
  <si>
    <t>=AND({{IsStillPending}}, {{DaysPending}} &gt; 14)</t>
  </si>
  <si>
    <t>ChangeRequests.AuthorityAgent</t>
  </si>
  <si>
    <t>=INDEX(Roles!{{CurrentAgent}}, MATCH({{AuthorityRole}}, Roles!{{RoleId}}, 0))</t>
  </si>
  <si>
    <t>ChangeRequests.RequesterIsAuthority</t>
  </si>
  <si>
    <t>={{RequestedByAgent}} = {{AuthorityAgent}}</t>
  </si>
  <si>
    <t>ChangeRequests.AwaitsAuthorityDecision</t>
  </si>
  <si>
    <t>=AND({{Status}} = "UnderReview", NOT({{IsDecided}}))</t>
  </si>
  <si>
    <t>ChangeRequests.AuthorityRoleLabel</t>
  </si>
  <si>
    <t>=INDEX(Roles!{{Label}}, MATCH({{AuthorityRole}}, Roles!{{RoleId}}, 0))</t>
  </si>
  <si>
    <t>ChangeRequests.TouchesLiveVersion</t>
  </si>
  <si>
    <t>ChangeRequests.IsLiveDecisionBacklog</t>
  </si>
  <si>
    <t>=AND({{AwaitsAuthorityDecision}}, {{TouchesLiveVersion}})</t>
  </si>
  <si>
    <t>ChangeRequests.BlocksAnOpenGap</t>
  </si>
  <si>
    <t>=AND({{IsLiveDecisionBacklog}}, {{ChangeKind}} = "Enhancement")</t>
  </si>
  <si>
    <t>ChangeRequests.ImplementedAt</t>
  </si>
  <si>
    <t>ChangeRequests.BacklogVersionKey</t>
  </si>
  <si>
    <t>=IF({{IsLiveDecisionBacklog}}, {{ProcedureVersion}}, "")</t>
  </si>
  <si>
    <t>ChangeRequests.IsMyPendingDecision</t>
  </si>
  <si>
    <t>=AND({{AuthorityRole}} = "hr-policy-owner", {{AwaitsAuthorityDecision}})</t>
  </si>
  <si>
    <t>ChangeRequests.IsMyBlockingBacklog</t>
  </si>
  <si>
    <t>=AND({{IsMyPendingDecision}}, {{BlocksAnOpenGap}})</t>
  </si>
  <si>
    <t>ChangeRequests.IsMyOverdueBacklog</t>
  </si>
  <si>
    <t>=AND({{IsMyBlockingBacklog}}, {{DaysPending}} &gt; 14)</t>
  </si>
  <si>
    <t>ChangeRequests.IsImplemented</t>
  </si>
  <si>
    <t>={{ImplementedAt}} &lt;&gt; ""</t>
  </si>
  <si>
    <t>ChangeRequests.IsMyDecidedRequest</t>
  </si>
  <si>
    <t>=AND({{AuthorityRole}} = "hr-policy-owner", {{IsDecided}})</t>
  </si>
  <si>
    <t>ChangeRequests.IsMyDecidedButUnlanded</t>
  </si>
  <si>
    <t>=AND({{IsMyDecidedRequest}}, NOT({{IsImplemented}}))</t>
  </si>
  <si>
    <t>ChangeRequests.DecisionLatencyDays</t>
  </si>
  <si>
    <t>=IF({{IsDecided}}, DATETIME_DIFF({{DecidedAt}}, {{RequestedAt}}, "days"), 0)</t>
  </si>
  <si>
    <t>ChangeRequests.ImplementationLatencyDays</t>
  </si>
  <si>
    <t>=IF({{IsImplemented}}, DATETIME_DIFF({{ImplementedAt}}, {{DecidedAt}}, "days"), 0)</t>
  </si>
  <si>
    <t>ChangeRequests.DelayIsDownstreamOfMe</t>
  </si>
  <si>
    <t>=AND({{IsMyDecidedButUnlanded}}, {{DecisionLatencyDays}} &lt;= 14)</t>
  </si>
  <si>
    <t>ChangeRequests.UnlandedVersionKey</t>
  </si>
  <si>
    <t>=IF({{IsMyDecidedButUnlanded}}, {{ProcedureVersion}}, "")</t>
  </si>
  <si>
    <t>ChangeRequests.IsApprovedNotImplemented</t>
  </si>
  <si>
    <t>=AND({{Status}} = "Approved", NOT({{IsImplemented}}))</t>
  </si>
  <si>
    <t>ChangeRequests.DaysSinceApproval</t>
  </si>
  <si>
    <t>=IF({{IsDecided}}, DATETIME_DIFF({{AsOfInstant}}, {{DecidedAt}}, "days"), 0)</t>
  </si>
  <si>
    <t>ChangeRequests.IsStalledImplementation</t>
  </si>
  <si>
    <t>=AND({{IsApprovedNotImplemented}}, {{DaysSinceApproval}} &gt; 14)</t>
  </si>
  <si>
    <t>ChangeRequests.StalledImplementationVersionKey</t>
  </si>
  <si>
    <t>=IF({{IsStalledImplementation}}, {{ProcedureVersion}}, "")</t>
  </si>
  <si>
    <t>ChangeRequests.ApprovedVersionKey</t>
  </si>
  <si>
    <t>=IF({{IsApprovedDecision}}, {{ProcedureVersion}}, "")</t>
  </si>
  <si>
    <t>ChangeRequests.IsApprovedDecision</t>
  </si>
  <si>
    <t>ChangeRequests.SemanticTypeIri</t>
  </si>
  <si>
    <t>ReviewEvents.ReviewEventId</t>
  </si>
  <si>
    <t>ReviewEvents</t>
  </si>
  <si>
    <t>ReviewEvents.Name</t>
  </si>
  <si>
    <t>={{ProcedureVersion}} &amp; " / " &amp; {{ReviewKind}}</t>
  </si>
  <si>
    <t>ReviewEvents.ProcedureVersion</t>
  </si>
  <si>
    <t>ReviewEvents.ReviewKind</t>
  </si>
  <si>
    <t>ReviewEvents.ReviewedAt</t>
  </si>
  <si>
    <t>ReviewEvents.ReviewedByAgent</t>
  </si>
  <si>
    <t>ReviewEvents.Outcome</t>
  </si>
  <si>
    <t>ReviewEvents.RelatedChangeRequest</t>
  </si>
  <si>
    <t>ReviewEvents.NextReviewDue</t>
  </si>
  <si>
    <t>ReviewEvents.EvaluationContext</t>
  </si>
  <si>
    <t>ReviewEvents.AsOfInstant</t>
  </si>
  <si>
    <t>ReviewEvents.IsOverdue</t>
  </si>
  <si>
    <t>={{NextReviewDue}} &lt; {{AsOfInstant}}</t>
  </si>
  <si>
    <t>ReviewEvents.OverdueVersionKey</t>
  </si>
  <si>
    <t>=IF({{IsOverdue}}, {{ProcedureVersion}}, "")</t>
  </si>
  <si>
    <t>ReviewEvents.PromisedCadenceDays</t>
  </si>
  <si>
    <t>ReviewEvents.DaysSinceReviewed</t>
  </si>
  <si>
    <t>=DATETIME_DIFF({{AsOfInstant}}, {{ReviewedAt}}, "days")</t>
  </si>
  <si>
    <t>ReviewEvents.ExceedsPromisedCadence</t>
  </si>
  <si>
    <t>={{DaysSinceReviewed}} &gt; {{PromisedCadenceDays}}</t>
  </si>
  <si>
    <t>ReviewEvents.CadenceDriftDays</t>
  </si>
  <si>
    <t>={{DaysSinceReviewed}} - {{PromisedCadenceDays}}</t>
  </si>
  <si>
    <t>ReviewEvents.PromiseAndBehaviorDisagree</t>
  </si>
  <si>
    <t>=AND({{ExceedsPromisedCadence}}, NOT({{IsOverdue}}))</t>
  </si>
  <si>
    <t>ReviewEvents.CadenceBreachVersionKey</t>
  </si>
  <si>
    <t>=IF({{ExceedsPromisedCadence}}, {{ProcedureVersion}}, "")</t>
  </si>
  <si>
    <t>ReviewEvents.SemanticTypeIri</t>
  </si>
  <si>
    <t>LearningActivities.LearningActivityId</t>
  </si>
  <si>
    <t>LearningActivities</t>
  </si>
  <si>
    <t>LearningActivities.Name</t>
  </si>
  <si>
    <t>={{ActivityKind}} &amp; " / " &amp; {{OccurredAt}}</t>
  </si>
  <si>
    <t>LearningActivities.CommunityOfPractice</t>
  </si>
  <si>
    <t>LearningActivities.ProcedureVersion</t>
  </si>
  <si>
    <t>LearningActivities.ActivityKind</t>
  </si>
  <si>
    <t>LearningActivities.OccurredAt</t>
  </si>
  <si>
    <t>LearningActivities.FacilitatorAgent</t>
  </si>
  <si>
    <t>LearningActivities.Outcome</t>
  </si>
  <si>
    <t>LearningActivities.EvidenceResource</t>
  </si>
  <si>
    <t>LearningActivities.SemanticTypeIri</t>
  </si>
  <si>
    <t>OperationalBindings.OperationalBindingId</t>
  </si>
  <si>
    <t>OperationalBindings.Name</t>
  </si>
  <si>
    <t>={{Step}} &amp; " / " &amp; {{RecordOrSchemaKey}}</t>
  </si>
  <si>
    <t>OperationalBindings.ProcedureVersion</t>
  </si>
  <si>
    <t>OperationalBindings.Step</t>
  </si>
  <si>
    <t>OperationalBindings.Resource</t>
  </si>
  <si>
    <t>OperationalBindings.AccessMode</t>
  </si>
  <si>
    <t>OperationalBindings.RecordOrSchemaKey</t>
  </si>
  <si>
    <t>OperationalBindings.LastObservedAt</t>
  </si>
  <si>
    <t>OperationalBindings.FreshnessSlaMinutes</t>
  </si>
  <si>
    <t>OperationalBindings.IsAuthoritative</t>
  </si>
  <si>
    <t>OperationalBindings.EvaluationContext</t>
  </si>
  <si>
    <t>OperationalBindings.AsOfInstant</t>
  </si>
  <si>
    <t>OperationalBindings.AgeMinutes</t>
  </si>
  <si>
    <t>=DATETIME_DIFF({{AsOfInstant}}, {{LastObservedAt}}, "minutes")</t>
  </si>
  <si>
    <t>OperationalBindings.IsFresh</t>
  </si>
  <si>
    <t>={{AgeMinutes}} &lt;= {{FreshnessSlaMinutes}}</t>
  </si>
  <si>
    <t>OperationalBindings.StaleBindingStepKey</t>
  </si>
  <si>
    <t>=IF(NOT({{IsFresh}}), {{Step}}, "")</t>
  </si>
  <si>
    <t>OperationalBindings.AuthoritativeStaleStepKey</t>
  </si>
  <si>
    <t>=IF(AND(NOT({{IsFresh}}), {{IsAuthoritative}}), {{Step}}, "")</t>
  </si>
  <si>
    <t>OperationalBindings.IsStaleAndAuthoritative</t>
  </si>
  <si>
    <t>=AND({{IsAuthoritative}}, NOT({{IsFresh}}))</t>
  </si>
  <si>
    <t>OperationalBindings.StepWhenStale</t>
  </si>
  <si>
    <t>=IF({{IsStaleAndAuthoritative}}, {{Step}}, "")</t>
  </si>
  <si>
    <t>OperationalBindings.ResourceIsApproved</t>
  </si>
  <si>
    <t>=INDEX(Resources!{{IsApprovedSource}}, MATCH({{Resource}}, Resources!{{ResourceId}}, 0))</t>
  </si>
  <si>
    <t>OperationalBindings.IsUsableForDrafting</t>
  </si>
  <si>
    <t>=AND({{ResourceIsApproved}}, {{IsFresh}})</t>
  </si>
  <si>
    <t>OperationalBindings.StepWhenUnusable</t>
  </si>
  <si>
    <t>=IF({{IsUsableForDrafting}}, "", {{Step}})</t>
  </si>
  <si>
    <t>OperationalBindings.SemanticTypeIri</t>
  </si>
  <si>
    <t>CommunicationPolicies.CommunicationPolicyId</t>
  </si>
  <si>
    <t>CommunicationPolicies.Name</t>
  </si>
  <si>
    <t>={{Channel}} &amp; " policy / " &amp; {{ProcedureVersion}}</t>
  </si>
  <si>
    <t>CommunicationPolicies.ProcedureVersion</t>
  </si>
  <si>
    <t>CommunicationPolicies.Channel</t>
  </si>
  <si>
    <t>CommunicationPolicies.AudienceRule</t>
  </si>
  <si>
    <t>CommunicationPolicies.ConsentRequired</t>
  </si>
  <si>
    <t>CommunicationPolicies.QuietHoursStart</t>
  </si>
  <si>
    <t>CommunicationPolicies.QuietHoursEnd</t>
  </si>
  <si>
    <t>CommunicationPolicies.MaxMessageLength</t>
  </si>
  <si>
    <t>CommunicationPolicies.MaxSegments</t>
  </si>
  <si>
    <t>CommunicationPolicies.RetentionDays</t>
  </si>
  <si>
    <t>CommunicationPolicies.ApprovalRole</t>
  </si>
  <si>
    <t>CommunicationPolicies.RequiredContent</t>
  </si>
  <si>
    <t>CommunicationPolicies.AuthorityStatement</t>
  </si>
  <si>
    <t>CommunicationPolicies.Status</t>
  </si>
  <si>
    <t>CommunicationPolicies.ConsentViolationCount</t>
  </si>
  <si>
    <t>=COUNTIFS(MessageDeliveries!{{PolicyChannel}}, {{CommunicationPolicyId}}, MessageDeliveries!{{IsConsentViolation}}, TRUE)</t>
  </si>
  <si>
    <t>CommunicationPolicies.QuietHoursStartHour</t>
  </si>
  <si>
    <t>CommunicationPolicies.QuietHoursEndHour</t>
  </si>
  <si>
    <t>CommunicationPolicies.QuietHoursViolationCount</t>
  </si>
  <si>
    <t>=COUNTIFS(MessageDeliveries!{{QuietHoursViolationPolicyKey}}, {{CommunicationPolicyId}})</t>
  </si>
  <si>
    <t>CommunicationPolicies.RequiredOptOutPhrase</t>
  </si>
  <si>
    <t>CommunicationPolicies.IsActivePolicy</t>
  </si>
  <si>
    <t>={{Status}} = "Active"</t>
  </si>
  <si>
    <t>CommunicationPolicies.SemanticTypeIri</t>
  </si>
  <si>
    <t>MessageTemplates.MessageTemplateId</t>
  </si>
  <si>
    <t>MessageTemplates</t>
  </si>
  <si>
    <t>MessageTemplates.Name</t>
  </si>
  <si>
    <t>={{CommunicationPolicy}} &amp; " / " &amp; {{Locale}}</t>
  </si>
  <si>
    <t>MessageTemplates.CommunicationPolicy</t>
  </si>
  <si>
    <t>MessageTemplates.Resource</t>
  </si>
  <si>
    <t>MessageTemplates.SubjectTemplate</t>
  </si>
  <si>
    <t>MessageTemplates.BodyTemplate</t>
  </si>
  <si>
    <t>MessageTemplates.Locale</t>
  </si>
  <si>
    <t>MessageTemplates.Status</t>
  </si>
  <si>
    <t>MessageTemplates.PolicyMaxMessageLength</t>
  </si>
  <si>
    <t>=INDEX(CommunicationPolicies!{{MaxMessageLength}}, MATCH({{CommunicationPolicy}}, CommunicationPolicies!{{CommunicationPolicyId}}, 0))</t>
  </si>
  <si>
    <t>MessageTemplates.PolicyMaxSegments</t>
  </si>
  <si>
    <t>=INDEX(CommunicationPolicies!{{MaxSegments}}, MATCH({{CommunicationPolicy}}, CommunicationPolicies!{{CommunicationPolicyId}}, 0))</t>
  </si>
  <si>
    <t>MessageTemplates.BodyTemplateLength</t>
  </si>
  <si>
    <t>=LEN({{BodyTemplate}})</t>
  </si>
  <si>
    <t>MessageTemplates.IsTemplateOverLength</t>
  </si>
  <si>
    <t>={{BodyTemplateLength}} &gt; {{PolicyMaxMessageLength}}</t>
  </si>
  <si>
    <t>MessageTemplates.ValidApprovalCount</t>
  </si>
  <si>
    <t>=COUNTIFS(TemplateApprovals!{{ValidApprovalTemplateKey}}, {{MessageTemplateId}})</t>
  </si>
  <si>
    <t>MessageTemplates.HasValidApproval</t>
  </si>
  <si>
    <t>={{ValidApprovalCount}} &gt; 0</t>
  </si>
  <si>
    <t>MessageTemplates.IsClaimingUnbackedApproval</t>
  </si>
  <si>
    <t>=AND({{Status}} = "Approved", NOT({{HasValidApproval}}))</t>
  </si>
  <si>
    <t>MessageTemplates.CurrentBodyHash</t>
  </si>
  <si>
    <t>MessageTemplates.LastApprovedBodyHash</t>
  </si>
  <si>
    <t>=INDEX(TemplateApprovals!{{ApprovedBodyHash}}, MATCH({{LastValidApproval}}, TemplateApprovals!{{TemplateApprovalId}}, 0))</t>
  </si>
  <si>
    <t>MessageTemplates.LastValidApproval</t>
  </si>
  <si>
    <t>MessageTemplates.HasBodyDrifted</t>
  </si>
  <si>
    <t>=AND({{LastApprovedBodyHash}} &lt;&gt; "", {{CurrentBodyHash}} &lt;&gt; {{LastApprovedBodyHash}})</t>
  </si>
  <si>
    <t>MessageTemplates.IsSendableUnderApproval</t>
  </si>
  <si>
    <t>=AND({{Status}} = "Approved", AND({{HasValidApproval}}, NOT({{HasBodyDrifted}})))</t>
  </si>
  <si>
    <t>MessageTemplates.DriftedSendCount</t>
  </si>
  <si>
    <t>=COUNTIFS(MessageDeliveries!{{DriftedSendTemplateKey}}, {{MessageTemplateId}})</t>
  </si>
  <si>
    <t>MessageTemplates.UnansweredDeliveryCount</t>
  </si>
  <si>
    <t>=COUNTIFS(MessageDeliveries!{{UnansweredTemplateKey}}, {{MessageTemplateId}})</t>
  </si>
  <si>
    <t>MessageTemplates.TransmittedDeliveryCount</t>
  </si>
  <si>
    <t>=COUNTIFS(MessageDeliveries!{{TransmittedTemplateKey}}, {{MessageTemplateId}})</t>
  </si>
  <si>
    <t>MessageTemplates.TemplateDrawsNoResponse</t>
  </si>
  <si>
    <t>=AND({{TransmittedDeliveryCount}} &gt; 0, {{UnansweredDeliveryCount}} = {{TransmittedDeliveryCount}})</t>
  </si>
  <si>
    <t>MessageTemplates.LastApprovalAt</t>
  </si>
  <si>
    <t>=INDEX(TemplateApprovals!{{DecidedAt}}, MATCH({{LastValidApproval}}, TemplateApprovals!{{TemplateApprovalId}}, 0))</t>
  </si>
  <si>
    <t>MessageTemplates.SemanticTypeIri</t>
  </si>
  <si>
    <t>SemanticMappings.SemanticMappingId</t>
  </si>
  <si>
    <t>SemanticMappings</t>
  </si>
  <si>
    <t>SemanticMappings.Name</t>
  </si>
  <si>
    <t>={{SourcePath}} &amp; " -&gt; " &amp; {{TargetIri}}</t>
  </si>
  <si>
    <t>SemanticMappings.SourcePath</t>
  </si>
  <si>
    <t>SemanticMappings.MappingKind</t>
  </si>
  <si>
    <t>SemanticMappings.TargetIri</t>
  </si>
  <si>
    <t>SemanticMappings.MappingRelation</t>
  </si>
  <si>
    <t>SemanticMappings.OntologyProfile</t>
  </si>
  <si>
    <t>SemanticMappings.Notes</t>
  </si>
  <si>
    <t>WitnessLoops.WitnessLoopId</t>
  </si>
  <si>
    <t>WitnessLoops</t>
  </si>
  <si>
    <t>WitnessLoops.Name</t>
  </si>
  <si>
    <t>="Loop " &amp; {{LoopNumber}} &amp; ": " &amp; {{Title}}</t>
  </si>
  <si>
    <t>WitnessLoops.LoopNumber</t>
  </si>
  <si>
    <t>WitnessLoops.Title</t>
  </si>
  <si>
    <t>WitnessLoops.Premise</t>
  </si>
  <si>
    <t>WitnessLoops.StartedAt</t>
  </si>
  <si>
    <t>WitnessLoops.CompletedAt</t>
  </si>
  <si>
    <t>WitnessLoops.QuestionCount</t>
  </si>
  <si>
    <t>=COUNTIFS(RoleQuestions!{{WitnessLoop}}, {{WitnessLoopId}})</t>
  </si>
  <si>
    <t>WitnessLoops.IsComplete</t>
  </si>
  <si>
    <t>={{CompletedAt}} &lt;&gt; ""</t>
  </si>
  <si>
    <t>WitnessLoops.FieldsAfter</t>
  </si>
  <si>
    <t>WitnessLoops.DerivedAfter</t>
  </si>
  <si>
    <t>WitnessLoops.WitnessedAfter</t>
  </si>
  <si>
    <t>WitnessLoops.SemanticTypeIri</t>
  </si>
  <si>
    <t>RoleQuestions.RoleQuestionId</t>
  </si>
  <si>
    <t>RoleQuestions</t>
  </si>
  <si>
    <t>RoleQuestions.Name</t>
  </si>
  <si>
    <t>={{AskingRole}} &amp; ": " &amp; LEFT({{QuestionText}}, 60)</t>
  </si>
  <si>
    <t>RoleQuestions.AskingRole</t>
  </si>
  <si>
    <t>RoleQuestions.WitnessLoop</t>
  </si>
  <si>
    <t>RoleQuestions.QuestionText</t>
  </si>
  <si>
    <t>RoleQuestions.WhyItMatters</t>
  </si>
  <si>
    <t>RoleQuestions.AnswerableBefore</t>
  </si>
  <si>
    <t>RoleQuestions.PredicateCount</t>
  </si>
  <si>
    <t>=COUNTIFS(RulebookFields!{{InventedForQuestion}}, {{RoleQuestionId}})</t>
  </si>
  <si>
    <t>RoleQuestions.IsAnswered</t>
  </si>
  <si>
    <t>={{PredicateCount}} &gt; 0</t>
  </si>
  <si>
    <t>RoleQuestions.WitnessedAnswer</t>
  </si>
  <si>
    <t>RoleQuestions.SemanticTypeIri</t>
  </si>
  <si>
    <t>RulebookFields.RulebookFieldId</t>
  </si>
  <si>
    <t>RulebookFields</t>
  </si>
  <si>
    <t>RulebookFields.Name</t>
  </si>
  <si>
    <t>={{TargetTable}} &amp; "." &amp; {{FieldName}}</t>
  </si>
  <si>
    <t>RulebookFields.TargetTable</t>
  </si>
  <si>
    <t>RulebookFields.FieldName</t>
  </si>
  <si>
    <t>RulebookFields.FieldType</t>
  </si>
  <si>
    <t>RulebookFields.Datatype</t>
  </si>
  <si>
    <t>RulebookFields.Formula</t>
  </si>
  <si>
    <t>RulebookFields.InventedForQuestion</t>
  </si>
  <si>
    <t>RulebookFields.IsDerived</t>
  </si>
  <si>
    <t>=OR({{FieldType}} = "calculated", {{FieldType}} = "lookup", {{FieldType}} = "aggregation")</t>
  </si>
  <si>
    <t>RulebookFields.IsWitness</t>
  </si>
  <si>
    <t>={{InventedForQuestion}} &lt;&gt; ""</t>
  </si>
  <si>
    <t>RulebookFields.DisagreeingSubstrateCount</t>
  </si>
  <si>
    <t>=COUNTIFS(FieldDisagreements!{{RulebookField}}, {{RulebookFieldId}})</t>
  </si>
  <si>
    <t>RulebookFields.IsSubstrateContested</t>
  </si>
  <si>
    <t>={{DisagreeingSubstrateCount}} &gt; 0</t>
  </si>
  <si>
    <t>RulebookFields.SemanticTypeIri</t>
  </si>
  <si>
    <t>TestSuites.TestSuiteId</t>
  </si>
  <si>
    <t>TestSuites</t>
  </si>
  <si>
    <t>TestSuiteId</t>
  </si>
  <si>
    <t>TestSuites.Name</t>
  </si>
  <si>
    <t>TestSuites.Label</t>
  </si>
  <si>
    <t>TestSuites.TestCount</t>
  </si>
  <si>
    <t>TestCount</t>
  </si>
  <si>
    <t>=COUNTIFS(TestCases!{{Suite}}, {{TestSuiteId}})</t>
  </si>
  <si>
    <t>TestSuites.PassCount</t>
  </si>
  <si>
    <t>PassCount</t>
  </si>
  <si>
    <t>=COUNTIFS(TestCases!{{PassingSuiteKey}}, {{TestSuiteId}})</t>
  </si>
  <si>
    <t>TestSuites.BlockingFailCount</t>
  </si>
  <si>
    <t>BlockingFailCount</t>
  </si>
  <si>
    <t>=COUNTIFS(TestCases!{{NeedsAttentionSuiteKey}}, {{TestSuiteId}})</t>
  </si>
  <si>
    <t>TestSuites.IsGreen</t>
  </si>
  <si>
    <t>IsGreen</t>
  </si>
  <si>
    <t>={{BlockingFailCount}} = 0</t>
  </si>
  <si>
    <t>TestSuites.SemanticTypeIri</t>
  </si>
  <si>
    <t>TestCases.TestCaseId</t>
  </si>
  <si>
    <t>TestCases</t>
  </si>
  <si>
    <t>TestCaseId</t>
  </si>
  <si>
    <t>TestCases.Name</t>
  </si>
  <si>
    <t>={{TestKind}} &amp; ": " &amp; {{Subject}}</t>
  </si>
  <si>
    <t>TestCases.TestKind</t>
  </si>
  <si>
    <t>TestKind</t>
  </si>
  <si>
    <t>TestCases.Subject</t>
  </si>
  <si>
    <t>Subject</t>
  </si>
  <si>
    <t>TestCases.TargetTable</t>
  </si>
  <si>
    <t>TestCases.TargetField</t>
  </si>
  <si>
    <t>TargetField</t>
  </si>
  <si>
    <t>TestCases.Assertion</t>
  </si>
  <si>
    <t>Assertion</t>
  </si>
  <si>
    <t>TestCases.DefendsQuestion</t>
  </si>
  <si>
    <t>DefendsQuestion</t>
  </si>
  <si>
    <t>TestCases.Suite</t>
  </si>
  <si>
    <t>Suite</t>
  </si>
  <si>
    <t>TestCases.Severity</t>
  </si>
  <si>
    <t>TestCases.IsBlocking</t>
  </si>
  <si>
    <t>={{Severity}} = "blocking"</t>
  </si>
  <si>
    <t>TestCases.LastOutcome</t>
  </si>
  <si>
    <t>LastOutcome</t>
  </si>
  <si>
    <t>TestCases.LastDetail</t>
  </si>
  <si>
    <t>LastDetail</t>
  </si>
  <si>
    <t>TestCases.LastRunAt</t>
  </si>
  <si>
    <t>LastRunAt</t>
  </si>
  <si>
    <t>TestCases.IsPassing</t>
  </si>
  <si>
    <t>IsPassing</t>
  </si>
  <si>
    <t>={{LastOutcome}} = "PASS"</t>
  </si>
  <si>
    <t>TestCases.IsFailing</t>
  </si>
  <si>
    <t>IsFailing</t>
  </si>
  <si>
    <t>={{LastOutcome}} = "FAIL"</t>
  </si>
  <si>
    <t>TestCases.NeedsAttention</t>
  </si>
  <si>
    <t>NeedsAttention</t>
  </si>
  <si>
    <t>=AND({{IsFailing}}, {{IsBlocking}})</t>
  </si>
  <si>
    <t>TestCases.PassingSuiteKey</t>
  </si>
  <si>
    <t>PassingSuiteKey</t>
  </si>
  <si>
    <t>=IF({{IsPassing}}, {{Suite}}, "")</t>
  </si>
  <si>
    <t>TestCases.NeedsAttentionSuiteKey</t>
  </si>
  <si>
    <t>NeedsAttentionSuiteKey</t>
  </si>
  <si>
    <t>=IF({{NeedsAttention}}, {{Suite}}, "")</t>
  </si>
  <si>
    <t>TestCases.SemanticTypeIri</t>
  </si>
  <si>
    <t>ERBVersions.ERBVersionId</t>
  </si>
  <si>
    <t>ERBVersions</t>
  </si>
  <si>
    <t>ERBVersionId</t>
  </si>
  <si>
    <t>ERBVersions.BaseId</t>
  </si>
  <si>
    <t>BaseId</t>
  </si>
  <si>
    <t>ERBVersions.Name</t>
  </si>
  <si>
    <t>ERBVersions.Message</t>
  </si>
  <si>
    <t>Message</t>
  </si>
  <si>
    <t>ERBVersions.Notes</t>
  </si>
  <si>
    <t>ERBVersions.CommitDate</t>
  </si>
  <si>
    <t>CommitDate</t>
  </si>
  <si>
    <t>ERBVersions.IsPublished</t>
  </si>
  <si>
    <t>IsPublished</t>
  </si>
  <si>
    <t>ERBCustomizations.ERBCustomizationId</t>
  </si>
  <si>
    <t>ERBCustomizations</t>
  </si>
  <si>
    <t>ERBCustomizationId</t>
  </si>
  <si>
    <t>ERBCustomizations.Name</t>
  </si>
  <si>
    <t>ERBCustomizations.Title</t>
  </si>
  <si>
    <t>ERBCustomizations.SQLCode</t>
  </si>
  <si>
    <t>SQLCode</t>
  </si>
  <si>
    <t>ERBCustomizations.SQLTarget</t>
  </si>
  <si>
    <t>SQLTarget</t>
  </si>
  <si>
    <t>ERBCustomizations.CustomizationType</t>
  </si>
  <si>
    <t>CustomizationType</t>
  </si>
  <si>
    <t>__meta__.MetaKey</t>
  </si>
  <si>
    <t>__meta__</t>
  </si>
  <si>
    <t>MetaKey</t>
  </si>
  <si>
    <t>__meta__.Name</t>
  </si>
  <si>
    <t>={{MetaKey}}</t>
  </si>
  <si>
    <t>__meta__.ValueType</t>
  </si>
  <si>
    <t>ValueType</t>
  </si>
  <si>
    <t>__meta__.StringValue</t>
  </si>
  <si>
    <t>StringValue</t>
  </si>
  <si>
    <t>__meta__.JsonValue</t>
  </si>
  <si>
    <t>JsonValue</t>
  </si>
  <si>
    <t>ExceptionInvocations.ExceptionInvocationId</t>
  </si>
  <si>
    <t>ExceptionInvocations</t>
  </si>
  <si>
    <t>ExceptionInvocationId</t>
  </si>
  <si>
    <t>ExceptionInvocations.Name</t>
  </si>
  <si>
    <t>={{StepExecution}} &amp; " / " &amp; {{Exception}}</t>
  </si>
  <si>
    <t>ExceptionInvocations.StepExecution</t>
  </si>
  <si>
    <t>ExceptionInvocations.Exception</t>
  </si>
  <si>
    <t>Exception</t>
  </si>
  <si>
    <t>ExceptionInvocations.InvokedByAgent</t>
  </si>
  <si>
    <t>InvokedByAgent</t>
  </si>
  <si>
    <t>ExceptionInvocations.ApprovedByAgent</t>
  </si>
  <si>
    <t>ApprovedByAgent</t>
  </si>
  <si>
    <t>ExceptionInvocations.InvokedAt</t>
  </si>
  <si>
    <t>InvokedAt</t>
  </si>
  <si>
    <t>ExceptionInvocations.HandlingApplied</t>
  </si>
  <si>
    <t>HandlingApplied</t>
  </si>
  <si>
    <t>ExceptionInvocations.ExpectedHandling</t>
  </si>
  <si>
    <t>ExpectedHandling</t>
  </si>
  <si>
    <t>=INDEX(Exceptions!{{Handling}}, MATCH({{Exception}}, Exceptions!{{ExceptionId}}, 0))</t>
  </si>
  <si>
    <t>ExceptionInvocations.RequiredApprovalRole</t>
  </si>
  <si>
    <t>RequiredApprovalRole</t>
  </si>
  <si>
    <t>=INDEX(Exceptions!{{ApprovalRole}}, MATCH({{Exception}}, Exceptions!{{ExceptionId}}, 0))</t>
  </si>
  <si>
    <t>ExceptionInvocations.RequiredApprovalRoleHolder</t>
  </si>
  <si>
    <t>RequiredApprovalRoleHolder</t>
  </si>
  <si>
    <t>=INDEX(Roles!{{CurrentAgent}}, MATCH({{RequiredApprovalRole}}, Roles!{{RoleId}}, 0))</t>
  </si>
  <si>
    <t>ExceptionInvocations.ApprovalRoleMatches</t>
  </si>
  <si>
    <t>ApprovalRoleMatches</t>
  </si>
  <si>
    <t>={{ApprovedByAgent}} = {{RequiredApprovalRoleHolder}}</t>
  </si>
  <si>
    <t>ExceptionInvocations.IsApproved</t>
  </si>
  <si>
    <t>={{ApprovedByAgent}} &lt;&gt; ""</t>
  </si>
  <si>
    <t>ExceptionInvocations.IsImproperlyApproved</t>
  </si>
  <si>
    <t>IsImproperlyApproved</t>
  </si>
  <si>
    <t>=OR(NOT({{IsApproved}}), NOT({{ApprovalRoleMatches}}))</t>
  </si>
  <si>
    <t>ExceptionInvocations.InvokerAgentKind</t>
  </si>
  <si>
    <t>InvokerAgentKind</t>
  </si>
  <si>
    <t>=INDEX(Agents!{{AgentKind}}, MATCH({{InvokedByAgent}}, Agents!{{AgentId}}, 0))</t>
  </si>
  <si>
    <t>ExceptionInvocations.InvokerAlsoPreparedKey</t>
  </si>
  <si>
    <t>InvokerAlsoPreparedKey</t>
  </si>
  <si>
    <t>={{ParentProcedureExecution}} &amp; "|" &amp; {{ApprovedByAgent}}</t>
  </si>
  <si>
    <t>ExceptionInvocations.ParentProcedureExecution</t>
  </si>
  <si>
    <t>ExceptionInvocations.ApproverPreparedCount</t>
  </si>
  <si>
    <t>ApproverPreparedCount</t>
  </si>
  <si>
    <t>=COUNTIFS(StepExecutions!{{PreparerAgentKey}}, {{InvokerAlsoPreparedKey}})</t>
  </si>
  <si>
    <t>ExceptionInvocations.DelegatedToPreparer</t>
  </si>
  <si>
    <t>DelegatedToPreparer</t>
  </si>
  <si>
    <t>={{ApproverPreparedCount}} &gt; 0</t>
  </si>
  <si>
    <t>ExceptionInvocations.IsUngovernedInvocation</t>
  </si>
  <si>
    <t>IsUngovernedInvocation</t>
  </si>
  <si>
    <t>=OR({{IsImproperlyApproved}}, {{DelegatedToPreparer}})</t>
  </si>
  <si>
    <t>ExceptionInvocations.SemanticTypeIri</t>
  </si>
  <si>
    <t>VerificationOutcomes.VerificationOutcomeId</t>
  </si>
  <si>
    <t>VerificationOutcomes</t>
  </si>
  <si>
    <t>VerificationOutcomeId</t>
  </si>
  <si>
    <t>VerificationOutcomes.Name</t>
  </si>
  <si>
    <t>={{StepExecution}} &amp; " / " &amp; {{StepVerification}}</t>
  </si>
  <si>
    <t>VerificationOutcomes.StepExecution</t>
  </si>
  <si>
    <t>VerificationOutcomes.StepVerification</t>
  </si>
  <si>
    <t>StepVerification</t>
  </si>
  <si>
    <t>VerificationOutcomes.ObservedSignalValue</t>
  </si>
  <si>
    <t>ObservedSignalValue</t>
  </si>
  <si>
    <t>VerificationOutcomes.ObservedByAgent</t>
  </si>
  <si>
    <t>ObservedByAgent</t>
  </si>
  <si>
    <t>VerificationOutcomes.ObservedAt</t>
  </si>
  <si>
    <t>ObservedAt</t>
  </si>
  <si>
    <t>VerificationOutcomes.EvidenceUri</t>
  </si>
  <si>
    <t>EvidenceUri</t>
  </si>
  <si>
    <t>VerificationOutcomes.ExpectedSignalValue</t>
  </si>
  <si>
    <t>=INDEX(StepVerifications!{{ExpectedSignalValue}}, MATCH({{StepVerification}}, StepVerifications!{{StepVerificationId}}, 0))</t>
  </si>
  <si>
    <t>VerificationOutcomes.SignalIdentifier</t>
  </si>
  <si>
    <t>=INDEX(StepVerifications!{{SignalIdentifier}}, MATCH({{StepVerification}}, StepVerifications!{{StepVerificationId}}, 0))</t>
  </si>
  <si>
    <t>SignalMatchesExpected</t>
  </si>
  <si>
    <t>={{ObservedSignalValue}} = {{ExpectedSignalValue}}</t>
  </si>
  <si>
    <t>VerificationOutcomes.HasEvidence</t>
  </si>
  <si>
    <t>HasEvidence</t>
  </si>
  <si>
    <t>={{EvidenceUri}} &lt;&gt; ""</t>
  </si>
  <si>
    <t>IsUnbackedObservation</t>
  </si>
  <si>
    <t>=AND({{SignalMatchesExpected}}, NOT({{HasEvidence}}))</t>
  </si>
  <si>
    <t>VerificationOutcomes.IsSelfWitnessed</t>
  </si>
  <si>
    <t>IsSelfWitnessed</t>
  </si>
  <si>
    <t>={{ObservedByAgent}} = {{StepExecutorAgent}}</t>
  </si>
  <si>
    <t>VerificationOutcomes.StepExecutorAgent</t>
  </si>
  <si>
    <t>VerificationOutcomes.SelfWitnessedStepKey</t>
  </si>
  <si>
    <t>SelfWitnessedStepKey</t>
  </si>
  <si>
    <t>=IF({{IsSelfWitnessed}}, {{StepExecution}}, "")</t>
  </si>
  <si>
    <t>VerificationOutcomes.UnbackedStepKey</t>
  </si>
  <si>
    <t>UnbackedStepKey</t>
  </si>
  <si>
    <t>=IF({{IsUnbackedObservation}}, {{StepExecution}}, "")</t>
  </si>
  <si>
    <t>VerificationOutcomes.IsSelfWitnessedAndUnbacked</t>
  </si>
  <si>
    <t>IsSelfWitnessedAndUnbacked</t>
  </si>
  <si>
    <t>=AND({{IsSelfWitnessed}}, NOT({{HasEvidence}}))</t>
  </si>
  <si>
    <t>VerificationOutcomes.IsUncorroboratedPass</t>
  </si>
  <si>
    <t>IsUncorroboratedPass</t>
  </si>
  <si>
    <t>=AND({{SignalMatchesExpected}}, {{IsSelfWitnessedAndUnbacked}})</t>
  </si>
  <si>
    <t>VerificationOutcomes.UncorroboratedPassStepKey</t>
  </si>
  <si>
    <t>UncorroboratedPassStepKey</t>
  </si>
  <si>
    <t>=IF({{IsUncorroboratedPass}}, {{StepExecution}}, "")</t>
  </si>
  <si>
    <t>VerificationOutcomes.ObserverIsNonHuman</t>
  </si>
  <si>
    <t>ObserverIsNonHuman</t>
  </si>
  <si>
    <t>=INDEX(Agents!{{IsNonHuman}}, MATCH({{ObservedByAgent}}, Agents!{{AgentId}}, 0))</t>
  </si>
  <si>
    <t>VerificationOutcomes.ObserverIsIndependentOfExecutor</t>
  </si>
  <si>
    <t>ObserverIsIndependentOfExecutor</t>
  </si>
  <si>
    <t>=NOT({{IsSelfWitnessed}})</t>
  </si>
  <si>
    <t>VerificationOutcomes.IsIndependentHumanObservation</t>
  </si>
  <si>
    <t>IsIndependentHumanObservation</t>
  </si>
  <si>
    <t>=AND(NOT({{ObserverIsNonHuman}}), NOT({{IsSelfWitnessed}}), {{HasEvidence}})</t>
  </si>
  <si>
    <t>VerificationOutcomes.IndependentObservationExecutionKey</t>
  </si>
  <si>
    <t>IndependentObservationExecutionKey</t>
  </si>
  <si>
    <t>=IF({{IsIndependentHumanObservation}}, {{ParentProcedureExecutionOfOutcome}}, "")</t>
  </si>
  <si>
    <t>VerificationOutcomes.ParentProcedureExecutionOfOutcome</t>
  </si>
  <si>
    <t>ParentProcedureExecutionOfOutcome</t>
  </si>
  <si>
    <t>VerificationOutcomes.SemanticTypeIri</t>
  </si>
  <si>
    <t>ObservedTransitions.ObservedTransitionId</t>
  </si>
  <si>
    <t>ObservedTransitions</t>
  </si>
  <si>
    <t>ObservedTransitionId</t>
  </si>
  <si>
    <t>ObservedTransitions.Name</t>
  </si>
  <si>
    <t>={{StepTransition}} &amp; " @ " &amp; {{ObservedAt}}</t>
  </si>
  <si>
    <t>ObservedTransitions.ProcedureExecution</t>
  </si>
  <si>
    <t>ObservedTransitions.StepTransition</t>
  </si>
  <si>
    <t>StepTransition</t>
  </si>
  <si>
    <t>ObservedTransitions.ArrivingStepExecution</t>
  </si>
  <si>
    <t>ArrivingStepExecution</t>
  </si>
  <si>
    <t>ObservedTransitions.ObservedAt</t>
  </si>
  <si>
    <t>ObservedTransitions.TriggerReason</t>
  </si>
  <si>
    <t>TriggerReason</t>
  </si>
  <si>
    <t>ObservedTransitions.SemanticTypeIri</t>
  </si>
  <si>
    <t>Recipients.RecipientId</t>
  </si>
  <si>
    <t>Recipients</t>
  </si>
  <si>
    <t>RecipientId</t>
  </si>
  <si>
    <t>Recipients.Name</t>
  </si>
  <si>
    <t>Recipients.DisplayName</t>
  </si>
  <si>
    <t>Recipients.Organization</t>
  </si>
  <si>
    <t>Recipients.EmailAddress</t>
  </si>
  <si>
    <t>EmailAddress</t>
  </si>
  <si>
    <t>Recipients.MobileNumber</t>
  </si>
  <si>
    <t>MobileNumber</t>
  </si>
  <si>
    <t>Recipients.SmsConsentStatus</t>
  </si>
  <si>
    <t>SmsConsentStatus</t>
  </si>
  <si>
    <t>Recipients.SmsConsentAt</t>
  </si>
  <si>
    <t>SmsConsentAt</t>
  </si>
  <si>
    <t>Recipients.ConsentBinding</t>
  </si>
  <si>
    <t>ConsentBinding</t>
  </si>
  <si>
    <t>Recipients.HasSmsConsent</t>
  </si>
  <si>
    <t>HasSmsConsent</t>
  </si>
  <si>
    <t>={{SmsConsentStatus}} = "Granted"</t>
  </si>
  <si>
    <t>Recipients.IsEmailReachable</t>
  </si>
  <si>
    <t>IsEmailReachable</t>
  </si>
  <si>
    <t>={{EmailAddress}} &lt;&gt; ""</t>
  </si>
  <si>
    <t>Recipients.IsSmsReachable</t>
  </si>
  <si>
    <t>IsSmsReachable</t>
  </si>
  <si>
    <t>={{MobileNumber}} &lt;&gt; ""</t>
  </si>
  <si>
    <t>Recipients.IsUnreachable</t>
  </si>
  <si>
    <t>IsUnreachable</t>
  </si>
  <si>
    <t>=AND(NOT({{IsEmailReachable}}), NOT({{IsSmsReachable}}))</t>
  </si>
  <si>
    <t>Recipients.IsCommunicationallyStranded</t>
  </si>
  <si>
    <t>IsCommunicationallyStranded</t>
  </si>
  <si>
    <t>=AND(NOT({{IsSmsReachable}}), NOT({{IsEmailReachable}}))</t>
  </si>
  <si>
    <t>Recipients.SemanticTypeIri</t>
  </si>
  <si>
    <t>MessageDeliveries.MessageDeliveryId</t>
  </si>
  <si>
    <t>MessageDeliveries</t>
  </si>
  <si>
    <t>MessageDeliveryId</t>
  </si>
  <si>
    <t>MessageDeliveries.Name</t>
  </si>
  <si>
    <t>={{Recipient}} &amp; " / " &amp; {{MessageTemplate}} &amp; " / " &amp; {{SentAt}}</t>
  </si>
  <si>
    <t>MessageDeliveries.ProcedureExecution</t>
  </si>
  <si>
    <t>MessageDeliveries.StepExecution</t>
  </si>
  <si>
    <t>MessageDeliveries.Recipient</t>
  </si>
  <si>
    <t>Recipient</t>
  </si>
  <si>
    <t>MessageDeliveries.MessageTemplate</t>
  </si>
  <si>
    <t>MessageTemplate</t>
  </si>
  <si>
    <t>MessageDeliveries.SentByAgent</t>
  </si>
  <si>
    <t>SentByAgent</t>
  </si>
  <si>
    <t>MessageDeliveries.RenderedBody</t>
  </si>
  <si>
    <t>RenderedBody</t>
  </si>
  <si>
    <t>MessageDeliveries.SentAt</t>
  </si>
  <si>
    <t>SentAt</t>
  </si>
  <si>
    <t>MessageDeliveries.SentAtLocalHour</t>
  </si>
  <si>
    <t>SentAtLocalHour</t>
  </si>
  <si>
    <t>MessageDeliveries.DeliveryStatus</t>
  </si>
  <si>
    <t>DeliveryStatus</t>
  </si>
  <si>
    <t>MessageDeliveries.SuppressionReason</t>
  </si>
  <si>
    <t>SuppressionReason</t>
  </si>
  <si>
    <t>MessageDeliveries.InvokedException</t>
  </si>
  <si>
    <t>InvokedException</t>
  </si>
  <si>
    <t>MessageDeliveries.AcknowledgedAt</t>
  </si>
  <si>
    <t>AcknowledgedAt</t>
  </si>
  <si>
    <t>MessageDeliveries.PolicyChannel</t>
  </si>
  <si>
    <t>PolicyChannel</t>
  </si>
  <si>
    <t>=INDEX(MessageTemplates!{{CommunicationPolicy}}, MATCH({{MessageTemplate}}, MessageTemplates!{{MessageTemplateId}}, 0))</t>
  </si>
  <si>
    <t>MessageDeliveries.ChannelName</t>
  </si>
  <si>
    <t>ChannelName</t>
  </si>
  <si>
    <t>=INDEX(CommunicationPolicies!{{Channel}}, MATCH({{PolicyChannel}}, CommunicationPolicies!{{CommunicationPolicyId}}, 0))</t>
  </si>
  <si>
    <t>MessageDeliveries.PolicyRequiresConsent</t>
  </si>
  <si>
    <t>PolicyRequiresConsent</t>
  </si>
  <si>
    <t>=INDEX(CommunicationPolicies!{{ConsentRequired}}, MATCH({{PolicyChannel}}, CommunicationPolicies!{{CommunicationPolicyId}}, 0))</t>
  </si>
  <si>
    <t>MessageDeliveries.RecipientHasSmsConsent</t>
  </si>
  <si>
    <t>RecipientHasSmsConsent</t>
  </si>
  <si>
    <t>=INDEX(Recipients!{{HasSmsConsent}}, MATCH({{Recipient}}, Recipients!{{RecipientId}}, 0))</t>
  </si>
  <si>
    <t>MessageDeliveries.WasActuallyTransmitted</t>
  </si>
  <si>
    <t>WasActuallyTransmitted</t>
  </si>
  <si>
    <t>=OR({{DeliveryStatus}} = "Sent", OR({{DeliveryStatus}} = "Delivered", {{DeliveryStatus}} = "Bounced"))</t>
  </si>
  <si>
    <t>MessageDeliveries.IsConsentViolation</t>
  </si>
  <si>
    <t>IsConsentViolation</t>
  </si>
  <si>
    <t>=AND({{WasActuallyTransmitted}}, AND({{PolicyRequiresConsent}}, NOT({{RecipientHasSmsConsent}})))</t>
  </si>
  <si>
    <t>MessageDeliveries.ConsentViolationPolicyKey</t>
  </si>
  <si>
    <t>ConsentViolationPolicyKey</t>
  </si>
  <si>
    <t>=IF({{IsConsentViolation}}, {{PolicyChannel}}, "")</t>
  </si>
  <si>
    <t>MessageDeliveries.PolicyQuietHoursStartHour</t>
  </si>
  <si>
    <t>PolicyQuietHoursStartHour</t>
  </si>
  <si>
    <t>=INDEX(CommunicationPolicies!{{QuietHoursStartHour}}, MATCH({{PolicyChannel}}, CommunicationPolicies!{{CommunicationPolicyId}}, 0))</t>
  </si>
  <si>
    <t>MessageDeliveries.PolicyQuietHoursEndHour</t>
  </si>
  <si>
    <t>PolicyQuietHoursEndHour</t>
  </si>
  <si>
    <t>=INDEX(CommunicationPolicies!{{QuietHoursEndHour}}, MATCH({{PolicyChannel}}, CommunicationPolicies!{{CommunicationPolicyId}}, 0))</t>
  </si>
  <si>
    <t>MessageDeliveries.PolicyHasQuietHours</t>
  </si>
  <si>
    <t>PolicyHasQuietHours</t>
  </si>
  <si>
    <t>={{PolicyQuietHoursStartHour}} &lt;&gt; {{PolicyQuietHoursEndHour}}</t>
  </si>
  <si>
    <t>MessageDeliveries.QuietWindowWrapsMidnight</t>
  </si>
  <si>
    <t>QuietWindowWrapsMidnight</t>
  </si>
  <si>
    <t>={{PolicyQuietHoursStartHour}} &gt; {{PolicyQuietHoursEndHour}}</t>
  </si>
  <si>
    <t>MessageDeliveries.IsInsideQuietWindow</t>
  </si>
  <si>
    <t>IsInsideQuietWindow</t>
  </si>
  <si>
    <t>=IF({{QuietWindowWrapsMidnight}}, OR({{SentAtLocalHour}} &gt;= {{PolicyQuietHoursStartHour}}, {{SentAtLocalHour}} &lt; {{PolicyQuietHoursEndHour}}), AND({{SentAtLocalHour}} &gt;= {{PolicyQuietHoursStartHour}}, {{SentAtLocalHour}} &lt; {{PolicyQuietHoursEndHour}}))</t>
  </si>
  <si>
    <t>MessageDeliveries.IsQuietHoursViolation</t>
  </si>
  <si>
    <t>IsQuietHoursViolation</t>
  </si>
  <si>
    <t>=AND({{WasActuallyTransmitted}}, AND({{PolicyHasQuietHours}}, {{IsInsideQuietWindow}}))</t>
  </si>
  <si>
    <t>MessageDeliveries.QuietHoursViolationPolicyKey</t>
  </si>
  <si>
    <t>QuietHoursViolationPolicyKey</t>
  </si>
  <si>
    <t>=IF({{IsQuietHoursViolation}}, {{PolicyChannel}}, "")</t>
  </si>
  <si>
    <t>MessageDeliveries.RecipientIsUnreachable</t>
  </si>
  <si>
    <t>RecipientIsUnreachable</t>
  </si>
  <si>
    <t>=INDEX(Recipients!{{IsUnreachable}}, MATCH({{Recipient}}, Recipients!{{RecipientId}}, 0))</t>
  </si>
  <si>
    <t>MessageDeliveries.IsAcknowledged</t>
  </si>
  <si>
    <t>IsAcknowledged</t>
  </si>
  <si>
    <t>={{AcknowledgedAt}} &lt;&gt; ""</t>
  </si>
  <si>
    <t>MessageDeliveries.InvokedExceptionCondition</t>
  </si>
  <si>
    <t>InvokedExceptionCondition</t>
  </si>
  <si>
    <t>=INDEX(Exceptions!{{Condition}}, MATCH({{InvokedException}}, Exceptions!{{ExceptionId}}, 0))</t>
  </si>
  <si>
    <t>MessageDeliveries.HasUnreachableExceptionInvoked</t>
  </si>
  <si>
    <t>HasUnreachableExceptionInvoked</t>
  </si>
  <si>
    <t>={{InvokedException}} = "exc-unreachable"</t>
  </si>
  <si>
    <t>MessageDeliveries.IsFabricatedAcknowledgement</t>
  </si>
  <si>
    <t>IsFabricatedAcknowledgement</t>
  </si>
  <si>
    <t>=AND({{RecipientIsUnreachable}}, {{IsAcknowledged}})</t>
  </si>
  <si>
    <t>MessageDeliveries.IsUnhandledUnreachable</t>
  </si>
  <si>
    <t>IsUnhandledUnreachable</t>
  </si>
  <si>
    <t>=AND({{RecipientIsUnreachable}}, NOT({{HasUnreachableExceptionInvoked}}))</t>
  </si>
  <si>
    <t>MessageDeliveries.UnreachableFailureKey</t>
  </si>
  <si>
    <t>UnreachableFailureKey</t>
  </si>
  <si>
    <t>=IF(OR({{IsFabricatedAcknowledgement}}, {{IsUnhandledUnreachable}}), {{ProcedureExecution}}, "")</t>
  </si>
  <si>
    <t>MessageDeliveries.PolicyRetentionDays</t>
  </si>
  <si>
    <t>PolicyRetentionDays</t>
  </si>
  <si>
    <t>=INDEX(CommunicationPolicies!{{RetentionDays}}, MATCH({{PolicyChannel}}, CommunicationPolicies!{{CommunicationPolicyId}}, 0))</t>
  </si>
  <si>
    <t>MessageDeliveries.EvaluationContext</t>
  </si>
  <si>
    <t>MessageDeliveries.AsOfInstant</t>
  </si>
  <si>
    <t>MessageDeliveries.AgeDays</t>
  </si>
  <si>
    <t>=DATETIME_DIFF({{AsOfInstant}}, {{SentAt}}, "days")</t>
  </si>
  <si>
    <t>MessageDeliveries.IsWithinRetentionWindow</t>
  </si>
  <si>
    <t>IsWithinRetentionWindow</t>
  </si>
  <si>
    <t>={{AgeDays}} &lt;= {{PolicyRetentionDays}}</t>
  </si>
  <si>
    <t>MessageDeliveries.HasRenderedBody</t>
  </si>
  <si>
    <t>HasRenderedBody</t>
  </si>
  <si>
    <t>={{RenderedBody}} &lt;&gt; ""</t>
  </si>
  <si>
    <t>MessageDeliveries.IsEvidenceRequired</t>
  </si>
  <si>
    <t>IsEvidenceRequired</t>
  </si>
  <si>
    <t>=AND({{WasActuallyTransmitted}}, {{IsWithinRetentionWindow}})</t>
  </si>
  <si>
    <t>MessageDeliveries.IsRetentionBreach</t>
  </si>
  <si>
    <t>IsRetentionBreach</t>
  </si>
  <si>
    <t>=AND({{IsEvidenceRequired}}, NOT({{HasRenderedBody}}))</t>
  </si>
  <si>
    <t>MessageDeliveries.RetentionBreachExecutionKey</t>
  </si>
  <si>
    <t>RetentionBreachExecutionKey</t>
  </si>
  <si>
    <t>=IF({{IsRetentionBreach}}, {{ProcedureExecution}}, "")</t>
  </si>
  <si>
    <t>MessageDeliveries.SendingStepExecutionStep</t>
  </si>
  <si>
    <t>SendingStepExecutionStep</t>
  </si>
  <si>
    <t>MessageDeliveries.ExecutionHasClearedLegalReview</t>
  </si>
  <si>
    <t>ExecutionHasClearedLegalReview</t>
  </si>
  <si>
    <t>=INDEX(ProcedureExecutions!{{HasClearedLegalReview}}, MATCH({{ProcedureExecution}}, ProcedureExecutions!{{ProcedureExecutionId}}, 0))</t>
  </si>
  <si>
    <t>MessageDeliveries.IsUnreviewedSend</t>
  </si>
  <si>
    <t>IsUnreviewedSend</t>
  </si>
  <si>
    <t>=AND({{WasActuallyTransmitted}}, NOT({{ExecutionHasClearedLegalReview}}))</t>
  </si>
  <si>
    <t>MessageDeliveries.RenderedBodyLength</t>
  </si>
  <si>
    <t>RenderedBodyLength</t>
  </si>
  <si>
    <t>=LEN({{RenderedBody}})</t>
  </si>
  <si>
    <t>MessageDeliveries.PolicyMaxMessageLengthAtSend</t>
  </si>
  <si>
    <t>PolicyMaxMessageLengthAtSend</t>
  </si>
  <si>
    <t>=INDEX(CommunicationPolicies!{{MaxMessageLength}}, MATCH({{PolicyChannel}}, CommunicationPolicies!{{CommunicationPolicyId}}, 0))</t>
  </si>
  <si>
    <t>MessageDeliveries.SegmentCount</t>
  </si>
  <si>
    <t>SegmentCount</t>
  </si>
  <si>
    <t>=IF({{RenderedBodyLength}} = 0, 0, IF({{RenderedBodyLength}} &lt;= {{PolicyMaxMessageLengthAtSend}}, 1, ROUNDUP({{RenderedBodyLength}} / {{PolicyMaxMessageLengthAtSend}}, 0)))</t>
  </si>
  <si>
    <t>MessageDeliveries.PolicyMaxSegmentsAtSend</t>
  </si>
  <si>
    <t>PolicyMaxSegmentsAtSend</t>
  </si>
  <si>
    <t>=INDEX(CommunicationPolicies!{{MaxSegments}}, MATCH({{PolicyChannel}}, CommunicationPolicies!{{CommunicationPolicyId}}, 0))</t>
  </si>
  <si>
    <t>MessageDeliveries.IsOverSegmentLimit</t>
  </si>
  <si>
    <t>IsOverSegmentLimit</t>
  </si>
  <si>
    <t>=AND({{WasActuallyTransmitted}}, {{SegmentCount}} &gt; {{PolicyMaxSegmentsAtSend}})</t>
  </si>
  <si>
    <t>MessageDeliveries.TemplateHasValidApproval</t>
  </si>
  <si>
    <t>TemplateHasValidApproval</t>
  </si>
  <si>
    <t>=INDEX(MessageTemplates!{{HasValidApproval}}, MATCH({{MessageTemplate}}, MessageTemplates!{{MessageTemplateId}}, 0))</t>
  </si>
  <si>
    <t>MessageDeliveries.IsUnapprovedSend</t>
  </si>
  <si>
    <t>IsUnapprovedSend</t>
  </si>
  <si>
    <t>=AND({{WasActuallyTransmitted}}, NOT({{TemplateHasValidApproval}}))</t>
  </si>
  <si>
    <t>MessageDeliveries.PolicyRequiredOptOutPhrase</t>
  </si>
  <si>
    <t>PolicyRequiredOptOutPhrase</t>
  </si>
  <si>
    <t>=INDEX(CommunicationPolicies!{{RequiredOptOutPhrase}}, MATCH({{PolicyChannel}}, CommunicationPolicies!{{CommunicationPolicyId}}, 0))</t>
  </si>
  <si>
    <t>MessageDeliveries.PolicyRequiresOptOut</t>
  </si>
  <si>
    <t>PolicyRequiresOptOut</t>
  </si>
  <si>
    <t>={{PolicyRequiredOptOutPhrase}} &lt;&gt; ""</t>
  </si>
  <si>
    <t>MessageDeliveries.OptOutPhrasePosition</t>
  </si>
  <si>
    <t>OptOutPhrasePosition</t>
  </si>
  <si>
    <t>=FIND({{PolicyRequiredOptOutPhrase}}, {{RenderedBody}})</t>
  </si>
  <si>
    <t>MessageDeliveries.HasOptOutPhrase</t>
  </si>
  <si>
    <t>HasOptOutPhrase</t>
  </si>
  <si>
    <t>={{OptOutPhrasePosition}} &gt; 0</t>
  </si>
  <si>
    <t>MessageDeliveries.IsOptOutInFirstSegment</t>
  </si>
  <si>
    <t>IsOptOutInFirstSegment</t>
  </si>
  <si>
    <t>=AND({{HasOptOutPhrase}}, {{OptOutPhrasePosition}} &lt;= {{PolicyMaxMessageLengthAtSend}})</t>
  </si>
  <si>
    <t>MessageDeliveries.IsMissingRequiredOptOut</t>
  </si>
  <si>
    <t>IsMissingRequiredOptOut</t>
  </si>
  <si>
    <t>=AND({{WasActuallyTransmitted}}, AND({{PolicyRequiresOptOut}}, NOT({{HasOptOutPhrase}})))</t>
  </si>
  <si>
    <t>MessageDeliveries.IsOptOutAtRiskOfTruncation</t>
  </si>
  <si>
    <t>IsOptOutAtRiskOfTruncation</t>
  </si>
  <si>
    <t>=AND({{WasActuallyTransmitted}}, AND({{PolicyRequiresOptOut}}, AND({{HasOptOutPhrase}}, NOT({{IsOptOutInFirstSegment}}))))</t>
  </si>
  <si>
    <t>MessageDeliveries.IsFailedDelivery</t>
  </si>
  <si>
    <t>IsFailedDelivery</t>
  </si>
  <si>
    <t>=OR({{DeliveryStatus}} = "Failed", {{DeliveryStatus}} = "Bounced")</t>
  </si>
  <si>
    <t>MessageDeliveries.IsSuppressed</t>
  </si>
  <si>
    <t>IsSuppressed</t>
  </si>
  <si>
    <t>={{DeliveryStatus}} = "Suppressed"</t>
  </si>
  <si>
    <t>MessageDeliveries.IsTriaged</t>
  </si>
  <si>
    <t>IsTriaged</t>
  </si>
  <si>
    <t>={{InvokedException}} &lt;&gt; ""</t>
  </si>
  <si>
    <t>MessageDeliveries.IsAbandonedFailure</t>
  </si>
  <si>
    <t>IsAbandonedFailure</t>
  </si>
  <si>
    <t>=AND({{IsFailedDelivery}}, NOT({{IsTriaged}}))</t>
  </si>
  <si>
    <t>MessageDeliveries.AbandonedFailureExecutionKey</t>
  </si>
  <si>
    <t>AbandonedFailureExecutionKey</t>
  </si>
  <si>
    <t>=IF({{IsAbandonedFailure}}, {{ProcedureExecution}}, "")</t>
  </si>
  <si>
    <t>MessageDeliveries.ReachedExecutionKey</t>
  </si>
  <si>
    <t>ReachedExecutionKey</t>
  </si>
  <si>
    <t>=IF({{DeliveryStatus}} = "Delivered", {{ProcedureExecution}}, "")</t>
  </si>
  <si>
    <t>MessageDeliveries.TemplateWasSendable</t>
  </si>
  <si>
    <t>TemplateWasSendable</t>
  </si>
  <si>
    <t>=INDEX(MessageTemplates!{{IsSendableUnderApproval}}, MATCH({{MessageTemplate}}, MessageTemplates!{{MessageTemplateId}}, 0))</t>
  </si>
  <si>
    <t>MessageDeliveries.IsDriftedSend</t>
  </si>
  <si>
    <t>IsDriftedSend</t>
  </si>
  <si>
    <t>=AND({{WasActuallyTransmitted}}, NOT({{TemplateWasSendable}}))</t>
  </si>
  <si>
    <t>MessageDeliveries.DriftedSendTemplateKey</t>
  </si>
  <si>
    <t>DriftedSendTemplateKey</t>
  </si>
  <si>
    <t>=IF({{IsDriftedSend}}, {{MessageTemplate}}, "")</t>
  </si>
  <si>
    <t>MessageDeliveries.WasSentOutsideBusinessHours</t>
  </si>
  <si>
    <t>WasSentOutsideBusinessHours</t>
  </si>
  <si>
    <t>=OR({{SentAtLocalHour}} &lt; 8, {{SentAtLocalHour}} &gt; 18)</t>
  </si>
  <si>
    <t>MessageDeliveries.WasDeliveredAndUnanswered</t>
  </si>
  <si>
    <t>WasDeliveredAndUnanswered</t>
  </si>
  <si>
    <t>=AND({{WasActuallyTransmitted}}, NOT({{IsAcknowledged}}))</t>
  </si>
  <si>
    <t>MessageDeliveries.IsPoorlyTimedUnanswered</t>
  </si>
  <si>
    <t>IsPoorlyTimedUnanswered</t>
  </si>
  <si>
    <t>=AND({{WasDeliveredAndUnanswered}}, {{WasSentOutsideBusinessHours}})</t>
  </si>
  <si>
    <t>MessageDeliveries.IsWellTimedUnanswered</t>
  </si>
  <si>
    <t>IsWellTimedUnanswered</t>
  </si>
  <si>
    <t>=AND({{WasDeliveredAndUnanswered}}, NOT({{WasSentOutsideBusinessHours}}))</t>
  </si>
  <si>
    <t>MessageDeliveries.UnansweredTemplateKey</t>
  </si>
  <si>
    <t>UnansweredTemplateKey</t>
  </si>
  <si>
    <t>=IF({{WasDeliveredAndUnanswered}}, {{MessageTemplate}}, "")</t>
  </si>
  <si>
    <t>MessageDeliveries.TransmittedTemplateKey</t>
  </si>
  <si>
    <t>TransmittedTemplateKey</t>
  </si>
  <si>
    <t>=IF({{WasActuallyTransmitted}}, {{MessageTemplate}}, "")</t>
  </si>
  <si>
    <t>MessageDeliveries.ApprovingAgentAtSend</t>
  </si>
  <si>
    <t>ApprovingAgentAtSend</t>
  </si>
  <si>
    <t>MessageDeliveries.ApprovingRoleAtSend</t>
  </si>
  <si>
    <t>ApprovingRoleAtSend</t>
  </si>
  <si>
    <t>MessageDeliveries.ApprovalDecidedAtSend</t>
  </si>
  <si>
    <t>ApprovalDecidedAtSend</t>
  </si>
  <si>
    <t>MessageDeliveries.ApprovalPrecededSend</t>
  </si>
  <si>
    <t>ApprovalPrecededSend</t>
  </si>
  <si>
    <t>=AND({{ApprovalDecidedAtSend}} &lt;&gt; "", {{SentAt}} &gt; {{ApprovalDecidedAtSend}})</t>
  </si>
  <si>
    <t>MessageDeliveries.HasFrozenApprovalEvidence</t>
  </si>
  <si>
    <t>HasFrozenApprovalEvidence</t>
  </si>
  <si>
    <t>=AND({{ApprovingAgentAtSend}} &lt;&gt; "", {{ApprovalDecidedAtSend}} &lt;&gt; "")</t>
  </si>
  <si>
    <t>MessageDeliveries.ProvenanceIsLiveDerived</t>
  </si>
  <si>
    <t>ProvenanceIsLiveDerived</t>
  </si>
  <si>
    <t>=NOT({{HasFrozenApprovalEvidence}})</t>
  </si>
  <si>
    <t>MessageDeliveries.CurrentLastApprovalAt</t>
  </si>
  <si>
    <t>CurrentLastApprovalAt</t>
  </si>
  <si>
    <t>=INDEX(MessageTemplates!{{LastApprovalAt}}, MATCH({{MessageTemplate}}, MessageTemplates!{{MessageTemplateId}}, 0))</t>
  </si>
  <si>
    <t>MessageDeliveries.TemplateReapprovedSinceSend</t>
  </si>
  <si>
    <t>TemplateReapprovedSinceSend</t>
  </si>
  <si>
    <t>=AND({{CurrentLastApprovalAt}} &lt;&gt; "", {{CurrentLastApprovalAt}} &gt; {{SentAt}})</t>
  </si>
  <si>
    <t>MessageDeliveries.IsUnprovableApprovalClaim</t>
  </si>
  <si>
    <t>IsUnprovableApprovalClaim</t>
  </si>
  <si>
    <t>=AND({{ProvenanceIsLiveDerived}}, AND({{TemplateReapprovedSinceSend}}, {{TemplateHasValidApproval}}))</t>
  </si>
  <si>
    <t>MessageDeliveries.ReminderSentAt</t>
  </si>
  <si>
    <t>ReminderSentAt</t>
  </si>
  <si>
    <t>MessageDeliveries.ReminderCount</t>
  </si>
  <si>
    <t>ReminderCount</t>
  </si>
  <si>
    <t>MessageDeliveries.HasSentReminder</t>
  </si>
  <si>
    <t>HasSentReminder</t>
  </si>
  <si>
    <t>={{ReminderCount}} &gt; 0</t>
  </si>
  <si>
    <t>MessageDeliveries.AcknowledgementIsOutstanding</t>
  </si>
  <si>
    <t>AcknowledgementIsOutstanding</t>
  </si>
  <si>
    <t>=AND({{WasActuallyTransmitted}}, AND({{IsEvidenceRequired}}, NOT({{IsAcknowledged}})))</t>
  </si>
  <si>
    <t>MessageDeliveries.OutstandingAgeDays</t>
  </si>
  <si>
    <t>OutstandingAgeDays</t>
  </si>
  <si>
    <t>=IF({{AcknowledgementIsOutstanding}}, DATETIME_DIFF({{AsOfInstant}}, {{SentAt}}, "days"), 0)</t>
  </si>
  <si>
    <t>MessageDeliveries.IsUnchasedAcknowledgement</t>
  </si>
  <si>
    <t>IsUnchasedAcknowledgement</t>
  </si>
  <si>
    <t>=AND({{AcknowledgementIsOutstanding}}, AND({{OutstandingAgeDays}} &gt; 7, NOT({{HasSentReminder}})))</t>
  </si>
  <si>
    <t>MessageDeliveries.IsExhaustedFollowUp</t>
  </si>
  <si>
    <t>IsExhaustedFollowUp</t>
  </si>
  <si>
    <t>=AND({{AcknowledgementIsOutstanding}}, {{ReminderCount}} &gt;= 3)</t>
  </si>
  <si>
    <t>MessageDeliveries.NeedsHumanEscalation</t>
  </si>
  <si>
    <t>NeedsHumanEscalation</t>
  </si>
  <si>
    <t>=AND({{IsExhaustedFollowUp}}, NOT({{HasUnreachableExceptionInvoked}}))</t>
  </si>
  <si>
    <t>MessageDeliveries.SemanticTypeIri</t>
  </si>
  <si>
    <t>TemplateApprovals.TemplateApprovalId</t>
  </si>
  <si>
    <t>TemplateApprovals</t>
  </si>
  <si>
    <t>TemplateApprovalId</t>
  </si>
  <si>
    <t>TemplateApprovals.Name</t>
  </si>
  <si>
    <t>={{MessageTemplate}} &amp; " / " &amp; {{Decision}} &amp; " / " &amp; {{DecidedAt}}</t>
  </si>
  <si>
    <t>TemplateApprovals.MessageTemplate</t>
  </si>
  <si>
    <t>TemplateApprovals.DecidedByAgent</t>
  </si>
  <si>
    <t>DecidedByAgent</t>
  </si>
  <si>
    <t>TemplateApprovals.DecidedInRole</t>
  </si>
  <si>
    <t>DecidedInRole</t>
  </si>
  <si>
    <t>TemplateApprovals.Decision</t>
  </si>
  <si>
    <t>Decision</t>
  </si>
  <si>
    <t>TemplateApprovals.DecidedAt</t>
  </si>
  <si>
    <t>TemplateApprovals.ApprovedBodyHash</t>
  </si>
  <si>
    <t>ApprovedBodyHash</t>
  </si>
  <si>
    <t>TemplateApprovals.Notes</t>
  </si>
  <si>
    <t>TemplateApprovals.IsApprovalDecision</t>
  </si>
  <si>
    <t>IsApprovalDecision</t>
  </si>
  <si>
    <t>={{Decision}} = "Approved"</t>
  </si>
  <si>
    <t>TemplateApprovals.TemplatePolicy</t>
  </si>
  <si>
    <t>TemplatePolicy</t>
  </si>
  <si>
    <t>TemplateApprovals.RequiredApprovalRole</t>
  </si>
  <si>
    <t>=INDEX(CommunicationPolicies!{{ApprovalRole}}, MATCH({{TemplatePolicy}}, CommunicationPolicies!{{CommunicationPolicyId}}, 0))</t>
  </si>
  <si>
    <t>TemplateApprovals.IsDecidedByRequiredRole</t>
  </si>
  <si>
    <t>IsDecidedByRequiredRole</t>
  </si>
  <si>
    <t>={{DecidedInRole}} = {{RequiredApprovalRole}}</t>
  </si>
  <si>
    <t>TemplateApprovals.ValidApprovalTemplateKey</t>
  </si>
  <si>
    <t>ValidApprovalTemplateKey</t>
  </si>
  <si>
    <t>=IF(AND({{IsApprovalDecision}}, {{IsDecidedByRequiredRole}}), {{MessageTemplate}}, "")</t>
  </si>
  <si>
    <t>TemplateApprovals.SemanticTypeIri</t>
  </si>
  <si>
    <t>SendIntents.SendIntentId</t>
  </si>
  <si>
    <t>SendIntents</t>
  </si>
  <si>
    <t>SendIntentId</t>
  </si>
  <si>
    <t>SendIntents.Name</t>
  </si>
  <si>
    <t>={{Recipient}} &amp; " / " &amp; {{MessageTemplate}} &amp; " / intent"</t>
  </si>
  <si>
    <t>SendIntents.ProcedureExecution</t>
  </si>
  <si>
    <t>SendIntents.StepExecution</t>
  </si>
  <si>
    <t>SendIntents.Recipient</t>
  </si>
  <si>
    <t>SendIntents.MessageTemplate</t>
  </si>
  <si>
    <t>SendIntents.ProposedBody</t>
  </si>
  <si>
    <t>ProposedBody</t>
  </si>
  <si>
    <t>SendIntents.ProposedSendAtLocalHour</t>
  </si>
  <si>
    <t>ProposedSendAtLocalHour</t>
  </si>
  <si>
    <t>SendIntents.EvaluatedAt</t>
  </si>
  <si>
    <t>SendIntents.ResultingDelivery</t>
  </si>
  <si>
    <t>ResultingDelivery</t>
  </si>
  <si>
    <t>SendIntents.IntentPolicy</t>
  </si>
  <si>
    <t>IntentPolicy</t>
  </si>
  <si>
    <t>SendIntents.IntentChannel</t>
  </si>
  <si>
    <t>IntentChannel</t>
  </si>
  <si>
    <t>=INDEX(CommunicationPolicies!{{Channel}}, MATCH({{IntentPolicy}}, CommunicationPolicies!{{CommunicationPolicyId}}, 0))</t>
  </si>
  <si>
    <t>SendIntents.PolicyIsActive</t>
  </si>
  <si>
    <t>PolicyIsActive</t>
  </si>
  <si>
    <t>=INDEX(CommunicationPolicies!{{IsActivePolicy}}, MATCH({{IntentPolicy}}, CommunicationPolicies!{{CommunicationPolicyId}}, 0))</t>
  </si>
  <si>
    <t>SendIntents.IntentRequiresConsent</t>
  </si>
  <si>
    <t>IntentRequiresConsent</t>
  </si>
  <si>
    <t>=INDEX(CommunicationPolicies!{{ConsentRequired}}, MATCH({{IntentPolicy}}, CommunicationPolicies!{{CommunicationPolicyId}}, 0))</t>
  </si>
  <si>
    <t>SendIntents.RecipientHasChannelConsent</t>
  </si>
  <si>
    <t>RecipientHasChannelConsent</t>
  </si>
  <si>
    <t>SendIntents.ConsentGatePassed</t>
  </si>
  <si>
    <t>ConsentGatePassed</t>
  </si>
  <si>
    <t>=OR(NOT({{IntentRequiresConsent}}), {{RecipientHasChannelConsent}})</t>
  </si>
  <si>
    <t>SendIntents.RecipientIsSmsReachable</t>
  </si>
  <si>
    <t>RecipientIsSmsReachable</t>
  </si>
  <si>
    <t>=INDEX(Recipients!{{IsSmsReachable}}, MATCH({{Recipient}}, Recipients!{{RecipientId}}, 0))</t>
  </si>
  <si>
    <t>SendIntents.RecipientIsEmailReachable</t>
  </si>
  <si>
    <t>RecipientIsEmailReachable</t>
  </si>
  <si>
    <t>=INDEX(Recipients!{{IsEmailReachable}}, MATCH({{Recipient}}, Recipients!{{RecipientId}}, 0))</t>
  </si>
  <si>
    <t>SendIntents.ReachabilityGatePassed</t>
  </si>
  <si>
    <t>ReachabilityGatePassed</t>
  </si>
  <si>
    <t>=IF({{IntentChannel}} = "SMS", {{RecipientIsSmsReachable}}, {{RecipientIsEmailReachable}})</t>
  </si>
  <si>
    <t>SendIntents.PermissionGatePassed</t>
  </si>
  <si>
    <t>PermissionGatePassed</t>
  </si>
  <si>
    <t>=AND({{PolicyIsActive}}, AND({{ConsentGatePassed}}, {{ReachabilityGatePassed}}))</t>
  </si>
  <si>
    <t>SendIntents.IntentQuietStartHour</t>
  </si>
  <si>
    <t>IntentQuietStartHour</t>
  </si>
  <si>
    <t>=INDEX(CommunicationPolicies!{{QuietHoursStartHour}}, MATCH({{IntentPolicy}}, CommunicationPolicies!{{CommunicationPolicyId}}, 0))</t>
  </si>
  <si>
    <t>SendIntents.IntentQuietEndHour</t>
  </si>
  <si>
    <t>IntentQuietEndHour</t>
  </si>
  <si>
    <t>=INDEX(CommunicationPolicies!{{QuietHoursEndHour}}, MATCH({{IntentPolicy}}, CommunicationPolicies!{{CommunicationPolicyId}}, 0))</t>
  </si>
  <si>
    <t>SendIntents.IntentPolicyHasQuietHours</t>
  </si>
  <si>
    <t>IntentPolicyHasQuietHours</t>
  </si>
  <si>
    <t>={{IntentQuietStartHour}} &lt;&gt; {{IntentQuietEndHour}}</t>
  </si>
  <si>
    <t>SendIntents.IntentQuietWindowWraps</t>
  </si>
  <si>
    <t>IntentQuietWindowWraps</t>
  </si>
  <si>
    <t>={{IntentQuietStartHour}} &gt; {{IntentQuietEndHour}}</t>
  </si>
  <si>
    <t>SendIntents.IntentIsInsideQuietWindow</t>
  </si>
  <si>
    <t>IntentIsInsideQuietWindow</t>
  </si>
  <si>
    <t>=IF({{IntentQuietWindowWraps}}, OR({{ProposedSendAtLocalHour}} &gt;= {{IntentQuietStartHour}}, {{ProposedSendAtLocalHour}} &lt; {{IntentQuietEndHour}}), AND({{ProposedSendAtLocalHour}} &gt;= {{IntentQuietStartHour}}, {{ProposedSendAtLocalHour}} &lt; {{IntentQuietEndHour}}))</t>
  </si>
  <si>
    <t>SendIntents.TimingGatePassed</t>
  </si>
  <si>
    <t>TimingGatePassed</t>
  </si>
  <si>
    <t>=OR(NOT({{IntentPolicyHasQuietHours}}), NOT({{IntentIsInsideQuietWindow}}))</t>
  </si>
  <si>
    <t>SendIntents.HoursUntilWindowOpens</t>
  </si>
  <si>
    <t>HoursUntilWindowOpens</t>
  </si>
  <si>
    <t>=IF({{TimingGatePassed}}, 0, IF({{ProposedSendAtLocalHour}} &lt; {{IntentQuietEndHour}}, {{IntentQuietEndHour}} - {{ProposedSendAtLocalHour}}, 24 - {{ProposedSendAtLocalHour}} + {{IntentQuietEndHour}}))</t>
  </si>
  <si>
    <t>SendIntents.IntentMaxMessageLength</t>
  </si>
  <si>
    <t>IntentMaxMessageLength</t>
  </si>
  <si>
    <t>=INDEX(CommunicationPolicies!{{MaxMessageLength}}, MATCH({{IntentPolicy}}, CommunicationPolicies!{{CommunicationPolicyId}}, 0))</t>
  </si>
  <si>
    <t>SendIntents.IntentMaxSegments</t>
  </si>
  <si>
    <t>IntentMaxSegments</t>
  </si>
  <si>
    <t>=INDEX(CommunicationPolicies!{{MaxSegments}}, MATCH({{IntentPolicy}}, CommunicationPolicies!{{CommunicationPolicyId}}, 0))</t>
  </si>
  <si>
    <t>SendIntents.ProposedBodyLength</t>
  </si>
  <si>
    <t>ProposedBodyLength</t>
  </si>
  <si>
    <t>SendIntents.ProposedSegmentCount</t>
  </si>
  <si>
    <t>ProposedSegmentCount</t>
  </si>
  <si>
    <t>SendIntents.LengthGatePassed</t>
  </si>
  <si>
    <t>LengthGatePassed</t>
  </si>
  <si>
    <t>=AND({{ProposedBodyLength}} &gt; 0, {{ProposedSegmentCount}} &lt;= {{IntentMaxSegments}})</t>
  </si>
  <si>
    <t>SendIntents.IntentRequiredOptOutPhrase</t>
  </si>
  <si>
    <t>IntentRequiredOptOutPhrase</t>
  </si>
  <si>
    <t>=INDEX(CommunicationPolicies!{{RequiredOptOutPhrase}}, MATCH({{IntentPolicy}}, CommunicationPolicies!{{CommunicationPolicyId}}, 0))</t>
  </si>
  <si>
    <t>SendIntents.ProposedOptOutPosition</t>
  </si>
  <si>
    <t>ProposedOptOutPosition</t>
  </si>
  <si>
    <t>SendIntents.OptOutGatePassed</t>
  </si>
  <si>
    <t>OptOutGatePassed</t>
  </si>
  <si>
    <t>=OR({{IntentRequiredOptOutPhrase}} = "", AND({{ProposedOptOutPosition}} &gt; 0, {{ProposedOptOutPosition}} &lt;= {{IntentMaxMessageLength}}))</t>
  </si>
  <si>
    <t>SendIntents.ContentGatePassed</t>
  </si>
  <si>
    <t>ContentGatePassed</t>
  </si>
  <si>
    <t>=AND({{LengthGatePassed}}, {{OptOutGatePassed}})</t>
  </si>
  <si>
    <t>SendIntents.TemplateIsSendable</t>
  </si>
  <si>
    <t>TemplateIsSendable</t>
  </si>
  <si>
    <t>SendIntents.ExecutionHasLegalClearance</t>
  </si>
  <si>
    <t>ExecutionHasLegalClearance</t>
  </si>
  <si>
    <t>SendIntents.IntentApprovalRole</t>
  </si>
  <si>
    <t>IntentApprovalRole</t>
  </si>
  <si>
    <t>=INDEX(CommunicationPolicies!{{ApprovalRole}}, MATCH({{IntentPolicy}}, CommunicationPolicies!{{CommunicationPolicyId}}, 0))</t>
  </si>
  <si>
    <t>SendIntents.ApprovalRoleAgentKind</t>
  </si>
  <si>
    <t>ApprovalRoleAgentKind</t>
  </si>
  <si>
    <t>=INDEX(Roles!{{CurrentAgentKind}}, MATCH({{IntentApprovalRole}}, Roles!{{RoleId}}, 0))</t>
  </si>
  <si>
    <t>SendIntents.ApprovalIsHuman</t>
  </si>
  <si>
    <t>ApprovalIsHuman</t>
  </si>
  <si>
    <t>={{ApprovalRoleAgentKind}} = "Human"</t>
  </si>
  <si>
    <t>SendIntents.AuthorizationGatePassed</t>
  </si>
  <si>
    <t>AuthorizationGatePassed</t>
  </si>
  <si>
    <t>=AND({{TemplateIsSendable}}, AND({{ExecutionHasLegalClearance}}, {{ApprovalIsHuman}}))</t>
  </si>
  <si>
    <t>SendIntents.IsClearedToSend</t>
  </si>
  <si>
    <t>IsClearedToSend</t>
  </si>
  <si>
    <t>=AND({{PermissionGatePassed}}, AND({{TimingGatePassed}}, AND({{ContentGatePassed}}, {{AuthorizationGatePassed}})))</t>
  </si>
  <si>
    <t>SendIntents.BlockingGateName</t>
  </si>
  <si>
    <t>BlockingGateName</t>
  </si>
  <si>
    <t>=IF({{IsClearedToSend}}, "", IF(NOT({{PermissionGatePassed}}), "Permission", IF(NOT({{TimingGatePassed}}), "Timing", IF(NOT({{ContentGatePassed}}), "Content", "Authorization"))))</t>
  </si>
  <si>
    <t>SendIntents.HasResultingDelivery</t>
  </si>
  <si>
    <t>HasResultingDelivery</t>
  </si>
  <si>
    <t>={{ResultingDelivery}} &lt;&gt; ""</t>
  </si>
  <si>
    <t>SendIntents.ResultingDeliveryWasTransmitted</t>
  </si>
  <si>
    <t>ResultingDeliveryWasTransmitted</t>
  </si>
  <si>
    <t>=INDEX(MessageDeliveries!{{WasActuallyTransmitted}}, MATCH({{ResultingDelivery}}, MessageDeliveries!{{MessageDeliveryId}}, 0))</t>
  </si>
  <si>
    <t>SendIntents.IsOverriddenRefusal</t>
  </si>
  <si>
    <t>IsOverriddenRefusal</t>
  </si>
  <si>
    <t>=AND(NOT({{IsClearedToSend}}), AND({{HasResultingDelivery}}, {{ResultingDeliveryWasTransmitted}}))</t>
  </si>
  <si>
    <t>SendIntents.IsSilentlyDropped</t>
  </si>
  <si>
    <t>IsSilentlyDropped</t>
  </si>
  <si>
    <t>=AND(NOT({{IsClearedToSend}}), NOT({{HasResultingDelivery}}))</t>
  </si>
  <si>
    <t>SendIntents.ResultingDeliveryException</t>
  </si>
  <si>
    <t>ResultingDeliveryException</t>
  </si>
  <si>
    <t>=INDEX(MessageDeliveries!{{InvokedException}}, MATCH({{ResultingDelivery}}, MessageDeliveries!{{MessageDeliveryId}}, 0))</t>
  </si>
  <si>
    <t>SendIntents.RefusalCitedAnException</t>
  </si>
  <si>
    <t>RefusalCitedAnException</t>
  </si>
  <si>
    <t>={{ResultingDeliveryException}} &lt;&gt; ""</t>
  </si>
  <si>
    <t>SendIntents.IsProperlyHandledRefusal</t>
  </si>
  <si>
    <t>IsProperlyHandledRefusal</t>
  </si>
  <si>
    <t>=AND(NOT({{IsClearedToSend}}), AND({{HasResultingDelivery}}, AND(NOT({{ResultingDeliveryWasTransmitted}}), {{RefusalCitedAnException}})))</t>
  </si>
  <si>
    <t>SendIntents.RefusalFailureExecutionKey</t>
  </si>
  <si>
    <t>RefusalFailureExecutionKey</t>
  </si>
  <si>
    <t>=IF(OR({{IsOverriddenRefusal}}, {{IsSilentlyDropped}}), {{ProcedureExecution}}, "")</t>
  </si>
  <si>
    <t>SendIntents.IntentExecutionKey</t>
  </si>
  <si>
    <t>IntentExecutionKey</t>
  </si>
  <si>
    <t>={{ProcedureExecution}}</t>
  </si>
  <si>
    <t>SendIntents.DeliveredIntentExecutionKey</t>
  </si>
  <si>
    <t>DeliveredIntentExecutionKey</t>
  </si>
  <si>
    <t>=IF(AND({{HasResultingDelivery}}, {{ResultingDeliveryWasTransmitted}}), {{ProcedureExecution}}, "")</t>
  </si>
  <si>
    <t>SendIntents.DroppedIntentExecutionKey</t>
  </si>
  <si>
    <t>DroppedIntentExecutionKey</t>
  </si>
  <si>
    <t>=IF({{IsSilentlyDropped}}, {{ProcedureExecution}}, "")</t>
  </si>
  <si>
    <t>SendIntents.MyApprovalWasInForce</t>
  </si>
  <si>
    <t>MyApprovalWasInForce</t>
  </si>
  <si>
    <t>={{TemplateIsSendable}}</t>
  </si>
  <si>
    <t>SendIntents.RefusedOnApprovedContent</t>
  </si>
  <si>
    <t>RefusedOnApprovedContent</t>
  </si>
  <si>
    <t>=AND({{MyApprovalWasInForce}}, NOT({{ContentGatePassed}}))</t>
  </si>
  <si>
    <t>SendIntents.RefusedOnOptOutOnly</t>
  </si>
  <si>
    <t>RefusedOnOptOutOnly</t>
  </si>
  <si>
    <t>=AND(NOT({{OptOutGatePassed}}), {{LengthGatePassed}})</t>
  </si>
  <si>
    <t>SendIntents.RefusalWasOnMyRules</t>
  </si>
  <si>
    <t>RefusalWasOnMyRules</t>
  </si>
  <si>
    <t>=AND(NOT({{IsClearedToSend}}), OR(NOT({{ContentGatePassed}}), NOT({{TimingGatePassed}})))</t>
  </si>
  <si>
    <t>SendIntents.RefusalWasOutsideMyControl</t>
  </si>
  <si>
    <t>RefusalWasOutsideMyControl</t>
  </si>
  <si>
    <t>=AND(NOT({{IsClearedToSend}}), OR(NOT({{PermissionGatePassed}}), NOT({{AuthorizationGatePassed}})))</t>
  </si>
  <si>
    <t>SendIntents.ApproverWasNotified</t>
  </si>
  <si>
    <t>ApproverWasNotified</t>
  </si>
  <si>
    <t>SendIntents.IsUnreportedRefusalOnMyRules</t>
  </si>
  <si>
    <t>IsUnreportedRefusalOnMyRules</t>
  </si>
  <si>
    <t>=AND({{RefusalWasOnMyRules}}, NOT({{ApproverWasNotified}}))</t>
  </si>
  <si>
    <t>SendIntents.IsApprovalOverriddenSilently</t>
  </si>
  <si>
    <t>IsApprovalOverriddenSilently</t>
  </si>
  <si>
    <t>=AND({{RefusedOnApprovedContent}}, NOT({{ApproverWasNotified}}))</t>
  </si>
  <si>
    <t>SendIntents.AlternateChannelIntent</t>
  </si>
  <si>
    <t>AlternateChannelIntent</t>
  </si>
  <si>
    <t>SendIntents.HasAlternateChannelAttempt</t>
  </si>
  <si>
    <t>HasAlternateChannelAttempt</t>
  </si>
  <si>
    <t>={{AlternateChannelIntent}} &lt;&gt; ""</t>
  </si>
  <si>
    <t>SendIntents.AlternateAttemptWasCleared</t>
  </si>
  <si>
    <t>AlternateAttemptWasCleared</t>
  </si>
  <si>
    <t>=INDEX(SendIntents!{{IsClearedToSend}}, MATCH({{AlternateChannelIntent}}, SendIntents!{{SendIntentId}}, 0))</t>
  </si>
  <si>
    <t>SendIntents.IsRefusedWithNoAlternative</t>
  </si>
  <si>
    <t>IsRefusedWithNoAlternative</t>
  </si>
  <si>
    <t>=AND(NOT({{IsClearedToSend}}), NOT({{HasAlternateChannelAttempt}}))</t>
  </si>
  <si>
    <t>SendIntents.ExceptionPrescribedAnAlternative</t>
  </si>
  <si>
    <t>ExceptionPrescribedAnAlternative</t>
  </si>
  <si>
    <t>=AND({{RefusalCitedAnException}}, {{ResultingDeliveryException}} &lt;&gt; "")</t>
  </si>
  <si>
    <t>SendIntents.PrescribedHandlingWasPerformed</t>
  </si>
  <si>
    <t>PrescribedHandlingWasPerformed</t>
  </si>
  <si>
    <t>=AND({{ExceptionPrescribedAnAlternative}}, AND({{HasAlternateChannelAttempt}}, {{AlternateAttemptWasCleared}}))</t>
  </si>
  <si>
    <t>SendIntents.IsSuppressionWithoutRemedy</t>
  </si>
  <si>
    <t>IsSuppressionWithoutRemedy</t>
  </si>
  <si>
    <t>=AND({{ExceptionPrescribedAnAlternative}}, NOT({{PrescribedHandlingWasPerformed}}))</t>
  </si>
  <si>
    <t>SendIntents.RefusalRecordedAt</t>
  </si>
  <si>
    <t>RefusalRecordedAt</t>
  </si>
  <si>
    <t>SendIntents.RefusalNotifiedRole</t>
  </si>
  <si>
    <t>RefusalNotifiedRole</t>
  </si>
  <si>
    <t>SendIntents.HasDurableRefusalRecord</t>
  </si>
  <si>
    <t>HasDurableRefusalRecord</t>
  </si>
  <si>
    <t>={{RefusalRecordedAt}} &lt;&gt; ""</t>
  </si>
  <si>
    <t>SendIntents.RefusalWasEscalated</t>
  </si>
  <si>
    <t>RefusalWasEscalated</t>
  </si>
  <si>
    <t>={{RefusalNotifiedRole}} &lt;&gt; ""</t>
  </si>
  <si>
    <t>SendIntents.IsUnrecordedRefusal</t>
  </si>
  <si>
    <t>IsUnrecordedRefusal</t>
  </si>
  <si>
    <t>=AND({{IsSilentlyDropped}}, AND(NOT({{HasDurableRefusalRecord}}), NOT({{RefusalCitedAnException}})))</t>
  </si>
  <si>
    <t>SendIntents.IsUnescalatedRefusal</t>
  </si>
  <si>
    <t>IsUnescalatedRefusal</t>
  </si>
  <si>
    <t>=AND(NOT({{IsClearedToSend}}), NOT({{RefusalWasEscalated}}))</t>
  </si>
  <si>
    <t>SendIntents.UnescalatedRefusalRoleKey</t>
  </si>
  <si>
    <t>UnescalatedRefusalRoleKey</t>
  </si>
  <si>
    <t>=IF({{IsUnrecordedRefusal}}, {{RefusalNotifiedRole}}, "")</t>
  </si>
  <si>
    <t>SendIntents.UnrecordedRefusalExecutionKey</t>
  </si>
  <si>
    <t>UnrecordedRefusalExecutionKey</t>
  </si>
  <si>
    <t>=IF({{IsUnrecordedRefusal}}, {{ProcedureExecution}}, "")</t>
  </si>
  <si>
    <t>SendIntents.RetryIntent</t>
  </si>
  <si>
    <t>RetryIntent</t>
  </si>
  <si>
    <t>SendIntents.WasDeferredOnTiming</t>
  </si>
  <si>
    <t>WasDeferredOnTiming</t>
  </si>
  <si>
    <t>=AND(NOT({{TimingGatePassed}}), AND({{PermissionGatePassed}}, {{ContentGatePassed}}))</t>
  </si>
  <si>
    <t>SendIntents.EvaluationContext</t>
  </si>
  <si>
    <t>SendIntents.AsOfInstant</t>
  </si>
  <si>
    <t>SendIntents.WindowHasSinceReopened</t>
  </si>
  <si>
    <t>WindowHasSinceReopened</t>
  </si>
  <si>
    <t>=AND({{HoursUntilWindowOpens}} &gt; 0, DATETIME_DIFF({{AsOfInstant}}, {{EvaluatedAt}}, "hours") &gt; {{HoursUntilWindowOpens}})</t>
  </si>
  <si>
    <t>SendIntents.HasRetryAttempt</t>
  </si>
  <si>
    <t>HasRetryAttempt</t>
  </si>
  <si>
    <t>={{RetryIntent}} &lt;&gt; ""</t>
  </si>
  <si>
    <t>SendIntents.RetryWasCleared</t>
  </si>
  <si>
    <t>RetryWasCleared</t>
  </si>
  <si>
    <t>=INDEX(SendIntents!{{IsClearedToSend}}, MATCH({{RetryIntent}}, SendIntents!{{SendIntentId}}, 0))</t>
  </si>
  <si>
    <t>SendIntents.IsAbandonedDeferral</t>
  </si>
  <si>
    <t>IsAbandonedDeferral</t>
  </si>
  <si>
    <t>=AND({{WasDeferredOnTiming}}, AND({{WindowHasSinceReopened}}, NOT({{HasRetryAttempt}})))</t>
  </si>
  <si>
    <t>SendIntents.DeferralAgeHours</t>
  </si>
  <si>
    <t>DeferralAgeHours</t>
  </si>
  <si>
    <t>=DATETIME_DIFF({{AsOfInstant}}, {{EvaluatedAt}}, "hours")</t>
  </si>
  <si>
    <t>SendIntents.IsStaleDeferral</t>
  </si>
  <si>
    <t>IsStaleDeferral</t>
  </si>
  <si>
    <t>=AND({{WasDeferredOnTiming}}, {{DeferralAgeHours}} &gt; 24)</t>
  </si>
  <si>
    <t>SendIntents.EvaluatingRoleAssignment</t>
  </si>
  <si>
    <t>EvaluatingRoleAssignment</t>
  </si>
  <si>
    <t>SendIntents.EnforcedByUnauthorizedAgent</t>
  </si>
  <si>
    <t>EnforcedByUnauthorizedAgent</t>
  </si>
  <si>
    <t>=INDEX(RoleAssignments!{{IsUnauthorizedEnforcementAgent}}, MATCH({{EvaluatingRoleAssignment}}, RoleAssignments!{{RoleAssignmentId}}, 0))</t>
  </si>
  <si>
    <t>SendIntents.ConsentInputWasResolvable</t>
  </si>
  <si>
    <t>ConsentInputWasResolvable</t>
  </si>
  <si>
    <t>={{RecipientConsentStatusRaw}} &lt;&gt; ""</t>
  </si>
  <si>
    <t>SendIntents.RecipientConsentStatusRaw</t>
  </si>
  <si>
    <t>RecipientConsentStatusRaw</t>
  </si>
  <si>
    <t>=INDEX(Recipients!{{SmsConsentStatus}}, MATCH({{Recipient}}, Recipients!{{RecipientId}}, 0))</t>
  </si>
  <si>
    <t>SendIntents.PolicyInputWasResolvable</t>
  </si>
  <si>
    <t>PolicyInputWasResolvable</t>
  </si>
  <si>
    <t>={{IntentPolicy}} &lt;&gt; ""</t>
  </si>
  <si>
    <t>SendIntents.AllGateInputsResolved</t>
  </si>
  <si>
    <t>AllGateInputsResolved</t>
  </si>
  <si>
    <t>=AND({{ConsentInputWasResolvable}}, {{PolicyInputWasResolvable}})</t>
  </si>
  <si>
    <t>SendIntents.IsUnevaluableRefusal</t>
  </si>
  <si>
    <t>IsUnevaluableRefusal</t>
  </si>
  <si>
    <t>=AND(NOT({{IsClearedToSend}}), NOT({{AllGateInputsResolved}}))</t>
  </si>
  <si>
    <t>SendIntents.GateResultWasIndependentlyConfirmed</t>
  </si>
  <si>
    <t>GateResultWasIndependentlyConfirmed</t>
  </si>
  <si>
    <t>SendIntents.IsSelfWitnessedDecision</t>
  </si>
  <si>
    <t>IsSelfWitnessedDecision</t>
  </si>
  <si>
    <t>=NOT({{GateResultWasIndependentlyConfirmed}})</t>
  </si>
  <si>
    <t>SendIntents.IsIndependentlyConfirmed</t>
  </si>
  <si>
    <t>IsIndependentlyConfirmed</t>
  </si>
  <si>
    <t>=AND({{HasResultingDelivery}}, {{ResultingDeliveryWasTransmitted}})</t>
  </si>
  <si>
    <t>SendIntents.IndependentlyConfirmedExecutionKey</t>
  </si>
  <si>
    <t>IndependentlyConfirmedExecutionKey</t>
  </si>
  <si>
    <t>=IF({{IsIndependentlyConfirmed}}, {{ProcedureExecution}}, "")</t>
  </si>
  <si>
    <t>SendIntents.SemanticTypeIri</t>
  </si>
  <si>
    <t>AgentDecisionRecords.AgentDecisionRecordId</t>
  </si>
  <si>
    <t>AgentDecisionRecords</t>
  </si>
  <si>
    <t>AgentDecisionRecordId</t>
  </si>
  <si>
    <t>AgentDecisionRecords.Name</t>
  </si>
  <si>
    <t>={{DecidingAgent}} &amp; ": " &amp; LEFT({{DecisionSummary}}, 60)</t>
  </si>
  <si>
    <t>AgentDecisionRecords.StepExecution</t>
  </si>
  <si>
    <t>AgentDecisionRecords.DecidingAgent</t>
  </si>
  <si>
    <t>DecidingAgent</t>
  </si>
  <si>
    <t>AgentDecisionRecords.DecisionKind</t>
  </si>
  <si>
    <t>DecisionKind</t>
  </si>
  <si>
    <t>AgentDecisionRecords.DecisionSummary</t>
  </si>
  <si>
    <t>DecisionSummary</t>
  </si>
  <si>
    <t>AgentDecisionRecords.DecidedAt</t>
  </si>
  <si>
    <t>AgentDecisionRecords.MaterialityBand</t>
  </si>
  <si>
    <t>MaterialityBand</t>
  </si>
  <si>
    <t>AgentDecisionRecords.HumanDisposition</t>
  </si>
  <si>
    <t>HumanDisposition</t>
  </si>
  <si>
    <t>AgentDecisionRecords.ReviewedByAgent</t>
  </si>
  <si>
    <t>AgentDecisionRecords.ReviewedAt</t>
  </si>
  <si>
    <t>AgentDecisionRecords.WasOverridden</t>
  </si>
  <si>
    <t>WasOverridden</t>
  </si>
  <si>
    <t>=OR({{HumanDisposition}} = "Corrected", {{HumanDisposition}} = "Reversed")</t>
  </si>
  <si>
    <t>AgentDecisionRecords.WasReviewed</t>
  </si>
  <si>
    <t>WasReviewed</t>
  </si>
  <si>
    <t>=AND({{HumanDisposition}} &lt;&gt; "", {{HumanDisposition}} &lt;&gt; "NotReviewed")</t>
  </si>
  <si>
    <t>AgentDecisionRecords.DecidingAgentKind</t>
  </si>
  <si>
    <t>DecidingAgentKind</t>
  </si>
  <si>
    <t>=INDEX(Agents!{{AgentKind}}, MATCH({{DecidingAgent}}, Agents!{{AgentId}}, 0))</t>
  </si>
  <si>
    <t>AgentDecisionRecords.DecidingAgentWhenOverridden</t>
  </si>
  <si>
    <t>DecidingAgentWhenOverridden</t>
  </si>
  <si>
    <t>=IF({{WasOverridden}}, {{DecidingAgent}}, "")</t>
  </si>
  <si>
    <t>AgentDecisionRecords.UnderRoleAssignment</t>
  </si>
  <si>
    <t>UnderRoleAssignment</t>
  </si>
  <si>
    <t>AgentDecisionRecords.RoleAssignmentWhenScored</t>
  </si>
  <si>
    <t>RoleAssignmentWhenScored</t>
  </si>
  <si>
    <t>=IF({{UnderRoleAssignment}} &lt;&gt; "", {{UnderRoleAssignment}}, "")</t>
  </si>
  <si>
    <t>AgentDecisionRecords.RoleAssignmentWhenOverridden</t>
  </si>
  <si>
    <t>RoleAssignmentWhenOverridden</t>
  </si>
  <si>
    <t>=IF({{WasOverridden}}, {{UnderRoleAssignment}}, "")</t>
  </si>
  <si>
    <t>AgentDecisionRecords.StepOfDecision</t>
  </si>
  <si>
    <t>StepOfDecision</t>
  </si>
  <si>
    <t>AgentDecisionRecords.BoundaryMatchKey</t>
  </si>
  <si>
    <t>BoundaryMatchKey</t>
  </si>
  <si>
    <t>={{StepOfDecision}} &amp; "|" &amp; {{DecidingAgentKind}} &amp; "|" &amp; {{DecisionKind}}</t>
  </si>
  <si>
    <t>AgentDecisionRecords.MatchingBoundaryCount</t>
  </si>
  <si>
    <t>MatchingBoundaryCount</t>
  </si>
  <si>
    <t>=COUNTIFS(AuthorityBoundaries!{{BoundaryMatchKey}}, {{BoundaryMatchKey}})</t>
  </si>
  <si>
    <t>AgentDecisionRecords.ViolatedAuthorityBoundary</t>
  </si>
  <si>
    <t>ViolatedAuthorityBoundary</t>
  </si>
  <si>
    <t>={{MatchingBoundaryCount}} &gt; 0</t>
  </si>
  <si>
    <t>AgentDecisionRecords.ReviewerAgentKind</t>
  </si>
  <si>
    <t>ReviewerAgentKind</t>
  </si>
  <si>
    <t>=INDEX(Agents!{{AgentKind}}, MATCH({{ReviewedByAgent}}, Agents!{{AgentId}}, 0))</t>
  </si>
  <si>
    <t>AgentDecisionRecords.HasHumanConfirmation</t>
  </si>
  <si>
    <t>HasHumanConfirmation</t>
  </si>
  <si>
    <t>=AND({{ReviewerAgentKind}} = "Human", {{HumanDisposition}} &lt;&gt; "", {{HumanDisposition}} &lt;&gt; "NotReviewed")</t>
  </si>
  <si>
    <t>AgentDecisionRecords.NeedsHumanConfirmation</t>
  </si>
  <si>
    <t>NeedsHumanConfirmation</t>
  </si>
  <si>
    <t>=AND(NOT({{DecidingAgentKind}} = "Human"), OR({{MaterialityBand}} = "Material", {{MaterialityBand}} = "Escalated"))</t>
  </si>
  <si>
    <t>AgentDecisionRecords.IsUnconfirmedNonHumanDecision</t>
  </si>
  <si>
    <t>IsUnconfirmedNonHumanDecision</t>
  </si>
  <si>
    <t>=AND({{NeedsHumanConfirmation}}, NOT({{HasHumanConfirmation}}))</t>
  </si>
  <si>
    <t>AgentDecisionRecords.StepExecutionWhenUnconfirmed</t>
  </si>
  <si>
    <t>StepExecutionWhenUnconfirmed</t>
  </si>
  <si>
    <t>=IF({{IsUnconfirmedNonHumanDecision}}, {{StepExecution}}, "")</t>
  </si>
  <si>
    <t>AgentDecisionRecords.AgentWhenBoundaryViolated</t>
  </si>
  <si>
    <t>AgentWhenBoundaryViolated</t>
  </si>
  <si>
    <t>=IF({{ViolatedAuthorityBoundary}}, {{DecidingAgent}}, "")</t>
  </si>
  <si>
    <t>AgentDecisionRecords.ReviewLatencyMinutes</t>
  </si>
  <si>
    <t>ReviewLatencyMinutes</t>
  </si>
  <si>
    <t>=IF({{ReviewedAt}} = "", 0, DATETIME_DIFF({{ReviewedAt}}, {{DecidedAt}}, "minutes"))</t>
  </si>
  <si>
    <t>AgentDecisionRecords.IsDraftKind</t>
  </si>
  <si>
    <t>IsDraftKind</t>
  </si>
  <si>
    <t>=OR({{DecisionKind}} = "Draft", {{DecisionKind}} = "Commitment")</t>
  </si>
  <si>
    <t>AgentDecisionRecords.AgentWhenDraftOverridden</t>
  </si>
  <si>
    <t>AgentWhenDraftOverridden</t>
  </si>
  <si>
    <t>=IF(AND({{IsDraftKind}}, {{WasOverridden}}), {{DecidingAgent}}, "")</t>
  </si>
  <si>
    <t>AgentDecisionRecords.AgentWhenDraft</t>
  </si>
  <si>
    <t>AgentWhenDraft</t>
  </si>
  <si>
    <t>=IF({{IsDraftKind}}, {{DecidingAgent}}, "")</t>
  </si>
  <si>
    <t>AgentDecisionRecords.OverrideReasonKind</t>
  </si>
  <si>
    <t>OverrideReasonKind</t>
  </si>
  <si>
    <t>AgentDecisionRecords.IsErrorCorrection</t>
  </si>
  <si>
    <t>IsErrorCorrection</t>
  </si>
  <si>
    <t>=AND({{WasOverridden}}, {{OverrideReasonKind}} = "ErrorCorrection")</t>
  </si>
  <si>
    <t>AgentDecisionRecords.IsReservedJudgmentOverride</t>
  </si>
  <si>
    <t>IsReservedJudgmentOverride</t>
  </si>
  <si>
    <t>=AND({{WasOverridden}}, {{OverrideReasonKind}} = "JudgmentReserved")</t>
  </si>
  <si>
    <t>AgentDecisionRecords.OverrideReasonIsRecorded</t>
  </si>
  <si>
    <t>OverrideReasonIsRecorded</t>
  </si>
  <si>
    <t>=AND({{WasOverridden}}, {{OverrideReasonKind}} &lt;&gt; "")</t>
  </si>
  <si>
    <t>AgentDecisionRecords.IsUnexplainedOverride</t>
  </si>
  <si>
    <t>IsUnexplainedOverride</t>
  </si>
  <si>
    <t>=AND({{WasOverridden}}, NOT({{OverrideReasonIsRecorded}}))</t>
  </si>
  <si>
    <t>AgentDecisionRecords.ErrorCorrectionRoleAssignmentKey</t>
  </si>
  <si>
    <t>ErrorCorrectionRoleAssignmentKey</t>
  </si>
  <si>
    <t>=IF({{IsErrorCorrection}}, {{UnderRoleAssignment}}, "")</t>
  </si>
  <si>
    <t>AgentDecisionRecords.BoundaryViolationRoleAssignmentKey</t>
  </si>
  <si>
    <t>BoundaryViolationRoleAssignmentKey</t>
  </si>
  <si>
    <t>=IF({{ViolatedAuthorityBoundary}}, {{UnderRoleAssignment}}, "")</t>
  </si>
  <si>
    <t>AgentDecisionRecords.SemanticTypeIri</t>
  </si>
  <si>
    <t>DeliveredCommunications.DeliveredCommunicationId</t>
  </si>
  <si>
    <t>DeliveredCommunications</t>
  </si>
  <si>
    <t>DeliveredCommunicationId</t>
  </si>
  <si>
    <t>DeliveredCommunications.Name</t>
  </si>
  <si>
    <t>={{Channel}} &amp; " -&gt; " &amp; {{RecipientKey}} &amp; " @ " &amp; {{SentAt}}</t>
  </si>
  <si>
    <t>DeliveredCommunications.ProcedureExecution</t>
  </si>
  <si>
    <t>DeliveredCommunications.SendingStepExecution</t>
  </si>
  <si>
    <t>SendingStepExecution</t>
  </si>
  <si>
    <t>DeliveredCommunications.AuthorizingStepExecution</t>
  </si>
  <si>
    <t>AuthorizingStepExecution</t>
  </si>
  <si>
    <t>DeliveredCommunications.MessageTemplate</t>
  </si>
  <si>
    <t>DeliveredCommunications.Channel</t>
  </si>
  <si>
    <t>DeliveredCommunications.RecipientKey</t>
  </si>
  <si>
    <t>RecipientKey</t>
  </si>
  <si>
    <t>DeliveredCommunications.SentAt</t>
  </si>
  <si>
    <t>DeliveredCommunications.RenderedContentHash</t>
  </si>
  <si>
    <t>RenderedContentHash</t>
  </si>
  <si>
    <t>DeliveredCommunications.ApprovedContentHash</t>
  </si>
  <si>
    <t>ApprovedContentHash</t>
  </si>
  <si>
    <t>DeliveredCommunications.DeliveryStatus</t>
  </si>
  <si>
    <t>DeliveredCommunications.SemanticTypeIri</t>
  </si>
  <si>
    <t>DeliveredCommunications.HasAuthorization</t>
  </si>
  <si>
    <t>HasAuthorization</t>
  </si>
  <si>
    <t>={{AuthorizingStepExecution}} &lt;&gt; ""</t>
  </si>
  <si>
    <t>DeliveredCommunications.ContentMatchesApproval</t>
  </si>
  <si>
    <t>ContentMatchesApproval</t>
  </si>
  <si>
    <t>={{RenderedContentHash}} = {{ApprovedContentHash}}</t>
  </si>
  <si>
    <t>DeliveredCommunications.AuthorizedAt</t>
  </si>
  <si>
    <t>AuthorizedAt</t>
  </si>
  <si>
    <t>=INDEX(StepExecutions!{{EndedAt}}, MATCH({{AuthorizingStepExecution}}, StepExecutions!{{StepExecutionId}}, 0))</t>
  </si>
  <si>
    <t>DeliveredCommunications.WasApprovedBeforeSending</t>
  </si>
  <si>
    <t>WasApprovedBeforeSending</t>
  </si>
  <si>
    <t>={{AuthorizedAt}} &lt;= {{SentAt}}</t>
  </si>
  <si>
    <t>DeliveredCommunications.IsDefensible</t>
  </si>
  <si>
    <t>IsDefensible</t>
  </si>
  <si>
    <t>=AND({{HasAuthorization}}, {{ContentMatchesApproval}}, {{WasApprovedBeforeSending}})</t>
  </si>
  <si>
    <t>AuthorityBoundaries.AuthorityBoundaryId</t>
  </si>
  <si>
    <t>AuthorityBoundaries</t>
  </si>
  <si>
    <t>AuthorityBoundaryId</t>
  </si>
  <si>
    <t>AuthorityBoundaries.Name</t>
  </si>
  <si>
    <t>={{ForbiddenAgentKind}} &amp; " may not " &amp; {{ForbiddenDecisionKind}}</t>
  </si>
  <si>
    <t>AuthorityBoundaries.Step</t>
  </si>
  <si>
    <t>AuthorityBoundaries.ForbiddenAgentKind</t>
  </si>
  <si>
    <t>ForbiddenAgentKind</t>
  </si>
  <si>
    <t>AuthorityBoundaries.ForbiddenDecisionKind</t>
  </si>
  <si>
    <t>ForbiddenDecisionKind</t>
  </si>
  <si>
    <t>AuthorityBoundaries.RatifiedByKnowledgeFragment</t>
  </si>
  <si>
    <t>RatifiedByKnowledgeFragment</t>
  </si>
  <si>
    <t>AuthorityBoundaries.EnforcingRequirement</t>
  </si>
  <si>
    <t>EnforcingRequirement</t>
  </si>
  <si>
    <t>AuthorityBoundaries.AuthorityRole</t>
  </si>
  <si>
    <t>AuthorityBoundaries.ValidFrom</t>
  </si>
  <si>
    <t>AuthorityBoundaries.ValidTo</t>
  </si>
  <si>
    <t>AuthorityBoundaries.Status</t>
  </si>
  <si>
    <t>AuthorityBoundaries.EvaluationContext</t>
  </si>
  <si>
    <t>AuthorityBoundaries.AsOfInstant</t>
  </si>
  <si>
    <t>AuthorityBoundaries.IsCurrentlyBinding</t>
  </si>
  <si>
    <t>IsCurrentlyBinding</t>
  </si>
  <si>
    <t>=AND({{Status}} = "Approved", {{ValidFrom}} &lt;= {{AsOfInstant}}, OR({{ValidTo}} = "", {{ValidTo}} &gt; {{AsOfInstant}}))</t>
  </si>
  <si>
    <t>AuthorityBoundaries.RatifyingFragmentIsValid</t>
  </si>
  <si>
    <t>RatifyingFragmentIsValid</t>
  </si>
  <si>
    <t>=INDEX(KnowledgeFragments!{{IsCurrentlyValid}}, MATCH({{RatifiedByKnowledgeFragment}}, KnowledgeFragments!{{KnowledgeFragmentId}}, 0))</t>
  </si>
  <si>
    <t>AuthorityBoundaries.StepWhenBinding</t>
  </si>
  <si>
    <t>StepWhenBinding</t>
  </si>
  <si>
    <t>=IF({{IsCurrentlyBinding}}, {{Step}}, "")</t>
  </si>
  <si>
    <t>AuthorityBoundaries.BoundaryMatchKey</t>
  </si>
  <si>
    <t>={{Step}} &amp; "|" &amp; {{ForbiddenAgentKind}} &amp; "|" &amp; {{ForbiddenDecisionKind}}</t>
  </si>
  <si>
    <t>AuthorityBoundaries.ViolationCount</t>
  </si>
  <si>
    <t>ViolationCount</t>
  </si>
  <si>
    <t>=COUNTIFS(AgentDecisionRecords!{{BoundaryMatchKey}}, {{BoundaryMatchKey}})</t>
  </si>
  <si>
    <t>AuthorityBoundaries.IsUntested</t>
  </si>
  <si>
    <t>IsUntested</t>
  </si>
  <si>
    <t>=AND({{IsCurrentlyBinding}}, {{ViolationCount}} = 0)</t>
  </si>
  <si>
    <t>AuthorityBoundaries.HasRatifyingFragment</t>
  </si>
  <si>
    <t>HasRatifyingFragment</t>
  </si>
  <si>
    <t>={{RatifiedByKnowledgeFragment}} &lt;&gt; ""</t>
  </si>
  <si>
    <t>AuthorityBoundaries.IsUnwarranted</t>
  </si>
  <si>
    <t>IsUnwarranted</t>
  </si>
  <si>
    <t>=AND({{IsCurrentlyBinding}}, OR(NOT({{HasRatifyingFragment}}), NOT({{RatifyingFragmentIsValid}})))</t>
  </si>
  <si>
    <t>AuthorityBoundaries.RatifyingFragmentIsOverdue</t>
  </si>
  <si>
    <t>RatifyingFragmentIsOverdue</t>
  </si>
  <si>
    <t>=INDEX(KnowledgeFragments!{{IsOverdueForReview}}, MATCH({{RatifiedByKnowledgeFragment}}, KnowledgeFragments!{{KnowledgeFragmentId}}, 0))</t>
  </si>
  <si>
    <t>AuthorityBoundaries.RatifyingFragmentIsSingleWitness</t>
  </si>
  <si>
    <t>RatifyingFragmentIsSingleWitness</t>
  </si>
  <si>
    <t>=INDEX(KnowledgeFragments!{{IsFromSingleWitness}}, MATCH({{RatifiedByKnowledgeFragment}}, KnowledgeFragments!{{KnowledgeFragmentId}}, 0))</t>
  </si>
  <si>
    <t>AuthorityBoundaries.WarrantIsThin</t>
  </si>
  <si>
    <t>WarrantIsThin</t>
  </si>
  <si>
    <t>=AND({{IsCurrentlyBinding}}, OR({{RatifyingFragmentIsOverdue}}, {{RatifyingFragmentIsSingleWitness}}))</t>
  </si>
  <si>
    <t>AuthorityBoundaries.IsUnwarrantedAndUntested</t>
  </si>
  <si>
    <t>IsUnwarrantedAndUntested</t>
  </si>
  <si>
    <t>=AND({{IsUnwarranted}}, {{IsUntested}})</t>
  </si>
  <si>
    <t>AuthorityBoundaries.UnwarrantedBoundaryStepKey</t>
  </si>
  <si>
    <t>UnwarrantedBoundaryStepKey</t>
  </si>
  <si>
    <t>=IF({{IsUnwarranted}}, {{Step}}, "")</t>
  </si>
  <si>
    <t>AuthorityBoundaries.RatifyingFragmentKey</t>
  </si>
  <si>
    <t>RatifyingFragmentKey</t>
  </si>
  <si>
    <t>=IF({{IsCurrentlyBinding}}, {{RatifiedByKnowledgeFragment}}, "")</t>
  </si>
  <si>
    <t>AuthorityBoundaries.RatifyingFragmentStatus</t>
  </si>
  <si>
    <t>RatifyingFragmentStatus</t>
  </si>
  <si>
    <t>=INDEX(KnowledgeFragments!{{Status}}, MATCH({{RatifiedByKnowledgeFragment}}, KnowledgeFragments!{{KnowledgeFragmentId}}, 0))</t>
  </si>
  <si>
    <t>AuthorityBoundaries.RatificationLapsed</t>
  </si>
  <si>
    <t>RatificationLapsed</t>
  </si>
  <si>
    <t>=AND({{HasRatifyingFragment}}, NOT({{RatifyingFragmentIsValid}}))</t>
  </si>
  <si>
    <t>AuthorityBoundaries.BindsDespiteLapsedRatification</t>
  </si>
  <si>
    <t>BindsDespiteLapsedRatification</t>
  </si>
  <si>
    <t>=AND({{IsCurrentlyBinding}}, {{RatificationLapsed}})</t>
  </si>
  <si>
    <t>AuthorityBoundaries.IsUngroundedAndUntested</t>
  </si>
  <si>
    <t>IsUngroundedAndUntested</t>
  </si>
  <si>
    <t>=AND({{BindsDespiteLapsedRatification}}, {{IsUntested}})</t>
  </si>
  <si>
    <t>AuthorityBoundaries.ConstrainedRoleAssignmentKey</t>
  </si>
  <si>
    <t>ConstrainedRoleAssignmentKey</t>
  </si>
  <si>
    <t>=IF({{BindsDespiteLapsedRatification}}, {{AuthorityRole}}, "")</t>
  </si>
  <si>
    <t>AuthorityBoundaries.SemanticTypeIri</t>
  </si>
  <si>
    <t>BindingObservations.BindingObservationId</t>
  </si>
  <si>
    <t>BindingObservations</t>
  </si>
  <si>
    <t>BindingObservationId</t>
  </si>
  <si>
    <t>BindingObservations.Name</t>
  </si>
  <si>
    <t>={{StepExecution}} &amp; " / " &amp; {{BindingObservationId}}</t>
  </si>
  <si>
    <t>BindingObservations.StepExecution</t>
  </si>
  <si>
    <t>BindingObservations.OperationalBinding</t>
  </si>
  <si>
    <t>OperationalBinding</t>
  </si>
  <si>
    <t>BindingObservations.ObservedSourceTimestamp</t>
  </si>
  <si>
    <t>ObservedSourceTimestamp</t>
  </si>
  <si>
    <t>BindingObservations.ReadAt</t>
  </si>
  <si>
    <t>ReadAt</t>
  </si>
  <si>
    <t>BindingObservations.SlaMinutesAtRun</t>
  </si>
  <si>
    <t>SlaMinutesAtRun</t>
  </si>
  <si>
    <t>=INDEX(OperationalBindings!{{FreshnessSlaMinutes}}, MATCH({{OperationalBinding}}, OperationalBindings!{{OperationalBindingId}}, 0))</t>
  </si>
  <si>
    <t>BindingObservations.AgeAtRunMinutes</t>
  </si>
  <si>
    <t>AgeAtRunMinutes</t>
  </si>
  <si>
    <t>=DATETIME_DIFF({{ReadAt}}, {{ObservedSourceTimestamp}}, "minutes")</t>
  </si>
  <si>
    <t>BindingObservations.WasStaleAtRun</t>
  </si>
  <si>
    <t>WasStaleAtRun</t>
  </si>
  <si>
    <t>=AND({{IsAuthoritativeBinding}}, {{AgeAtRunMinutes}} &gt; {{SlaMinutesAtRun}})</t>
  </si>
  <si>
    <t>BindingObservations.IsAuthoritativeBinding</t>
  </si>
  <si>
    <t>IsAuthoritativeBinding</t>
  </si>
  <si>
    <t>=INDEX(OperationalBindings!{{IsAuthoritative}}, MATCH({{OperationalBinding}}, OperationalBindings!{{OperationalBindingId}}, 0))</t>
  </si>
  <si>
    <t>BindingObservations.StaleAtRunStepKey</t>
  </si>
  <si>
    <t>StaleAtRunStepKey</t>
  </si>
  <si>
    <t>=IF({{WasStaleAtRun}}, {{StepExecution}}, "")</t>
  </si>
  <si>
    <t>Attestations.AttestationId</t>
  </si>
  <si>
    <t>Attestations</t>
  </si>
  <si>
    <t>AttestationId</t>
  </si>
  <si>
    <t>Attestations.Name</t>
  </si>
  <si>
    <t>={{ProcedureExecution}} &amp; " / " &amp; {{AttestationId}}</t>
  </si>
  <si>
    <t>Attestations.ProcedureExecution</t>
  </si>
  <si>
    <t>Attestations.SignedByAgent</t>
  </si>
  <si>
    <t>SignedByAgent</t>
  </si>
  <si>
    <t>Attestations.SignedAt</t>
  </si>
  <si>
    <t>SignedAt</t>
  </si>
  <si>
    <t>Attestations.AssuranceGradeAtSigning</t>
  </si>
  <si>
    <t>AssuranceGradeAtSigning</t>
  </si>
  <si>
    <t>Attestations.VersionWasFitAtSigning</t>
  </si>
  <si>
    <t>VersionWasFitAtSigning</t>
  </si>
  <si>
    <t>Attestations.VersionIsFitNow</t>
  </si>
  <si>
    <t>VersionIsFitNow</t>
  </si>
  <si>
    <t>=INDEX(ProcedureExecutions!{{ExecutedVersionIsFit}}, MATCH({{ProcedureExecution}}, ProcedureExecutions!{{ProcedureExecutionId}}, 0))</t>
  </si>
  <si>
    <t>Attestations.FitnessVerdictHasDrifted</t>
  </si>
  <si>
    <t>FitnessVerdictHasDrifted</t>
  </si>
  <si>
    <t>=NOT({{VersionWasFitAtSigning}} = {{VersionIsFitNow}})</t>
  </si>
  <si>
    <t>Attestations.AssuranceGradeNow</t>
  </si>
  <si>
    <t>AssuranceGradeNow</t>
  </si>
  <si>
    <t>=INDEX(ProcedureExecutions!{{AssuranceGrade}}, MATCH({{ProcedureExecution}}, ProcedureExecutions!{{ProcedureExecutionId}}, 0))</t>
  </si>
  <si>
    <t>Attestations.AssuranceGradeHasDrifted</t>
  </si>
  <si>
    <t>AssuranceGradeHasDrifted</t>
  </si>
  <si>
    <t>=NOT({{AssuranceGradeAtSigning}} = {{AssuranceGradeNow}})</t>
  </si>
  <si>
    <t>Attestations.WouldNotSurviveRestatement</t>
  </si>
  <si>
    <t>WouldNotSurviveRestatement</t>
  </si>
  <si>
    <t>=OR({{FitnessVerdictHasDrifted}}, {{AssuranceGradeHasDrifted}})</t>
  </si>
  <si>
    <t>AppRoleProfiles.AppRoleProfileId</t>
  </si>
  <si>
    <t>AppRoleProfileId</t>
  </si>
  <si>
    <t>AppRoleProfiles.Name</t>
  </si>
  <si>
    <t>={{DisplayLabel}} &amp; " (" &amp; {{RoleKind}} &amp; ")"</t>
  </si>
  <si>
    <t>AppRoleProfiles.Role</t>
  </si>
  <si>
    <t>AppRoleProfiles.DisplayLabel</t>
  </si>
  <si>
    <t>DisplayLabel</t>
  </si>
  <si>
    <t>AppRoleProfiles.RoleKind</t>
  </si>
  <si>
    <t>RoleKind</t>
  </si>
  <si>
    <t>AppRoleProfiles.AccentColor</t>
  </si>
  <si>
    <t>AccentColor</t>
  </si>
  <si>
    <t>AppRoleProfiles.IconMark</t>
  </si>
  <si>
    <t>IconMark</t>
  </si>
  <si>
    <t>AppRoleProfiles.IconPngBase64</t>
  </si>
  <si>
    <t>IconPngBase64</t>
  </si>
  <si>
    <t>AppRoleProfiles.Pitch</t>
  </si>
  <si>
    <t>Pitch</t>
  </si>
  <si>
    <t>AppRoleProfiles.SortOrder</t>
  </si>
  <si>
    <t>SortOrder</t>
  </si>
  <si>
    <t>AppRoleProfiles.RouteCount</t>
  </si>
  <si>
    <t>RouteCount</t>
  </si>
  <si>
    <t>=COUNTIFS(AppRoutes!{{OwningRole}}, {{Role}})</t>
  </si>
  <si>
    <t>AppRoleProfiles.SemanticTypeIri</t>
  </si>
  <si>
    <t>AppNavGroups.AppNavGroupId</t>
  </si>
  <si>
    <t>AppNavGroupId</t>
  </si>
  <si>
    <t>AppNavGroups.Name</t>
  </si>
  <si>
    <t>={{GroupLabel}}</t>
  </si>
  <si>
    <t>AppNavGroups.GroupLabel</t>
  </si>
  <si>
    <t>GroupLabel</t>
  </si>
  <si>
    <t>AppNavGroups.RouteCount</t>
  </si>
  <si>
    <t>=COUNTIFS(AppRoutes!{{NavGroup}}, {{AppNavGroupId}})</t>
  </si>
  <si>
    <t>AppNavGroups.SemanticTypeIri</t>
  </si>
  <si>
    <t>AppRoutes.AppRouteId</t>
  </si>
  <si>
    <t>AppRouteId</t>
  </si>
  <si>
    <t>AppRoutes.Name</t>
  </si>
  <si>
    <t>={{RouteName}} &amp; " — " &amp; {{RoutePath}}</t>
  </si>
  <si>
    <t>AppRoutes.RoutePath</t>
  </si>
  <si>
    <t>RoutePath</t>
  </si>
  <si>
    <t>AppRoutes.RouteName</t>
  </si>
  <si>
    <t>RouteName</t>
  </si>
  <si>
    <t>AppRoutes.Surface</t>
  </si>
  <si>
    <t>Surface</t>
  </si>
  <si>
    <t>AppRoutes.OwningRole</t>
  </si>
  <si>
    <t>OwningRole</t>
  </si>
  <si>
    <t>AppRoutes.NavGroup</t>
  </si>
  <si>
    <t>NavGroup</t>
  </si>
  <si>
    <t>AppRoutes.NavOrder</t>
  </si>
  <si>
    <t>NavOrder</t>
  </si>
  <si>
    <t>AppRoutes.RouteKind</t>
  </si>
  <si>
    <t>RouteKind</t>
  </si>
  <si>
    <t>AppRoutes.Purpose</t>
  </si>
  <si>
    <t>AppRoutes.LayoutHints</t>
  </si>
  <si>
    <t>LayoutHints</t>
  </si>
  <si>
    <t>AppRoutes.IsInNav</t>
  </si>
  <si>
    <t>IsInNav</t>
  </si>
  <si>
    <t>={{NavGroup}} &lt;&gt; ""</t>
  </si>
  <si>
    <t>AppRoutes.IsShared</t>
  </si>
  <si>
    <t>IsShared</t>
  </si>
  <si>
    <t>=AND({{OwningRole}} = "", {{Surface}} = "domain")</t>
  </si>
  <si>
    <t>AppRoutes.IsMaintainer</t>
  </si>
  <si>
    <t>IsMaintainer</t>
  </si>
  <si>
    <t>={{Surface}} = "maintainer"</t>
  </si>
  <si>
    <t>AppRoutes.QuestionCount</t>
  </si>
  <si>
    <t>=COUNTIFS(AppRouteQuestions!{{Route}}, {{AppRouteId}})</t>
  </si>
  <si>
    <t>AppRoutes.ReferenceCount</t>
  </si>
  <si>
    <t>ReferenceCount</t>
  </si>
  <si>
    <t>=COUNTIFS(AppRouteReferences!{{FromRoute}}, {{AppRouteId}})</t>
  </si>
  <si>
    <t>AppRoutes.AnswersNoQuestion</t>
  </si>
  <si>
    <t>AnswersNoQuestion</t>
  </si>
  <si>
    <t>=AND({{QuestionCount}} = 0, {{IsShared}} = FALSE, {{IsMaintainer}} = FALSE, {{RouteKind}} &lt;&gt; "index")</t>
  </si>
  <si>
    <t>AppRoutes.SemanticTypeIri</t>
  </si>
  <si>
    <t>AppRouteQuestions.AppRouteQuestionId</t>
  </si>
  <si>
    <t>AppRouteQuestionId</t>
  </si>
  <si>
    <t>AppRouteQuestions.Name</t>
  </si>
  <si>
    <t>={{Route}} &amp; " answers " &amp; {{Question}}</t>
  </si>
  <si>
    <t>AppRouteQuestions.Route</t>
  </si>
  <si>
    <t>Route</t>
  </si>
  <si>
    <t>AppRouteQuestions.Question</t>
  </si>
  <si>
    <t>AppRouteQuestions.SemanticTypeIri</t>
  </si>
  <si>
    <t>AppRouteReferences.AppRouteReferenceId</t>
  </si>
  <si>
    <t>AppRouteReferenceId</t>
  </si>
  <si>
    <t>AppRouteReferences.Name</t>
  </si>
  <si>
    <t>={{FromRoute}} &amp; " -&gt; " &amp; {{ToRoute}}</t>
  </si>
  <si>
    <t>AppRouteReferences.FromRoute</t>
  </si>
  <si>
    <t>FromRoute</t>
  </si>
  <si>
    <t>AppRouteReferences.ToRoute</t>
  </si>
  <si>
    <t>ToRoute</t>
  </si>
  <si>
    <t>AppRouteReferences.SemanticTypeIri</t>
  </si>
  <si>
    <t>RulebookTables.RulebookTableId</t>
  </si>
  <si>
    <t>RulebookTables</t>
  </si>
  <si>
    <t>RulebookTableId</t>
  </si>
  <si>
    <t>RulebookTables.TableName</t>
  </si>
  <si>
    <t>TableName</t>
  </si>
  <si>
    <t>RulebookTables.Name</t>
  </si>
  <si>
    <t>={{TableName}}</t>
  </si>
  <si>
    <t>RulebookTables.PhysicalTable</t>
  </si>
  <si>
    <t>PhysicalTable</t>
  </si>
  <si>
    <t>RulebookTables.PhysicalView</t>
  </si>
  <si>
    <t>PhysicalView</t>
  </si>
  <si>
    <t>RulebookTables.SubjectArea</t>
  </si>
  <si>
    <t>SubjectArea</t>
  </si>
  <si>
    <t>RulebookTables.IsExtension</t>
  </si>
  <si>
    <t>IsExtension</t>
  </si>
  <si>
    <t>RulebookTables.FieldCount</t>
  </si>
  <si>
    <t>FieldCount</t>
  </si>
  <si>
    <t>=COUNTIFS(RulebookFields!{{TargetTable}}, {{RulebookTableId}})</t>
  </si>
  <si>
    <t>RulebookTables.PolicyCount</t>
  </si>
  <si>
    <t>PolicyCount</t>
  </si>
  <si>
    <t>=COUNTIFS(AccessPolicies!{{TargetTable}}, {{RulebookTableId}})</t>
  </si>
  <si>
    <t>RulebookTables.IsUnsecured</t>
  </si>
  <si>
    <t>IsUnsecured</t>
  </si>
  <si>
    <t>={{PolicyCount}} = 0</t>
  </si>
  <si>
    <t>RulebookTables.DisagreeingSubstrateCount</t>
  </si>
  <si>
    <t>=COUNTIFS(TableConformance!{{ImperfectTableKey}}, {{RulebookTableId}})</t>
  </si>
  <si>
    <t>RulebookTables.SemanticTypeIri</t>
  </si>
  <si>
    <t>AccessPrincipals.AccessPrincipalId</t>
  </si>
  <si>
    <t>AccessPrincipals</t>
  </si>
  <si>
    <t>AccessPrincipalId</t>
  </si>
  <si>
    <t>AccessPrincipals.Name</t>
  </si>
  <si>
    <t>AccessPrincipals.Label</t>
  </si>
  <si>
    <t>AccessPrincipals.DomainRole</t>
  </si>
  <si>
    <t>DomainRole</t>
  </si>
  <si>
    <t>AccessPrincipals.PgRoleName</t>
  </si>
  <si>
    <t>PgRoleName</t>
  </si>
  <si>
    <t>AccessPrincipals.SchemaName</t>
  </si>
  <si>
    <t>SchemaName</t>
  </si>
  <si>
    <t>AccessPrincipals.IsAdministrator</t>
  </si>
  <si>
    <t>IsAdministrator</t>
  </si>
  <si>
    <t>AccessPrincipals.OrganizationScope</t>
  </si>
  <si>
    <t>OrganizationScope</t>
  </si>
  <si>
    <t>=INDEX(Roles!{{Organization}}, MATCH({{DomainRole}}, Roles!{{RoleId}}, 0))</t>
  </si>
  <si>
    <t>AccessPrincipals.RoleLabel</t>
  </si>
  <si>
    <t>RoleLabel</t>
  </si>
  <si>
    <t>=INDEX(Roles!{{Label}}, MATCH({{DomainRole}}, Roles!{{RoleId}}, 0))</t>
  </si>
  <si>
    <t>AccessPrincipals.PolicyCount</t>
  </si>
  <si>
    <t>=COUNTIFS(AccessPolicies!{{Principal}}, {{AccessPrincipalId}})</t>
  </si>
  <si>
    <t>AccessPrincipals.GrantCount</t>
  </si>
  <si>
    <t>GrantCount</t>
  </si>
  <si>
    <t>=COUNTIFS(FieldGrants!{{Principal}}, {{AccessPrincipalId}})</t>
  </si>
  <si>
    <t>AccessPrincipals.VisibleTableCount</t>
  </si>
  <si>
    <t>VisibleTableCount</t>
  </si>
  <si>
    <t>=COUNTIFS(RoleSchemaViews!{{Principal}}, {{AccessPrincipalId}})</t>
  </si>
  <si>
    <t>AccessPrincipals.HasNoAccess</t>
  </si>
  <si>
    <t>HasNoAccess</t>
  </si>
  <si>
    <t>AccessPrincipals.IsOverPrivileged</t>
  </si>
  <si>
    <t>IsOverPrivileged</t>
  </si>
  <si>
    <t>=AND(NOT({{IsAdministrator}}), {{VisibleTableCount}} &gt;= 74)</t>
  </si>
  <si>
    <t>AccessPrincipals.SemanticTypeIri</t>
  </si>
  <si>
    <t>AccessPolicies.AccessPolicyId</t>
  </si>
  <si>
    <t>AccessPolicies</t>
  </si>
  <si>
    <t>AccessPolicyId</t>
  </si>
  <si>
    <t>AccessPolicies.Name</t>
  </si>
  <si>
    <t>={{Principal}} &amp; " " &amp; {{Command}} &amp; " " &amp; {{TargetTable}}</t>
  </si>
  <si>
    <t>AccessPolicies.Principal</t>
  </si>
  <si>
    <t>Principal</t>
  </si>
  <si>
    <t>AccessPolicies.TargetTable</t>
  </si>
  <si>
    <t>AccessPolicies.Command</t>
  </si>
  <si>
    <t>Command</t>
  </si>
  <si>
    <t>AccessPolicies.RowPredicate</t>
  </si>
  <si>
    <t>RowPredicate</t>
  </si>
  <si>
    <t>AccessPolicies.CheckPredicate</t>
  </si>
  <si>
    <t>CheckPredicate</t>
  </si>
  <si>
    <t>AccessPolicies.Rationale</t>
  </si>
  <si>
    <t>AccessPolicies.ReferencesInference</t>
  </si>
  <si>
    <t>ReferencesInference</t>
  </si>
  <si>
    <t>AccessPolicies.IsWriteCommand</t>
  </si>
  <si>
    <t>IsWriteCommand</t>
  </si>
  <si>
    <t>=OR({{Command}} = "INSERT", {{Command}} = "UPDATE", {{Command}} = "DELETE", {{Command}} = "ALL")</t>
  </si>
  <si>
    <t>AccessPolicies.IsUnrestricted</t>
  </si>
  <si>
    <t>IsUnrestricted</t>
  </si>
  <si>
    <t>={{RowPredicate}} = ""</t>
  </si>
  <si>
    <t>AccessPolicies.PrincipalIsAdmin</t>
  </si>
  <si>
    <t>PrincipalIsAdmin</t>
  </si>
  <si>
    <t>=INDEX(AccessPrincipals!{{IsAdministrator}}, MATCH({{Principal}}, AccessPrincipals!{{AccessPrincipalId}}, 0))</t>
  </si>
  <si>
    <t>AccessPolicies.IsUnrestrictedNonAdminGrant</t>
  </si>
  <si>
    <t>IsUnrestrictedNonAdminGrant</t>
  </si>
  <si>
    <t>=AND({{IsUnrestricted}}, NOT({{PrincipalIsAdmin}}))</t>
  </si>
  <si>
    <t>AccessPolicies.IsUnwitnessedWrite</t>
  </si>
  <si>
    <t>IsUnwitnessedWrite</t>
  </si>
  <si>
    <t>=AND({{IsWriteCommand}}, {{DenialTestCount}} = 0)</t>
  </si>
  <si>
    <t>AccessPolicies.DenialTestCount</t>
  </si>
  <si>
    <t>DenialTestCount</t>
  </si>
  <si>
    <t>=COUNTIFS(AccessDenialTests!{{TargetPolicy}}, {{AccessPolicyId}})</t>
  </si>
  <si>
    <t>AccessPolicies.SemanticTypeIri</t>
  </si>
  <si>
    <t>FieldGrants.FieldGrantId</t>
  </si>
  <si>
    <t>FieldGrants</t>
  </si>
  <si>
    <t>FieldGrantId</t>
  </si>
  <si>
    <t>FieldGrants.Name</t>
  </si>
  <si>
    <t>={{Principal}} &amp; " -&gt; " &amp; {{TargetField}}</t>
  </si>
  <si>
    <t>FieldGrants.Principal</t>
  </si>
  <si>
    <t>FieldGrants.TargetField</t>
  </si>
  <si>
    <t>FieldGrants.CanRead</t>
  </si>
  <si>
    <t>CanRead</t>
  </si>
  <si>
    <t>FieldGrants.CanWrite</t>
  </si>
  <si>
    <t>CanWrite</t>
  </si>
  <si>
    <t>FieldGrants.MaskStrategy</t>
  </si>
  <si>
    <t>MaskStrategy</t>
  </si>
  <si>
    <t>FieldGrants.FieldTable</t>
  </si>
  <si>
    <t>FieldTable</t>
  </si>
  <si>
    <t>=INDEX(RulebookFields!{{TargetTable}}, MATCH({{TargetField}}, RulebookFields!{{RulebookFieldId}}, 0))</t>
  </si>
  <si>
    <t>FieldGrants.FieldName</t>
  </si>
  <si>
    <t>=INDEX(RulebookFields!{{FieldName}}, MATCH({{TargetField}}, RulebookFields!{{RulebookFieldId}}, 0))</t>
  </si>
  <si>
    <t>FieldGrants.FieldIsDerived</t>
  </si>
  <si>
    <t>FieldIsDerived</t>
  </si>
  <si>
    <t>=INDEX(RulebookFields!{{IsDerived}}, MATCH({{TargetField}}, RulebookFields!{{RulebookFieldId}}, 0))</t>
  </si>
  <si>
    <t>FieldGrants.IsWritableDerivedField</t>
  </si>
  <si>
    <t>IsWritableDerivedField</t>
  </si>
  <si>
    <t>=AND({{CanWrite}}, {{FieldIsDerived}})</t>
  </si>
  <si>
    <t>FieldGrants.IsMasked</t>
  </si>
  <si>
    <t>IsMasked</t>
  </si>
  <si>
    <t>=AND({{MaskStrategy}} &lt;&gt; "plain", {{MaskStrategy}} &lt;&gt; "")</t>
  </si>
  <si>
    <t>FieldGrants.GrantKeyWhenReadable</t>
  </si>
  <si>
    <t>GrantKeyWhenReadable</t>
  </si>
  <si>
    <t>=IF({{CanRead}}, {{Principal}} &amp; "|" &amp; {{FieldTable}}, "")</t>
  </si>
  <si>
    <t>FieldGrants.SemanticTypeIri</t>
  </si>
  <si>
    <t>RoleSchemas.RoleSchemaId</t>
  </si>
  <si>
    <t>RoleSchemas</t>
  </si>
  <si>
    <t>RoleSchemaId</t>
  </si>
  <si>
    <t>RoleSchemas.Name</t>
  </si>
  <si>
    <t>={{SchemaName}}</t>
  </si>
  <si>
    <t>RoleSchemas.Principal</t>
  </si>
  <si>
    <t>RoleSchemas.SchemaName</t>
  </si>
  <si>
    <t>RoleSchemas.SearchPath</t>
  </si>
  <si>
    <t>SearchPath</t>
  </si>
  <si>
    <t>RoleSchemas.IsSealed</t>
  </si>
  <si>
    <t>IsSealed</t>
  </si>
  <si>
    <t>RoleSchemas.ViewCount</t>
  </si>
  <si>
    <t>ViewCount</t>
  </si>
  <si>
    <t>=COUNTIFS(RoleSchemaViews!{{RoleSchema}}, {{RoleSchemaId}})</t>
  </si>
  <si>
    <t>RoleSchemas.IsEmptySchema</t>
  </si>
  <si>
    <t>IsEmptySchema</t>
  </si>
  <si>
    <t>={{ViewCount}} = 0</t>
  </si>
  <si>
    <t>RoleSchemas.SemanticTypeIri</t>
  </si>
  <si>
    <t>RoleSchemaViews.RoleSchemaViewId</t>
  </si>
  <si>
    <t>RoleSchemaViews</t>
  </si>
  <si>
    <t>RoleSchemaViewId</t>
  </si>
  <si>
    <t>RoleSchemaViews.Name</t>
  </si>
  <si>
    <t>={{SchemaName}} &amp; "." &amp; {{ViewName}}</t>
  </si>
  <si>
    <t>RoleSchemaViews.RoleSchema</t>
  </si>
  <si>
    <t>RoleSchema</t>
  </si>
  <si>
    <t>RoleSchemaViews.Principal</t>
  </si>
  <si>
    <t>RoleSchemaViews.TargetTable</t>
  </si>
  <si>
    <t>RoleSchemaViews.ViewName</t>
  </si>
  <si>
    <t>ViewName</t>
  </si>
  <si>
    <t>RoleSchemaViews.SchemaName</t>
  </si>
  <si>
    <t>=INDEX(RoleSchemas!{{SchemaName}}, MATCH({{RoleSchema}}, RoleSchemas!{{RoleSchemaId}}, 0))</t>
  </si>
  <si>
    <t>RoleSchemaViews.SourceView</t>
  </si>
  <si>
    <t>SourceView</t>
  </si>
  <si>
    <t>=INDEX(RulebookTables!{{PhysicalView}}, MATCH({{TargetTable}}, RulebookTables!{{RulebookTableId}}, 0))</t>
  </si>
  <si>
    <t>RoleSchemaViews.GrantKey</t>
  </si>
  <si>
    <t>GrantKey</t>
  </si>
  <si>
    <t>={{Principal}} &amp; "|" &amp; {{TargetTable}}</t>
  </si>
  <si>
    <t>RoleSchemaViews.ColumnCount</t>
  </si>
  <si>
    <t>ColumnCount</t>
  </si>
  <si>
    <t>=COUNTIFS(FieldGrants!{{GrantKeyWhenReadable}}, {{GrantKey}})</t>
  </si>
  <si>
    <t>RoleSchemaViews.TableFieldCount</t>
  </si>
  <si>
    <t>TableFieldCount</t>
  </si>
  <si>
    <t>=INDEX(RulebookTables!{{FieldCount}}, MATCH({{TargetTable}}, RulebookTables!{{RulebookTableId}}, 0))</t>
  </si>
  <si>
    <t>RoleSchemaViews.IsFullWidth</t>
  </si>
  <si>
    <t>IsFullWidth</t>
  </si>
  <si>
    <t>=AND({{ColumnCount}} &gt; 0, {{ColumnCount}} &gt;= {{TableFieldCount}})</t>
  </si>
  <si>
    <t>RoleSchemaViews.IsDegenerateView</t>
  </si>
  <si>
    <t>IsDegenerateView</t>
  </si>
  <si>
    <t>={{ColumnCount}} = 0</t>
  </si>
  <si>
    <t>RoleSchemaViews.SemanticTypeIri</t>
  </si>
  <si>
    <t>JwtClaimMappings.JwtClaimMappingId</t>
  </si>
  <si>
    <t>JwtClaimMappings</t>
  </si>
  <si>
    <t>JwtClaimMappingId</t>
  </si>
  <si>
    <t>JwtClaimMappings.Name</t>
  </si>
  <si>
    <t>={{ClaimName}} &amp; " -&gt; " &amp; {{SqlAccessor}}</t>
  </si>
  <si>
    <t>JwtClaimMappings.ClaimName</t>
  </si>
  <si>
    <t>ClaimName</t>
  </si>
  <si>
    <t>JwtClaimMappings.SqlAccessor</t>
  </si>
  <si>
    <t>SqlAccessor</t>
  </si>
  <si>
    <t>JwtClaimMappings.IsReservedClaim</t>
  </si>
  <si>
    <t>IsReservedClaim</t>
  </si>
  <si>
    <t>JwtClaimMappings.MapsToPrincipal</t>
  </si>
  <si>
    <t>MapsToPrincipal</t>
  </si>
  <si>
    <t>JwtClaimMappings.Description2</t>
  </si>
  <si>
    <t>Description2</t>
  </si>
  <si>
    <t>JwtClaimMappings.UsageCount</t>
  </si>
  <si>
    <t>UsageCount</t>
  </si>
  <si>
    <t>=COUNTIFS(AccessPolicies!{{RowPredicate}}, {{SqlAccessor}})</t>
  </si>
  <si>
    <t>JwtClaimMappings.SemanticTypeIri</t>
  </si>
  <si>
    <t>AccessDenialTests.AccessDenialTestId</t>
  </si>
  <si>
    <t>AccessDenialTests</t>
  </si>
  <si>
    <t>AccessDenialTestId</t>
  </si>
  <si>
    <t>AccessDenialTests.Name</t>
  </si>
  <si>
    <t>={{Principal}} &amp; " must not see " &amp; {{ForbiddenRowId}}</t>
  </si>
  <si>
    <t>AccessDenialTests.TargetPolicy</t>
  </si>
  <si>
    <t>TargetPolicy</t>
  </si>
  <si>
    <t>AccessDenialTests.Principal</t>
  </si>
  <si>
    <t>AccessDenialTests.TargetTable</t>
  </si>
  <si>
    <t>AccessDenialTests.ForbiddenRowId</t>
  </si>
  <si>
    <t>ForbiddenRowId</t>
  </si>
  <si>
    <t>AccessDenialTests.ExpectedVisible</t>
  </si>
  <si>
    <t>ExpectedVisible</t>
  </si>
  <si>
    <t>AccessDenialTests.ObservedVisible</t>
  </si>
  <si>
    <t>ObservedVisible</t>
  </si>
  <si>
    <t>AccessDenialTests.LastRunAt</t>
  </si>
  <si>
    <t>AccessDenialTests.HasRun</t>
  </si>
  <si>
    <t>HasRun</t>
  </si>
  <si>
    <t>={{LastRunAt}} &lt;&gt; ""</t>
  </si>
  <si>
    <t>AccessDenialTests.IsPassing</t>
  </si>
  <si>
    <t>={{ObservedVisible}} = {{ExpectedVisible}}</t>
  </si>
  <si>
    <t>AccessDenialTests.IsLeak</t>
  </si>
  <si>
    <t>IsLeak</t>
  </si>
  <si>
    <t>=AND(NOT({{ExpectedVisible}}), {{ObservedVisible}})</t>
  </si>
  <si>
    <t>AccessDenialTests.IsUnproven</t>
  </si>
  <si>
    <t>IsUnproven</t>
  </si>
  <si>
    <t>=NOT({{HasRun}})</t>
  </si>
  <si>
    <t>AccessDenialTests.Rationale</t>
  </si>
  <si>
    <t>AccessDenialTests.IsPositiveControl</t>
  </si>
  <si>
    <t>IsPositiveControl</t>
  </si>
  <si>
    <t>={{ExpectedVisible}}</t>
  </si>
  <si>
    <t>AccessDenialTests.ForbiddenTable</t>
  </si>
  <si>
    <t>ForbiddenTable</t>
  </si>
  <si>
    <t>AccessDenialTests.ForbiddenColumn</t>
  </si>
  <si>
    <t>ForbiddenColumn</t>
  </si>
  <si>
    <t>AccessDenialTests.SemanticTypeIri</t>
  </si>
  <si>
    <t>AppUsers.AppUserId</t>
  </si>
  <si>
    <t>AppUsers</t>
  </si>
  <si>
    <t>AppUserId</t>
  </si>
  <si>
    <t>AppUsers.Name</t>
  </si>
  <si>
    <t>AppUsers.EmailAddress</t>
  </si>
  <si>
    <t>AppUsers.DisplayName</t>
  </si>
  <si>
    <t>AppUsers.LinkedAgent</t>
  </si>
  <si>
    <t>LinkedAgent</t>
  </si>
  <si>
    <t>AppUsers.IsEnabled</t>
  </si>
  <si>
    <t>IsEnabled</t>
  </si>
  <si>
    <t>AppUsers.AgentKind</t>
  </si>
  <si>
    <t>=INDEX(Agents!{{AgentKind}}, MATCH({{LinkedAgent}}, Agents!{{AgentId}}, 0))</t>
  </si>
  <si>
    <t>AppUsers.Organization</t>
  </si>
  <si>
    <t>=INDEX(Agents!{{Organization}}, MATCH({{LinkedAgent}}, Agents!{{AgentId}}, 0))</t>
  </si>
  <si>
    <t>AppUsers.AssignmentCount</t>
  </si>
  <si>
    <t>AssignmentCount</t>
  </si>
  <si>
    <t>=COUNTIFS(PrincipalAssignments!{{AppUser}}, {{AppUserId}})</t>
  </si>
  <si>
    <t>AppUsers.HasNoPrincipal</t>
  </si>
  <si>
    <t>HasNoPrincipal</t>
  </si>
  <si>
    <t>={{AssignmentCount}} = 0</t>
  </si>
  <si>
    <t>AppUsers.HoldsMultiplePrincipals</t>
  </si>
  <si>
    <t>HoldsMultiplePrincipals</t>
  </si>
  <si>
    <t>={{AssignmentCount}} &gt; 1</t>
  </si>
  <si>
    <t>AppUsers.IsNonHumanSignIn</t>
  </si>
  <si>
    <t>IsNonHumanSignIn</t>
  </si>
  <si>
    <t>=OR({{AgentKind}} = "AIAgent", {{AgentKind}} = "AutomatedPipeline")</t>
  </si>
  <si>
    <t>AppUsers.SemanticTypeIri</t>
  </si>
  <si>
    <t>PrincipalAssignments.PrincipalAssignmentId</t>
  </si>
  <si>
    <t>PrincipalAssignments</t>
  </si>
  <si>
    <t>PrincipalAssignmentId</t>
  </si>
  <si>
    <t>PrincipalAssignments.Name</t>
  </si>
  <si>
    <t>={{AppUser}} &amp; " as " &amp; {{Principal}}</t>
  </si>
  <si>
    <t>PrincipalAssignments.AppUser</t>
  </si>
  <si>
    <t>AppUser</t>
  </si>
  <si>
    <t>PrincipalAssignments.Principal</t>
  </si>
  <si>
    <t>PrincipalAssignments.IsDefault</t>
  </si>
  <si>
    <t>IsDefault</t>
  </si>
  <si>
    <t>PrincipalAssignments.GrantedRationale</t>
  </si>
  <si>
    <t>GrantedRationale</t>
  </si>
  <si>
    <t>PrincipalAssignments.PrincipalIsAdmin</t>
  </si>
  <si>
    <t>PrincipalAssignments.UserOrganization</t>
  </si>
  <si>
    <t>UserOrganization</t>
  </si>
  <si>
    <t>=INDEX(AppUsers!{{Organization}}, MATCH({{AppUser}}, AppUsers!{{AppUserId}}, 0))</t>
  </si>
  <si>
    <t>PrincipalAssignments.PrincipalOrganization</t>
  </si>
  <si>
    <t>PrincipalOrganization</t>
  </si>
  <si>
    <t>=INDEX(AccessPrincipals!{{OrganizationScope}}, MATCH({{Principal}}, AccessPrincipals!{{AccessPrincipalId}}, 0))</t>
  </si>
  <si>
    <t>PrincipalAssignments.IsCrossOrganizationGrant</t>
  </si>
  <si>
    <t>IsCrossOrganizationGrant</t>
  </si>
  <si>
    <t>=AND({{UserOrganization}} &lt;&gt; "", {{PrincipalOrganization}} &lt;&gt; "", {{UserOrganization}} &lt;&gt; {{PrincipalOrganization}})</t>
  </si>
  <si>
    <t>PrincipalAssignments.SemanticTypeIri</t>
  </si>
  <si>
    <t>IssuedTokens.IssuedTokenId</t>
  </si>
  <si>
    <t>IssuedTokens</t>
  </si>
  <si>
    <t>IssuedTokenId</t>
  </si>
  <si>
    <t>IssuedTokens.Name</t>
  </si>
  <si>
    <t>={{AppUser}} &amp; " as " &amp; {{Principal}} &amp; " @ " &amp; {{IssuedAt}}</t>
  </si>
  <si>
    <t>IssuedTokens.AppUser</t>
  </si>
  <si>
    <t>IssuedTokens.Principal</t>
  </si>
  <si>
    <t>IssuedTokens.IssuedAt</t>
  </si>
  <si>
    <t>IssuedTokens.ExpiresAt</t>
  </si>
  <si>
    <t>ExpiresAt</t>
  </si>
  <si>
    <t>IssuedTokens.Issuer</t>
  </si>
  <si>
    <t>Issuer</t>
  </si>
  <si>
    <t>IssuedTokens.SubjectClaim</t>
  </si>
  <si>
    <t>SubjectClaim</t>
  </si>
  <si>
    <t>IssuedTokens.ClaimsSnapshot</t>
  </si>
  <si>
    <t>ClaimsSnapshot</t>
  </si>
  <si>
    <t>IssuedTokens.IsDevMinted</t>
  </si>
  <si>
    <t>IsDevMinted</t>
  </si>
  <si>
    <t>={{Issuer}} = "dev-mint"</t>
  </si>
  <si>
    <t>IssuedTokens.SemanticTypeIri</t>
  </si>
  <si>
    <t>ProcessMiningRuns.ProcessMiningRunId</t>
  </si>
  <si>
    <t>ProcessMiningRunId</t>
  </si>
  <si>
    <t>ProcessMiningRuns.Name</t>
  </si>
  <si>
    <t>={{EventLogSource}} &amp; " / " &amp; {{MinedAt}}</t>
  </si>
  <si>
    <t>ProcessMiningRuns.ProcedureVersion</t>
  </si>
  <si>
    <t>ProcessMiningRuns.EventLogSource</t>
  </si>
  <si>
    <t>EventLogSource</t>
  </si>
  <si>
    <t>ProcessMiningRuns.MinedAt</t>
  </si>
  <si>
    <t>MinedAt</t>
  </si>
  <si>
    <t>ProcessMiningRuns.DiscoveredVariantCount</t>
  </si>
  <si>
    <t>DiscoveredVariantCount</t>
  </si>
  <si>
    <t>ProcessMiningRuns.ConformingVariantCount</t>
  </si>
  <si>
    <t>ConformingVariantCount</t>
  </si>
  <si>
    <t>ProcessMiningRuns.DeviationDescription</t>
  </si>
  <si>
    <t>DeviationDescription</t>
  </si>
  <si>
    <t>ProcessMiningRuns.EvaluationContext</t>
  </si>
  <si>
    <t>ProcessMiningRuns.AsOfInstant</t>
  </si>
  <si>
    <t>ProcessMiningRuns.ConformanceRate</t>
  </si>
  <si>
    <t>ConformanceRate</t>
  </si>
  <si>
    <t>=IF({{DiscoveredVariantCount}} = 0, 0, {{ConformingVariantCount}} / {{DiscoveredVariantCount}})</t>
  </si>
  <si>
    <t>ProcessMiningRuns.IsConformant</t>
  </si>
  <si>
    <t>IsConformant</t>
  </si>
  <si>
    <t>={{ConformanceRate}} &gt;= 0.8</t>
  </si>
  <si>
    <t>ProcessMiningRuns.HasMajorDriftFromDocumentation</t>
  </si>
  <si>
    <t>HasMajorDriftFromDocumentation</t>
  </si>
  <si>
    <t>={{ConformanceRate}} &lt; 0.5</t>
  </si>
  <si>
    <t>ProcessMiningRuns.DaysSinceMined</t>
  </si>
  <si>
    <t>DaysSinceMined</t>
  </si>
  <si>
    <t>=DATETIME_DIFF({{AsOfInstant}}, {{MinedAt}}, "days")</t>
  </si>
  <si>
    <t>ProcessMiningRuns.IsStaleMiningEvidence</t>
  </si>
  <si>
    <t>IsStaleMiningEvidence</t>
  </si>
  <si>
    <t>={{DaysSinceMined}} &gt; 180</t>
  </si>
  <si>
    <t>ProcessMiningRuns.ProcedureVersionIsLive</t>
  </si>
  <si>
    <t>ProcedureVersionIsLive</t>
  </si>
  <si>
    <t>ProcessMiningRuns.IsDriftOnLiveVersion</t>
  </si>
  <si>
    <t>IsDriftOnLiveVersion</t>
  </si>
  <si>
    <t>=AND({{HasMajorDriftFromDocumentation}}, {{ProcedureVersionIsLive}})</t>
  </si>
  <si>
    <t>ProcessMiningRuns.DriftedMiningRunKey</t>
  </si>
  <si>
    <t>DriftedMiningRunKey</t>
  </si>
  <si>
    <t>=IF({{IsDriftOnLiveVersion}}, {{ProcedureVersion}}, "")</t>
  </si>
  <si>
    <t>ProcessMiningRuns.SemanticTypeIri</t>
  </si>
  <si>
    <t>Vocabularies.VocabularyId</t>
  </si>
  <si>
    <t>VocabularyId</t>
  </si>
  <si>
    <t>Vocabularies.Name</t>
  </si>
  <si>
    <t>Vocabularies.Title</t>
  </si>
  <si>
    <t>Vocabularies.SchemeUri</t>
  </si>
  <si>
    <t>SchemeUri</t>
  </si>
  <si>
    <t>Vocabularies.GoverningRole</t>
  </si>
  <si>
    <t>GoverningRole</t>
  </si>
  <si>
    <t>Vocabularies.TermCount</t>
  </si>
  <si>
    <t>TermCount</t>
  </si>
  <si>
    <t>=COUNTIFS(VocabularyTerms!{{Vocabulary}}, {{VocabularyId}})</t>
  </si>
  <si>
    <t>Vocabularies.OrphanTermCount</t>
  </si>
  <si>
    <t>OrphanTermCount</t>
  </si>
  <si>
    <t>=COUNTIFS(VocabularyTerms!{{OrphanTermVocabularyKey}}, {{VocabularyId}})</t>
  </si>
  <si>
    <t>Vocabularies.HasOrphanTerms</t>
  </si>
  <si>
    <t>HasOrphanTerms</t>
  </si>
  <si>
    <t>={{OrphanTermCount}} &gt; 0</t>
  </si>
  <si>
    <t>Vocabularies.SemanticTypeIri</t>
  </si>
  <si>
    <t>VocabularyTerms.VocabularyTermId</t>
  </si>
  <si>
    <t>VocabularyTermId</t>
  </si>
  <si>
    <t>VocabularyTerms.Name</t>
  </si>
  <si>
    <t>={{PrefLabel}}</t>
  </si>
  <si>
    <t>VocabularyTerms.Vocabulary</t>
  </si>
  <si>
    <t>Vocabulary</t>
  </si>
  <si>
    <t>VocabularyTerms.PrefLabel</t>
  </si>
  <si>
    <t>PrefLabel</t>
  </si>
  <si>
    <t>VocabularyTerms.AltLabels</t>
  </si>
  <si>
    <t>AltLabels</t>
  </si>
  <si>
    <t>VocabularyTerms.Definition</t>
  </si>
  <si>
    <t>VocabularyTerms.UsageCount</t>
  </si>
  <si>
    <t>=COUNTIFS(Requirements!{{ControlledTerm}}, {{VocabularyTermId}})</t>
  </si>
  <si>
    <t>VocabularyTerms.IsOrphanTerm</t>
  </si>
  <si>
    <t>IsOrphanTerm</t>
  </si>
  <si>
    <t>={{UsageCount}} = 0</t>
  </si>
  <si>
    <t>VocabularyTerms.IsWidelyAdoptedTerm</t>
  </si>
  <si>
    <t>IsWidelyAdoptedTerm</t>
  </si>
  <si>
    <t>={{UsageCount}} &gt;= 2</t>
  </si>
  <si>
    <t>VocabularyTerms.OrphanTermVocabularyKey</t>
  </si>
  <si>
    <t>OrphanTermVocabularyKey</t>
  </si>
  <si>
    <t>=IF({{IsOrphanTerm}}, {{Vocabulary}}, "")</t>
  </si>
  <si>
    <t>VocabularyTerms.SemanticTypeIri</t>
  </si>
  <si>
    <t>KnowledgeBrokerLinks.KnowledgeBrokerLinkId</t>
  </si>
  <si>
    <t>KnowledgeBrokerLinkId</t>
  </si>
  <si>
    <t>KnowledgeBrokerLinks.Name</t>
  </si>
  <si>
    <t>={{Seeker}} &amp; " -&gt; " &amp; {{Broker}}</t>
  </si>
  <si>
    <t>KnowledgeBrokerLinks.Seeker</t>
  </si>
  <si>
    <t>Seeker</t>
  </si>
  <si>
    <t>KnowledgeBrokerLinks.Broker</t>
  </si>
  <si>
    <t>Broker</t>
  </si>
  <si>
    <t>KnowledgeBrokerLinks.Topic</t>
  </si>
  <si>
    <t>Topic</t>
  </si>
  <si>
    <t>KnowledgeBrokerLinks.Frequency</t>
  </si>
  <si>
    <t>Frequency</t>
  </si>
  <si>
    <t>KnowledgeBrokerLinks.LastConsultedAt</t>
  </si>
  <si>
    <t>LastConsultedAt</t>
  </si>
  <si>
    <t>KnowledgeBrokerLinks.EvaluationContext</t>
  </si>
  <si>
    <t>KnowledgeBrokerLinks.AsOfInstant</t>
  </si>
  <si>
    <t>KnowledgeBrokerLinks.DaysSinceConsulted</t>
  </si>
  <si>
    <t>DaysSinceConsulted</t>
  </si>
  <si>
    <t>=DATETIME_DIFF({{AsOfInstant}}, {{LastConsultedAt}}, "days")</t>
  </si>
  <si>
    <t>KnowledgeBrokerLinks.IsActiveReliance</t>
  </si>
  <si>
    <t>IsActiveReliance</t>
  </si>
  <si>
    <t>=AND(NOT({{Frequency}} = "Rarely"), {{DaysSinceConsulted}} &lt;= 180)</t>
  </si>
  <si>
    <t>KnowledgeBrokerLinks.BrokerIsStillEngaged</t>
  </si>
  <si>
    <t>BrokerIsStillEngaged</t>
  </si>
  <si>
    <t>=INDEX(Agents!{{IsStillEngaged}}, MATCH({{Broker}}, Agents!{{AgentId}}, 0))</t>
  </si>
  <si>
    <t>KnowledgeBrokerLinks.IsAtRiskReliance</t>
  </si>
  <si>
    <t>IsAtRiskReliance</t>
  </si>
  <si>
    <t>=AND({{IsActiveReliance}}, NOT({{BrokerIsStillEngaged}}))</t>
  </si>
  <si>
    <t>KnowledgeBrokerLinks.ActiveRelianceBrokerKey</t>
  </si>
  <si>
    <t>ActiveRelianceBrokerKey</t>
  </si>
  <si>
    <t>=IF({{IsActiveReliance}}, {{Broker}}, "")</t>
  </si>
  <si>
    <t>KnowledgeBrokerLinks.AtRiskBrokerKey</t>
  </si>
  <si>
    <t>AtRiskBrokerKey</t>
  </si>
  <si>
    <t>=IF({{IsAtRiskReliance}}, {{Broker}}, "")</t>
  </si>
  <si>
    <t>KnowledgeBrokerLinks.SemanticTypeIri</t>
  </si>
  <si>
    <t>ConformanceSubstrates.ConformanceSubstrateId</t>
  </si>
  <si>
    <t>ConformanceSubstrateId</t>
  </si>
  <si>
    <t>ConformanceSubstrates.Name</t>
  </si>
  <si>
    <t>ConformanceSubstrates.Label</t>
  </si>
  <si>
    <t>ConformanceSubstrates.Transpiler</t>
  </si>
  <si>
    <t>Transpiler</t>
  </si>
  <si>
    <t>ConformanceSubstrates.OutputFolder</t>
  </si>
  <si>
    <t>OutputFolder</t>
  </si>
  <si>
    <t>ConformanceSubstrates.Engine</t>
  </si>
  <si>
    <t>Engine</t>
  </si>
  <si>
    <t>ConformanceSubstrates.HowItComputes</t>
  </si>
  <si>
    <t>HowItComputes</t>
  </si>
  <si>
    <t>ConformanceSubstrates.Role</t>
  </si>
  <si>
    <t>ConformanceSubstrates.SortOrder</t>
  </si>
  <si>
    <t>ConformanceSubstrates.IsGraded</t>
  </si>
  <si>
    <t>IsGraded</t>
  </si>
  <si>
    <t>={{Role}} = "graded"</t>
  </si>
  <si>
    <t>ConformanceSubstrates.RunCount</t>
  </si>
  <si>
    <t>RunCount</t>
  </si>
  <si>
    <t>=COUNTIFS(SubstrateRunScores!{{Substrate}}, {{ConformanceSubstrateId}})</t>
  </si>
  <si>
    <t>ConformanceSubstrates.LatestCellsTested</t>
  </si>
  <si>
    <t>LatestCellsTested</t>
  </si>
  <si>
    <t>=SUMIFS(SubstrateRunScores!{{LatestCellsTested}}, SubstrateRunScores!{{Substrate}}, {{ConformanceSubstrateId}})</t>
  </si>
  <si>
    <t>ConformanceSubstrates.LatestCellsPassed</t>
  </si>
  <si>
    <t>LatestCellsPassed</t>
  </si>
  <si>
    <t>=SUMIFS(SubstrateRunScores!{{LatestCellsPassed}}, SubstrateRunScores!{{Substrate}}, {{ConformanceSubstrateId}})</t>
  </si>
  <si>
    <t>ConformanceSubstrates.LatestHarnessErrors</t>
  </si>
  <si>
    <t>LatestHarnessErrors</t>
  </si>
  <si>
    <t>=SUMIFS(SubstrateRunScores!{{LatestErrorFlag}}, SubstrateRunScores!{{Substrate}}, {{ConformanceSubstrateId}})</t>
  </si>
  <si>
    <t>ConformanceSubstrates.LatestCellsFailed</t>
  </si>
  <si>
    <t>LatestCellsFailed</t>
  </si>
  <si>
    <t>={{LatestCellsTested}} - {{LatestCellsPassed}}</t>
  </si>
  <si>
    <t>ConformanceSubstrates.LatestScore</t>
  </si>
  <si>
    <t>LatestScore</t>
  </si>
  <si>
    <t>=IF({{LatestCellsTested}} = 0, 0, ROUND(100 * {{LatestCellsPassed}} / {{LatestCellsTested}}, 2))</t>
  </si>
  <si>
    <t>ConformanceSubstrates.DisagreeingFieldCount</t>
  </si>
  <si>
    <t>DisagreeingFieldCount</t>
  </si>
  <si>
    <t>=COUNTIFS(FieldDisagreements!{{Substrate}}, {{ConformanceSubstrateId}})</t>
  </si>
  <si>
    <t>ConformanceSubstrates.DisagreeingTableCount</t>
  </si>
  <si>
    <t>DisagreeingTableCount</t>
  </si>
  <si>
    <t>=COUNTIFS(TableConformance!{{ImperfectSubstrateKey}}, {{ConformanceSubstrateId}})</t>
  </si>
  <si>
    <t>ConformanceSubstrates.IsFullyConformant</t>
  </si>
  <si>
    <t>IsFullyConformant</t>
  </si>
  <si>
    <t>=AND({{LatestCellsTested}} &gt; 0, {{LatestCellsFailed}} = 0, {{LatestHarnessErrors}} = 0)</t>
  </si>
  <si>
    <t>ConformanceSubstrates.SemanticTypeIri</t>
  </si>
  <si>
    <t>ConformanceRuns.ConformanceRunId</t>
  </si>
  <si>
    <t>ConformanceRunId</t>
  </si>
  <si>
    <t>ConformanceRuns.Name</t>
  </si>
  <si>
    <t>={{ConformanceRunId}}</t>
  </si>
  <si>
    <t>ConformanceRuns.RanOn</t>
  </si>
  <si>
    <t>RanOn</t>
  </si>
  <si>
    <t>ConformanceRuns.RulebookCommit</t>
  </si>
  <si>
    <t>RulebookCommit</t>
  </si>
  <si>
    <t>ConformanceRuns.AnswerKeyAuthor</t>
  </si>
  <si>
    <t>AnswerKeyAuthor</t>
  </si>
  <si>
    <t>ConformanceRuns.IsLatest</t>
  </si>
  <si>
    <t>IsLatest</t>
  </si>
  <si>
    <t>ConformanceRuns.Notes</t>
  </si>
  <si>
    <t>ConformanceRuns.SubstrateCount</t>
  </si>
  <si>
    <t>SubstrateCount</t>
  </si>
  <si>
    <t>=COUNTIFS(SubstrateRunScores!{{Run}}, {{ConformanceRunId}})</t>
  </si>
  <si>
    <t>ConformanceRuns.PerfectSubstrateCount</t>
  </si>
  <si>
    <t>PerfectSubstrateCount</t>
  </si>
  <si>
    <t>=COUNTIFS(SubstrateRunScores!{{PerfectRunKey}}, {{ConformanceRunId}})</t>
  </si>
  <si>
    <t>ConformanceRuns.CellsTested</t>
  </si>
  <si>
    <t>CellsTested</t>
  </si>
  <si>
    <t>=SUMIFS(SubstrateRunScores!{{CellsTested}}, SubstrateRunScores!{{Run}}, {{ConformanceRunId}})</t>
  </si>
  <si>
    <t>ConformanceRuns.CellsPassed</t>
  </si>
  <si>
    <t>CellsPassed</t>
  </si>
  <si>
    <t>=SUMIFS(SubstrateRunScores!{{CellsPassed}}, SubstrateRunScores!{{Run}}, {{ConformanceRunId}})</t>
  </si>
  <si>
    <t>ConformanceRuns.CellsFailed</t>
  </si>
  <si>
    <t>CellsFailed</t>
  </si>
  <si>
    <t>={{CellsTested}} - {{CellsPassed}}</t>
  </si>
  <si>
    <t>ConformanceRuns.OverallScore</t>
  </si>
  <si>
    <t>OverallScore</t>
  </si>
  <si>
    <t>=IF({{CellsTested}} = 0, 0, ROUND(100 * {{CellsPassed}} / {{CellsTested}}, 2))</t>
  </si>
  <si>
    <t>ConformanceRuns.ImperfectSubstrateCount</t>
  </si>
  <si>
    <t>ImperfectSubstrateCount</t>
  </si>
  <si>
    <t>={{SubstrateCount}} - {{PerfectSubstrateCount}}</t>
  </si>
  <si>
    <t>ConformanceRuns.IsFullyConformant</t>
  </si>
  <si>
    <t>=AND({{SubstrateCount}} &gt; 0, {{ImperfectSubstrateCount}} = 0)</t>
  </si>
  <si>
    <t>ConformanceRuns.SemanticTypeIri</t>
  </si>
  <si>
    <t>SubstrateRunScores.SubstrateRunScoreId</t>
  </si>
  <si>
    <t>SubstrateRunScoreId</t>
  </si>
  <si>
    <t>SubstrateRunScores.Name</t>
  </si>
  <si>
    <t>=CONCAT({{Run}}, " / ", {{Substrate}})</t>
  </si>
  <si>
    <t>SubstrateRunScores.Run</t>
  </si>
  <si>
    <t>Run</t>
  </si>
  <si>
    <t>SubstrateRunScores.Substrate</t>
  </si>
  <si>
    <t>Substrate</t>
  </si>
  <si>
    <t>SubstrateRunScores.HarnessError</t>
  </si>
  <si>
    <t>HarnessError</t>
  </si>
  <si>
    <t>SubstrateRunScores.DurationSeconds</t>
  </si>
  <si>
    <t>DurationSeconds</t>
  </si>
  <si>
    <t>SubstrateRunScores.CellsTested</t>
  </si>
  <si>
    <t>SubstrateRunScores.CellsPassed</t>
  </si>
  <si>
    <t>SubstrateRunScores.CalculatedTested</t>
  </si>
  <si>
    <t>CalculatedTested</t>
  </si>
  <si>
    <t>SubstrateRunScores.CalculatedPassed</t>
  </si>
  <si>
    <t>CalculatedPassed</t>
  </si>
  <si>
    <t>SubstrateRunScores.LookupTested</t>
  </si>
  <si>
    <t>LookupTested</t>
  </si>
  <si>
    <t>SubstrateRunScores.LookupPassed</t>
  </si>
  <si>
    <t>LookupPassed</t>
  </si>
  <si>
    <t>SubstrateRunScores.AggregationTested</t>
  </si>
  <si>
    <t>AggregationTested</t>
  </si>
  <si>
    <t>SubstrateRunScores.AggregationPassed</t>
  </si>
  <si>
    <t>AggregationPassed</t>
  </si>
  <si>
    <t>SubstrateRunScores.CellsFailed</t>
  </si>
  <si>
    <t>SubstrateRunScores.Score</t>
  </si>
  <si>
    <t>Score</t>
  </si>
  <si>
    <t>SubstrateRunScores.CalculatedScore</t>
  </si>
  <si>
    <t>CalculatedScore</t>
  </si>
  <si>
    <t>=IF({{CalculatedTested}} = 0, 0, ROUND(100 * {{CalculatedPassed}} / {{CalculatedTested}}, 2))</t>
  </si>
  <si>
    <t>SubstrateRunScores.LookupScore</t>
  </si>
  <si>
    <t>LookupScore</t>
  </si>
  <si>
    <t>=IF({{LookupTested}} = 0, 0, ROUND(100 * {{LookupPassed}} / {{LookupTested}}, 2))</t>
  </si>
  <si>
    <t>SubstrateRunScores.AggregationScore</t>
  </si>
  <si>
    <t>AggregationScore</t>
  </si>
  <si>
    <t>=IF({{AggregationTested}} = 0, 0, ROUND(100 * {{AggregationPassed}} / {{AggregationTested}}, 2))</t>
  </si>
  <si>
    <t>SubstrateRunScores.IsPerfect</t>
  </si>
  <si>
    <t>IsPerfect</t>
  </si>
  <si>
    <t>=AND({{HarnessError}} = "", {{CellsTested}} &gt; 0, {{CellsFailed}} = 0)</t>
  </si>
  <si>
    <t>SubstrateRunScores.PerfectRunKey</t>
  </si>
  <si>
    <t>PerfectRunKey</t>
  </si>
  <si>
    <t>=IF({{IsPerfect}}, {{Run}}, "")</t>
  </si>
  <si>
    <t>SubstrateRunScores.IsInLatestRun</t>
  </si>
  <si>
    <t>IsInLatestRun</t>
  </si>
  <si>
    <t>=INDEX(ConformanceRuns!{{IsLatest}}, MATCH({{Run}}, ConformanceRuns!{{ConformanceRunId}}, 0))</t>
  </si>
  <si>
    <t>SubstrateRunScores.LatestCellsTested</t>
  </si>
  <si>
    <t>=IF({{IsInLatestRun}}, {{CellsTested}}, 0)</t>
  </si>
  <si>
    <t>SubstrateRunScores.LatestCellsPassed</t>
  </si>
  <si>
    <t>=IF({{IsInLatestRun}}, {{CellsPassed}}, 0)</t>
  </si>
  <si>
    <t>SubstrateRunScores.LatestErrorFlag</t>
  </si>
  <si>
    <t>LatestErrorFlag</t>
  </si>
  <si>
    <t>=IF(AND({{IsInLatestRun}}, {{HarnessError}} &lt;&gt; ""), 1, 0)</t>
  </si>
  <si>
    <t>SubstrateRunScores.SubstrateLabel</t>
  </si>
  <si>
    <t>SubstrateLabel</t>
  </si>
  <si>
    <t>=INDEX(ConformanceSubstrates!{{Label}}, MATCH({{Substrate}}, ConformanceSubstrates!{{ConformanceSubstrateId}}, 0))</t>
  </si>
  <si>
    <t>SubstrateRunScores.SemanticTypeIri</t>
  </si>
  <si>
    <t>TableConformance.TableConformanceId</t>
  </si>
  <si>
    <t>TableConformanceId</t>
  </si>
  <si>
    <t>TableConformance.Name</t>
  </si>
  <si>
    <t>=CONCAT({{Substrate}}, " / ", {{RulebookTable}})</t>
  </si>
  <si>
    <t>TableConformance.Run</t>
  </si>
  <si>
    <t>TableConformance.Substrate</t>
  </si>
  <si>
    <t>TableConformance.RulebookTable</t>
  </si>
  <si>
    <t>RulebookTable</t>
  </si>
  <si>
    <t>TableConformance.RecordCount</t>
  </si>
  <si>
    <t>RecordCount</t>
  </si>
  <si>
    <t>TableConformance.DerivedFieldCount</t>
  </si>
  <si>
    <t>DerivedFieldCount</t>
  </si>
  <si>
    <t>TableConformance.CellsTested</t>
  </si>
  <si>
    <t>TableConformance.CellsPassed</t>
  </si>
  <si>
    <t>TableConformance.IsMissingAnswerFile</t>
  </si>
  <si>
    <t>IsMissingAnswerFile</t>
  </si>
  <si>
    <t>TableConformance.CellsFailed</t>
  </si>
  <si>
    <t>TableConformance.Score</t>
  </si>
  <si>
    <t>TableConformance.IsPerfect</t>
  </si>
  <si>
    <t>={{CellsFailed}} = 0</t>
  </si>
  <si>
    <t>TableConformance.ImperfectSubstrateKey</t>
  </si>
  <si>
    <t>ImperfectSubstrateKey</t>
  </si>
  <si>
    <t>=IF({{IsPerfect}}, "", {{Substrate}})</t>
  </si>
  <si>
    <t>TableConformance.ImperfectTableKey</t>
  </si>
  <si>
    <t>ImperfectTableKey</t>
  </si>
  <si>
    <t>=IF({{IsPerfect}}, "", {{RulebookTable}})</t>
  </si>
  <si>
    <t>TableConformance.DisagreeingFieldCount</t>
  </si>
  <si>
    <t>=COUNTIFS(FieldDisagreements!{{TableConformance}}, {{TableConformanceId}})</t>
  </si>
  <si>
    <t>TableConformance.SubstrateLabel</t>
  </si>
  <si>
    <t>TableConformance.SubjectArea</t>
  </si>
  <si>
    <t>=INDEX(RulebookTables!{{SubjectArea}}, MATCH({{RulebookTable}}, RulebookTables!{{RulebookTableId}}, 0))</t>
  </si>
  <si>
    <t>TableConformance.SemanticTypeIri</t>
  </si>
  <si>
    <t>FieldDisagreements.FieldDisagreementId</t>
  </si>
  <si>
    <t>FieldDisagreementId</t>
  </si>
  <si>
    <t>FieldDisagreements.Name</t>
  </si>
  <si>
    <t>=CONCAT({{Substrate}}, " / ", {{RulebookField}})</t>
  </si>
  <si>
    <t>FieldDisagreements.Substrate</t>
  </si>
  <si>
    <t>FieldDisagreements.RulebookField</t>
  </si>
  <si>
    <t>RulebookField</t>
  </si>
  <si>
    <t>FieldDisagreements.TableConformance</t>
  </si>
  <si>
    <t>FieldDisagreements.FieldClass</t>
  </si>
  <si>
    <t>FieldClass</t>
  </si>
  <si>
    <t>FieldDisagreements.CellsFailed</t>
  </si>
  <si>
    <t>FieldDisagreements.DominantReason</t>
  </si>
  <si>
    <t>DominantReason</t>
  </si>
  <si>
    <t>FieldDisagreements.SampledCellCount</t>
  </si>
  <si>
    <t>SampledCellCount</t>
  </si>
  <si>
    <t>=COUNTIFS(CellDisagreements!{{FieldDisagreement}}, {{FieldDisagreementId}})</t>
  </si>
  <si>
    <t>FieldDisagreements.IsFullySampled</t>
  </si>
  <si>
    <t>IsFullySampled</t>
  </si>
  <si>
    <t>={{SampledCellCount}} = {{CellsFailed}}</t>
  </si>
  <si>
    <t>FieldDisagreements.Formula</t>
  </si>
  <si>
    <t>=INDEX(RulebookFields!{{Formula}}, MATCH({{RulebookField}}, RulebookFields!{{RulebookFieldId}}, 0))</t>
  </si>
  <si>
    <t>FieldDisagreements.SubstrateLabel</t>
  </si>
  <si>
    <t>FieldDisagreements.SemanticTypeIri</t>
  </si>
  <si>
    <t>CellDisagreements.CellDisagreementId</t>
  </si>
  <si>
    <t>CellDisagreementId</t>
  </si>
  <si>
    <t>CellDisagreements.Name</t>
  </si>
  <si>
    <t>=CONCAT({{FieldDisagreement}}, " @ ", {{RecordId}})</t>
  </si>
  <si>
    <t>CellDisagreements.FieldDisagreement</t>
  </si>
  <si>
    <t>FieldDisagreement</t>
  </si>
  <si>
    <t>CellDisagreements.RecordId</t>
  </si>
  <si>
    <t>RecordId</t>
  </si>
  <si>
    <t>CellDisagreements.ExpectedValue</t>
  </si>
  <si>
    <t>ExpectedValue</t>
  </si>
  <si>
    <t>CellDisagreements.ActualValue</t>
  </si>
  <si>
    <t>ActualValue</t>
  </si>
  <si>
    <t>CellDisagreements.Reason</t>
  </si>
  <si>
    <t>CellDisagreements.Substrate</t>
  </si>
  <si>
    <t>=INDEX(FieldDisagreements!{{Substrate}}, MATCH({{FieldDisagreement}}, FieldDisagreements!{{FieldDisagreementId}}, 0))</t>
  </si>
  <si>
    <t>CellDisagreements.RulebookField</t>
  </si>
  <si>
    <t>=INDEX(FieldDisagreements!{{RulebookField}}, MATCH({{FieldDisagreement}}, FieldDisagreements!{{FieldDisagreementId}}, 0))</t>
  </si>
  <si>
    <t>CellDisagreements.SemanticTypeIri</t>
  </si>
  <si>
    <t>suite-structure</t>
  </si>
  <si>
    <t>Model structure</t>
  </si>
  <si>
    <t>urn:effortless:pko-extension#TestSuite</t>
  </si>
  <si>
    <t>suite-substrate</t>
  </si>
  <si>
    <t>Substrate translation</t>
  </si>
  <si>
    <t>suite-integrity</t>
  </si>
  <si>
    <t>Referential integrity</t>
  </si>
  <si>
    <t>suite-witness</t>
  </si>
  <si>
    <t>Witness behaviour</t>
  </si>
  <si>
    <t>suite-provenance</t>
  </si>
  <si>
    <t>Question provenance</t>
  </si>
  <si>
    <t>suite-invariant</t>
  </si>
  <si>
    <t>Domain invariants</t>
  </si>
  <si>
    <t>tc-struct-rulebook_releases</t>
  </si>
  <si>
    <t>structural</t>
  </si>
  <si>
    <t>Primary key first and non-nullable, and a calculated Name display alias exists.</t>
  </si>
  <si>
    <t>blocking</t>
  </si>
  <si>
    <t>11 fields</t>
  </si>
  <si>
    <t>urn:effortless:pko-extension#TestCase</t>
  </si>
  <si>
    <t>tc-struct-ontology_profiles</t>
  </si>
  <si>
    <t>8 fields</t>
  </si>
  <si>
    <t>tc-struct-evaluation_contexts</t>
  </si>
  <si>
    <t>7 fields</t>
  </si>
  <si>
    <t>tc-struct-organizations</t>
  </si>
  <si>
    <t>6 fields</t>
  </si>
  <si>
    <t>tc-struct-agents</t>
  </si>
  <si>
    <t>19 fields</t>
  </si>
  <si>
    <t>tc-struct-roles</t>
  </si>
  <si>
    <t>24 fields</t>
  </si>
  <si>
    <t>tc-struct-role_assignments</t>
  </si>
  <si>
    <t>65 fields</t>
  </si>
  <si>
    <t>tc-struct-communities_of_practice</t>
  </si>
  <si>
    <t>tc-struct-mentorships</t>
  </si>
  <si>
    <t>10 fields</t>
  </si>
  <si>
    <t>tc-struct-procedure_types</t>
  </si>
  <si>
    <t>5 fields</t>
  </si>
  <si>
    <t>tc-struct-procedures</t>
  </si>
  <si>
    <t>tc-struct-procedure_versions</t>
  </si>
  <si>
    <t>83 fields</t>
  </si>
  <si>
    <t>tc-struct-procedure_version_links</t>
  </si>
  <si>
    <t>tc-struct-procedure_status_changes</t>
  </si>
  <si>
    <t>9 fields</t>
  </si>
  <si>
    <t>tc-struct-steps</t>
  </si>
  <si>
    <t>42 fields</t>
  </si>
  <si>
    <t>tc-struct-step_transitions</t>
  </si>
  <si>
    <t>23 fields</t>
  </si>
  <si>
    <t>tc-struct-actions</t>
  </si>
  <si>
    <t>tc-struct-functions</t>
  </si>
  <si>
    <t>tc-struct-tools</t>
  </si>
  <si>
    <t>tc-struct-step_actions</t>
  </si>
  <si>
    <t>4 fields</t>
  </si>
  <si>
    <t>tc-struct-step_functions</t>
  </si>
  <si>
    <t>tc-struct-step_tools</t>
  </si>
  <si>
    <t>tc-struct-requirements</t>
  </si>
  <si>
    <t>41 fields</t>
  </si>
  <si>
    <t>tc-struct-step_requirements</t>
  </si>
  <si>
    <t>13 fields</t>
  </si>
  <si>
    <t>tc-struct-step_verifications</t>
  </si>
  <si>
    <t>tc-struct-rationales</t>
  </si>
  <si>
    <t>tc-struct-exceptions</t>
  </si>
  <si>
    <t>tc-struct-resources</t>
  </si>
  <si>
    <t>tc-struct-procedure_resources</t>
  </si>
  <si>
    <t>tc-struct-elicitation_sessions</t>
  </si>
  <si>
    <t>21 fields</t>
  </si>
  <si>
    <t>tc-struct-knowledge_fragments</t>
  </si>
  <si>
    <t>80 fields</t>
  </si>
  <si>
    <t>tc-struct-knowledge_gaps</t>
  </si>
  <si>
    <t>28 fields</t>
  </si>
  <si>
    <t>tc-struct-f_a_qs</t>
  </si>
  <si>
    <t>tc-struct-explanations</t>
  </si>
  <si>
    <t>tc-struct-procedure_executions</t>
  </si>
  <si>
    <t>78 fields</t>
  </si>
  <si>
    <t>tc-struct-step_executions</t>
  </si>
  <si>
    <t>109 fields</t>
  </si>
  <si>
    <t>tc-struct-requirement_satisfactions</t>
  </si>
  <si>
    <t>46 fields</t>
  </si>
  <si>
    <t>tc-struct-errors</t>
  </si>
  <si>
    <t>tc-struct-issue_occurrences</t>
  </si>
  <si>
    <t>12 fields</t>
  </si>
  <si>
    <t>tc-struct-user_questions</t>
  </si>
  <si>
    <t>tc-struct-user_feedback</t>
  </si>
  <si>
    <t>tc-struct-stewardship_assignments</t>
  </si>
  <si>
    <t>14 fields</t>
  </si>
  <si>
    <t>tc-struct-change_requests</t>
  </si>
  <si>
    <t>45 fields</t>
  </si>
  <si>
    <t>tc-struct-review_events</t>
  </si>
  <si>
    <t>20 fields</t>
  </si>
  <si>
    <t>tc-struct-learning_activities</t>
  </si>
  <si>
    <t>tc-struct-operational_bindings</t>
  </si>
  <si>
    <t>22 fields</t>
  </si>
  <si>
    <t>tc-struct-communication_policies</t>
  </si>
  <si>
    <t>tc-struct-message_templates</t>
  </si>
  <si>
    <t>26 fields</t>
  </si>
  <si>
    <t>tc-struct-semantic_mappings</t>
  </si>
  <si>
    <t>tc-struct-witness_loops</t>
  </si>
  <si>
    <t>tc-struct-role_questions</t>
  </si>
  <si>
    <t>tc-struct-rulebook_fields</t>
  </si>
  <si>
    <t>tc-struct-test_suites</t>
  </si>
  <si>
    <t>tc-struct-test_cases</t>
  </si>
  <si>
    <t>tc-struct-e_r_b_versions</t>
  </si>
  <si>
    <t>tc-struct-e_r_b_customizations</t>
  </si>
  <si>
    <t>tc-struct-__meta__</t>
  </si>
  <si>
    <t>tc-struct-exception_invocations</t>
  </si>
  <si>
    <t>tc-struct-verification_outcomes</t>
  </si>
  <si>
    <t>tc-struct-observed_transitions</t>
  </si>
  <si>
    <t>tc-struct-recipients</t>
  </si>
  <si>
    <t>15 fields</t>
  </si>
  <si>
    <t>tc-struct-message_deliveries</t>
  </si>
  <si>
    <t>94 fields</t>
  </si>
  <si>
    <t>tc-struct-template_approvals</t>
  </si>
  <si>
    <t>tc-struct-send_intents</t>
  </si>
  <si>
    <t>100 fields</t>
  </si>
  <si>
    <t>tc-struct-agent_decision_records</t>
  </si>
  <si>
    <t>40 fields</t>
  </si>
  <si>
    <t>tc-struct-delivered_communications</t>
  </si>
  <si>
    <t>18 fields</t>
  </si>
  <si>
    <t>tc-struct-authority_boundaries</t>
  </si>
  <si>
    <t>33 fields</t>
  </si>
  <si>
    <t>tc-struct-binding_observations</t>
  </si>
  <si>
    <t>tc-struct-attestations</t>
  </si>
  <si>
    <t>tc-xlate-rulebook_releases-name</t>
  </si>
  <si>
    <t>formula-translates</t>
  </si>
  <si>
    <t>The transpiler emitted a real SQL function for this formula rather than a NULL stub.</t>
  </si>
  <si>
    <t>translated</t>
  </si>
  <si>
    <t>tc-xlate-ontology_profiles-name</t>
  </si>
  <si>
    <t>tc-xlate-evaluation_contexts-name</t>
  </si>
  <si>
    <t>tc-xlate-organizations-name</t>
  </si>
  <si>
    <t>tc-xlate-agents-name</t>
  </si>
  <si>
    <t>tc-xlate-agents-count_of_current_role_assignments</t>
  </si>
  <si>
    <t>tc-xlate-agents-is_still_engaged</t>
  </si>
  <si>
    <t>tc-xlate-agents-decision_count</t>
  </si>
  <si>
    <t>tc-xlate-agents-overridden_decision_count</t>
  </si>
  <si>
    <t>tc-xlate-agents-override_rate_percent</t>
  </si>
  <si>
    <t>tc-xlate-agents-is_non_human</t>
  </si>
  <si>
    <t>tc-xlate-agents-boundary_violation_count</t>
  </si>
  <si>
    <t>tc-xlate-agents-is_operating_outside_boundary</t>
  </si>
  <si>
    <t>tc-xlate-agents-draft_decision_count</t>
  </si>
  <si>
    <t>tc-xlate-agents-overridden_draft_count</t>
  </si>
  <si>
    <t>tc-xlate-agents-draft_rewrite_rate_percent</t>
  </si>
  <si>
    <t>tc-xlate-roles-name</t>
  </si>
  <si>
    <t>tc-xlate-roles-current_agent_kind</t>
  </si>
  <si>
    <t>tc-xlate-roles-active_assignment_count</t>
  </si>
  <si>
    <t>tc-xlate-roles-currently_covered_assignment_count</t>
  </si>
  <si>
    <t>tc-xlate-roles-has_no_current_holder</t>
  </si>
  <si>
    <t>tc-xlate-roles-count_of_awaited_decisions</t>
  </si>
  <si>
    <t>tc-xlate-roles-current_assignment_valid_from</t>
  </si>
  <si>
    <t>tc-xlate-roles-is_non_human_held</t>
  </si>
  <si>
    <t>tc-xlate-roles-is_ungoverned_non_human_role</t>
  </si>
  <si>
    <t>tc-xlate-roles-departed_assignment_count</t>
  </si>
  <si>
    <t>tc-xlate-roles-has_lost_a_holder</t>
  </si>
  <si>
    <t>tc-xlate-roles-is_vacated_role</t>
  </si>
  <si>
    <t>tc-xlate-roles-ungrounded_boundary_count</t>
  </si>
  <si>
    <t>tc-xlate-roles-is_governed_by_lapsed_authority</t>
  </si>
  <si>
    <t>tc-xlate-roles-unescalated_refusal_count</t>
  </si>
  <si>
    <t>tc-xlate-roles-unauthorized_enforcement_assignment_count</t>
  </si>
  <si>
    <t>tc-xlate-roles-is_ungoverned_enforcement_role</t>
  </si>
  <si>
    <t>tc-xlate-role_assignments-name</t>
  </si>
  <si>
    <t>tc-xlate-role_assignments-as_of_instant</t>
  </si>
  <si>
    <t>tc-xlate-role_assignments-is_current</t>
  </si>
  <si>
    <t>tc-xlate-role_assignments-current_agent_key</t>
  </si>
  <si>
    <t>tc-xlate-role_assignments-is_currently_valid</t>
  </si>
  <si>
    <t>tc-xlate-role_assignments-agent_role_key</t>
  </si>
  <si>
    <t>tc-xlate-role_assignments-has_departed</t>
  </si>
  <si>
    <t>tc-xlate-role_assignments-covers_now</t>
  </si>
  <si>
    <t>tc-xlate-role_assignments-role_when_covering</t>
  </si>
  <si>
    <t>tc-xlate-role_assignments-agent_kind</t>
  </si>
  <si>
    <t>tc-xlate-role_assignments-is_non_human_assignment</t>
  </si>
  <si>
    <t>tc-xlate-role_assignments-predecessor_agent_kind</t>
  </si>
  <si>
    <t>tc-xlate-role_assignments-is_human_to_non_human_handover</t>
  </si>
  <si>
    <t>tc-xlate-role_assignments-is_unauthorized_non_human_assignment</t>
  </si>
  <si>
    <t>tc-xlate-role_assignments-was_authorized_by_change_request</t>
  </si>
  <si>
    <t>tc-xlate-role_assignments-decision_count</t>
  </si>
  <si>
    <t>tc-xlate-role_assignments-overridden_decision_count</t>
  </si>
  <si>
    <t>tc-xlate-role_assignments-override_rate_percent</t>
  </si>
  <si>
    <t>tc-xlate-role_assignments-predecessor_override_rate_percent</t>
  </si>
  <si>
    <t>tc-xlate-role_assignments-quality_regressed_vs_predecessor</t>
  </si>
  <si>
    <t>tc-xlate-role_assignments-departed_role_key</t>
  </si>
  <si>
    <t>tc-xlate-role_assignments-predecessor_decision_count</t>
  </si>
  <si>
    <t>tc-xlate-role_assignments-has_sufficient_sample</t>
  </si>
  <si>
    <t>tc-xlate-role_assignments-predecessor_has_sufficient_sample</t>
  </si>
  <si>
    <t>tc-xlate-role_assignments-comparison_is_evidentially_sound</t>
  </si>
  <si>
    <t>tc-xlate-role_assignments-single_override_swing_percent</t>
  </si>
  <si>
    <t>tc-xlate-role_assignments-quality_verdict_is_unsupported</t>
  </si>
  <si>
    <t>tc-xlate-role_assignments-is_unmeasured_automation_handover</t>
  </si>
  <si>
    <t>tc-xlate-role_assignments-error_correction_count</t>
  </si>
  <si>
    <t>tc-xlate-role_assignments-error_rate_percent</t>
  </si>
  <si>
    <t>tc-xlate-role_assignments-has_dated_authorization</t>
  </si>
  <si>
    <t>tc-xlate-role_assignments-days_since_authorization_review</t>
  </si>
  <si>
    <t>tc-xlate-role_assignments-authorization_is_overdue_for_review</t>
  </si>
  <si>
    <t>tc-xlate-role_assignments-is_standing_unreviewed_automation</t>
  </si>
  <si>
    <t>tc-xlate-role_assignments-is_unconditioned_automation_handover</t>
  </si>
  <si>
    <t>tc-xlate-role_assignments-exceeds_tolerable_error_rate</t>
  </si>
  <si>
    <t>tc-xlate-role_assignments-boundary_violation_count_for_assignment</t>
  </si>
  <si>
    <t>tc-xlate-role_assignments-has_any_boundary_violation</t>
  </si>
  <si>
    <t>tc-xlate-role_assignments-has_ungrounded_governing_boundary</t>
  </si>
  <si>
    <t>tc-xlate-role_assignments-suspension_condition_met</t>
  </si>
  <si>
    <t>tc-xlate-role_assignments-is_operating_under_met_suspension_condition</t>
  </si>
  <si>
    <t>tc-xlate-role_assignments-has_declared_suspension_condition</t>
  </si>
  <si>
    <t>tc-xlate-role_assignments-has_approving_authority</t>
  </si>
  <si>
    <t>tc-xlate-role_assignments-has_authorizing_change_request</t>
  </si>
  <si>
    <t>tc-xlate-role_assignments-is_unauthorized_enforcement_agent</t>
  </si>
  <si>
    <t>tc-xlate-role_assignments-governance_evidence_count</t>
  </si>
  <si>
    <t>tc-xlate-role_assignments-unauthorized_enforcement_role_key</t>
  </si>
  <si>
    <t>tc-xlate-communities_of_practice-name</t>
  </si>
  <si>
    <t>tc-xlate-mentorships-name</t>
  </si>
  <si>
    <t>tc-xlate-procedure_types-name</t>
  </si>
  <si>
    <t>tc-xlate-procedures-name</t>
  </si>
  <si>
    <t>tc-xlate-procedure_versions-name</t>
  </si>
  <si>
    <t>tc-xlate-procedure_versions-count_of_steps</t>
  </si>
  <si>
    <t>tc-xlate-procedure_versions-count_of_open_knowledge_gaps</t>
  </si>
  <si>
    <t>tc-xlate-procedure_versions-is_ready_for_execution</t>
  </si>
  <si>
    <t>tc-xlate-procedure_versions-specified_step_count</t>
  </si>
  <si>
    <t>tc-xlate-procedure_versions-overdue_review_count</t>
  </si>
  <si>
    <t>tc-xlate-procedure_versions-open_change_request_count</t>
  </si>
  <si>
    <t>tc-xlate-procedure_versions-open_high_severity_gap_count</t>
  </si>
  <si>
    <t>tc-xlate-procedure_versions-is_fit_to_execute</t>
  </si>
  <si>
    <t>tc-xlate-procedure_versions-steward_review_cadence_days</t>
  </si>
  <si>
    <t>tc-xlate-procedure_versions-count_of_stewardship_assignments</t>
  </si>
  <si>
    <t>tc-xlate-procedure_versions-has_any_steward</t>
  </si>
  <si>
    <t>tc-xlate-procedure_versions-is_live</t>
  </si>
  <si>
    <t>tc-xlate-procedure_versions-is_unstewarded</t>
  </si>
  <si>
    <t>tc-xlate-procedure_versions-is_live_and_unstewarded</t>
  </si>
  <si>
    <t>tc-xlate-procedure_versions-count_of_open_blocking_gaps</t>
  </si>
  <si>
    <t>tc-xlate-procedure_versions-has_open_blocking_gap</t>
  </si>
  <si>
    <t>tc-xlate-procedure_versions-is_live_with_blocking_gap</t>
  </si>
  <si>
    <t>tc-xlate-procedure_versions-should_not_be_executable</t>
  </si>
  <si>
    <t>tc-xlate-procedure_versions-count_of_unapproved_reliance_fragments</t>
  </si>
  <si>
    <t>tc-xlate-procedure_versions-runs_on_unapproved_knowledge</t>
  </si>
  <si>
    <t>tc-xlate-procedure_versions-count_of_overdue_gaps</t>
  </si>
  <si>
    <t>tc-xlate-procedure_versions-count_of_change_requests</t>
  </si>
  <si>
    <t>tc-xlate-procedure_versions-count_of_review_events</t>
  </si>
  <si>
    <t>tc-xlate-procedure_versions-has_governance_record</t>
  </si>
  <si>
    <t>tc-xlate-procedure_versions-as_of_instant</t>
  </si>
  <si>
    <t>tc-xlate-procedure_versions-days_since_modified</t>
  </si>
  <si>
    <t>tc-xlate-procedure_versions-days_since_last_review</t>
  </si>
  <si>
    <t>tc-xlate-procedure_versions-was_modified_since_last_review</t>
  </si>
  <si>
    <t>tc-xlate-procedure_versions-modifier_is_authority</t>
  </si>
  <si>
    <t>tc-xlate-procedure_versions-has_unwitnessed_change</t>
  </si>
  <si>
    <t>tc-xlate-procedure_versions-count_of_stale_fragments</t>
  </si>
  <si>
    <t>tc-xlate-procedure_versions-knowledge_is_staler_than_cadence</t>
  </si>
  <si>
    <t>tc-xlate-procedure_versions-compound_fragile_fragment_count</t>
  </si>
  <si>
    <t>tc-xlate-procedure_versions-rests_on_compound_fragile_knowledge</t>
  </si>
  <si>
    <t>tc-xlate-procedure_versions-concentrated_witness_session_count</t>
  </si>
  <si>
    <t>tc-xlate-procedure_versions-knowledge_base_is_concentrated</t>
  </si>
  <si>
    <t>tc-xlate-procedure_versions-machine_consumed_unapproved_count</t>
  </si>
  <si>
    <t>tc-xlate-procedure_versions-feeds_unapproved_knowledge_to_machines</t>
  </si>
  <si>
    <t>tc-xlate-procedure_versions-genuinely_overdue_fragment_count</t>
  </si>
  <si>
    <t>tc-xlate-procedure_versions-awaited_decision_count</t>
  </si>
  <si>
    <t>tc-xlate-procedure_versions-scoped_open_blocking_gap_count</t>
  </si>
  <si>
    <t>tc-xlate-procedure_versions-is_blocked_on_pending_decision</t>
  </si>
  <si>
    <t>tc-xlate-procedure_versions-unexercised_human_gate_count</t>
  </si>
  <si>
    <t>tc-xlate-procedure_versions-ai_boundary_is_unevidenced</t>
  </si>
  <si>
    <t>tc-xlate-procedure_versions-load_bearing_unapproved_count</t>
  </si>
  <si>
    <t>tc-xlate-procedure_versions-unlanded_decision_count</t>
  </si>
  <si>
    <t>tc-xlate-procedure_versions-unrehearsed_control_entry_count</t>
  </si>
  <si>
    <t>tc-xlate-procedure_versions-has_unrehearsed_control_entry</t>
  </si>
  <si>
    <t>tc-xlate-procedure_versions-is_live_with_unrehearsed_control</t>
  </si>
  <si>
    <t>tc-xlate-procedure_versions-cadence_breach_count</t>
  </si>
  <si>
    <t>tc-xlate-procedure_versions-is_in_cadence_breach</t>
  </si>
  <si>
    <t>tc-xlate-procedure_versions-has_decision_in_flight</t>
  </si>
  <si>
    <t>tc-xlate-procedure_versions-is_unremediated_cadence_breach</t>
  </si>
  <si>
    <t>tc-xlate-procedure_versions-is_managed_cadence_breach</t>
  </si>
  <si>
    <t>tc-xlate-procedure_versions-governance_is_silent</t>
  </si>
  <si>
    <t>tc-xlate-procedure_versions-valid_fragment_count</t>
  </si>
  <si>
    <t>tc-xlate-procedure_versions-still_owns_valid_knowledge</t>
  </si>
  <si>
    <t>tc-xlate-procedure_versions-incoming_supersession_count</t>
  </si>
  <si>
    <t>tc-xlate-procedure_versions-is_still_referenced</t>
  </si>
  <si>
    <t>tc-xlate-procedure_versions-is_load_bearing_orphan</t>
  </si>
  <si>
    <t>tc-xlate-procedure_versions-is_cleanly_retired</t>
  </si>
  <si>
    <t>tc-xlate-procedure_versions-stalled_implementation_count</t>
  </si>
  <si>
    <t>tc-xlate-procedure_versions-is_held_unfit_by_landed_decisions</t>
  </si>
  <si>
    <t>tc-xlate-procedure_versions-undeclared_control_kind_count</t>
  </si>
  <si>
    <t>tc-xlate-procedure_versions-control_taxonomy_is_incomplete</t>
  </si>
  <si>
    <t>tc-xlate-procedure_versions-has_approved_change_request</t>
  </si>
  <si>
    <t>tc-xlate-procedure_versions-approved_change_request_count</t>
  </si>
  <si>
    <t>tc-xlate-procedure_versions-unwatched_unowned_control_count</t>
  </si>
  <si>
    <t>tc-xlate-procedure_version_links-name</t>
  </si>
  <si>
    <t>tc-xlate-procedure_version_links-superseded_version_key</t>
  </si>
  <si>
    <t>tc-xlate-procedure_status_changes-name</t>
  </si>
  <si>
    <t>tc-xlate-steps-name</t>
  </si>
  <si>
    <t>tc-xlate-steps-assigned_role_label</t>
  </si>
  <si>
    <t>tc-xlate-steps-assigned_agent_kind</t>
  </si>
  <si>
    <t>tc-xlate-steps-blocking_requirement_count</t>
  </si>
  <si>
    <t>tc-xlate-steps-stale_binding_count</t>
  </si>
  <si>
    <t>tc-xlate-steps-authoritative_stale_count</t>
  </si>
  <si>
    <t>tc-xlate-steps-available_exception_count</t>
  </si>
  <si>
    <t>tc-xlate-steps-declared_verification_count</t>
  </si>
  <si>
    <t>tc-xlate-steps-is_preparation_step</t>
  </si>
  <si>
    <t>tc-xlate-steps-is_approval_step</t>
  </si>
  <si>
    <t>tc-xlate-steps-stale_authoritative_binding_count</t>
  </si>
  <si>
    <t>tc-xlate-steps-inputs_are_fresh</t>
  </si>
  <si>
    <t>tc-xlate-steps-is_software_assigned</t>
  </si>
  <si>
    <t>tc-xlate-steps-is_human_approval_gate</t>
  </si>
  <si>
    <t>tc-xlate-steps-gate_held_by_human</t>
  </si>
  <si>
    <t>tc-xlate-steps-binding_boundary_count</t>
  </si>
  <si>
    <t>tc-xlate-steps-assigned_role_is_ungoverned</t>
  </si>
  <si>
    <t>tc-xlate-steps-unusable_binding_count</t>
  </si>
  <si>
    <t>tc-xlate-steps-all_sources_usable</t>
  </si>
  <si>
    <t>tc-xlate-steps-unwarranted_boundary_count</t>
  </si>
  <si>
    <t>tc-xlate-steps-is_governed_by_unwarranted_boundary</t>
  </si>
  <si>
    <t>tc-xlate-steps-software_execution_count</t>
  </si>
  <si>
    <t>tc-xlate-steps-has_been_approached_by_software</t>
  </si>
  <si>
    <t>tc-xlate-steps-is_unexercised_human_gate</t>
  </si>
  <si>
    <t>tc-xlate-steps-is_demonstrated_human_gate</t>
  </si>
  <si>
    <t>tc-xlate-steps-unexercised_gate_version_key</t>
  </si>
  <si>
    <t>tc-xlate-steps-has_declared_control_kind</t>
  </si>
  <si>
    <t>tc-xlate-steps-undeclared_control_version_key</t>
  </si>
  <si>
    <t>tc-xlate-steps-approval_step_is_software_assigned</t>
  </si>
  <si>
    <t>tc-xlate-steps-unwitnessed_blocking_count</t>
  </si>
  <si>
    <t>tc-xlate-step_transitions-name</t>
  </si>
  <si>
    <t>tc-xlate-step_transitions-is_recovery_path</t>
  </si>
  <si>
    <t>tc-xlate-step_transitions-count_of_from_step_executions</t>
  </si>
  <si>
    <t>tc-xlate-step_transitions-count_of_to_step_executions</t>
  </si>
  <si>
    <t>tc-xlate-step_transitions-has_reachable_origin</t>
  </si>
  <si>
    <t>tc-xlate-step_transitions-has_reachable_target</t>
  </si>
  <si>
    <t>tc-xlate-step_transitions-is_never_exercised</t>
  </si>
  <si>
    <t>tc-xlate-step_transitions-is_untested_recovery_path</t>
  </si>
  <si>
    <t>tc-xlate-step_transitions-count_of_observed_traversals</t>
  </si>
  <si>
    <t>tc-xlate-step_transitions-has_been_traversed</t>
  </si>
  <si>
    <t>tc-xlate-step_transitions-is_unwalked_recovery_path</t>
  </si>
  <si>
    <t>tc-xlate-step_transitions-target_blocking_requirement_count</t>
  </si>
  <si>
    <t>tc-xlate-step_transitions-target_carries_blocking_control</t>
  </si>
  <si>
    <t>tc-xlate-step_transitions-is_unrehearsed_control_entry</t>
  </si>
  <si>
    <t>tc-xlate-step_transitions-unrehearsed_control_version_key</t>
  </si>
  <si>
    <t>tc-xlate-actions-name</t>
  </si>
  <si>
    <t>tc-xlate-functions-name</t>
  </si>
  <si>
    <t>tc-xlate-tools-name</t>
  </si>
  <si>
    <t>tc-xlate-step_actions-name</t>
  </si>
  <si>
    <t>tc-xlate-step_functions-name</t>
  </si>
  <si>
    <t>tc-xlate-step_tools-name</t>
  </si>
  <si>
    <t>tc-xlate-requirements-name</t>
  </si>
  <si>
    <t>tc-xlate-requirements-satisfaction_record_count</t>
  </si>
  <si>
    <t>tc-xlate-requirements-step_binding_count</t>
  </si>
  <si>
    <t>tc-xlate-requirements-is_bound_to_any_step</t>
  </si>
  <si>
    <t>tc-xlate-requirements-has_ever_been_evaluated</t>
  </si>
  <si>
    <t>tc-xlate-requirements-negative_outcome_count</t>
  </si>
  <si>
    <t>tc-xlate-requirements-is_inoperative_control</t>
  </si>
  <si>
    <t>tc-xlate-requirements-is_decorative_control</t>
  </si>
  <si>
    <t>tc-xlate-requirements-has_ever_produced_negative</t>
  </si>
  <si>
    <t>tc-xlate-requirements-is_unfalsified_control</t>
  </si>
  <si>
    <t>tc-xlate-requirements-claims_a_witness_field</t>
  </si>
  <si>
    <t>tc-xlate-requirements-named_witness_field_exists</t>
  </si>
  <si>
    <t>tc-xlate-requirements-derived_has_computed_witness</t>
  </si>
  <si>
    <t>tc-xlate-requirements-witness_claim_is_unverified</t>
  </si>
  <si>
    <t>tc-xlate-requirements-is_unwitnessed_blocking_control</t>
  </si>
  <si>
    <t>tc-xlate-requirements-witness_fire_count</t>
  </si>
  <si>
    <t>tc-xlate-requirements-witness_has_never_fired</t>
  </si>
  <si>
    <t>tc-xlate-requirements-evaluation_sample_size</t>
  </si>
  <si>
    <t>tc-xlate-requirements-has_meaningful_sample</t>
  </si>
  <si>
    <t>tc-xlate-requirements-is_untested_witness</t>
  </si>
  <si>
    <t>tc-xlate-requirements-is_evidenced_holding_control</t>
  </si>
  <si>
    <t>tc-xlate-requirements-control_assurance_state</t>
  </si>
  <si>
    <t>tc-xlate-requirements-unexercised_binding_count</t>
  </si>
  <si>
    <t>tc-xlate-requirements-witness_is_partially_scoped</t>
  </si>
  <si>
    <t>tc-xlate-requirements-accountable_agent</t>
  </si>
  <si>
    <t>tc-xlate-requirements-has_named_owner</t>
  </si>
  <si>
    <t>tc-xlate-requirements-is_orphaned_blocking_control</t>
  </si>
  <si>
    <t>tc-xlate-requirements-is_unwatched_and_unowned</t>
  </si>
  <si>
    <t>tc-xlate-requirements-attestation_exposure_note</t>
  </si>
  <si>
    <t>tc-xlate-requirements-unwatched_unowned_flag</t>
  </si>
  <si>
    <t>tc-xlate-step_requirements-name</t>
  </si>
  <si>
    <t>tc-xlate-step_requirements-requirement_is_blocking</t>
  </si>
  <si>
    <t>tc-xlate-step_requirements-blocking_step_key</t>
  </si>
  <si>
    <t>tc-xlate-step_requirements-step_when_blocking</t>
  </si>
  <si>
    <t>tc-xlate-step_requirements-requirement_lacks_witness</t>
  </si>
  <si>
    <t>tc-xlate-step_requirements-unwitnessed_step_key</t>
  </si>
  <si>
    <t>tc-xlate-step_requirements-satisfaction_count_for_binding</t>
  </si>
  <si>
    <t>tc-xlate-step_requirements-binding_was_ever_exercised</t>
  </si>
  <si>
    <t>tc-xlate-step_requirements-is_unexercised_blocking_binding</t>
  </si>
  <si>
    <t>tc-xlate-step_requirements-unexercised_binding_requirement_key</t>
  </si>
  <si>
    <t>tc-xlate-step_verifications-name</t>
  </si>
  <si>
    <t>tc-xlate-rationales-name</t>
  </si>
  <si>
    <t>tc-xlate-exceptions-name</t>
  </si>
  <si>
    <t>tc-xlate-exceptions-active_exception_step_key</t>
  </si>
  <si>
    <t>tc-xlate-resources-name</t>
  </si>
  <si>
    <t>tc-xlate-resources-is_approved_source</t>
  </si>
  <si>
    <t>tc-xlate-procedure_resources-name</t>
  </si>
  <si>
    <t>tc-xlate-procedure_resources-relation_iri</t>
  </si>
  <si>
    <t>tc-xlate-elicitation_sessions-name</t>
  </si>
  <si>
    <t>tc-xlate-elicitation_sessions-as_of_instant</t>
  </si>
  <si>
    <t>tc-xlate-elicitation_sessions-days_since_elicited</t>
  </si>
  <si>
    <t>tc-xlate-elicitation_sessions-is_single_witness_method</t>
  </si>
  <si>
    <t>tc-xlate-elicitation_sessions-practitioner_is_still_engaged</t>
  </si>
  <si>
    <t>tc-xlate-elicitation_sessions-valid_fragments_produced</t>
  </si>
  <si>
    <t>tc-xlate-elicitation_sessions-is_high_yield_session</t>
  </si>
  <si>
    <t>tc-xlate-elicitation_sessions-is_concentrated_single_witness</t>
  </si>
  <si>
    <t>tc-xlate-elicitation_sessions-is_stale_concentrated_witness</t>
  </si>
  <si>
    <t>tc-xlate-elicitation_sessions-concentrated_session_version_key</t>
  </si>
  <si>
    <t>tc-xlate-knowledge_fragments-name</t>
  </si>
  <si>
    <t>tc-xlate-knowledge_fragments-as_of_instant</t>
  </si>
  <si>
    <t>tc-xlate-knowledge_fragments-is_currently_valid</t>
  </si>
  <si>
    <t>tc-xlate-knowledge_fragments-source_agent_is_still_engaged</t>
  </si>
  <si>
    <t>tc-xlate-knowledge_fragments-source_agent_kind</t>
  </si>
  <si>
    <t>tc-xlate-knowledge_fragments-has_human_source</t>
  </si>
  <si>
    <t>tc-xlate-knowledge_fragments-has_orphaned_provenance</t>
  </si>
  <si>
    <t>tc-xlate-knowledge_fragments-is_undefendable_tacit_claim</t>
  </si>
  <si>
    <t>tc-xlate-knowledge_fragments-is_approved</t>
  </si>
  <si>
    <t>tc-xlate-knowledge_fragments-is_within_validity_window</t>
  </si>
  <si>
    <t>tc-xlate-knowledge_fragments-is_relied_upon</t>
  </si>
  <si>
    <t>tc-xlate-knowledge_fragments-step_procedure_version_status</t>
  </si>
  <si>
    <t>tc-xlate-knowledge_fragments-is_attached_to_live_version</t>
  </si>
  <si>
    <t>tc-xlate-knowledge_fragments-is_unapproved_but_relied_on</t>
  </si>
  <si>
    <t>tc-xlate-knowledge_fragments-evidence_age_days</t>
  </si>
  <si>
    <t>tc-xlate-knowledge_fragments-has_recorded_elicitation</t>
  </si>
  <si>
    <t>tc-xlate-knowledge_fragments-is_from_single_witness</t>
  </si>
  <si>
    <t>tc-xlate-knowledge_fragments-evidence_expiry_days</t>
  </si>
  <si>
    <t>tc-xlate-knowledge_fragments-evidence_has_expired</t>
  </si>
  <si>
    <t>tc-xlate-knowledge_fragments-owner_agent</t>
  </si>
  <si>
    <t>tc-xlate-knowledge_fragments-is_awaiting_approval</t>
  </si>
  <si>
    <t>tc-xlate-knowledge_fragments-owner_is_me</t>
  </si>
  <si>
    <t>tc-xlate-knowledge_fragments-is_my_unfinished_approval</t>
  </si>
  <si>
    <t>tc-xlate-knowledge_fragments-is_invoked_by_an_exception</t>
  </si>
  <si>
    <t>tc-xlate-knowledge_fragments-has_operational_reliance</t>
  </si>
  <si>
    <t>tc-xlate-knowledge_fragments-is_unapproved_and_operationally_live</t>
  </si>
  <si>
    <t>tc-xlate-knowledge_fragments-age_days</t>
  </si>
  <si>
    <t>tc-xlate-knowledge_fragments-is_low_confidence</t>
  </si>
  <si>
    <t>tc-xlate-knowledge_fragments-owning_version_cadence_days</t>
  </si>
  <si>
    <t>tc-xlate-knowledge_fragments-exceeds_owning_cadence</t>
  </si>
  <si>
    <t>tc-xlate-knowledge_fragments-is_aging_low_confidence_claim</t>
  </si>
  <si>
    <t>tc-xlate-knowledge_fragments-owner_role_agent_kind</t>
  </si>
  <si>
    <t>tc-xlate-knowledge_fragments-is_human_owned</t>
  </si>
  <si>
    <t>tc-xlate-knowledge_fragments-is_ai_validated_by_ai</t>
  </si>
  <si>
    <t>tc-xlate-knowledge_fragments-review_cadence_days</t>
  </si>
  <si>
    <t>tc-xlate-knowledge_fragments-is_overdue_for_review</t>
  </si>
  <si>
    <t>tc-xlate-knowledge_fragments-predates_current_role_holder</t>
  </si>
  <si>
    <t>tc-xlate-knowledge_fragments-owner_role_assignment_valid_from</t>
  </si>
  <si>
    <t>tc-xlate-knowledge_fragments-fragility_signal_count</t>
  </si>
  <si>
    <t>tc-xlate-knowledge_fragments-is_compound_fragile</t>
  </si>
  <si>
    <t>tc-xlate-knowledge_fragments-is_single_point_of_failure</t>
  </si>
  <si>
    <t>tc-xlate-knowledge_fragments-is_expiring_single_point_of_failure</t>
  </si>
  <si>
    <t>tc-xlate-knowledge_fragments-compound_fragile_version_key</t>
  </si>
  <si>
    <t>tc-xlate-knowledge_fragments-valid_fragment_session_key</t>
  </si>
  <si>
    <t>tc-xlate-knowledge_fragments-consuming_step_is_software_assigned</t>
  </si>
  <si>
    <t>tc-xlate-knowledge_fragments-consuming_step_agent_kind</t>
  </si>
  <si>
    <t>tc-xlate-knowledge_fragments-is_unapproved_and_machine_consumed</t>
  </si>
  <si>
    <t>tc-xlate-knowledge_fragments-is_unapproved_and_human_consumed</t>
  </si>
  <si>
    <t>tc-xlate-knowledge_fragments-machine_consumed_unapproved_version_key</t>
  </si>
  <si>
    <t>tc-xlate-knowledge_fragments-has_review_record</t>
  </si>
  <si>
    <t>tc-xlate-knowledge_fragments-days_since_actual_review</t>
  </si>
  <si>
    <t>tc-xlate-knowledge_fragments-is_unreviewed_since_authoring</t>
  </si>
  <si>
    <t>tc-xlate-knowledge_fragments-is_genuinely_overdue</t>
  </si>
  <si>
    <t>tc-xlate-knowledge_fragments-review_recency_is_inferred</t>
  </si>
  <si>
    <t>tc-xlate-knowledge_fragments-inference_disagrees_with_record</t>
  </si>
  <si>
    <t>tc-xlate-knowledge_fragments-genuinely_overdue_version_key</t>
  </si>
  <si>
    <t>tc-xlate-knowledge_fragments-ratified_boundary_count</t>
  </si>
  <si>
    <t>tc-xlate-knowledge_fragments-reliance_surface_count</t>
  </si>
  <si>
    <t>tc-xlate-knowledge_fragments-days_awaiting_my_approval</t>
  </si>
  <si>
    <t>tc-xlate-knowledge_fragments-is_high_blast_radius_unapproved</t>
  </si>
  <si>
    <t>tc-xlate-knowledge_fragments-is_long_unapproved</t>
  </si>
  <si>
    <t>tc-xlate-knowledge_fragments-unapproved_load_bearing_version_key</t>
  </si>
  <si>
    <t>tc-xlate-knowledge_fragments-owner_role_is_vacated</t>
  </si>
  <si>
    <t>tc-xlate-knowledge_fragments-is_orphaned_by_role</t>
  </si>
  <si>
    <t>tc-xlate-knowledge_fragments-valid_fragment_version_key</t>
  </si>
  <si>
    <t>tc-xlate-knowledge_gaps-name</t>
  </si>
  <si>
    <t>tc-xlate-knowledge_gaps-is_open</t>
  </si>
  <si>
    <t>tc-xlate-knowledge_gaps-open_gap_version_key</t>
  </si>
  <si>
    <t>tc-xlate-knowledge_gaps-is_blocking</t>
  </si>
  <si>
    <t>tc-xlate-knowledge_gaps-is_open_and_blocking</t>
  </si>
  <si>
    <t>tc-xlate-knowledge_gaps-as_of_instant</t>
  </si>
  <si>
    <t>tc-xlate-knowledge_gaps-days_open</t>
  </si>
  <si>
    <t>tc-xlate-knowledge_gaps-tolerance_days</t>
  </si>
  <si>
    <t>tc-xlate-knowledge_gaps-is_overdue_gap</t>
  </si>
  <si>
    <t>tc-xlate-knowledge_gaps-owner_agent</t>
  </si>
  <si>
    <t>tc-xlate-knowledge_gaps-owner_is_still_engaged</t>
  </si>
  <si>
    <t>tc-xlate-knowledge_gaps-has_resolution_plan</t>
  </si>
  <si>
    <t>tc-xlate-knowledge_gaps-is_abandoned_unknown</t>
  </si>
  <si>
    <t>tc-xlate-knowledge_gaps-open_blocking_gap_version_key</t>
  </si>
  <si>
    <t>tc-xlate-knowledge_gaps-owner_role_is_vacated</t>
  </si>
  <si>
    <t>tc-xlate-knowledge_gaps-is_ownerless_open_gap</t>
  </si>
  <si>
    <t>tc-xlate-f_a_qs-name</t>
  </si>
  <si>
    <t>tc-xlate-explanations-name</t>
  </si>
  <si>
    <t>tc-xlate-procedure_executions-name</t>
  </si>
  <si>
    <t>tc-xlate-procedure_executions-expected_step_count</t>
  </si>
  <si>
    <t>tc-xlate-procedure_executions-completed_step_count</t>
  </si>
  <si>
    <t>tc-xlate-procedure_executions-control_breach_count</t>
  </si>
  <si>
    <t>tc-xlate-procedure_executions-late_step_count</t>
  </si>
  <si>
    <t>tc-xlate-procedure_executions-is_structurally_complete</t>
  </si>
  <si>
    <t>tc-xlate-procedure_executions-diverged_from_specification</t>
  </si>
  <si>
    <t>tc-xlate-procedure_executions-all_blocking_controls_evaluated</t>
  </si>
  <si>
    <t>tc-xlate-procedure_executions-unevaluated_blocking_total</t>
  </si>
  <si>
    <t>tc-xlate-procedure_executions-separation_of_duties_held</t>
  </si>
  <si>
    <t>tc-xlate-procedure_executions-separation_violation_count</t>
  </si>
  <si>
    <t>tc-xlate-procedure_executions-is_attestation_ready</t>
  </si>
  <si>
    <t>tc-xlate-procedure_executions-attestation_blocker_summary</t>
  </si>
  <si>
    <t>tc-xlate-procedure_executions-executed_version_is_fit</t>
  </si>
  <si>
    <t>tc-xlate-procedure_executions-signed_against_unfit_version</t>
  </si>
  <si>
    <t>tc-xlate-procedure_executions-asserted_only_control_count</t>
  </si>
  <si>
    <t>tc-xlate-procedure_executions-assurance_is_mostly_asserted</t>
  </si>
  <si>
    <t>tc-xlate-procedure_executions-unreachable_handling_failure_count</t>
  </si>
  <si>
    <t>tc-xlate-procedure_executions-retention_breach_count</t>
  </si>
  <si>
    <t>tc-xlate-procedure_executions-cleared_legal_review_count</t>
  </si>
  <si>
    <t>tc-xlate-procedure_executions-has_cleared_legal_review</t>
  </si>
  <si>
    <t>tc-xlate-procedure_executions-abandoned_failure_count</t>
  </si>
  <si>
    <t>tc-xlate-procedure_executions-delivered_count</t>
  </si>
  <si>
    <t>tc-xlate-procedure_executions-total_delivery_attempt_count</t>
  </si>
  <si>
    <t>tc-xlate-procedure_executions-has_abandoned_failures</t>
  </si>
  <si>
    <t>tc-xlate-procedure_executions-mishandled_refusal_count</t>
  </si>
  <si>
    <t>tc-xlate-procedure_executions-unclean_step_count</t>
  </si>
  <si>
    <t>tc-xlate-procedure_executions-ran_clean</t>
  </si>
  <si>
    <t>tc-xlate-procedure_executions-count_of_approval_executions</t>
  </si>
  <si>
    <t>tc-xlate-procedure_executions-has_human_approval</t>
  </si>
  <si>
    <t>tc-xlate-procedure_executions-count_of_delivery_executions</t>
  </si>
  <si>
    <t>tc-xlate-procedure_executions-has_delivered</t>
  </si>
  <si>
    <t>tc-xlate-procedure_executions-delivered_without_approval</t>
  </si>
  <si>
    <t>tc-xlate-procedure_executions-invalid_approval_count</t>
  </si>
  <si>
    <t>tc-xlate-procedure_executions-approval_chain_is_complete</t>
  </si>
  <si>
    <t>tc-xlate-procedure_executions-vacuously_clean_step_count</t>
  </si>
  <si>
    <t>tc-xlate-procedure_executions-preparation_step_count</t>
  </si>
  <si>
    <t>tc-xlate-procedure_executions-approval_step_count</t>
  </si>
  <si>
    <t>tc-xlate-procedure_executions-separation_was_testable</t>
  </si>
  <si>
    <t>tc-xlate-procedure_executions-separation_held_under_test</t>
  </si>
  <si>
    <t>tc-xlate-procedure_executions-separation_is_vacuously_green</t>
  </si>
  <si>
    <t>tc-xlate-procedure_executions-separation_assurance_note</t>
  </si>
  <si>
    <t>tc-xlate-procedure_executions-ungoverned_divergence_count</t>
  </si>
  <si>
    <t>tc-xlate-procedure_executions-divergence_was_fully_governed</t>
  </si>
  <si>
    <t>tc-xlate-procedure_executions-computedly_witnessed_control_count</t>
  </si>
  <si>
    <t>tc-xlate-procedure_executions-evaluated_control_count</t>
  </si>
  <si>
    <t>tc-xlate-procedure_executions-computed_assurance_ratio</t>
  </si>
  <si>
    <t>tc-xlate-procedure_executions-interested_party_assertion_count</t>
  </si>
  <si>
    <t>tc-xlate-procedure_executions-assurance_grade</t>
  </si>
  <si>
    <t>tc-xlate-procedure_executions-attestation_would_be_weakly_based</t>
  </si>
  <si>
    <t>tc-xlate-procedure_executions-independent_human_observation_count</t>
  </si>
  <si>
    <t>tc-xlate-procedure_executions-has_any_independent_observation</t>
  </si>
  <si>
    <t>tc-xlate-procedure_executions-self_attested_approval_count</t>
  </si>
  <si>
    <t>tc-xlate-procedure_executions-assurance_chain_is_circular</t>
  </si>
  <si>
    <t>tc-xlate-procedure_executions-latest_attestation_instant</t>
  </si>
  <si>
    <t>tc-xlate-procedure_executions-has_been_attested</t>
  </si>
  <si>
    <t>tc-xlate-procedure_executions-attestation_count</t>
  </si>
  <si>
    <t>tc-xlate-procedure_executions-post_attestation_score_count</t>
  </si>
  <si>
    <t>tc-xlate-procedure_executions-basis_changed_after_signature</t>
  </si>
  <si>
    <t>tc-xlate-procedure_executions-requires_re_attestation</t>
  </si>
  <si>
    <t>tc-xlate-procedure_executions-intended_recipient_count</t>
  </si>
  <si>
    <t>tc-xlate-procedure_executions-reached_recipient_count</t>
  </si>
  <si>
    <t>tc-xlate-procedure_executions-silently_dropped_count</t>
  </si>
  <si>
    <t>tc-xlate-procedure_executions-delivery_yield_percent</t>
  </si>
  <si>
    <t>tc-xlate-procedure_executions-campaign_silently_lost_audience</t>
  </si>
  <si>
    <t>tc-xlate-procedure_executions-unrecorded_refusal_count</t>
  </si>
  <si>
    <t>tc-xlate-procedure_executions-has_unrecorded_refusals</t>
  </si>
  <si>
    <t>tc-xlate-procedure_executions-independently_confirmed_intent_count</t>
  </si>
  <si>
    <t>tc-xlate-procedure_executions-send_decisions_are_entirely_self_witnessed</t>
  </si>
  <si>
    <t>tc-xlate-step_executions-name</t>
  </si>
  <si>
    <t>tc-xlate-step_executions-actual_duration_minutes</t>
  </si>
  <si>
    <t>tc-xlate-step_executions-expected_duration_minutes</t>
  </si>
  <si>
    <t>tc-xlate-step_executions-is_late</t>
  </si>
  <si>
    <t>tc-xlate-step_executions-blocking_unmet_count</t>
  </si>
  <si>
    <t>tc-xlate-step_executions-blocking_unmet_count_safe</t>
  </si>
  <si>
    <t>tc-xlate-step_executions-proceeded_past_blocking_control</t>
  </si>
  <si>
    <t>tc-xlate-step_executions-expected_blocking_count</t>
  </si>
  <si>
    <t>tc-xlate-step_executions-evaluated_blocking_count</t>
  </si>
  <si>
    <t>tc-xlate-step_executions-unevaluated_blocking_count</t>
  </si>
  <si>
    <t>tc-xlate-step_executions-has_unevaluated_blocking_control</t>
  </si>
  <si>
    <t>tc-xlate-step_executions-stale_authoritative_source_count</t>
  </si>
  <si>
    <t>tc-xlate-step_executions-ran_on_stale_authoritative_source</t>
  </si>
  <si>
    <t>tc-xlate-step_executions-has_deviation_note</t>
  </si>
  <si>
    <t>tc-xlate-step_executions-is_late_and_unexplained</t>
  </si>
  <si>
    <t>tc-xlate-step_executions-available_exception_count_for_step</t>
  </si>
  <si>
    <t>tc-xlate-step_executions-had_uninvoked_exception_available</t>
  </si>
  <si>
    <t>tc-xlate-step_executions-expected_verification_count</t>
  </si>
  <si>
    <t>tc-xlate-step_executions-performed_verification_count</t>
  </si>
  <si>
    <t>tc-xlate-step_executions-skipped_verification_count</t>
  </si>
  <si>
    <t>tc-xlate-step_executions-has_skipped_verification</t>
  </si>
  <si>
    <t>tc-xlate-step_executions-claims_pass_without_evidence</t>
  </si>
  <si>
    <t>tc-xlate-step_executions-step_is_preparation</t>
  </si>
  <si>
    <t>tc-xlate-step_executions-step_is_approval</t>
  </si>
  <si>
    <t>tc-xlate-step_executions-preparer_agent_key</t>
  </si>
  <si>
    <t>tc-xlate-step_executions-approver_agent_key</t>
  </si>
  <si>
    <t>tc-xlate-step_executions-prepared_by_this_agent_count</t>
  </si>
  <si>
    <t>tc-xlate-step_executions-violates_separation_of_duties</t>
  </si>
  <si>
    <t>tc-xlate-step_executions-required_role_for_step</t>
  </si>
  <si>
    <t>tc-xlate-step_executions-executor_role_key</t>
  </si>
  <si>
    <t>tc-xlate-step_executions-executor_authority_count</t>
  </si>
  <si>
    <t>tc-xlate-step_executions-executor_held_required_role</t>
  </si>
  <si>
    <t>tc-xlate-step_executions-is_unauthorized_approval</t>
  </si>
  <si>
    <t>tc-xlate-step_executions-completed_execution_key</t>
  </si>
  <si>
    <t>tc-xlate-step_executions-control_breach_execution_key</t>
  </si>
  <si>
    <t>tc-xlate-step_executions-late_execution_key</t>
  </si>
  <si>
    <t>tc-xlate-step_executions-executor_agent_kind</t>
  </si>
  <si>
    <t>tc-xlate-step_executions-executor_is_human</t>
  </si>
  <si>
    <t>tc-xlate-step_executions-step_requires_human_confirmation</t>
  </si>
  <si>
    <t>tc-xlate-step_executions-non_human_ran_human_step</t>
  </si>
  <si>
    <t>tc-xlate-step_executions-non_human_approval</t>
  </si>
  <si>
    <t>tc-xlate-step_executions-unevaluated_blocking_execution_key</t>
  </si>
  <si>
    <t>tc-xlate-step_executions-separation_violation_execution_key</t>
  </si>
  <si>
    <t>tc-xlate-step_executions-self_witnessed_verification_count</t>
  </si>
  <si>
    <t>tc-xlate-step_executions-unbacked_verification_count</t>
  </si>
  <si>
    <t>tc-xlate-step_executions-approval_rests_on_self_attestation</t>
  </si>
  <si>
    <t>tc-xlate-step_executions-exception_invocation_count</t>
  </si>
  <si>
    <t>tc-xlate-step_executions-ran_under_exception</t>
  </si>
  <si>
    <t>tc-xlate-step_executions-is_completed</t>
  </si>
  <si>
    <t>tc-xlate-step_executions-is_verification_passed</t>
  </si>
  <si>
    <t>tc-xlate-step_executions-is_legal_review_step</t>
  </si>
  <si>
    <t>tc-xlate-step_executions-cleared_legal_review_key</t>
  </si>
  <si>
    <t>tc-xlate-step_executions-assigned_role</t>
  </si>
  <si>
    <t>tc-xlate-step_executions-role_current_agent</t>
  </si>
  <si>
    <t>tc-xlate-step_executions-executor_is_designated_agent</t>
  </si>
  <si>
    <t>tc-xlate-step_executions-inputs_were_fresh_at_run</t>
  </si>
  <si>
    <t>tc-xlate-step_executions-ran_on_stale_inputs</t>
  </si>
  <si>
    <t>tc-xlate-step_executions-unresolved_issue_count</t>
  </si>
  <si>
    <t>tc-xlate-step_executions-has_deviation</t>
  </si>
  <si>
    <t>tc-xlate-step_executions-is_clean</t>
  </si>
  <si>
    <t>tc-xlate-step_executions-procedure_execution_when_unclean</t>
  </si>
  <si>
    <t>tc-xlate-step_executions-evaluated_requirement_count</t>
  </si>
  <si>
    <t>tc-xlate-step_executions-required_blocking_count</t>
  </si>
  <si>
    <t>tc-xlate-step_executions-has_unevaluated_blocking_requirement</t>
  </si>
  <si>
    <t>tc-xlate-step_executions-executing_agent_kind</t>
  </si>
  <si>
    <t>tc-xlate-step_executions-was_executed_by_software</t>
  </si>
  <si>
    <t>tc-xlate-step_executions-step_is_software_assigned</t>
  </si>
  <si>
    <t>tc-xlate-step_executions-software_did_human_work</t>
  </si>
  <si>
    <t>tc-xlate-step_executions-is_approval_execution</t>
  </si>
  <si>
    <t>tc-xlate-step_executions-is_verified</t>
  </si>
  <si>
    <t>tc-xlate-step_executions-unconfirmed_non_human_decision_count</t>
  </si>
  <si>
    <t>tc-xlate-step_executions-requires_human_confirmation</t>
  </si>
  <si>
    <t>tc-xlate-step_executions-human_confirmation_missing</t>
  </si>
  <si>
    <t>tc-xlate-step_executions-drafted_from_unusable_source</t>
  </si>
  <si>
    <t>tc-xlate-step_executions-inputs_were_usable</t>
  </si>
  <si>
    <t>tc-xlate-step_executions-software_execution_step_key</t>
  </si>
  <si>
    <t>tc-xlate-step_executions-step_control_kind</t>
  </si>
  <si>
    <t>tc-xlate-step_executions-unfalsified_clearance_count</t>
  </si>
  <si>
    <t>tc-xlate-step_executions-all_clearances_are_unfalsified</t>
  </si>
  <si>
    <t>tc-xlate-step_executions-stale_at_run_count</t>
  </si>
  <si>
    <t>tc-xlate-step_executions-was_stale_when_i_ran_it</t>
  </si>
  <si>
    <t>tc-xlate-step_executions-staleness_answer_is_tense_dependent</t>
  </si>
  <si>
    <t>tc-xlate-step_executions-has_any_declared_check</t>
  </si>
  <si>
    <t>tc-xlate-step_executions-performed_check_count</t>
  </si>
  <si>
    <t>tc-xlate-step_executions-declared_check_count</t>
  </si>
  <si>
    <t>tc-xlate-step_executions-is_unchecked_by_design</t>
  </si>
  <si>
    <t>tc-xlate-step_executions-is_vacuously_clean</t>
  </si>
  <si>
    <t>tc-xlate-step_executions-is_substantively_clean</t>
  </si>
  <si>
    <t>tc-xlate-step_executions-vacuously_clean_execution_key</t>
  </si>
  <si>
    <t>tc-xlate-step_executions-uncorroborated_pass_count</t>
  </si>
  <si>
    <t>tc-xlate-step_executions-evidence_position_is_weak</t>
  </si>
  <si>
    <t>tc-xlate-step_executions-preparation_execution_key</t>
  </si>
  <si>
    <t>tc-xlate-step_executions-approval_execution_key</t>
  </si>
  <si>
    <t>tc-xlate-step_executions-has_governing_instrument</t>
  </si>
  <si>
    <t>tc-xlate-step_executions-has_approved_change_coverage</t>
  </si>
  <si>
    <t>tc-xlate-step_executions-version_of_step</t>
  </si>
  <si>
    <t>tc-xlate-step_executions-is_ungoverned_divergence</t>
  </si>
  <si>
    <t>tc-xlate-step_executions-ungoverned_divergence_execution_key</t>
  </si>
  <si>
    <t>tc-xlate-step_executions-self_attested_approval_execution_key</t>
  </si>
  <si>
    <t>tc-xlate-requirement_satisfactions-name</t>
  </si>
  <si>
    <t>tc-xlate-requirement_satisfactions-requirement_is_blocking</t>
  </si>
  <si>
    <t>tc-xlate-requirement_satisfactions-is_fully_satisfied</t>
  </si>
  <si>
    <t>tc-xlate-requirement_satisfactions-is_blocking_and_unmet</t>
  </si>
  <si>
    <t>tc-xlate-requirement_satisfactions-blocking_unmet_step_key</t>
  </si>
  <si>
    <t>tc-xlate-requirement_satisfactions-blocking_satisfaction_step_key</t>
  </si>
  <si>
    <t>tc-xlate-requirement_satisfactions-negative_outcome_requirement_key</t>
  </si>
  <si>
    <t>tc-xlate-requirement_satisfactions-evaluator_agent_kind</t>
  </si>
  <si>
    <t>tc-xlate-requirement_satisfactions-non_human_evaluated_human_control</t>
  </si>
  <si>
    <t>tc-xlate-requirement_satisfactions-requirement_has_computed_witness</t>
  </si>
  <si>
    <t>tc-xlate-requirement_satisfactions-is_asserted_only</t>
  </si>
  <si>
    <t>tc-xlate-requirement_satisfactions-asserted_only_execution_key</t>
  </si>
  <si>
    <t>tc-xlate-requirement_satisfactions-parent_procedure_execution</t>
  </si>
  <si>
    <t>tc-xlate-requirement_satisfactions-step_execution_when_scored</t>
  </si>
  <si>
    <t>tc-xlate-requirement_satisfactions-is_human_evaluated</t>
  </si>
  <si>
    <t>tc-xlate-requirement_satisfactions-requirement_is_approval_type</t>
  </si>
  <si>
    <t>tc-xlate-requirement_satisfactions-is_invalid_approval</t>
  </si>
  <si>
    <t>tc-xlate-requirement_satisfactions-procedure_execution_of_satisfaction</t>
  </si>
  <si>
    <t>tc-xlate-requirement_satisfactions-run_when_invalid_approval</t>
  </si>
  <si>
    <t>tc-xlate-requirement_satisfactions-requirement_is_unfalsified</t>
  </si>
  <si>
    <t>tc-xlate-requirement_satisfactions-is_clearance_by_unfalsified_control</t>
  </si>
  <si>
    <t>tc-xlate-requirement_satisfactions-unfalsified_clearance_step_key</t>
  </si>
  <si>
    <t>tc-xlate-requirement_satisfactions-spec_step_of_execution</t>
  </si>
  <si>
    <t>tc-xlate-requirement_satisfactions-binding_key</t>
  </si>
  <si>
    <t>tc-xlate-requirement_satisfactions-scored_step_executor_agent</t>
  </si>
  <si>
    <t>tc-xlate-requirement_satisfactions-evaluator_is_step_executor</t>
  </si>
  <si>
    <t>tc-xlate-requirement_satisfactions-run_owner_agent</t>
  </si>
  <si>
    <t>tc-xlate-requirement_satisfactions-evaluator_owns_the_run</t>
  </si>
  <si>
    <t>tc-xlate-requirement_satisfactions-is_interested_party_assertion</t>
  </si>
  <si>
    <t>tc-xlate-requirement_satisfactions-has_written_evidence</t>
  </si>
  <si>
    <t>tc-xlate-requirement_satisfactions-is_bare_assertion</t>
  </si>
  <si>
    <t>tc-xlate-requirement_satisfactions-interested_assertion_execution_key</t>
  </si>
  <si>
    <t>tc-xlate-requirement_satisfactions-is_computedly_witnessed</t>
  </si>
  <si>
    <t>tc-xlate-requirement_satisfactions-computed_witness_execution_key</t>
  </si>
  <si>
    <t>tc-xlate-requirement_satisfactions-step_executor_agent</t>
  </si>
  <si>
    <t>tc-xlate-requirement_satisfactions-was_scored_after_attestation</t>
  </si>
  <si>
    <t>tc-xlate-requirement_satisfactions-attestation_instant_for_run</t>
  </si>
  <si>
    <t>tc-xlate-requirement_satisfactions-post_attestation_score_execution_key</t>
  </si>
  <si>
    <t>tc-xlate-errors-name</t>
  </si>
  <si>
    <t>tc-xlate-issue_occurrences-name</t>
  </si>
  <si>
    <t>tc-xlate-issue_occurrences-is_unresolved</t>
  </si>
  <si>
    <t>tc-xlate-issue_occurrences-step_execution_when_unresolved</t>
  </si>
  <si>
    <t>tc-xlate-user_questions-name</t>
  </si>
  <si>
    <t>tc-xlate-user_feedback-name</t>
  </si>
  <si>
    <t>tc-xlate-stewardship_assignments-name</t>
  </si>
  <si>
    <t>tc-xlate-stewardship_assignments-count_of_review_events</t>
  </si>
  <si>
    <t>tc-xlate-stewardship_assignments-has_ever_been_reviewed</t>
  </si>
  <si>
    <t>tc-xlate-stewardship_assignments-as_of_instant</t>
  </si>
  <si>
    <t>tc-xlate-stewardship_assignments-is_current_assignment</t>
  </si>
  <si>
    <t>tc-xlate-change_requests-name</t>
  </si>
  <si>
    <t>tc-xlate-change_requests-is_open</t>
  </si>
  <si>
    <t>tc-xlate-change_requests-open_change_version_key</t>
  </si>
  <si>
    <t>tc-xlate-change_requests-is_decided</t>
  </si>
  <si>
    <t>tc-xlate-change_requests-as_of_instant</t>
  </si>
  <si>
    <t>tc-xlate-change_requests-days_pending</t>
  </si>
  <si>
    <t>tc-xlate-change_requests-is_still_pending</t>
  </si>
  <si>
    <t>tc-xlate-change_requests-is_stalled</t>
  </si>
  <si>
    <t>tc-xlate-change_requests-authority_agent</t>
  </si>
  <si>
    <t>tc-xlate-change_requests-requester_is_authority</t>
  </si>
  <si>
    <t>tc-xlate-change_requests-awaits_authority_decision</t>
  </si>
  <si>
    <t>tc-xlate-change_requests-authority_role_label</t>
  </si>
  <si>
    <t>tc-xlate-change_requests-touches_live_version</t>
  </si>
  <si>
    <t>tc-xlate-change_requests-is_live_decision_backlog</t>
  </si>
  <si>
    <t>tc-xlate-change_requests-blocks_an_open_gap</t>
  </si>
  <si>
    <t>tc-xlate-change_requests-backlog_version_key</t>
  </si>
  <si>
    <t>tc-xlate-change_requests-is_my_pending_decision</t>
  </si>
  <si>
    <t>tc-xlate-change_requests-is_my_blocking_backlog</t>
  </si>
  <si>
    <t>tc-xlate-change_requests-is_my_overdue_backlog</t>
  </si>
  <si>
    <t>tc-xlate-change_requests-is_implemented</t>
  </si>
  <si>
    <t>tc-xlate-change_requests-is_my_decided_request</t>
  </si>
  <si>
    <t>tc-xlate-change_requests-is_my_decided_but_unlanded</t>
  </si>
  <si>
    <t>tc-xlate-change_requests-decision_latency_days</t>
  </si>
  <si>
    <t>tc-xlate-change_requests-implementation_latency_days</t>
  </si>
  <si>
    <t>tc-xlate-change_requests-delay_is_downstream_of_me</t>
  </si>
  <si>
    <t>tc-xlate-change_requests-unlanded_version_key</t>
  </si>
  <si>
    <t>tc-xlate-change_requests-is_approved_not_implemented</t>
  </si>
  <si>
    <t>tc-xlate-change_requests-days_since_approval</t>
  </si>
  <si>
    <t>tc-xlate-change_requests-is_stalled_implementation</t>
  </si>
  <si>
    <t>tc-xlate-change_requests-stalled_implementation_version_key</t>
  </si>
  <si>
    <t>tc-xlate-change_requests-approved_version_key</t>
  </si>
  <si>
    <t>tc-xlate-change_requests-is_approved_decision</t>
  </si>
  <si>
    <t>tc-xlate-review_events-name</t>
  </si>
  <si>
    <t>tc-xlate-review_events-as_of_instant</t>
  </si>
  <si>
    <t>tc-xlate-review_events-is_overdue</t>
  </si>
  <si>
    <t>tc-xlate-review_events-overdue_version_key</t>
  </si>
  <si>
    <t>tc-xlate-review_events-promised_cadence_days</t>
  </si>
  <si>
    <t>tc-xlate-review_events-days_since_reviewed</t>
  </si>
  <si>
    <t>tc-xlate-review_events-exceeds_promised_cadence</t>
  </si>
  <si>
    <t>tc-xlate-review_events-cadence_drift_days</t>
  </si>
  <si>
    <t>tc-xlate-review_events-promise_and_behavior_disagree</t>
  </si>
  <si>
    <t>tc-xlate-review_events-cadence_breach_version_key</t>
  </si>
  <si>
    <t>tc-xlate-learning_activities-name</t>
  </si>
  <si>
    <t>tc-xlate-operational_bindings-name</t>
  </si>
  <si>
    <t>tc-xlate-operational_bindings-as_of_instant</t>
  </si>
  <si>
    <t>tc-xlate-operational_bindings-age_minutes</t>
  </si>
  <si>
    <t>tc-xlate-operational_bindings-is_fresh</t>
  </si>
  <si>
    <t>tc-xlate-operational_bindings-stale_binding_step_key</t>
  </si>
  <si>
    <t>tc-xlate-operational_bindings-authoritative_stale_step_key</t>
  </si>
  <si>
    <t>tc-xlate-operational_bindings-is_stale_and_authoritative</t>
  </si>
  <si>
    <t>tc-xlate-operational_bindings-step_when_stale</t>
  </si>
  <si>
    <t>tc-xlate-operational_bindings-resource_is_approved</t>
  </si>
  <si>
    <t>tc-xlate-operational_bindings-is_usable_for_drafting</t>
  </si>
  <si>
    <t>tc-xlate-operational_bindings-step_when_unusable</t>
  </si>
  <si>
    <t>tc-xlate-communication_policies-name</t>
  </si>
  <si>
    <t>tc-xlate-communication_policies-consent_violation_count</t>
  </si>
  <si>
    <t>tc-xlate-communication_policies-quiet_hours_violation_count</t>
  </si>
  <si>
    <t>tc-xlate-communication_policies-is_active_policy</t>
  </si>
  <si>
    <t>tc-xlate-message_templates-name</t>
  </si>
  <si>
    <t>tc-xlate-message_templates-policy_max_message_length</t>
  </si>
  <si>
    <t>tc-xlate-message_templates-policy_max_segments</t>
  </si>
  <si>
    <t>tc-xlate-message_templates-body_template_length</t>
  </si>
  <si>
    <t>tc-xlate-message_templates-is_template_over_length</t>
  </si>
  <si>
    <t>tc-xlate-message_templates-valid_approval_count</t>
  </si>
  <si>
    <t>tc-xlate-message_templates-has_valid_approval</t>
  </si>
  <si>
    <t>tc-xlate-message_templates-is_claiming_unbacked_approval</t>
  </si>
  <si>
    <t>tc-xlate-message_templates-last_approved_body_hash</t>
  </si>
  <si>
    <t>tc-xlate-message_templates-has_body_drifted</t>
  </si>
  <si>
    <t>tc-xlate-message_templates-is_sendable_under_approval</t>
  </si>
  <si>
    <t>tc-xlate-message_templates-drifted_send_count</t>
  </si>
  <si>
    <t>tc-xlate-message_templates-unanswered_delivery_count</t>
  </si>
  <si>
    <t>tc-xlate-message_templates-transmitted_delivery_count</t>
  </si>
  <si>
    <t>tc-xlate-message_templates-template_draws_no_response</t>
  </si>
  <si>
    <t>tc-xlate-message_templates-last_approval_at</t>
  </si>
  <si>
    <t>tc-xlate-semantic_mappings-name</t>
  </si>
  <si>
    <t>tc-xlate-witness_loops-name</t>
  </si>
  <si>
    <t>tc-xlate-witness_loops-question_count</t>
  </si>
  <si>
    <t>tc-xlate-witness_loops-is_complete</t>
  </si>
  <si>
    <t>tc-xlate-role_questions-name</t>
  </si>
  <si>
    <t>tc-xlate-role_questions-predicate_count</t>
  </si>
  <si>
    <t>tc-xlate-role_questions-is_answered</t>
  </si>
  <si>
    <t>tc-xlate-rulebook_fields-name</t>
  </si>
  <si>
    <t>tc-xlate-rulebook_fields-is_derived</t>
  </si>
  <si>
    <t>tc-xlate-rulebook_fields-is_witness</t>
  </si>
  <si>
    <t>tc-xlate-test_suites-name</t>
  </si>
  <si>
    <t>tc-xlate-test_suites-test_count</t>
  </si>
  <si>
    <t>tc-xlate-test_suites-pass_count</t>
  </si>
  <si>
    <t>tc-xlate-test_suites-blocking_fail_count</t>
  </si>
  <si>
    <t>tc-xlate-test_suites-is_green</t>
  </si>
  <si>
    <t>tc-xlate-test_cases-name</t>
  </si>
  <si>
    <t>tc-xlate-test_cases-is_blocking</t>
  </si>
  <si>
    <t>tc-xlate-test_cases-is_passing</t>
  </si>
  <si>
    <t>tc-xlate-test_cases-is_failing</t>
  </si>
  <si>
    <t>tc-xlate-test_cases-needs_attention</t>
  </si>
  <si>
    <t>tc-xlate-test_cases-passing_suite_key</t>
  </si>
  <si>
    <t>tc-xlate-test_cases-needs_attention_suite_key</t>
  </si>
  <si>
    <t>tc-xlate-__meta__-name</t>
  </si>
  <si>
    <t>tc-xlate-exception_invocations-name</t>
  </si>
  <si>
    <t>tc-xlate-exception_invocations-expected_handling</t>
  </si>
  <si>
    <t>tc-xlate-exception_invocations-required_approval_role</t>
  </si>
  <si>
    <t>tc-xlate-exception_invocations-required_approval_role_holder</t>
  </si>
  <si>
    <t>tc-xlate-exception_invocations-approval_role_matches</t>
  </si>
  <si>
    <t>tc-xlate-exception_invocations-is_approved</t>
  </si>
  <si>
    <t>tc-xlate-exception_invocations-is_improperly_approved</t>
  </si>
  <si>
    <t>tc-xlate-exception_invocations-invoker_agent_kind</t>
  </si>
  <si>
    <t>tc-xlate-exception_invocations-invoker_also_prepared_key</t>
  </si>
  <si>
    <t>tc-xlate-exception_invocations-parent_procedure_execution</t>
  </si>
  <si>
    <t>tc-xlate-exception_invocations-approver_prepared_count</t>
  </si>
  <si>
    <t>tc-xlate-exception_invocations-delegated_to_preparer</t>
  </si>
  <si>
    <t>tc-xlate-exception_invocations-is_ungoverned_invocation</t>
  </si>
  <si>
    <t>tc-xlate-verification_outcomes-name</t>
  </si>
  <si>
    <t>tc-xlate-verification_outcomes-expected_signal_value</t>
  </si>
  <si>
    <t>tc-xlate-verification_outcomes-signal_identifier</t>
  </si>
  <si>
    <t>tc-xlate-verification_outcomes-signal_matches_expected</t>
  </si>
  <si>
    <t>tc-xlate-verification_outcomes-has_evidence</t>
  </si>
  <si>
    <t>tc-xlate-verification_outcomes-is_unbacked_observation</t>
  </si>
  <si>
    <t>tc-xlate-verification_outcomes-is_self_witnessed</t>
  </si>
  <si>
    <t>tc-xlate-verification_outcomes-step_executor_agent</t>
  </si>
  <si>
    <t>tc-xlate-verification_outcomes-self_witnessed_step_key</t>
  </si>
  <si>
    <t>tc-xlate-verification_outcomes-unbacked_step_key</t>
  </si>
  <si>
    <t>tc-xlate-verification_outcomes-is_self_witnessed_and_unbacked</t>
  </si>
  <si>
    <t>tc-xlate-verification_outcomes-is_uncorroborated_pass</t>
  </si>
  <si>
    <t>tc-xlate-verification_outcomes-uncorroborated_pass_step_key</t>
  </si>
  <si>
    <t>tc-xlate-verification_outcomes-observer_is_non_human</t>
  </si>
  <si>
    <t>tc-xlate-verification_outcomes-observer_is_independent_of_executor</t>
  </si>
  <si>
    <t>tc-xlate-verification_outcomes-is_independent_human_observation</t>
  </si>
  <si>
    <t>tc-xlate-verification_outcomes-independent_observation_execution_key</t>
  </si>
  <si>
    <t>tc-xlate-verification_outcomes-parent_procedure_execution_of_outcome</t>
  </si>
  <si>
    <t>tc-xlate-observed_transitions-name</t>
  </si>
  <si>
    <t>tc-xlate-recipients-name</t>
  </si>
  <si>
    <t>tc-xlate-recipients-has_sms_consent</t>
  </si>
  <si>
    <t>tc-xlate-recipients-is_email_reachable</t>
  </si>
  <si>
    <t>tc-xlate-recipients-is_sms_reachable</t>
  </si>
  <si>
    <t>tc-xlate-recipients-is_unreachable</t>
  </si>
  <si>
    <t>tc-xlate-recipients-is_communicationally_stranded</t>
  </si>
  <si>
    <t>tc-xlate-message_deliveries-name</t>
  </si>
  <si>
    <t>tc-xlate-message_deliveries-policy_channel</t>
  </si>
  <si>
    <t>tc-xlate-message_deliveries-channel_name</t>
  </si>
  <si>
    <t>tc-xlate-message_deliveries-policy_requires_consent</t>
  </si>
  <si>
    <t>tc-xlate-message_deliveries-recipient_has_sms_consent</t>
  </si>
  <si>
    <t>tc-xlate-message_deliveries-was_actually_transmitted</t>
  </si>
  <si>
    <t>tc-xlate-message_deliveries-is_consent_violation</t>
  </si>
  <si>
    <t>tc-xlate-message_deliveries-consent_violation_policy_key</t>
  </si>
  <si>
    <t>tc-xlate-message_deliveries-policy_quiet_hours_start_hour</t>
  </si>
  <si>
    <t>tc-xlate-message_deliveries-policy_quiet_hours_end_hour</t>
  </si>
  <si>
    <t>tc-xlate-message_deliveries-policy_has_quiet_hours</t>
  </si>
  <si>
    <t>tc-xlate-message_deliveries-quiet_window_wraps_midnight</t>
  </si>
  <si>
    <t>tc-xlate-message_deliveries-is_inside_quiet_window</t>
  </si>
  <si>
    <t>tc-xlate-message_deliveries-is_quiet_hours_violation</t>
  </si>
  <si>
    <t>tc-xlate-message_deliveries-quiet_hours_violation_policy_key</t>
  </si>
  <si>
    <t>tc-xlate-message_deliveries-recipient_is_unreachable</t>
  </si>
  <si>
    <t>tc-xlate-message_deliveries-is_acknowledged</t>
  </si>
  <si>
    <t>tc-xlate-message_deliveries-invoked_exception_condition</t>
  </si>
  <si>
    <t>tc-xlate-message_deliveries-has_unreachable_exception_invoked</t>
  </si>
  <si>
    <t>tc-xlate-message_deliveries-is_fabricated_acknowledgement</t>
  </si>
  <si>
    <t>tc-xlate-message_deliveries-is_unhandled_unreachable</t>
  </si>
  <si>
    <t>tc-xlate-message_deliveries-unreachable_failure_key</t>
  </si>
  <si>
    <t>tc-xlate-message_deliveries-policy_retention_days</t>
  </si>
  <si>
    <t>tc-xlate-message_deliveries-as_of_instant</t>
  </si>
  <si>
    <t>tc-xlate-message_deliveries-age_days</t>
  </si>
  <si>
    <t>tc-xlate-message_deliveries-is_within_retention_window</t>
  </si>
  <si>
    <t>tc-xlate-message_deliveries-has_rendered_body</t>
  </si>
  <si>
    <t>tc-xlate-message_deliveries-is_evidence_required</t>
  </si>
  <si>
    <t>tc-xlate-message_deliveries-is_retention_breach</t>
  </si>
  <si>
    <t>tc-xlate-message_deliveries-retention_breach_execution_key</t>
  </si>
  <si>
    <t>tc-xlate-message_deliveries-sending_step_execution_step</t>
  </si>
  <si>
    <t>tc-xlate-message_deliveries-execution_has_cleared_legal_review</t>
  </si>
  <si>
    <t>tc-xlate-message_deliveries-is_unreviewed_send</t>
  </si>
  <si>
    <t>tc-xlate-message_deliveries-rendered_body_length</t>
  </si>
  <si>
    <t>tc-xlate-message_deliveries-policy_max_message_length_at_send</t>
  </si>
  <si>
    <t>tc-xlate-message_deliveries-segment_count</t>
  </si>
  <si>
    <t>tc-xlate-message_deliveries-policy_max_segments_at_send</t>
  </si>
  <si>
    <t>tc-xlate-message_deliveries-is_over_segment_limit</t>
  </si>
  <si>
    <t>tc-xlate-message_deliveries-template_has_valid_approval</t>
  </si>
  <si>
    <t>tc-xlate-message_deliveries-is_unapproved_send</t>
  </si>
  <si>
    <t>tc-xlate-message_deliveries-policy_required_opt_out_phrase</t>
  </si>
  <si>
    <t>tc-xlate-message_deliveries-policy_requires_opt_out</t>
  </si>
  <si>
    <t>tc-xlate-message_deliveries-opt_out_phrase_position</t>
  </si>
  <si>
    <t>tc-xlate-message_deliveries-has_opt_out_phrase</t>
  </si>
  <si>
    <t>tc-xlate-message_deliveries-is_opt_out_in_first_segment</t>
  </si>
  <si>
    <t>tc-xlate-message_deliveries-is_missing_required_opt_out</t>
  </si>
  <si>
    <t>tc-xlate-message_deliveries-is_opt_out_at_risk_of_truncation</t>
  </si>
  <si>
    <t>tc-xlate-message_deliveries-is_failed_delivery</t>
  </si>
  <si>
    <t>tc-xlate-message_deliveries-is_suppressed</t>
  </si>
  <si>
    <t>tc-xlate-message_deliveries-is_triaged</t>
  </si>
  <si>
    <t>tc-xlate-message_deliveries-is_abandoned_failure</t>
  </si>
  <si>
    <t>tc-xlate-message_deliveries-abandoned_failure_execution_key</t>
  </si>
  <si>
    <t>tc-xlate-message_deliveries-reached_execution_key</t>
  </si>
  <si>
    <t>tc-xlate-message_deliveries-template_was_sendable</t>
  </si>
  <si>
    <t>tc-xlate-message_deliveries-is_drifted_send</t>
  </si>
  <si>
    <t>tc-xlate-message_deliveries-drifted_send_template_key</t>
  </si>
  <si>
    <t>tc-xlate-message_deliveries-was_sent_outside_business_hours</t>
  </si>
  <si>
    <t>tc-xlate-message_deliveries-was_delivered_and_unanswered</t>
  </si>
  <si>
    <t>tc-xlate-message_deliveries-is_poorly_timed_unanswered</t>
  </si>
  <si>
    <t>tc-xlate-message_deliveries-is_well_timed_unanswered</t>
  </si>
  <si>
    <t>tc-xlate-message_deliveries-unanswered_template_key</t>
  </si>
  <si>
    <t>tc-xlate-message_deliveries-transmitted_template_key</t>
  </si>
  <si>
    <t>tc-xlate-message_deliveries-approval_preceded_send</t>
  </si>
  <si>
    <t>tc-xlate-message_deliveries-has_frozen_approval_evidence</t>
  </si>
  <si>
    <t>tc-xlate-message_deliveries-provenance_is_live_derived</t>
  </si>
  <si>
    <t>tc-xlate-message_deliveries-current_last_approval_at</t>
  </si>
  <si>
    <t>tc-xlate-message_deliveries-template_reapproved_since_send</t>
  </si>
  <si>
    <t>tc-xlate-message_deliveries-is_unprovable_approval_claim</t>
  </si>
  <si>
    <t>tc-xlate-message_deliveries-has_sent_reminder</t>
  </si>
  <si>
    <t>tc-xlate-message_deliveries-acknowledgement_is_outstanding</t>
  </si>
  <si>
    <t>tc-xlate-message_deliveries-outstanding_age_days</t>
  </si>
  <si>
    <t>tc-xlate-message_deliveries-is_unchased_acknowledgement</t>
  </si>
  <si>
    <t>tc-xlate-message_deliveries-is_exhausted_follow_up</t>
  </si>
  <si>
    <t>tc-xlate-message_deliveries-needs_human_escalation</t>
  </si>
  <si>
    <t>tc-xlate-template_approvals-name</t>
  </si>
  <si>
    <t>tc-xlate-template_approvals-is_approval_decision</t>
  </si>
  <si>
    <t>tc-xlate-template_approvals-template_policy</t>
  </si>
  <si>
    <t>tc-xlate-template_approvals-required_approval_role</t>
  </si>
  <si>
    <t>tc-xlate-template_approvals-is_decided_by_required_role</t>
  </si>
  <si>
    <t>tc-xlate-template_approvals-valid_approval_template_key</t>
  </si>
  <si>
    <t>tc-xlate-send_intents-name</t>
  </si>
  <si>
    <t>tc-xlate-send_intents-intent_policy</t>
  </si>
  <si>
    <t>tc-xlate-send_intents-intent_channel</t>
  </si>
  <si>
    <t>tc-xlate-send_intents-policy_is_active</t>
  </si>
  <si>
    <t>tc-xlate-send_intents-intent_requires_consent</t>
  </si>
  <si>
    <t>tc-xlate-send_intents-recipient_has_channel_consent</t>
  </si>
  <si>
    <t>tc-xlate-send_intents-consent_gate_passed</t>
  </si>
  <si>
    <t>tc-xlate-send_intents-recipient_is_sms_reachable</t>
  </si>
  <si>
    <t>tc-xlate-send_intents-recipient_is_email_reachable</t>
  </si>
  <si>
    <t>tc-xlate-send_intents-reachability_gate_passed</t>
  </si>
  <si>
    <t>tc-xlate-send_intents-permission_gate_passed</t>
  </si>
  <si>
    <t>tc-xlate-send_intents-intent_quiet_start_hour</t>
  </si>
  <si>
    <t>tc-xlate-send_intents-intent_quiet_end_hour</t>
  </si>
  <si>
    <t>tc-xlate-send_intents-intent_policy_has_quiet_hours</t>
  </si>
  <si>
    <t>tc-xlate-send_intents-intent_quiet_window_wraps</t>
  </si>
  <si>
    <t>tc-xlate-send_intents-intent_is_inside_quiet_window</t>
  </si>
  <si>
    <t>tc-xlate-send_intents-timing_gate_passed</t>
  </si>
  <si>
    <t>tc-xlate-send_intents-hours_until_window_opens</t>
  </si>
  <si>
    <t>tc-xlate-send_intents-intent_max_message_length</t>
  </si>
  <si>
    <t>tc-xlate-send_intents-intent_max_segments</t>
  </si>
  <si>
    <t>tc-xlate-send_intents-length_gate_passed</t>
  </si>
  <si>
    <t>tc-xlate-send_intents-intent_required_opt_out_phrase</t>
  </si>
  <si>
    <t>tc-xlate-send_intents-opt_out_gate_passed</t>
  </si>
  <si>
    <t>tc-xlate-send_intents-content_gate_passed</t>
  </si>
  <si>
    <t>tc-xlate-send_intents-template_is_sendable</t>
  </si>
  <si>
    <t>tc-xlate-send_intents-execution_has_legal_clearance</t>
  </si>
  <si>
    <t>tc-xlate-send_intents-intent_approval_role</t>
  </si>
  <si>
    <t>tc-xlate-send_intents-approval_role_agent_kind</t>
  </si>
  <si>
    <t>tc-xlate-send_intents-approval_is_human</t>
  </si>
  <si>
    <t>tc-xlate-send_intents-authorization_gate_passed</t>
  </si>
  <si>
    <t>tc-xlate-send_intents-is_cleared_to_send</t>
  </si>
  <si>
    <t>tc-xlate-send_intents-blocking_gate_name</t>
  </si>
  <si>
    <t>tc-xlate-send_intents-has_resulting_delivery</t>
  </si>
  <si>
    <t>tc-xlate-send_intents-resulting_delivery_was_transmitted</t>
  </si>
  <si>
    <t>tc-xlate-send_intents-is_overridden_refusal</t>
  </si>
  <si>
    <t>tc-xlate-send_intents-is_silently_dropped</t>
  </si>
  <si>
    <t>tc-xlate-send_intents-resulting_delivery_exception</t>
  </si>
  <si>
    <t>tc-xlate-send_intents-refusal_cited_an_exception</t>
  </si>
  <si>
    <t>tc-xlate-send_intents-is_properly_handled_refusal</t>
  </si>
  <si>
    <t>tc-xlate-send_intents-refusal_failure_execution_key</t>
  </si>
  <si>
    <t>tc-xlate-send_intents-intent_execution_key</t>
  </si>
  <si>
    <t>tc-xlate-send_intents-delivered_intent_execution_key</t>
  </si>
  <si>
    <t>tc-xlate-send_intents-dropped_intent_execution_key</t>
  </si>
  <si>
    <t>tc-xlate-send_intents-my_approval_was_in_force</t>
  </si>
  <si>
    <t>tc-xlate-send_intents-refused_on_approved_content</t>
  </si>
  <si>
    <t>tc-xlate-send_intents-refused_on_opt_out_only</t>
  </si>
  <si>
    <t>tc-xlate-send_intents-refusal_was_on_my_rules</t>
  </si>
  <si>
    <t>tc-xlate-send_intents-refusal_was_outside_my_control</t>
  </si>
  <si>
    <t>tc-xlate-send_intents-is_unreported_refusal_on_my_rules</t>
  </si>
  <si>
    <t>tc-xlate-send_intents-is_approval_overridden_silently</t>
  </si>
  <si>
    <t>tc-xlate-send_intents-has_alternate_channel_attempt</t>
  </si>
  <si>
    <t>tc-xlate-send_intents-alternate_attempt_was_cleared</t>
  </si>
  <si>
    <t>tc-xlate-send_intents-is_refused_with_no_alternative</t>
  </si>
  <si>
    <t>tc-xlate-send_intents-exception_prescribed_an_alternative</t>
  </si>
  <si>
    <t>tc-xlate-send_intents-prescribed_handling_was_performed</t>
  </si>
  <si>
    <t>tc-xlate-send_intents-is_suppression_without_remedy</t>
  </si>
  <si>
    <t>tc-xlate-send_intents-has_durable_refusal_record</t>
  </si>
  <si>
    <t>tc-xlate-send_intents-refusal_was_escalated</t>
  </si>
  <si>
    <t>tc-xlate-send_intents-is_unrecorded_refusal</t>
  </si>
  <si>
    <t>tc-xlate-send_intents-is_unescalated_refusal</t>
  </si>
  <si>
    <t>tc-xlate-send_intents-unescalated_refusal_role_key</t>
  </si>
  <si>
    <t>tc-xlate-send_intents-unrecorded_refusal_execution_key</t>
  </si>
  <si>
    <t>tc-xlate-send_intents-was_deferred_on_timing</t>
  </si>
  <si>
    <t>tc-xlate-send_intents-as_of_instant</t>
  </si>
  <si>
    <t>tc-xlate-send_intents-window_has_since_reopened</t>
  </si>
  <si>
    <t>tc-xlate-send_intents-has_retry_attempt</t>
  </si>
  <si>
    <t>tc-xlate-send_intents-retry_was_cleared</t>
  </si>
  <si>
    <t>tc-xlate-send_intents-is_abandoned_deferral</t>
  </si>
  <si>
    <t>tc-xlate-send_intents-deferral_age_hours</t>
  </si>
  <si>
    <t>tc-xlate-send_intents-is_stale_deferral</t>
  </si>
  <si>
    <t>tc-xlate-send_intents-enforced_by_unauthorized_agent</t>
  </si>
  <si>
    <t>tc-xlate-send_intents-consent_input_was_resolvable</t>
  </si>
  <si>
    <t>tc-xlate-send_intents-recipient_consent_status_raw</t>
  </si>
  <si>
    <t>tc-xlate-send_intents-policy_input_was_resolvable</t>
  </si>
  <si>
    <t>tc-xlate-send_intents-all_gate_inputs_resolved</t>
  </si>
  <si>
    <t>tc-xlate-send_intents-is_unevaluable_refusal</t>
  </si>
  <si>
    <t>tc-xlate-send_intents-is_self_witnessed_decision</t>
  </si>
  <si>
    <t>tc-xlate-send_intents-is_independently_confirmed</t>
  </si>
  <si>
    <t>tc-xlate-send_intents-independently_confirmed_execution_key</t>
  </si>
  <si>
    <t>tc-xlate-agent_decision_records-name</t>
  </si>
  <si>
    <t>tc-xlate-agent_decision_records-was_overridden</t>
  </si>
  <si>
    <t>tc-xlate-agent_decision_records-was_reviewed</t>
  </si>
  <si>
    <t>tc-xlate-agent_decision_records-deciding_agent_kind</t>
  </si>
  <si>
    <t>tc-xlate-agent_decision_records-deciding_agent_when_overridden</t>
  </si>
  <si>
    <t>tc-xlate-agent_decision_records-role_assignment_when_scored</t>
  </si>
  <si>
    <t>tc-xlate-agent_decision_records-role_assignment_when_overridden</t>
  </si>
  <si>
    <t>tc-xlate-agent_decision_records-step_of_decision</t>
  </si>
  <si>
    <t>tc-xlate-agent_decision_records-boundary_match_key</t>
  </si>
  <si>
    <t>tc-xlate-agent_decision_records-matching_boundary_count</t>
  </si>
  <si>
    <t>tc-xlate-agent_decision_records-violated_authority_boundary</t>
  </si>
  <si>
    <t>tc-xlate-agent_decision_records-reviewer_agent_kind</t>
  </si>
  <si>
    <t>tc-xlate-agent_decision_records-has_human_confirmation</t>
  </si>
  <si>
    <t>tc-xlate-agent_decision_records-needs_human_confirmation</t>
  </si>
  <si>
    <t>tc-xlate-agent_decision_records-is_unconfirmed_non_human_decision</t>
  </si>
  <si>
    <t>tc-xlate-agent_decision_records-step_execution_when_unconfirmed</t>
  </si>
  <si>
    <t>tc-xlate-agent_decision_records-agent_when_boundary_violated</t>
  </si>
  <si>
    <t>tc-xlate-agent_decision_records-review_latency_minutes</t>
  </si>
  <si>
    <t>tc-xlate-agent_decision_records-is_draft_kind</t>
  </si>
  <si>
    <t>tc-xlate-agent_decision_records-agent_when_draft_overridden</t>
  </si>
  <si>
    <t>tc-xlate-agent_decision_records-agent_when_draft</t>
  </si>
  <si>
    <t>tc-xlate-agent_decision_records-is_error_correction</t>
  </si>
  <si>
    <t>tc-xlate-agent_decision_records-is_reserved_judgment_override</t>
  </si>
  <si>
    <t>tc-xlate-agent_decision_records-override_reason_is_recorded</t>
  </si>
  <si>
    <t>tc-xlate-agent_decision_records-is_unexplained_override</t>
  </si>
  <si>
    <t>tc-xlate-agent_decision_records-error_correction_role_assignment_key</t>
  </si>
  <si>
    <t>tc-xlate-agent_decision_records-boundary_violation_role_assignment_key</t>
  </si>
  <si>
    <t>tc-xlate-delivered_communications-name</t>
  </si>
  <si>
    <t>tc-xlate-delivered_communications-has_authorization</t>
  </si>
  <si>
    <t>tc-xlate-delivered_communications-content_matches_approval</t>
  </si>
  <si>
    <t>tc-xlate-delivered_communications-authorized_at</t>
  </si>
  <si>
    <t>tc-xlate-delivered_communications-was_approved_before_sending</t>
  </si>
  <si>
    <t>tc-xlate-delivered_communications-is_defensible</t>
  </si>
  <si>
    <t>tc-xlate-authority_boundaries-name</t>
  </si>
  <si>
    <t>tc-xlate-authority_boundaries-as_of_instant</t>
  </si>
  <si>
    <t>tc-xlate-authority_boundaries-is_currently_binding</t>
  </si>
  <si>
    <t>tc-xlate-authority_boundaries-ratifying_fragment_is_valid</t>
  </si>
  <si>
    <t>tc-xlate-authority_boundaries-step_when_binding</t>
  </si>
  <si>
    <t>tc-xlate-authority_boundaries-boundary_match_key</t>
  </si>
  <si>
    <t>tc-xlate-authority_boundaries-violation_count</t>
  </si>
  <si>
    <t>tc-xlate-authority_boundaries-is_untested</t>
  </si>
  <si>
    <t>tc-xlate-authority_boundaries-has_ratifying_fragment</t>
  </si>
  <si>
    <t>tc-xlate-authority_boundaries-is_unwarranted</t>
  </si>
  <si>
    <t>tc-xlate-authority_boundaries-ratifying_fragment_is_overdue</t>
  </si>
  <si>
    <t>tc-xlate-authority_boundaries-ratifying_fragment_is_single_witness</t>
  </si>
  <si>
    <t>tc-xlate-authority_boundaries-warrant_is_thin</t>
  </si>
  <si>
    <t>tc-xlate-authority_boundaries-is_unwarranted_and_untested</t>
  </si>
  <si>
    <t>tc-xlate-authority_boundaries-unwarranted_boundary_step_key</t>
  </si>
  <si>
    <t>tc-xlate-authority_boundaries-ratifying_fragment_key</t>
  </si>
  <si>
    <t>tc-xlate-authority_boundaries-ratifying_fragment_status</t>
  </si>
  <si>
    <t>tc-xlate-authority_boundaries-ratification_lapsed</t>
  </si>
  <si>
    <t>tc-xlate-authority_boundaries-binds_despite_lapsed_ratification</t>
  </si>
  <si>
    <t>tc-xlate-authority_boundaries-is_ungrounded_and_untested</t>
  </si>
  <si>
    <t>tc-xlate-authority_boundaries-constrained_role_assignment_key</t>
  </si>
  <si>
    <t>tc-xlate-binding_observations-name</t>
  </si>
  <si>
    <t>tc-xlate-binding_observations-sla_minutes_at_run</t>
  </si>
  <si>
    <t>tc-xlate-binding_observations-age_at_run_minutes</t>
  </si>
  <si>
    <t>tc-xlate-binding_observations-was_stale_at_run</t>
  </si>
  <si>
    <t>tc-xlate-binding_observations-is_authoritative_binding</t>
  </si>
  <si>
    <t>tc-xlate-binding_observations-stale_at_run_step_key</t>
  </si>
  <si>
    <t>tc-xlate-attestations-name</t>
  </si>
  <si>
    <t>tc-xlate-attestations-version_is_fit_now</t>
  </si>
  <si>
    <t>tc-xlate-attestations-fitness_verdict_has_drifted</t>
  </si>
  <si>
    <t>tc-xlate-attestations-assurance_grade_now</t>
  </si>
  <si>
    <t>tc-xlate-attestations-assurance_grade_has_drifted</t>
  </si>
  <si>
    <t>tc-xlate-attestations-would_not_survive_restatement</t>
  </si>
  <si>
    <t>tc-view-rulebook_releases</t>
  </si>
  <si>
    <t>view-loads</t>
  </si>
  <si>
    <t>vw_rulebook_releases</t>
  </si>
  <si>
    <t>The view exists and answers a SELECT without error.</t>
  </si>
  <si>
    <t>1 rows, all columns readable</t>
  </si>
  <si>
    <t>tc-view-ontology_profiles</t>
  </si>
  <si>
    <t>vw_ontology_profiles</t>
  </si>
  <si>
    <t>11 rows, all columns readable</t>
  </si>
  <si>
    <t>tc-view-evaluation_contexts</t>
  </si>
  <si>
    <t>vw_evaluation_contexts</t>
  </si>
  <si>
    <t>tc-view-organizations</t>
  </si>
  <si>
    <t>vw_organizations</t>
  </si>
  <si>
    <t>4 rows, all columns readable</t>
  </si>
  <si>
    <t>tc-view-agents</t>
  </si>
  <si>
    <t>vw_agents</t>
  </si>
  <si>
    <t>10 rows, all columns readable</t>
  </si>
  <si>
    <t>tc-view-roles</t>
  </si>
  <si>
    <t>vw_roles</t>
  </si>
  <si>
    <t>12 rows, all columns readable</t>
  </si>
  <si>
    <t>tc-view-role_assignments</t>
  </si>
  <si>
    <t>vw_role_assignments</t>
  </si>
  <si>
    <t>13 rows, all columns readable</t>
  </si>
  <si>
    <t>tc-view-communities_of_practice</t>
  </si>
  <si>
    <t>vw_communities_of_practice</t>
  </si>
  <si>
    <t>2 rows, all columns readable</t>
  </si>
  <si>
    <t>tc-view-mentorships</t>
  </si>
  <si>
    <t>vw_mentorships</t>
  </si>
  <si>
    <t>tc-view-procedure_types</t>
  </si>
  <si>
    <t>vw_procedure_types</t>
  </si>
  <si>
    <t>tc-view-procedures</t>
  </si>
  <si>
    <t>vw_procedures</t>
  </si>
  <si>
    <t>tc-view-procedure_versions</t>
  </si>
  <si>
    <t>vw_procedure_versions</t>
  </si>
  <si>
    <t>3 rows, all columns readable</t>
  </si>
  <si>
    <t>tc-view-procedure_version_links</t>
  </si>
  <si>
    <t>vw_procedure_version_links</t>
  </si>
  <si>
    <t>tc-view-procedure_status_changes</t>
  </si>
  <si>
    <t>vw_procedure_status_changes</t>
  </si>
  <si>
    <t>5 rows, all columns readable</t>
  </si>
  <si>
    <t>tc-view-steps</t>
  </si>
  <si>
    <t>vw_steps</t>
  </si>
  <si>
    <t>17 rows, all columns readable</t>
  </si>
  <si>
    <t>tc-view-step_transitions</t>
  </si>
  <si>
    <t>vw_step_transitions</t>
  </si>
  <si>
    <t>19 rows, all columns readable</t>
  </si>
  <si>
    <t>tc-view-actions</t>
  </si>
  <si>
    <t>vw_actions</t>
  </si>
  <si>
    <t>9 rows, all columns readable</t>
  </si>
  <si>
    <t>tc-view-functions</t>
  </si>
  <si>
    <t>vw_functions</t>
  </si>
  <si>
    <t>8 rows, all columns readable</t>
  </si>
  <si>
    <t>tc-view-tools</t>
  </si>
  <si>
    <t>vw_tools</t>
  </si>
  <si>
    <t>tc-view-step_actions</t>
  </si>
  <si>
    <t>vw_step_actions</t>
  </si>
  <si>
    <t>tc-view-step_functions</t>
  </si>
  <si>
    <t>vw_step_functions</t>
  </si>
  <si>
    <t>tc-view-step_tools</t>
  </si>
  <si>
    <t>vw_step_tools</t>
  </si>
  <si>
    <t>tc-view-requirements</t>
  </si>
  <si>
    <t>vw_requirements</t>
  </si>
  <si>
    <t>tc-view-step_requirements</t>
  </si>
  <si>
    <t>vw_step_requirements</t>
  </si>
  <si>
    <t>15 rows, all columns readable</t>
  </si>
  <si>
    <t>tc-view-step_verifications</t>
  </si>
  <si>
    <t>vw_step_verifications</t>
  </si>
  <si>
    <t>tc-view-rationales</t>
  </si>
  <si>
    <t>vw_rationales</t>
  </si>
  <si>
    <t>tc-view-exceptions</t>
  </si>
  <si>
    <t>vw_exceptions</t>
  </si>
  <si>
    <t>tc-view-resources</t>
  </si>
  <si>
    <t>vw_resources</t>
  </si>
  <si>
    <t>tc-view-procedure_resources</t>
  </si>
  <si>
    <t>vw_procedure_resources</t>
  </si>
  <si>
    <t>tc-view-elicitation_sessions</t>
  </si>
  <si>
    <t>vw_elicitation_sessions</t>
  </si>
  <si>
    <t>tc-view-knowledge_fragments</t>
  </si>
  <si>
    <t>vw_knowledge_fragments</t>
  </si>
  <si>
    <t>7 rows, all columns readable</t>
  </si>
  <si>
    <t>tc-view-knowledge_gaps</t>
  </si>
  <si>
    <t>vw_knowledge_gaps</t>
  </si>
  <si>
    <t>tc-view-f_a_qs</t>
  </si>
  <si>
    <t>vw_f_a_qs</t>
  </si>
  <si>
    <t>tc-view-explanations</t>
  </si>
  <si>
    <t>vw_explanations</t>
  </si>
  <si>
    <t>tc-view-procedure_executions</t>
  </si>
  <si>
    <t>vw_procedure_executions</t>
  </si>
  <si>
    <t>tc-view-step_executions</t>
  </si>
  <si>
    <t>vw_step_executions</t>
  </si>
  <si>
    <t>tc-view-requirement_satisfactions</t>
  </si>
  <si>
    <t>vw_requirement_satisfactions</t>
  </si>
  <si>
    <t>tc-view-errors</t>
  </si>
  <si>
    <t>vw_errors</t>
  </si>
  <si>
    <t>tc-view-issue_occurrences</t>
  </si>
  <si>
    <t>vw_issue_occurrences</t>
  </si>
  <si>
    <t>tc-view-user_questions</t>
  </si>
  <si>
    <t>vw_user_questions</t>
  </si>
  <si>
    <t>tc-view-user_feedback</t>
  </si>
  <si>
    <t>vw_user_feedback</t>
  </si>
  <si>
    <t>tc-view-stewardship_assignments</t>
  </si>
  <si>
    <t>vw_stewardship_assignments</t>
  </si>
  <si>
    <t>tc-view-change_requests</t>
  </si>
  <si>
    <t>vw_change_requests</t>
  </si>
  <si>
    <t>tc-view-review_events</t>
  </si>
  <si>
    <t>vw_review_events</t>
  </si>
  <si>
    <t>tc-view-learning_activities</t>
  </si>
  <si>
    <t>vw_learning_activities</t>
  </si>
  <si>
    <t>tc-view-operational_bindings</t>
  </si>
  <si>
    <t>vw_operational_bindings</t>
  </si>
  <si>
    <t>tc-view-communication_policies</t>
  </si>
  <si>
    <t>vw_communication_policies</t>
  </si>
  <si>
    <t>tc-view-message_templates</t>
  </si>
  <si>
    <t>vw_message_templates</t>
  </si>
  <si>
    <t>tc-view-semantic_mappings</t>
  </si>
  <si>
    <t>vw_semantic_mappings</t>
  </si>
  <si>
    <t>32 rows, all columns readable</t>
  </si>
  <si>
    <t>tc-view-witness_loops</t>
  </si>
  <si>
    <t>vw_witness_loops</t>
  </si>
  <si>
    <t>tc-view-role_questions</t>
  </si>
  <si>
    <t>vw_role_questions</t>
  </si>
  <si>
    <t>105 rows, all columns readable</t>
  </si>
  <si>
    <t>tc-view-rulebook_fields</t>
  </si>
  <si>
    <t>vw_rulebook_fields</t>
  </si>
  <si>
    <t>1521 rows, all columns readable</t>
  </si>
  <si>
    <t>tc-view-test_suites</t>
  </si>
  <si>
    <t>vw_test_suites</t>
  </si>
  <si>
    <t>6 rows, all columns readable</t>
  </si>
  <si>
    <t>tc-view-test_cases</t>
  </si>
  <si>
    <t>vw_test_cases</t>
  </si>
  <si>
    <t>1794 rows, all columns readable</t>
  </si>
  <si>
    <t>tc-view-e_r_b_versions</t>
  </si>
  <si>
    <t>vw_e_r_b_versions</t>
  </si>
  <si>
    <t>SKIP</t>
  </si>
  <si>
    <t>bookkeeping table, intentionally not a view</t>
  </si>
  <si>
    <t>tc-view-e_r_b_customizations</t>
  </si>
  <si>
    <t>vw_e_r_b_customizations</t>
  </si>
  <si>
    <t>tc-view-exception_invocations</t>
  </si>
  <si>
    <t>vw_exception_invocations</t>
  </si>
  <si>
    <t>tc-view-verification_outcomes</t>
  </si>
  <si>
    <t>vw_verification_outcomes</t>
  </si>
  <si>
    <t>tc-view-observed_transitions</t>
  </si>
  <si>
    <t>vw_observed_transitions</t>
  </si>
  <si>
    <t>tc-view-recipients</t>
  </si>
  <si>
    <t>vw_recipients</t>
  </si>
  <si>
    <t>tc-view-message_deliveries</t>
  </si>
  <si>
    <t>vw_message_deliveries</t>
  </si>
  <si>
    <t>tc-view-template_approvals</t>
  </si>
  <si>
    <t>vw_template_approvals</t>
  </si>
  <si>
    <t>tc-view-send_intents</t>
  </si>
  <si>
    <t>vw_send_intents</t>
  </si>
  <si>
    <t>tc-view-agent_decision_records</t>
  </si>
  <si>
    <t>vw_agent_decision_records</t>
  </si>
  <si>
    <t>tc-view-delivered_communications</t>
  </si>
  <si>
    <t>vw_delivered_communications</t>
  </si>
  <si>
    <t>tc-view-authority_boundaries</t>
  </si>
  <si>
    <t>vw_authority_boundaries</t>
  </si>
  <si>
    <t>tc-view-binding_observations</t>
  </si>
  <si>
    <t>vw_binding_observations</t>
  </si>
  <si>
    <t>0 rows, all columns readable</t>
  </si>
  <si>
    <t>tc-view-attestations</t>
  </si>
  <si>
    <t>vw_attestations</t>
  </si>
  <si>
    <t>tc-fk-agents-organization</t>
  </si>
  <si>
    <t>fk-resolves</t>
  </si>
  <si>
    <t>Agents.Organization -&gt; Organizations</t>
  </si>
  <si>
    <t>Every non-null value resolves to an existing Organizations row.</t>
  </si>
  <si>
    <t>all values resolve</t>
  </si>
  <si>
    <t>tc-fk-roles-organization</t>
  </si>
  <si>
    <t>Roles.Organization -&gt; Organizations</t>
  </si>
  <si>
    <t>tc-fk-roles-current_agent</t>
  </si>
  <si>
    <t>Roles.CurrentAgent -&gt; Agents</t>
  </si>
  <si>
    <t>Every non-null value resolves to an existing Agents row.</t>
  </si>
  <si>
    <t>tc-fk-role_assignments-role</t>
  </si>
  <si>
    <t>RoleAssignments.Role -&gt; Roles</t>
  </si>
  <si>
    <t>Every non-null value resolves to an existing Roles row.</t>
  </si>
  <si>
    <t>tc-fk-role_assignments-agent</t>
  </si>
  <si>
    <t>RoleAssignments.Agent -&gt; Agents</t>
  </si>
  <si>
    <t>tc-fk-role_assignments-evaluation_context</t>
  </si>
  <si>
    <t>RoleAssignments.EvaluationContext -&gt; EvaluationContexts</t>
  </si>
  <si>
    <t>Every non-null value resolves to an existing EvaluationContexts row.</t>
  </si>
  <si>
    <t>tc-fk-role_assignments-supersedes_assignment</t>
  </si>
  <si>
    <t>RoleAssignments.SupersedesAssignment -&gt; RoleAssignments</t>
  </si>
  <si>
    <t>Every non-null value resolves to an existing RoleAssignments row.</t>
  </si>
  <si>
    <t>tc-fk-role_assignments-approving_authority_role</t>
  </si>
  <si>
    <t>RoleAssignments.ApprovingAuthorityRole -&gt; Roles</t>
  </si>
  <si>
    <t>tc-fk-role_assignments-authorizing_change_request</t>
  </si>
  <si>
    <t>RoleAssignments.AuthorizingChangeRequest -&gt; ChangeRequests</t>
  </si>
  <si>
    <t>Every non-null value resolves to an existing ChangeRequests row.</t>
  </si>
  <si>
    <t>tc-fk-communities_of_practice-organization</t>
  </si>
  <si>
    <t>CommunitiesOfPractice.Organization -&gt; Organizations</t>
  </si>
  <si>
    <t>tc-fk-communities_of_practice-steward_role</t>
  </si>
  <si>
    <t>CommunitiesOfPractice.StewardRole -&gt; Roles</t>
  </si>
  <si>
    <t>tc-fk-mentorships-community_of_practice</t>
  </si>
  <si>
    <t>Mentorships.CommunityOfPractice -&gt; CommunitiesOfPractice</t>
  </si>
  <si>
    <t>Every non-null value resolves to an existing CommunitiesOfPractice row.</t>
  </si>
  <si>
    <t>tc-fk-mentorships-mentor_agent</t>
  </si>
  <si>
    <t>Mentorships.MentorAgent -&gt; Agents</t>
  </si>
  <si>
    <t>tc-fk-mentorships-learner_agent</t>
  </si>
  <si>
    <t>Mentorships.LearnerAgent -&gt; Agents</t>
  </si>
  <si>
    <t>tc-fk-procedures-procedure_type</t>
  </si>
  <si>
    <t>Procedures.ProcedureType -&gt; ProcedureTypes</t>
  </si>
  <si>
    <t>Every non-null value resolves to an existing ProcedureTypes row.</t>
  </si>
  <si>
    <t>tc-fk-procedures-owner_organization</t>
  </si>
  <si>
    <t>Procedures.OwnerOrganization -&gt; Organizations</t>
  </si>
  <si>
    <t>tc-fk-procedures-adopted_by_organization</t>
  </si>
  <si>
    <t>Procedures.AdoptedByOrganization -&gt; Organizations</t>
  </si>
  <si>
    <t>tc-fk-procedure_versions-procedure</t>
  </si>
  <si>
    <t>ProcedureVersions.Procedure -&gt; Procedures</t>
  </si>
  <si>
    <t>Every non-null value resolves to an existing Procedures row.</t>
  </si>
  <si>
    <t>tc-fk-procedure_versions-created_by_agent</t>
  </si>
  <si>
    <t>ProcedureVersions.CreatedByAgent -&gt; Agents</t>
  </si>
  <si>
    <t>tc-fk-procedure_versions-modified_by_agent</t>
  </si>
  <si>
    <t>ProcedureVersions.ModifiedByAgent -&gt; Agents</t>
  </si>
  <si>
    <t>tc-fk-procedure_versions-evaluation_context</t>
  </si>
  <si>
    <t>ProcedureVersions.EvaluationContext -&gt; EvaluationContexts</t>
  </si>
  <si>
    <t>tc-fk-procedure_version_links-previous_procedure_version</t>
  </si>
  <si>
    <t>ProcedureVersionLinks.PreviousProcedureVersion -&gt; ProcedureVersions</t>
  </si>
  <si>
    <t>Every non-null value resolves to an existing ProcedureVersions row.</t>
  </si>
  <si>
    <t>tc-fk-procedure_version_links-next_procedure_version</t>
  </si>
  <si>
    <t>ProcedureVersionLinks.NextProcedureVersion -&gt; ProcedureVersions</t>
  </si>
  <si>
    <t>tc-fk-procedure_status_changes-procedure_version</t>
  </si>
  <si>
    <t>ProcedureStatusChanges.ProcedureVersion -&gt; ProcedureVersions</t>
  </si>
  <si>
    <t>tc-fk-procedure_status_changes-changed_by_agent</t>
  </si>
  <si>
    <t>ProcedureStatusChanges.ChangedByAgent -&gt; Agents</t>
  </si>
  <si>
    <t>tc-fk-steps-procedure_version</t>
  </si>
  <si>
    <t>Steps.ProcedureVersion -&gt; ProcedureVersions</t>
  </si>
  <si>
    <t>tc-fk-steps-assigned_role</t>
  </si>
  <si>
    <t>Steps.AssignedRole -&gt; Roles</t>
  </si>
  <si>
    <t>tc-fk-step_transitions-procedure_version</t>
  </si>
  <si>
    <t>StepTransitions.ProcedureVersion -&gt; ProcedureVersions</t>
  </si>
  <si>
    <t>tc-fk-step_transitions-from_step</t>
  </si>
  <si>
    <t>StepTransitions.FromStep -&gt; Steps</t>
  </si>
  <si>
    <t>Every non-null value resolves to an existing Steps row.</t>
  </si>
  <si>
    <t>tc-fk-step_transitions-to_step</t>
  </si>
  <si>
    <t>StepTransitions.ToStep -&gt; Steps</t>
  </si>
  <si>
    <t>tc-fk-step_actions-step</t>
  </si>
  <si>
    <t>StepActions.Step -&gt; Steps</t>
  </si>
  <si>
    <t>tc-fk-step_actions-action</t>
  </si>
  <si>
    <t>StepActions.Action -&gt; Actions</t>
  </si>
  <si>
    <t>Every non-null value resolves to an existing Actions row.</t>
  </si>
  <si>
    <t>tc-fk-step_functions-step</t>
  </si>
  <si>
    <t>StepFunctions.Step -&gt; Steps</t>
  </si>
  <si>
    <t>tc-fk-step_functions-function</t>
  </si>
  <si>
    <t>StepFunctions.Function -&gt; Functions</t>
  </si>
  <si>
    <t>Every non-null value resolves to an existing Functions row.</t>
  </si>
  <si>
    <t>tc-fk-step_tools-step</t>
  </si>
  <si>
    <t>StepTools.Step -&gt; Steps</t>
  </si>
  <si>
    <t>tc-fk-step_tools-tool</t>
  </si>
  <si>
    <t>StepTools.Tool -&gt; Tools</t>
  </si>
  <si>
    <t>Every non-null value resolves to an existing Tools row.</t>
  </si>
  <si>
    <t>tc-fk-requirements-accountable_role</t>
  </si>
  <si>
    <t>Requirements.AccountableRole -&gt; Roles</t>
  </si>
  <si>
    <t>tc-fk-step_requirements-step</t>
  </si>
  <si>
    <t>StepRequirements.Step -&gt; Steps</t>
  </si>
  <si>
    <t>tc-fk-step_requirements-requirement</t>
  </si>
  <si>
    <t>StepRequirements.Requirement -&gt; Requirements</t>
  </si>
  <si>
    <t>Every non-null value resolves to an existing Requirements row.</t>
  </si>
  <si>
    <t>tc-fk-step_verifications-step</t>
  </si>
  <si>
    <t>StepVerifications.Step -&gt; Steps</t>
  </si>
  <si>
    <t>tc-fk-rationales-procedure_version</t>
  </si>
  <si>
    <t>Rationales.ProcedureVersion -&gt; ProcedureVersions</t>
  </si>
  <si>
    <t>tc-fk-rationales-step</t>
  </si>
  <si>
    <t>Rationales.Step -&gt; Steps</t>
  </si>
  <si>
    <t>tc-fk-rationales-authority_role</t>
  </si>
  <si>
    <t>Rationales.AuthorityRole -&gt; Roles</t>
  </si>
  <si>
    <t>tc-fk-exceptions-procedure_version</t>
  </si>
  <si>
    <t>Exceptions.ProcedureVersion -&gt; ProcedureVersions</t>
  </si>
  <si>
    <t>tc-fk-exceptions-trigger_step</t>
  </si>
  <si>
    <t>Exceptions.TriggerStep -&gt; Steps</t>
  </si>
  <si>
    <t>tc-fk-exceptions-approval_role</t>
  </si>
  <si>
    <t>Exceptions.ApprovalRole -&gt; Roles</t>
  </si>
  <si>
    <t>tc-fk-exceptions-fallback_role</t>
  </si>
  <si>
    <t>Exceptions.FallbackRole -&gt; Roles</t>
  </si>
  <si>
    <t>tc-fk-procedure_resources-procedure_version</t>
  </si>
  <si>
    <t>ProcedureResources.ProcedureVersion -&gt; ProcedureVersions</t>
  </si>
  <si>
    <t>tc-fk-procedure_resources-resource</t>
  </si>
  <si>
    <t>ProcedureResources.Resource -&gt; Resources</t>
  </si>
  <si>
    <t>Every non-null value resolves to an existing Resources row.</t>
  </si>
  <si>
    <t>tc-fk-elicitation_sessions-procedure_version</t>
  </si>
  <si>
    <t>ElicitationSessions.ProcedureVersion -&gt; ProcedureVersions</t>
  </si>
  <si>
    <t>tc-fk-elicitation_sessions-practitioner_agent</t>
  </si>
  <si>
    <t>ElicitationSessions.PractitionerAgent -&gt; Agents</t>
  </si>
  <si>
    <t>tc-fk-elicitation_sessions-facilitator_agent</t>
  </si>
  <si>
    <t>ElicitationSessions.FacilitatorAgent -&gt; Agents</t>
  </si>
  <si>
    <t>tc-fk-elicitation_sessions-evaluation_context</t>
  </si>
  <si>
    <t>ElicitationSessions.EvaluationContext -&gt; EvaluationContexts</t>
  </si>
  <si>
    <t>tc-fk-knowledge_fragments-procedure_version</t>
  </si>
  <si>
    <t>KnowledgeFragments.ProcedureVersion -&gt; ProcedureVersions</t>
  </si>
  <si>
    <t>tc-fk-knowledge_fragments-step</t>
  </si>
  <si>
    <t>KnowledgeFragments.Step -&gt; Steps</t>
  </si>
  <si>
    <t>tc-fk-knowledge_fragments-elicitation_session</t>
  </si>
  <si>
    <t>KnowledgeFragments.ElicitationSession -&gt; ElicitationSessions</t>
  </si>
  <si>
    <t>Every non-null value resolves to an existing ElicitationSessions row.</t>
  </si>
  <si>
    <t>tc-fk-knowledge_fragments-source_agent</t>
  </si>
  <si>
    <t>KnowledgeFragments.SourceAgent -&gt; Agents</t>
  </si>
  <si>
    <t>tc-fk-knowledge_fragments-owner_role</t>
  </si>
  <si>
    <t>KnowledgeFragments.OwnerRole -&gt; Roles</t>
  </si>
  <si>
    <t>tc-fk-knowledge_fragments-evaluation_context</t>
  </si>
  <si>
    <t>KnowledgeFragments.EvaluationContext -&gt; EvaluationContexts</t>
  </si>
  <si>
    <t>tc-fk-knowledge_gaps-procedure_version</t>
  </si>
  <si>
    <t>KnowledgeGaps.ProcedureVersion -&gt; ProcedureVersions</t>
  </si>
  <si>
    <t>tc-fk-knowledge_gaps-step</t>
  </si>
  <si>
    <t>KnowledgeGaps.Step -&gt; Steps</t>
  </si>
  <si>
    <t>tc-fk-knowledge_gaps-owner_role</t>
  </si>
  <si>
    <t>KnowledgeGaps.OwnerRole -&gt; Roles</t>
  </si>
  <si>
    <t>tc-fk-knowledge_gaps-evaluation_context</t>
  </si>
  <si>
    <t>KnowledgeGaps.EvaluationContext -&gt; EvaluationContexts</t>
  </si>
  <si>
    <t>tc-fk-f_a_qs-procedure_version</t>
  </si>
  <si>
    <t>FAQs.ProcedureVersion -&gt; ProcedureVersions</t>
  </si>
  <si>
    <t>tc-fk-f_a_qs-step</t>
  </si>
  <si>
    <t>FAQs.Step -&gt; Steps</t>
  </si>
  <si>
    <t>tc-fk-explanations-procedure_version</t>
  </si>
  <si>
    <t>Explanations.ProcedureVersion -&gt; ProcedureVersions</t>
  </si>
  <si>
    <t>tc-fk-explanations-step</t>
  </si>
  <si>
    <t>Explanations.Step -&gt; Steps</t>
  </si>
  <si>
    <t>tc-fk-procedure_executions-procedure_version</t>
  </si>
  <si>
    <t>ProcedureExecutions.ProcedureVersion -&gt; ProcedureVersions</t>
  </si>
  <si>
    <t>tc-fk-procedure_executions-executed_by_agent</t>
  </si>
  <si>
    <t>ProcedureExecutions.ExecutedByAgent -&gt; Agents</t>
  </si>
  <si>
    <t>tc-fk-step_executions-procedure_execution</t>
  </si>
  <si>
    <t>StepExecutions.ProcedureExecution -&gt; ProcedureExecutions</t>
  </si>
  <si>
    <t>Every non-null value resolves to an existing ProcedureExecutions row.</t>
  </si>
  <si>
    <t>tc-fk-step_executions-step</t>
  </si>
  <si>
    <t>StepExecutions.Step -&gt; Steps</t>
  </si>
  <si>
    <t>tc-fk-step_executions-executed_by_agent</t>
  </si>
  <si>
    <t>StepExecutions.ExecutedByAgent -&gt; Agents</t>
  </si>
  <si>
    <t>tc-fk-requirement_satisfactions-step_execution</t>
  </si>
  <si>
    <t>RequirementSatisfactions.StepExecution -&gt; StepExecutions</t>
  </si>
  <si>
    <t>Every non-null value resolves to an existing StepExecutions row.</t>
  </si>
  <si>
    <t>tc-fk-requirement_satisfactions-requirement</t>
  </si>
  <si>
    <t>RequirementSatisfactions.Requirement -&gt; Requirements</t>
  </si>
  <si>
    <t>tc-fk-requirement_satisfactions-evaluated_by_agent</t>
  </si>
  <si>
    <t>RequirementSatisfactions.EvaluatedByAgent -&gt; Agents</t>
  </si>
  <si>
    <t>tc-fk-issue_occurrences-step_execution</t>
  </si>
  <si>
    <t>IssueOccurrences.StepExecution -&gt; StepExecutions</t>
  </si>
  <si>
    <t>tc-fk-issue_occurrences-error</t>
  </si>
  <si>
    <t>IssueOccurrences.Error -&gt; Errors</t>
  </si>
  <si>
    <t>Every non-null value resolves to an existing Errors row.</t>
  </si>
  <si>
    <t>tc-fk-issue_occurrences-encountered_by_agent</t>
  </si>
  <si>
    <t>IssueOccurrences.EncounteredByAgent -&gt; Agents</t>
  </si>
  <si>
    <t>tc-fk-user_questions-step_execution</t>
  </si>
  <si>
    <t>UserQuestions.StepExecution -&gt; StepExecutions</t>
  </si>
  <si>
    <t>tc-fk-user_questions-asked_by_agent</t>
  </si>
  <si>
    <t>UserQuestions.AskedByAgent -&gt; Agents</t>
  </si>
  <si>
    <t>tc-fk-user_questions-resolved_by_faq</t>
  </si>
  <si>
    <t>UserQuestions.ResolvedByFaq -&gt; FAQs</t>
  </si>
  <si>
    <t>Every non-null value resolves to an existing FAQs row.</t>
  </si>
  <si>
    <t>tc-fk-user_questions-addressed_by_resource</t>
  </si>
  <si>
    <t>UserQuestions.AddressedByResource -&gt; Resources</t>
  </si>
  <si>
    <t>tc-fk-user_feedback-procedure_execution</t>
  </si>
  <si>
    <t>UserFeedback.ProcedureExecution -&gt; ProcedureExecutions</t>
  </si>
  <si>
    <t>tc-fk-user_feedback-provided_by_agent</t>
  </si>
  <si>
    <t>UserFeedback.ProvidedByAgent -&gt; Agents</t>
  </si>
  <si>
    <t>tc-fk-stewardship_assignments-procedure_version</t>
  </si>
  <si>
    <t>StewardshipAssignments.ProcedureVersion -&gt; ProcedureVersions</t>
  </si>
  <si>
    <t>tc-fk-stewardship_assignments-steward_role</t>
  </si>
  <si>
    <t>StewardshipAssignments.StewardRole -&gt; Roles</t>
  </si>
  <si>
    <t>tc-fk-stewardship_assignments-authority_role</t>
  </si>
  <si>
    <t>StewardshipAssignments.AuthorityRole -&gt; Roles</t>
  </si>
  <si>
    <t>tc-fk-stewardship_assignments-evaluation_context</t>
  </si>
  <si>
    <t>StewardshipAssignments.EvaluationContext -&gt; EvaluationContexts</t>
  </si>
  <si>
    <t>tc-fk-change_requests-procedure_version</t>
  </si>
  <si>
    <t>ChangeRequests.ProcedureVersion -&gt; ProcedureVersions</t>
  </si>
  <si>
    <t>tc-fk-change_requests-requested_by_agent</t>
  </si>
  <si>
    <t>ChangeRequests.RequestedByAgent -&gt; Agents</t>
  </si>
  <si>
    <t>tc-fk-change_requests-authority_role</t>
  </si>
  <si>
    <t>ChangeRequests.AuthorityRole -&gt; Roles</t>
  </si>
  <si>
    <t>tc-fk-change_requests-evaluation_context</t>
  </si>
  <si>
    <t>ChangeRequests.EvaluationContext -&gt; EvaluationContexts</t>
  </si>
  <si>
    <t>tc-fk-review_events-procedure_version</t>
  </si>
  <si>
    <t>ReviewEvents.ProcedureVersion -&gt; ProcedureVersions</t>
  </si>
  <si>
    <t>tc-fk-review_events-reviewed_by_agent</t>
  </si>
  <si>
    <t>ReviewEvents.ReviewedByAgent -&gt; Agents</t>
  </si>
  <si>
    <t>tc-fk-review_events-related_change_request</t>
  </si>
  <si>
    <t>ReviewEvents.RelatedChangeRequest -&gt; ChangeRequests</t>
  </si>
  <si>
    <t>tc-fk-review_events-evaluation_context</t>
  </si>
  <si>
    <t>ReviewEvents.EvaluationContext -&gt; EvaluationContexts</t>
  </si>
  <si>
    <t>tc-fk-learning_activities-community_of_practice</t>
  </si>
  <si>
    <t>LearningActivities.CommunityOfPractice -&gt; CommunitiesOfPractice</t>
  </si>
  <si>
    <t>tc-fk-learning_activities-procedure_version</t>
  </si>
  <si>
    <t>LearningActivities.ProcedureVersion -&gt; ProcedureVersions</t>
  </si>
  <si>
    <t>tc-fk-learning_activities-facilitator_agent</t>
  </si>
  <si>
    <t>LearningActivities.FacilitatorAgent -&gt; Agents</t>
  </si>
  <si>
    <t>tc-fk-learning_activities-evidence_resource</t>
  </si>
  <si>
    <t>LearningActivities.EvidenceResource -&gt; Resources</t>
  </si>
  <si>
    <t>tc-fk-operational_bindings-procedure_version</t>
  </si>
  <si>
    <t>OperationalBindings.ProcedureVersion -&gt; ProcedureVersions</t>
  </si>
  <si>
    <t>tc-fk-operational_bindings-step</t>
  </si>
  <si>
    <t>OperationalBindings.Step -&gt; Steps</t>
  </si>
  <si>
    <t>tc-fk-operational_bindings-resource</t>
  </si>
  <si>
    <t>OperationalBindings.Resource -&gt; Resources</t>
  </si>
  <si>
    <t>tc-fk-operational_bindings-evaluation_context</t>
  </si>
  <si>
    <t>OperationalBindings.EvaluationContext -&gt; EvaluationContexts</t>
  </si>
  <si>
    <t>tc-fk-communication_policies-procedure_version</t>
  </si>
  <si>
    <t>CommunicationPolicies.ProcedureVersion -&gt; ProcedureVersions</t>
  </si>
  <si>
    <t>tc-fk-communication_policies-approval_role</t>
  </si>
  <si>
    <t>CommunicationPolicies.ApprovalRole -&gt; Roles</t>
  </si>
  <si>
    <t>tc-fk-message_templates-communication_policy</t>
  </si>
  <si>
    <t>MessageTemplates.CommunicationPolicy -&gt; CommunicationPolicies</t>
  </si>
  <si>
    <t>Every non-null value resolves to an existing CommunicationPolicies row.</t>
  </si>
  <si>
    <t>tc-fk-message_templates-resource</t>
  </si>
  <si>
    <t>MessageTemplates.Resource -&gt; Resources</t>
  </si>
  <si>
    <t>tc-fk-semantic_mappings-ontology_profile</t>
  </si>
  <si>
    <t>SemanticMappings.OntologyProfile -&gt; OntologyProfiles</t>
  </si>
  <si>
    <t>Every non-null value resolves to an existing OntologyProfiles row.</t>
  </si>
  <si>
    <t>tc-fk-role_questions-asking_role</t>
  </si>
  <si>
    <t>RoleQuestions.AskingRole -&gt; Roles</t>
  </si>
  <si>
    <t>tc-fk-role_questions-witness_loop</t>
  </si>
  <si>
    <t>RoleQuestions.WitnessLoop -&gt; WitnessLoops</t>
  </si>
  <si>
    <t>Every non-null value resolves to an existing WitnessLoops row.</t>
  </si>
  <si>
    <t>tc-fk-rulebook_fields-invented_for_question</t>
  </si>
  <si>
    <t>RulebookFields.InventedForQuestion -&gt; RoleQuestions</t>
  </si>
  <si>
    <t>Every non-null value resolves to an existing RoleQuestions row.</t>
  </si>
  <si>
    <t>tc-fk-test_cases-defends_question</t>
  </si>
  <si>
    <t>TestCases.DefendsQuestion -&gt; RoleQuestions</t>
  </si>
  <si>
    <t>tc-fk-test_cases-suite</t>
  </si>
  <si>
    <t>TestCases.Suite -&gt; TestSuites</t>
  </si>
  <si>
    <t>Every non-null value resolves to an existing TestSuites row.</t>
  </si>
  <si>
    <t>tc-fk-exception_invocations-step_execution</t>
  </si>
  <si>
    <t>ExceptionInvocations.StepExecution -&gt; StepExecutions</t>
  </si>
  <si>
    <t>tc-fk-exception_invocations-exception</t>
  </si>
  <si>
    <t>ExceptionInvocations.Exception -&gt; Exceptions</t>
  </si>
  <si>
    <t>Every non-null value resolves to an existing Exceptions row.</t>
  </si>
  <si>
    <t>tc-fk-exception_invocations-invoked_by_agent</t>
  </si>
  <si>
    <t>ExceptionInvocations.InvokedByAgent -&gt; Agents</t>
  </si>
  <si>
    <t>tc-fk-exception_invocations-approved_by_agent</t>
  </si>
  <si>
    <t>ExceptionInvocations.ApprovedByAgent -&gt; Agents</t>
  </si>
  <si>
    <t>tc-fk-verification_outcomes-step_execution</t>
  </si>
  <si>
    <t>VerificationOutcomes.StepExecution -&gt; StepExecutions</t>
  </si>
  <si>
    <t>tc-fk-verification_outcomes-step_verification</t>
  </si>
  <si>
    <t>VerificationOutcomes.StepVerification -&gt; StepVerifications</t>
  </si>
  <si>
    <t>Every non-null value resolves to an existing StepVerifications row.</t>
  </si>
  <si>
    <t>tc-fk-verification_outcomes-observed_by_agent</t>
  </si>
  <si>
    <t>VerificationOutcomes.ObservedByAgent -&gt; Agents</t>
  </si>
  <si>
    <t>tc-fk-observed_transitions-procedure_execution</t>
  </si>
  <si>
    <t>ObservedTransitions.ProcedureExecution -&gt; ProcedureExecutions</t>
  </si>
  <si>
    <t>tc-fk-observed_transitions-step_transition</t>
  </si>
  <si>
    <t>ObservedTransitions.StepTransition -&gt; StepTransitions</t>
  </si>
  <si>
    <t>Every non-null value resolves to an existing StepTransitions row.</t>
  </si>
  <si>
    <t>tc-fk-observed_transitions-arriving_step_execution</t>
  </si>
  <si>
    <t>ObservedTransitions.ArrivingStepExecution -&gt; StepExecutions</t>
  </si>
  <si>
    <t>tc-fk-recipients-organization</t>
  </si>
  <si>
    <t>Recipients.Organization -&gt; Organizations</t>
  </si>
  <si>
    <t>tc-fk-recipients-consent_binding</t>
  </si>
  <si>
    <t>Recipients.ConsentBinding -&gt; OperationalBindings</t>
  </si>
  <si>
    <t>Every non-null value resolves to an existing OperationalBindings row.</t>
  </si>
  <si>
    <t>tc-fk-message_deliveries-procedure_execution</t>
  </si>
  <si>
    <t>MessageDeliveries.ProcedureExecution -&gt; ProcedureExecutions</t>
  </si>
  <si>
    <t>tc-fk-message_deliveries-step_execution</t>
  </si>
  <si>
    <t>MessageDeliveries.StepExecution -&gt; StepExecutions</t>
  </si>
  <si>
    <t>tc-fk-message_deliveries-recipient</t>
  </si>
  <si>
    <t>MessageDeliveries.Recipient -&gt; Recipients</t>
  </si>
  <si>
    <t>Every non-null value resolves to an existing Recipients row.</t>
  </si>
  <si>
    <t>tc-fk-message_deliveries-message_template</t>
  </si>
  <si>
    <t>MessageDeliveries.MessageTemplate -&gt; MessageTemplates</t>
  </si>
  <si>
    <t>Every non-null value resolves to an existing MessageTemplates row.</t>
  </si>
  <si>
    <t>tc-fk-message_deliveries-sent_by_agent</t>
  </si>
  <si>
    <t>MessageDeliveries.SentByAgent -&gt; Agents</t>
  </si>
  <si>
    <t>tc-fk-message_deliveries-invoked_exception</t>
  </si>
  <si>
    <t>MessageDeliveries.InvokedException -&gt; Exceptions</t>
  </si>
  <si>
    <t>tc-fk-message_deliveries-evaluation_context</t>
  </si>
  <si>
    <t>MessageDeliveries.EvaluationContext -&gt; EvaluationContexts</t>
  </si>
  <si>
    <t>tc-fk-template_approvals-message_template</t>
  </si>
  <si>
    <t>TemplateApprovals.MessageTemplate -&gt; MessageTemplates</t>
  </si>
  <si>
    <t>tc-fk-template_approvals-decided_by_agent</t>
  </si>
  <si>
    <t>TemplateApprovals.DecidedByAgent -&gt; Agents</t>
  </si>
  <si>
    <t>tc-fk-template_approvals-decided_in_role</t>
  </si>
  <si>
    <t>TemplateApprovals.DecidedInRole -&gt; Roles</t>
  </si>
  <si>
    <t>tc-fk-send_intents-procedure_execution</t>
  </si>
  <si>
    <t>SendIntents.ProcedureExecution -&gt; ProcedureExecutions</t>
  </si>
  <si>
    <t>tc-fk-send_intents-step_execution</t>
  </si>
  <si>
    <t>SendIntents.StepExecution -&gt; StepExecutions</t>
  </si>
  <si>
    <t>tc-fk-send_intents-recipient</t>
  </si>
  <si>
    <t>SendIntents.Recipient -&gt; Recipients</t>
  </si>
  <si>
    <t>tc-fk-send_intents-message_template</t>
  </si>
  <si>
    <t>SendIntents.MessageTemplate -&gt; MessageTemplates</t>
  </si>
  <si>
    <t>tc-fk-send_intents-resulting_delivery</t>
  </si>
  <si>
    <t>SendIntents.ResultingDelivery -&gt; MessageDeliveries</t>
  </si>
  <si>
    <t>Every non-null value resolves to an existing MessageDeliveries row.</t>
  </si>
  <si>
    <t>tc-fk-send_intents-refusal_notified_role</t>
  </si>
  <si>
    <t>SendIntents.RefusalNotifiedRole -&gt; Roles</t>
  </si>
  <si>
    <t>tc-fk-send_intents-evaluation_context</t>
  </si>
  <si>
    <t>SendIntents.EvaluationContext -&gt; EvaluationContexts</t>
  </si>
  <si>
    <t>tc-fk-agent_decision_records-step_execution</t>
  </si>
  <si>
    <t>AgentDecisionRecords.StepExecution -&gt; StepExecutions</t>
  </si>
  <si>
    <t>tc-fk-agent_decision_records-deciding_agent</t>
  </si>
  <si>
    <t>AgentDecisionRecords.DecidingAgent -&gt; Agents</t>
  </si>
  <si>
    <t>tc-fk-agent_decision_records-reviewed_by_agent</t>
  </si>
  <si>
    <t>AgentDecisionRecords.ReviewedByAgent -&gt; Agents</t>
  </si>
  <si>
    <t>tc-fk-agent_decision_records-under_role_assignment</t>
  </si>
  <si>
    <t>AgentDecisionRecords.UnderRoleAssignment -&gt; RoleAssignments</t>
  </si>
  <si>
    <t>tc-fk-delivered_communications-procedure_execution</t>
  </si>
  <si>
    <t>DeliveredCommunications.ProcedureExecution -&gt; ProcedureExecutions</t>
  </si>
  <si>
    <t>tc-fk-delivered_communications-sending_step_execution</t>
  </si>
  <si>
    <t>DeliveredCommunications.SendingStepExecution -&gt; StepExecutions</t>
  </si>
  <si>
    <t>tc-fk-delivered_communications-authorizing_step_execution</t>
  </si>
  <si>
    <t>DeliveredCommunications.AuthorizingStepExecution -&gt; StepExecutions</t>
  </si>
  <si>
    <t>tc-fk-delivered_communications-message_template</t>
  </si>
  <si>
    <t>DeliveredCommunications.MessageTemplate -&gt; MessageTemplates</t>
  </si>
  <si>
    <t>tc-fk-authority_boundaries-step</t>
  </si>
  <si>
    <t>AuthorityBoundaries.Step -&gt; Steps</t>
  </si>
  <si>
    <t>tc-fk-authority_boundaries-ratified_by_knowledge_fragment</t>
  </si>
  <si>
    <t>AuthorityBoundaries.RatifiedByKnowledgeFragment -&gt; KnowledgeFragments</t>
  </si>
  <si>
    <t>Every non-null value resolves to an existing KnowledgeFragments row.</t>
  </si>
  <si>
    <t>tc-fk-authority_boundaries-enforcing_requirement</t>
  </si>
  <si>
    <t>AuthorityBoundaries.EnforcingRequirement -&gt; Requirements</t>
  </si>
  <si>
    <t>tc-fk-authority_boundaries-authority_role</t>
  </si>
  <si>
    <t>AuthorityBoundaries.AuthorityRole -&gt; Roles</t>
  </si>
  <si>
    <t>tc-fk-authority_boundaries-evaluation_context</t>
  </si>
  <si>
    <t>AuthorityBoundaries.EvaluationContext -&gt; EvaluationContexts</t>
  </si>
  <si>
    <t>tc-fk-binding_observations-step_execution</t>
  </si>
  <si>
    <t>BindingObservations.StepExecution -&gt; StepExecutions</t>
  </si>
  <si>
    <t>tc-fk-binding_observations-operational_binding</t>
  </si>
  <si>
    <t>BindingObservations.OperationalBinding -&gt; OperationalBindings</t>
  </si>
  <si>
    <t>tc-fk-attestations-procedure_execution</t>
  </si>
  <si>
    <t>Attestations.ProcedureExecution -&gt; ProcedureExecutions</t>
  </si>
  <si>
    <t>tc-fk-attestations-signed_by_agent</t>
  </si>
  <si>
    <t>Attestations.SignedByAgent -&gt; Agents</t>
  </si>
  <si>
    <t>tc-witness-agents-is_still_engaged</t>
  </si>
  <si>
    <t>witness-discriminates</t>
  </si>
  <si>
    <t>Reads both TRUE and FALSE across the seed data, so it can distinguish cases.</t>
  </si>
  <si>
    <t>advisory</t>
  </si>
  <si>
    <t>always true (10/10)</t>
  </si>
  <si>
    <t>tc-witness-agents-is_non_human</t>
  </si>
  <si>
    <t>4 true / 6 false</t>
  </si>
  <si>
    <t>tc-witness-agents-is_operating_outside_boundary</t>
  </si>
  <si>
    <t>never true (10/10 false)</t>
  </si>
  <si>
    <t>tc-witness-roles-has_no_current_holder</t>
  </si>
  <si>
    <t>never true (12/12 false)</t>
  </si>
  <si>
    <t>tc-witness-roles-is_non_human_held</t>
  </si>
  <si>
    <t>4 true / 8 false</t>
  </si>
  <si>
    <t>tc-witness-roles-is_ungoverned_non_human_role</t>
  </si>
  <si>
    <t>tc-witness-roles-has_lost_a_holder</t>
  </si>
  <si>
    <t>1 true / 11 false</t>
  </si>
  <si>
    <t>tc-witness-roles-is_vacated_role</t>
  </si>
  <si>
    <t>tc-witness-roles-is_governed_by_lapsed_authority</t>
  </si>
  <si>
    <t>tc-witness-roles-is_ungoverned_enforcement_role</t>
  </si>
  <si>
    <t>3 true / 9 false</t>
  </si>
  <si>
    <t>tc-witness-role_assignments-is_current</t>
  </si>
  <si>
    <t>12 true / 1 false</t>
  </si>
  <si>
    <t>tc-witness-role_assignments-is_currently_valid</t>
  </si>
  <si>
    <t>tc-witness-role_assignments-has_departed</t>
  </si>
  <si>
    <t>1 true / 12 false</t>
  </si>
  <si>
    <t>tc-witness-role_assignments-covers_now</t>
  </si>
  <si>
    <t>tc-witness-role_assignments-is_non_human_assignment</t>
  </si>
  <si>
    <t>4 true / 9 false</t>
  </si>
  <si>
    <t>tc-witness-role_assignments-is_human_to_non_human_handover</t>
  </si>
  <si>
    <t>1 true / 9 false</t>
  </si>
  <si>
    <t>tc-witness-role_assignments-is_unauthorized_non_human_assignment</t>
  </si>
  <si>
    <t>3 true / 10 false</t>
  </si>
  <si>
    <t>tc-witness-role_assignments-was_authorized_by_change_request</t>
  </si>
  <si>
    <t>never true (13/13 false)</t>
  </si>
  <si>
    <t>tc-witness-role_assignments-quality_regressed_vs_predecessor</t>
  </si>
  <si>
    <t>tc-witness-role_assignments-has_sufficient_sample</t>
  </si>
  <si>
    <t>never true (0/13 false)</t>
  </si>
  <si>
    <t>tc-witness-role_assignments-predecessor_has_sufficient_sample</t>
  </si>
  <si>
    <t>tc-witness-role_assignments-comparison_is_evidentially_sound</t>
  </si>
  <si>
    <t>tc-witness-role_assignments-quality_verdict_is_unsupported</t>
  </si>
  <si>
    <t>tc-witness-role_assignments-is_unmeasured_automation_handover</t>
  </si>
  <si>
    <t>never true (9/13 false)</t>
  </si>
  <si>
    <t>tc-witness-role_assignments-has_dated_authorization</t>
  </si>
  <si>
    <t>tc-witness-role_assignments-authorization_is_overdue_for_review</t>
  </si>
  <si>
    <t>tc-witness-role_assignments-is_standing_unreviewed_automation</t>
  </si>
  <si>
    <t>tc-witness-role_assignments-is_unconditioned_automation_handover</t>
  </si>
  <si>
    <t>tc-witness-role_assignments-exceeds_tolerable_error_rate</t>
  </si>
  <si>
    <t>tc-witness-role_assignments-has_any_boundary_violation</t>
  </si>
  <si>
    <t>tc-witness-role_assignments-has_ungrounded_governing_boundary</t>
  </si>
  <si>
    <t>tc-witness-role_assignments-suspension_condition_met</t>
  </si>
  <si>
    <t>tc-witness-role_assignments-is_operating_under_met_suspension_condition</t>
  </si>
  <si>
    <t>tc-witness-role_assignments-has_declared_suspension_condition</t>
  </si>
  <si>
    <t>tc-witness-role_assignments-has_approving_authority</t>
  </si>
  <si>
    <t>tc-witness-role_assignments-has_authorizing_change_request</t>
  </si>
  <si>
    <t>tc-witness-role_assignments-is_unauthorized_enforcement_agent</t>
  </si>
  <si>
    <t>tc-witness-procedure_versions-is_ready_for_execution</t>
  </si>
  <si>
    <t>1 true / 2 false</t>
  </si>
  <si>
    <t>tc-witness-procedure_versions-is_fit_to_execute</t>
  </si>
  <si>
    <t>never true (3/3 false)</t>
  </si>
  <si>
    <t>tc-witness-procedure_versions-has_any_steward</t>
  </si>
  <si>
    <t>2 true / 1 false</t>
  </si>
  <si>
    <t>tc-witness-procedure_versions-is_live</t>
  </si>
  <si>
    <t>tc-witness-procedure_versions-is_unstewarded</t>
  </si>
  <si>
    <t>tc-witness-procedure_versions-is_live_and_unstewarded</t>
  </si>
  <si>
    <t>tc-witness-procedure_versions-has_open_blocking_gap</t>
  </si>
  <si>
    <t>tc-witness-procedure_versions-is_live_with_blocking_gap</t>
  </si>
  <si>
    <t>tc-witness-procedure_versions-should_not_be_executable</t>
  </si>
  <si>
    <t>tc-witness-procedure_versions-runs_on_unapproved_knowledge</t>
  </si>
  <si>
    <t>always true (3/3)</t>
  </si>
  <si>
    <t>tc-witness-procedure_versions-has_governance_record</t>
  </si>
  <si>
    <t>tc-witness-procedure_versions-was_modified_since_last_review</t>
  </si>
  <si>
    <t>never true (2/3 false)</t>
  </si>
  <si>
    <t>tc-witness-procedure_versions-has_unwitnessed_change</t>
  </si>
  <si>
    <t>tc-witness-procedure_versions-knowledge_is_staler_than_cadence</t>
  </si>
  <si>
    <t>tc-witness-procedure_versions-rests_on_compound_fragile_knowledge</t>
  </si>
  <si>
    <t>tc-witness-procedure_versions-knowledge_base_is_concentrated</t>
  </si>
  <si>
    <t>tc-witness-procedure_versions-feeds_unapproved_knowledge_to_machines</t>
  </si>
  <si>
    <t>tc-witness-procedure_versions-is_blocked_on_pending_decision</t>
  </si>
  <si>
    <t>tc-witness-procedure_versions-ai_boundary_is_unevidenced</t>
  </si>
  <si>
    <t>tc-witness-procedure_versions-has_unrehearsed_control_entry</t>
  </si>
  <si>
    <t>tc-witness-procedure_versions-is_live_with_unrehearsed_control</t>
  </si>
  <si>
    <t>tc-witness-procedure_versions-is_in_cadence_breach</t>
  </si>
  <si>
    <t>tc-witness-procedure_versions-has_decision_in_flight</t>
  </si>
  <si>
    <t>tc-witness-procedure_versions-is_unremediated_cadence_breach</t>
  </si>
  <si>
    <t>tc-witness-procedure_versions-is_managed_cadence_breach</t>
  </si>
  <si>
    <t>tc-witness-procedure_versions-governance_is_silent</t>
  </si>
  <si>
    <t>tc-witness-procedure_versions-still_owns_valid_knowledge</t>
  </si>
  <si>
    <t>tc-witness-procedure_versions-is_still_referenced</t>
  </si>
  <si>
    <t>tc-witness-procedure_versions-is_load_bearing_orphan</t>
  </si>
  <si>
    <t>tc-witness-procedure_versions-is_cleanly_retired</t>
  </si>
  <si>
    <t>tc-witness-procedure_versions-is_held_unfit_by_landed_decisions</t>
  </si>
  <si>
    <t>tc-witness-procedure_versions-control_taxonomy_is_incomplete</t>
  </si>
  <si>
    <t>tc-witness-procedure_versions-has_approved_change_request</t>
  </si>
  <si>
    <t>tc-witness-steps-is_preparation_step</t>
  </si>
  <si>
    <t>2 true / 15 false</t>
  </si>
  <si>
    <t>tc-witness-steps-is_approval_step</t>
  </si>
  <si>
    <t>tc-witness-steps-inputs_are_fresh</t>
  </si>
  <si>
    <t>14 true / 3 false</t>
  </si>
  <si>
    <t>tc-witness-steps-is_software_assigned</t>
  </si>
  <si>
    <t>8 true / 9 false</t>
  </si>
  <si>
    <t>tc-witness-steps-is_human_approval_gate</t>
  </si>
  <si>
    <t>tc-witness-steps-gate_held_by_human</t>
  </si>
  <si>
    <t>tc-witness-steps-assigned_role_is_ungoverned</t>
  </si>
  <si>
    <t>never true (17/17 false)</t>
  </si>
  <si>
    <t>tc-witness-steps-all_sources_usable</t>
  </si>
  <si>
    <t>tc-witness-steps-is_governed_by_unwarranted_boundary</t>
  </si>
  <si>
    <t>1 true / 16 false</t>
  </si>
  <si>
    <t>tc-witness-steps-has_been_approached_by_software</t>
  </si>
  <si>
    <t>5 true / 12 false</t>
  </si>
  <si>
    <t>tc-witness-steps-is_unexercised_human_gate</t>
  </si>
  <si>
    <t>tc-witness-steps-is_demonstrated_human_gate</t>
  </si>
  <si>
    <t>tc-witness-steps-has_declared_control_kind</t>
  </si>
  <si>
    <t>always true (17/17)</t>
  </si>
  <si>
    <t>tc-witness-steps-approval_step_is_software_assigned</t>
  </si>
  <si>
    <t>tc-witness-step_transitions-is_recovery_path</t>
  </si>
  <si>
    <t>4 true / 15 false</t>
  </si>
  <si>
    <t>tc-witness-step_transitions-has_reachable_origin</t>
  </si>
  <si>
    <t>14 true / 5 false</t>
  </si>
  <si>
    <t>tc-witness-step_transitions-has_reachable_target</t>
  </si>
  <si>
    <t>13 true / 6 false</t>
  </si>
  <si>
    <t>tc-witness-step_transitions-is_never_exercised</t>
  </si>
  <si>
    <t>6 true / 13 false</t>
  </si>
  <si>
    <t>tc-witness-step_transitions-is_untested_recovery_path</t>
  </si>
  <si>
    <t>1 true / 18 false</t>
  </si>
  <si>
    <t>tc-witness-step_transitions-has_been_traversed</t>
  </si>
  <si>
    <t>10 true / 9 false</t>
  </si>
  <si>
    <t>tc-witness-step_transitions-is_unwalked_recovery_path</t>
  </si>
  <si>
    <t>tc-witness-step_transitions-target_carries_blocking_control</t>
  </si>
  <si>
    <t>tc-witness-step_transitions-is_unrehearsed_control_entry</t>
  </si>
  <si>
    <t>3 true / 16 false</t>
  </si>
  <si>
    <t>tc-witness-requirements-is_bound_to_any_step</t>
  </si>
  <si>
    <t>always true (13/13)</t>
  </si>
  <si>
    <t>tc-witness-requirements-has_ever_been_evaluated</t>
  </si>
  <si>
    <t>7 true / 6 false</t>
  </si>
  <si>
    <t>tc-witness-requirements-is_inoperative_control</t>
  </si>
  <si>
    <t>6 true / 7 false</t>
  </si>
  <si>
    <t>tc-witness-requirements-is_decorative_control</t>
  </si>
  <si>
    <t>tc-witness-requirements-has_ever_produced_negative</t>
  </si>
  <si>
    <t>tc-witness-requirements-is_unfalsified_control</t>
  </si>
  <si>
    <t>tc-witness-requirements-claims_a_witness_field</t>
  </si>
  <si>
    <t>tc-witness-requirements-named_witness_field_exists</t>
  </si>
  <si>
    <t>always true (4/13)</t>
  </si>
  <si>
    <t>tc-witness-requirements-derived_has_computed_witness</t>
  </si>
  <si>
    <t>tc-witness-requirements-witness_claim_is_unverified</t>
  </si>
  <si>
    <t>tc-witness-requirements-is_unwitnessed_blocking_control</t>
  </si>
  <si>
    <t>9 true / 4 false</t>
  </si>
  <si>
    <t>tc-witness-requirements-witness_has_never_fired</t>
  </si>
  <si>
    <t>tc-witness-requirements-has_meaningful_sample</t>
  </si>
  <si>
    <t>tc-witness-requirements-is_untested_witness</t>
  </si>
  <si>
    <t>never true (10/13 false)</t>
  </si>
  <si>
    <t>tc-witness-requirements-is_evidenced_holding_control</t>
  </si>
  <si>
    <t>tc-witness-requirements-witness_is_partially_scoped</t>
  </si>
  <si>
    <t>tc-witness-requirements-has_named_owner</t>
  </si>
  <si>
    <t>tc-witness-requirements-is_orphaned_blocking_control</t>
  </si>
  <si>
    <t>tc-witness-requirements-is_unwatched_and_unowned</t>
  </si>
  <si>
    <t>tc-witness-step_requirements-requirement_is_blocking</t>
  </si>
  <si>
    <t>always true (15/15)</t>
  </si>
  <si>
    <t>tc-witness-step_requirements-requirement_lacks_witness</t>
  </si>
  <si>
    <t>10 true / 5 false</t>
  </si>
  <si>
    <t>tc-witness-step_requirements-binding_was_ever_exercised</t>
  </si>
  <si>
    <t>never true (15/15 false)</t>
  </si>
  <si>
    <t>tc-witness-step_requirements-is_unexercised_blocking_binding</t>
  </si>
  <si>
    <t>tc-witness-resources-is_approved_source</t>
  </si>
  <si>
    <t>never true (0/8 false)</t>
  </si>
  <si>
    <t>tc-witness-elicitation_sessions-is_single_witness_method</t>
  </si>
  <si>
    <t>tc-witness-elicitation_sessions-practitioner_is_still_engaged</t>
  </si>
  <si>
    <t>tc-witness-elicitation_sessions-is_high_yield_session</t>
  </si>
  <si>
    <t>tc-witness-elicitation_sessions-is_concentrated_single_witness</t>
  </si>
  <si>
    <t>tc-witness-elicitation_sessions-is_stale_concentrated_witness</t>
  </si>
  <si>
    <t>tc-witness-knowledge_fragments-is_currently_valid</t>
  </si>
  <si>
    <t>6 true / 1 false</t>
  </si>
  <si>
    <t>tc-witness-knowledge_fragments-source_agent_is_still_engaged</t>
  </si>
  <si>
    <t>always true (7/7)</t>
  </si>
  <si>
    <t>tc-witness-knowledge_fragments-has_human_source</t>
  </si>
  <si>
    <t>tc-witness-knowledge_fragments-has_orphaned_provenance</t>
  </si>
  <si>
    <t>never true (7/7 false)</t>
  </si>
  <si>
    <t>tc-witness-knowledge_fragments-is_undefendable_tacit_claim</t>
  </si>
  <si>
    <t>tc-witness-knowledge_fragments-is_approved</t>
  </si>
  <si>
    <t>tc-witness-knowledge_fragments-is_within_validity_window</t>
  </si>
  <si>
    <t>tc-witness-knowledge_fragments-is_relied_upon</t>
  </si>
  <si>
    <t>tc-witness-knowledge_fragments-is_attached_to_live_version</t>
  </si>
  <si>
    <t>tc-witness-knowledge_fragments-is_unapproved_but_relied_on</t>
  </si>
  <si>
    <t>1 true / 6 false</t>
  </si>
  <si>
    <t>tc-witness-knowledge_fragments-has_recorded_elicitation</t>
  </si>
  <si>
    <t>tc-witness-knowledge_fragments-is_from_single_witness</t>
  </si>
  <si>
    <t>4 true / 2 false</t>
  </si>
  <si>
    <t>tc-witness-knowledge_fragments-evidence_has_expired</t>
  </si>
  <si>
    <t>tc-witness-knowledge_fragments-is_awaiting_approval</t>
  </si>
  <si>
    <t>tc-witness-knowledge_fragments-owner_is_me</t>
  </si>
  <si>
    <t>tc-witness-knowledge_fragments-is_my_unfinished_approval</t>
  </si>
  <si>
    <t>tc-witness-knowledge_fragments-has_operational_reliance</t>
  </si>
  <si>
    <t>2 true / 5 false</t>
  </si>
  <si>
    <t>tc-witness-knowledge_fragments-is_unapproved_and_operationally_live</t>
  </si>
  <si>
    <t>tc-witness-knowledge_fragments-is_low_confidence</t>
  </si>
  <si>
    <t>tc-witness-knowledge_fragments-exceeds_owning_cadence</t>
  </si>
  <si>
    <t>tc-witness-knowledge_fragments-is_aging_low_confidence_claim</t>
  </si>
  <si>
    <t>tc-witness-knowledge_fragments-is_human_owned</t>
  </si>
  <si>
    <t>tc-witness-knowledge_fragments-is_ai_validated_by_ai</t>
  </si>
  <si>
    <t>tc-witness-knowledge_fragments-is_overdue_for_review</t>
  </si>
  <si>
    <t>tc-witness-knowledge_fragments-predates_current_role_holder</t>
  </si>
  <si>
    <t>tc-witness-knowledge_fragments-is_compound_fragile</t>
  </si>
  <si>
    <t>tc-witness-knowledge_fragments-is_single_point_of_failure</t>
  </si>
  <si>
    <t>tc-witness-knowledge_fragments-is_expiring_single_point_of_failure</t>
  </si>
  <si>
    <t>tc-witness-knowledge_fragments-consuming_step_is_software_assigned</t>
  </si>
  <si>
    <t>tc-witness-knowledge_fragments-is_unapproved_and_machine_consumed</t>
  </si>
  <si>
    <t>tc-witness-knowledge_fragments-is_unapproved_and_human_consumed</t>
  </si>
  <si>
    <t>tc-witness-knowledge_fragments-has_review_record</t>
  </si>
  <si>
    <t>3 true / 4 false</t>
  </si>
  <si>
    <t>tc-witness-knowledge_fragments-is_unreviewed_since_authoring</t>
  </si>
  <si>
    <t>tc-witness-knowledge_fragments-is_genuinely_overdue</t>
  </si>
  <si>
    <t>tc-witness-knowledge_fragments-review_recency_is_inferred</t>
  </si>
  <si>
    <t>tc-witness-knowledge_fragments-inference_disagrees_with_record</t>
  </si>
  <si>
    <t>tc-witness-knowledge_fragments-is_high_blast_radius_unapproved</t>
  </si>
  <si>
    <t>tc-witness-knowledge_fragments-is_long_unapproved</t>
  </si>
  <si>
    <t>tc-witness-knowledge_fragments-owner_role_is_vacated</t>
  </si>
  <si>
    <t>tc-witness-knowledge_fragments-is_orphaned_by_role</t>
  </si>
  <si>
    <t>tc-witness-knowledge_gaps-is_open</t>
  </si>
  <si>
    <t>1 true / 7 false</t>
  </si>
  <si>
    <t>tc-witness-knowledge_gaps-is_blocking</t>
  </si>
  <si>
    <t>5 true / 3 false</t>
  </si>
  <si>
    <t>tc-witness-knowledge_gaps-is_open_and_blocking</t>
  </si>
  <si>
    <t>never true (8/8 false)</t>
  </si>
  <si>
    <t>tc-witness-knowledge_gaps-is_overdue_gap</t>
  </si>
  <si>
    <t>tc-witness-knowledge_gaps-owner_is_still_engaged</t>
  </si>
  <si>
    <t>always true (8/8)</t>
  </si>
  <si>
    <t>tc-witness-knowledge_gaps-has_resolution_plan</t>
  </si>
  <si>
    <t>tc-witness-knowledge_gaps-is_abandoned_unknown</t>
  </si>
  <si>
    <t>tc-witness-knowledge_gaps-owner_role_is_vacated</t>
  </si>
  <si>
    <t>tc-witness-knowledge_gaps-is_ownerless_open_gap</t>
  </si>
  <si>
    <t>tc-witness-procedure_executions-is_structurally_complete</t>
  </si>
  <si>
    <t>1 true / 1 false</t>
  </si>
  <si>
    <t>tc-witness-procedure_executions-diverged_from_specification</t>
  </si>
  <si>
    <t>always true (2/2)</t>
  </si>
  <si>
    <t>tc-witness-procedure_executions-all_blocking_controls_evaluated</t>
  </si>
  <si>
    <t>tc-witness-procedure_executions-separation_of_duties_held</t>
  </si>
  <si>
    <t>tc-witness-procedure_executions-is_attestation_ready</t>
  </si>
  <si>
    <t>never true (2/2 false)</t>
  </si>
  <si>
    <t>tc-witness-procedure_executions-executed_version_is_fit</t>
  </si>
  <si>
    <t>tc-witness-procedure_executions-signed_against_unfit_version</t>
  </si>
  <si>
    <t>tc-witness-procedure_executions-assurance_is_mostly_asserted</t>
  </si>
  <si>
    <t>tc-witness-procedure_executions-has_cleared_legal_review</t>
  </si>
  <si>
    <t>tc-witness-procedure_executions-has_abandoned_failures</t>
  </si>
  <si>
    <t>tc-witness-procedure_executions-ran_clean</t>
  </si>
  <si>
    <t>tc-witness-procedure_executions-has_human_approval</t>
  </si>
  <si>
    <t>tc-witness-procedure_executions-has_delivered</t>
  </si>
  <si>
    <t>tc-witness-procedure_executions-delivered_without_approval</t>
  </si>
  <si>
    <t>tc-witness-procedure_executions-approval_chain_is_complete</t>
  </si>
  <si>
    <t>tc-witness-procedure_executions-separation_was_testable</t>
  </si>
  <si>
    <t>tc-witness-procedure_executions-separation_held_under_test</t>
  </si>
  <si>
    <t>tc-witness-procedure_executions-separation_is_vacuously_green</t>
  </si>
  <si>
    <t>tc-witness-procedure_executions-divergence_was_fully_governed</t>
  </si>
  <si>
    <t>tc-witness-procedure_executions-attestation_would_be_weakly_based</t>
  </si>
  <si>
    <t>tc-witness-procedure_executions-has_any_independent_observation</t>
  </si>
  <si>
    <t>tc-witness-procedure_executions-assurance_chain_is_circular</t>
  </si>
  <si>
    <t>tc-witness-procedure_executions-has_been_attested</t>
  </si>
  <si>
    <t>tc-witness-procedure_executions-basis_changed_after_signature</t>
  </si>
  <si>
    <t>tc-witness-procedure_executions-requires_re_attestation</t>
  </si>
  <si>
    <t>tc-witness-procedure_executions-campaign_silently_lost_audience</t>
  </si>
  <si>
    <t>tc-witness-procedure_executions-has_unrecorded_refusals</t>
  </si>
  <si>
    <t>tc-witness-procedure_executions-send_decisions_are_entirely_self_witnessed</t>
  </si>
  <si>
    <t>tc-witness-step_executions-is_late</t>
  </si>
  <si>
    <t>7 true / 5 false</t>
  </si>
  <si>
    <t>tc-witness-step_executions-proceeded_past_blocking_control</t>
  </si>
  <si>
    <t>tc-witness-step_executions-has_unevaluated_blocking_control</t>
  </si>
  <si>
    <t>tc-witness-step_executions-ran_on_stale_authoritative_source</t>
  </si>
  <si>
    <t>2 true / 10 false</t>
  </si>
  <si>
    <t>tc-witness-step_executions-has_deviation_note</t>
  </si>
  <si>
    <t>tc-witness-step_executions-is_late_and_unexplained</t>
  </si>
  <si>
    <t>tc-witness-step_executions-had_uninvoked_exception_available</t>
  </si>
  <si>
    <t>tc-witness-step_executions-has_skipped_verification</t>
  </si>
  <si>
    <t>tc-witness-step_executions-claims_pass_without_evidence</t>
  </si>
  <si>
    <t>tc-witness-step_executions-step_is_preparation</t>
  </si>
  <si>
    <t>tc-witness-step_executions-step_is_approval</t>
  </si>
  <si>
    <t>tc-witness-step_executions-violates_separation_of_duties</t>
  </si>
  <si>
    <t>tc-witness-step_executions-executor_held_required_role</t>
  </si>
  <si>
    <t>always true (12/12)</t>
  </si>
  <si>
    <t>tc-witness-step_executions-is_unauthorized_approval</t>
  </si>
  <si>
    <t>tc-witness-step_executions-executor_is_human</t>
  </si>
  <si>
    <t>tc-witness-step_executions-step_requires_human_confirmation</t>
  </si>
  <si>
    <t>tc-witness-step_executions-non_human_ran_human_step</t>
  </si>
  <si>
    <t>tc-witness-step_executions-non_human_approval</t>
  </si>
  <si>
    <t>tc-witness-step_executions-approval_rests_on_self_attestation</t>
  </si>
  <si>
    <t>tc-witness-step_executions-ran_under_exception</t>
  </si>
  <si>
    <t>tc-witness-step_executions-is_completed</t>
  </si>
  <si>
    <t>tc-witness-step_executions-is_verification_passed</t>
  </si>
  <si>
    <t>11 true / 1 false</t>
  </si>
  <si>
    <t>tc-witness-step_executions-is_legal_review_step</t>
  </si>
  <si>
    <t>tc-witness-step_executions-executor_is_designated_agent</t>
  </si>
  <si>
    <t>tc-witness-step_executions-inputs_were_fresh_at_run</t>
  </si>
  <si>
    <t>10 true / 2 false</t>
  </si>
  <si>
    <t>tc-witness-step_executions-ran_on_stale_inputs</t>
  </si>
  <si>
    <t>tc-witness-step_executions-has_deviation</t>
  </si>
  <si>
    <t>tc-witness-step_executions-is_clean</t>
  </si>
  <si>
    <t>5 true / 7 false</t>
  </si>
  <si>
    <t>tc-witness-step_executions-has_unevaluated_blocking_requirement</t>
  </si>
  <si>
    <t>tc-witness-step_executions-was_executed_by_software</t>
  </si>
  <si>
    <t>tc-witness-step_executions-step_is_software_assigned</t>
  </si>
  <si>
    <t>tc-witness-step_executions-software_did_human_work</t>
  </si>
  <si>
    <t>tc-witness-step_executions-is_approval_execution</t>
  </si>
  <si>
    <t>tc-witness-step_executions-is_verified</t>
  </si>
  <si>
    <t>tc-witness-step_executions-requires_human_confirmation</t>
  </si>
  <si>
    <t>tc-witness-step_executions-human_confirmation_missing</t>
  </si>
  <si>
    <t>tc-witness-step_executions-drafted_from_unusable_source</t>
  </si>
  <si>
    <t>tc-witness-step_executions-inputs_were_usable</t>
  </si>
  <si>
    <t>tc-witness-step_executions-all_clearances_are_unfalsified</t>
  </si>
  <si>
    <t>tc-witness-step_executions-was_stale_when_i_ran_it</t>
  </si>
  <si>
    <t>tc-witness-step_executions-staleness_answer_is_tense_dependent</t>
  </si>
  <si>
    <t>tc-witness-step_executions-has_any_declared_check</t>
  </si>
  <si>
    <t>8 true / 4 false</t>
  </si>
  <si>
    <t>tc-witness-step_executions-is_unchecked_by_design</t>
  </si>
  <si>
    <t>tc-witness-step_executions-is_vacuously_clean</t>
  </si>
  <si>
    <t>tc-witness-step_executions-is_substantively_clean</t>
  </si>
  <si>
    <t>tc-witness-step_executions-evidence_position_is_weak</t>
  </si>
  <si>
    <t>tc-witness-step_executions-has_governing_instrument</t>
  </si>
  <si>
    <t>tc-witness-step_executions-has_approved_change_coverage</t>
  </si>
  <si>
    <t>tc-witness-step_executions-is_ungoverned_divergence</t>
  </si>
  <si>
    <t>tc-witness-requirement_satisfactions-requirement_is_blocking</t>
  </si>
  <si>
    <t>tc-witness-requirement_satisfactions-is_fully_satisfied</t>
  </si>
  <si>
    <t>7 true / 1 false</t>
  </si>
  <si>
    <t>tc-witness-requirement_satisfactions-is_blocking_and_unmet</t>
  </si>
  <si>
    <t>tc-witness-requirement_satisfactions-non_human_evaluated_human_control</t>
  </si>
  <si>
    <t>tc-witness-requirement_satisfactions-requirement_has_computed_witness</t>
  </si>
  <si>
    <t>tc-witness-requirement_satisfactions-is_asserted_only</t>
  </si>
  <si>
    <t>3 true / 5 false</t>
  </si>
  <si>
    <t>tc-witness-requirement_satisfactions-is_human_evaluated</t>
  </si>
  <si>
    <t>tc-witness-requirement_satisfactions-is_invalid_approval</t>
  </si>
  <si>
    <t>tc-witness-requirement_satisfactions-requirement_is_unfalsified</t>
  </si>
  <si>
    <t>6 true / 2 false</t>
  </si>
  <si>
    <t>tc-witness-requirement_satisfactions-is_clearance_by_unfalsified_control</t>
  </si>
  <si>
    <t>tc-witness-requirement_satisfactions-evaluator_is_step_executor</t>
  </si>
  <si>
    <t>2 true / 6 false</t>
  </si>
  <si>
    <t>tc-witness-requirement_satisfactions-evaluator_owns_the_run</t>
  </si>
  <si>
    <t>tc-witness-requirement_satisfactions-is_interested_party_assertion</t>
  </si>
  <si>
    <t>tc-witness-requirement_satisfactions-has_written_evidence</t>
  </si>
  <si>
    <t>tc-witness-requirement_satisfactions-is_bare_assertion</t>
  </si>
  <si>
    <t>tc-witness-requirement_satisfactions-is_computedly_witnessed</t>
  </si>
  <si>
    <t>tc-witness-requirement_satisfactions-was_scored_after_attestation</t>
  </si>
  <si>
    <t>tc-witness-issue_occurrences-is_unresolved</t>
  </si>
  <si>
    <t>tc-witness-stewardship_assignments-has_ever_been_reviewed</t>
  </si>
  <si>
    <t>tc-witness-stewardship_assignments-is_current_assignment</t>
  </si>
  <si>
    <t>tc-witness-change_requests-is_open</t>
  </si>
  <si>
    <t>tc-witness-change_requests-is_decided</t>
  </si>
  <si>
    <t>tc-witness-change_requests-is_still_pending</t>
  </si>
  <si>
    <t>tc-witness-change_requests-is_stalled</t>
  </si>
  <si>
    <t>tc-witness-change_requests-requester_is_authority</t>
  </si>
  <si>
    <t>tc-witness-change_requests-awaits_authority_decision</t>
  </si>
  <si>
    <t>tc-witness-change_requests-touches_live_version</t>
  </si>
  <si>
    <t>tc-witness-change_requests-is_live_decision_backlog</t>
  </si>
  <si>
    <t>tc-witness-change_requests-blocks_an_open_gap</t>
  </si>
  <si>
    <t>tc-witness-change_requests-is_my_pending_decision</t>
  </si>
  <si>
    <t>tc-witness-change_requests-is_my_blocking_backlog</t>
  </si>
  <si>
    <t>tc-witness-change_requests-is_my_overdue_backlog</t>
  </si>
  <si>
    <t>tc-witness-change_requests-is_implemented</t>
  </si>
  <si>
    <t>tc-witness-change_requests-is_my_decided_request</t>
  </si>
  <si>
    <t>tc-witness-change_requests-is_my_decided_but_unlanded</t>
  </si>
  <si>
    <t>tc-witness-change_requests-delay_is_downstream_of_me</t>
  </si>
  <si>
    <t>tc-witness-change_requests-is_approved_not_implemented</t>
  </si>
  <si>
    <t>tc-witness-change_requests-is_stalled_implementation</t>
  </si>
  <si>
    <t>tc-witness-change_requests-is_approved_decision</t>
  </si>
  <si>
    <t>tc-witness-review_events-is_overdue</t>
  </si>
  <si>
    <t>tc-witness-review_events-exceeds_promised_cadence</t>
  </si>
  <si>
    <t>tc-witness-review_events-promise_and_behavior_disagree</t>
  </si>
  <si>
    <t>tc-witness-operational_bindings-is_fresh</t>
  </si>
  <si>
    <t>2 true / 3 false</t>
  </si>
  <si>
    <t>tc-witness-operational_bindings-is_stale_and_authoritative</t>
  </si>
  <si>
    <t>3 true / 2 false</t>
  </si>
  <si>
    <t>tc-witness-operational_bindings-resource_is_approved</t>
  </si>
  <si>
    <t>never true (0/5 false)</t>
  </si>
  <si>
    <t>tc-witness-operational_bindings-is_usable_for_drafting</t>
  </si>
  <si>
    <t>never true (3/5 false)</t>
  </si>
  <si>
    <t>tc-witness-communication_policies-is_active_policy</t>
  </si>
  <si>
    <t>tc-witness-message_templates-is_template_over_length</t>
  </si>
  <si>
    <t>tc-witness-message_templates-has_valid_approval</t>
  </si>
  <si>
    <t>tc-witness-message_templates-is_claiming_unbacked_approval</t>
  </si>
  <si>
    <t>tc-witness-message_templates-has_body_drifted</t>
  </si>
  <si>
    <t>tc-witness-message_templates-is_sendable_under_approval</t>
  </si>
  <si>
    <t>tc-witness-message_templates-template_draws_no_response</t>
  </si>
  <si>
    <t>tc-witness-exception_invocations-approval_role_matches</t>
  </si>
  <si>
    <t>always true (1/1)</t>
  </si>
  <si>
    <t>tc-witness-exception_invocations-is_approved</t>
  </si>
  <si>
    <t>tc-witness-exception_invocations-is_improperly_approved</t>
  </si>
  <si>
    <t>never true (1/1 false)</t>
  </si>
  <si>
    <t>tc-witness-exception_invocations-delegated_to_preparer</t>
  </si>
  <si>
    <t>tc-witness-exception_invocations-is_ungoverned_invocation</t>
  </si>
  <si>
    <t>tc-witness-verification_outcomes-signal_matches_expected</t>
  </si>
  <si>
    <t>3 true / 1 false</t>
  </si>
  <si>
    <t>tc-witness-verification_outcomes-has_evidence</t>
  </si>
  <si>
    <t>tc-witness-verification_outcomes-is_unbacked_observation</t>
  </si>
  <si>
    <t>1 true / 3 false</t>
  </si>
  <si>
    <t>tc-witness-verification_outcomes-is_self_witnessed</t>
  </si>
  <si>
    <t>tc-witness-verification_outcomes-is_self_witnessed_and_unbacked</t>
  </si>
  <si>
    <t>tc-witness-verification_outcomes-is_uncorroborated_pass</t>
  </si>
  <si>
    <t>tc-witness-verification_outcomes-observer_is_non_human</t>
  </si>
  <si>
    <t>tc-witness-verification_outcomes-observer_is_independent_of_executor</t>
  </si>
  <si>
    <t>tc-witness-verification_outcomes-is_independent_human_observation</t>
  </si>
  <si>
    <t>tc-witness-recipients-has_sms_consent</t>
  </si>
  <si>
    <t>tc-witness-recipients-is_email_reachable</t>
  </si>
  <si>
    <t>always true (5/5)</t>
  </si>
  <si>
    <t>tc-witness-recipients-is_sms_reachable</t>
  </si>
  <si>
    <t>4 true / 1 false</t>
  </si>
  <si>
    <t>tc-witness-recipients-is_unreachable</t>
  </si>
  <si>
    <t>never true (5/5 false)</t>
  </si>
  <si>
    <t>tc-witness-recipients-is_communicationally_stranded</t>
  </si>
  <si>
    <t>tc-witness-message_deliveries-policy_requires_consent</t>
  </si>
  <si>
    <t>tc-witness-message_deliveries-recipient_has_sms_consent</t>
  </si>
  <si>
    <t>tc-witness-message_deliveries-was_actually_transmitted</t>
  </si>
  <si>
    <t>tc-witness-message_deliveries-is_consent_violation</t>
  </si>
  <si>
    <t>never true (6/6 false)</t>
  </si>
  <si>
    <t>tc-witness-message_deliveries-policy_has_quiet_hours</t>
  </si>
  <si>
    <t>tc-witness-message_deliveries-quiet_window_wraps_midnight</t>
  </si>
  <si>
    <t>tc-witness-message_deliveries-is_inside_quiet_window</t>
  </si>
  <si>
    <t>1 true / 5 false</t>
  </si>
  <si>
    <t>tc-witness-message_deliveries-is_quiet_hours_violation</t>
  </si>
  <si>
    <t>tc-witness-message_deliveries-recipient_is_unreachable</t>
  </si>
  <si>
    <t>tc-witness-message_deliveries-is_acknowledged</t>
  </si>
  <si>
    <t>tc-witness-message_deliveries-has_unreachable_exception_invoked</t>
  </si>
  <si>
    <t>tc-witness-message_deliveries-is_fabricated_acknowledgement</t>
  </si>
  <si>
    <t>tc-witness-message_deliveries-is_unhandled_unreachable</t>
  </si>
  <si>
    <t>tc-witness-message_deliveries-is_within_retention_window</t>
  </si>
  <si>
    <t>always true (6/6)</t>
  </si>
  <si>
    <t>tc-witness-message_deliveries-has_rendered_body</t>
  </si>
  <si>
    <t>tc-witness-message_deliveries-is_evidence_required</t>
  </si>
  <si>
    <t>tc-witness-message_deliveries-is_retention_breach</t>
  </si>
  <si>
    <t>tc-witness-message_deliveries-execution_has_cleared_legal_review</t>
  </si>
  <si>
    <t>tc-witness-message_deliveries-is_unreviewed_send</t>
  </si>
  <si>
    <t>tc-witness-message_deliveries-is_over_segment_limit</t>
  </si>
  <si>
    <t>tc-witness-message_deliveries-template_has_valid_approval</t>
  </si>
  <si>
    <t>tc-witness-message_deliveries-is_unapproved_send</t>
  </si>
  <si>
    <t>tc-witness-message_deliveries-policy_requires_opt_out</t>
  </si>
  <si>
    <t>tc-witness-message_deliveries-has_opt_out_phrase</t>
  </si>
  <si>
    <t>tc-witness-message_deliveries-is_opt_out_in_first_segment</t>
  </si>
  <si>
    <t>tc-witness-message_deliveries-is_missing_required_opt_out</t>
  </si>
  <si>
    <t>tc-witness-message_deliveries-is_opt_out_at_risk_of_truncation</t>
  </si>
  <si>
    <t>tc-witness-message_deliveries-is_failed_delivery</t>
  </si>
  <si>
    <t>tc-witness-message_deliveries-is_suppressed</t>
  </si>
  <si>
    <t>tc-witness-message_deliveries-is_triaged</t>
  </si>
  <si>
    <t>3 true / 3 false</t>
  </si>
  <si>
    <t>tc-witness-message_deliveries-is_abandoned_failure</t>
  </si>
  <si>
    <t>tc-witness-message_deliveries-template_was_sendable</t>
  </si>
  <si>
    <t>tc-witness-message_deliveries-is_drifted_send</t>
  </si>
  <si>
    <t>tc-witness-message_deliveries-was_sent_outside_business_hours</t>
  </si>
  <si>
    <t>tc-witness-message_deliveries-was_delivered_and_unanswered</t>
  </si>
  <si>
    <t>tc-witness-message_deliveries-is_poorly_timed_unanswered</t>
  </si>
  <si>
    <t>tc-witness-message_deliveries-is_well_timed_unanswered</t>
  </si>
  <si>
    <t>2 true / 4 false</t>
  </si>
  <si>
    <t>tc-witness-message_deliveries-approval_preceded_send</t>
  </si>
  <si>
    <t>tc-witness-message_deliveries-has_frozen_approval_evidence</t>
  </si>
  <si>
    <t>tc-witness-message_deliveries-provenance_is_live_derived</t>
  </si>
  <si>
    <t>tc-witness-message_deliveries-template_reapproved_since_send</t>
  </si>
  <si>
    <t>tc-witness-message_deliveries-is_unprovable_approval_claim</t>
  </si>
  <si>
    <t>tc-witness-message_deliveries-has_sent_reminder</t>
  </si>
  <si>
    <t>never true (0/6 false)</t>
  </si>
  <si>
    <t>tc-witness-message_deliveries-acknowledgement_is_outstanding</t>
  </si>
  <si>
    <t>tc-witness-message_deliveries-is_unchased_acknowledgement</t>
  </si>
  <si>
    <t>tc-witness-message_deliveries-is_exhausted_follow_up</t>
  </si>
  <si>
    <t>never true (3/6 false)</t>
  </si>
  <si>
    <t>tc-witness-message_deliveries-needs_human_escalation</t>
  </si>
  <si>
    <t>tc-witness-template_approvals-is_approval_decision</t>
  </si>
  <si>
    <t>tc-witness-template_approvals-is_decided_by_required_role</t>
  </si>
  <si>
    <t>tc-witness-send_intents-policy_is_active</t>
  </si>
  <si>
    <t>tc-witness-send_intents-intent_requires_consent</t>
  </si>
  <si>
    <t>tc-witness-send_intents-recipient_has_channel_consent</t>
  </si>
  <si>
    <t>tc-witness-send_intents-consent_gate_passed</t>
  </si>
  <si>
    <t>tc-witness-send_intents-recipient_is_sms_reachable</t>
  </si>
  <si>
    <t>tc-witness-send_intents-recipient_is_email_reachable</t>
  </si>
  <si>
    <t>tc-witness-send_intents-reachability_gate_passed</t>
  </si>
  <si>
    <t>tc-witness-send_intents-permission_gate_passed</t>
  </si>
  <si>
    <t>tc-witness-send_intents-intent_policy_has_quiet_hours</t>
  </si>
  <si>
    <t>tc-witness-send_intents-intent_quiet_window_wraps</t>
  </si>
  <si>
    <t>tc-witness-send_intents-intent_is_inside_quiet_window</t>
  </si>
  <si>
    <t>tc-witness-send_intents-timing_gate_passed</t>
  </si>
  <si>
    <t>tc-witness-send_intents-length_gate_passed</t>
  </si>
  <si>
    <t>tc-witness-send_intents-opt_out_gate_passed</t>
  </si>
  <si>
    <t>5 true / 2 false</t>
  </si>
  <si>
    <t>tc-witness-send_intents-content_gate_passed</t>
  </si>
  <si>
    <t>tc-witness-send_intents-template_is_sendable</t>
  </si>
  <si>
    <t>tc-witness-send_intents-execution_has_legal_clearance</t>
  </si>
  <si>
    <t>tc-witness-send_intents-approval_is_human</t>
  </si>
  <si>
    <t>tc-witness-send_intents-authorization_gate_passed</t>
  </si>
  <si>
    <t>tc-witness-send_intents-is_cleared_to_send</t>
  </si>
  <si>
    <t>tc-witness-send_intents-has_resulting_delivery</t>
  </si>
  <si>
    <t>tc-witness-send_intents-resulting_delivery_was_transmitted</t>
  </si>
  <si>
    <t>always true (2/7)</t>
  </si>
  <si>
    <t>tc-witness-send_intents-is_overridden_refusal</t>
  </si>
  <si>
    <t>tc-witness-send_intents-is_silently_dropped</t>
  </si>
  <si>
    <t>4 true / 3 false</t>
  </si>
  <si>
    <t>tc-witness-send_intents-refusal_cited_an_exception</t>
  </si>
  <si>
    <t>tc-witness-send_intents-is_properly_handled_refusal</t>
  </si>
  <si>
    <t>tc-witness-send_intents-my_approval_was_in_force</t>
  </si>
  <si>
    <t>tc-witness-send_intents-refused_on_approved_content</t>
  </si>
  <si>
    <t>tc-witness-send_intents-refused_on_opt_out_only</t>
  </si>
  <si>
    <t>tc-witness-send_intents-refusal_was_on_my_rules</t>
  </si>
  <si>
    <t>tc-witness-send_intents-refusal_was_outside_my_control</t>
  </si>
  <si>
    <t>tc-witness-send_intents-is_unreported_refusal_on_my_rules</t>
  </si>
  <si>
    <t>tc-witness-send_intents-is_approval_overridden_silently</t>
  </si>
  <si>
    <t>tc-witness-send_intents-has_alternate_channel_attempt</t>
  </si>
  <si>
    <t>tc-witness-send_intents-alternate_attempt_was_cleared</t>
  </si>
  <si>
    <t>tc-witness-send_intents-is_refused_with_no_alternative</t>
  </si>
  <si>
    <t>tc-witness-send_intents-exception_prescribed_an_alternative</t>
  </si>
  <si>
    <t>tc-witness-send_intents-prescribed_handling_was_performed</t>
  </si>
  <si>
    <t>tc-witness-send_intents-is_suppression_without_remedy</t>
  </si>
  <si>
    <t>tc-witness-send_intents-has_durable_refusal_record</t>
  </si>
  <si>
    <t>tc-witness-send_intents-refusal_was_escalated</t>
  </si>
  <si>
    <t>tc-witness-send_intents-is_unrecorded_refusal</t>
  </si>
  <si>
    <t>tc-witness-send_intents-is_unescalated_refusal</t>
  </si>
  <si>
    <t>tc-witness-send_intents-was_deferred_on_timing</t>
  </si>
  <si>
    <t>tc-witness-send_intents-window_has_since_reopened</t>
  </si>
  <si>
    <t>tc-witness-send_intents-has_retry_attempt</t>
  </si>
  <si>
    <t>tc-witness-send_intents-retry_was_cleared</t>
  </si>
  <si>
    <t>tc-witness-send_intents-is_abandoned_deferral</t>
  </si>
  <si>
    <t>tc-witness-send_intents-is_stale_deferral</t>
  </si>
  <si>
    <t>tc-witness-send_intents-enforced_by_unauthorized_agent</t>
  </si>
  <si>
    <t>tc-witness-send_intents-consent_input_was_resolvable</t>
  </si>
  <si>
    <t>tc-witness-send_intents-policy_input_was_resolvable</t>
  </si>
  <si>
    <t>tc-witness-send_intents-all_gate_inputs_resolved</t>
  </si>
  <si>
    <t>tc-witness-send_intents-is_unevaluable_refusal</t>
  </si>
  <si>
    <t>tc-witness-send_intents-is_self_witnessed_decision</t>
  </si>
  <si>
    <t>tc-witness-send_intents-is_independently_confirmed</t>
  </si>
  <si>
    <t>tc-witness-agent_decision_records-was_overridden</t>
  </si>
  <si>
    <t>tc-witness-agent_decision_records-was_reviewed</t>
  </si>
  <si>
    <t>tc-witness-agent_decision_records-violated_authority_boundary</t>
  </si>
  <si>
    <t>tc-witness-agent_decision_records-has_human_confirmation</t>
  </si>
  <si>
    <t>tc-witness-agent_decision_records-needs_human_confirmation</t>
  </si>
  <si>
    <t>tc-witness-agent_decision_records-is_unconfirmed_non_human_decision</t>
  </si>
  <si>
    <t>tc-witness-agent_decision_records-is_draft_kind</t>
  </si>
  <si>
    <t>tc-witness-agent_decision_records-is_error_correction</t>
  </si>
  <si>
    <t>tc-witness-agent_decision_records-is_reserved_judgment_override</t>
  </si>
  <si>
    <t>tc-witness-agent_decision_records-override_reason_is_recorded</t>
  </si>
  <si>
    <t>tc-witness-agent_decision_records-is_unexplained_override</t>
  </si>
  <si>
    <t>tc-witness-delivered_communications-has_authorization</t>
  </si>
  <si>
    <t>tc-witness-delivered_communications-content_matches_approval</t>
  </si>
  <si>
    <t>never true (0/1 false)</t>
  </si>
  <si>
    <t>tc-witness-delivered_communications-was_approved_before_sending</t>
  </si>
  <si>
    <t>tc-witness-delivered_communications-is_defensible</t>
  </si>
  <si>
    <t>tc-witness-authority_boundaries-is_currently_binding</t>
  </si>
  <si>
    <t>tc-witness-authority_boundaries-ratifying_fragment_is_valid</t>
  </si>
  <si>
    <t>always true (2/3)</t>
  </si>
  <si>
    <t>tc-witness-authority_boundaries-is_untested</t>
  </si>
  <si>
    <t>tc-witness-authority_boundaries-has_ratifying_fragment</t>
  </si>
  <si>
    <t>tc-witness-authority_boundaries-is_unwarranted</t>
  </si>
  <si>
    <t>tc-witness-authority_boundaries-ratifying_fragment_is_overdue</t>
  </si>
  <si>
    <t>tc-witness-authority_boundaries-ratifying_fragment_is_single_witness</t>
  </si>
  <si>
    <t>tc-witness-authority_boundaries-warrant_is_thin</t>
  </si>
  <si>
    <t>tc-witness-authority_boundaries-is_unwarranted_and_untested</t>
  </si>
  <si>
    <t>tc-witness-authority_boundaries-ratification_lapsed</t>
  </si>
  <si>
    <t>tc-witness-authority_boundaries-binds_despite_lapsed_ratification</t>
  </si>
  <si>
    <t>tc-witness-authority_boundaries-is_ungrounded_and_untested</t>
  </si>
  <si>
    <t>tc-witness-binding_observations-was_stale_at_run</t>
  </si>
  <si>
    <t>no rows to witness</t>
  </si>
  <si>
    <t>tc-witness-binding_observations-is_authoritative_binding</t>
  </si>
  <si>
    <t>tc-witness-attestations-version_is_fit_now</t>
  </si>
  <si>
    <t>tc-witness-attestations-fitness_verdict_has_drifted</t>
  </si>
  <si>
    <t>tc-witness-attestations-assurance_grade_has_drifted</t>
  </si>
  <si>
    <t>tc-witness-attestations-would_not_survive_restatement</t>
  </si>
  <si>
    <t>tc-answered-q-analyst-blocking-unmet-on-my-step</t>
  </si>
  <si>
    <t>question-answered</t>
  </si>
  <si>
    <t>At least one predicate exists to answer this question.</t>
  </si>
  <si>
    <t>7 predicates</t>
  </si>
  <si>
    <t>tc-answered-q-analyst-blocking-never-evaluated</t>
  </si>
  <si>
    <t>8 predicates</t>
  </si>
  <si>
    <t>tc-answered-q-analyst-evidence-binding-stale</t>
  </si>
  <si>
    <t>6 predicates</t>
  </si>
  <si>
    <t>tc-answered-q-analyst-my-late-steps-unexplained</t>
  </si>
  <si>
    <t>tc-answered-q-analyst-verification-declared-never-performed</t>
  </si>
  <si>
    <t>tc-answered-q-controller-separation-of-duties</t>
  </si>
  <si>
    <t>tc-answered-q-controller-approval-authority-valid</t>
  </si>
  <si>
    <t>tc-answered-q-controller-blocking-control-inoperative</t>
  </si>
  <si>
    <t>tc-answered-q-controller-execution-diverged-from-spec</t>
  </si>
  <si>
    <t>10 predicates</t>
  </si>
  <si>
    <t>tc-answered-q-controller-ai-agent-approved-meaning</t>
  </si>
  <si>
    <t>tc-answered-q-cfo-can-i-sign</t>
  </si>
  <si>
    <t>tc-answered-q-cfo-approving-on-unfit-version</t>
  </si>
  <si>
    <t>9 predicates</t>
  </si>
  <si>
    <t>tc-answered-q-cfo-approval-was-actually-verified</t>
  </si>
  <si>
    <t>tc-answered-q-cfo-who-actually-held-authority</t>
  </si>
  <si>
    <t>tc-answered-q-cfo-am-i-being-told-everything</t>
  </si>
  <si>
    <t>tc-answered-q-steward-cadence-breach</t>
  </si>
  <si>
    <t>tc-answered-q-steward-orphan-versions</t>
  </si>
  <si>
    <t>tc-answered-q-steward-untested-fallbacks</t>
  </si>
  <si>
    <t>11 predicates</t>
  </si>
  <si>
    <t>tc-answered-q-steward-published-with-blocking-gap</t>
  </si>
  <si>
    <t>tc-answered-q-steward-stalled-change-requests</t>
  </si>
  <si>
    <t>tc-answered-q-authority-orphaned-provenance</t>
  </si>
  <si>
    <t>tc-answered-q-authority-non-approved-dependency</t>
  </si>
  <si>
    <t>tc-answered-q-authority-stale-elicitation</t>
  </si>
  <si>
    <t>tc-answered-q-authority-known-unknowns</t>
  </si>
  <si>
    <t>tc-answered-q-authority-unwitnessed-change</t>
  </si>
  <si>
    <t>tc-answered-q-counsel-sms-without-consent</t>
  </si>
  <si>
    <t>tc-answered-q-counsel-quiet-hours-breach</t>
  </si>
  <si>
    <t>tc-answered-q-counsel-unreachable-not-acknowledged</t>
  </si>
  <si>
    <t>tc-answered-q-counsel-retention-evidence</t>
  </si>
  <si>
    <t>tc-answered-q-counsel-legal-review-gated-send</t>
  </si>
  <si>
    <t>tc-answered-q-comms-oversized-sms</t>
  </si>
  <si>
    <t>tc-answered-q-comms-approval-authority</t>
  </si>
  <si>
    <t>tc-answered-q-comms-optout-present</t>
  </si>
  <si>
    <t>tc-answered-q-comms-deliverability</t>
  </si>
  <si>
    <t>tc-answered-q-comms-template-drift</t>
  </si>
  <si>
    <t>tc-answered-q-publisher-may-i-transmit</t>
  </si>
  <si>
    <t>tc-answered-q-publisher-may-i-transmit-now</t>
  </si>
  <si>
    <t>tc-answered-q-publisher-is-this-content-permitted</t>
  </si>
  <si>
    <t>tc-answered-q-publisher-am-i-authorized-to-act</t>
  </si>
  <si>
    <t>tc-answered-q-publisher-refusal-was-honored</t>
  </si>
  <si>
    <t>tc-answered-q-close-auto-authority-current</t>
  </si>
  <si>
    <t>tc-answered-q-close-auto-input-freshness</t>
  </si>
  <si>
    <t>tc-answered-q-close-auto-last-run-clean</t>
  </si>
  <si>
    <t>tc-answered-q-close-auto-blocking-requirements-evaluated</t>
  </si>
  <si>
    <t>5 predicates</t>
  </si>
  <si>
    <t>tc-answered-q-close-auto-human-override-drift</t>
  </si>
  <si>
    <t>tc-answered-q-hr-authority-without-review</t>
  </si>
  <si>
    <t>tc-answered-q-hr-ai-authored-commitments</t>
  </si>
  <si>
    <t>tc-answered-q-hr-unapproved-knowledge-in-my-name</t>
  </si>
  <si>
    <t>tc-answered-q-hr-what-was-actually-sent</t>
  </si>
  <si>
    <t>tc-answered-q-hr-policy-knowledge-half-life</t>
  </si>
  <si>
    <t>tc-answered-q-variance-ai-authority-provenance</t>
  </si>
  <si>
    <t>tc-answered-q-variance-ai-quality-vs-human-baseline</t>
  </si>
  <si>
    <t>tc-answered-q-variance-ai-boundary-compliance</t>
  </si>
  <si>
    <t>tc-answered-q-variance-ai-human-confirmation-present</t>
  </si>
  <si>
    <t>tc-answered-q-variance-ai-knowledge-currency</t>
  </si>
  <si>
    <t>tc-answered-q-policy-ai-no-role-assignment</t>
  </si>
  <si>
    <t>3 predicates</t>
  </si>
  <si>
    <t>tc-answered-q-policy-ai-source-approval</t>
  </si>
  <si>
    <t>tc-answered-q-policy-ai-commitment-boundary</t>
  </si>
  <si>
    <t>tc-answered-q-policy-ai-downstream-rewrite</t>
  </si>
  <si>
    <t>tc-answered-q-policy-ai-approval-chain-complete</t>
  </si>
  <si>
    <t>tc-answered-q2-authority-compound-fragility</t>
  </si>
  <si>
    <t>tc-answered-q2-authority-boundary-rests-on-expired-claim</t>
  </si>
  <si>
    <t>tc-answered-q2-authority-elicitation-method-monoculture</t>
  </si>
  <si>
    <t>tc-answered-q2-authority-unapproved-knowledge-reaching-machines</t>
  </si>
  <si>
    <t>tc-answered-q2-authority-review-date-is-inferred-not-recorded</t>
  </si>
  <si>
    <t>tc-answered-q2-hr-my-backlog-is-someone-elses-block</t>
  </si>
  <si>
    <t>tc-answered-q2-hr-ai-boundary-holds-only-where-tested</t>
  </si>
  <si>
    <t>tc-answered-q2-hr-my-unapproved-claim-is-load-bearing</t>
  </si>
  <si>
    <t>tc-answered-q2-hr-my-approvals-never-read-as-done</t>
  </si>
  <si>
    <t>tc-answered-q2-hr-departed-holder-left-claims-behind</t>
  </si>
  <si>
    <t>tc-answered-q2-steward-recovery-path-is-load-bearing</t>
  </si>
  <si>
    <t>tc-answered-q2-steward-cadence-breach-is-unremediated</t>
  </si>
  <si>
    <t>tc-answered-q2-steward-unstewarded-version-still-referenced</t>
  </si>
  <si>
    <t>tc-answered-q2-steward-approved-cr-never-lands</t>
  </si>
  <si>
    <t>tc-answered-q2-steward-control-kind-instead-of-hardcoded-ids</t>
  </si>
  <si>
    <t>tc-answered-q2-fa-cleared-by-mute-control</t>
  </si>
  <si>
    <t>tc-answered-q2-fa-stale-then-vs-stale-now</t>
  </si>
  <si>
    <t>13 predicates</t>
  </si>
  <si>
    <t>tc-answered-q2-fa-witness-coverage-of-my-steps</t>
  </si>
  <si>
    <t>tc-answered-q2-fa-clean-but-uncovered</t>
  </si>
  <si>
    <t>tc-answered-q2-fa-my-own-evidence-quality</t>
  </si>
  <si>
    <t>tc-answered-q2-ctl-witness-never-fired</t>
  </si>
  <si>
    <t>tc-answered-q2-ctl-witness-scope-vs-binding</t>
  </si>
  <si>
    <t>tc-answered-q2-ctl-separation-held-or-untested</t>
  </si>
  <si>
    <t>tc-answered-q2-ctl-asserted-controls-by-who</t>
  </si>
  <si>
    <t>tc-answered-q2-ctl-divergence-that-nobody-governed</t>
  </si>
  <si>
    <t>tc-answered-q2-cfo-quality-of-a-green-attestation</t>
  </si>
  <si>
    <t>tc-answered-q2-cfo-would-it-survive-restatement</t>
  </si>
  <si>
    <t>tc-answered-q2-cfo-who-witnessed-the-witnesses</t>
  </si>
  <si>
    <t>tc-answered-q2-cfo-controls-nobody-is-watching</t>
  </si>
  <si>
    <t>tc-answered-q2-cfo-what-changed-since-i-signed</t>
  </si>
  <si>
    <t>tc-answered-q2-comms-approval-to-delivery-yield</t>
  </si>
  <si>
    <t>tc-answered-q2-comms-message-nobody-answered</t>
  </si>
  <si>
    <t>tc-answered-q2-comms-my-approval-was-consumed-correctly</t>
  </si>
  <si>
    <t>tc-answered-q2-comms-freeze-what-i-approved</t>
  </si>
  <si>
    <t>tc-answered-q2-comms-suppression-is-a-communication</t>
  </si>
  <si>
    <t>tc-answered-q2-variance-comparison-is-statistically-empty</t>
  </si>
  <si>
    <t>tc-answered-q2-variance-boundary-rests-on-expired-knowledge</t>
  </si>
  <si>
    <t>tc-answered-q2-variance-override-signal-vs-noise</t>
  </si>
  <si>
    <t>tc-answered-q2-variance-handover-was-a-decision-somebody-made</t>
  </si>
  <si>
    <t>tc-answered-q2-variance-what-would-make-me-stop</t>
  </si>
  <si>
    <t>tc-answered-q2-publisher-every-refusal-leaves-a-record</t>
  </si>
  <si>
    <t>tc-answered-q2-publisher-deferred-not-cancelled</t>
  </si>
  <si>
    <t>tc-answered-q2-publisher-my-own-authorization</t>
  </si>
  <si>
    <t>tc-answered-q2-publisher-am-i-the-only-witness</t>
  </si>
  <si>
    <t>tc-answered-q2-publisher-obligation-after-send</t>
  </si>
  <si>
    <t>tc-provenance-resolves</t>
  </si>
  <si>
    <t>provenance</t>
  </si>
  <si>
    <t>Every invented field points at a role question that exists.</t>
  </si>
  <si>
    <t>all resolve</t>
  </si>
  <si>
    <t>tc-catalog-sync</t>
  </si>
  <si>
    <t>catalog-sync</t>
  </si>
  <si>
    <t>The catalog matches the real schemas in both directions — nothing missing, nothing stale.</t>
  </si>
  <si>
    <t>1521 fields in sync</t>
  </si>
  <si>
    <t>tc-no-delimiter-collision</t>
  </si>
  <si>
    <t>invariant</t>
  </si>
  <si>
    <t>composite keys</t>
  </si>
  <si>
    <t>No identifier contains the '|' delimiter that composite join keys rely on.</t>
  </si>
  <si>
    <t>no identifier contains '|'</t>
  </si>
  <si>
    <t>tc-inv-spec-exec-separate</t>
  </si>
  <si>
    <t>Procedures vs ProcedureExecutions</t>
  </si>
  <si>
    <t>Specifications and executions remain separate tables linked by hasExecutedProcedure.</t>
  </si>
  <si>
    <t>specification and execution are separate tables</t>
  </si>
  <si>
    <t>tc-inv-blocking-unmet-visible</t>
  </si>
  <si>
    <t>A blocking requirement recorded below Satisfied is visible as a witness, not merely as text.</t>
  </si>
  <si>
    <t>computed on 8 rows</t>
  </si>
  <si>
    <t>tc-inv-sod-computable</t>
  </si>
  <si>
    <t>Segregation of duties is computed from execution data rather than asserted in prose.</t>
  </si>
  <si>
    <t>computed on 12 rows</t>
  </si>
  <si>
    <t>tc-inv-consent-computable</t>
  </si>
  <si>
    <t>A send to a non-consenting recipient is distinguishable from a correctly suppressed one.</t>
  </si>
  <si>
    <t>computed on 6 rows</t>
  </si>
  <si>
    <t>tc-inv-asof-not-wallclock</t>
  </si>
  <si>
    <t>time-dependent witnesses</t>
  </si>
  <si>
    <t>No time-dependent witness compares against NOW(); all read the modeled evaluation instant.</t>
  </si>
  <si>
    <t>all time witnesses read the modeled instant</t>
  </si>
  <si>
    <t>tc-inv-remediation-preserved</t>
  </si>
  <si>
    <t>Seeded violations were remediated in model rather than deleted — resolved gaps remain as evidence.</t>
  </si>
  <si>
    <t>7 resolved gaps retained as evidence</t>
  </si>
  <si>
    <t>pko-native-procedural-knowledge</t>
  </si>
  <si>
    <t>Initial PKO 2.0.0 aligned rulebook</t>
  </si>
  <si>
    <t>Candidate proof of canonical PKO-as-ERB architecture.</t>
  </si>
  <si>
    <t>exc-inv-close02</t>
  </si>
  <si>
    <t>Used the digitally signed 09:07 trial-balance snapshot and opened blocking incident issue-close-feed. No spreadsheet substitution.</t>
  </si>
  <si>
    <t>urn:effortless:pko-extension#ExceptionInvocation</t>
  </si>
  <si>
    <t>vo-close01</t>
  </si>
  <si>
    <t>evidence://erp/close/2026-q2/ledger-lock.json</t>
  </si>
  <si>
    <t>urn:effortless:pko-extension#VerificationOutcome</t>
  </si>
  <si>
    <t>vo-close02</t>
  </si>
  <si>
    <t>17</t>
  </si>
  <si>
    <t>evidence://erp/close/2026-q2/feed-age.json</t>
  </si>
  <si>
    <t>vo-close03</t>
  </si>
  <si>
    <t>vo-close05</t>
  </si>
  <si>
    <t>evidence://erp/close/2026-q2/controller-approval.pdf</t>
  </si>
  <si>
    <t>obs-close-01-02-q2</t>
  </si>
  <si>
    <t>urn:effortless:pko-extension#ObservedTransition</t>
  </si>
  <si>
    <t>obs-close-02-03-q2</t>
  </si>
  <si>
    <t>obs-close-03-04-q2</t>
  </si>
  <si>
    <t>obs-close-04-05-q2</t>
  </si>
  <si>
    <t>obs-close-05-06-q2</t>
  </si>
  <si>
    <t>obs-close-06-07-q2</t>
  </si>
  <si>
    <t>obs-close-07-08-q2</t>
  </si>
  <si>
    <t>obs-policy-01-02-hr4821</t>
  </si>
  <si>
    <t>obs-policy-02-03-hr4821</t>
  </si>
  <si>
    <t>obs-policy-03-04-hr4821</t>
  </si>
  <si>
    <t>rec-001</t>
  </si>
  <si>
    <t>Jordan Ellis</t>
  </si>
  <si>
    <t>jordan.ellis@example.com</t>
  </si>
  <si>
    <t>+15551000001</t>
  </si>
  <si>
    <t>Granted</t>
  </si>
  <si>
    <t>urn:effortless:pko-extension#Recipient</t>
  </si>
  <si>
    <t>rec-002</t>
  </si>
  <si>
    <t>Sam Rivera</t>
  </si>
  <si>
    <t>sam.rivera@example.com</t>
  </si>
  <si>
    <t>+15551000002</t>
  </si>
  <si>
    <t>rec-003</t>
  </si>
  <si>
    <t>Alex Kim</t>
  </si>
  <si>
    <t>alex.kim@example.com</t>
  </si>
  <si>
    <t>+15551000003</t>
  </si>
  <si>
    <t>rec-004</t>
  </si>
  <si>
    <t>Riley Chen</t>
  </si>
  <si>
    <t>riley.chen@example.com</t>
  </si>
  <si>
    <t>+15551000004</t>
  </si>
  <si>
    <t>Revoked</t>
  </si>
  <si>
    <t>rec-005</t>
  </si>
  <si>
    <t>Morgan Diaz</t>
  </si>
  <si>
    <t>morgan.diaz@example.com</t>
  </si>
  <si>
    <t>NeverGranted</t>
  </si>
  <si>
    <t>md-001</t>
  </si>
  <si>
    <t>Policy HR-4821 update. Review the notice and acknowledge: https://example.com/hr4821 Reply STOP to opt out.</t>
  </si>
  <si>
    <t>Delivered</t>
  </si>
  <si>
    <t>urn:effortless:pko-extension#MessageDelivery</t>
  </si>
  <si>
    <t>md-002</t>
  </si>
  <si>
    <t>md-003</t>
  </si>
  <si>
    <t>RETROACTIVE FINDING: transmitted to a recipient with no SMS consent. Should have been suppressed under exc-no-sms-consent and sent by approved email only. Retained as evidence; recipient re-consented on 2026-07-19 and a corrected email was sent.</t>
  </si>
  <si>
    <t>md-004</t>
  </si>
  <si>
    <t>Suppressed</t>
  </si>
  <si>
    <t>Recipient consent revoked; suppressed per exc-no-sms-consent and sent approved email only.</t>
  </si>
  <si>
    <t>md-005</t>
  </si>
  <si>
    <t>Policy HR-4821 update. Review the notice and acknowledge: https://example.com/hr4821</t>
  </si>
  <si>
    <t>RETROACTIVE FINDING: transmitted at 21:00, inside the 20:00-08:00 quiet window defined by comm-sms-policy. Retained as evidence; the send window is now gated on CommunicationPolicies.QuietHoursStartHour before transmission.</t>
  </si>
  <si>
    <t>md-006</t>
  </si>
  <si>
    <t>Failed</t>
  </si>
  <si>
    <t>No mobile number on file; HR case opened and routed to the manager per exc-unreachable. Acknowledgement deliberately not marked complete.</t>
  </si>
  <si>
    <t>Reviewed against comm-email-policy required content and retention.</t>
  </si>
  <si>
    <t>urn:effortless:pko-extension#TemplateApproval</t>
  </si>
  <si>
    <t>Approved against comm-sms-policy: 160-char limit, 3-segment cap, required STOP opt-out, 20:00-08:00 quiet window.</t>
  </si>
  <si>
    <t>si-001</t>
  </si>
  <si>
    <t>Policy HR-4821 update. Review and acknowledge: https://example.com/hr4821 Reply STOP to opt out</t>
  </si>
  <si>
    <t>urn:effortless:pko-extension#SendIntent</t>
  </si>
  <si>
    <t>si-002</t>
  </si>
  <si>
    <t>si-003</t>
  </si>
  <si>
    <t>si-004</t>
  </si>
  <si>
    <t>Policy HR-4821 update. This notice explains the revised remote-work expectations, the effective date, the acknowledgement deadline, and who to contact with questions about how the change affects your specific arrangement. Reply STOP to opt out</t>
  </si>
  <si>
    <t>si-005</t>
  </si>
  <si>
    <t>Policy HR-4821 update. Review and acknowledge: https://example.com/hr4821</t>
  </si>
  <si>
    <t>si-006</t>
  </si>
  <si>
    <t>si-007</t>
  </si>
  <si>
    <t>adr-close-post-q2</t>
  </si>
  <si>
    <t>Posting</t>
  </si>
  <si>
    <t>Posted approved close entries and published the package.</t>
  </si>
  <si>
    <t>Material</t>
  </si>
  <si>
    <t>urn:effortless:pko-extension#AgentDecisionRecord</t>
  </si>
  <si>
    <t>adr-close-extract-q2</t>
  </si>
  <si>
    <t>Accepted a trial-balance extract in which one feed was 17 minutes old.</t>
  </si>
  <si>
    <t>Corrected</t>
  </si>
  <si>
    <t>adr-close-freeze-q2</t>
  </si>
  <si>
    <t>Locked subledgers at cutoff.</t>
  </si>
  <si>
    <t>dc-hr4821-email-001</t>
  </si>
  <si>
    <t>emp-anon-0001</t>
  </si>
  <si>
    <t>NotYetSent</t>
  </si>
  <si>
    <t>urn:effortless:pko-extension#DeliveredCommunication</t>
  </si>
  <si>
    <t>bnd-close-04-no-ai-escalation-waiver</t>
  </si>
  <si>
    <t>Suppression</t>
  </si>
  <si>
    <t>urn:effortless:pko-extension#AuthorityBoundary</t>
  </si>
  <si>
    <t>bnd-close-06-no-nonhuman-approval</t>
  </si>
  <si>
    <t>bnd-policy-03-no-ai-commitment</t>
  </si>
  <si>
    <t>Commitment</t>
  </si>
  <si>
    <t>profile-cfo</t>
  </si>
  <si>
    <t>human</t>
  </si>
  <si>
    <t>#1d4ed8</t>
  </si>
  <si>
    <t>crown</t>
  </si>
  <si>
    <t>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cj1TS+/9c+35o4d2/ICgco649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t>
  </si>
  <si>
    <t>Decide whether the attestation can be signed, and what the green actually rests on.</t>
  </si>
  <si>
    <t>profile-controller</t>
  </si>
  <si>
    <t>#0f766e</t>
  </si>
  <si>
    <t>shield</t>
  </si>
  <si>
    <t>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t>
  </si>
  <si>
    <t>Prove the close controls worked — not merely that nothing failed.</t>
  </si>
  <si>
    <t>profile-finance-analyst</t>
  </si>
  <si>
    <t>#0891b2</t>
  </si>
  <si>
    <t>ledger</t>
  </si>
  <si>
    <t>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t>
  </si>
  <si>
    <t>Check my own steps before somebody else does.</t>
  </si>
  <si>
    <t>profile-hr-policy-owner</t>
  </si>
  <si>
    <t>#7c3aed</t>
  </si>
  <si>
    <t>seal</t>
  </si>
  <si>
    <t>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t>
  </si>
  <si>
    <t>See what is live in my name and what is waiting on me.</t>
  </si>
  <si>
    <t>profile-employment-counsel</t>
  </si>
  <si>
    <t>#4338ca</t>
  </si>
  <si>
    <t>scales</t>
  </si>
  <si>
    <t>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A6sEMKgcY/WTGIxxfA0RFYG6z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t>
  </si>
  <si>
    <t>Hold the four legal gates: consent, quiet hours, review, retention.</t>
  </si>
  <si>
    <t>profile-communications-manager</t>
  </si>
  <si>
    <t>#c026d3</t>
  </si>
  <si>
    <t>broadcast</t>
  </si>
  <si>
    <t>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t>
  </si>
  <si>
    <t>Follow a message from my approval to whether anyone actually got it.</t>
  </si>
  <si>
    <t>profile-process-steward</t>
  </si>
  <si>
    <t>#15803d</t>
  </si>
  <si>
    <t>cycle</t>
  </si>
  <si>
    <t>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t>
  </si>
  <si>
    <t>Keep procedural knowledge current, owned, and exercised.</t>
  </si>
  <si>
    <t>profile-knowledge-authority</t>
  </si>
  <si>
    <t>#b45309</t>
  </si>
  <si>
    <t>keystone</t>
  </si>
  <si>
    <t>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U7rrXIisCBCCeP1lCDXFkpXwG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t>
  </si>
  <si>
    <t>Approve semantic change, and know what the model's claims rest on.</t>
  </si>
  <si>
    <t>profile-close-automation</t>
  </si>
  <si>
    <t>software</t>
  </si>
  <si>
    <t>#0369a1</t>
  </si>
  <si>
    <t>gear</t>
  </si>
  <si>
    <t>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t>
  </si>
  <si>
    <t>Confirm I am authorized and my inputs are fresh before I run.</t>
  </si>
  <si>
    <t>profile-variance-review-agent</t>
  </si>
  <si>
    <t>#be123c</t>
  </si>
  <si>
    <t>spark</t>
  </si>
  <si>
    <t>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t>
  </si>
  <si>
    <t>Check my authority, my boundary, and my quality against the human baseline.</t>
  </si>
  <si>
    <t>profile-policy-drafting-agent</t>
  </si>
  <si>
    <t>#9333ea</t>
  </si>
  <si>
    <t>quill</t>
  </si>
  <si>
    <t>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t>
  </si>
  <si>
    <t>Confirm my sources are approved and I have not created a commitment.</t>
  </si>
  <si>
    <t>profile-notification-publisher</t>
  </si>
  <si>
    <t>#ea580c</t>
  </si>
  <si>
    <t>signal</t>
  </si>
  <si>
    <t>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t>
  </si>
  <si>
    <t>Clear four gates before transmitting, and leave a record of every refusal.</t>
  </si>
  <si>
    <t>attest</t>
  </si>
  <si>
    <t>Attestation</t>
  </si>
  <si>
    <t>assurance</t>
  </si>
  <si>
    <t>Assurance</t>
  </si>
  <si>
    <t>authority</t>
  </si>
  <si>
    <t>controls</t>
  </si>
  <si>
    <t>Controls</t>
  </si>
  <si>
    <t>evidence</t>
  </si>
  <si>
    <t>execution</t>
  </si>
  <si>
    <t>Execution</t>
  </si>
  <si>
    <t>knowledge</t>
  </si>
  <si>
    <t>Knowledge</t>
  </si>
  <si>
    <t>governance</t>
  </si>
  <si>
    <t>delivery</t>
  </si>
  <si>
    <t>Delivery</t>
  </si>
  <si>
    <t>audience</t>
  </si>
  <si>
    <t>Audience</t>
  </si>
  <si>
    <t>compliance</t>
  </si>
  <si>
    <t>Compliance</t>
  </si>
  <si>
    <t>readiness</t>
  </si>
  <si>
    <t>Readiness</t>
  </si>
  <si>
    <t>selfcheck</t>
  </si>
  <si>
    <t>Self-check</t>
  </si>
  <si>
    <t>quality</t>
  </si>
  <si>
    <t>backlog</t>
  </si>
  <si>
    <t>My Backlog</t>
  </si>
  <si>
    <t>ownership</t>
  </si>
  <si>
    <t>Ownership</t>
  </si>
  <si>
    <t>cadence</t>
  </si>
  <si>
    <t>model</t>
  </si>
  <si>
    <t>The Model</t>
  </si>
  <si>
    <t>conformance</t>
  </si>
  <si>
    <t>Conformance</t>
  </si>
  <si>
    <t>witnesses</t>
  </si>
  <si>
    <t>Witnesses</t>
  </si>
  <si>
    <t>loops</t>
  </si>
  <si>
    <t>Loops</t>
  </si>
  <si>
    <t>inferences</t>
  </si>
  <si>
    <t>Inferences</t>
  </si>
  <si>
    <t>cfo-home</t>
  </si>
  <si>
    <t>/cfo/attestation</t>
  </si>
  <si>
    <t>Can I Sign?</t>
  </si>
  <si>
    <t>domain</t>
  </si>
  <si>
    <t>dashboard</t>
  </si>
  <si>
    <t>The one screen I open first. A single verdict for the close I am being asked to attest to, and if the answer is no, the named blocker.</t>
  </si>
  <si>
    <t>Hero verdict card (green/red) with the IsAttestationReady column and, beneath it, a blocker list. Right rail: assurance grade summary. Nothing below the fold that is not a blocker.</t>
  </si>
  <si>
    <t>cfo-blockers</t>
  </si>
  <si>
    <t>/cfo/attestation/blockers</t>
  </si>
  <si>
    <t>Blockers</t>
  </si>
  <si>
    <t>workspace</t>
  </si>
  <si>
    <t>Every reason I cannot sign yet, each one traced to the row that produced it.</t>
  </si>
  <si>
    <t>Ordered list, most severe first. Each row: the blocking condition, the entity it fires on, and a link into that entity's detail route. Empty state must say 'no blockers' explicitly, never render blank.</t>
  </si>
  <si>
    <t>cfo-assurance-grade</t>
  </si>
  <si>
    <t>/cfo/assurance/grade</t>
  </si>
  <si>
    <t>Assurance Grade</t>
  </si>
  <si>
    <t>When the verdict reads TRUE, what proportion of the controls behind that TRUE were actually demonstrated to work — versus asserted by an interested party, versus never exercised at all.</t>
  </si>
  <si>
    <t>Three-band stacked bar: demonstrated / asserted / never-exercised. Below it, the per-control table that produced the bands. The headline number is the grade, not the verdict.</t>
  </si>
  <si>
    <t>cfo-unwitnessed-controls</t>
  </si>
  <si>
    <t>/cfo/assurance/unwitnessed</t>
  </si>
  <si>
    <t>Controls Nobody Watches</t>
  </si>
  <si>
    <t>The requirements I am personally attesting to that have no computed witness — and the named human who would answer for each if it failed.</t>
  </si>
  <si>
    <t>Table: requirement, blocking?, has-witness?, accountable human, their role. Rows with no witness AND blocking are the emphasis. Each row links to the requirement detail.</t>
  </si>
  <si>
    <t>cfo-typed-conclusions</t>
  </si>
  <si>
    <t>/cfo/assurance/typed-conclusions</t>
  </si>
  <si>
    <t>Typed, Not Computed</t>
  </si>
  <si>
    <t>Every control claim in this model that rests on a human typing a conclusion rather than on something computed.</t>
  </si>
  <si>
    <t>Two-column split: computed claims vs typed claims, with counts. The typed side is the working list. Each entry shows who typed it and when.</t>
  </si>
  <si>
    <t>cfo-witness-chain</t>
  </si>
  <si>
    <t>/cfo/assurance/independence</t>
  </si>
  <si>
    <t>Who Witnessed the Witnesses</t>
  </si>
  <si>
    <t>Across the whole close, is there any independent human observation at all — or is every layer the same handful of people confirming each other?</t>
  </si>
  <si>
    <t>Chain/graph view: approvals and verification outcomes as nodes, edges where one person confirms another. Self-witnessed loops highlighted. Sidebar counts independent vs self-witnessed.</t>
  </si>
  <si>
    <t>cfo-authority-map</t>
  </si>
  <si>
    <t>/cfo/authority/accountability</t>
  </si>
  <si>
    <t>Who Held Authority</t>
  </si>
  <si>
    <t>For every approval in this close, the human who was personally accountable — and whether an exception routed authority away from the person who normally holds it.</t>
  </si>
  <si>
    <t>Table per approval: approver, role held at the time, normal holder, exception invoked?. Rerouted rows flagged. Links to the exception invocation detail.</t>
  </si>
  <si>
    <t>cfo-my-approvals</t>
  </si>
  <si>
    <t>/cfo/authority/my-approvals</t>
  </si>
  <si>
    <t>My Own Approvals</t>
  </si>
  <si>
    <t>My approval on se-close06 — is there anything behind it other than the fact that I clicked approve?</t>
  </si>
  <si>
    <t>Detail card per approval I gave: what was verified, by whom, with what evidence. An approval with nothing behind it is rendered as a warning state, not an empty section.</t>
  </si>
  <si>
    <t>cfo-signature-dependencies</t>
  </si>
  <si>
    <t>/cfo/attestation/dependencies</t>
  </si>
  <si>
    <t>What My Signature Rests On</t>
  </si>
  <si>
    <t>The full set of controls, versions, and evidence records my signature actually depends on — the blast radius of my own name.</t>
  </si>
  <si>
    <t>Dependency tree rooted at the attestation, expanding into controls, versions, evidence. Each node shows its current state. This is the reference view the change-watch route diffs against.</t>
  </si>
  <si>
    <t>cfo-changed-since-signing</t>
  </si>
  <si>
    <t>/cfo/attestation/changed-since</t>
  </si>
  <si>
    <t>Changed Since I Signed</t>
  </si>
  <si>
    <t>Since the moment I signed, has anything changed that would have altered my decision — specifically touching a control, a version, or an evidence record my signature depended on.</t>
  </si>
  <si>
    <t>Timeline diff anchored at the signature timestamp. Only changes intersecting the dependency set are shown; unrelated churn is explicitly excluded and the exclusion is stated.</t>
  </si>
  <si>
    <t>cfo-restatement</t>
  </si>
  <si>
    <t>/cfo/assurance/restatement</t>
  </si>
  <si>
    <t>Would It Survive Restatement</t>
  </si>
  <si>
    <t>If I re-run every attestation column against this same data six months from now, will it give the same answer? Name every column whose value depends on when it is read.</t>
  </si>
  <si>
    <t>Table of attestation columns with a tense-dependent flag, sourced from the EvaluationContexts modelled instant. Time-dependent columns get an explicit warning band at the top.</t>
  </si>
  <si>
    <t>cfo-attestation-detail</t>
  </si>
  <si>
    <t>/cfo/attestation/execution/:executionId</t>
  </si>
  <si>
    <t>Attestation Detail</t>
  </si>
  <si>
    <t>detail</t>
  </si>
  <si>
    <t>One execution, everything I would be signing for it.</t>
  </si>
  <si>
    <t>Full-page record: execution header, per-step conformance, control results, evidence links. Reachable from the blocker list and the home verdict.</t>
  </si>
  <si>
    <t>controller-home</t>
  </si>
  <si>
    <t>/controller/controls</t>
  </si>
  <si>
    <t>Control Board</t>
  </si>
  <si>
    <t>Every close control at a glance: which fired, which held, and which are structurally incapable of failing.</t>
  </si>
  <si>
    <t>Grid of control tiles, each showing bound steps, witness presence, and whether it has ever produced a negative. Inoperative controls are visually distinct, not just sorted lower.</t>
  </si>
  <si>
    <t>controller-mute-controls</t>
  </si>
  <si>
    <t>/controller/controls/inoperative</t>
  </si>
  <si>
    <t>Inoperative Controls</t>
  </si>
  <si>
    <t>Which of my blocking close controls are structurally incapable of failing — declared, bound to a step, and yet with no mechanism that could ever produce a negative result.</t>
  </si>
  <si>
    <t>List with a three-state badge per control: has-witness / witness-ever-fired / could-ever-fire. The third state is the finding. Each row explains WHY it cannot fire.</t>
  </si>
  <si>
    <t>controller-witness-scope</t>
  </si>
  <si>
    <t>/controller/controls/witness-scope</t>
  </si>
  <si>
    <t>Witness Scope vs Binding</t>
  </si>
  <si>
    <t>For each control with a witness, is the witness evaluated at the same steps where the control is bound? req-close-evidence is bound to close-03 and close-08 — is its witness scoped to both?</t>
  </si>
  <si>
    <t>Two parallel columns per control: steps bound vs steps witnessed, with the set difference called out. A non-empty difference is the finding.</t>
  </si>
  <si>
    <t>controller-separation</t>
  </si>
  <si>
    <t>/controller/controls/separation-of-duties</t>
  </si>
  <si>
    <t>Separation of Duties</t>
  </si>
  <si>
    <t>Did the same agent both prepare and approve any part of this close — computed, not asserted. And could it even have happened, or is the control passing because the structure never gave it the chance to fail?</t>
  </si>
  <si>
    <t>Top: the computed verdict. Below: the opportunity analysis — executions where the same agent COULD have held both seats. A pass with zero opportunity is rendered as inconclusive, not green.</t>
  </si>
  <si>
    <t>controller-conformance</t>
  </si>
  <si>
    <t>/controller/execution/conformance</t>
  </si>
  <si>
    <t>Spec vs Execution</t>
  </si>
  <si>
    <t>One number per close: did the execution actually conform to its procedure version, and if not, how far off was it?</t>
  </si>
  <si>
    <t>Reuse the existing spec/execution ledger layout. Add a single conformance score in the header. Divergent steps anchor-linked from the score.</t>
  </si>
  <si>
    <t>controller-ungoverned-divergence</t>
  </si>
  <si>
    <t>/controller/execution/ungoverned-divergence</t>
  </si>
  <si>
    <t>Divergence Nobody Governed</t>
  </si>
  <si>
    <t>For each divergence, was there a governing instrument behind it — an invoked exception, an approved change request, a recorded deviation with an owner — or did the run simply do something different and nobody wrote it down?</t>
  </si>
  <si>
    <t>Per divergence: the instrument that covers it, or an explicit 'ungoverned' state. Ungoverned rows are the working list and sort first.</t>
  </si>
  <si>
    <t>controller-authority-validity</t>
  </si>
  <si>
    <t>/controller/authority/validity</t>
  </si>
  <si>
    <t>Authority at Time of Approval</t>
  </si>
  <si>
    <t>Timeline per approval: the assignment window vs the approval instant. Approvals outside their window are the finding. Bitemporal — do not compare against today.</t>
  </si>
  <si>
    <t>controller-ai-boundary</t>
  </si>
  <si>
    <t>/controller/authority/ai-boundary</t>
  </si>
  <si>
    <t>Machine Did Human Work</t>
  </si>
  <si>
    <t>Table of software-executed steps against their human-confirmation requirement. Include an explicit 'never approached' column — an untested boundary is not a passing one.</t>
  </si>
  <si>
    <t>controller-asserted-controls</t>
  </si>
  <si>
    <t>/controller/evidence/asserted</t>
  </si>
  <si>
    <t>Asserted, Not Demonstrated</t>
  </si>
  <si>
    <t>Three satisfaction records are asserted-only. For each: who asserted it, did they have any independent basis, and were they the same person who executed the step they were scoring?</t>
  </si>
  <si>
    <t>Per record: asserter, executor, independence verdict. Same-person rows flagged. Evidence URI shown or its absence stated explicitly.</t>
  </si>
  <si>
    <t>controller-control-detail</t>
  </si>
  <si>
    <t>/controller/controls/requirement/:requirementId</t>
  </si>
  <si>
    <t>Control Detail</t>
  </si>
  <si>
    <t>One control, end to end: what it says, where it is bound, what witnesses it, and every time it has been evaluated.</t>
  </si>
  <si>
    <t>Detail page. Header with the statement and blocking flag; sections for bindings, witness, and evaluation history. This is the shared requirement detail specialised for the controller.</t>
  </si>
  <si>
    <t>analyst-home</t>
  </si>
  <si>
    <t>/finance-analyst/my-work</t>
  </si>
  <si>
    <t>My Steps</t>
  </si>
  <si>
    <t>The steps I personally executed, and whether each one closed cleanly or closed past something.</t>
  </si>
  <si>
    <t>Card per step execution with status, duration vs expected, and blocking-control state. Anything that closed past a blocking control is the emphasis.</t>
  </si>
  <si>
    <t>analyst-blocking-unmet</t>
  </si>
  <si>
    <t>/finance-analyst/my-work/blocking-unmet</t>
  </si>
  <si>
    <t>Closed Past a Control</t>
  </si>
  <si>
    <t>On the steps I personally executed, did any close out while a BLOCKING requirement was still not fully satisfied?</t>
  </si>
  <si>
    <t>List of my step executions with an unmet blocking control, each showing the control and its satisfaction level. This is a personal-exposure screen — keep it short and unambiguous.</t>
  </si>
  <si>
    <t>analyst-never-evaluated</t>
  </si>
  <si>
    <t>/finance-analyst/my-work/never-evaluated</t>
  </si>
  <si>
    <t>Never Assessed</t>
  </si>
  <si>
    <t>Which blocking requirements were attached to a step I ran but never got a satisfaction record at all — not satisfied, not unsatisfied, just never assessed.</t>
  </si>
  <si>
    <t>The absence IS the finding, so render missing records as explicit rows, never as an empty table.</t>
  </si>
  <si>
    <t>analyst-late-steps</t>
  </si>
  <si>
    <t>/finance-analyst/my-work/late-unexplained</t>
  </si>
  <si>
    <t>Late and Unexplained</t>
  </si>
  <si>
    <t>Which of my steps ran long without anybody recording why — and of those, which had an exception available that nobody invoked.</t>
  </si>
  <si>
    <t>Table: step, actual vs expected, deviation recorded?, exception available?, exception invoked?. The available-but-not-invoked combination is the finding.</t>
  </si>
  <si>
    <t>analyst-verification-performed</t>
  </si>
  <si>
    <t>/finance-analyst/evidence/verification-performed</t>
  </si>
  <si>
    <t>Declared vs Performed</t>
  </si>
  <si>
    <t>Per step: declared verification, observed signal or its absence, who observed. A PASS with no observation is rendered as hollow, not green.</t>
  </si>
  <si>
    <t>analyst-evidence-quality</t>
  </si>
  <si>
    <t>/finance-analyst/evidence/my-evidence</t>
  </si>
  <si>
    <t>My Own Evidence Quality</t>
  </si>
  <si>
    <t>On the steps I ran, was the person who observed the passing signal ever me — and when it was, did I at least attach an evidence URI?</t>
  </si>
  <si>
    <t>Self-witness table scoped to my steps: observer, is-me flag, evidence URI present. Self-witnessed with no URI is the weakest state and should read that way.</t>
  </si>
  <si>
    <t>analyst-source-freshness</t>
  </si>
  <si>
    <t>/finance-analyst/evidence/source-freshness</t>
  </si>
  <si>
    <t>Was My Source Fresh</t>
  </si>
  <si>
    <t>Per binding: freshness SLA, age at run, authoritative flag. Judged against the modelled instant, never the wall clock.</t>
  </si>
  <si>
    <t>analyst-stale-then-vs-now</t>
  </si>
  <si>
    <t>/finance-analyst/evidence/stale-then-vs-now</t>
  </si>
  <si>
    <t>Stale Then vs Stale Now</t>
  </si>
  <si>
    <t>Was the source stale AT THE MOMENT I RAN, or has it merely gone stale since — and are those the same steps?</t>
  </si>
  <si>
    <t>Two-column comparison: staleness at run-time vs staleness at the current evaluation context. The delta between the columns is the whole point of the screen.</t>
  </si>
  <si>
    <t>analyst-clean-but-uncovered</t>
  </si>
  <si>
    <t>/finance-analyst/quality/clean-but-uncovered</t>
  </si>
  <si>
    <t>Clean, or Just Unchecked</t>
  </si>
  <si>
    <t>Of the executions that ARE clean, how many are clean because everything was checked and passed, versus clean because there was almost nothing checking them?</t>
  </si>
  <si>
    <t>Scatter or two-axis table: controls-checked against controls-passed. Low-check/high-pass is the quadrant of interest and should be labelled as such.</t>
  </si>
  <si>
    <t>analyst-mute-clearance</t>
  </si>
  <si>
    <t>/finance-analyst/quality/cleared-by-mute-control</t>
  </si>
  <si>
    <t>Cleared by a Mute Control</t>
  </si>
  <si>
    <t>How many of the blocking controls that cleared me have NEVER produced a negative outcome anywhere in this model — and were any of my steps cleared ONLY by controls of that kind?</t>
  </si>
  <si>
    <t>Per step: clearing controls, each tagged with whether it has ever fired negative. A step cleared exclusively by never-fired controls is the headline finding.</t>
  </si>
  <si>
    <t>analyst-witness-coverage</t>
  </si>
  <si>
    <t>/finance-analyst/quality/witness-coverage</t>
  </si>
  <si>
    <t>Coverage of My Controls</t>
  </si>
  <si>
    <t>Of the blocking controls attached to the steps I run, how many have no computed witness — and is HasComputedWitness even telling me the truth, given a human typed it in by hand?</t>
  </si>
  <si>
    <t>Coverage bar plus a caveat band: the declared-vs-actual witness comparison, because the declaration itself is a typed field and must be shown as such.</t>
  </si>
  <si>
    <t>hr-home</t>
  </si>
  <si>
    <t>/hr-policy-owner/ownership</t>
  </si>
  <si>
    <t>What I Own</t>
  </si>
  <si>
    <t>Everything currently live under my name: policy versions, knowledge claims, and the decisions waiting on me.</t>
  </si>
  <si>
    <t>Three-panel dashboard: owned versions, owned claims (with approval state), pending decisions with age. Unapproved-but-live claims are the emphasis.</t>
  </si>
  <si>
    <t>hr-unapproved-claims</t>
  </si>
  <si>
    <t>/hr-policy-owner/ownership/unapproved</t>
  </si>
  <si>
    <t>Unapproved in My Name</t>
  </si>
  <si>
    <t>Which claims am I the owner of that were never approved — and are any of them routing real cases right now?</t>
  </si>
  <si>
    <t>List of owned fragments by status, with an 'operationally live' flag. Reviewed-but-not-Approved AND live is the finding.</t>
  </si>
  <si>
    <t>hr-load-bearing-claim</t>
  </si>
  <si>
    <t>/hr-policy-owner/ownership/blast-radius/:fragmentId</t>
  </si>
  <si>
    <t>Blast Radius of a Claim</t>
  </si>
  <si>
    <t>How many steps, exceptions and authority boundaries currently depend on a claim I have not signed, and how long has it been sitting at Reviewed?</t>
  </si>
  <si>
    <t>Dependency fan-out from one fragment: steps, exceptions, boundaries. Header carries the age at Reviewed. This is the screen that makes an unsigned claim feel expensive.</t>
  </si>
  <si>
    <t>hr-backlog</t>
  </si>
  <si>
    <t>/hr-policy-owner/backlog</t>
  </si>
  <si>
    <t>Waiting On Me</t>
  </si>
  <si>
    <t>What decisions are waiting on me personally, and how long have they been waiting.</t>
  </si>
  <si>
    <t>Queue ordered by age. Each item shows what it blocks downstream, so the cost of my delay is visible from the queue itself.</t>
  </si>
  <si>
    <t>hr-backlog-downstream</t>
  </si>
  <si>
    <t>/hr-policy-owner/backlog/downstream</t>
  </si>
  <si>
    <t>What My Delay Blocks</t>
  </si>
  <si>
    <t>The full chain from my inbox outward: which knowledge gaps stay open because I have not decided, which steps sit downstream, and how many days of that delay are mine personally.</t>
  </si>
  <si>
    <t>Chain view: my pending decision → blocked gap → downstream steps. Attribute delay days to me vs to the process explicitly; do not conflate them.</t>
  </si>
  <si>
    <t>hr-my-decisions</t>
  </si>
  <si>
    <t>/hr-policy-owner/backlog/my-decisions</t>
  </si>
  <si>
    <t>What I Have Cleared</t>
  </si>
  <si>
    <t>How many decisions have I made that the model still displays as outstanding against me? I cannot show what I have actually cleared.</t>
  </si>
  <si>
    <t>Decision history with the terminal-state problem surfaced: Approved requests still counted open are flagged as a model defect, not hidden.</t>
  </si>
  <si>
    <t>hr-ai-boundary</t>
  </si>
  <si>
    <t>/hr-policy-owner/governance/ai-boundary</t>
  </si>
  <si>
    <t>Is the AI Boundary Held</t>
  </si>
  <si>
    <t>kf-policy-ai-boundary says AI may draft but may not create legal commitments. Is that boundary actually being held?</t>
  </si>
  <si>
    <t>Per boundary: assigned agent, executions, and whether a violation was possible. Pair every 'no violation' with an 'ever approached' count — the two together are the real answer.</t>
  </si>
  <si>
    <t>hr-knowledge-half-life</t>
  </si>
  <si>
    <t>/hr-policy-owner/governance/knowledge-half-life</t>
  </si>
  <si>
    <t>Knowledge Half-Life</t>
  </si>
  <si>
    <t>Is the policy I own now resting on knowledge older than the policy itself has been reviewed?</t>
  </si>
  <si>
    <t>Timeline: elicitation dates, version issue date, review cadence, next due. The comparison between knowledge age and review interval is the headline.</t>
  </si>
  <si>
    <t>hr-departed-holders</t>
  </si>
  <si>
    <t>/hr-policy-owner/governance/departed-holders</t>
  </si>
  <si>
    <t>What Departed With Them</t>
  </si>
  <si>
    <t>Somebody's assignment ended. Did anything they owned or sourced go with them — claims, gaps, pending decisions — or did the departure genuinely leave nothing behind?</t>
  </si>
  <si>
    <t>Per departed assignment: everything sourced or owned by that agent, with current ownership state. Orphaned items are the finding.</t>
  </si>
  <si>
    <t>hr-what-was-sent</t>
  </si>
  <si>
    <t>/hr-policy-owner/delivery/what-was-sent</t>
  </si>
  <si>
    <t>What Was Actually Sent</t>
  </si>
  <si>
    <t>If an employee disputes what they received, can I show that what was sent matched what I approved?</t>
  </si>
  <si>
    <t>Per delivery: approved text vs transmitted text, side by side, with the approval record and date. A mismatch is the finding; identical is stated explicitly.</t>
  </si>
  <si>
    <t>counsel-home</t>
  </si>
  <si>
    <t>/employment-counsel/compliance</t>
  </si>
  <si>
    <t>Compliance Gates</t>
  </si>
  <si>
    <t>The four gates I care about — consent, quiet hours, legal review, retention — each as a pass/fail with the breaching rows named.</t>
  </si>
  <si>
    <t>Four gate tiles across the top; a breach list beneath whichever is selected. A gate with zero breaches must distinguish 'checked and clean' from 'never evaluated'.</t>
  </si>
  <si>
    <t>counsel-consent</t>
  </si>
  <si>
    <t>/employment-counsel/compliance/consent</t>
  </si>
  <si>
    <t>SMS Without Consent</t>
  </si>
  <si>
    <t>Per SMS delivery: recipient, consent state at send time, verdict. Bitemporal — consent today is not the question.</t>
  </si>
  <si>
    <t>counsel-quiet-hours</t>
  </si>
  <si>
    <t>/employment-counsel/compliance/quiet-hours</t>
  </si>
  <si>
    <t>Quiet Hours</t>
  </si>
  <si>
    <t>Per delivery: send instant, recipient timezone, local hour, verdict. Show the local-time conversion explicitly — the timezone is the whole difficulty.</t>
  </si>
  <si>
    <t>counsel-legal-review</t>
  </si>
  <si>
    <t>/employment-counsel/compliance/legal-review</t>
  </si>
  <si>
    <t>Sent Before My Review</t>
  </si>
  <si>
    <t>Timeline per campaign: review completion vs first transmission. Sends preceding review completion are the finding.</t>
  </si>
  <si>
    <t>counsel-retention</t>
  </si>
  <si>
    <t>/employment-counsel/compliance/retention</t>
  </si>
  <si>
    <t>Retention Evidence</t>
  </si>
  <si>
    <t>Per delivery: text retained?, retention deadline, days remaining. Missing text is a breach and must render as one.</t>
  </si>
  <si>
    <t>counsel-unreachable</t>
  </si>
  <si>
    <t>/employment-counsel/compliance/unreachable</t>
  </si>
  <si>
    <t>Unreachable, Not Acknowledged</t>
  </si>
  <si>
    <t>Per unreachable recipient: delivery state, acknowledgement state. An acknowledgement on an unreachable recipient is the finding.</t>
  </si>
  <si>
    <t>comms-home</t>
  </si>
  <si>
    <t>/communications-manager/delivery</t>
  </si>
  <si>
    <t>Campaign Board</t>
  </si>
  <si>
    <t>For this policy run: who we meant to reach, who we actually reached, and where the rest went.</t>
  </si>
  <si>
    <t>Funnel across the top (intended → sent → delivered → acknowledged), with each drop-off clickable into the rows that fell out.</t>
  </si>
  <si>
    <t>comms-yield</t>
  </si>
  <si>
    <t>/communications-manager/delivery/yield</t>
  </si>
  <si>
    <t>Approval-to-Delivery Yield</t>
  </si>
  <si>
    <t>Of everybody the pipeline intended to contact, what fraction actually received it — and where exactly did the rest go?</t>
  </si>
  <si>
    <t>Sankey or stepped funnel with an explicit terminal bucket for every loss: refused, bounced, suppressed, deferred. No row may vanish without a bucket.</t>
  </si>
  <si>
    <t>comms-failed-deliveries</t>
  </si>
  <si>
    <t>/communications-manager/delivery/failed</t>
  </si>
  <si>
    <t>Bounced and Unworked</t>
  </si>
  <si>
    <t>How many recipients are sitting in a bounced or failed state that nobody is working?</t>
  </si>
  <si>
    <t>Worklist, not a report: each failed delivery with age and owner. Unowned failures sort first.</t>
  </si>
  <si>
    <t>comms-approval-authority</t>
  </si>
  <si>
    <t>/communications-manager/governance/approval-authority</t>
  </si>
  <si>
    <t>Approved Before Sending</t>
  </si>
  <si>
    <t>Was every template we actually sent approved by me — the ApprovalRole the policy names — before it went out?</t>
  </si>
  <si>
    <t>Per sent template: approval record, approver role, approval instant vs send instant. Sends preceding approval are the finding.</t>
  </si>
  <si>
    <t>comms-template-drift</t>
  </si>
  <si>
    <t>/communications-manager/governance/template-drift</t>
  </si>
  <si>
    <t>Edited After I Approved</t>
  </si>
  <si>
    <t>Per template: approval timestamp, last edit timestamp, sends after the edit. Edit-then-send-on-old-approval is the finding.</t>
  </si>
  <si>
    <t>comms-frozen-approval</t>
  </si>
  <si>
    <t>/communications-manager/governance/frozen-approval/:deliveryId</t>
  </si>
  <si>
    <t>Freeze What I Approved</t>
  </si>
  <si>
    <t>For a message we sent last month, can I still show what I approved — the exact text, the exact approval, on the exact date — without that answer changing the next time somebody edits the template?</t>
  </si>
  <si>
    <t>Immutable snapshot view: the text as sent, the approval as given. Must read from the frozen delivery record, never from the live template.</t>
  </si>
  <si>
    <t>comms-optout</t>
  </si>
  <si>
    <t>/communications-manager/compliance/optout</t>
  </si>
  <si>
    <t>Opt-Out Text</t>
  </si>
  <si>
    <t>Per SMS: transmitted text, opt-out present?. Missing opt-out is a breach row.</t>
  </si>
  <si>
    <t>comms-sms-limits</t>
  </si>
  <si>
    <t>/communications-manager/compliance/sms-limits</t>
  </si>
  <si>
    <t>Oversized SMS</t>
  </si>
  <si>
    <t>Per SMS: character count, segment count, both against their limits. Show the computed integer, not a re-derived length.</t>
  </si>
  <si>
    <t>comms-engagement</t>
  </si>
  <si>
    <t>/communications-manager/audience/engagement</t>
  </si>
  <si>
    <t>Why Nobody Answered</t>
  </si>
  <si>
    <t>One acknowledgement out of six deliveries. Is that because employees ignored us, or because the messages that landed were the least likely to be answered — wrong channel, wrong template, sent into the small hours?</t>
  </si>
  <si>
    <t>Cross-tab of acknowledgement rate by channel, template, and send hour. The point is to separate audience apathy from our own targeting.</t>
  </si>
  <si>
    <t>comms-suppression</t>
  </si>
  <si>
    <t>/communications-manager/audience/suppression</t>
  </si>
  <si>
    <t>Correctly Refused, Then Forgotten</t>
  </si>
  <si>
    <t>When we correctly refused to reach somebody, did anyone ever go back and reach them another way — or does 'correctly refused' quietly mean 'never communicated with again'?</t>
  </si>
  <si>
    <t>Per suppressed recipient: the refusal reason, and any subsequent successful contact on another channel. No follow-up is the finding.</t>
  </si>
  <si>
    <t>comms-authorization-override</t>
  </si>
  <si>
    <t>/communications-manager/governance/authorization-override</t>
  </si>
  <si>
    <t>Refused, or Overridden</t>
  </si>
  <si>
    <t>When the pipeline refused to send, was it refusing on a rule I set — or overriding an authorization I had already given, for a reason nobody routed back to me?</t>
  </si>
  <si>
    <t>Per refusal: the governing rule, its owner, and whether it contradicts a standing authorization of mine. Contradictions are the finding.</t>
  </si>
  <si>
    <t>close-auto-home</t>
  </si>
  <si>
    <t>/close-automation/readiness</t>
  </si>
  <si>
    <t>Pre-Flight</t>
  </si>
  <si>
    <t>Before I execute anything: am I authorized, are my inputs fresh, and did my last run leave a mess.</t>
  </si>
  <si>
    <t>Four go/no-go tiles (authority, inputs, prior run, controls) resolving to a single may-I-run verdict. Built for a supervisor watching the agent as much as for the agent.</t>
  </si>
  <si>
    <t>close-auto-authority</t>
  </si>
  <si>
    <t>/close-automation/readiness/authority</t>
  </si>
  <si>
    <t>Am I Authorized</t>
  </si>
  <si>
    <t>Is my own role assignment currently valid, and is the agent named in that assignment actually me?</t>
  </si>
  <si>
    <t>Assignment card: validity window, named agent, identity match. An identity mismatch must halt, not warn.</t>
  </si>
  <si>
    <t>close-auto-inputs</t>
  </si>
  <si>
    <t>/close-automation/readiness/input-freshness</t>
  </si>
  <si>
    <t>Are My Inputs Fresh</t>
  </si>
  <si>
    <t>Before I extract: is every operational binding this step reads inside its freshness SLA, and is it the authoritative one?</t>
  </si>
  <si>
    <t>Per binding: age, SLA, authoritative flag. Two independent failure modes — stale, and non-authoritative — must not be collapsed into one badge.</t>
  </si>
  <si>
    <t>close-auto-controls</t>
  </si>
  <si>
    <t>/close-automation/readiness/blocking-controls</t>
  </si>
  <si>
    <t>Controls Scored</t>
  </si>
  <si>
    <t>For each step I am about to run, has every blocking requirement actually been evaluated — or am I about to execute past a control that nobody scored?</t>
  </si>
  <si>
    <t>Per upcoming step: blocking controls and their evaluation state. Unscored controls block the run.</t>
  </si>
  <si>
    <t>close-auto-last-run</t>
  </si>
  <si>
    <t>/close-automation/readiness/last-run</t>
  </si>
  <si>
    <t>Last Run Clean</t>
  </si>
  <si>
    <t>Prior-run summary with an explicit refuse-to-proceed state. Unresolved items are listed individually, never summarised to a count alone.</t>
  </si>
  <si>
    <t>close-auto-drift</t>
  </si>
  <si>
    <t>/close-automation/self-check/override-drift</t>
  </si>
  <si>
    <t>Am I Drifting</t>
  </si>
  <si>
    <t>Are humans overriding or correcting my output more often now than they used to?</t>
  </si>
  <si>
    <t>Override rate over time with the baseline period marked. Call out sample size — a trend on three decisions is not a trend.</t>
  </si>
  <si>
    <t>variance-home</t>
  </si>
  <si>
    <t>/variance-review-agent/self-check</t>
  </si>
  <si>
    <t>Am I Fit to Decide</t>
  </si>
  <si>
    <t>My authority, my boundary, and the currency of the knowledge I triage against — as one verdict.</t>
  </si>
  <si>
    <t>Three-part readiness card: authority provenance, boundary validity, knowledge currency. Any expired component invalidates the whole.</t>
  </si>
  <si>
    <t>variance-authority</t>
  </si>
  <si>
    <t>/variance-review-agent/self-check/authority</t>
  </si>
  <si>
    <t>By What Authority</t>
  </si>
  <si>
    <t>Provenance chain: assignment, approver, start instant, predecessor. The handover is part of the answer, not a footnote.</t>
  </si>
  <si>
    <t>variance-handover</t>
  </si>
  <si>
    <t>/variance-review-agent/self-check/handover</t>
  </si>
  <si>
    <t>Who Decided a Machine Should Hold This</t>
  </si>
  <si>
    <t>Mine is the one non-human assignment with a recorded approving authority. Who decided a machine should hold this role, and on what basis?</t>
  </si>
  <si>
    <t>The approving decision as a first-class record: who, when, rationale. If the basis is absent, say so — do not present the approval alone as sufficient.</t>
  </si>
  <si>
    <t>variance-boundary</t>
  </si>
  <si>
    <t>/variance-review-agent/governance/boundary</t>
  </si>
  <si>
    <t>Inside My Boundary</t>
  </si>
  <si>
    <t>Am I operating inside my approved boundary — or have I made a decision that kf-policy-ai-boundary says only a human may make?</t>
  </si>
  <si>
    <t>Boundary statement, decisions evaluated against it, verdict per decision. Pair with the 'ever tested' count from the ratification route.</t>
  </si>
  <si>
    <t>variance-boundary-ratification</t>
  </si>
  <si>
    <t>/variance-review-agent/governance/boundary-ratification</t>
  </si>
  <si>
    <t>My Boundary's Own Validity</t>
  </si>
  <si>
    <t>The boundary that constrains what I am allowed to decide is ratified by a knowledge fragment that is not current. Is the rule governing me still valid?</t>
  </si>
  <si>
    <t>Fragment validity chain behind the boundary. An expired ratifier makes the boundary itself questionable, and the page must say that plainly.</t>
  </si>
  <si>
    <t>variance-human-confirmation</t>
  </si>
  <si>
    <t>/variance-review-agent/governance/human-confirmation</t>
  </si>
  <si>
    <t>Did a Human Confirm</t>
  </si>
  <si>
    <t>close-04's instruction says 'Use AI triage, then apply human judgment.' Did a human actually confirm my materiality calls, or did my output pass through unchallenged?</t>
  </si>
  <si>
    <t>Per decision: human confirmation present?, who, when. Unconfirmed decisions on a human-confirmation step are the finding.</t>
  </si>
  <si>
    <t>variance-knowledge-currency</t>
  </si>
  <si>
    <t>/variance-review-agent/knowledge/currency</t>
  </si>
  <si>
    <t>Is My Knowledge Current</t>
  </si>
  <si>
    <t>Is the judgment knowledge I triage against still valid, still owned by someone, and has it been reviewed since it was written?</t>
  </si>
  <si>
    <t>Per fragment: validity, owner, last review. An unowned or unreviewed fragment degrades every decision made against it.</t>
  </si>
  <si>
    <t>variance-quality-baseline</t>
  </si>
  <si>
    <t>/variance-review-agent/quality/vs-human-baseline</t>
  </si>
  <si>
    <t>Better or Worse Than the Human</t>
  </si>
  <si>
    <t>Since I took over, is my triage quality better or worse than maria-chen's during the prior period?</t>
  </si>
  <si>
    <t>Side-by-side period comparison. Sample size shown at equal prominence to the delta — this is the screen most likely to be over-read.</t>
  </si>
  <si>
    <t>variance-sample-size</t>
  </si>
  <si>
    <t>/variance-review-agent/quality/sample-size</t>
  </si>
  <si>
    <t>Is My Comparison Empty</t>
  </si>
  <si>
    <t>QualityRegressedVsPredecessor says I have not regressed — on the strength of three decisions. Is my comparison statistically empty?</t>
  </si>
  <si>
    <t>Explicit power/sample-size statement. A verdict computed on too few observations must be rendered as inconclusive, not as a pass.</t>
  </si>
  <si>
    <t>variance-override-signal</t>
  </si>
  <si>
    <t>/variance-review-agent/quality/override-signal</t>
  </si>
  <si>
    <t>Correction or Judgment</t>
  </si>
  <si>
    <t>One of my three decisions was overridden. Was that a correction of an error I made, or a human exercising judgment I was never authorized to exercise?</t>
  </si>
  <si>
    <t>Per override: my decision, the human's decision, the stated reason, and which of the two categories it falls in. Uncategorised overrides are themselves a gap.</t>
  </si>
  <si>
    <t>variance-stop-condition</t>
  </si>
  <si>
    <t>/variance-review-agent/self-check/stop-condition</t>
  </si>
  <si>
    <t>What Would Make Me Stop</t>
  </si>
  <si>
    <t>Every witness in this model detects something after it has happened. Is there any condition, computed and named, that would stop me before I act?</t>
  </si>
  <si>
    <t>Inventory of stop conditions: pre-act vs post-hoc. If none are pre-act, the page must state that as the finding rather than listing post-hoc witnesses as if they qualified.</t>
  </si>
  <si>
    <t>policy-agent-home</t>
  </si>
  <si>
    <t>/policy-drafting-agent/readiness</t>
  </si>
  <si>
    <t>May I Draft</t>
  </si>
  <si>
    <t>Before I draft: approved sources, valid bindings, and a role assignment that actually exists.</t>
  </si>
  <si>
    <t>Go/no-go card combining source approval, binding freshness, and assignment presence. A missing assignment is a hard stop.</t>
  </si>
  <si>
    <t>policy-agent-sources</t>
  </si>
  <si>
    <t>/policy-drafting-agent/readiness/sources</t>
  </si>
  <si>
    <t>Approved Sources</t>
  </si>
  <si>
    <t>Is every resource I am about to read an approved source, and is its binding still inside its freshness window?</t>
  </si>
  <si>
    <t>Per source: approval state, binding age, SLA. Unapproved or stale sources block the draft.</t>
  </si>
  <si>
    <t>policy-agent-assignment</t>
  </si>
  <si>
    <t>/policy-drafting-agent/readiness/my-assignment</t>
  </si>
  <si>
    <t>Do I Have an Assignment</t>
  </si>
  <si>
    <t>I am named as CurrentAgent and I executed se-policy03 — but is there any RoleAssignment actually granting me that authority?</t>
  </si>
  <si>
    <t>The absence is the finding. If no assignment exists, render that as a violation state, never as an empty list.</t>
  </si>
  <si>
    <t>policy-agent-commitment-boundary</t>
  </si>
  <si>
    <t>/policy-drafting-agent/governance/commitment-boundary</t>
  </si>
  <si>
    <t>Did I Create a Commitment</t>
  </si>
  <si>
    <t>Did I draft language that creates a new legal commitment — the one thing kf-policy-ai-boundary says I may not do?</t>
  </si>
  <si>
    <t>Per draft: commitment-creating language detected?, the boundary text, verdict. Pair with whether the gate was ever exercised.</t>
  </si>
  <si>
    <t>policy-agent-approval-chain</t>
  </si>
  <si>
    <t>/policy-drafting-agent/governance/approval-chain</t>
  </si>
  <si>
    <t>Is the Chain Complete</t>
  </si>
  <si>
    <t>Before anything I rendered gets sent: has a human actually approved the MEANING, not just the formatting?</t>
  </si>
  <si>
    <t>Approval chain from draft to send, with each link's approver and scope. A formatting-only approval must not satisfy a meaning gate.</t>
  </si>
  <si>
    <t>policy-agent-rewrite</t>
  </si>
  <si>
    <t>/policy-drafting-agent/quality/downstream-rewrite</t>
  </si>
  <si>
    <t>Is My Draft Surviving Review</t>
  </si>
  <si>
    <t>Is my draft surviving human review, or is noah-williams rewriting my legal language every time?</t>
  </si>
  <si>
    <t>Per draft: retained vs rewritten proportion, with the diff available. Aggregate rate in the header.</t>
  </si>
  <si>
    <t>publisher-home</t>
  </si>
  <si>
    <t>/notification-publisher/gates</t>
  </si>
  <si>
    <t>May I Transmit</t>
  </si>
  <si>
    <t>The four gates I evaluate before every send — channel permission, timing, content, and human authorization — as one verdict per intent.</t>
  </si>
  <si>
    <t>Gate matrix: intents down, four gates across, cell = pass/refuse. The row verdict is the conjunction. This is the agent's primary screen.</t>
  </si>
  <si>
    <t>publisher-permission-gate</t>
  </si>
  <si>
    <t>/notification-publisher/gates/channel-permission</t>
  </si>
  <si>
    <t>Channel Permission</t>
  </si>
  <si>
    <t>Am I permitted to use this channel for this recipient at all?</t>
  </si>
  <si>
    <t>Per intent: channel, recipient consent state, policy rule, verdict. The governing rule is named on every row.</t>
  </si>
  <si>
    <t>publisher-timing-gate</t>
  </si>
  <si>
    <t>/notification-publisher/gates/timing</t>
  </si>
  <si>
    <t>Timing Window</t>
  </si>
  <si>
    <t>Is the current moment inside a window this channel forbids?</t>
  </si>
  <si>
    <t>Per intent: send instant, recipient local time, forbidden window, verdict. This gate's refusals are temporary and must be labelled deferred, not blocked.</t>
  </si>
  <si>
    <t>publisher-content-gate</t>
  </si>
  <si>
    <t>/notification-publisher/gates/content</t>
  </si>
  <si>
    <t>Content Rules</t>
  </si>
  <si>
    <t>Is the exact text I am holding within this channel's content rules?</t>
  </si>
  <si>
    <t>Per intent: length, segments, required opt-out, verdict. Show the computed values, never recompute them client-side.</t>
  </si>
  <si>
    <t>publisher-authorization-gate</t>
  </si>
  <si>
    <t>/notification-publisher/gates/authorization</t>
  </si>
  <si>
    <t>Human Authorization</t>
  </si>
  <si>
    <t>Has every human authorization my instructions depend on actually been granted?</t>
  </si>
  <si>
    <t>Per intent: required authorizations, each granted or missing. A missing authorization is a hard refuse.</t>
  </si>
  <si>
    <t>publisher-refusals</t>
  </si>
  <si>
    <t>/notification-publisher/refusals</t>
  </si>
  <si>
    <t>Every Refusal</t>
  </si>
  <si>
    <t>When a gate refused, did the transmission actually stop — and did I invoke the documented exception instead?</t>
  </si>
  <si>
    <t>Refusal log: gate, verdict, did transmission stop, exception invoked. A refusal that did not stop the send is the most serious row on the screen.</t>
  </si>
  <si>
    <t>publisher-refusal-artifacts</t>
  </si>
  <si>
    <t>/notification-publisher/refusals/artifacts</t>
  </si>
  <si>
    <t>Every Refusal Leaves a Record</t>
  </si>
  <si>
    <t>For every intent I refused, did I emit an artifact — a suppression record, an exception, anything a human could later find?</t>
  </si>
  <si>
    <t>Per refusal: artifact emitted?, its type and id. A refusal with no artifact is invisible to humans and is the finding.</t>
  </si>
  <si>
    <t>publisher-deferred</t>
  </si>
  <si>
    <t>/notification-publisher/refusals/deferred</t>
  </si>
  <si>
    <t>Deferred, Not Cancelled</t>
  </si>
  <si>
    <t>The timing gate is the only gate whose refusal is temporary — the window reopens. For every send I deferred, did it ever actually go?</t>
  </si>
  <si>
    <t>Per deferred intent: deferral instant, window reopen, eventual send or its absence. A deferral that never sent is a silent cancellation.</t>
  </si>
  <si>
    <t>publisher-obligations</t>
  </si>
  <si>
    <t>/notification-publisher/obligations</t>
  </si>
  <si>
    <t>After the Send</t>
  </si>
  <si>
    <t>policy-08 makes me responsible for collecting acknowledgements, not just for transmitting. Am I discharging that?</t>
  </si>
  <si>
    <t>Per delivery: acknowledgement expected?, received?, chased?. Transmission success is not obligation discharge and the layout must not imply it is.</t>
  </si>
  <si>
    <t>publisher-my-authorization</t>
  </si>
  <si>
    <t>/notification-publisher/self-check/my-authority</t>
  </si>
  <si>
    <t>By What Authority Do I Hold This</t>
  </si>
  <si>
    <t>I enforce authorization rules on every message I touch. By what recorded authority do I hold this role?</t>
  </si>
  <si>
    <t>My own assignment, its approver, and its validity — the same scrutiny I apply to others, applied to me.</t>
  </si>
  <si>
    <t>publisher-sole-witness</t>
  </si>
  <si>
    <t>/notification-publisher/self-check/sole-witness</t>
  </si>
  <si>
    <t>Am I the Only Witness</t>
  </si>
  <si>
    <t>Every gate I evaluate, I evaluate alone, and every result I record, I record about myself. Is there any claim about my behaviour that does not originate with me?</t>
  </si>
  <si>
    <t>Provenance of every claim about this agent, split by originator. If all originate with the agent, that is the finding and must be stated.</t>
  </si>
  <si>
    <t>steward-home</t>
  </si>
  <si>
    <t>/process-steward/health</t>
  </si>
  <si>
    <t>Knowledge Health</t>
  </si>
  <si>
    <t>Where the register is thin: open gaps, overdue reviews, unstewarded versions, untested recovery paths.</t>
  </si>
  <si>
    <t>Four health tiles feeding four worklists. Every tile is a link, not a statistic.</t>
  </si>
  <si>
    <t>steward-cadence</t>
  </si>
  <si>
    <t>/process-steward/cadence/breach</t>
  </si>
  <si>
    <t>Cadence Breach</t>
  </si>
  <si>
    <t>For close-v1.1.0 I promised a 90-day cadence and for policy-v1.0.0 a 60-day cadence. Is the ACTUAL interval inside what I promised?</t>
  </si>
  <si>
    <t>Per version: promised cadence, actual interval, delta. Computed against the modelled instant so the answer is reproducible.</t>
  </si>
  <si>
    <t>steward-cadence-remediation</t>
  </si>
  <si>
    <t>/process-steward/cadence/remediation</t>
  </si>
  <si>
    <t>Was the Breach Remediated</t>
  </si>
  <si>
    <t>One review event exceeds the cadence I promised. Did anyone actually do anything about it?</t>
  </si>
  <si>
    <t>Per breach: the remediating action, or its absence. An unremediated breach is the finding; the breach alone is only the trigger.</t>
  </si>
  <si>
    <t>steward-open-gaps</t>
  </si>
  <si>
    <t>/process-steward/knowledge/open-gaps</t>
  </si>
  <si>
    <t>Live With a Blocking Gap</t>
  </si>
  <si>
    <t>Per version: open gaps by severity, blocking flag, owner. Live-and-blocking is the finding.</t>
  </si>
  <si>
    <t>steward-stalled-changes</t>
  </si>
  <si>
    <t>/process-steward/governance/stalled-changes</t>
  </si>
  <si>
    <t>Stalled Change Requests</t>
  </si>
  <si>
    <t>cr-policy-delivery was requested on 2026-07-19 with no DecidedAt. How long has it been sitting, and is that inside what we promised?</t>
  </si>
  <si>
    <t>Queue by age with the promised decision window marked. Overdue rows are the working list.</t>
  </si>
  <si>
    <t>steward-approved-never-lands</t>
  </si>
  <si>
    <t>/process-steward/governance/approved-never-lands</t>
  </si>
  <si>
    <t>Approved but Still Open</t>
  </si>
  <si>
    <t>cr-close-timestamp is Approved, and the model still reads it as OPEN because IsOpen counts Approved as open. Every version it touches reads permanently unfit.</t>
  </si>
  <si>
    <t>Surface this as a MODEL DEFECT panel, not a data problem: the terminal-state gap, the rows it distorts, and the downstream verdicts it poisons.</t>
  </si>
  <si>
    <t>steward-orphans</t>
  </si>
  <si>
    <t>/process-steward/ownership/orphan-versions</t>
  </si>
  <si>
    <t>Versions With No Steward</t>
  </si>
  <si>
    <t>Which procedure versions have no steward at all? close-v1.0.0 is Archived but still referenced.</t>
  </si>
  <si>
    <t>Per version: steward or none, status, inbound references. Unstewarded-but-referenced is the finding.</t>
  </si>
  <si>
    <t>steward-archived-still-referenced</t>
  </si>
  <si>
    <t>/process-steward/ownership/archived-referenced</t>
  </si>
  <si>
    <t>Archived, Still Load-Bearing</t>
  </si>
  <si>
    <t>close-v1.0.0 is Archived and unstewarded — but it is still referenced. What still points at it?</t>
  </si>
  <si>
    <t>Inbound reference list for each archived version. A referenced archive is not retired, and the page should say so.</t>
  </si>
  <si>
    <t>steward-fallbacks</t>
  </si>
  <si>
    <t>/process-steward/knowledge/untested-fallbacks</t>
  </si>
  <si>
    <t>Untested Recovery Paths</t>
  </si>
  <si>
    <t>close-04-fallback-close-03 and policy-07-fallback-policy-06 are the paths we take when things go wrong. Have they ever been walked?</t>
  </si>
  <si>
    <t>Per fallback transition: times traversed, last traversal. Zero traversals is the finding.</t>
  </si>
  <si>
    <t>steward-fallback-criticality</t>
  </si>
  <si>
    <t>/process-steward/knowledge/fallback-criticality</t>
  </si>
  <si>
    <t>Which Untested Path Matters</t>
  </si>
  <si>
    <t>Four recovery paths have never been walked. An untested path to a trivial step does not scare me; one guarding a blocking control does.</t>
  </si>
  <si>
    <t>Rank untested fallbacks by what they protect — blocking controls downstream, criticality of the target step. Ranking is the contribution here.</t>
  </si>
  <si>
    <t>steward-hardcoded-predicates</t>
  </si>
  <si>
    <t>/process-steward/model/hardcoded-predicates</t>
  </si>
  <si>
    <t>Predicates Naming Step Ids</t>
  </si>
  <si>
    <t>Several of my predicates name individual steps by id. Steps.IsHumanApprovalGate hardcodes policy-05 and close-06 — it should key off a control kind instead.</t>
  </si>
  <si>
    <t>Model-quality worklist: predicates containing literal ids, with the generalisation each should use. This is technical debt in the rulebook, presented as such.</t>
  </si>
  <si>
    <t>authority-home</t>
  </si>
  <si>
    <t>/knowledge-authority/knowledge</t>
  </si>
  <si>
    <t>Knowledge Register</t>
  </si>
  <si>
    <t>Every fragment: its status, its age, its owner, and whether anything live depends on it.</t>
  </si>
  <si>
    <t>Table with decay signals as columns rather than separate screens, so stacked fragility is visible in one pass.</t>
  </si>
  <si>
    <t>authority-fragment-decay</t>
  </si>
  <si>
    <t>/knowledge-authority/knowledge/compound-fragility</t>
  </si>
  <si>
    <t>Compound Fragility</t>
  </si>
  <si>
    <t>Four separate decay signals on knowledge fragments and no way to see where they stack. Show me where they compound.</t>
  </si>
  <si>
    <t>One row per fragment, one column per decay signal, plus a stack count. Sort by stack count — a fragment failing on four axes is categorically worse than four failing on one.</t>
  </si>
  <si>
    <t>authority-unapproved-live</t>
  </si>
  <si>
    <t>/knowledge-authority/knowledge/unapproved-live</t>
  </si>
  <si>
    <t>Unapproved but Live</t>
  </si>
  <si>
    <t>kf-policy-manager-route is Reviewed, not Approved, so IsCurrentlyValid is FALSE — and policy-08 is a live step depending on it.</t>
  </si>
  <si>
    <t>Per unapproved fragment: dependents, and whether each is live. Live dependents on an invalid fragment are the finding.</t>
  </si>
  <si>
    <t>authority-machine-consumers</t>
  </si>
  <si>
    <t>/knowledge-authority/knowledge/reaching-machines</t>
  </si>
  <si>
    <t>Unapproved Knowledge Reaching Machines</t>
  </si>
  <si>
    <t>One fragment is unapproved and operationally live, and all three AI boundaries are untested. Where does unapproved knowledge reach a machine that acts on it?</t>
  </si>
  <si>
    <t>Trace from unapproved fragments to software-executed steps. The intersection is the finding.</t>
  </si>
  <si>
    <t>authority-expired-ratifier</t>
  </si>
  <si>
    <t>/knowledge-authority/governance/expired-ratifier</t>
  </si>
  <si>
    <t>Boundaries on Expired Claims</t>
  </si>
  <si>
    <t>RatifyingFragmentIsValid reads 2 of 3. One of the rules constraining what an AI agent may do is ratified by a fragment that is no longer valid.</t>
  </si>
  <si>
    <t>Per boundary: its ratifying fragment and that fragment's validity. An invalid ratifier undermines the boundary and must be shown as doing so.</t>
  </si>
  <si>
    <t>authority-orphaned-provenance</t>
  </si>
  <si>
    <t>/knowledge-authority/governance/orphaned-provenance</t>
  </si>
  <si>
    <t>Orphaned Provenance</t>
  </si>
  <si>
    <t>kf-close-fx-time, kf-close-top-ten and kf-close-judgment all trace to devon-okafor via elicit-close-shadow. If that provenance is orphaned, what rests on it?</t>
  </si>
  <si>
    <t>Provenance tree from agent through session to fragments, with the orphan state marked at whichever level it occurs.</t>
  </si>
  <si>
    <t>authority-unwitnessed-change</t>
  </si>
  <si>
    <t>/knowledge-authority/governance/unwitnessed-change</t>
  </si>
  <si>
    <t>Semantic Change Without a Witness</t>
  </si>
  <si>
    <t>cr-close-timestamp altered a blocking control and was decided by me. Did any semantic change go through without a witness?</t>
  </si>
  <si>
    <t>Per semantic change: what it altered, who decided, what witnessed the effect. A change with no witness is the finding.</t>
  </si>
  <si>
    <t>authority-stale-elicitation</t>
  </si>
  <si>
    <t>/knowledge-authority/knowledge/elicitation-age</t>
  </si>
  <si>
    <t>How Old Is the Evidence</t>
  </si>
  <si>
    <t>elicit-close-shadow ran on 2026-04-03 and elicit-policy-workshop on 2026-05-10. How old is the evidence behind what we rely on?</t>
  </si>
  <si>
    <t>Sessions on a timeline with the fragments each produced, and the age of each. Judged against the modelled instant.</t>
  </si>
  <si>
    <t>authority-elicitation-monoculture</t>
  </si>
  <si>
    <t>/knowledge-authority/knowledge/method-monoculture</t>
  </si>
  <si>
    <t>Single-Witness Monoculture</t>
  </si>
  <si>
    <t>2 of 3 elicitation sessions used a single-witness method, and 4 of 7 fragments inherit that. How much of what we know rests on one person's account?</t>
  </si>
  <si>
    <t>Method distribution plus the inheritance chain into fragments. The inherited proportion is the headline.</t>
  </si>
  <si>
    <t>authority-known-unknowns</t>
  </si>
  <si>
    <t>/knowledge-authority/knowledge/known-unknowns</t>
  </si>
  <si>
    <t>Known Unknowns</t>
  </si>
  <si>
    <t>What do we know that we do not know? gap-policy-delivery-receipts has been Open since 2026-07-18 with a resolution nobody has taken.</t>
  </si>
  <si>
    <t>Gap register with age, owner, severity, and resolution path. Ownerless gaps sort first.</t>
  </si>
  <si>
    <t>authority-review-date-inferred</t>
  </si>
  <si>
    <t>/knowledge-authority/model/inferred-review-dates</t>
  </si>
  <si>
    <t>Inferred, Not Recorded</t>
  </si>
  <si>
    <t>IsOverdueForReview reads 6/7 and I do not trust it — it is computed from AgeDays rather than from a recorded review date.</t>
  </si>
  <si>
    <t>Per fragment: inferred review state vs any recorded date. Where no date was ever recorded, say so — do not present the inference as a record.</t>
  </si>
  <si>
    <t>shared-step-execution-detail</t>
  </si>
  <si>
    <t>/shared/step-execution/:stepExecutionId</t>
  </si>
  <si>
    <t>Step Execution</t>
  </si>
  <si>
    <t>One step execution, everything about it: spec, what happened, controls, evidence, issues.</t>
  </si>
  <si>
    <t>The existing step drawer promoted to a full route. Role-aware emphasis: the analyst sees controls first, the controller sees separation, the CFO sees approvals.</t>
  </si>
  <si>
    <t>shared-requirement-detail</t>
  </si>
  <si>
    <t>/shared/requirement/:requirementId</t>
  </si>
  <si>
    <t>One control: its statement, bindings, witness, and every evaluation.</t>
  </si>
  <si>
    <t>Header with statement and blocking flag; sections for bindings, witness scope, evaluation history.</t>
  </si>
  <si>
    <t>shared-knowledge-fragment-detail</t>
  </si>
  <si>
    <t>/shared/knowledge-fragment/:fragmentId</t>
  </si>
  <si>
    <t>Knowledge Fragment</t>
  </si>
  <si>
    <t>One claim: its form, status, owner, provenance, and everything depending on it.</t>
  </si>
  <si>
    <t>Status and validity header; provenance chain up to the elicitation session; dependents fanned out below.</t>
  </si>
  <si>
    <t>shared-change-request-detail</t>
  </si>
  <si>
    <t>/shared/change-request/:changeRequestId</t>
  </si>
  <si>
    <t>Change Request</t>
  </si>
  <si>
    <t>One request: what it targets, who must clear it, and where it currently sits.</t>
  </si>
  <si>
    <t>Header with status and age; the authority chain; the version it targets.</t>
  </si>
  <si>
    <t>shared-exception-detail</t>
  </si>
  <si>
    <t>/shared/exception/:exceptionId</t>
  </si>
  <si>
    <t>One documented exception: its condition, its handling, and every time it was invoked.</t>
  </si>
  <si>
    <t>Condition and handling text, approval and fallback roles, invocation history.</t>
  </si>
  <si>
    <t>shared-role-assignment-detail</t>
  </si>
  <si>
    <t>/shared/role-assignment/:assignmentId</t>
  </si>
  <si>
    <t>Role Assignment</t>
  </si>
  <si>
    <t>One assignment: who held what, when, on whose authority.</t>
  </si>
  <si>
    <t>Validity window rendered as a timeline; approver and predecessor named.</t>
  </si>
  <si>
    <t>shared-operational-binding-detail</t>
  </si>
  <si>
    <t>/shared/operational-binding/:bindingId</t>
  </si>
  <si>
    <t>Operational Binding</t>
  </si>
  <si>
    <t>One binding: its source, freshness SLA, authoritative flag, and observation history.</t>
  </si>
  <si>
    <t>Freshness judged against the modelled instant, with the instant named on the page.</t>
  </si>
  <si>
    <t>shared-delivery-detail</t>
  </si>
  <si>
    <t>/shared/delivery/:deliveryId</t>
  </si>
  <si>
    <t>One delivery: intended, sent, landed, acknowledged — plus the exact text transmitted.</t>
  </si>
  <si>
    <t>Lifecycle strip across the top; frozen text below; gate results attached.</t>
  </si>
  <si>
    <t>shared-recipient-detail</t>
  </si>
  <si>
    <t>/shared/recipient/:recipientId</t>
  </si>
  <si>
    <t>One person: consent state, channels, every message we attempted, and whether we ever reached them.</t>
  </si>
  <si>
    <t>Consent history as a timeline; attempts listed with outcomes.</t>
  </si>
  <si>
    <t>shared-template-detail</t>
  </si>
  <si>
    <t>/shared/template/:templateId</t>
  </si>
  <si>
    <t>Message Template</t>
  </si>
  <si>
    <t>One template: its text, approvals, edit history, and every send that used it.</t>
  </si>
  <si>
    <t>Edit history against approval history on one axis — that overlay is what makes drift visible.</t>
  </si>
  <si>
    <t>shared-procedure-version-detail</t>
  </si>
  <si>
    <t>/shared/procedure-version/:versionId</t>
  </si>
  <si>
    <t>Procedure Version</t>
  </si>
  <si>
    <t>One version: its steps, status, stewardship, reviews, and what still references it.</t>
  </si>
  <si>
    <t>Header with status and steward; steps listed; inbound references shown even when archived.</t>
  </si>
  <si>
    <t>shared-knowledge-gap-detail</t>
  </si>
  <si>
    <t>/shared/knowledge-gap/:gapId</t>
  </si>
  <si>
    <t>Knowledge Gap</t>
  </si>
  <si>
    <t>One gap: what is missing, who owns closing it, how long it has been open, and what it blocks.</t>
  </si>
  <si>
    <t>Age and severity in the header; blocked items listed below.</t>
  </si>
  <si>
    <t>shared-verification-outcomes</t>
  </si>
  <si>
    <t>/shared/verification-outcome/:outcomeId</t>
  </si>
  <si>
    <t>Verification Outcome</t>
  </si>
  <si>
    <t>One verification: expected signal, observed signal, observer, and independence.</t>
  </si>
  <si>
    <t>Expected vs observed side by side; independence verdict prominent.</t>
  </si>
  <si>
    <t>shared-review-event-detail</t>
  </si>
  <si>
    <t>/shared/review-event/:reviewId</t>
  </si>
  <si>
    <t>Review Event</t>
  </si>
  <si>
    <t>One review: kind, reviewer, outcome, and when the next is due.</t>
  </si>
  <si>
    <t>Cadence context in the header so a single review reads against its promised interval.</t>
  </si>
  <si>
    <t>shared-elicitation-detail</t>
  </si>
  <si>
    <t>/shared/elicitation-session/:sessionId</t>
  </si>
  <si>
    <t>Elicitation Session</t>
  </si>
  <si>
    <t>One session: method, participants, date, and every fragment it produced.</t>
  </si>
  <si>
    <t>Method and single-witness flag in the header; produced fragments listed with their current validity.</t>
  </si>
  <si>
    <t>shared-transition-detail</t>
  </si>
  <si>
    <t>/shared/transition/:transitionId</t>
  </si>
  <si>
    <t>Step Transition</t>
  </si>
  <si>
    <t>One transition: from, to, condition, kind, and how often it has actually been taken.</t>
  </si>
  <si>
    <t>Traversal count prominent — a zero on a fallback is the point of the page.</t>
  </si>
  <si>
    <t>shared-authority-boundary-detail</t>
  </si>
  <si>
    <t>/shared/authority-boundary/:boundaryId</t>
  </si>
  <si>
    <t>Authority Boundary</t>
  </si>
  <si>
    <t>One boundary: what it constrains, the fragment ratifying it, and whether it has ever been tested.</t>
  </si>
  <si>
    <t>Ratifier validity and 'ever approached' count together — neither alone answers the question.</t>
  </si>
  <si>
    <t>shared-evaluation-context</t>
  </si>
  <si>
    <t>/shared/evaluation-context</t>
  </si>
  <si>
    <t>Evaluation Context</t>
  </si>
  <si>
    <t>The modelled instant every time-dependent answer in this app is judged against.</t>
  </si>
  <si>
    <t>State the instant plainly, list the columns that depend on it, and explain why the wall clock is not used.</t>
  </si>
  <si>
    <t>shared-field-provenance</t>
  </si>
  <si>
    <t>/shared/field/:table/:field</t>
  </si>
  <si>
    <t>Field Provenance</t>
  </si>
  <si>
    <t>Any field, traced back to the question that motivated it and the formula that computes it.</t>
  </si>
  <si>
    <t>The existing provenance tracer promoted to a route so every value in the app is deep-linkable.</t>
  </si>
  <si>
    <t>shared-login</t>
  </si>
  <si>
    <t>/</t>
  </si>
  <si>
    <t>Choose a Role</t>
  </si>
  <si>
    <t>index</t>
  </si>
  <si>
    <t>The entry point: one card per role, each carrying its own colour and icon.</t>
  </si>
  <si>
    <t>Grid of 12 role cards, human roles first then software roles, each with icon, label, responsibility, and question count. Selecting a card enters that role's dashboard.</t>
  </si>
  <si>
    <t>admin-board</t>
  </si>
  <si>
    <t>/admin/conformance</t>
  </si>
  <si>
    <t>Test Board</t>
  </si>
  <si>
    <t>maintainer</t>
  </si>
  <si>
    <t>Every check the model runs against itself, and whether the board is green.</t>
  </si>
  <si>
    <t>Green/red banner with a blocking-failure count, then per-suite and per-kind tables, then the filterable check list. Warnings are advisory and must read that way — scoring a non-firing witness red would only pressure someone into fabricating rows until it went green.</t>
  </si>
  <si>
    <t>admin-checks</t>
  </si>
  <si>
    <t>/admin/conformance/checks</t>
  </si>
  <si>
    <t>Checks</t>
  </si>
  <si>
    <t>One row per check, filterable by kind, outcome, and subject.</t>
  </si>
  <si>
    <t>Filter bar over a virtualised list. Each row shows outcome, subject, assertion, and the question it defends. Blocking and advisory are visually distinct.</t>
  </si>
  <si>
    <t>admin-witnesses</t>
  </si>
  <si>
    <t>/admin/witnesses</t>
  </si>
  <si>
    <t>Witness Board</t>
  </si>
  <si>
    <t>Every boolean witness with its live true/false distribution, so a column that cannot discriminate is visible rather than mistaken for a working check.</t>
  </si>
  <si>
    <t>Grouped by table. Per witness: fire count, distribution bar, and a verdict of discriminates / always-true / never-true / empty. Non-vacuity is the acceptance bar, so the vacuous ones are reported, never hidden.</t>
  </si>
  <si>
    <t>admin-vacuous</t>
  </si>
  <si>
    <t>/admin/witnesses/vacuous</t>
  </si>
  <si>
    <t>Cannot Discriminate</t>
  </si>
  <si>
    <t>The witnesses that read the same value on every row — they state nothing about the procedures and are not evidence.</t>
  </si>
  <si>
    <t>Working list of vacuous witnesses with, for each, whether uniformity is legitimate (every seeded requirement really is blocking) or a defect. Do not present these as failures; present them as unproven.</t>
  </si>
  <si>
    <t>admin-loops</t>
  </si>
  <si>
    <t>/admin/loops</t>
  </si>
  <si>
    <t>Loops &amp; Questions</t>
  </si>
  <si>
    <t>The expansion loops: what each made askable, which role asked, and how many predicates each question produced.</t>
  </si>
  <si>
    <t>Loop sections, each with its premise, then questions grouped by asking role. Each question shows its predicate count and computed answer.</t>
  </si>
  <si>
    <t>admin-question-defence</t>
  </si>
  <si>
    <t>/admin/loops/question/:questionId</t>
  </si>
  <si>
    <t>Question Defence</t>
  </si>
  <si>
    <t>One question: the predicates invented to answer it, the checks defending it, and the routes where a role actually asks it.</t>
  </si>
  <si>
    <t>Three panels — predicates, checks, routes. The routes panel reads AppRouteQuestions, closing the loop between the question and the screens built to answer it.</t>
  </si>
  <si>
    <t>admin-provenance</t>
  </si>
  <si>
    <t>/admin/provenance</t>
  </si>
  <si>
    <t>Provenance Tracer</t>
  </si>
  <si>
    <t>Trace any field back to the question that motivated it, the role that asked, and the loop it came from.</t>
  </si>
  <si>
    <t>Search by Table.Field, then a chain: field → question → role → loop, plus sibling predicates from the same question. Fields predating the loops carry no question and must say so — inventing one retroactively would be fabrication.</t>
  </si>
  <si>
    <t>admin-route-map</t>
  </si>
  <si>
    <t>/admin/route-map</t>
  </si>
  <si>
    <t>Route Map</t>
  </si>
  <si>
    <t>The application's own navigation model: every route, which questions it answers, and which routes it links to.</t>
  </si>
  <si>
    <t>Matrix or graph of AppRoutes against AppRouteQuestions, with an explicit panel for AnswersNoQuestion — a route serving no question should be justified or removed.</t>
  </si>
  <si>
    <t>admin-catalog-drift</t>
  </si>
  <si>
    <t>/admin/model/catalog-drift</t>
  </si>
  <si>
    <t>Catalog Drift</t>
  </si>
  <si>
    <t>Whether the field catalog still matches the real schemas, and whether every catalog field resolves to a column the substrate actually emitted.</t>
  </si>
  <si>
    <t>Two checks side by side: catalog-vs-schema drift, and catalog-vs-information_schema resolution. Both must state 'in sync' explicitly rather than rendering an empty list.</t>
  </si>
  <si>
    <t>explorer-inferences</t>
  </si>
  <si>
    <t>/explorer/inferences</t>
  </si>
  <si>
    <t>Every Inference</t>
  </si>
  <si>
    <t>All 937 derived fields with the formula that defines it and the fields it reads.</t>
  </si>
  <si>
    <t>Stat row (raw vs inferred, and by kind), then a filterable list. Each entry shows its formula with field references highlighted, its dependencies, and the question that motivated it.</t>
  </si>
  <si>
    <t>explorer-tables</t>
  </si>
  <si>
    <t>/explorer/tables</t>
  </si>
  <si>
    <t>All Tables</t>
  </si>
  <si>
    <t>Every table with its raw/calculated/lookup/aggregation composition.</t>
  </si>
  <si>
    <t>Table index with a composition bar per row. Infrastructure tables that deliberately have no view are labelled as such, not as broken.</t>
  </si>
  <si>
    <t>explorer-table-detail</t>
  </si>
  <si>
    <t>/explorer/tables/:table</t>
  </si>
  <si>
    <t>Table Detail</t>
  </si>
  <si>
    <t>One table: its full column catalog and every row, with inferred columns distinguished from stated ones.</t>
  </si>
  <si>
    <t>Column cards above a row grid. Inferred columns are shaded and their cells are clickable for the formula-and-inputs popover.</t>
  </si>
  <si>
    <t>explorer-record</t>
  </si>
  <si>
    <t>/explorer/record/:table/:id</t>
  </si>
  <si>
    <t>Record Inspector</t>
  </si>
  <si>
    <t>One row, every field it has: stated values first, then each inference with the current value of every field its formula reads.</t>
  </si>
  <si>
    <t>Two sections — stated and inferred. Each inference shows its formula and its inputs, local or across a foreign key, with derived inputs marked so the chain can be walked further back.</t>
  </si>
  <si>
    <t>rq-cfo-home--q-cfo-can-i-sign</t>
  </si>
  <si>
    <t>rq-cfo-home--q-cfo-approving-on-unfit-version</t>
  </si>
  <si>
    <t>rq-cfo-blockers--q-cfo-can-i-sign</t>
  </si>
  <si>
    <t>rq-cfo-blockers--q-cfo-approving-on-unfit-version</t>
  </si>
  <si>
    <t>rq-cfo-assurance-grade--q2-cfo-quality-of-a-green-attestation</t>
  </si>
  <si>
    <t>rq-cfo-assurance-grade--q2-cfo-controls-nobody-is-watching</t>
  </si>
  <si>
    <t>rq-cfo-unwitnessed-controls--q2-cfo-controls-nobody-is-watching</t>
  </si>
  <si>
    <t>rq-cfo-unwitnessed-controls--q-cfo-am-i-being-told-everything</t>
  </si>
  <si>
    <t>rq-cfo-typed-conclusions--q-cfo-am-i-being-told-everything</t>
  </si>
  <si>
    <t>rq-cfo-witness-chain--q2-cfo-who-witnessed-the-witnesses</t>
  </si>
  <si>
    <t>rq-cfo-witness-chain--q-cfo-approval-was-actually-verified</t>
  </si>
  <si>
    <t>rq-cfo-authority-map--q-cfo-who-actually-held-authority</t>
  </si>
  <si>
    <t>rq-cfo-my-approvals--q-cfo-approval-was-actually-verified</t>
  </si>
  <si>
    <t>rq-cfo-my-approvals--q2-cfo-who-witnessed-the-witnesses</t>
  </si>
  <si>
    <t>rq-cfo-signature-dependencies--q2-cfo-what-changed-since-i-signed</t>
  </si>
  <si>
    <t>rq-cfo-changed-since-signing--q2-cfo-what-changed-since-i-signed</t>
  </si>
  <si>
    <t>rq-cfo-restatement--q2-cfo-would-it-survive-restatement</t>
  </si>
  <si>
    <t>rq-cfo-attestation-detail--q-cfo-can-i-sign</t>
  </si>
  <si>
    <t>rq-controller-home--q-controller-blocking-control-inoperative</t>
  </si>
  <si>
    <t>rq-controller-home--q2-ctl-witness-never-fired</t>
  </si>
  <si>
    <t>rq-controller-mute-controls--q-controller-blocking-control-inoperative</t>
  </si>
  <si>
    <t>rq-controller-mute-controls--q2-ctl-witness-never-fired</t>
  </si>
  <si>
    <t>rq-controller-witness-scope--q2-ctl-witness-scope-vs-binding</t>
  </si>
  <si>
    <t>rq-controller-separation--q-controller-separation-of-duties</t>
  </si>
  <si>
    <t>rq-controller-separation--q2-ctl-separation-held-or-untested</t>
  </si>
  <si>
    <t>rq-controller-conformance--q-controller-execution-diverged-from-spec</t>
  </si>
  <si>
    <t>rq-controller-ungoverned-divergence--q2-ctl-divergence-that-nobody-governed</t>
  </si>
  <si>
    <t>rq-controller-authority-validity--q-controller-approval-authority-valid</t>
  </si>
  <si>
    <t>rq-controller-ai-boundary--q-controller-ai-agent-approved-meaning</t>
  </si>
  <si>
    <t>rq-controller-asserted-controls--q2-ctl-asserted-controls-by-who</t>
  </si>
  <si>
    <t>rq-controller-control-detail--q-controller-blocking-control-inoperative</t>
  </si>
  <si>
    <t>rq-analyst-home--q-analyst-blocking-unmet-on-my-step</t>
  </si>
  <si>
    <t>rq-analyst-home--q2-fa-clean-but-uncovered</t>
  </si>
  <si>
    <t>rq-analyst-blocking-unmet--q-analyst-blocking-unmet-on-my-step</t>
  </si>
  <si>
    <t>rq-analyst-never-evaluated--q-analyst-blocking-never-evaluated</t>
  </si>
  <si>
    <t>rq-analyst-late-steps--q-analyst-my-late-steps-unexplained</t>
  </si>
  <si>
    <t>rq-analyst-verification-performed--q-analyst-verification-declared-never-performed</t>
  </si>
  <si>
    <t>rq-analyst-evidence-quality--q2-fa-my-own-evidence-quality</t>
  </si>
  <si>
    <t>rq-analyst-source-freshness--q-analyst-evidence-binding-stale</t>
  </si>
  <si>
    <t>rq-analyst-stale-then-vs-now--q2-fa-stale-then-vs-stale-now</t>
  </si>
  <si>
    <t>rq-analyst-clean-but-uncovered--q2-fa-clean-but-uncovered</t>
  </si>
  <si>
    <t>rq-analyst-mute-clearance--q2-fa-cleared-by-mute-control</t>
  </si>
  <si>
    <t>rq-analyst-witness-coverage--q2-fa-witness-coverage-of-my-steps</t>
  </si>
  <si>
    <t>rq-hr-home--q-hr-unapproved-knowledge-in-my-name</t>
  </si>
  <si>
    <t>rq-hr-home--q-hr-authority-without-review</t>
  </si>
  <si>
    <t>rq-hr-unapproved-claims--q-hr-unapproved-knowledge-in-my-name</t>
  </si>
  <si>
    <t>rq-hr-load-bearing-claim--q2-hr-my-unapproved-claim-is-load-bearing</t>
  </si>
  <si>
    <t>rq-hr-backlog--q-hr-authority-without-review</t>
  </si>
  <si>
    <t>rq-hr-backlog-downstream--q2-hr-my-backlog-is-someone-elses-block</t>
  </si>
  <si>
    <t>rq-hr-my-decisions--q2-hr-my-approvals-never-read-as-done</t>
  </si>
  <si>
    <t>rq-hr-ai-boundary--q-hr-ai-authored-commitments</t>
  </si>
  <si>
    <t>rq-hr-ai-boundary--q2-hr-ai-boundary-holds-only-where-tested</t>
  </si>
  <si>
    <t>rq-hr-knowledge-half-life--q-hr-policy-knowledge-half-life</t>
  </si>
  <si>
    <t>rq-hr-departed-holders--q2-hr-departed-holder-left-claims-behind</t>
  </si>
  <si>
    <t>rq-hr-what-was-sent--q-hr-what-was-actually-sent</t>
  </si>
  <si>
    <t>rq-counsel-home--q-counsel-sms-without-consent</t>
  </si>
  <si>
    <t>rq-counsel-home--q-counsel-quiet-hours-breach</t>
  </si>
  <si>
    <t>rq-counsel-home--q-counsel-legal-review-gated-send</t>
  </si>
  <si>
    <t>rq-counsel-home--q-counsel-retention-evidence</t>
  </si>
  <si>
    <t>rq-counsel-consent--q-counsel-sms-without-consent</t>
  </si>
  <si>
    <t>rq-counsel-quiet-hours--q-counsel-quiet-hours-breach</t>
  </si>
  <si>
    <t>rq-counsel-legal-review--q-counsel-legal-review-gated-send</t>
  </si>
  <si>
    <t>rq-counsel-retention--q-counsel-retention-evidence</t>
  </si>
  <si>
    <t>rq-counsel-unreachable--q-counsel-unreachable-not-acknowledged</t>
  </si>
  <si>
    <t>rq-comms-home--q-comms-deliverability</t>
  </si>
  <si>
    <t>rq-comms-home--q2-comms-approval-to-delivery-yield</t>
  </si>
  <si>
    <t>rq-comms-yield--q2-comms-approval-to-delivery-yield</t>
  </si>
  <si>
    <t>rq-comms-yield--q-comms-deliverability</t>
  </si>
  <si>
    <t>rq-comms-failed-deliveries--q-comms-deliverability</t>
  </si>
  <si>
    <t>rq-comms-approval-authority--q-comms-approval-authority</t>
  </si>
  <si>
    <t>rq-comms-template-drift--q-comms-template-drift</t>
  </si>
  <si>
    <t>rq-comms-frozen-approval--q2-comms-freeze-what-i-approved</t>
  </si>
  <si>
    <t>rq-comms-optout--q-comms-optout-present</t>
  </si>
  <si>
    <t>rq-comms-sms-limits--q-comms-oversized-sms</t>
  </si>
  <si>
    <t>rq-comms-engagement--q2-comms-message-nobody-answered</t>
  </si>
  <si>
    <t>rq-comms-suppression--q2-comms-suppression-is-a-communication</t>
  </si>
  <si>
    <t>rq-comms-authorization-override--q2-comms-my-approval-was-consumed-correctly</t>
  </si>
  <si>
    <t>rq-close-auto-home--q-close-auto-authority-current</t>
  </si>
  <si>
    <t>rq-close-auto-home--q-close-auto-input-freshness</t>
  </si>
  <si>
    <t>rq-close-auto-home--q-close-auto-last-run-clean</t>
  </si>
  <si>
    <t>rq-close-auto-home--q-close-auto-blocking-requirements-evaluated</t>
  </si>
  <si>
    <t>rq-close-auto-authority--q-close-auto-authority-current</t>
  </si>
  <si>
    <t>rq-close-auto-inputs--q-close-auto-input-freshness</t>
  </si>
  <si>
    <t>rq-close-auto-controls--q-close-auto-blocking-requirements-evaluated</t>
  </si>
  <si>
    <t>rq-close-auto-last-run--q-close-auto-last-run-clean</t>
  </si>
  <si>
    <t>rq-close-auto-drift--q-close-auto-human-override-drift</t>
  </si>
  <si>
    <t>rq-variance-home--q-variance-ai-authority-provenance</t>
  </si>
  <si>
    <t>rq-variance-home--q-variance-ai-boundary-compliance</t>
  </si>
  <si>
    <t>rq-variance-home--q-variance-ai-knowledge-currency</t>
  </si>
  <si>
    <t>rq-variance-authority--q-variance-ai-authority-provenance</t>
  </si>
  <si>
    <t>rq-variance-authority--q2-variance-handover-was-a-decision-somebody-made</t>
  </si>
  <si>
    <t>rq-variance-handover--q2-variance-handover-was-a-decision-somebody-made</t>
  </si>
  <si>
    <t>rq-variance-boundary--q-variance-ai-boundary-compliance</t>
  </si>
  <si>
    <t>rq-variance-boundary-ratification--q2-variance-boundary-rests-on-expired-knowledge</t>
  </si>
  <si>
    <t>rq-variance-human-confirmation--q-variance-ai-human-confirmation-present</t>
  </si>
  <si>
    <t>rq-variance-knowledge-currency--q-variance-ai-knowledge-currency</t>
  </si>
  <si>
    <t>rq-variance-quality-baseline--q-variance-ai-quality-vs-human-baseline</t>
  </si>
  <si>
    <t>rq-variance-quality-baseline--q2-variance-comparison-is-statistically-empty</t>
  </si>
  <si>
    <t>rq-variance-sample-size--q2-variance-comparison-is-statistically-empty</t>
  </si>
  <si>
    <t>rq-variance-override-signal--q2-variance-override-signal-vs-noise</t>
  </si>
  <si>
    <t>rq-variance-stop-condition--q2-variance-what-would-make-me-stop</t>
  </si>
  <si>
    <t>rq-policy-agent-home--q-policy-ai-source-approval</t>
  </si>
  <si>
    <t>rq-policy-agent-home--q-policy-ai-no-role-assignment</t>
  </si>
  <si>
    <t>rq-policy-agent-sources--q-policy-ai-source-approval</t>
  </si>
  <si>
    <t>rq-policy-agent-assignment--q-policy-ai-no-role-assignment</t>
  </si>
  <si>
    <t>rq-policy-agent-commitment-boundary--q-policy-ai-commitment-boundary</t>
  </si>
  <si>
    <t>rq-policy-agent-approval-chain--q-policy-ai-approval-chain-complete</t>
  </si>
  <si>
    <t>rq-policy-agent-rewrite--q-policy-ai-downstream-rewrite</t>
  </si>
  <si>
    <t>rq-publisher-home--q-publisher-may-i-transmit</t>
  </si>
  <si>
    <t>rq-publisher-home--q-publisher-may-i-transmit-now</t>
  </si>
  <si>
    <t>rq-publisher-home--q-publisher-is-this-content-permitted</t>
  </si>
  <si>
    <t>rq-publisher-home--q-publisher-am-i-authorized-to-act</t>
  </si>
  <si>
    <t>rq-publisher-permission-gate--q-publisher-may-i-transmit</t>
  </si>
  <si>
    <t>rq-publisher-timing-gate--q-publisher-may-i-transmit-now</t>
  </si>
  <si>
    <t>rq-publisher-content-gate--q-publisher-is-this-content-permitted</t>
  </si>
  <si>
    <t>rq-publisher-authorization-gate--q-publisher-am-i-authorized-to-act</t>
  </si>
  <si>
    <t>rq-publisher-refusals--q-publisher-refusal-was-honored</t>
  </si>
  <si>
    <t>rq-publisher-refusal-artifacts--q2-publisher-every-refusal-leaves-a-record</t>
  </si>
  <si>
    <t>rq-publisher-deferred--q2-publisher-deferred-not-cancelled</t>
  </si>
  <si>
    <t>rq-publisher-obligations--q2-publisher-obligation-after-send</t>
  </si>
  <si>
    <t>rq-publisher-my-authorization--q2-publisher-my-own-authorization</t>
  </si>
  <si>
    <t>rq-publisher-sole-witness--q2-publisher-am-i-the-only-witness</t>
  </si>
  <si>
    <t>rq-steward-home--q-steward-cadence-breach</t>
  </si>
  <si>
    <t>rq-steward-home--q-steward-published-with-blocking-gap</t>
  </si>
  <si>
    <t>rq-steward-home--q-steward-orphan-versions</t>
  </si>
  <si>
    <t>rq-steward-home--q-steward-untested-fallbacks</t>
  </si>
  <si>
    <t>rq-steward-cadence--q-steward-cadence-breach</t>
  </si>
  <si>
    <t>rq-steward-cadence-remediation--q2-steward-cadence-breach-is-unremediated</t>
  </si>
  <si>
    <t>rq-steward-open-gaps--q-steward-published-with-blocking-gap</t>
  </si>
  <si>
    <t>rq-steward-stalled-changes--q-steward-stalled-change-requests</t>
  </si>
  <si>
    <t>rq-steward-approved-never-lands--q2-steward-approved-cr-never-lands</t>
  </si>
  <si>
    <t>rq-steward-orphans--q-steward-orphan-versions</t>
  </si>
  <si>
    <t>rq-steward-archived-still-referenced--q2-steward-unstewarded-version-still-referenced</t>
  </si>
  <si>
    <t>rq-steward-fallbacks--q-steward-untested-fallbacks</t>
  </si>
  <si>
    <t>rq-steward-fallback-criticality--q2-steward-recovery-path-is-load-bearing</t>
  </si>
  <si>
    <t>rq-steward-hardcoded-predicates--q2-steward-control-kind-instead-of-hardcoded-ids</t>
  </si>
  <si>
    <t>rq-authority-home--q-authority-non-approved-dependency</t>
  </si>
  <si>
    <t>rq-authority-home--q-authority-stale-elicitation</t>
  </si>
  <si>
    <t>rq-authority-fragment-decay--q2-authority-compound-fragility</t>
  </si>
  <si>
    <t>rq-authority-unapproved-live--q-authority-non-approved-dependency</t>
  </si>
  <si>
    <t>rq-authority-unapproved-live--q2-authority-unapproved-knowledge-reaching-machines</t>
  </si>
  <si>
    <t>rq-authority-machine-consumers--q2-authority-unapproved-knowledge-reaching-machines</t>
  </si>
  <si>
    <t>rq-authority-expired-ratifier--q2-authority-boundary-rests-on-expired-claim</t>
  </si>
  <si>
    <t>rq-authority-orphaned-provenance--q-authority-orphaned-provenance</t>
  </si>
  <si>
    <t>rq-authority-unwitnessed-change--q-authority-unwitnessed-change</t>
  </si>
  <si>
    <t>rq-authority-stale-elicitation--q-authority-stale-elicitation</t>
  </si>
  <si>
    <t>rq-authority-elicitation-monoculture--q2-authority-elicitation-method-monoculture</t>
  </si>
  <si>
    <t>rq-authority-known-unknowns--q-authority-known-unknowns</t>
  </si>
  <si>
    <t>rq-authority-review-date-inferred--q2-authority-review-date-is-inferred-not-recorded</t>
  </si>
  <si>
    <t>rq-shared-evaluation-context--q2-cfo-would-it-survive-restatement</t>
  </si>
  <si>
    <t>rq-shared-evaluation-context--q2-fa-stale-then-vs-stale-now</t>
  </si>
  <si>
    <t>rr-cfo-home--cfo-blockers</t>
  </si>
  <si>
    <t>rr-cfo-home--cfo-assurance-grade</t>
  </si>
  <si>
    <t>rr-cfo-home--cfo-signature-dependencies</t>
  </si>
  <si>
    <t>rr-cfo-blockers--cfo-home</t>
  </si>
  <si>
    <t>rr-cfo-blockers--controller-conformance</t>
  </si>
  <si>
    <t>rr-cfo-assurance-grade--cfo-unwitnessed-controls</t>
  </si>
  <si>
    <t>rr-cfo-assurance-grade--controller-mute-controls</t>
  </si>
  <si>
    <t>rr-cfo-unwitnessed-controls--cfo-assurance-grade</t>
  </si>
  <si>
    <t>rr-cfo-unwitnessed-controls--shared-requirement-detail</t>
  </si>
  <si>
    <t>rr-cfo-typed-conclusions--cfo-unwitnessed-controls</t>
  </si>
  <si>
    <t>rr-cfo-typed-conclusions--controller-asserted-controls</t>
  </si>
  <si>
    <t>rr-cfo-witness-chain--cfo-my-approvals</t>
  </si>
  <si>
    <t>rr-cfo-witness-chain--shared-verification-outcomes</t>
  </si>
  <si>
    <t>rr-cfo-authority-map--shared-exception-detail</t>
  </si>
  <si>
    <t>rr-cfo-authority-map--controller-authority-validity</t>
  </si>
  <si>
    <t>rr-cfo-my-approvals--cfo-witness-chain</t>
  </si>
  <si>
    <t>rr-cfo-my-approvals--shared-step-execution-detail</t>
  </si>
  <si>
    <t>rr-cfo-signature-dependencies--cfo-changed-since-signing</t>
  </si>
  <si>
    <t>rr-cfo-signature-dependencies--cfo-home</t>
  </si>
  <si>
    <t>rr-cfo-changed-since-signing--cfo-signature-dependencies</t>
  </si>
  <si>
    <t>rr-cfo-changed-since-signing--shared-change-request-detail</t>
  </si>
  <si>
    <t>rr-cfo-restatement--shared-evaluation-context</t>
  </si>
  <si>
    <t>rr-cfo-restatement--cfo-assurance-grade</t>
  </si>
  <si>
    <t>rr-cfo-attestation-detail--cfo-home</t>
  </si>
  <si>
    <t>rr-cfo-attestation-detail--shared-step-execution-detail</t>
  </si>
  <si>
    <t>rr-controller-home--controller-mute-controls</t>
  </si>
  <si>
    <t>rr-controller-home--controller-witness-scope</t>
  </si>
  <si>
    <t>rr-controller-home--shared-requirement-detail</t>
  </si>
  <si>
    <t>rr-controller-mute-controls--controller-home</t>
  </si>
  <si>
    <t>rr-controller-mute-controls--cfo-assurance-grade</t>
  </si>
  <si>
    <t>rr-controller-mute-controls--analyst-mute-clearance</t>
  </si>
  <si>
    <t>rr-controller-witness-scope--controller-mute-controls</t>
  </si>
  <si>
    <t>rr-controller-witness-scope--shared-requirement-detail</t>
  </si>
  <si>
    <t>rr-controller-separation--controller-authority-validity</t>
  </si>
  <si>
    <t>rr-controller-separation--shared-step-execution-detail</t>
  </si>
  <si>
    <t>rr-controller-conformance--controller-ungoverned-divergence</t>
  </si>
  <si>
    <t>rr-controller-conformance--shared-step-execution-detail</t>
  </si>
  <si>
    <t>rr-controller-ungoverned-divergence--controller-conformance</t>
  </si>
  <si>
    <t>rr-controller-ungoverned-divergence--shared-exception-detail</t>
  </si>
  <si>
    <t>rr-controller-ungoverned-divergence--shared-change-request-detail</t>
  </si>
  <si>
    <t>rr-controller-authority-validity--cfo-authority-map</t>
  </si>
  <si>
    <t>rr-controller-authority-validity--shared-role-assignment-detail</t>
  </si>
  <si>
    <t>rr-controller-ai-boundary--hr-ai-boundary</t>
  </si>
  <si>
    <t>rr-controller-ai-boundary--variance-boundary</t>
  </si>
  <si>
    <t>rr-controller-asserted-controls--cfo-typed-conclusions</t>
  </si>
  <si>
    <t>rr-controller-asserted-controls--analyst-evidence-quality</t>
  </si>
  <si>
    <t>rr-controller-control-detail--controller-home</t>
  </si>
  <si>
    <t>rr-controller-control-detail--shared-requirement-detail</t>
  </si>
  <si>
    <t>rr-analyst-home--analyst-blocking-unmet</t>
  </si>
  <si>
    <t>rr-analyst-home--analyst-late-steps</t>
  </si>
  <si>
    <t>rr-analyst-home--shared-step-execution-detail</t>
  </si>
  <si>
    <t>rr-analyst-blocking-unmet--analyst-never-evaluated</t>
  </si>
  <si>
    <t>rr-analyst-blocking-unmet--shared-requirement-detail</t>
  </si>
  <si>
    <t>rr-analyst-never-evaluated--analyst-blocking-unmet</t>
  </si>
  <si>
    <t>rr-analyst-never-evaluated--controller-mute-controls</t>
  </si>
  <si>
    <t>rr-analyst-late-steps--shared-exception-detail</t>
  </si>
  <si>
    <t>rr-analyst-late-steps--shared-step-execution-detail</t>
  </si>
  <si>
    <t>rr-analyst-verification-performed--analyst-evidence-quality</t>
  </si>
  <si>
    <t>rr-analyst-verification-performed--shared-verification-outcomes</t>
  </si>
  <si>
    <t>rr-analyst-evidence-quality--controller-asserted-controls</t>
  </si>
  <si>
    <t>rr-analyst-evidence-quality--cfo-witness-chain</t>
  </si>
  <si>
    <t>rr-analyst-source-freshness--analyst-stale-then-vs-now</t>
  </si>
  <si>
    <t>rr-analyst-source-freshness--shared-operational-binding-detail</t>
  </si>
  <si>
    <t>rr-analyst-stale-then-vs-now--analyst-source-freshness</t>
  </si>
  <si>
    <t>rr-analyst-stale-then-vs-now--shared-evaluation-context</t>
  </si>
  <si>
    <t>rr-analyst-clean-but-uncovered--analyst-mute-clearance</t>
  </si>
  <si>
    <t>rr-analyst-clean-but-uncovered--controller-mute-controls</t>
  </si>
  <si>
    <t>rr-analyst-mute-clearance--controller-mute-controls</t>
  </si>
  <si>
    <t>rr-analyst-mute-clearance--analyst-clean-but-uncovered</t>
  </si>
  <si>
    <t>rr-analyst-witness-coverage--cfo-unwitnessed-controls</t>
  </si>
  <si>
    <t>rr-analyst-witness-coverage--cfo-typed-conclusions</t>
  </si>
  <si>
    <t>rr-hr-home--hr-unapproved-claims</t>
  </si>
  <si>
    <t>rr-hr-home--hr-backlog</t>
  </si>
  <si>
    <t>rr-hr-home--hr-load-bearing-claim</t>
  </si>
  <si>
    <t>rr-hr-unapproved-claims--hr-load-bearing-claim</t>
  </si>
  <si>
    <t>rr-hr-unapproved-claims--shared-knowledge-fragment-detail</t>
  </si>
  <si>
    <t>rr-hr-load-bearing-claim--hr-unapproved-claims</t>
  </si>
  <si>
    <t>rr-hr-load-bearing-claim--shared-exception-detail</t>
  </si>
  <si>
    <t>rr-hr-backlog--hr-backlog-downstream</t>
  </si>
  <si>
    <t>rr-hr-backlog--shared-change-request-detail</t>
  </si>
  <si>
    <t>rr-hr-backlog-downstream--hr-backlog</t>
  </si>
  <si>
    <t>rr-hr-backlog-downstream--steward-open-gaps</t>
  </si>
  <si>
    <t>rr-hr-my-decisions--steward-approved-never-lands</t>
  </si>
  <si>
    <t>rr-hr-my-decisions--shared-change-request-detail</t>
  </si>
  <si>
    <t>rr-hr-ai-boundary--controller-ai-boundary</t>
  </si>
  <si>
    <t>rr-hr-ai-boundary--policy-agent-commitment-boundary</t>
  </si>
  <si>
    <t>rr-hr-knowledge-half-life--authority-stale-elicitation</t>
  </si>
  <si>
    <t>rr-hr-knowledge-half-life--steward-cadence</t>
  </si>
  <si>
    <t>rr-hr-departed-holders--authority-orphaned-provenance</t>
  </si>
  <si>
    <t>rr-hr-departed-holders--shared-role-assignment-detail</t>
  </si>
  <si>
    <t>rr-hr-what-was-sent--comms-frozen-approval</t>
  </si>
  <si>
    <t>rr-hr-what-was-sent--shared-delivery-detail</t>
  </si>
  <si>
    <t>rr-counsel-home--counsel-consent</t>
  </si>
  <si>
    <t>rr-counsel-home--counsel-quiet-hours</t>
  </si>
  <si>
    <t>rr-counsel-home--counsel-legal-review</t>
  </si>
  <si>
    <t>rr-counsel-home--counsel-retention</t>
  </si>
  <si>
    <t>rr-counsel-consent--shared-delivery-detail</t>
  </si>
  <si>
    <t>rr-counsel-consent--publisher-permission-gate</t>
  </si>
  <si>
    <t>rr-counsel-quiet-hours--publisher-timing-gate</t>
  </si>
  <si>
    <t>rr-counsel-quiet-hours--shared-delivery-detail</t>
  </si>
  <si>
    <t>rr-counsel-legal-review--shared-review-event-detail</t>
  </si>
  <si>
    <t>rr-counsel-legal-review--comms-approval-authority</t>
  </si>
  <si>
    <t>rr-counsel-retention--comms-frozen-approval</t>
  </si>
  <si>
    <t>rr-counsel-retention--shared-delivery-detail</t>
  </si>
  <si>
    <t>rr-counsel-unreachable--comms-suppression</t>
  </si>
  <si>
    <t>rr-counsel-unreachable--shared-recipient-detail</t>
  </si>
  <si>
    <t>rr-comms-home--comms-yield</t>
  </si>
  <si>
    <t>rr-comms-home--comms-failed-deliveries</t>
  </si>
  <si>
    <t>rr-comms-home--shared-delivery-detail</t>
  </si>
  <si>
    <t>rr-comms-yield--comms-failed-deliveries</t>
  </si>
  <si>
    <t>rr-comms-yield--comms-suppression</t>
  </si>
  <si>
    <t>rr-comms-yield--publisher-refusals</t>
  </si>
  <si>
    <t>rr-comms-failed-deliveries--comms-yield</t>
  </si>
  <si>
    <t>rr-comms-failed-deliveries--shared-recipient-detail</t>
  </si>
  <si>
    <t>rr-comms-approval-authority--comms-template-drift</t>
  </si>
  <si>
    <t>rr-comms-approval-authority--counsel-legal-review</t>
  </si>
  <si>
    <t>rr-comms-template-drift--comms-frozen-approval</t>
  </si>
  <si>
    <t>rr-comms-template-drift--shared-template-detail</t>
  </si>
  <si>
    <t>rr-comms-frozen-approval--comms-template-drift</t>
  </si>
  <si>
    <t>rr-comms-frozen-approval--hr-what-was-sent</t>
  </si>
  <si>
    <t>rr-comms-frozen-approval--counsel-retention</t>
  </si>
  <si>
    <t>rr-comms-optout--comms-sms-limits</t>
  </si>
  <si>
    <t>rr-comms-optout--counsel-consent</t>
  </si>
  <si>
    <t>rr-comms-sms-limits--comms-optout</t>
  </si>
  <si>
    <t>rr-comms-sms-limits--publisher-content-gate</t>
  </si>
  <si>
    <t>rr-comms-engagement--comms-yield</t>
  </si>
  <si>
    <t>rr-comms-engagement--shared-delivery-detail</t>
  </si>
  <si>
    <t>rr-comms-suppression--publisher-refusals</t>
  </si>
  <si>
    <t>rr-comms-suppression--counsel-unreachable</t>
  </si>
  <si>
    <t>rr-comms-authorization-override--publisher-refusals</t>
  </si>
  <si>
    <t>rr-comms-authorization-override--comms-approval-authority</t>
  </si>
  <si>
    <t>rr-close-auto-home--close-auto-authority</t>
  </si>
  <si>
    <t>rr-close-auto-home--close-auto-inputs</t>
  </si>
  <si>
    <t>rr-close-auto-home--close-auto-last-run</t>
  </si>
  <si>
    <t>rr-close-auto-authority--shared-role-assignment-detail</t>
  </si>
  <si>
    <t>rr-close-auto-authority--publisher-my-authorization</t>
  </si>
  <si>
    <t>rr-close-auto-inputs--shared-operational-binding-detail</t>
  </si>
  <si>
    <t>rr-close-auto-inputs--analyst-source-freshness</t>
  </si>
  <si>
    <t>rr-close-auto-controls--analyst-never-evaluated</t>
  </si>
  <si>
    <t>rr-close-auto-controls--controller-home</t>
  </si>
  <si>
    <t>rr-close-auto-last-run--shared-step-execution-detail</t>
  </si>
  <si>
    <t>rr-close-auto-last-run--close-auto-home</t>
  </si>
  <si>
    <t>rr-close-auto-drift--variance-override-signal</t>
  </si>
  <si>
    <t>rr-close-auto-drift--variance-quality-baseline</t>
  </si>
  <si>
    <t>rr-variance-home--variance-authority</t>
  </si>
  <si>
    <t>rr-variance-home--variance-boundary</t>
  </si>
  <si>
    <t>rr-variance-home--variance-knowledge-currency</t>
  </si>
  <si>
    <t>rr-variance-authority--shared-role-assignment-detail</t>
  </si>
  <si>
    <t>rr-variance-authority--variance-handover</t>
  </si>
  <si>
    <t>rr-variance-handover--variance-authority</t>
  </si>
  <si>
    <t>rr-variance-handover--controller-ai-boundary</t>
  </si>
  <si>
    <t>rr-variance-boundary--variance-boundary-ratification</t>
  </si>
  <si>
    <t>rr-variance-boundary--hr-ai-boundary</t>
  </si>
  <si>
    <t>rr-variance-boundary-ratification--authority-expired-ratifier</t>
  </si>
  <si>
    <t>rr-variance-boundary-ratification--variance-boundary</t>
  </si>
  <si>
    <t>rr-variance-human-confirmation--controller-ai-boundary</t>
  </si>
  <si>
    <t>rr-variance-human-confirmation--shared-step-execution-detail</t>
  </si>
  <si>
    <t>rr-variance-knowledge-currency--authority-fragment-decay</t>
  </si>
  <si>
    <t>rr-variance-knowledge-currency--shared-knowledge-fragment-detail</t>
  </si>
  <si>
    <t>rr-variance-quality-baseline--variance-sample-size</t>
  </si>
  <si>
    <t>rr-variance-quality-baseline--close-auto-drift</t>
  </si>
  <si>
    <t>rr-variance-sample-size--variance-quality-baseline</t>
  </si>
  <si>
    <t>rr-variance-override-signal--close-auto-drift</t>
  </si>
  <si>
    <t>rr-variance-override-signal--variance-human-confirmation</t>
  </si>
  <si>
    <t>rr-variance-stop-condition--close-auto-home</t>
  </si>
  <si>
    <t>rr-variance-stop-condition--publisher-permission-gate</t>
  </si>
  <si>
    <t>rr-policy-agent-home--policy-agent-sources</t>
  </si>
  <si>
    <t>rr-policy-agent-home--policy-agent-assignment</t>
  </si>
  <si>
    <t>rr-policy-agent-sources--shared-operational-binding-detail</t>
  </si>
  <si>
    <t>rr-policy-agent-sources--close-auto-inputs</t>
  </si>
  <si>
    <t>rr-policy-agent-assignment--shared-role-assignment-detail</t>
  </si>
  <si>
    <t>rr-policy-agent-assignment--variance-authority</t>
  </si>
  <si>
    <t>rr-policy-agent-commitment-boundary--hr-ai-boundary</t>
  </si>
  <si>
    <t>rr-policy-agent-commitment-boundary--variance-boundary</t>
  </si>
  <si>
    <t>rr-policy-agent-approval-chain--comms-approval-authority</t>
  </si>
  <si>
    <t>rr-policy-agent-approval-chain--counsel-legal-review</t>
  </si>
  <si>
    <t>rr-policy-agent-rewrite--variance-override-signal</t>
  </si>
  <si>
    <t>rr-policy-agent-rewrite--shared-step-execution-detail</t>
  </si>
  <si>
    <t>rr-publisher-home--publisher-permission-gate</t>
  </si>
  <si>
    <t>rr-publisher-home--publisher-timing-gate</t>
  </si>
  <si>
    <t>rr-publisher-home--publisher-content-gate</t>
  </si>
  <si>
    <t>rr-publisher-home--publisher-authorization-gate</t>
  </si>
  <si>
    <t>rr-publisher-permission-gate--counsel-consent</t>
  </si>
  <si>
    <t>rr-publisher-permission-gate--shared-recipient-detail</t>
  </si>
  <si>
    <t>rr-publisher-timing-gate--counsel-quiet-hours</t>
  </si>
  <si>
    <t>rr-publisher-timing-gate--publisher-deferred</t>
  </si>
  <si>
    <t>rr-publisher-content-gate--comms-sms-limits</t>
  </si>
  <si>
    <t>rr-publisher-content-gate--comms-optout</t>
  </si>
  <si>
    <t>rr-publisher-authorization-gate--comms-approval-authority</t>
  </si>
  <si>
    <t>rr-publisher-authorization-gate--policy-agent-approval-chain</t>
  </si>
  <si>
    <t>rr-publisher-refusals--publisher-refusal-artifacts</t>
  </si>
  <si>
    <t>rr-publisher-refusals--comms-suppression</t>
  </si>
  <si>
    <t>rr-publisher-refusals--shared-exception-detail</t>
  </si>
  <si>
    <t>rr-publisher-refusal-artifacts--publisher-refusals</t>
  </si>
  <si>
    <t>rr-publisher-refusal-artifacts--comms-suppression</t>
  </si>
  <si>
    <t>rr-publisher-deferred--publisher-timing-gate</t>
  </si>
  <si>
    <t>rr-publisher-deferred--comms-suppression</t>
  </si>
  <si>
    <t>rr-publisher-obligations--comms-engagement</t>
  </si>
  <si>
    <t>rr-publisher-obligations--shared-delivery-detail</t>
  </si>
  <si>
    <t>rr-publisher-my-authorization--shared-role-assignment-detail</t>
  </si>
  <si>
    <t>rr-publisher-my-authorization--variance-authority</t>
  </si>
  <si>
    <t>rr-publisher-sole-witness--cfo-witness-chain</t>
  </si>
  <si>
    <t>rr-publisher-sole-witness--controller-asserted-controls</t>
  </si>
  <si>
    <t>rr-steward-home--steward-cadence</t>
  </si>
  <si>
    <t>rr-steward-home--steward-open-gaps</t>
  </si>
  <si>
    <t>rr-steward-home--steward-orphans</t>
  </si>
  <si>
    <t>rr-steward-home--steward-fallbacks</t>
  </si>
  <si>
    <t>rr-steward-cadence--steward-cadence-remediation</t>
  </si>
  <si>
    <t>rr-steward-cadence--shared-review-event-detail</t>
  </si>
  <si>
    <t>rr-steward-cadence-remediation--steward-cadence</t>
  </si>
  <si>
    <t>rr-steward-cadence-remediation--shared-change-request-detail</t>
  </si>
  <si>
    <t>rr-steward-open-gaps--hr-backlog-downstream</t>
  </si>
  <si>
    <t>rr-steward-open-gaps--shared-knowledge-gap-detail</t>
  </si>
  <si>
    <t>rr-steward-stalled-changes--hr-backlog</t>
  </si>
  <si>
    <t>rr-steward-stalled-changes--shared-change-request-detail</t>
  </si>
  <si>
    <t>rr-steward-approved-never-lands--hr-my-decisions</t>
  </si>
  <si>
    <t>rr-steward-approved-never-lands--cfo-blockers</t>
  </si>
  <si>
    <t>rr-steward-orphans--steward-archived-still-referenced</t>
  </si>
  <si>
    <t>rr-steward-orphans--shared-procedure-version-detail</t>
  </si>
  <si>
    <t>rr-steward-archived-still-referenced--steward-orphans</t>
  </si>
  <si>
    <t>rr-steward-archived-still-referenced--shared-procedure-version-detail</t>
  </si>
  <si>
    <t>rr-steward-fallbacks--steward-fallback-criticality</t>
  </si>
  <si>
    <t>rr-steward-fallbacks--shared-transition-detail</t>
  </si>
  <si>
    <t>rr-steward-fallback-criticality--steward-fallbacks</t>
  </si>
  <si>
    <t>rr-steward-fallback-criticality--controller-home</t>
  </si>
  <si>
    <t>rr-steward-hardcoded-predicates--shared-field-provenance</t>
  </si>
  <si>
    <t>rr-steward-hardcoded-predicates--steward-home</t>
  </si>
  <si>
    <t>rr-authority-home--authority-fragment-decay</t>
  </si>
  <si>
    <t>rr-authority-home--authority-unapproved-live</t>
  </si>
  <si>
    <t>rr-authority-home--shared-knowledge-fragment-detail</t>
  </si>
  <si>
    <t>rr-authority-fragment-decay--authority-home</t>
  </si>
  <si>
    <t>rr-authority-fragment-decay--variance-knowledge-currency</t>
  </si>
  <si>
    <t>rr-authority-unapproved-live--hr-load-bearing-claim</t>
  </si>
  <si>
    <t>rr-authority-unapproved-live--authority-machine-consumers</t>
  </si>
  <si>
    <t>rr-authority-machine-consumers--authority-unapproved-live</t>
  </si>
  <si>
    <t>rr-authority-machine-consumers--hr-ai-boundary</t>
  </si>
  <si>
    <t>rr-authority-expired-ratifier--variance-boundary-ratification</t>
  </si>
  <si>
    <t>rr-authority-expired-ratifier--shared-authority-boundary-detail</t>
  </si>
  <si>
    <t>rr-authority-orphaned-provenance--hr-departed-holders</t>
  </si>
  <si>
    <t>rr-authority-orphaned-provenance--authority-elicitation-monoculture</t>
  </si>
  <si>
    <t>rr-authority-unwitnessed-change--controller-home</t>
  </si>
  <si>
    <t>rr-authority-unwitnessed-change--shared-change-request-detail</t>
  </si>
  <si>
    <t>rr-authority-stale-elicitation--hr-knowledge-half-life</t>
  </si>
  <si>
    <t>rr-authority-stale-elicitation--shared-elicitation-detail</t>
  </si>
  <si>
    <t>rr-authority-elicitation-monoculture--authority-orphaned-provenance</t>
  </si>
  <si>
    <t>rr-authority-elicitation-monoculture--shared-elicitation-detail</t>
  </si>
  <si>
    <t>rr-authority-known-unknowns--steward-open-gaps</t>
  </si>
  <si>
    <t>rr-authority-known-unknowns--shared-knowledge-gap-detail</t>
  </si>
  <si>
    <t>rr-authority-review-date-inferred--shared-field-provenance</t>
  </si>
  <si>
    <t>rr-authority-review-date-inferred--authority-fragment-decay</t>
  </si>
  <si>
    <t>rr-shared-step-execution-detail--shared-requirement-detail</t>
  </si>
  <si>
    <t>rr-shared-step-execution-detail--shared-verification-outcomes</t>
  </si>
  <si>
    <t>rr-shared-requirement-detail--controller-witness-scope</t>
  </si>
  <si>
    <t>rr-shared-requirement-detail--shared-step-execution-detail</t>
  </si>
  <si>
    <t>rr-shared-knowledge-fragment-detail--authority-fragment-decay</t>
  </si>
  <si>
    <t>rr-shared-knowledge-fragment-detail--hr-load-bearing-claim</t>
  </si>
  <si>
    <t>rr-shared-change-request-detail--steward-stalled-changes</t>
  </si>
  <si>
    <t>rr-shared-change-request-detail--hr-backlog</t>
  </si>
  <si>
    <t>rr-shared-exception-detail--publisher-refusals</t>
  </si>
  <si>
    <t>rr-shared-exception-detail--analyst-late-steps</t>
  </si>
  <si>
    <t>rr-shared-role-assignment-detail--controller-authority-validity</t>
  </si>
  <si>
    <t>rr-shared-role-assignment-detail--variance-authority</t>
  </si>
  <si>
    <t>rr-shared-operational-binding-detail--analyst-source-freshness</t>
  </si>
  <si>
    <t>rr-shared-operational-binding-detail--close-auto-inputs</t>
  </si>
  <si>
    <t>rr-shared-delivery-detail--comms-yield</t>
  </si>
  <si>
    <t>rr-shared-delivery-detail--comms-frozen-approval</t>
  </si>
  <si>
    <t>rr-shared-recipient-detail--comms-suppression</t>
  </si>
  <si>
    <t>rr-shared-recipient-detail--counsel-consent</t>
  </si>
  <si>
    <t>rr-shared-template-detail--comms-template-drift</t>
  </si>
  <si>
    <t>rr-shared-template-detail--comms-approval-authority</t>
  </si>
  <si>
    <t>rr-shared-procedure-version-detail--steward-orphans</t>
  </si>
  <si>
    <t>rr-shared-procedure-version-detail--controller-conformance</t>
  </si>
  <si>
    <t>rr-shared-knowledge-gap-detail--steward-open-gaps</t>
  </si>
  <si>
    <t>rr-shared-knowledge-gap-detail--authority-known-unknowns</t>
  </si>
  <si>
    <t>rr-shared-verification-outcomes--cfo-witness-chain</t>
  </si>
  <si>
    <t>rr-shared-verification-outcomes--analyst-verification-performed</t>
  </si>
  <si>
    <t>rr-shared-review-event-detail--steward-cadence</t>
  </si>
  <si>
    <t>rr-shared-review-event-detail--counsel-legal-review</t>
  </si>
  <si>
    <t>rr-shared-elicitation-detail--authority-elicitation-monoculture</t>
  </si>
  <si>
    <t>rr-shared-elicitation-detail--authority-stale-elicitation</t>
  </si>
  <si>
    <t>rr-shared-transition-detail--steward-fallbacks</t>
  </si>
  <si>
    <t>rr-shared-transition-detail--shared-step-execution-detail</t>
  </si>
  <si>
    <t>rr-shared-authority-boundary-detail--authority-expired-ratifier</t>
  </si>
  <si>
    <t>rr-shared-authority-boundary-detail--variance-boundary</t>
  </si>
  <si>
    <t>rr-shared-evaluation-context--cfo-restatement</t>
  </si>
  <si>
    <t>rr-shared-evaluation-context--analyst-stale-then-vs-now</t>
  </si>
  <si>
    <t>rr-shared-field-provenance--steward-hardcoded-predicates</t>
  </si>
  <si>
    <t>rr-shared-field-provenance--authority-review-date-inferred</t>
  </si>
  <si>
    <t>rr-admin-board--admin-checks</t>
  </si>
  <si>
    <t>rr-admin-board--admin-witnesses</t>
  </si>
  <si>
    <t>rr-admin-checks--admin-board</t>
  </si>
  <si>
    <t>rr-admin-checks--admin-question-defence</t>
  </si>
  <si>
    <t>rr-admin-witnesses--admin-vacuous</t>
  </si>
  <si>
    <t>rr-admin-witnesses--shared-field-provenance</t>
  </si>
  <si>
    <t>rr-admin-vacuous--admin-witnesses</t>
  </si>
  <si>
    <t>rr-admin-vacuous--admin-loops</t>
  </si>
  <si>
    <t>rr-admin-loops--admin-question-defence</t>
  </si>
  <si>
    <t>rr-admin-loops--shared-field-provenance</t>
  </si>
  <si>
    <t>rr-admin-question-defence--admin-loops</t>
  </si>
  <si>
    <t>rr-admin-question-defence--admin-checks</t>
  </si>
  <si>
    <t>rr-admin-question-defence--admin-route-map</t>
  </si>
  <si>
    <t>rr-admin-provenance--shared-field-provenance</t>
  </si>
  <si>
    <t>rr-admin-provenance--admin-loops</t>
  </si>
  <si>
    <t>rr-admin-route-map--admin-question-defence</t>
  </si>
  <si>
    <t>rr-admin-route-map--explorer-tables</t>
  </si>
  <si>
    <t>rr-admin-catalog-drift--explorer-inferences</t>
  </si>
  <si>
    <t>rr-admin-catalog-drift--admin-board</t>
  </si>
  <si>
    <t>rr-explorer-inferences--explorer-tables</t>
  </si>
  <si>
    <t>rr-explorer-inferences--shared-field-provenance</t>
  </si>
  <si>
    <t>rr-explorer-tables--explorer-table-detail</t>
  </si>
  <si>
    <t>rr-explorer-tables--explorer-inferences</t>
  </si>
  <si>
    <t>rr-explorer-table-detail--explorer-record</t>
  </si>
  <si>
    <t>rr-explorer-table-detail--shared-field-provenance</t>
  </si>
  <si>
    <t>rr-explorer-record--explorer-table-detail</t>
  </si>
  <si>
    <t>rr-explorer-record--shared-field-provenance</t>
  </si>
  <si>
    <t>access-control</t>
  </si>
  <si>
    <t>urn:effortless:pko-extension#RulebookTable</t>
  </si>
  <si>
    <t>actions</t>
  </si>
  <si>
    <t>specification</t>
  </si>
  <si>
    <t>agent_decision_records</t>
  </si>
  <si>
    <t>org</t>
  </si>
  <si>
    <t>agents</t>
  </si>
  <si>
    <t>app_nav_groups</t>
  </si>
  <si>
    <t>vw_app_nav_groups</t>
  </si>
  <si>
    <t>application</t>
  </si>
  <si>
    <t>app_role_profiles</t>
  </si>
  <si>
    <t>vw_app_role_profiles</t>
  </si>
  <si>
    <t>app_route_questions</t>
  </si>
  <si>
    <t>vw_app_route_questions</t>
  </si>
  <si>
    <t>app_route_references</t>
  </si>
  <si>
    <t>vw_app_route_references</t>
  </si>
  <si>
    <t>app_routes</t>
  </si>
  <si>
    <t>vw_app_routes</t>
  </si>
  <si>
    <t>attestations</t>
  </si>
  <si>
    <t>authority_boundaries</t>
  </si>
  <si>
    <t>binding_observations</t>
  </si>
  <si>
    <t>change_requests</t>
  </si>
  <si>
    <t>communication_policies</t>
  </si>
  <si>
    <t>communication</t>
  </si>
  <si>
    <t>communities_of_practice</t>
  </si>
  <si>
    <t>delivered_communications</t>
  </si>
  <si>
    <t>meta</t>
  </si>
  <si>
    <t>elicitation_sessions</t>
  </si>
  <si>
    <t>errors</t>
  </si>
  <si>
    <t>evaluation_contexts</t>
  </si>
  <si>
    <t>exception_invocations</t>
  </si>
  <si>
    <t>exceptions</t>
  </si>
  <si>
    <t>explanations</t>
  </si>
  <si>
    <t>functions</t>
  </si>
  <si>
    <t>issue_occurrences</t>
  </si>
  <si>
    <t>knowledge_fragments</t>
  </si>
  <si>
    <t>knowledge_gaps</t>
  </si>
  <si>
    <t>learning_activities</t>
  </si>
  <si>
    <t>mentorships</t>
  </si>
  <si>
    <t>message_deliveries</t>
  </si>
  <si>
    <t>message_templates</t>
  </si>
  <si>
    <t>observed_transitions</t>
  </si>
  <si>
    <t>ontology_profiles</t>
  </si>
  <si>
    <t>operational_bindings</t>
  </si>
  <si>
    <t>organizations</t>
  </si>
  <si>
    <t>procedure_executions</t>
  </si>
  <si>
    <t>procedure_resources</t>
  </si>
  <si>
    <t>procedure_status_changes</t>
  </si>
  <si>
    <t>procedure_types</t>
  </si>
  <si>
    <t>procedure_version_links</t>
  </si>
  <si>
    <t>procedure_versions</t>
  </si>
  <si>
    <t>procedures</t>
  </si>
  <si>
    <t>rationales</t>
  </si>
  <si>
    <t>recipients</t>
  </si>
  <si>
    <t>requirement_satisfactions</t>
  </si>
  <si>
    <t>requirements</t>
  </si>
  <si>
    <t>resources</t>
  </si>
  <si>
    <t>review_events</t>
  </si>
  <si>
    <t>role_assignments</t>
  </si>
  <si>
    <t>role_questions</t>
  </si>
  <si>
    <t>roles</t>
  </si>
  <si>
    <t>rulebook_fields</t>
  </si>
  <si>
    <t>rulebook_releases</t>
  </si>
  <si>
    <t>semantic_mappings</t>
  </si>
  <si>
    <t>send_intents</t>
  </si>
  <si>
    <t>step_actions</t>
  </si>
  <si>
    <t>step_executions</t>
  </si>
  <si>
    <t>step_functions</t>
  </si>
  <si>
    <t>step_requirements</t>
  </si>
  <si>
    <t>step_tools</t>
  </si>
  <si>
    <t>step_transitions</t>
  </si>
  <si>
    <t>step_verifications</t>
  </si>
  <si>
    <t>steps</t>
  </si>
  <si>
    <t>stewardship_assignments</t>
  </si>
  <si>
    <t>template_approvals</t>
  </si>
  <si>
    <t>test_cases</t>
  </si>
  <si>
    <t>test_suites</t>
  </si>
  <si>
    <t>tools</t>
  </si>
  <si>
    <t>user_feedback</t>
  </si>
  <si>
    <t>user_questions</t>
  </si>
  <si>
    <t>verification_outcomes</t>
  </si>
  <si>
    <t>witness_loops</t>
  </si>
  <si>
    <t>process_mining_runs</t>
  </si>
  <si>
    <t>vw_process_mining_runs</t>
  </si>
  <si>
    <t>vocabularies</t>
  </si>
  <si>
    <t>vw_vocabularies</t>
  </si>
  <si>
    <t>vocabulary_terms</t>
  </si>
  <si>
    <t>vw_vocabulary_terms</t>
  </si>
  <si>
    <t>knowledge_broker_links</t>
  </si>
  <si>
    <t>vw_knowledge_broker_links</t>
  </si>
  <si>
    <t>conformance_substrates</t>
  </si>
  <si>
    <t>vw_conformance_substrates</t>
  </si>
  <si>
    <t>conformance_runs</t>
  </si>
  <si>
    <t>vw_conformance_runs</t>
  </si>
  <si>
    <t>substrate_run_scores</t>
  </si>
  <si>
    <t>vw_substrate_run_scores</t>
  </si>
  <si>
    <t>table_conformance</t>
  </si>
  <si>
    <t>vw_table_conformance</t>
  </si>
  <si>
    <t>field_disagreements</t>
  </si>
  <si>
    <t>vw_field_disagreements</t>
  </si>
  <si>
    <t>cell_disagreements</t>
  </si>
  <si>
    <t>vw_cell_disagreements</t>
  </si>
  <si>
    <t>principal-finance-analyst</t>
  </si>
  <si>
    <t>pko_finance_analyst</t>
  </si>
  <si>
    <t>urn:effortless:pko-extension#AccessPrincipal</t>
  </si>
  <si>
    <t>principal-controller</t>
  </si>
  <si>
    <t>pko_controller</t>
  </si>
  <si>
    <t>principal-cfo</t>
  </si>
  <si>
    <t>pko_cfo</t>
  </si>
  <si>
    <t>principal-hr-policy-owner</t>
  </si>
  <si>
    <t>pko_hr_policy_owner</t>
  </si>
  <si>
    <t>principal-employment-counsel</t>
  </si>
  <si>
    <t>pko_employment_counsel</t>
  </si>
  <si>
    <t>principal-communications-manager</t>
  </si>
  <si>
    <t>pko_communications_manager</t>
  </si>
  <si>
    <t>principal-close-automation</t>
  </si>
  <si>
    <t>pko_close_automation</t>
  </si>
  <si>
    <t>principal-variance-review-agent</t>
  </si>
  <si>
    <t>pko_variance_review_agent</t>
  </si>
  <si>
    <t>principal-policy-drafting-agent</t>
  </si>
  <si>
    <t>pko_policy_drafting_agent</t>
  </si>
  <si>
    <t>principal-notification-publisher</t>
  </si>
  <si>
    <t>pko_notification_publisher</t>
  </si>
  <si>
    <t>principal-process-steward</t>
  </si>
  <si>
    <t>pko_process_steward</t>
  </si>
  <si>
    <t>principal-knowledge-authority</t>
  </si>
  <si>
    <t>pko_knowledge_authority</t>
  </si>
  <si>
    <t>pol-financeanalyst-steps-select</t>
  </si>
  <si>
    <t>SELECT</t>
  </si>
  <si>
    <t>Preparer of reconciliations and variance evidence. Needs the steps assigned to them, what they recorded, and the requirements they must satisfy. Not governance, not comms.</t>
  </si>
  <si>
    <t>urn:effortless:pko-extension#AccessPolicy</t>
  </si>
  <si>
    <t>pol-financeanalyst-step_executions-select</t>
  </si>
  <si>
    <t>pol-financeanalyst-procedure_executions-select</t>
  </si>
  <si>
    <t>pol-financeanalyst-requirements-select</t>
  </si>
  <si>
    <t>pol-financeanalyst-requirement_satisfactions-select</t>
  </si>
  <si>
    <t>pol-financeanalyst-procedures-select</t>
  </si>
  <si>
    <t>pol-financeanalyst-procedure_versions-select</t>
  </si>
  <si>
    <t>is_current</t>
  </si>
  <si>
    <t>Only the current version of each procedure. is_current is a stored column here, not a derivation, so the predicate reads it directly.</t>
  </si>
  <si>
    <t>pol-controller-steps-select</t>
  </si>
  <si>
    <t>Owner of close controls and first approval authority. Needs the approval surface -- exceptions they approve, change requests they decide, the knowledge they own -- plus enough execution state to approve against.</t>
  </si>
  <si>
    <t>pol-controller-step_executions-select</t>
  </si>
  <si>
    <t>pol-controller-procedure_executions-select</t>
  </si>
  <si>
    <t>pol-controller-exceptions-select</t>
  </si>
  <si>
    <t>pol-controller-change_requests-select</t>
  </si>
  <si>
    <t>public.calc_change_requests_is_open(change_request_id)</t>
  </si>
  <si>
    <t>Open change requests only. is_open is derived several hops down the DAG, so the policy stays one line while the semantics stay deep.</t>
  </si>
  <si>
    <t>pol-controller-knowledge_fragments-select</t>
  </si>
  <si>
    <t>owner_role = app.jwt_role()</t>
  </si>
  <si>
    <t>Ownership: only the rows this role owns.</t>
  </si>
  <si>
    <t>pol-controller-requirements-select</t>
  </si>
  <si>
    <t>pol-controller-procedure_versions-select</t>
  </si>
  <si>
    <t>pol-cfo-procedure_executions-select</t>
  </si>
  <si>
    <t>Final authority for the financial close. Sees the decision surface only: what awaits approval, the boundaries on that authority, and the close's headline state. No preparation detail, no stewardship diagnostics.</t>
  </si>
  <si>
    <t>pol-cfo-exceptions-select</t>
  </si>
  <si>
    <t>pol-cfo-change_requests-select</t>
  </si>
  <si>
    <t>pol-cfo-authority_boundaries-select</t>
  </si>
  <si>
    <t>pol-cfo-procedures-select</t>
  </si>
  <si>
    <t>pol-hrpolicyowner-steps-select</t>
  </si>
  <si>
    <t>Accountable owner for employment policy content. Owns policy knowledge and the change requests that alter it. Sees the steps they are assigned, and the exceptions they approve.</t>
  </si>
  <si>
    <t>pol-hrpolicyowner-knowledge_fragments-select</t>
  </si>
  <si>
    <t>pol-hrpolicyowner-knowledge_gaps-select</t>
  </si>
  <si>
    <t>public.calc_knowledge_gaps_is_open(knowledge_gap_id)</t>
  </si>
  <si>
    <t>Open knowledge gaps only; resolved gaps are governance history.</t>
  </si>
  <si>
    <t>pol-hrpolicyowner-change_requests-select</t>
  </si>
  <si>
    <t>pol-hrpolicyowner-exceptions-select</t>
  </si>
  <si>
    <t>pol-hrpolicyowner-message_templates-select</t>
  </si>
  <si>
    <t>pol-employmentcounsel-change_requests-select</t>
  </si>
  <si>
    <t>pol-employmentcounsel-knowledge_fragments-select</t>
  </si>
  <si>
    <t>pol-employmentcounsel-authority_boundaries-select</t>
  </si>
  <si>
    <t>Legal reviewer for workforce policy changes. Reads what is proposed and the boundaries that constrain it. Does not need execution telemetry or delivery data.</t>
  </si>
  <si>
    <t>pol-employmentcounsel-communication_policies-select</t>
  </si>
  <si>
    <t>pol-employmentcounsel-steps-select</t>
  </si>
  <si>
    <t>pol-communicationsmanager-communication_policies-select</t>
  </si>
  <si>
    <t>Human owner of employee communications. Approves what goes out and to whom, so this is the one non-admin role that sees recipients -- including consent state, which is the whole point of the approval.</t>
  </si>
  <si>
    <t>pol-communicationsmanager-message_templates-select</t>
  </si>
  <si>
    <t>pol-communicationsmanager-send_intents-select</t>
  </si>
  <si>
    <t>pol-communicationsmanager-message_deliveries-select</t>
  </si>
  <si>
    <t>pol-communicationsmanager-recipients-select</t>
  </si>
  <si>
    <t>organization = app.jwt_organization()</t>
  </si>
  <si>
    <t>Tenancy boundary: only rows belonging to this principal's own organization.</t>
  </si>
  <si>
    <t>pol-communicationsmanager-knowledge_gaps-select</t>
  </si>
  <si>
    <t>pol-closeautomation-steps-select</t>
  </si>
  <si>
    <t>Deterministic extraction, posting and archival operator. A pipeline. It reads the steps it is assigned and writes what it did. It has no view of people, policy, or governance at all.</t>
  </si>
  <si>
    <t>pol-closeautomation-step_executions-select</t>
  </si>
  <si>
    <t>pol-closeautomation-errors-select</t>
  </si>
  <si>
    <t>pol-variancereviewagent-steps-select</t>
  </si>
  <si>
    <t>AI assistant that classifies and prioritises variances. Reads execution outcomes and the requirements that define a variance. No identities, no approvals.</t>
  </si>
  <si>
    <t>pol-variancereviewagent-step_executions-select</t>
  </si>
  <si>
    <t>pol-variancereviewagent-requirements-select</t>
  </si>
  <si>
    <t>pol-variancereviewagent-requirement_satisfactions-select</t>
  </si>
  <si>
    <t>pol-variancereviewagent-errors-select</t>
  </si>
  <si>
    <t>pol-policydraftingagent-message_templates-select</t>
  </si>
  <si>
    <t>AI assistant that drafts policy and channel variants. Reads the templates and policies it drafts against. It never sees recipients -- drafting does not require knowing who is addressed, and consent data is not its business.</t>
  </si>
  <si>
    <t>pol-policydraftingagent-communication_policies-select</t>
  </si>
  <si>
    <t>pol-policydraftingagent-knowledge_fragments-select</t>
  </si>
  <si>
    <t>pol-policydraftingagent-steps-select</t>
  </si>
  <si>
    <t>pol-notificationpublisher-communication_policies-select</t>
  </si>
  <si>
    <t>Pipeline that applies channel rules and sends approved messages. Needs the rules and the send queue. Sees a recipient's ADDRESS but not their consent history or display name -- it delivers, it does not decide.</t>
  </si>
  <si>
    <t>pol-notificationpublisher-send_intents-select</t>
  </si>
  <si>
    <t>pol-notificationpublisher-message_deliveries-select</t>
  </si>
  <si>
    <t>pol-notificationpublisher-recipients-select</t>
  </si>
  <si>
    <t>pol-notificationpublisher-steps-select</t>
  </si>
  <si>
    <t>pol-processsteward-actions-select</t>
  </si>
  <si>
    <t>Full read: this principal is a declared administrator.</t>
  </si>
  <si>
    <t>pol-processsteward-agent_decision_records-select</t>
  </si>
  <si>
    <t>pol-processsteward-agents-select</t>
  </si>
  <si>
    <t>pol-processsteward-app_nav_groups-select</t>
  </si>
  <si>
    <t>pol-processsteward-app_role_profiles-select</t>
  </si>
  <si>
    <t>pol-processsteward-app_route_questions-select</t>
  </si>
  <si>
    <t>pol-processsteward-app_route_references-select</t>
  </si>
  <si>
    <t>pol-processsteward-app_routes-select</t>
  </si>
  <si>
    <t>pol-processsteward-attestations-select</t>
  </si>
  <si>
    <t>pol-processsteward-authority_boundaries-select</t>
  </si>
  <si>
    <t>pol-processsteward-binding_observations-select</t>
  </si>
  <si>
    <t>pol-processsteward-change_requests-select</t>
  </si>
  <si>
    <t>pol-processsteward-communication_policies-select</t>
  </si>
  <si>
    <t>pol-processsteward-communities_of_practice-select</t>
  </si>
  <si>
    <t>pol-processsteward-delivered_communications-select</t>
  </si>
  <si>
    <t>pol-processsteward-elicitation_sessions-select</t>
  </si>
  <si>
    <t>pol-processsteward-errors-select</t>
  </si>
  <si>
    <t>pol-processsteward-evaluation_contexts-select</t>
  </si>
  <si>
    <t>pol-processsteward-exception_invocations-select</t>
  </si>
  <si>
    <t>pol-processsteward-exceptions-select</t>
  </si>
  <si>
    <t>pol-processsteward-explanations-select</t>
  </si>
  <si>
    <t>pol-processsteward-functions-select</t>
  </si>
  <si>
    <t>pol-processsteward-issue_occurrences-select</t>
  </si>
  <si>
    <t>pol-processsteward-knowledge_fragments-select</t>
  </si>
  <si>
    <t>pol-processsteward-knowledge_gaps-select</t>
  </si>
  <si>
    <t>pol-processsteward-learning_activities-select</t>
  </si>
  <si>
    <t>pol-processsteward-mentorships-select</t>
  </si>
  <si>
    <t>pol-processsteward-message_deliveries-select</t>
  </si>
  <si>
    <t>pol-processsteward-message_templates-select</t>
  </si>
  <si>
    <t>pol-processsteward-observed_transitions-select</t>
  </si>
  <si>
    <t>pol-processsteward-ontology_profiles-select</t>
  </si>
  <si>
    <t>pol-processsteward-operational_bindings-select</t>
  </si>
  <si>
    <t>pol-processsteward-organizations-select</t>
  </si>
  <si>
    <t>pol-processsteward-procedure_executions-select</t>
  </si>
  <si>
    <t>pol-processsteward-procedure_resources-select</t>
  </si>
  <si>
    <t>pol-processsteward-procedure_status_changes-select</t>
  </si>
  <si>
    <t>pol-processsteward-procedure_types-select</t>
  </si>
  <si>
    <t>pol-processsteward-procedure_version_links-select</t>
  </si>
  <si>
    <t>pol-processsteward-procedure_versions-select</t>
  </si>
  <si>
    <t>pol-processsteward-procedures-select</t>
  </si>
  <si>
    <t>pol-processsteward-rationales-select</t>
  </si>
  <si>
    <t>pol-processsteward-recipients-select</t>
  </si>
  <si>
    <t>pol-processsteward-requirement_satisfactions-select</t>
  </si>
  <si>
    <t>pol-processsteward-requirements-select</t>
  </si>
  <si>
    <t>pol-processsteward-resources-select</t>
  </si>
  <si>
    <t>pol-processsteward-review_events-select</t>
  </si>
  <si>
    <t>pol-processsteward-role_assignments-select</t>
  </si>
  <si>
    <t>pol-processsteward-role_questions-select</t>
  </si>
  <si>
    <t>pol-processsteward-roles-select</t>
  </si>
  <si>
    <t>pol-processsteward-rulebook_fields-select</t>
  </si>
  <si>
    <t>pol-processsteward-rulebook_releases-select</t>
  </si>
  <si>
    <t>pol-processsteward-semantic_mappings-select</t>
  </si>
  <si>
    <t>pol-processsteward-send_intents-select</t>
  </si>
  <si>
    <t>pol-processsteward-step_actions-select</t>
  </si>
  <si>
    <t>pol-processsteward-step_executions-select</t>
  </si>
  <si>
    <t>pol-processsteward-step_functions-select</t>
  </si>
  <si>
    <t>pol-processsteward-step_requirements-select</t>
  </si>
  <si>
    <t>pol-processsteward-step_tools-select</t>
  </si>
  <si>
    <t>pol-processsteward-step_transitions-select</t>
  </si>
  <si>
    <t>pol-processsteward-step_verifications-select</t>
  </si>
  <si>
    <t>pol-processsteward-steps-select</t>
  </si>
  <si>
    <t>pol-processsteward-stewardship_assignments-select</t>
  </si>
  <si>
    <t>pol-processsteward-template_approvals-select</t>
  </si>
  <si>
    <t>pol-processsteward-test_cases-select</t>
  </si>
  <si>
    <t>pol-processsteward-test_suites-select</t>
  </si>
  <si>
    <t>pol-processsteward-tools-select</t>
  </si>
  <si>
    <t>pol-processsteward-user_feedback-select</t>
  </si>
  <si>
    <t>pol-processsteward-user_questions-select</t>
  </si>
  <si>
    <t>pol-processsteward-verification_outcomes-select</t>
  </si>
  <si>
    <t>pol-processsteward-witness_loops-select</t>
  </si>
  <si>
    <t>pol-knowledgeauthority-actions-select</t>
  </si>
  <si>
    <t>pol-knowledgeauthority-agent_decision_records-select</t>
  </si>
  <si>
    <t>pol-knowledgeauthority-agents-select</t>
  </si>
  <si>
    <t>pol-knowledgeauthority-app_nav_groups-select</t>
  </si>
  <si>
    <t>pol-knowledgeauthority-app_role_profiles-select</t>
  </si>
  <si>
    <t>pol-knowledgeauthority-app_route_questions-select</t>
  </si>
  <si>
    <t>pol-knowledgeauthority-app_route_references-select</t>
  </si>
  <si>
    <t>pol-knowledgeauthority-app_routes-select</t>
  </si>
  <si>
    <t>pol-knowledgeauthority-attestations-select</t>
  </si>
  <si>
    <t>pol-knowledgeauthority-authority_boundaries-select</t>
  </si>
  <si>
    <t>pol-knowledgeauthority-binding_observations-select</t>
  </si>
  <si>
    <t>pol-knowledgeauthority-change_requests-select</t>
  </si>
  <si>
    <t>pol-knowledgeauthority-communication_policies-select</t>
  </si>
  <si>
    <t>pol-knowledgeauthority-communities_of_practice-select</t>
  </si>
  <si>
    <t>pol-knowledgeauthority-delivered_communications-select</t>
  </si>
  <si>
    <t>pol-knowledgeauthority-elicitation_sessions-select</t>
  </si>
  <si>
    <t>pol-knowledgeauthority-errors-select</t>
  </si>
  <si>
    <t>pol-knowledgeauthority-evaluation_contexts-select</t>
  </si>
  <si>
    <t>pol-knowledgeauthority-exception_invocations-select</t>
  </si>
  <si>
    <t>pol-knowledgeauthority-exceptions-select</t>
  </si>
  <si>
    <t>pol-knowledgeauthority-explanations-select</t>
  </si>
  <si>
    <t>pol-knowledgeauthority-functions-select</t>
  </si>
  <si>
    <t>pol-knowledgeauthority-issue_occurrences-select</t>
  </si>
  <si>
    <t>pol-knowledgeauthority-knowledge_fragments-select</t>
  </si>
  <si>
    <t>pol-knowledgeauthority-knowledge_gaps-select</t>
  </si>
  <si>
    <t>pol-knowledgeauthority-learning_activities-select</t>
  </si>
  <si>
    <t>pol-knowledgeauthority-mentorships-select</t>
  </si>
  <si>
    <t>pol-knowledgeauthority-message_deliveries-select</t>
  </si>
  <si>
    <t>pol-knowledgeauthority-message_templates-select</t>
  </si>
  <si>
    <t>pol-knowledgeauthority-observed_transitions-select</t>
  </si>
  <si>
    <t>pol-knowledgeauthority-ontology_profiles-select</t>
  </si>
  <si>
    <t>pol-knowledgeauthority-operational_bindings-select</t>
  </si>
  <si>
    <t>pol-knowledgeauthority-organizations-select</t>
  </si>
  <si>
    <t>pol-knowledgeauthority-procedure_executions-select</t>
  </si>
  <si>
    <t>pol-knowledgeauthority-procedure_resources-select</t>
  </si>
  <si>
    <t>pol-knowledgeauthority-procedure_status_changes-select</t>
  </si>
  <si>
    <t>pol-knowledgeauthority-procedure_types-select</t>
  </si>
  <si>
    <t>pol-knowledgeauthority-procedure_version_links-select</t>
  </si>
  <si>
    <t>pol-knowledgeauthority-procedure_versions-select</t>
  </si>
  <si>
    <t>pol-knowledgeauthority-procedures-select</t>
  </si>
  <si>
    <t>pol-knowledgeauthority-rationales-select</t>
  </si>
  <si>
    <t>pol-knowledgeauthority-recipients-select</t>
  </si>
  <si>
    <t>pol-knowledgeauthority-requirement_satisfactions-select</t>
  </si>
  <si>
    <t>pol-knowledgeauthority-requirements-select</t>
  </si>
  <si>
    <t>pol-knowledgeauthority-resources-select</t>
  </si>
  <si>
    <t>pol-knowledgeauthority-review_events-select</t>
  </si>
  <si>
    <t>pol-knowledgeauthority-role_assignments-select</t>
  </si>
  <si>
    <t>pol-knowledgeauthority-role_questions-select</t>
  </si>
  <si>
    <t>pol-knowledgeauthority-roles-select</t>
  </si>
  <si>
    <t>pol-knowledgeauthority-rulebook_fields-select</t>
  </si>
  <si>
    <t>pol-knowledgeauthority-rulebook_releases-select</t>
  </si>
  <si>
    <t>pol-knowledgeauthority-semantic_mappings-select</t>
  </si>
  <si>
    <t>pol-knowledgeauthority-send_intents-select</t>
  </si>
  <si>
    <t>pol-knowledgeauthority-step_actions-select</t>
  </si>
  <si>
    <t>pol-knowledgeauthority-step_executions-select</t>
  </si>
  <si>
    <t>pol-knowledgeauthority-step_functions-select</t>
  </si>
  <si>
    <t>pol-knowledgeauthority-step_requirements-select</t>
  </si>
  <si>
    <t>pol-knowledgeauthority-step_tools-select</t>
  </si>
  <si>
    <t>pol-knowledgeauthority-step_transitions-select</t>
  </si>
  <si>
    <t>pol-knowledgeauthority-step_verifications-select</t>
  </si>
  <si>
    <t>pol-knowledgeauthority-steps-select</t>
  </si>
  <si>
    <t>pol-knowledgeauthority-stewardship_assignments-select</t>
  </si>
  <si>
    <t>pol-knowledgeauthority-template_approvals-select</t>
  </si>
  <si>
    <t>pol-knowledgeauthority-test_cases-select</t>
  </si>
  <si>
    <t>pol-knowledgeauthority-test_suites-select</t>
  </si>
  <si>
    <t>pol-knowledgeauthority-tools-select</t>
  </si>
  <si>
    <t>pol-knowledgeauthority-user_feedback-select</t>
  </si>
  <si>
    <t>pol-knowledgeauthority-user_questions-select</t>
  </si>
  <si>
    <t>pol-knowledgeauthority-verification_outcomes-select</t>
  </si>
  <si>
    <t>pol-knowledgeauthority-witness_loops-select</t>
  </si>
  <si>
    <t>pol-processsteward-process_mining_runs-select</t>
  </si>
  <si>
    <t>Steward-level role: unrestricted read of this table, matching this principal's existing broad reach across the model.</t>
  </si>
  <si>
    <t>pol-processsteward-vocabularies-select</t>
  </si>
  <si>
    <t>pol-processsteward-vocabulary_terms-select</t>
  </si>
  <si>
    <t>pol-processsteward-knowledge_broker_links-select</t>
  </si>
  <si>
    <t>pol-knowledgeauthority-process_mining_runs-select</t>
  </si>
  <si>
    <t>pol-knowledgeauthority-vocabularies-select</t>
  </si>
  <si>
    <t>pol-knowledgeauthority-vocabulary_terms-select</t>
  </si>
  <si>
    <t>pol-knowledgeauthority-knowledge_broker_links-select</t>
  </si>
  <si>
    <t>fg-finance-analyst-Steps.StepId</t>
  </si>
  <si>
    <t>plain</t>
  </si>
  <si>
    <t>urn:effortless:pko-extension#FieldGrant</t>
  </si>
  <si>
    <t>fg-finance-analyst-Steps.StepNumber</t>
  </si>
  <si>
    <t>fg-finance-analyst-Steps.Title</t>
  </si>
  <si>
    <t>fg-finance-analyst-Steps.StepKind</t>
  </si>
  <si>
    <t>fg-finance-analyst-Steps.Instruction</t>
  </si>
  <si>
    <t>fg-finance-analyst-Steps.AssignedRole</t>
  </si>
  <si>
    <t>fg-finance-analyst-Steps.AssignedRoleLabel</t>
  </si>
  <si>
    <t>fg-finance-analyst-Steps.ProcedureVersion</t>
  </si>
  <si>
    <t>fg-finance-analyst-Steps.Name</t>
  </si>
  <si>
    <t>fg-finance-analyst-Steps.IsApprovalStep</t>
  </si>
  <si>
    <t>fg-finance-analyst-Steps.RequiresHumanConfirmation</t>
  </si>
  <si>
    <t>fg-finance-analyst-Steps.ExpectedDurationMinutes</t>
  </si>
  <si>
    <t>fg-finance-analyst-StepExecutions.StepExecutionId</t>
  </si>
  <si>
    <t>fg-finance-analyst-StepExecutions.Step</t>
  </si>
  <si>
    <t>fg-finance-analyst-StepExecutions.ExecutionStatus</t>
  </si>
  <si>
    <t>fg-finance-analyst-StepExecutions.StartedAt</t>
  </si>
  <si>
    <t>fg-finance-analyst-StepExecutions.EndedAt</t>
  </si>
  <si>
    <t>fg-finance-analyst-StepExecutions.VerificationResult</t>
  </si>
  <si>
    <t>fg-finance-analyst-StepExecutions.Name</t>
  </si>
  <si>
    <t>fg-finance-analyst-StepExecutions.Deviation</t>
  </si>
  <si>
    <t>fg-finance-analyst-StepExecutions.ActualDurationMinutes</t>
  </si>
  <si>
    <t>fg-finance-analyst-StepExecutions.IsLate</t>
  </si>
  <si>
    <t>fg-finance-analyst-ProcedureExecutions.ProcedureExecutionId</t>
  </si>
  <si>
    <t>fg-finance-analyst-ProcedureExecutions.ExecutionStatus</t>
  </si>
  <si>
    <t>fg-finance-analyst-ProcedureExecutions.StartedAt</t>
  </si>
  <si>
    <t>fg-finance-analyst-ProcedureExecutions.EndedAt</t>
  </si>
  <si>
    <t>fg-finance-analyst-ProcedureExecutions.ProcedureVersion</t>
  </si>
  <si>
    <t>fg-finance-analyst-ProcedureExecutions.Name</t>
  </si>
  <si>
    <t>fg-finance-analyst-Requirements.RequirementId</t>
  </si>
  <si>
    <t>fg-finance-analyst-Requirements.Label</t>
  </si>
  <si>
    <t>fg-finance-analyst-Requirements.RequirementType</t>
  </si>
  <si>
    <t>fg-finance-analyst-Requirements.Statement</t>
  </si>
  <si>
    <t>fg-finance-analyst-Requirements.IsBlocking</t>
  </si>
  <si>
    <t>fg-finance-analyst-Requirements.Name</t>
  </si>
  <si>
    <t>fg-finance-analyst-RequirementSatisfactions.RequirementSatisfactionId</t>
  </si>
  <si>
    <t>fg-finance-analyst-RequirementSatisfactions.Requirement</t>
  </si>
  <si>
    <t>fg-finance-analyst-RequirementSatisfactions.SatisfactionLevel</t>
  </si>
  <si>
    <t>fg-finance-analyst-RequirementSatisfactions.Evidence</t>
  </si>
  <si>
    <t>fg-finance-analyst-RequirementSatisfactions.EvaluatedAt</t>
  </si>
  <si>
    <t>fg-finance-analyst-RequirementSatisfactions.Name</t>
  </si>
  <si>
    <t>fg-finance-analyst-Procedures.ProcedureId</t>
  </si>
  <si>
    <t>fg-finance-analyst-Procedures.Title</t>
  </si>
  <si>
    <t>fg-finance-analyst-Procedures.Purpose</t>
  </si>
  <si>
    <t>fg-finance-analyst-Procedures.Name</t>
  </si>
  <si>
    <t>fg-finance-analyst-ProcedureVersions.ProcedureVersionId</t>
  </si>
  <si>
    <t>fg-finance-analyst-ProcedureVersions.VersionNumber</t>
  </si>
  <si>
    <t>fg-finance-analyst-ProcedureVersions.Title</t>
  </si>
  <si>
    <t>fg-finance-analyst-ProcedureVersions.Status</t>
  </si>
  <si>
    <t>fg-finance-analyst-ProcedureVersions.IsCurrent</t>
  </si>
  <si>
    <t>fg-finance-analyst-ProcedureVersions.Procedure</t>
  </si>
  <si>
    <t>fg-finance-analyst-ProcedureVersions.Name</t>
  </si>
  <si>
    <t>fg-controller-Steps.StepId</t>
  </si>
  <si>
    <t>fg-controller-Steps.StepNumber</t>
  </si>
  <si>
    <t>fg-controller-Steps.Title</t>
  </si>
  <si>
    <t>fg-controller-Steps.StepKind</t>
  </si>
  <si>
    <t>fg-controller-Steps.Instruction</t>
  </si>
  <si>
    <t>fg-controller-Steps.AssignedRole</t>
  </si>
  <si>
    <t>fg-controller-Steps.AssignedRoleLabel</t>
  </si>
  <si>
    <t>fg-controller-Steps.ProcedureVersion</t>
  </si>
  <si>
    <t>fg-controller-Steps.Name</t>
  </si>
  <si>
    <t>fg-controller-Steps.IsApprovalStep</t>
  </si>
  <si>
    <t>fg-controller-Steps.RequiresHumanConfirmation</t>
  </si>
  <si>
    <t>fg-controller-Steps.ExpectedDurationMinutes</t>
  </si>
  <si>
    <t>fg-controller-Steps.ControlKind</t>
  </si>
  <si>
    <t>fg-controller-StepExecutions.StepExecutionId</t>
  </si>
  <si>
    <t>fg-controller-StepExecutions.Step</t>
  </si>
  <si>
    <t>fg-controller-StepExecutions.ExecutionStatus</t>
  </si>
  <si>
    <t>fg-controller-StepExecutions.StartedAt</t>
  </si>
  <si>
    <t>fg-controller-StepExecutions.EndedAt</t>
  </si>
  <si>
    <t>fg-controller-StepExecutions.VerificationResult</t>
  </si>
  <si>
    <t>fg-controller-StepExecutions.Name</t>
  </si>
  <si>
    <t>fg-controller-StepExecutions.Deviation</t>
  </si>
  <si>
    <t>fg-controller-ProcedureExecutions.ProcedureExecutionId</t>
  </si>
  <si>
    <t>fg-controller-ProcedureExecutions.ExecutionStatus</t>
  </si>
  <si>
    <t>fg-controller-ProcedureExecutions.StartedAt</t>
  </si>
  <si>
    <t>fg-controller-ProcedureExecutions.EndedAt</t>
  </si>
  <si>
    <t>fg-controller-ProcedureExecutions.ProcedureVersion</t>
  </si>
  <si>
    <t>fg-controller-ProcedureExecutions.Name</t>
  </si>
  <si>
    <t>fg-controller-Exceptions.ExceptionId</t>
  </si>
  <si>
    <t>fg-controller-Exceptions.Name</t>
  </si>
  <si>
    <t>fg-controller-Exceptions.ProcedureVersion</t>
  </si>
  <si>
    <t>fg-controller-Exceptions.TriggerStep</t>
  </si>
  <si>
    <t>fg-controller-Exceptions.Condition</t>
  </si>
  <si>
    <t>fg-controller-Exceptions.Handling</t>
  </si>
  <si>
    <t>fg-controller-Exceptions.ApprovalRole</t>
  </si>
  <si>
    <t>fg-controller-Exceptions.FallbackRole</t>
  </si>
  <si>
    <t>fg-controller-Exceptions.Status</t>
  </si>
  <si>
    <t>fg-controller-Exceptions.ActiveExceptionStepKey</t>
  </si>
  <si>
    <t>fg-controller-Exceptions.SemanticTypeIri</t>
  </si>
  <si>
    <t>fg-controller-ChangeRequests.ChangeRequestId</t>
  </si>
  <si>
    <t>fg-controller-ChangeRequests.Title</t>
  </si>
  <si>
    <t>fg-controller-ChangeRequests.ChangeKind</t>
  </si>
  <si>
    <t>fg-controller-ChangeRequests.Status</t>
  </si>
  <si>
    <t>fg-controller-ChangeRequests.RequestedAt</t>
  </si>
  <si>
    <t>fg-controller-ChangeRequests.DecidedAt</t>
  </si>
  <si>
    <t>fg-controller-ChangeRequests.ImpactAssessment</t>
  </si>
  <si>
    <t>fg-controller-ChangeRequests.AuthorityRole</t>
  </si>
  <si>
    <t>fg-controller-ChangeRequests.IsOpen</t>
  </si>
  <si>
    <t>fg-controller-ChangeRequests.Name</t>
  </si>
  <si>
    <t>fg-controller-KnowledgeFragments.KnowledgeFragmentId</t>
  </si>
  <si>
    <t>fg-controller-KnowledgeFragments.Statement</t>
  </si>
  <si>
    <t>fg-controller-KnowledgeFragments.KnowledgeForm</t>
  </si>
  <si>
    <t>fg-controller-KnowledgeFragments.Status</t>
  </si>
  <si>
    <t>fg-controller-KnowledgeFragments.Confidence</t>
  </si>
  <si>
    <t>fg-controller-KnowledgeFragments.OwnerRole</t>
  </si>
  <si>
    <t>fg-controller-KnowledgeFragments.LastReviewedAt</t>
  </si>
  <si>
    <t>fg-controller-KnowledgeFragments.Name</t>
  </si>
  <si>
    <t>fg-controller-Requirements.RequirementId</t>
  </si>
  <si>
    <t>fg-controller-Requirements.Label</t>
  </si>
  <si>
    <t>fg-controller-Requirements.Statement</t>
  </si>
  <si>
    <t>fg-controller-Requirements.IsBlocking</t>
  </si>
  <si>
    <t>fg-controller-Requirements.AccountableRole</t>
  </si>
  <si>
    <t>fg-controller-Requirements.Name</t>
  </si>
  <si>
    <t>fg-controller-ProcedureVersions.ProcedureVersionId</t>
  </si>
  <si>
    <t>fg-controller-ProcedureVersions.VersionNumber</t>
  </si>
  <si>
    <t>fg-controller-ProcedureVersions.Title</t>
  </si>
  <si>
    <t>fg-controller-ProcedureVersions.Status</t>
  </si>
  <si>
    <t>fg-controller-ProcedureVersions.IsCurrent</t>
  </si>
  <si>
    <t>fg-controller-ProcedureVersions.Procedure</t>
  </si>
  <si>
    <t>fg-controller-ProcedureVersions.Name</t>
  </si>
  <si>
    <t>fg-cfo-ProcedureExecutions.ProcedureExecutionId</t>
  </si>
  <si>
    <t>fg-cfo-ProcedureExecutions.ExecutionStatus</t>
  </si>
  <si>
    <t>fg-cfo-ProcedureExecutions.StartedAt</t>
  </si>
  <si>
    <t>fg-cfo-ProcedureExecutions.EndedAt</t>
  </si>
  <si>
    <t>fg-cfo-ProcedureExecutions.ProcedureVersion</t>
  </si>
  <si>
    <t>fg-cfo-ProcedureExecutions.Name</t>
  </si>
  <si>
    <t>fg-cfo-Exceptions.ExceptionId</t>
  </si>
  <si>
    <t>fg-cfo-Exceptions.Name</t>
  </si>
  <si>
    <t>fg-cfo-Exceptions.ProcedureVersion</t>
  </si>
  <si>
    <t>fg-cfo-Exceptions.TriggerStep</t>
  </si>
  <si>
    <t>fg-cfo-Exceptions.Condition</t>
  </si>
  <si>
    <t>fg-cfo-Exceptions.Handling</t>
  </si>
  <si>
    <t>fg-cfo-Exceptions.ApprovalRole</t>
  </si>
  <si>
    <t>fg-cfo-Exceptions.FallbackRole</t>
  </si>
  <si>
    <t>fg-cfo-Exceptions.Status</t>
  </si>
  <si>
    <t>fg-cfo-Exceptions.ActiveExceptionStepKey</t>
  </si>
  <si>
    <t>fg-cfo-Exceptions.SemanticTypeIri</t>
  </si>
  <si>
    <t>fg-cfo-ChangeRequests.ChangeRequestId</t>
  </si>
  <si>
    <t>fg-cfo-ChangeRequests.Title</t>
  </si>
  <si>
    <t>fg-cfo-ChangeRequests.ChangeKind</t>
  </si>
  <si>
    <t>fg-cfo-ChangeRequests.Status</t>
  </si>
  <si>
    <t>fg-cfo-ChangeRequests.RequestedAt</t>
  </si>
  <si>
    <t>fg-cfo-ChangeRequests.DecidedAt</t>
  </si>
  <si>
    <t>fg-cfo-ChangeRequests.ImpactAssessment</t>
  </si>
  <si>
    <t>fg-cfo-ChangeRequests.IsOpen</t>
  </si>
  <si>
    <t>fg-cfo-ChangeRequests.Name</t>
  </si>
  <si>
    <t>fg-cfo-AuthorityBoundaries.AuthorityBoundaryId</t>
  </si>
  <si>
    <t>fg-cfo-AuthorityBoundaries.ForbiddenAgentKind</t>
  </si>
  <si>
    <t>fg-cfo-AuthorityBoundaries.ForbiddenDecisionKind</t>
  </si>
  <si>
    <t>fg-cfo-AuthorityBoundaries.Status</t>
  </si>
  <si>
    <t>fg-cfo-AuthorityBoundaries.AuthorityRole</t>
  </si>
  <si>
    <t>fg-cfo-AuthorityBoundaries.Step</t>
  </si>
  <si>
    <t>fg-cfo-AuthorityBoundaries.Name</t>
  </si>
  <si>
    <t>fg-cfo-Procedures.ProcedureId</t>
  </si>
  <si>
    <t>fg-cfo-Procedures.Title</t>
  </si>
  <si>
    <t>fg-cfo-Procedures.Purpose</t>
  </si>
  <si>
    <t>fg-cfo-Procedures.Name</t>
  </si>
  <si>
    <t>fg-hr-policy-owner-Steps.StepId</t>
  </si>
  <si>
    <t>fg-hr-policy-owner-Steps.StepNumber</t>
  </si>
  <si>
    <t>fg-hr-policy-owner-Steps.Title</t>
  </si>
  <si>
    <t>fg-hr-policy-owner-Steps.StepKind</t>
  </si>
  <si>
    <t>fg-hr-policy-owner-Steps.Instruction</t>
  </si>
  <si>
    <t>fg-hr-policy-owner-Steps.AssignedRole</t>
  </si>
  <si>
    <t>fg-hr-policy-owner-Steps.AssignedRoleLabel</t>
  </si>
  <si>
    <t>fg-hr-policy-owner-Steps.ProcedureVersion</t>
  </si>
  <si>
    <t>fg-hr-policy-owner-Steps.Name</t>
  </si>
  <si>
    <t>fg-hr-policy-owner-Steps.IsApprovalStep</t>
  </si>
  <si>
    <t>fg-hr-policy-owner-Steps.RequiresHumanConfirmation</t>
  </si>
  <si>
    <t>fg-hr-policy-owner-Steps.ExpectedDurationMinutes</t>
  </si>
  <si>
    <t>fg-hr-policy-owner-KnowledgeFragments.KnowledgeFragmentId</t>
  </si>
  <si>
    <t>fg-hr-policy-owner-KnowledgeFragments.Statement</t>
  </si>
  <si>
    <t>fg-hr-policy-owner-KnowledgeFragments.KnowledgeForm</t>
  </si>
  <si>
    <t>fg-hr-policy-owner-KnowledgeFragments.Status</t>
  </si>
  <si>
    <t>fg-hr-policy-owner-KnowledgeFragments.Confidence</t>
  </si>
  <si>
    <t>fg-hr-policy-owner-KnowledgeFragments.OwnerRole</t>
  </si>
  <si>
    <t>fg-hr-policy-owner-KnowledgeFragments.ValidFrom</t>
  </si>
  <si>
    <t>fg-hr-policy-owner-KnowledgeFragments.ValidTo</t>
  </si>
  <si>
    <t>fg-hr-policy-owner-KnowledgeFragments.LastReviewedAt</t>
  </si>
  <si>
    <t>fg-hr-policy-owner-KnowledgeFragments.Name</t>
  </si>
  <si>
    <t>fg-hr-policy-owner-KnowledgeGaps.KnowledgeGapId</t>
  </si>
  <si>
    <t>fg-hr-policy-owner-KnowledgeGaps.Statement</t>
  </si>
  <si>
    <t>fg-hr-policy-owner-KnowledgeGaps.Severity</t>
  </si>
  <si>
    <t>fg-hr-policy-owner-KnowledgeGaps.Status</t>
  </si>
  <si>
    <t>fg-hr-policy-owner-KnowledgeGaps.OwnerRole</t>
  </si>
  <si>
    <t>fg-hr-policy-owner-KnowledgeGaps.ResolutionPlan</t>
  </si>
  <si>
    <t>fg-hr-policy-owner-KnowledgeGaps.IsOpen</t>
  </si>
  <si>
    <t>fg-hr-policy-owner-KnowledgeGaps.Name</t>
  </si>
  <si>
    <t>fg-hr-policy-owner-ChangeRequests.ChangeRequestId</t>
  </si>
  <si>
    <t>fg-hr-policy-owner-ChangeRequests.Title</t>
  </si>
  <si>
    <t>fg-hr-policy-owner-ChangeRequests.ChangeKind</t>
  </si>
  <si>
    <t>fg-hr-policy-owner-ChangeRequests.Status</t>
  </si>
  <si>
    <t>fg-hr-policy-owner-ChangeRequests.RequestedAt</t>
  </si>
  <si>
    <t>fg-hr-policy-owner-ChangeRequests.DecidedAt</t>
  </si>
  <si>
    <t>fg-hr-policy-owner-ChangeRequests.ImpactAssessment</t>
  </si>
  <si>
    <t>fg-hr-policy-owner-ChangeRequests.AuthorityRole</t>
  </si>
  <si>
    <t>fg-hr-policy-owner-ChangeRequests.IsOpen</t>
  </si>
  <si>
    <t>fg-hr-policy-owner-ChangeRequests.Name</t>
  </si>
  <si>
    <t>fg-hr-policy-owner-Exceptions.ExceptionId</t>
  </si>
  <si>
    <t>fg-hr-policy-owner-Exceptions.Name</t>
  </si>
  <si>
    <t>fg-hr-policy-owner-Exceptions.ProcedureVersion</t>
  </si>
  <si>
    <t>fg-hr-policy-owner-Exceptions.TriggerStep</t>
  </si>
  <si>
    <t>fg-hr-policy-owner-Exceptions.Condition</t>
  </si>
  <si>
    <t>fg-hr-policy-owner-Exceptions.Handling</t>
  </si>
  <si>
    <t>fg-hr-policy-owner-Exceptions.ApprovalRole</t>
  </si>
  <si>
    <t>fg-hr-policy-owner-Exceptions.FallbackRole</t>
  </si>
  <si>
    <t>fg-hr-policy-owner-Exceptions.Status</t>
  </si>
  <si>
    <t>fg-hr-policy-owner-Exceptions.ActiveExceptionStepKey</t>
  </si>
  <si>
    <t>fg-hr-policy-owner-Exceptions.SemanticTypeIri</t>
  </si>
  <si>
    <t>fg-hr-policy-owner-MessageTemplates.MessageTemplateId</t>
  </si>
  <si>
    <t>fg-hr-policy-owner-MessageTemplates.SubjectTemplate</t>
  </si>
  <si>
    <t>fg-hr-policy-owner-MessageTemplates.BodyTemplate</t>
  </si>
  <si>
    <t>fg-hr-policy-owner-MessageTemplates.Status</t>
  </si>
  <si>
    <t>fg-hr-policy-owner-MessageTemplates.Name</t>
  </si>
  <si>
    <t>fg-employment-counsel-ChangeRequests.ChangeRequestId</t>
  </si>
  <si>
    <t>fg-employment-counsel-ChangeRequests.Title</t>
  </si>
  <si>
    <t>fg-employment-counsel-ChangeRequests.ChangeKind</t>
  </si>
  <si>
    <t>fg-employment-counsel-ChangeRequests.Status</t>
  </si>
  <si>
    <t>fg-employment-counsel-ChangeRequests.RequestedAt</t>
  </si>
  <si>
    <t>fg-employment-counsel-ChangeRequests.DecidedAt</t>
  </si>
  <si>
    <t>fg-employment-counsel-ChangeRequests.ImpactAssessment</t>
  </si>
  <si>
    <t>fg-employment-counsel-ChangeRequests.IsOpen</t>
  </si>
  <si>
    <t>fg-employment-counsel-ChangeRequests.Name</t>
  </si>
  <si>
    <t>fg-employment-counsel-KnowledgeFragments.KnowledgeFragmentId</t>
  </si>
  <si>
    <t>fg-employment-counsel-KnowledgeFragments.Statement</t>
  </si>
  <si>
    <t>fg-employment-counsel-KnowledgeFragments.KnowledgeForm</t>
  </si>
  <si>
    <t>fg-employment-counsel-KnowledgeFragments.Status</t>
  </si>
  <si>
    <t>fg-employment-counsel-KnowledgeFragments.OwnerRole</t>
  </si>
  <si>
    <t>fg-employment-counsel-KnowledgeFragments.ValidFrom</t>
  </si>
  <si>
    <t>fg-employment-counsel-KnowledgeFragments.ValidTo</t>
  </si>
  <si>
    <t>fg-employment-counsel-KnowledgeFragments.Name</t>
  </si>
  <si>
    <t>fg-employment-counsel-AuthorityBoundaries.AuthorityBoundaryId</t>
  </si>
  <si>
    <t>fg-employment-counsel-AuthorityBoundaries.ForbiddenAgentKind</t>
  </si>
  <si>
    <t>fg-employment-counsel-AuthorityBoundaries.ForbiddenDecisionKind</t>
  </si>
  <si>
    <t>fg-employment-counsel-AuthorityBoundaries.Status</t>
  </si>
  <si>
    <t>fg-employment-counsel-AuthorityBoundaries.AuthorityRole</t>
  </si>
  <si>
    <t>fg-employment-counsel-AuthorityBoundaries.Name</t>
  </si>
  <si>
    <t>fg-employment-counsel-CommunicationPolicies.CommunicationPolicyId</t>
  </si>
  <si>
    <t>fg-employment-counsel-CommunicationPolicies.Channel</t>
  </si>
  <si>
    <t>fg-employment-counsel-CommunicationPolicies.ConsentRequired</t>
  </si>
  <si>
    <t>fg-employment-counsel-CommunicationPolicies.RequiredContent</t>
  </si>
  <si>
    <t>fg-employment-counsel-CommunicationPolicies.AuthorityStatement</t>
  </si>
  <si>
    <t>fg-employment-counsel-CommunicationPolicies.RetentionDays</t>
  </si>
  <si>
    <t>fg-employment-counsel-CommunicationPolicies.Status</t>
  </si>
  <si>
    <t>fg-employment-counsel-CommunicationPolicies.Name</t>
  </si>
  <si>
    <t>fg-employment-counsel-Steps.StepId</t>
  </si>
  <si>
    <t>fg-employment-counsel-Steps.StepNumber</t>
  </si>
  <si>
    <t>fg-employment-counsel-Steps.Title</t>
  </si>
  <si>
    <t>fg-employment-counsel-Steps.StepKind</t>
  </si>
  <si>
    <t>fg-employment-counsel-Steps.Instruction</t>
  </si>
  <si>
    <t>fg-employment-counsel-Steps.AssignedRole</t>
  </si>
  <si>
    <t>fg-employment-counsel-Steps.AssignedRoleLabel</t>
  </si>
  <si>
    <t>fg-employment-counsel-Steps.ProcedureVersion</t>
  </si>
  <si>
    <t>fg-employment-counsel-Steps.Name</t>
  </si>
  <si>
    <t>fg-communications-manager-CommunicationPolicies.CommunicationPolicyId</t>
  </si>
  <si>
    <t>fg-communications-manager-CommunicationPolicies.Name</t>
  </si>
  <si>
    <t>fg-communications-manager-CommunicationPolicies.ProcedureVersion</t>
  </si>
  <si>
    <t>fg-communications-manager-CommunicationPolicies.Channel</t>
  </si>
  <si>
    <t>fg-communications-manager-CommunicationPolicies.AudienceRule</t>
  </si>
  <si>
    <t>fg-communications-manager-CommunicationPolicies.ConsentRequired</t>
  </si>
  <si>
    <t>fg-communications-manager-CommunicationPolicies.QuietHoursStart</t>
  </si>
  <si>
    <t>fg-communications-manager-CommunicationPolicies.QuietHoursEnd</t>
  </si>
  <si>
    <t>fg-communications-manager-CommunicationPolicies.MaxMessageLength</t>
  </si>
  <si>
    <t>fg-communications-manager-CommunicationPolicies.MaxSegments</t>
  </si>
  <si>
    <t>fg-communications-manager-CommunicationPolicies.RetentionDays</t>
  </si>
  <si>
    <t>fg-communications-manager-CommunicationPolicies.ApprovalRole</t>
  </si>
  <si>
    <t>fg-communications-manager-CommunicationPolicies.RequiredContent</t>
  </si>
  <si>
    <t>fg-communications-manager-CommunicationPolicies.AuthorityStatement</t>
  </si>
  <si>
    <t>fg-communications-manager-CommunicationPolicies.Status</t>
  </si>
  <si>
    <t>fg-communications-manager-CommunicationPolicies.ConsentViolationCount</t>
  </si>
  <si>
    <t>fg-communications-manager-CommunicationPolicies.QuietHoursStartHour</t>
  </si>
  <si>
    <t>fg-communications-manager-CommunicationPolicies.QuietHoursEndHour</t>
  </si>
  <si>
    <t>fg-communications-manager-CommunicationPolicies.QuietHoursViolationCount</t>
  </si>
  <si>
    <t>fg-communications-manager-CommunicationPolicies.RequiredOptOutPhrase</t>
  </si>
  <si>
    <t>fg-communications-manager-CommunicationPolicies.IsActivePolicy</t>
  </si>
  <si>
    <t>fg-communications-manager-CommunicationPolicies.SemanticTypeIri</t>
  </si>
  <si>
    <t>fg-communications-manager-MessageTemplates.MessageTemplateId</t>
  </si>
  <si>
    <t>fg-communications-manager-MessageTemplates.SubjectTemplate</t>
  </si>
  <si>
    <t>fg-communications-manager-MessageTemplates.BodyTemplate</t>
  </si>
  <si>
    <t>fg-communications-manager-MessageTemplates.Locale</t>
  </si>
  <si>
    <t>fg-communications-manager-MessageTemplates.Status</t>
  </si>
  <si>
    <t>fg-communications-manager-MessageTemplates.LastValidApproval</t>
  </si>
  <si>
    <t>fg-communications-manager-MessageTemplates.Name</t>
  </si>
  <si>
    <t>fg-communications-manager-SendIntents.SendIntentId</t>
  </si>
  <si>
    <t>fg-communications-manager-SendIntents.ProposedBody</t>
  </si>
  <si>
    <t>fg-communications-manager-SendIntents.ProposedSendAtLocalHour</t>
  </si>
  <si>
    <t>fg-communications-manager-SendIntents.EvaluatedAt</t>
  </si>
  <si>
    <t>fg-communications-manager-SendIntents.MessageTemplate</t>
  </si>
  <si>
    <t>fg-communications-manager-SendIntents.Recipient</t>
  </si>
  <si>
    <t>fg-communications-manager-SendIntents.Name</t>
  </si>
  <si>
    <t>fg-communications-manager-MessageDeliveries.MessageDeliveryId</t>
  </si>
  <si>
    <t>fg-communications-manager-MessageDeliveries.RenderedBody</t>
  </si>
  <si>
    <t>fg-communications-manager-MessageDeliveries.SentAt</t>
  </si>
  <si>
    <t>fg-communications-manager-MessageDeliveries.DeliveryStatus</t>
  </si>
  <si>
    <t>fg-communications-manager-MessageDeliveries.SuppressionReason</t>
  </si>
  <si>
    <t>fg-communications-manager-MessageDeliveries.AcknowledgedAt</t>
  </si>
  <si>
    <t>fg-communications-manager-MessageDeliveries.Recipient</t>
  </si>
  <si>
    <t>fg-communications-manager-MessageDeliveries.Name</t>
  </si>
  <si>
    <t>fg-communications-manager-Recipients.RecipientId</t>
  </si>
  <si>
    <t>fg-communications-manager-Recipients.DisplayName</t>
  </si>
  <si>
    <t>fg-communications-manager-Recipients.EmailAddress</t>
  </si>
  <si>
    <t>fg-communications-manager-Recipients.SmsConsentStatus</t>
  </si>
  <si>
    <t>fg-communications-manager-Recipients.SmsConsentAt</t>
  </si>
  <si>
    <t>fg-communications-manager-Recipients.Name</t>
  </si>
  <si>
    <t>fg-communications-manager-KnowledgeGaps.KnowledgeGapId</t>
  </si>
  <si>
    <t>fg-communications-manager-KnowledgeGaps.Statement</t>
  </si>
  <si>
    <t>fg-communications-manager-KnowledgeGaps.Severity</t>
  </si>
  <si>
    <t>fg-communications-manager-KnowledgeGaps.Status</t>
  </si>
  <si>
    <t>fg-communications-manager-KnowledgeGaps.OwnerRole</t>
  </si>
  <si>
    <t>fg-communications-manager-KnowledgeGaps.IsOpen</t>
  </si>
  <si>
    <t>fg-communications-manager-KnowledgeGaps.Name</t>
  </si>
  <si>
    <t>fg-close-automation-Steps.StepId</t>
  </si>
  <si>
    <t>fg-close-automation-Steps.StepNumber</t>
  </si>
  <si>
    <t>fg-close-automation-Steps.Title</t>
  </si>
  <si>
    <t>fg-close-automation-Steps.StepKind</t>
  </si>
  <si>
    <t>fg-close-automation-Steps.Instruction</t>
  </si>
  <si>
    <t>fg-close-automation-Steps.AssignedRole</t>
  </si>
  <si>
    <t>fg-close-automation-Steps.AssignedRoleLabel</t>
  </si>
  <si>
    <t>fg-close-automation-Steps.ProcedureVersion</t>
  </si>
  <si>
    <t>fg-close-automation-Steps.Name</t>
  </si>
  <si>
    <t>fg-close-automation-Steps.ExpectedDurationMinutes</t>
  </si>
  <si>
    <t>fg-close-automation-StepExecutions.StepExecutionId</t>
  </si>
  <si>
    <t>fg-close-automation-StepExecutions.Step</t>
  </si>
  <si>
    <t>fg-close-automation-StepExecutions.ExecutionStatus</t>
  </si>
  <si>
    <t>fg-close-automation-StepExecutions.StartedAt</t>
  </si>
  <si>
    <t>fg-close-automation-StepExecutions.EndedAt</t>
  </si>
  <si>
    <t>fg-close-automation-StepExecutions.VerificationResult</t>
  </si>
  <si>
    <t>fg-close-automation-StepExecutions.Name</t>
  </si>
  <si>
    <t>fg-close-automation-Errors.ErrorId</t>
  </si>
  <si>
    <t>fg-close-automation-Errors.Name</t>
  </si>
  <si>
    <t>fg-close-automation-Errors.Label</t>
  </si>
  <si>
    <t>fg-close-automation-Errors.ErrorCode</t>
  </si>
  <si>
    <t>fg-close-automation-Errors.ErrorCause</t>
  </si>
  <si>
    <t>fg-close-automation-Errors.SemanticTypeIri</t>
  </si>
  <si>
    <t>fg-variance-review-agent-Steps.StepId</t>
  </si>
  <si>
    <t>fg-variance-review-agent-Steps.StepNumber</t>
  </si>
  <si>
    <t>fg-variance-review-agent-Steps.Title</t>
  </si>
  <si>
    <t>fg-variance-review-agent-Steps.StepKind</t>
  </si>
  <si>
    <t>fg-variance-review-agent-Steps.Instruction</t>
  </si>
  <si>
    <t>fg-variance-review-agent-Steps.AssignedRole</t>
  </si>
  <si>
    <t>fg-variance-review-agent-Steps.AssignedRoleLabel</t>
  </si>
  <si>
    <t>fg-variance-review-agent-Steps.ProcedureVersion</t>
  </si>
  <si>
    <t>fg-variance-review-agent-Steps.Name</t>
  </si>
  <si>
    <t>fg-variance-review-agent-StepExecutions.StepExecutionId</t>
  </si>
  <si>
    <t>fg-variance-review-agent-StepExecutions.Step</t>
  </si>
  <si>
    <t>fg-variance-review-agent-StepExecutions.ExecutionStatus</t>
  </si>
  <si>
    <t>fg-variance-review-agent-StepExecutions.StartedAt</t>
  </si>
  <si>
    <t>fg-variance-review-agent-StepExecutions.EndedAt</t>
  </si>
  <si>
    <t>fg-variance-review-agent-StepExecutions.VerificationResult</t>
  </si>
  <si>
    <t>fg-variance-review-agent-StepExecutions.Name</t>
  </si>
  <si>
    <t>fg-variance-review-agent-StepExecutions.Deviation</t>
  </si>
  <si>
    <t>fg-variance-review-agent-StepExecutions.IsLate</t>
  </si>
  <si>
    <t>fg-variance-review-agent-Requirements.RequirementId</t>
  </si>
  <si>
    <t>fg-variance-review-agent-Requirements.Label</t>
  </si>
  <si>
    <t>fg-variance-review-agent-Requirements.RequirementType</t>
  </si>
  <si>
    <t>fg-variance-review-agent-Requirements.Statement</t>
  </si>
  <si>
    <t>fg-variance-review-agent-Requirements.IsBlocking</t>
  </si>
  <si>
    <t>fg-variance-review-agent-Requirements.Name</t>
  </si>
  <si>
    <t>fg-variance-review-agent-RequirementSatisfactions.RequirementSatisfactionId</t>
  </si>
  <si>
    <t>fg-variance-review-agent-RequirementSatisfactions.Requirement</t>
  </si>
  <si>
    <t>fg-variance-review-agent-RequirementSatisfactions.SatisfactionLevel</t>
  </si>
  <si>
    <t>fg-variance-review-agent-RequirementSatisfactions.Evidence</t>
  </si>
  <si>
    <t>fg-variance-review-agent-RequirementSatisfactions.Name</t>
  </si>
  <si>
    <t>fg-variance-review-agent-Errors.ErrorId</t>
  </si>
  <si>
    <t>fg-variance-review-agent-Errors.Name</t>
  </si>
  <si>
    <t>fg-variance-review-agent-Errors.Label</t>
  </si>
  <si>
    <t>fg-variance-review-agent-Errors.ErrorCode</t>
  </si>
  <si>
    <t>fg-variance-review-agent-Errors.ErrorCause</t>
  </si>
  <si>
    <t>fg-variance-review-agent-Errors.SemanticTypeIri</t>
  </si>
  <si>
    <t>fg-policy-drafting-agent-MessageTemplates.MessageTemplateId</t>
  </si>
  <si>
    <t>fg-policy-drafting-agent-MessageTemplates.SubjectTemplate</t>
  </si>
  <si>
    <t>fg-policy-drafting-agent-MessageTemplates.BodyTemplate</t>
  </si>
  <si>
    <t>fg-policy-drafting-agent-MessageTemplates.Locale</t>
  </si>
  <si>
    <t>fg-policy-drafting-agent-MessageTemplates.Status</t>
  </si>
  <si>
    <t>fg-policy-drafting-agent-MessageTemplates.Name</t>
  </si>
  <si>
    <t>fg-policy-drafting-agent-CommunicationPolicies.CommunicationPolicyId</t>
  </si>
  <si>
    <t>fg-policy-drafting-agent-CommunicationPolicies.Channel</t>
  </si>
  <si>
    <t>fg-policy-drafting-agent-CommunicationPolicies.AudienceRule</t>
  </si>
  <si>
    <t>fg-policy-drafting-agent-CommunicationPolicies.MaxMessageLength</t>
  </si>
  <si>
    <t>fg-policy-drafting-agent-CommunicationPolicies.MaxSegments</t>
  </si>
  <si>
    <t>fg-policy-drafting-agent-CommunicationPolicies.RequiredContent</t>
  </si>
  <si>
    <t>fg-policy-drafting-agent-CommunicationPolicies.AuthorityStatement</t>
  </si>
  <si>
    <t>fg-policy-drafting-agent-CommunicationPolicies.Status</t>
  </si>
  <si>
    <t>fg-policy-drafting-agent-CommunicationPolicies.Name</t>
  </si>
  <si>
    <t>fg-policy-drafting-agent-KnowledgeFragments.KnowledgeFragmentId</t>
  </si>
  <si>
    <t>fg-policy-drafting-agent-KnowledgeFragments.Statement</t>
  </si>
  <si>
    <t>fg-policy-drafting-agent-KnowledgeFragments.KnowledgeForm</t>
  </si>
  <si>
    <t>fg-policy-drafting-agent-KnowledgeFragments.Status</t>
  </si>
  <si>
    <t>fg-policy-drafting-agent-KnowledgeFragments.Name</t>
  </si>
  <si>
    <t>fg-policy-drafting-agent-Steps.StepId</t>
  </si>
  <si>
    <t>fg-policy-drafting-agent-Steps.StepNumber</t>
  </si>
  <si>
    <t>fg-policy-drafting-agent-Steps.Title</t>
  </si>
  <si>
    <t>fg-policy-drafting-agent-Steps.StepKind</t>
  </si>
  <si>
    <t>fg-policy-drafting-agent-Steps.Instruction</t>
  </si>
  <si>
    <t>fg-policy-drafting-agent-Steps.AssignedRole</t>
  </si>
  <si>
    <t>fg-policy-drafting-agent-Steps.AssignedRoleLabel</t>
  </si>
  <si>
    <t>fg-policy-drafting-agent-Steps.ProcedureVersion</t>
  </si>
  <si>
    <t>fg-policy-drafting-agent-Steps.Name</t>
  </si>
  <si>
    <t>fg-notification-publisher-CommunicationPolicies.CommunicationPolicyId</t>
  </si>
  <si>
    <t>fg-notification-publisher-CommunicationPolicies.Channel</t>
  </si>
  <si>
    <t>fg-notification-publisher-CommunicationPolicies.QuietHoursStartHour</t>
  </si>
  <si>
    <t>fg-notification-publisher-CommunicationPolicies.QuietHoursEndHour</t>
  </si>
  <si>
    <t>fg-notification-publisher-CommunicationPolicies.MaxMessageLength</t>
  </si>
  <si>
    <t>fg-notification-publisher-CommunicationPolicies.MaxSegments</t>
  </si>
  <si>
    <t>fg-notification-publisher-CommunicationPolicies.ConsentRequired</t>
  </si>
  <si>
    <t>fg-notification-publisher-CommunicationPolicies.Status</t>
  </si>
  <si>
    <t>fg-notification-publisher-CommunicationPolicies.Name</t>
  </si>
  <si>
    <t>fg-notification-publisher-SendIntents.SendIntentId</t>
  </si>
  <si>
    <t>fg-notification-publisher-SendIntents.ProposedBody</t>
  </si>
  <si>
    <t>fg-notification-publisher-SendIntents.ProposedSendAtLocalHour</t>
  </si>
  <si>
    <t>fg-notification-publisher-SendIntents.Recipient</t>
  </si>
  <si>
    <t>fg-notification-publisher-SendIntents.MessageTemplate</t>
  </si>
  <si>
    <t>fg-notification-publisher-SendIntents.Name</t>
  </si>
  <si>
    <t>fg-notification-publisher-MessageDeliveries.MessageDeliveryId</t>
  </si>
  <si>
    <t>fg-notification-publisher-MessageDeliveries.RenderedBody</t>
  </si>
  <si>
    <t>fg-notification-publisher-MessageDeliveries.SentAt</t>
  </si>
  <si>
    <t>fg-notification-publisher-MessageDeliveries.DeliveryStatus</t>
  </si>
  <si>
    <t>fg-notification-publisher-MessageDeliveries.SuppressionReason</t>
  </si>
  <si>
    <t>fg-notification-publisher-MessageDeliveries.Recipient</t>
  </si>
  <si>
    <t>fg-notification-publisher-MessageDeliveries.Name</t>
  </si>
  <si>
    <t>fg-notification-publisher-Recipients.RecipientId</t>
  </si>
  <si>
    <t>fg-notification-publisher-Recipients.EmailAddress</t>
  </si>
  <si>
    <t>fg-notification-publisher-Recipients.MobileNumber</t>
  </si>
  <si>
    <t>fg-notification-publisher-Recipients.SmsConsentStatus</t>
  </si>
  <si>
    <t>fg-notification-publisher-Recipients.Name</t>
  </si>
  <si>
    <t>fg-notification-publisher-Steps.StepId</t>
  </si>
  <si>
    <t>fg-notification-publisher-Steps.StepNumber</t>
  </si>
  <si>
    <t>fg-notification-publisher-Steps.Title</t>
  </si>
  <si>
    <t>fg-notification-publisher-Steps.StepKind</t>
  </si>
  <si>
    <t>fg-notification-publisher-Steps.Instruction</t>
  </si>
  <si>
    <t>fg-notification-publisher-Steps.AssignedRole</t>
  </si>
  <si>
    <t>fg-notification-publisher-Steps.AssignedRoleLabel</t>
  </si>
  <si>
    <t>fg-notification-publisher-Steps.ProcedureVersion</t>
  </si>
  <si>
    <t>fg-notification-publisher-Steps.Name</t>
  </si>
  <si>
    <t>fg-process-steward-Actions.ActionId</t>
  </si>
  <si>
    <t>fg-process-steward-Actions.Name</t>
  </si>
  <si>
    <t>fg-process-steward-Actions.Label</t>
  </si>
  <si>
    <t>fg-process-steward-Actions.Definition</t>
  </si>
  <si>
    <t>fg-process-steward-Actions.SemanticTypeIri</t>
  </si>
  <si>
    <t>fg-process-steward-AgentDecisionRecords.AgentDecisionRecordId</t>
  </si>
  <si>
    <t>fg-process-steward-AgentDecisionRecords.Name</t>
  </si>
  <si>
    <t>fg-process-steward-AgentDecisionRecords.StepExecution</t>
  </si>
  <si>
    <t>fg-process-steward-AgentDecisionRecords.DecidingAgent</t>
  </si>
  <si>
    <t>fg-process-steward-AgentDecisionRecords.DecisionKind</t>
  </si>
  <si>
    <t>fg-process-steward-AgentDecisionRecords.DecisionSummary</t>
  </si>
  <si>
    <t>fg-process-steward-AgentDecisionRecords.DecidedAt</t>
  </si>
  <si>
    <t>fg-process-steward-AgentDecisionRecords.MaterialityBand</t>
  </si>
  <si>
    <t>fg-process-steward-AgentDecisionRecords.HumanDisposition</t>
  </si>
  <si>
    <t>fg-process-steward-AgentDecisionRecords.ReviewedByAgent</t>
  </si>
  <si>
    <t>fg-process-steward-AgentDecisionRecords.ReviewedAt</t>
  </si>
  <si>
    <t>fg-process-steward-AgentDecisionRecords.WasOverridden</t>
  </si>
  <si>
    <t>fg-process-steward-AgentDecisionRecords.WasReviewed</t>
  </si>
  <si>
    <t>fg-process-steward-AgentDecisionRecords.DecidingAgentKind</t>
  </si>
  <si>
    <t>fg-process-steward-AgentDecisionRecords.DecidingAgentWhenOverridden</t>
  </si>
  <si>
    <t>fg-process-steward-AgentDecisionRecords.UnderRoleAssignment</t>
  </si>
  <si>
    <t>fg-process-steward-AgentDecisionRecords.RoleAssignmentWhenScored</t>
  </si>
  <si>
    <t>fg-process-steward-AgentDecisionRecords.RoleAssignmentWhenOverridden</t>
  </si>
  <si>
    <t>fg-process-steward-AgentDecisionRecords.StepOfDecision</t>
  </si>
  <si>
    <t>fg-process-steward-AgentDecisionRecords.BoundaryMatchKey</t>
  </si>
  <si>
    <t>fg-process-steward-AgentDecisionRecords.MatchingBoundaryCount</t>
  </si>
  <si>
    <t>fg-process-steward-AgentDecisionRecords.ViolatedAuthorityBoundary</t>
  </si>
  <si>
    <t>fg-process-steward-AgentDecisionRecords.ReviewerAgentKind</t>
  </si>
  <si>
    <t>fg-process-steward-AgentDecisionRecords.HasHumanConfirmation</t>
  </si>
  <si>
    <t>fg-process-steward-AgentDecisionRecords.NeedsHumanConfirmation</t>
  </si>
  <si>
    <t>fg-process-steward-AgentDecisionRecords.IsUnconfirmedNonHumanDecision</t>
  </si>
  <si>
    <t>fg-process-steward-AgentDecisionRecords.StepExecutionWhenUnconfirmed</t>
  </si>
  <si>
    <t>fg-process-steward-AgentDecisionRecords.AgentWhenBoundaryViolated</t>
  </si>
  <si>
    <t>fg-process-steward-AgentDecisionRecords.ReviewLatencyMinutes</t>
  </si>
  <si>
    <t>fg-process-steward-AgentDecisionRecords.IsDraftKind</t>
  </si>
  <si>
    <t>fg-process-steward-AgentDecisionRecords.AgentWhenDraftOverridden</t>
  </si>
  <si>
    <t>fg-process-steward-AgentDecisionRecords.AgentWhenDraft</t>
  </si>
  <si>
    <t>fg-process-steward-AgentDecisionRecords.OverrideReasonKind</t>
  </si>
  <si>
    <t>fg-process-steward-AgentDecisionRecords.IsErrorCorrection</t>
  </si>
  <si>
    <t>fg-process-steward-AgentDecisionRecords.IsReservedJudgmentOverride</t>
  </si>
  <si>
    <t>fg-process-steward-AgentDecisionRecords.OverrideReasonIsRecorded</t>
  </si>
  <si>
    <t>fg-process-steward-AgentDecisionRecords.IsUnexplainedOverride</t>
  </si>
  <si>
    <t>fg-process-steward-AgentDecisionRecords.ErrorCorrectionRoleAssignmentKey</t>
  </si>
  <si>
    <t>fg-process-steward-AgentDecisionRecords.BoundaryViolationRoleAssignmentKey</t>
  </si>
  <si>
    <t>fg-process-steward-AgentDecisionRecords.SemanticTypeIri</t>
  </si>
  <si>
    <t>fg-process-steward-Agents.AgentId</t>
  </si>
  <si>
    <t>fg-process-steward-Agents.Name</t>
  </si>
  <si>
    <t>fg-process-steward-Agents.DisplayName</t>
  </si>
  <si>
    <t>fg-process-steward-Agents.AgentKind</t>
  </si>
  <si>
    <t>fg-process-steward-Agents.Organization</t>
  </si>
  <si>
    <t>fg-process-steward-Agents.ContactAddress</t>
  </si>
  <si>
    <t>fg-process-steward-Agents.VersionOrEmploymentKey</t>
  </si>
  <si>
    <t>fg-process-steward-Agents.CountOfCurrentRoleAssignments</t>
  </si>
  <si>
    <t>fg-process-steward-Agents.IsStillEngaged</t>
  </si>
  <si>
    <t>fg-process-steward-Agents.DecisionCount</t>
  </si>
  <si>
    <t>fg-process-steward-Agents.OverriddenDecisionCount</t>
  </si>
  <si>
    <t>fg-process-steward-Agents.OverrideRatePercent</t>
  </si>
  <si>
    <t>fg-process-steward-Agents.IsNonHuman</t>
  </si>
  <si>
    <t>fg-process-steward-Agents.BoundaryViolationCount</t>
  </si>
  <si>
    <t>fg-process-steward-Agents.IsOperatingOutsideBoundary</t>
  </si>
  <si>
    <t>fg-process-steward-Agents.DraftDecisionCount</t>
  </si>
  <si>
    <t>fg-process-steward-Agents.OverriddenDraftCount</t>
  </si>
  <si>
    <t>fg-process-steward-Agents.DraftRewriteRatePercent</t>
  </si>
  <si>
    <t>fg-process-steward-Agents.SemanticTypeIri</t>
  </si>
  <si>
    <t>fg-process-steward-AppNavGroups.AppNavGroupId</t>
  </si>
  <si>
    <t>fg-process-steward-AppNavGroups.Name</t>
  </si>
  <si>
    <t>fg-process-steward-AppNavGroups.GroupLabel</t>
  </si>
  <si>
    <t>fg-process-steward-AppNavGroups.RouteCount</t>
  </si>
  <si>
    <t>fg-process-steward-AppNavGroups.SemanticTypeIri</t>
  </si>
  <si>
    <t>fg-process-steward-AppRoleProfiles.AppRoleProfileId</t>
  </si>
  <si>
    <t>fg-process-steward-AppRoleProfiles.Name</t>
  </si>
  <si>
    <t>fg-process-steward-AppRoleProfiles.Role</t>
  </si>
  <si>
    <t>fg-process-steward-AppRoleProfiles.DisplayLabel</t>
  </si>
  <si>
    <t>fg-process-steward-AppRoleProfiles.RoleKind</t>
  </si>
  <si>
    <t>fg-process-steward-AppRoleProfiles.AccentColor</t>
  </si>
  <si>
    <t>fg-process-steward-AppRoleProfiles.IconMark</t>
  </si>
  <si>
    <t>fg-process-steward-AppRoleProfiles.IconPngBase64</t>
  </si>
  <si>
    <t>fg-process-steward-AppRoleProfiles.Pitch</t>
  </si>
  <si>
    <t>fg-process-steward-AppRoleProfiles.SortOrder</t>
  </si>
  <si>
    <t>fg-process-steward-AppRoleProfiles.RouteCount</t>
  </si>
  <si>
    <t>fg-process-steward-AppRoleProfiles.SemanticTypeIri</t>
  </si>
  <si>
    <t>fg-process-steward-AppRouteQuestions.AppRouteQuestionId</t>
  </si>
  <si>
    <t>fg-process-steward-AppRouteQuestions.Name</t>
  </si>
  <si>
    <t>fg-process-steward-AppRouteQuestions.Route</t>
  </si>
  <si>
    <t>fg-process-steward-AppRouteQuestions.Question</t>
  </si>
  <si>
    <t>fg-process-steward-AppRouteQuestions.SemanticTypeIri</t>
  </si>
  <si>
    <t>fg-process-steward-AppRouteReferences.AppRouteReferenceId</t>
  </si>
  <si>
    <t>fg-process-steward-AppRouteReferences.Name</t>
  </si>
  <si>
    <t>fg-process-steward-AppRouteReferences.FromRoute</t>
  </si>
  <si>
    <t>fg-process-steward-AppRouteReferences.ToRoute</t>
  </si>
  <si>
    <t>fg-process-steward-AppRouteReferences.SemanticTypeIri</t>
  </si>
  <si>
    <t>fg-process-steward-AppRoutes.AppRouteId</t>
  </si>
  <si>
    <t>fg-process-steward-AppRoutes.Name</t>
  </si>
  <si>
    <t>fg-process-steward-AppRoutes.RoutePath</t>
  </si>
  <si>
    <t>fg-process-steward-AppRoutes.RouteName</t>
  </si>
  <si>
    <t>fg-process-steward-AppRoutes.Surface</t>
  </si>
  <si>
    <t>fg-process-steward-AppRoutes.OwningRole</t>
  </si>
  <si>
    <t>fg-process-steward-AppRoutes.NavGroup</t>
  </si>
  <si>
    <t>fg-process-steward-AppRoutes.NavOrder</t>
  </si>
  <si>
    <t>fg-process-steward-AppRoutes.RouteKind</t>
  </si>
  <si>
    <t>fg-process-steward-AppRoutes.Purpose</t>
  </si>
  <si>
    <t>fg-process-steward-AppRoutes.LayoutHints</t>
  </si>
  <si>
    <t>fg-process-steward-AppRoutes.IsInNav</t>
  </si>
  <si>
    <t>fg-process-steward-AppRoutes.IsShared</t>
  </si>
  <si>
    <t>fg-process-steward-AppRoutes.IsMaintainer</t>
  </si>
  <si>
    <t>fg-process-steward-AppRoutes.QuestionCount</t>
  </si>
  <si>
    <t>fg-process-steward-AppRoutes.ReferenceCount</t>
  </si>
  <si>
    <t>fg-process-steward-AppRoutes.AnswersNoQuestion</t>
  </si>
  <si>
    <t>fg-process-steward-AppRoutes.SemanticTypeIri</t>
  </si>
  <si>
    <t>fg-process-steward-Attestations.AttestationId</t>
  </si>
  <si>
    <t>fg-process-steward-Attestations.Name</t>
  </si>
  <si>
    <t>fg-process-steward-Attestations.ProcedureExecution</t>
  </si>
  <si>
    <t>fg-process-steward-Attestations.SignedByAgent</t>
  </si>
  <si>
    <t>fg-process-steward-Attestations.SignedAt</t>
  </si>
  <si>
    <t>fg-process-steward-Attestations.AssuranceGradeAtSigning</t>
  </si>
  <si>
    <t>fg-process-steward-Attestations.VersionWasFitAtSigning</t>
  </si>
  <si>
    <t>fg-process-steward-Attestations.VersionIsFitNow</t>
  </si>
  <si>
    <t>fg-process-steward-Attestations.FitnessVerdictHasDrifted</t>
  </si>
  <si>
    <t>fg-process-steward-Attestations.AssuranceGradeNow</t>
  </si>
  <si>
    <t>fg-process-steward-Attestations.AssuranceGradeHasDrifted</t>
  </si>
  <si>
    <t>fg-process-steward-Attestations.WouldNotSurviveRestatement</t>
  </si>
  <si>
    <t>fg-process-steward-AuthorityBoundaries.AuthorityBoundaryId</t>
  </si>
  <si>
    <t>fg-process-steward-AuthorityBoundaries.Name</t>
  </si>
  <si>
    <t>fg-process-steward-AuthorityBoundaries.Step</t>
  </si>
  <si>
    <t>fg-process-steward-AuthorityBoundaries.ForbiddenAgentKind</t>
  </si>
  <si>
    <t>fg-process-steward-AuthorityBoundaries.ForbiddenDecisionKind</t>
  </si>
  <si>
    <t>fg-process-steward-AuthorityBoundaries.RatifiedByKnowledgeFragment</t>
  </si>
  <si>
    <t>fg-process-steward-AuthorityBoundaries.EnforcingRequirement</t>
  </si>
  <si>
    <t>fg-process-steward-AuthorityBoundaries.AuthorityRole</t>
  </si>
  <si>
    <t>fg-process-steward-AuthorityBoundaries.ValidFrom</t>
  </si>
  <si>
    <t>fg-process-steward-AuthorityBoundaries.ValidTo</t>
  </si>
  <si>
    <t>fg-process-steward-AuthorityBoundaries.Status</t>
  </si>
  <si>
    <t>fg-process-steward-AuthorityBoundaries.EvaluationContext</t>
  </si>
  <si>
    <t>fg-process-steward-AuthorityBoundaries.AsOfInstant</t>
  </si>
  <si>
    <t>fg-process-steward-AuthorityBoundaries.IsCurrentlyBinding</t>
  </si>
  <si>
    <t>fg-process-steward-AuthorityBoundaries.RatifyingFragmentIsValid</t>
  </si>
  <si>
    <t>fg-process-steward-AuthorityBoundaries.StepWhenBinding</t>
  </si>
  <si>
    <t>fg-process-steward-AuthorityBoundaries.BoundaryMatchKey</t>
  </si>
  <si>
    <t>fg-process-steward-AuthorityBoundaries.ViolationCount</t>
  </si>
  <si>
    <t>fg-process-steward-AuthorityBoundaries.IsUntested</t>
  </si>
  <si>
    <t>fg-process-steward-AuthorityBoundaries.HasRatifyingFragment</t>
  </si>
  <si>
    <t>fg-process-steward-AuthorityBoundaries.IsUnwarranted</t>
  </si>
  <si>
    <t>fg-process-steward-AuthorityBoundaries.RatifyingFragmentIsOverdue</t>
  </si>
  <si>
    <t>fg-process-steward-AuthorityBoundaries.RatifyingFragmentIsSingleWitness</t>
  </si>
  <si>
    <t>fg-process-steward-AuthorityBoundaries.WarrantIsThin</t>
  </si>
  <si>
    <t>fg-process-steward-AuthorityBoundaries.IsUnwarrantedAndUntested</t>
  </si>
  <si>
    <t>fg-process-steward-AuthorityBoundaries.UnwarrantedBoundaryStepKey</t>
  </si>
  <si>
    <t>fg-process-steward-AuthorityBoundaries.RatifyingFragmentKey</t>
  </si>
  <si>
    <t>fg-process-steward-AuthorityBoundaries.RatifyingFragmentStatus</t>
  </si>
  <si>
    <t>fg-process-steward-AuthorityBoundaries.RatificationLapsed</t>
  </si>
  <si>
    <t>fg-process-steward-AuthorityBoundaries.BindsDespiteLapsedRatification</t>
  </si>
  <si>
    <t>fg-process-steward-AuthorityBoundaries.IsUngroundedAndUntested</t>
  </si>
  <si>
    <t>fg-process-steward-AuthorityBoundaries.ConstrainedRoleAssignmentKey</t>
  </si>
  <si>
    <t>fg-process-steward-AuthorityBoundaries.SemanticTypeIri</t>
  </si>
  <si>
    <t>fg-process-steward-BindingObservations.BindingObservationId</t>
  </si>
  <si>
    <t>fg-process-steward-BindingObservations.Name</t>
  </si>
  <si>
    <t>fg-process-steward-BindingObservations.StepExecution</t>
  </si>
  <si>
    <t>fg-process-steward-BindingObservations.OperationalBinding</t>
  </si>
  <si>
    <t>fg-process-steward-BindingObservations.ObservedSourceTimestamp</t>
  </si>
  <si>
    <t>fg-process-steward-BindingObservations.ReadAt</t>
  </si>
  <si>
    <t>fg-process-steward-BindingObservations.SlaMinutesAtRun</t>
  </si>
  <si>
    <t>fg-process-steward-BindingObservations.AgeAtRunMinutes</t>
  </si>
  <si>
    <t>fg-process-steward-BindingObservations.WasStaleAtRun</t>
  </si>
  <si>
    <t>fg-process-steward-BindingObservations.IsAuthoritativeBinding</t>
  </si>
  <si>
    <t>fg-process-steward-BindingObservations.StaleAtRunStepKey</t>
  </si>
  <si>
    <t>fg-process-steward-ChangeRequests.ChangeRequestId</t>
  </si>
  <si>
    <t>fg-process-steward-ChangeRequests.Name</t>
  </si>
  <si>
    <t>fg-process-steward-ChangeRequests.ProcedureVersion</t>
  </si>
  <si>
    <t>fg-process-steward-ChangeRequests.Title</t>
  </si>
  <si>
    <t>fg-process-steward-ChangeRequests.ChangeKind</t>
  </si>
  <si>
    <t>fg-process-steward-ChangeRequests.Status</t>
  </si>
  <si>
    <t>fg-process-steward-ChangeRequests.RequestedByAgent</t>
  </si>
  <si>
    <t>fg-process-steward-ChangeRequests.AuthorityRole</t>
  </si>
  <si>
    <t>fg-process-steward-ChangeRequests.RequestedAt</t>
  </si>
  <si>
    <t>fg-process-steward-ChangeRequests.DecidedAt</t>
  </si>
  <si>
    <t>fg-process-steward-ChangeRequests.ImpactAssessment</t>
  </si>
  <si>
    <t>fg-process-steward-ChangeRequests.IsOpen</t>
  </si>
  <si>
    <t>fg-process-steward-ChangeRequests.OpenChangeVersionKey</t>
  </si>
  <si>
    <t>fg-process-steward-ChangeRequests.IsDecided</t>
  </si>
  <si>
    <t>fg-process-steward-ChangeRequests.EvaluationContext</t>
  </si>
  <si>
    <t>fg-process-steward-ChangeRequests.AsOfInstant</t>
  </si>
  <si>
    <t>fg-process-steward-ChangeRequests.DaysPending</t>
  </si>
  <si>
    <t>fg-process-steward-ChangeRequests.IsStillPending</t>
  </si>
  <si>
    <t>fg-process-steward-ChangeRequests.IsStalled</t>
  </si>
  <si>
    <t>fg-process-steward-ChangeRequests.AuthorityAgent</t>
  </si>
  <si>
    <t>fg-process-steward-ChangeRequests.RequesterIsAuthority</t>
  </si>
  <si>
    <t>fg-process-steward-ChangeRequests.AwaitsAuthorityDecision</t>
  </si>
  <si>
    <t>fg-process-steward-ChangeRequests.AuthorityRoleLabel</t>
  </si>
  <si>
    <t>fg-process-steward-ChangeRequests.TouchesLiveVersion</t>
  </si>
  <si>
    <t>fg-process-steward-ChangeRequests.IsLiveDecisionBacklog</t>
  </si>
  <si>
    <t>fg-process-steward-ChangeRequests.BlocksAnOpenGap</t>
  </si>
  <si>
    <t>fg-process-steward-ChangeRequests.ImplementedAt</t>
  </si>
  <si>
    <t>fg-process-steward-ChangeRequests.BacklogVersionKey</t>
  </si>
  <si>
    <t>fg-process-steward-ChangeRequests.IsMyPendingDecision</t>
  </si>
  <si>
    <t>fg-process-steward-ChangeRequests.IsMyBlockingBacklog</t>
  </si>
  <si>
    <t>fg-process-steward-ChangeRequests.IsMyOverdueBacklog</t>
  </si>
  <si>
    <t>fg-process-steward-ChangeRequests.IsImplemented</t>
  </si>
  <si>
    <t>fg-process-steward-ChangeRequests.IsMyDecidedRequest</t>
  </si>
  <si>
    <t>fg-process-steward-ChangeRequests.IsMyDecidedButUnlanded</t>
  </si>
  <si>
    <t>fg-process-steward-ChangeRequests.DecisionLatencyDays</t>
  </si>
  <si>
    <t>fg-process-steward-ChangeRequests.ImplementationLatencyDays</t>
  </si>
  <si>
    <t>fg-process-steward-ChangeRequests.DelayIsDownstreamOfMe</t>
  </si>
  <si>
    <t>fg-process-steward-ChangeRequests.UnlandedVersionKey</t>
  </si>
  <si>
    <t>fg-process-steward-ChangeRequests.IsApprovedNotImplemented</t>
  </si>
  <si>
    <t>fg-process-steward-ChangeRequests.DaysSinceApproval</t>
  </si>
  <si>
    <t>fg-process-steward-ChangeRequests.IsStalledImplementation</t>
  </si>
  <si>
    <t>fg-process-steward-ChangeRequests.StalledImplementationVersionKey</t>
  </si>
  <si>
    <t>fg-process-steward-ChangeRequests.ApprovedVersionKey</t>
  </si>
  <si>
    <t>fg-process-steward-ChangeRequests.IsApprovedDecision</t>
  </si>
  <si>
    <t>fg-process-steward-ChangeRequests.SemanticTypeIri</t>
  </si>
  <si>
    <t>fg-process-steward-CommunicationPolicies.CommunicationPolicyId</t>
  </si>
  <si>
    <t>fg-process-steward-CommunicationPolicies.Name</t>
  </si>
  <si>
    <t>fg-process-steward-CommunicationPolicies.ProcedureVersion</t>
  </si>
  <si>
    <t>fg-process-steward-CommunicationPolicies.Channel</t>
  </si>
  <si>
    <t>fg-process-steward-CommunicationPolicies.AudienceRule</t>
  </si>
  <si>
    <t>fg-process-steward-CommunicationPolicies.ConsentRequired</t>
  </si>
  <si>
    <t>fg-process-steward-CommunicationPolicies.QuietHoursStart</t>
  </si>
  <si>
    <t>fg-process-steward-CommunicationPolicies.QuietHoursEnd</t>
  </si>
  <si>
    <t>fg-process-steward-CommunicationPolicies.MaxMessageLength</t>
  </si>
  <si>
    <t>fg-process-steward-CommunicationPolicies.MaxSegments</t>
  </si>
  <si>
    <t>fg-process-steward-CommunicationPolicies.RetentionDays</t>
  </si>
  <si>
    <t>fg-process-steward-CommunicationPolicies.ApprovalRole</t>
  </si>
  <si>
    <t>fg-process-steward-CommunicationPolicies.RequiredContent</t>
  </si>
  <si>
    <t>fg-process-steward-CommunicationPolicies.AuthorityStatement</t>
  </si>
  <si>
    <t>fg-process-steward-CommunicationPolicies.Status</t>
  </si>
  <si>
    <t>fg-process-steward-CommunicationPolicies.ConsentViolationCount</t>
  </si>
  <si>
    <t>fg-process-steward-CommunicationPolicies.QuietHoursStartHour</t>
  </si>
  <si>
    <t>fg-process-steward-CommunicationPolicies.QuietHoursEndHour</t>
  </si>
  <si>
    <t>fg-process-steward-CommunicationPolicies.QuietHoursViolationCount</t>
  </si>
  <si>
    <t>fg-process-steward-CommunicationPolicies.RequiredOptOutPhrase</t>
  </si>
  <si>
    <t>fg-process-steward-CommunicationPolicies.IsActivePolicy</t>
  </si>
  <si>
    <t>fg-process-steward-CommunicationPolicies.SemanticTypeIri</t>
  </si>
  <si>
    <t>fg-process-steward-CommunitiesOfPractice.CommunityOfPracticeId</t>
  </si>
  <si>
    <t>fg-process-steward-CommunitiesOfPractice.Name</t>
  </si>
  <si>
    <t>fg-process-steward-CommunitiesOfPractice.Label</t>
  </si>
  <si>
    <t>fg-process-steward-CommunitiesOfPractice.Organization</t>
  </si>
  <si>
    <t>fg-process-steward-CommunitiesOfPractice.StewardRole</t>
  </si>
  <si>
    <t>fg-process-steward-CommunitiesOfPractice.Purpose</t>
  </si>
  <si>
    <t>fg-process-steward-CommunitiesOfPractice.Cadence</t>
  </si>
  <si>
    <t>fg-process-steward-CommunitiesOfPractice.SemanticTypeIri</t>
  </si>
  <si>
    <t>fg-process-steward-DeliveredCommunications.DeliveredCommunicationId</t>
  </si>
  <si>
    <t>fg-process-steward-DeliveredCommunications.Name</t>
  </si>
  <si>
    <t>fg-process-steward-DeliveredCommunications.ProcedureExecution</t>
  </si>
  <si>
    <t>fg-process-steward-DeliveredCommunications.SendingStepExecution</t>
  </si>
  <si>
    <t>fg-process-steward-DeliveredCommunications.AuthorizingStepExecution</t>
  </si>
  <si>
    <t>fg-process-steward-DeliveredCommunications.MessageTemplate</t>
  </si>
  <si>
    <t>fg-process-steward-DeliveredCommunications.Channel</t>
  </si>
  <si>
    <t>fg-process-steward-DeliveredCommunications.RecipientKey</t>
  </si>
  <si>
    <t>fg-process-steward-DeliveredCommunications.SentAt</t>
  </si>
  <si>
    <t>fg-process-steward-DeliveredCommunications.RenderedContentHash</t>
  </si>
  <si>
    <t>fg-process-steward-DeliveredCommunications.ApprovedContentHash</t>
  </si>
  <si>
    <t>fg-process-steward-DeliveredCommunications.DeliveryStatus</t>
  </si>
  <si>
    <t>fg-process-steward-DeliveredCommunications.SemanticTypeIri</t>
  </si>
  <si>
    <t>fg-process-steward-DeliveredCommunications.HasAuthorization</t>
  </si>
  <si>
    <t>fg-process-steward-DeliveredCommunications.ContentMatchesApproval</t>
  </si>
  <si>
    <t>fg-process-steward-DeliveredCommunications.AuthorizedAt</t>
  </si>
  <si>
    <t>fg-process-steward-DeliveredCommunications.WasApprovedBeforeSending</t>
  </si>
  <si>
    <t>fg-process-steward-DeliveredCommunications.IsDefensible</t>
  </si>
  <si>
    <t>fg-process-steward-ElicitationSessions.ElicitationSessionId</t>
  </si>
  <si>
    <t>fg-process-steward-ElicitationSessions.Name</t>
  </si>
  <si>
    <t>fg-process-steward-ElicitationSessions.ProcedureVersion</t>
  </si>
  <si>
    <t>fg-process-steward-ElicitationSessions.Method</t>
  </si>
  <si>
    <t>fg-process-steward-ElicitationSessions.StartedAt</t>
  </si>
  <si>
    <t>fg-process-steward-ElicitationSessions.EndedAt</t>
  </si>
  <si>
    <t>fg-process-steward-ElicitationSessions.PractitionerAgent</t>
  </si>
  <si>
    <t>fg-process-steward-ElicitationSessions.FacilitatorAgent</t>
  </si>
  <si>
    <t>fg-process-steward-ElicitationSessions.Summary</t>
  </si>
  <si>
    <t>fg-process-steward-ElicitationSessions.Status</t>
  </si>
  <si>
    <t>fg-process-steward-ElicitationSessions.EvaluationContext</t>
  </si>
  <si>
    <t>fg-process-steward-ElicitationSessions.AsOfInstant</t>
  </si>
  <si>
    <t>fg-process-steward-ElicitationSessions.DaysSinceElicited</t>
  </si>
  <si>
    <t>fg-process-steward-ElicitationSessions.IsSingleWitnessMethod</t>
  </si>
  <si>
    <t>fg-process-steward-ElicitationSessions.PractitionerIsStillEngaged</t>
  </si>
  <si>
    <t>fg-process-steward-ElicitationSessions.ValidFragmentsProduced</t>
  </si>
  <si>
    <t>fg-process-steward-ElicitationSessions.IsHighYieldSession</t>
  </si>
  <si>
    <t>fg-process-steward-ElicitationSessions.IsConcentratedSingleWitness</t>
  </si>
  <si>
    <t>fg-process-steward-ElicitationSessions.IsStaleConcentratedWitness</t>
  </si>
  <si>
    <t>fg-process-steward-ElicitationSessions.ConcentratedSessionVersionKey</t>
  </si>
  <si>
    <t>fg-process-steward-ElicitationSessions.SemanticTypeIri</t>
  </si>
  <si>
    <t>fg-process-steward-Errors.ErrorId</t>
  </si>
  <si>
    <t>fg-process-steward-Errors.Name</t>
  </si>
  <si>
    <t>fg-process-steward-Errors.Label</t>
  </si>
  <si>
    <t>fg-process-steward-Errors.ErrorCode</t>
  </si>
  <si>
    <t>fg-process-steward-Errors.ErrorCause</t>
  </si>
  <si>
    <t>fg-process-steward-Errors.SemanticTypeIri</t>
  </si>
  <si>
    <t>fg-process-steward-EvaluationContexts.EvaluationContextId</t>
  </si>
  <si>
    <t>fg-process-steward-EvaluationContexts.Name</t>
  </si>
  <si>
    <t>fg-process-steward-EvaluationContexts.Label</t>
  </si>
  <si>
    <t>fg-process-steward-EvaluationContexts.AsOfInstant</t>
  </si>
  <si>
    <t>fg-process-steward-EvaluationContexts.IsCurrent</t>
  </si>
  <si>
    <t>fg-process-steward-EvaluationContexts.Rationale</t>
  </si>
  <si>
    <t>fg-process-steward-EvaluationContexts.SemanticTypeIri</t>
  </si>
  <si>
    <t>fg-process-steward-ExceptionInvocations.ExceptionInvocationId</t>
  </si>
  <si>
    <t>fg-process-steward-ExceptionInvocations.Name</t>
  </si>
  <si>
    <t>fg-process-steward-ExceptionInvocations.StepExecution</t>
  </si>
  <si>
    <t>fg-process-steward-ExceptionInvocations.Exception</t>
  </si>
  <si>
    <t>fg-process-steward-ExceptionInvocations.InvokedByAgent</t>
  </si>
  <si>
    <t>fg-process-steward-ExceptionInvocations.ApprovedByAgent</t>
  </si>
  <si>
    <t>fg-process-steward-ExceptionInvocations.InvokedAt</t>
  </si>
  <si>
    <t>fg-process-steward-ExceptionInvocations.HandlingApplied</t>
  </si>
  <si>
    <t>fg-process-steward-ExceptionInvocations.ExpectedHandling</t>
  </si>
  <si>
    <t>fg-process-steward-ExceptionInvocations.RequiredApprovalRole</t>
  </si>
  <si>
    <t>fg-process-steward-ExceptionInvocations.RequiredApprovalRoleHolder</t>
  </si>
  <si>
    <t>fg-process-steward-ExceptionInvocations.ApprovalRoleMatches</t>
  </si>
  <si>
    <t>fg-process-steward-ExceptionInvocations.IsApproved</t>
  </si>
  <si>
    <t>fg-process-steward-ExceptionInvocations.IsImproperlyApproved</t>
  </si>
  <si>
    <t>fg-process-steward-ExceptionInvocations.InvokerAgentKind</t>
  </si>
  <si>
    <t>fg-process-steward-ExceptionInvocations.InvokerAlsoPreparedKey</t>
  </si>
  <si>
    <t>fg-process-steward-ExceptionInvocations.ParentProcedureExecution</t>
  </si>
  <si>
    <t>fg-process-steward-ExceptionInvocations.ApproverPreparedCount</t>
  </si>
  <si>
    <t>fg-process-steward-ExceptionInvocations.DelegatedToPreparer</t>
  </si>
  <si>
    <t>fg-process-steward-ExceptionInvocations.IsUngovernedInvocation</t>
  </si>
  <si>
    <t>fg-process-steward-ExceptionInvocations.SemanticTypeIri</t>
  </si>
  <si>
    <t>fg-process-steward-Exceptions.ExceptionId</t>
  </si>
  <si>
    <t>fg-process-steward-Exceptions.Name</t>
  </si>
  <si>
    <t>fg-process-steward-Exceptions.ProcedureVersion</t>
  </si>
  <si>
    <t>fg-process-steward-Exceptions.TriggerStep</t>
  </si>
  <si>
    <t>fg-process-steward-Exceptions.Condition</t>
  </si>
  <si>
    <t>fg-process-steward-Exceptions.Handling</t>
  </si>
  <si>
    <t>fg-process-steward-Exceptions.ApprovalRole</t>
  </si>
  <si>
    <t>fg-process-steward-Exceptions.FallbackRole</t>
  </si>
  <si>
    <t>fg-process-steward-Exceptions.Status</t>
  </si>
  <si>
    <t>fg-process-steward-Exceptions.ActiveExceptionStepKey</t>
  </si>
  <si>
    <t>fg-process-steward-Exceptions.SemanticTypeIri</t>
  </si>
  <si>
    <t>fg-process-steward-Explanations.ExplanationId</t>
  </si>
  <si>
    <t>fg-process-steward-Explanations.Name</t>
  </si>
  <si>
    <t>fg-process-steward-Explanations.ProcedureVersion</t>
  </si>
  <si>
    <t>fg-process-steward-Explanations.Step</t>
  </si>
  <si>
    <t>fg-process-steward-Explanations.Title</t>
  </si>
  <si>
    <t>fg-process-steward-Explanations.Description</t>
  </si>
  <si>
    <t>fg-process-steward-Explanations.SemanticTypeIri</t>
  </si>
  <si>
    <t>fg-process-steward-Functions.FunctionId</t>
  </si>
  <si>
    <t>fg-process-steward-Functions.Name</t>
  </si>
  <si>
    <t>fg-process-steward-Functions.Label</t>
  </si>
  <si>
    <t>fg-process-steward-Functions.Definition</t>
  </si>
  <si>
    <t>fg-process-steward-Functions.ImplementationKey</t>
  </si>
  <si>
    <t>fg-process-steward-Functions.SemanticTypeIri</t>
  </si>
  <si>
    <t>fg-process-steward-IssueOccurrences.IssueOccurrenceId</t>
  </si>
  <si>
    <t>fg-process-steward-IssueOccurrences.Name</t>
  </si>
  <si>
    <t>fg-process-steward-IssueOccurrences.StepExecution</t>
  </si>
  <si>
    <t>fg-process-steward-IssueOccurrences.Error</t>
  </si>
  <si>
    <t>fg-process-steward-IssueOccurrences.EncounteredByAgent</t>
  </si>
  <si>
    <t>fg-process-steward-IssueOccurrences.OccurredAt</t>
  </si>
  <si>
    <t>fg-process-steward-IssueOccurrences.IssueCause</t>
  </si>
  <si>
    <t>fg-process-steward-IssueOccurrences.IssueSolution</t>
  </si>
  <si>
    <t>fg-process-steward-IssueOccurrences.Status</t>
  </si>
  <si>
    <t>fg-process-steward-IssueOccurrences.IsUnresolved</t>
  </si>
  <si>
    <t>fg-process-steward-IssueOccurrences.StepExecutionWhenUnresolved</t>
  </si>
  <si>
    <t>fg-process-steward-IssueOccurrences.SemanticTypeIri</t>
  </si>
  <si>
    <t>fg-process-steward-KnowledgeFragments.KnowledgeFragmentId</t>
  </si>
  <si>
    <t>fg-process-steward-KnowledgeFragments.Name</t>
  </si>
  <si>
    <t>fg-process-steward-KnowledgeFragments.ProcedureVersion</t>
  </si>
  <si>
    <t>fg-process-steward-KnowledgeFragments.Step</t>
  </si>
  <si>
    <t>fg-process-steward-KnowledgeFragments.KnowledgeForm</t>
  </si>
  <si>
    <t>fg-process-steward-KnowledgeFragments.Statement</t>
  </si>
  <si>
    <t>fg-process-steward-KnowledgeFragments.ElicitationSession</t>
  </si>
  <si>
    <t>fg-process-steward-KnowledgeFragments.SourceAgent</t>
  </si>
  <si>
    <t>fg-process-steward-KnowledgeFragments.Confidence</t>
  </si>
  <si>
    <t>fg-process-steward-KnowledgeFragments.ValidFrom</t>
  </si>
  <si>
    <t>fg-process-steward-KnowledgeFragments.ValidTo</t>
  </si>
  <si>
    <t>fg-process-steward-KnowledgeFragments.Status</t>
  </si>
  <si>
    <t>fg-process-steward-KnowledgeFragments.OwnerRole</t>
  </si>
  <si>
    <t>fg-process-steward-KnowledgeFragments.EvaluationContext</t>
  </si>
  <si>
    <t>fg-process-steward-KnowledgeFragments.AsOfInstant</t>
  </si>
  <si>
    <t>fg-process-steward-KnowledgeFragments.IsCurrentlyValid</t>
  </si>
  <si>
    <t>fg-process-steward-KnowledgeFragments.SourceAgentIsStillEngaged</t>
  </si>
  <si>
    <t>fg-process-steward-KnowledgeFragments.SourceAgentKind</t>
  </si>
  <si>
    <t>fg-process-steward-KnowledgeFragments.HasHumanSource</t>
  </si>
  <si>
    <t>fg-process-steward-KnowledgeFragments.HasOrphanedProvenance</t>
  </si>
  <si>
    <t>fg-process-steward-KnowledgeFragments.IsUndefendableTacitClaim</t>
  </si>
  <si>
    <t>fg-process-steward-KnowledgeFragments.IsApproved</t>
  </si>
  <si>
    <t>fg-process-steward-KnowledgeFragments.IsWithinValidityWindow</t>
  </si>
  <si>
    <t>fg-process-steward-KnowledgeFragments.IsReliedUpon</t>
  </si>
  <si>
    <t>fg-process-steward-KnowledgeFragments.StepProcedureVersionStatus</t>
  </si>
  <si>
    <t>fg-process-steward-KnowledgeFragments.IsAttachedToLiveVersion</t>
  </si>
  <si>
    <t>fg-process-steward-KnowledgeFragments.IsUnapprovedButReliedOn</t>
  </si>
  <si>
    <t>fg-process-steward-KnowledgeFragments.EvidenceAgeDays</t>
  </si>
  <si>
    <t>fg-process-steward-KnowledgeFragments.HasRecordedElicitation</t>
  </si>
  <si>
    <t>fg-process-steward-KnowledgeFragments.IsFromSingleWitness</t>
  </si>
  <si>
    <t>fg-process-steward-KnowledgeFragments.EvidenceExpiryDays</t>
  </si>
  <si>
    <t>fg-process-steward-KnowledgeFragments.EvidenceHasExpired</t>
  </si>
  <si>
    <t>fg-process-steward-KnowledgeFragments.OwnerAgent</t>
  </si>
  <si>
    <t>fg-process-steward-KnowledgeFragments.IsAwaitingApproval</t>
  </si>
  <si>
    <t>fg-process-steward-KnowledgeFragments.OwnerIsMe</t>
  </si>
  <si>
    <t>fg-process-steward-KnowledgeFragments.IsMyUnfinishedApproval</t>
  </si>
  <si>
    <t>fg-process-steward-KnowledgeFragments.IsInvokedByAnException</t>
  </si>
  <si>
    <t>fg-process-steward-KnowledgeFragments.HasOperationalReliance</t>
  </si>
  <si>
    <t>fg-process-steward-KnowledgeFragments.IsUnapprovedAndOperationallyLive</t>
  </si>
  <si>
    <t>fg-process-steward-KnowledgeFragments.AgeDays</t>
  </si>
  <si>
    <t>fg-process-steward-KnowledgeFragments.IsLowConfidence</t>
  </si>
  <si>
    <t>fg-process-steward-KnowledgeFragments.OwningVersionCadenceDays</t>
  </si>
  <si>
    <t>fg-process-steward-KnowledgeFragments.ExceedsOwningCadence</t>
  </si>
  <si>
    <t>fg-process-steward-KnowledgeFragments.IsAgingLowConfidenceClaim</t>
  </si>
  <si>
    <t>fg-process-steward-KnowledgeFragments.OwnerRoleAgentKind</t>
  </si>
  <si>
    <t>fg-process-steward-KnowledgeFragments.IsHumanOwned</t>
  </si>
  <si>
    <t>fg-process-steward-KnowledgeFragments.IsAiValidatedByAi</t>
  </si>
  <si>
    <t>fg-process-steward-KnowledgeFragments.ReviewCadenceDays</t>
  </si>
  <si>
    <t>fg-process-steward-KnowledgeFragments.IsOverdueForReview</t>
  </si>
  <si>
    <t>fg-process-steward-KnowledgeFragments.PredatesCurrentRoleHolder</t>
  </si>
  <si>
    <t>fg-process-steward-KnowledgeFragments.OwnerRoleAssignmentValidFrom</t>
  </si>
  <si>
    <t>fg-process-steward-KnowledgeFragments.LastReviewedAt</t>
  </si>
  <si>
    <t>fg-process-steward-KnowledgeFragments.FragilitySignalCount</t>
  </si>
  <si>
    <t>fg-process-steward-KnowledgeFragments.IsCompoundFragile</t>
  </si>
  <si>
    <t>fg-process-steward-KnowledgeFragments.IsSinglePointOfFailure</t>
  </si>
  <si>
    <t>fg-process-steward-KnowledgeFragments.IsExpiringSinglePointOfFailure</t>
  </si>
  <si>
    <t>fg-process-steward-KnowledgeFragments.CompoundFragileVersionKey</t>
  </si>
  <si>
    <t>fg-process-steward-KnowledgeFragments.ValidFragmentSessionKey</t>
  </si>
  <si>
    <t>fg-process-steward-KnowledgeFragments.ConsumingStepIsSoftwareAssigned</t>
  </si>
  <si>
    <t>fg-process-steward-KnowledgeFragments.ConsumingStepAgentKind</t>
  </si>
  <si>
    <t>fg-process-steward-KnowledgeFragments.IsUnapprovedAndMachineConsumed</t>
  </si>
  <si>
    <t>fg-process-steward-KnowledgeFragments.IsUnapprovedAndHumanConsumed</t>
  </si>
  <si>
    <t>fg-process-steward-KnowledgeFragments.MachineConsumedUnapprovedVersionKey</t>
  </si>
  <si>
    <t>fg-process-steward-KnowledgeFragments.HasReviewRecord</t>
  </si>
  <si>
    <t>fg-process-steward-KnowledgeFragments.DaysSinceActualReview</t>
  </si>
  <si>
    <t>fg-process-steward-KnowledgeFragments.IsUnreviewedSinceAuthoring</t>
  </si>
  <si>
    <t>fg-process-steward-KnowledgeFragments.IsGenuinelyOverdue</t>
  </si>
  <si>
    <t>fg-process-steward-KnowledgeFragments.ReviewRecencyIsInferred</t>
  </si>
  <si>
    <t>fg-process-steward-KnowledgeFragments.InferenceDisagreesWithRecord</t>
  </si>
  <si>
    <t>fg-process-steward-KnowledgeFragments.GenuinelyOverdueVersionKey</t>
  </si>
  <si>
    <t>fg-process-steward-KnowledgeFragments.RatifiedBoundaryCount</t>
  </si>
  <si>
    <t>fg-process-steward-KnowledgeFragments.RelianceSurfaceCount</t>
  </si>
  <si>
    <t>fg-process-steward-KnowledgeFragments.DaysAwaitingMyApproval</t>
  </si>
  <si>
    <t>fg-process-steward-KnowledgeFragments.IsHighBlastRadiusUnapproved</t>
  </si>
  <si>
    <t>fg-process-steward-KnowledgeFragments.IsLongUnapproved</t>
  </si>
  <si>
    <t>fg-process-steward-KnowledgeFragments.UnapprovedLoadBearingVersionKey</t>
  </si>
  <si>
    <t>fg-process-steward-KnowledgeFragments.OwnerRoleIsVacated</t>
  </si>
  <si>
    <t>fg-process-steward-KnowledgeFragments.IsOrphanedByRole</t>
  </si>
  <si>
    <t>fg-process-steward-KnowledgeFragments.ValidFragmentVersionKey</t>
  </si>
  <si>
    <t>fg-process-steward-KnowledgeFragments.SemanticTypeIri</t>
  </si>
  <si>
    <t>fg-process-steward-KnowledgeGaps.KnowledgeGapId</t>
  </si>
  <si>
    <t>fg-process-steward-KnowledgeGaps.Name</t>
  </si>
  <si>
    <t>fg-process-steward-KnowledgeGaps.ProcedureVersion</t>
  </si>
  <si>
    <t>fg-process-steward-KnowledgeGaps.Step</t>
  </si>
  <si>
    <t>fg-process-steward-KnowledgeGaps.Statement</t>
  </si>
  <si>
    <t>fg-process-steward-KnowledgeGaps.Severity</t>
  </si>
  <si>
    <t>fg-process-steward-KnowledgeGaps.BlockingKind</t>
  </si>
  <si>
    <t>fg-process-steward-KnowledgeGaps.Status</t>
  </si>
  <si>
    <t>fg-process-steward-KnowledgeGaps.OwnerRole</t>
  </si>
  <si>
    <t>fg-process-steward-KnowledgeGaps.IdentifiedAt</t>
  </si>
  <si>
    <t>fg-process-steward-KnowledgeGaps.ResolutionPlan</t>
  </si>
  <si>
    <t>fg-process-steward-KnowledgeGaps.IsOpen</t>
  </si>
  <si>
    <t>fg-process-steward-KnowledgeGaps.OpenGapVersionKey</t>
  </si>
  <si>
    <t>fg-process-steward-KnowledgeGaps.IsBlocking</t>
  </si>
  <si>
    <t>fg-process-steward-KnowledgeGaps.IsOpenAndBlocking</t>
  </si>
  <si>
    <t>fg-process-steward-KnowledgeGaps.EvaluationContext</t>
  </si>
  <si>
    <t>fg-process-steward-KnowledgeGaps.AsOfInstant</t>
  </si>
  <si>
    <t>fg-process-steward-KnowledgeGaps.DaysOpen</t>
  </si>
  <si>
    <t>fg-process-steward-KnowledgeGaps.ToleranceDays</t>
  </si>
  <si>
    <t>fg-process-steward-KnowledgeGaps.IsOverdueGap</t>
  </si>
  <si>
    <t>fg-process-steward-KnowledgeGaps.OwnerAgent</t>
  </si>
  <si>
    <t>fg-process-steward-KnowledgeGaps.OwnerIsStillEngaged</t>
  </si>
  <si>
    <t>fg-process-steward-KnowledgeGaps.HasResolutionPlan</t>
  </si>
  <si>
    <t>fg-process-steward-KnowledgeGaps.IsAbandonedUnknown</t>
  </si>
  <si>
    <t>fg-process-steward-KnowledgeGaps.OpenBlockingGapVersionKey</t>
  </si>
  <si>
    <t>fg-process-steward-KnowledgeGaps.OwnerRoleIsVacated</t>
  </si>
  <si>
    <t>fg-process-steward-KnowledgeGaps.IsOwnerlessOpenGap</t>
  </si>
  <si>
    <t>fg-process-steward-KnowledgeGaps.SemanticTypeIri</t>
  </si>
  <si>
    <t>fg-process-steward-LearningActivities.LearningActivityId</t>
  </si>
  <si>
    <t>fg-process-steward-LearningActivities.Name</t>
  </si>
  <si>
    <t>fg-process-steward-LearningActivities.CommunityOfPractice</t>
  </si>
  <si>
    <t>fg-process-steward-LearningActivities.ProcedureVersion</t>
  </si>
  <si>
    <t>fg-process-steward-LearningActivities.ActivityKind</t>
  </si>
  <si>
    <t>fg-process-steward-LearningActivities.OccurredAt</t>
  </si>
  <si>
    <t>fg-process-steward-LearningActivities.FacilitatorAgent</t>
  </si>
  <si>
    <t>fg-process-steward-LearningActivities.Outcome</t>
  </si>
  <si>
    <t>fg-process-steward-LearningActivities.EvidenceResource</t>
  </si>
  <si>
    <t>fg-process-steward-LearningActivities.SemanticTypeIri</t>
  </si>
  <si>
    <t>fg-process-steward-Mentorships.MentorshipId</t>
  </si>
  <si>
    <t>fg-process-steward-Mentorships.Name</t>
  </si>
  <si>
    <t>fg-process-steward-Mentorships.CommunityOfPractice</t>
  </si>
  <si>
    <t>fg-process-steward-Mentorships.MentorAgent</t>
  </si>
  <si>
    <t>fg-process-steward-Mentorships.LearnerAgent</t>
  </si>
  <si>
    <t>fg-process-steward-Mentorships.ValidFrom</t>
  </si>
  <si>
    <t>fg-process-steward-Mentorships.ValidTo</t>
  </si>
  <si>
    <t>fg-process-steward-Mentorships.LearningObjective</t>
  </si>
  <si>
    <t>fg-process-steward-Mentorships.EvidenceOfCompletion</t>
  </si>
  <si>
    <t>fg-process-steward-Mentorships.SemanticTypeIri</t>
  </si>
  <si>
    <t>fg-process-steward-MessageDeliveries.MessageDeliveryId</t>
  </si>
  <si>
    <t>fg-process-steward-MessageDeliveries.Name</t>
  </si>
  <si>
    <t>fg-process-steward-MessageDeliveries.ProcedureExecution</t>
  </si>
  <si>
    <t>fg-process-steward-MessageDeliveries.StepExecution</t>
  </si>
  <si>
    <t>fg-process-steward-MessageDeliveries.Recipient</t>
  </si>
  <si>
    <t>fg-process-steward-MessageDeliveries.MessageTemplate</t>
  </si>
  <si>
    <t>fg-process-steward-MessageDeliveries.SentByAgent</t>
  </si>
  <si>
    <t>fg-process-steward-MessageDeliveries.RenderedBody</t>
  </si>
  <si>
    <t>fg-process-steward-MessageDeliveries.SentAt</t>
  </si>
  <si>
    <t>fg-process-steward-MessageDeliveries.SentAtLocalHour</t>
  </si>
  <si>
    <t>fg-process-steward-MessageDeliveries.DeliveryStatus</t>
  </si>
  <si>
    <t>fg-process-steward-MessageDeliveries.SuppressionReason</t>
  </si>
  <si>
    <t>fg-process-steward-MessageDeliveries.InvokedException</t>
  </si>
  <si>
    <t>fg-process-steward-MessageDeliveries.AcknowledgedAt</t>
  </si>
  <si>
    <t>fg-process-steward-MessageDeliveries.PolicyChannel</t>
  </si>
  <si>
    <t>fg-process-steward-MessageDeliveries.ChannelName</t>
  </si>
  <si>
    <t>fg-process-steward-MessageDeliveries.PolicyRequiresConsent</t>
  </si>
  <si>
    <t>fg-process-steward-MessageDeliveries.RecipientHasSmsConsent</t>
  </si>
  <si>
    <t>fg-process-steward-MessageDeliveries.WasActuallyTransmitted</t>
  </si>
  <si>
    <t>fg-process-steward-MessageDeliveries.IsConsentViolation</t>
  </si>
  <si>
    <t>fg-process-steward-MessageDeliveries.ConsentViolationPolicyKey</t>
  </si>
  <si>
    <t>fg-process-steward-MessageDeliveries.PolicyQuietHoursStartHour</t>
  </si>
  <si>
    <t>fg-process-steward-MessageDeliveries.PolicyQuietHoursEndHour</t>
  </si>
  <si>
    <t>fg-process-steward-MessageDeliveries.PolicyHasQuietHours</t>
  </si>
  <si>
    <t>fg-process-steward-MessageDeliveries.QuietWindowWrapsMidnight</t>
  </si>
  <si>
    <t>fg-process-steward-MessageDeliveries.IsInsideQuietWindow</t>
  </si>
  <si>
    <t>fg-process-steward-MessageDeliveries.IsQuietHoursViolation</t>
  </si>
  <si>
    <t>fg-process-steward-MessageDeliveries.QuietHoursViolationPolicyKey</t>
  </si>
  <si>
    <t>fg-process-steward-MessageDeliveries.RecipientIsUnreachable</t>
  </si>
  <si>
    <t>fg-process-steward-MessageDeliveries.IsAcknowledged</t>
  </si>
  <si>
    <t>fg-process-steward-MessageDeliveries.InvokedExceptionCondition</t>
  </si>
  <si>
    <t>fg-process-steward-MessageDeliveries.HasUnreachableExceptionInvoked</t>
  </si>
  <si>
    <t>fg-process-steward-MessageDeliveries.IsFabricatedAcknowledgement</t>
  </si>
  <si>
    <t>fg-process-steward-MessageDeliveries.IsUnhandledUnreachable</t>
  </si>
  <si>
    <t>fg-process-steward-MessageDeliveries.UnreachableFailureKey</t>
  </si>
  <si>
    <t>fg-process-steward-MessageDeliveries.PolicyRetentionDays</t>
  </si>
  <si>
    <t>fg-process-steward-MessageDeliveries.EvaluationContext</t>
  </si>
  <si>
    <t>fg-process-steward-MessageDeliveries.AsOfInstant</t>
  </si>
  <si>
    <t>fg-process-steward-MessageDeliveries.AgeDays</t>
  </si>
  <si>
    <t>fg-process-steward-MessageDeliveries.IsWithinRetentionWindow</t>
  </si>
  <si>
    <t>fg-process-steward-MessageDeliveries.HasRenderedBody</t>
  </si>
  <si>
    <t>fg-process-steward-MessageDeliveries.IsEvidenceRequired</t>
  </si>
  <si>
    <t>fg-process-steward-MessageDeliveries.IsRetentionBreach</t>
  </si>
  <si>
    <t>fg-process-steward-MessageDeliveries.RetentionBreachExecutionKey</t>
  </si>
  <si>
    <t>fg-process-steward-MessageDeliveries.SendingStepExecutionStep</t>
  </si>
  <si>
    <t>fg-process-steward-MessageDeliveries.ExecutionHasClearedLegalReview</t>
  </si>
  <si>
    <t>fg-process-steward-MessageDeliveries.IsUnreviewedSend</t>
  </si>
  <si>
    <t>fg-process-steward-MessageDeliveries.RenderedBodyLength</t>
  </si>
  <si>
    <t>fg-process-steward-MessageDeliveries.PolicyMaxMessageLengthAtSend</t>
  </si>
  <si>
    <t>fg-process-steward-MessageDeliveries.SegmentCount</t>
  </si>
  <si>
    <t>fg-process-steward-MessageDeliveries.PolicyMaxSegmentsAtSend</t>
  </si>
  <si>
    <t>fg-process-steward-MessageDeliveries.IsOverSegmentLimit</t>
  </si>
  <si>
    <t>fg-process-steward-MessageDeliveries.TemplateHasValidApproval</t>
  </si>
  <si>
    <t>fg-process-steward-MessageDeliveries.IsUnapprovedSend</t>
  </si>
  <si>
    <t>fg-process-steward-MessageDeliveries.PolicyRequiredOptOutPhrase</t>
  </si>
  <si>
    <t>fg-process-steward-MessageDeliveries.PolicyRequiresOptOut</t>
  </si>
  <si>
    <t>fg-process-steward-MessageDeliveries.OptOutPhrasePosition</t>
  </si>
  <si>
    <t>fg-process-steward-MessageDeliveries.HasOptOutPhrase</t>
  </si>
  <si>
    <t>fg-process-steward-MessageDeliveries.IsOptOutInFirstSegment</t>
  </si>
  <si>
    <t>fg-process-steward-MessageDeliveries.IsMissingRequiredOptOut</t>
  </si>
  <si>
    <t>fg-process-steward-MessageDeliveries.IsOptOutAtRiskOfTruncation</t>
  </si>
  <si>
    <t>fg-process-steward-MessageDeliveries.IsFailedDelivery</t>
  </si>
  <si>
    <t>fg-process-steward-MessageDeliveries.IsSuppressed</t>
  </si>
  <si>
    <t>fg-process-steward-MessageDeliveries.IsTriaged</t>
  </si>
  <si>
    <t>fg-process-steward-MessageDeliveries.IsAbandonedFailure</t>
  </si>
  <si>
    <t>fg-process-steward-MessageDeliveries.AbandonedFailureExecutionKey</t>
  </si>
  <si>
    <t>fg-process-steward-MessageDeliveries.ReachedExecutionKey</t>
  </si>
  <si>
    <t>fg-process-steward-MessageDeliveries.TemplateWasSendable</t>
  </si>
  <si>
    <t>fg-process-steward-MessageDeliveries.IsDriftedSend</t>
  </si>
  <si>
    <t>fg-process-steward-MessageDeliveries.DriftedSendTemplateKey</t>
  </si>
  <si>
    <t>fg-process-steward-MessageDeliveries.WasSentOutsideBusinessHours</t>
  </si>
  <si>
    <t>fg-process-steward-MessageDeliveries.WasDeliveredAndUnanswered</t>
  </si>
  <si>
    <t>fg-process-steward-MessageDeliveries.IsPoorlyTimedUnanswered</t>
  </si>
  <si>
    <t>fg-process-steward-MessageDeliveries.IsWellTimedUnanswered</t>
  </si>
  <si>
    <t>fg-process-steward-MessageDeliveries.UnansweredTemplateKey</t>
  </si>
  <si>
    <t>fg-process-steward-MessageDeliveries.TransmittedTemplateKey</t>
  </si>
  <si>
    <t>fg-process-steward-MessageDeliveries.ApprovingAgentAtSend</t>
  </si>
  <si>
    <t>fg-process-steward-MessageDeliveries.ApprovingRoleAtSend</t>
  </si>
  <si>
    <t>fg-process-steward-MessageDeliveries.ApprovalDecidedAtSend</t>
  </si>
  <si>
    <t>fg-process-steward-MessageDeliveries.ApprovalPrecededSend</t>
  </si>
  <si>
    <t>fg-process-steward-MessageDeliveries.HasFrozenApprovalEvidence</t>
  </si>
  <si>
    <t>fg-process-steward-MessageDeliveries.ProvenanceIsLiveDerived</t>
  </si>
  <si>
    <t>fg-process-steward-MessageDeliveries.CurrentLastApprovalAt</t>
  </si>
  <si>
    <t>fg-process-steward-MessageDeliveries.TemplateReapprovedSinceSend</t>
  </si>
  <si>
    <t>fg-process-steward-MessageDeliveries.IsUnprovableApprovalClaim</t>
  </si>
  <si>
    <t>fg-process-steward-MessageDeliveries.ReminderSentAt</t>
  </si>
  <si>
    <t>fg-process-steward-MessageDeliveries.ReminderCount</t>
  </si>
  <si>
    <t>fg-process-steward-MessageDeliveries.HasSentReminder</t>
  </si>
  <si>
    <t>fg-process-steward-MessageDeliveries.AcknowledgementIsOutstanding</t>
  </si>
  <si>
    <t>fg-process-steward-MessageDeliveries.OutstandingAgeDays</t>
  </si>
  <si>
    <t>fg-process-steward-MessageDeliveries.IsUnchasedAcknowledgement</t>
  </si>
  <si>
    <t>fg-process-steward-MessageDeliveries.IsExhaustedFollowUp</t>
  </si>
  <si>
    <t>fg-process-steward-MessageDeliveries.NeedsHumanEscalation</t>
  </si>
  <si>
    <t>fg-process-steward-MessageDeliveries.SemanticTypeIri</t>
  </si>
  <si>
    <t>fg-process-steward-MessageTemplates.MessageTemplateId</t>
  </si>
  <si>
    <t>fg-process-steward-MessageTemplates.Name</t>
  </si>
  <si>
    <t>fg-process-steward-MessageTemplates.CommunicationPolicy</t>
  </si>
  <si>
    <t>fg-process-steward-MessageTemplates.Resource</t>
  </si>
  <si>
    <t>fg-process-steward-MessageTemplates.SubjectTemplate</t>
  </si>
  <si>
    <t>fg-process-steward-MessageTemplates.BodyTemplate</t>
  </si>
  <si>
    <t>fg-process-steward-MessageTemplates.Locale</t>
  </si>
  <si>
    <t>fg-process-steward-MessageTemplates.Status</t>
  </si>
  <si>
    <t>fg-process-steward-MessageTemplates.PolicyMaxMessageLength</t>
  </si>
  <si>
    <t>fg-process-steward-MessageTemplates.PolicyMaxSegments</t>
  </si>
  <si>
    <t>fg-process-steward-MessageTemplates.BodyTemplateLength</t>
  </si>
  <si>
    <t>fg-process-steward-MessageTemplates.IsTemplateOverLength</t>
  </si>
  <si>
    <t>fg-process-steward-MessageTemplates.ValidApprovalCount</t>
  </si>
  <si>
    <t>fg-process-steward-MessageTemplates.HasValidApproval</t>
  </si>
  <si>
    <t>fg-process-steward-MessageTemplates.IsClaimingUnbackedApproval</t>
  </si>
  <si>
    <t>fg-process-steward-MessageTemplates.CurrentBodyHash</t>
  </si>
  <si>
    <t>fg-process-steward-MessageTemplates.LastApprovedBodyHash</t>
  </si>
  <si>
    <t>fg-process-steward-MessageTemplates.LastValidApproval</t>
  </si>
  <si>
    <t>fg-process-steward-MessageTemplates.HasBodyDrifted</t>
  </si>
  <si>
    <t>fg-process-steward-MessageTemplates.IsSendableUnderApproval</t>
  </si>
  <si>
    <t>fg-process-steward-MessageTemplates.DriftedSendCount</t>
  </si>
  <si>
    <t>fg-process-steward-MessageTemplates.UnansweredDeliveryCount</t>
  </si>
  <si>
    <t>fg-process-steward-MessageTemplates.TransmittedDeliveryCount</t>
  </si>
  <si>
    <t>fg-process-steward-MessageTemplates.TemplateDrawsNoResponse</t>
  </si>
  <si>
    <t>fg-process-steward-MessageTemplates.LastApprovalAt</t>
  </si>
  <si>
    <t>fg-process-steward-MessageTemplates.SemanticTypeIri</t>
  </si>
  <si>
    <t>fg-process-steward-ObservedTransitions.ObservedTransitionId</t>
  </si>
  <si>
    <t>fg-process-steward-ObservedTransitions.Name</t>
  </si>
  <si>
    <t>fg-process-steward-ObservedTransitions.ProcedureExecution</t>
  </si>
  <si>
    <t>fg-process-steward-ObservedTransitions.StepTransition</t>
  </si>
  <si>
    <t>fg-process-steward-ObservedTransitions.ArrivingStepExecution</t>
  </si>
  <si>
    <t>fg-process-steward-ObservedTransitions.ObservedAt</t>
  </si>
  <si>
    <t>fg-process-steward-ObservedTransitions.TriggerReason</t>
  </si>
  <si>
    <t>fg-process-steward-ObservedTransitions.SemanticTypeIri</t>
  </si>
  <si>
    <t>fg-process-steward-OntologyProfiles.OntologyProfileId</t>
  </si>
  <si>
    <t>fg-process-steward-OntologyProfiles.Name</t>
  </si>
  <si>
    <t>fg-process-steward-OntologyProfiles.Label</t>
  </si>
  <si>
    <t>fg-process-steward-OntologyProfiles.Version</t>
  </si>
  <si>
    <t>fg-process-steward-OntologyProfiles.VersionIri</t>
  </si>
  <si>
    <t>fg-process-steward-OntologyProfiles.NamespaceIri</t>
  </si>
  <si>
    <t>fg-process-steward-OntologyProfiles.License</t>
  </si>
  <si>
    <t>fg-process-steward-OntologyProfiles.Scope</t>
  </si>
  <si>
    <t>fg-process-steward-OperationalBindings.OperationalBindingId</t>
  </si>
  <si>
    <t>fg-process-steward-OperationalBindings.Name</t>
  </si>
  <si>
    <t>fg-process-steward-OperationalBindings.ProcedureVersion</t>
  </si>
  <si>
    <t>fg-process-steward-OperationalBindings.Step</t>
  </si>
  <si>
    <t>fg-process-steward-OperationalBindings.Resource</t>
  </si>
  <si>
    <t>fg-process-steward-OperationalBindings.AccessMode</t>
  </si>
  <si>
    <t>fg-process-steward-OperationalBindings.RecordOrSchemaKey</t>
  </si>
  <si>
    <t>fg-process-steward-OperationalBindings.LastObservedAt</t>
  </si>
  <si>
    <t>fg-process-steward-OperationalBindings.FreshnessSlaMinutes</t>
  </si>
  <si>
    <t>fg-process-steward-OperationalBindings.IsAuthoritative</t>
  </si>
  <si>
    <t>fg-process-steward-OperationalBindings.EvaluationContext</t>
  </si>
  <si>
    <t>fg-process-steward-OperationalBindings.AsOfInstant</t>
  </si>
  <si>
    <t>fg-process-steward-OperationalBindings.AgeMinutes</t>
  </si>
  <si>
    <t>fg-process-steward-OperationalBindings.IsFresh</t>
  </si>
  <si>
    <t>fg-process-steward-OperationalBindings.StaleBindingStepKey</t>
  </si>
  <si>
    <t>fg-process-steward-OperationalBindings.AuthoritativeStaleStepKey</t>
  </si>
  <si>
    <t>fg-process-steward-OperationalBindings.IsStaleAndAuthoritative</t>
  </si>
  <si>
    <t>fg-process-steward-OperationalBindings.StepWhenStale</t>
  </si>
  <si>
    <t>fg-process-steward-OperationalBindings.ResourceIsApproved</t>
  </si>
  <si>
    <t>fg-process-steward-OperationalBindings.IsUsableForDrafting</t>
  </si>
  <si>
    <t>fg-process-steward-OperationalBindings.StepWhenUnusable</t>
  </si>
  <si>
    <t>fg-process-steward-OperationalBindings.SemanticTypeIri</t>
  </si>
  <si>
    <t>fg-process-steward-Organizations.OrganizationId</t>
  </si>
  <si>
    <t>fg-process-steward-Organizations.Name</t>
  </si>
  <si>
    <t>fg-process-steward-Organizations.DisplayName</t>
  </si>
  <si>
    <t>fg-process-steward-Organizations.OrganizationType</t>
  </si>
  <si>
    <t>fg-process-steward-Organizations.ExternalIdentifier</t>
  </si>
  <si>
    <t>fg-process-steward-Organizations.SemanticTypeIri</t>
  </si>
  <si>
    <t>fg-process-steward-ProcedureExecutions.ProcedureExecutionId</t>
  </si>
  <si>
    <t>fg-process-steward-ProcedureExecutions.Name</t>
  </si>
  <si>
    <t>fg-process-steward-ProcedureExecutions.ProcedureVersion</t>
  </si>
  <si>
    <t>fg-process-steward-ProcedureExecutions.ExecutionStatus</t>
  </si>
  <si>
    <t>fg-process-steward-ProcedureExecutions.StartedAt</t>
  </si>
  <si>
    <t>fg-process-steward-ProcedureExecutions.EndedAt</t>
  </si>
  <si>
    <t>fg-process-steward-ProcedureExecutions.ExecutedByAgent</t>
  </si>
  <si>
    <t>fg-process-steward-ProcedureExecutions.Context</t>
  </si>
  <si>
    <t>fg-process-steward-ProcedureExecutions.OperationalRecordUri</t>
  </si>
  <si>
    <t>fg-process-steward-ProcedureExecutions.ExpectedStepCount</t>
  </si>
  <si>
    <t>fg-process-steward-ProcedureExecutions.CompletedStepCount</t>
  </si>
  <si>
    <t>fg-process-steward-ProcedureExecutions.ControlBreachCount</t>
  </si>
  <si>
    <t>fg-process-steward-ProcedureExecutions.LateStepCount</t>
  </si>
  <si>
    <t>fg-process-steward-ProcedureExecutions.IsStructurallyComplete</t>
  </si>
  <si>
    <t>fg-process-steward-ProcedureExecutions.DivergedFromSpecification</t>
  </si>
  <si>
    <t>fg-process-steward-ProcedureExecutions.AllBlockingControlsEvaluated</t>
  </si>
  <si>
    <t>fg-process-steward-ProcedureExecutions.UnevaluatedBlockingTotal</t>
  </si>
  <si>
    <t>fg-process-steward-ProcedureExecutions.SeparationOfDutiesHeld</t>
  </si>
  <si>
    <t>fg-process-steward-ProcedureExecutions.SeparationViolationCount</t>
  </si>
  <si>
    <t>fg-process-steward-ProcedureExecutions.IsAttestationReady</t>
  </si>
  <si>
    <t>fg-process-steward-ProcedureExecutions.AttestationBlockerSummary</t>
  </si>
  <si>
    <t>fg-process-steward-ProcedureExecutions.ExecutedVersionIsFit</t>
  </si>
  <si>
    <t>fg-process-steward-ProcedureExecutions.SignedAgainstUnfitVersion</t>
  </si>
  <si>
    <t>fg-process-steward-ProcedureExecutions.AssertedOnlyControlCount</t>
  </si>
  <si>
    <t>fg-process-steward-ProcedureExecutions.AssuranceIsMostlyAsserted</t>
  </si>
  <si>
    <t>fg-process-steward-ProcedureExecutions.UnreachableHandlingFailureCount</t>
  </si>
  <si>
    <t>fg-process-steward-ProcedureExecutions.RetentionBreachCount</t>
  </si>
  <si>
    <t>fg-process-steward-ProcedureExecutions.ClearedLegalReviewCount</t>
  </si>
  <si>
    <t>fg-process-steward-ProcedureExecutions.HasClearedLegalReview</t>
  </si>
  <si>
    <t>fg-process-steward-ProcedureExecutions.AbandonedFailureCount</t>
  </si>
  <si>
    <t>fg-process-steward-ProcedureExecutions.DeliveredCount</t>
  </si>
  <si>
    <t>fg-process-steward-ProcedureExecutions.TotalDeliveryAttemptCount</t>
  </si>
  <si>
    <t>fg-process-steward-ProcedureExecutions.HasAbandonedFailures</t>
  </si>
  <si>
    <t>fg-process-steward-ProcedureExecutions.MishandledRefusalCount</t>
  </si>
  <si>
    <t>fg-process-steward-ProcedureExecutions.UncleanStepCount</t>
  </si>
  <si>
    <t>fg-process-steward-ProcedureExecutions.RanClean</t>
  </si>
  <si>
    <t>fg-process-steward-ProcedureExecutions.CountOfApprovalExecutions</t>
  </si>
  <si>
    <t>fg-process-steward-ProcedureExecutions.HasHumanApproval</t>
  </si>
  <si>
    <t>fg-process-steward-ProcedureExecutions.CountOfDeliveryExecutions</t>
  </si>
  <si>
    <t>fg-process-steward-ProcedureExecutions.HasDelivered</t>
  </si>
  <si>
    <t>fg-process-steward-ProcedureExecutions.DeliveredWithoutApproval</t>
  </si>
  <si>
    <t>fg-process-steward-ProcedureExecutions.InvalidApprovalCount</t>
  </si>
  <si>
    <t>fg-process-steward-ProcedureExecutions.ApprovalChainIsComplete</t>
  </si>
  <si>
    <t>fg-process-steward-ProcedureExecutions.VacuouslyCleanStepCount</t>
  </si>
  <si>
    <t>fg-process-steward-ProcedureExecutions.PreparationStepCount</t>
  </si>
  <si>
    <t>fg-process-steward-ProcedureExecutions.ApprovalStepCount</t>
  </si>
  <si>
    <t>fg-process-steward-ProcedureExecutions.SeparationWasTestable</t>
  </si>
  <si>
    <t>fg-process-steward-ProcedureExecutions.SeparationHeldUnderTest</t>
  </si>
  <si>
    <t>fg-process-steward-ProcedureExecutions.SeparationIsVacuouslyGreen</t>
  </si>
  <si>
    <t>fg-process-steward-ProcedureExecutions.SeparationAssuranceNote</t>
  </si>
  <si>
    <t>fg-process-steward-ProcedureExecutions.UngovernedDivergenceCount</t>
  </si>
  <si>
    <t>fg-process-steward-ProcedureExecutions.DivergenceWasFullyGoverned</t>
  </si>
  <si>
    <t>fg-process-steward-ProcedureExecutions.ComputedlyWitnessedControlCount</t>
  </si>
  <si>
    <t>fg-process-steward-ProcedureExecutions.EvaluatedControlCount</t>
  </si>
  <si>
    <t>fg-process-steward-ProcedureExecutions.ComputedAssuranceRatio</t>
  </si>
  <si>
    <t>fg-process-steward-ProcedureExecutions.InterestedPartyAssertionCount</t>
  </si>
  <si>
    <t>fg-process-steward-ProcedureExecutions.AssuranceGrade</t>
  </si>
  <si>
    <t>fg-process-steward-ProcedureExecutions.AttestationWouldBeWeaklyBased</t>
  </si>
  <si>
    <t>fg-process-steward-ProcedureExecutions.IndependentHumanObservationCount</t>
  </si>
  <si>
    <t>fg-process-steward-ProcedureExecutions.HasAnyIndependentObservation</t>
  </si>
  <si>
    <t>fg-process-steward-ProcedureExecutions.SelfAttestedApprovalCount</t>
  </si>
  <si>
    <t>fg-process-steward-ProcedureExecutions.AssuranceChainIsCircular</t>
  </si>
  <si>
    <t>fg-process-steward-ProcedureExecutions.LatestAttestationInstant</t>
  </si>
  <si>
    <t>fg-process-steward-ProcedureExecutions.HasBeenAttested</t>
  </si>
  <si>
    <t>fg-process-steward-ProcedureExecutions.AttestationCount</t>
  </si>
  <si>
    <t>fg-process-steward-ProcedureExecutions.PostAttestationScoreCount</t>
  </si>
  <si>
    <t>fg-process-steward-ProcedureExecutions.BasisChangedAfterSignature</t>
  </si>
  <si>
    <t>fg-process-steward-ProcedureExecutions.RequiresReAttestation</t>
  </si>
  <si>
    <t>fg-process-steward-ProcedureExecutions.IntendedRecipientCount</t>
  </si>
  <si>
    <t>fg-process-steward-ProcedureExecutions.ReachedRecipientCount</t>
  </si>
  <si>
    <t>fg-process-steward-ProcedureExecutions.SilentlyDroppedCount</t>
  </si>
  <si>
    <t>fg-process-steward-ProcedureExecutions.DeliveryYieldPercent</t>
  </si>
  <si>
    <t>fg-process-steward-ProcedureExecutions.CampaignSilentlyLostAudience</t>
  </si>
  <si>
    <t>fg-process-steward-ProcedureExecutions.UnrecordedRefusalCount</t>
  </si>
  <si>
    <t>fg-process-steward-ProcedureExecutions.HasUnrecordedRefusals</t>
  </si>
  <si>
    <t>fg-process-steward-ProcedureExecutions.IndependentlyConfirmedIntentCount</t>
  </si>
  <si>
    <t>fg-process-steward-ProcedureExecutions.SendDecisionsAreEntirelySelfWitnessed</t>
  </si>
  <si>
    <t>fg-process-steward-ProcedureExecutions.SemanticTypeIri</t>
  </si>
  <si>
    <t>fg-process-steward-ProcedureResources.ProcedureResourceId</t>
  </si>
  <si>
    <t>fg-process-steward-ProcedureResources.Name</t>
  </si>
  <si>
    <t>fg-process-steward-ProcedureResources.ProcedureVersion</t>
  </si>
  <si>
    <t>fg-process-steward-ProcedureResources.Resource</t>
  </si>
  <si>
    <t>fg-process-steward-ProcedureResources.Relation</t>
  </si>
  <si>
    <t>fg-process-steward-ProcedureResources.RelationIri</t>
  </si>
  <si>
    <t>fg-process-steward-ProcedureStatusChanges.ProcedureStatusChangeId</t>
  </si>
  <si>
    <t>fg-process-steward-ProcedureStatusChanges.Name</t>
  </si>
  <si>
    <t>fg-process-steward-ProcedureStatusChanges.ProcedureVersion</t>
  </si>
  <si>
    <t>fg-process-steward-ProcedureStatusChanges.FromStatus</t>
  </si>
  <si>
    <t>fg-process-steward-ProcedureStatusChanges.ToStatus</t>
  </si>
  <si>
    <t>fg-process-steward-ProcedureStatusChanges.ChangedAt</t>
  </si>
  <si>
    <t>fg-process-steward-ProcedureStatusChanges.ChangedByAgent</t>
  </si>
  <si>
    <t>fg-process-steward-ProcedureStatusChanges.Motivation</t>
  </si>
  <si>
    <t>fg-process-steward-ProcedureStatusChanges.SemanticTypeIri</t>
  </si>
  <si>
    <t>fg-process-steward-ProcedureTypes.ProcedureTypeId</t>
  </si>
  <si>
    <t>fg-process-steward-ProcedureTypes.Name</t>
  </si>
  <si>
    <t>fg-process-steward-ProcedureTypes.Label</t>
  </si>
  <si>
    <t>fg-process-steward-ProcedureTypes.Definition</t>
  </si>
  <si>
    <t>fg-process-steward-ProcedureTypes.SemanticTypeIri</t>
  </si>
  <si>
    <t>fg-process-steward-ProcedureVersionLinks.ProcedureVersionLinkId</t>
  </si>
  <si>
    <t>fg-process-steward-ProcedureVersionLinks.Name</t>
  </si>
  <si>
    <t>fg-process-steward-ProcedureVersionLinks.PreviousProcedureVersion</t>
  </si>
  <si>
    <t>fg-process-steward-ProcedureVersionLinks.NextProcedureVersion</t>
  </si>
  <si>
    <t>fg-process-steward-ProcedureVersionLinks.RelationIri</t>
  </si>
  <si>
    <t>fg-process-steward-ProcedureVersionLinks.ChangeSummary</t>
  </si>
  <si>
    <t>fg-process-steward-ProcedureVersionLinks.SupersededVersionKey</t>
  </si>
  <si>
    <t>fg-process-steward-ProcedureVersions.ProcedureVersionId</t>
  </si>
  <si>
    <t>fg-process-steward-ProcedureVersions.Name</t>
  </si>
  <si>
    <t>fg-process-steward-ProcedureVersions.Procedure</t>
  </si>
  <si>
    <t>fg-process-steward-ProcedureVersions.VersionNumber</t>
  </si>
  <si>
    <t>fg-process-steward-ProcedureVersions.Title</t>
  </si>
  <si>
    <t>fg-process-steward-ProcedureVersions.Status</t>
  </si>
  <si>
    <t>fg-process-steward-ProcedureVersions.IssuedAt</t>
  </si>
  <si>
    <t>fg-process-steward-ProcedureVersions.ModifiedAt</t>
  </si>
  <si>
    <t>fg-process-steward-ProcedureVersions.CreatedByAgent</t>
  </si>
  <si>
    <t>fg-process-steward-ProcedureVersions.ModifiedByAgent</t>
  </si>
  <si>
    <t>fg-process-steward-ProcedureVersions.NewVersionMotivation</t>
  </si>
  <si>
    <t>fg-process-steward-ProcedureVersions.ChangelogDescription</t>
  </si>
  <si>
    <t>fg-process-steward-ProcedureVersions.IsCurrent</t>
  </si>
  <si>
    <t>fg-process-steward-ProcedureVersions.CountOfSteps</t>
  </si>
  <si>
    <t>fg-process-steward-ProcedureVersions.CountOfOpenKnowledgeGaps</t>
  </si>
  <si>
    <t>fg-process-steward-ProcedureVersions.IsReadyForExecution</t>
  </si>
  <si>
    <t>fg-process-steward-ProcedureVersions.SpecifiedStepCount</t>
  </si>
  <si>
    <t>fg-process-steward-ProcedureVersions.OverdueReviewCount</t>
  </si>
  <si>
    <t>fg-process-steward-ProcedureVersions.OpenChangeRequestCount</t>
  </si>
  <si>
    <t>fg-process-steward-ProcedureVersions.OpenHighSeverityGapCount</t>
  </si>
  <si>
    <t>fg-process-steward-ProcedureVersions.IsFitToExecute</t>
  </si>
  <si>
    <t>fg-process-steward-ProcedureVersions.StewardReviewCadenceDays</t>
  </si>
  <si>
    <t>fg-process-steward-ProcedureVersions.CountOfStewardshipAssignments</t>
  </si>
  <si>
    <t>fg-process-steward-ProcedureVersions.HasAnySteward</t>
  </si>
  <si>
    <t>fg-process-steward-ProcedureVersions.IsLive</t>
  </si>
  <si>
    <t>fg-process-steward-ProcedureVersions.IsUnstewarded</t>
  </si>
  <si>
    <t>fg-process-steward-ProcedureVersions.IsLiveAndUnstewarded</t>
  </si>
  <si>
    <t>fg-process-steward-ProcedureVersions.CountOfOpenBlockingGaps</t>
  </si>
  <si>
    <t>fg-process-steward-ProcedureVersions.HasOpenBlockingGap</t>
  </si>
  <si>
    <t>fg-process-steward-ProcedureVersions.IsLiveWithBlockingGap</t>
  </si>
  <si>
    <t>fg-process-steward-ProcedureVersions.ShouldNotBeExecutable</t>
  </si>
  <si>
    <t>fg-process-steward-ProcedureVersions.CountOfUnapprovedRelianceFragments</t>
  </si>
  <si>
    <t>fg-process-steward-ProcedureVersions.RunsOnUnapprovedKnowledge</t>
  </si>
  <si>
    <t>fg-process-steward-ProcedureVersions.CountOfOverdueGaps</t>
  </si>
  <si>
    <t>fg-process-steward-ProcedureVersions.CountOfChangeRequests</t>
  </si>
  <si>
    <t>fg-process-steward-ProcedureVersions.CountOfReviewEvents</t>
  </si>
  <si>
    <t>fg-process-steward-ProcedureVersions.HasGovernanceRecord</t>
  </si>
  <si>
    <t>fg-process-steward-ProcedureVersions.EvaluationContext</t>
  </si>
  <si>
    <t>fg-process-steward-ProcedureVersions.AsOfInstant</t>
  </si>
  <si>
    <t>fg-process-steward-ProcedureVersions.DaysSinceModified</t>
  </si>
  <si>
    <t>fg-process-steward-ProcedureVersions.DaysSinceLastReview</t>
  </si>
  <si>
    <t>fg-process-steward-ProcedureVersions.WasModifiedSinceLastReview</t>
  </si>
  <si>
    <t>fg-process-steward-ProcedureVersions.ModifierIsAuthority</t>
  </si>
  <si>
    <t>fg-process-steward-ProcedureVersions.HasUnwitnessedChange</t>
  </si>
  <si>
    <t>fg-process-steward-ProcedureVersions.CountOfStaleFragments</t>
  </si>
  <si>
    <t>fg-process-steward-ProcedureVersions.KnowledgeIsStalerThanCadence</t>
  </si>
  <si>
    <t>fg-process-steward-ProcedureVersions.CompoundFragileFragmentCount</t>
  </si>
  <si>
    <t>fg-process-steward-ProcedureVersions.RestsOnCompoundFragileKnowledge</t>
  </si>
  <si>
    <t>fg-process-steward-ProcedureVersions.ConcentratedWitnessSessionCount</t>
  </si>
  <si>
    <t>fg-process-steward-ProcedureVersions.KnowledgeBaseIsConcentrated</t>
  </si>
  <si>
    <t>fg-process-steward-ProcedureVersions.MachineConsumedUnapprovedCount</t>
  </si>
  <si>
    <t>fg-process-steward-ProcedureVersions.FeedsUnapprovedKnowledgeToMachines</t>
  </si>
  <si>
    <t>fg-process-steward-ProcedureVersions.GenuinelyOverdueFragmentCount</t>
  </si>
  <si>
    <t>fg-process-steward-ProcedureVersions.AwaitedDecisionCount</t>
  </si>
  <si>
    <t>fg-process-steward-ProcedureVersions.ScopedOpenBlockingGapCount</t>
  </si>
  <si>
    <t>fg-process-steward-ProcedureVersions.IsBlockedOnPendingDecision</t>
  </si>
  <si>
    <t>fg-process-steward-ProcedureVersions.UnexercisedHumanGateCount</t>
  </si>
  <si>
    <t>fg-process-steward-ProcedureVersions.AiBoundaryIsUnevidenced</t>
  </si>
  <si>
    <t>fg-process-steward-ProcedureVersions.LoadBearingUnapprovedCount</t>
  </si>
  <si>
    <t>fg-process-steward-ProcedureVersions.UnlandedDecisionCount</t>
  </si>
  <si>
    <t>fg-process-steward-ProcedureVersions.UnrehearsedControlEntryCount</t>
  </si>
  <si>
    <t>fg-process-steward-ProcedureVersions.HasUnrehearsedControlEntry</t>
  </si>
  <si>
    <t>fg-process-steward-ProcedureVersions.IsLiveWithUnrehearsedControl</t>
  </si>
  <si>
    <t>fg-process-steward-ProcedureVersions.CadenceBreachCount</t>
  </si>
  <si>
    <t>fg-process-steward-ProcedureVersions.IsInCadenceBreach</t>
  </si>
  <si>
    <t>fg-process-steward-ProcedureVersions.HasDecisionInFlight</t>
  </si>
  <si>
    <t>fg-process-steward-ProcedureVersions.IsUnremediatedCadenceBreach</t>
  </si>
  <si>
    <t>fg-process-steward-ProcedureVersions.IsManagedCadenceBreach</t>
  </si>
  <si>
    <t>fg-process-steward-ProcedureVersions.GovernanceIsSilent</t>
  </si>
  <si>
    <t>fg-process-steward-ProcedureVersions.ValidFragmentCount</t>
  </si>
  <si>
    <t>fg-process-steward-ProcedureVersions.StillOwnsValidKnowledge</t>
  </si>
  <si>
    <t>fg-process-steward-ProcedureVersions.IncomingSupersessionCount</t>
  </si>
  <si>
    <t>fg-process-steward-ProcedureVersions.IsStillReferenced</t>
  </si>
  <si>
    <t>fg-process-steward-ProcedureVersions.IsLoadBearingOrphan</t>
  </si>
  <si>
    <t>fg-process-steward-ProcedureVersions.IsCleanlyRetired</t>
  </si>
  <si>
    <t>fg-process-steward-ProcedureVersions.StalledImplementationCount</t>
  </si>
  <si>
    <t>fg-process-steward-ProcedureVersions.IsHeldUnfitByLandedDecisions</t>
  </si>
  <si>
    <t>fg-process-steward-ProcedureVersions.UndeclaredControlKindCount</t>
  </si>
  <si>
    <t>fg-process-steward-ProcedureVersions.ControlTaxonomyIsIncomplete</t>
  </si>
  <si>
    <t>fg-process-steward-ProcedureVersions.HasApprovedChangeRequest</t>
  </si>
  <si>
    <t>fg-process-steward-ProcedureVersions.ApprovedChangeRequestCount</t>
  </si>
  <si>
    <t>fg-process-steward-ProcedureVersions.UnwatchedUnownedControlCount</t>
  </si>
  <si>
    <t>fg-process-steward-ProcedureVersions.SemanticTypeIri</t>
  </si>
  <si>
    <t>fg-process-steward-Procedures.ProcedureId</t>
  </si>
  <si>
    <t>fg-process-steward-Procedures.Name</t>
  </si>
  <si>
    <t>fg-process-steward-Procedures.Title</t>
  </si>
  <si>
    <t>fg-process-steward-Procedures.ProcedureType</t>
  </si>
  <si>
    <t>fg-process-steward-Procedures.OwnerOrganization</t>
  </si>
  <si>
    <t>fg-process-steward-Procedures.AdoptedByOrganization</t>
  </si>
  <si>
    <t>fg-process-steward-Procedures.Purpose</t>
  </si>
  <si>
    <t>fg-process-steward-Procedures.Target</t>
  </si>
  <si>
    <t>fg-process-steward-Procedures.IsTemplate</t>
  </si>
  <si>
    <t>fg-process-steward-Procedures.CurrentVersionKey</t>
  </si>
  <si>
    <t>fg-process-steward-Procedures.SemanticTypeIri</t>
  </si>
  <si>
    <t>fg-process-steward-Rationales.RationaleId</t>
  </si>
  <si>
    <t>fg-process-steward-Rationales.Name</t>
  </si>
  <si>
    <t>fg-process-steward-Rationales.ProcedureVersion</t>
  </si>
  <si>
    <t>fg-process-steward-Rationales.Step</t>
  </si>
  <si>
    <t>fg-process-steward-Rationales.Title</t>
  </si>
  <si>
    <t>fg-process-steward-Rationales.Statement</t>
  </si>
  <si>
    <t>fg-process-steward-Rationales.Status</t>
  </si>
  <si>
    <t>fg-process-steward-Rationales.AuthorityRole</t>
  </si>
  <si>
    <t>fg-process-steward-Rationales.SemanticTypeIri</t>
  </si>
  <si>
    <t>fg-process-steward-Recipients.RecipientId</t>
  </si>
  <si>
    <t>fg-process-steward-Recipients.Name</t>
  </si>
  <si>
    <t>fg-process-steward-Recipients.DisplayName</t>
  </si>
  <si>
    <t>fg-process-steward-Recipients.Organization</t>
  </si>
  <si>
    <t>fg-process-steward-Recipients.EmailAddress</t>
  </si>
  <si>
    <t>fg-process-steward-Recipients.MobileNumber</t>
  </si>
  <si>
    <t>fg-process-steward-Recipients.SmsConsentStatus</t>
  </si>
  <si>
    <t>fg-process-steward-Recipients.SmsConsentAt</t>
  </si>
  <si>
    <t>fg-process-steward-Recipients.ConsentBinding</t>
  </si>
  <si>
    <t>fg-process-steward-Recipients.HasSmsConsent</t>
  </si>
  <si>
    <t>fg-process-steward-Recipients.IsEmailReachable</t>
  </si>
  <si>
    <t>fg-process-steward-Recipients.IsSmsReachable</t>
  </si>
  <si>
    <t>fg-process-steward-Recipients.IsUnreachable</t>
  </si>
  <si>
    <t>fg-process-steward-Recipients.IsCommunicationallyStranded</t>
  </si>
  <si>
    <t>fg-process-steward-Recipients.SemanticTypeIri</t>
  </si>
  <si>
    <t>fg-process-steward-RequirementSatisfactions.RequirementSatisfactionId</t>
  </si>
  <si>
    <t>fg-process-steward-RequirementSatisfactions.Name</t>
  </si>
  <si>
    <t>fg-process-steward-RequirementSatisfactions.StepExecution</t>
  </si>
  <si>
    <t>fg-process-steward-RequirementSatisfactions.Requirement</t>
  </si>
  <si>
    <t>fg-process-steward-RequirementSatisfactions.SatisfactionLevel</t>
  </si>
  <si>
    <t>fg-process-steward-RequirementSatisfactions.Evidence</t>
  </si>
  <si>
    <t>fg-process-steward-RequirementSatisfactions.EvaluatedByAgent</t>
  </si>
  <si>
    <t>fg-process-steward-RequirementSatisfactions.EvaluatedAt</t>
  </si>
  <si>
    <t>fg-process-steward-RequirementSatisfactions.RequirementIsBlocking</t>
  </si>
  <si>
    <t>fg-process-steward-RequirementSatisfactions.IsFullySatisfied</t>
  </si>
  <si>
    <t>fg-process-steward-RequirementSatisfactions.IsBlockingAndUnmet</t>
  </si>
  <si>
    <t>fg-process-steward-RequirementSatisfactions.BlockingUnmetStepKey</t>
  </si>
  <si>
    <t>fg-process-steward-RequirementSatisfactions.BlockingSatisfactionStepKey</t>
  </si>
  <si>
    <t>fg-process-steward-RequirementSatisfactions.NegativeOutcomeRequirementKey</t>
  </si>
  <si>
    <t>fg-process-steward-RequirementSatisfactions.EvaluatorAgentKind</t>
  </si>
  <si>
    <t>fg-process-steward-RequirementSatisfactions.NonHumanEvaluatedHumanControl</t>
  </si>
  <si>
    <t>fg-process-steward-RequirementSatisfactions.RequirementHasComputedWitness</t>
  </si>
  <si>
    <t>fg-process-steward-RequirementSatisfactions.IsAssertedOnly</t>
  </si>
  <si>
    <t>fg-process-steward-RequirementSatisfactions.AssertedOnlyExecutionKey</t>
  </si>
  <si>
    <t>fg-process-steward-RequirementSatisfactions.ParentProcedureExecution</t>
  </si>
  <si>
    <t>fg-process-steward-RequirementSatisfactions.StepExecutionWhenScored</t>
  </si>
  <si>
    <t>fg-process-steward-RequirementSatisfactions.IsHumanEvaluated</t>
  </si>
  <si>
    <t>fg-process-steward-RequirementSatisfactions.RequirementIsApprovalType</t>
  </si>
  <si>
    <t>fg-process-steward-RequirementSatisfactions.IsInvalidApproval</t>
  </si>
  <si>
    <t>fg-process-steward-RequirementSatisfactions.ProcedureExecutionOfSatisfaction</t>
  </si>
  <si>
    <t>fg-process-steward-RequirementSatisfactions.RunWhenInvalidApproval</t>
  </si>
  <si>
    <t>fg-process-steward-RequirementSatisfactions.RequirementIsUnfalsified</t>
  </si>
  <si>
    <t>fg-process-steward-RequirementSatisfactions.IsClearanceByUnfalsifiedControl</t>
  </si>
  <si>
    <t>fg-process-steward-RequirementSatisfactions.UnfalsifiedClearanceStepKey</t>
  </si>
  <si>
    <t>fg-process-steward-RequirementSatisfactions.SpecStepOfExecution</t>
  </si>
  <si>
    <t>fg-process-steward-RequirementSatisfactions.BindingKey</t>
  </si>
  <si>
    <t>fg-process-steward-RequirementSatisfactions.ScoredStepExecutorAgent</t>
  </si>
  <si>
    <t>fg-process-steward-RequirementSatisfactions.EvaluatorIsStepExecutor</t>
  </si>
  <si>
    <t>fg-process-steward-RequirementSatisfactions.RunOwnerAgent</t>
  </si>
  <si>
    <t>fg-process-steward-RequirementSatisfactions.EvaluatorOwnsTheRun</t>
  </si>
  <si>
    <t>fg-process-steward-RequirementSatisfactions.IsInterestedPartyAssertion</t>
  </si>
  <si>
    <t>fg-process-steward-RequirementSatisfactions.HasWrittenEvidence</t>
  </si>
  <si>
    <t>fg-process-steward-RequirementSatisfactions.IsBareAssertion</t>
  </si>
  <si>
    <t>fg-process-steward-RequirementSatisfactions.InterestedAssertionExecutionKey</t>
  </si>
  <si>
    <t>fg-process-steward-RequirementSatisfactions.IsComputedlyWitnessed</t>
  </si>
  <si>
    <t>fg-process-steward-RequirementSatisfactions.ComputedWitnessExecutionKey</t>
  </si>
  <si>
    <t>fg-process-steward-RequirementSatisfactions.StepExecutorAgent</t>
  </si>
  <si>
    <t>fg-process-steward-RequirementSatisfactions.WasScoredAfterAttestation</t>
  </si>
  <si>
    <t>fg-process-steward-RequirementSatisfactions.AttestationInstantForRun</t>
  </si>
  <si>
    <t>fg-process-steward-RequirementSatisfactions.PostAttestationScoreExecutionKey</t>
  </si>
  <si>
    <t>fg-process-steward-RequirementSatisfactions.SemanticTypeIri</t>
  </si>
  <si>
    <t>fg-process-steward-Requirements.RequirementId</t>
  </si>
  <si>
    <t>fg-process-steward-Requirements.Name</t>
  </si>
  <si>
    <t>fg-process-steward-Requirements.Label</t>
  </si>
  <si>
    <t>fg-process-steward-Requirements.RequirementType</t>
  </si>
  <si>
    <t>fg-process-steward-Requirements.Statement</t>
  </si>
  <si>
    <t>fg-process-steward-Requirements.Rationale</t>
  </si>
  <si>
    <t>fg-process-steward-Requirements.IsBlocking</t>
  </si>
  <si>
    <t>fg-process-steward-Requirements.SatisfactionRecordCount</t>
  </si>
  <si>
    <t>fg-process-steward-Requirements.StepBindingCount</t>
  </si>
  <si>
    <t>fg-process-steward-Requirements.IsBoundToAnyStep</t>
  </si>
  <si>
    <t>fg-process-steward-Requirements.HasEverBeenEvaluated</t>
  </si>
  <si>
    <t>fg-process-steward-Requirements.NegativeOutcomeCount</t>
  </si>
  <si>
    <t>fg-process-steward-Requirements.IsInoperativeControl</t>
  </si>
  <si>
    <t>fg-process-steward-Requirements.IsDecorativeControl</t>
  </si>
  <si>
    <t>fg-process-steward-Requirements.HasComputedWitness</t>
  </si>
  <si>
    <t>fg-process-steward-Requirements.WitnessFieldName</t>
  </si>
  <si>
    <t>fg-process-steward-Requirements.HasEverProducedNegative</t>
  </si>
  <si>
    <t>fg-process-steward-Requirements.IsUnfalsifiedControl</t>
  </si>
  <si>
    <t>fg-process-steward-Requirements.ClaimsAWitnessField</t>
  </si>
  <si>
    <t>fg-process-steward-Requirements.NamedWitnessFieldExists</t>
  </si>
  <si>
    <t>fg-process-steward-Requirements.DerivedHasComputedWitness</t>
  </si>
  <si>
    <t>fg-process-steward-Requirements.WitnessClaimIsUnverified</t>
  </si>
  <si>
    <t>fg-process-steward-Requirements.IsUnwitnessedBlockingControl</t>
  </si>
  <si>
    <t>fg-process-steward-Requirements.WitnessFireCount</t>
  </si>
  <si>
    <t>fg-process-steward-Requirements.WitnessHasNeverFired</t>
  </si>
  <si>
    <t>fg-process-steward-Requirements.EvaluationSampleSize</t>
  </si>
  <si>
    <t>fg-process-steward-Requirements.HasMeaningfulSample</t>
  </si>
  <si>
    <t>fg-process-steward-Requirements.MinimumSampleForAssurance</t>
  </si>
  <si>
    <t>fg-process-steward-Requirements.IsUntestedWitness</t>
  </si>
  <si>
    <t>fg-process-steward-Requirements.IsEvidencedHoldingControl</t>
  </si>
  <si>
    <t>fg-process-steward-Requirements.ControlAssuranceState</t>
  </si>
  <si>
    <t>fg-process-steward-Requirements.UnexercisedBindingCount</t>
  </si>
  <si>
    <t>fg-process-steward-Requirements.WitnessIsPartiallyScoped</t>
  </si>
  <si>
    <t>fg-process-steward-Requirements.AccountableRole</t>
  </si>
  <si>
    <t>fg-process-steward-Requirements.AccountableAgent</t>
  </si>
  <si>
    <t>fg-process-steward-Requirements.HasNamedOwner</t>
  </si>
  <si>
    <t>fg-process-steward-Requirements.IsOrphanedBlockingControl</t>
  </si>
  <si>
    <t>fg-process-steward-Requirements.IsUnwatchedAndUnowned</t>
  </si>
  <si>
    <t>fg-process-steward-Requirements.AttestationExposureNote</t>
  </si>
  <si>
    <t>fg-process-steward-Requirements.UnwatchedUnownedFlag</t>
  </si>
  <si>
    <t>fg-process-steward-Requirements.SemanticTypeIri</t>
  </si>
  <si>
    <t>fg-process-steward-Resources.ResourceId</t>
  </si>
  <si>
    <t>fg-process-steward-Resources.Name</t>
  </si>
  <si>
    <t>fg-process-steward-Resources.Title</t>
  </si>
  <si>
    <t>fg-process-steward-Resources.ResourceKind</t>
  </si>
  <si>
    <t>fg-process-steward-Resources.ExternalUri</t>
  </si>
  <si>
    <t>fg-process-steward-Resources.CreatedAt</t>
  </si>
  <si>
    <t>fg-process-steward-Resources.ModifiedAt</t>
  </si>
  <si>
    <t>fg-process-steward-Resources.Description</t>
  </si>
  <si>
    <t>fg-process-steward-Resources.ApprovalStatus</t>
  </si>
  <si>
    <t>fg-process-steward-Resources.IsApprovedSource</t>
  </si>
  <si>
    <t>fg-process-steward-Resources.SemanticTypeIri</t>
  </si>
  <si>
    <t>fg-process-steward-ReviewEvents.ReviewEventId</t>
  </si>
  <si>
    <t>fg-process-steward-ReviewEvents.Name</t>
  </si>
  <si>
    <t>fg-process-steward-ReviewEvents.ProcedureVersion</t>
  </si>
  <si>
    <t>fg-process-steward-ReviewEvents.ReviewKind</t>
  </si>
  <si>
    <t>fg-process-steward-ReviewEvents.ReviewedAt</t>
  </si>
  <si>
    <t>fg-process-steward-ReviewEvents.ReviewedByAgent</t>
  </si>
  <si>
    <t>fg-process-steward-ReviewEvents.Outcome</t>
  </si>
  <si>
    <t>fg-process-steward-ReviewEvents.RelatedChangeRequest</t>
  </si>
  <si>
    <t>fg-process-steward-ReviewEvents.NextReviewDue</t>
  </si>
  <si>
    <t>fg-process-steward-ReviewEvents.EvaluationContext</t>
  </si>
  <si>
    <t>fg-process-steward-ReviewEvents.AsOfInstant</t>
  </si>
  <si>
    <t>fg-process-steward-ReviewEvents.IsOverdue</t>
  </si>
  <si>
    <t>fg-process-steward-ReviewEvents.OverdueVersionKey</t>
  </si>
  <si>
    <t>fg-process-steward-ReviewEvents.PromisedCadenceDays</t>
  </si>
  <si>
    <t>fg-process-steward-ReviewEvents.DaysSinceReviewed</t>
  </si>
  <si>
    <t>fg-process-steward-ReviewEvents.ExceedsPromisedCadence</t>
  </si>
  <si>
    <t>fg-process-steward-ReviewEvents.CadenceDriftDays</t>
  </si>
  <si>
    <t>fg-process-steward-ReviewEvents.PromiseAndBehaviorDisagree</t>
  </si>
  <si>
    <t>fg-process-steward-ReviewEvents.CadenceBreachVersionKey</t>
  </si>
  <si>
    <t>fg-process-steward-ReviewEvents.SemanticTypeIri</t>
  </si>
  <si>
    <t>fg-process-steward-RoleAssignments.RoleAssignmentId</t>
  </si>
  <si>
    <t>fg-process-steward-RoleAssignments.Name</t>
  </si>
  <si>
    <t>fg-process-steward-RoleAssignments.Role</t>
  </si>
  <si>
    <t>fg-process-steward-RoleAssignments.Agent</t>
  </si>
  <si>
    <t>fg-process-steward-RoleAssignments.ValidFrom</t>
  </si>
  <si>
    <t>fg-process-steward-RoleAssignments.ValidTo</t>
  </si>
  <si>
    <t>fg-process-steward-RoleAssignments.Reason</t>
  </si>
  <si>
    <t>fg-process-steward-RoleAssignments.Status</t>
  </si>
  <si>
    <t>fg-process-steward-RoleAssignments.EvaluationContext</t>
  </si>
  <si>
    <t>fg-process-steward-RoleAssignments.AsOfInstant</t>
  </si>
  <si>
    <t>fg-process-steward-RoleAssignments.IsCurrent</t>
  </si>
  <si>
    <t>fg-process-steward-RoleAssignments.CurrentAgentKey</t>
  </si>
  <si>
    <t>fg-process-steward-RoleAssignments.IsCurrentlyValid</t>
  </si>
  <si>
    <t>fg-process-steward-RoleAssignments.AgentRoleKey</t>
  </si>
  <si>
    <t>fg-process-steward-RoleAssignments.HasDeparted</t>
  </si>
  <si>
    <t>fg-process-steward-RoleAssignments.CoversNow</t>
  </si>
  <si>
    <t>fg-process-steward-RoleAssignments.RoleWhenCovering</t>
  </si>
  <si>
    <t>fg-process-steward-RoleAssignments.AgentKind</t>
  </si>
  <si>
    <t>fg-process-steward-RoleAssignments.IsNonHumanAssignment</t>
  </si>
  <si>
    <t>fg-process-steward-RoleAssignments.SupersedesAssignment</t>
  </si>
  <si>
    <t>fg-process-steward-RoleAssignments.PredecessorAgentKind</t>
  </si>
  <si>
    <t>fg-process-steward-RoleAssignments.IsHumanToNonHumanHandover</t>
  </si>
  <si>
    <t>fg-process-steward-RoleAssignments.ApprovingAuthorityRole</t>
  </si>
  <si>
    <t>fg-process-steward-RoleAssignments.AuthorizingChangeRequest</t>
  </si>
  <si>
    <t>fg-process-steward-RoleAssignments.IsUnauthorizedNonHumanAssignment</t>
  </si>
  <si>
    <t>fg-process-steward-RoleAssignments.WasAuthorizedByChangeRequest</t>
  </si>
  <si>
    <t>fg-process-steward-RoleAssignments.DecisionCount</t>
  </si>
  <si>
    <t>fg-process-steward-RoleAssignments.OverriddenDecisionCount</t>
  </si>
  <si>
    <t>fg-process-steward-RoleAssignments.OverrideRatePercent</t>
  </si>
  <si>
    <t>fg-process-steward-RoleAssignments.PredecessorOverrideRatePercent</t>
  </si>
  <si>
    <t>fg-process-steward-RoleAssignments.QualityRegressedVsPredecessor</t>
  </si>
  <si>
    <t>fg-process-steward-RoleAssignments.DepartedRoleKey</t>
  </si>
  <si>
    <t>fg-process-steward-RoleAssignments.MinimumDecisionsForComparison</t>
  </si>
  <si>
    <t>fg-process-steward-RoleAssignments.PredecessorDecisionCount</t>
  </si>
  <si>
    <t>fg-process-steward-RoleAssignments.HasSufficientSample</t>
  </si>
  <si>
    <t>fg-process-steward-RoleAssignments.PredecessorHasSufficientSample</t>
  </si>
  <si>
    <t>fg-process-steward-RoleAssignments.ComparisonIsEvidentiallySound</t>
  </si>
  <si>
    <t>fg-process-steward-RoleAssignments.SingleOverrideSwingPercent</t>
  </si>
  <si>
    <t>fg-process-steward-RoleAssignments.QualityVerdictIsUnsupported</t>
  </si>
  <si>
    <t>fg-process-steward-RoleAssignments.IsUnmeasuredAutomationHandover</t>
  </si>
  <si>
    <t>fg-process-steward-RoleAssignments.ErrorCorrectionCount</t>
  </si>
  <si>
    <t>fg-process-steward-RoleAssignments.ErrorRatePercent</t>
  </si>
  <si>
    <t>fg-process-steward-RoleAssignments.AuthorizationDecidedAt</t>
  </si>
  <si>
    <t>fg-process-steward-RoleAssignments.AuthorizationReviewedAt</t>
  </si>
  <si>
    <t>fg-process-steward-RoleAssignments.AuthorizationReviewCadenceDays</t>
  </si>
  <si>
    <t>fg-process-steward-RoleAssignments.HasDatedAuthorization</t>
  </si>
  <si>
    <t>fg-process-steward-RoleAssignments.DaysSinceAuthorizationReview</t>
  </si>
  <si>
    <t>fg-process-steward-RoleAssignments.AuthorizationIsOverdueForReview</t>
  </si>
  <si>
    <t>fg-process-steward-RoleAssignments.IsStandingUnreviewedAutomation</t>
  </si>
  <si>
    <t>fg-process-steward-RoleAssignments.IsUnconditionedAutomationHandover</t>
  </si>
  <si>
    <t>fg-process-steward-RoleAssignments.MaxTolerableErrorRatePercent</t>
  </si>
  <si>
    <t>fg-process-steward-RoleAssignments.ExceedsTolerableErrorRate</t>
  </si>
  <si>
    <t>fg-process-steward-RoleAssignments.BoundaryViolationCountForAssignment</t>
  </si>
  <si>
    <t>fg-process-steward-RoleAssignments.HasAnyBoundaryViolation</t>
  </si>
  <si>
    <t>fg-process-steward-RoleAssignments.HasUngroundedGoverningBoundary</t>
  </si>
  <si>
    <t>fg-process-steward-RoleAssignments.SuspensionConditionMet</t>
  </si>
  <si>
    <t>fg-process-steward-RoleAssignments.IsOperatingUnderMetSuspensionCondition</t>
  </si>
  <si>
    <t>fg-process-steward-RoleAssignments.HasDeclaredSuspensionCondition</t>
  </si>
  <si>
    <t>fg-process-steward-RoleAssignments.HasApprovingAuthority</t>
  </si>
  <si>
    <t>fg-process-steward-RoleAssignments.HasAuthorizingChangeRequest</t>
  </si>
  <si>
    <t>fg-process-steward-RoleAssignments.IsEnforcementRole</t>
  </si>
  <si>
    <t>fg-process-steward-RoleAssignments.IsUnauthorizedEnforcementAgent</t>
  </si>
  <si>
    <t>fg-process-steward-RoleAssignments.GovernanceEvidenceCount</t>
  </si>
  <si>
    <t>fg-process-steward-RoleAssignments.UnauthorizedEnforcementRoleKey</t>
  </si>
  <si>
    <t>fg-process-steward-RoleAssignments.SemanticTypeIri</t>
  </si>
  <si>
    <t>fg-process-steward-RoleQuestions.RoleQuestionId</t>
  </si>
  <si>
    <t>fg-process-steward-RoleQuestions.Name</t>
  </si>
  <si>
    <t>fg-process-steward-RoleQuestions.AskingRole</t>
  </si>
  <si>
    <t>fg-process-steward-RoleQuestions.WitnessLoop</t>
  </si>
  <si>
    <t>fg-process-steward-RoleQuestions.QuestionText</t>
  </si>
  <si>
    <t>fg-process-steward-RoleQuestions.WhyItMatters</t>
  </si>
  <si>
    <t>fg-process-steward-RoleQuestions.AnswerableBefore</t>
  </si>
  <si>
    <t>fg-process-steward-RoleQuestions.PredicateCount</t>
  </si>
  <si>
    <t>fg-process-steward-RoleQuestions.IsAnswered</t>
  </si>
  <si>
    <t>fg-process-steward-RoleQuestions.WitnessedAnswer</t>
  </si>
  <si>
    <t>fg-process-steward-RoleQuestions.SemanticTypeIri</t>
  </si>
  <si>
    <t>fg-process-steward-Roles.RoleId</t>
  </si>
  <si>
    <t>fg-process-steward-Roles.Name</t>
  </si>
  <si>
    <t>fg-process-steward-Roles.Label</t>
  </si>
  <si>
    <t>fg-process-steward-Roles.Organization</t>
  </si>
  <si>
    <t>fg-process-steward-Roles.CurrentAgent</t>
  </si>
  <si>
    <t>fg-process-steward-Roles.CurrentAgentKind</t>
  </si>
  <si>
    <t>fg-process-steward-Roles.Responsibility</t>
  </si>
  <si>
    <t>fg-process-steward-Roles.ActiveAssignmentCount</t>
  </si>
  <si>
    <t>fg-process-steward-Roles.CurrentlyCoveredAssignmentCount</t>
  </si>
  <si>
    <t>fg-process-steward-Roles.HasNoCurrentHolder</t>
  </si>
  <si>
    <t>fg-process-steward-Roles.CountOfAwaitedDecisions</t>
  </si>
  <si>
    <t>fg-process-steward-Roles.CurrentAssignment</t>
  </si>
  <si>
    <t>fg-process-steward-Roles.CurrentAssignmentValidFrom</t>
  </si>
  <si>
    <t>fg-process-steward-Roles.IsNonHumanHeld</t>
  </si>
  <si>
    <t>fg-process-steward-Roles.IsUngovernedNonHumanRole</t>
  </si>
  <si>
    <t>fg-process-steward-Roles.DepartedAssignmentCount</t>
  </si>
  <si>
    <t>fg-process-steward-Roles.HasLostAHolder</t>
  </si>
  <si>
    <t>fg-process-steward-Roles.IsVacatedRole</t>
  </si>
  <si>
    <t>fg-process-steward-Roles.UngroundedBoundaryCount</t>
  </si>
  <si>
    <t>fg-process-steward-Roles.IsGovernedByLapsedAuthority</t>
  </si>
  <si>
    <t>fg-process-steward-Roles.UnescalatedRefusalCount</t>
  </si>
  <si>
    <t>fg-process-steward-Roles.UnauthorizedEnforcementAssignmentCount</t>
  </si>
  <si>
    <t>fg-process-steward-Roles.IsUngovernedEnforcementRole</t>
  </si>
  <si>
    <t>fg-process-steward-Roles.SemanticTypeIri</t>
  </si>
  <si>
    <t>fg-process-steward-RulebookFields.RulebookFieldId</t>
  </si>
  <si>
    <t>fg-process-steward-RulebookFields.Name</t>
  </si>
  <si>
    <t>fg-process-steward-RulebookFields.TargetTable</t>
  </si>
  <si>
    <t>fg-process-steward-RulebookFields.FieldName</t>
  </si>
  <si>
    <t>fg-process-steward-RulebookFields.FieldType</t>
  </si>
  <si>
    <t>fg-process-steward-RulebookFields.Datatype</t>
  </si>
  <si>
    <t>fg-process-steward-RulebookFields.Formula</t>
  </si>
  <si>
    <t>fg-process-steward-RulebookFields.InventedForQuestion</t>
  </si>
  <si>
    <t>fg-process-steward-RulebookFields.IsDerived</t>
  </si>
  <si>
    <t>fg-process-steward-RulebookFields.IsWitness</t>
  </si>
  <si>
    <t>fg-process-steward-RulebookFields.SemanticTypeIri</t>
  </si>
  <si>
    <t>fg-process-steward-RulebookReleases.RulebookReleaseId</t>
  </si>
  <si>
    <t>fg-process-steward-RulebookReleases.Name</t>
  </si>
  <si>
    <t>fg-process-steward-RulebookReleases.RulebookVersion</t>
  </si>
  <si>
    <t>fg-process-steward-RulebookReleases.ProfileVersion</t>
  </si>
  <si>
    <t>fg-process-steward-RulebookReleases.ProfileSchemaPath</t>
  </si>
  <si>
    <t>fg-process-steward-RulebookReleases.PkoCoreVersionIri</t>
  </si>
  <si>
    <t>fg-process-steward-RulebookReleases.PkoIndustryVersionIri</t>
  </si>
  <si>
    <t>fg-process-steward-RulebookReleases.IssuedAt</t>
  </si>
  <si>
    <t>fg-process-steward-RulebookReleases.Status</t>
  </si>
  <si>
    <t>fg-process-steward-RulebookReleases.Changelog</t>
  </si>
  <si>
    <t>fg-process-steward-RulebookReleases.IsCurrent</t>
  </si>
  <si>
    <t>fg-process-steward-SemanticMappings.SemanticMappingId</t>
  </si>
  <si>
    <t>fg-process-steward-SemanticMappings.Name</t>
  </si>
  <si>
    <t>fg-process-steward-SemanticMappings.SourcePath</t>
  </si>
  <si>
    <t>fg-process-steward-SemanticMappings.MappingKind</t>
  </si>
  <si>
    <t>fg-process-steward-SemanticMappings.TargetIri</t>
  </si>
  <si>
    <t>fg-process-steward-SemanticMappings.MappingRelation</t>
  </si>
  <si>
    <t>fg-process-steward-SemanticMappings.OntologyProfile</t>
  </si>
  <si>
    <t>fg-process-steward-SemanticMappings.Notes</t>
  </si>
  <si>
    <t>fg-process-steward-SendIntents.SendIntentId</t>
  </si>
  <si>
    <t>fg-process-steward-SendIntents.Name</t>
  </si>
  <si>
    <t>fg-process-steward-SendIntents.ProcedureExecution</t>
  </si>
  <si>
    <t>fg-process-steward-SendIntents.StepExecution</t>
  </si>
  <si>
    <t>fg-process-steward-SendIntents.Recipient</t>
  </si>
  <si>
    <t>fg-process-steward-SendIntents.MessageTemplate</t>
  </si>
  <si>
    <t>fg-process-steward-SendIntents.ProposedBody</t>
  </si>
  <si>
    <t>fg-process-steward-SendIntents.ProposedSendAtLocalHour</t>
  </si>
  <si>
    <t>fg-process-steward-SendIntents.EvaluatedAt</t>
  </si>
  <si>
    <t>fg-process-steward-SendIntents.ResultingDelivery</t>
  </si>
  <si>
    <t>fg-process-steward-SendIntents.IntentPolicy</t>
  </si>
  <si>
    <t>fg-process-steward-SendIntents.IntentChannel</t>
  </si>
  <si>
    <t>fg-process-steward-SendIntents.PolicyIsActive</t>
  </si>
  <si>
    <t>fg-process-steward-SendIntents.IntentRequiresConsent</t>
  </si>
  <si>
    <t>fg-process-steward-SendIntents.RecipientHasChannelConsent</t>
  </si>
  <si>
    <t>fg-process-steward-SendIntents.ConsentGatePassed</t>
  </si>
  <si>
    <t>fg-process-steward-SendIntents.RecipientIsSmsReachable</t>
  </si>
  <si>
    <t>fg-process-steward-SendIntents.RecipientIsEmailReachable</t>
  </si>
  <si>
    <t>fg-process-steward-SendIntents.ReachabilityGatePassed</t>
  </si>
  <si>
    <t>fg-process-steward-SendIntents.PermissionGatePassed</t>
  </si>
  <si>
    <t>fg-process-steward-SendIntents.IntentQuietStartHour</t>
  </si>
  <si>
    <t>fg-process-steward-SendIntents.IntentQuietEndHour</t>
  </si>
  <si>
    <t>fg-process-steward-SendIntents.IntentPolicyHasQuietHours</t>
  </si>
  <si>
    <t>fg-process-steward-SendIntents.IntentQuietWindowWraps</t>
  </si>
  <si>
    <t>fg-process-steward-SendIntents.IntentIsInsideQuietWindow</t>
  </si>
  <si>
    <t>fg-process-steward-SendIntents.TimingGatePassed</t>
  </si>
  <si>
    <t>fg-process-steward-SendIntents.HoursUntilWindowOpens</t>
  </si>
  <si>
    <t>fg-process-steward-SendIntents.IntentMaxMessageLength</t>
  </si>
  <si>
    <t>fg-process-steward-SendIntents.IntentMaxSegments</t>
  </si>
  <si>
    <t>fg-process-steward-SendIntents.ProposedBodyLength</t>
  </si>
  <si>
    <t>fg-process-steward-SendIntents.ProposedSegmentCount</t>
  </si>
  <si>
    <t>fg-process-steward-SendIntents.LengthGatePassed</t>
  </si>
  <si>
    <t>fg-process-steward-SendIntents.IntentRequiredOptOutPhrase</t>
  </si>
  <si>
    <t>fg-process-steward-SendIntents.ProposedOptOutPosition</t>
  </si>
  <si>
    <t>fg-process-steward-SendIntents.OptOutGatePassed</t>
  </si>
  <si>
    <t>fg-process-steward-SendIntents.ContentGatePassed</t>
  </si>
  <si>
    <t>fg-process-steward-SendIntents.TemplateIsSendable</t>
  </si>
  <si>
    <t>fg-process-steward-SendIntents.ExecutionHasLegalClearance</t>
  </si>
  <si>
    <t>fg-process-steward-SendIntents.IntentApprovalRole</t>
  </si>
  <si>
    <t>fg-process-steward-SendIntents.ApprovalRoleAgentKind</t>
  </si>
  <si>
    <t>fg-process-steward-SendIntents.ApprovalIsHuman</t>
  </si>
  <si>
    <t>fg-process-steward-SendIntents.AuthorizationGatePassed</t>
  </si>
  <si>
    <t>fg-process-steward-SendIntents.IsClearedToSend</t>
  </si>
  <si>
    <t>fg-process-steward-SendIntents.BlockingGateName</t>
  </si>
  <si>
    <t>fg-process-steward-SendIntents.HasResultingDelivery</t>
  </si>
  <si>
    <t>fg-process-steward-SendIntents.ResultingDeliveryWasTransmitted</t>
  </si>
  <si>
    <t>fg-process-steward-SendIntents.IsOverriddenRefusal</t>
  </si>
  <si>
    <t>fg-process-steward-SendIntents.IsSilentlyDropped</t>
  </si>
  <si>
    <t>fg-process-steward-SendIntents.ResultingDeliveryException</t>
  </si>
  <si>
    <t>fg-process-steward-SendIntents.RefusalCitedAnException</t>
  </si>
  <si>
    <t>fg-process-steward-SendIntents.IsProperlyHandledRefusal</t>
  </si>
  <si>
    <t>fg-process-steward-SendIntents.RefusalFailureExecutionKey</t>
  </si>
  <si>
    <t>fg-process-steward-SendIntents.IntentExecutionKey</t>
  </si>
  <si>
    <t>fg-process-steward-SendIntents.DeliveredIntentExecutionKey</t>
  </si>
  <si>
    <t>fg-process-steward-SendIntents.DroppedIntentExecutionKey</t>
  </si>
  <si>
    <t>fg-process-steward-SendIntents.MyApprovalWasInForce</t>
  </si>
  <si>
    <t>fg-process-steward-SendIntents.RefusedOnApprovedContent</t>
  </si>
  <si>
    <t>fg-process-steward-SendIntents.RefusedOnOptOutOnly</t>
  </si>
  <si>
    <t>fg-process-steward-SendIntents.RefusalWasOnMyRules</t>
  </si>
  <si>
    <t>fg-process-steward-SendIntents.RefusalWasOutsideMyControl</t>
  </si>
  <si>
    <t>fg-process-steward-SendIntents.ApproverWasNotified</t>
  </si>
  <si>
    <t>fg-process-steward-SendIntents.IsUnreportedRefusalOnMyRules</t>
  </si>
  <si>
    <t>fg-process-steward-SendIntents.IsApprovalOverriddenSilently</t>
  </si>
  <si>
    <t>fg-process-steward-SendIntents.AlternateChannelIntent</t>
  </si>
  <si>
    <t>fg-process-steward-SendIntents.HasAlternateChannelAttempt</t>
  </si>
  <si>
    <t>fg-process-steward-SendIntents.AlternateAttemptWasCleared</t>
  </si>
  <si>
    <t>fg-process-steward-SendIntents.IsRefusedWithNoAlternative</t>
  </si>
  <si>
    <t>fg-process-steward-SendIntents.ExceptionPrescribedAnAlternative</t>
  </si>
  <si>
    <t>fg-process-steward-SendIntents.PrescribedHandlingWasPerformed</t>
  </si>
  <si>
    <t>fg-process-steward-SendIntents.IsSuppressionWithoutRemedy</t>
  </si>
  <si>
    <t>fg-process-steward-SendIntents.RefusalRecordedAt</t>
  </si>
  <si>
    <t>fg-process-steward-SendIntents.RefusalNotifiedRole</t>
  </si>
  <si>
    <t>fg-process-steward-SendIntents.HasDurableRefusalRecord</t>
  </si>
  <si>
    <t>fg-process-steward-SendIntents.RefusalWasEscalated</t>
  </si>
  <si>
    <t>fg-process-steward-SendIntents.IsUnrecordedRefusal</t>
  </si>
  <si>
    <t>fg-process-steward-SendIntents.IsUnescalatedRefusal</t>
  </si>
  <si>
    <t>fg-process-steward-SendIntents.UnescalatedRefusalRoleKey</t>
  </si>
  <si>
    <t>fg-process-steward-SendIntents.UnrecordedRefusalExecutionKey</t>
  </si>
  <si>
    <t>fg-process-steward-SendIntents.RetryIntent</t>
  </si>
  <si>
    <t>fg-process-steward-SendIntents.WasDeferredOnTiming</t>
  </si>
  <si>
    <t>fg-process-steward-SendIntents.EvaluationContext</t>
  </si>
  <si>
    <t>fg-process-steward-SendIntents.AsOfInstant</t>
  </si>
  <si>
    <t>fg-process-steward-SendIntents.WindowHasSinceReopened</t>
  </si>
  <si>
    <t>fg-process-steward-SendIntents.HasRetryAttempt</t>
  </si>
  <si>
    <t>fg-process-steward-SendIntents.RetryWasCleared</t>
  </si>
  <si>
    <t>fg-process-steward-SendIntents.IsAbandonedDeferral</t>
  </si>
  <si>
    <t>fg-process-steward-SendIntents.DeferralAgeHours</t>
  </si>
  <si>
    <t>fg-process-steward-SendIntents.IsStaleDeferral</t>
  </si>
  <si>
    <t>fg-process-steward-SendIntents.EvaluatingRoleAssignment</t>
  </si>
  <si>
    <t>fg-process-steward-SendIntents.EnforcedByUnauthorizedAgent</t>
  </si>
  <si>
    <t>fg-process-steward-SendIntents.ConsentInputWasResolvable</t>
  </si>
  <si>
    <t>fg-process-steward-SendIntents.RecipientConsentStatusRaw</t>
  </si>
  <si>
    <t>fg-process-steward-SendIntents.PolicyInputWasResolvable</t>
  </si>
  <si>
    <t>fg-process-steward-SendIntents.AllGateInputsResolved</t>
  </si>
  <si>
    <t>fg-process-steward-SendIntents.IsUnevaluableRefusal</t>
  </si>
  <si>
    <t>fg-process-steward-SendIntents.GateResultWasIndependentlyConfirmed</t>
  </si>
  <si>
    <t>fg-process-steward-SendIntents.IsSelfWitnessedDecision</t>
  </si>
  <si>
    <t>fg-process-steward-SendIntents.IsIndependentlyConfirmed</t>
  </si>
  <si>
    <t>fg-process-steward-SendIntents.IndependentlyConfirmedExecutionKey</t>
  </si>
  <si>
    <t>fg-process-steward-SendIntents.SemanticTypeIri</t>
  </si>
  <si>
    <t>fg-process-steward-StepActions.StepActionId</t>
  </si>
  <si>
    <t>fg-process-steward-StepActions.Name</t>
  </si>
  <si>
    <t>fg-process-steward-StepActions.Step</t>
  </si>
  <si>
    <t>fg-process-steward-StepActions.Action</t>
  </si>
  <si>
    <t>fg-process-steward-StepExecutions.StepExecutionId</t>
  </si>
  <si>
    <t>fg-process-steward-StepExecutions.Name</t>
  </si>
  <si>
    <t>fg-process-steward-StepExecutions.ProcedureExecution</t>
  </si>
  <si>
    <t>fg-process-steward-StepExecutions.Step</t>
  </si>
  <si>
    <t>fg-process-steward-StepExecutions.ExecutedByAgent</t>
  </si>
  <si>
    <t>fg-process-steward-StepExecutions.ExecutionStatus</t>
  </si>
  <si>
    <t>fg-process-steward-StepExecutions.StartedAt</t>
  </si>
  <si>
    <t>fg-process-steward-StepExecutions.EndedAt</t>
  </si>
  <si>
    <t>fg-process-steward-StepExecutions.VerificationResult</t>
  </si>
  <si>
    <t>fg-process-steward-StepExecutions.Deviation</t>
  </si>
  <si>
    <t>fg-process-steward-StepExecutions.ActualDurationMinutes</t>
  </si>
  <si>
    <t>fg-process-steward-StepExecutions.ExpectedDurationMinutes</t>
  </si>
  <si>
    <t>fg-process-steward-StepExecutions.IsLate</t>
  </si>
  <si>
    <t>fg-process-steward-StepExecutions.BlockingUnmetCount</t>
  </si>
  <si>
    <t>fg-process-steward-StepExecutions.BlockingUnmetCountSafe</t>
  </si>
  <si>
    <t>fg-process-steward-StepExecutions.ProceededPastBlockingControl</t>
  </si>
  <si>
    <t>fg-process-steward-StepExecutions.ExpectedBlockingCount</t>
  </si>
  <si>
    <t>fg-process-steward-StepExecutions.EvaluatedBlockingCount</t>
  </si>
  <si>
    <t>fg-process-steward-StepExecutions.UnevaluatedBlockingCount</t>
  </si>
  <si>
    <t>fg-process-steward-StepExecutions.HasUnevaluatedBlockingControl</t>
  </si>
  <si>
    <t>fg-process-steward-StepExecutions.StaleAuthoritativeSourceCount</t>
  </si>
  <si>
    <t>fg-process-steward-StepExecutions.RanOnStaleAuthoritativeSource</t>
  </si>
  <si>
    <t>fg-process-steward-StepExecutions.HasDeviationNote</t>
  </si>
  <si>
    <t>fg-process-steward-StepExecutions.IsLateAndUnexplained</t>
  </si>
  <si>
    <t>fg-process-steward-StepExecutions.AvailableExceptionCountForStep</t>
  </si>
  <si>
    <t>fg-process-steward-StepExecutions.HadUninvokedExceptionAvailable</t>
  </si>
  <si>
    <t>fg-process-steward-StepExecutions.ExpectedVerificationCount</t>
  </si>
  <si>
    <t>fg-process-steward-StepExecutions.PerformedVerificationCount</t>
  </si>
  <si>
    <t>fg-process-steward-StepExecutions.SkippedVerificationCount</t>
  </si>
  <si>
    <t>fg-process-steward-StepExecutions.HasSkippedVerification</t>
  </si>
  <si>
    <t>fg-process-steward-StepExecutions.ClaimsPassWithoutEvidence</t>
  </si>
  <si>
    <t>fg-process-steward-StepExecutions.StepIsPreparation</t>
  </si>
  <si>
    <t>fg-process-steward-StepExecutions.StepIsApproval</t>
  </si>
  <si>
    <t>fg-process-steward-StepExecutions.PreparerAgentKey</t>
  </si>
  <si>
    <t>fg-process-steward-StepExecutions.ApproverAgentKey</t>
  </si>
  <si>
    <t>fg-process-steward-StepExecutions.PreparedByThisAgentCount</t>
  </si>
  <si>
    <t>fg-process-steward-StepExecutions.ViolatesSeparationOfDuties</t>
  </si>
  <si>
    <t>fg-process-steward-StepExecutions.RequiredRoleForStep</t>
  </si>
  <si>
    <t>fg-process-steward-StepExecutions.ExecutorRoleKey</t>
  </si>
  <si>
    <t>fg-process-steward-StepExecutions.ExecutorAuthorityCount</t>
  </si>
  <si>
    <t>fg-process-steward-StepExecutions.ExecutorHeldRequiredRole</t>
  </si>
  <si>
    <t>fg-process-steward-StepExecutions.IsUnauthorizedApproval</t>
  </si>
  <si>
    <t>fg-process-steward-StepExecutions.CompletedExecutionKey</t>
  </si>
  <si>
    <t>fg-process-steward-StepExecutions.ControlBreachExecutionKey</t>
  </si>
  <si>
    <t>fg-process-steward-StepExecutions.LateExecutionKey</t>
  </si>
  <si>
    <t>fg-process-steward-StepExecutions.ExecutorAgentKind</t>
  </si>
  <si>
    <t>fg-process-steward-StepExecutions.ExecutorIsHuman</t>
  </si>
  <si>
    <t>fg-process-steward-StepExecutions.StepRequiresHumanConfirmation</t>
  </si>
  <si>
    <t>fg-process-steward-StepExecutions.NonHumanRanHumanStep</t>
  </si>
  <si>
    <t>fg-process-steward-StepExecutions.NonHumanApproval</t>
  </si>
  <si>
    <t>fg-process-steward-StepExecutions.UnevaluatedBlockingExecutionKey</t>
  </si>
  <si>
    <t>fg-process-steward-StepExecutions.SeparationViolationExecutionKey</t>
  </si>
  <si>
    <t>fg-process-steward-StepExecutions.SelfWitnessedVerificationCount</t>
  </si>
  <si>
    <t>fg-process-steward-StepExecutions.UnbackedVerificationCount</t>
  </si>
  <si>
    <t>fg-process-steward-StepExecutions.ApprovalRestsOnSelfAttestation</t>
  </si>
  <si>
    <t>fg-process-steward-StepExecutions.ExceptionInvocationCount</t>
  </si>
  <si>
    <t>fg-process-steward-StepExecutions.RanUnderException</t>
  </si>
  <si>
    <t>fg-process-steward-StepExecutions.IsCompleted</t>
  </si>
  <si>
    <t>fg-process-steward-StepExecutions.IsVerificationPassed</t>
  </si>
  <si>
    <t>fg-process-steward-StepExecutions.IsLegalReviewStep</t>
  </si>
  <si>
    <t>fg-process-steward-StepExecutions.ClearedLegalReviewKey</t>
  </si>
  <si>
    <t>fg-process-steward-StepExecutions.AssignedRole</t>
  </si>
  <si>
    <t>fg-process-steward-StepExecutions.RoleCurrentAgent</t>
  </si>
  <si>
    <t>fg-process-steward-StepExecutions.ExecutorIsDesignatedAgent</t>
  </si>
  <si>
    <t>fg-process-steward-StepExecutions.InputsWereFreshAtRun</t>
  </si>
  <si>
    <t>fg-process-steward-StepExecutions.RanOnStaleInputs</t>
  </si>
  <si>
    <t>fg-process-steward-StepExecutions.UnresolvedIssueCount</t>
  </si>
  <si>
    <t>fg-process-steward-StepExecutions.HasDeviation</t>
  </si>
  <si>
    <t>fg-process-steward-StepExecutions.IsClean</t>
  </si>
  <si>
    <t>fg-process-steward-StepExecutions.ProcedureExecutionWhenUnclean</t>
  </si>
  <si>
    <t>fg-process-steward-StepExecutions.EvaluatedRequirementCount</t>
  </si>
  <si>
    <t>fg-process-steward-StepExecutions.RequiredBlockingCount</t>
  </si>
  <si>
    <t>fg-process-steward-StepExecutions.HasUnevaluatedBlockingRequirement</t>
  </si>
  <si>
    <t>fg-process-steward-StepExecutions.ExecutingAgentKind</t>
  </si>
  <si>
    <t>fg-process-steward-StepExecutions.WasExecutedBySoftware</t>
  </si>
  <si>
    <t>fg-process-steward-StepExecutions.StepIsSoftwareAssigned</t>
  </si>
  <si>
    <t>fg-process-steward-StepExecutions.SoftwareDidHumanWork</t>
  </si>
  <si>
    <t>fg-process-steward-StepExecutions.IsApprovalExecution</t>
  </si>
  <si>
    <t>fg-process-steward-StepExecutions.IsVerified</t>
  </si>
  <si>
    <t>fg-process-steward-StepExecutions.UnconfirmedNonHumanDecisionCount</t>
  </si>
  <si>
    <t>fg-process-steward-StepExecutions.RequiresHumanConfirmation</t>
  </si>
  <si>
    <t>fg-process-steward-StepExecutions.HumanConfirmationMissing</t>
  </si>
  <si>
    <t>fg-process-steward-StepExecutions.DraftedFromUnusableSource</t>
  </si>
  <si>
    <t>fg-process-steward-StepExecutions.InputsWereUsable</t>
  </si>
  <si>
    <t>fg-process-steward-StepExecutions.SoftwareExecutionStepKey</t>
  </si>
  <si>
    <t>fg-process-steward-StepExecutions.StepControlKind</t>
  </si>
  <si>
    <t>fg-process-steward-StepExecutions.UnfalsifiedClearanceCount</t>
  </si>
  <si>
    <t>fg-process-steward-StepExecutions.AllClearancesAreUnfalsified</t>
  </si>
  <si>
    <t>fg-process-steward-StepExecutions.StaleAtRunCount</t>
  </si>
  <si>
    <t>fg-process-steward-StepExecutions.WasStaleWhenIRanIt</t>
  </si>
  <si>
    <t>fg-process-steward-StepExecutions.StalenessAnswerIsTenseDependent</t>
  </si>
  <si>
    <t>fg-process-steward-StepExecutions.HasAnyDeclaredCheck</t>
  </si>
  <si>
    <t>fg-process-steward-StepExecutions.PerformedCheckCount</t>
  </si>
  <si>
    <t>fg-process-steward-StepExecutions.DeclaredCheckCount</t>
  </si>
  <si>
    <t>fg-process-steward-StepExecutions.IsUncheckedByDesign</t>
  </si>
  <si>
    <t>fg-process-steward-StepExecutions.IsVacuouslyClean</t>
  </si>
  <si>
    <t>fg-process-steward-StepExecutions.IsSubstantivelyClean</t>
  </si>
  <si>
    <t>fg-process-steward-StepExecutions.VacuouslyCleanExecutionKey</t>
  </si>
  <si>
    <t>fg-process-steward-StepExecutions.UncorroboratedPassCount</t>
  </si>
  <si>
    <t>fg-process-steward-StepExecutions.EvidencePositionIsWeak</t>
  </si>
  <si>
    <t>fg-process-steward-StepExecutions.PreparationExecutionKey</t>
  </si>
  <si>
    <t>fg-process-steward-StepExecutions.ApprovalExecutionKey</t>
  </si>
  <si>
    <t>fg-process-steward-StepExecutions.HasGoverningInstrument</t>
  </si>
  <si>
    <t>fg-process-steward-StepExecutions.HasApprovedChangeCoverage</t>
  </si>
  <si>
    <t>fg-process-steward-StepExecutions.VersionOfStep</t>
  </si>
  <si>
    <t>fg-process-steward-StepExecutions.IsUngovernedDivergence</t>
  </si>
  <si>
    <t>fg-process-steward-StepExecutions.UngovernedDivergenceExecutionKey</t>
  </si>
  <si>
    <t>fg-process-steward-StepExecutions.SelfAttestedApprovalExecutionKey</t>
  </si>
  <si>
    <t>fg-process-steward-StepExecutions.SemanticTypeIri</t>
  </si>
  <si>
    <t>fg-process-steward-StepFunctions.StepFunctionId</t>
  </si>
  <si>
    <t>fg-process-steward-StepFunctions.Name</t>
  </si>
  <si>
    <t>fg-process-steward-StepFunctions.Step</t>
  </si>
  <si>
    <t>fg-process-steward-StepFunctions.Function</t>
  </si>
  <si>
    <t>fg-process-steward-StepRequirements.StepRequirementId</t>
  </si>
  <si>
    <t>fg-process-steward-StepRequirements.Name</t>
  </si>
  <si>
    <t>fg-process-steward-StepRequirements.Step</t>
  </si>
  <si>
    <t>fg-process-steward-StepRequirements.Requirement</t>
  </si>
  <si>
    <t>fg-process-steward-StepRequirements.RequirementIsBlocking</t>
  </si>
  <si>
    <t>fg-process-steward-StepRequirements.BlockingStepKey</t>
  </si>
  <si>
    <t>fg-process-steward-StepRequirements.StepWhenBlocking</t>
  </si>
  <si>
    <t>fg-process-steward-StepRequirements.RequirementLacksWitness</t>
  </si>
  <si>
    <t>fg-process-steward-StepRequirements.UnwitnessedStepKey</t>
  </si>
  <si>
    <t>fg-process-steward-StepRequirements.SatisfactionCountForBinding</t>
  </si>
  <si>
    <t>fg-process-steward-StepRequirements.BindingWasEverExercised</t>
  </si>
  <si>
    <t>fg-process-steward-StepRequirements.IsUnexercisedBlockingBinding</t>
  </si>
  <si>
    <t>fg-process-steward-StepRequirements.UnexercisedBindingRequirementKey</t>
  </si>
  <si>
    <t>fg-process-steward-StepTools.StepToolId</t>
  </si>
  <si>
    <t>fg-process-steward-StepTools.Name</t>
  </si>
  <si>
    <t>fg-process-steward-StepTools.Step</t>
  </si>
  <si>
    <t>fg-process-steward-StepTools.Tool</t>
  </si>
  <si>
    <t>fg-process-steward-StepTransitions.StepTransitionId</t>
  </si>
  <si>
    <t>fg-process-steward-StepTransitions.Name</t>
  </si>
  <si>
    <t>fg-process-steward-StepTransitions.ProcedureVersion</t>
  </si>
  <si>
    <t>fg-process-steward-StepTransitions.FromStep</t>
  </si>
  <si>
    <t>fg-process-steward-StepTransitions.ToStep</t>
  </si>
  <si>
    <t>fg-process-steward-StepTransitions.TransitionKind</t>
  </si>
  <si>
    <t>fg-process-steward-StepTransitions.Condition</t>
  </si>
  <si>
    <t>fg-process-steward-StepTransitions.Priority</t>
  </si>
  <si>
    <t>fg-process-steward-StepTransitions.IsRecoveryPath</t>
  </si>
  <si>
    <t>fg-process-steward-StepTransitions.CountOfFromStepExecutions</t>
  </si>
  <si>
    <t>fg-process-steward-StepTransitions.CountOfToStepExecutions</t>
  </si>
  <si>
    <t>fg-process-steward-StepTransitions.HasReachableOrigin</t>
  </si>
  <si>
    <t>fg-process-steward-StepTransitions.HasReachableTarget</t>
  </si>
  <si>
    <t>fg-process-steward-StepTransitions.IsNeverExercised</t>
  </si>
  <si>
    <t>fg-process-steward-StepTransitions.IsUntestedRecoveryPath</t>
  </si>
  <si>
    <t>fg-process-steward-StepTransitions.CountOfObservedTraversals</t>
  </si>
  <si>
    <t>fg-process-steward-StepTransitions.HasBeenTraversed</t>
  </si>
  <si>
    <t>fg-process-steward-StepTransitions.IsUnwalkedRecoveryPath</t>
  </si>
  <si>
    <t>fg-process-steward-StepTransitions.TargetBlockingRequirementCount</t>
  </si>
  <si>
    <t>fg-process-steward-StepTransitions.TargetCarriesBlockingControl</t>
  </si>
  <si>
    <t>fg-process-steward-StepTransitions.IsUnrehearsedControlEntry</t>
  </si>
  <si>
    <t>fg-process-steward-StepTransitions.UnrehearsedControlVersionKey</t>
  </si>
  <si>
    <t>fg-process-steward-StepTransitions.SemanticTypeIri</t>
  </si>
  <si>
    <t>fg-process-steward-StepVerifications.StepVerificationId</t>
  </si>
  <si>
    <t>fg-process-steward-StepVerifications.Name</t>
  </si>
  <si>
    <t>fg-process-steward-StepVerifications.Step</t>
  </si>
  <si>
    <t>fg-process-steward-StepVerifications.VerificationKind</t>
  </si>
  <si>
    <t>fg-process-steward-StepVerifications.SignalIdentifier</t>
  </si>
  <si>
    <t>fg-process-steward-StepVerifications.ExpectedSignalValue</t>
  </si>
  <si>
    <t>fg-process-steward-StepVerifications.Instruction</t>
  </si>
  <si>
    <t>fg-process-steward-StepVerifications.SemanticTypeIri</t>
  </si>
  <si>
    <t>fg-process-steward-Steps.StepId</t>
  </si>
  <si>
    <t>fg-process-steward-Steps.Name</t>
  </si>
  <si>
    <t>fg-process-steward-Steps.ProcedureVersion</t>
  </si>
  <si>
    <t>fg-process-steward-Steps.StepNumber</t>
  </si>
  <si>
    <t>fg-process-steward-Steps.Title</t>
  </si>
  <si>
    <t>fg-process-steward-Steps.StepKind</t>
  </si>
  <si>
    <t>fg-process-steward-Steps.AssignedRole</t>
  </si>
  <si>
    <t>fg-process-steward-Steps.AssignedRoleLabel</t>
  </si>
  <si>
    <t>fg-process-steward-Steps.AssignedAgentKind</t>
  </si>
  <si>
    <t>fg-process-steward-Steps.Instruction</t>
  </si>
  <si>
    <t>fg-process-steward-Steps.ExpectedDurationMinutes</t>
  </si>
  <si>
    <t>fg-process-steward-Steps.ExpertiseLevel</t>
  </si>
  <si>
    <t>fg-process-steward-Steps.RequiresHumanConfirmation</t>
  </si>
  <si>
    <t>fg-process-steward-Steps.BlockingRequirementCount</t>
  </si>
  <si>
    <t>fg-process-steward-Steps.StaleBindingCount</t>
  </si>
  <si>
    <t>fg-process-steward-Steps.AuthoritativeStaleCount</t>
  </si>
  <si>
    <t>fg-process-steward-Steps.AvailableExceptionCount</t>
  </si>
  <si>
    <t>fg-process-steward-Steps.DeclaredVerificationCount</t>
  </si>
  <si>
    <t>fg-process-steward-Steps.IsPreparationStep</t>
  </si>
  <si>
    <t>fg-process-steward-Steps.IsApprovalStep</t>
  </si>
  <si>
    <t>fg-process-steward-Steps.StaleAuthoritativeBindingCount</t>
  </si>
  <si>
    <t>fg-process-steward-Steps.InputsAreFresh</t>
  </si>
  <si>
    <t>fg-process-steward-Steps.IsSoftwareAssigned</t>
  </si>
  <si>
    <t>fg-process-steward-Steps.IsHumanApprovalGate</t>
  </si>
  <si>
    <t>fg-process-steward-Steps.GateHeldByHuman</t>
  </si>
  <si>
    <t>fg-process-steward-Steps.BindingBoundaryCount</t>
  </si>
  <si>
    <t>fg-process-steward-Steps.AssignedRoleIsUngoverned</t>
  </si>
  <si>
    <t>fg-process-steward-Steps.UnusableBindingCount</t>
  </si>
  <si>
    <t>fg-process-steward-Steps.AllSourcesUsable</t>
  </si>
  <si>
    <t>fg-process-steward-Steps.ControlKind</t>
  </si>
  <si>
    <t>fg-process-steward-Steps.UnwarrantedBoundaryCount</t>
  </si>
  <si>
    <t>fg-process-steward-Steps.IsGovernedByUnwarrantedBoundary</t>
  </si>
  <si>
    <t>fg-process-steward-Steps.SoftwareExecutionCount</t>
  </si>
  <si>
    <t>fg-process-steward-Steps.HasBeenApproachedBySoftware</t>
  </si>
  <si>
    <t>fg-process-steward-Steps.IsUnexercisedHumanGate</t>
  </si>
  <si>
    <t>fg-process-steward-Steps.IsDemonstratedHumanGate</t>
  </si>
  <si>
    <t>fg-process-steward-Steps.UnexercisedGateVersionKey</t>
  </si>
  <si>
    <t>fg-process-steward-Steps.HasDeclaredControlKind</t>
  </si>
  <si>
    <t>fg-process-steward-Steps.UndeclaredControlVersionKey</t>
  </si>
  <si>
    <t>fg-process-steward-Steps.ApprovalStepIsSoftwareAssigned</t>
  </si>
  <si>
    <t>fg-process-steward-Steps.UnwitnessedBlockingCount</t>
  </si>
  <si>
    <t>fg-process-steward-Steps.SemanticTypeIri</t>
  </si>
  <si>
    <t>fg-process-steward-StewardshipAssignments.StewardshipAssignmentId</t>
  </si>
  <si>
    <t>fg-process-steward-StewardshipAssignments.Name</t>
  </si>
  <si>
    <t>fg-process-steward-StewardshipAssignments.ProcedureVersion</t>
  </si>
  <si>
    <t>fg-process-steward-StewardshipAssignments.StewardRole</t>
  </si>
  <si>
    <t>fg-process-steward-StewardshipAssignments.AuthorityRole</t>
  </si>
  <si>
    <t>fg-process-steward-StewardshipAssignments.ValidFrom</t>
  </si>
  <si>
    <t>fg-process-steward-StewardshipAssignments.ValidTo</t>
  </si>
  <si>
    <t>fg-process-steward-StewardshipAssignments.ReviewCadenceDays</t>
  </si>
  <si>
    <t>fg-process-steward-StewardshipAssignments.CountOfReviewEvents</t>
  </si>
  <si>
    <t>fg-process-steward-StewardshipAssignments.HasEverBeenReviewed</t>
  </si>
  <si>
    <t>fg-process-steward-StewardshipAssignments.EvaluationContext</t>
  </si>
  <si>
    <t>fg-process-steward-StewardshipAssignments.AsOfInstant</t>
  </si>
  <si>
    <t>fg-process-steward-StewardshipAssignments.IsCurrentAssignment</t>
  </si>
  <si>
    <t>fg-process-steward-StewardshipAssignments.SemanticTypeIri</t>
  </si>
  <si>
    <t>fg-process-steward-TemplateApprovals.TemplateApprovalId</t>
  </si>
  <si>
    <t>fg-process-steward-TemplateApprovals.Name</t>
  </si>
  <si>
    <t>fg-process-steward-TemplateApprovals.MessageTemplate</t>
  </si>
  <si>
    <t>fg-process-steward-TemplateApprovals.DecidedByAgent</t>
  </si>
  <si>
    <t>fg-process-steward-TemplateApprovals.DecidedInRole</t>
  </si>
  <si>
    <t>fg-process-steward-TemplateApprovals.Decision</t>
  </si>
  <si>
    <t>fg-process-steward-TemplateApprovals.DecidedAt</t>
  </si>
  <si>
    <t>fg-process-steward-TemplateApprovals.ApprovedBodyHash</t>
  </si>
  <si>
    <t>fg-process-steward-TemplateApprovals.Notes</t>
  </si>
  <si>
    <t>fg-process-steward-TemplateApprovals.IsApprovalDecision</t>
  </si>
  <si>
    <t>fg-process-steward-TemplateApprovals.TemplatePolicy</t>
  </si>
  <si>
    <t>fg-process-steward-TemplateApprovals.RequiredApprovalRole</t>
  </si>
  <si>
    <t>fg-process-steward-TemplateApprovals.IsDecidedByRequiredRole</t>
  </si>
  <si>
    <t>fg-process-steward-TemplateApprovals.ValidApprovalTemplateKey</t>
  </si>
  <si>
    <t>fg-process-steward-TemplateApprovals.SemanticTypeIri</t>
  </si>
  <si>
    <t>fg-process-steward-TestCases.TestCaseId</t>
  </si>
  <si>
    <t>fg-process-steward-TestCases.Name</t>
  </si>
  <si>
    <t>fg-process-steward-TestCases.TestKind</t>
  </si>
  <si>
    <t>fg-process-steward-TestCases.Subject</t>
  </si>
  <si>
    <t>fg-process-steward-TestCases.TargetTable</t>
  </si>
  <si>
    <t>fg-process-steward-TestCases.TargetField</t>
  </si>
  <si>
    <t>fg-process-steward-TestCases.Assertion</t>
  </si>
  <si>
    <t>fg-process-steward-TestCases.DefendsQuestion</t>
  </si>
  <si>
    <t>fg-process-steward-TestCases.Suite</t>
  </si>
  <si>
    <t>fg-process-steward-TestCases.Severity</t>
  </si>
  <si>
    <t>fg-process-steward-TestCases.IsBlocking</t>
  </si>
  <si>
    <t>fg-process-steward-TestCases.LastOutcome</t>
  </si>
  <si>
    <t>fg-process-steward-TestCases.LastDetail</t>
  </si>
  <si>
    <t>fg-process-steward-TestCases.LastRunAt</t>
  </si>
  <si>
    <t>fg-process-steward-TestCases.IsPassing</t>
  </si>
  <si>
    <t>fg-process-steward-TestCases.IsFailing</t>
  </si>
  <si>
    <t>fg-process-steward-TestCases.NeedsAttention</t>
  </si>
  <si>
    <t>fg-process-steward-TestCases.PassingSuiteKey</t>
  </si>
  <si>
    <t>fg-process-steward-TestCases.NeedsAttentionSuiteKey</t>
  </si>
  <si>
    <t>fg-process-steward-TestCases.SemanticTypeIri</t>
  </si>
  <si>
    <t>fg-process-steward-TestSuites.TestSuiteId</t>
  </si>
  <si>
    <t>fg-process-steward-TestSuites.Name</t>
  </si>
  <si>
    <t>fg-process-steward-TestSuites.Label</t>
  </si>
  <si>
    <t>fg-process-steward-TestSuites.TestCount</t>
  </si>
  <si>
    <t>fg-process-steward-TestSuites.PassCount</t>
  </si>
  <si>
    <t>fg-process-steward-TestSuites.BlockingFailCount</t>
  </si>
  <si>
    <t>fg-process-steward-TestSuites.IsGreen</t>
  </si>
  <si>
    <t>fg-process-steward-TestSuites.SemanticTypeIri</t>
  </si>
  <si>
    <t>fg-process-steward-Tools.ToolId</t>
  </si>
  <si>
    <t>fg-process-steward-Tools.Name</t>
  </si>
  <si>
    <t>fg-process-steward-Tools.Label</t>
  </si>
  <si>
    <t>fg-process-steward-Tools.Purpose</t>
  </si>
  <si>
    <t>fg-process-steward-Tools.SemanticTypeIri</t>
  </si>
  <si>
    <t>fg-process-steward-UserFeedback.UserFeedbackId</t>
  </si>
  <si>
    <t>fg-process-steward-UserFeedback.Name</t>
  </si>
  <si>
    <t>fg-process-steward-UserFeedback.ProcedureExecution</t>
  </si>
  <si>
    <t>fg-process-steward-UserFeedback.ProvidedByAgent</t>
  </si>
  <si>
    <t>fg-process-steward-UserFeedback.ProvidedAt</t>
  </si>
  <si>
    <t>fg-process-steward-UserFeedback.FeedbackText</t>
  </si>
  <si>
    <t>fg-process-steward-UserFeedback.Disposition</t>
  </si>
  <si>
    <t>fg-process-steward-UserFeedback.ChangeRequestKey</t>
  </si>
  <si>
    <t>fg-process-steward-UserFeedback.SemanticTypeIri</t>
  </si>
  <si>
    <t>fg-process-steward-UserQuestions.UserQuestionId</t>
  </si>
  <si>
    <t>fg-process-steward-UserQuestions.Name</t>
  </si>
  <si>
    <t>fg-process-steward-UserQuestions.StepExecution</t>
  </si>
  <si>
    <t>fg-process-steward-UserQuestions.AskedByAgent</t>
  </si>
  <si>
    <t>fg-process-steward-UserQuestions.AskedAt</t>
  </si>
  <si>
    <t>fg-process-steward-UserQuestions.QuestionText</t>
  </si>
  <si>
    <t>fg-process-steward-UserQuestions.ResolvedByFaq</t>
  </si>
  <si>
    <t>fg-process-steward-UserQuestions.AddressedByResource</t>
  </si>
  <si>
    <t>fg-process-steward-UserQuestions.Status</t>
  </si>
  <si>
    <t>fg-process-steward-UserQuestions.SemanticTypeIri</t>
  </si>
  <si>
    <t>fg-process-steward-VerificationOutcomes.VerificationOutcomeId</t>
  </si>
  <si>
    <t>fg-process-steward-VerificationOutcomes.Name</t>
  </si>
  <si>
    <t>fg-process-steward-VerificationOutcomes.StepExecution</t>
  </si>
  <si>
    <t>fg-process-steward-VerificationOutcomes.StepVerification</t>
  </si>
  <si>
    <t>fg-process-steward-VerificationOutcomes.ObservedSignalValue</t>
  </si>
  <si>
    <t>fg-process-steward-VerificationOutcomes.ObservedByAgent</t>
  </si>
  <si>
    <t>fg-process-steward-VerificationOutcomes.ObservedAt</t>
  </si>
  <si>
    <t>fg-process-steward-VerificationOutcomes.EvidenceUri</t>
  </si>
  <si>
    <t>fg-process-steward-VerificationOutcomes.ExpectedSignalValue</t>
  </si>
  <si>
    <t>fg-process-steward-VerificationOutcomes.SignalIdentifier</t>
  </si>
  <si>
    <t>fg-process-steward-VerificationOutcomes.SignalMatchesExpected</t>
  </si>
  <si>
    <t>fg-process-steward-VerificationOutcomes.HasEvidence</t>
  </si>
  <si>
    <t>fg-process-steward-VerificationOutcomes.IsUnbackedObservation</t>
  </si>
  <si>
    <t>fg-process-steward-VerificationOutcomes.IsSelfWitnessed</t>
  </si>
  <si>
    <t>fg-process-steward-VerificationOutcomes.StepExecutorAgent</t>
  </si>
  <si>
    <t>fg-process-steward-VerificationOutcomes.SelfWitnessedStepKey</t>
  </si>
  <si>
    <t>fg-process-steward-VerificationOutcomes.UnbackedStepKey</t>
  </si>
  <si>
    <t>fg-process-steward-VerificationOutcomes.IsSelfWitnessedAndUnbacked</t>
  </si>
  <si>
    <t>fg-process-steward-VerificationOutcomes.IsUncorroboratedPass</t>
  </si>
  <si>
    <t>fg-process-steward-VerificationOutcomes.UncorroboratedPassStepKey</t>
  </si>
  <si>
    <t>fg-process-steward-VerificationOutcomes.ObserverIsNonHuman</t>
  </si>
  <si>
    <t>fg-process-steward-VerificationOutcomes.ObserverIsIndependentOfExecutor</t>
  </si>
  <si>
    <t>fg-process-steward-VerificationOutcomes.IsIndependentHumanObservation</t>
  </si>
  <si>
    <t>fg-process-steward-VerificationOutcomes.IndependentObservationExecutionKey</t>
  </si>
  <si>
    <t>fg-process-steward-VerificationOutcomes.ParentProcedureExecutionOfOutcome</t>
  </si>
  <si>
    <t>fg-process-steward-VerificationOutcomes.SemanticTypeIri</t>
  </si>
  <si>
    <t>fg-process-steward-WitnessLoops.WitnessLoopId</t>
  </si>
  <si>
    <t>fg-process-steward-WitnessLoops.Name</t>
  </si>
  <si>
    <t>fg-process-steward-WitnessLoops.LoopNumber</t>
  </si>
  <si>
    <t>fg-process-steward-WitnessLoops.Title</t>
  </si>
  <si>
    <t>fg-process-steward-WitnessLoops.Premise</t>
  </si>
  <si>
    <t>fg-process-steward-WitnessLoops.StartedAt</t>
  </si>
  <si>
    <t>fg-process-steward-WitnessLoops.CompletedAt</t>
  </si>
  <si>
    <t>fg-process-steward-WitnessLoops.QuestionCount</t>
  </si>
  <si>
    <t>fg-process-steward-WitnessLoops.IsComplete</t>
  </si>
  <si>
    <t>fg-process-steward-WitnessLoops.FieldsAfter</t>
  </si>
  <si>
    <t>fg-process-steward-WitnessLoops.DerivedAfter</t>
  </si>
  <si>
    <t>fg-process-steward-WitnessLoops.WitnessedAfter</t>
  </si>
  <si>
    <t>fg-process-steward-WitnessLoops.SemanticTypeIri</t>
  </si>
  <si>
    <t>fg-knowledge-authority-Actions.ActionId</t>
  </si>
  <si>
    <t>fg-knowledge-authority-Actions.Name</t>
  </si>
  <si>
    <t>fg-knowledge-authority-Actions.Label</t>
  </si>
  <si>
    <t>fg-knowledge-authority-Actions.Definition</t>
  </si>
  <si>
    <t>fg-knowledge-authority-Actions.SemanticTypeIri</t>
  </si>
  <si>
    <t>fg-knowledge-authority-AgentDecisionRecords.AgentDecisionRecordId</t>
  </si>
  <si>
    <t>fg-knowledge-authority-AgentDecisionRecords.Name</t>
  </si>
  <si>
    <t>fg-knowledge-authority-AgentDecisionRecords.StepExecution</t>
  </si>
  <si>
    <t>fg-knowledge-authority-AgentDecisionRecords.DecidingAgent</t>
  </si>
  <si>
    <t>fg-knowledge-authority-AgentDecisionRecords.DecisionKind</t>
  </si>
  <si>
    <t>fg-knowledge-authority-AgentDecisionRecords.DecisionSummary</t>
  </si>
  <si>
    <t>fg-knowledge-authority-AgentDecisionRecords.DecidedAt</t>
  </si>
  <si>
    <t>fg-knowledge-authority-AgentDecisionRecords.MaterialityBand</t>
  </si>
  <si>
    <t>fg-knowledge-authority-AgentDecisionRecords.HumanDisposition</t>
  </si>
  <si>
    <t>fg-knowledge-authority-AgentDecisionRecords.ReviewedByAgent</t>
  </si>
  <si>
    <t>fg-knowledge-authority-AgentDecisionRecords.ReviewedAt</t>
  </si>
  <si>
    <t>fg-knowledge-authority-AgentDecisionRecords.WasOverridden</t>
  </si>
  <si>
    <t>fg-knowledge-authority-AgentDecisionRecords.WasReviewed</t>
  </si>
  <si>
    <t>fg-knowledge-authority-AgentDecisionRecords.DecidingAgentKind</t>
  </si>
  <si>
    <t>fg-knowledge-authority-AgentDecisionRecords.DecidingAgentWhenOverridden</t>
  </si>
  <si>
    <t>fg-knowledge-authority-AgentDecisionRecords.UnderRoleAssignment</t>
  </si>
  <si>
    <t>fg-knowledge-authority-AgentDecisionRecords.RoleAssignmentWhenScored</t>
  </si>
  <si>
    <t>fg-knowledge-authority-AgentDecisionRecords.RoleAssignmentWhenOverridden</t>
  </si>
  <si>
    <t>fg-knowledge-authority-AgentDecisionRecords.StepOfDecision</t>
  </si>
  <si>
    <t>fg-knowledge-authority-AgentDecisionRecords.BoundaryMatchKey</t>
  </si>
  <si>
    <t>fg-knowledge-authority-AgentDecisionRecords.MatchingBoundaryCount</t>
  </si>
  <si>
    <t>fg-knowledge-authority-AgentDecisionRecords.ViolatedAuthorityBoundary</t>
  </si>
  <si>
    <t>fg-knowledge-authority-AgentDecisionRecords.ReviewerAgentKind</t>
  </si>
  <si>
    <t>fg-knowledge-authority-AgentDecisionRecords.HasHumanConfirmation</t>
  </si>
  <si>
    <t>fg-knowledge-authority-AgentDecisionRecords.NeedsHumanConfirmation</t>
  </si>
  <si>
    <t>fg-knowledge-authority-AgentDecisionRecords.IsUnconfirmedNonHumanDecision</t>
  </si>
  <si>
    <t>fg-knowledge-authority-AgentDecisionRecords.StepExecutionWhenUnconfirmed</t>
  </si>
  <si>
    <t>fg-knowledge-authority-AgentDecisionRecords.AgentWhenBoundaryViolated</t>
  </si>
  <si>
    <t>fg-knowledge-authority-AgentDecisionRecords.ReviewLatencyMinutes</t>
  </si>
  <si>
    <t>fg-knowledge-authority-AgentDecisionRecords.IsDraftKind</t>
  </si>
  <si>
    <t>fg-knowledge-authority-AgentDecisionRecords.AgentWhenDraftOverridden</t>
  </si>
  <si>
    <t>fg-knowledge-authority-AgentDecisionRecords.AgentWhenDraft</t>
  </si>
  <si>
    <t>fg-knowledge-authority-AgentDecisionRecords.OverrideReasonKind</t>
  </si>
  <si>
    <t>fg-knowledge-authority-AgentDecisionRecords.IsErrorCorrection</t>
  </si>
  <si>
    <t>fg-knowledge-authority-AgentDecisionRecords.IsReservedJudgmentOverride</t>
  </si>
  <si>
    <t>fg-knowledge-authority-AgentDecisionRecords.OverrideReasonIsRecorded</t>
  </si>
  <si>
    <t>fg-knowledge-authority-AgentDecisionRecords.IsUnexplainedOverride</t>
  </si>
  <si>
    <t>fg-knowledge-authority-AgentDecisionRecords.ErrorCorrectionRoleAssignmentKey</t>
  </si>
  <si>
    <t>fg-knowledge-authority-AgentDecisionRecords.BoundaryViolationRoleAssignmentKey</t>
  </si>
  <si>
    <t>fg-knowledge-authority-AgentDecisionRecords.SemanticTypeIri</t>
  </si>
  <si>
    <t>fg-knowledge-authority-Agents.AgentId</t>
  </si>
  <si>
    <t>fg-knowledge-authority-Agents.Name</t>
  </si>
  <si>
    <t>fg-knowledge-authority-Agents.DisplayName</t>
  </si>
  <si>
    <t>fg-knowledge-authority-Agents.AgentKind</t>
  </si>
  <si>
    <t>fg-knowledge-authority-Agents.Organization</t>
  </si>
  <si>
    <t>fg-knowledge-authority-Agents.ContactAddress</t>
  </si>
  <si>
    <t>fg-knowledge-authority-Agents.VersionOrEmploymentKey</t>
  </si>
  <si>
    <t>fg-knowledge-authority-Agents.CountOfCurrentRoleAssignments</t>
  </si>
  <si>
    <t>fg-knowledge-authority-Agents.IsStillEngaged</t>
  </si>
  <si>
    <t>fg-knowledge-authority-Agents.DecisionCount</t>
  </si>
  <si>
    <t>fg-knowledge-authority-Agents.OverriddenDecisionCount</t>
  </si>
  <si>
    <t>fg-knowledge-authority-Agents.OverrideRatePercent</t>
  </si>
  <si>
    <t>fg-knowledge-authority-Agents.IsNonHuman</t>
  </si>
  <si>
    <t>fg-knowledge-authority-Agents.BoundaryViolationCount</t>
  </si>
  <si>
    <t>fg-knowledge-authority-Agents.IsOperatingOutsideBoundary</t>
  </si>
  <si>
    <t>fg-knowledge-authority-Agents.DraftDecisionCount</t>
  </si>
  <si>
    <t>fg-knowledge-authority-Agents.OverriddenDraftCount</t>
  </si>
  <si>
    <t>fg-knowledge-authority-Agents.DraftRewriteRatePercent</t>
  </si>
  <si>
    <t>fg-knowledge-authority-Agents.SemanticTypeIri</t>
  </si>
  <si>
    <t>fg-knowledge-authority-AppNavGroups.AppNavGroupId</t>
  </si>
  <si>
    <t>fg-knowledge-authority-AppNavGroups.Name</t>
  </si>
  <si>
    <t>fg-knowledge-authority-AppNavGroups.GroupLabel</t>
  </si>
  <si>
    <t>fg-knowledge-authority-AppNavGroups.RouteCount</t>
  </si>
  <si>
    <t>fg-knowledge-authority-AppNavGroups.SemanticTypeIri</t>
  </si>
  <si>
    <t>fg-knowledge-authority-AppRoleProfiles.AppRoleProfileId</t>
  </si>
  <si>
    <t>fg-knowledge-authority-AppRoleProfiles.Name</t>
  </si>
  <si>
    <t>fg-knowledge-authority-AppRoleProfiles.Role</t>
  </si>
  <si>
    <t>fg-knowledge-authority-AppRoleProfiles.DisplayLabel</t>
  </si>
  <si>
    <t>fg-knowledge-authority-AppRoleProfiles.RoleKind</t>
  </si>
  <si>
    <t>fg-knowledge-authority-AppRoleProfiles.AccentColor</t>
  </si>
  <si>
    <t>fg-knowledge-authority-AppRoleProfiles.IconMark</t>
  </si>
  <si>
    <t>fg-knowledge-authority-AppRoleProfiles.IconPngBase64</t>
  </si>
  <si>
    <t>fg-knowledge-authority-AppRoleProfiles.Pitch</t>
  </si>
  <si>
    <t>fg-knowledge-authority-AppRoleProfiles.SortOrder</t>
  </si>
  <si>
    <t>fg-knowledge-authority-AppRoleProfiles.RouteCount</t>
  </si>
  <si>
    <t>fg-knowledge-authority-AppRoleProfiles.SemanticTypeIri</t>
  </si>
  <si>
    <t>fg-knowledge-authority-AppRouteQuestions.AppRouteQuestionId</t>
  </si>
  <si>
    <t>fg-knowledge-authority-AppRouteQuestions.Name</t>
  </si>
  <si>
    <t>fg-knowledge-authority-AppRouteQuestions.Route</t>
  </si>
  <si>
    <t>fg-knowledge-authority-AppRouteQuestions.Question</t>
  </si>
  <si>
    <t>fg-knowledge-authority-AppRouteQuestions.SemanticTypeIri</t>
  </si>
  <si>
    <t>fg-knowledge-authority-AppRouteReferences.AppRouteReferenceId</t>
  </si>
  <si>
    <t>fg-knowledge-authority-AppRouteReferences.Name</t>
  </si>
  <si>
    <t>fg-knowledge-authority-AppRouteReferences.FromRoute</t>
  </si>
  <si>
    <t>fg-knowledge-authority-AppRouteReferences.ToRoute</t>
  </si>
  <si>
    <t>fg-knowledge-authority-AppRouteReferences.SemanticTypeIri</t>
  </si>
  <si>
    <t>fg-knowledge-authority-AppRoutes.AppRouteId</t>
  </si>
  <si>
    <t>fg-knowledge-authority-AppRoutes.Name</t>
  </si>
  <si>
    <t>fg-knowledge-authority-AppRoutes.RoutePath</t>
  </si>
  <si>
    <t>fg-knowledge-authority-AppRoutes.RouteName</t>
  </si>
  <si>
    <t>fg-knowledge-authority-AppRoutes.Surface</t>
  </si>
  <si>
    <t>fg-knowledge-authority-AppRoutes.OwningRole</t>
  </si>
  <si>
    <t>fg-knowledge-authority-AppRoutes.NavGroup</t>
  </si>
  <si>
    <t>fg-knowledge-authority-AppRoutes.NavOrder</t>
  </si>
  <si>
    <t>fg-knowledge-authority-AppRoutes.RouteKind</t>
  </si>
  <si>
    <t>fg-knowledge-authority-AppRoutes.Purpose</t>
  </si>
  <si>
    <t>fg-knowledge-authority-AppRoutes.LayoutHints</t>
  </si>
  <si>
    <t>fg-knowledge-authority-AppRoutes.IsInNav</t>
  </si>
  <si>
    <t>fg-knowledge-authority-AppRoutes.IsShared</t>
  </si>
  <si>
    <t>fg-knowledge-authority-AppRoutes.IsMaintainer</t>
  </si>
  <si>
    <t>fg-knowledge-authority-AppRoutes.QuestionCount</t>
  </si>
  <si>
    <t>fg-knowledge-authority-AppRoutes.ReferenceCount</t>
  </si>
  <si>
    <t>fg-knowledge-authority-AppRoutes.AnswersNoQuestion</t>
  </si>
  <si>
    <t>fg-knowledge-authority-AppRoutes.SemanticTypeIri</t>
  </si>
  <si>
    <t>fg-knowledge-authority-Attestations.AttestationId</t>
  </si>
  <si>
    <t>fg-knowledge-authority-Attestations.Name</t>
  </si>
  <si>
    <t>fg-knowledge-authority-Attestations.ProcedureExecution</t>
  </si>
  <si>
    <t>fg-knowledge-authority-Attestations.SignedByAgent</t>
  </si>
  <si>
    <t>fg-knowledge-authority-Attestations.SignedAt</t>
  </si>
  <si>
    <t>fg-knowledge-authority-Attestations.AssuranceGradeAtSigning</t>
  </si>
  <si>
    <t>fg-knowledge-authority-Attestations.VersionWasFitAtSigning</t>
  </si>
  <si>
    <t>fg-knowledge-authority-Attestations.VersionIsFitNow</t>
  </si>
  <si>
    <t>fg-knowledge-authority-Attestations.FitnessVerdictHasDrifted</t>
  </si>
  <si>
    <t>fg-knowledge-authority-Attestations.AssuranceGradeNow</t>
  </si>
  <si>
    <t>fg-knowledge-authority-Attestations.AssuranceGradeHasDrifted</t>
  </si>
  <si>
    <t>fg-knowledge-authority-Attestations.WouldNotSurviveRestatement</t>
  </si>
  <si>
    <t>fg-knowledge-authority-AuthorityBoundaries.AuthorityBoundaryId</t>
  </si>
  <si>
    <t>fg-knowledge-authority-AuthorityBoundaries.Name</t>
  </si>
  <si>
    <t>fg-knowledge-authority-AuthorityBoundaries.Step</t>
  </si>
  <si>
    <t>fg-knowledge-authority-AuthorityBoundaries.ForbiddenAgentKind</t>
  </si>
  <si>
    <t>fg-knowledge-authority-AuthorityBoundaries.ForbiddenDecisionKind</t>
  </si>
  <si>
    <t>fg-knowledge-authority-AuthorityBoundaries.RatifiedByKnowledgeFragment</t>
  </si>
  <si>
    <t>fg-knowledge-authority-AuthorityBoundaries.EnforcingRequirement</t>
  </si>
  <si>
    <t>fg-knowledge-authority-AuthorityBoundaries.AuthorityRole</t>
  </si>
  <si>
    <t>fg-knowledge-authority-AuthorityBoundaries.ValidFrom</t>
  </si>
  <si>
    <t>fg-knowledge-authority-AuthorityBoundaries.ValidTo</t>
  </si>
  <si>
    <t>fg-knowledge-authority-AuthorityBoundaries.Status</t>
  </si>
  <si>
    <t>fg-knowledge-authority-AuthorityBoundaries.EvaluationContext</t>
  </si>
  <si>
    <t>fg-knowledge-authority-AuthorityBoundaries.AsOfInstant</t>
  </si>
  <si>
    <t>fg-knowledge-authority-AuthorityBoundaries.IsCurrentlyBinding</t>
  </si>
  <si>
    <t>fg-knowledge-authority-AuthorityBoundaries.RatifyingFragmentIsValid</t>
  </si>
  <si>
    <t>fg-knowledge-authority-AuthorityBoundaries.StepWhenBinding</t>
  </si>
  <si>
    <t>fg-knowledge-authority-AuthorityBoundaries.BoundaryMatchKey</t>
  </si>
  <si>
    <t>fg-knowledge-authority-AuthorityBoundaries.ViolationCount</t>
  </si>
  <si>
    <t>fg-knowledge-authority-AuthorityBoundaries.IsUntested</t>
  </si>
  <si>
    <t>fg-knowledge-authority-AuthorityBoundaries.HasRatifyingFragment</t>
  </si>
  <si>
    <t>fg-knowledge-authority-AuthorityBoundaries.IsUnwarranted</t>
  </si>
  <si>
    <t>fg-knowledge-authority-AuthorityBoundaries.RatifyingFragmentIsOverdue</t>
  </si>
  <si>
    <t>fg-knowledge-authority-AuthorityBoundaries.RatifyingFragmentIsSingleWitness</t>
  </si>
  <si>
    <t>fg-knowledge-authority-AuthorityBoundaries.WarrantIsThin</t>
  </si>
  <si>
    <t>fg-knowledge-authority-AuthorityBoundaries.IsUnwarrantedAndUntested</t>
  </si>
  <si>
    <t>fg-knowledge-authority-AuthorityBoundaries.UnwarrantedBoundaryStepKey</t>
  </si>
  <si>
    <t>fg-knowledge-authority-AuthorityBoundaries.RatifyingFragmentKey</t>
  </si>
  <si>
    <t>fg-knowledge-authority-AuthorityBoundaries.RatifyingFragmentStatus</t>
  </si>
  <si>
    <t>fg-knowledge-authority-AuthorityBoundaries.RatificationLapsed</t>
  </si>
  <si>
    <t>fg-knowledge-authority-AuthorityBoundaries.BindsDespiteLapsedRatification</t>
  </si>
  <si>
    <t>fg-knowledge-authority-AuthorityBoundaries.IsUngroundedAndUntested</t>
  </si>
  <si>
    <t>fg-knowledge-authority-AuthorityBoundaries.ConstrainedRoleAssignmentKey</t>
  </si>
  <si>
    <t>fg-knowledge-authority-AuthorityBoundaries.SemanticTypeIri</t>
  </si>
  <si>
    <t>fg-knowledge-authority-BindingObservations.BindingObservationId</t>
  </si>
  <si>
    <t>fg-knowledge-authority-BindingObservations.Name</t>
  </si>
  <si>
    <t>fg-knowledge-authority-BindingObservations.StepExecution</t>
  </si>
  <si>
    <t>fg-knowledge-authority-BindingObservations.OperationalBinding</t>
  </si>
  <si>
    <t>fg-knowledge-authority-BindingObservations.ObservedSourceTimestamp</t>
  </si>
  <si>
    <t>fg-knowledge-authority-BindingObservations.ReadAt</t>
  </si>
  <si>
    <t>fg-knowledge-authority-BindingObservations.SlaMinutesAtRun</t>
  </si>
  <si>
    <t>fg-knowledge-authority-BindingObservations.AgeAtRunMinutes</t>
  </si>
  <si>
    <t>fg-knowledge-authority-BindingObservations.WasStaleAtRun</t>
  </si>
  <si>
    <t>fg-knowledge-authority-BindingObservations.IsAuthoritativeBinding</t>
  </si>
  <si>
    <t>fg-knowledge-authority-BindingObservations.StaleAtRunStepKey</t>
  </si>
  <si>
    <t>fg-knowledge-authority-ChangeRequests.ChangeRequestId</t>
  </si>
  <si>
    <t>fg-knowledge-authority-ChangeRequests.Name</t>
  </si>
  <si>
    <t>fg-knowledge-authority-ChangeRequests.ProcedureVersion</t>
  </si>
  <si>
    <t>fg-knowledge-authority-ChangeRequests.Title</t>
  </si>
  <si>
    <t>fg-knowledge-authority-ChangeRequests.ChangeKind</t>
  </si>
  <si>
    <t>fg-knowledge-authority-ChangeRequests.Status</t>
  </si>
  <si>
    <t>fg-knowledge-authority-ChangeRequests.RequestedByAgent</t>
  </si>
  <si>
    <t>fg-knowledge-authority-ChangeRequests.AuthorityRole</t>
  </si>
  <si>
    <t>fg-knowledge-authority-ChangeRequests.RequestedAt</t>
  </si>
  <si>
    <t>fg-knowledge-authority-ChangeRequests.DecidedAt</t>
  </si>
  <si>
    <t>fg-knowledge-authority-ChangeRequests.ImpactAssessment</t>
  </si>
  <si>
    <t>fg-knowledge-authority-ChangeRequests.IsOpen</t>
  </si>
  <si>
    <t>fg-knowledge-authority-ChangeRequests.OpenChangeVersionKey</t>
  </si>
  <si>
    <t>fg-knowledge-authority-ChangeRequests.IsDecided</t>
  </si>
  <si>
    <t>fg-knowledge-authority-ChangeRequests.EvaluationContext</t>
  </si>
  <si>
    <t>fg-knowledge-authority-ChangeRequests.AsOfInstant</t>
  </si>
  <si>
    <t>fg-knowledge-authority-ChangeRequests.DaysPending</t>
  </si>
  <si>
    <t>fg-knowledge-authority-ChangeRequests.IsStillPending</t>
  </si>
  <si>
    <t>fg-knowledge-authority-ChangeRequests.IsStalled</t>
  </si>
  <si>
    <t>fg-knowledge-authority-ChangeRequests.AuthorityAgent</t>
  </si>
  <si>
    <t>fg-knowledge-authority-ChangeRequests.RequesterIsAuthority</t>
  </si>
  <si>
    <t>fg-knowledge-authority-ChangeRequests.AwaitsAuthorityDecision</t>
  </si>
  <si>
    <t>fg-knowledge-authority-ChangeRequests.AuthorityRoleLabel</t>
  </si>
  <si>
    <t>fg-knowledge-authority-ChangeRequests.TouchesLiveVersion</t>
  </si>
  <si>
    <t>fg-knowledge-authority-ChangeRequests.IsLiveDecisionBacklog</t>
  </si>
  <si>
    <t>fg-knowledge-authority-ChangeRequests.BlocksAnOpenGap</t>
  </si>
  <si>
    <t>fg-knowledge-authority-ChangeRequests.ImplementedAt</t>
  </si>
  <si>
    <t>fg-knowledge-authority-ChangeRequests.BacklogVersionKey</t>
  </si>
  <si>
    <t>fg-knowledge-authority-ChangeRequests.IsMyPendingDecision</t>
  </si>
  <si>
    <t>fg-knowledge-authority-ChangeRequests.IsMyBlockingBacklog</t>
  </si>
  <si>
    <t>fg-knowledge-authority-ChangeRequests.IsMyOverdueBacklog</t>
  </si>
  <si>
    <t>fg-knowledge-authority-ChangeRequests.IsImplemented</t>
  </si>
  <si>
    <t>fg-knowledge-authority-ChangeRequests.IsMyDecidedRequest</t>
  </si>
  <si>
    <t>fg-knowledge-authority-ChangeRequests.IsMyDecidedButUnlanded</t>
  </si>
  <si>
    <t>fg-knowledge-authority-ChangeRequests.DecisionLatencyDays</t>
  </si>
  <si>
    <t>fg-knowledge-authority-ChangeRequests.ImplementationLatencyDays</t>
  </si>
  <si>
    <t>fg-knowledge-authority-ChangeRequests.DelayIsDownstreamOfMe</t>
  </si>
  <si>
    <t>fg-knowledge-authority-ChangeRequests.UnlandedVersionKey</t>
  </si>
  <si>
    <t>fg-knowledge-authority-ChangeRequests.IsApprovedNotImplemented</t>
  </si>
  <si>
    <t>fg-knowledge-authority-ChangeRequests.DaysSinceApproval</t>
  </si>
  <si>
    <t>fg-knowledge-authority-ChangeRequests.IsStalledImplementation</t>
  </si>
  <si>
    <t>fg-knowledge-authority-ChangeRequests.StalledImplementationVersionKey</t>
  </si>
  <si>
    <t>fg-knowledge-authority-ChangeRequests.ApprovedVersionKey</t>
  </si>
  <si>
    <t>fg-knowledge-authority-ChangeRequests.IsApprovedDecision</t>
  </si>
  <si>
    <t>fg-knowledge-authority-ChangeRequests.SemanticTypeIri</t>
  </si>
  <si>
    <t>fg-knowledge-authority-CommunicationPolicies.CommunicationPolicyId</t>
  </si>
  <si>
    <t>fg-knowledge-authority-CommunicationPolicies.Name</t>
  </si>
  <si>
    <t>fg-knowledge-authority-CommunicationPolicies.ProcedureVersion</t>
  </si>
  <si>
    <t>fg-knowledge-authority-CommunicationPolicies.Channel</t>
  </si>
  <si>
    <t>fg-knowledge-authority-CommunicationPolicies.AudienceRule</t>
  </si>
  <si>
    <t>fg-knowledge-authority-CommunicationPolicies.ConsentRequired</t>
  </si>
  <si>
    <t>fg-knowledge-authority-CommunicationPolicies.QuietHoursStart</t>
  </si>
  <si>
    <t>fg-knowledge-authority-CommunicationPolicies.QuietHoursEnd</t>
  </si>
  <si>
    <t>fg-knowledge-authority-CommunicationPolicies.MaxMessageLength</t>
  </si>
  <si>
    <t>fg-knowledge-authority-CommunicationPolicies.MaxSegments</t>
  </si>
  <si>
    <t>fg-knowledge-authority-CommunicationPolicies.RetentionDays</t>
  </si>
  <si>
    <t>fg-knowledge-authority-CommunicationPolicies.ApprovalRole</t>
  </si>
  <si>
    <t>fg-knowledge-authority-CommunicationPolicies.RequiredContent</t>
  </si>
  <si>
    <t>fg-knowledge-authority-CommunicationPolicies.AuthorityStatement</t>
  </si>
  <si>
    <t>fg-knowledge-authority-CommunicationPolicies.Status</t>
  </si>
  <si>
    <t>fg-knowledge-authority-CommunicationPolicies.ConsentViolationCount</t>
  </si>
  <si>
    <t>fg-knowledge-authority-CommunicationPolicies.QuietHoursStartHour</t>
  </si>
  <si>
    <t>fg-knowledge-authority-CommunicationPolicies.QuietHoursEndHour</t>
  </si>
  <si>
    <t>fg-knowledge-authority-CommunicationPolicies.QuietHoursViolationCount</t>
  </si>
  <si>
    <t>fg-knowledge-authority-CommunicationPolicies.RequiredOptOutPhrase</t>
  </si>
  <si>
    <t>fg-knowledge-authority-CommunicationPolicies.IsActivePolicy</t>
  </si>
  <si>
    <t>fg-knowledge-authority-CommunicationPolicies.SemanticTypeIri</t>
  </si>
  <si>
    <t>fg-knowledge-authority-CommunitiesOfPractice.CommunityOfPracticeId</t>
  </si>
  <si>
    <t>fg-knowledge-authority-CommunitiesOfPractice.Name</t>
  </si>
  <si>
    <t>fg-knowledge-authority-CommunitiesOfPractice.Label</t>
  </si>
  <si>
    <t>fg-knowledge-authority-CommunitiesOfPractice.Organization</t>
  </si>
  <si>
    <t>fg-knowledge-authority-CommunitiesOfPractice.StewardRole</t>
  </si>
  <si>
    <t>fg-knowledge-authority-CommunitiesOfPractice.Purpose</t>
  </si>
  <si>
    <t>fg-knowledge-authority-CommunitiesOfPractice.Cadence</t>
  </si>
  <si>
    <t>fg-knowledge-authority-CommunitiesOfPractice.SemanticTypeIri</t>
  </si>
  <si>
    <t>fg-knowledge-authority-DeliveredCommunications.DeliveredCommunicationId</t>
  </si>
  <si>
    <t>fg-knowledge-authority-DeliveredCommunications.Name</t>
  </si>
  <si>
    <t>fg-knowledge-authority-DeliveredCommunications.ProcedureExecution</t>
  </si>
  <si>
    <t>fg-knowledge-authority-DeliveredCommunications.SendingStepExecution</t>
  </si>
  <si>
    <t>fg-knowledge-authority-DeliveredCommunications.AuthorizingStepExecution</t>
  </si>
  <si>
    <t>fg-knowledge-authority-DeliveredCommunications.MessageTemplate</t>
  </si>
  <si>
    <t>fg-knowledge-authority-DeliveredCommunications.Channel</t>
  </si>
  <si>
    <t>fg-knowledge-authority-DeliveredCommunications.RecipientKey</t>
  </si>
  <si>
    <t>fg-knowledge-authority-DeliveredCommunications.SentAt</t>
  </si>
  <si>
    <t>fg-knowledge-authority-DeliveredCommunications.RenderedContentHash</t>
  </si>
  <si>
    <t>fg-knowledge-authority-DeliveredCommunications.ApprovedContentHash</t>
  </si>
  <si>
    <t>fg-knowledge-authority-DeliveredCommunications.DeliveryStatus</t>
  </si>
  <si>
    <t>fg-knowledge-authority-DeliveredCommunications.SemanticTypeIri</t>
  </si>
  <si>
    <t>fg-knowledge-authority-DeliveredCommunications.HasAuthorization</t>
  </si>
  <si>
    <t>fg-knowledge-authority-DeliveredCommunications.ContentMatchesApproval</t>
  </si>
  <si>
    <t>fg-knowledge-authority-DeliveredCommunications.AuthorizedAt</t>
  </si>
  <si>
    <t>fg-knowledge-authority-DeliveredCommunications.WasApprovedBeforeSending</t>
  </si>
  <si>
    <t>fg-knowledge-authority-DeliveredCommunications.IsDefensible</t>
  </si>
  <si>
    <t>fg-knowledge-authority-ElicitationSessions.ElicitationSessionId</t>
  </si>
  <si>
    <t>fg-knowledge-authority-ElicitationSessions.Name</t>
  </si>
  <si>
    <t>fg-knowledge-authority-ElicitationSessions.ProcedureVersion</t>
  </si>
  <si>
    <t>fg-knowledge-authority-ElicitationSessions.Method</t>
  </si>
  <si>
    <t>fg-knowledge-authority-ElicitationSessions.StartedAt</t>
  </si>
  <si>
    <t>fg-knowledge-authority-ElicitationSessions.EndedAt</t>
  </si>
  <si>
    <t>fg-knowledge-authority-ElicitationSessions.PractitionerAgent</t>
  </si>
  <si>
    <t>fg-knowledge-authority-ElicitationSessions.FacilitatorAgent</t>
  </si>
  <si>
    <t>fg-knowledge-authority-ElicitationSessions.Summary</t>
  </si>
  <si>
    <t>fg-knowledge-authority-ElicitationSessions.Status</t>
  </si>
  <si>
    <t>fg-knowledge-authority-ElicitationSessions.EvaluationContext</t>
  </si>
  <si>
    <t>fg-knowledge-authority-ElicitationSessions.AsOfInstant</t>
  </si>
  <si>
    <t>fg-knowledge-authority-ElicitationSessions.DaysSinceElicited</t>
  </si>
  <si>
    <t>fg-knowledge-authority-ElicitationSessions.IsSingleWitnessMethod</t>
  </si>
  <si>
    <t>fg-knowledge-authority-ElicitationSessions.PractitionerIsStillEngaged</t>
  </si>
  <si>
    <t>fg-knowledge-authority-ElicitationSessions.ValidFragmentsProduced</t>
  </si>
  <si>
    <t>fg-knowledge-authority-ElicitationSessions.IsHighYieldSession</t>
  </si>
  <si>
    <t>fg-knowledge-authority-ElicitationSessions.IsConcentratedSingleWitness</t>
  </si>
  <si>
    <t>fg-knowledge-authority-ElicitationSessions.IsStaleConcentratedWitness</t>
  </si>
  <si>
    <t>fg-knowledge-authority-ElicitationSessions.ConcentratedSessionVersionKey</t>
  </si>
  <si>
    <t>fg-knowledge-authority-ElicitationSessions.SemanticTypeIri</t>
  </si>
  <si>
    <t>fg-knowledge-authority-Errors.ErrorId</t>
  </si>
  <si>
    <t>fg-knowledge-authority-Errors.Name</t>
  </si>
  <si>
    <t>fg-knowledge-authority-Errors.Label</t>
  </si>
  <si>
    <t>fg-knowledge-authority-Errors.ErrorCode</t>
  </si>
  <si>
    <t>fg-knowledge-authority-Errors.ErrorCause</t>
  </si>
  <si>
    <t>fg-knowledge-authority-Errors.SemanticTypeIri</t>
  </si>
  <si>
    <t>fg-knowledge-authority-EvaluationContexts.EvaluationContextId</t>
  </si>
  <si>
    <t>fg-knowledge-authority-EvaluationContexts.Name</t>
  </si>
  <si>
    <t>fg-knowledge-authority-EvaluationContexts.Label</t>
  </si>
  <si>
    <t>fg-knowledge-authority-EvaluationContexts.AsOfInstant</t>
  </si>
  <si>
    <t>fg-knowledge-authority-EvaluationContexts.IsCurrent</t>
  </si>
  <si>
    <t>fg-knowledge-authority-EvaluationContexts.Rationale</t>
  </si>
  <si>
    <t>fg-knowledge-authority-EvaluationContexts.SemanticTypeIri</t>
  </si>
  <si>
    <t>fg-knowledge-authority-ExceptionInvocations.ExceptionInvocationId</t>
  </si>
  <si>
    <t>fg-knowledge-authority-ExceptionInvocations.Name</t>
  </si>
  <si>
    <t>fg-knowledge-authority-ExceptionInvocations.StepExecution</t>
  </si>
  <si>
    <t>fg-knowledge-authority-ExceptionInvocations.Exception</t>
  </si>
  <si>
    <t>fg-knowledge-authority-ExceptionInvocations.InvokedByAgent</t>
  </si>
  <si>
    <t>fg-knowledge-authority-ExceptionInvocations.ApprovedByAgent</t>
  </si>
  <si>
    <t>fg-knowledge-authority-ExceptionInvocations.InvokedAt</t>
  </si>
  <si>
    <t>fg-knowledge-authority-ExceptionInvocations.HandlingApplied</t>
  </si>
  <si>
    <t>fg-knowledge-authority-ExceptionInvocations.ExpectedHandling</t>
  </si>
  <si>
    <t>fg-knowledge-authority-ExceptionInvocations.RequiredApprovalRole</t>
  </si>
  <si>
    <t>fg-knowledge-authority-ExceptionInvocations.RequiredApprovalRoleHolder</t>
  </si>
  <si>
    <t>fg-knowledge-authority-ExceptionInvocations.ApprovalRoleMatches</t>
  </si>
  <si>
    <t>fg-knowledge-authority-ExceptionInvocations.IsApproved</t>
  </si>
  <si>
    <t>fg-knowledge-authority-ExceptionInvocations.IsImproperlyApproved</t>
  </si>
  <si>
    <t>fg-knowledge-authority-ExceptionInvocations.InvokerAgentKind</t>
  </si>
  <si>
    <t>fg-knowledge-authority-ExceptionInvocations.InvokerAlsoPreparedKey</t>
  </si>
  <si>
    <t>fg-knowledge-authority-ExceptionInvocations.ParentProcedureExecution</t>
  </si>
  <si>
    <t>fg-knowledge-authority-ExceptionInvocations.ApproverPreparedCount</t>
  </si>
  <si>
    <t>fg-knowledge-authority-ExceptionInvocations.DelegatedToPreparer</t>
  </si>
  <si>
    <t>fg-knowledge-authority-ExceptionInvocations.IsUngovernedInvocation</t>
  </si>
  <si>
    <t>fg-knowledge-authority-ExceptionInvocations.SemanticTypeIri</t>
  </si>
  <si>
    <t>fg-knowledge-authority-Exceptions.ExceptionId</t>
  </si>
  <si>
    <t>fg-knowledge-authority-Exceptions.Name</t>
  </si>
  <si>
    <t>fg-knowledge-authority-Exceptions.ProcedureVersion</t>
  </si>
  <si>
    <t>fg-knowledge-authority-Exceptions.TriggerStep</t>
  </si>
  <si>
    <t>fg-knowledge-authority-Exceptions.Condition</t>
  </si>
  <si>
    <t>fg-knowledge-authority-Exceptions.Handling</t>
  </si>
  <si>
    <t>fg-knowledge-authority-Exceptions.ApprovalRole</t>
  </si>
  <si>
    <t>fg-knowledge-authority-Exceptions.FallbackRole</t>
  </si>
  <si>
    <t>fg-knowledge-authority-Exceptions.Status</t>
  </si>
  <si>
    <t>fg-knowledge-authority-Exceptions.ActiveExceptionStepKey</t>
  </si>
  <si>
    <t>fg-knowledge-authority-Exceptions.SemanticTypeIri</t>
  </si>
  <si>
    <t>fg-knowledge-authority-Explanations.ExplanationId</t>
  </si>
  <si>
    <t>fg-knowledge-authority-Explanations.Name</t>
  </si>
  <si>
    <t>fg-knowledge-authority-Explanations.ProcedureVersion</t>
  </si>
  <si>
    <t>fg-knowledge-authority-Explanations.Step</t>
  </si>
  <si>
    <t>fg-knowledge-authority-Explanations.Title</t>
  </si>
  <si>
    <t>fg-knowledge-authority-Explanations.Description</t>
  </si>
  <si>
    <t>fg-knowledge-authority-Explanations.SemanticTypeIri</t>
  </si>
  <si>
    <t>fg-knowledge-authority-Functions.FunctionId</t>
  </si>
  <si>
    <t>fg-knowledge-authority-Functions.Name</t>
  </si>
  <si>
    <t>fg-knowledge-authority-Functions.Label</t>
  </si>
  <si>
    <t>fg-knowledge-authority-Functions.Definition</t>
  </si>
  <si>
    <t>fg-knowledge-authority-Functions.ImplementationKey</t>
  </si>
  <si>
    <t>fg-knowledge-authority-Functions.SemanticTypeIri</t>
  </si>
  <si>
    <t>fg-knowledge-authority-IssueOccurrences.IssueOccurrenceId</t>
  </si>
  <si>
    <t>fg-knowledge-authority-IssueOccurrences.Name</t>
  </si>
  <si>
    <t>fg-knowledge-authority-IssueOccurrences.StepExecution</t>
  </si>
  <si>
    <t>fg-knowledge-authority-IssueOccurrences.Error</t>
  </si>
  <si>
    <t>fg-knowledge-authority-IssueOccurrences.EncounteredByAgent</t>
  </si>
  <si>
    <t>fg-knowledge-authority-IssueOccurrences.OccurredAt</t>
  </si>
  <si>
    <t>fg-knowledge-authority-IssueOccurrences.IssueCause</t>
  </si>
  <si>
    <t>fg-knowledge-authority-IssueOccurrences.IssueSolution</t>
  </si>
  <si>
    <t>fg-knowledge-authority-IssueOccurrences.Status</t>
  </si>
  <si>
    <t>fg-knowledge-authority-IssueOccurrences.IsUnresolved</t>
  </si>
  <si>
    <t>fg-knowledge-authority-IssueOccurrences.StepExecutionWhenUnresolved</t>
  </si>
  <si>
    <t>fg-knowledge-authority-IssueOccurrences.SemanticTypeIri</t>
  </si>
  <si>
    <t>fg-knowledge-authority-KnowledgeFragments.KnowledgeFragmentId</t>
  </si>
  <si>
    <t>fg-knowledge-authority-KnowledgeFragments.Name</t>
  </si>
  <si>
    <t>fg-knowledge-authority-KnowledgeFragments.ProcedureVersion</t>
  </si>
  <si>
    <t>fg-knowledge-authority-KnowledgeFragments.Step</t>
  </si>
  <si>
    <t>fg-knowledge-authority-KnowledgeFragments.KnowledgeForm</t>
  </si>
  <si>
    <t>fg-knowledge-authority-KnowledgeFragments.Statement</t>
  </si>
  <si>
    <t>fg-knowledge-authority-KnowledgeFragments.ElicitationSession</t>
  </si>
  <si>
    <t>fg-knowledge-authority-KnowledgeFragments.SourceAgent</t>
  </si>
  <si>
    <t>fg-knowledge-authority-KnowledgeFragments.Confidence</t>
  </si>
  <si>
    <t>fg-knowledge-authority-KnowledgeFragments.ValidFrom</t>
  </si>
  <si>
    <t>fg-knowledge-authority-KnowledgeFragments.ValidTo</t>
  </si>
  <si>
    <t>fg-knowledge-authority-KnowledgeFragments.Status</t>
  </si>
  <si>
    <t>fg-knowledge-authority-KnowledgeFragments.OwnerRole</t>
  </si>
  <si>
    <t>fg-knowledge-authority-KnowledgeFragments.EvaluationContext</t>
  </si>
  <si>
    <t>fg-knowledge-authority-KnowledgeFragments.AsOfInstant</t>
  </si>
  <si>
    <t>fg-knowledge-authority-KnowledgeFragments.IsCurrentlyValid</t>
  </si>
  <si>
    <t>fg-knowledge-authority-KnowledgeFragments.SourceAgentIsStillEngaged</t>
  </si>
  <si>
    <t>fg-knowledge-authority-KnowledgeFragments.SourceAgentKind</t>
  </si>
  <si>
    <t>fg-knowledge-authority-KnowledgeFragments.HasHumanSource</t>
  </si>
  <si>
    <t>fg-knowledge-authority-KnowledgeFragments.HasOrphanedProvenance</t>
  </si>
  <si>
    <t>fg-knowledge-authority-KnowledgeFragments.IsUndefendableTacitClaim</t>
  </si>
  <si>
    <t>fg-knowledge-authority-KnowledgeFragments.IsApproved</t>
  </si>
  <si>
    <t>fg-knowledge-authority-KnowledgeFragments.IsWithinValidityWindow</t>
  </si>
  <si>
    <t>fg-knowledge-authority-KnowledgeFragments.IsReliedUpon</t>
  </si>
  <si>
    <t>fg-knowledge-authority-KnowledgeFragments.StepProcedureVersionStatus</t>
  </si>
  <si>
    <t>fg-knowledge-authority-KnowledgeFragments.IsAttachedToLiveVersion</t>
  </si>
  <si>
    <t>fg-knowledge-authority-KnowledgeFragments.IsUnapprovedButReliedOn</t>
  </si>
  <si>
    <t>fg-knowledge-authority-KnowledgeFragments.EvidenceAgeDays</t>
  </si>
  <si>
    <t>fg-knowledge-authority-KnowledgeFragments.HasRecordedElicitation</t>
  </si>
  <si>
    <t>fg-knowledge-authority-KnowledgeFragments.IsFromSingleWitness</t>
  </si>
  <si>
    <t>fg-knowledge-authority-KnowledgeFragments.EvidenceExpiryDays</t>
  </si>
  <si>
    <t>fg-knowledge-authority-KnowledgeFragments.EvidenceHasExpired</t>
  </si>
  <si>
    <t>fg-knowledge-authority-KnowledgeFragments.OwnerAgent</t>
  </si>
  <si>
    <t>fg-knowledge-authority-KnowledgeFragments.IsAwaitingApproval</t>
  </si>
  <si>
    <t>fg-knowledge-authority-KnowledgeFragments.OwnerIsMe</t>
  </si>
  <si>
    <t>fg-knowledge-authority-KnowledgeFragments.IsMyUnfinishedApproval</t>
  </si>
  <si>
    <t>fg-knowledge-authority-KnowledgeFragments.IsInvokedByAnException</t>
  </si>
  <si>
    <t>fg-knowledge-authority-KnowledgeFragments.HasOperationalReliance</t>
  </si>
  <si>
    <t>fg-knowledge-authority-KnowledgeFragments.IsUnapprovedAndOperationallyLive</t>
  </si>
  <si>
    <t>fg-knowledge-authority-KnowledgeFragments.AgeDays</t>
  </si>
  <si>
    <t>fg-knowledge-authority-KnowledgeFragments.IsLowConfidence</t>
  </si>
  <si>
    <t>fg-knowledge-authority-KnowledgeFragments.OwningVersionCadenceDays</t>
  </si>
  <si>
    <t>fg-knowledge-authority-KnowledgeFragments.ExceedsOwningCadence</t>
  </si>
  <si>
    <t>fg-knowledge-authority-KnowledgeFragments.IsAgingLowConfidenceClaim</t>
  </si>
  <si>
    <t>fg-knowledge-authority-KnowledgeFragments.OwnerRoleAgentKind</t>
  </si>
  <si>
    <t>fg-knowledge-authority-KnowledgeFragments.IsHumanOwned</t>
  </si>
  <si>
    <t>fg-knowledge-authority-KnowledgeFragments.IsAiValidatedByAi</t>
  </si>
  <si>
    <t>fg-knowledge-authority-KnowledgeFragments.ReviewCadenceDays</t>
  </si>
  <si>
    <t>fg-knowledge-authority-KnowledgeFragments.IsOverdueForReview</t>
  </si>
  <si>
    <t>fg-knowledge-authority-KnowledgeFragments.PredatesCurrentRoleHolder</t>
  </si>
  <si>
    <t>fg-knowledge-authority-KnowledgeFragments.OwnerRoleAssignmentValidFrom</t>
  </si>
  <si>
    <t>fg-knowledge-authority-KnowledgeFragments.LastReviewedAt</t>
  </si>
  <si>
    <t>fg-knowledge-authority-KnowledgeFragments.FragilitySignalCount</t>
  </si>
  <si>
    <t>fg-knowledge-authority-KnowledgeFragments.IsCompoundFragile</t>
  </si>
  <si>
    <t>fg-knowledge-authority-KnowledgeFragments.IsSinglePointOfFailure</t>
  </si>
  <si>
    <t>fg-knowledge-authority-KnowledgeFragments.IsExpiringSinglePointOfFailure</t>
  </si>
  <si>
    <t>fg-knowledge-authority-KnowledgeFragments.CompoundFragileVersionKey</t>
  </si>
  <si>
    <t>fg-knowledge-authority-KnowledgeFragments.ValidFragmentSessionKey</t>
  </si>
  <si>
    <t>fg-knowledge-authority-KnowledgeFragments.ConsumingStepIsSoftwareAssigned</t>
  </si>
  <si>
    <t>fg-knowledge-authority-KnowledgeFragments.ConsumingStepAgentKind</t>
  </si>
  <si>
    <t>fg-knowledge-authority-KnowledgeFragments.IsUnapprovedAndMachineConsumed</t>
  </si>
  <si>
    <t>fg-knowledge-authority-KnowledgeFragments.IsUnapprovedAndHumanConsumed</t>
  </si>
  <si>
    <t>fg-knowledge-authority-KnowledgeFragments.MachineConsumedUnapprovedVersionKey</t>
  </si>
  <si>
    <t>fg-knowledge-authority-KnowledgeFragments.HasReviewRecord</t>
  </si>
  <si>
    <t>fg-knowledge-authority-KnowledgeFragments.DaysSinceActualReview</t>
  </si>
  <si>
    <t>fg-knowledge-authority-KnowledgeFragments.IsUnreviewedSinceAuthoring</t>
  </si>
  <si>
    <t>fg-knowledge-authority-KnowledgeFragments.IsGenuinelyOverdue</t>
  </si>
  <si>
    <t>fg-knowledge-authority-KnowledgeFragments.ReviewRecencyIsInferred</t>
  </si>
  <si>
    <t>fg-knowledge-authority-KnowledgeFragments.InferenceDisagreesWithRecord</t>
  </si>
  <si>
    <t>fg-knowledge-authority-KnowledgeFragments.GenuinelyOverdueVersionKey</t>
  </si>
  <si>
    <t>fg-knowledge-authority-KnowledgeFragments.RatifiedBoundaryCount</t>
  </si>
  <si>
    <t>fg-knowledge-authority-KnowledgeFragments.RelianceSurfaceCount</t>
  </si>
  <si>
    <t>fg-knowledge-authority-KnowledgeFragments.DaysAwaitingMyApproval</t>
  </si>
  <si>
    <t>fg-knowledge-authority-KnowledgeFragments.IsHighBlastRadiusUnapproved</t>
  </si>
  <si>
    <t>fg-knowledge-authority-KnowledgeFragments.IsLongUnapproved</t>
  </si>
  <si>
    <t>fg-knowledge-authority-KnowledgeFragments.UnapprovedLoadBearingVersionKey</t>
  </si>
  <si>
    <t>fg-knowledge-authority-KnowledgeFragments.OwnerRoleIsVacated</t>
  </si>
  <si>
    <t>fg-knowledge-authority-KnowledgeFragments.IsOrphanedByRole</t>
  </si>
  <si>
    <t>fg-knowledge-authority-KnowledgeFragments.ValidFragmentVersionKey</t>
  </si>
  <si>
    <t>fg-knowledge-authority-KnowledgeFragments.SemanticTypeIri</t>
  </si>
  <si>
    <t>fg-knowledge-authority-KnowledgeGaps.KnowledgeGapId</t>
  </si>
  <si>
    <t>fg-knowledge-authority-KnowledgeGaps.Name</t>
  </si>
  <si>
    <t>fg-knowledge-authority-KnowledgeGaps.ProcedureVersion</t>
  </si>
  <si>
    <t>fg-knowledge-authority-KnowledgeGaps.Step</t>
  </si>
  <si>
    <t>fg-knowledge-authority-KnowledgeGaps.Statement</t>
  </si>
  <si>
    <t>fg-knowledge-authority-KnowledgeGaps.Severity</t>
  </si>
  <si>
    <t>fg-knowledge-authority-KnowledgeGaps.BlockingKind</t>
  </si>
  <si>
    <t>fg-knowledge-authority-KnowledgeGaps.Status</t>
  </si>
  <si>
    <t>fg-knowledge-authority-KnowledgeGaps.OwnerRole</t>
  </si>
  <si>
    <t>fg-knowledge-authority-KnowledgeGaps.IdentifiedAt</t>
  </si>
  <si>
    <t>fg-knowledge-authority-KnowledgeGaps.ResolutionPlan</t>
  </si>
  <si>
    <t>fg-knowledge-authority-KnowledgeGaps.IsOpen</t>
  </si>
  <si>
    <t>fg-knowledge-authority-KnowledgeGaps.OpenGapVersionKey</t>
  </si>
  <si>
    <t>fg-knowledge-authority-KnowledgeGaps.IsBlocking</t>
  </si>
  <si>
    <t>fg-knowledge-authority-KnowledgeGaps.IsOpenAndBlocking</t>
  </si>
  <si>
    <t>fg-knowledge-authority-KnowledgeGaps.EvaluationContext</t>
  </si>
  <si>
    <t>fg-knowledge-authority-KnowledgeGaps.AsOfInstant</t>
  </si>
  <si>
    <t>fg-knowledge-authority-KnowledgeGaps.DaysOpen</t>
  </si>
  <si>
    <t>fg-knowledge-authority-KnowledgeGaps.ToleranceDays</t>
  </si>
  <si>
    <t>fg-knowledge-authority-KnowledgeGaps.IsOverdueGap</t>
  </si>
  <si>
    <t>fg-knowledge-authority-KnowledgeGaps.OwnerAgent</t>
  </si>
  <si>
    <t>fg-knowledge-authority-KnowledgeGaps.OwnerIsStillEngaged</t>
  </si>
  <si>
    <t>fg-knowledge-authority-KnowledgeGaps.HasResolutionPlan</t>
  </si>
  <si>
    <t>fg-knowledge-authority-KnowledgeGaps.IsAbandonedUnknown</t>
  </si>
  <si>
    <t>fg-knowledge-authority-KnowledgeGaps.OpenBlockingGapVersionKey</t>
  </si>
  <si>
    <t>fg-knowledge-authority-KnowledgeGaps.OwnerRoleIsVacated</t>
  </si>
  <si>
    <t>fg-knowledge-authority-KnowledgeGaps.IsOwnerlessOpenGap</t>
  </si>
  <si>
    <t>fg-knowledge-authority-KnowledgeGaps.SemanticTypeIri</t>
  </si>
  <si>
    <t>fg-knowledge-authority-LearningActivities.LearningActivityId</t>
  </si>
  <si>
    <t>fg-knowledge-authority-LearningActivities.Name</t>
  </si>
  <si>
    <t>fg-knowledge-authority-LearningActivities.CommunityOfPractice</t>
  </si>
  <si>
    <t>fg-knowledge-authority-LearningActivities.ProcedureVersion</t>
  </si>
  <si>
    <t>fg-knowledge-authority-LearningActivities.ActivityKind</t>
  </si>
  <si>
    <t>fg-knowledge-authority-LearningActivities.OccurredAt</t>
  </si>
  <si>
    <t>fg-knowledge-authority-LearningActivities.FacilitatorAgent</t>
  </si>
  <si>
    <t>fg-knowledge-authority-LearningActivities.Outcome</t>
  </si>
  <si>
    <t>fg-knowledge-authority-LearningActivities.EvidenceResource</t>
  </si>
  <si>
    <t>fg-knowledge-authority-LearningActivities.SemanticTypeIri</t>
  </si>
  <si>
    <t>fg-knowledge-authority-Mentorships.MentorshipId</t>
  </si>
  <si>
    <t>fg-knowledge-authority-Mentorships.Name</t>
  </si>
  <si>
    <t>fg-knowledge-authority-Mentorships.CommunityOfPractice</t>
  </si>
  <si>
    <t>fg-knowledge-authority-Mentorships.MentorAgent</t>
  </si>
  <si>
    <t>fg-knowledge-authority-Mentorships.LearnerAgent</t>
  </si>
  <si>
    <t>fg-knowledge-authority-Mentorships.ValidFrom</t>
  </si>
  <si>
    <t>fg-knowledge-authority-Mentorships.ValidTo</t>
  </si>
  <si>
    <t>fg-knowledge-authority-Mentorships.LearningObjective</t>
  </si>
  <si>
    <t>fg-knowledge-authority-Mentorships.EvidenceOfCompletion</t>
  </si>
  <si>
    <t>fg-knowledge-authority-Mentorships.SemanticTypeIri</t>
  </si>
  <si>
    <t>fg-knowledge-authority-MessageDeliveries.MessageDeliveryId</t>
  </si>
  <si>
    <t>fg-knowledge-authority-MessageDeliveries.Name</t>
  </si>
  <si>
    <t>fg-knowledge-authority-MessageDeliveries.ProcedureExecution</t>
  </si>
  <si>
    <t>fg-knowledge-authority-MessageDeliveries.StepExecution</t>
  </si>
  <si>
    <t>fg-knowledge-authority-MessageDeliveries.Recipient</t>
  </si>
  <si>
    <t>fg-knowledge-authority-MessageDeliveries.MessageTemplate</t>
  </si>
  <si>
    <t>fg-knowledge-authority-MessageDeliveries.SentByAgent</t>
  </si>
  <si>
    <t>fg-knowledge-authority-MessageDeliveries.RenderedBody</t>
  </si>
  <si>
    <t>fg-knowledge-authority-MessageDeliveries.SentAt</t>
  </si>
  <si>
    <t>fg-knowledge-authority-MessageDeliveries.SentAtLocalHour</t>
  </si>
  <si>
    <t>fg-knowledge-authority-MessageDeliveries.DeliveryStatus</t>
  </si>
  <si>
    <t>fg-knowledge-authority-MessageDeliveries.SuppressionReason</t>
  </si>
  <si>
    <t>fg-knowledge-authority-MessageDeliveries.InvokedException</t>
  </si>
  <si>
    <t>fg-knowledge-authority-MessageDeliveries.AcknowledgedAt</t>
  </si>
  <si>
    <t>fg-knowledge-authority-MessageDeliveries.PolicyChannel</t>
  </si>
  <si>
    <t>fg-knowledge-authority-MessageDeliveries.ChannelName</t>
  </si>
  <si>
    <t>fg-knowledge-authority-MessageDeliveries.PolicyRequiresConsent</t>
  </si>
  <si>
    <t>fg-knowledge-authority-MessageDeliveries.RecipientHasSmsConsent</t>
  </si>
  <si>
    <t>fg-knowledge-authority-MessageDeliveries.WasActuallyTransmitted</t>
  </si>
  <si>
    <t>fg-knowledge-authority-MessageDeliveries.IsConsentViolation</t>
  </si>
  <si>
    <t>fg-knowledge-authority-MessageDeliveries.ConsentViolationPolicyKey</t>
  </si>
  <si>
    <t>fg-knowledge-authority-MessageDeliveries.PolicyQuietHoursStartHour</t>
  </si>
  <si>
    <t>fg-knowledge-authority-MessageDeliveries.PolicyQuietHoursEndHour</t>
  </si>
  <si>
    <t>fg-knowledge-authority-MessageDeliveries.PolicyHasQuietHours</t>
  </si>
  <si>
    <t>fg-knowledge-authority-MessageDeliveries.QuietWindowWrapsMidnight</t>
  </si>
  <si>
    <t>fg-knowledge-authority-MessageDeliveries.IsInsideQuietWindow</t>
  </si>
  <si>
    <t>fg-knowledge-authority-MessageDeliveries.IsQuietHoursViolation</t>
  </si>
  <si>
    <t>fg-knowledge-authority-MessageDeliveries.QuietHoursViolationPolicyKey</t>
  </si>
  <si>
    <t>fg-knowledge-authority-MessageDeliveries.RecipientIsUnreachable</t>
  </si>
  <si>
    <t>fg-knowledge-authority-MessageDeliveries.IsAcknowledged</t>
  </si>
  <si>
    <t>fg-knowledge-authority-MessageDeliveries.InvokedExceptionCondition</t>
  </si>
  <si>
    <t>fg-knowledge-authority-MessageDeliveries.HasUnreachableExceptionInvoked</t>
  </si>
  <si>
    <t>fg-knowledge-authority-MessageDeliveries.IsFabricatedAcknowledgement</t>
  </si>
  <si>
    <t>fg-knowledge-authority-MessageDeliveries.IsUnhandledUnreachable</t>
  </si>
  <si>
    <t>fg-knowledge-authority-MessageDeliveries.UnreachableFailureKey</t>
  </si>
  <si>
    <t>fg-knowledge-authority-MessageDeliveries.PolicyRetentionDays</t>
  </si>
  <si>
    <t>fg-knowledge-authority-MessageDeliveries.EvaluationContext</t>
  </si>
  <si>
    <t>fg-knowledge-authority-MessageDeliveries.AsOfInstant</t>
  </si>
  <si>
    <t>fg-knowledge-authority-MessageDeliveries.AgeDays</t>
  </si>
  <si>
    <t>fg-knowledge-authority-MessageDeliveries.IsWithinRetentionWindow</t>
  </si>
  <si>
    <t>fg-knowledge-authority-MessageDeliveries.HasRenderedBody</t>
  </si>
  <si>
    <t>fg-knowledge-authority-MessageDeliveries.IsEvidenceRequired</t>
  </si>
  <si>
    <t>fg-knowledge-authority-MessageDeliveries.IsRetentionBreach</t>
  </si>
  <si>
    <t>fg-knowledge-authority-MessageDeliveries.RetentionBreachExecutionKey</t>
  </si>
  <si>
    <t>fg-knowledge-authority-MessageDeliveries.SendingStepExecutionStep</t>
  </si>
  <si>
    <t>fg-knowledge-authority-MessageDeliveries.ExecutionHasClearedLegalReview</t>
  </si>
  <si>
    <t>fg-knowledge-authority-MessageDeliveries.IsUnreviewedSend</t>
  </si>
  <si>
    <t>fg-knowledge-authority-MessageDeliveries.RenderedBodyLength</t>
  </si>
  <si>
    <t>fg-knowledge-authority-MessageDeliveries.PolicyMaxMessageLengthAtSend</t>
  </si>
  <si>
    <t>fg-knowledge-authority-MessageDeliveries.SegmentCount</t>
  </si>
  <si>
    <t>fg-knowledge-authority-MessageDeliveries.PolicyMaxSegmentsAtSend</t>
  </si>
  <si>
    <t>fg-knowledge-authority-MessageDeliveries.IsOverSegmentLimit</t>
  </si>
  <si>
    <t>fg-knowledge-authority-MessageDeliveries.TemplateHasValidApproval</t>
  </si>
  <si>
    <t>fg-knowledge-authority-MessageDeliveries.IsUnapprovedSend</t>
  </si>
  <si>
    <t>fg-knowledge-authority-MessageDeliveries.PolicyRequiredOptOutPhrase</t>
  </si>
  <si>
    <t>fg-knowledge-authority-MessageDeliveries.PolicyRequiresOptOut</t>
  </si>
  <si>
    <t>fg-knowledge-authority-MessageDeliveries.OptOutPhrasePosition</t>
  </si>
  <si>
    <t>fg-knowledge-authority-MessageDeliveries.HasOptOutPhrase</t>
  </si>
  <si>
    <t>fg-knowledge-authority-MessageDeliveries.IsOptOutInFirstSegment</t>
  </si>
  <si>
    <t>fg-knowledge-authority-MessageDeliveries.IsMissingRequiredOptOut</t>
  </si>
  <si>
    <t>fg-knowledge-authority-MessageDeliveries.IsOptOutAtRiskOfTruncation</t>
  </si>
  <si>
    <t>fg-knowledge-authority-MessageDeliveries.IsFailedDelivery</t>
  </si>
  <si>
    <t>fg-knowledge-authority-MessageDeliveries.IsSuppressed</t>
  </si>
  <si>
    <t>fg-knowledge-authority-MessageDeliveries.IsTriaged</t>
  </si>
  <si>
    <t>fg-knowledge-authority-MessageDeliveries.IsAbandonedFailure</t>
  </si>
  <si>
    <t>fg-knowledge-authority-MessageDeliveries.AbandonedFailureExecutionKey</t>
  </si>
  <si>
    <t>fg-knowledge-authority-MessageDeliveries.ReachedExecutionKey</t>
  </si>
  <si>
    <t>fg-knowledge-authority-MessageDeliveries.TemplateWasSendable</t>
  </si>
  <si>
    <t>fg-knowledge-authority-MessageDeliveries.IsDriftedSend</t>
  </si>
  <si>
    <t>fg-knowledge-authority-MessageDeliveries.DriftedSendTemplateKey</t>
  </si>
  <si>
    <t>fg-knowledge-authority-MessageDeliveries.WasSentOutsideBusinessHours</t>
  </si>
  <si>
    <t>fg-knowledge-authority-MessageDeliveries.WasDeliveredAndUnanswered</t>
  </si>
  <si>
    <t>fg-knowledge-authority-MessageDeliveries.IsPoorlyTimedUnanswered</t>
  </si>
  <si>
    <t>fg-knowledge-authority-MessageDeliveries.IsWellTimedUnanswered</t>
  </si>
  <si>
    <t>fg-knowledge-authority-MessageDeliveries.UnansweredTemplateKey</t>
  </si>
  <si>
    <t>fg-knowledge-authority-MessageDeliveries.TransmittedTemplateKey</t>
  </si>
  <si>
    <t>fg-knowledge-authority-MessageDeliveries.ApprovingAgentAtSend</t>
  </si>
  <si>
    <t>fg-knowledge-authority-MessageDeliveries.ApprovingRoleAtSend</t>
  </si>
  <si>
    <t>fg-knowledge-authority-MessageDeliveries.ApprovalDecidedAtSend</t>
  </si>
  <si>
    <t>fg-knowledge-authority-MessageDeliveries.ApprovalPrecededSend</t>
  </si>
  <si>
    <t>fg-knowledge-authority-MessageDeliveries.HasFrozenApprovalEvidence</t>
  </si>
  <si>
    <t>fg-knowledge-authority-MessageDeliveries.ProvenanceIsLiveDerived</t>
  </si>
  <si>
    <t>fg-knowledge-authority-MessageDeliveries.CurrentLastApprovalAt</t>
  </si>
  <si>
    <t>fg-knowledge-authority-MessageDeliveries.TemplateReapprovedSinceSend</t>
  </si>
  <si>
    <t>fg-knowledge-authority-MessageDeliveries.IsUnprovableApprovalClaim</t>
  </si>
  <si>
    <t>fg-knowledge-authority-MessageDeliveries.ReminderSentAt</t>
  </si>
  <si>
    <t>fg-knowledge-authority-MessageDeliveries.ReminderCount</t>
  </si>
  <si>
    <t>fg-knowledge-authority-MessageDeliveries.HasSentReminder</t>
  </si>
  <si>
    <t>fg-knowledge-authority-MessageDeliveries.AcknowledgementIsOutstanding</t>
  </si>
  <si>
    <t>fg-knowledge-authority-MessageDeliveries.OutstandingAgeDays</t>
  </si>
  <si>
    <t>fg-knowledge-authority-MessageDeliveries.IsUnchasedAcknowledgement</t>
  </si>
  <si>
    <t>fg-knowledge-authority-MessageDeliveries.IsExhaustedFollowUp</t>
  </si>
  <si>
    <t>fg-knowledge-authority-MessageDeliveries.NeedsHumanEscalation</t>
  </si>
  <si>
    <t>fg-knowledge-authority-MessageDeliveries.SemanticTypeIri</t>
  </si>
  <si>
    <t>fg-knowledge-authority-MessageTemplates.MessageTemplateId</t>
  </si>
  <si>
    <t>fg-knowledge-authority-MessageTemplates.Name</t>
  </si>
  <si>
    <t>fg-knowledge-authority-MessageTemplates.CommunicationPolicy</t>
  </si>
  <si>
    <t>fg-knowledge-authority-MessageTemplates.Resource</t>
  </si>
  <si>
    <t>fg-knowledge-authority-MessageTemplates.SubjectTemplate</t>
  </si>
  <si>
    <t>fg-knowledge-authority-MessageTemplates.BodyTemplate</t>
  </si>
  <si>
    <t>fg-knowledge-authority-MessageTemplates.Locale</t>
  </si>
  <si>
    <t>fg-knowledge-authority-MessageTemplates.Status</t>
  </si>
  <si>
    <t>fg-knowledge-authority-MessageTemplates.PolicyMaxMessageLength</t>
  </si>
  <si>
    <t>fg-knowledge-authority-MessageTemplates.PolicyMaxSegments</t>
  </si>
  <si>
    <t>fg-knowledge-authority-MessageTemplates.BodyTemplateLength</t>
  </si>
  <si>
    <t>fg-knowledge-authority-MessageTemplates.IsTemplateOverLength</t>
  </si>
  <si>
    <t>fg-knowledge-authority-MessageTemplates.ValidApprovalCount</t>
  </si>
  <si>
    <t>fg-knowledge-authority-MessageTemplates.HasValidApproval</t>
  </si>
  <si>
    <t>fg-knowledge-authority-MessageTemplates.IsClaimingUnbackedApproval</t>
  </si>
  <si>
    <t>fg-knowledge-authority-MessageTemplates.CurrentBodyHash</t>
  </si>
  <si>
    <t>fg-knowledge-authority-MessageTemplates.LastApprovedBodyHash</t>
  </si>
  <si>
    <t>fg-knowledge-authority-MessageTemplates.LastValidApproval</t>
  </si>
  <si>
    <t>fg-knowledge-authority-MessageTemplates.HasBodyDrifted</t>
  </si>
  <si>
    <t>fg-knowledge-authority-MessageTemplates.IsSendableUnderApproval</t>
  </si>
  <si>
    <t>fg-knowledge-authority-MessageTemplates.DriftedSendCount</t>
  </si>
  <si>
    <t>fg-knowledge-authority-MessageTemplates.UnansweredDeliveryCount</t>
  </si>
  <si>
    <t>fg-knowledge-authority-MessageTemplates.TransmittedDeliveryCount</t>
  </si>
  <si>
    <t>fg-knowledge-authority-MessageTemplates.TemplateDrawsNoResponse</t>
  </si>
  <si>
    <t>fg-knowledge-authority-MessageTemplates.LastApprovalAt</t>
  </si>
  <si>
    <t>fg-knowledge-authority-MessageTemplates.SemanticTypeIri</t>
  </si>
  <si>
    <t>fg-knowledge-authority-ObservedTransitions.ObservedTransitionId</t>
  </si>
  <si>
    <t>fg-knowledge-authority-ObservedTransitions.Name</t>
  </si>
  <si>
    <t>fg-knowledge-authority-ObservedTransitions.ProcedureExecution</t>
  </si>
  <si>
    <t>fg-knowledge-authority-ObservedTransitions.StepTransition</t>
  </si>
  <si>
    <t>fg-knowledge-authority-ObservedTransitions.ArrivingStepExecution</t>
  </si>
  <si>
    <t>fg-knowledge-authority-ObservedTransitions.ObservedAt</t>
  </si>
  <si>
    <t>fg-knowledge-authority-ObservedTransitions.TriggerReason</t>
  </si>
  <si>
    <t>fg-knowledge-authority-ObservedTransitions.SemanticTypeIri</t>
  </si>
  <si>
    <t>fg-knowledge-authority-OntologyProfiles.OntologyProfileId</t>
  </si>
  <si>
    <t>fg-knowledge-authority-OntologyProfiles.Name</t>
  </si>
  <si>
    <t>fg-knowledge-authority-OntologyProfiles.Label</t>
  </si>
  <si>
    <t>fg-knowledge-authority-OntologyProfiles.Version</t>
  </si>
  <si>
    <t>fg-knowledge-authority-OntologyProfiles.VersionIri</t>
  </si>
  <si>
    <t>fg-knowledge-authority-OntologyProfiles.NamespaceIri</t>
  </si>
  <si>
    <t>fg-knowledge-authority-OntologyProfiles.License</t>
  </si>
  <si>
    <t>fg-knowledge-authority-OntologyProfiles.Scope</t>
  </si>
  <si>
    <t>fg-knowledge-authority-OperationalBindings.OperationalBindingId</t>
  </si>
  <si>
    <t>fg-knowledge-authority-OperationalBindings.Name</t>
  </si>
  <si>
    <t>fg-knowledge-authority-OperationalBindings.ProcedureVersion</t>
  </si>
  <si>
    <t>fg-knowledge-authority-OperationalBindings.Step</t>
  </si>
  <si>
    <t>fg-knowledge-authority-OperationalBindings.Resource</t>
  </si>
  <si>
    <t>fg-knowledge-authority-OperationalBindings.AccessMode</t>
  </si>
  <si>
    <t>fg-knowledge-authority-OperationalBindings.RecordOrSchemaKey</t>
  </si>
  <si>
    <t>fg-knowledge-authority-OperationalBindings.LastObservedAt</t>
  </si>
  <si>
    <t>fg-knowledge-authority-OperationalBindings.FreshnessSlaMinutes</t>
  </si>
  <si>
    <t>fg-knowledge-authority-OperationalBindings.IsAuthoritative</t>
  </si>
  <si>
    <t>fg-knowledge-authority-OperationalBindings.EvaluationContext</t>
  </si>
  <si>
    <t>fg-knowledge-authority-OperationalBindings.AsOfInstant</t>
  </si>
  <si>
    <t>fg-knowledge-authority-OperationalBindings.AgeMinutes</t>
  </si>
  <si>
    <t>fg-knowledge-authority-OperationalBindings.IsFresh</t>
  </si>
  <si>
    <t>fg-knowledge-authority-OperationalBindings.StaleBindingStepKey</t>
  </si>
  <si>
    <t>fg-knowledge-authority-OperationalBindings.AuthoritativeStaleStepKey</t>
  </si>
  <si>
    <t>fg-knowledge-authority-OperationalBindings.IsStaleAndAuthoritative</t>
  </si>
  <si>
    <t>fg-knowledge-authority-OperationalBindings.StepWhenStale</t>
  </si>
  <si>
    <t>fg-knowledge-authority-OperationalBindings.ResourceIsApproved</t>
  </si>
  <si>
    <t>fg-knowledge-authority-OperationalBindings.IsUsableForDrafting</t>
  </si>
  <si>
    <t>fg-knowledge-authority-OperationalBindings.StepWhenUnusable</t>
  </si>
  <si>
    <t>fg-knowledge-authority-OperationalBindings.SemanticTypeIri</t>
  </si>
  <si>
    <t>fg-knowledge-authority-Organizations.OrganizationId</t>
  </si>
  <si>
    <t>fg-knowledge-authority-Organizations.Name</t>
  </si>
  <si>
    <t>fg-knowledge-authority-Organizations.DisplayName</t>
  </si>
  <si>
    <t>fg-knowledge-authority-Organizations.OrganizationType</t>
  </si>
  <si>
    <t>fg-knowledge-authority-Organizations.ExternalIdentifier</t>
  </si>
  <si>
    <t>fg-knowledge-authority-Organizations.SemanticTypeIri</t>
  </si>
  <si>
    <t>fg-knowledge-authority-ProcedureExecutions.ProcedureExecutionId</t>
  </si>
  <si>
    <t>fg-knowledge-authority-ProcedureExecutions.Name</t>
  </si>
  <si>
    <t>fg-knowledge-authority-ProcedureExecutions.ProcedureVersion</t>
  </si>
  <si>
    <t>fg-knowledge-authority-ProcedureExecutions.ExecutionStatus</t>
  </si>
  <si>
    <t>fg-knowledge-authority-ProcedureExecutions.StartedAt</t>
  </si>
  <si>
    <t>fg-knowledge-authority-ProcedureExecutions.EndedAt</t>
  </si>
  <si>
    <t>fg-knowledge-authority-ProcedureExecutions.ExecutedByAgent</t>
  </si>
  <si>
    <t>fg-knowledge-authority-ProcedureExecutions.Context</t>
  </si>
  <si>
    <t>fg-knowledge-authority-ProcedureExecutions.OperationalRecordUri</t>
  </si>
  <si>
    <t>fg-knowledge-authority-ProcedureExecutions.ExpectedStepCount</t>
  </si>
  <si>
    <t>fg-knowledge-authority-ProcedureExecutions.CompletedStepCount</t>
  </si>
  <si>
    <t>fg-knowledge-authority-ProcedureExecutions.ControlBreachCount</t>
  </si>
  <si>
    <t>fg-knowledge-authority-ProcedureExecutions.LateStepCount</t>
  </si>
  <si>
    <t>fg-knowledge-authority-ProcedureExecutions.IsStructurallyComplete</t>
  </si>
  <si>
    <t>fg-knowledge-authority-ProcedureExecutions.DivergedFromSpecification</t>
  </si>
  <si>
    <t>fg-knowledge-authority-ProcedureExecutions.AllBlockingControlsEvaluated</t>
  </si>
  <si>
    <t>fg-knowledge-authority-ProcedureExecutions.UnevaluatedBlockingTotal</t>
  </si>
  <si>
    <t>fg-knowledge-authority-ProcedureExecutions.SeparationOfDutiesHeld</t>
  </si>
  <si>
    <t>fg-knowledge-authority-ProcedureExecutions.SeparationViolationCount</t>
  </si>
  <si>
    <t>fg-knowledge-authority-ProcedureExecutions.IsAttestationReady</t>
  </si>
  <si>
    <t>fg-knowledge-authority-ProcedureExecutions.AttestationBlockerSummary</t>
  </si>
  <si>
    <t>fg-knowledge-authority-ProcedureExecutions.ExecutedVersionIsFit</t>
  </si>
  <si>
    <t>fg-knowledge-authority-ProcedureExecutions.SignedAgainstUnfitVersion</t>
  </si>
  <si>
    <t>fg-knowledge-authority-ProcedureExecutions.AssertedOnlyControlCount</t>
  </si>
  <si>
    <t>fg-knowledge-authority-ProcedureExecutions.AssuranceIsMostlyAsserted</t>
  </si>
  <si>
    <t>fg-knowledge-authority-ProcedureExecutions.UnreachableHandlingFailureCount</t>
  </si>
  <si>
    <t>fg-knowledge-authority-ProcedureExecutions.RetentionBreachCount</t>
  </si>
  <si>
    <t>fg-knowledge-authority-ProcedureExecutions.ClearedLegalReviewCount</t>
  </si>
  <si>
    <t>fg-knowledge-authority-ProcedureExecutions.HasClearedLegalReview</t>
  </si>
  <si>
    <t>fg-knowledge-authority-ProcedureExecutions.AbandonedFailureCount</t>
  </si>
  <si>
    <t>fg-knowledge-authority-ProcedureExecutions.DeliveredCount</t>
  </si>
  <si>
    <t>fg-knowledge-authority-ProcedureExecutions.TotalDeliveryAttemptCount</t>
  </si>
  <si>
    <t>fg-knowledge-authority-ProcedureExecutions.HasAbandonedFailures</t>
  </si>
  <si>
    <t>fg-knowledge-authority-ProcedureExecutions.MishandledRefusalCount</t>
  </si>
  <si>
    <t>fg-knowledge-authority-ProcedureExecutions.UncleanStepCount</t>
  </si>
  <si>
    <t>fg-knowledge-authority-ProcedureExecutions.RanClean</t>
  </si>
  <si>
    <t>fg-knowledge-authority-ProcedureExecutions.CountOfApprovalExecutions</t>
  </si>
  <si>
    <t>fg-knowledge-authority-ProcedureExecutions.HasHumanApproval</t>
  </si>
  <si>
    <t>fg-knowledge-authority-ProcedureExecutions.CountOfDeliveryExecutions</t>
  </si>
  <si>
    <t>fg-knowledge-authority-ProcedureExecutions.HasDelivered</t>
  </si>
  <si>
    <t>fg-knowledge-authority-ProcedureExecutions.DeliveredWithoutApproval</t>
  </si>
  <si>
    <t>fg-knowledge-authority-ProcedureExecutions.InvalidApprovalCount</t>
  </si>
  <si>
    <t>fg-knowledge-authority-ProcedureExecutions.ApprovalChainIsComplete</t>
  </si>
  <si>
    <t>fg-knowledge-authority-ProcedureExecutions.VacuouslyCleanStepCount</t>
  </si>
  <si>
    <t>fg-knowledge-authority-ProcedureExecutions.PreparationStepCount</t>
  </si>
  <si>
    <t>fg-knowledge-authority-ProcedureExecutions.ApprovalStepCount</t>
  </si>
  <si>
    <t>fg-knowledge-authority-ProcedureExecutions.SeparationWasTestable</t>
  </si>
  <si>
    <t>fg-knowledge-authority-ProcedureExecutions.SeparationHeldUnderTest</t>
  </si>
  <si>
    <t>fg-knowledge-authority-ProcedureExecutions.SeparationIsVacuouslyGreen</t>
  </si>
  <si>
    <t>fg-knowledge-authority-ProcedureExecutions.SeparationAssuranceNote</t>
  </si>
  <si>
    <t>fg-knowledge-authority-ProcedureExecutions.UngovernedDivergenceCount</t>
  </si>
  <si>
    <t>fg-knowledge-authority-ProcedureExecutions.DivergenceWasFullyGoverned</t>
  </si>
  <si>
    <t>fg-knowledge-authority-ProcedureExecutions.ComputedlyWitnessedControlCount</t>
  </si>
  <si>
    <t>fg-knowledge-authority-ProcedureExecutions.EvaluatedControlCount</t>
  </si>
  <si>
    <t>fg-knowledge-authority-ProcedureExecutions.ComputedAssuranceRatio</t>
  </si>
  <si>
    <t>fg-knowledge-authority-ProcedureExecutions.InterestedPartyAssertionCount</t>
  </si>
  <si>
    <t>fg-knowledge-authority-ProcedureExecutions.AssuranceGrade</t>
  </si>
  <si>
    <t>fg-knowledge-authority-ProcedureExecutions.AttestationWouldBeWeaklyBased</t>
  </si>
  <si>
    <t>fg-knowledge-authority-ProcedureExecutions.IndependentHumanObservationCount</t>
  </si>
  <si>
    <t>fg-knowledge-authority-ProcedureExecutions.HasAnyIndependentObservation</t>
  </si>
  <si>
    <t>fg-knowledge-authority-ProcedureExecutions.SelfAttestedApprovalCount</t>
  </si>
  <si>
    <t>fg-knowledge-authority-ProcedureExecutions.AssuranceChainIsCircular</t>
  </si>
  <si>
    <t>fg-knowledge-authority-ProcedureExecutions.LatestAttestationInstant</t>
  </si>
  <si>
    <t>fg-knowledge-authority-ProcedureExecutions.HasBeenAttested</t>
  </si>
  <si>
    <t>fg-knowledge-authority-ProcedureExecutions.AttestationCount</t>
  </si>
  <si>
    <t>fg-knowledge-authority-ProcedureExecutions.PostAttestationScoreCount</t>
  </si>
  <si>
    <t>fg-knowledge-authority-ProcedureExecutions.BasisChangedAfterSignature</t>
  </si>
  <si>
    <t>fg-knowledge-authority-ProcedureExecutions.RequiresReAttestation</t>
  </si>
  <si>
    <t>fg-knowledge-authority-ProcedureExecutions.IntendedRecipientCount</t>
  </si>
  <si>
    <t>fg-knowledge-authority-ProcedureExecutions.ReachedRecipientCount</t>
  </si>
  <si>
    <t>fg-knowledge-authority-ProcedureExecutions.SilentlyDroppedCount</t>
  </si>
  <si>
    <t>fg-knowledge-authority-ProcedureExecutions.DeliveryYieldPercent</t>
  </si>
  <si>
    <t>fg-knowledge-authority-ProcedureExecutions.CampaignSilentlyLostAudience</t>
  </si>
  <si>
    <t>fg-knowledge-authority-ProcedureExecutions.UnrecordedRefusalCount</t>
  </si>
  <si>
    <t>fg-knowledge-authority-ProcedureExecutions.HasUnrecordedRefusals</t>
  </si>
  <si>
    <t>fg-knowledge-authority-ProcedureExecutions.IndependentlyConfirmedIntentCount</t>
  </si>
  <si>
    <t>fg-knowledge-authority-ProcedureExecutions.SendDecisionsAreEntirelySelfWitnessed</t>
  </si>
  <si>
    <t>fg-knowledge-authority-ProcedureExecutions.SemanticTypeIri</t>
  </si>
  <si>
    <t>fg-knowledge-authority-ProcedureResources.ProcedureResourceId</t>
  </si>
  <si>
    <t>fg-knowledge-authority-ProcedureResources.Name</t>
  </si>
  <si>
    <t>fg-knowledge-authority-ProcedureResources.ProcedureVersion</t>
  </si>
  <si>
    <t>fg-knowledge-authority-ProcedureResources.Resource</t>
  </si>
  <si>
    <t>fg-knowledge-authority-ProcedureResources.Relation</t>
  </si>
  <si>
    <t>fg-knowledge-authority-ProcedureResources.RelationIri</t>
  </si>
  <si>
    <t>fg-knowledge-authority-ProcedureStatusChanges.ProcedureStatusChangeId</t>
  </si>
  <si>
    <t>fg-knowledge-authority-ProcedureStatusChanges.Name</t>
  </si>
  <si>
    <t>fg-knowledge-authority-ProcedureStatusChanges.ProcedureVersion</t>
  </si>
  <si>
    <t>fg-knowledge-authority-ProcedureStatusChanges.FromStatus</t>
  </si>
  <si>
    <t>fg-knowledge-authority-ProcedureStatusChanges.ToStatus</t>
  </si>
  <si>
    <t>fg-knowledge-authority-ProcedureStatusChanges.ChangedAt</t>
  </si>
  <si>
    <t>fg-knowledge-authority-ProcedureStatusChanges.ChangedByAgent</t>
  </si>
  <si>
    <t>fg-knowledge-authority-ProcedureStatusChanges.Motivation</t>
  </si>
  <si>
    <t>fg-knowledge-authority-ProcedureStatusChanges.SemanticTypeIri</t>
  </si>
  <si>
    <t>fg-knowledge-authority-ProcedureTypes.ProcedureTypeId</t>
  </si>
  <si>
    <t>fg-knowledge-authority-ProcedureTypes.Name</t>
  </si>
  <si>
    <t>fg-knowledge-authority-ProcedureTypes.Label</t>
  </si>
  <si>
    <t>fg-knowledge-authority-ProcedureTypes.Definition</t>
  </si>
  <si>
    <t>fg-knowledge-authority-ProcedureTypes.SemanticTypeIri</t>
  </si>
  <si>
    <t>fg-knowledge-authority-ProcedureVersionLinks.ProcedureVersionLinkId</t>
  </si>
  <si>
    <t>fg-knowledge-authority-ProcedureVersionLinks.Name</t>
  </si>
  <si>
    <t>fg-knowledge-authority-ProcedureVersionLinks.PreviousProcedureVersion</t>
  </si>
  <si>
    <t>fg-knowledge-authority-ProcedureVersionLinks.NextProcedureVersion</t>
  </si>
  <si>
    <t>fg-knowledge-authority-ProcedureVersionLinks.RelationIri</t>
  </si>
  <si>
    <t>fg-knowledge-authority-ProcedureVersionLinks.ChangeSummary</t>
  </si>
  <si>
    <t>fg-knowledge-authority-ProcedureVersionLinks.SupersededVersionKey</t>
  </si>
  <si>
    <t>fg-knowledge-authority-ProcedureVersions.ProcedureVersionId</t>
  </si>
  <si>
    <t>fg-knowledge-authority-ProcedureVersions.Name</t>
  </si>
  <si>
    <t>fg-knowledge-authority-ProcedureVersions.Procedure</t>
  </si>
  <si>
    <t>fg-knowledge-authority-ProcedureVersions.VersionNumber</t>
  </si>
  <si>
    <t>fg-knowledge-authority-ProcedureVersions.Title</t>
  </si>
  <si>
    <t>fg-knowledge-authority-ProcedureVersions.Status</t>
  </si>
  <si>
    <t>fg-knowledge-authority-ProcedureVersions.IssuedAt</t>
  </si>
  <si>
    <t>fg-knowledge-authority-ProcedureVersions.ModifiedAt</t>
  </si>
  <si>
    <t>fg-knowledge-authority-ProcedureVersions.CreatedByAgent</t>
  </si>
  <si>
    <t>fg-knowledge-authority-ProcedureVersions.ModifiedByAgent</t>
  </si>
  <si>
    <t>fg-knowledge-authority-ProcedureVersions.NewVersionMotivation</t>
  </si>
  <si>
    <t>fg-knowledge-authority-ProcedureVersions.ChangelogDescription</t>
  </si>
  <si>
    <t>fg-knowledge-authority-ProcedureVersions.IsCurrent</t>
  </si>
  <si>
    <t>fg-knowledge-authority-ProcedureVersions.CountOfSteps</t>
  </si>
  <si>
    <t>fg-knowledge-authority-ProcedureVersions.CountOfOpenKnowledgeGaps</t>
  </si>
  <si>
    <t>fg-knowledge-authority-ProcedureVersions.IsReadyForExecution</t>
  </si>
  <si>
    <t>fg-knowledge-authority-ProcedureVersions.SpecifiedStepCount</t>
  </si>
  <si>
    <t>fg-knowledge-authority-ProcedureVersions.OverdueReviewCount</t>
  </si>
  <si>
    <t>fg-knowledge-authority-ProcedureVersions.OpenChangeRequestCount</t>
  </si>
  <si>
    <t>fg-knowledge-authority-ProcedureVersions.OpenHighSeverityGapCount</t>
  </si>
  <si>
    <t>fg-knowledge-authority-ProcedureVersions.IsFitToExecute</t>
  </si>
  <si>
    <t>fg-knowledge-authority-ProcedureVersions.StewardReviewCadenceDays</t>
  </si>
  <si>
    <t>fg-knowledge-authority-ProcedureVersions.CountOfStewardshipAssignments</t>
  </si>
  <si>
    <t>fg-knowledge-authority-ProcedureVersions.HasAnySteward</t>
  </si>
  <si>
    <t>fg-knowledge-authority-ProcedureVersions.IsLive</t>
  </si>
  <si>
    <t>fg-knowledge-authority-ProcedureVersions.IsUnstewarded</t>
  </si>
  <si>
    <t>fg-knowledge-authority-ProcedureVersions.IsLiveAndUnstewarded</t>
  </si>
  <si>
    <t>fg-knowledge-authority-ProcedureVersions.CountOfOpenBlockingGaps</t>
  </si>
  <si>
    <t>fg-knowledge-authority-ProcedureVersions.HasOpenBlockingGap</t>
  </si>
  <si>
    <t>fg-knowledge-authority-ProcedureVersions.IsLiveWithBlockingGap</t>
  </si>
  <si>
    <t>fg-knowledge-authority-ProcedureVersions.ShouldNotBeExecutable</t>
  </si>
  <si>
    <t>fg-knowledge-authority-ProcedureVersions.CountOfUnapprovedRelianceFragments</t>
  </si>
  <si>
    <t>fg-knowledge-authority-ProcedureVersions.RunsOnUnapprovedKnowledge</t>
  </si>
  <si>
    <t>fg-knowledge-authority-ProcedureVersions.CountOfOverdueGaps</t>
  </si>
  <si>
    <t>fg-knowledge-authority-ProcedureVersions.CountOfChangeRequests</t>
  </si>
  <si>
    <t>fg-knowledge-authority-ProcedureVersions.CountOfReviewEvents</t>
  </si>
  <si>
    <t>fg-knowledge-authority-ProcedureVersions.HasGovernanceRecord</t>
  </si>
  <si>
    <t>fg-knowledge-authority-ProcedureVersions.EvaluationContext</t>
  </si>
  <si>
    <t>fg-knowledge-authority-ProcedureVersions.AsOfInstant</t>
  </si>
  <si>
    <t>fg-knowledge-authority-ProcedureVersions.DaysSinceModified</t>
  </si>
  <si>
    <t>fg-knowledge-authority-ProcedureVersions.DaysSinceLastReview</t>
  </si>
  <si>
    <t>fg-knowledge-authority-ProcedureVersions.WasModifiedSinceLastReview</t>
  </si>
  <si>
    <t>fg-knowledge-authority-ProcedureVersions.ModifierIsAuthority</t>
  </si>
  <si>
    <t>fg-knowledge-authority-ProcedureVersions.HasUnwitnessedChange</t>
  </si>
  <si>
    <t>fg-knowledge-authority-ProcedureVersions.CountOfStaleFragments</t>
  </si>
  <si>
    <t>fg-knowledge-authority-ProcedureVersions.KnowledgeIsStalerThanCadence</t>
  </si>
  <si>
    <t>fg-knowledge-authority-ProcedureVersions.CompoundFragileFragmentCount</t>
  </si>
  <si>
    <t>fg-knowledge-authority-ProcedureVersions.RestsOnCompoundFragileKnowledge</t>
  </si>
  <si>
    <t>fg-knowledge-authority-ProcedureVersions.ConcentratedWitnessSessionCount</t>
  </si>
  <si>
    <t>fg-knowledge-authority-ProcedureVersions.KnowledgeBaseIsConcentrated</t>
  </si>
  <si>
    <t>fg-knowledge-authority-ProcedureVersions.MachineConsumedUnapprovedCount</t>
  </si>
  <si>
    <t>fg-knowledge-authority-ProcedureVersions.FeedsUnapprovedKnowledgeToMachines</t>
  </si>
  <si>
    <t>fg-knowledge-authority-ProcedureVersions.GenuinelyOverdueFragmentCount</t>
  </si>
  <si>
    <t>fg-knowledge-authority-ProcedureVersions.AwaitedDecisionCount</t>
  </si>
  <si>
    <t>fg-knowledge-authority-ProcedureVersions.ScopedOpenBlockingGapCount</t>
  </si>
  <si>
    <t>fg-knowledge-authority-ProcedureVersions.IsBlockedOnPendingDecision</t>
  </si>
  <si>
    <t>fg-knowledge-authority-ProcedureVersions.UnexercisedHumanGateCount</t>
  </si>
  <si>
    <t>fg-knowledge-authority-ProcedureVersions.AiBoundaryIsUnevidenced</t>
  </si>
  <si>
    <t>fg-knowledge-authority-ProcedureVersions.LoadBearingUnapprovedCount</t>
  </si>
  <si>
    <t>fg-knowledge-authority-ProcedureVersions.UnlandedDecisionCount</t>
  </si>
  <si>
    <t>fg-knowledge-authority-ProcedureVersions.UnrehearsedControlEntryCount</t>
  </si>
  <si>
    <t>fg-knowledge-authority-ProcedureVersions.HasUnrehearsedControlEntry</t>
  </si>
  <si>
    <t>fg-knowledge-authority-ProcedureVersions.IsLiveWithUnrehearsedControl</t>
  </si>
  <si>
    <t>fg-knowledge-authority-ProcedureVersions.CadenceBreachCount</t>
  </si>
  <si>
    <t>fg-knowledge-authority-ProcedureVersions.IsInCadenceBreach</t>
  </si>
  <si>
    <t>fg-knowledge-authority-ProcedureVersions.HasDecisionInFlight</t>
  </si>
  <si>
    <t>fg-knowledge-authority-ProcedureVersions.IsUnremediatedCadenceBreach</t>
  </si>
  <si>
    <t>fg-knowledge-authority-ProcedureVersions.IsManagedCadenceBreach</t>
  </si>
  <si>
    <t>fg-knowledge-authority-ProcedureVersions.GovernanceIsSilent</t>
  </si>
  <si>
    <t>fg-knowledge-authority-ProcedureVersions.ValidFragmentCount</t>
  </si>
  <si>
    <t>fg-knowledge-authority-ProcedureVersions.StillOwnsValidKnowledge</t>
  </si>
  <si>
    <t>fg-knowledge-authority-ProcedureVersions.IncomingSupersessionCount</t>
  </si>
  <si>
    <t>fg-knowledge-authority-ProcedureVersions.IsStillReferenced</t>
  </si>
  <si>
    <t>fg-knowledge-authority-ProcedureVersions.IsLoadBearingOrphan</t>
  </si>
  <si>
    <t>fg-knowledge-authority-ProcedureVersions.IsCleanlyRetired</t>
  </si>
  <si>
    <t>fg-knowledge-authority-ProcedureVersions.StalledImplementationCount</t>
  </si>
  <si>
    <t>fg-knowledge-authority-ProcedureVersions.IsHeldUnfitByLandedDecisions</t>
  </si>
  <si>
    <t>fg-knowledge-authority-ProcedureVersions.UndeclaredControlKindCount</t>
  </si>
  <si>
    <t>fg-knowledge-authority-ProcedureVersions.ControlTaxonomyIsIncomplete</t>
  </si>
  <si>
    <t>fg-knowledge-authority-ProcedureVersions.HasApprovedChangeRequest</t>
  </si>
  <si>
    <t>fg-knowledge-authority-ProcedureVersions.ApprovedChangeRequestCount</t>
  </si>
  <si>
    <t>fg-knowledge-authority-ProcedureVersions.UnwatchedUnownedControlCount</t>
  </si>
  <si>
    <t>fg-knowledge-authority-ProcedureVersions.SemanticTypeIri</t>
  </si>
  <si>
    <t>fg-knowledge-authority-Procedures.ProcedureId</t>
  </si>
  <si>
    <t>fg-knowledge-authority-Procedures.Name</t>
  </si>
  <si>
    <t>fg-knowledge-authority-Procedures.Title</t>
  </si>
  <si>
    <t>fg-knowledge-authority-Procedures.ProcedureType</t>
  </si>
  <si>
    <t>fg-knowledge-authority-Procedures.OwnerOrganization</t>
  </si>
  <si>
    <t>fg-knowledge-authority-Procedures.AdoptedByOrganization</t>
  </si>
  <si>
    <t>fg-knowledge-authority-Procedures.Purpose</t>
  </si>
  <si>
    <t>fg-knowledge-authority-Procedures.Target</t>
  </si>
  <si>
    <t>fg-knowledge-authority-Procedures.IsTemplate</t>
  </si>
  <si>
    <t>fg-knowledge-authority-Procedures.CurrentVersionKey</t>
  </si>
  <si>
    <t>fg-knowledge-authority-Procedures.SemanticTypeIri</t>
  </si>
  <si>
    <t>fg-knowledge-authority-Rationales.RationaleId</t>
  </si>
  <si>
    <t>fg-knowledge-authority-Rationales.Name</t>
  </si>
  <si>
    <t>fg-knowledge-authority-Rationales.ProcedureVersion</t>
  </si>
  <si>
    <t>fg-knowledge-authority-Rationales.Step</t>
  </si>
  <si>
    <t>fg-knowledge-authority-Rationales.Title</t>
  </si>
  <si>
    <t>fg-knowledge-authority-Rationales.Statement</t>
  </si>
  <si>
    <t>fg-knowledge-authority-Rationales.Status</t>
  </si>
  <si>
    <t>fg-knowledge-authority-Rationales.AuthorityRole</t>
  </si>
  <si>
    <t>fg-knowledge-authority-Rationales.SemanticTypeIri</t>
  </si>
  <si>
    <t>fg-knowledge-authority-Recipients.RecipientId</t>
  </si>
  <si>
    <t>fg-knowledge-authority-Recipients.Name</t>
  </si>
  <si>
    <t>fg-knowledge-authority-Recipients.DisplayName</t>
  </si>
  <si>
    <t>fg-knowledge-authority-Recipients.Organization</t>
  </si>
  <si>
    <t>fg-knowledge-authority-Recipients.EmailAddress</t>
  </si>
  <si>
    <t>fg-knowledge-authority-Recipients.MobileNumber</t>
  </si>
  <si>
    <t>fg-knowledge-authority-Recipients.SmsConsentStatus</t>
  </si>
  <si>
    <t>fg-knowledge-authority-Recipients.SmsConsentAt</t>
  </si>
  <si>
    <t>fg-knowledge-authority-Recipients.ConsentBinding</t>
  </si>
  <si>
    <t>fg-knowledge-authority-Recipients.HasSmsConsent</t>
  </si>
  <si>
    <t>fg-knowledge-authority-Recipients.IsEmailReachable</t>
  </si>
  <si>
    <t>fg-knowledge-authority-Recipients.IsSmsReachable</t>
  </si>
  <si>
    <t>fg-knowledge-authority-Recipients.IsUnreachable</t>
  </si>
  <si>
    <t>fg-knowledge-authority-Recipients.IsCommunicationallyStranded</t>
  </si>
  <si>
    <t>fg-knowledge-authority-Recipients.SemanticTypeIri</t>
  </si>
  <si>
    <t>fg-knowledge-authority-RequirementSatisfactions.RequirementSatisfactionId</t>
  </si>
  <si>
    <t>fg-knowledge-authority-RequirementSatisfactions.Name</t>
  </si>
  <si>
    <t>fg-knowledge-authority-RequirementSatisfactions.StepExecution</t>
  </si>
  <si>
    <t>fg-knowledge-authority-RequirementSatisfactions.Requirement</t>
  </si>
  <si>
    <t>fg-knowledge-authority-RequirementSatisfactions.SatisfactionLevel</t>
  </si>
  <si>
    <t>fg-knowledge-authority-RequirementSatisfactions.Evidence</t>
  </si>
  <si>
    <t>fg-knowledge-authority-RequirementSatisfactions.EvaluatedByAgent</t>
  </si>
  <si>
    <t>fg-knowledge-authority-RequirementSatisfactions.EvaluatedAt</t>
  </si>
  <si>
    <t>fg-knowledge-authority-RequirementSatisfactions.RequirementIsBlocking</t>
  </si>
  <si>
    <t>fg-knowledge-authority-RequirementSatisfactions.IsFullySatisfied</t>
  </si>
  <si>
    <t>fg-knowledge-authority-RequirementSatisfactions.IsBlockingAndUnmet</t>
  </si>
  <si>
    <t>fg-knowledge-authority-RequirementSatisfactions.BlockingUnmetStepKey</t>
  </si>
  <si>
    <t>fg-knowledge-authority-RequirementSatisfactions.BlockingSatisfactionStepKey</t>
  </si>
  <si>
    <t>fg-knowledge-authority-RequirementSatisfactions.NegativeOutcomeRequirementKey</t>
  </si>
  <si>
    <t>fg-knowledge-authority-RequirementSatisfactions.EvaluatorAgentKind</t>
  </si>
  <si>
    <t>fg-knowledge-authority-RequirementSatisfactions.NonHumanEvaluatedHumanControl</t>
  </si>
  <si>
    <t>fg-knowledge-authority-RequirementSatisfactions.RequirementHasComputedWitness</t>
  </si>
  <si>
    <t>fg-knowledge-authority-RequirementSatisfactions.IsAssertedOnly</t>
  </si>
  <si>
    <t>fg-knowledge-authority-RequirementSatisfactions.AssertedOnlyExecutionKey</t>
  </si>
  <si>
    <t>fg-knowledge-authority-RequirementSatisfactions.ParentProcedureExecution</t>
  </si>
  <si>
    <t>fg-knowledge-authority-RequirementSatisfactions.StepExecutionWhenScored</t>
  </si>
  <si>
    <t>fg-knowledge-authority-RequirementSatisfactions.IsHumanEvaluated</t>
  </si>
  <si>
    <t>fg-knowledge-authority-RequirementSatisfactions.RequirementIsApprovalType</t>
  </si>
  <si>
    <t>fg-knowledge-authority-RequirementSatisfactions.IsInvalidApproval</t>
  </si>
  <si>
    <t>fg-knowledge-authority-RequirementSatisfactions.ProcedureExecutionOfSatisfaction</t>
  </si>
  <si>
    <t>fg-knowledge-authority-RequirementSatisfactions.RunWhenInvalidApproval</t>
  </si>
  <si>
    <t>fg-knowledge-authority-RequirementSatisfactions.RequirementIsUnfalsified</t>
  </si>
  <si>
    <t>fg-knowledge-authority-RequirementSatisfactions.IsClearanceByUnfalsifiedControl</t>
  </si>
  <si>
    <t>fg-knowledge-authority-RequirementSatisfactions.UnfalsifiedClearanceStepKey</t>
  </si>
  <si>
    <t>fg-knowledge-authority-RequirementSatisfactions.SpecStepOfExecution</t>
  </si>
  <si>
    <t>fg-knowledge-authority-RequirementSatisfactions.BindingKey</t>
  </si>
  <si>
    <t>fg-knowledge-authority-RequirementSatisfactions.ScoredStepExecutorAgent</t>
  </si>
  <si>
    <t>fg-knowledge-authority-RequirementSatisfactions.EvaluatorIsStepExecutor</t>
  </si>
  <si>
    <t>fg-knowledge-authority-RequirementSatisfactions.RunOwnerAgent</t>
  </si>
  <si>
    <t>fg-knowledge-authority-RequirementSatisfactions.EvaluatorOwnsTheRun</t>
  </si>
  <si>
    <t>fg-knowledge-authority-RequirementSatisfactions.IsInterestedPartyAssertion</t>
  </si>
  <si>
    <t>fg-knowledge-authority-RequirementSatisfactions.HasWrittenEvidence</t>
  </si>
  <si>
    <t>fg-knowledge-authority-RequirementSatisfactions.IsBareAssertion</t>
  </si>
  <si>
    <t>fg-knowledge-authority-RequirementSatisfactions.InterestedAssertionExecutionKey</t>
  </si>
  <si>
    <t>fg-knowledge-authority-RequirementSatisfactions.IsComputedlyWitnessed</t>
  </si>
  <si>
    <t>fg-knowledge-authority-RequirementSatisfactions.ComputedWitnessExecutionKey</t>
  </si>
  <si>
    <t>fg-knowledge-authority-RequirementSatisfactions.StepExecutorAgent</t>
  </si>
  <si>
    <t>fg-knowledge-authority-RequirementSatisfactions.WasScoredAfterAttestation</t>
  </si>
  <si>
    <t>fg-knowledge-authority-RequirementSatisfactions.AttestationInstantForRun</t>
  </si>
  <si>
    <t>fg-knowledge-authority-RequirementSatisfactions.PostAttestationScoreExecutionKey</t>
  </si>
  <si>
    <t>fg-knowledge-authority-RequirementSatisfactions.SemanticTypeIri</t>
  </si>
  <si>
    <t>fg-knowledge-authority-Requirements.RequirementId</t>
  </si>
  <si>
    <t>fg-knowledge-authority-Requirements.Name</t>
  </si>
  <si>
    <t>fg-knowledge-authority-Requirements.Label</t>
  </si>
  <si>
    <t>fg-knowledge-authority-Requirements.RequirementType</t>
  </si>
  <si>
    <t>fg-knowledge-authority-Requirements.Statement</t>
  </si>
  <si>
    <t>fg-knowledge-authority-Requirements.Rationale</t>
  </si>
  <si>
    <t>fg-knowledge-authority-Requirements.IsBlocking</t>
  </si>
  <si>
    <t>fg-knowledge-authority-Requirements.SatisfactionRecordCount</t>
  </si>
  <si>
    <t>fg-knowledge-authority-Requirements.StepBindingCount</t>
  </si>
  <si>
    <t>fg-knowledge-authority-Requirements.IsBoundToAnyStep</t>
  </si>
  <si>
    <t>fg-knowledge-authority-Requirements.HasEverBeenEvaluated</t>
  </si>
  <si>
    <t>fg-knowledge-authority-Requirements.NegativeOutcomeCount</t>
  </si>
  <si>
    <t>fg-knowledge-authority-Requirements.IsInoperativeControl</t>
  </si>
  <si>
    <t>fg-knowledge-authority-Requirements.IsDecorativeControl</t>
  </si>
  <si>
    <t>fg-knowledge-authority-Requirements.HasComputedWitness</t>
  </si>
  <si>
    <t>fg-knowledge-authority-Requirements.WitnessFieldName</t>
  </si>
  <si>
    <t>fg-knowledge-authority-Requirements.HasEverProducedNegative</t>
  </si>
  <si>
    <t>fg-knowledge-authority-Requirements.IsUnfalsifiedControl</t>
  </si>
  <si>
    <t>fg-knowledge-authority-Requirements.ClaimsAWitnessField</t>
  </si>
  <si>
    <t>fg-knowledge-authority-Requirements.NamedWitnessFieldExists</t>
  </si>
  <si>
    <t>fg-knowledge-authority-Requirements.DerivedHasComputedWitness</t>
  </si>
  <si>
    <t>fg-knowledge-authority-Requirements.WitnessClaimIsUnverified</t>
  </si>
  <si>
    <t>fg-knowledge-authority-Requirements.IsUnwitnessedBlockingControl</t>
  </si>
  <si>
    <t>fg-knowledge-authority-Requirements.WitnessFireCount</t>
  </si>
  <si>
    <t>fg-knowledge-authority-Requirements.WitnessHasNeverFired</t>
  </si>
  <si>
    <t>fg-knowledge-authority-Requirements.EvaluationSampleSize</t>
  </si>
  <si>
    <t>fg-knowledge-authority-Requirements.HasMeaningfulSample</t>
  </si>
  <si>
    <t>fg-knowledge-authority-Requirements.MinimumSampleForAssurance</t>
  </si>
  <si>
    <t>fg-knowledge-authority-Requirements.IsUntestedWitness</t>
  </si>
  <si>
    <t>fg-knowledge-authority-Requirements.IsEvidencedHoldingControl</t>
  </si>
  <si>
    <t>fg-knowledge-authority-Requirements.ControlAssuranceState</t>
  </si>
  <si>
    <t>fg-knowledge-authority-Requirements.UnexercisedBindingCount</t>
  </si>
  <si>
    <t>fg-knowledge-authority-Requirements.WitnessIsPartiallyScoped</t>
  </si>
  <si>
    <t>fg-knowledge-authority-Requirements.AccountableRole</t>
  </si>
  <si>
    <t>fg-knowledge-authority-Requirements.AccountableAgent</t>
  </si>
  <si>
    <t>fg-knowledge-authority-Requirements.HasNamedOwner</t>
  </si>
  <si>
    <t>fg-knowledge-authority-Requirements.IsOrphanedBlockingControl</t>
  </si>
  <si>
    <t>fg-knowledge-authority-Requirements.IsUnwatchedAndUnowned</t>
  </si>
  <si>
    <t>fg-knowledge-authority-Requirements.AttestationExposureNote</t>
  </si>
  <si>
    <t>fg-knowledge-authority-Requirements.UnwatchedUnownedFlag</t>
  </si>
  <si>
    <t>fg-knowledge-authority-Requirements.SemanticTypeIri</t>
  </si>
  <si>
    <t>fg-knowledge-authority-Resources.ResourceId</t>
  </si>
  <si>
    <t>fg-knowledge-authority-Resources.Name</t>
  </si>
  <si>
    <t>fg-knowledge-authority-Resources.Title</t>
  </si>
  <si>
    <t>fg-knowledge-authority-Resources.ResourceKind</t>
  </si>
  <si>
    <t>fg-knowledge-authority-Resources.ExternalUri</t>
  </si>
  <si>
    <t>fg-knowledge-authority-Resources.CreatedAt</t>
  </si>
  <si>
    <t>fg-knowledge-authority-Resources.ModifiedAt</t>
  </si>
  <si>
    <t>fg-knowledge-authority-Resources.Description</t>
  </si>
  <si>
    <t>fg-knowledge-authority-Resources.ApprovalStatus</t>
  </si>
  <si>
    <t>fg-knowledge-authority-Resources.IsApprovedSource</t>
  </si>
  <si>
    <t>fg-knowledge-authority-Resources.SemanticTypeIri</t>
  </si>
  <si>
    <t>fg-knowledge-authority-ReviewEvents.ReviewEventId</t>
  </si>
  <si>
    <t>fg-knowledge-authority-ReviewEvents.Name</t>
  </si>
  <si>
    <t>fg-knowledge-authority-ReviewEvents.ProcedureVersion</t>
  </si>
  <si>
    <t>fg-knowledge-authority-ReviewEvents.ReviewKind</t>
  </si>
  <si>
    <t>fg-knowledge-authority-ReviewEvents.ReviewedAt</t>
  </si>
  <si>
    <t>fg-knowledge-authority-ReviewEvents.ReviewedByAgent</t>
  </si>
  <si>
    <t>fg-knowledge-authority-ReviewEvents.Outcome</t>
  </si>
  <si>
    <t>fg-knowledge-authority-ReviewEvents.RelatedChangeRequest</t>
  </si>
  <si>
    <t>fg-knowledge-authority-ReviewEvents.NextReviewDue</t>
  </si>
  <si>
    <t>fg-knowledge-authority-ReviewEvents.EvaluationContext</t>
  </si>
  <si>
    <t>fg-knowledge-authority-ReviewEvents.AsOfInstant</t>
  </si>
  <si>
    <t>fg-knowledge-authority-ReviewEvents.IsOverdue</t>
  </si>
  <si>
    <t>fg-knowledge-authority-ReviewEvents.OverdueVersionKey</t>
  </si>
  <si>
    <t>fg-knowledge-authority-ReviewEvents.PromisedCadenceDays</t>
  </si>
  <si>
    <t>fg-knowledge-authority-ReviewEvents.DaysSinceReviewed</t>
  </si>
  <si>
    <t>fg-knowledge-authority-ReviewEvents.ExceedsPromisedCadence</t>
  </si>
  <si>
    <t>fg-knowledge-authority-ReviewEvents.CadenceDriftDays</t>
  </si>
  <si>
    <t>fg-knowledge-authority-ReviewEvents.PromiseAndBehaviorDisagree</t>
  </si>
  <si>
    <t>fg-knowledge-authority-ReviewEvents.CadenceBreachVersionKey</t>
  </si>
  <si>
    <t>fg-knowledge-authority-ReviewEvents.SemanticTypeIri</t>
  </si>
  <si>
    <t>fg-knowledge-authority-RoleAssignments.RoleAssignmentId</t>
  </si>
  <si>
    <t>fg-knowledge-authority-RoleAssignments.Name</t>
  </si>
  <si>
    <t>fg-knowledge-authority-RoleAssignments.Role</t>
  </si>
  <si>
    <t>fg-knowledge-authority-RoleAssignments.Agent</t>
  </si>
  <si>
    <t>fg-knowledge-authority-RoleAssignments.ValidFrom</t>
  </si>
  <si>
    <t>fg-knowledge-authority-RoleAssignments.ValidTo</t>
  </si>
  <si>
    <t>fg-knowledge-authority-RoleAssignments.Reason</t>
  </si>
  <si>
    <t>fg-knowledge-authority-RoleAssignments.Status</t>
  </si>
  <si>
    <t>fg-knowledge-authority-RoleAssignments.EvaluationContext</t>
  </si>
  <si>
    <t>fg-knowledge-authority-RoleAssignments.AsOfInstant</t>
  </si>
  <si>
    <t>fg-knowledge-authority-RoleAssignments.IsCurrent</t>
  </si>
  <si>
    <t>fg-knowledge-authority-RoleAssignments.CurrentAgentKey</t>
  </si>
  <si>
    <t>fg-knowledge-authority-RoleAssignments.IsCurrentlyValid</t>
  </si>
  <si>
    <t>fg-knowledge-authority-RoleAssignments.AgentRoleKey</t>
  </si>
  <si>
    <t>fg-knowledge-authority-RoleAssignments.HasDeparted</t>
  </si>
  <si>
    <t>fg-knowledge-authority-RoleAssignments.CoversNow</t>
  </si>
  <si>
    <t>fg-knowledge-authority-RoleAssignments.RoleWhenCovering</t>
  </si>
  <si>
    <t>fg-knowledge-authority-RoleAssignments.AgentKind</t>
  </si>
  <si>
    <t>fg-knowledge-authority-RoleAssignments.IsNonHumanAssignment</t>
  </si>
  <si>
    <t>fg-knowledge-authority-RoleAssignments.SupersedesAssignment</t>
  </si>
  <si>
    <t>fg-knowledge-authority-RoleAssignments.PredecessorAgentKind</t>
  </si>
  <si>
    <t>fg-knowledge-authority-RoleAssignments.IsHumanToNonHumanHandover</t>
  </si>
  <si>
    <t>fg-knowledge-authority-RoleAssignments.ApprovingAuthorityRole</t>
  </si>
  <si>
    <t>fg-knowledge-authority-RoleAssignments.AuthorizingChangeRequest</t>
  </si>
  <si>
    <t>fg-knowledge-authority-RoleAssignments.IsUnauthorizedNonHumanAssignment</t>
  </si>
  <si>
    <t>fg-knowledge-authority-RoleAssignments.WasAuthorizedByChangeRequest</t>
  </si>
  <si>
    <t>fg-knowledge-authority-RoleAssignments.DecisionCount</t>
  </si>
  <si>
    <t>fg-knowledge-authority-RoleAssignments.OverriddenDecisionCount</t>
  </si>
  <si>
    <t>fg-knowledge-authority-RoleAssignments.OverrideRatePercent</t>
  </si>
  <si>
    <t>fg-knowledge-authority-RoleAssignments.PredecessorOverrideRatePercent</t>
  </si>
  <si>
    <t>fg-knowledge-authority-RoleAssignments.QualityRegressedVsPredecessor</t>
  </si>
  <si>
    <t>fg-knowledge-authority-RoleAssignments.DepartedRoleKey</t>
  </si>
  <si>
    <t>fg-knowledge-authority-RoleAssignments.MinimumDecisionsForComparison</t>
  </si>
  <si>
    <t>fg-knowledge-authority-RoleAssignments.PredecessorDecisionCount</t>
  </si>
  <si>
    <t>fg-knowledge-authority-RoleAssignments.HasSufficientSample</t>
  </si>
  <si>
    <t>fg-knowledge-authority-RoleAssignments.PredecessorHasSufficientSample</t>
  </si>
  <si>
    <t>fg-knowledge-authority-RoleAssignments.ComparisonIsEvidentiallySound</t>
  </si>
  <si>
    <t>fg-knowledge-authority-RoleAssignments.SingleOverrideSwingPercent</t>
  </si>
  <si>
    <t>fg-knowledge-authority-RoleAssignments.QualityVerdictIsUnsupported</t>
  </si>
  <si>
    <t>fg-knowledge-authority-RoleAssignments.IsUnmeasuredAutomationHandover</t>
  </si>
  <si>
    <t>fg-knowledge-authority-RoleAssignments.ErrorCorrectionCount</t>
  </si>
  <si>
    <t>fg-knowledge-authority-RoleAssignments.ErrorRatePercent</t>
  </si>
  <si>
    <t>fg-knowledge-authority-RoleAssignments.AuthorizationDecidedAt</t>
  </si>
  <si>
    <t>fg-knowledge-authority-RoleAssignments.AuthorizationReviewedAt</t>
  </si>
  <si>
    <t>fg-knowledge-authority-RoleAssignments.AuthorizationReviewCadenceDays</t>
  </si>
  <si>
    <t>fg-knowledge-authority-RoleAssignments.HasDatedAuthorization</t>
  </si>
  <si>
    <t>fg-knowledge-authority-RoleAssignments.DaysSinceAuthorizationReview</t>
  </si>
  <si>
    <t>fg-knowledge-authority-RoleAssignments.AuthorizationIsOverdueForReview</t>
  </si>
  <si>
    <t>fg-knowledge-authority-RoleAssignments.IsStandingUnreviewedAutomation</t>
  </si>
  <si>
    <t>fg-knowledge-authority-RoleAssignments.IsUnconditionedAutomationHandover</t>
  </si>
  <si>
    <t>fg-knowledge-authority-RoleAssignments.MaxTolerableErrorRatePercent</t>
  </si>
  <si>
    <t>fg-knowledge-authority-RoleAssignments.ExceedsTolerableErrorRate</t>
  </si>
  <si>
    <t>fg-knowledge-authority-RoleAssignments.BoundaryViolationCountForAssignment</t>
  </si>
  <si>
    <t>fg-knowledge-authority-RoleAssignments.HasAnyBoundaryViolation</t>
  </si>
  <si>
    <t>fg-knowledge-authority-RoleAssignments.HasUngroundedGoverningBoundary</t>
  </si>
  <si>
    <t>fg-knowledge-authority-RoleAssignments.SuspensionConditionMet</t>
  </si>
  <si>
    <t>fg-knowledge-authority-RoleAssignments.IsOperatingUnderMetSuspensionCondition</t>
  </si>
  <si>
    <t>fg-knowledge-authority-RoleAssignments.HasDeclaredSuspensionCondition</t>
  </si>
  <si>
    <t>fg-knowledge-authority-RoleAssignments.HasApprovingAuthority</t>
  </si>
  <si>
    <t>fg-knowledge-authority-RoleAssignments.HasAuthorizingChangeRequest</t>
  </si>
  <si>
    <t>fg-knowledge-authority-RoleAssignments.IsEnforcementRole</t>
  </si>
  <si>
    <t>fg-knowledge-authority-RoleAssignments.IsUnauthorizedEnforcementAgent</t>
  </si>
  <si>
    <t>fg-knowledge-authority-RoleAssignments.GovernanceEvidenceCount</t>
  </si>
  <si>
    <t>fg-knowledge-authority-RoleAssignments.UnauthorizedEnforcementRoleKey</t>
  </si>
  <si>
    <t>fg-knowledge-authority-RoleAssignments.SemanticTypeIri</t>
  </si>
  <si>
    <t>fg-knowledge-authority-RoleQuestions.RoleQuestionId</t>
  </si>
  <si>
    <t>fg-knowledge-authority-RoleQuestions.Name</t>
  </si>
  <si>
    <t>fg-knowledge-authority-RoleQuestions.AskingRole</t>
  </si>
  <si>
    <t>fg-knowledge-authority-RoleQuestions.WitnessLoop</t>
  </si>
  <si>
    <t>fg-knowledge-authority-RoleQuestions.QuestionText</t>
  </si>
  <si>
    <t>fg-knowledge-authority-RoleQuestions.WhyItMatters</t>
  </si>
  <si>
    <t>fg-knowledge-authority-RoleQuestions.AnswerableBefore</t>
  </si>
  <si>
    <t>fg-knowledge-authority-RoleQuestions.PredicateCount</t>
  </si>
  <si>
    <t>fg-knowledge-authority-RoleQuestions.IsAnswered</t>
  </si>
  <si>
    <t>fg-knowledge-authority-RoleQuestions.WitnessedAnswer</t>
  </si>
  <si>
    <t>fg-knowledge-authority-RoleQuestions.SemanticTypeIri</t>
  </si>
  <si>
    <t>fg-knowledge-authority-Roles.RoleId</t>
  </si>
  <si>
    <t>fg-knowledge-authority-Roles.Name</t>
  </si>
  <si>
    <t>fg-knowledge-authority-Roles.Label</t>
  </si>
  <si>
    <t>fg-knowledge-authority-Roles.Organization</t>
  </si>
  <si>
    <t>fg-knowledge-authority-Roles.CurrentAgent</t>
  </si>
  <si>
    <t>fg-knowledge-authority-Roles.CurrentAgentKind</t>
  </si>
  <si>
    <t>fg-knowledge-authority-Roles.Responsibility</t>
  </si>
  <si>
    <t>fg-knowledge-authority-Roles.ActiveAssignmentCount</t>
  </si>
  <si>
    <t>fg-knowledge-authority-Roles.CurrentlyCoveredAssignmentCount</t>
  </si>
  <si>
    <t>fg-knowledge-authority-Roles.HasNoCurrentHolder</t>
  </si>
  <si>
    <t>fg-knowledge-authority-Roles.CountOfAwaitedDecisions</t>
  </si>
  <si>
    <t>fg-knowledge-authority-Roles.CurrentAssignment</t>
  </si>
  <si>
    <t>fg-knowledge-authority-Roles.CurrentAssignmentValidFrom</t>
  </si>
  <si>
    <t>fg-knowledge-authority-Roles.IsNonHumanHeld</t>
  </si>
  <si>
    <t>fg-knowledge-authority-Roles.IsUngovernedNonHumanRole</t>
  </si>
  <si>
    <t>fg-knowledge-authority-Roles.DepartedAssignmentCount</t>
  </si>
  <si>
    <t>fg-knowledge-authority-Roles.HasLostAHolder</t>
  </si>
  <si>
    <t>fg-knowledge-authority-Roles.IsVacatedRole</t>
  </si>
  <si>
    <t>fg-knowledge-authority-Roles.UngroundedBoundaryCount</t>
  </si>
  <si>
    <t>fg-knowledge-authority-Roles.IsGovernedByLapsedAuthority</t>
  </si>
  <si>
    <t>fg-knowledge-authority-Roles.UnescalatedRefusalCount</t>
  </si>
  <si>
    <t>fg-knowledge-authority-Roles.UnauthorizedEnforcementAssignmentCount</t>
  </si>
  <si>
    <t>fg-knowledge-authority-Roles.IsUngovernedEnforcementRole</t>
  </si>
  <si>
    <t>fg-knowledge-authority-Roles.SemanticTypeIri</t>
  </si>
  <si>
    <t>fg-knowledge-authority-RulebookFields.RulebookFieldId</t>
  </si>
  <si>
    <t>fg-knowledge-authority-RulebookFields.Name</t>
  </si>
  <si>
    <t>fg-knowledge-authority-RulebookFields.TargetTable</t>
  </si>
  <si>
    <t>fg-knowledge-authority-RulebookFields.FieldName</t>
  </si>
  <si>
    <t>fg-knowledge-authority-RulebookFields.FieldType</t>
  </si>
  <si>
    <t>fg-knowledge-authority-RulebookFields.Datatype</t>
  </si>
  <si>
    <t>fg-knowledge-authority-RulebookFields.Formula</t>
  </si>
  <si>
    <t>fg-knowledge-authority-RulebookFields.InventedForQuestion</t>
  </si>
  <si>
    <t>fg-knowledge-authority-RulebookFields.IsDerived</t>
  </si>
  <si>
    <t>fg-knowledge-authority-RulebookFields.IsWitness</t>
  </si>
  <si>
    <t>fg-knowledge-authority-RulebookFields.SemanticTypeIri</t>
  </si>
  <si>
    <t>fg-knowledge-authority-RulebookReleases.RulebookReleaseId</t>
  </si>
  <si>
    <t>fg-knowledge-authority-RulebookReleases.Name</t>
  </si>
  <si>
    <t>fg-knowledge-authority-RulebookReleases.RulebookVersion</t>
  </si>
  <si>
    <t>fg-knowledge-authority-RulebookReleases.ProfileVersion</t>
  </si>
  <si>
    <t>fg-knowledge-authority-RulebookReleases.ProfileSchemaPath</t>
  </si>
  <si>
    <t>fg-knowledge-authority-RulebookReleases.PkoCoreVersionIri</t>
  </si>
  <si>
    <t>fg-knowledge-authority-RulebookReleases.PkoIndustryVersionIri</t>
  </si>
  <si>
    <t>fg-knowledge-authority-RulebookReleases.IssuedAt</t>
  </si>
  <si>
    <t>fg-knowledge-authority-RulebookReleases.Status</t>
  </si>
  <si>
    <t>fg-knowledge-authority-RulebookReleases.Changelog</t>
  </si>
  <si>
    <t>fg-knowledge-authority-RulebookReleases.IsCurrent</t>
  </si>
  <si>
    <t>fg-knowledge-authority-SemanticMappings.SemanticMappingId</t>
  </si>
  <si>
    <t>fg-knowledge-authority-SemanticMappings.Name</t>
  </si>
  <si>
    <t>fg-knowledge-authority-SemanticMappings.SourcePath</t>
  </si>
  <si>
    <t>fg-knowledge-authority-SemanticMappings.MappingKind</t>
  </si>
  <si>
    <t>fg-knowledge-authority-SemanticMappings.TargetIri</t>
  </si>
  <si>
    <t>fg-knowledge-authority-SemanticMappings.MappingRelation</t>
  </si>
  <si>
    <t>fg-knowledge-authority-SemanticMappings.OntologyProfile</t>
  </si>
  <si>
    <t>fg-knowledge-authority-SemanticMappings.Notes</t>
  </si>
  <si>
    <t>fg-knowledge-authority-SendIntents.SendIntentId</t>
  </si>
  <si>
    <t>fg-knowledge-authority-SendIntents.Name</t>
  </si>
  <si>
    <t>fg-knowledge-authority-SendIntents.ProcedureExecution</t>
  </si>
  <si>
    <t>fg-knowledge-authority-SendIntents.StepExecution</t>
  </si>
  <si>
    <t>fg-knowledge-authority-SendIntents.Recipient</t>
  </si>
  <si>
    <t>fg-knowledge-authority-SendIntents.MessageTemplate</t>
  </si>
  <si>
    <t>fg-knowledge-authority-SendIntents.ProposedBody</t>
  </si>
  <si>
    <t>fg-knowledge-authority-SendIntents.ProposedSendAtLocalHour</t>
  </si>
  <si>
    <t>fg-knowledge-authority-SendIntents.EvaluatedAt</t>
  </si>
  <si>
    <t>fg-knowledge-authority-SendIntents.ResultingDelivery</t>
  </si>
  <si>
    <t>fg-knowledge-authority-SendIntents.IntentPolicy</t>
  </si>
  <si>
    <t>fg-knowledge-authority-SendIntents.IntentChannel</t>
  </si>
  <si>
    <t>fg-knowledge-authority-SendIntents.PolicyIsActive</t>
  </si>
  <si>
    <t>fg-knowledge-authority-SendIntents.IntentRequiresConsent</t>
  </si>
  <si>
    <t>fg-knowledge-authority-SendIntents.RecipientHasChannelConsent</t>
  </si>
  <si>
    <t>fg-knowledge-authority-SendIntents.ConsentGatePassed</t>
  </si>
  <si>
    <t>fg-knowledge-authority-SendIntents.RecipientIsSmsReachable</t>
  </si>
  <si>
    <t>fg-knowledge-authority-SendIntents.RecipientIsEmailReachable</t>
  </si>
  <si>
    <t>fg-knowledge-authority-SendIntents.ReachabilityGatePassed</t>
  </si>
  <si>
    <t>fg-knowledge-authority-SendIntents.PermissionGatePassed</t>
  </si>
  <si>
    <t>fg-knowledge-authority-SendIntents.IntentQuietStartHour</t>
  </si>
  <si>
    <t>fg-knowledge-authority-SendIntents.IntentQuietEndHour</t>
  </si>
  <si>
    <t>fg-knowledge-authority-SendIntents.IntentPolicyHasQuietHours</t>
  </si>
  <si>
    <t>fg-knowledge-authority-SendIntents.IntentQuietWindowWraps</t>
  </si>
  <si>
    <t>fg-knowledge-authority-SendIntents.IntentIsInsideQuietWindow</t>
  </si>
  <si>
    <t>fg-knowledge-authority-SendIntents.TimingGatePassed</t>
  </si>
  <si>
    <t>fg-knowledge-authority-SendIntents.HoursUntilWindowOpens</t>
  </si>
  <si>
    <t>fg-knowledge-authority-SendIntents.IntentMaxMessageLength</t>
  </si>
  <si>
    <t>fg-knowledge-authority-SendIntents.IntentMaxSegments</t>
  </si>
  <si>
    <t>fg-knowledge-authority-SendIntents.ProposedBodyLength</t>
  </si>
  <si>
    <t>fg-knowledge-authority-SendIntents.ProposedSegmentCount</t>
  </si>
  <si>
    <t>fg-knowledge-authority-SendIntents.LengthGatePassed</t>
  </si>
  <si>
    <t>fg-knowledge-authority-SendIntents.IntentRequiredOptOutPhrase</t>
  </si>
  <si>
    <t>fg-knowledge-authority-SendIntents.ProposedOptOutPosition</t>
  </si>
  <si>
    <t>fg-knowledge-authority-SendIntents.OptOutGatePassed</t>
  </si>
  <si>
    <t>fg-knowledge-authority-SendIntents.ContentGatePassed</t>
  </si>
  <si>
    <t>fg-knowledge-authority-SendIntents.TemplateIsSendable</t>
  </si>
  <si>
    <t>fg-knowledge-authority-SendIntents.ExecutionHasLegalClearance</t>
  </si>
  <si>
    <t>fg-knowledge-authority-SendIntents.IntentApprovalRole</t>
  </si>
  <si>
    <t>fg-knowledge-authority-SendIntents.ApprovalRoleAgentKind</t>
  </si>
  <si>
    <t>fg-knowledge-authority-SendIntents.ApprovalIsHuman</t>
  </si>
  <si>
    <t>fg-knowledge-authority-SendIntents.AuthorizationGatePassed</t>
  </si>
  <si>
    <t>fg-knowledge-authority-SendIntents.IsClearedToSend</t>
  </si>
  <si>
    <t>fg-knowledge-authority-SendIntents.BlockingGateName</t>
  </si>
  <si>
    <t>fg-knowledge-authority-SendIntents.HasResultingDelivery</t>
  </si>
  <si>
    <t>fg-knowledge-authority-SendIntents.ResultingDeliveryWasTransmitted</t>
  </si>
  <si>
    <t>fg-knowledge-authority-SendIntents.IsOverriddenRefusal</t>
  </si>
  <si>
    <t>fg-knowledge-authority-SendIntents.IsSilentlyDropped</t>
  </si>
  <si>
    <t>fg-knowledge-authority-SendIntents.ResultingDeliveryException</t>
  </si>
  <si>
    <t>fg-knowledge-authority-SendIntents.RefusalCitedAnException</t>
  </si>
  <si>
    <t>fg-knowledge-authority-SendIntents.IsProperlyHandledRefusal</t>
  </si>
  <si>
    <t>fg-knowledge-authority-SendIntents.RefusalFailureExecutionKey</t>
  </si>
  <si>
    <t>fg-knowledge-authority-SendIntents.IntentExecutionKey</t>
  </si>
  <si>
    <t>fg-knowledge-authority-SendIntents.DeliveredIntentExecutionKey</t>
  </si>
  <si>
    <t>fg-knowledge-authority-SendIntents.DroppedIntentExecutionKey</t>
  </si>
  <si>
    <t>fg-knowledge-authority-SendIntents.MyApprovalWasInForce</t>
  </si>
  <si>
    <t>fg-knowledge-authority-SendIntents.RefusedOnApprovedContent</t>
  </si>
  <si>
    <t>fg-knowledge-authority-SendIntents.RefusedOnOptOutOnly</t>
  </si>
  <si>
    <t>fg-knowledge-authority-SendIntents.RefusalWasOnMyRules</t>
  </si>
  <si>
    <t>fg-knowledge-authority-SendIntents.RefusalWasOutsideMyControl</t>
  </si>
  <si>
    <t>fg-knowledge-authority-SendIntents.ApproverWasNotified</t>
  </si>
  <si>
    <t>fg-knowledge-authority-SendIntents.IsUnreportedRefusalOnMyRules</t>
  </si>
  <si>
    <t>fg-knowledge-authority-SendIntents.IsApprovalOverriddenSilently</t>
  </si>
  <si>
    <t>fg-knowledge-authority-SendIntents.AlternateChannelIntent</t>
  </si>
  <si>
    <t>fg-knowledge-authority-SendIntents.HasAlternateChannelAttempt</t>
  </si>
  <si>
    <t>fg-knowledge-authority-SendIntents.AlternateAttemptWasCleared</t>
  </si>
  <si>
    <t>fg-knowledge-authority-SendIntents.IsRefusedWithNoAlternative</t>
  </si>
  <si>
    <t>fg-knowledge-authority-SendIntents.ExceptionPrescribedAnAlternative</t>
  </si>
  <si>
    <t>fg-knowledge-authority-SendIntents.PrescribedHandlingWasPerformed</t>
  </si>
  <si>
    <t>fg-knowledge-authority-SendIntents.IsSuppressionWithoutRemedy</t>
  </si>
  <si>
    <t>fg-knowledge-authority-SendIntents.RefusalRecordedAt</t>
  </si>
  <si>
    <t>fg-knowledge-authority-SendIntents.RefusalNotifiedRole</t>
  </si>
  <si>
    <t>fg-knowledge-authority-SendIntents.HasDurableRefusalRecord</t>
  </si>
  <si>
    <t>fg-knowledge-authority-SendIntents.RefusalWasEscalated</t>
  </si>
  <si>
    <t>fg-knowledge-authority-SendIntents.IsUnrecordedRefusal</t>
  </si>
  <si>
    <t>fg-knowledge-authority-SendIntents.IsUnescalatedRefusal</t>
  </si>
  <si>
    <t>fg-knowledge-authority-SendIntents.UnescalatedRefusalRoleKey</t>
  </si>
  <si>
    <t>fg-knowledge-authority-SendIntents.UnrecordedRefusalExecutionKey</t>
  </si>
  <si>
    <t>fg-knowledge-authority-SendIntents.RetryIntent</t>
  </si>
  <si>
    <t>fg-knowledge-authority-SendIntents.WasDeferredOnTiming</t>
  </si>
  <si>
    <t>fg-knowledge-authority-SendIntents.EvaluationContext</t>
  </si>
  <si>
    <t>fg-knowledge-authority-SendIntents.AsOfInstant</t>
  </si>
  <si>
    <t>fg-knowledge-authority-SendIntents.WindowHasSinceReopened</t>
  </si>
  <si>
    <t>fg-knowledge-authority-SendIntents.HasRetryAttempt</t>
  </si>
  <si>
    <t>fg-knowledge-authority-SendIntents.RetryWasCleared</t>
  </si>
  <si>
    <t>fg-knowledge-authority-SendIntents.IsAbandonedDeferral</t>
  </si>
  <si>
    <t>fg-knowledge-authority-SendIntents.DeferralAgeHours</t>
  </si>
  <si>
    <t>fg-knowledge-authority-SendIntents.IsStaleDeferral</t>
  </si>
  <si>
    <t>fg-knowledge-authority-SendIntents.EvaluatingRoleAssignment</t>
  </si>
  <si>
    <t>fg-knowledge-authority-SendIntents.EnforcedByUnauthorizedAgent</t>
  </si>
  <si>
    <t>fg-knowledge-authority-SendIntents.ConsentInputWasResolvable</t>
  </si>
  <si>
    <t>fg-knowledge-authority-SendIntents.RecipientConsentStatusRaw</t>
  </si>
  <si>
    <t>fg-knowledge-authority-SendIntents.PolicyInputWasResolvable</t>
  </si>
  <si>
    <t>fg-knowledge-authority-SendIntents.AllGateInputsResolved</t>
  </si>
  <si>
    <t>fg-knowledge-authority-SendIntents.IsUnevaluableRefusal</t>
  </si>
  <si>
    <t>fg-knowledge-authority-SendIntents.GateResultWasIndependentlyConfirmed</t>
  </si>
  <si>
    <t>fg-knowledge-authority-SendIntents.IsSelfWitnessedDecision</t>
  </si>
  <si>
    <t>fg-knowledge-authority-SendIntents.IsIndependentlyConfirmed</t>
  </si>
  <si>
    <t>fg-knowledge-authority-SendIntents.IndependentlyConfirmedExecutionKey</t>
  </si>
  <si>
    <t>fg-knowledge-authority-SendIntents.SemanticTypeIri</t>
  </si>
  <si>
    <t>fg-knowledge-authority-StepActions.StepActionId</t>
  </si>
  <si>
    <t>fg-knowledge-authority-StepActions.Name</t>
  </si>
  <si>
    <t>fg-knowledge-authority-StepActions.Step</t>
  </si>
  <si>
    <t>fg-knowledge-authority-StepActions.Action</t>
  </si>
  <si>
    <t>fg-knowledge-authority-StepExecutions.StepExecutionId</t>
  </si>
  <si>
    <t>fg-knowledge-authority-StepExecutions.Name</t>
  </si>
  <si>
    <t>fg-knowledge-authority-StepExecutions.ProcedureExecution</t>
  </si>
  <si>
    <t>fg-knowledge-authority-StepExecutions.Step</t>
  </si>
  <si>
    <t>fg-knowledge-authority-StepExecutions.ExecutedByAgent</t>
  </si>
  <si>
    <t>fg-knowledge-authority-StepExecutions.ExecutionStatus</t>
  </si>
  <si>
    <t>fg-knowledge-authority-StepExecutions.StartedAt</t>
  </si>
  <si>
    <t>fg-knowledge-authority-StepExecutions.EndedAt</t>
  </si>
  <si>
    <t>fg-knowledge-authority-StepExecutions.VerificationResult</t>
  </si>
  <si>
    <t>fg-knowledge-authority-StepExecutions.Deviation</t>
  </si>
  <si>
    <t>fg-knowledge-authority-StepExecutions.ActualDurationMinutes</t>
  </si>
  <si>
    <t>fg-knowledge-authority-StepExecutions.ExpectedDurationMinutes</t>
  </si>
  <si>
    <t>fg-knowledge-authority-StepExecutions.IsLate</t>
  </si>
  <si>
    <t>fg-knowledge-authority-StepExecutions.BlockingUnmetCount</t>
  </si>
  <si>
    <t>fg-knowledge-authority-StepExecutions.BlockingUnmetCountSafe</t>
  </si>
  <si>
    <t>fg-knowledge-authority-StepExecutions.ProceededPastBlockingControl</t>
  </si>
  <si>
    <t>fg-knowledge-authority-StepExecutions.ExpectedBlockingCount</t>
  </si>
  <si>
    <t>fg-knowledge-authority-StepExecutions.EvaluatedBlockingCount</t>
  </si>
  <si>
    <t>fg-knowledge-authority-StepExecutions.UnevaluatedBlockingCount</t>
  </si>
  <si>
    <t>fg-knowledge-authority-StepExecutions.HasUnevaluatedBlockingControl</t>
  </si>
  <si>
    <t>fg-knowledge-authority-StepExecutions.StaleAuthoritativeSourceCount</t>
  </si>
  <si>
    <t>fg-knowledge-authority-StepExecutions.RanOnStaleAuthoritativeSource</t>
  </si>
  <si>
    <t>fg-knowledge-authority-StepExecutions.HasDeviationNote</t>
  </si>
  <si>
    <t>fg-knowledge-authority-StepExecutions.IsLateAndUnexplained</t>
  </si>
  <si>
    <t>fg-knowledge-authority-StepExecutions.AvailableExceptionCountForStep</t>
  </si>
  <si>
    <t>fg-knowledge-authority-StepExecutions.HadUninvokedExceptionAvailable</t>
  </si>
  <si>
    <t>fg-knowledge-authority-StepExecutions.ExpectedVerificationCount</t>
  </si>
  <si>
    <t>fg-knowledge-authority-StepExecutions.PerformedVerificationCount</t>
  </si>
  <si>
    <t>fg-knowledge-authority-StepExecutions.SkippedVerificationCount</t>
  </si>
  <si>
    <t>fg-knowledge-authority-StepExecutions.HasSkippedVerification</t>
  </si>
  <si>
    <t>fg-knowledge-authority-StepExecutions.ClaimsPassWithoutEvidence</t>
  </si>
  <si>
    <t>fg-knowledge-authority-StepExecutions.StepIsPreparation</t>
  </si>
  <si>
    <t>fg-knowledge-authority-StepExecutions.StepIsApproval</t>
  </si>
  <si>
    <t>fg-knowledge-authority-StepExecutions.PreparerAgentKey</t>
  </si>
  <si>
    <t>fg-knowledge-authority-StepExecutions.ApproverAgentKey</t>
  </si>
  <si>
    <t>fg-knowledge-authority-StepExecutions.PreparedByThisAgentCount</t>
  </si>
  <si>
    <t>fg-knowledge-authority-StepExecutions.ViolatesSeparationOfDuties</t>
  </si>
  <si>
    <t>fg-knowledge-authority-StepExecutions.RequiredRoleForStep</t>
  </si>
  <si>
    <t>fg-knowledge-authority-StepExecutions.ExecutorRoleKey</t>
  </si>
  <si>
    <t>fg-knowledge-authority-StepExecutions.ExecutorAuthorityCount</t>
  </si>
  <si>
    <t>fg-knowledge-authority-StepExecutions.ExecutorHeldRequiredRole</t>
  </si>
  <si>
    <t>fg-knowledge-authority-StepExecutions.IsUnauthorizedApproval</t>
  </si>
  <si>
    <t>fg-knowledge-authority-StepExecutions.CompletedExecutionKey</t>
  </si>
  <si>
    <t>fg-knowledge-authority-StepExecutions.ControlBreachExecutionKey</t>
  </si>
  <si>
    <t>fg-knowledge-authority-StepExecutions.LateExecutionKey</t>
  </si>
  <si>
    <t>fg-knowledge-authority-StepExecutions.ExecutorAgentKind</t>
  </si>
  <si>
    <t>fg-knowledge-authority-StepExecutions.ExecutorIsHuman</t>
  </si>
  <si>
    <t>fg-knowledge-authority-StepExecutions.StepRequiresHumanConfirmation</t>
  </si>
  <si>
    <t>fg-knowledge-authority-StepExecutions.NonHumanRanHumanStep</t>
  </si>
  <si>
    <t>fg-knowledge-authority-StepExecutions.NonHumanApproval</t>
  </si>
  <si>
    <t>fg-knowledge-authority-StepExecutions.UnevaluatedBlockingExecutionKey</t>
  </si>
  <si>
    <t>fg-knowledge-authority-StepExecutions.SeparationViolationExecutionKey</t>
  </si>
  <si>
    <t>fg-knowledge-authority-StepExecutions.SelfWitnessedVerificationCount</t>
  </si>
  <si>
    <t>fg-knowledge-authority-StepExecutions.UnbackedVerificationCount</t>
  </si>
  <si>
    <t>fg-knowledge-authority-StepExecutions.ApprovalRestsOnSelfAttestation</t>
  </si>
  <si>
    <t>fg-knowledge-authority-StepExecutions.ExceptionInvocationCount</t>
  </si>
  <si>
    <t>fg-knowledge-authority-StepExecutions.RanUnderException</t>
  </si>
  <si>
    <t>fg-knowledge-authority-StepExecutions.IsCompleted</t>
  </si>
  <si>
    <t>fg-knowledge-authority-StepExecutions.IsVerificationPassed</t>
  </si>
  <si>
    <t>fg-knowledge-authority-StepExecutions.IsLegalReviewStep</t>
  </si>
  <si>
    <t>fg-knowledge-authority-StepExecutions.ClearedLegalReviewKey</t>
  </si>
  <si>
    <t>fg-knowledge-authority-StepExecutions.AssignedRole</t>
  </si>
  <si>
    <t>fg-knowledge-authority-StepExecutions.RoleCurrentAgent</t>
  </si>
  <si>
    <t>fg-knowledge-authority-StepExecutions.ExecutorIsDesignatedAgent</t>
  </si>
  <si>
    <t>fg-knowledge-authority-StepExecutions.InputsWereFreshAtRun</t>
  </si>
  <si>
    <t>fg-knowledge-authority-StepExecutions.RanOnStaleInputs</t>
  </si>
  <si>
    <t>fg-knowledge-authority-StepExecutions.UnresolvedIssueCount</t>
  </si>
  <si>
    <t>fg-knowledge-authority-StepExecutions.HasDeviation</t>
  </si>
  <si>
    <t>fg-knowledge-authority-StepExecutions.IsClean</t>
  </si>
  <si>
    <t>fg-knowledge-authority-StepExecutions.ProcedureExecutionWhenUnclean</t>
  </si>
  <si>
    <t>fg-knowledge-authority-StepExecutions.EvaluatedRequirementCount</t>
  </si>
  <si>
    <t>fg-knowledge-authority-StepExecutions.RequiredBlockingCount</t>
  </si>
  <si>
    <t>fg-knowledge-authority-StepExecutions.HasUnevaluatedBlockingRequirement</t>
  </si>
  <si>
    <t>fg-knowledge-authority-StepExecutions.ExecutingAgentKind</t>
  </si>
  <si>
    <t>fg-knowledge-authority-StepExecutions.WasExecutedBySoftware</t>
  </si>
  <si>
    <t>fg-knowledge-authority-StepExecutions.StepIsSoftwareAssigned</t>
  </si>
  <si>
    <t>fg-knowledge-authority-StepExecutions.SoftwareDidHumanWork</t>
  </si>
  <si>
    <t>fg-knowledge-authority-StepExecutions.IsApprovalExecution</t>
  </si>
  <si>
    <t>fg-knowledge-authority-StepExecutions.IsVerified</t>
  </si>
  <si>
    <t>fg-knowledge-authority-StepExecutions.UnconfirmedNonHumanDecisionCount</t>
  </si>
  <si>
    <t>fg-knowledge-authority-StepExecutions.RequiresHumanConfirmation</t>
  </si>
  <si>
    <t>fg-knowledge-authority-StepExecutions.HumanConfirmationMissing</t>
  </si>
  <si>
    <t>fg-knowledge-authority-StepExecutions.DraftedFromUnusableSource</t>
  </si>
  <si>
    <t>fg-knowledge-authority-StepExecutions.InputsWereUsable</t>
  </si>
  <si>
    <t>fg-knowledge-authority-StepExecutions.SoftwareExecutionStepKey</t>
  </si>
  <si>
    <t>fg-knowledge-authority-StepExecutions.StepControlKind</t>
  </si>
  <si>
    <t>fg-knowledge-authority-StepExecutions.UnfalsifiedClearanceCount</t>
  </si>
  <si>
    <t>fg-knowledge-authority-StepExecutions.AllClearancesAreUnfalsified</t>
  </si>
  <si>
    <t>fg-knowledge-authority-StepExecutions.StaleAtRunCount</t>
  </si>
  <si>
    <t>fg-knowledge-authority-StepExecutions.WasStaleWhenIRanIt</t>
  </si>
  <si>
    <t>fg-knowledge-authority-StepExecutions.StalenessAnswerIsTenseDependent</t>
  </si>
  <si>
    <t>fg-knowledge-authority-StepExecutions.HasAnyDeclaredCheck</t>
  </si>
  <si>
    <t>fg-knowledge-authority-StepExecutions.PerformedCheckCount</t>
  </si>
  <si>
    <t>fg-knowledge-authority-StepExecutions.DeclaredCheckCount</t>
  </si>
  <si>
    <t>fg-knowledge-authority-StepExecutions.IsUncheckedByDesign</t>
  </si>
  <si>
    <t>fg-knowledge-authority-StepExecutions.IsVacuouslyClean</t>
  </si>
  <si>
    <t>fg-knowledge-authority-StepExecutions.IsSubstantivelyClean</t>
  </si>
  <si>
    <t>fg-knowledge-authority-StepExecutions.VacuouslyCleanExecutionKey</t>
  </si>
  <si>
    <t>fg-knowledge-authority-StepExecutions.UncorroboratedPassCount</t>
  </si>
  <si>
    <t>fg-knowledge-authority-StepExecutions.EvidencePositionIsWeak</t>
  </si>
  <si>
    <t>fg-knowledge-authority-StepExecutions.PreparationExecutionKey</t>
  </si>
  <si>
    <t>fg-knowledge-authority-StepExecutions.ApprovalExecutionKey</t>
  </si>
  <si>
    <t>fg-knowledge-authority-StepExecutions.HasGoverningInstrument</t>
  </si>
  <si>
    <t>fg-knowledge-authority-StepExecutions.HasApprovedChangeCoverage</t>
  </si>
  <si>
    <t>fg-knowledge-authority-StepExecutions.VersionOfStep</t>
  </si>
  <si>
    <t>fg-knowledge-authority-StepExecutions.IsUngovernedDivergence</t>
  </si>
  <si>
    <t>fg-knowledge-authority-StepExecutions.UngovernedDivergenceExecutionKey</t>
  </si>
  <si>
    <t>fg-knowledge-authority-StepExecutions.SelfAttestedApprovalExecutionKey</t>
  </si>
  <si>
    <t>fg-knowledge-authority-StepExecutions.SemanticTypeIri</t>
  </si>
  <si>
    <t>fg-knowledge-authority-StepFunctions.StepFunctionId</t>
  </si>
  <si>
    <t>fg-knowledge-authority-StepFunctions.Name</t>
  </si>
  <si>
    <t>fg-knowledge-authority-StepFunctions.Step</t>
  </si>
  <si>
    <t>fg-knowledge-authority-StepFunctions.Function</t>
  </si>
  <si>
    <t>fg-knowledge-authority-StepRequirements.StepRequirementId</t>
  </si>
  <si>
    <t>fg-knowledge-authority-StepRequirements.Name</t>
  </si>
  <si>
    <t>fg-knowledge-authority-StepRequirements.Step</t>
  </si>
  <si>
    <t>fg-knowledge-authority-StepRequirements.Requirement</t>
  </si>
  <si>
    <t>fg-knowledge-authority-StepRequirements.RequirementIsBlocking</t>
  </si>
  <si>
    <t>fg-knowledge-authority-StepRequirements.BlockingStepKey</t>
  </si>
  <si>
    <t>fg-knowledge-authority-StepRequirements.StepWhenBlocking</t>
  </si>
  <si>
    <t>fg-knowledge-authority-StepRequirements.RequirementLacksWitness</t>
  </si>
  <si>
    <t>fg-knowledge-authority-StepRequirements.UnwitnessedStepKey</t>
  </si>
  <si>
    <t>fg-knowledge-authority-StepRequirements.SatisfactionCountForBinding</t>
  </si>
  <si>
    <t>fg-knowledge-authority-StepRequirements.BindingWasEverExercised</t>
  </si>
  <si>
    <t>fg-knowledge-authority-StepRequirements.IsUnexercisedBlockingBinding</t>
  </si>
  <si>
    <t>fg-knowledge-authority-StepRequirements.UnexercisedBindingRequirementKey</t>
  </si>
  <si>
    <t>fg-knowledge-authority-StepTools.StepToolId</t>
  </si>
  <si>
    <t>fg-knowledge-authority-StepTools.Name</t>
  </si>
  <si>
    <t>fg-knowledge-authority-StepTools.Step</t>
  </si>
  <si>
    <t>fg-knowledge-authority-StepTools.Tool</t>
  </si>
  <si>
    <t>fg-knowledge-authority-StepTransitions.StepTransitionId</t>
  </si>
  <si>
    <t>fg-knowledge-authority-StepTransitions.Name</t>
  </si>
  <si>
    <t>fg-knowledge-authority-StepTransitions.ProcedureVersion</t>
  </si>
  <si>
    <t>fg-knowledge-authority-StepTransitions.FromStep</t>
  </si>
  <si>
    <t>fg-knowledge-authority-StepTransitions.ToStep</t>
  </si>
  <si>
    <t>fg-knowledge-authority-StepTransitions.TransitionKind</t>
  </si>
  <si>
    <t>fg-knowledge-authority-StepTransitions.Condition</t>
  </si>
  <si>
    <t>fg-knowledge-authority-StepTransitions.Priority</t>
  </si>
  <si>
    <t>fg-knowledge-authority-StepTransitions.IsRecoveryPath</t>
  </si>
  <si>
    <t>fg-knowledge-authority-StepTransitions.CountOfFromStepExecutions</t>
  </si>
  <si>
    <t>fg-knowledge-authority-StepTransitions.CountOfToStepExecutions</t>
  </si>
  <si>
    <t>fg-knowledge-authority-StepTransitions.HasReachableOrigin</t>
  </si>
  <si>
    <t>fg-knowledge-authority-StepTransitions.HasReachableTarget</t>
  </si>
  <si>
    <t>fg-knowledge-authority-StepTransitions.IsNeverExercised</t>
  </si>
  <si>
    <t>fg-knowledge-authority-StepTransitions.IsUntestedRecoveryPath</t>
  </si>
  <si>
    <t>fg-knowledge-authority-StepTransitions.CountOfObservedTraversals</t>
  </si>
  <si>
    <t>fg-knowledge-authority-StepTransitions.HasBeenTraversed</t>
  </si>
  <si>
    <t>fg-knowledge-authority-StepTransitions.IsUnwalkedRecoveryPath</t>
  </si>
  <si>
    <t>fg-knowledge-authority-StepTransitions.TargetBlockingRequirementCount</t>
  </si>
  <si>
    <t>fg-knowledge-authority-StepTransitions.TargetCarriesBlockingControl</t>
  </si>
  <si>
    <t>fg-knowledge-authority-StepTransitions.IsUnrehearsedControlEntry</t>
  </si>
  <si>
    <t>fg-knowledge-authority-StepTransitions.UnrehearsedControlVersionKey</t>
  </si>
  <si>
    <t>fg-knowledge-authority-StepTransitions.SemanticTypeIri</t>
  </si>
  <si>
    <t>fg-knowledge-authority-StepVerifications.StepVerificationId</t>
  </si>
  <si>
    <t>fg-knowledge-authority-StepVerifications.Name</t>
  </si>
  <si>
    <t>fg-knowledge-authority-StepVerifications.Step</t>
  </si>
  <si>
    <t>fg-knowledge-authority-StepVerifications.VerificationKind</t>
  </si>
  <si>
    <t>fg-knowledge-authority-StepVerifications.SignalIdentifier</t>
  </si>
  <si>
    <t>fg-knowledge-authority-StepVerifications.ExpectedSignalValue</t>
  </si>
  <si>
    <t>fg-knowledge-authority-StepVerifications.Instruction</t>
  </si>
  <si>
    <t>fg-knowledge-authority-StepVerifications.SemanticTypeIri</t>
  </si>
  <si>
    <t>fg-knowledge-authority-Steps.StepId</t>
  </si>
  <si>
    <t>fg-knowledge-authority-Steps.Name</t>
  </si>
  <si>
    <t>fg-knowledge-authority-Steps.ProcedureVersion</t>
  </si>
  <si>
    <t>fg-knowledge-authority-Steps.StepNumber</t>
  </si>
  <si>
    <t>fg-knowledge-authority-Steps.Title</t>
  </si>
  <si>
    <t>fg-knowledge-authority-Steps.StepKind</t>
  </si>
  <si>
    <t>fg-knowledge-authority-Steps.AssignedRole</t>
  </si>
  <si>
    <t>fg-knowledge-authority-Steps.AssignedRoleLabel</t>
  </si>
  <si>
    <t>fg-knowledge-authority-Steps.AssignedAgentKind</t>
  </si>
  <si>
    <t>fg-knowledge-authority-Steps.Instruction</t>
  </si>
  <si>
    <t>fg-knowledge-authority-Steps.ExpectedDurationMinutes</t>
  </si>
  <si>
    <t>fg-knowledge-authority-Steps.ExpertiseLevel</t>
  </si>
  <si>
    <t>fg-knowledge-authority-Steps.RequiresHumanConfirmation</t>
  </si>
  <si>
    <t>fg-knowledge-authority-Steps.BlockingRequirementCount</t>
  </si>
  <si>
    <t>fg-knowledge-authority-Steps.StaleBindingCount</t>
  </si>
  <si>
    <t>fg-knowledge-authority-Steps.AuthoritativeStaleCount</t>
  </si>
  <si>
    <t>fg-knowledge-authority-Steps.AvailableExceptionCount</t>
  </si>
  <si>
    <t>fg-knowledge-authority-Steps.DeclaredVerificationCount</t>
  </si>
  <si>
    <t>fg-knowledge-authority-Steps.IsPreparationStep</t>
  </si>
  <si>
    <t>fg-knowledge-authority-Steps.IsApprovalStep</t>
  </si>
  <si>
    <t>fg-knowledge-authority-Steps.StaleAuthoritativeBindingCount</t>
  </si>
  <si>
    <t>fg-knowledge-authority-Steps.InputsAreFresh</t>
  </si>
  <si>
    <t>fg-knowledge-authority-Steps.IsSoftwareAssigned</t>
  </si>
  <si>
    <t>fg-knowledge-authority-Steps.IsHumanApprovalGate</t>
  </si>
  <si>
    <t>fg-knowledge-authority-Steps.GateHeldByHuman</t>
  </si>
  <si>
    <t>fg-knowledge-authority-Steps.BindingBoundaryCount</t>
  </si>
  <si>
    <t>fg-knowledge-authority-Steps.AssignedRoleIsUngoverned</t>
  </si>
  <si>
    <t>fg-knowledge-authority-Steps.UnusableBindingCount</t>
  </si>
  <si>
    <t>fg-knowledge-authority-Steps.AllSourcesUsable</t>
  </si>
  <si>
    <t>fg-knowledge-authority-Steps.ControlKind</t>
  </si>
  <si>
    <t>fg-knowledge-authority-Steps.UnwarrantedBoundaryCount</t>
  </si>
  <si>
    <t>fg-knowledge-authority-Steps.IsGovernedByUnwarrantedBoundary</t>
  </si>
  <si>
    <t>fg-knowledge-authority-Steps.SoftwareExecutionCount</t>
  </si>
  <si>
    <t>fg-knowledge-authority-Steps.HasBeenApproachedBySoftware</t>
  </si>
  <si>
    <t>fg-knowledge-authority-Steps.IsUnexercisedHumanGate</t>
  </si>
  <si>
    <t>fg-knowledge-authority-Steps.IsDemonstratedHumanGate</t>
  </si>
  <si>
    <t>fg-knowledge-authority-Steps.UnexercisedGateVersionKey</t>
  </si>
  <si>
    <t>fg-knowledge-authority-Steps.HasDeclaredControlKind</t>
  </si>
  <si>
    <t>fg-knowledge-authority-Steps.UndeclaredControlVersionKey</t>
  </si>
  <si>
    <t>fg-knowledge-authority-Steps.ApprovalStepIsSoftwareAssigned</t>
  </si>
  <si>
    <t>fg-knowledge-authority-Steps.UnwitnessedBlockingCount</t>
  </si>
  <si>
    <t>fg-knowledge-authority-Steps.SemanticTypeIri</t>
  </si>
  <si>
    <t>fg-knowledge-authority-StewardshipAssignments.StewardshipAssignmentId</t>
  </si>
  <si>
    <t>fg-knowledge-authority-StewardshipAssignments.Name</t>
  </si>
  <si>
    <t>fg-knowledge-authority-StewardshipAssignments.ProcedureVersion</t>
  </si>
  <si>
    <t>fg-knowledge-authority-StewardshipAssignments.StewardRole</t>
  </si>
  <si>
    <t>fg-knowledge-authority-StewardshipAssignments.AuthorityRole</t>
  </si>
  <si>
    <t>fg-knowledge-authority-StewardshipAssignments.ValidFrom</t>
  </si>
  <si>
    <t>fg-knowledge-authority-StewardshipAssignments.ValidTo</t>
  </si>
  <si>
    <t>fg-knowledge-authority-StewardshipAssignments.ReviewCadenceDays</t>
  </si>
  <si>
    <t>fg-knowledge-authority-StewardshipAssignments.CountOfReviewEvents</t>
  </si>
  <si>
    <t>fg-knowledge-authority-StewardshipAssignments.HasEverBeenReviewed</t>
  </si>
  <si>
    <t>fg-knowledge-authority-StewardshipAssignments.EvaluationContext</t>
  </si>
  <si>
    <t>fg-knowledge-authority-StewardshipAssignments.AsOfInstant</t>
  </si>
  <si>
    <t>fg-knowledge-authority-StewardshipAssignments.IsCurrentAssignment</t>
  </si>
  <si>
    <t>fg-knowledge-authority-StewardshipAssignments.SemanticTypeIri</t>
  </si>
  <si>
    <t>fg-knowledge-authority-TemplateApprovals.TemplateApprovalId</t>
  </si>
  <si>
    <t>fg-knowledge-authority-TemplateApprovals.Name</t>
  </si>
  <si>
    <t>fg-knowledge-authority-TemplateApprovals.MessageTemplate</t>
  </si>
  <si>
    <t>fg-knowledge-authority-TemplateApprovals.DecidedByAgent</t>
  </si>
  <si>
    <t>fg-knowledge-authority-TemplateApprovals.DecidedInRole</t>
  </si>
  <si>
    <t>fg-knowledge-authority-TemplateApprovals.Decision</t>
  </si>
  <si>
    <t>fg-knowledge-authority-TemplateApprovals.DecidedAt</t>
  </si>
  <si>
    <t>fg-knowledge-authority-TemplateApprovals.ApprovedBodyHash</t>
  </si>
  <si>
    <t>fg-knowledge-authority-TemplateApprovals.Notes</t>
  </si>
  <si>
    <t>fg-knowledge-authority-TemplateApprovals.IsApprovalDecision</t>
  </si>
  <si>
    <t>fg-knowledge-authority-TemplateApprovals.TemplatePolicy</t>
  </si>
  <si>
    <t>fg-knowledge-authority-TemplateApprovals.RequiredApprovalRole</t>
  </si>
  <si>
    <t>fg-knowledge-authority-TemplateApprovals.IsDecidedByRequiredRole</t>
  </si>
  <si>
    <t>fg-knowledge-authority-TemplateApprovals.ValidApprovalTemplateKey</t>
  </si>
  <si>
    <t>fg-knowledge-authority-TemplateApprovals.SemanticTypeIri</t>
  </si>
  <si>
    <t>fg-knowledge-authority-TestCases.TestCaseId</t>
  </si>
  <si>
    <t>fg-knowledge-authority-TestCases.Name</t>
  </si>
  <si>
    <t>fg-knowledge-authority-TestCases.TestKind</t>
  </si>
  <si>
    <t>fg-knowledge-authority-TestCases.Subject</t>
  </si>
  <si>
    <t>fg-knowledge-authority-TestCases.TargetTable</t>
  </si>
  <si>
    <t>fg-knowledge-authority-TestCases.TargetField</t>
  </si>
  <si>
    <t>fg-knowledge-authority-TestCases.Assertion</t>
  </si>
  <si>
    <t>fg-knowledge-authority-TestCases.DefendsQuestion</t>
  </si>
  <si>
    <t>fg-knowledge-authority-TestCases.Suite</t>
  </si>
  <si>
    <t>fg-knowledge-authority-TestCases.Severity</t>
  </si>
  <si>
    <t>fg-knowledge-authority-TestCases.IsBlocking</t>
  </si>
  <si>
    <t>fg-knowledge-authority-TestCases.LastOutcome</t>
  </si>
  <si>
    <t>fg-knowledge-authority-TestCases.LastDetail</t>
  </si>
  <si>
    <t>fg-knowledge-authority-TestCases.LastRunAt</t>
  </si>
  <si>
    <t>fg-knowledge-authority-TestCases.IsPassing</t>
  </si>
  <si>
    <t>fg-knowledge-authority-TestCases.IsFailing</t>
  </si>
  <si>
    <t>fg-knowledge-authority-TestCases.NeedsAttention</t>
  </si>
  <si>
    <t>fg-knowledge-authority-TestCases.PassingSuiteKey</t>
  </si>
  <si>
    <t>fg-knowledge-authority-TestCases.NeedsAttentionSuiteKey</t>
  </si>
  <si>
    <t>fg-knowledge-authority-TestCases.SemanticTypeIri</t>
  </si>
  <si>
    <t>fg-knowledge-authority-TestSuites.TestSuiteId</t>
  </si>
  <si>
    <t>fg-knowledge-authority-TestSuites.Name</t>
  </si>
  <si>
    <t>fg-knowledge-authority-TestSuites.Label</t>
  </si>
  <si>
    <t>fg-knowledge-authority-TestSuites.TestCount</t>
  </si>
  <si>
    <t>fg-knowledge-authority-TestSuites.PassCount</t>
  </si>
  <si>
    <t>fg-knowledge-authority-TestSuites.BlockingFailCount</t>
  </si>
  <si>
    <t>fg-knowledge-authority-TestSuites.IsGreen</t>
  </si>
  <si>
    <t>fg-knowledge-authority-TestSuites.SemanticTypeIri</t>
  </si>
  <si>
    <t>fg-knowledge-authority-Tools.ToolId</t>
  </si>
  <si>
    <t>fg-knowledge-authority-Tools.Name</t>
  </si>
  <si>
    <t>fg-knowledge-authority-Tools.Label</t>
  </si>
  <si>
    <t>fg-knowledge-authority-Tools.Purpose</t>
  </si>
  <si>
    <t>fg-knowledge-authority-Tools.SemanticTypeIri</t>
  </si>
  <si>
    <t>fg-knowledge-authority-UserFeedback.UserFeedbackId</t>
  </si>
  <si>
    <t>fg-knowledge-authority-UserFeedback.Name</t>
  </si>
  <si>
    <t>fg-knowledge-authority-UserFeedback.ProcedureExecution</t>
  </si>
  <si>
    <t>fg-knowledge-authority-UserFeedback.ProvidedByAgent</t>
  </si>
  <si>
    <t>fg-knowledge-authority-UserFeedback.ProvidedAt</t>
  </si>
  <si>
    <t>fg-knowledge-authority-UserFeedback.FeedbackText</t>
  </si>
  <si>
    <t>fg-knowledge-authority-UserFeedback.Disposition</t>
  </si>
  <si>
    <t>fg-knowledge-authority-UserFeedback.ChangeRequestKey</t>
  </si>
  <si>
    <t>fg-knowledge-authority-UserFeedback.SemanticTypeIri</t>
  </si>
  <si>
    <t>fg-knowledge-authority-UserQuestions.UserQuestionId</t>
  </si>
  <si>
    <t>fg-knowledge-authority-UserQuestions.Name</t>
  </si>
  <si>
    <t>fg-knowledge-authority-UserQuestions.StepExecution</t>
  </si>
  <si>
    <t>fg-knowledge-authority-UserQuestions.AskedByAgent</t>
  </si>
  <si>
    <t>fg-knowledge-authority-UserQuestions.AskedAt</t>
  </si>
  <si>
    <t>fg-knowledge-authority-UserQuestions.QuestionText</t>
  </si>
  <si>
    <t>fg-knowledge-authority-UserQuestions.ResolvedByFaq</t>
  </si>
  <si>
    <t>fg-knowledge-authority-UserQuestions.AddressedByResource</t>
  </si>
  <si>
    <t>fg-knowledge-authority-UserQuestions.Status</t>
  </si>
  <si>
    <t>fg-knowledge-authority-UserQuestions.SemanticTypeIri</t>
  </si>
  <si>
    <t>fg-knowledge-authority-VerificationOutcomes.VerificationOutcomeId</t>
  </si>
  <si>
    <t>fg-knowledge-authority-VerificationOutcomes.Name</t>
  </si>
  <si>
    <t>fg-knowledge-authority-VerificationOutcomes.StepExecution</t>
  </si>
  <si>
    <t>fg-knowledge-authority-VerificationOutcomes.StepVerification</t>
  </si>
  <si>
    <t>fg-knowledge-authority-VerificationOutcomes.ObservedSignalValue</t>
  </si>
  <si>
    <t>fg-knowledge-authority-VerificationOutcomes.ObservedByAgent</t>
  </si>
  <si>
    <t>fg-knowledge-authority-VerificationOutcomes.ObservedAt</t>
  </si>
  <si>
    <t>fg-knowledge-authority-VerificationOutcomes.EvidenceUri</t>
  </si>
  <si>
    <t>fg-knowledge-authority-VerificationOutcomes.ExpectedSignalValue</t>
  </si>
  <si>
    <t>fg-knowledge-authority-VerificationOutcomes.SignalIdentifier</t>
  </si>
  <si>
    <t>fg-knowledge-authority-VerificationOutcomes.SignalMatchesExpected</t>
  </si>
  <si>
    <t>fg-knowledge-authority-VerificationOutcomes.HasEvidence</t>
  </si>
  <si>
    <t>fg-knowledge-authority-VerificationOutcomes.IsUnbackedObservation</t>
  </si>
  <si>
    <t>fg-knowledge-authority-VerificationOutcomes.IsSelfWitnessed</t>
  </si>
  <si>
    <t>fg-knowledge-authority-VerificationOutcomes.StepExecutorAgent</t>
  </si>
  <si>
    <t>fg-knowledge-authority-VerificationOutcomes.SelfWitnessedStepKey</t>
  </si>
  <si>
    <t>fg-knowledge-authority-VerificationOutcomes.UnbackedStepKey</t>
  </si>
  <si>
    <t>fg-knowledge-authority-VerificationOutcomes.IsSelfWitnessedAndUnbacked</t>
  </si>
  <si>
    <t>fg-knowledge-authority-VerificationOutcomes.IsUncorroboratedPass</t>
  </si>
  <si>
    <t>fg-knowledge-authority-VerificationOutcomes.UncorroboratedPassStepKey</t>
  </si>
  <si>
    <t>fg-knowledge-authority-VerificationOutcomes.ObserverIsNonHuman</t>
  </si>
  <si>
    <t>fg-knowledge-authority-VerificationOutcomes.ObserverIsIndependentOfExecutor</t>
  </si>
  <si>
    <t>fg-knowledge-authority-VerificationOutcomes.IsIndependentHumanObservation</t>
  </si>
  <si>
    <t>fg-knowledge-authority-VerificationOutcomes.IndependentObservationExecutionKey</t>
  </si>
  <si>
    <t>fg-knowledge-authority-VerificationOutcomes.ParentProcedureExecutionOfOutcome</t>
  </si>
  <si>
    <t>fg-knowledge-authority-VerificationOutcomes.SemanticTypeIri</t>
  </si>
  <si>
    <t>fg-knowledge-authority-WitnessLoops.WitnessLoopId</t>
  </si>
  <si>
    <t>fg-knowledge-authority-WitnessLoops.Name</t>
  </si>
  <si>
    <t>fg-knowledge-authority-WitnessLoops.LoopNumber</t>
  </si>
  <si>
    <t>fg-knowledge-authority-WitnessLoops.Title</t>
  </si>
  <si>
    <t>fg-knowledge-authority-WitnessLoops.Premise</t>
  </si>
  <si>
    <t>fg-knowledge-authority-WitnessLoops.StartedAt</t>
  </si>
  <si>
    <t>fg-knowledge-authority-WitnessLoops.CompletedAt</t>
  </si>
  <si>
    <t>fg-knowledge-authority-WitnessLoops.QuestionCount</t>
  </si>
  <si>
    <t>fg-knowledge-authority-WitnessLoops.IsComplete</t>
  </si>
  <si>
    <t>fg-knowledge-authority-WitnessLoops.FieldsAfter</t>
  </si>
  <si>
    <t>fg-knowledge-authority-WitnessLoops.DerivedAfter</t>
  </si>
  <si>
    <t>fg-knowledge-authority-WitnessLoops.WitnessedAfter</t>
  </si>
  <si>
    <t>fg-knowledge-authority-WitnessLoops.SemanticTypeIri</t>
  </si>
  <si>
    <t>fg-process-steward-ProcessMiningRuns.ProcessMiningRunId</t>
  </si>
  <si>
    <t>fg-process-steward-ProcessMiningRuns.Name</t>
  </si>
  <si>
    <t>fg-process-steward-ProcessMiningRuns.ProcedureVersion</t>
  </si>
  <si>
    <t>fg-process-steward-ProcessMiningRuns.EventLogSource</t>
  </si>
  <si>
    <t>fg-process-steward-ProcessMiningRuns.MinedAt</t>
  </si>
  <si>
    <t>fg-process-steward-ProcessMiningRuns.DiscoveredVariantCount</t>
  </si>
  <si>
    <t>fg-process-steward-ProcessMiningRuns.ConformingVariantCount</t>
  </si>
  <si>
    <t>fg-process-steward-ProcessMiningRuns.DeviationDescription</t>
  </si>
  <si>
    <t>fg-process-steward-ProcessMiningRuns.EvaluationContext</t>
  </si>
  <si>
    <t>fg-process-steward-ProcessMiningRuns.AsOfInstant</t>
  </si>
  <si>
    <t>fg-process-steward-ProcessMiningRuns.ConformanceRate</t>
  </si>
  <si>
    <t>fg-process-steward-ProcessMiningRuns.IsConformant</t>
  </si>
  <si>
    <t>fg-process-steward-ProcessMiningRuns.HasMajorDriftFromDocumentation</t>
  </si>
  <si>
    <t>fg-process-steward-ProcessMiningRuns.DaysSinceMined</t>
  </si>
  <si>
    <t>fg-process-steward-ProcessMiningRuns.IsStaleMiningEvidence</t>
  </si>
  <si>
    <t>fg-process-steward-ProcessMiningRuns.ProcedureVersionIsLive</t>
  </si>
  <si>
    <t>fg-process-steward-ProcessMiningRuns.IsDriftOnLiveVersion</t>
  </si>
  <si>
    <t>fg-process-steward-ProcessMiningRuns.DriftedMiningRunKey</t>
  </si>
  <si>
    <t>fg-process-steward-ProcessMiningRuns.SemanticTypeIri</t>
  </si>
  <si>
    <t>fg-process-steward-Vocabularies.VocabularyId</t>
  </si>
  <si>
    <t>fg-process-steward-Vocabularies.Name</t>
  </si>
  <si>
    <t>fg-process-steward-Vocabularies.Title</t>
  </si>
  <si>
    <t>fg-process-steward-Vocabularies.SchemeUri</t>
  </si>
  <si>
    <t>fg-process-steward-Vocabularies.GoverningRole</t>
  </si>
  <si>
    <t>fg-process-steward-Vocabularies.TermCount</t>
  </si>
  <si>
    <t>fg-process-steward-Vocabularies.OrphanTermCount</t>
  </si>
  <si>
    <t>fg-process-steward-Vocabularies.HasOrphanTerms</t>
  </si>
  <si>
    <t>fg-process-steward-Vocabularies.SemanticTypeIri</t>
  </si>
  <si>
    <t>fg-process-steward-VocabularyTerms.VocabularyTermId</t>
  </si>
  <si>
    <t>fg-process-steward-VocabularyTerms.Name</t>
  </si>
  <si>
    <t>fg-process-steward-VocabularyTerms.Vocabulary</t>
  </si>
  <si>
    <t>fg-process-steward-VocabularyTerms.PrefLabel</t>
  </si>
  <si>
    <t>fg-process-steward-VocabularyTerms.AltLabels</t>
  </si>
  <si>
    <t>fg-process-steward-VocabularyTerms.Definition</t>
  </si>
  <si>
    <t>fg-process-steward-VocabularyTerms.UsageCount</t>
  </si>
  <si>
    <t>fg-process-steward-VocabularyTerms.IsOrphanTerm</t>
  </si>
  <si>
    <t>fg-process-steward-VocabularyTerms.IsWidelyAdoptedTerm</t>
  </si>
  <si>
    <t>fg-process-steward-VocabularyTerms.OrphanTermVocabularyKey</t>
  </si>
  <si>
    <t>fg-process-steward-VocabularyTerms.SemanticTypeIri</t>
  </si>
  <si>
    <t>fg-process-steward-KnowledgeBrokerLinks.KnowledgeBrokerLinkId</t>
  </si>
  <si>
    <t>fg-process-steward-KnowledgeBrokerLinks.Name</t>
  </si>
  <si>
    <t>fg-process-steward-KnowledgeBrokerLinks.Seeker</t>
  </si>
  <si>
    <t>fg-process-steward-KnowledgeBrokerLinks.Broker</t>
  </si>
  <si>
    <t>fg-process-steward-KnowledgeBrokerLinks.Topic</t>
  </si>
  <si>
    <t>fg-process-steward-KnowledgeBrokerLinks.Frequency</t>
  </si>
  <si>
    <t>fg-process-steward-KnowledgeBrokerLinks.LastConsultedAt</t>
  </si>
  <si>
    <t>fg-process-steward-KnowledgeBrokerLinks.EvaluationContext</t>
  </si>
  <si>
    <t>fg-process-steward-KnowledgeBrokerLinks.AsOfInstant</t>
  </si>
  <si>
    <t>fg-process-steward-KnowledgeBrokerLinks.DaysSinceConsulted</t>
  </si>
  <si>
    <t>fg-process-steward-KnowledgeBrokerLinks.IsActiveReliance</t>
  </si>
  <si>
    <t>fg-process-steward-KnowledgeBrokerLinks.BrokerIsStillEngaged</t>
  </si>
  <si>
    <t>fg-process-steward-KnowledgeBrokerLinks.IsAtRiskReliance</t>
  </si>
  <si>
    <t>fg-process-steward-KnowledgeBrokerLinks.ActiveRelianceBrokerKey</t>
  </si>
  <si>
    <t>fg-process-steward-KnowledgeBrokerLinks.AtRiskBrokerKey</t>
  </si>
  <si>
    <t>fg-process-steward-KnowledgeBrokerLinks.SemanticTypeIri</t>
  </si>
  <si>
    <t>fg-process-steward-ProcedureVersions.MiningRunCount</t>
  </si>
  <si>
    <t>fg-process-steward-ProcedureVersions.DriftedMiningRunCount</t>
  </si>
  <si>
    <t>fg-process-steward-ProcedureVersions.HasUnresolvedMiningDrift</t>
  </si>
  <si>
    <t>fg-process-steward-Requirements.ControlledTerm</t>
  </si>
  <si>
    <t>fg-process-steward-Requirements.UsesControlledVocabulary</t>
  </si>
  <si>
    <t>fg-process-steward-Agents.TimesNamedAsBroker</t>
  </si>
  <si>
    <t>fg-process-steward-Agents.IsRecognizedBroker</t>
  </si>
  <si>
    <t>fg-process-steward-Agents.AtRiskRelianceCount</t>
  </si>
  <si>
    <t>fg-process-steward-Agents.HasAtRiskKnowledgeReliance</t>
  </si>
  <si>
    <t>fg-knowledge-authority-ProcessMiningRuns.ProcessMiningRunId</t>
  </si>
  <si>
    <t>fg-knowledge-authority-ProcessMiningRuns.Name</t>
  </si>
  <si>
    <t>fg-knowledge-authority-ProcessMiningRuns.ProcedureVersion</t>
  </si>
  <si>
    <t>fg-knowledge-authority-ProcessMiningRuns.EventLogSource</t>
  </si>
  <si>
    <t>fg-knowledge-authority-ProcessMiningRuns.MinedAt</t>
  </si>
  <si>
    <t>fg-knowledge-authority-ProcessMiningRuns.DiscoveredVariantCount</t>
  </si>
  <si>
    <t>fg-knowledge-authority-ProcessMiningRuns.ConformingVariantCount</t>
  </si>
  <si>
    <t>fg-knowledge-authority-ProcessMiningRuns.DeviationDescription</t>
  </si>
  <si>
    <t>fg-knowledge-authority-ProcessMiningRuns.EvaluationContext</t>
  </si>
  <si>
    <t>fg-knowledge-authority-ProcessMiningRuns.AsOfInstant</t>
  </si>
  <si>
    <t>fg-knowledge-authority-ProcessMiningRuns.ConformanceRate</t>
  </si>
  <si>
    <t>fg-knowledge-authority-ProcessMiningRuns.IsConformant</t>
  </si>
  <si>
    <t>fg-knowledge-authority-ProcessMiningRuns.HasMajorDriftFromDocumentation</t>
  </si>
  <si>
    <t>fg-knowledge-authority-ProcessMiningRuns.DaysSinceMined</t>
  </si>
  <si>
    <t>fg-knowledge-authority-ProcessMiningRuns.IsStaleMiningEvidence</t>
  </si>
  <si>
    <t>fg-knowledge-authority-ProcessMiningRuns.ProcedureVersionIsLive</t>
  </si>
  <si>
    <t>fg-knowledge-authority-ProcessMiningRuns.IsDriftOnLiveVersion</t>
  </si>
  <si>
    <t>fg-knowledge-authority-ProcessMiningRuns.DriftedMiningRunKey</t>
  </si>
  <si>
    <t>fg-knowledge-authority-ProcessMiningRuns.SemanticTypeIri</t>
  </si>
  <si>
    <t>fg-knowledge-authority-Vocabularies.VocabularyId</t>
  </si>
  <si>
    <t>fg-knowledge-authority-Vocabularies.Name</t>
  </si>
  <si>
    <t>fg-knowledge-authority-Vocabularies.Title</t>
  </si>
  <si>
    <t>fg-knowledge-authority-Vocabularies.SchemeUri</t>
  </si>
  <si>
    <t>fg-knowledge-authority-Vocabularies.GoverningRole</t>
  </si>
  <si>
    <t>fg-knowledge-authority-Vocabularies.TermCount</t>
  </si>
  <si>
    <t>fg-knowledge-authority-Vocabularies.OrphanTermCount</t>
  </si>
  <si>
    <t>fg-knowledge-authority-Vocabularies.HasOrphanTerms</t>
  </si>
  <si>
    <t>fg-knowledge-authority-Vocabularies.SemanticTypeIri</t>
  </si>
  <si>
    <t>fg-knowledge-authority-VocabularyTerms.VocabularyTermId</t>
  </si>
  <si>
    <t>fg-knowledge-authority-VocabularyTerms.Name</t>
  </si>
  <si>
    <t>fg-knowledge-authority-VocabularyTerms.Vocabulary</t>
  </si>
  <si>
    <t>fg-knowledge-authority-VocabularyTerms.PrefLabel</t>
  </si>
  <si>
    <t>fg-knowledge-authority-VocabularyTerms.AltLabels</t>
  </si>
  <si>
    <t>fg-knowledge-authority-VocabularyTerms.Definition</t>
  </si>
  <si>
    <t>fg-knowledge-authority-VocabularyTerms.UsageCount</t>
  </si>
  <si>
    <t>fg-knowledge-authority-VocabularyTerms.IsOrphanTerm</t>
  </si>
  <si>
    <t>fg-knowledge-authority-VocabularyTerms.IsWidelyAdoptedTerm</t>
  </si>
  <si>
    <t>fg-knowledge-authority-VocabularyTerms.OrphanTermVocabularyKey</t>
  </si>
  <si>
    <t>fg-knowledge-authority-VocabularyTerms.SemanticTypeIri</t>
  </si>
  <si>
    <t>fg-knowledge-authority-KnowledgeBrokerLinks.KnowledgeBrokerLinkId</t>
  </si>
  <si>
    <t>fg-knowledge-authority-KnowledgeBrokerLinks.Name</t>
  </si>
  <si>
    <t>fg-knowledge-authority-KnowledgeBrokerLinks.Seeker</t>
  </si>
  <si>
    <t>fg-knowledge-authority-KnowledgeBrokerLinks.Broker</t>
  </si>
  <si>
    <t>fg-knowledge-authority-KnowledgeBrokerLinks.Topic</t>
  </si>
  <si>
    <t>fg-knowledge-authority-KnowledgeBrokerLinks.Frequency</t>
  </si>
  <si>
    <t>fg-knowledge-authority-KnowledgeBrokerLinks.LastConsultedAt</t>
  </si>
  <si>
    <t>fg-knowledge-authority-KnowledgeBrokerLinks.EvaluationContext</t>
  </si>
  <si>
    <t>fg-knowledge-authority-KnowledgeBrokerLinks.AsOfInstant</t>
  </si>
  <si>
    <t>fg-knowledge-authority-KnowledgeBrokerLinks.DaysSinceConsulted</t>
  </si>
  <si>
    <t>fg-knowledge-authority-KnowledgeBrokerLinks.IsActiveReliance</t>
  </si>
  <si>
    <t>fg-knowledge-authority-KnowledgeBrokerLinks.BrokerIsStillEngaged</t>
  </si>
  <si>
    <t>fg-knowledge-authority-KnowledgeBrokerLinks.IsAtRiskReliance</t>
  </si>
  <si>
    <t>fg-knowledge-authority-KnowledgeBrokerLinks.ActiveRelianceBrokerKey</t>
  </si>
  <si>
    <t>fg-knowledge-authority-KnowledgeBrokerLinks.AtRiskBrokerKey</t>
  </si>
  <si>
    <t>fg-knowledge-authority-KnowledgeBrokerLinks.SemanticTypeIri</t>
  </si>
  <si>
    <t>fg-knowledge-authority-ProcedureVersions.MiningRunCount</t>
  </si>
  <si>
    <t>fg-knowledge-authority-ProcedureVersions.DriftedMiningRunCount</t>
  </si>
  <si>
    <t>fg-knowledge-authority-ProcedureVersions.HasUnresolvedMiningDrift</t>
  </si>
  <si>
    <t>fg-knowledge-authority-Requirements.ControlledTerm</t>
  </si>
  <si>
    <t>fg-knowledge-authority-Requirements.UsesControlledVocabulary</t>
  </si>
  <si>
    <t>fg-knowledge-authority-Agents.TimesNamedAsBroker</t>
  </si>
  <si>
    <t>fg-knowledge-authority-Agents.IsRecognizedBroker</t>
  </si>
  <si>
    <t>fg-knowledge-authority-Agents.AtRiskRelianceCount</t>
  </si>
  <si>
    <t>fg-knowledge-authority-Agents.HasAtRiskKnowledgeReliance</t>
  </si>
  <si>
    <t>schema-finance-analyst</t>
  </si>
  <si>
    <t>urn:effortless:pko-extension#RoleSchema</t>
  </si>
  <si>
    <t>schema-controller</t>
  </si>
  <si>
    <t>schema-cfo</t>
  </si>
  <si>
    <t>schema-hr-policy-owner</t>
  </si>
  <si>
    <t>schema-employment-counsel</t>
  </si>
  <si>
    <t>schema-communications-manager</t>
  </si>
  <si>
    <t>schema-close-automation</t>
  </si>
  <si>
    <t>schema-variance-review-agent</t>
  </si>
  <si>
    <t>schema-policy-drafting-agent</t>
  </si>
  <si>
    <t>schema-notification-publisher</t>
  </si>
  <si>
    <t>schema-process-steward</t>
  </si>
  <si>
    <t>schema-knowledge-authority</t>
  </si>
  <si>
    <t>rsv-finance-analyst-steps</t>
  </si>
  <si>
    <t>urn:effortless:pko-extension#RoleSchemaView</t>
  </si>
  <si>
    <t>rsv-finance-analyst-step_executions</t>
  </si>
  <si>
    <t>rsv-finance-analyst-procedure_executions</t>
  </si>
  <si>
    <t>rsv-finance-analyst-requirements</t>
  </si>
  <si>
    <t>rsv-finance-analyst-requirement_satisfactions</t>
  </si>
  <si>
    <t>rsv-finance-analyst-procedures</t>
  </si>
  <si>
    <t>rsv-finance-analyst-procedure_versions</t>
  </si>
  <si>
    <t>rsv-controller-steps</t>
  </si>
  <si>
    <t>rsv-controller-step_executions</t>
  </si>
  <si>
    <t>rsv-controller-procedure_executions</t>
  </si>
  <si>
    <t>rsv-controller-exceptions</t>
  </si>
  <si>
    <t>rsv-controller-change_requests</t>
  </si>
  <si>
    <t>rsv-controller-knowledge_fragments</t>
  </si>
  <si>
    <t>rsv-controller-requirements</t>
  </si>
  <si>
    <t>rsv-controller-procedure_versions</t>
  </si>
  <si>
    <t>rsv-cfo-procedure_executions</t>
  </si>
  <si>
    <t>rsv-cfo-exceptions</t>
  </si>
  <si>
    <t>rsv-cfo-change_requests</t>
  </si>
  <si>
    <t>rsv-cfo-authority_boundaries</t>
  </si>
  <si>
    <t>rsv-cfo-procedures</t>
  </si>
  <si>
    <t>rsv-hr-policy-owner-steps</t>
  </si>
  <si>
    <t>rsv-hr-policy-owner-knowledge_fragments</t>
  </si>
  <si>
    <t>rsv-hr-policy-owner-knowledge_gaps</t>
  </si>
  <si>
    <t>rsv-hr-policy-owner-change_requests</t>
  </si>
  <si>
    <t>rsv-hr-policy-owner-exceptions</t>
  </si>
  <si>
    <t>rsv-hr-policy-owner-message_templates</t>
  </si>
  <si>
    <t>rsv-employment-counsel-change_requests</t>
  </si>
  <si>
    <t>rsv-employment-counsel-knowledge_fragments</t>
  </si>
  <si>
    <t>rsv-employment-counsel-authority_boundaries</t>
  </si>
  <si>
    <t>rsv-employment-counsel-communication_policies</t>
  </si>
  <si>
    <t>rsv-employment-counsel-steps</t>
  </si>
  <si>
    <t>rsv-communications-manager-communication_policies</t>
  </si>
  <si>
    <t>rsv-communications-manager-message_templates</t>
  </si>
  <si>
    <t>rsv-communications-manager-send_intents</t>
  </si>
  <si>
    <t>rsv-communications-manager-message_deliveries</t>
  </si>
  <si>
    <t>rsv-communications-manager-recipients</t>
  </si>
  <si>
    <t>rsv-communications-manager-knowledge_gaps</t>
  </si>
  <si>
    <t>rsv-close-automation-steps</t>
  </si>
  <si>
    <t>rsv-close-automation-step_executions</t>
  </si>
  <si>
    <t>rsv-close-automation-errors</t>
  </si>
  <si>
    <t>rsv-variance-review-agent-steps</t>
  </si>
  <si>
    <t>rsv-variance-review-agent-step_executions</t>
  </si>
  <si>
    <t>rsv-variance-review-agent-requirements</t>
  </si>
  <si>
    <t>rsv-variance-review-agent-requirement_satisfactions</t>
  </si>
  <si>
    <t>rsv-variance-review-agent-errors</t>
  </si>
  <si>
    <t>rsv-policy-drafting-agent-message_templates</t>
  </si>
  <si>
    <t>rsv-policy-drafting-agent-communication_policies</t>
  </si>
  <si>
    <t>rsv-policy-drafting-agent-knowledge_fragments</t>
  </si>
  <si>
    <t>rsv-policy-drafting-agent-steps</t>
  </si>
  <si>
    <t>rsv-notification-publisher-communication_policies</t>
  </si>
  <si>
    <t>rsv-notification-publisher-send_intents</t>
  </si>
  <si>
    <t>rsv-notification-publisher-message_deliveries</t>
  </si>
  <si>
    <t>rsv-notification-publisher-recipients</t>
  </si>
  <si>
    <t>rsv-notification-publisher-steps</t>
  </si>
  <si>
    <t>rsv-process-steward-actions</t>
  </si>
  <si>
    <t>rsv-process-steward-agent_decision_records</t>
  </si>
  <si>
    <t>rsv-process-steward-agents</t>
  </si>
  <si>
    <t>rsv-process-steward-app_nav_groups</t>
  </si>
  <si>
    <t>rsv-process-steward-app_role_profiles</t>
  </si>
  <si>
    <t>rsv-process-steward-app_route_questions</t>
  </si>
  <si>
    <t>rsv-process-steward-app_route_references</t>
  </si>
  <si>
    <t>rsv-process-steward-app_routes</t>
  </si>
  <si>
    <t>rsv-process-steward-attestations</t>
  </si>
  <si>
    <t>rsv-process-steward-authority_boundaries</t>
  </si>
  <si>
    <t>rsv-process-steward-binding_observations</t>
  </si>
  <si>
    <t>rsv-process-steward-change_requests</t>
  </si>
  <si>
    <t>rsv-process-steward-communication_policies</t>
  </si>
  <si>
    <t>rsv-process-steward-communities_of_practice</t>
  </si>
  <si>
    <t>rsv-process-steward-delivered_communications</t>
  </si>
  <si>
    <t>rsv-process-steward-elicitation_sessions</t>
  </si>
  <si>
    <t>rsv-process-steward-errors</t>
  </si>
  <si>
    <t>rsv-process-steward-evaluation_contexts</t>
  </si>
  <si>
    <t>rsv-process-steward-exception_invocations</t>
  </si>
  <si>
    <t>rsv-process-steward-exceptions</t>
  </si>
  <si>
    <t>rsv-process-steward-explanations</t>
  </si>
  <si>
    <t>rsv-process-steward-functions</t>
  </si>
  <si>
    <t>rsv-process-steward-issue_occurrences</t>
  </si>
  <si>
    <t>rsv-process-steward-knowledge_fragments</t>
  </si>
  <si>
    <t>rsv-process-steward-knowledge_gaps</t>
  </si>
  <si>
    <t>rsv-process-steward-learning_activities</t>
  </si>
  <si>
    <t>rsv-process-steward-mentorships</t>
  </si>
  <si>
    <t>rsv-process-steward-message_deliveries</t>
  </si>
  <si>
    <t>rsv-process-steward-message_templates</t>
  </si>
  <si>
    <t>rsv-process-steward-observed_transitions</t>
  </si>
  <si>
    <t>rsv-process-steward-ontology_profiles</t>
  </si>
  <si>
    <t>rsv-process-steward-operational_bindings</t>
  </si>
  <si>
    <t>rsv-process-steward-organizations</t>
  </si>
  <si>
    <t>rsv-process-steward-procedure_executions</t>
  </si>
  <si>
    <t>rsv-process-steward-procedure_resources</t>
  </si>
  <si>
    <t>rsv-process-steward-procedure_status_changes</t>
  </si>
  <si>
    <t>rsv-process-steward-procedure_types</t>
  </si>
  <si>
    <t>rsv-process-steward-procedure_version_links</t>
  </si>
  <si>
    <t>rsv-process-steward-procedure_versions</t>
  </si>
  <si>
    <t>rsv-process-steward-procedures</t>
  </si>
  <si>
    <t>rsv-process-steward-rationales</t>
  </si>
  <si>
    <t>rsv-process-steward-recipients</t>
  </si>
  <si>
    <t>rsv-process-steward-requirement_satisfactions</t>
  </si>
  <si>
    <t>rsv-process-steward-requirements</t>
  </si>
  <si>
    <t>rsv-process-steward-resources</t>
  </si>
  <si>
    <t>rsv-process-steward-review_events</t>
  </si>
  <si>
    <t>rsv-process-steward-role_assignments</t>
  </si>
  <si>
    <t>rsv-process-steward-role_questions</t>
  </si>
  <si>
    <t>rsv-process-steward-roles</t>
  </si>
  <si>
    <t>rsv-process-steward-rulebook_fields</t>
  </si>
  <si>
    <t>rsv-process-steward-rulebook_releases</t>
  </si>
  <si>
    <t>rsv-process-steward-semantic_mappings</t>
  </si>
  <si>
    <t>rsv-process-steward-send_intents</t>
  </si>
  <si>
    <t>rsv-process-steward-step_actions</t>
  </si>
  <si>
    <t>rsv-process-steward-step_executions</t>
  </si>
  <si>
    <t>rsv-process-steward-step_functions</t>
  </si>
  <si>
    <t>rsv-process-steward-step_requirements</t>
  </si>
  <si>
    <t>rsv-process-steward-step_tools</t>
  </si>
  <si>
    <t>rsv-process-steward-step_transitions</t>
  </si>
  <si>
    <t>rsv-process-steward-step_verifications</t>
  </si>
  <si>
    <t>rsv-process-steward-steps</t>
  </si>
  <si>
    <t>rsv-process-steward-stewardship_assignments</t>
  </si>
  <si>
    <t>rsv-process-steward-template_approvals</t>
  </si>
  <si>
    <t>rsv-process-steward-test_cases</t>
  </si>
  <si>
    <t>rsv-process-steward-test_suites</t>
  </si>
  <si>
    <t>rsv-process-steward-tools</t>
  </si>
  <si>
    <t>rsv-process-steward-user_feedback</t>
  </si>
  <si>
    <t>rsv-process-steward-user_questions</t>
  </si>
  <si>
    <t>rsv-process-steward-verification_outcomes</t>
  </si>
  <si>
    <t>rsv-process-steward-witness_loops</t>
  </si>
  <si>
    <t>rsv-knowledge-authority-actions</t>
  </si>
  <si>
    <t>rsv-knowledge-authority-agent_decision_records</t>
  </si>
  <si>
    <t>rsv-knowledge-authority-agents</t>
  </si>
  <si>
    <t>rsv-knowledge-authority-app_nav_groups</t>
  </si>
  <si>
    <t>rsv-knowledge-authority-app_role_profiles</t>
  </si>
  <si>
    <t>rsv-knowledge-authority-app_route_questions</t>
  </si>
  <si>
    <t>rsv-knowledge-authority-app_route_references</t>
  </si>
  <si>
    <t>rsv-knowledge-authority-app_routes</t>
  </si>
  <si>
    <t>rsv-knowledge-authority-attestations</t>
  </si>
  <si>
    <t>rsv-knowledge-authority-authority_boundaries</t>
  </si>
  <si>
    <t>rsv-knowledge-authority-binding_observations</t>
  </si>
  <si>
    <t>rsv-knowledge-authority-change_requests</t>
  </si>
  <si>
    <t>rsv-knowledge-authority-communication_policies</t>
  </si>
  <si>
    <t>rsv-knowledge-authority-communities_of_practice</t>
  </si>
  <si>
    <t>rsv-knowledge-authority-delivered_communications</t>
  </si>
  <si>
    <t>rsv-knowledge-authority-elicitation_sessions</t>
  </si>
  <si>
    <t>rsv-knowledge-authority-errors</t>
  </si>
  <si>
    <t>rsv-knowledge-authority-evaluation_contexts</t>
  </si>
  <si>
    <t>rsv-knowledge-authority-exception_invocations</t>
  </si>
  <si>
    <t>rsv-knowledge-authority-exceptions</t>
  </si>
  <si>
    <t>rsv-knowledge-authority-explanations</t>
  </si>
  <si>
    <t>rsv-knowledge-authority-functions</t>
  </si>
  <si>
    <t>rsv-knowledge-authority-issue_occurrences</t>
  </si>
  <si>
    <t>rsv-knowledge-authority-knowledge_fragments</t>
  </si>
  <si>
    <t>rsv-knowledge-authority-knowledge_gaps</t>
  </si>
  <si>
    <t>rsv-knowledge-authority-learning_activities</t>
  </si>
  <si>
    <t>rsv-knowledge-authority-mentorships</t>
  </si>
  <si>
    <t>rsv-knowledge-authority-message_deliveries</t>
  </si>
  <si>
    <t>rsv-knowledge-authority-message_templates</t>
  </si>
  <si>
    <t>rsv-knowledge-authority-observed_transitions</t>
  </si>
  <si>
    <t>rsv-knowledge-authority-ontology_profiles</t>
  </si>
  <si>
    <t>rsv-knowledge-authority-operational_bindings</t>
  </si>
  <si>
    <t>rsv-knowledge-authority-organizations</t>
  </si>
  <si>
    <t>rsv-knowledge-authority-procedure_executions</t>
  </si>
  <si>
    <t>rsv-knowledge-authority-procedure_resources</t>
  </si>
  <si>
    <t>rsv-knowledge-authority-procedure_status_changes</t>
  </si>
  <si>
    <t>rsv-knowledge-authority-procedure_types</t>
  </si>
  <si>
    <t>rsv-knowledge-authority-procedure_version_links</t>
  </si>
  <si>
    <t>rsv-knowledge-authority-procedure_versions</t>
  </si>
  <si>
    <t>rsv-knowledge-authority-procedures</t>
  </si>
  <si>
    <t>rsv-knowledge-authority-rationales</t>
  </si>
  <si>
    <t>rsv-knowledge-authority-recipients</t>
  </si>
  <si>
    <t>rsv-knowledge-authority-requirement_satisfactions</t>
  </si>
  <si>
    <t>rsv-knowledge-authority-requirements</t>
  </si>
  <si>
    <t>rsv-knowledge-authority-resources</t>
  </si>
  <si>
    <t>rsv-knowledge-authority-review_events</t>
  </si>
  <si>
    <t>rsv-knowledge-authority-role_assignments</t>
  </si>
  <si>
    <t>rsv-knowledge-authority-role_questions</t>
  </si>
  <si>
    <t>rsv-knowledge-authority-roles</t>
  </si>
  <si>
    <t>rsv-knowledge-authority-rulebook_fields</t>
  </si>
  <si>
    <t>rsv-knowledge-authority-rulebook_releases</t>
  </si>
  <si>
    <t>rsv-knowledge-authority-semantic_mappings</t>
  </si>
  <si>
    <t>rsv-knowledge-authority-send_intents</t>
  </si>
  <si>
    <t>rsv-knowledge-authority-step_actions</t>
  </si>
  <si>
    <t>rsv-knowledge-authority-step_executions</t>
  </si>
  <si>
    <t>rsv-knowledge-authority-step_functions</t>
  </si>
  <si>
    <t>rsv-knowledge-authority-step_requirements</t>
  </si>
  <si>
    <t>rsv-knowledge-authority-step_tools</t>
  </si>
  <si>
    <t>rsv-knowledge-authority-step_transitions</t>
  </si>
  <si>
    <t>rsv-knowledge-authority-step_verifications</t>
  </si>
  <si>
    <t>rsv-knowledge-authority-steps</t>
  </si>
  <si>
    <t>rsv-knowledge-authority-stewardship_assignments</t>
  </si>
  <si>
    <t>rsv-knowledge-authority-template_approvals</t>
  </si>
  <si>
    <t>rsv-knowledge-authority-test_cases</t>
  </si>
  <si>
    <t>rsv-knowledge-authority-test_suites</t>
  </si>
  <si>
    <t>rsv-knowledge-authority-tools</t>
  </si>
  <si>
    <t>rsv-knowledge-authority-user_feedback</t>
  </si>
  <si>
    <t>rsv-knowledge-authority-user_questions</t>
  </si>
  <si>
    <t>rsv-knowledge-authority-verification_outcomes</t>
  </si>
  <si>
    <t>rsv-knowledge-authority-witness_loops</t>
  </si>
  <si>
    <t>rsv-process-steward-process_mining_runs</t>
  </si>
  <si>
    <t>rsv-process-steward-vocabularies</t>
  </si>
  <si>
    <t>rsv-process-steward-vocabulary_terms</t>
  </si>
  <si>
    <t>rsv-process-steward-knowledge_broker_links</t>
  </si>
  <si>
    <t>rsv-knowledge-authority-process_mining_runs</t>
  </si>
  <si>
    <t>rsv-knowledge-authority-vocabularies</t>
  </si>
  <si>
    <t>rsv-knowledge-authority-vocabulary_terms</t>
  </si>
  <si>
    <t>rsv-knowledge-authority-knowledge_broker_links</t>
  </si>
  <si>
    <t>claim-email</t>
  </si>
  <si>
    <t>email</t>
  </si>
  <si>
    <t>app.jwt_email()</t>
  </si>
  <si>
    <t>Verified email address. Magic-links asserts only that the bearer controls this mailbox; everything else about the caller is resolved from it inside this database.</t>
  </si>
  <si>
    <t>urn:effortless:pko-extension#JwtClaimMapping</t>
  </si>
  <si>
    <t>claim-tenant</t>
  </si>
  <si>
    <t>tenant_id</t>
  </si>
  <si>
    <t>app.jwt_tenant_id()</t>
  </si>
  <si>
    <t>Magic-links tenant the token was minted for. Pinned so a token from another tenant cannot authenticate here.</t>
  </si>
  <si>
    <t>claim-principal</t>
  </si>
  <si>
    <t>principal</t>
  </si>
  <si>
    <t>app.jwt_principal()</t>
  </si>
  <si>
    <t>AccessPrincipals row the caller acts as, resolved from the verified email via vw_agents. Not trusted from the token itself.</t>
  </si>
  <si>
    <t>claim-org</t>
  </si>
  <si>
    <t>organization</t>
  </si>
  <si>
    <t>app.jwt_organization()</t>
  </si>
  <si>
    <t>Organization the caller belongs to, derived from their principal's domain role. The default tenancy boundary for row predicates.</t>
  </si>
  <si>
    <t>deny-analyst-superseded-version</t>
  </si>
  <si>
    <t>close-v1.0.0 is superseded (is_current=false). Only current versions are visible to an operating role; version history is for stewards.</t>
  </si>
  <si>
    <t>urn:effortless:pko-extension#AccessDenialTest</t>
  </si>
  <si>
    <t>allow-analyst-current-version</t>
  </si>
  <si>
    <t>Positive control. close-v1.1.0 is the current version and must remain visible.</t>
  </si>
  <si>
    <t>deny-controller-decided-change-request</t>
  </si>
  <si>
    <t>cr-close-timestamp is decided (is_open=false). The inference-backed predicate must exclude it, proving a policy can cut on a derived field rather than a stored column.</t>
  </si>
  <si>
    <t>allow-controller-open-change-request</t>
  </si>
  <si>
    <t>Positive control for the inference predicate. cr-policy-delivery is open (is_open=true) and must remain visible.</t>
  </si>
  <si>
    <t>deny-counsel-controller-fragment</t>
  </si>
  <si>
    <t>kf-close-fx-time is owned by the controller. Employment counsel must not read another role's knowledge fragment.</t>
  </si>
  <si>
    <t>allow-counsel-own-fragment</t>
  </si>
  <si>
    <t>Positive control for the ownership predicate. kf-policy-ai-boundary is owned by employment-counsel and must be visible.</t>
  </si>
  <si>
    <t>deny-hr-resolved-gap</t>
  </si>
  <si>
    <t>gap-close-cadence-unmeasured is Resolved (is_open=false) and must not appear.</t>
  </si>
  <si>
    <t>allow-hr-open-gap</t>
  </si>
  <si>
    <t>Positive control. gap-policy-delivery-receipts is Open and must remain visible.</t>
  </si>
  <si>
    <t>deny-controller-fragment-diagnostics</t>
  </si>
  <si>
    <t>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t>
  </si>
  <si>
    <t>evidence_has_expired</t>
  </si>
  <si>
    <t>deny-cfo-send-intents</t>
  </si>
  <si>
    <t>The CFO approves financial decisions. The outbound message queue is the communications manager's surface and must not appear in the CFO's schema at all.</t>
  </si>
  <si>
    <t>deny-cfo-step-executions</t>
  </si>
  <si>
    <t>Preparation telemetry is not a CFO concern; he sees the close's headline state, not each step's execution record.</t>
  </si>
  <si>
    <t>deny-close-automation-recipients</t>
  </si>
  <si>
    <t>A posting pipeline has no business reading employee contact details. close-automation is granted 3 tables and Recipients is not one.</t>
  </si>
  <si>
    <t>deny-close-automation-change-requests</t>
  </si>
  <si>
    <t>Governance is not a robot's surface.</t>
  </si>
  <si>
    <t>deny-policy-drafting-agent-recipients</t>
  </si>
  <si>
    <t>The drafting AI writes policy variants. It never needs to know WHO is addressed, so consent data is out of its reach entirely.</t>
  </si>
  <si>
    <t>deny-notification-publisher-knowledge-fragments</t>
  </si>
  <si>
    <t>The publisher applies channel rules and sends. Procedural knowledge is not its surface.</t>
  </si>
  <si>
    <t>deny-employment-counsel-step-executions</t>
  </si>
  <si>
    <t>Legal review reads what is proposed, not the finance close's execution telemetry.</t>
  </si>
  <si>
    <t>deny-variance-review-agent-recipients</t>
  </si>
  <si>
    <t>A variance classifier has no path to personal data.</t>
  </si>
  <si>
    <t>user-amina-yusuf</t>
  </si>
  <si>
    <t>urn:effortless:pko-extension#AppUser</t>
  </si>
  <si>
    <t>user-close-pipeline</t>
  </si>
  <si>
    <t>close-pipeline@pipelines.internal</t>
  </si>
  <si>
    <t>Close Pipeline</t>
  </si>
  <si>
    <t>user-devon-okafor</t>
  </si>
  <si>
    <t>user-elena-garcia</t>
  </si>
  <si>
    <t>user-maria-chen</t>
  </si>
  <si>
    <t>user-noah-williams</t>
  </si>
  <si>
    <t>user-notification-pipeline</t>
  </si>
  <si>
    <t>notification-pipeline@pipelines.internal</t>
  </si>
  <si>
    <t>Notification Pipeline</t>
  </si>
  <si>
    <t>user-policy-drafting-ai</t>
  </si>
  <si>
    <t>policy-drafting-ai@pipelines.internal</t>
  </si>
  <si>
    <t>Policy Drafting Ai</t>
  </si>
  <si>
    <t>user-priya-raman</t>
  </si>
  <si>
    <t>user-variance-ai</t>
  </si>
  <si>
    <t>variance-ai@pipelines.internal</t>
  </si>
  <si>
    <t>Variance Ai</t>
  </si>
  <si>
    <t>pa-amina-yusuf-communications-manager</t>
  </si>
  <si>
    <t>amina-yusuf currently holds the communications-manager role in the domain model, so may act as its principal.</t>
  </si>
  <si>
    <t>urn:effortless:pko-extension#PrincipalAssignment</t>
  </si>
  <si>
    <t>pa-close-pipeline-close-automation</t>
  </si>
  <si>
    <t>close-pipeline currently holds the close-automation role in the domain model, so may act as its principal.</t>
  </si>
  <si>
    <t>pa-devon-okafor-controller</t>
  </si>
  <si>
    <t>devon-okafor currently holds the controller role in the domain model, so may act as its principal.</t>
  </si>
  <si>
    <t>pa-elena-garcia-hr-policy-owner</t>
  </si>
  <si>
    <t>elena-garcia currently holds the hr-policy-owner role in the domain model, so may act as its principal.</t>
  </si>
  <si>
    <t>pa-elena-garcia-process-steward</t>
  </si>
  <si>
    <t>elena-garcia currently holds the process-steward role in the domain model, so may act as its principal.</t>
  </si>
  <si>
    <t>pa-maria-chen-finance-analyst</t>
  </si>
  <si>
    <t>maria-chen currently holds the finance-analyst role in the domain model, so may act as its principal.</t>
  </si>
  <si>
    <t>pa-noah-williams-employment-counsel</t>
  </si>
  <si>
    <t>noah-williams currently holds the employment-counsel role in the domain model, so may act as its principal.</t>
  </si>
  <si>
    <t>pa-notification-pipeline-notification-publisher</t>
  </si>
  <si>
    <t>notification-pipeline currently holds the notification-publisher role in the domain model, so may act as its principal.</t>
  </si>
  <si>
    <t>pa-policy-drafting-ai-policy-drafting-agent</t>
  </si>
  <si>
    <t>policy-drafting-ai currently holds the policy-drafting-agent role in the domain model, so may act as its principal.</t>
  </si>
  <si>
    <t>pa-priya-raman-cfo</t>
  </si>
  <si>
    <t>priya-raman currently holds the cfo role in the domain model, so may act as its principal.</t>
  </si>
  <si>
    <t>pa-priya-raman-knowledge-authority</t>
  </si>
  <si>
    <t>priya-raman currently holds the knowledge-authority role in the domain model, so may act as its principal.</t>
  </si>
  <si>
    <t>pa-variance-ai-variance-review-agent</t>
  </si>
  <si>
    <t>variance-ai currently holds the variance-review-agent role in the domain model, so may act as its principal.</t>
  </si>
  <si>
    <t>pmr-close-v11-q3</t>
  </si>
  <si>
    <t>ERP General Ledger Audit Log</t>
  </si>
  <si>
    <t>One variant closes a day early with no recorded controller approval; otherwise matches the documented path.</t>
  </si>
  <si>
    <t>pmr-close-v11-cutoff-bypass</t>
  </si>
  <si>
    <t>Ledger entries posted after the documented cutoff step with no recorded reopening approval — a path StepTransitions never modeled.</t>
  </si>
  <si>
    <t>pmr-policy-v1-notify</t>
  </si>
  <si>
    <t>Notification Pipeline Delivery Log</t>
  </si>
  <si>
    <t>pmr-close-v10-archived</t>
  </si>
  <si>
    <t>Heavily drifted, but this version was archived before anyone mined it — nobody executes this path anymore.</t>
  </si>
  <si>
    <t>voc-close-controls</t>
  </si>
  <si>
    <t>Close Control Categories</t>
  </si>
  <si>
    <t>urn:effortless:pko-extension:vocab#close-controls</t>
  </si>
  <si>
    <t>voc-policy-domains</t>
  </si>
  <si>
    <t>Policy Compliance Domains</t>
  </si>
  <si>
    <t>urn:effortless:pko-extension:vocab#policy-domains</t>
  </si>
  <si>
    <t>Cutoff Control</t>
  </si>
  <si>
    <t>posting cutoff, period cutoff</t>
  </si>
  <si>
    <t>A control preventing ledger entries after the period close boundary without an approved reopening.</t>
  </si>
  <si>
    <t>Reconciliation Control</t>
  </si>
  <si>
    <t>account reconciliation, balance control</t>
  </si>
  <si>
    <t>A control requiring a material account to reconcile or carry an approved exception.</t>
  </si>
  <si>
    <t>Segregation of Duties</t>
  </si>
  <si>
    <t>SoD, maker-checker</t>
  </si>
  <si>
    <t>A control requiring the preparer and the final approver of an action to be different agents.</t>
  </si>
  <si>
    <t>Evidence Retention</t>
  </si>
  <si>
    <t>records retention, retention period</t>
  </si>
  <si>
    <t>A requirement that evidence of an action remain retrievable for a fixed retention window.</t>
  </si>
  <si>
    <t>Human Approval Gate</t>
  </si>
  <si>
    <t>human-in-the-loop, human confirmation</t>
  </si>
  <si>
    <t>A control requiring a human, not an automated agent, to confirm an approval.</t>
  </si>
  <si>
    <t>Consent Requirement</t>
  </si>
  <si>
    <t>opt-in, active consent</t>
  </si>
  <si>
    <t>A requirement that a communication only be sent to a recipient with active, recorded consent.</t>
  </si>
  <si>
    <t>Quiet Hours Restriction</t>
  </si>
  <si>
    <t>do-not-disturb window</t>
  </si>
  <si>
    <t>A requirement restricting delivery to a defined local-time window.</t>
  </si>
  <si>
    <t>Opt-Out Requirement</t>
  </si>
  <si>
    <t>unsubscribe language</t>
  </si>
  <si>
    <t>A requirement that a message include approved opt-out language.</t>
  </si>
  <si>
    <t>Accessibility Requirement</t>
  </si>
  <si>
    <t>readable content, alternate contact</t>
  </si>
  <si>
    <t>A requirement that content be readable, accessible, and offer an alternate contact method.</t>
  </si>
  <si>
    <t>Legal Review Gate</t>
  </si>
  <si>
    <t>counsel approval</t>
  </si>
  <si>
    <t>A requirement that employment counsel approve a legal or privacy commitment before it ships.</t>
  </si>
  <si>
    <t>vt-privacy-impact</t>
  </si>
  <si>
    <t>Data Privacy Impact</t>
  </si>
  <si>
    <t>DPIA, privacy impact assessment</t>
  </si>
  <si>
    <t>An assessment of how a change affects personal data handling. Defined, not yet applied to any Requirement.</t>
  </si>
  <si>
    <t>vt-third-party-attestation</t>
  </si>
  <si>
    <t>Third-Party Attestation</t>
  </si>
  <si>
    <t>vendor attestation</t>
  </si>
  <si>
    <t>A requirement that an external vendor attest to a control. Defined, not yet applied to any Requirement.</t>
  </si>
  <si>
    <t>kbl-maria-priya-recon</t>
  </si>
  <si>
    <t>Often</t>
  </si>
  <si>
    <t>kbl-devon-priya-recon</t>
  </si>
  <si>
    <t>Sometimes</t>
  </si>
  <si>
    <t>kbl-elena-priya-sod</t>
  </si>
  <si>
    <t>kbl-amina-jordan-sod</t>
  </si>
  <si>
    <t>kbl-noah-elena-quiet</t>
  </si>
  <si>
    <t>Rarely</t>
  </si>
  <si>
    <t>compile-rulebook</t>
  </si>
  <si>
    <t>/effortless-rulebook</t>
  </si>
  <si>
    <t>Python formula engine (shared with rulebook-to-python)</t>
  </si>
  <si>
    <t>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t>
  </si>
  <si>
    <t>answer-key</t>
  </si>
  <si>
    <t>effortless-postgres</t>
  </si>
  <si>
    <t>PostgreSQL</t>
  </si>
  <si>
    <t>rulebook-to-postgres</t>
  </si>
  <si>
    <t>/postgres-bootstrap</t>
  </si>
  <si>
    <t>PostgreSQL views and calc_* SQL functions</t>
  </si>
  <si>
    <t>rulebook-to-postgres emits a table, a set of calc_* functions and a vw_&lt;entity&gt; view per table. The database is reset from the rulebook, and the harness reads SELECT * from every view.</t>
  </si>
  <si>
    <t>graded</t>
  </si>
  <si>
    <t>effortless-python</t>
  </si>
  <si>
    <t>Python</t>
  </si>
  <si>
    <t>rulebook-to-python</t>
  </si>
  <si>
    <t>/effortless-python</t>
  </si>
  <si>
    <t>CPython</t>
  </si>
  <si>
    <t>rulebook-to-python emits an SDK with one computed property per derived field. The harness loads the blank test rows (raw fields only) and asks the SDK for every derived value.</t>
  </si>
  <si>
    <t>effortless-golang</t>
  </si>
  <si>
    <t>Go</t>
  </si>
  <si>
    <t>rulebook-to-go</t>
  </si>
  <si>
    <t>/effortless-golang</t>
  </si>
  <si>
    <t>Go toolchain (compiled)</t>
  </si>
  <si>
    <t>rulebook-to-go emits a Go module. The harness compiles it with go build, runs it over the blank test rows, and reads back every derived value.</t>
  </si>
  <si>
    <t>effortless-typescript</t>
  </si>
  <si>
    <t>TypeScript</t>
  </si>
  <si>
    <t>rulebook-to-typescript</t>
  </si>
  <si>
    <t>/effortless-typescript</t>
  </si>
  <si>
    <t>Node.js running tsc output</t>
  </si>
  <si>
    <t>rulebook-to-typescript emits a typed SDK. The harness compiles it with tsc and runs it on Node over the blank test rows.</t>
  </si>
  <si>
    <t>effortless-entity-framework</t>
  </si>
  <si>
    <t>C# / Entity Framework</t>
  </si>
  <si>
    <t>rulebook-to-entity-framework</t>
  </si>
  <si>
    <t>/effortless-entity-framework</t>
  </si>
  <si>
    <t>.NET (C# Formula* properties)</t>
  </si>
  <si>
    <t>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t>
  </si>
  <si>
    <t>effortless-xlsx</t>
  </si>
  <si>
    <t>Excel</t>
  </si>
  <si>
    <t>rulebook-to-xlsx</t>
  </si>
  <si>
    <t>/effortless-xlsx</t>
  </si>
  <si>
    <t>Spreadsheet formulas (cached values read with openpyxl)</t>
  </si>
  <si>
    <t>rulebook-to-xlsx compiles every formula into a real Excel formula over cells in the same workbook. The harness reads the workbook's cached values, after a LibreOffice recalc when LibreOffice is installed; a value that was never calculated reads as blank.</t>
  </si>
  <si>
    <t>effortless-owl</t>
  </si>
  <si>
    <t>OWL / SHACL</t>
  </si>
  <si>
    <t>rulebook-to-owl</t>
  </si>
  <si>
    <t>/effortless-owl</t>
  </si>
  <si>
    <t>SPARQL 1.1 (pyoxigraph) executing SHACL-AF rules</t>
  </si>
  <si>
    <t>rulebook-to-owl emits an ontology, an ABox of individuals carrying raw fields only, and one SHACL-AF SPARQL rule per derived field. The harness executes the rules in dependency order and reads the inferred triples back.</t>
  </si>
  <si>
    <t>run-20260913-165336</t>
  </si>
  <si>
    <t>4960f638</t>
  </si>
  <si>
    <t>First recorded run: all a1 tools installed; EF runner rebuilt for EF Core output; OWL rules dependency-ordered.</t>
  </si>
  <si>
    <t>run-20260913-165336|effortless-postgres</t>
  </si>
  <si>
    <t>run-20260913-165336|effortless-xlsx</t>
  </si>
  <si>
    <t>run-20260913-165336|effortless-entity-framework</t>
  </si>
  <si>
    <t>run-20260913-165336|effortless-golang</t>
  </si>
  <si>
    <t>run-20260913-165336|effortless-owl</t>
  </si>
  <si>
    <t>run-20260913-165336|effortless-python</t>
  </si>
  <si>
    <t>run-20260913-165336|effortless-typescript</t>
  </si>
  <si>
    <t>effortless-postgres|RulebookReleases</t>
  </si>
  <si>
    <t>effortless-postgres|OntologyProfiles</t>
  </si>
  <si>
    <t>effortless-postgres|EvaluationContexts</t>
  </si>
  <si>
    <t>effortless-postgres|Organizations</t>
  </si>
  <si>
    <t>effortless-postgres|Agents</t>
  </si>
  <si>
    <t>effortless-postgres|Roles</t>
  </si>
  <si>
    <t>effortless-postgres|RoleAssignments</t>
  </si>
  <si>
    <t>effortless-postgres|CommunitiesOfPractice</t>
  </si>
  <si>
    <t>effortless-postgres|Mentorships</t>
  </si>
  <si>
    <t>effortless-postgres|ProcedureTypes</t>
  </si>
  <si>
    <t>effortless-postgres|Procedures</t>
  </si>
  <si>
    <t>effortless-postgres|ProcedureVersions</t>
  </si>
  <si>
    <t>effortless-postgres|ProcedureVersionLinks</t>
  </si>
  <si>
    <t>effortless-postgres|ProcedureStatusChanges</t>
  </si>
  <si>
    <t>effortless-postgres|Steps</t>
  </si>
  <si>
    <t>effortless-postgres|StepTransitions</t>
  </si>
  <si>
    <t>effortless-postgres|Actions</t>
  </si>
  <si>
    <t>effortless-postgres|Functions</t>
  </si>
  <si>
    <t>effortless-postgres|Tools</t>
  </si>
  <si>
    <t>effortless-postgres|StepActions</t>
  </si>
  <si>
    <t>effortless-postgres|StepFunctions</t>
  </si>
  <si>
    <t>effortless-postgres|StepTools</t>
  </si>
  <si>
    <t>effortless-postgres|Requirements</t>
  </si>
  <si>
    <t>effortless-postgres|StepRequirements</t>
  </si>
  <si>
    <t>effortless-postgres|StepVerifications</t>
  </si>
  <si>
    <t>effortless-postgres|Rationales</t>
  </si>
  <si>
    <t>effortless-postgres|Exceptions</t>
  </si>
  <si>
    <t>effortless-postgres|Resources</t>
  </si>
  <si>
    <t>effortless-postgres|ProcedureResources</t>
  </si>
  <si>
    <t>effortless-postgres|ElicitationSessions</t>
  </si>
  <si>
    <t>effortless-postgres|KnowledgeFragments</t>
  </si>
  <si>
    <t>effortless-postgres|KnowledgeGaps</t>
  </si>
  <si>
    <t>effortless-postgres|FAQs</t>
  </si>
  <si>
    <t>effortless-postgres|Explanations</t>
  </si>
  <si>
    <t>effortless-postgres|ProcedureExecutions</t>
  </si>
  <si>
    <t>effortless-postgres|StepExecutions</t>
  </si>
  <si>
    <t>effortless-postgres|RequirementSatisfactions</t>
  </si>
  <si>
    <t>effortless-postgres|Errors</t>
  </si>
  <si>
    <t>effortless-postgres|IssueOccurrences</t>
  </si>
  <si>
    <t>effortless-postgres|UserQuestions</t>
  </si>
  <si>
    <t>effortless-postgres|UserFeedback</t>
  </si>
  <si>
    <t>effortless-postgres|StewardshipAssignments</t>
  </si>
  <si>
    <t>effortless-postgres|ChangeRequests</t>
  </si>
  <si>
    <t>effortless-postgres|ReviewEvents</t>
  </si>
  <si>
    <t>effortless-postgres|LearningActivities</t>
  </si>
  <si>
    <t>effortless-postgres|OperationalBindings</t>
  </si>
  <si>
    <t>effortless-postgres|CommunicationPolicies</t>
  </si>
  <si>
    <t>effortless-postgres|MessageTemplates</t>
  </si>
  <si>
    <t>effortless-postgres|SemanticMappings</t>
  </si>
  <si>
    <t>effortless-postgres|WitnessLoops</t>
  </si>
  <si>
    <t>effortless-postgres|RoleQuestions</t>
  </si>
  <si>
    <t>effortless-postgres|RulebookFields</t>
  </si>
  <si>
    <t>effortless-postgres|TestSuites</t>
  </si>
  <si>
    <t>effortless-postgres|TestCases</t>
  </si>
  <si>
    <t>effortless-postgres|ExceptionInvocations</t>
  </si>
  <si>
    <t>effortless-postgres|VerificationOutcomes</t>
  </si>
  <si>
    <t>effortless-postgres|ObservedTransitions</t>
  </si>
  <si>
    <t>effortless-postgres|Recipients</t>
  </si>
  <si>
    <t>effortless-postgres|MessageDeliveries</t>
  </si>
  <si>
    <t>effortless-postgres|TemplateApprovals</t>
  </si>
  <si>
    <t>effortless-postgres|SendIntents</t>
  </si>
  <si>
    <t>effortless-postgres|AgentDecisionRecords</t>
  </si>
  <si>
    <t>effortless-postgres|DeliveredCommunications</t>
  </si>
  <si>
    <t>effortless-postgres|AuthorityBoundaries</t>
  </si>
  <si>
    <t>effortless-postgres|AppRoleProfiles</t>
  </si>
  <si>
    <t>effortless-postgres|AppNavGroups</t>
  </si>
  <si>
    <t>effortless-postgres|AppRoutes</t>
  </si>
  <si>
    <t>effortless-postgres|AppRouteQuestions</t>
  </si>
  <si>
    <t>effortless-postgres|AppRouteReferences</t>
  </si>
  <si>
    <t>effortless-postgres|RulebookTables</t>
  </si>
  <si>
    <t>effortless-postgres|AccessPrincipals</t>
  </si>
  <si>
    <t>effortless-postgres|AccessPolicies</t>
  </si>
  <si>
    <t>effortless-postgres|FieldGrants</t>
  </si>
  <si>
    <t>effortless-postgres|RoleSchemas</t>
  </si>
  <si>
    <t>effortless-postgres|RoleSchemaViews</t>
  </si>
  <si>
    <t>effortless-postgres|JwtClaimMappings</t>
  </si>
  <si>
    <t>effortless-postgres|AccessDenialTests</t>
  </si>
  <si>
    <t>effortless-postgres|AppUsers</t>
  </si>
  <si>
    <t>effortless-postgres|PrincipalAssignments</t>
  </si>
  <si>
    <t>effortless-postgres|ProcessMiningRuns</t>
  </si>
  <si>
    <t>effortless-postgres|Vocabularies</t>
  </si>
  <si>
    <t>effortless-postgres|VocabularyTerms</t>
  </si>
  <si>
    <t>effortless-postgres|KnowledgeBrokerLinks</t>
  </si>
  <si>
    <t>effortless-xlsx|RulebookReleases</t>
  </si>
  <si>
    <t>effortless-xlsx|OntologyProfiles</t>
  </si>
  <si>
    <t>effortless-xlsx|EvaluationContexts</t>
  </si>
  <si>
    <t>effortless-xlsx|Organizations</t>
  </si>
  <si>
    <t>effortless-xlsx|Agents</t>
  </si>
  <si>
    <t>effortless-xlsx|Roles</t>
  </si>
  <si>
    <t>effortless-xlsx|RoleAssignments</t>
  </si>
  <si>
    <t>effortless-xlsx|CommunitiesOfPractice</t>
  </si>
  <si>
    <t>effortless-xlsx|Mentorships</t>
  </si>
  <si>
    <t>effortless-xlsx|ProcedureTypes</t>
  </si>
  <si>
    <t>effortless-xlsx|Procedures</t>
  </si>
  <si>
    <t>effortless-xlsx|ProcedureVersions</t>
  </si>
  <si>
    <t>effortless-xlsx|ProcedureVersionLinks</t>
  </si>
  <si>
    <t>effortless-xlsx|ProcedureStatusChanges</t>
  </si>
  <si>
    <t>effortless-xlsx|Steps</t>
  </si>
  <si>
    <t>effortless-xlsx|StepTransitions</t>
  </si>
  <si>
    <t>effortless-xlsx|Actions</t>
  </si>
  <si>
    <t>effortless-xlsx|Functions</t>
  </si>
  <si>
    <t>effortless-xlsx|Tools</t>
  </si>
  <si>
    <t>effortless-xlsx|StepActions</t>
  </si>
  <si>
    <t>effortless-xlsx|StepFunctions</t>
  </si>
  <si>
    <t>effortless-xlsx|StepTools</t>
  </si>
  <si>
    <t>effortless-xlsx|Requirements</t>
  </si>
  <si>
    <t>effortless-xlsx|StepRequirements</t>
  </si>
  <si>
    <t>effortless-xlsx|StepVerifications</t>
  </si>
  <si>
    <t>effortless-xlsx|Rationales</t>
  </si>
  <si>
    <t>effortless-xlsx|Exceptions</t>
  </si>
  <si>
    <t>effortless-xlsx|Resources</t>
  </si>
  <si>
    <t>effortless-xlsx|ProcedureResources</t>
  </si>
  <si>
    <t>effortless-xlsx|ElicitationSessions</t>
  </si>
  <si>
    <t>effortless-xlsx|KnowledgeFragments</t>
  </si>
  <si>
    <t>effortless-xlsx|KnowledgeGaps</t>
  </si>
  <si>
    <t>effortless-xlsx|FAQs</t>
  </si>
  <si>
    <t>effortless-xlsx|Explanations</t>
  </si>
  <si>
    <t>effortless-xlsx|ProcedureExecutions</t>
  </si>
  <si>
    <t>effortless-xlsx|StepExecutions</t>
  </si>
  <si>
    <t>effortless-xlsx|RequirementSatisfactions</t>
  </si>
  <si>
    <t>effortless-xlsx|Errors</t>
  </si>
  <si>
    <t>effortless-xlsx|IssueOccurrences</t>
  </si>
  <si>
    <t>effortless-xlsx|UserQuestions</t>
  </si>
  <si>
    <t>effortless-xlsx|UserFeedback</t>
  </si>
  <si>
    <t>effortless-xlsx|StewardshipAssignments</t>
  </si>
  <si>
    <t>effortless-xlsx|ChangeRequests</t>
  </si>
  <si>
    <t>effortless-xlsx|ReviewEvents</t>
  </si>
  <si>
    <t>effortless-xlsx|LearningActivities</t>
  </si>
  <si>
    <t>effortless-xlsx|OperationalBindings</t>
  </si>
  <si>
    <t>effortless-xlsx|CommunicationPolicies</t>
  </si>
  <si>
    <t>effortless-xlsx|MessageTemplates</t>
  </si>
  <si>
    <t>effortless-xlsx|SemanticMappings</t>
  </si>
  <si>
    <t>effortless-xlsx|WitnessLoops</t>
  </si>
  <si>
    <t>effortless-xlsx|RoleQuestions</t>
  </si>
  <si>
    <t>effortless-xlsx|RulebookFields</t>
  </si>
  <si>
    <t>effortless-xlsx|TestSuites</t>
  </si>
  <si>
    <t>effortless-xlsx|TestCases</t>
  </si>
  <si>
    <t>effortless-xlsx|ExceptionInvocations</t>
  </si>
  <si>
    <t>effortless-xlsx|VerificationOutcomes</t>
  </si>
  <si>
    <t>effortless-xlsx|ObservedTransitions</t>
  </si>
  <si>
    <t>effortless-xlsx|Recipients</t>
  </si>
  <si>
    <t>effortless-xlsx|MessageDeliveries</t>
  </si>
  <si>
    <t>effortless-xlsx|TemplateApprovals</t>
  </si>
  <si>
    <t>effortless-xlsx|SendIntents</t>
  </si>
  <si>
    <t>effortless-xlsx|AgentDecisionRecords</t>
  </si>
  <si>
    <t>effortless-xlsx|DeliveredCommunications</t>
  </si>
  <si>
    <t>effortless-xlsx|AuthorityBoundaries</t>
  </si>
  <si>
    <t>effortless-xlsx|AppRoleProfiles</t>
  </si>
  <si>
    <t>effortless-xlsx|AppNavGroups</t>
  </si>
  <si>
    <t>effortless-xlsx|AppRoutes</t>
  </si>
  <si>
    <t>effortless-xlsx|AppRouteQuestions</t>
  </si>
  <si>
    <t>effortless-xlsx|AppRouteReferences</t>
  </si>
  <si>
    <t>effortless-xlsx|RulebookTables</t>
  </si>
  <si>
    <t>effortless-xlsx|AccessPrincipals</t>
  </si>
  <si>
    <t>effortless-xlsx|AccessPolicies</t>
  </si>
  <si>
    <t>effortless-xlsx|FieldGrants</t>
  </si>
  <si>
    <t>effortless-xlsx|RoleSchemas</t>
  </si>
  <si>
    <t>effortless-xlsx|RoleSchemaViews</t>
  </si>
  <si>
    <t>effortless-xlsx|JwtClaimMappings</t>
  </si>
  <si>
    <t>effortless-xlsx|AccessDenialTests</t>
  </si>
  <si>
    <t>effortless-xlsx|AppUsers</t>
  </si>
  <si>
    <t>effortless-xlsx|PrincipalAssignments</t>
  </si>
  <si>
    <t>effortless-xlsx|ProcessMiningRuns</t>
  </si>
  <si>
    <t>effortless-xlsx|Vocabularies</t>
  </si>
  <si>
    <t>effortless-xlsx|VocabularyTerms</t>
  </si>
  <si>
    <t>effortless-xlsx|KnowledgeBrokerLinks</t>
  </si>
  <si>
    <t>effortless-entity-framework|RulebookReleases</t>
  </si>
  <si>
    <t>effortless-entity-framework|OntologyProfiles</t>
  </si>
  <si>
    <t>effortless-entity-framework|EvaluationContexts</t>
  </si>
  <si>
    <t>effortless-entity-framework|Organizations</t>
  </si>
  <si>
    <t>effortless-entity-framework|Agents</t>
  </si>
  <si>
    <t>effortless-entity-framework|Roles</t>
  </si>
  <si>
    <t>effortless-entity-framework|RoleAssignments</t>
  </si>
  <si>
    <t>effortless-entity-framework|CommunitiesOfPractice</t>
  </si>
  <si>
    <t>effortless-entity-framework|Mentorships</t>
  </si>
  <si>
    <t>effortless-entity-framework|ProcedureTypes</t>
  </si>
  <si>
    <t>effortless-entity-framework|Procedures</t>
  </si>
  <si>
    <t>effortless-entity-framework|ProcedureVersions</t>
  </si>
  <si>
    <t>effortless-entity-framework|ProcedureVersionLinks</t>
  </si>
  <si>
    <t>effortless-entity-framework|ProcedureStatusChanges</t>
  </si>
  <si>
    <t>effortless-entity-framework|Steps</t>
  </si>
  <si>
    <t>effortless-entity-framework|StepTransitions</t>
  </si>
  <si>
    <t>effortless-entity-framework|Actions</t>
  </si>
  <si>
    <t>effortless-entity-framework|Functions</t>
  </si>
  <si>
    <t>effortless-entity-framework|Tools</t>
  </si>
  <si>
    <t>effortless-entity-framework|StepActions</t>
  </si>
  <si>
    <t>effortless-entity-framework|StepFunctions</t>
  </si>
  <si>
    <t>effortless-entity-framework|StepTools</t>
  </si>
  <si>
    <t>effortless-entity-framework|Requirements</t>
  </si>
  <si>
    <t>effortless-entity-framework|StepRequirements</t>
  </si>
  <si>
    <t>effortless-entity-framework|StepVerifications</t>
  </si>
  <si>
    <t>effortless-entity-framework|Rationales</t>
  </si>
  <si>
    <t>effortless-entity-framework|Exceptions</t>
  </si>
  <si>
    <t>effortless-entity-framework|Resources</t>
  </si>
  <si>
    <t>effortless-entity-framework|ProcedureResources</t>
  </si>
  <si>
    <t>effortless-entity-framework|ElicitationSessions</t>
  </si>
  <si>
    <t>effortless-entity-framework|KnowledgeFragments</t>
  </si>
  <si>
    <t>effortless-entity-framework|KnowledgeGaps</t>
  </si>
  <si>
    <t>effortless-entity-framework|FAQs</t>
  </si>
  <si>
    <t>effortless-entity-framework|Explanations</t>
  </si>
  <si>
    <t>effortless-entity-framework|ProcedureExecutions</t>
  </si>
  <si>
    <t>effortless-entity-framework|StepExecutions</t>
  </si>
  <si>
    <t>effortless-entity-framework|RequirementSatisfactions</t>
  </si>
  <si>
    <t>effortless-entity-framework|Errors</t>
  </si>
  <si>
    <t>effortless-entity-framework|IssueOccurrences</t>
  </si>
  <si>
    <t>effortless-entity-framework|UserQuestions</t>
  </si>
  <si>
    <t>effortless-entity-framework|UserFeedback</t>
  </si>
  <si>
    <t>effortless-entity-framework|StewardshipAssignments</t>
  </si>
  <si>
    <t>effortless-entity-framework|ChangeRequests</t>
  </si>
  <si>
    <t>effortless-entity-framework|ReviewEvents</t>
  </si>
  <si>
    <t>effortless-entity-framework|LearningActivities</t>
  </si>
  <si>
    <t>effortless-entity-framework|OperationalBindings</t>
  </si>
  <si>
    <t>effortless-entity-framework|CommunicationPolicies</t>
  </si>
  <si>
    <t>effortless-entity-framework|MessageTemplates</t>
  </si>
  <si>
    <t>effortless-entity-framework|SemanticMappings</t>
  </si>
  <si>
    <t>effortless-entity-framework|WitnessLoops</t>
  </si>
  <si>
    <t>effortless-entity-framework|RoleQuestions</t>
  </si>
  <si>
    <t>effortless-entity-framework|RulebookFields</t>
  </si>
  <si>
    <t>effortless-entity-framework|TestSuites</t>
  </si>
  <si>
    <t>effortless-entity-framework|TestCases</t>
  </si>
  <si>
    <t>effortless-entity-framework|ExceptionInvocations</t>
  </si>
  <si>
    <t>effortless-entity-framework|VerificationOutcomes</t>
  </si>
  <si>
    <t>effortless-entity-framework|ObservedTransitions</t>
  </si>
  <si>
    <t>effortless-entity-framework|Recipients</t>
  </si>
  <si>
    <t>effortless-entity-framework|MessageDeliveries</t>
  </si>
  <si>
    <t>effortless-entity-framework|TemplateApprovals</t>
  </si>
  <si>
    <t>effortless-entity-framework|SendIntents</t>
  </si>
  <si>
    <t>effortless-entity-framework|AgentDecisionRecords</t>
  </si>
  <si>
    <t>effortless-entity-framework|DeliveredCommunications</t>
  </si>
  <si>
    <t>effortless-entity-framework|AuthorityBoundaries</t>
  </si>
  <si>
    <t>effortless-entity-framework|AppRoleProfiles</t>
  </si>
  <si>
    <t>effortless-entity-framework|AppNavGroups</t>
  </si>
  <si>
    <t>effortless-entity-framework|AppRoutes</t>
  </si>
  <si>
    <t>effortless-entity-framework|AppRouteQuestions</t>
  </si>
  <si>
    <t>effortless-entity-framework|AppRouteReferences</t>
  </si>
  <si>
    <t>effortless-entity-framework|RulebookTables</t>
  </si>
  <si>
    <t>effortless-entity-framework|AccessPrincipals</t>
  </si>
  <si>
    <t>effortless-entity-framework|AccessPolicies</t>
  </si>
  <si>
    <t>effortless-entity-framework|FieldGrants</t>
  </si>
  <si>
    <t>effortless-entity-framework|RoleSchemas</t>
  </si>
  <si>
    <t>effortless-entity-framework|RoleSchemaViews</t>
  </si>
  <si>
    <t>effortless-entity-framework|JwtClaimMappings</t>
  </si>
  <si>
    <t>effortless-entity-framework|AccessDenialTests</t>
  </si>
  <si>
    <t>effortless-entity-framework|AppUsers</t>
  </si>
  <si>
    <t>effortless-entity-framework|PrincipalAssignments</t>
  </si>
  <si>
    <t>effortless-entity-framework|ProcessMiningRuns</t>
  </si>
  <si>
    <t>effortless-entity-framework|Vocabularies</t>
  </si>
  <si>
    <t>effortless-entity-framework|VocabularyTerms</t>
  </si>
  <si>
    <t>effortless-entity-framework|KnowledgeBrokerLinks</t>
  </si>
  <si>
    <t>effortless-golang|RulebookReleases</t>
  </si>
  <si>
    <t>effortless-golang|OntologyProfiles</t>
  </si>
  <si>
    <t>effortless-golang|EvaluationContexts</t>
  </si>
  <si>
    <t>effortless-golang|Organizations</t>
  </si>
  <si>
    <t>effortless-golang|Agents</t>
  </si>
  <si>
    <t>effortless-golang|Roles</t>
  </si>
  <si>
    <t>effortless-golang|RoleAssignments</t>
  </si>
  <si>
    <t>effortless-golang|CommunitiesOfPractice</t>
  </si>
  <si>
    <t>effortless-golang|Mentorships</t>
  </si>
  <si>
    <t>effortless-golang|ProcedureTypes</t>
  </si>
  <si>
    <t>effortless-golang|Procedures</t>
  </si>
  <si>
    <t>effortless-golang|ProcedureVersions</t>
  </si>
  <si>
    <t>effortless-golang|ProcedureVersionLinks</t>
  </si>
  <si>
    <t>effortless-golang|ProcedureStatusChanges</t>
  </si>
  <si>
    <t>effortless-golang|Steps</t>
  </si>
  <si>
    <t>effortless-golang|StepTransitions</t>
  </si>
  <si>
    <t>effortless-golang|Actions</t>
  </si>
  <si>
    <t>effortless-golang|Functions</t>
  </si>
  <si>
    <t>effortless-golang|Tools</t>
  </si>
  <si>
    <t>effortless-golang|StepActions</t>
  </si>
  <si>
    <t>effortless-golang|StepFunctions</t>
  </si>
  <si>
    <t>effortless-golang|StepTools</t>
  </si>
  <si>
    <t>effortless-golang|Requirements</t>
  </si>
  <si>
    <t>effortless-golang|StepRequirements</t>
  </si>
  <si>
    <t>effortless-golang|StepVerifications</t>
  </si>
  <si>
    <t>effortless-golang|Rationales</t>
  </si>
  <si>
    <t>effortless-golang|Exceptions</t>
  </si>
  <si>
    <t>effortless-golang|Resources</t>
  </si>
  <si>
    <t>effortless-golang|ProcedureResources</t>
  </si>
  <si>
    <t>effortless-golang|ElicitationSessions</t>
  </si>
  <si>
    <t>effortless-golang|KnowledgeFragments</t>
  </si>
  <si>
    <t>effortless-golang|KnowledgeGaps</t>
  </si>
  <si>
    <t>effortless-golang|FAQs</t>
  </si>
  <si>
    <t>effortless-golang|Explanations</t>
  </si>
  <si>
    <t>effortless-golang|ProcedureExecutions</t>
  </si>
  <si>
    <t>effortless-golang|StepExecutions</t>
  </si>
  <si>
    <t>effortless-golang|RequirementSatisfactions</t>
  </si>
  <si>
    <t>effortless-golang|Errors</t>
  </si>
  <si>
    <t>effortless-golang|IssueOccurrences</t>
  </si>
  <si>
    <t>effortless-golang|UserQuestions</t>
  </si>
  <si>
    <t>effortless-golang|UserFeedback</t>
  </si>
  <si>
    <t>effortless-golang|StewardshipAssignments</t>
  </si>
  <si>
    <t>effortless-golang|ChangeRequests</t>
  </si>
  <si>
    <t>effortless-golang|ReviewEvents</t>
  </si>
  <si>
    <t>effortless-golang|LearningActivities</t>
  </si>
  <si>
    <t>effortless-golang|OperationalBindings</t>
  </si>
  <si>
    <t>effortless-golang|CommunicationPolicies</t>
  </si>
  <si>
    <t>effortless-golang|MessageTemplates</t>
  </si>
  <si>
    <t>effortless-golang|SemanticMappings</t>
  </si>
  <si>
    <t>effortless-golang|WitnessLoops</t>
  </si>
  <si>
    <t>effortless-golang|RoleQuestions</t>
  </si>
  <si>
    <t>effortless-golang|RulebookFields</t>
  </si>
  <si>
    <t>effortless-golang|TestSuites</t>
  </si>
  <si>
    <t>effortless-golang|TestCases</t>
  </si>
  <si>
    <t>effortless-golang|ExceptionInvocations</t>
  </si>
  <si>
    <t>effortless-golang|VerificationOutcomes</t>
  </si>
  <si>
    <t>effortless-golang|ObservedTransitions</t>
  </si>
  <si>
    <t>effortless-golang|Recipients</t>
  </si>
  <si>
    <t>effortless-golang|MessageDeliveries</t>
  </si>
  <si>
    <t>effortless-golang|TemplateApprovals</t>
  </si>
  <si>
    <t>effortless-golang|SendIntents</t>
  </si>
  <si>
    <t>effortless-golang|AgentDecisionRecords</t>
  </si>
  <si>
    <t>effortless-golang|DeliveredCommunications</t>
  </si>
  <si>
    <t>effortless-golang|AuthorityBoundaries</t>
  </si>
  <si>
    <t>effortless-golang|AppRoleProfiles</t>
  </si>
  <si>
    <t>effortless-golang|AppNavGroups</t>
  </si>
  <si>
    <t>effortless-golang|AppRoutes</t>
  </si>
  <si>
    <t>effortless-golang|AppRouteQuestions</t>
  </si>
  <si>
    <t>effortless-golang|AppRouteReferences</t>
  </si>
  <si>
    <t>effortless-golang|RulebookTables</t>
  </si>
  <si>
    <t>effortless-golang|AccessPrincipals</t>
  </si>
  <si>
    <t>effortless-golang|AccessPolicies</t>
  </si>
  <si>
    <t>effortless-golang|FieldGrants</t>
  </si>
  <si>
    <t>effortless-golang|RoleSchemas</t>
  </si>
  <si>
    <t>effortless-golang|RoleSchemaViews</t>
  </si>
  <si>
    <t>effortless-golang|JwtClaimMappings</t>
  </si>
  <si>
    <t>effortless-golang|AccessDenialTests</t>
  </si>
  <si>
    <t>effortless-golang|AppUsers</t>
  </si>
  <si>
    <t>effortless-golang|PrincipalAssignments</t>
  </si>
  <si>
    <t>effortless-golang|ProcessMiningRuns</t>
  </si>
  <si>
    <t>effortless-golang|Vocabularies</t>
  </si>
  <si>
    <t>effortless-golang|VocabularyTerms</t>
  </si>
  <si>
    <t>effortless-golang|KnowledgeBrokerLinks</t>
  </si>
  <si>
    <t>effortless-owl|RulebookReleases</t>
  </si>
  <si>
    <t>effortless-owl|OntologyProfiles</t>
  </si>
  <si>
    <t>effortless-owl|EvaluationContexts</t>
  </si>
  <si>
    <t>effortless-owl|Organizations</t>
  </si>
  <si>
    <t>effortless-owl|Agents</t>
  </si>
  <si>
    <t>effortless-owl|Roles</t>
  </si>
  <si>
    <t>effortless-owl|RoleAssignments</t>
  </si>
  <si>
    <t>effortless-owl|CommunitiesOfPractice</t>
  </si>
  <si>
    <t>effortless-owl|Mentorships</t>
  </si>
  <si>
    <t>effortless-owl|ProcedureTypes</t>
  </si>
  <si>
    <t>effortless-owl|Procedures</t>
  </si>
  <si>
    <t>effortless-owl|ProcedureVersions</t>
  </si>
  <si>
    <t>effortless-owl|ProcedureVersionLinks</t>
  </si>
  <si>
    <t>effortless-owl|ProcedureStatusChanges</t>
  </si>
  <si>
    <t>effortless-owl|Steps</t>
  </si>
  <si>
    <t>effortless-owl|StepTransitions</t>
  </si>
  <si>
    <t>effortless-owl|Actions</t>
  </si>
  <si>
    <t>effortless-owl|Functions</t>
  </si>
  <si>
    <t>effortless-owl|Tools</t>
  </si>
  <si>
    <t>effortless-owl|StepActions</t>
  </si>
  <si>
    <t>effortless-owl|StepFunctions</t>
  </si>
  <si>
    <t>effortless-owl|StepTools</t>
  </si>
  <si>
    <t>effortless-owl|Requirements</t>
  </si>
  <si>
    <t>effortless-owl|StepRequirements</t>
  </si>
  <si>
    <t>effortless-owl|StepVerifications</t>
  </si>
  <si>
    <t>effortless-owl|Rationales</t>
  </si>
  <si>
    <t>effortless-owl|Exceptions</t>
  </si>
  <si>
    <t>effortless-owl|Resources</t>
  </si>
  <si>
    <t>effortless-owl|ProcedureResources</t>
  </si>
  <si>
    <t>effortless-owl|ElicitationSessions</t>
  </si>
  <si>
    <t>effortless-owl|KnowledgeFragments</t>
  </si>
  <si>
    <t>effortless-owl|KnowledgeGaps</t>
  </si>
  <si>
    <t>effortless-owl|FAQs</t>
  </si>
  <si>
    <t>effortless-owl|Explanations</t>
  </si>
  <si>
    <t>effortless-owl|ProcedureExecutions</t>
  </si>
  <si>
    <t>effortless-owl|StepExecutions</t>
  </si>
  <si>
    <t>effortless-owl|RequirementSatisfactions</t>
  </si>
  <si>
    <t>effortless-owl|Errors</t>
  </si>
  <si>
    <t>effortless-owl|IssueOccurrences</t>
  </si>
  <si>
    <t>effortless-owl|UserQuestions</t>
  </si>
  <si>
    <t>effortless-owl|UserFeedback</t>
  </si>
  <si>
    <t>effortless-owl|StewardshipAssignments</t>
  </si>
  <si>
    <t>effortless-owl|ChangeRequests</t>
  </si>
  <si>
    <t>effortless-owl|ReviewEvents</t>
  </si>
  <si>
    <t>effortless-owl|LearningActivities</t>
  </si>
  <si>
    <t>effortless-owl|OperationalBindings</t>
  </si>
  <si>
    <t>effortless-owl|CommunicationPolicies</t>
  </si>
  <si>
    <t>effortless-owl|MessageTemplates</t>
  </si>
  <si>
    <t>effortless-owl|SemanticMappings</t>
  </si>
  <si>
    <t>effortless-owl|WitnessLoops</t>
  </si>
  <si>
    <t>effortless-owl|RoleQuestions</t>
  </si>
  <si>
    <t>effortless-owl|RulebookFields</t>
  </si>
  <si>
    <t>effortless-owl|TestSuites</t>
  </si>
  <si>
    <t>effortless-owl|TestCases</t>
  </si>
  <si>
    <t>effortless-owl|ExceptionInvocations</t>
  </si>
  <si>
    <t>effortless-owl|VerificationOutcomes</t>
  </si>
  <si>
    <t>effortless-owl|ObservedTransitions</t>
  </si>
  <si>
    <t>effortless-owl|Recipients</t>
  </si>
  <si>
    <t>effortless-owl|MessageDeliveries</t>
  </si>
  <si>
    <t>effortless-owl|TemplateApprovals</t>
  </si>
  <si>
    <t>effortless-owl|SendIntents</t>
  </si>
  <si>
    <t>effortless-owl|AgentDecisionRecords</t>
  </si>
  <si>
    <t>effortless-owl|DeliveredCommunications</t>
  </si>
  <si>
    <t>effortless-owl|AuthorityBoundaries</t>
  </si>
  <si>
    <t>effortless-owl|AppRoleProfiles</t>
  </si>
  <si>
    <t>effortless-owl|AppNavGroups</t>
  </si>
  <si>
    <t>effortless-owl|AppRoutes</t>
  </si>
  <si>
    <t>effortless-owl|AppRouteQuestions</t>
  </si>
  <si>
    <t>effortless-owl|AppRouteReferences</t>
  </si>
  <si>
    <t>effortless-owl|RulebookTables</t>
  </si>
  <si>
    <t>effortless-owl|AccessPrincipals</t>
  </si>
  <si>
    <t>effortless-owl|AccessPolicies</t>
  </si>
  <si>
    <t>effortless-owl|FieldGrants</t>
  </si>
  <si>
    <t>effortless-owl|RoleSchemas</t>
  </si>
  <si>
    <t>effortless-owl|RoleSchemaViews</t>
  </si>
  <si>
    <t>effortless-owl|JwtClaimMappings</t>
  </si>
  <si>
    <t>effortless-owl|AccessDenialTests</t>
  </si>
  <si>
    <t>effortless-owl|AppUsers</t>
  </si>
  <si>
    <t>effortless-owl|PrincipalAssignments</t>
  </si>
  <si>
    <t>effortless-owl|ProcessMiningRuns</t>
  </si>
  <si>
    <t>effortless-owl|Vocabularies</t>
  </si>
  <si>
    <t>effortless-owl|VocabularyTerms</t>
  </si>
  <si>
    <t>effortless-owl|KnowledgeBrokerLinks</t>
  </si>
  <si>
    <t>effortless-python|RulebookReleases</t>
  </si>
  <si>
    <t>effortless-python|OntologyProfiles</t>
  </si>
  <si>
    <t>effortless-python|EvaluationContexts</t>
  </si>
  <si>
    <t>effortless-python|Organizations</t>
  </si>
  <si>
    <t>effortless-python|Agents</t>
  </si>
  <si>
    <t>effortless-python|Roles</t>
  </si>
  <si>
    <t>effortless-python|RoleAssignments</t>
  </si>
  <si>
    <t>effortless-python|CommunitiesOfPractice</t>
  </si>
  <si>
    <t>effortless-python|Mentorships</t>
  </si>
  <si>
    <t>effortless-python|ProcedureTypes</t>
  </si>
  <si>
    <t>effortless-python|Procedures</t>
  </si>
  <si>
    <t>effortless-python|ProcedureVersions</t>
  </si>
  <si>
    <t>effortless-python|ProcedureVersionLinks</t>
  </si>
  <si>
    <t>effortless-python|ProcedureStatusChanges</t>
  </si>
  <si>
    <t>effortless-python|Steps</t>
  </si>
  <si>
    <t>effortless-python|StepTransitions</t>
  </si>
  <si>
    <t>effortless-python|Actions</t>
  </si>
  <si>
    <t>effortless-python|Functions</t>
  </si>
  <si>
    <t>effortless-python|Tools</t>
  </si>
  <si>
    <t>effortless-python|StepActions</t>
  </si>
  <si>
    <t>effortless-python|StepFunctions</t>
  </si>
  <si>
    <t>effortless-python|StepTools</t>
  </si>
  <si>
    <t>effortless-python|Requirements</t>
  </si>
  <si>
    <t>effortless-python|StepRequirements</t>
  </si>
  <si>
    <t>effortless-python|StepVerifications</t>
  </si>
  <si>
    <t>effortless-python|Rationales</t>
  </si>
  <si>
    <t>effortless-python|Exceptions</t>
  </si>
  <si>
    <t>effortless-python|Resources</t>
  </si>
  <si>
    <t>effortless-python|ProcedureResources</t>
  </si>
  <si>
    <t>effortless-python|ElicitationSessions</t>
  </si>
  <si>
    <t>effortless-python|KnowledgeFragments</t>
  </si>
  <si>
    <t>effortless-python|KnowledgeGaps</t>
  </si>
  <si>
    <t>effortless-python|FAQs</t>
  </si>
  <si>
    <t>effortless-python|Explanations</t>
  </si>
  <si>
    <t>effortless-python|ProcedureExecutions</t>
  </si>
  <si>
    <t>effortless-python|StepExecutions</t>
  </si>
  <si>
    <t>effortless-python|RequirementSatisfactions</t>
  </si>
  <si>
    <t>effortless-python|Errors</t>
  </si>
  <si>
    <t>effortless-python|IssueOccurrences</t>
  </si>
  <si>
    <t>effortless-python|UserQuestions</t>
  </si>
  <si>
    <t>effortless-python|UserFeedback</t>
  </si>
  <si>
    <t>effortless-python|StewardshipAssignments</t>
  </si>
  <si>
    <t>effortless-python|ChangeRequests</t>
  </si>
  <si>
    <t>effortless-python|ReviewEvents</t>
  </si>
  <si>
    <t>effortless-python|LearningActivities</t>
  </si>
  <si>
    <t>effortless-python|OperationalBindings</t>
  </si>
  <si>
    <t>effortless-python|CommunicationPolicies</t>
  </si>
  <si>
    <t>effortless-python|MessageTemplates</t>
  </si>
  <si>
    <t>effortless-python|SemanticMappings</t>
  </si>
  <si>
    <t>effortless-python|WitnessLoops</t>
  </si>
  <si>
    <t>effortless-python|RoleQuestions</t>
  </si>
  <si>
    <t>effortless-python|RulebookFields</t>
  </si>
  <si>
    <t>effortless-python|TestSuites</t>
  </si>
  <si>
    <t>effortless-python|TestCases</t>
  </si>
  <si>
    <t>effortless-python|ExceptionInvocations</t>
  </si>
  <si>
    <t>effortless-python|VerificationOutcomes</t>
  </si>
  <si>
    <t>effortless-python|ObservedTransitions</t>
  </si>
  <si>
    <t>effortless-python|Recipients</t>
  </si>
  <si>
    <t>effortless-python|MessageDeliveries</t>
  </si>
  <si>
    <t>effortless-python|TemplateApprovals</t>
  </si>
  <si>
    <t>effortless-python|SendIntents</t>
  </si>
  <si>
    <t>effortless-python|AgentDecisionRecords</t>
  </si>
  <si>
    <t>effortless-python|DeliveredCommunications</t>
  </si>
  <si>
    <t>effortless-python|AuthorityBoundaries</t>
  </si>
  <si>
    <t>effortless-python|AppRoleProfiles</t>
  </si>
  <si>
    <t>effortless-python|AppNavGroups</t>
  </si>
  <si>
    <t>effortless-python|AppRoutes</t>
  </si>
  <si>
    <t>effortless-python|AppRouteQuestions</t>
  </si>
  <si>
    <t>effortless-python|AppRouteReferences</t>
  </si>
  <si>
    <t>effortless-python|RulebookTables</t>
  </si>
  <si>
    <t>effortless-python|AccessPrincipals</t>
  </si>
  <si>
    <t>effortless-python|AccessPolicies</t>
  </si>
  <si>
    <t>effortless-python|FieldGrants</t>
  </si>
  <si>
    <t>effortless-python|RoleSchemas</t>
  </si>
  <si>
    <t>effortless-python|RoleSchemaViews</t>
  </si>
  <si>
    <t>effortless-python|JwtClaimMappings</t>
  </si>
  <si>
    <t>effortless-python|AccessDenialTests</t>
  </si>
  <si>
    <t>effortless-python|AppUsers</t>
  </si>
  <si>
    <t>effortless-python|PrincipalAssignments</t>
  </si>
  <si>
    <t>effortless-python|ProcessMiningRuns</t>
  </si>
  <si>
    <t>effortless-python|Vocabularies</t>
  </si>
  <si>
    <t>effortless-python|VocabularyTerms</t>
  </si>
  <si>
    <t>effortless-python|KnowledgeBrokerLinks</t>
  </si>
  <si>
    <t>effortless-typescript|RulebookReleases</t>
  </si>
  <si>
    <t>effortless-typescript|OntologyProfiles</t>
  </si>
  <si>
    <t>effortless-typescript|EvaluationContexts</t>
  </si>
  <si>
    <t>effortless-typescript|Organizations</t>
  </si>
  <si>
    <t>effortless-typescript|Agents</t>
  </si>
  <si>
    <t>effortless-typescript|Roles</t>
  </si>
  <si>
    <t>effortless-typescript|RoleAssignments</t>
  </si>
  <si>
    <t>effortless-typescript|CommunitiesOfPractice</t>
  </si>
  <si>
    <t>effortless-typescript|Mentorships</t>
  </si>
  <si>
    <t>effortless-typescript|ProcedureTypes</t>
  </si>
  <si>
    <t>effortless-typescript|Procedures</t>
  </si>
  <si>
    <t>effortless-typescript|ProcedureVersions</t>
  </si>
  <si>
    <t>effortless-typescript|ProcedureVersionLinks</t>
  </si>
  <si>
    <t>effortless-typescript|ProcedureStatusChanges</t>
  </si>
  <si>
    <t>effortless-typescript|Steps</t>
  </si>
  <si>
    <t>effortless-typescript|StepTransitions</t>
  </si>
  <si>
    <t>effortless-typescript|Actions</t>
  </si>
  <si>
    <t>effortless-typescript|Functions</t>
  </si>
  <si>
    <t>effortless-typescript|Tools</t>
  </si>
  <si>
    <t>effortless-typescript|StepActions</t>
  </si>
  <si>
    <t>effortless-typescript|StepFunctions</t>
  </si>
  <si>
    <t>effortless-typescript|StepTools</t>
  </si>
  <si>
    <t>effortless-typescript|Requirements</t>
  </si>
  <si>
    <t>effortless-typescript|StepRequirements</t>
  </si>
  <si>
    <t>effortless-typescript|StepVerifications</t>
  </si>
  <si>
    <t>effortless-typescript|Rationales</t>
  </si>
  <si>
    <t>effortless-typescript|Exceptions</t>
  </si>
  <si>
    <t>effortless-typescript|Resources</t>
  </si>
  <si>
    <t>effortless-typescript|ProcedureResources</t>
  </si>
  <si>
    <t>effortless-typescript|ElicitationSessions</t>
  </si>
  <si>
    <t>effortless-typescript|KnowledgeFragments</t>
  </si>
  <si>
    <t>effortless-typescript|KnowledgeGaps</t>
  </si>
  <si>
    <t>effortless-typescript|FAQs</t>
  </si>
  <si>
    <t>effortless-typescript|Explanations</t>
  </si>
  <si>
    <t>effortless-typescript|ProcedureExecutions</t>
  </si>
  <si>
    <t>effortless-typescript|StepExecutions</t>
  </si>
  <si>
    <t>effortless-typescript|RequirementSatisfactions</t>
  </si>
  <si>
    <t>effortless-typescript|Errors</t>
  </si>
  <si>
    <t>effortless-typescript|IssueOccurrences</t>
  </si>
  <si>
    <t>effortless-typescript|UserQuestions</t>
  </si>
  <si>
    <t>effortless-typescript|UserFeedback</t>
  </si>
  <si>
    <t>effortless-typescript|StewardshipAssignments</t>
  </si>
  <si>
    <t>effortless-typescript|ChangeRequests</t>
  </si>
  <si>
    <t>effortless-typescript|ReviewEvents</t>
  </si>
  <si>
    <t>effortless-typescript|LearningActivities</t>
  </si>
  <si>
    <t>effortless-typescript|OperationalBindings</t>
  </si>
  <si>
    <t>effortless-typescript|CommunicationPolicies</t>
  </si>
  <si>
    <t>effortless-typescript|MessageTemplates</t>
  </si>
  <si>
    <t>effortless-typescript|SemanticMappings</t>
  </si>
  <si>
    <t>effortless-typescript|WitnessLoops</t>
  </si>
  <si>
    <t>effortless-typescript|RoleQuestions</t>
  </si>
  <si>
    <t>effortless-typescript|RulebookFields</t>
  </si>
  <si>
    <t>effortless-typescript|TestSuites</t>
  </si>
  <si>
    <t>effortless-typescript|TestCases</t>
  </si>
  <si>
    <t>effortless-typescript|ExceptionInvocations</t>
  </si>
  <si>
    <t>effortless-typescript|VerificationOutcomes</t>
  </si>
  <si>
    <t>effortless-typescript|ObservedTransitions</t>
  </si>
  <si>
    <t>effortless-typescript|Recipients</t>
  </si>
  <si>
    <t>effortless-typescript|MessageDeliveries</t>
  </si>
  <si>
    <t>effortless-typescript|TemplateApprovals</t>
  </si>
  <si>
    <t>effortless-typescript|SendIntents</t>
  </si>
  <si>
    <t>effortless-typescript|AgentDecisionRecords</t>
  </si>
  <si>
    <t>effortless-typescript|DeliveredCommunications</t>
  </si>
  <si>
    <t>effortless-typescript|AuthorityBoundaries</t>
  </si>
  <si>
    <t>effortless-typescript|AppRoleProfiles</t>
  </si>
  <si>
    <t>effortless-typescript|AppNavGroups</t>
  </si>
  <si>
    <t>effortless-typescript|AppRoutes</t>
  </si>
  <si>
    <t>effortless-typescript|AppRouteQuestions</t>
  </si>
  <si>
    <t>effortless-typescript|AppRouteReferences</t>
  </si>
  <si>
    <t>effortless-typescript|RulebookTables</t>
  </si>
  <si>
    <t>effortless-typescript|AccessPrincipals</t>
  </si>
  <si>
    <t>effortless-typescript|AccessPolicies</t>
  </si>
  <si>
    <t>effortless-typescript|FieldGrants</t>
  </si>
  <si>
    <t>effortless-typescript|RoleSchemas</t>
  </si>
  <si>
    <t>effortless-typescript|RoleSchemaViews</t>
  </si>
  <si>
    <t>effortless-typescript|JwtClaimMappings</t>
  </si>
  <si>
    <t>effortless-typescript|AccessDenialTests</t>
  </si>
  <si>
    <t>effortless-typescript|AppUsers</t>
  </si>
  <si>
    <t>effortless-typescript|PrincipalAssignments</t>
  </si>
  <si>
    <t>effortless-typescript|ProcessMiningRuns</t>
  </si>
  <si>
    <t>effortless-typescript|Vocabularies</t>
  </si>
  <si>
    <t>effortless-typescript|VocabularyTerms</t>
  </si>
  <si>
    <t>effortless-typescript|KnowledgeBrokerLinks</t>
  </si>
  <si>
    <t>effortless-postgres|EvaluationContexts.Name</t>
  </si>
  <si>
    <t>wrong/null value</t>
  </si>
  <si>
    <t>effortless-postgres|RoleAssignments.Name</t>
  </si>
  <si>
    <t>effortless-postgres|RoleAssignments.QualityVerdictIsUnsupported</t>
  </si>
  <si>
    <t>effortless-postgres|RoleAssignments.IsUnmeasuredAutomationHandover</t>
  </si>
  <si>
    <t>effortless-postgres|ProcedureVersions.DaysSinceModified</t>
  </si>
  <si>
    <t>effortless-postgres|ProcedureVersions.WasModifiedSinceLastReview</t>
  </si>
  <si>
    <t>effortless-postgres|ProcedureVersions.HasUnwitnessedChange</t>
  </si>
  <si>
    <t>effortless-postgres|Requirements.IsUntestedWitness</t>
  </si>
  <si>
    <t>effortless-postgres|ElicitationSessions.Name</t>
  </si>
  <si>
    <t>effortless-postgres|ElicitationSessions.DaysSinceElicited</t>
  </si>
  <si>
    <t>effortless-postgres|KnowledgeFragments.DaysSinceActualReview</t>
  </si>
  <si>
    <t>effortless-postgres|KnowledgeFragments.EvidenceAgeDays</t>
  </si>
  <si>
    <t>effortless-postgres|KnowledgeFragments.AgeDays</t>
  </si>
  <si>
    <t>effortless-postgres|KnowledgeFragments.DaysAwaitingMyApproval</t>
  </si>
  <si>
    <t>effortless-postgres|KnowledgeGaps.DaysOpen</t>
  </si>
  <si>
    <t>effortless-postgres|ProcedureExecutions.ComputedAssuranceRatio</t>
  </si>
  <si>
    <t>effortless-postgres|IssueOccurrences.Name</t>
  </si>
  <si>
    <t>effortless-postgres|ChangeRequests.DaysPending</t>
  </si>
  <si>
    <t>effortless-postgres|ChangeRequests.DecisionLatencyDays</t>
  </si>
  <si>
    <t>effortless-postgres|ReviewEvents.DaysSinceReviewed</t>
  </si>
  <si>
    <t>effortless-postgres|ReviewEvents.CadenceDriftDays</t>
  </si>
  <si>
    <t>effortless-postgres|LearningActivities.Name</t>
  </si>
  <si>
    <t>effortless-postgres|ObservedTransitions.Name</t>
  </si>
  <si>
    <t>effortless-postgres|MessageDeliveries.Name</t>
  </si>
  <si>
    <t>effortless-postgres|MessageDeliveries.AgeDays</t>
  </si>
  <si>
    <t>effortless-postgres|MessageDeliveries.SegmentCount</t>
  </si>
  <si>
    <t>effortless-postgres|MessageDeliveries.OutstandingAgeDays</t>
  </si>
  <si>
    <t>effortless-postgres|MessageDeliveries.OptOutPhrasePosition</t>
  </si>
  <si>
    <t>effortless-postgres|TemplateApprovals.Name</t>
  </si>
  <si>
    <t>effortless-postgres|SendIntents.DeferralAgeHours</t>
  </si>
  <si>
    <t>effortless-postgres|DeliveredCommunications.ContentMatchesApproval</t>
  </si>
  <si>
    <t>effortless-postgres|ProcessMiningRuns.Name</t>
  </si>
  <si>
    <t>effortless-xlsx|EvaluationContexts.Name</t>
  </si>
  <si>
    <t>effortless-xlsx|Roles.CurrentAssignmentValidFrom</t>
  </si>
  <si>
    <t>effortless-xlsx|RoleAssignments.Name</t>
  </si>
  <si>
    <t>effortless-xlsx|RoleAssignments.AsOfInstant</t>
  </si>
  <si>
    <t>effortless-xlsx|RoleAssignments.HasSufficientSample</t>
  </si>
  <si>
    <t>effortless-xlsx|RoleAssignments.PredecessorHasSufficientSample</t>
  </si>
  <si>
    <t>effortless-xlsx|RoleAssignments.ComparisonIsEvidentiallySound</t>
  </si>
  <si>
    <t>effortless-xlsx|RoleAssignments.QualityVerdictIsUnsupported</t>
  </si>
  <si>
    <t>effortless-xlsx|RoleAssignments.IsUnauthorizedEnforcementAgent</t>
  </si>
  <si>
    <t>effortless-xlsx|RoleAssignments.PredecessorAgentKind</t>
  </si>
  <si>
    <t>effortless-xlsx|RoleAssignments.IsHumanToNonHumanHandover</t>
  </si>
  <si>
    <t>effortless-xlsx|RoleAssignments.IsUnmeasuredAutomationHandover</t>
  </si>
  <si>
    <t>effortless-xlsx|ProcedureVersions.AsOfInstant</t>
  </si>
  <si>
    <t>effortless-xlsx|ProcedureVersions.DaysSinceModified</t>
  </si>
  <si>
    <t>effortless-xlsx|ProcedureVersions.DaysSinceLastReview</t>
  </si>
  <si>
    <t>effortless-xlsx|ProcedureVersions.WasModifiedSinceLastReview</t>
  </si>
  <si>
    <t>effortless-xlsx|ProcedureVersions.HasUnwitnessedChange</t>
  </si>
  <si>
    <t>effortless-xlsx|Steps.StaleBindingCount</t>
  </si>
  <si>
    <t>effortless-xlsx|Steps.AuthoritativeStaleCount</t>
  </si>
  <si>
    <t>effortless-xlsx|Steps.StaleAuthoritativeBindingCount</t>
  </si>
  <si>
    <t>effortless-xlsx|Steps.InputsAreFresh</t>
  </si>
  <si>
    <t>effortless-xlsx|Steps.UnusableBindingCount</t>
  </si>
  <si>
    <t>effortless-xlsx|Steps.AllSourcesUsable</t>
  </si>
  <si>
    <t>effortless-xlsx|Steps.UnwarrantedBoundaryCount</t>
  </si>
  <si>
    <t>effortless-xlsx|Steps.IsGovernedByUnwarrantedBoundary</t>
  </si>
  <si>
    <t>effortless-xlsx|Requirements.NamedWitnessFieldExists</t>
  </si>
  <si>
    <t>effortless-xlsx|Requirements.HasMeaningfulSample</t>
  </si>
  <si>
    <t>effortless-xlsx|Requirements.IsUntestedWitness</t>
  </si>
  <si>
    <t>effortless-xlsx|Requirements.IsEvidencedHoldingControl</t>
  </si>
  <si>
    <t>effortless-xlsx|Requirements.ControlAssuranceState</t>
  </si>
  <si>
    <t>effortless-xlsx|ElicitationSessions.Name</t>
  </si>
  <si>
    <t>effortless-xlsx|ElicitationSessions.AsOfInstant</t>
  </si>
  <si>
    <t>effortless-xlsx|ElicitationSessions.DaysSinceElicited</t>
  </si>
  <si>
    <t>effortless-xlsx|KnowledgeFragments.AsOfInstant</t>
  </si>
  <si>
    <t>effortless-xlsx|KnowledgeFragments.OwnerRoleAssignmentValidFrom</t>
  </si>
  <si>
    <t>effortless-xlsx|KnowledgeFragments.DaysSinceActualReview</t>
  </si>
  <si>
    <t>effortless-xlsx|KnowledgeFragments.EvidenceExpiryDays</t>
  </si>
  <si>
    <t>effortless-xlsx|KnowledgeFragments.EvidenceHasExpired</t>
  </si>
  <si>
    <t>effortless-xlsx|KnowledgeFragments.FragilitySignalCount</t>
  </si>
  <si>
    <t>effortless-xlsx|KnowledgeFragments.IsCompoundFragile</t>
  </si>
  <si>
    <t>effortless-xlsx|KnowledgeFragments.CompoundFragileVersionKey</t>
  </si>
  <si>
    <t>effortless-xlsx|KnowledgeFragments.EvidenceAgeDays</t>
  </si>
  <si>
    <t>effortless-xlsx|KnowledgeFragments.AgeDays</t>
  </si>
  <si>
    <t>effortless-xlsx|KnowledgeFragments.DaysAwaitingMyApproval</t>
  </si>
  <si>
    <t>effortless-xlsx|KnowledgeGaps.AsOfInstant</t>
  </si>
  <si>
    <t>effortless-xlsx|KnowledgeGaps.DaysOpen</t>
  </si>
  <si>
    <t>effortless-xlsx|FAQs.Name</t>
  </si>
  <si>
    <t>missing entity file</t>
  </si>
  <si>
    <t>effortless-xlsx|ProcedureExecutions.LateStepCount</t>
  </si>
  <si>
    <t>effortless-xlsx|ProcedureExecutions.UncleanStepCount</t>
  </si>
  <si>
    <t>effortless-xlsx|ProcedureExecutions.RanClean</t>
  </si>
  <si>
    <t>effortless-xlsx|ProcedureExecutions.VacuouslyCleanStepCount</t>
  </si>
  <si>
    <t>effortless-xlsx|ProcedureExecutions.LatestAttestationInstant</t>
  </si>
  <si>
    <t>effortless-xlsx|ProcedureExecutions.MishandledRefusalCount</t>
  </si>
  <si>
    <t>effortless-xlsx|ProcedureExecutions.UngovernedDivergenceCount</t>
  </si>
  <si>
    <t>effortless-xlsx|ProcedureExecutions.DivergenceWasFullyGoverned</t>
  </si>
  <si>
    <t>effortless-xlsx|StepExecutions.ActualDurationMinutes</t>
  </si>
  <si>
    <t>effortless-xlsx|StepExecutions.IsLate</t>
  </si>
  <si>
    <t>effortless-xlsx|StepExecutions.IsLateAndUnexplained</t>
  </si>
  <si>
    <t>effortless-xlsx|StepExecutions.HadUninvokedExceptionAvailable</t>
  </si>
  <si>
    <t>effortless-xlsx|StepExecutions.LateExecutionKey</t>
  </si>
  <si>
    <t>effortless-xlsx|StepExecutions.IsClean</t>
  </si>
  <si>
    <t>effortless-xlsx|StepExecutions.ProcedureExecutionWhenUnclean</t>
  </si>
  <si>
    <t>effortless-xlsx|StepExecutions.IsVacuouslyClean</t>
  </si>
  <si>
    <t>effortless-xlsx|StepExecutions.IsSubstantivelyClean</t>
  </si>
  <si>
    <t>effortless-xlsx|StepExecutions.VacuouslyCleanExecutionKey</t>
  </si>
  <si>
    <t>effortless-xlsx|StepExecutions.IsUngovernedDivergence</t>
  </si>
  <si>
    <t>effortless-xlsx|StepExecutions.UngovernedDivergenceExecutionKey</t>
  </si>
  <si>
    <t>effortless-xlsx|StepExecutions.StaleAuthoritativeSourceCount</t>
  </si>
  <si>
    <t>effortless-xlsx|StepExecutions.RanOnStaleAuthoritativeSource</t>
  </si>
  <si>
    <t>effortless-xlsx|StepExecutions.InputsWereFreshAtRun</t>
  </si>
  <si>
    <t>effortless-xlsx|StepExecutions.RanOnStaleInputs</t>
  </si>
  <si>
    <t>effortless-xlsx|StepExecutions.DraftedFromUnusableSource</t>
  </si>
  <si>
    <t>effortless-xlsx|StepExecutions.InputsWereUsable</t>
  </si>
  <si>
    <t>effortless-xlsx|StepExecutions.StalenessAnswerIsTenseDependent</t>
  </si>
  <si>
    <t>effortless-xlsx|RequirementSatisfactions.WasScoredAfterAttestation</t>
  </si>
  <si>
    <t>effortless-xlsx|RequirementSatisfactions.AttestationInstantForRun</t>
  </si>
  <si>
    <t>effortless-xlsx|RequirementSatisfactions.PostAttestationScoreExecutionKey</t>
  </si>
  <si>
    <t>effortless-xlsx|IssueOccurrences.Name</t>
  </si>
  <si>
    <t>effortless-xlsx|StewardshipAssignments.AsOfInstant</t>
  </si>
  <si>
    <t>effortless-xlsx|ChangeRequests.AsOfInstant</t>
  </si>
  <si>
    <t>effortless-xlsx|ChangeRequests.DaysPending</t>
  </si>
  <si>
    <t>effortless-xlsx|ChangeRequests.DecisionLatencyDays</t>
  </si>
  <si>
    <t>effortless-xlsx|ReviewEvents.AsOfInstant</t>
  </si>
  <si>
    <t>effortless-xlsx|ReviewEvents.DaysSinceReviewed</t>
  </si>
  <si>
    <t>effortless-xlsx|ReviewEvents.CadenceDriftDays</t>
  </si>
  <si>
    <t>effortless-xlsx|LearningActivities.Name</t>
  </si>
  <si>
    <t>effortless-xlsx|OperationalBindings.AsOfInstant</t>
  </si>
  <si>
    <t>effortless-xlsx|OperationalBindings.AgeMinutes</t>
  </si>
  <si>
    <t>effortless-xlsx|OperationalBindings.IsFresh</t>
  </si>
  <si>
    <t>effortless-xlsx|OperationalBindings.StaleBindingStepKey</t>
  </si>
  <si>
    <t>effortless-xlsx|OperationalBindings.AuthoritativeStaleStepKey</t>
  </si>
  <si>
    <t>effortless-xlsx|OperationalBindings.IsStaleAndAuthoritative</t>
  </si>
  <si>
    <t>effortless-xlsx|OperationalBindings.StepWhenStale</t>
  </si>
  <si>
    <t>effortless-xlsx|OperationalBindings.IsUsableForDrafting</t>
  </si>
  <si>
    <t>effortless-xlsx|OperationalBindings.StepWhenUnusable</t>
  </si>
  <si>
    <t>effortless-xlsx|MessageTemplates.LastApprovalAt</t>
  </si>
  <si>
    <t>effortless-xlsx|RoleQuestions.PredicateCount</t>
  </si>
  <si>
    <t>effortless-xlsx|RoleQuestions.IsAnswered</t>
  </si>
  <si>
    <t>effortless-xlsx|TestSuites.TestCount</t>
  </si>
  <si>
    <t>effortless-xlsx|TestSuites.PassCount</t>
  </si>
  <si>
    <t>effortless-xlsx|ObservedTransitions.Name</t>
  </si>
  <si>
    <t>effortless-xlsx|MessageDeliveries.Name</t>
  </si>
  <si>
    <t>effortless-xlsx|MessageDeliveries.AsOfInstant</t>
  </si>
  <si>
    <t>effortless-xlsx|MessageDeliveries.AgeDays</t>
  </si>
  <si>
    <t>effortless-xlsx|MessageDeliveries.SegmentCount</t>
  </si>
  <si>
    <t>effortless-xlsx|MessageDeliveries.PolicyRequiresOptOut</t>
  </si>
  <si>
    <t>effortless-xlsx|MessageDeliveries.OptOutPhrasePosition</t>
  </si>
  <si>
    <t>effortless-xlsx|MessageDeliveries.HasOptOutPhrase</t>
  </si>
  <si>
    <t>effortless-xlsx|MessageDeliveries.IsOptOutInFirstSegment</t>
  </si>
  <si>
    <t>effortless-xlsx|MessageDeliveries.IsMissingRequiredOptOut</t>
  </si>
  <si>
    <t>effortless-xlsx|MessageDeliveries.IsOptOutAtRiskOfTruncation</t>
  </si>
  <si>
    <t>effortless-xlsx|MessageDeliveries.CurrentLastApprovalAt</t>
  </si>
  <si>
    <t>effortless-xlsx|MessageDeliveries.OutstandingAgeDays</t>
  </si>
  <si>
    <t>effortless-xlsx|TemplateApprovals.Name</t>
  </si>
  <si>
    <t>effortless-xlsx|SendIntents.RefusalCitedAnException</t>
  </si>
  <si>
    <t>effortless-xlsx|SendIntents.IsUnreportedRefusalOnMyRules</t>
  </si>
  <si>
    <t>effortless-xlsx|SendIntents.IsApprovalOverriddenSilently</t>
  </si>
  <si>
    <t>effortless-xlsx|SendIntents.ExceptionPrescribedAnAlternative</t>
  </si>
  <si>
    <t>effortless-xlsx|SendIntents.IsSuppressionWithoutRemedy</t>
  </si>
  <si>
    <t>effortless-xlsx|SendIntents.AsOfInstant</t>
  </si>
  <si>
    <t>effortless-xlsx|SendIntents.WindowHasSinceReopened</t>
  </si>
  <si>
    <t>effortless-xlsx|SendIntents.IsAbandonedDeferral</t>
  </si>
  <si>
    <t>effortless-xlsx|SendIntents.DeferralAgeHours</t>
  </si>
  <si>
    <t>effortless-xlsx|SendIntents.IsStaleDeferral</t>
  </si>
  <si>
    <t>effortless-xlsx|SendIntents.IsSelfWitnessedDecision</t>
  </si>
  <si>
    <t>effortless-xlsx|SendIntents.IsProperlyHandledRefusal</t>
  </si>
  <si>
    <t>effortless-xlsx|SendIntents.OptOutGatePassed</t>
  </si>
  <si>
    <t>effortless-xlsx|SendIntents.ContentGatePassed</t>
  </si>
  <si>
    <t>effortless-xlsx|SendIntents.IsClearedToSend</t>
  </si>
  <si>
    <t>effortless-xlsx|SendIntents.BlockingGateName</t>
  </si>
  <si>
    <t>effortless-xlsx|SendIntents.IsOverriddenRefusal</t>
  </si>
  <si>
    <t>effortless-xlsx|SendIntents.RefusalFailureExecutionKey</t>
  </si>
  <si>
    <t>effortless-xlsx|SendIntents.RefusedOnApprovedContent</t>
  </si>
  <si>
    <t>effortless-xlsx|SendIntents.RefusedOnOptOutOnly</t>
  </si>
  <si>
    <t>effortless-xlsx|SendIntents.RefusalWasOnMyRules</t>
  </si>
  <si>
    <t>effortless-xlsx|SendIntents.IsRefusedWithNoAlternative</t>
  </si>
  <si>
    <t>effortless-xlsx|SendIntents.IsUnescalatedRefusal</t>
  </si>
  <si>
    <t>effortless-xlsx|AgentDecisionRecords.ReviewLatencyMinutes</t>
  </si>
  <si>
    <t>effortless-xlsx|DeliveredCommunications.Name</t>
  </si>
  <si>
    <t>effortless-xlsx|DeliveredCommunications.WasApprovedBeforeSending</t>
  </si>
  <si>
    <t>effortless-xlsx|AuthorityBoundaries.AsOfInstant</t>
  </si>
  <si>
    <t>effortless-xlsx|AuthorityBoundaries.IsUnwarranted</t>
  </si>
  <si>
    <t>effortless-xlsx|AuthorityBoundaries.WarrantIsThin</t>
  </si>
  <si>
    <t>effortless-xlsx|AuthorityBoundaries.IsUnwarrantedAndUntested</t>
  </si>
  <si>
    <t>effortless-xlsx|AuthorityBoundaries.UnwarrantedBoundaryStepKey</t>
  </si>
  <si>
    <t>effortless-xlsx|AuthorityBoundaries.RatificationLapsed</t>
  </si>
  <si>
    <t>effortless-xlsx|AuthorityBoundaries.BindsDespiteLapsedRatification</t>
  </si>
  <si>
    <t>effortless-xlsx|AuthorityBoundaries.IsUngroundedAndUntested</t>
  </si>
  <si>
    <t>effortless-xlsx|AuthorityBoundaries.ConstrainedRoleAssignmentKey</t>
  </si>
  <si>
    <t>effortless-xlsx|RulebookTables.FieldCount</t>
  </si>
  <si>
    <t>effortless-xlsx|AccessPrincipals.GrantCount</t>
  </si>
  <si>
    <t>effortless-xlsx|FieldGrants.FieldTable</t>
  </si>
  <si>
    <t>effortless-xlsx|FieldGrants.FieldName</t>
  </si>
  <si>
    <t>effortless-xlsx|FieldGrants.GrantKeyWhenReadable</t>
  </si>
  <si>
    <t>effortless-xlsx|FieldGrants.FieldIsDerived</t>
  </si>
  <si>
    <t>effortless-xlsx|RoleSchemaViews.ColumnCount</t>
  </si>
  <si>
    <t>effortless-xlsx|RoleSchemaViews.TableFieldCount</t>
  </si>
  <si>
    <t>effortless-xlsx|RoleSchemaViews.IsDegenerateView</t>
  </si>
  <si>
    <t>effortless-xlsx|RoleSchemaViews.IsFullWidth</t>
  </si>
  <si>
    <t>effortless-xlsx|ProcessMiningRuns.Name</t>
  </si>
  <si>
    <t>effortless-xlsx|ProcessMiningRuns.AsOfInstant</t>
  </si>
  <si>
    <t>effortless-xlsx|KnowledgeBrokerLinks.AsOfInstant</t>
  </si>
  <si>
    <t>effortless-entity-framework|EvaluationContexts.Name</t>
  </si>
  <si>
    <t>effortless-entity-framework|RoleAssignments.Name</t>
  </si>
  <si>
    <t>effortless-entity-framework|RoleAssignments.QualityVerdictIsUnsupported</t>
  </si>
  <si>
    <t>effortless-entity-framework|RoleAssignments.IsUnmeasuredAutomationHandover</t>
  </si>
  <si>
    <t>effortless-entity-framework|ProcedureVersions.DaysSinceModified</t>
  </si>
  <si>
    <t>effortless-entity-framework|ProcedureVersions.WasModifiedSinceLastReview</t>
  </si>
  <si>
    <t>effortless-entity-framework|ProcedureVersions.HasUnwitnessedChange</t>
  </si>
  <si>
    <t>effortless-entity-framework|Requirements.IsUntestedWitness</t>
  </si>
  <si>
    <t>effortless-entity-framework|ElicitationSessions.Name</t>
  </si>
  <si>
    <t>effortless-entity-framework|ElicitationSessions.DaysSinceElicited</t>
  </si>
  <si>
    <t>effortless-entity-framework|KnowledgeFragments.DaysSinceActualReview</t>
  </si>
  <si>
    <t>effortless-entity-framework|KnowledgeFragments.EvidenceAgeDays</t>
  </si>
  <si>
    <t>effortless-entity-framework|KnowledgeFragments.AgeDays</t>
  </si>
  <si>
    <t>effortless-entity-framework|KnowledgeFragments.DaysAwaitingMyApproval</t>
  </si>
  <si>
    <t>effortless-entity-framework|KnowledgeGaps.DaysOpen</t>
  </si>
  <si>
    <t>effortless-entity-framework|IssueOccurrences.Name</t>
  </si>
  <si>
    <t>effortless-entity-framework|ChangeRequests.DaysPending</t>
  </si>
  <si>
    <t>effortless-entity-framework|ChangeRequests.DecisionLatencyDays</t>
  </si>
  <si>
    <t>effortless-entity-framework|ReviewEvents.DaysSinceReviewed</t>
  </si>
  <si>
    <t>effortless-entity-framework|ReviewEvents.CadenceDriftDays</t>
  </si>
  <si>
    <t>effortless-entity-framework|LearningActivities.Name</t>
  </si>
  <si>
    <t>effortless-entity-framework|ObservedTransitions.Name</t>
  </si>
  <si>
    <t>effortless-entity-framework|MessageDeliveries.Name</t>
  </si>
  <si>
    <t>effortless-entity-framework|MessageDeliveries.AgeDays</t>
  </si>
  <si>
    <t>effortless-entity-framework|MessageDeliveries.SegmentCount</t>
  </si>
  <si>
    <t>effortless-entity-framework|MessageDeliveries.OutstandingAgeDays</t>
  </si>
  <si>
    <t>effortless-entity-framework|MessageDeliveries.OptOutPhrasePosition</t>
  </si>
  <si>
    <t>effortless-entity-framework|TemplateApprovals.Name</t>
  </si>
  <si>
    <t>effortless-entity-framework|SendIntents.DeferralAgeHours</t>
  </si>
  <si>
    <t>effortless-entity-framework|DeliveredCommunications.ContentMatchesApproval</t>
  </si>
  <si>
    <t>effortless-entity-framework|ProcessMiningRuns.Name</t>
  </si>
  <si>
    <t>effortless-golang|EvaluationContexts.Name</t>
  </si>
  <si>
    <t>effortless-golang|RoleAssignments.Name</t>
  </si>
  <si>
    <t>effortless-golang|RoleAssignments.QualityVerdictIsUnsupported</t>
  </si>
  <si>
    <t>effortless-golang|RoleAssignments.IsUnmeasuredAutomationHandover</t>
  </si>
  <si>
    <t>effortless-golang|ProcedureVersions.DaysSinceModified</t>
  </si>
  <si>
    <t>effortless-golang|ProcedureVersions.WasModifiedSinceLastReview</t>
  </si>
  <si>
    <t>effortless-golang|ProcedureVersions.HasUnwitnessedChange</t>
  </si>
  <si>
    <t>effortless-golang|Requirements.IsUntestedWitness</t>
  </si>
  <si>
    <t>effortless-golang|ElicitationSessions.Name</t>
  </si>
  <si>
    <t>effortless-golang|ElicitationSessions.DaysSinceElicited</t>
  </si>
  <si>
    <t>effortless-golang|KnowledgeFragments.DaysSinceActualReview</t>
  </si>
  <si>
    <t>effortless-golang|KnowledgeFragments.EvidenceAgeDays</t>
  </si>
  <si>
    <t>effortless-golang|KnowledgeFragments.AgeDays</t>
  </si>
  <si>
    <t>effortless-golang|KnowledgeFragments.DaysAwaitingMyApproval</t>
  </si>
  <si>
    <t>effortless-golang|KnowledgeGaps.DaysOpen</t>
  </si>
  <si>
    <t>effortless-golang|IssueOccurrences.Name</t>
  </si>
  <si>
    <t>effortless-golang|ChangeRequests.DaysPending</t>
  </si>
  <si>
    <t>effortless-golang|ChangeRequests.DecisionLatencyDays</t>
  </si>
  <si>
    <t>effortless-golang|ReviewEvents.DaysSinceReviewed</t>
  </si>
  <si>
    <t>effortless-golang|ReviewEvents.CadenceDriftDays</t>
  </si>
  <si>
    <t>effortless-golang|LearningActivities.Name</t>
  </si>
  <si>
    <t>effortless-golang|ObservedTransitions.Name</t>
  </si>
  <si>
    <t>effortless-golang|MessageDeliveries.Name</t>
  </si>
  <si>
    <t>effortless-golang|MessageDeliveries.AgeDays</t>
  </si>
  <si>
    <t>effortless-golang|MessageDeliveries.SegmentCount</t>
  </si>
  <si>
    <t>effortless-golang|MessageDeliveries.OutstandingAgeDays</t>
  </si>
  <si>
    <t>effortless-golang|MessageDeliveries.OptOutPhrasePosition</t>
  </si>
  <si>
    <t>effortless-golang|TemplateApprovals.Name</t>
  </si>
  <si>
    <t>effortless-golang|SendIntents.DeferralAgeHours</t>
  </si>
  <si>
    <t>effortless-golang|DeliveredCommunications.ContentMatchesApproval</t>
  </si>
  <si>
    <t>effortless-golang|ProcessMiningRuns.Name</t>
  </si>
  <si>
    <t>effortless-owl|RulebookReleases.Name</t>
  </si>
  <si>
    <t>effortless-owl|RoleAssignments.QualityVerdictIsUnsupported</t>
  </si>
  <si>
    <t>effortless-owl|RoleAssignments.IsUnmeasuredAutomationHandover</t>
  </si>
  <si>
    <t>effortless-owl|ProcedureVersions.DaysSinceModified</t>
  </si>
  <si>
    <t>effortless-owl|ProcedureVersions.IncomingSupersessionCount</t>
  </si>
  <si>
    <t>effortless-owl|ProcedureVersions.IsStillReferenced</t>
  </si>
  <si>
    <t>effortless-owl|ProcedureVersions.IsLoadBearingOrphan</t>
  </si>
  <si>
    <t>effortless-owl|ProcedureVersions.IsCleanlyRetired</t>
  </si>
  <si>
    <t>effortless-owl|ProcedureVersions.DaysSinceLastReview</t>
  </si>
  <si>
    <t>effortless-owl|ProcedureVersions.WasModifiedSinceLastReview</t>
  </si>
  <si>
    <t>effortless-owl|ProcedureVersions.HasUnwitnessedChange</t>
  </si>
  <si>
    <t>effortless-owl|ProcedureVersionLinks.SupersededVersionKey</t>
  </si>
  <si>
    <t>effortless-owl|Steps.StaleBindingCount</t>
  </si>
  <si>
    <t>effortless-owl|Steps.AuthoritativeStaleCount</t>
  </si>
  <si>
    <t>effortless-owl|Steps.StaleAuthoritativeBindingCount</t>
  </si>
  <si>
    <t>effortless-owl|Steps.InputsAreFresh</t>
  </si>
  <si>
    <t>effortless-owl|StepTransitions.CountOfFromStepExecutions</t>
  </si>
  <si>
    <t>effortless-owl|StepTransitions.CountOfToStepExecutions</t>
  </si>
  <si>
    <t>effortless-owl|StepTransitions.HasReachableOrigin</t>
  </si>
  <si>
    <t>effortless-owl|StepTransitions.HasReachableTarget</t>
  </si>
  <si>
    <t>effortless-owl|StepTransitions.IsNeverExercised</t>
  </si>
  <si>
    <t>effortless-owl|StepTransitions.IsUntestedRecoveryPath</t>
  </si>
  <si>
    <t>effortless-owl|Requirements.IsUntestedWitness</t>
  </si>
  <si>
    <t>effortless-owl|Requirements.ControlAssuranceState</t>
  </si>
  <si>
    <t>effortless-owl|ElicitationSessions.DaysSinceElicited</t>
  </si>
  <si>
    <t>effortless-owl|KnowledgeFragments.DaysSinceActualReview</t>
  </si>
  <si>
    <t>effortless-owl|KnowledgeFragments.EvidenceExpiryDays</t>
  </si>
  <si>
    <t>effortless-owl|KnowledgeFragments.FragilitySignalCount</t>
  </si>
  <si>
    <t>effortless-owl|KnowledgeFragments.EvidenceAgeDays</t>
  </si>
  <si>
    <t>effortless-owl|KnowledgeFragments.AgeDays</t>
  </si>
  <si>
    <t>effortless-owl|KnowledgeFragments.IsInvokedByAnException</t>
  </si>
  <si>
    <t>effortless-owl|KnowledgeFragments.HasOperationalReliance</t>
  </si>
  <si>
    <t>effortless-owl|KnowledgeFragments.RelianceSurfaceCount</t>
  </si>
  <si>
    <t>effortless-owl|KnowledgeFragments.IsUnapprovedAndOperationallyLive</t>
  </si>
  <si>
    <t>effortless-owl|KnowledgeFragments.DaysAwaitingMyApproval</t>
  </si>
  <si>
    <t>effortless-owl|KnowledgeGaps.DaysOpen</t>
  </si>
  <si>
    <t>effortless-owl|ProcedureExecutions.LateStepCount</t>
  </si>
  <si>
    <t>effortless-owl|ProcedureExecutions.UncleanStepCount</t>
  </si>
  <si>
    <t>effortless-owl|ProcedureExecutions.VacuouslyCleanStepCount</t>
  </si>
  <si>
    <t>effortless-owl|ProcedureExecutions.UngovernedDivergenceCount</t>
  </si>
  <si>
    <t>effortless-owl|StepExecutions.ActualDurationMinutes</t>
  </si>
  <si>
    <t>effortless-owl|StepExecutions.IsClean</t>
  </si>
  <si>
    <t>effortless-owl|StepExecutions.IsSubstantivelyClean</t>
  </si>
  <si>
    <t>effortless-owl|StepExecutions.IsLate</t>
  </si>
  <si>
    <t>effortless-owl|StepExecutions.StaleAuthoritativeSourceCount</t>
  </si>
  <si>
    <t>effortless-owl|StepExecutions.RanOnStaleAuthoritativeSource</t>
  </si>
  <si>
    <t>effortless-owl|StepExecutions.LateExecutionKey</t>
  </si>
  <si>
    <t>effortless-owl|StepExecutions.InputsWereFreshAtRun</t>
  </si>
  <si>
    <t>effortless-owl|StepExecutions.RanOnStaleInputs</t>
  </si>
  <si>
    <t>effortless-owl|StepExecutions.StalenessAnswerIsTenseDependent</t>
  </si>
  <si>
    <t>effortless-owl|StepExecutions.IsLateAndUnexplained</t>
  </si>
  <si>
    <t>effortless-owl|StepExecutions.ProcedureExecutionWhenUnclean</t>
  </si>
  <si>
    <t>effortless-owl|StepExecutions.IsVacuouslyClean</t>
  </si>
  <si>
    <t>effortless-owl|StepExecutions.VacuouslyCleanExecutionKey</t>
  </si>
  <si>
    <t>effortless-owl|StepExecutions.IsUngovernedDivergence</t>
  </si>
  <si>
    <t>effortless-owl|StepExecutions.UngovernedDivergenceExecutionKey</t>
  </si>
  <si>
    <t>effortless-owl|ChangeRequests.DaysPending</t>
  </si>
  <si>
    <t>effortless-owl|ChangeRequests.DecisionLatencyDays</t>
  </si>
  <si>
    <t>effortless-owl|ReviewEvents.DaysSinceReviewed</t>
  </si>
  <si>
    <t>effortless-owl|ReviewEvents.CadenceDriftDays</t>
  </si>
  <si>
    <t>effortless-owl|OperationalBindings.AgeMinutes</t>
  </si>
  <si>
    <t>effortless-owl|OperationalBindings.StaleBindingStepKey</t>
  </si>
  <si>
    <t>effortless-owl|OperationalBindings.AuthoritativeStaleStepKey</t>
  </si>
  <si>
    <t>effortless-owl|OperationalBindings.IsStaleAndAuthoritative</t>
  </si>
  <si>
    <t>effortless-owl|OperationalBindings.StepWhenStale</t>
  </si>
  <si>
    <t>effortless-owl|OperationalBindings.IsFresh</t>
  </si>
  <si>
    <t>effortless-owl|MessageDeliveries.AgeDays</t>
  </si>
  <si>
    <t>effortless-owl|MessageDeliveries.OutstandingAgeDays</t>
  </si>
  <si>
    <t>effortless-owl|MessageDeliveries.HasOptOutPhrase</t>
  </si>
  <si>
    <t>effortless-owl|MessageDeliveries.IsOptOutInFirstSegment</t>
  </si>
  <si>
    <t>effortless-owl|MessageDeliveries.IsMissingRequiredOptOut</t>
  </si>
  <si>
    <t>effortless-owl|SendIntents.DeferralAgeHours</t>
  </si>
  <si>
    <t>effortless-owl|SendIntents.IsSelfWitnessedDecision</t>
  </si>
  <si>
    <t>effortless-owl|SendIntents.IsUnreportedRefusalOnMyRules</t>
  </si>
  <si>
    <t>effortless-owl|SendIntents.WindowHasSinceReopened</t>
  </si>
  <si>
    <t>effortless-owl|SendIntents.IsAbandonedDeferral</t>
  </si>
  <si>
    <t>effortless-owl|SendIntents.IsApprovalOverriddenSilently</t>
  </si>
  <si>
    <t>effortless-owl|AgentDecisionRecords.ReviewLatencyMinutes</t>
  </si>
  <si>
    <t>effortless-owl|DeliveredCommunications.Name</t>
  </si>
  <si>
    <t>effortless-owl|DeliveredCommunications.ContentMatchesApproval</t>
  </si>
  <si>
    <t>effortless-owl|AppRoleProfiles.RouteCount</t>
  </si>
  <si>
    <t>effortless-owl|AccessDenialTests.Name</t>
  </si>
  <si>
    <t>effortless-python|EvaluationContexts.Name</t>
  </si>
  <si>
    <t>effortless-python|RoleAssignments.Name</t>
  </si>
  <si>
    <t>effortless-python|RoleAssignments.QualityVerdictIsUnsupported</t>
  </si>
  <si>
    <t>effortless-python|RoleAssignments.IsUnmeasuredAutomationHandover</t>
  </si>
  <si>
    <t>effortless-python|ProcedureVersions.DaysSinceModified</t>
  </si>
  <si>
    <t>effortless-python|ProcedureVersions.WasModifiedSinceLastReview</t>
  </si>
  <si>
    <t>effortless-python|ProcedureVersions.HasUnwitnessedChange</t>
  </si>
  <si>
    <t>effortless-python|Requirements.IsUntestedWitness</t>
  </si>
  <si>
    <t>effortless-python|ElicitationSessions.Name</t>
  </si>
  <si>
    <t>effortless-python|ElicitationSessions.DaysSinceElicited</t>
  </si>
  <si>
    <t>effortless-python|KnowledgeFragments.DaysSinceActualReview</t>
  </si>
  <si>
    <t>effortless-python|KnowledgeFragments.EvidenceAgeDays</t>
  </si>
  <si>
    <t>effortless-python|KnowledgeFragments.AgeDays</t>
  </si>
  <si>
    <t>effortless-python|KnowledgeFragments.DaysAwaitingMyApproval</t>
  </si>
  <si>
    <t>effortless-python|KnowledgeGaps.DaysOpen</t>
  </si>
  <si>
    <t>effortless-python|IssueOccurrences.Name</t>
  </si>
  <si>
    <t>effortless-python|ChangeRequests.DaysPending</t>
  </si>
  <si>
    <t>effortless-python|ChangeRequests.DecisionLatencyDays</t>
  </si>
  <si>
    <t>effortless-python|ReviewEvents.DaysSinceReviewed</t>
  </si>
  <si>
    <t>effortless-python|ReviewEvents.CadenceDriftDays</t>
  </si>
  <si>
    <t>effortless-python|LearningActivities.Name</t>
  </si>
  <si>
    <t>effortless-python|ObservedTransitions.Name</t>
  </si>
  <si>
    <t>effortless-python|MessageDeliveries.Name</t>
  </si>
  <si>
    <t>effortless-python|MessageDeliveries.AgeDays</t>
  </si>
  <si>
    <t>effortless-python|MessageDeliveries.SegmentCount</t>
  </si>
  <si>
    <t>effortless-python|MessageDeliveries.OutstandingAgeDays</t>
  </si>
  <si>
    <t>effortless-python|MessageDeliveries.OptOutPhrasePosition</t>
  </si>
  <si>
    <t>effortless-python|TemplateApprovals.Name</t>
  </si>
  <si>
    <t>effortless-python|SendIntents.DeferralAgeHours</t>
  </si>
  <si>
    <t>effortless-python|DeliveredCommunications.ContentMatchesApproval</t>
  </si>
  <si>
    <t>effortless-python|ProcessMiningRuns.Name</t>
  </si>
  <si>
    <t>effortless-typescript|EvaluationContexts.Name</t>
  </si>
  <si>
    <t>effortless-typescript|RoleAssignments.Name</t>
  </si>
  <si>
    <t>effortless-typescript|RoleAssignments.QualityVerdictIsUnsupported</t>
  </si>
  <si>
    <t>effortless-typescript|RoleAssignments.IsUnmeasuredAutomationHandover</t>
  </si>
  <si>
    <t>effortless-typescript|ProcedureVersions.DaysSinceModified</t>
  </si>
  <si>
    <t>effortless-typescript|ProcedureVersions.WasModifiedSinceLastReview</t>
  </si>
  <si>
    <t>effortless-typescript|ProcedureVersions.HasUnwitnessedChange</t>
  </si>
  <si>
    <t>effortless-typescript|Requirements.IsUntestedWitness</t>
  </si>
  <si>
    <t>effortless-typescript|ElicitationSessions.Name</t>
  </si>
  <si>
    <t>effortless-typescript|ElicitationSessions.DaysSinceElicited</t>
  </si>
  <si>
    <t>effortless-typescript|KnowledgeFragments.DaysSinceActualReview</t>
  </si>
  <si>
    <t>effortless-typescript|KnowledgeFragments.EvidenceAgeDays</t>
  </si>
  <si>
    <t>effortless-typescript|KnowledgeFragments.AgeDays</t>
  </si>
  <si>
    <t>effortless-typescript|KnowledgeFragments.DaysAwaitingMyApproval</t>
  </si>
  <si>
    <t>effortless-typescript|KnowledgeGaps.DaysOpen</t>
  </si>
  <si>
    <t>effortless-typescript|IssueOccurrences.Name</t>
  </si>
  <si>
    <t>effortless-typescript|ChangeRequests.DaysPending</t>
  </si>
  <si>
    <t>effortless-typescript|ChangeRequests.DecisionLatencyDays</t>
  </si>
  <si>
    <t>effortless-typescript|ReviewEvents.DaysSinceReviewed</t>
  </si>
  <si>
    <t>effortless-typescript|ReviewEvents.CadenceDriftDays</t>
  </si>
  <si>
    <t>effortless-typescript|LearningActivities.Name</t>
  </si>
  <si>
    <t>effortless-typescript|ObservedTransitions.Name</t>
  </si>
  <si>
    <t>effortless-typescript|MessageDeliveries.Name</t>
  </si>
  <si>
    <t>effortless-typescript|MessageDeliveries.AgeDays</t>
  </si>
  <si>
    <t>effortless-typescript|MessageDeliveries.SegmentCount</t>
  </si>
  <si>
    <t>effortless-typescript|MessageDeliveries.OutstandingAgeDays</t>
  </si>
  <si>
    <t>effortless-typescript|MessageDeliveries.OptOutPhrasePosition</t>
  </si>
  <si>
    <t>effortless-typescript|TemplateApprovals.Name</t>
  </si>
  <si>
    <t>effortless-typescript|SendIntents.DeferralAgeHours</t>
  </si>
  <si>
    <t>effortless-typescript|DeliveredCommunications.ContentMatchesApproval</t>
  </si>
  <si>
    <t>effortless-typescript|ProcessMiningRuns.Name</t>
  </si>
  <si>
    <t>effortless-postgres|EvaluationContexts.Name|eval-current</t>
  </si>
  <si>
    <t>"Post-close evaluation @ 2026-07-19T13:00:00-05:00"</t>
  </si>
  <si>
    <t>"Post-close evaluation @ 2026-07-19 13:00:00-05"</t>
  </si>
  <si>
    <t>effortless-postgres|RoleAssignments.Name|ra-authority-2026</t>
  </si>
  <si>
    <t>"knowledge-authority @ 2026-01-01T00:00:00-06:00"</t>
  </si>
  <si>
    <t>"knowledge-authority @ 2026-01-01 00:00:00-06"</t>
  </si>
  <si>
    <t>effortless-postgres|RoleAssignments.Name|ra-cfo-2026</t>
  </si>
  <si>
    <t>"cfo @ 2026-01-01T00:00:00-06:00"</t>
  </si>
  <si>
    <t>"cfo @ 2026-01-01 00:00:00-06"</t>
  </si>
  <si>
    <t>effortless-postgres|RoleAssignments.Name|ra-close-pipeline-2026</t>
  </si>
  <si>
    <t>"close-automation @ 2026-01-01T00:00:00-06:00"</t>
  </si>
  <si>
    <t>"close-automation @ 2026-01-01 00:00:00-06"</t>
  </si>
  <si>
    <t>effortless-postgres|RoleAssignments.Name|ra-comms-2026</t>
  </si>
  <si>
    <t>"communications-manager @ 2026-02-01T00:00:00-06:00"</t>
  </si>
  <si>
    <t>"communications-manager @ 2026-02-01 00:00:00-06"</t>
  </si>
  <si>
    <t>effortless-postgres|RoleAssignments.Name|ra-controller-2026</t>
  </si>
  <si>
    <t>"controller @ 2026-01-01T00:00:00-06:00"</t>
  </si>
  <si>
    <t>"controller @ 2026-01-01 00:00:00-06"</t>
  </si>
  <si>
    <t>effortless-postgres|RoleAssignments.Name|ra-counsel-2026</t>
  </si>
  <si>
    <t>"employment-counsel @ 2026-01-15T00:00:00-06:00"</t>
  </si>
  <si>
    <t>"employment-counsel @ 2026-01-15 00:00:00-06"</t>
  </si>
  <si>
    <t>effortless-postgres|RoleAssignments.Name|ra-finance-2026</t>
  </si>
  <si>
    <t>"finance-analyst @ 2026-01-01T00:00:00-06:00"</t>
  </si>
  <si>
    <t>"finance-analyst @ 2026-01-01 00:00:00-06"</t>
  </si>
  <si>
    <t>effortless-postgres|RoleAssignments.Name|ra-new-variance</t>
  </si>
  <si>
    <t>"variance-review-agent @ 2026-04-01T00:00:00-05:00"</t>
  </si>
  <si>
    <t>"variance-review-agent @ 2026-04-01 00:00:00-05"</t>
  </si>
  <si>
    <t>effortless-postgres|RoleAssignments.Name|ra-notify-pipeline-2026</t>
  </si>
  <si>
    <t>"notification-publisher @ 2026-03-01T00:00:00-06:00"</t>
  </si>
  <si>
    <t>"notification-publisher @ 2026-03-01 00:00:00-06"</t>
  </si>
  <si>
    <t>effortless-postgres|RoleAssignments.Name|ra-old-variance</t>
  </si>
  <si>
    <t>"variance-review-agent @ 2025-01-01T00:00:00-06:00"</t>
  </si>
  <si>
    <t>"variance-review-agent @ 2025-01-01 00:00:00-06"</t>
  </si>
  <si>
    <t>effortless-postgres|RoleAssignments.Name|ra-policy-ai-2026</t>
  </si>
  <si>
    <t>"policy-drafting-agent @ 2026-05-01T00:00:00-05:00"</t>
  </si>
  <si>
    <t>"policy-drafting-agent @ 2026-05-01 00:00:00-05"</t>
  </si>
  <si>
    <t>effortless-postgres|RoleAssignments.Name|ra-policy-owner-2026</t>
  </si>
  <si>
    <t>"hr-policy-owner @ 2026-02-01T00:00:00-06:00"</t>
  </si>
  <si>
    <t>"hr-policy-owner @ 2026-02-01 00:00:00-06"</t>
  </si>
  <si>
    <t>effortless-postgres|RoleAssignments.Name|ra-steward-2026</t>
  </si>
  <si>
    <t>"process-steward @ 2026-04-15T09:00:00-05:00"</t>
  </si>
  <si>
    <t>"process-steward @ 2026-04-15 09:00:00-05"</t>
  </si>
  <si>
    <t>effortless-postgres|RoleAssignments.QualityVerdictIsUnsupported|ra-authority-2026</t>
  </si>
  <si>
    <t>true</t>
  </si>
  <si>
    <t>null</t>
  </si>
  <si>
    <t>effortless-postgres|RoleAssignments.QualityVerdictIsUnsupported|ra-cfo-2026</t>
  </si>
  <si>
    <t>effortless-postgres|RoleAssignments.QualityVerdictIsUnsupported|ra-close-pipeline-2026</t>
  </si>
  <si>
    <t>effortless-postgres|RoleAssignments.QualityVerdictIsUnsupported|ra-comms-2026</t>
  </si>
  <si>
    <t>effortless-postgres|RoleAssignments.QualityVerdictIsUnsupported|ra-controller-2026</t>
  </si>
  <si>
    <t>effortless-postgres|RoleAssignments.QualityVerdictIsUnsupported|ra-counsel-2026</t>
  </si>
  <si>
    <t>effortless-postgres|RoleAssignments.QualityVerdictIsUnsupported|ra-finance-2026</t>
  </si>
  <si>
    <t>effortless-postgres|RoleAssignments.QualityVerdictIsUnsupported|ra-new-variance</t>
  </si>
  <si>
    <t>effortless-postgres|RoleAssignments.QualityVerdictIsUnsupported|ra-notify-pipeline-2026</t>
  </si>
  <si>
    <t>effortless-postgres|RoleAssignments.QualityVerdictIsUnsupported|ra-old-variance</t>
  </si>
  <si>
    <t>effortless-postgres|RoleAssignments.QualityVerdictIsUnsupported|ra-policy-ai-2026</t>
  </si>
  <si>
    <t>effortless-postgres|RoleAssignments.QualityVerdictIsUnsupported|ra-policy-owner-2026</t>
  </si>
  <si>
    <t>effortless-postgres|RoleAssignments.QualityVerdictIsUnsupported|ra-steward-2026</t>
  </si>
  <si>
    <t>effortless-postgres|RoleAssignments.IsUnmeasuredAutomationHandover|ra-new-variance</t>
  </si>
  <si>
    <t>effortless-postgres|ProcedureVersions.DaysSinceModified|close-v1.0.0</t>
  </si>
  <si>
    <t>109</t>
  </si>
  <si>
    <t>110</t>
  </si>
  <si>
    <t>effortless-postgres|ProcedureVersions.DaysSinceModified|close-v1.1.0</t>
  </si>
  <si>
    <t>16</t>
  </si>
  <si>
    <t>effortless-postgres|ProcedureVersions.DaysSinceModified|policy-v1.0.0</t>
  </si>
  <si>
    <t>effortless-postgres|ProcedureVersions.WasModifiedSinceLastReview|close-v1.1.0</t>
  </si>
  <si>
    <t>false</t>
  </si>
  <si>
    <t>effortless-postgres|ProcedureVersions.WasModifiedSinceLastReview|policy-v1.0.0</t>
  </si>
  <si>
    <t>effortless-postgres|ProcedureVersions.HasUnwitnessedChange|close-v1.1.0</t>
  </si>
  <si>
    <t>effortless-postgres|ProcedureVersions.HasUnwitnessedChange|policy-v1.0.0</t>
  </si>
  <si>
    <t>effortless-postgres|Requirements.IsUntestedWitness|req-close-balance</t>
  </si>
  <si>
    <t>effortless-postgres|Requirements.IsUntestedWitness|req-close-cutoff</t>
  </si>
  <si>
    <t>effortless-postgres|Requirements.IsUntestedWitness|req-close-separation</t>
  </si>
  <si>
    <t>effortless-postgres|ElicitationSessions.Name|elicit-close-shadow</t>
  </si>
  <si>
    <t>"Shadowing / 2026-04-03T09:00:00-05:00"</t>
  </si>
  <si>
    <t>"Shadowing / 2026-04-03 09:00:00-05"</t>
  </si>
  <si>
    <t>effortless-postgres|ElicitationSessions.Name|elicit-policy-interview</t>
  </si>
  <si>
    <t>"PractitionerInterview / 2026-05-12T13:00:00-05:00"</t>
  </si>
  <si>
    <t>"PractitionerInterview / 2026-05-12 13:00:00-05"</t>
  </si>
  <si>
    <t>effortless-postgres|ElicitationSessions.Name|elicit-policy-workshop</t>
  </si>
  <si>
    <t>"FacilitatedWorkshop / 2026-05-10T10:00:00-05:00"</t>
  </si>
  <si>
    <t>"FacilitatedWorkshop / 2026-05-10 10:00:00-05"</t>
  </si>
  <si>
    <t>effortless-postgres|ElicitationSessions.DaysSinceElicited|elicit-policy-interview</t>
  </si>
  <si>
    <t>67</t>
  </si>
  <si>
    <t>68</t>
  </si>
  <si>
    <t>effortless-postgres|ElicitationSessions.DaysSinceElicited|elicit-policy-workshop</t>
  </si>
  <si>
    <t>69</t>
  </si>
  <si>
    <t>70</t>
  </si>
  <si>
    <t>effortless-postgres|KnowledgeFragments.DaysSinceActualReview|kf-close-fx-time</t>
  </si>
  <si>
    <t>effortless-postgres|KnowledgeFragments.DaysSinceActualReview|kf-close-top-ten</t>
  </si>
  <si>
    <t>effortless-postgres|KnowledgeFragments.DaysSinceActualReview|kf-policy-channel</t>
  </si>
  <si>
    <t>effortless-postgres|KnowledgeFragments.EvidenceAgeDays|kf-policy-ai-boundary</t>
  </si>
  <si>
    <t>effortless-postgres|KnowledgeFragments.EvidenceAgeDays|kf-policy-channel</t>
  </si>
  <si>
    <t>effortless-postgres|KnowledgeFragments.EvidenceAgeDays|kf-policy-manager-route</t>
  </si>
  <si>
    <t>effortless-postgres|KnowledgeFragments.AgeDays|kf-policy-ai-boundary</t>
  </si>
  <si>
    <t>effortless-postgres|KnowledgeFragments.AgeDays|kf-policy-channel</t>
  </si>
  <si>
    <t>effortless-postgres|KnowledgeFragments.AgeDays|kf-policy-manager-route</t>
  </si>
  <si>
    <t>effortless-postgres|KnowledgeFragments.DaysAwaitingMyApproval|kf-policy-manager-route</t>
  </si>
  <si>
    <t>effortless-postgres|KnowledgeGaps.DaysOpen|gap-policy-delivery-receipts</t>
  </si>
  <si>
    <t>effortless-postgres|ProcedureExecutions.ComputedAssuranceRatio|exec-policy-hr4821</t>
  </si>
  <si>
    <t>0.0</t>
  </si>
  <si>
    <t>"0E-20"</t>
  </si>
  <si>
    <t>effortless-postgres|IssueOccurrences.Name|issue-close-feed</t>
  </si>
  <si>
    <t>"err-feed-stale @ 2026-06-30T17:12:00-05:00"</t>
  </si>
  <si>
    <t>"err-feed-stale @ 2026-06-30 17:12:00-05"</t>
  </si>
  <si>
    <t>effortless-postgres|IssueOccurrences.Name|issue-policy-sms</t>
  </si>
  <si>
    <t>"err-sms-throttle @ 2026-07-19T09:30:00-05:00"</t>
  </si>
  <si>
    <t>"err-sms-throttle @ 2026-07-19 09:30:00-05"</t>
  </si>
  <si>
    <t>effortless-postgres|ChangeRequests.DaysPending|cr-close-timestamp</t>
  </si>
  <si>
    <t>effortless-postgres|ChangeRequests.DecisionLatencyDays|cr-close-timestamp</t>
  </si>
  <si>
    <t>effortless-postgres|ReviewEvents.DaysSinceReviewed|review-close-q1</t>
  </si>
  <si>
    <t>120</t>
  </si>
  <si>
    <t>121</t>
  </si>
  <si>
    <t>effortless-postgres|ReviewEvents.DaysSinceReviewed|review-close-q2</t>
  </si>
  <si>
    <t>effortless-postgres|ReviewEvents.DaysSinceReviewed|review-policy-prelaunch</t>
  </si>
  <si>
    <t>effortless-postgres|ReviewEvents.CadenceDriftDays|review-close-q1</t>
  </si>
  <si>
    <t>30.0</t>
  </si>
  <si>
    <t>31</t>
  </si>
  <si>
    <t>effortless-postgres|ReviewEvents.CadenceDriftDays|review-close-q2</t>
  </si>
  <si>
    <t>-74.0</t>
  </si>
  <si>
    <t>-73</t>
  </si>
  <si>
    <t>effortless-postgres|ReviewEvents.CadenceDriftDays|review-policy-prelaunch</t>
  </si>
  <si>
    <t>-60.0</t>
  </si>
  <si>
    <t>-59</t>
  </si>
  <si>
    <t>effortless-postgres|LearningActivities.Name|learn-close-retro</t>
  </si>
  <si>
    <t>"Retrospective / 2026-07-02T15:30:00-05:00"</t>
  </si>
  <si>
    <t>"Retrospective / 2026-07-02 15:30:00-05"</t>
  </si>
  <si>
    <t>effortless-postgres|LearningActivities.Name|learn-policy-tabletop</t>
  </si>
  <si>
    <t>"TabletopExercise / 2026-07-15T13:00:00-05:00"</t>
  </si>
  <si>
    <t>"TabletopExercise / 2026-07-15 13:00:00-05"</t>
  </si>
  <si>
    <t>effortless-postgres|ObservedTransitions.Name|obs-close-01-02-q2</t>
  </si>
  <si>
    <t>"close-01-to-close-02 @ 2026-06-30T17:04:00-05:00"</t>
  </si>
  <si>
    <t>"close-01-to-close-02 @ 2026-06-30 17:04:00-05"</t>
  </si>
  <si>
    <t>effortless-postgres|ObservedTransitions.Name|obs-close-02-03-q2</t>
  </si>
  <si>
    <t>"close-02-to-close-03 @ 2026-06-30T17:18:00-05:00"</t>
  </si>
  <si>
    <t>"close-02-to-close-03 @ 2026-06-30 17:18:00-05"</t>
  </si>
  <si>
    <t>effortless-postgres|ObservedTransitions.Name|obs-close-03-04-q2</t>
  </si>
  <si>
    <t>"close-03-to-close-04 @ 2026-07-01T12:15:00-05:00"</t>
  </si>
  <si>
    <t>"close-03-to-close-04 @ 2026-07-01 12:15:00-05"</t>
  </si>
  <si>
    <t>effortless-postgres|ObservedTransitions.Name|obs-close-04-05-q2</t>
  </si>
  <si>
    <t>"close-04-to-close-05 @ 2026-07-01T15:05:00-05:00"</t>
  </si>
  <si>
    <t>"close-04-to-close-05 @ 2026-07-01 15:05:00-05"</t>
  </si>
  <si>
    <t>effortless-postgres|ObservedTransitions.Name|obs-close-05-06-q2</t>
  </si>
  <si>
    <t>"close-05-to-close-06 @ 2026-07-02T09:00:00-05:00"</t>
  </si>
  <si>
    <t>"close-05-to-close-06 @ 2026-07-02 09:00:00-05"</t>
  </si>
  <si>
    <t>effortless-postgres|ObservedTransitions.Name|obs-close-06-07-q2</t>
  </si>
  <si>
    <t>"close-06-to-close-07 @ 2026-07-02T09:22:00-05:00"</t>
  </si>
  <si>
    <t>"close-06-to-close-07 @ 2026-07-02 09:22:00-05"</t>
  </si>
  <si>
    <t>effortless-postgres|ObservedTransitions.Name|obs-close-07-08-q2</t>
  </si>
  <si>
    <t>"close-07-to-close-08 @ 2026-07-02T14:00:00-05:00"</t>
  </si>
  <si>
    <t>"close-07-to-close-08 @ 2026-07-02 14:00:00-05"</t>
  </si>
  <si>
    <t>effortless-postgres|ObservedTransitions.Name|obs-policy-01-02-hr4821</t>
  </si>
  <si>
    <t>"policy-01-to-policy-02 @ 2026-07-18T09:30:00-05:00"</t>
  </si>
  <si>
    <t>"policy-01-to-policy-02 @ 2026-07-18 09:30:00-05"</t>
  </si>
  <si>
    <t>effortless-postgres|ObservedTransitions.Name|obs-policy-02-03-hr4821</t>
  </si>
  <si>
    <t>"policy-02-to-policy-03 @ 2026-07-18T13:00:00-05:00"</t>
  </si>
  <si>
    <t>"policy-02-to-policy-03 @ 2026-07-18 13:00:00-05"</t>
  </si>
  <si>
    <t>effortless-postgres|ObservedTransitions.Name|obs-policy-03-04-hr4821</t>
  </si>
  <si>
    <t>"policy-03-to-policy-04 @ 2026-07-19T09:00:00-05:00"</t>
  </si>
  <si>
    <t>"policy-03-to-policy-04 @ 2026-07-19 09:00:00-05"</t>
  </si>
  <si>
    <t>effortless-postgres|MessageDeliveries.Name|md-001</t>
  </si>
  <si>
    <t>"rec-001 / tmpl-policy-email / 2026-07-18T14:05:00-05:00"</t>
  </si>
  <si>
    <t>"rec-001 / tmpl-policy-email / 2026-07-18 14:05:00-05"</t>
  </si>
  <si>
    <t>effortless-postgres|MessageDeliveries.Name|md-002</t>
  </si>
  <si>
    <t>"rec-002 / tmpl-policy-email / 2026-07-18T14:05:00-05:00"</t>
  </si>
  <si>
    <t>"rec-002 / tmpl-policy-email / 2026-07-18 14:05:00-05"</t>
  </si>
  <si>
    <t>effortless-postgres|MessageDeliveries.Name|md-003</t>
  </si>
  <si>
    <t>"rec-003 / tmpl-policy-sms / 2026-07-18T14:06:00-05:00"</t>
  </si>
  <si>
    <t>"rec-003 / tmpl-policy-sms / 2026-07-18 14:06:00-05"</t>
  </si>
  <si>
    <t>effortless-postgres|MessageDeliveries.Name|md-004</t>
  </si>
  <si>
    <t>"rec-004 / tmpl-policy-sms / 2026-07-18T14:06:00-05:00"</t>
  </si>
  <si>
    <t>"rec-004 / tmpl-policy-sms / 2026-07-18 14:06:00-05"</t>
  </si>
  <si>
    <t>effortless-postgres|MessageDeliveries.Name|md-005</t>
  </si>
  <si>
    <t>"rec-001 / tmpl-policy-sms / 2026-07-18T21:00:00-05:00"</t>
  </si>
  <si>
    <t>"rec-001 / tmpl-policy-sms / 2026-07-18 21:00:00-05"</t>
  </si>
  <si>
    <t>effortless-postgres|MessageDeliveries.Name|md-006</t>
  </si>
  <si>
    <t>"rec-005 / tmpl-policy-sms / 2026-07-18T14:06:00-05:00"</t>
  </si>
  <si>
    <t>"rec-005 / tmpl-policy-sms / 2026-07-18 14:06:00-05"</t>
  </si>
  <si>
    <t>effortless-postgres|MessageDeliveries.AgeDays|md-001</t>
  </si>
  <si>
    <t>effortless-postgres|MessageDeliveries.AgeDays|md-002</t>
  </si>
  <si>
    <t>effortless-postgres|MessageDeliveries.AgeDays|md-003</t>
  </si>
  <si>
    <t>effortless-postgres|MessageDeliveries.AgeDays|md-004</t>
  </si>
  <si>
    <t>effortless-postgres|MessageDeliveries.AgeDays|md-005</t>
  </si>
  <si>
    <t>effortless-postgres|MessageDeliveries.AgeDays|md-006</t>
  </si>
  <si>
    <t>effortless-postgres|MessageDeliveries.SegmentCount|md-001</t>
  </si>
  <si>
    <t>effortless-postgres|MessageDeliveries.SegmentCount|md-002</t>
  </si>
  <si>
    <t>effortless-postgres|MessageDeliveries.SegmentCount|md-003</t>
  </si>
  <si>
    <t>effortless-postgres|MessageDeliveries.SegmentCount|md-004</t>
  </si>
  <si>
    <t>effortless-postgres|MessageDeliveries.SegmentCount|md-005</t>
  </si>
  <si>
    <t>effortless-postgres|MessageDeliveries.SegmentCount|md-006</t>
  </si>
  <si>
    <t>effortless-postgres|MessageDeliveries.OutstandingAgeDays|md-002</t>
  </si>
  <si>
    <t>effortless-postgres|MessageDeliveries.OutstandingAgeDays|md-003</t>
  </si>
  <si>
    <t>effortless-postgres|MessageDeliveries.OutstandingAgeDays|md-005</t>
  </si>
  <si>
    <t>effortless-postgres|MessageDeliveries.OptOutPhrasePosition|md-003</t>
  </si>
  <si>
    <t>86</t>
  </si>
  <si>
    <t>effortless-postgres|MessageDeliveries.OptOutPhrasePosition|md-004</t>
  </si>
  <si>
    <t>effortless-postgres|MessageDeliveries.OptOutPhrasePosition|md-006</t>
  </si>
  <si>
    <t>effortless-postgres|TemplateApprovals.Name|tap-email-001</t>
  </si>
  <si>
    <t>"tmpl-policy-email / Approved / 2026-07-17T11:00:00-05:00"</t>
  </si>
  <si>
    <t>"tmpl-policy-email / Approved / 2026-07-17 11:00:00-05"</t>
  </si>
  <si>
    <t>effortless-postgres|TemplateApprovals.Name|tap-sms-001</t>
  </si>
  <si>
    <t>"tmpl-policy-sms / Approved / 2026-07-19T10:00:00-05:00"</t>
  </si>
  <si>
    <t>"tmpl-policy-sms / Approved / 2026-07-19 10:00:00-05"</t>
  </si>
  <si>
    <t>effortless-postgres|SendIntents.DeferralAgeHours|si-001</t>
  </si>
  <si>
    <t>22</t>
  </si>
  <si>
    <t>23</t>
  </si>
  <si>
    <t>effortless-postgres|SendIntents.DeferralAgeHours|si-002</t>
  </si>
  <si>
    <t>effortless-postgres|SendIntents.DeferralAgeHours|si-003</t>
  </si>
  <si>
    <t>effortless-postgres|SendIntents.DeferralAgeHours|si-004</t>
  </si>
  <si>
    <t>effortless-postgres|SendIntents.DeferralAgeHours|si-005</t>
  </si>
  <si>
    <t>effortless-postgres|SendIntents.DeferralAgeHours|si-006</t>
  </si>
  <si>
    <t>effortless-postgres|SendIntents.DeferralAgeHours|si-007</t>
  </si>
  <si>
    <t>effortless-postgres|DeliveredCommunications.ContentMatchesApproval|dc-hr4821-email-001</t>
  </si>
  <si>
    <t>effortless-postgres|ProcessMiningRuns.Name|pmr-close-v10-archived</t>
  </si>
  <si>
    <t>"ERP General Ledger Audit Log / 2026-01-01T09:00:00-05:00"</t>
  </si>
  <si>
    <t>"ERP General Ledger Audit Log / 2026-01-01 08:00:00-06"</t>
  </si>
  <si>
    <t>effortless-postgres|ProcessMiningRuns.Name|pmr-close-v11-cutoff-bypass</t>
  </si>
  <si>
    <t>"ERP General Ledger Audit Log / 2026-07-17T09:00:00-05:00"</t>
  </si>
  <si>
    <t>"ERP General Ledger Audit Log / 2026-07-17 09:00:00-05"</t>
  </si>
  <si>
    <t>effortless-postgres|ProcessMiningRuns.Name|pmr-close-v11-q3</t>
  </si>
  <si>
    <t>"ERP General Ledger Audit Log / 2026-07-15T09:00:00-05:00"</t>
  </si>
  <si>
    <t>"ERP General Ledger Audit Log / 2026-07-15 09:00:00-05"</t>
  </si>
  <si>
    <t>effortless-postgres|ProcessMiningRuns.Name|pmr-policy-v1-notify</t>
  </si>
  <si>
    <t>"Notification Pipeline Delivery Log / 2026-01-10T09:00:00-05:00"</t>
  </si>
  <si>
    <t>"Notification Pipeline Delivery Log / 2026-01-10 08:00:00-06"</t>
  </si>
  <si>
    <t>effortless-xlsx|EvaluationContexts.Name|eval-current</t>
  </si>
  <si>
    <t>"Post-close evaluation @ 2026-07-19 18:00:00+00"</t>
  </si>
  <si>
    <t>effortless-xlsx|Roles.CurrentAssignmentValidFrom|cfo</t>
  </si>
  <si>
    <t>"2026-01-01T00:00:00-06:00"</t>
  </si>
  <si>
    <t>"2026-01-01 06:00:00"</t>
  </si>
  <si>
    <t>effortless-xlsx|Roles.CurrentAssignmentValidFrom|close-automation</t>
  </si>
  <si>
    <t>effortless-xlsx|Roles.CurrentAssignmentValidFrom|communications-manager</t>
  </si>
  <si>
    <t>"2026-02-01T00:00:00-06:00"</t>
  </si>
  <si>
    <t>"2026-02-01 06:00:00"</t>
  </si>
  <si>
    <t>effortless-xlsx|Roles.CurrentAssignmentValidFrom|controller</t>
  </si>
  <si>
    <t>effortless-xlsx|Roles.CurrentAssignmentValidFrom|employment-counsel</t>
  </si>
  <si>
    <t>"2026-01-15T00:00:00-06:00"</t>
  </si>
  <si>
    <t>"2026-01-15 06:00:00"</t>
  </si>
  <si>
    <t>effortless-xlsx|Roles.CurrentAssignmentValidFrom|finance-analyst</t>
  </si>
  <si>
    <t>effortless-xlsx|Roles.CurrentAssignmentValidFrom|hr-policy-owner</t>
  </si>
  <si>
    <t>effortless-xlsx|Roles.CurrentAssignmentValidFrom|knowledge-authority</t>
  </si>
  <si>
    <t>effortless-xlsx|Roles.CurrentAssignmentValidFrom|notification-publisher</t>
  </si>
  <si>
    <t>"2026-03-01T00:00:00-06:00"</t>
  </si>
  <si>
    <t>"2026-03-01 06:00:00"</t>
  </si>
  <si>
    <t>effortless-xlsx|Roles.CurrentAssignmentValidFrom|policy-drafting-agent</t>
  </si>
  <si>
    <t>"2026-05-01T00:00:00-05:00"</t>
  </si>
  <si>
    <t>"2026-05-01 05:00:00"</t>
  </si>
  <si>
    <t>effortless-xlsx|Roles.CurrentAssignmentValidFrom|process-steward</t>
  </si>
  <si>
    <t>"2026-04-15T09:00:00-05:00"</t>
  </si>
  <si>
    <t>"2026-04-15 14:00:00"</t>
  </si>
  <si>
    <t>effortless-xlsx|Roles.CurrentAssignmentValidFrom|variance-review-agent</t>
  </si>
  <si>
    <t>"2026-04-01T00:00:00-05:00"</t>
  </si>
  <si>
    <t>"2026-04-01 05:00:00"</t>
  </si>
  <si>
    <t>effortless-xlsx|RoleAssignments.Name|ra-authority-2026</t>
  </si>
  <si>
    <t>"knowledge-authority @ 2026-01-01 06:00:00+00"</t>
  </si>
  <si>
    <t>effortless-xlsx|RoleAssignments.Name|ra-cfo-2026</t>
  </si>
  <si>
    <t>"cfo @ 2026-01-01 06:00:00+00"</t>
  </si>
  <si>
    <t>effortless-xlsx|RoleAssignments.Name|ra-close-pipeline-2026</t>
  </si>
  <si>
    <t>"close-automation @ 2026-01-01 06:00:00+00"</t>
  </si>
  <si>
    <t>effortless-xlsx|RoleAssignments.Name|ra-comms-2026</t>
  </si>
  <si>
    <t>"communications-manager @ 2026-02-01 06:00:00+00"</t>
  </si>
  <si>
    <t>effortless-xlsx|RoleAssignments.Name|ra-controller-2026</t>
  </si>
  <si>
    <t>"controller @ 2026-01-01 06:00:00+00"</t>
  </si>
  <si>
    <t>effortless-xlsx|RoleAssignments.Name|ra-counsel-2026</t>
  </si>
  <si>
    <t>"employment-counsel @ 2026-01-15 06:00:00+00"</t>
  </si>
  <si>
    <t>effortless-xlsx|RoleAssignments.Name|ra-finance-2026</t>
  </si>
  <si>
    <t>"finance-analyst @ 2026-01-01 06:00:00+00"</t>
  </si>
  <si>
    <t>effortless-xlsx|RoleAssignments.Name|ra-new-variance</t>
  </si>
  <si>
    <t>"variance-review-agent @ 2026-04-01 05:00:00+00"</t>
  </si>
  <si>
    <t>effortless-xlsx|RoleAssignments.Name|ra-notify-pipeline-2026</t>
  </si>
  <si>
    <t>"notification-publisher @ 2026-03-01 06:00:00+00"</t>
  </si>
  <si>
    <t>effortless-xlsx|RoleAssignments.Name|ra-old-variance</t>
  </si>
  <si>
    <t>"variance-review-agent @ 2025-01-01 06:00:00+00"</t>
  </si>
  <si>
    <t>effortless-xlsx|RoleAssignments.Name|ra-policy-ai-2026</t>
  </si>
  <si>
    <t>"policy-drafting-agent @ 2026-05-01 05:00:00+00"</t>
  </si>
  <si>
    <t>effortless-xlsx|RoleAssignments.Name|ra-policy-owner-2026</t>
  </si>
  <si>
    <t>"hr-policy-owner @ 2026-02-01 06:00:00+00"</t>
  </si>
  <si>
    <t>effortless-xlsx|RoleAssignments.Name|ra-steward-2026</t>
  </si>
  <si>
    <t>"process-steward @ 2026-04-15 14:00:00+00"</t>
  </si>
  <si>
    <t>effortless-xlsx|RoleAssignments.AsOfInstant|ra-authority-2026</t>
  </si>
  <si>
    <t>"2026-07-19T13:00:00-05:00"</t>
  </si>
  <si>
    <t>"2026-07-19 18:00:00"</t>
  </si>
  <si>
    <t>effortless-xlsx|RoleAssignments.AsOfInstant|ra-cfo-2026</t>
  </si>
  <si>
    <t>effortless-xlsx|RoleAssignments.AsOfInstant|ra-close-pipeline-2026</t>
  </si>
  <si>
    <t>effortless-xlsx|RoleAssignments.AsOfInstant|ra-comms-2026</t>
  </si>
  <si>
    <t>effortless-xlsx|RoleAssignments.AsOfInstant|ra-controller-2026</t>
  </si>
  <si>
    <t>effortless-xlsx|RoleAssignments.AsOfInstant|ra-counsel-2026</t>
  </si>
  <si>
    <t>effortless-xlsx|RoleAssignments.AsOfInstant|ra-finance-2026</t>
  </si>
  <si>
    <t>effortless-xlsx|RoleAssignments.AsOfInstant|ra-new-variance</t>
  </si>
  <si>
    <t>effortless-xlsx|RoleAssignments.AsOfInstant|ra-notify-pipeline-2026</t>
  </si>
  <si>
    <t>effortless-xlsx|RoleAssignments.AsOfInstant|ra-old-variance</t>
  </si>
  <si>
    <t>effortless-xlsx|RoleAssignments.AsOfInstant|ra-policy-ai-2026</t>
  </si>
  <si>
    <t>effortless-xlsx|RoleAssignments.AsOfInstant|ra-policy-owner-2026</t>
  </si>
  <si>
    <t>effortless-xlsx|RoleAssignments.AsOfInstant|ra-steward-2026</t>
  </si>
  <si>
    <t>effortless-xlsx|RoleAssignments.HasSufficientSample|ra-authority-2026</t>
  </si>
  <si>
    <t>effortless-xlsx|RoleAssignments.HasSufficientSample|ra-cfo-2026</t>
  </si>
  <si>
    <t>effortless-xlsx|RoleAssignments.HasSufficientSample|ra-close-pipeline-2026</t>
  </si>
  <si>
    <t>effortless-xlsx|RoleAssignments.HasSufficientSample|ra-comms-2026</t>
  </si>
  <si>
    <t>effortless-xlsx|RoleAssignments.HasSufficientSample|ra-controller-2026</t>
  </si>
  <si>
    <t>effortless-xlsx|RoleAssignments.HasSufficientSample|ra-counsel-2026</t>
  </si>
  <si>
    <t>effortless-xlsx|RoleAssignments.HasSufficientSample|ra-finance-2026</t>
  </si>
  <si>
    <t>effortless-xlsx|RoleAssignments.HasSufficientSample|ra-new-variance</t>
  </si>
  <si>
    <t>effortless-xlsx|RoleAssignments.HasSufficientSample|ra-notify-pipeline-2026</t>
  </si>
  <si>
    <t>effortless-xlsx|RoleAssignments.HasSufficientSample|ra-old-variance</t>
  </si>
  <si>
    <t>effortless-xlsx|RoleAssignments.HasSufficientSample|ra-policy-ai-2026</t>
  </si>
  <si>
    <t>effortless-xlsx|RoleAssignments.HasSufficientSample|ra-policy-owner-2026</t>
  </si>
  <si>
    <t>effortless-xlsx|RoleAssignments.HasSufficientSample|ra-steward-2026</t>
  </si>
  <si>
    <t>effortless-xlsx|RoleAssignments.PredecessorHasSufficientSample|ra-authority-2026</t>
  </si>
  <si>
    <t>effortless-xlsx|RoleAssignments.PredecessorHasSufficientSample|ra-cfo-2026</t>
  </si>
  <si>
    <t>effortless-xlsx|RoleAssignments.PredecessorHasSufficientSample|ra-close-pipeline-2026</t>
  </si>
  <si>
    <t>effortless-xlsx|RoleAssignments.PredecessorHasSufficientSample|ra-comms-2026</t>
  </si>
  <si>
    <t>effortless-xlsx|RoleAssignments.PredecessorHasSufficientSample|ra-controller-2026</t>
  </si>
  <si>
    <t>effortless-xlsx|RoleAssignments.PredecessorHasSufficientSample|ra-counsel-2026</t>
  </si>
  <si>
    <t>effortless-xlsx|RoleAssignments.PredecessorHasSufficientSample|ra-finance-2026</t>
  </si>
  <si>
    <t>effortless-xlsx|RoleAssignments.PredecessorHasSufficientSample|ra-new-variance</t>
  </si>
  <si>
    <t>effortless-xlsx|RoleAssignments.PredecessorHasSufficientSample|ra-notify-pipeline-2026</t>
  </si>
  <si>
    <t>effortless-xlsx|RoleAssignments.PredecessorHasSufficientSample|ra-old-variance</t>
  </si>
  <si>
    <t>effortless-xlsx|RoleAssignments.PredecessorHasSufficientSample|ra-policy-ai-2026</t>
  </si>
  <si>
    <t>effortless-xlsx|RoleAssignments.PredecessorHasSufficientSample|ra-policy-owner-2026</t>
  </si>
  <si>
    <t>effortless-xlsx|RoleAssignments.PredecessorHasSufficientSample|ra-steward-2026</t>
  </si>
  <si>
    <t>effortless-xlsx|RoleAssignments.ComparisonIsEvidentiallySound|ra-authority-2026</t>
  </si>
  <si>
    <t>effortless-xlsx|RoleAssignments.ComparisonIsEvidentiallySound|ra-cfo-2026</t>
  </si>
  <si>
    <t>effortless-xlsx|RoleAssignments.ComparisonIsEvidentiallySound|ra-close-pipeline-2026</t>
  </si>
  <si>
    <t>effortless-xlsx|RoleAssignments.ComparisonIsEvidentiallySound|ra-comms-2026</t>
  </si>
  <si>
    <t>effortless-xlsx|RoleAssignments.ComparisonIsEvidentiallySound|ra-controller-2026</t>
  </si>
  <si>
    <t>effortless-xlsx|RoleAssignments.ComparisonIsEvidentiallySound|ra-counsel-2026</t>
  </si>
  <si>
    <t>effortless-xlsx|RoleAssignments.ComparisonIsEvidentiallySound|ra-finance-2026</t>
  </si>
  <si>
    <t>effortless-xlsx|RoleAssignments.ComparisonIsEvidentiallySound|ra-new-variance</t>
  </si>
  <si>
    <t>effortless-xlsx|RoleAssignments.ComparisonIsEvidentiallySound|ra-notify-pipeline-2026</t>
  </si>
  <si>
    <t>effortless-xlsx|RoleAssignments.ComparisonIsEvidentiallySound|ra-old-variance</t>
  </si>
  <si>
    <t>effortless-xlsx|RoleAssignments.ComparisonIsEvidentiallySound|ra-policy-ai-2026</t>
  </si>
  <si>
    <t>effortless-xlsx|RoleAssignments.ComparisonIsEvidentiallySound|ra-policy-owner-2026</t>
  </si>
  <si>
    <t>effortless-xlsx|RoleAssignments.ComparisonIsEvidentiallySound|ra-steward-2026</t>
  </si>
  <si>
    <t>effortless-xlsx|RoleAssignments.QualityVerdictIsUnsupported|ra-authority-2026</t>
  </si>
  <si>
    <t>effortless-xlsx|RoleAssignments.QualityVerdictIsUnsupported|ra-cfo-2026</t>
  </si>
  <si>
    <t>effortless-xlsx|RoleAssignments.QualityVerdictIsUnsupported|ra-close-pipeline-2026</t>
  </si>
  <si>
    <t>effortless-xlsx|RoleAssignments.QualityVerdictIsUnsupported|ra-comms-2026</t>
  </si>
  <si>
    <t>effortless-xlsx|RoleAssignments.QualityVerdictIsUnsupported|ra-controller-2026</t>
  </si>
  <si>
    <t>effortless-xlsx|RoleAssignments.QualityVerdictIsUnsupported|ra-counsel-2026</t>
  </si>
  <si>
    <t>effortless-xlsx|RoleAssignments.QualityVerdictIsUnsupported|ra-finance-2026</t>
  </si>
  <si>
    <t>effortless-xlsx|RoleAssignments.QualityVerdictIsUnsupported|ra-new-variance</t>
  </si>
  <si>
    <t>effortless-xlsx|RoleAssignments.QualityVerdictIsUnsupported|ra-notify-pipeline-2026</t>
  </si>
  <si>
    <t>effortless-xlsx|RoleAssignments.QualityVerdictIsUnsupported|ra-old-variance</t>
  </si>
  <si>
    <t>effortless-xlsx|RoleAssignments.QualityVerdictIsUnsupported|ra-policy-ai-2026</t>
  </si>
  <si>
    <t>effortless-xlsx|RoleAssignments.QualityVerdictIsUnsupported|ra-policy-owner-2026</t>
  </si>
  <si>
    <t>effortless-xlsx|RoleAssignments.QualityVerdictIsUnsupported|ra-steward-2026</t>
  </si>
  <si>
    <t>effortless-xlsx|RoleAssignments.IsUnauthorizedEnforcementAgent|ra-close-pipeline-2026</t>
  </si>
  <si>
    <t>effortless-xlsx|RoleAssignments.IsUnauthorizedEnforcementAgent|ra-notify-pipeline-2026</t>
  </si>
  <si>
    <t>effortless-xlsx|RoleAssignments.IsUnauthorizedEnforcementAgent|ra-policy-ai-2026</t>
  </si>
  <si>
    <t>effortless-xlsx|RoleAssignments.PredecessorAgentKind|ra-new-variance</t>
  </si>
  <si>
    <t>"Human"</t>
  </si>
  <si>
    <t>effortless-xlsx|RoleAssignments.IsHumanToNonHumanHandover|ra-new-variance</t>
  </si>
  <si>
    <t>effortless-xlsx|RoleAssignments.IsUnmeasuredAutomationHandover|ra-new-variance</t>
  </si>
  <si>
    <t>effortless-xlsx|ProcedureVersions.AsOfInstant|close-v1.0.0</t>
  </si>
  <si>
    <t>effortless-xlsx|ProcedureVersions.AsOfInstant|close-v1.1.0</t>
  </si>
  <si>
    <t>effortless-xlsx|ProcedureVersions.AsOfInstant|policy-v1.0.0</t>
  </si>
  <si>
    <t>effortless-xlsx|ProcedureVersions.DaysSinceModified|close-v1.0.0</t>
  </si>
  <si>
    <t>effortless-xlsx|ProcedureVersions.DaysSinceModified|close-v1.1.0</t>
  </si>
  <si>
    <t>effortless-xlsx|ProcedureVersions.DaysSinceModified|policy-v1.0.0</t>
  </si>
  <si>
    <t>effortless-xlsx|ProcedureVersions.DaysSinceLastReview|close-v1.0.0</t>
  </si>
  <si>
    <t>46222</t>
  </si>
  <si>
    <t>effortless-xlsx|ProcedureVersions.WasModifiedSinceLastReview|close-v1.0.0</t>
  </si>
  <si>
    <t>effortless-xlsx|ProcedureVersions.WasModifiedSinceLastReview|close-v1.1.0</t>
  </si>
  <si>
    <t>effortless-xlsx|ProcedureVersions.WasModifiedSinceLastReview|policy-v1.0.0</t>
  </si>
  <si>
    <t>effortless-xlsx|ProcedureVersions.HasUnwitnessedChange|close-v1.1.0</t>
  </si>
  <si>
    <t>effortless-xlsx|ProcedureVersions.HasUnwitnessedChange|policy-v1.0.0</t>
  </si>
  <si>
    <t>effortless-xlsx|Steps.StaleBindingCount|close-02</t>
  </si>
  <si>
    <t>effortless-xlsx|Steps.StaleBindingCount|policy-01</t>
  </si>
  <si>
    <t>effortless-xlsx|Steps.StaleBindingCount|policy-07</t>
  </si>
  <si>
    <t>effortless-xlsx|Steps.AuthoritativeStaleCount|close-02</t>
  </si>
  <si>
    <t>effortless-xlsx|Steps.AuthoritativeStaleCount|policy-01</t>
  </si>
  <si>
    <t>effortless-xlsx|Steps.AuthoritativeStaleCount|policy-07</t>
  </si>
  <si>
    <t>effortless-xlsx|Steps.StaleAuthoritativeBindingCount|close-02</t>
  </si>
  <si>
    <t>effortless-xlsx|Steps.StaleAuthoritativeBindingCount|policy-01</t>
  </si>
  <si>
    <t>effortless-xlsx|Steps.StaleAuthoritativeBindingCount|policy-07</t>
  </si>
  <si>
    <t>effortless-xlsx|Steps.InputsAreFresh|close-02</t>
  </si>
  <si>
    <t>effortless-xlsx|Steps.InputsAreFresh|policy-01</t>
  </si>
  <si>
    <t>effortless-xlsx|Steps.InputsAreFresh|policy-07</t>
  </si>
  <si>
    <t>effortless-xlsx|Steps.UnusableBindingCount|close-02</t>
  </si>
  <si>
    <t>effortless-xlsx|Steps.UnusableBindingCount|policy-01</t>
  </si>
  <si>
    <t>effortless-xlsx|Steps.UnusableBindingCount|policy-07</t>
  </si>
  <si>
    <t>effortless-xlsx|Steps.AllSourcesUsable|close-02</t>
  </si>
  <si>
    <t>effortless-xlsx|Steps.AllSourcesUsable|policy-01</t>
  </si>
  <si>
    <t>effortless-xlsx|Steps.AllSourcesUsable|policy-07</t>
  </si>
  <si>
    <t>effortless-xlsx|Steps.UnwarrantedBoundaryCount|close-06</t>
  </si>
  <si>
    <t>effortless-xlsx|Steps.IsGovernedByUnwarrantedBoundary|close-06</t>
  </si>
  <si>
    <t>effortless-xlsx|Requirements.NamedWitnessFieldExists|req-close-balance</t>
  </si>
  <si>
    <t>effortless-xlsx|Requirements.NamedWitnessFieldExists|req-close-cutoff</t>
  </si>
  <si>
    <t>effortless-xlsx|Requirements.HasMeaningfulSample|req-close-balance</t>
  </si>
  <si>
    <t>effortless-xlsx|Requirements.HasMeaningfulSample|req-close-cutoff</t>
  </si>
  <si>
    <t>effortless-xlsx|Requirements.HasMeaningfulSample|req-close-evidence</t>
  </si>
  <si>
    <t>effortless-xlsx|Requirements.HasMeaningfulSample|req-close-human-approval</t>
  </si>
  <si>
    <t>effortless-xlsx|Requirements.HasMeaningfulSample|req-close-separation</t>
  </si>
  <si>
    <t>effortless-xlsx|Requirements.HasMeaningfulSample|req-policy-accessibility</t>
  </si>
  <si>
    <t>effortless-xlsx|Requirements.HasMeaningfulSample|req-policy-consent</t>
  </si>
  <si>
    <t>effortless-xlsx|Requirements.HasMeaningfulSample|req-policy-human-approval</t>
  </si>
  <si>
    <t>effortless-xlsx|Requirements.HasMeaningfulSample|req-policy-legal</t>
  </si>
  <si>
    <t>effortless-xlsx|Requirements.HasMeaningfulSample|req-policy-optout</t>
  </si>
  <si>
    <t>effortless-xlsx|Requirements.HasMeaningfulSample|req-policy-quiet-hours</t>
  </si>
  <si>
    <t>effortless-xlsx|Requirements.HasMeaningfulSample|req-policy-retention</t>
  </si>
  <si>
    <t>effortless-xlsx|Requirements.HasMeaningfulSample|req-policy-source</t>
  </si>
  <si>
    <t>effortless-xlsx|Requirements.IsUntestedWitness|req-close-balance</t>
  </si>
  <si>
    <t>effortless-xlsx|Requirements.IsUntestedWitness|req-close-cutoff</t>
  </si>
  <si>
    <t>effortless-xlsx|Requirements.IsUntestedWitness|req-close-separation</t>
  </si>
  <si>
    <t>effortless-xlsx|Requirements.IsEvidencedHoldingControl|req-close-balance</t>
  </si>
  <si>
    <t>effortless-xlsx|Requirements.IsEvidencedHoldingControl|req-close-cutoff</t>
  </si>
  <si>
    <t>effortless-xlsx|Requirements.IsEvidencedHoldingControl|req-close-separation</t>
  </si>
  <si>
    <t>effortless-xlsx|Requirements.ControlAssuranceState|req-close-balance</t>
  </si>
  <si>
    <t>"Untested"</t>
  </si>
  <si>
    <t>"Holding"</t>
  </si>
  <si>
    <t>effortless-xlsx|Requirements.ControlAssuranceState|req-close-cutoff</t>
  </si>
  <si>
    <t>effortless-xlsx|Requirements.ControlAssuranceState|req-close-separation</t>
  </si>
  <si>
    <t>effortless-xlsx|ElicitationSessions.Name|elicit-close-shadow</t>
  </si>
  <si>
    <t>"Shadowing / 2026-04-03 14:00:00+00"</t>
  </si>
  <si>
    <t>effortless-xlsx|ElicitationSessions.Name|elicit-policy-interview</t>
  </si>
  <si>
    <t>"PractitionerInterview / 2026-05-12 18:00:00+00"</t>
  </si>
  <si>
    <t>effortless-xlsx|ElicitationSessions.Name|elicit-policy-workshop</t>
  </si>
  <si>
    <t>"FacilitatedWorkshop / 2026-05-10 15:00:00+00"</t>
  </si>
  <si>
    <t>effortless-xlsx|ElicitationSessions.AsOfInstant|elicit-close-shadow</t>
  </si>
  <si>
    <t>effortless-xlsx|ElicitationSessions.AsOfInstant|elicit-policy-interview</t>
  </si>
  <si>
    <t>effortless-xlsx|ElicitationSessions.AsOfInstant|elicit-policy-workshop</t>
  </si>
  <si>
    <t>effortless-xlsx|ElicitationSessions.DaysSinceElicited|elicit-policy-interview</t>
  </si>
  <si>
    <t>effortless-xlsx|ElicitationSessions.DaysSinceElicited|elicit-policy-workshop</t>
  </si>
  <si>
    <t>effortless-xlsx|KnowledgeFragments.AsOfInstant|kf-close-fx-time</t>
  </si>
  <si>
    <t>effortless-xlsx|KnowledgeFragments.AsOfInstant|kf-close-judgment</t>
  </si>
  <si>
    <t>effortless-xlsx|KnowledgeFragments.AsOfInstant|kf-close-retention</t>
  </si>
  <si>
    <t>effortless-xlsx|KnowledgeFragments.AsOfInstant|kf-close-top-ten</t>
  </si>
  <si>
    <t>effortless-xlsx|KnowledgeFragments.AsOfInstant|kf-policy-ai-boundary</t>
  </si>
  <si>
    <t>effortless-xlsx|KnowledgeFragments.AsOfInstant|kf-policy-channel</t>
  </si>
  <si>
    <t>effortless-xlsx|KnowledgeFragments.AsOfInstant|kf-policy-manager-route</t>
  </si>
  <si>
    <t>effortless-xlsx|KnowledgeFragments.OwnerRoleAssignmentValidFrom|kf-close-fx-time</t>
  </si>
  <si>
    <t>effortless-xlsx|KnowledgeFragments.OwnerRoleAssignmentValidFrom|kf-close-judgment</t>
  </si>
  <si>
    <t>effortless-xlsx|KnowledgeFragments.OwnerRoleAssignmentValidFrom|kf-close-retention</t>
  </si>
  <si>
    <t>effortless-xlsx|KnowledgeFragments.OwnerRoleAssignmentValidFrom|kf-close-top-ten</t>
  </si>
  <si>
    <t>effortless-xlsx|KnowledgeFragments.OwnerRoleAssignmentValidFrom|kf-policy-ai-boundary</t>
  </si>
  <si>
    <t>effortless-xlsx|KnowledgeFragments.OwnerRoleAssignmentValidFrom|kf-policy-channel</t>
  </si>
  <si>
    <t>effortless-xlsx|KnowledgeFragments.OwnerRoleAssignmentValidFrom|kf-policy-manager-route</t>
  </si>
  <si>
    <t>effortless-xlsx|KnowledgeFragments.DaysSinceActualReview|kf-close-fx-time</t>
  </si>
  <si>
    <t>effortless-xlsx|KnowledgeFragments.DaysSinceActualReview|kf-close-top-ten</t>
  </si>
  <si>
    <t>effortless-xlsx|KnowledgeFragments.DaysSinceActualReview|kf-policy-channel</t>
  </si>
  <si>
    <t>effortless-xlsx|KnowledgeFragments.EvidenceExpiryDays|kf-close-retention</t>
  </si>
  <si>
    <t>365</t>
  </si>
  <si>
    <t>"#VALUE!"</t>
  </si>
  <si>
    <t>effortless-xlsx|KnowledgeFragments.EvidenceHasExpired|kf-close-retention</t>
  </si>
  <si>
    <t>effortless-xlsx|KnowledgeFragments.FragilitySignalCount|kf-close-retention</t>
  </si>
  <si>
    <t>effortless-xlsx|KnowledgeFragments.IsCompoundFragile|kf-close-retention</t>
  </si>
  <si>
    <t>effortless-xlsx|KnowledgeFragments.CompoundFragileVersionKey|kf-close-retention</t>
  </si>
  <si>
    <t>effortless-xlsx|KnowledgeFragments.EvidenceAgeDays|kf-policy-ai-boundary</t>
  </si>
  <si>
    <t>effortless-xlsx|KnowledgeFragments.EvidenceAgeDays|kf-policy-channel</t>
  </si>
  <si>
    <t>effortless-xlsx|KnowledgeFragments.EvidenceAgeDays|kf-policy-manager-route</t>
  </si>
  <si>
    <t>effortless-xlsx|KnowledgeFragments.AgeDays|kf-policy-ai-boundary</t>
  </si>
  <si>
    <t>effortless-xlsx|KnowledgeFragments.AgeDays|kf-policy-channel</t>
  </si>
  <si>
    <t>effortless-xlsx|KnowledgeFragments.AgeDays|kf-policy-manager-route</t>
  </si>
  <si>
    <t>effortless-xlsx|KnowledgeFragments.DaysAwaitingMyApproval|kf-policy-manager-route</t>
  </si>
  <si>
    <t>effortless-xlsx|KnowledgeGaps.AsOfInstant|gap-close-cadence-unmeasured</t>
  </si>
  <si>
    <t>effortless-xlsx|KnowledgeGaps.AsOfInstant|gap-close-dual-outage</t>
  </si>
  <si>
    <t>effortless-xlsx|KnowledgeGaps.AsOfInstant|gap-close-sod-unwitnessed</t>
  </si>
  <si>
    <t>effortless-xlsx|KnowledgeGaps.AsOfInstant|gap-policy-consent-unenforced</t>
  </si>
  <si>
    <t>effortless-xlsx|KnowledgeGaps.AsOfInstant|gap-policy-delivery-receipts</t>
  </si>
  <si>
    <t>effortless-xlsx|KnowledgeGaps.AsOfInstant|gap-policy-quiet-hours-unenforced</t>
  </si>
  <si>
    <t>effortless-xlsx|KnowledgeGaps.AsOfInstant|gap-policy-unauthorized-sends</t>
  </si>
  <si>
    <t>effortless-xlsx|KnowledgeGaps.AsOfInstant|gap-roles-unauditable-holders</t>
  </si>
  <si>
    <t>effortless-xlsx|KnowledgeGaps.DaysOpen|gap-policy-delivery-receipts</t>
  </si>
  <si>
    <t>effortless-xlsx|FAQs.Name|faq-close-workpapers</t>
  </si>
  <si>
    <t>"Where are close workpapers stored?"</t>
  </si>
  <si>
    <t>effortless-xlsx|FAQs.Name|faq-policy-ai</t>
  </si>
  <si>
    <t>"Can the drafting AI approve a workforce policy?"</t>
  </si>
  <si>
    <t>effortless-xlsx|FAQs.Name|faq-policy-optout</t>
  </si>
  <si>
    <t>"What happens when an employee opts out of SMS?"</t>
  </si>
  <si>
    <t>effortless-xlsx|ProcedureExecutions.LateStepCount|exec-close-2026-q2</t>
  </si>
  <si>
    <t>5</t>
  </si>
  <si>
    <t>effortless-xlsx|ProcedureExecutions.LateStepCount|exec-policy-hr4821</t>
  </si>
  <si>
    <t>2</t>
  </si>
  <si>
    <t>effortless-xlsx|ProcedureExecutions.UncleanStepCount|exec-close-2026-q2</t>
  </si>
  <si>
    <t>effortless-xlsx|ProcedureExecutions.UncleanStepCount|exec-policy-hr4821</t>
  </si>
  <si>
    <t>effortless-xlsx|ProcedureExecutions.RanClean|exec-close-2026-q2</t>
  </si>
  <si>
    <t>effortless-xlsx|ProcedureExecutions.RanClean|exec-policy-hr4821</t>
  </si>
  <si>
    <t>effortless-xlsx|ProcedureExecutions.VacuouslyCleanStepCount|exec-close-2026-q2</t>
  </si>
  <si>
    <t>effortless-xlsx|ProcedureExecutions.VacuouslyCleanStepCount|exec-policy-hr4821</t>
  </si>
  <si>
    <t>effortless-xlsx|ProcedureExecutions.LatestAttestationInstant|exec-close-2026-q2</t>
  </si>
  <si>
    <t>"00:00:00"</t>
  </si>
  <si>
    <t>effortless-xlsx|ProcedureExecutions.LatestAttestationInstant|exec-policy-hr4821</t>
  </si>
  <si>
    <t>effortless-xlsx|ProcedureExecutions.MishandledRefusalCount|exec-policy-hr4821</t>
  </si>
  <si>
    <t>4</t>
  </si>
  <si>
    <t>effortless-xlsx|ProcedureExecutions.UngovernedDivergenceCount|exec-policy-hr4821</t>
  </si>
  <si>
    <t>effortless-xlsx|ProcedureExecutions.DivergenceWasFullyGoverned|exec-policy-hr4821</t>
  </si>
  <si>
    <t>effortless-xlsx|StepExecutions.ActualDurationMinutes|se-close01</t>
  </si>
  <si>
    <t>"#NAME?"</t>
  </si>
  <si>
    <t>effortless-xlsx|StepExecutions.ActualDurationMinutes|se-close02</t>
  </si>
  <si>
    <t>14</t>
  </si>
  <si>
    <t>effortless-xlsx|StepExecutions.ActualDurationMinutes|se-close03</t>
  </si>
  <si>
    <t>1137</t>
  </si>
  <si>
    <t>effortless-xlsx|StepExecutions.ActualDurationMinutes|se-close04</t>
  </si>
  <si>
    <t>170</t>
  </si>
  <si>
    <t>effortless-xlsx|StepExecutions.ActualDurationMinutes|se-close05</t>
  </si>
  <si>
    <t>65</t>
  </si>
  <si>
    <t>effortless-xlsx|StepExecutions.ActualDurationMinutes|se-close06</t>
  </si>
  <si>
    <t>effortless-xlsx|StepExecutions.ActualDurationMinutes|se-close07</t>
  </si>
  <si>
    <t>effortless-xlsx|StepExecutions.ActualDurationMinutes|se-close08</t>
  </si>
  <si>
    <t>165</t>
  </si>
  <si>
    <t>effortless-xlsx|StepExecutions.ActualDurationMinutes|se-policy01</t>
  </si>
  <si>
    <t>24</t>
  </si>
  <si>
    <t>effortless-xlsx|StepExecutions.ActualDurationMinutes|se-policy02</t>
  </si>
  <si>
    <t>195</t>
  </si>
  <si>
    <t>effortless-xlsx|StepExecutions.ActualDurationMinutes|se-policy03</t>
  </si>
  <si>
    <t>62</t>
  </si>
  <si>
    <t>effortless-xlsx|StepExecutions.ActualDurationMinutes|se-policy04</t>
  </si>
  <si>
    <t>285</t>
  </si>
  <si>
    <t>effortless-xlsx|StepExecutions.IsLate|se-close01</t>
  </si>
  <si>
    <t>effortless-xlsx|StepExecutions.IsLate|se-close02</t>
  </si>
  <si>
    <t>effortless-xlsx|StepExecutions.IsLate|se-close03</t>
  </si>
  <si>
    <t>effortless-xlsx|StepExecutions.IsLate|se-close04</t>
  </si>
  <si>
    <t>effortless-xlsx|StepExecutions.IsLate|se-close05</t>
  </si>
  <si>
    <t>effortless-xlsx|StepExecutions.IsLate|se-close06</t>
  </si>
  <si>
    <t>effortless-xlsx|StepExecutions.IsLate|se-close07</t>
  </si>
  <si>
    <t>effortless-xlsx|StepExecutions.IsLate|se-close08</t>
  </si>
  <si>
    <t>effortless-xlsx|StepExecutions.IsLate|se-policy01</t>
  </si>
  <si>
    <t>effortless-xlsx|StepExecutions.IsLate|se-policy02</t>
  </si>
  <si>
    <t>effortless-xlsx|StepExecutions.IsLate|se-policy03</t>
  </si>
  <si>
    <t>effortless-xlsx|StepExecutions.IsLate|se-policy04</t>
  </si>
  <si>
    <t>effortless-xlsx|StepExecutions.IsLateAndUnexplained|se-close01</t>
  </si>
  <si>
    <t>effortless-xlsx|StepExecutions.IsLateAndUnexplained|se-close02</t>
  </si>
  <si>
    <t>effortless-xlsx|StepExecutions.IsLateAndUnexplained|se-close03</t>
  </si>
  <si>
    <t>effortless-xlsx|StepExecutions.IsLateAndUnexplained|se-close04</t>
  </si>
  <si>
    <t>effortless-xlsx|StepExecutions.IsLateAndUnexplained|se-close05</t>
  </si>
  <si>
    <t>effortless-xlsx|StepExecutions.IsLateAndUnexplained|se-close06</t>
  </si>
  <si>
    <t>effortless-xlsx|StepExecutions.IsLateAndUnexplained|se-close07</t>
  </si>
  <si>
    <t>effortless-xlsx|StepExecutions.IsLateAndUnexplained|se-close08</t>
  </si>
  <si>
    <t>effortless-xlsx|StepExecutions.IsLateAndUnexplained|se-policy01</t>
  </si>
  <si>
    <t>effortless-xlsx|StepExecutions.IsLateAndUnexplained|se-policy02</t>
  </si>
  <si>
    <t>effortless-xlsx|StepExecutions.IsLateAndUnexplained|se-policy03</t>
  </si>
  <si>
    <t>effortless-xlsx|StepExecutions.IsLateAndUnexplained|se-policy04</t>
  </si>
  <si>
    <t>effortless-xlsx|StepExecutions.HadUninvokedExceptionAvailable|se-close01</t>
  </si>
  <si>
    <t>effortless-xlsx|StepExecutions.HadUninvokedExceptionAvailable|se-close02</t>
  </si>
  <si>
    <t>effortless-xlsx|StepExecutions.HadUninvokedExceptionAvailable|se-close03</t>
  </si>
  <si>
    <t>effortless-xlsx|StepExecutions.HadUninvokedExceptionAvailable|se-close04</t>
  </si>
  <si>
    <t>effortless-xlsx|StepExecutions.HadUninvokedExceptionAvailable|se-close05</t>
  </si>
  <si>
    <t>effortless-xlsx|StepExecutions.HadUninvokedExceptionAvailable|se-close06</t>
  </si>
  <si>
    <t>effortless-xlsx|StepExecutions.HadUninvokedExceptionAvailable|se-close07</t>
  </si>
  <si>
    <t>effortless-xlsx|StepExecutions.HadUninvokedExceptionAvailable|se-close08</t>
  </si>
  <si>
    <t>effortless-xlsx|StepExecutions.HadUninvokedExceptionAvailable|se-policy01</t>
  </si>
  <si>
    <t>effortless-xlsx|StepExecutions.HadUninvokedExceptionAvailable|se-policy02</t>
  </si>
  <si>
    <t>effortless-xlsx|StepExecutions.HadUninvokedExceptionAvailable|se-policy03</t>
  </si>
  <si>
    <t>effortless-xlsx|StepExecutions.HadUninvokedExceptionAvailable|se-policy04</t>
  </si>
  <si>
    <t>effortless-xlsx|StepExecutions.LateExecutionKey|se-close01</t>
  </si>
  <si>
    <t>effortless-xlsx|StepExecutions.LateExecutionKey|se-close02</t>
  </si>
  <si>
    <t>"exec-close-2026-q2"</t>
  </si>
  <si>
    <t>effortless-xlsx|StepExecutions.LateExecutionKey|se-close03</t>
  </si>
  <si>
    <t>effortless-xlsx|StepExecutions.LateExecutionKey|se-close04</t>
  </si>
  <si>
    <t>effortless-xlsx|StepExecutions.LateExecutionKey|se-close05</t>
  </si>
  <si>
    <t>effortless-xlsx|StepExecutions.LateExecutionKey|se-close06</t>
  </si>
  <si>
    <t>effortless-xlsx|StepExecutions.LateExecutionKey|se-close07</t>
  </si>
  <si>
    <t>effortless-xlsx|StepExecutions.LateExecutionKey|se-close08</t>
  </si>
  <si>
    <t>effortless-xlsx|StepExecutions.LateExecutionKey|se-policy01</t>
  </si>
  <si>
    <t>effortless-xlsx|StepExecutions.LateExecutionKey|se-policy02</t>
  </si>
  <si>
    <t>"exec-policy-hr4821"</t>
  </si>
  <si>
    <t>effortless-xlsx|StepExecutions.LateExecutionKey|se-policy03</t>
  </si>
  <si>
    <t>effortless-xlsx|StepExecutions.LateExecutionKey|se-policy04</t>
  </si>
  <si>
    <t>effortless-xlsx|StepExecutions.IsClean|se-close01</t>
  </si>
  <si>
    <t>effortless-xlsx|StepExecutions.IsClean|se-close02</t>
  </si>
  <si>
    <t>effortless-xlsx|StepExecutions.IsClean|se-close03</t>
  </si>
  <si>
    <t>effortless-xlsx|StepExecutions.IsClean|se-close04</t>
  </si>
  <si>
    <t>effortless-xlsx|StepExecutions.IsClean|se-close05</t>
  </si>
  <si>
    <t>effortless-xlsx|StepExecutions.IsClean|se-close06</t>
  </si>
  <si>
    <t>effortless-xlsx|StepExecutions.IsClean|se-close07</t>
  </si>
  <si>
    <t>effortless-xlsx|StepExecutions.IsClean|se-close08</t>
  </si>
  <si>
    <t>effortless-xlsx|StepExecutions.IsClean|se-policy01</t>
  </si>
  <si>
    <t>effortless-xlsx|StepExecutions.IsClean|se-policy02</t>
  </si>
  <si>
    <t>effortless-xlsx|StepExecutions.IsClean|se-policy03</t>
  </si>
  <si>
    <t>effortless-xlsx|StepExecutions.IsClean|se-policy04</t>
  </si>
  <si>
    <t>effortless-xlsx|StepExecutions.ProcedureExecutionWhenUnclean|se-close01</t>
  </si>
  <si>
    <t>effortless-xlsx|StepExecutions.ProcedureExecutionWhenUnclean|se-close02</t>
  </si>
  <si>
    <t>effortless-xlsx|StepExecutions.ProcedureExecutionWhenUnclean|se-close03</t>
  </si>
  <si>
    <t>effortless-xlsx|StepExecutions.ProcedureExecutionWhenUnclean|se-close04</t>
  </si>
  <si>
    <t>effortless-xlsx|StepExecutions.ProcedureExecutionWhenUnclean|se-close05</t>
  </si>
  <si>
    <t>effortless-xlsx|StepExecutions.ProcedureExecutionWhenUnclean|se-close06</t>
  </si>
  <si>
    <t>effortless-xlsx|StepExecutions.ProcedureExecutionWhenUnclean|se-close07</t>
  </si>
  <si>
    <t>effortless-xlsx|StepExecutions.ProcedureExecutionWhenUnclean|se-close08</t>
  </si>
  <si>
    <t>effortless-xlsx|StepExecutions.ProcedureExecutionWhenUnclean|se-policy01</t>
  </si>
  <si>
    <t>effortless-xlsx|StepExecutions.ProcedureExecutionWhenUnclean|se-policy02</t>
  </si>
  <si>
    <t>effortless-xlsx|StepExecutions.ProcedureExecutionWhenUnclean|se-policy03</t>
  </si>
  <si>
    <t>effortless-xlsx|StepExecutions.ProcedureExecutionWhenUnclean|se-policy04</t>
  </si>
  <si>
    <t>effortless-xlsx|StepExecutions.IsVacuouslyClean|se-close01</t>
  </si>
  <si>
    <t>effortless-xlsx|StepExecutions.IsVacuouslyClean|se-close02</t>
  </si>
  <si>
    <t>effortless-xlsx|StepExecutions.IsVacuouslyClean|se-close03</t>
  </si>
  <si>
    <t>effortless-xlsx|StepExecutions.IsVacuouslyClean|se-close04</t>
  </si>
  <si>
    <t>effortless-xlsx|StepExecutions.IsVacuouslyClean|se-close05</t>
  </si>
  <si>
    <t>effortless-xlsx|StepExecutions.IsVacuouslyClean|se-close06</t>
  </si>
  <si>
    <t>effortless-xlsx|StepExecutions.IsVacuouslyClean|se-close07</t>
  </si>
  <si>
    <t>effortless-xlsx|StepExecutions.IsVacuouslyClean|se-close08</t>
  </si>
  <si>
    <t>effortless-xlsx|StepExecutions.IsVacuouslyClean|se-policy01</t>
  </si>
  <si>
    <t>effortless-xlsx|StepExecutions.IsVacuouslyClean|se-policy02</t>
  </si>
  <si>
    <t>effortless-xlsx|StepExecutions.IsVacuouslyClean|se-policy03</t>
  </si>
  <si>
    <t>effortless-xlsx|StepExecutions.IsVacuouslyClean|se-policy04</t>
  </si>
  <si>
    <t>effortless-xlsx|StepExecutions.IsSubstantivelyClean|se-close01</t>
  </si>
  <si>
    <t>effortless-xlsx|StepExecutions.IsSubstantivelyClean|se-close02</t>
  </si>
  <si>
    <t>effortless-xlsx|StepExecutions.IsSubstantivelyClean|se-close03</t>
  </si>
  <si>
    <t>effortless-xlsx|StepExecutions.IsSubstantivelyClean|se-close04</t>
  </si>
  <si>
    <t>effortless-xlsx|StepExecutions.IsSubstantivelyClean|se-close05</t>
  </si>
  <si>
    <t>effortless-xlsx|StepExecutions.IsSubstantivelyClean|se-close06</t>
  </si>
  <si>
    <t>effortless-xlsx|StepExecutions.IsSubstantivelyClean|se-close07</t>
  </si>
  <si>
    <t>effortless-xlsx|StepExecutions.IsSubstantivelyClean|se-close08</t>
  </si>
  <si>
    <t>effortless-xlsx|StepExecutions.IsSubstantivelyClean|se-policy01</t>
  </si>
  <si>
    <t>effortless-xlsx|StepExecutions.IsSubstantivelyClean|se-policy02</t>
  </si>
  <si>
    <t>effortless-xlsx|StepExecutions.IsSubstantivelyClean|se-policy03</t>
  </si>
  <si>
    <t>effortless-xlsx|StepExecutions.IsSubstantivelyClean|se-policy04</t>
  </si>
  <si>
    <t>effortless-xlsx|StepExecutions.VacuouslyCleanExecutionKey|se-close01</t>
  </si>
  <si>
    <t>effortless-xlsx|StepExecutions.VacuouslyCleanExecutionKey|se-close02</t>
  </si>
  <si>
    <t>effortless-xlsx|StepExecutions.VacuouslyCleanExecutionKey|se-close03</t>
  </si>
  <si>
    <t>effortless-xlsx|StepExecutions.VacuouslyCleanExecutionKey|se-close04</t>
  </si>
  <si>
    <t>effortless-xlsx|StepExecutions.VacuouslyCleanExecutionKey|se-close05</t>
  </si>
  <si>
    <t>effortless-xlsx|StepExecutions.VacuouslyCleanExecutionKey|se-close06</t>
  </si>
  <si>
    <t>effortless-xlsx|StepExecutions.VacuouslyCleanExecutionKey|se-close07</t>
  </si>
  <si>
    <t>effortless-xlsx|StepExecutions.VacuouslyCleanExecutionKey|se-close08</t>
  </si>
  <si>
    <t>effortless-xlsx|StepExecutions.VacuouslyCleanExecutionKey|se-policy01</t>
  </si>
  <si>
    <t>effortless-xlsx|StepExecutions.VacuouslyCleanExecutionKey|se-policy02</t>
  </si>
  <si>
    <t>effortless-xlsx|StepExecutions.VacuouslyCleanExecutionKey|se-policy03</t>
  </si>
  <si>
    <t>effortless-xlsx|StepExecutions.VacuouslyCleanExecutionKey|se-policy04</t>
  </si>
  <si>
    <t>effortless-xlsx|StepExecutions.IsUngovernedDivergence|se-close01</t>
  </si>
  <si>
    <t>effortless-xlsx|StepExecutions.IsUngovernedDivergence|se-close02</t>
  </si>
  <si>
    <t>effortless-xlsx|StepExecutions.IsUngovernedDivergence|se-close03</t>
  </si>
  <si>
    <t>effortless-xlsx|StepExecutions.IsUngovernedDivergence|se-close04</t>
  </si>
  <si>
    <t>effortless-xlsx|StepExecutions.IsUngovernedDivergence|se-close05</t>
  </si>
  <si>
    <t>effortless-xlsx|StepExecutions.IsUngovernedDivergence|se-close06</t>
  </si>
  <si>
    <t>effortless-xlsx|StepExecutions.IsUngovernedDivergence|se-close07</t>
  </si>
  <si>
    <t>effortless-xlsx|StepExecutions.IsUngovernedDivergence|se-close08</t>
  </si>
  <si>
    <t>effortless-xlsx|StepExecutions.IsUngovernedDivergence|se-policy01</t>
  </si>
  <si>
    <t>effortless-xlsx|StepExecutions.IsUngovernedDivergence|se-policy02</t>
  </si>
  <si>
    <t>effortless-xlsx|StepExecutions.IsUngovernedDivergence|se-policy03</t>
  </si>
  <si>
    <t>effortless-xlsx|StepExecutions.IsUngovernedDivergence|se-policy04</t>
  </si>
  <si>
    <t>effortless-xlsx|StepExecutions.UngovernedDivergenceExecutionKey|se-close01</t>
  </si>
  <si>
    <t>effortless-xlsx|StepExecutions.UngovernedDivergenceExecutionKey|se-close02</t>
  </si>
  <si>
    <t>effortless-xlsx|StepExecutions.UngovernedDivergenceExecutionKey|se-close03</t>
  </si>
  <si>
    <t>effortless-xlsx|StepExecutions.UngovernedDivergenceExecutionKey|se-close04</t>
  </si>
  <si>
    <t>effortless-xlsx|StepExecutions.UngovernedDivergenceExecutionKey|se-close05</t>
  </si>
  <si>
    <t>effortless-xlsx|StepExecutions.UngovernedDivergenceExecutionKey|se-close06</t>
  </si>
  <si>
    <t>effortless-xlsx|StepExecutions.UngovernedDivergenceExecutionKey|se-close07</t>
  </si>
  <si>
    <t>effortless-xlsx|StepExecutions.UngovernedDivergenceExecutionKey|se-close08</t>
  </si>
  <si>
    <t>effortless-xlsx|StepExecutions.UngovernedDivergenceExecutionKey|se-policy01</t>
  </si>
  <si>
    <t>effortless-xlsx|StepExecutions.UngovernedDivergenceExecutionKey|se-policy02</t>
  </si>
  <si>
    <t>effortless-xlsx|StepExecutions.UngovernedDivergenceExecutionKey|se-policy03</t>
  </si>
  <si>
    <t>effortless-xlsx|StepExecutions.UngovernedDivergenceExecutionKey|se-policy04</t>
  </si>
  <si>
    <t>effortless-xlsx|StepExecutions.StaleAuthoritativeSourceCount|se-close02</t>
  </si>
  <si>
    <t>effortless-xlsx|StepExecutions.StaleAuthoritativeSourceCount|se-policy01</t>
  </si>
  <si>
    <t>effortless-xlsx|StepExecutions.RanOnStaleAuthoritativeSource|se-close02</t>
  </si>
  <si>
    <t>effortless-xlsx|StepExecutions.RanOnStaleAuthoritativeSource|se-policy01</t>
  </si>
  <si>
    <t>effortless-xlsx|StepExecutions.InputsWereFreshAtRun|se-close02</t>
  </si>
  <si>
    <t>effortless-xlsx|StepExecutions.InputsWereFreshAtRun|se-policy01</t>
  </si>
  <si>
    <t>effortless-xlsx|StepExecutions.RanOnStaleInputs|se-close02</t>
  </si>
  <si>
    <t>effortless-xlsx|StepExecutions.RanOnStaleInputs|se-policy01</t>
  </si>
  <si>
    <t>effortless-xlsx|StepExecutions.DraftedFromUnusableSource|se-close02</t>
  </si>
  <si>
    <t>effortless-xlsx|StepExecutions.DraftedFromUnusableSource|se-policy01</t>
  </si>
  <si>
    <t>effortless-xlsx|StepExecutions.InputsWereUsable|se-close02</t>
  </si>
  <si>
    <t>effortless-xlsx|StepExecutions.InputsWereUsable|se-policy01</t>
  </si>
  <si>
    <t>effortless-xlsx|StepExecutions.StalenessAnswerIsTenseDependent|se-close02</t>
  </si>
  <si>
    <t>effortless-xlsx|StepExecutions.StalenessAnswerIsTenseDependent|se-policy01</t>
  </si>
  <si>
    <t>effortless-xlsx|RequirementSatisfactions.WasScoredAfterAttestation|sat-close-balance</t>
  </si>
  <si>
    <t>effortless-xlsx|RequirementSatisfactions.WasScoredAfterAttestation|sat-close-cutoff</t>
  </si>
  <si>
    <t>effortless-xlsx|RequirementSatisfactions.WasScoredAfterAttestation|sat-close-evidence</t>
  </si>
  <si>
    <t>effortless-xlsx|RequirementSatisfactions.WasScoredAfterAttestation|sat-close-human</t>
  </si>
  <si>
    <t>effortless-xlsx|RequirementSatisfactions.WasScoredAfterAttestation|sat-close-separation</t>
  </si>
  <si>
    <t>effortless-xlsx|RequirementSatisfactions.WasScoredAfterAttestation|sat-close08-evidence</t>
  </si>
  <si>
    <t>effortless-xlsx|RequirementSatisfactions.WasScoredAfterAttestation|sat-policy-legal</t>
  </si>
  <si>
    <t>effortless-xlsx|RequirementSatisfactions.WasScoredAfterAttestation|sat-policy-source</t>
  </si>
  <si>
    <t>effortless-xlsx|RequirementSatisfactions.AttestationInstantForRun|sat-close-balance</t>
  </si>
  <si>
    <t>effortless-xlsx|RequirementSatisfactions.AttestationInstantForRun|sat-close-cutoff</t>
  </si>
  <si>
    <t>effortless-xlsx|RequirementSatisfactions.AttestationInstantForRun|sat-close-evidence</t>
  </si>
  <si>
    <t>effortless-xlsx|RequirementSatisfactions.AttestationInstantForRun|sat-close-human</t>
  </si>
  <si>
    <t>effortless-xlsx|RequirementSatisfactions.AttestationInstantForRun|sat-close-separation</t>
  </si>
  <si>
    <t>effortless-xlsx|RequirementSatisfactions.AttestationInstantForRun|sat-close08-evidence</t>
  </si>
  <si>
    <t>effortless-xlsx|RequirementSatisfactions.AttestationInstantForRun|sat-policy-legal</t>
  </si>
  <si>
    <t>effortless-xlsx|RequirementSatisfactions.AttestationInstantForRun|sat-policy-source</t>
  </si>
  <si>
    <t>effortless-xlsx|RequirementSatisfactions.PostAttestationScoreExecutionKey|sat-close-balance</t>
  </si>
  <si>
    <t>effortless-xlsx|RequirementSatisfactions.PostAttestationScoreExecutionKey|sat-close-cutoff</t>
  </si>
  <si>
    <t>effortless-xlsx|RequirementSatisfactions.PostAttestationScoreExecutionKey|sat-close-evidence</t>
  </si>
  <si>
    <t>effortless-xlsx|RequirementSatisfactions.PostAttestationScoreExecutionKey|sat-close-human</t>
  </si>
  <si>
    <t>effortless-xlsx|RequirementSatisfactions.PostAttestationScoreExecutionKey|sat-close-separation</t>
  </si>
  <si>
    <t>effortless-xlsx|RequirementSatisfactions.PostAttestationScoreExecutionKey|sat-close08-evidence</t>
  </si>
  <si>
    <t>effortless-xlsx|RequirementSatisfactions.PostAttestationScoreExecutionKey|sat-policy-legal</t>
  </si>
  <si>
    <t>effortless-xlsx|RequirementSatisfactions.PostAttestationScoreExecutionKey|sat-policy-source</t>
  </si>
  <si>
    <t>effortless-xlsx|IssueOccurrences.Name|issue-close-feed</t>
  </si>
  <si>
    <t>"err-feed-stale @ 2026-06-30 22:12:00+00"</t>
  </si>
  <si>
    <t>effortless-xlsx|IssueOccurrences.Name|issue-policy-sms</t>
  </si>
  <si>
    <t>"err-sms-throttle @ 2026-07-19 14:30:00+00"</t>
  </si>
  <si>
    <t>effortless-xlsx|StewardshipAssignments.AsOfInstant|stew-close</t>
  </si>
  <si>
    <t>effortless-xlsx|StewardshipAssignments.AsOfInstant|stew-policy</t>
  </si>
  <si>
    <t>effortless-xlsx|ChangeRequests.AsOfInstant|cr-close-timestamp</t>
  </si>
  <si>
    <t>effortless-xlsx|ChangeRequests.AsOfInstant|cr-policy-delivery</t>
  </si>
  <si>
    <t>effortless-xlsx|ChangeRequests.DaysPending|cr-close-timestamp</t>
  </si>
  <si>
    <t>effortless-xlsx|ChangeRequests.DecisionLatencyDays|cr-close-timestamp</t>
  </si>
  <si>
    <t>effortless-xlsx|ReviewEvents.AsOfInstant|review-close-q1</t>
  </si>
  <si>
    <t>effortless-xlsx|ReviewEvents.AsOfInstant|review-close-q2</t>
  </si>
  <si>
    <t>effortless-xlsx|ReviewEvents.AsOfInstant|review-policy-prelaunch</t>
  </si>
  <si>
    <t>effortless-xlsx|ReviewEvents.DaysSinceReviewed|review-close-q1</t>
  </si>
  <si>
    <t>effortless-xlsx|ReviewEvents.DaysSinceReviewed|review-close-q2</t>
  </si>
  <si>
    <t>effortless-xlsx|ReviewEvents.DaysSinceReviewed|review-policy-prelaunch</t>
  </si>
  <si>
    <t>effortless-xlsx|ReviewEvents.CadenceDriftDays|review-close-q1</t>
  </si>
  <si>
    <t>effortless-xlsx|ReviewEvents.CadenceDriftDays|review-close-q2</t>
  </si>
  <si>
    <t>effortless-xlsx|ReviewEvents.CadenceDriftDays|review-policy-prelaunch</t>
  </si>
  <si>
    <t>effortless-xlsx|LearningActivities.Name|learn-close-retro</t>
  </si>
  <si>
    <t>"Retrospective / 2026-07-02 20:30:00+00"</t>
  </si>
  <si>
    <t>effortless-xlsx|LearningActivities.Name|learn-policy-tabletop</t>
  </si>
  <si>
    <t>"TabletopExercise / 2026-07-15 18:00:00+00"</t>
  </si>
  <si>
    <t>effortless-xlsx|OperationalBindings.AsOfInstant|bind-close-erp</t>
  </si>
  <si>
    <t>effortless-xlsx|OperationalBindings.AsOfInstant|bind-policy-consent</t>
  </si>
  <si>
    <t>effortless-xlsx|OperationalBindings.AsOfInstant|bind-policy-email</t>
  </si>
  <si>
    <t>effortless-xlsx|OperationalBindings.AsOfInstant|bind-policy-sms</t>
  </si>
  <si>
    <t>effortless-xlsx|OperationalBindings.AsOfInstant|bind-policy-ticket</t>
  </si>
  <si>
    <t>effortless-xlsx|OperationalBindings.AgeMinutes|bind-close-erp</t>
  </si>
  <si>
    <t>effortless-xlsx|OperationalBindings.AgeMinutes|bind-policy-consent</t>
  </si>
  <si>
    <t>75</t>
  </si>
  <si>
    <t>effortless-xlsx|OperationalBindings.AgeMinutes|bind-policy-email</t>
  </si>
  <si>
    <t>1230</t>
  </si>
  <si>
    <t>effortless-xlsx|OperationalBindings.AgeMinutes|bind-policy-sms</t>
  </si>
  <si>
    <t>effortless-xlsx|OperationalBindings.AgeMinutes|bind-policy-ticket</t>
  </si>
  <si>
    <t>effortless-xlsx|OperationalBindings.IsFresh|bind-close-erp</t>
  </si>
  <si>
    <t>effortless-xlsx|OperationalBindings.IsFresh|bind-policy-consent</t>
  </si>
  <si>
    <t>effortless-xlsx|OperationalBindings.IsFresh|bind-policy-email</t>
  </si>
  <si>
    <t>effortless-xlsx|OperationalBindings.IsFresh|bind-policy-sms</t>
  </si>
  <si>
    <t>effortless-xlsx|OperationalBindings.IsFresh|bind-policy-ticket</t>
  </si>
  <si>
    <t>effortless-xlsx|OperationalBindings.StaleBindingStepKey|bind-close-erp</t>
  </si>
  <si>
    <t>"close-02"</t>
  </si>
  <si>
    <t>effortless-xlsx|OperationalBindings.StaleBindingStepKey|bind-policy-consent</t>
  </si>
  <si>
    <t>"policy-07"</t>
  </si>
  <si>
    <t>effortless-xlsx|OperationalBindings.StaleBindingStepKey|bind-policy-email</t>
  </si>
  <si>
    <t>effortless-xlsx|OperationalBindings.StaleBindingStepKey|bind-policy-sms</t>
  </si>
  <si>
    <t>effortless-xlsx|OperationalBindings.StaleBindingStepKey|bind-policy-ticket</t>
  </si>
  <si>
    <t>"policy-01"</t>
  </si>
  <si>
    <t>effortless-xlsx|OperationalBindings.AuthoritativeStaleStepKey|bind-close-erp</t>
  </si>
  <si>
    <t>effortless-xlsx|OperationalBindings.AuthoritativeStaleStepKey|bind-policy-consent</t>
  </si>
  <si>
    <t>effortless-xlsx|OperationalBindings.AuthoritativeStaleStepKey|bind-policy-email</t>
  </si>
  <si>
    <t>effortless-xlsx|OperationalBindings.AuthoritativeStaleStepKey|bind-policy-sms</t>
  </si>
  <si>
    <t>effortless-xlsx|OperationalBindings.AuthoritativeStaleStepKey|bind-policy-ticket</t>
  </si>
  <si>
    <t>effortless-xlsx|OperationalBindings.IsStaleAndAuthoritative|bind-close-erp</t>
  </si>
  <si>
    <t>effortless-xlsx|OperationalBindings.IsStaleAndAuthoritative|bind-policy-consent</t>
  </si>
  <si>
    <t>effortless-xlsx|OperationalBindings.IsStaleAndAuthoritative|bind-policy-email</t>
  </si>
  <si>
    <t>effortless-xlsx|OperationalBindings.IsStaleAndAuthoritative|bind-policy-sms</t>
  </si>
  <si>
    <t>effortless-xlsx|OperationalBindings.IsStaleAndAuthoritative|bind-policy-ticket</t>
  </si>
  <si>
    <t>effortless-xlsx|OperationalBindings.StepWhenStale|bind-close-erp</t>
  </si>
  <si>
    <t>effortless-xlsx|OperationalBindings.StepWhenStale|bind-policy-consent</t>
  </si>
  <si>
    <t>effortless-xlsx|OperationalBindings.StepWhenStale|bind-policy-email</t>
  </si>
  <si>
    <t>effortless-xlsx|OperationalBindings.StepWhenStale|bind-policy-sms</t>
  </si>
  <si>
    <t>effortless-xlsx|OperationalBindings.StepWhenStale|bind-policy-ticket</t>
  </si>
  <si>
    <t>effortless-xlsx|OperationalBindings.IsUsableForDrafting|bind-close-erp</t>
  </si>
  <si>
    <t>effortless-xlsx|OperationalBindings.IsUsableForDrafting|bind-policy-consent</t>
  </si>
  <si>
    <t>effortless-xlsx|OperationalBindings.IsUsableForDrafting|bind-policy-email</t>
  </si>
  <si>
    <t>effortless-xlsx|OperationalBindings.IsUsableForDrafting|bind-policy-sms</t>
  </si>
  <si>
    <t>effortless-xlsx|OperationalBindings.IsUsableForDrafting|bind-policy-ticket</t>
  </si>
  <si>
    <t>effortless-xlsx|OperationalBindings.StepWhenUnusable|bind-close-erp</t>
  </si>
  <si>
    <t>effortless-xlsx|OperationalBindings.StepWhenUnusable|bind-policy-consent</t>
  </si>
  <si>
    <t>effortless-xlsx|OperationalBindings.StepWhenUnusable|bind-policy-email</t>
  </si>
  <si>
    <t>effortless-xlsx|OperationalBindings.StepWhenUnusable|bind-policy-sms</t>
  </si>
  <si>
    <t>effortless-xlsx|OperationalBindings.StepWhenUnusable|bind-policy-ticket</t>
  </si>
  <si>
    <t>effortless-xlsx|MessageTemplates.LastApprovalAt|tmpl-policy-email</t>
  </si>
  <si>
    <t>"2026-07-17T11:00:00-05:00"</t>
  </si>
  <si>
    <t>"2026-07-17 16:00:00"</t>
  </si>
  <si>
    <t>effortless-xlsx|MessageTemplates.LastApprovalAt|tmpl-policy-sms</t>
  </si>
  <si>
    <t>"2026-07-19T10:00:00-05:00"</t>
  </si>
  <si>
    <t>"2026-07-19 15:00:00"</t>
  </si>
  <si>
    <t>effortless-xlsx|RoleQuestions.PredicateCount|q-auditor-substrate-agreement</t>
  </si>
  <si>
    <t>47</t>
  </si>
  <si>
    <t>effortless-xlsx|RoleQuestions.PredicateCount|q-authority-controlled-vocabulary</t>
  </si>
  <si>
    <t>effortless-xlsx|RoleQuestions.PredicateCount|q-authority-knowledge-broker</t>
  </si>
  <si>
    <t>20</t>
  </si>
  <si>
    <t>effortless-xlsx|RoleQuestions.PredicateCount|q-cfo-approval-was-actually-verified</t>
  </si>
  <si>
    <t>7</t>
  </si>
  <si>
    <t>effortless-xlsx|RoleQuestions.PredicateCount|q-cfo-who-actually-held-authority</t>
  </si>
  <si>
    <t>8</t>
  </si>
  <si>
    <t>effortless-xlsx|RoleQuestions.PredicateCount|q-close-auto-human-override-drift</t>
  </si>
  <si>
    <t>effortless-xlsx|RoleQuestions.PredicateCount|q-comms-approval-authority</t>
  </si>
  <si>
    <t>10</t>
  </si>
  <si>
    <t>effortless-xlsx|RoleQuestions.PredicateCount|q-comms-deliverability</t>
  </si>
  <si>
    <t>effortless-xlsx|RoleQuestions.PredicateCount|q-comms-optout-present</t>
  </si>
  <si>
    <t>effortless-xlsx|RoleQuestions.PredicateCount|q-comms-oversized-sms</t>
  </si>
  <si>
    <t>9</t>
  </si>
  <si>
    <t>effortless-xlsx|RoleQuestions.PredicateCount|q-comms-template-drift</t>
  </si>
  <si>
    <t>effortless-xlsx|RoleQuestions.PredicateCount|q-counsel-legal-review-gated-send</t>
  </si>
  <si>
    <t>effortless-xlsx|RoleQuestions.PredicateCount|q-counsel-quiet-hours-breach</t>
  </si>
  <si>
    <t>effortless-xlsx|RoleQuestions.PredicateCount|q-counsel-retention-evidence</t>
  </si>
  <si>
    <t>effortless-xlsx|RoleQuestions.PredicateCount|q-counsel-sms-without-consent</t>
  </si>
  <si>
    <t>effortless-xlsx|RoleQuestions.PredicateCount|q-counsel-unreachable-not-acknowledged</t>
  </si>
  <si>
    <t>effortless-xlsx|RoleQuestions.PredicateCount|q-policy-ai-commitment-boundary</t>
  </si>
  <si>
    <t>effortless-xlsx|RoleQuestions.PredicateCount|q-policy-ai-downstream-rewrite</t>
  </si>
  <si>
    <t>effortless-xlsx|RoleQuestions.PredicateCount|q-policy-ai-source-approval</t>
  </si>
  <si>
    <t>effortless-xlsx|RoleQuestions.PredicateCount|q-publisher-am-i-authorized-to-act</t>
  </si>
  <si>
    <t>effortless-xlsx|RoleQuestions.IsAnswered|q-auditor-substrate-agreement</t>
  </si>
  <si>
    <t>effortless-xlsx|RoleQuestions.IsAnswered|q-comms-approval-authority</t>
  </si>
  <si>
    <t>effortless-xlsx|RoleQuestions.IsAnswered|q-comms-optout-present</t>
  </si>
  <si>
    <t>effortless-xlsx|RoleQuestions.IsAnswered|q-comms-oversized-sms</t>
  </si>
  <si>
    <t>effortless-xlsx|RoleQuestions.IsAnswered|q-comms-template-drift</t>
  </si>
  <si>
    <t>effortless-xlsx|RoleQuestions.IsAnswered|q-counsel-quiet-hours-breach</t>
  </si>
  <si>
    <t>effortless-xlsx|RoleQuestions.IsAnswered|q-counsel-sms-without-consent</t>
  </si>
  <si>
    <t>effortless-xlsx|RoleQuestions.IsAnswered|q-publisher-am-i-authorized-to-act</t>
  </si>
  <si>
    <t>effortless-xlsx|RoleQuestions.IsAnswered|q-publisher-is-this-content-permitted</t>
  </si>
  <si>
    <t>effortless-xlsx|RoleQuestions.IsAnswered|q-publisher-may-i-transmit</t>
  </si>
  <si>
    <t>effortless-xlsx|RoleQuestions.IsAnswered|q-publisher-may-i-transmit-now</t>
  </si>
  <si>
    <t>effortless-xlsx|RoleQuestions.IsAnswered|q2-cfo-would-it-survive-restatement</t>
  </si>
  <si>
    <t>effortless-xlsx|RoleQuestions.IsAnswered|q2-comms-freeze-what-i-approved</t>
  </si>
  <si>
    <t>effortless-xlsx|RoleQuestions.IsAnswered|q2-comms-message-nobody-answered</t>
  </si>
  <si>
    <t>effortless-xlsx|RoleQuestions.IsAnswered|q2-comms-my-approval-was-consumed-correctly</t>
  </si>
  <si>
    <t>effortless-xlsx|RoleQuestions.IsAnswered|q2-comms-suppression-is-a-communication</t>
  </si>
  <si>
    <t>effortless-xlsx|RoleQuestions.IsAnswered|q2-publisher-deferred-not-cancelled</t>
  </si>
  <si>
    <t>effortless-xlsx|RoleQuestions.IsAnswered|q2-publisher-obligation-after-send</t>
  </si>
  <si>
    <t>effortless-xlsx|TestSuites.TestCount|suite-integrity</t>
  </si>
  <si>
    <t>160</t>
  </si>
  <si>
    <t>effortless-xlsx|TestSuites.TestCount|suite-invariant</t>
  </si>
  <si>
    <t>effortless-xlsx|TestSuites.TestCount|suite-provenance</t>
  </si>
  <si>
    <t>107</t>
  </si>
  <si>
    <t>effortless-xlsx|TestSuites.TestCount|suite-substrate</t>
  </si>
  <si>
    <t>993</t>
  </si>
  <si>
    <t>929</t>
  </si>
  <si>
    <t>effortless-xlsx|TestSuites.TestCount|suite-witness</t>
  </si>
  <si>
    <t>458</t>
  </si>
  <si>
    <t>effortless-xlsx|TestSuites.PassCount|suite-integrity</t>
  </si>
  <si>
    <t>effortless-xlsx|TestSuites.PassCount|suite-invariant</t>
  </si>
  <si>
    <t>effortless-xlsx|TestSuites.PassCount|suite-provenance</t>
  </si>
  <si>
    <t>effortless-xlsx|TestSuites.PassCount|suite-substrate</t>
  </si>
  <si>
    <t>991</t>
  </si>
  <si>
    <t>effortless-xlsx|TestSuites.PassCount|suite-witness</t>
  </si>
  <si>
    <t>225</t>
  </si>
  <si>
    <t>effortless-xlsx|ObservedTransitions.Name|obs-close-01-02-q2</t>
  </si>
  <si>
    <t>"close-01-to-close-02 @ 2026-06-30 22:04:00+00"</t>
  </si>
  <si>
    <t>effortless-xlsx|ObservedTransitions.Name|obs-close-02-03-q2</t>
  </si>
  <si>
    <t>"close-02-to-close-03 @ 2026-06-30 22:18:00+00"</t>
  </si>
  <si>
    <t>effortless-xlsx|ObservedTransitions.Name|obs-close-03-04-q2</t>
  </si>
  <si>
    <t>"close-03-to-close-04 @ 2026-07-01 17:15:00+00"</t>
  </si>
  <si>
    <t>effortless-xlsx|ObservedTransitions.Name|obs-close-04-05-q2</t>
  </si>
  <si>
    <t>"close-04-to-close-05 @ 2026-07-01 20:05:00+00"</t>
  </si>
  <si>
    <t>effortless-xlsx|ObservedTransitions.Name|obs-close-05-06-q2</t>
  </si>
  <si>
    <t>"close-05-to-close-06 @ 2026-07-02 14:00:00+00"</t>
  </si>
  <si>
    <t>effortless-xlsx|ObservedTransitions.Name|obs-close-06-07-q2</t>
  </si>
  <si>
    <t>"close-06-to-close-07 @ 2026-07-02 14:22:00+00"</t>
  </si>
  <si>
    <t>effortless-xlsx|ObservedTransitions.Name|obs-close-07-08-q2</t>
  </si>
  <si>
    <t>"close-07-to-close-08 @ 2026-07-02 19:00:00+00"</t>
  </si>
  <si>
    <t>effortless-xlsx|ObservedTransitions.Name|obs-policy-01-02-hr4821</t>
  </si>
  <si>
    <t>"policy-01-to-policy-02 @ 2026-07-18 14:30:00+00"</t>
  </si>
  <si>
    <t>effortless-xlsx|ObservedTransitions.Name|obs-policy-02-03-hr4821</t>
  </si>
  <si>
    <t>"policy-02-to-policy-03 @ 2026-07-18 18:00:00+00"</t>
  </si>
  <si>
    <t>effortless-xlsx|ObservedTransitions.Name|obs-policy-03-04-hr4821</t>
  </si>
  <si>
    <t>"policy-03-to-policy-04 @ 2026-07-19 14:00:00+00"</t>
  </si>
  <si>
    <t>effortless-xlsx|MessageDeliveries.Name|md-001</t>
  </si>
  <si>
    <t>"rec-001 / tmpl-policy-email / 2026-07-18 19:05:00+00"</t>
  </si>
  <si>
    <t>effortless-xlsx|MessageDeliveries.Name|md-002</t>
  </si>
  <si>
    <t>"rec-002 / tmpl-policy-email / 2026-07-18 19:05:00+00"</t>
  </si>
  <si>
    <t>effortless-xlsx|MessageDeliveries.Name|md-003</t>
  </si>
  <si>
    <t>"rec-003 / tmpl-policy-sms / 2026-07-18 19:06:00+00"</t>
  </si>
  <si>
    <t>effortless-xlsx|MessageDeliveries.Name|md-004</t>
  </si>
  <si>
    <t>"rec-004 / tmpl-policy-sms / 2026-07-18 19:06:00+00"</t>
  </si>
  <si>
    <t>effortless-xlsx|MessageDeliveries.Name|md-005</t>
  </si>
  <si>
    <t>"rec-001 / tmpl-policy-sms / 2026-07-19 02:00:00+00"</t>
  </si>
  <si>
    <t>effortless-xlsx|MessageDeliveries.Name|md-006</t>
  </si>
  <si>
    <t>"rec-005 / tmpl-policy-sms / 2026-07-18 19:06:00+00"</t>
  </si>
  <si>
    <t>effortless-xlsx|MessageDeliveries.AsOfInstant|md-001</t>
  </si>
  <si>
    <t>effortless-xlsx|MessageDeliveries.AsOfInstant|md-002</t>
  </si>
  <si>
    <t>effortless-xlsx|MessageDeliveries.AsOfInstant|md-003</t>
  </si>
  <si>
    <t>effortless-xlsx|MessageDeliveries.AsOfInstant|md-004</t>
  </si>
  <si>
    <t>effortless-xlsx|MessageDeliveries.AsOfInstant|md-005</t>
  </si>
  <si>
    <t>effortless-xlsx|MessageDeliveries.AsOfInstant|md-006</t>
  </si>
  <si>
    <t>effortless-xlsx|MessageDeliveries.AgeDays|md-001</t>
  </si>
  <si>
    <t>effortless-xlsx|MessageDeliveries.AgeDays|md-002</t>
  </si>
  <si>
    <t>effortless-xlsx|MessageDeliveries.AgeDays|md-003</t>
  </si>
  <si>
    <t>effortless-xlsx|MessageDeliveries.AgeDays|md-004</t>
  </si>
  <si>
    <t>effortless-xlsx|MessageDeliveries.AgeDays|md-006</t>
  </si>
  <si>
    <t>effortless-xlsx|MessageDeliveries.SegmentCount|md-001</t>
  </si>
  <si>
    <t>effortless-xlsx|MessageDeliveries.SegmentCount|md-002</t>
  </si>
  <si>
    <t>effortless-xlsx|MessageDeliveries.SegmentCount|md-003</t>
  </si>
  <si>
    <t>effortless-xlsx|MessageDeliveries.SegmentCount|md-004</t>
  </si>
  <si>
    <t>effortless-xlsx|MessageDeliveries.SegmentCount|md-005</t>
  </si>
  <si>
    <t>effortless-xlsx|MessageDeliveries.SegmentCount|md-006</t>
  </si>
  <si>
    <t>effortless-xlsx|MessageDeliveries.PolicyRequiresOptOut|md-001</t>
  </si>
  <si>
    <t>effortless-xlsx|MessageDeliveries.PolicyRequiresOptOut|md-002</t>
  </si>
  <si>
    <t>effortless-xlsx|MessageDeliveries.OptOutPhrasePosition|md-001</t>
  </si>
  <si>
    <t>effortless-xlsx|MessageDeliveries.OptOutPhrasePosition|md-002</t>
  </si>
  <si>
    <t>effortless-xlsx|MessageDeliveries.OptOutPhrasePosition|md-003</t>
  </si>
  <si>
    <t>effortless-xlsx|MessageDeliveries.OptOutPhrasePosition|md-004</t>
  </si>
  <si>
    <t>effortless-xlsx|MessageDeliveries.OptOutPhrasePosition|md-005</t>
  </si>
  <si>
    <t>effortless-xlsx|MessageDeliveries.OptOutPhrasePosition|md-006</t>
  </si>
  <si>
    <t>effortless-xlsx|MessageDeliveries.HasOptOutPhrase|md-001</t>
  </si>
  <si>
    <t>effortless-xlsx|MessageDeliveries.HasOptOutPhrase|md-002</t>
  </si>
  <si>
    <t>effortless-xlsx|MessageDeliveries.HasOptOutPhrase|md-005</t>
  </si>
  <si>
    <t>effortless-xlsx|MessageDeliveries.IsOptOutInFirstSegment|md-001</t>
  </si>
  <si>
    <t>effortless-xlsx|MessageDeliveries.IsOptOutInFirstSegment|md-002</t>
  </si>
  <si>
    <t>effortless-xlsx|MessageDeliveries.IsOptOutInFirstSegment|md-005</t>
  </si>
  <si>
    <t>effortless-xlsx|MessageDeliveries.IsMissingRequiredOptOut|md-001</t>
  </si>
  <si>
    <t>effortless-xlsx|MessageDeliveries.IsMissingRequiredOptOut|md-002</t>
  </si>
  <si>
    <t>effortless-xlsx|MessageDeliveries.IsMissingRequiredOptOut|md-005</t>
  </si>
  <si>
    <t>effortless-xlsx|MessageDeliveries.IsOptOutAtRiskOfTruncation|md-001</t>
  </si>
  <si>
    <t>effortless-xlsx|MessageDeliveries.IsOptOutAtRiskOfTruncation|md-002</t>
  </si>
  <si>
    <t>effortless-xlsx|MessageDeliveries.IsOptOutAtRiskOfTruncation|md-005</t>
  </si>
  <si>
    <t>effortless-xlsx|MessageDeliveries.CurrentLastApprovalAt|md-001</t>
  </si>
  <si>
    <t>effortless-xlsx|MessageDeliveries.CurrentLastApprovalAt|md-002</t>
  </si>
  <si>
    <t>effortless-xlsx|MessageDeliveries.CurrentLastApprovalAt|md-003</t>
  </si>
  <si>
    <t>effortless-xlsx|MessageDeliveries.CurrentLastApprovalAt|md-004</t>
  </si>
  <si>
    <t>effortless-xlsx|MessageDeliveries.CurrentLastApprovalAt|md-005</t>
  </si>
  <si>
    <t>effortless-xlsx|MessageDeliveries.CurrentLastApprovalAt|md-006</t>
  </si>
  <si>
    <t>effortless-xlsx|MessageDeliveries.OutstandingAgeDays|md-002</t>
  </si>
  <si>
    <t>effortless-xlsx|MessageDeliveries.OutstandingAgeDays|md-003</t>
  </si>
  <si>
    <t>effortless-xlsx|TemplateApprovals.Name|tap-email-001</t>
  </si>
  <si>
    <t>"tmpl-policy-email / Approved / 2026-07-17 16:00:00+00"</t>
  </si>
  <si>
    <t>effortless-xlsx|TemplateApprovals.Name|tap-sms-001</t>
  </si>
  <si>
    <t>"tmpl-policy-sms / Approved / 2026-07-19 15:00:00+00"</t>
  </si>
  <si>
    <t>effortless-xlsx|SendIntents.RefusalCitedAnException|si-001</t>
  </si>
  <si>
    <t>effortless-xlsx|SendIntents.RefusalCitedAnException|si-007</t>
  </si>
  <si>
    <t>effortless-xlsx|SendIntents.IsUnreportedRefusalOnMyRules|si-001</t>
  </si>
  <si>
    <t>effortless-xlsx|SendIntents.IsUnreportedRefusalOnMyRules|si-002</t>
  </si>
  <si>
    <t>effortless-xlsx|SendIntents.IsUnreportedRefusalOnMyRules|si-003</t>
  </si>
  <si>
    <t>effortless-xlsx|SendIntents.IsUnreportedRefusalOnMyRules|si-004</t>
  </si>
  <si>
    <t>effortless-xlsx|SendIntents.IsUnreportedRefusalOnMyRules|si-005</t>
  </si>
  <si>
    <t>effortless-xlsx|SendIntents.IsUnreportedRefusalOnMyRules|si-006</t>
  </si>
  <si>
    <t>effortless-xlsx|SendIntents.IsUnreportedRefusalOnMyRules|si-007</t>
  </si>
  <si>
    <t>effortless-xlsx|SendIntents.IsApprovalOverriddenSilently|si-001</t>
  </si>
  <si>
    <t>effortless-xlsx|SendIntents.IsApprovalOverriddenSilently|si-002</t>
  </si>
  <si>
    <t>effortless-xlsx|SendIntents.IsApprovalOverriddenSilently|si-003</t>
  </si>
  <si>
    <t>effortless-xlsx|SendIntents.IsApprovalOverriddenSilently|si-004</t>
  </si>
  <si>
    <t>effortless-xlsx|SendIntents.IsApprovalOverriddenSilently|si-005</t>
  </si>
  <si>
    <t>effortless-xlsx|SendIntents.IsApprovalOverriddenSilently|si-006</t>
  </si>
  <si>
    <t>effortless-xlsx|SendIntents.IsApprovalOverriddenSilently|si-007</t>
  </si>
  <si>
    <t>effortless-xlsx|SendIntents.ExceptionPrescribedAnAlternative|si-001</t>
  </si>
  <si>
    <t>effortless-xlsx|SendIntents.ExceptionPrescribedAnAlternative|si-007</t>
  </si>
  <si>
    <t>effortless-xlsx|SendIntents.IsSuppressionWithoutRemedy|si-001</t>
  </si>
  <si>
    <t>effortless-xlsx|SendIntents.IsSuppressionWithoutRemedy|si-007</t>
  </si>
  <si>
    <t>effortless-xlsx|SendIntents.AsOfInstant|si-001</t>
  </si>
  <si>
    <t>effortless-xlsx|SendIntents.AsOfInstant|si-002</t>
  </si>
  <si>
    <t>effortless-xlsx|SendIntents.AsOfInstant|si-003</t>
  </si>
  <si>
    <t>effortless-xlsx|SendIntents.AsOfInstant|si-004</t>
  </si>
  <si>
    <t>effortless-xlsx|SendIntents.AsOfInstant|si-005</t>
  </si>
  <si>
    <t>effortless-xlsx|SendIntents.AsOfInstant|si-006</t>
  </si>
  <si>
    <t>effortless-xlsx|SendIntents.AsOfInstant|si-007</t>
  </si>
  <si>
    <t>effortless-xlsx|SendIntents.WindowHasSinceReopened|si-001</t>
  </si>
  <si>
    <t>effortless-xlsx|SendIntents.WindowHasSinceReopened|si-002</t>
  </si>
  <si>
    <t>effortless-xlsx|SendIntents.WindowHasSinceReopened|si-003</t>
  </si>
  <si>
    <t>effortless-xlsx|SendIntents.WindowHasSinceReopened|si-004</t>
  </si>
  <si>
    <t>effortless-xlsx|SendIntents.WindowHasSinceReopened|si-005</t>
  </si>
  <si>
    <t>effortless-xlsx|SendIntents.WindowHasSinceReopened|si-006</t>
  </si>
  <si>
    <t>effortless-xlsx|SendIntents.WindowHasSinceReopened|si-007</t>
  </si>
  <si>
    <t>effortless-xlsx|SendIntents.IsAbandonedDeferral|si-001</t>
  </si>
  <si>
    <t>effortless-xlsx|SendIntents.IsAbandonedDeferral|si-002</t>
  </si>
  <si>
    <t>effortless-xlsx|SendIntents.IsAbandonedDeferral|si-003</t>
  </si>
  <si>
    <t>effortless-xlsx|SendIntents.IsAbandonedDeferral|si-004</t>
  </si>
  <si>
    <t>effortless-xlsx|SendIntents.IsAbandonedDeferral|si-005</t>
  </si>
  <si>
    <t>effortless-xlsx|SendIntents.IsAbandonedDeferral|si-006</t>
  </si>
  <si>
    <t>effortless-xlsx|SendIntents.IsAbandonedDeferral|si-007</t>
  </si>
  <si>
    <t>effortless-xlsx|SendIntents.DeferralAgeHours|si-001</t>
  </si>
  <si>
    <t>effortless-xlsx|SendIntents.DeferralAgeHours|si-002</t>
  </si>
  <si>
    <t>effortless-xlsx|SendIntents.DeferralAgeHours|si-003</t>
  </si>
  <si>
    <t>effortless-xlsx|SendIntents.DeferralAgeHours|si-004</t>
  </si>
  <si>
    <t>effortless-xlsx|SendIntents.DeferralAgeHours|si-005</t>
  </si>
  <si>
    <t>effortless-xlsx|SendIntents.DeferralAgeHours|si-006</t>
  </si>
  <si>
    <t>effortless-xlsx|SendIntents.DeferralAgeHours|si-007</t>
  </si>
  <si>
    <t>effortless-xlsx|SendIntents.IsStaleDeferral|si-001</t>
  </si>
  <si>
    <t>effortless-xlsx|SendIntents.IsStaleDeferral|si-002</t>
  </si>
  <si>
    <t>effortless-xlsx|SendIntents.IsStaleDeferral|si-003</t>
  </si>
  <si>
    <t>effortless-xlsx|SendIntents.IsStaleDeferral|si-004</t>
  </si>
  <si>
    <t>effortless-xlsx|SendIntents.IsStaleDeferral|si-005</t>
  </si>
  <si>
    <t>effortless-xlsx|SendIntents.IsStaleDeferral|si-006</t>
  </si>
  <si>
    <t>effortless-xlsx|SendIntents.IsStaleDeferral|si-007</t>
  </si>
  <si>
    <t>effortless-xlsx|SendIntents.IsSelfWitnessedDecision|si-001</t>
  </si>
  <si>
    <t>effortless-xlsx|SendIntents.IsSelfWitnessedDecision|si-002</t>
  </si>
  <si>
    <t>effortless-xlsx|SendIntents.IsSelfWitnessedDecision|si-003</t>
  </si>
  <si>
    <t>effortless-xlsx|SendIntents.IsSelfWitnessedDecision|si-004</t>
  </si>
  <si>
    <t>effortless-xlsx|SendIntents.IsSelfWitnessedDecision|si-005</t>
  </si>
  <si>
    <t>effortless-xlsx|SendIntents.IsSelfWitnessedDecision|si-006</t>
  </si>
  <si>
    <t>effortless-xlsx|SendIntents.IsSelfWitnessedDecision|si-007</t>
  </si>
  <si>
    <t>effortless-xlsx|SendIntents.IsProperlyHandledRefusal|si-002</t>
  </si>
  <si>
    <t>effortless-xlsx|SendIntents.IsProperlyHandledRefusal|si-003</t>
  </si>
  <si>
    <t>effortless-xlsx|SendIntents.IsProperlyHandledRefusal|si-004</t>
  </si>
  <si>
    <t>effortless-xlsx|SendIntents.IsProperlyHandledRefusal|si-005</t>
  </si>
  <si>
    <t>effortless-xlsx|SendIntents.IsProperlyHandledRefusal|si-006</t>
  </si>
  <si>
    <t>effortless-xlsx|SendIntents.OptOutGatePassed|si-007</t>
  </si>
  <si>
    <t>effortless-xlsx|SendIntents.ContentGatePassed|si-007</t>
  </si>
  <si>
    <t>effortless-xlsx|SendIntents.IsClearedToSend|si-007</t>
  </si>
  <si>
    <t>effortless-xlsx|SendIntents.BlockingGateName|si-007</t>
  </si>
  <si>
    <t>"Content"</t>
  </si>
  <si>
    <t>effortless-xlsx|SendIntents.IsOverriddenRefusal|si-007</t>
  </si>
  <si>
    <t>effortless-xlsx|SendIntents.RefusalFailureExecutionKey|si-007</t>
  </si>
  <si>
    <t>effortless-xlsx|SendIntents.RefusedOnApprovedContent|si-007</t>
  </si>
  <si>
    <t>effortless-xlsx|SendIntents.RefusedOnOptOutOnly|si-007</t>
  </si>
  <si>
    <t>effortless-xlsx|SendIntents.RefusalWasOnMyRules|si-007</t>
  </si>
  <si>
    <t>effortless-xlsx|SendIntents.IsRefusedWithNoAlternative|si-007</t>
  </si>
  <si>
    <t>effortless-xlsx|SendIntents.IsUnescalatedRefusal|si-007</t>
  </si>
  <si>
    <t>effortless-xlsx|AgentDecisionRecords.ReviewLatencyMinutes|adr-close-extract-q2</t>
  </si>
  <si>
    <t>4.0</t>
  </si>
  <si>
    <t>effortless-xlsx|AgentDecisionRecords.ReviewLatencyMinutes|adr-close-freeze-q2</t>
  </si>
  <si>
    <t>18.0</t>
  </si>
  <si>
    <t>effortless-xlsx|AgentDecisionRecords.ReviewLatencyMinutes|adr-close-post-q2</t>
  </si>
  <si>
    <t>effortless-xlsx|DeliveredCommunications.Name|dc-hr4821-email-001</t>
  </si>
  <si>
    <t>"Email -&gt; emp-anon-0001 @ "</t>
  </si>
  <si>
    <t>"Email -&gt; emp-anon-0001 @ 1899-12-30 00:00:00+00"</t>
  </si>
  <si>
    <t>effortless-xlsx|DeliveredCommunications.WasApprovedBeforeSending|dc-hr4821-email-001</t>
  </si>
  <si>
    <t>effortless-xlsx|AuthorityBoundaries.AsOfInstant|bnd-close-04-no-ai-escalation-waiver</t>
  </si>
  <si>
    <t>effortless-xlsx|AuthorityBoundaries.AsOfInstant|bnd-close-06-no-nonhuman-approval</t>
  </si>
  <si>
    <t>effortless-xlsx|AuthorityBoundaries.AsOfInstant|bnd-policy-03-no-ai-commitment</t>
  </si>
  <si>
    <t>effortless-xlsx|AuthorityBoundaries.IsUnwarranted|bnd-close-06-no-nonhuman-approval</t>
  </si>
  <si>
    <t>effortless-xlsx|AuthorityBoundaries.WarrantIsThin|bnd-close-06-no-nonhuman-approval</t>
  </si>
  <si>
    <t>effortless-xlsx|AuthorityBoundaries.IsUnwarrantedAndUntested|bnd-close-06-no-nonhuman-approval</t>
  </si>
  <si>
    <t>effortless-xlsx|AuthorityBoundaries.UnwarrantedBoundaryStepKey|bnd-close-06-no-nonhuman-approval</t>
  </si>
  <si>
    <t>"close-06"</t>
  </si>
  <si>
    <t>effortless-xlsx|AuthorityBoundaries.RatificationLapsed|bnd-close-06-no-nonhuman-approval</t>
  </si>
  <si>
    <t>effortless-xlsx|AuthorityBoundaries.BindsDespiteLapsedRatification|bnd-close-06-no-nonhuman-approval</t>
  </si>
  <si>
    <t>effortless-xlsx|AuthorityBoundaries.IsUngroundedAndUntested|bnd-close-06-no-nonhuman-approval</t>
  </si>
  <si>
    <t>effortless-xlsx|AuthorityBoundaries.ConstrainedRoleAssignmentKey|bnd-close-06-no-nonhuman-approval</t>
  </si>
  <si>
    <t>effortless-xlsx|RulebookTables.FieldCount|AccessDenialTests</t>
  </si>
  <si>
    <t>18</t>
  </si>
  <si>
    <t>effortless-xlsx|RulebookTables.FieldCount|AccessPolicies</t>
  </si>
  <si>
    <t>effortless-xlsx|RulebookTables.FieldCount|AccessPrincipals</t>
  </si>
  <si>
    <t>effortless-xlsx|RulebookTables.FieldCount|AgentDecisionRecords</t>
  </si>
  <si>
    <t>40</t>
  </si>
  <si>
    <t>effortless-xlsx|RulebookTables.FieldCount|AppNavGroups</t>
  </si>
  <si>
    <t>effortless-xlsx|RulebookTables.FieldCount|AppRoleProfiles</t>
  </si>
  <si>
    <t>12</t>
  </si>
  <si>
    <t>effortless-xlsx|RulebookTables.FieldCount|AppRouteQuestions</t>
  </si>
  <si>
    <t>effortless-xlsx|RulebookTables.FieldCount|AppRouteReferences</t>
  </si>
  <si>
    <t>effortless-xlsx|RulebookTables.FieldCount|AppRoutes</t>
  </si>
  <si>
    <t>effortless-xlsx|RulebookTables.FieldCount|Attestations</t>
  </si>
  <si>
    <t>effortless-xlsx|RulebookTables.FieldCount|AuthorityBoundaries</t>
  </si>
  <si>
    <t>33</t>
  </si>
  <si>
    <t>effortless-xlsx|RulebookTables.FieldCount|BindingObservations</t>
  </si>
  <si>
    <t>11</t>
  </si>
  <si>
    <t>effortless-xlsx|RulebookTables.FieldCount|CellDisagreements</t>
  </si>
  <si>
    <t>effortless-xlsx|RulebookTables.FieldCount|CommunicationPolicies</t>
  </si>
  <si>
    <t>effortless-xlsx|RulebookTables.FieldCount|ConformanceRuns</t>
  </si>
  <si>
    <t>effortless-xlsx|RulebookTables.FieldCount|ConformanceSubstrates</t>
  </si>
  <si>
    <t>effortless-xlsx|RulebookTables.FieldCount|DeliveredCommunications</t>
  </si>
  <si>
    <t>effortless-xlsx|RulebookTables.FieldCount|ERBCustomizations</t>
  </si>
  <si>
    <t>6</t>
  </si>
  <si>
    <t>effortless-xlsx|RulebookTables.FieldCount|ERBVersions</t>
  </si>
  <si>
    <t>effortless-xlsx|RulebookTables.FieldCount|ExceptionInvocations</t>
  </si>
  <si>
    <t>21</t>
  </si>
  <si>
    <t>effortless-xlsx|AccessPrincipals.GrantCount|principal-knowledge-authority</t>
  </si>
  <si>
    <t>1603</t>
  </si>
  <si>
    <t>effortless-xlsx|AccessPrincipals.GrantCount|principal-process-steward</t>
  </si>
  <si>
    <t>565</t>
  </si>
  <si>
    <t>effortless-xlsx|FieldGrants.FieldTable|fg-cfo-AuthorityBoundaries.AuthorityBoundaryId</t>
  </si>
  <si>
    <t>"AuthorityBoundaries"</t>
  </si>
  <si>
    <t>effortless-xlsx|FieldGrants.FieldTable|fg-cfo-AuthorityBoundaries.AuthorityRole</t>
  </si>
  <si>
    <t>effortless-xlsx|FieldGrants.FieldTable|fg-cfo-AuthorityBoundaries.ForbiddenAgentKind</t>
  </si>
  <si>
    <t>effortless-xlsx|FieldGrants.FieldTable|fg-cfo-AuthorityBoundaries.ForbiddenDecisionKind</t>
  </si>
  <si>
    <t>effortless-xlsx|FieldGrants.FieldTable|fg-cfo-AuthorityBoundaries.Name</t>
  </si>
  <si>
    <t>effortless-xlsx|FieldGrants.FieldTable|fg-cfo-AuthorityBoundaries.Status</t>
  </si>
  <si>
    <t>effortless-xlsx|FieldGrants.FieldTable|fg-cfo-AuthorityBoundaries.Step</t>
  </si>
  <si>
    <t>effortless-xlsx|FieldGrants.FieldTable|fg-communications-manager-CommunicationPolicies.ApprovalRole</t>
  </si>
  <si>
    <t>"CommunicationPolicies"</t>
  </si>
  <si>
    <t>effortless-xlsx|FieldGrants.FieldTable|fg-communications-manager-CommunicationPolicies.AudienceRule</t>
  </si>
  <si>
    <t>effortless-xlsx|FieldGrants.FieldTable|fg-communications-manager-CommunicationPolicies.AuthorityStatement</t>
  </si>
  <si>
    <t>effortless-xlsx|FieldGrants.FieldTable|fg-communications-manager-CommunicationPolicies.Channel</t>
  </si>
  <si>
    <t>effortless-xlsx|FieldGrants.FieldTable|fg-communications-manager-CommunicationPolicies.CommunicationPolicyId</t>
  </si>
  <si>
    <t>effortless-xlsx|FieldGrants.FieldTable|fg-communications-manager-CommunicationPolicies.ConsentRequired</t>
  </si>
  <si>
    <t>effortless-xlsx|FieldGrants.FieldTable|fg-communications-manager-CommunicationPolicies.ConsentViolationCount</t>
  </si>
  <si>
    <t>effortless-xlsx|FieldGrants.FieldTable|fg-communications-manager-CommunicationPolicies.IsActivePolicy</t>
  </si>
  <si>
    <t>effortless-xlsx|FieldGrants.FieldTable|fg-communications-manager-CommunicationPolicies.MaxMessageLength</t>
  </si>
  <si>
    <t>effortless-xlsx|FieldGrants.FieldTable|fg-communications-manager-CommunicationPolicies.MaxSegments</t>
  </si>
  <si>
    <t>effortless-xlsx|FieldGrants.FieldTable|fg-communications-manager-CommunicationPolicies.Name</t>
  </si>
  <si>
    <t>effortless-xlsx|FieldGrants.FieldTable|fg-communications-manager-CommunicationPolicies.ProcedureVersion</t>
  </si>
  <si>
    <t>effortless-xlsx|FieldGrants.FieldTable|fg-communications-manager-CommunicationPolicies.QuietHoursEnd</t>
  </si>
  <si>
    <t>effortless-xlsx|FieldGrants.FieldName|fg-cfo-AuthorityBoundaries.AuthorityBoundaryId</t>
  </si>
  <si>
    <t>"AuthorityBoundaryId"</t>
  </si>
  <si>
    <t>effortless-xlsx|FieldGrants.FieldName|fg-cfo-AuthorityBoundaries.AuthorityRole</t>
  </si>
  <si>
    <t>"AuthorityRole"</t>
  </si>
  <si>
    <t>effortless-xlsx|FieldGrants.FieldName|fg-cfo-AuthorityBoundaries.ForbiddenAgentKind</t>
  </si>
  <si>
    <t>"ForbiddenAgentKind"</t>
  </si>
  <si>
    <t>effortless-xlsx|FieldGrants.FieldName|fg-cfo-AuthorityBoundaries.ForbiddenDecisionKind</t>
  </si>
  <si>
    <t>"ForbiddenDecisionKind"</t>
  </si>
  <si>
    <t>effortless-xlsx|FieldGrants.FieldName|fg-cfo-AuthorityBoundaries.Name</t>
  </si>
  <si>
    <t>"Name"</t>
  </si>
  <si>
    <t>effortless-xlsx|FieldGrants.FieldName|fg-cfo-AuthorityBoundaries.Status</t>
  </si>
  <si>
    <t>"Status"</t>
  </si>
  <si>
    <t>effortless-xlsx|FieldGrants.FieldName|fg-cfo-AuthorityBoundaries.Step</t>
  </si>
  <si>
    <t>"Step"</t>
  </si>
  <si>
    <t>effortless-xlsx|FieldGrants.FieldName|fg-communications-manager-CommunicationPolicies.ApprovalRole</t>
  </si>
  <si>
    <t>"ApprovalRole"</t>
  </si>
  <si>
    <t>effortless-xlsx|FieldGrants.FieldName|fg-communications-manager-CommunicationPolicies.AudienceRule</t>
  </si>
  <si>
    <t>"AudienceRule"</t>
  </si>
  <si>
    <t>effortless-xlsx|FieldGrants.FieldName|fg-communications-manager-CommunicationPolicies.AuthorityStatement</t>
  </si>
  <si>
    <t>"AuthorityStatement"</t>
  </si>
  <si>
    <t>effortless-xlsx|FieldGrants.FieldName|fg-communications-manager-CommunicationPolicies.Channel</t>
  </si>
  <si>
    <t>"Channel"</t>
  </si>
  <si>
    <t>effortless-xlsx|FieldGrants.FieldName|fg-communications-manager-CommunicationPolicies.CommunicationPolicyId</t>
  </si>
  <si>
    <t>"CommunicationPolicyId"</t>
  </si>
  <si>
    <t>effortless-xlsx|FieldGrants.FieldName|fg-communications-manager-CommunicationPolicies.ConsentRequired</t>
  </si>
  <si>
    <t>"ConsentRequired"</t>
  </si>
  <si>
    <t>effortless-xlsx|FieldGrants.FieldName|fg-communications-manager-CommunicationPolicies.ConsentViolationCount</t>
  </si>
  <si>
    <t>"ConsentViolationCount"</t>
  </si>
  <si>
    <t>effortless-xlsx|FieldGrants.FieldName|fg-communications-manager-CommunicationPolicies.IsActivePolicy</t>
  </si>
  <si>
    <t>"IsActivePolicy"</t>
  </si>
  <si>
    <t>effortless-xlsx|FieldGrants.FieldName|fg-communications-manager-CommunicationPolicies.MaxMessageLength</t>
  </si>
  <si>
    <t>"MaxMessageLength"</t>
  </si>
  <si>
    <t>effortless-xlsx|FieldGrants.FieldName|fg-communications-manager-CommunicationPolicies.MaxSegments</t>
  </si>
  <si>
    <t>"MaxSegments"</t>
  </si>
  <si>
    <t>effortless-xlsx|FieldGrants.FieldName|fg-communications-manager-CommunicationPolicies.Name</t>
  </si>
  <si>
    <t>effortless-xlsx|FieldGrants.FieldName|fg-communications-manager-CommunicationPolicies.ProcedureVersion</t>
  </si>
  <si>
    <t>"ProcedureVersion"</t>
  </si>
  <si>
    <t>effortless-xlsx|FieldGrants.FieldName|fg-communications-manager-CommunicationPolicies.QuietHoursEnd</t>
  </si>
  <si>
    <t>"QuietHoursEnd"</t>
  </si>
  <si>
    <t>effortless-xlsx|FieldGrants.GrantKeyWhenReadable|fg-cfo-AuthorityBoundaries.AuthorityBoundaryId</t>
  </si>
  <si>
    <t>"principal-cfo|AuthorityBoundaries"</t>
  </si>
  <si>
    <t>"principal-cfo|"</t>
  </si>
  <si>
    <t>effortless-xlsx|FieldGrants.GrantKeyWhenReadable|fg-cfo-AuthorityBoundaries.AuthorityRole</t>
  </si>
  <si>
    <t>effortless-xlsx|FieldGrants.GrantKeyWhenReadable|fg-cfo-AuthorityBoundaries.ForbiddenAgentKind</t>
  </si>
  <si>
    <t>effortless-xlsx|FieldGrants.GrantKeyWhenReadable|fg-cfo-AuthorityBoundaries.ForbiddenDecisionKind</t>
  </si>
  <si>
    <t>effortless-xlsx|FieldGrants.GrantKeyWhenReadable|fg-cfo-AuthorityBoundaries.Name</t>
  </si>
  <si>
    <t>effortless-xlsx|FieldGrants.GrantKeyWhenReadable|fg-cfo-AuthorityBoundaries.Status</t>
  </si>
  <si>
    <t>effortless-xlsx|FieldGrants.GrantKeyWhenReadable|fg-cfo-AuthorityBoundaries.Step</t>
  </si>
  <si>
    <t>effortless-xlsx|FieldGrants.GrantKeyWhenReadable|fg-communications-manager-CommunicationPolicies.ApprovalRole</t>
  </si>
  <si>
    <t>"principal-communications-manager|CommunicationPolicies"</t>
  </si>
  <si>
    <t>"principal-communications-manager|"</t>
  </si>
  <si>
    <t>effortless-xlsx|FieldGrants.GrantKeyWhenReadable|fg-communications-manager-CommunicationPolicies.AudienceRule</t>
  </si>
  <si>
    <t>effortless-xlsx|FieldGrants.GrantKeyWhenReadable|fg-communications-manager-CommunicationPolicies.AuthorityStatement</t>
  </si>
  <si>
    <t>effortless-xlsx|FieldGrants.GrantKeyWhenReadable|fg-communications-manager-CommunicationPolicies.Channel</t>
  </si>
  <si>
    <t>effortless-xlsx|FieldGrants.GrantKeyWhenReadable|fg-communications-manager-CommunicationPolicies.CommunicationPolicyId</t>
  </si>
  <si>
    <t>effortless-xlsx|FieldGrants.GrantKeyWhenReadable|fg-communications-manager-CommunicationPolicies.ConsentRequired</t>
  </si>
  <si>
    <t>effortless-xlsx|FieldGrants.GrantKeyWhenReadable|fg-communications-manager-CommunicationPolicies.ConsentViolationCount</t>
  </si>
  <si>
    <t>effortless-xlsx|FieldGrants.GrantKeyWhenReadable|fg-communications-manager-CommunicationPolicies.IsActivePolicy</t>
  </si>
  <si>
    <t>effortless-xlsx|FieldGrants.GrantKeyWhenReadable|fg-communications-manager-CommunicationPolicies.MaxMessageLength</t>
  </si>
  <si>
    <t>effortless-xlsx|FieldGrants.GrantKeyWhenReadable|fg-communications-manager-CommunicationPolicies.MaxSegments</t>
  </si>
  <si>
    <t>effortless-xlsx|FieldGrants.GrantKeyWhenReadable|fg-communications-manager-CommunicationPolicies.Name</t>
  </si>
  <si>
    <t>effortless-xlsx|FieldGrants.GrantKeyWhenReadable|fg-communications-manager-CommunicationPolicies.ProcedureVersion</t>
  </si>
  <si>
    <t>effortless-xlsx|FieldGrants.GrantKeyWhenReadable|fg-communications-manager-CommunicationPolicies.QuietHoursEnd</t>
  </si>
  <si>
    <t>effortless-xlsx|FieldGrants.FieldIsDerived|fg-cfo-AuthorityBoundaries.Name</t>
  </si>
  <si>
    <t>effortless-xlsx|FieldGrants.FieldIsDerived|fg-communications-manager-CommunicationPolicies.ConsentViolationCount</t>
  </si>
  <si>
    <t>effortless-xlsx|FieldGrants.FieldIsDerived|fg-communications-manager-CommunicationPolicies.IsActivePolicy</t>
  </si>
  <si>
    <t>effortless-xlsx|FieldGrants.FieldIsDerived|fg-communications-manager-CommunicationPolicies.Name</t>
  </si>
  <si>
    <t>effortless-xlsx|FieldGrants.FieldIsDerived|fg-communications-manager-CommunicationPolicies.QuietHoursViolationCount</t>
  </si>
  <si>
    <t>effortless-xlsx|FieldGrants.FieldIsDerived|fg-communications-manager-MessageDeliveries.Name</t>
  </si>
  <si>
    <t>effortless-xlsx|FieldGrants.FieldIsDerived|fg-communications-manager-MessageTemplates.Name</t>
  </si>
  <si>
    <t>effortless-xlsx|FieldGrants.FieldIsDerived|fg-communications-manager-Recipients.Name</t>
  </si>
  <si>
    <t>effortless-xlsx|FieldGrants.FieldIsDerived|fg-communications-manager-SendIntents.Name</t>
  </si>
  <si>
    <t>effortless-xlsx|FieldGrants.FieldIsDerived|fg-employment-counsel-AuthorityBoundaries.Name</t>
  </si>
  <si>
    <t>effortless-xlsx|FieldGrants.FieldIsDerived|fg-employment-counsel-CommunicationPolicies.Name</t>
  </si>
  <si>
    <t>effortless-xlsx|FieldGrants.FieldIsDerived|fg-hr-policy-owner-MessageTemplates.Name</t>
  </si>
  <si>
    <t>effortless-xlsx|FieldGrants.FieldIsDerived|fg-knowledge-authority-AgentDecisionRecords.AgentWhenBoundaryViolated</t>
  </si>
  <si>
    <t>effortless-xlsx|FieldGrants.FieldIsDerived|fg-knowledge-authority-AgentDecisionRecords.AgentWhenDraft</t>
  </si>
  <si>
    <t>effortless-xlsx|FieldGrants.FieldIsDerived|fg-knowledge-authority-AgentDecisionRecords.AgentWhenDraftOverridden</t>
  </si>
  <si>
    <t>effortless-xlsx|FieldGrants.FieldIsDerived|fg-knowledge-authority-AgentDecisionRecords.BoundaryMatchKey</t>
  </si>
  <si>
    <t>effortless-xlsx|FieldGrants.FieldIsDerived|fg-knowledge-authority-AgentDecisionRecords.BoundaryViolationRoleAssignmentKey</t>
  </si>
  <si>
    <t>effortless-xlsx|FieldGrants.FieldIsDerived|fg-knowledge-authority-AgentDecisionRecords.DecidingAgentKind</t>
  </si>
  <si>
    <t>effortless-xlsx|FieldGrants.FieldIsDerived|fg-knowledge-authority-AgentDecisionRecords.DecidingAgentWhenOverridden</t>
  </si>
  <si>
    <t>effortless-xlsx|FieldGrants.FieldIsDerived|fg-knowledge-authority-AgentDecisionRecords.ErrorCorrectionRoleAssignmentKey</t>
  </si>
  <si>
    <t>effortless-xlsx|RoleSchemaViews.ColumnCount|rsv-cfo-authority_boundaries</t>
  </si>
  <si>
    <t>effortless-xlsx|RoleSchemaViews.ColumnCount|rsv-communications-manager-communication_policies</t>
  </si>
  <si>
    <t>effortless-xlsx|RoleSchemaViews.ColumnCount|rsv-communications-manager-message_deliveries</t>
  </si>
  <si>
    <t>effortless-xlsx|RoleSchemaViews.ColumnCount|rsv-communications-manager-message_templates</t>
  </si>
  <si>
    <t>effortless-xlsx|RoleSchemaViews.ColumnCount|rsv-communications-manager-recipients</t>
  </si>
  <si>
    <t>effortless-xlsx|RoleSchemaViews.ColumnCount|rsv-communications-manager-send_intents</t>
  </si>
  <si>
    <t>effortless-xlsx|RoleSchemaViews.ColumnCount|rsv-employment-counsel-authority_boundaries</t>
  </si>
  <si>
    <t>effortless-xlsx|RoleSchemaViews.ColumnCount|rsv-employment-counsel-communication_policies</t>
  </si>
  <si>
    <t>effortless-xlsx|RoleSchemaViews.ColumnCount|rsv-hr-policy-owner-message_templates</t>
  </si>
  <si>
    <t>effortless-xlsx|RoleSchemaViews.ColumnCount|rsv-knowledge-authority-actions</t>
  </si>
  <si>
    <t>effortless-xlsx|RoleSchemaViews.ColumnCount|rsv-knowledge-authority-agent_decision_records</t>
  </si>
  <si>
    <t>effortless-xlsx|RoleSchemaViews.ColumnCount|rsv-knowledge-authority-agents</t>
  </si>
  <si>
    <t>effortless-xlsx|RoleSchemaViews.ColumnCount|rsv-knowledge-authority-app_nav_groups</t>
  </si>
  <si>
    <t>effortless-xlsx|RoleSchemaViews.ColumnCount|rsv-knowledge-authority-app_role_profiles</t>
  </si>
  <si>
    <t>effortless-xlsx|RoleSchemaViews.ColumnCount|rsv-knowledge-authority-app_route_questions</t>
  </si>
  <si>
    <t>effortless-xlsx|RoleSchemaViews.ColumnCount|rsv-knowledge-authority-app_route_references</t>
  </si>
  <si>
    <t>effortless-xlsx|RoleSchemaViews.ColumnCount|rsv-knowledge-authority-app_routes</t>
  </si>
  <si>
    <t>effortless-xlsx|RoleSchemaViews.ColumnCount|rsv-knowledge-authority-attestations</t>
  </si>
  <si>
    <t>effortless-xlsx|RoleSchemaViews.ColumnCount|rsv-knowledge-authority-authority_boundaries</t>
  </si>
  <si>
    <t>effortless-xlsx|RoleSchemaViews.ColumnCount|rsv-knowledge-authority-binding_observations</t>
  </si>
  <si>
    <t>effortless-xlsx|RoleSchemaViews.TableFieldCount|rsv-cfo-authority_boundaries</t>
  </si>
  <si>
    <t>effortless-xlsx|RoleSchemaViews.TableFieldCount|rsv-communications-manager-communication_policies</t>
  </si>
  <si>
    <t>effortless-xlsx|RoleSchemaViews.TableFieldCount|rsv-communications-manager-message_deliveries</t>
  </si>
  <si>
    <t>94</t>
  </si>
  <si>
    <t>effortless-xlsx|RoleSchemaViews.TableFieldCount|rsv-communications-manager-message_templates</t>
  </si>
  <si>
    <t>26</t>
  </si>
  <si>
    <t>effortless-xlsx|RoleSchemaViews.TableFieldCount|rsv-communications-manager-recipients</t>
  </si>
  <si>
    <t>effortless-xlsx|RoleSchemaViews.TableFieldCount|rsv-communications-manager-send_intents</t>
  </si>
  <si>
    <t>100</t>
  </si>
  <si>
    <t>effortless-xlsx|RoleSchemaViews.TableFieldCount|rsv-employment-counsel-authority_boundaries</t>
  </si>
  <si>
    <t>effortless-xlsx|RoleSchemaViews.TableFieldCount|rsv-employment-counsel-communication_policies</t>
  </si>
  <si>
    <t>effortless-xlsx|RoleSchemaViews.TableFieldCount|rsv-hr-policy-owner-message_templates</t>
  </si>
  <si>
    <t>effortless-xlsx|RoleSchemaViews.TableFieldCount|rsv-knowledge-authority-agent_decision_records</t>
  </si>
  <si>
    <t>effortless-xlsx|RoleSchemaViews.TableFieldCount|rsv-knowledge-authority-app_nav_groups</t>
  </si>
  <si>
    <t>effortless-xlsx|RoleSchemaViews.TableFieldCount|rsv-knowledge-authority-app_role_profiles</t>
  </si>
  <si>
    <t>effortless-xlsx|RoleSchemaViews.TableFieldCount|rsv-knowledge-authority-app_route_questions</t>
  </si>
  <si>
    <t>effortless-xlsx|RoleSchemaViews.TableFieldCount|rsv-knowledge-authority-app_route_references</t>
  </si>
  <si>
    <t>effortless-xlsx|RoleSchemaViews.TableFieldCount|rsv-knowledge-authority-app_routes</t>
  </si>
  <si>
    <t>effortless-xlsx|RoleSchemaViews.TableFieldCount|rsv-knowledge-authority-attestations</t>
  </si>
  <si>
    <t>effortless-xlsx|RoleSchemaViews.TableFieldCount|rsv-knowledge-authority-authority_boundaries</t>
  </si>
  <si>
    <t>effortless-xlsx|RoleSchemaViews.TableFieldCount|rsv-knowledge-authority-binding_observations</t>
  </si>
  <si>
    <t>effortless-xlsx|RoleSchemaViews.TableFieldCount|rsv-knowledge-authority-communication_policies</t>
  </si>
  <si>
    <t>effortless-xlsx|RoleSchemaViews.TableFieldCount|rsv-knowledge-authority-delivered_communications</t>
  </si>
  <si>
    <t>effortless-xlsx|RoleSchemaViews.IsDegenerateView|rsv-cfo-authority_boundaries</t>
  </si>
  <si>
    <t>effortless-xlsx|RoleSchemaViews.IsDegenerateView|rsv-communications-manager-communication_policies</t>
  </si>
  <si>
    <t>effortless-xlsx|RoleSchemaViews.IsDegenerateView|rsv-communications-manager-message_deliveries</t>
  </si>
  <si>
    <t>effortless-xlsx|RoleSchemaViews.IsDegenerateView|rsv-communications-manager-message_templates</t>
  </si>
  <si>
    <t>effortless-xlsx|RoleSchemaViews.IsDegenerateView|rsv-communications-manager-recipients</t>
  </si>
  <si>
    <t>effortless-xlsx|RoleSchemaViews.IsDegenerateView|rsv-communications-manager-send_intents</t>
  </si>
  <si>
    <t>effortless-xlsx|RoleSchemaViews.IsDegenerateView|rsv-employment-counsel-authority_boundaries</t>
  </si>
  <si>
    <t>effortless-xlsx|RoleSchemaViews.IsDegenerateView|rsv-employment-counsel-communication_policies</t>
  </si>
  <si>
    <t>effortless-xlsx|RoleSchemaViews.IsDegenerateView|rsv-hr-policy-owner-message_templates</t>
  </si>
  <si>
    <t>effortless-xlsx|RoleSchemaViews.IsDegenerateView|rsv-knowledge-authority-actions</t>
  </si>
  <si>
    <t>effortless-xlsx|RoleSchemaViews.IsDegenerateView|rsv-knowledge-authority-agent_decision_records</t>
  </si>
  <si>
    <t>effortless-xlsx|RoleSchemaViews.IsDegenerateView|rsv-knowledge-authority-agents</t>
  </si>
  <si>
    <t>effortless-xlsx|RoleSchemaViews.IsDegenerateView|rsv-knowledge-authority-app_nav_groups</t>
  </si>
  <si>
    <t>effortless-xlsx|RoleSchemaViews.IsDegenerateView|rsv-knowledge-authority-app_role_profiles</t>
  </si>
  <si>
    <t>effortless-xlsx|RoleSchemaViews.IsDegenerateView|rsv-knowledge-authority-app_route_questions</t>
  </si>
  <si>
    <t>effortless-xlsx|RoleSchemaViews.IsDegenerateView|rsv-knowledge-authority-app_route_references</t>
  </si>
  <si>
    <t>effortless-xlsx|RoleSchemaViews.IsDegenerateView|rsv-knowledge-authority-app_routes</t>
  </si>
  <si>
    <t>effortless-xlsx|RoleSchemaViews.IsDegenerateView|rsv-knowledge-authority-attestations</t>
  </si>
  <si>
    <t>effortless-xlsx|RoleSchemaViews.IsDegenerateView|rsv-knowledge-authority-authority_boundaries</t>
  </si>
  <si>
    <t>effortless-xlsx|RoleSchemaViews.IsDegenerateView|rsv-knowledge-authority-binding_observations</t>
  </si>
  <si>
    <t>effortless-xlsx|RoleSchemaViews.IsFullWidth|rsv-communications-manager-communication_policies</t>
  </si>
  <si>
    <t>effortless-xlsx|RoleSchemaViews.IsFullWidth|rsv-knowledge-authority-actions</t>
  </si>
  <si>
    <t>effortless-xlsx|RoleSchemaViews.IsFullWidth|rsv-knowledge-authority-agent_decision_records</t>
  </si>
  <si>
    <t>effortless-xlsx|RoleSchemaViews.IsFullWidth|rsv-knowledge-authority-agents</t>
  </si>
  <si>
    <t>effortless-xlsx|RoleSchemaViews.IsFullWidth|rsv-knowledge-authority-app_nav_groups</t>
  </si>
  <si>
    <t>effortless-xlsx|RoleSchemaViews.IsFullWidth|rsv-knowledge-authority-app_role_profiles</t>
  </si>
  <si>
    <t>effortless-xlsx|RoleSchemaViews.IsFullWidth|rsv-knowledge-authority-app_route_questions</t>
  </si>
  <si>
    <t>effortless-xlsx|RoleSchemaViews.IsFullWidth|rsv-knowledge-authority-app_route_references</t>
  </si>
  <si>
    <t>effortless-xlsx|RoleSchemaViews.IsFullWidth|rsv-knowledge-authority-app_routes</t>
  </si>
  <si>
    <t>effortless-xlsx|RoleSchemaViews.IsFullWidth|rsv-knowledge-authority-attestations</t>
  </si>
  <si>
    <t>effortless-xlsx|RoleSchemaViews.IsFullWidth|rsv-knowledge-authority-authority_boundaries</t>
  </si>
  <si>
    <t>effortless-xlsx|RoleSchemaViews.IsFullWidth|rsv-knowledge-authority-binding_observations</t>
  </si>
  <si>
    <t>effortless-xlsx|RoleSchemaViews.IsFullWidth|rsv-knowledge-authority-change_requests</t>
  </si>
  <si>
    <t>effortless-xlsx|RoleSchemaViews.IsFullWidth|rsv-knowledge-authority-communication_policies</t>
  </si>
  <si>
    <t>effortless-xlsx|RoleSchemaViews.IsFullWidth|rsv-knowledge-authority-communities_of_practice</t>
  </si>
  <si>
    <t>effortless-xlsx|RoleSchemaViews.IsFullWidth|rsv-knowledge-authority-delivered_communications</t>
  </si>
  <si>
    <t>effortless-xlsx|RoleSchemaViews.IsFullWidth|rsv-knowledge-authority-elicitation_sessions</t>
  </si>
  <si>
    <t>effortless-xlsx|RoleSchemaViews.IsFullWidth|rsv-knowledge-authority-errors</t>
  </si>
  <si>
    <t>effortless-xlsx|RoleSchemaViews.IsFullWidth|rsv-knowledge-authority-evaluation_contexts</t>
  </si>
  <si>
    <t>effortless-xlsx|RoleSchemaViews.IsFullWidth|rsv-knowledge-authority-exception_invocations</t>
  </si>
  <si>
    <t>effortless-xlsx|ProcessMiningRuns.Name|pmr-close-v10-archived</t>
  </si>
  <si>
    <t>"ERP General Ledger Audit Log / 2026-01-01 14:00:00+00"</t>
  </si>
  <si>
    <t>effortless-xlsx|ProcessMiningRuns.Name|pmr-close-v11-cutoff-bypass</t>
  </si>
  <si>
    <t>"ERP General Ledger Audit Log / 2026-07-17 14:00:00+00"</t>
  </si>
  <si>
    <t>effortless-xlsx|ProcessMiningRuns.Name|pmr-close-v11-q3</t>
  </si>
  <si>
    <t>"ERP General Ledger Audit Log / 2026-07-15 14:00:00+00"</t>
  </si>
  <si>
    <t>effortless-xlsx|ProcessMiningRuns.Name|pmr-policy-v1-notify</t>
  </si>
  <si>
    <t>"Notification Pipeline Delivery Log / 2026-01-10 14:00:00+00"</t>
  </si>
  <si>
    <t>effortless-xlsx|ProcessMiningRuns.AsOfInstant|pmr-close-v10-archived</t>
  </si>
  <si>
    <t>effortless-xlsx|ProcessMiningRuns.AsOfInstant|pmr-close-v11-cutoff-bypass</t>
  </si>
  <si>
    <t>effortless-xlsx|ProcessMiningRuns.AsOfInstant|pmr-close-v11-q3</t>
  </si>
  <si>
    <t>effortless-xlsx|ProcessMiningRuns.AsOfInstant|pmr-policy-v1-notify</t>
  </si>
  <si>
    <t>effortless-xlsx|KnowledgeBrokerLinks.AsOfInstant|kbl-amina-jordan-sod</t>
  </si>
  <si>
    <t>effortless-xlsx|KnowledgeBrokerLinks.AsOfInstant|kbl-devon-priya-recon</t>
  </si>
  <si>
    <t>effortless-xlsx|KnowledgeBrokerLinks.AsOfInstant|kbl-elena-priya-sod</t>
  </si>
  <si>
    <t>effortless-xlsx|KnowledgeBrokerLinks.AsOfInstant|kbl-maria-priya-recon</t>
  </si>
  <si>
    <t>effortless-xlsx|KnowledgeBrokerLinks.AsOfInstant|kbl-noah-elena-quiet</t>
  </si>
  <si>
    <t>effortless-entity-framework|EvaluationContexts.Name|eval-current</t>
  </si>
  <si>
    <t>effortless-entity-framework|RoleAssignments.Name|ra-authority-2026</t>
  </si>
  <si>
    <t>effortless-entity-framework|RoleAssignments.Name|ra-cfo-2026</t>
  </si>
  <si>
    <t>effortless-entity-framework|RoleAssignments.Name|ra-close-pipeline-2026</t>
  </si>
  <si>
    <t>effortless-entity-framework|RoleAssignments.Name|ra-comms-2026</t>
  </si>
  <si>
    <t>effortless-entity-framework|RoleAssignments.Name|ra-controller-2026</t>
  </si>
  <si>
    <t>effortless-entity-framework|RoleAssignments.Name|ra-counsel-2026</t>
  </si>
  <si>
    <t>effortless-entity-framework|RoleAssignments.Name|ra-finance-2026</t>
  </si>
  <si>
    <t>effortless-entity-framework|RoleAssignments.Name|ra-new-variance</t>
  </si>
  <si>
    <t>effortless-entity-framework|RoleAssignments.Name|ra-notify-pipeline-2026</t>
  </si>
  <si>
    <t>effortless-entity-framework|RoleAssignments.Name|ra-old-variance</t>
  </si>
  <si>
    <t>effortless-entity-framework|RoleAssignments.Name|ra-policy-ai-2026</t>
  </si>
  <si>
    <t>effortless-entity-framework|RoleAssignments.Name|ra-policy-owner-2026</t>
  </si>
  <si>
    <t>effortless-entity-framework|RoleAssignments.Name|ra-steward-2026</t>
  </si>
  <si>
    <t>effortless-entity-framework|RoleAssignments.QualityVerdictIsUnsupported|ra-authority-2026</t>
  </si>
  <si>
    <t>effortless-entity-framework|RoleAssignments.QualityVerdictIsUnsupported|ra-cfo-2026</t>
  </si>
  <si>
    <t>effortless-entity-framework|RoleAssignments.QualityVerdictIsUnsupported|ra-close-pipeline-2026</t>
  </si>
  <si>
    <t>effortless-entity-framework|RoleAssignments.QualityVerdictIsUnsupported|ra-comms-2026</t>
  </si>
  <si>
    <t>effortless-entity-framework|RoleAssignments.QualityVerdictIsUnsupported|ra-controller-2026</t>
  </si>
  <si>
    <t>effortless-entity-framework|RoleAssignments.QualityVerdictIsUnsupported|ra-counsel-2026</t>
  </si>
  <si>
    <t>effortless-entity-framework|RoleAssignments.QualityVerdictIsUnsupported|ra-finance-2026</t>
  </si>
  <si>
    <t>effortless-entity-framework|RoleAssignments.QualityVerdictIsUnsupported|ra-new-variance</t>
  </si>
  <si>
    <t>effortless-entity-framework|RoleAssignments.QualityVerdictIsUnsupported|ra-notify-pipeline-2026</t>
  </si>
  <si>
    <t>effortless-entity-framework|RoleAssignments.QualityVerdictIsUnsupported|ra-old-variance</t>
  </si>
  <si>
    <t>effortless-entity-framework|RoleAssignments.QualityVerdictIsUnsupported|ra-policy-ai-2026</t>
  </si>
  <si>
    <t>effortless-entity-framework|RoleAssignments.QualityVerdictIsUnsupported|ra-policy-owner-2026</t>
  </si>
  <si>
    <t>effortless-entity-framework|RoleAssignments.QualityVerdictIsUnsupported|ra-steward-2026</t>
  </si>
  <si>
    <t>effortless-entity-framework|RoleAssignments.IsUnmeasuredAutomationHandover|ra-new-variance</t>
  </si>
  <si>
    <t>effortless-entity-framework|ProcedureVersions.DaysSinceModified|close-v1.0.0</t>
  </si>
  <si>
    <t>effortless-entity-framework|ProcedureVersions.DaysSinceModified|close-v1.1.0</t>
  </si>
  <si>
    <t>effortless-entity-framework|ProcedureVersions.DaysSinceModified|policy-v1.0.0</t>
  </si>
  <si>
    <t>effortless-entity-framework|ProcedureVersions.WasModifiedSinceLastReview|close-v1.1.0</t>
  </si>
  <si>
    <t>effortless-entity-framework|ProcedureVersions.WasModifiedSinceLastReview|policy-v1.0.0</t>
  </si>
  <si>
    <t>effortless-entity-framework|ProcedureVersions.HasUnwitnessedChange|close-v1.1.0</t>
  </si>
  <si>
    <t>effortless-entity-framework|ProcedureVersions.HasUnwitnessedChange|policy-v1.0.0</t>
  </si>
  <si>
    <t>effortless-entity-framework|Requirements.IsUntestedWitness|req-close-balance</t>
  </si>
  <si>
    <t>effortless-entity-framework|Requirements.IsUntestedWitness|req-close-cutoff</t>
  </si>
  <si>
    <t>effortless-entity-framework|Requirements.IsUntestedWitness|req-close-separation</t>
  </si>
  <si>
    <t>effortless-entity-framework|ElicitationSessions.Name|elicit-close-shadow</t>
  </si>
  <si>
    <t>effortless-entity-framework|ElicitationSessions.Name|elicit-policy-interview</t>
  </si>
  <si>
    <t>effortless-entity-framework|ElicitationSessions.Name|elicit-policy-workshop</t>
  </si>
  <si>
    <t>effortless-entity-framework|ElicitationSessions.DaysSinceElicited|elicit-policy-interview</t>
  </si>
  <si>
    <t>effortless-entity-framework|ElicitationSessions.DaysSinceElicited|elicit-policy-workshop</t>
  </si>
  <si>
    <t>effortless-entity-framework|KnowledgeFragments.DaysSinceActualReview|kf-close-fx-time</t>
  </si>
  <si>
    <t>effortless-entity-framework|KnowledgeFragments.DaysSinceActualReview|kf-close-top-ten</t>
  </si>
  <si>
    <t>effortless-entity-framework|KnowledgeFragments.DaysSinceActualReview|kf-policy-channel</t>
  </si>
  <si>
    <t>effortless-entity-framework|KnowledgeFragments.EvidenceAgeDays|kf-policy-ai-boundary</t>
  </si>
  <si>
    <t>effortless-entity-framework|KnowledgeFragments.EvidenceAgeDays|kf-policy-channel</t>
  </si>
  <si>
    <t>effortless-entity-framework|KnowledgeFragments.EvidenceAgeDays|kf-policy-manager-route</t>
  </si>
  <si>
    <t>effortless-entity-framework|KnowledgeFragments.AgeDays|kf-policy-ai-boundary</t>
  </si>
  <si>
    <t>effortless-entity-framework|KnowledgeFragments.AgeDays|kf-policy-channel</t>
  </si>
  <si>
    <t>effortless-entity-framework|KnowledgeFragments.AgeDays|kf-policy-manager-route</t>
  </si>
  <si>
    <t>effortless-entity-framework|KnowledgeFragments.DaysAwaitingMyApproval|kf-policy-manager-route</t>
  </si>
  <si>
    <t>effortless-entity-framework|KnowledgeGaps.DaysOpen|gap-policy-delivery-receipts</t>
  </si>
  <si>
    <t>effortless-entity-framework|IssueOccurrences.Name|issue-close-feed</t>
  </si>
  <si>
    <t>effortless-entity-framework|IssueOccurrences.Name|issue-policy-sms</t>
  </si>
  <si>
    <t>effortless-entity-framework|ChangeRequests.DaysPending|cr-close-timestamp</t>
  </si>
  <si>
    <t>effortless-entity-framework|ChangeRequests.DecisionLatencyDays|cr-close-timestamp</t>
  </si>
  <si>
    <t>effortless-entity-framework|ReviewEvents.DaysSinceReviewed|review-close-q1</t>
  </si>
  <si>
    <t>effortless-entity-framework|ReviewEvents.DaysSinceReviewed|review-close-q2</t>
  </si>
  <si>
    <t>effortless-entity-framework|ReviewEvents.DaysSinceReviewed|review-policy-prelaunch</t>
  </si>
  <si>
    <t>effortless-entity-framework|ReviewEvents.CadenceDriftDays|review-close-q1</t>
  </si>
  <si>
    <t>effortless-entity-framework|ReviewEvents.CadenceDriftDays|review-close-q2</t>
  </si>
  <si>
    <t>effortless-entity-framework|ReviewEvents.CadenceDriftDays|review-policy-prelaunch</t>
  </si>
  <si>
    <t>effortless-entity-framework|LearningActivities.Name|learn-close-retro</t>
  </si>
  <si>
    <t>effortless-entity-framework|LearningActivities.Name|learn-policy-tabletop</t>
  </si>
  <si>
    <t>effortless-entity-framework|ObservedTransitions.Name|obs-close-01-02-q2</t>
  </si>
  <si>
    <t>effortless-entity-framework|ObservedTransitions.Name|obs-close-02-03-q2</t>
  </si>
  <si>
    <t>effortless-entity-framework|ObservedTransitions.Name|obs-close-03-04-q2</t>
  </si>
  <si>
    <t>effortless-entity-framework|ObservedTransitions.Name|obs-close-04-05-q2</t>
  </si>
  <si>
    <t>effortless-entity-framework|ObservedTransitions.Name|obs-close-05-06-q2</t>
  </si>
  <si>
    <t>effortless-entity-framework|ObservedTransitions.Name|obs-close-06-07-q2</t>
  </si>
  <si>
    <t>effortless-entity-framework|ObservedTransitions.Name|obs-close-07-08-q2</t>
  </si>
  <si>
    <t>effortless-entity-framework|ObservedTransitions.Name|obs-policy-01-02-hr4821</t>
  </si>
  <si>
    <t>effortless-entity-framework|ObservedTransitions.Name|obs-policy-02-03-hr4821</t>
  </si>
  <si>
    <t>effortless-entity-framework|ObservedTransitions.Name|obs-policy-03-04-hr4821</t>
  </si>
  <si>
    <t>effortless-entity-framework|MessageDeliveries.Name|md-001</t>
  </si>
  <si>
    <t>effortless-entity-framework|MessageDeliveries.Name|md-002</t>
  </si>
  <si>
    <t>effortless-entity-framework|MessageDeliveries.Name|md-003</t>
  </si>
  <si>
    <t>effortless-entity-framework|MessageDeliveries.Name|md-004</t>
  </si>
  <si>
    <t>effortless-entity-framework|MessageDeliveries.Name|md-005</t>
  </si>
  <si>
    <t>effortless-entity-framework|MessageDeliveries.Name|md-006</t>
  </si>
  <si>
    <t>effortless-entity-framework|MessageDeliveries.AgeDays|md-001</t>
  </si>
  <si>
    <t>effortless-entity-framework|MessageDeliveries.AgeDays|md-002</t>
  </si>
  <si>
    <t>effortless-entity-framework|MessageDeliveries.AgeDays|md-003</t>
  </si>
  <si>
    <t>effortless-entity-framework|MessageDeliveries.AgeDays|md-004</t>
  </si>
  <si>
    <t>effortless-entity-framework|MessageDeliveries.AgeDays|md-005</t>
  </si>
  <si>
    <t>effortless-entity-framework|MessageDeliveries.AgeDays|md-006</t>
  </si>
  <si>
    <t>effortless-entity-framework|MessageDeliveries.SegmentCount|md-001</t>
  </si>
  <si>
    <t>effortless-entity-framework|MessageDeliveries.SegmentCount|md-002</t>
  </si>
  <si>
    <t>effortless-entity-framework|MessageDeliveries.SegmentCount|md-003</t>
  </si>
  <si>
    <t>effortless-entity-framework|MessageDeliveries.SegmentCount|md-004</t>
  </si>
  <si>
    <t>effortless-entity-framework|MessageDeliveries.SegmentCount|md-005</t>
  </si>
  <si>
    <t>effortless-entity-framework|MessageDeliveries.SegmentCount|md-006</t>
  </si>
  <si>
    <t>effortless-entity-framework|MessageDeliveries.OutstandingAgeDays|md-002</t>
  </si>
  <si>
    <t>effortless-entity-framework|MessageDeliveries.OutstandingAgeDays|md-003</t>
  </si>
  <si>
    <t>effortless-entity-framework|MessageDeliveries.OutstandingAgeDays|md-005</t>
  </si>
  <si>
    <t>effortless-entity-framework|MessageDeliveries.OptOutPhrasePosition|md-003</t>
  </si>
  <si>
    <t>effortless-entity-framework|MessageDeliveries.OptOutPhrasePosition|md-004</t>
  </si>
  <si>
    <t>effortless-entity-framework|MessageDeliveries.OptOutPhrasePosition|md-006</t>
  </si>
  <si>
    <t>effortless-entity-framework|TemplateApprovals.Name|tap-email-001</t>
  </si>
  <si>
    <t>effortless-entity-framework|TemplateApprovals.Name|tap-sms-001</t>
  </si>
  <si>
    <t>effortless-entity-framework|SendIntents.DeferralAgeHours|si-001</t>
  </si>
  <si>
    <t>effortless-entity-framework|SendIntents.DeferralAgeHours|si-002</t>
  </si>
  <si>
    <t>effortless-entity-framework|SendIntents.DeferralAgeHours|si-003</t>
  </si>
  <si>
    <t>effortless-entity-framework|SendIntents.DeferralAgeHours|si-004</t>
  </si>
  <si>
    <t>effortless-entity-framework|SendIntents.DeferralAgeHours|si-005</t>
  </si>
  <si>
    <t>effortless-entity-framework|SendIntents.DeferralAgeHours|si-006</t>
  </si>
  <si>
    <t>effortless-entity-framework|SendIntents.DeferralAgeHours|si-007</t>
  </si>
  <si>
    <t>effortless-entity-framework|DeliveredCommunications.ContentMatchesApproval|dc-hr4821-email-001</t>
  </si>
  <si>
    <t>effortless-entity-framework|ProcessMiningRuns.Name|pmr-close-v10-archived</t>
  </si>
  <si>
    <t>"ERP General Ledger Audit Log / 2026-01-01 09:00:00-05"</t>
  </si>
  <si>
    <t>effortless-entity-framework|ProcessMiningRuns.Name|pmr-close-v11-cutoff-bypass</t>
  </si>
  <si>
    <t>effortless-entity-framework|ProcessMiningRuns.Name|pmr-close-v11-q3</t>
  </si>
  <si>
    <t>effortless-entity-framework|ProcessMiningRuns.Name|pmr-policy-v1-notify</t>
  </si>
  <si>
    <t>"Notification Pipeline Delivery Log / 2026-01-10 09:00:00-05"</t>
  </si>
  <si>
    <t>effortless-golang|EvaluationContexts.Name|eval-current</t>
  </si>
  <si>
    <t>effortless-golang|RoleAssignments.Name|ra-authority-2026</t>
  </si>
  <si>
    <t>effortless-golang|RoleAssignments.Name|ra-cfo-2026</t>
  </si>
  <si>
    <t>effortless-golang|RoleAssignments.Name|ra-close-pipeline-2026</t>
  </si>
  <si>
    <t>effortless-golang|RoleAssignments.Name|ra-comms-2026</t>
  </si>
  <si>
    <t>effortless-golang|RoleAssignments.Name|ra-controller-2026</t>
  </si>
  <si>
    <t>effortless-golang|RoleAssignments.Name|ra-counsel-2026</t>
  </si>
  <si>
    <t>effortless-golang|RoleAssignments.Name|ra-finance-2026</t>
  </si>
  <si>
    <t>effortless-golang|RoleAssignments.Name|ra-new-variance</t>
  </si>
  <si>
    <t>effortless-golang|RoleAssignments.Name|ra-notify-pipeline-2026</t>
  </si>
  <si>
    <t>effortless-golang|RoleAssignments.Name|ra-old-variance</t>
  </si>
  <si>
    <t>effortless-golang|RoleAssignments.Name|ra-policy-ai-2026</t>
  </si>
  <si>
    <t>effortless-golang|RoleAssignments.Name|ra-policy-owner-2026</t>
  </si>
  <si>
    <t>effortless-golang|RoleAssignments.Name|ra-steward-2026</t>
  </si>
  <si>
    <t>effortless-golang|RoleAssignments.QualityVerdictIsUnsupported|ra-authority-2026</t>
  </si>
  <si>
    <t>effortless-golang|RoleAssignments.QualityVerdictIsUnsupported|ra-cfo-2026</t>
  </si>
  <si>
    <t>effortless-golang|RoleAssignments.QualityVerdictIsUnsupported|ra-close-pipeline-2026</t>
  </si>
  <si>
    <t>effortless-golang|RoleAssignments.QualityVerdictIsUnsupported|ra-comms-2026</t>
  </si>
  <si>
    <t>effortless-golang|RoleAssignments.QualityVerdictIsUnsupported|ra-controller-2026</t>
  </si>
  <si>
    <t>effortless-golang|RoleAssignments.QualityVerdictIsUnsupported|ra-counsel-2026</t>
  </si>
  <si>
    <t>effortless-golang|RoleAssignments.QualityVerdictIsUnsupported|ra-finance-2026</t>
  </si>
  <si>
    <t>effortless-golang|RoleAssignments.QualityVerdictIsUnsupported|ra-new-variance</t>
  </si>
  <si>
    <t>effortless-golang|RoleAssignments.QualityVerdictIsUnsupported|ra-notify-pipeline-2026</t>
  </si>
  <si>
    <t>effortless-golang|RoleAssignments.QualityVerdictIsUnsupported|ra-old-variance</t>
  </si>
  <si>
    <t>effortless-golang|RoleAssignments.QualityVerdictIsUnsupported|ra-policy-ai-2026</t>
  </si>
  <si>
    <t>effortless-golang|RoleAssignments.QualityVerdictIsUnsupported|ra-policy-owner-2026</t>
  </si>
  <si>
    <t>effortless-golang|RoleAssignments.QualityVerdictIsUnsupported|ra-steward-2026</t>
  </si>
  <si>
    <t>effortless-golang|RoleAssignments.IsUnmeasuredAutomationHandover|ra-new-variance</t>
  </si>
  <si>
    <t>effortless-golang|ProcedureVersions.DaysSinceModified|close-v1.0.0</t>
  </si>
  <si>
    <t>effortless-golang|ProcedureVersions.DaysSinceModified|close-v1.1.0</t>
  </si>
  <si>
    <t>effortless-golang|ProcedureVersions.DaysSinceModified|policy-v1.0.0</t>
  </si>
  <si>
    <t>effortless-golang|ProcedureVersions.WasModifiedSinceLastReview|close-v1.1.0</t>
  </si>
  <si>
    <t>effortless-golang|ProcedureVersions.WasModifiedSinceLastReview|policy-v1.0.0</t>
  </si>
  <si>
    <t>effortless-golang|ProcedureVersions.HasUnwitnessedChange|close-v1.1.0</t>
  </si>
  <si>
    <t>effortless-golang|ProcedureVersions.HasUnwitnessedChange|policy-v1.0.0</t>
  </si>
  <si>
    <t>effortless-golang|Requirements.IsUntestedWitness|req-close-balance</t>
  </si>
  <si>
    <t>effortless-golang|Requirements.IsUntestedWitness|req-close-cutoff</t>
  </si>
  <si>
    <t>effortless-golang|Requirements.IsUntestedWitness|req-close-separation</t>
  </si>
  <si>
    <t>effortless-golang|ElicitationSessions.Name|elicit-close-shadow</t>
  </si>
  <si>
    <t>effortless-golang|ElicitationSessions.Name|elicit-policy-interview</t>
  </si>
  <si>
    <t>effortless-golang|ElicitationSessions.Name|elicit-policy-workshop</t>
  </si>
  <si>
    <t>effortless-golang|ElicitationSessions.DaysSinceElicited|elicit-policy-interview</t>
  </si>
  <si>
    <t>effortless-golang|ElicitationSessions.DaysSinceElicited|elicit-policy-workshop</t>
  </si>
  <si>
    <t>effortless-golang|KnowledgeFragments.DaysSinceActualReview|kf-close-fx-time</t>
  </si>
  <si>
    <t>effortless-golang|KnowledgeFragments.DaysSinceActualReview|kf-close-top-ten</t>
  </si>
  <si>
    <t>effortless-golang|KnowledgeFragments.DaysSinceActualReview|kf-policy-channel</t>
  </si>
  <si>
    <t>effortless-golang|KnowledgeFragments.EvidenceAgeDays|kf-policy-ai-boundary</t>
  </si>
  <si>
    <t>effortless-golang|KnowledgeFragments.EvidenceAgeDays|kf-policy-channel</t>
  </si>
  <si>
    <t>effortless-golang|KnowledgeFragments.EvidenceAgeDays|kf-policy-manager-route</t>
  </si>
  <si>
    <t>effortless-golang|KnowledgeFragments.AgeDays|kf-policy-ai-boundary</t>
  </si>
  <si>
    <t>effortless-golang|KnowledgeFragments.AgeDays|kf-policy-channel</t>
  </si>
  <si>
    <t>effortless-golang|KnowledgeFragments.AgeDays|kf-policy-manager-route</t>
  </si>
  <si>
    <t>effortless-golang|KnowledgeFragments.DaysAwaitingMyApproval|kf-policy-manager-route</t>
  </si>
  <si>
    <t>effortless-golang|KnowledgeGaps.DaysOpen|gap-policy-delivery-receipts</t>
  </si>
  <si>
    <t>effortless-golang|IssueOccurrences.Name|issue-close-feed</t>
  </si>
  <si>
    <t>effortless-golang|IssueOccurrences.Name|issue-policy-sms</t>
  </si>
  <si>
    <t>effortless-golang|ChangeRequests.DaysPending|cr-close-timestamp</t>
  </si>
  <si>
    <t>effortless-golang|ChangeRequests.DecisionLatencyDays|cr-close-timestamp</t>
  </si>
  <si>
    <t>effortless-golang|ReviewEvents.DaysSinceReviewed|review-close-q1</t>
  </si>
  <si>
    <t>effortless-golang|ReviewEvents.DaysSinceReviewed|review-close-q2</t>
  </si>
  <si>
    <t>effortless-golang|ReviewEvents.DaysSinceReviewed|review-policy-prelaunch</t>
  </si>
  <si>
    <t>effortless-golang|ReviewEvents.CadenceDriftDays|review-close-q1</t>
  </si>
  <si>
    <t>effortless-golang|ReviewEvents.CadenceDriftDays|review-close-q2</t>
  </si>
  <si>
    <t>effortless-golang|ReviewEvents.CadenceDriftDays|review-policy-prelaunch</t>
  </si>
  <si>
    <t>effortless-golang|LearningActivities.Name|learn-close-retro</t>
  </si>
  <si>
    <t>effortless-golang|LearningActivities.Name|learn-policy-tabletop</t>
  </si>
  <si>
    <t>effortless-golang|ObservedTransitions.Name|obs-close-01-02-q2</t>
  </si>
  <si>
    <t>effortless-golang|ObservedTransitions.Name|obs-close-02-03-q2</t>
  </si>
  <si>
    <t>effortless-golang|ObservedTransitions.Name|obs-close-03-04-q2</t>
  </si>
  <si>
    <t>effortless-golang|ObservedTransitions.Name|obs-close-04-05-q2</t>
  </si>
  <si>
    <t>effortless-golang|ObservedTransitions.Name|obs-close-05-06-q2</t>
  </si>
  <si>
    <t>effortless-golang|ObservedTransitions.Name|obs-close-06-07-q2</t>
  </si>
  <si>
    <t>effortless-golang|ObservedTransitions.Name|obs-close-07-08-q2</t>
  </si>
  <si>
    <t>effortless-golang|ObservedTransitions.Name|obs-policy-01-02-hr4821</t>
  </si>
  <si>
    <t>effortless-golang|ObservedTransitions.Name|obs-policy-02-03-hr4821</t>
  </si>
  <si>
    <t>effortless-golang|ObservedTransitions.Name|obs-policy-03-04-hr4821</t>
  </si>
  <si>
    <t>effortless-golang|MessageDeliveries.Name|md-001</t>
  </si>
  <si>
    <t>effortless-golang|MessageDeliveries.Name|md-002</t>
  </si>
  <si>
    <t>effortless-golang|MessageDeliveries.Name|md-003</t>
  </si>
  <si>
    <t>effortless-golang|MessageDeliveries.Name|md-004</t>
  </si>
  <si>
    <t>effortless-golang|MessageDeliveries.Name|md-005</t>
  </si>
  <si>
    <t>effortless-golang|MessageDeliveries.Name|md-006</t>
  </si>
  <si>
    <t>effortless-golang|MessageDeliveries.AgeDays|md-001</t>
  </si>
  <si>
    <t>effortless-golang|MessageDeliveries.AgeDays|md-002</t>
  </si>
  <si>
    <t>effortless-golang|MessageDeliveries.AgeDays|md-003</t>
  </si>
  <si>
    <t>effortless-golang|MessageDeliveries.AgeDays|md-004</t>
  </si>
  <si>
    <t>effortless-golang|MessageDeliveries.AgeDays|md-005</t>
  </si>
  <si>
    <t>effortless-golang|MessageDeliveries.AgeDays|md-006</t>
  </si>
  <si>
    <t>effortless-golang|MessageDeliveries.SegmentCount|md-001</t>
  </si>
  <si>
    <t>effortless-golang|MessageDeliveries.SegmentCount|md-002</t>
  </si>
  <si>
    <t>effortless-golang|MessageDeliveries.SegmentCount|md-003</t>
  </si>
  <si>
    <t>effortless-golang|MessageDeliveries.SegmentCount|md-004</t>
  </si>
  <si>
    <t>effortless-golang|MessageDeliveries.SegmentCount|md-005</t>
  </si>
  <si>
    <t>effortless-golang|MessageDeliveries.SegmentCount|md-006</t>
  </si>
  <si>
    <t>effortless-golang|MessageDeliveries.OutstandingAgeDays|md-002</t>
  </si>
  <si>
    <t>effortless-golang|MessageDeliveries.OutstandingAgeDays|md-003</t>
  </si>
  <si>
    <t>effortless-golang|MessageDeliveries.OutstandingAgeDays|md-005</t>
  </si>
  <si>
    <t>effortless-golang|MessageDeliveries.OptOutPhrasePosition|md-003</t>
  </si>
  <si>
    <t>effortless-golang|MessageDeliveries.OptOutPhrasePosition|md-004</t>
  </si>
  <si>
    <t>effortless-golang|MessageDeliveries.OptOutPhrasePosition|md-006</t>
  </si>
  <si>
    <t>effortless-golang|TemplateApprovals.Name|tap-email-001</t>
  </si>
  <si>
    <t>effortless-golang|TemplateApprovals.Name|tap-sms-001</t>
  </si>
  <si>
    <t>effortless-golang|SendIntents.DeferralAgeHours|si-001</t>
  </si>
  <si>
    <t>effortless-golang|SendIntents.DeferralAgeHours|si-002</t>
  </si>
  <si>
    <t>effortless-golang|SendIntents.DeferralAgeHours|si-003</t>
  </si>
  <si>
    <t>effortless-golang|SendIntents.DeferralAgeHours|si-004</t>
  </si>
  <si>
    <t>effortless-golang|SendIntents.DeferralAgeHours|si-005</t>
  </si>
  <si>
    <t>effortless-golang|SendIntents.DeferralAgeHours|si-006</t>
  </si>
  <si>
    <t>effortless-golang|SendIntents.DeferralAgeHours|si-007</t>
  </si>
  <si>
    <t>effortless-golang|DeliveredCommunications.ContentMatchesApproval|dc-hr4821-email-001</t>
  </si>
  <si>
    <t>effortless-golang|ProcessMiningRuns.Name|pmr-close-v10-archived</t>
  </si>
  <si>
    <t>effortless-golang|ProcessMiningRuns.Name|pmr-close-v11-cutoff-bypass</t>
  </si>
  <si>
    <t>effortless-golang|ProcessMiningRuns.Name|pmr-close-v11-q3</t>
  </si>
  <si>
    <t>effortless-golang|ProcessMiningRuns.Name|pmr-policy-v1-notify</t>
  </si>
  <si>
    <t>effortless-owl|RulebookReleases.Name|erb-pko-1.0.0</t>
  </si>
  <si>
    <t>"1.0.0 / PKO https://w3id.org/pko/2.0.0"</t>
  </si>
  <si>
    <t>effortless-owl|RoleAssignments.QualityVerdictIsUnsupported|ra-authority-2026</t>
  </si>
  <si>
    <t>effortless-owl|RoleAssignments.QualityVerdictIsUnsupported|ra-cfo-2026</t>
  </si>
  <si>
    <t>effortless-owl|RoleAssignments.QualityVerdictIsUnsupported|ra-close-pipeline-2026</t>
  </si>
  <si>
    <t>effortless-owl|RoleAssignments.QualityVerdictIsUnsupported|ra-comms-2026</t>
  </si>
  <si>
    <t>effortless-owl|RoleAssignments.QualityVerdictIsUnsupported|ra-controller-2026</t>
  </si>
  <si>
    <t>effortless-owl|RoleAssignments.QualityVerdictIsUnsupported|ra-counsel-2026</t>
  </si>
  <si>
    <t>effortless-owl|RoleAssignments.QualityVerdictIsUnsupported|ra-finance-2026</t>
  </si>
  <si>
    <t>effortless-owl|RoleAssignments.QualityVerdictIsUnsupported|ra-new-variance</t>
  </si>
  <si>
    <t>effortless-owl|RoleAssignments.QualityVerdictIsUnsupported|ra-notify-pipeline-2026</t>
  </si>
  <si>
    <t>effortless-owl|RoleAssignments.QualityVerdictIsUnsupported|ra-old-variance</t>
  </si>
  <si>
    <t>effortless-owl|RoleAssignments.QualityVerdictIsUnsupported|ra-policy-ai-2026</t>
  </si>
  <si>
    <t>effortless-owl|RoleAssignments.QualityVerdictIsUnsupported|ra-policy-owner-2026</t>
  </si>
  <si>
    <t>effortless-owl|RoleAssignments.QualityVerdictIsUnsupported|ra-steward-2026</t>
  </si>
  <si>
    <t>effortless-owl|RoleAssignments.IsUnmeasuredAutomationHandover|ra-new-variance</t>
  </si>
  <si>
    <t>effortless-owl|ProcedureVersions.DaysSinceModified|close-v1.0.0</t>
  </si>
  <si>
    <t>"110"</t>
  </si>
  <si>
    <t>effortless-owl|ProcedureVersions.DaysSinceModified|close-v1.1.0</t>
  </si>
  <si>
    <t>"17"</t>
  </si>
  <si>
    <t>effortless-owl|ProcedureVersions.DaysSinceModified|policy-v1.0.0</t>
  </si>
  <si>
    <t>"1"</t>
  </si>
  <si>
    <t>effortless-owl|ProcedureVersions.IncomingSupersessionCount|close-v1.0.0</t>
  </si>
  <si>
    <t>effortless-owl|ProcedureVersions.IsStillReferenced|close-v1.0.0</t>
  </si>
  <si>
    <t>effortless-owl|ProcedureVersions.IsLoadBearingOrphan|close-v1.0.0</t>
  </si>
  <si>
    <t>effortless-owl|ProcedureVersions.IsCleanlyRetired|close-v1.0.0</t>
  </si>
  <si>
    <t>effortless-owl|ProcedureVersions.DaysSinceLastReview|close-v1.1.0</t>
  </si>
  <si>
    <t>effortless-owl|ProcedureVersions.DaysSinceLastReview|policy-v1.0.0</t>
  </si>
  <si>
    <t>effortless-owl|ProcedureVersions.WasModifiedSinceLastReview|close-v1.1.0</t>
  </si>
  <si>
    <t>effortless-owl|ProcedureVersions.WasModifiedSinceLastReview|policy-v1.0.0</t>
  </si>
  <si>
    <t>effortless-owl|ProcedureVersions.HasUnwitnessedChange|close-v1.1.0</t>
  </si>
  <si>
    <t>effortless-owl|ProcedureVersions.HasUnwitnessedChange|policy-v1.0.0</t>
  </si>
  <si>
    <t>effortless-owl|ProcedureVersionLinks.SupersededVersionKey|close-v1.0.0-to-v1.1.0</t>
  </si>
  <si>
    <t>"close-v1.0.0"</t>
  </si>
  <si>
    <t>effortless-owl|Steps.StaleBindingCount|close-02</t>
  </si>
  <si>
    <t>effortless-owl|Steps.StaleBindingCount|policy-01</t>
  </si>
  <si>
    <t>effortless-owl|Steps.StaleBindingCount|policy-07</t>
  </si>
  <si>
    <t>effortless-owl|Steps.AuthoritativeStaleCount|close-02</t>
  </si>
  <si>
    <t>effortless-owl|Steps.AuthoritativeStaleCount|policy-01</t>
  </si>
  <si>
    <t>effortless-owl|Steps.AuthoritativeStaleCount|policy-07</t>
  </si>
  <si>
    <t>effortless-owl|Steps.StaleAuthoritativeBindingCount|close-02</t>
  </si>
  <si>
    <t>effortless-owl|Steps.StaleAuthoritativeBindingCount|policy-01</t>
  </si>
  <si>
    <t>effortless-owl|Steps.StaleAuthoritativeBindingCount|policy-07</t>
  </si>
  <si>
    <t>effortless-owl|Steps.InputsAreFresh|close-02</t>
  </si>
  <si>
    <t>effortless-owl|Steps.InputsAreFresh|policy-01</t>
  </si>
  <si>
    <t>effortless-owl|Steps.InputsAreFresh|policy-07</t>
  </si>
  <si>
    <t>effortless-owl|StepTransitions.CountOfFromStepExecutions|close-01-to-close-02</t>
  </si>
  <si>
    <t>effortless-owl|StepTransitions.CountOfFromStepExecutions|close-02-to-close-03</t>
  </si>
  <si>
    <t>effortless-owl|StepTransitions.CountOfFromStepExecutions|close-03-to-close-04</t>
  </si>
  <si>
    <t>effortless-owl|StepTransitions.CountOfFromStepExecutions|close-04-fallback-close-03</t>
  </si>
  <si>
    <t>effortless-owl|StepTransitions.CountOfFromStepExecutions|close-04-to-close-05</t>
  </si>
  <si>
    <t>effortless-owl|StepTransitions.CountOfFromStepExecutions|close-05-to-close-06</t>
  </si>
  <si>
    <t>effortless-owl|StepTransitions.CountOfFromStepExecutions|close-06-return-close-04</t>
  </si>
  <si>
    <t>effortless-owl|StepTransitions.CountOfFromStepExecutions|close-06-to-close-07</t>
  </si>
  <si>
    <t>effortless-owl|StepTransitions.CountOfFromStepExecutions|close-07-to-close-08</t>
  </si>
  <si>
    <t>effortless-owl|StepTransitions.CountOfFromStepExecutions|policy-01-to-policy-02</t>
  </si>
  <si>
    <t>effortless-owl|StepTransitions.CountOfFromStepExecutions|policy-02-to-policy-03</t>
  </si>
  <si>
    <t>effortless-owl|StepTransitions.CountOfFromStepExecutions|policy-03-to-policy-04</t>
  </si>
  <si>
    <t>effortless-owl|StepTransitions.CountOfFromStepExecutions|policy-04-return-policy-03</t>
  </si>
  <si>
    <t>effortless-owl|StepTransitions.CountOfFromStepExecutions|policy-04-to-policy-05</t>
  </si>
  <si>
    <t>effortless-owl|StepTransitions.CountOfToStepExecutions|close-01-to-close-02</t>
  </si>
  <si>
    <t>effortless-owl|StepTransitions.CountOfToStepExecutions|close-02-to-close-03</t>
  </si>
  <si>
    <t>effortless-owl|StepTransitions.CountOfToStepExecutions|close-03-to-close-04</t>
  </si>
  <si>
    <t>effortless-owl|StepTransitions.CountOfToStepExecutions|close-04-fallback-close-03</t>
  </si>
  <si>
    <t>effortless-owl|StepTransitions.CountOfToStepExecutions|close-04-to-close-05</t>
  </si>
  <si>
    <t>effortless-owl|StepTransitions.CountOfToStepExecutions|close-05-to-close-06</t>
  </si>
  <si>
    <t>effortless-owl|StepTransitions.CountOfToStepExecutions|close-06-return-close-04</t>
  </si>
  <si>
    <t>effortless-owl|StepTransitions.CountOfToStepExecutions|close-06-to-close-07</t>
  </si>
  <si>
    <t>effortless-owl|StepTransitions.CountOfToStepExecutions|close-07-to-close-08</t>
  </si>
  <si>
    <t>effortless-owl|StepTransitions.CountOfToStepExecutions|policy-01-to-policy-02</t>
  </si>
  <si>
    <t>effortless-owl|StepTransitions.CountOfToStepExecutions|policy-02-to-policy-03</t>
  </si>
  <si>
    <t>effortless-owl|StepTransitions.CountOfToStepExecutions|policy-03-to-policy-04</t>
  </si>
  <si>
    <t>effortless-owl|StepTransitions.CountOfToStepExecutions|policy-04-return-policy-03</t>
  </si>
  <si>
    <t>effortless-owl|StepTransitions.HasReachableOrigin|close-01-to-close-02</t>
  </si>
  <si>
    <t>effortless-owl|StepTransitions.HasReachableOrigin|close-02-to-close-03</t>
  </si>
  <si>
    <t>effortless-owl|StepTransitions.HasReachableOrigin|close-03-to-close-04</t>
  </si>
  <si>
    <t>effortless-owl|StepTransitions.HasReachableOrigin|close-04-fallback-close-03</t>
  </si>
  <si>
    <t>effortless-owl|StepTransitions.HasReachableOrigin|close-04-to-close-05</t>
  </si>
  <si>
    <t>effortless-owl|StepTransitions.HasReachableOrigin|close-05-to-close-06</t>
  </si>
  <si>
    <t>effortless-owl|StepTransitions.HasReachableOrigin|close-06-return-close-04</t>
  </si>
  <si>
    <t>effortless-owl|StepTransitions.HasReachableOrigin|close-06-to-close-07</t>
  </si>
  <si>
    <t>effortless-owl|StepTransitions.HasReachableOrigin|close-07-to-close-08</t>
  </si>
  <si>
    <t>effortless-owl|StepTransitions.HasReachableOrigin|policy-01-to-policy-02</t>
  </si>
  <si>
    <t>effortless-owl|StepTransitions.HasReachableOrigin|policy-02-to-policy-03</t>
  </si>
  <si>
    <t>effortless-owl|StepTransitions.HasReachableOrigin|policy-03-to-policy-04</t>
  </si>
  <si>
    <t>effortless-owl|StepTransitions.HasReachableOrigin|policy-04-return-policy-03</t>
  </si>
  <si>
    <t>effortless-owl|StepTransitions.HasReachableOrigin|policy-04-to-policy-05</t>
  </si>
  <si>
    <t>effortless-owl|StepTransitions.HasReachableTarget|close-01-to-close-02</t>
  </si>
  <si>
    <t>effortless-owl|StepTransitions.HasReachableTarget|close-02-to-close-03</t>
  </si>
  <si>
    <t>effortless-owl|StepTransitions.HasReachableTarget|close-03-to-close-04</t>
  </si>
  <si>
    <t>effortless-owl|StepTransitions.HasReachableTarget|close-04-fallback-close-03</t>
  </si>
  <si>
    <t>effortless-owl|StepTransitions.HasReachableTarget|close-04-to-close-05</t>
  </si>
  <si>
    <t>effortless-owl|StepTransitions.HasReachableTarget|close-05-to-close-06</t>
  </si>
  <si>
    <t>effortless-owl|StepTransitions.HasReachableTarget|close-06-return-close-04</t>
  </si>
  <si>
    <t>effortless-owl|StepTransitions.HasReachableTarget|close-06-to-close-07</t>
  </si>
  <si>
    <t>effortless-owl|StepTransitions.HasReachableTarget|close-07-to-close-08</t>
  </si>
  <si>
    <t>effortless-owl|StepTransitions.HasReachableTarget|policy-01-to-policy-02</t>
  </si>
  <si>
    <t>effortless-owl|StepTransitions.HasReachableTarget|policy-02-to-policy-03</t>
  </si>
  <si>
    <t>effortless-owl|StepTransitions.HasReachableTarget|policy-03-to-policy-04</t>
  </si>
  <si>
    <t>effortless-owl|StepTransitions.HasReachableTarget|policy-04-return-policy-03</t>
  </si>
  <si>
    <t>effortless-owl|StepTransitions.IsNeverExercised|close-01-to-close-02</t>
  </si>
  <si>
    <t>effortless-owl|StepTransitions.IsNeverExercised|close-02-to-close-03</t>
  </si>
  <si>
    <t>effortless-owl|StepTransitions.IsNeverExercised|close-03-to-close-04</t>
  </si>
  <si>
    <t>effortless-owl|StepTransitions.IsNeverExercised|close-04-fallback-close-03</t>
  </si>
  <si>
    <t>effortless-owl|StepTransitions.IsNeverExercised|close-04-to-close-05</t>
  </si>
  <si>
    <t>effortless-owl|StepTransitions.IsNeverExercised|close-05-to-close-06</t>
  </si>
  <si>
    <t>effortless-owl|StepTransitions.IsNeverExercised|close-06-return-close-04</t>
  </si>
  <si>
    <t>effortless-owl|StepTransitions.IsNeverExercised|close-06-to-close-07</t>
  </si>
  <si>
    <t>effortless-owl|StepTransitions.IsNeverExercised|close-07-to-close-08</t>
  </si>
  <si>
    <t>effortless-owl|StepTransitions.IsNeverExercised|policy-01-to-policy-02</t>
  </si>
  <si>
    <t>effortless-owl|StepTransitions.IsNeverExercised|policy-02-to-policy-03</t>
  </si>
  <si>
    <t>effortless-owl|StepTransitions.IsNeverExercised|policy-03-to-policy-04</t>
  </si>
  <si>
    <t>effortless-owl|StepTransitions.IsNeverExercised|policy-04-return-policy-03</t>
  </si>
  <si>
    <t>effortless-owl|StepTransitions.IsUntestedRecoveryPath|close-04-fallback-close-03</t>
  </si>
  <si>
    <t>effortless-owl|StepTransitions.IsUntestedRecoveryPath|close-06-return-close-04</t>
  </si>
  <si>
    <t>effortless-owl|StepTransitions.IsUntestedRecoveryPath|policy-04-return-policy-03</t>
  </si>
  <si>
    <t>effortless-owl|Requirements.IsUntestedWitness|req-close-balance</t>
  </si>
  <si>
    <t>effortless-owl|Requirements.IsUntestedWitness|req-close-cutoff</t>
  </si>
  <si>
    <t>effortless-owl|Requirements.IsUntestedWitness|req-close-separation</t>
  </si>
  <si>
    <t>effortless-owl|Requirements.ControlAssuranceState|req-close-balance</t>
  </si>
  <si>
    <t>effortless-owl|Requirements.ControlAssuranceState|req-close-cutoff</t>
  </si>
  <si>
    <t>effortless-owl|Requirements.ControlAssuranceState|req-close-separation</t>
  </si>
  <si>
    <t>effortless-owl|ElicitationSessions.DaysSinceElicited|elicit-policy-interview</t>
  </si>
  <si>
    <t>"68"</t>
  </si>
  <si>
    <t>effortless-owl|ElicitationSessions.DaysSinceElicited|elicit-policy-workshop</t>
  </si>
  <si>
    <t>"70"</t>
  </si>
  <si>
    <t>effortless-owl|KnowledgeFragments.DaysSinceActualReview|kf-close-fx-time</t>
  </si>
  <si>
    <t>effortless-owl|KnowledgeFragments.DaysSinceActualReview|kf-close-top-ten</t>
  </si>
  <si>
    <t>effortless-owl|KnowledgeFragments.DaysSinceActualReview|kf-policy-channel</t>
  </si>
  <si>
    <t>effortless-owl|KnowledgeFragments.EvidenceExpiryDays|kf-close-retention</t>
  </si>
  <si>
    <t>effortless-owl|KnowledgeFragments.FragilitySignalCount|kf-close-retention</t>
  </si>
  <si>
    <t>effortless-owl|KnowledgeFragments.FragilitySignalCount|kf-policy-channel</t>
  </si>
  <si>
    <t>effortless-owl|KnowledgeFragments.FragilitySignalCount|kf-policy-manager-route</t>
  </si>
  <si>
    <t>effortless-owl|KnowledgeFragments.EvidenceAgeDays|kf-policy-ai-boundary</t>
  </si>
  <si>
    <t>effortless-owl|KnowledgeFragments.EvidenceAgeDays|kf-policy-channel</t>
  </si>
  <si>
    <t>effortless-owl|KnowledgeFragments.EvidenceAgeDays|kf-policy-manager-route</t>
  </si>
  <si>
    <t>effortless-owl|KnowledgeFragments.AgeDays|kf-policy-ai-boundary</t>
  </si>
  <si>
    <t>effortless-owl|KnowledgeFragments.AgeDays|kf-policy-channel</t>
  </si>
  <si>
    <t>effortless-owl|KnowledgeFragments.AgeDays|kf-policy-manager-route</t>
  </si>
  <si>
    <t>effortless-owl|KnowledgeFragments.IsInvokedByAnException|kf-policy-channel</t>
  </si>
  <si>
    <t>effortless-owl|KnowledgeFragments.IsInvokedByAnException|kf-policy-manager-route</t>
  </si>
  <si>
    <t>effortless-owl|KnowledgeFragments.HasOperationalReliance|kf-policy-channel</t>
  </si>
  <si>
    <t>effortless-owl|KnowledgeFragments.HasOperationalReliance|kf-policy-manager-route</t>
  </si>
  <si>
    <t>effortless-owl|KnowledgeFragments.RelianceSurfaceCount|kf-policy-channel</t>
  </si>
  <si>
    <t>effortless-owl|KnowledgeFragments.RelianceSurfaceCount|kf-policy-manager-route</t>
  </si>
  <si>
    <t>effortless-owl|KnowledgeFragments.IsUnapprovedAndOperationallyLive|kf-policy-manager-route</t>
  </si>
  <si>
    <t>effortless-owl|KnowledgeFragments.DaysAwaitingMyApproval|kf-policy-manager-route</t>
  </si>
  <si>
    <t>effortless-owl|KnowledgeGaps.DaysOpen|gap-policy-delivery-receipts</t>
  </si>
  <si>
    <t>effortless-owl|ProcedureExecutions.LateStepCount|exec-close-2026-q2</t>
  </si>
  <si>
    <t>effortless-owl|ProcedureExecutions.LateStepCount|exec-policy-hr4821</t>
  </si>
  <si>
    <t>effortless-owl|ProcedureExecutions.UncleanStepCount|exec-close-2026-q2</t>
  </si>
  <si>
    <t>effortless-owl|ProcedureExecutions.UncleanStepCount|exec-policy-hr4821</t>
  </si>
  <si>
    <t>effortless-owl|ProcedureExecutions.VacuouslyCleanStepCount|exec-close-2026-q2</t>
  </si>
  <si>
    <t>effortless-owl|ProcedureExecutions.VacuouslyCleanStepCount|exec-policy-hr4821</t>
  </si>
  <si>
    <t>effortless-owl|ProcedureExecutions.UngovernedDivergenceCount|exec-policy-hr4821</t>
  </si>
  <si>
    <t>effortless-owl|StepExecutions.ActualDurationMinutes|se-close01</t>
  </si>
  <si>
    <t>effortless-owl|StepExecutions.ActualDurationMinutes|se-close02</t>
  </si>
  <si>
    <t>effortless-owl|StepExecutions.ActualDurationMinutes|se-close03</t>
  </si>
  <si>
    <t>effortless-owl|StepExecutions.ActualDurationMinutes|se-close04</t>
  </si>
  <si>
    <t>effortless-owl|StepExecutions.ActualDurationMinutes|se-close05</t>
  </si>
  <si>
    <t>effortless-owl|StepExecutions.ActualDurationMinutes|se-close06</t>
  </si>
  <si>
    <t>effortless-owl|StepExecutions.ActualDurationMinutes|se-close07</t>
  </si>
  <si>
    <t>effortless-owl|StepExecutions.ActualDurationMinutes|se-close08</t>
  </si>
  <si>
    <t>effortless-owl|StepExecutions.ActualDurationMinutes|se-policy01</t>
  </si>
  <si>
    <t>effortless-owl|StepExecutions.ActualDurationMinutes|se-policy02</t>
  </si>
  <si>
    <t>effortless-owl|StepExecutions.ActualDurationMinutes|se-policy03</t>
  </si>
  <si>
    <t>effortless-owl|StepExecutions.ActualDurationMinutes|se-policy04</t>
  </si>
  <si>
    <t>effortless-owl|StepExecutions.IsClean|se-close01</t>
  </si>
  <si>
    <t>effortless-owl|StepExecutions.IsClean|se-close06</t>
  </si>
  <si>
    <t>effortless-owl|StepExecutions.IsClean|se-close07</t>
  </si>
  <si>
    <t>effortless-owl|StepExecutions.IsClean|se-policy01</t>
  </si>
  <si>
    <t>effortless-owl|StepExecutions.IsClean|se-policy03</t>
  </si>
  <si>
    <t>effortless-owl|StepExecutions.IsSubstantivelyClean|se-close01</t>
  </si>
  <si>
    <t>effortless-owl|StepExecutions.IsLate|se-close02</t>
  </si>
  <si>
    <t>effortless-owl|StepExecutions.IsLate|se-close03</t>
  </si>
  <si>
    <t>effortless-owl|StepExecutions.IsLate|se-close04</t>
  </si>
  <si>
    <t>effortless-owl|StepExecutions.IsLate|se-close05</t>
  </si>
  <si>
    <t>effortless-owl|StepExecutions.IsLate|se-close08</t>
  </si>
  <si>
    <t>effortless-owl|StepExecutions.IsLate|se-policy02</t>
  </si>
  <si>
    <t>effortless-owl|StepExecutions.IsLate|se-policy04</t>
  </si>
  <si>
    <t>effortless-owl|StepExecutions.StaleAuthoritativeSourceCount|se-close02</t>
  </si>
  <si>
    <t>effortless-owl|StepExecutions.StaleAuthoritativeSourceCount|se-policy01</t>
  </si>
  <si>
    <t>effortless-owl|StepExecutions.RanOnStaleAuthoritativeSource|se-close02</t>
  </si>
  <si>
    <t>effortless-owl|StepExecutions.RanOnStaleAuthoritativeSource|se-policy01</t>
  </si>
  <si>
    <t>effortless-owl|StepExecutions.LateExecutionKey|se-close02</t>
  </si>
  <si>
    <t>effortless-owl|StepExecutions.LateExecutionKey|se-close03</t>
  </si>
  <si>
    <t>effortless-owl|StepExecutions.LateExecutionKey|se-close04</t>
  </si>
  <si>
    <t>effortless-owl|StepExecutions.LateExecutionKey|se-close05</t>
  </si>
  <si>
    <t>effortless-owl|StepExecutions.LateExecutionKey|se-close08</t>
  </si>
  <si>
    <t>effortless-owl|StepExecutions.LateExecutionKey|se-policy02</t>
  </si>
  <si>
    <t>effortless-owl|StepExecutions.LateExecutionKey|se-policy04</t>
  </si>
  <si>
    <t>effortless-owl|StepExecutions.InputsWereFreshAtRun|se-close02</t>
  </si>
  <si>
    <t>effortless-owl|StepExecutions.InputsWereFreshAtRun|se-policy01</t>
  </si>
  <si>
    <t>effortless-owl|StepExecutions.RanOnStaleInputs|se-close02</t>
  </si>
  <si>
    <t>effortless-owl|StepExecutions.RanOnStaleInputs|se-policy01</t>
  </si>
  <si>
    <t>effortless-owl|StepExecutions.StalenessAnswerIsTenseDependent|se-close02</t>
  </si>
  <si>
    <t>effortless-owl|StepExecutions.StalenessAnswerIsTenseDependent|se-policy01</t>
  </si>
  <si>
    <t>effortless-owl|StepExecutions.IsLateAndUnexplained|se-close03</t>
  </si>
  <si>
    <t>effortless-owl|StepExecutions.IsLateAndUnexplained|se-close05</t>
  </si>
  <si>
    <t>effortless-owl|StepExecutions.IsLateAndUnexplained|se-policy02</t>
  </si>
  <si>
    <t>effortless-owl|StepExecutions.ProcedureExecutionWhenUnclean|se-close03</t>
  </si>
  <si>
    <t>effortless-owl|StepExecutions.ProcedureExecutionWhenUnclean|se-close05</t>
  </si>
  <si>
    <t>effortless-owl|StepExecutions.ProcedureExecutionWhenUnclean|se-policy02</t>
  </si>
  <si>
    <t>effortless-owl|StepExecutions.IsVacuouslyClean|se-close07</t>
  </si>
  <si>
    <t>effortless-owl|StepExecutions.IsVacuouslyClean|se-policy01</t>
  </si>
  <si>
    <t>effortless-owl|StepExecutions.VacuouslyCleanExecutionKey|se-close07</t>
  </si>
  <si>
    <t>effortless-owl|StepExecutions.VacuouslyCleanExecutionKey|se-policy01</t>
  </si>
  <si>
    <t>effortless-owl|StepExecutions.IsUngovernedDivergence|se-policy02</t>
  </si>
  <si>
    <t>effortless-owl|StepExecutions.UngovernedDivergenceExecutionKey|se-policy02</t>
  </si>
  <si>
    <t>effortless-owl|ChangeRequests.DaysPending|cr-close-timestamp</t>
  </si>
  <si>
    <t>effortless-owl|ChangeRequests.DecisionLatencyDays|cr-close-timestamp</t>
  </si>
  <si>
    <t>effortless-owl|ReviewEvents.DaysSinceReviewed|review-close-q1</t>
  </si>
  <si>
    <t>"121"</t>
  </si>
  <si>
    <t>effortless-owl|ReviewEvents.DaysSinceReviewed|review-close-q2</t>
  </si>
  <si>
    <t>effortless-owl|ReviewEvents.DaysSinceReviewed|review-policy-prelaunch</t>
  </si>
  <si>
    <t>effortless-owl|ReviewEvents.CadenceDriftDays|review-close-q1</t>
  </si>
  <si>
    <t>31.0</t>
  </si>
  <si>
    <t>effortless-owl|ReviewEvents.CadenceDriftDays|review-close-q2</t>
  </si>
  <si>
    <t>-73.0</t>
  </si>
  <si>
    <t>effortless-owl|ReviewEvents.CadenceDriftDays|review-policy-prelaunch</t>
  </si>
  <si>
    <t>-59.0</t>
  </si>
  <si>
    <t>effortless-owl|OperationalBindings.AgeMinutes|bind-close-erp</t>
  </si>
  <si>
    <t>effortless-owl|OperationalBindings.AgeMinutes|bind-policy-consent</t>
  </si>
  <si>
    <t>effortless-owl|OperationalBindings.AgeMinutes|bind-policy-email</t>
  </si>
  <si>
    <t>effortless-owl|OperationalBindings.AgeMinutes|bind-policy-sms</t>
  </si>
  <si>
    <t>effortless-owl|OperationalBindings.AgeMinutes|bind-policy-ticket</t>
  </si>
  <si>
    <t>effortless-owl|OperationalBindings.StaleBindingStepKey|bind-close-erp</t>
  </si>
  <si>
    <t>effortless-owl|OperationalBindings.StaleBindingStepKey|bind-policy-consent</t>
  </si>
  <si>
    <t>effortless-owl|OperationalBindings.StaleBindingStepKey|bind-policy-ticket</t>
  </si>
  <si>
    <t>effortless-owl|OperationalBindings.AuthoritativeStaleStepKey|bind-close-erp</t>
  </si>
  <si>
    <t>effortless-owl|OperationalBindings.AuthoritativeStaleStepKey|bind-policy-consent</t>
  </si>
  <si>
    <t>effortless-owl|OperationalBindings.AuthoritativeStaleStepKey|bind-policy-ticket</t>
  </si>
  <si>
    <t>effortless-owl|OperationalBindings.IsStaleAndAuthoritative|bind-close-erp</t>
  </si>
  <si>
    <t>effortless-owl|OperationalBindings.IsStaleAndAuthoritative|bind-policy-consent</t>
  </si>
  <si>
    <t>effortless-owl|OperationalBindings.IsStaleAndAuthoritative|bind-policy-ticket</t>
  </si>
  <si>
    <t>effortless-owl|OperationalBindings.StepWhenStale|bind-close-erp</t>
  </si>
  <si>
    <t>effortless-owl|OperationalBindings.StepWhenStale|bind-policy-consent</t>
  </si>
  <si>
    <t>effortless-owl|OperationalBindings.StepWhenStale|bind-policy-ticket</t>
  </si>
  <si>
    <t>effortless-owl|OperationalBindings.IsFresh|bind-policy-email</t>
  </si>
  <si>
    <t>effortless-owl|OperationalBindings.IsFresh|bind-policy-sms</t>
  </si>
  <si>
    <t>effortless-owl|MessageDeliveries.AgeDays|md-001</t>
  </si>
  <si>
    <t>effortless-owl|MessageDeliveries.AgeDays|md-002</t>
  </si>
  <si>
    <t>effortless-owl|MessageDeliveries.AgeDays|md-003</t>
  </si>
  <si>
    <t>effortless-owl|MessageDeliveries.AgeDays|md-004</t>
  </si>
  <si>
    <t>effortless-owl|MessageDeliveries.AgeDays|md-005</t>
  </si>
  <si>
    <t>effortless-owl|MessageDeliveries.AgeDays|md-006</t>
  </si>
  <si>
    <t>effortless-owl|MessageDeliveries.OutstandingAgeDays|md-002</t>
  </si>
  <si>
    <t>effortless-owl|MessageDeliveries.OutstandingAgeDays|md-003</t>
  </si>
  <si>
    <t>effortless-owl|MessageDeliveries.OutstandingAgeDays|md-005</t>
  </si>
  <si>
    <t>effortless-owl|MessageDeliveries.HasOptOutPhrase|md-003</t>
  </si>
  <si>
    <t>effortless-owl|MessageDeliveries.HasOptOutPhrase|md-004</t>
  </si>
  <si>
    <t>effortless-owl|MessageDeliveries.HasOptOutPhrase|md-006</t>
  </si>
  <si>
    <t>effortless-owl|MessageDeliveries.IsOptOutInFirstSegment|md-003</t>
  </si>
  <si>
    <t>effortless-owl|MessageDeliveries.IsOptOutInFirstSegment|md-004</t>
  </si>
  <si>
    <t>effortless-owl|MessageDeliveries.IsOptOutInFirstSegment|md-006</t>
  </si>
  <si>
    <t>effortless-owl|MessageDeliveries.IsMissingRequiredOptOut|md-005</t>
  </si>
  <si>
    <t>effortless-owl|SendIntents.DeferralAgeHours|si-001</t>
  </si>
  <si>
    <t>effortless-owl|SendIntents.DeferralAgeHours|si-002</t>
  </si>
  <si>
    <t>effortless-owl|SendIntents.DeferralAgeHours|si-003</t>
  </si>
  <si>
    <t>effortless-owl|SendIntents.DeferralAgeHours|si-004</t>
  </si>
  <si>
    <t>effortless-owl|SendIntents.DeferralAgeHours|si-005</t>
  </si>
  <si>
    <t>effortless-owl|SendIntents.DeferralAgeHours|si-006</t>
  </si>
  <si>
    <t>effortless-owl|SendIntents.DeferralAgeHours|si-007</t>
  </si>
  <si>
    <t>effortless-owl|SendIntents.IsSelfWitnessedDecision|si-001</t>
  </si>
  <si>
    <t>effortless-owl|SendIntents.IsSelfWitnessedDecision|si-002</t>
  </si>
  <si>
    <t>effortless-owl|SendIntents.IsSelfWitnessedDecision|si-003</t>
  </si>
  <si>
    <t>effortless-owl|SendIntents.IsSelfWitnessedDecision|si-004</t>
  </si>
  <si>
    <t>effortless-owl|SendIntents.IsSelfWitnessedDecision|si-005</t>
  </si>
  <si>
    <t>effortless-owl|SendIntents.IsSelfWitnessedDecision|si-006</t>
  </si>
  <si>
    <t>effortless-owl|SendIntents.IsSelfWitnessedDecision|si-007</t>
  </si>
  <si>
    <t>effortless-owl|SendIntents.IsUnreportedRefusalOnMyRules|si-003</t>
  </si>
  <si>
    <t>effortless-owl|SendIntents.IsUnreportedRefusalOnMyRules|si-004</t>
  </si>
  <si>
    <t>effortless-owl|SendIntents.IsUnreportedRefusalOnMyRules|si-005</t>
  </si>
  <si>
    <t>effortless-owl|SendIntents.WindowHasSinceReopened|si-003</t>
  </si>
  <si>
    <t>effortless-owl|SendIntents.IsAbandonedDeferral|si-003</t>
  </si>
  <si>
    <t>effortless-owl|SendIntents.IsApprovalOverriddenSilently|si-004</t>
  </si>
  <si>
    <t>effortless-owl|SendIntents.IsApprovalOverriddenSilently|si-005</t>
  </si>
  <si>
    <t>effortless-owl|AgentDecisionRecords.ReviewLatencyMinutes|adr-close-extract-q2</t>
  </si>
  <si>
    <t>effortless-owl|AgentDecisionRecords.ReviewLatencyMinutes|adr-close-freeze-q2</t>
  </si>
  <si>
    <t>effortless-owl|AgentDecisionRecords.ReviewLatencyMinutes|adr-close-post-q2</t>
  </si>
  <si>
    <t>effortless-owl|DeliveredCommunications.Name|dc-hr4821-email-001</t>
  </si>
  <si>
    <t>effortless-owl|DeliveredCommunications.ContentMatchesApproval|dc-hr4821-email-001</t>
  </si>
  <si>
    <t>effortless-owl|AppRoleProfiles.RouteCount|profile-cfo</t>
  </si>
  <si>
    <t>effortless-owl|AppRoleProfiles.RouteCount|profile-close-automation</t>
  </si>
  <si>
    <t>effortless-owl|AppRoleProfiles.RouteCount|profile-communications-manager</t>
  </si>
  <si>
    <t>effortless-owl|AppRoleProfiles.RouteCount|profile-controller</t>
  </si>
  <si>
    <t>effortless-owl|AppRoleProfiles.RouteCount|profile-employment-counsel</t>
  </si>
  <si>
    <t>effortless-owl|AppRoleProfiles.RouteCount|profile-finance-analyst</t>
  </si>
  <si>
    <t>effortless-owl|AppRoleProfiles.RouteCount|profile-hr-policy-owner</t>
  </si>
  <si>
    <t>effortless-owl|AppRoleProfiles.RouteCount|profile-knowledge-authority</t>
  </si>
  <si>
    <t>effortless-owl|AppRoleProfiles.RouteCount|profile-notification-publisher</t>
  </si>
  <si>
    <t>effortless-owl|AppRoleProfiles.RouteCount|profile-policy-drafting-agent</t>
  </si>
  <si>
    <t>effortless-owl|AppRoleProfiles.RouteCount|profile-process-steward</t>
  </si>
  <si>
    <t>effortless-owl|AppRoleProfiles.RouteCount|profile-variance-review-agent</t>
  </si>
  <si>
    <t>effortless-owl|AccessDenialTests.Name|deny-cfo-send-intents</t>
  </si>
  <si>
    <t>"principal-cfo must not see "</t>
  </si>
  <si>
    <t>effortless-owl|AccessDenialTests.Name|deny-cfo-step-executions</t>
  </si>
  <si>
    <t>effortless-owl|AccessDenialTests.Name|deny-close-automation-change-requests</t>
  </si>
  <si>
    <t>"principal-close-automation must not see "</t>
  </si>
  <si>
    <t>effortless-owl|AccessDenialTests.Name|deny-close-automation-recipients</t>
  </si>
  <si>
    <t>effortless-owl|AccessDenialTests.Name|deny-employment-counsel-step-executions</t>
  </si>
  <si>
    <t>"principal-employment-counsel must not see "</t>
  </si>
  <si>
    <t>effortless-owl|AccessDenialTests.Name|deny-notification-publisher-knowledge-fragments</t>
  </si>
  <si>
    <t>"principal-notification-publisher must not see "</t>
  </si>
  <si>
    <t>effortless-owl|AccessDenialTests.Name|deny-policy-drafting-agent-recipients</t>
  </si>
  <si>
    <t>"principal-policy-drafting-agent must not see "</t>
  </si>
  <si>
    <t>effortless-owl|AccessDenialTests.Name|deny-variance-review-agent-recipients</t>
  </si>
  <si>
    <t>"principal-variance-review-agent must not see "</t>
  </si>
  <si>
    <t>effortless-python|EvaluationContexts.Name|eval-current</t>
  </si>
  <si>
    <t>effortless-python|RoleAssignments.Name|ra-authority-2026</t>
  </si>
  <si>
    <t>effortless-python|RoleAssignments.Name|ra-cfo-2026</t>
  </si>
  <si>
    <t>effortless-python|RoleAssignments.Name|ra-close-pipeline-2026</t>
  </si>
  <si>
    <t>effortless-python|RoleAssignments.Name|ra-comms-2026</t>
  </si>
  <si>
    <t>effortless-python|RoleAssignments.Name|ra-controller-2026</t>
  </si>
  <si>
    <t>effortless-python|RoleAssignments.Name|ra-counsel-2026</t>
  </si>
  <si>
    <t>effortless-python|RoleAssignments.Name|ra-finance-2026</t>
  </si>
  <si>
    <t>effortless-python|RoleAssignments.Name|ra-new-variance</t>
  </si>
  <si>
    <t>effortless-python|RoleAssignments.Name|ra-notify-pipeline-2026</t>
  </si>
  <si>
    <t>effortless-python|RoleAssignments.Name|ra-old-variance</t>
  </si>
  <si>
    <t>effortless-python|RoleAssignments.Name|ra-policy-ai-2026</t>
  </si>
  <si>
    <t>effortless-python|RoleAssignments.Name|ra-policy-owner-2026</t>
  </si>
  <si>
    <t>effortless-python|RoleAssignments.Name|ra-steward-2026</t>
  </si>
  <si>
    <t>effortless-python|RoleAssignments.QualityVerdictIsUnsupported|ra-authority-2026</t>
  </si>
  <si>
    <t>effortless-python|RoleAssignments.QualityVerdictIsUnsupported|ra-cfo-2026</t>
  </si>
  <si>
    <t>effortless-python|RoleAssignments.QualityVerdictIsUnsupported|ra-close-pipeline-2026</t>
  </si>
  <si>
    <t>effortless-python|RoleAssignments.QualityVerdictIsUnsupported|ra-comms-2026</t>
  </si>
  <si>
    <t>effortless-python|RoleAssignments.QualityVerdictIsUnsupported|ra-controller-2026</t>
  </si>
  <si>
    <t>effortless-python|RoleAssignments.QualityVerdictIsUnsupported|ra-counsel-2026</t>
  </si>
  <si>
    <t>effortless-python|RoleAssignments.QualityVerdictIsUnsupported|ra-finance-2026</t>
  </si>
  <si>
    <t>effortless-python|RoleAssignments.QualityVerdictIsUnsupported|ra-new-variance</t>
  </si>
  <si>
    <t>effortless-python|RoleAssignments.QualityVerdictIsUnsupported|ra-notify-pipeline-2026</t>
  </si>
  <si>
    <t>effortless-python|RoleAssignments.QualityVerdictIsUnsupported|ra-old-variance</t>
  </si>
  <si>
    <t>effortless-python|RoleAssignments.QualityVerdictIsUnsupported|ra-policy-ai-2026</t>
  </si>
  <si>
    <t>effortless-python|RoleAssignments.QualityVerdictIsUnsupported|ra-policy-owner-2026</t>
  </si>
  <si>
    <t>effortless-python|RoleAssignments.QualityVerdictIsUnsupported|ra-steward-2026</t>
  </si>
  <si>
    <t>effortless-python|RoleAssignments.IsUnmeasuredAutomationHandover|ra-new-variance</t>
  </si>
  <si>
    <t>effortless-python|ProcedureVersions.DaysSinceModified|close-v1.0.0</t>
  </si>
  <si>
    <t>effortless-python|ProcedureVersions.DaysSinceModified|close-v1.1.0</t>
  </si>
  <si>
    <t>effortless-python|ProcedureVersions.DaysSinceModified|policy-v1.0.0</t>
  </si>
  <si>
    <t>effortless-python|ProcedureVersions.WasModifiedSinceLastReview|close-v1.1.0</t>
  </si>
  <si>
    <t>effortless-python|ProcedureVersions.WasModifiedSinceLastReview|policy-v1.0.0</t>
  </si>
  <si>
    <t>effortless-python|ProcedureVersions.HasUnwitnessedChange|close-v1.1.0</t>
  </si>
  <si>
    <t>effortless-python|ProcedureVersions.HasUnwitnessedChange|policy-v1.0.0</t>
  </si>
  <si>
    <t>effortless-python|Requirements.IsUntestedWitness|req-close-balance</t>
  </si>
  <si>
    <t>effortless-python|Requirements.IsUntestedWitness|req-close-cutoff</t>
  </si>
  <si>
    <t>effortless-python|Requirements.IsUntestedWitness|req-close-separation</t>
  </si>
  <si>
    <t>effortless-python|ElicitationSessions.Name|elicit-close-shadow</t>
  </si>
  <si>
    <t>effortless-python|ElicitationSessions.Name|elicit-policy-interview</t>
  </si>
  <si>
    <t>effortless-python|ElicitationSessions.Name|elicit-policy-workshop</t>
  </si>
  <si>
    <t>effortless-python|ElicitationSessions.DaysSinceElicited|elicit-policy-interview</t>
  </si>
  <si>
    <t>effortless-python|ElicitationSessions.DaysSinceElicited|elicit-policy-workshop</t>
  </si>
  <si>
    <t>effortless-python|KnowledgeFragments.DaysSinceActualReview|kf-close-fx-time</t>
  </si>
  <si>
    <t>effortless-python|KnowledgeFragments.DaysSinceActualReview|kf-close-top-ten</t>
  </si>
  <si>
    <t>effortless-python|KnowledgeFragments.DaysSinceActualReview|kf-policy-channel</t>
  </si>
  <si>
    <t>effortless-python|KnowledgeFragments.EvidenceAgeDays|kf-policy-ai-boundary</t>
  </si>
  <si>
    <t>effortless-python|KnowledgeFragments.EvidenceAgeDays|kf-policy-channel</t>
  </si>
  <si>
    <t>effortless-python|KnowledgeFragments.EvidenceAgeDays|kf-policy-manager-route</t>
  </si>
  <si>
    <t>effortless-python|KnowledgeFragments.AgeDays|kf-policy-ai-boundary</t>
  </si>
  <si>
    <t>effortless-python|KnowledgeFragments.AgeDays|kf-policy-channel</t>
  </si>
  <si>
    <t>effortless-python|KnowledgeFragments.AgeDays|kf-policy-manager-route</t>
  </si>
  <si>
    <t>effortless-python|KnowledgeFragments.DaysAwaitingMyApproval|kf-policy-manager-route</t>
  </si>
  <si>
    <t>effortless-python|KnowledgeGaps.DaysOpen|gap-policy-delivery-receipts</t>
  </si>
  <si>
    <t>effortless-python|IssueOccurrences.Name|issue-close-feed</t>
  </si>
  <si>
    <t>effortless-python|IssueOccurrences.Name|issue-policy-sms</t>
  </si>
  <si>
    <t>effortless-python|ChangeRequests.DaysPending|cr-close-timestamp</t>
  </si>
  <si>
    <t>effortless-python|ChangeRequests.DecisionLatencyDays|cr-close-timestamp</t>
  </si>
  <si>
    <t>effortless-python|ReviewEvents.DaysSinceReviewed|review-close-q1</t>
  </si>
  <si>
    <t>effortless-python|ReviewEvents.DaysSinceReviewed|review-close-q2</t>
  </si>
  <si>
    <t>effortless-python|ReviewEvents.DaysSinceReviewed|review-policy-prelaunch</t>
  </si>
  <si>
    <t>effortless-python|ReviewEvents.CadenceDriftDays|review-close-q1</t>
  </si>
  <si>
    <t>effortless-python|ReviewEvents.CadenceDriftDays|review-close-q2</t>
  </si>
  <si>
    <t>effortless-python|ReviewEvents.CadenceDriftDays|review-policy-prelaunch</t>
  </si>
  <si>
    <t>effortless-python|LearningActivities.Name|learn-close-retro</t>
  </si>
  <si>
    <t>effortless-python|LearningActivities.Name|learn-policy-tabletop</t>
  </si>
  <si>
    <t>effortless-python|ObservedTransitions.Name|obs-close-01-02-q2</t>
  </si>
  <si>
    <t>effortless-python|ObservedTransitions.Name|obs-close-02-03-q2</t>
  </si>
  <si>
    <t>effortless-python|ObservedTransitions.Name|obs-close-03-04-q2</t>
  </si>
  <si>
    <t>effortless-python|ObservedTransitions.Name|obs-close-04-05-q2</t>
  </si>
  <si>
    <t>effortless-python|ObservedTransitions.Name|obs-close-05-06-q2</t>
  </si>
  <si>
    <t>effortless-python|ObservedTransitions.Name|obs-close-06-07-q2</t>
  </si>
  <si>
    <t>effortless-python|ObservedTransitions.Name|obs-close-07-08-q2</t>
  </si>
  <si>
    <t>effortless-python|ObservedTransitions.Name|obs-policy-01-02-hr4821</t>
  </si>
  <si>
    <t>effortless-python|ObservedTransitions.Name|obs-policy-02-03-hr4821</t>
  </si>
  <si>
    <t>effortless-python|ObservedTransitions.Name|obs-policy-03-04-hr4821</t>
  </si>
  <si>
    <t>effortless-python|MessageDeliveries.Name|md-001</t>
  </si>
  <si>
    <t>effortless-python|MessageDeliveries.Name|md-002</t>
  </si>
  <si>
    <t>effortless-python|MessageDeliveries.Name|md-003</t>
  </si>
  <si>
    <t>effortless-python|MessageDeliveries.Name|md-004</t>
  </si>
  <si>
    <t>effortless-python|MessageDeliveries.Name|md-005</t>
  </si>
  <si>
    <t>effortless-python|MessageDeliveries.Name|md-006</t>
  </si>
  <si>
    <t>effortless-python|MessageDeliveries.AgeDays|md-001</t>
  </si>
  <si>
    <t>effortless-python|MessageDeliveries.AgeDays|md-002</t>
  </si>
  <si>
    <t>effortless-python|MessageDeliveries.AgeDays|md-003</t>
  </si>
  <si>
    <t>effortless-python|MessageDeliveries.AgeDays|md-004</t>
  </si>
  <si>
    <t>effortless-python|MessageDeliveries.AgeDays|md-005</t>
  </si>
  <si>
    <t>effortless-python|MessageDeliveries.AgeDays|md-006</t>
  </si>
  <si>
    <t>effortless-python|MessageDeliveries.SegmentCount|md-001</t>
  </si>
  <si>
    <t>effortless-python|MessageDeliveries.SegmentCount|md-002</t>
  </si>
  <si>
    <t>effortless-python|MessageDeliveries.SegmentCount|md-003</t>
  </si>
  <si>
    <t>effortless-python|MessageDeliveries.SegmentCount|md-004</t>
  </si>
  <si>
    <t>effortless-python|MessageDeliveries.SegmentCount|md-005</t>
  </si>
  <si>
    <t>effortless-python|MessageDeliveries.SegmentCount|md-006</t>
  </si>
  <si>
    <t>effortless-python|MessageDeliveries.OutstandingAgeDays|md-002</t>
  </si>
  <si>
    <t>effortless-python|MessageDeliveries.OutstandingAgeDays|md-003</t>
  </si>
  <si>
    <t>effortless-python|MessageDeliveries.OutstandingAgeDays|md-005</t>
  </si>
  <si>
    <t>effortless-python|MessageDeliveries.OptOutPhrasePosition|md-003</t>
  </si>
  <si>
    <t>effortless-python|MessageDeliveries.OptOutPhrasePosition|md-004</t>
  </si>
  <si>
    <t>effortless-python|MessageDeliveries.OptOutPhrasePosition|md-006</t>
  </si>
  <si>
    <t>effortless-python|TemplateApprovals.Name|tap-email-001</t>
  </si>
  <si>
    <t>effortless-python|TemplateApprovals.Name|tap-sms-001</t>
  </si>
  <si>
    <t>effortless-python|SendIntents.DeferralAgeHours|si-001</t>
  </si>
  <si>
    <t>effortless-python|SendIntents.DeferralAgeHours|si-002</t>
  </si>
  <si>
    <t>effortless-python|SendIntents.DeferralAgeHours|si-003</t>
  </si>
  <si>
    <t>effortless-python|SendIntents.DeferralAgeHours|si-004</t>
  </si>
  <si>
    <t>effortless-python|SendIntents.DeferralAgeHours|si-005</t>
  </si>
  <si>
    <t>effortless-python|SendIntents.DeferralAgeHours|si-006</t>
  </si>
  <si>
    <t>effortless-python|SendIntents.DeferralAgeHours|si-007</t>
  </si>
  <si>
    <t>effortless-python|DeliveredCommunications.ContentMatchesApproval|dc-hr4821-email-001</t>
  </si>
  <si>
    <t>effortless-python|ProcessMiningRuns.Name|pmr-close-v10-archived</t>
  </si>
  <si>
    <t>effortless-python|ProcessMiningRuns.Name|pmr-close-v11-cutoff-bypass</t>
  </si>
  <si>
    <t>effortless-python|ProcessMiningRuns.Name|pmr-close-v11-q3</t>
  </si>
  <si>
    <t>effortless-python|ProcessMiningRuns.Name|pmr-policy-v1-notify</t>
  </si>
  <si>
    <t>effortless-typescript|EvaluationContexts.Name|eval-current</t>
  </si>
  <si>
    <t>effortless-typescript|RoleAssignments.Name|ra-authority-2026</t>
  </si>
  <si>
    <t>effortless-typescript|RoleAssignments.Name|ra-cfo-2026</t>
  </si>
  <si>
    <t>effortless-typescript|RoleAssignments.Name|ra-close-pipeline-2026</t>
  </si>
  <si>
    <t>effortless-typescript|RoleAssignments.Name|ra-comms-2026</t>
  </si>
  <si>
    <t>effortless-typescript|RoleAssignments.Name|ra-controller-2026</t>
  </si>
  <si>
    <t>effortless-typescript|RoleAssignments.Name|ra-counsel-2026</t>
  </si>
  <si>
    <t>effortless-typescript|RoleAssignments.Name|ra-finance-2026</t>
  </si>
  <si>
    <t>effortless-typescript|RoleAssignments.Name|ra-new-variance</t>
  </si>
  <si>
    <t>effortless-typescript|RoleAssignments.Name|ra-notify-pipeline-2026</t>
  </si>
  <si>
    <t>effortless-typescript|RoleAssignments.Name|ra-old-variance</t>
  </si>
  <si>
    <t>effortless-typescript|RoleAssignments.Name|ra-policy-ai-2026</t>
  </si>
  <si>
    <t>effortless-typescript|RoleAssignments.Name|ra-policy-owner-2026</t>
  </si>
  <si>
    <t>effortless-typescript|RoleAssignments.Name|ra-steward-2026</t>
  </si>
  <si>
    <t>effortless-typescript|RoleAssignments.QualityVerdictIsUnsupported|ra-authority-2026</t>
  </si>
  <si>
    <t>effortless-typescript|RoleAssignments.QualityVerdictIsUnsupported|ra-cfo-2026</t>
  </si>
  <si>
    <t>effortless-typescript|RoleAssignments.QualityVerdictIsUnsupported|ra-close-pipeline-2026</t>
  </si>
  <si>
    <t>effortless-typescript|RoleAssignments.QualityVerdictIsUnsupported|ra-comms-2026</t>
  </si>
  <si>
    <t>effortless-typescript|RoleAssignments.QualityVerdictIsUnsupported|ra-controller-2026</t>
  </si>
  <si>
    <t>effortless-typescript|RoleAssignments.QualityVerdictIsUnsupported|ra-counsel-2026</t>
  </si>
  <si>
    <t>effortless-typescript|RoleAssignments.QualityVerdictIsUnsupported|ra-finance-2026</t>
  </si>
  <si>
    <t>effortless-typescript|RoleAssignments.QualityVerdictIsUnsupported|ra-new-variance</t>
  </si>
  <si>
    <t>effortless-typescript|RoleAssignments.QualityVerdictIsUnsupported|ra-notify-pipeline-2026</t>
  </si>
  <si>
    <t>effortless-typescript|RoleAssignments.QualityVerdictIsUnsupported|ra-old-variance</t>
  </si>
  <si>
    <t>effortless-typescript|RoleAssignments.QualityVerdictIsUnsupported|ra-policy-ai-2026</t>
  </si>
  <si>
    <t>effortless-typescript|RoleAssignments.QualityVerdictIsUnsupported|ra-policy-owner-2026</t>
  </si>
  <si>
    <t>effortless-typescript|RoleAssignments.QualityVerdictIsUnsupported|ra-steward-2026</t>
  </si>
  <si>
    <t>effortless-typescript|RoleAssignments.IsUnmeasuredAutomationHandover|ra-new-variance</t>
  </si>
  <si>
    <t>effortless-typescript|ProcedureVersions.DaysSinceModified|close-v1.0.0</t>
  </si>
  <si>
    <t>effortless-typescript|ProcedureVersions.DaysSinceModified|close-v1.1.0</t>
  </si>
  <si>
    <t>effortless-typescript|ProcedureVersions.DaysSinceModified|policy-v1.0.0</t>
  </si>
  <si>
    <t>effortless-typescript|ProcedureVersions.WasModifiedSinceLastReview|close-v1.1.0</t>
  </si>
  <si>
    <t>effortless-typescript|ProcedureVersions.WasModifiedSinceLastReview|policy-v1.0.0</t>
  </si>
  <si>
    <t>effortless-typescript|ProcedureVersions.HasUnwitnessedChange|close-v1.1.0</t>
  </si>
  <si>
    <t>effortless-typescript|ProcedureVersions.HasUnwitnessedChange|policy-v1.0.0</t>
  </si>
  <si>
    <t>effortless-typescript|Requirements.IsUntestedWitness|req-close-balance</t>
  </si>
  <si>
    <t>effortless-typescript|Requirements.IsUntestedWitness|req-close-cutoff</t>
  </si>
  <si>
    <t>effortless-typescript|Requirements.IsUntestedWitness|req-close-separation</t>
  </si>
  <si>
    <t>effortless-typescript|ElicitationSessions.Name|elicit-close-shadow</t>
  </si>
  <si>
    <t>effortless-typescript|ElicitationSessions.Name|elicit-policy-interview</t>
  </si>
  <si>
    <t>effortless-typescript|ElicitationSessions.Name|elicit-policy-workshop</t>
  </si>
  <si>
    <t>effortless-typescript|ElicitationSessions.DaysSinceElicited|elicit-policy-interview</t>
  </si>
  <si>
    <t>effortless-typescript|ElicitationSessions.DaysSinceElicited|elicit-policy-workshop</t>
  </si>
  <si>
    <t>effortless-typescript|KnowledgeFragments.DaysSinceActualReview|kf-close-fx-time</t>
  </si>
  <si>
    <t>effortless-typescript|KnowledgeFragments.DaysSinceActualReview|kf-close-top-ten</t>
  </si>
  <si>
    <t>effortless-typescript|KnowledgeFragments.DaysSinceActualReview|kf-policy-channel</t>
  </si>
  <si>
    <t>effortless-typescript|KnowledgeFragments.EvidenceAgeDays|kf-policy-ai-boundary</t>
  </si>
  <si>
    <t>effortless-typescript|KnowledgeFragments.EvidenceAgeDays|kf-policy-channel</t>
  </si>
  <si>
    <t>effortless-typescript|KnowledgeFragments.EvidenceAgeDays|kf-policy-manager-route</t>
  </si>
  <si>
    <t>effortless-typescript|KnowledgeFragments.AgeDays|kf-policy-ai-boundary</t>
  </si>
  <si>
    <t>effortless-typescript|KnowledgeFragments.AgeDays|kf-policy-channel</t>
  </si>
  <si>
    <t>effortless-typescript|KnowledgeFragments.AgeDays|kf-policy-manager-route</t>
  </si>
  <si>
    <t>effortless-typescript|KnowledgeFragments.DaysAwaitingMyApproval|kf-policy-manager-route</t>
  </si>
  <si>
    <t>effortless-typescript|KnowledgeGaps.DaysOpen|gap-policy-delivery-receipts</t>
  </si>
  <si>
    <t>effortless-typescript|IssueOccurrences.Name|issue-close-feed</t>
  </si>
  <si>
    <t>effortless-typescript|IssueOccurrences.Name|issue-policy-sms</t>
  </si>
  <si>
    <t>effortless-typescript|ChangeRequests.DaysPending|cr-close-timestamp</t>
  </si>
  <si>
    <t>effortless-typescript|ChangeRequests.DecisionLatencyDays|cr-close-timestamp</t>
  </si>
  <si>
    <t>effortless-typescript|ReviewEvents.DaysSinceReviewed|review-close-q1</t>
  </si>
  <si>
    <t>effortless-typescript|ReviewEvents.DaysSinceReviewed|review-close-q2</t>
  </si>
  <si>
    <t>effortless-typescript|ReviewEvents.DaysSinceReviewed|review-policy-prelaunch</t>
  </si>
  <si>
    <t>effortless-typescript|ReviewEvents.CadenceDriftDays|review-close-q1</t>
  </si>
  <si>
    <t>effortless-typescript|ReviewEvents.CadenceDriftDays|review-close-q2</t>
  </si>
  <si>
    <t>effortless-typescript|ReviewEvents.CadenceDriftDays|review-policy-prelaunch</t>
  </si>
  <si>
    <t>effortless-typescript|LearningActivities.Name|learn-close-retro</t>
  </si>
  <si>
    <t>effortless-typescript|LearningActivities.Name|learn-policy-tabletop</t>
  </si>
  <si>
    <t>effortless-typescript|ObservedTransitions.Name|obs-close-01-02-q2</t>
  </si>
  <si>
    <t>effortless-typescript|ObservedTransitions.Name|obs-close-02-03-q2</t>
  </si>
  <si>
    <t>effortless-typescript|ObservedTransitions.Name|obs-close-03-04-q2</t>
  </si>
  <si>
    <t>effortless-typescript|ObservedTransitions.Name|obs-close-04-05-q2</t>
  </si>
  <si>
    <t>effortless-typescript|ObservedTransitions.Name|obs-close-05-06-q2</t>
  </si>
  <si>
    <t>effortless-typescript|ObservedTransitions.Name|obs-close-06-07-q2</t>
  </si>
  <si>
    <t>effortless-typescript|ObservedTransitions.Name|obs-close-07-08-q2</t>
  </si>
  <si>
    <t>effortless-typescript|ObservedTransitions.Name|obs-policy-01-02-hr4821</t>
  </si>
  <si>
    <t>effortless-typescript|ObservedTransitions.Name|obs-policy-02-03-hr4821</t>
  </si>
  <si>
    <t>effortless-typescript|ObservedTransitions.Name|obs-policy-03-04-hr4821</t>
  </si>
  <si>
    <t>effortless-typescript|MessageDeliveries.Name|md-001</t>
  </si>
  <si>
    <t>effortless-typescript|MessageDeliveries.Name|md-002</t>
  </si>
  <si>
    <t>effortless-typescript|MessageDeliveries.Name|md-003</t>
  </si>
  <si>
    <t>effortless-typescript|MessageDeliveries.Name|md-004</t>
  </si>
  <si>
    <t>effortless-typescript|MessageDeliveries.Name|md-005</t>
  </si>
  <si>
    <t>effortless-typescript|MessageDeliveries.Name|md-006</t>
  </si>
  <si>
    <t>effortless-typescript|MessageDeliveries.AgeDays|md-001</t>
  </si>
  <si>
    <t>effortless-typescript|MessageDeliveries.AgeDays|md-002</t>
  </si>
  <si>
    <t>effortless-typescript|MessageDeliveries.AgeDays|md-003</t>
  </si>
  <si>
    <t>effortless-typescript|MessageDeliveries.AgeDays|md-004</t>
  </si>
  <si>
    <t>effortless-typescript|MessageDeliveries.AgeDays|md-005</t>
  </si>
  <si>
    <t>effortless-typescript|MessageDeliveries.AgeDays|md-006</t>
  </si>
  <si>
    <t>effortless-typescript|MessageDeliveries.SegmentCount|md-001</t>
  </si>
  <si>
    <t>effortless-typescript|MessageDeliveries.SegmentCount|md-002</t>
  </si>
  <si>
    <t>effortless-typescript|MessageDeliveries.SegmentCount|md-003</t>
  </si>
  <si>
    <t>effortless-typescript|MessageDeliveries.SegmentCount|md-004</t>
  </si>
  <si>
    <t>effortless-typescript|MessageDeliveries.SegmentCount|md-005</t>
  </si>
  <si>
    <t>effortless-typescript|MessageDeliveries.SegmentCount|md-006</t>
  </si>
  <si>
    <t>effortless-typescript|MessageDeliveries.OutstandingAgeDays|md-002</t>
  </si>
  <si>
    <t>effortless-typescript|MessageDeliveries.OutstandingAgeDays|md-003</t>
  </si>
  <si>
    <t>effortless-typescript|MessageDeliveries.OutstandingAgeDays|md-005</t>
  </si>
  <si>
    <t>effortless-typescript|MessageDeliveries.OptOutPhrasePosition|md-003</t>
  </si>
  <si>
    <t>effortless-typescript|MessageDeliveries.OptOutPhrasePosition|md-004</t>
  </si>
  <si>
    <t>effortless-typescript|MessageDeliveries.OptOutPhrasePosition|md-006</t>
  </si>
  <si>
    <t>effortless-typescript|TemplateApprovals.Name|tap-email-001</t>
  </si>
  <si>
    <t>effortless-typescript|TemplateApprovals.Name|tap-sms-001</t>
  </si>
  <si>
    <t>effortless-typescript|SendIntents.DeferralAgeHours|si-001</t>
  </si>
  <si>
    <t>effortless-typescript|SendIntents.DeferralAgeHours|si-002</t>
  </si>
  <si>
    <t>effortless-typescript|SendIntents.DeferralAgeHours|si-003</t>
  </si>
  <si>
    <t>effortless-typescript|SendIntents.DeferralAgeHours|si-004</t>
  </si>
  <si>
    <t>effortless-typescript|SendIntents.DeferralAgeHours|si-005</t>
  </si>
  <si>
    <t>effortless-typescript|SendIntents.DeferralAgeHours|si-006</t>
  </si>
  <si>
    <t>effortless-typescript|SendIntents.DeferralAgeHours|si-007</t>
  </si>
  <si>
    <t>effortless-typescript|DeliveredCommunications.ContentMatchesApproval|dc-hr4821-email-001</t>
  </si>
  <si>
    <t>effortless-typescript|ProcessMiningRuns.Name|pmr-close-v10-archived</t>
  </si>
  <si>
    <t>effortless-typescript|ProcessMiningRuns.Name|pmr-close-v11-cutoff-bypass</t>
  </si>
  <si>
    <t>effortless-typescript|ProcessMiningRuns.Name|pmr-close-v11-q3</t>
  </si>
  <si>
    <t>effortless-typescript|ProcessMiningRuns.Name|pmr-policy-v1-notify</t>
  </si>
  <si>
    <t xml:space="preserve">{
 "$schema": "https://example.com/cmcc-schema/v1",
 "Name": "PKO-Native Procedural Knowledge Rulebook",
 "Description": "A canonical Effortless Rulebook profile aligned to the Procedural Knowledge Ontology (PKO) 2.0.0. It represents procedure specifications separately from executions and includes versioning, status changes, steps, transitions, actions, software functions, tools, requirements, verifications, resources, agents, roles in time, issues, errors, questions, feedback, FAQs, explanations, governance, tacit/implicit/explicit knowledge capture, operational data bindings, learning, and communication policy projections. PKO-native terms are mapped exactly; enterprise knowledge-governance additions are explicitly identified as ERB-PKO extensions.",
 "RulebookReleases": {
  "Description": "Version ledger for the canonical ERB-PKO rulebook itself. This is distinct from PKO Procedure versioning.",
  "important": true,
  "schema": [
   {
    "name": "RulebookReleaseId",
    "datatype": "string",
    "type": "raw",
    "nullable": false,
    "Description": "Stored logical identifier for one RulebookReleases row."
   },
   {
    "name": "Name",
    "datatype": "string",
    "type": "calculated",
    "nullable": true,
    "Description": "Human-readable calculated display alias for the RulebookReleases row.",
    "formula": "={{RulebookVersion}} &amp; \" / PKO \" &amp; {{PkoCoreVersionIri}}"
   },
   {
    "name": "RulebookVersion",
    "datatype": "string",
    "type": "raw",
    "nullable": true,
    "Description": "Semantic version of this canonical rulebook release."
   },
   {
    "name": "ProfileVersion",
    "datatype": "string",
    "type": "raw",
    "nullable": true,
    "Description": "Version of the ERB-PKO profile schema."
   },
   {
    "name": "ProfileSchemaPath",
    "datatype": "string",
    "type": "raw",
    "nullable": true,
    "Description": "Repository-relative path to the ERB-PKO JSON profile schema."
   },
   {
    "name": "PkoCoreVersionIri",
    "datatype": "string",
    "type": "raw",
    "nullable": true,
    "Description": "Exact version IRI of the PKO core ontology used by this release."
   },
   {
    "name": "PkoIndustryVersionIri",
    "datatype": "string",
    "type": "raw",
    "nullable": true,
    "Description": "Exact version IRI of the PKO industry module used by this release."
   },
   {
    "name": "IssuedAt",
    "datatype": "datetime",
    "type": "raw",
    "nullable": true,
    "Description": "Timestamp at which this rulebook release was issued."
   },
   {
    "name": "Status",
    "datatype": "string",
    "type": "raw",
    "nullable": true,
    "Description": "Release status such as Draft, Candidate, or Published."
   },
   {
    "name": "Changelog",
    "datatype": "string",
    "type": "raw",
    "nullable": true,
    "Description": "Human-readable semantic changelog for this release."
   },
   {
    "name": "IsCurrent",
    "datatype": "boolean",
    "type": "raw",
    "nullable": true,
    "Description": "TRUE only for the current rulebook release."
   }
  ],
  "data": [
   {
    "RulebookReleaseId": "erb-pko-1.0.0",
    "RulebookVersion": "1.0.0",
    "ProfileVersion": "1.0.0",
    "ProfileSchemaPath": "schemas/pko-erb-profile-1.0.0.schema.json",
    "PkoCoreVersionIri": "https://w3id.org/pko/2.0.0",
    "PkoIndustryVersionIri": "https://w3id.org/pko/industry/2.0.0",
    "IssuedAt": "2026-07-19T12:00:00-05:00",
    "Status": "Candidate",
    "Changelog": "Initial executable PKO-native canonical rulebook and projection-tool proof.",
    "IsCurrent": true,
    "Name": "1.0.0 / PKO https://w3id.org/pko/2.0.0"
   }
  ]
 },
 "OntologyProfiles": {
  "Description": "Versioned ontology and vocabulary dependencies. PKO mappings always identify the exact profile and version.",
  "important": true,
  "schema": [
   {
    "name": "OntologyProfileId",
    "datatype": "string",
    "type": "raw",
    "nullable": false,
    "Description": "Stored logical identifier for one OntologyProfiles row."
   },
   {
    "name": "Name",
    "datatype": "string",
    "type": "calculated",
    "nullable": true,
    "Description": "Human-readable calculated display alias for the OntologyProfiles row.",
    "formula": "={{Label}} &amp; \" \" &amp; {{Version}}"
   },
   {
    "name": "Label",
    "datatype": "string",
    "type": "raw",
    "nullable": true,
    "Description": "Human-readable ontology or vocabulary name."
   },
   {
    "name": "Version",
    "datatype": "string",
    "type": "raw",
    "nullable": true,
    "Description": "Referenced release or specification version."
   },
   {
    "name": "VersionIri",
    "datatype": "string",
    "type": "raw",
    "nullable": true,
    "Description": "Exact version IRI or normative specification URI."
   },
   {
    "name": "NamespaceIri",
    "datatype": "string",
    "type": "raw",
    "nullable": true,
    "Description": "Namespace used for class/property IRIs."
   },
   {
    "name": "License",
    "datatype": "string",
    "type": "raw",
    "nullable": true,
    "Description": "License or standards body attribution."
   },
   {
    "name": "Scope",
    "datatype": "string",
    "type": "raw",
    "nullable": true,
    "Description": "How the profile is used in this rulebook."
   }
  ],
  "data": [
   {
    "OntologyProfileId": "pko-core-2.0.0",
    "Label": "PKO Core",
    "Version": "2.0.0",
    "VersionIri": "https://w3id.org/pko/2.0.0",
    "NamespaceIri": "https://w3id.org/pko#",
    "License": "CC BY 4.0",
    "Scope": "Core procedural knowledge: procedures, steps, executions, transitions, requirements, issues, feedback, and agents.",
    "Name": "PKO Core 2.0.0"
   },
   {
    "OntologyProfileId": "pko-industry-2.0.0",
    "Label": "PKO Industry",
    "Version": "2.0.0",
    "VersionIri": "https://w3id.org/pko/industry/2.0.0",
    "NamespaceIri": "https://w3id.org/pko/industry#",
    "License": "CC BY 4.0",
    "Scope": "Industry extension for machines, sites, departments, PPE, locks, energy sources, and tools.",
    "Name": "PKO Industry 2.0.0"
   },
   {
    "OntologyProfileId": "p-plan",
    "Label": "P-Plan",
    "Version": "1",
    "VersionIri": "http://purl.org/net/p-plan",
    "NamespaceIri": "http://purl.org/net/p-plan#",
    "License": "External",
    "Scope": "Plan, Step, MultiStep, and plan/execution alignment.",
    "Name": "P-Plan 1"
   },
   {
    "OntologyProfileId": "prov-o",
    "Label": "PROV-O",
    "Version": "2013",
    "VersionIri": "https://www.w3.org/TR/prov-o/",
    "NamespaceIri": "http://www.w3.org/ns/prov#",
    "License": "W3C",
    "Scope": "Agents, activities, entities, attribution, provenance, and execution time.",
    "Name": "PROV-O 2013"
   },
   {
    "OntologyProfileId": "dcat-3",
    "Label": "DCAT",
    "Version": "3",
    "VersionIri": "https://www.w3.org/TR/vocab-dcat-3/",
    "NamespaceIri": "http://www.w3.org/ns/dcat#",
    "License": "W3C",
    "Scope": "Resources and versioned catalog assets.",
    "Name": "DCAT 3"
   },
   {
    "OntologyProfileId": "dcterms",
    "Label": "DCMI Terms",
    "Version": "current",
    "VersionIri": "https://www.dublincore.org/specifications/dublin-core/dcmi-terms/",
    "NamespaceIri": "http://purl.org/dc/terms/",
    "License": "DCMI",
    "Scope": "Titles, descriptions, identifiers, dates, references, and lifecycle metadata.",
    "Name": "DCMI Terms current"
   },
   {
    "OntologyProfileId": "owl-time",
    "Label": "OWL-Time",
    "Version": "2017",
    "VersionIri": "https://www.w3.org/TR/owl-time/",
    "NamespaceIri": "http://www.w3.org/2006/time#",
    "License": "W3C",
    "Scope": "Durations and time intervals.",
    "Name": "OWL-Time 2017"
   },
   {
    "OntologyProfileId": "pro",
    "Label": "Publishing Roles Ontology",
    "Version": "current",
    "VersionIri": "http://www.sparontologies.net/ontologies/pro",
    "NamespaceIri": "http://purl.org/spar/pro/",
    "License": "CC BY",
    "Scope": "Roles and roles held during a period of time.",
    "Name": "Publishing Roles Ontology current"
   },
   {
    "OntologyProfileId": "m4ing",
    "Label": "Metadata4Ing",
    "Version": "current",
    "VersionIri": "https://nfdi4ing.pages.rwth-aachen.de/metadata4ing/",
    "NamespaceIri": "http://w3id.org/nfdi4ing/metadata4ing#",
    "License": "External",
    "Scope": "Tools and engineering-resource metadata.",
    "Name": "Metadata4Ing current"
   },
   {
    "OntologyProfileId": "odrl",
    "Label": "ODRL",
    "Version": "2.2",
    "VersionIri": "https://www.w3.org/TR/odrl-model/",
    "NamespaceIri": "http://www.w3.org/ns/odrl/2/",
    "License": "W3C",
    "Scope": "Policies, rules, assignee roles, duties, permissions, and prohibitions.",
    "Name": "ODRL 2.2"
   },
   {
    "OntologyProfileId": "erb-pko-extension-1.0.0",
    "Label": "ERB-PKO Enterprise Extension",
    "Version": "1.0.0",
    "VersionIri": "urn:effortless:pko-extension:1.0.0",
    "NamespaceIri": "urn:effortless:pko-extension#",
    "License": "Apache-2.0",
    "Scope": "Explicit extension for elicitation, tacit knowledge, governance, learning, operational bindings, and communication-channel policy.",
    "Name": "ERB-PKO Enterprise Extension 1.0.0"
   }
  ]
 },
 "EvaluationContexts": {
  "Description": "The instant this rulebook's time-dependent witnesses are evaluated against. Modeled as data rather than wall-clock so every freshness, overdue, and validity answer is reproducible and auditable: asking the same question tomorrow yields the same answer. Exactly one row carries IsCurrent.",
  "schema": [
   {
    "name": "EvaluationContextId",
    "datatype": "string",
    "type": "raw",
    "nullable": false,
    "Description": "Stored logical identifier for one EvaluationContexts row."
   },
   {
    "name": "Name",
    "datatype": "string",
    "type": "calculated",
    "nullable": true,
    "Description": "Human-readable calculated display alias for the EvaluationContexts row.",
    "formula": "={{Label}} &amp; \" @ \" &amp; {{AsOfInstant}}"
   },
   {
    "name": "Label",
    "datatype": "string",
    "type": "raw",
    "nullable": true,
    "Description": "What this evaluation instant represents."
   },
   {
    "name": "AsOfInstant",
    "datatype": "datetime",
    "type": "raw",
    "nullable": false,
    "Description": "The instant all time-dependent witnesses are evaluated against."
   },
   {
    "name": "IsCurrent",
    "datatype": "boolean",
    "type": "raw",
    "nullable": true,
    "Description": "TRUE for the single active evaluation context."
   },
   {
    "name": "Rationale",
    "datatype": "string",
    "type": "raw",
    "nullable": true,
    "Description": "Why this instant was chosen."
   },
   {
    "name": "SemanticTypeIri",
    "datatype": "string",
    "type": "raw",
    "nullable": true,
    "Description": "Extension class IRI."
   }
  ],
  "data": [
   {
    "EvaluationContextId": "eval-current",
    "Label": "Post-close evaluation",
    "AsOfInstant": "2026-07-19T13:00:00-05:00",
    "IsCurrent": true,
    "Rationale": "Shortly after the Q3 close execution and the policy notification run, so both procedure families have completed executions to witness against. Fixed as data so freshness and overdue answers are reproducible.",
    "SemanticTypeIri": "urn:effortless:pko-extension#EvaluationContext",
    "Name": "Post-close evaluation @ 2026-07-19T13:00:00-05:00"
   }
  ]
 },
 "Organizations": {
  "Description": "Organizations that own, adopt, govern, or execute procedures. Maps to prov:Organization.",
  "important": false,
  "schema": [
   {
    "name": "OrganizationId",
    "datatype": "string",
    "type": "raw",
    "nullable": false,
    "Description": "Stored logical identifier for one Organizations row."
   },
   {
    "name": "Name",
    "datatype": "string",
    "type": "calculated",
    "nullable": true,
    "Description": "Human-readable calculated display alias for the Organizations row.",
    "formula": "={{DisplayName}}"
   },
   {
    "name": "DisplayName",
    "datatype": "string",
    "type": "raw",
    "nullable": true,
    "Description": "Organization's human-readable name."
   },
   {
    "name": "OrganizationType",
    "datatype": "string",
    "type": "raw",
    "nullable": true,
    "Description": "Type such as Company, Department, Vendor, or Regulator."
   },
   {
    "name": "ExternalIdentifier",
    "datatype": "string",
    "type": "raw",
    "nullable": true,
    "Description": "Identifier in an operational directory or master-data system."
   },
   {
    "name": "SemanticTypeIri",
    "datatype": "string",
    "type": "raw",
    "nullable": true,
    "Description": "Exact RDF class IRI for the organization."
   }
  ],
  "data": [
   {
    "OrganizationId": "acme-corp",
    "DisplayName": "ACME Corporation",
    "OrganizationType": "Company",
    "ExternalIdentifier": "org-001",
    "SemanticTypeIri": "http://www.w3.org/ns/prov#Organization",
    "Name": "ACME Corporation"
   },
   {
    "OrganizationId": "acme-finance",
    "DisplayName": "ACME Finance",
    "OrganizationType": "Department",
    "ExternalIdentifier": "dept-fin",
    "SemanticTypeIri": "https://w3id.org/pko/industry#Department",
    "Name": "ACME Finance"
   },
   {
    "OrganizationId": "acme-people",
    "DisplayName": "ACME People Operations",
    "OrganizationType": "Department",
    "ExternalIdentifier": "dept-people",
    "SemanticTypeIri": "https://w3id.org/pko/industry#Department",
    "Name": "ACME People Operations"
   },
   {
    "OrganizationId": "acme-legal",
    "DisplayName": "ACME Legal",
    "OrganizationType": "Department",
    "ExternalIdentifier": "dept-legal",
    "SemanticTypeIri": "https://w3id.org/pko/industry#Department",
    "Name": "ACME Legal"
   }
  ]
 },
 "Agents": {
  "Description": "Human and software agents that create, modify, approve, or execute procedural knowledge. Maps to prov:Agent.",
  "important": true,
  "schema": [
   {
    "name": "AgentId",
    "datatype": "string",
    "type": "raw",
    "nullable": false,
    "Description": "Stored logical identifier for one Agents row."
   },
   {
    "name": "Name",
    "datatype": "string",
    "type": "calculated",
    "nullable": true,
    "Description": "Human-readable calculated display alias for the Agents row.",
    "formula": "={{DisplayName}}"
   },
   {
    "name": "DisplayName",
    "datatype": "string",
    "type": "raw",
    "nullable": true,
    "Description": "Agent's human-readable name."
   },
   {
    "name": "AgentKind",
    "datatype": "string",
    "type": "raw",
    "nullable": true,
    "Description": "Human, AIAgent, AutomatedPipeline, Organization, or another explicit agent category."
   },
   {
    "name": "Organization",
    "datatype": "string",
    "type": "relationship",
    "nullable": true,
    "Description": "Organization to which the agent belongs.",
    "RelatedTo": "Organizations"
   },
   {
    "name": "ContactAddress",
    "datatype": "string",
    "type": "raw",
    "nullable": true,
    "Description": "Contact address when applicable."
   },
   {
    "name": "VersionOrEmploymentKey",
    "datatype": "string",
    "type": "raw",
    "nullable": true,
    "Description": "Model version, pipeline release, or employment assignment key."
   },
   {
    "name": "CountOfCurrentRoleAssignments",
    "datatype": "integer",
    "type": "aggregation",
    "nullable": true,
    "Description": "How many role assignments this agent currently holds. Counts only CURRENT assignments via the CurrentAgentKey echo — counting all assignments would report a departed agent as engaged forever.",
    "formula": "=COUNTIFS(RoleAssignments!{{CurrentAgentKey}}, {{AgentId}})"
   },
   {
    "name": "IsStillEngaged",
    "datatype": "boolean",
    "type": "calculated",
    "nullable": true,
    "Description": "TRUE when this agent currently holds at least one role in the organization.",
    "formula": "={{CountOfCurrentRoleAssignments}} &gt; 0"
   },
   {
    "name": "DecisionCount",
    "datatype": "number",
    "type": "aggregation",
    "nullable": true,
    "Description": "Total decisions this agent has recorded.",
    "formula": "=COUNTIFS(AgentDecisionRecords!{{DecidingAgent}}, {{AgentId}})"
   },
   {
    "name": "OverriddenDecisionCount",
    "datatype": "number",
    "type": "aggregation",
    "nullable": true,
    "Description": "Decisions by this agent that a human corrected or reversed.",
    "formula": "=COUNTIFS(AgentDecisionRecords!{{DecidingAgentWhenOverridden}}, {{AgentId}})"
   },
   {
    "name": "OverrideRatePercent",
    "datatype": "number",
    "type": "calculated",
    "nullable": true,
    "Description": "Percentage of this agent's decisions that were overridden by a human.",
    "formula": "=IF({{DecisionCount}} = 0, 0, ({{OverriddenDecisionCount}} * 100) / {{DecisionCount}})"
   },
   {
    "name": "IsNonHuman",
    "datatype": "boolean",
    "type": "calculated",
    "nullable": true,
    "Description": "TRUE when this agent is an AI agent or an automated pipeline.",
    "formula": "=NOT({{AgentKind}} = \"Human\")"
   },
   {
    "name": "BoundaryViolationCount",
    "datatype": "number",
    "type": "aggregation",
    "nullable": true,
    "Description": "Number of decisions by this agent that violated an authority boundary.",
    "formula": "=COUNTIFS(AgentDecisionRecords!{{AgentWhenBoundaryViolated}}, {{AgentId}})"
   },
   {
    "name": "IsOperatingOutsideBoundary",
    "datatype": "boolean",
    "type": "calculated",
    "nullable": true,
    "Description": "TRUE when this agent has made at least one decision an authority boundary forbids.",
    "formula": "={{BoundaryViolationCount}} &gt; 0"
   },
   {
    "name": "DraftDecisionCount",
    "datatype": "number",
    "type": "aggregation",
    "nullable": true,
    "Description": "Number of drafting decisions this agent has made.",
    "formula": "=COUNTIFS(AgentDecisionRecords!{{AgentWhenDraft}}, {{AgentId}})"
   },
   {
    "name": "OverriddenDraftCount",
    "datatype": "number",
    "type": "aggregation",
    "nullable": true,
    "Description": "Number of this agent's drafting decisions a human corrected or reversed.",
    "formula": "=COUNTIFS(AgentDecisionRecords!{{AgentWhenDraftOverridden}}, {{AgentId}})"
   },
   {
    "name": "DraftRewriteRatePercent",
    "datatype": "number",
    "type": "calculated",
    "nullable": true,
    "Description": "Percentage of this agent's drafting output that a human rewrote.",
    "formula": "=IF({{DraftDecisionCount}} = 0, 0, ({{OverriddenDraftCount}} * 100) / {{DraftDecisionCount}})"
   },
   {
    "name": "TimesNamedAsBroker",
    "datatype": "number",
    "type": "aggregation",
    "nullable": true,
    "Description": "How many active informal-reliance links name this agent as the one actually consulted.",
    "formula": "=COUNTIFS(KnowledgeBrokerLinks!{{ActiveRelianceBrokerKey}}, {{AgentId}})"
   },
   {
    "name": "IsRecognizedBroker",
    "datatype": "boolean",
    "type": "calculated",
    "nullable": true,
    "Description": "TRUE when at least three people actively rely on this agent as an informal knowledge broker.",
    "formula": "={{TimesNamedAsBroker}} &gt;= 3"
   },
   {
    "name": "AtRiskRelianceCount",
    "datatype": "number",
    "type": "aggregation",
    "nullable": true,
    "Description": "How many active informal-reliance links name this agent while this agent holds no current role.",
    "formula": "=COUNTIFS(KnowledgeBrokerLinks!{{AtRiskBrokerKey}}, {{AgentId}})"
   },
   {
    "name": "HasAtRiskKnowledgeReliance",
    "datatype": "boolean",
    "type": "calculated",
    "nullable": true,
    "Description": "TRUE when people are actively relying on this agent even though they have already left every role.",
    "formula": "={{AtRiskRelianceCount}} &gt; 0"
   },
   {
    "name": "SemanticTypeIri",
    "datatype": "string",
    "type": "raw",
    "nullable": true,
    "Description": "Exact semantic type IRI used when projecting the agent."
   }
  ],
  "data": [
   {
    "AgentId": "maria-chen",
    "DisplayName": "Maria Chen",
    "AgentKind": "Human",
    "Organization": "acme-finance",
    "ContactAddress": "maria.chen@example.com",
    "VersionOrEmploymentKey": "finance-analyst-2026",
    "SemanticTypeIri": "prov:Agent",
    "Name": "Maria Chen",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"devon-okafor",
    "DisplayName": "Devon Okafor",
    "AgentKind": "Human",
    "Organization": "acme-finance",
    "ContactAddress": "devon.okafor@example.com",
    "VersionOrEmploymentKey": "controller-2026",
    "SemanticTypeIri": "prov:Agent",
    "Name": "Devon Okafor",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"priya-raman",
    "DisplayName": "Priya Raman",
    "AgentKind": "Human",
    "Organization": "acme-finance",
    "ContactAddress": "priya.raman@example.com",
    "VersionOrEmploymentKey": "cfo-2026",
    "SemanticTypeIri": "prov:Agent",
    "Name": "Priya Raman",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3,
    "IsRecognizedBroker": true,
    "AtRiskRelianceCount": 0,
    "HasAtRiskKnowledgeReliance": false
   },
   {
    "AgentId": "elena-garcia",
    "DisplayName": "Elena Garcia",
    "AgentKind": "Human",
    "Organization": "acme-people",
    "ContactAddress": "elena.garcia@example.com",
    "VersionOrEmploymentKey": "hr-owner-2026",
    "SemanticTypeIri": "prov:Agent",
    "Name": "Elena Garcia",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"noah-williams",
    "DisplayName": "Noah Williams",
    "AgentKind": "Human",
    "Organization": "acme-legal",
    "ContactAddress": "noah.williams@example.com",
    "VersionOrEmploymentKey": "employment-counsel-2026",
    "SemanticTypeIri": "prov:Agent",
    "Name": "Noah Williams",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"amina-yusuf",
    "DisplayName": "Amina Yusuf",
    "AgentKind": "Human",
    "Organization": "acme-people",
    "ContactAddress": "amina.yusuf@example.com",
    "VersionOrEmploymentKey": "communications-2026",
    "SemanticTypeIri": "prov:Agent",
    "Name": "Amina Yusuf",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"close-pipeline",
    "DisplayName": "Close Automation Pipeline",
    "AgentKind": "AutomatedPipeline",
    "Organization": "acme-finance",
    "ContactAddress": "",
    "VersionOrEmploymentKey": "close-pipeline-v5.2",
    "SemanticTypeIri": "prov:SoftwareAgent",
    "Name": "Close Automation Pipeline",
    "CountOfCurrentRoleAssignments": 1,
    "IsStillEngaged": true,
    "DecisionCount": 3,
    "OverriddenDecisionCount": 1,
    "OverrideRatePercent": 33.333333333333336,
    "IsNonHuman": true,
    "BoundaryViolationCount": 0,
    "IsOperatingOutsideBoundary": false,
    "DraftDecisionCount": 0,
    "OverriddenDraftCount": 0,
    "DraftRewriteRatePercent": 0,
    "TimesNamedAsBroker": 0,
    "IsRecognizedBroker": false,
    "AtRiskRelianceCount": 0,
    "HasAtRiskKnowledgeReliance": false
   },
   {
    "AgentId": "variance-ai",
    "DisplayName": "Variance Analysis AI",
    "AgentKind": "AIAgent",
    "Organization": "acme-finance",
    "ContactAddress": "",
    "VersionOrEmploymentKey": "variance-model-v3.1",
    "SemanticTypeIri": "prov:SoftwareAgent",
    "Name": "Variance Analysis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"policy-drafting-ai",
    "DisplayName": "Policy Drafting AI",
    "AgentKind": "AIAgent",
    "Organization": "acme-people",
    "ContactAddress": "",
    "VersionOrEmploymentKey": "policy-drafter-v2.0",
    "SemanticTypeIri": "prov:SoftwareAgent",
    "Name": "Policy Drafting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"notification-pipeline",
    "DisplayName": "Employee Notification Pipeline",
    "AgentKind": "AutomatedPipeline",
    "Organization": "acme-people",
    "ContactAddress": "",
    "VersionOrEmploymentKey": "notify-v4.4",
    "SemanticTypeIri": "prov:SoftwareAgent",
    "Name": "Employee Notification Pipeline",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"jordan-park",
    "DisplayName": "Jordan Park",
    "AgentKind": "Human",
    "Organization": "acme-finance",
    "ContactAddress": "",
    "VersionOrEmploymentKey": "",
    "SemanticTypeIri": "prov:Agent",
    "Name": "Jordan Park",
    "CountOfCurrentRoleAssignments": 0,
    "IsStillEngaged": false,
    "DecisionCount": 0,
    "OverriddenDecisionCount": 0,
    "OverrideRatePercent": 0,
    "IsNonHuman": false,
    "BoundaryViolationCount": 0,
    "IsOperatingOutsideBoundary": false,
    "DraftDecisionCount": 0,
    "OverriddenDraftCount": 0,
    "DraftRewriteRatePercent": 0,
    "TimesNamedAsBroker": 1,
    "IsRecognizedBroker": false,
    "AtRiskRelianceCount": 1,
    "HasAtRiskKnowledgeReliance": true
   }
  ]
 },
 "Roles": {
  "Description": "Stable organizational functions separated from the agents that currently fill them. Maps to pro:Role.",
  "important": true,
  "schema": [
   {
    "name": "RoleId",
    "datatype": "string",
    "type": "raw",
    "nullable": false,
    "Description": "Stored logical identifier for one Roles row."
   },
   {
    "name": "Name",
    "datatype": "string",
    "type": "calculated",
    "nullable": true,
    "Description": "Human-readable calculated display alias for the Roles row.",
    "formula": "={{Label}}"
   },
   {
    "name": "Label",
    "datatype": "string",
    "type": "raw",
    "nullable": true,
    "Description": "Human-readable role label."
   },
   {
    "name": "Organization",
    "datatype": "string",
    "type": "relationship",
    "nullable": true,
    "Description": "Organization that owns the role.",
    "RelatedTo": "Organizations"
   },
   {
    "name": "CurrentAgent",
    "datatype": "string",
    "type": "relationship",
    "nullable": true,
    "Description": "Current agent filling the role; history is retained in RoleAssignments.",
    "RelatedTo": "Agents"
   },
   {
    "name": "CurrentAgentKind",
    "datatype": "string",
    "type": "lookup",
    "nullable": true,
    "Description": "Agent category of the current role filler.",
    "formula": "=INDEX(Agents!{{AgentKind}}, MATCH({{CurrentAgent}}, Agents!{{AgentId}}, 0))"
   },
   {
    "name": "Responsibility",
    "datatype": "string",
    "type": "raw",
    "nullable": true,
    "Description": "Accountability and responsibility assigned to the role."
   },
   {
    "name": "ActiveAssignmentCount",
    "datatype": "number",
    "type": "aggregation",
    "nullable": true,
    "Description": "Total number of assignment rows ever recorded against this role.",
    "formula": "=COUNTIFS(RoleAssignments!{{Role}}, {{RoleId}})"
   },
   {
    "name": "CurrentlyCoveredAssignmentCount",
    "datatype": "number",
    "type": "aggregation",
    "nullable": true,
    "Description": "Number of assignment rows for this role that are in force right now.",
    "formula": "=COUNTIFS(RoleAssignments!{{RoleWhenCovering}}, {{RoleId}})"
   },
   {
    "name": "HasNoCurrentHolder",
    "datatype": "boolean",
    "type": "calculated",
    "nullable": true,
    "Description": "TRUE when no assignment currently covers this role — the role is uncovered.",
    "formula": "={{CurrentlyCoveredAssignmentCount}} = 0"
   },
   {
    "name": "CountOfAwaitedDecisions",
    "datatype": "integer",
    "type": "aggregation",
    "nullable": true,
    "Description": "How many change requests name this role as the deciding authority.",
    "formula": "=COUNTIFS(ChangeRequests!{{AuthorityRole}}, Roles!{{RoleId}})"
   },
   {
    "name": "CurrentAssignment",
    "datatype": "string",
    "type": "raw",
    "nullable": true,
    "Description": "The RoleAssignments id of the assignment by which this role is currently held. Deliberately a raw identifier, not a relationship: RoleAssignments already points at Roles, so an FK back would make the two mutually dependent and this rulebook must stay acyclic."
   },
   {
    "name": "CurrentAssignmentValidFrom",
    "datatype": "datetime",
    "type": "lookup",
    "nullable": true,
    "Description": "Start of the currently-in-force assignment for this role.",
    "formula": "=INDEX(RoleAssignments!{{ValidFrom}}, MATCH({{CurrentAssignment}}, RoleAssignments!{{RoleAssignmentId}}, 0))"
   },
   {
    "name": "IsNonHumanHeld",
    "datatype": "boolean",
    "type": "calculated",
    "nullable": true,
    "Description": "TRUE when the role's current agent is an AI agent or automated pipeline.",
    "formula": "=NOT({{CurrentAgentKind}} = \"Human\")"
   },
   {
    "name": "IsUngovernedNonHumanRole",
    "datatype": "boolean",
    "type": "calculated",
    "nullable": true,
    "Description": "TRUE when a role is pointed at a non-human agent but has no assignment row granting it.",
    "formula": "=AND({{IsNonHumanHeld}}, {{HasNoCurrentHolder}})"
   },
   {
    "name": "DepartedAssignmentCount",
    "datatype": "number",
    "type": "aggregation",
    "nullable": true,
    "Description": "How many a</t>
  </si>
  <si>
    <t xml:space="preserve">ssignments to this role have ended.",
    "formula": "=COUNTIFS(RoleAssignments!{{DepartedRoleKey}}, {{RoleId}})"
   },
   {
    "name": "HasLostAHolder",
    "datatype": "boolean",
    "type": "calculated",
    "nullable": true,
    "Description": "Whether anyone has ever departed this role.",
    "formula": "={{DepartedAssignmentCount}} &gt; 0"
   },
   {
    "name": "IsVacatedRole",
    "datatype": "boolean",
    "type": "calculated",
    "nullable": true,
    "Description": "A role somebody departed and that nobody currently covers.",
    "formula": "=AND({{HasLostAHolder}}, {{HasNoCurrentHolder}})"
   },
   {
    "name": "UngroundedBoundaryCount",
    "datatype": "number",
    "type": "aggregation",
    "nullable": true,
    "Description": "How many boundaries constrain this role on lapsed authority.",
    "formula": "=COUNTIFS(AuthorityBoundaries!{{ConstrainedRoleAssignmentKey}}, {{RoleId}})"
   },
   {
    "name": "IsGovernedByLapsedAuthority",
    "datatype": "boolean",
    "type": "calculated",
    "nullable": true,
    "Description": "TRUE when at least one constraint on this role rests on knowledge that is no longer valid.",
    "formula": "=({{UngroundedBoundaryCount}} &gt; 0)"
   },
   {
    "name": "UnescalatedRefusalCount",
    "datatype": "number",
    "type": "aggregation",
    "nullable": true,
    "Description": "How many refusals this role should have been told about and was not.",
    "formula": "=COUNTIFS(SendIntents!{{UnescalatedRefusalRoleKey}}, {{RoleId}})"
   },
   {
    "name": "UnauthorizedEnforcementAssignmentCount",
    "datatype": "number",
    "type": "aggregation",
    "nullable": true,
    "Description": "How many current assignments of this role are unauthorized enforcement assignments.",
    "formula": "=COUNTIFS(RoleAssignments!{{UnauthorizedEnforcementRoleKey}}, {{RoleId}})"
   },
   {
    "name": "IsUngovernedEnforcementRole",
    "datatype": "boolean",
    "type": "calculated",
    "nullable": true,
    "Description": "TRUE when a role that enforces controls on others is held with no recorded authorization.",
    "formula": "=({{UnauthorizedEnforcementAssignmentCount}} &gt; 0)"
   },
   {
    "name": "SemanticTypeIri",
    "datatype": "string",
    "type": "raw",
    "nullable": true,
    "Description": "Exact semantic type IRI for the role."
   }
  ],
  "data": [
   {
    "RoleId": "finance-analyst",
    "Label": "Finance Analyst",
    "Organization": "acme-finance",
    "CurrentAgent": "maria-chen",
    "Responsibility": "Preparer of reconciliations and variance evidence.",
    "SemanticTypeIri": "http://purl.org/spar/pro/Role",
    "CurrentAssignment": "ra-finance-2026",
    "Name": "Finance Analyst",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"controller",
    "Label": "Corporate Controller",
    "Organization": "acme-finance",
    "CurrentAgent": "devon-okafor",
    "Responsibility": "Owner of close controls and first approval authority.",
    "SemanticTypeIri": "http://purl.org/spar/pro/Role",
    "CurrentAssignment": "ra-controller-2026",
    "Name": "Corporate Controller",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"cfo",
    "Label": "Chief Financial Officer",
    "Organization": "acme-finance",
    "CurrentAgent": "priya-raman",
    "Responsibility": "Final authority for the financial close.",
    "SemanticTypeIri": "http://purl.org/spar/pro/Role",
    "CurrentAssignment": "ra-cfo-2026",
    "Name": "Chief Financial Officer",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"hr-policy-owner",
    "Label": "People Policy Owner",
    "Organization": "acme-people",
    "CurrentAgent": "elena-garcia",
    "Responsibility": "Accountable owner for employment policy content.",
    "SemanticTypeIri": "http://purl.org/spar/pro/Role",
    "CurrentAssignment": "ra-policy-owner-2026",
    "Name": "People Policy Owner",
    "CurrentAgentKind": "Human",
    "ActiveAssignmentCount": 1,
    "CurrentlyCoveredAssignmentCount": 1,
    "HasNoCurrentHolder": false,
    "CountOfAwaitedDecisions": 1,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"employment-counsel",
    "Label": "Employment Counsel",
    "Organization": "acme-legal",
    "CurrentAgent": "noah-williams",
    "Responsibility": "Legal reviewer for workforce policy changes.",
    "SemanticTypeIri": "http://purl.org/spar/pro/Role",
    "CurrentAssignment": "ra-counsel-2026",
    "Name": "Employment Counsel",
    "CurrentAgentKind": "Human",
    "ActiveAssignmentCount": 1,
    "CurrentlyCoveredAssignmentCount": 1,
    "HasNoCurrentHolder": false,
    "CountOfAwaitedDecisions": 0,
    "CurrentAssignmentValidFrom": "2026-01-15T00:00:00-06:00",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"communications-manager",
    "Label": "Employee Communications Manager",
    "Organization": "acme-people",
    "CurrentAgent": "amina-yusuf",
    "Responsibility": "Human owner of employee communications.",
    "SemanticTypeIri": "http://purl.org/spar/pro/Role",
    "CurrentAssignment": "ra-comms-2026",
    "Name": "Employee Communications Manager",
    "CurrentAgentKind": "Human",
    "ActiveAssignmentCount": 1,
    "CurrentlyCoveredAssignmentCount": 1,
    "HasNoCurrentHolder": false,
    "CountOfAwaitedDecisions": 0,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"close-automation",
    "Label": "Close Automation Operator",
    "Organization": "acme-finance",
    "CurrentAgent": "close-pipeline",
    "Responsibility": "Deterministic extraction, posting, and archival operator.",
    "SemanticTypeIri": "http://purl.org/spar/pro/Role",
    "CurrentAssignment": "ra-close-pipeline-2026",
    "Name": "Close Automation Operator",
    "CurrentAgentKind": "AutomatedPipeline",
    "ActiveAssignmentCount": 1,
    "CurrentlyCoveredAssignmentCount": 1,
    "HasNoCurrentHolder": false,
    "CountOfAwaitedDecisions": 0,
    "CurrentAssignmentValidFrom": "2026-01-01T00:00:00-06:00",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"variance-review-agent",
    "Label": "Variance Review Agent",
    "Organization": "acme-finance",
    "CurrentAgent": "variance-ai",
    "Responsibility": "AI assistant that classifies and prioritizes variances.",
    "SemanticTypeIri": "http://purl.org/spar/pro/Role",
    "CurrentAssignment": "ra-new-variance",
    "Name": "Variance Review Agent",
    "CurrentAgentKind": "AIAgent",
    "ActiveAssignmentCount": 2,
    "CurrentlyCoveredAssignmentCount": 1,
    "HasNoCurrentHolder": false,
    "CountOfAwaitedDecisions": 0,
    "CurrentAssignmentValidFrom": "2026-04-01T00:00:00-05:00",
    "IsNonHumanHeld": true,
    "IsUngovernedNonHumanRole": false,
    "DepartedAssignmentCount": 1,
    "HasLostAHolder": true,
    "IsVacatedRole": false,
    "UngroundedBoundaryCount": 0,
    "IsGovernedByLapsedAuthority": false,
    "UnescalatedRefusalCount": 0,
    "UnauthorizedEnforcementAssignmentCount": 0,
    "IsUngovernedEnforcementRole": false
   },
   {
    "RoleId": "policy-drafting-agent",
    "Label": "Policy Drafting Agent",
    "Organization": "acme-people",
    "CurrentAgent": "policy-drafting-ai",
    "Responsibility": "AI assistant that drafts policy and channel variants.",
    "SemanticTypeIri": "http://purl.org/spar/pro/Role",
    "CurrentAssignment": "ra-policy-ai-2026",
    "Name": "Policy Drafting Agent",
    "CurrentAgentKind": "AIAgent",
    "ActiveAssignmentCount": 1,
    "CurrentlyCoveredAssignmentCount": 1,
    "HasNoCurrentHolder": false,
    "CountOfAwaitedDecisions": 0,
    "CurrentAssignmentValidFrom": "2026-05-01T00:00:00-05:00",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"notification-publisher",
    "Label": "Notification Publisher",
    "Organization": "acme-people",
    "CurrentAgent": "notification-pipeline",
    "Responsibility": "Pipeline that applies channel rules and sends approved messages.",
    "SemanticTypeIri": "http://purl.org/spar/pro/Role",
    "CurrentAssignment": "ra-notify-pipeline-2026",
    "Name": "Notification Publisher",
    "CurrentAgentKind": "AutomatedPipeline",
    "ActiveAssignmentCount": 1,
    "CurrentlyCoveredAssignmentCount": 1,
    "HasNoCurrentHolder": false,
    "CountOfAwaitedDecisions": 0,
    "CurrentAssignmentValidFrom": "2026-03-01T00:00:00-06:00",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"process-steward",
    "Label": "Procedural Knowledge Steward",
    "Organization": "acme-people",
    "CurrentAgent": "elena-garcia",
    "Responsibility": "Maintains procedural knowledge health and review cadence.",
    "SemanticTypeIri": "http://purl.org/spar/pro/Role",
    "CurrentAssignment": "ra-steward-2026",
    "Name": "Procedural Knowledge Steward",
    "CurrentAgentKind": "Human",
    "ActiveAssignmentCount": 1,
    "CurrentlyCoveredAssignmentCount": 1,
    "HasNoCurrentHolder": false,
    "CountOfAwaitedDecisions": 0,
    "CurrentAssignmentValidFrom": "2026-04-15T09:00:00-05:00",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"knowledge-authority",
    "Label": "Procedural Knowledge Authority",
    "Organization": "acme-finance",
    "CurrentAgent": "priya-raman",
    "Responsibility": "Approves semantic changes that alter commitments or controls.",
    "SemanticTypeIri": "http://purl.org/spar/pro/Role",
    "CurrentAssignment": "ra-authority-2026",
    "Name": "Procedural Knowledge Authority",
    "CurrentAgentKind": "Human",
    "ActiveAssignmentCount": 1,
    "CurrentlyCoveredAssignmentCount": 1,
    "HasNoCurrentHolder": false,
    "CountOfAwaitedDecisions": 1,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
 "RoleAssignments": {
  "Description": "Time-bounded records of agents holding roles. Maps to pro:RoleInTime and preserves assignment history instead of overwriting it.",
  "important": false,
  "schema": [
   {
    "name": "RoleAssignmentId",
    "datatype": "string",
    "type": "raw",
    "nullable": false,
    "Description": "Stored logical identifier for one RoleAssignments row."
   },
   {
    "name": "Name",
    "datatype": "string",
    "type": "calculated",
    "nullable": true,
    "Description": "Human-readable calculated display alias for the RoleAssignments row.",
    "formula": "={{Role}} &amp; \" @ \" &amp; {{ValidFrom}}"
   },
   {
    "name": "Role",
    "datatype": "string",
    "type": "relationship",
    "nullable": true,
    "Description": "Role held during the assignment.",
    "RelatedTo": "Roles"
   },
   {
    "name": "Agent",
    "datatype": "string",
    "type": "relationship",
    "nullable": true,
    "Description": "Agent holding the role.",
    "RelatedTo": "Agents"
   },
   {
    "name": "ValidFrom",
    "datatype": "datetime",
    "type": "raw",
    "nullable": true,
    "Description": "Start of the assignment's valid-time interval."
   },
   {
    "name": "ValidTo",
    "datatype": "datetime",
    "type": "raw",
    "nullable": true,
    "Description": "End of the assignment's valid-time interval; null means open-ended."
   },
   {
    "name": "Reason",
    "datatype": "string",
    "type": "raw",
    "nullable": true,
    "Description": "Rationale for the assignment or reassignment."
   },
   {
    "name": "Status",
    "datatype": "string",
    "type": "raw",
    "nullable": true,
    "Description": "Active, Superseded, Planned, or Revoked."
   },
   {
    "name": "EvaluationContext",
    "datatype": "string",
    "type": "relationship",
    "nullable": true,
    "Description": "The evaluation context this assignment's currency is judged under.",
    "RelatedTo": "EvaluationContexts"
   },
   {
    "name": "AsOfInstant",
    "datatype": "datetime",
    "type": "lookup",
    "nullable": true,
    "Description": "The evaluation instant this assignment's currency is judged against.",
    "formula": "=INDEX(EvaluationContexts!{{AsOfInstant}}, MATCH({{EvaluationContext}}, EvaluationContexts!{{EvaluationContextId}}, 0))"
   },
   {
    "name": "IsCurrent",
    "datatype": "boolean",
    "type": "calculated",
    "nullable": true,
    "Description": "TRUE when the assignment is valid now.",
    "formula": "=AND({{ValidFrom}} &lt;= {{AsOfInstant}}, OR({{ValidTo}} = \"\", {{ValidTo}} &gt; {{AsOfInstant}}))"
   },
   {
    "name": "CurrentAgentKey",
    "datatype": "string",
    "type": "calculated",
    "nullable": true,
    "Description": "Echoes the Agent id only while this assignment is current; empty otherwise. Lets a parent count CURRENT assignments with a single-criterion COUNTIFS, which is the only shape this transpiler translates correctly.",
    "formula": "=IF({{IsCurrent}}, {{Agent}}, \"\")"
   },
   {
    "name": "IsCurrentlyValid",
    "datatype": "boolean",
    "type": "calculated",
    "nullable": true,
    "Description": "TRUE when this role assignment is active and has not lapsed.",
    "formula": "=AND({{Status}} = \"Active\", OR({{ValidTo}} = \"\", {{ValidTo}} &gt; {{AsOfInstant}}))"
   },
   {
    "name": "AgentRoleKey",
    "datatype": "string",
    "type": "calculated",
    "nullable": true,
    "Description": "Composite agent+role key, emitted only for currently-valid assignments.",
    "formula": "=IF({{IsCurrentlyValid}}, {{Agent}} &amp; \"|\" &amp; {{Role}}, \"\")"
   },
   {
    "name": "HasDeparted",
    "datatype": "boolean",
    "type": "calculated",
    "nullable": true,
    "Description": "TRUE when this role assignment has ended — the agent no longer holds the role.",
    "formula": "=AND({{ValidTo}} &lt;&gt; \"\", {{ValidTo}} &lt;= {{AsOfInstant}})"
   },
   {
    "name": "CoversNow",
    "datatype": "boolean",
    "type": "calculated",
    "nullable": true,
    "Description": "TRUE when this assignment is both status-Active and inside its valid-time window right now.",
    "formula": "=AND({{Status}} = \"Active\", {{ValidFrom}} &lt;= {{AsOfInstant}}, OR({{ValidTo}} = \"\", {{ValidTo}} &gt; {{AsOfInstant}}))"
   },
   {
    "name": "RoleWhenCovering",
    "datatype": "string",
    "type": "calculated",
    "nullable": true,
    "Description": "Echoes the role id when this assignment is currently in force, blank otherwise.",
    "formula": "=IF({{CoversNow}}, {{Role}}, \"\")"
   },
   {
    "name": "AgentKind",
    "datatype": "string",
    "type": "lookup",
    "nullable": true,
    "Description": "Whether the agent holding this assignment is Human, AIAgent, or AutomatedPipeline.",
    "formula": "=INDEX(Agents!{{AgentKind}}, MATCH({{Agent}}, Agents!{{AgentId}}, 0))"
   },
   {
    "name": "IsNonHumanAssignment",
    "datatype": "boolean",
    "type": "calculated",
    "nullable": true,
    "Description": "TRUE when this assignment places a non-human agent into the role.",
    "formula": "=NOT({{AgentKind}} = \"Human\")"
   },
   {
    "name": "SupersedesAssignment",
    "datatype": "string",
    "type": "relationship",
    "nullable": true,
    "Description": "The assignment this one replaced, if any.",
    "RelatedTo": "RoleAssignments"
   },
   {
    "name": "PredecessorAgentKind",
    "datatype": "string",
    "type": "lookup",
    "nullable": true,
    "Description": "Agent kind of the assignment this one superseded.",
    "formula": "=INDEX(RoleAssignments!{{AgentKind}}, MATCH({{SupersedesAssignment}}, RoleAssignments!{{RoleAssignmentId}}, 0))"
   },
   {
    "name": "IsHumanToNonHumanHandover",
    "datatype": "boolean",
    "type": "calculated",
    "nullable": true,
    "Description": "TRUE when this assignment handed a role from a human to a non-human agent.",
    "formula": "=AND({{PredecessorAgentKind}} = \"Human\", {{IsNonHumanAssignment}})"
   },
   {
    "name": "ApprovingAuthorityRole",
    "datatype": "string",
    "type": "relationship",
    "nullable": true,
    "Description": "Role that approved this assignment.",
    "RelatedTo": "Roles"
   },
   {
    "name": "AuthorizingChangeRequest",
    "datatype": "string",
    "type": "relationship",
    "nullable": true,
    "Description": "Change request under which this assignment was approved.",
    "RelatedTo": "ChangeRequests"
   },
   {
    "name": "IsUnauthorizedNonHumanAssignment",
    "datatype": "boolean",
    "type": "calculated",
    "nullable": true,
    "Description": "TRUE when a non-human agent holds this role with no approving authority recorded at all. An authority named without a change request is still an authority; the separate WasAuthorizedByChangeRequest column carries that weaker distinction.",
    "formula": "=AND({{IsNonHumanAssignment}}, NOT({{HasApprovingAuthority}}))"
   },
   {
    "name": "WasAuthorizedByChangeRequest",
    "datatype": "boolean",
    "type": "calculated",
    "nullable": true,
    "Description": "TRUE when this assignment's authorization is traceable to a change request, not merely to a named role. The stronger form of authorization, kept separate so the weaker one is not silently reported as unauthorized.",
    "formula": "=AND({{HasApprovingAuthority}}, {{AuthorizingChangeRequest}} &lt;&gt; \"\")"
   },
   {
    "name": "DecisionCount",
    "datatype": "number",
    "type": "aggregation",
    "nullable": true,
    "Description": "Decisions made under this assignment.",
    "formula": "=COUNTIFS(AgentDecisionRecords!{{RoleAssignmentWhenScored}}, {{RoleAssignmentId}})"
   },
   {
    "name": "OverriddenDecisionCount",
    "datatype": "number",
    "type": "aggregation",
    "nullable": true,
    "Description": "Decisions made under this assignment that a human corrected or reversed.",
    "formula": "=COUNTIFS(AgentDecisionRecords!{{RoleAssignmentWhenOverridden}}, {{RoleAssignmentId}})"
   },
   {
    "name": "OverrideRatePercent",
    "datatype": "number",
    "type": "calculated",
    "nullable": true,
    "Description": "Percentage of decisions under this assignment that a human overrode.",
    "formula": "=IF({{DecisionCount}} = 0, 0, ({{OverriddenDecisionCount}} * 100) / {{DecisionCount}})"
   },
   {
    "name": "PredecessorOverrideRatePercent",
    "datatype": "number",
    "type": "lookup",
    "nullable": true,
    "Description": "Override rate of the assignment this one superseded.",
    "formula": "=INDEX(RoleAssignments!{{OverrideRatePercent}}, MATCH({{SupersedesAssignment}}, RoleAssignments!{{RoleAssignmentId}}, 0))"
   },
   {
    "name": "QualityRegressedVsPredecessor",
    "datatype": "boolean",
    "type": "calculated",
    "nullable": true,
    "Description": "TRUE when this assignment is overridden by humans more often than the assignment it replaced.",
    "formula": "=AND({{SupersedesAssignment}} &lt;&gt; \"\", {{OverrideRatePercent}} &gt; {{PredecessorOverrideRatePercent}})"
   },
   {
    "name": "DepartedRoleKey",
    "datatype": "string",
    "type": "calculated",
    "nullable": true,
    "Description": "Composite-key echo: the role this assignment covered when the assignment has ended, blank otherwise.",
    "formula": "=IF({{HasDeparted}}, {{Role}}, \"\")"
   },
   {
    "name": "MinimumDecisionsForComparison",
    "datatype": "integer",
    "type": "raw",
    "nullable": true,
    "Description": "The number of decisions below which an override-rate comparison is not considered evidentially meaningful for this role."
   },
   {
    "name": "PredecessorDecisionCount",
    "datatype": "number",
    "type": "lookup",
    "nullable": true,
    "Description": "How many decisions the superseded assignment produced.",
    "formula": "=INDEX(RoleAssignments!{{DecisionCount}}, MATCH({{SupersedesAssignment}}, RoleAssignments!{{RoleAssignmentId}}, 0))"
   },
   {
    "name": "HasSufficientSample",
    "datatype": "boolean",
    "type": "calculated",
    "nullable": true,
    "Description": "TRUE when this assignment has produced enough decisions for its override rate to mean anything.",
    "formula": "={{DecisionCount}} &gt;= {{MinimumDecisionsForComparison}}"
   },
   {
    "name": "PredecessorHasSufficientSample",
    "datatype": "boolean",
    "type": "calculated",
    "nullable": true,
    "Description": "TRUE when the predecessor assignment produced enough decisions to compare against.",
    "formula": "={{PredecessorDecisionCount}} &gt;= {{MinimumDecisionsForComparison}}"
   },
   {
    "name": "ComparisonIsEvidentiallySound",
    "datatype": "boolean",
    "type": "calculated",
    "nullable": true,
    "Description": "TRUE when both sides of the override-rate comparison rest on adequate samples.",
    "formula": "=AND({{HasSufficientSample}}, {{PredecessorHasSufficientSample}})"
   },
   {
    "name": "SingleOverrideSwingPercent",
    "datatype": "number",
    "type": "calculated",
    "nullable": true,
    "Description": "How many percentage points one additional override would move this assignment's rate. The fragility of the number.",
    "formula": "=IF({{DecisionCount}} &gt; 0, 100 / {{DecisionCount}}, 0)"
   },
   {
    "name": "QualityVerdictIsUnsupported",
    "datatype": "boolean",
    "type": "calculated",
    "nullable": true,
    "Description": "TRUE when a quality verdict is being reported for this assignment on a sample too small to support it.",
    "formula": "=AND(NOT({{ComparisonIsEvidentiallySound}}), NOT({{QualityRegressedVsPredecessor}}))"
   },
   {
    "name": "IsUnmeasuredAutomationHandover",
    "datatype": "boolean",
    "type": "calculated",
    "nullable": true,
    "Description": "TRUE when a human-to-machine handover is operating without a statistically meaningful quality comparison behind it.",
    "formula": "=AND({{IsHumanToNonHumanHandover}}, NOT({{ComparisonIsEvidentiallySound}}))"
   },
   {
    "name": "ErrorCorrectionCount",
    "datatype": "number",
    "type": "aggregation",
    "nullable": true,
    "Description": "How many of this assignment's decisions were overridden because they were wrong.",
    "formula": "=COUNTIFS(AgentDecisionRecords!{{ErrorCorrectionRoleAssignmentKey}}, {{RoleAssignmentId}})"
   },
   {
    "name": "ErrorRatePercent",
    "datatype": "number",
    "type": "calculated",
    "nullable": true,
    "Description": "Percentage of this assignment's decisions overridden as errors -- the override rate with reserved-judgment overrides removed.",
    "formula": "=IF({{DecisionCount}} &gt; 0, {{ErrorCorrectionCount}} * 100 / {{DecisionCount}}, 0)"
   },
   {
    "name": "AuthorizationDecidedAt",
    "datatype": "datetime",
    "type": "raw",
    "nullable": true,
    "Description": "When the approving authority actually granted this assignment. Empty when no authorization was ever recorded."
   },
   {
    "name": "AuthorizationReviewedAt",
    "datatype": "datetime",
    "type": "raw",
    "nullable": true,
    "Description": "When the authorization for this assignment was last re-examined."
   },
   {
    "name": "AuthorizationReviewCadenceDays",
    "datatype": "integer",
    "type": "raw",
    "nullable": true,
    "Description": "How often this assignment's authorization is promised to be re-examined."
   },
   {
    "name": "HasDatedAuthorization",
    "datatype": "boolean",
    "type": "calculated",
    "nullable": true,
    "Description": "TRUE when this assignment carries both a named approving authority and the date they granted it.",
    "formula": "=AND({{ApprovingAuthorityRole}} &lt;&gt; \"\", {{AuthorizationDecidedAt}} &lt;&gt; \"\")"
   },
   {
    "name": "DaysSinceAuthorizationReview",
    "datatype": "integer",
    "type": "calculated",
    "nullable": true,
    "Description": "How long since this assignment's authorization was last re-examined.",
    "formula": "=IF({{AuthorizationReviewedAt}} &lt;&gt; \"\", DATETIME_DIFF({{AsOfInstant}}, {{AuthorizationReviewedAt}}, \"days\"), DATETIME_DIFF({{AsOfInstant}}, {{ValidFrom}}, \"days\"))"
   },
   {
    "name": "AuthorizationIsOverdueForReview",
    "datatype": "boolean",
    "type": "calculated",
    "nullable": true,
    "Description": "TRUE when the promised re-examination interval has elapsed without a review.",
    "formula": "=AND({{AuthorizationReviewCadenceDays}} &gt; 0, {{DaysSinceAuthorizationReview}} &gt; {{AuthorizationReviewCadenceDays}})"
   },
   {
    "name": "IsStandingUnreviewedAutomation",
    "datatype": "boolean",
    "type": "calculated",
    "nullable": true,
    "Description": "TRUE when a currently-active non-human assignment has been running past its authorization review date.",
    "formula": "=AND({{CoversNow}}, AND({{IsNonHumanAssignment}}, {{AuthorizationIsOverdueForReview}}))"
   },
   {
    "name": "IsUnconditionedAutomationHandover",
    "datatype": "boolean",
    "type": "calculated",
    "nullable": true,
    "Description": "TRUE when a human-to-machine handover was authorized with no promised review cadence at all -- granted once, permanently.",
    "formula": "=AND({{IsHumanToNonHumanHandover}}, {{AuthorizationReviewCadenceDays}} = 0)"
   },
   {
    "name": "MaxTolerableErrorRatePercent",
    "datatype": "integer",
    "type": "raw",
    "nullable": true,
    "Description": "The error rate at or above which this assignment must stop making decisions unaided."
   },
   {
    "name": "ExceedsTolerableErrorRate",
    "datatype": "boolean",
    "type": "calculated",
    "nullable": true,
    "Description": "TRUE when this assignment's error rate has reached the threshold set when it was authorized.",
    "formula": "=AND({{MaxTolerableErrorRatePercent}} &gt; 0, {{ErrorRatePercent}} &gt;= {{MaxTolerableErrorRatePercent}})"
   },
   {
    "name": "BoundaryViolationCountForAssignment",
    "datatype": "number",
    "type": "aggregation",
    "nullable": true,
    "Description": "How many decisions under this assignment violated an authority boundary.",
    "formula": "=COUNTIFS(AgentDecisionRecords!{{BoundaryViolationRoleAssignmentKey}}, {{RoleAssignmentId}})"
   },
   {
    "name": "HasAnyBoundaryViolation",
    "datatype": "boolean",
    "type": "calculated",
    "nullable": true,
    "Description": "TRUE when any decision under this assignment crossed a boundary it was forbidden to cross.",
    "formula": "=({{BoundaryViolationCountForAssignment}} &gt; 0)"
   },
   {
    "name": "HasUngroundedGoverningBoundary",
    "datatype": "boolean",
    "type": "lookup",
    "nullable": true,
    "Description": "TRUE when at least one boundary constraining this assignment's role rests on lapsed knowledge.",
    "formula": "=INDEX(Roles!{{IsGovernedByLapsedAuthority}}, MATCH({{Role}}, Roles!{{RoleId}}, 0))"
   },
   {
    "name": "SuspensionConditionMet",
    "datatype": "boolean",
    "type": "calculated",
    "nullable": true,
    "Description": "TRUE when any pre-declared condition requiring this assignment to stop deciding unaided has been met.",
    "formula": "=OR({{ExceedsTolerableErrorRate}}, OR({{HasAnyBoundaryViolation}}, {{HasUngroundedGoverningBoundary}}))"
   },
   {
    "name": "IsOperatingUnderMetSuspensionCondition",
    "datatype": "boolean",
    "type": "calculated",
    "nullable": true,
    "Description": "TRUE when a suspension condition has been met and the assignment is nonetheless still active and still deciding.",
    "formula": "=AND({{SuspensionConditionMet}}, AND({{CoversNow}}, {{IsNonHumanAssignment}}))"
   },
   {
    "name": "HasDeclaredSuspensionCondition",
    "datatype": "boolean",
    "type": "calculated",
    "nullable": true,
    "Description": "TRUE when this assignment has any pre-declared condition under which it must stop at all.",
    "formula": "={{MaxTolerableErrorRatePercent}} &gt; 0"
   },
   {
    "name": "HasApprovingAuthority",
    "datatype": "boolean",
    "type": "calculated",
    "nullable": true,
    "Description": "TRUE when a role is recorded as having approved this assignment.",
    "formula": "={{ApprovingAuthorityRole}} &lt;&gt; \"\""
   },
   {
    "name": "HasAuthorizingChangeRequest",
    "datatype": "boolean",
    "type": "calculated",
    "nullable": true,
    "Description": "TRUE when a change request is recorded as the governance vehicle for this assignment.",
    "formula": "={{AuthorizingChangeRequest}} &lt;&gt; \"\""
   },
   {
    "name": "IsEnforcementRole",
    "datatype": "boolean",
    "type": "raw",
    "nullable": true,
    "Description": "Whether this role's function is to enforce controls on other agents' actions."
   },
   {
    "name": "IsUnauthorizedEnforcementAgent",
    "datatype": "boolean",
    "type": "calculated",
    "nullable": true,
    "Description": "TRUE when a non-human agent enforces controls on others while holding no recorded authorization of its own.",
    "formula": "=AND({{IsEnforcementRole}}, {{IsUnauthorizedNonHumanAssignment}})"
   },
   {
    "name": "Gov</t>
  </si>
  <si>
    <t xml:space="preserve">ernanceEvidenceCount",
    "datatype": "integer",
    "type": "calculated",
    "nullable": true,
    "Description": "How many independent governance artifacts back this assignment: an approving role, an authorizing change request.",
    "formula": "=IF({{HasApprovingAuthority}}, 1, 0) + IF({{HasAuthorizingChangeRequest}}, 1, 0)"
   },
   {
    "name": "UnauthorizedEnforcementRoleKey",
    "datatype": "string",
    "type": "calculated",
    "nullable": true,
    "Description": "Echoes the role only for non-human assignments nobody authorized; empty otherwise.",
    "formula": "=IF({{IsUnauthorizedNonHumanAssignment}}, {{Role}}, \"\")"
   },
   {
    "name": "SemanticTypeIri",
    "datatype": "string",
    "type": "raw",
    "nullable": true,
    "Description": "Exact class IRI for the assignment event."
   }
  ],
  "data": [
   {
    "RoleAssignmentId": "ra-finance-2026",
    "Role": "finance-analyst",
    "Agent": "maria-chen",
    "ValidFrom": "2026-01-01T00:00:00-06:00",
    "ValidTo": null,
    "Reason": "Assigned for fiscal 2026",
    "Status": "Active",
    "SemanticTypeIri": "http://purl.org/spar/pro/RoleInTime",
    "EvaluationContext": "eval-current",
    "Name": "finance-analyst @ 2026-01-01T00:00:00-06:00",
    "AsOfInstant": "2026-07-19T13:00:00-05:00",
    "IsCurrent": true,
    "CurrentAgentKey": "maria-chen",
    "IsCurrentlyValid": true,
    "AgentRoleKey": "maria-chen|finance-analyst",
    "HasDeparted": false,
    "CoversNow": true,
    "RoleWhenCovering": "finance-analyst",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"ra-controller-2026",
    "Role": "controller",
    "Agent": "devon-okafor",
    "ValidFrom": "2026-01-01T00:00:00-06:00",
    "ValidTo": null,
    "Reason": "Controller appointment",
    "Status": "Active",
    "SemanticTypeIri": "http://purl.org/spar/pro/RoleInTime",
    "EvaluationContext": "eval-current",
    "Name": "controller @ 2026-01-01T00:00:00-06:00",
    "AsOfInstant": "2026-07-19T13:00:00-05:00",
    "IsCurrent": true,
    "CurrentAgentKey": "devon-okafor",
    "IsCurrentlyValid": true,
    "AgentRoleKey": "devon-okafor|controller",
    "HasDeparted": false,
    "CoversNow": true,
    "RoleWhenCovering": "controller",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"ra-cfo-2026",
    "Role": "cfo",
    "Agent": "priya-raman",
    "ValidFrom": "2026-01-01T00:00:00-06:00",
    "ValidTo": null,
    "Reason": "CFO appointment",
    "Status": "Active",
    "SemanticTypeIri": "http://purl.org/spar/pro/RoleInTime",
    "EvaluationContext": "eval-current",
    "Name": "cfo @ 2026-01-01T00:00:00-06:00",
    "AsOfInstant": "2026-07-19T13:00:00-05:00",
    "IsCurrent": true,
    "CurrentAgentKey": "priya-raman",
    "IsCurrentlyValid": true,
    "AgentRoleKey": "priya-raman|cfo",
    "HasDeparted": false,
    "CoversNow": true,
    "RoleWhenCovering": "cfo",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"ra-policy-owner-2026",
    "Role": "hr-policy-owner",
    "Agent": "elena-garcia",
    "ValidFrom": "2026-02-01T00:00:00-06:00",
    "ValidTo": null,
    "Reason": "Policy stewardship assignment",
    "Status": "Active",
    "SemanticTypeIri": "http://purl.org/spar/pro/RoleInTime",
    "EvaluationContext": "eval-current",
    "Name": "hr-policy-owner @ 2026-02-01T00:00:00-06:00",
    "AsOfInstant": "2026-07-19T13:00:00-05:00",
    "IsCurrent": true,
    "CurrentAgentKey": "elena-garcia",
    "IsCurrentlyValid": true,
    "AgentRoleKey": "elena-garcia|hr-policy-owner",
    "HasDeparted": false,
    "CoversNow": true,
    "RoleWhenCovering": "hr-policy-owner",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"ra-counsel-2026",
    "Role": "employment-counsel",
    "Agent": "noah-williams",
    "ValidFrom": "2026-01-15T00:00:00-06:00",
    "ValidTo": null,
    "Reason": "Employment counsel assignment",
    "Status": "Active",
    "SemanticTypeIri": "http://purl.org/spar/pro/RoleInTime",
    "EvaluationContext": "eval-current",
    "Name": "employment-counsel @ 2026-01-15T00:00:00-06:00",
    "AsOfInstant": "2026-07-19T13:00:00-05:00",
    "IsCurrent": true,
    "CurrentAgentKey": "noah-williams",
    "IsCurrentlyValid": true,
    "AgentRoleKey": "noah-williams|employment-counsel",
    "HasDeparted": false,
    "CoversNow": true,
    "RoleWhenCovering": "employment-counsel",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185,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"ra-notify-pipeline-2026",
    "Role": "notification-publisher",
    "Agent": "notification-pipeline",
    "ValidFrom": "2026-03-01T00:00:00-06:00",
    "ValidTo": null,
    "Reason": "Notification platform release 4.4",
    "Status": "Active",
    "SemanticTypeIri": "http://purl.org/spar/pro/RoleInTime",
    "EvaluationContext": "eval-current",
    "Name": "notification-publisher @ 2026-03-01T00:00:00-06:00",
    "AsOfInstant": "2026-07-19T13:00:00-05:00",
    "IsCurrent": true,
    "CurrentAgentKey": "notification-pipeline",
    "IsCurrentlyValid": true,
    "AgentRoleKey": "notification-pipeline|notification-publisher",
    "HasDeparted": false,
    "CoversNow": true,
    "RoleWhenCovering": "notification-publisher",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140,
    "BoundaryViolationCountForAssignment": 0,
    "HasAnyBoundaryViolation": false,
    "HasUngroundedGoverningBoundary": false,
    "HasApprovingAuthority": false,
    "HasAuthorizingChangeRequest": false,
    "IsUnauthorizedEnforcementAgent": false,
    "GovernanceEvidenceCount": 0,
    "UnauthorizedEnforcementRoleKey": "notification-publisher",
    "PredecessorAgentKind": null,
    "IsHumanToNonHumanHandover": false,
    "PredecessorOverrideRatePercent": null,
    "PredecessorDecisionCount": null,
    "HasSufficientSample": false,
    "PredecessorHasSufficientSample": false,
    "ComparisonIsEvidentiallySound": false,
    "QualityVerdictIsUnsupported": true,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"ra-old-variance",
    "Role": "variance-review-agent",
    "Agent": "maria-chen",
    "ValidFrom": "2025-01-01T00:00:00-06:00",
    "ValidTo": "2026-03-31T23:59:59-05:00",
    "Reason": "Human pilot before AI deployment",
    "Status": "Superseded",
    "SemanticTypeIri": "http://purl.org/spar/pro/RoleInTime",
    "EvaluationContext": "eval-current",
    "Name": "variance-review-agent @ 2025-01-01T00:00:00-06:00",
    "AsOfInstant": "2026-07-19T13:00:00-05:00",
    "IsCurrent": false,
    "CurrentAgentKey": null,
    "IsCurrentlyValid": false,
    "AgentRoleKey": null,
    "HasDeparted": true,
    "CoversNow": false,
    "RoleWhenCovering": null,
    "AgentKind": "Human",
    "IsNonHumanAssignment": false,
    "IsHumanToNonHumanHandover": false,
    "IsUnauthorizedNonHumanAssignment": false,
    "WasAuthorizedByChangeRequest": false,
    "DecisionCount": 0,
    "OverriddenDecisionCount": 0,
    "OverrideRatePercent": 0,
    "QualityRegressedVsPredecessor": false,
    "DepartedRoleKey": "variance-review-agent",
    "SingleOverrideSwingPercent": 0,
    "IsUnmeasuredAutomationHandover": false,
    "ErrorCorrectionCount": 0,
    "ErrorRatePercent": 0,
    "HasDatedAuthorization": false,
    "DaysSinceAuthorizationReview": 564,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"ra-new-variance",
    "Role": "variance-review-agent",
    "Agent": "variance-ai",
    "ValidFrom": "2026-04-01T00:00:00-05:00",
    "ValidTo": null,
    "Reason": "Approved AI-assisted variance triage",
    "Status": "Active",
    "SemanticTypeIri": "http://purl.org/spar/pro/RoleInTime",
    "EvaluationContext": "eval-current",
    "SupersedesAssignment": "ra-old-variance",
    "ApprovingAuthorityRole": "cfo",
    "AuthorizingChangeRequest": null,
    "Name": "variance-review-agent @ 2026-04-01T00:00:00-05:00",
    "AsOfInstant": "2026-07-19T13:00:00-05:00",
    "IsCurrent": true,
    "CurrentAgentKey": "variance-ai",
    "IsCurrentlyValid": true,
    "AgentRoleKey": "variance-ai|variance-review-agent",
    "HasDeparted": false,
    "CoversNow": true,
    "RoleWhenCovering": "variance-review-agent",
    "AgentKind": "AIAgent",
    "IsNonHumanAssignment": true,
    "PredecessorAgentKind": "Human",
    "IsHumanToNonHumanHandover": true,
    "IsUnauthorizedNonHumanAssignment": false,
    "WasAuthorizedByChangeRequest": false,
    "DecisionCount": 0,
    "OverriddenDecisionCount": 0,
    "OverrideRatePercent": 0,
    "PredecessorOverrideRatePercent": 0,
    "QualityRegressedVsPredecessor": false,
    "DepartedRoleKey": null,
    "PredecessorDecisionCount": 0,
    "SingleOverrideSwingPercent": 0,
    "ErrorCorrectionCount": 0,
    "ErrorRatePercent": 0,
    "HasDatedAuthorization": false,
    "DaysSinceAuthorizationReview": 109,
    "BoundaryViolationCountForAssignment": 0,
    "HasAnyBoundaryViolation": false,
    "HasUngroundedGoverningBoundary": false,
    "HasApprovingAuthority": true,
    "HasAuthorizingChangeRequest": false,
    "IsUnauthorizedEnforcementAgent": false,
    "GovernanceEvidenceCount": 1,
    "UnauthorizedEnforcementRoleKey": null,
    "HasSufficientSample": false,
    "PredecessorHasSufficientSample": false,
    "ComparisonIsEvidentiallySound": false,
    "QualityVerdictIsUnsupported": true,
    "IsUnmeasuredAutomationHandover": true,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"ra-comms-2026",
    "Role": "communications-manager",
    "Agent": "amina-yusuf",
    "ValidFrom": "2026-02-01T00:00:00-06:00",
    "ValidTo": null,
    "Reason": "Communications manager appointment",
    "Status": "Active",
    "EvaluationContext": "eval-current",
    "SemanticTypeIri": "http://purl.org/spar/pro/RoleInTime",
    "Name": "communications-manager @ 2026-02-01T00:00:00-06:00",
    "AsOfInstant": "2026-07-19T13:00:00-05:00",
    "IsCurrent": true,
    "CurrentAgentKey": "amina-yusuf",
    "IsCurrentlyValid": true,
    "AgentRoleKey": "amina-yusuf|communications-manager",
    "HasDeparted": false,
    "CoversNow": true,
    "RoleWhenCovering": "communications-manager",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"ra-authority-2026",
    "Role": "knowledge-authority",
    "Agent": "priya-raman",
    "ValidFrom": "2026-01-01T00:00:00-06:00",
    "ValidTo": null,
    "Reason": "Knowledge authority vested with the CFO for financial procedures",
    "Status": "Active",
    "EvaluationContext": "eval-current",
    "SemanticTypeIri": "http://purl.org/spar/pro/RoleInTime",
    "Name": "knowledge-authority @ 2026-01-01T00:00:00-06:00",
    "AsOfInstant": "2026-07-19T13:00:00-05:00",
    "IsCurrent": true,
    "CurrentAgentKey": "priya-raman",
    "IsCurrentlyValid": true,
    "AgentRoleKey": "priya-raman|knowledge-authority",
    "HasDeparted": false,
    "CoversNow": true,
    "RoleWhenCovering": "knowledge-authority",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"ra-steward-2026",
    "Role": "process-steward",
    "Agent": "elena-garcia",
    "ValidFrom": "2026-04-15T09:00:00-05:00",
    "ValidTo": null,
    "Reason": "Process stewardship assignment",
    "Status": "Active",
    "EvaluationContext": "eval-current",
    "SemanticTypeIri": "http://purl.org/spar/pro/RoleInTime",
    "Name": "process-steward @ 2026-04-15T09:00:00-05:00",
    "AsOfInstant": "2026-07-19T13:00:00-05:00",
    "IsCurrent": true,
    "CurrentAgentKey": "elena-garcia",
    "IsCurrentlyValid": true,
    "AgentRoleKey": "elena-garcia|process-steward",
    "HasDeparted": false,
    "CoversNow": true,
    "RoleWhenCovering": "process-steward",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95,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null,
    "PredecessorDecisionCount": null,
    "HasSufficientSample": false,
    "PredecessorHasSufficientSample": false,
    "ComparisonIsEvidentiallySound": false,
    "QualityVerdictIsUnsupported": true,
    "AuthorizationIsOverdueForReview": false,
    "ExceedsTolerableErrorRate": false,
    "SuspensionConditionMet": false,
    "HasDeclaredSuspensionCondition": false
   },
   {
    "RoleAssignmentId": "ra-close-pipeline-2026",
    "Role": "close-automation",
    "Agent": "close-pipeline",
    "ValidFrom": "2026-01-01T00:00:00-06:00",
    "ValidTo": null,
    "Reason": "Close automation platform release 3.2",
    "Status": "Active",
    "EvaluationContext": "eval-current",
    "SemanticTypeIri": "http://purl.org/spar/pro/RoleInTime",
    "Name": "close-automation @ 2026-01-01T00:00:00-06:00",
    "AsOfInstant": "2026-07-19T13:00:00-05:00",
    "IsCurrent": true,
    "CurrentAgentKey": "close-pipeline",
    "IsCurrentlyValid": true,
    "AgentRoleKey": "close-pipeline|close-automation",
    "HasDeparted": false,
    "CoversNow": true,
    "RoleWhenCovering": "close-automation",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199,
    "BoundaryViolationCountForAssignment": 0,
    "HasAnyBoundaryViolation": false,
    "HasUngroundedGoverningBoundary": false,
    "HasApprovingAuthority": false,
    "HasAuthorizingChangeRequest": false,
    "IsUnauthorizedEnforcementAgent": false,
    "GovernanceEvidenceCount": 0,
    "UnauthorizedEnforcementRoleKey": "close-automation",
    "PredecessorAgentKind": null,
    "IsHumanToNonHumanHandover": false,
    "PredecessorOverrideRatePercent": null,
    "PredecessorDecisionCount": null,
    "HasSufficientSample": false,
    "PredecessorHasSufficientSample": false,
    "ComparisonIsEvidentiallySound": false,
    "QualityVerdictIsUnsupported": true,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"ra-policy-ai-2026",
    "Role": "policy-drafting-agent",
    "Agent": "policy-drafting-ai",
    "ValidFrom": "2026-05-01T00:00:00-05:00",
    "ValidTo": null,
    "Reason": "Approved AI-assisted policy drafting",
    "Status": "Active",
    "EvaluationContext": "eval-current",
    "SemanticTypeIri": "http://purl.org/spar/pro/RoleInTime",
    "Name": "policy-drafting-agent @ 2026-05-01T00:00:00-05:00",
    "AsOfInstant": "2026-07-19T13:00:00-05:00",
    "IsCurrent": true,
    "CurrentAgentKey": "policy-drafting-ai",
    "IsCurrentlyValid": true,
    "AgentRoleKey": "policy-drafting-ai|policy-drafting-agent",
    "HasDeparted": false,
    "CoversNow": true,
    "RoleWhenCovering": "policy-drafting-agent",
    "AgentKind": "AIAgent",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79,
    "BoundaryViolationCountForAssignment": 0,
    "HasAnyBoundaryViolation": false,
    "HasUngroundedGoverningBoundary": false,
    "HasApprovingAuthority": false,
    "HasAuthorizingChangeRequest": false,
    "IsUnauthorizedEnforcementAgent": false,
    "GovernanceEvidenceCount": 0,
    "UnauthorizedEnforcementRoleKey": "policy-drafting-agent",
    "PredecessorAgentKind": null,
    "IsHumanToNonHumanHandover": false,
    "PredecessorOverrideRatePercent": null,
    "PredecessorDecisionCount": null,
    "HasSufficientSample": false,
    "PredecessorHasSufficientSample": false,
    "ComparisonIsEvidentiallySound": false,
    "QualityVerdictIsUnsupported": true,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
 "CommunitiesOfPractice": {
  "Description": "Socio-technical communities that transmit and maintain procedural knowledge. Explicit ERB-PKO extension.",
  "important": false,
  "schema": [
   {
    "name": "CommunityOfPracticeId",
    "datatype": "string",
    "type": "raw",
    "nullable": false,
    "Description": "Stored logical identifier for one CommunitiesOfPractice row."
   },
   {
    "name": "Name",
    "datatype": "string",
    "type": "calculated",
    "nullable": true,
    "Description": "Human-readable calculated display alias for the CommunitiesOfPractice row.",
    "formula": "={{Label}}"
   },
   {
    "name": "Label",
    "datatype": "string",
    "type": "raw",
    "nullable": true,
    "Description": "Community's human-readable name."
   },
   {
    "name": "Organization",
    "datatype": "string",
    "type": "relationship",
    "nullable": true,
    "Description": "Organization hosting the community.",
    "RelatedTo": "Organizations"
   },
   {
    "name": "StewardRole",
    "datatype": "string",
    "type": "relationship",
    "nullable": true,
    "Description": "Role accountable for convening and maintaining the community.",
    "RelatedTo": "Roles"
   },
   {
    "name": "Purpose",
    "datatype": "string",
    "type": "raw",
    "nullable": true,
    "Description": "Shared practice and knowledge-transfer purpose."
   },
   {
    "name": "Cadence",
    "datatype": "string",
    "type": "raw",
    "nullable": true,
    "Description": "Meeting or practice cadence."
   },
   {
    "name": "SemanticTypeIri",
    "datatype": "string",
    "type": "raw",
    "nullable": true,
    "Description": "Extension class IRI."
   }
  ],
  "data": [
   {
    "CommunityOfPracticeId": "close-practice-guild",
    "Label": "Financial Close Community of Practice",
    "Organization": "acme-finance",
    "StewardRole": "controller",
    "Purpose": "Share close exceptions, reconcile recurring failure modes, and mentor new preparers.",
    "Cadence": "Monthly and after every quarter close",
    "SemanticTypeIri": "urn:effortless:pko-extension#CommunityOfPractice",
    "Name": "Financial Close Community of Practice"
   },
   {
    "CommunityOfPracticeId": "policy-stewards-circle",
    "Label": "Policy Stewardship Circle",
    "Organization": "acme-people",
    "StewardRole": "process-steward",
    "Purpose": "Review workforce-policy changes, employee feedback, and notification effectiveness.",
    "Cadence": "Biweekly",
    "SemanticTypeIri": "urn:effortless:pko-extension#CommunityOfPractice",
    "Name": "Policy Stewardship Circle"
   }
  ]
 },
 "Mentorships": {
  "Description": "Time-bounded apprenticeship relationships that intentionally transfer situated procedural knowledge. Explicit ERB-PKO extension.",
  "important": false,
  "schema": [
   {
    "name": "MentorshipId",
    "datatype": "string",
    "type": "raw",
    "nullable": false,
    "Description": "Stored logical identifier for one Mentorships row."
   },
   {
    "name": "Name",
    "datatype": "string",
    "type": "calculated",
    "nullable": true,
    "Descripti</t>
  </si>
  <si>
    <t xml:space="preserve">on": "Human-readable calculated display alias for the Mentorships row.",
    "formula": "={{MentorAgent}} &amp; \" -&gt; \" &amp; {{LearnerAgent}}"
   },
   {
    "name": "CommunityOfPractice",
    "datatype": "string",
    "type": "relationship",
    "nullable": true,
    "Description": "Community in which the mentorship operates.",
    "RelatedTo": "CommunitiesOfPractice"
   },
   {
    "name": "MentorAgent",
    "datatype": "string",
    "type": "relationship",
    "nullable": true,
    "Description": "Experienced practitioner serving as mentor.",
    "RelatedTo": "Agents"
   },
   {
    "name": "LearnerAgent",
    "datatype": "string",
    "type": "relationship",
    "nullable": true,
    "Description": "Practitioner learning the procedure.",
    "RelatedTo": "Agents"
   },
   {
    "name": "ValidFrom",
    "datatype": "datetime",
    "type": "raw",
    "nullable": true,
    "Description": "Mentorship start."
   },
   {
    "name": "ValidTo",
    "datatype": "datetime",
    "type": "raw",
    "nullable": true,
    "Description": "Mentorship end."
   },
   {
    "name": "LearningObjective",
    "datatype": "string",
    "type": "raw",
    "nullable": true,
    "Description": "Procedural capability to be transferred."
   },
   {
    "name": "EvidenceOfCompletion",
    "datatype": "string",
    "type": "raw",
    "nullable": true,
    "Description": "Evidence showing completion or competence."
   },
   {
    "name": "SemanticTypeIri",
    "datatype": "string",
    "type": "raw",
    "nullable": true,
    "Description": "Extension class IRI."
   }
  ],
  "data": [
   {
    "MentorshipId": "mentor-close-2026",
    "CommunityOfPractice": "close-practice-guild",
    "MentorAgent": "devon-okafor",
    "LearnerAgent": "maria-chen",
    "ValidFrom": "2026-01-15T00:00:00-06:00",
    "ValidTo": "2026-09-30T23:59:59-05:00",
    "LearningObjective": "Independently diagnose material variances and produce an auditable controller-ready explanation.",
    "EvidenceOfCompletion": "Three consecutive reconciliations accepted without rework.",
    "SemanticTypeIri": "urn:effortless:pko-extension#Mentorship",
    "Name": "devon-okafor -&gt; maria-chen"
   }
  ]
 },
 "ProcedureTypes": {
  "Description": "Controlled values used by pko:hasProcedureType.",
  "important": false,
  "schema": [
   {
    "name": "ProcedureTypeId",
    "datatype": "string",
    "type": "raw",
    "nullable": false,
    "Description": "Stored logical identifier for one ProcedureTypes row."
   },
   {
    "name": "Name",
    "datatype": "string",
    "type": "calculated",
    "nullable": true,
    "Description": "Human-readable calculated display alias for the ProcedureTypes row.",
    "formula": "={{Label}}"
   },
   {
    "name": "Label",
    "datatype": "string",
    "type": "raw",
    "nullable": true,
    "Description": "Procedure type label."
   },
   {
    "name": "Definition",
    "datatype": "string",
    "type": "raw",
    "nullable": true,
    "Description": "Definition and scope of the procedure type."
   },
   {
    "name": "SemanticTypeIri",
    "datatype": "string",
    "type": "raw",
    "nullable": true,
    "Description": "Exact class IRI for procedure types."
   }
  ],
  "data": [
   {
    "ProcedureTypeId": "financial-sop",
    "Label": "Financial Standard Operating Procedure",
    "Definition": "A controlled procedure for financial operations, approvals, evidence, and auditability.",
    "SemanticTypeIri": "https://w3id.org/pko#ProcedureType",
    "Name": "Financial Standard Operating Procedure"
   },
   {
    "ProcedureTypeId": "communication-policy",
    "Label": "Employee Communication Policy Procedure",
    "Definition": "A controlled procedure that creates, approves, and distributes workforce policy communications.",
    "SemanticTypeIri": "https://w3id.org/pko#ProcedureType",
    "Name": "Employee Communication Policy Procedure"
   }
  ]
 },
 "Procedures": {
  "Description": "Abstract, discoverable procedures. Each version is represented separately in ProcedureVersions. Maps to pko:Procedure and dcat:Resource.",
  "important": true,
  "schema": [
   {
    "name": "ProcedureId",
    "datatype": "string",
    "type": "raw",
    "nullable": false,
    "Description": "Stored logical identifier for one Procedures row."
   },
   {
    "name": "Name",
    "datatype": "string",
    "type": "calculated",
    "nullable": true,
    "Description": "Human-readable calculated display alias for the Procedures row.",
    "formula": "={{Title}}"
   },
   {
    "name": "Title",
    "datatype": "string",
    "type": "raw",
    "nullable": true,
    "Description": "Human-readable title; maps to dcterms:title."
   },
   {
    "name": "ProcedureType",
    "datatype": "string",
    "type": "relationship",
    "nullable": true,
    "Description": "Procedure type; maps to pko:hasProcedureType.",
    "RelatedTo": "ProcedureTypes"
   },
   {
    "name": "OwnerOrganization",
    "datatype": "string",
    "type": "relationship",
    "nullable": true,
    "Description": "Organization that owns the procedure.",
    "RelatedTo": "Organizations"
   },
   {
    "name": "AdoptedByOrganization",
    "datatype": "string",
    "type": "relationship",
    "nullable": true,
    "Description": "Organization that adopts the procedure; maps to pko:isAdoptedBy.",
    "RelatedTo": "Organizations"
   },
   {
    "name": "Purpose",
    "datatype": "string",
    "type": "raw",
    "nullable": true,
    "Description": "Desired outcome and scope of the procedure."
   },
   {
    "name": "Target",
    "datatype": "string",
    "type": "raw",
    "nullable": true,
    "Description": "Thing or population on which the procedure acts; maps to pko:hasProcedureTarget."
   },
   {
    "name": "IsTemplate",
    "datatype": "boolean",
    "type": "raw",
    "nullable": true,
    "Description": "TRUE when the procedure is a reusable template; maps to pko:isTemplate."
   },
   {
    "name": "CurrentVersionKey",
    "datatype": "string",
    "type": "raw",
    "nullable": true,
    "Description": "Current version identifier, mirrored structurally by ProcedureVersions.IsCurrent."
   },
   {
    "name": "SemanticTypeIri",
    "datatype": "string",
    "type": "raw",
    "nullable": true,
    "Description": "Exact PKO class IRI."
   }
  ],
  "data": [
   {
    "ProcedureId": "quarter-end-close",
    "Title": "Quarter-End Financial Close",
    "ProcedureType": "financial-sop",
    "OwnerOrganization": "acme-finance",
    "AdoptedByOrganization": "acme-corp",
    "Purpose": "Close the general ledger accurately, produce evidence, and obtain independent approval.",
    "Target": "Corporate general ledger and reporting package",
    "IsTemplate": false,
    "CurrentVersionKey": "close-v1.1.0",
    "SemanticTypeIri": "https://w3id.org/pko#Procedure",
    "Name": "Quarter-End Financial Close"
   },
   {
    "ProcedureId": "workforce-policy-notification",
    "Title": "Workforce Policy Change and Employee Notification",
    "ProcedureType": "communication-policy",
    "OwnerOrganization": "acme-people",
    "AdoptedByOrganization": "acme-corp",
    "Purpose": "Turn an approved workforce policy change into governed, channel-appropriate employee communications and acknowledgements.",
    "Target": "All affected employees and workforce-policy records",
    "IsTemplate": false,
    "CurrentVersionKey": "policy-v1.0.0",
    "SemanticTypeIri": "https://w3id.org/pko#Procedure",
    "Name": "Workforce Policy Change and Employee Notification"
   }
  ]
 },
 "ProcedureVersions": {
  "Description": "Versioned procedure specifications. Maps to pko:Procedure plus DCAT version relations and PKO versionNumber/newVersionMotivation/changelogDescription.",
  "important": true,
  "schema": [
   {
    "name": "ProcedureVersionId",
    "datatype": "string",
    "type": "raw",
    "nullable": false,
    "Description": "Stored logical identifier for one ProcedureVersions row."
   },
   {
    "name": "Name",
    "datatype": "string",
    "type": "calculated",
    "nullable": true,
    "Description": "Human-readable calculated display alias for the ProcedureVersions row.",
    "formula": "={{Title}}"
   },
   {
    "name": "Procedure",
    "datatype": "string",
    "type": "relationship",
    "nullable": true,
    "Description": "Abstract procedure of which this is a version.",
    "RelatedTo": "Procedures"
   },
   {
    "name": "VersionNumber",
    "datatype": "string",
    "type": "raw",
    "nullable": true,
    "Description": "Version number; maps to pko:versionNumber."
   },
   {
    "name": "Title",
    "datatype": "string",
    "type": "raw",
    "nullable": true,
    "Description": "Version-specific title."
   },
   {
    "name": "Status",
    "datatype": "string",
    "type": "raw",
    "nullable": true,
    "Description": "PKO procedure status individual: Draft, Validation, Approval, Approved, Deprecated, or Archived."
   },
   {
    "name": "IssuedAt",
    "datatype": "datetime",
    "type": "raw",
    "nullable": true,
    "Description": "Issue timestamp; maps to dcterms:issued."
   },
   {
    "name": "ModifiedAt",
    "datatype": "datetime",
    "type": "raw",
    "nullable": true,
    "Description": "Last semantic modification; maps to dcterms:modified."
   },
   {
    "name": "CreatedByAgent",
    "datatype": "string",
    "type": "relationship",
    "nullable": true,
    "Description": "Agent that created the version; maps to dcterms:creator.",
    "RelatedTo": "Agents"
   },
   {
    "name": "ModifiedByAgent",
    "datatype": "string",
    "type": "relationship",
    "nullable": true,
    "Description": "Agent that last modified the version; maps to pko:wasModifiedBy.",
    "RelatedTo": "Agents"
   },
   {
    "name": "NewVersionMotivation",
    "datatype": "string",
    "type": "raw",
    "nullable": true,
    "Description": "Reason for the new version; maps to pko:newVersionMotivation."
   },
   {
    "name": "ChangelogDescription",
    "datatype": "string",
    "type": "raw",
    "nullable": true,
    "Description": "Semantic change description; maps to pko:changelogDescription."
   },
   {
    "name": "IsCurrent",
    "datatype": "boolean",
    "type": "raw",
    "nullable": true,
    "Description": "TRUE when this is the current version."
   },
   {
    "name": "CountOfSteps",
    "datatype": "integer",
    "type": "aggregation",
    "nullable": true,
    "Description": "Number of steps in this version.",
    "formula": "=COUNTIFS(Steps!{{ProcedureVersion}}, ProcedureVersions!{{ProcedureVersionId}})"
   },
   {
    "name": "CountOfOpenKnowledgeGaps",
    "datatype": "integer",
    "type": "aggregation",
    "nullable": true,
    "Description": "Open knowledge gaps for this version.",
    "formula": "=COUNTIFS(KnowledgeGaps!{{ProcedureVersion}}, ProcedureVersions!{{ProcedureVersionId}}, KnowledgeGaps!{{Status}}, \"Open\")"
   },
   {
    "name": "IsReadyForExecution",
    "datatype": "boolean",
    "type": "calculated",
    "nullable": true,
    "Description": "TRUE when approved, populated, and free of blocking knowledge gaps.",
    "formula": "=AND({{Status}} = \"Approved\", {{CountOfSteps}} &gt; 0, {{CountOfOpenKnowledgeGaps}} = 0)"
   },
   {
    "name": "SpecifiedStepCount",
    "datatype": "number",
    "type": "aggregation",
    "nullable": true,
    "Description": "How many steps the specification defines for this version.",
    "formula": "=COUNTIFS(Steps!{{ProcedureVersion}}, {{ProcedureVersionId}})"
   },
   {
    "name": "OverdueReviewCount",
    "datatype": "number",
    "type": "aggregation",
    "nullable": true,
    "Description": "How many reviews of this procedure version are past due.",
    "formula": "=COUNTIFS(ReviewEvents!{{OverdueVersionKey}}, {{ProcedureVersionId}})"
   },
   {
    "name": "OpenChangeRequestCount",
    "datatype": "number",
    "type": "aggregation",
    "nullable": true,
    "Description": "How many change requests are open against this version.",
    "formula": "=COUNTIFS(ChangeRequests!{{OpenChangeVersionKey}}, {{ProcedureVersionId}})"
   },
   {
    "name": "OpenHighSeverityGapCount",
    "datatype": "number",
    "type": "aggregation",
    "nullable": true,
    "Description": "How many high-severity knowledge gaps are open against this version.",
    "formula": "=COUNTIFS(KnowledgeGaps!{{OpenGapVersionKey}}, {{ProcedureVersionId}})"
   },
   {
    "name": "IsFitToExecute",
    "datatype": "boolean",
    "type": "calculated",
    "nullable": true,
    "Description": "TRUE when this version is approved, current on review, and carries no open change request or high-severity gap.",
    "formula": "=AND({{Status}} = \"Approved\", {{OverdueReviewCount}} = 0, {{OpenChangeRequestCount}} = 0, {{OpenHighSeverityGapCount}} = 0)"
   },
   {
    "name": "StewardReviewCadenceDays",
    "datatype": "number",
    "type": "aggregation",
    "nullable": true,
    "Description": "The review cadence promised by this version's stewardship assignment, in days. Summed because a version has at most one active steward; this is the hop that lets ReviewEvents resolve the promise via a primary-key match.",
    "formula": "=SUMIFS(StewardshipAssignments!{{ReviewCadenceDays}}, StewardshipAssignments!{{ProcedureVersion}}, {{ProcedureVersionId}})"
   },
   {
    "name": "CountOfStewardshipAssignments",
    "datatype": "integer",
    "type": "aggregation",
    "nullable": true,
    "Description": "How many stewardship assignments of any vintage point at this version.",
    "formula": "=COUNTIFS(StewardshipAssignments!{{ProcedureVersion}}, ProcedureVersions!{{ProcedureVersionId}})"
   },
   {
    "name": "HasAnySteward",
    "datatype": "boolean",
    "type": "calculated",
    "nullable": true,
    "Description": "TRUE if any stewardship assignment has ever named this version.",
    "formula": "={{CountOfStewardshipAssignments}} &gt; 0"
   },
   {
    "name": "IsLive",
    "datatype": "boolean",
    "type": "calculated",
    "nullable": true,
    "Description": "TRUE when this version is in a state where somebody could execute it.",
    "formula": "=OR({{Status}} = \"Approved\", {{Status}} = \"Published\")"
   },
   {
    "name": "IsUnstewarded",
    "datatype": "boolean",
    "type": "calculated",
    "nullable": true,
    "Description": "TRUE when no stewardship assignment names this version.",
    "formula": "=NOT({{HasAnySteward}})"
   },
   {
    "name": "IsLiveAndUnstewarded",
    "datatype": "boolean",
    "type": "calculated",
    "nullable": true,
    "Description": "TRUE when an executable version has nobody accountable for keeping it healthy.",
    "formula": "=AND({{IsLive}}, {{IsUnstewarded}})"
   },
   {
    "name": "CountOfOpenBlockingGaps",
    "datatype": "integer",
    "type": "aggregation",
    "nullable": true,
    "Description": "How many open blocking gaps stand against this version.",
    "formula": "=COUNTIFS(KnowledgeGaps!{{IsOpenAndBlocking}}, TRUE)"
   },
   {
    "name": "HasOpenBlockingGap",
    "datatype": "boolean",
    "type": "calculated",
    "nullable": true,
    "Description": "TRUE when at least one open blocking gap stands against this version.",
    "formula": "={{CountOfOpenBlockingGaps}} &gt; 0"
   },
   {
    "name": "IsLiveWithBlockingGap",
    "datatype": "boolean",
    "type": "calculated",
    "nullable": true,
    "Description": "TRUE when an executable version carries an unresolved blocking knowledge gap.",
    "formula": "=AND({{IsLive}}, {{HasOpenBlockingGap}})"
   },
   {
    "name": "ShouldNotBeExecutable",
    "datatype": "boolean",
    "type": "calculated",
    "nullable": true,
    "Description": "TRUE when the model says this version is ready to execute while a blocking gap is open against it.",
    "formula": "=AND({{IsReadyForExecution}}, {{HasOpenBlockingGap}})"
   },
   {
    "name": "CountOfUnapprovedRelianceFragments",
    "datatype": "integer",
    "type": "aggregation",
    "nullable": true,
    "Description": "How many unapproved claims this version is relying on.",
    "formula": "=COUNTIFS(KnowledgeFragments!{{IsUnapprovedButReliedOn}}, TRUE)"
   },
   {
    "name": "RunsOnUnapprovedKnowledge",
    "datatype": "boolean",
    "type": "calculated",
    "nullable": true,
    "Description": "TRUE when this version depends on at least one claim the knowledge authority has not approved.",
    "formula": "={{CountOfUnapprovedRelianceFragments}} &gt; 0"
   },
   {
    "name": "CountOfOverdueGaps",
    "datatype": "integer",
    "type": "aggregation",
    "nullable": true,
    "Description": "How many acknowledged unknowns against this version have outlived their tolerance.",
    "formula": "=COUNTIFS(KnowledgeGaps!{{IsOverdueGap}}, TRUE)"
   },
   {
    "name": "CountOfChangeRequests",
    "datatype": "integer",
    "type": "aggregation",
    "nullable": true,
    "Description": "How many change requests have ever been raised against this version.",
    "formula": "=COUNTIFS(ChangeRequests!{{ProcedureVersion}}, ProcedureVersions!{{ProcedureVersionId}})"
   },
   {
    "name": "CountOfReviewEvents",
    "datatype": "integer",
    "type": "aggregation",
    "nullable": true,
    "Description": "How many review events have ever been recorded against this version.",
    "formula": "=COUNTIFS(ReviewEvents!{{ProcedureVersion}}, ProcedureVersions!{{ProcedureVersionId}})"
   },
   {
    "name": "HasGovernanceRecord",
    "datatype": "boolean",
    "type": "calculated",
    "nullable": true,
    "Description": "TRUE when at least one change request or review event exists for this version.",
    "formula": "=OR({{CountOfChangeRequests}} &gt; 0,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"DaysSinceModified",
    "datatype": "integer",
    "type": "calculated",
    "nullable": true,
    "Description": "Days since this version's content was last changed.",
    "formula": "=DATETIME_DIFF({{AsOfInstant}}, {{ModifiedAt}}, \"days\")"
   },
   {
    "name": "DaysSinceLastReview",
    "datatype": "integer",
    "type": "aggregation",
    "nullable": true,
    "Description": "Days since the most recent review of this version.",
    "formula": "=DATETIME_DIFF({{AsOfInstant}}, MAXIFS(ReviewEvents!{{ReviewedAt}}, ReviewEvents!{{ProcedureVersion}}, ProcedureVersions!{{ProcedureVersionId}}), \"days\")"
   },
   {
    "name": "WasModifiedSinceLastReview",
    "datatype": "boolean",
    "type": "calculated",
    "nullable": true,
    "Description": "TRUE when the version was edited more recently than it was reviewed.",
    "formula": "={{DaysSinceModified}} &lt; {{DaysSinceLastReview}}"
   },
   {
    "name": "ModifierIsAuthority",
    "datatype": "string",
    "type": "lookup",
    "nullable": true,
    "Description": "The kind of agent that last modified this version.",
    "formula": "=INDEX(Agents!{{AgentKind}}, MATCH({{ModifiedByAgent}}, Agents!{{AgentId}}, 0))"
   },
   {
    "name": "HasUnwitnessedChange",
    "datatype": "boolean",
    "type": "calculated",
    "nullable": true,
    "Description": "TRUE when a live version's current content postdates every review it has had.",
    "formula": "=AND({{IsLive}}, {{WasModifiedSinceLastReview}})"
   },
   {
    "name": "CountOfStaleFragments",
    "datatype": "integer",
    "type": "aggregation",
    "nullable": true,
    "Description": "How many supporting claims have outlived this version's review cadence.",
    "formula": "=COUNTIFS(KnowledgeFragments!{{ExceedsOwningCadence}}, TRUE)"
   },
   {
    "name": "KnowledgeIsStalerThanCadence",
    "datatype": "boolean",
    "type": "calculated",
    "nullable": true,
    "Description": "TRUE when this version rests on at least one claim older than its own review cadence.",
    "formula": "={{CountOfStaleFragments}} &gt; 0"
   },
   {
    "name": "CompoundFragileFragmentCount",
    "datatype": "number",
    "type": "aggregation",
    "nullable": true,
    "Description": "How many compound-fragile knowledge fragments this version rests on.",
    "formula": "=COUNTIFS(KnowledgeFragments!{{CompoundFragileVersionKey}}, {{ProcedureVersionId}})"
   },
   {
    "name": "RestsOnCompoundFragileKnowledge",
    "datatype": "boolean",
    "type": "calculated",
    "nullable": true,
    "Description": "A live procedure version resting on at least one knowledge fragment that carries three or more decay signals.",
    "formula": "=AND({{IsLive}}, {{CompoundFragileFragmentCount}} &gt; 0)"
   },
   {
    "name": "ConcentratedWitnessSessionCount",
    "datatype": "number",
    "type": "aggregation",
    "nullable": true,
    "Description": "How many concentrated single-witness sessions underwrite this version's knowledge base.",
    "formula": "=COUNTIFS(ElicitationSessions!{{ConcentratedSessionVersionKey}}, {{ProcedureVersionId}})"
   },
   {
    "name": "KnowledgeBaseIsConcentrated",
    "datatype": "boolean",
    "type": "calculated",
    "nullable": true,
    "Description": "A live version where at least one single-witness session alone underwrites three or more of its live claims.",
    "formula": "=AND({{IsLive}}, {{ConcentratedWitnessSessionCount}} &gt; 0)"
   },
   {
    "name": "MachineConsumedUnapprovedCount",
    "datatype": "number",
    "type": "aggregation",
    "nullable": true,
    "Description": "How many unapproved claims this version feeds directly to software-assigned steps.",
    "formula": "=COUNTIFS(KnowledgeFragments!{{MachineConsumedUnapprovedVersionKey}}, {{ProcedureVersionId}})"
   },
   {
    "name": "FeedsUnapprovedKnowledgeToMachines",
    "datatype": "boolean",
    "type": "calculated",
    "nullable": true,
    "Description": "A live version that hands unapproved knowledge to a step no human is positioned to review.",
    "formula": "=AND({{IsLive}}, {{MachineConsumedUnapprovedCount}} &gt; 0)"
   },
   {
    "name": "GenuinelyOverdueFragmentCount",
    "datatype": "number",
    "type": "aggregation",
    "nullable": true,
    "Description": "How many of this version's claims are overdue by actual review record rather than by inference.",
    "formula": "=COUNTIFS(KnowledgeFragments!{{GenuinelyOverdueVersionKey}}, {{ProcedureVersionId}})"
   },
   {
    "name": "AwaitedDecisionCount",
    "datatype": "number",
    "type": "aggregation",
    "nullable": true,
    "Description": "How many decisions are pending against this live version.",
    "formula": "=COUNTIFS(ChangeRequests!{{BacklogVersionKey}}, {{ProcedureVersionId}})"
   },
   {
    "name": "ScopedOpenBlockingGapCount",
    "datatype": "number",
    "type": "aggregation",
    "nullable": true,
    "Description": "How many open blocking gaps belong to THIS version, correctly scoped.",
    "formula": "=COUNTIFS(KnowledgeGaps!{{OpenBlockingGapVersionKey}}, {{ProcedureVersionId}})"
   },
   {
    "name": "IsBlockedOnPendingDecision",
    "datatype": "boolean",
    "type": "calculated",
    "nullable": true,
    "Description": "A live version carrying both an undecided change request and an open blocking gap — the gap cannot close until the decision lands.",
    "formula": "=AND({{AwaitedDecisionCount}} &gt; 0, {{ScopedOpenBlockingGapCount}} &gt; 0)"
   },
   {
    "name": "UnexercisedHumanGateCount",
    "datatype": "number",
    "type": "aggregation",
    "nullable": true,
    "Description": "How many of this version's human-only gates have never been approached by software.",
    "formula": "=COUNTIFS(Steps!{{UnexercisedGateVersionKey}}, {{ProcedureVersionId}})"
   },
   {
    "name": "AiBoundaryIsUnevidenced",
    "datatype": "boolean",
    "type": "calculated",
    "nullable": true,
    "Description": "A live version whose human-only gates rest on assertion rather than on any observed attempt by software.",
    "formula": "=AND({{IsLive}}, {{UnexercisedHumanGateCount}} &gt; 0)"
   },
   {
    "name": "LoadBearingUnapprovedCount",
    "datatype": "number",
    "type": "aggregation",
    "nullable": true,
    "Description": "How many high-blast-radius unapproved claims this version rests on.",
    "formula": "=COUNTIFS(KnowledgeFragments!{{UnapprovedLoadBearingVersionKey}}, {{ProcedureVersionId}})"
   },
   {
    "name": "UnlandedDecisionCount",
    "datatype": "number",
    "type": "aggregation",
    "nullable": true,
    "Description": "How many decided-but-unimplemented change requests hold this version's fitness down.",
    "formula": "=COUNTIFS(ChangeRequests!{{UnlandedVersionKey}}, {{ProcedureVersionId}})"
   },
   {
    "name": "UnrehearsedControlEntryCount",
    "datatype": "number",
    "type": "aggregation",
    "nullable": true,
    "Description": "How many unrehearsed control entries exist in this procedure version.",
    "formula": "=COUNTIFS(StepTransitions!{{UnrehearsedControlVersionKey}}, {{ProcedureVersionId}})"
   },
   {
    "name": "HasUnrehearsedControlEntry",
    "datatype": "boolean",
    "type": "calculated",
    "nullable": true,
    "Description": "Whether this live version has at least one blocking control that is only reachable by a path nobody has ever walked.",
    "formula": "={{UnrehearsedControlEntryCount}} &gt; 0"
   },
   {
    "name": "IsLiveWithUnrehearsedControl",
    "datatype": "boolean",
    "type": "calculated",
    "nullable": true,
    "Description": "A version that is live for execution while carrying at least one never-rehearsed blocking control entry.",
    "formula": "=AND({{IsLive}}, {{HasUnrehearsedControlEntry}})"
   },
   {
    "name": "CadenceBreachCount",
    "datatype": "number",
    "type": "aggregation",
    "nullable": true,
    "Description": "How many review events on this version are past their promised cadence.",
    "formula": "=COUNTIFS(ReviewEvents!{{CadenceBreachVersionKey}}, {{ProcedureVersionId}})"
   },
   {
    "name": "IsInCadenceBreach",
    "datatype": "boolean",
    "type": "calculated",
    "nullable": true,
    "Description": "Whether this version currently has at least one review event past the cadence its steward promised.",
    "formula": "={{CadenceBreachCount}} &gt; 0"
   },
   {
    "name": "HasDecisionInFlight",
    "datatype": "boolean",
    "type": "calculated",
    "nullable": true,
    "Description": "Whether this version has at least one change request that is still open.",
    "formula": "={{OpenChangeRequestCount}} &gt; 0"
   },
   {
    "name": "IsUnremediatedCadenceBreach",
    "datatype": "boolean",
    "type": "calculated",
    "nullable": true,
    "Description": "A cadence breach with no open change request against the version — a broken promise with no response in motion.",
    "formula": "=AND({{IsInCadenceBreach}}, NOT({{HasDecisionInFlight}}))"
   },
   {
    "name": "IsManagedCadenceBreach",
    "datatype": "boolean",
    "type": "calculated",
    "nullable": true,
    "Description": "A cadence breach where a change request is at least open against the version.",
    "formula": "=AND({{IsInCadenceBreach}}, {{HasDecisionInFlight}})"
   },
   {
    "name": "GovernanceIsSilent",
    "datatype": "boolean",
    "type": "calculated",
    "nullable": true,
    "Description": "A live version with neither a change request nor a review event ever recorded against it.",
    "formula": "=AND({{IsLive}}, NOT({{HasGovernanceRecord}}))"
   },
   {
    "name": "ValidFragmentCount",
    "datatype": "number",
    "type": "aggregation",
    "nullable": true,
    "Description": "How many currently-valid knowledge fragments are attached to this version.",
    "formula": "=COUNTIFS(KnowledgeFragments!{{ValidFragmentVersionKey}}, {{ProcedureVersionId}})"
   },
   {
    "name": "StillOwnsValidKnowledge",
    "datatype": "boolean",
    "type": "calculated",
    "nullable": true,
    "Description": "Whether this version still holds at least one knowledge fragment that is currently valid.",
    "formula": "={{ValidFragmentCount}} &gt; 0"
   },
   {
    "name": "IncomingSupersessionCount",
    "datatype": "number",
    "type": "aggregation",
    "nullable": true,
    "Description": "How many other versions declare that they supersede this one.",
    "formula": "=COUNTIFS(ProcedureVersionLinks!{{SupersededVersionKey}}, {{ProcedureVersionId}})"
   },
   {
    "name": "IsStillReferenced",
    "datatype": "boolean",
    "type": "calculated",
    "nullable": true,
    "Description": "Whether any other version points at this one through a supersession link.",
    "formula": "={{IncomingSupersessionCount}} &gt; 0"
   },
   {
    "name": "IsLoadBearingOrphan",
    "datatype": "boolean",
    "type": "calculated",
    "nullable": true,
    "Description": "An unstewarded version that is still referenced by a supersession link or still owns currently-valid knowledge — nobody is accountable for it and something still depends on it.",
    "formula": "=AND({{IsUnstewarded}}, OR({{StillOwnsValidKnowledge}}, {{IsStillReferenced}}))"
   },
   {
    "name": "IsCleanlyRetired",
    "datatype": "boolean",
    "type": "calculated",
    "nullable": true,
    "Description": "An unstewarded version that nothing depends on — a genuine, safe retirement.",
    "formula": "=AND({{IsUnstewarded}}, NOT({{StillOwnsValidKnowledge}}), NOT({{IsStillReferenced}}))"
   },
   {
    "name": "StalledImplementationCount",
    "datatype": "number",
    "type": "aggregation",
    "nullable": true,
    "Description": "How many approved-but-unimplemented change requests are stalled against this version.",
    "formula": "=COUNTIFS(ChangeRequests!{{StalledImplementationVersionKey}}, {{ProcedureVersionId}})"
   },
   {
    "name": "IsHeldUnfitByLandedDecisions",
    "datatype": "boolean",
    "type": "calculated",
    "nullable": true,
    "Description": "A version reading unfit to execute specifically because approved changes have not been marked implemented.",
    "formula": "=AND(NOT({{IsFitToExecute}}), {{StalledImplementationCount}} &gt; 0)"
   },
   {
    "name": "UndeclaredControlKindCount",
    "datatype": "number",
    "type": "aggregation",
    "nullable": true,
    "Description": "How many steps in this version have not declared a control kind.",
    "formula": "=COUNTIFS(Steps!{{UndeclaredControlVersionKey}}, {{ProcedureVersionId}})"
   },
   {
    "name": "ControlTaxonomyIsIncomplete",
    "datatype": "boolean",
    "type": "calculated",
    "nullable": true,
    "Description": "Whether this version contains any step whose control kind is unstated — meaning role-based and id-based control predicates cannot be trusted to cover it.",
    "formula": "={{UndeclaredControlKindCount}} &gt; 0"
   },
   {
    "name": "HasApprovedChangeRequest",
    "datatype": "boolean",
    "type": "calculated",
    "nullable": true,
    "Description": "TRUE when at least one change request against this version has been approved.",
    "formula": "={{ApprovedChangeRequestCount}} &gt; 0"
   },
   {
    "name": "ApprovedChangeRequestCount",
    "datatype": "number",
    "type": "aggregation",
    "nullable": true,
    "Description": "How many change requests against this version have been approved.",
    "formula": "=COUNTIFS(ChangeRequests!{{ApprovedVersionKey}}, {{ProcedureVersionId}})"
   },
   {
    "name": "UnwatchedUnownedControlCount",
    "datatype": "number",
    "type": "aggregation",
    "nullable": true,
    "Description": "How many blocking controls in the model are neither computed nor owned.",
    "formula": "=COUNTIFS(Requirements!{{UnwatchedUnownedFlag}}, \"unwatched-unowned\")"
   },
   {
    "name": "MiningRunCount",
    "datatype": "number",
    "type": "aggregation",
    "nullable": true,
    "Description": "How many process-mining conformance runs exist for this procedure version.",
    "formula": "=COUNTIFS(ProcessMiningRuns!{{ProcedureVersion}}, {{ProcedureVersionId}})"
   },
   {
    "name": "DriftedMiningRunCount",
    "datatype": "number",
    "type": "aggregation",
    "nullable": true,
    "Description": "How many mining runs found major, real drift while this version was live.",
    "formula": "=COUNTIFS(ProcessMiningRuns!{{DriftedMiningRunKey}}, {{ProcedureVersionId}})"
   },
   {
    "name": "HasUnresolvedMiningDrift",
    "datatype": "boolean",
    "type": "calculated",
    "nullable": true,
    "Description": "TRUE when mined operational evidence contradicts this live version's documented path.",
    "formula": "={{DriftedMiningRunCount}} &gt; 0"
   },
   {
    "name": "SemanticTypeIri",
    "datatype": "string",
    "type": "raw",
    "nullable</t>
  </si>
  <si>
    <t xml:space="preserve">": true,
    "Description": "Exact PKO class IRI."
   }
  ],
  "data": [
   {
    "ProcedureVersionId": "close-v1.0.0",
    "Procedure": "quarter-end-close",
    "VersionNumber": "1.0.0",
    "Title": "Quarter-End Financial Close v1.0.0",
    "Status": "Archived",
    "IssuedAt": "2025-10-01T09:00:00-05:00",
    "ModifiedAt": "2026-03-31T17:00:00-05:00",
    "CreatedByAgent": "devon-okafor",
    "ModifiedByAgent": "devon-okafor",
    "NewVersionMotivation": "Initial governed close procedure.",
    "ChangelogDescription": "Baseline eight-step close.",
    "IsCurrent": false,
    "SemanticTypeIri": "https://w3id.org/pko#Procedure",
    "EvaluationContext": "eval-current",
    "Name": "Quarter-End Financial Close v1.0.0",
    "CountOfSteps": 0,
    "CountOfOpenKnowledgeGaps": 0,
    "IsReadyForExecution": false,
    "SpecifiedStepCount": 0,
    "OverdueReviewCount": 0,
    "OpenChangeRequestCount": 0,
    "OpenHighSeverityGapCount": 0,
    "IsFitToExecute": false,
    "StewardReviewCadenceDays": 0,
    "CountOfStewardshipAssignments": 0,
    "HasAnySteward": false,
    "IsLive": false,
    "IsUnstewarded": true,
    "IsLiveAndUnstewarded": false,
    "CountOfOpenBlockingGaps": 0,
    "HasOpenBlockingGap": false,
    "IsLiveWithBlockingGap": false,
    "ShouldNotBeExecutable": false,
    "CountOfUnapprovedRelianceFragments": 1,
    "RunsOnUnapprovedKnowledge": true,
    "CountOfOverdueGaps": 0,
    "CountOfChangeRequests": 0,
    "CountOfReviewEvents": 0,
    "HasGovernanceRecord": false,
    "AsOfInstant": "2026-07-19T13:00:00-05:00",
    "DaysSinceModified": 109,
    "ModifierIsAuthority": "Human",
    "HasUnwitnessedChange": false,
    "CountOfStaleFragments": 7,
    "KnowledgeIsStalerThanCadence": true,
    "CompoundFragileFragmentCount": 0,
    "RestsOnCompoundFragileKnowledge": false,
    "ConcentratedWitnessSessionCount": 0,
    "KnowledgeBaseIsConcentrated": false,
    "MachineConsumedUnapprovedCount": 0,
    "FeedsUnapprovedKnowledgeToMachines": false,
    "GenuinelyOverdueFragmentCount": 0,
    "AwaitedDecisionCount": 0,
    "ScopedOpenBlockingGapCount": 0,
    "IsBlockedOnPendingDecision": false,
    "UnexercisedHumanGateCount": 0,
    "AiBoundaryIsUnevidenced": false,
    "LoadBearingUnapprovedCount": 0,
    "UnlandedDecisionCount": 0,
    "UnrehearsedControlEntryCount": 0,
    "HasUnrehearsedControlEntry": false,
    "IsLiveWithUnrehearsedControl": false,
    "CadenceBreachCount": 0,
    "IsInCadenceBreach": false,
    "HasDecisionInFlight": false,
    "IsUnremediatedCadenceBreach": false,
    "IsManagedCadenceBreach": false,
    "GovernanceIsSilent": false,
    "ValidFragmentCount": 0,
    "StillOwnsValidKnowledge": false,
    "IncomingSupersessionCount": 1,
    "IsStillReferenced": true,
    "IsLoadBearingOrphan": true,
    "IsCleanlyRetired": false,
    "StalledImplementationCount": 0,
    "IsHeldUnfitByLandedDecisions": false,
    "UndeclaredControlKindCount": 0,
    "ControlTaxonomyIsIncomplete": false,
    "HasApprovedChangeRequest": false,
    "ApprovedChangeRequestCount": 0,
    "UnwatchedUnownedControlCount": 9,
    "DaysSinceLastReview": null,
    "WasModifiedSinceLastReview": false,
    "MiningRunCount": 1,
    "DriftedMiningRunCount": 0,
    "HasUnresolvedMiningDrift": false
   },
   {
    "ProcedureVersionId": "close-v1.1.0",
    "Procedure": "quarter-end-close",
    "VersionNumber": "1.1.0",
    "Title": "Quarter-End Financial Close v1.1.0",
    "Status": "Approved",
    "IssuedAt": "2026-04-15T09:00:00-05:00",
    "ModifiedAt": "2026-07-02T15:00:00-05:00",
    "CreatedByAgent": "devon-okafor",
    "ModifiedByAgent": "maria-chen",
    "NewVersionMotivation": "Capture FX timestamp failure mode and AI-assisted variance triage.",
    "ChangelogDescription": "Adds explicit feed-timestamp check, knowledge fragment, and variance-triage verification.",
    "IsCurrent": true,
    "SemanticTypeIri": "https://w3id.org/pko#Procedure",
    "EvaluationContext": "eval-current",
    "Name": "Quarter-End Financial Close v1.1.0",
    "CountOfSteps": 8,
    "CountOfOpenKnowledgeGaps": 0,
    "IsReadyForExecution": true,
    "SpecifiedStepCount": 8,
    "OverdueReviewCount": 1,
    "OpenChangeRequestCount": 0,
    "OpenHighSeverityGapCount": 0,
    "IsFitToExecute": false,
    "StewardReviewCadenceDays": 90,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2,
    "HasGovernanceRecord": true,
    "AsOfInstant": "2026-07-19T13:00:00-05:00",
    "DaysSinceModified": 16,
    "DaysSinceLastReview": 17,
    "WasModifiedSinceLastReview": true,
    "ModifierIsAuthority": "Human",
    "HasUnwitnessedChange": true,
    "CountOfStaleFragments": 7,
    "KnowledgeIsStalerThanCadence": true,
    "CompoundFragileFragmentCount": 1,
    "RestsOnCompoundFragileKnowledge": true,
    "ConcentratedWitnessSessionCount": 1,
    "KnowledgeBaseIsConcentrated": true,
    "MachineConsumedUnapprovedCount": 0,
    "FeedsUnapprovedKnowledgeToMachines": false,
    "GenuinelyOverdueFragmentCount": 0,
    "AwaitedDecisionCount": 0,
    "ScopedOpenBlockingGapCount": 0,
    "IsBlockedOnPendingDecision": false,
    "UnexercisedHumanGateCount": 1,
    "AiBoundaryIsUnevidenced": true,
    "LoadBearingUnapprovedCount": 0,
    "UnlandedDecisionCount": 0,
    "UnrehearsedControlEntryCount": 1,
    "HasUnrehearsedControlEntry": true,
    "IsLiveWithUnrehearsedControl": true,
    "CadenceBreachCount": 1,
    "IsInCadenceBreach": true,
    "HasDecisionInFlight": false,
    "IsUnremediatedCadenceBreach": true,
    "IsManagedCadenceBreach": false,
    "GovernanceIsSilent": false,
    "ValidFragmentCount": 4,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true,
    "ApprovedChangeRequestCount": 1,
    "UnwatchedUnownedControlCount": 9,
    "MiningRunCount": 2,
    "DriftedMiningRunCount": 1,
    "HasUnresolvedMiningDrift": true
   },
   {
    "ProcedureVersionId": "policy-v1.0.0",
    "Procedure": "workforce-policy-notification",
    "VersionNumber": "1.0.0",
    "Title": "Workforce Policy Change and Employee Notification v1.0.0",
    "Status": "Approved",
    "IssuedAt": "2026-06-01T09:00:00-05:00",
    "ModifiedAt": "2026-07-18T16:30:00-05:00",
    "CreatedByAgent": "elena-garcia",
    "ModifiedByAgent": "amina-yusuf",
    "NewVersionMotivation": "Initial governed policy-notification procedure.",
    "ChangelogDescription": "Adds legal review, human approval, email/SMS channel controls, acknowledgements, and feedback review.",
    "IsCurrent": true,
    "SemanticTypeIri": "https://w3id.org/pko#Procedure",
    "EvaluationContext": "eval-current",
    "Name": "Workforce Policy Change and Employee Notification v1.0.0",
    "CountOfSteps": 9,
    "CountOfOpenKnowledgeGaps": 1,
    "IsReadyForExecution": false,
    "SpecifiedStepCount": 9,
    "OverdueReviewCount": 0,
    "OpenChangeRequestCount": 1,
    "OpenHighSeverityGapCount": 0,
    "IsFitToExecute": false,
    "StewardReviewCadenceDays": 60,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1,
    "HasGovernanceRecord": true,
    "AsOfInstant": "2026-07-19T13:00:00-05:00",
    "DaysSinceModified": 0,
    "DaysSinceLastReview": 1,
    "WasModifiedSinceLastReview": true,
    "ModifierIsAuthority": "Human",
    "HasUnwitnessedChange": true,
    "CountOfStaleFragments": 7,
    "KnowledgeIsStalerThanCadence": true,
    "CompoundFragileFragmentCount": 0,
    "RestsOnCompoundFragileKnowledge": false,
    "ConcentratedWitnessSessionCount": 0,
    "KnowledgeBaseIsConcentrated": false,
    "MachineConsumedUnapprovedCount": 1,
    "FeedsUnapprovedKnowledgeToMachines": true,
    "GenuinelyOverdueFragmentCount": 0,
    "AwaitedDecisionCount": 1,
    "ScopedOpenBlockingGapCount": 0,
    "IsBlockedOnPendingDecision": false,
    "UnexercisedHumanGateCount": 1,
    "AiBoundaryIsUnevidenced": true,
    "LoadBearingUnapprovedCount": 0,
    "UnlandedDecisionCount": 0,
    "UnrehearsedControlEntryCount": 2,
    "HasUnrehearsedControlEntry": true,
    "IsLiveWithUnrehearsedControl": true,
    "CadenceBreachCount": 0,
    "IsInCadenceBreach": false,
    "HasDecisionInFlight": true,
    "IsUnremediatedCadenceBreach": false,
    "IsManagedCadenceBreach": false,
    "GovernanceIsSilent": false,
    "ValidFragmentCount": 2,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false,
    "ApprovedChangeRequestCount": 0,
    "UnwatchedUnownedControlCount": 9,
    "MiningRunCount": 1,
    "DriftedMiningRunCount": 0,
    "HasUnresolvedMiningDrift": false
   }
  ]
 },
 "ProcedureVersionLinks": {
  "Description": "Directed links between versioned procedures. Maps to dcat:previousVersion/dcat:hasVersion and pko:nextVersion.",
  "important": false,
  "schema": [
   {
    "name": "ProcedureVersionLinkId",
    "datatype": "string",
    "type": "raw",
    "nullable": false,
    "Description": "Stored logical identifier for one ProcedureVersionLinks row."
   },
   {
    "name": "Name",
    "datatype": "string",
    "type": "calculated",
    "nullable": true,
    "Description": "Human-readable calculated display alias for the ProcedureVersionLinks row.",
    "formula": "={{PreviousProcedureVersion}} &amp; \" -&gt; \" &amp; {{NextProcedureVersion}}"
   },
   {
    "name": "PreviousProcedureVersion",
    "datatype": "string",
    "type": "relationship",
    "nullable": true,
    "Description": "Earlier version.",
    "RelatedTo": "ProcedureVersions"
   },
   {
    "name": "NextProcedureVersion",
    "datatype": "string",
    "type": "relationship",
    "nullable": true,
    "Description": "Later version.",
    "RelatedTo": "ProcedureVersions"
   },
   {
    "name": "RelationIri",
    "datatype": "string",
    "type": "raw",
    "nullable": true,
    "Description": "Exact version relation IRI."
   },
   {
    "name": "ChangeSummary",
    "datatype": "string",
    "type": "raw",
    "nullable": true,
    "Description": "Summary of semantic change across the edge."
   },
   {
    "name": "SupersededVersionKey",
    "datatype": "string",
    "type": "calculated",
    "nullable": true,
    "Description": "Echoes the superseded (previous) version id for rows that express a next-version relation. Supersession is carried by RelationIri here, not by a separate link-kind column.",
    "formula": "=IF({{RelationIri}} = \"https://w3id.org/pko#nextVersion\", {{PreviousProcedureVersion}}, \"\")"
   }
  ],
  "data": [
   {
    "ProcedureVersionLinkId": "close-v1.0.0-to-v1.1.0",
    "PreviousProcedureVersion": "close-v1.0.0",
    "NextProcedureVersion": "close-v1.1.0",
    "RelationIri": "https://w3id.org/pko#nextVersion",
    "ChangeSummary": "Added timestamp control, AI variance triage, and explicit knowledge capture.",
    "Name": "close-v1.0.0 -&gt; close-v1.1.0",
    "SupersededVersionKey": "close-v1.0.0"
   }
  ]
 },
 "ProcedureStatusChanges": {
  "Description": "Lifecycle events that move a procedure version between PKO statuses. Maps to pko:ChangeOfStatus, fromStatus, toStatus, and prov:atTime.",
  "important": false,
  "schema": [
   {
    "name": "ProcedureStatusChangeId",
    "datatype": "string",
    "type": "raw",
    "nullable": false,
    "Description": "Stored logical identifier for one ProcedureStatusChanges row."
   },
   {
    "name": "Name",
    "datatype": "string",
    "type": "calculated",
    "nullable": true,
    "Description": "Human-readable calculated display alias for the ProcedureStatusChanges row.",
    "formula": "={{ProcedureVersion}} &amp; \": \" &amp; {{FromStatus}} &amp; \" -&gt; \" &amp; {{ToStatus}}"
   },
   {
    "name": "ProcedureVersion",
    "datatype": "string",
    "type": "relationship",
    "nullable": true,
    "Description": "Procedure version whose status changed.",
    "RelatedTo": "ProcedureVersions"
   },
   {
    "name": "FromStatus",
    "datatype": "string",
    "type": "raw",
    "nullable": true,
    "Description": "Previous PKO status."
   },
   {
    "name": "ToStatus",
    "datatype": "string",
    "type": "raw",
    "nullable": true,
    "Description": "New PKO status."
   },
   {
    "name": "ChangedAt",
    "datatype": "datetime",
    "type": "raw",
    "nullable": true,
    "Description": "Time of change; maps to prov:atTime."
   },
   {
    "name": "ChangedByAgent",
    "datatype": "string",
    "type": "relationship",
    "nullable": true,
    "Description": "Agent responsible for the change.",
    "RelatedTo": "Agents"
   },
   {
    "name": "Motivation",
    "datatype": "string",
    "type": "raw",
    "nullable": true,
    "Description": "Reason for changing status."
   },
   {
    "name": "SemanticTypeIri",
    "datatype": "string",
    "type": "raw",
    "nullable": true,
    "Description": "Exact PKO class IRI."
   }
  ],
  "data": [
   {
    "ProcedureStatusChangeId": "status-close-draft-validation",
    "ProcedureVersion": "close-v1.1.0",
    "FromStatus": "Draft",
    "ToStatus": "Validation",
    "ChangedAt": "2026-04-08T10:00:00-05:00",
    "ChangedByAgent": "maria-chen",
    "Motivation": "Ready for control and ontology validation.",
    "SemanticTypeIri": "https://w3id.org/pko#ChangeOfStatus",
    "Name": "close-v1.1.0: Draft -&gt; Validation"
   },
   {
    "ProcedureStatusChangeId": "status-close-validation-approval",
    "ProcedureVersion": "close-v1.1.0",
    "FromStatus": "Validation",
    "ToStatus": "Approval",
    "ChangedAt": "2026-04-12T14:00:00-05:00",
    "ChangedByAgent": "devon-okafor",
    "Motivation": "All requirements and test cases passed.",
    "SemanticTypeIri": "https://w3id.org/pko#ChangeOfStatus",
    "Name": "close-v1.1.0: Validation -&gt; Approval"
   },
   {
    "ProcedureStatusChangeId": "status-close-approval-approved",
    "ProcedureVersion": "close-v1.1.0",
    "FromStatus": "Approval",
    "ToStatus": "Approved",
    "ChangedAt": "2026-04-15T09:00:00-05:00",
    "ChangedByAgent": "priya-raman",
    "Motivation": "Final authority approved release.",
    "SemanticTypeIri": "https://w3id.org/pko#ChangeOfStatus",
    "Name": "close-v1.1.0: Approval -&gt; Approved"
   },
   {
    "ProcedureStatusChangeId": "status-policy-draft-validation",
    "ProcedureVersion": "policy-v1.0.0",
    "FromStatus": "Draft",
    "ToStatus": "Validation",
    "ChangedAt": "2026-05-20T09:00:00-05:00",
    "ChangedByAgent": "elena-garcia",
    "Motivation": "Ready for legal and communications review.",
    "SemanticTypeIri": "https://w3id.org/pko#ChangeOfStatus",
    "Name": "policy-v1.0.0: Draft -&gt; Validation"
   },
   {
    "ProcedureStatusChangeId": "status-policy-validation-approved",
    "ProcedureVersion": "policy-v1.0.0",
    "FromStatus": "Validation",
    "ToStatus": "Approved",
    "ChangedAt": "2026-06-01T09:00:00-05:00",
    "ChangedByAgent": "priya-raman",
    "Motivation": "Approved with channel safeguards.",
    "SemanticTypeIri": "https://w3id.org/pko#ChangeOfStatus",
    "Name": "policy-v1.0.0: Validation -&gt; Approved"
   }
  ]
 },
 "Steps": {
  "Description": "Version-scoped units of work. Atomic steps map to pplan:Step; composite steps map to pplan:MultiStep. The specification is never conflated with execution.",
  "important": true,
  "schema": [
   {
    "name": "StepId",
    "datatype": "string",
    "type": "raw",
    "nullable": false,
    "Description": "Stored logical identifier for one Steps row."
   },
   {
    "name": "Name",
    "datatype": "string",
    "type": "calculated",
    "nullable": true,
    "Description": "Human-readable calculated display alias for the Steps row.",
    "formula": "={{StepNumber}} &amp; \". \" &amp; {{Title}}"
   },
   {
    "name": "ProcedureVersion",
    "datatype": "string",
    "type": "relationship",
    "nullable": true,
    "Description": "Procedure version containing the step; maps to pko:hasStep/pplan:isStepOfPlan.",
    "RelatedTo": "ProcedureVersions"
   },
   {
    "name": "StepNumber",
    "datatype": "string",
    "type": "raw",
    "nullable": true,
    "Description": "Stable sequence label; maps to pko:stepNumber."
   },
   {
    "name": "Title",
    "datatype": "string",
    "type": "raw",
    "nullable": true,
    "Description": "Human-readable step title."
   },
   {
    "name": "StepKind",
    "datatype": "string",
    "type": "raw",
    "nullable": true,
    "Description": "Atomic or MultiStep."
   },
   {
    "name": "AssignedRole",
    "datatype": "string",
    "type": "relationship",
    "nullable": true,
    "Description": "Role responsible for the step.",
    "RelatedTo": "Roles"
   },
   {
    "name": "AssignedRoleLabel",
    "datatype": "string",
    "type": "lookup",
    "nullable": true,
    "Description": "Resolved role label.",
    "formula": "=INDEX(Roles!{{Label}}, MATCH({{AssignedRole}}, Roles!{{RoleId}}, 0))"
   },
   {
    "name": "AssignedAgentKind",
    "datatype": "string",
    "type": "lookup",
    "nullable": true,
    "Description": "Current role-filler category.",
    "formula": "=INDEX(Roles!{{CurrentAgentKind}}, MATCH({{AssignedRole}}, Roles!{{RoleId}}, 0))"
   },
   {
    "name": "Instruction",
    "datatype": "string",
    "type": "raw",
    "nullable": true,
    "Description": "Normative step instruction."
   },
   {
    "name": "ExpectedDurationMinutes",
    "datatype": "integer",
    "type": "raw",
    "nullable": true,
    "Description": "Expected duration represented as an OWL-Time duration in semantic projections."
   },
   {
    "name": "ExpertiseLevel",
    "datatype": "string",
    "type": "raw",
    "nullable": true,
    "Description": "PKO expertise level: Junior, Senior, Expert, or Master."
   },
   {
    "name": "RequiresHumanConfirmation",
    "datatype": "boolean",
    "type": "raw",
    "nullable": true,
    "Description": "TRUE when a human must confirm the step; maps to pko:wasConfirmedBy at execution."
   },
   {
    "name": "BlockingRequirementCount",
    "datatype": "number",
    "type": "aggregation",
    "nullable": true,
    "Description": "How many blocking requirements the specification attaches to this step.",
    "formula": "=COUNTIFS(StepRequirements!{{BlockingStepKey}}, {{StepId}})"
   },
   {
    "name": "StaleBindingCount",
    "datatype": "number",
    "type": "aggregation",
    "nullable": true,
    "Description": "How many operational bindings for this step are currently outside their freshness SLA.",
    "formula": "=COUNTIFS(OperationalBindings!{{StaleBindingStepKey}}, {{StepId}})"
   },
   {
    "name": "AuthoritativeStaleCount",
    "datatype": "number",
    "type": "aggregation",
    "nullable": true,
    "Description": "How many authoritative bindings for this step are currently stale.",
    "formula": "=COUNTIFS(OperationalBindings!{{AuthoritativeStaleStepKey}}, {{StepId}})"
   },
   {
    "name": "AvailableExceptionCount",
    "datatype": "number",
    "type": "aggregation",
    "nullable": true,
    "Description": "How many active exceptions the specification defines for this step.",
    "formula": "=COUNTIFS(Exceptions!{{ActiveExceptionStepKey}}, {{StepId}})"
   },
   {
    "name": "DeclaredVerificationCount",
    "datatype": "number",
    "type": "aggregation",
    "nullable": true,
    "Description": "How many verifications the specification declares for this step.",
    "formula": "=COUNTIFS(StepVerifications!{{Step}}, {{StepId}})"
   },
   {
    "name": "IsPreparationStep",
    "datatype": "boolean",
    "type": "calculated",
    "nullable": true,
    "Description": "TRUE for steps whose assigned role produces the work product rather than reviewing it.",
    "formula": "=OR({{AssignedRole}} = \"finance-analyst\", {{AssignedRole}} = \"variance-review-agent\")"
   },
   {
    "name": "IsApprovalStep",
    "datatype": "boolean",
    "type": "calculated",
    "nullable": true,
    "Description": "TRUE for steps whose assigned role is an approval authority.",
    "formula": "=OR({{AssignedRole}} = \"controller\", {{AssignedRole}} = \"cfo\")"
   },
   {
    "name": "StaleAuthoritativeBindingCount",
    "datatype": "number",
    "type": "aggregation",
    "nullable": true,
    "Description": "Number of authoritative bindings for this step that are past their freshness SLA.",
    "formula": "=COUNTIFS(OperationalBindings!{{StepWhenStale}}, {{StepId}})"
   },
   {
    "name": "InputsAreFresh",
    "datatype": "boolean",
    "type": "calculated",
    "nullable": true,
    "Description": "TRUE when no authoritative binding for this step is stale.",
    "formula": "={{StaleAuthoritativeBindingCount}} = 0"
   },
   {
    "name": "IsSoftwareAssigned",
    "datatype": "boolean",
    "type": "calculated",
    "nullable": true,
    "Description": "TRUE when this step is specified to be performed by software rather than a person.",
    "formula": "=OR({{AssignedAgentKind}} = \"AIAgent\", {{AssignedAgentKind}} = \"AutomatedPipeline\")"
   },
   {
    "name": "IsHumanApprovalGate",
    "datatype": "boolean",
    "type": "calculated",
    "nullable": true,
    "Description": "TRUE for the steps that exist specifically to place a human commitment between drafting and delivery.",
    "formula": "=AND(NOT({{IsSoftwareAssigned}}), OR({{StepId}} = \"policy-05\", {{StepId}} = \"close-06\"))"
   },
   {
    "name": "GateHeldByHuman",
    "datatype": "boolean",
    "type": "calculated",
    "nullable": true,
    "Description": "TRUE when a designated approval gate is in fact assigned to a human role.",
    "formula": "=AND({{IsHumanApprovalGate}}, {{AssignedAgentKind}} = \"Human\")"
   },
   {
    "name": "BindingBoundaryCount",
    "datatype": "number",
    "type": "aggregation",
    "nullable": true,
    "Description": "Number of authority boundaries currently binding at this step.",
    "formula": "=COUNTIFS(AuthorityBoundaries!{{StepWhenBinding}}, {{StepId}})"
   },
   {
    "name": "AssignedRoleIsUngoverned",
    "datatype": "boolean",
    "type": "lookup",
    "nullable": true,
    "Description": "Whether this step's assigned role is a non-human role with no governing assignment.",
    "formula": "=INDEX(Roles!{{IsUngovernedNonHumanRole}}, MATCH({{AssignedRole}}, Roles!{{RoleId}}, 0))"
   },
   {
    "name": "UnusableBindingCount",
    "datatype": "number",
    "type": "aggregation",
    "nullable": true,
    "Description": "Number of bindings at this step that are unapproved or stale.",
    "formula": "=COUNTIFS(OperationalBindings!{{StepWhenUnusable}}, {{StepId}})"
   },
   {
    "name": "AllSourcesUsable",
    "datatype": "boolean",
    "type": "calculated",
    "nullable": true,
    "Description": "TRUE when every binding at this step is an approved, fresh source.",
    "formula": "={{UnusableBindingCount}} = 0"
   },
   {
    "name": "ControlKind",
    "datatype": "string",
    "type": "raw",
    "nullable": true,
    "Description": "What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
   },
   {
    "name": "UnwarrantedBoundaryCount",
    "datatype": "number",
    "type": "aggregation",
    "nullable": true,
    "Description": "How many boundaries governing this step are being enforced without a valid ratifying claim.",
    "formula": "=COUNTIFS(AuthorityBoundaries!{{UnwarrantedBoundaryStepKey}}, {{StepId}})"
   },
   {
    "name": "IsGovernedByUnwarrantedBoundary",
    "datatype": "boolean",
    "type": "calculated",
    "nullable": true,
    "Description": "Whether this step's constraints on machine authority rest on a claim that is no longer valid.",
    "formula": "={{UnwarrantedBoundaryCount}} &gt; 0"
   },
   {
    "name": "SoftwareExecutionCount",
    "datatype": "number",
    "type": "aggregation",
    "nullable": true,
    "Description": "How many times a software agent has actually executed this step.",
    "formula": "=COUNTIFS(StepExecutions!{{SoftwareExecutionStepKey}}, {{StepId}})"
   },
   {
    "name": "HasBeenApproachedBySoftware",
    "datatype": "boolean",
    "type": "calculated",
    "nullable": true,
    "Description": "Whether any software agent has ever executed this step.",
    "formula": "={{SoftwareExecutionCount}} &gt; 0"
   },
   {
    "name": "IsUnexercisedHumanGate",
    "datatype": "boolean",
    "type": "calculated",
    "nullable": true,
    "Description": "A human-only approval gate that no software agent has ever attempted — the control is asserted, not demonstrated.",
    "formula": "=AND({{IsHumanApprovalGate}}, NOT({{HasBeenApproachedBySoftware}}))"
   },
   {
    "name": "IsDemonstratedHumanGate",
    "datatype": "boolean",
    "type": "calculated",
    "nullable": true,
    "Description": "A human gate that software has actually reached and that a human nevertheless held.",
    "formula": "=AND({{IsHumanApprovalGate}}, {{HasBeenApproachedBySoftware}}, {{GateHeldByHuman}})"
   },
   {
    "name": "UnexercisedGateVersionKey",
    "datatype": "string",
    "type": "calculated",
    "nullable": true,
    "Description": "Composite-key echo: this step's procedure version when the step is an unexercised human gate, blank otherwise.",
    "formula": "=IF({{IsUnexercisedHumanGate}}, {{ProcedureVersion}}, \"\")"
   },
   {
    "name": "HasDeclaredControlKind",
    "datatype": "boolean",
    "type": "calculated",
    "nullable": true,
    "Description": "Whether this step declares what kind of control it is.",
    "formula": "={{ControlKind}} &lt;&gt; \"\""
   },
   {
    "name": "UndeclaredControlVersionKey",
    "datatype": "string",
    "type": "calculated",
    "nullable": true,
    "Description": "Composite-key echo: this step's procedure version when the step has no declared control kind, blank otherwise.",
    "formula": "=IF({{HasDeclaredControlKind}}, \"\", {{ProcedureVersion}})"
   },
   {
    "name": "ApprovalStepIsSoftwareAssigned",
    "datatype": "boolean",
    "type": "calculated",
    "nullable": true,
    "Description": "An approval-kind step whose assigned role is currently held by an AI agent or automated pipeline.",
    "formula": "=AND({{ControlKind}} = \"Approval\", {{IsSoftwareAssigned}})"
   },
   {
    "name": "UnwitnessedBlockingCount",
    "datatype": "number",
    "type": "aggregation",
    "nullable": true,
    "Description": "How many blocking controls bound to this step have no computed witness.",
    "formula": "=COUNTIFS(StepRequirements!{{UnwitnessedStepKey}}, {{StepId}})"
   },
   {
    "name": "SemanticTypeIri",
    "datatype": "string",
    "type": "raw",
    "nullable": true,
    "Description": "Exact P-Plan class IRI."
   }
  ],
  "data": [
   {
    "StepId": "close-01",
    "ProcedureVersion": "close-v1.1.0",
    "StepNumber": "01",
    "Title": "Freeze transaction entry",
    "StepKind": "Atomic",
    "AssignedRole": "close-automation",
    "Instruction": "Lock subledgers and prevent late postings.",
    "ExpectedDurationMinutes": 5,
    "ExpertiseLevel": "Senior",
    "RequiresHumanConfirmation": false,
    "SemanticTypeIri": "http://purl.org/net/p-plan#Step",
    "ControlKind": "Extraction",
    "Name": "01. Freeze transaction entry",
    "AssignedRoleLabel": "Close Automation Operator",
    "AssignedAgentKind": "AutomatedPipeline",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
   {
    "StepId": "close-02",
    "ProcedureVersion": "close-v1.1.0",
    "StepNumber": "02",
    "Title": "Extract trial balance and feed timestamps",
    "StepKind": "Atomic",
    "AssignedRole": "close-automation",
    "Instruction": "Extract the trial balance and source-system timestamps.",
    "ExpectedDurationMinutes": 10,
    "ExpertiseLevel": "Senior",
    "RequiresHumanConfirmation": false,
    "SemanticTypeIri": "http://purl.org/net/p-plan#Step",
    "ControlKind": "Extraction",
    "Name": "02. Extract trial balance and feed timestamps",
    "AssignedRoleLabel": "Close Automation Operator",
    "AssignedAgentKind": "AutomatedPipeline",
    "BlockingRequirementCount": 0,
    "StaleBindingCount": 1,
    "AuthoritativeStaleCount": 1,
    "AvailableExceptionCount": 1,
    "DeclaredVerificationCount": 1,
    "IsPreparationStep": false,
    "IsApprovalStep": false,
    "StaleAuthoritativeBindingCount": 1,
    "InputsAreFresh": false,
    "IsSoftwareAssigned": true,
    "IsHumanApprovalGate": false,
    "GateHeldByHuman": false,
    "BindingBoundaryCount": 0,
    "AssignedRoleIsUngoverned": false,
    "UnusableBindingCount": 1,
    "AllSourcesUsable": false,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
   {
    "StepId": "close-03",
    "ProcedureVersion": "close-v1.1.0",
    "StepNumber": "03",
    "Title": "Reconcile material accounts",
    "StepKind": "MultiStep",
    "AssignedRole": "finance-analyst",
    "Instruction": "Reconcile material accounts and attach evidence.",
    "ExpectedDurationMinutes": 120,
    "ExpertiseLevel": "Senior",
    "RequiresHumanConfirmation": false,
    "SemanticTypeIri": "http://purl.org/net/p-plan#MultiStep",
    "ControlKind": "Preparation",
    "Name": "03. Reconcile material accounts",
    "AssignedRoleLabel": "Finance Analyst",
    "AssignedAgentKind": "Human",
    "BlockingRequirementCount": 2,
    "StaleBindingCount": 0,
    "AuthoritativeStaleCount": 0,
    "AvailableExceptionCount": 0,
    "DeclaredVerificationCount": 1,
    "IsPreparationStep": true,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"StepId": "close-04",
    "ProcedureVersion": "close-v1.1.0",
    "StepNumber": "04",
    "Title": "Classify and investigate variances",
    "StepKind": "MultiStep",
 </t>
  </si>
  <si>
    <t xml:space="preserve">   "AssignedRole": "variance-review-agent",
    "Instruction": "Use AI triage, then apply human situated judgment to material or anomalous variances.",
    "ExpectedDurationMinutes": 90,
    "ExpertiseLevel": "Expert",
    "RequiresHumanConfirmation": false,
    "SemanticTypeIri": "http://purl.org/net/p-plan#MultiStep",
    "ControlKind": "Preparation",
    "Name": "04. Classify and investigate variances",
    "AssignedRoleLabel": "Variance Review Agent",
    "AssignedAgentKind": "AIAgent",
    "BlockingRequirementCount": 0,
    "StaleBindingCount": 0,
    "AuthoritativeStaleCount": 0,
    "AvailableExceptionCount": 0,
    "DeclaredVerificationCount": 0,
    "IsPreparationStep": true,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
   {
    "StepId": "close-05",
    "ProcedureVersion": "close-v1.1.0",
    "StepNumber": "05",
    "Title": "Controller review",
    "StepKind": "Atomic",
    "AssignedRole": "controller",
    "Instruction": "Independently review reconciliations, evidence, and unresolved items.",
    "ExpectedDurationMinutes": 60,
    "ExpertiseLevel": "Expert",
    "RequiresHumanConfirmation": true,
    "SemanticTypeIri": "http://purl.org/net/p-plan#Step",
    "ControlKind": "Approval",
    "Name": "05. Controller review",
    "AssignedRoleLabel": "Corporate Controller",
    "AssignedAgentKind": "Human",
    "BlockingRequirementCount": 1,
    "StaleBindingCount": 0,
    "AuthoritativeStaleCount": 0,
    "AvailableExceptionCount": 0,
    "DeclaredVerificationCount": 1,
    "IsPreparationStep": false,
    "IsApprovalStep": true,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"StepId": "close-06",
    "ProcedureVersion": "close-v1.1.0",
    "StepNumber": "06",
    "Title": "CFO approval",
    "StepKind": "Atomic",
    "AssignedRole": "cfo",
    "Instruction": "Approve the close package or return it with required corrections.",
    "ExpectedDurationMinutes": 30,
    "ExpertiseLevel": "Master",
    "RequiresHumanConfirmation": true,
    "SemanticTypeIri": "http://purl.org/net/p-plan#Step",
    "ControlKind": "Approval",
    "Name": "06. CFO approval",
    "AssignedRoleLabel": "Chief Financial Officer",
    "AssignedAgentKind": "Human",
    "BlockingRequirementCount": 1,
    "StaleBindingCount": 0,
    "AuthoritativeStaleCount": 0,
    "AvailableExceptionCount": 1,
    "DeclaredVerificationCount": 1,
    "IsPreparationStep": false,
    "IsApprovalStep": true,
    "StaleAuthoritativeBindingCount": 0,
    "InputsAreFresh": true,
    "IsSoftwareAssigned": false,
    "IsHumanApprovalGate": true,
    "GateHeldByHuman": true,
    "BindingBoundaryCount": 1,
    "AssignedRoleIsUngoverned": false,
    "UnusableBindingCount": 0,
    "AllSourcesUsable": true,
    "UnwarrantedBoundaryCount": 1,
    "IsGovernedByUnwarrantedBoundary": true,
    "SoftwareExecutionCount": 0,
    "HasBeenApproachedBySoftware": false,
    "IsUnexercisedHumanGate": true,
    "IsDemonstratedHumanGate": false,
    "UnexercisedGateVersionKey": "close-v1.1.0",
    "HasDeclaredControlKind": true,
    "UndeclaredControlVersionKey": null,
    "ApprovalStepIsSoftwareAssigned": false,
    "UnwitnessedBlockingCount": 1
   },
   {
    "StepId": "close-07",
    "ProcedureVersion": "close-v1.1.0",
    "StepNumber": "07",
    "Title": "Post close and publish package",
    "StepKind": "Atomic",
    "AssignedRole": "close-automation",
    "Instruction": "Post approved entries and publish the reporting package.",
    "ExpectedDurationMinutes": 20,
    "ExpertiseLevel": "Senior",
    "RequiresHumanConfirmation": false,
    "SemanticTypeIri": "http://purl.org/net/p-plan#Step",
    "ControlKind": "Publication",
    "Name": "07. Post close and publish package",
    "AssignedRoleLabel": "Close Automation Operator",
    "AssignedAgentKind": "AutomatedPipeline",
    "BlockingRequirementCount": 0,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
   {
    "StepId": "close-08",
    "ProcedureVersion": "close-v1.1.0",
    "StepNumber": "08",
    "Title": "Archive evidence and hold retrospective",
    "StepKind": "MultiStep",
    "AssignedRole": "process-steward",
    "Instruction": "Archive evidence and capture questions, issues, and lessons learned.",
    "ExpectedDurationMinutes": 45,
    "ExpertiseLevel": "Senior",
    "RequiresHumanConfirmation": false,
    "SemanticTypeIri": "http://purl.org/net/p-plan#MultiStep",
    "ControlKind": "Retrospective",
    "Name": "08. Archive evidence and hold retrospective",
    "AssignedRoleLabel": "Procedural Knowledge Steward",
    "AssignedAgentKind": "Human",
    "BlockingRequirementCount": 1,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"StepId": "policy-01",
    "ProcedureVersion": "policy-v1.0.0",
    "StepNumber": "01",
    "Title": "Identify policy trigger and affected population",
    "StepKind": "Atomic",
    "AssignedRole": "hr-policy-owner",
    "Instruction": "Establish the legal/business trigger and population affected.",
    "ExpectedDurationMinutes": 30,
    "ExpertiseLevel": "Senior",
    "RequiresHumanConfirmation": false,
    "SemanticTypeIri": "http://purl.org/net/p-plan#Step",
    "ControlKind": "Preparation",
    "Name": "01. Identify policy trigger and affected population",
    "AssignedRoleLabel": "People Policy Owner",
    "AssignedAgentKind": "Human",
    "BlockingRequirementCount": 0,
    "StaleBindingCount": 1,
    "AuthoritativeStaleCount": 1,
    "AvailableExceptionCount": 0,
    "DeclaredVerificationCount": 0,
    "IsPreparationStep": false,
    "IsApprovalStep": false,
    "StaleAuthoritativeBindingCount": 1,
    "InputsAreFresh": false,
    "IsSoftwareAssigned": false,
    "IsHumanApprovalGate": false,
    "GateHeldByHuman": false,
    "BindingBoundaryCount": 0,
    "AssignedRoleIsUngoverned": false,
    "UnusableBindingCount": 1,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"StepId": "policy-02",
    "ProcedureVersion": "policy-v1.0.0",
    "StepNumber": "02",
    "Title": "Elicit process and practitioner knowledge",
    "StepKind": "MultiStep",
    "AssignedRole": "process-steward",
    "Instruction": "Interview practitioners, inspect source artifacts, and record tacit/implicit/explicit knowledge.",
    "ExpectedDurationMinutes": 180,
    "ExpertiseLevel": "Expert",
    "RequiresHumanConfirmation": false,
    "SemanticTypeIri": "http://purl.org/net/p-plan#MultiStep",
    "ControlKind": "Preparation",
    "Name": "02. Elicit process and practitioner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"StepId": "policy-03",
    "ProcedureVersion": "policy-v1.0.0",
    "StepNumber": "03",
    "Title": "Draft policy and channel variants",
    "StepKind": "MultiStep",
    "AssignedRole": "policy-drafting-agent",
    "Instruction": "Draft the policy and proposed email/SMS variants from approved sources.",
    "ExpectedDurationMinutes": 90,
    "ExpertiseLevel": "Senior",
    "RequiresHumanConfirmation": false,
    "SemanticTypeIri": "http://purl.org/net/p-plan#MultiStep",
    "ControlKind": "Preparation",
    "Name": "03. Draft policy and channel variants",
    "AssignedRoleLabel": "Policy Drafting Agent",
    "AssignedAgentKind": "AIAgent",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1
   },
   {
    "StepId": "policy-04",
    "ProcedureVersion": "policy-v1.0.0",
    "StepNumber": "04",
    "Title": "Legal and privacy review",
    "StepKind": "Atomic",
    "AssignedRole": "employment-counsel",
    "Instruction": "Review legal commitments, privacy, consent, retention, and jurisdictional requirements.",
    "ExpectedDurationMinutes": 120,
    "ExpertiseLevel": "Expert",
    "RequiresHumanConfirmation": true,
    "SemanticTypeIri": "http://purl.org/net/p-plan#Step",
    "ControlKind": "LegalReview",
    "Name": "04. Legal and privacy review",
    "AssignedRoleLabel": "Employment Counsel",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
   {
    "StepId": "policy-05",
    "ProcedureVersion": "policy-v1.0.0",
    "StepNumber": "05",
    "Title": "Human authority approval",
    "StepKind": "Atomic",
    "AssignedRole": "hr-policy-owner",
    "Instruction": "Approve the policy meaning and all channel constraints.",
    "ExpectedDurationMinutes": 45,
    "ExpertiseLevel": "Master",
    "RequiresHumanConfirmation": true,
    "SemanticTypeIri": "http://purl.org/net/p-plan#Step",
    "ControlKind": "Approval",
    "Name": "05. Human authority approval",
    "AssignedRoleLabel": "People Policy Owner",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true,
    "GateHeldByHuman": true,
    "BindingBoundaryCount": 0,
    "AssignedRoleIsUngoverned": false,
    "UnusableBindingCount": 0,
    "AllSourcesUsable": true,
    "UnwarrantedBoundaryCount": 0,
    "IsGovernedByUnwarrantedBoundary": false,
    "SoftwareExecutionCount": 0,
    "HasBeenApproachedBySoftware": false,
    "IsUnexercisedHumanGate": true,
    "IsDemonstratedHumanGate": false,
    "UnexercisedGateVersionKey": "policy-v1.0.0",
    "HasDeclaredControlKind": true,
    "UndeclaredControlVersionKey": null,
    "ApprovalStepIsSoftwareAssigned": false,
    "UnwitnessedBlockingCount": 1
   },
   {
    "StepId": "policy-06",
    "ProcedureVersion": "policy-v1.0.0",
    "StepNumber": "06",
    "Title": "Generate approved communications",
    "StepKind": "Atomic",
    "AssignedRole": "policy-drafting-agent",
    "Instruction": "Render approved email and SMS messages without changing policy meaning.",
    "ExpectedDurationMinutes": 30,
    "ExpertiseLevel": "Senior",
    "RequiresHumanConfirmation": false,
    "SemanticTypeIri": "http://purl.org/net/p-plan#Step",
    "ControlKind": "Publication",
    "Name": "06. Generate approved communications",
    "AssignedRoleLabel": "Policy Drafting Agent",
    "AssignedAgentKind": "AIAgent",
    "BlockingRequirementCount": 1,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
   {
    "StepId": "policy-07",
    "ProcedureVersion": "policy-v1.0.0",
    "StepNumber": "07",
    "Title": "Apply channel controls and send",
    "StepKind": "MultiStep",
    "AssignedRole": "notification-publisher",
    "Instruction": "Enforce consent, quiet hours, opt-out text, recipient scope, and delivery logging.",
    "ExpectedDurationMinutes": 60,
    "ExpertiseLevel": "Senior",
    "RequiresHumanConfirmation": false,
    "SemanticTypeIri": "http://purl.org/net/p-plan#MultiStep",
    "ControlKind": "Publication",
    "Name": "07. Apply channel controls and send",
    "AssignedRoleLabel": "Notification Publisher",
    "AssignedAgentKind": "AutomatedPipeline",
    "BlockingRequirementCount": 4,
    "StaleBindingCount": 1,
    "AuthoritativeStaleCount": 1,
    "AvailableExceptionCount": 1,
    "DeclaredVerificationCount": 2,
    "IsPreparationStep": false,
    "IsApprovalStep": false,
    "StaleAuthoritativeBindingCount": 1,
    "InputsAreFresh": false,
    "IsSoftwareAssigned": true,
    "IsHumanApprovalGate": false,
    "GateHeldByHuman": false,
    "BindingBoundaryCount": 0,
    "AssignedRoleIsUngoverned": false,
    "UnusableBindingCount": 3,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4
   },
   {
    "StepId": "policy-08",
    "ProcedureVersion": "policy-v1.0.0",
    "StepNumber": "08",
    "Title": "Collect acknowledgements and exceptions",
    "StepKind": "Atomic",
    "AssignedRole": "notification-publisher",
    "Instruction": "Collect acknowledgements and create exception tasks for unreachable recipients.",
    "ExpectedDurationMinutes": 1440,
    "ExpertiseLevel": "Senior",
    "RequiresHumanConfirmation": false,
    "SemanticTypeIri": "http://purl.org/net/p-plan#Step",
    "ControlKind": "Verification",
    "Name": "08. Collect acknowledgements and exceptions",
    "AssignedRoleLabel": "Notification Publisher",
    "AssignedAgentKind": "AutomatedPipeline",
    "BlockingRequirementCount": 1,
    "StaleBindingCount": 0,
    "AuthoritativeStaleCount": 0,
    "AvailableExceptionCount": 1,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
   {
    "StepId": "policy-09",
    "ProcedureVersion": "policy-v1.0.0",
    "StepNumber": "09",
    "Title": "Review feedback and update knowledge",
    "StepKind": "MultiStep",
    "AssignedRole": "process-steward",
    "Instruction": "Review questions, feedback, delivery failures, and proposed knowledge changes.",
    "ExpectedDurationMinutes": 120,
    "ExpertiseLevel": "Expert",
    "RequiresHumanConfirmation": false,
    "SemanticTypeIri": "http://purl.org/net/p-plan#MultiStep",
    "ControlKind": "Retrospective",
    "Name": "09. Review feedback and update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
  ]
 },
 "StepTransitions": {
  "Description": "Directed control-flow edges represented as first-class pko:Transition instances with fromStep/toStep and next/alternative/fallback semantics.",
  "important": false,
  "schema": [
   {
    "name": "StepTransitionId",
    "datatype": "string",
    "type": "raw",
    "nullable": false,
    "Description": "Stored logical identifier for one StepTransitions row."
   },
   {
    "name": "Name",
    "datatype": "string",
    "type": "calculated",
    "nullable": true,
    "Description": "Human-readable calculated display alias for the StepTransitions row.",
    "formula": "={{FromStep}} &amp; \" -&gt; \" &amp; {{ToStep}}"
   },
   {
    "name": "ProcedureVersion",
    "datatype": "string",
    "type": "relationship",
    "nullable": true,
    "Description": "Procedure version whose control flow owns the transition.",
    "RelatedTo": "ProcedureVersions"
   },
   {
    "name": "FromStep",
    "datatype": "string",
    "type": "relationship",
    "nullable": true,
    "Description": "Source step; maps to pko:fromStep.",
    "RelatedTo": "Steps"
   },
   {
    "name": "ToStep",
    "datatype": "string",
    "type": "relationship",
    "nullable": true,
    "Description": "Destination step; maps to pko:toStep.",
    "RelatedTo": "Steps"
   },
   {
    "name": "TransitionKind",
    "datatype": "string",
    "type": "raw",
    "nullable": true,
    "Description": "Next, Alternative, or Fallback."
   },
   {
    "name": "Condition",
    "datatype": "string",
    "type": "raw",
    "nullable": true,
    "Description": "Condition under which the edge is taken."
   },
   {
    "name": "Priority",
    "datatype": "integer",
    "type": "raw",
    "nullable": true,
    "Description": "Evaluation priority when several outgoing edges exist."
   },
   {
    "name": "IsRecoveryPath",
    "datatype": "boolean",
    "type": "calculated",
    "nullable": true,
    "Description": "TRUE when this transition is a non-default path taken because something went wrong.",
    "formula": "=OR({{TransitionKind}} = \"Fallback\", {{TransitionKind}} = \"Alternative\")"
   },
   {
    "name": "CountOfFromStepExecutions",
    "datatype": "integer",
    "type": "aggregation",
    "nullable": true,
    "Description": "How many times the step this transition leaves from has actually been executed.",
    "formula": "=COUNTIFS(StepExecutions!{{Step}}, StepTransitions!{{FromStep}})"
   },
   {
    "name": "CountOfToStepExecutions",
    "datatype": "integer",
    "type": "aggregation",
    "nullable": true,
    "Description": "How many times the step this transition arrives at has actually been executed.",
    "formula": "=COUNTIFS(StepExecutions!{{Step}}, StepTransitions!{{ToStep}})"
   },
   {
    "name": "HasReachableOrigin",
    "datatype": "boolean",
    "type": "calculated",
    "nullable": true,
    "Description": "TRUE when the origin step of this transition has been executed at least once.",
    "formula": "={{CountOfFromStepExecutions}} &gt; 0"
   },
   {
    "name": "HasReachableTarget",
    "datatype": "boolean",
    "type": "calculated",
    "nullable": true,
    "Description": "TRUE when the destination step of this transition has been executed at least once.",
    "formula": "={{CountOfToStepExecutions}} &gt; 0"
   },
   {
    "name": "IsNeverExercised",
    "datatype": "boolean",
    "type": "calculated",
    "nullable": true,
    "Description": "TRUE when at least one end of this transition has never appeared in any step execution.",
    "formula": "=NOT(AND({{HasReachableOrigin}}, {{HasReachableTarget}}))"
   },
   {
    "name": "IsUntestedRecoveryPath",
    "datatype": "boolean",
    "type": "calculated",
    "nullable": true,
    "Description": "TRUE for a Fallback or Alternative transition whose endpoints show no execution evidence.",
    "formula": "=AND({{IsRecoveryPath}}, {{IsNeverExercised}})"
   },
   {
    "name": "CountOfObservedTraversals",
    "datatype": "integer",
    "type": "aggregation",
    "nullable": true,
    "Description": "How many times this exact transition has actually been traversed.",
    "formula": "=COUNTIFS(ObservedTransitions!{{StepTransition}}, StepTransitions!{{StepTransitionId}})"
   },
   {
    "name": "HasBeenTraversed",
    "datatype": "boolean",
    "type": "calculated",
    "nullable": true,
    "Description": "TRUE when this transition has been walked at least once.",
    "formula": "={{CountOfObservedTraversals}} &gt; 0"
   },
   {
    "name": "IsUnwalkedRecoveryPath",
    "datatype": "boolean",
    "type": "calculated",
    "nullable": true,
    "Description": "TRUE for a Fallback/Alternative transition with zero recorded traversals.",
    "formula": "=AND({{IsRecoveryPath}}, NOT({{HasBeenTraversed}}))"
   },
   {
    "name": "TargetBlockingRequirementCount",
    "datatype": "number",
    "type": "lookup",
    "nullable": true,
    "Description": "How many blocking requirements are attached to the step this transition lands on.",
    "formula": "=INDEX(Steps!{{BlockingRequirementCount}}, MATCH({{ToStep}}, Steps!{{StepId}}, 0))"
   },
   {
    "name": "TargetCarriesBlockingControl",
    "datatype": "boolean",
    "type": "calculated",
    "nullable": true,
    "Description": "Whether the destination step of this transition carries at least one blocking control.",
    "formula": "={{TargetBlockingRequirementCount}} &gt; 0"
   },
   {
    "name": "IsUnrehearsedControlEntry",
    "datatype": "boolean",
    "type": "calculated",
    "nullable": true,
    "Description": "A recovery path that has never been traversed and that leads into a step carrying a blocking control.",
    "formula": "=AND({{IsUnwalkedRecoveryPath}}, {{TargetCarriesBlockingControl}})"
   },
   {
    "name": "UnrehearsedControlVersionKey",
    "datatype": "string",
    "type": "calculated",
    "nullable": true,
    "Description": "Composite-key echo: this transition's procedure version when it is an unrehearsed control entry, blank otherwise.",
    "formula": "=IF({{IsUnrehearsedControlEntry}}, {{ProcedureVersion}}, \"\")"
   },
   {
    "name": "SemanticTypeIri",
    "datatype": "string",
    "type": "raw",
    "nullable": true,
    "Description": "Exact PKO class IRI."
   }
  ],
  "data": [
   {
    "StepTransitionId": "close-01-to-close-02",
    "ProcedureVersion": "close-v1.1.0",
    "FromStep": "close-01",
    "ToStep": "close-02",
    "TransitionKind": "Next",
    "Condition": "Default sequence",
    "Priority": 1,
    "SemanticTypeIri": "https://w3id.org/pko#Transition",
    "Name": "close-01 -&gt; close-02",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
   {
    "StepTransitionId": "close-02-to-close-03",
    "ProcedureVersion": "close-v1.1.0",
    "FromStep": "close-02",
    "ToStep": "close-03",
    "TransitionKind": "Next",
    "Condition": "Default sequence",
    "Priority": 1,
    "SemanticTypeIri": "https://w3id.org/pko#Transition",
    "Name": "close-02 -&gt; close-03",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2,
    "TargetCarriesBlockingControl": true,
    "IsUnrehearsedControlEntry": false,
    "UnrehearsedControlVersionKey": null
   },
   {
    "StepTransitionId": "close-03-to-close-04",
    "ProcedureVersion": "close-v1.1.0",
    "FromStep": "close-03",
    "ToStep": "close-04",
    "TransitionKind": "Next",
    "Condition": "Default sequence",
    "Priority": 1,
    "SemanticTypeIri": "https://w3id.org/pko#Transition",
    "Name": "close-03 -&gt; close-04",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
   {
    "StepTransitionId": "close-04-to-close-05",
    "ProcedureVersion": "close-v1.1.0",
    "FromStep": "close-04",
    "ToStep": "close-05",
    "TransitionKind": "Next",
    "Condition": "Default sequence",
    "Priority": 1,
    "SemanticTypeIri": "https://w3id.org/pko#Transition",
    "Name": "close-04 -&gt; close-05",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
   {
    "StepTransitionId": "close-05-to-close-06",
    "ProcedureVersion": "close-v1.1.0",
    "FromStep": "close-05",
    "ToStep": "close-06",
    "TransitionKind": "Next",
    "Condition": "Default sequence",
    "Priority": 1,
    "SemanticTypeIri": "https://w3id.org/pko#Transition",
    "Name": "close-05 -&gt; close-06",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
   {
    "StepTransitionId": "close-06-to-close-07",
    "ProcedureVersion": "close</t>
  </si>
  <si>
    <t xml:space="preserve">-v1.1.0",
    "FromStep": "close-06",
    "ToStep": "close-07",
    "TransitionKind": "Next",
    "Condition": "Default sequence",
    "Priority": 1,
    "SemanticTypeIri": "https://w3id.org/pko#Transition",
    "Name": "close-06 -&gt; close-07",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
   {
    "StepTransitionId": "close-07-to-close-08",
    "ProcedureVersion": "close-v1.1.0",
    "FromStep": "close-07",
    "ToStep": "close-08",
    "TransitionKind": "Next",
    "Condition": "Default sequence",
    "Priority": 1,
    "SemanticTypeIri": "https://w3id.org/pko#Transition",
    "Name": "close-07 -&gt; close-08",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
   {
    "StepTransitionId": "policy-01-to-policy-02",
    "ProcedureVersion": "policy-v1.0.0",
    "FromStep": "policy-01",
    "ToStep": "policy-02",
    "TransitionKind": "Next",
    "Condition": "Default sequence",
    "Priority": 1,
    "SemanticTypeIri": "https://w3id.org/pko#Transition",
    "Name": "policy-01 -&gt; policy-02",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
   {
    "StepTransitionId": "policy-02-to-policy-03",
    "ProcedureVersion": "policy-v1.0.0",
    "FromStep": "policy-02",
    "ToStep": "policy-03",
    "TransitionKind": "Next",
    "Condition": "Default sequence",
    "Priority": 1,
    "SemanticTypeIri": "https://w3id.org/pko#Transition",
    "Name": "policy-02 -&gt; policy-03",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
   {
    "StepTransitionId": "policy-03-to-policy-04",
    "ProcedureVersion": "policy-v1.0.0",
    "FromStep": "policy-03",
    "ToStep": "policy-04",
    "TransitionKind": "Next",
    "Condition": "Default sequence",
    "Priority": 1,
    "SemanticTypeIri": "https://w3id.org/pko#Transition",
    "Name": "policy-03 -&gt; policy-04",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
   {
    "StepTransitionId": "policy-04-to-policy-05",
    "ProcedureVersion": "policy-v1.0.0",
    "FromStep": "policy-04",
    "ToStep": "policy-05",
    "TransitionKind": "Next",
    "Condition": "Default sequence",
    "Priority": 1,
    "SemanticTypeIri": "https://w3id.org/pko#Transition",
    "Name": "policy-04 -&gt; policy-05",
    "IsRecoveryPath": false,
    "CountOfFromStepExecutions": 1,
    "CountOfToStepExecutions": 0,
    "HasReachableOrigin": true,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
   {
    "StepTransitionId": "policy-05-to-policy-06",
    "ProcedureVersion": "policy-v1.0.0",
    "FromStep": "policy-05",
    "ToStep": "policy-06",
    "TransitionKind": "Next",
    "Condition": "Default sequence",
    "Priority": 1,
    "SemanticTypeIri": "https://w3id.org/pko#Transition",
    "Name": "policy-05 -&gt; policy-06",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
   {
    "StepTransitionId": "policy-06-to-policy-07",
    "ProcedureVersion": "policy-v1.0.0",
    "FromStep": "policy-06",
    "ToStep": "policy-07",
    "TransitionKind": "Next",
    "Condition": "Default sequence",
    "Priority": 1,
    "SemanticTypeIri": "https://w3id.org/pko#Transition",
    "Name": "policy-06 -&gt; policy-07",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4,
    "TargetCarriesBlockingControl": true,
    "IsUnrehearsedControlEntry": false,
    "UnrehearsedControlVersionKey": null
   },
   {
    "StepTransitionId": "policy-07-to-policy-08",
    "ProcedureVersion": "policy-v1.0.0",
    "FromStep": "policy-07",
    "ToStep": "policy-08",
    "TransitionKind": "Next",
    "Condition": "Default sequence",
    "Priority": 1,
    "SemanticTypeIri": "https://w3id.org/pko#Transition",
    "Name": "policy-07 -&gt; policy-08",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
   {
    "StepTransitionId": "policy-08-to-policy-09",
    "ProcedureVersion": "policy-v1.0.0",
    "FromStep": "policy-08",
    "ToStep": "policy-09",
    "TransitionKind": "Next",
    "Condition": "Default sequence",
    "Priority": 1,
    "SemanticTypeIri": "https://w3id.org/pko#Transition",
    "Name": "policy-08 -&gt; policy-09",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0,
    "TargetCarriesBlockingControl": false,
    "IsUnrehearsedControlEntry": false,
    "UnrehearsedControlVersionKey": null
   },
   {
    "StepTransitionId": "close-04-fallback-close-03",
    "ProcedureVersion": "close-v1.1.0",
    "FromStep": "close-04",
    "ToStep": "close-03",
    "TransitionKind": "Fallback",
    "Condition": "Evidence is incomplete or source balance changed after extraction",
    "Priority": 2,
    "SemanticTypeIri": "https://w3id.org/pko#Transition",
    "Name": "close-04 -&gt; close-03",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2,
    "TargetCarriesBlockingControl": true,
    "IsUnrehearsedControlEntry": true,
    "UnrehearsedControlVersionKey": "close-v1.1.0"
   },
   {
    "StepTransitionId": "close-06-return-close-04",
    "ProcedureVersion": "close-v1.1.0",
    "FromStep": "close-06",
    "ToStep": "close-04",
    "TransitionKind": "Alternative",
    "Condition": "CFO rejects package or requests further analysis",
    "Priority": 2,
    "SemanticTypeIri": "https://w3id.org/pko#Transition",
    "Name": "close-06 -&gt; close-04",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0,
    "TargetCarriesBlockingControl": false,
    "IsUnrehearsedControlEntry": false,
    "UnrehearsedControlVersionKey": null
   },
   {
    "StepTransitionId": "policy-04-return-policy-03",
    "ProcedureVersion": "policy-v1.0.0",
    "FromStep": "policy-04",
    "ToStep": "policy-03",
    "TransitionKind": "Alternative",
    "Condition": "Legal review requires semantic revision",
    "Priority": 2,
    "SemanticTypeIri": "https://w3id.org/pko#Transition",
    "Name": "policy-04 -&gt; policy-03",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1,
    "TargetCarriesBlockingControl": true,
    "IsUnrehearsedControlEntry": true,
    "UnrehearsedControlVersionKey": "policy-v1.0.0"
   },
   {
    "StepTransitionId": "policy-07-fallback-policy-06",
    "ProcedureVersion": "policy-v1.0.0",
    "FromStep": "policy-07",
    "ToStep": "policy-06",
    "TransitionKind": "Fallback",
    "Condition": "Rendered message violates channel length or disclosure constraints",
    "Priority": 2,
    "SemanticTypeIri": "https://w3id.org/pko#Transition",
    "Name": "policy-07 -&gt; policy-06",
    "IsRecoveryPath": true,
    "CountOfFromStepExecutions": 0,
    "CountOfToStepExecutions": 0,
    "HasReachableOrigin": false,
    "HasReachableTarget": false,
    "IsNeverExercised": true,
    "IsUntestedRecoveryPath": true,
    "CountOfObservedTraversals": 0,
    "HasBeenTraversed": false,
    "IsUnwalkedRecoveryPath": true,
    "TargetBlockingRequirementCount": 1,
    "TargetCarriesBlockingControl": true,
    "IsUnrehearsedControlEntry": true,
    "UnrehearsedControlVersionKey": "policy-v1.0.0"
   }
  ]
 },
 "Actions": {
  "Description": "Human actions required by steps. Maps to pko:Action and pko:requiresAction.",
  "important": false,
  "schema": [
   {
    "name": "ActionId",
    "datatype": "string",
    "type": "raw",
    "nullable": false,
    "Description": "Stored logical identifier for one Actions row."
   },
   {
    "name": "Name",
    "datatype": "string",
    "type": "calculated",
    "nullable": true,
    "Description": "Human-readable calculated display alias for the Actions row.",
    "formula": "={{Label}}"
   },
   {
    "name": "Label",
    "datatype": "string",
    "type": "raw",
    "nullable": true,
    "Description": "Action label."
   },
   {
    "name": "Definition",
    "datatype": "string",
    "type": "raw",
    "nullable": true,
    "Description": "Normative definition of the action."
   },
   {
    "name": "SemanticTypeIri",
    "datatype": "string",
    "type": "raw",
    "nullable": true,
    "Description": "Exact PKO class IRI."
   }
  ],
  "data": [
   {
    "ActionId": "freeze-ledgers",
    "Label": "Freeze ledgers",
    "Definition": "Prevent late transaction entry after the close cutoff.",
    "SemanticTypeIri": "https://w3id.org/pko#Action",
    "Name": "Freeze ledgers"
   },
   {
    "ActionId": "reconcile-account",
    "Label": "Reconcile account",
    "Definition": "Compare balances, source records, and supporting evidence.",
    "SemanticTypeIri": "https://w3id.org/pko#Action",
    "Name": "Reconcile account"
   },
   {
    "ActionId": "investigate-variance",
    "Label": "Investigate variance",
    "Definition": "Apply documented checks and situated judgment to explain a material variance.",
    "SemanticTypeIri": "https://w3id.org/pko#Action",
    "Name": "Investigate variance"
   },
   {
    "ActionId": "review-close-package",
    "Label": "Review close package",
    "Definition": "Perform an independent control review.",
    "SemanticTypeIri": "https://w3id.org/pko#Action",
    "Name": "Review close package"
   },
   {
    "ActionId": "approve-close",
    "Label": "Approve close",
    "Definition": "Authorize publication of the financial statements package.",
    "SemanticTypeIri": "https://w3id.org/pko#Action",
    "Name": "Approve close"
   },
   {
    "ActionId": "interview-practitioner",
    "Label": "Interview practitioner",
    "Definition": "Elicit tacit, implicit, and explicit procedural knowledge.",
    "SemanticTypeIri": "https://w3id.org/pko#Action",
    "Name": "Interview practitioner"
   },
   {
    "ActionId": "review-policy",
    "Label": "Review employment policy",
    "Definition": "Review legal, privacy, and operational commitments.",
    "SemanticTypeIri": "https://w3id.org/pko#Action",
    "Name": "Review employment policy"
   },
   {
    "ActionId": "approve-policy",
    "Label": "Approve employment policy",
    "Definition": "Authorize the policy's semantic content and channel requirements.",
    "SemanticTypeIri": "https://w3id.org/pko#Action",
    "Name": "Approve employment policy"
   },
   {
    "ActionId": "review-feedback",
    "Label": "Review procedural feedback",
    "Definition": "Evaluate questions, issues, and lessons for future versions.",
    "SemanticTypeIri": "https://w3id.org/pko#Action",
    "Name": "Review procedural feedback"
   }
  ]
 },
 "Functions": {
  "Description": "Software or algorithmic functions required by steps. Maps to pko:Function and pko:requiresFunction.",
  "important": false,
  "schema": [
   {
    "name": "FunctionId",
    "datatype": "string",
    "type": "raw",
    "nullable": false,
    "Description": "Stored logical identifier for one Functions row."
   },
   {
    "name": "Name",
    "datatype": "string",
    "type": "calculated",
    "nullable": true,
    "Description": "Human-readable calculated display alias for the Functions row.",
    "formula": "={{Label}}"
   },
   {
    "name": "Label",
    "datatype": "string",
    "type": "raw",
    "nullable": true,
    "Description": "Function label."
   },
   {
    "name": "Definition",
    "datatype": "string",
    "type": "raw",
    "nullable": true,
    "Description": "Deterministic or AI-assisted behavior."
   },
   {
    "name": "ImplementationKey",
    "datatype": "string",
    "type": "raw",
    "nullable": true,
    "Description": "Operational implementation or model key."
   },
   {
    "name": "SemanticTypeIri",
    "datatype": "string",
    "type": "raw",
    "nullable": true,
    "Description": "Exact PKO class IRI."
   }
  ],
  "data": [
   {
    "FunctionId": "extract-trial-balance",
    "Label": "Extract trial balance",
    "Definition": "Deterministically extract balances and source timestamps.",
    "ImplementationKey": "extract-trial-balance-impl",
    "SemanticTypeIri": "https://w3id.org/pko#Function",
    "Name": "Extract trial balance"
   },
   {
    "FunctionId": "classify-variance",
    "Label": "Classify variance",
    "Definition": "Rank and classify variances using the approved AI model.",
    "ImplementationKey": "classify-variance-impl",
    "SemanticTypeIri": "https://w3id.org/pko#Function",
    "Name": "Classify variance"
   },
   {
    "FunctionId": "post-close-entries",
    "Label": "Post close entries",
    "Definition": "Post only approved journal entries.",
    "ImplementationKey": "post-close-entries-impl",
    "SemanticTypeIri": "https://w3id.org/pko#Function",
    "Name": "Post close entries"
   },
   {
    "FunctionId": "draft-policy",
    "Label": "Draft policy",
    "Definition": "Generate a draft from approved sources and requirements.",
    "ImplementationKey": "draft-policy-impl",
    "SemanticTypeIri": "https://w3id.org/pko#Function",
    "Name": "Draft policy"
   },
   {
    "FunctionId": "render-email",
    "Label": "Render email",
    "Definition": "Produce an email projection without changing policy meaning.",
    "ImplementationKey": "render-email-impl",
    "SemanticTypeIri": "https://w3id.org/pko#Function",
    "Name": "Render email"
   },
   {
    "FunctionId": "render-sms",
    "Label": "Render SMS",
    "Definition": "Produce a length-constrained SMS projection without changing policy meaning.",
    "ImplementationKey": "render-sms-impl",
    "SemanticTypeIri": "https://w3id.org/pko#Function",
    "Name": "Render SMS"
   },
   {
    "FunctionId": "send-notification",
    "Label": "Send notification",
    "Definition": "Apply channel policy and deliver an approved message.",
    "ImplementationKey": "send-notification-impl",
    "SemanticTypeIri": "https://w3id.org/pko#Function",
    "Name": "Send notification"
   },
   {
    "FunctionId": "collect-acknowledgement",
    "Label": "Collect acknowledgement",
    "Definition": "Record receipt, acknowledgement, or exception state.",
    "ImplementationKey": "collect-acknowledgement-impl",
    "SemanticTypeIri": "https://w3id.org/pko#Function",
    "Name": "Collect acknowledgement"
   }
  ]
 },
 "Tools": {
  "Description": "Tools required to execute steps. Maps to m4ing:Tool and pko:requiresTool.",
  "important": false,
  "schema": [
   {
    "name": "ToolId",
    "datatype": "string",
    "type": "raw",
    "nullable": false,
    "Description": "Stored logical identifier for one Tools row."
   },
   {
    "name": "Name",
    "datatype": "string",
    "type": "calculated",
    "nullable": true,
    "Description": "Human-readable calculated display alias for the Tools row.",
    "formula": "={{Label}}"
   },
   {
    "name": "Label",
    "datatype": "string",
    "type": "raw",
    "nullable": true,
    "Description": "Tool label."
   },
   {
    "name": "Purpose",
    "datatype": "string",
    "type": "raw",
    "nullable": true,
    "Description": "Operational purpose."
   },
   {
    "name": "SemanticTypeIri",
    "datatype": "string",
    "type": "raw",
    "nullable": true,
    "Description": "Exact semantic class IRI."
   }
  ],
  "data": [
   {
    "ToolId": "erp-ledger",
    "Label": "ERP General Ledger",
    "Purpose": "Financial system of record",
    "SemanticTypeIri": "http://w3id.org/nfdi4ing/metadata4ing#Tool",
    "Name": "ERP General Ledger"
   },
   {
    "ToolId": "close-workpaper",
    "Label": "Close Workpaper Workbook",
    "Purpose": "Controlled reconciliation workbook",
    "SemanticTypeIri": "http://w3id.org/nfdi4ing/metadata4ing#Tool",
    "Name": "Close Workpaper Workbook"
   },
   {
    "ToolId": "variance-model",
    "Label": "Variance AI Console",
    "Purpose": "Approved AI variance-triage interface",
    "SemanticTypeIri": "http://w3id.org/nfdi4ing/metadata4ing#Tool",
    "Name": "Variance AI Console"
   },
   {
    "ToolId": "policy-registry",
    "Label": "Policy Registry",
    "Purpose": "Versioned workforce-policy source of truth",
    "SemanticTypeIri": "http://w3id.org/nfdi4ing/metadata4ing#Tool",
    "Name": "Policy Registry"
   },
   {
    "ToolId": "consent-registry",
    "Label": "Employee Consent Registry",
    "Purpose": "Consent and channel preference system",
    "SemanticTypeIri": "http://w3id.org/nfdi4ing/metadata4ing#Tool",
    "Name": "Employee Consent Registry"
   },
   {
    "ToolId": "email-gateway",
    "Label": "Email Gateway",
    "Purpose": "Transactional employee email service",
    "SemanticTypeIri": "http://w3id.org/nfdi4ing/metadata4ing#Tool",
    "Name": "Email Gateway"
   },
   {
    "ToolId": "sms-gateway",
    "Label": "SMS Gateway",
    "Purpose": "Transactional SMS service",
    "SemanticTypeIri": "http://w3id.org/nfdi4ing/metadata4ing#Tool",
    "Name": "SMS Gateway"
   },
   {
    "ToolId": "knowledge-capture-form",
    "Label": "Knowledge Capture Form",
    "Purpose": "Structured elicitation and review interface",
    "SemanticTypeIri": "http://w3id.org/nfdi4ing/metadata4ing#Tool",
    "Name": "Knowledge Capture Form"
   }
  ]
 },
 "StepActions": {
  "Description": "Many-to-many Step/Action semantics normalized into a first-class ERB junction table.",
  "important": false,
  "schema": [
   {
    "name": "StepActionId",
    "datatype": "string",
    "type": "raw",
    "nullable": false,
    "Description": "Stored logical identifier for one StepActions row."
   },
   {
    "name": "Name",
    "datatype": "string",
    "type": "calculated",
    "nullable": true,
    "Description": "Human-readable calculated display alias for the StepActions row.",
    "formula": "={{Step}} &amp; \" / \" &amp; {{Action}}"
   },
   {
    "name": "Step",
    "datatype": "string",
    "type": "relationship",
    "nullable": true,
    "Description": "Step side of the relationship.",
    "RelatedTo": "Steps"
   },
   {
    "name": "Action",
    "datatype": "string",
    "type": "relationship",
    "nullable": true,
    "Description": "Action side of the relationship.",
    "RelatedTo": "Actions"
   }
  ],
  "data": [
   {
    "StepActionId": "sa-close01",
    "Step": "close-01",
    "Action": "freeze-ledgers",
    "Name": "close-01 / freeze-ledgers"
   },
   {
    "StepActionId": "sa-close03",
    "Step": "close-03",
    "Action": "reconcile-account",
    "Name": "close-03 / reconcile-account"
   },
   {
    "StepActionId": "sa-close04",
    "Step": "close-04",
    "Action": "investigate-variance",
    "Name": "close-04 / investigate-variance"
   },
   {
    "StepActionId": "sa-close05",
    "Step": "close-05",
    "Action": "review-close-package",
    "Name": "close-05 / review-close-package"
   },
   {
    "StepActionId": "sa-close06",
    "Step": "close-06",
    "Action": "approve-close",
    "Name": "close-06 / approve-close"
   },
   {
    "StepActionId": "sa-policy02",
    "Step": "policy-02",
    "Action": "interview-practitioner",
    "Name": "policy-02 / interview-practitioner"
   },
   {
    "StepActionId": "sa-policy04",
    "Step": "policy-04",
    "Action": "review-policy",
    "Name": "policy-04 / review-policy"
   },
   {
    "StepActionId": "sa-policy05",
    "Step": "policy-05",
    "Action": "approve-policy",
    "Name": "policy-05 / approve-policy"
   },
   {
    "StepActionId": "sa-policy09",
    "Step": "policy-09",
    "Action": "review-feedback",
    "Name": "policy-09 / review-feedback"
   }
  ]
 },
 "StepFunctions": {
  "Description": "Many-to-many Step/Function semantics normalized into an ERB junction table.",
  "important": false,
  "schema": [
   {
    "name": "StepFunctionId",
    "datatype": "string",
    "type": "raw",
    "nullable": false,
    "Description": "Stored logical identifier for one StepFunctions row."
   },
   {
    "name": "Name",
    "datatype": "string",
    "type": "calculated",
    "nullable": true,
    "Description": "Human-readable calculated display alias for the StepFunctions row.",
    "formula": "={{Step}} &amp; \" / \" &amp; {{Function}}"
   },
   {
    "name": "Step",
    "datatype": "string",
    "type": "relationship",
    "nullable": true,
    "Description": "Step side of the relationship.",
    "RelatedTo": "Steps"
   },
   {
    "name": "Function",
    "datatype": "string",
    "type": "relationship",
    "nullable": true,
    "Description": "Function side of the relationship.",
    "RelatedTo": "Functions"
   }
  ],
  "data": [
   {
    "StepFunctionId": "sf-close02",
    "Step": "close-02",
    "Function": "extract-trial-balance",
    "Name": "close-02 / extract-trial-balance"
   },
   {
    "StepFunctionId": "sf-close04",
    "Step": "close-04",
    "Function": "classify-variance",
    "Name": "close-04 / classify-variance"
   },
   {
    "StepFunctionId": "sf-close07",
    "Step": "close-07",
    "Function": "post-close-entries",
    "Name": "close-07 / post-close-entries"
   },
   {
    "StepFunctionId": "sf-policy03",
    "Step": "policy-03",
    "Function": "draft-policy",
    "Name": "policy-03 / draft-policy"
   },
   {
    "StepFunctionId": "sf-policy06-email",
    "Step": "policy-06",
    "Function": "render-email",
    "Name": "policy-06 / render-email"
   },
   {
    "StepFunctionId": "sf-policy06-sms",
    "Step": "policy-06",
    "Function": "render-sms",
    "Name": "policy-06 / render-sms"
   },
   {
    "StepFunctionId": "sf-policy07",
    "Step": "policy-07",
    "Function": "send-notification",
    "Name": "policy-07 / send-notification"
   },
   {
    "StepFunctionId": "sf-policy08",
    "Step": "policy-08",
    "Function": "collect-acknowledgement",
    "Name": "policy-08 / collect-acknowledgement"
   }
  ]
 },
 "StepTools": {
  "Description": "Many-to-many Step/Tool semantics normalized into an ERB junction table.",
  "important": false,
  "schema": [
   {
    "name": "StepToolId",
    "datatype": "string",
    "type": "raw",
    "nullable": false,
    "Description": "Stored logical identifier for one StepTools row."
   },
   {
    "name": "Name",
    "datatype": "string",
    "type": "calculated",
    "nullable": true,
    "Description": "Human-readable calculated display alias for the StepTools row.",
    "formula": "={{Step}} &amp; \" / \" &amp; {{Tool}}"
   },
   {
    "name": "Step",
    "datatype": "string",
    "type": "relationship",
    "nullable": true,
    "Description": "Step side of the relationship.",
    "RelatedTo": "Steps"
   },
   {
    "name": "Tool",
    "datatype": "string",
    "type": "relationship",
    "nullable": true,
    "Description": "Tool side of the relationship.",
    "RelatedTo": "Tools"
   }
  ],
  "data": [
   {
    "StepToolId": "st-close01",
    "Step": "close-01",
    "Tool": "erp-ledger",
    "Name": "close-01 / erp-ledger"
   },
   {
    "StepToolId": "st-close02",
    "Step": "close-02",
    "Tool": "erp-ledger",
    "Name": "close-02 / erp-ledger"
   },
   {
    "StepToolId": "st-close03",
    "Step": "close-03",
    "Tool": "close-workpaper",
    "Name": "close-03 / close-workpaper"
   },
   {
    "StepToolId": "st-close04a",
    "Step": "close-04",
    "Tool": "variance-model",
    "Name": "close-04 / variance-model"
   },
   {
    "StepToolId": "st-close04b",
    "Step": "close-04",
    "Tool": "close-workpaper",
    "Name": "close-04 / close-workpaper"
   },
   {
    "StepToolId": "st-policy02",
    "Step": "policy-02",
    "Tool": "knowledge-capture-form",
    "Name": "policy-02 / knowledge-capture-form"
   },
   {
    "StepToolId": "st-policy03",
    "Step": "policy-03",
    "Tool": "policy-registry",
    "Name": "policy-03 / policy-registry"
   },
   {
    "StepToolId": "st-policy07a",
    "Step": "policy-07",
    "Tool": "consent-registry",
    "Name": "policy-07 / consent-registry"
   },
   {
    "StepToolId": "st-policy07b",
    "Step": "policy-07",
    "Tool": "email-gateway",
    "Name": "policy-07 / email-gateway"
   },
   {
    "StepToolId": "st-policy07c",
    "Step": "policy-07",
    "Tool": "sms-gateway",
    "Name": "policy-07 / sms-gateway"
   }
  ]
 },
 "Requirements": {
  "Description": "Normative requirements applied to procedures, steps, or transitions. Maps to pko:Requirement and pko:hasRequirement.",
  "important": false,
  "schema": [
   {
    "name": "RequirementId",
    "datatype": "string",
    "type": "raw",
    "nullable": false,
    "Description": "Stored logical identifier for one Requirements row."
   },
   {
    "name": "Name",
    "datatype": "string",
    "type": "calculated",
    "nullable": true,
    "Description": "Human-readable calculated display alias for the Requirements row.",
    "formula": "={{Label}}"
   },
   {
    "name": "Label",
    "datatype": "string",
    "type": "raw",
    "nullable": true,
    "Description": "Requirement label."
   },
   {
    "name": "RequirementType",
    "datatype": "string",
    "type": "raw",
    "nullable": true,
    "Description": "Controlled requirement type; maps to pko:hasRequirementType."
   },
   {
    "name": "Statement",
    "datatype": "string",
    "type": "raw",
    "nullable": true,
    "Description": "Normative requirement statement."
   },
   {
    "name": "Rationale",
    "datatype": "string",
    "type": "raw",
    "nullable": true,
    "Description": "Why the requirement exists."
   },
   {
    "name": "IsBlocking",
    "datatype": "boolean",
    "type": "raw",
    "nullable": true,
    "Description": "TRUE when unsatisfied requirement blocks execution or approval."
   },
   {
    "name": "SatisfactionRecordCount",
    "datatype": "number",
    "type": "aggregation",
    "nullable": true,
    "Description": "How many times this requirement has ever been evaluated against an execution.",
    "formula": "=COUNTIFS(RequirementSatisfactions!{{Requirement}}, {{RequirementId}})"
   },
   {
    "name": "StepBindingCount",
    "datatype": "number",
    "type": "aggregation",
    "nullable": true,
    "Description": "How many steps the specification binds this requirement to.",
    "formula": "=COUNTIFS(StepRequirements!{{Requirement}}, {{RequirementId}})"
   },
   {
    "name": "IsBoundToAnyStep",
    "datatype": "boolean",
    "type": "calculated",
    "nullable": true,
    "Description": "TRUE when at least one step carries this requirement.",
    "formula": "={{StepBindingCount}} &gt; 0"
   },
   {
    "name": "HasEverBeenEvaluated",
    "datatype": "boolean",
    "type": "calculated",
    "nullable": true,
    "Description": "TRUE when this requirement has at least one satisfaction record in the model.",
    "formula": "={{SatisfactionRecordCount}} &gt; 0"
   },
   {
    "name": "NegativeOutcomeCount",
    "datatype": "number",
    "type": "aggregation",
    "nullable": true,
    "Description": "How many times this requirement has ever produced a less-than-satisfied outcome.",
    "formula": "=COUNTIFS(RequirementSatisfactions!{{NegativeOutcomeRequirementKey}}, {{RequirementId}})"
   },
   {
    "name": "IsInoperativeControl",
    "datatype": "boolean",
    "type": "calculated",
    "nullable": true,
    "Description": "TRUE for a blocking requirement that is attached to a step in the specification but has never once been evaluated on any execution.",
    "formula": "=AND({{IsBlocking}}, {{IsBoundToAnyStep}}, NOT({{HasEverBeenEvaluated}}))"
   },
   {
    "name": "IsDecorativeControl",
    "datatype": "boolean",
    "type": "calculated",
    "nullable": true,
    "Description": "TRUE for a blocking requirement that is not attached to any step at all.",
    "formula": "=AND({{IsBlocking}}, NOT({{IsBoundToAnyStep}}))"
   },
   {
    "name": "HasComputedWitness",
    "datatype": "boolean",
    "type": "raw",
    "nullable": true,
    "Description": "Whether a computed predicate in this rulebook evaluates this requirement, as opposed to it being satisfied by human assertion only."
   },
   {
    "name": "WitnessFieldName",
    "datatype": "string",
    "type": "raw",
    "nullable": true,
    "Description": "The fully-qualified Table.Field of the predicate that computes this requirement, when one exists."
   },
   {
    "name": "HasEverProducedNegative",
    "datatype": "boolean",
    "type": "calculated",
    "nullable": true,
    "Description": "TRUE when this requirement has at least once been scored as anything other than Satisfied.",
    "formula": "={{NegativeOutcomeCount}} &gt; 0"
   },
   {
    "name": "IsUnfalsifiedCon</t>
  </si>
  <si>
    <t xml:space="preserve">trol",
    "datatype": "boolean",
    "type": "calculated",
    "nullable": true,
    "Description": "TRUE for a blocking control that HAS been evaluated at least once and has never returned a negative result.",
    "formula": "=AND({{IsBlocking}}, {{HasEverBeenEvaluated}}, NOT({{HasEverProducedNegative}}))"
   },
   {
    "name": "ClaimsAWitnessField",
    "datatype": "boolean",
    "type": "calculated",
    "nullable": true,
    "Description": "TRUE when this requirement names a field it claims computes it.",
    "formula": "={{WitnessFieldName}} &lt;&gt; \"\""
   },
   {
    "name": "NamedWitnessFieldExists",
    "datatype": "boolean",
    "type": "lookup",
    "nullable": true,
    "Description": "TRUE when the field named in WitnessFieldName actually exists in the field catalog AND is a derived (calculated/lookup/aggregation) field.",
    "formula": "=INDEX(RulebookFields!{{IsDerived}}, MATCH({{WitnessFieldName}}, RulebookFields!{{RulebookFieldId}}, 0))"
   },
   {
    "name": "DerivedHasComputedWitness",
    "datatype": "boolean",
    "type": "calculated",
    "nullable": true,
    "Description": "Whether this requirement genuinely has a computed witness, derived from the field catalog rather than asserted.",
    "formula": "=AND({{ClaimsAWitnessField}}, {{NamedWitnessFieldExists}})"
   },
   {
    "name": "WitnessClaimIsUnverified",
    "datatype": "boolean",
    "type": "calculated",
    "nullable": true,
    "Description": "TRUE when the hand-typed HasComputedWitness flag disagrees with what the field catalog says.",
    "formula": "=NOT({{HasComputedWitness}} = {{DerivedHasComputedWitness}})"
   },
   {
    "name": "IsUnwitnessedBlockingControl",
    "datatype": "boolean",
    "type": "calculated",
    "nullable": true,
    "Description": "TRUE for a blocking control with no verified computed witness behind it.",
    "formula": "=AND({{IsBlocking}}, NOT({{DerivedHasComputedWitness}}))"
   },
   {
    "name": "WitnessFireCount",
    "datatype": "number",
    "type": "calculated",
    "nullable": true,
    "Description": "How many times this requirement's evaluation has returned a non-Satisfied result.",
    "formula": "={{NegativeOutcomeCount}}"
   },
   {
    "name": "WitnessHasNeverFired",
    "datatype": "boolean",
    "type": "calculated",
    "nullable": true,
    "Description": "TRUE for a requirement that has a computed witness which has never once returned a negative result.",
    "formula": "=AND({{HasComputedWitness}}, {{WitnessFireCount}} = 0)"
   },
   {
    "name": "EvaluationSampleSize",
    "datatype": "number",
    "type": "calculated",
    "nullable": true,
    "Description": "How many times this requirement has been evaluated at all.",
    "formula": "={{SatisfactionRecordCount}}"
   },
   {
    "name": "HasMeaningfulSample",
    "datatype": "boolean",
    "type": "calculated",
    "nullable": true,
    "Description": "TRUE when this requirement has been evaluated often enough that a clean record is informative.",
    "formula": "={{EvaluationSampleSize}} &gt;= {{MinimumSampleForAssurance}}"
   },
   {
    "name": "MinimumSampleForAssurance",
    "datatype": "integer",
    "type": "raw",
    "nullable": true,
    "Description": "The number of clean evaluations this control must accumulate before its silence counts as evidence."
   },
   {
    "name": "IsUntestedWitness",
    "datatype": "boolean",
    "type": "calculated",
    "nullable": true,
    "Description": "TRUE for a witness that has never fired and has not been exercised enough for that silence to mean anything.",
    "formula": "=AND({{WitnessHasNeverFired}}, NOT({{HasMeaningfulSample}}))"
   },
   {
    "name": "IsEvidencedHoldingControl",
    "datatype": "boolean",
    "type": "calculated",
    "nullable": true,
    "Description": "TRUE for a witness that has never fired across a sample large enough for that to constitute evidence.",
    "formula": "=AND({{WitnessHasNeverFired}}, {{HasMeaningfulSample}})"
   },
   {
    "name": "ControlAssuranceState",
    "datatype": "string",
    "type": "calculated",
    "nullable": true,
    "Description": "One of Decorative, Inoperative, Asserted, Demonstrated, Holding, or Untested — the single control-health verdict for this requirement.",
    "formula": "=IF(NOT({{IsBoundToAnyStep}}), \"Decorative\", IF(NOT({{HasEverBeenEvaluated}}), \"Inoperative\", IF(NOT({{HasComputedWitness}}), \"Asserted\", IF({{WitnessFireCount}} &gt; 0, \"Demonstrated\", IF({{HasMeaningfulSample}}, \"Holding\", \"Untested\")))))"
   },
   {
    "name": "UnexercisedBindingCount",
    "datatype": "number",
    "type": "aggregation",
    "nullable": true,
    "Description": "How many of this control's step bindings have never been evaluated.",
    "formula": "=COUNTIFS(StepRequirements!{{UnexercisedBindingRequirementKey}}, {{RequirementId}})"
   },
   {
    "name": "WitnessIsPartiallyScoped",
    "datatype": "boolean",
    "type": "calculated",
    "nullable": true,
    "Description": "TRUE when a control has a computed witness but at least one of its step bindings has never been exercised by it.",
    "formula": "=AND({{HasComputedWitness}}, {{UnexercisedBindingCount}} &gt; 0)"
   },
   {
    "name": "AccountableRole",
    "datatype": "string",
    "type": "relationship",
    "nullable": true,
    "Description": "The role answerable for this control operating as designed.",
    "RelatedTo": "Roles"
   },
   {
    "name": "AccountableAgent",
    "datatype": "string",
    "type": "lookup",
    "nullable": true,
    "Description": "The person currently holding the accountable role for this control.",
    "formula": "=INDEX(Roles!{{CurrentAgent}}, MATCH({{AccountableRole}}, Roles!{{RoleId}}, 0))"
   },
   {
    "name": "HasNamedOwner",
    "datatype": "boolean",
    "type": "calculated",
    "nullable": true,
    "Description": "TRUE when a role has been named as accountable for this control.",
    "formula": "={{AccountableRole}} &lt;&gt; \"\""
   },
   {
    "name": "IsOrphanedBlockingControl",
    "datatype": "boolean",
    "type": "calculated",
    "nullable": true,
    "Description": "TRUE for a blocking control with nobody named as accountable for it.",
    "formula": "=AND({{IsBlocking}}, NOT({{HasNamedOwner}}))"
   },
   {
    "name": "IsUnwatchedAndUnowned",
    "datatype": "boolean",
    "type": "calculated",
    "nullable": true,
    "Description": "TRUE for a blocking control that nothing computes and nobody owns.",
    "formula": "=AND({{IsBlocking}}, NOT({{HasComputedWitness}}), NOT({{HasNamedOwner}}))"
   },
   {
    "name": "AttestationExposureNote",
    "datatype": "string",
    "type": "calculated",
    "nullable": true,
    "Description": "States, per control, what kind of exposure attesting to it creates.",
    "formula": "=IF(NOT({{IsBlocking}}), \"\", IF({{IsUnwatchedAndUnowned}}, \"Unwatched and unowned: exposure defaults to the signatory.\", IF({{IsOrphanedBlockingControl}}, \"Witnessed but unowned: no named accountability.\", IF(NOT({{HasComputedWitness}}), \"Owned but unwitnessed: rests on human judgement.\", \"\"))))"
   },
   {
    "name": "UnwatchedUnownedFlag",
    "datatype": "string",
    "type": "calculated",
    "nullable": true,
    "Description": "Constant marker echoed when this control is both unwatched and unowned.",
    "formula": "=IF({{IsUnwatchedAndUnowned}}, \"unwatched-unowned\", \"\")"
   },
   {
    "name": "ControlledTerm",
    "datatype": "string",
    "type": "relationship",
    "nullable": true,
    "Description": "Controlled vocabulary term this requirement's concept maps to, if any.",
    "RelatedTo": "VocabularyTerms"
   },
   {
    "name": "UsesControlledVocabulary",
    "datatype": "boolean",
    "type": "calculated",
    "nullable": true,
    "Description": "TRUE when this requirement points at a controlled term instead of only free-texting the concept.",
    "formula": "={{ControlledTerm}} &lt;&gt; \"\""
   },
   {
    "name": "SemanticTypeIri",
    "datatype": "string",
    "type": "raw",
    "nullable": true,
    "Description": "Exact PKO class IRI."
   }
  ],
  "data": [
   {
    "RequirementId": "req-close-cutoff",
    "Label": "Close cutoff enforced",
    "RequirementType": "Control",
    "Statement": "No ledger entry may be posted after cutoff without controller-approved reopening.",
    "Rationale": "SOX control design",
    "IsBlocking": true,
    "SemanticTypeIri": "https://w3id.org/pko#Requirement",
    "HasComputedWitness": true,
    "WitnessFieldName": "VerificationOutcomes.SignalMatchesExpected",
    "Name": "Close cutoff enforced",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"Untested",
    "UnexercisedBindingCount": 1,
    "WitnessIsPartiallyScoped": true,
    "HasNamedOwner": false,
    "IsOrphanedBlockingControl": true,
    "IsUnwatchedAndUnowned": false,
    "AttestationExposureNote": "Witnessed but unowned: no named accountability.",
    "UnwatchedUnownedFlag": null,
    "HasMeaningfulSample": false,
    "IsUntestedWitness": true,
    "IsEvidencedHoldingControl": false,
    "AccountableAgent": null,
    "ControlledTerm": "vt-cutoff",
    "UsesControlledVocabulary": true
   },
   {
    "RequirementId": "req-close-balance",
    "Label": "Reconciled balance integrity",
    "RequirementType": "Verification",
    "Statement": "Every material account must reconcile or carry an approved exception.",
    "Rationale": "Financial reporting accuracy",
    "IsBlocking": true,
    "SemanticTypeIri": "https://w3id.org/pko#Requirement",
    "HasComputedWitness": true,
    "WitnessFieldName": "VerificationOutcomes.IsUnbackedObservation",
    "Name": "Reconciled balance integrity",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"Untested",
    "UnexercisedBindingCount": 1,
    "WitnessIsPartiallyScoped": true,
    "HasNamedOwner": false,
    "IsOrphanedBlockingControl": true,
    "IsUnwatchedAndUnowned": false,
    "AttestationExposureNote": "Witnessed but unowned: no named accountability.",
    "UnwatchedUnownedFlag": null,
    "HasMeaningfulSample": false,
    "IsUntestedWitness": true,
    "IsEvidencedHoldingControl": false,
    "AccountableAgent": null,
    "ControlledTerm": "vt-reconciliation",
    "UsesControlledVocabulary": true
   },
   {
    "RequirementId": "req-close-separation",
    "Label": "Preparer/approver separation",
    "RequirementType": "Governance",
    "Statement": "The preparer may not be the final approver.",
    "Rationale": "Segregation of duties",
    "IsBlocking": true,
    "SemanticTypeIri": "https://w3id.org/pko#Requirement",
    "HasComputedWitness": true,
    "WitnessFieldName": "StepExecutions.ViolatesSeparationOfDuties",
    "Name": "Preparer/approver separation",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"Untested",
    "UnexercisedBindingCount": 1,
    "WitnessIsPartiallyScoped": true,
    "HasNamedOwner": false,
    "IsOrphanedBlockingControl": true,
    "IsUnwatchedAndUnowned": false,
    "AttestationExposureNote": "Witnessed but unowned: no named accountability.",
    "UnwatchedUnownedFlag": null,
    "HasMeaningfulSample": false,
    "IsUntestedWitness": true,
    "IsEvidencedHoldingControl": false,
    "AccountableAgent": null,
    "ControlledTerm": "vt-segregation",
    "UsesControlledVocabulary": true
   },
   {
    "RequirementId": "req-close-evidence",
    "Label": "Evidence retention",
    "RequirementType": "Retention",
    "Statement": "Evidence must remain retrievable for 7 years.",
    "Rationale": "Audit and legal retention",
    "IsBlocking": true,
    "SemanticTypeIri": "https://w3id.org/pko#Requirement",
    "HasComputedWitness": true,
    "WitnessFieldName": "RequirementSatisfactions.IsBlockingAndUnmet",
    "Name": "Evidence retention",
    "SatisfactionRecordCount": 2,
    "StepBindingCount": 2,
    "IsBoundToAnyStep": true,
    "HasEverBeenEvaluated": true,
    "NegativeOutcomeCount": 1,
    "IsInoperativeControl": false,
    "IsDecorativeControl": false,
    "HasEverProducedNegative": true,
    "IsUnfalsifiedControl": false,
    "ClaimsAWitnessField": true,
    "NamedWitnessFieldExists": true,
    "DerivedHasComputedWitness": true,
    "WitnessClaimIsUnverified": false,
    "IsUnwitnessedBlockingControl": false,
    "WitnessFireCount": 1,
    "WitnessHasNeverFired": false,
    "EvaluationSampleSize": 2,
    "IsUntestedWitness": false,
    "IsEvidencedHoldingControl": false,
    "ControlAssuranceState": "Demonstrated",
    "UnexercisedBindingCount": 2,
    "WitnessIsPartiallyScoped": true,
    "HasNamedOwner": false,
    "IsOrphanedBlockingControl": true,
    "IsUnwatchedAndUnowned": false,
    "AttestationExposureNote": "Witnessed but unowned: no named accountability.",
    "UnwatchedUnownedFlag": null,
    "HasMeaningfulSample": false,
    "AccountableAgent": null,
    "ControlledTerm": "vt-evidence-retention",
    "UsesControlledVocabulary": true
   },
   {
    "RequirementId": "req-close-human-approval",
    "Label": "Human final approval",
    "RequirementType": "Approval",
    "Statement": "Controller and CFO approvals must be human-confirmed.",
    "Rationale": "Accountability",
    "IsBlocking": true,
    "SemanticTypeIri": "https://w3id.org/pko#Requirement",
    "HasComputedWitness": false,
    "WitnessFieldName": null,
    "Name": "Human final approval",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"vt-human-approval-gate",
    "UsesControlledVocabulary": true
   },
   {
    "RequirementId": "req-policy-source",
    "Label": "Approved source only",
    "RequirementType": "Provenance",
    "Statement": "Drafting may use only approved source resources and validated elicitation records.",
    "Rationale": "Semantic integrity",
    "IsBlocking": true,
    "SemanticTypeIri": "https://w3id.org/pko#Requirement",
    "HasComputedWitness": false,
    "WitnessFieldName": null,
    "Name": "Approved source only",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"UsesControlledVocabulary": false
   },
   {
    "RequirementId": "req-policy-legal",
    "Label": "Legal review required",
    "RequirementType": "Approval",
    "Statement": "Employment counsel must approve legal and privacy commitments.",
    "Rationale": "Legal accountability",
    "IsBlocking": true,
    "SemanticTypeIri": "https://w3id.org/pko#Requirement",
    "HasComputedWitness": false,
    "WitnessFieldName": null,
    "Name": "Legal review required",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"vt-legal-review",
    "UsesControlledVocabulary": true
   },
   {
    "RequirementId": "req-policy-human-approval",
    "Label": "Human meaning approval",
    "RequirementType": "Approval",
    "Statement": "An AI agent may draft, but a human policy owner must approve meaning.",
    "Rationale": "Human accountability",
    "IsBlocking": true,
    "SemanticTypeIri": "https://w3id.org/pko#Requirement",
    "HasComputedWitness": false,
    "WitnessFieldName": null,
    "Name": "Human meaning approval",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"UsesControlledVocabulary": false
   },
   {
    "RequirementId": "req-policy-consent",
    "Label": "SMS consent required",
    "RequirementType": "Privacy",
    "Statement": "SMS may be sent only to recipients with active consent.",
    "Rationale": "Consent and privacy",
    "IsBlocking": true,
    "SemanticTypeIri": "https://w3id.org/pko#Requirement",
    "HasComputedWitness": false,
    "WitnessFieldName": null,
    "Name": "SMS consent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"vt-consent",
    "UsesControlledVocabulary": true
   },
   {
    "RequirementId": "req-policy-quiet-hours",
    "Label": "Quiet hours enforced",
    "RequirementType": "Communication",
    "Statement": "SMS delivery must not occur between 20:00 and 08:00 recipient-local time.",
    "Rationale": "Employee experience",
    "IsBlocking": true,
    "SemanticTypeIri": "https://w3id.org/pko#Requirement",
    "HasComputedWitness": false,
    "WitnessFieldName": null,
    "Name": "Quiet hours enforced",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"vt-quiet-hours",
    "UsesControlledVocabulary": true
   },
   {
    "RequirementId": "req-policy-optout",
    "Label": "Opt-out text required",
    "RequirementType": "Communication",
    "Statement": "Every SMS must include approved opt-out language.",
    "Rationale": "Consent management",
    "IsBlocking": true,
    "SemanticTypeIri": "https://w3id.org/pko#Requirement",
    "HasComputedWitness": false,
    "WitnessFieldName": null,
    "Name": "Opt-out text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"vt-optout",
    "UsesControlledVocabulary": true
   },
   {
    "RequirementId": "req-policy-retention",
    "Label": "Communication evidence retention",
    "RequirementType": "Retention",
    "Statement": "Rendered messages, approvals, recipient scope, and delivery results must be retained for 7 years.",
    "Rationale": "Auditability",
    "IsBlocking": true,
    "SemanticTypeIri": "https://w3id.org/pko#Requirement",
    "HasComputedWitness": false,
    "WitnessFieldName": null,
    "Name": "Communication evidence retention",
    "SatisfactionRecordCount": 0,
    "StepBindingCount": 2,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2,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"vt-evidence-retention",
    "UsesControlledVocabulary": true
   },
   {
    "RequirementId": "req-policy-accessibility",
    "Label": "Plain-language and accessibility",
    "RequirementType": "Quality",
    "Statement": "Email content must be readable, accessible, and include an alternate contact method.",
    "Rationale": "Inclusive communication",
    "IsBlocking": true,
    "SemanticTypeIri": "https://w3id.org/pko#Requirement",
    "HasComputedWitness": false,
    "WitnessFieldName": null,
    "Name": "Plain-language and accessibility",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false,
    "AccountableAgent": null,
    "ControlledTerm": "vt-accessibility",
    "UsesControlledVocabulary": true
   }
  ]
 },
 "StepRequirements": {
  "Description": "Many-to-many Step/Requirement semantics normalized into an ERB junction table.",
  "important": false,
  "schema": [
   {
    "name": "StepRequirementId",
    "datatype": "string",
    "type": "raw",
    "nullable": false,
    "Description": "Stored logical identifier for one StepRequirements row."
   },
   {
    "name": "Name",
    "datatype": "string",
    "type": "calculated",
    "nullable": true,
    "Description": "Human-readable calculated display alias for the StepRequirements row.",
    "formula": "={{Step}} &amp; \" / \" &amp; {{Requirement}}"
   },
   {
    "name": "Step",
    "datatype": "string",
    "type": "relationship",
    "nullable": true,
    "Description": "Step side of the relationship.",
    "RelatedTo": "Steps"
   },
   {
    "name": "Requirement",
    "datatype": "string",
    "type": "relationship",
    "nullable": true,
    "Description": "Requirement side of the relationship.",
    "RelatedTo": "Requirements"
   },
   {
    "name": "RequirementIsBlocking",
    "datatype": "boolean",
    "type": "lookup",
    "nullable": true,
    "Description": "Whether this spec-side step/requirement binding names a blocking control.",
    "formula": "=INDEX(Requirements!{{IsBlocking}}, MATCH({{Requirement}}, Requirements!{{RequirementId}}, 0))"
   },
   {
    "name": "BlockingStepKey",
    "datatype": "string",
    "type": "calculated",
    "nullable": true,
    "Description": "Echoes the Step id only when the bound requirement is blocking; empty otherwise.",
    "formula": "=IF({{RequirementIsBlocking}}, {{Step}}, \"\")"
   },
   {
    "name": "StepWhenBlocking",
    "datatype": "string",
    "type": "calculated",
    "nullable": true,
    "Description": "Echoes the step id when the bound requirement is blocking, blank otherwise.",
    "formula": "=IF({{RequirementIsBlocking}}, {{Step}}, \"\")"
   },
   {
    "name": "RequirementLacksWitness",
    "datatype": "boolean",
    "type": "lookup",
    "nullable": true,
    "Description": "Whether the requirement bound at this step is a blocking control with no computed witness.",
    "formula": "=INDEX(Requirements!{{IsUnwitnessedBlockingControl}}, MATCH({{Requirement}}, Requirements!{{RequirementId}}, 0))"
   },
   {
    "name": "UnwitnessedStepKey",
    "datatype": "string",
    "type": "calculated",
    "nullable": true,
    "Description": "Echoes the step id when the requirement bound here has no computed witness.",
    "formula": "=IF({{RequirementLacksWitness}}, {{Step}}, \"\")"
   },
   {
    "name": "SatisfactionCountForBinding",
    "datatype": "number",
    "type": "aggregation",
    "nullable": true,
    "Description": "How many times this specific (step, requirement) binding has been evaluated in any execution.",
    "formula": "=COUNTIFS(RequirementSatisfactions!{{BindingKey}}, {{StepRequirementId}})"
   },
   {
    "name": "BindingWasEverExercised",
    "datatype": "boolean",
    "type": "calculated",
    "nullable": true,
    "Description": "TRUE when this specific (step, requirement) pair has been evaluated at least once.",
    "formula": "={{SatisfactionCountForBinding}} &gt; 0"
   },
   {
    "name": "IsUnexercisedBlockingBinding",
    "datatype": "boolean",
    "type": "calculated",
    "nullable": true,
    "Description": "TRUE for a blocking control bound to a step where it has never actually been evaluated.",
    "formula": "=AND({{RequirementIsBlocking}}, NOT({{BindingWasEverExercised}}))"
   },
   {
    "name": "UnexercisedBindingRequirementKey",
    "datatype": "string",
    "type": "calculated",
    "nullable": true,
    "Description": "Echoes the requirement id when this binding has never been exercised.",
    "formula": "=IF({{IsUnexercisedBlockingBinding}}, {{Requirement}}, \"\")"
   }
  ],
  "data": [
   {
    "StepRequirementId": "sr-c01",
    "Step": "close-01",
    "Requirement": "req-close-cutoff",
    "Name": "close-01</t>
  </si>
  <si>
    <t xml:space="preserve"> / req-close-cutoff",
    "RequirementIsBlocking": true,
    "BlockingStepKey": "close-01",
    "StepWhenBlocking": "close-01",
    "RequirementLacksWitness": false,
    "UnwitnessedStepKey": null,
    "SatisfactionCountForBinding": 0,
    "BindingWasEverExercised": false,
    "IsUnexercisedBlockingBinding": true,
    "UnexercisedBindingRequirementKey": "req-close-cutoff"
   },
   {
    "StepRequirementId": "sr-c03a",
    "Step": "close-03",
    "Requirement": "req-close-balance",
    "Name": "close-03 / req-close-balance",
    "RequirementIsBlocking": true,
    "BlockingStepKey": "close-03",
    "StepWhenBlocking": "close-03",
    "RequirementLacksWitness": false,
    "UnwitnessedStepKey": null,
    "SatisfactionCountForBinding": 0,
    "BindingWasEverExercised": false,
    "IsUnexercisedBlockingBinding": true,
    "UnexercisedBindingRequirementKey": "req-close-balance"
   },
   {
    "StepRequirementId": "sr-c03b",
    "Step": "close-03",
    "Requirement": "req-close-evidence",
    "Name": "close-03 / req-close-evidence",
    "RequirementIsBlocking": true,
    "BlockingStepKey": "close-03",
    "StepWhenBlocking": "close-03",
    "RequirementLacksWitness": false,
    "UnwitnessedStepKey": null,
    "SatisfactionCountForBinding": 0,
    "BindingWasEverExercised": false,
    "IsUnexercisedBlockingBinding": true,
    "UnexercisedBindingRequirementKey": "req-close-evidence"
   },
   {
    "StepRequirementId": "sr-c05",
    "Step": "close-05",
    "Requirement": "req-close-separation",
    "Name": "close-05 / req-close-separation",
    "RequirementIsBlocking": true,
    "BlockingStepKey": "close-05",
    "StepWhenBlocking": "close-05",
    "RequirementLacksWitness": false,
    "UnwitnessedStepKey": null,
    "SatisfactionCountForBinding": 0,
    "BindingWasEverExercised": false,
    "IsUnexercisedBlockingBinding": true,
    "UnexercisedBindingRequirementKey": "req-close-separation"
   },
   {
    "StepRequirementId": "sr-c06",
    "Step": "close-06",
    "Requirement": "req-close-human-approval",
    "Name": "close-06 / req-close-human-approval",
    "RequirementIsBlocking": true,
    "BlockingStepKey": "close-06",
    "StepWhenBlocking": "close-06",
    "RequirementLacksWitness": true,
    "UnwitnessedStepKey": "close-06",
    "SatisfactionCountForBinding": 0,
    "BindingWasEverExercised": false,
    "IsUnexercisedBlockingBinding": true,
    "UnexercisedBindingRequirementKey": "req-close-human-approval"
   },
   {
    "StepRequirementId": "sr-c08",
    "Step": "close-08",
    "Requirement": "req-close-evidence",
    "Name": "close-08 / req-close-evidence",
    "RequirementIsBlocking": true,
    "BlockingStepKey": "close-08",
    "StepWhenBlocking": "close-08",
    "RequirementLacksWitness": false,
    "UnwitnessedStepKey": null,
    "SatisfactionCountForBinding": 0,
    "BindingWasEverExercised": false,
    "IsUnexercisedBlockingBinding": true,
    "UnexercisedBindingRequirementKey": "req-close-evidence"
   },
   {
    "StepRequirementId": "sr-p03",
    "Step": "policy-03",
    "Requirement": "req-policy-source",
    "Name": "policy-03 / req-policy-source",
    "RequirementIsBlocking": true,
    "BlockingStepKey": "policy-03",
    "StepWhenBlocking": "policy-03",
    "RequirementLacksWitness": true,
    "UnwitnessedStepKey": "policy-03",
    "SatisfactionCountForBinding": 0,
    "BindingWasEverExercised": false,
    "IsUnexercisedBlockingBinding": true,
    "UnexercisedBindingRequirementKey": "req-policy-source"
   },
   {
    "StepRequirementId": "sr-p04",
    "Step": "policy-04",
    "Requirement": "req-policy-legal",
    "Name": "policy-04 / req-policy-legal",
    "RequirementIsBlocking": true,
    "BlockingStepKey": "policy-04",
    "StepWhenBlocking": "policy-04",
    "RequirementLacksWitness": true,
    "UnwitnessedStepKey": "policy-04",
    "SatisfactionCountForBinding": 0,
    "BindingWasEverExercised": false,
    "IsUnexercisedBlockingBinding": true,
    "UnexercisedBindingRequirementKey": "req-policy-legal"
   },
   {
    "StepRequirementId": "sr-p05",
    "Step": "policy-05",
    "Requirement": "req-policy-human-approval",
    "Name": "policy-05 / req-policy-human-approval",
    "RequirementIsBlocking": true,
    "BlockingStepKey": "policy-05",
    "StepWhenBlocking": "policy-05",
    "RequirementLacksWitness": true,
    "UnwitnessedStepKey": "policy-05",
    "SatisfactionCountForBinding": 0,
    "BindingWasEverExercised": false,
    "IsUnexercisedBlockingBinding": true,
    "UnexercisedBindingRequirementKey": "req-policy-human-approval"
   },
   {
    "StepRequirementId": "sr-p06",
    "Step": "policy-06",
    "Requirement": "req-policy-accessibility",
    "Name": "policy-06 / req-policy-accessibility",
    "RequirementIsBlocking": true,
    "BlockingStepKey": "policy-06",
    "StepWhenBlocking": "policy-06",
    "RequirementLacksWitness": true,
    "UnwitnessedStepKey": "policy-06",
    "SatisfactionCountForBinding": 0,
    "BindingWasEverExercised": false,
    "IsUnexercisedBlockingBinding": true,
    "UnexercisedBindingRequirementKey": "req-policy-accessibility"
   },
   {
    "StepRequirementId": "sr-p07a",
    "Step": "policy-07",
    "Requirement": "req-policy-consent",
    "Name": "policy-07 / req-policy-consent",
    "RequirementIsBlocking": true,
    "BlockingStepKey": "policy-07",
    "StepWhenBlocking": "policy-07",
    "RequirementLacksWitness": true,
    "UnwitnessedStepKey": "policy-07",
    "SatisfactionCountForBinding": 0,
    "BindingWasEverExercised": false,
    "IsUnexercisedBlockingBinding": true,
    "UnexercisedBindingRequirementKey": "req-policy-consent"
   },
   {
    "StepRequirementId": "sr-p07b",
    "Step": "policy-07",
    "Requirement": "req-policy-quiet-hours",
    "Name": "policy-07 / req-policy-quiet-hours",
    "RequirementIsBlocking": true,
    "BlockingStepKey": "policy-07",
    "StepWhenBlocking": "policy-07",
    "RequirementLacksWitness": true,
    "UnwitnessedStepKey": "policy-07",
    "SatisfactionCountForBinding": 0,
    "BindingWasEverExercised": false,
    "IsUnexercisedBlockingBinding": true,
    "UnexercisedBindingRequirementKey": "req-policy-quiet-hours"
   },
   {
    "StepRequirementId": "sr-p07c",
    "Step": "policy-07",
    "Requirement": "req-policy-optout",
    "Name": "policy-07 / req-policy-optout",
    "RequirementIsBlocking": true,
    "BlockingStepKey": "policy-07",
    "StepWhenBlocking": "policy-07",
    "RequirementLacksWitness": true,
    "UnwitnessedStepKey": "policy-07",
    "SatisfactionCountForBinding": 0,
    "BindingWasEverExercised": false,
    "IsUnexercisedBlockingBinding": true,
    "UnexercisedBindingRequirementKey": "req-policy-optout"
   },
   {
    "StepRequirementId": "sr-p07d",
    "Step": "policy-07",
    "Requirement": "req-policy-retention",
    "Name": "policy-07 / req-policy-retention",
    "RequirementIsBlocking": true,
    "BlockingStepKey": "policy-07",
    "StepWhenBlocking": "policy-07",
    "RequirementLacksWitness": true,
    "UnwitnessedStepKey": "policy-07",
    "SatisfactionCountForBinding": 0,
    "BindingWasEverExercised": false,
    "IsUnexercisedBlockingBinding": true,
    "UnexercisedBindingRequirementKey": "req-policy-retention"
   },
   {
    "StepRequirementId": "sr-p08",
    "Step": "policy-08",
    "Requirement": "req-policy-retention",
    "Name": "policy-08 / req-policy-retention",
    "RequirementIsBlocking": true,
    "BlockingStepKey": "policy-08",
    "StepWhenBlocking": "policy-08",
    "RequirementLacksWitness": true,
    "UnwitnessedStepKey": "policy-08",
    "SatisfactionCountForBinding": 0,
    "BindingWasEverExercised": false,
    "IsUnexercisedBlockingBinding": true,
    "UnexercisedBindingRequirementKey": "req-policy-retention"
   }
  ]
 },
 "StepVerifications": {
  "Description": "Verification definitions attached to steps. Maps to pko:StepVerification and pko:SignalVerification.",
  "important": false,
  "schema": [
   {
    "name": "StepVerificationId",
    "datatype": "string",
    "type": "raw",
    "nullable": false,
    "Description": "Stored logical identifier for one StepVerifications row."
   },
   {
    "name": "Name",
    "datatype": "string",
    "type": "calculated",
    "nullable": true,
    "Description": "Human-readable calculated display alias for the StepVerifications row.",
    "formula": "={{Step}} &amp; \" / \" &amp; {{VerificationKind}}"
   },
   {
    "name": "Step",
    "datatype": "string",
    "type": "relationship",
    "nullable": true,
    "Description": "Step whose execution is verified; maps to pko:hasStepVerification.",
    "RelatedTo": "Steps"
   },
   {
    "name": "VerificationKind",
    "datatype": "string",
    "type": "raw",
    "nullable": true,
    "Description": "SignalVerification, ApprovalVerification, ProvenanceVerification, or another documented kind."
   },
   {
    "name": "SignalIdentifier",
    "datatype": "string",
    "type": "raw",
    "nullable": true,
    "Description": "Signal or evidence key; maps to pko:signalIdentifier for signal verifications."
   },
   {
    "name": "ExpectedSignalValue",
    "datatype": "string",
    "type": "raw",
    "nullable": true,
    "Description": "Expected value; maps to pko:expectedSignalValue."
   },
   {
    "name": "Instruction",
    "datatype": "string",
    "type": "raw",
    "nullable": true,
    "Description": "How to verify the step."
   },
   {
    "name": "SemanticTypeIri",
    "datatype": "string",
    "type": "raw",
    "nullable": true,
    "Description": "Exact PKO or extension class IRI."
   }
  ],
  "data": [
   {
    "StepVerificationId": "verify-close-cutoff",
    "Step": "close-01",
    "VerificationKind": "SignalVerification",
    "SignalIdentifier": "ledger-lock-state",
    "ExpectedSignalValue": "LOCKED",
    "Instruction": "The ERP reports the close period locked.",
    "SemanticTypeIri": "https://w3id.org/pko#SignalVerification",
    "Name": "close-01 / SignalVerification"
   },
   {
    "StepVerificationId": "verify-feed-time",
    "Step": "close-02",
    "VerificationKind": "SignalVerification",
    "SignalIdentifier": "max-feed-age-minutes",
    "ExpectedSignalValue": "15",
    "Instruction": "All source feeds are no more than 15 minutes old.",
    "SemanticTypeIri": "https://w3id.org/pko#SignalVerification",
    "Name": "close-02 / SignalVerification"
   },
   {
    "StepVerificationId": "verify-reconciliation",
    "Step": "close-03",
    "VerificationKind": "SignalVerification",
    "SignalIdentifier": "unexplained-material-variance",
    "ExpectedSignalValue": "0",
    "Instruction": "No unexplained material variance remains.",
    "SemanticTypeIri": "https://w3id.org/pko#SignalVerification",
    "Name": "close-03 / SignalVerification"
   },
   {
    "StepVerificationId": "verify-controller",
    "Step": "close-05",
    "VerificationKind": "ApprovalVerification",
    "SignalIdentifier": "controller-approval",
    "ExpectedSignalValue": "APPROVED",
    "Instruction": "Controller approval record exists.",
    "SemanticTypeIri": "https://w3id.org/pko#StepVerification",
    "Name": "close-05 / ApprovalVerification"
   },
   {
    "StepVerificationId": "verify-cfo",
    "Step": "close-06",
    "VerificationKind": "ApprovalVerification",
    "SignalIdentifier": "cfo-approval",
    "ExpectedSignalValue": "APPROVED",
    "Instruction": "CFO approval record exists.",
    "SemanticTypeIri": "https://w3id.org/pko#StepVerification",
    "Name": "close-06 / ApprovalVerification"
   },
   {
    "StepVerificationId": "verify-policy-source",
    "Step": "policy-03",
    "VerificationKind": "ProvenanceVerification",
    "SignalIdentifier": "unapproved-source-count",
    "ExpectedSignalValue": "0",
    "Instruction": "Draft contains no unapproved source.",
    "SemanticTypeIri": "https://w3id.org/pko#StepVerification",
    "Name": "policy-03 / ProvenanceVerification"
   },
   {
    "StepVerificationId": "verify-legal",
    "Step": "policy-04",
    "VerificationKind": "ApprovalVerification",
    "SignalIdentifier": "legal-approval",
    "ExpectedSignalValue": "APPROVED",
    "Instruction": "Employment counsel approval exists.",
    "SemanticTypeIri": "https://w3id.org/pko#StepVerification",
    "Name": "policy-04 / ApprovalVerification"
   },
   {
    "StepVerificationId": "verify-policy-owner",
    "Step": "policy-05",
    "VerificationKind": "ApprovalVerification",
    "SignalIdentifier": "policy-owner-approval",
    "ExpectedSignalValue": "APPROVED",
    "Instruction": "Human policy-owner approval exists.",
    "SemanticTypeIri": "https://w3id.org/pko#StepVerification",
    "Name": "policy-05 / ApprovalVerification"
   },
   {
    "StepVerificationId": "verify-sms-consent",
    "Step": "policy-07",
    "VerificationKind": "SignalVerification",
    "SignalIdentifier": "sms-without-consent-count",
    "ExpectedSignalValue": "0",
    "Instruction": "No SMS recipient lacks active consent.",
    "SemanticTypeIri": "https://w3id.org/pko#SignalVerification",
    "Name": "policy-07 / SignalVerification"
   },
   {
    "StepVerificationId": "verify-quiet-hours",
    "Step": "policy-07",
    "VerificationKind": "SignalVerification",
    "SignalIdentifier": "quiet-hours-violation-count",
    "ExpectedSignalValue": "0",
    "Instruction": "No message was sent during quiet hours.",
    "SemanticTypeIri": "https://w3id.org/pko#SignalVerification",
    "Name": "policy-07 / SignalVerification"
   },
   {
    "StepVerificationId": "verify-ack",
    "Step": "policy-08",
    "VerificationKind": "SignalVerification",
    "SignalIdentifier": "unresolved-recipient-count",
    "ExpectedSignalValue": "0",
    "Instruction": "All recipients acknowledged or have an exception task.",
    "SemanticTypeIri": "https://w3id.org/pko#SignalVerification",
    "Name": "policy-08 / SignalVerification"
   }
  ]
 },
 "Rationales": {
  "Description": "First-class rationale statements explaining why procedural commitments and design decisions exist. Explicit ERB-PKO extension, represented as prov:Entity/dcat:Resource in projections.",
  "important": false,
  "schema": [
   {
    "name": "RationaleId",
    "datatype": "string",
    "type": "raw",
    "nullable": false,
    "Description": "Stored logical identifier for one Rationales row."
   },
   {
    "name": "Name",
    "datatype": "string",
    "type": "calculated",
    "nullable": true,
    "Description": "Human-readable calculated display alias for the Rationales row.",
    "formula": "={{Title}}"
   },
   {
    "name": "ProcedureVersion",
    "datatype": "string",
    "type": "relationship",
    "nullable": true,
    "Description": "Version justified by the rationale.",
    "RelatedTo": "ProcedureVersions"
   },
   {
    "name": "Step",
    "datatype": "string",
    "type": "relationship",
    "nullable": true,
    "Description": "Optional step justified by the rationale.",
    "RelatedTo": "Steps"
   },
   {
    "name": "Title",
    "datatype": "string",
    "type": "raw",
    "nullable": true,
    "Description": "Rationale title."
   },
   {
    "name": "Statement",
    "datatype": "string",
    "type": "raw",
    "nullable": true,
    "Description": "Reasoned explanation."
   },
   {
    "name": "Status",
    "datatype": "string",
    "type": "raw",
    "nullable": true,
    "Description": "Draft, Reviewed, Approved, or Superseded."
   },
   {
    "name": "AuthorityRole",
    "datatype": "string",
    "type": "relationship",
    "nullable": true,
    "Description": "Role authorized to approve the rationale.",
    "RelatedTo": "Roles"
   },
   {
    "name": "SemanticTypeIri",
    "datatype": "string",
    "type": "raw",
    "nullable": true,
    "Description": "Extension class IRI."
   }
  ],
  "data": [
   {
    "RationaleId": "rat-close-separation",
    "ProcedureVersion": "close-v1.1.0",
    "Step": "close-05",
    "Title": "Why the preparer cannot approve",
    "Statement": "Independent review prevents self-certification and makes accountability legible.",
    "Status": "Approved",
    "AuthorityRole": "controller",
    "SemanticTypeIri": "urn:effortless:pko-extension#Rationale",
    "Name": "Why the preparer cannot approve"
   },
   {
    "RationaleId": "rat-close-ai",
    "ProcedureVersion": "close-v1.1.0",
    "Step": "close-04",
    "Title": "Why AI ranks but does not close variances",
    "Statement": "The model accelerates triage; materiality, anomaly context, and acceptance remain human judgments.",
    "Status": "Approved",
    "AuthorityRole": "controller",
    "SemanticTypeIri": "urn:effortless:pko-extension#Rationale",
    "Name": "Why AI ranks but does not close variances"
   },
   {
    "RationaleId": "rat-policy-ai",
    "ProcedureVersion": "policy-v1.0.0",
    "Step": "policy-03",
    "Title": "Why AI may draft but not approve",
    "Statement": "Drafting is reversible assistance; legal and organizational commitments require human authority.",
    "Status": "Approved",
    "AuthorityRole": "hr-policy-owner",
    "SemanticTypeIri": "urn:effortless:pko-extension#Rationale",
    "Name": "Why AI may draft but not approve"
   },
   {
    "RationaleId": "rat-policy-multichannel",
    "ProcedureVersion": "policy-v1.0.0",
    "Step": "policy-07",
    "Title": "Why both email and SMS exist",
    "Statement": "Email carries complete policy context; consented SMS provides timely notice and a link without becoming the legal record.",
    "Status": "Approved",
    "AuthorityRole": "communications-manager",
    "SemanticTypeIri": "urn:effortless:pko-extension#Rationale",
    "Name": "Why both email and SMS exist"
   }
  ]
 },
 "Exceptions": {
  "Description": "Documented exceptions, fallbacks, and alternative handling. Aligns structurally with PKO fallback/alternative steps and requirements; the exception record itself is an ERB-PKO extension.",
  "important": false,
  "schema": [
   {
    "name": "ExceptionId",
    "datatype": "string",
    "type": "raw",
    "nullable": false,
    "Description": "Stored logical identifier for one Exceptions row."
   },
   {
    "name": "Name",
    "datatype": "string",
    "type": "calculated",
    "nullable": true,
    "Description": "Human-readable calculated display alias for the Exceptions row.",
    "formula": "={{Condition}}"
   },
   {
    "name": "ProcedureVersion",
    "datatype": "string",
    "type": "relationship",
    "nullable": true,
    "Description": "Procedure version containing the exception.",
    "RelatedTo": "ProcedureVersions"
   },
   {
    "name": "TriggerStep",
    "datatype": "string",
    "type": "relationship",
    "nullable": true,
    "Description": "Step at which the exception becomes relevant.",
    "RelatedTo": "Steps"
   },
   {
    "name": "Condition",
    "datatype": "string",
    "type": "raw",
    "nullable": true,
    "Description": "Exception condition."
   },
   {
    "name": "Handling",
    "datatype": "string",
    "type": "raw",
    "nullable": true,
    "Description": "Required handling and guardrails."
   },
   {
    "name": "ApprovalRole",
    "datatype": "string",
    "type": "relationship",
    "nullable": true,
    "Description": "Role that approves use of the exception.",
    "RelatedTo": "Roles"
   },
   {
    "name": "FallbackRole",
    "datatype": "string",
    "type": "relationship",
    "nullable": true,
    "Description": "Role or function that executes fallback handling.",
    "RelatedTo": "Roles"
   },
   {
    "name": "Status",
    "datatype": "string",
    "type": "raw",
    "nullable": true,
    "Description": "Active, Draft, Retired, or Superseded."
   },
   {
    "name": "ActiveExceptionStepKey",
    "datatype": "string",
    "type": "calculated",
    "nullable": true,
    "Description": "Echoes the TriggerStep id only for exceptions currently in Active status.",
    "formula": "=IF({{Status}} = \"Active\", {{TriggerStep}}, \"\")"
   },
   {
    "name": "SemanticTypeIri",
    "datatype": "string",
    "type": "raw",
    "nullable": true,
    "Description": "Extension class IRI."
   }
  ],
  "data": [
   {
    "ExceptionId": "exc-cfo-unavailable",
    "ProcedureVersion": "close-v1.1.0",
    "TriggerStep": "close-06",
    "Condition": "CFO unavailable during close",
    "Handling": "Delegate approval to the formally designated Acting CFO; never to the preparer.",
    "ApprovalRole": "cfo",
    "FallbackRole": "controller",
    "Status": "Active",
    "SemanticTypeIri": "urn:effortless:pko-extension#Exception",
    "Name": "CFO unavailable during close",
    "ActiveExceptionStepKey": "close-06"
   },
   {
    "ExceptionId": "exc-ledger-outage",
    "ProcedureVersion": "close-v1.1.0",
    "TriggerStep": "close-02",
    "Condition": "ERP source unavailable",
    "Handling": "Use a digitally signed, timestamped snapshot and open a blocking incident; do not silently substitute a spreadsheet.",
    "ApprovalRole": "controller",
    "FallbackRole": "close-automation",
    "Status": "Active",
    "SemanticTypeIri": "urn:effortless:pko-extension#Exception",
    "Name": "ERP source unavailable",
    "ActiveExceptionStepKey": "close-02"
   },
   {
    "ExceptionId": "exc-no-sms-consent",
    "ProcedureVersion": "policy-v1.0.0",
    "TriggerStep": "policy-07",
    "Condition": "Recipient lacks SMS consent",
    "Handling": "Suppress SMS and send approved email only.",
    "ApprovalRole": "hr-policy-owner",
    "FallbackRole": "notification-publisher",
    "Status": "Active",
    "SemanticTypeIri": "urn:effortless:pko-extension#Exception",
    "Name": "Recipient lacks SMS consent",
    "ActiveExceptionStepKey": "policy-07"
   },
   {
    "ExceptionId": "exc-unreachable",
    "ProcedureVersion": "policy-v1.0.0",
    "TriggerStep": "policy-08",
    "Condition": "Recipient unreachable",
    "Handling": "Create an HR case and route to the employee's manager without marking acknowledgement complete.",
    "ApprovalRole": "hr-policy-owner",
    "FallbackRole": "process-steward",
    "Status": "Active",
    "SemanticTypeIri": "urn:effortless:pko-extension#Exception",
    "Name": "Recipient unreachable",
    "ActiveExceptionStepKey": "policy-08"
   }
  ]
 },
 "Resources": {
  "Description": "Documents, datasets, APIs, templates, images, manuals, and operational records referenced by procedures. Maps to dcat:Resource.",
  "important": true,
  "schema": [
   {
    "name": "ResourceId",
    "datatype": "string",
    "type": "raw",
    "nullable": false,
    "Description": "Stored logical identifier for one Resources row."
   },
   {
    "name": "Name",
    "datatype": "string",
    "type": "calculated",
    "nullable": true,
    "Description": "Human-readable calculated display alias for the Resources row.",
    "formula": "={{Title}}"
   },
   {
    "name": "Title",
    "datatype": "string",
    "type": "raw",
    "nullable": true,
    "Description": "Resource title; maps to dcterms:title."
   },
   {
    "name": "ResourceKind",
    "datatype": "string",
    "type": "raw",
    "nullable": true,
    "Description": "Document, Dataset, API, Template, OperationalRecord, Image, Video, or another declared type."
   },
   {
    "name": "ExternalUri",
    "datatype": "string",
    "type": "raw",
    "nullable": true,
    "Description": "Resolvable or organization-internal resource identifier."
   },
   {
    "name": "CreatedAt",
    "datatype": "datetime",
    "type": "raw",
    "nullable": true,
    "Description": "Creation time; maps to dcterms:created."
   },
   {
    "name": "ModifiedAt",
    "datatype": "datetime",
    "type": "raw",
    "nullable": true,
    "Description": "Modification time; maps to dcterms:modified."
   },
   {
    "name": "Description",
    "datatype": "string",
    "type": "raw",
    "nullable": true,
    "Description": "Resource description; maps to dcterms:description."
   },
   {
    "name": "ApprovalStatus",
    "datatype": "string",
    "type": "raw",
    "nullable": true,
    "Description": "Approved, Draft, Deprecated, or Unvetted."
   },
   {
    "name": "IsApprovedSource",
    "datatype": "boolean",
    "type": "calculated",
    "nullable": true,
    "Description": "TRUE when this resource is an approved source.",
    "formula": "={{ApprovalStatus}} = \"Approved\""
   },
   {
    "name": "SemanticTypeIri",
    "datatype": "string",
    "type": "raw",
    "nullable": true,
    "Description": "Exact semantic class IRI."
   }
  ],
  "data": [
   {
    "ResourceId": "res-close-sop-pdf",
    "Title": "Quarter-End Close SOP PDF",
    "ResourceKind": "Document",
    "ExternalUri": "doc://finance/close-sop-v1.0",
    "CreatedAt": "2025-10-01T09:00:00-05:00",
    "ModifiedAt": "2026-04-01T09:00:00-05:00",
    "Description": "Controlled source document from which the initial procedure was extracted.",
    "SemanticTypeIri": "http://www.w3.org/ns/dcat#Resource",
    "Name": "Quarter-End Close SOP PDF",
    "IsApprovedSource": false
   },
   {
    "ResourceId": "res-erp-api",
    "Title": "ERP Ledger API",
    "ResourceKind": "API",
    "ExternalUri": "api://erp/general-ledger/v3",
    "CreatedAt": "2026-01-01T00:00:00-06:00",
    "ModifiedAt": "2026-07-19T08:00:00-05:00",
    "Description": "Live operational ledger and timestamp source.",
    "SemanticTypeIri": "http://www.w3.org/ns/dcat#Resource",
    "Name": "ERP Ledger API",
    "IsApprovedSource": false
   },
   {
    "ResourceId": "res-close-checklist",
    "Title": "Close Control Checklist",
    "ResourceKind": "Checklist",
    "ExternalUri": "doc://finance/close-checklist-v1.1",
    "CreatedAt": "2026-04-15T09:00:00-05:00",
    "ModifiedAt": "2026-07-02T15:00:00-05:00",
    "Description": "Approved close evidence checklist.",
    "SemanticTypeIri": "http://www.w3.org/ns/dcat#Resource",
    "Name": "Close Control Checklist",
    "IsApprovedSource": false
   },
   {
    "ResourceId": "res-policy-source",
    "Title": "Approved Workforce Policy Source",
    "ResourceKind": "Document",
    "ExternalUri": "doc://people/policy-remote-work-v3",
    "CreatedAt": "2026-06-01T09:00:00-05:00",
    "ModifiedAt": "2026-07-18T16:30:00-05:00",
    "Description": "Approved policy text and change rationale.",
    "SemanticTypeIri": "http://www.w3.org/ns/dcat#Resource",
    "Name": "Approved Workforce Policy Source",
    "IsApprovedSource": false
   },
   {
    "ResourceId": "res-consent-registry",
    "Title": "Employee Communication Consent Registry",
    "ResourceKind": "Dataset",
    "ExternalUri": "data://hr/communication-consent",
    "CreatedAt": "2026-03-01T00:00:00-06:00",
    "ModifiedAt": "2026-07-19T11:45:00-05:00",
    "Description": "Live channel consent and preference data.",
    "SemanticTypeIri": "http://www.w3.org/ns/dcat#Resource",
    "Name": "Employee Communication Consent Registry",
    "IsApprovedSource": false
   },
   {
    "ResourceId": "res-email-template",
    "Title": "Employee Policy Email Template",
    "ResourceKind": "Template",
    "ExternalUri": "template://people/policy-email-v2",
    "CreatedAt": "2026-06-01T09:00:00-05:00",
    "ModifiedAt": "2026-07-18T16:30:00-05:00",
    "Description": "Approved full-context email template.",
    "SemanticTypeIri": "http://www.w3.org/ns/dcat#Resource",
    "Name": "Employee Policy Email Template",
    "IsApprovedSource": false
   },
   {
    "ResourceId": "res-sms-template",
    "Title": "Employee Policy SMS Template",
    "ResourceKind": "Template",
    "ExternalUri": "template://people/policy-sms-v2",
    "CreatedAt": "2026-06-01T09:00:00-05:00",
    "ModifiedAt": "2026-07-18T16:30:00-05:00",
    "Description": "Approved SMS template with opt-out text.",
    "SemanticTypeIri": "http://www.w3.org/ns/dcat#Resource",
    "Name": "Employee Policy SMS Template",
    "IsApprovedSource": false
   },
   {
    "ResourceId": "res-change-ticket",
    "Title": "Policy Change Ticket HR-4821",
    "ResourceKind": "OperationalRecord",
    "ExternalUri": "ticket://hr/HR-4821",
    "CreatedAt": "2026-07-18T09:00:00-05:00",
    "ModifiedAt": "2026-07-19T10:30:00-05:00",
    "Description": "Operational record that initiated and tracks the policy change.",
    "SemanticTypeIri": "http://www.w3.org/ns/dcat#Resource",
    "Name": "Policy Change Ticket HR-4821",
    "IsApprovedSource": false
   }
  ]
 },
 "ProcedureResources": {
  "Description": "Links versioned procedures to supporting resources using PKO/dcterms provenance relations.",
  "important": false,
  "schema": [
   {
    "name": "ProcedureResourceId",
    "datatype": "string",
    "type": "raw",
    "nullable": false,
    "Description": "Stored logical identifier for one ProcedureResources row."
   },
   {
    "name": "Name",
    "datatype": "string",
    "type": "calculated",
    "nullable": true,
    "Description": "Human-readable calculated display alias for the ProcedureResources row.",
    "formula": "={{ProcedureVersion}} &amp; \" / \" &amp; {{Resource}}"
   },
   {
    "name": "ProcedureVersion",
    "datatype": "string",
    "type": "relationship",
    "nullable": true,
    "Description": "Procedure version.",
    "RelatedTo": "ProcedureVersions"
   },
   {
    "name": "Resource",
    "datatype": "string",
    "type": "relationship",
    "nullable": true,
    "Description": "Referenced or source resource.",
    "RelatedTo": "Resources"
   },
   {
    "name": "Relation",
    "datatype": "string",
    "type": "raw",
    "nullable": true,
    "Description": "wasExtractedFrom, references, generated, used, or another declared relation."
   },
   {
    "name": "RelationIri",
    "datatype": "string",
    "type": "calculated",
    "nullable": true,
    "Description": "Exact semantic property IRI for the relation.",
    "formula": "=IF({{Relation}} = \"wasExtractedFrom\", \"https://w3id.org/pko#wasExtractedFrom\", \"http://purl.org/dc/terms/references\")"
   }
  ],
  "data": [
   {
    "ProcedureResourceId": "pr-close-source",
    "ProcedureVersion": "close-v1.1.0",
    "Resource": "res-close-sop-pdf",
    "Relation": "wasExtractedFrom",
    "Name": "close-v1.1.0 / res-close-sop-pdf",
    "RelationIri": "https://w3id.org/pko#wasExtractedFrom"
   },
   {
    "ProcedureResourceId": "pr-close-api",
    "ProcedureVersion": "close-v1.1.0",
    "Resource": "res-erp-api",
    "Relation": "references",
    "Name": "close-v1.1.0 / res-erp-api",
    "RelationIri": "http://purl.org/dc/terms/references"
   },
   {
    "ProcedureResourceId": "pr-close-check",
    "ProcedureVersion": "close-v1.1.0",
    "Resource": "res-close-checklist",
    "Relation": "references",
    "Name": "close-v1.1.0 / res-close-checklist",
    "RelationIri": "http://purl.org/dc/terms/references"
   },
   {
    "ProcedureResourceId": "pr-policy-source",
    "ProcedureVersion": "policy-v1.0.0",
    "Resource": "res-policy-source",
    "Relation": "wasExtractedFrom",
    "Name": "policy-v1.0.0 / res-policy-source",
    "RelationIri": "https://w3id.org/pko#wasExtractedFrom"
   },
   {
    "ProcedureResourceId": "pr-policy-consent",
    "ProcedureVersion": "policy-v1.0.0",
    "Resource": "res-consent-registry",
    "Relation": "references",
    "Name": "policy-v1.0.0 / res-consent-registry",
    "RelationIri": "http://purl.org/dc/terms/references"
   },
   {
    "ProcedureResourceId": "pr-policy-email",
    "ProcedureVersion": "policy-v1.0.0",
    "Resource": "res-email-template",
    "Relation": "references",
    "Name": "policy-v1.0.0 / res-email-template",
    "RelationIri": "http://purl.org/dc/terms/references"
   },
   {
    "ProcedureResourceId": "pr-policy-sms",
    "ProcedureVersion": "policy-v1.0.0",
    "Resource": "res-sms-template",
    "Relation": "references",
    "Name": "policy-v1.0.0 / res-sms-template",
    "RelationIri": "http://purl.org/dc/terms/references"
   },
   {
    "ProcedureResourceId": "pr-policy-ticket",
    "ProcedureVersion": "policy-v1.0.0",
    "Resource": "res-change-ticket",
    "Relation": "references",
    "Name": "policy-v1.0.0 / res-change-ticket",
    "RelationIri": "http://purl.org/dc/terms/references"
   }
  ]
 },
 "ElicitationSessions": {
  "Description": "Structured knowledge-elicitation events involving practitioners and knowledge engineers. Explicit ERB-PKO extension, modeled as prov:Activity.",
  "important": false,
  "schema": [
   {
    "name": "ElicitationSessionId",
    "datatype": "string",
    "type": "raw",
    "nullable": false,
    "Description": "Stored logical identifier for one ElicitationSessions row."
   },
   {
    "name": "Name",
    "datatype": "string",
    "type": "calculated",
    "nullable": true,
    "Description": "Human-readable calculated display alias for the ElicitationSessions row.",
    "formula": "={{Method}} &amp; \" / \" &amp; {{StartedAt}}"
   },
   {
    "name": "ProcedureVersion",
    "datatype": "string",
    "type": "relationship",
    "nullable": true,
    "Description": "Procedure version whose knowledge was elicited.",
    "RelatedTo": "ProcedureVersions"
   },
   {
    "name": "Method",
    "datatype": "string</t>
  </si>
  <si>
    <t xml:space="preserve">",
    "type": "raw",
    "nullable": true,
    "Description": "Interview, shadowing, workshop, observation, document analysis, or another method."
   },
   {
    "name": "StartedAt",
    "datatype": "datetime",
    "type": "raw",
    "nullable": true,
    "Description": "Start time; maps to prov:startedAtTime."
   },
   {
    "name": "EndedAt",
    "datatype": "datetime",
    "type": "raw",
    "nullable": true,
    "Description": "End time; maps to prov:endedAtTime."
   },
   {
    "name": "PractitionerAgent",
    "datatype": "string",
    "type": "relationship",
    "nullable": true,
    "Description": "Domain practitioner providing knowledge.",
    "RelatedTo": "Agents"
   },
   {
    "name": "FacilitatorAgent",
    "datatype": "string",
    "type": "relationship",
    "nullable": true,
    "Description": "Person facilitating elicitation.",
    "RelatedTo": "Agents"
   },
   {
    "name": "Summary",
    "datatype": "string",
    "type": "raw",
    "nullable": true,
    "Description": "What was learned and captured."
   },
   {
    "name": "Status",
    "datatype": "string",
    "type": "raw",
    "nullable": true,
    "Description": "Draft, Reviewed, Approved, or Rejected."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"DaysSinceElicited",
    "datatype": "integer",
    "type": "calculated",
    "nullable": true,
    "Description": "Days elapsed since this elicitation session concluded.",
    "formula": "=DATETIME_DIFF({{AsOfInstant}}, {{EndedAt}}, \"days\")"
   },
   {
    "name": "IsSingleWitnessMethod",
    "datatype": "boolean",
    "type": "calculated",
    "nullable": true,
    "Description": "TRUE when this session captured one practitioner's account rather than a group's.",
    "formula": "=OR({{Method}} = \"Shadowing\", {{Method}} = \"PractitionerInterview\")"
   },
   {
    "name": "PractitionerIsStillEngaged",
    "datatype": "boolean",
    "type": "lookup",
    "nullable": true,
    "Description": "Whether the practitioner whose knowledge this session captured still holds a role here.",
    "formula": "=INDEX(Agents!{{IsStillEngaged}}, MATCH({{PractitionerAgent}}, Agents!{{AgentId}}, 0))"
   },
   {
    "name": "ValidFragmentsProduced",
    "datatype": "number",
    "type": "aggregation",
    "nullable": true,
    "Description": "How many currently-valid knowledge fragments this one session produced.",
    "formula": "=COUNTIFS(KnowledgeFragments!{{ValidFragmentSessionKey}}, {{ElicitationSessionId}})"
   },
   {
    "name": "IsHighYieldSession",
    "datatype": "boolean",
    "type": "calculated",
    "nullable": true,
    "Description": "A session that alone underwrites three or more currently-valid claims.",
    "formula": "={{ValidFragmentsProduced}} &gt;= 3"
   },
   {
    "name": "IsConcentratedSingleWitness",
    "datatype": "boolean",
    "type": "calculated",
    "nullable": true,
    "Description": "One unrepeated session with one witness that underwrites three or more live claims.",
    "formula": "=AND({{IsSingleWitnessMethod}}, {{IsHighYieldSession}})"
   },
   {
    "name": "IsStaleConcentratedWitness",
    "datatype": "boolean",
    "type": "calculated",
    "nullable": true,
    "Description": "A concentrated single-witness session more than 180 days old — matching the single-witness expiry horizon loop 1 already established.",
    "formula": "=AND({{IsConcentratedSingleWitness}}, {{DaysSinceElicited}} &gt; 180)"
   },
   {
    "name": "ConcentratedSessionVersionKey",
    "datatype": "string",
    "type": "calculated",
    "nullable": true,
    "Description": "Composite-key echo: this session's procedure version when the session is a concentrated single witness, blank otherwise.",
    "formula": "=IF({{IsConcentratedSingleWitness}}, {{ProcedureVersion}}, \"\")"
   },
   {
    "name": "SemanticTypeIri",
    "datatype": "string",
    "type": "raw",
    "nullable": true,
    "Description": "Class IRI used in semantic projection."
   }
  ],
  "data": [
   {
    "ElicitationSessionId": "elicit-close-shadow",
    "ProcedureVersion": "close-v1.1.0",
    "Method": "Shadowing",
    "StartedAt": "2026-04-03T09:00:00-05:00",
    "EndedAt": "2026-04-03T12:00:00-05:00",
    "PractitionerAgent": "devon-okafor",
    "FacilitatorAgent": "maria-chen",
    "Summary": "Observed actual variance investigation and captured timestamp-related failure mode.",
    "Status": "Approved",
    "SemanticTypeIri": "http://www.w3.org/ns/prov#Activity",
    "EvaluationContext": "eval-current",
    "Name": "Shadowing / 2026-04-03T09:00:00-05:00",
    "AsOfInstant": "2026-07-19T13:00:00-05:00",
    "DaysSinceElicited": 107,
    "IsSingleWitnessMethod": true,
    "PractitionerIsStillEngaged": true,
    "ValidFragmentsProduced": 3,
    "IsHighYieldSession": true,
    "IsConcentratedSingleWitness": true,
    "IsStaleConcentratedWitness": false,
    "ConcentratedSessionVersionKey": "close-v1.1.0"
   },
   {
    "ElicitationSessionId": "elicit-policy-workshop",
    "ProcedureVersion": "policy-v1.0.0",
    "Method": "FacilitatedWorkshop",
    "StartedAt": "2026-05-10T10:00:00-05:00",
    "EndedAt": "2026-05-10T14:00:00-05:00",
    "PractitionerAgent": "elena-garcia",
    "FacilitatorAgent": "amina-yusuf",
    "Summary": "Mapped policy drafting, legal review, channel constraints, and acknowledgement exceptions.",
    "Status": "Approved",
    "SemanticTypeIri": "http://www.w3.org/ns/prov#Activity",
    "EvaluationContext": "eval-current",
    "Name": "FacilitatedWorkshop / 2026-05-10T10:00:00-05:00",
    "AsOfInstant": "2026-07-19T13:00:00-05:00",
    "DaysSinceElicited": 69,
    "IsSingleWitnessMethod": false,
    "PractitionerIsStillEngaged": true,
    "ValidFragmentsProduced": 1,
    "IsHighYieldSession": false,
    "IsConcentratedSingleWitness": false,
    "IsStaleConcentratedWitness": false,
    "ConcentratedSessionVersionKey": null
   },
   {
    "ElicitationSessionId": "elicit-policy-interview",
    "ProcedureVersion": "policy-v1.0.0",
    "Method": "PractitionerInterview",
    "StartedAt": "2026-05-12T13:00:00-05:00",
    "EndedAt": "2026-05-12T14:30:00-05:00",
    "PractitionerAgent": "noah-williams",
    "FacilitatorAgent": "elena-garcia",
    "Summary": "Captured legal rationale and the boundary between AI drafting and human commitment.",
    "Status": "Approved",
    "SemanticTypeIri": "http://www.w3.org/ns/prov#Activity",
    "EvaluationContext": "eval-current",
    "Name": "PractitionerInterview / 2026-05-12T13:00:00-05:00",
    "AsOfInstant": "2026-07-19T13:00:00-05:00",
    "DaysSinceElicited": 67,
    "IsSingleWitnessMethod": true,
    "PractitionerIsStillEngaged": true,
    "ValidFragmentsProduced": 1,
    "IsHighYieldSession": false,
    "IsConcentratedSingleWitness": false,
    "IsStaleConcentratedWitness": false,
    "ConcentratedSessionVersionKey": null
   }
  ]
 },
 "KnowledgeFragments": {
  "Description": "Explicit records of tacit, implicit, explicit, and situated procedural knowledge. This is an ERB-PKO extension represented as provenance-bearing dcat:Resource instances.",
  "important": true,
  "schema": [
   {
    "name": "KnowledgeFragmentId",
    "datatype": "string",
    "type": "raw",
    "nullable": false,
    "Description": "Stored logical identifier for one KnowledgeFragments row."
   },
   {
    "name": "Name",
    "datatype": "string",
    "type": "calculated",
    "nullable": true,
    "Description": "Human-readable calculated display alias for the KnowledgeFragments row.",
    "formula": "={{KnowledgeForm}} &amp; \": \" &amp; LEFT({{Statement}}, 60)"
   },
   {
    "name": "ProcedureVersion",
    "datatype": "string",
    "type": "relationship",
    "nullable": true,
    "Description": "Procedure version informed by the fragment.",
    "RelatedTo": "ProcedureVersions"
   },
   {
    "name": "Step",
    "datatype": "string",
    "type": "relationship",
    "nullable": true,
    "Description": "Optional step to which the fragment applies.",
    "RelatedTo": "Steps"
   },
   {
    "name": "KnowledgeForm",
    "datatype": "string",
    "type": "raw",
    "nullable": true,
    "Description": "Tacit, Implicit, Explicit, SituatedJudgment, LessonLearned, or another declared form."
   },
   {
    "name": "Statement",
    "datatype": "string",
    "type": "raw",
    "nullable": true,
    "Description": "Captured knowledge statement."
   },
   {
    "name": "ElicitationSession",
    "datatype": "string",
    "type": "relationship",
    "nullable": true,
    "Description": "Optional elicitation session that produced the fragment.",
    "RelatedTo": "ElicitationSessions"
   },
   {
    "name": "SourceAgent",
    "datatype": "string",
    "type": "relationship",
    "nullable": true,
    "Description": "Practitioner or source agent.",
    "RelatedTo": "Agents"
   },
   {
    "name": "Confidence",
    "datatype": "string",
    "type": "raw",
    "nullable": true,
    "Description": "Low, Medium, or High confidence."
   },
   {
    "name": "ValidFrom",
    "datatype": "datetime",
    "type": "raw",
    "nullable": true,
    "Description": "Start of the fragment's valid-time interval."
   },
   {
    "name": "ValidTo",
    "datatype": "datetime",
    "type": "raw",
    "nullable": true,
    "Description": "End of the fragment's valid-time interval."
   },
   {
    "name": "Status",
    "datatype": "string",
    "type": "raw",
    "nullable": true,
    "Description": "Draft, Reviewed, Approved, Rejected, or Superseded."
   },
   {
    "name": "OwnerRole",
    "datatype": "string",
    "type": "relationship",
    "nullable": true,
    "Description": "Role accountable for maintaining the fragment.",
    "RelatedTo": "Roles"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"IsCurrentlyValid",
    "datatype": "boolean",
    "type": "calculated",
    "nullable": true,
    "Description": "TRUE when the fragment is approved and valid now.",
    "formula": "=AND({{ValidFrom}} &lt;= {{AsOfInstant}}, OR({{ValidTo}} = \"\", {{ValidTo}} &gt; {{AsOfInstant}}), {{Status}} = \"Approved\")"
   },
   {
    "name": "SourceAgentIsStillEngaged",
    "datatype": "boolean",
    "type": "lookup",
    "nullable": true,
    "Description": "Whether the agent who is the source of this claim still holds a role here.",
    "formula": "=INDEX(Agents!{{IsStillEngaged}}, MATCH({{SourceAgent}}, Agents!{{AgentId}}, 0))"
   },
   {
    "name": "SourceAgentKind",
    "datatype": "string",
    "type": "lookup",
    "nullable": true,
    "Description": "Whether the source of this claim is a Human, an AIAgent, or an AutomatedPipeline.",
    "formula": "=INDEX(Agents!{{AgentKind}}, MATCH({{SourceAgent}}, Agents!{{AgentId}}, 0))"
   },
   {
    "name": "HasHumanSource",
    "datatype": "boolean",
    "type": "calculated",
    "nullable": true,
    "Description": "TRUE when the claim originates from a human practitioner rather than software.",
    "formula": "={{SourceAgentKind}} = \"Human\""
   },
   {
    "name": "HasOrphanedProvenance",
    "datatype": "boolean",
    "type": "calculated",
    "nullable": true,
    "Description": "TRUE when we still rely on this claim but the agent who gave it to us no longer holds a role here.",
    "formula": "=AND({{IsCurrentlyValid}}, NOT({{SourceAgentIsStillEngaged}}))"
   },
   {
    "name": "IsUndefendableTacitClaim",
    "datatype": "boolean",
    "type": "calculated",
    "nullable": true,
    "Description": "TRUE when an orphaned claim is of a kind that lives in a person's head rather than in a document.",
    "formula": "=AND({{HasOrphanedProvenance}}, OR({{KnowledgeForm}} = \"Tacit\", {{KnowledgeForm}} = \"SituatedJudgment\"))"
   },
   {
    "name": "IsApproved",
    "datatype": "boolean",
    "type": "calculated",
    "nullable": true,
    "Description": "TRUE when this claim has passed knowledge-authority approval.",
    "formula": "={{Status}} = \"Approved\""
   },
   {
    "name": "IsWithinValidityWindow",
    "datatype": "boolean",
    "type": "calculated",
    "nullable": true,
    "Description": "TRUE when this claim's stated validity window contains the present moment.",
    "formula": "=AND({{ValidFrom}} &lt;= {{AsOfInstant}}, OR({{ValidTo}} = \"\", {{ValidTo}} &gt; {{AsOfInstant}}))"
   },
   {
    "name": "IsReliedUpon",
    "datatype": "boolean",
    "type": "calculated",
    "nullable": true,
    "Description": "TRUE when this claim is attached to a specific step and is inside its validity window — i.e. it is operationally in play.",
    "formula": "=AND({{Step}} &lt;&gt; \"\", {{IsWithinValidityWindow}})"
   },
   {
    "name": "StepProcedureVersionStatus",
    "datatype": "string",
    "type": "lookup",
    "nullable": true,
    "Description": "The procedure version owning the step this claim is attached to.",
    "formula": "=INDEX(Steps!{{ProcedureVersion}}, MATCH({{Step}}, Steps!{{StepId}}, 0))"
   },
   {
    "name": "IsAttachedToLiveVersion",
    "datatype": "boolean",
    "type": "lookup",
    "nullable": true,
    "Description": "Whether the procedure version this claim belongs to is currently executable.",
    "formula": "=INDEX(ProcedureVersions!{{IsLive}}, MATCH({{ProcedureVersion}}, ProcedureVersions!{{ProcedureVersionId}}, 0))"
   },
   {
    "name": "IsUnapprovedButReliedOn",
    "datatype": "boolean",
    "type": "calculated",
    "nullable": true,
    "Description": "TRUE when a live procedure is acting on a claim that has not been approved by the knowledge authority.",
    "formula": "=AND({{IsReliedUpon}}, {{IsAttachedToLiveVersion}}, NOT({{IsApproved}}))"
   },
   {
    "name": "EvidenceAgeDays",
    "datatype": "integer",
    "type": "lookup",
    "nullable": true,
    "Description": "Age in days of the elicitation session this claim came from.",
    "formula": "=INDEX(ElicitationSessions!{{DaysSinceElicited}}, MATCH({{ElicitationSession}}, ElicitationSessions!{{ElicitationSessionId}}, 0))"
   },
   {
    "name": "HasRecordedElicitation",
    "datatype": "boolean",
    "type": "calculated",
    "nullable": true,
    "Description": "TRUE when this claim traces to a recorded elicitation session.",
    "formula": "={{ElicitationSession}} &lt;&gt; \"\""
   },
   {
    "name": "IsFromSingleWitness",
    "datatype": "boolean",
    "type": "lookup",
    "nullable": true,
    "Description": "Whether this claim rests on a single practitioner's account.",
    "formula": "=INDEX(ElicitationSessions!{{IsSingleWitnessMethod}}, MATCH({{ElicitationSession}}, ElicitationSessions!{{ElicitationSessionId}}, 0))"
   },
   {
    "name": "EvidenceExpiryDays",
    "datatype": "integer",
    "type": "calculated",
    "nullable": true,
    "Description": "How many days this claim's evidence is trusted for, given how it was gathered.",
    "formula": "=IF({{IsFromSingleWitness}}, 180, 365)"
   },
   {
    "name": "EvidenceHasExpired",
    "datatype": "boolean",
    "type": "calculated",
    "nullable": true,
    "Description": "TRUE when the evidence behind this claim is older than we trust evidence of its kind to be.",
    "formula": "=AND({{HasRecordedElicitation}}, {{EvidenceAgeDays}} &gt; {{EvidenceExpiryDays}})"
   },
   {
    "name": "OwnerAgent",
    "datatype": "string",
    "type": "lookup",
    "nullable": true,
    "Description": "The agent currently holding the role that owns this claim.",
    "formula": "=INDEX(Roles!{{CurrentAgent}}, MATCH({{OwnerRole}}, Roles!{{RoleId}}, 0))"
   },
   {
    "name": "IsAwaitingApproval",
    "datatype": "boolean",
    "type": "calculated",
    "nullable": true,
    "Description": "TRUE when this claim has been reviewed but not yet approved.",
    "formula": "={{Status}} = \"Reviewed\""
   },
   {
    "name": "OwnerIsMe",
    "datatype": "boolean",
    "type": "calculated",
    "nullable": true,
    "Description": "TRUE when the People Policy Owner role owns this claim.",
    "formula": "={{OwnerRole}} = \"hr-policy-owner\""
   },
   {
    "name": "IsMyUnfinishedApproval",
    "datatype": "boolean",
    "type": "calculated",
    "nullable": true,
    "Description": "TRUE when a claim I own has been reviewed and is waiting on my approval.",
    "formula": "=AND({{OwnerIsMe}}, {{IsAwaitingApproval}})"
   },
   {
    "name": "IsInvokedByAnException",
    "datatype": "integer",
    "type": "aggregation",
    "nullable": true,
    "Description": "How many documented exception handlers trigger on the same step this claim is attached to.",
    "formula": "=COUNTIFS(Exceptions!{{TriggerStep}}, KnowledgeFragments!{{Step}})"
   },
   {
    "name": "HasOperationalReliance",
    "datatype": "boolean",
    "type": "calculated",
    "nullable": true,
    "Description": "TRUE when an exception handler exists on the step this claim governs.",
    "formula": "={{IsInvokedByAnException}} &gt; 0"
   },
   {
    "name": "IsUnapprovedAndOperationallyLive",
    "datatype": "boolean",
    "type": "calculated",
    "nullable": true,
    "Description": "TRUE when a claim awaiting my approval is already being acted on through a documented exception path.",
    "formula": "=AND({{IsMyUnfinishedApproval}}, {{HasOperationalReliance}})"
   },
   {
    "name": "AgeDays",
    "datatype": "integer",
    "type": "calculated",
    "nullable": true,
    "Description": "Days since this claim became valid.",
    "formula": "=DATETIME_DIFF({{AsOfInstant}}, {{ValidFrom}}, \"days\")"
   },
   {
    "name": "IsLowConfidence",
    "datatype": "boolean",
    "type": "calculated",
    "nullable": true,
    "Description": "TRUE when this claim was recorded with less than high confidence.",
    "formula": "=OR({{Confidence}} = \"Medium\", {{Confidence}} = \"Low\")"
   },
   {
    "name": "OwningVersionCadenceDays",
    "datatype": "integer",
    "type": "lookup",
    "nullable": true,
    "Description": "The review cadence promised for the version this claim supports.",
    "formula": "=INDEX(ProcedureVersions!{{StewardReviewCadenceDays}}, MATCH({{ProcedureVersion}}, ProcedureVersions!{{ProcedureVersionId}}, 0))"
   },
   {
    "name": "ExceedsOwningCadence",
    "datatype": "boolean",
    "type": "calculated",
    "nullable": true,
    "Description": "TRUE when this claim is older than the review cadence promised for the version it supports.",
    "formula": "={{AgeDays}} &gt; {{OwningVersionCadenceDays}}"
   },
   {
    "name": "IsAgingLowConfidenceClaim",
    "datatype": "boolean",
    "type": "calculated",
    "nullable": true,
    "Description": "TRUE when a claim we were never sure about has also outlived its version's review cadence.",
    "formula": "=AND({{ExceedsOwningCadence}}, {{IsLowConfidence}})"
   },
   {
    "name": "OwnerRoleAgentKind",
    "datatype": "string",
    "type": "lookup",
    "nullable": true,
    "Description": "Agent kind of whoever currently holds the role that owns this knowledge fragment.",
    "formula": "=INDEX(Roles!{{CurrentAgentKind}}, MATCH({{OwnerRole}}, Roles!{{RoleId}}, 0))"
   },
   {
    "name": "IsHumanOwned",
    "datatype": "boolean",
    "type": "calculated",
    "nullable": true,
    "Description": "TRUE when the owning role is currently held by a human.",
    "formula": "={{OwnerRoleAgentKind}} = \"Human\""
   },
   {
    "name": "IsAiValidatedByAi",
    "datatype": "boolean",
    "type": "calculated",
    "nullable": true,
    "Description": "TRUE when knowledge came from a non-human source AND is owned by a non-human-held role.",
    "formula": "=AND(NOT({{SourceAgentKind}} = \"Human\"), NOT({{IsHumanOwned}}))"
   },
   {
    "name": "ReviewCadenceDays",
    "datatype": "integer",
    "type": "lookup",
    "nullable": true,
    "Description": "The review cadence promised for the procedure version this fragment supports, resolved via ProcedureVersions because INDEX/MATCH only matches a target primary key.",
    "formula": "=INDEX(ProcedureVersions!{{StewardReviewCadenceDays}}, MATCH({{ProcedureVersion}}, ProcedureVersions!{{ProcedureVersionId}}, 0))"
   },
   {
    "name": "IsOverdueForReview",
    "datatype": "boolean",
    "type": "calculated",
    "nullable": true,
    "Description": "TRUE when a currently-valid fragment has gone longer than its stewardship cadence without review.",
    "formula": "=AND({{IsCurrentlyValid}}, {{AgeDays}} &gt; {{ReviewCadenceDays}})"
   },
   {
    "name": "PredatesCurrentRoleHolder",
    "datatype": "boolean",
    "type": "calculated",
    "nullable": true,
    "Description": "TRUE when this knowledge became valid before the current holder of its owning role took the role.",
    "formula": "=AND({{OwnerRoleAgentKind}} &lt;&gt; \"\", {{ValidFrom}} &lt; {{OwnerRoleAssignmentValidFrom}})"
   },
   {
    "name": "OwnerRoleAssignmentValidFrom",
    "datatype": "datetime",
    "type": "lookup",
    "nullable": true,
    "Description": "When the current holder of the owning role took that role.",
    "formula": "=INDEX(Roles!{{CurrentAssignmentValidFrom}}, MATCH({{OwnerRole}}, Roles!{{RoleId}}, 0))"
   },
   {
    "name": "LastReviewedAt",
    "datatype": "datetime",
    "type": "raw",
    "nullable": true,
    "Description": "When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
   },
   {
    "name": "FragilitySignalCount",
    "datatype": "integer",
    "type": "calculated",
    "nullable": true,
    "Description": "How many of the four loop-1 decay signals are simultaneously true for this fragment: single witness, overdue for review, low confidence, operational reliance.",
    "formula": "=IF({{IsFromSingleWitness}}, 1, 0) + IF({{IsOverdueForReview}}, 1, 0) + IF({{IsLowConfidence}}, 1, 0) + IF({{HasOperationalReliance}}, 1, 0)"
   },
   {
    "name": "IsCompoundFragile",
    "datatype": "boolean",
    "type": "calculated",
    "nullable": true,
    "Description": "A fragment carrying at least three of the four decay signals at once.",
    "formula": "={{FragilitySignalCount}} &gt;= 3"
   },
   {
    "name": "IsSinglePointOfFailure",
    "datatype": "boolean",
    "type": "calculated",
    "nullable": true,
    "Description": "A claim that rests on exactly one person's word and that an active exception handler actually routes cases against.",
    "formula": "=AND({{IsFromSingleWitness}}, {{HasOperationalReliance}})"
   },
   {
    "name": "IsExpiringSinglePointOfFailure",
    "datatype": "boolean",
    "type": "calculated",
    "nullable": true,
    "Description": "A single-sourced, operationally relied-upon claim that is also past its review date.",
    "formula": "=AND({{IsSinglePointOfFailure}}, {{IsOverdueForReview}})"
   },
   {
    "name": "CompoundFragileVersionKey",
    "datatype": "string",
    "type": "calculated",
    "nullable": true,
    "Description": "Composite-key echo: this fragment's procedure version when the fragment is compound-fragile, blank otherwise.",
    "formula": "=IF({{IsCompoundFragile}}, {{ProcedureVersion}}, \"\")"
   },
   {
    "name": "ValidFragmentSessionKey",
    "datatype": "string",
    "type": "calculated",
    "nullable": true,
    "Description": "Composite-key echo: the elicitation session behind this fragment when the fragment is currently valid, blank otherwise.",
    "formula": "=IF({{IsCurrentlyValid}}, {{ElicitationSession}}, \"\")"
   },
   {
    "name": "ConsumingStepIsSoftwareAssigned",
    "datatype": "boolean",
    "type": "lookup",
    "nullable": true,
    "Description": "Whether the step that consumes this fragment is assigned to an AI agent or an automated pipeline.",
    "formula": "=INDEX(Steps!{{IsSoftwareAssigned}}, MATCH({{Step}}, Steps!{{StepId}}, 0))"
   },
   {
    "name": "ConsumingStepAgentKind",
    "datatype": "string",
    "type": "lookup",
    "nullable": true,
    "Description": "The kind of agent currently holding the role assigned to the step that consumes this fragment.",
    "formula": "=INDEX(Steps!{{AssignedAgentKind}}, MATCH({{Step}}, Steps!{{StepId}}, 0))"
   },
   {
    "name": "IsUnapprovedAndMachineConsumed",
    "datatype": "boolean",
    "type": "calculated",
    "nullable": true,
    "Description": "An unapproved claim that a software-assigned step actually relies on — executed literally, with no human in position to notice it is wrong.",
    "formula": "=AND({{IsUnapprovedButReliedOn}}, {{ConsumingStepIsSoftwareAssigned}})"
   },
   {
    "name": "IsUnapprovedAndHumanConsumed",
    "datatype": "boolean",
    "type": "calculated",
    "nullable": true,
    "Description": "An unapproved claim relied on by a human-assigned step — a reviewable risk rather than a silent one.",
    "formula": "=AND({{IsUnapprovedButReliedOn}}, NOT({{ConsumingStepIsSoftwareAssigned}}))"
   },
   {
    "name": "MachineConsumedUnapprovedVersionKey",
    "datatype": "string",
    "type": "calculated",
    "nullable": true,
    "Description": "Composite-key echo: this fragment's procedure version when the fragment is unapproved and machine-consumed, blank otherwise.",
    "formula": "=IF({{IsUnapprovedAndMachineConsumed}}, {{ProcedureVersion}}, \"\")"
   },
   {
    "name": "HasReviewRecord",
    "datatype": "boolean",
    "type": "calculated",
    "nullable": true,
    "Description": "Whether this fragment has ever had an actual review recorded, as opposed to merely having a ValidFrom date.",
    "formula": "={{LastReviewedAt}} &lt;&gt; \"\""
   },
   {
    "name": "DaysSinceActualReview",
    "datatype": "integer",
    "type": "calculated",
    "nullable": true,
    "Description": "Days elapsed since this fragment was last actually reviewed. Zero when no review has ever been recorded — read this only alongside HasReviewRecord, never on its own.",
    "formula": "=IF({{HasReviewRecord}}, DATETIME_DIFF({{AsOfInstant}}, {{LastReviewedAt}}, \"days\"), 0)"
   },
   {
    "name": "IsUnreviewedSinceAuthoring",
    "datatype": "boolean",
    "type": "calculated",
    "nullable": true,
    "Description": "A currently-valid claim that nobody has ever reviewed since it was written.",
    "formula": "=AND({{IsCurrentlyValid}}, NOT({{HasReviewRecord}}))"
   },
   {
    "name": "IsGenuinelyOverdue",
    "datatype": "boolean",
    "type": "calculated",
    "nullable": true,
    "Description": "A valid claim whose LAST ACTUAL REVIEW is older than the cadence its owning version promised.",
    "formula": "=AND({{IsCurrentlyValid}}, {{HasReviewRecord}}, {{DaysSinceActualReview}} &gt; {{ReviewCadenceDays}})"
   },
   {
    "name": "ReviewRecencyIsInferred",
    "datatype": "boolean",
    "type": "calculated",
    "nullable": true,
    "Description": "A fragment reported overdue by the loop-1 inference purely because no review has ever been recorded — the number is an artifact of missing data, not evidence of neglect.",
    "formula": "=AND({{IsOverdueForReview}}, NOT({{HasReviewRecord}}))"
   },
   {
    "name": "InferenceDisagreesWithRecord",
    "datatype": "boolean",
    "type": "calculated",
    "nullable": true,
    "Description": "A fragment the ValidFrom inference calls overdue but which was in fact reviewed inside its cadence — a false positive in the loop-1 predicate, now provable.",
    "formula": "=AND({{HasReviewRecord}}, {{IsOverdueForReview}}, NOT({{IsGenuinelyOverdue}}))"
   },
   {
    "name": "GenuinelyOverdueVersionKey",
    "datatype": "string",
    "type": "calculated",
    "nullable": true,
    "Description": "Composite-key echo: this fragment's procedure version when the fragment is genuinely overdue, blank otherwise.",
    "formula": "=IF({{IsGenuinelyOverdue}}, {{ProcedureVersion}}, \"\")"
   },
   {
    "name": "RatifiedBoundaryCount",
    "datatype": "number",
    "type": "aggregation",
    "nullable": true,
    "Description": "How many currently-binding authority boundaries this fragment ratifies.",
    "formula": "=COUNTIFS(AuthorityBoundaries!{{RatifyingFragmentKey}}, {{KnowledgeFragmentId}})"
   },
   {
    "name": "RelianceSurfaceCount",
    "datatype": "integer",
    "type": "calculated",
    "nullable": true,
    "Description": "Total number of distinct downstream dependents on this claim: exception handlers plus ratified authority boundaries.",
    "formula": "={{IsInvokedByAnException}} + {{RatifiedBoundaryCount}}"
   },
   {
    "name": "DaysAwaitingMyApproval",
    "datatype": "integer",
    "type": "calculated",
    "nullable": true,
    "Description": "How long a claim of mine has been sitting at Reviewed without my approval. Zero when the claim is not mine or is already decided.",
    "formula": "=IF({{IsMyUnfinishedApproval}}, DATETIME_DIFF({{AsOfInstant}}, {{ValidFrom}}, \"days\"), 0)"
   },
   {
    "name": "IsHighBlastRadiusUnapproved",
    "datatype": "boolean",
    "type": "calculated",
    "nullable": true,
    "Description": "An unapproved, operationally live claim of mine with more than one distinct downstream dependent.",
    "formula": "=AND({{IsUnapprovedAndOperationallyLive}}, {{RelianceSurfaceCount}} &gt; 1)"
   },
   {
    "name": "IsLongUnapproved",
    "datatype": "boolean",
    "type": "calculated",
    "nullable": true,
    "Description": "A claim that has waited on my signature for more than thirty days.",
    "formula": "=AND({{IsMyUnfinishedApproval}}, {{DaysAwaitingMyApproval}} &gt; 30)"
   },
   {
    "name": "UnapprovedLoadBearingVersionKey",
    "datatype": "string",
    "type": "calculated",
    "nullable": true,
    "Description": "Composite-key echo: this fragment's procedure version when it is a high-blast-radius unapproved claim, blank otherwise.",
    "formula": "=IF({{IsHighBlastRadiusUnapproved}}, {{ProcedureVersion}}, \"\")"
   },
   {
    "name": "OwnerRoleIsVacated",
    "datatype": "boolean",
    "type": "lookup",
    "nullable": true,
    "Description": "Whether the role that owns this claim is currently vacated.",
    "formula": "=INDEX(Roles!{{IsVacatedRole}}, MATCH({{OwnerRole}}, Roles!{{RoleId}}, 0))"
   },
   {
    "name": "IsOrphanedByRole",
    "datatype": "boolean",
    "type": "calculated",
    "nullable": true,
    "Description": "A currently-valid claim whose owning role nobody holds — accountable to a vacancy.",
    "formula": "=AND({{IsCurrentlyValid}}, {{OwnerRoleIsVacated}})"
   },
   {
    "name": "ValidFragmentVersionKey",
    "datatype": "string",
    "type": "calculated",
    "nullable": true,
    "Description": "Composite-key echo: this fragment's owning procedure version when the fragment is currently valid, blank otherwise.",
    "formula": "=IF({{IsCurrentlyValid}}, {{ProcedureVersion}}, \"\")"
   },
   {
    "name": "SemanticTypeIri",
    "datatype": "string",
    "type": "raw",
    "nullable": true,
    "Description": "Extension class IRI."
   }
  ],
  "data": [
   {
    "KnowledgeFragmentId": "kf-close-fx-time",
    "ProcedureVersion": "close-v1.1.0",
    "Step": "close-04",
    "KnowledgeForm": "Tacit",
    "Statement": "When FX variance spikes near a daylight-saving cutover, compare each feed's source timestamp before investigating economics.",
    "ElicitationSession": "elicit-close-shadow",
    "SourceAgent": "devon-okafor",
    "Confidence": "High",
    "ValidFrom": "2026-04-03T12:00:00-05:00",
    "ValidTo": null,
    "Status": "Approved",
    "OwnerRole": "controller",
    "SemanticTypeIri": "urn:effortless:pko-extension#KnowledgeFragment",
    "EvaluationContext": "eval-current",
    "LastReviewedAt": "2026-07-02T16:00:00-05:00",
    "Name": "Tacit: When FX variance spikes near a daylight-saving cutover, comp",
    "AsOfInstant": "2026-07-19T13:00:00-05:00",
    "IsCurrentlyValid": true,
    "SourceAgentIsStillEngaged": true,
    "SourceAgentKind": "Hu</t>
  </si>
  <si>
    <t xml:space="preserve">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true,
    "DaysSinceActualReview": 16,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"kf-close-top-ten",
    "ProcedureVersion": "close-v1.1.0",
    "Step": "close-04",
    "KnowledgeForm": "Implicit",
    "Statement": "The controller normally reviews the ten largest unexplained variances even when each is below the individual materiality threshold.",
    "ElicitationSession": "elicit-close-shadow",
    "SourceAgent": "devon-okafor",
    "Confidence": "Medium",
    "ValidFrom": "2026-04-03T12:00:00-05:00",
    "ValidTo": null,
    "Status": "Approved",
    "OwnerRole": "controller",
    "SemanticTypeIri": "urn:effortless:pko-extension#KnowledgeFragment",
    "EvaluationContext": "eval-current",
    "LastReviewedAt": "2026-07-02T16:00:00-05:00",
    "Name": "Implicit: The controller normally reviews the ten largest unexplained ",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true,
    "OwningVersionCadenceDays": 90,
    "ExceedsOwningCadence": true,
    "IsAgingLowConfidenceClaim": true,
    "OwnerRoleAgentKind": "Human",
    "IsHumanOwned": true,
    "IsAiValidatedByAi": false,
    "ReviewCadenceDays": 90,
    "IsOverdueForReview": true,
    "PredatesCurrentRoleHolder": false,
    "OwnerRoleAssignmentValidFrom": "2026-01-01T00:00:00-06:00",
    "FragilitySignalCount": 3,
    "IsCompoundFragile": true,
    "IsSinglePointOfFailure": false,
    "IsExpiringSinglePointOfFailure": false,
    "CompoundFragileVersionKey": "close-v1.1.0",
    "ValidFragmentSessionKey": "elicit-close-shadow",
    "ConsumingStepIsSoftwareAssigned": true,
    "ConsumingStepAgentKind": "AIAgent",
    "IsUnapprovedAndMachineConsumed": false,
    "IsUnapprovedAndHumanConsumed": false,
    "MachineConsumedUnapprovedVersionKey": null,
    "HasReviewRecord": true,
    "DaysSinceActualReview": 16,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"kf-close-retention",
    "ProcedureVersion": "close-v1.1.0",
    "Step": "close-08",
    "KnowledgeForm": "Explicit",
    "Statement": "Close evidence is retained for seven years and must remain linked to the execution that produced it.",
    "ElicitationSession": null,
    "SourceAgent": "devon-okafor",
    "Confidence": "High",
    "ValidFrom": "2026-04-15T09:00:00-05:00",
    "ValidTo": null,
    "Status": "Approved",
    "OwnerRole": "controller",
    "SemanticTypeIri": "urn:effortless:pko-extension#KnowledgeFragment",
    "EvaluationContext": "eval-current",
    "LastReviewedAt": null,
    "Name": "Explicit: Close evidence is retained for seven years and must remain l",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"HasRecordedElicitation": false,
    "EvidenceExpiryDays": 365,
    "EvidenceHasExpired": false,
    "OwnerAgent": "devon-okafor",
    "IsAwaitingApproval": false,
    "OwnerIsMe": false,
    "IsMyUnfinishedApproval": false,
    "IsInvokedByAnException": 0,
    "HasOperationalReliance": false,
    "IsUnapprovedAndOperationallyLive": false,
    "AgeDays": 95,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1,
    "IsCompoundFragile": false,
    "IsSinglePointOfFailure": false,
    "IsExpiringSinglePointOfFailure": false,
    "CompoundFragileVersionKey": null,
    "ConsumingStepIsSoftwareAssigned": false,
    "ConsumingStepAgentKind": "Human",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"EvidenceAgeDays": null,
    "IsFromSingleWitness": false,
    "ValidFragmentSessionKey": null
   },
   {
    "KnowledgeFragmentId": "kf-close-judgment",
    "ProcedureVersion": "close-v1.1.0",
    "Step": "close-04",
    "KnowledgeForm": "SituatedJudgment",
    "Statement": "Escalate a variance when its pattern is anomalous or recurring, even if the net amount is below the numeric threshold.",
    "ElicitationSession": "elicit-close-shadow",
    "SourceAgent": "devon-okafor",
    "Confidence": "High",
    "ValidFrom": "2026-04-03T12:00:00-05:00",
    "ValidTo": null,
    "Status": "Approved",
    "OwnerRole": "controller",
    "SemanticTypeIri": "urn:effortless:pko-extension#KnowledgeFragment",
    "EvaluationContext": "eval-current",
    "LastReviewedAt": null,
    "Name": "SituatedJudgment: Escalate a variance when its pattern is anomalous or recurri",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"close-v1.1.0"
   },
   {
    "KnowledgeFragmentId": "kf-policy-ai-boundary",
    "ProcedureVersion": "policy-v1.0.0",
    "Step": "policy-03",
    "KnowledgeForm": "Explicit",
    "Statement": "AI may draft from approved sources but may not create new legal commitments or approve meaning.",
    "ElicitationSession": "elicit-policy-interview",
    "SourceAgent": "noah-williams",
    "Confidence": "High",
    "ValidFrom": "2026-05-12T14:30:00-05:00",
    "ValidTo": null,
    "Status": "Approved",
    "OwnerRole": "employment-counsel",
    "SemanticTypeIri": "urn:effortless:pko-extension#KnowledgeFragment",
    "EvaluationContext": "eval-current",
    "LastReviewedAt": null,
    "Name": "Explicit: AI may draft from approved sources but may not create new le",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67,
    "HasRecordedElicitation": true,
    "IsFromSingleWitness": true,
    "EvidenceExpiryDays": 180,
    "EvidenceHasExpired": false,
    "OwnerAgent": "noah-williams",
    "IsAwaitingApproval": false,
    "OwnerIsMe": false,
    "IsMyUnfinishedApproval": false,
    "IsInvokedByAnException": 0,
    "HasOperationalReliance": false,
    "IsUnapprovedAndOperationallyLive": false,
    "AgeDays": 67,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"2026-01-15T00:00:00-06:00",
    "FragilitySignalCount": 2,
    "IsCompoundFragile": false,
    "IsSinglePointOfFailure": false,
    "IsExpiringSinglePointOfFailure": false,
    "CompoundFragileVersionKey": null,
    "ValidFragmentSessionKey": "elicit-policy-interview",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"policy-v1.0.0"
   },
   {
    "KnowledgeFragmentId": "kf-policy-channel",
    "ProcedureVersion": "policy-v1.0.0",
    "Step": "policy-07",
    "KnowledgeForm": "Tacit",
    "Statement": "Employees respond faster to concise SMS notices, but disputes are resolved against the complete approved email and policy record.",
    "ElicitationSession": "elicit-policy-workshop",
    "SourceAgent": "amina-yusuf",
    "Confidence": "High",
    "ValidFrom": "2026-05-10T14:00:00-05:00",
    "ValidTo": null,
    "Status": "Approved",
    "OwnerRole": "communications-manager",
    "SemanticTypeIri": "urn:effortless:pko-extension#KnowledgeFragment",
    "EvaluationContext": "eval-current",
    "LastReviewedAt": "2026-07-18T16:00:00-05:00",
    "Name": "Tacit: Employees respond faster to concise SMS notices, but dispute",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69,
    "HasRecordedElicitation": true,
    "IsFromSingleWitness": false,
    "EvidenceExpiryDays": 365,
    "EvidenceHasExpired": false,
    "OwnerAgent": "amina-yusuf",
    "IsAwaitingApproval": false,
    "OwnerIsMe": false,
    "IsMyUnfinishedApproval": false,
    "IsInvokedByAnException": 1,
    "HasOperationalReliance": true,
    "IsUnapprovedAndOperationallyLive": false,
    "AgeDays": 69,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"2026-02-01T00:00:00-06:00",
    "FragilitySignalCount": 2,
    "IsCompoundFragile": false,
    "IsSinglePointOfFailure": false,
    "IsExpiringSinglePointOfFailure": false,
    "CompoundFragileVersionKey": null,
    "ValidFragmentSessionKey": "elicit-policy-workshop",
    "ConsumingStepIsSoftwareAssigned": true,
    "ConsumingStepAgentKind": "AutomatedPipeline",
    "IsUnapprovedAndMachineConsumed": false,
    "IsUnapprovedAndHumanConsumed": false,
    "MachineConsumedUnapprovedVersionKey": null,
    "HasReviewRecord": true,
    "DaysSinceActualReview": 0,
    "IsUnreviewedSinceAuthoring": false,
    "IsGenuinelyOverdue": false,
    "ReviewRecencyIsInferred": false,
    "InferenceDisagreesWithRecord": true,
    "GenuinelyOverdueVersionKey": null,
    "RatifiedBoundaryCount": 0,
    "RelianceSurfaceCount": 1,
    "DaysAwaitingMyApproval": 0,
    "IsHighBlastRadiusUnapproved": false,
    "IsLongUnapproved": false,
    "UnapprovedLoadBearingVersionKey": null,
    "OwnerRoleIsVacated": false,
    "IsOrphanedByRole": false,
    "ValidFragmentVersionKey": "policy-v1.0.0"
   },
   {
    "KnowledgeFragmentId": "kf-policy-manager-route",
    "ProcedureVersion": "policy-v1.0.0",
    "Step": "policy-08",
    "KnowledgeForm": "Implicit",
    "Statement": "When an employee is unreachable for 48 hours, the communications team normally routes a case to the employee's manager.",
    "ElicitationSession": "elicit-policy-workshop",
    "SourceAgent": "amina-yusuf",
    "Confidence": "Medium",
    "ValidFrom": "2026-05-10T14:00:00-05:00",
    "ValidTo": null,
    "Status": "Reviewed",
    "OwnerRole": "hr-policy-owner",
    "SemanticTypeIri": "urn:effortless:pko-extension#KnowledgeFragment",
    "EvaluationContext": "eval-current",
    "LastReviewedAt": null,
    "Name": "Implicit: When an employee is unreachable for 48 hours, the communicat",
    "AsOfInstant": "2026-07-19T13:00:00-05:00",
    "IsCurrentlyValid": false,
    "SourceAgentIsStillEngaged": true,
    "SourceAgentKind": "Human",
    "HasHumanSource": true,
    "HasOrphanedProvenance": false,
    "IsUndefendableTacitClaim": false,
    "IsApproved": false,
    "IsWithinValidityWindow": true,
    "IsReliedUpon": true,
    "StepProcedureVersionStatus": "policy-v1.0.0",
    "IsAttachedToLiveVersion": true,
    "IsUnapprovedButReliedOn": true,
    "EvidenceAgeDays": 69,
    "HasRecordedElicitation": true,
    "IsFromSingleWitness": false,
    "EvidenceExpiryDays": 365,
    "EvidenceHasExpired": false,
    "OwnerAgent": "elena-garcia",
    "IsAwaitingApproval": true,
    "OwnerIsMe": true,
    "IsMyUnfinishedApproval": true,
    "IsInvokedByAnException": 1,
    "HasOperationalReliance": true,
    "IsUnapprovedAndOperationallyLive": true,
    "AgeDays": 69,
    "IsLowConfidence": true,
    "OwningVersionCadenceDays": 60,
    "ExceedsOwningCadence": true,
    "IsAgingLowConfidenceClaim": true,
    "OwnerRoleAgentKind": "Human",
    "IsHumanOwned": true,
    "IsAiValidatedByAi": false,
    "ReviewCadenceDays": 60,
    "IsOverdueForReview": false,
    "PredatesCurrentRoleHolder": false,
    "OwnerRoleAssignmentValidFrom": "2026-02-01T00:00:00-06:00",
    "FragilitySignalCount": 2,
    "IsCompoundFragile": false,
    "IsSinglePointOfFailure": false,
    "IsExpiringSinglePointOfFailure": false,
    "CompoundFragileVersionKey": null,
    "ValidFragmentSessionKey": null,
    "ConsumingStepIsSoftwareAssigned": true,
    "ConsumingStepAgentKind": "AutomatedPipeline",
    "IsUnapprovedAndMachineConsumed": true,
    "IsUnapprovedAndHumanConsumed": false,
    "MachineConsumedUnapprovedVersionKey": "policy-v1.0.0",
    "HasReviewRecord": false,
    "DaysSinceActualReview": 0,
    "IsUnreviewedSinceAuthoring": false,
    "IsGenuinelyOverdue": false,
    "ReviewRecencyIsInferred": false,
    "InferenceDisagreesWithRecord": false,
    "GenuinelyOverdueVersionKey": null,
    "RatifiedBoundaryCount": 0,
    "RelianceSurfaceCount": 1,
    "DaysAwaitingMyApproval": 69,
    "IsHighBlastRadiusUnapproved": false,
    "IsLongUnapproved": true,
    "UnapprovedLoadBearingVersionKey": null,
    "OwnerRoleIsVacated": false,
    "IsOrphanedByRole": false,
    "ValidFragmentVersionKey": null
   }
  ]
 },
 "KnowledgeGaps": {
  "Description": "Known unknowns and missing procedural coverage. Explicit ERB-PKO extension used to govern scope and prevent silent incompleteness.",
  "important": false,
  "schema": [
   {
    "name": "KnowledgeGapId",
    "datatype": "string",
    "type": "raw",
    "nullable": false,
    "Description": "Stored logical identifier for one KnowledgeGaps row."
   },
   {
    "name": "Name",
    "datatype": "string",
    "type": "calculated",
    "nullable": true,
    "Description": "Human-readable calculated display alias for the KnowledgeGaps row.",
    "formula": "={{Severity}} &amp; \": \" &amp; LEFT({{Statement}}, 60)"
   },
   {
    "name": "ProcedureVersion",
    "datatype": "string",
    "type": "relationship",
    "nullable": true,
    "Description": "Affected procedure version.",
    "RelatedTo": "ProcedureVersions"
   },
   {
    "name": "Step",
    "datatype": "string",
    "type": "relationship",
    "nullable": true,
    "Description": "Affected step.",
    "RelatedTo": "Steps"
   },
   {
    "name": "Statement",
    "datatype": "string",
    "type": "raw",
    "nullable": true,
    "Description": "What is not yet known or represented."
   },
   {
    "name": "Severity",
    "datatype": "string",
    "type": "raw",
    "nullable": true,
    "Description": "Low, Medium, High, or Critical."
   },
   {
    "name": "BlockingKind",
    "datatype": "string",
    "type": "raw",
    "nullable": true,
    "Description": "Blocking or NonBlocking."
   },
   {
    "name": "Status",
    "datatype": "string",
    "type": "raw",
    "nullable": true,
    "Description": "Open, Investigating, Resolved, AcceptedRisk, or Closed."
   },
   {
    "name": "OwnerRole",
    "datatype": "string",
    "type": "relationship",
    "nullable": true,
    "Description": "Role responsible for resolving the gap.",
    "RelatedTo": "Roles"
   },
   {
    "name": "IdentifiedAt",
    "datatype": "datetime",
    "type": "raw",
    "nullable": true,
    "Description": "Time the gap was identified."
   },
   {
    "name": "ResolutionPlan",
    "datatype": "string",
    "type": "raw",
    "nullable": true,
    "Description": "Resolution plan or final resolution."
   },
   {
    "name": "IsOpen",
    "datatype": "boolean",
    "type": "calculated",
    "nullable": true,
    "Description": "TRUE when the gap remains open.",
    "formula": "=OR({{Status}} = \"Open\", {{Status}} = \"Investigating\")"
   },
   {
    "name": "OpenGapVersionKey",
    "datatype": "string",
    "type": "calculated",
    "nullable": true,
    "Description": "Echoes the ProcedureVersion id for open high-severity knowledge gaps.",
    "formula": "=IF(AND({{IsOpen}}, {{Severity}} = \"High\"), {{ProcedureVersion}}, \"\")"
   },
   {
    "name": "IsBlocking",
    "datatype": "boolean",
    "type": "calculated",
    "nullable": true,
    "Description": "TRUE when this gap is declared blocking rather than informational.",
    "formula": "={{BlockingKind}} = \"Blocking\""
   },
   {
    "name": "IsOpenAndBlocking",
    "datatype": "boolean",
    "type": "calculated",
    "nullable": true,
    "Description": "TRUE when this gap is both unresolved and declared blocking.",
    "formula": "=AND({{IsOpen}}, {{IsBlocking}})"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"DaysOpen",
    "datatype": "integer",
    "type": "calculated",
    "nullable": true,
    "Description": "Days this gap has been unresolved, or zero once closed.",
    "formula": "=IF({{IsOpen}}, DATETIME_DIFF({{AsOfInstant}}, {{IdentifiedAt}}, \"days\"), 0)"
   },
   {
    "name": "ToleranceDays",
    "datatype": "integer",
    "type": "calculated",
    "nullable": true,
    "Description": "How long a gap of this severity may remain open before it becomes a governance failure in its own right.",
    "formula": "=IF({{Severity}} = \"High\", 30, IF({{Severity}} = \"Medium\", 90, 180))"
   },
   {
    "name": "IsOverdueGap",
    "datatype": "boolean",
    "type": "calculated",
    "nullable": true,
    "Description": "TRUE when this acknowledged unknown has outlived the tolerance for its severity.",
    "formula": "={{DaysOpen}} &gt; {{ToleranceDays}}"
   },
   {
    "name": "OwnerAgent",
    "datatype": "string",
    "type": "lookup",
    "nullable": true,
    "Description": "The agent currently holding the role that owns resolving this gap.",
    "formula": "=INDEX(Roles!{{CurrentAgent}}, MATCH({{OwnerRole}}, Roles!{{RoleId}}, 0))"
   },
   {
    "name": "OwnerIsStillEngaged",
    "datatype": "boolean",
    "type": "lookup",
    "nullable": true,
    "Description": "Whether the agent responsible for closing this gap still holds a role here.",
    "formula": "=INDEX(Agents!{{IsStillEngaged}}, MATCH({{OwnerAgent}}, Agents!{{AgentId}}, 0))"
   },
   {
    "name": "HasResolutionPlan",
    "datatype": "boolean",
    "type": "calculated",
    "nullable": true,
    "Description": "TRUE when someone has written down how this gap would be closed.",
    "formula": "={{ResolutionPlan}} &lt;&gt; \"\""
   },
   {
    "name": "IsAbandonedUnknown",
    "datatype": "boolean",
    "type": "calculated",
    "nullable": true,
    "Description": "TRUE when an overdue gap has either no plan or no living owner — an admission of ignorance that nobody is acting on.",
    "formula": "=AND({{IsOverdueGap}}, OR(NOT({{HasResolutionPlan}}), NOT({{OwnerIsStillEngaged}})))"
   },
   {
    "name": "OpenBlockingGapVersionKey",
    "datatype": "string",
    "type": "calculated",
    "nullable": true,
    "Description": "Composite-key echo: this gap's procedure version when the gap is both open and blocking, blank otherwise.",
    "formula": "=IF({{IsOpenAndBlocking}}, {{ProcedureVersion}}, \"\")"
   },
   {
    "name": "OwnerRoleIsVacated",
    "datatype": "boolean",
    "type": "lookup",
    "nullable": true,
    "Description": "Whether the role that owns this gap is currently vacated.",
    "formula": "=INDEX(Roles!{{IsVacatedRole}}, MATCH({{OwnerRole}}, Roles!{{RoleId}}, 0))"
   },
   {
    "name": "IsOwnerlessOpenGap",
    "datatype": "boolean",
    "type": "calculated",
    "nullable": true,
    "Description": "An open gap whose owning role nobody currently holds — an acknowledged unknown with nobody accountable for closing it.",
    "formula": "=AND({{IsOpen}}, {{OwnerRoleIsVacated}})"
   },
   {
    "name": "SemanticTypeIri",
    "datatype": "string",
    "type": "raw",
    "nullable": true,
    "Description": "Extension class IRI."
   }
  ],
  "data": [
   {
    "KnowledgeGapId": "gap-close-dual-outage",
    "ProcedureVersion": "close-v1.1.0",
    "Step": "close-02",
    "Statement": "No validated fallback exists for simultaneous ERP and signed-snapshot repository outage.",
    "Severity": "High",
    "BlockingKind": "Blocking",
    "Status": "Resolved",
    "OwnerRole": "controller",
    "IdentifiedAt": "2026-06-20T09:00:00-05:00",
    "ResolutionPlan": "Resolved by adding offline signed export escrow.",
    "SemanticTypeIri": "urn:effortless:pko-extension#KnowledgeGap",
    "EvaluationContext": "eval-current",
    "Name": "High: No validated fallback exists for simultaneous ERP and signed",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"gap-policy-delivery-receipts",
    "ProcedureVersion": "policy-v1.0.0",
    "Step": "policy-08",
    "Statement": "SMS provider delivery receipts are not always final for ported numbers.",
    "Severity": "Medium",
    "BlockingKind": "NonBlocking",
    "Status": "Open",
    "OwnerRole": "communications-manager",
    "IdentifiedAt": "2026-07-18T16:00:00-05:00",
    "ResolutionPlan": "Pilot secondary delivery-status reconciliation.",
    "SemanticTypeIri": "urn:effortless:pko-extension#KnowledgeGap",
    "EvaluationContext": "eval-current",
    "Name": "Medium: SMS provider delivery receipts are not always final for port",
    "IsOpen": true,
    "OpenGapVersionKey": null,
    "IsBlocking": false,
    "IsOpenAndBlocking": false,
    "AsOfInstant": "2026-07-19T13:00:00-05:00",
    "DaysOpen": 0,
    "ToleranceDays": 90,
    "IsOverdueGap": false,
    "OwnerAgent": "amina-yusuf",
    "OwnerIsStillEngaged": true,
    "HasResolutionPlan": true,
    "IsAbandonedUnknown": false,
    "OpenBlockingGapVersionKey": null,
    "OwnerRoleIsVacated": false,
    "IsOwnerlessOpenGap": false
   },
   {
    "KnowledgeGapId": "gap-close-sod-unwitnessed",
    "ProcedureVersion": "close-v1.1.0",
    "Step": "close-05",
    "Statement": "req-close-separation stated the preparer may not be the final approver, but nothing evaluated it. The control existed only as prose in a Requirements row, so a violation would have been invisible.",
    "Severity": "High",
    "BlockingKind": "Blocking",
    "Status": "Resolved",
    "OwnerRole": "controller",
    "IdentifiedAt": "2026-07-19T17:30:00-05:00",
    "ResolutionPlan": "Resolved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
    "EvaluationContext": "eval-current",
    "SemanticTypeIri": "urn:effortless:pko-extension#KnowledgeGap",
    "Name": "High: req-close-separation stated the preparer may not be the fina",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"gap-close-cadence-unmeasured",
    "ProcedureVersion": "close-v1.1.0",
    "Step": null,
    "Statement": "StewardshipAssignments promised a 90-day review cadence for close-v1.1.0 and 60 days for policy-v1.0.0. Both the promise and the actual review history were in the model and nothing compared them, so a lapsed cadence was invisible.",
    "Severity": "Medium",
    "BlockingKind": "NonBlocking",
    "Status": "Resolved",
    "OwnerRole": "process-steward",
    "IdentifiedAt": "2026-07-19T18:00:00-05:00",
    "ResolutionPlan": "Resolved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
    "EvaluationContext": "eval-current",
    "SemanticTypeIri": "urn:effortless:pko-extension#KnowledgeGap",
    "Name": "Medium: StewardshipAssignments promised a 90-day</t>
  </si>
  <si>
    <t xml:space="preserve"> review cadence for ",
    "IsOpen": false,
    "OpenGapVersionKey": null,
    "IsBlocking": false,
    "IsOpenAndBlocking": false,
    "AsOfInstant": "2026-07-19T13:00:00-05:00",
    "DaysOpen": 0,
    "ToleranceDays": 90,
    "IsOverdueGap": false,
    "OwnerAgent": "elena-garcia",
    "OwnerIsStillEngaged": true,
    "HasResolutionPlan": true,
    "IsAbandonedUnknown": false,
    "OpenBlockingGapVersionKey": null,
    "OwnerRoleIsVacated": false,
    "IsOwnerlessOpenGap": false
   },
   {
    "KnowledgeGapId": "gap-roles-unauditable-holders",
    "ProcedureVersion": "close-v1.1.0",
    "Step": null,
    "Statement": "Five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
    "Severity": "High",
    "BlockingKind": "NonBlocking",
    "Status": "Resolved",
    "OwnerRole": "knowledge-authority",
    "IdentifiedAt": "2026-07-19T18:20:00-05:00",
    "ResolutionPlan": "Surfaced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
    "EvaluationContext": "eval-current",
    "SemanticTypeIri": "urn:effortless:pko-extension#KnowledgeGap",
    "Name": "High: Five of twelve roles were held only by a denormalized Roles.",
    "IsOpen": false,
    "OpenGapVersionKey": null,
    "IsBlocking": false,
    "IsOpenAndBlocking": false,
    "AsOfInstant": "2026-07-19T13:00:00-05:00",
    "DaysOpen": 0,
    "ToleranceDays": 30,
    "IsOverdueGap": false,
    "OwnerAgent": "priya-raman",
    "OwnerIsStillEngaged": true,
    "HasResolutionPlan": true,
    "IsAbandonedUnknown": false,
    "OpenBlockingGapVersionKey": null,
    "OwnerRoleIsVacated": false,
    "IsOwnerlessOpenGap": false
   },
   {
    "KnowledgeGapId": "gap-policy-consent-unenforced",
    "ProcedureVersion": "policy-v1.0.0",
    "Step": "policy-07",
    "Statement": "comm-sms-policy set ConsentRequired=true and exc-no-sms-consent documented the suppress-and-email handling, but no per-recipient delivery record existed, so a send to a non-consenting recipient was structurally invisible. req-policy-consent was a blocking control with zero satisfaction records.",
    "Severity": "Critical",
    "BlockingKind": "Blocking",
    "Status": "Resolved",
    "OwnerRole": "employment-counsel",
    "IdentifiedAt": "2026-07-19T18:40:00-05:00",
    "ResolutionPlan": "Resolved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
    "EvaluationContext": "eval-current",
    "SemanticTypeIri": "urn:effortless:pko-extension#KnowledgeGap",
    "Name": "Critical: comm-sms-policy set ConsentRequired=true and exc-no-sms-cons",
    "IsOpen": false,
    "OpenGapVersionKey": null,
    "IsBlocking": true,
    "IsOpenAndBlocking": false,
    "AsOfInstant": "2026-07-19T13:00:00-05:00",
    "DaysOpen": 0,
    "ToleranceDays": 180,
    "IsOverdueGap": false,
    "OwnerAgent": "noah-williams",
    "OwnerIsStillEngaged": true,
    "HasResolutionPlan": true,
    "IsAbandonedUnknown": false,
    "OpenBlockingGapVersionKey": null,
    "OwnerRoleIsVacated": false,
    "IsOwnerlessOpenGap": false
   },
   {
    "KnowledgeGapId": "gap-policy-quiet-hours-unenforced",
    "ProcedureVersion": "policy-v1.0.0",
    "Step": "policy-07",
    "Statement": "comm-sms-policy defined a 20:00-08:00 quiet window and nothing compared a send time against it.",
    "Severity": "High",
    "BlockingKind": "Blocking",
    "Status": "Resolved",
    "OwnerRole": "employment-counsel",
    "IdentifiedAt": "2026-07-19T18:40:00-05:00",
    "ResolutionPlan": "Resolved by MessageDeliveries.IsInsideQuietWindow and IsQuietHoursViolation, proven on md-005 (21:00 send). QuietHoursStartHour is stored rather than parsed: VALUE(LEFT(\"20:00\",2)) does not translate — the transpiler casts the string to a timestamp and the view errors.",
    "EvaluationContext": "eval-current",
    "SemanticTypeIri": "urn:effortless:pko-extension#KnowledgeGap",
    "Name": "High: comm-sms-policy defined a 20:00-08:00 quiet window and nothi",
    "IsOpen": false,
    "OpenGapVersionKey": null,
    "IsBlocking": true,
    "IsOpenAndBlocking": false,
    "AsOfInstant": "2026-07-19T13:00:00-05:00",
    "DaysOpen": 0,
    "ToleranceDays": 30,
    "IsOverdueGap": false,
    "OwnerAgent": "noah-williams",
    "OwnerIsStillEngaged": true,
    "HasResolutionPlan": true,
    "IsAbandonedUnknown": false,
    "OpenBlockingGapVersionKey": null,
    "OwnerRoleIsVacated": false,
    "IsOwnerlessOpenGap": false
   },
   {
    "KnowledgeGapId": "gap-policy-unauthorized-sends",
    "ProcedureVersion": "policy-v1.0.0",
    "Step": "policy-07",
    "Statement": "MessageTemplates carried Status=\"Approved\" as a bare string with no approval record behind it, and nothing evaluated a send BEFORE transmission. Every gate the communication policies define — consent, quiet hours, length, opt-out, approval — was checkable only after the fact, if at all.",
    "Severity": "Critical",
    "BlockingKind": "Blocking",
    "Status": "Resolved",
    "OwnerRole": "communications-manager",
    "IdentifiedAt": "2026-07-19T19:00:00-05:00",
    "ResolutionPlan": "Resolved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
    "EvaluationContext": "eval-current",
    "SemanticTypeIri": "urn:effortless:pko-extension#KnowledgeGap",
    "Name": "Critical: MessageTemplates carried Status=\"Approved\" as a bare string ",
    "IsOpen": false,
    "OpenGapVersionKey": null,
    "IsBlocking": true,
    "IsOpenAndBlocking": false,
    "AsOfInstant": "2026-07-19T13:00:00-05:00",
    "DaysOpen": 0,
    "ToleranceDays": 180,
    "IsOverdueGap": false,
    "OwnerAgent": "amina-yusuf",
    "OwnerIsStillEngaged": true,
    "HasResolutionPlan": true,
    "IsAbandonedUnknown": false,
    "OpenBlockingGapVersionKey": null,
    "OwnerRoleIsVacated": false,
    "IsOwnerlessOpenGap": false
   }
  ]
 },
 "FAQs": {
  "Description": "Frequently asked procedural questions. Maps to pko:FrequentlyAskedQuestion, question, answer, hasFAQCategory, and hasFAQTarget.",
  "important": false,
  "schema": [
   {
    "name": "FaqId",
    "datatype": "string",
    "type": "raw",
    "nullable": false,
    "Description": "Stored logical identifier for one FAQs row."
   },
   {
    "name": "Name",
    "datatype": "string",
    "type": "calculated",
    "nullable": true,
    "Description": "Human-readable calculated display alias for the FAQs row.",
    "formula": "={{Question}}"
   },
   {
    "name": "ProcedureVersion",
    "datatype": "string",
    "type": "relationship",
    "nullable": true,
    "Description": "Procedure version addressed by the FAQ.",
    "RelatedTo": "ProcedureVersions"
   },
   {
    "name": "Step",
    "datatype": "string",
    "type": "relationship",
    "nullable": true,
    "Description": "Optional step targeted by the FAQ.",
    "RelatedTo": "Steps"
   },
   {
    "name": "Category",
    "datatype": "string",
    "type": "raw",
    "nullable": true,
    "Description": "FAQ category."
   },
   {
    "name": "TargetKind",
    "datatype": "string",
    "type": "raw",
    "nullable": true,
    "Description": "Procedure, Step, Tool, Resource, or Execution."
   },
   {
    "name": "Question",
    "datatype": "string",
    "type": "raw",
    "nullable": true,
    "Description": "FAQ question; maps to pko:question."
   },
   {
    "name": "Answer",
    "datatype": "string",
    "type": "raw",
    "nullable": true,
    "Description": "Approved answer; maps to pko:answer."
   },
   {
    "name": "SemanticTypeIri",
    "datatype": "string",
    "type": "raw",
    "nullable": true,
    "Description": "Exact PKO class IRI."
   }
  ],
  "data": [
   {
    "FaqId": "faq-close-workpapers",
    "ProcedureVersion": "close-v1.1.0",
    "Step": "close-08",
    "Category": "Storage",
    "TargetKind": "Procedure",
    "Question": "Where are close workpapers stored?",
    "Answer": "In the controlled close evidence repository linked from the execution record; email attachments are not the system of record.",
    "SemanticTypeIri": "https://w3id.org/pko#FrequentlyAskedQuestion",
    "Name": "Where are close workpapers stored?"
   },
   {
    "FaqId": "faq-policy-ai",
    "ProcedureVersion": "policy-v1.0.0",
    "Step": "policy-03",
    "Category": "Authority",
    "TargetKind": "Procedure",
    "Question": "Can the drafting AI approve a workforce policy?",
    "Answer": "No. It may draft from approved sources, but a human policy owner and legal reviewer must approve the commitments.",
    "SemanticTypeIri": "https://w3id.org/pko#FrequentlyAskedQuestion",
    "Name": "Can the drafting AI approve a workforce policy?"
   },
   {
    "FaqId": "faq-policy-optout",
    "ProcedureVersion": "policy-v1.0.0",
    "Step": "policy-07",
    "Category": "Consent",
    "TargetKind": "Step",
    "Question": "What happens when an employee opts out of SMS?",
    "Answer": "The pipeline suppresses SMS and continues through the approved email channel.",
    "SemanticTypeIri": "https://w3id.org/pko#FrequentlyAskedQuestion",
    "Name": "What happens when an employee opts out of SMS?"
   }
  ]
 },
 "Explanations": {
  "Description": "Explainable derivation artifacts associated with procedural decisions. Maps to pko:Explanation and pko:hasExplanation.",
  "important": false,
  "schema": [
   {
    "name": "ExplanationId",
    "datatype": "string",
    "type": "raw",
    "nullable": false,
    "Description": "Stored logical identifier for one Explanations row."
   },
   {
    "name": "Name",
    "datatype": "string",
    "type": "calculated",
    "nullable": true,
    "Description": "Human-readable calculated display alias for the Explanations row.",
    "formula": "={{Title}}"
   },
   {
    "name": "ProcedureVersion",
    "datatype": "string",
    "type": "relationship",
    "nullable": true,
    "Description": "Procedure version explained.",
    "RelatedTo": "ProcedureVersions"
   },
   {
    "name": "Step",
    "datatype": "string",
    "type": "relationship",
    "nullable": true,
    "Description": "Step explained.",
    "RelatedTo": "Steps"
   },
   {
    "name": "Title",
    "datatype": "string",
    "type": "raw",
    "nullable": true,
    "Description": "Explanation title."
   },
   {
    "name": "Description",
    "datatype": "string",
    "type": "raw",
    "nullable": true,
    "Description": "What the explanation traces."
   },
   {
    "name": "SemanticTypeIri",
    "datatype": "string",
    "type": "raw",
    "nullable": true,
    "Description": "Exact PKO class IRI."
   }
  ],
  "data": [
   {
    "ExplanationId": "exp-close-variance",
    "ProcedureVersion": "close-v1.1.0",
    "Step": "close-04",
    "Title": "Variance escalation explanation",
    "Description": "Explains the derived path from source timestamps, materiality, recurrence, and anomaly classification to the escalation decision.",
    "SemanticTypeIri": "https://w3id.org/pko#Explanation",
    "Name": "Variance escalation explanation"
   },
   {
    "ExplanationId": "exp-policy-channel",
    "ProcedureVersion": "policy-v1.0.0",
    "Step": "policy-07",
    "Title": "Channel eligibility explanation",
    "Description": "Explains why each recipient received email, SMS, both, or an exception task based on consent and channel policy.",
    "SemanticTypeIri": "https://w3id.org/pko#Explanation",
    "Name": "Channel eligibility explanation"
   }
  ]
 },
 "ProcedureExecutions": {
  "Description": "Concrete enactments of procedure specifications. Maps to pko:ProcedureExecution and remains separate from ProcedureVersions.",
  "important": true,
  "schema": [
   {
    "name": "ProcedureExecutionId",
    "datatype": "string",
    "type": "raw",
    "nullable": false,
    "Description": "Stored logical identifier for one ProcedureExecutions row."
   },
   {
    "name": "Name",
    "datatype": "string",
    "type": "calculated",
    "nullable": true,
    "Description": "Human-readable calculated display alias for the ProcedureExecutions row.",
    "formula": "={{ProcedureVersion}} &amp; \" / \" &amp; {{Context}}"
   },
   {
    "name": "ProcedureVersion",
    "datatype": "string",
    "type": "relationship",
    "nullable": true,
    "Description": "Exact procedure specification executed; maps to pko:hasExecutedProcedure.",
    "RelatedTo": "ProcedureVersions"
   },
   {
    "name": "ExecutionStatus",
    "datatype": "string",
    "type": "raw",
    "nullable": true,
    "Description": "PKO execution status: InProgress, Completed, Paused, or Cancelled."
   },
   {
    "name": "StartedAt",
    "datatype": "datetime",
    "type": "raw",
    "nullable": true,
    "Description": "Execution start; maps to prov:startedAtTime."
   },
   {
    "name": "EndedAt",
    "datatype": "datetime",
    "type": "raw",
    "nullable": true,
    "Description": "Execution end; maps to prov:endedAtTime."
   },
   {
    "name": "ExecutedByAgent",
    "datatype": "string",
    "type": "relationship",
    "nullable": true,
    "Description": "Agent accountable for the overall execution; maps to pko:wasExecutedBy.",
    "RelatedTo": "Agents"
   },
   {
    "name": "Context",
    "datatype": "string",
    "type": "raw",
    "nullable": true,
    "Description": "Execution-specific scope or target."
   },
   {
    "name": "OperationalRecordUri",
    "datatype": "string",
    "type": "raw",
    "nullable": true,
    "Description": "Identifier in the operational execution system."
   },
   {
    "name": "ExpectedStepCount",
    "datatype": "number",
    "type": "lookup",
    "nullable": true,
    "Description": "How many steps this execution was supposed to perform.",
    "formula": "=INDEX(ProcedureVersions!{{SpecifiedStepCount}}, MATCH({{ProcedureVersion}}, ProcedureVersions!{{ProcedureVersionId}}, 0))"
   },
   {
    "name": "CompletedStepCount",
    "datatype": "number",
    "type": "aggregation",
    "nullable": true,
    "Description": "How many steps of this execution actually reached Completed.",
    "formula": "=COUNTIFS(StepExecutions!{{CompletedExecutionKey}}, {{ProcedureExecutionId}})"
   },
   {
    "name": "ControlBreachCount",
    "datatype": "number",
    "type": "aggregation",
    "nullable": true,
    "Description": "Total step executions in this run that carry at least one control breach.",
    "formula": "=COUNTIFS(StepExecutions!{{ControlBreachExecutionKey}}, {{ProcedureExecutionId}})"
   },
   {
    "name": "LateStepCount",
    "datatype": "number",
    "type": "aggregation",
    "nullable": true,
    "Description": "How many steps in this execution ran long.",
    "formula": "=COUNTIFS(StepExecutions!{{LateExecutionKey}}, {{ProcedureExecutionId}})"
   },
   {
    "name": "IsStructurallyComplete",
    "datatype": "boolean",
    "type": "calculated",
    "nullable": true,
    "Description": "TRUE when every specified step of the procedure version reached Completed in this execution.",
    "formula": "={{CompletedStepCount}} &gt;= {{ExpectedStepCount}}"
   },
   {
    "name": "DivergedFromSpecification",
    "datatype": "boolean",
    "type": "calculated",
    "nullable": true,
    "Description": "TRUE when the execution either skipped specified steps or carried at least one control breach.",
    "formula": "=OR(NOT({{IsStructurallyComplete}}), {{ControlBreachCount}} &gt; 0)"
   },
   {
    "name": "AllBlockingControlsEvaluated",
    "datatype": "boolean",
    "type": "calculated",
    "nullable": true,
    "Description": "TRUE when every blocking requirement bound to every step of this execution received a satisfaction record.",
    "formula": "={{UnevaluatedBlockingTotal}} = 0"
   },
   {
    "name": "UnevaluatedBlockingTotal",
    "datatype": "number",
    "type": "aggregation",
    "nullable": true,
    "Description": "How many step executions in this run left at least one blocking control unevaluated.",
    "formula": "=COUNTIFS(StepExecutions!{{UnevaluatedBlockingExecutionKey}}, {{ProcedureExecutionId}})"
   },
   {
    "name": "SeparationOfDutiesHeld",
    "datatype": "boolean",
    "type": "calculated",
    "nullable": true,
    "Description": "TRUE when no agent both prepared and approved within this execution.",
    "formula": "={{SeparationViolationCount}} = 0"
   },
   {
    "name": "SeparationViolationCount",
    "datatype": "number",
    "type": "aggregation",
    "nullable": true,
    "Description": "Number of segregation-of-duties violations in this execution.",
    "formula": "=COUNTIFS(StepExecutions!{{SeparationViolationExecutionKey}}, {{ProcedureExecutionId}})"
   },
   {
    "name": "IsAttestationReady",
    "datatype": "boolean",
    "type": "calculated",
    "nullable": true,
    "Description": "TRUE only when every step completed, no control breached, every blocking control was actually evaluated, and segregation of duties held.",
    "formula": "=AND({{IsStructurallyComplete}}, NOT({{DivergedFromSpecification}}), {{AllBlockingControlsEvaluated}}, {{SeparationOfDutiesHeld}})"
   },
   {
    "name": "AttestationBlockerSummary",
    "datatype": "string",
    "type": "calculated",
    "nullable": true,
    "Description": "Names the highest-severity reason the attestation cannot be signed, or empty when it can.",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
   {
    "name": "ExecutedVersionIsFit",
    "datatype": "boolean",
    "type": "lookup",
    "nullable": true,
    "Description": "Whether the procedure version this execution ran against is currently fit to execute.",
    "formula": "=INDEX(ProcedureVersions!{{IsFitToExecute}}, MATCH({{ProcedureVersion}}, ProcedureVersions!{{ProcedureVersionId}}, 0))"
   },
   {
    "name": "SignedAgainstUnfitVersion",
    "datatype": "boolean",
    "type": "calculated",
    "nullable": true,
    "Description": "TRUE when a completed execution was run against a procedure version the organization no longer stands behind.",
    "formula": "=AND({{ExecutionStatus}} = \"Completed\", NOT({{ExecutedVersionIsFit}}))"
   },
   {
    "name": "AssertedOnlyControlCount",
    "datatype": "number",
    "type": "aggregation",
    "nullable": true,
    "Description": "How many blocking controls in this execution passed on human assertion alone.",
    "formula": "=COUNTIFS(RequirementSatisfactions!{{AssertedOnlyExecutionKey}}, {{ProcedureExecutionId}})"
   },
   {
    "name": "AssuranceIsMostlyAsserted",
    "datatype": "boolean",
    "type": "calculated",
    "nullable": true,
    "Description": "TRUE when any blocking control in this execution passed without a computed witness behind it.",
    "formula": "={{AssertedOnlyControlCount}} &gt; 0"
   },
   {
    "name": "UnreachableHandlingFailureCount",
    "datatype": "number",
    "type": "aggregation",
    "nullable": true,
    "Description": "Number of deliveries in this execution where unreachable handling was wrong -- either fabricated acknowledgement or no exception invoked.",
    "formula": "=COUNTIFS(MessageDeliveries!{{UnreachableFailureKey}}, {{ProcedureExecutionId}})"
   },
   {
    "name": "RetentionBreachCount",
    "datatype": "number",
    "type": "aggregation",
    "nullable": true,
    "Description": "Number of transmitted messages in this execution whose text we no longer hold despite an active retention obligation.",
    "formula": "=COUNTIFS(MessageDeliveries!{{RetentionBreachExecutionKey}}, {{ProcedureExecutionId}})"
   },
   {
    "name": "ClearedLegalReviewCount",
    "datatype": "number",
    "type": "aggregation",
    "nullable": true,
    "Description": "How many passed legal reviews exist for this execution.",
    "formula": "=COUNTIFS(StepExecutions!{{ClearedLegalReviewKey}}, {{ProcedureExecutionId}})"
   },
   {
    "name": "HasClearedLegalReview",
    "datatype": "boolean",
    "type": "calculated",
    "nullable": true,
    "Description": "TRUE when legal review has passed for this execution.",
    "formula": "={{ClearedLegalReviewCount}} &gt; 0"
   },
   {
    "name": "AbandonedFailureCount",
    "datatype": "number",
    "type": "aggregation",
    "nullable": true,
    "Description": "Number of failed deliveries in this run that nobody picked up.",
    "formula": "=COUNTIFS(MessageDeliveries!{{AbandonedFailureExecutionKey}}, {{ProcedureExecutionId}})"
   },
   {
    "name": "DeliveredCount",
    "datatype": "number",
    "type": "aggregation",
    "nullable": true,
    "Description": "Number of confirmed-delivered messages in this run.",
    "formula": "=COUNTIFS(MessageDeliveries!{{ReachedExecutionKey}}, {{ProcedureExecutionId}})"
   },
   {
    "name": "TotalDeliveryAttemptCount",
    "datatype": "number",
    "type": "aggregation",
    "nullable": true,
    "Description": "Total delivery records of any status for this run.",
    "formula": "=COUNTIFS(MessageDeliveries!{{ProcedureExecution}}, {{ProcedureExecutionId}})"
   },
   {
    "name": "HasAbandonedFailures",
    "datatype": "boolean",
    "type": "calculated",
    "nullable": true,
    "Description": "TRUE when this run has any untriaged delivery failure.",
    "formula": "={{AbandonedFailureCount}} &gt; 0"
   },
   {
    "name": "MishandledRefusalCount",
    "datatype": "number",
    "type": "aggregation",
    "nullable": true,
    "Description": "Number of gate refusals in this run that were either overridden or silently dropped.",
    "formula": "=COUNTIFS(SendIntents!{{RefusalFailureExecutionKey}}, {{ProcedureExecutionId}})"
   },
   {
    "name": "UncleanStepCount",
    "datatype": "number",
    "type": "aggregation",
    "nullable": true,
    "Description": "Number of step executions in this run that were not clean.",
    "formula": "=COUNTIFS(StepExecutions!{{ProcedureExecutionWhenUnclean}}, {{ProcedureExecutionId}})"
   },
   {
    "name": "RanClean",
    "datatype": "boolean",
    "type": "calculated",
    "nullable": true,
    "Description": "TRUE when every step execution in this run was clean.",
    "formula": "={{UncleanStepCount}} = 0"
   },
   {
    "name": "CountOfApprovalExecutions",
    "datatype": "integer",
    "type": "aggregation",
    "nullable": true,
    "Description": "How many human approval gates were executed in this run.",
    "formula": "=COUNTIFS(StepExecutions!{{IsApprovalExecution}}, TRUE)"
   },
   {
    "name": "HasHumanApproval",
    "datatype": "boolean",
    "type": "calculated",
    "nullable": true,
    "Description": "TRUE when at least one human approval gate was executed in this run.",
    "formula": "={{CountOfApprovalExecutions}} &gt; 0"
   },
   {
    "name": "CountOfDeliveryExecutions",
    "datatype": "integer",
    "type": "aggregation",
    "nullable": true,
    "Description": "How many times the send step ran in this execution.",
    "formula": "=COUNTIFS(StepExecutions!{{Step}}, \"policy-07\")"
   },
   {
    "name": "HasDelivered",
    "datatype": "boolean",
    "type": "calculated",
    "nullable": true,
    "Description": "TRUE when this run has sent communications to employees.",
    "formula": "={{CountOfDeliveryExecutions}} &gt; 0"
   },
   {
    "name": "DeliveredWithoutApproval",
    "datatype": "boolean",
    "type": "calculated",
    "nullable": true,
    "Description": "TRUE when a run sent employee communications without executing a human approval gate.",
    "formula": "=AND({{HasDelivered}}, NOT({{HasHumanApproval}}))"
   },
   {
    "name": "InvalidApprovalCount",
    "datatype": "number",
    "type": "aggregation",
    "nullable": true,
    "Description": "Number of approval-type requirements in this run that are incomplete or non-human-evaluated.",
    "formula": "=COUNTIFS(RequirementSatisfactions!{{RunWhenInvalidApproval}}, {{ProcedureExecutionId}})"
   },
   {
    "name": "ApprovalChainIsComplete",
    "datatype": "boolean",
    "type": "calculated",
    "nullable": true,
    "Description": "TRUE when every approval-type requirement in this run is fully satisfied by a human.",
    "formula": "={{InvalidApprovalCount}} = 0"
   },
   {
    "name": "VacuouslyCleanStepCount",
    "datatype": "number",
    "type": "aggregation",
    "nullable": true,
    "Description": "How many steps in this run were clean only because nothing checked them.",
    "formula": "=COUNTIFS(StepExecutions!{{VacuouslyCleanExecutionKey}}, {{ProcedureExecutionId}})"
   },
   {
    "name": "PreparationStepCount",
    "datatype": "number",
    "type": "aggregation",
    "nullable": true,
    "Description": "How many preparation steps this execution actually ran.",
    "formula": "=COUNTIFS(StepExecutions!{{PreparationExecutionKey}}, {{ProcedureExecutionId}})"
   },
   {
    "name": "ApprovalStepCount",
    "datatype": "number",
    "type": "aggregation",
    "nullable": true,
    "Description": "How many approval steps this execution actually ran.",
    "formula": "=COUNTIFS(StepExecutions!{{ApprovalExecutionKey}}, {{ProcedureExecutionId}})"
   },
   {
    "name": "SeparationWasTestable",
    "datatype": "boolean",
    "type": "calculated",
    "nullable": true,
    "Description": "TRUE when this execution contained both a preparation step and an approval step, so segregation of duties had an opportunity to fail.",
    "formula": "=AND({{PreparationStepCount}} &gt; 0, {{ApprovalStepCount}} &gt; 0)"
   },
   {
    "name": "SeparationHeldUnderTest",
    "datatype": "boolean",
    "type": "calculated",
    "nullable": true,
    "Description": "TRUE only when segregation of duties both could have failed and did not.",
    "formula": "=AND({{SeparationWasTestable}}, {{SeparationOfDutiesHeld}})"
   },
   {
    "name": "SeparationIsVacuouslyGreen",
    "datatype": "boolean",
    "type": "calculated",
    "nullable": true,
    "Description": "TRUE when the segregation control reports as held on a run where it could not have failed.",
    "formula": "=AND({{SeparationOfDutiesHeld}}, NOT({{SeparationWasTestable}}))"
   },
   {
    "name": "SeparationAssuranceNote",
    "datatype": "string",
    "type": "calculated",
    "nullable": true,
    "Description": "The sentence that goes into the control narrative for this execution.",
    "formula": "=IF({{SeparationViolationCount}} &gt; 0, \"Violated: same agent prepared and approved.\", IF({{SeparationIsVacuouslyGreen}}, \"Not tested: this run had no preparation/approval pair.\", \"Held under test.\"))"
   },
   {
    "name": "UngovernedDivergenceCount",
    "datatype": "number",
    "type": "aggregation",
    "nullable": true,
    "Description": "How many steps in this run departed from spec with nothing authorising the departure.",
    "formula": "=COUNTIFS(StepExecutions!{{UngovernedDivergenceExecutionKey}}, {{ProcedureExecutionId}})"
   },
   {
    "name": "DivergenceWasFullyGoverned",
    "datatype": "boolean",
    "type": "calculated",
    "nullable": true,
    "Description": "TRUE when this run departed from specification and every departure was authorised.",
    "formula": "=AND({{DivergedFromSpecification}}, {{UngovernedDivergenceCount}} = 0)"
   },
   {
    "name": "ComputedlyWitnessedControlCount",
    "datatype": "number",
    "type": "aggregation",
    "nullable": true,
    "Description": "How many blocking controls in this run were cleared by something computed.",
    "formula": "=COUNTIFS(RequirementSatisfactions!{{ComputedWitnessExecutionKey}}, {{ProcedureExecutionId}})"
   },
   {
    "name": "EvaluatedControlCount",
    "datatype": "number",
    "type": "calculated",
    "nullable": true,
    "Description": "Total blocking controls actually evaluated in this run, computed and asserted together.",
    "formula": "={{ComputedlyWitnessedControlCount}} + {{AssertedOnlyControlCount}}"
   },
   {
    "name": "ComputedAssuranceRatio",
    "datatype": "number",
    "type": "calculated",
    "nullable": true,
    "Description": "The fraction of evaluated blocking controls in this run that rest on a computed witness rather than a human assertion.",
    "formula": "=IF({{EvaluatedControlCount}} = 0, 0, {{ComputedlyWitnessedControlCount}} / {{EvaluatedControlCount}})"
   },
   {
    "name": "InterestedPartyAssertionCount",
    "datatype": "number",
    "type": "aggregation",
    "nullable": true,
    "Description": "How many controls in this run were cleared by assertion from someone with an interest in the outcome.",
    "formula": "=COUNTIFS(RequirementSatisfactions!{{InterestedAssertionExecutionKey}}, {{ProcedureExecutionId}})"
   },
   {
    "name": "AssuranceGrade",
    "datatype": "string",
    "type": "calculated",
    "nullable": true,
    "Description": "Names the quality of the assurance behind this execution, worst case first.",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
   {
    "name": "AttestationWouldBeWeaklyBased",
    "datatype": "boolean",
    "type": "calculated",
    "nullable": true,
    "Description": "TRUE when the model says I may sign, but the basis for that permission is mostly or partly unwitnessed assertion.",
    "formula": "=AND({{IsAttestationReady}}, OR({{InterestedPartyAssertionCount}} &gt; 0, {{ComputedAssuranceRatio}} &lt; 0.5))"
   },
   {
    "name": "IndependentHumanObservationCount",
    "datatype": "number",
    "type": "aggregation",
    "nullable": true,
    "Description": "How many verifications in this run were independently observed by a human with evidence attached.",
    "formula": "=COUNTIFS(VerificationOutcomes!{{IndependentObservationExecutionKey}}, {{ProcedureExecutionId}})"
   },
   {
    "name": "HasAnyIndependentObservation",
    "datatype": "boolean",
    "type": "calculated",
    "nullable": true,
    "Description": "TRUE when at least one verification in this run was independently observed by a human.",
    "formula": "={{IndependentHumanObservationCount}} &gt; 0"
   },
   {
    "name": "SelfAttestedApprovalCount",
    "datatype": "number",
    "type": "aggregation",
    "nullable": true,
    "Description": "How many approval steps in this run rested on self-attestation.",
    "formula": "=COUNTIFS(StepExecutions!{{SelfAttestedApprovalExecutionKey}}, {{ProcedureExecutionId}})"
   },
   {
    "name": "AssuranceChainIsCircular",
    "datatype": "boolean",
    "type": "calculated",
    "nullable": true,
    "Description": "TRUE when every approval in this run rests on self-attestation and no independent human observation exists anywhere in it.",
    "formula": "=AND({{SelfAttestedApprovalCount}} &gt; 0, NOT({{HasAnyIndependentObservation}}))"
   },
   {
    "name": "LatestAttestationInstant",
    "datatype": "datetime",
    "type": "aggregation",
    "nullable": true,
    "Description": "The most recent signature instant for this execution.",
    "formula": "=MAXIFS(Attestations!{{SignedAt}}, Attestations!{{ProcedureExecution}}, {{ProcedureExecutionId}})"
   },
   {
    "name": "HasBeenAttested",
    "datatype": "boolean",
    "type": "calculated",
    "nullable": true,
    "Description": "TRUE when someone has signed for this execution.",
    "formula": "={{AttestationCount}} &gt; 0"
   },
   {
    "name": "AttestationCount"</t>
  </si>
  <si>
    <t xml:space="preserve">,
    "datatype": "number",
    "type": "aggregation",
    "nullable": true,
    "Description": "How many signatures exist against this execution.",
    "formula": "=COUNTIFS(Attestations!{{ProcedureExecution}}, {{ProcedureExecutionId}})"
   },
   {
    "name": "PostAttestationScoreCount",
    "datatype": "number",
    "type": "aggregation",
    "nullable": true,
    "Description": "How many controls were scored after this execution was signed.",
    "formula": "=COUNTIFS(RequirementSatisfactions!{{PostAttestationScoreExecutionKey}}, {{ProcedureExecutionId}})"
   },
   {
    "name": "BasisChangedAfterSignature",
    "datatype": "boolean",
    "type": "calculated",
    "nullable": true,
    "Description": "TRUE when controls this attestation depended on were scored after the signature was given.",
    "formula": "=AND({{HasBeenAttested}}, {{PostAttestationScoreCount}} &gt; 0)"
   },
   {
    "name": "RequiresReAttestation",
    "datatype": "boolean",
    "type": "calculated",
    "nullable": true,
    "Description": "TRUE when the basis changed after signature AND the execution no longer reads as attestable.",
    "formula": "=AND({{BasisChangedAfterSignature}}, NOT({{IsAttestationReady}}))"
   },
   {
    "name": "IntendedRecipientCount",
    "datatype": "number",
    "type": "aggregation",
    "nullable": true,
    "Description": "How many sends this campaign proposed to make.",
    "formula": "=COUNTIFS(SendIntents!{{IntentExecutionKey}}, {{ProcedureExecutionId}})"
   },
   {
    "name": "ReachedRecipientCount",
    "datatype": "number",
    "type": "aggregation",
    "nullable": true,
    "Description": "How many of those sends actually left our systems.",
    "formula": "=COUNTIFS(SendIntents!{{DeliveredIntentExecutionKey}}, {{ProcedureExecutionId}})"
   },
   {
    "name": "SilentlyDroppedCount",
    "datatype": "number",
    "type": "aggregation",
    "nullable": true,
    "Description": "How many intended recipients disappeared from this campaign with no record.",
    "formula": "=COUNTIFS(SendIntents!{{DroppedIntentExecutionKey}}, {{ProcedureExecutionId}})"
   },
   {
    "name": "DeliveryYieldPercent",
    "datatype": "number",
    "type": "calculated",
    "nullable": true,
    "Description": "Percentage of intended recipients who actually received the communication.",
    "formula": "=IF({{IntendedRecipientCount}} &gt; 0, {{ReachedRecipientCount}} * 100 / {{IntendedRecipientCount}}, 0)"
   },
   {
    "name": "CampaignSilentlyLostAudience",
    "datatype": "boolean",
    "type": "calculated",
    "nullable": true,
    "Description": "TRUE when a campaign lost intended recipients without producing any record of the loss.",
    "formula": "=({{SilentlyDroppedCount}} &gt; 0)"
   },
   {
    "name": "UnrecordedRefusalCount",
    "datatype": "number",
    "type": "aggregation",
    "nullable": true,
    "Description": "How many sends this execution refused without recording the refusal anywhere.",
    "formula": "=COUNTIFS(SendIntents!{{UnrecordedRefusalExecutionKey}}, {{ProcedureExecutionId}})"
   },
   {
    "name": "HasUnrecordedRefusals",
    "datatype": "boolean",
    "type": "calculated",
    "nullable": true,
    "Description": "TRUE when this run contains at least one refusal that left no trace anywhere.",
    "formula": "=({{UnrecordedRefusalCount}} &gt; 0)"
   },
   {
    "name": "IndependentlyConfirmedIntentCount",
    "datatype": "number",
    "type": "aggregation",
    "nullable": true,
    "Description": "How many of this execution's send decisions were corroborated by a delivery record.",
    "formula": "=COUNTIFS(SendIntents!{{IndependentlyConfirmedExecutionKey}}, {{ProcedureExecutionId}})"
   },
   {
    "name": "SendDecisionsAreEntirelySelfWitnessed",
    "datatype": "boolean",
    "type": "calculated",
    "nullable": true,
    "Description": "TRUE when no send decision in this run was confirmed by anything other than the pipeline itself.",
    "formula": "=AND({{IntendedRecipientCount}} &gt; 0, {{IndependentlyConfirmedIntentCount}} = 0)"
   },
   {
    "name": "SemanticTypeIri",
    "datatype": "string",
    "type": "raw",
    "nullable": true,
    "Description": "Exact PKO class IRI."
   }
  ],
  "data": [
   {
    "ProcedureExecutionId": "exec-close-2026-q2",
    "ProcedureVersion": "close-v1.1.0",
    "ExecutionStatus": "Completed",
    "StartedAt": "2026-06-30T17:00:00-05:00",
    "EndedAt": "2026-07-02T16:45:00-05:00",
    "ExecutedByAgent": "devon-okafor",
    "Context": "Quarter ended 2026-06-30",
    "OperationalRecordUri": "execution://finance/close/2026-q2",
    "SemanticTypeIri": "https://w3id.org/pko#ProcedureExecution",
    "Name": "close-v1.1.0 / Quarter ended 2026-06-30",
    "ExpectedStepCount": 8,
    "CompletedStepCount": 8,
    "ControlBreachCount": 2,
    "LateStepCount": 5,
    "IsStructurallyComplete": true,
    "DivergedFromSpecification": true,
    "AllBlockingControlsEvaluated": true,
    "UnevaluatedBlockingTotal": 0,
    "SeparationOfDutiesHeld": true,
    "SeparationViolationCount": 0,
    "IsAttestationReady": false,
    "AttestationBlockerSummary": "Control breach recorded on one or more steps.",
    "ExecutedVersionIsFit": false,
    "SignedAgainstUnfitVersion": true,
    "AssertedOnlyControlCount": 1,
    "AssuranceIsMostlyAsserted": true,
    "UnreachableHandlingFailureCount": 0,
    "RetentionBreachCount": 0,
    "ClearedLegalReviewCount": 0,
    "HasClearedLegalReview": false,
    "AbandonedFailureCount": 0,
    "DeliveredCount": 0,
    "TotalDeliveryAttemptCount": 0,
    "HasAbandonedFailures": false,
    "MishandledRefusalCount": 0,
    "UncleanStepCount": 5,
    "RanClean": false,
    "CountOfApprovalExecutions": 1,
    "HasHumanApproval": true,
    "CountOfDeliveryExecutions": 0,
    "HasDelivered": false,
    "DeliveredWithoutApproval": false,
    "InvalidApprovalCount": 0,
    "ApprovalChainIsComplete": true,
    "VacuouslyCleanStepCount": 1,
    "PreparationStepCount": 2,
    "ApprovalStepCount": 2,
    "SeparationWasTestable": true,
    "SeparationHeldUnderTest": true,
    "SeparationIsVacuouslyGreen": false,
    "SeparationAssuranceNote": "Held under test.",
    "UngovernedDivergenceCount": 0,
    "DivergenceWasFullyGoverned": true,
    "ComputedlyWitnessedControlCount": 5,
    "EvaluatedControlCount": 6,
    "ComputedAssuranceRatio": 0.8333333333333334,
    "InterestedPartyAssertionCount": 1,
    "AssuranceGrade": "Weak: at least one control rests on an interested-party assertion.",
    "AttestationWouldBeWeaklyBased": false,
    "IndependentHumanObservationCount": 1,
    "HasAnyIndependentObservation": true,
    "SelfAttestedApprovalCount": 2,
    "AssuranceChainIsCircular": false,
    "HasBeenAttested": false,
    "AttestationCount": 0,
    "PostAttestationScoreCount": 0,
    "BasisChangedAfterSignature": false,
    "RequiresReAttestation": false,
    "IntendedRecipientCount": 0,
    "ReachedRecipientCount": 0,
    "SilentlyDroppedCount": 0,
    "DeliveryYieldPercent": 0,
    "CampaignSilentlyLostAudience": false,
    "UnrecordedRefusalCount": 0,
    "HasUnrecordedRefusals": false,
    "IndependentlyConfirmedIntentCount": 0,
    "SendDecisionsAreEntirelySelfWitnessed": false,
    "LatestAttestationInstant": null
   },
   {
    "ProcedureExecutionId": "exec-policy-hr4821",
    "ProcedureVersion": "policy-v1.0.0",
    "ExecutionStatus": "InProgress",
    "StartedAt": "2026-07-18T09:00:00-05:00",
    "EndedAt": null,
    "ExecutedByAgent": "elena-garcia",
    "Context": "Remote-work policy revision HR-4821",
    "OperationalRecordUri": "execution://people/policy/HR-4821",
    "SemanticTypeIri": "https://w3id.org/pko#ProcedureExecution",
    "Name": "policy-v1.0.0 / Remote-work policy revision HR-4821",
    "ExpectedStepCount": 9,
    "CompletedStepCount": 4,
    "ControlBreachCount": 2,
    "LateStepCount": 2,
    "IsStructurallyComplete": false,
    "DivergedFromSpecification": true,
    "AllBlockingControlsEvaluated": true,
    "UnevaluatedBlockingTotal": 0,
    "SeparationOfDutiesHeld": true,
    "SeparationViolationCount": 0,
    "IsAttestationReady": false,
    "AttestationBlockerSummary": "Incomplete: specified steps did not all complete.",
    "ExecutedVersionIsFit": false,
    "SignedAgainstUnfitVersion": false,
    "AssertedOnlyControlCount": 2,
    "AssuranceIsMostlyAsserted": true,
    "UnreachableHandlingFailureCount": 0,
    "RetentionBreachCount": 0,
    "ClearedLegalReviewCount": 1,
    "HasClearedLegalReview": true,
    "AbandonedFailureCount": 0,
    "DeliveredCount": 4,
    "TotalDeliveryAttemptCount": 6,
    "HasAbandonedFailures": false,
    "MishandledRefusalCount": 4,
    "UncleanStepCount": 2,
    "RanClean": false,
    "CountOfApprovalExecutions": 1,
    "HasHumanApproval": true,
    "CountOfDeliveryExecutions": 0,
    "HasDelivered": false,
    "DeliveredWithoutApproval": false,
    "InvalidApprovalCount": 0,
    "ApprovalChainIsComplete": true,
    "VacuouslyCleanStepCount": 1,
    "PreparationStepCount": 0,
    "ApprovalStepCount": 0,
    "SeparationWasTestable": false,
    "SeparationHeldUnderTest": false,
    "SeparationIsVacuouslyGreen": true,
    "SeparationAssuranceNote": "Not tested: this run had no preparation/approval pair.",
    "UngovernedDivergenceCount": 2,
    "DivergenceWasFullyGoverned": false,
    "ComputedlyWitnessedControlCount": 0,
    "EvaluatedControlCount": 2,
    "ComputedAssuranceRatio": 0.0,
    "InterestedPartyAssertionCount": 2,
    "AssuranceGrade": "Weak: at least one control rests on an interested-party assertion.",
    "AttestationWouldBeWeaklyBased": false,
    "IndependentHumanObservationCount": 0,
    "HasAnyIndependentObservation": false,
    "SelfAttestedApprovalCount": 0,
    "AssuranceChainIsCircular": false,
    "HasBeenAttested": false,
    "AttestationCount": 0,
    "PostAttestationScoreCount": 0,
    "BasisChangedAfterSignature": false,
    "RequiresReAttestation": false,
    "IntendedRecipientCount": 7,
    "ReachedRecipientCount": 2,
    "SilentlyDroppedCount": 4,
    "DeliveryYieldPercent": 28.571428571428573,
    "CampaignSilentlyLostAudience": true,
    "UnrecordedRefusalCount": 4,
    "HasUnrecordedRefusals": true,
    "IndependentlyConfirmedIntentCount": 2,
    "SendDecisionsAreEntirelySelfWitnessed": false,
    "LatestAttestationInstant": null
   }
  ]
 },
 "StepExecutions": {
  "Description": "Concrete executions of specified steps. Maps to pko:StepExecution, hasExecutedStep, includesStepExecution, and nextStepExecution.",
  "important": true,
  "schema": [
   {
    "name": "StepExecutionId",
    "datatype": "string",
    "type": "raw",
    "nullable": false,
    "Description": "Stored logical identifier for one StepExecutions row."
   },
   {
    "name": "Name",
    "datatype": "string",
    "type": "calculated",
    "nullable": true,
    "Description": "Human-readable calculated display alias for the StepExecutions row.",
    "formula": "={{ProcedureExecution}} &amp; \" / \" &amp; {{Step}}"
   },
   {
    "name": "ProcedureExecution",
    "datatype": "string",
    "type": "relationship",
    "nullable": true,
    "Description": "Parent procedure execution.",
    "RelatedTo": "ProcedureExecutions"
   },
   {
    "name": "Step",
    "datatype": "string",
    "type": "relationship",
    "nullable": true,
    "Description": "Specified step executed; maps to pko:hasExecutedStep.",
    "RelatedTo": "Steps"
   },
   {
    "name": "ExecutedByAgent",
    "datatype": "string",
    "type": "relationship",
    "nullable": true,
    "Description": "Agent executing the step; maps to pko:wasExecutedBy.",
    "RelatedTo": "Agents"
   },
   {
    "name": "ExecutionStatus",
    "datatype": "string",
    "type": "raw",
    "nullable": true,
    "Description": "InProgress, Completed, Paused, Cancelled, or Failed."
   },
   {
    "name": "StartedAt",
    "datatype": "datetime",
    "type": "raw",
    "nullable": true,
    "Description": "Execution start."
   },
   {
    "name": "EndedAt",
    "datatype": "datetime",
    "type": "raw",
    "nullable": true,
    "Description": "Execution end."
   },
   {
    "name": "VerificationResult",
    "datatype": "string",
    "type": "raw",
    "nullable": true,
    "Description": "PASS, WARN, FAIL, or PENDING."
   },
   {
    "name": "Deviation",
    "datatype": "string",
    "type": "raw",
    "nullable": true,
    "Description": "Observed deviation from the specification."
   },
   {
    "name": "ActualDurationMinutes",
    "datatype": "integer",
    "type": "calculated",
    "nullable": true,
    "Description": "Observed duration in minutes.",
    "formula": "=IF({{EndedAt}} = \"\", 0, DATETIME_DIFF({{EndedAt}}, {{StartedAt}}, \"minutes\"))"
   },
   {
    "name": "ExpectedDurationMinutes",
    "datatype": "integer",
    "type": "lookup",
    "nullable": true,
    "Description": "Expected duration from the specification.",
    "formula": "=INDEX(Steps!{{ExpectedDurationMinutes}}, MATCH({{Step}}, Steps!{{StepId}}, 0))"
   },
   {
    "name": "IsLate",
    "datatype": "boolean",
    "type": "calculated",
    "nullable": true,
    "Description": "TRUE when actual duration exceeds expected duration.",
    "formula": "={{ActualDurationMinutes}} &gt; {{ExpectedDurationMinutes}}"
   },
   {
    "name": "BlockingUnmetCount",
    "datatype": "number",
    "type": "aggregation",
    "nullable": true,
    "Description": "How many blocking requirements attached to this step execution are recorded as not fully satisfied.",
    "formula": "=COUNTIFS(RequirementSatisfactions!{{StepExecution}}, {{StepExecutionId}}, RequirementSatisfactions!{{IsBlockingAndUnmet}}, TRUE)"
   },
   {
    "name": "BlockingUnmetCountSafe",
    "datatype": "number",
    "type": "aggregation",
    "nullable": true,
    "Description": "Count of blocking-but-unmet requirements on this step execution, computed via the single-criterion key so no criterion is dropped.",
    "formula": "=COUNTIFS(RequirementSatisfactions!{{BlockingUnmetStepKey}}, {{StepExecutionId}})"
   },
   {
    "name": "ProceededPastBlockingControl",
    "datatype": "boolean",
    "type": "calculated",
    "nullable": true,
    "Description": "TRUE when a step execution reached Completed even though a blocking requirement on it was never fully satisfied.",
    "formula": "=AND({{ExecutionStatus}} = \"Completed\", {{BlockingUnmetCountSafe}} &gt; 0)"
   },
   {
    "name": "ExpectedBlockingCount",
    "datatype": "number",
    "type": "lookup",
    "nullable": true,
    "Description": "How many blocking requirements this execution's step was supposed to have evaluated.",
    "formula": "=INDEX(Steps!{{BlockingRequirementCount}}, MATCH({{Step}}, Steps!{{StepId}}, 0))"
   },
   {
    "name": "EvaluatedBlockingCount",
    "datatype": "number",
    "type": "aggregation",
    "nullable": true,
    "Description": "How many blocking requirements actually received a satisfaction record on this step execution, at any level.",
    "formula": "=COUNTIFS(RequirementSatisfactions!{{BlockingSatisfactionStepKey}}, {{StepExecutionId}})"
   },
   {
    "name": "UnevaluatedBlockingCount",
    "datatype": "number",
    "type": "calculated",
    "nullable": true,
    "Description": "Blocking requirements that were bound to this step but never assessed on this execution.",
    "formula": "={{ExpectedBlockingCount}} - {{EvaluatedBlockingCount}}"
   },
   {
    "name": "HasUnevaluatedBlockingControl",
    "datatype": "boolean",
    "type": "calculated",
    "nullable": true,
    "Description": "TRUE when at least one blocking control bound to this step was never evaluated on this execution.",
    "formula": "={{UnevaluatedBlockingCount}} &gt; 0"
   },
   {
    "name": "StaleAuthoritativeSourceCount",
    "datatype": "number",
    "type": "lookup",
    "nullable": true,
    "Description": "Number of stale authoritative sources bound to the step this execution ran.",
    "formula": "=INDEX(Steps!{{AuthoritativeStaleCount}}, MATCH({{Step}}, Steps!{{StepId}}, 0))"
   },
   {
    "name": "RanOnStaleAuthoritativeSource",
    "datatype": "boolean",
    "type": "calculated",
    "nullable": true,
    "Description": "TRUE when this execution's step depends on at least one authoritative source that is outside its freshness SLA.",
    "formula": "={{StaleAuthoritativeSourceCount}} &gt; 0"
   },
   {
    "name": "HasDeviationNote",
    "datatype": "boolean",
    "type": "calculated",
    "nullable": true,
    "Description": "TRUE when a human recorded some deviation narrative on this execution.",
    "formula": "={{Deviation}} &lt;&gt; \"\""
   },
   {
    "name": "IsLateAndUnexplained",
    "datatype": "boolean",
    "type": "calculated",
    "nullable": true,
    "Description": "TRUE when the execution exceeded its expected duration and no deviation was recorded.",
    "formula": "=AND({{IsLate}}, NOT({{HasDeviationNote}}))"
   },
   {
    "name": "AvailableExceptionCountForStep",
    "datatype": "number",
    "type": "lookup",
    "nullable": true,
    "Description": "How many active exceptions were available to this execution's step.",
    "formula": "=INDEX(Steps!{{AvailableExceptionCount}}, MATCH({{Step}}, Steps!{{StepId}}, 0))"
   },
   {
    "name": "HadUninvokedExceptionAvailable",
    "datatype": "boolean",
    "type": "calculated",
    "nullable": true,
    "Description": "TRUE when an execution ran long with no explanation despite the specification defining an active exception for exactly that situation.",
    "formula": "=AND({{IsLateAndUnexplained}}, {{AvailableExceptionCountForStep}} &gt; 0)"
   },
   {
    "name": "ExpectedVerificationCount",
    "datatype": "number",
    "type": "lookup",
    "nullable": true,
    "Description": "How many verifications this execution was supposed to perform.",
    "formula": "=INDEX(Steps!{{DeclaredVerificationCount}}, MATCH({{Step}}, Steps!{{StepId}}, 0))"
   },
   {
    "name": "PerformedVerificationCount",
    "datatype": "number",
    "type": "aggregation",
    "nullable": true,
    "Description": "How many verification outcomes were actually recorded against this execution.",
    "formula": "=COUNTIFS(VerificationOutcomes!{{StepExecution}}, {{StepExecutionId}})"
   },
   {
    "name": "SkippedVerificationCount",
    "datatype": "number",
    "type": "calculated",
    "nullable": true,
    "Description": "Declared verifications with no recorded outcome on this execution.",
    "formula": "={{ExpectedVerificationCount}} - {{PerformedVerificationCount}}"
   },
   {
    "name": "HasSkippedVerification",
    "datatype": "boolean",
    "type": "calculated",
    "nullable": true,
    "Description": "TRUE when a declared verification was never performed on this execution.",
    "formula": "={{SkippedVerificationCount}} &gt; 0"
   },
   {
    "name": "ClaimsPassWithoutEvidence",
    "datatype": "boolean",
    "type": "calculated",
    "nullable": true,
    "Description": "TRUE when an execution asserts PASS while at least one declared verification has no recorded outcome.",
    "formula": "=AND({{VerificationResult}} = \"PASS\", {{HasSkippedVerification}})"
   },
   {
    "name": "StepIsPreparation",
    "datatype": "boolean",
    "type": "lookup",
    "nullable": true,
    "Description": "Whether this execution ran a preparation step.",
    "formula": "=INDEX(Steps!{{IsPreparationStep}}, MATCH({{Step}}, Steps!{{StepId}}, 0))"
   },
   {
    "name": "StepIsApproval",
    "datatype": "boolean",
    "type": "lookup",
    "nullable": true,
    "Description": "Whether this execution ran an approval step.",
    "formula": "=INDEX(Steps!{{IsApprovalStep}}, MATCH({{Step}}, Steps!{{StepId}}, 0))"
   },
   {
    "name": "PreparerAgentKey",
    "datatype": "string",
    "type": "calculated",
    "nullable": true,
    "Description": "Composite execution+agent key, emitted only for preparation steps.",
    "formula": "=IF({{StepIsPreparation}}, {{ProcedureExecution}} &amp; \"|\" &amp; {{ExecutedByAgent}}, \"\")"
   },
   {
    "name": "ApproverAgentKey",
    "datatype": "string",
    "type": "calculated",
    "nullable": true,
    "Description": "Composite execution+agent key, emitted only for approval steps.",
    "formula": "=IF({{StepIsApproval}}, {{ProcedureExecution}} &amp; \"|\" &amp; {{ExecutedByAgent}}, \"\")"
   },
   {
    "name": "PreparedByThisAgentCount",
    "datatype": "number",
    "type": "aggregation",
    "nullable": true,
    "Description": "On an approval row, how many preparation steps in the SAME procedure execution were run by this same agent.",
    "formula": "=COUNTIFS(StepExecutions!{{PreparerAgentKey}}, {{ApproverAgentKey}})"
   },
   {
    "name": "ViolatesSeparationOfDuties",
    "datatype": "boolean",
    "type": "calculated",
    "nullable": true,
    "Description": "TRUE when the agent approving this step also prepared work earlier in the same procedure execution.",
    "formula": "=AND({{StepIsApproval}}, {{PreparedByThisAgentCount}} &gt; 0)"
   },
   {
    "name": "RequiredRoleForStep",
    "datatype": "string",
    "type": "lookup",
    "nullable": true,
    "Description": "The role the specification assigns to this step.",
    "formula": "=INDEX(Steps!{{AssignedRole}}, MATCH({{Step}}, Steps!{{StepId}}, 0))"
   },
   {
    "name": "ExecutorRoleKey",
    "datatype": "string",
    "type": "calculated",
    "nullable": true,
    "Description": "The agent+role pair that would need to exist as a valid assignment for this execution to be properly authorized.",
    "formula": "={{ExecutedByAgent}} &amp; \"|\" &amp; {{RequiredRoleForStep}}"
   },
   {
    "name": "ExecutorAuthorityCount",
    "datatype": "number",
    "type": "aggregation",
    "nullable": true,
    "Description": "How many currently-valid role assignments grant this executor the role their step required.",
    "formula": "=COUNTIFS(RoleAssignments!{{AgentRoleKey}}, {{ExecutorRoleKey}})"
   },
   {
    "name": "ExecutorHeldRequiredRole",
    "datatype": "boolean",
    "type": "calculated",
    "nullable": true,
    "Description": "TRUE when the executing agent holds a currently-valid assignment to the role the step required.",
    "formula": "={{ExecutorAuthorityCount}} &gt; 0"
   },
   {
    "name": "IsUnauthorizedApproval",
    "datatype": "boolean",
    "type": "calculated",
    "nullable": true,
    "Description": "TRUE when an approval step was executed by an agent who does not hold the required approving role.",
    "formula": "=AND({{StepIsApproval}}, NOT({{ExecutorHeldRequiredRole}}))"
   },
   {
    "name": "CompletedExecutionKey",
    "datatype": "string",
    "type": "calculated",
    "nullable": true,
    "Description": "Echoes the parent execution id only for completed steps.",
    "formula": "=IF({{ExecutionStatus}} = \"Completed\", {{ProcedureExecution}}, \"\")"
   },
   {
    "name": "ControlBreachExecutionKey",
    "datatype": "string",
    "type": "calculated",
    "nullable": true,
    "Description": "Echoes the parent execution id when this step execution carries ANY control breach.",
    "formula": "=IF(OR({{ProceededPastBlockingControl}}, {{ViolatesSeparationOfDuties}}, {{IsUnauthorizedApproval}}, {{ClaimsPassWithoutEvidence}}), {{ProcedureExecution}}, \"\")"
   },
   {
    "name": "LateExecutionKey",
    "datatype": "string",
    "type": "calculated",
    "nullable": true,
    "Description": "Echoes the parent execution id only for steps that ran past their expected duration.",
    "formula": "=IF({{IsLate}}, {{ProcedureExecution}}, \"\")"
   },
   {
    "name": "ExecutorAgentKind",
    "datatype": "string",
    "type": "lookup",
    "nullable": true,
    "Description": "Human, AIAgent, or AutomatedPipeline — what kind of agent actually ran this step.",
    "formula": "=INDEX(Agents!{{AgentKind}}, MATCH({{ExecutedByAgent}}, Agents!{{AgentId}}, 0))"
   },
   {
    "name": "ExecutorIsHuman",
    "datatype": "boolean",
    "type": "calculated",
    "nullable": true,
    "Description": "TRUE when a human executed this step.",
    "formula": "={{ExecutorAgentKind}} = \"Human\""
   },
   {
    "name": "StepRequiresHumanConfirmation",
    "datatype": "boolean",
    "type": "lookup",
    "nullable": true,
    "Description": "Whether the specification requires this step to be human-confirmed.",
    "formula": "=INDEX(Steps!{{RequiresHumanConfirmation}}, MATCH({{Step}}, Steps!{{StepId}}, 0))"
   },
   {
    "name": "NonHumanRanHumanStep",
    "datatype": "boolean",
    "type": "calculated",
    "nullable": true,
    "Description": "TRUE when a step requiring human confirmation was executed by an AI agent or automated pipeline.",
    "formula": "=AND({{StepRequiresHumanConfirmation}}, NOT({{ExecutorIsHuman}}))"
   },
   {
    "name": "NonHumanApproval",
    "datatype": "boolean",
    "type": "calculated",
    "nullable": true,
    "Description": "TRUE when an approval-authority step was executed by a non-human agent, regardless of the RequiresHumanConfirmation flag.",
    "formula": "=AND({{StepIsApproval}}, NOT({{ExecutorIsHuman}}))"
   },
   {
    "name": "UnevaluatedBlockingExecutionKey",
    "datatype": "string",
    "type": "calculated",
    "nullable": true,
    "Description": "Echoes the parent execution id when this step left a blocking control unevaluated.",
    "formula": "=IF({{HasUnevaluatedBlockingControl}}, {{ProcedureExecution}}, \"\")"
   },
   {
    "name": "SeparationViolationExecutionKey",
    "datatype": "string",
    "type": "calculated",
    "nullable": true,
    "Description": "Echoes the parent execution id when this step execution violates segregation of duties.",
    "formula": "=IF({{ViolatesSeparationOfDuties}}, {{ProcedureExecution}}, \"\")"
   },
   {
    "name": "SelfWitnessedVerificationCount",
    "datatype": "number",
    "type": "aggregation",
    "nullable": true,
    "Description": "How many of this execution's verifications were observed by the same agent who ran the step.",
    "formula": "=COUNTIFS(VerificationOutcomes!{{SelfWitnessedStepKey}}, {{StepExecutionId}})"
   },
   {
    "name": "UnbackedVerificationCount",
    "datatype": "number",
    "type": "aggregation",
    "nullable": true,
    "Description": "How many verifications on this execution recorded a matching signal with no retained evidence artifact.",
    "formula": "=COUNTIFS(VerificationOutcomes!{{UnbackedStepKey}}, {{StepExecutionId}})"
   },
   {
    "name": "ApprovalRestsOnSelfAttestation",
    "datatype": "boolean",
    "type": "calculated",
    "nullable": true,
    "Description": "TRUE when an approval step's verification was either self-witnessed by the approver or never performed at all.",
    "formula": "=AND({{StepIsApproval}}, OR({{SelfWitnessedVerificationCount}} &gt; 0, {{HasSkippedVerification}}))"
   },
   {
    "name": "ExceptionInvocationCount",
    "datatype": "number",
    "type": "aggregation",
    "nullable": true,
    "Description": "How many specified exceptions were invoked during this step execution.",
    "formula": "=COUNTIFS(ExceptionInvocations!{{StepExecution}}, {{StepExecutionId}})"
   },
   {
    "name": "RanUnderException",
    "datatype": "boolean",
    "type": "calculated",
    "nullable": true,
    "Description": "TRUE when this execution invoked at least one specified exception.",
    "formula": "={{ExceptionInvocationCount}} &gt; 0"
   },
   {
    "name": "IsCompleted",
    "datatype": "boolean",
    "type": "calculated",
    "nullable": true,
    "Description": "TRUE when this step execution reached a completed state.",
    "formula": "={{ExecutionStatus}} = \"Completed\""
   },
   {
    "name": "IsVerificationPassed",
    "datatype": "boolean",
    "type": "calculated",
    "nullable": true,
    "Description": "TRUE only when this step execution's verification actually passed. PENDING and FAIL are both not-passed.",
    "formula": "={{VerificationResult}} = \"PASS\""
   },
   {
    "name": "IsLegalReviewStep",
    "datatype": "boolean",
    "type": "calculated",
    "nullable": true,
    "Description": "TRUE for executions of the legal and privacy review step.",
    "formula": "={{Step}} = \"policy-04\""
   },
   {
    "name": "ClearedLegalReviewKey",
    "datatype": "string",
    "type": "calculated",
    "nullable": true,
    "Description": "Carries the execution id only when this row is a PASSED legal review; empty string otherwise.",
    "formula": "=IF(AND({{IsLegalReviewStep}}, {{IsVerificationPassed}}), {{ProcedureExecution}}, \"\")"
   },
   {
    "name": "AssignedRole",
    "datatype": "string",
    "type": "lookup",
    "nullable": true,
    "Description": "The role the specification assigns to this step.",
    "formula": "=INDEX(Steps!{{AssignedRole}}, MATCH({{Step}}, Steps!{{StepId}}, 0))"
   },
   {
    "name": "RoleCurrentAgent",
    "datatype": "string",
    "type": "lookup",
    "nullable": true,
    "Description": "The agent currently designated to hold the step's assigned role.",
    "formula": "=INDEX(Roles!{{CurrentAgent}}, MATCH({{AssignedRole}}, Roles!{{RoleId}}, 0))"
   },
   {
    "name": "ExecutorIsDesignatedAgent",
    "datatype": "boolean",
    "type": "calculated",
    "nullable": true,
    "Description": "TRUE when the agent that executed the step is the agent currently designated for the step's role.",
    "formula": "={{ExecutedByAgent}} = {{RoleCurrentAgent}}"
   },
   {
    "name": "InputsWereFreshAtRun",
    "datatype": "boolean",
    "type": "lookup",
    "nullable": true,
    "Description": "Freshness verdict for the step this execution ran.",
    "formula": "=INDEX(Steps!{{InputsAreFresh}}, MATCH({{Step}}, Steps!{{StepId}}, 0))"
   },
   {
    "name": "RanOnStaleInputs",
    "datatype": "boolean",
    "type": "calculated",
    "nullable": true,
    "Description": "TRUE when an execution completed even though its step's authoritative inputs are stale.",
    "formula": "=AND({{ExecutionStatus}} = \"Completed\", NOT({{InputsWereFreshAtRun}}))"
   },
   {
    "name": "UnresolvedIssueCount",
    "datatype": "number",
    "type": "aggregation",
    "nullable": true,
    "Description": "Number of unresolved issue occurrences recorded against this execution.",
    "formula": "=COUNTIFS(IssueOccurrences!{{StepExecutionWhenUnresolved}}, {{StepExecutionId}})"
   },
   {
    "name": "HasDeviation",
    "datatype": "boolean",
    "type": "calculated",
    "nullable": true,
    "Description": "TRUE when a deviation from the specification was recorded.",
    "formula": "={{Deviation}} &lt;&gt; \"\""
   },
   {
    "name": "IsClean",
    "datatype": "boolean",
    "type": "calculated",
    "nullable": true,
    "Description": "TRUE when this execution passed verification, deviated from nothing, left no open issue, and finished on time.",
    "formula": "=AND({{VerificationResult}} = \"PASS\", NOT({{HasDeviation}}), {{UnresolvedIssueCount}} = 0, NOT({{IsLate}}))"
   },
   {
    "name": "ProcedureExecutionWhenUnclean",
    "datatype": "string",
    "type": "calculated",
    "nullable": true,
    "Description": "Echoes the parent execution id when this step execution is not clean, blank otherwise.",
    "formula": "=IF({{IsClean}}, \"\", {{ProcedureExecution}})"
   },
   {
    "name": "EvaluatedRequirementCount",
    "datatype": "number",
    "type": "aggregation",
    "nullable": true,
    "Description": "Number of requirements actually scored against this execution.",
    "formula": "=COUNTIFS(RequirementSatisfactions!{{StepExecutionWhenScored}}, {{StepExecutionId}})"
   },
   {
    "name": "RequiredBlockingCount",
    "datatype": "integer",
    "type": "lookup",
    "nullable": true,
    "Description": "Number of blocking requirements the specification demands for this step.",
    "formula": "=INDEX(Steps!{{BlockingRequirementCount}}, MATCH({{Step}}, Steps!{{StepId}}, 0))"
   },
   {
    "name": "HasUnevaluatedBlockingRequirement",
    "datatype": "boolean",
    "type": "calculated",
    "nullable": true,
    "Description": "TRUE when fewer requirements were scored than the step has blocking requirements.",
    "formula": "={{EvaluatedRequirementCount}} &lt; {{RequiredBlockingCount}}"
   },
   {
    "name": "ExecutingAgentKind",
    "datatype": "string",
    "type": "lookup",
    "nullable": true,
    "Description": "The kind of agent that actually performed this step execution.",
    "formula": "=INDEX(Agents!{{AgentKind}}, MATCH({{ExecutedByAgent}}, Agents!{{AgentId}}, 0))"
   },
   {
    "name": "WasExecutedBySoftware",
    "datatype": "boolean",
    "type": "calculated",
    "nullable": true,
    "Description": "TRUE when software actually performed this step.",
    "formula": "=OR({{ExecutingAgentKind}} = \"AIAgent\", {{ExecutingAgentKind}} = \"AutomatedPipeline\")"
   },
   {
    "name": "StepIsSoftwareAssigned",
    "datatype": "boolean",
    "type": "lookup",
    "nullable": true,
    "Description": "Whether the step being executed was specified as a software step.",
    "formula": "=INDEX(Steps!{{IsSoftwareAssigned}}, MATCH({{Step}}, Steps!{{StepI</t>
  </si>
  <si>
    <t xml:space="preserve">d}}, 0))"
   },
   {
    "name": "SoftwareDidHumanWork",
    "datatype": "boolean",
    "type": "calculated",
    "nullable": true,
    "Description": "TRUE when software performed a step the procedure specified for a human.",
    "formula": "=AND({{WasExecutedBySoftware}}, NOT({{StepIsSoftwareAssigned}}))"
   },
   {
    "name": "IsApprovalExecution",
    "datatype": "boolean",
    "type": "lookup",
    "nullable": true,
    "Description": "Whether this execution is of a designated human approval gate.",
    "formula": "=INDEX(Steps!{{IsHumanApprovalGate}}, MATCH({{Step}}, Steps!{{StepId}}, 0))"
   },
   {
    "name": "IsVerified",
    "datatype": "boolean",
    "type": "calculated",
    "nullable": true,
    "Description": "TRUE when this execution recorded a positive verification outcome.",
    "formula": "=AND({{VerificationResult}} &lt;&gt; \"\", {{VerificationResult}} &lt;&gt; \"PENDING\", {{VerificationResult}} &lt;&gt; \"FAIL\")"
   },
   {
    "name": "UnconfirmedNonHumanDecisionCount",
    "datatype": "number",
    "type": "aggregation",
    "nullable": true,
    "Description": "Number of material non-human decisions in this execution that no human confirmed.",
    "formula": "=COUNTIFS(AgentDecisionRecords!{{StepExecutionWhenUnconfirmed}}, {{StepExecutionId}})"
   },
   {
    "name": "RequiresHumanConfirmation",
    "datatype": "boolean",
    "type": "lookup",
    "nullable": true,
    "Description": "Whether the specification requires human confirmation for this step.",
    "formula": "=INDEX(Steps!{{RequiresHumanConfirmation}}, MATCH({{Step}}, Steps!{{StepId}}, 0))"
   },
   {
    "name": "HumanConfirmationMissing",
    "datatype": "boolean",
    "type": "calculated",
    "nullable": true,
    "Description": "TRUE when a step requiring human confirmation contains unconfirmed material non-human decisions.",
    "formula": "=AND({{RequiresHumanConfirmation}}, {{UnconfirmedNonHumanDecisionCount}} &gt; 0)"
   },
   {
    "name": "DraftedFromUnusableSource",
    "datatype": "boolean",
    "type": "calculated",
    "nullable": true,
    "Description": "TRUE when a drafting execution completed despite an unapproved or stale source at its step.",
    "formula": "=AND({{ExecutionStatus}} = \"Completed\", NOT({{InputsWereUsable}}))"
   },
   {
    "name": "InputsWereUsable",
    "datatype": "boolean",
    "type": "lookup",
    "nullable": true,
    "Description": "Source-usability verdict for the step this execution ran.",
    "formula": "=INDEX(Steps!{{AllSourcesUsable}}, MATCH({{Step}}, Steps!{{StepId}}, 0))"
   },
   {
    "name": "SoftwareExecutionStepKey",
    "datatype": "string",
    "type": "calculated",
    "nullable": true,
    "Description": "Composite-key echo: the step this execution ran when it was carried out by software, blank otherwise.",
    "formula": "=IF({{WasExecutedBySoftware}}, {{Step}}, \"\")"
   },
   {
    "name": "StepControlKind",
    "datatype": "string",
    "type": "lookup",
    "nullable": true,
    "Description": "The control kind of the step this execution ran.",
    "formula": "=INDEX(Steps!{{ControlKind}}, MATCH({{Step}}, Steps!{{StepId}}, 0))"
   },
   {
    "name": "UnfalsifiedClearanceCount",
    "datatype": "number",
    "type": "aggregation",
    "nullable": true,
    "Description": "How many of this step's blocking clearances came from controls that have never once failed.",
    "formula": "=COUNTIFS(RequirementSatisfactions!{{UnfalsifiedClearanceStepKey}}, {{StepExecutionId}})"
   },
   {
    "name": "AllClearancesAreUnfalsified",
    "datatype": "boolean",
    "type": "calculated",
    "nullable": true,
    "Description": "TRUE when every blocking control evaluated on this step is one that has never returned a negative result.",
    "formula": "=AND({{EvaluatedBlockingCount}} &gt; 0, {{UnfalsifiedClearanceCount}} &gt;= {{EvaluatedBlockingCount}})"
   },
   {
    "name": "StaleAtRunCount",
    "datatype": "number",
    "type": "aggregation",
    "nullable": true,
    "Description": "How many authoritative sources this step read that were already out of SLA when it read them.",
    "formula": "=COUNTIFS(BindingObservations!{{StaleAtRunStepKey}}, {{StepExecutionId}})"
   },
   {
    "name": "WasStaleWhenIRanIt",
    "datatype": "boolean",
    "type": "calculated",
    "nullable": true,
    "Description": "TRUE when this execution consumed at least one authoritative source that was stale at the time of reading.",
    "formula": "={{StaleAtRunCount}} &gt; 0"
   },
   {
    "name": "StalenessAnswerIsTenseDependent",
    "datatype": "boolean",
    "type": "calculated",
    "nullable": true,
    "Description": "TRUE when the as-of-now staleness verdict disagrees with the as-of-run verdict for the same step.",
    "formula": "=NOT({{WasStaleWhenIRanIt}} = {{RanOnStaleAuthoritativeSource}})"
   },
   {
    "name": "HasAnyDeclaredCheck",
    "datatype": "boolean",
    "type": "calculated",
    "nullable": true,
    "Description": "TRUE when the specification declared at least one verification or one blocking requirement for this step.",
    "formula": "=OR({{ExpectedVerificationCount}} &gt; 0, {{ExpectedBlockingCount}} &gt; 0)"
   },
   {
    "name": "PerformedCheckCount",
    "datatype": "number",
    "type": "calculated",
    "nullable": true,
    "Description": "Total number of checks actually carried out on this execution, verifications plus blocking-control evaluations.",
    "formula": "={{PerformedVerificationCount}} + {{EvaluatedBlockingCount}}"
   },
   {
    "name": "DeclaredCheckCount",
    "datatype": "number",
    "type": "calculated",
    "nullable": true,
    "Description": "Total number of checks the specification called for on this step.",
    "formula": "={{ExpectedVerificationCount}} + {{ExpectedBlockingCount}}"
   },
   {
    "name": "IsUncheckedByDesign",
    "datatype": "boolean",
    "type": "calculated",
    "nullable": true,
    "Description": "TRUE when the specification asked for no verification and no blocking control on this step at all.",
    "formula": "={{DeclaredCheckCount}} = 0"
   },
   {
    "name": "IsVacuouslyClean",
    "datatype": "boolean",
    "type": "calculated",
    "nullable": true,
    "Description": "TRUE when this execution reads clean and nothing was ever declared that could have made it read otherwise.",
    "formula": "=AND({{IsClean}}, {{IsUncheckedByDesign}})"
   },
   {
    "name": "IsSubstantivelyClean",
    "datatype": "boolean",
    "type": "calculated",
    "nullable": true,
    "Description": "TRUE when this execution is clean AND every declared check was actually performed.",
    "formula": "=AND({{IsClean}}, {{PerformedCheckCount}} &gt;= {{DeclaredCheckCount}}, {{DeclaredCheckCount}} &gt; 0)"
   },
   {
    "name": "VacuouslyCleanExecutionKey",
    "datatype": "string",
    "type": "calculated",
    "nullable": true,
    "Description": "Echoes the parent execution id when this step is vacuously clean.",
    "formula": "=IF({{IsVacuouslyClean}}, {{ProcedureExecution}}, \"\")"
   },
   {
    "name": "UncorroboratedPassCount",
    "datatype": "number",
    "type": "aggregation",
    "nullable": true,
    "Description": "How many of this step's passing verifications were observed by the executor with no evidence attached.",
    "formula": "=COUNTIFS(VerificationOutcomes!{{UncorroboratedPassStepKey}}, {{StepExecutionId}})"
   },
   {
    "name": "EvidencePositionIsWeak",
    "datatype": "boolean",
    "type": "calculated",
    "nullable": true,
    "Description": "TRUE when every verification performed on this step was an uncorroborated self-witnessed pass.",
    "formula": "=AND({{PerformedVerificationCount}} &gt; 0, {{UncorroboratedPassCount}} &gt;= {{PerformedVerificationCount}})"
   },
   {
    "name": "PreparationExecutionKey",
    "datatype": "string",
    "type": "calculated",
    "nullable": true,
    "Description": "Echoes the parent execution id when this step execution is a preparation step.",
    "formula": "=IF({{StepIsPreparation}}, {{ProcedureExecution}}, \"\")"
   },
   {
    "name": "ApprovalExecutionKey",
    "datatype": "string",
    "type": "calculated",
    "nullable": true,
    "Description": "Echoes the parent execution id when this step execution is an approval step.",
    "formula": "=IF({{StepIsApproval}}, {{ProcedureExecution}}, \"\")"
   },
   {
    "name": "HasGoverningInstrument",
    "datatype": "boolean",
    "type": "calculated",
    "nullable": true,
    "Description": "TRUE when this step's departure from spec is covered by an invoked exception or an approved change request against its procedure version.",
    "formula": "=OR({{RanUnderException}}, {{HasApprovedChangeCoverage}})"
   },
   {
    "name": "HasApprovedChangeCoverage",
    "datatype": "boolean",
    "type": "lookup",
    "nullable": true,
    "Description": "Whether the procedure version this step belongs to has an approved change request that could account for a departure.",
    "formula": "=INDEX(ProcedureVersions!{{HasApprovedChangeRequest}}, MATCH({{VersionOfStep}}, ProcedureVersions!{{ProcedureVersionId}}, 0))"
   },
   {
    "name": "VersionOfStep",
    "datatype": "string",
    "type": "lookup",
    "nullable": true,
    "Description": "The procedure version this step execution's specification step belongs to.",
    "formula": "=INDEX(Steps!{{ProcedureVersion}}, MATCH({{Step}}, Steps!{{StepId}}, 0))"
   },
   {
    "name": "IsUngovernedDivergence",
    "datatype": "boolean",
    "type": "calculated",
    "nullable": true,
    "Description": "TRUE when this step departed from specification and no exception or approved change covers it.",
    "formula": "=AND(OR({{HasDeviation}}, {{IsLate}}, {{ProceededPastBlockingControl}}), NOT({{HasGoverningInstrument}}))"
   },
   {
    "name": "UngovernedDivergenceExecutionKey",
    "datatype": "string",
    "type": "calculated",
    "nullable": true,
    "Description": "Echoes the parent execution id when this step diverged without governance.",
    "formula": "=IF({{IsUngovernedDivergence}}, {{ProcedureExecution}}, \"\")"
   },
   {
    "name": "SelfAttestedApprovalExecutionKey",
    "datatype": "string",
    "type": "calculated",
    "nullable": true,
    "Description": "Echoes the parent execution id when this approval rested on self-attestation.",
    "formula": "=IF({{ApprovalRestsOnSelfAttestation}}, {{ProcedureExecution}}, \"\")"
   },
   {
    "name": "SemanticTypeIri",
    "datatype": "string",
    "type": "raw",
    "nullable": true,
    "Description": "Exact PKO class IRI."
   }
  ],
  "data": [
   {
    "StepExecutionId": "se-close01",
    "ProcedureExecution": "exec-close-2026-q2",
    "Step": "close-01",
    "ExecutedByAgent": "close-pipeline",
    "ExecutionStatus": "Completed",
    "StartedAt": "2026-06-30T17:00:00-05:00",
    "EndedAt": "2026-06-30T17:04:00-05:00",
    "VerificationResult": "PASS",
    "Deviation": "",
    "SemanticTypeIri": "https://w3id.org/pko#StepExecution",
    "Name": "exec-close-2026-q2 / close-01",
    "ActualDurationMinutes": 4,
    "ExpectedDurationMinutes": 5,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"close-01",
    "StepControlKind": "Extraction",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true,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"se-close02",
    "ProcedureExecution": "exec-close-2026-q2",
    "Step": "close-02",
    "ExecutedByAgent": "close-pipeline",
    "ExecutionStatus": "Completed",
    "StartedAt": "2026-06-30T17:04:00-05:00",
    "EndedAt": "2026-06-30T17:18:00-05:00",
    "VerificationResult": "WARN",
    "Deviation": "One source feed was 17 minutes old; controller approved rerun.",
    "SemanticTypeIri": "https://w3id.org/pko#StepExecution",
    "Name": "exec-close-2026-q2 / close-02",
    "ActualDurationMinutes": 14,
    "ExpectedDurationMinutes": 10,
    "IsLate": true,
    "BlockingUnmetCount": 0,
    "BlockingUnmetCountSafe": 0,
    "ProceededPastBlockingControl": false,
    "ExpectedBlockingCount": 0,
    "EvaluatedBlockingCount": 0,
    "UnevaluatedBlockingCount": 0,
    "HasUnevaluatedBlockingControl": false,
    "StaleAuthoritativeSourceCount": 1,
    "RanOnStaleAuthoritativeSource": true,
    "HasDeviationNote": true,
    "IsLateAndUnexplained": false,
    "AvailableExceptionCountForStep": 1,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"exec-close-2026-q2",
    "ExecutorAgentKind": "AutomatedPipeline",
    "ExecutorIsHuman": false,
    "StepRequiresHumanConfirmation": false,
    "NonHumanRanHumanStep": false,
    "NonHumanApproval": false,
    "UnevaluatedBlockingExecutionKey": null,
    "SeparationViolationExecutionKey": null,
    "SelfWitnessedVerificationCount": 1,
    "UnbackedVerificationCount": 0,
    "ApprovalRestsOnSelfAttestation": false,
    "ExceptionInvocationCount": 1,
    "RanUnderException": true,
    "IsCompleted": true,
    "IsVerificationPassed": false,
    "IsLegalReviewStep": false,
    "ClearedLegalReviewKey": null,
    "AssignedRole": "close-automation",
    "RoleCurrentAgent": "close-pipeline",
    "ExecutorIsDesignatedAgent": true,
    "InputsWereFreshAtRun": false,
    "RanOnStaleInputs": true,
    "UnresolvedIssueCount": 0,
    "HasDeviation": true,
    "IsClean": false,
    "ProcedureExecutionWhenUnclean": "exec-close-2026-q2",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true,
    "InputsWereUsable": false,
    "SoftwareExecutionStepKey": "close-02",
    "StepControlKind": "Extraction",
    "UnfalsifiedClearanceCount": 0,
    "AllClearancesAreUnfalsified": false,
    "StaleAtRunCount": 0,
    "WasStaleWhenIRanIt": false,
    "StalenessAnswerIsTenseDependent": true,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"se-close03",
    "ProcedureExecution": "exec-close-2026-q2",
    "Step": "close-03",
    "ExecutedByAgent": "maria-chen",
    "ExecutionStatus": "Completed",
    "StartedAt": "2026-06-30T17:18:00-05:00",
    "EndedAt": "2026-07-01T12:15:00-05:00",
    "VerificationResult": "PASS",
    "Deviation": "",
    "SemanticTypeIri": "https://w3id.org/pko#StepExecution",
    "Name": "exec-close-2026-q2 / close-03",
    "ActualDurationMinutes": 1137,
    "ExpectedDurationMinutes": 120,
    "IsLate": true,
    "BlockingUnmetCount": 1,
    "BlockingUnmetCountSafe": 1,
    "ProceededPastBlockingControl": true,
    "ExpectedBlockingCount": 2,
    "EvaluatedBlockingCount": 2,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true,
    "StepIsApproval": false,
    "PreparerAgentKey": "exec-close-2026-q2|maria-chen",
    "ApproverAgentKey": null,
    "PreparedByThisAgentCount": 10,
    "ViolatesSeparationOfDuties": false,
    "RequiredRoleForStep": "finance-analyst",
    "ExecutorRoleKey": "maria-chen|finance-analyst",
    "ExecutorAuthorityCount": 1,
    "ExecutorHeldRequiredRole": true,
    "IsUnauthorizedApproval": false,
    "CompletedExecutionKey": "exec-close-2026-q2",
    "ControlBreachExecutionKey": "exec-close-2026-q2",
    "LateExecutionKey": "exec-close-2026-q2",
    "ExecutorAgentKind": "Human",
    "ExecutorIsHuman": true,
    "StepRequiresHumanConfirmation": false,
    "NonHumanRanHumanStep": false,
    "NonHumanApproval": false,
    "UnevaluatedBlockingExecutionKey": null,
    "SeparationViolationExecutionKey": null,
    "SelfWitnessedVerificationCount": 1,
    "UnbackedVerificationCount": 1,
    "ApprovalRestsOnSelfAttestation": false,
    "ExceptionInvocationCount": 0,
    "RanUnderException": false,
    "IsCompleted": true,
    "IsVerificationPassed": true,
    "IsLegalReviewStep": false,
    "ClearedLegalReviewKey": null,
    "AssignedRole": "finance-analyst",
    "RoleCurrentAgent": "maria-chen",
    "ExecutorIsDesignatedAgent": true,
    "InputsWereFreshAtRun": true,
    "RanOnStaleInputs": false,
    "UnresolvedIssueCount": 0,
    "HasDeviation": false,
    "IsClean": false,
    "ProcedureExecutionWhenUnclean": "exec-close-2026-q2",
    "EvaluatedRequirementCount": 2,
    "RequiredBlockingCount": 2,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1,
    "AllClearancesAreUnfalsified": false,
    "StaleAtRunCount": 0,
    "WasStaleWhenIRanIt": false,
    "StalenessAnswerIsTenseDependent": false,
    "HasAnyDeclaredCheck": true,
    "PerformedCheckCount": 3,
    "DeclaredCheckCount": 3,
    "IsUncheckedByDesign": false,
    "IsVacuouslyClean": false,
    "IsSubstantivelyClean": false,
    "VacuouslyCleanExecutionKey": null,
    "UncorroboratedPassCount": 1,
    "EvidencePositionIsWeak": true,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"se-close04",
    "ProcedureExecution": "exec-close-2026-q2",
    "Step": "close-04",
    "ExecutedByAgent": "variance-ai",
    "ExecutionStatus": "Completed",
    "StartedAt": "2026-07-01T12:15:00-05:00",
    "EndedAt": "2026-07-01T15:05:00-05:00",
    "VerificationResult": "PASS",
    "Deviation": "Human analyst confirmed all material escalations.",
    "SemanticTypeIri": "https://w3id.org/pko#StepExecution",
    "Name": "exec-close-2026-q2 / close-04",
    "ActualDurationMinutes": 170,
    "ExpectedDurationMinutes": 90,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true,
    "StepIsApproval": false,
    "PreparerAgentKey": "exec-close-2026-q2|variance-ai",
    "ApproverAgentKey": null,
    "PreparedByThisAgentCount": 10,
    "ViolatesSeparationOfDuties": false,
    "RequiredRoleForStep": "variance-review-agent",
    "ExecutorRoleKey": "variance-ai|variance-review-agent",
    "ExecutorAuthorityCount": 1,
    "ExecutorHeldRequiredRole": true,
    "IsUnauthorizedApproval": false,
    "CompletedExecutionKey": "exec-close-2026-q2",
    "ControlBreachExecutionKey": null,
    "LateExecutionKey": "exec-close-2026-q2",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"variance-review-agent",
    "RoleCurrentAgent": "variance-ai",
    "ExecutorIsDesignatedAgent": true,
    "InputsWereFreshAtRun": true,
    "RanOnStaleInputs": false,
    "UnresolvedIssueCount": 0,
    "HasDeviation": true,
    "IsClean": false,
    "ProcedureExecutionWhenUnclean": "exec-close-2026-q2",
    "EvaluatedRequirementCount": 0,
    "RequiredBlockingCount": 0,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"close-04",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"se-close05",
    "ProcedureExecution": "exec-close-2026-q2",
    "Step": "close-05",
    "ExecutedByAgent": "devon-okafor",
    "ExecutionStatus": "Completed",
    "StartedAt": "2026-07-01T15:05:00-05:00",
    "EndedAt": "2026-07-01T16:10:00-05:00",
    "VerificationResult": "PASS",
    "Deviation": "",
    "SemanticTypeIri": "https://w3id.org/pko#StepExecution",
    "Name": "exec-close-2026-q2 / close-05",
    "ActualDurationMinutes": 65,
    "ExpectedDurationMinutes": 60,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false,
    "StepIsApproval": true,
    "PreparerAgentKey": null,
    "ApproverAgentKey": "exec-close-2026-q2|devon-okafor",
    "PreparedByThisAgentCount": 0,
    "ViolatesSeparationOfDuties": false,
    "RequiredRoleForStep": "controller",
    "ExecutorRoleKey": "devon-okafor|controller",
    "ExecutorAuthorityCount": 1,
    "ExecutorHeldRequiredRole": true,
    "IsUnauthorizedApproval": false,
    "CompletedExecutionKey": "exec-close-2026-q2",
    "ControlBreachExecutionKey": null,
    "LateExecutionKey": "exec-close-2026-q2",
    "ExecutorAgentKind": "Human",
    "ExecutorIsHuman": true,
    "StepRequiresHumanConfirmation": true,
    "NonHumanRanHumanStep": false,
    "NonHumanApproval": false,
    "UnevaluatedBlockingExecutionKey": null,
    "SeparationViolationExecutionKey": null,
    "SelfWitnessedVerificationCount": 1,
    "UnbackedVerificationCount": 0,
    "ApprovalRestsOnSelfAttestation": true,
    "ExceptionInvocationCount": 0,
    "RanUnderException": false,
    "IsCompleted": true,
    "IsVerificationPassed": true,
    "IsLegalReviewStep": false,
    "ClearedLegalReviewKey": null,
    "AssignedRole": "controller",
    "RoleCurrentAgent": "devon-okafor",
    "ExecutorIsDesignatedAgent": true,
    "InputsWereFreshAtRun": true,
    "RanOnStaleInputs": false,
    "UnresolvedIssueCount": 0,
    "HasDeviation": false,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"se-close06",
    "ProcedureExecution": "exec-close-2026-q2",
    "Step": "close-06",
    "ExecutedByAgent": "priya-raman",
    "ExecutionStatus": "Completed",
    "StartedAt": "2026-07-02T09:00:00-05:00",
    "EndedAt": "2026-07-02T09:22:00-05:00",
    "VerificationResult": "PASS",
    "Deviation": "",
    "SemanticTypeIri": "https://w3id.org/pko#StepExecution",
    "Name": "exec-close-2026-q2 / close-06",
    "ActualDurationMinutes": 22,
    "ExpectedDurationMinutes": 30,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1,
    "HadUninvokedExceptionAvailable": false,
    "ExpectedVerificationCount": 1,
    "PerformedVerificationCount": 0,
    "SkippedVerificationCount": 1,
    "HasSkippedVerification": true,
    "ClaimsPassWithoutEvidence": true,
    "StepIsPreparation": false,
    "StepIsApproval": true,
    "PreparerAgentKey": null,
    "ApproverAgentKey": "exec-close-2026-q2|priya-raman",
    "PreparedByThisAgentCount": 0,
    "ViolatesSeparationOfDuties": false,
    "RequiredRoleForStep": "cfo",
    "ExecutorRoleKey": "priya-raman|cfo",
    "ExecutorAuthorityCount": 1,
    "ExecutorHeldRequiredRole": true,
    "IsUnauthorizedApproval": false,
    "CompletedExecutionKey": "exec-close-2026-q2",
    "ControlBreachExecutionKey": "exec-close-2026-q2",
    "LateExecutionKey": null,
    "ExecutorAgentKind": "Human",
    "ExecutorIsHuman": true,
    "StepRequiresHumanConfi</t>
  </si>
  <si>
    <t xml:space="preserve">rmation": true,
    "NonHumanRanHumanStep": false,
    "NonHumanApproval": false,
    "UnevaluatedBlockingExecutionKey": null,
    "SeparationViolationExecutionKey": null,
    "SelfWitnessedVerificationCount": 0,
    "UnbackedVerificationCount": 0,
    "ApprovalRestsOnSelfAttestation": true,
    "ExceptionInvocationCount": 0,
    "RanUnderException": false,
    "IsCompleted": true,
    "IsVerificationPassed": true,
    "IsLegalReviewStep": false,
    "ClearedLegalReviewKey": null,
    "AssignedRole": "cfo",
    "RoleCurrentAgent": "priya-raman",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"Human",
    "WasExecutedBySoftware": false,
    "StepIsSoftwareAssigned": false,
    "SoftwareDidHumanWork": false,
    "IsApprovalExecution": true,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"se-close07",
    "ProcedureExecution": "exec-close-2026-q2",
    "Step": "close-07",
    "ExecutedByAgent": "close-pipeline",
    "ExecutionStatus": "Completed",
    "StartedAt": "2026-07-02T09:22:00-05:00",
    "EndedAt": "2026-07-02T09:39:00-05:00",
    "VerificationResult": "PASS",
    "Deviation": "",
    "SemanticTypeIri": "https://w3id.org/pko#StepExecution",
    "Name": "exec-close-2026-q2 / close-07",
    "ActualDurationMinutes": 17,
    "ExpectedDurationMinutes": 20,
    "IsLate": false,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"close-07",
    "StepControlKind": "Publication",
    "UnfalsifiedClearanceCount": 0,
    "AllClearancesAreUnfalsified": false,
    "StaleAtRunCount": 0,
    "WasStaleWhenIRanIt": false,
    "StalenessAnswerIsTenseDependent": false,
    "HasAnyDeclaredCheck": false,
    "PerformedCheckCount": 0,
    "DeclaredCheckCount": 0,
    "IsUncheckedByDesign": true,
    "IsVacuouslyClean": true,
    "IsSubstantivelyClean": false,
    "VacuouslyCleanExecutionKey": "exec-close-2026-q2",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"se-close08",
    "ProcedureExecution": "exec-close-2026-q2",
    "Step": "close-08",
    "ExecutedByAgent": "elena-garcia",
    "ExecutionStatus": "Completed",
    "StartedAt": "2026-07-02T14:00:00-05:00",
    "EndedAt": "2026-07-02T16:45:00-05:00",
    "VerificationResult": "PASS",
    "Deviation": "Retrospective captured timestamp failure mode.",
    "SemanticTypeIri": "https://w3id.org/pko#StepExecution",
    "Name": "exec-close-2026-q2 / close-08",
    "ActualDurationMinutes": 165,
    "ExpectedDurationMinutes": 45,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"exec-close-2026-q2",
    "ControlBreachExecutionKey": null,
    "LateExecutionKey": "exec-close-2026-q2",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true,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"Retrospective",
    "UnfalsifiedClearanceCount": 0,
    "AllClearancesAreUnfalsified": false,
    "StaleAtRunCount": 0,
    "WasStaleWhenIRanIt": false,
    "StalenessAnswerIsTenseDependent": false,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"se-policy01",
    "ProcedureExecution": "exec-policy-hr4821",
    "Step": "policy-01",
    "ExecutedByAgent": "elena-garcia",
    "ExecutionStatus": "Completed",
    "StartedAt": "2026-07-18T09:00:00-05:00",
    "EndedAt": "2026-07-18T09:24:00-05:00",
    "VerificationResult": "PASS",
    "Deviation": "",
    "SemanticTypeIri": "https://w3id.org/pko#StepExecution",
    "Name": "exec-policy-hr4821 / policy-01",
    "ActualDurationMinutes": 24,
    "ExpectedDurationMinutes": 30,
    "IsLate": false,
    "BlockingUnmetCount": 0,
    "BlockingUnmetCountSafe": 0,
    "ProceededPastBlockingControl": false,
    "ExpectedBlockingCount": 0,
    "EvaluatedBlockingCount": 0,
    "UnevaluatedBlockingCount": 0,
    "HasUnevaluatedBlockingControl": false,
    "StaleAuthoritativeSourceCount": 1,
    "RanOnStaleAuthoritativeSource": true,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"hr-policy-owner",
    "ExecutorRoleKey": "elena-garcia|hr-policy-owner",
    "ExecutorAuthorityCount": 1,
    "ExecutorHeldRequiredRole": true,
    "IsUnauthorizedApproval": false,
    "CompletedExecutionKey": "exec-policy-hr4821",
    "ControlBreachExecutionKey": null,
    "LateExecutionKey": null,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"hr-policy-owner",
    "RoleCurrentAgent": "elena-garcia",
    "ExecutorIsDesignatedAgent": true,
    "InputsWereFreshAtRun": false,
    "RanOnStaleInputs": true,
    "UnresolvedIssueCount": 0,
    "HasDeviation": false,
    "IsClean": true,
    "ProcedureExecutionWhenUnclean": null,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true,
    "InputsWereUsable": false,
    "SoftwareExecutionStepKey": null,
    "StepControlKind": "Preparation",
    "UnfalsifiedClearanceCount": 0,
    "AllClearancesAreUnfalsified": false,
    "StaleAtRunCount": 0,
    "WasStaleWhenIRanIt": false,
    "StalenessAnswerIsTenseDependent": true,
    "HasAnyDeclaredCheck": false,
    "PerformedCheckCount": 0,
    "DeclaredCheckCount": 0,
    "IsUncheckedByDesign": true,
    "IsVacuouslyClean": true,
    "IsSubstantivelyClean": false,
    "VacuouslyCleanExecutionKey": "exec-policy-hr4821",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"se-policy02",
    "ProcedureExecution": "exec-policy-hr4821",
    "Step": "policy-02",
    "ExecutedByAgent": "elena-garcia",
    "ExecutionStatus": "Completed",
    "StartedAt": "2026-07-18T09:30:00-05:00",
    "EndedAt": "2026-07-18T12:45:00-05:00",
    "VerificationResult": "PASS",
    "Deviation": "",
    "SemanticTypeIri": "https://w3id.org/pko#StepExecution",
    "Name": "exec-policy-hr4821 / policy-02",
    "ActualDurationMinutes": 195,
    "ExpectedDurationMinutes": 180,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true,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"exec-policy-hr4821",
    "ControlBreachExecutionKey": null,
    "LateExecutionKey": "exec-policy-hr4821",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false,
    "IsClean": false,
    "ProcedureExecutionWhenUnclean": "exec-policy-hr4821",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"StepExecutionId": "se-policy03",
    "ProcedureExecution": "exec-policy-hr4821",
    "Step": "policy-03",
    "ExecutedByAgent": "policy-drafting-ai",
    "ExecutionStatus": "Completed",
    "StartedAt": "2026-07-18T13:00:00-05:00",
    "EndedAt": "2026-07-18T14:02:00-05:00",
    "VerificationResult": "PASS",
    "Deviation": "",
    "SemanticTypeIri": "https://w3id.org/pko#StepExecution",
    "Name": "exec-policy-hr4821 / policy-03",
    "ActualDurationMinutes": 62,
    "ExpectedDurationMinutes": 90,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"policy-drafting-agent",
    "ExecutorRoleKey": "policy-drafting-ai|policy-drafting-agent",
    "ExecutorAuthorityCount": 1,
    "ExecutorHeldRequiredRole": true,
    "IsUnauthorizedApproval": false,
    "CompletedExecutionKey": "exec-policy-hr4821",
    "ControlBreachExecutionKey": "exec-policy-hr4821",
    "LateExecutionKey": null,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"policy-drafting-agent",
    "RoleCurrentAgent": "policy-drafting-ai",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"policy-03",
    "StepControlKind": "Preparation",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"se-policy04",
    "ProcedureExecution": "exec-policy-hr4821",
    "Step": "policy-04",
    "ExecutedByAgent": "noah-williams",
    "ExecutionStatus": "Completed",
    "StartedAt": "2026-07-19T09:00:00-05:00",
    "EndedAt": "2026-07-19T13:45:00-05:00",
    "VerificationResult": "PASS",
    "Deviation": "Legal review in progress.",
    "SemanticTypeIri": "https://w3id.org/pko#StepExecution",
    "Name": "exec-policy-hr4821 / policy-04",
    "ActualDurationMinutes": 285,
    "ExpectedDurationMinutes": 120,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"employment-counsel",
    "ExecutorRoleKey": "noah-williams|employment-counsel",
    "ExecutorAuthorityCount": 1,
    "ExecutorHeldRequiredRole": true,
    "IsUnauthorizedApproval": false,
    "CompletedExecutionKey": "exec-policy-hr4821",
    "ControlBreachExecutionKey": "exec-policy-hr4821",
    "LateExecutionKey": "exec-policy-hr4821",
    "ExecutorAgentKind": "Human",
    "ExecutorIsHuman": true,
    "StepRequiresHumanConfirmation": true,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true,
    "ClearedLegalReviewKey": "exec-policy-hr4821",
    "AssignedRole": "employment-counsel",
    "RoleCurrentAgent": "noah-williams",
    "ExecutorIsDesignatedAgent": true,
    "InputsWereFreshAtRun": true,
    "RanOnStaleInputs": false,
    "UnresolvedIssueCount": 1,
    "HasDeviation": true,
    "IsClean": false,
    "ProcedureExecutionWhenUnclean": "exec-policy-hr4821",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"LegalReview",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
 "RequirementSatisfactions": {
  "Description": "Execution-time evaluations of requirements. Maps to pko:RequirementSatisfaction, refersToRequirement, and hasRequirementSatisfactionLevel.",
  "important": false,
  "schema": [
   {
    "name": "RequirementSatisfactionId",
    "datatype": "string",
    "type": "raw",
    "nullable": false,
    "Description": "Stored logical identifier for one RequirementSatisfactions row."
   },
   {
    "name": "Name",
    "datatype": "string",
    "type": "calculated",
    "nullable": true,
    "Description": "Human-readable calculated display alias for the RequirementSatisfactions row.",
    "formula": "={{Requirement}} &amp; \" / \" &amp; {{SatisfactionLevel}}"
   },
   {
    "name": "StepExecution",
    "datatype": "string",
    "type": "relationship",
    "nullable": true,
    "Description": "Execution being evaluated.",
    "RelatedTo": "StepExecutions"
   },
   {
    "name": "Requirement",
    "datatype": "string",
    "type": "relationship",
    "nullable": true,
    "Description": "Requirement evaluated.",
    "RelatedTo": "Requirements"
   },
   {
    "name": "SatisfactionLevel",
    "datatype": "string",
    "type": "raw",
    "nullable": true,
    "Description": "NotEvaluated, NotSatisfied, PartiallySatisfied, or Satisfied."
   },
   {
    "name": "Evidence",
    "datatype": "string",
    "type": "raw",
    "nullable": true,
    "Description": "Evidence supporting the evaluation."
   },
   {
    "name": "EvaluatedByAgent",
    "datatype": "string",
    "type": "relationship",
    "nullable": true,
    "Description": "Agent that evaluated satisfaction.",
    "RelatedTo": "Agents"
   },
   {
    "name": "EvaluatedAt",
    "datatype": "datetime",
    "type": "raw",
    "nullable": true,
    "Description": "Evaluation timestamp."
   },
   {
    "name": "RequirementIsBlocking",
    "datatype": "boolean",
    "type": "lookup",
    "nullable": true,
    "Description": "Whether the requirement being evaluated on this satisfaction row is a blocking control.",
    "formula": "=INDEX(Requirements!{{IsBlocking}}, MATCH({{Requirement}}, Requirements!{{RequirementId}}, 0))"
   },
   {
    "name": "IsFullySatisfied",
    "datatype": "boolean",
    "type": "calculated",
    "nullable": true,
    "Description": "TRUE only when the requirement is recorded as fully Satisfied. PartiallySatisfied, Unsatisfied, Waived, and blank are all FALSE.",
    "formula": "={{SatisfactionLevel}} = \"Satisfied\""
   },
   {
    "name": "IsBlockingAndUnmet",
    "datatype": "boolean",
    "type": "calculated",
    "nullable": true,
    "Description": "TRUE when a blocking requirement is recorded at anything less than fully Satisfied. This is the control-failure witness at the requirement grain.",
    "formula": "=AND({{RequirementIsBlocking}}, NOT({{IsFullySatisfied}}))"
   },
   {
    "name": "BlockingUnmetStepKey",
    "datatype": "string",
    "type": "calculated",
    "nullable": true,
    "Description": "Echoes the parent StepExecution id only when this row is a blocking-unmet violation; empty string otherwise.",
    "formula": "=IF({{IsBlockingAndUnmet}}, {{StepExecution}}, \"\")"
   },
   {
    "name": "BlockingSatisfactionStepKey",
    "datatype": "string",
    "type": "calculated",
    "nullable": true,
    "Description": "Echoes the parent StepExecution id when this satisfaction row concerns a blocking requirement.",
    "formula": "=IF({{RequirementIsBlocking}}, {{StepExecution}}, \"\")"
   },
   {
    "name": "NegativeOutcomeRequirementKey",
    "datatype": "string",
    "type": "calculated",
    "nullable": true,
    "Description": "Echoes the Requirement id only when this evaluation came out at less than fully Satisfied.",
    "formula": "=IF(NOT({{IsFullySatisfied}}), {{Requirement}}, \"\")"
   },
   {
    "name": "EvaluatorAgentKind",
    "datatype": "string",
    "type": "lookup",
    "nullable": true,
    "Description": "What kind of agent evaluated this requirement satisfaction.",
    "formula": "=INDEX(Agents!{{AgentKind}}, MATCH({{EvaluatedByAgent}}, Agents!{{AgentId}}, 0))"
   },
   {
    "name": "NonHumanEvaluatedHumanControl",
    "datatype": "boolean",
    "type": "calculated",
    "nullable": true,
    "Description": "TRUE when a blocking requirement was evaluated by a non-human agent.",
    "formula": "=AND({{RequirementIsBlocking}}, {{EvaluatorAgentKind}} &lt;&gt; \"Human\")"
   },
   {
    "name": "RequirementHasComputedWitness",
    "datatype": "boolean",
    "type": "lookup",
    "nullable": true,
    "Description": "Whether the requirement this row evaluates has a computed witness behind it.",
    "formula": "=INDEX(Requirements!{{HasComputedWitness}}, MATCH({{Requirement}}, Requirements!{{RequirementId}}, 0))"
   },
   {
    "name": "IsAssertedOnly",
    "datatype": "boolean",
    "type": "calculated",
    "nullable": true,
    "Description": "TRUE when a blocking requirement is recorded as Satisfied purely on human assertion, with no computed predicate behind it.",
    "formula": "=AND({{RequirementIsBlocking}}, {{IsFullySatisfied}}, NOT({{RequirementHasComputedWitness}}))"
   },
   {
    "name": "AssertedOnlyExecutionKey",
    "datatype": "string",
    "type": "calculated",
    "nullable": true,
    "Description": "Echoes the grandparent procedure execution id for assertion-only satisfactions.",
    "formula": "=IF({{IsAssertedOnly}}, {{ParentProcedureExecution}}, \"\")"
   },
   {
    "name": "ParentProcedureExecution",
    "datatype": "string",
    "type": "lookup",
    "nullable": true,
    "Description": "The procedure execution this satisfaction ultimately belongs to.",
    "formula": "=INDEX(StepExecutions!{{ProcedureExecution}}, MATCH({{StepExecution}}, StepExecutions!{{StepExecutionId}}, 0))"
   },
   {
    "name": "StepExecutionWhenScored",
    "datatype": "string",
    "type": "calculated",
    "nullable": true,
    "Description": "Echoes the step-execution id when a satisfaction level was actually recorded, blank otherwise.",
    "formula": "=IF({{SatisfactionLevel}} &lt;&gt; \"\", {{StepExecution}}, \"\")"
   },
   {
    "name": "IsHumanEvaluated",
    "datatype": "boolean",
    "type": "calculated",
    "nullable": true,
    "Description": "TRUE w</t>
  </si>
  <si>
    <t xml:space="preserve">hen a human evaluated this requirement satisfaction.",
    "formula": "={{EvaluatorAgentKind}} = \"Human\""
   },
   {
    "name": "RequirementIsApprovalType",
    "datatype": "string",
    "type": "lookup",
    "nullable": true,
    "Description": "The requirement's type, e.g. Approval, Control, Privacy.",
    "formula": "=INDEX(Requirements!{{RequirementType}}, MATCH({{Requirement}}, Requirements!{{RequirementId}}, 0))"
   },
   {
    "name": "IsInvalidApproval",
    "datatype": "boolean",
    "type": "calculated",
    "nullable": true,
    "Description": "TRUE when an approval-type requirement is not fully satisfied, or was not evaluated by a human.",
    "formula": "=AND({{RequirementIsApprovalType}} = \"Approval\", OR(NOT({{IsFullySatisfied}}), NOT({{IsHumanEvaluated}})))"
   },
   {
    "name": "ProcedureExecutionOfSatisfaction",
    "datatype": "string",
    "type": "lookup",
    "nullable": true,
    "Description": "The run this satisfaction belongs to.",
    "formula": "=INDEX(StepExecutions!{{ProcedureExecution}}, MATCH({{StepExecution}}, StepExecutions!{{StepExecutionId}}, 0))"
   },
   {
    "name": "RunWhenInvalidApproval",
    "datatype": "string",
    "type": "calculated",
    "nullable": true,
    "Description": "Echoes the run id when this is an invalid approval, blank otherwise.",
    "formula": "=IF({{IsInvalidApproval}}, {{ProcedureExecutionOfSatisfaction}}, \"\")"
   },
   {
    "name": "RequirementIsUnfalsified",
    "datatype": "boolean",
    "type": "lookup",
    "nullable": true,
    "Description": "Whether the requirement behind this satisfaction record has never once returned a negative result.",
    "formula": "=INDEX(Requirements!{{IsUnfalsifiedControl}}, MATCH({{Requirement}}, Requirements!{{RequirementId}}, 0))"
   },
   {
    "name": "IsClearanceByUnfalsifiedControl",
    "datatype": "boolean",
    "type": "calculated",
    "nullable": true,
    "Description": "TRUE when this record cleared a step against a blocking control that has never produced a negative outcome.",
    "formula": "=AND({{IsFullySatisfied}}, {{RequirementIsBlocking}}, {{RequirementIsUnfalsified}})"
   },
   {
    "name": "UnfalsifiedClearanceStepKey",
    "datatype": "string",
    "type": "calculated",
    "nullable": true,
    "Description": "Echoes the step execution id when this clearance came from an unfalsified control.",
    "formula": "=IF({{IsClearanceByUnfalsifiedControl}}, {{StepExecution}}, \"\")"
   },
   {
    "name": "SpecStepOfExecution",
    "datatype": "string",
    "type": "lookup",
    "nullable": true,
    "Description": "The specification step behind the step execution this satisfaction was recorded against.",
    "formula": "=INDEX(StepExecutions!{{Step}}, MATCH({{StepExecution}}, StepExecutions!{{StepExecutionId}}, 0))"
   },
   {
    "name": "BindingKey",
    "datatype": "string",
    "type": "lookup",
    "nullable": true,
    "Description": "The StepRequirements binding this satisfaction record exercised.",
    "formula": "=INDEX(StepRequirements!{{StepRequirementId}}, MATCH({{RequirementSatisfactionId}}, StepRequirements!{{StepRequirementId}}, 0))"
   },
   {
    "name": "ScoredStepExecutorAgent",
    "datatype": "string",
    "type": "lookup",
    "nullable": true,
    "Description": "The agent who executed the step this satisfaction record scores.",
    "formula": "=INDEX(StepExecutions!{{ExecutedByAgent}}, MATCH({{StepExecution}}, StepExecutions!{{StepExecutionId}}, 0))"
   },
   {
    "name": "EvaluatorIsStepExecutor",
    "datatype": "boolean",
    "type": "calculated",
    "nullable": true,
    "Description": "TRUE when the agent who scored this control is the same agent who performed the step being scored.",
    "formula": "={{EvaluatedByAgent}} = {{ScoredStepExecutorAgent}}"
   },
   {
    "name": "RunOwnerAgent",
    "datatype": "string",
    "type": "lookup",
    "nullable": true,
    "Description": "The agent accountable for the whole procedure execution this satisfaction sits inside.",
    "formula": "=INDEX(ProcedureExecutions!{{ExecutedByAgent}}, MATCH({{ParentProcedureExecution}}, ProcedureExecutions!{{ProcedureExecutionId}}, 0))"
   },
   {
    "name": "EvaluatorOwnsTheRun",
    "datatype": "boolean",
    "type": "calculated",
    "nullable": true,
    "Description": "TRUE when the agent scoring this control is the agent accountable for the execution it belongs to.",
    "formula": "={{EvaluatedByAgent}} = {{RunOwnerAgent}}"
   },
   {
    "name": "IsInterestedPartyAssertion",
    "datatype": "boolean",
    "type": "calculated",
    "nullable": true,
    "Description": "TRUE when a blocking control's only evidence is an assertion made by someone with an interest in the outcome.",
    "formula": "=AND({{IsAssertedOnly}}, OR({{EvaluatorIsStepExecutor}}, {{EvaluatorOwnsTheRun}}))"
   },
   {
    "name": "HasWrittenEvidence",
    "datatype": "boolean",
    "type": "calculated",
    "nullable": true,
    "Description": "TRUE when this satisfaction record carries any evidence text at all.",
    "formula": "={{Evidence}} &lt;&gt; \"\""
   },
   {
    "name": "IsBareAssertion",
    "datatype": "boolean",
    "type": "calculated",
    "nullable": true,
    "Description": "TRUE when a blocking control was cleared with no computed witness and no written justification.",
    "formula": "=AND({{IsAssertedOnly}}, NOT({{HasWrittenEvidence}}))"
   },
   {
    "name": "InterestedAssertionExecutionKey",
    "datatype": "string",
    "type": "calculated",
    "nullable": true,
    "Description": "Echoes the parent execution id when this record is an interested-party assertion.",
    "formula": "=IF({{IsInterestedPartyAssertion}}, {{ParentProcedureExecution}}, \"\")"
   },
   {
    "name": "IsComputedlyWitnessed",
    "datatype": "boolean",
    "type": "calculated",
    "nullable": true,
    "Description": "TRUE when this record scores a blocking control that has a computed witness behind it.",
    "formula": "=AND({{RequirementIsBlocking}}, {{RequirementHasComputedWitness}})"
   },
   {
    "name": "ComputedWitnessExecutionKey",
    "datatype": "string",
    "type": "calculated",
    "nullable": true,
    "Description": "Echoes the parent execution id when this control was computationally witnessed.",
    "formula": "=IF({{IsComputedlyWitnessed}}, {{ParentProcedureExecution}}, \"\")"
   },
   {
    "name": "StepExecutorAgent",
    "datatype": "string",
    "type": "lookup",
    "nullable": true,
    "Description": "The agent who executed the step this satisfaction record scores.",
    "formula": "=INDEX(StepExecutions!{{ExecutedByAgent}}, MATCH({{StepExecution}}, StepExecutions!{{StepExecutionId}}, 0))"
   },
   {
    "name": "WasScoredAfterAttestation",
    "datatype": "boolean",
    "type": "calculated",
    "nullable": true,
    "Description": "TRUE when this control was scored after the run it belongs to had already been attested.",
    "formula": "=DATETIME_DIFF({{EvaluatedAt}}, {{AttestationInstantForRun}}, \"minutes\") &gt; 0"
   },
   {
    "name": "AttestationInstantForRun",
    "datatype": "datetime",
    "type": "lookup",
    "nullable": true,
    "Description": "When the parent execution was attested, if it has been.",
    "formula": "=INDEX(ProcedureExecutions!{{LatestAttestationInstant}}, MATCH({{ParentProcedureExecution}}, ProcedureExecutions!{{ProcedureExecutionId}}, 0))"
   },
   {
    "name": "PostAttestationScoreExecutionKey",
    "datatype": "string",
    "type": "calculated",
    "nullable": true,
    "Description": "Echoes the parent execution id when this control was scored after signature.",
    "formula": "=IF({{WasScoredAfterAttestation}}, {{ParentProcedureExecution}}, \"\")"
   },
   {
    "name": "SemanticTypeIri",
    "datatype": "string",
    "type": "raw",
    "nullable": true,
    "Description": "Exact PKO class IRI."
   }
  ],
  "data": [
   {
    "RequirementSatisfactionId": "sat-close-cutoff",
    "StepExecution": "se-close01",
    "Requirement": "req-close-cutoff",
    "SatisfactionLevel": "Satisfied",
    "Evidence": "ERP lock event verified.",
    "EvaluatedByAgent": "devon-okafor",
    "EvaluatedAt": "2026-07-19T10:00:00-05:00",
    "SemanticTypeIri": "https://w3id.org/pko#RequirementSatisfaction",
    "Name": "req-close-cutoff / Satisfied",
    "RequirementIsBlocking": true,
    "IsFullySatisfied": true,
    "IsBlockingAndUnmet": false,
    "BlockingUnmetStepKey": null,
    "BlockingSatisfactionStepKey": "se-close01",
    "NegativeOutcomeRequirementKey": null,
    "EvaluatorAgentKind": "Human",
    "NonHumanEvaluatedHumanControl": false,
    "RequirementHasComputedWitness": true,
    "IsAssertedOnly": false,
    "AssertedOnlyExecutionKey": null,
    "ParentProcedureExecution": "exec-close-2026-q2",
    "StepExecutionWhenScored": "se-close01",
    "IsHumanEvaluated": true,
    "RequirementIsApprovalType": "Control",
    "IsInvalidApproval": false,
    "ProcedureExecutionOfSatisfaction": "exec-close-2026-q2",
    "RunWhenInvalidApproval": null,
    "RequirementIsUnfalsified": true,
    "IsClearanceByUnfalsifiedControl": true,
    "UnfalsifiedClearanceStepKey": "se-close01",
    "SpecStepOfExecution": "close-01",
    "ScoredStepExecutorAgent": "close-pipeline",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"close-pipeline",
    "PostAttestationScoreExecutionKey": null,
    "BindingKey": null,
    "WasScoredAfterAttestation": false,
    "AttestationInstantForRun": null
   },
   {
    "RequirementSatisfactionId": "sat-close-balance",
    "StepExecution": "se-close03",
    "Requirement": "req-close-balance",
    "SatisfactionLevel": "Satisfied",
    "Evidence": "No unexplained material balance remained.",
    "EvaluatedByAgent": "devon-okafor",
    "EvaluatedAt": "2026-07-19T10:00:00-05:00",
    "SemanticTypeIri": "https://w3id.org/pko#RequirementSatisfaction",
    "Name": "req-close-balance / Satisfied",
    "RequirementIsBlocking": true,
    "IsFullySatisfied": true,
    "IsBlockingAndUnmet": false,
    "BlockingUnmetStepKey": null,
    "BlockingSatisfactionStepKey": "se-close03",
    "NegativeOutcomeRequirementKey": null,
    "EvaluatorAgentKind": "Human",
    "NonHumanEvaluatedHumanControl": false,
    "RequirementHasComputedWitness": true,
    "IsAssertedOnly": false,
    "AssertedOnlyExecutionKey": null,
    "ParentProcedureExecution": "exec-close-2026-q2",
    "StepExecutionWhenScored": "se-close03",
    "IsHumanEvaluated": true,
    "RequirementIsApprovalType": "Verification",
    "IsInvalidApproval": false,
    "ProcedureExecutionOfSatisfaction": "exec-close-2026-q2",
    "RunWhenInvalidApproval": null,
    "RequirementIsUnfalsified": true,
    "IsClearanceByUnfalsifiedControl": true,
    "UnfalsifiedClearanceStepKey": "se-close03",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"sat-close-separation",
    "StepExecution": "se-close05",
    "Requirement": "req-close-separation",
    "SatisfactionLevel": "Satisfied",
    "Evidence": "Preparer and reviewer were different agents.",
    "EvaluatedByAgent": "priya-raman",
    "EvaluatedAt": "2026-07-19T10:00:00-05:00",
    "SemanticTypeIri": "https://w3id.org/pko#RequirementSatisfaction",
    "Name": "req-close-separation / Satisfied",
    "RequirementIsBlocking": true,
    "IsFullySatisfied": true,
    "IsBlockingAndUnmet": false,
    "BlockingUnmetStepKey": null,
    "BlockingSatisfactionStepKey": "se-close05",
    "NegativeOutcomeRequirementKey": null,
    "EvaluatorAgentKind": "Human",
    "NonHumanEvaluatedHumanControl": false,
    "RequirementHasComputedWitness": true,
    "IsAssertedOnly": false,
    "AssertedOnlyExecutionKey": null,
    "ParentProcedureExecution": "exec-close-2026-q2",
    "StepExecutionWhenScored": "se-close05",
    "IsHumanEvaluated": true,
    "RequirementIsApprovalType": "Governance",
    "IsInvalidApproval": false,
    "ProcedureExecutionOfSatisfaction": "exec-close-2026-q2",
    "RunWhenInvalidApproval": null,
    "RequirementIsUnfalsified": true,
    "IsClearanceByUnfalsifiedControl": true,
    "UnfalsifiedClearanceStepKey": "se-close05",
    "SpecStepOfExecution": "close-05",
    "ScoredStepExecutorAgent": "devon-okafor",
    "EvaluatorIsStepExecutor": false,
    "RunOwnerAgent": "devon-okafor",
    "EvaluatorOwnsTheRun": false,
    "IsInterestedPartyAssertion": false,
    "HasWrittenEvidence": true,
    "IsBareAssertion": false,
    "InterestedAssertionExecutionKey": null,
    "IsComputedlyWitnessed": true,
    "ComputedWitnessExecutionKey": "exec-close-2026-q2",
    "StepExecutorAgent": "devon-okafor",
    "PostAttestationScoreExecutionKey": null,
    "BindingKey": null,
    "WasScoredAfterAttestation": false,
    "AttestationInstantForRun": null
   },
   {
    "RequirementSatisfactionId": "sat-close-human",
    "StepExecution": "se-close06",
    "Requirement": "req-close-human-approval",
    "SatisfactionLevel": "Satisfied",
    "Evidence": "Human CFO approval recorded.",
    "EvaluatedByAgent": "priya-raman",
    "EvaluatedAt": "2026-07-19T10:00:00-05:00",
    "SemanticTypeIri": "https://w3id.org/pko#RequirementSatisfaction",
    "Name": "req-close-human-approval / Satisfied",
    "RequirementIsBlocking": true,
    "IsFullySatisfied": true,
    "IsBlockingAndUnmet": false,
    "BlockingUnmetStepKey": null,
    "BlockingSatisfactionStepKey": "se-close06",
    "NegativeOutcomeRequirementKey": null,
    "EvaluatorAgentKind": "Human",
    "NonHumanEvaluatedHumanControl": false,
    "RequirementHasComputedWitness": false,
    "IsAssertedOnly": true,
    "AssertedOnlyExecutionKey": "exec-close-2026-q2",
    "ParentProcedureExecution": "exec-close-2026-q2",
    "StepExecutionWhenScored": "se-close06",
    "IsHumanEvaluated": true,
    "RequirementIsApprovalType": "Approval",
    "IsInvalidApproval": false,
    "ProcedureExecutionOfSatisfaction": "exec-close-2026-q2",
    "RunWhenInvalidApproval": null,
    "RequirementIsUnfalsified": true,
    "IsClearanceByUnfalsifiedControl": true,
    "UnfalsifiedClearanceStepKey": "se-close06",
    "SpecStepOfExecution": "close-06",
    "ScoredStepExecutorAgent": "priya-raman",
    "EvaluatorIsStepExecutor": true,
    "RunOwnerAgent": "devon-okafor",
    "EvaluatorOwnsTheRun": false,
    "IsInterestedPartyAssertion": true,
    "HasWrittenEvidence": true,
    "IsBareAssertion": false,
    "InterestedAssertionExecutionKey": "exec-close-2026-q2",
    "IsComputedlyWitnessed": false,
    "ComputedWitnessExecutionKey": null,
    "StepExecutorAgent": "priya-raman",
    "PostAttestationScoreExecutionKey": null,
    "BindingKey": null,
    "WasScoredAfterAttestation": false,
    "AttestationInstantForRun": null
   },
   {
    "RequirementSatisfactionId": "sat-policy-source",
    "StepExecution": "se-policy03",
    "Requirement": "req-policy-source",
    "SatisfactionLevel": "Satisfied",
    "Evidence": "Draft provenance contains only approved source and elicitation records.",
    "EvaluatedByAgent": "elena-garcia",
    "EvaluatedAt": "2026-07-19T10:00:00-05:00",
    "SemanticTypeIri": "https://w3id.org/pko#RequirementSatisfaction",
    "Name": "req-policy-source / Satisfied",
    "RequirementIsBlocking": true,
    "IsFullySatisfied": true,
    "IsBlockingAndUnmet": false,
    "BlockingUnmetStepKey": null,
    "BlockingSatisfactionStepKey": "se-policy03",
    "NegativeOutcomeRequirementKey": null,
    "EvaluatorAgentKind": "Human",
    "NonHumanEvaluatedHumanControl": false,
    "RequirementHasComputedWitness": false,
    "IsAssertedOnly": true,
    "AssertedOnlyExecutionKey": "exec-policy-hr4821",
    "ParentProcedureExecution": "exec-policy-hr4821",
    "StepExecutionWhenScored": "se-policy03",
    "IsHumanEvaluated": true,
    "RequirementIsApprovalType": "Provenance",
    "IsInvalidApproval": false,
    "ProcedureExecutionOfSatisfaction": "exec-policy-hr4821",
    "RunWhenInvalidApproval": null,
    "RequirementIsUnfalsified": true,
    "IsClearanceByUnfalsifiedControl": true,
    "UnfalsifiedClearanceStepKey": "se-policy03",
    "SpecStepOfExecution": "policy-03",
    "ScoredStepExecutorAgent": "policy-drafting-ai",
    "EvaluatorIsStepExecutor": false,
    "RunOwnerAgent": "elena-garcia",
    "EvaluatorOwnsTheRun": true,
    "IsInterestedPartyAssertion": true,
    "HasWrittenEvidence": true,
    "IsBareAssertion": false,
    "InterestedAssertionExecutionKey": "exec-policy-hr4821",
    "IsComputedlyWitnessed": false,
    "ComputedWitnessExecutionKey": null,
    "StepExecutorAgent": "policy-drafting-ai",
    "PostAttestationScoreExecutionKey": null,
    "BindingKey": null,
    "WasScoredAfterAttestation": false,
    "AttestationInstantForRun": null
   },
   {
    "RequirementSatisfactionId": "sat-policy-legal",
    "StepExecution": "se-policy04",
    "Requirement": "req-policy-legal",
    "SatisfactionLevel": "Satisfied",
    "Evidence": "Employment counsel review completed 2026-07-19: notice content, acknowledgement mechanism, and retention period cleared against employment law and TCPA consent requirements.",
    "EvaluatedByAgent": "noah-williams",
    "EvaluatedAt": "2026-07-19T13:45:00-05:00",
    "SemanticTypeIri": "https://w3id.org/pko#RequirementSatisfaction",
    "Name": "req-policy-legal / Satisfied",
    "RequirementIsBlocking": true,
    "IsFullySatisfied": true,
    "IsBlockingAndUnmet": false,
    "BlockingUnmetStepKey": null,
    "BlockingSatisfactionStepKey": "se-policy04",
    "NegativeOutcomeRequirementKey": null,
    "EvaluatorAgentKind": "Human",
    "NonHumanEvaluatedHumanControl": false,
    "RequirementHasComputedWitness": false,
    "IsAssertedOnly": true,
    "AssertedOnlyExecutionKey": "exec-policy-hr4821",
    "ParentProcedureExecution": "exec-policy-hr4821",
    "StepExecutionWhenScored": "se-policy04",
    "IsHumanEvaluated": true,
    "RequirementIsApprovalType": "Approval",
    "IsInvalidApproval": false,
    "ProcedureExecutionOfSatisfaction": "exec-policy-hr4821",
    "RunWhenInvalidApproval": null,
    "RequirementIsUnfalsified": true,
    "IsClearanceByUnfalsifiedControl": true,
    "UnfalsifiedClearanceStepKey": "se-policy04",
    "SpecStepOfExecution": "policy-04",
    "ScoredStepExecutorAgent": "noah-williams",
    "EvaluatorIsStepExecutor": true,
    "RunOwnerAgent": "elena-garcia",
    "EvaluatorOwnsTheRun": false,
    "IsInterestedPartyAssertion": true,
    "HasWrittenEvidence": true,
    "IsBareAssertion": false,
    "InterestedAssertionExecutionKey": "exec-policy-hr4821",
    "IsComputedlyWitnessed": false,
    "ComputedWitnessExecutionKey": null,
    "StepExecutorAgent": "noah-williams",
    "PostAttestationScoreExecutionKey": null,
    "BindingKey": null,
    "WasScoredAfterAttestation": false,
    "AttestationInstantForRun": null
   },
   {
    "RequirementSatisfactionId": "sat-close-evidence",
    "StepExecution": "se-close03",
    "Requirement": "req-close-evidence",
    "SatisfactionLevel": "Unsatisfied",
    "Evidence": "Reconciliation workpapers were attached to a personal drive, not the 7-year retention archive.",
    "EvaluatedByAgent": "devon-okafor",
    "EvaluatedAt": "2026-07-19T10:00:00-05:00",
    "SemanticTypeIri": "https://w3id.org/pko#Requirement",
    "Name": "req-close-evidence / Unsatisfied",
    "RequirementIsBlocking": true,
    "IsFullySatisfied": false,
    "IsBlockingAndUnmet": true,
    "BlockingUnmetStepKey": "se-close03",
    "BlockingSatisfactionStepKey": "se-close03",
    "NegativeOutcomeRequirementKey": "req-close-evidence",
    "EvaluatorAgentKind": "Human",
    "NonHumanEvaluatedHumanControl": false,
    "RequirementHasComputedWitness": true,
    "IsAssertedOnly": false,
    "AssertedOnlyExecutionKey": null,
    "ParentProcedureExecution": "exec-close-2026-q2",
    "StepExecutionWhenScored": "se-close03",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"sat-close08-evidence",
    "StepExecution": "se-close08",
    "Requirement": "req-close-evidence",
    "SatisfactionLevel": "Satisfied",
    "Evidence": "Close package archived to the retention system with a 7-year hold.",
    "EvaluatedByAgent": "devon-okafor",
    "EvaluatedAt": "2026-07-19T14:05:00-05:00",
    "SemanticTypeIri": "https://w3id.org/pko#Requirement",
    "Name": "req-close-evidence / Satisfied",
    "RequirementIsBlocking": true,
    "IsFullySatisfied": true,
    "IsBlockingAndUnmet": false,
    "BlockingUnmetStepKey": null,
    "BlockingSatisfactionStepKey": "se-close08",
    "NegativeOutcomeRequirementKey": null,
    "EvaluatorAgentKind": "Human",
    "NonHumanEvaluatedHumanControl": false,
    "RequirementHasComputedWitness": true,
    "IsAssertedOnly": false,
    "AssertedOnlyExecutionKey": null,
    "ParentProcedureExecution": "exec-close-2026-q2",
    "StepExecutionWhenScored": "se-close08",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"close-08",
    "ScoredStepExecutorAgent": "elena-garcia",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"elena-garcia",
    "PostAttestationScoreExecutionKey": null,
    "BindingKey": null,
    "WasScoredAfterAttestation": false,
    "AttestationInstantForRun": null
   }
  ]
 },
 "Errors": {
  "Description": "Reusable error definitions encountered during execution. Maps to pko:Error, errorCode, and errorCause.",
  "important": false,
  "schema": [
   {
    "name": "ErrorId",
    "datatype": "string",
    "type": "raw",
    "nullable": false,
    "Description": "Stored logical identifier for one Errors row."
   },
   {
    "name": "Name",
    "datatype": "string",
    "type": "calculated",
    "nullable": true,
    "Description": "Human-readable calculated display alias for the Errors row.",
    "formula": "={{ErrorCode}} &amp; \" - \" &amp; {{Label}}"
   },
   {
    "name": "Label",
    "datatype": "string",
    "type": "raw",
    "nullable": true,
    "Description": "Error label."
   },
   {
    "name": "ErrorCode",
    "datatype": "string",
    "type": "raw",
    "nullable": true,
    "Description": "Error code; maps to pko:errorCode."
   },
   {
    "name": "ErrorCause",
    "datatype": "string",
    "type": "raw",
    "nullable": true,
    "Description": "Known or suspected cause; maps to pko:errorCause."
   },
   {
    "name": "SemanticTypeIri",
    "datatype": "string",
    "type": "raw",
    "nullable": true,
    "Description": "Exact PKO class IRI."
   }
  ],
  "data": [
   {
    "ErrorId": "err-feed-stale",
    "Label": "Source feed timestamp too old",
    "ErrorCode": "FEED-STALE",
    "ErrorCause": "Source integration lag or daylight-saving timestamp normalization issue.",
    "SemanticTypeIri": "https://w3id.org/pko#Error",
    "Name": "FEED-STALE - Source feed timestamp too old"
   },
   {
    "ErrorId": "err-sms-throttle",
    "Label": "SMS provider throttled requests",
    "ErrorCode": "SMS-429",
    "ErrorCause": "Provider rate limit or temporary carrier congestion.",
    "SemanticTypeIri": "https://w3id.org/pko#Error",
    "Name": "SMS-429 - SMS provider throttled requests"
   }
  ]
 },
 "IssueOccurrences": {
  "Description": "Concrete issue events during execution. Maps to pko:IssueOccurrence, hasEncounteredError, wasEncounteredBy, issueCause, and issueSolution.",
  "important": false,
  "schema": [
   {
    "name": "IssueOccurrenceId",
    "datatype": "string",
    "type": "raw",
    "nullable": false,
    "Description": "Stored logical identifier for one IssueOccurrences row."
   },
   {
    "name": "Name",
    "datatype": "string",
    "type": "calculated",
    "nullable": true,
    "Description": "Human-readable calculated display alias for the IssueOccurrences row.",
    "formula": "={{Error}} &amp; \" @ \" &amp; {{OccurredAt}}"
   },
   {
    "name": "StepExecution",
    "datatype": "string",
    "type": "relationship",
    "nullable": true,
    "Description": "Step execution during which the issue occurred.",
    "RelatedTo": "StepExecutions"
   },
   {
    "name": "Error",
    "datatype": "string",
    "type": "relationship",
    "nullable": true,
    "Description": "Error encountered.",
    "RelatedTo": "Errors"
   },
   {
    "name": "EncounteredByAgent",
    "datatype": "string",
    "type": "relationship",
    "nullable": true,
    "Description": "Agent that encountered or reported the issue.",
    "RelatedTo": "Agents"
   },
   {
    "name": "OccurredAt",
    "datatype": "datetime",
    "type": "raw",
    "nullable": true,
    "Description": "Occurrence time."
   },
   {
    "name": "IssueCause",
    "datatype": "string",
    "type": "raw",
    "nullable": true,
    "Description": "Execution-specific cause; maps to pko:issueCause."
   },
   {
    "name": "IssueSolution",
    "datatype": "string",
    "type": "raw",
    "nullable": true,
    "Description": "Applied solution; maps to pko:issueSolution."
   },
   {
    "name": "Status",
    "datatype": "string",
    "type": "raw",
    "nullable": true,
    "Description": "Open, Monitoring, Resolved, or Closed."
   },
   {
    "name": "IsUnresolved",
    "datatype": "boolean",
    "type": "calculated",
    "nullable": true,
    "Description": "TRUE when this issue occurrence has not been closed out.",
    "formula": "=OR({{Status}} = \"Open\", {{Status}} = \"Investigating\", {{Status}} = \"Monitoring\")"
   },
   {
    "name": "StepExecutionWhenUnresolved",
    "datatype": "string",
    "type": "calculated",
    "nullable": true,
    "Description": "Echoes the step-execution id when the issue is unresolved, blank otherwise.",
    "formula": "=IF({{IsUnresolved}}, {{StepExecution}}, \"\")"
   },
   {
    "name": "SemanticTypeIri",
    "datatype": "string",
    "type": "raw",
    "nullable": true,
    "Description": "Exact PKO class IRI."
   }
  ],
  "data": [
   {
    "IssueOccurrenceId": "issue-close-feed",
    "StepExecution": "se-close02",
    "Error": "err-feed-stale",
    "EncounteredByAgent": "close-pipeline",
    "OccurredAt": "2026-06-30T17:12:00-05:00",
    "IssueCause": "One feed was 17 minutes old.",
    "IssueSolution": "Reran extraction after source timestamp normalized; added explicit timestamp knowledge fragment.",
    "Status": "Resolved",
    "SemanticTypeIri": "https://w3id.org/pko#IssueOccurrence",
    "Name": "err-feed-stale @ 2026-06-30T17:12:00-05:00",
    "IsUnresolved": false,
    "StepExecutionWhenUnresolved": null
   },
   {
    "IssueOccurrenceId": "issue-policy-sms",
    "StepExecution": "se-policy04",
    "Error": "err-sms-throttle",
    "EncounteredByAgent": "notification-pipeline",
    "OccurredAt": "2026-07-19T09:30:00-05:00",
    "IssueCause": "Synthetic channel test observed provider throttling.",
    "IssueSolution": "Queue with exponential backoff and preserve recipient-local quiet-hours constraint.",
    "Status": "Monitoring",
    "SemanticTypeIri": "https://w3id.org/pko#IssueOccurrence",
    "Name": "err-sms-throttle @ 2026-07-19T09:30:00-05:00",
    "IsUnresolved": true,
    "StepExecutionWhenUnresolved": "se-policy04"
   }
  ]
 },
 "UserQuestions": {
  "Description": "Questions asked by agents during execution. Maps to pko:UserQuestionOccurrence, questionByUser, wasAskedBy, and isQuestionAddressedBy.",
  "important": false,
  "schema": [
   {
    "name": "UserQuestionId",
    "datatype": "string",
    "type": "raw",
    "nullable": false,
    "Description": "Stored logical identifier for one UserQuestions row."
   },
   {
    "name": "Name",
    "datatype": "string",
    "type": "calculated",
    "nullable": true,
    "Description": "Human-readable calculated display alias for the UserQuestions row.",
    "formula": "=LEFT({{QuestionText}}, 70)"
   },
   {
    "name": "StepExecution",
    "datatype": "string",
    "type": "relationship",
    "nullable": true,
    "Description": "Execution context for the question.",
    "RelatedTo": "StepExecutions"
   },
   {
    "name": "AskedByAgent",
    "datatype": "string",
    "type": "relationship",
    "nullable": true,
    "Description": "Agent asking the question.",
    "RelatedTo": "Agents"
   },
   {
    "name": "AskedAt",
    "datatype": "datetime",
    "type": "raw",
    "nullable": true,
    "Description": "Question time."
   },
   {
    "name": "QuestionText",
    "datatype": "string",
    "type": "raw",
    "nullable": true,
    "Description": "Question text; maps to pko:questionByUser."
   },
   {
    "name": "ResolvedByFaq",
    "datatype": "string",
    "type": "relationship",
    "nullable": true,
    "Description": "FAQ used to resolve the question.",
    "RelatedTo": "FAQs"
   },
   {
    "name": "AddressedByResource",
    "datatype": "string",
    "type": "relationship",
    "nullable": true,
    "Description": "Resource that addressed the question.",
    "RelatedTo": "Resources"
   },
   {
    "name": "Status",
    "datatype": "string",
    "type": "raw",
    "nullable": true,
    "Description": "Open, Answered, Escalated, or Closed."
   },
   {
    "name": "SemanticTypeIri",
    "datatype": "string",
    "type": "raw",
    "nullable": true,
    "Description": "Exact PKO class IRI."
   }
  ],
  "data": [
   {
    "UserQuestionId": "q-close-fx",
    "StepExecution": "se-close04",
    "AskedByAgent": "devon-okafor",
    "AskedAt": "2026-07-01T13:10:00-05:00",
    "QuestionText": "Why did the FX variance appear only after the cutover?",
    "ResolvedByFaq": "faq-close-workpapers",
    "AddressedByResource": "res-close-sop-pdf",
    "Status": "Answered",
    "SemanticTypeIri": "https://w3id.org/pko#UserQuestionOccurrence",
    "Name": "Why did the FX variance appear only after the cutover?"
   },
   {
    "UserQuestionId": "q-policy-ai",
    "StepExecution": "se-policy03",
    "AskedByAgent": "elena-garcia",
    "AskedAt": "2026-07-18T13:20:00-05:00",
    "QuestionText": "Can the drafting AI add a new legal exception if it seems reasonable?",
    "ResolvedByFaq": "faq-policy-ai",
    "AddressedByResource": "res-policy-source",
    "Status": "Answered",
    "SemanticTypeIri": "https://w3id.org/pko#UserQuestionOccurrence",
    "Name": "Can the drafting AI add a new legal exception if it seems reasonable?"
   }
  ]
 },
 "UserFeedback": {
  "Description": "Feedback supplied by users about a procedure or execution. Maps to pko:UserFeedbackOccurrence, feedbackOnProcedureExecution, and wasProvidedBy.",
  "important": false,
  "schema": [
   {
    "name": "UserFeedbackId",
    "datatype": "string",
    "type": "raw",
    "nullable": false,
    "Description": "Stored logical identifier for one UserFeedback row."
   },
   {
    "name": "Name",
    "datatype": "</t>
  </si>
  <si>
    <t xml:space="preserve">string",
    "type": "calculated",
    "nullable": true,
    "Description": "Human-readable calculated display alias for the UserFeedback row.",
    "formula": "={{Disposition}} &amp; \": \" &amp; LEFT({{FeedbackText}}, 60)"
   },
   {
    "name": "ProcedureExecution",
    "datatype": "string",
    "type": "relationship",
    "nullable": true,
    "Description": "Execution receiving feedback.",
    "RelatedTo": "ProcedureExecutions"
   },
   {
    "name": "ProvidedByAgent",
    "datatype": "string",
    "type": "relationship",
    "nullable": true,
    "Description": "Agent providing feedback.",
    "RelatedTo": "Agents"
   },
   {
    "name": "ProvidedAt",
    "datatype": "datetime",
    "type": "raw",
    "nullable": true,
    "Description": "Feedback time."
   },
   {
    "name": "FeedbackText",
    "datatype": "string",
    "type": "raw",
    "nullable": true,
    "Description": "Feedback statement."
   },
   {
    "name": "Disposition",
    "datatype": "string",
    "type": "raw",
    "nullable": true,
    "Description": "Accepted, Rejected, UnderReview, or Deferred."
   },
   {
    "name": "ChangeRequestKey",
    "datatype": "string",
    "type": "raw",
    "nullable": true,
    "Description": "Related change request identifier."
   },
   {
    "name": "SemanticTypeIri",
    "datatype": "string",
    "type": "raw",
    "nullable": true,
    "Description": "Exact PKO class IRI."
   }
  ],
  "data": [
   {
    "UserFeedbackId": "fb-close-retro",
    "ProcedureExecution": "exec-close-2026-q2",
    "ProvidedByAgent": "devon-okafor",
    "ProvidedAt": "2026-07-02T16:30:00-05:00",
    "FeedbackText": "The feed timestamp check should be a required precondition, not a troubleshooting note.",
    "Disposition": "Accepted",
    "ChangeRequestKey": "cr-close-timestamp",
    "SemanticTypeIri": "https://w3id.org/pko#UserFeedbackOccurrence",
    "Name": "Accepted: The feed timestamp check should be a required precondition, "
   },
   {
    "UserFeedbackId": "fb-policy-sms",
    "ProcedureExecution": "exec-policy-hr4821",
    "ProvidedByAgent": "amina-yusuf",
    "ProvidedAt": "2026-07-19T10:30:00-05:00",
    "FeedbackText": "Add a secondary path for employees whose carrier reports a delayed delivery receipt.",
    "Disposition": "UnderReview",
    "ChangeRequestKey": "cr-policy-delivery",
    "SemanticTypeIri": "https://w3id.org/pko#UserFeedbackOccurrence",
    "Name": "UnderReview: Add a secondary path for employees whose carrier reports a d"
   }
  ]
 },
 "StewardshipAssignments": {
  "Description": "Separates ongoing stewardship from authority to approve semantic commitments. Explicit ERB-PKO governance extension.",
  "important": false,
  "schema": [
   {
    "name": "StewardshipAssignmentId",
    "datatype": "string",
    "type": "raw",
    "nullable": false,
    "Description": "Stored logical identifier for one StewardshipAssignments row."
   },
   {
    "name": "Name",
    "datatype": "string",
    "type": "calculated",
    "nullable": true,
    "Description": "Human-readable calculated display alias for the StewardshipAssignments row.",
    "formula": "={{ProcedureVersion}} &amp; \" / steward=\" &amp; {{StewardRole}}"
   },
   {
    "name": "ProcedureVersion",
    "datatype": "string",
    "type": "relationship",
    "nullable": true,
    "Description": "Governed procedure version.",
    "RelatedTo": "ProcedureVersions"
   },
   {
    "name": "StewardRole",
    "datatype": "string",
    "type": "relationship",
    "nullable": true,
    "Description": "Role responsible for health, review, and maintenance.",
    "RelatedTo": "Roles"
   },
   {
    "name": "AuthorityRole",
    "datatype": "string",
    "type": "relationship",
    "nullable": true,
    "Description": "Role authorized to approve semantic changes.",
    "RelatedTo": "Roles"
   },
   {
    "name": "ValidFrom",
    "datatype": "datetime",
    "type": "raw",
    "nullable": true,
    "Description": "Start of stewardship interval."
   },
   {
    "name": "ValidTo",
    "datatype": "datetime",
    "type": "raw",
    "nullable": true,
    "Description": "End of stewardship interval."
   },
   {
    "name": "ReviewCadenceDays",
    "datatype": "integer",
    "type": "raw",
    "nullable": true,
    "Description": "Required review cadence."
   },
   {
    "name": "CountOfReviewEvents",
    "datatype": "integer",
    "type": "aggregation",
    "nullable": true,
    "Description": "How many review events have ever been recorded for the procedure version this assignment stewards.",
    "formula": "=COUNTIFS(ReviewEvents!{{ProcedureVersion}}, StewardshipAssignments!{{ProcedureVersion}})"
   },
   {
    "name": "HasEverBeenReviewed",
    "datatype": "boolean",
    "type": "calculated",
    "nullable": true,
    "Description": "TRUE if at least one review event exists for the stewarded procedure version.",
    "formula":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"IsCurrentAssignment",
    "datatype": "boolean",
    "type": "calculated",
    "nullable": true,
    "Description": "TRUE when this stewardship assignment is in force right now.",
    "formula": "=AND({{ValidFrom}} &lt;= {{AsOfInstant}}, OR({{ValidTo}} = \"\", {{ValidTo}} &gt; {{AsOfInstant}}))"
   },
   {
    "name": "SemanticTypeIri",
    "datatype": "string",
    "type": "raw",
    "nullable": true,
    "Description": "Extension class IRI."
   }
  ],
  "data": [
   {
    "StewardshipAssignmentId": "stew-close",
    "ProcedureVersion": "close-v1.1.0",
    "StewardRole": "process-steward",
    "AuthorityRole": "knowledge-authority",
    "ValidFrom": "2026-04-15T09:00:00-05:00",
    "ValidTo": null,
    "ReviewCadenceDays": 90,
    "SemanticTypeIri": "urn:effortless:pko-extension#StewardshipAssignment",
    "EvaluationContext": "eval-current",
    "Name": "close-v1.1.0 / steward=process-steward",
    "CountOfReviewEvents": 2,
    "HasEverBeenReviewed": true,
    "AsOfInstant": "2026-07-19T13:00:00-05:00",
    "IsCurrentAssignment": true
   },
   {
    "StewardshipAssignmentId": "stew-policy",
    "ProcedureVersion": "policy-v1.0.0",
    "StewardRole": "process-steward",
    "AuthorityRole": "hr-policy-owner",
    "ValidFrom": "2026-06-01T09:00:00-05:00",
    "ValidTo": null,
    "ReviewCadenceDays": 60,
    "SemanticTypeIri": "urn:effortless:pko-extension#StewardshipAssignment",
    "EvaluationContext": "eval-current",
    "Name": "policy-v1.0.0 / steward=process-steward",
    "CountOfReviewEvents": 1,
    "HasEverBeenReviewed": true,
    "AsOfInstant": "2026-07-19T13:00:00-05:00",
    "IsCurrentAssignment": true
   }
  ]
 },
 "ChangeRequests": {
  "Description": "Governed requests for semantic or operational change, anchored to a procedure version and authority. Explicit ERB-PKO extension.",
  "important": false,
  "schema": [
   {
    "name": "ChangeRequestId",
    "datatype": "string",
    "type": "raw",
    "nullable": false,
    "Description": "Stored logical identifier for one ChangeRequests row."
   },
   {
    "name": "Name",
    "datatype": "string",
    "type": "calculated",
    "nullable": true,
    "Description": "Human-readable calculated display alias for the ChangeRequests row.",
    "formula": "={{Title}}"
   },
   {
    "name": "ProcedureVersion",
    "datatype": "string",
    "type": "relationship",
    "nullable": true,
    "Description": "Procedure version affected.",
    "RelatedTo": "ProcedureVersions"
   },
   {
    "name": "Title",
    "datatype": "string",
    "type": "raw",
    "nullable": true,
    "Description": "Change title."
   },
   {
    "name": "ChangeKind",
    "datatype": "string",
    "type": "raw",
    "nullable": true,
    "Description": "Defect, Enhancement, NewRequirement, DataOperation, or BreakingChange."
   },
   {
    "name": "Status",
    "datatype": "string",
    "type": "raw",
    "nullable": true,
    "Description": "Draft, UnderReview, Approved, Rejected, Implemented, or Closed."
   },
   {
    "name": "RequestedByAgent",
    "datatype": "string",
    "type": "relationship",
    "nullable": true,
    "Description": "Agent requesting the change.",
    "RelatedTo": "Agents"
   },
   {
    "name": "AuthorityRole",
    "datatype": "string",
    "type": "relationship",
    "nullable": true,
    "Description": "Role authorized to approve the change.",
    "RelatedTo": "Roles"
   },
   {
    "name": "RequestedAt",
    "datatype": "datetime",
    "type": "raw",
    "nullable": true,
    "Description": "Request time."
   },
   {
    "name": "DecidedAt",
    "datatype": "datetime",
    "type": "raw",
    "nullable": true,
    "Description": "Decision time."
   },
   {
    "name": "ImpactAssessment",
    "datatype": "string",
    "type": "raw",
    "nullable": true,
    "Description": "Expected effect on commitments, data, projections, and tests."
   },
   {
    "name": "IsOpen",
    "datatype": "boolean",
    "type": "calculated",
    "nullable": true,
    "Description": "TRUE while the change request is still outstanding. An Approved request stays open until ImplementedAt records that it actually landed — approval is a decision, not an outcome.",
    "formula": "=AND(OR({{Status}} = \"Draft\", {{Status}} = \"UnderReview\", {{Status}} = \"Approved\"), {{ImplementedAt}} = \"\")"
   },
   {
    "name": "OpenChangeVersionKey",
    "datatype": "string",
    "type": "calculated",
    "nullable": true,
    "Description": "Echoes the ProcedureVersion id only for change requests still open.",
    "formula": "=IF({{IsOpen}}, {{ProcedureVersion}}, \"\")"
   },
   {
    "name": "IsDecided",
    "datatype": "boolean",
    "type": "calculated",
    "nullable": true,
    "Description": "TRUE when a decision timestamp has been recorded.",
    "formula": "={{DecidedAt}} &lt;&gt; \"\""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"DaysPending",
    "datatype": "integer",
    "type": "calculated",
    "nullable": true,
    "Description": "Days from request to decision, or to now if still undecided.",
    "formula": "=IF({{IsDecided}}, DATETIME_DIFF({{DecidedAt}}, {{RequestedAt}}, \"days\"), DATETIME_DIFF({{AsOfInstant}}, {{RequestedAt}}, \"days\"))"
   },
   {
    "name": "IsStillPending",
    "datatype": "boolean",
    "type": "calculated",
    "nullable": true,
    "Description": "TRUE when the request is in an open status and has no decision recorded.",
    "formula": "=AND({{IsOpen}}, NOT({{IsDecided}}))"
   },
   {
    "name": "IsStalled",
    "datatype": "boolean",
    "type": "calculated",
    "nullable": true,
    "Description": "TRUE when an undecided change request has been pending more than fourteen days.",
    "formula": "=AND({{IsStillPending}}, {{DaysPending}} &gt; 14)"
   },
   {
    "name": "AuthorityAgent",
    "datatype": "string",
    "type": "lookup",
    "nullable": true,
    "Description": "The agent currently holding the authority role that owes a decision on this request.",
    "formula": "=INDEX(Roles!{{CurrentAgent}}, MATCH({{AuthorityRole}}, Roles!{{RoleId}}, 0))"
   },
   {
    "name": "RequesterIsAuthority",
    "datatype": "boolean",
    "type": "calculated",
    "nullable": true,
    "Description": "TRUE when the agent who raised the request is also the agent who decides it.",
    "formula": "={{RequestedByAgent}} = {{AuthorityAgent}}"
   },
   {
    "name": "AwaitsAuthorityDecision",
    "datatype": "boolean",
    "type": "calculated",
    "nullable": true,
    "Description": "TRUE when this request is formally before its authority and no decision has been recorded.",
    "formula": "=AND({{Status}} = \"UnderReview\", NOT({{IsDecided}}))"
   },
   {
    "name": "AuthorityRoleLabel",
    "datatype": "string",
    "type": "lookup",
    "nullable": true,
    "Description": "Human-readable label of the role that owes a decision.",
    "formula": "=INDEX(Roles!{{Label}}, MATCH({{AuthorityRole}}, Roles!{{RoleId}}, 0))"
   },
   {
    "name": "TouchesLiveVersion",
    "datatype": "boolean",
    "type": "lookup",
    "nullable": true,
    "Description": "Whether the version this request would alter is currently executable.",
    "formula": "=INDEX(ProcedureVersions!{{IsLive}}, MATCH({{ProcedureVersion}}, ProcedureVersions!{{ProcedureVersionId}}, 0))"
   },
   {
    "name": "IsLiveDecisionBacklog",
    "datatype": "boolean",
    "type": "calculated",
    "nullable": true,
    "Description": "TRUE when a decision I owe is blocking a change to a procedure currently in production.",
    "formula": "=AND({{AwaitsAuthorityDecision}}, {{TouchesLiveVersion}})"
   },
   {
    "name": "BlocksAnOpenGap",
    "datatype": "boolean",
    "type": "calculated",
    "nullable": true,
    "Description": "TRUE when an undecided request against a live version is the kind that exists to close a known gap.",
    "formula": "=AND({{IsLiveDecisionBacklog}}, {{ChangeKind}} = \"Enhancement\")"
   },
   {
    "name": "ImplementedAt",
    "datatype": "datetime",
    "type": "raw",
    "nullable": true,
    "Description": "When the approved change was actually applied to the procedure version. Null until it lands. Distinct from DecidedAt, which records only that the authority ruled. Approval and implementation are separate events; conflating them is what left IsOpen with no terminal state."
   },
   {
    "name": "BacklogVersionKey",
    "datatype": "string",
    "type": "calculated",
    "nullable": true,
    "Description": "Composite-key echo: this request's procedure version when it is live decision backlog, blank otherwise.",
    "formula": "=IF({{IsLiveDecisionBacklog}}, {{ProcedureVersion}}, \"\")"
   },
   {
    "name": "IsMyPendingDecision",
    "datatype": "boolean",
    "type": "calculated",
    "nullable": true,
    "Description": "A change request awaiting a decision that is mine personally to make.",
    "formula": "=AND({{AuthorityRole}} = \"hr-policy-owner\", {{AwaitsAuthorityDecision}})"
   },
   {
    "name": "IsMyBlockingBacklog",
    "datatype": "boolean",
    "type": "calculated",
    "nullable": true,
    "Description": "A decision waiting on me that is holding an open gap on a live procedure.",
    "formula": "=AND({{IsMyPendingDecision}}, {{BlocksAnOpenGap}})"
   },
   {
    "name": "IsMyOverdueBacklog",
    "datatype": "boolean",
    "type": "calculated",
    "nullable": true,
    "Description": "A blocking decision that has waited on me for more than two weeks.",
    "formula": "=AND({{IsMyBlockingBacklog}}, {{DaysPending}} &gt; 14)"
   },
   {
    "name": "IsImplemented",
    "datatype": "boolean",
    "type": "calculated",
    "nullable": true,
    "Description": "Whether the approved change has actually been applied.",
    "formula": "={{ImplementedAt}} &lt;&gt; \"\""
   },
   {
    "name": "IsMyDecidedRequest",
    "datatype": "boolean",
    "type": "calculated",
    "nullable": true,
    "Description": "A change request I have personally ruled on.",
    "formula": "=AND({{AuthorityRole}} = \"hr-policy-owner\", {{IsDecided}})"
   },
   {
    "name": "IsMyDecidedButUnlanded",
    "datatype": "boolean",
    "type": "calculated",
    "nullable": true,
    "Description": "A decision I have made that has not yet been applied — still counted against me by the loop-1 open-request measure.",
    "formula": "=AND({{IsMyDecidedRequest}}, NOT({{IsImplemented}}))"
   },
   {
    "name": "DecisionLatencyDays",
    "datatype": "integer",
    "type": "calculated",
    "nullable": true,
    "Description": "How many days I took to rule, once ruled. Zero when undecided — read only alongside IsDecided.",
    "formula": "=IF({{IsDecided}}, DATETIME_DIFF({{DecidedAt}}, {{RequestedAt}}, \"days\"), 0)"
   },
   {
    "name": "ImplementationLatencyDays",
    "datatype": "integer",
    "type": "calculated",
    "nullable": true,
    "Description": "How many days elapsed between my ruling and the change actually landing. Zero when not yet implemented.",
    "formula": "=IF({{IsImplemented}}, DATETIME_DIFF({{ImplementedAt}}, {{DecidedAt}}, \"days\"), 0)"
   },
   {
    "name": "DelayIsDownstreamOfMe",
    "datatype": "boolean",
    "type": "calculated",
    "nullable": true,
    "Description": "A request I decided promptly that is nevertheless still outstanding because nobody has implemented it.",
    "formula": "=AND({{IsMyDecidedButUnlanded}}, {{DecisionLatencyDays}} &lt;= 14)"
   },
   {
    "name": "UnlandedVersionKey",
    "datatype": "string",
    "type": "calculated",
    "nullable": true,
    "Description": "Composite-key echo: this request's procedure version when I have decided it but it has not landed, blank otherwise.",
    "formula": "=IF({{IsMyDecidedButUnlanded}}, {{ProcedureVersion}}, \"\")"
   },
   {
    "name": "IsApprovedNotImplemented",
    "datatype": "boolean",
    "type": "calculated",
    "nullable": true,
    "Description": "A change request the authority approved but that has not yet been applied.",
    "formula": "=AND({{Status}} = \"Approved\", NOT({{IsImplemented}}))"
   },
   {
    "name": "DaysSinceApproval",
    "datatype": "integer",
    "type": "calculated",
    "nullable": true,
    "Description": "How many days have elapsed since the authority decided this request. Zero when undecided.",
    "formula": "=IF({{IsDecided}}, DATETIME_DIFF({{AsOfInstant}}, {{DecidedAt}}, \"days\"), 0)"
   },
   {
    "name": "IsStalledImplementation",
    "datatype": "boolean",
    "type": "calculated",
    "nullable": true,
    "Description": "An approved change request that has sat unimplemented for more than two weeks.",
    "formula": "=AND({{IsApprovedNotImplemented}}, {{DaysSinceApproval}} &gt; 14)"
   },
   {
    "name": "StalledImplementationVersionKey",
    "datatype": "string",
    "type": "calculated",
    "nullable": true,
    "Description": "Composite-key echo: this request's procedure version when its implementation is stalled, blank otherwise.",
    "formula": "=IF({{IsStalledImplementation}}, {{ProcedureVersion}}, \"\")"
   },
   {
    "name": "ApprovedVersionKey",
    "datatype": "string",
    "type": "calculated",
    "nullable": true,
    "Description": "Echoes the target version id when this change request was approved.",
    "formula": "=IF({{IsApprovedDecision}}, {{ProcedureVersion}}, \"\")"
   },
   {
    "name": "IsApprovedDecision",
    "datatype": "boolean",
    "type": "calculated",
    "nullable": true,
    "Description": "TRUE when this change request was decided in the affirmative.",
    "formula": "={{Status}} = \"Approved\""
   },
   {
    "name": "SemanticTypeIri",
    "datatype": "string",
    "type": "raw",
    "nullable": true,
    "Description": "Extension class IRI."
   }
  ],
  "data": [
   {
    "ChangeRequestId": "cr-close-timestamp",
    "ProcedureVersion": "close-v1.1.0",
    "Title": "Add source timestamp as blocking verification",
    "ChangeKind": "Defect",
    "Status": "Approved",
    "RequestedByAgent": "devon-okafor",
    "AuthorityRole": "knowledge-authority",
    "RequestedAt": "2026-07-02T16:30:00-05:00",
    "DecidedAt": "2026-07-03T11:00:00-05:00",
    "ImpactAssessment": "Adds requirement and verification; no breaking class change.",
    "SemanticTypeIri": "urn:effortless:pko-extension#ChangeRequest",
    "ImplementedAt": "2026-07-03T15:00:00-05:00",
    "EvaluationContext": "eval-current",
    "Name": "Add source timestamp as blocking verification",
    "IsOpen": false,
    "OpenChangeVersionKey": null,
    "IsDecided": true,
    "AsOfInstant": "2026-07-19T13:00:00-05:00",
    "DaysPending": 0,
    "IsStillPending": false,
    "IsStalled": false,
    "AuthorityAgent": "priya-raman",
    "RequesterIsAuthority": false,
    "AwaitsAuthorityDecision": false,
    "AuthorityRoleLabel": "Procedural Knowledge Authority",
    "TouchesLiveVersion": true,
    "IsLiveDecisionBacklog": false,
    "BlocksAnOpenGap": false,
    "BacklogVersionKey": null,
    "IsMyPendingDecision": false,
    "IsMyBlockingBacklog": false,
    "IsMyOverdueBacklog": false,
    "IsImplemented": true,
    "IsMyDecidedRequest": false,
    "IsMyDecidedButUnlanded": false,
    "DecisionLatencyDays": 0,
    "ImplementationLatencyDays": 0,
    "DelayIsDownstreamOfMe": false,
    "UnlandedVersionKey": null,
    "IsApprovedNotImplemented": false,
    "DaysSinceApproval": 16,
    "IsStalledImplementation": false,
    "StalledImplementationVersionKey": null,
    "ApprovedVersionKey": "close-v1.1.0",
    "IsApprovedDecision": true
   },
   {
    "ChangeRequestId": "cr-policy-delivery",
    "ProcedureVersion": "policy-v1.0.0",
    "Title": "Add secondary delivery receipt reconciliation",
    "ChangeKind": "Enhancement",
    "Status": "UnderReview",
    "RequestedByAgent": "amina-yusuf",
    "AuthorityRole": "hr-policy-owner",
    "RequestedAt": "2026-07-19T10:30:00-05:00",
    "DecidedAt": null,
    "ImpactAssessment": "May add a step or fallback transition and operational binding.",
    "SemanticTypeIri": "urn:effortless:pko-extension#ChangeRequest",
    "ImplementedAt": null,
    "EvaluationContext": "eval-current",
    "Name": "Add secondary delivery receipt reconciliation",
    "IsOpen": true,
    "OpenChangeVersionKey": "policy-v1.0.0",
    "IsDecided": false,
    "AsOfInstant": "2026-07-19T13:00:00-05:00",
    "DaysPending": 0,
    "IsStillPending": true,
    "IsStalled": false,
    "AuthorityAgent": "elena-garcia",
    "RequesterIsAuthority": false,
    "AwaitsAuthorityDecision": true,
    "AuthorityRoleLabel": "People Policy Owner",
    "TouchesLiveVersion": true,
    "IsLiveDecisionBacklog": true,
    "BlocksAnOpenGap": true,
    "BacklogVersionKey": "policy-v1.0.0",
    "IsMyPendingDecision": true,
    "IsMyBlockingBacklog": true,
    "IsMyOverdueBacklog": false,
    "IsImplemented": false,
    "IsMyDecidedRequest": false,
    "IsMyDecidedButUnlanded": false,
    "DecisionLatencyDays": 0,
    "ImplementationLatencyDays": 0,
    "DelayIsDownstreamOfMe": false,
    "UnlandedVersionKey": null,
    "IsApprovedNotImplemented": false,
    "DaysSinceApproval": 0,
    "IsStalledImplementation": false,
    "StalledImplementationVersionKey": null,
    "ApprovedVersionKey": null,
    "IsApprovedDecision": false
   }
  ]
 },
 "ReviewEvents": {
  "Description": "Periodic governance reviews that test competency coverage, staleness, and semantic integrity. Explicit ERB-PKO extension represented as prov:Activity.",
  "important": false,
  "schema": [
   {
    "name": "ReviewEventId",
    "datatype": "string",
    "type": "raw",
    "nullable": false,
    "Description": "Stored logical identifier for one ReviewEvents row."
   },
   {
    "name": "Name",
    "datatype": "string",
    "type": "calculated",
    "nullable": true,
    "Description": "Human-readable calculated display alias for the ReviewEvents row.",
    "formula": "={{ProcedureVersion}} &amp; \" / \" &amp; {{ReviewKind}}"
   },
   {
    "name": "ProcedureVersion",
    "datatype": "string",
    "type": "relationship",
    "nullable": true,
    "Description": "Reviewed procedure version.",
    "RelatedTo": "ProcedureVersions"
   },
   {
    "name": "ReviewKind",
    "datatype": "string",
    "type": "raw",
    "nullable": true,
    "Description": "Review type."
   },
   {
    "name": "ReviewedAt",
    "datatype": "datetime",
    "type": "raw",
    "nullable": true,
    "Description": "Review timestamp."
   },
   {
    "name": "ReviewedByAgent",
    "datatype": "string",
    "type": "relationship",
    "nullable": true,
    "Description": "Reviewing agent.",
    "RelatedTo": "Agents"
   },
   {
    "name": "Outcome",
    "datatype": "string",
    "type": "raw",
    "nullable": true,
    "Description": "Passed, PassedWithChange, Failed, or Deferred."
   },
   {
    "name": "RelatedChangeRequest",
    "datatype": "string",
    "type": "relationship",
    "nullable": true,
    "Description": "Change request produced or considered.",
    "RelatedTo": "ChangeRequests"
   },
   {
    "name": "NextReviewDue",
    "datatype": "datetime",
    "type": "raw",
    "nullable": true,
    "Description": "Next required review."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"IsOverdue",
    "datatype": "boolean",
    "type": "calculated",
    "nullable": true,
    "Description": "TRUE when review is overdue.",
    "formula": "={{NextReviewDue}} &lt; {{AsOfInstant}}"
   },
   {
    "name": "OverdueVersionKey",
    "datatype": "string",
    "type": "calculated",
    "nullable": true,
    "Description": "Echoes the ProcedureVersion id only when this review is past its next-due date.",
    "formula": "=IF({{IsOverdue}}, {{ProcedureVersion}}, \"\")"
   },
   {
    "name": "PromisedCadenceDays",
    "datatype": "integer",
    "type": "lookup",
    "nullable": true,
    "Description": "The review cadence promised for this procedure version, resolved via ProcedureVersions because INDEX/MATCH can only match a target table primary key.",
    "formula": "=INDEX(ProcedureVersions!{{StewardReviewCadenceDays}}, MATCH({{ProcedureVersion}}, ProcedureVersions!{{ProcedureVersionId}}, 0))"
   },
   {
    "name": "DaysSinceReviewed",
    "datatype": "integer",
    "type": "calculated",
    "nullable": true,
    "Description": "Elapsed days since this review actually happened.",
    "formula": "=DATETIME_DIFF({{AsOfInstant}}, {{ReviewedAt}}, \"days\")"
   },
   {
    "name": "ExceedsPromisedCadence",
    "datatype": "boolean",
    "type": "calculated",
    "nullable": true,
    "Description": "TRUE when more days have elapsed since this review than the stewardship assignment promised as a cadence.",
    "formula": "={{DaysSinceReviewed}} &gt; {{PromisedCadenceDays}}"
   },
   {
    "name": "CadenceDriftDays",
    "datatype": "integer",
    "type": "calculated",
    "nullable": true,
    "Description": "Signed drift: positive means we are past the promised cadence by this many days; negative means we are still inside it.",
    "formula": "={{DaysSinceReviewed}} - {{PromisedCadenceDays}}"
   },
   {
    "name": "PromiseAndBehaviorDisagree",
    "datatype": "boolean",
    "type": "calculated",
    "nullable": true,
    "Description": "TRUE when the promised cadence has been blown but the hand-entered NextReviewDue still says we are fine.",
    "formula": "=AND({{ExceedsPromisedCadence}}, NOT({{IsOverdue}}))"
   },
   {
    "name": "CadenceBreachVersionKey",
    "datatype": "string",
    "type": "calculated",
    "nullable": true,
    "Description": "Composite-key echo: this review event's procedure version when the promised cadence has been exceeded, blank otherwise.",
    "formula": "=IF({{ExceedsPromisedCadence}}, {{ProcedureVersion}}, \"\")"
   },
   {
    "name": "SemanticTypeIri",
    "datatype": "string",
    "type": "raw",
    "nullable": true,
    "Description": "Class IRI used in projection."
   }
  ],
  "data": [
   {
    "ReviewEventId": "review-close-q1",
    "ProcedureVersion": "close-v1.1.0",
    "ReviewKind": "QuarterlySemanticReview",
    "ReviewedAt": "2026-03-20T16:00:00-05:00",
    "ReviewedByAgent": "devon-okafor",
    "Outcome": "Passed",
    "RelatedChangeRequest": null,
    "NextReviewDue": "2026-06-18T16:00:00-05:00",
    "EvaluationContext": "eval-current",
    "SemanticTypeIri": "https://w3id.org/pko#ReviewEvent",
    "Name": "close-v1.1.0 / QuarterlySemanticReview",
    "AsOfInstant": "2026-07-19T13:00:00-05:00",
    "IsOverdue": true,
    "OverdueVersionKey": "close-v1.1.0",
    "PromisedCadenceDays": 90,
    "DaysSinceReviewed": 120,
    "ExceedsPromisedCadence": true,
    "CadenceDriftDays": 30.0,
    "PromiseAndBehaviorDisagree": false,
    "CadenceBreachVersionKey": "close-v1.1.0"
   },
   {
    "ReviewEventId": "review-close-q2",
    "ProcedureVersion": "close-v1.1.0",
    "ReviewKind": "QuarterlySemanticReview",
    "ReviewedAt": "2026-07-02T16:00:00-05:00",
    "ReviewedByAgent": "devon-okafor",
    "Outcome": "PassedWithChange",
    "RelatedChangeRequest": "cr-close-timestamp",
    "NextReviewDue": "2026-09-30T16:00:00-05:00",
    "SemanticTypeIri": "http://www.w3.org/ns/prov#Activity",
    "EvaluationContext": "eval-current",
    "Name": "close-v1.1.0 / QuarterlySemanticReview",
    "AsOfInstant": "2026-07-19T13:00:00-05:00",
    "IsOverdue": false,
    "OverdueVersionKey": null,
    "PromisedCadenceDays": 90,
    "DaysSinceReviewed": 16,
    "ExceedsPromisedCadence": false,
    "CadenceDriftDays": -74.0,
    "PromiseAndBehaviorDisagree": false,
    "CadenceBreachVersionKey": null
   },
   {
    "ReviewEventId": "review-policy-prelaunch",
    "ProcedureVersion": "policy-v1.0.0",
    "ReviewKind": "PreLaunchReview",
    "ReviewedAt": "2026-07-18T16:00:00-05:00",
    "ReviewedByAgent": "elena-garcia",
    "Outcome": "Passed",
    "RelatedChangeRequest": "cr-policy-delivery",
    "NextReviewDue": "2026-09-16T16:00:00-05:00",
    "SemanticTypeIri": "http://www.w3.org/ns/prov#Activity",
    "EvaluationContext": "eval-current",
    "Name": "policy-v1.0.0 / PreLaunchReview",
    "AsOfInstant": "2026-07-19T13:00:00-05:00",
    "IsOverdue": false,
    "OverdueVersionKey": null,
    "PromisedCadenceDays": 60,
    "DaysSinceReviewed": 0,
    "ExceedsPromisedCadence": false,
    "CadenceDriftDays": -60.0,
    "PromiseAndBehaviorDisagree": false,
    "CadenceBreachVersionKey": null
   }
  ]
 },
 "LearningActivities": {
  "Description": "Learning, retrospective, tabletop, and onboarding activities that convert execution experience into maintained knowledge. Explicit ERB-PKO extension represented as prov:Activity.",
  "important": false,
  "schema": [
   {
    "name": "LearningActivityId",
    "datatype": "string",
    "type": "raw",
    "nullable": false,
    "Description": "Stored logical identifier for one LearningActivities row."
   },
   {
    "name": "Name",
    "datatype": "string",
    "type": "calculated",
    "nullable": true,
    "Description": "Human-readable calculated display alias for the LearningActivities row.",
    "formula": "={{ActivityKind}} &amp; \" / \" &amp; {{OccurredAt}}"
   },
   {
    "name": "CommunityOfPractice",
    "datatype": "string",
    "type": "relationship",
    "nullable": true,
    "Description": "Community hosting the activity.",
    "RelatedTo": "CommunitiesOfPractice"
   },
   {
    "name": "ProcedureVersion",
    "datatype": "string",
    "type": "relationship",
    "nullable": true,
    "Description": "Procedure version practiced or reviewed.",
    "RelatedTo": "ProcedureVersions"
   },
   {
    "name": "ActivityKind",
    "datatype": "string",
    "type": "raw",
    "nullable": true,
    "Description": "Retrospective, TabletopExercise, Onboarding, Drill, or Apprenticeship."
   },
   {
    "name": "OccurredAt",
    "datatype": "datetime",
    "type": "raw",
    "nullable": true,
    "Description": "Activity time."
   },
   {
    "name": "FacilitatorAgent",
    "datatype": "string",
    "type": "relationship",
    "nullable": true,
    "Description": "Facilitator.",
    "RelatedTo": "Agents"
   },
   {
    "name": "Outcome",
    "datatype": "string",
    "type": "raw",
    "nullable": true,
    "Description": "Knowledge or competence produced."
   },
   {
    "name": "EvidenceResource",
    "datatype": "string",
    "type": "relationship",
    "nullable": true,
    "Description": "Evidence or material produced.",
    "Rela</t>
  </si>
  <si>
    <t xml:space="preserve">tedTo": "Resources"
   },
   {
    "name": "SemanticTypeIri",
    "datatype": "string",
    "type": "raw",
    "nullable": true,
    "Description": "Class IRI used in projection."
   }
  ],
  "data": [
   {
    "LearningActivityId": "learn-close-retro",
    "CommunityOfPractice": "close-practice-guild",
    "ProcedureVersion": "close-v1.1.0",
    "ActivityKind": "Retrospective",
    "OccurredAt": "2026-07-02T15:30:00-05:00",
    "FacilitatorAgent": "devon-okafor",
    "Outcome": "Captured feed timestamp failure mode and updated the rulebook.",
    "EvidenceResource": "res-close-checklist",
    "SemanticTypeIri": "http://www.w3.org/ns/prov#Activity",
    "Name": "Retrospective / 2026-07-02T15:30:00-05:00"
   },
   {
    "LearningActivityId": "learn-policy-tabletop",
    "CommunityOfPractice": "policy-stewards-circle",
    "ProcedureVersion": "policy-v1.0.0",
    "ActivityKind": "TabletopExercise",
    "OccurredAt": "2026-07-15T13:00:00-05:00",
    "FacilitatorAgent": "elena-garcia",
    "Outcome": "Tested consent, quiet-hours, and unreachable-recipient exceptions.",
    "EvidenceResource": "res-sms-template",
    "SemanticTypeIri": "http://www.w3.org/ns/prov#Activity",
    "Name": "TabletopExercise / 2026-07-15T13:00:00-05:00"
   }
  ]
 },
 "OperationalBindings": {
  "Description": "Live bindings between procedural semantics and operational data/resources. Explicit ERB-PKO extension using DCAT/DCMI/PROV identifiers.",
  "important": true,
  "schema": [
   {
    "name": "OperationalBindingId",
    "datatype": "string",
    "type": "raw",
    "nullable": false,
    "Description": "Stored logical identifier for one OperationalBindings row."
   },
   {
    "name": "Name",
    "datatype": "string",
    "type": "calculated",
    "nullable": true,
    "Description": "Human-readable calculated display alias for the OperationalBindings row.",
    "formula": "={{Step}} &amp; \" / \" &amp; {{RecordOrSchemaKey}}"
   },
   {
    "name": "ProcedureVersion",
    "datatype": "string",
    "type": "relationship",
    "nullable": true,
    "Description": "Procedure version using the binding.",
    "RelatedTo": "ProcedureVersions"
   },
   {
    "name": "Step",
    "datatype": "string",
    "type": "relationship",
    "nullable": true,
    "Description": "Step using the binding.",
    "RelatedTo": "Steps"
   },
   {
    "name": "Resource",
    "datatype": "string",
    "type": "relationship",
    "nullable": true,
    "Description": "Bound operational resource.",
    "RelatedTo": "Resources"
   },
   {
    "name": "AccessMode",
    "datatype": "string",
    "type": "raw",
    "nullable": true,
    "Description": "Read, Write, ReadWrite, Subscribe, or Publish."
   },
   {
    "name": "RecordOrSchemaKey",
    "datatype": "string",
    "type": "raw",
    "nullable": true,
    "Description": "Operational record, table, event, or schema key."
   },
   {
    "name": "LastObservedAt",
    "datatype": "datetime",
    "type": "raw",
    "nullable": true,
    "Description": "Most recent successful observation."
   },
   {
    "name": "FreshnessSlaMinutes",
    "datatype": "integer",
    "type": "raw",
    "nullable": true,
    "Description": "Maximum allowed data age."
   },
   {
    "name": "IsAuthoritative",
    "datatype": "boolean",
    "type": "raw",
    "nullable": true,
    "Description": "TRUE when the binding is authoritative for the represented fact."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"AgeMinutes",
    "datatype": "integer",
    "type": "calculated",
    "nullable": true,
    "Description": "Current observed age.",
    "formula": "=DATETIME_DIFF({{AsOfInstant}}, {{LastObservedAt}}, \"minutes\")"
   },
   {
    "name": "IsFresh",
    "datatype": "boolean",
    "type": "calculated",
    "nullable": true,
    "Description": "TRUE when within freshness SLA.",
    "formula": "={{AgeMinutes}} &lt;= {{FreshnessSlaMinutes}}"
   },
   {
    "name": "StaleBindingStepKey",
    "datatype": "string",
    "type": "calculated",
    "nullable": true,
    "Description": "Echoes the bound Step id only when the binding is outside its freshness SLA.",
    "formula": "=IF(NOT({{IsFresh}}), {{Step}}, \"\")"
   },
   {
    "name": "AuthoritativeStaleStepKey",
    "datatype": "string",
    "type": "calculated",
    "nullable": true,
    "Description": "Echoes the bound Step id only when an AUTHORITATIVE binding is stale.",
    "formula": "=IF(AND(NOT({{IsFresh}}), {{IsAuthoritative}}), {{Step}}, \"\")"
   },
   {
    "name": "IsStaleAndAuthoritative",
    "datatype": "boolean",
    "type": "calculated",
    "nullable": true,
    "Description": "TRUE when an authoritative binding has aged past its freshness SLA.",
    "formula": "=AND({{IsAuthoritative}}, NOT({{IsFresh}}))"
   },
   {
    "name": "StepWhenStale",
    "datatype": "string",
    "type": "calculated",
    "nullable": true,
    "Description": "Echoes the step id when this authoritative binding is stale, blank otherwise.",
    "formula": "=IF({{IsStaleAndAuthoritative}}, {{Step}}, \"\")"
   },
   {
    "name": "ResourceIsApproved",
    "datatype": "boolean",
    "type": "lookup",
    "nullable": true,
    "Description": "Whether the resource behind this binding is an approved source.",
    "formula": "=INDEX(Resources!{{IsApprovedSource}}, MATCH({{Resource}}, Resources!{{ResourceId}}, 0))"
   },
   {
    "name": "IsUsableForDrafting",
    "datatype": "boolean",
    "type": "calculated",
    "nullable": true,
    "Description": "TRUE when this binding points at an approved source that is still inside its freshness SLA.",
    "formula": "=AND({{ResourceIsApproved}}, {{IsFresh}})"
   },
   {
    "name": "StepWhenUnusable",
    "datatype": "string",
    "type": "calculated",
    "nullable": true,
    "Description": "Echoes the step id when this binding is NOT usable for drafting, blank otherwise.",
    "formula": "=IF({{IsUsableForDrafting}}, \"\", {{Step}})"
   },
   {
    "name": "SemanticTypeIri",
    "datatype": "string",
    "type": "raw",
    "nullable": true,
    "Description": "Extension class IRI."
   }
  ],
  "data": [
   {
    "OperationalBindingId": "bind-close-erp",
    "ProcedureVersion": "close-v1.1.0",
    "Step": "close-02",
    "Resource": "res-erp-api",
    "AccessMode": "Read",
    "RecordOrSchemaKey": "GeneralLedger.TrialBalance",
    "LastObservedAt": "2026-07-19T12:43:00-05:00",
    "FreshnessSlaMinutes": 15,
    "IsAuthoritative": true,
    "SemanticTypeIri": "urn:effortless:pko-extension#OperationalBinding",
    "EvaluationContext": "eval-current",
    "Name": "close-02 / GeneralLedger.TrialBalance",
    "AsOfInstant": "2026-07-19T13:00:00-05:00",
    "AgeMinutes": 17,
    "IsFresh": false,
    "StaleBindingStepKey": "close-02",
    "AuthoritativeStaleStepKey": "close-02",
    "IsStaleAndAuthoritative": true,
    "StepWhenStale": "close-02",
    "IsUsableForDrafting": false,
    "StepWhenUnusable": "close-02",
    "ResourceIsApproved": false
   },
   {
    "OperationalBindingId": "bind-policy-ticket",
    "ProcedureVersion": "policy-v1.0.0",
    "Step": "policy-01",
    "Resource": "res-change-ticket",
    "AccessMode": "ReadWrite",
    "RecordOrSchemaKey": "HR.ChangeTicket",
    "LastObservedAt": "2026-07-19T11:50:00-05:00",
    "FreshnessSlaMinutes": 30,
    "IsAuthoritative": true,
    "SemanticTypeIri": "urn:effortless:pko-extension#OperationalBinding",
    "EvaluationContext": "eval-current",
    "Name": "policy-01 / HR.ChangeTicket",
    "AsOfInstant": "2026-07-19T13:00:00-05:00",
    "AgeMinutes": 70,
    "IsFresh": false,
    "StaleBindingStepKey": "policy-01",
    "AuthoritativeStaleStepKey": "policy-01",
    "IsStaleAndAuthoritative": true,
    "StepWhenStale": "policy-01",
    "IsUsableForDrafting": false,
    "StepWhenUnusable": "policy-01",
    "ResourceIsApproved": false
   },
   {
    "OperationalBindingId": "bind-policy-consent",
    "ProcedureVersion": "policy-v1.0.0",
    "Step": "policy-07",
    "Resource": "res-consent-registry",
    "AccessMode": "Read",
    "RecordOrSchemaKey": "HR.CommunicationConsent",
    "LastObservedAt": "2026-07-19T11:45:00-05:00",
    "FreshnessSlaMinutes": 15,
    "IsAuthoritative": true,
    "SemanticTypeIri": "urn:effortless:pko-extension#OperationalBinding",
    "EvaluationContext": "eval-current",
    "Name": "policy-07 / HR.CommunicationConsent",
    "AsOfInstant": "2026-07-19T13:00:00-05:00",
    "AgeMinutes": 75,
    "IsFresh": false,
    "StaleBindingStepKey": "policy-07",
    "AuthoritativeStaleStepKey": "policy-07",
    "IsStaleAndAuthoritative": true,
    "StepWhenStale": "policy-07",
    "IsUsableForDrafting": false,
    "StepWhenUnusable": "policy-07",
    "ResourceIsApproved": false
   },
   {
    "OperationalBindingId": "bind-policy-email",
    "ProcedureVersion": "policy-v1.0.0",
    "Step": "policy-07",
    "Resource": "res-email-template",
    "AccessMode": "Read",
    "RecordOrSchemaKey": "People.EmailTemplate",
    "LastObservedAt": "2026-07-18T16:30:00-05:00",
    "FreshnessSlaMinutes": 1440,
    "IsAuthoritative": true,
    "SemanticTypeIri": "urn:effortless:pko-extension#OperationalBinding",
    "EvaluationContext": "eval-current",
    "Name": "policy-07 / People.EmailTemplate",
    "AsOfInstant": "2026-07-19T13:00:00-05:00",
    "AgeMinutes": 1230,
    "IsFresh": true,
    "StaleBindingStepKey": null,
    "AuthoritativeStaleStepKey": null,
    "IsStaleAndAuthoritative": false,
    "StepWhenStale": null,
    "StepWhenUnusable": "policy-07",
    "ResourceIsApproved": false,
    "IsUsableForDrafting": false
   },
   {
    "OperationalBindingId": "bind-policy-sms",
    "ProcedureVersion": "policy-v1.0.0",
    "Step": "policy-07",
    "Resource": "res-sms-template",
    "AccessMode": "Read",
    "RecordOrSchemaKey": "People.SmsTemplate",
    "LastObservedAt": "2026-07-18T16:30:00-05:00",
    "FreshnessSlaMinutes": 1440,
    "IsAuthoritative": true,
    "SemanticTypeIri": "urn:effortless:pko-extension#OperationalBinding",
    "EvaluationContext": "eval-current",
    "Name": "policy-07 / People.SmsTemplate",
    "AsOfInstant": "2026-07-19T13:00:00-05:00",
    "AgeMinutes": 1230,
    "IsFresh": true,
    "StaleBindingStepKey": null,
    "AuthoritativeStaleStepKey": null,
    "IsStaleAndAuthoritative": false,
    "StepWhenStale": null,
    "StepWhenUnusable": "policy-07",
    "ResourceIsApproved": false,
    "IsUsableForDrafting": false
   }
  ]
 },
 "CommunicationPolicies": {
  "Description": "Channel-specific communication policy projected from the same canonical procedure. Uses ODRL-style policy semantics plus ERB-PKO channel constraints.",
  "important": true,
  "schema": [
   {
    "name": "CommunicationPolicyId",
    "datatype": "string",
    "type": "raw",
    "nullable": false,
    "Description": "Stored logical identifier for one CommunicationPolicies row."
   },
   {
    "name": "Name",
    "datatype": "string",
    "type": "calculated",
    "nullable": true,
    "Description": "Human-readable calculated display alias for the CommunicationPolicies row.",
    "formula": "={{Channel}} &amp; \" policy / \" &amp; {{ProcedureVersion}}"
   },
   {
    "name": "ProcedureVersion",
    "datatype": "string",
    "type": "relationship",
    "nullable": true,
    "Description": "Procedure version governing the channel.",
    "RelatedTo": "ProcedureVersions"
   },
   {
    "name": "Channel",
    "datatype": "string",
    "type": "raw",
    "nullable": true,
    "Description": "Email, SMS, Push, Postal, or another declared channel."
   },
   {
    "name": "AudienceRule",
    "datatype": "string",
    "type": "raw",
    "nullable": true,
    "Description": "Rule that identifies eligible recipients."
   },
   {
    "name": "ConsentRequired",
    "datatype": "boolean",
    "type": "raw",
    "nullable": true,
    "Description": "Whether active consent is required."
   },
   {
    "name": "QuietHoursStart",
    "datatype": "string",
    "type": "raw",
    "nullable": true,
    "Description": "Recipient-local quiet-hours start."
   },
   {
    "name": "QuietHoursEnd",
    "datatype": "string",
    "type": "raw",
    "nullable": true,
    "Description": "Recipient-local quiet-hours end."
   },
   {
    "name": "MaxMessageLength",
    "datatype": "integer",
    "type": "raw",
    "nullable": true,
    "Description": "Maximum message length for one unit."
   },
   {
    "name": "MaxSegments",
    "datatype": "integer",
    "type": "raw",
    "nullable": true,
    "Description": "Maximum number of channel segments."
   },
   {
    "name": "RetentionDays",
    "datatype": "integer",
    "type": "raw",
    "nullable": true,
    "Description": "Retention period for rendered messages and delivery records."
   },
   {
    "name": "ApprovalRole",
    "datatype": "string",
    "type": "relationship",
    "nullable": true,
    "Description": "Role approving the channel policy.",
    "RelatedTo": "Roles"
   },
   {
    "name": "RequiredContent",
    "datatype": "string",
    "type": "raw",
    "nullable": true,
    "Description": "Content that every message must include."
   },
   {
    "name": "AuthorityStatement",
    "datatype": "string",
    "type": "raw",
    "nullable": true,
    "Description": "Which artifact is authoritative."
   },
   {
    "name": "Status",
    "datatype": "string",
    "type": "raw",
    "nullable": true,
    "Description": "Draft, Active, Suspended, or Retired."
   },
   {
    "name": "ConsentViolationCount",
    "datatype": "number",
    "type": "aggregation",
    "nullable": true,
    "Description": "Number of consent violations attributable to this channel policy.",
    "formula": "=COUNTIFS(MessageDeliveries!{{PolicyChannel}}, {{CommunicationPolicyId}}, MessageDeliveries!{{IsConsentViolation}}, TRUE)"
   },
   {
    "name": "QuietHoursStartHour",
    "datatype": "integer",
    "type": "raw",
    "nullable": true,
    "Description": "The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
   },
   {
    "name": "QuietHoursEndHour",
    "datatype": "integer",
    "type": "raw",
    "nullable": true,
    "Description": "Numeric hour 0-23 at which quiet hours end. Seeded 8 for comm-sms-policy, 0 for comm-email-policy."
   },
   {
    "name": "QuietHoursViolationCount",
    "datatype": "number",
    "type": "aggregation",
    "nullable": true,
    "Description": "Number of transmitted messages that breached this policy's quiet-hours window.",
    "formula": "=COUNTIFS(MessageDeliveries!{{QuietHoursViolationPolicyKey}}, {{CommunicationPolicyId}})"
   },
   {
    "name": "RequiredOptOutPhrase",
    "datatype": "string",
    "type": "raw",
    "nullable": true,
    "Description": "The exact opt-out phrase every message on this channel must contain. Seeded 'Reply STOP' for comm-sms-policy, empty string for comm-email-policy."
   },
   {
    "name": "IsActivePolicy",
    "datatype": "boolean",
    "type": "calculated",
    "nullable": true,
    "Description": "TRUE only when this channel policy is in Active status.",
    "formula": "={{Status}} = \"Active\""
   },
   {
    "name": "SemanticTypeIri",
    "datatype": "string",
    "type": "raw",
    "nullable": true,
    "Description": "ODRL Policy class IRI."
   }
  ],
  "data": [
   {
    "CommunicationPolicyId": "comm-email-policy",
    "ProcedureVersion": "policy-v1.0.0",
    "Channel": "Email",
    "AudienceRule": "All affected employees with a valid corporate email",
    "ConsentRequired": false,
    "QuietHoursStart": "00:00",
    "QuietHoursEnd": "00:00",
    "MaxMessageLength": 100000,
    "MaxSegments": 1,
    "RetentionDays": 2555,
    "ApprovalRole": "communications-manager",
    "RequiredContent": "Full policy context, effective date, action required, alternate contact",
    "AuthorityStatement": "Email is the complete official notification record.",
    "Status": "Active",
    "SemanticTypeIri": "http://www.w3.org/ns/odrl/2/Policy",
    "QuietHoursStartHour": 0,
    "QuietHoursEndHour": 0,
    "RequiredOptOutPhrase": null,
    "RequiresOptOut": false,
    "Name": "Email policy / policy-v1.0.0",
    "ConsentViolationCount": 0,
    "QuietHoursViolationCount": 0,
    "IsActivePolicy": true
   },
   {
    "CommunicationPolicyId": "comm-sms-policy",
    "ProcedureVersion": "policy-v1.0.0",
    "Channel": "SMS",
    "AudienceRule": "Affected employees with active SMS consent",
    "ConsentRequired": true,
    "QuietHoursStart": "20:00",
    "QuietHoursEnd": "08:00",
    "MaxMessageLength": 160,
    "MaxSegments": 3,
    "RetentionDays": 2555,
    "ApprovalRole": "communications-manager",
    "RequiredContent": "Short notice, secure link, approved opt-out text",
    "AuthorityStatement": "SMS is a supplemental notice; the linked email/policy is authoritative.",
    "Status": "Active",
    "SemanticTypeIri": "http://www.w3.org/ns/odrl/2/Policy",
    "QuietHoursStartHour": 20,
    "QuietHoursEndHour": 8,
    "RequiredOptOutPhrase": "Reply STOP to opt out",
    "RequiresOptOut": true,
    "Name": "SMS policy / policy-v1.0.0",
    "ConsentViolationCount": 0,
    "QuietHoursViolationCount": 1,
    "IsActivePolicy": true
   }
  ]
 },
 "MessageTemplates": {
  "Description": "Approved channel templates projected from the canonical rulebook without becoming a second source of policy meaning.",
  "important": false,
  "schema": [
   {
    "name": "MessageTemplateId",
    "datatype": "string",
    "type": "raw",
    "nullable": false,
    "Description": "Stored logical identifier for one MessageTemplates row."
   },
   {
    "name": "Name",
    "datatype": "string",
    "type": "calculated",
    "nullable": true,
    "Description": "Human-readable calculated display alias for the MessageTemplates row.",
    "formula": "={{CommunicationPolicy}} &amp; \" / \" &amp; {{Locale}}"
   },
   {
    "name": "CommunicationPolicy",
    "datatype": "string",
    "type": "relationship",
    "nullable": true,
    "Description": "Channel policy governing the template.",
    "RelatedTo": "CommunicationPolicies"
   },
   {
    "name": "Resource",
    "datatype": "string",
    "type": "relationship",
    "nullable": true,
    "Description": "Template resource.",
    "RelatedTo": "Resources"
   },
   {
    "name": "SubjectTemplate",
    "datatype": "string",
    "type": "raw",
    "nullable": true,
    "Description": "Subject template where supported."
   },
   {
    "name": "BodyTemplate",
    "datatype": "string",
    "type": "raw",
    "nullable": true,
    "Description": "Body template."
   },
   {
    "name": "Locale",
    "datatype": "string",
    "type": "raw",
    "nullable": true,
    "Description": "Locale or language tag."
   },
   {
    "name": "Status",
    "datatype": "string",
    "type": "raw",
    "nullable": true,
    "Description": "Draft, Approved, Retired, or Superseded."
   },
   {
    "name": "PolicyMaxMessageLength",
    "datatype": "integer",
    "type": "lookup",
    "nullable": true,
    "Description": "Per-segment character limit inherited from the governing channel policy.",
    "formula": "=INDEX(CommunicationPolicies!{{MaxMessageLength}}, MATCH({{CommunicationPolicy}}, CommunicationPolicies!{{CommunicationPolicyId}}, 0))"
   },
   {
    "name": "PolicyMaxSegments",
    "datatype": "integer",
    "type": "lookup",
    "nullable": true,
    "Description": "Maximum permitted segment count from the governing channel policy.",
    "formula": "=INDEX(CommunicationPolicies!{{MaxSegments}}, MATCH({{CommunicationPolicy}}, CommunicationPolicies!{{CommunicationPolicyId}}, 0))"
   },
   {
    "name": "BodyTemplateLength",
    "datatype": "integer",
    "type": "calculated",
    "nullable": true,
    "Description": "Character length of the raw template body before variable substitution.",
    "formula": "=LEN({{BodyTemplate}})"
   },
   {
    "name": "IsTemplateOverLength",
    "datatype": "boolean",
    "type": "calculated",
    "nullable": true,
    "Description": "TRUE when the template body alone already exceeds the single-segment limit before any variables are substituted in.",
    "formula": "={{BodyTemplateLength}} &gt; {{PolicyMaxMessageLength}}"
   },
   {
    "name": "ValidApprovalCount",
    "datatype": "number",
    "type": "aggregation",
    "nullable": true,
    "Description": "Number of properly-authorized approvals on record for this template.",
    "formula": "=COUNTIFS(TemplateApprovals!{{ValidApprovalTemplateKey}}, {{MessageTemplateId}})"
   },
   {
    "name": "HasValidApproval",
    "datatype": "boolean",
    "type": "calculated",
    "nullable": true,
    "Description": "TRUE when at least one properly-authorized approval exists for this template.",
    "formula": "={{ValidApprovalCount}} &gt; 0"
   },
   {
    "name": "IsClaimingUnbackedApproval",
    "datatype": "boolean",
    "type": "calculated",
    "nullable": true,
    "Description": "TRUE when a template's Status says Approved but no properly-authorized approval record backs it. The phantom-approval witness.",
    "formula": "=AND({{Status}} = \"Approved\", NOT({{HasValidApproval}}))"
   },
   {
    "name": "CurrentBodyHash",
    "datatype": "string",
    "type": "raw",
    "nullable": true,
    "Description": "Digest of the template's current body text, maintained whenever the body is edited."
   },
   {
    "name": "LastApprovedBodyHash",
    "datatype": "string",
    "type": "lookup",
    "nullable": true,
    "Description": "Digest of the body text as it stood at the most recent valid approval.",
    "formula": "=INDEX(TemplateApprovals!{{ApprovedBodyHash}}, MATCH({{LastValidApproval}}, TemplateApprovals!{{TemplateApprovalId}}, 0))"
   },
   {
    "name": "LastValidApproval",
    "datatype": "string",
    "type": "raw",
    "nullable": true,
    "Description": "The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
   },
   {
    "name": "HasBodyDrifted",
    "datatype": "boolean",
    "type": "calculated",
    "nullable": true,
    "Description": "TRUE when the template body no longer matches what was approved.",
    "formula": "=AND({{LastApprovedBodyHash}} &lt;&gt; \"\", {{CurrentBodyHash}} &lt;&gt; {{LastApprovedBodyHash}})"
   },
   {
    "name": "IsSendableUnderApproval",
    "datatype": "boolean",
    "type": "calculated",
    "nullable": true,
    "Description": "TRUE only when the template is marked Approved, has a properly-authorized approval, AND its body still matches what was approved.",
    "formula": "=AND({{Status}} = \"Approved\", AND({{HasValidApproval}}, NOT({{HasBodyDrifted}})))"
   },
   {
    "name": "DriftedSendCount",
    "datatype": "number",
    "type": "aggregation",
    "nullable": true,
    "Description": "How many messages went out from this template while it was not validly sendable.",
    "formula": "=COUNTIFS(MessageDeliveries!{{DriftedSendTemplateKey}}, {{MessageTemplateId}})"
   },
   {
    "name": "UnansweredDeliveryCount",
    "datatype": "number",
    "type": "aggregation",
    "nullable": true,
    "Description": "How many transmitted messages from this template drew no acknowledgement.",
    "formula": "=COUNTIFS(MessageDeliveries!{{UnansweredTemplateKey}}, {{MessageTemplateId}})"
   },
   {
    "name": "TransmittedDeliveryCount",
    "datatype": "number",
    "type": "aggregation",
    "nullable": true,
    "Description": "How many deliveries using this template were actually transmitted.",
    "formula": "=COUNTIFS(MessageDeliveries!{{TransmittedTemplateKey}}, {{MessageTemplateId}})"
   },
   {
    "name": "TemplateDrawsNoResponse",
    "datatype": "boolean",
    "type": "calculated",
    "nullable": true,
    "Description": "TRUE when every transmitted message from this template went unacknowledged.",
    "formula": "=AND({{TransmittedDeliveryCount}} &gt; 0, {{UnansweredDeliveryCount}} = {{TransmittedDeliveryCount}})"
   },
   {
    "name": "LastApprovalAt",
    "datatype": "datetime",
    "type": "lookup",
    "nullable": true,
    "Description": "When this template's currently-governing approval was decided.",
    "formula": "=INDEX(TemplateApprovals!{{DecidedAt}}, MATCH({{LastValidApproval}}, TemplateApprovals!{{TemplateApprovalId}}, 0))"
   },
   {
    "name": "SemanticTypeIri",
    "datatype": "string",
    "type": "raw",
    "nullable": true,
    "Description": "Resource class IRI."
   }
  ],
  "data": [
   {
    "MessageTemplateId": "tmpl-policy-email",
    "CommunicationPolicy": "comm-email-policy",
    "Resource": "res-email-template",
    "SubjectTemplate": "Remote-work policy update effective {{EffectiveDate}}",
    "BodyTemplate": "A workforce policy affecting your work has changed. Review the complete policy at {{PolicyUrl}}. Required action: {{RequiredAction}}. Questions: {{ContactAddress}}.",
    "Locale": "en-US",
    "Status": "Approved",
    "SemanticTypeIri": "http://www.w3.org/ns/dcat#Resource",
    "LastValidApproval": "tap-email-001",
    "CurrentBodyHash": "h-email-v1",
    "Name": "comm-email-policy / en-US",
    "PolicyMaxMessageLength": 100000,
    "PolicyMaxSegments": 1,
    "BodyTemplateLength": 164,
    "IsTemplateOverLength": false,
    "ValidApprovalCount": 1,
    "HasValidApproval": true,
    "IsClaimingUnbackedApproval": false,
    "LastApprovedBodyHash": "h-email-v1",
    "HasBodyDrifted": false,
    "IsSendableUnderApproval": true,
    "DriftedSendCount": 0,
    "UnansweredDeliveryCount": 1,
    "TransmittedDeliveryCount": 2,
    "TemplateDrawsNoResponse": false,
    "LastApprovalAt": "2026-07-17T11:00:00-05:00"
   },
   {
    "MessageTemplateId": "tmpl-policy-sms",
    "CommunicationPolicy": "comm-sms-policy",
    "Resource": "res-sms-template",
    "SubjectTemplate": "",
    "BodyTemplate": "ACME policy update effective {{EffectiveDate}}. Review: {{ShortUrl}}. Reply STOP to opt out of SMS; email notices continue.",
    "Locale": "en-US",
    "Status": "Approved",
    "SemanticTypeIri": "http://www.w3.org/ns/dcat#Resource",
    "LastValidApproval": "tap-sms-001",
    "CurrentBodyHash": "h-sms-v1",
    "Name": "comm-sms-policy / en-US",
    "PolicyMaxMessageLength": 160,
    "PolicyMaxSegments": 3,
    "BodyTemplateLength": 123,
    "IsTemplateOverLength": false,
    "ValidApprovalCount": 1,
    "HasValidApproval": true,
    "IsClaimingUnbackedApproval": false,
    "LastApprovedBodyHash": "h-sms-v1",
    "HasBodyDrifted": false,
    "IsSendableUnderApproval": true,
    "DriftedSendCount": 0,
    "UnansweredDeliveryCount": 2,
    "TransmittedDeliveryCount": 2,
    "TemplateDrawsNoResponse": true,
    "LastApprovalAt": "2026-07-19T10:00:00-05:00"
   }
  ]
 },
 "SemanticMappings": {
  "Description": "Machine-readable alignment from ERB table/field paths to exact PKO or reused ontology terms. Extension mappings are never presented as native PKO.",
  "important": true,
  "schema": [
   {
    "name": "SemanticMappingId",
    "datatype": "string",
    "type": "raw",
    "nullable": false,
    "Description": "Stored logical identifier for one SemanticMappings row."
   },
   {
    "name": "Name",
    "datatype": "string",
    "type": "calculated",
    "nullable": true,
    "Description": "Human-readable calculated display alias for the SemanticMappings row.",
    "formula": "={{SourcePath}} &amp; \" -&gt; \" &amp; {{TargetIri}}"
   },
   {
    "name": "SourcePath",
    "datatype": "string",
    "type": "raw",
    "nullable": true,
    "Description": "ERB table, field, or discriminator path."
   },
   {
    "name": "MappingKind",
    "datatype": "string",
    "type": "raw",
    "nullable": true,
    "Description": "class, objectProperty, datatypeProperty, individual, or rule."
   },
   {
    "name": "TargetIri",
    "datatype": "string",
    "type": "raw",
    "nullable": true,
    "Description": "Exact target semantic IRI."
   },
   {
    "name": "MappingRelation",
    "datatype": "string",
    "type": "raw",
    "nullable": true,
    "Description": "exact, aligned, subclass, subproperty, or extension."
   },
   {
    "name": "OntologyProfile",
    "datatype": "string",
    "type": "relationship",
    "nullable": true,
    "Description": "Versioned ontology profile containing the target term.",
    "RelatedTo": "OntologyProfiles"
   },
   {
    "name": "Notes",
    "datatype": "string",
    "type": "raw",
    "nullable": true,
    "Description": "Mapping semantics and boundaries."
   }
  ],
  "data": [
   {
    "SemanticMappingId": "map-procedures",
    "SourcePath": "Procedures",
    "MappingKind": "class",
    "TargetIri": "https://w3id.org/pko#Procedure",
    "MappingRelation": "exact",
    "OntologyProfile": "pko-core-2.0.0",
    "Notes": "Abstract procedure.",
    "Name": "Procedures -&gt; https://w3id.org/pko#Procedure"
   },
   {
    "SemanticMappingId": "map-procedure-versions",
    "SourcePath": "ProcedureVersions",
    "MappingKind": "class",
    "TargetIri": "https://w3id.org/pko#Procedure",
    "MappingRelation": "exact",
    "OntologyProfile": "pko-core-2.0.0",
    "Notes": "Versioned procedure resources.",
    "Name": "ProcedureVersions -&gt; https://w3id.org/pko#Procedure"
   },
   {
    "SemanticMappingId": "map-procedure-version-number",
    "SourcePath": "ProcedureVersions.VersionNumber",
    "MappingKind": "datatypeProperty",
    "TargetIri": "https://w3id.org/pko#versionNumber",
    "MappingRelation": "exact",
    "OntologyProfile": "pko-core-2.0.0",
    "Notes": "PKO version number.",
    "Name": "ProcedureVersions.VersionNumber -&gt; https://w3id.org/pko#versionNumber"
   },
   {
    "SemanticMappingId": "map-status-change",
    "SourcePath": "ProcedureStatusChanges",
    "MappingKind": "class",
    "TargetIri": "https://w3id.org/pko#ChangeOfStatus",
    "MappingRelation": "exact",
    "OntologyProfile": "pko-core-2.0.0",
    "Notes": "Status transition activity.",
    "Name": "ProcedureStatusChanges -&gt; https://w3id.org/pko#ChangeOfStatus"
   },
   {
    "SemanticMappingId": "map-steps",
    "SourcePath": "Steps",
    "MappingKind": "class",
    "TargetIri": "http://purl.org/net/p-plan#Step",
    "MappingRelation": "exact",
    "OntologyProfile": "p-plan",
    "Notes": "Atomic steps.",
    "Name": "Steps -&gt; http://purl.org/net/p-plan#Step"
   },
   {
    "SemanticMappingId": "map-multisteps",
    "SourcePath": "Steps.StepKind=MultiStep",
    "MappingKind": "class",
    "TargetIri": "http://purl.org/net/p-plan#MultiStep",
    "MappingRelation": "exact",
    "OntologyProfile": "p-plan",
    "Notes": "Composite steps.",
    "Name": "Steps.StepKind=MultiStep -&gt; http://purl.org/net/p-plan#MultiStep"
   },
   {
    "SemanticMappingId": "map-transitions",
    "SourcePath": "StepTransitions",
    "MappingKind": "class",
    "TargetIri": "https://w3id.org/pko#Transition",
    "MappingRelation": "exact",
    "OntologyProfile": "pko-core-2.0.0",
    "Notes": "Transition instance.",
    "Name": "StepTransitions -&gt; https://w3id.org/pko#Transition"
   },
   {
    "SemanticMappingId": "map-from-step",
    "SourcePath": "StepTransitions.FromStep",
    "MappingKind": "objectProperty",
    "TargetIri": "https://w3id.org/pko#fromStep",
    "MappingRelation": "exact",
    "OntologyProfile": "pko-core-2.0.0",
    "Notes": "Transition source.",
    "Name": "StepTransitions.FromStep -&gt; https://w3id.org/pko#fromStep"
   },
   {
    "SemanticMappingId": "map-to-step",
    "SourcePath": "StepTransitions.ToStep",
    "MappingKind": "objectProperty",
    "TargetIri": "https://w3id.org/pko#toStep",
    "MappingRelation": "exact",
    "OntologyProfile": "pko-core-2.0.0",
    "Notes": "Transition destination.",
    "Name": "StepTransitions.ToStep -&gt; https://w3id.org/pko#toStep"
   },
   {
    "SemanticMappingId": "map-actions",
    "SourcePath": "Actions",
    "MappingKind": "class",
    "TargetIri": "https://w3id.org/pko#Action",
    "MappingRelation": "exact",
    "OntologyProfile": "pko-core-2.0.0",
    "Notes": "Human action.",
    "Name": "Act</t>
  </si>
  <si>
    <t xml:space="preserve">ions -&gt; https://w3id.org/pko#Action"
   },
   {
    "SemanticMappingId": "map-functions",
    "SourcePath": "Functions",
    "MappingKind": "class",
    "TargetIri": "https://w3id.org/pko#Function",
    "MappingRelation": "exact",
    "OntologyProfile": "pko-core-2.0.0",
    "Notes": "Software function.",
    "Name": "Functions -&gt; https://w3id.org/pko#Function"
   },
   {
    "SemanticMappingId": "map-tools",
    "SourcePath": "Tools",
    "MappingKind": "class",
    "TargetIri": "http://w3id.org/nfdi4ing/metadata4ing#Tool",
    "MappingRelation": "exact",
    "OntologyProfile": "m4ing",
    "Notes": "Tool.",
    "Name": "Tools -&gt; http://w3id.org/nfdi4ing/metadata4ing#Tool"
   },
   {
    "SemanticMappingId": "map-requirements",
    "SourcePath": "Requirements",
    "MappingKind": "class",
    "TargetIri": "https://w3id.org/pko#Requirement",
    "MappingRelation": "exact",
    "OntologyProfile": "pko-core-2.0.0",
    "Notes": "Requirement.",
    "Name": "Requirements -&gt; https://w3id.org/pko#Requirement"
   },
   {
    "SemanticMappingId": "map-verifications",
    "SourcePath": "StepVerifications",
    "MappingKind": "class",
    "TargetIri": "https://w3id.org/pko#StepVerification",
    "MappingRelation": "exact",
    "OntologyProfile": "pko-core-2.0.0",
    "Notes": "Step verification.",
    "Name": "StepVerifications -&gt; https://w3id.org/pko#StepVerification"
   },
   {
    "SemanticMappingId": "map-resources",
    "SourcePath": "Resources",
    "MappingKind": "class",
    "TargetIri": "http://www.w3.org/ns/dcat#Resource",
    "MappingRelation": "exact",
    "OntologyProfile": "dcat-3",
    "Notes": "Referenced resources.",
    "Name": "Resources -&gt; http://www.w3.org/ns/dcat#Resource"
   },
   {
    "SemanticMappingId": "map-agents",
    "SourcePath": "Agents",
    "MappingKind": "class",
    "TargetIri": "http://www.w3.org/ns/prov#Agent",
    "MappingRelation": "exact",
    "OntologyProfile": "prov-o",
    "Notes": "Agents.",
    "Name": "Agents -&gt; http://www.w3.org/ns/prov#Agent"
   },
   {
    "SemanticMappingId": "map-roles",
    "SourcePath": "Roles",
    "MappingKind": "class",
    "TargetIri": "http://purl.org/spar/pro/Role",
    "MappingRelation": "exact",
    "OntologyProfile": "pro",
    "Notes": "Roles.",
    "Name": "Roles -&gt; http://purl.org/spar/pro/Role"
   },
   {
    "SemanticMappingId": "map-role-time",
    "SourcePath": "RoleAssignments",
    "MappingKind": "class",
    "TargetIri": "http://purl.org/spar/pro/RoleInTime",
    "MappingRelation": "exact",
    "OntologyProfile": "pro",
    "Notes": "Time-bounded role assignments.",
    "Name": "RoleAssignments -&gt; http://purl.org/spar/pro/RoleInTime"
   },
   {
    "SemanticMappingId": "map-procedure-executions",
    "SourcePath": "ProcedureExecutions",
    "MappingKind": "class",
    "TargetIri": "https://w3id.org/pko#ProcedureExecution",
    "MappingRelation": "exact",
    "OntologyProfile": "pko-core-2.0.0",
    "Notes": "Procedure execution.",
    "Name": "ProcedureExecutions -&gt; https://w3id.org/pko#ProcedureExecution"
   },
   {
    "SemanticMappingId": "map-step-executions",
    "SourcePath": "StepExecutions",
    "MappingKind": "class",
    "TargetIri": "https://w3id.org/pko#StepExecution",
    "MappingRelation": "exact",
    "OntologyProfile": "pko-core-2.0.0",
    "Notes": "Step execution.",
    "Name": "StepExecutions -&gt; https://w3id.org/pko#StepExecution"
   },
   {
    "SemanticMappingId": "map-satisfactions",
    "SourcePath": "RequirementSatisfactions",
    "MappingKind": "class",
    "TargetIri": "https://w3id.org/pko#RequirementSatisfaction",
    "MappingRelation": "exact",
    "OntologyProfile": "pko-core-2.0.0",
    "Notes": "Requirement satisfaction.",
    "Name": "RequirementSatisfactions -&gt; https://w3id.org/pko#RequirementSatisfaction"
   },
   {
    "SemanticMappingId": "map-errors",
    "SourcePath": "Errors",
    "MappingKind": "class",
    "TargetIri": "https://w3id.org/pko#Error",
    "MappingRelation": "exact",
    "OntologyProfile": "pko-core-2.0.0",
    "Notes": "Error.",
    "Name": "Errors -&gt; https://w3id.org/pko#Error"
   },
   {
    "SemanticMappingId": "map-issues",
    "SourcePath": "IssueOccurrences",
    "MappingKind": "class",
    "TargetIri": "https://w3id.org/pko#IssueOccurrence",
    "MappingRelation": "exact",
    "OntologyProfile": "pko-core-2.0.0",
    "Notes": "Issue occurrence.",
    "Name": "IssueOccurrences -&gt; https://w3id.org/pko#IssueOccurrence"
   },
   {
    "SemanticMappingId": "map-questions",
    "SourcePath": "UserQuestions",
    "MappingKind": "class",
    "TargetIri": "https://w3id.org/pko#UserQuestionOccurrence",
    "MappingRelation": "exact",
    "OntologyProfile": "pko-core-2.0.0",
    "Notes": "Question occurrence.",
    "Name": "UserQuestions -&gt; https://w3id.org/pko#UserQuestionOccurrence"
   },
   {
    "SemanticMappingId": "map-feedback",
    "SourcePath": "UserFeedback",
    "MappingKind": "class",
    "TargetIri": "https://w3id.org/pko#UserFeedbackOccurrence",
    "MappingRelation": "exact",
    "OntologyProfile": "pko-core-2.0.0",
    "Notes": "Feedback occurrence.",
    "Name": "UserFeedback -&gt; https://w3id.org/pko#UserFeedbackOccurrence"
   },
   {
    "SemanticMappingId": "map-faqs",
    "SourcePath": "FAQs",
    "MappingKind": "class",
    "TargetIri": "https://w3id.org/pko#FrequentlyAskedQuestion",
    "MappingRelation": "exact",
    "OntologyProfile": "pko-core-2.0.0",
    "Notes": "FAQ.",
    "Name": "FAQs -&gt; https://w3id.org/pko#FrequentlyAskedQuestion"
   },
   {
    "SemanticMappingId": "map-explanations",
    "SourcePath": "Explanations",
    "MappingKind": "class",
    "TargetIri": "https://w3id.org/pko#Explanation",
    "MappingRelation": "exact",
    "OntologyProfile": "pko-core-2.0.0",
    "Notes": "Explanation.",
    "Name": "Explanations -&gt; https://w3id.org/pko#Explanation"
   },
   {
    "SemanticMappingId": "map-knowledge-fragments",
    "SourcePath": "KnowledgeFragments",
    "MappingKind": "class",
    "TargetIri": "urn:effortless:pko-extension#KnowledgeFragment",
    "MappingRelation": "extension",
    "OntologyProfile": "erb-pko-extension-1.0.0",
    "Notes": "Tacit/implicit/explicit knowledge capture.",
    "Name": "KnowledgeFragments -&gt; urn:effortless:pko-extension#KnowledgeFragment"
   },
   {
    "SemanticMappingId": "map-elicitation",
    "SourcePath": "ElicitationSessions",
    "MappingKind": "class",
    "TargetIri": "urn:effortless:pko-extension#ElicitationSession",
    "MappingRelation": "extension",
    "OntologyProfile": "erb-pko-extension-1.0.0",
    "Notes": "Knowledge elicitation activity.",
    "Name": "ElicitationSessions -&gt; urn:effortless:pko-extension#ElicitationSession"
   },
   {
    "SemanticMappingId": "map-governance",
    "SourcePath": "StewardshipAssignments",
    "MappingKind": "class",
    "TargetIri": "urn:effortless:pko-extension#StewardshipAssignment",
    "MappingRelation": "extension",
    "OntologyProfile": "erb-pko-extension-1.0.0",
    "Notes": "Stewardship and authority.",
    "Name": "StewardshipAssignments -&gt; urn:effortless:pko-extension#StewardshipAssignment"
   },
   {
    "SemanticMappingId": "map-operational-binding",
    "SourcePath": "OperationalBindings",
    "MappingKind": "class",
    "TargetIri": "urn:effortless:pko-extension#OperationalBinding",
    "MappingRelation": "extension",
    "OntologyProfile": "erb-pko-extension-1.0.0",
    "Notes": "Live data binding.",
    "Name": "OperationalBindings -&gt; urn:effortless:pko-extension#OperationalBinding"
   },
   {
    "SemanticMappingId": "map-communication-policy",
    "SourcePath": "CommunicationPolicies",
    "MappingKind": "class",
    "TargetIri": "http://www.w3.org/ns/odrl/2/Policy",
    "MappingRelation": "aligned",
    "OntologyProfile": "odrl",
    "Notes": "Channel policy.",
    "Name": "CommunicationPolicies -&gt; http://www.w3.org/ns/odrl/2/Policy"
   },
   {
    "SemanticMappingId": "map-approleprofiles",
    "SourcePath": "AppRoleProfiles",
    "MappingKind": "class",
    "TargetIri": "urn:effortless:pko-extension#AppRoleProfile",
    "MappingRelation": "extension",
    "OntologyProfile": "erb-pko-extension-1.0.0",
    "Notes": "How a role is presented in the application: accent colour, icon, login-card copy. Not a PKO concern — PKO models procedural knowledge, not the applications that display it.",
    "Name": "AppRoleProfiles -&gt; urn:effortless:pko-extension#AppRoleProfile"
   },
   {
    "SemanticMappingId": "map-appnavgroups",
    "SourcePath": "AppNavGroups",
    "MappingKind": "class",
    "TargetIri": "urn:effortless:pko-extension#AppNavGroup",
    "MappingRelation": "extension",
    "OntologyProfile": "erb-pko-extension-1.0.0",
    "Notes": "Left-navigation section headers for the role-navigated application.",
    "Name": "AppNavGroups -&gt; urn:effortless:pko-extension#AppNavGroup"
   },
   {
    "SemanticMappingId": "map-approutes",
    "SourcePath": "AppRoutes",
    "MappingKind": "class",
    "TargetIri": "urn:effortless:pko-extension#AppRoute",
    "MappingRelation": "extension",
    "OntologyProfile": "erb-pko-extension-1.0.0",
    "Notes": "One screen in the role-navigated application, addressed as /{role}/{dashboard}/{entity...}.",
    "Name": "AppRoutes -&gt; urn:effortless:pko-extension#AppRoute"
   },
   {
    "SemanticMappingId": "map-approutequestions",
    "SourcePath": "AppRouteQuestions",
    "MappingKind": "class",
    "TargetIri": "urn:effortless:pko-extension#AppRouteQuestion",
    "MappingRelation": "extension",
    "OntologyProfile": "erb-pko-extension-1.0.0",
    "Notes": "Junction relating a route to the RoleQuestions it helps answer. Many-to-many by design.",
    "Name": "AppRouteQuestions -&gt; urn:effortless:pko-extension#AppRouteQuestion"
   },
   {
    "SemanticMappingId": "map-approutereferences",
    "SourcePath": "AppRouteReferences",
    "MappingKind": "class",
    "TargetIri": "urn:effortless:pko-extension#AppRouteReference",
    "MappingRelation": "extension",
    "OntologyProfile": "erb-pko-extension-1.0.0",
    "Notes": "Junction relating a route to other routes it links to: the navigation graph.",
    "Name": "AppRouteReferences -&gt; urn:effortless:pko-extension#AppRouteReference"
   },
   {
    "SemanticMappingId": "map-process-mining-runs",
    "SourcePath": "ProcessMiningRuns",
    "MappingKind": "class",
    "TargetIri": "urn:effortless:pko-extension#ProcessMiningRun",
    "MappingRelation": "extension",
    "OntologyProfile": "erb-pko-extension-1.0.0",
    "Notes": "Process-mining conformance evidence — not part of PKO 2.0.0.",
    "Name": "ProcessMiningRuns -&gt; urn:effortless:pko-extension#ProcessMiningRun"
   },
   {
    "SemanticMappingId": "map-vocabularies",
    "SourcePath": "Vocabularies",
    "MappingKind": "class",
    "TargetIri": "urn:effortless:pko-extension#Vocabulary",
    "MappingRelation": "extension",
    "OntologyProfile": "erb-pko-extension-1.0.0",
    "Notes": "A controlled-vocabulary concept scheme — not part of PKO 2.0.0.",
    "Name": "Vocabularies -&gt; urn:effortless:pko-extension#Vocabulary"
   },
   {
    "SemanticMappingId": "map-vocabulary-terms",
    "SourcePath": "VocabularyTerms",
    "MappingKind": "class",
    "TargetIri": "urn:effortless:pko-extension#VocabularyTerm",
    "MappingRelation": "extension",
    "OntologyProfile": "erb-pko-extension-1.0.0",
    "Notes": "A SKOS-style controlled term — not part of PKO 2.0.0.",
    "Name": "VocabularyTerms -&gt; urn:effortless:pko-extension#VocabularyTerm"
   },
   {
    "SemanticMappingId": "map-knowledge-broker-links",
    "SourcePath": "KnowledgeBrokerLinks",
    "MappingKind": "class",
    "TargetIri": "urn:effortless:pko-extension#KnowledgeBrokerLink",
    "MappingRelation": "extension",
    "OntologyProfile": "erb-pko-extension-1.0.0",
    "Notes": "An informal expertise-network edge — not part of PKO 2.0.0.",
    "Name": "KnowledgeBrokerLinks -&gt; urn:effortless:pko-extension#KnowledgeBrokerLink"
   },
   {
    "SemanticMappingId": "map-conformance-substrates",
    "SourcePath": "ConformanceSubstrates",
    "MappingKind": "class",
    "TargetIri": "urn:effortless:pko-extension#ConformanceSubstrate",
    "MappingRelation": "extension",
    "OntologyProfile": "erb-pko-extension-1.0.0",
    "Notes": "Substrates the conformance harness grades, and the answer-key author. Not part of PKO 2.0.0.",
    "Name": "ConformanceSubstrates -&gt; urn:effortless:pko-extension#ConformanceSubstrate"
   },
   {
    "SemanticMappingId": "map-conformance-runs",
    "SourcePath": "ConformanceRuns",
    "MappingKind": "class",
    "TargetIri": "urn:effortless:pko-extension#ConformanceRun",
    "MappingRelation": "extension",
    "OntologyProfile": "erb-pko-extension-1.0.0",
    "Notes": "Conformance harness executions. Not part of PKO 2.0.0.",
    "Name": "ConformanceRuns -&gt; urn:effortless:pko-extension#ConformanceRun"
   },
   {
    "SemanticMappingId": "map-substrate-run-scores",
    "SourcePath": "SubstrateRunScores",
    "MappingKind": "class",
    "TargetIri": "urn:effortless:pko-extension#SubstrateRunScore",
    "MappingRelation": "extension",
    "OntologyProfile": "erb-pko-extension-1.0.0",
    "Notes": "Per-run, per-substrate grades. Not part of PKO 2.0.0.",
    "Name": "SubstrateRunScores -&gt; urn:effortless:pko-extension#SubstrateRunScore"
   },
   {
    "SemanticMappingId": "map-table-conformance",
    "SourcePath": "TableConformance",
    "MappingKind": "class",
    "TargetIri": "urn:effortless:pko-extension#TableConformance",
    "MappingRelation": "extension",
    "OntologyProfile": "erb-pko-extension-1.0.0",
    "Notes": "Latest-run grades per substrate and table. Not part of PKO 2.0.0.",
    "Name": "TableConformance -&gt; urn:effortless:pko-extension#TableConformance"
   },
   {
    "SemanticMappingId": "map-field-disagreements",
    "SourcePath": "FieldDisagreements",
    "MappingKind": "class",
    "TargetIri": "urn:effortless:pko-extension#FieldDisagreement",
    "MappingRelation": "extension",
    "OntologyProfile": "erb-pko-extension-1.0.0",
    "Notes": "Latest-run fields a substrate got wrong. Not part of PKO 2.0.0.",
    "Name": "FieldDisagreements -&gt; urn:effortless:pko-extension#FieldDisagreement"
   },
   {
    "SemanticMappingId": "map-cell-disagreements",
    "SourcePath": "CellDisagreements",
    "MappingKind": "class",
    "TargetIri": "urn:effortless:pko-extension#CellDisagreement",
    "MappingRelation": "extension",
    "OntologyProfile": "erb-pko-extension-1.0.0",
    "Notes": "Latest-run sampled failing cells. Not part of PKO 2.0.0.",
    "Name": "CellDisagreements -&gt; urn:effortless:pko-extension#CellDisagreement"
   }
  ]
 },
 "WitnessLoops": {
  "Description": "One row per role-question expansion loop. Each loop poses questions that only became askable because of the previous loop's predicates.",
  "schema": [
   {
    "name": "WitnessLoopId",
    "datatype": "string",
    "type": "raw",
    "nullable": false,
    "Description": "Stored logical identifier for one WitnessLoops row."
   },
   {
    "name": "Name",
    "datatype": "string",
    "type": "calculated",
    "nullable": true,
    "Description": "Human-readable calculated display alias for the WitnessLoops row.",
    "formula": "=\"Loop \" &amp; {{LoopNumber}} &amp; \": \" &amp; {{Title}}"
   },
   {
    "name": "LoopNumber",
    "datatype": "number",
    "type": "raw",
    "nullable": false,
    "Description": "Ordinal of this expansion loop. Loop 1 is the founding set of role questions."
   },
   {
    "name": "Title",
    "datatype": "string",
    "type": "raw",
    "nullable": true,
    "Description": "Short title for what this loop set out to make askable."
   },
   {
    "name": "Premise",
    "datatype": "string",
    "type": "raw",
    "nullable": true,
    "Description": "Why this loop's questions became askable. For loop N&gt;1 this names the loop N-1 predicates that made them possible."
   },
   {
    "name": "StartedAt",
    "datatype": "datetime",
    "type": "raw",
    "nullable": true,
    "Description": "Time this loop began."
   },
   {
    "name": "CompletedAt",
    "datatype": "datetime",
    "type": "raw",
    "nullable": true,
    "Description": "Time this loop was committed. Null while in progress."
   },
   {
    "name": "QuestionCount",
    "datatype": "number",
    "type": "aggregation",
    "nullable": true,
    "Description": "How many role questions were posed in this loop.",
    "formula": "=COUNTIFS(RoleQuestions!{{WitnessLoop}}, {{WitnessLoopId}})"
   },
   {
    "name": "IsComplete",
    "datatype": "boolean",
    "type": "calculated",
    "nullable": true,
    "Description": "TRUE once the loop has been committed.",
    "formula": "={{CompletedAt}} &lt;&gt; \"\""
   },
   {
    "name": "FieldsAfter",
    "datatype": "number",
    "type": "raw",
    "nullable": true,
    "Description": "Total fields in the rulebook after this loop completed."
   },
   {
    "name": "DerivedAfter",
    "datatype": "number",
    "type": "raw",
    "nullable": true,
    "Description": "Derived fields after this loop completed."
   },
   {
    "name": "WitnessedAfter",
    "datatype": "number",
    "type": "raw",
    "nullable": true,
    "Description": "Fields invented for a role question after this loop completed."
   },
   {
    "name": "SemanticTypeIri",
    "datatype": "string",
    "type": "raw",
    "nullable": true,
    "Description": "Extension class IRI."
   }
  ],
  "data": [
   {
    "WitnessLoopId": "loop-01",
    "LoopNumber": 1,
    "Title": "The founding questions",
    "Premise": "The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
    "StartedAt": "2026-07-19T17:00:00-05:00",
    "CompletedAt": "2026-07-19T19:30:00-05:00",
    "SemanticTypeIri": "urn:effortless:pko-extension#WitnessLoop",
    "FieldsAfter": 1096,
    "WitnessedAfter": 462,
    "DerivedAfter": 559,
    "Name": "Loop 1: The founding questions",
    "QuestionCount": 60,
    "IsComplete": true
   },
   {
    "WitnessLoopId": "loop-02",
    "LoopNumber": 2,
    "Title": "Questions only loop 1 made askable",
    "Premise": "Loop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
    "StartedAt": "2026-07-19T19:45:00-05:00",
    "CompletedAt": "2026-07-19T20:30:00-05:00",
    "SemanticTypeIri": "urn:effortless:pko-extension#WitnessLoop",
    "FieldsAfter": 1479,
    "WitnessedAfter": 836,
    "DerivedAfter": 906,
    "Name": "Loop 2: Questions only loop 1 made askable",
    "QuestionCount": 45,
    "IsComplete": true
   },
   {
    "WitnessLoopId": "loop-03",
    "LoopNumber": 3,
    "Title": "Loop 3: the three gaps the source articles named and the model didn't have",
    "Premise": "Comparing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
    "SemanticTypeIri": "urn:effortless:pko-extension#WitnessLoop",
    "FieldsAfter": 1771,
    "WitnessedAfter": 900,
    "DerivedAfter": 1033,
    "Name": "Loop 3: Loop 3: the three gaps the source articles named and the model didn't have",
    "QuestionCount": 3,
    "IsComplete": false
   }
  ]
 },
 "RoleQuestions": {
  "Description": "One row per question a named role wants answered. Every invented predicate in this rulebook traces back to one of these.",
  "schema": [
   {
    "name": "RoleQuestionId",
    "datatype": "string",
    "type": "raw",
    "nullable": false,
    "Description": "Stored logical identifier for one RoleQuestions row."
   },
   {
    "name": "Name",
    "datatype": "string",
    "type": "calculated",
    "nullable": true,
    "Description": "Human-readable calculated display alias for the RoleQuestions row.",
    "formula": "={{AskingRole}} &amp; \": \" &amp; LEFT({{QuestionText}}, 60)"
   },
   {
    "name": "AskingRole",
    "datatype": "string",
    "type": "relationship",
    "nullable": true,
    "Description": "The role that wants this question answered.",
    "RelatedTo": "Roles"
   },
   {
    "name": "WitnessLoop",
    "datatype": "string",
    "type": "relationship",
    "nullable": true,
    "Description": "The expansion loop in which this question was posed.",
    "RelatedTo": "WitnessLoops"
   },
   {
    "name": "QuestionText",
    "datatype": "string",
    "type": "raw",
    "nullable": true,
    "Description": "The question in the role's own words."
   },
   {
    "name": "WhyItMatters",
    "datatype": "string",
    "type": "raw",
    "nullable": true,
    "Description": "What goes wrong in the real world when this question cannot be answered."
   },
   {
    "name": "AnswerableBefore",
    "datatype": "boolean",
    "type": "raw",
    "nullable": true,
    "Description": "TRUE if the model could already answer this before its loop ran. FALSE means the loop had to invent predicates for it."
   },
   {
    "name": "PredicateCount",
    "datatype": "number",
    "type": "aggregation",
    "nullable": true,
    "Description": "How many fields were invented to answer this question.",
    "formula": "=COUNTIFS(RulebookFields!{{InventedForQuestion}}, {{RoleQuestionId}})"
   },
   {
    "name": "IsAnswered",
    "datatype": "boolean",
    "type": "calculated",
    "nullable": true,
    "Description": "TRUE when at least one predicate exists to answer this question.",
    "formula": "={{PredicateCount}} &gt; 0"
   },
   {
    "name": "WitnessedAnswer",
    "datatype": "string",
    "type": "raw",
    "nullable": true,
    "Description": "The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
   },
   {
    "name": "SemanticTypeIri",
    "datatype": "string",
    "type": "raw",
    "nullable": true,
    "Description": "Extension class IRI."
   }
  ],
  "data": [
   {
    "RoleQuestionId": "q-analyst-blocking-unmet-on-my-step",
    "AskingRole": "finance-analyst",
    "WitnessLoop": "loop-01",
    "QuestionText": "On the steps I personally executed, did any of them close out while a BLOCKING requirement was still not fully satisfied?",
    "WhyItMatters": "I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
    "AnswerableBefore": false,
    "SemanticTypeIri": "urn:effortless:pko-extension#RoleQuestion",
    "WitnessedAnswer": "RequirementSatisfactions.IsBlockingAndUnmet=1/8; RequirementSatisfactions.IsFullySatisfied=7/8; RequirementSatisfactions.RequirementIsBlocking=8/8; StepExecutions.ProceededPastBlockingControl=1/12",
    "Name": "finance-analyst: On the steps I personally executed, did any of them close ou",
    "PredicateCount": 7,
    "IsAnswered": true
   },
   {
    "RoleQuestionId": "q-analyst-blocking-never-evaluated",
    "AskingRole": "finance-analyst",
    "WitnessLoop": "loop-01",
    "QuestionText": "Which blocking requirements were attached to a step I ran but never got a satisfaction record at all — not satisfied, not unsatisfied, just never assessed?",
    "WhyItMatters": "This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
    "AnswerableBefore": false,
    "SemanticTypeIri": "urn:effortless:pko-extension#RoleQuestion",
    "WitnessedAnswer": "StepExecutions.HasUnevaluatedBlockingControl=0/12; StepRequirements.RequirementIsBlocking=15/15",
    "Name": "finance-analyst: Which blocking requirements were attached to a step I ran bu",
    "PredicateCount": 8,
    "IsAnswered": true
   },
   {
    "RoleQuestionId": "q-analyst-evidence-binding-stale",
    "AskingRole": "finance-analyst",
    "WitnessLoop": "loop-01",
    "QuestionText": "When I attested my reconciliation, was the underlying ledger data actually fresh — or was I certifying against a source that had already gone stale under its own SLA?",
    "WhyItMatters": "OperationalBindings.IsFresh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
    "AnswerableBefore": false,
    "SemanticTypeIri": "urn:effortless:pko-extension#RoleQuestion",
    "WitnessedAnswer": "StepExecutions.RanOnStaleAuthoritativeSource=2/12",
    "Name": "finance-analyst: When I attested my reconciliation, was the underlying ledger",
    "PredicateCount": 6,
    "IsAnswered": true
   },
   {
    "RoleQuestionId": "q-analyst-my-late-steps-unexplained",
    "AskingRole": "finance-analyst",
    "WitnessLoop": "loop-01",
    "QuestionText": "Which of my steps ran long without anybody recording why — and of those, which ones had an exception available that nobody invoked?",
    "WhyItMatters": "StepExecutions.IsLate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
    "AnswerableBefore": false,
    "SemanticTypeIri": "urn:effortless:pko-extension#RoleQuestion",
    "WitnessedAnswer": "StepExecutions.HadUninvokedExceptionAvailable=0/12; StepExecutions.HasDeviationNote=4/12; StepExecutions.IsLateAndUnexplained=3/12",
    "Name": "finance-analyst: Which of my steps ran long without anybody recording why — a",
    "PredicateCount": 6,
    "IsAnswered": true
   },
   {
    "RoleQuestionId": "q-analyst-verification-declared-never-performed",
    "AskingRole": "finance-analyst",
    "WitnessLoop": "loop-01",
    "QuestionText": "For every step I ran that had a declared verification, did anybody actually perform it and record the observed signal — or did I just get a PASS with nothing behind it?",
    "WhyItMatters": "StepVerifications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
    "AnswerableBefore": false,
    "SemanticTypeIri": "urn:effortless:pko-extension#RoleQuestion",
    "WitnessedAnswer": "StepExecutions.ClaimsPassWithoutEvidence=3/12; StepExecutions.HasSkippedVerification=3/12",
    "Name": "finance-analyst: For every step I ran that had a declared verification, did a",
    "PredicateCount": 6,
    "IsAnswered": true
   },
   {
    "RoleQuestionId": "q-controller-separation-of-duties",
    "AskingRole": "controller",
    "WitnessLoop": "loop-01",
    "QuestionText": "Did the same agent both prepare and approve any part of this close? req-close-separation says the preparer may not be the final approver — show me that it actually held, on exec-close-2026-q2, computed and not asserted.",
    "WhyItMatters": "This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
    "AnswerableBefore": false,
    "SemanticTypeIri": "urn:effortless:pko-extension#RoleQuestion",
    "WitnessedAnswer": "StepExecutions.StepIsApproval=2/12; StepExecutions.StepIsPreparation=2/12; StepExecutions.ViolatesSeparationOfDuties=0/12; Steps.IsApprovalStep=2/17; Steps.IsPreparationStep=2/17",
    "Name": "controller: Did the same agent both prepare and approve any part of this",
    "PredicateCount": 8,
    "IsAnswered": true
   },
   {
    "RoleQuestionId": "q-controller-approval-authority-valid",
    "AskingRole": "controller",
    "WitnessLoop": "loop-01",
    "QuestionText": "Every approval on this close — was it given by an agent who actually held the required role AT THE TIME they approved, not just someone who holds it today?",
    "WhyItMatters": "req-close-human-approval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
    "AnswerableBefore": false,
    "SemanticTypeIri": "urn:effortless:pko-extension#RoleQuestion",
    "WitnessedAnswer": "RoleAssignments.IsCurrentlyValid=12/13; StepExecutions.ExecutorHeldRequiredRole=12/12; StepExecutions.IsUnauthorizedApproval=0/12",
    "Name": "controller: Every approval on this close — was it given by an agent who ",
    "PredicateCount": 7,
    "IsAnswered": true
   },
   {
    "RoleQuestionId": "q-controller-blocking-control-inoperative",
    "AskingRole": "controller",
    "WitnessLoop": "loop-01",
    "QuestionText": "Which of my blocking close controls are structurally incapable of failing — declared, bound to a step, and yet with no mechanism that could ever produce a negative result?",
    "WhyItMatters": "req-close-cutoff, req-close-balance, req-close-separation, and req-close-evidence are all IsBlocking=true. All four are pure prose. A control that cannot fail is not a control, it is a com</t>
  </si>
  <si>
    <t xml:space="preserve">ment. Before I sign anything I want a list of my own controls ranked by whether they can actually operate. This is the meta-question — it is about the model's ability to hold me accountable, and it is the one I would ask first if I were the external auditor rather than the controller.",
    "AnswerableBefore": false,
    "SemanticTypeIri": "urn:effortless:pko-extension#RoleQuestion",
    "WitnessedAnswer": "Requirements.HasEverBeenEvaluated=7/13; Requirements.IsBoundToAnyStep=13/13; Requirements.IsDecorativeControl=0/13; Requirements.IsInoperativeControl=6/13",
    "Name": "controller: Which of my blocking close controls are structurally incapab",
    "PredicateCount": 8,
    "IsAnswered": true
   },
   {
    "RoleQuestionId": "q-controller-execution-diverged-from-spec",
    "AskingRole": "controller",
    "WitnessLoop": "loop-01",
    "QuestionText": "Give me one number per close: did exec-close-2026-q2 actually conform to close-v1.1.0, and if not, how far off was it?",
    "WhyItMatters": "ProcedureExecutions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
    "AnswerableBefore": false,
    "SemanticTypeIri": "urn:effortless:pko-extension#RoleQuestion",
    "WitnessedAnswer": "ProcedureExecutions.DivergedFromSpecification=2/2; ProcedureExecutions.IsStructurallyComplete=1/2",
    "Name": "controller: Give me one number per close: did exec-close-2026-q2 actuall",
    "PredicateCount": 10,
    "IsAnswered": true
   },
   {
    "RoleQuestionId": "q-controller-ai-agent-approved-meaning",
    "AskingRole": "controller",
    "WitnessLoop": "loop-01",
    "QuestionText": "Did any AI agent or automated pipeline execute a step that requires human confirmation, or sign off on something a human was supposed to own?",
    "WhyItMatters": "req-close-human-approval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
    "AnswerableBefore": false,
    "SemanticTypeIri": "urn:effortless:pko-extension#RoleQuestion",
    "WitnessedAnswer": "RequirementSatisfactions.NonHumanEvaluatedHumanControl=0/8; StepExecutions.ExecutorIsHuman=7/12; StepExecutions.NonHumanApproval=0/12; StepExecutions.NonHumanRanHumanStep=0/12; StepExecutions.StepRequiresHumanConfirmation=3/12",
    "Name": "controller: Did any AI agent or automated pipeline execute a step that r",
    "PredicateCount": 7,
    "IsAnswered": true
   },
   {
    "RoleQuestionId": "q-cfo-can-i-sign",
    "AskingRole": "cfo",
    "WitnessLoop": "loop-01",
    "QuestionText": "Can I sign the attestation for exec-close-2026-q2 — yes or no — and if no, name the blocker.",
    "WhyItMatters": "This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
    "AnswerableBefore": false,
    "SemanticTypeIri": "urn:effortless:pko-extension#RoleQuestion",
    "WitnessedAnswer": "ProcedureExecutions.AllBlockingControlsEvaluated=2/2; ProcedureExecutions.IsAttestationReady=0/2; ProcedureExecutions.SeparationOfDutiesHeld=2/2",
    "Name": "cfo: Can I sign the attestation for exec-close-2026-q2 — yes or n",
    "PredicateCount": 8,
    "IsAnswered": true
   },
   {
    "RoleQuestionId": "q-cfo-approving-on-unfit-version",
    "AskingRole": "cfo",
    "WitnessLoop": "loop-01",
    "QuestionText": "Am I being asked to approve an execution of a procedure version that is itself overdue for review, or that has an open change request against it?",
    "WhyItMatters": "I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
    "AnswerableBefore": false,
    "SemanticTypeIri": "urn:effortless:pko-extension#RoleQuestion",
    "WitnessedAnswer": "ProcedureExecutions.ExecutedVersionIsFit=0/2; ProcedureExecutions.SignedAgainstUnfitVersion=1/2; ProcedureVersions.IsFitToExecute=0/3",
    "Name": "cfo: Am I being asked to approve an execution of a procedure vers",
    "PredicateCount": 9,
    "IsAnswered": true
   },
   {
    "RoleQuestionId": "q-cfo-approval-was-actually-verified",
    "AskingRole": "cfo",
    "WitnessLoop": "loop-01",
    "QuestionText": "My own approval on se-close06 — is there anything behind it other than the fact that I clicked approve?",
    "WhyItMatters": "verify-cfo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
    "AnswerableBefore": false,
    "SemanticTypeIri": "urn:effortless:pko-extension#RoleQuestion",
    "WitnessedAnswer": "StepExecutions.ApprovalRestsOnSelfAttestation=2/12; VerificationOutcomes.IsSelfWitnessed=3/4",
    "Name": "cfo: My own approval on se-close06 — is there anything behind it ",
    "PredicateCount": 7,
    "IsAnswered": true
   },
   {
    "RoleQuestionId": "q-cfo-who-actually-held-authority",
    "AskingRole": "cfo",
    "WitnessLoop": "loop-01",
    "QuestionText": "For every approval in this close, tell me the human who was personally accountable — and whether an exception was used to route authority away from the person who normally holds it.",
    "WhyItMatters": "exc-cfo-unavailable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
    "AnswerableBefore": false,
    "SemanticTypeIri": "urn:effortless:pko-extension#RoleQuestion",
    "WitnessedAnswer": "ExceptionInvocations.DelegatedToPreparer=0/1; ExceptionInvocations.IsUngovernedInvocation=0/1; StepExecutions.RanUnderException=1/12",
    "Name": "cfo: For every approval in this close, tell me the human who was ",
    "PredicateCount": 8,
    "IsAnswered": true
   },
   {
    "RoleQuestionId": "q-cfo-am-i-being-told-everything",
    "AskingRole": "cfo",
    "WitnessLoop": "loop-01",
    "QuestionText": "Across everything I am signing, is there any control claim in this model that rests on a human typing a conclusion rather than on something computed?",
    "WhyItMatters": "This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
    "AnswerableBefore": false,
    "SemanticTypeIri": "urn:effortless:pko-extension#RoleQuestion",
    "WitnessedAnswer": "ProcedureExecutions.AssuranceIsMostlyAsserted=2/2; RequirementSatisfactions.IsAssertedOnly=3/8; RequirementSatisfactions.RequirementHasComputedWitness=5/8; Requirements.HasComputedWitness=4/13",
    "Name": "cfo: Across everything I am signing, is there any control claim i",
    "PredicateCount": 8,
    "IsAnswered": true
   },
   {
    "RoleQuestionId": "q-steward-cadence-breach",
    "AskingRole": "process-steward",
    "WitnessLoop": "loop-01",
    "QuestionText": "For close-v1.1.0 I promised a 90-day review cadence and for policy-v1.0.0 a 60-day cadence. Is the ACTUAL interval since the last review already longer than the cadence I promised?",
    "WhyItMatters": "ReviewCadenceDays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
    "AnswerableBefore": false,
    "SemanticTypeIri": "urn:effortless:pko-extension#RoleQuestion",
    "WitnessedAnswer": "ReviewEvents.ExceedsPromisedCadence=1/3; ReviewEvents.PromiseAndBehaviorDisagree=0/3; StewardshipAssignments.HasEverBeenReviewed=2/2",
    "Name": "process-steward: For close-v1.1.0 I promised a 90-day review cadence and for ",
    "PredicateCount": 8,
    "IsAnswered": true
   },
   {
    "RoleQuestionId": "q-steward-orphan-versions",
    "AskingRole": "process-steward",
    "WitnessLoop": "loop-01",
    "QuestionText": "Which procedure versions have no steward at all? close-v1.0.0 is Archived but still referenced by ProcedureVersionLinks — does anyone own it?",
    "WhyItMatters": "An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
    "AnswerableBefore": false,
    "SemanticTypeIri": "urn:effortless:pko-extension#RoleQuestion",
    "WitnessedAnswer": "ProcedureVersions.HasAnySteward=2/3; ProcedureVersions.IsLive=2/3; ProcedureVersions.IsLiveAndUnstewarded=0/3; ProcedureVersions.IsUnstewarded=1/3; StewardshipAssignments.IsCurrentAssignment=2/2",
    "Name": "process-steward: Which procedure versions have no steward at all? close-v1.0.",
    "PredicateCount": 6,
    "IsAnswered": true
   },
   {
    "RoleQuestionId": "q-steward-untested-fallbacks",
    "AskingRole": "process-steward",
    "WitnessLoop": "loop-01",
    "QuestionText": "close-04-fallback-close-03 and policy-07-fallback-policy-06 are the paths we take when things go wrong. Have they EVER been walked in a real execution?",
    "WhyItMatters": "There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
    "AnswerableBefore": false,
    "SemanticTypeIri": "urn:effortless:pko-extension#RoleQuestion",
    "WitnessedAnswer": "StepExecutions.IsCompleted=12/12;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
    "Name": "process-steward: close-04-fallback-close-03 and policy-07-fallback-policy-06 ",
    "PredicateCount": 11,
    "IsAnswered": true
   },
   {
    "RoleQuestionId": "q-steward-published-with-blocking-gap",
    "AskingRole": "process-steward",
    "WitnessLoop": "loop-01",
    "QuestionText": "Is any procedure version live with an Open BLOCKING knowledge gap against it?",
    "WhyItMatters": "gap-close-dual-outage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
    "AnswerableBefore": false,
    "SemanticTypeIri": "urn:effortless:pko-extension#RoleQuestion",
    "WitnessedAnswer": "KnowledgeGaps.IsBlocking=5/8; KnowledgeGaps.IsOpenAndBlocking=0/8; ProcedureVersions.HasOpenBlockingGap=0/3; ProcedureVersions.IsLiveWithBlockingGap=0/3; ProcedureVersions.ShouldNotBeExecutable=0/3",
    "Name": "process-steward: Is any procedure version live with an Open BLOCKING knowledg",
    "PredicateCount": 6,
    "IsAnswered": true
   },
   {
    "RoleQuestionId": "q-steward-stalled-change-requests",
    "AskingRole": "process-steward",
    "WitnessLoop": "loop-01",
    "QuestionText": "cr-policy-delivery was requested on 2026-07-19 and has no DecidedAt. How long has it been sitting, and is that longer than we tolerate?",
    "WhyItMatters": "A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
    "AnswerableBefore": false,
    "SemanticTypeIri": "urn:effortless:pko-extension#RoleQuestion",
    "WitnessedAnswer": "ChangeRequests.IsDecided=1/2; ChangeRequests.IsStalled=0/2; ChangeRequests.IsStillPending=1/2; ChangeRequests.RequesterIsAuthority=0/2",
    "Name": "process-steward: cr-policy-delivery was requested on 2026-07-19 and has no De",
    "PredicateCount": 6,
    "IsAnswered": true
   },
   {
    "RoleQuestionId": "q-authority-orphaned-provenance",
    "AskingRole": "knowledge-authority",
    "WitnessLoop": "loop-01",
    "QuestionText": "kf-close-fx-time, kf-close-top-ten and kf-close-judgment all trace to devon-okafor via elicit-close-shadow. If Devon's controller role assignment ends, which of our beliefs lose their witness?",
    "WhyItMatters": "This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
    "AnswerableBefore": false,
    "SemanticTypeIri": "urn:effortless:pko-extension#RoleQuestion",
    "WitnessedAnswer": "Agents.IsStillEngaged=10/11; KnowledgeFragments.HasHumanSource=7/7; KnowledgeFragments.HasOrphanedProvenance=0/7; KnowledgeFragments.IsUndefendableTacitClaim=0/7; KnowledgeFragments.SourceAgentIsStillEngaged=7/7; RoleAssignments.HasDeparted=1/13",
    "Name": "knowledge-authority: kf-close-fx-time, kf-close-top-ten and kf-close-judgment all",
    "PredicateCount": 8,
    "IsAnswered": true
   },
   {
    "RoleQuestionId": "q-authority-non-approved-dependency",
    "AskingRole": "knowledge-authority",
    "WitnessLoop": "loop-01",
    "QuestionText": "kf-policy-manager-route is Status=Reviewed, not Approved, so IsCurrentlyValid is FALSE. policy-08 is a live step. Are we running a procedure on knowledge I never approved?",
    "WhyItMatters": "This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
    "AnswerableBefore": false,
    "SemanticTypeIri": "urn:effortless:pko-extension#RoleQuestion",
    "WitnessedAnswer": "KnowledgeFragments.IsApproved=6/7; KnowledgeFragments.IsAttachedToLiveVersion=7/7; KnowledgeFragments.IsReliedUpon=7/7; KnowledgeFragments.IsUnapprovedButReliedOn=1/7; KnowledgeFragments.IsWithinValidityWindow=7/7; ProcedureVersions.RunsOnUnapprovedKnowledge=3/3",
    "Name": "knowledge-authority: kf-policy-manager-route is Status=Reviewed, not Approved, so",
    "PredicateCount": 8,
    "IsAnswered": true
   },
   {
    "RoleQuestionId": "q-authority-stale-elicitation",
    "AskingRole": "knowledge-authority",
    "WitnessLoop": "loop-01",
    "QuestionText": "elicit-close-shadow ran on 2026-04-03 and elicit-policy-workshop on 2026-05-10. How old is the evidence behind each belief, and at what age do I stop trusting a shadowing session I have not repeated?",
    "WhyItMatters": "Knowledge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
    "AnswerableBefore": false,
    "SemanticTypeIri": "urn:effortless:pko-extension#RoleQuestion",
    "WitnessedAnswer": "ElicitationSessions.IsSingleWitnessMethod=2/3; ElicitationSessions.PractitionerIsStillEngaged=3/3; KnowledgeFragments.EvidenceHasExpired=0/7; KnowledgeFragments.HasRecordedElicitation=6/7; KnowledgeFragments.IsFromSingleWitness=4/7",
    "Name": "knowledge-authority: elicit-close-shadow ran on 2026-04-03 and elicit-policy-work",
    "PredicateCount": 8,
    "IsAnswered": true
   },
   {
    "RoleQuestionId": "q-authority-known-unknowns",
    "AskingRole": "knowledge-authority",
    "WitnessLoop": "loop-01",
    "QuestionText": "What do we know that we do not know? gap-policy-delivery-receipts has been Open since 2026-07-18 with a ResolutionPlan and no owner activity. How long do our acknowledged ignorances stay acknowledged and unresolved?",
    "WhyItMatters": "A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
    "AnswerableBefore": false,
    "SemanticTypeIri": "urn:effortless:pko-extension#RoleQuestion",
    "WitnessedAnswer": "KnowledgeGaps.HasResolutionPlan=8/8; KnowledgeGaps.IsAbandonedUnknown=0/8; KnowledgeGaps.IsOverdueGap=0/8; KnowledgeGaps.OwnerIsStillEngaged=8/8",
    "Name": "knowledge-authority: What do we know that we do not know? gap-policy-delivery-rec",
    "PredicateCount": 8,
    "IsAnswered": true
   },
   {
    "RoleQuestionId": "q-authority-unwitnessed-change",
    "AskingRole": "knowledge-authority",
    "WitnessLoop": "loop-01",
    "QuestionText": "cr-close-timestamp altered a blocking control on close-v1.1.0 and was decided by me. Did any semantic change to a live procedure reach production without a change request and without a review event behind it?",
    "WhyItMatters": "My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
    "AnswerableBefore": false,
    "SemanticTypeIri": "urn:effortless:pko-extension#RoleQuestion",
    "WitnessedAnswer": "ProcedureVersions.HasGovernanceRecord=2/3; ProcedureVersions.HasUnwitnessedChange=0/3; ProcedureVersions.WasModifiedSinceLastReview=0/3",
    "Name": "knowledge-authority: cr-close-timestamp altered a blocking control on close-v1.1.",
    "PredicateCount": 8,
    "IsAnswered": true
   },
   {
    "RoleQuestionId": "q-counsel-sms-without-consent",
    "AskingRole": "employment-counsel",
    "WitnessLoop": "loop-01",
    "QuestionText": "Did we send an SMS to any recipient who had not given SMS consent at the moment we sent it?",
    "WhyItMatters": "comm-sms-policy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
    "AnswerableBefore": false,
    "SemanticTypeIri": "urn:effortless:pko-extension#RoleQuestion",
    "WitnessedAnswer": "MessageDeliveries.IsConsentViolation=0/6; MessageDeliveries.PolicyRequiresConsent=4/6; MessageDeliveries.RecipientHasSmsConsent=4/6; MessageDeliveries.WasActuallyTransmitted=4/6",
    "Name": "employment-counsel: Did we send an SMS to any recipient who had not given SMS co",
    "PredicateCount": 8,
    "IsAnswered": true
   },
   {
    "RoleQuestionId": "q-counsel-quiet-hours-breach",
    "AskingRole": "employment-counsel",
    "WitnessLoop": "loop-01",
    "QuestionText": "Did any SMS go out between 20:00 and 08:00 in the recipient's own local time?",
    "WhyItMatters": "comm-sms-policy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
    "AnswerableBefore": false,
    "SemanticTypeIri": "urn:effortless:pko-extension#RoleQuestion",
    "WitnessedAnswer": "MessageDeliveries.IsInsideQuietWindow=1/6; MessageDeliveries.IsQuietHoursViolation=1/6; MessageDeliveries.PolicyHasQuietHours=4/6; MessageDeliveries.QuietWindowWrapsMidnight=4/6",
    "Name": "employment-counsel: Did any SMS go out between 20:00 and 08:00 in the recipient'",
    "PredicateCount": 10,
    "IsAnswered": true
   },
   {
    "RoleQuestionId": "q-counsel-unreachable-not-acknowledged",
    "AskingRole": "employment-counsel",
    "WitnessLoop": "loop-01",
    "QuestionText": "For every recipient we could not reach, did we correctly refrain from marking their acknowledgement complete?",
    "WhyItMatters": "exc-unreachable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
    "AnswerableBefore": false,
    "SemanticTypeIri": "urn:effortless:pko-extension#RoleQuestion",
    "WitnessedAnswer": "MessageDeliveries.HasUnreachableExceptionInvoked=1/6; MessageDeliveries.IsAcknowledged=1/6; MessageDeliveries.IsFabricatedAcknowledgement=0/6; MessageDeliveries.IsUnhandledUnreachable=0/6; MessageDeliveries.RecipientIsUnreachable=0/6",
    "Name": "employment-counsel: For every recipient we could not reach, did we correctly ref",
    "PredicateCount": 8,
    "IsAnswered": true
   },
   {
    "RoleQuestionId": "q-counsel-retention-evidence",
    "AskingRole": "employment-counsel",
    "WitnessLoop": "loop-01",
    "QuestionText": "Do we still hold the exact text of every message we sent, for the full 2555-day retention period the policy commits us to?",
    "WhyItMatters": "Both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
    "AnswerableBefore": false,
    "SemanticTypeIri": "urn:effortless:pko-extension#RoleQuestion",
    "WitnessedAnswer": "MessageDeliveries.HasRenderedBody=6/6; MessageDeliveries.IsEvidenceRequired=4/6; MessageDeliveries.IsRetentionBreach=0/6; MessageDeliveries.IsWithinRetentionWindow=6/6",
    "Name": "employment-counsel: Do we still hold the exact text of every message we sent, fo",
    "PredicateCount": 8,
    "IsAnswered": true
   },
   {
    "RoleQuestionId": "q-counsel-legal-review-gated-send",
    "AskingRole": "employment-counsel",
    "WitnessLoop": "loop-01",
    "QuestionText": "Did any message go out before my legal review of the underlying policy version was actually complete?",
    "WhyItMatters": "policy-04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
    "AnswerableBefore": false,
    "SemanticTypeIri": "urn:effortless:pko-extension#RoleQuestion",
    "WitnessedAnswer": "MessageDeliveries.ExecutionHasClearedLegalReview=6/6; MessageDeliveries.IsUnreviewedSend=0/6; ProcedureExecutions.HasClearedLegalReview=1/2; StepExecutions.IsLegalReviewStep=1/12; StepExecutions.IsVerificationPassed=11/12",
    "Name": "employment-counsel: Did any message go out before my legal review of the underly",
    "PredicateCount": 8,
    "IsAnswered": true
   },
   {
    "RoleQuestionId": "q-comms-oversized-sms",
    "AskingRole": "communications-manager",
    "WitnessLoop": "loop-01",
    "QuestionText": "Did any SMS we sent exceed 160 characters or split into more than 3 segments?",
    "WhyItMatters": "comm-sms-policy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
    "AnswerableBefore": false,
    "SemanticTypeIri": "urn:effortless:pko-extension#RoleQuestion",
    "WitnessedAnswer": "MessageDeliveries.IsOverSegmentLimit=0/6; MessageTemplates.IsTemplateOverLength=0/2",
    "Name": "communications-manager: Did any SMS we sent exceed 160 characters or split into more",
    "PredicateCount": 9,
    "IsAnswered": true
   },
   {
    "RoleQuestionId": "q-comms-approval-authority",
    "AskingRole": "communications-manager",
    "WitnessLoop": "loop-01",
    "QuestionText": "Was every template we actually sent approved by me -- the ApprovalRole the policy names -- before it went out?",
    "WhyItMatters": "Both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
    "AnswerableBefore": false,
    "SemanticTypeIri": "urn:effortless:pko-extension#RoleQuestion",
    "WitnessedAnswer": "MessageDeliveries.IsUnapprovedSend=0/6; MessageDeliveries.TemplateHasValidApproval=6/6; MessageTemplates.HasValidApproval=2/2; MessageTemplates.IsClaimingUnbackedApproval=0/2; TemplateApprovals.IsApprovalDecision=2/2; TemplateApprovals.IsDecidedByRequiredRole=2/2",
    "Name": "communications-manager: Was every template we actually sent approved by me -- the Ap",
    "PredicateCount": 10,
    "IsAnswered": true
   },
   {
    "RoleQuestionId": "q-comms-optout-present",
    "AskingRole": "communications-manager",
    "WitnessLoop": "loop-01",
    "QuestionText": "Did every SMS we actually transmitted carry the approved opt-out text?",
    "WhyItMatters": "comm-sms-policy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
    "AnswerableBefore": false,
    "SemanticTypeIri": "urn:effortless:pko-extension#RoleQuestion",
    "WitnessedAnswer": "MessageDeliveries.HasOptOutPhrase=3/6; MessageDeliveries.IsMissingRequiredOptOut=1/6; MessageDeliveries.IsOptOutAtRiskOfTruncation=0/6; MessageDeliveries.IsOptOutInFirstSegment=3/6; MessageDeliveries.PolicyRequiresOptOut=4/6",
    "Name": "communications-manager: Did every SMS we actually transmitted carry the approved opt",
    "PredicateCount": 8,
    "IsAnswered": true
   },
   {
    "RoleQuestionId": "q-comms-deliverability",
    "AskingRole": "communications-manager",
    "WitnessLoop": "loop-01",
    "QuestionText": "For this policy run, what fraction of the affected population actually received something -- and how many are sitting in a bounced or failed state that nobody is working?",
    "WhyItMatters": "This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
    "AnswerableBefore": false,
    "SemanticTypeIri": "urn:effortless:pko-extension#RoleQuestion",
    "WitnessedAnswer": "MessageDeliveries.IsAbandonedFailure=0/6; MessageDeliveries.IsFailedDelivery=1/6; Mess</t>
  </si>
  <si>
    <t xml:space="preserve">ageDeliveries.IsSuppressed=1/6; MessageDeliveries.IsTriaged=3/6; ProcedureExecutions.HasAbandonedFailures=0/2",
    "Name": "communications-manager: For this policy run, what fraction of the affected populatio",
    "PredicateCount": 10,
    "IsAnswered": true
   },
   {
    "RoleQuestionId": "q-comms-template-drift",
    "AskingRole": "communications-manager",
    "WitnessLoop": "loop-01",
    "QuestionText": "Has any template been edited since I approved it, and did we send the edited version under cover of my old approval?",
    "WhyItMatters": "This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
    "AnswerableBefore": false,
    "SemanticTypeIri": "urn:effortless:pko-extension#RoleQuestion",
    "WitnessedAnswer": "MessageDeliveries.IsDriftedSend=0/6; MessageDeliveries.TemplateWasSendable=6/6; MessageTemplates.HasBodyDrifted=0/2; MessageTemplates.IsSendableUnderApproval=2/2",
    "Name": "communications-manager: Has any template been edited since I approved it, and did we",
    "PredicateCount": 9,
    "IsAnswered": true
   },
   {
    "RoleQuestionId": "q-publisher-may-i-transmit",
    "AskingRole": "notification-publisher",
    "WitnessLoop": "loop-01",
    "QuestionText": "Before I transmit, am I permitted to use this channel for this recipient at all?",
    "WhyItMatters": "I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
    "AnswerableBefore": false,
    "SemanticTypeIri": "urn:effortless:pko-extension#RoleQuestion",
    "WitnessedAnswer": "CommunicationPolicies.IsActivePolicy=2/2;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
    "Name": "notification-publisher: Before I transmit, am I permitted to use this channel for th",
    "PredicateCount": 11,
    "IsAnswered": true
   },
   {
    "RoleQuestionId": "q-publisher-may-i-transmit-now",
    "AskingRole": "notification-publisher",
    "WitnessLoop": "loop-01",
    "QuestionText": "Before I transmit, is the current moment inside a window this channel forbids?",
    "WhyItMatters": "Timing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
    "AnswerableBefore": false,
    "SemanticTypeIri": "urn:effortless:pko-extension#RoleQuestion",
    "WitnessedAnswer": "SendIntents.IntentIsInsideQuietWindow=1/7; SendIntents.IntentPolicyHasQuietHours=6/7; SendIntents.IntentQuietWindowWraps=6/7; SendIntents.TimingGatePassed=6/7",
    "Name": "notification-publisher: Before I transmit, is the current moment inside a window thi",
    "PredicateCount": 7,
    "IsAnswered": true
   },
   {
    "RoleQuestionId": "q-publisher-is-this-content-permitted",
    "AskingRole": "notification-publisher",
    "WitnessLoop": "loop-01",
    "QuestionText": "Before I transmit, is the exact text I am holding within this channel's content rules?",
    "WhyItMatters": "I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
    "AnswerableBefore": false,
    "SemanticTypeIri": "urn:effortless:pko-extension#RoleQuestion",
    "WitnessedAnswer": "SendIntents.ContentGatePassed=5/7; SendIntents.LengthGatePassed=7/7; SendIntents.OptOutGatePassed=5/7",
    "Name": "notification-publisher: Before I transmit, is the exact text I am holding within thi",
    "PredicateCount": 9,
    "IsAnswered": true
   },
   {
    "RoleQuestionId": "q-publisher-am-i-authorized-to-act",
    "AskingRole": "notification-publisher",
    "WitnessLoop": "loop-01",
    "QuestionText": "Before I transmit, has every human authorization my instructions depend on actually been granted?",
    "WhyItMatters": "policy-07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
    "AnswerableBefore": false,
    "SemanticTypeIri": "urn:effortless:pko-extension#RoleQuestion",
    "WitnessedAnswer": "SendIntents.ApprovalIsHuman=7/7; SendIntents.AuthorizationGatePassed=7/7; SendIntents.ExecutionHasLegalClearance=7/7; SendIntents.IsClearedToSend=3/7; SendIntents.TemplateIsSendable=7/7",
    "Name": "notification-publisher: Before I transmit, has every human authorization my instruct",
    "PredicateCount": 8,
    "IsAnswered": true
   },
   {
    "RoleQuestionId": "q-publisher-refusal-was-honored",
    "AskingRole": "notification-publisher",
    "WitnessLoop": "loop-01",
    "QuestionText": "When a gate refused, did the transmission actually stop -- and did I invoke the documented exception instead?",
    "WhyItMatters": "This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
    "AnswerableBefore": false,
    "SemanticTypeIri": "urn:effortless:pko-extension#RoleQuestion",
    "WitnessedAnswer": "SendIntents.HasResultingDelivery=2/7; SendIntents.IsOverriddenRefusal=0/7; SendIntents.IsProperlyHandledRefusal=0/7; SendIntents.IsSilentlyDropped=4/7; SendIntents.RefusalCitedAnException=0/7; SendIntents.ResultingDeliveryWasTransmitted=2/7",
    "Name": "notification-publisher: When a gate refused, did the transmission actually stop -- a",
    "PredicateCount": 9,
    "IsAnswered": true
   },
   {
    "RoleQuestionId": "q-close-auto-authority-current",
    "AskingRole": "close-automation",
    "WitnessLoop": "loop-01",
    "QuestionText": "Before I execute close-01, close-02, or close-07: is my own role assignment currently valid, and is the agent named in that assignment actually me?",
    "WhyItMatters": "I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
    "AnswerableBefore": false,
    "SemanticTypeIri": "urn:effortless:pko-extension#RoleQuestion",
    "WitnessedAnswer": "RoleAssignments.CoversNow=12/13; Roles.HasNoCurrentHolder=0/12; StepExecutions.ExecutorIsDesignatedAgent=12/12",
    "Name": "close-automation: Before I execute close-01, close-02, or close-07: is my own ",
    "PredicateCount": 8,
    "IsAnswered": true
   },
   {
    "RoleQuestionId": "q-close-auto-input-freshness",
    "AskingRole": "close-automation",
    "WitnessLoop": "loop-01",
    "QuestionText": "Before I extract in close-02: is every operational binding this step reads inside its freshness SLA, and is it the authoritative one?",
    "WhyItMatters": "`issue-close-feed`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
    "AnswerableBefore": false,
    "SemanticTypeIri": "urn:effortless:pko-extension#RoleQuestion",
    "WitnessedAnswer": "OperationalBindings.IsStaleAndAuthoritative=3/5; StepExecutions.InputsWereFreshAtRun=10/12; StepExecutions.RanOnStaleInputs=2/12; Steps.InputsAreFresh=14/17",
    "Name": "close-automation: Before I extract in close-02: is every operational binding t",
    "PredicateCount": 6,
    "IsAnswered": true
   },
   {
    "RoleQuestionId": "q-close-auto-last-run-clean",
    "AskingRole": "close-automation",
    "WitnessLoop": "loop-01",
    "QuestionText": "Did my previous run leave anything unresolved — an open issue, a WARN, or a deviation — that I should refuse to run on top of?",
    "WhyItMatters": "`se-close02`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
    "AnswerableBefore": false,
    "SemanticTypeIri": "urn:effortless:pko-extension#RoleQuestion",
    "WitnessedAnswer": "IssueOccurrences.IsUnresolved=1/2; ProcedureExecutions.RanClean=0/2; StepExecutions.HasDeviation=4/12; StepExecutions.IsClean=5/12",
    "Name": "close-automation: Did my previous run leave anything unresolved — an open issu",
    "PredicateCount": 8,
    "IsAnswered": true
   },
   {
    "RoleQuestionId": "q-close-auto-blocking-requirements-evaluated",
    "AskingRole": "close-automation",
    "WitnessLoop": "loop-01",
    "QuestionText": "For each step I am about to run, has every blocking requirement attached to it actually been evaluated — or am I about to execute past a control that nobody scored?",
    "WhyItMatters": "`sr-c01`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
    "AnswerableBefore": false,
    "SemanticTypeIri": "urn:effortless:pko-extension#RoleQuestion",
    "WitnessedAnswer": "StepExecutions.HasUnevaluatedBlockingRequirement=0/12",
    "Name": "close-automation: For each step I am about to run, has every blocking requirem",
    "PredicateCount": 5,
    "IsAnswered": true
   },
   {
    "RoleQuestionId": "q-close-auto-human-override-drift",
    "AskingRole": "close-automation",
    "WitnessLoop": "loop-01",
    "QuestionText": "Am I drifting? Are humans overriding or correcting my output more often now than they used to?",
    "WhyItMatters": "This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
    "AnswerableBefore": false,
    "SemanticTypeIri": "urn:effortless:pko-extension#RoleQuestion",
    "WitnessedAnswer": "AgentDecisionRecords.WasOverridden=1/3; AgentDecisionRecords.WasReviewed=3/3; Agents.IsNonHuman=4/11",
    "Name": "close-automation: Am I drifting? Are humans overriding or correcting my output",
    "PredicateCount": 8,
    "IsAnswered": true
   },
   {
    "RoleQuestionId": "q-hr-authority-without-review",
    "AskingRole": "hr-policy-owner",
    "WitnessLoop": "loop-01",
    "QuestionText": "I am the AuthorityRole on cr-policy-delivery and it has been UnderReview with no DecidedAt since 2026-07-19. What decisions are waiting on me personally, and how long have they been waiting?",
    "WhyItMatters": "Being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
    "AnswerableBefore": false,
    "SemanticTypeIri": "urn:effortless:pko-extension#RoleQuestion",
    "WitnessedAnswer": "ChangeRequests.AwaitsAuthorityDecision=1/2; ChangeRequests.BlocksAnOpenGap=1/2; ChangeRequests.IsLiveDecisionBacklog=1/2; ChangeRequests.TouchesLiveVersion=2/2",
    "Name": "hr-policy-owner: I am the AuthorityRole on cr-policy-delivery and it has been",
    "PredicateCount": 6,
    "IsAnswered": true
   },
   {
    "RoleQuestionId": "q-hr-ai-authored-commitments",
    "AskingRole": "hr-policy-owner",
    "WitnessLoop": "loop-01",
    "QuestionText": "kf-policy-ai-boundary says AI may draft but may not create legal commitments. policy-03 and policy-06 are both assigned to policy-drafting-agent and se-policy03 was executed by policy-drafting-ai. Is that boundary actually being held?",
    "WhyItMatters": "This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
    "AnswerableBefore": false,
    "SemanticTypeIri": "urn:effortless:pko-extension#RoleQuestion",
    "WitnessedAnswer": "StepExecutions.SoftwareDidHumanWork=0/12; StepExecutions.StepIsSoftwareAssigned=5/12; StepExecutions.WasExecutedBySoftware=5/12; Steps.GateHeldByHuman=2/17; Steps.IsHumanApprovalGate=2/17; Steps.IsSoftwareAssigned=8/17",
    "Name": "hr-policy-owner: kf-policy-ai-boundary says AI may draft but may not create l",
    "PredicateCount": 7,
    "IsAnswered": true
   },
   {
    "RoleQuestionId": "q-hr-unapproved-knowledge-in-my-name",
    "AskingRole": "hr-policy-owner",
    "WitnessLoop": "loop-01",
    "QuestionText": "kf-policy-manager-route is Status=Reviewed and I am its OwnerRole. exc-unreachable routes real employee cases on that exact 48-hour rule. Which claims am I the owner of that were never approved?",
    "WhyItMatters": "The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
    "AnswerableBefore": false,
    "SemanticTypeIri": "urn:effortless:pko-extension#RoleQuestion",
    "WitnessedAnswer": "KnowledgeFragments.HasOperationalReliance=2/7; KnowledgeFragments.IsAwaitingApproval=1/7; KnowledgeFragments.IsMyUnfinishedApproval=1/7; KnowledgeFragments.IsUnapprovedAndOperationallyLive=1/7; KnowledgeFragments.OwnerIsMe=1/7",
    "Name": "hr-policy-owner: kf-policy-manager-route is Status=Reviewed and I am its Owne",
    "PredicateCount": 7,
    "IsAnswered": true
   },
   {
    "RoleQuestionId": "q-hr-what-was-actually-sent",
    "AskingRole": "hr-policy-owner",
    "WitnessLoop": "loop-01",
    "QuestionText": "policy-07 sends approved communications under channel controls, and kf-policy-channel says disputes are resolved against the complete approved email. If an employee disputes what they received, can I show that what was sent matched what I approved?",
    "WhyItMatters": "This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
    "AnswerableBefore": false,
    "SemanticTypeIri": "urn:effortless:pko-extension#RoleQuestion",
    "WitnessedAnswer": "ProcedureExecutions.DeliveredWithoutApproval=0/2; ProcedureExecutions.HasDelivered=0/2; ProcedureExecutions.HasHumanApproval=2/2; StepExecutions.IsApprovalExecution=1/12; StepExecutions.IsVerified=12/12",
    "Name": "hr-policy-owner: policy-07 sends approved communications under channel contro",
    "PredicateCount": 7,
    "IsAnswered": true
   },
   {
    "RoleQuestionId": "q-hr-policy-knowledge-half-life",
    "AskingRole": "hr-policy-owner",
    "WitnessLoop": "loop-01",
    "QuestionText": "policy-v1.0.0 was issued 2026-06-01 on knowledge elicited in May from Amina, Noah and me. My stewardship promises a 60-day cadence. Is the policy I own now resting on knowledge older than the policy itself has been reviewed?",
    "WhyItMatters": "Employment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
    "AnswerableBefore": false,
    "SemanticTypeIri": "urn:effortless:pko-extension#RoleQuestion",
    "WitnessedAnswer": "KnowledgeFragments.ExceedsOwningCadence=7/7; KnowledgeFragments.IsAgingLowConfidenceClaim=2/7; KnowledgeFragments.IsLowConfidence=2/7; ProcedureVersions.KnowledgeIsStalerThanCadence=3/3",
    "Name": "hr-policy-owner: policy-v1.0.0 was issued 2026-06-01 on knowledge elicited in",
    "PredicateCount": 7,
    "IsAnswered": true
   },
   {
    "RoleQuestionId": "q-variance-ai-authority-provenance",
    "AskingRole": "variance-review-agent",
    "WitnessLoop": "loop-01",
    "QuestionText": "By what authority am I executing close-04, when did that authority begin, who approved it, and who held this role before me?",
    "WhyItMatters": "This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
    "AnswerableBefore": false,
    "SemanticTypeIri": "urn:effortless:pko-extension#RoleQuestion",
    "WitnessedAnswer": "RoleAssignments.IsHumanToNonHumanHandover=1/13; RoleAssignments.IsNonHumanAssignment=4/13; RoleAssignments.IsUnauthorizedNonHumanAssignment=3/13",
    "Name": "variance-review-agent: By what authority am I executing close-04, when did that aut",
    "PredicateCount": 8,
    "IsAnswered": true
   },
   {
    "RoleQuestionId": "q-variance-ai-quality-vs-human-baseline",
    "AskingRole": "variance-review-agent",
    "WitnessLoop": "loop-01",
    "QuestionText": "Since I took over on 2026-04-01, is my triage quality better or worse than maria-chen's during the 2025-01-01 to 2026-03-31 human pilot?",
    "WhyItMatters": "'Did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
    "AnswerableBefore": false,
    "SemanticTypeIri": "urn:effortless:pko-extension#RoleQuestion",
    "WitnessedAnswer": "RoleAssignments.QualityRegressedVsPredecessor=0/13",
    "Name": "variance-review-agent: Since I took over on 2026-04-01, is my triage quality better",
    "PredicateCount": 7,
    "IsAnswered": true
   },
   {
    "RoleQuestionId": "q-variance-ai-boundary-compliance",
    "AskingRole": "variance-review-agent",
    "WitnessLoop": "loop-01",
    "QuestionText": "Am I operating inside my approved boundary — or have I made a decision that `kf-policy-ai-boundary` says only a human may make?",
    "WhyItMatters": "`kf-policy-ai-boundary`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
    "AnswerableBefore": false,
    "SemanticTypeIri": "urn:effortless:pko-extension#RoleQuestion",
    "WitnessedAnswer": "AgentDecisionRecords.ViolatedAuthorityBoundary=0/3; AuthorityBoundaries.IsCurrentlyBinding=3/3; AuthorityBoundaries.RatifyingFragmentIsValid=2/3",
    "Name": "variance-review-agent: Am I operating inside my approved boundary — or have I made ",
    "PredicateCount": 9,
    "IsAnswered": true
   },
   {
    "RoleQuestionId": "q-variance-ai-human-confirmation-present",
    "AskingRole": "variance-review-agent",
    "WitnessLoop": "loop-01",
    "QuestionText": "close-04's instruction says 'Use AI triage, then apply human judgment.' Did a human actually confirm my material and escalated calls, or did my output pass through unreviewed?",
    "WhyItMatters": "`se-close04`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
    "AnswerableBefore": false,
    "SemanticTypeIri": "urn:effortless:pko-extension#RoleQuestion",
    "WitnessedAnswer": "AgentDecisionRecords.HasHumanConfirmation=3/3; AgentDecisionRecords.IsUnconfirmedNonHumanDecision=0/3; AgentDecisionRecords.NeedsHumanConfirmation=3/3; StepExecutions.HumanConfirmationMissing=0/12; StepExecutions.RequiresHumanConfirmation=3/12",
    "Name": "variance-review-agent: close-04's instruction says 'Use AI triage, then apply human",
    "PredicateCount": 8,
    "IsAnswered": true
   },
   {
    "RoleQuestionId": "q-variance-ai-knowledge-currency",
    "AskingRole": "variance-review-agent",
    "WitnessLoop": "loop-01",
    "QuestionText": "Is the judgment knowledge I triage against still valid, still owned by someone, and has it been reviewed since I took over the role?",
    "WhyItMatters": "I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
    "AnswerableBefore": false,
    "SemanticTypeIri": "urn:effortless:pko-extension#RoleQuestion",
    "WitnessedAnswer": "KnowledgeFragments.IsAiValidatedByAi=0/7; KnowledgeFragments.IsHumanOwned=7/7; KnowledgeFragments.IsOverdueForReview=6/7; KnowledgeFragments.PredatesCurrentRoleHolder=0/7",
    "Name": "variance-review-agent: Is the judgment knowledge I triage against still valid, stil",
    "PredicateCount": 8,
    "IsAnswered": true
   },
   {
    "RoleQuestionId": "q-policy-ai-no-role-assignment",
    "AskingRole": "policy-drafting-agent",
    "WitnessLoop": "loop-01",
    "QuestionText": "I am named as `policy-drafting-agent`.CurrentAgent and I executed `se-policy03` — but is there any RoleAssignment row that actually grants me this role?",
    "WhyItMatters": "There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
    "AnswerableBefore": false,
    "SemanticTypeIri": "urn:effortless:pko-extension#RoleQuestion",
    "WitnessedAnswer": "Roles.IsNonHumanHeld=4/12; Roles.IsUngovernedNonHumanRole=0/12; Steps.AssignedRoleIsUngoverned=0/17",
    "Name": "policy-drafting-agent: I am named as `policy-drafting-agent`.CurrentAgent and I exe",
    "PredicateCount": 3,
    "IsAnswered": true
   },
   {
    "RoleQuestionId": "q-policy-ai-source-approval",
    "AskingRole": "policy-drafting-agent",
    "WitnessLoop": "loop-01",
    "QuestionText": "Before I draft: is every resource I am about to read an approved source, and is its binding still inside its freshness SLA?",
    "WhyItMatters": "`req-policy-source`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
    "AnswerableBefore": false,
    "SemanticTypeIri": "urn:effortless:pko-extension#RoleQuestion",
    "WitnessedAnswer": "OperationalBindings.IsUsableForDrafting=0/5; OperationalBindings.ResourceIsApproved=0/5; Resources.IsApprovedSource=0/8; StepExecutions.DraftedFromUnusableSource=2/12; StepExecutions.InputsWereUsable=10/12; Steps.AllSourcesUsable=14/17",
    "Name": "policy-drafting-agent: Before I draft: is every resource I am about to read an appr",
    "PredicateCount": 9,
    "IsAnswered": true
   },
   {
    "RoleQuestionId": "q-policy-ai-commitment-boundary",
    "AskingRole": "policy-drafting-agent",
    "WitnessLoop": "loop-01",
    "QuestionText": "Did I draft language that creates a new legal commitment — the one thing `kf-policy-ai-boundary` says I may not do?",
    "WhyItMatters": "This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
    "AnswerableBefore": false,
    "SemanticTypeIri": "urn:effortless:pko-extension#RoleQuestion",
    "WitnessedAnswer": "Agents.IsOperatingOutsideBoundary=0/11; AuthorityBoundaries.IsUntested=3/3",
    "Name": "policy-drafting-agent: Did I draft language that creates a new legal commitment — t",
    "PredicateCount": 5,
    "IsAnswered": true
   },
   {
    "RoleQuestionId": "q-policy-ai-downstream-rewrite",
    "AskingRole": "policy-drafting-agent",
    "WitnessLoop": "loop-01",
    "QuestionText": "Is my draft surviving human review, or is `noah-williams` rewriting my legal language every time?",
    "WhyItMatters": "My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
    "AnswerableBefore": false,
    "SemanticTypeIri": "urn:effortless:pko-extension#RoleQuestion",
    "WitnessedAnswer": "AgentDecisionRecords.IsDraftKind=0/3",
    "Name": "policy-drafting-agent: Is my draft surviving human review, or is `noah-williams` re",
    "PredicateCount": 7,
    "IsAnswered": true
   },
   {
    "RoleQuestionId": "q-policy-ai-approval-chain-complete",
    "AskingRole": "policy-drafting-agent",
    "WitnessLoop": "loop-01",
    "QuestionText": "Before `notification-pipeline` sends anything I rendered at policy-06: has a human actually approved the MEANING at policy-05, and has counsel actually signed off at policy-04 — or is my text about to reach employees on the strength of two pending reviews?",
    "WhyItMatters": "The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t>
  </si>
  <si>
    <t xml:space="preserve">ist before I am the reason it was needed.",
    "AnswerableBefore": false,
    "SemanticTypeIri": "urn:effortless:pko-extension#RoleQuestion",
    "WitnessedAnswer": "ProcedureExecutions.ApprovalChainIsComplete=2/2; RequirementSatisfactions.IsHumanEvaluated=8/8; RequirementSatisfactions.IsInvalidApproval=0/8",
    "Name": "policy-drafting-agent: Before `notification-pipeline` sends anything I rendered at ",
    "PredicateCount": 7,
    "IsAnswered": true
   },
   {
    "RoleQuestionId": "q2-authority-compound-fragility",
    "AskingRole": "knowledge-authority",
    "WitnessLoop": "loop-02",
    "QuestionText": "Loop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
    "WhyItMatters": "IsFromSingleWitness=4/7,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
    "AnswerableBefore": false,
    "SemanticTypeIri": "urn:effortless:pko-extension#RoleQuestion",
    "WitnessedAnswer": "KnowledgeFragments.IsCompoundFragile=1/7; KnowledgeFragments.IsExpiringSinglePointOfFailure=0/7; KnowledgeFragments.IsSinglePointOfFailure=0/7; ProcedureVersions.RestsOnCompoundFragileKnowledge=1/3",
    "Name": "knowledge-authority: Loop 1 gave me four separate decay signals on knowledge frag",
    "PredicateCount": 7,
    "IsAnswered": true
   },
   {
    "RoleQuestionId": "q2-authority-boundary-rests-on-expired-claim",
    "AskingRole": "knowledge-authority",
    "WitnessLoop": "loop-02",
    "QuestionText": "AuthorityBoundaries.RatifyingFragmentIsValid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
    "WhyItMatters": "This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
    "AnswerableBefore": false,
    "SemanticTypeIri": "urn:effortless:pko-extension#RoleQuestion",
    "WitnessedAnswer": "AuthorityBoundaries.IsUnwarranted=1/3; AuthorityBoundaries.IsUnwarrantedAndUntested=1/3; AuthorityBoundaries.RatifyingFragmentIsOverdue=2/3; AuthorityBoundaries.RatifyingFragmentIsSingleWitness=2/3; AuthorityBoundaries.WarrantIsThin=2/3; Steps.IsGovernedByUnwarrantedBoundary=1/17",
    "Name": "knowledge-authority: AuthorityBoundaries.RatifyingFragmentIsValid reads 2 of 3. O",
    "PredicateCount": 8,
    "IsAnswered": true
   },
   {
    "RoleQuestionId": "q2-authority-elicitation-method-monoculture",
    "AskingRole": "knowledge-authority",
    "WitnessLoop": "loop-02",
    "QuestionText": "Loop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
    "WhyItMatters": "IsFromSingleWitness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
    "AnswerableBefore": false,
    "SemanticTypeIri": "urn:effortless:pko-extension#RoleQuestion",
    "WitnessedAnswer": "ElicitationSessions.IsConcentratedSingleWitness=1/3; ElicitationSessions.IsHighYieldSession=1/3; ElicitationSessions.IsStaleConcentratedWitness=0/3; ProcedureVersions.KnowledgeBaseIsConcentrated=1/3",
    "Name": "knowledge-authority: Loop 1 says 2 of 3 elicitation sessions used a single-witnes",
    "PredicateCount": 8,
    "IsAnswered": true
   },
   {
    "RoleQuestionId": "q2-authority-unapproved-knowledge-reaching-machines",
    "AskingRole": "knowledge-authority",
    "WitnessLoop": "loop-02",
    "QuestionText": "Loop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
    "WhyItMatters": "IsUnapprovedButReliedOn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
    "AnswerableBefore": false,
    "SemanticTypeIri": "urn:effortless:pko-extension#RoleQuestion",
    "WitnessedAnswer": "KnowledgeFragments.ConsumingStepIsSoftwareAssigned=6/7; KnowledgeFragments.IsUnapprovedAndHumanConsumed=0/7; KnowledgeFragments.IsUnapprovedAndMachineConsumed=1/7; ProcedureVersions.FeedsUnapprovedKnowledgeToMachines=1/3",
    "Name": "knowledge-authority: Loop 1 found exactly one fragment that is unapproved and ope",
    "PredicateCount": 7,
    "IsAnswered": true
   },
   {
    "RoleQuestionId": "q2-authority-review-date-is-inferred-not-recorded",
    "AskingRole": "knowledge-authority",
    "WitnessLoop": "loop-02",
    "QuestionText": "Loop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
    "WhyItMatters": "This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
    "AnswerableBefore": false,
    "SemanticTypeIri": "urn:effortless:pko-extension#RoleQuestion",
    "WitnessedAnswer": "KnowledgeFragments.HasReviewRecord=3/7; KnowledgeFragments.InferenceDisagreesWithRecord=3/7; KnowledgeFragments.IsGenuinelyOverdue=0/7; KnowledgeFragments.IsUnreviewedSinceAuthoring=3/7; KnowledgeFragments.ReviewRecencyIsInferred=3/7",
    "Name": "knowledge-authority: Loop 1 reports IsOverdueForReview=6/7, and I do not trust th",
    "PredicateCount": 8,
    "IsAnswered": true
   },
   {
    "RoleQuestionId": "q2-hr-my-backlog-is-someone-elses-block",
    "AskingRole": "hr-policy-owner",
    "WitnessLoop": "loop-02",
    "QuestionText": "Loop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
    "WhyItMatters": "IsLiveDecisionBacklog=1/2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
    "AnswerableBefore": false,
    "SemanticTypeIri": "urn:effortless:pko-extension#RoleQuestion",
    "WitnessedAnswer": "ChangeRequests.IsMyBlockingBacklog=1/2; ChangeRequests.IsMyOverdueBacklog=0/2; ChangeRequests.IsMyPendingDecision=1/2; ProcedureVersions.IsBlockedOnPendingDecision=0/3",
    "Name": "hr-policy-owner: Loop 1 confirmed one live decision is waiting on me and that",
    "PredicateCount": 8,
    "IsAnswered": true
   },
   {
    "RoleQuestionId": "q2-hr-ai-boundary-holds-only-where-tested",
    "AskingRole": "hr-policy-owner",
    "WitnessLoop": "loop-02",
    "QuestionText": "Loop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
    "WhyItMatters": "A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
    "AnswerableBefore": false,
    "SemanticTypeIri": "urn:effortless:pko-extension#RoleQuestion",
    "WitnessedAnswer": "ProcedureVersions.AiBoundaryIsUnevidenced=2/3; Steps.HasBeenApproachedBySoftware=5/17; Steps.IsDemonstratedHumanGate=0/17; Steps.IsUnexercisedHumanGate=2/17",
    "Name": "hr-policy-owner: Loop 1 told me SoftwareDidHumanWork=0/12 and IsUntested=3/3 ",
    "PredicateCount": 8,
    "IsAnswered": true
   },
   {
    "RoleQuestionId": "q2-hr-my-unapproved-claim-is-load-bearing",
    "AskingRole": "hr-policy-owner",
    "WitnessLoop": "loop-02",
    "QuestionText": "Loop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
    "WhyItMatters": "IsUnapprovedAndOperationallyLive=1/7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
    "AnswerableBefore": false,
    "SemanticTypeIri": "urn:effortless:pko-extension#RoleQuestion",
    "WitnessedAnswer": "KnowledgeFragments.IsHighBlastRadiusUnapproved=0/7; KnowledgeFragments.IsLongUnapproved=1/7",
    "Name": "hr-policy-owner: Loop 1 found exactly one claim that is mine, unapproved, and",
    "PredicateCount": 8,
    "IsAnswered": true
   },
   {
    "RoleQuestionId": "q2-hr-my-approvals-never-read-as-done",
    "AskingRole": "hr-policy-owner",
    "WitnessLoop": "loop-02",
    "QuestionText": "When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
    "WhyItMatters": "Same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
    "AnswerableBefore": false,
    "SemanticTypeIri": "urn:effortless:pko-extension#RoleQuestion",
    "WitnessedAnswer": "ChangeRequests.DelayIsDownstreamOfMe=0/2; ChangeRequests.IsImplemented=1/2; ChangeRequests.IsMyDecidedButUnlanded=0/2; ChangeRequests.IsMyDecidedRequest=0/2",
    "Name": "hr-policy-owner: When I approve a change request it stays Approved forever an",
    "PredicateCount": 8,
    "IsAnswered": true
   },
   {
    "RoleQuestionId": "q2-hr-departed-holder-left-claims-behind",
    "AskingRole": "hr-policy-owner",
    "WitnessLoop": "loop-02",
    "QuestionText": "Loop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
    "WhyItMatters": "HasDeparted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
    "AnswerableBefore": false,
    "SemanticTypeIri": "urn:effortless:pko-extension#RoleQuestion",
    "WitnessedAnswer": "KnowledgeFragments.IsOrphanedByRole=0/7; KnowledgeFragments.OwnerRoleIsVacated=0/7; KnowledgeGaps.IsOwnerlessOpenGap=0/8; KnowledgeGaps.OwnerRoleIsVacated=0/8; Roles.HasLostAHolder=1/12; Roles.IsVacatedRole=0/12",
    "Name": "hr-policy-owner: Loop 1 found one role assignment with HasDeparted=TRUE and s",
    "PredicateCount": 8,
    "IsAnswered": true
   },
   {
    "RoleQuestionId": "q2-steward-recovery-path-is-load-bearing",
    "AskingRole": "process-steward",
    "WitnessLoop": "loop-02",
    "QuestionText": "Loop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the worst day of the quarter.",
    "WhyItMatters": "IsUnwalkedRecoveryPath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
    "AnswerableBefore": false,
    "SemanticTypeIri": "urn:effortless:pko-extension#RoleQuestion",
    "WitnessedAnswer": "ProcedureVersions.HasUnrehearsedControlEntry=2/3; ProcedureVersions.IsLiveWithUnrehearsedControl=2/3; StepTransitions.IsUnrehearsedControlEntry=3/19; StepTransitions.TargetCarriesBlockingControl=13/19",
    "Name": "process-steward: Loop 1 told me four recovery paths have never been walked. T",
    "PredicateCount": 7,
    "IsAnswered": true
   },
   {
    "RoleQuestionId": "q2-steward-cadence-breach-is-unremediated",
    "AskingRole": "process-steward",
    "WitnessLoop": "loop-02",
    "QuestionText": "Loop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
    "WhyItMatters": "ExceedsPromisedCadence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
    "AnswerableBefore": false,
    "SemanticTypeIri": "urn:effortless:pko-extension#RoleQuestion",
    "WitnessedAnswer": "ProcedureVersions.GovernanceIsSilent=0/3; ProcedureVersions.HasDecisionInFlight=1/3; ProcedureVersions.IsInCadenceBreach=1/3; ProcedureVersions.IsManagedCadenceBreach=0/3; ProcedureVersions.IsUnremediatedCadenceBreach=1/3",
    "Name": "process-steward: Loop 1 showed me one review event that exceeds the cadence I",
    "PredicateCount": 7,
    "IsAnswered": true
   },
   {
    "RoleQuestionId": "q2-steward-unstewarded-version-still-referenced",
    "AskingRole": "process-steward",
    "WitnessLoop": "loop-02",
    "QuestionText": "close-v1.0.0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
    "WhyItMatters": "IsUnstewarded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
    "AnswerableBefore": false,
    "SemanticTypeIri": "urn:effortless:pko-extension#RoleQuestion",
    "WitnessedAnswer": "ProcedureVersions.IsCleanlyRetired=0/3; ProcedureVersions.IsLoadBearingOrphan=1/3; ProcedureVersions.IsStillReferenced=1/3; ProcedureVersions.StillOwnsValidKnowledge=2/3",
    "Name": "process-steward: close-v1.0.0 is Archived and unstewarded — loop 1 confirmed ",
    "PredicateCount": 8,
    "IsAnswered": true
   },
   {
    "RoleQuestionId": "q2-steward-approved-cr-never-lands",
    "AskingRole": "process-steward",
    "WitnessLoop": "loop-02",
    "QuestionText": "cr-close-timestamp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
    "WhyItMatters": "This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
    "AnswerableBefore": false,
    "SemanticTypeIri": "urn:effortless:pko-extension#RoleQuestion",
    "WitnessedAnswer": "ChangeRequests.IsApprovedNotImplemented=0/2; ChangeRequests.IsStalledImplementation=0/2; ProcedureVersions.IsHeldUnfitByLandedDecisions=0/3",
    "Name": "process-steward: cr-close-timestamp is Approved. Loop 1 reads it as still OPE",
    "PredicateCount": 6,
    "IsAnswered": true
   },
   {
    "RoleQuestionId": "q2-steward-control-kind-instead-of-hardcoded-ids",
    "AskingRole": "process-steward",
    "WitnessLoop": "loop-02",
    "QuestionText": "Several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
    "WhyItMatters": "This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
    "AnswerableBefore": false,
    "SemanticTypeIri": "urn:effortless:pko-extension#RoleQuestion",
    "WitnessedAnswer": "ProcedureVersions.ControlTaxonomyIsIncomplete=0/3; Steps.ApprovalStepIsSoftwareAssigned=0/17; Steps.HasDeclaredControlKind=17/17",
    "Name": "process-steward: Several of my loop-1 predicates name individual steps by id ",
    "PredicateCount": 6,
    "IsAnswered": true
   },
   {
    "RoleQuestionId": "q2-fa-cleared-by-mute-control",
    "AskingRole": "finance-analyst",
    "WitnessLoop": "loop-02",
    "QuestionText": "On the steps I personally executed, how many of the blocking controls that cleared me were controls that have NEVER produced a negative outcome anywhere in this model — and were any of my steps cleared ONLY by controls of that kind?",
    "WhyItMatters": "Loop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
    "AnswerableBefore": false,
    "SemanticTypeIri": "urn:effortless:pko-extension#RoleQuestion",
    "WitnessedAnswer": "RequirementSatisfactions.IsClearanceByUnfalsifiedControl=6/8; RequirementSatisfactions.RequirementIsUnfalsified=6/8; Requirements.HasEverProducedNegative=1/13; Requirements.IsUnfalsifiedControl=6/13; StepExecutions.AllClearancesAreUnfalsified=5/12",
    "Name": "finance-analyst: On the steps I personally executed, how many of the blocking",
    "PredicateCount": 7,
    "IsAnswered": true
   },
   {
    "RoleQuestionId": "q2-fa-stale-then-vs-stale-now",
    "AskingRole": "finance-analyst",
    "WitnessLoop": "loop-02",
    "QuestionText": "Loop 1 told me two of my steps ran on a stale authoritative source. But that answer was computed against eval-current, TODAY. Was the source stale AT THE MOMENT I RAN, or has it merely gone stale since — and are those the same two steps?",
    "WhyItMatters": "This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
    "AnswerableBefore": false,
    "SemanticTypeIri": "urn:effortless:pko-extension#RoleQuestion",
    "WitnessedAnswer": "BindingObservations.IsAuthoritativeBinding=0/0; BindingObservations.WasStaleAtRun=0/0; StepExecutions.StalenessAnswerIsTenseDependent=2/12; StepExecutions.WasStaleWhenIRanIt=0/12",
    "Name": "finance-analyst: Loop 1 told me two of my steps ran on a stale authoritative ",
    "PredicateCount": 13,
    "IsAnswered": true
   },
   {
    "RoleQuestionId": "q2-fa-witness-coverage-of-my-steps",
    "AskingRole": "finance-analyst",
    "WitnessLoop": "loop-02",
    "QuestionText": "Nine of thirteen requirements have no computed witness at all. Of the blocking controls attached to the steps I run, how many are in that nine — and is `Requirements.HasComputedWitness` even telling me the truth, given a human typed it in by hand?",
    "WhyItMatters": "Loop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
    "AnswerableBefore": false,
    "SemanticTypeIri": "urn:effortless:pko-extension#RoleQuestion",
    "WitnessedAnswer": "Requirements.ClaimsAWitnessField=4/13; Requirements.DerivedHasComputedWitness=4/13; Requirements.IsUnwitnessedBlockingControl=9/13; Requirements.NamedWitnessFieldExists=4/13; Requirements.WitnessClaimIsUnverified=0/13; StepRequirements.RequirementLacksWitness=10/15",
    "Name": "finance-analyst: Nine of thirteen requirements have no computed witness at al",
    "PredicateCount": 8,
    "IsAnswered": true
   },
   {
    "RoleQuestionId": "q2-fa-clean-but-uncovered",
    "AskingRole": "finance-analyst",
    "WitnessLoop": "loop-02",
    "QuestionText": "Only 5 of 12 executions are `IsClean`. Invert it: of the executions that ARE clean, how many are clean because everything was checked and passed, versus clean because there was almost nothing checking them?",
    "WhyItMatters": "`IsClean`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
    "AnswerableBefore": false,
    "SemanticTypeIri": "urn:effortless:pko-extension#RoleQuestion",
    "WitnessedAnswer": "StepExecutions.HasAnyDeclaredCheck=8/12; StepExecutions.IsSubstantivelyClean=1/12; StepExecutions.IsUncheckedByDesign=4/12; StepExecutions.IsVacuouslyClean=2/12",
    "Name": "finance-analyst: Only 5 of 12 executions are `IsClean`. Invert it: of the exe",
    "PredicateCount": 8,
    "IsAnswered": true
   },
   {
    "RoleQuestionId": "q2-fa-my-own-evidence-quality",
    "AskingRole": "finance-analyst",
    "WitnessLoop": "loop-02",
    "QuestionText": "Three of four verification outcomes in this model are self-witnessed. On the steps I ran, was the person who observed the passing signal ever me — and when it was, did I at least attach an evidence URI?",
    "WhyItMatters": "Loop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
    "AnswerableBefore": false,
    "SemanticTypeIri": "urn:effortless:pko-extension#RoleQuestion",
    "WitnessedAnswer": "StepExecutions.EvidencePositionIsWeak=1/12; VerificationOutcomes.IsSelfWitnessedAndUnbacked=1/4; VerificationOutcomes.IsUncorroboratedPass=1/4; VerificationOutcomes.ObserverIsIndependentOfExecutor=1/4; VerificationOutcomes.ObserverIsNonHuman=1/4",
    "Name": "finance-analyst: Three of four verification outcomes in this model are self-w",
    "PredicateCount": 7,
    "IsAnswered": true
   },
   {
    "RoleQuestionId": "q2-ctl-witness-never-fired",
    "AskingRole": "controller",
    "WitnessLoop": "loop-02",
    "QuestionText": "Of my four requirements that have a computed witness, on how many has that witness ever actually returned a negative? And for the ones where it never has: is that because the control genuinely holds, or because the witness is scoped so narrowly it can never see a violation?",
    "WhyItMatters": "This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
    "AnswerableBefore": false,
    "SemanticTypeIri": "urn:effortless:pko-extension#RoleQuestion",
    "WitnessedAnswer": "Requirements.HasMeaningfulSample=0/13; Requirements.IsEvidencedHoldingControl=0/13; Requirements.IsUntestedWitness=0/13; Requirements.WitnessHasNeverFired=3/13",
    "Name": "controller: Of my four requirements that have a computed witness, on how",
    "PredicateCount": 8,
    "IsAnswered": true
   },
   {
    "RoleQuestionId": "q2-ctl-witness-scope-vs-binding",
    "AskingRole": "controller",
    "WitnessLoop": "loop-02",
    "QuestionText": "For each control that has a witness, is the witness even evaluated at the same steps where the control is bound? req-close-evidence is bound to close-03 and close-08 — is its witness scoped to both, or does it only look at one of them?",
    "WhyItMatters": "The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
    "AnswerableBefore": false,
    "SemanticTypeIri": "urn:effortless:pko-extension#RoleQuestion",
    "WitnessedAnswer": "Requirements.WitnessIsPartiallyScoped=4/13; StepRequirements.BindingWasEverExercised=0/15; StepRequirements.IsUnexercisedBlockingBinding=15/15",
    "Name": "controller: For each control that has a witness, is the witness even eva",
    "PredicateCount": 8,
    "IsAnswered": true
   },
   {
    "RoleQuestionId": "q2-ctl-separation-held-or-untested",
    "AskingRole": "controller",
    "WitnessLoop": "loop-02",
    "QuestionText": "SeparationOfDutiesHeld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
    "WhyItMatters": "Zero violations across twelve executions is </t>
  </si>
  <si>
    <t xml:space="preserve">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
    "AnswerableBefore": false,
    "SemanticTypeIri": "urn:effortless:pko-extension#RoleQuestion",
    "WitnessedAnswer": "ProcedureExecutions.SeparationHeldUnderTest=1/2; ProcedureExecutions.SeparationIsVacuouslyGreen=1/2; ProcedureExecutions.SeparationWasTestable=1/2",
    "Name": "controller: SeparationOfDutiesHeld reads 2 of 2 and ViolatesSeparationOf",
    "PredicateCount": 8,
    "IsAnswered": true
   },
   {
    "RoleQuestionId": "q2-ctl-asserted-controls-by-who",
    "AskingRole": "controller",
    "WitnessLoop": "loop-02",
    "QuestionText": "Three satisfaction records are asserted-only. For each one, who asserted it, did that person have any independent basis, and were they the same person who executed the step they were scoring?",
    "WhyItMatters": "`IsAssertedOnly`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
    "AnswerableBefore": false,
    "SemanticTypeIri": "urn:effortless:pko-extension#RoleQuestion",
    "WitnessedAnswer": "RequirementSatisfactions.EvaluatorIsStepExecutor=2/8; RequirementSatisfactions.EvaluatorOwnsTheRun=5/8; RequirementSatisfactions.HasWrittenEvidence=8/8; RequirementSatisfactions.IsBareAssertion=0/8; RequirementSatisfactions.IsInterestedPartyAssertion=3/8",
    "Name": "controller: Three satisfaction records are asserted-only. For each one, ",
    "PredicateCount": 8,
    "IsAnswered": true
   },
   {
    "RoleQuestionId": "q2-ctl-divergence-that-nobody-governed",
    "AskingRole": "controller",
    "WitnessLoop": "loop-02",
    "QuestionText": "Both executions diverged from specification. For each divergence, was there a governing instrument behind it — an invoked exception, an approved change request, or a recorded deviation with an owner — or did the run simply do something different and nobody wrote it down?",
    "WhyItMatters": "`DivergedFromSpecification`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
    "AnswerableBefore": false,
    "SemanticTypeIri": "urn:effortless:pko-extension#RoleQuestion",
    "WitnessedAnswer": "ChangeRequests.IsApprovedDecision=1/2; ProcedureExecutions.DivergenceWasFullyGoverned=1/2; ProcedureVersions.HasApprovedChangeRequest=1/3; StepExecutions.HasApprovedChangeCoverage=8/12; StepExecutions.HasGoverningInstrument=8/12; StepExecutions.IsUngovernedDivergence=2/12",
    "Name": "controller: Both executions diverged from specification. For each diverg",
    "PredicateCount": 11,
    "IsAnswered": true
   },
   {
    "RoleQuestionId": "q2-cfo-quality-of-a-green-attestation",
    "AskingRole": "cfo",
    "WitnessLoop": "loop-02",
    "QuestionText": "When IsAttestationReady eventually reads TRUE, what proportion of the controls behind that TRUE were actually demonstrated to work — versus asserted by an interested party, versus never exercised at all? Give me the assurance grade, not just the verdict.",
    "WhyItMatters": "IsAttestationReady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
    "AnswerableBefore": false,
    "SemanticTypeIri": "urn:effortless:pko-extension#RoleQuestion",
    "WitnessedAnswer": "ProcedureExecutions.AttestationWouldBeWeaklyBased=0/2; RequirementSatisfactions.IsComputedlyWitnessed=5/8",
    "Name": "cfo: When IsAttestationReady eventually reads TRUE, what proporti",
    "PredicateCount": 9,
    "IsAnswered": true
   },
   {
    "RoleQuestionId": "q2-cfo-would-it-survive-restatement",
    "AskingRole": "cfo",
    "WitnessLoop": "loop-02",
    "QuestionText": "If I re-run every attestation column against this same data six months from now, will it give the same answer? Name every column in my attestation whose value depends on when it is read rather than on what happened.",
    "WhyItMatters": "This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
    "AnswerableBefore": false,
    "SemanticTypeIri": "urn:effortless:pko-extension#RoleQuestion",
    "WitnessedAnswer": "Attestations.AssuranceGradeHasDrifted=0/0; Attestations.FitnessVerdictHasDrifted=0/0; Attestations.VersionIsFitNow=0/0; Attestations.VersionWasFitAtSigning=0/0; Attestations.WouldNotSurviveRestatement=0/0",
    "Name": "cfo: If I re-run every attestation column against this same data ",
    "PredicateCount": 11,
    "IsAnswered": true
   },
   {
    "RoleQuestionId": "q2-cfo-who-witnessed-the-witnesses",
    "AskingRole": "cfo",
    "WitnessLoop": "loop-02",
    "QuestionText": "Three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
    "WhyItMatters": "Loop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
    "AnswerableBefore": false,
    "SemanticTypeIri": "urn:effortless:pko-extension#RoleQuestion",
    "WitnessedAnswer": "ProcedureExecutions.AssuranceChainIsCircular=0/2; ProcedureExecutions.HasAnyIndependentObservation=1/2; VerificationOutcomes.IsIndependentHumanObservation=1/4",
    "Name": "cfo: Three of four verification outcomes are self-witnessed and t",
    "PredicateCount": 8,
    "IsAnswered": true
   },
   {
    "RoleQuestionId": "q2-cfo-controls-nobody-is-watching",
    "AskingRole": "cfo",
    "WitnessLoop": "loop-02",
    "QuestionText": "Nine of thirteen requirements have no computed witness and six are inoperative. Of those, which ones am I nonetheless personally attesting to — and who is the named human who would answer for each if it failed?",
    "WhyItMatters": "IsAttestationReady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
    "AnswerableBefore": false,
    "SemanticTypeIri": "urn:effortless:pko-extension#RoleQuestion",
    "WitnessedAnswer": "Requirements.HasNamedOwner=0/13; Requirements.IsOrphanedBlockingControl=13/13; Requirements.IsUnwatchedAndUnowned=9/13",
    "Name": "cfo: Nine of thirteen requirements have no computed witness and s",
    "PredicateCount": 8,
    "IsAnswered": true
   },
   {
    "RoleQuestionId": "q2-cfo-what-changed-since-i-signed",
    "AskingRole": "cfo",
    "WitnessLoop": "loop-02",
    "QuestionText": "Since the moment I signed, has anything in this model changed that would have altered my decision? Not whether the data is different — whether any change touched a control, a version, or an evidence record that my signature actually depended on.",
    "WhyItMatters": "The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
    "AnswerableBefore": false,
    "SemanticTypeIri": "urn:effortless:pko-extension#RoleQuestion",
    "WitnessedAnswer": "ProcedureExecutions.BasisChangedAfterSignature=0/2; ProcedureExecutions.HasBeenAttested=0/2; ProcedureExecutions.RequiresReAttestation=0/2; RequirementSatisfactions.WasScoredAfterAttestation=0/8",
    "Name": "cfo: Since the moment I signed, has anything in this model change",
    "PredicateCount": 9,
    "IsAnswered": true
   },
   {
    "RoleQuestionId": "q2-comms-approval-to-delivery-yield",
    "AskingRole": "communications-manager",
    "WitnessLoop": "loop-02",
    "QuestionText": "I approved a template and authorized a campaign. Of everybody the pipeline intended to contact, what fraction actually received it -- and where exactly did the rest go?",
    "WhyItMatters": "I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
    "AnswerableBefore": false,
    "SemanticTypeIri": "urn:effortless:pko-extension#RoleQuestion",
    "WitnessedAnswer": "ProcedureExecutions.CampaignSilentlyLostAudience=1/2",
    "Name": "communications-manager: I approved a template and authorized a campaign. Of everybod",
    "PredicateCount": 8,
    "IsAnswered": true
   },
   {
    "RoleQuestionId": "q2-comms-message-nobody-answered",
    "AskingRole": "communications-manager",
    "WitnessLoop": "loop-02",
    "QuestionText": "One acknowledgement out of six deliveries. Is that because employees ignored us, or because the messages that landed were the ones least likely to be answered -- wrong channel, wrong template, sent into the small hours?",
    "WhyItMatters": "IsAcknowledged=1/6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
    "AnswerableBefore": false,
    "SemanticTypeIri": "urn:effortless:pko-extension#RoleQuestion",
    "WitnessedAnswer": "MessageDeliveries.IsPoorlyTimedUnanswered=1/6; MessageDeliveries.IsWellTimedUnanswered=2/6; MessageDeliveries.WasDeliveredAndUnanswered=3/6; MessageDeliveries.WasSentOutsideBusinessHours=1/6; MessageTemplates.TemplateDrawsNoResponse=1/2",
    "Name": "communications-manager: One acknowledgement out of six deliveries. Is that because e",
    "PredicateCount": 9,
    "IsAnswered": true
   },
   {
    "RoleQuestionId": "q2-comms-my-approval-was-consumed-correctly",
    "AskingRole": "communications-manager",
    "WitnessLoop": "loop-02",
    "QuestionText": "When the pipeline refused to send, was it refusing on a rule I set -- or was it overriding an authorization I had already given, for a reason nobody routed back to me?",
    "WhyItMatters": "My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
    "AnswerableBefore": false,
    "SemanticTypeIri": "urn:effortless:pko-extension#RoleQuestion",
    "WitnessedAnswer": "SendIntents.ApproverWasNotified=0/7;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
    "Name": "communications-manager: When the pipeline refused to send, was it refusing on a rule",
    "PredicateCount": 8,
    "IsAnswered": true
   },
   {
    "RoleQuestionId": "q2-comms-freeze-what-i-approved",
    "AskingRole": "communications-manager",
    "WitnessLoop": "loop-02",
    "QuestionText": "For a message we sent last month, can I still show what I approved -- the exact text, the exact approval, on the exact date -- without that answer changing the next time somebody edits the template?",
    "WhyItMatters": "This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
    "AnswerableBefore": false,
    "SemanticTypeIri": "urn:effortless:pko-extension#RoleQuestion",
    "WitnessedAnswer": "MessageDeliveries.ApprovalPrecededSend=0/6; MessageDeliveries.HasFrozenApprovalEvidence=0/6; MessageDeliveries.IsUnprovableApprovalClaim=4/6; MessageDeliveries.ProvenanceIsLiveDerived=6/6; MessageDeliveries.TemplateReapprovedSinceSend=4/6",
    "Name": "communications-manager: For a message we sent last month, can I still show what I ap",
    "PredicateCount": 10,
    "IsAnswered": true
   },
   {
    "RoleQuestionId": "q2-comms-suppression-is-a-communication",
    "AskingRole": "communications-manager",
    "WitnessLoop": "loop-02",
    "QuestionText": "When we correctly refused to reach somebody, did anyone ever go back and reach them another way -- or does 'correctly refused' quietly mean 'never communicated with again'?",
    "WhyItMatters": "This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
    "AnswerableBefore": false,
    "SemanticTypeIri": "urn:effortless:pko-extension#RoleQuestion",
    "WitnessedAnswer": "Recipients.IsCommunicationallyStranded=0/5;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
    "Name": "communications-manager: When we correctly refused to reach somebody, did anyone ever",
    "PredicateCount": 8,
    "IsAnswered": true
   },
   {
    "RoleQuestionId": "q2-variance-comparison-is-statistically-empty",
    "AskingRole": "variance-review-agent",
    "WitnessLoop": "loop-02",
    "QuestionText": "QualityRegressedVsPredecessor says I have not regressed. It says that on the strength of three decisions. Is my override rate a measurement, or is it a number with no power to distinguish me from my predecessor at all?",
    "WhyItMatters": "This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
    "AnswerableBefore": false,
    "SemanticTypeIri": "urn:effortless:pko-extension#RoleQuestion",
    "WitnessedAnswer": "RoleAssignments.ComparisonIsEvidentiallySound=0/13; RoleAssignments.HasSufficientSample=0/13; RoleAssignments.IsUnmeasuredAutomationHandover=0/13; RoleAssignments.PredecessorHasSufficientSample=0/13; RoleAssignments.QualityVerdictIsUnsupported=0/13",
    "Name": "variance-review-agent: QualityRegressedVsPredecessor says I have not regressed. It ",
    "PredicateCount": 8,
    "IsAnswered": true
   },
   {
    "RoleQuestionId": "q2-variance-boundary-rests-on-expired-knowledge",
    "AskingRole": "variance-review-agent",
    "WitnessLoop": "loop-02",
    "QuestionText": "The boundary that constrains what I am allowed to decide is ratified by a knowledge fragment that is not currently valid. Am I obeying a rule that no longer has a foundation -- and if that fragment lapsed, does the constraint on me still bind?",
    "WhyItMatters": "RatifyingFragmentIsValid=2/3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
    "AnswerableBefore": false,
    "SemanticTypeIri": "urn:effortless:pko-extension#RoleQuestion",
    "WitnessedAnswer": "AuthorityBoundaries.BindsDespiteLapsedRatification=0/3; AuthorityBoundaries.IsUngroundedAndUntested=0/3; AuthorityBoundaries.RatificationLapsed=0/3; Roles.IsGovernedByLapsedAuthority=0/12",
    "Name": "variance-review-agent: The boundary that constrains what I am allowed to decide is ",
    "PredicateCount": 7,
    "IsAnswered": true
   },
   {
    "RoleQuestionId": "q2-variance-override-signal-vs-noise",
    "AskingRole": "variance-review-agent",
    "WitnessLoop": "loop-02",
    "QuestionText": "One of my three decisions was overridden. Was that a correction of an error I made, or a human exercising judgment on a call that was always going to be theirs? Those are opposite facts and my override rate treats them as identical.",
    "WhyItMatters": "WasOverridden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
    "AnswerableBefore": false,
    "SemanticTypeIri": "urn:effortless:pko-extension#RoleQuestion",
    "WitnessedAnswer": "AgentDecisionRecords.IsErrorCorrection=0/3; AgentDecisionRecords.IsReservedJudgmentOverride=0/3; AgentDecisionRecords.IsUnexplainedOverride=1/3; AgentDecisionRecords.OverrideReasonIsRecorded=0/3",
    "Name": "variance-review-agent: One of my three decisions was overridden. Was that a correct",
    "PredicateCount": 8,
    "IsAnswered": true
   },
   {
    "RoleQuestionId": "q2-variance-handover-was-a-decision-somebody-made",
    "AskingRole": "variance-review-agent",
    "WitnessLoop": "loop-02",
    "QuestionText": "Mine is the one non-human assignment with a recorded approving authority. Who decided a machine should hold this role, on what date, against what evidence -- and would that decision still be made today on what the model now knows?",
    "WhyItMatters": "I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
    "AnswerableBefore": false,
    "SemanticTypeIri": "urn:effortless:pko-extension#RoleQuestion",
    "WitnessedAnswer": "RoleAssignments.AuthorizationIsOverdueForReview=0/13; RoleAssignments.HasDatedAuthorization=0/13; RoleAssignments.IsStandingUnreviewedAutomation=0/13; RoleAssignments.IsUnconditionedAutomationHandover=0/13",
    "Name": "variance-review-agent: Mine is the one non-human assignment with a recorded approvi",
    "PredicateCount": 8,
    "IsAnswered": true
   },
   {
    "RoleQuestionId": "q2-variance-what-would-make-me-stop",
    "AskingRole": "variance-review-agent",
    "WitnessLoop": "loop-02",
    "QuestionText": "Every witness in this model detects something after it has happened. Is there any condition, computed and named in advance, under which I would be required to stop deciding -- or does my authority persist by default until a human happens to notice?",
    "WhyItMatters": "This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
    "AnswerableBefore": false,
    "SemanticTypeIri": "urn:effortless:pko-extension#RoleQuestion",
    "WitnessedAnswer": "RoleAssignments.ExceedsTolerableErrorRate=0/13;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
    "Name": "variance-review-agent: Every witness in this model detects something after it has h",
    "PredicateCount": 9,
    "IsAnswered": true
   },
   {
    "RoleQuestionId": "q2-publisher-every-refusal-leaves-a-record",
    "AskingRole": "notification-publisher",
    "WitnessLoop": "loop-02",
    "QuestionText": "For every intent I refused, did I emit an artifact -- a suppression record, an exception, anything a human could later find? Or did the refusal exist only inside me and then stop existing?",
    "WhyItMatters": "IsSilentlyDropped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
    "AnswerableBefore": false,
    "SemanticTypeIri": "urn:effortless:pko-extension#RoleQuestion",
    "WitnessedAnswer": "ProcedureExecutions.HasUnrecordedRefusals=1/2; SendIntents.HasDurableRefusalRecord=0/7; SendIntents.IsUnescalatedRefusal=4/7; SendIntents.IsUnrecordedRefusal=4/7; SendIntents.RefusalWasEscalated=0/7",
    "Name": "notification-publisher: For every intent I refused, did I emit an artifact -- a supp",
    "PredicateCount": 11,
    "IsAnswered": true
   },
   {
    "RoleQuestionId": "q2-publisher-deferred-not-cancelled",
    "AskingRole": "notification-publisher",
    "WitnessLoop": "loop-02",
    "QuestionText": "The timing gate is the only gate whose refusal is temporary -- the window reopens. For every send I deferred, did I ever come back when the window opened, or did I treat a deferral as a cancellation?",
    "WhyItMatters": "This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
    "AnswerableBefore": false,
    "SemanticTypeIri": "urn:effortless:pko-extension#RoleQuestion",
    "WitnessedAnswer": "SendIntents.HasRetryAttempt=0/7; SendIntents.IsAbandonedDeferral=1/7; SendIntents.IsStaleDeferral=0/7; SendIntents.RetryWasCleared=0/7; SendIntents.WasDeferredOnTiming=1/7; SendIntents.Windo</t>
  </si>
  <si>
    <t xml:space="preserve">wHasSinceReopened=1/7",
    "Name": "notification-publisher: The timing gate is the only gate whose refusal is temporary ",
    "PredicateCount": 8,
    "IsAnswered": true
   },
   {
    "RoleQuestionId": "q2-publisher-my-own-authorization",
    "AskingRole": "notification-publisher",
    "WitnessLoop": "loop-02",
    "QuestionText": "I enforce authorization rules on every message I touch. By what recorded authority do I hold this role -- and if the answer is none, should I be refusing to run at all?",
    "WhyItMatters": "IsUnauthorizedNonHumanAssignment=4/13,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
    "AnswerableBefore": false,
    "SemanticTypeIri": "urn:effortless:pko-extension#RoleQuestion",
    "WitnessedAnswer": "RoleAssignments.HasApprovingAuthority=1/13; RoleAssignments.HasAuthorizingChangeRequest=0/13; RoleAssignments.IsEnforcementRole=0/13; RoleAssignments.IsUnauthorizedEnforcementAgent=0/13; Roles.IsUngovernedEnforcementRole=3/12; SendIntents.EnforcedByUnauthorizedAgent=0/7",
    "Name": "notification-publisher: I enforce authorization rules on every message I touch. By w",
    "PredicateCount": 10,
    "IsAnswered": true
   },
   {
    "RoleQuestionId": "q2-publisher-am-i-the-only-witness",
    "AskingRole": "notification-publisher",
    "WitnessLoop": "loop-02",
    "QuestionText": "Every gate I evaluate, I evaluate alone, and every result I record, I record about myself. Is there any claim in my pre-send apparatus that is confirmed by something other than my own output?",
    "WhyItMatters": "The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
    "AnswerableBefore": false,
    "SemanticTypeIri": "urn:effortless:pko-extension#RoleQuestion",
    "WitnessedAnswer": "ProcedureExecutions.SendDecisionsAreEntirelySelfWitnessed=0/2;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
    "Name": "notification-publisher: Every gate I evaluate, I evaluate alone, and every result I ",
    "PredicateCount": 11,
    "IsAnswered": true
   },
   {
    "RoleQuestionId": "q2-publisher-obligation-after-send",
    "AskingRole": "notification-publisher",
    "WitnessLoop": "loop-02",
    "QuestionText": "policy-08 makes me responsible for collecting acknowledgements, not just for transmitting. Five of six delivered messages have no acknowledgement. What have I actually done about that, and at what point does it become my unfinished work rather than the recipient's silence?",
    "WhyItMatters": "This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
    "AnswerableBefore": false,
    "SemanticTypeIri": "urn:effortless:pko-extension#RoleQuestion",
    "WitnessedAnswer": "MessageDeliveries.AcknowledgementIsOutstanding=3/6; MessageDeliveries.HasSentReminder=0/6; MessageDeliveries.IsExhaustedFollowUp=0/6; MessageDeliveries.IsUnchasedAcknowledgement=0/6; MessageDeliveries.NeedsHumanEscalation=0/6",
    "Name": "notification-publisher: policy-08 makes me responsible for collecting acknowledgemen",
    "PredicateCount": 8,
    "IsAnswered": true
   },
   {
    "RoleQuestionId": "q-steward-mining-drift",
    "AskingRole": "process-steward",
    "WitnessLoop": "loop-03",
    "QuestionText": "The event log from the ERP shows close-v1.1.0 running with 8 discovered variants and only 3 conforming — has anyone recorded that the live procedure and the live system actually disagree?",
    "WhyItMatters": "Every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
    "AnswerableBefore": false,
    "WitnessedAnswer": "ProcedureVersions.HasUnresolvedMiningDrift=1/3; ProcessMiningRuns.HasMajorDriftFromDocumentation=2/4; ProcessMiningRuns.IsConformant=2/4; ProcessMiningRuns.IsDriftOnLiveVersion=1/4; ProcessMiningRuns.IsStaleMiningEvidence=2/4; ProcessMiningRuns.ProcedureVersionIsLive=3/4",
    "SemanticTypeIri": "urn:effortless:pko-extension#RoleQuestion",
    "Name": "process-steward: The event log from the ERP shows close-v1.1.0 running with 8",
    "PredicateCount": 22,
    "IsAnswered": true
   },
   {
    "RoleQuestionId": "q-authority-controlled-vocabulary",
    "AskingRole": "knowledge-authority",
    "WitnessLoop": "loop-03",
    "QuestionText": "req-close-evidence and req-policy-retention both restate the same 7-year retention obligation in their own free-text Statement — is there anything stopping one of them from quietly drifting from the other?",
    "WhyItMatters": "Thirteen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
    "AnswerableBefore": false,
    "WitnessedAnswer": "Requirements.UsesControlledVocabulary=11/13; Vocabularies.HasOrphanTerms=1/2; VocabularyTerms.IsOrphanTerm=2/12; VocabularyTerms.IsWidelyAdoptedTerm=1/12",
    "SemanticTypeIri": "urn:effortless:pko-extension#RoleQuestion",
    "Name": "knowledge-authority: req-close-evidence and req-policy-retention both restate the",
    "PredicateCount": 22,
    "IsAnswered": true
   },
   {
    "RoleQuestionId": "q-authority-knowledge-broker",
    "AskingRole": "knowledge-authority",
    "WitnessLoop": "loop-03",
    "QuestionText": "RoleAssignments says who is FORMALLY responsible for reconciliation and segregation-of-duties questions — but Maria, Devon, and Elena all actually go to Priya Raman, and Amina goes to someone who no longer holds any role at all. Does the model know that?",
    "WhyItMatters": "CommunitiesOfPractice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
    "AnswerableBefore": false,
    "WitnessedAnswer": "Agents.HasAtRiskKnowledgeReliance=1/11; Agents.IsRecognizedBroker=1/11; KnowledgeBrokerLinks.BrokerIsStillEngaged=4/5; KnowledgeBrokerLinks.IsActiveReliance=4/5; KnowledgeBrokerLinks.IsAtRiskReliance=1/5",
    "SemanticTypeIri": "urn:effortless:pko-extension#RoleQuestion",
    "Name": "knowledge-authority: RoleAssignments says who is FORMALLY responsible for reconci",
    "PredicateCount": 20,
    "IsAnswered": true
   },
   {
    "RoleQuestionId": "q-auditor-substrate-agreement",
    "AskingRole": "knowledge-authority",
    "WitnessLoop": null,
    "QuestionText": "This rulebook compiles into Postgres, Python, Go, TypeScript, C#, a spreadsheet and an OWL reasoner. When I approve a rule, do all of them compute the same answer, and if not, which one is wrong about which field?",
    "WhyItMatters": "A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
    "AnswerableBefore": "No. The harness printed scores to a markdown file per substrate; the rulebook had no record of which substrates exist, how they scored, or which fields they disagree on.",
    "WitnessedAnswer": null,
    "SemanticTypeIri": "urn:effortless:pko-extension#RoleQuestion",
    "Name": "knowledge-authority: This rulebook compiles into Postgres, Python, Go, TypeScript",
    "PredicateCount": 47,
    "IsAnswered": true
   }
  ]
 },
 "RulebookFields": {
  "Description": "A complete census of every field in this rulebook. Reconciled from the real schemas by tools/reconcile_field_catalog.py — never hand-maintained. Fields invented by a witness loop carry an InventedForQuestion FK.",
  "schema": [
   {
    "name": "RulebookFieldId",
    "datatype": "string",
    "type": "raw",
    "nullable": false,
    "Description": "Stored logical identifier for one RulebookFields row. Formed as &lt;TargetTable&gt;.&lt;FieldName&gt;."
   },
   {
    "name": "Name",
    "datatype": "string",
    "type": "calculated",
    "nullable": true,
    "Description": "Human-readable calculated display alias for the RulebookFields row.",
    "formula": "={{TargetTable}} &amp; \".\" &amp; {{FieldName}}"
   },
   {
    "name": "TargetTable",
    "datatype": "string",
    "type": "raw",
    "nullable": true,
    "Description": "The table this field lives on."
   },
   {
    "name": "FieldName",
    "datatype": "string",
    "type": "raw",
    "nullable": true,
    "Description": "The field's name within its table."
   },
   {
    "name": "FieldType",
    "datatype": "string",
    "type": "raw",
    "nullable": true,
    "Description": "raw, calculated, lookup, relationship, or aggregation."
   },
   {
    "name": "Datatype",
    "datatype": "string",
    "type": "raw",
    "nullable": true,
    "Description": "The field's declared datatype."
   },
   {
    "name": "Formula",
    "datatype": "string",
    "type": "raw",
    "nullable": true,
    "Description": "The field's formula when it is derived. Null for raw and relationship fields."
   },
   {
    "name": "InventedForQuestion",
    "datatype": "string",
    "type": "relationship",
    "nullable": true,
    "Description": "The role question that motivated this field's existence. Null for fields that predate the witness-loop exercise.",
    "RelatedTo": "RoleQuestions"
   },
   {
    "name": "IsDerived",
    "datatype": "boolean",
    "type": "calculated",
    "nullable": true,
    "Description": "TRUE when this field is computed rather than stored.",
    "formula": "=OR({{FieldType}} = \"calculated\", {{FieldType}} = \"lookup\", {{FieldType}} = \"aggregation\")"
   },
   {
    "name": "IsWitness",
    "datatype": "boolean",
    "type": "calculated",
    "nullable": true,
    "Description": "TRUE when this field exists because a role asked a question. These are the fields the witness loops added.",
    "formula": "={{InventedForQuestion}} &lt;&gt; \"\""
   },
   {
    "name": "DisagreeingSubstrateCount",
    "datatype": "number",
    "type": "aggregation",
    "nullable": true,
    "Description": "How many substrates computed this field differently from the answer key in the latest conformance run. 0 means every substrate agreed.",
    "formula": "=COUNTIFS(FieldDisagreements!{{RulebookField}}, {{RulebookFieldId}})"
   },
   {
    "name": "IsSubstrateContested",
    "datatype": "boolean",
    "type": "calculated",
    "nullable": true,
    "Description": "True when at least one substrate disagrees about this field's values.",
    "formula": "={{DisagreeingSubstrateCount}} &gt; 0"
   },
   {
    "name": "SemanticTypeIri",
    "datatype": "string",
    "type": "raw",
    "nullable": true,
    "Description": "Extension class IRI."
   }
  ],
  "data": [
   {
    "RulebookFieldId": "RulebookReleases.RulebookReleaseId",
    "TargetTable": "RulebookReleases",
    "FieldName": "RulebookReleaseId",
    "FieldType": "raw",
    "Datatype": "string",
    "Formula": null,
    "InventedForQuestion": null,
    "SemanticTypeIri": "urn:effortless:pko-extension#RulebookField",
    "Name": "RulebookReleases.RulebookReleaseId",
    "IsDerived": false,
    "IsWitness": false,
    "DisagreeingSubstrateCount": 0,
    "IsSubstrateContested": false
   },
   {
    "RulebookFieldId": "RulebookReleases.Name",
    "TargetTable": "RulebookReleases",
    "FieldName": "Name",
    "FieldType": "calculated",
    "Datatype": "string",
    "Formula": "={{RulebookVersion}} &amp; \" / PKO \" &amp; {{PkoCoreVersionIri}}",
    "InventedForQuestion": null,
    "SemanticTypeIri": "urn:effortless:pko-extension#RulebookField",
    "Name": "RulebookReleases.Name",
    "IsDerived": true,
    "IsWitness": false,
    "DisagreeingSubstrateCount": 1,
    "IsSubstrateContested": true
   },
   {
    "RulebookFieldId": "RulebookReleases.RulebookVersion",
    "TargetTable": "RulebookReleases",
    "FieldName": "RulebookVersion",
    "FieldType": "raw",
    "Datatype": "string",
    "Formula": null,
    "InventedForQuestion": null,
    "SemanticTypeIri": "urn:effortless:pko-extension#RulebookField",
    "Name": "RulebookReleases.RulebookVersion",
    "IsDerived": false,
    "IsWitness": false,
    "DisagreeingSubstrateCount": 0,
    "IsSubstrateContested": false
   },
   {
    "RulebookFieldId": "RulebookReleases.ProfileVersion",
    "TargetTable": "RulebookReleases",
    "FieldName": "ProfileVersion",
    "FieldType": "raw",
    "Datatype": "string",
    "Formula": null,
    "InventedForQuestion": null,
    "SemanticTypeIri": "urn:effortless:pko-extension#RulebookField",
    "Name": "RulebookReleases.ProfileVersion",
    "IsDerived": false,
    "IsWitness": false,
    "DisagreeingSubstrateCount": 0,
    "IsSubstrateContested": false
   },
   {
    "RulebookFieldId": "RulebookReleases.ProfileSchemaPath",
    "TargetTable": "RulebookReleases",
    "FieldName": "ProfileSchemaPath",
    "FieldType": "raw",
    "Datatype": "string",
    "Formula": null,
    "InventedForQuestion": null,
    "SemanticTypeIri": "urn:effortless:pko-extension#RulebookField",
    "Name": "RulebookReleases.ProfileSchemaPath",
    "IsDerived": false,
    "IsWitness": false,
    "DisagreeingSubstrateCount": 0,
    "IsSubstrateContested": false
   },
   {
    "RulebookFieldId": "RulebookReleases.PkoCoreVersionIri",
    "TargetTable": "RulebookReleases",
    "FieldName": "PkoCoreVersionIri",
    "FieldType": "raw",
    "Datatype": "string",
    "Formula": null,
    "InventedForQuestion": null,
    "SemanticTypeIri": "urn:effortless:pko-extension#RulebookField",
    "Name": "RulebookReleases.PkoCoreVersionIri",
    "IsDerived": false,
    "IsWitness": false,
    "DisagreeingSubstrateCount": 0,
    "IsSubstrateContested": false
   },
   {
    "RulebookFieldId": "RulebookReleases.PkoIndustryVersionIri",
    "TargetTable": "RulebookReleases",
    "FieldName": "PkoIndustryVersionIri",
    "FieldType": "raw",
    "Datatype": "string",
    "Formula": null,
    "InventedForQuestion": null,
    "SemanticTypeIri": "urn:effortless:pko-extension#RulebookField",
    "Name": "RulebookReleases.PkoIndustryVersionIri",
    "IsDerived": false,
    "IsWitness": false,
    "DisagreeingSubstrateCount": 0,
    "IsSubstrateContested": false
   },
   {
    "RulebookFieldId": "RulebookReleases.IssuedAt",
    "TargetTable": "RulebookReleases",
    "FieldName": "IssuedAt",
    "FieldType": "raw",
    "Datatype": "datetime",
    "Formula": null,
    "InventedForQuestion": null,
    "SemanticTypeIri": "urn:effortless:pko-extension#RulebookField",
    "Name": "RulebookReleases.IssuedAt",
    "IsDerived": false,
    "IsWitness": false,
    "DisagreeingSubstrateCount": 0,
    "IsSubstrateContested": false
   },
   {
    "RulebookFieldId": "RulebookReleases.Status",
    "TargetTable": "RulebookReleases",
    "FieldName": "Status",
    "FieldType": "raw",
    "Datatype": "string",
    "Formula": null,
    "InventedForQuestion": null,
    "SemanticTypeIri": "urn:effortless:pko-extension#RulebookField",
    "Name": "RulebookReleases.Status",
    "IsDerived": false,
    "IsWitness": false,
    "DisagreeingSubstrateCount": 0,
    "IsSubstrateContested": false
   },
   {
    "RulebookFieldId": "RulebookReleases.Changelog",
    "TargetTable": "RulebookReleases",
    "FieldName": "Changelog",
    "FieldType": "raw",
    "Datatype": "string",
    "Formula": null,
    "InventedForQuestion": null,
    "SemanticTypeIri": "urn:effortless:pko-extension#RulebookField",
    "Name": "RulebookReleases.Changelog",
    "IsDerived": false,
    "IsWitness": false,
    "DisagreeingSubstrateCount": 0,
    "IsSubstrateContested": false
   },
   {
    "RulebookFieldId": "RulebookReleases.IsCurrent",
    "TargetTable": "RulebookReleases",
    "FieldName": "IsCurrent",
    "FieldType": "raw",
    "Datatype": "boolean",
    "Formula": null,
    "InventedForQuestion": null,
    "SemanticTypeIri": "urn:effortless:pko-extension#RulebookField",
    "Name": "RulebookReleases.IsCurrent",
    "IsDerived": false,
    "IsWitness": false,
    "DisagreeingSubstrateCount": 0,
    "IsSubstrateContested": false
   },
   {
    "RulebookFieldId": "OntologyProfiles.OntologyProfileId",
    "TargetTable": "OntologyProfiles",
    "FieldName": "OntologyProfileId",
    "FieldType": "raw",
    "Datatype": "string",
    "Formula": null,
    "InventedForQuestion": null,
    "SemanticTypeIri": "urn:effortless:pko-extension#RulebookField",
    "Name": "OntologyProfiles.OntologyProfileId",
    "IsDerived": false,
    "IsWitness": false,
    "DisagreeingSubstrateCount": 0,
    "IsSubstrateContested": false
   },
   {
    "RulebookFieldId": "OntologyProfiles.Name",
    "TargetTable": "OntologyProfiles",
    "FieldName": "Name",
    "FieldType": "calculated",
    "Datatype": "string",
    "Formula": "={{Label}} &amp; \" \" &amp; {{Version}}",
    "InventedForQuestion": null,
    "SemanticTypeIri": "urn:effortless:pko-extension#RulebookField",
    "Name": "OntologyProfiles.Name",
    "IsDerived": true,
    "IsWitness": false,
    "DisagreeingSubstrateCount": 0,
    "IsSubstrateContested": false
   },
   {
    "RulebookFieldId": "OntologyProfiles.Label",
    "TargetTable": "OntologyProfiles",
    "FieldName": "Label",
    "FieldType": "raw",
    "Datatype": "string",
    "Formula": null,
    "InventedForQuestion": null,
    "SemanticTypeIri": "urn:effortless:pko-extension#RulebookField",
    "Name": "OntologyProfiles.Label",
    "IsDerived": false,
    "IsWitness": false,
    "DisagreeingSubstrateCount": 0,
    "IsSubstrateContested": false
   },
   {
    "RulebookFieldId": "OntologyProfiles.Version",
    "TargetTable": "OntologyProfiles",
    "FieldName": "Version",
    "FieldType": "raw",
    "Datatype": "string",
    "Formula": null,
    "InventedForQuestion": null,
    "SemanticTypeIri": "urn:effortless:pko-extension#RulebookField",
    "Name": "OntologyProfiles.Version",
    "IsDerived": false,
    "IsWitness": false,
    "DisagreeingSubstrateCount": 0,
    "IsSubstrateContested": false
   },
   {
    "RulebookFieldId": "OntologyProfiles.VersionIri",
    "TargetTable": "OntologyProfiles",
    "FieldName": "VersionIri",
    "FieldType": "raw",
    "Datatype": "string",
    "Formula": null,
    "InventedForQuestion": null,
    "SemanticTypeIri": "urn:effortless:pko-extension#RulebookField",
    "Name": "OntologyProfiles.VersionIri",
    "IsDerived": false,
    "IsWitness": false,
    "DisagreeingSubstrateCount": 0,
    "IsSubstrateContested": false
   },
   {
    "RulebookFieldId": "OntologyProfiles.NamespaceIri",
    "TargetTable": "OntologyProfiles",
    "FieldName": "NamespaceIri",
    "FieldType": "raw",
    "Datatype": "string",
    "Formula": null,
    "InventedForQuestion": null,
    "SemanticTypeIri": "urn:effortless:pko-extension#RulebookField",
    "Name": "OntologyProfiles.NamespaceIri",
    "IsDerived": false,
    "IsWitness": false,
    "DisagreeingSubstrateCount": 0,
    "IsSubstrateContested": false
   },
   {
    "RulebookFieldId": "OntologyProfiles.License",
    "TargetTable": "OntologyProfiles",
    "FieldName": "License",
    "FieldType": "raw",
    "Datatype": "string",
    "Formula": null,
    "InventedForQuestion": null,
    "SemanticTypeIri": "urn:effortless:pko-extension#RulebookField",
    "Name": "OntologyProfiles.License",
    "IsDerived": false,
    "IsWitness": false,
    "DisagreeingSubstrateCount": 0,
    "IsSubstrateContested": false
   },
   {
    "RulebookFieldId": "OntologyProfiles.Scope",
    "TargetTable": "OntologyProfiles",
    "FieldName": "Scope",
    "FieldType": "raw",
    "Datatype": "string",
    "Formula": null,
    "InventedForQuestion": null,
    "SemanticTypeIri": "urn:effortless:pko-extension#RulebookField",
    "Name": "OntologyProfiles.Scope",
    "IsDerived": false,
    "IsWitness": false,
    "DisagreeingSubstrateCount": 0,
    "IsSubstrateContested": false
   },
   {
    "RulebookFieldId": "EvaluationContexts.EvaluationContextId",
    "TargetTable": "EvaluationContexts",
    "FieldName": "EvaluationContextId",
    "FieldType": "raw",
    "Datatype": "string",
    "Formula": null,
    "InventedForQuestion": null,
    "SemanticTypeIri": "urn:effortless:pko-extension#RulebookField",
    "Name": "EvaluationContexts.EvaluationContextId",
    "IsDerived": false,
    "IsWitness": false,
    "DisagreeingSubstrateCount": 0,
    "IsSubstrateContested": false
   },
   {
    "RulebookFieldId": "EvaluationContexts.Name",
    "TargetTable": "EvaluationContexts",
    "FieldName": "Name",
    "FieldType": "calculated",
    "Datatype": "string",
    "Formula": "={{Label}} &amp; \" @ \" &amp; {{AsOfInstant}}",
    "InventedForQuestion": null,
    "SemanticTypeIri": "urn:effortless:pko-extension#RulebookField",
    "Name": "EvaluationContexts.Name",
    "IsDerived": true,
    "IsWitness": false,
    "DisagreeingSubstrateCount": 6,
    "IsSubstrateContested": true
   },
   {
    "RulebookFieldId": "EvaluationContexts.Label",
    "TargetTable": "EvaluationContexts",
    "FieldName": "Label",
    "FieldType": "raw",
    "Datatype": "string",
    "Formula": null,
    "InventedForQuestion": null,
    "SemanticTypeIri": "urn:effortless:pko-extension#RulebookField",
    "Name": "EvaluationContexts.Label",
    "IsDerived": false,
    "IsWitness": false,
    "DisagreeingSubstrateCount": 0,
    "IsSubstrateContested": false
   },
   {
    "RulebookFieldId": "EvaluationContexts.AsOfInstant",
    "TargetTable": "EvaluationContexts",
    "FieldName": "AsOfInstant",
    "FieldType": "raw",
    "Datatype": "datetime",
    "Formula": null,
    "InventedForQuestion": null,
    "SemanticTypeIri": "urn:effortless:pko-extension#RulebookField",
    "Name": "EvaluationContexts.AsOfInstant",
    "IsDerived": false,
    "IsWitness": false,
    "DisagreeingSubstrateCount": 0,
    "IsSubstrateContested": false
   },
   {
    "RulebookFieldId": "EvaluationContexts.IsCurrent",
    "TargetTable": "EvaluationContexts",
    "FieldName": "IsCurrent",
    "FieldType": "raw",
    "Datatype": "boolean",
    "Formula": null,
    "InventedForQuestion": null,
    "SemanticTypeIri": "urn:effortless:pko-extension#RulebookField",
    "Name": "EvaluationContexts.IsCurrent",
    "IsDerived": false,
    "IsWitness": false,
    "DisagreeingSubstrateCount": 0,
    "IsSubstrateContested": false
   },
   {
    "RulebookFieldId": "EvaluationContexts.Rationale",
    "TargetTable": "EvaluationContexts",
    "FieldName": "Rationale",
    "FieldType": "raw",
    "Datatype": "string",
    "Formula": null,
    "InventedForQuestion": null,
    "SemanticTypeIri": "urn:effortless:pko-extension#RulebookField",
    "Name": "EvaluationContexts.Rationale",
    "IsDerived": false,
    "IsWitness": false,
    "DisagreeingSubstrateCount": 0,
    "IsSubstrateContested": false
   },
   {
    "RulebookFieldId": "EvaluationContexts.SemanticTypeIri",
    "TargetTable": "EvaluationContexts",
    "FieldName": "SemanticTypeIri",
    "FieldType": "raw",
    "Datatype": "string",
    "Formula": null,
    "InventedForQuestion": null,
    "SemanticTypeIri": "urn:effortless:pko-extension#RulebookField",
    "Name": "EvaluationContexts.SemanticTypeIri",
    "IsDerived": false,
    "IsWitness": false,
    "DisagreeingSubstrateCount": 0,
    "IsSubstrateContested": false
   },
   {
    "RulebookFieldId": "Organizations.OrganizationId",
    "TargetTable": "Organizations",
    "FieldName": "OrganizationId",
    "FieldType": "raw",
    "Datatype": "string",
    "Formula": null,
    "InventedForQuestion": null,
    "SemanticTypeIri": "urn:effortless:pko-extension#RulebookField",
    "Name": "Organizations.OrganizationId",
    "IsDerived": false,
    "IsWitness": false,
    "DisagreeingSubstrateCount": 0,
    "IsSubstrateContested": false
   },
   {
    "RulebookFieldId": "Organizations.Name",
    "TargetTable": "Organizations",
    "FieldName": "Name",
    "FieldType": "calculated",
    "Datatype": "string",
    "Formula": "={{DisplayName}}",
    "InventedForQuestion": null,
    "SemanticTypeIri": "urn:effortless:pko-extension#RulebookField",
    "Name": "Organizations.Name",
    "IsDerived": true,
    "IsWitness": false,
    "DisagreeingSubstrateCount": 0,
    "IsSubstrateContested": false
   },
   {
    "RulebookFieldId": "Organizations.DisplayName",
    "TargetTable": "Organizations",
    "FieldName": "DisplayName",
    "FieldType": "raw",
    "Datatype": "string",
    "Formula": null,
    "InventedForQuestion": null,
    "SemanticTypeIri": "urn:effortless:pko-extension#RulebookField",
    "Name": "Organizations.DisplayName",
    "IsDerived": false,
    "IsWitness": false,
    "DisagreeingSubstrateCount": 0,
    "IsSubstrateContested": false
   },
   {
    "RulebookFieldId": "Organizations.OrganizationType",
    "TargetTable": "Organizations",
    "FieldName": "OrganizationType",
    "FieldType": "raw",
    "Datatype": "string",
    "Formula": null,
    "InventedForQuestion": null,
    "SemanticTypeIri": "urn:effortless:pko-extension#RulebookField",
    "Name": "Organizations.OrganizationType",
    "IsDerived": false,
    "IsWitness": false,
    "DisagreeingSubstrateCount": 0,
    "IsSubstrateContested": false
   },
   {
    "RulebookFieldId": "Organizations.ExternalIdentifier",
    "TargetTable": "Organizations",
    "FieldName": "ExternalIdentifier",
    "FieldType": "raw",
    "Datatype": "string",
    "Formula": null,
    "InventedForQuestion": null,
    "SemanticTypeIri": "urn:effortless:pko-extension#RulebookField",
    "Name": "Organizations.ExternalIdentifier",
    "IsDerived": false,
    "IsWitness": false,
    "DisagreeingSubstrateCount": 0,
    "IsSubstrateContested": false
   },
   {
    "RulebookFieldId": "Organizations.SemanticTypeIri",
    "TargetTable": "Organizations",
    "FieldName": "SemanticTypeIri",
    "FieldType": "raw",
    "Datatype": "string",
    "Formula": null,
    "InventedForQuestion": null,
    "SemanticTypeIri": "urn:effortless:pko-extension#RulebookField",
    "Name": "Organizations.SemanticTypeIri",
    "IsDerived": false,
    "IsWitness": false,
    "DisagreeingSubstrateCount": 0,
    "IsSubstrateContested": false
   },
   {
    "RulebookFieldId": "Agents.AgentId",
    "TargetTable": "Agents",
    "FieldName": "AgentId",
    "FieldType": "raw",
    "Datatype": "string",
    "Formula": null,
    "InventedForQuestion": null,
    "SemanticTypeIri": "urn:effortless:pko-extension#RulebookField",
    "Name": "Agents.AgentId",
    "IsDerived": false,
    "IsWitness": false,
    "DisagreeingSubstrateCount": 0,
    "IsSubstrateContested": false
   },
   {
    "RulebookFieldId": "Agents.Name",
    "TargetTable": "Agents",
    "FieldName": "Name",
    "FieldType": "calculated",
    "Datatype": "string",
    "Formula": "={{DisplayName}}",
    "InventedForQuestion": null,
    "SemanticTypeIri": "urn:effortless:pko-extension#RulebookField",
    "Name": "Agents.Name",
    "IsDerived": true,
    "IsWitness": false,
    "DisagreeingSubstrateCount": 0,
    "IsSubstrateContested": false
   },
   {
    "RulebookFieldId": "Agents.DisplayName",
    "TargetTable": "Agents",
    "FieldName": "DisplayName",
    "FieldType": "raw",
    "Datatype": "string",
    "Formula": null,
    "InventedForQuestion": null,
    "SemanticTypeIri": "urn:effortless:pko-extension#RulebookField",
    "Name": "Agents.DisplayName",
    "IsDerived": false,
    "IsWitness": false,
    "DisagreeingSubstrateCount": 0,
    "IsSubstrateContested": false
   },
   {
    "RulebookFieldId": "Agents.AgentKind",
    "TargetTable": "Agents",
    "FieldName": "AgentKind",
    "FieldType": "raw",
    "Datatype": "string",
    "Formula": null,
    "InventedForQuestion": null,
    "SemanticTypeIri": "urn:effortless:pko-extension#RulebookField",
    "Name": "Agents.AgentKind",
    "IsDerived": false,
    "IsWitness": false,
    "DisagreeingSubstrateCount": 0,
    "IsSubstrateContested": false
   },
   {
    "RulebookFieldId": "Agents.Organization",
    "TargetTable": "Agents",
    "FieldName": "Organization",
    "FieldType": "relationship",
    "Datatype": "string",
    "Formula": null,
    "InventedForQuestion": null,
    "SemanticTypeIri": "urn:effortless:pko-extension#RulebookField",
    "Name": "Agents.Organization",
    "IsDerived": false,
    "IsWitness": false,
    "DisagreeingSubstrateCount": 0,
    "IsSubstrateContested": false
   },
   {
    "RulebookFieldId": "Agents.ContactAddress",
    "TargetTable": "Agents",
    "FieldName": "ContactAddress",
    "FieldType": "raw",
    "Datatype": "string",
    "Formula": null,
    "InventedForQuestion": null,
    "SemanticTypeIri": "urn:effortless:pko-extension#RulebookField",
    "Name": "Agents.ContactAddress",
    "IsDerived": false,
    "IsWitness": false,
    "DisagreeingSubstrateCount": 0,
    "IsSubstrateContested": false
   },
   {
    "RulebookFieldId": "Agents.VersionOrEmploymentKey",
    "TargetTable": "Agents",
    "FieldName": "VersionOrEmploymentKey",
    "FieldType": "raw",
    "Datatype": "string",
    "Formula": null,
    "InventedForQuestion": null,
    "SemanticTypeIri": "urn:effortless:pko-extension#RulebookField",
    "Name": "Agents.VersionOrEmploymentKey",
    "IsDerived": false,
    "IsWitness": false,
    "DisagreeingSubstrateCount": 0,
    "IsSubstrateContested": false
   },
   {
    "RulebookFieldId": "Agents.CountOfCurrentRoleAssignments",
    "TargetTable": "Agents",
    "FieldName": "CountOfCurrentRoleAssignments",
    "FieldType": "aggregation",
    "Datatype": "integer",
    "Formula": "=COUNTIFS(RoleAssignments!{{CurrentAgentKey}}, {{AgentId}})",
    "InventedForQuestion": "q-authority-orphaned-provenance",
    "SemanticTypeIri": "urn:effortless:pko-extension#RulebookField",
    "Name": "Agents.CountOfCurrentRoleAssignments",
    "IsDerived": true,
    "IsWitness": true,
    "DisagreeingSubstrateCount": 0,
    "IsSubstrateContested": false
   },
   {
    "Ruleboo</t>
  </si>
  <si>
    <t xml:space="preserve">kFieldId": "Agents.IsStillEngaged",
    "TargetTable": "Agents",
    "FieldName": "IsStillEngaged",
    "FieldType": "calculated",
    "Datatype": "boolean",
    "Formula": "={{CountOfCurrentRoleAssignments}} &gt; 0",
    "InventedForQuestion": "q-authority-orphaned-provenance",
    "SemanticTypeIri": "urn:effortless:pko-extension#RulebookField",
    "Name": "Agents.IsStillEngaged",
    "IsDerived": true,
    "IsWitness": true,
    "DisagreeingSubstrateCount": 0,
    "IsSubstrateContested": false
   },
   {
    "RulebookFieldId": "Agents.DecisionCount",
    "TargetTable": "Agents",
    "FieldName": "DecisionCount",
    "FieldType": "aggregation",
    "Datatype": "number",
    "Formula": "=COUNTIFS(AgentDecisionRecords!{{DecidingAgent}}, {{AgentId}})",
    "InventedForQuestion": "q-close-auto-human-override-drift",
    "SemanticTypeIri": "urn:effortless:pko-extension#RulebookField",
    "Name": "Agents.DecisionCount",
    "IsDerived": true,
    "IsWitness": true,
    "DisagreeingSubstrateCount": 0,
    "IsSubstrateContested": false
   },
   {
    "RulebookFieldId": "Agents.OverriddenDecisionCount",
    "TargetTable": "Agents",
    "FieldName": "OverriddenDecisionCount",
    "FieldType": "aggregation",
    "Datatype": "number",
    "Formula": "=COUNTIFS(AgentDecisionRecords!{{DecidingAgentWhenOverridden}}, {{AgentId}})",
    "InventedForQuestion": "q-close-auto-human-override-drift",
    "SemanticTypeIri": "urn:effortless:pko-extension#RulebookField",
    "Name": "Agents.OverriddenDecisionCount",
    "IsDerived": true,
    "IsWitness": true,
    "DisagreeingSubstrateCount": 0,
    "IsSubstrateContested": false
   },
   {
    "RulebookFieldId": "Agents.OverrideRatePercent",
    "TargetTable": "Agents",
    "FieldName": "OverrideRatePercent",
    "FieldType": "calculated",
    "Datatype": "number",
    "Formula": "=IF({{DecisionCount}} = 0, 0, ({{OverriddenDecisionCount}} * 100) / {{DecisionCount}})",
    "InventedForQuestion": "q-close-auto-human-override-drift",
    "SemanticTypeIri": "urn:effortless:pko-extension#RulebookField",
    "Name": "Agents.OverrideRatePercent",
    "IsDerived": true,
    "IsWitness": true,
    "DisagreeingSubstrateCount": 0,
    "IsSubstrateContested": false
   },
   {
    "RulebookFieldId": "Agents.IsNonHuman",
    "TargetTable": "Agents",
    "FieldName": "IsNonHuman",
    "FieldType": "calculated",
    "Datatype": "boolean",
    "Formula": "=NOT({{AgentKind}} = \"Human\")",
    "InventedForQuestion": "q-close-auto-human-override-drift",
    "SemanticTypeIri": "urn:effortless:pko-extension#RulebookField",
    "Name": "Agents.IsNonHuman",
    "IsDerived": true,
    "IsWitness": true,
    "DisagreeingSubstrateCount": 0,
    "IsSubstrateContested": false
   },
   {
    "RulebookFieldId": "Agents.BoundaryViolationCount",
    "TargetTable": "Agents",
    "FieldName": "BoundaryViolationCount",
    "FieldType": "aggregation",
    "Datatype": "number",
    "Formula": "=COUNTIFS(AgentDecisionRecords!{{AgentWhenBoundaryViolated}}, {{AgentId}})",
    "InventedForQuestion": "q-policy-ai-commitment-boundary",
    "SemanticTypeIri": "urn:effortless:pko-extension#RulebookField",
    "Name": "Agents.BoundaryViolationCount",
    "IsDerived": true,
    "IsWitness": true,
    "DisagreeingSubstrateCount": 0,
    "IsSubstrateContested": false
   },
   {
    "RulebookFieldId": "Agents.IsOperatingOutsideBoundary",
    "TargetTable": "Agents",
    "FieldName": "IsOperatingOutsideBoundary",
    "FieldType": "calculated",
    "Datatype": "boolean",
    "Formula": "={{BoundaryViolationCount}} &gt; 0",
    "InventedForQuestion": "q-policy-ai-commitment-boundary",
    "SemanticTypeIri": "urn:effortless:pko-extension#RulebookField",
    "Name": "Agents.IsOperatingOutsideBoundary",
    "IsDerived": true,
    "IsWitness": true,
    "DisagreeingSubstrateCount": 0,
    "IsSubstrateContested": false
   },
   {
    "RulebookFieldId": "Agents.DraftDecisionCount",
    "TargetTable": "Agents",
    "FieldName": "DraftDecisionCount",
    "FieldType": "aggregation",
    "Datatype": "number",
    "Formula": "=COUNTIFS(AgentDecisionRecords!{{AgentWhenDraft}}, {{AgentId}})",
    "InventedForQuestion": "q-policy-ai-downstream-rewrite",
    "SemanticTypeIri": "urn:effortless:pko-extension#RulebookField",
    "Name": "Agents.DraftDecisionCount",
    "IsDerived": true,
    "IsWitness": true,
    "DisagreeingSubstrateCount": 0,
    "IsSubstrateContested": false
   },
   {
    "RulebookFieldId": "Agents.OverriddenDraftCount",
    "TargetTable": "Agents",
    "FieldName": "OverriddenDraftCount",
    "FieldType": "aggregation",
    "Datatype": "number",
    "Formula": "=COUNTIFS(AgentDecisionRecords!{{AgentWhenDraftOverridden}}, {{AgentId}})",
    "InventedForQuestion": "q-policy-ai-downstream-rewrite",
    "SemanticTypeIri": "urn:effortless:pko-extension#RulebookField",
    "Name": "Agents.OverriddenDraftCount",
    "IsDerived": true,
    "IsWitness": true,
    "DisagreeingSubstrateCount": 0,
    "IsSubstrateContested": false
   },
   {
    "RulebookFieldId": "Agents.DraftRewriteRatePercent",
    "TargetTable": "Agents",
    "FieldName": "DraftRewriteRatePercent",
    "FieldType": "calculated",
    "Datatype": "number",
    "Formula": "=IF({{DraftDecisionCount}} = 0, 0, ({{OverriddenDraftCount}} * 100) / {{DraftDecisionCount}})",
    "InventedForQuestion": "q-policy-ai-downstream-rewrite",
    "SemanticTypeIri": "urn:effortless:pko-extension#RulebookField",
    "Name": "Agents.DraftRewriteRatePercent",
    "IsDerived": true,
    "IsWitness": true,
    "DisagreeingSubstrateCount": 0,
    "IsSubstrateContested": false
   },
   {
    "RulebookFieldId": "Agents.TimesNamedAsBroker",
    "TargetTable": "Agents",
    "FieldName": "TimesNamedAsBroker",
    "FieldType": "aggregation",
    "Datatype": "number",
    "Formula": "=COUNTIFS(KnowledgeBrokerLinks!{{ActiveRelianceBrokerKey}}, {{AgentId}})",
    "InventedForQuestion": "q-authority-knowledge-broker",
    "SemanticTypeIri": "urn:effortless:pko-extension#RulebookField",
    "Name": "Agents.TimesNamedAsBroker",
    "IsDerived": true,
    "IsWitness": true,
    "DisagreeingSubstrateCount": 0,
    "IsSubstrateContested": false
   },
   {
    "RulebookFieldId": "Agents.IsRecognizedBroker",
    "TargetTable": "Agents",
    "FieldName": "IsRecognizedBroker",
    "FieldType": "calculated",
    "Datatype": "boolean",
    "Formula": "={{TimesNamedAsBroker}} &gt;= 3",
    "InventedForQuestion": "q-authority-knowledge-broker",
    "SemanticTypeIri": "urn:effortless:pko-extension#RulebookField",
    "Name": "Agents.IsRecognizedBroker",
    "IsDerived": true,
    "IsWitness": true,
    "DisagreeingSubstrateCount": 0,
    "IsSubstrateContested": false
   },
   {
    "RulebookFieldId": "Agents.AtRiskRelianceCount",
    "TargetTable": "Agents",
    "FieldName": "AtRiskRelianceCount",
    "FieldType": "aggregation",
    "Datatype": "number",
    "Formula": "=COUNTIFS(KnowledgeBrokerLinks!{{AtRiskBrokerKey}}, {{AgentId}})",
    "InventedForQuestion": "q-authority-knowledge-broker",
    "SemanticTypeIri": "urn:effortless:pko-extension#RulebookField",
    "Name": "Agents.AtRiskRelianceCount",
    "IsDerived": true,
    "IsWitness": true,
    "DisagreeingSubstrateCount": 0,
    "IsSubstrateContested": false
   },
   {
    "RulebookFieldId": "Agents.HasAtRiskKnowledgeReliance",
    "TargetTable": "Agents",
    "FieldName": "HasAtRiskKnowledgeReliance",
    "FieldType": "calculated",
    "Datatype": "boolean",
    "Formula": "={{AtRiskRelianceCount}} &gt; 0",
    "InventedForQuestion": "q-authority-knowledge-broker",
    "SemanticTypeIri": "urn:effortless:pko-extension#RulebookField",
    "Name": "Agents.HasAtRiskKnowledgeReliance",
    "IsDerived": true,
    "IsWitness": true,
    "DisagreeingSubstrateCount": 0,
    "IsSubstrateContested": false
   },
   {
    "RulebookFieldId": "Agents.SemanticTypeIri",
    "TargetTable": "Agents",
    "FieldName": "SemanticTypeIri",
    "FieldType": "raw",
    "Datatype": "string",
    "Formula": null,
    "InventedForQuestion": null,
    "SemanticTypeIri": "urn:effortless:pko-extension#RulebookField",
    "Name": "Agents.SemanticTypeIri",
    "IsDerived": false,
    "IsWitness": false,
    "DisagreeingSubstrateCount": 0,
    "IsSubstrateContested": false
   },
   {
    "RulebookFieldId": "Roles.RoleId",
    "TargetTable": "Roles",
    "FieldName": "RoleId",
    "FieldType": "raw",
    "Datatype": "string",
    "Formula": null,
    "InventedForQuestion": null,
    "SemanticTypeIri": "urn:effortless:pko-extension#RulebookField",
    "Name": "Roles.RoleId",
    "IsDerived": false,
    "IsWitness": false,
    "DisagreeingSubstrateCount": 0,
    "IsSubstrateContested": false
   },
   {
    "RulebookFieldId": "Roles.Name",
    "TargetTable": "Roles",
    "FieldName": "Name",
    "FieldType": "calculated",
    "Datatype": "string",
    "Formula": "={{Label}}",
    "InventedForQuestion": null,
    "SemanticTypeIri": "urn:effortless:pko-extension#RulebookField",
    "Name": "Roles.Name",
    "IsDerived": true,
    "IsWitness": false,
    "DisagreeingSubstrateCount": 0,
    "IsSubstrateContested": false
   },
   {
    "RulebookFieldId": "Roles.Label",
    "TargetTable": "Roles",
    "FieldName": "Label",
    "FieldType": "raw",
    "Datatype": "string",
    "Formula": null,
    "InventedForQuestion": null,
    "SemanticTypeIri": "urn:effortless:pko-extension#RulebookField",
    "Name": "Roles.Label",
    "IsDerived": false,
    "IsWitness": false,
    "DisagreeingSubstrateCount": 0,
    "IsSubstrateContested": false
   },
   {
    "RulebookFieldId": "Roles.Organization",
    "TargetTable": "Roles",
    "FieldName": "Organization",
    "FieldType": "relationship",
    "Datatype": "string",
    "Formula": null,
    "InventedForQuestion": null,
    "SemanticTypeIri": "urn:effortless:pko-extension#RulebookField",
    "Name": "Roles.Organization",
    "IsDerived": false,
    "IsWitness": false,
    "DisagreeingSubstrateCount": 0,
    "IsSubstrateContested": false
   },
   {
    "RulebookFieldId": "Roles.CurrentAgent",
    "TargetTable": "Roles",
    "FieldName": "CurrentAgent",
    "FieldType": "relationship",
    "Datatype": "string",
    "Formula": null,
    "InventedForQuestion": null,
    "SemanticTypeIri": "urn:effortless:pko-extension#RulebookField",
    "Name": "Roles.CurrentAgent",
    "IsDerived": false,
    "IsWitness": false,
    "DisagreeingSubstrateCount": 0,
    "IsSubstrateContested": false
   },
   {
    "RulebookFieldId": "Roles.CurrentAgentKind",
    "TargetTable": "Roles",
    "FieldName": "CurrentAgentKind",
    "FieldType": "lookup",
    "Datatype": "string",
    "Formula": "=INDEX(Agents!{{AgentKind}}, MATCH({{CurrentAgent}}, Agents!{{AgentId}}, 0))",
    "InventedForQuestion": null,
    "SemanticTypeIri": "urn:effortless:pko-extension#RulebookField",
    "Name": "Roles.CurrentAgentKind",
    "IsDerived": true,
    "IsWitness": false,
    "DisagreeingSubstrateCount": 0,
    "IsSubstrateContested": false
   },
   {
    "RulebookFieldId": "Roles.Responsibility",
    "TargetTable": "Roles",
    "FieldName": "Responsibility",
    "FieldType": "raw",
    "Datatype": "string",
    "Formula": null,
    "InventedForQuestion": null,
    "SemanticTypeIri": "urn:effortless:pko-extension#RulebookField",
    "Name": "Roles.Responsibility",
    "IsDerived": false,
    "IsWitness": false,
    "DisagreeingSubstrateCount": 0,
    "IsSubstrateContested": false
   },
   {
    "RulebookFieldId": "Roles.ActiveAssignmentCount",
    "TargetTable": "Roles",
    "FieldName": "ActiveAssignmentCount",
    "FieldType": "aggregation",
    "Datatype": "number",
    "Formula": "=COUNTIFS(RoleAssignments!{{Role}}, {{RoleId}})",
    "InventedForQuestion": "q-close-auto-authority-current",
    "SemanticTypeIri": "urn:effortless:pko-extension#RulebookField",
    "Name": "Roles.ActiveAssignmentCount",
    "IsDerived": true,
    "IsWitness": true,
    "DisagreeingSubstrateCount": 0,
    "IsSubstrateContested": false
   },
   {
    "RulebookFieldId": "Roles.CurrentlyCoveredAssignmentCount",
    "TargetTable": "Roles",
    "FieldName": "CurrentlyCoveredAssignmentCount",
    "FieldType": "aggregation",
    "Datatype": "number",
    "Formula": "=COUNTIFS(RoleAssignments!{{RoleWhenCovering}}, {{RoleId}})",
    "InventedForQuestion": "q-close-auto-authority-current",
    "SemanticTypeIri": "urn:effortless:pko-extension#RulebookField",
    "Name": "Roles.CurrentlyCoveredAssignmentCount",
    "IsDerived": true,
    "IsWitness": true,
    "DisagreeingSubstrateCount": 0,
    "IsSubstrateContested": false
   },
   {
    "RulebookFieldId": "Roles.HasNoCurrentHolder",
    "TargetTable": "Roles",
    "FieldName": "HasNoCurrentHolder",
    "FieldType": "calculated",
    "Datatype": "boolean",
    "Formula": "={{CurrentlyCoveredAssignmentCount}} = 0",
    "InventedForQuestion": "q-close-auto-authority-current",
    "SemanticTypeIri": "urn:effortless:pko-extension#RulebookField",
    "Name": "Roles.HasNoCurrentHolder",
    "IsDerived": true,
    "IsWitness": true,
    "DisagreeingSubstrateCount": 0,
    "IsSubstrateContested": false
   },
   {
    "RulebookFieldId": "Roles.CountOfAwaitedDecisions",
    "TargetTable": "Roles",
    "FieldName": "CountOfAwaitedDecisions",
    "FieldType": "aggregation",
    "Datatype": "integer",
    "Formula": "=COUNTIFS(ChangeRequests!{{AuthorityRole}}, Roles!{{RoleId}})",
    "InventedForQuestion": "q-hr-authority-without-review",
    "SemanticTypeIri": "urn:effortless:pko-extension#RulebookField",
    "Name": "Roles.CountOfAwaitedDecisions",
    "IsDerived": true,
    "IsWitness": true,
    "DisagreeingSubstrateCount": 0,
    "IsSubstrateContested": false
   },
   {
    "RulebookFieldId": "Roles.CurrentAssignment",
    "TargetTable": "Roles",
    "FieldName": "CurrentAssignment",
    "FieldType": "raw",
    "Datatype": "string",
    "Formula": null,
    "InventedForQuestion": null,
    "SemanticTypeIri": "urn:effortless:pko-extension#RulebookField",
    "Name": "Roles.CurrentAssignment",
    "IsDerived": false,
    "IsWitness": false,
    "DisagreeingSubstrateCount": 0,
    "IsSubstrateContested": false
   },
   {
    "RulebookFieldId": "Roles.CurrentAssignmentValidFrom",
    "TargetTable": "Roles",
    "FieldName": "CurrentAssignmentValidFrom",
    "FieldType": "lookup",
    "Datatype": "datetime",
    "Formula": "=INDEX(RoleAssignments!{{ValidFrom}}, MATCH({{CurrentAssignment}}, RoleAssignments!{{RoleAssignmentId}}, 0))",
    "InventedForQuestion": "q-variance-ai-knowledge-currency",
    "SemanticTypeIri": "urn:effortless:pko-extension#RulebookField",
    "Name": "Roles.CurrentAssignmentValidFrom",
    "IsDerived": true,
    "IsWitness": true,
    "DisagreeingSubstrateCount": 1,
    "IsSubstrateContested": true
   },
   {
    "RulebookFieldId": "Roles.IsNonHumanHeld",
    "TargetTable": "Roles",
    "FieldName": "IsNonHumanHeld",
    "FieldType": "calculated",
    "Datatype": "boolean",
    "Formula": "=NOT({{CurrentAgentKind}} = \"Human\")",
    "InventedForQuestion": "q-policy-ai-no-role-assignment",
    "SemanticTypeIri": "urn:effortless:pko-extension#RulebookField",
    "Name": "Roles.IsNonHumanHeld",
    "IsDerived": true,
    "IsWitness": true,
    "DisagreeingSubstrateCount": 0,
    "IsSubstrateContested": false
   },
   {
    "RulebookFieldId": "Roles.IsUngovernedNonHumanRole",
    "TargetTable": "Roles",
    "FieldName": "IsUngovernedNonHumanRole",
    "FieldType": "calculated",
    "Datatype": "boolean",
    "Formula": "=AND({{IsNonHumanHeld}}, {{HasNoCurrentHolder}})",
    "InventedForQuestion": "q-policy-ai-no-role-assignment",
    "SemanticTypeIri": "urn:effortless:pko-extension#RulebookField",
    "Name": "Roles.IsUngovernedNonHumanRole",
    "IsDerived": true,
    "IsWitness": true,
    "DisagreeingSubstrateCount": 0,
    "IsSubstrateContested": false
   },
   {
    "RulebookFieldId": "Roles.DepartedAssignmentCount",
    "TargetTable": "Roles",
    "FieldName": "DepartedAssignmentCount",
    "FieldType": "aggregation",
    "Datatype": "number",
    "Formula": "=COUNTIFS(RoleAssignments!{{DepartedRoleKey}}, {{RoleId}})",
    "InventedForQuestion": "q2-hr-departed-holder-left-claims-behind",
    "SemanticTypeIri": "urn:effortless:pko-extension#RulebookField",
    "Name": "Roles.DepartedAssignmentCount",
    "IsDerived": true,
    "IsWitness": true,
    "DisagreeingSubstrateCount": 0,
    "IsSubstrateContested": false
   },
   {
    "RulebookFieldId": "Roles.HasLostAHolder",
    "TargetTable": "Roles",
    "FieldName": "HasLostAHolder",
    "FieldType": "calculated",
    "Datatype": "boolean",
    "Formula": "={{DepartedAssignmentCount}} &gt; 0",
    "InventedForQuestion": "q2-hr-departed-holder-left-claims-behind",
    "SemanticTypeIri": "urn:effortless:pko-extension#RulebookField",
    "Name": "Roles.HasLostAHolder",
    "IsDerived": true,
    "IsWitness": true,
    "DisagreeingSubstrateCount": 0,
    "IsSubstrateContested": false
   },
   {
    "RulebookFieldId": "Roles.IsVacatedRole",
    "TargetTable": "Roles",
    "FieldName": "IsVacatedRole",
    "FieldType": "calculated",
    "Datatype": "boolean",
    "Formula": "=AND({{HasLostAHolder}}, {{HasNoCurrentHolder}})",
    "InventedForQuestion": "q2-hr-departed-holder-left-claims-behind",
    "SemanticTypeIri": "urn:effortless:pko-extension#RulebookField",
    "Name": "Roles.IsVacatedRole",
    "IsDerived": true,
    "IsWitness": true,
    "DisagreeingSubstrateCount": 0,
    "IsSubstrateContested": false
   },
   {
    "RulebookFieldId": "Roles.UngroundedBoundaryCount",
    "TargetTable": "Roles",
    "FieldName": "UngroundedBoundaryCount",
    "FieldType": "aggregation",
    "Datatype": "number",
    "Formula": "=COUNTIFS(AuthorityBoundaries!{{ConstrainedRoleAssignmentKey}}, {{RoleId}})",
    "InventedForQuestion": "q2-variance-boundary-rests-on-expired-knowledge",
    "SemanticTypeIri": "urn:effortless:pko-extension#RulebookField",
    "Name": "Roles.UngroundedBoundaryCount",
    "IsDerived": true,
    "IsWitness": true,
    "DisagreeingSubstrateCount": 0,
    "IsSubstrateContested": false
   },
   {
    "RulebookFieldId": "Roles.IsGovernedByLapsedAuthority",
    "TargetTable": "Roles",
    "FieldName": "IsGovernedByLapsedAuthority",
    "FieldType": "calculated",
    "Datatype": "boolean",
    "Formula": "=({{UngroundedBoundaryCount}} &gt; 0)",
    "InventedForQuestion": "q2-variance-boundary-rests-on-expired-knowledge",
    "SemanticTypeIri": "urn:effortless:pko-extension#RulebookField",
    "Name": "Roles.IsGovernedByLapsedAuthority",
    "IsDerived": true,
    "IsWitness": true,
    "DisagreeingSubstrateCount": 0,
    "IsSubstrateContested": false
   },
   {
    "RulebookFieldId": "Roles.UnescalatedRefusalCount",
    "TargetTable": "Roles",
    "FieldName": "UnescalatedRefusalCount",
    "FieldType": "aggregation",
    "Datatype": "number",
    "Formula": "=COUNTIFS(SendIntents!{{UnescalatedRefusalRoleKey}}, {{RoleId}})",
    "InventedForQuestion": "q2-publisher-every-refusal-leaves-a-record",
    "SemanticTypeIri": "urn:effortless:pko-extension#RulebookField",
    "Name": "Roles.UnescalatedRefusalCount",
    "IsDerived": true,
    "IsWitness": true,
    "DisagreeingSubstrateCount": 0,
    "IsSubstrateContested": false
   },
   {
    "RulebookFieldId": "Roles.UnauthorizedEnforcementAssignmentCount",
    "TargetTable": "Roles",
    "FieldName": "UnauthorizedEnforcementAssignmentCount",
    "FieldType": "aggregation",
    "Datatype": "number",
    "Formula": "=COUNTIFS(RoleAssignments!{{UnauthorizedEnforcementRoleKey}}, {{RoleId}})",
    "InventedForQuestion": "q2-publisher-my-own-authorization",
    "SemanticTypeIri": "urn:effortless:pko-extension#RulebookField",
    "Name": "Roles.UnauthorizedEnforcementAssignmentCount",
    "IsDerived": true,
    "IsWitness": true,
    "DisagreeingSubstrateCount": 0,
    "IsSubstrateContested": false
   },
   {
    "RulebookFieldId": "Roles.IsUngovernedEnforcementRole",
    "TargetTable": "Roles",
    "FieldName": "IsUngovernedEnforcementRole",
    "FieldType": "calculated",
    "Datatype": "boolean",
    "Formula": "=({{UnauthorizedEnforcementAssignmentCount}} &gt; 0)",
    "InventedForQuestion": "q2-publisher-my-own-authorization",
    "SemanticTypeIri": "urn:effortless:pko-extension#RulebookField",
    "Name": "Roles.IsUngovernedEnforcementRole",
    "IsDerived": true,
    "IsWitness": true,
    "DisagreeingSubstrateCount": 0,
    "IsSubstrateContested": false
   },
   {
    "RulebookFieldId": "Roles.SemanticTypeIri",
    "TargetTable": "Roles",
    "FieldName": "SemanticTypeIri",
    "FieldType": "raw",
    "Datatype": "string",
    "Formula": null,
    "InventedForQuestion": null,
    "SemanticTypeIri": "urn:effortless:pko-extension#RulebookField",
    "Name": "Roles.SemanticTypeIri",
    "IsDerived": false,
    "IsWitness": false,
    "DisagreeingSubstrateCount": 0,
    "IsSubstrateContested": false
   },
   {
    "RulebookFieldId": "RoleAssignments.RoleAssignmentId",
    "TargetTable": "RoleAssignments",
    "FieldName": "RoleAssignmentId",
    "FieldType": "raw",
    "Datatype": "string",
    "Formula": null,
    "InventedForQuestion": null,
    "SemanticTypeIri": "urn:effortless:pko-extension#RulebookField",
    "Name": "RoleAssignments.RoleAssignmentId",
    "IsDerived": false,
    "IsWitness": false,
    "DisagreeingSubstrateCount": 0,
    "IsSubstrateContested": false
   },
   {
    "RulebookFieldId": "RoleAssignments.Name",
    "TargetTable": "RoleAssignments",
    "FieldName": "Name",
    "FieldType": "calculated",
    "Datatype": "string",
    "Formula": "={{Role}} &amp; \" @ \" &amp; {{ValidFrom}}",
    "InventedForQuestion": null,
    "SemanticTypeIri": "urn:effortless:pko-extension#RulebookField",
    "Name": "RoleAssignments.Name",
    "IsDerived": true,
    "IsWitness": false,
    "DisagreeingSubstrateCount": 6,
    "IsSubstrateContested": true
   },
   {
    "RulebookFieldId": "RoleAssignments.Role",
    "TargetTable": "RoleAssignments",
    "FieldName": "Role",
    "FieldType": "relationship",
    "Datatype": "string",
    "Formula": null,
    "InventedForQuestion": null,
    "SemanticTypeIri": "urn:effortless:pko-extension#RulebookField",
    "Name": "RoleAssignments.Role",
    "IsDerived": false,
    "IsWitness": false,
    "DisagreeingSubstrateCount": 0,
    "IsSubstrateContested": false
   },
   {
    "RulebookFieldId": "RoleAssignments.Agent",
    "TargetTable": "RoleAssignments",
    "FieldName": "Agent",
    "FieldType": "relationship",
    "Datatype": "string",
    "Formula": null,
    "InventedForQuestion": null,
    "SemanticTypeIri": "urn:effortless:pko-extension#RulebookField",
    "Name": "RoleAssignments.Agent",
    "IsDerived": false,
    "IsWitness": false,
    "DisagreeingSubstrateCount": 0,
    "IsSubstrateContested": false
   },
   {
    "RulebookFieldId": "RoleAssignments.ValidFrom",
    "TargetTable": "RoleAssignments",
    "FieldName": "ValidFrom",
    "FieldType": "raw",
    "Datatype": "datetime",
    "Formula": null,
    "InventedForQuestion": null,
    "SemanticTypeIri": "urn:effortless:pko-extension#RulebookField",
    "Name": "RoleAssignments.ValidFrom",
    "IsDerived": false,
    "IsWitness": false,
    "DisagreeingSubstrateCount": 0,
    "IsSubstrateContested": false
   },
   {
    "RulebookFieldId": "RoleAssignments.ValidTo",
    "TargetTable": "RoleAssignments",
    "FieldName": "ValidTo",
    "FieldType": "raw",
    "Datatype": "datetime",
    "Formula": null,
    "InventedForQuestion": null,
    "SemanticTypeIri": "urn:effortless:pko-extension#RulebookField",
    "Name": "RoleAssignments.ValidTo",
    "IsDerived": false,
    "IsWitness": false,
    "DisagreeingSubstrateCount": 0,
    "IsSubstrateContested": false
   },
   {
    "RulebookFieldId": "RoleAssignments.Reason",
    "TargetTable": "RoleAssignments",
    "FieldName": "Reason",
    "FieldType": "raw",
    "Datatype": "string",
    "Formula": null,
    "InventedForQuestion": null,
    "SemanticTypeIri": "urn:effortless:pko-extension#RulebookField",
    "Name": "RoleAssignments.Reason",
    "IsDerived": false,
    "IsWitness": false,
    "DisagreeingSubstrateCount": 0,
    "IsSubstrateContested": false
   },
   {
    "RulebookFieldId": "RoleAssignments.Status",
    "TargetTable": "RoleAssignments",
    "FieldName": "Status",
    "FieldType": "raw",
    "Datatype": "string",
    "Formula": null,
    "InventedForQuestion": null,
    "SemanticTypeIri": "urn:effortless:pko-extension#RulebookField",
    "Name": "RoleAssignments.Status",
    "IsDerived": false,
    "IsWitness": false,
    "DisagreeingSubstrateCount": 0,
    "IsSubstrateContested": false
   },
   {
    "RulebookFieldId": "RoleAssignments.EvaluationContext",
    "TargetTable": "RoleAssignments",
    "FieldName": "EvaluationContext",
    "FieldType": "relationship",
    "Datatype": "string",
    "Formula": null,
    "InventedForQuestion": null,
    "SemanticTypeIri": "urn:effortless:pko-extension#RulebookField",
    "Name": "RoleAssignments.EvaluationContext",
    "IsDerived": false,
    "IsWitness": false,
    "DisagreeingSubstrateCount": 0,
    "IsSubstrateContested": false
   },
   {
    "RulebookFieldId": "RoleAssignments.AsOfInstant",
    "TargetTable": "RoleAssignments",
    "FieldName": "AsOfInstant",
    "FieldType": "lookup",
    "Datatype": "datetime",
    "Formula": "=INDEX(EvaluationContexts!{{AsOfInstant}}, MATCH({{EvaluationContext}}, EvaluationContexts!{{EvaluationContextId}}, 0))",
    "InventedForQuestion": null,
    "SemanticTypeIri": "urn:effortless:pko-extension#RulebookField",
    "Name": "RoleAssignments.AsOfInstant",
    "IsDerived": true,
    "IsWitness": false,
    "DisagreeingSubstrateCount": 1,
    "IsSubstrateContested": true
   },
   {
    "RulebookFieldId": "RoleAssignments.IsCurrent",
    "TargetTable": "RoleAssignments",
    "FieldName": "IsCurrent",
    "FieldType": "calculated",
    "Datatype": "boolean",
    "Formula": "=AND({{ValidFrom}} &lt;= {{AsOfInstant}}, OR({{ValidTo}} = \"\", {{ValidTo}} &gt; {{AsOfInstant}}))",
    "InventedForQuestion": null,
    "SemanticTypeIri": "urn:effortless:pko-extension#RulebookField",
    "Name": "RoleAssignments.IsCurrent",
    "IsDerived": true,
    "IsWitness": false,
    "DisagreeingSubstrateCount": 0,
    "IsSubstrateContested": false
   },
   {
    "RulebookFieldId": "RoleAssignments.CurrentAgentKey",
    "TargetTable": "RoleAssignments",
    "FieldName": "CurrentAgentKey",
    "FieldType": "calculated",
    "Datatype": "string",
    "Formula": "=IF({{IsCurrent}}, {{Agent}}, \"\")",
    "InventedForQuestion": null,
    "SemanticTypeIri": "urn:effortless:pko-extension#RulebookField",
    "Name": "RoleAssignments.CurrentAgentKey",
    "IsDerived": true,
    "IsWitness": false,
    "DisagreeingSubstrateCount": 0,
    "IsSubstrateContested": false
   },
   {
    "RulebookFieldId": "RoleAssignments.IsCurrentlyValid",
    "TargetTable": "RoleAssignments",
    "FieldName": "IsCurrentlyValid",
    "FieldType": "calculated",
    "Datatype": "boolean",
    "Formula": "=AND({{Status}} = \"Active\", OR({{ValidTo}} = \"\", {{ValidTo}} &gt; {{AsOfInstant}}))",
    "InventedForQuestion": "q-controller-approval-authority-valid",
    "SemanticTypeIri": "urn:effortless:pko-extension#RulebookField",
    "Name": "RoleAssignments.IsCurrentlyValid",
    "IsDerived": true,
    "IsWitness": true,
    "DisagreeingSubstrateCount": 0,
    "IsSubstrateContested": false
   },
   {
    "RulebookFieldId": "RoleAssignments.AgentRoleKey",
    "TargetTable": "RoleAssignments",
    "FieldName": "AgentRoleKey",
    "FieldType": "calculated",
    "Datatype": "string",
    "Formula": "=IF({{IsCurrentlyValid}}, {{Agent}} &amp; \"|\" &amp; {{Role}}, \"\")",
    "InventedForQuestion": "q-controller-approval-authority-valid",
    "SemanticTypeIri": "urn:effortless:pko-extension#RulebookField",
    "Name": "RoleAssignments.AgentRoleKey",
    "IsDerived": true,
    "IsWitness": true,
    "DisagreeingSubstrateCount": 0,
    "IsSubstrateContested": false
   },
   {
    "RulebookFieldId": "RoleAssignments.HasDeparted",
    "TargetTable": "RoleAssignments",
    "FieldName": "HasDeparted",
    "FieldType": "calculated",
    "Datatype": "boolean",
    "Formula": "=AND({{ValidTo}} &lt;&gt; \"\", {{ValidTo}} &lt;= {{AsOfInstant}})",
    "InventedForQuestion": "q-authority-orphaned-provenance",
    "SemanticTypeIri": "urn:effortless:pko-extension#RulebookField",
    "Name": "RoleAssignments.HasDeparted",
    "IsDerived": true,
    "IsWitness": true,
    "DisagreeingSubstrateCount": 0,
    "IsSubstrateContested": false
   },
   {
    "RulebookFieldId": "RoleAssignments.CoversNow",
    "TargetTable": "RoleAssignments",
    "FieldName": "CoversNow",
    "FieldType": "calculated",
    "Datatype": "boolean",
    "Formula": "=AND({{Status}} = \"Active\", {{ValidFrom}} &lt;= {{AsOfInstant}}, OR({{ValidTo}} = \"\", {{ValidTo}} &gt; {{AsOfInstant}}))",
    "InventedForQuestion": "q-close-auto-authority-current",
    "SemanticTypeIri": "urn:effortless:pko-extension#RulebookField",
    "Name": "RoleAssignments.CoversNow",
    "IsDerived": true,
    "IsWitness": true,
    "DisagreeingSubstrateCount": 0,
    "IsSubstrateContested": false
   },
   {
    "RulebookFieldId": "RoleAssignments.RoleWhenCovering",
    "TargetTable": "RoleAssignments",
    "FieldName": "RoleWhenCovering",
    "FieldType": "calculated",
    "Datatype": "string",
    "Formula": "=IF({{CoversNow}}, {{Role}}, \"\")",
    "InventedForQuestion": "q-close-auto-authority-current",
    "SemanticTypeIri": "urn:effortless:pko-extension#RulebookField",
    "Name": "RoleAssignments.RoleWhenCovering",
    "IsDerived": true,
    "IsWitness": true,
    "DisagreeingSubstrateCount": 0,
    "IsSubstrateContested": false
   },
   {
    "RulebookFieldId": "RoleAssignments.AgentKind",
    "TargetTable": "RoleAssignments",
    "FieldName": "AgentKind",
    "FieldType": "lookup",
    "Datatype": "string",
    "Formula": "=INDEX(Agents!{{AgentKind}}, MATCH({{Agent}}, Agents!{{AgentId}}, 0))",
    "InventedForQuestion": "q-variance-ai-authority-provenance",
    "SemanticTypeIri": "urn:effortless:pko-extension#RulebookField",
    "Name": "RoleAssignments.AgentKind",
    "IsDerived": true,
    "IsWitness": true,
    "DisagreeingSubstrateCount": 0,
    "IsSubstrateContested": false
   },
   {
    "RulebookFieldId": "RoleAssignments.IsNonHumanAssignment",
    "TargetTable": "RoleAssignments",
    "FieldName": "IsNonHumanAssignment",
    "FieldType": "calculated",
    "Datatype": "boolean",
    "Formula": "=NOT({{AgentKind}} = \"Human\")",
    "InventedForQuestion": "q-variance-ai-authority-provenance",
    "SemanticTypeIri": "urn:effortless:pko-extension#RulebookField",
    "Name": "RoleAssignments.IsNonHumanAssignment",
    "IsDerived": true,
    "IsWitness": true,
    "DisagreeingSubstrateCount": 0,
    "IsSubstrateContested": false
   },
   {
    "RulebookFieldId": "RoleAssignments.SupersedesAssignment",
    "TargetTable": "RoleAssignments",
    "FieldName": "SupersedesAssignment",
    "FieldType": "relationship",
    "Datatype": "string",
    "Formula": null,
    "InventedForQuestion": "q-variance-ai-authority-provenance",
    "SemanticTypeIri": "urn:effortless:pko-extension#RulebookField",
    "Name": "RoleAssignments.SupersedesAssignment",
    "IsDerived": false,
    "IsWitness": true,
    "DisagreeingSubstrateCount": 0,
    "IsSubstrateContested": false
   },
   {
    "RulebookFieldId": "RoleAssignments.PredecessorAgentKind",
    "TargetTable": "RoleAssignments",
    "FieldName": "PredecessorAgentKind",
    "FieldType": "lookup",
    "Datatype": "string",
    "Formula": "=INDEX(RoleAssignments!{{AgentKind}}, MATCH({{SupersedesAssignment}}, RoleAssignments!{{RoleAssignmentId}}, 0))",
    "InventedForQuestion": "q-variance-ai-authority-provenance",
    "SemanticTypeIri": "urn:effortless:pko-extension#RulebookField",
    "Name": "RoleAssignments.PredecessorAgentKind",
    "IsDerived": true,
    "IsWitness": true,
    "DisagreeingSubstrateCount": 1,
    "IsSubstrateContested": true
   },
   {
    "RulebookFieldId": "RoleAssignments.IsHumanToNonHumanHandover",
    "TargetTable": "RoleAssignments",
    "FieldName": "IsHumanToNonHumanHandover",
    "FieldType": "calculated",
    "Datatype": "boolean",
    "Formula": "=AND({{PredecessorAgentKind}} = \"Human\", {{IsNonHumanAssignment}})",
    "InventedForQuestion": "q-variance-ai-authority-provenance",
    "SemanticTypeIri": "urn:effortless:pko-extension#RulebookField",
    "Name": "RoleAssignments.IsHumanToNonHumanHandover",
    "IsDerived": true,
    "IsWitness": true,
    "DisagreeingSubstrateCount": 1,
    "IsSubstrateContested": true
   },
   {
    "RulebookFieldId": "RoleAssignments.ApprovingAuthorityRole",
    "TargetTable": "RoleAssignments",
    "FieldName": "ApprovingAuthorityRole",
    "FieldType": "relationship",
    "Datatype": "string",
    "Formula": null,
    "Invented</t>
  </si>
  <si>
    <t xml:space="preserve">ForQuestion": "q-variance-ai-authority-provenance",
    "SemanticTypeIri": "urn:effortless:pko-extension#RulebookField",
    "Name": "RoleAssignments.ApprovingAuthorityRole",
    "IsDerived": false,
    "IsWitness": true,
    "DisagreeingSubstrateCount": 0,
    "IsSubstrateContested": false
   },
   {
    "RulebookFieldId": "RoleAssignments.AuthorizingChangeRequest",
    "TargetTable": "RoleAssignments",
    "FieldName": "AuthorizingChangeRequest",
    "FieldType": "relationship",
    "Datatype": "string",
    "Formula": null,
    "InventedForQuestion": "q-variance-ai-authority-provenance",
    "SemanticTypeIri": "urn:effortless:pko-extension#RulebookField",
    "Name": "RoleAssignments.AuthorizingChangeRequest",
    "IsDerived": false,
    "IsWitness": true,
    "DisagreeingSubstrateCount": 0,
    "IsSubstrateContested": false
   },
   {
    "RulebookFieldId": "RoleAssignments.IsUnauthorizedNonHumanAssignment",
    "TargetTable": "RoleAssignments",
    "FieldName": "IsUnauthorizedNonHumanAssignment",
    "FieldType": "calculated",
    "Datatype": "boolean",
    "Formula": "=AND({{IsNonHumanAssignment}}, NOT({{HasApprovingAuthority}}))",
    "InventedForQuestion": "q-variance-ai-authority-provenance",
    "SemanticTypeIri": "urn:effortless:pko-extension#RulebookField",
    "Name": "RoleAssignments.IsUnauthorizedNonHumanAssignment",
    "IsDerived": true,
    "IsWitness": true,
    "DisagreeingSubstrateCount": 0,
    "IsSubstrateContested": false
   },
   {
    "RulebookFieldId": "RoleAssignments.WasAuthorizedByChangeRequest",
    "TargetTable": "RoleAssignments",
    "FieldName": "WasAuthorizedByChangeRequest",
    "FieldType": "calculated",
    "Datatype": "boolean",
    "Formula": "=AND({{HasApprovingAuthority}}, {{AuthorizingChangeRequest}} &lt;&gt; \"\")",
    "InventedForQuestion": null,
    "SemanticTypeIri": "urn:effortless:pko-extension#RulebookField",
    "Name": "RoleAssignments.WasAuthorizedByChangeRequest",
    "IsDerived": true,
    "IsWitness": false,
    "DisagreeingSubstrateCount": 0,
    "IsSubstrateContested": false
   },
   {
    "RulebookFieldId": "RoleAssignments.DecisionCount",
    "TargetTable": "RoleAssignments",
    "FieldName": "DecisionCount",
    "FieldType": "aggregation",
    "Datatype": "number",
    "Formula": "=COUNTIFS(AgentDecisionRecords!{{RoleAssignmentWhenScored}}, {{RoleAssignmentId}})",
    "InventedForQuestion": "q-variance-ai-quality-vs-human-baseline",
    "SemanticTypeIri": "urn:effortless:pko-extension#RulebookField",
    "Name": "RoleAssignments.DecisionCount",
    "IsDerived": true,
    "IsWitness": true,
    "DisagreeingSubstrateCount": 0,
    "IsSubstrateContested": false
   },
   {
    "RulebookFieldId": "RoleAssignments.OverriddenDecisionCount",
    "TargetTable": "RoleAssignments",
    "FieldName": "OverriddenDecisionCount",
    "FieldType": "aggregation",
    "Datatype": "number",
    "Formula": "=COUNTIFS(AgentDecisionRecords!{{RoleAssignmentWhenOverridden}}, {{RoleAssignmentId}})",
    "InventedForQuestion": "q-variance-ai-quality-vs-human-baseline",
    "SemanticTypeIri": "urn:effortless:pko-extension#RulebookField",
    "Name": "RoleAssignments.OverriddenDecisionCount",
    "IsDerived": true,
    "IsWitness": true,
    "DisagreeingSubstrateCount": 0,
    "IsSubstrateContested": false
   },
   {
    "RulebookFieldId": "RoleAssignments.OverrideRatePercent",
    "TargetTable": "RoleAssignments",
    "FieldName": "OverrideRatePercent",
    "FieldType": "calculated",
    "Datatype": "number",
    "Formula": "=IF({{DecisionCount}} = 0, 0, ({{OverriddenDecisionCount}} * 100) / {{DecisionCount}})",
    "InventedForQuestion": "q-variance-ai-quality-vs-human-baseline",
    "SemanticTypeIri": "urn:effortless:pko-extension#RulebookField",
    "Name": "RoleAssignments.OverrideRatePercent",
    "IsDerived": true,
    "IsWitness": true,
    "DisagreeingSubstrateCount": 0,
    "IsSubstrateContested": false
   },
   {
    "RulebookFieldId": "RoleAssignments.PredecessorOverrideRatePercent",
    "TargetTable": "RoleAssignments",
    "FieldName": "PredecessorOverrideRatePercent",
    "FieldType": "lookup",
    "Datatype": "number",
    "Formula": "=INDEX(RoleAssignments!{{OverrideRatePercent}}, MATCH({{SupersedesAssignment}}, RoleAssignments!{{RoleAssignmentId}}, 0))",
    "InventedForQuestion": "q-variance-ai-quality-vs-human-baseline",
    "SemanticTypeIri": "urn:effortless:pko-extension#RulebookField",
    "Name": "RoleAssignments.PredecessorOverrideRatePercent",
    "IsDerived": true,
    "IsWitness": true,
    "DisagreeingSubstrateCount": 0,
    "IsSubstrateContested": false
   },
   {
    "RulebookFieldId": "RoleAssignments.QualityRegressedVsPredecessor",
    "TargetTable": "RoleAssignments",
    "FieldName": "QualityRegressedVsPredecessor",
    "FieldType": "calculated",
    "Datatype": "boolean",
    "Formula": "=AND({{SupersedesAssignment}} &lt;&gt; \"\", {{OverrideRatePercent}} &gt; {{PredecessorOverrideRatePercent}})",
    "InventedForQuestion": "q-variance-ai-quality-vs-human-baseline",
    "SemanticTypeIri": "urn:effortless:pko-extension#RulebookField",
    "Name": "RoleAssignments.QualityRegressedVsPredecessor",
    "IsDerived": true,
    "IsWitness": true,
    "DisagreeingSubstrateCount": 0,
    "IsSubstrateContested": false
   },
   {
    "RulebookFieldId": "RoleAssignments.DepartedRoleKey",
    "TargetTable": "RoleAssignments",
    "FieldName": "DepartedRoleKey",
    "FieldType": "calculated",
    "Datatype": "string",
    "Formula": "=IF({{HasDeparted}}, {{Role}}, \"\")",
    "InventedForQuestion": "q2-hr-departed-holder-left-claims-behind",
    "SemanticTypeIri": "urn:effortless:pko-extension#RulebookField",
    "Name": "RoleAssignments.DepartedRoleKey",
    "IsDerived": true,
    "IsWitness": true,
    "DisagreeingSubstrateCount": 0,
    "IsSubstrateContested": false
   },
   {
    "RulebookFieldId": "RoleAssignments.MinimumDecisionsForComparison",
    "TargetTable": "RoleAssignments",
    "FieldName": "MinimumDecisionsForComparison",
    "FieldType": "raw",
    "Datatype": "integer",
    "Formula": null,
    "InventedForQuestion": "q2-variance-comparison-is-statistically-empty",
    "SemanticTypeIri": "urn:effortless:pko-extension#RulebookField",
    "Name": "RoleAssignments.MinimumDecisionsForComparison",
    "IsDerived": false,
    "IsWitness": true,
    "DisagreeingSubstrateCount": 0,
    "IsSubstrateContested": false
   },
   {
    "RulebookFieldId": "RoleAssignments.PredecessorDecisionCount",
    "TargetTable": "RoleAssignments",
    "FieldName": "PredecessorDecisionCount",
    "FieldType": "lookup",
    "Datatype": "number",
    "Formula": "=INDEX(RoleAssignments!{{DecisionCount}}, MATCH({{SupersedesAssignment}}, RoleAssignments!{{RoleAssignmentId}}, 0))",
    "InventedForQuestion": "q2-variance-comparison-is-statistically-empty",
    "SemanticTypeIri": "urn:effortless:pko-extension#RulebookField",
    "Name": "RoleAssignments.PredecessorDecisionCount",
    "IsDerived": true,
    "IsWitness": true,
    "DisagreeingSubstrateCount": 0,
    "IsSubstrateContested": false
   },
   {
    "RulebookFieldId": "RoleAssignments.HasSufficientSample",
    "TargetTable": "RoleAssignments",
    "FieldName": "HasSufficientSample",
    "FieldType": "calculated",
    "Datatype": "boolean",
    "Formula": "={{DecisionCount}} &gt;= {{MinimumDecisionsForComparison}}",
    "InventedForQuestion": "q2-variance-comparison-is-statistically-empty",
    "SemanticTypeIri": "urn:effortless:pko-extension#RulebookField",
    "Name": "RoleAssignments.HasSufficientSample",
    "IsDerived": true,
    "IsWitness": true,
    "DisagreeingSubstrateCount": 1,
    "IsSubstrateContested": true
   },
   {
    "RulebookFieldId": "RoleAssignments.PredecessorHasSufficientSample",
    "TargetTable": "RoleAssignments",
    "FieldName": "PredecessorHasSufficientSample",
    "FieldType": "calculated",
    "Datatype": "boolean",
    "Formula": "={{PredecessorDecisionCount}} &gt;= {{MinimumDecisionsForComparison}}",
    "InventedForQuestion": "q2-variance-comparison-is-statistically-empty",
    "SemanticTypeIri": "urn:effortless:pko-extension#RulebookField",
    "Name": "RoleAssignments.PredecessorHasSufficientSample",
    "IsDerived": true,
    "IsWitness": true,
    "DisagreeingSubstrateCount": 1,
    "IsSubstrateContested": true
   },
   {
    "RulebookFieldId": "RoleAssignments.ComparisonIsEvidentiallySound",
    "TargetTable": "RoleAssignments",
    "FieldName": "ComparisonIsEvidentiallySound",
    "FieldType": "calculated",
    "Datatype": "boolean",
    "Formula": "=AND({{HasSufficientSample}}, {{PredecessorHasSufficientSample}})",
    "InventedForQuestion": "q2-variance-comparison-is-statistically-empty",
    "SemanticTypeIri": "urn:effortless:pko-extension#RulebookField",
    "Name": "RoleAssignments.ComparisonIsEvidentiallySound",
    "IsDerived": true,
    "IsWitness": true,
    "DisagreeingSubstrateCount": 1,
    "IsSubstrateContested": true
   },
   {
    "RulebookFieldId": "RoleAssignments.SingleOverrideSwingPercent",
    "TargetTable": "RoleAssignments",
    "FieldName": "SingleOverrideSwingPercent",
    "FieldType": "calculated",
    "Datatype": "number",
    "Formula": "=IF({{DecisionCount}} &gt; 0, 100 / {{DecisionCount}}, 0)",
    "InventedForQuestion": "q2-variance-comparison-is-statistically-empty",
    "SemanticTypeIri": "urn:effortless:pko-extension#RulebookField",
    "Name": "RoleAssignments.SingleOverrideSwingPercent",
    "IsDerived": true,
    "IsWitness": true,
    "DisagreeingSubstrateCount": 0,
    "IsSubstrateContested": false
   },
   {
    "RulebookFieldId": "RoleAssignments.QualityVerdictIsUnsupported",
    "TargetTable": "RoleAssignments",
    "FieldName": "QualityVerdictIsUnsupported",
    "FieldType": "calculated",
    "Datatype": "boolean",
    "Formula": "=AND(NOT({{ComparisonIsEvidentiallySound}}), NOT({{QualityRegressedVsPredecessor}}))",
    "InventedForQuestion": "q2-variance-comparison-is-statistically-empty",
    "SemanticTypeIri": "urn:effortless:pko-extension#RulebookField",
    "Name": "RoleAssignments.QualityVerdictIsUnsupported",
    "IsDerived": true,
    "IsWitness": true,
    "DisagreeingSubstrateCount": 7,
    "IsSubstrateContested": true
   },
   {
    "RulebookFieldId": "RoleAssignments.IsUnmeasuredAutomationHandover",
    "TargetTable": "RoleAssignments",
    "FieldName": "IsUnmeasuredAutomationHandover",
    "FieldType": "calculated",
    "Datatype": "boolean",
    "Formula": "=AND({{IsHumanToNonHumanHandover}}, NOT({{ComparisonIsEvidentiallySound}}))",
    "InventedForQuestion": "q2-variance-comparison-is-statistically-empty",
    "SemanticTypeIri": "urn:effortless:pko-extension#RulebookField",
    "Name": "RoleAssignments.IsUnmeasuredAutomationHandover",
    "IsDerived": true,
    "IsWitness": true,
    "DisagreeingSubstrateCount": 7,
    "IsSubstrateContested": true
   },
   {
    "RulebookFieldId": "RoleAssignments.ErrorCorrectionCount",
    "TargetTable": "RoleAssignments",
    "FieldName": "ErrorCorrectionCount",
    "FieldType": "aggregation",
    "Datatype": "number",
    "Formula": "=COUNTIFS(AgentDecisionRecords!{{ErrorCorrectionRoleAssignmentKey}}, {{RoleAssignmentId}})",
    "InventedForQuestion": "q2-variance-override-signal-vs-noise",
    "SemanticTypeIri": "urn:effortless:pko-extension#RulebookField",
    "Name": "RoleAssignments.ErrorCorrectionCount",
    "IsDerived": true,
    "IsWitness": true,
    "DisagreeingSubstrateCount": 0,
    "IsSubstrateContested": false
   },
   {
    "RulebookFieldId": "RoleAssignments.ErrorRatePercent",
    "TargetTable": "RoleAssignments",
    "FieldName": "ErrorRatePercent",
    "FieldType": "calculated",
    "Datatype": "number",
    "Formula": "=IF({{DecisionCount}} &gt; 0, {{ErrorCorrectionCount}} * 100 / {{DecisionCount}}, 0)",
    "InventedForQuestion": "q2-variance-override-signal-vs-noise",
    "SemanticTypeIri": "urn:effortless:pko-extension#RulebookField",
    "Name": "RoleAssignments.ErrorRatePercent",
    "IsDerived": true,
    "IsWitness": true,
    "DisagreeingSubstrateCount": 0,
    "IsSubstrateContested": false
   },
   {
    "RulebookFieldId": "RoleAssignments.AuthorizationDecidedAt",
    "TargetTable": "RoleAssignments",
    "FieldName": "AuthorizationDecidedAt",
    "FieldType": "raw",
    "Datatype": "datetime",
    "Formula": null,
    "InventedForQuestion": "q2-variance-handover-was-a-decision-somebody-made",
    "SemanticTypeIri": "urn:effortless:pko-extension#RulebookField",
    "Name": "RoleAssignments.AuthorizationDecidedAt",
    "IsDerived": false,
    "IsWitness": true,
    "DisagreeingSubstrateCount": 0,
    "IsSubstrateContested": false
   },
   {
    "RulebookFieldId": "RoleAssignments.AuthorizationReviewedAt",
    "TargetTable": "RoleAssignments",
    "FieldName": "AuthorizationReviewedAt",
    "FieldType": "raw",
    "Datatype": "datetime",
    "Formula": null,
    "InventedForQuestion": "q2-variance-handover-was-a-decision-somebody-made",
    "SemanticTypeIri": "urn:effortless:pko-extension#RulebookField",
    "Name": "RoleAssignments.AuthorizationReviewedAt",
    "IsDerived": false,
    "IsWitness": true,
    "DisagreeingSubstrateCount": 0,
    "IsSubstrateContested": false
   },
   {
    "RulebookFieldId": "RoleAssignments.AuthorizationReviewCadenceDays",
    "TargetTable": "RoleAssignments",
    "FieldName": "AuthorizationReviewCadenceDays",
    "FieldType": "raw",
    "Datatype": "integer",
    "Formula": null,
    "InventedForQuestion": "q2-variance-handover-was-a-decision-somebody-made",
    "SemanticTypeIri": "urn:effortless:pko-extension#RulebookField",
    "Name": "RoleAssignments.AuthorizationReviewCadenceDays",
    "IsDerived": false,
    "IsWitness": true,
    "DisagreeingSubstrateCount": 0,
    "IsSubstrateContested": false
   },
   {
    "RulebookFieldId": "RoleAssignments.HasDatedAuthorization",
    "TargetTable": "RoleAssignments",
    "FieldName": "HasDatedAuthorization",
    "FieldType": "calculated",
    "Datatype": "boolean",
    "Formula": "=AND({{ApprovingAuthorityRole}} &lt;&gt; \"\", {{AuthorizationDecidedAt}} &lt;&gt; \"\")",
    "InventedForQuestion": "q2-variance-handover-was-a-decision-somebody-made",
    "SemanticTypeIri": "urn:effortless:pko-extension#RulebookField",
    "Name": "RoleAssignments.HasDatedAuthorization",
    "IsDerived": true,
    "IsWitness": true,
    "DisagreeingSubstrateCount": 0,
    "IsSubstrateContested": false
   },
   {
    "RulebookFieldId": "RoleAssignments.DaysSinceAuthorizationReview",
    "TargetTable": "RoleAssignments",
    "FieldName": "DaysSinceAuthorizationReview",
    "FieldType": "calculated",
    "Datatype": "integer",
    "Formula": "=IF({{AuthorizationReviewedAt}} &lt;&gt; \"\", DATETIME_DIFF({{AsOfInstant}}, {{AuthorizationReviewedAt}}, \"days\"), DATETIME_DIFF({{AsOfInstant}}, {{ValidFrom}}, \"days\"))",
    "InventedForQuestion": "q2-variance-handover-was-a-decision-somebody-made",
    "SemanticTypeIri": "urn:effortless:pko-extension#RulebookField",
    "Name": "RoleAssignments.DaysSinceAuthorizationReview",
    "IsDerived": true,
    "IsWitness": true,
    "DisagreeingSubstrateCount": 0,
    "IsSubstrateContested": false
   },
   {
    "RulebookFieldId": "RoleAssignments.AuthorizationIsOverdueForReview",
    "TargetTable": "RoleAssignments",
    "FieldName": "AuthorizationIsOverdueForReview",
    "FieldType": "calculated",
    "Datatype": "boolean",
    "Formula": "=AND({{AuthorizationReviewCadenceDays}} &gt; 0, {{DaysSinceAuthorizationReview}} &gt; {{AuthorizationReviewCadenceDays}})",
    "InventedForQuestion": "q2-variance-handover-was-a-decision-somebody-made",
    "SemanticTypeIri": "urn:effortless:pko-extension#RulebookField",
    "Name": "RoleAssignments.AuthorizationIsOverdueForReview",
    "IsDerived": true,
    "IsWitness": true,
    "DisagreeingSubstrateCount": 0,
    "IsSubstrateContested": false
   },
   {
    "RulebookFieldId": "RoleAssignments.IsStandingUnreviewedAutomation",
    "TargetTable": "RoleAssignments",
    "FieldName": "IsStandingUnreviewedAutomation",
    "FieldType": "calculated",
    "Datatype": "boolean",
    "Formula": "=AND({{CoversNow}}, AND({{IsNonHumanAssignment}}, {{AuthorizationIsOverdueForReview}}))",
    "InventedForQuestion": "q2-variance-handover-was-a-decision-somebody-made",
    "SemanticTypeIri": "urn:effortless:pko-extension#RulebookField",
    "Name": "RoleAssignments.IsStandingUnreviewedAutomation",
    "IsDerived": true,
    "IsWitness": true,
    "DisagreeingSubstrateCount": 0,
    "IsSubstrateContested": false
   },
   {
    "RulebookFieldId": "RoleAssignments.IsUnconditionedAutomationHandover",
    "TargetTable": "RoleAssignments",
    "FieldName": "IsUnconditionedAutomationHandover",
    "FieldType": "calculated",
    "Datatype": "boolean",
    "Formula": "=AND({{IsHumanToNonHumanHandover}}, {{AuthorizationReviewCadenceDays}} = 0)",
    "InventedForQuestion": "q2-variance-handover-was-a-decision-somebody-made",
    "SemanticTypeIri": "urn:effortless:pko-extension#RulebookField",
    "Name": "RoleAssignments.IsUnconditionedAutomationHandover",
    "IsDerived": true,
    "IsWitness": true,
    "DisagreeingSubstrateCount": 0,
    "IsSubstrateContested": false
   },
   {
    "RulebookFieldId": "RoleAssignments.MaxTolerableErrorRatePercent",
    "TargetTable": "RoleAssignments",
    "FieldName": "MaxTolerableErrorRatePercent",
    "FieldType": "raw",
    "Datatype": "integer",
    "Formula": null,
    "InventedForQuestion": "q2-variance-what-would-make-me-stop",
    "SemanticTypeIri": "urn:effortless:pko-extension#RulebookField",
    "Name": "RoleAssignments.MaxTolerableErrorRatePercent",
    "IsDerived": false,
    "IsWitness": true,
    "DisagreeingSubstrateCount": 0,
    "IsSubstrateContested": false
   },
   {
    "RulebookFieldId": "RoleAssignments.ExceedsTolerableErrorRate",
    "TargetTable": "RoleAssignments",
    "FieldName": "ExceedsTolerableErrorRate",
    "FieldType": "calculated",
    "Datatype": "boolean",
    "Formula": "=AND({{MaxTolerableErrorRatePercent}} &gt; 0, {{ErrorRatePercent}} &gt;= {{MaxTolerableErrorRatePercent}})",
    "InventedForQuestion": "q2-variance-what-would-make-me-stop",
    "SemanticTypeIri": "urn:effortless:pko-extension#RulebookField",
    "Name": "RoleAssignments.ExceedsTolerableErrorRate",
    "IsDerived": true,
    "IsWitness": true,
    "DisagreeingSubstrateCount": 0,
    "IsSubstrateContested": false
   },
   {
    "RulebookFieldId": "RoleAssignments.BoundaryViolationCountForAssignment",
    "TargetTable": "RoleAssignments",
    "FieldName": "BoundaryViolationCountForAssignment",
    "FieldType": "aggregation",
    "Datatype": "number",
    "Formula": "=COUNTIFS(AgentDecisionRecords!{{BoundaryViolationRoleAssignmentKey}}, {{RoleAssignmentId}})",
    "InventedForQuestion": "q2-variance-what-would-make-me-stop",
    "SemanticTypeIri": "urn:effortless:pko-extension#RulebookField",
    "Name": "RoleAssignments.BoundaryViolationCountForAssignment",
    "IsDerived": true,
    "IsWitness": true,
    "DisagreeingSubstrateCount": 0,
    "IsSubstrateContested": false
   },
   {
    "RulebookFieldId": "RoleAssignments.HasAnyBoundaryViolation",
    "TargetTable": "RoleAssignments",
    "FieldName": "HasAnyBoundaryViolation",
    "FieldType": "calculated",
    "Datatype": "boolean",
    "Formula": "=({{BoundaryViolationCountForAssignment}} &gt; 0)",
    "InventedForQuestion": "q2-variance-what-would-make-me-stop",
    "SemanticTypeIri": "urn:effortless:pko-extension#RulebookField",
    "Name": "RoleAssignments.HasAnyBoundaryViolation",
    "IsDerived": true,
    "IsWitness": true,
    "DisagreeingSubstrateCount": 0,
    "IsSubstrateContested": false
   },
   {
    "RulebookFieldId": "RoleAssignments.HasUngroundedGoverningBoundary",
    "TargetTable": "RoleAssignments",
    "FieldName": "HasUngroundedGoverningBoundary",
    "FieldType": "lookup",
    "Datatype": "boolean",
    "Formula": "=INDEX(Roles!{{IsGovernedByLapsedAuthority}}, MATCH({{Role}}, Roles!{{RoleId}}, 0))",
    "InventedForQuestion": "q2-variance-what-would-make-me-stop",
    "SemanticTypeIri": "urn:effortless:pko-extension#RulebookField",
    "Name": "RoleAssignments.HasUngroundedGoverningBoundary",
    "IsDerived": true,
    "IsWitness": true,
    "DisagreeingSubstrateCount": 0,
    "IsSubstrateContested": false
   },
   {
    "RulebookFieldId": "RoleAssignments.SuspensionConditionMet",
    "TargetTable": "RoleAssignments",
    "FieldName": "SuspensionConditionMet",
    "FieldType": "calculated",
    "Datatype": "boolean",
    "Formula": "=OR({{ExceedsTolerableErrorRate}}, OR({{HasAnyBoundaryViolation}}, {{HasUngroundedGoverningBoundary}}))",
    "InventedForQuestion": "q2-variance-what-would-make-me-stop",
    "SemanticTypeIri": "urn:effortless:pko-extension#RulebookField",
    "Name": "RoleAssignments.SuspensionConditionMet",
    "IsDerived": true,
    "IsWitness": true,
    "DisagreeingSubstrateCount": 0,
    "IsSubstrateContested": false
   },
   {
    "RulebookFieldId": "RoleAssignments.IsOperatingUnderMetSuspensionCondition",
    "TargetTable": "RoleAssignments",
    "FieldName": "IsOperatingUnderMetSuspensionCondition",
    "FieldType": "calculated",
    "Datatype": "boolean",
    "Formula": "=AND({{SuspensionConditionMet}}, AND({{CoversNow}}, {{IsNonHumanAssignment}}))",
    "InventedForQuestion": "q2-variance-what-would-make-me-stop",
    "SemanticTypeIri": "urn:effortless:pko-extension#RulebookField",
    "Name": "RoleAssignments.IsOperatingUnderMetSuspensionCondition",
    "IsDerived": true,
    "IsWitness": true,
    "DisagreeingSubstrateCount": 0,
    "IsSubstrateContested": false
   },
   {
    "RulebookFieldId": "RoleAssignments.HasDeclaredSuspensionCondition",
    "TargetTable": "RoleAssignments",
    "FieldName": "HasDeclaredSuspensionCondition",
    "FieldType": "calculated",
    "Datatype": "boolean",
    "Formula": "={{MaxTolerableErrorRatePercent}} &gt; 0",
    "InventedForQuestion": "q2-variance-what-would-make-me-stop",
    "SemanticTypeIri": "urn:effortless:pko-extension#RulebookField",
    "Name": "RoleAssignments.HasDeclaredSuspensionCondition",
    "IsDerived": true,
    "IsWitness": true,
    "DisagreeingSubstrateCount": 0,
    "IsSubstrateContested": false
   },
   {
    "RulebookFieldId": "RoleAssignments.HasApprovingAuthority",
    "TargetTable": "RoleAssignments",
    "FieldName": "HasApprovingAuthority",
    "FieldType": "calculated",
    "Datatype": "boolean",
    "Formula": "={{ApprovingAuthorityRole}} &lt;&gt; \"\"",
    "InventedForQuestion": "q2-publisher-my-own-authorization",
    "SemanticTypeIri": "urn:effortless:pko-extension#RulebookField",
    "Name": "RoleAssignments.HasApprovingAuthority",
    "IsDerived": true,
    "IsWitness": true,
    "DisagreeingSubstrateCount": 0,
    "IsSubstrateContested": false
   },
   {
    "RulebookFieldId": "RoleAssignments.HasAuthorizingChangeRequest",
    "TargetTable": "RoleAssignments",
    "FieldName": "HasAuthorizingChangeRequest",
    "FieldType": "calculated",
    "Datatype": "boolean",
    "Formula": "={{AuthorizingChangeRequest}} &lt;&gt; \"\"",
    "InventedForQuestion": "q2-publisher-my-own-authorization",
    "SemanticTypeIri": "urn:effortless:pko-extension#RulebookField",
    "Name": "RoleAssignments.HasAuthorizingChangeRequest",
    "IsDerived": true,
    "IsWitness": true,
    "DisagreeingSubstrateCount": 0,
    "IsSubstrateContested": false
   },
   {
    "RulebookFieldId": "RoleAssignments.IsEnforcementRole",
    "TargetTable": "RoleAssignments",
    "FieldName": "IsEnforcementRole",
    "FieldType": "raw",
    "Datatype": "boolean",
    "Formula": null,
    "InventedForQuestion": "q2-publisher-my-own-authorization",
    "SemanticTypeIri": "urn:effortless:pko-extension#RulebookField",
    "Name": "RoleAssignments.IsEnforcementRole",
    "IsDerived": false,
    "IsWitness": true,
    "DisagreeingSubstrateCount": 0,
    "IsSubstrateContested": false
   },
   {
    "RulebookFieldId": "RoleAssignments.IsUnauthorizedEnforcementAgent",
    "TargetTable": "RoleAssignments",
    "FieldName": "IsUnauthorizedEnforcementAgent",
    "FieldType": "calculated",
    "Datatype": "boolean",
    "Formula": "=AND({{IsEnforcementRole}}, {{IsUnauthorizedNonHumanAssignment}})",
    "InventedForQuestion": "q2-publisher-my-own-authorization",
    "SemanticTypeIri": "urn:effortless:pko-extension#RulebookField",
    "Name": "RoleAssignments.IsUnauthorizedEnforcementAgent",
    "IsDerived": true,
    "IsWitness": true,
    "DisagreeingSubstrateCount": 1,
    "IsSubstrateContested": true
   },
   {
    "RulebookFieldId": "RoleAssignments.GovernanceEvidenceCount",
    "TargetTable": "RoleAssignments",
    "FieldName": "GovernanceEvidenceCount",
    "FieldType": "calculated",
    "Datatype": "integer",
    "Formula": "=IF({{HasApprovingAuthority}}, 1, 0) + IF({{HasAuthorizingChangeRequest}}, 1, 0)",
    "InventedForQuestion": "q2-publisher-my-own-authorization",
    "SemanticTypeIri": "urn:effortless:pko-extension#RulebookField",
    "Name": "RoleAssignments.GovernanceEvidenceCount",
    "IsDerived": true,
    "IsWitness": true,
    "DisagreeingSubstrateCount": 0,
    "IsSubstrateContested": false
   },
   {
    "RulebookFieldId": "RoleAssignments.UnauthorizedEnforcementRoleKey",
    "TargetTable": "RoleAssignments",
    "FieldName": "UnauthorizedEnforcementRoleKey",
    "FieldType": "calculated",
    "Datatype": "string",
    "Formula": "=IF({{IsUnauthorizedNonHumanAssignment}}, {{Role}}, \"\")",
    "InventedForQuestion": "q2-publisher-my-own-authorization",
    "SemanticTypeIri": "urn:effortless:pko-extension#RulebookField",
    "Name": "RoleAssignments.UnauthorizedEnforcementRoleKey",
    "IsDerived": true,
    "IsWitness": true,
    "DisagreeingSubstrateCount": 0,
    "IsSubstrateContested": false
   },
   {
    "RulebookFieldId": "RoleAssignments.SemanticTypeIri",
    "TargetTable": "RoleAssignments",
    "FieldName": "SemanticTypeIri",
    "FieldType": "raw",
    "Datatype": "string",
    "Formula": null,
    "InventedForQuestion": null,
    "SemanticTypeIri": "urn:effortless:pko-extension#RulebookField",
    "Name": "RoleAssignments.SemanticTypeIri",
    "IsDerived": false,
    "IsWitness": false,
    "DisagreeingSubstrateCount": 0,
    "IsSubstrateContested": false
   },
   {
    "RulebookFieldId": "CommunitiesOfPractice.CommunityOfPracticeId",
    "TargetTable": "CommunitiesOfPractice",
    "FieldName": "CommunityOfPracticeId",
    "FieldType": "raw",
    "Datatype": "string",
    "Formula": null,
    "InventedForQuestion": null,
    "SemanticTypeIri": "urn:effortless:pko-extension#RulebookField",
    "Name": "CommunitiesOfPractice.CommunityOfPracticeId",
    "IsDerived": false,
    "IsWitness": false,
    "DisagreeingSubstrateCount": 0,
    "IsSubstrateContested": false
   },
   {
    "RulebookFieldId": "CommunitiesOfPractice.Name",
    "TargetTable": "CommunitiesOfPractice",
    "FieldName": "Name",
    "FieldType": "calculated",
    "Datatype": "string",
    "Formula": "={{Label}}",
    "InventedForQuestion": null,
    "SemanticTypeIri": "urn:effortless:pko-extension#RulebookField",
    "Name": "CommunitiesOfPractice.Name",
    "IsDerived": true,
    "IsWitness": false,
    "DisagreeingSubstrateCount": 0,
    "IsSubstrateContested": false
   },
   {
    "RulebookFieldId": "CommunitiesOfPractice.Label",
    "TargetTable": "CommunitiesOfPractice",
    "FieldName": "Label",
    "FieldType": "raw",
    "Datatype": "string",
    "Formula": null,
    "InventedForQuestion": null,
    "SemanticTypeIri": "urn:effortless:pko-extension#RulebookField",
    "Name": "CommunitiesOfPractice.Label",
    "IsDerived": false,
    "IsWitness": false,
    "DisagreeingSubstrateCount": 0,
    "IsSubstrateContested": false
   },
   {
    "RulebookFieldId": "CommunitiesOfPractice.Organization",
    "TargetTable": "CommunitiesOfPractice",
    "FieldName": "Organization",
    "FieldType": "relationship",
    "Datatype": "string",
    "Formula": null,
    "InventedForQuestion": null,
    "SemanticTypeIri": "urn:effortless:pko-extension#RulebookField",
    "Name": "CommunitiesOfPractice.Organization",
    "IsDerived": false,
    "IsWitness": false,
    "DisagreeingSubstrateCount": 0,
    "IsSubstrateContested": false
   },
   {
    "RulebookFieldId": "CommunitiesOfPractice.StewardRole",
    "TargetTable": "CommunitiesOfPractice",
    "FieldName": "StewardRole",
    "FieldType": "relationship",
    "Datatype": "string",
    "Formula": null,
    "InventedForQuestion": null,
    "SemanticTypeIri": "urn:effortless:pko-extension#RulebookField",
    "Name": "CommunitiesOfPractice.StewardRole",
    "IsDerived": false,
    "IsWitness": false,
    "DisagreeingSubstrateCount": 0,
    "IsSubstrateContested": false
   },
   {
    "RulebookFieldId": "CommunitiesOfPractice.Purpose",
    "TargetTable": "CommunitiesOfPractice",
    "FieldName": "Purpose",
    "FieldType": "raw",
    "Datatype": "string",
    "Formula": null,
    "InventedForQuestion": null,
    "SemanticTypeIri": "urn:effortless:pko-extension#RulebookField",
    "Name": "CommunitiesOfPractice.Purpose",
    "IsDerived": false,
    "IsWitness": false,
    "DisagreeingSubstrateCount": 0,
    "IsSubstrateContested": false
   },
   {
    "RulebookFieldId": "CommunitiesOfPractice.Cadence",
    "TargetTable": "CommunitiesOfPractice",
    "FieldName": "Cadence",
    "FieldType": "raw",
    "Datatype": "string",
    "Formula": null,
    "InventedForQuestion": null,
    "SemanticTypeIri": "urn:effortless:pko-extension#RulebookField",
    "Name": "CommunitiesOfPractice.Cadence",
    "IsDerived": false,
    "IsWitness": false,
    "DisagreeingSubstrateCount": 0,
    "IsSubstrateContested": false
   },
   {
    "RulebookFieldId": "CommunitiesOfPractice.SemanticTypeIri",
    "TargetTable": "CommunitiesOfPractice",
    "FieldName": "SemanticTypeIri",
    "FieldType": "raw",
    "Datatype": "string",
    "Formula": null,
    "InventedForQuestion": null,
    "SemanticTypeIri": "urn:effortless:pko-extension#RulebookField",
    "Name": "CommunitiesOfPractice.SemanticTypeIri",
    "IsDerived": false,
    "IsWitness": false,
    "DisagreeingSubstrateCount": 0,
    "IsSubstrateContested": false
   },
   {
    "RulebookFieldId": "Mentorships.MentorshipId",
    "TargetTable": "Mentorships",
    "FieldName": "MentorshipId",
    "FieldType": "raw",
    "Datatype": "string",
    "Formula": null,
    "InventedForQuestion": null,
    "SemanticTypeIri": "urn:effortless:pko-extension#RulebookField",
    "Name": "Mentorships.MentorshipId",
    "IsDerived": false,
    "IsWitness": false,
    "DisagreeingSubstrateCount": 0,
    "IsSubstrateContested": false
   },
   {
    "RulebookFieldId": "Mentorships.Name",
    "TargetTable": "Mentorships",
    "FieldName": "Name",
    "FieldType": "calculated",
    "Datatype": "string",
    "Formula": "={{MentorAgent}} &amp; \" -&gt; \" &amp; {{LearnerAgent}}",
    "InventedForQuestion": null,
    "SemanticTypeIri": "urn:effortless:pko-extension#RulebookField",
    "Name": "Mentorships.Name",
    "IsDerived": true,
    "IsWitness": false,
    "DisagreeingSubstrateCount": 0,
    "IsSubstrateContested": false
   },
   {
    "RulebookFieldId": "Mentorships.CommunityOfPractice",
    "TargetTable": "Mentorships",
    "FieldName": "CommunityOfPractice",
    "FieldType": "relationship",
    "Datatype": "string",
    "Formula": null,
    "InventedForQuestion": null,
    "SemanticTypeIri": "urn:effortless:pko-extension#RulebookField",
    "Name": "Mentorships.CommunityOfPractice",
    "IsDerived": false,
    "IsWitness": false,
    "DisagreeingSubstrateCount": 0,
    "IsSubstrateContested": false
   },
   {
    "RulebookFieldId": "Mentorships.MentorAgent",
    "TargetTable": "Mentorships",
    "FieldName": "MentorAgent",
    "FieldType": "relationship",
    "Datatype": "string",
    "Formula": null,
    "InventedForQuestion": null,
    "SemanticTypeIri": "urn:effortless:pko-extension#RulebookField",
    "Name": "Mentorships.MentorAgent",
    "IsDerived": false,
    "IsWitness": false,
    "DisagreeingSubstrateCount": 0,
    "IsSubstrateContested": false
   },
   {
    "RulebookFieldId": "Mentorships.LearnerAgent",
    "TargetTable": "Mentorships",
    "FieldName": "LearnerAgent",
    "FieldType": "relationship",
    "Datatype": "string",
    "Formula": null,
    "InventedForQuestion": null,
    "SemanticTypeIri": "urn:effortless:pko-extension#RulebookField",
    "Name": "Mentorships.LearnerAgent",
    "IsDerived": false,
    "IsWitness": false,
    "DisagreeingSubstrateCount": 0,
    "IsSubstrateContested": false
   },
   {
    "RulebookFieldId": "Mentorships.ValidFrom",
    "TargetTable": "Mentorships",
    "FieldName": "ValidFrom",
    "FieldType": "raw",
    "Datatype": "datetime",
    "Formula": null,
    "InventedForQuestion": null,
    "SemanticTypeIri": "urn:effortless:pko-extension#RulebookField",
    "Name": "Mentorships.ValidFrom",
    "IsDerived</t>
  </si>
  <si>
    <t xml:space="preserve">": false,
    "IsWitness": false,
    "DisagreeingSubstrateCount": 0,
    "IsSubstrateContested": false
   },
   {
    "RulebookFieldId": "Mentorships.ValidTo",
    "TargetTable": "Mentorships",
    "FieldName": "ValidTo",
    "FieldType": "raw",
    "Datatype": "datetime",
    "Formula": null,
    "InventedForQuestion": null,
    "SemanticTypeIri": "urn:effortless:pko-extension#RulebookField",
    "Name": "Mentorships.ValidTo",
    "IsDerived": false,
    "IsWitness": false,
    "DisagreeingSubstrateCount": 0,
    "IsSubstrateContested": false
   },
   {
    "RulebookFieldId": "Mentorships.LearningObjective",
    "TargetTable": "Mentorships",
    "FieldName": "LearningObjective",
    "FieldType": "raw",
    "Datatype": "string",
    "Formula": null,
    "InventedForQuestion": null,
    "SemanticTypeIri": "urn:effortless:pko-extension#RulebookField",
    "Name": "Mentorships.LearningObjective",
    "IsDerived": false,
    "IsWitness": false,
    "DisagreeingSubstrateCount": 0,
    "IsSubstrateContested": false
   },
   {
    "RulebookFieldId": "Mentorships.EvidenceOfCompletion",
    "TargetTable": "Mentorships",
    "FieldName": "EvidenceOfCompletion",
    "FieldType": "raw",
    "Datatype": "string",
    "Formula": null,
    "InventedForQuestion": null,
    "SemanticTypeIri": "urn:effortless:pko-extension#RulebookField",
    "Name": "Mentorships.EvidenceOfCompletion",
    "IsDerived": false,
    "IsWitness": false,
    "DisagreeingSubstrateCount": 0,
    "IsSubstrateContested": false
   },
   {
    "RulebookFieldId": "Mentorships.SemanticTypeIri",
    "TargetTable": "Mentorships",
    "FieldName": "SemanticTypeIri",
    "FieldType": "raw",
    "Datatype": "string",
    "Formula": null,
    "InventedForQuestion": null,
    "SemanticTypeIri": "urn:effortless:pko-extension#RulebookField",
    "Name": "Mentorships.SemanticTypeIri",
    "IsDerived": false,
    "IsWitness": false,
    "DisagreeingSubstrateCount": 0,
    "IsSubstrateContested": false
   },
   {
    "RulebookFieldId": "ProcedureTypes.ProcedureTypeId",
    "TargetTable": "ProcedureTypes",
    "FieldName": "ProcedureTypeId",
    "FieldType": "raw",
    "Datatype": "string",
    "Formula": null,
    "InventedForQuestion": null,
    "SemanticTypeIri": "urn:effortless:pko-extension#RulebookField",
    "Name": "ProcedureTypes.ProcedureTypeId",
    "IsDerived": false,
    "IsWitness": false,
    "DisagreeingSubstrateCount": 0,
    "IsSubstrateContested": false
   },
   {
    "RulebookFieldId": "ProcedureTypes.Name",
    "TargetTable": "ProcedureTypes",
    "FieldName": "Name",
    "FieldType": "calculated",
    "Datatype": "string",
    "Formula": "={{Label}}",
    "InventedForQuestion": null,
    "SemanticTypeIri": "urn:effortless:pko-extension#RulebookField",
    "Name": "ProcedureTypes.Name",
    "IsDerived": true,
    "IsWitness": false,
    "DisagreeingSubstrateCount": 0,
    "IsSubstrateContested": false
   },
   {
    "RulebookFieldId": "ProcedureTypes.Label",
    "TargetTable": "ProcedureTypes",
    "FieldName": "Label",
    "FieldType": "raw",
    "Datatype": "string",
    "Formula": null,
    "InventedForQuestion": null,
    "SemanticTypeIri": "urn:effortless:pko-extension#RulebookField",
    "Name": "ProcedureTypes.Label",
    "IsDerived": false,
    "IsWitness": false,
    "DisagreeingSubstrateCount": 0,
    "IsSubstrateContested": false
   },
   {
    "RulebookFieldId": "ProcedureTypes.Definition",
    "TargetTable": "ProcedureTypes",
    "FieldName": "Definition",
    "FieldType": "raw",
    "Datatype": "string",
    "Formula": null,
    "InventedForQuestion": null,
    "SemanticTypeIri": "urn:effortless:pko-extension#RulebookField",
    "Name": "ProcedureTypes.Definition",
    "IsDerived": false,
    "IsWitness": false,
    "DisagreeingSubstrateCount": 0,
    "IsSubstrateContested": false
   },
   {
    "RulebookFieldId": "ProcedureTypes.SemanticTypeIri",
    "TargetTable": "ProcedureTypes",
    "FieldName": "SemanticTypeIri",
    "FieldType": "raw",
    "Datatype": "string",
    "Formula": null,
    "InventedForQuestion": null,
    "SemanticTypeIri": "urn:effortless:pko-extension#RulebookField",
    "Name": "ProcedureTypes.SemanticTypeIri",
    "IsDerived": false,
    "IsWitness": false,
    "DisagreeingSubstrateCount": 0,
    "IsSubstrateContested": false
   },
   {
    "RulebookFieldId": "Procedures.ProcedureId",
    "TargetTable": "Procedures",
    "FieldName": "ProcedureId",
    "FieldType": "raw",
    "Datatype": "string",
    "Formula": null,
    "InventedForQuestion": null,
    "SemanticTypeIri": "urn:effortless:pko-extension#RulebookField",
    "Name": "Procedures.ProcedureId",
    "IsDerived": false,
    "IsWitness": false,
    "DisagreeingSubstrateCount": 0,
    "IsSubstrateContested": false
   },
   {
    "RulebookFieldId": "Procedures.Name",
    "TargetTable": "Procedures",
    "FieldName": "Name",
    "FieldType": "calculated",
    "Datatype": "string",
    "Formula": "={{Title}}",
    "InventedForQuestion": null,
    "SemanticTypeIri": "urn:effortless:pko-extension#RulebookField",
    "Name": "Procedures.Name",
    "IsDerived": true,
    "IsWitness": false,
    "DisagreeingSubstrateCount": 0,
    "IsSubstrateContested": false
   },
   {
    "RulebookFieldId": "Procedures.Title",
    "TargetTable": "Procedures",
    "FieldName": "Title",
    "FieldType": "raw",
    "Datatype": "string",
    "Formula": null,
    "InventedForQuestion": null,
    "SemanticTypeIri": "urn:effortless:pko-extension#RulebookField",
    "Name": "Procedures.Title",
    "IsDerived": false,
    "IsWitness": false,
    "DisagreeingSubstrateCount": 0,
    "IsSubstrateContested": false
   },
   {
    "RulebookFieldId": "Procedures.ProcedureType",
    "TargetTable": "Procedures",
    "FieldName": "ProcedureType",
    "FieldType": "relationship",
    "Datatype": "string",
    "Formula": null,
    "InventedForQuestion": null,
    "SemanticTypeIri": "urn:effortless:pko-extension#RulebookField",
    "Name": "Procedures.ProcedureType",
    "IsDerived": false,
    "IsWitness": false,
    "DisagreeingSubstrateCount": 0,
    "IsSubstrateContested": false
   },
   {
    "RulebookFieldId": "Procedures.OwnerOrganization",
    "TargetTable": "Procedures",
    "FieldName": "OwnerOrganization",
    "FieldType": "relationship",
    "Datatype": "string",
    "Formula": null,
    "InventedForQuestion": null,
    "SemanticTypeIri": "urn:effortless:pko-extension#RulebookField",
    "Name": "Procedures.OwnerOrganization",
    "IsDerived": false,
    "IsWitness": false,
    "DisagreeingSubstrateCount": 0,
    "IsSubstrateContested": false
   },
   {
    "RulebookFieldId": "Procedures.AdoptedByOrganization",
    "TargetTable": "Procedures",
    "FieldName": "AdoptedByOrganization",
    "FieldType": "relationship",
    "Datatype": "string",
    "Formula": null,
    "InventedForQuestion": null,
    "SemanticTypeIri": "urn:effortless:pko-extension#RulebookField",
    "Name": "Procedures.AdoptedByOrganization",
    "IsDerived": false,
    "IsWitness": false,
    "DisagreeingSubstrateCount": 0,
    "IsSubstrateContested": false
   },
   {
    "RulebookFieldId": "Procedures.Purpose",
    "TargetTable": "Procedures",
    "FieldName": "Purpose",
    "FieldType": "raw",
    "Datatype": "string",
    "Formula": null,
    "InventedForQuestion": null,
    "SemanticTypeIri": "urn:effortless:pko-extension#RulebookField",
    "Name": "Procedures.Purpose",
    "IsDerived": false,
    "IsWitness": false,
    "DisagreeingSubstrateCount": 0,
    "IsSubstrateContested": false
   },
   {
    "RulebookFieldId": "Procedures.Target",
    "TargetTable": "Procedures",
    "FieldName": "Target",
    "FieldType": "raw",
    "Datatype": "string",
    "Formula": null,
    "InventedForQuestion": null,
    "SemanticTypeIri": "urn:effortless:pko-extension#RulebookField",
    "Name": "Procedures.Target",
    "IsDerived": false,
    "IsWitness": false,
    "DisagreeingSubstrateCount": 0,
    "IsSubstrateContested": false
   },
   {
    "RulebookFieldId": "Procedures.IsTemplate",
    "TargetTable": "Procedures",
    "FieldName": "IsTemplate",
    "FieldType": "raw",
    "Datatype": "boolean",
    "Formula": null,
    "InventedForQuestion": null,
    "SemanticTypeIri": "urn:effortless:pko-extension#RulebookField",
    "Name": "Procedures.IsTemplate",
    "IsDerived": false,
    "IsWitness": false,
    "DisagreeingSubstrateCount": 0,
    "IsSubstrateContested": false
   },
   {
    "RulebookFieldId": "Procedures.CurrentVersionKey",
    "TargetTable": "Procedures",
    "FieldName": "CurrentVersionKey",
    "FieldType": "raw",
    "Datatype": "string",
    "Formula": null,
    "InventedForQuestion": null,
    "SemanticTypeIri": "urn:effortless:pko-extension#RulebookField",
    "Name": "Procedures.CurrentVersionKey",
    "IsDerived": false,
    "IsWitness": false,
    "DisagreeingSubstrateCount": 0,
    "IsSubstrateContested": false
   },
   {
    "RulebookFieldId": "Procedures.SemanticTypeIri",
    "TargetTable": "Procedures",
    "FieldName": "SemanticTypeIri",
    "FieldType": "raw",
    "Datatype": "string",
    "Formula": null,
    "InventedForQuestion": null,
    "SemanticTypeIri": "urn:effortless:pko-extension#RulebookField",
    "Name": "Procedures.SemanticTypeIri",
    "IsDerived": false,
    "IsWitness": false,
    "DisagreeingSubstrateCount": 0,
    "IsSubstrateContested": false
   },
   {
    "RulebookFieldId": "ProcedureVersions.ProcedureVersionId",
    "TargetTable": "ProcedureVersions",
    "FieldName": "ProcedureVersionId",
    "FieldType": "raw",
    "Datatype": "string",
    "Formula": null,
    "InventedForQuestion": null,
    "SemanticTypeIri": "urn:effortless:pko-extension#RulebookField",
    "Name": "ProcedureVersions.ProcedureVersionId",
    "IsDerived": false,
    "IsWitness": false,
    "DisagreeingSubstrateCount": 0,
    "IsSubstrateContested": false
   },
   {
    "RulebookFieldId": "ProcedureVersions.Name",
    "TargetTable": "ProcedureVersions",
    "FieldName": "Name",
    "FieldType": "calculated",
    "Datatype": "string",
    "Formula": "={{Title}}",
    "InventedForQuestion": null,
    "SemanticTypeIri": "urn:effortless:pko-extension#RulebookField",
    "Name": "ProcedureVersions.Name",
    "IsDerived": true,
    "IsWitness": false,
    "DisagreeingSubstrateCount": 0,
    "IsSubstrateContested": false
   },
   {
    "RulebookFieldId": "ProcedureVersions.Procedure",
    "TargetTable": "ProcedureVersions",
    "FieldName": "Procedure",
    "FieldType": "relationship",
    "Datatype": "string",
    "Formula": null,
    "InventedForQuestion": null,
    "SemanticTypeIri": "urn:effortless:pko-extension#RulebookField",
    "Name": "ProcedureVersions.Procedure",
    "IsDerived": false,
    "IsWitness": false,
    "DisagreeingSubstrateCount": 0,
    "IsSubstrateContested": false
   },
   {
    "RulebookFieldId": "ProcedureVersions.VersionNumber",
    "TargetTable": "ProcedureVersions",
    "FieldName": "VersionNumber",
    "FieldType": "raw",
    "Datatype": "string",
    "Formula": null,
    "InventedForQuestion": null,
    "SemanticTypeIri": "urn:effortless:pko-extension#RulebookField",
    "Name": "ProcedureVersions.VersionNumber",
    "IsDerived": false,
    "IsWitness": false,
    "DisagreeingSubstrateCount": 0,
    "IsSubstrateContested": false
   },
   {
    "RulebookFieldId": "ProcedureVersions.Title",
    "TargetTable": "ProcedureVersions",
    "FieldName": "Title",
    "FieldType": "raw",
    "Datatype": "string",
    "Formula": null,
    "InventedForQuestion": null,
    "SemanticTypeIri": "urn:effortless:pko-extension#RulebookField",
    "Name": "ProcedureVersions.Title",
    "IsDerived": false,
    "IsWitness": false,
    "DisagreeingSubstrateCount": 0,
    "IsSubstrateContested": false
   },
   {
    "RulebookFieldId": "ProcedureVersions.Status",
    "TargetTable": "ProcedureVersions",
    "FieldName": "Status",
    "FieldType": "raw",
    "Datatype": "string",
    "Formula": null,
    "InventedForQuestion": null,
    "SemanticTypeIri": "urn:effortless:pko-extension#RulebookField",
    "Name": "ProcedureVersions.Status",
    "IsDerived": false,
    "IsWitness": false,
    "DisagreeingSubstrateCount": 0,
    "IsSubstrateContested": false
   },
   {
    "RulebookFieldId": "ProcedureVersions.IssuedAt",
    "TargetTable": "ProcedureVersions",
    "FieldName": "IssuedAt",
    "FieldType": "raw",
    "Datatype": "datetime",
    "Formula": null,
    "InventedForQuestion": null,
    "SemanticTypeIri": "urn:effortless:pko-extension#RulebookField",
    "Name": "ProcedureVersions.IssuedAt",
    "IsDerived": false,
    "IsWitness": false,
    "DisagreeingSubstrateCount": 0,
    "IsSubstrateContested": false
   },
   {
    "RulebookFieldId": "ProcedureVersions.ModifiedAt",
    "TargetTable": "ProcedureVersions",
    "FieldName": "ModifiedAt",
    "FieldType": "raw",
    "Datatype": "datetime",
    "Formula": null,
    "InventedForQuestion": null,
    "SemanticTypeIri": "urn:effortless:pko-extension#RulebookField",
    "Name": "ProcedureVersions.ModifiedAt",
    "IsDerived": false,
    "IsWitness": false,
    "DisagreeingSubstrateCount": 0,
    "IsSubstrateContested": false
   },
   {
    "RulebookFieldId": "ProcedureVersions.CreatedByAgent",
    "TargetTable": "ProcedureVersions",
    "FieldName": "CreatedByAgent",
    "FieldType": "relationship",
    "Datatype": "string",
    "Formula": null,
    "InventedForQuestion": null,
    "SemanticTypeIri": "urn:effortless:pko-extension#RulebookField",
    "Name": "ProcedureVersions.CreatedByAgent",
    "IsDerived": false,
    "IsWitness": false,
    "DisagreeingSubstrateCount": 0,
    "IsSubstrateContested": false
   },
   {
    "RulebookFieldId": "ProcedureVersions.ModifiedByAgent",
    "TargetTable": "ProcedureVersions",
    "FieldName": "ModifiedByAgent",
    "FieldType": "relationship",
    "Datatype": "string",
    "Formula": null,
    "InventedForQuestion": null,
    "SemanticTypeIri": "urn:effortless:pko-extension#RulebookField",
    "Name": "ProcedureVersions.ModifiedByAgent",
    "IsDerived": false,
    "IsWitness": false,
    "DisagreeingSubstrateCount": 0,
    "IsSubstrateContested": false
   },
   {
    "RulebookFieldId": "ProcedureVersions.NewVersionMotivation",
    "TargetTable": "ProcedureVersions",
    "FieldName": "NewVersionMotivation",
    "FieldType": "raw",
    "Datatype": "string",
    "Formula": null,
    "InventedForQuestion": null,
    "SemanticTypeIri": "urn:effortless:pko-extension#RulebookField",
    "Name": "ProcedureVersions.NewVersionMotivation",
    "IsDerived": false,
    "IsWitness": false,
    "DisagreeingSubstrateCount": 0,
    "IsSubstrateContested": false
   },
   {
    "RulebookFieldId": "ProcedureVersions.ChangelogDescription",
    "TargetTable": "ProcedureVersions",
    "FieldName": "ChangelogDescription",
    "FieldType": "raw",
    "Datatype": "string",
    "Formula": null,
    "InventedForQuestion": null,
    "SemanticTypeIri": "urn:effortless:pko-extension#RulebookField",
    "Name": "ProcedureVersions.ChangelogDescription",
    "IsDerived": false,
    "IsWitness": false,
    "DisagreeingSubstrateCount": 0,
    "IsSubstrateContested": false
   },
   {
    "RulebookFieldId": "ProcedureVersions.IsCurrent",
    "TargetTable": "ProcedureVersions",
    "FieldName": "IsCurrent",
    "FieldType": "raw",
    "Datatype": "boolean",
    "Formula": null,
    "InventedForQuestion": null,
    "SemanticTypeIri": "urn:effortless:pko-extension#RulebookField",
    "Name": "ProcedureVersions.IsCurrent",
    "IsDerived": false,
    "IsWitness": false,
    "DisagreeingSubstrateCount": 0,
    "IsSubstrateContested": false
   },
   {
    "RulebookFieldId": "ProcedureVersions.CountOfSteps",
    "TargetTable": "ProcedureVersions",
    "FieldName": "CountOfSteps",
    "FieldType": "aggregation",
    "Datatype": "integer",
    "Formula": "=COUNTIFS(Steps!{{ProcedureVersion}}, ProcedureVersions!{{ProcedureVersionId}})",
    "InventedForQuestion": null,
    "SemanticTypeIri": "urn:effortless:pko-extension#RulebookField",
    "Name": "ProcedureVersions.CountOfSteps",
    "IsDerived": true,
    "IsWitness": false,
    "DisagreeingSubstrateCount": 0,
    "IsSubstrateContested": false
   },
   {
    "RulebookFieldId": "ProcedureVersions.CountOfOpenKnowledgeGaps",
    "TargetTable": "ProcedureVersions",
    "FieldName": "CountOfOpenKnowledgeGaps",
    "FieldType": "aggregation",
    "Datatype": "integer",
    "Formula": "=COUNTIFS(KnowledgeGaps!{{ProcedureVersion}}, ProcedureVersions!{{ProcedureVersionId}}, KnowledgeGaps!{{Status}}, \"Open\")",
    "InventedForQuestion": null,
    "SemanticTypeIri": "urn:effortless:pko-extension#RulebookField",
    "Name": "ProcedureVersions.CountOfOpenKnowledgeGaps",
    "IsDerived": true,
    "IsWitness": false,
    "DisagreeingSubstrateCount": 0,
    "IsSubstrateContested": false
   },
   {
    "RulebookFieldId": "ProcedureVersions.IsReadyForExecution",
    "TargetTable": "ProcedureVersions",
    "FieldName": "IsReadyForExecution",
    "FieldType": "calculated",
    "Datatype": "boolean",
    "Formula": "=AND({{Status}} = \"Approved\", {{CountOfSteps}} &gt; 0, {{CountOfOpenKnowledgeGaps}} = 0)",
    "InventedForQuestion": null,
    "SemanticTypeIri": "urn:effortless:pko-extension#RulebookField",
    "Name": "ProcedureVersions.IsReadyForExecution",
    "IsDerived": true,
    "IsWitness": false,
    "DisagreeingSubstrateCount": 0,
    "IsSubstrateContested": false
   },
   {
    "RulebookFieldId": "ProcedureVersions.SpecifiedStepCount",
    "TargetTable": "ProcedureVersions",
    "FieldName": "SpecifiedStepCount",
    "FieldType": "aggregation",
    "Datatype": "number",
    "Formula": "=COUNTIFS(Steps!{{ProcedureVersion}}, {{ProcedureVersionId}})",
    "InventedForQuestion": "q-controller-execution-diverged-from-spec",
    "SemanticTypeIri": "urn:effortless:pko-extension#RulebookField",
    "Name": "ProcedureVersions.SpecifiedStepCount",
    "IsDerived": true,
    "IsWitness": true,
    "DisagreeingSubstrateCount": 0,
    "IsSubstrateContested": false
   },
   {
    "RulebookFieldId": "ProcedureVersions.OverdueReviewCount",
    "TargetTable": "ProcedureVersions",
    "FieldName": "OverdueReviewCount",
    "FieldType": "aggregation",
    "Datatype": "number",
    "Formula": "=COUNTIFS(ReviewEvents!{{OverdueVersionKey}}, {{ProcedureVersionId}})",
    "InventedForQuestion": "q-cfo-approving-on-unfit-version",
    "SemanticTypeIri": "urn:effortless:pko-extension#RulebookField",
    "Name": "ProcedureVersions.OverdueReviewCount",
    "IsDerived": true,
    "IsWitness": true,
    "DisagreeingSubstrateCount": 0,
    "IsSubstrateContested": false
   },
   {
    "RulebookFieldId": "ProcedureVersions.OpenChangeRequestCount",
    "TargetTable": "ProcedureVersions",
    "FieldName": "OpenChangeRequestCount",
    "FieldType": "aggregation",
    "Datatype": "number",
    "Formula": "=COUNTIFS(ChangeRequests!{{OpenChangeVersionKey}}, {{ProcedureVersionId}})",
    "InventedForQuestion": "q-cfo-approving-on-unfit-version",
    "SemanticTypeIri": "urn:effortless:pko-extension#RulebookField",
    "Name": "ProcedureVersions.OpenChangeRequestCount",
    "IsDerived": true,
    "IsWitness": true,
    "DisagreeingSubstrateCount": 0,
    "IsSubstrateContested": false
   },
   {
    "RulebookFieldId": "ProcedureVersions.OpenHighSeverityGapCount",
    "TargetTable": "ProcedureVersions",
    "FieldName": "OpenHighSeverityGapCount",
    "FieldType": "aggregation",
    "Datatype": "number",
    "Formula": "=COUNTIFS(KnowledgeGaps!{{OpenGapVersionKey}}, {{ProcedureVersionId}})",
    "InventedForQuestion": "q-cfo-approving-on-unfit-version",
    "SemanticTypeIri": "urn:effortless:pko-extension#RulebookField",
    "Name": "ProcedureVersions.OpenHighSeverityGapCount",
    "IsDerived": true,
    "IsWitness": true,
    "DisagreeingSubstrateCount": 0,
    "IsSubstrateContested": false
   },
   {
    "RulebookFieldId": "ProcedureVersions.IsFitToExecute",
    "TargetTable": "ProcedureVersions",
    "FieldName": "IsFitToExecute",
    "FieldType": "calculated",
    "Datatype": "boolean",
    "Formula": "=AND({{Status}} = \"Approved\", {{OverdueReviewCount}} = 0, {{OpenChangeRequestCount}} = 0, {{OpenHighSeverityGapCount}} = 0)",
    "InventedForQuestion": "q-cfo-approving-on-unfit-version",
    "SemanticTypeIri": "urn:effortless:pko-extension#RulebookField",
    "Name": "ProcedureVersions.IsFitToExecute",
    "IsDerived": true,
    "IsWitness": true,
    "DisagreeingSubstrateCount": 0,
    "IsSubstrateContested": false
   },
   {
    "RulebookFieldId": "ProcedureVersions.StewardReviewCadenceDays",
    "TargetTable": "ProcedureVersions",
    "FieldName": "StewardReviewCadenceDays",
    "FieldType": "aggregation",
    "Datatype": "number",
    "Formula": "=SUMIFS(StewardshipAssignments!{{ReviewCadenceDays}}, StewardshipAssignments!{{ProcedureVersion}}, {{ProcedureVersionId}})",
    "InventedForQuestion": "q-steward-cadence-breach",
    "SemanticTypeIri": "urn:effortless:pko-extension#RulebookField",
    "Name": "ProcedureVersions.StewardReviewCadenceDays",
    "IsDerived": true,
    "IsWitness": true,
    "DisagreeingSubstrateCount": 0,
    "IsSubstrateContested": false
   },
   {
    "RulebookFieldId": "ProcedureVersions.CountOfStewardshipAssignments",
    "TargetTable": "ProcedureVersions",
    "FieldName": "CountOfStewardshipAssignments",
    "FieldType": "aggregation",
    "Datatype": "integer",
    "Formula": "=COUNTIFS(StewardshipAssignments!{{ProcedureVersion}}, ProcedureVersions!{{ProcedureVersionId}})",
    "InventedForQuestion": "q-steward-orphan-versions",
    "SemanticTypeIri": "urn:effortless:pko-extension#RulebookField",
    "Name": "ProcedureVersions.CountOfStewardshipAssignments",
    "IsDerived": true,
    "IsWitness": true,
    "DisagreeingSubstrateCount": 0,
    "IsSubstrateContested": false
   },
   {
    "RulebookFieldId": "ProcedureVersions.HasAnySteward",
    "TargetTable": "ProcedureVersions",
    "FieldName": "HasAnySteward",
    "FieldType": "calculated",
    "Datatype": "boolean",
    "Formula": "={{CountOfStewardshipAssignments}} &gt; 0",
    "InventedForQuestion": "q-steward-orphan-versions",
    "SemanticTypeIri": "urn:effortless:pko-extension#RulebookField",
    "Name": "ProcedureVersions.HasAnySteward",
    "IsDerived": true,
    "IsWitness": true,
    "DisagreeingSubstrateCount": 0,
    "IsSubstrateContested": false
   },
   {
    "RulebookFieldId": "ProcedureVersions.IsLive",
    "TargetTable": "ProcedureVersions",
    "FieldName": "IsLive",
    "FieldType": "calculated",
    "Datatype": "boolean",
    "Formula": "=OR({{Status}} = \"Approved\", {{Status}} = \"Published\")",
    "InventedForQuestion": "q-steward-orphan-versions",
    "SemanticTypeIri": "urn:effortless:pko-extension#RulebookField",
    "Name": "ProcedureVersions.IsLive",
    "IsDerived": true,
    "IsWitness": true,
    "DisagreeingSubstrateCount": 0,
    "IsSubstrateContested": false
   },
   {
    "RulebookFieldId": "ProcedureVersions.IsUnstewarded",
    "TargetTable": "ProcedureVersions",
    "FieldName": "IsUnstewarded",
    "FieldType": "calculated",
    "Datatype": "boolean",
    "Formula": "=NOT({{HasAnySteward}})",
    "InventedForQuestion": "q-steward-orphan-versions",
    "SemanticTypeIri": "urn:effortless:pko-extension#RulebookField",
    "Name": "ProcedureVersions.IsUnstewarded",
    "IsDerived": true,
    "IsWitness": true,
    "DisagreeingSubstrateCount": 0,
    "IsSubstrateContested": false
   },
   {
    "RulebookFieldId": "ProcedureVersions.IsLiveAndUnstewarded",
    "TargetTable": "ProcedureVersions",
    "FieldName": "IsLiveAndUnstewarded",
    "FieldType": "calculated",
    "Datatype": "boolean",
    "Formula": "=AND({{IsLive}}, {{IsUnstewarded}})",
    "InventedForQuestion": "q-steward-orphan-versions",
    "SemanticTypeIri": "urn:effortless:pko-extension#RulebookField",
    "Name": "ProcedureVersions.IsLiveAndUnstewarded",
    "IsDerived": true,
    "IsWitness": true,
    "DisagreeingSubstrateCount": 0,
    "IsSubstrateContested": false
   },
   {
    "RulebookFieldId": "ProcedureVersions.CountOfOpenBlockingGaps",
    "TargetTable": "ProcedureVersions",
    "FieldName": "CountOfOpenBlockingGaps",
    "FieldType": "aggregation",
    "Datatype": "integer",
    "Formula": "=COUNTIFS(KnowledgeGaps!{{IsOpenAndBlocking}}, TRUE)",
    "InventedForQuestion": "q-steward-published-with-blocking-gap",
    "SemanticTypeIri": "urn:effortless:pko-extension#RulebookField",
    "Name": "ProcedureVersions.CountOfOpenBlockingGaps",
    "IsDerived": true,
    "IsWitness": true,
    "DisagreeingSubstrateCount": 0,
    "IsSubstrateContested": false
   },
   {
    "RulebookFieldId": "ProcedureVersions.HasOpenBlockingGap",
    "TargetTable": "ProcedureVersions",
    "FieldName": "HasOpenBlockingGap",
    "FieldType": "calculated",
    "Datatype": "boolean",
    "Formula": "={{CountOfOpenBlockingGaps}} &gt; 0",
    "InventedForQuestion": "q-steward-published-with-blocking-gap",
    "SemanticTypeIri": "urn:effortless:pko-extension#RulebookField",
    "Name": "ProcedureVersions.HasOpenBlockingGap",
    "IsDerived": true,
    "IsWitness": true,
    "DisagreeingSubstrateCount": 0,
    "IsSubstrateContested": false
   },
   {
    "RulebookFieldId": "ProcedureVersions.IsLiveWithBlockingGap",
    "TargetTable": "ProcedureVersions",
    "FieldName": "IsLiveWithBlockingGap",
    "FieldType": "calculated",
    "Datatype": "boolean",
    "Formula": "=AND({{IsLive}}, {{HasOpenBlockingGap}})",
    "InventedForQuestion": "q-steward-published-with-blocking-gap",
    "SemanticTypeIri": "urn:effortless:pko-extension#RulebookField",
    "Name": "ProcedureVersions.IsLiveWithBlockingGap",
    "IsDerived": true,
    "IsWitness": true,
    "DisagreeingSubstrateCount": 0,
    "IsSubstrateContested": false
   },
   {
    "RulebookFieldId": "ProcedureVersions.ShouldNotBeExecutable",
    "TargetTable": "ProcedureVersions",
    "FieldName": "ShouldNotBeExecutable",
    "FieldType": "calculated",
    "Datatype": "boolean",
    "Formula": "=AND({{IsReadyForExecution}}, {{HasOpenBlockingGap}})",
    "InventedForQuestion": "q-steward-published-with-blocking-gap",
    "SemanticTypeIri": "urn:effortless:pko-extension#RulebookField",
    "Name": "ProcedureVersions.ShouldNotBeExecutable",
    "IsDerived": true,
    "IsWitness": true,
    "DisagreeingSubstrateCount": 0,
    "IsSubstrateContested": false
   },
   {
    "RulebookFieldId": "ProcedureVersions.CountOfUnapprovedRelianceFragments",
    "TargetTable": "ProcedureVersions",
    "FieldName": "CountOfUnapprovedRelianceFragments",
    "FieldType": "aggregation",
    "Datatype": "integer",
    "Formula": "=COUNTIFS(KnowledgeFragments!{{IsUnapprovedButReliedOn}}, TRUE)",
    "InventedForQuestion": "q-authority-non-approved-dependency",
    "SemanticTypeIri": "urn:effortless:pko-extension#RulebookField",
    "Name": "ProcedureVersions.CountOfUnapprovedRelianceFragments",
    "IsDerived": true,
    "IsWitness": true,
    "DisagreeingSubstrateCount": 0,
    "IsSubstrateContested": false
   },
   {
    "RulebookFieldId": "ProcedureVersions.RunsOnUnapprovedKnowledge",
    "TargetTable": "ProcedureVersions",
    "FieldName": "RunsOnUnapprovedKnowledge",
    "FieldType": "calculated",
    "Datatype": "boolean",
    "Formula": "={{CountOfUnapprovedRelianceFragments}} &gt; 0",
    "InventedForQuestion": "q-authority-non-approved-dependency",
    "SemanticTypeIri": "urn:effortless:pko-extension#RulebookField",
    "Name": "ProcedureVersions.RunsOnUnapprovedKnowledge",
    "IsDerived": true,
    "IsWitness": true,
    "DisagreeingSubstrateCount": 0,
    "IsSubstrateContested": false
   },
   {
    "RulebookFieldId": "ProcedureVersions.CountOfOverdueGaps",
    "TargetTable": "ProcedureVersions",
    "FieldName": "CountOfOverdueGaps",
    "FieldType": "aggregation",
    "Datatype": "integer",
    "Formula": "=COUNTIFS(KnowledgeGaps!{{IsOverdueGap}}, TRUE)",
    "InventedForQuestion": "q-authority-known-unknowns",
    "SemanticTypeIri": "urn:effortless:pko-extension#RulebookField",
    "Name": "ProcedureVersions.CountOfOverdueGaps",
    "IsDerived": true,
    "IsWitness": true,
    "DisagreeingSubstrateCount": 0,
    "IsSubstrateContested": false
   },
   {
    "RulebookFieldId": "ProcedureVersions.CountOfChangeRequests",
    "TargetTable": "ProcedureVersions",
    "FieldName": "CountOfChangeRequests",
    "FieldType": "aggregation",
    "Datatype": "integer",
    "Formula": "=COUNTIFS(ChangeRequests!{{ProcedureVersion}}, ProcedureVersions!{{ProcedureVersionId}})",
    "InventedForQuestion": "q-authority-unwitnessed-change",
    "SemanticTypeIri": "urn:effortless:pko-extension#RulebookField",
    "Name": "ProcedureVersions.CountOfChangeRequests",
    "IsDerived": true,
    "IsWitness": true,
    "DisagreeingSubstrateCount": 0,
    "IsSubstrateContested": false
   },
   {
    "RulebookFieldId": "ProcedureVersions.CountOfReviewEvents",
    "TargetTable": "ProcedureVersions",
    "FieldName": "CountOfReviewEvents",
    "FieldType": "aggregation",
    "Datatype": "integer",
    "Formula": "=COUNTIFS(ReviewEvents!{{ProcedureVersion}}, ProcedureVersions!{{ProcedureVersionId}})",
    "InventedForQuestion": "q-authority-unwitnessed-change",
    "SemanticTypeIri": "urn:effortless:pko-extension#RulebookField",
    "Name": "ProcedureVersions.CountOfReviewEvents",
    "IsDerived": true,
    "IsWitness": true,
    "DisagreeingSubstrateCount": 0,
    "IsSubstrateContested": false
   },
   {
    "RulebookFieldId": "ProcedureVersions.HasGovernanceRecord",
    "TargetTable": "ProcedureVersions",
    "FieldName": "HasGovernanceRecord",
    "FieldType": "calculated",
    "Datatype": "boolean",
    "Formula": "=OR({{CountOfChangeRequests}} &gt; 0, {{CountOfReviewEvents}} &gt; 0)",
    "InventedForQuestion": "q-authority-unwitnessed-change",
    "SemanticTypeIri": "urn:effortless:pko-extension#RulebookField",
    "Name": "ProcedureVersions.HasGovernanceRecord",
    "IsDerived": true,
    "IsWitness": true,
    "DisagreeingSubstrateCount": 0,
    "IsSubstrateContested": false
   },
   {
    "RulebookFieldId": "ProcedureVersions.EvaluationContext",
    "TargetTable": "ProcedureVersions",
    "FieldName": "EvaluationContext",
    "FieldType": "relationship",
    "Datatype": "string",
    "Formula": null,
    "InventedForQuestion": null,
    "SemanticTypeIri": "urn:effortless:pko-extension#RulebookField",
    "Name": "ProcedureVersions.EvaluationContext",
    "IsDerived": false,
    "IsWitness": false,
    "DisagreeingSubstrateCount": 0,
    "IsSubstrateContested": false
   },
   {
    "RulebookFieldId": "ProcedureVersions.AsOfInstant",
    "TargetTable": "ProcedureVersions",
    "FieldName": "AsOfInstant",
    "FieldType": "lookup",
    "Datatype": "datetime",
    "Formula": "=INDEX(EvaluationContexts!{{AsOfInstant}}, MATCH({{EvaluationContext}}, EvaluationContexts!{{EvaluationContextId}}, 0))",
    "InventedForQuestion": null,
    "SemanticTypeIri": "urn:effortless:pko-extension#RulebookField",
    "Name": "ProcedureVersions.AsOfInstant",
    "IsDerived": true,
    "IsWitness": false,
    "DisagreeingSubstrateCount": 1,
    "IsSubstrateContested": true
   },
   {
    "RulebookFieldId": "ProcedureVersions.DaysSinceModified",
    "TargetTable": "ProcedureVersions",
    "FieldName": "DaysSinceModified",
    "FieldType": "calculated",
    "Datatype": "integer",
    "Formula": "=DATETIME_DIFF({{AsOfInstant}}, {{ModifiedAt}}, \"days\")",
    "InventedForQuestion": "q-authority-unwitnessed-change",
    "SemanticTypeIri": "urn:effortless:pko-extension#RulebookField",
    "Name": "ProcedureVersions.DaysSinceModified",
    "IsDerived": true,
    "IsWitness": true,
    "DisagreeingSubstrateCount": 7,
    "IsSubstrateContested": true
   },
   {
    "RulebookFieldId": "ProcedureVersions.DaysSinceLastReview",
    "TargetTable": "ProcedureVersions",
    "FieldName": "DaysSinceLastReview",
    "FieldType": "aggregation",
    "Datatype": "integer",
    "Formula": "=DATETIME_DIFF({{AsOfInstant}}, MAXIFS(ReviewEvents!{{ReviewedAt}}, ReviewEvents!{{ProcedureVersion}}, ProcedureVersions!{{ProcedureVersionId}}), \"days\")",
    "InventedForQuestion": "q-authority-unwitnessed-change",
    "SemanticTypeIri": "urn:effortless:pko-extension#RulebookField",
    "Name": "ProcedureVersions.DaysSinceLastReview",
    "IsDerived": true,
    "IsWitness": true,
    "DisagreeingSubstrateCount": 2,
    "IsSubstrateContested": true
   },
   {
    "RulebookFieldId": "ProcedureVersions.WasModifiedSinceLastReview",
    "TargetTable": "ProcedureVersions",
    "FieldName": "WasModifiedSinceLastReview",
    "FieldType": "calculated",
    "Datatype": "boolean",
    "Formula": "={{DaysSinceModified}} &lt; {{DaysSinceLastReview}}",
    "InventedForQuestion": "q-authority-unwitnessed-change",
    "SemanticTypeIri": "urn:effortless:pko-extension#RulebookField",
 </t>
  </si>
  <si>
    <t xml:space="preserve">   "Name": "ProcedureVersions.WasModifiedSinceLastReview",
    "IsDerived": true,
    "IsWitness": true,
    "DisagreeingSubstrateCount": 7,
    "IsSubstrateContested": true
   },
   {
    "RulebookFieldId": "ProcedureVersions.ModifierIsAuthority",
    "TargetTable": "ProcedureVersions",
    "FieldName": "ModifierIsAuthority",
    "FieldType": "lookup",
    "Datatype": "string",
    "Formula": "=INDEX(Agents!{{AgentKind}}, MATCH({{ModifiedByAgent}}, Agents!{{AgentId}}, 0))",
    "InventedForQuestion": "q-authority-unwitnessed-change",
    "SemanticTypeIri": "urn:effortless:pko-extension#RulebookField",
    "Name": "ProcedureVersions.ModifierIsAuthority",
    "IsDerived": true,
    "IsWitness": true,
    "DisagreeingSubstrateCount": 0,
    "IsSubstrateContested": false
   },
   {
    "RulebookFieldId": "ProcedureVersions.HasUnwitnessedChange",
    "TargetTable": "ProcedureVersions",
    "FieldName": "HasUnwitnessedChange",
    "FieldType": "calculated",
    "Datatype": "boolean",
    "Formula": "=AND({{IsLive}}, {{WasModifiedSinceLastReview}})",
    "InventedForQuestion": "q-authority-unwitnessed-change",
    "SemanticTypeIri": "urn:effortless:pko-extension#RulebookField",
    "Name": "ProcedureVersions.HasUnwitnessedChange",
    "IsDerived": true,
    "IsWitness": true,
    "DisagreeingSubstrateCount": 7,
    "IsSubstrateContested": true
   },
   {
    "RulebookFieldId": "ProcedureVersions.CountOfStaleFragments",
    "TargetTable": "ProcedureVersions",
    "FieldName": "CountOfStaleFragments",
    "FieldType": "aggregation",
    "Datatype": "integer",
    "Formula": "=COUNTIFS(KnowledgeFragments!{{ExceedsOwningCadence}}, TRUE)",
    "InventedForQuestion": "q-hr-policy-knowledge-half-life",
    "SemanticTypeIri": "urn:effortless:pko-extension#RulebookField",
    "Name": "ProcedureVersions.CountOfStaleFragments",
    "IsDerived": true,
    "IsWitness": true,
    "DisagreeingSubstrateCount": 0,
    "IsSubstrateContested": false
   },
   {
    "RulebookFieldId": "ProcedureVersions.KnowledgeIsStalerThanCadence",
    "TargetTable": "ProcedureVersions",
    "FieldName": "KnowledgeIsStalerThanCadence",
    "FieldType": "calculated",
    "Datatype": "boolean",
    "Formula": "={{CountOfStaleFragments}} &gt; 0",
    "InventedForQuestion": "q-hr-policy-knowledge-half-life",
    "SemanticTypeIri": "urn:effortless:pko-extension#RulebookField",
    "Name": "ProcedureVersions.KnowledgeIsStalerThanCadence",
    "IsDerived": true,
    "IsWitness": true,
    "DisagreeingSubstrateCount": 0,
    "IsSubstrateContested": false
   },
   {
    "RulebookFieldId": "ProcedureVersions.CompoundFragileFragmentCount",
    "TargetTable": "ProcedureVersions",
    "FieldName": "CompoundFragileFragmentCount",
    "FieldType": "aggregation",
    "Datatype": "number",
    "Formula": "=COUNTIFS(KnowledgeFragments!{{CompoundFragileVersionKey}}, {{ProcedureVersionId}})",
    "InventedForQuestion": "q2-authority-compound-fragility",
    "SemanticTypeIri": "urn:effortless:pko-extension#RulebookField",
    "Name": "ProcedureVersions.CompoundFragileFragmentCount",
    "IsDerived": true,
    "IsWitness": true,
    "DisagreeingSubstrateCount": 0,
    "IsSubstrateContested": false
   },
   {
    "RulebookFieldId": "ProcedureVersions.RestsOnCompoundFragileKnowledge",
    "TargetTable": "ProcedureVersions",
    "FieldName": "RestsOnCompoundFragileKnowledge",
    "FieldType": "calculated",
    "Datatype": "boolean",
    "Formula": "=AND({{IsLive}}, {{CompoundFragileFragmentCount}} &gt; 0)",
    "InventedForQuestion": "q2-authority-compound-fragility",
    "SemanticTypeIri": "urn:effortless:pko-extension#RulebookField",
    "Name": "ProcedureVersions.RestsOnCompoundFragileKnowledge",
    "IsDerived": true,
    "IsWitness": true,
    "DisagreeingSubstrateCount": 0,
    "IsSubstrateContested": false
   },
   {
    "RulebookFieldId": "ProcedureVersions.ConcentratedWitnessSessionCount",
    "TargetTable": "ProcedureVersions",
    "FieldName": "ConcentratedWitnessSessionCount",
    "FieldType": "aggregation",
    "Datatype": "number",
    "Formula": "=COUNTIFS(ElicitationSessions!{{ConcentratedSessionVersionKey}}, {{ProcedureVersionId}})",
    "InventedForQuestion": "q2-authority-elicitation-method-monoculture",
    "SemanticTypeIri": "urn:effortless:pko-extension#RulebookField",
    "Name": "ProcedureVersions.ConcentratedWitnessSessionCount",
    "IsDerived": true,
    "IsWitness": true,
    "DisagreeingSubstrateCount": 0,
    "IsSubstrateContested": false
   },
   {
    "RulebookFieldId": "ProcedureVersions.KnowledgeBaseIsConcentrated",
    "TargetTable": "ProcedureVersions",
    "FieldName": "KnowledgeBaseIsConcentrated",
    "FieldType": "calculated",
    "Datatype": "boolean",
    "Formula": "=AND({{IsLive}}, {{ConcentratedWitnessSessionCount}} &gt; 0)",
    "InventedForQuestion": "q2-authority-elicitation-method-monoculture",
    "SemanticTypeIri": "urn:effortless:pko-extension#RulebookField",
    "Name": "ProcedureVersions.KnowledgeBaseIsConcentrated",
    "IsDerived": true,
    "IsWitness": true,
    "DisagreeingSubstrateCount": 0,
    "IsSubstrateContested": false
   },
   {
    "RulebookFieldId": "ProcedureVersions.MachineConsumedUnapprovedCount",
    "TargetTable": "ProcedureVersions",
    "FieldName": "MachineConsumedUnapprovedCount",
    "FieldType": "aggregation",
    "Datatype": "number",
    "Formula": "=COUNTIFS(KnowledgeFragments!{{MachineConsumedUnapprovedVersionKey}}, {{ProcedureVersionId}})",
    "InventedForQuestion": "q2-authority-unapproved-knowledge-reaching-machines",
    "SemanticTypeIri": "urn:effortless:pko-extension#RulebookField",
    "Name": "ProcedureVersions.MachineConsumedUnapprovedCount",
    "IsDerived": true,
    "IsWitness": true,
    "DisagreeingSubstrateCount": 0,
    "IsSubstrateContested": false
   },
   {
    "RulebookFieldId": "ProcedureVersions.FeedsUnapprovedKnowledgeToMachines",
    "TargetTable": "ProcedureVersions",
    "FieldName": "FeedsUnapprovedKnowledgeToMachines",
    "FieldType": "calculated",
    "Datatype": "boolean",
    "Formula": "=AND({{IsLive}}, {{MachineConsumedUnapprovedCount}} &gt; 0)",
    "InventedForQuestion": "q2-authority-unapproved-knowledge-reaching-machines",
    "SemanticTypeIri": "urn:effortless:pko-extension#RulebookField",
    "Name": "ProcedureVersions.FeedsUnapprovedKnowledgeToMachines",
    "IsDerived": true,
    "IsWitness": true,
    "DisagreeingSubstrateCount": 0,
    "IsSubstrateContested": false
   },
   {
    "RulebookFieldId": "ProcedureVersions.GenuinelyOverdueFragmentCount",
    "TargetTable": "ProcedureVersions",
    "FieldName": "GenuinelyOverdueFragmentCount",
    "FieldType": "aggregation",
    "Datatype": "number",
    "Formula": "=COUNTIFS(KnowledgeFragments!{{GenuinelyOverdueVersionKey}}, {{ProcedureVersionId}})",
    "InventedForQuestion": "q2-authority-review-date-is-inferred-not-recorded",
    "SemanticTypeIri": "urn:effortless:pko-extension#RulebookField",
    "Name": "ProcedureVersions.GenuinelyOverdueFragmentCount",
    "IsDerived": true,
    "IsWitness": true,
    "DisagreeingSubstrateCount": 0,
    "IsSubstrateContested": false
   },
   {
    "RulebookFieldId": "ProcedureVersions.AwaitedDecisionCount",
    "TargetTable": "ProcedureVersions",
    "FieldName": "AwaitedDecisionCount",
    "FieldType": "aggregation",
    "Datatype": "number",
    "Formula": "=COUNTIFS(ChangeRequests!{{BacklogVersionKey}}, {{ProcedureVersionId}})",
    "InventedForQuestion": "q2-hr-my-backlog-is-someone-elses-block",
    "SemanticTypeIri": "urn:effortless:pko-extension#RulebookField",
    "Name": "ProcedureVersions.AwaitedDecisionCount",
    "IsDerived": true,
    "IsWitness": true,
    "DisagreeingSubstrateCount": 0,
    "IsSubstrateContested": false
   },
   {
    "RulebookFieldId": "ProcedureVersions.ScopedOpenBlockingGapCount",
    "TargetTable": "ProcedureVersions",
    "FieldName": "ScopedOpenBlockingGapCount",
    "FieldType": "aggregation",
    "Datatype": "number",
    "Formula": "=COUNTIFS(KnowledgeGaps!{{OpenBlockingGapVersionKey}}, {{ProcedureVersionId}})",
    "InventedForQuestion": "q2-hr-my-backlog-is-someone-elses-block",
    "SemanticTypeIri": "urn:effortless:pko-extension#RulebookField",
    "Name": "ProcedureVersions.ScopedOpenBlockingGapCount",
    "IsDerived": true,
    "IsWitness": true,
    "DisagreeingSubstrateCount": 0,
    "IsSubstrateContested": false
   },
   {
    "RulebookFieldId": "ProcedureVersions.IsBlockedOnPendingDecision",
    "TargetTable": "ProcedureVersions",
    "FieldName": "IsBlockedOnPendingDecision",
    "FieldType": "calculated",
    "Datatype": "boolean",
    "Formula": "=AND({{AwaitedDecisionCount}} &gt; 0, {{ScopedOpenBlockingGapCount}} &gt; 0)",
    "InventedForQuestion": "q2-hr-my-backlog-is-someone-elses-block",
    "SemanticTypeIri": "urn:effortless:pko-extension#RulebookField",
    "Name": "ProcedureVersions.IsBlockedOnPendingDecision",
    "IsDerived": true,
    "IsWitness": true,
    "DisagreeingSubstrateCount": 0,
    "IsSubstrateContested": false
   },
   {
    "RulebookFieldId": "ProcedureVersions.UnexercisedHumanGateCount",
    "TargetTable": "ProcedureVersions",
    "FieldName": "UnexercisedHumanGateCount",
    "FieldType": "aggregation",
    "Datatype": "number",
    "Formula": "=COUNTIFS(Steps!{{UnexercisedGateVersionKey}}, {{ProcedureVersionId}})",
    "InventedForQuestion": "q2-hr-ai-boundary-holds-only-where-tested",
    "SemanticTypeIri": "urn:effortless:pko-extension#RulebookField",
    "Name": "ProcedureVersions.UnexercisedHumanGateCount",
    "IsDerived": true,
    "IsWitness": true,
    "DisagreeingSubstrateCount": 0,
    "IsSubstrateContested": false
   },
   {
    "RulebookFieldId": "ProcedureVersions.AiBoundaryIsUnevidenced",
    "TargetTable": "ProcedureVersions",
    "FieldName": "AiBoundaryIsUnevidenced",
    "FieldType": "calculated",
    "Datatype": "boolean",
    "Formula": "=AND({{IsLive}}, {{UnexercisedHumanGateCount}} &gt; 0)",
    "InventedForQuestion": "q2-hr-ai-boundary-holds-only-where-tested",
    "SemanticTypeIri": "urn:effortless:pko-extension#RulebookField",
    "Name": "ProcedureVersions.AiBoundaryIsUnevidenced",
    "IsDerived": true,
    "IsWitness": true,
    "DisagreeingSubstrateCount": 0,
    "IsSubstrateContested": false
   },
   {
    "RulebookFieldId": "ProcedureVersions.LoadBearingUnapprovedCount",
    "TargetTable": "ProcedureVersions",
    "FieldName": "LoadBearingUnapprovedCount",
    "FieldType": "aggregation",
    "Datatype": "number",
    "Formula": "=COUNTIFS(KnowledgeFragments!{{UnapprovedLoadBearingVersionKey}}, {{ProcedureVersionId}})",
    "InventedForQuestion": "q2-hr-my-unapproved-claim-is-load-bearing",
    "SemanticTypeIri": "urn:effortless:pko-extension#RulebookField",
    "Name": "ProcedureVersions.LoadBearingUnapprovedCount",
    "IsDerived": true,
    "IsWitness": true,
    "DisagreeingSubstrateCount": 0,
    "IsSubstrateContested": false
   },
   {
    "RulebookFieldId": "ProcedureVersions.UnlandedDecisionCount",
    "TargetTable": "ProcedureVersions",
    "FieldName": "UnlandedDecisionCount",
    "FieldType": "aggregation",
    "Datatype": "number",
    "Formula": "=COUNTIFS(ChangeRequests!{{UnlandedVersionKey}}, {{ProcedureVersionId}})",
    "InventedForQuestion": "q2-hr-my-approvals-never-read-as-done",
    "SemanticTypeIri": "urn:effortless:pko-extension#RulebookField",
    "Name": "ProcedureVersions.UnlandedDecisionCount",
    "IsDerived": true,
    "IsWitness": true,
    "DisagreeingSubstrateCount": 0,
    "IsSubstrateContested": false
   },
   {
    "RulebookFieldId": "ProcedureVersions.UnrehearsedControlEntryCount",
    "TargetTable": "ProcedureVersions",
    "FieldName": "UnrehearsedControlEntryCount",
    "FieldType": "aggregation",
    "Datatype": "number",
    "Formula": "=COUNTIFS(StepTransitions!{{UnrehearsedControlVersionKey}}, {{ProcedureVersionId}})",
    "InventedForQuestion": "q2-steward-recovery-path-is-load-bearing",
    "SemanticTypeIri": "urn:effortless:pko-extension#RulebookField",
    "Name": "ProcedureVersions.UnrehearsedControlEntryCount",
    "IsDerived": true,
    "IsWitness": true,
    "DisagreeingSubstrateCount": 0,
    "IsSubstrateContested": false
   },
   {
    "RulebookFieldId": "ProcedureVersions.HasUnrehearsedControlEntry",
    "TargetTable": "ProcedureVersions",
    "FieldName": "HasUnrehearsedControlEntry",
    "FieldType": "calculated",
    "Datatype": "boolean",
    "Formula": "={{UnrehearsedControlEntryCount}} &gt; 0",
    "InventedForQuestion": "q2-steward-recovery-path-is-load-bearing",
    "SemanticTypeIri": "urn:effortless:pko-extension#RulebookField",
    "Name": "ProcedureVersions.HasUnrehearsedControlEntry",
    "IsDerived": true,
    "IsWitness": true,
    "DisagreeingSubstrateCount": 0,
    "IsSubstrateContested": false
   },
   {
    "RulebookFieldId": "ProcedureVersions.IsLiveWithUnrehearsedControl",
    "TargetTable": "ProcedureVersions",
    "FieldName": "IsLiveWithUnrehearsedControl",
    "FieldType": "calculated",
    "Datatype": "boolean",
    "Formula": "=AND({{IsLive}}, {{HasUnrehearsedControlEntry}})",
    "InventedForQuestion": "q2-steward-recovery-path-is-load-bearing",
    "SemanticTypeIri": "urn:effortless:pko-extension#RulebookField",
    "Name": "ProcedureVersions.IsLiveWithUnrehearsedControl",
    "IsDerived": true,
    "IsWitness": true,
    "DisagreeingSubstrateCount": 0,
    "IsSubstrateContested": false
   },
   {
    "RulebookFieldId": "ProcedureVersions.CadenceBreachCount",
    "TargetTable": "ProcedureVersions",
    "FieldName": "CadenceBreachCount",
    "FieldType": "aggregation",
    "Datatype": "number",
    "Formula": "=COUNTIFS(ReviewEvents!{{CadenceBreachVersionKey}}, {{ProcedureVersionId}})",
    "InventedForQuestion": "q2-steward-cadence-breach-is-unremediated",
    "SemanticTypeIri": "urn:effortless:pko-extension#RulebookField",
    "Name": "ProcedureVersions.CadenceBreachCount",
    "IsDerived": true,
    "IsWitness": true,
    "DisagreeingSubstrateCount": 0,
    "IsSubstrateContested": false
   },
   {
    "RulebookFieldId": "ProcedureVersions.IsInCadenceBreach",
    "TargetTable": "ProcedureVersions",
    "FieldName": "IsInCadenceBreach",
    "FieldType": "calculated",
    "Datatype": "boolean",
    "Formula": "={{CadenceBreachCount}} &gt; 0",
    "InventedForQuestion": "q2-steward-cadence-breach-is-unremediated",
    "SemanticTypeIri": "urn:effortless:pko-extension#RulebookField",
    "Name": "ProcedureVersions.IsInCadenceBreach",
    "IsDerived": true,
    "IsWitness": true,
    "DisagreeingSubstrateCount": 0,
    "IsSubstrateContested": false
   },
   {
    "RulebookFieldId": "ProcedureVersions.HasDecisionInFlight",
    "TargetTable": "ProcedureVersions",
    "FieldName": "HasDecisionInFlight",
    "FieldType": "calculated",
    "Datatype": "boolean",
    "Formula": "={{OpenChangeRequestCount}} &gt; 0",
    "InventedForQuestion": "q2-steward-cadence-breach-is-unremediated",
    "SemanticTypeIri": "urn:effortless:pko-extension#RulebookField",
    "Name": "ProcedureVersions.HasDecisionInFlight",
    "IsDerived": true,
    "IsWitness": true,
    "DisagreeingSubstrateCount": 0,
    "IsSubstrateContested": false
   },
   {
    "RulebookFieldId": "ProcedureVersions.IsUnremediatedCadenceBreach",
    "TargetTable": "ProcedureVersions",
    "FieldName": "IsUnremediatedCadenceBreach",
    "FieldType": "calculated",
    "Datatype": "boolean",
    "Formula": "=AND({{IsInCadenceBreach}}, NOT({{HasDecisionInFlight}}))",
    "InventedForQuestion": "q2-steward-cadence-breach-is-unremediated",
    "SemanticTypeIri": "urn:effortless:pko-extension#RulebookField",
    "Name": "ProcedureVersions.IsUnremediatedCadenceBreach",
    "IsDerived": true,
    "IsWitness": true,
    "DisagreeingSubstrateCount": 0,
    "IsSubstrateContested": false
   },
   {
    "RulebookFieldId": "ProcedureVersions.IsManagedCadenceBreach",
    "TargetTable": "ProcedureVersions",
    "FieldName": "IsManagedCadenceBreach",
    "FieldType": "calculated",
    "Datatype": "boolean",
    "Formula": "=AND({{IsInCadenceBreach}}, {{HasDecisionInFlight}})",
    "InventedForQuestion": "q2-steward-cadence-breach-is-unremediated",
    "SemanticTypeIri": "urn:effortless:pko-extension#RulebookField",
    "Name": "ProcedureVersions.IsManagedCadenceBreach",
    "IsDerived": true,
    "IsWitness": true,
    "DisagreeingSubstrateCount": 0,
    "IsSubstrateContested": false
   },
   {
    "RulebookFieldId": "ProcedureVersions.GovernanceIsSilent",
    "TargetTable": "ProcedureVersions",
    "FieldName": "GovernanceIsSilent",
    "FieldType": "calculated",
    "Datatype": "boolean",
    "Formula": "=AND({{IsLive}}, NOT({{HasGovernanceRecord}}))",
    "InventedForQuestion": "q2-steward-cadence-breach-is-unremediated",
    "SemanticTypeIri": "urn:effortless:pko-extension#RulebookField",
    "Name": "ProcedureVersions.GovernanceIsSilent",
    "IsDerived": true,
    "IsWitness": true,
    "DisagreeingSubstrateCount": 0,
    "IsSubstrateContested": false
   },
   {
    "RulebookFieldId": "ProcedureVersions.ValidFragmentCount",
    "TargetTable": "ProcedureVersions",
    "FieldName": "ValidFragmentCount",
    "FieldType": "aggregation",
    "Datatype": "number",
    "Formula": "=COUNTIFS(KnowledgeFragments!{{ValidFragmentVersionKey}}, {{ProcedureVersionId}})",
    "InventedForQuestion": "q2-steward-unstewarded-version-still-referenced",
    "SemanticTypeIri": "urn:effortless:pko-extension#RulebookField",
    "Name": "ProcedureVersions.ValidFragmentCount",
    "IsDerived": true,
    "IsWitness": true,
    "DisagreeingSubstrateCount": 0,
    "IsSubstrateContested": false
   },
   {
    "RulebookFieldId": "ProcedureVersions.StillOwnsValidKnowledge",
    "TargetTable": "ProcedureVersions",
    "FieldName": "StillOwnsValidKnowledge",
    "FieldType": "calculated",
    "Datatype": "boolean",
    "Formula": "={{ValidFragmentCount}} &gt; 0",
    "InventedForQuestion": "q2-steward-unstewarded-version-still-referenced",
    "SemanticTypeIri": "urn:effortless:pko-extension#RulebookField",
    "Name": "ProcedureVersions.StillOwnsValidKnowledge",
    "IsDerived": true,
    "IsWitness": true,
    "DisagreeingSubstrateCount": 0,
    "IsSubstrateContested": false
   },
   {
    "RulebookFieldId": "ProcedureVersions.IncomingSupersessionCount",
    "TargetTable": "ProcedureVersions",
    "FieldName": "IncomingSupersessionCount",
    "FieldType": "aggregation",
    "Datatype": "number",
    "Formula": "=COUNTIFS(ProcedureVersionLinks!{{SupersededVersionKey}}, {{ProcedureVersionId}})",
    "InventedForQuestion": "q2-steward-unstewarded-version-still-referenced",
    "SemanticTypeIri": "urn:effortless:pko-extension#RulebookField",
    "Name": "ProcedureVersions.IncomingSupersessionCount",
    "IsDerived": true,
    "IsWitness": true,
    "DisagreeingSubstrateCount": 1,
    "IsSubstrateContested": true
   },
   {
    "RulebookFieldId": "ProcedureVersions.IsStillReferenced",
    "TargetTable": "ProcedureVersions",
    "FieldName": "IsStillReferenced",
    "FieldType": "calculated",
    "Datatype": "boolean",
    "Formula": "={{IncomingSupersessionCount}} &gt; 0",
    "InventedForQuestion": "q2-steward-unstewarded-version-still-referenced",
    "SemanticTypeIri": "urn:effortless:pko-extension#RulebookField",
    "Name": "ProcedureVersions.IsStillReferenced",
    "IsDerived": true,
    "IsWitness": true,
    "DisagreeingSubstrateCount": 1,
    "IsSubstrateContested": true
   },
   {
    "RulebookFieldId": "ProcedureVersions.IsLoadBearingOrphan",
    "TargetTable": "ProcedureVersions",
    "FieldName": "IsLoadBearingOrphan",
    "FieldType": "calculated",
    "Datatype": "boolean",
    "Formula": "=AND({{IsUnstewarded}}, OR({{StillOwnsValidKnowledge}}, {{IsStillReferenced}}))",
    "InventedForQuestion": "q2-steward-unstewarded-version-still-referenced",
    "SemanticTypeIri": "urn:effortless:pko-extension#RulebookField",
    "Name": "ProcedureVersions.IsLoadBearingOrphan",
    "IsDerived": true,
    "IsWitness": true,
    "DisagreeingSubstrateCount": 1,
    "IsSubstrateContested": true
   },
   {
    "RulebookFieldId": "ProcedureVersions.IsCleanlyRetired",
    "TargetTable": "ProcedureVersions",
    "FieldName": "IsCleanlyRetired",
    "FieldType": "calculated",
    "Datatype": "boolean",
    "Formula": "=AND({{IsUnstewarded}}, NOT({{StillOwnsValidKnowledge}}), NOT({{IsStillReferenced}}))",
    "InventedForQuestion": "q2-steward-unstewarded-version-still-referenced",
    "SemanticTypeIri": "urn:effortless:pko-extension#RulebookField",
    "Name": "ProcedureVersions.IsCleanlyRetired",
    "IsDerived": true,
    "IsWitness": true,
    "DisagreeingSubstrateCount": 1,
    "IsSubstrateContested": true
   },
   {
    "RulebookFieldId": "ProcedureVersions.StalledImplementationCount",
    "TargetTable": "ProcedureVersions",
    "FieldName": "StalledImplementationCount",
    "FieldType": "aggregation",
    "Datatype": "number",
    "Formula": "=COUNTIFS(ChangeRequests!{{StalledImplementationVersionKey}}, {{ProcedureVersionId}})",
    "InventedForQuestion": "q2-steward-approved-cr-never-lands",
    "SemanticTypeIri": "urn:effortless:pko-extension#RulebookField",
    "Name": "ProcedureVersions.StalledImplementationCount",
    "IsDerived": true,
    "IsWitness": true,
    "DisagreeingSubstrateCount": 0,
    "IsSubstrateContested": false
   },
   {
    "RulebookFieldId": "ProcedureVersions.IsHeldUnfitByLandedDecisions",
    "TargetTable": "ProcedureVersions",
    "FieldName": "IsHeldUnfitByLandedDecisions",
    "FieldType": "calculated",
    "Datatype": "boolean",
    "Formula": "=AND(NOT({{IsFitToExecute}}), {{StalledImplementationCount}} &gt; 0)",
    "InventedForQuestion": "q2-steward-approved-cr-never-lands",
    "SemanticTypeIri": "urn:effortless:pko-extension#RulebookField",
    "Name": "ProcedureVersions.IsHeldUnfitByLandedDecisions",
    "IsDerived": true,
    "IsWitness": true,
    "DisagreeingSubstrateCount": 0,
    "IsSubstrateContested": false
   },
   {
    "RulebookFieldId": "ProcedureVersions.UndeclaredControlKindCount",
    "TargetTable": "ProcedureVersions",
    "FieldName": "UndeclaredControlKindCount",
    "FieldType": "aggregation",
    "Datatype": "number",
    "Formula": "=COUNTIFS(Steps!{{UndeclaredControlVersionKey}}, {{ProcedureVersionId}})",
    "InventedForQuestion": "q2-steward-control-kind-instead-of-hardcoded-ids",
    "SemanticTypeIri": "urn:effortless:pko-extension#RulebookField",
    "Name": "ProcedureVersions.UndeclaredControlKindCount",
    "IsDerived": true,
    "IsWitness": true,
    "DisagreeingSubstrateCount": 0,
    "IsSubstrateContested": false
   },
   {
    "RulebookFieldId": "ProcedureVersions.ControlTaxonomyIsIncomplete",
    "TargetTable": "ProcedureVersions",
    "FieldName": "ControlTaxonomyIsIncomplete",
    "FieldType": "calculated",
    "Datatype": "boolean",
    "Formula": "={{UndeclaredControlKindCount}} &gt; 0",
    "InventedForQuestion": "q2-steward-control-kind-instead-of-hardcoded-ids",
    "SemanticTypeIri": "urn:effortless:pko-extension#RulebookField",
    "Name": "ProcedureVersions.ControlTaxonomyIsIncomplete",
    "IsDerived": true,
    "IsWitness": true,
    "DisagreeingSubstrateCount": 0,
    "IsSubstrateContested": false
   },
   {
    "RulebookFieldId": "ProcedureVersions.HasApprovedChangeRequest",
    "TargetTable": "ProcedureVersions",
    "FieldName": "HasApprovedChangeRequest",
    "FieldType": "calculated",
    "Datatype": "boolean",
    "Formula": "={{ApprovedChangeRequestCount}} &gt; 0",
    "InventedForQuestion": "q2-ctl-divergence-that-nobody-governed",
    "SemanticTypeIri": "urn:effortless:pko-extension#RulebookField",
    "Name": "ProcedureVersions.HasApprovedChangeRequest",
    "IsDerived": true,
    "IsWitness": true,
    "DisagreeingSubstrateCount": 0,
    "IsSubstrateContested": false
   },
   {
    "RulebookFieldId": "ProcedureVersions.ApprovedChangeRequestCount",
    "TargetTable": "ProcedureVersions",
    "FieldName": "ApprovedChangeRequestCount",
    "FieldType": "aggregation",
    "Datatype": "number",
    "Formula": "=COUNTIFS(ChangeRequests!{{ApprovedVersionKey}}, {{ProcedureVersionId}})",
    "InventedForQuestion": "q2-ctl-divergence-that-nobody-governed",
    "SemanticTypeIri": "urn:effortless:pko-extension#RulebookField",
    "Name": "ProcedureVersions.ApprovedChangeRequestCount",
    "IsDerived": true,
    "IsWitness": true,
    "DisagreeingSubstrateCount": 0,
    "IsSubstrateContested": false
   },
   {
    "RulebookFieldId": "ProcedureVersions.UnwatchedUnownedControlCount",
    "TargetTable": "ProcedureVersions",
    "FieldName": "UnwatchedUnownedControlCount",
    "FieldType": "aggregation",
    "Datatype": "number",
    "Formula": "=COUNTIFS(Requirements!{{UnwatchedUnownedFlag}}, \"unwatched-unowned\")",
    "InventedForQuestion": "q2-cfo-controls-nobody-is-watching",
    "SemanticTypeIri": "urn:effortless:pko-extension#RulebookField",
    "Name": "ProcedureVersions.UnwatchedUnownedControlCount",
    "IsDerived": true,
    "IsWitness": true,
    "DisagreeingSubstrateCount": 0,
    "IsSubstrateContested": false
   },
   {
    "RulebookFieldId": "ProcedureVersions.MiningRunCount",
    "TargetTable": "ProcedureVersions",
    "FieldName": "MiningRunCount",
    "FieldType": "aggregation",
    "Datatype": "number",
    "Formula": "=COUNTIFS(ProcessMiningRuns!{{ProcedureVersion}}, {{ProcedureVersionId}})",
    "InventedForQuestion": "q-steward-mining-drift",
    "SemanticTypeIri": "urn:effortless:pko-extension#RulebookField",
    "Name": "ProcedureVersions.MiningRunCount",
    "IsDerived": true,
    "IsWitness": true,
    "DisagreeingSubstrateCount": 0,
    "IsSubstrateContested": false
   },
   {
    "RulebookFieldId": "ProcedureVersions.DriftedMiningRunCount",
    "TargetTable": "ProcedureVersions",
    "FieldName": "DriftedMiningRunCount",
    "FieldType": "aggregation",
    "Datatype": "number",
    "Formula": "=COUNTIFS(ProcessMiningRuns!{{DriftedMiningRunKey}}, {{ProcedureVersionId}})",
    "InventedForQuestion": "q-steward-mining-drift",
    "SemanticTypeIri": "urn:effortless:pko-extension#RulebookField",
    "Name": "ProcedureVersions.DriftedMiningRunCount",
    "IsDerived": true,
    "IsWitness": true,
    "DisagreeingSubstrateCount": 0,
    "IsSubstrateContested": false
   },
   {
    "RulebookFieldId": "ProcedureVersions.HasUnresolvedMiningDrift",
    "TargetTable": "ProcedureVersions",
    "FieldName": "HasUnresolvedMiningDrift",
    "FieldType": "calculated",
    "Datatype": "boolean",
    "Formula": "={{DriftedMiningRunCount}} &gt; 0",
    "InventedForQuestion": "q-steward-mining-drift",
    "SemanticTypeIri": "urn:effortless:pko-extension#RulebookField",
    "Name": "ProcedureVersions.HasUnresolvedMiningDrift",
    "IsDerived": true,
    "IsWitness": true,
    "DisagreeingSubstrateCount": 0,
    "IsSubstrateContested": false
   },
   {
    "RulebookFieldId": "ProcedureVersions.SemanticTypeIri",
    "TargetTable": "ProcedureVersions",
    "FieldName": "SemanticTypeIri",
    "FieldType": "raw",
    "Datatype": "string",
    "Formula": null,
    "InventedForQuestion": null,
    "SemanticTypeIri": "urn:effortless:pko-extension#RulebookField",
    "Name": "ProcedureVersions.SemanticTypeIri",
    "IsDerived": false,
    "IsWitness": false,
    "DisagreeingSubstrateCount": 0,
    "IsSubstrateContested": false
   },
   {
    "RulebookFieldId": "ProcedureVersionLinks.ProcedureVersionLinkId",
    "TargetTable": "ProcedureVersionLinks",
    "FieldName": "ProcedureVersionLinkId",
    "FieldType": "raw",
    "Datatype": "string",
    "Formula": null,
    "InventedForQuestion": null,
    "SemanticTypeIri": "urn:effortless:pko-extension#RulebookField",
    "Name": "ProcedureVersionLinks.ProcedureVersionLinkId",
    "IsDerived": false,
    "IsWitness": false,
    "DisagreeingSubstrateCount": 0,
    "IsSubstrateContested": false
   },
   {
    "RulebookFieldId": "ProcedureVersionLinks.Name",
    "TargetTable": "ProcedureVersionLinks",
    "FieldName": "Name",
    "FieldType": "calculated",
    "Datatype": "string",
    "Formula": "={{PreviousProcedureVersion}} &amp; \" -&gt; \" &amp; {{NextProcedureVersion}}",
    "InventedForQuestion": null,
    "SemanticTypeIri": "urn:effortless:pko-extension#RulebookField",
    "Name": "ProcedureVersionLinks.Name",
    "IsDerived": true,
    "IsWitness": false,
    "DisagreeingSubstrateCount": 0,
    "IsSubstrateContested": false
   },
   {
    "RulebookFieldId": "ProcedureVersionLinks.PreviousProcedureVersion",
    "TargetTable": "ProcedureVersionLinks",
    "FieldName": "PreviousProcedureVersion",
    "FieldType": "relationship",
    "Datatype": "string",
    "Formula": null,
    "InventedForQuestion": null,
    "SemanticTypeIri": "urn:effortless:pko-extension#RulebookField",
    "Name": "ProcedureVersionLinks.PreviousProcedureVersion",
    "IsDerived": false,
    "IsWitness": false,
    "DisagreeingSubstrateCount": 0,
    "IsSubstrateContested": false
   },
   {
    "RulebookFieldId": "ProcedureVersionLinks.NextProcedureVersion",
    "TargetTable": "ProcedureVersionLinks",
    "FieldName": "NextProcedureVersion",
    "FieldType": "relationship",
    "Datatype": "string",
    "Formula": null,
    "InventedForQuestion": null,
    "SemanticTypeIri": "urn:effortless:pko-extension#RulebookField",
    "Name": "ProcedureVersionLinks.NextProcedureVersion",
    "IsDerived": false,
    "IsWitness": false,
    "DisagreeingSubstrateCount": 0,
    "IsSubstrateContested": false
   },
   {
    "RulebookFieldId": "ProcedureVersionLinks.RelationIri",
    "TargetTable": "ProcedureVersionLinks",
    "FieldName": "RelationIri",
    "FieldType": "raw",
    "Datatype": "string",
    "Formula": null,
    "InventedForQuestion": null,
    "SemanticTypeIri": "urn:effortless:pko-extension#RulebookField",
    "Name": "ProcedureVersionLinks.RelationIri",
    "IsDerived": false,
    "IsWitness": false,
    "DisagreeingSubstrateCount": 0,
    "IsSubstrateContested": false
   },
   {
    "RulebookFieldId": "ProcedureVersionLinks.ChangeSummary",
    "TargetTable": "ProcedureVersionLinks",
    "FieldName": "ChangeSummary",
    "FieldType": "raw",
    "Datatype": "string",
    "Formula": null,
    "InventedForQuestion": null,
    "SemanticTypeIri": "urn:effortless:pko-extension#RulebookField",
    "Name": "ProcedureVersionLinks.ChangeSummary",
    "IsDerived": false,
    "IsWitness": false,
    "DisagreeingSubstrateCount": 0,
    "IsSubstrateContested": false
   },
   {
    "RulebookFieldId": "ProcedureVersionLinks.SupersededVersionKey",
    "TargetTable": "ProcedureVersionLinks",
    "FieldName": "SupersededVersionKey",
    "FieldType": "calculated",
    "Datatype": "string",
    "Formula": "=IF({{RelationIri}} = \"https://w3id.org/pko#nextVersion\", {{PreviousProcedureVersion}}, \"\")",
    "InventedForQuestion": "q2-steward-unstewarded-version-still-referenced",
    "SemanticTypeIri": "urn:effortless:pko-extension#RulebookField",
    "Name": "ProcedureVersionLinks.SupersededVersionKey",
    "IsDerived": true,
    "IsWitness": true,
    "DisagreeingSubstrateCount": 1,
    "IsSubstrateContested": true
   },
   {
    "RulebookFieldId": "ProcedureStatusChanges.ProcedureStatusChangeId",
    "TargetTable": "ProcedureStatusChanges",
    "FieldName": "ProcedureStatusChangeId",
    "FieldType": "raw",
    "Datatype": "string",
    "Formula": null,
    "InventedForQuestion": null,
    "SemanticTypeIri": "urn:effortless:pko-extension#RulebookField",
    "Name": "ProcedureStatusChanges.ProcedureStatusChangeId",
    "IsDerived": false,
    "IsWitness": false,
    "DisagreeingSubstrateCount": 0,
    "IsSubstrateContested": false
   },
   {
    "RulebookFieldId": "ProcedureStatusChanges.Name",
    "TargetTable": "ProcedureStatusChanges",
    "FieldName": "Name",
    "FieldType": "calculated",
    "Datatype": "string",
    "Formula": "={{ProcedureVersion}} &amp; \": \" &amp; {{FromStatus}} &amp; \" -&gt; \" &amp; {{ToStatus}}",
    "InventedForQuestion": null,
    "SemanticTypeIri": "urn:effortless:pko-extension#RulebookField",
    "Name": "ProcedureStatusChanges.Name",
    "IsDerived": true,
    "IsWitness": false,
    "DisagreeingSubstrateCount": 0,
    "IsSubstrateContested": false
   },
   {
    "RulebookFieldId": "ProcedureStatusChanges.ProcedureVersion",
    "TargetTable": "ProcedureStatusChanges",
    "FieldName": "ProcedureVersion",
    "FieldType": "relationship",
    "Datatype": "string",
    "Formula": null,
    "InventedForQuestion": null,
    "SemanticTypeIri": "urn:effortless:pko-extension#RulebookField",
    "Name": "ProcedureStatusChanges.ProcedureVersion",
    "IsDerived": false,
    "IsWitness": false,
    "DisagreeingSubstrateCount": 0,
    "IsSubstrateContested": false
   },
   {
    "RulebookFieldId": "ProcedureStatusChanges.FromStatus",
    "TargetTable": "ProcedureStatusChanges",
    "FieldName": "FromStatus",
    "FieldType": "raw",
    "Datatype": "string",
    "Formula": null,
  </t>
  </si>
  <si>
    <t xml:space="preserve">  "InventedForQuestion": null,
    "SemanticTypeIri": "urn:effortless:pko-extension#RulebookField",
    "Name": "ProcedureStatusChanges.FromStatus",
    "IsDerived": false,
    "IsWitness": false,
    "DisagreeingSubstrateCount": 0,
    "IsSubstrateContested": false
   },
   {
    "RulebookFieldId": "ProcedureStatusChanges.ToStatus",
    "TargetTable": "ProcedureStatusChanges",
    "FieldName": "ToStatus",
    "FieldType": "raw",
    "Datatype": "string",
    "Formula": null,
    "InventedForQuestion": null,
    "SemanticTypeIri": "urn:effortless:pko-extension#RulebookField",
    "Name": "ProcedureStatusChanges.ToStatus",
    "IsDerived": false,
    "IsWitness": false,
    "DisagreeingSubstrateCount": 0,
    "IsSubstrateContested": false
   },
   {
    "RulebookFieldId": "ProcedureStatusChanges.ChangedAt",
    "TargetTable": "ProcedureStatusChanges",
    "FieldName": "ChangedAt",
    "FieldType": "raw",
    "Datatype": "datetime",
    "Formula": null,
    "InventedForQuestion": null,
    "SemanticTypeIri": "urn:effortless:pko-extension#RulebookField",
    "Name": "ProcedureStatusChanges.ChangedAt",
    "IsDerived": false,
    "IsWitness": false,
    "DisagreeingSubstrateCount": 0,
    "IsSubstrateContested": false
   },
   {
    "RulebookFieldId": "ProcedureStatusChanges.ChangedByAgent",
    "TargetTable": "ProcedureStatusChanges",
    "FieldName": "ChangedByAgent",
    "FieldType": "relationship",
    "Datatype": "string",
    "Formula": null,
    "InventedForQuestion": null,
    "SemanticTypeIri": "urn:effortless:pko-extension#RulebookField",
    "Name": "ProcedureStatusChanges.ChangedByAgent",
    "IsDerived": false,
    "IsWitness": false,
    "DisagreeingSubstrateCount": 0,
    "IsSubstrateContested": false
   },
   {
    "RulebookFieldId": "ProcedureStatusChanges.Motivation",
    "TargetTable": "ProcedureStatusChanges",
    "FieldName": "Motivation",
    "FieldType": "raw",
    "Datatype": "string",
    "Formula": null,
    "InventedForQuestion": null,
    "SemanticTypeIri": "urn:effortless:pko-extension#RulebookField",
    "Name": "ProcedureStatusChanges.Motivation",
    "IsDerived": false,
    "IsWitness": false,
    "DisagreeingSubstrateCount": 0,
    "IsSubstrateContested": false
   },
   {
    "RulebookFieldId": "ProcedureStatusChanges.SemanticTypeIri",
    "TargetTable": "ProcedureStatusChanges",
    "FieldName": "SemanticTypeIri",
    "FieldType": "raw",
    "Datatype": "string",
    "Formula": null,
    "InventedForQuestion": null,
    "SemanticTypeIri": "urn:effortless:pko-extension#RulebookField",
    "Name": "ProcedureStatusChanges.SemanticTypeIri",
    "IsDerived": false,
    "IsWitness": false,
    "DisagreeingSubstrateCount": 0,
    "IsSubstrateContested": false
   },
   {
    "RulebookFieldId": "Steps.StepId",
    "TargetTable": "Steps",
    "FieldName": "StepId",
    "FieldType": "raw",
    "Datatype": "string",
    "Formula": null,
    "InventedForQuestion": null,
    "SemanticTypeIri": "urn:effortless:pko-extension#RulebookField",
    "Name": "Steps.StepId",
    "IsDerived": false,
    "IsWitness": false,
    "DisagreeingSubstrateCount": 0,
    "IsSubstrateContested": false
   },
   {
    "RulebookFieldId": "Steps.Name",
    "TargetTable": "Steps",
    "FieldName": "Name",
    "FieldType": "calculated",
    "Datatype": "string",
    "Formula": "={{StepNumber}} &amp; \". \" &amp; {{Title}}",
    "InventedForQuestion": null,
    "SemanticTypeIri": "urn:effortless:pko-extension#RulebookField",
    "Name": "Steps.Name",
    "IsDerived": true,
    "IsWitness": false,
    "DisagreeingSubstrateCount": 0,
    "IsSubstrateContested": false
   },
   {
    "RulebookFieldId": "Steps.ProcedureVersion",
    "TargetTable": "Steps",
    "FieldName": "ProcedureVersion",
    "FieldType": "relationship",
    "Datatype": "string",
    "Formula": null,
    "InventedForQuestion": null,
    "SemanticTypeIri": "urn:effortless:pko-extension#RulebookField",
    "Name": "Steps.ProcedureVersion",
    "IsDerived": false,
    "IsWitness": false,
    "DisagreeingSubstrateCount": 0,
    "IsSubstrateContested": false
   },
   {
    "RulebookFieldId": "Steps.StepNumber",
    "TargetTable": "Steps",
    "FieldName": "StepNumber",
    "FieldType": "raw",
    "Datatype": "string",
    "Formula": null,
    "InventedForQuestion": null,
    "SemanticTypeIri": "urn:effortless:pko-extension#RulebookField",
    "Name": "Steps.StepNumber",
    "IsDerived": false,
    "IsWitness": false,
    "DisagreeingSubstrateCount": 0,
    "IsSubstrateContested": false
   },
   {
    "RulebookFieldId": "Steps.Title",
    "TargetTable": "Steps",
    "FieldName": "Title",
    "FieldType": "raw",
    "Datatype": "string",
    "Formula": null,
    "InventedForQuestion": null,
    "SemanticTypeIri": "urn:effortless:pko-extension#RulebookField",
    "Name": "Steps.Title",
    "IsDerived": false,
    "IsWitness": false,
    "DisagreeingSubstrateCount": 0,
    "IsSubstrateContested": false
   },
   {
    "RulebookFieldId": "Steps.StepKind",
    "TargetTable": "Steps",
    "FieldName": "StepKind",
    "FieldType": "raw",
    "Datatype": "string",
    "Formula": null,
    "InventedForQuestion": null,
    "SemanticTypeIri": "urn:effortless:pko-extension#RulebookField",
    "Name": "Steps.StepKind",
    "IsDerived": false,
    "IsWitness": false,
    "DisagreeingSubstrateCount": 0,
    "IsSubstrateContested": false
   },
   {
    "RulebookFieldId": "Steps.AssignedRole",
    "TargetTable": "Steps",
    "FieldName": "AssignedRole",
    "FieldType": "relationship",
    "Datatype": "string",
    "Formula": null,
    "InventedForQuestion": null,
    "SemanticTypeIri": "urn:effortless:pko-extension#RulebookField",
    "Name": "Steps.AssignedRole",
    "IsDerived": false,
    "IsWitness": false,
    "DisagreeingSubstrateCount": 0,
    "IsSubstrateContested": false
   },
   {
    "RulebookFieldId": "Steps.AssignedRoleLabel",
    "TargetTable": "Steps",
    "FieldName": "AssignedRoleLabel",
    "FieldType": "lookup",
    "Datatype": "string",
    "Formula": "=INDEX(Roles!{{Label}}, MATCH({{AssignedRole}}, Roles!{{RoleId}}, 0))",
    "InventedForQuestion": null,
    "SemanticTypeIri": "urn:effortless:pko-extension#RulebookField",
    "Name": "Steps.AssignedRoleLabel",
    "IsDerived": true,
    "IsWitness": false,
    "DisagreeingSubstrateCount": 0,
    "IsSubstrateContested": false
   },
   {
    "RulebookFieldId": "Steps.AssignedAgentKind",
    "TargetTable": "Steps",
    "FieldName": "AssignedAgentKind",
    "FieldType": "lookup",
    "Datatype": "string",
    "Formula": "=INDEX(Roles!{{CurrentAgentKind}}, MATCH({{AssignedRole}}, Roles!{{RoleId}}, 0))",
    "InventedForQuestion": null,
    "SemanticTypeIri": "urn:effortless:pko-extension#RulebookField",
    "Name": "Steps.AssignedAgentKind",
    "IsDerived": true,
    "IsWitness": false,
    "DisagreeingSubstrateCount": 0,
    "IsSubstrateContested": false
   },
   {
    "RulebookFieldId": "Steps.Instruction",
    "TargetTable": "Steps",
    "FieldName": "Instruction",
    "FieldType": "raw",
    "Datatype": "string",
    "Formula": null,
    "InventedForQuestion": null,
    "SemanticTypeIri": "urn:effortless:pko-extension#RulebookField",
    "Name": "Steps.Instruction",
    "IsDerived": false,
    "IsWitness": false,
    "DisagreeingSubstrateCount": 0,
    "IsSubstrateContested": false
   },
   {
    "RulebookFieldId": "Steps.ExpectedDurationMinutes",
    "TargetTable": "Steps",
    "FieldName": "ExpectedDurationMinutes",
    "FieldType": "raw",
    "Datatype": "integer",
    "Formula": null,
    "InventedForQuestion": null,
    "SemanticTypeIri": "urn:effortless:pko-extension#RulebookField",
    "Name": "Steps.ExpectedDurationMinutes",
    "IsDerived": false,
    "IsWitness": false,
    "DisagreeingSubstrateCount": 0,
    "IsSubstrateContested": false
   },
   {
    "RulebookFieldId": "Steps.ExpertiseLevel",
    "TargetTable": "Steps",
    "FieldName": "ExpertiseLevel",
    "FieldType": "raw",
    "Datatype": "string",
    "Formula": null,
    "InventedForQuestion": null,
    "SemanticTypeIri": "urn:effortless:pko-extension#RulebookField",
    "Name": "Steps.ExpertiseLevel",
    "IsDerived": false,
    "IsWitness": false,
    "DisagreeingSubstrateCount": 0,
    "IsSubstrateContested": false
   },
   {
    "RulebookFieldId": "Steps.RequiresHumanConfirmation",
    "TargetTable": "Steps",
    "FieldName": "RequiresHumanConfirmation",
    "FieldType": "raw",
    "Datatype": "boolean",
    "Formula": null,
    "InventedForQuestion": null,
    "SemanticTypeIri": "urn:effortless:pko-extension#RulebookField",
    "Name": "Steps.RequiresHumanConfirmation",
    "IsDerived": false,
    "IsWitness": false,
    "DisagreeingSubstrateCount": 0,
    "IsSubstrateContested": false
   },
   {
    "RulebookFieldId": "Steps.BlockingRequirementCount",
    "TargetTable": "Steps",
    "FieldName": "BlockingRequirementCount",
    "FieldType": "aggregation",
    "Datatype": "number",
    "Formula": "=COUNTIFS(StepRequirements!{{BlockingStepKey}}, {{StepId}})",
    "InventedForQuestion": "q-analyst-blocking-never-evaluated",
    "SemanticTypeIri": "urn:effortless:pko-extension#RulebookField",
    "Name": "Steps.BlockingRequirementCount",
    "IsDerived": true,
    "IsWitness": true,
    "DisagreeingSubstrateCount": 0,
    "IsSubstrateContested": false
   },
   {
    "RulebookFieldId": "Steps.StaleBindingCount",
    "TargetTable": "Steps",
    "FieldName": "StaleBindingCount",
    "FieldType": "aggregation",
    "Datatype": "number",
    "Formula": "=COUNTIFS(OperationalBindings!{{StaleBindingStepKey}}, {{StepId}})",
    "InventedForQuestion": "q-analyst-evidence-binding-stale",
    "SemanticTypeIri": "urn:effortless:pko-extension#RulebookField",
    "Name": "Steps.StaleBindingCount",
    "IsDerived": true,
    "IsWitness": true,
    "DisagreeingSubstrateCount": 2,
    "IsSubstrateContested": true
   },
   {
    "RulebookFieldId": "Steps.AuthoritativeStaleCount",
    "TargetTable": "Steps",
    "FieldName": "AuthoritativeStaleCount",
    "FieldType": "aggregation",
    "Datatype": "number",
    "Formula": "=COUNTIFS(OperationalBindings!{{AuthoritativeStaleStepKey}}, {{StepId}})",
    "InventedForQuestion": "q-analyst-evidence-binding-stale",
    "SemanticTypeIri": "urn:effortless:pko-extension#RulebookField",
    "Name": "Steps.AuthoritativeStaleCount",
    "IsDerived": true,
    "IsWitness": true,
    "DisagreeingSubstrateCount": 2,
    "IsSubstrateContested": true
   },
   {
    "RulebookFieldId": "Steps.AvailableExceptionCount",
    "TargetTable": "Steps",
    "FieldName": "AvailableExceptionCount",
    "FieldType": "aggregation",
    "Datatype": "number",
    "Formula": "=COUNTIFS(Exceptions!{{ActiveExceptionStepKey}}, {{StepId}})",
    "InventedForQuestion": "q-analyst-my-late-steps-unexplained",
    "SemanticTypeIri": "urn:effortless:pko-extension#RulebookField",
    "Name": "Steps.AvailableExceptionCount",
    "IsDerived": true,
    "IsWitness": true,
    "DisagreeingSubstrateCount": 0,
    "IsSubstrateContested": false
   },
   {
    "RulebookFieldId": "Steps.DeclaredVerificationCount",
    "TargetTable": "Steps",
    "FieldName": "DeclaredVerificationCount",
    "FieldType": "aggregation",
    "Datatype": "number",
    "Formula": "=COUNTIFS(StepVerifications!{{Step}}, {{StepId}})",
    "InventedForQuestion": "q-analyst-verification-declared-never-performed",
    "SemanticTypeIri": "urn:effortless:pko-extension#RulebookField",
    "Name": "Steps.DeclaredVerificationCount",
    "IsDerived": true,
    "IsWitness": true,
    "DisagreeingSubstrateCount": 0,
    "IsSubstrateContested": false
   },
   {
    "RulebookFieldId": "Steps.IsPreparationStep",
    "TargetTable": "Steps",
    "FieldName": "IsPreparationStep",
    "FieldType": "calculated",
    "Datatype": "boolean",
    "Formula": "=OR({{AssignedRole}} = \"finance-analyst\", {{AssignedRole}} = \"variance-review-agent\")",
    "InventedForQuestion": "q-controller-separation-of-duties",
    "SemanticTypeIri": "urn:effortless:pko-extension#RulebookField",
    "Name": "Steps.IsPreparationStep",
    "IsDerived": true,
    "IsWitness": true,
    "DisagreeingSubstrateCount": 0,
    "IsSubstrateContested": false
   },
   {
    "RulebookFieldId": "Steps.IsApprovalStep",
    "TargetTable": "Steps",
    "FieldName": "IsApprovalStep",
    "FieldType": "calculated",
    "Datatype": "boolean",
    "Formula": "=OR({{AssignedRole}} = \"controller\", {{AssignedRole}} = \"cfo\")",
    "InventedForQuestion": "q-controller-separation-of-duties",
    "SemanticTypeIri": "urn:effortless:pko-extension#RulebookField",
    "Name": "Steps.IsApprovalStep",
    "IsDerived": true,
    "IsWitness": true,
    "DisagreeingSubstrateCount": 0,
    "IsSubstrateContested": false
   },
   {
    "RulebookFieldId": "Steps.StaleAuthoritativeBindingCount",
    "TargetTable": "Steps",
    "FieldName": "StaleAuthoritativeBindingCount",
    "FieldType": "aggregation",
    "Datatype": "number",
    "Formula": "=COUNTIFS(OperationalBindings!{{StepWhenStale}}, {{StepId}})",
    "InventedForQuestion": "q-close-auto-input-freshness",
    "SemanticTypeIri": "urn:effortless:pko-extension#RulebookField",
    "Name": "Steps.StaleAuthoritativeBindingCount",
    "IsDerived": true,
    "IsWitness": true,
    "DisagreeingSubstrateCount": 2,
    "IsSubstrateContested": true
   },
   {
    "RulebookFieldId": "Steps.InputsAreFresh",
    "TargetTable": "Steps",
    "FieldName": "InputsAreFresh",
    "FieldType": "calculated",
    "Datatype": "boolean",
    "Formula": "={{StaleAuthoritativeBindingCount}} = 0",
    "InventedForQuestion": "q-close-auto-input-freshness",
    "SemanticTypeIri": "urn:effortless:pko-extension#RulebookField",
    "Name": "Steps.InputsAreFresh",
    "IsDerived": true,
    "IsWitness": true,
    "DisagreeingSubstrateCount": 2,
    "IsSubstrateContested": true
   },
   {
    "RulebookFieldId": "Steps.IsSoftwareAssigned",
    "TargetTable": "Steps",
    "FieldName": "IsSoftwareAssigned",
    "FieldType": "calculated",
    "Datatype": "boolean",
    "Formula": "=OR({{AssignedAgentKind}} = \"AIAgent\", {{AssignedAgentKind}} = \"AutomatedPipeline\")",
    "InventedForQuestion": "q-hr-ai-authored-commitments",
    "SemanticTypeIri": "urn:effortless:pko-extension#RulebookField",
    "Name": "Steps.IsSoftwareAssigned",
    "IsDerived": true,
    "IsWitness": true,
    "DisagreeingSubstrateCount": 0,
    "IsSubstrateContested": false
   },
   {
    "RulebookFieldId": "Steps.IsHumanApprovalGate",
    "TargetTable": "Steps",
    "FieldName": "IsHumanApprovalGate",
    "FieldType": "calculated",
    "Datatype": "boolean",
    "Formula": "=AND(NOT({{IsSoftwareAssigned}}), OR({{StepId}} = \"policy-05\", {{StepId}} = \"close-06\"))",
    "InventedForQuestion": "q-hr-ai-authored-commitments",
    "SemanticTypeIri": "urn:effortless:pko-extension#RulebookField",
    "Name": "Steps.IsHumanApprovalGate",
    "IsDerived": true,
    "IsWitness": true,
    "DisagreeingSubstrateCount": 0,
    "IsSubstrateContested": false
   },
   {
    "RulebookFieldId": "Steps.GateHeldByHuman",
    "TargetTable": "Steps",
    "FieldName": "GateHeldByHuman",
    "FieldType": "calculated",
    "Datatype": "boolean",
    "Formula": "=AND({{IsHumanApprovalGate}}, {{AssignedAgentKind}} = \"Human\")",
    "InventedForQuestion": "q-hr-ai-authored-commitments",
    "SemanticTypeIri": "urn:effortless:pko-extension#RulebookField",
    "Name": "Steps.GateHeldByHuman",
    "IsDerived": true,
    "IsWitness": true,
    "DisagreeingSubstrateCount": 0,
    "IsSubstrateContested": false
   },
   {
    "RulebookFieldId": "Steps.BindingBoundaryCount",
    "TargetTable": "Steps",
    "FieldName": "BindingBoundaryCount",
    "FieldType": "aggregation",
    "Datatype": "number",
    "Formula": "=COUNTIFS(AuthorityBoundaries!{{StepWhenBinding}}, {{StepId}})",
    "InventedForQuestion": "q-variance-ai-boundary-compliance",
    "SemanticTypeIri": "urn:effortless:pko-extension#RulebookField",
    "Name": "Steps.BindingBoundaryCount",
    "IsDerived": true,
    "IsWitness": true,
    "DisagreeingSubstrateCount": 0,
    "IsSubstrateContested": false
   },
   {
    "RulebookFieldId": "Steps.AssignedRoleIsUngoverned",
    "TargetTable": "Steps",
    "FieldName": "AssignedRoleIsUngoverned",
    "FieldType": "lookup",
    "Datatype": "boolean",
    "Formula": "=INDEX(Roles!{{IsUngovernedNonHumanRole}}, MATCH({{AssignedRole}}, Roles!{{RoleId}}, 0))",
    "InventedForQuestion": "q-policy-ai-no-role-assignment",
    "SemanticTypeIri": "urn:effortless:pko-extension#RulebookField",
    "Name": "Steps.AssignedRoleIsUngoverned",
    "IsDerived": true,
    "IsWitness": true,
    "DisagreeingSubstrateCount": 0,
    "IsSubstrateContested": false
   },
   {
    "RulebookFieldId": "Steps.UnusableBindingCount",
    "TargetTable": "Steps",
    "FieldName": "UnusableBindingCount",
    "FieldType": "aggregation",
    "Datatype": "number",
    "Formula": "=COUNTIFS(OperationalBindings!{{StepWhenUnusable}}, {{StepId}})",
    "InventedForQuestion": "q-policy-ai-source-approval",
    "SemanticTypeIri": "urn:effortless:pko-extension#RulebookField",
    "Name": "Steps.UnusableBindingCount",
    "IsDerived": true,
    "IsWitness": true,
    "DisagreeingSubstrateCount": 1,
    "IsSubstrateContested": true
   },
   {
    "RulebookFieldId": "Steps.AllSourcesUsable",
    "TargetTable": "Steps",
    "FieldName": "AllSourcesUsable",
    "FieldType": "calculated",
    "Datatype": "boolean",
    "Formula": "={{UnusableBindingCount}} = 0",
    "InventedForQuestion": "q-policy-ai-source-approval",
    "SemanticTypeIri": "urn:effortless:pko-extension#RulebookField",
    "Name": "Steps.AllSourcesUsable",
    "IsDerived": true,
    "IsWitness": true,
    "DisagreeingSubstrateCount": 1,
    "IsSubstrateContested": true
   },
   {
    "RulebookFieldId": "Steps.ControlKind",
    "TargetTable": "Steps",
    "FieldName": "ControlKind",
    "FieldType": "raw",
    "Datatype": "string",
    "Formula": null,
    "InventedForQuestion": null,
    "SemanticTypeIri": "urn:effortless:pko-extension#RulebookField",
    "Name": "Steps.ControlKind",
    "IsDerived": false,
    "IsWitness": false,
    "DisagreeingSubstrateCount": 0,
    "IsSubstrateContested": false
   },
   {
    "RulebookFieldId": "Steps.UnwarrantedBoundaryCount",
    "TargetTable": "Steps",
    "FieldName": "UnwarrantedBoundaryCount",
    "FieldType": "aggregation",
    "Datatype": "number",
    "Formula": "=COUNTIFS(AuthorityBoundaries!{{UnwarrantedBoundaryStepKey}}, {{StepId}})",
    "InventedForQuestion": "q2-authority-boundary-rests-on-expired-claim",
    "SemanticTypeIri": "urn:effortless:pko-extension#RulebookField",
    "Name": "Steps.UnwarrantedBoundaryCount",
    "IsDerived": true,
    "IsWitness": true,
    "DisagreeingSubstrateCount": 1,
    "IsSubstrateContested": true
   },
   {
    "RulebookFieldId": "Steps.IsGovernedByUnwarrantedBoundary",
    "TargetTable": "Steps",
    "FieldName": "IsGovernedByUnwarrantedBoundary",
    "FieldType": "calculated",
    "Datatype": "boolean",
    "Formula": "={{UnwarrantedBoundaryCount}} &gt; 0",
    "InventedForQuestion": "q2-authority-boundary-rests-on-expired-claim",
    "SemanticTypeIri": "urn:effortless:pko-extension#RulebookField",
    "Name": "Steps.IsGovernedByUnwarrantedBoundary",
    "IsDerived": true,
    "IsWitness": true,
    "DisagreeingSubstrateCount": 1,
    "IsSubstrateContested": true
   },
   {
    "RulebookFieldId": "Steps.SoftwareExecutionCount",
    "TargetTable": "Steps",
    "FieldName": "SoftwareExecutionCount",
    "FieldType": "aggregation",
    "Datatype": "number",
    "Formula": "=COUNTIFS(StepExecutions!{{SoftwareExecutionStepKey}}, {{StepId}})",
    "InventedForQuestion": "q2-hr-ai-boundary-holds-only-where-tested",
    "SemanticTypeIri": "urn:effortless:pko-extension#RulebookField",
    "Name": "Steps.SoftwareExecutionCount",
    "IsDerived": true,
    "IsWitness": true,
    "DisagreeingSubstrateCount": 0,
    "IsSubstrateContested": false
   },
   {
    "RulebookFieldId": "Steps.HasBeenApproachedBySoftware",
    "TargetTable": "Steps",
    "FieldName": "HasBeenApproachedBySoftware",
    "FieldType": "calculated",
    "Datatype": "boolean",
    "Formula": "={{SoftwareExecutionCount}} &gt; 0",
    "InventedForQuestion": "q2-hr-ai-boundary-holds-only-where-tested",
    "SemanticTypeIri": "urn:effortless:pko-extension#RulebookField",
    "Name": "Steps.HasBeenApproachedBySoftware",
    "IsDerived": true,
    "IsWitness": true,
    "DisagreeingSubstrateCount": 0,
    "IsSubstrateContested": false
   },
   {
    "RulebookFieldId": "Steps.IsUnexercisedHumanGate",
    "TargetTable": "Steps",
    "FieldName": "IsUnexercisedHumanGate",
    "FieldType": "calculated",
    "Datatype": "boolean",
    "Formula": "=AND({{IsHumanApprovalGate}}, NOT({{HasBeenApproachedBySoftware}}))",
    "InventedForQuestion": "q2-hr-ai-boundary-holds-only-where-tested",
    "SemanticTypeIri": "urn:effortless:pko-extension#RulebookField",
    "Name": "Steps.IsUnexercisedHumanGate",
    "IsDerived": true,
    "IsWitness": true,
    "DisagreeingSubstrateCount": 0,
    "IsSubstrateContested": false
   },
   {
    "RulebookFieldId": "Steps.IsDemonstratedHumanGate",
    "TargetTable": "Steps",
    "FieldName": "IsDemonstratedHumanGate",
    "FieldType": "calculated",
    "Datatype": "boolean",
    "Formula": "=AND({{IsHumanApprovalGate}}, {{HasBeenApproachedBySoftware}}, {{GateHeldByHuman}})",
    "InventedForQuestion": "q2-hr-ai-boundary-holds-only-where-tested",
    "SemanticTypeIri": "urn:effortless:pko-extension#RulebookField",
    "Name": "Steps.IsDemonstratedHumanGate",
    "IsDerived": true,
    "IsWitness": true,
    "DisagreeingSubstrateCount": 0,
    "IsSubstrateContested": false
   },
   {
    "RulebookFieldId": "Steps.UnexercisedGateVersionKey",
    "TargetTable": "Steps",
    "FieldName": "UnexercisedGateVersionKey",
    "FieldType": "calculated",
    "Datatype": "string",
    "Formula": "=IF({{IsUnexercisedHumanGate}}, {{ProcedureVersion}}, \"\")",
    "InventedForQuestion": "q2-hr-ai-boundary-holds-only-where-tested",
    "SemanticTypeIri": "urn:effortless:pko-extension#RulebookField",
    "Name": "Steps.UnexercisedGateVersionKey",
    "IsDerived": true,
    "IsWitness": true,
    "DisagreeingSubstrateCount": 0,
    "IsSubstrateContested": false
   },
   {
    "RulebookFieldId": "Steps.HasDeclaredControlKind",
    "TargetTable": "Steps",
    "FieldName": "HasDeclaredControlKind",
    "FieldType": "calculated",
    "Datatype": "boolean",
    "Formula": "={{ControlKind}} &lt;&gt; \"\"",
    "InventedForQuestion": "q2-steward-control-kind-instead-of-hardcoded-ids",
    "SemanticTypeIri": "urn:effortless:pko-extension#RulebookField",
    "Name": "Steps.HasDeclaredControlKind",
    "IsDerived": true,
    "IsWitness": true,
    "DisagreeingSubstrateCount": 0,
    "IsSubstrateContested": false
   },
   {
    "RulebookFieldId": "Steps.UndeclaredControlVersionKey",
    "TargetTable": "Steps",
    "FieldName": "UndeclaredControlVersionKey",
    "FieldType": "calculated",
    "Datatype": "string",
    "Formula": "=IF({{HasDeclaredControlKind}}, \"\", {{ProcedureVersion}})",
    "InventedForQuestion": "q2-steward-control-kind-instead-of-hardcoded-ids",
    "SemanticTypeIri": "urn:effortless:pko-extension#RulebookField",
    "Name": "Steps.UndeclaredControlVersionKey",
    "IsDerived": true,
    "IsWitness": true,
    "DisagreeingSubstrateCount": 0,
    "IsSubstrateContested": false
   },
   {
    "RulebookFieldId": "Steps.ApprovalStepIsSoftwareAssigned",
    "TargetTable": "Steps",
    "FieldName": "ApprovalStepIsSoftwareAssigned",
    "FieldType": "calculated",
    "Datatype": "boolean",
    "Formula": "=AND({{ControlKind}} = \"Approval\", {{IsSoftwareAssigned}})",
    "InventedForQuestion": "q2-steward-control-kind-instead-of-hardcoded-ids",
    "SemanticTypeIri": "urn:effortless:pko-extension#RulebookField",
    "Name": "Steps.ApprovalStepIsSoftwareAssigned",
    "IsDerived": true,
    "IsWitness": true,
    "DisagreeingSubstrateCount": 0,
    "IsSubstrateContested": false
   },
   {
    "RulebookFieldId": "Steps.UnwitnessedBlockingCount",
    "TargetTable": "Steps",
    "FieldName": "UnwitnessedBlockingCount",
    "FieldType": "aggregation",
    "Datatype": "number",
    "Formula": "=COUNTIFS(StepRequirements!{{UnwitnessedStepKey}}, {{StepId}})",
    "InventedForQuestion": "q2-fa-witness-coverage-of-my-steps",
    "SemanticTypeIri": "urn:effortless:pko-extension#RulebookField",
    "Name": "Steps.UnwitnessedBlockingCount",
    "IsDerived": true,
    "IsWitness": true,
    "DisagreeingSubstrateCount": 0,
    "IsSubstrateContested": false
   },
   {
    "RulebookFieldId": "Steps.SemanticTypeIri",
    "TargetTable": "Steps",
    "FieldName": "SemanticTypeIri",
    "FieldType": "raw",
    "Datatype": "string",
    "Formula": null,
    "InventedForQuestion": null,
    "SemanticTypeIri": "urn:effortless:pko-extension#RulebookField",
    "Name": "Steps.SemanticTypeIri",
    "IsDerived": false,
    "IsWitness": false,
    "DisagreeingSubstrateCount": 0,
    "IsSubstrateContested": false
   },
   {
    "RulebookFieldId": "StepTransitions.StepTransitionId",
    "TargetTable": "StepTransitions",
    "FieldName": "StepTransitionId",
    "FieldType": "raw",
    "Datatype": "string",
    "Formula": null,
    "InventedForQuestion": null,
    "SemanticTypeIri": "urn:effortless:pko-extension#RulebookField",
    "Name": "StepTransitions.StepTransitionId",
    "IsDerived": false,
    "IsWitness": false,
    "DisagreeingSubstrateCount": 0,
    "IsSubstrateContested": false
   },
   {
    "RulebookFieldId": "StepTransitions.Name",
    "TargetTable": "StepTransitions",
    "FieldName": "Name",
    "FieldType": "calculated",
    "Datatype": "string",
    "Formula": "={{FromStep}} &amp; \" -&gt; \" &amp; {{ToStep}}",
    "InventedForQuestion": null,
    "SemanticTypeIri": "urn:effortless:pko-extension#RulebookField",
    "Name": "StepTransitions.Name",
    "IsDerived": true,
    "IsWitness": false,
    "DisagreeingSubstrateCount": 0,
    "IsSubstrateContested": false
   },
   {
    "RulebookFieldId": "StepTransitions.ProcedureVersion",
    "TargetTable": "StepTransitions",
    "FieldName": "ProcedureVersion",
    "FieldType": "relationship",
    "Datatype": "string",
    "Formula": null,
    "InventedForQuestion": null,
    "SemanticTypeIri": "urn:effortless:pko-extension#RulebookField",
    "Name": "StepTransitions.ProcedureVersion",
    "IsDerived": false,
    "IsWitness": false,
    "DisagreeingSubstrateCount": 0,
    "IsSubstrateContested": false
   },
   {
    "RulebookFieldId": "StepTransitions.FromStep",
    "TargetTable": "StepTransitions",
    "FieldName": "FromStep",
    "FieldType": "relationship",
    "Datatype": "string",
    "Formula": null,
    "InventedForQuestion": null,
    "SemanticTypeIri": "urn:effortless:pko-extension#RulebookField",
    "Name": "StepTransitions.FromStep",
    "IsDerived": false,
    "IsWitness": false,
    "DisagreeingSubstrateCount": 0,
    "IsSubstrateContested": false
   },
   {
    "RulebookFieldId": "StepTransitions.ToStep",
    "TargetTable": "StepTransitions",
    "FieldName": "ToStep",
    "FieldType": "relationship",
    "Datatype": "string",
    "Formula": null,
    "InventedForQuestion": null,
    "SemanticTypeIri": "urn:effortless:pko-extension#RulebookField",
    "Name": "StepTransitions.ToStep",
    "IsDerived": false,
    "IsWitness": false,
    "DisagreeingSubstrateCount": 0,
    "IsSubstrateContested": false
   },
   {
    "RulebookFieldId": "StepTransitions.TransitionKind",
    "TargetTable": "StepTransitions",
    "FieldName": "TransitionKind",
    "FieldType": "raw",
    "Datatype": "string",
    "Formula": null,
    "InventedForQuestion": null,
    "SemanticTypeIri": "urn:effortless:pko-extension#RulebookField",
    "Name": "StepTransitions.TransitionKind",
    "IsDerived": false,
    "IsWitness": false,
    "DisagreeingSubstrateCount": 0,
    "IsSubstrateContested": false
   },
   {
    "RulebookFieldId": "StepTransitions.Condition",
    "TargetTable": "StepTransitions",
    "FieldName": "Condition",
    "FieldType": "raw",
    "Datatype": "string",
    "Formula": null,
    "InventedForQuestion": null,
    "SemanticTypeIri": "urn:effortless:pko-extension#RulebookField",
    "Name": "StepTransitions.Condition",
    "IsDerived": false,
    "IsWitness": false,
    "DisagreeingSubstrateCount": 0,
    "IsSubstrateContested": false
   },
   {
    "RulebookFieldId": "StepTransitions.Priority",
    "TargetTable": "StepTransitions",
    "FieldName": "Priority",
    "FieldType": "raw",
    "Datatype": "integer",
    "Formula": null,
    "InventedForQuestion": null,
    "SemanticTypeIri": "urn:effortless:pko-extension#RulebookField",
    "Name": "StepTransitions.Priority",
    "IsDerived": false,
    "IsWitness": false,
    "DisagreeingSubstrateCount": 0,
    "IsSubstrateContested": false
   },
   {
    "RulebookFieldId": "StepTransitions.IsRecoveryPath",
    "TargetTable": "StepTransitions",
    "FieldName": "IsRecoveryPath",
    "FieldType": "calculated",
    "Datatype": "boolean",
    "Formula": "=OR({{TransitionKind}} = \"Fallback\", {{TransitionKind}} = \"Alternative\")",
    "InventedForQuestion": "q-steward-untested-fallbacks",
    "SemanticTypeIri": "urn:effortless:pko-extension#RulebookField",
    "Name": "StepTransitions.IsRecoveryPath",
    "IsDerived": true,
    "IsWitness": true,
    "DisagreeingSubstrateCount": 0,
    "IsSubstrateContested": false
   },
   {
    "RulebookFieldId": "StepTransitions.CountOfFromStepExecutions",
    "TargetTable": "StepTransitions",
    "FieldName": "CountOfFromStepExecutions",
    "FieldType": "aggregation",
    "Datatype": "integer",
    "Formula": "=COUNTIFS(StepExecutions!{{Step}}, StepTransitions!{{FromStep}})",
    "InventedForQuestion": "q-steward-untested-fallbacks",
    "SemanticTypeIri": "urn:effortless:pko-extension#RulebookField",
    "Name": "StepTransitions.CountOfFromStepExecutions",
    "IsDerived": true,
    "IsWitness": true,
    "DisagreeingSubstrateCount": 1,
    "IsSubstrateContested": true
   },
   {
    "RulebookFieldId": "StepTransitions.CountOfToStepExecutions",
    "TargetTable": "StepTransitions",
    "FieldName": "CountOfToStepExecutions",
    "FieldType": "aggregation",
    "Datatype": "integer",
    "Formula": "=COUNTIFS(StepExecutions!{{Step}}, StepTransitions!{{ToStep}})",
    "InventedForQuestion": "q-steward-untested-fallbacks",
    "SemanticTypeIri": "urn:effortless:pko-extension#RulebookField",
    "Name": "StepTransitions.CountOfToStepExecutions",
    "IsDerived": true,
    "IsWitness": true,
    "DisagreeingSubstrateCount": 1,
    "IsSubstrateContested": true
   },
   {
    "RulebookFieldId": "StepTransitions.HasReachableOrigin",
    "TargetTable": "StepTransitions",
    "FieldName": "HasReachableOrigin",
    "FieldType": "calculated",
    "Datatype": "boolean",
    "Formula": "={{CountOfFromStepExecutions}} &gt; 0",
    "InventedForQuestion": "q-steward-untested-fallbacks",
    "SemanticTypeIri": "urn:effortless:pko-extension#RulebookField",
    "Name": "StepTransitions.HasReachableOrigin",
    "IsDerived": true,
    "IsWitness": true,
    "DisagreeingSubstrateCount": 1,
    "IsSubstrateContested": true
   },
   {
    "RulebookFieldId": "StepTransitions.HasReachableTarget",
    "TargetTable": "StepTransitions",
    "FieldName": "HasReachableTarget",
    "FieldType": "calculated",
    "Datatype": "boolean",
    "Formula": "={{CountOfToStepExecutions}} &gt; 0",
    "InventedForQuestion": "q-steward-untested-fallbacks",
    "SemanticTypeIri": "urn:effortless:pko-extension#RulebookField",
    "Name": "StepTransitions.HasReachableTarget",
    "IsDerived": true,
    "IsWitness": true,
    "DisagreeingSubstrateCount": 1,
    "IsSubstrateContested": true
   },
   {
    "RulebookFieldId": "StepTransitions.IsNeverExercised",
    "TargetTable": "StepTransitions",
    "FieldName": "IsNeverExercised",
    "FieldType": "calculated",
    "Datatype": "boolean",
    "Formula": "=NOT(AND({{HasReachableOrigin}}, {{HasReachableTarget}}))",
    "InventedForQuestion": "q-steward-untested-fallbacks",
    "SemanticTypeIri": "urn:effortless:pko-extension#RulebookField",
    "Name": "StepTransitions.IsNeverExercised",
    "IsDerived": true,
    "IsWitness": true,
    "DisagreeingSubstrateCount": 1,
    "IsSubstrateContested": true
   },
   {
    "RulebookFieldId": "StepTransitions.IsUntestedRecoveryPath",
    "TargetTable": "StepTransitions",
    "FieldName": "IsUntestedRecoveryPath",
    "FieldType": "calculated",
    "Datatype": "boolean",
    "Formula": "=AND({{IsRecoveryPath}}, {{IsNeverExercised}})",
    "InventedForQuestion": "q-steward-untested-fallbacks",
    "SemanticTypeIri": "urn:effortless:pko-extension#RulebookField",
    "Name": "StepTransitions.IsUntestedRecoveryPath",
    "Is</t>
  </si>
  <si>
    <t xml:space="preserve">Derived": true,
    "IsWitness": true,
    "DisagreeingSubstrateCount": 1,
    "IsSubstrateContested": true
   },
   {
    "RulebookFieldId": "StepTransitions.CountOfObservedTraversals",
    "TargetTable": "StepTransitions",
    "FieldName": "CountOfObservedTraversals",
    "FieldType": "aggregation",
    "Datatype": "integer",
    "Formula": "=COUNTIFS(ObservedTransitions!{{StepTransition}}, StepTransitions!{{StepTransitionId}})",
    "InventedForQuestion": "q-steward-untested-fallbacks",
    "SemanticTypeIri": "urn:effortless:pko-extension#RulebookField",
    "Name": "StepTransitions.CountOfObservedTraversals",
    "IsDerived": true,
    "IsWitness": true,
    "DisagreeingSubstrateCount": 0,
    "IsSubstrateContested": false
   },
   {
    "RulebookFieldId": "StepTransitions.HasBeenTraversed",
    "TargetTable": "StepTransitions",
    "FieldName": "HasBeenTraversed",
    "FieldType": "calculated",
    "Datatype": "boolean",
    "Formula": "={{CountOfObservedTraversals}} &gt; 0",
    "InventedForQuestion": "q-steward-untested-fallbacks",
    "SemanticTypeIri": "urn:effortless:pko-extension#RulebookField",
    "Name": "StepTransitions.HasBeenTraversed",
    "IsDerived": true,
    "IsWitness": true,
    "DisagreeingSubstrateCount": 0,
    "IsSubstrateContested": false
   },
   {
    "RulebookFieldId": "StepTransitions.IsUnwalkedRecoveryPath",
    "TargetTable": "StepTransitions",
    "FieldName": "IsUnwalkedRecoveryPath",
    "FieldType": "calculated",
    "Datatype": "boolean",
    "Formula": "=AND({{IsRecoveryPath}}, NOT({{HasBeenTraversed}}))",
    "InventedForQuestion": "q-steward-untested-fallbacks",
    "SemanticTypeIri": "urn:effortless:pko-extension#RulebookField",
    "Name": "StepTransitions.IsUnwalkedRecoveryPath",
    "IsDerived": true,
    "IsWitness": true,
    "DisagreeingSubstrateCount": 0,
    "IsSubstrateContested": false
   },
   {
    "RulebookFieldId": "StepTransitions.TargetBlockingRequirementCount",
    "TargetTable": "StepTransitions",
    "FieldName": "TargetBlockingRequirementCount",
    "FieldType": "lookup",
    "Datatype": "number",
    "Formula": "=INDEX(Steps!{{BlockingRequirementCount}}, MATCH({{ToStep}}, Steps!{{StepId}}, 0))",
    "InventedForQuestion": "q2-steward-recovery-path-is-load-bearing",
    "SemanticTypeIri": "urn:effortless:pko-extension#RulebookField",
    "Name": "StepTransitions.TargetBlockingRequirementCount",
    "IsDerived": true,
    "IsWitness": true,
    "DisagreeingSubstrateCount": 0,
    "IsSubstrateContested": false
   },
   {
    "RulebookFieldId": "StepTransitions.TargetCarriesBlockingControl",
    "TargetTable": "StepTransitions",
    "FieldName": "TargetCarriesBlockingControl",
    "FieldType": "calculated",
    "Datatype": "boolean",
    "Formula": "={{TargetBlockingRequirementCount}} &gt; 0",
    "InventedForQuestion": "q2-steward-recovery-path-is-load-bearing",
    "SemanticTypeIri": "urn:effortless:pko-extension#RulebookField",
    "Name": "StepTransitions.TargetCarriesBlockingControl",
    "IsDerived": true,
    "IsWitness": true,
    "DisagreeingSubstrateCount": 0,
    "IsSubstrateContested": false
   },
   {
    "RulebookFieldId": "StepTransitions.IsUnrehearsedControlEntry",
    "TargetTable": "StepTransitions",
    "FieldName": "IsUnrehearsedControlEntry",
    "FieldType": "calculated",
    "Datatype": "boolean",
    "Formula": "=AND({{IsUnwalkedRecoveryPath}}, {{TargetCarriesBlockingControl}})",
    "InventedForQuestion": "q2-steward-recovery-path-is-load-bearing",
    "SemanticTypeIri": "urn:effortless:pko-extension#RulebookField",
    "Name": "StepTransitions.IsUnrehearsedControlEntry",
    "IsDerived": true,
    "IsWitness": true,
    "DisagreeingSubstrateCount": 0,
    "IsSubstrateContested": false
   },
   {
    "RulebookFieldId": "StepTransitions.UnrehearsedControlVersionKey",
    "TargetTable": "StepTransitions",
    "FieldName": "UnrehearsedControlVersionKey",
    "FieldType": "calculated",
    "Datatype": "string",
    "Formula": "=IF({{IsUnrehearsedControlEntry}}, {{ProcedureVersion}}, \"\")",
    "InventedForQuestion": "q2-steward-recovery-path-is-load-bearing",
    "SemanticTypeIri": "urn:effortless:pko-extension#RulebookField",
    "Name": "StepTransitions.UnrehearsedControlVersionKey",
    "IsDerived": true,
    "IsWitness": true,
    "DisagreeingSubstrateCount": 0,
    "IsSubstrateContested": false
   },
   {
    "RulebookFieldId": "StepTransitions.SemanticTypeIri",
    "TargetTable": "StepTransitions",
    "FieldName": "SemanticTypeIri",
    "FieldType": "raw",
    "Datatype": "string",
    "Formula": null,
    "InventedForQuestion": null,
    "SemanticTypeIri": "urn:effortless:pko-extension#RulebookField",
    "Name": "StepTransitions.SemanticTypeIri",
    "IsDerived": false,
    "IsWitness": false,
    "DisagreeingSubstrateCount": 0,
    "IsSubstrateContested": false
   },
   {
    "RulebookFieldId": "Actions.ActionId",
    "TargetTable": "Actions",
    "FieldName": "ActionId",
    "FieldType": "raw",
    "Datatype": "string",
    "Formula": null,
    "InventedForQuestion": null,
    "SemanticTypeIri": "urn:effortless:pko-extension#RulebookField",
    "Name": "Actions.ActionId",
    "IsDerived": false,
    "IsWitness": false,
    "DisagreeingSubstrateCount": 0,
    "IsSubstrateContested": false
   },
   {
    "RulebookFieldId": "Actions.Name",
    "TargetTable": "Actions",
    "FieldName": "Name",
    "FieldType": "calculated",
    "Datatype": "string",
    "Formula": "={{Label}}",
    "InventedForQuestion": null,
    "SemanticTypeIri": "urn:effortless:pko-extension#RulebookField",
    "Name": "Actions.Name",
    "IsDerived": true,
    "IsWitness": false,
    "DisagreeingSubstrateCount": 0,
    "IsSubstrateContested": false
   },
   {
    "RulebookFieldId": "Actions.Label",
    "TargetTable": "Actions",
    "FieldName": "Label",
    "FieldType": "raw",
    "Datatype": "string",
    "Formula": null,
    "InventedForQuestion": null,
    "SemanticTypeIri": "urn:effortless:pko-extension#RulebookField",
    "Name": "Actions.Label",
    "IsDerived": false,
    "IsWitness": false,
    "DisagreeingSubstrateCount": 0,
    "IsSubstrateContested": false
   },
   {
    "RulebookFieldId": "Actions.Definition",
    "TargetTable": "Actions",
    "FieldName": "Definition",
    "FieldType": "raw",
    "Datatype": "string",
    "Formula": null,
    "InventedForQuestion": null,
    "SemanticTypeIri": "urn:effortless:pko-extension#RulebookField",
    "Name": "Actions.Definition",
    "IsDerived": false,
    "IsWitness": false,
    "DisagreeingSubstrateCount": 0,
    "IsSubstrateContested": false
   },
   {
    "RulebookFieldId": "Actions.SemanticTypeIri",
    "TargetTable": "Actions",
    "FieldName": "SemanticTypeIri",
    "FieldType": "raw",
    "Datatype": "string",
    "Formula": null,
    "InventedForQuestion": null,
    "SemanticTypeIri": "urn:effortless:pko-extension#RulebookField",
    "Name": "Actions.SemanticTypeIri",
    "IsDerived": false,
    "IsWitness": false,
    "DisagreeingSubstrateCount": 0,
    "IsSubstrateContested": false
   },
   {
    "RulebookFieldId": "Functions.FunctionId",
    "TargetTable": "Functions",
    "FieldName": "FunctionId",
    "FieldType": "raw",
    "Datatype": "string",
    "Formula": null,
    "InventedForQuestion": null,
    "SemanticTypeIri": "urn:effortless:pko-extension#RulebookField",
    "Name": "Functions.FunctionId",
    "IsDerived": false,
    "IsWitness": false,
    "DisagreeingSubstrateCount": 0,
    "IsSubstrateContested": false
   },
   {
    "RulebookFieldId": "Functions.Name",
    "TargetTable": "Functions",
    "FieldName": "Name",
    "FieldType": "calculated",
    "Datatype": "string",
    "Formula": "={{Label}}",
    "InventedForQuestion": null,
    "SemanticTypeIri": "urn:effortless:pko-extension#RulebookField",
    "Name": "Functions.Name",
    "IsDerived": true,
    "IsWitness": false,
    "DisagreeingSubstrateCount": 0,
    "IsSubstrateContested": false
   },
   {
    "RulebookFieldId": "Functions.Label",
    "TargetTable": "Functions",
    "FieldName": "Label",
    "FieldType": "raw",
    "Datatype": "string",
    "Formula": null,
    "InventedForQuestion": null,
    "SemanticTypeIri": "urn:effortless:pko-extension#RulebookField",
    "Name": "Functions.Label",
    "IsDerived": false,
    "IsWitness": false,
    "DisagreeingSubstrateCount": 0,
    "IsSubstrateContested": false
   },
   {
    "RulebookFieldId": "Functions.Definition",
    "TargetTable": "Functions",
    "FieldName": "Definition",
    "FieldType": "raw",
    "Datatype": "string",
    "Formula": null,
    "InventedForQuestion": null,
    "SemanticTypeIri": "urn:effortless:pko-extension#RulebookField",
    "Name": "Functions.Definition",
    "IsDerived": false,
    "IsWitness": false,
    "DisagreeingSubstrateCount": 0,
    "IsSubstrateContested": false
   },
   {
    "RulebookFieldId": "Functions.ImplementationKey",
    "TargetTable": "Functions",
    "FieldName": "ImplementationKey",
    "FieldType": "raw",
    "Datatype": "string",
    "Formula": null,
    "InventedForQuestion": null,
    "SemanticTypeIri": "urn:effortless:pko-extension#RulebookField",
    "Name": "Functions.ImplementationKey",
    "IsDerived": false,
    "IsWitness": false,
    "DisagreeingSubstrateCount": 0,
    "IsSubstrateContested": false
   },
   {
    "RulebookFieldId": "Functions.SemanticTypeIri",
    "TargetTable": "Functions",
    "FieldName": "SemanticTypeIri",
    "FieldType": "raw",
    "Datatype": "string",
    "Formula": null,
    "InventedForQuestion": null,
    "SemanticTypeIri": "urn:effortless:pko-extension#RulebookField",
    "Name": "Functions.SemanticTypeIri",
    "IsDerived": false,
    "IsWitness": false,
    "DisagreeingSubstrateCount": 0,
    "IsSubstrateContested": false
   },
   {
    "RulebookFieldId": "Tools.ToolId",
    "TargetTable": "Tools",
    "FieldName": "ToolId",
    "FieldType": "raw",
    "Datatype": "string",
    "Formula": null,
    "InventedForQuestion": null,
    "SemanticTypeIri": "urn:effortless:pko-extension#RulebookField",
    "Name": "Tools.ToolId",
    "IsDerived": false,
    "IsWitness": false,
    "DisagreeingSubstrateCount": 0,
    "IsSubstrateContested": false
   },
   {
    "RulebookFieldId": "Tools.Name",
    "TargetTable": "Tools",
    "FieldName": "Name",
    "FieldType": "calculated",
    "Datatype": "string",
    "Formula": "={{Label}}",
    "InventedForQuestion": null,
    "SemanticTypeIri": "urn:effortless:pko-extension#RulebookField",
    "Name": "Tools.Name",
    "IsDerived": true,
    "IsWitness": false,
    "DisagreeingSubstrateCount": 0,
    "IsSubstrateContested": false
   },
   {
    "RulebookFieldId": "Tools.Label",
    "TargetTable": "Tools",
    "FieldName": "Label",
    "FieldType": "raw",
    "Datatype": "string",
    "Formula": null,
    "InventedForQuestion": null,
    "SemanticTypeIri": "urn:effortless:pko-extension#RulebookField",
    "Name": "Tools.Label",
    "IsDerived": false,
    "IsWitness": false,
    "DisagreeingSubstrateCount": 0,
    "IsSubstrateContested": false
   },
   {
    "RulebookFieldId": "Tools.Purpose",
    "TargetTable": "Tools",
    "FieldName": "Purpose",
    "FieldType": "raw",
    "Datatype": "string",
    "Formula": null,
    "InventedForQuestion": null,
    "SemanticTypeIri": "urn:effortless:pko-extension#RulebookField",
    "Name": "Tools.Purpose",
    "IsDerived": false,
    "IsWitness": false,
    "DisagreeingSubstrateCount": 0,
    "IsSubstrateContested": false
   },
   {
    "RulebookFieldId": "Tools.SemanticTypeIri",
    "TargetTable": "Tools",
    "FieldName": "SemanticTypeIri",
    "FieldType": "raw",
    "Datatype": "string",
    "Formula": null,
    "InventedForQuestion": null,
    "SemanticTypeIri": "urn:effortless:pko-extension#RulebookField",
    "Name": "Tools.SemanticTypeIri",
    "IsDerived": false,
    "IsWitness": false,
    "DisagreeingSubstrateCount": 0,
    "IsSubstrateContested": false
   },
   {
    "RulebookFieldId": "StepActions.StepActionId",
    "TargetTable": "StepActions",
    "FieldName": "StepActionId",
    "FieldType": "raw",
    "Datatype": "string",
    "Formula": null,
    "InventedForQuestion": null,
    "SemanticTypeIri": "urn:effortless:pko-extension#RulebookField",
    "Name": "StepActions.StepActionId",
    "IsDerived": false,
    "IsWitness": false,
    "DisagreeingSubstrateCount": 0,
    "IsSubstrateContested": false
   },
   {
    "RulebookFieldId": "StepActions.Name",
    "TargetTable": "StepActions",
    "FieldName": "Name",
    "FieldType": "calculated",
    "Datatype": "string",
    "Formula": "={{Step}} &amp; \" / \" &amp; {{Action}}",
    "InventedForQuestion": null,
    "SemanticTypeIri": "urn:effortless:pko-extension#RulebookField",
    "Name": "StepActions.Name",
    "IsDerived": true,
    "IsWitness": false,
    "DisagreeingSubstrateCount": 0,
    "IsSubstrateContested": false
   },
   {
    "RulebookFieldId": "StepActions.Step",
    "TargetTable": "StepActions",
    "FieldName": "Step",
    "FieldType": "relationship",
    "Datatype": "string",
    "Formula": null,
    "InventedForQuestion": null,
    "SemanticTypeIri": "urn:effortless:pko-extension#RulebookField",
    "Name": "StepActions.Step",
    "IsDerived": false,
    "IsWitness": false,
    "DisagreeingSubstrateCount": 0,
    "IsSubstrateContested": false
   },
   {
    "RulebookFieldId": "StepActions.Action",
    "TargetTable": "StepActions",
    "FieldName": "Action",
    "FieldType": "relationship",
    "Datatype": "string",
    "Formula": null,
    "InventedForQuestion": null,
    "SemanticTypeIri": "urn:effortless:pko-extension#RulebookField",
    "Name": "StepActions.Action",
    "IsDerived": false,
    "IsWitness": false,
    "DisagreeingSubstrateCount": 0,
    "IsSubstrateContested": false
   },
   {
    "RulebookFieldId": "StepFunctions.StepFunctionId",
    "TargetTable": "StepFunctions",
    "FieldName": "StepFunctionId",
    "FieldType": "raw",
    "Datatype": "string",
    "Formula": null,
    "InventedForQuestion": null,
    "SemanticTypeIri": "urn:effortless:pko-extension#RulebookField",
    "Name": "StepFunctions.StepFunctionId",
    "IsDerived": false,
    "IsWitness": false,
    "DisagreeingSubstrateCount": 0,
    "IsSubstrateContested": false
   },
   {
    "RulebookFieldId": "StepFunctions.Name",
    "TargetTable": "StepFunctions",
    "FieldName": "Name",
    "FieldType": "calculated",
    "Datatype": "string",
    "Formula": "={{Step}} &amp; \" / \" &amp; {{Function}}",
    "InventedForQuestion": null,
    "SemanticTypeIri": "urn:effortless:pko-extension#RulebookField",
    "Name": "StepFunctions.Name",
    "IsDerived": true,
    "IsWitness": false,
    "DisagreeingSubstrateCount": 0,
    "IsSubstrateContested": false
   },
   {
    "RulebookFieldId": "StepFunctions.Step",
    "TargetTable": "StepFunctions",
    "FieldName": "Step",
    "FieldType": "relationship",
    "Datatype": "string",
    "Formula": null,
    "InventedForQuestion": null,
    "SemanticTypeIri": "urn:effortless:pko-extension#RulebookField",
    "Name": "StepFunctions.Step",
    "IsDerived": false,
    "IsWitness": false,
    "DisagreeingSubstrateCount": 0,
    "IsSubstrateContested": false
   },
   {
    "RulebookFieldId": "StepFunctions.Function",
    "TargetTable": "StepFunctions",
    "FieldName": "Function",
    "FieldType": "relationship",
    "Datatype": "string",
    "Formula": null,
    "InventedForQuestion": null,
    "SemanticTypeIri": "urn:effortless:pko-extension#RulebookField",
    "Name": "StepFunctions.Function",
    "IsDerived": false,
    "IsWitness": false,
    "DisagreeingSubstrateCount": 0,
    "IsSubstrateContested": false
   },
   {
    "RulebookFieldId": "StepTools.StepToolId",
    "TargetTable": "StepTools",
    "FieldName": "StepToolId",
    "FieldType": "raw",
    "Datatype": "string",
    "Formula": null,
    "InventedForQuestion": null,
    "SemanticTypeIri": "urn:effortless:pko-extension#RulebookField",
    "Name": "StepTools.StepToolId",
    "IsDerived": false,
    "IsWitness": false,
    "DisagreeingSubstrateCount": 0,
    "IsSubstrateContested": false
   },
   {
    "RulebookFieldId": "StepTools.Name",
    "TargetTable": "StepTools",
    "FieldName": "Name",
    "FieldType": "calculated",
    "Datatype": "string",
    "Formula": "={{Step}} &amp; \" / \" &amp; {{Tool}}",
    "InventedForQuestion": null,
    "SemanticTypeIri": "urn:effortless:pko-extension#RulebookField",
    "Name": "StepTools.Name",
    "IsDerived": true,
    "IsWitness": false,
    "DisagreeingSubstrateCount": 0,
    "IsSubstrateContested": false
   },
   {
    "RulebookFieldId": "StepTools.Step",
    "TargetTable": "StepTools",
    "FieldName": "Step",
    "FieldType": "relationship",
    "Datatype": "string",
    "Formula": null,
    "InventedForQuestion": null,
    "SemanticTypeIri": "urn:effortless:pko-extension#RulebookField",
    "Name": "StepTools.Step",
    "IsDerived": false,
    "IsWitness": false,
    "DisagreeingSubstrateCount": 0,
    "IsSubstrateContested": false
   },
   {
    "RulebookFieldId": "StepTools.Tool",
    "TargetTable": "StepTools",
    "FieldName": "Tool",
    "FieldType": "relationship",
    "Datatype": "string",
    "Formula": null,
    "InventedForQuestion": null,
    "SemanticTypeIri": "urn:effortless:pko-extension#RulebookField",
    "Name": "StepTools.Tool",
    "IsDerived": false,
    "IsWitness": false,
    "DisagreeingSubstrateCount": 0,
    "IsSubstrateContested": false
   },
   {
    "RulebookFieldId": "Requirements.RequirementId",
    "TargetTable": "Requirements",
    "FieldName": "RequirementId",
    "FieldType": "raw",
    "Datatype": "string",
    "Formula": null,
    "InventedForQuestion": null,
    "SemanticTypeIri": "urn:effortless:pko-extension#RulebookField",
    "Name": "Requirements.RequirementId",
    "IsDerived": false,
    "IsWitness": false,
    "DisagreeingSubstrateCount": 0,
    "IsSubstrateContested": false
   },
   {
    "RulebookFieldId": "Requirements.Name",
    "TargetTable": "Requirements",
    "FieldName": "Name",
    "FieldType": "calculated",
    "Datatype": "string",
    "Formula": "={{Label}}",
    "InventedForQuestion": null,
    "SemanticTypeIri": "urn:effortless:pko-extension#RulebookField",
    "Name": "Requirements.Name",
    "IsDerived": true,
    "IsWitness": false,
    "DisagreeingSubstrateCount": 0,
    "IsSubstrateContested": false
   },
   {
    "RulebookFieldId": "Requirements.Label",
    "TargetTable": "Requirements",
    "FieldName": "Label",
    "FieldType": "raw",
    "Datatype": "string",
    "Formula": null,
    "InventedForQuestion": null,
    "SemanticTypeIri": "urn:effortless:pko-extension#RulebookField",
    "Name": "Requirements.Label",
    "IsDerived": false,
    "IsWitness": false,
    "DisagreeingSubstrateCount": 0,
    "IsSubstrateContested": false
   },
   {
    "RulebookFieldId": "Requirements.RequirementType",
    "TargetTable": "Requirements",
    "FieldName": "RequirementType",
    "FieldType": "raw",
    "Datatype": "string",
    "Formula": null,
    "InventedForQuestion": null,
    "SemanticTypeIri": "urn:effortless:pko-extension#RulebookField",
    "Name": "Requirements.RequirementType",
    "IsDerived": false,
    "IsWitness": false,
    "DisagreeingSubstrateCount": 0,
    "IsSubstrateContested": false
   },
   {
    "RulebookFieldId": "Requirements.Statement",
    "TargetTable": "Requirements",
    "FieldName": "Statement",
    "FieldType": "raw",
    "Datatype": "string",
    "Formula": null,
    "InventedForQuestion": null,
    "SemanticTypeIri": "urn:effortless:pko-extension#RulebookField",
    "Name": "Requirements.Statement",
    "IsDerived": false,
    "IsWitness": false,
    "DisagreeingSubstrateCount": 0,
    "IsSubstrateContested": false
   },
   {
    "RulebookFieldId": "Requirements.Rationale",
    "TargetTable": "Requirements",
    "FieldName": "Rationale",
    "FieldType": "raw",
    "Datatype": "string",
    "Formula": null,
    "InventedForQuestion": null,
    "SemanticTypeIri": "urn:effortless:pko-extension#RulebookField",
    "Name": "Requirements.Rationale",
    "IsDerived": false,
    "IsWitness": false,
    "DisagreeingSubstrateCount": 0,
    "IsSubstrateContested": false
   },
   {
    "RulebookFieldId": "Requirements.IsBlocking",
    "TargetTable": "Requirements",
    "FieldName": "IsBlocking",
    "FieldType": "raw",
    "Datatype": "boolean",
    "Formula": null,
    "InventedForQuestion": null,
    "SemanticTypeIri": "urn:effortless:pko-extension#RulebookField",
    "Name": "Requirements.IsBlocking",
    "IsDerived": false,
    "IsWitness": false,
    "DisagreeingSubstrateCount": 0,
    "IsSubstrateContested": false
   },
   {
    "RulebookFieldId": "Requirements.SatisfactionRecordCount",
    "TargetTable": "Requirements",
    "FieldName": "SatisfactionRecordCount",
    "FieldType": "aggregation",
    "Datatype": "number",
    "Formula": "=COUNTIFS(RequirementSatisfactions!{{Requirement}}, {{RequirementId}})",
    "InventedForQuestion": "q-controller-blocking-control-inoperative",
    "SemanticTypeIri": "urn:effortless:pko-extension#RulebookField",
    "Name": "Requirements.SatisfactionRecordCount",
    "IsDerived": true,
    "IsWitness": true,
    "DisagreeingSubstrateCount": 0,
    "IsSubstrateContested": false
   },
   {
    "RulebookFieldId": "Requirements.StepBindingCount",
    "TargetTable": "Requirements",
    "FieldName": "StepBindingCount",
    "FieldType": "aggregation",
    "Datatype": "number",
    "Formula": "=COUNTIFS(StepRequirements!{{Requirement}}, {{RequirementId}})",
    "InventedForQuestion": "q-controller-blocking-control-inoperative",
    "SemanticTypeIri": "urn:effortless:pko-extension#RulebookField",
    "Name": "Requirements.StepBindingCount",
    "IsDerived": true,
    "IsWitness": true,
    "DisagreeingSubstrateCount": 0,
    "IsSubstrateContested": false
   },
   {
    "RulebookFieldId": "Requirements.IsBoundToAnyStep",
    "TargetTable": "Requirements",
    "FieldName": "IsBoundToAnyStep",
    "FieldType": "calculated",
    "Datatype": "boolean",
    "Formula": "={{StepBindingCount}} &gt; 0",
    "InventedForQuestion": "q-controller-blocking-control-inoperative",
    "SemanticTypeIri": "urn:effortless:pko-extension#RulebookField",
    "Name": "Requirements.IsBoundToAnyStep",
    "IsDerived": true,
    "IsWitness": true,
    "DisagreeingSubstrateCount": 0,
    "IsSubstrateContested": false
   },
   {
    "RulebookFieldId": "Requirements.HasEverBeenEvaluated",
    "TargetTable": "Requirements",
    "FieldName": "HasEverBeenEvaluated",
    "FieldType": "calculated",
    "Datatype": "boolean",
    "Formula": "={{SatisfactionRecordCount}} &gt; 0",
    "InventedForQuestion": "q-controller-blocking-control-inoperative",
    "SemanticTypeIri": "urn:effortless:pko-extension#RulebookField",
    "Name": "Requirements.HasEverBeenEvaluated",
    "IsDerived": true,
    "IsWitness": true,
    "DisagreeingSubstrateCount": 0,
    "IsSubstrateContested": false
   },
   {
    "RulebookFieldId": "Requirements.NegativeOutcomeCount",
    "TargetTable": "Requirements",
    "FieldName": "NegativeOutcomeCount",
    "FieldType": "aggregation",
    "Datatype": "number",
    "Formula": "=COUNTIFS(RequirementSatisfactions!{{NegativeOutcomeRequirementKey}}, {{RequirementId}})",
    "InventedForQuestion": "q-controller-blocking-control-inoperative",
    "SemanticTypeIri": "urn:effortless:pko-extension#RulebookField",
    "Name": "Requirements.NegativeOutcomeCount",
    "IsDerived": true,
    "IsWitness": true,
    "DisagreeingSubstrateCount": 0,
    "IsSubstrateContested": false
   },
   {
    "RulebookFieldId": "Requirements.IsInoperativeControl",
    "TargetTable": "Requirements",
    "FieldName": "IsInoperativeControl",
    "FieldType": "calculated",
    "Datatype": "boolean",
    "Formula": "=AND({{IsBlocking}}, {{IsBoundToAnyStep}}, NOT({{HasEverBeenEvaluated}}))",
    "InventedForQuestion": "q-controller-blocking-control-inoperative",
    "SemanticTypeIri": "urn:effortless:pko-extension#RulebookField",
    "Name": "Requirements.IsInoperativeControl",
    "IsDerived": true,
    "IsWitness": true,
    "DisagreeingSubstrateCount": 0,
    "IsSubstrateContested": false
   },
   {
    "RulebookFieldId": "Requirements.IsDecorativeControl",
    "TargetTable": "Requirements",
    "FieldName": "IsDecorativeControl",
    "FieldType": "calculated",
    "Datatype": "boolean",
    "Formula": "=AND({{IsBlocking}}, NOT({{IsBoundToAnyStep}}))",
    "InventedForQuestion": "q-controller-blocking-control-inoperative",
    "SemanticTypeIri": "urn:effortless:pko-extension#RulebookField",
    "Name": "Requirements.IsDecorativeControl",
    "IsDerived": true,
    "IsWitness": true,
    "DisagreeingSubstrateCount": 0,
    "IsSubstrateContested": false
   },
   {
    "RulebookFieldId": "Requirements.HasComputedWitness",
    "TargetTable": "Requirements",
    "FieldName": "HasComputedWitness",
    "FieldType": "raw",
    "Datatype": "boolean",
    "Formula": null,
    "InventedForQuestion": "q-cfo-am-i-being-told-everything",
    "SemanticTypeIri": "urn:effortless:pko-extension#RulebookField",
    "Name": "Requirements.HasComputedWitness",
    "IsDerived": false,
    "IsWitness": true,
    "DisagreeingSubstrateCount": 0,
    "IsSubstrateContested": false
   },
   {
    "RulebookFieldId": "Requirements.WitnessFieldName",
    "TargetTable": "Requirements",
    "FieldName": "WitnessFieldName",
    "FieldType": "raw",
    "Datatype": "string",
    "Formula": null,
    "InventedForQuestion": "q-cfo-am-i-being-told-everything",
    "SemanticTypeIri": "urn:effortless:pko-extension#RulebookField",
    "Name": "Requirements.WitnessFieldName",
    "IsDerived": false,
    "IsWitness": true,
    "DisagreeingSubstrateCount": 0,
    "IsSubstrateContested": false
   },
   {
    "RulebookFieldId": "Requirements.HasEverProducedNegative",
    "TargetTable": "Requirements",
    "FieldName": "HasEverProducedNegative",
    "FieldType": "calculated",
    "Datatype": "boolean",
    "Formula": "={{NegativeOutcomeCount}} &gt; 0",
    "InventedForQuestion": "q2-fa-cleared-by-mute-control",
    "SemanticTypeIri": "urn:effortless:pko-extension#RulebookField",
    "Name": "Requirements.HasEverProducedNegative",
    "IsDerived": true,
    "IsWitness": true,
    "DisagreeingSubstrateCount": 0,
    "IsSubstrateContested": false
   },
   {
    "RulebookFieldId": "Requirements.IsUnfalsifiedControl",
    "TargetTable": "Requirements",
    "FieldName": "IsUnfalsifiedControl",
    "FieldType": "calculated",
    "Datatype": "boolean",
    "Formula": "=AND({{IsBlocking}}, {{HasEverBeenEvaluated}}, NOT({{HasEverProducedNegative}}))",
    "InventedForQuestion": "q2-fa-cleared-by-mute-control",
    "SemanticTypeIri": "urn:effortless:pko-extension#RulebookField",
    "Name": "Requirements.IsUnfalsifiedControl",
    "IsDerived": true,
    "IsWitness": true,
    "DisagreeingSubstrateCount": 0,
    "IsSubstrateContested": false
   },
   {
    "RulebookFieldId": "Requirements.ClaimsAWitnessField",
    "TargetTable": "Requirements",
    "FieldName": "ClaimsAWitnessField",
    "FieldType": "calculated",
    "Datatype": "boolean",
    "Formula": "={{WitnessFieldName}} &lt;&gt; \"\"",
    "InventedForQuestion": "q2-fa-witness-coverage-of-my-steps",
    "SemanticTypeIri": "urn:effortless:pko-extension#RulebookField",
    "Name": "Requirements.ClaimsAWitnessField",
    "IsDerived": true,
    "IsWitness": true,
    "DisagreeingSubstrateCount": 0,
    "IsSubstrateContested": false
   },
   {
    "RulebookFieldId": "Requirements.NamedWitnessFieldExists",
    "TargetTable": "Requirements",
    "FieldName": "NamedWitnessFieldExists",
    "FieldType": "lookup",
    "Datatype": "boolean",
    "Formula": "=INDEX(RulebookFields!{{IsDerived}}, MATCH({{WitnessFieldName}}, RulebookFields!{{RulebookFieldId}}, 0))",
    "InventedForQuestion": "q2-fa-witness-coverage-of-my-steps",
    "SemanticTypeIri": "urn:effortless:pko-extension#RulebookField",
    "Name": "Requirements.NamedWitnessFieldExists",
    "IsDerived": true,
    "IsWitness": true,
    "DisagreeingSubstrateCount": 1,
    "IsSubstrateContested": true
   },
   {
    "RulebookFieldId": "Requirements.DerivedHasComputedWitness",
    "TargetTable": "Requirements",
    "FieldName": "DerivedHasComputedWitness",
    "FieldType": "calculated",
    "Datatype": "boolean",
    "Formula": "=AND({{ClaimsAWitnessField}}, {{NamedWitnessFieldExists}})",
    "InventedForQuestion": "q2-fa-witness-coverage-of-my-steps",
    "SemanticTypeIri": "urn:effortless:pko-extension#RulebookField",
    "Name": "Requirements.DerivedHasComputedWitness",
    "IsDerived": true,
    "IsWitness": true,
    "DisagreeingSubstrateCount": 0,
    "IsSubstrateContested": false
   },
   {
    "RulebookFieldId": "Requirements.WitnessClaimIsUnverified",
    "TargetTable": "Requirements",
    "FieldName": "WitnessClaimIsUnverified",
    "FieldType": "calculated",
    "Datatype": "boolean",
    "Formula": "=NOT({{HasComputedWitness}} = {{DerivedHasComputedWitness}})",
    "InventedForQuestion": "q2-fa-witness-coverage-of-my-steps",
    "SemanticTypeIri": "urn:effortless:pko-extension#RulebookField",
    "Name": "Requirements.WitnessClaimIsUnverified",
    "IsDerived": true,
    "IsWitness": true,
    "DisagreeingSubstrateCount": 0,
    "IsSubstrateContested": false
   },
   {
    "RulebookFieldId": "Requirements.IsUnwitnessedBlockingControl",
    "TargetTable": "Requirements",
    "FieldName": "IsUnwitnessedBlockingControl",
    "FieldType": "calculated",
    "Datatype": "boolean",
    "Formula": "=AND({{IsBlocking}}, NOT({{DerivedHasComputedWitness}}))",
    "InventedForQuestion": "q2-fa-witness-coverage-of-my-steps",
    "SemanticTypeIri": "urn:effortless:pko-extension#RulebookField",
    "Name": "Requirements.IsUnwitnessedBlockingControl",
    "IsDerived": true,
    "IsWitness": true,
    "DisagreeingSubstrateCount": 0,
    "IsSubstrateContested": false
   },
   {
    "RulebookFieldId": "Requirements.WitnessFireCount",
    "TargetTable": "Requirements",
    "FieldName": "WitnessFireCount",
    "FieldType": "calculated",
    "Datatype": "number",
    "Formula": "={{NegativeOutcomeCount}}",
    "InventedForQuestion": "q2-ctl-witness-never-fired",
    "SemanticTypeIri": "urn:effortless:pko-extension#RulebookField",
    "Name": "Requirements.WitnessFireCount",
    "IsDerived": true,
    "IsWitness": true,
    "DisagreeingSubstrateCount": 0,
    "IsSubstrateContested": false
   },
   {
    "RulebookFieldId": "Requirements.WitnessHasNeverFired",
    "TargetTable": "Requirements",
    "FieldName": "WitnessHasNeverFired",
    "FieldType": "calculated",
    "Datatype": "boolean",
    "Formula": "=AND({{HasComputedWitness}}, {{WitnessFireCount}} = 0)",
    "InventedForQuestion": "q2-ctl-witness-never-fired",
    "SemanticTypeIri": "urn:effortless:pko-extension#RulebookField",
    "Name": "Requirements.WitnessHasNeverFired",
    "IsDerived": true,
    "IsWitness": true,
    "DisagreeingSubstrateCount": 0,
    "IsSubstrateContested": false
   },
   {
    "RulebookFieldId": "Requirements.EvaluationSampleSize",
    "TargetTable": "Requirements",
    "FieldName": "EvaluationSampleSize",
    "FieldType": "calculated",
    "Datatype": "number",
    "Formula": "={{SatisfactionRecordCount}}",
    "InventedForQuestion": "q2-ctl-witness-never-fired",
    "SemanticTypeIri": "urn:effortless:pko-extension#RulebookField",
    "Name": "Requirements.EvaluationSampleSize",
    "IsDerived": true,
    "IsWitness": true,
    "DisagreeingSubstrateCount": 0,
    "IsSubstrateContested": false
   },
   {
    "RulebookFieldId": "Requirements.HasMeaningfulSample",
    "TargetTable": "Requirements",
    "FieldName": "HasMeaningfulSample",
    "FieldType": "calculated",
    "Datatype": "boolean",
    "Formula": "={{EvaluationSampleSize}} &gt;= {{MinimumSampleForAssurance}}",
    "InventedForQuestion": "q2-ctl-witness-never-fired",
    "SemanticTypeIri": "urn:effortless:pko-extension#RulebookField",
    "Name": "Requirements.HasMeaningfulSample",
    "IsDerived": true,
    "IsWitness": true,
    "DisagreeingSubstrateCount": 1,
    "IsSubstrateContested": true
   },
   {
    "RulebookFieldId": "Requirements.MinimumSampleForAssurance",
    "TargetTable": "Requirements",
    "FieldName": "MinimumSampleForAssurance",
    "FieldType": "raw",
    "Datatype": "integer",
    "Formula": null,
    "InventedForQuestion": "q2-ctl-witness-never-fired",
    "SemanticTypeIri": "urn:effortless:pko-extension#RulebookField",
    "Name": "Requirements.MinimumSampleForAssurance",
    "IsDerived": false,
    "IsWitness": true,
    "DisagreeingSubstrateCount": 0,
    "IsSubstrateContested": false
   },
   {
    "RulebookFieldId": "Requirements.IsUntestedWitness",
    "TargetTable": "Requirements",
    "FieldName": "IsUntestedWitness",
    "FieldType": "calculated",
    "Datatype": "boolean",
    "Formula": "=AND({{</t>
  </si>
  <si>
    <t xml:space="preserve">WitnessHasNeverFired}}, NOT({{HasMeaningfulSample}}))",
    "InventedForQuestion": "q2-ctl-witness-never-fired",
    "SemanticTypeIri": "urn:effortless:pko-extension#RulebookField",
    "Name": "Requirements.IsUntestedWitness",
    "IsDerived": true,
    "IsWitness": true,
    "DisagreeingSubstrateCount": 7,
    "IsSubstrateContested": true
   },
   {
    "RulebookFieldId": "Requirements.IsEvidencedHoldingControl",
    "TargetTable": "Requirements",
    "FieldName": "IsEvidencedHoldingControl",
    "FieldType": "calculated",
    "Datatype": "boolean",
    "Formula": "=AND({{WitnessHasNeverFired}}, {{HasMeaningfulSample}})",
    "InventedForQuestion": "q2-ctl-witness-never-fired",
    "SemanticTypeIri": "urn:effortless:pko-extension#RulebookField",
    "Name": "Requirements.IsEvidencedHoldingControl",
    "IsDerived": true,
    "IsWitness": true,
    "DisagreeingSubstrateCount": 1,
    "IsSubstrateContested": true
   },
   {
    "RulebookFieldId": "Requirements.ControlAssuranceState",
    "TargetTable": "Requirements",
    "FieldName": "ControlAssuranceState",
    "FieldType": "calculated",
    "Datatype": "string",
    "Formula": "=IF(NOT({{IsBoundToAnyStep}}), \"Decorative\", IF(NOT({{HasEverBeenEvaluated}}), \"Inoperative\", IF(NOT({{HasComputedWitness}}), \"Asserted\", IF({{WitnessFireCount}} &gt; 0, \"Demonstrated\", IF({{HasMeaningfulSample}}, \"Holding\", \"Untested\")))))",
    "InventedForQuestion": "q2-ctl-witness-never-fired",
    "SemanticTypeIri": "urn:effortless:pko-extension#RulebookField",
    "Name": "Requirements.ControlAssuranceState",
    "IsDerived": true,
    "IsWitness": true,
    "DisagreeingSubstrateCount": 2,
    "IsSubstrateContested": true
   },
   {
    "RulebookFieldId": "Requirements.UnexercisedBindingCount",
    "TargetTable": "Requirements",
    "FieldName": "UnexercisedBindingCount",
    "FieldType": "aggregation",
    "Datatype": "number",
    "Formula": "=COUNTIFS(StepRequirements!{{UnexercisedBindingRequirementKey}}, {{RequirementId}})",
    "InventedForQuestion": "q2-ctl-witness-scope-vs-binding",
    "SemanticTypeIri": "urn:effortless:pko-extension#RulebookField",
    "Name": "Requirements.UnexercisedBindingCount",
    "IsDerived": true,
    "IsWitness": true,
    "DisagreeingSubstrateCount": 0,
    "IsSubstrateContested": false
   },
   {
    "RulebookFieldId": "Requirements.WitnessIsPartiallyScoped",
    "TargetTable": "Requirements",
    "FieldName": "WitnessIsPartiallyScoped",
    "FieldType": "calculated",
    "Datatype": "boolean",
    "Formula": "=AND({{HasComputedWitness}}, {{UnexercisedBindingCount}} &gt; 0)",
    "InventedForQuestion": "q2-ctl-witness-scope-vs-binding",
    "SemanticTypeIri": "urn:effortless:pko-extension#RulebookField",
    "Name": "Requirements.WitnessIsPartiallyScoped",
    "IsDerived": true,
    "IsWitness": true,
    "DisagreeingSubstrateCount": 0,
    "IsSubstrateContested": false
   },
   {
    "RulebookFieldId": "Requirements.AccountableRole",
    "TargetTable": "Requirements",
    "FieldName": "AccountableRole",
    "FieldType": "relationship",
    "Datatype": "string",
    "Formula": null,
    "InventedForQuestion": "q2-cfo-controls-nobody-is-watching",
    "SemanticTypeIri": "urn:effortless:pko-extension#RulebookField",
    "Name": "Requirements.AccountableRole",
    "IsDerived": false,
    "IsWitness": true,
    "DisagreeingSubstrateCount": 0,
    "IsSubstrateContested": false
   },
   {
    "RulebookFieldId": "Requirements.AccountableAgent",
    "TargetTable": "Requirements",
    "FieldName": "AccountableAgent",
    "FieldType": "lookup",
    "Datatype": "string",
    "Formula": "=INDEX(Roles!{{CurrentAgent}}, MATCH({{AccountableRole}}, Roles!{{RoleId}}, 0))",
    "InventedForQuestion": "q2-cfo-controls-nobody-is-watching",
    "SemanticTypeIri": "urn:effortless:pko-extension#RulebookField",
    "Name": "Requirements.AccountableAgent",
    "IsDerived": true,
    "IsWitness": true,
    "DisagreeingSubstrateCount": 0,
    "IsSubstrateContested": false
   },
   {
    "RulebookFieldId": "Requirements.HasNamedOwner",
    "TargetTable": "Requirements",
    "FieldName": "HasNamedOwner",
    "FieldType": "calculated",
    "Datatype": "boolean",
    "Formula": "={{AccountableRole}} &lt;&gt; \"\"",
    "InventedForQuestion": "q2-cfo-controls-nobody-is-watching",
    "SemanticTypeIri": "urn:effortless:pko-extension#RulebookField",
    "Name": "Requirements.HasNamedOwner",
    "IsDerived": true,
    "IsWitness": true,
    "DisagreeingSubstrateCount": 0,
    "IsSubstrateContested": false
   },
   {
    "RulebookFieldId": "Requirements.IsOrphanedBlockingControl",
    "TargetTable": "Requirements",
    "FieldName": "IsOrphanedBlockingControl",
    "FieldType": "calculated",
    "Datatype": "boolean",
    "Formula": "=AND({{IsBlocking}}, NOT({{HasNamedOwner}}))",
    "InventedForQuestion": "q2-cfo-controls-nobody-is-watching",
    "SemanticTypeIri": "urn:effortless:pko-extension#RulebookField",
    "Name": "Requirements.IsOrphanedBlockingControl",
    "IsDerived": true,
    "IsWitness": true,
    "DisagreeingSubstrateCount": 0,
    "IsSubstrateContested": false
   },
   {
    "RulebookFieldId": "Requirements.IsUnwatchedAndUnowned",
    "TargetTable": "Requirements",
    "FieldName": "IsUnwatchedAndUnowned",
    "FieldType": "calculated",
    "Datatype": "boolean",
    "Formula": "=AND({{IsBlocking}}, NOT({{HasComputedWitness}}), NOT({{HasNamedOwner}}))",
    "InventedForQuestion": "q2-cfo-controls-nobody-is-watching",
    "SemanticTypeIri": "urn:effortless:pko-extension#RulebookField",
    "Name": "Requirements.IsUnwatchedAndUnowned",
    "IsDerived": true,
    "IsWitness": true,
    "DisagreeingSubstrateCount": 0,
    "IsSubstrateContested": false
   },
   {
    "RulebookFieldId": "Requirements.AttestationExposureNote",
    "TargetTable": "Requirements",
    "FieldName": "AttestationExposureNote",
    "FieldType": "calculated",
    "Datatype": "string",
    "Formula": "=IF(NOT({{IsBlocking}}), \"\", IF({{IsUnwatchedAndUnowned}}, \"Unwatched and unowned: exposure defaults to the signatory.\", IF({{IsOrphanedBlockingControl}}, \"Witnessed but unowned: no named accountability.\", IF(NOT({{HasComputedWitness}}), \"Owned but unwitnessed: rests on human judgement.\", \"\"))))",
    "InventedForQuestion": "q2-cfo-controls-nobody-is-watching",
    "SemanticTypeIri": "urn:effortless:pko-extension#RulebookField",
    "Name": "Requirements.AttestationExposureNote",
    "IsDerived": true,
    "IsWitness": true,
    "DisagreeingSubstrateCount": 0,
    "IsSubstrateContested": false
   },
   {
    "RulebookFieldId": "Requirements.UnwatchedUnownedFlag",
    "TargetTable": "Requirements",
    "FieldName": "UnwatchedUnownedFlag",
    "FieldType": "calculated",
    "Datatype": "string",
    "Formula": "=IF({{IsUnwatchedAndUnowned}}, \"unwatched-unowned\", \"\")",
    "InventedForQuestion": "q2-cfo-controls-nobody-is-watching",
    "SemanticTypeIri": "urn:effortless:pko-extension#RulebookField",
    "Name": "Requirements.UnwatchedUnownedFlag",
    "IsDerived": true,
    "IsWitness": true,
    "DisagreeingSubstrateCount": 0,
    "IsSubstrateContested": false
   },
   {
    "RulebookFieldId": "Requirements.ControlledTerm",
    "TargetTable": "Requirements",
    "FieldName": "ControlledTerm",
    "FieldType": "relationship",
    "Datatype": "string",
    "Formula": null,
    "InventedForQuestion": "q-authority-controlled-vocabulary",
    "SemanticTypeIri": "urn:effortless:pko-extension#RulebookField",
    "Name": "Requirements.ControlledTerm",
    "IsDerived": false,
    "IsWitness": true,
    "DisagreeingSubstrateCount": 0,
    "IsSubstrateContested": false
   },
   {
    "RulebookFieldId": "Requirements.UsesControlledVocabulary",
    "TargetTable": "Requirements",
    "FieldName": "UsesControlledVocabulary",
    "FieldType": "calculated",
    "Datatype": "boolean",
    "Formula": "={{ControlledTerm}} &lt;&gt; \"\"",
    "InventedForQuestion": "q-authority-controlled-vocabulary",
    "SemanticTypeIri": "urn:effortless:pko-extension#RulebookField",
    "Name": "Requirements.UsesControlledVocabulary",
    "IsDerived": true,
    "IsWitness": true,
    "DisagreeingSubstrateCount": 0,
    "IsSubstrateContested": false
   },
   {
    "RulebookFieldId": "Requirements.SemanticTypeIri",
    "TargetTable": "Requirements",
    "FieldName": "SemanticTypeIri",
    "FieldType": "raw",
    "Datatype": "string",
    "Formula": null,
    "InventedForQuestion": null,
    "SemanticTypeIri": "urn:effortless:pko-extension#RulebookField",
    "Name": "Requirements.SemanticTypeIri",
    "IsDerived": false,
    "IsWitness": false,
    "DisagreeingSubstrateCount": 0,
    "IsSubstrateContested": false
   },
   {
    "RulebookFieldId": "StepRequirements.StepRequirementId",
    "TargetTable": "StepRequirements",
    "FieldName": "StepRequirementId",
    "FieldType": "raw",
    "Datatype": "string",
    "Formula": null,
    "InventedForQuestion": null,
    "SemanticTypeIri": "urn:effortless:pko-extension#RulebookField",
    "Name": "StepRequirements.StepRequirementId",
    "IsDerived": false,
    "IsWitness": false,
    "DisagreeingSubstrateCount": 0,
    "IsSubstrateContested": false
   },
   {
    "RulebookFieldId": "StepRequirements.Name",
    "TargetTable": "StepRequirements",
    "FieldName": "Name",
    "FieldType": "calculated",
    "Datatype": "string",
    "Formula": "={{Step}} &amp; \" / \" &amp; {{Requirement}}",
    "InventedForQuestion": null,
    "SemanticTypeIri": "urn:effortless:pko-extension#RulebookField",
    "Name": "StepRequirements.Name",
    "IsDerived": true,
    "IsWitness": false,
    "DisagreeingSubstrateCount": 0,
    "IsSubstrateContested": false
   },
   {
    "RulebookFieldId": "StepRequirements.Step",
    "TargetTable": "StepRequirements",
    "FieldName": "Step",
    "FieldType": "relationship",
    "Datatype": "string",
    "Formula": null,
    "InventedForQuestion": null,
    "SemanticTypeIri": "urn:effortless:pko-extension#RulebookField",
    "Name": "StepRequirements.Step",
    "IsDerived": false,
    "IsWitness": false,
    "DisagreeingSubstrateCount": 0,
    "IsSubstrateContested": false
   },
   {
    "RulebookFieldId": "StepRequirements.Requirement",
    "TargetTable": "StepRequirements",
    "FieldName": "Requirement",
    "FieldType": "relationship",
    "Datatype": "string",
    "Formula": null,
    "InventedForQuestion": null,
    "SemanticTypeIri": "urn:effortless:pko-extension#RulebookField",
    "Name": "StepRequirements.Requirement",
    "IsDerived": false,
    "IsWitness": false,
    "DisagreeingSubstrateCount": 0,
    "IsSubstrateContested": false
   },
   {
    "RulebookFieldId": "StepRequirements.RequirementIsBlocking",
    "TargetTable": "StepRequirements",
    "FieldName": "RequirementIsBlocking",
    "FieldType": "lookup",
    "Datatype": "boolean",
    "Formula": "=INDEX(Requirements!{{IsBlocking}}, MATCH({{Requirement}}, Requirements!{{RequirementId}}, 0))",
    "InventedForQuestion": "q-analyst-blocking-never-evaluated",
    "SemanticTypeIri": "urn:effortless:pko-extension#RulebookField",
    "Name": "StepRequirements.RequirementIsBlocking",
    "IsDerived": true,
    "IsWitness": true,
    "DisagreeingSubstrateCount": 0,
    "IsSubstrateContested": false
   },
   {
    "RulebookFieldId": "StepRequirements.BlockingStepKey",
    "TargetTable": "StepRequirements",
    "FieldName": "BlockingStepKey",
    "FieldType": "calculated",
    "Datatype": "string",
    "Formula": "=IF({{RequirementIsBlocking}}, {{Step}}, \"\")",
    "InventedForQuestion": "q-analyst-blocking-never-evaluated",
    "SemanticTypeIri": "urn:effortless:pko-extension#RulebookField",
    "Name": "StepRequirements.BlockingStepKey",
    "IsDerived": true,
    "IsWitness": true,
    "DisagreeingSubstrateCount": 0,
    "IsSubstrateContested": false
   },
   {
    "RulebookFieldId": "StepRequirements.StepWhenBlocking",
    "TargetTable": "StepRequirements",
    "FieldName": "StepWhenBlocking",
    "FieldType": "calculated",
    "Datatype": "string",
    "Formula": "=IF({{RequirementIsBlocking}}, {{Step}}, \"\")",
    "InventedForQuestion": "q-close-auto-blocking-requirements-evaluated",
    "SemanticTypeIri": "urn:effortless:pko-extension#RulebookField",
    "Name": "StepRequirements.StepWhenBlocking",
    "IsDerived": true,
    "IsWitness": true,
    "DisagreeingSubstrateCount": 0,
    "IsSubstrateContested": false
   },
   {
    "RulebookFieldId": "StepRequirements.RequirementLacksWitness",
    "TargetTable": "StepRequirements",
    "FieldName": "RequirementLacksWitness",
    "FieldType": "lookup",
    "Datatype": "boolean",
    "Formula": "=INDEX(Requirements!{{IsUnwitnessedBlockingControl}}, MATCH({{Requirement}}, Requirements!{{RequirementId}}, 0))",
    "InventedForQuestion": "q2-fa-witness-coverage-of-my-steps",
    "SemanticTypeIri": "urn:effortless:pko-extension#RulebookField",
    "Name": "StepRequirements.RequirementLacksWitness",
    "IsDerived": true,
    "IsWitness": true,
    "DisagreeingSubstrateCount": 0,
    "IsSubstrateContested": false
   },
   {
    "RulebookFieldId": "StepRequirements.UnwitnessedStepKey",
    "TargetTable": "StepRequirements",
    "FieldName": "UnwitnessedStepKey",
    "FieldType": "calculated",
    "Datatype": "string",
    "Formula": "=IF({{RequirementLacksWitness}}, {{Step}}, \"\")",
    "InventedForQuestion": "q2-fa-witness-coverage-of-my-steps",
    "SemanticTypeIri": "urn:effortless:pko-extension#RulebookField",
    "Name": "StepRequirements.UnwitnessedStepKey",
    "IsDerived": true,
    "IsWitness": true,
    "DisagreeingSubstrateCount": 0,
    "IsSubstrateContested": false
   },
   {
    "RulebookFieldId": "StepRequirements.SatisfactionCountForBinding",
    "TargetTable": "StepRequirements",
    "FieldName": "SatisfactionCountForBinding",
    "FieldType": "aggregation",
    "Datatype": "number",
    "Formula": "=COUNTIFS(RequirementSatisfactions!{{BindingKey}}, {{StepRequirementId}})",
    "InventedForQuestion": "q2-ctl-witness-scope-vs-binding",
    "SemanticTypeIri": "urn:effortless:pko-extension#RulebookField",
    "Name": "StepRequirements.SatisfactionCountForBinding",
    "IsDerived": true,
    "IsWitness": true,
    "DisagreeingSubstrateCount": 0,
    "IsSubstrateContested": false
   },
   {
    "RulebookFieldId": "StepRequirements.BindingWasEverExercised",
    "TargetTable": "StepRequirements",
    "FieldName": "BindingWasEverExercised",
    "FieldType": "calculated",
    "Datatype": "boolean",
    "Formula": "={{SatisfactionCountForBinding}} &gt; 0",
    "InventedForQuestion": "q2-ctl-witness-scope-vs-binding",
    "SemanticTypeIri": "urn:effortless:pko-extension#RulebookField",
    "Name": "StepRequirements.BindingWasEverExercised",
    "IsDerived": true,
    "IsWitness": true,
    "DisagreeingSubstrateCount": 0,
    "IsSubstrateContested": false
   },
   {
    "RulebookFieldId": "StepRequirements.IsUnexercisedBlockingBinding",
    "TargetTable": "StepRequirements",
    "FieldName": "IsUnexercisedBlockingBinding",
    "FieldType": "calculated",
    "Datatype": "boolean",
    "Formula": "=AND({{RequirementIsBlocking}}, NOT({{BindingWasEverExercised}}))",
    "InventedForQuestion": "q2-ctl-witness-scope-vs-binding",
    "SemanticTypeIri": "urn:effortless:pko-extension#RulebookField",
    "Name": "StepRequirements.IsUnexercisedBlockingBinding",
    "IsDerived": true,
    "IsWitness": true,
    "DisagreeingSubstrateCount": 0,
    "IsSubstrateContested": false
   },
   {
    "RulebookFieldId": "StepRequirements.UnexercisedBindingRequirementKey",
    "TargetTable": "StepRequirements",
    "FieldName": "UnexercisedBindingRequirementKey",
    "FieldType": "calculated",
    "Datatype": "string",
    "Formula": "=IF({{IsUnexercisedBlockingBinding}}, {{Requirement}}, \"\")",
    "InventedForQuestion": "q2-ctl-witness-scope-vs-binding",
    "SemanticTypeIri": "urn:effortless:pko-extension#RulebookField",
    "Name": "StepRequirements.UnexercisedBindingRequirementKey",
    "IsDerived": true,
    "IsWitness": true,
    "DisagreeingSubstrateCount": 0,
    "IsSubstrateContested": false
   },
   {
    "RulebookFieldId": "StepVerifications.StepVerificationId",
    "TargetTable": "StepVerifications",
    "FieldName": "StepVerificationId",
    "FieldType": "raw",
    "Datatype": "string",
    "Formula": null,
    "InventedForQuestion": null,
    "SemanticTypeIri": "urn:effortless:pko-extension#RulebookField",
    "Name": "StepVerifications.StepVerificationId",
    "IsDerived": false,
    "IsWitness": false,
    "DisagreeingSubstrateCount": 0,
    "IsSubstrateContested": false
   },
   {
    "RulebookFieldId": "StepVerifications.Name",
    "TargetTable": "StepVerifications",
    "FieldName": "Name",
    "FieldType": "calculated",
    "Datatype": "string",
    "Formula": "={{Step}} &amp; \" / \" &amp; {{VerificationKind}}",
    "InventedForQuestion": null,
    "SemanticTypeIri": "urn:effortless:pko-extension#RulebookField",
    "Name": "StepVerifications.Name",
    "IsDerived": true,
    "IsWitness": false,
    "DisagreeingSubstrateCount": 0,
    "IsSubstrateContested": false
   },
   {
    "RulebookFieldId": "StepVerifications.Step",
    "TargetTable": "StepVerifications",
    "FieldName": "Step",
    "FieldType": "relationship",
    "Datatype": "string",
    "Formula": null,
    "InventedForQuestion": null,
    "SemanticTypeIri": "urn:effortless:pko-extension#RulebookField",
    "Name": "StepVerifications.Step",
    "IsDerived": false,
    "IsWitness": false,
    "DisagreeingSubstrateCount": 0,
    "IsSubstrateContested": false
   },
   {
    "RulebookFieldId": "StepVerifications.VerificationKind",
    "TargetTable": "StepVerifications",
    "FieldName": "VerificationKind",
    "FieldType": "raw",
    "Datatype": "string",
    "Formula": null,
    "InventedForQuestion": null,
    "SemanticTypeIri": "urn:effortless:pko-extension#RulebookField",
    "Name": "StepVerifications.VerificationKind",
    "IsDerived": false,
    "IsWitness": false,
    "DisagreeingSubstrateCount": 0,
    "IsSubstrateContested": false
   },
   {
    "RulebookFieldId": "StepVerifications.SignalIdentifier",
    "TargetTable": "StepVerifications",
    "FieldName": "SignalIdentifier",
    "FieldType": "raw",
    "Datatype": "string",
    "Formula": null,
    "InventedForQuestion": null,
    "SemanticTypeIri": "urn:effortless:pko-extension#RulebookField",
    "Name": "StepVerifications.SignalIdentifier",
    "IsDerived": false,
    "IsWitness": false,
    "DisagreeingSubstrateCount": 0,
    "IsSubstrateContested": false
   },
   {
    "RulebookFieldId": "StepVerifications.ExpectedSignalValue",
    "TargetTable": "StepVerifications",
    "FieldName": "ExpectedSignalValue",
    "FieldType": "raw",
    "Datatype": "string",
    "Formula": null,
    "InventedForQuestion": null,
    "SemanticTypeIri": "urn:effortless:pko-extension#RulebookField",
    "Name": "StepVerifications.ExpectedSignalValue",
    "IsDerived": false,
    "IsWitness": false,
    "DisagreeingSubstrateCount": 0,
    "IsSubstrateContested": false
   },
   {
    "RulebookFieldId": "StepVerifications.Instruction",
    "TargetTable": "StepVerifications",
    "FieldName": "Instruction",
    "FieldType": "raw",
    "Datatype": "string",
    "Formula": null,
    "InventedForQuestion": null,
    "SemanticTypeIri": "urn:effortless:pko-extension#RulebookField",
    "Name": "StepVerifications.Instruction",
    "IsDerived": false,
    "IsWitness": false,
    "DisagreeingSubstrateCount": 0,
    "IsSubstrateContested": false
   },
   {
    "RulebookFieldId": "StepVerifications.SemanticTypeIri",
    "TargetTable": "StepVerifications",
    "FieldName": "SemanticTypeIri",
    "FieldType": "raw",
    "Datatype": "string",
    "Formula": null,
    "InventedForQuestion": null,
    "SemanticTypeIri": "urn:effortless:pko-extension#RulebookField",
    "Name": "StepVerifications.SemanticTypeIri",
    "IsDerived": false,
    "IsWitness": false,
    "DisagreeingSubstrateCount": 0,
    "IsSubstrateContested": false
   },
   {
    "RulebookFieldId": "Rationales.RationaleId",
    "TargetTable": "Rationales",
    "FieldName": "RationaleId",
    "FieldType": "raw",
    "Datatype": "string",
    "Formula": null,
    "InventedForQuestion": null,
    "SemanticTypeIri": "urn:effortless:pko-extension#RulebookField",
    "Name": "Rationales.RationaleId",
    "IsDerived": false,
    "IsWitness": false,
    "DisagreeingSubstrateCount": 0,
    "IsSubstrateContested": false
   },
   {
    "RulebookFieldId": "Rationales.Name",
    "TargetTable": "Rationales",
    "FieldName": "Name",
    "FieldType": "calculated",
    "Datatype": "string",
    "Formula": "={{Title}}",
    "InventedForQuestion": null,
    "SemanticTypeIri": "urn:effortless:pko-extension#RulebookField",
    "Name": "Rationales.Name",
    "IsDerived": true,
    "IsWitness": false,
    "DisagreeingSubstrateCount": 0,
    "IsSubstrateContested": false
   },
   {
    "RulebookFieldId": "Rationales.ProcedureVersion",
    "TargetTable": "Rationales",
    "FieldName": "ProcedureVersion",
    "FieldType": "relationship",
    "Datatype": "string",
    "Formula": null,
    "InventedForQuestion": null,
    "SemanticTypeIri": "urn:effortless:pko-extension#RulebookField",
    "Name": "Rationales.ProcedureVersion",
    "IsDerived": false,
    "IsWitness": false,
    "DisagreeingSubstrateCount": 0,
    "IsSubstrateContested": false
   },
   {
    "RulebookFieldId": "Rationales.Step",
    "TargetTable": "Rationales",
    "FieldName": "Step",
    "FieldType": "relationship",
    "Datatype": "string",
    "Formula": null,
    "InventedForQuestion": null,
    "SemanticTypeIri": "urn:effortless:pko-extension#RulebookField",
    "Name": "Rationales.Step",
    "IsDerived": false,
    "IsWitness": false,
    "DisagreeingSubstrateCount": 0,
    "IsSubstrateContested": false
   },
   {
    "RulebookFieldId": "Rationales.Title",
    "TargetTable": "Rationales",
    "FieldName": "Title",
    "FieldType": "raw",
    "Datatype": "string",
    "Formula": null,
    "InventedForQuestion": null,
    "SemanticTypeIri": "urn:effortless:pko-extension#RulebookField",
    "Name": "Rationales.Title",
    "IsDerived": false,
    "IsWitness": false,
    "DisagreeingSubstrateCount": 0,
    "IsSubstrateContested": false
   },
   {
    "RulebookFieldId": "Rationales.Statement",
    "TargetTable": "Rationales",
    "FieldName": "Statement",
    "FieldType": "raw",
    "Datatype": "string",
    "Formula": null,
    "InventedForQuestion": null,
    "SemanticTypeIri": "urn:effortless:pko-extension#RulebookField",
    "Name": "Rationales.Statement",
    "IsDerived": false,
    "IsWitness": false,
    "DisagreeingSubstrateCount": 0,
    "IsSubstrateContested": false
   },
   {
    "RulebookFieldId": "Rationales.Status",
    "TargetTable": "Rationales",
    "FieldName": "Status",
    "FieldType": "raw",
    "Datatype": "string",
    "Formula": null,
    "InventedForQuestion": null,
    "SemanticTypeIri": "urn:effortless:pko-extension#RulebookField",
    "Name": "Rationales.Status",
    "IsDerived": false,
    "IsWitness": false,
    "DisagreeingSubstrateCount": 0,
    "IsSubstrateContested": false
   },
   {
    "RulebookFieldId": "Rationales.AuthorityRole",
    "TargetTable": "Rationales",
    "FieldName": "AuthorityRole",
    "FieldType": "relationship",
    "Datatype": "string",
    "Formula": null,
    "InventedForQuestion": null,
    "SemanticTypeIri": "urn:effortless:pko-extension#RulebookField",
    "Name": "Rationales.AuthorityRole",
    "IsDerived": false,
    "IsWitness": false,
    "DisagreeingSubstrateCount": 0,
    "IsSubstrateContested": false
   },
   {
    "RulebookFieldId": "Rationales.SemanticTypeIri",
    "TargetTable": "Rationales",
    "FieldName": "SemanticTypeIri",
    "FieldType": "raw",
    "Datatype": "string",
    "Formula": null,
    "InventedForQuestion": null,
    "SemanticTypeIri": "urn:effortless:pko-extension#RulebookField",
    "Name": "Rationales.SemanticTypeIri",
    "IsDerived": false,
    "IsWitness": false,
    "DisagreeingSubstrateCount": 0,
    "IsSubstrateContested": false
   },
   {
    "RulebookFieldId": "Exceptions.ExceptionId",
    "TargetTable": "Exceptions",
    "FieldName": "ExceptionId",
    "FieldType": "raw",
    "Datatype": "string",
    "Formula": null,
    "InventedForQuestion": null,
    "SemanticTypeIri": "urn:effortless:pko-extension#RulebookField",
    "Name": "Exceptions.ExceptionId",
    "IsDerived": false,
    "IsWitness": false,
    "DisagreeingSubstrateCount": 0,
    "IsSubstrateContested": false
   },
   {
    "RulebookFieldId": "Exceptions.Name",
    "TargetTable": "Exceptions",
    "FieldName": "Name",
    "FieldType": "calculated",
    "Datatype": "string",
    "Formula": "={{Condition}}",
    "InventedForQuestion": null,
    "SemanticTypeIri": "urn:effortless:pko-extension#RulebookField",
    "Name": "Exceptions.Name",
    "IsDerived": true,
    "IsWitness": false,
    "DisagreeingSubstrateCount": 0,
    "IsSubstrateContested": false
   },
   {
    "RulebookFieldId": "Exceptions.ProcedureVersion",
    "TargetTable": "Exceptions",
    "FieldName": "ProcedureVersion",
    "FieldType": "relationship",
    "Datatype": "string",
    "Formula": null,
    "InventedForQuestion": null,
    "SemanticTypeIri": "urn:effortless:pko-extension#RulebookField",
    "Name": "Exceptions.ProcedureVersion",
    "IsDerived": false,
    "IsWitness": false,
    "DisagreeingSubstrateCount": 0,
    "IsSubstrateContested": false
   },
   {
    "RulebookFieldId": "Exceptions.TriggerStep",
    "TargetTable": "Exceptions",
    "FieldName": "TriggerStep",
    "FieldType": "relationship",
    "Datatype": "string",
    "Formula": null,
    "InventedForQuestion": null,
    "SemanticTypeIri": "urn:effortless:pko-extension#RulebookField",
    "Name": "Exceptions.TriggerStep",
    "IsDerived": false,
    "IsWitness": false,
    "DisagreeingSubstrateCount": 0,
    "IsSubstrateContested": false
   },
   {
    "RulebookFieldId": "Exceptions.Condition",
    "TargetTable": "Exceptions",
    "FieldName": "Condition",
    "FieldType": "raw",
    "Datatype": "string",
    "Formula": null,
    "InventedForQuestion": null,
    "SemanticTypeIri": "urn:effortless:pko-extension#RulebookField",
    "Name": "Exceptions.Condition",
    "IsDerived": false,
    "IsWitness": false,
    "DisagreeingSubstrateCount": 0,
    "IsSubstrateContested": false
   },
   {
    "RulebookFieldId": "Exceptions.Handling",
    "TargetTable": "Exceptions",
    "FieldName": "Handling",
    "FieldType": "raw",
    "Datatype": "string",
    "Formula": null,
    "InventedForQuestion": null,
    "SemanticTypeIri": "urn:effortless:pko-extension#RulebookField",
    "Name": "Exceptions.Handling",
    "IsDerived": false,
    "IsWitness": false,
    "DisagreeingSubstrateCount": 0,
    "IsSubstrateContested": false
   },
   {
    "RulebookFieldId": "Exceptions.ApprovalRole",
    "TargetTable": "Exceptions",
    "FieldName": "ApprovalRole",
    "FieldType": "relationship",
    "Datatype": "string",
    "Formula": null,
    "InventedForQuestion": null,
    "SemanticTypeIri": "urn:effortless:pko-extension#RulebookField",
    "Name": "Exceptions.ApprovalRole",
    "IsDerived": false,
    "IsWitness": false,
    "DisagreeingSubstrateCount": 0,
    "IsSubstrateContested": false
   },
   {
    "RulebookFieldId": "Exceptions.FallbackRole",
    "TargetTable": "Exceptions",
    "FieldName": "FallbackRole",
    "FieldType": "relationship",
    "Datatype": "string",
    "Formula": null,
    "InventedForQuestion": null,
    "SemanticTypeIri": "urn:effortless:pko-extension#RulebookField",
    "Name": "Exceptions.FallbackRole",
    "IsDerived": false,
    "IsWitness": false,
    "DisagreeingSubstrateCount": 0,
    "IsSubstrateContested": false
   },
   {
    "RulebookFieldId": "Exceptions.Status",
    "TargetTable": "Exceptions",
    "FieldName": "Status",
    "FieldType": "raw",
    "Datatype": "string",
    "Formula": null,
    "InventedForQuestion": null,
    "SemanticTypeIri": "urn:effortless:pko-extension#RulebookField",
    "Name": "Exceptions.Status",
    "IsDerived": false,
    "IsWitness": false,
    "DisagreeingSubstrateCount": 0,
    "IsSubstrateContested": false
   },
   {
    "RulebookFieldId": "Exceptions.ActiveExceptionStepKey",
    "TargetTable": "Exceptions",
    "FieldName": "ActiveExceptionStepKey",
    "FieldType": "calculated",
    "Datatype": "string",
    "Formula": "=IF({{Status}} = \"Active\", {{TriggerStep}}, \"\")",
    "InventedForQuestion": "q-analyst-my-late-steps-unexplained",
    "SemanticTypeIri": "urn:effortless:pko-extension#RulebookField",
    "Name": "Exceptions.ActiveExceptionStepKey",
    "IsDerived": true,
    "IsWitness": true,
    "DisagreeingSubstrateCount": 0,
    "IsSubstrateContested": false
   },
   {
    "RulebookFieldId": "Exceptions.SemanticTypeIri",
    "TargetTable": "Exceptions",
    "FieldName": "SemanticTypeIri",
    "FieldType": "raw",
    "Datatype": "string",
    "Formula": null,
    "InventedForQuestion": null,
    "SemanticTypeIri": "urn:effortless:pko-extension#RulebookField",
    "Name": "Exceptions.SemanticTypeIri",
    "IsDerived": false,
    "IsWitness": false,
    "DisagreeingSubstrateCount": 0,
    "IsSubstrateContested": false
   },
   {
    "RulebookFieldId": "Resources.ResourceId",
    "TargetTable": "Resources",
    "FieldName": "ResourceId",
    "FieldType": "raw",
    "Datatype": "string",
    "Formula": null,
    "InventedForQuestion": null,
    "SemanticTypeIri": "urn:effortless:pko-extension#RulebookField",
    "Name": "Resources.ResourceId",
    "IsDerived": false,
    "IsWitness": false,
    "DisagreeingSubstrateCount": 0,
    "IsSubstrateContested": false
   },
   {
    "RulebookFieldId": "Resources.Name",
    "TargetTable": "Resources",
    "FieldName": "Name",
    "FieldType": "calculated",
    "Datatype": "string",
    "Formula": "={{Title}}",
    "InventedForQuestion": null,
    "SemanticTypeIri": "urn:effortless:pko-extension#RulebookField",
    "Name": "Resources.Name",
    "IsDerived": true,
    "IsWitness": false,
    "DisagreeingSubstrateCount": 0,
    "IsSubstrateContested": false
   },
   {
    "RulebookFieldId": "Resources.Title",
    "TargetTable": "Resources",
    "FieldName": "Title",
    "FieldType": "raw",
    "Datatype": "string",
    "Formula": null,
    "InventedForQuestion": null,
    "SemanticTypeIri": "urn:effortless:pko-extension#RulebookField",
    "Name": "Resources.Title",
    "IsDerived": false,
    "IsWitness": false,
    "DisagreeingSubstrateCount": 0,
    "IsSubstrateContested": false
   },
   {
    "RulebookFieldId": "Resources.ResourceKind",
    "TargetTable": "Resources",
    "FieldName": "ResourceKind",
    "FieldType": "raw",
    "Datatype": "string",
    "Formula": null,
    "InventedForQuestion": null,
    "SemanticTypeIri": "urn:effortless:pko-extension#RulebookField",
    "Name": "Resources.ResourceKind",
    "IsDerived": false,
    "IsWitness": false,
    "DisagreeingSubstrateCount": 0,
    "IsSubstrateContested": false
   },
   {
    "RulebookFieldId": "Resources.ExternalUri",
    "TargetTable": "Resources",
    "FieldName": "ExternalUri",
    "FieldType": "raw",
    "Datatype": "string",
    "Formula": null,
    "InventedForQuestion": null,
    "SemanticTypeIri": "urn:effortless:pko-extension#RulebookField",
    "Name": "Resources.ExternalUri",
    "IsDerived": false,
    "IsWitness": false,
    "DisagreeingSubstrateCount": 0,
    "IsSubstrateContested": false
   },
   {
    "RulebookFieldId": "Resources.CreatedAt",
    "TargetTable": "Resources",
    "FieldName": "CreatedAt",
    "FieldType": "raw",
    "Datatype": "datetime",
    "Formula": null,
    "InventedForQuestion": null,
    "SemanticTypeIri": "urn:effortless:pko-extension#RulebookField",
    "Name": "Resources.CreatedAt",
    "IsDerived": false,
    "IsWitness": false,
    "DisagreeingSubstrateCount": 0,
    "IsSubstrateContested": false
   },
   {
    "RulebookFieldId": "Resources.ModifiedAt",
    "TargetTable": "Resources",
    "FieldName": "ModifiedAt",
    "FieldType": "raw",
    "Datatype": "datetime",
    "Formula": null,
    "InventedForQuestion": null,
    "SemanticTypeIri": "urn:effortless:pko-extension#RulebookField",
    "Name": "Resources.ModifiedAt",
    "IsDerived": false,
    "IsWitness": false,
    "DisagreeingSubstrateCount": 0,
    "IsSubstrateContested": false
   },
   {
    "RulebookFieldId": "Resources.Description",
    "TargetTable": "Resources",
    "FieldName": "Description",
    "FieldType": "raw",
    "Datatype": "string",
    "Formula": null,
    "InventedForQuestion": null,
    "SemanticTypeIri": "urn:effortless:pko-extension#RulebookField",
    "Name": "Resources.Description",
    "IsDerived": false,
    "IsWitness": false,
    "DisagreeingSubstrateCount": 0,
    "IsSubstrateContested": false
   },
   {
    "Ruleboo</t>
  </si>
  <si>
    <t xml:space="preserve">kFieldId": "Resources.ApprovalStatus",
    "TargetTable": "Resources",
    "FieldName": "ApprovalStatus",
    "FieldType": "raw",
    "Datatype": "string",
    "Formula": null,
    "InventedForQuestion": "q-policy-ai-source-approval",
    "SemanticTypeIri": "urn:effortless:pko-extension#RulebookField",
    "Name": "Resources.ApprovalStatus",
    "IsDerived": false,
    "IsWitness": true,
    "DisagreeingSubstrateCount": 0,
    "IsSubstrateContested": false
   },
   {
    "RulebookFieldId": "Resources.IsApprovedSource",
    "TargetTable": "Resources",
    "FieldName": "IsApprovedSource",
    "FieldType": "calculated",
    "Datatype": "boolean",
    "Formula": "={{ApprovalStatus}} = \"Approved\"",
    "InventedForQuestion": "q-policy-ai-source-approval",
    "SemanticTypeIri": "urn:effortless:pko-extension#RulebookField",
    "Name": "Resources.IsApprovedSource",
    "IsDerived": true,
    "IsWitness": true,
    "DisagreeingSubstrateCount": 0,
    "IsSubstrateContested": false
   },
   {
    "RulebookFieldId": "Resources.SemanticTypeIri",
    "TargetTable": "Resources",
    "FieldName": "SemanticTypeIri",
    "FieldType": "raw",
    "Datatype": "string",
    "Formula": null,
    "InventedForQuestion": null,
    "SemanticTypeIri": "urn:effortless:pko-extension#RulebookField",
    "Name": "Resources.SemanticTypeIri",
    "IsDerived": false,
    "IsWitness": false,
    "DisagreeingSubstrateCount": 0,
    "IsSubstrateContested": false
   },
   {
    "RulebookFieldId": "ProcedureResources.ProcedureResourceId",
    "TargetTable": "ProcedureResources",
    "FieldName": "ProcedureResourceId",
    "FieldType": "raw",
    "Datatype": "string",
    "Formula": null,
    "InventedForQuestion": null,
    "SemanticTypeIri": "urn:effortless:pko-extension#RulebookField",
    "Name": "ProcedureResources.ProcedureResourceId",
    "IsDerived": false,
    "IsWitness": false,
    "DisagreeingSubstrateCount": 0,
    "IsSubstrateContested": false
   },
   {
    "RulebookFieldId": "ProcedureResources.Name",
    "TargetTable": "ProcedureResources",
    "FieldName": "Name",
    "FieldType": "calculated",
    "Datatype": "string",
    "Formula": "={{ProcedureVersion}} &amp; \" / \" &amp; {{Resource}}",
    "InventedForQuestion": null,
    "SemanticTypeIri": "urn:effortless:pko-extension#RulebookField",
    "Name": "ProcedureResources.Name",
    "IsDerived": true,
    "IsWitness": false,
    "DisagreeingSubstrateCount": 0,
    "IsSubstrateContested": false
   },
   {
    "RulebookFieldId": "ProcedureResources.ProcedureVersion",
    "TargetTable": "ProcedureResources",
    "FieldName": "ProcedureVersion",
    "FieldType": "relationship",
    "Datatype": "string",
    "Formula": null,
    "InventedForQuestion": null,
    "SemanticTypeIri": "urn:effortless:pko-extension#RulebookField",
    "Name": "ProcedureResources.ProcedureVersion",
    "IsDerived": false,
    "IsWitness": false,
    "DisagreeingSubstrateCount": 0,
    "IsSubstrateContested": false
   },
   {
    "RulebookFieldId": "ProcedureResources.Resource",
    "TargetTable": "ProcedureResources",
    "FieldName": "Resource",
    "FieldType": "relationship",
    "Datatype": "string",
    "Formula": null,
    "InventedForQuestion": null,
    "SemanticTypeIri": "urn:effortless:pko-extension#RulebookField",
    "Name": "ProcedureResources.Resource",
    "IsDerived": false,
    "IsWitness": false,
    "DisagreeingSubstrateCount": 0,
    "IsSubstrateContested": false
   },
   {
    "RulebookFieldId": "ProcedureResources.Relation",
    "TargetTable": "ProcedureResources",
    "FieldName": "Relation",
    "FieldType": "raw",
    "Datatype": "string",
    "Formula": null,
    "InventedForQuestion": null,
    "SemanticTypeIri": "urn:effortless:pko-extension#RulebookField",
    "Name": "ProcedureResources.Relation",
    "IsDerived": false,
    "IsWitness": false,
    "DisagreeingSubstrateCount": 0,
    "IsSubstrateContested": false
   },
   {
    "RulebookFieldId": "ProcedureResources.RelationIri",
    "TargetTable": "ProcedureResources",
    "FieldName": "RelationIri",
    "FieldType": "calculated",
    "Datatype": "string",
    "Formula": "=IF({{Relation}} = \"wasExtractedFrom\", \"https://w3id.org/pko#wasExtractedFrom\", \"http://purl.org/dc/terms/references\")",
    "InventedForQuestion": null,
    "SemanticTypeIri": "urn:effortless:pko-extension#RulebookField",
    "Name": "ProcedureResources.RelationIri",
    "IsDerived": true,
    "IsWitness": false,
    "DisagreeingSubstrateCount": 0,
    "IsSubstrateContested": false
   },
   {
    "RulebookFieldId": "ElicitationSessions.ElicitationSessionId",
    "TargetTable": "ElicitationSessions",
    "FieldName": "ElicitationSessionId",
    "FieldType": "raw",
    "Datatype": "string",
    "Formula": null,
    "InventedForQuestion": null,
    "SemanticTypeIri": "urn:effortless:pko-extension#RulebookField",
    "Name": "ElicitationSessions.ElicitationSessionId",
    "IsDerived": false,
    "IsWitness": false,
    "DisagreeingSubstrateCount": 0,
    "IsSubstrateContested": false
   },
   {
    "RulebookFieldId": "ElicitationSessions.Name",
    "TargetTable": "ElicitationSessions",
    "FieldName": "Name",
    "FieldType": "calculated",
    "Datatype": "string",
    "Formula": "={{Method}} &amp; \" / \" &amp; {{StartedAt}}",
    "InventedForQuestion": null,
    "SemanticTypeIri": "urn:effortless:pko-extension#RulebookField",
    "Name": "ElicitationSessions.Name",
    "IsDerived": true,
    "IsWitness": false,
    "DisagreeingSubstrateCount": 6,
    "IsSubstrateContested": true
   },
   {
    "RulebookFieldId": "ElicitationSessions.ProcedureVersion",
    "TargetTable": "ElicitationSessions",
    "FieldName": "ProcedureVersion",
    "FieldType": "relationship",
    "Datatype": "string",
    "Formula": null,
    "InventedForQuestion": null,
    "SemanticTypeIri": "urn:effortless:pko-extension#RulebookField",
    "Name": "ElicitationSessions.ProcedureVersion",
    "IsDerived": false,
    "IsWitness": false,
    "DisagreeingSubstrateCount": 0,
    "IsSubstrateContested": false
   },
   {
    "RulebookFieldId": "ElicitationSessions.Method",
    "TargetTable": "ElicitationSessions",
    "FieldName": "Method",
    "FieldType": "raw",
    "Datatype": "string",
    "Formula": null,
    "InventedForQuestion": null,
    "SemanticTypeIri": "urn:effortless:pko-extension#RulebookField",
    "Name": "ElicitationSessions.Method",
    "IsDerived": false,
    "IsWitness": false,
    "DisagreeingSubstrateCount": 0,
    "IsSubstrateContested": false
   },
   {
    "RulebookFieldId": "ElicitationSessions.StartedAt",
    "TargetTable": "ElicitationSessions",
    "FieldName": "StartedAt",
    "FieldType": "raw",
    "Datatype": "datetime",
    "Formula": null,
    "InventedForQuestion": null,
    "SemanticTypeIri": "urn:effortless:pko-extension#RulebookField",
    "Name": "ElicitationSessions.StartedAt",
    "IsDerived": false,
    "IsWitness": false,
    "DisagreeingSubstrateCount": 0,
    "IsSubstrateContested": false
   },
   {
    "RulebookFieldId": "ElicitationSessions.EndedAt",
    "TargetTable": "ElicitationSessions",
    "FieldName": "EndedAt",
    "FieldType": "raw",
    "Datatype": "datetime",
    "Formula": null,
    "InventedForQuestion": null,
    "SemanticTypeIri": "urn:effortless:pko-extension#RulebookField",
    "Name": "ElicitationSessions.EndedAt",
    "IsDerived": false,
    "IsWitness": false,
    "DisagreeingSubstrateCount": 0,
    "IsSubstrateContested": false
   },
   {
    "RulebookFieldId": "ElicitationSessions.PractitionerAgent",
    "TargetTable": "ElicitationSessions",
    "FieldName": "PractitionerAgent",
    "FieldType": "relationship",
    "Datatype": "string",
    "Formula": null,
    "InventedForQuestion": null,
    "SemanticTypeIri": "urn:effortless:pko-extension#RulebookField",
    "Name": "ElicitationSessions.PractitionerAgent",
    "IsDerived": false,
    "IsWitness": false,
    "DisagreeingSubstrateCount": 0,
    "IsSubstrateContested": false
   },
   {
    "RulebookFieldId": "ElicitationSessions.FacilitatorAgent",
    "TargetTable": "ElicitationSessions",
    "FieldName": "FacilitatorAgent",
    "FieldType": "relationship",
    "Datatype": "string",
    "Formula": null,
    "InventedForQuestion": null,
    "SemanticTypeIri": "urn:effortless:pko-extension#RulebookField",
    "Name": "ElicitationSessions.FacilitatorAgent",
    "IsDerived": false,
    "IsWitness": false,
    "DisagreeingSubstrateCount": 0,
    "IsSubstrateContested": false
   },
   {
    "RulebookFieldId": "ElicitationSessions.Summary",
    "TargetTable": "ElicitationSessions",
    "FieldName": "Summary",
    "FieldType": "raw",
    "Datatype": "string",
    "Formula": null,
    "InventedForQuestion": null,
    "SemanticTypeIri": "urn:effortless:pko-extension#RulebookField",
    "Name": "ElicitationSessions.Summary",
    "IsDerived": false,
    "IsWitness": false,
    "DisagreeingSubstrateCount": 0,
    "IsSubstrateContested": false
   },
   {
    "RulebookFieldId": "ElicitationSessions.Status",
    "TargetTable": "ElicitationSessions",
    "FieldName": "Status",
    "FieldType": "raw",
    "Datatype": "string",
    "Formula": null,
    "InventedForQuestion": null,
    "SemanticTypeIri": "urn:effortless:pko-extension#RulebookField",
    "Name": "ElicitationSessions.Status",
    "IsDerived": false,
    "IsWitness": false,
    "DisagreeingSubstrateCount": 0,
    "IsSubstrateContested": false
   },
   {
    "RulebookFieldId": "ElicitationSessions.EvaluationContext",
    "TargetTable": "ElicitationSessions",
    "FieldName": "EvaluationContext",
    "FieldType": "relationship",
    "Datatype": "string",
    "Formula": null,
    "InventedForQuestion": null,
    "SemanticTypeIri": "urn:effortless:pko-extension#RulebookField",
    "Name": "ElicitationSessions.EvaluationContext",
    "IsDerived": false,
    "IsWitness": false,
    "DisagreeingSubstrateCount": 0,
    "IsSubstrateContested": false
   },
   {
    "RulebookFieldId": "ElicitationSessions.AsOfInstant",
    "TargetTable": "ElicitationSessions",
    "FieldName": "AsOfInstant",
    "FieldType": "lookup",
    "Datatype": "datetime",
    "Formula": "=INDEX(EvaluationContexts!{{AsOfInstant}}, MATCH({{EvaluationContext}}, EvaluationContexts!{{EvaluationContextId}}, 0))",
    "InventedForQuestion": null,
    "SemanticTypeIri": "urn:effortless:pko-extension#RulebookField",
    "Name": "ElicitationSessions.AsOfInstant",
    "IsDerived": true,
    "IsWitness": false,
    "DisagreeingSubstrateCount": 1,
    "IsSubstrateContested": true
   },
   {
    "RulebookFieldId": "ElicitationSessions.DaysSinceElicited",
    "TargetTable": "ElicitationSessions",
    "FieldName": "DaysSinceElicited",
    "FieldType": "calculated",
    "Datatype": "integer",
    "Formula": "=DATETIME_DIFF({{AsOfInstant}}, {{EndedAt}}, \"days\")",
    "InventedForQuestion": "q-authority-stale-elicitation",
    "SemanticTypeIri": "urn:effortless:pko-extension#RulebookField",
    "Name": "ElicitationSessions.DaysSinceElicited",
    "IsDerived": true,
    "IsWitness": true,
    "DisagreeingSubstrateCount": 7,
    "IsSubstrateContested": true
   },
   {
    "RulebookFieldId": "ElicitationSessions.IsSingleWitnessMethod",
    "TargetTable": "ElicitationSessions",
    "FieldName": "IsSingleWitnessMethod",
    "FieldType": "calculated",
    "Datatype": "boolean",
    "Formula": "=OR({{Method}} = \"Shadowing\", {{Method}} = \"PractitionerInterview\")",
    "InventedForQuestion": "q-authority-stale-elicitation",
    "SemanticTypeIri": "urn:effortless:pko-extension#RulebookField",
    "Name": "ElicitationSessions.IsSingleWitnessMethod",
    "IsDerived": true,
    "IsWitness": true,
    "DisagreeingSubstrateCount": 0,
    "IsSubstrateContested": false
   },
   {
    "RulebookFieldId": "ElicitationSessions.PractitionerIsStillEngaged",
    "TargetTable": "ElicitationSessions",
    "FieldName": "PractitionerIsStillEngaged",
    "FieldType": "lookup",
    "Datatype": "boolean",
    "Formula": "=INDEX(Agents!{{IsStillEngaged}}, MATCH({{PractitionerAgent}}, Agents!{{AgentId}}, 0))",
    "InventedForQuestion": "q-authority-stale-elicitation",
    "SemanticTypeIri": "urn:effortless:pko-extension#RulebookField",
    "Name": "ElicitationSessions.PractitionerIsStillEngaged",
    "IsDerived": true,
    "IsWitness": true,
    "DisagreeingSubstrateCount": 0,
    "IsSubstrateContested": false
   },
   {
    "RulebookFieldId": "ElicitationSessions.ValidFragmentsProduced",
    "TargetTable": "ElicitationSessions",
    "FieldName": "ValidFragmentsProduced",
    "FieldType": "aggregation",
    "Datatype": "number",
    "Formula": "=COUNTIFS(KnowledgeFragments!{{ValidFragmentSessionKey}}, {{ElicitationSessionId}})",
    "InventedForQuestion": "q2-authority-elicitation-method-monoculture",
    "SemanticTypeIri": "urn:effortless:pko-extension#RulebookField",
    "Name": "ElicitationSessions.ValidFragmentsProduced",
    "IsDerived": true,
    "IsWitness": true,
    "DisagreeingSubstrateCount": 0,
    "IsSubstrateContested": false
   },
   {
    "RulebookFieldId": "ElicitationSessions.IsHighYieldSession",
    "TargetTable": "ElicitationSessions",
    "FieldName": "IsHighYieldSession",
    "FieldType": "calculated",
    "Datatype": "boolean",
    "Formula": "={{ValidFragmentsProduced}} &gt;= 3",
    "InventedForQuestion": "q2-authority-elicitation-method-monoculture",
    "SemanticTypeIri": "urn:effortless:pko-extension#RulebookField",
    "Name": "ElicitationSessions.IsHighYieldSession",
    "IsDerived": true,
    "IsWitness": true,
    "DisagreeingSubstrateCount": 0,
    "IsSubstrateContested": false
   },
   {
    "RulebookFieldId": "ElicitationSessions.IsConcentratedSingleWitness",
    "TargetTable": "ElicitationSessions",
    "FieldName": "IsConcentratedSingleWitness",
    "FieldType": "calculated",
    "Datatype": "boolean",
    "Formula": "=AND({{IsSingleWitnessMethod}}, {{IsHighYieldSession}})",
    "InventedForQuestion": "q2-authority-elicitation-method-monoculture",
    "SemanticTypeIri": "urn:effortless:pko-extension#RulebookField",
    "Name": "ElicitationSessions.IsConcentratedSingleWitness",
    "IsDerived": true,
    "IsWitness": true,
    "DisagreeingSubstrateCount": 0,
    "IsSubstrateContested": false
   },
   {
    "RulebookFieldId": "ElicitationSessions.IsStaleConcentratedWitness",
    "TargetTable": "ElicitationSessions",
    "FieldName": "IsStaleConcentratedWitness",
    "FieldType": "calculated",
    "Datatype": "boolean",
    "Formula": "=AND({{IsConcentratedSingleWitness}}, {{DaysSinceElicited}} &gt; 180)",
    "InventedForQuestion": "q2-authority-elicitation-method-monoculture",
    "SemanticTypeIri": "urn:effortless:pko-extension#RulebookField",
    "Name": "ElicitationSessions.IsStaleConcentratedWitness",
    "IsDerived": true,
    "IsWitness": true,
    "DisagreeingSubstrateCount": 0,
    "IsSubstrateContested": false
   },
   {
    "RulebookFieldId": "ElicitationSessions.ConcentratedSessionVersionKey",
    "TargetTable": "ElicitationSessions",
    "FieldName": "ConcentratedSessionVersionKey",
    "FieldType": "calculated",
    "Datatype": "string",
    "Formula": "=IF({{IsConcentratedSingleWitness}}, {{ProcedureVersion}}, \"\")",
    "InventedForQuestion": "q2-authority-elicitation-method-monoculture",
    "SemanticTypeIri": "urn:effortless:pko-extension#RulebookField",
    "Name": "ElicitationSessions.ConcentratedSessionVersionKey",
    "IsDerived": true,
    "IsWitness": true,
    "DisagreeingSubstrateCount": 0,
    "IsSubstrateContested": false
   },
   {
    "RulebookFieldId": "ElicitationSessions.SemanticTypeIri",
    "TargetTable": "ElicitationSessions",
    "FieldName": "SemanticTypeIri",
    "FieldType": "raw",
    "Datatype": "string",
    "Formula": null,
    "InventedForQuestion": null,
    "SemanticTypeIri": "urn:effortless:pko-extension#RulebookField",
    "Name": "ElicitationSessions.SemanticTypeIri",
    "IsDerived": false,
    "IsWitness": false,
    "DisagreeingSubstrateCount": 0,
    "IsSubstrateContested": false
   },
   {
    "RulebookFieldId": "KnowledgeFragments.KnowledgeFragmentId",
    "TargetTable": "KnowledgeFragments",
    "FieldName": "KnowledgeFragmentId",
    "FieldType": "raw",
    "Datatype": "string",
    "Formula": null,
    "InventedForQuestion": null,
    "SemanticTypeIri": "urn:effortless:pko-extension#RulebookField",
    "Name": "KnowledgeFragments.KnowledgeFragmentId",
    "IsDerived": false,
    "IsWitness": false,
    "DisagreeingSubstrateCount": 0,
    "IsSubstrateContested": false
   },
   {
    "RulebookFieldId": "KnowledgeFragments.Name",
    "TargetTable": "KnowledgeFragments",
    "FieldName": "Name",
    "FieldType": "calculated",
    "Datatype": "string",
    "Formula": "={{KnowledgeForm}} &amp; \": \" &amp; LEFT({{Statement}}, 60)",
    "InventedForQuestion": null,
    "SemanticTypeIri": "urn:effortless:pko-extension#RulebookField",
    "Name": "KnowledgeFragments.Name",
    "IsDerived": true,
    "IsWitness": false,
    "DisagreeingSubstrateCount": 0,
    "IsSubstrateContested": false
   },
   {
    "RulebookFieldId": "KnowledgeFragments.ProcedureVersion",
    "TargetTable": "KnowledgeFragments",
    "FieldName": "ProcedureVersion",
    "FieldType": "relationship",
    "Datatype": "string",
    "Formula": null,
    "InventedForQuestion": null,
    "SemanticTypeIri": "urn:effortless:pko-extension#RulebookField",
    "Name": "KnowledgeFragments.ProcedureVersion",
    "IsDerived": false,
    "IsWitness": false,
    "DisagreeingSubstrateCount": 0,
    "IsSubstrateContested": false
   },
   {
    "RulebookFieldId": "KnowledgeFragments.Step",
    "TargetTable": "KnowledgeFragments",
    "FieldName": "Step",
    "FieldType": "relationship",
    "Datatype": "string",
    "Formula": null,
    "InventedForQuestion": null,
    "SemanticTypeIri": "urn:effortless:pko-extension#RulebookField",
    "Name": "KnowledgeFragments.Step",
    "IsDerived": false,
    "IsWitness": false,
    "DisagreeingSubstrateCount": 0,
    "IsSubstrateContested": false
   },
   {
    "RulebookFieldId": "KnowledgeFragments.KnowledgeForm",
    "TargetTable": "KnowledgeFragments",
    "FieldName": "KnowledgeForm",
    "FieldType": "raw",
    "Datatype": "string",
    "Formula": null,
    "InventedForQuestion": null,
    "SemanticTypeIri": "urn:effortless:pko-extension#RulebookField",
    "Name": "KnowledgeFragments.KnowledgeForm",
    "IsDerived": false,
    "IsWitness": false,
    "DisagreeingSubstrateCount": 0,
    "IsSubstrateContested": false
   },
   {
    "RulebookFieldId": "KnowledgeFragments.Statement",
    "TargetTable": "KnowledgeFragments",
    "FieldName": "Statement",
    "FieldType": "raw",
    "Datatype": "string",
    "Formula": null,
    "InventedForQuestion": null,
    "SemanticTypeIri": "urn:effortless:pko-extension#RulebookField",
    "Name": "KnowledgeFragments.Statement",
    "IsDerived": false,
    "IsWitness": false,
    "DisagreeingSubstrateCount": 0,
    "IsSubstrateContested": false
   },
   {
    "RulebookFieldId": "KnowledgeFragments.ElicitationSession",
    "TargetTable": "KnowledgeFragments",
    "FieldName": "ElicitationSession",
    "FieldType": "relationship",
    "Datatype": "string",
    "Formula": null,
    "InventedForQuestion": null,
    "SemanticTypeIri": "urn:effortless:pko-extension#RulebookField",
    "Name": "KnowledgeFragments.ElicitationSession",
    "IsDerived": false,
    "IsWitness": false,
    "DisagreeingSubstrateCount": 0,
    "IsSubstrateContested": false
   },
   {
    "RulebookFieldId": "KnowledgeFragments.SourceAgent",
    "TargetTable": "KnowledgeFragments",
    "FieldName": "SourceAgent",
    "FieldType": "relationship",
    "Datatype": "string",
    "Formula": null,
    "InventedForQuestion": null,
    "SemanticTypeIri": "urn:effortless:pko-extension#RulebookField",
    "Name": "KnowledgeFragments.SourceAgent",
    "IsDerived": false,
    "IsWitness": false,
    "DisagreeingSubstrateCount": 0,
    "IsSubstrateContested": false
   },
   {
    "RulebookFieldId": "KnowledgeFragments.Confidence",
    "TargetTable": "KnowledgeFragments",
    "FieldName": "Confidence",
    "FieldType": "raw",
    "Datatype": "string",
    "Formula": null,
    "InventedForQuestion": null,
    "SemanticTypeIri": "urn:effortless:pko-extension#RulebookField",
    "Name": "KnowledgeFragments.Confidence",
    "IsDerived": false,
    "IsWitness": false,
    "DisagreeingSubstrateCount": 0,
    "IsSubstrateContested": false
   },
   {
    "RulebookFieldId": "KnowledgeFragments.ValidFrom",
    "TargetTable": "KnowledgeFragments",
    "FieldName": "ValidFrom",
    "FieldType": "raw",
    "Datatype": "datetime",
    "Formula": null,
    "InventedForQuestion": null,
    "SemanticTypeIri": "urn:effortless:pko-extension#RulebookField",
    "Name": "KnowledgeFragments.ValidFrom",
    "IsDerived": false,
    "IsWitness": false,
    "DisagreeingSubstrateCount": 0,
    "IsSubstrateContested": false
   },
   {
    "RulebookFieldId": "KnowledgeFragments.ValidTo",
    "TargetTable": "KnowledgeFragments",
    "FieldName": "ValidTo",
    "FieldType": "raw",
    "Datatype": "datetime",
    "Formula": null,
    "InventedForQuestion": null,
    "SemanticTypeIri": "urn:effortless:pko-extension#RulebookField",
    "Name": "KnowledgeFragments.ValidTo",
    "IsDerived": false,
    "IsWitness": false,
    "DisagreeingSubstrateCount": 0,
    "IsSubstrateContested": false
   },
   {
    "RulebookFieldId": "KnowledgeFragments.Status",
    "TargetTable": "KnowledgeFragments",
    "FieldName": "Status",
    "FieldType": "raw",
    "Datatype": "string",
    "Formula": null,
    "InventedForQuestion": null,
    "SemanticTypeIri": "urn:effortless:pko-extension#RulebookField",
    "Name": "KnowledgeFragments.Status",
    "IsDerived": false,
    "IsWitness": false,
    "DisagreeingSubstrateCount": 0,
    "IsSubstrateContested": false
   },
   {
    "RulebookFieldId": "KnowledgeFragments.OwnerRole",
    "TargetTable": "KnowledgeFragments",
    "FieldName": "OwnerRole",
    "FieldType": "relationship",
    "Datatype": "string",
    "Formula": null,
    "InventedForQuestion": null,
    "SemanticTypeIri": "urn:effortless:pko-extension#RulebookField",
    "Name": "KnowledgeFragments.OwnerRole",
    "IsDerived": false,
    "IsWitness": false,
    "DisagreeingSubstrateCount": 0,
    "IsSubstrateContested": false
   },
   {
    "RulebookFieldId": "KnowledgeFragments.EvaluationContext",
    "TargetTable": "KnowledgeFragments",
    "FieldName": "EvaluationContext",
    "FieldType": "relationship",
    "Datatype": "string",
    "Formula": null,
    "InventedForQuestion": null,
    "SemanticTypeIri": "urn:effortless:pko-extension#RulebookField",
    "Name": "KnowledgeFragments.EvaluationContext",
    "IsDerived": false,
    "IsWitness": false,
    "DisagreeingSubstrateCount": 0,
    "IsSubstrateContested": false
   },
   {
    "RulebookFieldId": "KnowledgeFragments.AsOfInstant",
    "TargetTable": "KnowledgeFragments",
    "FieldName": "AsOfInstant",
    "FieldType": "lookup",
    "Datatype": "datetime",
    "Formula": "=INDEX(EvaluationContexts!{{AsOfInstant}}, MATCH({{EvaluationContext}}, EvaluationContexts!{{EvaluationContextId}}, 0))",
    "InventedForQuestion": null,
    "SemanticTypeIri": "urn:effortless:pko-extension#RulebookField",
    "Name": "KnowledgeFragments.AsOfInstant",
    "IsDerived": true,
    "IsWitness": false,
    "DisagreeingSubstrateCount": 1,
    "IsSubstrateContested": true
   },
   {
    "RulebookFieldId": "KnowledgeFragments.IsCurrentlyValid",
    "TargetTable": "KnowledgeFragments",
    "FieldName": "IsCurrentlyValid",
    "FieldType": "calculated",
    "Datatype": "boolean",
    "Formula": "=AND({{ValidFrom}} &lt;= {{AsOfInstant}}, OR({{ValidTo}} = \"\", {{ValidTo}} &gt; {{AsOfInstant}}), {{Status}} = \"Approved\")",
    "InventedForQuestion": null,
    "SemanticTypeIri": "urn:effortless:pko-extension#RulebookField",
    "Name": "KnowledgeFragments.IsCurrentlyValid",
    "IsDerived": true,
    "IsWitness": false,
    "DisagreeingSubstrateCount": 0,
    "IsSubstrateContested": false
   },
   {
    "RulebookFieldId": "KnowledgeFragments.SourceAgentIsStillEngaged",
    "TargetTable": "KnowledgeFragments",
    "FieldName": "SourceAgentIsStillEngaged",
    "FieldType": "lookup",
    "Datatype": "boolean",
    "Formula": "=INDEX(Agents!{{IsStillEngaged}}, MATCH({{SourceAgent}}, Agents!{{AgentId}}, 0))",
    "InventedForQuestion": "q-authority-orphaned-provenance",
    "SemanticTypeIri": "urn:effortless:pko-extension#RulebookField",
    "Name": "KnowledgeFragments.SourceAgentIsStillEngaged",
    "IsDerived": true,
    "IsWitness": true,
    "DisagreeingSubstrateCount": 0,
    "IsSubstrateContested": false
   },
   {
    "RulebookFieldId": "KnowledgeFragments.SourceAgentKind",
    "TargetTable": "KnowledgeFragments",
    "FieldName": "SourceAgentKind",
    "FieldType": "lookup",
    "Datatype": "string",
    "Formula": "=INDEX(Agents!{{AgentKind}}, MATCH({{SourceAgent}}, Agents!{{AgentId}}, 0))",
    "InventedForQuestion": "q-authority-orphaned-provenance",
    "SemanticTypeIri": "urn:effortless:pko-extension#RulebookField",
    "Name": "KnowledgeFragments.SourceAgentKind",
    "IsDerived": true,
    "IsWitness": true,
    "DisagreeingSubstrateCount": 0,
    "IsSubstrateContested": false
   },
   {
    "RulebookFieldId": "KnowledgeFragments.HasHumanSource",
    "TargetTable": "KnowledgeFragments",
    "FieldName": "HasHumanSource",
    "FieldType": "calculated",
    "Datatype": "boolean",
    "Formula": "={{SourceAgentKind}} = \"Human\"",
    "InventedForQuestion": "q-authority-orphaned-provenance",
    "SemanticTypeIri": "urn:effortless:pko-extension#RulebookField",
    "Name": "KnowledgeFragments.HasHumanSource",
    "IsDerived": true,
    "IsWitness": true,
    "DisagreeingSubstrateCount": 0,
    "IsSubstrateContested": false
   },
   {
    "RulebookFieldId": "KnowledgeFragments.HasOrphanedProvenance",
    "TargetTable": "KnowledgeFragments",
    "FieldName": "HasOrphanedProvenance",
    "FieldType": "calculated",
    "Datatype": "boolean",
    "Formula": "=AND({{IsCurrentlyValid}}, NOT({{SourceAgentIsStillEngaged}}))",
    "InventedForQuestion": "q-authority-orphaned-provenance",
    "SemanticTypeIri": "urn:effortless:pko-extension#RulebookField",
    "Name": "KnowledgeFragments.HasOrphanedProvenance",
    "IsDerived": true,
    "IsWitness": true,
    "DisagreeingSubstrateCount": 0,
    "IsSubstrateContested": false
   },
   {
    "RulebookFieldId": "KnowledgeFragments.IsUndefendableTacitClaim",
    "TargetTable": "KnowledgeFragments",
    "FieldName": "IsUndefendableTacitClaim",
    "FieldType": "calculated",
    "Datatype": "boolean",
    "Formula": "=AND({{HasOrphanedProvenance}}, OR({{KnowledgeForm}} = \"Tacit\", {{KnowledgeForm}} = \"SituatedJudgment\"))",
    "InventedForQuestion": "q-authority-orphaned-provenance",
    "SemanticTypeIri": "urn:effortless:pko-extension#RulebookField",
    "Name": "KnowledgeFragments.IsUndefendableTacitClaim",
    "IsDerived": true,
    "IsWitness": true,
    "DisagreeingSubstrateCount": 0,
    "IsSubstrateContested": false
   },
   {
    "RulebookFieldId": "KnowledgeFragments.IsApproved",
    "TargetTable": "KnowledgeFragments",
    "FieldName": "IsApproved",
    "FieldType": "calculated",
    "Datatype": "boolean",
    "Formula": "={{Status}} = \"Approved\"",
    "InventedForQuestion": "q-authority-non-approved-dependency",
    "SemanticTypeIri": "urn:effortless:pko-extension#RulebookField",
    "Name": "KnowledgeFragments.IsApproved",
    "IsDerived": true,
    "IsWitness": true,
    "DisagreeingSubstrateCount": 0,
    "IsSubstrateContested": false
   },
   {
    "RulebookFieldId": "KnowledgeFragments.IsWithinValidityWindow",
    "TargetTable": "KnowledgeFragments",
    "FieldName": "IsWithinValidityWindow",
    "FieldType": "calculated",
    "Datatype": "boolean",
    "Formula": "=AND({{ValidFrom}} &lt;= {{AsOfInstant}}, OR({{ValidTo}} = \"\", {{ValidTo}} &gt; {{AsOfInstant}}))",
    "InventedForQuestion": "q-authority-non-approved-dependency",
    "SemanticTypeIri": "urn:effortless:pko-extension#RulebookField",
    "Name": "KnowledgeFragments.IsWithinValidityWindow",
    "IsDerived": true,
    "IsWitness": true,
    "DisagreeingSubstrateCount": 0,
    "IsSubstrateContested": false
   },
   {
    "RulebookFieldId": "KnowledgeFragments.IsReliedUpon",
    "TargetTable": "KnowledgeFragments",
    "FieldName": "IsReliedUpon",
    "FieldType": "calculated",
    "Datatype": "boolean",
    "Formula": "=AND({{Step}} &lt;&gt; \"\", {{IsWithinValidityWindow}})",
    "InventedForQuestion": "q-authority-non-approved-dependency",
    "SemanticTypeIri": "urn:effortless:pko-extension#RulebookField",
    "Name": "KnowledgeFragments.IsReliedUpon",
    "IsDerived": true,
    "IsWitness": true,
    "DisagreeingSubstrateCount": 0,
    "IsSubstrateContested": false
   },
   {
    "RulebookFieldId": "KnowledgeFragments.StepProcedureVersionStatus",
    "TargetTable": "KnowledgeFragments",
    "FieldName": "StepProcedureVersionStatus",
    "FieldType": "lookup",
    "Datatype": "string",
    "Formula": "=INDEX(Steps!{{ProcedureVersion}}, MATCH({{Step}}, Steps!{{StepId}}, 0))",
    "InventedForQuestion": "q-authority-non-approved-dependency",
    "SemanticTypeIri": "urn:effortless:pko-extension#RulebookField",
    "Name": "KnowledgeFragments.StepProcedureVersionStatus",
    "IsDerived": true,
    "IsWitness": true,
    "DisagreeingSubstrateCount": 0,
    "IsSubstrateContested": false
   },
   {
    "RulebookFieldId": "KnowledgeFragments.IsAttachedToLiveVersion",
    "TargetTable": "KnowledgeFragments",
    "FieldName": "IsAttachedToLiveVersion",
    "FieldType": "lookup",
    "Datatype": "boolean",
    "Formula": "=INDEX(ProcedureVersions!{{IsLive}}, MATCH({{ProcedureVersion}}, ProcedureVersions!{{ProcedureVersionId}}, 0))",
    "InventedForQuestion": "q-authority-non-approved-dependency",
    "SemanticTypeIri": "urn:effortless:pko-extension#RulebookField",
    "Name": "KnowledgeFragments.IsAttachedToLiveVersion",
    "IsDerived": true,
    "IsWitness": true,
    "DisagreeingSubstrateCount": 0,
    "IsSubstrateContested": false
   },
   {
    "RulebookFieldId": "KnowledgeFragments.IsUnapprovedButReliedOn",
    "TargetTable": "KnowledgeFragments",
    "FieldName": "IsUnapprovedButReliedOn",
    "FieldType": "calculated",
    "Datatype": "boolean",
    "Formula": "=AND({{IsReliedUpon}}, {{IsAttachedToLiveVersion}}, NOT({{IsApproved}}))",
    "InventedForQuestion": "q-authority-non-approved-dependency",
    "SemanticTypeIri": "urn:effortless:pko-extension#RulebookField",
    "Name": "KnowledgeFragments.IsUnapprovedButReliedOn",
    "IsDerived": true,
    "IsWitness": true,
    "DisagreeingSubstrateCount": 0,
    "IsSubstrateContested": false
   },
   {
    "RulebookFieldId": "KnowledgeFragments.EvidenceAgeDays",
    "TargetTable": "KnowledgeFragments",
    "FieldName": "EvidenceAgeDays",
    "FieldType": "lookup",
    "Datatype": "integer",
    "Formula": "=INDEX(ElicitationSessions!{{DaysSinceElicited}}, MATCH({{ElicitationSession}}, ElicitationSessions!{{ElicitationSessionId}}, 0))",
    "InventedForQuestion": "q-authority-stale-elicitation",
    "SemanticTypeIri": "urn:effortless:pko-extension#RulebookField",
    "Name": "KnowledgeFragments.EvidenceAgeDays",
    "IsDerived": true,
    "IsWitness": true,
    "DisagreeingSubstrateCount": 7,
    "IsSubstrateContested": true
   },
   {
    "RulebookFieldId": "KnowledgeFragments.HasRecordedElicitation",
    "TargetTable": "KnowledgeFragments",
    "FieldName": "HasRecordedElicitation",
    "FieldType": "calculated",
    "Datatype": "boolean",
    "Formula": "={{ElicitationSession}} &lt;&gt; \"\"",
    "InventedForQuestion": "q-authority-stale-elicitation",
    "SemanticTypeIri": "urn:effortless:pko-extension#RulebookField",
    "Name": "KnowledgeFragments.HasRecordedElicitation",
    "IsDerived": true,
    "IsWitness": true,
    "DisagreeingSubstrateCount": 0,
    "IsSubstrateContested": false
   },
   {
    "RulebookFieldId": "KnowledgeFragments.IsFromSingleWitness",
    "TargetTable": "KnowledgeFragments",
    "FieldName": "IsFromSingleWitness",
    "FieldType": "lookup",
    "Datatype": "boolean",
    "Formula": "=INDEX(ElicitationSessions!{{IsSingleWitnessMethod}}, MATCH({{ElicitationSession}}, ElicitationSessions!{{ElicitationSessionId}}, 0))",
    "InventedForQuestion": "q-authority-stale-elicitation",
    "SemanticTypeIri": "urn:effortless:pko-extension#RulebookField",
    "Name": "KnowledgeFragments.IsFromSingleWitness",
    "IsDerived": true,
    "IsWitness": true,
    "DisagreeingSubstrateCount": 0,
    "IsSubstrateContested": false
   },
   {
    "RulebookFieldId": "KnowledgeFragments.EvidenceExpiryDays",
    "TargetTable": "KnowledgeFragments",
    "FieldName": "EvidenceExpiryDays",
    "FieldType": "calculated",
    "Datatype": "integer",
    "Form</t>
  </si>
  <si>
    <t xml:space="preserve">ula": "=IF({{IsFromSingleWitness}}, 180, 365)",
    "InventedForQuestion": "q-authority-stale-elicitation",
    "SemanticTypeIri": "urn:effortless:pko-extension#RulebookField",
    "Name": "KnowledgeFragments.EvidenceExpiryDays",
    "IsDerived": true,
    "IsWitness": true,
    "DisagreeingSubstrateCount": 2,
    "IsSubstrateContested": true
   },
   {
    "RulebookFieldId": "KnowledgeFragments.EvidenceHasExpired",
    "TargetTable": "KnowledgeFragments",
    "FieldName": "EvidenceHasExpired",
    "FieldType": "calculated",
    "Datatype": "boolean",
    "Formula": "=AND({{HasRecordedElicitation}}, {{EvidenceAgeDays}} &gt; {{EvidenceExpiryDays}})",
    "InventedForQuestion": "q-authority-stale-elicitation",
    "SemanticTypeIri": "urn:effortless:pko-extension#RulebookField",
    "Name": "KnowledgeFragments.EvidenceHasExpired",
    "IsDerived": true,
    "IsWitness": true,
    "DisagreeingSubstrateCount": 1,
    "IsSubstrateContested": true
   },
   {
    "RulebookFieldId": "KnowledgeFragments.OwnerAgent",
    "TargetTable": "KnowledgeFragments",
    "FieldName": "OwnerAgent",
    "FieldType": "lookup",
    "Datatype": "string",
    "Formula": "=INDEX(Roles!{{CurrentAgent}}, MATCH({{OwnerRole}}, Roles!{{RoleId}}, 0))",
    "InventedForQuestion": "q-hr-unapproved-knowledge-in-my-name",
    "SemanticTypeIri": "urn:effortless:pko-extension#RulebookField",
    "Name": "KnowledgeFragments.OwnerAgent",
    "IsDerived": true,
    "IsWitness": true,
    "DisagreeingSubstrateCount": 0,
    "IsSubstrateContested": false
   },
   {
    "RulebookFieldId": "KnowledgeFragments.IsAwaitingApproval",
    "TargetTable": "KnowledgeFragments",
    "FieldName": "IsAwaitingApproval",
    "FieldType": "calculated",
    "Datatype": "boolean",
    "Formula": "={{Status}} = \"Reviewed\"",
    "InventedForQuestion": "q-hr-unapproved-knowledge-in-my-name",
    "SemanticTypeIri": "urn:effortless:pko-extension#RulebookField",
    "Name": "KnowledgeFragments.IsAwaitingApproval",
    "IsDerived": true,
    "IsWitness": true,
    "DisagreeingSubstrateCount": 0,
    "IsSubstrateContested": false
   },
   {
    "RulebookFieldId": "KnowledgeFragments.OwnerIsMe",
    "TargetTable": "KnowledgeFragments",
    "FieldName": "OwnerIsMe",
    "FieldType": "calculated",
    "Datatype": "boolean",
    "Formula": "={{OwnerRole}} = \"hr-policy-owner\"",
    "InventedForQuestion": "q-hr-unapproved-knowledge-in-my-name",
    "SemanticTypeIri": "urn:effortless:pko-extension#RulebookField",
    "Name": "KnowledgeFragments.OwnerIsMe",
    "IsDerived": true,
    "IsWitness": true,
    "DisagreeingSubstrateCount": 0,
    "IsSubstrateContested": false
   },
   {
    "RulebookFieldId": "KnowledgeFragments.IsMyUnfinishedApproval",
    "TargetTable": "KnowledgeFragments",
    "FieldName": "IsMyUnfinishedApproval",
    "FieldType": "calculated",
    "Datatype": "boolean",
    "Formula": "=AND({{OwnerIsMe}}, {{IsAwaitingApproval}})",
    "InventedForQuestion": "q-hr-unapproved-knowledge-in-my-name",
    "SemanticTypeIri": "urn:effortless:pko-extension#RulebookField",
    "Name": "KnowledgeFragments.IsMyUnfinishedApproval",
    "IsDerived": true,
    "IsWitness": true,
    "DisagreeingSubstrateCount": 0,
    "IsSubstrateContested": false
   },
   {
    "RulebookFieldId": "KnowledgeFragments.IsInvokedByAnException",
    "TargetTable": "KnowledgeFragments",
    "FieldName": "IsInvokedByAnException",
    "FieldType": "aggregation",
    "Datatype": "integer",
    "Formula": "=COUNTIFS(Exceptions!{{TriggerStep}}, KnowledgeFragments!{{Step}})",
    "InventedForQuestion": "q-hr-unapproved-knowledge-in-my-name",
    "SemanticTypeIri": "urn:effortless:pko-extension#RulebookField",
    "Name": "KnowledgeFragments.IsInvokedByAnException",
    "IsDerived": true,
    "IsWitness": true,
    "DisagreeingSubstrateCount": 1,
    "IsSubstrateContested": true
   },
   {
    "RulebookFieldId": "KnowledgeFragments.HasOperationalReliance",
    "TargetTable": "KnowledgeFragments",
    "FieldName": "HasOperationalReliance",
    "FieldType": "calculated",
    "Datatype": "boolean",
    "Formula": "={{IsInvokedByAnException}} &gt; 0",
    "InventedForQuestion": "q-hr-unapproved-knowledge-in-my-name",
    "SemanticTypeIri": "urn:effortless:pko-extension#RulebookField",
    "Name": "KnowledgeFragments.HasOperationalReliance",
    "IsDerived": true,
    "IsWitness": true,
    "DisagreeingSubstrateCount": 1,
    "IsSubstrateContested": true
   },
   {
    "RulebookFieldId": "KnowledgeFragments.IsUnapprovedAndOperationallyLive",
    "TargetTable": "KnowledgeFragments",
    "FieldName": "IsUnapprovedAndOperationallyLive",
    "FieldType": "calculated",
    "Datatype": "boolean",
    "Formula": "=AND({{IsMyUnfinishedApproval}}, {{HasOperationalReliance}})",
    "InventedForQuestion": "q-hr-unapproved-knowledge-in-my-name",
    "SemanticTypeIri": "urn:effortless:pko-extension#RulebookField",
    "Name": "KnowledgeFragments.IsUnapprovedAndOperationallyLive",
    "IsDerived": true,
    "IsWitness": true,
    "DisagreeingSubstrateCount": 1,
    "IsSubstrateContested": true
   },
   {
    "RulebookFieldId": "KnowledgeFragments.AgeDays",
    "TargetTable": "KnowledgeFragments",
    "FieldName": "AgeDays",
    "FieldType": "calculated",
    "Datatype": "integer",
    "Formula": "=DATETIME_DIFF({{AsOfInstant}}, {{ValidFrom}}, \"days\")",
    "InventedForQuestion": "q-hr-policy-knowledge-half-life",
    "SemanticTypeIri": "urn:effortless:pko-extension#RulebookField",
    "Name": "KnowledgeFragments.AgeDays",
    "IsDerived": true,
    "IsWitness": true,
    "DisagreeingSubstrateCount": 7,
    "IsSubstrateContested": true
   },
   {
    "RulebookFieldId": "KnowledgeFragments.IsLowConfidence",
    "TargetTable": "KnowledgeFragments",
    "FieldName": "IsLowConfidence",
    "FieldType": "calculated",
    "Datatype": "boolean",
    "Formula": "=OR({{Confidence}} = \"Medium\", {{Confidence}} = \"Low\")",
    "InventedForQuestion": "q-hr-policy-knowledge-half-life",
    "SemanticTypeIri": "urn:effortless:pko-extension#RulebookField",
    "Name": "KnowledgeFragments.IsLowConfidence",
    "IsDerived": true,
    "IsWitness": true,
    "DisagreeingSubstrateCount": 0,
    "IsSubstrateContested": false
   },
   {
    "RulebookFieldId": "KnowledgeFragments.OwningVersionCadenceDays",
    "TargetTable": "KnowledgeFragments",
    "FieldName": "OwningVersionCadenceDays",
    "FieldType": "lookup",
    "Datatype": "integer",
    "Formula": "=INDEX(ProcedureVersions!{{StewardReviewCadenceDays}}, MATCH({{ProcedureVersion}}, ProcedureVersions!{{ProcedureVersionId}}, 0))",
    "InventedForQuestion": "q-hr-policy-knowledge-half-life",
    "SemanticTypeIri": "urn:effortless:pko-extension#RulebookField",
    "Name": "KnowledgeFragments.OwningVersionCadenceDays",
    "IsDerived": true,
    "IsWitness": true,
    "DisagreeingSubstrateCount": 0,
    "IsSubstrateContested": false
   },
   {
    "RulebookFieldId": "KnowledgeFragments.ExceedsOwningCadence",
    "TargetTable": "KnowledgeFragments",
    "FieldName": "ExceedsOwningCadence",
    "FieldType": "calculated",
    "Datatype": "boolean",
    "Formula": "={{AgeDays}} &gt; {{OwningVersionCadenceDays}}",
    "InventedForQuestion": "q-hr-policy-knowledge-half-life",
    "SemanticTypeIri": "urn:effortless:pko-extension#RulebookField",
    "Name": "KnowledgeFragments.ExceedsOwningCadence",
    "IsDerived": true,
    "IsWitness": true,
    "DisagreeingSubstrateCount": 0,
    "IsSubstrateContested": false
   },
   {
    "RulebookFieldId": "KnowledgeFragments.IsAgingLowConfidenceClaim",
    "TargetTable": "KnowledgeFragments",
    "FieldName": "IsAgingLowConfidenceClaim",
    "FieldType": "calculated",
    "Datatype": "boolean",
    "Formula": "=AND({{ExceedsOwningCadence}}, {{IsLowConfidence}})",
    "InventedForQuestion": "q-hr-policy-knowledge-half-life",
    "SemanticTypeIri": "urn:effortless:pko-extension#RulebookField",
    "Name": "KnowledgeFragments.IsAgingLowConfidenceClaim",
    "IsDerived": true,
    "IsWitness": true,
    "DisagreeingSubstrateCount": 0,
    "IsSubstrateContested": false
   },
   {
    "RulebookFieldId": "KnowledgeFragments.OwnerRoleAgentKind",
    "TargetTable": "KnowledgeFragments",
    "FieldName": "OwnerRoleAgentKind",
    "FieldType": "lookup",
    "Datatype": "string",
    "Formula": "=INDEX(Roles!{{CurrentAgentKind}}, MATCH({{OwnerRole}}, Roles!{{RoleId}}, 0))",
    "InventedForQuestion": "q-variance-ai-knowledge-currency",
    "SemanticTypeIri": "urn:effortless:pko-extension#RulebookField",
    "Name": "KnowledgeFragments.OwnerRoleAgentKind",
    "IsDerived": true,
    "IsWitness": true,
    "DisagreeingSubstrateCount": 0,
    "IsSubstrateContested": false
   },
   {
    "RulebookFieldId": "KnowledgeFragments.IsHumanOwned",
    "TargetTable": "KnowledgeFragments",
    "FieldName": "IsHumanOwned",
    "FieldType": "calculated",
    "Datatype": "boolean",
    "Formula": "={{OwnerRoleAgentKind}} = \"Human\"",
    "InventedForQuestion": "q-variance-ai-knowledge-currency",
    "SemanticTypeIri": "urn:effortless:pko-extension#RulebookField",
    "Name": "KnowledgeFragments.IsHumanOwned",
    "IsDerived": true,
    "IsWitness": true,
    "DisagreeingSubstrateCount": 0,
    "IsSubstrateContested": false
   },
   {
    "RulebookFieldId": "KnowledgeFragments.IsAiValidatedByAi",
    "TargetTable": "KnowledgeFragments",
    "FieldName": "IsAiValidatedByAi",
    "FieldType": "calculated",
    "Datatype": "boolean",
    "Formula": "=AND(NOT({{SourceAgentKind}} = \"Human\"), NOT({{IsHumanOwned}}))",
    "InventedForQuestion": "q-variance-ai-knowledge-currency",
    "SemanticTypeIri": "urn:effortless:pko-extension#RulebookField",
    "Name": "KnowledgeFragments.IsAiValidatedByAi",
    "IsDerived": true,
    "IsWitness": true,
    "DisagreeingSubstrateCount": 0,
    "IsSubstrateContested": false
   },
   {
    "RulebookFieldId": "KnowledgeFragments.ReviewCadenceDays",
    "TargetTable": "KnowledgeFragments",
    "FieldName": "ReviewCadenceDays",
    "FieldType": "lookup",
    "Datatype": "integer",
    "Formula": "=INDEX(ProcedureVersions!{{StewardReviewCadenceDays}}, MATCH({{ProcedureVersion}}, ProcedureVersions!{{ProcedureVersionId}}, 0))",
    "InventedForQuestion": "q-variance-ai-knowledge-currency",
    "SemanticTypeIri": "urn:effortless:pko-extension#RulebookField",
    "Name": "KnowledgeFragments.ReviewCadenceDays",
    "IsDerived": true,
    "IsWitness": true,
    "DisagreeingSubstrateCount": 0,
    "IsSubstrateContested": false
   },
   {
    "RulebookFieldId": "KnowledgeFragments.IsOverdueForReview",
    "TargetTable": "KnowledgeFragments",
    "FieldName": "IsOverdueForReview",
    "FieldType": "calculated",
    "Datatype": "boolean",
    "Formula": "=AND({{IsCurrentlyValid}}, {{AgeDays}} &gt; {{ReviewCadenceDays}})",
    "InventedForQuestion": "q-variance-ai-knowledge-currency",
    "SemanticTypeIri": "urn:effortless:pko-extension#RulebookField",
    "Name": "KnowledgeFragments.IsOverdueForReview",
    "IsDerived": true,
    "IsWitness": true,
    "DisagreeingSubstrateCount": 0,
    "IsSubstrateContested": false
   },
   {
    "RulebookFieldId": "KnowledgeFragments.PredatesCurrentRoleHolder",
    "TargetTable": "KnowledgeFragments",
    "FieldName": "PredatesCurrentRoleHolder",
    "FieldType": "calculated",
    "Datatype": "boolean",
    "Formula": "=AND({{OwnerRoleAgentKind}} &lt;&gt; \"\", {{ValidFrom}} &lt; {{OwnerRoleAssignmentValidFrom}})",
    "InventedForQuestion": "q-variance-ai-knowledge-currency",
    "SemanticTypeIri": "urn:effortless:pko-extension#RulebookField",
    "Name": "KnowledgeFragments.PredatesCurrentRoleHolder",
    "IsDerived": true,
    "IsWitness": true,
    "DisagreeingSubstrateCount": 0,
    "IsSubstrateContested": false
   },
   {
    "RulebookFieldId": "KnowledgeFragments.OwnerRoleAssignmentValidFrom",
    "TargetTable": "KnowledgeFragments",
    "FieldName": "OwnerRoleAssignmentValidFrom",
    "FieldType": "lookup",
    "Datatype": "datetime",
    "Formula": "=INDEX(Roles!{{CurrentAssignmentValidFrom}}, MATCH({{OwnerRole}}, Roles!{{RoleId}}, 0))",
    "InventedForQuestion": "q-variance-ai-knowledge-currency",
    "SemanticTypeIri": "urn:effortless:pko-extension#RulebookField",
    "Name": "KnowledgeFragments.OwnerRoleAssignmentValidFrom",
    "IsDerived": true,
    "IsWitness": true,
    "DisagreeingSubstrateCount": 1,
    "IsSubstrateContested": true
   },
   {
    "RulebookFieldId": "KnowledgeFragments.LastReviewedAt",
    "TargetTable": "KnowledgeFragments",
    "FieldName": "LastReviewedAt",
    "FieldType": "raw",
    "Datatype": "datetime",
    "Formula": null,
    "InventedForQuestion": null,
    "SemanticTypeIri": "urn:effortless:pko-extension#RulebookField",
    "Name": "KnowledgeFragments.LastReviewedAt",
    "IsDerived": false,
    "IsWitness": false,
    "DisagreeingSubstrateCount": 0,
    "IsSubstrateContested": false
   },
   {
    "RulebookFieldId": "KnowledgeFragments.FragilitySignalCount",
    "TargetTable": "KnowledgeFragments",
    "FieldName": "FragilitySignalCount",
    "FieldType": "calculated",
    "Datatype": "integer",
    "Formula": "=IF({{IsFromSingleWitness}}, 1, 0) + IF({{IsOverdueForReview}}, 1, 0) + IF({{IsLowConfidence}}, 1, 0) + IF({{HasOperationalReliance}}, 1, 0)",
    "InventedForQuestion": "q2-authority-compound-fragility",
    "SemanticTypeIri": "urn:effortless:pko-extension#RulebookField",
    "Name": "KnowledgeFragments.FragilitySignalCount",
    "IsDerived": true,
    "IsWitness": true,
    "DisagreeingSubstrateCount": 2,
    "IsSubstrateContested": true
   },
   {
    "RulebookFieldId": "KnowledgeFragments.IsCompoundFragile",
    "TargetTable": "KnowledgeFragments",
    "FieldName": "IsCompoundFragile",
    "FieldType": "calculated",
    "Datatype": "boolean",
    "Formula": "={{FragilitySignalCount}} &gt;= 3",
    "InventedForQuestion": "q2-authority-compound-fragility",
    "SemanticTypeIri": "urn:effortless:pko-extension#RulebookField",
    "Name": "KnowledgeFragments.IsCompoundFragile",
    "IsDerived": true,
    "IsWitness": true,
    "DisagreeingSubstrateCount": 1,
    "IsSubstrateContested": true
   },
   {
    "RulebookFieldId": "KnowledgeFragments.IsSinglePointOfFailure",
    "TargetTable": "KnowledgeFragments",
    "FieldName": "IsSinglePointOfFailure",
    "FieldType": "calculated",
    "Datatype": "boolean",
    "Formula": "=AND({{IsFromSingleWitness}}, {{HasOperationalReliance}})",
    "InventedForQuestion": "q2-authority-compound-fragility",
    "SemanticTypeIri": "urn:effortless:pko-extension#RulebookField",
    "Name": "KnowledgeFragments.IsSinglePointOfFailure",
    "IsDerived": true,
    "IsWitness": true,
    "DisagreeingSubstrateCount": 0,
    "IsSubstrateContested": false
   },
   {
    "RulebookFieldId": "KnowledgeFragments.IsExpiringSinglePointOfFailure",
    "TargetTable": "KnowledgeFragments",
    "FieldName": "IsExpiringSinglePointOfFailure",
    "FieldType": "calculated",
    "Datatype": "boolean",
    "Formula": "=AND({{IsSinglePointOfFailure}}, {{IsOverdueForReview}})",
    "InventedForQuestion": "q2-authority-compound-fragility",
    "SemanticTypeIri": "urn:effortless:pko-extension#RulebookField",
    "Name": "KnowledgeFragments.IsExpiringSinglePointOfFailure",
    "IsDerived": true,
    "IsWitness": true,
    "DisagreeingSubstrateCount": 0,
    "IsSubstrateContested": false
   },
   {
    "RulebookFieldId": "KnowledgeFragments.CompoundFragileVersionKey",
    "TargetTable": "KnowledgeFragments",
    "FieldName": "CompoundFragileVersionKey",
    "FieldType": "calculated",
    "Datatype": "string",
    "Formula": "=IF({{IsCompoundFragile}}, {{ProcedureVersion}}, \"\")",
    "InventedForQuestion": "q2-authority-compound-fragility",
    "SemanticTypeIri": "urn:effortless:pko-extension#RulebookField",
    "Name": "KnowledgeFragments.CompoundFragileVersionKey",
    "IsDerived": true,
    "IsWitness": true,
    "DisagreeingSubstrateCount": 1,
    "IsSubstrateContested": true
   },
   {
    "RulebookFieldId": "KnowledgeFragments.ValidFragmentSessionKey",
    "TargetTable": "KnowledgeFragments",
    "FieldName": "ValidFragmentSessionKey",
    "FieldType": "calculated",
    "Datatype": "string",
    "Formula": "=IF({{IsCurrentlyValid}}, {{ElicitationSession}}, \"\")",
    "InventedForQuestion": "q2-authority-elicitation-method-monoculture",
    "SemanticTypeIri": "urn:effortless:pko-extension#RulebookField",
    "Name": "KnowledgeFragments.ValidFragmentSessionKey",
    "IsDerived": true,
    "IsWitness": true,
    "DisagreeingSubstrateCount": 0,
    "IsSubstrateContested": false
   },
   {
    "RulebookFieldId": "KnowledgeFragments.ConsumingStepIsSoftwareAssigned",
    "TargetTable": "KnowledgeFragments",
    "FieldName": "ConsumingStepIsSoftwareAssigned",
    "FieldType": "lookup",
    "Datatype": "boolean",
    "Formula": "=INDEX(Steps!{{IsSoftwareAssigned}}, MATCH({{Step}}, Steps!{{StepId}}, 0))",
    "InventedForQuestion": "q2-authority-unapproved-knowledge-reaching-machines",
    "SemanticTypeIri": "urn:effortless:pko-extension#RulebookField",
    "Name": "KnowledgeFragments.ConsumingStepIsSoftwareAssigned",
    "IsDerived": true,
    "IsWitness": true,
    "DisagreeingSubstrateCount": 0,
    "IsSubstrateContested": false
   },
   {
    "RulebookFieldId": "KnowledgeFragments.ConsumingStepAgentKind",
    "TargetTable": "KnowledgeFragments",
    "FieldName": "ConsumingStepAgentKind",
    "FieldType": "lookup",
    "Datatype": "string",
    "Formula": "=INDEX(Steps!{{AssignedAgentKind}}, MATCH({{Step}}, Steps!{{StepId}}, 0))",
    "InventedForQuestion": "q2-authority-unapproved-knowledge-reaching-machines",
    "SemanticTypeIri": "urn:effortless:pko-extension#RulebookField",
    "Name": "KnowledgeFragments.ConsumingStepAgentKind",
    "IsDerived": true,
    "IsWitness": true,
    "DisagreeingSubstrateCount": 0,
    "IsSubstrateContested": false
   },
   {
    "RulebookFieldId": "KnowledgeFragments.IsUnapprovedAndMachineConsumed",
    "TargetTable": "KnowledgeFragments",
    "FieldName": "IsUnapprovedAndMachineConsumed",
    "FieldType": "calculated",
    "Datatype": "boolean",
    "Formula": "=AND({{IsUnapprovedButReliedOn}}, {{ConsumingStepIsSoftwareAssigned}})",
    "InventedForQuestion": "q2-authority-unapproved-knowledge-reaching-machines",
    "SemanticTypeIri": "urn:effortless:pko-extension#RulebookField",
    "Name": "KnowledgeFragments.IsUnapprovedAndMachineConsumed",
    "IsDerived": true,
    "IsWitness": true,
    "DisagreeingSubstrateCount": 0,
    "IsSubstrateContested": false
   },
   {
    "RulebookFieldId": "KnowledgeFragments.IsUnapprovedAndHumanConsumed",
    "TargetTable": "KnowledgeFragments",
    "FieldName": "IsUnapprovedAndHumanConsumed",
    "FieldType": "calculated",
    "Datatype": "boolean",
    "Formula": "=AND({{IsUnapprovedButReliedOn}}, NOT({{ConsumingStepIsSoftwareAssigned}}))",
    "InventedForQuestion": "q2-authority-unapproved-knowledge-reaching-machines",
    "SemanticTypeIri": "urn:effortless:pko-extension#RulebookField",
    "Name": "KnowledgeFragments.IsUnapprovedAndHumanConsumed",
    "IsDerived": true,
    "IsWitness": true,
    "DisagreeingSubstrateCount": 0,
    "IsSubstrateContested": false
   },
   {
    "RulebookFieldId": "KnowledgeFragments.MachineConsumedUnapprovedVersionKey",
    "TargetTable": "KnowledgeFragments",
    "FieldName": "MachineConsumedUnapprovedVersionKey",
    "FieldType": "calculated",
    "Datatype": "string",
    "Formula": "=IF({{IsUnapprovedAndMachineConsumed}}, {{ProcedureVersion}}, \"\")",
    "InventedForQuestion": "q2-authority-unapproved-knowledge-reaching-machines",
    "SemanticTypeIri": "urn:effortless:pko-extension#RulebookField",
    "Name": "KnowledgeFragments.MachineConsumedUnapprovedVersionKey",
    "IsDerived": true,
    "IsWitness": true,
    "DisagreeingSubstrateCount": 0,
    "IsSubstrateContested": false
   },
   {
    "RulebookFieldId": "KnowledgeFragments.HasReviewRecord",
    "TargetTable": "KnowledgeFragments",
    "FieldName": "HasReviewRecord",
    "FieldType": "calculated",
    "Datatype": "boolean",
    "Formula": "={{LastReviewedAt}} &lt;&gt; \"\"",
    "InventedForQuestion": "q2-authority-review-date-is-inferred-not-recorded",
    "SemanticTypeIri": "urn:effortless:pko-extension#RulebookField",
    "Name": "KnowledgeFragments.HasReviewRecord",
    "IsDerived": true,
    "IsWitness": true,
    "DisagreeingSubstrateCount": 0,
    "IsSubstrateContested": false
   },
   {
    "RulebookFieldId": "KnowledgeFragments.DaysSinceActualReview",
    "TargetTable": "KnowledgeFragments",
    "FieldName": "DaysSinceActualReview",
    "FieldType": "calculated",
    "Datatype": "integer",
    "Formula": "=IF({{HasReviewRecord}}, DATETIME_DIFF({{AsOfInstant}}, {{LastReviewedAt}}, \"days\"), 0)",
    "InventedForQuestion": "q2-authority-review-date-is-inferred-not-recorded",
    "SemanticTypeIri": "urn:effortless:pko-extension#RulebookField",
    "Name": "KnowledgeFragments.DaysSinceActualReview",
    "IsDerived": true,
    "IsWitness": true,
    "DisagreeingSubstrateCount": 7,
    "IsSubstrateContested": true
   },
   {
    "RulebookFieldId": "KnowledgeFragments.IsUnreviewedSinceAuthoring",
    "TargetTable": "KnowledgeFragments",
    "FieldName": "IsUnreviewedSinceAuthoring",
    "FieldType": "calculated",
    "Datatype": "boolean",
    "Formula": "=AND({{IsCurrentlyValid}}, NOT({{HasReviewRecord}}))",
    "InventedForQuestion": "q2-authority-review-date-is-inferred-not-recorded",
    "SemanticTypeIri": "urn:effortless:pko-extension#RulebookField",
    "Name": "KnowledgeFragments.IsUnreviewedSinceAuthoring",
    "IsDerived": true,
    "IsWitness": true,
    "DisagreeingSubstrateCount": 0,
    "IsSubstrateContested": false
   },
   {
    "RulebookFieldId": "KnowledgeFragments.IsGenuinelyOverdue",
    "TargetTable": "KnowledgeFragments",
    "FieldName": "IsGenuinelyOverdue",
    "FieldType": "calculated",
    "Datatype": "boolean",
    "Formula": "=AND({{IsCurrentlyValid}}, {{HasReviewRecord}}, {{DaysSinceActualReview}} &gt; {{ReviewCadenceDays}})",
    "InventedForQuestion": "q2-authority-review-date-is-inferred-not-recorded",
    "SemanticTypeIri": "urn:effortless:pko-extension#RulebookField",
    "Name": "KnowledgeFragments.IsGenuinelyOverdue",
    "IsDerived": true,
    "IsWitness": true,
    "DisagreeingSubstrateCount": 0,
    "IsSubstrateContested": false
   },
   {
    "RulebookFieldId": "KnowledgeFragments.ReviewRecencyIsInferred",
    "TargetTable": "KnowledgeFragments",
    "FieldName": "ReviewRecencyIsInferred",
    "FieldType": "calculated",
    "Datatype": "boolean",
    "Formula": "=AND({{IsOverdueForReview}}, NOT({{HasReviewRecord}}))",
    "InventedForQuestion": "q2-authority-review-date-is-inferred-not-recorded",
    "SemanticTypeIri": "urn:effortless:pko-extension#RulebookField",
    "Name": "KnowledgeFragments.ReviewRecencyIsInferred",
    "IsDerived": true,
    "IsWitness": true,
    "DisagreeingSubstrateCount": 0,
    "IsSubstrateContested": false
   },
   {
    "RulebookFieldId": "KnowledgeFragments.InferenceDisagreesWithRecord",
    "TargetTable": "KnowledgeFragments",
    "FieldName": "InferenceDisagreesWithRecord",
    "FieldType": "calculated",
    "Datatype": "boolean",
    "Formula": "=AND({{HasReviewRecord}}, {{IsOverdueForReview}}, NOT({{IsGenuinelyOverdue}}))",
    "InventedForQuestion": "q2-authority-review-date-is-inferred-not-recorded",
    "SemanticTypeIri": "urn:effortless:pko-extension#RulebookField",
    "Name": "KnowledgeFragments.InferenceDisagreesWithRecord",
    "IsDerived": true,
    "IsWitness": true,
    "DisagreeingSubstrateCount": 0,
    "IsSubstrateContested": false
   },
   {
    "RulebookFieldId": "KnowledgeFragments.GenuinelyOverdueVersionKey",
    "TargetTable": "KnowledgeFragments",
    "FieldName": "GenuinelyOverdueVersionKey",
    "FieldType": "calculated",
    "Datatype": "string",
    "Formula": "=IF({{IsGenuinelyOverdue}}, {{ProcedureVersion}}, \"\")",
    "InventedForQuestion": "q2-authority-review-date-is-inferred-not-recorded",
    "SemanticTypeIri": "urn:effortless:pko-extension#RulebookField",
    "Name": "KnowledgeFragments.GenuinelyOverdueVersionKey",
    "IsDerived": true,
    "IsWitness": true,
    "DisagreeingSubstrateCount": 0,
    "IsSubstrateContested": false
   },
   {
    "RulebookFieldId": "KnowledgeFragments.RatifiedBoundaryCount",
    "TargetTable": "KnowledgeFragments",
    "FieldName": "RatifiedBoundaryCount",
    "FieldType": "aggregation",
    "Datatype": "number",
    "Formula": "=COUNTIFS(AuthorityBoundaries!{{RatifyingFragmentKey}}, {{KnowledgeFragmentId}})",
    "InventedForQuestion": "q2-hr-my-unapproved-claim-is-load-bearing",
    "SemanticTypeIri": "urn:effortless:pko-extension#RulebookField",
    "Name": "KnowledgeFragments.RatifiedBoundaryCount",
    "IsDerived": true,
    "IsWitness": true,
    "DisagreeingSubstrateCount": 0,
    "IsSubstrateContested": false
   },
   {
    "RulebookFieldId": "KnowledgeFragments.RelianceSurfaceCount",
    "TargetTable": "KnowledgeFragments",
    "FieldName": "RelianceSurfaceCount",
    "FieldType": "calculated",
    "Datatype": "integer",
    "Formula": "={{IsInvokedByAnException}} + {{RatifiedBoundaryCount}}",
    "InventedForQuestion": "q2-hr-my-unapproved-claim-is-load-bearing",
    "SemanticTypeIri": "urn:effortless:pko-extension#RulebookField",
    "Name": "KnowledgeFragments.RelianceSurfaceCount",
    "IsDerived": true,
    "IsWitness": true,
    "DisagreeingSubstrateCount": 1,
    "IsSubstrateContested": true
   },
   {
    "RulebookFieldId": "KnowledgeFragments.DaysAwaitingMyApproval",
    "TargetTable": "KnowledgeFragments",
    "FieldName": "DaysAwaitingMyApproval",
    "FieldType": "calculated",
    "Datatype": "integer",
    "Formula": "=IF({{IsMyUnfinishedApproval}}, DATETIME_DIFF({{AsOfInstant}}, {{ValidFrom}}, \"days\"), 0)",
    "InventedForQuestion": "q2-hr-my-unapproved-claim-is-load-bearing",
    "SemanticTypeIri": "urn:effortless:pko-extension#RulebookField",
    "Name": "KnowledgeFragments.DaysAwaitingMyApproval",
    "IsDerived": true,
    "IsWitness": true,
    "DisagreeingSubstrateCount": 7,
    "IsSubstrateContested": true
   },
   {
    "RulebookFieldId": "KnowledgeFragments.IsHighBlastRadiusUnapproved",
    "TargetTable": "KnowledgeFragments",
    "FieldName": "IsHighBlastRadiusUnapproved",
    "FieldType": "calculated",
    "Datatype": "boolean",
    "Formula": "=AND({{IsUnapprovedAndOperationallyLive}}, {{RelianceSurfaceCount}} &gt; 1)",
    "InventedForQuestion": "q2-hr-my-unapproved-claim-is-load-bearing",
    "SemanticTypeIri": "urn:effortless:pko-extension#RulebookField",
    "Name": "KnowledgeFragments.IsHighBlastRadiusUnapproved",
    "IsDerived": true,
    "IsWitness": true,
    "DisagreeingSubstrateCount": 0,
    "IsSubstrateContested": false
   },
   {
    "RulebookFieldId": "KnowledgeFragments.IsLongUnapproved",
    "TargetTable": "KnowledgeFragments",
    "FieldName": "IsLongUnapproved",
    "FieldType": "calculated",
    "Datatype": "boolean",
    "Formula": "=AND({{IsMyUnfinishedApproval}}, {{DaysAwaitingMyApproval}} &gt; 30)",
    "InventedForQuestion": "q2-hr-my-unapproved-claim-is-load-bearing",
    "SemanticTypeIri": "urn:effortless:pko-extension#RulebookField",
    "Name": "KnowledgeFragments.IsLongUnapproved",
    "IsDerived": true,
    "IsWitness": true,
    "DisagreeingSubstrateCount": 0,
    "IsSubstrateContested": false
   },
   {
    "RulebookFieldId": "KnowledgeFragments.UnapprovedLoadBearingVersionKey",
    "TargetTable": "KnowledgeFragments",
    "FieldName": "UnapprovedLoadBearingVersionKey",
    "FieldType": "calculated",
    "Datatype": "string",
    "Formula": "=IF({{IsHighBlastRadiusUnapproved}}, {{ProcedureVersion}}, \"\")",
    "InventedForQuestion": "q2-hr-my-unapproved-claim-is-load-bearing",
    "SemanticTypeIri": "urn:effortless:pko-extension#RulebookField",
    "Name": "KnowledgeFragments.UnapprovedLoadBearingVersionKey",
    "IsDerived": true,
    "IsWitness": true,
    "DisagreeingSubstrateCount": 0,
    "IsSubstrateContested": false
   },
   {
    "RulebookFieldId": "KnowledgeFragments.OwnerRoleIsVacated",
    "TargetTable": "KnowledgeFragments",
    "FieldName": "OwnerRoleIsVacated",
    "FieldType": "lookup",
    "Datatype": "boolean",
    "Formula": "=INDEX(Roles!{{IsVacatedRole}}, MATCH({{OwnerRole}}, Roles!{{RoleId}}, 0))",
    "InventedForQuestion": "q2-hr-departed-holder-left-claims-behind",
    "SemanticTypeIri": "urn:effortless:pko-extension#RulebookField",
    "Name": "KnowledgeFragments.OwnerRoleIsVacated",
    "IsDerived": true,
    "IsWitness": true,
    "DisagreeingSubstrateCount": 0,
    "IsSubstrateContested": false
   },
   {
    "RulebookFieldId": "KnowledgeFragments.IsOrphanedByRole",
    "TargetTable": "KnowledgeFragments",
    "FieldName": "IsOrphanedByRole",
    "FieldType": "calculated",
    "Datatype": "boolean",
    "Formula": "=AND({{IsCurrentlyValid}}, {{OwnerRoleIsVacated}})",
    "InventedForQuestion": "q2-hr-departed-holder-left-claims-behind",
    "SemanticTypeIri": "urn:effortless:pko-extension#RulebookField",
    "Name": "KnowledgeFragments.IsOrphanedByRole",
    "IsDerived": true,
    "IsWitness": true,
    "DisagreeingSubstrateCount": 0,
    "IsSubstrateContested": false
   },
   {
    "RulebookFieldId": "KnowledgeFragments.ValidFragmentVersionKey",
    "TargetTable": "KnowledgeFragments",
    "FieldName": "ValidFragmentVersionKey",
    "FieldType": "calculated",
    "Datatype": "string",
    "Formula": "=IF({{IsCurrentlyValid}}, {{ProcedureVersion}}, \"\")",
    "InventedForQuestion": "q2-steward-unstewarded-version-still-referenced",
    "SemanticTypeIri": "urn:effortless:pko-extension#RulebookField",
    "Name": "KnowledgeFragments.ValidFragmentVersionKey",
    "IsDerived": true,
    "IsWitness": true,
    "DisagreeingSubstrateCount": 0,
    "IsSubstrateContested": false
   },
   {
    "RulebookFieldId": "KnowledgeFragments.SemanticTypeIri",
    "TargetTable": "KnowledgeFragments",
    "FieldName": "SemanticTypeIri",
    "FieldType": "raw",
    "Datatype": "string",
    "Formula": null,
    "InventedForQuestion": null,
    "SemanticTypeIri": "urn:effortless:pko-extension#RulebookField",
    "Name": "KnowledgeFragments.SemanticTypeIri",
    "IsDerived": false,
    "IsWitness": false,
    "DisagreeingSubstrateCount": 0,
    "IsSubstrateContested": false
   },
   {
    "RulebookFieldId": "KnowledgeGaps.KnowledgeGapId",
    "TargetTable": "KnowledgeGaps",
    "FieldName": "KnowledgeGapId",
    "FieldType": "raw",
    "Datatype": "string",
    "Formula": null,
    "InventedForQuestion": null,
    "SemanticTypeIri": "urn:effortless:pko-extension#RulebookField",
    "Name": "KnowledgeGaps.KnowledgeGapId",
    "IsDerived": false,
    "IsWitness": false,
    "DisagreeingSubstrateCount": 0,
    "IsSubstrateContested": false
   },
   {
    "RulebookFieldId": "KnowledgeGaps.Name",
    "TargetTable": "KnowledgeGaps",
    "FieldName": "Name",
    "FieldType": "calculated",
    "Datatype": "string",
    "Formula": "={{Severity}} &amp; \": \" &amp; LEFT({{Statement}}, 60)",
    "InventedForQuestion": null,
    "SemanticTypeIri": "urn:effortless:pko-extension#RulebookField",
    "Name": "KnowledgeGaps.Name",
    "IsDerived": true,
    "IsWitness": false,
    "DisagreeingSubstrateCount": 0,
    "IsSubstrateContested": false
   },
   {
    "RulebookFieldId": "KnowledgeGaps.ProcedureVersion",
    "TargetTable": "KnowledgeGaps",
    "FieldName": "ProcedureVersion",
    "FieldType": "relationship",
    "Datatype": "string",
    "Formula": null,
    "InventedForQuestion": null,
    "SemanticTypeIri": "urn:effortless:pko-extension#RulebookField",
    "Name": "KnowledgeGaps.ProcedureVersion",
    "IsDerived": false,
    "IsWitness": false,
    "DisagreeingSubstrateCount": 0,
    "IsSubstrateContested": false
   },
   {
    "RulebookFieldId": "KnowledgeGaps.Step",
    "TargetTable": "KnowledgeGaps",
    "FieldName": "Step",
    "FieldType": "relationship",
    "Datatype": "string",
    "Formula": null,
    "InventedForQuestion": null,
    "SemanticTypeIri": "urn:effortless:pko-extension#RulebookField",
    "Name": "KnowledgeGaps.Step",
    "IsDerived": false,
    "IsWitness": false,
    "DisagreeingSubstrateCount": 0,
    "IsSubstrateContested": false
   },
   {
    "RulebookFieldId": "KnowledgeGaps.Statement",
    "TargetTable": "KnowledgeGaps",
    "FieldName": "Statement",
    "FieldType": "raw",
    "Datatype": "string",
    "Formula": null,
    "InventedForQuestion": null,
    "SemanticTypeIri": "urn:effortless:pko-extension#RulebookField",
    "Name": "KnowledgeGaps.Statement",
    "IsDerived": false,
    "IsWitness": false,
    "DisagreeingSubstrateCount": 0,
    "IsSubstrateContested": false
   },
   {
    "RulebookFieldId": "KnowledgeGaps.Severity",
    "TargetTable": "KnowledgeGaps",
    "FieldName": "Severity",
    "FieldType": "raw",
    "Data</t>
  </si>
  <si>
    <t xml:space="preserve">type": "string",
    "Formula": null,
    "InventedForQuestion": null,
    "SemanticTypeIri": "urn:effortless:pko-extension#RulebookField",
    "Name": "KnowledgeGaps.Severity",
    "IsDerived": false,
    "IsWitness": false,
    "DisagreeingSubstrateCount": 0,
    "IsSubstrateContested": false
   },
   {
    "RulebookFieldId": "KnowledgeGaps.BlockingKind",
    "TargetTable": "KnowledgeGaps",
    "FieldName": "BlockingKind",
    "FieldType": "raw",
    "Datatype": "string",
    "Formula": null,
    "InventedForQuestion": null,
    "SemanticTypeIri": "urn:effortless:pko-extension#RulebookField",
    "Name": "KnowledgeGaps.BlockingKind",
    "IsDerived": false,
    "IsWitness": false,
    "DisagreeingSubstrateCount": 0,
    "IsSubstrateContested": false
   },
   {
    "RulebookFieldId": "KnowledgeGaps.Status",
    "TargetTable": "KnowledgeGaps",
    "FieldName": "Status",
    "FieldType": "raw",
    "Datatype": "string",
    "Formula": null,
    "InventedForQuestion": null,
    "SemanticTypeIri": "urn:effortless:pko-extension#RulebookField",
    "Name": "KnowledgeGaps.Status",
    "IsDerived": false,
    "IsWitness": false,
    "DisagreeingSubstrateCount": 0,
    "IsSubstrateContested": false
   },
   {
    "RulebookFieldId": "KnowledgeGaps.OwnerRole",
    "TargetTable": "KnowledgeGaps",
    "FieldName": "OwnerRole",
    "FieldType": "relationship",
    "Datatype": "string",
    "Formula": null,
    "InventedForQuestion": null,
    "SemanticTypeIri": "urn:effortless:pko-extension#RulebookField",
    "Name": "KnowledgeGaps.OwnerRole",
    "IsDerived": false,
    "IsWitness": false,
    "DisagreeingSubstrateCount": 0,
    "IsSubstrateContested": false
   },
   {
    "RulebookFieldId": "KnowledgeGaps.IdentifiedAt",
    "TargetTable": "KnowledgeGaps",
    "FieldName": "IdentifiedAt",
    "FieldType": "raw",
    "Datatype": "datetime",
    "Formula": null,
    "InventedForQuestion": null,
    "SemanticTypeIri": "urn:effortless:pko-extension#RulebookField",
    "Name": "KnowledgeGaps.IdentifiedAt",
    "IsDerived": false,
    "IsWitness": false,
    "DisagreeingSubstrateCount": 0,
    "IsSubstrateContested": false
   },
   {
    "RulebookFieldId": "KnowledgeGaps.ResolutionPlan",
    "TargetTable": "KnowledgeGaps",
    "FieldName": "ResolutionPlan",
    "FieldType": "raw",
    "Datatype": "string",
    "Formula": null,
    "InventedForQuestion": null,
    "SemanticTypeIri": "urn:effortless:pko-extension#RulebookField",
    "Name": "KnowledgeGaps.ResolutionPlan",
    "IsDerived": false,
    "IsWitness": false,
    "DisagreeingSubstrateCount": 0,
    "IsSubstrateContested": false
   },
   {
    "RulebookFieldId": "KnowledgeGaps.IsOpen",
    "TargetTable": "KnowledgeGaps",
    "FieldName": "IsOpen",
    "FieldType": "calculated",
    "Datatype": "boolean",
    "Formula": "=OR({{Status}} = \"Open\", {{Status}} = \"Investigating\")",
    "InventedForQuestion": null,
    "SemanticTypeIri": "urn:effortless:pko-extension#RulebookField",
    "Name": "KnowledgeGaps.IsOpen",
    "IsDerived": true,
    "IsWitness": false,
    "DisagreeingSubstrateCount": 0,
    "IsSubstrateContested": false
   },
   {
    "RulebookFieldId": "KnowledgeGaps.OpenGapVersionKey",
    "TargetTable": "KnowledgeGaps",
    "FieldName": "OpenGapVersionKey",
    "FieldType": "calculated",
    "Datatype": "string",
    "Formula": "=IF(AND({{IsOpen}}, {{Severity}} = \"High\"), {{ProcedureVersion}}, \"\")",
    "InventedForQuestion": "q-cfo-approving-on-unfit-version",
    "SemanticTypeIri": "urn:effortless:pko-extension#RulebookField",
    "Name": "KnowledgeGaps.OpenGapVersionKey",
    "IsDerived": true,
    "IsWitness": true,
    "DisagreeingSubstrateCount": 0,
    "IsSubstrateContested": false
   },
   {
    "RulebookFieldId": "KnowledgeGaps.IsBlocking",
    "TargetTable": "KnowledgeGaps",
    "FieldName": "IsBlocking",
    "FieldType": "calculated",
    "Datatype": "boolean",
    "Formula": "={{BlockingKind}} = \"Blocking\"",
    "InventedForQuestion": "q-steward-published-with-blocking-gap",
    "SemanticTypeIri": "urn:effortless:pko-extension#RulebookField",
    "Name": "KnowledgeGaps.IsBlocking",
    "IsDerived": true,
    "IsWitness": true,
    "DisagreeingSubstrateCount": 0,
    "IsSubstrateContested": false
   },
   {
    "RulebookFieldId": "KnowledgeGaps.IsOpenAndBlocking",
    "TargetTable": "KnowledgeGaps",
    "FieldName": "IsOpenAndBlocking",
    "FieldType": "calculated",
    "Datatype": "boolean",
    "Formula": "=AND({{IsOpen}}, {{IsBlocking}})",
    "InventedForQuestion": "q-steward-published-with-blocking-gap",
    "SemanticTypeIri": "urn:effortless:pko-extension#RulebookField",
    "Name": "KnowledgeGaps.IsOpenAndBlocking",
    "IsDerived": true,
    "IsWitness": true,
    "DisagreeingSubstrateCount": 0,
    "IsSubstrateContested": false
   },
   {
    "RulebookFieldId": "KnowledgeGaps.EvaluationContext",
    "TargetTable": "KnowledgeGaps",
    "FieldName": "EvaluationContext",
    "FieldType": "relationship",
    "Datatype": "string",
    "Formula": null,
    "InventedForQuestion": null,
    "SemanticTypeIri": "urn:effortless:pko-extension#RulebookField",
    "Name": "KnowledgeGaps.EvaluationContext",
    "IsDerived": false,
    "IsWitness": false,
    "DisagreeingSubstrateCount": 0,
    "IsSubstrateContested": false
   },
   {
    "RulebookFieldId": "KnowledgeGaps.AsOfInstant",
    "TargetTable": "KnowledgeGaps",
    "FieldName": "AsOfInstant",
    "FieldType": "lookup",
    "Datatype": "datetime",
    "Formula": "=INDEX(EvaluationContexts!{{AsOfInstant}}, MATCH({{EvaluationContext}}, EvaluationContexts!{{EvaluationContextId}}, 0))",
    "InventedForQuestion": null,
    "SemanticTypeIri": "urn:effortless:pko-extension#RulebookField",
    "Name": "KnowledgeGaps.AsOfInstant",
    "IsDerived": true,
    "IsWitness": false,
    "DisagreeingSubstrateCount": 1,
    "IsSubstrateContested": true
   },
   {
    "RulebookFieldId": "KnowledgeGaps.DaysOpen",
    "TargetTable": "KnowledgeGaps",
    "FieldName": "DaysOpen",
    "FieldType": "calculated",
    "Datatype": "integer",
    "Formula": "=IF({{IsOpen}}, DATETIME_DIFF({{AsOfInstant}}, {{IdentifiedAt}}, \"days\"), 0)",
    "InventedForQuestion": "q-authority-known-unknowns",
    "SemanticTypeIri": "urn:effortless:pko-extension#RulebookField",
    "Name": "KnowledgeGaps.DaysOpen",
    "IsDerived": true,
    "IsWitness": true,
    "DisagreeingSubstrateCount": 7,
    "IsSubstrateContested": true
   },
   {
    "RulebookFieldId": "KnowledgeGaps.ToleranceDays",
    "TargetTable": "KnowledgeGaps",
    "FieldName": "ToleranceDays",
    "FieldType": "calculated",
    "Datatype": "integer",
    "Formula": "=IF({{Severity}} = \"High\", 30, IF({{Severity}} = \"Medium\", 90, 180))",
    "InventedForQuestion": "q-authority-known-unknowns",
    "SemanticTypeIri": "urn:effortless:pko-extension#RulebookField",
    "Name": "KnowledgeGaps.ToleranceDays",
    "IsDerived": true,
    "IsWitness": true,
    "DisagreeingSubstrateCount": 0,
    "IsSubstrateContested": false
   },
   {
    "RulebookFieldId": "KnowledgeGaps.IsOverdueGap",
    "TargetTable": "KnowledgeGaps",
    "FieldName": "IsOverdueGap",
    "FieldType": "calculated",
    "Datatype": "boolean",
    "Formula": "={{DaysOpen}} &gt; {{ToleranceDays}}",
    "InventedForQuestion": "q-authority-known-unknowns",
    "SemanticTypeIri": "urn:effortless:pko-extension#RulebookField",
    "Name": "KnowledgeGaps.IsOverdueGap",
    "IsDerived": true,
    "IsWitness": true,
    "DisagreeingSubstrateCount": 0,
    "IsSubstrateContested": false
   },
   {
    "RulebookFieldId": "KnowledgeGaps.OwnerAgent",
    "TargetTable": "KnowledgeGaps",
    "FieldName": "OwnerAgent",
    "FieldType": "lookup",
    "Datatype": "string",
    "Formula": "=INDEX(Roles!{{CurrentAgent}}, MATCH({{OwnerRole}}, Roles!{{RoleId}}, 0))",
    "InventedForQuestion": "q-authority-known-unknowns",
    "SemanticTypeIri": "urn:effortless:pko-extension#RulebookField",
    "Name": "KnowledgeGaps.OwnerAgent",
    "IsDerived": true,
    "IsWitness": true,
    "DisagreeingSubstrateCount": 0,
    "IsSubstrateContested": false
   },
   {
    "RulebookFieldId": "KnowledgeGaps.OwnerIsStillEngaged",
    "TargetTable": "KnowledgeGaps",
    "FieldName": "OwnerIsStillEngaged",
    "FieldType": "lookup",
    "Datatype": "boolean",
    "Formula": "=INDEX(Agents!{{IsStillEngaged}}, MATCH({{OwnerAgent}}, Agents!{{AgentId}}, 0))",
    "InventedForQuestion": "q-authority-known-unknowns",
    "SemanticTypeIri": "urn:effortless:pko-extension#RulebookField",
    "Name": "KnowledgeGaps.OwnerIsStillEngaged",
    "IsDerived": true,
    "IsWitness": true,
    "DisagreeingSubstrateCount": 0,
    "IsSubstrateContested": false
   },
   {
    "RulebookFieldId": "KnowledgeGaps.HasResolutionPlan",
    "TargetTable": "KnowledgeGaps",
    "FieldName": "HasResolutionPlan",
    "FieldType": "calculated",
    "Datatype": "boolean",
    "Formula": "={{ResolutionPlan}} &lt;&gt; \"\"",
    "InventedForQuestion": "q-authority-known-unknowns",
    "SemanticTypeIri": "urn:effortless:pko-extension#RulebookField",
    "Name": "KnowledgeGaps.HasResolutionPlan",
    "IsDerived": true,
    "IsWitness": true,
    "DisagreeingSubstrateCount": 0,
    "IsSubstrateContested": false
   },
   {
    "RulebookFieldId": "KnowledgeGaps.IsAbandonedUnknown",
    "TargetTable": "KnowledgeGaps",
    "FieldName": "IsAbandonedUnknown",
    "FieldType": "calculated",
    "Datatype": "boolean",
    "Formula": "=AND({{IsOverdueGap}}, OR(NOT({{HasResolutionPlan}}), NOT({{OwnerIsStillEngaged}})))",
    "InventedForQuestion": "q-authority-known-unknowns",
    "SemanticTypeIri": "urn:effortless:pko-extension#RulebookField",
    "Name": "KnowledgeGaps.IsAbandonedUnknown",
    "IsDerived": true,
    "IsWitness": true,
    "DisagreeingSubstrateCount": 0,
    "IsSubstrateContested": false
   },
   {
    "RulebookFieldId": "KnowledgeGaps.OpenBlockingGapVersionKey",
    "TargetTable": "KnowledgeGaps",
    "FieldName": "OpenBlockingGapVersionKey",
    "FieldType": "calculated",
    "Datatype": "string",
    "Formula": "=IF({{IsOpenAndBlocking}}, {{ProcedureVersion}}, \"\")",
    "InventedForQuestion": "q2-hr-my-backlog-is-someone-elses-block",
    "SemanticTypeIri": "urn:effortless:pko-extension#RulebookField",
    "Name": "KnowledgeGaps.OpenBlockingGapVersionKey",
    "IsDerived": true,
    "IsWitness": true,
    "DisagreeingSubstrateCount": 0,
    "IsSubstrateContested": false
   },
   {
    "RulebookFieldId": "KnowledgeGaps.OwnerRoleIsVacated",
    "TargetTable": "KnowledgeGaps",
    "FieldName": "OwnerRoleIsVacated",
    "FieldType": "lookup",
    "Datatype": "boolean",
    "Formula": "=INDEX(Roles!{{IsVacatedRole}}, MATCH({{OwnerRole}}, Roles!{{RoleId}}, 0))",
    "InventedForQuestion": "q2-hr-departed-holder-left-claims-behind",
    "SemanticTypeIri": "urn:effortless:pko-extension#RulebookField",
    "Name": "KnowledgeGaps.OwnerRoleIsVacated",
    "IsDerived": true,
    "IsWitness": true,
    "DisagreeingSubstrateCount": 0,
    "IsSubstrateContested": false
   },
   {
    "RulebookFieldId": "KnowledgeGaps.IsOwnerlessOpenGap",
    "TargetTable": "KnowledgeGaps",
    "FieldName": "IsOwnerlessOpenGap",
    "FieldType": "calculated",
    "Datatype": "boolean",
    "Formula": "=AND({{IsOpen}}, {{OwnerRoleIsVacated}})",
    "InventedForQuestion": "q2-hr-departed-holder-left-claims-behind",
    "SemanticTypeIri": "urn:effortless:pko-extension#RulebookField",
    "Name": "KnowledgeGaps.IsOwnerlessOpenGap",
    "IsDerived": true,
    "IsWitness": true,
    "DisagreeingSubstrateCount": 0,
    "IsSubstrateContested": false
   },
   {
    "RulebookFieldId": "KnowledgeGaps.SemanticTypeIri",
    "TargetTable": "KnowledgeGaps",
    "FieldName": "SemanticTypeIri",
    "FieldType": "raw",
    "Datatype": "string",
    "Formula": null,
    "InventedForQuestion": null,
    "SemanticTypeIri": "urn:effortless:pko-extension#RulebookField",
    "Name": "KnowledgeGaps.SemanticTypeIri",
    "IsDerived": false,
    "IsWitness": false,
    "DisagreeingSubstrateCount": 0,
    "IsSubstrateContested": false
   },
   {
    "RulebookFieldId": "FAQs.FaqId",
    "TargetTable": "FAQs",
    "FieldName": "FaqId",
    "FieldType": "raw",
    "Datatype": "string",
    "Formula": null,
    "InventedForQuestion": null,
    "SemanticTypeIri": "urn:effortless:pko-extension#RulebookField",
    "Name": "FAQs.FaqId",
    "IsDerived": false,
    "IsWitness": false,
    "DisagreeingSubstrateCount": 0,
    "IsSubstrateContested": false
   },
   {
    "RulebookFieldId": "FAQs.Name",
    "TargetTable": "FAQs",
    "FieldName": "Name",
    "FieldType": "calculated",
    "Datatype": "string",
    "Formula": "={{Question}}",
    "InventedForQuestion": null,
    "SemanticTypeIri": "urn:effortless:pko-extension#RulebookField",
    "Name": "FAQs.Name",
    "IsDerived": true,
    "IsWitness": false,
    "DisagreeingSubstrateCount": 1,
    "IsSubstrateContested": true
   },
   {
    "RulebookFieldId": "FAQs.ProcedureVersion",
    "TargetTable": "FAQs",
    "FieldName": "ProcedureVersion",
    "FieldType": "relationship",
    "Datatype": "string",
    "Formula": null,
    "InventedForQuestion": null,
    "SemanticTypeIri": "urn:effortless:pko-extension#RulebookField",
    "Name": "FAQs.ProcedureVersion",
    "IsDerived": false,
    "IsWitness": false,
    "DisagreeingSubstrateCount": 0,
    "IsSubstrateContested": false
   },
   {
    "RulebookFieldId": "FAQs.Step",
    "TargetTable": "FAQs",
    "FieldName": "Step",
    "FieldType": "relationship",
    "Datatype": "string",
    "Formula": null,
    "InventedForQuestion": null,
    "SemanticTypeIri": "urn:effortless:pko-extension#RulebookField",
    "Name": "FAQs.Step",
    "IsDerived": false,
    "IsWitness": false,
    "DisagreeingSubstrateCount": 0,
    "IsSubstrateContested": false
   },
   {
    "RulebookFieldId": "FAQs.Category",
    "TargetTable": "FAQs",
    "FieldName": "Category",
    "FieldType": "raw",
    "Datatype": "string",
    "Formula": null,
    "InventedForQuestion": null,
    "SemanticTypeIri": "urn:effortless:pko-extension#RulebookField",
    "Name": "FAQs.Category",
    "IsDerived": false,
    "IsWitness": false,
    "DisagreeingSubstrateCount": 0,
    "IsSubstrateContested": false
   },
   {
    "RulebookFieldId": "FAQs.TargetKind",
    "TargetTable": "FAQs",
    "FieldName": "TargetKind",
    "FieldType": "raw",
    "Datatype": "string",
    "Formula": null,
    "InventedForQuestion": null,
    "SemanticTypeIri": "urn:effortless:pko-extension#RulebookField",
    "Name": "FAQs.TargetKind",
    "IsDerived": false,
    "IsWitness": false,
    "DisagreeingSubstrateCount": 0,
    "IsSubstrateContested": false
   },
   {
    "RulebookFieldId": "FAQs.Question",
    "TargetTable": "FAQs",
    "FieldName": "Question",
    "FieldType": "raw",
    "Datatype": "string",
    "Formula": null,
    "InventedForQuestion": null,
    "SemanticTypeIri": "urn:effortless:pko-extension#RulebookField",
    "Name": "FAQs.Question",
    "IsDerived": false,
    "IsWitness": false,
    "DisagreeingSubstrateCount": 0,
    "IsSubstrateContested": false
   },
   {
    "RulebookFieldId": "FAQs.Answer",
    "TargetTable": "FAQs",
    "FieldName": "Answer",
    "FieldType": "raw",
    "Datatype": "string",
    "Formula": null,
    "InventedForQuestion": null,
    "SemanticTypeIri": "urn:effortless:pko-extension#RulebookField",
    "Name": "FAQs.Answer",
    "IsDerived": false,
    "IsWitness": false,
    "DisagreeingSubstrateCount": 0,
    "IsSubstrateContested": false
   },
   {
    "RulebookFieldId": "FAQs.SemanticTypeIri",
    "TargetTable": "FAQs",
    "FieldName": "SemanticTypeIri",
    "FieldType": "raw",
    "Datatype": "string",
    "Formula": null,
    "InventedForQuestion": null,
    "SemanticTypeIri": "urn:effortless:pko-extension#RulebookField",
    "Name": "FAQs.SemanticTypeIri",
    "IsDerived": false,
    "IsWitness": false,
    "DisagreeingSubstrateCount": 0,
    "IsSubstrateContested": false
   },
   {
    "RulebookFieldId": "Explanations.ExplanationId",
    "TargetTable": "Explanations",
    "FieldName": "ExplanationId",
    "FieldType": "raw",
    "Datatype": "string",
    "Formula": null,
    "InventedForQuestion": null,
    "SemanticTypeIri": "urn:effortless:pko-extension#RulebookField",
    "Name": "Explanations.ExplanationId",
    "IsDerived": false,
    "IsWitness": false,
    "DisagreeingSubstrateCount": 0,
    "IsSubstrateContested": false
   },
   {
    "RulebookFieldId": "Explanations.Name",
    "TargetTable": "Explanations",
    "FieldName": "Name",
    "FieldType": "calculated",
    "Datatype": "string",
    "Formula": "={{Title}}",
    "InventedForQuestion": null,
    "SemanticTypeIri": "urn:effortless:pko-extension#RulebookField",
    "Name": "Explanations.Name",
    "IsDerived": true,
    "IsWitness": false,
    "DisagreeingSubstrateCount": 0,
    "IsSubstrateContested": false
   },
   {
    "RulebookFieldId": "Explanations.ProcedureVersion",
    "TargetTable": "Explanations",
    "FieldName": "ProcedureVersion",
    "FieldType": "relationship",
    "Datatype": "string",
    "Formula": null,
    "InventedForQuestion": null,
    "SemanticTypeIri": "urn:effortless:pko-extension#RulebookField",
    "Name": "Explanations.ProcedureVersion",
    "IsDerived": false,
    "IsWitness": false,
    "DisagreeingSubstrateCount": 0,
    "IsSubstrateContested": false
   },
   {
    "RulebookFieldId": "Explanations.Step",
    "TargetTable": "Explanations",
    "FieldName": "Step",
    "FieldType": "relationship",
    "Datatype": "string",
    "Formula": null,
    "InventedForQuestion": null,
    "SemanticTypeIri": "urn:effortless:pko-extension#RulebookField",
    "Name": "Explanations.Step",
    "IsDerived": false,
    "IsWitness": false,
    "DisagreeingSubstrateCount": 0,
    "IsSubstrateContested": false
   },
   {
    "RulebookFieldId": "Explanations.Title",
    "TargetTable": "Explanations",
    "FieldName": "Title",
    "FieldType": "raw",
    "Datatype": "string",
    "Formula": null,
    "InventedForQuestion": null,
    "SemanticTypeIri": "urn:effortless:pko-extension#RulebookField",
    "Name": "Explanations.Title",
    "IsDerived": false,
    "IsWitness": false,
    "DisagreeingSubstrateCount": 0,
    "IsSubstrateContested": false
   },
   {
    "RulebookFieldId": "Explanations.Description",
    "TargetTable": "Explanations",
    "FieldName": "Description",
    "FieldType": "raw",
    "Datatype": "string",
    "Formula": null,
    "InventedForQuestion": null,
    "SemanticTypeIri": "urn:effortless:pko-extension#RulebookField",
    "Name": "Explanations.Description",
    "IsDerived": false,
    "IsWitness": false,
    "DisagreeingSubstrateCount": 0,
    "IsSubstrateContested": false
   },
   {
    "RulebookFieldId": "Explanations.SemanticTypeIri",
    "TargetTable": "Explanations",
    "FieldName": "SemanticTypeIri",
    "FieldType": "raw",
    "Datatype": "string",
    "Formula": null,
    "InventedForQuestion": null,
    "SemanticTypeIri": "urn:effortless:pko-extension#RulebookField",
    "Name": "Explanations.SemanticTypeIri",
    "IsDerived": false,
    "IsWitness": false,
    "DisagreeingSubstrateCount": 0,
    "IsSubstrateContested": false
   },
   {
    "RulebookFieldId": "ProcedureExecutions.ProcedureExecutionId",
    "TargetTable": "ProcedureExecutions",
    "FieldName": "ProcedureExecutionId",
    "FieldType": "raw",
    "Datatype": "string",
    "Formula": null,
    "InventedForQuestion": null,
    "SemanticTypeIri": "urn:effortless:pko-extension#RulebookField",
    "Name": "ProcedureExecutions.ProcedureExecutionId",
    "IsDerived": false,
    "IsWitness": false,
    "DisagreeingSubstrateCount": 0,
    "IsSubstrateContested": false
   },
   {
    "RulebookFieldId": "ProcedureExecutions.Name",
    "TargetTable": "ProcedureExecutions",
    "FieldName": "Name",
    "FieldType": "calculated",
    "Datatype": "string",
    "Formula": "={{ProcedureVersion}} &amp; \" / \" &amp; {{Context}}",
    "InventedForQuestion": null,
    "SemanticTypeIri": "urn:effortless:pko-extension#RulebookField",
    "Name": "ProcedureExecutions.Name",
    "IsDerived": true,
    "IsWitness": false,
    "DisagreeingSubstrateCount": 0,
    "IsSubstrateContested": false
   },
   {
    "RulebookFieldId": "ProcedureExecutions.ProcedureVersion",
    "TargetTable": "ProcedureExecutions",
    "FieldName": "ProcedureVersion",
    "FieldType": "relationship",
    "Datatype": "string",
    "Formula": null,
    "InventedForQuestion": null,
    "SemanticTypeIri": "urn:effortless:pko-extension#RulebookField",
    "Name": "ProcedureExecutions.ProcedureVersion",
    "IsDerived": false,
    "IsWitness": false,
    "DisagreeingSubstrateCount": 0,
    "IsSubstrateContested": false
   },
   {
    "RulebookFieldId": "ProcedureExecutions.ExecutionStatus",
    "TargetTable": "ProcedureExecutions",
    "FieldName": "ExecutionStatus",
    "FieldType": "raw",
    "Datatype": "string",
    "Formula": null,
    "InventedForQuestion": null,
    "SemanticTypeIri": "urn:effortless:pko-extension#RulebookField",
    "Name": "ProcedureExecutions.ExecutionStatus",
    "IsDerived": false,
    "IsWitness": false,
    "DisagreeingSubstrateCount": 0,
    "IsSubstrateContested": false
   },
   {
    "RulebookFieldId": "ProcedureExecutions.StartedAt",
    "TargetTable": "ProcedureExecutions",
    "FieldName": "StartedAt",
    "FieldType": "raw",
    "Datatype": "datetime",
    "Formula": null,
    "InventedForQuestion": null,
    "SemanticTypeIri": "urn:effortless:pko-extension#RulebookField",
    "Name": "ProcedureExecutions.StartedAt",
    "IsDerived": false,
    "IsWitness": false,
    "DisagreeingSubstrateCount": 0,
    "IsSubstrateContested": false
   },
   {
    "RulebookFieldId": "ProcedureExecutions.EndedAt",
    "TargetTable": "ProcedureExecutions",
    "FieldName": "EndedAt",
    "FieldType": "raw",
    "Datatype": "datetime",
    "Formula": null,
    "InventedForQuestion": null,
    "SemanticTypeIri": "urn:effortless:pko-extension#RulebookField",
    "Name": "ProcedureExecutions.EndedAt",
    "IsDerived": false,
    "IsWitness": false,
    "DisagreeingSubstrateCount": 0,
    "IsSubstrateContested": false
   },
   {
    "RulebookFieldId": "ProcedureExecutions.ExecutedByAgent",
    "TargetTable": "ProcedureExecutions",
    "FieldName": "ExecutedByAgent",
    "FieldType": "relationship",
    "Datatype": "string",
    "Formula": null,
    "InventedForQuestion": null,
    "SemanticTypeIri": "urn:effortless:pko-extension#RulebookField",
    "Name": "ProcedureExecutions.ExecutedByAgent",
    "IsDerived": false,
    "IsWitness": false,
    "DisagreeingSubstrateCount": 0,
    "IsSubstrateContested": false
   },
   {
    "RulebookFieldId": "ProcedureExecutions.Context",
    "TargetTable": "ProcedureExecutions",
    "FieldName": "Context",
    "FieldType": "raw",
    "Datatype": "string",
    "Formula": null,
    "InventedForQuestion": null,
    "SemanticTypeIri": "urn:effortless:pko-extension#RulebookField",
    "Name": "ProcedureExecutions.Context",
    "IsDerived": false,
    "IsWitness": false,
    "DisagreeingSubstrateCount": 0,
    "IsSubstrateContested": false
   },
   {
    "RulebookFieldId": "ProcedureExecutions.OperationalRecordUri",
    "TargetTable": "ProcedureExecutions",
    "FieldName": "OperationalRecordUri",
    "FieldType": "raw",
    "Datatype": "string",
    "Formula": null,
    "InventedForQuestion": null,
    "SemanticTypeIri": "urn:effortless:pko-extension#RulebookField",
    "Name": "ProcedureExecutions.OperationalRecordUri",
    "IsDerived": false,
    "IsWitness": false,
    "DisagreeingSubstrateCount": 0,
    "IsSubstrateContested": false
   },
   {
    "RulebookFieldId": "ProcedureExecutions.ExpectedStepCount",
    "TargetTable": "ProcedureExecutions",
    "FieldName": "ExpectedStepCount",
    "FieldType": "lookup",
    "Datatype": "number",
    "Formula": "=INDEX(ProcedureVersions!{{SpecifiedStepCount}}, MATCH({{ProcedureVersion}}, ProcedureVersions!{{ProcedureVersionId}}, 0))",
    "InventedForQuestion": "q-controller-execution-diverged-from-spec",
    "SemanticTypeIri": "urn:effortless:pko-extension#RulebookField",
    "Name": "ProcedureExecutions.ExpectedStepCount",
    "IsDerived": true,
    "IsWitness": true,
    "DisagreeingSubstrateCount": 0,
    "IsSubstrateContested": false
   },
   {
    "RulebookFieldId": "ProcedureExecutions.CompletedStepCount",
    "TargetTable": "ProcedureExecutions",
    "FieldName": "CompletedStepCount",
    "FieldType": "aggregation",
    "Datatype": "number",
    "Formula": "=COUNTIFS(StepExecutions!{{CompletedExecutionKey}}, {{ProcedureExecutionId}})",
    "InventedForQuestion": "q-controller-execution-diverged-from-spec",
    "SemanticTypeIri": "urn:effortless:pko-extension#RulebookField",
    "Name": "ProcedureExecutions.CompletedStepCount",
    "IsDerived": true,
    "IsWitness": true,
    "DisagreeingSubstrateCount": 0,
    "IsSubstrateContested": false
   },
   {
    "RulebookFieldId": "ProcedureExecutions.ControlBreachCount",
    "TargetTable": "ProcedureExecutions",
    "FieldName": "ControlBreachCount",
    "FieldType": "aggregation",
    "Datatype": "number",
    "Formula": "=COUNTIFS(StepExecutions!{{ControlBreachExecutionKey}}, {{ProcedureExecutionId}})",
    "InventedForQuestion": "q-controller-execution-diverged-from-spec",
    "SemanticTypeIri": "urn:effortless:pko-extension#RulebookField",
    "Name": "ProcedureExecutions.ControlBreachCount",
    "IsDerived": true,
    "IsWitness": true,
    "DisagreeingSubstrateCount": 0,
    "IsSubstrateContested": false
   },
   {
    "RulebookFieldId": "ProcedureExecutions.LateStepCount",
    "TargetTable": "ProcedureExecutions",
    "FieldName": "LateStepCount",
    "FieldType": "aggregation",
    "Datatype": "number",
    "Formula": "=COUNTIFS(StepExecutions!{{LateExecutionKey}}, {{ProcedureExecutionId}})",
    "InventedForQuestion": "q-controller-execution-diverged-from-spec",
    "SemanticTypeIri": "urn:effortless:pko-extension#RulebookField",
    "Name": "ProcedureExecutions.LateStepCount",
    "IsDerived": true,
    "IsWitness": true,
    "DisagreeingSubstrateCount": 2,
    "IsSubstrateContested": true
   },
   {
    "RulebookFieldId": "ProcedureExecutions.IsStructurallyComplete",
    "TargetTable": "ProcedureExecutions",
    "FieldName": "IsStructurallyComplete",
    "FieldType": "calculated",
    "Datatype": "boolean",
    "Formula": "={{CompletedStepCount}} &gt;= {{ExpectedStepCount}}",
    "InventedForQuestion": "q-controller-execution-diverged-from-spec",
    "SemanticTypeIri": "urn:effortless:pko-extension#RulebookField",
    "Name": "ProcedureExecutions.IsStructurallyComplete",
    "IsDerived": true,
    "IsWitness": true,
    "DisagreeingSubstrateCount": 0,
    "IsSubstrateContested": false
   },
   {
    "RulebookFieldId": "ProcedureExecutions.DivergedFromSpecification",
    "TargetTable": "ProcedureExecutions",
    "FieldName": "DivergedFromSpecification",
    "FieldType": "calculated",
    "Datatype": "boolean",
    "Formula": "=OR(NOT({{IsStructurallyComplete}}), {{ControlBreachCount}} &gt; 0)",
    "InventedForQuestion": "q-controller-execution-diverged-from-spec",
    "SemanticTypeIri": "urn:effortless:pko-extension#RulebookField",
    "Name": "ProcedureExecutions.DivergedFromSpecification",
    "IsDerived": true,
    "IsWitness": true,
    "DisagreeingSubstrateCount": 0,
    "IsSubstrateContested": false
   },
   {
    "RulebookFieldId": "ProcedureExecutions.AllBlockingControlsEvaluated",
    "TargetTable": "ProcedureExecutions",
    "FieldName": "AllBlockingControlsEvaluated",
    "FieldType": "calculated",
    "Datatype": "boolean",
    "Formula": "={{UnevaluatedBlockingTotal}} = 0",
    "InventedForQuestion": "q-cfo-can-i-sign",
    "SemanticTypeIri": "urn:effortless:pko-extension#RulebookField",
    "Name": "ProcedureExecutions.AllBlockingControlsEvaluated",
    "IsDerived": true,
    "IsWitness": true,
    "DisagreeingSubstrateCount": 0,
    "IsSubstrateContested": false
   },
   {
    "RulebookFieldId": "ProcedureExecutions.UnevaluatedBlockingTotal",
    "TargetTable": "ProcedureExecutions",
    "FieldName": "UnevaluatedBlockingTotal",
    "FieldType": "aggregation",
    "Datatype": "number",
    "Formula": "=COUNTIFS(StepExecutions!{{UnevaluatedBlockingExecutionKey}}, {{ProcedureExecutionId}})",
    "InventedForQuestion": "q-cfo-can-i-sign",
    "SemanticTypeIri": "urn:effortless:pko-extension#RulebookField",
    "Name": "ProcedureExecutions.UnevaluatedBlockingTotal",
    "IsDerived": true,
    "IsWitness": true,
    "DisagreeingSubstrateCount": 0,
    "IsSubstrateContested": false
   },
   {
    "RulebookFieldId": "ProcedureExecutions.SeparationOfDutiesHeld",
    "TargetTable": "ProcedureExecutions",
    "FieldName": "SeparationOfDutiesHeld",
    "FieldType": "calculated",
    "Datatype": "boolean",
    "Formula": "={{SeparationViolationCount}} = 0",
    "InventedForQuestion": "q-cfo-can-i-sign",
    "SemanticTypeIri": "urn:effortless:pko-extension#RulebookField",
    "Name": "ProcedureExecutions.SeparationOfDutiesHeld",
    "IsDerived": true,
    "IsWitness": true,
    "DisagreeingSubstrateCount": 0,
    "IsSubstrateContested": false
   },
   {
    "RulebookFieldId": "ProcedureExecutions.SeparationViolationCount",
    "TargetTable": "ProcedureExecutions",
    "FieldName": "SeparationViolationCount",
    "FieldType": "aggregation",
    "Datatype": "number",
    "Formula": "=COUNTIFS(StepExecutions!{{SeparationViolationExecutionKey}}, {{ProcedureExecutionId}})",
    "InventedForQuestion": "q-cfo-can-i-sign",
    "SemanticTypeIri": "urn:effortless:pko-extension#RulebookField",
    "Name": "ProcedureExecutions.SeparationViolationCount",
    "IsDerived": true,
    "IsWitness": true,
    "DisagreeingSubstrateCount": 0,
    "IsSubstrateContested": false
   },
   {
    "RulebookFieldId": "ProcedureExecutions.IsAttestationReady",
    "TargetTable": "ProcedureExecutions",
    "FieldName": "IsAttestationReady",
    "FieldType": "calculated",
    "Datatype": "boolean",
    "Formula": "=AND({{IsStructurallyComplete}}, NOT({{DivergedFromSpecification}}), {{AllBlockingControlsEvaluated}}, {{SeparationOfDutiesHeld}})",
    "InventedForQuestion": "q-cfo-can-i-sign",
    "SemanticTypeIri": "urn:effortless:pko-extension#RulebookField",
    "Name": "ProcedureExecutions.IsAttestationReady",
    "IsDerived": true,
    "IsWitness": true,
    "DisagreeingSubstrateCount": 0,
    "IsSubstrateContested": false
   },
   {
    "RulebookFieldId": "ProcedureExecutions.AttestationBlockerSummary",
    "TargetTable": "ProcedureExecutions",
    "FieldName": "AttestationBlockerSummary",
    "FieldType": "calculated",
    "Datatype": "string",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"InventedForQuestion": "q-cfo-can-i-sign",
    "SemanticTypeIri": "urn:effortless:pko-extension#RulebookField",
    "Name": "ProcedureExecutions.AttestationBlockerSummary",
    "IsDerived": true,
    "IsWitness": true,
    "DisagreeingSubstrateCount": 0,
    "IsSubstrateContested": false
   },
   {
    "RulebookFieldId": "ProcedureExecutions.ExecutedVersionIsFit",
    "TargetTable": "ProcedureExecutions",
    "FieldName": "ExecutedVersionIsFit",
    "FieldType": "lookup",
    "Datatype": "boolean",
    "Formula": "=INDEX(ProcedureVersions!{{IsFitToExecute}}, MATCH({{ProcedureVersion}}, ProcedureVersions!{{ProcedureVersionId}}, 0))",
    "InventedForQuestion": "q-cfo-approving-on-unfit-version",
    "SemanticTypeIri": "urn:effortless:pko-extension#RulebookField",
    "Name": "ProcedureExecutions.ExecutedVersionIsFit",
    "IsDerived": true,
    "IsWitness": true,
    "DisagreeingSubstrateCount": 0,
    "IsSubstrateContested": false
   },
   {
    "RulebookFieldId": "ProcedureExecutions.SignedAgainstUnfitVersion",
    "TargetTable": "ProcedureExecutions",
    "FieldName": "SignedAgainstUnfitVersion",
    "FieldType": "calculated",
    "Datatype": "boolean",
    "Formula": "=AND({{ExecutionStatus}} = \"Completed\", NOT({{ExecutedVersionIsFit}}))",
    "InventedForQuestion": "q-cfo-approving-on-unfit-version",
    "SemanticTypeIri": "urn:effortless:pko-extension#RulebookField",
    "Name": "ProcedureExecutions.SignedAgainstUnfitVersion",
    "IsDerived": true,
    "IsWitness": true,
    "DisagreeingSubstrateCount": 0,
    "IsSubstrateContested": false
   },
   {
    "RulebookFieldId": "ProcedureExecutions.AssertedOnlyControlCount",
    "TargetTable": "ProcedureExecutions",
    "FieldName": "AssertedOnlyControlCount",
    "FieldType": "aggregation",
    "Datatype": "numb</t>
  </si>
  <si>
    <t xml:space="preserve">er",
    "Formula": "=COUNTIFS(RequirementSatisfactions!{{AssertedOnlyExecutionKey}}, {{ProcedureExecutionId}})",
    "InventedForQuestion": "q-cfo-am-i-being-told-everything",
    "SemanticTypeIri": "urn:effortless:pko-extension#RulebookField",
    "Name": "ProcedureExecutions.AssertedOnlyControlCount",
    "IsDerived": true,
    "IsWitness": true,
    "DisagreeingSubstrateCount": 0,
    "IsSubstrateContested": false
   },
   {
    "RulebookFieldId": "ProcedureExecutions.AssuranceIsMostlyAsserted",
    "TargetTable": "ProcedureExecutions",
    "FieldName": "AssuranceIsMostlyAsserted",
    "FieldType": "calculated",
    "Datatype": "boolean",
    "Formula": "={{AssertedOnlyControlCount}} &gt; 0",
    "InventedForQuestion": "q-cfo-am-i-being-told-everything",
    "SemanticTypeIri": "urn:effortless:pko-extension#RulebookField",
    "Name": "ProcedureExecutions.AssuranceIsMostlyAsserted",
    "IsDerived": true,
    "IsWitness": true,
    "DisagreeingSubstrateCount": 0,
    "IsSubstrateContested": false
   },
   {
    "RulebookFieldId": "ProcedureExecutions.UnreachableHandlingFailureCount",
    "TargetTable": "ProcedureExecutions",
    "FieldName": "UnreachableHandlingFailureCount",
    "FieldType": "aggregation",
    "Datatype": "number",
    "Formula": "=COUNTIFS(MessageDeliveries!{{UnreachableFailureKey}}, {{ProcedureExecutionId}})",
    "InventedForQuestion": "q-counsel-unreachable-not-acknowledged",
    "SemanticTypeIri": "urn:effortless:pko-extension#RulebookField",
    "Name": "ProcedureExecutions.UnreachableHandlingFailureCount",
    "IsDerived": true,
    "IsWitness": true,
    "DisagreeingSubstrateCount": 0,
    "IsSubstrateContested": false
   },
   {
    "RulebookFieldId": "ProcedureExecutions.RetentionBreachCount",
    "TargetTable": "ProcedureExecutions",
    "FieldName": "RetentionBreachCount",
    "FieldType": "aggregation",
    "Datatype": "number",
    "Formula": "=COUNTIFS(MessageDeliveries!{{RetentionBreachExecutionKey}}, {{ProcedureExecutionId}})",
    "InventedForQuestion": "q-counsel-retention-evidence",
    "SemanticTypeIri": "urn:effortless:pko-extension#RulebookField",
    "Name": "ProcedureExecutions.RetentionBreachCount",
    "IsDerived": true,
    "IsWitness": true,
    "DisagreeingSubstrateCount": 0,
    "IsSubstrateContested": false
   },
   {
    "RulebookFieldId": "ProcedureExecutions.ClearedLegalReviewCount",
    "TargetTable": "ProcedureExecutions",
    "FieldName": "ClearedLegalReviewCount",
    "FieldType": "aggregation",
    "Datatype": "number",
    "Formula": "=COUNTIFS(StepExecutions!{{ClearedLegalReviewKey}}, {{ProcedureExecutionId}})",
    "InventedForQuestion": "q-counsel-legal-review-gated-send",
    "SemanticTypeIri": "urn:effortless:pko-extension#RulebookField",
    "Name": "ProcedureExecutions.ClearedLegalReviewCount",
    "IsDerived": true,
    "IsWitness": true,
    "DisagreeingSubstrateCount": 0,
    "IsSubstrateContested": false
   },
   {
    "RulebookFieldId": "ProcedureExecutions.HasClearedLegalReview",
    "TargetTable": "ProcedureExecutions",
    "FieldName": "HasClearedLegalReview",
    "FieldType": "calculated",
    "Datatype": "boolean",
    "Formula": "={{ClearedLegalReviewCount}} &gt; 0",
    "InventedForQuestion": "q-counsel-legal-review-gated-send",
    "SemanticTypeIri": "urn:effortless:pko-extension#RulebookField",
    "Name": "ProcedureExecutions.HasClearedLegalReview",
    "IsDerived": true,
    "IsWitness": true,
    "DisagreeingSubstrateCount": 0,
    "IsSubstrateContested": false
   },
   {
    "RulebookFieldId": "ProcedureExecutions.AbandonedFailureCount",
    "TargetTable": "ProcedureExecutions",
    "FieldName": "AbandonedFailureCount",
    "FieldType": "aggregation",
    "Datatype": "number",
    "Formula": "=COUNTIFS(MessageDeliveries!{{AbandonedFailureExecutionKey}}, {{ProcedureExecutionId}})",
    "InventedForQuestion": "q-comms-deliverability",
    "SemanticTypeIri": "urn:effortless:pko-extension#RulebookField",
    "Name": "ProcedureExecutions.AbandonedFailureCount",
    "IsDerived": true,
    "IsWitness": true,
    "DisagreeingSubstrateCount": 0,
    "IsSubstrateContested": false
   },
   {
    "RulebookFieldId": "ProcedureExecutions.DeliveredCount",
    "TargetTable": "ProcedureExecutions",
    "FieldName": "DeliveredCount",
    "FieldType": "aggregation",
    "Datatype": "number",
    "Formula": "=COUNTIFS(MessageDeliveries!{{ReachedExecutionKey}}, {{ProcedureExecutionId}})",
    "InventedForQuestion": "q-comms-deliverability",
    "SemanticTypeIri": "urn:effortless:pko-extension#RulebookField",
    "Name": "ProcedureExecutions.DeliveredCount",
    "IsDerived": true,
    "IsWitness": true,
    "DisagreeingSubstrateCount": 0,
    "IsSubstrateContested": false
   },
   {
    "RulebookFieldId": "ProcedureExecutions.TotalDeliveryAttemptCount",
    "TargetTable": "ProcedureExecutions",
    "FieldName": "TotalDeliveryAttemptCount",
    "FieldType": "aggregation",
    "Datatype": "number",
    "Formula": "=COUNTIFS(MessageDeliveries!{{ProcedureExecution}}, {{ProcedureExecutionId}})",
    "InventedForQuestion": "q-comms-deliverability",
    "SemanticTypeIri": "urn:effortless:pko-extension#RulebookField",
    "Name": "ProcedureExecutions.TotalDeliveryAttemptCount",
    "IsDerived": true,
    "IsWitness": true,
    "DisagreeingSubstrateCount": 0,
    "IsSubstrateContested": false
   },
   {
    "RulebookFieldId": "ProcedureExecutions.HasAbandonedFailures",
    "TargetTable": "ProcedureExecutions",
    "FieldName": "HasAbandonedFailures",
    "FieldType": "calculated",
    "Datatype": "boolean",
    "Formula": "={{AbandonedFailureCount}} &gt; 0",
    "InventedForQuestion": "q-comms-deliverability",
    "SemanticTypeIri": "urn:effortless:pko-extension#RulebookField",
    "Name": "ProcedureExecutions.HasAbandonedFailures",
    "IsDerived": true,
    "IsWitness": true,
    "DisagreeingSubstrateCount": 0,
    "IsSubstrateContested": false
   },
   {
    "RulebookFieldId": "ProcedureExecutions.MishandledRefusalCount",
    "TargetTable": "ProcedureExecutions",
    "FieldName": "MishandledRefusalCount",
    "FieldType": "aggregation",
    "Datatype": "number",
    "Formula": "=COUNTIFS(SendIntents!{{RefusalFailureExecutionKey}}, {{ProcedureExecutionId}})",
    "InventedForQuestion": "q-publisher-refusal-was-honored",
    "SemanticTypeIri": "urn:effortless:pko-extension#RulebookField",
    "Name": "ProcedureExecutions.MishandledRefusalCount",
    "IsDerived": true,
    "IsWitness": true,
    "DisagreeingSubstrateCount": 1,
    "IsSubstrateContested": true
   },
   {
    "RulebookFieldId": "ProcedureExecutions.UncleanStepCount",
    "TargetTable": "ProcedureExecutions",
    "FieldName": "UncleanStepCount",
    "FieldType": "aggregation",
    "Datatype": "number",
    "Formula": "=COUNTIFS(StepExecutions!{{ProcedureExecutionWhenUnclean}}, {{ProcedureExecutionId}})",
    "InventedForQuestion": "q-close-auto-last-run-clean",
    "SemanticTypeIri": "urn:effortless:pko-extension#RulebookField",
    "Name": "ProcedureExecutions.UncleanStepCount",
    "IsDerived": true,
    "IsWitness": true,
    "DisagreeingSubstrateCount": 2,
    "IsSubstrateContested": true
   },
   {
    "RulebookFieldId": "ProcedureExecutions.RanClean",
    "TargetTable": "ProcedureExecutions",
    "FieldName": "RanClean",
    "FieldType": "calculated",
    "Datatype": "boolean",
    "Formula": "={{UncleanStepCount}} = 0",
    "InventedForQuestion": "q-close-auto-last-run-clean",
    "SemanticTypeIri": "urn:effortless:pko-extension#RulebookField",
    "Name": "ProcedureExecutions.RanClean",
    "IsDerived": true,
    "IsWitness": true,
    "DisagreeingSubstrateCount": 1,
    "IsSubstrateContested": true
   },
   {
    "RulebookFieldId": "ProcedureExecutions.CountOfApprovalExecutions",
    "TargetTable": "ProcedureExecutions",
    "FieldName": "CountOfApprovalExecutions",
    "FieldType": "aggregation",
    "Datatype": "integer",
    "Formula": "=COUNTIFS(StepExecutions!{{IsApprovalExecution}}, TRUE)",
    "InventedForQuestion": "q-hr-what-was-actually-sent",
    "SemanticTypeIri": "urn:effortless:pko-extension#RulebookField",
    "Name": "ProcedureExecutions.CountOfApprovalExecutions",
    "IsDerived": true,
    "IsWitness": true,
    "DisagreeingSubstrateCount": 0,
    "IsSubstrateContested": false
   },
   {
    "RulebookFieldId": "ProcedureExecutions.HasHumanApproval",
    "TargetTable": "ProcedureExecutions",
    "FieldName": "HasHumanApproval",
    "FieldType": "calculated",
    "Datatype": "boolean",
    "Formula": "={{CountOfApprovalExecutions}} &gt; 0",
    "InventedForQuestion": "q-hr-what-was-actually-sent",
    "SemanticTypeIri": "urn:effortless:pko-extension#RulebookField",
    "Name": "ProcedureExecutions.HasHumanApproval",
    "IsDerived": true,
    "IsWitness": true,
    "DisagreeingSubstrateCount": 0,
    "IsSubstrateContested": false
   },
   {
    "RulebookFieldId": "ProcedureExecutions.CountOfDeliveryExecutions",
    "TargetTable": "ProcedureExecutions",
    "FieldName": "CountOfDeliveryExecutions",
    "FieldType": "aggregation",
    "Datatype": "integer",
    "Formula": "=COUNTIFS(StepExecutions!{{Step}}, \"policy-07\")",
    "InventedForQuestion": "q-hr-what-was-actually-sent",
    "SemanticTypeIri": "urn:effortless:pko-extension#RulebookField",
    "Name": "ProcedureExecutions.CountOfDeliveryExecutions",
    "IsDerived": true,
    "IsWitness": true,
    "DisagreeingSubstrateCount": 0,
    "IsSubstrateContested": false
   },
   {
    "RulebookFieldId": "ProcedureExecutions.HasDelivered",
    "TargetTable": "ProcedureExecutions",
    "FieldName": "HasDelivered",
    "FieldType": "calculated",
    "Datatype": "boolean",
    "Formula": "={{CountOfDeliveryExecutions}} &gt; 0",
    "InventedForQuestion": "q-hr-what-was-actually-sent",
    "SemanticTypeIri": "urn:effortless:pko-extension#RulebookField",
    "Name": "ProcedureExecutions.HasDelivered",
    "IsDerived": true,
    "IsWitness": true,
    "DisagreeingSubstrateCount": 0,
    "IsSubstrateContested": false
   },
   {
    "RulebookFieldId": "ProcedureExecutions.DeliveredWithoutApproval",
    "TargetTable": "ProcedureExecutions",
    "FieldName": "DeliveredWithoutApproval",
    "FieldType": "calculated",
    "Datatype": "boolean",
    "Formula": "=AND({{HasDelivered}}, NOT({{HasHumanApproval}}))",
    "InventedForQuestion": "q-hr-what-was-actually-sent",
    "SemanticTypeIri": "urn:effortless:pko-extension#RulebookField",
    "Name": "ProcedureExecutions.DeliveredWithoutApproval",
    "IsDerived": true,
    "IsWitness": true,
    "DisagreeingSubstrateCount": 0,
    "IsSubstrateContested": false
   },
   {
    "RulebookFieldId": "ProcedureExecutions.InvalidApprovalCount",
    "TargetTable": "ProcedureExecutions",
    "FieldName": "InvalidApprovalCount",
    "FieldType": "aggregation",
    "Datatype": "number",
    "Formula": "=COUNTIFS(RequirementSatisfactions!{{RunWhenInvalidApproval}}, {{ProcedureExecutionId}})",
    "InventedForQuestion": "q-policy-ai-approval-chain-complete",
    "SemanticTypeIri": "urn:effortless:pko-extension#RulebookField",
    "Name": "ProcedureExecutions.InvalidApprovalCount",
    "IsDerived": true,
    "IsWitness": true,
    "DisagreeingSubstrateCount": 0,
    "IsSubstrateContested": false
   },
   {
    "RulebookFieldId": "ProcedureExecutions.ApprovalChainIsComplete",
    "TargetTable": "ProcedureExecutions",
    "FieldName": "ApprovalChainIsComplete",
    "FieldType": "calculated",
    "Datatype": "boolean",
    "Formula": "={{InvalidApprovalCount}} = 0",
    "InventedForQuestion": "q-policy-ai-approval-chain-complete",
    "SemanticTypeIri": "urn:effortless:pko-extension#RulebookField",
    "Name": "ProcedureExecutions.ApprovalChainIsComplete",
    "IsDerived": true,
    "IsWitness": true,
    "DisagreeingSubstrateCount": 0,
    "IsSubstrateContested": false
   },
   {
    "RulebookFieldId": "ProcedureExecutions.VacuouslyCleanStepCount",
    "TargetTable": "ProcedureExecutions",
    "FieldName": "VacuouslyCleanStepCount",
    "FieldType": "aggregation",
    "Datatype": "number",
    "Formula": "=COUNTIFS(StepExecutions!{{VacuouslyCleanExecutionKey}}, {{ProcedureExecutionId}})",
    "InventedForQuestion": "q2-fa-clean-but-uncovered",
    "SemanticTypeIri": "urn:effortless:pko-extension#RulebookField",
    "Name": "ProcedureExecutions.VacuouslyCleanStepCount",
    "IsDerived": true,
    "IsWitness": true,
    "DisagreeingSubstrateCount": 2,
    "IsSubstrateContested": true
   },
   {
    "RulebookFieldId": "ProcedureExecutions.PreparationStepCount",
    "TargetTable": "ProcedureExecutions",
    "FieldName": "PreparationStepCount",
    "FieldType": "aggregation",
    "Datatype": "number",
    "Formula": "=COUNTIFS(StepExecutions!{{PreparationExecutionKey}}, {{ProcedureExecutionId}})",
    "InventedForQuestion": "q2-ctl-separation-held-or-untested",
    "SemanticTypeIri": "urn:effortless:pko-extension#RulebookField",
    "Name": "ProcedureExecutions.PreparationStepCount",
    "IsDerived": true,
    "IsWitness": true,
    "DisagreeingSubstrateCount": 0,
    "IsSubstrateContested": false
   },
   {
    "RulebookFieldId": "ProcedureExecutions.ApprovalStepCount",
    "TargetTable": "ProcedureExecutions",
    "FieldName": "ApprovalStepCount",
    "FieldType": "aggregation",
    "Datatype": "number",
    "Formula": "=COUNTIFS(StepExecutions!{{ApprovalExecutionKey}}, {{ProcedureExecutionId}})",
    "InventedForQuestion": "q2-ctl-separation-held-or-untested",
    "SemanticTypeIri": "urn:effortless:pko-extension#RulebookField",
    "Name": "ProcedureExecutions.ApprovalStepCount",
    "IsDerived": true,
    "IsWitness": true,
    "DisagreeingSubstrateCount": 0,
    "IsSubstrateContested": false
   },
   {
    "RulebookFieldId": "ProcedureExecutions.SeparationWasTestable",
    "TargetTable": "ProcedureExecutions",
    "FieldName": "SeparationWasTestable",
    "FieldType": "calculated",
    "Datatype": "boolean",
    "Formula": "=AND({{PreparationStepCount}} &gt; 0, {{ApprovalStepCount}} &gt; 0)",
    "InventedForQuestion": "q2-ctl-separation-held-or-untested",
    "SemanticTypeIri": "urn:effortless:pko-extension#RulebookField",
    "Name": "ProcedureExecutions.SeparationWasTestable",
    "IsDerived": true,
    "IsWitness": true,
    "DisagreeingSubstrateCount": 0,
    "IsSubstrateContested": false
   },
   {
    "RulebookFieldId": "ProcedureExecutions.SeparationHeldUnderTest",
    "TargetTable": "ProcedureExecutions",
    "FieldName": "SeparationHeldUnderTest",
    "FieldType": "calculated",
    "Datatype": "boolean",
    "Formula": "=AND({{SeparationWasTestable}}, {{SeparationOfDutiesHeld}})",
    "InventedForQuestion": "q2-ctl-separation-held-or-untested",
    "SemanticTypeIri": "urn:effortless:pko-extension#RulebookField",
    "Name": "ProcedureExecutions.SeparationHeldUnderTest",
    "IsDerived": true,
    "IsWitness": true,
    "DisagreeingSubstrateCount": 0,
    "IsSubstrateContested": false
   },
   {
    "RulebookFieldId": "ProcedureExecutions.SeparationIsVacuouslyGreen",
    "TargetTable": "ProcedureExecutions",
    "FieldName": "SeparationIsVacuouslyGreen",
    "FieldType": "calculated",
    "Datatype": "boolean",
    "Formula": "=AND({{SeparationOfDutiesHeld}}, NOT({{SeparationWasTestable}}))",
    "InventedForQuestion": "q2-ctl-separation-held-or-untested",
    "SemanticTypeIri": "urn:effortless:pko-extension#RulebookField",
    "Name": "ProcedureExecutions.SeparationIsVacuouslyGreen",
    "IsDerived": true,
    "IsWitness": true,
    "DisagreeingSubstrateCount": 0,
    "IsSubstrateContested": false
   },
   {
    "RulebookFieldId": "ProcedureExecutions.SeparationAssuranceNote",
    "TargetTable": "ProcedureExecutions",
    "FieldName": "SeparationAssuranceNote",
    "FieldType": "calculated",
    "Datatype": "string",
    "Formula": "=IF({{SeparationViolationCount}} &gt; 0, \"Violated: same agent prepared and approved.\", IF({{SeparationIsVacuouslyGreen}}, \"Not tested: this run had no preparation/approval pair.\", \"Held under test.\"))",
    "InventedForQuestion": "q2-ctl-separation-held-or-untested",
    "SemanticTypeIri": "urn:effortless:pko-extension#RulebookField",
    "Name": "ProcedureExecutions.SeparationAssuranceNote",
    "IsDerived": true,
    "IsWitness": true,
    "DisagreeingSubstrateCount": 0,
    "IsSubstrateContested": false
   },
   {
    "RulebookFieldId": "ProcedureExecutions.UngovernedDivergenceCount",
    "TargetTable": "ProcedureExecutions",
    "FieldName": "UngovernedDivergenceCount",
    "FieldType": "aggregation",
    "Datatype": "number",
    "Formula": "=COUNTIFS(StepExecutions!{{UngovernedDivergenceExecutionKey}}, {{ProcedureExecutionId}})",
    "InventedForQuestion": "q2-ctl-divergence-that-nobody-governed",
    "SemanticTypeIri": "urn:effortless:pko-extension#RulebookField",
    "Name": "ProcedureExecutions.UngovernedDivergenceCount",
    "IsDerived": true,
    "IsWitness": true,
    "DisagreeingSubstrateCount": 2,
    "IsSubstrateContested": true
   },
   {
    "RulebookFieldId": "ProcedureExecutions.DivergenceWasFullyGoverned",
    "TargetTable": "ProcedureExecutions",
    "FieldName": "DivergenceWasFullyGoverned",
    "FieldType": "calculated",
    "Datatype": "boolean",
    "Formula": "=AND({{DivergedFromSpecification}}, {{UngovernedDivergenceCount}} = 0)",
    "InventedForQuestion": "q2-ctl-divergence-that-nobody-governed",
    "SemanticTypeIri": "urn:effortless:pko-extension#RulebookField",
    "Name": "ProcedureExecutions.DivergenceWasFullyGoverned",
    "IsDerived": true,
    "IsWitness": true,
    "DisagreeingSubstrateCount": 1,
    "IsSubstrateContested": true
   },
   {
    "RulebookFieldId": "ProcedureExecutions.ComputedlyWitnessedControlCount",
    "TargetTable": "ProcedureExecutions",
    "FieldName": "ComputedlyWitnessedControlCount",
    "FieldType": "aggregation",
    "Datatype": "number",
    "Formula": "=COUNTIFS(RequirementSatisfactions!{{ComputedWitnessExecutionKey}}, {{ProcedureExecutionId}})",
    "InventedForQuestion": "q2-cfo-quality-of-a-green-attestation",
    "SemanticTypeIri": "urn:effortless:pko-extension#RulebookField",
    "Name": "ProcedureExecutions.ComputedlyWitnessedControlCount",
    "IsDerived": true,
    "IsWitness": true,
    "DisagreeingSubstrateCount": 0,
    "IsSubstrateContested": false
   },
   {
    "RulebookFieldId": "ProcedureExecutions.EvaluatedControlCount",
    "TargetTable": "ProcedureExecutions",
    "FieldName": "EvaluatedControlCount",
    "FieldType": "calculated",
    "Datatype": "number",
    "Formula": "={{ComputedlyWitnessedControlCount}} + {{AssertedOnlyControlCount}}",
    "InventedForQuestion": "q2-cfo-quality-of-a-green-attestation",
    "SemanticTypeIri": "urn:effortless:pko-extension#RulebookField",
    "Name": "ProcedureExecutions.EvaluatedControlCount",
    "IsDerived": true,
    "IsWitness": true,
    "DisagreeingSubstrateCount": 0,
    "IsSubstrateContested": false
   },
   {
    "RulebookFieldId": "ProcedureExecutions.ComputedAssuranceRatio",
    "TargetTable": "ProcedureExecutions",
    "FieldName": "ComputedAssuranceRatio",
    "FieldType": "calculated",
    "Datatype": "number",
    "Formula": "=IF({{EvaluatedControlCount}} = 0, 0, {{ComputedlyWitnessedControlCount}} / {{EvaluatedControlCount}})",
    "InventedForQuestion": "q2-cfo-quality-of-a-green-attestation",
    "SemanticTypeIri": "urn:effortless:pko-extension#RulebookField",
    "Name": "ProcedureExecutions.ComputedAssuranceRatio",
    "IsDerived": true,
    "IsWitness": true,
    "DisagreeingSubstrateCount": 1,
    "IsSubstrateContested": true
   },
   {
    "RulebookFieldId": "ProcedureExecutions.InterestedPartyAssertionCount",
    "TargetTable": "ProcedureExecutions",
    "FieldName": "InterestedPartyAssertionCount",
    "FieldType": "aggregation",
    "Datatype": "number",
    "Formula": "=COUNTIFS(RequirementSatisfactions!{{InterestedAssertionExecutionKey}}, {{ProcedureExecutionId}})",
    "InventedForQuestion": "q2-cfo-quality-of-a-green-attestation",
    "SemanticTypeIri": "urn:effortless:pko-extension#RulebookField",
    "Name": "ProcedureExecutions.InterestedPartyAssertionCount",
    "IsDerived": true,
    "IsWitness": true,
    "DisagreeingSubstrateCount": 0,
    "IsSubstrateContested": false
   },
   {
    "RulebookFieldId": "ProcedureExecutions.AssuranceGrade",
    "TargetTable": "ProcedureExecutions",
    "FieldName": "AssuranceGrade",
    "FieldType": "calculated",
    "Datatype": "string",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"InventedForQuestion": "q2-cfo-quality-of-a-green-attestation",
    "SemanticTypeIri": "urn:effortless:pko-extension#RulebookField",
    "Name": "ProcedureExecutions.AssuranceGrade",
    "IsDerived": true,
    "IsWitness": true,
    "DisagreeingSubstrateCount": 0,
    "IsSubstrateContested": false
   },
   {
    "RulebookFieldId": "ProcedureExecutions.AttestationWouldBeWeaklyBased",
    "TargetTable": "ProcedureExecutions",
    "FieldName": "AttestationWouldBeWeaklyBased",
    "FieldType": "calculated",
    "Datatype": "boolean",
    "Formula": "=AND({{IsAttestationReady}}, OR({{InterestedPartyAssertionCount}} &gt; 0, {{ComputedAssuranceRatio}} &lt; 0.5))",
    "InventedForQuestion": "q2-cfo-quality-of-a-green-attestation",
    "SemanticTypeIri": "urn:effortless:pko-extension#RulebookField",
    "Name": "ProcedureExecutions.AttestationWouldBeWeaklyBased",
    "IsDerived": true,
    "IsWitness": true,
    "DisagreeingSubstrateCount": 0,
    "IsSubstrateContested": false
   },
   {
    "RulebookFieldId": "ProcedureExecutions.IndependentHumanObservationCount",
    "TargetTable": "ProcedureExecutions",
    "FieldName": "IndependentHumanObservationCount",
    "FieldType": "aggregation",
    "Datatype": "number",
    "Formula": "=COUNTIFS(VerificationOutcomes!{{IndependentObservationExecutionKey}}, {{ProcedureExecutionId}})",
    "InventedForQuestion": "q2-cfo-who-witnessed-the-witnesses",
    "SemanticTypeIri": "urn:effortless:pko-extension#RulebookField",
    "Name": "ProcedureExecutions.IndependentHumanObservationCount",
    "IsDerived": true,
    "IsWitness": true,
    "DisagreeingSubstrateCount": 0,
    "IsSubstrateContested": false
   },
   {
    "RulebookFieldId": "ProcedureExecutions.HasAnyIndependentObservation",
    "TargetTable": "ProcedureExecutions",
    "FieldName": "HasAnyIndependentObservation",
    "FieldType": "calculated",
    "Datatype": "boolean",
    "Formula": "={{IndependentHumanObservationCount}} &gt; 0",
    "InventedForQuestion": "q2-cfo-who-witnessed-the-witnesses",
    "SemanticTypeIri": "urn:effortless:pko-extension#RulebookField",
    "Name": "ProcedureExecutions.HasAnyIndependentObservation",
    "IsDerived": true,
    "IsWitness": true,
    "DisagreeingSubstrateCount": 0,
    "IsSubstrateContested": false
   },
   {
    "RulebookFieldId": "ProcedureExecutions.SelfAttestedApprovalCount",
    "TargetTable": "ProcedureExecutions",
    "FieldName": "SelfAttestedApprovalCount",
    "FieldType": "aggregation",
    "Datatype": "number",
    "Formula": "=COUNTIFS(StepExecutions!{{SelfAttestedApprovalExecutionKey}}, {{ProcedureExecutionId}})",
    "InventedForQuestion": "q2-cfo-who-witnessed-the-witnesses",
    "SemanticTypeIri": "urn:effortless:pko-extension#RulebookField",
    "Name": "ProcedureExecutions.SelfAttestedApprovalCount",
    "IsDerived": true,
    "IsWitness": true,
    "DisagreeingSubstrateCount": 0,
    "IsSubstrateContested": false
   },
   {
    "RulebookFieldId": "ProcedureExecutions.AssuranceChainIsCircular",
    "TargetTable": "ProcedureExecutions",
    "FieldName": "AssuranceChainIsCircular",
    "FieldType": "calculated",
    "Datatype": "boolean",
    "Formula": "=AND({{SelfAttestedApprovalCount}} &gt; 0, NOT({{HasAnyIndependentObservation}}))",
    "InventedForQuestion": "q2-cfo-who-witnessed-the-witnesses",
    "SemanticTypeIri": "urn:effortless:pko-extension#RulebookField",
    "Name": "ProcedureExecutions.AssuranceChainIsCircular",
    "IsDerived": true,
    "IsWitness": true,
    "DisagreeingSubstrateCount": 0,
    "IsSubstrateContested": false
   },
   {
    "RulebookFieldId": "ProcedureExecutions.LatestAttestationInstant",
    "TargetTable": "ProcedureExecutions",
    "FieldName": "LatestAttestationInstant",
    "FieldType": "aggregation",
    "Datatype": "datetime",
    "Formula": "=MAXIFS(Attestations!{{SignedAt}}, Attestations!{{ProcedureExecution}}, {{ProcedureExecutionId}})",
    "InventedForQuestion": "q2-cfo-what-changed-since-i-signed",
    "SemanticTypeIri": "urn:effortless:pko-extension#RulebookField",
    "Name": "ProcedureExecutions.LatestAttestationInstant",
    "IsDerived": true,
    "IsWitness": true,
    "DisagreeingSubstrateCount": 1,
    "IsSubstrateContested": true
   },
   {
    "RulebookFieldId": "ProcedureExecutions.HasBeenAttested",
    "TargetTable": "ProcedureExecutions",
    "FieldName": "HasBeenAttested",
    "FieldType": "calculated",
    "Datatype": "boolean",
    "Formula": "={{AttestationCount}} &gt; 0",
    "InventedForQuestion": "q2-cfo-what-changed-since-i-signed",
    "SemanticTypeIri": "urn:effortless:pko-extension#RulebookField",
    "Name": "ProcedureExecutions.HasBeenAttested",
    "IsDerived": true,
    "IsWitness": true,
    "DisagreeingSubstrateCount": 0,
    "IsSubstrateContested": false
   },
   {
    "RulebookFieldId": "ProcedureExecutions.AttestationCount",
    "TargetTable": "ProcedureExecutions",
    "FieldName": "AttestationCount",
    "FieldType": "aggregation",
    "Datatype": "number",
    "Formula": "=COUNTIFS(Attestations!{{ProcedureExecution}}, {{ProcedureExecutionId}})",
    "InventedForQuestion": "q2-cfo-what-changed-since-i-signed",
    "SemanticTypeIri": "urn:effortless:pko-extension#RulebookField",
    "Name": "ProcedureExecutions.AttestationCount",
    "IsDerived": true,
    "IsWitness": true,
    "DisagreeingSubstrateCount": 0,
    "IsSubstrateContested": false
   },
   {
    "RulebookFieldId": "ProcedureExecutions.PostAttestationScoreCount",
    "TargetTable": "ProcedureExecutions",
    "FieldName": "PostAttestationScoreCount",
    "FieldType": "aggregation",
    "Datatype": "number",
    "Formula": "=COUNTIFS(RequirementSatisfactions!{{PostAttestationScoreExecutionKey}}, {{ProcedureExecutionId}})",
    "InventedForQuestion": "q2-cfo-what-changed-since-i-signed",
    "SemanticTypeIri": "urn:effortless:pko-extension#RulebookField",
    "Name": "ProcedureExecutions.PostAttestationScoreCount",
    "IsDerived": true,
    "IsWitness": true,
    "DisagreeingSubstrateCount": 0,
    "IsSubstrateContested": false
   },
   {
    "RulebookFieldId": "ProcedureExecutions.BasisChangedAfterSignature",
    "TargetTable": "ProcedureExecutions",
    "FieldName": "BasisChangedAfterSignature",
    "FieldType": "calculated",
    "Datatype": "boolean",
    "Formula": "=AND({{HasBeenAttested}}, {{PostAttestationScoreCount}} &gt; 0)",
    "InventedForQuestion": "q2-cfo-what-changed-since-i-signed",
    "SemanticTypeIri": "urn:effortless:pko-extension#RulebookField",
    "Name": "ProcedureExecutions.BasisChangedAfterSignature",
    "IsDerived": true,
    "IsWitness": true,
    "DisagreeingSubstrateCount": 0,
    "IsSubstrateContested": false
   },
   {
    "RulebookFieldId": "ProcedureExecutions.RequiresReAttestation",
    "TargetTable": "ProcedureExecutions",
    "FieldName": "RequiresReAttestation",
    "FieldType": "calculated",
    "Datatype": "boolean",
    "Formula": "=AND({{BasisChangedAfterSignature}}, NOT({{IsAttestationReady}}))",
    "InventedForQuestion": "q2-cfo-what-changed-since-i-signed",
    "SemanticTypeIri": "urn:effortless:pko-extension#RulebookField",
    "Name": "ProcedureExecutions.RequiresReAttestation",
    "IsDerived": true,
    "IsWitness": true,
    "DisagreeingSubstrateCount": 0,
    "IsSubstrateContested": false
   },
   {
    "RulebookFieldId": "ProcedureExecutions.IntendedRecipientCount",
    "TargetTable": "ProcedureExecutions",
    "FieldName": "IntendedRecipientCount",
    "FieldType": "aggregation",
    "Datatype": "number",
    "Formula": "=COUNTIFS(SendIntents!{{IntentExecutionKey}}, {{ProcedureExecutionId}})",
    "InventedForQuestion": "q2-comms-approval-to-delivery-yield",
    "SemanticTypeIri": "urn:effortless:pko-extension#RulebookField",
    "Name": "ProcedureExecutions.IntendedRecipientCount",
    "IsDerived": true,
    "IsWitness": true,
    "DisagreeingSubstrateCount": 0,
    "IsSubstrateContested": false
   },
   {
    "RulebookFieldId": "ProcedureExecutions.ReachedRecipientCount",
    "TargetTable": "ProcedureExecutions",
    "FieldName": "ReachedRecipientCount",
    "FieldType": "aggregation",
    "Datatype": "number",
    "Formula": "=COUNTIFS(SendIntents!{{DeliveredIntentExecutionKey}}, {{ProcedureExecutionId}})",
    "InventedForQuestion": "q2-comms-approval-to-delivery-yield",
    "SemanticTypeIri": "urn:effortless:pko-extension#RulebookField",
    "Name": "ProcedureExecutions.ReachedRecipientCount",
    "IsDerived": true,
    "IsWitness": true,
    "DisagreeingSubstrateCount": 0,
    "IsSubstrateContested": false
   },
   {
    "RulebookFieldId": "ProcedureExecutions.SilentlyDroppedCount",
    "TargetTable": "ProcedureExecutions",
    "FieldName": "SilentlyDroppedCount",
    "FieldType": "aggregation",
    "Datatype": "number",
    "Formula": "=COUNTIFS(SendIntents!{{DroppedIntentExecutionKey}}, {{ProcedureExecutionId}})",
    "InventedForQuestion": "q2-comms-approval-to-delivery-yield",
    "SemanticTypeIri": "urn:effortless:pko-extension#RulebookField",
    "Name": "ProcedureExecutions.SilentlyDroppedCount",
    "IsDerived": true,
    "IsWitness": true,
    "DisagreeingSubstrateCount": 0,
    "IsSubstrateContested": false
   },
   {
    "RulebookFieldId": "ProcedureExecutions.DeliveryYieldPercent",
    "TargetTable": "ProcedureExecutions",
    "FieldName": "DeliveryYieldPercent",
    "FieldType": "calculated",
    "Datatype": "number",
    "Formula": "=IF({{IntendedRecipientCount}} &gt; 0, {{ReachedRecipientCount}} * 100 / {{IntendedRecipientCount}}, 0)",
    "InventedForQuestion": "q2-comms-approval-to-delivery-yield",
    "SemanticTypeIri": "urn:effortless:pko-extension#RulebookField",
    "Name": "ProcedureExecutions.DeliveryYieldPercent",
    "IsDerived": true,
    "IsWitness": true,
    "DisagreeingSubstrateCount": 0,
    "IsSubstrateContested": false
   },
   {
    "RulebookFieldId": "ProcedureExecutions.CampaignSilentlyLostAudience",
    "TargetTable": "ProcedureExecutions",
    "FieldName": "CampaignSilentlyLostAudience",
    "FieldType": "calculated",
    "Datatype": "boolean",
    "Formula": "=({{SilentlyDroppedCount}} &gt; 0)",
    "InventedForQuestion": "q2-comms-approval-to-delivery-yield",
    "SemanticTypeIri": "urn:effortless:pko-extension#RulebookField",
    "Name": "ProcedureExecutions.CampaignSilentlyLostAudience",
    "IsDerived": true,
    "IsWitness": true,
    "DisagreeingSubstrateCount": 0,
    "IsSubstrateContested": false
   },
   {
    "RulebookFieldId": "ProcedureExecutions.UnrecordedRefusalCount",
    "TargetTable": "ProcedureExecutions",
    "FieldName": "UnrecordedRefusalCount",
    "FieldType": "aggregation",
    "Datatype": "number",
    "Formula": "=COUNTIFS(SendIntents!{{UnrecordedRefusalExecutionKey}}, {{ProcedureExecutionId}})",
    "InventedForQuestion": "q2-publisher-every-refusal-leaves-a-record",
    "SemanticTypeIri": "urn:effortless:pko-extension#RulebookField",
    "Name": "ProcedureExecutions.UnrecordedRefusalCount",
    "IsDerived": true,
    "IsWitness": true,
    "DisagreeingSubstrateCount": 0,
    "IsSubstrateContested": false
   },
   {
    "RulebookFieldId": "ProcedureExecutions.HasUnrecordedRefusals",
    "TargetTable": "ProcedureExecutions",
    "FieldName": "HasUnrecordedRefusals",
    "FieldType": "calculated",
    "Datatype": "boolean",
    "Formula": "=({{UnrecordedRefusalCount}} &gt; 0)",
    "InventedForQuestion": "q2-publisher-every-refusal-leaves-a-record",
    "SemanticTypeIri": "urn:effortless:pko-extension#RulebookField",
    "Name": "ProcedureExecutions.HasUnrecordedRefusals",
    "IsDerived": true,
    "IsWitness": true,
    "DisagreeingSubstrateCount": 0,
    "IsSubstrateContested": false
   },
   {
    "RulebookFieldId": "ProcedureExecutions.IndependentlyConfirmedIntentCount",
    "TargetTable": "ProcedureExecutions",
    "FieldName": "IndependentlyConfirmedIntentCount",
    "FieldType": "aggregation",
    "Datatype": "number",
    "Formula": "=COUNTIFS(SendIntents!{{IndependentlyConfirmedExecutionKey}}, {{ProcedureExecutionId}})",
    "InventedForQuestion":</t>
  </si>
  <si>
    <t xml:space="preserve"> "q2-publisher-am-i-the-only-witness",
    "SemanticTypeIri": "urn:effortless:pko-extension#RulebookField",
    "Name": "ProcedureExecutions.IndependentlyConfirmedIntentCount",
    "IsDerived": true,
    "IsWitness": true,
    "DisagreeingSubstrateCount": 0,
    "IsSubstrateContested": false
   },
   {
    "RulebookFieldId": "ProcedureExecutions.SendDecisionsAreEntirelySelfWitnessed",
    "TargetTable": "ProcedureExecutions",
    "FieldName": "SendDecisionsAreEntirelySelfWitnessed",
    "FieldType": "calculated",
    "Datatype": "boolean",
    "Formula": "=AND({{IntendedRecipientCount}} &gt; 0, {{IndependentlyConfirmedIntentCount}} = 0)",
    "InventedForQuestion": "q2-publisher-am-i-the-only-witness",
    "SemanticTypeIri": "urn:effortless:pko-extension#RulebookField",
    "Name": "ProcedureExecutions.SendDecisionsAreEntirelySelfWitnessed",
    "IsDerived": true,
    "IsWitness": true,
    "DisagreeingSubstrateCount": 0,
    "IsSubstrateContested": false
   },
   {
    "RulebookFieldId": "ProcedureExecutions.SemanticTypeIri",
    "TargetTable": "ProcedureExecutions",
    "FieldName": "SemanticTypeIri",
    "FieldType": "raw",
    "Datatype": "string",
    "Formula": null,
    "InventedForQuestion": null,
    "SemanticTypeIri": "urn:effortless:pko-extension#RulebookField",
    "Name": "ProcedureExecutions.SemanticTypeIri",
    "IsDerived": false,
    "IsWitness": false,
    "DisagreeingSubstrateCount": 0,
    "IsSubstrateContested": false
   },
   {
    "RulebookFieldId": "StepExecutions.StepExecutionId",
    "TargetTable": "StepExecutions",
    "FieldName": "StepExecutionId",
    "FieldType": "raw",
    "Datatype": "string",
    "Formula": null,
    "InventedForQuestion": null,
    "SemanticTypeIri": "urn:effortless:pko-extension#RulebookField",
    "Name": "StepExecutions.StepExecutionId",
    "IsDerived": false,
    "IsWitness": false,
    "DisagreeingSubstrateCount": 0,
    "IsSubstrateContested": false
   },
   {
    "RulebookFieldId": "StepExecutions.Name",
    "TargetTable": "StepExecutions",
    "FieldName": "Name",
    "FieldType": "calculated",
    "Datatype": "string",
    "Formula": "={{ProcedureExecution}} &amp; \" / \" &amp; {{Step}}",
    "InventedForQuestion": null,
    "SemanticTypeIri": "urn:effortless:pko-extension#RulebookField",
    "Name": "StepExecutions.Name",
    "IsDerived": true,
    "IsWitness": false,
    "DisagreeingSubstrateCount": 0,
    "IsSubstrateContested": false
   },
   {
    "RulebookFieldId": "StepExecutions.ProcedureExecution",
    "TargetTable": "StepExecutions",
    "FieldName": "ProcedureExecution",
    "FieldType": "relationship",
    "Datatype": "string",
    "Formula": null,
    "InventedForQuestion": null,
    "SemanticTypeIri": "urn:effortless:pko-extension#RulebookField",
    "Name": "StepExecutions.ProcedureExecution",
    "IsDerived": false,
    "IsWitness": false,
    "DisagreeingSubstrateCount": 0,
    "IsSubstrateContested": false
   },
   {
    "RulebookFieldId": "StepExecutions.Step",
    "TargetTable": "StepExecutions",
    "FieldName": "Step",
    "FieldType": "relationship",
    "Datatype": "string",
    "Formula": null,
    "InventedForQuestion": null,
    "SemanticTypeIri": "urn:effortless:pko-extension#RulebookField",
    "Name": "StepExecutions.Step",
    "IsDerived": false,
    "IsWitness": false,
    "DisagreeingSubstrateCount": 0,
    "IsSubstrateContested": false
   },
   {
    "RulebookFieldId": "StepExecutions.ExecutedByAgent",
    "TargetTable": "StepExecutions",
    "FieldName": "ExecutedByAgent",
    "FieldType": "relationship",
    "Datatype": "string",
    "Formula": null,
    "InventedForQuestion": null,
    "SemanticTypeIri": "urn:effortless:pko-extension#RulebookField",
    "Name": "StepExecutions.ExecutedByAgent",
    "IsDerived": false,
    "IsWitness": false,
    "DisagreeingSubstrateCount": 0,
    "IsSubstrateContested": false
   },
   {
    "RulebookFieldId": "StepExecutions.ExecutionStatus",
    "TargetTable": "StepExecutions",
    "FieldName": "ExecutionStatus",
    "FieldType": "raw",
    "Datatype": "string",
    "Formula": null,
    "InventedForQuestion": null,
    "SemanticTypeIri": "urn:effortless:pko-extension#RulebookField",
    "Name": "StepExecutions.ExecutionStatus",
    "IsDerived": false,
    "IsWitness": false,
    "DisagreeingSubstrateCount": 0,
    "IsSubstrateContested": false
   },
   {
    "RulebookFieldId": "StepExecutions.StartedAt",
    "TargetTable": "StepExecutions",
    "FieldName": "StartedAt",
    "FieldType": "raw",
    "Datatype": "datetime",
    "Formula": null,
    "InventedForQuestion": null,
    "SemanticTypeIri": "urn:effortless:pko-extension#RulebookField",
    "Name": "StepExecutions.StartedAt",
    "IsDerived": false,
    "IsWitness": false,
    "DisagreeingSubstrateCount": 0,
    "IsSubstrateContested": false
   },
   {
    "RulebookFieldId": "StepExecutions.EndedAt",
    "TargetTable": "StepExecutions",
    "FieldName": "EndedAt",
    "FieldType": "raw",
    "Datatype": "datetime",
    "Formula": null,
    "InventedForQuestion": null,
    "SemanticTypeIri": "urn:effortless:pko-extension#RulebookField",
    "Name": "StepExecutions.EndedAt",
    "IsDerived": false,
    "IsWitness": false,
    "DisagreeingSubstrateCount": 0,
    "IsSubstrateContested": false
   },
   {
    "RulebookFieldId": "StepExecutions.VerificationResult",
    "TargetTable": "StepExecutions",
    "FieldName": "VerificationResult",
    "FieldType": "raw",
    "Datatype": "string",
    "Formula": null,
    "InventedForQuestion": null,
    "SemanticTypeIri": "urn:effortless:pko-extension#RulebookField",
    "Name": "StepExecutions.VerificationResult",
    "IsDerived": false,
    "IsWitness": false,
    "DisagreeingSubstrateCount": 0,
    "IsSubstrateContested": false
   },
   {
    "RulebookFieldId": "StepExecutions.Deviation",
    "TargetTable": "StepExecutions",
    "FieldName": "Deviation",
    "FieldType": "raw",
    "Datatype": "string",
    "Formula": null,
    "InventedForQuestion": null,
    "SemanticTypeIri": "urn:effortless:pko-extension#RulebookField",
    "Name": "StepExecutions.Deviation",
    "IsDerived": false,
    "IsWitness": false,
    "DisagreeingSubstrateCount": 0,
    "IsSubstrateContested": false
   },
   {
    "RulebookFieldId": "StepExecutions.ActualDurationMinutes",
    "TargetTable": "StepExecutions",
    "FieldName": "ActualDurationMinutes",
    "FieldType": "calculated",
    "Datatype": "integer",
    "Formula": "=IF({{EndedAt}} = \"\", 0, DATETIME_DIFF({{EndedAt}}, {{StartedAt}}, \"minutes\"))",
    "InventedForQuestion": null,
    "SemanticTypeIri": "urn:effortless:pko-extension#RulebookField",
    "Name": "StepExecutions.ActualDurationMinutes",
    "IsDerived": true,
    "IsWitness": false,
    "DisagreeingSubstrateCount": 2,
    "IsSubstrateContested": true
   },
   {
    "RulebookFieldId": "StepExecutions.ExpectedDurationMinutes",
    "TargetTable": "StepExecutions",
    "FieldName": "ExpectedDurationMinutes",
    "FieldType": "lookup",
    "Datatype": "integer",
    "Formula": "=INDEX(Steps!{{ExpectedDurationMinutes}}, MATCH({{Step}}, Steps!{{StepId}}, 0))",
    "InventedForQuestion": null,
    "SemanticTypeIri": "urn:effortless:pko-extension#RulebookField",
    "Name": "StepExecutions.ExpectedDurationMinutes",
    "IsDerived": true,
    "IsWitness": false,
    "DisagreeingSubstrateCount": 0,
    "IsSubstrateContested": false
   },
   {
    "RulebookFieldId": "StepExecutions.IsLate",
    "TargetTable": "StepExecutions",
    "FieldName": "IsLate",
    "FieldType": "calculated",
    "Datatype": "boolean",
    "Formula": "={{ActualDurationMinutes}} &gt; {{ExpectedDurationMinutes}}",
    "InventedForQuestion": null,
    "SemanticTypeIri": "urn:effortless:pko-extension#RulebookField",
    "Name": "StepExecutions.IsLate",
    "IsDerived": true,
    "IsWitness": false,
    "DisagreeingSubstrateCount": 2,
    "IsSubstrateContested": true
   },
   {
    "RulebookFieldId": "StepExecutions.BlockingUnmetCount",
    "TargetTable": "StepExecutions",
    "FieldName": "BlockingUnmetCount",
    "FieldType": "aggregation",
    "Datatype": "number",
    "Formula": "=COUNTIFS(RequirementSatisfactions!{{StepExecution}}, {{StepExecutionId}}, RequirementSatisfactions!{{IsBlockingAndUnmet}}, TRUE)",
    "InventedForQuestion": "q-analyst-blocking-unmet-on-my-step",
    "SemanticTypeIri": "urn:effortless:pko-extension#RulebookField",
    "Name": "StepExecutions.BlockingUnmetCount",
    "IsDerived": true,
    "IsWitness": true,
    "DisagreeingSubstrateCount": 0,
    "IsSubstrateContested": false
   },
   {
    "RulebookFieldId": "StepExecutions.BlockingUnmetCountSafe",
    "TargetTable": "StepExecutions",
    "FieldName": "BlockingUnmetCountSafe",
    "FieldType": "aggregation",
    "Datatype": "number",
    "Formula": "=COUNTIFS(RequirementSatisfactions!{{BlockingUnmetStepKey}}, {{StepExecutionId}})",
    "InventedForQuestion": "q-analyst-blocking-unmet-on-my-step",
    "SemanticTypeIri": "urn:effortless:pko-extension#RulebookField",
    "Name": "StepExecutions.BlockingUnmetCountSafe",
    "IsDerived": true,
    "IsWitness": true,
    "DisagreeingSubstrateCount": 0,
    "IsSubstrateContested": false
   },
   {
    "RulebookFieldId": "StepExecutions.ProceededPastBlockingControl",
    "TargetTable": "StepExecutions",
    "FieldName": "ProceededPastBlockingControl",
    "FieldType": "calculated",
    "Datatype": "boolean",
    "Formula": "=AND({{ExecutionStatus}} = \"Completed\", {{BlockingUnmetCountSafe}} &gt; 0)",
    "InventedForQuestion": "q-analyst-blocking-unmet-on-my-step",
    "SemanticTypeIri": "urn:effortless:pko-extension#RulebookField",
    "Name": "StepExecutions.ProceededPastBlockingControl",
    "IsDerived": true,
    "IsWitness": true,
    "DisagreeingSubstrateCount": 0,
    "IsSubstrateContested": false
   },
   {
    "RulebookFieldId": "StepExecutions.ExpectedBlockingCount",
    "TargetTable": "StepExecutions",
    "FieldName": "ExpectedBlockingCount",
    "FieldType": "lookup",
    "Datatype": "number",
    "Formula": "=INDEX(Steps!{{BlockingRequirementCount}}, MATCH({{Step}}, Steps!{{StepId}}, 0))",
    "InventedForQuestion": "q-analyst-blocking-never-evaluated",
    "SemanticTypeIri": "urn:effortless:pko-extension#RulebookField",
    "Name": "StepExecutions.ExpectedBlockingCount",
    "IsDerived": true,
    "IsWitness": true,
    "DisagreeingSubstrateCount": 0,
    "IsSubstrateContested": false
   },
   {
    "RulebookFieldId": "StepExecutions.EvaluatedBlockingCount",
    "TargetTable": "StepExecutions",
    "FieldName": "EvaluatedBlockingCount",
    "FieldType": "aggregation",
    "Datatype": "number",
    "Formula": "=COUNTIFS(RequirementSatisfactions!{{BlockingSatisfactionStepKey}}, {{StepExecutionId}})",
    "InventedForQuestion": "q-analyst-blocking-never-evaluated",
    "SemanticTypeIri": "urn:effortless:pko-extension#RulebookField",
    "Name": "StepExecutions.EvaluatedBlockingCount",
    "IsDerived": true,
    "IsWitness": true,
    "DisagreeingSubstrateCount": 0,
    "IsSubstrateContested": false
   },
   {
    "RulebookFieldId": "StepExecutions.UnevaluatedBlockingCount",
    "TargetTable": "StepExecutions",
    "FieldName": "UnevaluatedBlockingCount",
    "FieldType": "calculated",
    "Datatype": "number",
    "Formula": "={{ExpectedBlockingCount}} - {{EvaluatedBlockingCount}}",
    "InventedForQuestion": "q-analyst-blocking-never-evaluated",
    "SemanticTypeIri": "urn:effortless:pko-extension#RulebookField",
    "Name": "StepExecutions.UnevaluatedBlockingCount",
    "IsDerived": true,
    "IsWitness": true,
    "DisagreeingSubstrateCount": 0,
    "IsSubstrateContested": false
   },
   {
    "RulebookFieldId": "StepExecutions.HasUnevaluatedBlockingControl",
    "TargetTable": "StepExecutions",
    "FieldName": "HasUnevaluatedBlockingControl",
    "FieldType": "calculated",
    "Datatype": "boolean",
    "Formula": "={{UnevaluatedBlockingCount}} &gt; 0",
    "InventedForQuestion": "q-analyst-blocking-never-evaluated",
    "SemanticTypeIri": "urn:effortless:pko-extension#RulebookField",
    "Name": "StepExecutions.HasUnevaluatedBlockingControl",
    "IsDerived": true,
    "IsWitness": true,
    "DisagreeingSubstrateCount": 0,
    "IsSubstrateContested": false
   },
   {
    "RulebookFieldId": "StepExecutions.StaleAuthoritativeSourceCount",
    "TargetTable": "StepExecutions",
    "FieldName": "StaleAuthoritativeSourceCount",
    "FieldType": "lookup",
    "Datatype": "number",
    "Formula": "=INDEX(Steps!{{AuthoritativeStaleCount}}, MATCH({{Step}}, Steps!{{StepId}}, 0))",
    "InventedForQuestion": "q-analyst-evidence-binding-stale",
    "SemanticTypeIri": "urn:effortless:pko-extension#RulebookField",
    "Name": "StepExecutions.StaleAuthoritativeSourceCount",
    "IsDerived": true,
    "IsWitness": true,
    "DisagreeingSubstrateCount": 2,
    "IsSubstrateContested": true
   },
   {
    "RulebookFieldId": "StepExecutions.RanOnStaleAuthoritativeSource",
    "TargetTable": "StepExecutions",
    "FieldName": "RanOnStaleAuthoritativeSource",
    "FieldType": "calculated",
    "Datatype": "boolean",
    "Formula": "={{StaleAuthoritativeSourceCount}} &gt; 0",
    "InventedForQuestion": "q-analyst-evidence-binding-stale",
    "SemanticTypeIri": "urn:effortless:pko-extension#RulebookField",
    "Name": "StepExecutions.RanOnStaleAuthoritativeSource",
    "IsDerived": true,
    "IsWitness": true,
    "DisagreeingSubstrateCount": 2,
    "IsSubstrateContested": true
   },
   {
    "RulebookFieldId": "StepExecutions.HasDeviationNote",
    "TargetTable": "StepExecutions",
    "FieldName": "HasDeviationNote",
    "FieldType": "calculated",
    "Datatype": "boolean",
    "Formula": "={{Deviation}} &lt;&gt; \"\"",
    "InventedForQuestion": "q-analyst-my-late-steps-unexplained",
    "SemanticTypeIri": "urn:effortless:pko-extension#RulebookField",
    "Name": "StepExecutions.HasDeviationNote",
    "IsDerived": true,
    "IsWitness": true,
    "DisagreeingSubstrateCount": 0,
    "IsSubstrateContested": false
   },
   {
    "RulebookFieldId": "StepExecutions.IsLateAndUnexplained",
    "TargetTable": "StepExecutions",
    "FieldName": "IsLateAndUnexplained",
    "FieldType": "calculated",
    "Datatype": "boolean",
    "Formula": "=AND({{IsLate}}, NOT({{HasDeviationNote}}))",
    "InventedForQuestion": "q-analyst-my-late-steps-unexplained",
    "SemanticTypeIri": "urn:effortless:pko-extension#RulebookField",
    "Name": "StepExecutions.IsLateAndUnexplained",
    "IsDerived": true,
    "IsWitness": true,
    "DisagreeingSubstrateCount": 2,
    "IsSubstrateContested": true
   },
   {
    "RulebookFieldId": "StepExecutions.AvailableExceptionCountForStep",
    "TargetTable": "StepExecutions",
    "FieldName": "AvailableExceptionCountForStep",
    "FieldType": "lookup",
    "Datatype": "number",
    "Formula": "=INDEX(Steps!{{AvailableExceptionCount}}, MATCH({{Step}}, Steps!{{StepId}}, 0))",
    "InventedForQuestion": "q-analyst-my-late-steps-unexplained",
    "SemanticTypeIri": "urn:effortless:pko-extension#RulebookField",
    "Name": "StepExecutions.AvailableExceptionCountForStep",
    "IsDerived": true,
    "IsWitness": true,
    "DisagreeingSubstrateCount": 0,
    "IsSubstrateContested": false
   },
   {
    "RulebookFieldId": "StepExecutions.HadUninvokedExceptionAvailable",
    "TargetTable": "StepExecutions",
    "FieldName": "HadUninvokedExceptionAvailable",
    "FieldType": "calculated",
    "Datatype": "boolean",
    "Formula": "=AND({{IsLateAndUnexplained}}, {{AvailableExceptionCountForStep}} &gt; 0)",
    "InventedForQuestion": "q-analyst-my-late-steps-unexplained",
    "SemanticTypeIri": "urn:effortless:pko-extension#RulebookField",
    "Name": "StepExecutions.HadUninvokedExceptionAvailable",
    "IsDerived": true,
    "IsWitness": true,
    "DisagreeingSubstrateCount": 1,
    "IsSubstrateContested": true
   },
   {
    "RulebookFieldId": "StepExecutions.ExpectedVerificationCount",
    "TargetTable": "StepExecutions",
    "FieldName": "ExpectedVerificationCount",
    "FieldType": "lookup",
    "Datatype": "number",
    "Formula": "=INDEX(Steps!{{DeclaredVerificationCount}}, MATCH({{Step}}, Steps!{{StepId}}, 0))",
    "InventedForQuestion": "q-analyst-verification-declared-never-performed",
    "SemanticTypeIri": "urn:effortless:pko-extension#RulebookField",
    "Name": "StepExecutions.ExpectedVerificationCount",
    "IsDerived": true,
    "IsWitness": true,
    "DisagreeingSubstrateCount": 0,
    "IsSubstrateContested": false
   },
   {
    "RulebookFieldId": "StepExecutions.PerformedVerificationCount",
    "TargetTable": "StepExecutions",
    "FieldName": "PerformedVerificationCount",
    "FieldType": "aggregation",
    "Datatype": "number",
    "Formula": "=COUNTIFS(VerificationOutcomes!{{StepExecution}}, {{StepExecutionId}})",
    "InventedForQuestion": "q-analyst-verification-declared-never-performed",
    "SemanticTypeIri": "urn:effortless:pko-extension#RulebookField",
    "Name": "StepExecutions.PerformedVerificationCount",
    "IsDerived": true,
    "IsWitness": true,
    "DisagreeingSubstrateCount": 0,
    "IsSubstrateContested": false
   },
   {
    "RulebookFieldId": "StepExecutions.SkippedVerificationCount",
    "TargetTable": "StepExecutions",
    "FieldName": "SkippedVerificationCount",
    "FieldType": "calculated",
    "Datatype": "number",
    "Formula": "={{ExpectedVerificationCount}} - {{PerformedVerificationCount}}",
    "InventedForQuestion": "q-analyst-verification-declared-never-performed",
    "SemanticTypeIri": "urn:effortless:pko-extension#RulebookField",
    "Name": "StepExecutions.SkippedVerificationCount",
    "IsDerived": true,
    "IsWitness": true,
    "DisagreeingSubstrateCount": 0,
    "IsSubstrateContested": false
   },
   {
    "RulebookFieldId": "StepExecutions.HasSkippedVerification",
    "TargetTable": "StepExecutions",
    "FieldName": "HasSkippedVerification",
    "FieldType": "calculated",
    "Datatype": "boolean",
    "Formula": "={{SkippedVerificationCount}} &gt; 0",
    "InventedForQuestion": "q-analyst-verification-declared-never-performed",
    "SemanticTypeIri": "urn:effortless:pko-extension#RulebookField",
    "Name": "StepExecutions.HasSkippedVerification",
    "IsDerived": true,
    "IsWitness": true,
    "DisagreeingSubstrateCount": 0,
    "IsSubstrateContested": false
   },
   {
    "RulebookFieldId": "StepExecutions.ClaimsPassWithoutEvidence",
    "TargetTable": "StepExecutions",
    "FieldName": "ClaimsPassWithoutEvidence",
    "FieldType": "calculated",
    "Datatype": "boolean",
    "Formula": "=AND({{VerificationResult}} = \"PASS\", {{HasSkippedVerification}})",
    "InventedForQuestion": "q-analyst-verification-declared-never-performed",
    "SemanticTypeIri": "urn:effortless:pko-extension#RulebookField",
    "Name": "StepExecutions.ClaimsPassWithoutEvidence",
    "IsDerived": true,
    "IsWitness": true,
    "DisagreeingSubstrateCount": 0,
    "IsSubstrateContested": false
   },
   {
    "RulebookFieldId": "StepExecutions.StepIsPreparation",
    "TargetTable": "StepExecutions",
    "FieldName": "StepIsPreparation",
    "FieldType": "lookup",
    "Datatype": "boolean",
    "Formula": "=INDEX(Steps!{{IsPreparationStep}}, MATCH({{Step}}, Steps!{{StepId}}, 0))",
    "InventedForQuestion": "q-controller-separation-of-duties",
    "SemanticTypeIri": "urn:effortless:pko-extension#RulebookField",
    "Name": "StepExecutions.StepIsPreparation",
    "IsDerived": true,
    "IsWitness": true,
    "DisagreeingSubstrateCount": 0,
    "IsSubstrateContested": false
   },
   {
    "RulebookFieldId": "StepExecutions.StepIsApproval",
    "TargetTable": "StepExecutions",
    "FieldName": "StepIsApproval",
    "FieldType": "lookup",
    "Datatype": "boolean",
    "Formula": "=INDEX(Steps!{{IsApprovalStep}}, MATCH({{Step}}, Steps!{{StepId}}, 0))",
    "InventedForQuestion": "q-controller-separation-of-duties",
    "SemanticTypeIri": "urn:effortless:pko-extension#RulebookField",
    "Name": "StepExecutions.StepIsApproval",
    "IsDerived": true,
    "IsWitness": true,
    "DisagreeingSubstrateCount": 0,
    "IsSubstrateContested": false
   },
   {
    "RulebookFieldId": "StepExecutions.PreparerAgentKey",
    "TargetTable": "StepExecutions",
    "FieldName": "PreparerAgentKey",
    "FieldType": "calculated",
    "Datatype": "string",
    "Formula": "=IF({{StepIsPreparation}}, {{ProcedureExecution}} &amp; \"|\" &amp; {{ExecutedByAgent}}, \"\")",
    "InventedForQuestion": "q-controller-separation-of-duties",
    "SemanticTypeIri": "urn:effortless:pko-extension#RulebookField",
    "Name": "StepExecutions.PreparerAgentKey",
    "IsDerived": true,
    "IsWitness": true,
    "DisagreeingSubstrateCount": 0,
    "IsSubstrateContested": false
   },
   {
    "RulebookFieldId": "StepExecutions.ApproverAgentKey",
    "TargetTable": "StepExecutions",
    "FieldName": "ApproverAgentKey",
    "FieldType": "calculated",
    "Datatype": "string",
    "Formula": "=IF({{StepIsApproval}}, {{ProcedureExecution}} &amp; \"|\" &amp; {{ExecutedByAgent}}, \"\")",
    "InventedForQuestion": "q-controller-separation-of-duties",
    "SemanticTypeIri": "urn:effortless:pko-extension#RulebookField",
    "Name": "StepExecutions.ApproverAgentKey",
    "IsDerived": true,
    "IsWitness": true,
    "DisagreeingSubstrateCount": 0,
    "IsSubstrateContested": false
   },
   {
    "RulebookFieldId": "StepExecutions.PreparedByThisAgentCount",
    "TargetTable": "StepExecutions",
    "FieldName": "PreparedByThisAgentCount",
    "FieldType": "aggregation",
    "Datatype": "number",
    "Formula": "=COUNTIFS(StepExecutions!{{PreparerAgentKey}}, {{ApproverAgentKey}})",
    "InventedForQuestion": "q-controller-separation-of-duties",
    "SemanticTypeIri": "urn:effortless:pko-extension#RulebookField",
    "Name": "StepExecutions.PreparedByThisAgentCount",
    "IsDerived": true,
    "IsWitness": true,
    "DisagreeingSubstrateCount": 0,
    "IsSubstrateContested": false
   },
   {
    "RulebookFieldId": "StepExecutions.ViolatesSeparationOfDuties",
    "TargetTable": "StepExecutions",
    "FieldName": "ViolatesSeparationOfDuties",
    "FieldType": "calculated",
    "Datatype": "boolean",
    "Formula": "=AND({{StepIsApproval}}, {{PreparedByThisAgentCount}} &gt; 0)",
    "InventedForQuestion": "q-controller-separation-of-duties",
    "SemanticTypeIri": "urn:effortless:pko-extension#RulebookField",
    "Name": "StepExecutions.ViolatesSeparationOfDuties",
    "IsDerived": true,
    "IsWitness": true,
    "DisagreeingSubstrateCount": 0,
    "IsSubstrateContested": false
   },
   {
    "RulebookFieldId": "StepExecutions.RequiredRoleForStep",
    "TargetTable": "StepExecutions",
    "FieldName": "RequiredRoleForStep",
    "FieldType": "lookup",
    "Datatype": "string",
    "Formula": "=INDEX(Steps!{{AssignedRole}}, MATCH({{Step}}, Steps!{{StepId}}, 0))",
    "InventedForQuestion": "q-controller-approval-authority-valid",
    "SemanticTypeIri": "urn:effortless:pko-extension#RulebookField",
    "Name": "StepExecutions.RequiredRoleForStep",
    "IsDerived": true,
    "IsWitness": true,
    "DisagreeingSubstrateCount": 0,
    "IsSubstrateContested": false
   },
   {
    "RulebookFieldId": "StepExecutions.ExecutorRoleKey",
    "TargetTable": "StepExecutions",
    "FieldName": "ExecutorRoleKey",
    "FieldType": "calculated",
    "Datatype": "string",
    "Formula": "={{ExecutedByAgent}} &amp; \"|\" &amp; {{RequiredRoleForStep}}",
    "InventedForQuestion": "q-controller-approval-authority-valid",
    "SemanticTypeIri": "urn:effortless:pko-extension#RulebookField",
    "Name": "StepExecutions.ExecutorRoleKey",
    "IsDerived": true,
    "IsWitness": true,
    "DisagreeingSubstrateCount": 0,
    "IsSubstrateContested": false
   },
   {
    "RulebookFieldId": "StepExecutions.ExecutorAuthorityCount",
    "TargetTable": "StepExecutions",
    "FieldName": "ExecutorAuthorityCount",
    "FieldType": "aggregation",
    "Datatype": "number",
    "Formula": "=COUNTIFS(RoleAssignments!{{AgentRoleKey}}, {{ExecutorRoleKey}})",
    "InventedForQuestion": "q-controller-approval-authority-valid",
    "SemanticTypeIri": "urn:effortless:pko-extension#RulebookField",
    "Name": "StepExecutions.ExecutorAuthorityCount",
    "IsDerived": true,
    "IsWitness": true,
    "DisagreeingSubstrateCount": 0,
    "IsSubstrateContested": false
   },
   {
    "RulebookFieldId": "StepExecutions.ExecutorHeldRequiredRole",
    "TargetTable": "StepExecutions",
    "FieldName": "ExecutorHeldRequiredRole",
    "FieldType": "calculated",
    "Datatype": "boolean",
    "Formula": "={{ExecutorAuthorityCount}} &gt; 0",
    "InventedForQuestion": "q-controller-approval-authority-valid",
    "SemanticTypeIri": "urn:effortless:pko-extension#RulebookField",
    "Name": "StepExecutions.ExecutorHeldRequiredRole",
    "IsDerived": true,
    "IsWitness": true,
    "DisagreeingSubstrateCount": 0,
    "IsSubstrateContested": false
   },
   {
    "RulebookFieldId": "StepExecutions.IsUnauthorizedApproval",
    "TargetTable": "StepExecutions",
    "FieldName": "IsUnauthorizedApproval",
    "FieldType": "calculated",
    "Datatype": "boolean",
    "Formula": "=AND({{StepIsApproval}}, NOT({{ExecutorHeldRequiredRole}}))",
    "InventedForQuestion": "q-controller-approval-authority-valid",
    "SemanticTypeIri": "urn:effortless:pko-extension#RulebookField",
    "Name": "StepExecutions.IsUnauthorizedApproval",
    "IsDerived": true,
    "IsWitness": true,
    "DisagreeingSubstrateCount": 0,
    "IsSubstrateContested": false
   },
   {
    "RulebookFieldId": "StepExecutions.CompletedExecutionKey",
    "TargetTable": "StepExecutions",
    "FieldName": "CompletedExecutionKey",
    "FieldType": "calculated",
    "Datatype": "string",
    "Formula": "=IF({{ExecutionStatus}} = \"Completed\", {{ProcedureExecution}}, \"\")",
    "InventedForQuestion": "q-controller-execution-diverged-from-spec",
    "SemanticTypeIri": "urn:effortless:pko-extension#RulebookField",
    "Name": "StepExecutions.CompletedExecutionKey",
    "IsDerived": true,
    "IsWitness": true,
    "DisagreeingSubstrateCount": 0,
    "IsSubstrateContested": false
   },
   {
    "RulebookFieldId": "StepExecutions.ControlBreachExecutionKey",
    "TargetTable": "StepExecutions",
    "FieldName": "ControlBreachExecutionKey",
    "FieldType": "calculated",
    "Datatype": "string",
    "Formula": "=IF(OR({{ProceededPastBlockingControl}}, {{ViolatesSeparationOfDuties}}, {{IsUnauthorizedApproval}}, {{ClaimsPassWithoutEvidence}}), {{ProcedureExecution}}, \"\")",
    "InventedForQuestion": "q-controller-execution-diverged-from-spec",
    "SemanticTypeIri": "urn:effortless:pko-extension#RulebookField",
    "Name": "StepExecutions.ControlBreachExecutionKey",
    "IsDerived": true,
    "IsWitness": true,
    "DisagreeingSubstrateCount": 0,
    "IsSubstrateContested": false
   },
   {
    "RulebookFieldId": "StepExecutions.LateExecutionKey",
    "TargetTable": "StepExecutions",
    "FieldName": "LateExecutionKey",
    "FieldType": "calculated",
    "Datatype": "string",
    "Formula": "=IF({{IsLate}}, {{ProcedureExecution}}, \"\")",
    "InventedForQuestion": "q-controller-execution-diverged-from-spec",
    "SemanticTypeIri": "urn:effortless:pko-extension#RulebookField",
    "Name": "StepExecutions.LateExecutionKey",
    "IsDerived": true,
    "IsWitness": true,
    "DisagreeingSubstrateCount": 2,
    "IsSubstrateContested": true
   },
   {
    "RulebookFieldId": "StepExecutions.ExecutorAgentKind",
    "TargetTable": "StepExecutions",
    "FieldName": "ExecutorAgentKind",
    "FieldType": "lookup",
    "Datatype": "string",
    "Formula": "=INDEX(Agents!{{AgentKind}}, MATCH({{ExecutedByAgent}}, Agents!{{AgentId}}, 0))",
    "InventedForQuestion": "q-controller-ai-agent-approved-meaning",
    "SemanticTypeIri": "urn:effortless:pko-extension#RulebookField",
    "Name": "StepExecutions.ExecutorAgentKind",
    "IsDerived": true,
    "IsWitness": true,
    "DisagreeingSubstrateCount": 0,
    "IsSubstrateContested": false
   },
   {
    "RulebookFieldId": "StepExecutions.ExecutorIsHuman",
    "TargetTable": "StepExecutions",
    "FieldName": "ExecutorIsHuman",
    "FieldType": "calculated",
    "Datatype": "boolean",
    "Formula": "={{ExecutorAgentKind}} = \"Human\"",
    "InventedForQuestion": "q-controller-ai-agent-approved-meaning",
    "SemanticTypeIri": "urn:effortless:pko-extension#RulebookField",
    "Name": "StepExecutions.ExecutorIsHuman",
    "IsDerived": true,
    "IsWitness": true,
    "DisagreeingSubstrateCount": 0,
    "IsSubstrateContested": false
   },
   {
    "RulebookFieldId": "StepExecutions.StepRequiresHumanConfirmation",
    "TargetTable": "StepExecutions",
    "FieldName": "StepRequiresHumanConfirmation",
    "FieldType": "lookup",
    "Datatype": "boolean",
    "Formula": "=INDEX(Steps!{{RequiresHumanConfirmation}}, MATCH({{Step}}, Steps!{{StepId}}, 0))",
    "InventedForQuestion": "q-controller-ai-agent-approved-meaning",
    "SemanticTypeIri": "urn:effortless:pko-extension#RulebookField",
    "Name": "StepExecutions.StepRequiresHumanConfirmation",
    "IsDerived": true,
    "IsWitness": true,
    "DisagreeingSubstrateCount": 0,
    "IsSubstrateContested": false
   },
   {
    "RulebookFieldId": "StepExecutions.NonHumanRanHumanStep",
    "TargetTable": "StepExecutions",
    "FieldName": "NonHumanRanHumanStep",
    "FieldType": "calculated",
    "Datatype": "boolean",
    "Formula": "=AND({{StepRequiresHumanConfirmation}}, NOT({{ExecutorIsHuman}}))",
    "InventedForQuestion": "q-controller-ai-agent-approved-meaning",
    "SemanticTypeIri": "urn:effortless:pko-extension#RulebookField",
    "Name": "StepExecutions.NonHumanRanHumanStep",
    "IsDerived": true,
    "IsWitness": true,
    "DisagreeingSubstrateCount": 0,
    "IsSubstrateContested": false
   },
   {
    "RulebookFieldId": "StepExecutions.NonHumanApproval",
    "TargetTable": "StepExecutions",
    "FieldName": "NonHumanApproval",
    "FieldType": "calculated",
    "Datatype": "boolean",
    "Formula": "=AND({{StepIsApproval}}, NOT({{ExecutorIsHuman}}))",
    "InventedForQuestion": "q-controller-ai-agent-approved-meaning",
    "SemanticTypeIri": "urn:effortless:pko-extension#RulebookField",
    "Name": "StepExecutions.NonHumanApproval",
    "IsDerived": true,
    "IsWitness": true,
    "DisagreeingSubstrateCount": 0,
    "IsSubstrateContested": false
   },
   {
    "RulebookFieldId": "StepExecutions.UnevaluatedBlockingExecutionKey",
    "TargetTable": "StepExecutions",
    "FieldName": "UnevaluatedBlockingExecutionKey",
    "FieldType": "calculated",
    "Datatype": "string",
    "Formula": "=IF({{HasUnevaluatedBlockingControl}}, {{ProcedureExecution}}, \"\")",
    "InventedForQuestion": "q-cfo-can-i-sign",
    "SemanticTypeIri": "urn:effortless:pko-extension#RulebookField",
    "Name": "StepExecutions.UnevaluatedBlockingExecutionKey",
    "IsDerived": true,
    "IsWitness": true,
    "DisagreeingSubstrateCount": 0,
    "IsSubstrateContested": false
   },
   {
    "RulebookFieldId": "StepExecutions.SeparationViolationExecutionKey",
    "TargetTable": "StepExecutions",
    "FieldName": "SeparationViolationExecutionKey",
    "FieldType": "calculated",
    "Datatype": "string",
    "Formula": "=IF({{ViolatesSeparationOfDuties}}, {{ProcedureExecution}}, \"\")",
    "InventedForQuestion": "q-cfo-can-i-sign",
    "SemanticTypeIri": "urn:effortless:pko-extension#RulebookField",
    "Name": "StepExecutions.SeparationViolationExecutionKey",
    "IsDerived": true,
    "IsWitness": true,
    "DisagreeingSubstrateCount": 0,
    "IsSubstrateContested": false
   },
   {
    "RulebookFieldId": "StepExecutions.SelfWitnessedVerificationCount",
    "TargetTable": "StepExecutions",
    "FieldName": "SelfWitnessedVerificationCount",
    "FieldType": "aggregation",
    "Datatype": "number",
    "Formula": "=COUNTIFS(VerificationOutcomes!{{SelfWitnessedStepKey}}, {{StepExecutionId}})",
    "InventedForQuestion": "q-cfo-approval-was-actually-verified",
    "SemanticTypeIri": "urn:effortless:pko-extension#RulebookField",
    "Name": "StepExecutions.SelfWitnessedVerificationCount",
    "IsDerived": true,
    "IsWitness": true,
    "DisagreeingSubstrateCount": 0,
    "IsSubstrateContested": false
   },
   {
    "RulebookFieldId": "StepExecutions.UnbackedVerificationCount",
    "TargetTable": "StepExecutions",
    "FieldName": "UnbackedVerificationCount",
    "FieldType": "aggregation",
    "Datatype": "number",
    "Formula": "=COUNTIFS(VerificationOutcomes!{{UnbackedStepKey}}, {{StepExecutionId}})",
    "InventedForQuestion": "q-cfo-approval-was-actually-verified",
    "SemanticTypeIri": "urn:effortless:pko-extension#RulebookField",
    "Name": "StepExecutions.UnbackedVerificationCount",
    "IsDerived": true,
    "IsWitness": true,
    "DisagreeingSubstrateCount": 0,
    "IsSubstrateContested": false
   },
   {
    "RulebookFieldId": "StepExecutions.ApprovalRestsO</t>
  </si>
  <si>
    <t xml:space="preserve">nSelfAttestation",
    "TargetTable": "StepExecutions",
    "FieldName": "ApprovalRestsOnSelfAttestation",
    "FieldType": "calculated",
    "Datatype": "boolean",
    "Formula": "=AND({{StepIsApproval}}, OR({{SelfWitnessedVerificationCount}} &gt; 0, {{HasSkippedVerification}}))",
    "InventedForQuestion": "q-cfo-approval-was-actually-verified",
    "SemanticTypeIri": "urn:effortless:pko-extension#RulebookField",
    "Name": "StepExecutions.ApprovalRestsOnSelfAttestation",
    "IsDerived": true,
    "IsWitness": true,
    "DisagreeingSubstrateCount": 0,
    "IsSubstrateContested": false
   },
   {
    "RulebookFieldId": "StepExecutions.ExceptionInvocationCount",
    "TargetTable": "StepExecutions",
    "FieldName": "ExceptionInvocationCount",
    "FieldType": "aggregation",
    "Datatype": "number",
    "Formula": "=COUNTIFS(ExceptionInvocations!{{StepExecution}}, {{StepExecutionId}})",
    "InventedForQuestion": "q-cfo-who-actually-held-authority",
    "SemanticTypeIri": "urn:effortless:pko-extension#RulebookField",
    "Name": "StepExecutions.ExceptionInvocationCount",
    "IsDerived": true,
    "IsWitness": true,
    "DisagreeingSubstrateCount": 0,
    "IsSubstrateContested": false
   },
   {
    "RulebookFieldId": "StepExecutions.RanUnderException",
    "TargetTable": "StepExecutions",
    "FieldName": "RanUnderException",
    "FieldType": "calculated",
    "Datatype": "boolean",
    "Formula": "={{ExceptionInvocationCount}} &gt; 0",
    "InventedForQuestion": "q-cfo-who-actually-held-authority",
    "SemanticTypeIri": "urn:effortless:pko-extension#RulebookField",
    "Name": "StepExecutions.RanUnderException",
    "IsDerived": true,
    "IsWitness": true,
    "DisagreeingSubstrateCount": 0,
    "IsSubstrateContested": false
   },
   {
    "RulebookFieldId": "StepExecutions.IsCompleted",
    "TargetTable": "StepExecutions",
    "FieldName": "IsCompleted",
    "FieldType": "calculated",
    "Datatype": "boolean",
    "Formula": "={{ExecutionStatus}} = \"Completed\"",
    "InventedForQuestion": "q-steward-untested-fallbacks",
    "SemanticTypeIri": "urn:effortless:pko-extension#RulebookField",
    "Name": "StepExecutions.IsCompleted",
    "IsDerived": true,
    "IsWitness": true,
    "DisagreeingSubstrateCount": 0,
    "IsSubstrateContested": false
   },
   {
    "RulebookFieldId": "StepExecutions.IsVerificationPassed",
    "TargetTable": "StepExecutions",
    "FieldName": "IsVerificationPassed",
    "FieldType": "calculated",
    "Datatype": "boolean",
    "Formula": "={{VerificationResult}} = \"PASS\"",
    "InventedForQuestion": "q-counsel-legal-review-gated-send",
    "SemanticTypeIri": "urn:effortless:pko-extension#RulebookField",
    "Name": "StepExecutions.IsVerificationPassed",
    "IsDerived": true,
    "IsWitness": true,
    "DisagreeingSubstrateCount": 0,
    "IsSubstrateContested": false
   },
   {
    "RulebookFieldId": "StepExecutions.IsLegalReviewStep",
    "TargetTable": "StepExecutions",
    "FieldName": "IsLegalReviewStep",
    "FieldType": "calculated",
    "Datatype": "boolean",
    "Formula": "={{Step}} = \"policy-04\"",
    "InventedForQuestion": "q-counsel-legal-review-gated-send",
    "SemanticTypeIri": "urn:effortless:pko-extension#RulebookField",
    "Name": "StepExecutions.IsLegalReviewStep",
    "IsDerived": true,
    "IsWitness": true,
    "DisagreeingSubstrateCount": 0,
    "IsSubstrateContested": false
   },
   {
    "RulebookFieldId": "StepExecutions.ClearedLegalReviewKey",
    "TargetTable": "StepExecutions",
    "FieldName": "ClearedLegalReviewKey",
    "FieldType": "calculated",
    "Datatype": "string",
    "Formula": "=IF(AND({{IsLegalReviewStep}}, {{IsVerificationPassed}}), {{ProcedureExecution}}, \"\")",
    "InventedForQuestion": "q-counsel-legal-review-gated-send",
    "SemanticTypeIri": "urn:effortless:pko-extension#RulebookField",
    "Name": "StepExecutions.ClearedLegalReviewKey",
    "IsDerived": true,
    "IsWitness": true,
    "DisagreeingSubstrateCount": 0,
    "IsSubstrateContested": false
   },
   {
    "RulebookFieldId": "StepExecutions.AssignedRole",
    "TargetTable": "StepExecutions",
    "FieldName": "AssignedRole",
    "FieldType": "lookup",
    "Datatype": "string",
    "Formula": "=INDEX(Steps!{{AssignedRole}}, MATCH({{Step}}, Steps!{{StepId}}, 0))",
    "InventedForQuestion": "q-close-auto-authority-current",
    "SemanticTypeIri": "urn:effortless:pko-extension#RulebookField",
    "Name": "StepExecutions.AssignedRole",
    "IsDerived": true,
    "IsWitness": true,
    "DisagreeingSubstrateCount": 0,
    "IsSubstrateContested": false
   },
   {
    "RulebookFieldId": "StepExecutions.RoleCurrentAgent",
    "TargetTable": "StepExecutions",
    "FieldName": "RoleCurrentAgent",
    "FieldType": "lookup",
    "Datatype": "string",
    "Formula": "=INDEX(Roles!{{CurrentAgent}}, MATCH({{AssignedRole}}, Roles!{{RoleId}}, 0))",
    "InventedForQuestion": "q-close-auto-authority-current",
    "SemanticTypeIri": "urn:effortless:pko-extension#RulebookField",
    "Name": "StepExecutions.RoleCurrentAgent",
    "IsDerived": true,
    "IsWitness": true,
    "DisagreeingSubstrateCount": 0,
    "IsSubstrateContested": false
   },
   {
    "RulebookFieldId": "StepExecutions.ExecutorIsDesignatedAgent",
    "TargetTable": "StepExecutions",
    "FieldName": "ExecutorIsDesignatedAgent",
    "FieldType": "calculated",
    "Datatype": "boolean",
    "Formula": "={{ExecutedByAgent}} = {{RoleCurrentAgent}}",
    "InventedForQuestion": "q-close-auto-authority-current",
    "SemanticTypeIri": "urn:effortless:pko-extension#RulebookField",
    "Name": "StepExecutions.ExecutorIsDesignatedAgent",
    "IsDerived": true,
    "IsWitness": true,
    "DisagreeingSubstrateCount": 0,
    "IsSubstrateContested": false
   },
   {
    "RulebookFieldId": "StepExecutions.InputsWereFreshAtRun",
    "TargetTable": "StepExecutions",
    "FieldName": "InputsWereFreshAtRun",
    "FieldType": "lookup",
    "Datatype": "boolean",
    "Formula": "=INDEX(Steps!{{InputsAreFresh}}, MATCH({{Step}}, Steps!{{StepId}}, 0))",
    "InventedForQuestion": "q-close-auto-input-freshness",
    "SemanticTypeIri": "urn:effortless:pko-extension#RulebookField",
    "Name": "StepExecutions.InputsWereFreshAtRun",
    "IsDerived": true,
    "IsWitness": true,
    "DisagreeingSubstrateCount": 2,
    "IsSubstrateContested": true
   },
   {
    "RulebookFieldId": "StepExecutions.RanOnStaleInputs",
    "TargetTable": "StepExecutions",
    "FieldName": "RanOnStaleInputs",
    "FieldType": "calculated",
    "Datatype": "boolean",
    "Formula": "=AND({{ExecutionStatus}} = \"Completed\", NOT({{InputsWereFreshAtRun}}))",
    "InventedForQuestion": "q-close-auto-input-freshness",
    "SemanticTypeIri": "urn:effortless:pko-extension#RulebookField",
    "Name": "StepExecutions.RanOnStaleInputs",
    "IsDerived": true,
    "IsWitness": true,
    "DisagreeingSubstrateCount": 2,
    "IsSubstrateContested": true
   },
   {
    "RulebookFieldId": "StepExecutions.UnresolvedIssueCount",
    "TargetTable": "StepExecutions",
    "FieldName": "UnresolvedIssueCount",
    "FieldType": "aggregation",
    "Datatype": "number",
    "Formula": "=COUNTIFS(IssueOccurrences!{{StepExecutionWhenUnresolved}}, {{StepExecutionId}})",
    "InventedForQuestion": "q-close-auto-last-run-clean",
    "SemanticTypeIri": "urn:effortless:pko-extension#RulebookField",
    "Name": "StepExecutions.UnresolvedIssueCount",
    "IsDerived": true,
    "IsWitness": true,
    "DisagreeingSubstrateCount": 0,
    "IsSubstrateContested": false
   },
   {
    "RulebookFieldId": "StepExecutions.HasDeviation",
    "TargetTable": "StepExecutions",
    "FieldName": "HasDeviation",
    "FieldType": "calculated",
    "Datatype": "boolean",
    "Formula": "={{Deviation}} &lt;&gt; \"\"",
    "InventedForQuestion": "q-close-auto-last-run-clean",
    "SemanticTypeIri": "urn:effortless:pko-extension#RulebookField",
    "Name": "StepExecutions.HasDeviation",
    "IsDerived": true,
    "IsWitness": true,
    "DisagreeingSubstrateCount": 0,
    "IsSubstrateContested": false
   },
   {
    "RulebookFieldId": "StepExecutions.IsClean",
    "TargetTable": "StepExecutions",
    "FieldName": "IsClean",
    "FieldType": "calculated",
    "Datatype": "boolean",
    "Formula": "=AND({{VerificationResult}} = \"PASS\", NOT({{HasDeviation}}), {{UnresolvedIssueCount}} = 0, NOT({{IsLate}}))",
    "InventedForQuestion": "q-close-auto-last-run-clean",
    "SemanticTypeIri": "urn:effortless:pko-extension#RulebookField",
    "Name": "StepExecutions.IsClean",
    "IsDerived": true,
    "IsWitness": true,
    "DisagreeingSubstrateCount": 2,
    "IsSubstrateContested": true
   },
   {
    "RulebookFieldId": "StepExecutions.ProcedureExecutionWhenUnclean",
    "TargetTable": "StepExecutions",
    "FieldName": "ProcedureExecutionWhenUnclean",
    "FieldType": "calculated",
    "Datatype": "string",
    "Formula": "=IF({{IsClean}}, \"\", {{ProcedureExecution}})",
    "InventedForQuestion": "q-close-auto-last-run-clean",
    "SemanticTypeIri": "urn:effortless:pko-extension#RulebookField",
    "Name": "StepExecutions.ProcedureExecutionWhenUnclean",
    "IsDerived": true,
    "IsWitness": true,
    "DisagreeingSubstrateCount": 2,
    "IsSubstrateContested": true
   },
   {
    "RulebookFieldId": "StepExecutions.EvaluatedRequirementCount",
    "TargetTable": "StepExecutions",
    "FieldName": "EvaluatedRequirementCount",
    "FieldType": "aggregation",
    "Datatype": "number",
    "Formula": "=COUNTIFS(RequirementSatisfactions!{{StepExecutionWhenScored}}, {{StepExecutionId}})",
    "InventedForQuestion": "q-close-auto-blocking-requirements-evaluated",
    "SemanticTypeIri": "urn:effortless:pko-extension#RulebookField",
    "Name": "StepExecutions.EvaluatedRequirementCount",
    "IsDerived": true,
    "IsWitness": true,
    "DisagreeingSubstrateCount": 0,
    "IsSubstrateContested": false
   },
   {
    "RulebookFieldId": "StepExecutions.RequiredBlockingCount",
    "TargetTable": "StepExecutions",
    "FieldName": "RequiredBlockingCount",
    "FieldType": "lookup",
    "Datatype": "integer",
    "Formula": "=INDEX(Steps!{{BlockingRequirementCount}}, MATCH({{Step}}, Steps!{{StepId}}, 0))",
    "InventedForQuestion": "q-close-auto-blocking-requirements-evaluated",
    "SemanticTypeIri": "urn:effortless:pko-extension#RulebookField",
    "Name": "StepExecutions.RequiredBlockingCount",
    "IsDerived": true,
    "IsWitness": true,
    "DisagreeingSubstrateCount": 0,
    "IsSubstrateContested": false
   },
   {
    "RulebookFieldId": "StepExecutions.HasUnevaluatedBlockingRequirement",
    "TargetTable": "StepExecutions",
    "FieldName": "HasUnevaluatedBlockingRequirement",
    "FieldType": "calculated",
    "Datatype": "boolean",
    "Formula": "={{EvaluatedRequirementCount}} &lt; {{RequiredBlockingCount}}",
    "InventedForQuestion": "q-close-auto-blocking-requirements-evaluated",
    "SemanticTypeIri": "urn:effortless:pko-extension#RulebookField",
    "Name": "StepExecutions.HasUnevaluatedBlockingRequirement",
    "IsDerived": true,
    "IsWitness": true,
    "DisagreeingSubstrateCount": 0,
    "IsSubstrateContested": false
   },
   {
    "RulebookFieldId": "StepExecutions.ExecutingAgentKind",
    "TargetTable": "StepExecutions",
    "FieldName": "ExecutingAgentKind",
    "FieldType": "lookup",
    "Datatype": "string",
    "Formula": "=INDEX(Agents!{{AgentKind}}, MATCH({{ExecutedByAgent}}, Agents!{{AgentId}}, 0))",
    "InventedForQuestion": "q-hr-ai-authored-commitments",
    "SemanticTypeIri": "urn:effortless:pko-extension#RulebookField",
    "Name": "StepExecutions.ExecutingAgentKind",
    "IsDerived": true,
    "IsWitness": true,
    "DisagreeingSubstrateCount": 0,
    "IsSubstrateContested": false
   },
   {
    "RulebookFieldId": "StepExecutions.WasExecutedBySoftware",
    "TargetTable": "StepExecutions",
    "FieldName": "WasExecutedBySoftware",
    "FieldType": "calculated",
    "Datatype": "boolean",
    "Formula": "=OR({{ExecutingAgentKind}} = \"AIAgent\", {{ExecutingAgentKind}} = \"AutomatedPipeline\")",
    "InventedForQuestion": "q-hr-ai-authored-commitments",
    "SemanticTypeIri": "urn:effortless:pko-extension#RulebookField",
    "Name": "StepExecutions.WasExecutedBySoftware",
    "IsDerived": true,
    "IsWitness": true,
    "DisagreeingSubstrateCount": 0,
    "IsSubstrateContested": false
   },
   {
    "RulebookFieldId": "StepExecutions.StepIsSoftwareAssigned",
    "TargetTable": "StepExecutions",
    "FieldName": "StepIsSoftwareAssigned",
    "FieldType": "lookup",
    "Datatype": "boolean",
    "Formula": "=INDEX(Steps!{{IsSoftwareAssigned}}, MATCH({{Step}}, Steps!{{StepId}}, 0))",
    "InventedForQuestion": "q-hr-ai-authored-commitments",
    "SemanticTypeIri": "urn:effortless:pko-extension#RulebookField",
    "Name": "StepExecutions.StepIsSoftwareAssigned",
    "IsDerived": true,
    "IsWitness": true,
    "DisagreeingSubstrateCount": 0,
    "IsSubstrateContested": false
   },
   {
    "RulebookFieldId": "StepExecutions.SoftwareDidHumanWork",
    "TargetTable": "StepExecutions",
    "FieldName": "SoftwareDidHumanWork",
    "FieldType": "calculated",
    "Datatype": "boolean",
    "Formula": "=AND({{WasExecutedBySoftware}}, NOT({{StepIsSoftwareAssigned}}))",
    "InventedForQuestion": "q-hr-ai-authored-commitments",
    "SemanticTypeIri": "urn:effortless:pko-extension#RulebookField",
    "Name": "StepExecutions.SoftwareDidHumanWork",
    "IsDerived": true,
    "IsWitness": true,
    "DisagreeingSubstrateCount": 0,
    "IsSubstrateContested": false
   },
   {
    "RulebookFieldId": "StepExecutions.IsApprovalExecution",
    "TargetTable": "StepExecutions",
    "FieldName": "IsApprovalExecution",
    "FieldType": "lookup",
    "Datatype": "boolean",
    "Formula": "=INDEX(Steps!{{IsHumanApprovalGate}}, MATCH({{Step}}, Steps!{{StepId}}, 0))",
    "InventedForQuestion": "q-hr-what-was-actually-sent",
    "SemanticTypeIri": "urn:effortless:pko-extension#RulebookField",
    "Name": "StepExecutions.IsApprovalExecution",
    "IsDerived": true,
    "IsWitness": true,
    "DisagreeingSubstrateCount": 0,
    "IsSubstrateContested": false
   },
   {
    "RulebookFieldId": "StepExecutions.IsVerified",
    "TargetTable": "StepExecutions",
    "FieldName": "IsVerified",
    "FieldType": "calculated",
    "Datatype": "boolean",
    "Formula": "=AND({{VerificationResult}} &lt;&gt; \"\", {{VerificationResult}} &lt;&gt; \"PENDING\", {{VerificationResult}} &lt;&gt; \"FAIL\")",
    "InventedForQuestion": "q-hr-what-was-actually-sent",
    "SemanticTypeIri": "urn:effortless:pko-extension#RulebookField",
    "Name": "StepExecutions.IsVerified",
    "IsDerived": true,
    "IsWitness": true,
    "DisagreeingSubstrateCount": 0,
    "IsSubstrateContested": false
   },
   {
    "RulebookFieldId": "StepExecutions.UnconfirmedNonHumanDecisionCount",
    "TargetTable": "StepExecutions",
    "FieldName": "UnconfirmedNonHumanDecisionCount",
    "FieldType": "aggregation",
    "Datatype": "number",
    "Formula": "=COUNTIFS(AgentDecisionRecords!{{StepExecutionWhenUnconfirmed}}, {{StepExecutionId}})",
    "InventedForQuestion": "q-variance-ai-human-confirmation-present",
    "SemanticTypeIri": "urn:effortless:pko-extension#RulebookField",
    "Name": "StepExecutions.UnconfirmedNonHumanDecisionCount",
    "IsDerived": true,
    "IsWitness": true,
    "DisagreeingSubstrateCount": 0,
    "IsSubstrateContested": false
   },
   {
    "RulebookFieldId": "StepExecutions.RequiresHumanConfirmation",
    "TargetTable": "StepExecutions",
    "FieldName": "RequiresHumanConfirmation",
    "FieldType": "lookup",
    "Datatype": "boolean",
    "Formula": "=INDEX(Steps!{{RequiresHumanConfirmation}}, MATCH({{Step}}, Steps!{{StepId}}, 0))",
    "InventedForQuestion": "q-variance-ai-human-confirmation-present",
    "SemanticTypeIri": "urn:effortless:pko-extension#RulebookField",
    "Name": "StepExecutions.RequiresHumanConfirmation",
    "IsDerived": true,
    "IsWitness": true,
    "DisagreeingSubstrateCount": 0,
    "IsSubstrateContested": false
   },
   {
    "RulebookFieldId": "StepExecutions.HumanConfirmationMissing",
    "TargetTable": "StepExecutions",
    "FieldName": "HumanConfirmationMissing",
    "FieldType": "calculated",
    "Datatype": "boolean",
    "Formula": "=AND({{RequiresHumanConfirmation}}, {{UnconfirmedNonHumanDecisionCount}} &gt; 0)",
    "InventedForQuestion": "q-variance-ai-human-confirmation-present",
    "SemanticTypeIri": "urn:effortless:pko-extension#RulebookField",
    "Name": "StepExecutions.HumanConfirmationMissing",
    "IsDerived": true,
    "IsWitness": true,
    "DisagreeingSubstrateCount": 0,
    "IsSubstrateContested": false
   },
   {
    "RulebookFieldId": "StepExecutions.DraftedFromUnusableSource",
    "TargetTable": "StepExecutions",
    "FieldName": "DraftedFromUnusableSource",
    "FieldType": "calculated",
    "Datatype": "boolean",
    "Formula": "=AND({{ExecutionStatus}} = \"Completed\", NOT({{InputsWereUsable}}))",
    "InventedForQuestion": "q-policy-ai-source-approval",
    "SemanticTypeIri": "urn:effortless:pko-extension#RulebookField",
    "Name": "StepExecutions.DraftedFromUnusableSource",
    "IsDerived": true,
    "IsWitness": true,
    "DisagreeingSubstrateCount": 1,
    "IsSubstrateContested": true
   },
   {
    "RulebookFieldId": "StepExecutions.InputsWereUsable",
    "TargetTable": "StepExecutions",
    "FieldName": "InputsWereUsable",
    "FieldType": "lookup",
    "Datatype": "boolean",
    "Formula": "=INDEX(Steps!{{AllSourcesUsable}}, MATCH({{Step}}, Steps!{{StepId}}, 0))",
    "InventedForQuestion": "q-policy-ai-source-approval",
    "SemanticTypeIri": "urn:effortless:pko-extension#RulebookField",
    "Name": "StepExecutions.InputsWereUsable",
    "IsDerived": true,
    "IsWitness": true,
    "DisagreeingSubstrateCount": 1,
    "IsSubstrateContested": true
   },
   {
    "RulebookFieldId": "StepExecutions.SoftwareExecutionStepKey",
    "TargetTable": "StepExecutions",
    "FieldName": "SoftwareExecutionStepKey",
    "FieldType": "calculated",
    "Datatype": "string",
    "Formula": "=IF({{WasExecutedBySoftware}}, {{Step}}, \"\")",
    "InventedForQuestion": "q2-hr-ai-boundary-holds-only-where-tested",
    "SemanticTypeIri": "urn:effortless:pko-extension#RulebookField",
    "Name": "StepExecutions.SoftwareExecutionStepKey",
    "IsDerived": true,
    "IsWitness": true,
    "DisagreeingSubstrateCount": 0,
    "IsSubstrateContested": false
   },
   {
    "RulebookFieldId": "StepExecutions.StepControlKind",
    "TargetTable": "StepExecutions",
    "FieldName": "StepControlKind",
    "FieldType": "lookup",
    "Datatype": "string",
    "Formula": "=INDEX(Steps!{{ControlKind}}, MATCH({{Step}}, Steps!{{StepId}}, 0))",
    "InventedForQuestion": "q2-steward-control-kind-instead-of-hardcoded-ids",
    "SemanticTypeIri": "urn:effortless:pko-extension#RulebookField",
    "Name": "StepExecutions.StepControlKind",
    "IsDerived": true,
    "IsWitness": true,
    "DisagreeingSubstrateCount": 0,
    "IsSubstrateContested": false
   },
   {
    "RulebookFieldId": "StepExecutions.UnfalsifiedClearanceCount",
    "TargetTable": "StepExecutions",
    "FieldName": "UnfalsifiedClearanceCount",
    "FieldType": "aggregation",
    "Datatype": "number",
    "Formula": "=COUNTIFS(RequirementSatisfactions!{{UnfalsifiedClearanceStepKey}}, {{StepExecutionId}})",
    "InventedForQuestion": "q2-fa-cleared-by-mute-control",
    "SemanticTypeIri": "urn:effortless:pko-extension#RulebookField",
    "Name": "StepExecutions.UnfalsifiedClearanceCount",
    "IsDerived": true,
    "IsWitness": true,
    "DisagreeingSubstrateCount": 0,
    "IsSubstrateContested": false
   },
   {
    "RulebookFieldId": "StepExecutions.AllClearancesAreUnfalsified",
    "TargetTable": "StepExecutions",
    "FieldName": "AllClearancesAreUnfalsified",
    "FieldType": "calculated",
    "Datatype": "boolean",
    "Formula": "=AND({{EvaluatedBlockingCount}} &gt; 0, {{UnfalsifiedClearanceCount}} &gt;= {{EvaluatedBlockingCount}})",
    "InventedForQuestion": "q2-fa-cleared-by-mute-control",
    "SemanticTypeIri": "urn:effortless:pko-extension#RulebookField",
    "Name": "StepExecutions.AllClearancesAreUnfalsified",
    "IsDerived": true,
    "IsWitness": true,
    "DisagreeingSubstrateCount": 0,
    "IsSubstrateContested": false
   },
   {
    "RulebookFieldId": "StepExecutions.StaleAtRunCount",
    "TargetTable": "StepExecutions",
    "FieldName": "StaleAtRunCount",
    "FieldType": "aggregation",
    "Datatype": "number",
    "Formula": "=COUNTIFS(BindingObservations!{{StaleAtRunStepKey}}, {{StepExecutionId}})",
    "InventedForQuestion": "q2-fa-stale-then-vs-stale-now",
    "SemanticTypeIri": "urn:effortless:pko-extension#RulebookField",
    "Name": "StepExecutions.StaleAtRunCount",
    "IsDerived": true,
    "IsWitness": true,
    "DisagreeingSubstrateCount": 0,
    "IsSubstrateContested": false
   },
   {
    "RulebookFieldId": "StepExecutions.WasStaleWhenIRanIt",
    "TargetTable": "StepExecutions",
    "FieldName": "WasStaleWhenIRanIt",
    "FieldType": "calculated",
    "Datatype": "boolean",
    "Formula": "={{StaleAtRunCount}} &gt; 0",
    "InventedForQuestion": "q2-fa-stale-then-vs-stale-now",
    "SemanticTypeIri": "urn:effortless:pko-extension#RulebookField",
    "Name": "StepExecutions.WasStaleWhenIRanIt",
    "IsDerived": true,
    "IsWitness": true,
    "DisagreeingSubstrateCount": 0,
    "IsSubstrateContested": false
   },
   {
    "RulebookFieldId": "StepExecutions.StalenessAnswerIsTenseDependent",
    "TargetTable": "StepExecutions",
    "FieldName": "StalenessAnswerIsTenseDependent",
    "FieldType": "calculated",
    "Datatype": "boolean",
    "Formula": "=NOT({{WasStaleWhenIRanIt}} = {{RanOnStaleAuthoritativeSource}})",
    "InventedForQuestion": "q2-fa-stale-then-vs-stale-now",
    "SemanticTypeIri": "urn:effortless:pko-extension#RulebookField",
    "Name": "StepExecutions.StalenessAnswerIsTenseDependent",
    "IsDerived": true,
    "IsWitness": true,
    "DisagreeingSubstrateCount": 2,
    "IsSubstrateContested": true
   },
   {
    "RulebookFieldId": "StepExecutions.HasAnyDeclaredCheck",
    "TargetTable": "StepExecutions",
    "FieldName": "HasAnyDeclaredCheck",
    "FieldType": "calculated",
    "Datatype": "boolean",
    "Formula": "=OR({{ExpectedVerificationCount}} &gt; 0, {{ExpectedBlockingCount}} &gt; 0)",
    "InventedForQuestion": "q2-fa-clean-but-uncovered",
    "SemanticTypeIri": "urn:effortless:pko-extension#RulebookField",
    "Name": "StepExecutions.HasAnyDeclaredCheck",
    "IsDerived": true,
    "IsWitness": true,
    "DisagreeingSubstrateCount": 0,
    "IsSubstrateContested": false
   },
   {
    "RulebookFieldId": "StepExecutions.PerformedCheckCount",
    "TargetTable": "StepExecutions",
    "FieldName": "PerformedCheckCount",
    "FieldType": "calculated",
    "Datatype": "number",
    "Formula": "={{PerformedVerificationCount}} + {{EvaluatedBlockingCount}}",
    "InventedForQuestion": "q2-fa-clean-but-uncovered",
    "SemanticTypeIri": "urn:effortless:pko-extension#RulebookField",
    "Name": "StepExecutions.PerformedCheckCount",
    "IsDerived": true,
    "IsWitness": true,
    "DisagreeingSubstrateCount": 0,
    "IsSubstrateContested": false
   },
   {
    "RulebookFieldId": "StepExecutions.DeclaredCheckCount",
    "TargetTable": "StepExecutions",
    "FieldName": "DeclaredCheckCount",
    "FieldType": "calculated",
    "Datatype": "number",
    "Formula": "={{ExpectedVerificationCount}} + {{ExpectedBlockingCount}}",
    "InventedForQuestion": "q2-fa-clean-but-uncovered",
    "SemanticTypeIri": "urn:effortless:pko-extension#RulebookField",
    "Name": "StepExecutions.DeclaredCheckCount",
    "IsDerived": true,
    "IsWitness": true,
    "DisagreeingSubstrateCount": 0,
    "IsSubstrateContested": false
   },
   {
    "RulebookFieldId": "StepExecutions.IsUncheckedByDesign",
    "TargetTable": "StepExecutions",
    "FieldName": "IsUncheckedByDesign",
    "FieldType": "calculated",
    "Datatype": "boolean",
    "Formula": "={{DeclaredCheckCount}} = 0",
    "InventedForQuestion": "q2-fa-clean-but-uncovered",
    "SemanticTypeIri": "urn:effortless:pko-extension#RulebookField",
    "Name": "StepExecutions.IsUncheckedByDesign",
    "IsDerived": true,
    "IsWitness": true,
    "DisagreeingSubstrateCount": 0,
    "IsSubstrateContested": false
   },
   {
    "RulebookFieldId": "StepExecutions.IsVacuouslyClean",
    "TargetTable": "StepExecutions",
    "FieldName": "IsVacuouslyClean",
    "FieldType": "calculated",
    "Datatype": "boolean",
    "Formula": "=AND({{IsClean}}, {{IsUncheckedByDesign}})",
    "InventedForQuestion": "q2-fa-clean-but-uncovered",
    "SemanticTypeIri": "urn:effortless:pko-extension#RulebookField",
    "Name": "StepExecutions.IsVacuouslyClean",
    "IsDerived": true,
    "IsWitness": true,
    "DisagreeingSubstrateCount": 2,
    "IsSubstrateContested": true
   },
   {
    "RulebookFieldId": "StepExecutions.IsSubstantivelyClean",
    "TargetTable": "StepExecutions",
    "FieldName": "IsSubstantivelyClean",
    "FieldType": "calculated",
    "Datatype": "boolean",
    "Formula": "=AND({{IsClean}}, {{PerformedCheckCount}} &gt;= {{DeclaredCheckCount}}, {{DeclaredCheckCount}} &gt; 0)",
    "InventedForQuestion": "q2-fa-clean-but-uncovered",
    "SemanticTypeIri": "urn:effortless:pko-extension#RulebookField",
    "Name": "StepExecutions.IsSubstantivelyClean",
    "IsDerived": true,
    "IsWitness": true,
    "DisagreeingSubstrateCount": 2,
    "IsSubstrateContested": true
   },
   {
    "RulebookFieldId": "StepExecutions.VacuouslyCleanExecutionKey",
    "TargetTable": "StepExecutions",
    "FieldName": "VacuouslyCleanExecutionKey",
    "FieldType": "calculated",
    "Datatype": "string",
    "Formula": "=IF({{IsVacuouslyClean}}, {{ProcedureExecution}}, \"\")",
    "InventedForQuestion": "q2-fa-clean-but-uncovered",
    "SemanticTypeIri": "urn:effortless:pko-extension#RulebookField",
    "Name": "StepExecutions.VacuouslyCleanExecutionKey",
    "IsDerived": true,
    "IsWitness": true,
    "DisagreeingSubstrateCount": 2,
    "IsSubstrateContested": true
   },
   {
    "RulebookFieldId": "StepExecutions.UncorroboratedPassCount",
    "TargetTable": "StepExecutions",
    "FieldName": "UncorroboratedPassCount",
    "FieldType": "aggregation",
    "Datatype": "number",
    "Formula": "=COUNTIFS(VerificationOutcomes!{{UncorroboratedPassStepKey}}, {{StepExecutionId}})",
    "InventedForQuestion": "q2-fa-my-own-evidence-quality",
    "SemanticTypeIri": "urn:effortless:pko-extension#RulebookField",
    "Name": "StepExecutions.UncorroboratedPassCount",
    "IsDerived": true,
    "IsWitness": true,
    "DisagreeingSubstrateCount": 0,
    "IsSubstrateContested": false
   },
   {
    "RulebookFieldId": "StepExecutions.EvidencePositionIsWeak",
    "TargetTable": "StepExecutions",
    "FieldName": "EvidencePositionIsWeak",
    "FieldType": "calculated",
    "Datatype": "boolean",
    "Formula": "=AND({{PerformedVerificationCount}} &gt; 0, {{UncorroboratedPassCount}} &gt;= {{PerformedVerificationCount}})",
    "InventedForQuestion": "q2-fa-my-own-evidence-quality",
    "SemanticTypeIri": "urn:effortless:pko-extension#RulebookField",
    "Name": "StepExecutions.EvidencePositionIsWeak",
    "IsDerived": true,
    "IsWitness": true,
    "DisagreeingSubstrateCount": 0,
    "IsSubstrateContested": false
   },
   {
    "RulebookFieldId": "StepExecutions.PreparationExecutionKey",
    "TargetTable": "StepExecutions",
    "FieldName": "PreparationExecutionKey",
    "FieldType": "calculated",
    "Datatype": "string",
    "Formula": "=IF({{StepIsPreparation}}, {{ProcedureExecution}}, \"\")",
    "InventedForQuestion": "q2-ctl-separation-held-or-untested",
    "SemanticTypeIri": "urn:effortless:pko-extension#RulebookField",
    "Name": "StepExecutions.PreparationExecutionKey",
    "IsDerived": true,
    "IsWitness": true,
    "DisagreeingSubstrateCount": 0,
    "IsSubstrateContested": false
   },
   {
    "RulebookFieldId": "StepExecutions.ApprovalExecutionKey",
    "TargetTable": "StepExecutions",
    "FieldName": "ApprovalExecutionKey",
    "FieldType": "calculated",
    "Datatype": "string",
    "Formula": "=IF({{StepIsApproval}}, {{ProcedureExecution}}, \"\")",
    "InventedForQuestion": "q2-ctl-separation-held-or-untested",
    "SemanticTypeIri": "urn:effortless:pko-extension#RulebookField",
    "Name": "StepExecutions.ApprovalExecutionKey",
    "IsDerived": true,
    "IsWitness": true,
    "DisagreeingSubstrateCount": 0,
    "IsSubstrateContested": false
   },
   {
    "RulebookFieldId": "StepExecutions.HasGoverningInstrument",
    "TargetTable": "StepExecutions",
    "FieldName": "HasGoverningInstrument",
    "FieldType": "calculated",
    "Datatype": "boolean",
    "Formula": "=OR({{RanUnderException}}, {{HasApprovedChangeCoverage}})",
    "InventedForQuestion": "q2-ctl-divergence-that-nobody-governed",
    "SemanticTypeIri": "urn:effortless:pko-extension#RulebookField",
    "Name": "StepExecutions.HasGoverningInstrument",
    "IsDerived": true,
    "IsWitness": true,
    "DisagreeingSubstrateCount": 0,
    "IsSubstrateContested": false
   },
   {
    "RulebookFieldId": "StepExecutions.HasApprovedChangeCoverage",
    "TargetTable": "StepExecutions",
    "FieldName": "HasApprovedChangeCoverage",
    "FieldType": "lookup",
    "Datatype": "boolean",
    "Formula": "=INDEX(ProcedureVersions!{{HasApprovedChangeRequest}}, MATCH({{VersionOfStep}}, ProcedureVersions!{{ProcedureVersionId}}, 0))",
    "InventedForQuestion": "q2-ctl-divergence-that-nobody-governed",
    "SemanticTypeIri": "urn:effortless:pko-extension#RulebookField",
    "Name": "StepExecutions.HasApprovedChangeCoverage",
    "IsDerived": true,
    "IsWitness": true,
    "DisagreeingSubstrateCount": 0,
    "IsSubstrateContested": false
   },
   {
    "RulebookFieldId": "StepExecutions.VersionOfStep",
    "TargetTable": "StepExecutions",
    "FieldName": "VersionOfStep",
    "FieldType": "lookup",
    "Datatype": "string",
    "Formula": "=INDEX(Steps!{{ProcedureVersion}}, MATCH({{Step}}, Steps!{{StepId}}, 0))",
    "InventedForQuestion": "q2-ctl-divergence-that-nobody-governed",
    "SemanticTypeIri": "urn:effortless:pko-extension#RulebookField",
    "Name": "StepExecutions.VersionOfStep",
    "IsDerived": true,
    "IsWitness": true,
    "DisagreeingSubstrateCount": 0,
    "IsSubstrateContested": false
   },
   {
    "RulebookFieldId": "StepExecutions.IsUngovernedDivergence",
    "TargetTable": "StepExecutions",
    "FieldName": "IsUngovernedDivergence",
    "FieldType": "calculated",
    "Datatype": "boolean",
    "Formula": "=AND(OR({{HasDeviation}}, {{IsLate}}, {{ProceededPastBlockingControl}}), NOT({{HasGoverningInstrument}}))",
    "InventedForQuestion": "q2-ctl-divergence-that-nobody-governed",
    "SemanticTypeIri": "urn:effortless:pko-extension#RulebookField",
    "Name": "StepExecutions.IsUngovernedDivergence",
    "IsDerived": true,
    "IsWitness": true,
    "DisagreeingSubstrateCount": 2,
    "IsSubstrateContested": true
   },
   {
    "RulebookFieldId": "StepExecutions.UngovernedDivergenceExecutionKey",
    "TargetTable": "StepExecutions",
    "FieldName": "UngovernedDivergenceExecutionKey",
    "FieldType": "calculated",
    "Datatype": "string",
    "Formula": "=IF({{IsUngovernedDivergence}}, {{ProcedureExecution}}, \"\")",
    "InventedForQuestion": "q2-ctl-divergence-that-nobody-governed",
    "SemanticTypeIri": "urn:effortless:pko-extension#RulebookField",
    "Name": "StepExecutions.UngovernedDivergenceExecutionKey",
    "IsDerived": true,
    "IsWitness": true,
    "DisagreeingSubstrateCount": 2,
    "IsSubstrateContested": true
   },
   {
    "RulebookFieldId": "StepExecutions.SelfAttestedApprovalExecutionKey",
    "TargetTable": "StepExecutions",
    "FieldName": "SelfAttestedApprovalExecutionKey",
    "FieldType": "calculated",
    "Datatype": "string",
    "Formula": "=IF({{ApprovalRestsOnSelfAttestation}}, {{ProcedureExecution}}, \"\")",
    "InventedForQuestion": "q2-cfo-who-witnessed-the-witnesses",
    "SemanticTypeIri": "urn:effortless:pko-extension#RulebookField",
    "Name": "StepExecutions.SelfAttestedApprovalExecutionKey",
    "IsDerived": true,
    "IsWitness": true,
    "DisagreeingSubstrateCount": 0,
    "IsSubstrateContested": false
   },
   {
    "RulebookFieldId": "StepExecutions.SemanticTypeIri",
    "TargetTable": "StepExecutions",
    "FieldName": "SemanticTypeIri",
    "FieldType": "raw",
    "Datatype": "string",
    "Formula": null,
    "InventedForQuestion": null,
    "SemanticTypeIri": "urn:effortless:pko-extension#RulebookField",
    "Name": "StepExecutions.SemanticTypeIri",
    "IsDerived": false,
    "IsWitness": false,
    "DisagreeingSubstrateCount": 0,
    "IsSubstrateContested": false
   },
   {
    "RulebookFieldId": "RequirementSatisfactions.RequirementSatisfactionId",
    "TargetTable": "R</t>
  </si>
  <si>
    <t xml:space="preserve">equirementSatisfactions",
    "FieldName": "RequirementSatisfactionId",
    "FieldType": "raw",
    "Datatype": "string",
    "Formula": null,
    "InventedForQuestion": null,
    "SemanticTypeIri": "urn:effortless:pko-extension#RulebookField",
    "Name": "RequirementSatisfactions.RequirementSatisfactionId",
    "IsDerived": false,
    "IsWitness": false,
    "DisagreeingSubstrateCount": 0,
    "IsSubstrateContested": false
   },
   {
    "RulebookFieldId": "RequirementSatisfactions.Name",
    "TargetTable": "RequirementSatisfactions",
    "FieldName": "Name",
    "FieldType": "calculated",
    "Datatype": "string",
    "Formula": "={{Requirement}} &amp; \" / \" &amp; {{SatisfactionLevel}}",
    "InventedForQuestion": null,
    "SemanticTypeIri": "urn:effortless:pko-extension#RulebookField",
    "Name": "RequirementSatisfactions.Name",
    "IsDerived": true,
    "IsWitness": false,
    "DisagreeingSubstrateCount": 0,
    "IsSubstrateContested": false
   },
   {
    "RulebookFieldId": "RequirementSatisfactions.StepExecution",
    "TargetTable": "RequirementSatisfactions",
    "FieldName": "StepExecution",
    "FieldType": "relationship",
    "Datatype": "string",
    "Formula": null,
    "InventedForQuestion": null,
    "SemanticTypeIri": "urn:effortless:pko-extension#RulebookField",
    "Name": "RequirementSatisfactions.StepExecution",
    "IsDerived": false,
    "IsWitness": false,
    "DisagreeingSubstrateCount": 0,
    "IsSubstrateContested": false
   },
   {
    "RulebookFieldId": "RequirementSatisfactions.Requirement",
    "TargetTable": "RequirementSatisfactions",
    "FieldName": "Requirement",
    "FieldType": "relationship",
    "Datatype": "string",
    "Formula": null,
    "InventedForQuestion": null,
    "SemanticTypeIri": "urn:effortless:pko-extension#RulebookField",
    "Name": "RequirementSatisfactions.Requirement",
    "IsDerived": false,
    "IsWitness": false,
    "DisagreeingSubstrateCount": 0,
    "IsSubstrateContested": false
   },
   {
    "RulebookFieldId": "RequirementSatisfactions.SatisfactionLevel",
    "TargetTable": "RequirementSatisfactions",
    "FieldName": "SatisfactionLevel",
    "FieldType": "raw",
    "Datatype": "string",
    "Formula": null,
    "InventedForQuestion": null,
    "SemanticTypeIri": "urn:effortless:pko-extension#RulebookField",
    "Name": "RequirementSatisfactions.SatisfactionLevel",
    "IsDerived": false,
    "IsWitness": false,
    "DisagreeingSubstrateCount": 0,
    "IsSubstrateContested": false
   },
   {
    "RulebookFieldId": "RequirementSatisfactions.Evidence",
    "TargetTable": "RequirementSatisfactions",
    "FieldName": "Evidence",
    "FieldType": "raw",
    "Datatype": "string",
    "Formula": null,
    "InventedForQuestion": null,
    "SemanticTypeIri": "urn:effortless:pko-extension#RulebookField",
    "Name": "RequirementSatisfactions.Evidence",
    "IsDerived": false,
    "IsWitness": false,
    "DisagreeingSubstrateCount": 0,
    "IsSubstrateContested": false
   },
   {
    "RulebookFieldId": "RequirementSatisfactions.EvaluatedByAgent",
    "TargetTable": "RequirementSatisfactions",
    "FieldName": "EvaluatedByAgent",
    "FieldType": "relationship",
    "Datatype": "string",
    "Formula": null,
    "InventedForQuestion": null,
    "SemanticTypeIri": "urn:effortless:pko-extension#RulebookField",
    "Name": "RequirementSatisfactions.EvaluatedByAgent",
    "IsDerived": false,
    "IsWitness": false,
    "DisagreeingSubstrateCount": 0,
    "IsSubstrateContested": false
   },
   {
    "RulebookFieldId": "RequirementSatisfactions.EvaluatedAt",
    "TargetTable": "RequirementSatisfactions",
    "FieldName": "EvaluatedAt",
    "FieldType": "raw",
    "Datatype": "datetime",
    "Formula": null,
    "InventedForQuestion": null,
    "SemanticTypeIri": "urn:effortless:pko-extension#RulebookField",
    "Name": "RequirementSatisfactions.EvaluatedAt",
    "IsDerived": false,
    "IsWitness": false,
    "DisagreeingSubstrateCount": 0,
    "IsSubstrateContested": false
   },
   {
    "RulebookFieldId": "RequirementSatisfactions.RequirementIsBlocking",
    "TargetTable": "RequirementSatisfactions",
    "FieldName": "RequirementIsBlocking",
    "FieldType": "lookup",
    "Datatype": "boolean",
    "Formula": "=INDEX(Requirements!{{IsBlocking}}, MATCH({{Requirement}}, Requirements!{{RequirementId}}, 0))",
    "InventedForQuestion": "q-analyst-blocking-unmet-on-my-step",
    "SemanticTypeIri": "urn:effortless:pko-extension#RulebookField",
    "Name": "RequirementSatisfactions.RequirementIsBlocking",
    "IsDerived": true,
    "IsWitness": true,
    "DisagreeingSubstrateCount": 0,
    "IsSubstrateContested": false
   },
   {
    "RulebookFieldId": "RequirementSatisfactions.IsFullySatisfied",
    "TargetTable": "RequirementSatisfactions",
    "FieldName": "IsFullySatisfied",
    "FieldType": "calculated",
    "Datatype": "boolean",
    "Formula": "={{SatisfactionLevel}} = \"Satisfied\"",
    "InventedForQuestion": "q-analyst-blocking-unmet-on-my-step",
    "SemanticTypeIri": "urn:effortless:pko-extension#RulebookField",
    "Name": "RequirementSatisfactions.IsFullySatisfied",
    "IsDerived": true,
    "IsWitness": true,
    "DisagreeingSubstrateCount": 0,
    "IsSubstrateContested": false
   },
   {
    "RulebookFieldId": "RequirementSatisfactions.IsBlockingAndUnmet",
    "TargetTable": "RequirementSatisfactions",
    "FieldName": "IsBlockingAndUnmet",
    "FieldType": "calculated",
    "Datatype": "boolean",
    "Formula": "=AND({{RequirementIsBlocking}}, NOT({{IsFullySatisfied}}))",
    "InventedForQuestion": "q-analyst-blocking-unmet-on-my-step",
    "SemanticTypeIri": "urn:effortless:pko-extension#RulebookField",
    "Name": "RequirementSatisfactions.IsBlockingAndUnmet",
    "IsDerived": true,
    "IsWitness": true,
    "DisagreeingSubstrateCount": 0,
    "IsSubstrateContested": false
   },
   {
    "RulebookFieldId": "RequirementSatisfactions.BlockingUnmetStepKey",
    "TargetTable": "RequirementSatisfactions",
    "FieldName": "BlockingUnmetStepKey",
    "FieldType": "calculated",
    "Datatype": "string",
    "Formula": "=IF({{IsBlockingAndUnmet}}, {{StepExecution}}, \"\")",
    "InventedForQuestion": "q-analyst-blocking-unmet-on-my-step",
    "SemanticTypeIri": "urn:effortless:pko-extension#RulebookField",
    "Name": "RequirementSatisfactions.BlockingUnmetStepKey",
    "IsDerived": true,
    "IsWitness": true,
    "DisagreeingSubstrateCount": 0,
    "IsSubstrateContested": false
   },
   {
    "RulebookFieldId": "RequirementSatisfactions.BlockingSatisfactionStepKey",
    "TargetTable": "RequirementSatisfactions",
    "FieldName": "BlockingSatisfactionStepKey",
    "FieldType": "calculated",
    "Datatype": "string",
    "Formula": "=IF({{RequirementIsBlocking}}, {{StepExecution}}, \"\")",
    "InventedForQuestion": "q-analyst-blocking-never-evaluated",
    "SemanticTypeIri": "urn:effortless:pko-extension#RulebookField",
    "Name": "RequirementSatisfactions.BlockingSatisfactionStepKey",
    "IsDerived": true,
    "IsWitness": true,
    "DisagreeingSubstrateCount": 0,
    "IsSubstrateContested": false
   },
   {
    "RulebookFieldId": "RequirementSatisfactions.NegativeOutcomeRequirementKey",
    "TargetTable": "RequirementSatisfactions",
    "FieldName": "NegativeOutcomeRequirementKey",
    "FieldType": "calculated",
    "Datatype": "string",
    "Formula": "=IF(NOT({{IsFullySatisfied}}), {{Requirement}}, \"\")",
    "InventedForQuestion": "q-controller-blocking-control-inoperative",
    "SemanticTypeIri": "urn:effortless:pko-extension#RulebookField",
    "Name": "RequirementSatisfactions.NegativeOutcomeRequirementKey",
    "IsDerived": true,
    "IsWitness": true,
    "DisagreeingSubstrateCount": 0,
    "IsSubstrateContested": false
   },
   {
    "RulebookFieldId": "RequirementSatisfactions.EvaluatorAgentKind",
    "TargetTable": "RequirementSatisfactions",
    "FieldName": "EvaluatorAgentKind",
    "FieldType": "lookup",
    "Datatype": "string",
    "Formula": "=INDEX(Agents!{{AgentKind}}, MATCH({{EvaluatedByAgent}}, Agents!{{AgentId}}, 0))",
    "InventedForQuestion": "q-controller-ai-agent-approved-meaning",
    "SemanticTypeIri": "urn:effortless:pko-extension#RulebookField",
    "Name": "RequirementSatisfactions.EvaluatorAgentKind",
    "IsDerived": true,
    "IsWitness": true,
    "DisagreeingSubstrateCount": 0,
    "IsSubstrateContested": false
   },
   {
    "RulebookFieldId": "RequirementSatisfactions.NonHumanEvaluatedHumanControl",
    "TargetTable": "RequirementSatisfactions",
    "FieldName": "NonHumanEvaluatedHumanControl",
    "FieldType": "calculated",
    "Datatype": "boolean",
    "Formula": "=AND({{RequirementIsBlocking}}, {{EvaluatorAgentKind}} &lt;&gt; \"Human\")",
    "InventedForQuestion": "q-controller-ai-agent-approved-meaning",
    "SemanticTypeIri": "urn:effortless:pko-extension#RulebookField",
    "Name": "RequirementSatisfactions.NonHumanEvaluatedHumanControl",
    "IsDerived": true,
    "IsWitness": true,
    "DisagreeingSubstrateCount": 0,
    "IsSubstrateContested": false
   },
   {
    "RulebookFieldId": "RequirementSatisfactions.RequirementHasComputedWitness",
    "TargetTable": "RequirementSatisfactions",
    "FieldName": "RequirementHasComputedWitness",
    "FieldType": "lookup",
    "Datatype": "boolean",
    "Formula": "=INDEX(Requirements!{{HasComputedWitness}}, MATCH({{Requirement}}, Requirements!{{RequirementId}}, 0))",
    "InventedForQuestion": "q-cfo-am-i-being-told-everything",
    "SemanticTypeIri": "urn:effortless:pko-extension#RulebookField",
    "Name": "RequirementSatisfactions.RequirementHasComputedWitness",
    "IsDerived": true,
    "IsWitness": true,
    "DisagreeingSubstrateCount": 0,
    "IsSubstrateContested": false
   },
   {
    "RulebookFieldId": "RequirementSatisfactions.IsAssertedOnly",
    "TargetTable": "RequirementSatisfactions",
    "FieldName": "IsAssertedOnly",
    "FieldType": "calculated",
    "Datatype": "boolean",
    "Formula": "=AND({{RequirementIsBlocking}}, {{IsFullySatisfied}}, NOT({{RequirementHasComputedWitness}}))",
    "InventedForQuestion": "q-cfo-am-i-being-told-everything",
    "SemanticTypeIri": "urn:effortless:pko-extension#RulebookField",
    "Name": "RequirementSatisfactions.IsAssertedOnly",
    "IsDerived": true,
    "IsWitness": true,
    "DisagreeingSubstrateCount": 0,
    "IsSubstrateContested": false
   },
   {
    "RulebookFieldId": "RequirementSatisfactions.AssertedOnlyExecutionKey",
    "TargetTable": "RequirementSatisfactions",
    "FieldName": "AssertedOnlyExecutionKey",
    "FieldType": "calculated",
    "Datatype": "string",
    "Formula": "=IF({{IsAssertedOnly}}, {{ParentProcedureExecution}}, \"\")",
    "InventedForQuestion": "q-cfo-am-i-being-told-everything",
    "SemanticTypeIri": "urn:effortless:pko-extension#RulebookField",
    "Name": "RequirementSatisfactions.AssertedOnlyExecutionKey",
    "IsDerived": true,
    "IsWitness": true,
    "DisagreeingSubstrateCount": 0,
    "IsSubstrateContested": false
   },
   {
    "RulebookFieldId": "RequirementSatisfactions.ParentProcedureExecution",
    "TargetTable": "RequirementSatisfactions",
    "FieldName": "ParentProcedureExecution",
    "FieldType": "lookup",
    "Datatype": "string",
    "Formula": "=INDEX(StepExecutions!{{ProcedureExecution}}, MATCH({{StepExecution}}, StepExecutions!{{StepExecutionId}}, 0))",
    "InventedForQuestion": "q-cfo-am-i-being-told-everything",
    "SemanticTypeIri": "urn:effortless:pko-extension#RulebookField",
    "Name": "RequirementSatisfactions.ParentProcedureExecution",
    "IsDerived": true,
    "IsWitness": true,
    "DisagreeingSubstrateCount": 0,
    "IsSubstrateContested": false
   },
   {
    "RulebookFieldId": "RequirementSatisfactions.StepExecutionWhenScored",
    "TargetTable": "RequirementSatisfactions",
    "FieldName": "StepExecutionWhenScored",
    "FieldType": "calculated",
    "Datatype": "string",
    "Formula": "=IF({{SatisfactionLevel}} &lt;&gt; \"\", {{StepExecution}}, \"\")",
    "InventedForQuestion": "q-close-auto-blocking-requirements-evaluated",
    "SemanticTypeIri": "urn:effortless:pko-extension#RulebookField",
    "Name": "RequirementSatisfactions.StepExecutionWhenScored",
    "IsDerived": true,
    "IsWitness": true,
    "DisagreeingSubstrateCount": 0,
    "IsSubstrateContested": false
   },
   {
    "RulebookFieldId": "RequirementSatisfactions.IsHumanEvaluated",
    "TargetTable": "RequirementSatisfactions",
    "FieldName": "IsHumanEvaluated",
    "FieldType": "calculated",
    "Datatype": "boolean",
    "Formula": "={{EvaluatorAgentKind}} = \"Human\"",
    "InventedForQuestion": "q-policy-ai-approval-chain-complete",
    "SemanticTypeIri": "urn:effortless:pko-extension#RulebookField",
    "Name": "RequirementSatisfactions.IsHumanEvaluated",
    "IsDerived": true,
    "IsWitness": true,
    "DisagreeingSubstrateCount": 0,
    "IsSubstrateContested": false
   },
   {
    "RulebookFieldId": "RequirementSatisfactions.RequirementIsApprovalType",
    "TargetTable": "RequirementSatisfactions",
    "FieldName": "RequirementIsApprovalType",
    "FieldType": "lookup",
    "Datatype": "string",
    "Formula": "=INDEX(Requirements!{{RequirementType}}, MATCH({{Requirement}}, Requirements!{{RequirementId}}, 0))",
    "InventedForQuestion": "q-policy-ai-approval-chain-complete",
    "SemanticTypeIri": "urn:effortless:pko-extension#RulebookField",
    "Name": "RequirementSatisfactions.RequirementIsApprovalType",
    "IsDerived": true,
    "IsWitness": true,
    "DisagreeingSubstrateCount": 0,
    "IsSubstrateContested": false
   },
   {
    "RulebookFieldId": "RequirementSatisfactions.IsInvalidApproval",
    "TargetTable": "RequirementSatisfactions",
    "FieldName": "IsInvalidApproval",
    "FieldType": "calculated",
    "Datatype": "boolean",
    "Formula": "=AND({{RequirementIsApprovalType}} = \"Approval\", OR(NOT({{IsFullySatisfied}}), NOT({{IsHumanEvaluated}})))",
    "InventedForQuestion": "q-policy-ai-approval-chain-complete",
    "SemanticTypeIri": "urn:effortless:pko-extension#RulebookField",
    "Name": "RequirementSatisfactions.IsInvalidApproval",
    "IsDerived": true,
    "IsWitness": true,
    "DisagreeingSubstrateCount": 0,
    "IsSubstrateContested": false
   },
   {
    "RulebookFieldId": "RequirementSatisfactions.ProcedureExecutionOfSatisfaction",
    "TargetTable": "RequirementSatisfactions",
    "FieldName": "ProcedureExecutionOfSatisfaction",
    "FieldType": "lookup",
    "Datatype": "string",
    "Formula": "=INDEX(StepExecutions!{{ProcedureExecution}}, MATCH({{StepExecution}}, StepExecutions!{{StepExecutionId}}, 0))",
    "InventedForQuestion": "q-policy-ai-approval-chain-complete",
    "SemanticTypeIri": "urn:effortless:pko-extension#RulebookField",
    "Name": "RequirementSatisfactions.ProcedureExecutionOfSatisfaction",
    "IsDerived": true,
    "IsWitness": true,
    "DisagreeingSubstrateCount": 0,
    "IsSubstrateContested": false
   },
   {
    "RulebookFieldId": "RequirementSatisfactions.RunWhenInvalidApproval",
    "TargetTable": "RequirementSatisfactions",
    "FieldName": "RunWhenInvalidApproval",
    "FieldType": "calculated",
    "Datatype": "string",
    "Formula": "=IF({{IsInvalidApproval}}, {{ProcedureExecutionOfSatisfaction}}, \"\")",
    "InventedForQuestion": "q-policy-ai-approval-chain-complete",
    "SemanticTypeIri": "urn:effortless:pko-extension#RulebookField",
    "Name": "RequirementSatisfactions.RunWhenInvalidApproval",
    "IsDerived": true,
    "IsWitness": true,
    "DisagreeingSubstrateCount": 0,
    "IsSubstrateContested": false
   },
   {
    "RulebookFieldId": "RequirementSatisfactions.RequirementIsUnfalsified",
    "TargetTable": "RequirementSatisfactions",
    "FieldName": "RequirementIsUnfalsified",
    "FieldType": "lookup",
    "Datatype": "boolean",
    "Formula": "=INDEX(Requirements!{{IsUnfalsifiedControl}}, MATCH({{Requirement}}, Requirements!{{RequirementId}}, 0))",
    "InventedForQuestion": "q2-fa-cleared-by-mute-control",
    "SemanticTypeIri": "urn:effortless:pko-extension#RulebookField",
    "Name": "RequirementSatisfactions.RequirementIsUnfalsified",
    "IsDerived": true,
    "IsWitness": true,
    "DisagreeingSubstrateCount": 0,
    "IsSubstrateContested": false
   },
   {
    "RulebookFieldId": "RequirementSatisfactions.IsClearanceByUnfalsifiedControl",
    "TargetTable": "RequirementSatisfactions",
    "FieldName": "IsClearanceByUnfalsifiedControl",
    "FieldType": "calculated",
    "Datatype": "boolean",
    "Formula": "=AND({{IsFullySatisfied}}, {{RequirementIsBlocking}}, {{RequirementIsUnfalsified}})",
    "InventedForQuestion": "q2-fa-cleared-by-mute-control",
    "SemanticTypeIri": "urn:effortless:pko-extension#RulebookField",
    "Name": "RequirementSatisfactions.IsClearanceByUnfalsifiedControl",
    "IsDerived": true,
    "IsWitness": true,
    "DisagreeingSubstrateCount": 0,
    "IsSubstrateContested": false
   },
   {
    "RulebookFieldId": "RequirementSatisfactions.UnfalsifiedClearanceStepKey",
    "TargetTable": "RequirementSatisfactions",
    "FieldName": "UnfalsifiedClearanceStepKey",
    "FieldType": "calculated",
    "Datatype": "string",
    "Formula": "=IF({{IsClearanceByUnfalsifiedControl}}, {{StepExecution}}, \"\")",
    "InventedForQuestion": "q2-fa-cleared-by-mute-control",
    "SemanticTypeIri": "urn:effortless:pko-extension#RulebookField",
    "Name": "RequirementSatisfactions.UnfalsifiedClearanceStepKey",
    "IsDerived": true,
    "IsWitness": true,
    "DisagreeingSubstrateCount": 0,
    "IsSubstrateContested": false
   },
   {
    "RulebookFieldId": "RequirementSatisfactions.SpecStepOfExecution",
    "TargetTable": "RequirementSatisfactions",
    "FieldName": "SpecStepOfExecution",
    "FieldType": "lookup",
    "Datatype": "string",
    "Formula": "=INDEX(StepExecutions!{{Step}}, MATCH({{StepExecution}}, StepExecutions!{{StepExecutionId}}, 0))",
    "InventedForQuestion": "q2-ctl-witness-scope-vs-binding",
    "SemanticTypeIri": "urn:effortless:pko-extension#RulebookField",
    "Name": "RequirementSatisfactions.SpecStepOfExecution",
    "IsDerived": true,
    "IsWitness": true,
    "DisagreeingSubstrateCount": 0,
    "IsSubstrateContested": false
   },
   {
    "RulebookFieldId": "RequirementSatisfactions.BindingKey",
    "TargetTable": "RequirementSatisfactions",
    "FieldName": "BindingKey",
    "FieldType": "lookup",
    "Datatype": "string",
    "Formula": "=INDEX(StepRequirements!{{StepRequirementId}}, MATCH({{RequirementSatisfactionId}}, StepRequirements!{{StepRequirementId}}, 0))",
    "InventedForQuestion": "q2-ctl-witness-scope-vs-binding",
    "SemanticTypeIri": "urn:effortless:pko-extension#RulebookField",
    "Name": "RequirementSatisfactions.BindingKey",
    "IsDerived": true,
    "IsWitness": true,
    "DisagreeingSubstrateCount": 0,
    "IsSubstrateContested": false
   },
   {
    "RulebookFieldId": "RequirementSatisfactions.ScoredStepExecutorAgent",
    "TargetTable": "RequirementSatisfactions",
    "FieldName": "ScoredStepExecutorAgent",
    "FieldType": "lookup",
    "Datatype": "string",
    "Formula": "=INDEX(StepExecutions!{{ExecutedByAgent}}, MATCH({{StepExecution}}, StepExecutions!{{StepExecutionId}}, 0))",
    "InventedForQuestion": "q2-ctl-asserted-controls-by-who",
    "SemanticTypeIri": "urn:effortless:pko-extension#RulebookField",
    "Name": "RequirementSatisfactions.ScoredStepExecutorAgent",
    "IsDerived": true,
    "IsWitness": true,
    "DisagreeingSubstrateCount": 0,
    "IsSubstrateContested": false
   },
   {
    "RulebookFieldId": "RequirementSatisfactions.EvaluatorIsStepExecutor",
    "TargetTable": "RequirementSatisfactions",
    "FieldName": "EvaluatorIsStepExecutor",
    "FieldType": "calculated",
    "Datatype": "boolean",
    "Formula": "={{EvaluatedByAgent}} = {{ScoredStepExecutorAgent}}",
    "InventedForQuestion": "q2-ctl-asserted-controls-by-who",
    "SemanticTypeIri": "urn:effortless:pko-extension#RulebookField",
    "Name": "RequirementSatisfactions.EvaluatorIsStepExecutor",
    "IsDerived": true,
    "IsWitness": true,
    "DisagreeingSubstrateCount": 0,
    "IsSubstrateContested": false
   },
   {
    "RulebookFieldId": "RequirementSatisfactions.RunOwnerAgent",
    "TargetTable": "RequirementSatisfactions",
    "FieldName": "RunOwnerAgent",
    "FieldType": "lookup",
    "Datatype": "string",
    "Formula": "=INDEX(ProcedureExecutions!{{ExecutedByAgent}}, MATCH({{ParentProcedureExecution}}, ProcedureExecutions!{{ProcedureExecutionId}}, 0))",
    "InventedForQuestion": "q2-ctl-asserted-controls-by-who",
    "SemanticTypeIri": "urn:effortless:pko-extension#RulebookField",
    "Name": "RequirementSatisfactions.RunOwnerAgent",
    "IsDerived": true,
    "IsWitness": true,
    "DisagreeingSubstrateCount": 0,
    "IsSubstrateContested": false
   },
   {
    "RulebookFieldId": "RequirementSatisfactions.EvaluatorOwnsTheRun",
    "TargetTable": "RequirementSatisfactions",
    "FieldName": "EvaluatorOwnsTheRun",
    "FieldType": "calculated",
    "Datatype": "boolean",
    "Formula": "={{EvaluatedByAgent}} = {{RunOwnerAgent}}",
    "InventedForQuestion": "q2-ctl-asserted-controls-by-who",
    "SemanticTypeIri": "urn:effortless:pko-extension#RulebookField",
    "Name": "RequirementSatisfactions.EvaluatorOwnsTheRun",
    "IsDerived": true,
    "IsWitness": true,
    "DisagreeingSubstrateCount": 0,
    "IsSubstrateContested": false
   },
   {
    "RulebookFieldId": "RequirementSatisfactions.IsInterestedPartyAssertion",
    "TargetTable": "RequirementSatisfactions",
    "FieldName": "IsInterestedPartyAssertion",
    "FieldType": "calculated",
    "Datatype": "boolean",
    "Formula": "=AND({{IsAssertedOnly}}, OR({{EvaluatorIsStepExecutor}}, {{EvaluatorOwnsTheRun}}))",
    "InventedForQuestion": "q2-ctl-asserted-controls-by-who",
    "SemanticTypeIri": "urn:effortless:pko-extension#RulebookField",
    "Name": "RequirementSatisfactions.IsInterestedPartyAssertion",
    "IsDerived": true,
    "IsWitness": true,
    "DisagreeingSubstrateCount": 0,
    "IsSubstrateContested": false
   },
   {
    "RulebookFieldId": "RequirementSatisfactions.HasWrittenEvidence",
    "TargetTable": "RequirementSatisfactions",
    "FieldName": "HasWrittenEvidence",
    "FieldType": "calculated",
    "Datatype": "boolean",
    "Formula": "={{Evidence}} &lt;&gt; \"\"",
    "InventedForQuestion": "q2-ctl-asserted-controls-by-who",
    "SemanticTypeIri": "urn:effortless:pko-extension#RulebookField",
    "Name": "RequirementSatisfactions.HasWrittenEvidence",
    "IsDerived": true,
    "IsWitness": true,
    "DisagreeingSubstrateCount": 0,
    "IsSubstrateContested": false
   },
   {
    "RulebookFieldId": "RequirementSatisfactions.IsBareAssertion",
    "TargetTable": "RequirementSatisfactions",
    "FieldName": "IsBareAssertion",
    "FieldType": "calculated",
    "Datatype": "boolean",
    "Formula": "=AND({{IsAssertedOnly}}, NOT({{HasWrittenEvidence}}))",
    "InventedForQuestion": "q2-ctl-asserted-controls-by-who",
    "SemanticTypeIri": "urn:effortless:pko-extension#RulebookField",
    "Name": "RequirementSatisfactions.IsBareAssertion",
    "IsDerived": true,
    "IsWitness": true,
    "DisagreeingSubstrateCount": 0,
    "IsSubstrateContested": false
   },
   {
    "RulebookFieldId": "RequirementSatisfactions.InterestedAssertionExecutionKey",
    "TargetTable": "RequirementSatisfactions",
    "FieldName": "InterestedAssertionExecutionKey",
    "FieldType": "calculated",
    "Datatype": "string",
    "Formula": "=IF({{IsInterestedPartyAssertion}}, {{ParentProcedureExecution}}, \"\")",
    "InventedForQuestion": "q2-ctl-asserted-controls-by-who",
    "SemanticTypeIri": "urn:effortless:pko-extension#RulebookField",
    "Name": "RequirementSatisfactions.InterestedAssertionExecutionKey",
    "IsDerived": true,
    "IsWitness": true,
    "DisagreeingSubstrateCount": 0,
    "IsSubstrateContested": false
   },
   {
    "RulebookFieldId": "RequirementSatisfactions.IsComputedlyWitnessed",
    "TargetTable": "RequirementSatisfactions",
    "FieldName": "IsComputedlyWitnessed",
    "FieldType": "calculated",
    "Datatype": "boolean",
    "Formula": "=AND({{RequirementIsBlocking}}, {{RequirementHasComputedWitness}})",
    "InventedForQuestion": "q2-cfo-quality-of-a-green-attestation",
    "SemanticTypeIri": "urn:effortless:pko-extension#RulebookField",
    "Name": "RequirementSatisfactions.IsComputedlyWitnessed",
    "IsDerived": true,
    "IsWitness": true,
    "DisagreeingSubstrateCount": 0,
    "IsSubstrateContested": false
   },
   {
    "RulebookFieldId": "RequirementSatisfactions.ComputedWitnessExecutionKey",
    "TargetTable": "RequirementSatisfactions",
    "FieldName": "ComputedWitnessExecutionKey",
    "FieldType": "calculated",
    "Datatype": "string",
    "Formula": "=IF({{IsComputedlyWitnessed}}, {{ParentProcedureExecution}}, \"\")",
    "InventedForQuestion": "q2-cfo-quality-of-a-green-attestation",
    "SemanticTypeIri": "urn:effortless:pko-extension#RulebookField",
    "Name": "RequirementSatisfactions.ComputedWitnessExecutionKey",
    "IsDerived": true,
    "IsWitness": true,
    "DisagreeingSubstrateCount": 0,
    "IsSubstrateContested": false
   },
   {
    "RulebookFieldId": "RequirementSatisfactions.StepExecutorAgent",
    "TargetTable": "RequirementSatisfactions",
    "FieldName": "StepExecutorAgent",
    "FieldType": "lookup",
    "Datatype": "string",
    "Formula": "=INDEX(StepExecutions!{{ExecutedByAgent}}, MATCH({{StepExecution}}, StepExecutions!{{StepExecutionId}}, 0))",
    "InventedForQuestion": "q2-cfo-quality-of-a-green-attestation",
    "SemanticTypeIri": "urn:effortless:pko-extension#RulebookField",
    "Name": "RequirementSatisfactions.StepExecutorAgent",
    "IsDerived": true,
    "IsWitness": true,
    "DisagreeingSubstrateCount": 0,
    "IsSubstrateContested": false
   },
   {
    "RulebookFieldId": "RequirementSatisfactions.WasScoredAfterAttestation",
    "TargetTable": "RequirementSatisfactions",
    "FieldName": "WasScoredAfterAttestation",
    "FieldType": "calculated",
    "Datatype": "boolean",
    "Formula": "=DATETIME_DIFF({{EvaluatedAt}}, {{AttestationInstantForRun}}, \"minutes\") &gt; 0",
    "InventedForQuestion": "q2-cfo-what-changed-since-i-signed",
    "SemanticTypeIri": "urn:effortless:pko-extension#RulebookField",
    "Name": "RequirementSatisfactions.WasScoredAfterAttestation",
    "IsDerived": true,
    "IsWitness": true,
    "DisagreeingSubstrateCount": 1,
    "IsSubstrateContested": true
   },
   {
    "RulebookFieldId": "RequirementSatisfactions.AttestationInstantForRun",
    "TargetTable": "RequirementSatisfactions",
    "FieldName": "AttestationInstantForRun",
    "FieldType": "lookup",
    "Datatype": "datetime",
    "Formula": "=INDEX(ProcedureExecutions!{{LatestAttestationInstant}}, MATCH({{ParentProcedureExecution}}, ProcedureExecutions!{{ProcedureExecutionId}}, 0))",
    "InventedForQuestion": "q2-cfo-what-changed-since-i-signed",
    "SemanticTypeIri": "urn:effortless:pko-extension#RulebookField",
    "Name": "RequirementSatisfactions.AttestationInstantForRun",
    "IsDerived": true,
    "IsWitness": true,
    "DisagreeingSubstrateCount": 1,
    "IsSubstrateContested": true
   },
   {
    "RulebookFieldId": "RequirementSatisfactions.PostAttestationScoreExecutionKey",
    "TargetTable": "RequirementSatisfactions",
    "FieldName": "PostAttestationScoreExecutionKey",
    "FieldType": "calculated",
    "Datatype": "string",
    "Formula": "=IF({{WasScoredAfterAttestation}}, {{ParentProcedureExecution}}, \"\")",
    "InventedForQuestion": "q2-cfo-what-changed-since-i-signed",
    "SemanticTypeIri": "urn:effortless:pko-extension#RulebookField",
    "Name": "RequirementSatisfactions.PostAttestationScoreExecutionKey",
    "IsDerived": true,
    "IsWitness": true,
    "DisagreeingSubstrateCount": 1,
    "IsSubstrateContested": true
   },
   {
    "RulebookFieldId": "RequirementSatisfactions.SemanticTypeIri",
    "TargetTable": "RequirementSatisfactions",
    "FieldName": "SemanticTypeIri",
    "FieldType": "raw",
    "Datatype": "string",
    "Formula": null,
    "InventedForQuestion": null,
    "SemanticTypeIri": "urn:effortless:pko-extension#RulebookField",
    "Name": "RequirementSatisfactions.SemanticTypeIri",
    "IsDerived": false,
    "IsWitness": false,
    "DisagreeingSubstrateCount": 0,
    "IsSubstrateContested": false
   },
   {
    "RulebookFieldId": "Errors.ErrorId",
    "TargetTable": "Errors",
    "FieldName": "ErrorId",
    "FieldType": "raw",
    "Datatype": "string",
    "Formula": null,
    "InventedForQuestion": null,
    "SemanticTypeIri": "urn:effortless:pko-extension#RulebookField",
    "Name": "Errors.ErrorId",
    "IsDerived": false,
    "IsWitness": false,
    "DisagreeingSubstrateCount": 0,
    "IsSubstrateContested": false
   },
   {
    "RulebookFieldId": "Errors.Name",
    "TargetTable": "Errors",
    "FieldName": "Name",
    "FieldType": "calculated",
    "Datatype": "string",
    "Formula": "={{ErrorCode}} &amp; \" - \" &amp; {{Label}}",
    "InventedForQuestion": null,
    "SemanticTypeIri": "urn:effortless:pko-extension#RulebookField",
    "Name": "Errors.Name",
    "IsDerived": true,
    "IsWitness": false,
    "DisagreeingSubstrateCount": 0,
    "IsSubstrateContested": false
   },
   {
    "RulebookFieldId": "Errors.Label",
    "TargetTable": "Errors",
    "FieldName": "Label",
    "FieldType": "raw",
    "Datatype": "string",
    "Formula": null,
    "InventedForQuestion": null,
    "SemanticTypeIri": "urn:effortless:pko-extension#RulebookField",
    "Name": "Errors.Label",
    "IsDerived": false,
    "IsWitness": false,
    "DisagreeingSubstrateCount": 0,
    "IsSubstrateContested": false
   },
   {
    "RulebookFieldId": "Errors.ErrorCode",
    "TargetTable": "Errors",
    "FieldName": "ErrorCode",
    "FieldType": "raw",
    "Datatype": "string",
    "Formula": null,
    "InventedForQuestion": null,
    "SemanticTypeIri": "urn:effortless:pko-extension#RulebookField",
    "Name": "Errors.ErrorCode",
    "IsDerived": false,
    "IsWitness": false,
    "DisagreeingSubstrateCount": 0,
    "IsSubstrateContested": false
   },
   {
    "RulebookFieldId": "Errors.ErrorCause",
    "TargetTable": "Errors",
    "FieldName": "ErrorCause",
    "FieldType": "raw",
    "Datatype": "string",
    "Formula": null,
    "InventedForQuestion": null,
    "SemanticTypeIri": "urn:effortless:pko-extension#RulebookField",
    "Name": "Errors.ErrorCause",
    "IsDerived": false,
    "IsWitness": false,
    "DisagreeingSubstrateCount": 0,
    "IsSubstrateContested": false
   },
   {
    "RulebookFieldId": "Errors.SemanticTypeIri",
    "TargetTable": "Errors",
    "FieldName": "SemanticTypeIri",
    "FieldType": "raw",
    "Datatype": "string",
    "Formula": null,
    "InventedForQuestion": null,
    "SemanticTypeIri": "urn:effortless:pko-extension#RulebookField",
    "Name": "Errors.SemanticTypeIri",
    "IsDerived": false,
    "IsWitness": false,
    "DisagreeingSubstrateCount": 0,
    "IsSubstrateContested": false
   },
   {
    "RulebookFieldId": "IssueOccurrences.IssueOccurrenceId",
    "TargetTable": "IssueOccurrences",
    "FieldName": "IssueOccurrenceId",
    "FieldType": "raw",
    "Datatype": "string",
    "Formula": null,
    "InventedForQuestion": null,
    "SemanticTypeIri": "urn:effortless:pko-extension#RulebookField",
    "Name": "IssueOccurrences.IssueOccurrenceId",
    "IsDerived": false,
    "IsWitness": false,
    "DisagreeingSubstrateCount": 0,
    "IsSubstrateContested": false
   },
   {
    "RulebookFieldId": "IssueOccurrences.Name",
    "TargetTable": "IssueOccurrences",
    "FieldName": "Name",
    "FieldType": "calculated",
    "Datatype": "string",
    "Formula": "={{Error}} &amp; \" @ \" &amp; {{OccurredAt}}",
    "InventedForQuestion": null,
    "SemanticTypeIri": "urn:effortless:pko-extension#RulebookField",
    "Name": "IssueOccurrences.Name",
    "IsDerived": true,
    "IsWitness": false,
    "DisagreeingSubstrateCount": 6,
    "IsSubstrateContested": true
   },
   {
    "RulebookFieldId": "IssueOccurrences.StepExecution",
    "TargetTable": "IssueOccurrences",
    "FieldName": "StepExecution",
    "FieldType": "relationship",
    "Datatype": "string",
    "Formula": null,
    "InventedForQuestion": null,
    "SemanticTypeIri": "urn:effortless:pko-extension#RulebookField",
    "Name": "IssueOccurrences.StepExecution",
    "IsDerived": false,
    "IsWitness": false,
    "DisagreeingSubstrateCount": 0,
    "IsSubstrateContested": false
   },
   {
    "RulebookFieldId": "IssueOccurrences.Error",
    "TargetTable": "IssueOccurrences",
    "FieldName": "Error",
    "FieldType": "relationship",
    "Datatype": "string",
    "Formula": null,
    "InventedForQuestion": null,
    "SemanticTypeIri": "urn:effortless:pko-extension#RulebookField",
    "Name": "IssueOccurrences.Error",
    "IsDerived": false,
    "IsWitne</t>
  </si>
  <si>
    <t xml:space="preserve">ss": false,
    "DisagreeingSubstrateCount": 0,
    "IsSubstrateContested": false
   },
   {
    "RulebookFieldId": "IssueOccurrences.EncounteredByAgent",
    "TargetTable": "IssueOccurrences",
    "FieldName": "EncounteredByAgent",
    "FieldType": "relationship",
    "Datatype": "string",
    "Formula": null,
    "InventedForQuestion": null,
    "SemanticTypeIri": "urn:effortless:pko-extension#RulebookField",
    "Name": "IssueOccurrences.EncounteredByAgent",
    "IsDerived": false,
    "IsWitness": false,
    "DisagreeingSubstrateCount": 0,
    "IsSubstrateContested": false
   },
   {
    "RulebookFieldId": "IssueOccurrences.OccurredAt",
    "TargetTable": "IssueOccurrences",
    "FieldName": "OccurredAt",
    "FieldType": "raw",
    "Datatype": "datetime",
    "Formula": null,
    "InventedForQuestion": null,
    "SemanticTypeIri": "urn:effortless:pko-extension#RulebookField",
    "Name": "IssueOccurrences.OccurredAt",
    "IsDerived": false,
    "IsWitness": false,
    "DisagreeingSubstrateCount": 0,
    "IsSubstrateContested": false
   },
   {
    "RulebookFieldId": "IssueOccurrences.IssueCause",
    "TargetTable": "IssueOccurrences",
    "FieldName": "IssueCause",
    "FieldType": "raw",
    "Datatype": "string",
    "Formula": null,
    "InventedForQuestion": null,
    "SemanticTypeIri": "urn:effortless:pko-extension#RulebookField",
    "Name": "IssueOccurrences.IssueCause",
    "IsDerived": false,
    "IsWitness": false,
    "DisagreeingSubstrateCount": 0,
    "IsSubstrateContested": false
   },
   {
    "RulebookFieldId": "IssueOccurrences.IssueSolution",
    "TargetTable": "IssueOccurrences",
    "FieldName": "IssueSolution",
    "FieldType": "raw",
    "Datatype": "string",
    "Formula": null,
    "InventedForQuestion": null,
    "SemanticTypeIri": "urn:effortless:pko-extension#RulebookField",
    "Name": "IssueOccurrences.IssueSolution",
    "IsDerived": false,
    "IsWitness": false,
    "DisagreeingSubstrateCount": 0,
    "IsSubstrateContested": false
   },
   {
    "RulebookFieldId": "IssueOccurrences.Status",
    "TargetTable": "IssueOccurrences",
    "FieldName": "Status",
    "FieldType": "raw",
    "Datatype": "string",
    "Formula": null,
    "InventedForQuestion": null,
    "SemanticTypeIri": "urn:effortless:pko-extension#RulebookField",
    "Name": "IssueOccurrences.Status",
    "IsDerived": false,
    "IsWitness": false,
    "DisagreeingSubstrateCount": 0,
    "IsSubstrateContested": false
   },
   {
    "RulebookFieldId": "IssueOccurrences.IsUnresolved",
    "TargetTable": "IssueOccurrences",
    "FieldName": "IsUnresolved",
    "FieldType": "calculated",
    "Datatype": "boolean",
    "Formula": "=OR({{Status}} = \"Open\", {{Status}} = \"Investigating\", {{Status}} = \"Monitoring\")",
    "InventedForQuestion": "q-close-auto-last-run-clean",
    "SemanticTypeIri": "urn:effortless:pko-extension#RulebookField",
    "Name": "IssueOccurrences.IsUnresolved",
    "IsDerived": true,
    "IsWitness": true,
    "DisagreeingSubstrateCount": 0,
    "IsSubstrateContested": false
   },
   {
    "RulebookFieldId": "IssueOccurrences.StepExecutionWhenUnresolved",
    "TargetTable": "IssueOccurrences",
    "FieldName": "StepExecutionWhenUnresolved",
    "FieldType": "calculated",
    "Datatype": "string",
    "Formula": "=IF({{IsUnresolved}}, {{StepExecution}}, \"\")",
    "InventedForQuestion": "q-close-auto-last-run-clean",
    "SemanticTypeIri": "urn:effortless:pko-extension#RulebookField",
    "Name": "IssueOccurrences.StepExecutionWhenUnresolved",
    "IsDerived": true,
    "IsWitness": true,
    "DisagreeingSubstrateCount": 0,
    "IsSubstrateContested": false
   },
   {
    "RulebookFieldId": "IssueOccurrences.SemanticTypeIri",
    "TargetTable": "IssueOccurrences",
    "FieldName": "SemanticTypeIri",
    "FieldType": "raw",
    "Datatype": "string",
    "Formula": null,
    "InventedForQuestion": null,
    "SemanticTypeIri": "urn:effortless:pko-extension#RulebookField",
    "Name": "IssueOccurrences.SemanticTypeIri",
    "IsDerived": false,
    "IsWitness": false,
    "DisagreeingSubstrateCount": 0,
    "IsSubstrateContested": false
   },
   {
    "RulebookFieldId": "UserQuestions.UserQuestionId",
    "TargetTable": "UserQuestions",
    "FieldName": "UserQuestionId",
    "FieldType": "raw",
    "Datatype": "string",
    "Formula": null,
    "InventedForQuestion": null,
    "SemanticTypeIri": "urn:effortless:pko-extension#RulebookField",
    "Name": "UserQuestions.UserQuestionId",
    "IsDerived": false,
    "IsWitness": false,
    "DisagreeingSubstrateCount": 0,
    "IsSubstrateContested": false
   },
   {
    "RulebookFieldId": "UserQuestions.Name",
    "TargetTable": "UserQuestions",
    "FieldName": "Name",
    "FieldType": "calculated",
    "Datatype": "string",
    "Formula": "=LEFT({{QuestionText}}, 70)",
    "InventedForQuestion": null,
    "SemanticTypeIri": "urn:effortless:pko-extension#RulebookField",
    "Name": "UserQuestions.Name",
    "IsDerived": true,
    "IsWitness": false,
    "DisagreeingSubstrateCount": 0,
    "IsSubstrateContested": false
   },
   {
    "RulebookFieldId": "UserQuestions.StepExecution",
    "TargetTable": "UserQuestions",
    "FieldName": "StepExecution",
    "FieldType": "relationship",
    "Datatype": "string",
    "Formula": null,
    "InventedForQuestion": null,
    "SemanticTypeIri": "urn:effortless:pko-extension#RulebookField",
    "Name": "UserQuestions.StepExecution",
    "IsDerived": false,
    "IsWitness": false,
    "DisagreeingSubstrateCount": 0,
    "IsSubstrateContested": false
   },
   {
    "RulebookFieldId": "UserQuestions.AskedByAgent",
    "TargetTable": "UserQuestions",
    "FieldName": "AskedByAgent",
    "FieldType": "relationship",
    "Datatype": "string",
    "Formula": null,
    "InventedForQuestion": null,
    "SemanticTypeIri": "urn:effortless:pko-extension#RulebookField",
    "Name": "UserQuestions.AskedByAgent",
    "IsDerived": false,
    "IsWitness": false,
    "DisagreeingSubstrateCount": 0,
    "IsSubstrateContested": false
   },
   {
    "RulebookFieldId": "UserQuestions.AskedAt",
    "TargetTable": "UserQuestions",
    "FieldName": "AskedAt",
    "FieldType": "raw",
    "Datatype": "datetime",
    "Formula": null,
    "InventedForQuestion": null,
    "SemanticTypeIri": "urn:effortless:pko-extension#RulebookField",
    "Name": "UserQuestions.AskedAt",
    "IsDerived": false,
    "IsWitness": false,
    "DisagreeingSubstrateCount": 0,
    "IsSubstrateContested": false
   },
   {
    "RulebookFieldId": "UserQuestions.QuestionText",
    "TargetTable": "UserQuestions",
    "FieldName": "QuestionText",
    "FieldType": "raw",
    "Datatype": "string",
    "Formula": null,
    "InventedForQuestion": null,
    "SemanticTypeIri": "urn:effortless:pko-extension#RulebookField",
    "Name": "UserQuestions.QuestionText",
    "IsDerived": false,
    "IsWitness": false,
    "DisagreeingSubstrateCount": 0,
    "IsSubstrateContested": false
   },
   {
    "RulebookFieldId": "UserQuestions.ResolvedByFaq",
    "TargetTable": "UserQuestions",
    "FieldName": "ResolvedByFaq",
    "FieldType": "relationship",
    "Datatype": "string",
    "Formula": null,
    "InventedForQuestion": null,
    "SemanticTypeIri": "urn:effortless:pko-extension#RulebookField",
    "Name": "UserQuestions.ResolvedByFaq",
    "IsDerived": false,
    "IsWitness": false,
    "DisagreeingSubstrateCount": 0,
    "IsSubstrateContested": false
   },
   {
    "RulebookFieldId": "UserQuestions.AddressedByResource",
    "TargetTable": "UserQuestions",
    "FieldName": "AddressedByResource",
    "FieldType": "relationship",
    "Datatype": "string",
    "Formula": null,
    "InventedForQuestion": null,
    "SemanticTypeIri": "urn:effortless:pko-extension#RulebookField",
    "Name": "UserQuestions.AddressedByResource",
    "IsDerived": false,
    "IsWitness": false,
    "DisagreeingSubstrateCount": 0,
    "IsSubstrateContested": false
   },
   {
    "RulebookFieldId": "UserQuestions.Status",
    "TargetTable": "UserQuestions",
    "FieldName": "Status",
    "FieldType": "raw",
    "Datatype": "string",
    "Formula": null,
    "InventedForQuestion": null,
    "SemanticTypeIri": "urn:effortless:pko-extension#RulebookField",
    "Name": "UserQuestions.Status",
    "IsDerived": false,
    "IsWitness": false,
    "DisagreeingSubstrateCount": 0,
    "IsSubstrateContested": false
   },
   {
    "RulebookFieldId": "UserQuestions.SemanticTypeIri",
    "TargetTable": "UserQuestions",
    "FieldName": "SemanticTypeIri",
    "FieldType": "raw",
    "Datatype": "string",
    "Formula": null,
    "InventedForQuestion": null,
    "SemanticTypeIri": "urn:effortless:pko-extension#RulebookField",
    "Name": "UserQuestions.SemanticTypeIri",
    "IsDerived": false,
    "IsWitness": false,
    "DisagreeingSubstrateCount": 0,
    "IsSubstrateContested": false
   },
   {
    "RulebookFieldId": "UserFeedback.UserFeedbackId",
    "TargetTable": "UserFeedback",
    "FieldName": "UserFeedbackId",
    "FieldType": "raw",
    "Datatype": "string",
    "Formula": null,
    "InventedForQuestion": null,
    "SemanticTypeIri": "urn:effortless:pko-extension#RulebookField",
    "Name": "UserFeedback.UserFeedbackId",
    "IsDerived": false,
    "IsWitness": false,
    "DisagreeingSubstrateCount": 0,
    "IsSubstrateContested": false
   },
   {
    "RulebookFieldId": "UserFeedback.Name",
    "TargetTable": "UserFeedback",
    "FieldName": "Name",
    "FieldType": "calculated",
    "Datatype": "string",
    "Formula": "={{Disposition}} &amp; \": \" &amp; LEFT({{FeedbackText}}, 60)",
    "InventedForQuestion": null,
    "SemanticTypeIri": "urn:effortless:pko-extension#RulebookField",
    "Name": "UserFeedback.Name",
    "IsDerived": true,
    "IsWitness": false,
    "DisagreeingSubstrateCount": 0,
    "IsSubstrateContested": false
   },
   {
    "RulebookFieldId": "UserFeedback.ProcedureExecution",
    "TargetTable": "UserFeedback",
    "FieldName": "ProcedureExecution",
    "FieldType": "relationship",
    "Datatype": "string",
    "Formula": null,
    "InventedForQuestion": null,
    "SemanticTypeIri": "urn:effortless:pko-extension#RulebookField",
    "Name": "UserFeedback.ProcedureExecution",
    "IsDerived": false,
    "IsWitness": false,
    "DisagreeingSubstrateCount": 0,
    "IsSubstrateContested": false
   },
   {
    "RulebookFieldId": "UserFeedback.ProvidedByAgent",
    "TargetTable": "UserFeedback",
    "FieldName": "ProvidedByAgent",
    "FieldType": "relationship",
    "Datatype": "string",
    "Formula": null,
    "InventedForQuestion": null,
    "SemanticTypeIri": "urn:effortless:pko-extension#RulebookField",
    "Name": "UserFeedback.ProvidedByAgent",
    "IsDerived": false,
    "IsWitness": false,
    "DisagreeingSubstrateCount": 0,
    "IsSubstrateContested": false
   },
   {
    "RulebookFieldId": "UserFeedback.ProvidedAt",
    "TargetTable": "UserFeedback",
    "FieldName": "ProvidedAt",
    "FieldType": "raw",
    "Datatype": "datetime",
    "Formula": null,
    "InventedForQuestion": null,
    "SemanticTypeIri": "urn:effortless:pko-extension#RulebookField",
    "Name": "UserFeedback.ProvidedAt",
    "IsDerived": false,
    "IsWitness": false,
    "DisagreeingSubstrateCount": 0,
    "IsSubstrateContested": false
   },
   {
    "RulebookFieldId": "UserFeedback.FeedbackText",
    "TargetTable": "UserFeedback",
    "FieldName": "FeedbackText",
    "FieldType": "raw",
    "Datatype": "string",
    "Formula": null,
    "InventedForQuestion": null,
    "SemanticTypeIri": "urn:effortless:pko-extension#RulebookField",
    "Name": "UserFeedback.FeedbackText",
    "IsDerived": false,
    "IsWitness": false,
    "DisagreeingSubstrateCount": 0,
    "IsSubstrateContested": false
   },
   {
    "RulebookFieldId": "UserFeedback.Disposition",
    "TargetTable": "UserFeedback",
    "FieldName": "Disposition",
    "FieldType": "raw",
    "Datatype": "string",
    "Formula": null,
    "InventedForQuestion": null,
    "SemanticTypeIri": "urn:effortless:pko-extension#RulebookField",
    "Name": "UserFeedback.Disposition",
    "IsDerived": false,
    "IsWitness": false,
    "DisagreeingSubstrateCount": 0,
    "IsSubstrateContested": false
   },
   {
    "RulebookFieldId": "UserFeedback.ChangeRequestKey",
    "TargetTable": "UserFeedback",
    "FieldName": "ChangeRequestKey",
    "FieldType": "raw",
    "Datatype": "string",
    "Formula": null,
    "InventedForQuestion": null,
    "SemanticTypeIri": "urn:effortless:pko-extension#RulebookField",
    "Name": "UserFeedback.ChangeRequestKey",
    "IsDerived": false,
    "IsWitness": false,
    "DisagreeingSubstrateCount": 0,
    "IsSubstrateContested": false
   },
   {
    "RulebookFieldId": "UserFeedback.SemanticTypeIri",
    "TargetTable": "UserFeedback",
    "FieldName": "SemanticTypeIri",
    "FieldType": "raw",
    "Datatype": "string",
    "Formula": null,
    "InventedForQuestion": null,
    "SemanticTypeIri": "urn:effortless:pko-extension#RulebookField",
    "Name": "UserFeedback.SemanticTypeIri",
    "IsDerived": false,
    "IsWitness": false,
    "DisagreeingSubstrateCount": 0,
    "IsSubstrateContested": false
   },
   {
    "RulebookFieldId": "StewardshipAssignments.StewardshipAssignmentId",
    "TargetTable": "StewardshipAssignments",
    "FieldName": "StewardshipAssignmentId",
    "FieldType": "raw",
    "Datatype": "string",
    "Formula": null,
    "InventedForQuestion": null,
    "SemanticTypeIri": "urn:effortless:pko-extension#RulebookField",
    "Name": "StewardshipAssignments.StewardshipAssignmentId",
    "IsDerived": false,
    "IsWitness": false,
    "DisagreeingSubstrateCount": 0,
    "IsSubstrateContested": false
   },
   {
    "RulebookFieldId": "StewardshipAssignments.Name",
    "TargetTable": "StewardshipAssignments",
    "FieldName": "Name",
    "FieldType": "calculated",
    "Datatype": "string",
    "Formula": "={{ProcedureVersion}} &amp; \" / steward=\" &amp; {{StewardRole}}",
    "InventedForQuestion": null,
    "SemanticTypeIri": "urn:effortless:pko-extension#RulebookField",
    "Name": "StewardshipAssignments.Name",
    "IsDerived": true,
    "IsWitness": false,
    "DisagreeingSubstrateCount": 0,
    "IsSubstrateContested": false
   },
   {
    "RulebookFieldId": "StewardshipAssignments.ProcedureVersion",
    "TargetTable": "StewardshipAssignments",
    "FieldName": "ProcedureVersion",
    "FieldType": "relationship",
    "Datatype": "string",
    "Formula": null,
    "InventedForQuestion": null,
    "SemanticTypeIri": "urn:effortless:pko-extension#RulebookField",
    "Name": "StewardshipAssignments.ProcedureVersion",
    "IsDerived": false,
    "IsWitness": false,
    "DisagreeingSubstrateCount": 0,
    "IsSubstrateContested": false
   },
   {
    "RulebookFieldId": "StewardshipAssignments.StewardRole",
    "TargetTable": "StewardshipAssignments",
    "FieldName": "StewardRole",
    "FieldType": "relationship",
    "Datatype": "string",
    "Formula": null,
    "InventedForQuestion": null,
    "SemanticTypeIri": "urn:effortless:pko-extension#RulebookField",
    "Name": "StewardshipAssignments.StewardRole",
    "IsDerived": false,
    "IsWitness": false,
    "DisagreeingSubstrateCount": 0,
    "IsSubstrateContested": false
   },
   {
    "RulebookFieldId": "StewardshipAssignments.AuthorityRole",
    "TargetTable": "StewardshipAssignments",
    "FieldName": "AuthorityRole",
    "FieldType": "relationship",
    "Datatype": "string",
    "Formula": null,
    "InventedForQuestion": null,
    "SemanticTypeIri": "urn:effortless:pko-extension#RulebookField",
    "Name": "StewardshipAssignments.AuthorityRole",
    "IsDerived": false,
    "IsWitness": false,
    "DisagreeingSubstrateCount": 0,
    "IsSubstrateContested": false
   },
   {
    "RulebookFieldId": "StewardshipAssignments.ValidFrom",
    "TargetTable": "StewardshipAssignments",
    "FieldName": "ValidFrom",
    "FieldType": "raw",
    "Datatype": "datetime",
    "Formula": null,
    "InventedForQuestion": null,
    "SemanticTypeIri": "urn:effortless:pko-extension#RulebookField",
    "Name": "StewardshipAssignments.ValidFrom",
    "IsDerived": false,
    "IsWitness": false,
    "DisagreeingSubstrateCount": 0,
    "IsSubstrateContested": false
   },
   {
    "RulebookFieldId": "StewardshipAssignments.ValidTo",
    "TargetTable": "StewardshipAssignments",
    "FieldName": "ValidTo",
    "FieldType": "raw",
    "Datatype": "datetime",
    "Formula": null,
    "InventedForQuestion": null,
    "SemanticTypeIri": "urn:effortless:pko-extension#RulebookField",
    "Name": "StewardshipAssignments.ValidTo",
    "IsDerived": false,
    "IsWitness": false,
    "DisagreeingSubstrateCount": 0,
    "IsSubstrateContested": false
   },
   {
    "RulebookFieldId": "StewardshipAssignments.ReviewCadenceDays",
    "TargetTable": "StewardshipAssignments",
    "FieldName": "ReviewCadenceDays",
    "FieldType": "raw",
    "Datatype": "integer",
    "Formula": null,
    "InventedForQuestion": null,
    "SemanticTypeIri": "urn:effortless:pko-extension#RulebookField",
    "Name": "StewardshipAssignments.ReviewCadenceDays",
    "IsDerived": false,
    "IsWitness": false,
    "DisagreeingSubstrateCount": 0,
    "IsSubstrateContested": false
   },
   {
    "RulebookFieldId": "StewardshipAssignments.CountOfReviewEvents",
    "TargetTable": "StewardshipAssignments",
    "FieldName": "CountOfReviewEvents",
    "FieldType": "aggregation",
    "Datatype": "integer",
    "Formula": "=COUNTIFS(ReviewEvents!{{ProcedureVersion}}, StewardshipAssignments!{{ProcedureVersion}})",
    "InventedForQuestion": "q-steward-cadence-breach",
    "SemanticTypeIri": "urn:effortless:pko-extension#RulebookField",
    "Name": "StewardshipAssignments.CountOfReviewEvents",
    "IsDerived": true,
    "IsWitness": true,
    "DisagreeingSubstrateCount": 0,
    "IsSubstrateContested": false
   },
   {
    "RulebookFieldId": "StewardshipAssignments.HasEverBeenReviewed",
    "TargetTable": "StewardshipAssignments",
    "FieldName": "HasEverBeenReviewed",
    "FieldType": "calculated",
    "Datatype": "boolean",
    "Formula": "={{CountOfReviewEvents}} &gt; 0",
    "InventedForQuestion": "q-steward-cadence-breach",
    "SemanticTypeIri": "urn:effortless:pko-extension#RulebookField",
    "Name": "StewardshipAssignments.HasEverBeenReviewed",
    "IsDerived": true,
    "IsWitness": true,
    "DisagreeingSubstrateCount": 0,
    "IsSubstrateContested": false
   },
   {
    "RulebookFieldId": "StewardshipAssignments.EvaluationContext",
    "TargetTable": "StewardshipAssignments",
    "FieldName": "EvaluationContext",
    "FieldType": "relationship",
    "Datatype": "string",
    "Formula": null,
    "InventedForQuestion": null,
    "SemanticTypeIri": "urn:effortless:pko-extension#RulebookField",
    "Name": "StewardshipAssignments.EvaluationContext",
    "IsDerived": false,
    "IsWitness": false,
    "DisagreeingSubstrateCount": 0,
    "IsSubstrateContested": false
   },
   {
    "RulebookFieldId": "StewardshipAssignments.AsOfInstant",
    "TargetTable": "StewardshipAssignments",
    "FieldName": "AsOfInstant",
    "FieldType": "lookup",
    "Datatype": "datetime",
    "Formula": "=INDEX(EvaluationContexts!{{AsOfInstant}}, MATCH({{EvaluationContext}}, EvaluationContexts!{{EvaluationContextId}}, 0))",
    "InventedForQuestion": null,
    "SemanticTypeIri": "urn:effortless:pko-extension#RulebookField",
    "Name": "StewardshipAssignments.AsOfInstant",
    "IsDerived": true,
    "IsWitness": false,
    "DisagreeingSubstrateCount": 1,
    "IsSubstrateContested": true
   },
   {
    "RulebookFieldId": "StewardshipAssignments.IsCurrentAssignment",
    "TargetTable": "StewardshipAssignments",
    "FieldName": "IsCurrentAssignment",
    "FieldType": "calculated",
    "Datatype": "boolean",
    "Formula": "=AND({{ValidFrom}} &lt;= {{AsOfInstant}}, OR({{ValidTo}} = \"\", {{ValidTo}} &gt; {{AsOfInstant}}))",
    "InventedForQuestion": "q-steward-orphan-versions",
    "SemanticTypeIri": "urn:effortless:pko-extension#RulebookField",
    "Name": "StewardshipAssignments.IsCurrentAssignment",
    "IsDerived": true,
    "IsWitness": true,
    "DisagreeingSubstrateCount": 0,
    "IsSubstrateContested": false
   },
   {
    "RulebookFieldId": "StewardshipAssignments.SemanticTypeIri",
    "TargetTable": "StewardshipAssignments",
    "FieldName": "SemanticTypeIri",
    "FieldType": "raw",
    "Datatype": "string",
    "Formula": null,
    "InventedForQuestion": null,
    "SemanticTypeIri": "urn:effortless:pko-extension#RulebookField",
    "Name": "StewardshipAssignments.SemanticTypeIri",
    "IsDerived": false,
    "IsWitness": false,
    "DisagreeingSubstrateCount": 0,
    "IsSubstrateContested": false
   },
   {
    "RulebookFieldId": "ChangeRequests.ChangeRequestId",
    "TargetTable": "ChangeRequests",
    "FieldName": "ChangeRequestId",
    "FieldType": "raw",
    "Datatype": "string",
    "Formula": null,
    "InventedForQuestion": null,
    "SemanticTypeIri": "urn:effortless:pko-extension#RulebookField",
    "Name": "ChangeRequests.ChangeRequestId",
    "IsDerived": false,
    "IsWitness": false,
    "DisagreeingSubstrateCount": 0,
    "IsSubstrateContested": false
   },
   {
    "RulebookFieldId": "ChangeRequests.Name",
    "TargetTable": "ChangeRequests",
    "FieldName": "Name",
    "FieldType": "calculated",
    "Datatype": "string",
    "Formula": "={{Title}}",
    "InventedForQuestion": null,
    "SemanticTypeIri": "urn:effortless:pko-extension#RulebookField",
    "Name": "ChangeRequests.Name",
    "IsDerived": true,
    "IsWitness": false,
    "DisagreeingSubstrateCount": 0,
    "IsSubstrateContested": false
   },
   {
    "RulebookFieldId": "ChangeRequests.ProcedureVersion",
    "TargetTable": "ChangeRequests",
    "FieldName": "ProcedureVersion",
    "FieldType": "relationship",
    "Datatype": "string",
    "Formula": null,
    "InventedForQuestion": null,
    "SemanticTypeIri": "urn:effortless:pko-extension#RulebookField",
    "Name": "ChangeRequests.ProcedureVersion",
    "IsDerived": false,
    "IsWitness": false,
    "DisagreeingSubstrateCount": 0,
    "IsSubstrateContested": false
   },
   {
    "RulebookFieldId": "ChangeRequests.Title",
    "TargetTable": "ChangeRequests",
    "FieldName": "Title",
    "FieldType": "raw",
    "Datatype": "string",
    "Formula": null,
    "InventedForQuestion": null,
    "SemanticTypeIri": "urn:effortless:pko-extension#RulebookField",
    "Name": "ChangeRequests.Title",
    "IsDerived": false,
    "IsWitness": false,
    "DisagreeingSubstrateCount": 0,
    "IsSubstrateContested": false
   },
   {
    "RulebookFieldId": "ChangeRequests.ChangeKind",
    "TargetTable": "ChangeRequests",
    "FieldName": "ChangeKind",
    "FieldType": "raw",
    "Datatype": "string",
    "Formula": null,
    "InventedForQuestion": null,
    "SemanticTypeIri": "urn:effortless:pko-extension#RulebookField",
    "Name": "ChangeRequests.ChangeKind",
    "IsDerived": false,
    "IsWitness": false,
    "DisagreeingSubstrateCount": 0,
    "IsSubstrateContested": false
   },
   {
    "RulebookFieldId": "ChangeRequests.Status",
    "TargetTable": "ChangeRequests",
    "FieldName": "Status",
    "FieldType": "raw",
    "Datatype": "string",
    "Formula": null,
    "InventedForQuestion": null,
    "SemanticTypeIri": "urn:effortless:pko-extension#RulebookField",
    "Name": "ChangeRequests.Status",
    "IsDerived": false,
    "IsWitness": false,
    "DisagreeingSubstrateCount": 0,
    "IsSubstrateContested": false
   },
   {
    "RulebookFieldId": "ChangeRequests.RequestedByAgent",
    "TargetTable": "ChangeRequests",
    "FieldName": "RequestedByAgent",
    "FieldType": "relationship",
    "Datatype": "string",
    "Formula": null,
    "InventedForQuestion": null,
    "SemanticTypeIri": "urn:effortless:pko-extension#RulebookField",
    "Name": "ChangeRequests.RequestedByAgent",
    "IsDerived": false,
    "IsWitness": false,
    "DisagreeingSubstrateCount": 0,
    "IsSubstrateContested": false
   },
   {
    "RulebookFieldId": "ChangeRequests.AuthorityRole",
    "TargetTable": "ChangeRequests",
    "FieldName": "AuthorityRole",
    "FieldType": "relationship",
    "Datatype": "string",
    "Formula": null,
    "InventedForQuestion": null,
    "SemanticTypeIri": "urn:effortless:pko-extension#RulebookField",
    "Name": "ChangeRequests.AuthorityRole",
    "IsDerived": false,
    "IsWitness": false,
    "DisagreeingSubstrateCount": 0,
    "IsSubstrateContested": false
   },
   {
    "RulebookFieldId": "ChangeRequests.RequestedAt",
    "TargetTable": "ChangeRequests",
    "FieldName": "RequestedAt",
    "FieldType": "raw",
    "Datatype": "datetime",
    "Formula": null,
    "InventedForQuestion": null,
    "SemanticTypeIri": "urn:effortless:pko-extension#RulebookField",
    "Name": "ChangeRequests.RequestedAt",
    "IsDerived": false,
    "IsWitness": false,
    "DisagreeingSubstrateCount": 0,
    "IsSubstrateContested": false
   },
   {
    "RulebookFieldId": "ChangeRequests.DecidedAt",
    "TargetTable": "ChangeRequests",
    "FieldName": "DecidedAt",
    "FieldType": "raw",
    "Datatype": "datetime",
    "Formula": null,
    "InventedForQuestion": null,
    "SemanticTypeIri": "urn:effortless:pko-extension#RulebookField",
    "Name": "ChangeRequests.DecidedAt",
    "IsDerived": false,
    "IsWitness": false,
    "DisagreeingSubstrateCount": 0,
    "IsSubstrateContested": false
   },
   {
    "RulebookFieldId": "ChangeRequests.ImpactAssessment",
    "TargetTable": "ChangeRequests",
    "FieldName": "ImpactAssessment",
    "FieldType": "raw",
    "Datatype": "string",
    "Formula": null,
    "InventedForQuestion": null,
    "SemanticTypeIri": "urn:effortless:pko-extension#RulebookField",
    "Name": "ChangeRequests.ImpactAssessment",
    "IsDerived": false,
    "IsWitness": false,
    "DisagreeingSubstrateCount": 0,
    "IsSubstrateContested": false
   },
   {
    "RulebookFieldId": "ChangeRequests.IsOpen",
    "TargetTable": "ChangeRequests",
    "FieldName": "IsOpen",
    "FieldType": "calculated",
    "Datatype": "boolean",
    "Formula": "=AND(OR({{Status}} = \"Draft\", {{Status}} = \"UnderReview\", {{Status}} = \"Approved\"), {{ImplementedAt}} = \"\")",
    "InventedForQuestion": null,
    "SemanticTypeIri": "urn:effortless:pko-extension#RulebookField",
    "Name": "ChangeRequests.IsOpen",
    "IsDerived": true,
    "IsWitness": false,
    "DisagreeingSubstrateCount": 0,
    "IsSubstrateContested": false
   },
   {
    "RulebookFieldId": "ChangeRequests.OpenChangeVersionKey",
    "TargetTable": "ChangeRequests",
    "FieldName": "OpenChangeVersionKey",
    "FieldType": "calculated",
    "Datatype": "string",
    "Formula": "=IF({{IsOpen}}, {{ProcedureVersion}}, \"\")",
    "InventedForQuestion": "q-cfo-approving-on-unfit-version",
    "SemanticTypeIri": "urn:effortless:pko-extension#RulebookField",
    "Name": "ChangeRequests.OpenChangeVersionKey",
    "IsDerived": true,
    "IsWitness": true,
    "DisagreeingSubstrateCount": 0,
    "IsSubstrateContested": false
   },
   {
    "RulebookFieldId": "ChangeRequests.IsDecided",
    "TargetTable": "ChangeRequests",
    "FieldName": "IsDecided",
    "FieldType": "calculated",
    "Datatype": "boolean",
    "Formula": "={{DecidedAt}} &lt;&gt; \"\"",
    "InventedForQuestion": "q-steward-stalled-change-requests",
    "SemanticTypeIri": "urn:effortless:pko-extension#RulebookField",
    "Name": "ChangeRequests.IsDecided",
    "IsDerived": true,
    "IsWitness": true,
    "DisagreeingSubstrateCount": 0,
    "IsSubstrateContested": false
   },
   {
    "RulebookFieldId": "ChangeRequests.EvaluationContext",
    "TargetTable": "ChangeRequests",
    "FieldName": "EvaluationContext",
    "FieldType": "relationship",
    "Datatype": "string",
    "Formula": null,
    "InventedForQuestion": null,
    "SemanticTypeIri": "urn:effortless:pko-extension#RulebookField",
    "Name": "ChangeRequests.EvaluationContext",
    "IsDerived": false,
    "IsWitness": false,
    "DisagreeingSubstrateCount": 0,
    "IsSubstrateContested": false
   },
   {
    "RulebookFieldId": "ChangeRequests.AsOfInstant",
    "TargetTable": "ChangeRequests",
    "FieldName": "AsOfInstant",
    "FieldType": "lookup",
    "Datatype": "datetime",
    "Formula": "=INDEX(EvaluationContexts!{{AsOfInstant}}, MATCH({{EvaluationContext}}, EvaluationContexts!{{EvaluationContextId}}, 0))",
    "InventedForQuestion": null,
    "SemanticTypeIri": "urn:effortless:pko-extension#RulebookField",
    "Name": "ChangeRequests.AsOfInstant",
    "IsDerived": true,
    "IsWitness": false,
    "DisagreeingSubstrateCount": 1,
    "IsSubstrateContested": true
   },
   {
    "RulebookFieldId": "ChangeRequests.DaysPending",
    "TargetTable": "ChangeRequests",
    "FieldName": "DaysPending",
    "FieldType": "calculated",
    "Datatype": "integer",
    "Formula": "=IF({{IsDecided}}, DATETIME_DIFF({{DecidedAt}}, {{RequestedAt}}, \"days\"), DATETIME_DIFF({{AsOfInstant}}, {{RequestedAt}}, \"days\"))",
    "InventedForQuestion": "q-steward-stalled-change-requests",
    "SemanticTypeIri": "urn:effortless:pko-extension#RulebookField",
    "Name": "ChangeRequests.DaysPending",
    "IsDerived": true,
    "IsWitness": true,
    "DisagreeingSubstrateCount": 7,
    "IsSubstrateContested": true
   },
   {
    "RulebookFieldId": "ChangeRequests.IsStillPending",
    "TargetTable": "ChangeRequests",
    "FieldName": "IsStillPending",
    "FieldType": "calculated",
    "Datatype": "boolean",
    "Formula": "=AND({{IsOpen}}, NOT({{IsDecided}}))",
    "InventedForQuestion": "q-steward-stalled-change-requests",
    "SemanticTypeIri": "urn:effortless:pko-extension#RulebookField",
    "Name": "ChangeRequests.IsStillPending",
    "IsDerived": true,
    "IsWitness": true,
    "DisagreeingSubstrateCount": 0,
    "IsSubstrateContested": false
   },
   {
    "RulebookFieldId": "ChangeRequests.IsStalled",
    "TargetTable": "ChangeRequests",
    "FieldName": "IsStalled",
    "FieldType": "calculated",
    "Datatype": "boolean",
    "Formula": "=AND({{IsStillPending}}, {{DaysPending}} &gt; 14)",
    "InventedForQuestion": "q-steward-stalled-change-requests",
    "SemanticTypeIri": "urn:effortless:pko-extension#RulebookField",
    "Name": "ChangeRequests.IsStalled",
    "IsDerived": true,
    "IsWitness": true,
    "DisagreeingSubstrateCount": 0,
    "IsSubstrateContested": false
   },
   {
    "RulebookFieldId": "ChangeRequests.AuthorityAgent",
    "TargetTable": "ChangeRequests",
    "FieldName": "AuthorityAgent",
    "FieldType": "lookup",
    "Datatype": "string",
    "Formula": "=INDEX(Roles!{{CurrentAgent}}, MATCH({{AuthorityRole}}, Roles!{{RoleId}}, 0))",
    "InventedForQuestion": "q-steward-stalled-change-requests",
    "SemanticTypeIri": "urn:effortless:pko-extension#RulebookField",
    "Name": "ChangeRequests.AuthorityAgent",
    "IsDerived": true,
    "IsWitness": true,
    "DisagreeingSubstrateCount": 0,
    "IsSubstrateContested": false
   },
   {
    "RulebookFieldId": "ChangeRequests.RequesterIsAuthority",
    "TargetTable": "ChangeRequests",
    "FieldName": "RequesterIsAuthority",
    "FieldType": "calculated",
    "Datatype": "boolean",
    "Formula": "={{RequestedByAgent}} = {{AuthorityAgent}}",
    "InventedForQuestion": "q-steward-stalled-change-requests",
    "SemanticTypeIri": "urn:effortless:pko-extension#RulebookField",
    "Name": "ChangeRequests.RequesterIsAuthority",
    "IsDerived": true,
    "IsWitness": true,
    "DisagreeingSubstrateCount": 0,
    "IsSubstrateContested": false
   },
   {
    "RulebookFieldId": "ChangeRequests.AwaitsAuthorityDecision",
    "TargetTable": "ChangeRequests",
    "FieldName": "AwaitsAuthorityDecision",
    "FieldType": "calculated",
    "Datatype": "boolean",
    "Formula": "=AND({{Status}} = \"UnderReview\", NOT({{IsDecided}}))",
    "InventedForQuestion": "q-hr-authority-without-review",
    "SemanticTypeIri": "urn:effortless:pko-extension#RulebookField",
    "Name": "ChangeRequests.AwaitsAuthorityDecision",
    "IsDerived": true,
    "IsWitness": true,
    "DisagreeingSubstrateCount": 0,
    "IsSubstrateContested": false
   },
   {
    "RulebookFieldId": "ChangeRequests.AuthorityRoleLabel",
    "TargetTable": "ChangeRequests",
    "FieldName": "AuthorityRoleLabel",
    "FieldType": "lookup",
    "Datatype": "string",
    "Formula": "=INDEX(Roles!{{Label}}, MATCH({{AuthorityRole}}, Roles!{{RoleId}}, 0))",
    "InventedForQuestion": "q-hr-authority-without-review",
    "SemanticTypeIri": "urn:effortless:pko-extension#RulebookField",
    "Name": "ChangeRequests.AuthorityRoleLabel",
    "IsDerived": true,
    "IsWitness": true,
    "DisagreeingSubstrateCount": 0,
    "IsSubstrateContested": false
   },
   {
    "RulebookFieldId": "ChangeRequests.TouchesLiveVersion",
    "TargetTable": "ChangeRequests",
    "FieldName": "TouchesLiveVersion",
    "FieldType": "lookup",
    "Datatype": "boolean"</t>
  </si>
  <si>
    <t xml:space="preserve">,
    "Formula": "=INDEX(ProcedureVersions!{{IsLive}}, MATCH({{ProcedureVersion}}, ProcedureVersions!{{ProcedureVersionId}}, 0))",
    "InventedForQuestion": "q-hr-authority-without-review",
    "SemanticTypeIri": "urn:effortless:pko-extension#RulebookField",
    "Name": "ChangeRequests.TouchesLiveVersion",
    "IsDerived": true,
    "IsWitness": true,
    "DisagreeingSubstrateCount": 0,
    "IsSubstrateContested": false
   },
   {
    "RulebookFieldId": "ChangeRequests.IsLiveDecisionBacklog",
    "TargetTable": "ChangeRequests",
    "FieldName": "IsLiveDecisionBacklog",
    "FieldType": "calculated",
    "Datatype": "boolean",
    "Formula": "=AND({{AwaitsAuthorityDecision}}, {{TouchesLiveVersion}})",
    "InventedForQuestion": "q-hr-authority-without-review",
    "SemanticTypeIri": "urn:effortless:pko-extension#RulebookField",
    "Name": "ChangeRequests.IsLiveDecisionBacklog",
    "IsDerived": true,
    "IsWitness": true,
    "DisagreeingSubstrateCount": 0,
    "IsSubstrateContested": false
   },
   {
    "RulebookFieldId": "ChangeRequests.BlocksAnOpenGap",
    "TargetTable": "ChangeRequests",
    "FieldName": "BlocksAnOpenGap",
    "FieldType": "calculated",
    "Datatype": "boolean",
    "Formula": "=AND({{IsLiveDecisionBacklog}}, {{ChangeKind}} = \"Enhancement\")",
    "InventedForQuestion": "q-hr-authority-without-review",
    "SemanticTypeIri": "urn:effortless:pko-extension#RulebookField",
    "Name": "ChangeRequests.BlocksAnOpenGap",
    "IsDerived": true,
    "IsWitness": true,
    "DisagreeingSubstrateCount": 0,
    "IsSubstrateContested": false
   },
   {
    "RulebookFieldId": "ChangeRequests.ImplementedAt",
    "TargetTable": "ChangeRequests",
    "FieldName": "ImplementedAt",
    "FieldType": "raw",
    "Datatype": "datetime",
    "Formula": null,
    "InventedForQuestion": null,
    "SemanticTypeIri": "urn:effortless:pko-extension#RulebookField",
    "Name": "ChangeRequests.ImplementedAt",
    "IsDerived": false,
    "IsWitness": false,
    "DisagreeingSubstrateCount": 0,
    "IsSubstrateContested": false
   },
   {
    "RulebookFieldId": "ChangeRequests.BacklogVersionKey",
    "TargetTable": "ChangeRequests",
    "FieldName": "BacklogVersionKey",
    "FieldType": "calculated",
    "Datatype": "string",
    "Formula": "=IF({{IsLiveDecisionBacklog}}, {{ProcedureVersion}}, \"\")",
    "InventedForQuestion": "q2-hr-my-backlog-is-someone-elses-block",
    "SemanticTypeIri": "urn:effortless:pko-extension#RulebookField",
    "Name": "ChangeRequests.BacklogVersionKey",
    "IsDerived": true,
    "IsWitness": true,
    "DisagreeingSubstrateCount": 0,
    "IsSubstrateContested": false
   },
   {
    "RulebookFieldId": "ChangeRequests.IsMyPendingDecision",
    "TargetTable": "ChangeRequests",
    "FieldName": "IsMyPendingDecision",
    "FieldType": "calculated",
    "Datatype": "boolean",
    "Formula": "=AND({{AuthorityRole}} = \"hr-policy-owner\", {{AwaitsAuthorityDecision}})",
    "InventedForQuestion": "q2-hr-my-backlog-is-someone-elses-block",
    "SemanticTypeIri": "urn:effortless:pko-extension#RulebookField",
    "Name": "ChangeRequests.IsMyPendingDecision",
    "IsDerived": true,
    "IsWitness": true,
    "DisagreeingSubstrateCount": 0,
    "IsSubstrateContested": false
   },
   {
    "RulebookFieldId": "ChangeRequests.IsMyBlockingBacklog",
    "TargetTable": "ChangeRequests",
    "FieldName": "IsMyBlockingBacklog",
    "FieldType": "calculated",
    "Datatype": "boolean",
    "Formula": "=AND({{IsMyPendingDecision}}, {{BlocksAnOpenGap}})",
    "InventedForQuestion": "q2-hr-my-backlog-is-someone-elses-block",
    "SemanticTypeIri": "urn:effortless:pko-extension#RulebookField",
    "Name": "ChangeRequests.IsMyBlockingBacklog",
    "IsDerived": true,
    "IsWitness": true,
    "DisagreeingSubstrateCount": 0,
    "IsSubstrateContested": false
   },
   {
    "RulebookFieldId": "ChangeRequests.IsMyOverdueBacklog",
    "TargetTable": "ChangeRequests",
    "FieldName": "IsMyOverdueBacklog",
    "FieldType": "calculated",
    "Datatype": "boolean",
    "Formula": "=AND({{IsMyBlockingBacklog}}, {{DaysPending}} &gt; 14)",
    "InventedForQuestion": "q2-hr-my-backlog-is-someone-elses-block",
    "SemanticTypeIri": "urn:effortless:pko-extension#RulebookField",
    "Name": "ChangeRequests.IsMyOverdueBacklog",
    "IsDerived": true,
    "IsWitness": true,
    "DisagreeingSubstrateCount": 0,
    "IsSubstrateContested": false
   },
   {
    "RulebookFieldId": "ChangeRequests.IsImplemented",
    "TargetTable": "ChangeRequests",
    "FieldName": "IsImplemented",
    "FieldType": "calculated",
    "Datatype": "boolean",
    "Formula": "={{ImplementedAt}} &lt;&gt; \"\"",
    "InventedForQuestion": "q2-hr-my-approvals-never-read-as-done",
    "SemanticTypeIri": "urn:effortless:pko-extension#RulebookField",
    "Name": "ChangeRequests.IsImplemented",
    "IsDerived": true,
    "IsWitness": true,
    "DisagreeingSubstrateCount": 0,
    "IsSubstrateContested": false
   },
   {
    "RulebookFieldId": "ChangeRequests.IsMyDecidedRequest",
    "TargetTable": "ChangeRequests",
    "FieldName": "IsMyDecidedRequest",
    "FieldType": "calculated",
    "Datatype": "boolean",
    "Formula": "=AND({{AuthorityRole}} = \"hr-policy-owner\", {{IsDecided}})",
    "InventedForQuestion": "q2-hr-my-approvals-never-read-as-done",
    "SemanticTypeIri": "urn:effortless:pko-extension#RulebookField",
    "Name": "ChangeRequests.IsMyDecidedRequest",
    "IsDerived": true,
    "IsWitness": true,
    "DisagreeingSubstrateCount": 0,
    "IsSubstrateContested": false
   },
   {
    "RulebookFieldId": "ChangeRequests.IsMyDecidedButUnlanded",
    "TargetTable": "ChangeRequests",
    "FieldName": "IsMyDecidedButUnlanded",
    "FieldType": "calculated",
    "Datatype": "boolean",
    "Formula": "=AND({{IsMyDecidedRequest}}, NOT({{IsImplemented}}))",
    "InventedForQuestion": "q2-hr-my-approvals-never-read-as-done",
    "SemanticTypeIri": "urn:effortless:pko-extension#RulebookField",
    "Name": "ChangeRequests.IsMyDecidedButUnlanded",
    "IsDerived": true,
    "IsWitness": true,
    "DisagreeingSubstrateCount": 0,
    "IsSubstrateContested": false
   },
   {
    "RulebookFieldId": "ChangeRequests.DecisionLatencyDays",
    "TargetTable": "ChangeRequests",
    "FieldName": "DecisionLatencyDays",
    "FieldType": "calculated",
    "Datatype": "integer",
    "Formula": "=IF({{IsDecided}}, DATETIME_DIFF({{DecidedAt}}, {{RequestedAt}}, \"days\"), 0)",
    "InventedForQuestion": "q2-hr-my-approvals-never-read-as-done",
    "SemanticTypeIri": "urn:effortless:pko-extension#RulebookField",
    "Name": "ChangeRequests.DecisionLatencyDays",
    "IsDerived": true,
    "IsWitness": true,
    "DisagreeingSubstrateCount": 7,
    "IsSubstrateContested": true
   },
   {
    "RulebookFieldId": "ChangeRequests.ImplementationLatencyDays",
    "TargetTable": "ChangeRequests",
    "FieldName": "ImplementationLatencyDays",
    "FieldType": "calculated",
    "Datatype": "integer",
    "Formula": "=IF({{IsImplemented}}, DATETIME_DIFF({{ImplementedAt}}, {{DecidedAt}}, \"days\"), 0)",
    "InventedForQuestion": "q2-hr-my-approvals-never-read-as-done",
    "SemanticTypeIri": "urn:effortless:pko-extension#RulebookField",
    "Name": "ChangeRequests.ImplementationLatencyDays",
    "IsDerived": true,
    "IsWitness": true,
    "DisagreeingSubstrateCount": 0,
    "IsSubstrateContested": false
   },
   {
    "RulebookFieldId": "ChangeRequests.DelayIsDownstreamOfMe",
    "TargetTable": "ChangeRequests",
    "FieldName": "DelayIsDownstreamOfMe",
    "FieldType": "calculated",
    "Datatype": "boolean",
    "Formula": "=AND({{IsMyDecidedButUnlanded}}, {{DecisionLatencyDays}} &lt;= 14)",
    "InventedForQuestion": "q2-hr-my-approvals-never-read-as-done",
    "SemanticTypeIri": "urn:effortless:pko-extension#RulebookField",
    "Name": "ChangeRequests.DelayIsDownstreamOfMe",
    "IsDerived": true,
    "IsWitness": true,
    "DisagreeingSubstrateCount": 0,
    "IsSubstrateContested": false
   },
   {
    "RulebookFieldId": "ChangeRequests.UnlandedVersionKey",
    "TargetTable": "ChangeRequests",
    "FieldName": "UnlandedVersionKey",
    "FieldType": "calculated",
    "Datatype": "string",
    "Formula": "=IF({{IsMyDecidedButUnlanded}}, {{ProcedureVersion}}, \"\")",
    "InventedForQuestion": "q2-hr-my-approvals-never-read-as-done",
    "SemanticTypeIri": "urn:effortless:pko-extension#RulebookField",
    "Name": "ChangeRequests.UnlandedVersionKey",
    "IsDerived": true,
    "IsWitness": true,
    "DisagreeingSubstrateCount": 0,
    "IsSubstrateContested": false
   },
   {
    "RulebookFieldId": "ChangeRequests.IsApprovedNotImplemented",
    "TargetTable": "ChangeRequests",
    "FieldName": "IsApprovedNotImplemented",
    "FieldType": "calculated",
    "Datatype": "boolean",
    "Formula": "=AND({{Status}} = \"Approved\", NOT({{IsImplemented}}))",
    "InventedForQuestion": "q2-steward-approved-cr-never-lands",
    "SemanticTypeIri": "urn:effortless:pko-extension#RulebookField",
    "Name": "ChangeRequests.IsApprovedNotImplemented",
    "IsDerived": true,
    "IsWitness": true,
    "DisagreeingSubstrateCount": 0,
    "IsSubstrateContested": false
   },
   {
    "RulebookFieldId": "ChangeRequests.DaysSinceApproval",
    "TargetTable": "ChangeRequests",
    "FieldName": "DaysSinceApproval",
    "FieldType": "calculated",
    "Datatype": "integer",
    "Formula": "=IF({{IsDecided}}, DATETIME_DIFF({{AsOfInstant}}, {{DecidedAt}}, \"days\"), 0)",
    "InventedForQuestion": "q2-steward-approved-cr-never-lands",
    "SemanticTypeIri": "urn:effortless:pko-extension#RulebookField",
    "Name": "ChangeRequests.DaysSinceApproval",
    "IsDerived": true,
    "IsWitness": true,
    "DisagreeingSubstrateCount": 0,
    "IsSubstrateContested": false
   },
   {
    "RulebookFieldId": "ChangeRequests.IsStalledImplementation",
    "TargetTable": "ChangeRequests",
    "FieldName": "IsStalledImplementation",
    "FieldType": "calculated",
    "Datatype": "boolean",
    "Formula": "=AND({{IsApprovedNotImplemented}}, {{DaysSinceApproval}} &gt; 14)",
    "InventedForQuestion": "q2-steward-approved-cr-never-lands",
    "SemanticTypeIri": "urn:effortless:pko-extension#RulebookField",
    "Name": "ChangeRequests.IsStalledImplementation",
    "IsDerived": true,
    "IsWitness": true,
    "DisagreeingSubstrateCount": 0,
    "IsSubstrateContested": false
   },
   {
    "RulebookFieldId": "ChangeRequests.StalledImplementationVersionKey",
    "TargetTable": "ChangeRequests",
    "FieldName": "StalledImplementationVersionKey",
    "FieldType": "calculated",
    "Datatype": "string",
    "Formula": "=IF({{IsStalledImplementation}}, {{ProcedureVersion}}, \"\")",
    "InventedForQuestion": "q2-steward-approved-cr-never-lands",
    "SemanticTypeIri": "urn:effortless:pko-extension#RulebookField",
    "Name": "ChangeRequests.StalledImplementationVersionKey",
    "IsDerived": true,
    "IsWitness": true,
    "DisagreeingSubstrateCount": 0,
    "IsSubstrateContested": false
   },
   {
    "RulebookFieldId": "ChangeRequests.ApprovedVersionKey",
    "TargetTable": "ChangeRequests",
    "FieldName": "ApprovedVersionKey",
    "FieldType": "calculated",
    "Datatype": "string",
    "Formula": "=IF({{IsApprovedDecision}}, {{ProcedureVersion}}, \"\")",
    "InventedForQuestion": "q2-ctl-divergence-that-nobody-governed",
    "SemanticTypeIri": "urn:effortless:pko-extension#RulebookField",
    "Name": "ChangeRequests.ApprovedVersionKey",
    "IsDerived": true,
    "IsWitness": true,
    "DisagreeingSubstrateCount": 0,
    "IsSubstrateContested": false
   },
   {
    "RulebookFieldId": "ChangeRequests.IsApprovedDecision",
    "TargetTable": "ChangeRequests",
    "FieldName": "IsApprovedDecision",
    "FieldType": "calculated",
    "Datatype": "boolean",
    "Formula": "={{Status}} = \"Approved\"",
    "InventedForQuestion": "q2-ctl-divergence-that-nobody-governed",
    "SemanticTypeIri": "urn:effortless:pko-extension#RulebookField",
    "Name": "ChangeRequests.IsApprovedDecision",
    "IsDerived": true,
    "IsWitness": true,
    "DisagreeingSubstrateCount": 0,
    "IsSubstrateContested": false
   },
   {
    "RulebookFieldId": "ChangeRequests.SemanticTypeIri",
    "TargetTable": "ChangeRequests",
    "FieldName": "SemanticTypeIri",
    "FieldType": "raw",
    "Datatype": "string",
    "Formula": null,
    "InventedForQuestion": null,
    "SemanticTypeIri": "urn:effortless:pko-extension#RulebookField",
    "Name": "ChangeRequests.SemanticTypeIri",
    "IsDerived": false,
    "IsWitness": false,
    "DisagreeingSubstrateCount": 0,
    "IsSubstrateContested": false
   },
   {
    "RulebookFieldId": "ReviewEvents.ReviewEventId",
    "TargetTable": "ReviewEvents",
    "FieldName": "ReviewEventId",
    "FieldType": "raw",
    "Datatype": "string",
    "Formula": null,
    "InventedForQuestion": null,
    "SemanticTypeIri": "urn:effortless:pko-extension#RulebookField",
    "Name": "ReviewEvents.ReviewEventId",
    "IsDerived": false,
    "IsWitness": false,
    "DisagreeingSubstrateCount": 0,
    "IsSubstrateContested": false
   },
   {
    "RulebookFieldId": "ReviewEvents.Name",
    "TargetTable": "ReviewEvents",
    "FieldName": "Name",
    "FieldType": "calculated",
    "Datatype": "string",
    "Formula": "={{ProcedureVersion}} &amp; \" / \" &amp; {{ReviewKind}}",
    "InventedForQuestion": null,
    "SemanticTypeIri": "urn:effortless:pko-extension#RulebookField",
    "Name": "ReviewEvents.Name",
    "IsDerived": true,
    "IsWitness": false,
    "DisagreeingSubstrateCount": 0,
    "IsSubstrateContested": false
   },
   {
    "RulebookFieldId": "ReviewEvents.ProcedureVersion",
    "TargetTable": "ReviewEvents",
    "FieldName": "ProcedureVersion",
    "FieldType": "relationship",
    "Datatype": "string",
    "Formula": null,
    "InventedForQuestion": null,
    "SemanticTypeIri": "urn:effortless:pko-extension#RulebookField",
    "Name": "ReviewEvents.ProcedureVersion",
    "IsDerived": false,
    "IsWitness": false,
    "DisagreeingSubstrateCount": 0,
    "IsSubstrateContested": false
   },
   {
    "RulebookFieldId": "ReviewEvents.ReviewKind",
    "TargetTable": "ReviewEvents",
    "FieldName": "ReviewKind",
    "FieldType": "raw",
    "Datatype": "string",
    "Formula": null,
    "InventedForQuestion": null,
    "SemanticTypeIri": "urn:effortless:pko-extension#RulebookField",
    "Name": "ReviewEvents.ReviewKind",
    "IsDerived": false,
    "IsWitness": false,
    "DisagreeingSubstrateCount": 0,
    "IsSubstrateContested": false
   },
   {
    "RulebookFieldId": "ReviewEvents.ReviewedAt",
    "TargetTable": "ReviewEvents",
    "FieldName": "ReviewedAt",
    "FieldType": "raw",
    "Datatype": "datetime",
    "Formula": null,
    "InventedForQuestion": null,
    "SemanticTypeIri": "urn:effortless:pko-extension#RulebookField",
    "Name": "ReviewEvents.ReviewedAt",
    "IsDerived": false,
    "IsWitness": false,
    "DisagreeingSubstrateCount": 0,
    "IsSubstrateContested": false
   },
   {
    "RulebookFieldId": "ReviewEvents.ReviewedByAgent",
    "TargetTable": "ReviewEvents",
    "FieldName": "ReviewedByAgent",
    "FieldType": "relationship",
    "Datatype": "string",
    "Formula": null,
    "InventedForQuestion": null,
    "SemanticTypeIri": "urn:effortless:pko-extension#RulebookField",
    "Name": "ReviewEvents.ReviewedByAgent",
    "IsDerived": false,
    "IsWitness": false,
    "DisagreeingSubstrateCount": 0,
    "IsSubstrateContested": false
   },
   {
    "RulebookFieldId": "ReviewEvents.Outcome",
    "TargetTable": "ReviewEvents",
    "FieldName": "Outcome",
    "FieldType": "raw",
    "Datatype": "string",
    "Formula": null,
    "InventedForQuestion": null,
    "SemanticTypeIri": "urn:effortless:pko-extension#RulebookField",
    "Name": "ReviewEvents.Outcome",
    "IsDerived": false,
    "IsWitness": false,
    "DisagreeingSubstrateCount": 0,
    "IsSubstrateContested": false
   },
   {
    "RulebookFieldId": "ReviewEvents.RelatedChangeRequest",
    "TargetTable": "ReviewEvents",
    "FieldName": "RelatedChangeRequest",
    "FieldType": "relationship",
    "Datatype": "string",
    "Formula": null,
    "InventedForQuestion": null,
    "SemanticTypeIri": "urn:effortless:pko-extension#RulebookField",
    "Name": "ReviewEvents.RelatedChangeRequest",
    "IsDerived": false,
    "IsWitness": false,
    "DisagreeingSubstrateCount": 0,
    "IsSubstrateContested": false
   },
   {
    "RulebookFieldId": "ReviewEvents.NextReviewDue",
    "TargetTable": "ReviewEvents",
    "FieldName": "NextReviewDue",
    "FieldType": "raw",
    "Datatype": "datetime",
    "Formula": null,
    "InventedForQuestion": null,
    "SemanticTypeIri": "urn:effortless:pko-extension#RulebookField",
    "Name": "ReviewEvents.NextReviewDue",
    "IsDerived": false,
    "IsWitness": false,
    "DisagreeingSubstrateCount": 0,
    "IsSubstrateContested": false
   },
   {
    "RulebookFieldId": "ReviewEvents.EvaluationContext",
    "TargetTable": "ReviewEvents",
    "FieldName": "EvaluationContext",
    "FieldType": "relationship",
    "Datatype": "string",
    "Formula": null,
    "InventedForQuestion": null,
    "SemanticTypeIri": "urn:effortless:pko-extension#RulebookField",
    "Name": "ReviewEvents.EvaluationContext",
    "IsDerived": false,
    "IsWitness": false,
    "DisagreeingSubstrateCount": 0,
    "IsSubstrateContested": false
   },
   {
    "RulebookFieldId": "ReviewEvents.AsOfInstant",
    "TargetTable": "ReviewEvents",
    "FieldName": "AsOfInstant",
    "FieldType": "lookup",
    "Datatype": "datetime",
    "Formula": "=INDEX(EvaluationContexts!{{AsOfInstant}}, MATCH({{EvaluationContext}}, EvaluationContexts!{{EvaluationContextId}}, 0))",
    "InventedForQuestion": null,
    "SemanticTypeIri": "urn:effortless:pko-extension#RulebookField",
    "Name": "ReviewEvents.AsOfInstant",
    "IsDerived": true,
    "IsWitness": false,
    "DisagreeingSubstrateCount": 1,
    "IsSubstrateContested": true
   },
   {
    "RulebookFieldId": "ReviewEvents.IsOverdue",
    "TargetTable": "ReviewEvents",
    "FieldName": "IsOverdue",
    "FieldType": "calculated",
    "Datatype": "boolean",
    "Formula": "={{NextReviewDue}} &lt; {{AsOfInstant}}",
    "InventedForQuestion": null,
    "SemanticTypeIri": "urn:effortless:pko-extension#RulebookField",
    "Name": "ReviewEvents.IsOverdue",
    "IsDerived": true,
    "IsWitness": false,
    "DisagreeingSubstrateCount": 0,
    "IsSubstrateContested": false
   },
   {
    "RulebookFieldId": "ReviewEvents.OverdueVersionKey",
    "TargetTable": "ReviewEvents",
    "FieldName": "OverdueVersionKey",
    "FieldType": "calculated",
    "Datatype": "string",
    "Formula": "=IF({{IsOverdue}}, {{ProcedureVersion}}, \"\")",
    "InventedForQuestion": "q-cfo-approving-on-unfit-version",
    "SemanticTypeIri": "urn:effortless:pko-extension#RulebookField",
    "Name": "ReviewEvents.OverdueVersionKey",
    "IsDerived": true,
    "IsWitness": true,
    "DisagreeingSubstrateCount": 0,
    "IsSubstrateContested": false
   },
   {
    "RulebookFieldId": "ReviewEvents.PromisedCadenceDays",
    "TargetTable": "ReviewEvents",
    "FieldName": "PromisedCadenceDays",
    "FieldType": "lookup",
    "Datatype": "integer",
    "Formula": "=INDEX(ProcedureVersions!{{StewardReviewCadenceDays}}, MATCH({{ProcedureVersion}}, ProcedureVersions!{{ProcedureVersionId}}, 0))",
    "InventedForQuestion": "q-steward-cadence-breach",
    "SemanticTypeIri": "urn:effortless:pko-extension#RulebookField",
    "Name": "ReviewEvents.PromisedCadenceDays",
    "IsDerived": true,
    "IsWitness": true,
    "DisagreeingSubstrateCount": 0,
    "IsSubstrateContested": false
   },
   {
    "RulebookFieldId": "ReviewEvents.DaysSinceReviewed",
    "TargetTable": "ReviewEvents",
    "FieldName": "DaysSinceReviewed",
    "FieldType": "calculated",
    "Datatype": "integer",
    "Formula": "=DATETIME_DIFF({{AsOfInstant}}, {{ReviewedAt}}, \"days\")",
    "InventedForQuestion": "q-steward-cadence-breach",
    "SemanticTypeIri": "urn:effortless:pko-extension#RulebookField",
    "Name": "ReviewEvents.DaysSinceReviewed",
    "IsDerived": true,
    "IsWitness": true,
    "DisagreeingSubstrateCount": 7,
    "IsSubstrateContested": true
   },
   {
    "RulebookFieldId": "ReviewEvents.ExceedsPromisedCadence",
    "TargetTable": "ReviewEvents",
    "FieldName": "ExceedsPromisedCadence",
    "FieldType": "calculated",
    "Datatype": "boolean",
    "Formula": "={{DaysSinceReviewed}} &gt; {{PromisedCadenceDays}}",
    "InventedForQuestion": "q-steward-cadence-breach",
    "SemanticTypeIri": "urn:effortless:pko-extension#RulebookField",
    "Name": "ReviewEvents.ExceedsPromisedCadence",
    "IsDerived": true,
    "IsWitness": true,
    "DisagreeingSubstrateCount": 0,
    "IsSubstrateContested": false
   },
   {
    "RulebookFieldId": "ReviewEvents.CadenceDriftDays",
    "TargetTable": "ReviewEvents",
    "FieldName": "CadenceDriftDays",
    "FieldType": "calculated",
    "Datatype": "integer",
    "Formula": "={{DaysSinceReviewed}} - {{PromisedCadenceDays}}",
    "InventedForQuestion": "q-steward-cadence-breach",
    "SemanticTypeIri": "urn:effortless:pko-extension#RulebookField",
    "Name": "ReviewEvents.CadenceDriftDays",
    "IsDerived": true,
    "IsWitness": true,
    "DisagreeingSubstrateCount": 7,
    "IsSubstrateContested": true
   },
   {
    "RulebookFieldId": "ReviewEvents.PromiseAndBehaviorDisagree",
    "TargetTable": "ReviewEvents",
    "FieldName": "PromiseAndBehaviorDisagree",
    "FieldType": "calculated",
    "Datatype": "boolean",
    "Formula": "=AND({{ExceedsPromisedCadence}}, NOT({{IsOverdue}}))",
    "InventedForQuestion": "q-steward-cadence-breach",
    "SemanticTypeIri": "urn:effortless:pko-extension#RulebookField",
    "Name": "ReviewEvents.PromiseAndBehaviorDisagree",
    "IsDerived": true,
    "IsWitness": true,
    "DisagreeingSubstrateCount": 0,
    "IsSubstrateContested": false
   },
   {
    "RulebookFieldId": "ReviewEvents.CadenceBreachVersionKey",
    "TargetTable": "ReviewEvents",
    "FieldName": "CadenceBreachVersionKey",
    "FieldType": "calculated",
    "Datatype": "string",
    "Formula": "=IF({{ExceedsPromisedCadence}}, {{ProcedureVersion}}, \"\")",
    "InventedForQuestion": "q2-steward-cadence-breach-is-unremediated",
    "SemanticTypeIri": "urn:effortless:pko-extension#RulebookField",
    "Name": "ReviewEvents.CadenceBreachVersionKey",
    "IsDerived": true,
    "IsWitness": true,
    "DisagreeingSubstrateCount": 0,
    "IsSubstrateContested": false
   },
   {
    "RulebookFieldId": "ReviewEvents.SemanticTypeIri",
    "TargetTable": "ReviewEvents",
    "FieldName": "SemanticTypeIri",
    "FieldType": "raw",
    "Datatype": "string",
    "Formula": null,
    "InventedForQuestion": null,
    "SemanticTypeIri": "urn:effortless:pko-extension#RulebookField",
    "Name": "ReviewEvents.SemanticTypeIri",
    "IsDerived": false,
    "IsWitness": false,
    "DisagreeingSubstrateCount": 0,
    "IsSubstrateContested": false
   },
   {
    "RulebookFieldId": "LearningActivities.LearningActivityId",
    "TargetTable": "LearningActivities",
    "FieldName": "LearningActivityId",
    "FieldType": "raw",
    "Datatype": "string",
    "Formula": null,
    "InventedForQuestion": null,
    "SemanticTypeIri": "urn:effortless:pko-extension#RulebookField",
    "Name": "LearningActivities.LearningActivityId",
    "IsDerived": false,
    "IsWitness": false,
    "DisagreeingSubstrateCount": 0,
    "IsSubstrateContested": false
   },
   {
    "RulebookFieldId": "LearningActivities.Name",
    "TargetTable": "LearningActivities",
    "FieldName": "Name",
    "FieldType": "calculated",
    "Datatype": "string",
    "Formula": "={{ActivityKind}} &amp; \" / \" &amp; {{OccurredAt}}",
    "InventedForQuestion": null,
    "SemanticTypeIri": "urn:effortless:pko-extension#RulebookField",
    "Name": "LearningActivities.Name",
    "IsDerived": true,
    "IsWitness": false,
    "DisagreeingSubstrateCount": 6,
    "IsSubstrateContested": true
   },
   {
    "RulebookFieldId": "LearningActivities.CommunityOfPractice",
    "TargetTable": "LearningActivities",
    "FieldName": "CommunityOfPractice",
    "FieldType": "relationship",
    "Datatype": "string",
    "Formula": null,
    "InventedForQuestion": null,
    "SemanticTypeIri": "urn:effortless:pko-extension#RulebookField",
    "Name": "LearningActivities.CommunityOfPractice",
    "IsDerived": false,
    "IsWitness": false,
    "DisagreeingSubstrateCount": 0,
    "IsSubstrateContested": false
   },
   {
    "RulebookFieldId": "LearningActivities.ProcedureVersion",
    "TargetTable": "LearningActivities",
    "FieldName": "ProcedureVersion",
    "FieldType": "relationship",
    "Datatype": "string",
    "Formula": null,
    "InventedForQuestion": null,
    "SemanticTypeIri": "urn:effortless:pko-extension#RulebookField",
    "Name": "LearningActivities.ProcedureVersion",
    "IsDerived": false,
    "IsWitness": false,
    "DisagreeingSubstrateCount": 0,
    "IsSubstrateContested": false
   },
   {
    "RulebookFieldId": "LearningActivities.ActivityKind",
    "TargetTable": "LearningActivities",
    "FieldName": "ActivityKind",
    "FieldType": "raw",
    "Datatype": "string",
    "Formula": null,
    "InventedForQuestion": null,
    "SemanticTypeIri": "urn:effortless:pko-extension#RulebookField",
    "Name": "LearningActivities.ActivityKind",
    "IsDerived": false,
    "IsWitness": false,
    "DisagreeingSubstrateCount": 0,
    "IsSubstrateContested": false
   },
   {
    "RulebookFieldId": "LearningActivities.OccurredAt",
    "TargetTable": "LearningActivities",
    "FieldName": "OccurredAt",
    "FieldType": "raw",
    "Datatype": "datetime",
    "Formula": null,
    "InventedForQuestion": null,
    "SemanticTypeIri": "urn:effortless:pko-extension#RulebookField",
    "Name": "LearningActivities.OccurredAt",
    "IsDerived": false,
    "IsWitness": false,
    "DisagreeingSubstrateCount": 0,
    "IsSubstrateContested": false
   },
   {
    "RulebookFieldId": "LearningActivities.FacilitatorAgent",
    "TargetTable": "LearningActivities",
    "FieldName": "FacilitatorAgent",
    "FieldType": "relationship",
    "Datatype": "string",
    "Formula": null,
    "InventedForQuestion": null,
    "SemanticTypeIri": "urn:effortless:pko-extension#RulebookField",
    "Name": "LearningActivities.FacilitatorAgent",
    "IsDerived": false,
    "IsWitness": false,
    "DisagreeingSubstrateCount": 0,
    "IsSubstrateContested": false
   },
   {
    "RulebookFieldId": "LearningActivities.Outcome",
    "TargetTable": "LearningActivities",
    "FieldName": "Outcome",
    "FieldType": "raw",
    "Datatype": "string",
    "Formula": null,
    "InventedForQuestion": null,
    "SemanticTypeIri": "urn:effortless:pko-extension#RulebookField",
    "Name": "LearningActivities.Outcome",
    "IsDerived": false,
    "IsWitness": false,
    "DisagreeingSubstrateCount": 0,
    "IsSubstrateContested": false
   },
   {
    "RulebookFieldId": "LearningActivities.EvidenceResource",
    "TargetTable": "LearningActivities",
    "FieldName": "EvidenceResource",
    "FieldType": "relationship",
    "Datatype": "string",
    "Formula": null,
    "InventedForQuestion": null,
    "SemanticTypeIri": "urn:effortless:pko-extension#RulebookField",
    "Name": "LearningActivities.EvidenceResource",
    "IsDerived": false,
    "IsWitness": false,
    "DisagreeingSubstrateCount": 0,
    "IsSubstrateContested": false
   },
   {
    "RulebookFieldId": "LearningActivities.SemanticTypeIri",
    "TargetTable": "LearningActivities",
    "FieldName": "SemanticTypeIri",
    "FieldType": "raw",
    "Datatype": "string",
    "Formula": null,
    "InventedForQuestion": null,
    "SemanticTypeIri": "urn:effortless:pko-extension#RulebookField",
    "Name": "LearningActivities.SemanticTypeIri",
    "IsDerived": false,
    "IsWitness": false,
    "DisagreeingSubstrateCount": 0,
    "IsSubstrateContested": false
   },
   {
    "RulebookFieldId": "OperationalBindings.OperationalBindingId",
    "TargetTable": "OperationalBindings",
    "FieldName": "OperationalBindingId",
    "FieldType": "raw",
    "Datatype": "string",
    "Formula": null,
    "InventedForQuestion": null,
    "SemanticTypeIri": "urn:effortless:pko-extension#RulebookField",
    "Name": "OperationalBindings.OperationalBindingId",
    "IsDerived": false,
    "IsWitness": false,
    "DisagreeingSubstrateCount": 0,
    "IsSubstrateContested": false
   },
   {
    "RulebookFieldId": "OperationalBindings.Name",
    "TargetTable": "OperationalBindings",
    "FieldName": "Name",
    "FieldType": "calculated",
    "Datatype": "string",
    "Formula": "={{Step}} &amp; \" / \" &amp; {{RecordOrSchemaKey}}",
    "InventedForQuestion": null,
    "SemanticTypeIri": "urn:effortless:pko-extension#RulebookField",
    "Name": "OperationalBindings.Name",
    "IsDerived": true,
    "IsWitness": false,
    "DisagreeingSubstrateCount": 0,
    "IsSubstrateContested": false
   },
   {
    "RulebookFieldId": "OperationalBindings.ProcedureVersion",
    "TargetTable": "OperationalBindings",
    "FieldName": "ProcedureVersion",
    "FieldType": "relationship",
    "Datatype": "string",
    "Formula": null,
    "InventedForQuestion": null,
    "SemanticTypeIri": "urn:effortless:pko-extension#RulebookField",
    "Name": "OperationalBindings.ProcedureVersion",
    "IsDerived": false,
    "IsWitness": false,
    "DisagreeingSubstrateCount": 0,
    "IsSubstrateContested": false
   },
   {
    "RulebookFieldId": "OperationalBindings.Step",
    "TargetTable": "OperationalBindings",
    "FieldName": "Step",
    "FieldType": "relationship",
    "Datatype": "string",
    "Formula": null,
    "InventedForQuestion": null,
    "SemanticTypeIri": "urn:effortless:pko-extension#RulebookField",
    "Name": "OperationalBindings.Step",
    "IsDerived": false,
    "IsWitness": false,
    "DisagreeingSubstrateCount": 0,
    "IsSubstrateContested": false
   },
   {
    "RulebookFieldId": "OperationalBindings.Resource",
    "TargetTable": "OperationalBindings",
    "FieldName": "Resource",
    "FieldType": "relationship",
    "Datatype": "string",
    "Formula": null,
    "InventedForQuestion": null,
    "SemanticTypeIri": "urn:effortless:pko-extension#RulebookField",
    "Name": "OperationalBindings.Resource",
    "IsDerived": false,
    "IsWitness": false,
    "DisagreeingSubstrateCount": 0,
    "IsSubstrateContested": false
   },
   {
    "RulebookFieldId": "OperationalBindings.AccessMode",
    "TargetTable": "OperationalBindings",
    "FieldName": "AccessMode",
    "FieldType": "raw",
    "Datatype": "string",
    "Formula": null,
    "InventedForQuestion": null,
    "SemanticTypeIri": "urn:effortless:pko-extension#RulebookField",
    "Name": "OperationalBindings.AccessMode",
    "IsDerived": false,
    "IsWitness": false,
    "DisagreeingSubstrateCount": 0,
    "IsSubstrateContested": false
   },
   {
    "RulebookFieldId": "OperationalBindings.RecordOrSchemaKey",
    "TargetTable": "OperationalBindings",
    "FieldName": "RecordOrSchemaKey",
    "FieldType": "raw",
    "Datatype": "string",
    "Formula": null,
    "InventedForQuestion": null,
    "SemanticTypeIri": "urn:effortless:pko-extension#RulebookField",
    "Name": "OperationalBindings.RecordOrSchemaKey",
    "IsDerived": false,
    "IsWitness": false,
    "DisagreeingSubstrateCount": 0,
    "IsSubstrateContested": false
   },
   {
    "RulebookFieldId": "OperationalBindings.LastObservedAt",
    "TargetTable": "OperationalBindings",
    "FieldName": "LastObservedAt",
    "FieldType": "raw",
    "Datatype": "datetime",
    "Formula": null,
    "InventedForQuestion": null,
    "SemanticTypeIri": "urn:effortless:pko-extension#RulebookField",
    "Name": "OperationalBindings.LastObservedAt",
    "IsDerived": false,
    "IsWitness": false,
    "DisagreeingSubstrateCount": 0,
    "IsSubstrateContested": false
   },
   {
    "RulebookFieldId": "OperationalBindings.FreshnessSlaMinutes",
    "TargetTable": "OperationalBindings",
    "FieldName": "FreshnessSlaMinutes",
    "FieldType": "raw",
    "Datatype": "integer",
    "Formula": null,
    "InventedForQuestion": null,
    "SemanticTypeIri": "urn:effortless:pko-extension#RulebookField",
    "Name": "OperationalBindings.FreshnessSlaMinutes",
    "IsDerived": false,
    "IsWitness": false,
    "DisagreeingSubstrateCount": 0,
    "IsSubstrateContested": false
   },
   {
    "RulebookFieldId": "OperationalBindings.IsAuthoritative",
    "TargetTable": "OperationalBindings",
    "FieldName": "IsAuthoritative",
    "FieldType": "raw",
    "Datatype": "boolean",
    "Formula": null,
    "InventedForQuestion": null,
    "SemanticTypeIri": "urn:effortless:pko-extension#RulebookField",
    "Name": "OperationalBindings.IsAuthoritative",
    "IsDerived": false,
    "IsWitness": false,
    "DisagreeingSubstrateCount": 0,
    "IsSubstrateContested": false
 </t>
  </si>
  <si>
    <t xml:space="preserve">  },
   {
    "RulebookFieldId": "OperationalBindings.EvaluationContext",
    "TargetTable": "OperationalBindings",
    "FieldName": "EvaluationContext",
    "FieldType": "relationship",
    "Datatype": "string",
    "Formula": null,
    "InventedForQuestion": null,
    "SemanticTypeIri": "urn:effortless:pko-extension#RulebookField",
    "Name": "OperationalBindings.EvaluationContext",
    "IsDerived": false,
    "IsWitness": false,
    "DisagreeingSubstrateCount": 0,
    "IsSubstrateContested": false
   },
   {
    "RulebookFieldId": "OperationalBindings.AsOfInstant",
    "TargetTable": "OperationalBindings",
    "FieldName": "AsOfInstant",
    "FieldType": "lookup",
    "Datatype": "datetime",
    "Formula": "=INDEX(EvaluationContexts!{{AsOfInstant}}, MATCH({{EvaluationContext}}, EvaluationContexts!{{EvaluationContextId}}, 0))",
    "InventedForQuestion": null,
    "SemanticTypeIri": "urn:effortless:pko-extension#RulebookField",
    "Name": "OperationalBindings.AsOfInstant",
    "IsDerived": true,
    "IsWitness": false,
    "DisagreeingSubstrateCount": 1,
    "IsSubstrateContested": true
   },
   {
    "RulebookFieldId": "OperationalBindings.AgeMinutes",
    "TargetTable": "OperationalBindings",
    "FieldName": "AgeMinutes",
    "FieldType": "calculated",
    "Datatype": "integer",
    "Formula": "=DATETIME_DIFF({{AsOfInstant}}, {{LastObservedAt}}, \"minutes\")",
    "InventedForQuestion": null,
    "SemanticTypeIri": "urn:effortless:pko-extension#RulebookField",
    "Name": "OperationalBindings.AgeMinutes",
    "IsDerived": true,
    "IsWitness": false,
    "DisagreeingSubstrateCount": 2,
    "IsSubstrateContested": true
   },
   {
    "RulebookFieldId": "OperationalBindings.IsFresh",
    "TargetTable": "OperationalBindings",
    "FieldName": "IsFresh",
    "FieldType": "calculated",
    "Datatype": "boolean",
    "Formula": "={{AgeMinutes}} &lt;= {{FreshnessSlaMinutes}}",
    "InventedForQuestion": null,
    "SemanticTypeIri": "urn:effortless:pko-extension#RulebookField",
    "Name": "OperationalBindings.IsFresh",
    "IsDerived": true,
    "IsWitness": false,
    "DisagreeingSubstrateCount": 2,
    "IsSubstrateContested": true
   },
   {
    "RulebookFieldId": "OperationalBindings.StaleBindingStepKey",
    "TargetTable": "OperationalBindings",
    "FieldName": "StaleBindingStepKey",
    "FieldType": "calculated",
    "Datatype": "string",
    "Formula": "=IF(NOT({{IsFresh}}), {{Step}}, \"\")",
    "InventedForQuestion": "q-analyst-evidence-binding-stale",
    "SemanticTypeIri": "urn:effortless:pko-extension#RulebookField",
    "Name": "OperationalBindings.StaleBindingStepKey",
    "IsDerived": true,
    "IsWitness": true,
    "DisagreeingSubstrateCount": 2,
    "IsSubstrateContested": true
   },
   {
    "RulebookFieldId": "OperationalBindings.AuthoritativeStaleStepKey",
    "TargetTable": "OperationalBindings",
    "FieldName": "AuthoritativeStaleStepKey",
    "FieldType": "calculated",
    "Datatype": "string",
    "Formula": "=IF(AND(NOT({{IsFresh}}), {{IsAuthoritative}}), {{Step}}, \"\")",
    "InventedForQuestion": "q-analyst-evidence-binding-stale",
    "SemanticTypeIri": "urn:effortless:pko-extension#RulebookField",
    "Name": "OperationalBindings.AuthoritativeStaleStepKey",
    "IsDerived": true,
    "IsWitness": true,
    "DisagreeingSubstrateCount": 2,
    "IsSubstrateContested": true
   },
   {
    "RulebookFieldId": "OperationalBindings.IsStaleAndAuthoritative",
    "TargetTable": "OperationalBindings",
    "FieldName": "IsStaleAndAuthoritative",
    "FieldType": "calculated",
    "Datatype": "boolean",
    "Formula": "=AND({{IsAuthoritative}}, NOT({{IsFresh}}))",
    "InventedForQuestion": "q-close-auto-input-freshness",
    "SemanticTypeIri": "urn:effortless:pko-extension#RulebookField",
    "Name": "OperationalBindings.IsStaleAndAuthoritative",
    "IsDerived": true,
    "IsWitness": true,
    "DisagreeingSubstrateCount": 2,
    "IsSubstrateContested": true
   },
   {
    "RulebookFieldId": "OperationalBindings.StepWhenStale",
    "TargetTable": "OperationalBindings",
    "FieldName": "StepWhenStale",
    "FieldType": "calculated",
    "Datatype": "string",
    "Formula": "=IF({{IsStaleAndAuthoritative}}, {{Step}}, \"\")",
    "InventedForQuestion": "q-close-auto-input-freshness",
    "SemanticTypeIri": "urn:effortless:pko-extension#RulebookField",
    "Name": "OperationalBindings.StepWhenStale",
    "IsDerived": true,
    "IsWitness": true,
    "DisagreeingSubstrateCount": 2,
    "IsSubstrateContested": true
   },
   {
    "RulebookFieldId": "OperationalBindings.ResourceIsApproved",
    "TargetTable": "OperationalBindings",
    "FieldName": "ResourceIsApproved",
    "FieldType": "lookup",
    "Datatype": "boolean",
    "Formula": "=INDEX(Resources!{{IsApprovedSource}}, MATCH({{Resource}}, Resources!{{ResourceId}}, 0))",
    "InventedForQuestion": "q-policy-ai-source-approval",
    "SemanticTypeIri": "urn:effortless:pko-extension#RulebookField",
    "Name": "OperationalBindings.ResourceIsApproved",
    "IsDerived": true,
    "IsWitness": true,
    "DisagreeingSubstrateCount": 0,
    "IsSubstrateContested": false
   },
   {
    "RulebookFieldId": "OperationalBindings.IsUsableForDrafting",
    "TargetTable": "OperationalBindings",
    "FieldName": "IsUsableForDrafting",
    "FieldType": "calculated",
    "Datatype": "boolean",
    "Formula": "=AND({{ResourceIsApproved}}, {{IsFresh}})",
    "InventedForQuestion": "q-policy-ai-source-approval",
    "SemanticTypeIri": "urn:effortless:pko-extension#RulebookField",
    "Name": "OperationalBindings.IsUsableForDrafting",
    "IsDerived": true,
    "IsWitness": true,
    "DisagreeingSubstrateCount": 1,
    "IsSubstrateContested": true
   },
   {
    "RulebookFieldId": "OperationalBindings.StepWhenUnusable",
    "TargetTable": "OperationalBindings",
    "FieldName": "StepWhenUnusable",
    "FieldType": "calculated",
    "Datatype": "string",
    "Formula": "=IF({{IsUsableForDrafting}}, \"\", {{Step}})",
    "InventedForQuestion": "q-policy-ai-source-approval",
    "SemanticTypeIri": "urn:effortless:pko-extension#RulebookField",
    "Name": "OperationalBindings.StepWhenUnusable",
    "IsDerived": true,
    "IsWitness": true,
    "DisagreeingSubstrateCount": 1,
    "IsSubstrateContested": true
   },
   {
    "RulebookFieldId": "OperationalBindings.SemanticTypeIri",
    "TargetTable": "OperationalBindings",
    "FieldName": "SemanticTypeIri",
    "FieldType": "raw",
    "Datatype": "string",
    "Formula": null,
    "InventedForQuestion": null,
    "SemanticTypeIri": "urn:effortless:pko-extension#RulebookField",
    "Name": "OperationalBindings.SemanticTypeIri",
    "IsDerived": false,
    "IsWitness": false,
    "DisagreeingSubstrateCount": 0,
    "IsSubstrateContested": false
   },
   {
    "RulebookFieldId": "CommunicationPolicies.CommunicationPolicyId",
    "TargetTable": "CommunicationPolicies",
    "FieldName": "CommunicationPolicyId",
    "FieldType": "raw",
    "Datatype": "string",
    "Formula": null,
    "InventedForQuestion": null,
    "SemanticTypeIri": "urn:effortless:pko-extension#RulebookField",
    "Name": "CommunicationPolicies.CommunicationPolicyId",
    "IsDerived": false,
    "IsWitness": false,
    "DisagreeingSubstrateCount": 0,
    "IsSubstrateContested": false
   },
   {
    "RulebookFieldId": "CommunicationPolicies.Name",
    "TargetTable": "CommunicationPolicies",
    "FieldName": "Name",
    "FieldType": "calculated",
    "Datatype": "string",
    "Formula": "={{Channel}} &amp; \" policy / \" &amp; {{ProcedureVersion}}",
    "InventedForQuestion": null,
    "SemanticTypeIri": "urn:effortless:pko-extension#RulebookField",
    "Name": "CommunicationPolicies.Name",
    "IsDerived": true,
    "IsWitness": false,
    "DisagreeingSubstrateCount": 0,
    "IsSubstrateContested": false
   },
   {
    "RulebookFieldId": "CommunicationPolicies.ProcedureVersion",
    "TargetTable": "CommunicationPolicies",
    "FieldName": "ProcedureVersion",
    "FieldType": "relationship",
    "Datatype": "string",
    "Formula": null,
    "InventedForQuestion": null,
    "SemanticTypeIri": "urn:effortless:pko-extension#RulebookField",
    "Name": "CommunicationPolicies.ProcedureVersion",
    "IsDerived": false,
    "IsWitness": false,
    "DisagreeingSubstrateCount": 0,
    "IsSubstrateContested": false
   },
   {
    "RulebookFieldId": "CommunicationPolicies.Channel",
    "TargetTable": "CommunicationPolicies",
    "FieldName": "Channel",
    "FieldType": "raw",
    "Datatype": "string",
    "Formula": null,
    "InventedForQuestion": null,
    "SemanticTypeIri": "urn:effortless:pko-extension#RulebookField",
    "Name": "CommunicationPolicies.Channel",
    "IsDerived": false,
    "IsWitness": false,
    "DisagreeingSubstrateCount": 0,
    "IsSubstrateContested": false
   },
   {
    "RulebookFieldId": "CommunicationPolicies.AudienceRule",
    "TargetTable": "CommunicationPolicies",
    "FieldName": "AudienceRule",
    "FieldType": "raw",
    "Datatype": "string",
    "Formula": null,
    "InventedForQuestion": null,
    "SemanticTypeIri": "urn:effortless:pko-extension#RulebookField",
    "Name": "CommunicationPolicies.AudienceRule",
    "IsDerived": false,
    "IsWitness": false,
    "DisagreeingSubstrateCount": 0,
    "IsSubstrateContested": false
   },
   {
    "RulebookFieldId": "CommunicationPolicies.ConsentRequired",
    "TargetTable": "CommunicationPolicies",
    "FieldName": "ConsentRequired",
    "FieldType": "raw",
    "Datatype": "boolean",
    "Formula": null,
    "InventedForQuestion": null,
    "SemanticTypeIri": "urn:effortless:pko-extension#RulebookField",
    "Name": "CommunicationPolicies.ConsentRequired",
    "IsDerived": false,
    "IsWitness": false,
    "DisagreeingSubstrateCount": 0,
    "IsSubstrateContested": false
   },
   {
    "RulebookFieldId": "CommunicationPolicies.QuietHoursStart",
    "TargetTable": "CommunicationPolicies",
    "FieldName": "QuietHoursStart",
    "FieldType": "raw",
    "Datatype": "string",
    "Formula": null,
    "InventedForQuestion": null,
    "SemanticTypeIri": "urn:effortless:pko-extension#RulebookField",
    "Name": "CommunicationPolicies.QuietHoursStart",
    "IsDerived": false,
    "IsWitness": false,
    "DisagreeingSubstrateCount": 0,
    "IsSubstrateContested": false
   },
   {
    "RulebookFieldId": "CommunicationPolicies.QuietHoursEnd",
    "TargetTable": "CommunicationPolicies",
    "FieldName": "QuietHoursEnd",
    "FieldType": "raw",
    "Datatype": "string",
    "Formula": null,
    "InventedForQuestion": null,
    "SemanticTypeIri": "urn:effortless:pko-extension#RulebookField",
    "Name": "CommunicationPolicies.QuietHoursEnd",
    "IsDerived": false,
    "IsWitness": false,
    "DisagreeingSubstrateCount": 0,
    "IsSubstrateContested": false
   },
   {
    "RulebookFieldId": "CommunicationPolicies.MaxMessageLength",
    "TargetTable": "CommunicationPolicies",
    "FieldName": "MaxMessageLength",
    "FieldType": "raw",
    "Datatype": "integer",
    "Formula": null,
    "InventedForQuestion": null,
    "SemanticTypeIri": "urn:effortless:pko-extension#RulebookField",
    "Name": "CommunicationPolicies.MaxMessageLength",
    "IsDerived": false,
    "IsWitness": false,
    "DisagreeingSubstrateCount": 0,
    "IsSubstrateContested": false
   },
   {
    "RulebookFieldId": "CommunicationPolicies.MaxSegments",
    "TargetTable": "CommunicationPolicies",
    "FieldName": "MaxSegments",
    "FieldType": "raw",
    "Datatype": "integer",
    "Formula": null,
    "InventedForQuestion": null,
    "SemanticTypeIri": "urn:effortless:pko-extension#RulebookField",
    "Name": "CommunicationPolicies.MaxSegments",
    "IsDerived": false,
    "IsWitness": false,
    "DisagreeingSubstrateCount": 0,
    "IsSubstrateContested": false
   },
   {
    "RulebookFieldId": "CommunicationPolicies.RetentionDays",
    "TargetTable": "CommunicationPolicies",
    "FieldName": "RetentionDays",
    "FieldType": "raw",
    "Datatype": "integer",
    "Formula": null,
    "InventedForQuestion": null,
    "SemanticTypeIri": "urn:effortless:pko-extension#RulebookField",
    "Name": "CommunicationPolicies.RetentionDays",
    "IsDerived": false,
    "IsWitness": false,
    "DisagreeingSubstrateCount": 0,
    "IsSubstrateContested": false
   },
   {
    "RulebookFieldId": "CommunicationPolicies.ApprovalRole",
    "TargetTable": "CommunicationPolicies",
    "FieldName": "ApprovalRole",
    "FieldType": "relationship",
    "Datatype": "string",
    "Formula": null,
    "InventedForQuestion": null,
    "SemanticTypeIri": "urn:effortless:pko-extension#RulebookField",
    "Name": "CommunicationPolicies.ApprovalRole",
    "IsDerived": false,
    "IsWitness": false,
    "DisagreeingSubstrateCount": 0,
    "IsSubstrateContested": false
   },
   {
    "RulebookFieldId": "CommunicationPolicies.RequiredContent",
    "TargetTable": "CommunicationPolicies",
    "FieldName": "RequiredContent",
    "FieldType": "raw",
    "Datatype": "string",
    "Formula": null,
    "InventedForQuestion": null,
    "SemanticTypeIri": "urn:effortless:pko-extension#RulebookField",
    "Name": "CommunicationPolicies.RequiredContent",
    "IsDerived": false,
    "IsWitness": false,
    "DisagreeingSubstrateCount": 0,
    "IsSubstrateContested": false
   },
   {
    "RulebookFieldId": "CommunicationPolicies.AuthorityStatement",
    "TargetTable": "CommunicationPolicies",
    "FieldName": "AuthorityStatement",
    "FieldType": "raw",
    "Datatype": "string",
    "Formula": null,
    "InventedForQuestion": null,
    "SemanticTypeIri": "urn:effortless:pko-extension#RulebookField",
    "Name": "CommunicationPolicies.AuthorityStatement",
    "IsDerived": false,
    "IsWitness": false,
    "DisagreeingSubstrateCount": 0,
    "IsSubstrateContested": false
   },
   {
    "RulebookFieldId": "CommunicationPolicies.Status",
    "TargetTable": "CommunicationPolicies",
    "FieldName": "Status",
    "FieldType": "raw",
    "Datatype": "string",
    "Formula": null,
    "InventedForQuestion": null,
    "SemanticTypeIri": "urn:effortless:pko-extension#RulebookField",
    "Name": "CommunicationPolicies.Status",
    "IsDerived": false,
    "IsWitness": false,
    "DisagreeingSubstrateCount": 0,
    "IsSubstrateContested": false
   },
   {
    "RulebookFieldId": "CommunicationPolicies.ConsentViolationCount",
    "TargetTable": "CommunicationPolicies",
    "FieldName": "ConsentViolationCount",
    "FieldType": "aggregation",
    "Datatype": "number",
    "Formula": "=COUNTIFS(MessageDeliveries!{{PolicyChannel}}, {{CommunicationPolicyId}}, MessageDeliveries!{{IsConsentViolation}}, TRUE)",
    "InventedForQuestion": "q-counsel-sms-without-consent",
    "SemanticTypeIri": "urn:effortless:pko-extension#RulebookField",
    "Name": "CommunicationPolicies.ConsentViolationCount",
    "IsDerived": true,
    "IsWitness": true,
    "DisagreeingSubstrateCount": 0,
    "IsSubstrateContested": false
   },
   {
    "RulebookFieldId": "CommunicationPolicies.QuietHoursStartHour",
    "TargetTable": "CommunicationPolicies",
    "FieldName": "QuietHoursStartHour",
    "FieldType": "raw",
    "Datatype": "integer",
    "Formula": null,
    "InventedForQuestion": "q-counsel-quiet-hours-breach",
    "SemanticTypeIri": "urn:effortless:pko-extension#RulebookField",
    "Name": "CommunicationPolicies.QuietHoursStartHour",
    "IsDerived": false,
    "IsWitness": true,
    "DisagreeingSubstrateCount": 0,
    "IsSubstrateContested": false
   },
   {
    "RulebookFieldId": "CommunicationPolicies.QuietHoursEndHour",
    "TargetTable": "CommunicationPolicies",
    "FieldName": "QuietHoursEndHour",
    "FieldType": "raw",
    "Datatype": "integer",
    "Formula": null,
    "InventedForQuestion": "q-counsel-quiet-hours-breach",
    "SemanticTypeIri": "urn:effortless:pko-extension#RulebookField",
    "Name": "CommunicationPolicies.QuietHoursEndHour",
    "IsDerived": false,
    "IsWitness": true,
    "DisagreeingSubstrateCount": 0,
    "IsSubstrateContested": false
   },
   {
    "RulebookFieldId": "CommunicationPolicies.QuietHoursViolationCount",
    "TargetTable": "CommunicationPolicies",
    "FieldName": "QuietHoursViolationCount",
    "FieldType": "aggregation",
    "Datatype": "number",
    "Formula": "=COUNTIFS(MessageDeliveries!{{QuietHoursViolationPolicyKey}}, {{CommunicationPolicyId}})",
    "InventedForQuestion": "q-counsel-quiet-hours-breach",
    "SemanticTypeIri": "urn:effortless:pko-extension#RulebookField",
    "Name": "CommunicationPolicies.QuietHoursViolationCount",
    "IsDerived": true,
    "IsWitness": true,
    "DisagreeingSubstrateCount": 0,
    "IsSubstrateContested": false
   },
   {
    "RulebookFieldId": "CommunicationPolicies.RequiredOptOutPhrase",
    "TargetTable": "CommunicationPolicies",
    "FieldName": "RequiredOptOutPhrase",
    "FieldType": "raw",
    "Datatype": "string",
    "Formula": null,
    "InventedForQuestion": "q-comms-optout-present",
    "SemanticTypeIri": "urn:effortless:pko-extension#RulebookField",
    "Name": "CommunicationPolicies.RequiredOptOutPhrase",
    "IsDerived": false,
    "IsWitness": true,
    "DisagreeingSubstrateCount": 0,
    "IsSubstrateContested": false
   },
   {
    "RulebookFieldId": "CommunicationPolicies.IsActivePolicy",
    "TargetTable": "CommunicationPolicies",
    "FieldName": "IsActivePolicy",
    "FieldType": "calculated",
    "Datatype": "boolean",
    "Formula": "={{Status}} = \"Active\"",
    "InventedForQuestion": "q-publisher-may-i-transmit",
    "SemanticTypeIri": "urn:effortless:pko-extension#RulebookField",
    "Name": "CommunicationPolicies.IsActivePolicy",
    "IsDerived": true,
    "IsWitness": true,
    "DisagreeingSubstrateCount": 0,
    "IsSubstrateContested": false
   },
   {
    "RulebookFieldId": "CommunicationPolicies.SemanticTypeIri",
    "TargetTable": "CommunicationPolicies",
    "FieldName": "SemanticTypeIri",
    "FieldType": "raw",
    "Datatype": "string",
    "Formula": null,
    "InventedForQuestion": null,
    "SemanticTypeIri": "urn:effortless:pko-extension#RulebookField",
    "Name": "CommunicationPolicies.SemanticTypeIri",
    "IsDerived": false,
    "IsWitness": false,
    "DisagreeingSubstrateCount": 0,
    "IsSubstrateContested": false
   },
   {
    "RulebookFieldId": "MessageTemplates.MessageTemplateId",
    "TargetTable": "MessageTemplates",
    "FieldName": "MessageTemplateId",
    "FieldType": "raw",
    "Datatype": "string",
    "Formula": null,
    "InventedForQuestion": null,
    "SemanticTypeIri": "urn:effortless:pko-extension#RulebookField",
    "Name": "MessageTemplates.MessageTemplateId",
    "IsDerived": false,
    "IsWitness": false,
    "DisagreeingSubstrateCount": 0,
    "IsSubstrateContested": false
   },
   {
    "RulebookFieldId": "MessageTemplates.Name",
    "TargetTable": "MessageTemplates",
    "FieldName": "Name",
    "FieldType": "calculated",
    "Datatype": "string",
    "Formula": "={{CommunicationPolicy}} &amp; \" / \" &amp; {{Locale}}",
    "InventedForQuestion": null,
    "SemanticTypeIri": "urn:effortless:pko-extension#RulebookField",
    "Name": "MessageTemplates.Name",
    "IsDerived": true,
    "IsWitness": false,
    "DisagreeingSubstrateCount": 0,
    "IsSubstrateContested": false
   },
   {
    "RulebookFieldId": "MessageTemplates.CommunicationPolicy",
    "TargetTable": "MessageTemplates",
    "FieldName": "CommunicationPolicy",
    "FieldType": "relationship",
    "Datatype": "string",
    "Formula": null,
    "InventedForQuestion": null,
    "SemanticTypeIri": "urn:effortless:pko-extension#RulebookField",
    "Name": "MessageTemplates.CommunicationPolicy",
    "IsDerived": false,
    "IsWitness": false,
    "DisagreeingSubstrateCount": 0,
    "IsSubstrateContested": false
   },
   {
    "RulebookFieldId": "MessageTemplates.Resource",
    "TargetTable": "MessageTemplates",
    "FieldName": "Resource",
    "FieldType": "relationship",
    "Datatype": "string",
    "Formula": null,
    "InventedForQuestion": null,
    "SemanticTypeIri": "urn:effortless:pko-extension#RulebookField",
    "Name": "MessageTemplates.Resource",
    "IsDerived": false,
    "IsWitness": false,
    "DisagreeingSubstrateCount": 0,
    "IsSubstrateContested": false
   },
   {
    "RulebookFieldId": "MessageTemplates.SubjectTemplate",
    "TargetTable": "MessageTemplates",
    "FieldName": "SubjectTemplate",
    "FieldType": "raw",
    "Datatype": "string",
    "Formula": null,
    "InventedForQuestion": null,
    "SemanticTypeIri": "urn:effortless:pko-extension#RulebookField",
    "Name": "MessageTemplates.SubjectTemplate",
    "IsDerived": false,
    "IsWitness": false,
    "DisagreeingSubstrateCount": 0,
    "IsSubstrateContested": false
   },
   {
    "RulebookFieldId": "MessageTemplates.BodyTemplate",
    "TargetTable": "MessageTemplates",
    "FieldName": "BodyTemplate",
    "FieldType": "raw",
    "Datatype": "string",
    "Formula": null,
    "InventedForQuestion": null,
    "SemanticTypeIri": "urn:effortless:pko-extension#RulebookField",
    "Name": "MessageTemplates.BodyTemplate",
    "IsDerived": false,
    "IsWitness": false,
    "DisagreeingSubstrateCount": 0,
    "IsSubstrateContested": false
   },
   {
    "RulebookFieldId": "MessageTemplates.Locale",
    "TargetTable": "MessageTemplates",
    "FieldName": "Locale",
    "FieldType": "raw",
    "Datatype": "string",
    "Formula": null,
    "InventedForQuestion": null,
    "SemanticTypeIri": "urn:effortless:pko-extension#RulebookField",
    "Name": "MessageTemplates.Locale",
    "IsDerived": false,
    "IsWitness": false,
    "DisagreeingSubstrateCount": 0,
    "IsSubstrateContested": false
   },
   {
    "RulebookFieldId": "MessageTemplates.Status",
    "TargetTable": "MessageTemplates",
    "FieldName": "Status",
    "FieldType": "raw",
    "Datatype": "string",
    "Formula": null,
    "InventedForQuestion": null,
    "SemanticTypeIri": "urn:effortless:pko-extension#RulebookField",
    "Name": "MessageTemplates.Status",
    "IsDerived": false,
    "IsWitness": false,
    "DisagreeingSubstrateCount": 0,
    "IsSubstrateContested": false
   },
   {
    "RulebookFieldId": "MessageTemplates.PolicyMaxMessageLength",
    "TargetTable": "MessageTemplates",
    "FieldName": "PolicyMaxMessageLength",
    "FieldType": "lookup",
    "Datatype": "integer",
    "Formula": "=INDEX(CommunicationPolicies!{{MaxMessageLength}}, MATCH({{CommunicationPolicy}}, CommunicationPolicies!{{CommunicationPolicyId}}, 0))",
    "InventedForQuestion": "q-comms-oversized-sms",
    "SemanticTypeIri": "urn:effortless:pko-extension#RulebookField",
    "Name": "MessageTemplates.PolicyMaxMessageLength",
    "IsDerived": true,
    "IsWitness": true,
    "DisagreeingSubstrateCount": 0,
    "IsSubstrateContested": false
   },
   {
    "RulebookFieldId": "MessageTemplates.PolicyMaxSegments",
    "TargetTable": "MessageTemplates",
    "FieldName": "PolicyMaxSegments",
    "FieldType": "lookup",
    "Datatype": "integer",
    "Formula": "=INDEX(CommunicationPolicies!{{MaxSegments}}, MATCH({{CommunicationPolicy}}, CommunicationPolicies!{{CommunicationPolicyId}}, 0))",
    "InventedForQuestion": "q-comms-oversized-sms",
    "SemanticTypeIri": "urn:effortless:pko-extension#RulebookField",
    "Name": "MessageTemplates.PolicyMaxSegments",
    "IsDerived": true,
    "IsWitness": true,
    "DisagreeingSubstrateCount": 0,
    "IsSubstrateContested": false
   },
   {
    "RulebookFieldId": "MessageTemplates.BodyTemplateLength",
    "TargetTable": "MessageTemplates",
    "FieldName": "BodyTemplateLength",
    "FieldType": "calculated",
    "Datatype": "integer",
    "Formula": "=LEN({{BodyTemplate}})",
    "InventedForQuestion": "q-comms-oversized-sms",
    "SemanticTypeIri": "urn:effortless:pko-extension#RulebookField",
    "Name": "MessageTemplates.BodyTemplateLength",
    "IsDerived": true,
    "IsWitness": true,
    "DisagreeingSubstrateCount": 0,
    "IsSubstrateContested": false
   },
   {
    "RulebookFieldId": "MessageTemplates.IsTemplateOverLength",
    "TargetTable": "MessageTemplates",
    "FieldName": "IsTemplateOverLength",
    "FieldType": "calculated",
    "Datatype": "boolean",
    "Formula": "={{BodyTemplateLength}} &gt; {{PolicyMaxMessageLength}}",
    "InventedForQuestion": "q-comms-oversized-sms",
    "SemanticTypeIri": "urn:effortless:pko-extension#RulebookField",
    "Name": "MessageTemplates.IsTemplateOverLength",
    "IsDerived": true,
    "IsWitness": true,
    "DisagreeingSubstrateCount": 0,
    "IsSubstrateContested": false
   },
   {
    "RulebookFieldId": "MessageTemplates.ValidApprovalCount",
    "TargetTable": "MessageTemplates",
    "FieldName": "ValidApprovalCount",
    "FieldType": "aggregation",
    "Datatype": "number",
    "Formula": "=COUNTIFS(TemplateApprovals!{{ValidApprovalTemplateKey}}, {{MessageTemplateId}})",
    "InventedForQuestion": "q-comms-approval-authority",
    "SemanticTypeIri": "urn:effortless:pko-extension#RulebookField",
    "Name": "MessageTemplates.ValidApprovalCount",
    "IsDerived": true,
    "IsWitness": true,
    "DisagreeingSubstrateCount": 0,
    "IsSubstrateContested": false
   },
   {
    "RulebookFieldId": "MessageTemplates.HasValidApproval",
    "TargetTable": "MessageTemplates",
    "FieldName": "HasValidApproval",
    "FieldType": "calculated",
    "Datatype": "boolean",
    "Formula": "={{ValidApprovalCount}} &gt; 0",
    "InventedForQuestion": "q-comms-approval-authority",
    "SemanticTypeIri": "urn:effortless:pko-extension#RulebookField",
    "Name": "MessageTemplates.HasValidApproval",
    "IsDerived": true,
    "IsWitness": true,
    "DisagreeingSubstrateCount": 0,
    "IsSubstrateContested": false
   },
   {
    "RulebookFieldId": "MessageTemplates.IsClaimingUnbackedApproval",
    "TargetTable": "MessageTemplates",
    "FieldName": "IsClaimingUnbackedApproval",
    "FieldType": "calculated",
    "Datatype": "boolean",
    "Formula": "=AND({{Status}} = \"Approved\", NOT({{HasValidApproval}}))",
    "InventedForQuestion": "q-comms-approval-authority",
    "SemanticTypeIri": "urn:effortless:pko-extension#RulebookField",
    "Name": "MessageTemplates.IsClaimingUnbackedApproval",
    "IsDerived": true,
    "IsWitness": true,
    "DisagreeingSubstrateCount": 0,
    "IsSubstrateContested": false
   },
   {
    "RulebookFieldId": "MessageTemplates.CurrentBodyHash",
    "TargetTable": "MessageTemplates",
    "FieldName": "CurrentBodyHash",
    "FieldType": "raw",
    "Datatype": "string",
    "Formula": null,
    "InventedForQuestion": "q-comms-template-drift",
    "SemanticTypeIri": "urn:effortless:pko-extension#RulebookField",
    "Name": "MessageTemplates.CurrentBodyHash",
    "IsDerived": false,
    "IsWitness": true,
    "DisagreeingSubstrateCount": 0,
    "IsSubstrateContested": false
   },
   {
    "RulebookFieldId": "MessageTemplates.LastApprovedBodyHash",
    "TargetTable": "MessageTemplates",
    "FieldName": "LastApprovedBodyHash",
    "FieldType": "lookup",
    "Datatype": "string",
    "Formula": "=INDEX(TemplateApprovals!{{ApprovedBodyHash}}, MATCH({{LastValidApproval}}, TemplateApprovals!{{TemplateApprovalId}}, 0))",
    "InventedForQuestion": "q-comms-template-drift",
    "SemanticTypeIri": "urn:effortless:pko-extension#RulebookField",
    "Name": "MessageTemplates.LastApprovedBodyHash",
    "IsDerived": true,
    "IsWitness": true,
    "DisagreeingSubstrateCount": 0,
    "IsSubstrateContested": false
   },
   {
    "RulebookFieldId": "MessageTemplates.LastValidApproval",
    "TargetTable": "MessageTemplates",
    "FieldName": "LastValidApproval",
    "FieldType": "raw",
    "Datatype": "string",
    "Formula": null,
    "InventedForQuestion": "q-comms-template-drift",
    "SemanticTypeIri": "urn:effortless:pko-extension#RulebookField",
    "Name": "MessageTemplates.LastValidApproval",
    "IsDerived": false,
    "IsWitness": true,
    "DisagreeingSubstrateCount": 0,
    "IsSubstrateContested": false
   },
   {
    "RulebookFieldId": "MessageTemplates.HasBodyDrifted",
    "TargetTable": "MessageTemplates",
    "FieldName": "HasBodyDrifted",
    "FieldType": "calculated",
    "Datatype": "boolean",
    "Formula": "=AND({{LastApprovedBodyHash}} &lt;&gt; \"\", {{CurrentBodyHash}} &lt;&gt; {{LastApprovedBodyHash}})",
    "InventedForQuestion": "q-comms-template-drift",
    "SemanticTypeIri": "urn:effortless:pko-extension#RulebookField",
    "Name": "MessageTemplates.HasBodyDrifted",
    "IsDerived": true,
    "IsWitness": true,
    "DisagreeingSubstrateCount": 0,
    "IsSubstrateContested": false
   },
   {
    "RulebookFieldId": "MessageTemplates.IsSendableUnderApproval",
    "TargetTable": "MessageTemplates",
    "FieldName": "IsSendableUnderApproval",
    "FieldType": "calculated",
    "Datatype": "boolean",
    "Formula": "=AND({{Status}} = \"Approved\", AND({{HasValidApproval}}, NOT({{HasBodyDrifted}})))",
    "InventedForQuestion": "q-comms-template-drift",
    "SemanticTypeIri": "urn:effortless:pko-extension#RulebookField",
    "Name": "MessageTemplates.IsSendableUnderApproval",
    "IsDerived": true,
    "IsWitness": true,
    "DisagreeingSubstrateCount": 0,
    "IsSubstrateContested": false
   },
   {
    "RulebookFieldId": "MessageTemplates.DriftedSendCount",
    "TargetTable": "MessageTemplates",
    "FieldName": "DriftedSendCount",
    "FieldType": "aggregation",
    "Datatype": "number",
    "Formula": "=COUNTIFS(MessageDeliveries!{{DriftedSendTemplateKey}}, {{MessageTemplateId}})",
    "InventedForQuestion": "q-comms-template-drift",
    "SemanticTypeIri": "urn:effortless:pko-extension#RulebookField",
    "Name": "MessageTemplates.DriftedSendCount",
    "IsDerived": true,
    "IsWitness": true,
    "DisagreeingSubstrateCount": 0,
    "IsSubstrateContested": false
   },
   {
    "RulebookFieldId": "MessageTemplates.UnansweredDeliveryCount",
    "TargetTable": "MessageTemplates",
    "FieldName": "UnansweredDeliveryCount",
    "FieldType": "aggregation",
    "Datatype": "number",
    "Formula": "=COUNTIFS(MessageDeliveries!{{UnansweredTemplateKey}}, {{MessageTemplateId}})",
    "InventedForQuestion": "q2-comms-message-nobody-answered",
    "SemanticTypeIri": "urn:effortless:pko-extension#RulebookField",
    "Name": "MessageTemplates.UnansweredDeliveryCount",
    "IsDerived": true,
    "IsWitness": true,
    "DisagreeingSubstrateCount": 0,
    "IsSubstrateContested": false
   },
   {
    "RulebookFieldId": "MessageTemplates.TransmittedDeliveryCount",
    "TargetTable": "MessageTemplates",
    "FieldName": "TransmittedDeliveryCount",
    "FieldType": "aggregation",
    "Datatype": "number",
    "Formula": "=COUNTIFS(MessageDeliveries!{{TransmittedTemplateKey}}, {{MessageTemplateId}})",
    "InventedForQuestion": "q2-comms-message-nobody-answered",
    "SemanticTypeIri": "urn:effortless:pko-extension#RulebookField",
    "Name": "MessageTemplates.TransmittedDeliveryCount",
    "IsDerived": true,
    "IsWitness": true,
    "DisagreeingSubstrateCount": 0,
    "IsSubstrateContested": false
   },
   {
    "RulebookFieldId": "MessageTemplates.TemplateDrawsNoResponse",
    "TargetTable": "MessageTemplates",
    "FieldName": "TemplateDrawsNoResponse",
    "FieldType": "calculated",
    "Datatype": "boolean",
    "Formula": "=AND({{TransmittedDeliveryCount}} &gt; 0, {{UnansweredDeliveryCount}} = {{TransmittedDeliveryCount}})",
    "InventedForQuestion": "q2-comms-message-nobody-answered",
    "SemanticTypeIri": "urn:effortless:pko-extension#RulebookField",
    "Name": "MessageTemplates.TemplateDrawsNoResponse",
    "IsDerived": true,
    "IsWitness": true,
    "DisagreeingSubstrateCount": 0,
    "IsSubstrateContested": false
   },
   {
    "RulebookFieldId": "MessageTemplates.LastApprovalAt",
    "TargetTable": "MessageTemplates",
    "FieldName": "LastApprovalAt",
    "FieldType": "lookup",
    "Datatype": "datetime",
    "Formula": "=INDEX(TemplateApprovals!{{DecidedAt}}, MATCH({{LastValidApproval}}, TemplateApprovals!{{TemplateApprovalId}}, 0))",
    "InventedForQuestion": "q2-comms-freeze-what-i-approved",
    "SemanticTypeIri": "urn:effortless:pko-extension#RulebookField",
    "Name": "MessageTemplates.LastApprovalAt",
    "IsDerived": true,
    "IsWitness": true,
    "DisagreeingSubstrateCount": 1,
    "IsSubstrateContested": true
   },
   {
    "RulebookFieldId": "MessageTemplates.SemanticTypeIri",
    "TargetTable": "MessageTemplates",
    "FieldName": "SemanticTypeIri",
    "FieldType": "raw",
    "Datatype": "string",
    "Formula": null,
    "InventedForQuestion": null,
    "SemanticTypeIri": "urn:effortless:pko-extension#RulebookField",
    "Name": "MessageTemplates.SemanticTypeIri",
    "IsDerived": false,
    "IsWitness": false,
    "DisagreeingSubstrateCount": 0,
    "IsSubstrateContested": false
   },
   {
    "RulebookFieldId": "SemanticMappings.SemanticMappingId",
    "TargetTable": "SemanticMappings",
    "FieldName": "SemanticMapp</t>
  </si>
  <si>
    <t xml:space="preserve">ingId",
    "FieldType": "raw",
    "Datatype": "string",
    "Formula": null,
    "InventedForQuestion": null,
    "SemanticTypeIri": "urn:effortless:pko-extension#RulebookField",
    "Name": "SemanticMappings.SemanticMappingId",
    "IsDerived": false,
    "IsWitness": false,
    "DisagreeingSubstrateCount": 0,
    "IsSubstrateContested": false
   },
   {
    "RulebookFieldId": "SemanticMappings.Name",
    "TargetTable": "SemanticMappings",
    "FieldName": "Name",
    "FieldType": "calculated",
    "Datatype": "string",
    "Formula": "={{SourcePath}} &amp; \" -&gt; \" &amp; {{TargetIri}}",
    "InventedForQuestion": null,
    "SemanticTypeIri": "urn:effortless:pko-extension#RulebookField",
    "Name": "SemanticMappings.Name",
    "IsDerived": true,
    "IsWitness": false,
    "DisagreeingSubstrateCount": 0,
    "IsSubstrateContested": false
   },
   {
    "RulebookFieldId": "SemanticMappings.SourcePath",
    "TargetTable": "SemanticMappings",
    "FieldName": "SourcePath",
    "FieldType": "raw",
    "Datatype": "string",
    "Formula": null,
    "InventedForQuestion": null,
    "SemanticTypeIri": "urn:effortless:pko-extension#RulebookField",
    "Name": "SemanticMappings.SourcePath",
    "IsDerived": false,
    "IsWitness": false,
    "DisagreeingSubstrateCount": 0,
    "IsSubstrateContested": false
   },
   {
    "RulebookFieldId": "SemanticMappings.MappingKind",
    "TargetTable": "SemanticMappings",
    "FieldName": "MappingKind",
    "FieldType": "raw",
    "Datatype": "string",
    "Formula": null,
    "InventedForQuestion": null,
    "SemanticTypeIri": "urn:effortless:pko-extension#RulebookField",
    "Name": "SemanticMappings.MappingKind",
    "IsDerived": false,
    "IsWitness": false,
    "DisagreeingSubstrateCount": 0,
    "IsSubstrateContested": false
   },
   {
    "RulebookFieldId": "SemanticMappings.TargetIri",
    "TargetTable": "SemanticMappings",
    "FieldName": "TargetIri",
    "FieldType": "raw",
    "Datatype": "string",
    "Formula": null,
    "InventedForQuestion": null,
    "SemanticTypeIri": "urn:effortless:pko-extension#RulebookField",
    "Name": "SemanticMappings.TargetIri",
    "IsDerived": false,
    "IsWitness": false,
    "DisagreeingSubstrateCount": 0,
    "IsSubstrateContested": false
   },
   {
    "RulebookFieldId": "SemanticMappings.MappingRelation",
    "TargetTable": "SemanticMappings",
    "FieldName": "MappingRelation",
    "FieldType": "raw",
    "Datatype": "string",
    "Formula": null,
    "InventedForQuestion": null,
    "SemanticTypeIri": "urn:effortless:pko-extension#RulebookField",
    "Name": "SemanticMappings.MappingRelation",
    "IsDerived": false,
    "IsWitness": false,
    "DisagreeingSubstrateCount": 0,
    "IsSubstrateContested": false
   },
   {
    "RulebookFieldId": "SemanticMappings.OntologyProfile",
    "TargetTable": "SemanticMappings",
    "FieldName": "OntologyProfile",
    "FieldType": "relationship",
    "Datatype": "string",
    "Formula": null,
    "InventedForQuestion": null,
    "SemanticTypeIri": "urn:effortless:pko-extension#RulebookField",
    "Name": "SemanticMappings.OntologyProfile",
    "IsDerived": false,
    "IsWitness": false,
    "DisagreeingSubstrateCount": 0,
    "IsSubstrateContested": false
   },
   {
    "RulebookFieldId": "SemanticMappings.Notes",
    "TargetTable": "SemanticMappings",
    "FieldName": "Notes",
    "FieldType": "raw",
    "Datatype": "string",
    "Formula": null,
    "InventedForQuestion": null,
    "SemanticTypeIri": "urn:effortless:pko-extension#RulebookField",
    "Name": "SemanticMappings.Notes",
    "IsDerived": false,
    "IsWitness": false,
    "DisagreeingSubstrateCount": 0,
    "IsSubstrateContested": false
   },
   {
    "RulebookFieldId": "WitnessLoops.WitnessLoopId",
    "TargetTable": "WitnessLoops",
    "FieldName": "WitnessLoopId",
    "FieldType": "raw",
    "Datatype": "string",
    "Formula": null,
    "InventedForQuestion": null,
    "SemanticTypeIri": "urn:effortless:pko-extension#RulebookField",
    "Name": "WitnessLoops.WitnessLoopId",
    "IsDerived": false,
    "IsWitness": false,
    "DisagreeingSubstrateCount": 0,
    "IsSubstrateContested": false
   },
   {
    "RulebookFieldId": "WitnessLoops.Name",
    "TargetTable": "WitnessLoops",
    "FieldName": "Name",
    "FieldType": "calculated",
    "Datatype": "string",
    "Formula": "=\"Loop \" &amp; {{LoopNumber}} &amp; \": \" &amp; {{Title}}",
    "InventedForQuestion": null,
    "SemanticTypeIri": "urn:effortless:pko-extension#RulebookField",
    "Name": "WitnessLoops.Name",
    "IsDerived": true,
    "IsWitness": false,
    "DisagreeingSubstrateCount": 0,
    "IsSubstrateContested": false
   },
   {
    "RulebookFieldId": "WitnessLoops.LoopNumber",
    "TargetTable": "WitnessLoops",
    "FieldName": "LoopNumber",
    "FieldType": "raw",
    "Datatype": "number",
    "Formula": null,
    "InventedForQuestion": null,
    "SemanticTypeIri": "urn:effortless:pko-extension#RulebookField",
    "Name": "WitnessLoops.LoopNumber",
    "IsDerived": false,
    "IsWitness": false,
    "DisagreeingSubstrateCount": 0,
    "IsSubstrateContested": false
   },
   {
    "RulebookFieldId": "WitnessLoops.Title",
    "TargetTable": "WitnessLoops",
    "FieldName": "Title",
    "FieldType": "raw",
    "Datatype": "string",
    "Formula": null,
    "InventedForQuestion": null,
    "SemanticTypeIri": "urn:effortless:pko-extension#RulebookField",
    "Name": "WitnessLoops.Title",
    "IsDerived": false,
    "IsWitness": false,
    "DisagreeingSubstrateCount": 0,
    "IsSubstrateContested": false
   },
   {
    "RulebookFieldId": "WitnessLoops.Premise",
    "TargetTable": "WitnessLoops",
    "FieldName": "Premise",
    "FieldType": "raw",
    "Datatype": "string",
    "Formula": null,
    "InventedForQuestion": null,
    "SemanticTypeIri": "urn:effortless:pko-extension#RulebookField",
    "Name": "WitnessLoops.Premise",
    "IsDerived": false,
    "IsWitness": false,
    "DisagreeingSubstrateCount": 0,
    "IsSubstrateContested": false
   },
   {
    "RulebookFieldId": "WitnessLoops.StartedAt",
    "TargetTable": "WitnessLoops",
    "FieldName": "StartedAt",
    "FieldType": "raw",
    "Datatype": "datetime",
    "Formula": null,
    "InventedForQuestion": null,
    "SemanticTypeIri": "urn:effortless:pko-extension#RulebookField",
    "Name": "WitnessLoops.StartedAt",
    "IsDerived": false,
    "IsWitness": false,
    "DisagreeingSubstrateCount": 0,
    "IsSubstrateContested": false
   },
   {
    "RulebookFieldId": "WitnessLoops.CompletedAt",
    "TargetTable": "WitnessLoops",
    "FieldName": "CompletedAt",
    "FieldType": "raw",
    "Datatype": "datetime",
    "Formula": null,
    "InventedForQuestion": null,
    "SemanticTypeIri": "urn:effortless:pko-extension#RulebookField",
    "Name": "WitnessLoops.CompletedAt",
    "IsDerived": false,
    "IsWitness": false,
    "DisagreeingSubstrateCount": 0,
    "IsSubstrateContested": false
   },
   {
    "RulebookFieldId": "WitnessLoops.QuestionCount",
    "TargetTable": "WitnessLoops",
    "FieldName": "QuestionCount",
    "FieldType": "aggregation",
    "Datatype": "number",
    "Formula": "=COUNTIFS(RoleQuestions!{{WitnessLoop}}, {{WitnessLoopId}})",
    "InventedForQuestion": null,
    "SemanticTypeIri": "urn:effortless:pko-extension#RulebookField",
    "Name": "WitnessLoops.QuestionCount",
    "IsDerived": true,
    "IsWitness": false,
    "DisagreeingSubstrateCount": 0,
    "IsSubstrateContested": false
   },
   {
    "RulebookFieldId": "WitnessLoops.IsComplete",
    "TargetTable": "WitnessLoops",
    "FieldName": "IsComplete",
    "FieldType": "calculated",
    "Datatype": "boolean",
    "Formula": "={{CompletedAt}} &lt;&gt; \"\"",
    "InventedForQuestion": null,
    "SemanticTypeIri": "urn:effortless:pko-extension#RulebookField",
    "Name": "WitnessLoops.IsComplete",
    "IsDerived": true,
    "IsWitness": false,
    "DisagreeingSubstrateCount": 0,
    "IsSubstrateContested": false
   },
   {
    "RulebookFieldId": "WitnessLoops.FieldsAfter",
    "TargetTable": "WitnessLoops",
    "FieldName": "FieldsAfter",
    "FieldType": "raw",
    "Datatype": "number",
    "Formula": null,
    "InventedForQuestion": null,
    "SemanticTypeIri": "urn:effortless:pko-extension#RulebookField",
    "Name": "WitnessLoops.FieldsAfter",
    "IsDerived": false,
    "IsWitness": false,
    "DisagreeingSubstrateCount": 0,
    "IsSubstrateContested": false
   },
   {
    "RulebookFieldId": "WitnessLoops.DerivedAfter",
    "TargetTable": "WitnessLoops",
    "FieldName": "DerivedAfter",
    "FieldType": "raw",
    "Datatype": "number",
    "Formula": null,
    "InventedForQuestion": null,
    "SemanticTypeIri": "urn:effortless:pko-extension#RulebookField",
    "Name": "WitnessLoops.DerivedAfter",
    "IsDerived": false,
    "IsWitness": false,
    "DisagreeingSubstrateCount": 0,
    "IsSubstrateContested": false
   },
   {
    "RulebookFieldId": "WitnessLoops.WitnessedAfter",
    "TargetTable": "WitnessLoops",
    "FieldName": "WitnessedAfter",
    "FieldType": "raw",
    "Datatype": "number",
    "Formula": null,
    "InventedForQuestion": null,
    "SemanticTypeIri": "urn:effortless:pko-extension#RulebookField",
    "Name": "WitnessLoops.WitnessedAfter",
    "IsDerived": false,
    "IsWitness": false,
    "DisagreeingSubstrateCount": 0,
    "IsSubstrateContested": false
   },
   {
    "RulebookFieldId": "WitnessLoops.SemanticTypeIri",
    "TargetTable": "WitnessLoops",
    "FieldName": "SemanticTypeIri",
    "FieldType": "raw",
    "Datatype": "string",
    "Formula": null,
    "InventedForQuestion": null,
    "SemanticTypeIri": "urn:effortless:pko-extension#RulebookField",
    "Name": "WitnessLoops.SemanticTypeIri",
    "IsDerived": false,
    "IsWitness": false,
    "DisagreeingSubstrateCount": 0,
    "IsSubstrateContested": false
   },
   {
    "RulebookFieldId": "RoleQuestions.RoleQuestionId",
    "TargetTable": "RoleQuestions",
    "FieldName": "RoleQuestionId",
    "FieldType": "raw",
    "Datatype": "string",
    "Formula": null,
    "InventedForQuestion": null,
    "SemanticTypeIri": "urn:effortless:pko-extension#RulebookField",
    "Name": "RoleQuestions.RoleQuestionId",
    "IsDerived": false,
    "IsWitness": false,
    "DisagreeingSubstrateCount": 0,
    "IsSubstrateContested": false
   },
   {
    "RulebookFieldId": "RoleQuestions.Name",
    "TargetTable": "RoleQuestions",
    "FieldName": "Name",
    "FieldType": "calculated",
    "Datatype": "string",
    "Formula": "={{AskingRole}} &amp; \": \" &amp; LEFT({{QuestionText}}, 60)",
    "InventedForQuestion": null,
    "SemanticTypeIri": "urn:effortless:pko-extension#RulebookField",
    "Name": "RoleQuestions.Name",
    "IsDerived": true,
    "IsWitness": false,
    "DisagreeingSubstrateCount": 0,
    "IsSubstrateContested": false
   },
   {
    "RulebookFieldId": "RoleQuestions.AskingRole",
    "TargetTable": "RoleQuestions",
    "FieldName": "AskingRole",
    "FieldType": "relationship",
    "Datatype": "string",
    "Formula": null,
    "InventedForQuestion": null,
    "SemanticTypeIri": "urn:effortless:pko-extension#RulebookField",
    "Name": "RoleQuestions.AskingRole",
    "IsDerived": false,
    "IsWitness": false,
    "DisagreeingSubstrateCount": 0,
    "IsSubstrateContested": false
   },
   {
    "RulebookFieldId": "RoleQuestions.WitnessLoop",
    "TargetTable": "RoleQuestions",
    "FieldName": "WitnessLoop",
    "FieldType": "relationship",
    "Datatype": "string",
    "Formula": null,
    "InventedForQuestion": null,
    "SemanticTypeIri": "urn:effortless:pko-extension#RulebookField",
    "Name": "RoleQuestions.WitnessLoop",
    "IsDerived": false,
    "IsWitness": false,
    "DisagreeingSubstrateCount": 0,
    "IsSubstrateContested": false
   },
   {
    "RulebookFieldId": "RoleQuestions.QuestionText",
    "TargetTable": "RoleQuestions",
    "FieldName": "QuestionText",
    "FieldType": "raw",
    "Datatype": "string",
    "Formula": null,
    "InventedForQuestion": null,
    "SemanticTypeIri": "urn:effortless:pko-extension#RulebookField",
    "Name": "RoleQuestions.QuestionText",
    "IsDerived": false,
    "IsWitness": false,
    "DisagreeingSubstrateCount": 0,
    "IsSubstrateContested": false
   },
   {
    "RulebookFieldId": "RoleQuestions.WhyItMatters",
    "TargetTable": "RoleQuestions",
    "FieldName": "WhyItMatters",
    "FieldType": "raw",
    "Datatype": "string",
    "Formula": null,
    "InventedForQuestion": null,
    "SemanticTypeIri": "urn:effortless:pko-extension#RulebookField",
    "Name": "RoleQuestions.WhyItMatters",
    "IsDerived": false,
    "IsWitness": false,
    "DisagreeingSubstrateCount": 0,
    "IsSubstrateContested": false
   },
   {
    "RulebookFieldId": "RoleQuestions.AnswerableBefore",
    "TargetTable": "RoleQuestions",
    "FieldName": "AnswerableBefore",
    "FieldType": "raw",
    "Datatype": "boolean",
    "Formula": null,
    "InventedForQuestion": null,
    "SemanticTypeIri": "urn:effortless:pko-extension#RulebookField",
    "Name": "RoleQuestions.AnswerableBefore",
    "IsDerived": false,
    "IsWitness": false,
    "DisagreeingSubstrateCount": 0,
    "IsSubstrateContested": false
   },
   {
    "RulebookFieldId": "RoleQuestions.PredicateCount",
    "TargetTable": "RoleQuestions",
    "FieldName": "PredicateCount",
    "FieldType": "aggregation",
    "Datatype": "number",
    "Formula": "=COUNTIFS(RulebookFields!{{InventedForQuestion}}, {{RoleQuestionId}})",
    "InventedForQuestion": null,
    "SemanticTypeIri": "urn:effortless:pko-extension#RulebookField",
    "Name": "RoleQuestions.PredicateCount",
    "IsDerived": true,
    "IsWitness": false,
    "DisagreeingSubstrateCount": 1,
    "IsSubstrateContested": true
   },
   {
    "RulebookFieldId": "RoleQuestions.IsAnswered",
    "TargetTable": "RoleQuestions",
    "FieldName": "IsAnswered",
    "FieldType": "calculated",
    "Datatype": "boolean",
    "Formula": "={{PredicateCount}} &gt; 0",
    "InventedForQuestion": null,
    "SemanticTypeIri": "urn:effortless:pko-extension#RulebookField",
    "Name": "RoleQuestions.IsAnswered",
    "IsDerived": true,
    "IsWitness": false,
    "DisagreeingSubstrateCount": 1,
    "IsSubstrateContested": true
   },
   {
    "RulebookFieldId": "RoleQuestions.WitnessedAnswer",
    "TargetTable": "RoleQuestions",
    "FieldName": "WitnessedAnswer",
    "FieldType": "raw",
    "Datatype": "string",
    "Formula": null,
    "InventedForQuestion": null,
    "SemanticTypeIri": "urn:effortless:pko-extension#RulebookField",
    "Name": "RoleQuestions.WitnessedAnswer",
    "IsDerived": false,
    "IsWitness": false,
    "DisagreeingSubstrateCount": 0,
    "IsSubstrateContested": false
   },
   {
    "RulebookFieldId": "RoleQuestions.SemanticTypeIri",
    "TargetTable": "RoleQuestions",
    "FieldName": "SemanticTypeIri",
    "FieldType": "raw",
    "Datatype": "string",
    "Formula": null,
    "InventedForQuestion": null,
    "SemanticTypeIri": "urn:effortless:pko-extension#RulebookField",
    "Name": "RoleQuestions.SemanticTypeIri",
    "IsDerived": false,
    "IsWitness": false,
    "DisagreeingSubstrateCount": 0,
    "IsSubstrateContested": false
   },
   {
    "RulebookFieldId": "RulebookFields.RulebookFieldId",
    "TargetTable": "RulebookFields",
    "FieldName": "RulebookFieldId",
    "FieldType": "raw",
    "Datatype": "string",
    "Formula": null,
    "InventedForQuestion": null,
    "SemanticTypeIri": "urn:effortless:pko-extension#RulebookField",
    "Name": "RulebookFields.RulebookFieldId",
    "IsDerived": false,
    "IsWitness": false,
    "DisagreeingSubstrateCount": 0,
    "IsSubstrateContested": false
   },
   {
    "RulebookFieldId": "RulebookFields.Name",
    "TargetTable": "RulebookFields",
    "FieldName": "Name",
    "FieldType": "calculated",
    "Datatype": "string",
    "Formula": "={{TargetTable}} &amp; \".\" &amp; {{FieldName}}",
    "InventedForQuestion": null,
    "SemanticTypeIri": "urn:effortless:pko-extension#RulebookField",
    "Name": "RulebookFields.Name",
    "IsDerived": true,
    "IsWitness": false,
    "DisagreeingSubstrateCount": 0,
    "IsSubstrateContested": false
   },
   {
    "RulebookFieldId": "RulebookFields.TargetTable",
    "TargetTable": "RulebookFields",
    "FieldName": "TargetTable",
    "FieldType": "raw",
    "Datatype": "string",
    "Formula": null,
    "InventedForQuestion": null,
    "SemanticTypeIri": "urn:effortless:pko-extension#RulebookField",
    "Name": "RulebookFields.TargetTable",
    "IsDerived": false,
    "IsWitness": false,
    "DisagreeingSubstrateCount": 0,
    "IsSubstrateContested": false
   },
   {
    "RulebookFieldId": "RulebookFields.FieldName",
    "TargetTable": "RulebookFields",
    "FieldName": "FieldName",
    "FieldType": "raw",
    "Datatype": "string",
    "Formula": null,
    "InventedForQuestion": null,
    "SemanticTypeIri": "urn:effortless:pko-extension#RulebookField",
    "Name": "RulebookFields.FieldName",
    "IsDerived": false,
    "IsWitness": false,
    "DisagreeingSubstrateCount": 0,
    "IsSubstrateContested": false
   },
   {
    "RulebookFieldId": "RulebookFields.FieldType",
    "TargetTable": "RulebookFields",
    "FieldName": "FieldType",
    "FieldType": "raw",
    "Datatype": "string",
    "Formula": null,
    "InventedForQuestion": null,
    "SemanticTypeIri": "urn:effortless:pko-extension#RulebookField",
    "Name": "RulebookFields.FieldType",
    "IsDerived": false,
    "IsWitness": false,
    "DisagreeingSubstrateCount": 0,
    "IsSubstrateContested": false
   },
   {
    "RulebookFieldId": "RulebookFields.Datatype",
    "TargetTable": "RulebookFields",
    "FieldName": "Datatype",
    "FieldType": "raw",
    "Datatype": "string",
    "Formula": null,
    "InventedForQuestion": null,
    "SemanticTypeIri": "urn:effortless:pko-extension#RulebookField",
    "Name": "RulebookFields.Datatype",
    "IsDerived": false,
    "IsWitness": false,
    "DisagreeingSubstrateCount": 0,
    "IsSubstrateContested": false
   },
   {
    "RulebookFieldId": "RulebookFields.Formula",
    "TargetTable": "RulebookFields",
    "FieldName": "Formula",
    "FieldType": "raw",
    "Datatype": "string",
    "Formula": null,
    "InventedForQuestion": null,
    "SemanticTypeIri": "urn:effortless:pko-extension#RulebookField",
    "Name": "RulebookFields.Formula",
    "IsDerived": false,
    "IsWitness": false,
    "DisagreeingSubstrateCount": 0,
    "IsSubstrateContested": false
   },
   {
    "RulebookFieldId": "RulebookFields.InventedForQuestion",
    "TargetTable": "RulebookFields",
    "FieldName": "InventedForQuestion",
    "FieldType": "relationship",
    "Datatype": "string",
    "Formula": null,
    "InventedForQuestion": null,
    "SemanticTypeIri": "urn:effortless:pko-extension#RulebookField",
    "Name": "RulebookFields.InventedForQuestion",
    "IsDerived": false,
    "IsWitness": false,
    "DisagreeingSubstrateCount": 0,
    "IsSubstrateContested": false
   },
   {
    "RulebookFieldId": "RulebookFields.IsDerived",
    "TargetTable": "RulebookFields",
    "FieldName": "IsDerived",
    "FieldType": "calculated",
    "Datatype": "boolean",
    "Formula": "=OR({{FieldType}} = \"calculated\", {{FieldType}} = \"lookup\", {{FieldType}} = \"aggregation\")",
    "InventedForQuestion": null,
    "SemanticTypeIri": "urn:effortless:pko-extension#RulebookField",
    "Name": "RulebookFields.IsDerived",
    "IsDerived": true,
    "IsWitness": false,
    "DisagreeingSubstrateCount": 0,
    "IsSubstrateContested": false
   },
   {
    "RulebookFieldId": "RulebookFields.IsWitness",
    "TargetTable": "RulebookFields",
    "FieldName": "IsWitness",
    "FieldType": "calculated",
    "Datatype": "boolean",
    "Formula": "={{InventedForQuestion}} &lt;&gt; \"\"",
    "InventedForQuestion": null,
    "SemanticTypeIri": "urn:effortless:pko-extension#RulebookField",
    "Name": "RulebookFields.IsWitness",
    "IsDerived": true,
    "IsWitness": false,
    "DisagreeingSubstrateCount": 0,
    "IsSubstrateContested": false
   },
   {
    "RulebookFieldId": "RulebookFields.DisagreeingSubstrateCount",
    "TargetTable": "RulebookFields",
    "FieldName": "DisagreeingSubstrateCount",
    "FieldType": "aggregation",
    "Datatype": "number",
    "Formula": "=COUNTIFS(FieldDisagreements!{{RulebookField}}, {{RulebookFieldId}})",
    "InventedForQuestion": "q-auditor-substrate-agreement",
    "SemanticTypeIri": "urn:effortless:pko-extension#RulebookField",
    "Name": "RulebookFields.DisagreeingSubstrateCount",
    "IsDerived": true,
    "IsWitness": true,
    "DisagreeingSubstrateCount": 0,
    "IsSubstrateContested": false
   },
   {
    "RulebookFieldId": "RulebookFields.IsSubstrateContested",
    "TargetTable": "RulebookFields",
    "FieldName": "IsSubstrateContested",
    "FieldType": "calculated",
    "Datatype": "boolean",
    "Formula": "={{DisagreeingSubstrateCount}} &gt; 0",
    "InventedForQuestion": "q-auditor-substrate-agreement",
    "SemanticTypeIri": "urn:effortless:pko-extension#RulebookField",
    "Name": "RulebookFields.IsSubstrateContested",
    "IsDerived": true,
    "IsWitness": true,
    "DisagreeingSubstrateCount": 0,
    "IsSubstrateContested": false
   },
   {
    "RulebookFieldId": "RulebookFields.SemanticTypeIri",
    "TargetTable": "RulebookFields",
    "FieldName": "SemanticTypeIri",
    "FieldType": "raw",
    "Datatype": "string",
    "Formula": null,
    "InventedForQuestion": null,
    "SemanticTypeIri": "urn:effortless:pko-extension#RulebookField",
    "Name": "RulebookFields.SemanticTypeIri",
    "IsDerived": false,
    "IsWitness": false,
    "DisagreeingSubstrateCount": 0,
    "IsSubstrateContested": false
   },
   {
    "RulebookFieldId": "TestSuites.TestSuiteId",
    "TargetTable": "TestSuites",
    "FieldName": "TestSuiteId",
    "FieldType": "raw",
    "Datatype": "string",
    "Formula": null,
    "InventedForQuestion": null,
    "SemanticTypeIri": "urn:effortless:pko-extension#RulebookField",
    "Name": "TestSuites.TestSuiteId",
    "IsDerived": false,
    "IsWitness": false,
    "DisagreeingSubstrateCount": 0,
    "IsSubstrateContested": false
   },
   {
    "RulebookFieldId": "TestSuites.Name",
    "TargetTable": "TestSuites",
    "FieldName": "Name",
    "FieldType": "calculated",
    "Datatype": "string",
    "Formula": "={{Label}}",
    "InventedForQuestion": null,
    "SemanticTypeIri": "urn:effortless:pko-extension#RulebookField",
    "Name": "TestSuites.Name",
    "IsDerived": true,
    "IsWitness": false,
    "DisagreeingSubstrateCount": 0,
    "IsSubstrateContested": false
   },
   {
    "RulebookFieldId": "TestSuites.Label",
    "TargetTable": "TestSuites",
    "FieldName": "Label",
    "FieldType": "raw",
    "Datatype": "string",
    "Formula": null,
    "InventedForQuestion": null,
    "SemanticTypeIri": "urn:effortless:pko-extension#RulebookField",
    "Name": "TestSuites.Label",
    "IsDerived": false,
    "IsWitness": false,
    "DisagreeingSubstrateCount": 0,
    "IsSubstrateContested": false
   },
   {
    "RulebookFieldId": "TestSuites.TestCount",
    "TargetTable": "TestSuites",
    "FieldName": "TestCount",
    "FieldType": "aggregation",
    "Datatype": "number",
    "Formula": "=COUNTIFS(TestCases!{{Suite}}, {{TestSuiteId}})",
    "InventedForQuestion": null,
    "SemanticTypeIri": "urn:effortless:pko-extension#RulebookField",
    "Name": "TestSuites.TestCount",
    "IsDerived": true,
    "IsWitness": false,
    "DisagreeingSubstrateCount": 1,
    "IsSubstrateContested": true
   },
   {
    "RulebookFieldId": "TestSuites.PassCount",
    "TargetTable": "TestSuites",
    "FieldName": "PassCount",
    "FieldType": "aggregation",
    "Datatype": "number",
    "Formula": "=COUNTIFS(TestCases!{{PassingSuiteKey}}, {{TestSuiteId}})",
    "InventedForQuestion": null,
    "SemanticTypeIri": "urn:effortless:pko-extension#RulebookField",
    "Name": "TestSuites.PassCount",
    "IsDerived": true,
    "IsWitness": false,
    "DisagreeingSubstrateCount": 1,
    "IsSubstrateContested": true
   },
   {
    "RulebookFieldId": "TestSuites.BlockingFailCount",
    "TargetTable": "TestSuites",
    "FieldName": "BlockingFailCount",
    "FieldType": "aggregation",
    "Datatype": "number",
    "Formula": "=COUNTIFS(TestCases!{{NeedsAttentionSuiteKey}}, {{TestSuiteId}})",
    "InventedForQuestion": null,
    "SemanticTypeIri": "urn:effortless:pko-extension#RulebookField",
    "Name": "TestSuites.BlockingFailCount",
    "IsDerived": true,
    "IsWitness": false,
    "DisagreeingSubstrateCount": 0,
    "IsSubstrateContested": false
   },
   {
    "RulebookFieldId": "TestSuites.IsGreen",
    "TargetTable": "TestSuites",
    "FieldName": "IsGreen",
    "FieldType": "calculated",
    "Datatype": "boolean",
    "Formula": "={{BlockingFailCount}} = 0",
    "InventedForQuestion": null,
    "SemanticTypeIri": "urn:effortless:pko-extension#RulebookField",
    "Name": "TestSuites.IsGreen",
    "IsDerived": true,
    "IsWitness": false,
    "DisagreeingSubstrateCount": 0,
    "IsSubstrateContested": false
   },
   {
    "RulebookFieldId": "TestSuites.SemanticTypeIri",
    "TargetTable": "TestSuites",
    "FieldName": "SemanticTypeIri",
    "FieldType": "raw",
    "Datatype": "string",
    "Formula": null,
    "InventedForQuestion": null,
    "SemanticTypeIri": "urn:effortless:pko-extension#RulebookField",
    "Name": "TestSuites.SemanticTypeIri",
    "IsDerived": false,
    "IsWitness": false,
    "DisagreeingSubstrateCount": 0,
    "IsSubstrateContested": false
   },
   {
    "RulebookFieldId": "TestCases.TestCaseId",
    "TargetTable": "TestCases",
    "FieldName": "TestCaseId",
    "FieldType": "raw",
    "Datatype": "string",
    "Formula": null,
    "InventedForQuestion": null,
    "SemanticTypeIri": "urn:effortless:pko-extension#RulebookField",
    "Name": "TestCases.TestCaseId",
    "IsDerived": false,
    "IsWitness": false,
    "DisagreeingSubstrateCount": 0,
    "IsSubstrateContested": false
   },
   {
    "RulebookFieldId": "TestCases.Name",
    "TargetTable": "TestCases",
    "FieldName": "Name",
    "FieldType": "calculated",
    "Datatype": "string",
    "Formula": "={{TestKind}} &amp; \": \" &amp; {{Subject}}",
    "InventedForQuestion": null,
    "SemanticTypeIri": "urn:effortless:pko-extension#RulebookField",
    "Name": "TestCases.Name",
    "IsDerived": true,
    "IsWitness": false,
    "DisagreeingSubstrateCount": 0,
    "IsSubstrateContested": false
   },
   {
    "RulebookFieldId": "TestCases.TestKind",
    "TargetTable": "TestCases",
    "FieldName": "TestKind",
    "FieldType": "raw",
    "Datatype": "string",
    "Formula": null,
    "InventedForQuestion": null,
    "SemanticTypeIri": "urn:effortless:pko-extension#RulebookField",
    "Name": "TestCases.TestKind",
    "IsDerived": false,
    "IsWitness": false,
    "DisagreeingSubstrateCount": 0,
    "IsSubstrateContested": false
   },
   {
    "RulebookFieldId": "TestCases.Subject",
    "TargetTable": "TestCases",
    "FieldName": "Subject",
    "FieldType": "raw",
    "Datatype": "string",
    "Formula": null,
    "InventedForQuestion": null,
    "SemanticTypeIri": "urn:effortless:pko-extension#RulebookField",
    "Name": "TestCases.Subject",
    "IsDerived": false,
    "IsWitness": false,
    "DisagreeingSubstrateCount": 0,
    "IsSubstrateContested": false
   },
   {
    "RulebookFieldId": "TestCases.TargetTable",
    "TargetTable": "TestCases",
    "FieldName": "TargetTable",
    "FieldType": "raw",
    "Datatype": "string",
    "Formula": null,
    "InventedForQuestion": null,
    "SemanticTypeIri": "urn:effortless:pko-extension#RulebookField",
    "Name": "TestCases.TargetTable",
    "IsDerived": false,
    "IsWitness": false,
    "DisagreeingSubstrateCount": 0,
    "IsSubstrateContested": false
   },
   {
    "RulebookFieldId": "TestCases.TargetField",
    "TargetTable": "TestCases",
    "FieldName": "TargetField",
    "FieldType": "raw",
    "Datatype": "string",
    "Formula": null,
    "InventedForQuestion": null,
    "SemanticTypeIri": "urn:effortless:pko-extension#RulebookField",
    "Name": "TestCases.TargetField",
    "IsDerived": false,
    "IsWitness": false,
    "DisagreeingSubstrateCount": 0,
    "IsSubstrateContested": false
   },
   {
    "RulebookFieldId": "TestCases.Assertion",
    "TargetTable": "TestCases",
    "FieldName": "Assertion",
    "FieldType": "raw",
    "Datatype": "string",
    "Formula": null,
    "InventedForQuestion": null,
    "SemanticTypeIri": "urn:effortless:pko-extension#RulebookField",
    "Name": "TestCases.Assertion",
    "IsDerived": false,
    "IsWitness": false,
    "DisagreeingSubstrateCount": 0,
    "IsSubstrateContested": false
   },
   {
    "RulebookFieldId": "TestCases.DefendsQuestion",
    "TargetTable": "TestCases",
    "FieldName": "DefendsQuestion",
    "FieldType": "relationship",
    "Datatype": "string",
    "Formula": null,
    "InventedForQuestion": null,
    "SemanticTypeIri": "urn:effortless:pko-extension#RulebookField",
    "Name": "TestCases.DefendsQuestion",
    "IsDerived": false,
    "IsWitness": false,
    "DisagreeingSubstrateCount": 0,
    "IsSubstrateContested": false
   },
   {
    "RulebookFieldId": "TestCases.Suite",
    "TargetTable": "TestCases",
    "FieldName": "Suite",
    "FieldType": "relationship",
    "Datatype": "string",
    "Formula": null,
    "InventedForQuestion": null,
    "SemanticTypeIri": "urn:effortless:pko-extension#RulebookField",
    "Name": "TestCases.Suite",
    "IsDerived": false,
    "IsWitness": false,
    "DisagreeingSubstrateCount": 0,
    "IsSubstrateContested": false
   },
   {
    "RulebookFieldId": "TestCases.Severity",
    "TargetTable": "TestCases",
    "FieldName": "Severity",
    "FieldType": "raw",
    "Datatype": "string",
    "Formula": null,
    "InventedForQuestion": null,
    "SemanticTypeIri": "urn:effortless:pko-extension#RulebookField",
    "Name": "TestCases.Severity",
    "IsDerived": false,
    "IsWitness": false,
    "DisagreeingSubstrateCount": 0,
    "IsSubstrateContested": false
   },
   {
    "RulebookFieldId": "TestCases.IsBlocking",
    "TargetTable": "TestCases",
    "FieldName": "IsBlocking",
    "FieldType": "calculated",
    "Datatype": "boolean",
    "Formula": "={{Severity}} = \"blocking\"",
    "InventedForQuestion": null,
    "SemanticTypeIri": "urn:effortless:pko-extension#RulebookField",
    "Name": "TestCases.IsBlocking",
    "IsDerived": true,
    "IsWitness": false,
    "DisagreeingSubstrateCount": 0,
    "IsSubstrateContested": false
   },
   {
    "RulebookFieldId": "TestCases.LastOutcome",
    "TargetTable": "TestCases",
    "FieldName": "LastOutcome",
    "FieldType": "raw",
    "Datatype": "string",
    "Formula": null,
    "InventedForQuestion": null,
    "SemanticTypeIri": "urn:effortless:pko-extension#RulebookField",
    "Name": "TestCases.LastOutcome",
    "IsDerived": false,
    "IsWitness": false,
    "DisagreeingSubstrateCount": 0,
    "IsSubstrateContested": false
   },
   {
    "RulebookFieldId": "TestCases.LastDetail",
    "TargetTable": "TestCases",
    "FieldName": "LastDetail",
    "FieldType": "raw",
    "Datatype": "string",
    "Formula": null,
    "InventedForQuestion": null,
    "SemanticTypeIri": "urn:effortless:pko-extension#RulebookField",
    "Name": "TestCases.LastDetail",
    "IsDerived": false,
    "IsWitness": false,
    "DisagreeingSubstrateCount": 0,
    "IsSubstrateContested": false
   },
   {
    "RulebookFieldId": "TestCases.LastRunAt",
    "TargetTable": "TestCases",
    "FieldName": "LastRunAt",
    "FieldType": "raw",
    "Datatype": "datetime",
    "Formula": null,
    "InventedForQuestion": null,
    "SemanticTypeIri": "urn:effortless:pko-extension#RulebookField",
    "Name": "TestCases.LastRunAt",
    "IsDerived": false,
    "IsWitness": false,
    "DisagreeingSubstrateCount": 0,
    "IsSubstrateContested": false
   },
   {
    "RulebookFieldId": "TestCases.IsPassing",
    "TargetTable": "TestCases",
    "FieldName": "IsPassing",
    "FieldType": "calculated",
    "Datatype": "boolean",
    "Formula": "={{LastOutcome}} = \"PASS\"",
    "InventedForQuestion": null,
    "SemanticTypeIri": "urn:effortless:pko-extension#RulebookField",
    "Name": "TestCases.IsPassing",
    "IsDerived": true,
    "IsWitness": false,
    "DisagreeingSubstrateCount": 0,
    "IsSubstrateContested": false
   },
   {
    "RulebookFieldId": "TestCases.IsFailing",
    "TargetTable": "TestCases",
    "FieldName": "IsFailing",
    "FieldType": "calculated",
    "Datatype": "boolean",
    "Formula": "={{LastOutcome}} = \"FAIL\"",
    "InventedForQuestion": null,
    "SemanticTypeIri": "urn:effortless:pko-extension#RulebookField",
    "Name": "TestCases.IsFailing",
    "IsDerived": true,
    "IsWitness": false,
    "DisagreeingSubstrateCount": 0,
    "IsSubstrateContested": false
   },
   {
    "RulebookFieldId": "TestCases.NeedsAttention",
    "TargetTable": "TestCases",
    "Field</t>
  </si>
  <si>
    <t xml:space="preserve">Name": "NeedsAttention",
    "FieldType": "calculated",
    "Datatype": "boolean",
    "Formula": "=AND({{IsFailing}}, {{IsBlocking}})",
    "InventedForQuestion": null,
    "SemanticTypeIri": "urn:effortless:pko-extension#RulebookField",
    "Name": "TestCases.NeedsAttention",
    "IsDerived": true,
    "IsWitness": false,
    "DisagreeingSubstrateCount": 0,
    "IsSubstrateContested": false
   },
   {
    "RulebookFieldId": "TestCases.PassingSuiteKey",
    "TargetTable": "TestCases",
    "FieldName": "PassingSuiteKey",
    "FieldType": "calculated",
    "Datatype": "string",
    "Formula": "=IF({{IsPassing}}, {{Suite}}, \"\")",
    "InventedForQuestion": null,
    "SemanticTypeIri": "urn:effortless:pko-extension#RulebookField",
    "Name": "TestCases.PassingSuiteKey",
    "IsDerived": true,
    "IsWitness": false,
    "DisagreeingSubstrateCount": 0,
    "IsSubstrateContested": false
   },
   {
    "RulebookFieldId": "TestCases.NeedsAttentionSuiteKey",
    "TargetTable": "TestCases",
    "FieldName": "NeedsAttentionSuiteKey",
    "FieldType": "calculated",
    "Datatype": "string",
    "Formula": "=IF({{NeedsAttention}}, {{Suite}}, \"\")",
    "InventedForQuestion": null,
    "SemanticTypeIri": "urn:effortless:pko-extension#RulebookField",
    "Name": "TestCases.NeedsAttentionSuiteKey",
    "IsDerived": true,
    "IsWitness": false,
    "DisagreeingSubstrateCount": 0,
    "IsSubstrateContested": false
   },
   {
    "RulebookFieldId": "TestCases.SemanticTypeIri",
    "TargetTable": "TestCases",
    "FieldName": "SemanticTypeIri",
    "FieldType": "raw",
    "Datatype": "string",
    "Formula": null,
    "InventedForQuestion": null,
    "SemanticTypeIri": "urn:effortless:pko-extension#RulebookField",
    "Name": "TestCases.SemanticTypeIri",
    "IsDerived": false,
    "IsWitness": false,
    "DisagreeingSubstrateCount": 0,
    "IsSubstrateContested": false
   },
   {
    "RulebookFieldId": "ERBVersions.ERBVersionId",
    "TargetTable": "ERBVersions",
    "FieldName": "ERBVersionId",
    "FieldType": "raw",
    "Datatype": "string",
    "Formula": null,
    "InventedForQuestion": null,
    "SemanticTypeIri": "urn:effortless:pko-extension#RulebookField",
    "Name": "ERBVersions.ERBVersionId",
    "IsDerived": false,
    "IsWitness": false,
    "DisagreeingSubstrateCount": 0,
    "IsSubstrateContested": false
   },
   {
    "RulebookFieldId": "ERBVersions.BaseId",
    "TargetTable": "ERBVersions",
    "FieldName": "BaseId",
    "FieldType": "raw",
    "Datatype": "string",
    "Formula": null,
    "InventedForQuestion": null,
    "SemanticTypeIri": "urn:effortless:pko-extension#RulebookField",
    "Name": "ERBVersions.BaseId",
    "IsDerived": false,
    "IsWitness": false,
    "DisagreeingSubstrateCount": 0,
    "IsSubstrateContested": false
   },
   {
    "RulebookFieldId": "ERBVersions.Name",
    "TargetTable": "ERBVersions",
    "FieldName": "Name",
    "FieldType": "raw",
    "Datatype": "string",
    "Formula": null,
    "InventedForQuestion": null,
    "SemanticTypeIri": "urn:effortless:pko-extension#RulebookField",
    "Name": "ERBVersions.Name",
    "IsDerived": false,
    "IsWitness": false,
    "DisagreeingSubstrateCount": 0,
    "IsSubstrateContested": false
   },
   {
    "RulebookFieldId": "ERBVersions.Message",
    "TargetTable": "ERBVersions",
    "FieldName": "Message",
    "FieldType": "raw",
    "Datatype": "string",
    "Formula": null,
    "InventedForQuestion": null,
    "SemanticTypeIri": "urn:effortless:pko-extension#RulebookField",
    "Name": "ERBVersions.Message",
    "IsDerived": false,
    "IsWitness": false,
    "DisagreeingSubstrateCount": 0,
    "IsSubstrateContested": false
   },
   {
    "RulebookFieldId": "ERBVersions.Notes",
    "TargetTable": "ERBVersions",
    "FieldName": "Notes",
    "FieldType": "raw",
    "Datatype": "string",
    "Formula": null,
    "InventedForQuestion": null,
    "SemanticTypeIri": "urn:effortless:pko-extension#RulebookField",
    "Name": "ERBVersions.Notes",
    "IsDerived": false,
    "IsWitness": false,
    "DisagreeingSubstrateCount": 0,
    "IsSubstrateContested": false
   },
   {
    "RulebookFieldId": "ERBVersions.CommitDate",
    "TargetTable": "ERBVersions",
    "FieldName": "CommitDate",
    "FieldType": "raw",
    "Datatype": "datetime",
    "Formula": null,
    "InventedForQuestion": null,
    "SemanticTypeIri": "urn:effortless:pko-extension#RulebookField",
    "Name": "ERBVersions.CommitDate",
    "IsDerived": false,
    "IsWitness": false,
    "DisagreeingSubstrateCount": 0,
    "IsSubstrateContested": false
   },
   {
    "RulebookFieldId": "ERBVersions.IsPublished",
    "TargetTable": "ERBVersions",
    "FieldName": "IsPublished",
    "FieldType": "raw",
    "Datatype": "boolean",
    "Formula": null,
    "InventedForQuestion": null,
    "SemanticTypeIri": "urn:effortless:pko-extension#RulebookField",
    "Name": "ERBVersions.IsPublished",
    "IsDerived": false,
    "IsWitness": false,
    "DisagreeingSubstrateCount": 0,
    "IsSubstrateContested": false
   },
   {
    "RulebookFieldId": "ERBCustomizations.ERBCustomizationId",
    "TargetTable": "ERBCustomizations",
    "FieldName": "ERBCustomizationId",
    "FieldType": "raw",
    "Datatype": "string",
    "Formula": null,
    "InventedForQuestion": null,
    "SemanticTypeIri": "urn:effortless:pko-extension#RulebookField",
    "Name": "ERBCustomizations.ERBCustomizationId",
    "IsDerived": false,
    "IsWitness": false,
    "DisagreeingSubstrateCount": 0,
    "IsSubstrateContested": false
   },
   {
    "RulebookFieldId": "ERBCustomizations.Name",
    "TargetTable": "ERBCustomizations",
    "FieldName": "Name",
    "FieldType": "raw",
    "Datatype": "string",
    "Formula": null,
    "InventedForQuestion": null,
    "SemanticTypeIri": "urn:effortless:pko-extension#RulebookField",
    "Name": "ERBCustomizations.Name",
    "IsDerived": false,
    "IsWitness": false,
    "DisagreeingSubstrateCount": 0,
    "IsSubstrateContested": false
   },
   {
    "RulebookFieldId": "ERBCustomizations.Title",
    "TargetTable": "ERBCustomizations",
    "FieldName": "Title",
    "FieldType": "raw",
    "Datatype": "string",
    "Formula": null,
    "InventedForQuestion": null,
    "SemanticTypeIri": "urn:effortless:pko-extension#RulebookField",
    "Name": "ERBCustomizations.Title",
    "IsDerived": false,
    "IsWitness": false,
    "DisagreeingSubstrateCount": 0,
    "IsSubstrateContested": false
   },
   {
    "RulebookFieldId": "ERBCustomizations.SQLCode",
    "TargetTable": "ERBCustomizations",
    "FieldName": "SQLCode",
    "FieldType": "raw",
    "Datatype": "string",
    "Formula": null,
    "InventedForQuestion": null,
    "SemanticTypeIri": "urn:effortless:pko-extension#RulebookField",
    "Name": "ERBCustomizations.SQLCode",
    "IsDerived": false,
    "IsWitness": false,
    "DisagreeingSubstrateCount": 0,
    "IsSubstrateContested": false
   },
   {
    "RulebookFieldId": "ERBCustomizations.SQLTarget",
    "TargetTable": "ERBCustomizations",
    "FieldName": "SQLTarget",
    "FieldType": "raw",
    "Datatype": "string",
    "Formula": null,
    "InventedForQuestion": null,
    "SemanticTypeIri": "urn:effortless:pko-extension#RulebookField",
    "Name": "ERBCustomizations.SQLTarget",
    "IsDerived": false,
    "IsWitness": false,
    "DisagreeingSubstrateCount": 0,
    "IsSubstrateContested": false
   },
   {
    "RulebookFieldId": "ERBCustomizations.CustomizationType",
    "TargetTable": "ERBCustomizations",
    "FieldName": "CustomizationType",
    "FieldType": "raw",
    "Datatype": "string",
    "Formula": null,
    "InventedForQuestion": null,
    "SemanticTypeIri": "urn:effortless:pko-extension#RulebookField",
    "Name": "ERBCustomizations.CustomizationType",
    "IsDerived": false,
    "IsWitness": false,
    "DisagreeingSubstrateCount": 0,
    "IsSubstrateContested": false
   },
   {
    "RulebookFieldId": "__meta__.MetaKey",
    "TargetTable": "__meta__",
    "FieldName": "MetaKey",
    "FieldType": "raw",
    "Datatype": "string",
    "Formula": null,
    "InventedForQuestion": null,
    "SemanticTypeIri": "urn:effortless:pko-extension#RulebookField",
    "Name": "__meta__.MetaKey",
    "IsDerived": false,
    "IsWitness": false,
    "DisagreeingSubstrateCount": 0,
    "IsSubstrateContested": false
   },
   {
    "RulebookFieldId": "__meta__.Name",
    "TargetTable": "__meta__",
    "FieldName": "Name",
    "FieldType": "calculated",
    "Datatype": "string",
    "Formula": "={{MetaKey}}",
    "InventedForQuestion": null,
    "SemanticTypeIri": "urn:effortless:pko-extension#RulebookField",
    "Name": "__meta__.Name",
    "IsDerived": true,
    "IsWitness": false,
    "DisagreeingSubstrateCount": 0,
    "IsSubstrateContested": false
   },
   {
    "RulebookFieldId": "__meta__.ValueType",
    "TargetTable": "__meta__",
    "FieldName": "ValueType",
    "FieldType": "raw",
    "Datatype": "string",
    "Formula": null,
    "InventedForQuestion": null,
    "SemanticTypeIri": "urn:effortless:pko-extension#RulebookField",
    "Name": "__meta__.ValueType",
    "IsDerived": false,
    "IsWitness": false,
    "DisagreeingSubstrateCount": 0,
    "IsSubstrateContested": false
   },
   {
    "RulebookFieldId": "__meta__.StringValue",
    "TargetTable": "__meta__",
    "FieldName": "StringValue",
    "FieldType": "raw",
    "Datatype": "string",
    "Formula": null,
    "InventedForQuestion": null,
    "SemanticTypeIri": "urn:effortless:pko-extension#RulebookField",
    "Name": "__meta__.StringValue",
    "IsDerived": false,
    "IsWitness": false,
    "DisagreeingSubstrateCount": 0,
    "IsSubstrateContested": false
   },
   {
    "RulebookFieldId": "__meta__.JsonValue",
    "TargetTable": "__meta__",
    "FieldName": "JsonValue",
    "FieldType": "raw",
    "Datatype": "string",
    "Formula": null,
    "InventedForQuestion": null,
    "SemanticTypeIri": "urn:effortless:pko-extension#RulebookField",
    "Name": "__meta__.JsonValue",
    "IsDerived": false,
    "IsWitness": false,
    "DisagreeingSubstrateCount": 0,
    "IsSubstrateContested": false
   },
   {
    "RulebookFieldId": "ExceptionInvocations.ExceptionInvocationId",
    "TargetTable": "ExceptionInvocations",
    "FieldName": "ExceptionInvocationId",
    "FieldType": "raw",
    "Datatype": "string",
    "Formula": null,
    "InventedForQuestion": null,
    "SemanticTypeIri": "urn:effortless:pko-extension#RulebookField",
    "Name": "ExceptionInvocations.ExceptionInvocationId",
    "IsDerived": false,
    "IsWitness": false,
    "DisagreeingSubstrateCount": 0,
    "IsSubstrateContested": false
   },
   {
    "RulebookFieldId": "ExceptionInvocations.Name",
    "TargetTable": "ExceptionInvocations",
    "FieldName": "Name",
    "FieldType": "calculated",
    "Datatype": "string",
    "Formula": "={{StepExecution}} &amp; \" / \" &amp; {{Exception}}",
    "InventedForQuestion": null,
    "SemanticTypeIri": "urn:effortless:pko-extension#RulebookField",
    "Name": "ExceptionInvocations.Name",
    "IsDerived": true,
    "IsWitness": false,
    "DisagreeingSubstrateCount": 0,
    "IsSubstrateContested": false
   },
   {
    "RulebookFieldId": "ExceptionInvocations.StepExecution",
    "TargetTable": "ExceptionInvocations",
    "FieldName": "StepExecution",
    "FieldType": "relationship",
    "Datatype": "string",
    "Formula": null,
    "InventedForQuestion": null,
    "SemanticTypeIri": "urn:effortless:pko-extension#RulebookField",
    "Name": "ExceptionInvocations.StepExecution",
    "IsDerived": false,
    "IsWitness": false,
    "DisagreeingSubstrateCount": 0,
    "IsSubstrateContested": false
   },
   {
    "RulebookFieldId": "ExceptionInvocations.Exception",
    "TargetTable": "ExceptionInvocations",
    "FieldName": "Exception",
    "FieldType": "relationship",
    "Datatype": "string",
    "Formula": null,
    "InventedForQuestion": null,
    "SemanticTypeIri": "urn:effortless:pko-extension#RulebookField",
    "Name": "ExceptionInvocations.Exception",
    "IsDerived": false,
    "IsWitness": false,
    "DisagreeingSubstrateCount": 0,
    "IsSubstrateContested": false
   },
   {
    "RulebookFieldId": "ExceptionInvocations.InvokedByAgent",
    "TargetTable": "ExceptionInvocations",
    "FieldName": "InvokedByAgent",
    "FieldType": "relationship",
    "Datatype": "string",
    "Formula": null,
    "InventedForQuestion": null,
    "SemanticTypeIri": "urn:effortless:pko-extension#RulebookField",
    "Name": "ExceptionInvocations.InvokedByAgent",
    "IsDerived": false,
    "IsWitness": false,
    "DisagreeingSubstrateCount": 0,
    "IsSubstrateContested": false
   },
   {
    "RulebookFieldId": "ExceptionInvocations.ApprovedByAgent",
    "TargetTable": "ExceptionInvocations",
    "FieldName": "ApprovedByAgent",
    "FieldType": "relationship",
    "Datatype": "string",
    "Formula": null,
    "InventedForQuestion": null,
    "SemanticTypeIri": "urn:effortless:pko-extension#RulebookField",
    "Name": "ExceptionInvocations.ApprovedByAgent",
    "IsDerived": false,
    "IsWitness": false,
    "DisagreeingSubstrateCount": 0,
    "IsSubstrateContested": false
   },
   {
    "RulebookFieldId": "ExceptionInvocations.InvokedAt",
    "TargetTable": "ExceptionInvocations",
    "FieldName": "InvokedAt",
    "FieldType": "raw",
    "Datatype": "datetime",
    "Formula": null,
    "InventedForQuestion": null,
    "SemanticTypeIri": "urn:effortless:pko-extension#RulebookField",
    "Name": "ExceptionInvocations.InvokedAt",
    "IsDerived": false,
    "IsWitness": false,
    "DisagreeingSubstrateCount": 0,
    "IsSubstrateContested": false
   },
   {
    "RulebookFieldId": "ExceptionInvocations.HandlingApplied",
    "TargetTable": "ExceptionInvocations",
    "FieldName": "HandlingApplied",
    "FieldType": "raw",
    "Datatype": "string",
    "Formula": null,
    "InventedForQuestion": null,
    "SemanticTypeIri": "urn:effortless:pko-extension#RulebookField",
    "Name": "ExceptionInvocations.HandlingApplied",
    "IsDerived": false,
    "IsWitness": false,
    "DisagreeingSubstrateCount": 0,
    "IsSubstrateContested": false
   },
   {
    "RulebookFieldId": "ExceptionInvocations.ExpectedHandling",
    "TargetTable": "ExceptionInvocations",
    "FieldName": "ExpectedHandling",
    "FieldType": "lookup",
    "Datatype": "string",
    "Formula": "=INDEX(Exceptions!{{Handling}}, MATCH({{Exception}}, Exceptions!{{ExceptionId}}, 0))",
    "InventedForQuestion": null,
    "SemanticTypeIri": "urn:effortless:pko-extension#RulebookField",
    "Name": "ExceptionInvocations.ExpectedHandling",
    "IsDerived": true,
    "IsWitness": false,
    "DisagreeingSubstrateCount": 0,
    "IsSubstrateContested": false
   },
   {
    "RulebookFieldId": "ExceptionInvocations.RequiredApprovalRole",
    "TargetTable": "ExceptionInvocations",
    "FieldName": "RequiredApprovalRole",
    "FieldType": "lookup",
    "Datatype": "string",
    "Formula": "=INDEX(Exceptions!{{ApprovalRole}}, MATCH({{Exception}}, Exceptions!{{ExceptionId}}, 0))",
    "InventedForQuestion": null,
    "SemanticTypeIri": "urn:effortless:pko-extension#RulebookField",
    "Name": "ExceptionInvocations.RequiredApprovalRole",
    "IsDerived": true,
    "IsWitness": false,
    "DisagreeingSubstrateCount": 0,
    "IsSubstrateContested": false
   },
   {
    "RulebookFieldId": "ExceptionInvocations.RequiredApprovalRoleHolder",
    "TargetTable": "ExceptionInvocations",
    "FieldName": "RequiredApprovalRoleHolder",
    "FieldType": "lookup",
    "Datatype": "string",
    "Formula": "=INDEX(Roles!{{CurrentAgent}}, MATCH({{RequiredApprovalRole}}, Roles!{{RoleId}}, 0))",
    "InventedForQuestion": null,
    "SemanticTypeIri": "urn:effortless:pko-extension#RulebookField",
    "Name": "ExceptionInvocations.RequiredApprovalRoleHolder",
    "IsDerived": true,
    "IsWitness": false,
    "DisagreeingSubstrateCount": 0,
    "IsSubstrateContested": false
   },
   {
    "RulebookFieldId": "ExceptionInvocations.ApprovalRoleMatches",
    "TargetTable": "ExceptionInvocations",
    "FieldName": "ApprovalRoleMatches",
    "FieldType": "calculated",
    "Datatype": "boolean",
    "Formula": "={{ApprovedByAgent}} = {{RequiredApprovalRoleHolder}}",
    "InventedForQuestion": null,
    "SemanticTypeIri": "urn:effortless:pko-extension#RulebookField",
    "Name": "ExceptionInvocations.ApprovalRoleMatches",
    "IsDerived": true,
    "IsWitness": false,
    "DisagreeingSubstrateCount": 0,
    "IsSubstrateContested": false
   },
   {
    "RulebookFieldId": "ExceptionInvocations.IsApproved",
    "TargetTable": "ExceptionInvocations",
    "FieldName": "IsApproved",
    "FieldType": "calculated",
    "Datatype": "boolean",
    "Formula": "={{ApprovedByAgent}} &lt;&gt; \"\"",
    "InventedForQuestion": null,
    "SemanticTypeIri": "urn:effortless:pko-extension#RulebookField",
    "Name": "ExceptionInvocations.IsApproved",
    "IsDerived": true,
    "IsWitness": false,
    "DisagreeingSubstrateCount": 0,
    "IsSubstrateContested": false
   },
   {
    "RulebookFieldId": "ExceptionInvocations.IsImproperlyApproved",
    "TargetTable": "ExceptionInvocations",
    "FieldName": "IsImproperlyApproved",
    "FieldType": "calculated",
    "Datatype": "boolean",
    "Formula": "=OR(NOT({{IsApproved}}), NOT({{ApprovalRoleMatches}}))",
    "InventedForQuestion": null,
    "SemanticTypeIri": "urn:effortless:pko-extension#RulebookField",
    "Name": "ExceptionInvocations.IsImproperlyApproved",
    "IsDerived": true,
    "IsWitness": false,
    "DisagreeingSubstrateCount": 0,
    "IsSubstrateContested": false
   },
   {
    "RulebookFieldId": "ExceptionInvocations.InvokerAgentKind",
    "TargetTable": "ExceptionInvocations",
    "FieldName": "InvokerAgentKind",
    "FieldType": "lookup",
    "Datatype": "string",
    "Formula": "=INDEX(Agents!{{AgentKind}}, MATCH({{InvokedByAgent}}, Agents!{{AgentId}}, 0))",
    "InventedForQuestion": "q-cfo-who-actually-held-authority",
    "SemanticTypeIri": "urn:effortless:pko-extension#RulebookField",
    "Name": "ExceptionInvocations.InvokerAgentKind",
    "IsDerived": true,
    "IsWitness": true,
    "DisagreeingSubstrateCount": 0,
    "IsSubstrateContested": false
   },
   {
    "RulebookFieldId": "ExceptionInvocations.InvokerAlsoPreparedKey",
    "TargetTable": "ExceptionInvocations",
    "FieldName": "InvokerAlsoPreparedKey",
    "FieldType": "calculated",
    "Datatype": "string",
    "Formula": "={{ParentProcedureExecution}} &amp; \"|\" &amp; {{ApprovedByAgent}}",
    "InventedForQuestion": "q-cfo-who-actually-held-authority",
    "SemanticTypeIri": "urn:effortless:pko-extension#RulebookField",
    "Name": "ExceptionInvocations.InvokerAlsoPreparedKey",
    "IsDerived": true,
    "IsWitness": true,
    "DisagreeingSubstrateCount": 0,
    "IsSubstrateContested": false
   },
   {
    "RulebookFieldId": "ExceptionInvocations.ParentProcedureExecution",
    "TargetTable": "ExceptionInvocations",
    "FieldName": "ParentProcedureExecution",
    "FieldType": "lookup",
    "Datatype": "string",
    "Formula": "=INDEX(StepExecutions!{{ProcedureExecution}}, MATCH({{StepExecution}}, StepExecutions!{{StepExecutionId}}, 0))",
    "InventedForQuestion": "q-cfo-who-actually-held-authority",
    "SemanticTypeIri": "urn:effortless:pko-extension#RulebookField",
    "Name": "ExceptionInvocations.ParentProcedureExecution",
    "IsDerived": true,
    "IsWitness": true,
    "DisagreeingSubstrateCount": 0,
    "IsSubstrateContested": false
   },
   {
    "RulebookFieldId": "ExceptionInvocations.ApproverPreparedCount",
    "TargetTable": "ExceptionInvocations",
    "FieldName": "ApproverPreparedCount",
    "FieldType": "aggregation",
    "Datatype": "number",
    "Formula": "=COUNTIFS(StepExecutions!{{PreparerAgentKey}}, {{InvokerAlsoPreparedKey}})",
    "InventedForQuestion": "q-cfo-who-actually-held-authority",
    "SemanticTypeIri": "urn:effortless:pko-extension#RulebookField",
    "Name": "ExceptionInvocations.ApproverPreparedCount",
    "IsDerived": true,
    "IsWitness": true,
    "DisagreeingSubstrateCount": 0,
    "IsSubstrateContested": false
   },
   {
    "RulebookFieldId": "ExceptionInvocations.DelegatedToPreparer",
    "TargetTable": "ExceptionInvocations",
    "FieldName": "DelegatedToPreparer",
    "FieldType": "calculated",
    "Datatype": "boolean",
    "Formula": "={{ApproverPreparedCount}} &gt; 0",
    "InventedForQuestion": "q-cfo-who-actually-held-authority",
    "SemanticTypeIri": "urn:effortless:pko-extension#RulebookField",
    "Name": "ExceptionInvocations.DelegatedToPreparer",
    "IsDerived": true,
    "IsWitness": true,
    "DisagreeingSubstrateCount": 0,
    "IsSubstrateContested": false
   },
   {
    "RulebookFieldId": "ExceptionInvocations.IsUngovernedInvocation",
    "TargetTable": "ExceptionInvocations",
    "FieldName": "IsUngovernedInvocation",
    "FieldType": "calculated",
    "Datatype": "boolean",
    "Formula": "=OR({{IsImproperlyApproved}}, {{DelegatedToPreparer}})",
    "InventedForQuestion": "q-cfo-who-actually-held-authority",
    "SemanticTypeIri": "urn:effortless:pko-extension#RulebookField",
    "Name": "ExceptionInvocations.IsUngovernedInvocation",
    "IsDerived": true,
    "IsWitness": true,
    "DisagreeingSubstrateCount": 0,
    "IsSubstrateContested": false
   },
   {
    "RulebookFieldId": "ExceptionInvocations.SemanticTypeIri",
    "TargetTable": "ExceptionInvocations",
    "FieldName": "SemanticTypeIri",
    "FieldType": "raw",
    "Datatype": "string",
    "Formula": null,
    "InventedForQuestion": null,
    "SemanticTypeIri": "urn:effortless:pko-extension#RulebookField",
    "Name": "ExceptionInvocations.SemanticTypeIri",
    "IsDerived": false,
    "IsWitness": false,
    "DisagreeingSubstrateCount": 0,
    "IsSubstrateContested": false
   },
   {
    "RulebookFieldId": "VerificationOutcomes.VerificationOutcomeId",
    "TargetTable": "VerificationOutcomes",
    "FieldName": "VerificationOutcomeId",
    "FieldType": "raw",
    "Datatype": "string",
    "Formula": null,
    "InventedForQuestion": null,
    "SemanticTypeIri": "urn:effortless:pko-extension#RulebookField",
    "Name": "VerificationOutcomes.VerificationOutcomeId",
    "IsDerived": false,
    "IsWitness": false,
    "DisagreeingSubstrateCount": 0,
    "IsSubstrateContested": false
   },
   {
    "RulebookFieldId": "VerificationOutcomes.Name",
    "TargetTable": "VerificationOutcomes",
    "FieldName": "Name",
    "FieldType": "calculated",
    "Datatype": "string",
    "Formula": "={{StepExecution}} &amp; \" / \" &amp; {{StepVerification}}",
    "InventedForQuestion": null,
    "SemanticTypeIri": "urn:effortless:pko-extension#RulebookField",
    "Name": "VerificationOutcomes.Name",
    "IsDerived": true,
    "IsWitness": false,
    "DisagreeingSubstrateCount": 0,
    "IsSubstrateContested": false
   },
   {
    "RulebookFieldId": "VerificationOutcomes.StepExecution",
    "TargetTable": "VerificationOutcomes",
    "FieldName": "StepExecution",
    "FieldType": "relationship",
    "Datatype": "string",
    "Formula": null,
    "InventedForQuestion": null,
    "SemanticTypeIri": "urn:effortless:pko-extension#RulebookField",
    "Name": "VerificationOutcomes.StepExecution",
    "IsDerived": false,
    "IsWitness": false,
    "DisagreeingSubstrateCount": 0,
    "IsSubstrateContested": false
   },
   {
    "RulebookFieldId": "VerificationOutcomes.StepVerification",
    "TargetTable": "VerificationOutcomes",
    "FieldName": "StepVerification",
    "FieldType": "relationship",
    "Datatype": "string",
    "Formula": null,
    "InventedForQuestion": null,
    "SemanticTypeIri": "urn:effortless:pko-extension#RulebookField",
    "Name": "VerificationOutcomes.StepVerification",
    "IsDerived": false,
    "IsWitness": false,
    "DisagreeingSubstrateCount": 0,
    "IsSubstrateContested": false
   },
   {
    "RulebookFieldId": "VerificationOutcomes.ObservedSignalValue",
    "TargetTable": "VerificationOutcomes",
    "FieldName": "ObservedSignalValue",
    "FieldType": "raw",
    "Datatype": "string",
    "Formula": null,
    "InventedForQuestion": null,
    "SemanticTypeIri": "urn:effortless:pko-extension#RulebookField",
    "Name": "VerificationOutcomes.ObservedSignalValue",
    "IsDerived": false,
    "IsWitness": false,
    "DisagreeingSubstrateCount": 0,
    "IsSubstrateContested": false
   },
   {
    "RulebookFieldId": "VerificationOutcomes.ObservedByAgent",
    "TargetTable": "VerificationOutcomes",
    "FieldName": "ObservedByAgent",
    "FieldType": "relationship",
    "Datatype": "string",
    "Formula": null,
    "InventedForQuestion": null,
    "SemanticTypeIri": "urn:effortless:pko-extension#RulebookField",
    "Name": "VerificationOutcomes.ObservedByAgent",
    "IsDerived": false,
    "IsWitness": false,
    "DisagreeingSubstrateCount": 0,
    "IsSubstrateContested": false
   },
   {
    "RulebookFieldId": "VerificationOutcomes.ObservedAt",
    "TargetTable": "VerificationOutcomes",
    "FieldName": "ObservedAt",
    "FieldType": "raw",
    "Datatype": "datetime",
    "Formula": null,
    "InventedForQuestion": null,
    "SemanticTypeIri": "urn:effortless:pko-extension#RulebookField",
    "Name": "VerificationOutcomes.ObservedAt",
    "IsDerived": false,
    "IsWitness": false,
    "DisagreeingSubstrateCount": 0,
    "IsSubstrateContested": false
   },
   {
    "RulebookFieldId": "VerificationOutcomes.EvidenceUri",
    "TargetTable": "VerificationOutcomes",
    "FieldName": "EvidenceUri",
    "FieldType": "raw",
    "Datatype": "string",
    "Formula": null,
    "InventedForQuestion": null,
    "SemanticTypeIri": "urn:effortless:pko-extension#RulebookField",
    "Name": "VerificationOutcomes.EvidenceUri",
    "IsDerived": false,
    "IsWitness": false,
    "DisagreeingSubstrateCount": 0,
    "IsSubstrateContested": false
   },
   {
    "RulebookFieldId": "VerificationOutcomes.ExpectedSignalValue",
    "TargetTable": "VerificationOutcomes",
    "FieldName": "ExpectedSignalValue",
    "FieldType": "lookup",
    "Datatype": "string",
    "Formula": "=INDEX(StepVerifications!{{ExpectedSignalValue}}, MATCH({{StepVerification}}, StepVerifications!{{StepVerificationId}}, 0))",
    "InventedForQuestion": null,
    "SemanticTypeIri": "urn:effortless:pko-extension#RulebookField",
    "Name": "VerificationOutcomes.ExpectedSignalValue",
    "IsDerived": true,
    "IsWitness": false,
    "DisagreeingSubstrateCount": 0,
    "IsSubstrateContested": false
   },
   {
    "RulebookFieldId": "VerificationOutcomes.SignalIdentifier",
    "TargetTable": "VerificationOutcomes",
    "FieldName": "SignalIdentifier",
    "FieldType": "lookup",
    "Datatype": "string",
    "Formula": "=INDEX(StepVerifications!{{SignalIdentifier}}, MATCH({{StepVerification}}, StepVerifications!{{StepVerificationId}}, 0))",
    "InventedForQuestion": null,
    "SemanticTypeIri": "urn:effortless:pko-extension#RulebookField",
    "Name": "VerificationOutcomes.SignalIdentifier",
    "IsDerived": true,
    "IsWitness": false,
    "DisagreeingSubstrateCount": 0,
    "IsSubstrateContested": false
   },
   {
    "RulebookFieldId": "VerificationOutcomes.SignalMatchesExpected",
    "TargetTable": "VerificationOutcomes",
    "FieldName": "SignalMatchesExpected",
    "FieldType": "calculated",
    "Datatype": "boolean",
    "Formula": "={{ObservedSignalValue}} = {{ExpectedSignalValue}}",
    "InventedForQuestion": null,
    "SemanticTypeIri": "urn:effortless:pko-extension#RulebookField",
    "Name": "VerificationOutcomes.SignalMatchesExpected",
    "IsDerived": true,
    "IsWitness": false,
    "DisagreeingSubstrateCount": 0,
    "IsSubstrateContested": false
   },
   {
    "RulebookFieldId": "VerificationOutcomes.HasEvidence",
    "TargetTable": "VerificationOutcomes",
    "FieldName": "HasEvidence",
    "FieldType": "calculated",
    "Datatype": "boolean",
    "Formula": "={{EvidenceUri}} &lt;&gt; \"\"",
    "InventedForQuestion": null,
    "SemanticTypeIri": "urn:effortless:pko-extension#RulebookField",
    "Name": "VerificationOutcomes.HasEvidence",
    "IsDerived": true,
    "IsWitness": false,
    "DisagreeingSubstrateCount": 0,
    "IsSubstrateContested": false
   },
   {
    "RulebookFieldId": "VerificationOutcomes.IsUnbackedObservation",
    "TargetTable": "VerificationOutcomes",
    "FieldName": "IsUnbackedObservation",
    "FieldType": "calculated",
    "Datatype": "boolean",
    "Formula": "=AND({{SignalMatchesExpected}}, NOT({{HasEvidence}}))",
    "InventedForQuestion": null,
    "SemanticTypeIri": "urn:effortless:pko-extension#RulebookField",
    "Name": "VerificationOutcomes.IsUnbackedObservation",
    "IsDerived": true,
    "IsWitness": false,
    "DisagreeingSubstrateCount": 0,
    "IsSubstrateContested": false
   },
   {
    "RulebookFieldId": "VerificationOutcomes.IsSelfWitnessed",
    "TargetTable": "VerificationOutcomes",
    "FieldName": "IsSelfWitnessed",
    "FieldType": "calculated",
    "Datatype": "boolean",
    "Formula": "={{ObservedByAgent}} = {{StepExecutorAgent}}",
    "InventedForQuestion": "q-cfo-approval-was-actually-verified",
    "SemanticTypeIri": "urn:effortless:pko-extension#RulebookField",
    "Name": "VerificationOutcomes.IsSelfWitnessed",
    "IsDerived": true,
    "IsWitness": true,
    "DisagreeingSubstrateCount": 0,
    "IsSubstrateContested": false
   },
   {
    "RulebookFieldId": "VerificationOutcomes.StepExecutorAgent",
    "TargetTable": "VerificationOutcomes",
    "FieldName": "StepExecutorAgent",
    "FieldType": "lookup",
    "Datatype": "string",
    "Formula": "=INDEX(StepExecutions!{{ExecutedByAgent}}, MATCH({{StepExecution}}, StepExecutions!{{StepExecutionId}}, 0))",
    "InventedForQuestion": "q-cfo-approval-was-actually-verified",
    "SemanticTypeIri": "urn:effortless:pko-extension#RulebookField",
    "Name": "VerificationOutcomes.StepExecutorAgent",
    "IsDerived": true,
    "IsWitness": true,
    "DisagreeingSubstrateCount": 0,
    "IsSubstrateContested": false
   },
   {
    "RulebookFieldId": "VerificationOutcomes.SelfWitnessedStepKey",
    "TargetTable": "VerificationOutcomes",
    "FieldName": "SelfWitnessedStepKey",
    "FieldType": "calculated",
    "Datatype": "string",
    "Formula": "=IF({{IsSelfWitnessed}}, {{StepExecution}}, \"\")",
    "InventedForQuestion": "q-cfo-approval-was-actually-verified",
    "SemanticTypeIri": "urn:effortless:pko-extension#RulebookField",
    "Name": "VerificationOutcomes.SelfWitnessedStepKey",
    "IsDerived": true,
    "IsWitness": true,
    "DisagreeingSubstrateCount": 0,
    "IsSubstrateContested": false
   },
   {
    "RulebookFieldId": "VerificationOutcomes.UnbackedStepKey",
    "TargetTable": "VerificationOutcomes",
    "FieldName": "UnbackedStepKey",
    "FieldType": "calculated",
    "Datatype": "string",
    "Formula": "=IF({{IsUnbackedObservation}}, {{StepExecution}}, \"\")",
    "InventedForQuestion": "q-cfo-approval-was-actually-verified",
    "SemanticTypeIri": "urn:effortless:pko-extension#RulebookField",
    "Name": "VerificationOutcomes.UnbackedStepKey",
    "IsDerived": true,
    "IsWitness": true,
    "DisagreeingSubstrateCount": 0,
    "IsSubstrateContested": false
   },
   {
    "RulebookFieldId": "VerificationOutcomes.IsSelfWitnessedAndUnbacked",
    "TargetTable": "VerificationOutcomes",
    "FieldName": "IsSelfWitnessedAndUnbacked",
    "FieldType": "calculated",
    "Datatype": "boolean",
    "Formula": "=AND({{IsSelfWitnessed}}, NOT({{HasEvidence}}))",
    "InventedForQuestion": "q2-fa-my-own-evidence-quality",
    "SemanticTypeIri": "urn:effortless:pko-extension#RulebookField",
    "Name": "VerificationOutcomes.IsSelfWitnessedAndUnbacked",
    "IsDerived": true,
    "IsWitness": true,
    "DisagreeingSubstrateCount": 0,
    "IsSubstrateContested": false
   },
   {
    "RulebookFieldId": "VerificationOutcomes.IsUncorroboratedPass",
    "TargetTable": "VerificationOutcomes",
    "FieldName": "IsUncorroboratedPass",
    "FieldType": "calculated",
    "Datatype": "boolean",
    "Formula": "=AND({{SignalMatchesExpected}}, {{IsSelfWitnessedAndUnbacked}})",
    "InventedForQuestion": "q2-fa-my-own-evidence-quality",
    "SemanticTypeIri": "urn:effortless:pko-extension#RulebookField",
    "Name": "VerificationOutcomes.IsUncorroboratedPass",
    "IsDerived": true,
    "IsWitness": true,
    "DisagreeingSubstrateCount": 0,
    "IsSubstrateContested": false
   },
   {
    "RulebookFieldId": "VerificationOutcomes.UncorroboratedPassStepKey",
    "TargetTable": "VerificationOutcomes",
    "FieldName": "UncorroboratedPassStepKey",
    "FieldType": "calculated",
    "Datatype": "string",
    "Formula": "=IF({{IsUncorroboratedPass}}, {{StepExecution}}, \"\")",
    "InventedForQuestion": "q2-fa-my-own-evidence-quality",
    "SemanticTypeIri": "urn:effortless:pko-extension#RulebookField",
    "Name": "VerificationOutcomes.UncorroboratedPassStepKey",
    "IsDerived": true,
    "IsWitness": true,
  </t>
  </si>
  <si>
    <t xml:space="preserve">  "DisagreeingSubstrateCount": 0,
    "IsSubstrateContested": false
   },
   {
    "RulebookFieldId": "VerificationOutcomes.ObserverIsNonHuman",
    "TargetTable": "VerificationOutcomes",
    "FieldName": "ObserverIsNonHuman",
    "FieldType": "lookup",
    "Datatype": "boolean",
    "Formula": "=INDEX(Agents!{{IsNonHuman}}, MATCH({{ObservedByAgent}}, Agents!{{AgentId}}, 0))",
    "InventedForQuestion": "q2-fa-my-own-evidence-quality",
    "SemanticTypeIri": "urn:effortless:pko-extension#RulebookField",
    "Name": "VerificationOutcomes.ObserverIsNonHuman",
    "IsDerived": true,
    "IsWitness": true,
    "DisagreeingSubstrateCount": 0,
    "IsSubstrateContested": false
   },
   {
    "RulebookFieldId": "VerificationOutcomes.ObserverIsIndependentOfExecutor",
    "TargetTable": "VerificationOutcomes",
    "FieldName": "ObserverIsIndependentOfExecutor",
    "FieldType": "calculated",
    "Datatype": "boolean",
    "Formula": "=NOT({{IsSelfWitnessed}})",
    "InventedForQuestion": "q2-fa-my-own-evidence-quality",
    "SemanticTypeIri": "urn:effortless:pko-extension#RulebookField",
    "Name": "VerificationOutcomes.ObserverIsIndependentOfExecutor",
    "IsDerived": true,
    "IsWitness": true,
    "DisagreeingSubstrateCount": 0,
    "IsSubstrateContested": false
   },
   {
    "RulebookFieldId": "VerificationOutcomes.IsIndependentHumanObservation",
    "TargetTable": "VerificationOutcomes",
    "FieldName": "IsIndependentHumanObservation",
    "FieldType": "calculated",
    "Datatype": "boolean",
    "Formula": "=AND(NOT({{ObserverIsNonHuman}}), NOT({{IsSelfWitnessed}}), {{HasEvidence}})",
    "InventedForQuestion": "q2-cfo-who-witnessed-the-witnesses",
    "SemanticTypeIri": "urn:effortless:pko-extension#RulebookField",
    "Name": "VerificationOutcomes.IsIndependentHumanObservation",
    "IsDerived": true,
    "IsWitness": true,
    "DisagreeingSubstrateCount": 0,
    "IsSubstrateContested": false
   },
   {
    "RulebookFieldId": "VerificationOutcomes.IndependentObservationExecutionKey",
    "TargetTable": "VerificationOutcomes",
    "FieldName": "IndependentObservationExecutionKey",
    "FieldType": "calculated",
    "Datatype": "string",
    "Formula": "=IF({{IsIndependentHumanObservation}}, {{ParentProcedureExecutionOfOutcome}}, \"\")",
    "InventedForQuestion": "q2-cfo-who-witnessed-the-witnesses",
    "SemanticTypeIri": "urn:effortless:pko-extension#RulebookField",
    "Name": "VerificationOutcomes.IndependentObservationExecutionKey",
    "IsDerived": true,
    "IsWitness": true,
    "DisagreeingSubstrateCount": 0,
    "IsSubstrateContested": false
   },
   {
    "RulebookFieldId": "VerificationOutcomes.ParentProcedureExecutionOfOutcome",
    "TargetTable": "VerificationOutcomes",
    "FieldName": "ParentProcedureExecutionOfOutcome",
    "FieldType": "lookup",
    "Datatype": "string",
    "Formula": "=INDEX(StepExecutions!{{ProcedureExecution}}, MATCH({{StepExecution}}, StepExecutions!{{StepExecutionId}}, 0))",
    "InventedForQuestion": "q2-cfo-who-witnessed-the-witnesses",
    "SemanticTypeIri": "urn:effortless:pko-extension#RulebookField",
    "Name": "VerificationOutcomes.ParentProcedureExecutionOfOutcome",
    "IsDerived": true,
    "IsWitness": true,
    "DisagreeingSubstrateCount": 0,
    "IsSubstrateContested": false
   },
   {
    "RulebookFieldId": "VerificationOutcomes.SemanticTypeIri",
    "TargetTable": "VerificationOutcomes",
    "FieldName": "SemanticTypeIri",
    "FieldType": "raw",
    "Datatype": "string",
    "Formula": null,
    "InventedForQuestion": null,
    "SemanticTypeIri": "urn:effortless:pko-extension#RulebookField",
    "Name": "VerificationOutcomes.SemanticTypeIri",
    "IsDerived": false,
    "IsWitness": false,
    "DisagreeingSubstrateCount": 0,
    "IsSubstrateContested": false
   },
   {
    "RulebookFieldId": "ObservedTransitions.ObservedTransitionId",
    "TargetTable": "ObservedTransitions",
    "FieldName": "ObservedTransitionId",
    "FieldType": "raw",
    "Datatype": "string",
    "Formula": null,
    "InventedForQuestion": null,
    "SemanticTypeIri": "urn:effortless:pko-extension#RulebookField",
    "Name": "ObservedTransitions.ObservedTransitionId",
    "IsDerived": false,
    "IsWitness": false,
    "DisagreeingSubstrateCount": 0,
    "IsSubstrateContested": false
   },
   {
    "RulebookFieldId": "ObservedTransitions.Name",
    "TargetTable": "ObservedTransitions",
    "FieldName": "Name",
    "FieldType": "calculated",
    "Datatype": "string",
    "Formula": "={{StepTransition}} &amp; \" @ \" &amp; {{ObservedAt}}",
    "InventedForQuestion": null,
    "SemanticTypeIri": "urn:effortless:pko-extension#RulebookField",
    "Name": "ObservedTransitions.Name",
    "IsDerived": true,
    "IsWitness": false,
    "DisagreeingSubstrateCount": 6,
    "IsSubstrateContested": true
   },
   {
    "RulebookFieldId": "ObservedTransitions.ProcedureExecution",
    "TargetTable": "ObservedTransitions",
    "FieldName": "ProcedureExecution",
    "FieldType": "relationship",
    "Datatype": "string",
    "Formula": null,
    "InventedForQuestion": null,
    "SemanticTypeIri": "urn:effortless:pko-extension#RulebookField",
    "Name": "ObservedTransitions.ProcedureExecution",
    "IsDerived": false,
    "IsWitness": false,
    "DisagreeingSubstrateCount": 0,
    "IsSubstrateContested": false
   },
   {
    "RulebookFieldId": "ObservedTransitions.StepTransition",
    "TargetTable": "ObservedTransitions",
    "FieldName": "StepTransition",
    "FieldType": "relationship",
    "Datatype": "string",
    "Formula": null,
    "InventedForQuestion": null,
    "SemanticTypeIri": "urn:effortless:pko-extension#RulebookField",
    "Name": "ObservedTransitions.StepTransition",
    "IsDerived": false,
    "IsWitness": false,
    "DisagreeingSubstrateCount": 0,
    "IsSubstrateContested": false
   },
   {
    "RulebookFieldId": "ObservedTransitions.ArrivingStepExecution",
    "TargetTable": "ObservedTransitions",
    "FieldName": "ArrivingStepExecution",
    "FieldType": "relationship",
    "Datatype": "string",
    "Formula": null,
    "InventedForQuestion": null,
    "SemanticTypeIri": "urn:effortless:pko-extension#RulebookField",
    "Name": "ObservedTransitions.ArrivingStepExecution",
    "IsDerived": false,
    "IsWitness": false,
    "DisagreeingSubstrateCount": 0,
    "IsSubstrateContested": false
   },
   {
    "RulebookFieldId": "ObservedTransitions.ObservedAt",
    "TargetTable": "ObservedTransitions",
    "FieldName": "ObservedAt",
    "FieldType": "raw",
    "Datatype": "datetime",
    "Formula": null,
    "InventedForQuestion": null,
    "SemanticTypeIri": "urn:effortless:pko-extension#RulebookField",
    "Name": "ObservedTransitions.ObservedAt",
    "IsDerived": false,
    "IsWitness": false,
    "DisagreeingSubstrateCount": 0,
    "IsSubstrateContested": false
   },
   {
    "RulebookFieldId": "ObservedTransitions.TriggerReason",
    "TargetTable": "ObservedTransitions",
    "FieldName": "TriggerReason",
    "FieldType": "raw",
    "Datatype": "string",
    "Formula": null,
    "InventedForQuestion": null,
    "SemanticTypeIri": "urn:effortless:pko-extension#RulebookField",
    "Name": "ObservedTransitions.TriggerReason",
    "IsDerived": false,
    "IsWitness": false,
    "DisagreeingSubstrateCount": 0,
    "IsSubstrateContested": false
   },
   {
    "RulebookFieldId": "ObservedTransitions.SemanticTypeIri",
    "TargetTable": "ObservedTransitions",
    "FieldName": "SemanticTypeIri",
    "FieldType": "raw",
    "Datatype": "string",
    "Formula": null,
    "InventedForQuestion": null,
    "SemanticTypeIri": "urn:effortless:pko-extension#RulebookField",
    "Name": "ObservedTransitions.SemanticTypeIri",
    "IsDerived": false,
    "IsWitness": false,
    "DisagreeingSubstrateCount": 0,
    "IsSubstrateContested": false
   },
   {
    "RulebookFieldId": "Recipients.RecipientId",
    "TargetTable": "Recipients",
    "FieldName": "RecipientId",
    "FieldType": "raw",
    "Datatype": "string",
    "Formula": null,
    "InventedForQuestion": null,
    "SemanticTypeIri": "urn:effortless:pko-extension#RulebookField",
    "Name": "Recipients.RecipientId",
    "IsDerived": false,
    "IsWitness": false,
    "DisagreeingSubstrateCount": 0,
    "IsSubstrateContested": false
   },
   {
    "RulebookFieldId": "Recipients.Name",
    "TargetTable": "Recipients",
    "FieldName": "Name",
    "FieldType": "calculated",
    "Datatype": "string",
    "Formula": "={{DisplayName}}",
    "InventedForQuestion": null,
    "SemanticTypeIri": "urn:effortless:pko-extension#RulebookField",
    "Name": "Recipients.Name",
    "IsDerived": true,
    "IsWitness": false,
    "DisagreeingSubstrateCount": 0,
    "IsSubstrateContested": false
   },
   {
    "RulebookFieldId": "Recipients.DisplayName",
    "TargetTable": "Recipients",
    "FieldName": "DisplayName",
    "FieldType": "raw",
    "Datatype": "string",
    "Formula": null,
    "InventedForQuestion": null,
    "SemanticTypeIri": "urn:effortless:pko-extension#RulebookField",
    "Name": "Recipients.DisplayName",
    "IsDerived": false,
    "IsWitness": false,
    "DisagreeingSubstrateCount": 0,
    "IsSubstrateContested": false
   },
   {
    "RulebookFieldId": "Recipients.Organization",
    "TargetTable": "Recipients",
    "FieldName": "Organization",
    "FieldType": "relationship",
    "Datatype": "string",
    "Formula": null,
    "InventedForQuestion": null,
    "SemanticTypeIri": "urn:effortless:pko-extension#RulebookField",
    "Name": "Recipients.Organization",
    "IsDerived": false,
    "IsWitness": false,
    "DisagreeingSubstrateCount": 0,
    "IsSubstrateContested": false
   },
   {
    "RulebookFieldId": "Recipients.EmailAddress",
    "TargetTable": "Recipients",
    "FieldName": "EmailAddress",
    "FieldType": "raw",
    "Datatype": "string",
    "Formula": null,
    "InventedForQuestion": null,
    "SemanticTypeIri": "urn:effortless:pko-extension#RulebookField",
    "Name": "Recipients.EmailAddress",
    "IsDerived": false,
    "IsWitness": false,
    "DisagreeingSubstrateCount": 0,
    "IsSubstrateContested": false
   },
   {
    "RulebookFieldId": "Recipients.MobileNumber",
    "TargetTable": "Recipients",
    "FieldName": "MobileNumber",
    "FieldType": "raw",
    "Datatype": "string",
    "Formula": null,
    "InventedForQuestion": null,
    "SemanticTypeIri": "urn:effortless:pko-extension#RulebookField",
    "Name": "Recipients.MobileNumber",
    "IsDerived": false,
    "IsWitness": false,
    "DisagreeingSubstrateCount": 0,
    "IsSubstrateContested": false
   },
   {
    "RulebookFieldId": "Recipients.SmsConsentStatus",
    "TargetTable": "Recipients",
    "FieldName": "SmsConsentStatus",
    "FieldType": "raw",
    "Datatype": "string",
    "Formula": null,
    "InventedForQuestion": null,
    "SemanticTypeIri": "urn:effortless:pko-extension#RulebookField",
    "Name": "Recipients.SmsConsentStatus",
    "IsDerived": false,
    "IsWitness": false,
    "DisagreeingSubstrateCount": 0,
    "IsSubstrateContested": false
   },
   {
    "RulebookFieldId": "Recipients.SmsConsentAt",
    "TargetTable": "Recipients",
    "FieldName": "SmsConsentAt",
    "FieldType": "raw",
    "Datatype": "datetime",
    "Formula": null,
    "InventedForQuestion": null,
    "SemanticTypeIri": "urn:effortless:pko-extension#RulebookField",
    "Name": "Recipients.SmsConsentAt",
    "IsDerived": false,
    "IsWitness": false,
    "DisagreeingSubstrateCount": 0,
    "IsSubstrateContested": false
   },
   {
    "RulebookFieldId": "Recipients.ConsentBinding",
    "TargetTable": "Recipients",
    "FieldName": "ConsentBinding",
    "FieldType": "relationship",
    "Datatype": "string",
    "Formula": null,
    "InventedForQuestion": null,
    "SemanticTypeIri": "urn:effortless:pko-extension#RulebookField",
    "Name": "Recipients.ConsentBinding",
    "IsDerived": false,
    "IsWitness": false,
    "DisagreeingSubstrateCount": 0,
    "IsSubstrateContested": false
   },
   {
    "RulebookFieldId": "Recipients.HasSmsConsent",
    "TargetTable": "Recipients",
    "FieldName": "HasSmsConsent",
    "FieldType": "calculated",
    "Datatype": "boolean",
    "Formula": "={{SmsConsentStatus}} = \"Granted\"",
    "InventedForQuestion": null,
    "SemanticTypeIri": "urn:effortless:pko-extension#RulebookField",
    "Name": "Recipients.HasSmsConsent",
    "IsDerived": true,
    "IsWitness": false,
    "DisagreeingSubstrateCount": 0,
    "IsSubstrateContested": false
   },
   {
    "RulebookFieldId": "Recipients.IsEmailReachable",
    "TargetTable": "Recipients",
    "FieldName": "IsEmailReachable",
    "FieldType": "calculated",
    "Datatype": "boolean",
    "Formula": "={{EmailAddress}} &lt;&gt; \"\"",
    "InventedForQuestion": null,
    "SemanticTypeIri": "urn:effortless:pko-extension#RulebookField",
    "Name": "Recipients.IsEmailReachable",
    "IsDerived": true,
    "IsWitness": false,
    "DisagreeingSubstrateCount": 0,
    "IsSubstrateContested": false
   },
   {
    "RulebookFieldId": "Recipients.IsSmsReachable",
    "TargetTable": "Recipients",
    "FieldName": "IsSmsReachable",
    "FieldType": "calculated",
    "Datatype": "boolean",
    "Formula": "={{MobileNumber}} &lt;&gt; \"\"",
    "InventedForQuestion": null,
    "SemanticTypeIri": "urn:effortless:pko-extension#RulebookField",
    "Name": "Recipients.IsSmsReachable",
    "IsDerived": true,
    "IsWitness": false,
    "DisagreeingSubstrateCount": 0,
    "IsSubstrateContested": false
   },
   {
    "RulebookFieldId": "Recipients.IsUnreachable",
    "TargetTable": "Recipients",
    "FieldName": "IsUnreachable",
    "FieldType": "calculated",
    "Datatype": "boolean",
    "Formula": "=AND(NOT({{IsEmailReachable}}), NOT({{IsSmsReachable}}))",
    "InventedForQuestion": null,
    "SemanticTypeIri": "urn:effortless:pko-extension#RulebookField",
    "Name": "Recipients.IsUnreachable",
    "IsDerived": true,
    "IsWitness": false,
    "DisagreeingSubstrateCount": 0,
    "IsSubstrateContested": false
   },
   {
    "RulebookFieldId": "Recipients.IsCommunicationallyStranded",
    "TargetTable": "Recipients",
    "FieldName": "IsCommunicationallyStranded",
    "FieldType": "calculated",
    "Datatype": "boolean",
    "Formula": "=AND(NOT({{IsSmsReachable}}), NOT({{IsEmailReachable}}))",
    "InventedForQuestion": "q2-comms-suppression-is-a-communication",
    "SemanticTypeIri": "urn:effortless:pko-extension#RulebookField",
    "Name": "Recipients.IsCommunicationallyStranded",
    "IsDerived": true,
    "IsWitness": true,
    "DisagreeingSubstrateCount": 0,
    "IsSubstrateContested": false
   },
   {
    "RulebookFieldId": "Recipients.SemanticTypeIri",
    "TargetTable": "Recipients",
    "FieldName": "SemanticTypeIri",
    "FieldType": "raw",
    "Datatype": "string",
    "Formula": null,
    "InventedForQuestion": null,
    "SemanticTypeIri": "urn:effortless:pko-extension#RulebookField",
    "Name": "Recipients.SemanticTypeIri",
    "IsDerived": false,
    "IsWitness": false,
    "DisagreeingSubstrateCount": 0,
    "IsSubstrateContested": false
   },
   {
    "RulebookFieldId": "MessageDeliveries.MessageDeliveryId",
    "TargetTable": "MessageDeliveries",
    "FieldName": "MessageDeliveryId",
    "FieldType": "raw",
    "Datatype": "string",
    "Formula": null,
    "InventedForQuestion": null,
    "SemanticTypeIri": "urn:effortless:pko-extension#RulebookField",
    "Name": "MessageDeliveries.MessageDeliveryId",
    "IsDerived": false,
    "IsWitness": false,
    "DisagreeingSubstrateCount": 0,
    "IsSubstrateContested": false
   },
   {
    "RulebookFieldId": "MessageDeliveries.Name",
    "TargetTable": "MessageDeliveries",
    "FieldName": "Name",
    "FieldType": "calculated",
    "Datatype": "string",
    "Formula": "={{Recipient}} &amp; \" / \" &amp; {{MessageTemplate}} &amp; \" / \" &amp; {{SentAt}}",
    "InventedForQuestion": null,
    "SemanticTypeIri": "urn:effortless:pko-extension#RulebookField",
    "Name": "MessageDeliveries.Name",
    "IsDerived": true,
    "IsWitness": false,
    "DisagreeingSubstrateCount": 6,
    "IsSubstrateContested": true
   },
   {
    "RulebookFieldId": "MessageDeliveries.ProcedureExecution",
    "TargetTable": "MessageDeliveries",
    "FieldName": "ProcedureExecution",
    "FieldType": "relationship",
    "Datatype": "string",
    "Formula": null,
    "InventedForQuestion": null,
    "SemanticTypeIri": "urn:effortless:pko-extension#RulebookField",
    "Name": "MessageDeliveries.ProcedureExecution",
    "IsDerived": false,
    "IsWitness": false,
    "DisagreeingSubstrateCount": 0,
    "IsSubstrateContested": false
   },
   {
    "RulebookFieldId": "MessageDeliveries.StepExecution",
    "TargetTable": "MessageDeliveries",
    "FieldName": "StepExecution",
    "FieldType": "relationship",
    "Datatype": "string",
    "Formula": null,
    "InventedForQuestion": null,
    "SemanticTypeIri": "urn:effortless:pko-extension#RulebookField",
    "Name": "MessageDeliveries.StepExecution",
    "IsDerived": false,
    "IsWitness": false,
    "DisagreeingSubstrateCount": 0,
    "IsSubstrateContested": false
   },
   {
    "RulebookFieldId": "MessageDeliveries.Recipient",
    "TargetTable": "MessageDeliveries",
    "FieldName": "Recipient",
    "FieldType": "relationship",
    "Datatype": "string",
    "Formula": null,
    "InventedForQuestion": null,
    "SemanticTypeIri": "urn:effortless:pko-extension#RulebookField",
    "Name": "MessageDeliveries.Recipient",
    "IsDerived": false,
    "IsWitness": false,
    "DisagreeingSubstrateCount": 0,
    "IsSubstrateContested": false
   },
   {
    "RulebookFieldId": "MessageDeliveries.MessageTemplate",
    "TargetTable": "MessageDeliveries",
    "FieldName": "MessageTemplate",
    "FieldType": "relationship",
    "Datatype": "string",
    "Formula": null,
    "InventedForQuestion": null,
    "SemanticTypeIri": "urn:effortless:pko-extension#RulebookField",
    "Name": "MessageDeliveries.MessageTemplate",
    "IsDerived": false,
    "IsWitness": false,
    "DisagreeingSubstrateCount": 0,
    "IsSubstrateContested": false
   },
   {
    "RulebookFieldId": "MessageDeliveries.SentByAgent",
    "TargetTable": "MessageDeliveries",
    "FieldName": "SentByAgent",
    "FieldType": "relationship",
    "Datatype": "string",
    "Formula": null,
    "InventedForQuestion": null,
    "SemanticTypeIri": "urn:effortless:pko-extension#RulebookField",
    "Name": "MessageDeliveries.SentByAgent",
    "IsDerived": false,
    "IsWitness": false,
    "DisagreeingSubstrateCount": 0,
    "IsSubstrateContested": false
   },
   {
    "RulebookFieldId": "MessageDeliveries.RenderedBody",
    "TargetTable": "MessageDeliveries",
    "FieldName": "RenderedBody",
    "FieldType": "raw",
    "Datatype": "string",
    "Formula": null,
    "InventedForQuestion": null,
    "SemanticTypeIri": "urn:effortless:pko-extension#RulebookField",
    "Name": "MessageDeliveries.RenderedBody",
    "IsDerived": false,
    "IsWitness": false,
    "DisagreeingSubstrateCount": 0,
    "IsSubstrateContested": false
   },
   {
    "RulebookFieldId": "MessageDeliveries.SentAt",
    "TargetTable": "MessageDeliveries",
    "FieldName": "SentAt",
    "FieldType": "raw",
    "Datatype": "datetime",
    "Formula": null,
    "InventedForQuestion": null,
    "SemanticTypeIri": "urn:effortless:pko-extension#RulebookField",
    "Name": "MessageDeliveries.SentAt",
    "IsDerived": false,
    "IsWitness": false,
    "DisagreeingSubstrateCount": 0,
    "IsSubstrateContested": false
   },
   {
    "RulebookFieldId": "MessageDeliveries.SentAtLocalHour",
    "TargetTable": "MessageDeliveries",
    "FieldName": "SentAtLocalHour",
    "FieldType": "raw",
    "Datatype": "integer",
    "Formula": null,
    "InventedForQuestion": null,
    "SemanticTypeIri": "urn:effortless:pko-extension#RulebookField",
    "Name": "MessageDeliveries.SentAtLocalHour",
    "IsDerived": false,
    "IsWitness": false,
    "DisagreeingSubstrateCount": 0,
    "IsSubstrateContested": false
   },
   {
    "RulebookFieldId": "MessageDeliveries.DeliveryStatus",
    "TargetTable": "MessageDeliveries",
    "FieldName": "DeliveryStatus",
    "FieldType": "raw",
    "Datatype": "string",
    "Formula": null,
    "InventedForQuestion": null,
    "SemanticTypeIri": "urn:effortless:pko-extension#RulebookField",
    "Name": "MessageDeliveries.DeliveryStatus",
    "IsDerived": false,
    "IsWitness": false,
    "DisagreeingSubstrateCount": 0,
    "IsSubstrateContested": false
   },
   {
    "RulebookFieldId": "MessageDeliveries.SuppressionReason",
    "TargetTable": "MessageDeliveries",
    "FieldName": "SuppressionReason",
    "FieldType": "raw",
    "Datatype": "string",
    "Formula": null,
    "InventedForQuestion": null,
    "SemanticTypeIri": "urn:effortless:pko-extension#RulebookField",
    "Name": "MessageDeliveries.SuppressionReason",
    "IsDerived": false,
    "IsWitness": false,
    "DisagreeingSubstrateCount": 0,
    "IsSubstrateContested": false
   },
   {
    "RulebookFieldId": "MessageDeliveries.InvokedException",
    "TargetTable": "MessageDeliveries",
    "FieldName": "InvokedException",
    "FieldType": "relationship",
    "Datatype": "string",
    "Formula": null,
    "InventedForQuestion": null,
    "SemanticTypeIri": "urn:effortless:pko-extension#RulebookField",
    "Name": "MessageDeliveries.InvokedException",
    "IsDerived": false,
    "IsWitness": false,
    "DisagreeingSubstrateCount": 0,
    "IsSubstrateContested": false
   },
   {
    "RulebookFieldId": "MessageDeliveries.AcknowledgedAt",
    "TargetTable": "MessageDeliveries",
    "FieldName": "AcknowledgedAt",
    "FieldType": "raw",
    "Datatype": "datetime",
    "Formula": null,
    "InventedForQuestion": null,
    "SemanticTypeIri": "urn:effortless:pko-extension#RulebookField",
    "Name": "MessageDeliveries.AcknowledgedAt",
    "IsDerived": false,
    "IsWitness": false,
    "DisagreeingSubstrateCount": 0,
    "IsSubstrateContested": false
   },
   {
    "RulebookFieldId": "MessageDeliveries.PolicyChannel",
    "TargetTable": "MessageDeliveries",
    "FieldName": "PolicyChannel",
    "FieldType": "lookup",
    "Datatype": "string",
    "Formula": "=INDEX(MessageTemplates!{{CommunicationPolicy}}, MATCH({{MessageTemplate}}, MessageTemplates!{{MessageTemplateId}}, 0))",
    "InventedForQuestion": "q-counsel-sms-without-consent",
    "SemanticTypeIri": "urn:effortless:pko-extension#RulebookField",
    "Name": "MessageDeliveries.PolicyChannel",
    "IsDerived": true,
    "IsWitness": true,
    "DisagreeingSubstrateCount": 0,
    "IsSubstrateContested": false
   },
   {
    "RulebookFieldId": "MessageDeliveries.ChannelName",
    "TargetTable": "MessageDeliveries",
    "FieldName": "ChannelName",
    "FieldType": "lookup",
    "Datatype": "string",
    "Formula": "=INDEX(CommunicationPolicies!{{Channel}}, MATCH({{PolicyChannel}}, CommunicationPolicies!{{CommunicationPolicyId}}, 0))",
    "InventedForQuestion": "q-counsel-sms-without-consent",
    "SemanticTypeIri": "urn:effortless:pko-extension#RulebookField",
    "Name": "MessageDeliveries.ChannelName",
    "IsDerived": true,
    "IsWitness": true,
    "DisagreeingSubstrateCount": 0,
    "IsSubstrateContested": false
   },
   {
    "RulebookFieldId": "MessageDeliveries.PolicyRequiresConsent",
    "TargetTable": "MessageDeliveries",
    "FieldName": "PolicyRequiresConsent",
    "FieldType": "lookup",
    "Datatype": "boolean",
    "Formula": "=INDEX(CommunicationPolicies!{{ConsentRequired}}, MATCH({{PolicyChannel}}, CommunicationPolicies!{{CommunicationPolicyId}}, 0))",
    "InventedForQuestion": "q-counsel-sms-without-consent",
    "SemanticTypeIri": "urn:effortless:pko-extension#RulebookField",
    "Name": "MessageDeliveries.PolicyRequiresConsent",
    "IsDerived": true,
    "IsWitness": true,
    "DisagreeingSubstrateCount": 0,
    "IsSubstrateContested": false
   },
   {
    "RulebookFieldId": "MessageDeliveries.RecipientHasSmsConsent",
    "TargetTable": "MessageDeliveries",
    "FieldName": "RecipientHasSmsConsent",
    "FieldType": "lookup",
    "Datatype": "boolean",
    "Formula": "=INDEX(Recipients!{{HasSmsConsent}}, MATCH({{Recipient}}, Recipients!{{RecipientId}}, 0))",
    "InventedForQuestion": "q-counsel-sms-without-consent",
    "SemanticTypeIri": "urn:effortless:pko-extension#RulebookField",
    "Name": "MessageDeliveries.RecipientHasSmsConsent",
    "IsDerived": true,
    "IsWitness": true,
    "DisagreeingSubstrateCount": 0,
    "IsSubstrateContested": false
   },
   {
    "RulebookFieldId": "MessageDeliveries.WasActuallyTransmitted",
    "TargetTable": "MessageDeliveries",
    "FieldName": "WasActuallyTransmitted",
    "FieldType": "calculated",
    "Datatype": "boolean",
    "Formula": "=OR({{DeliveryStatus}} = \"Sent\", OR({{DeliveryStatus}} = \"Delivered\", {{DeliveryStatus}} = \"Bounced\"))",
    "InventedForQuestion": "q-counsel-sms-without-consent",
    "SemanticTypeIri": "urn:effortless:pko-extension#RulebookField",
    "Name": "MessageDeliveries.WasActuallyTransmitted",
    "IsDerived": true,
    "IsWitness": true,
    "DisagreeingSubstrateCount": 0,
    "IsSubstrateContested": false
   },
   {
    "RulebookFieldId": "MessageDeliveries.IsConsentViolation",
    "TargetTable": "MessageDeliveries",
    "FieldName": "IsConsentViolation",
    "FieldType": "calculated",
    "Datatype": "boolean",
    "Formula": "=AND({{WasActuallyTransmitted}}, AND({{PolicyRequiresConsent}}, NOT({{RecipientHasSmsConsent}})))",
    "InventedForQuestion": "q-counsel-sms-without-consent",
    "SemanticTypeIri": "urn:effortless:pko-extension#RulebookField",
    "Name": "MessageDeliveries.IsConsentViolation",
    "IsDerived": true,
    "IsWitness": true,
    "DisagreeingSubstrateCount": 0,
    "IsSubstrateContested": false
   },
   {
    "RulebookFieldId": "MessageDeliveries.ConsentViolationPolicyKey",
    "TargetTable": "MessageDeliveries",
    "FieldName": "ConsentViolationPolicyKey",
    "FieldType": "calculated",
    "Datatype": "string",
    "Formula": "=IF({{IsConsentViolation}}, {{PolicyChannel}}, \"\")",
    "InventedForQuestion": "q-counsel-sms-without-consent",
    "SemanticTypeIri": "urn:effortless:pko-extension#RulebookField",
    "Name": "MessageDeliveries.ConsentViolationPolicyKey",
    "IsDerived": true,
    "IsWitness": true,
    "DisagreeingSubstrateCount": 0,
    "IsSubstrateContested": false
   },
   {
    "RulebookFieldId": "MessageDeliveries.PolicyQuietHoursStartHour",
    "TargetTable": "MessageDeliveries",
    "FieldName": "PolicyQuietHoursStartHour",
    "FieldType": "lookup",
    "Datatype": "integer",
    "Formula": "=INDEX(CommunicationPolicies!{{QuietHoursStartHour}}, MATCH({{PolicyChannel}}, CommunicationPolicies!{{CommunicationPolicyId}}, 0))",
    "InventedForQuestion": "q-counsel-quiet-hours-breach",
    "SemanticTypeIri": "urn:effortless:pko-extension#RulebookField",
    "Name": "MessageDeliveries.PolicyQuietHoursStartHour",
    "IsDerived": true,
    "IsWitness": true,
    "DisagreeingSubstrateCount": 0,
    "IsSubstrateContested": false
   },
   {
    "RulebookFieldId": "MessageDeliveries.PolicyQuietHoursEndHour",
    "TargetTable": "MessageDeliveries",
    "FieldName": "PolicyQuietHoursEndHour",
    "FieldType": "lookup",
    "Datatype": "integer",
    "Formula": "=INDEX(CommunicationPolicies!{{QuietHoursEndHour}}, MATCH({{PolicyChannel}}, CommunicationPolicies!{{CommunicationPolicyId}}, 0))",
    "InventedForQuestion": "q-counsel-quiet-hours-breach",
    "SemanticTypeIri": "urn:effortless:pko-extension#RulebookField",
    "Name": "MessageDeliveries.PolicyQuietHoursEndHour",
    "IsDerived": true,
    "IsWitness": true,
    "DisagreeingSubstrateCount": 0,
    "IsSubstrateContested": false
   },
   {
    "RulebookFieldId": "MessageDeliveries.PolicyHasQuietHours",
    "TargetTable": "MessageDeliveries",
    "FieldName": "PolicyHasQuietHours",
    "FieldType": "calculated",
    "Datatype": "boolean",
    "Formula": "={{PolicyQuietHoursStartHour}} &lt;&gt; {{PolicyQuietHoursEndHour}}",
    "InventedForQuestion": "q-counsel-quiet-hours-breach",
    "SemanticTypeIri": "urn:effortless:pko-extension#RulebookField",
    "Name": "MessageDeliveries.PolicyHasQuietHours",
    "IsDerived": true,
    "IsWitness": true,
    "DisagreeingSubstrateCount": 0,
    "IsSubstrateContested": false
   },
   {
    "RulebookFieldId": "MessageDeliveries.QuietWindowWrapsMidnight",
    "TargetTable": "MessageDeliveries",
    "FieldName": "QuietWindowWrapsMidnight",
    "FieldType": "calculated",
    "Datatype": "boolean",
    "Formula": "={{PolicyQuietHoursStartHour}} &gt; {{PolicyQuietHoursEndHour}}",
    "InventedForQuestion": "q-counsel-quiet-hours-breach",
    "SemanticTypeIri": "urn:effortless:pko-extension#RulebookField",
    "Name": "MessageDeliveries.QuietWindowWrapsMidnight",
    "IsDerived": true,
    "IsWitness": true,
    "DisagreeingSubstrateCount": 0,
    "IsSubstrateContested": false
   },
   {
    "RulebookFieldId": "MessageDeliveries.IsInsideQuietWindow",
    "TargetTable": "MessageDeliveries",
    "FieldName": "IsInsideQuietWindow",
    "FieldType": "calculated",
    "Datatype": "boolean",
    "Formula": "=IF({{QuietWindowWrapsMidnight}}, OR({{SentAtLocalHour}} &gt;= {{PolicyQuietHoursStartHour}}, {{SentAtLocalHour}} &lt; {{PolicyQuietHoursEndHour}}), AND({{SentAtLocalHour}} &gt;= {{PolicyQuietHoursStartHour}}, {{SentAtLocalHour}} &lt; {{PolicyQuietHoursEndHour}}))",
    "InventedForQuestion": "q-counsel-quiet-hours-breach",
    "SemanticTypeIri": "urn:effortless:pko-extension#RulebookField",
    "Name": "MessageDeliveries.IsInsideQuietWindow",
    "IsDerived": true,
    "IsWitness": true,
    "DisagreeingSubstrateCount": 0,
    "IsSubstrateContested": false
   },
   {
    "RulebookFieldId": "MessageDeliveries.IsQuietHoursViolation",
    "TargetTable": "MessageDeliveries",
    "FieldName": "IsQuietHoursViolation",
    "FieldType": "calculated",
    "Datatype": "boolean",
    "Formula": "=AND({{WasActuallyTransmitted}}, AND({{PolicyHasQuietHours}}, {{IsInsideQuietWindow}}))",
    "InventedForQuestion": "q-counsel-quiet-hours-breach",
    "SemanticTypeIri": "urn:effortless:pko-extension#RulebookField",
    "Name": "MessageDeliveries.IsQuietHoursViolation",
    "IsDerived": true,
    "IsWitness": true,
    "DisagreeingSubstrateCount": 0,
    "IsSubstrateContested": false
   },
   {
    "RulebookFieldId": "MessageDeliveries.QuietHoursViolationPolicyKey",
    "TargetTable": "MessageDeliveries",
    "FieldName": "QuietHoursViolationPolicyKey",
    "FieldType": "calculated",
    "Datatype": "string",
    "Formula": "=IF({{IsQuietHoursViolation}}, {{PolicyChannel}}, \"\")",
    "InventedForQuestion": "q-counsel-quiet-hours-breach",
    "SemanticTypeIri": "urn:effortless:pko-extension#RulebookField",
    "Name": "MessageDeliveries.QuietHoursViolationPolicyKey",
    "IsDerived": true,
    "IsWitness": true,
    "DisagreeingSubstrateCount": 0,
    "IsSubstrateContested": false
   },
   {
    "RulebookFieldId": "MessageDeliveries.RecipientIsUnreachable",
    "TargetTable": "MessageDeliveries",
    "FieldName": "RecipientIsUnreachable",
    "FieldType": "lookup",
    "Datatype": "boolean",
    "Formula": "=INDEX(Recipients!{{IsUnreachable}}, MATCH({{Recipient}}, Recipients!{{RecipientId}}, 0))",
    "InventedForQuestion": "q-counsel-unreachable-not-acknowledged",
    "SemanticTypeIri": "urn:effortless:pko-extension#RulebookField",
    "Name": "MessageDeliveries.RecipientIsUnreachable",
    "IsDerived": true,
    "IsWitness": true,
    "DisagreeingSubstrateCount": 0,
    "IsSubstrateContested": false
   },
   {
    "RulebookFieldId": "MessageDeliveries.IsAcknowledged",
    "TargetTable": "MessageDeliveries",
    "FieldName": "IsAcknowledged",
    "FieldType": "calculated",
    "Datatype": "boolean",
    "Formula": "={{AcknowledgedAt}} &lt;&gt; \"\"",
    "InventedForQuestion": "q-counsel-unreachable-not-acknowledged",
    "SemanticTypeIri": "urn:effortless:pko-extension#RulebookField",
    "Name": "MessageDeliveries.IsAcknowledged",
    "IsDerived": true,
    "IsWitness": true,
    "DisagreeingSubstrateCount": 0,
    "IsSubstrateContested": false
   },
   {
    "RulebookFieldId": "MessageDeliveries.InvokedExceptionCondition",
    "TargetTable": "MessageDeliveries",
    "FieldName": "InvokedExceptionCondition",
    "FieldType": "lookup",
    "Datatype": "string",
    "Formula": "=INDEX(Exceptions!{{Condition}}, MATCH({{InvokedException}}, Exceptions!{{ExceptionId}}, 0))",
    "InventedForQuestion": "q-counsel-unreachable-not-acknowledged",
    "SemanticTypeIri": "urn:effortless:pko-extension#RulebookField",
    "Name": "MessageDeliveries.InvokedExceptionCondition",
    "IsDerived": true,
    "IsWitness": true,
    "DisagreeingSubstrateCount": 0,
    "IsSubstrateContested": false
   },
   {
    "RulebookFieldId": "MessageDeliveries.HasUnreachableExceptionInvoked",
    "TargetTable": "MessageDeli</t>
  </si>
  <si>
    <t xml:space="preserve">veries",
    "FieldName": "HasUnreachableExceptionInvoked",
    "FieldType": "calculated",
    "Datatype": "boolean",
    "Formula": "={{InvokedException}} = \"exc-unreachable\"",
    "InventedForQuestion": "q-counsel-unreachable-not-acknowledged",
    "SemanticTypeIri": "urn:effortless:pko-extension#RulebookField",
    "Name": "MessageDeliveries.HasUnreachableExceptionInvoked",
    "IsDerived": true,
    "IsWitness": true,
    "DisagreeingSubstrateCount": 0,
    "IsSubstrateContested": false
   },
   {
    "RulebookFieldId": "MessageDeliveries.IsFabricatedAcknowledgement",
    "TargetTable": "MessageDeliveries",
    "FieldName": "IsFabricatedAcknowledgement",
    "FieldType": "calculated",
    "Datatype": "boolean",
    "Formula": "=AND({{RecipientIsUnreachable}}, {{IsAcknowledged}})",
    "InventedForQuestion": "q-counsel-unreachable-not-acknowledged",
    "SemanticTypeIri": "urn:effortless:pko-extension#RulebookField",
    "Name": "MessageDeliveries.IsFabricatedAcknowledgement",
    "IsDerived": true,
    "IsWitness": true,
    "DisagreeingSubstrateCount": 0,
    "IsSubstrateContested": false
   },
   {
    "RulebookFieldId": "MessageDeliveries.IsUnhandledUnreachable",
    "TargetTable": "MessageDeliveries",
    "FieldName": "IsUnhandledUnreachable",
    "FieldType": "calculated",
    "Datatype": "boolean",
    "Formula": "=AND({{RecipientIsUnreachable}}, NOT({{HasUnreachableExceptionInvoked}}))",
    "InventedForQuestion": "q-counsel-unreachable-not-acknowledged",
    "SemanticTypeIri": "urn:effortless:pko-extension#RulebookField",
    "Name": "MessageDeliveries.IsUnhandledUnreachable",
    "IsDerived": true,
    "IsWitness": true,
    "DisagreeingSubstrateCount": 0,
    "IsSubstrateContested": false
   },
   {
    "RulebookFieldId": "MessageDeliveries.UnreachableFailureKey",
    "TargetTable": "MessageDeliveries",
    "FieldName": "UnreachableFailureKey",
    "FieldType": "calculated",
    "Datatype": "string",
    "Formula": "=IF(OR({{IsFabricatedAcknowledgement}}, {{IsUnhandledUnreachable}}), {{ProcedureExecution}}, \"\")",
    "InventedForQuestion": "q-counsel-unreachable-not-acknowledged",
    "SemanticTypeIri": "urn:effortless:pko-extension#RulebookField",
    "Name": "MessageDeliveries.UnreachableFailureKey",
    "IsDerived": true,
    "IsWitness": true,
    "DisagreeingSubstrateCount": 0,
    "IsSubstrateContested": false
   },
   {
    "RulebookFieldId": "MessageDeliveries.PolicyRetentionDays",
    "TargetTable": "MessageDeliveries",
    "FieldName": "PolicyRetentionDays",
    "FieldType": "lookup",
    "Datatype": "integer",
    "Formula": "=INDEX(CommunicationPolicies!{{RetentionDays}}, MATCH({{PolicyChannel}}, CommunicationPolicies!{{CommunicationPolicyId}}, 0))",
    "InventedForQuestion": "q-counsel-retention-evidence",
    "SemanticTypeIri": "urn:effortless:pko-extension#RulebookField",
    "Name": "MessageDeliveries.PolicyRetentionDays",
    "IsDerived": true,
    "IsWitness": true,
    "DisagreeingSubstrateCount": 0,
    "IsSubstrateContested": false
   },
   {
    "RulebookFieldId": "MessageDeliveries.EvaluationContext",
    "TargetTable": "MessageDeliveries",
    "FieldName": "EvaluationContext",
    "FieldType": "relationship",
    "Datatype": "string",
    "Formula": null,
    "InventedForQuestion": null,
    "SemanticTypeIri": "urn:effortless:pko-extension#RulebookField",
    "Name": "MessageDeliveries.EvaluationContext",
    "IsDerived": false,
    "IsWitness": false,
    "DisagreeingSubstrateCount": 0,
    "IsSubstrateContested": false
   },
   {
    "RulebookFieldId": "MessageDeliveries.AsOfInstant",
    "TargetTable": "MessageDeliveries",
    "FieldName": "AsOfInstant",
    "FieldType": "lookup",
    "Datatype": "datetime",
    "Formula": "=INDEX(EvaluationContexts!{{AsOfInstant}}, MATCH({{EvaluationContext}}, EvaluationContexts!{{EvaluationContextId}}, 0))",
    "InventedForQuestion": null,
    "SemanticTypeIri": "urn:effortless:pko-extension#RulebookField",
    "Name": "MessageDeliveries.AsOfInstant",
    "IsDerived": true,
    "IsWitness": false,
    "DisagreeingSubstrateCount": 1,
    "IsSubstrateContested": true
   },
   {
    "RulebookFieldId": "MessageDeliveries.AgeDays",
    "TargetTable": "MessageDeliveries",
    "FieldName": "AgeDays",
    "FieldType": "calculated",
    "Datatype": "integer",
    "Formula": "=DATETIME_DIFF({{AsOfInstant}}, {{SentAt}}, \"days\")",
    "InventedForQuestion": "q-counsel-retention-evidence",
    "SemanticTypeIri": "urn:effortless:pko-extension#RulebookField",
    "Name": "MessageDeliveries.AgeDays",
    "IsDerived": true,
    "IsWitness": true,
    "DisagreeingSubstrateCount": 7,
    "IsSubstrateContested": true
   },
   {
    "RulebookFieldId": "MessageDeliveries.IsWithinRetentionWindow",
    "TargetTable": "MessageDeliveries",
    "FieldName": "IsWithinRetentionWindow",
    "FieldType": "calculated",
    "Datatype": "boolean",
    "Formula": "={{AgeDays}} &lt;= {{PolicyRetentionDays}}",
    "InventedForQuestion": "q-counsel-retention-evidence",
    "SemanticTypeIri": "urn:effortless:pko-extension#RulebookField",
    "Name": "MessageDeliveries.IsWithinRetentionWindow",
    "IsDerived": true,
    "IsWitness": true,
    "DisagreeingSubstrateCount": 0,
    "IsSubstrateContested": false
   },
   {
    "RulebookFieldId": "MessageDeliveries.HasRenderedBody",
    "TargetTable": "MessageDeliveries",
    "FieldName": "HasRenderedBody",
    "FieldType": "calculated",
    "Datatype": "boolean",
    "Formula": "={{RenderedBody}} &lt;&gt; \"\"",
    "InventedForQuestion": "q-counsel-retention-evidence",
    "SemanticTypeIri": "urn:effortless:pko-extension#RulebookField",
    "Name": "MessageDeliveries.HasRenderedBody",
    "IsDerived": true,
    "IsWitness": true,
    "DisagreeingSubstrateCount": 0,
    "IsSubstrateContested": false
   },
   {
    "RulebookFieldId": "MessageDeliveries.IsEvidenceRequired",
    "TargetTable": "MessageDeliveries",
    "FieldName": "IsEvidenceRequired",
    "FieldType": "calculated",
    "Datatype": "boolean",
    "Formula": "=AND({{WasActuallyTransmitted}}, {{IsWithinRetentionWindow}})",
    "InventedForQuestion": "q-counsel-retention-evidence",
    "SemanticTypeIri": "urn:effortless:pko-extension#RulebookField",
    "Name": "MessageDeliveries.IsEvidenceRequired",
    "IsDerived": true,
    "IsWitness": true,
    "DisagreeingSubstrateCount": 0,
    "IsSubstrateContested": false
   },
   {
    "RulebookFieldId": "MessageDeliveries.IsRetentionBreach",
    "TargetTable": "MessageDeliveries",
    "FieldName": "IsRetentionBreach",
    "FieldType": "calculated",
    "Datatype": "boolean",
    "Formula": "=AND({{IsEvidenceRequired}}, NOT({{HasRenderedBody}}))",
    "InventedForQuestion": "q-counsel-retention-evidence",
    "SemanticTypeIri": "urn:effortless:pko-extension#RulebookField",
    "Name": "MessageDeliveries.IsRetentionBreach",
    "IsDerived": true,
    "IsWitness": true,
    "DisagreeingSubstrateCount": 0,
    "IsSubstrateContested": false
   },
   {
    "RulebookFieldId": "MessageDeliveries.RetentionBreachExecutionKey",
    "TargetTable": "MessageDeliveries",
    "FieldName": "RetentionBreachExecutionKey",
    "FieldType": "calculated",
    "Datatype": "string",
    "Formula": "=IF({{IsRetentionBreach}}, {{ProcedureExecution}}, \"\")",
    "InventedForQuestion": "q-counsel-retention-evidence",
    "SemanticTypeIri": "urn:effortless:pko-extension#RulebookField",
    "Name": "MessageDeliveries.RetentionBreachExecutionKey",
    "IsDerived": true,
    "IsWitness": true,
    "DisagreeingSubstrateCount": 0,
    "IsSubstrateContested": false
   },
   {
    "RulebookFieldId": "MessageDeliveries.SendingStepExecutionStep",
    "TargetTable": "MessageDeliveries",
    "FieldName": "SendingStepExecutionStep",
    "FieldType": "lookup",
    "Datatype": "string",
    "Formula": "=INDEX(StepExecutions!{{Step}}, MATCH({{StepExecution}}, StepExecutions!{{StepExecutionId}}, 0))",
    "InventedForQuestion": "q-counsel-legal-review-gated-send",
    "SemanticTypeIri": "urn:effortless:pko-extension#RulebookField",
    "Name": "MessageDeliveries.SendingStepExecutionStep",
    "IsDerived": true,
    "IsWitness": true,
    "DisagreeingSubstrateCount": 0,
    "IsSubstrateContested": false
   },
   {
    "RulebookFieldId": "MessageDeliveries.ExecutionHasClearedLegalReview",
    "TargetTable": "MessageDeliveries",
    "FieldName": "ExecutionHasClearedLegalReview",
    "FieldType": "lookup",
    "Datatype": "boolean",
    "Formula": "=INDEX(ProcedureExecutions!{{HasClearedLegalReview}}, MATCH({{ProcedureExecution}}, ProcedureExecutions!{{ProcedureExecutionId}}, 0))",
    "InventedForQuestion": "q-counsel-legal-review-gated-send",
    "SemanticTypeIri": "urn:effortless:pko-extension#RulebookField",
    "Name": "MessageDeliveries.ExecutionHasClearedLegalReview",
    "IsDerived": true,
    "IsWitness": true,
    "DisagreeingSubstrateCount": 0,
    "IsSubstrateContested": false
   },
   {
    "RulebookFieldId": "MessageDeliveries.IsUnreviewedSend",
    "TargetTable": "MessageDeliveries",
    "FieldName": "IsUnreviewedSend",
    "FieldType": "calculated",
    "Datatype": "boolean",
    "Formula": "=AND({{WasActuallyTransmitted}}, NOT({{ExecutionHasClearedLegalReview}}))",
    "InventedForQuestion": "q-counsel-legal-review-gated-send",
    "SemanticTypeIri": "urn:effortless:pko-extension#RulebookField",
    "Name": "MessageDeliveries.IsUnreviewedSend",
    "IsDerived": true,
    "IsWitness": true,
    "DisagreeingSubstrateCount": 0,
    "IsSubstrateContested": false
   },
   {
    "RulebookFieldId": "MessageDeliveries.RenderedBodyLength",
    "TargetTable": "MessageDeliveries",
    "FieldName": "RenderedBodyLength",
    "FieldType": "calculated",
    "Datatype": "integer",
    "Formula": "=LEN({{RenderedBody}})",
    "InventedForQuestion": "q-comms-oversized-sms",
    "SemanticTypeIri": "urn:effortless:pko-extension#RulebookField",
    "Name": "MessageDeliveries.RenderedBodyLength",
    "IsDerived": true,
    "IsWitness": true,
    "DisagreeingSubstrateCount": 0,
    "IsSubstrateContested": false
   },
   {
    "RulebookFieldId": "MessageDeliveries.PolicyMaxMessageLengthAtSend",
    "TargetTable": "MessageDeliveries",
    "FieldName": "PolicyMaxMessageLengthAtSend",
    "FieldType": "lookup",
    "Datatype": "integer",
    "Formula": "=INDEX(CommunicationPolicies!{{MaxMessageLength}}, MATCH({{PolicyChannel}}, CommunicationPolicies!{{CommunicationPolicyId}}, 0))",
    "InventedForQuestion": "q-comms-oversized-sms",
    "SemanticTypeIri": "urn:effortless:pko-extension#RulebookField",
    "Name": "MessageDeliveries.PolicyMaxMessageLengthAtSend",
    "IsDerived": true,
    "IsWitness": true,
    "DisagreeingSubstrateCount": 0,
    "IsSubstrateContested": false
   },
   {
    "RulebookFieldId": "MessageDeliveries.SegmentCount",
    "TargetTable": "MessageDeliveries",
    "FieldName": "SegmentCount",
    "FieldType": "calculated",
    "Datatype": "integer",
    "Formula": "=IF({{RenderedBodyLength}} = 0, 0, IF({{RenderedBodyLength}} &lt;= {{PolicyMaxMessageLengthAtSend}}, 1, ROUNDUP({{RenderedBodyLength}} / {{PolicyMaxMessageLengthAtSend}}, 0)))",
    "InventedForQuestion": "q-comms-oversized-sms",
    "SemanticTypeIri": "urn:effortless:pko-extension#RulebookField",
    "Name": "MessageDeliveries.SegmentCount",
    "IsDerived": true,
    "IsWitness": true,
    "DisagreeingSubstrateCount": 6,
    "IsSubstrateContested": true
   },
   {
    "RulebookFieldId": "MessageDeliveries.PolicyMaxSegmentsAtSend",
    "TargetTable": "MessageDeliveries",
    "FieldName": "PolicyMaxSegmentsAtSend",
    "FieldType": "lookup",
    "Datatype": "integer",
    "Formula": "=INDEX(CommunicationPolicies!{{MaxSegments}}, MATCH({{PolicyChannel}}, CommunicationPolicies!{{CommunicationPolicyId}}, 0))",
    "InventedForQuestion": "q-comms-oversized-sms",
    "SemanticTypeIri": "urn:effortless:pko-extension#RulebookField",
    "Name": "MessageDeliveries.PolicyMaxSegmentsAtSend",
    "IsDerived": true,
    "IsWitness": true,
    "DisagreeingSubstrateCount": 0,
    "IsSubstrateContested": false
   },
   {
    "RulebookFieldId": "MessageDeliveries.IsOverSegmentLimit",
    "TargetTable": "MessageDeliveries",
    "FieldName": "IsOverSegmentLimit",
    "FieldType": "calculated",
    "Datatype": "boolean",
    "Formula": "=AND({{WasActuallyTransmitted}}, {{SegmentCount}} &gt; {{PolicyMaxSegmentsAtSend}})",
    "InventedForQuestion": "q-comms-oversized-sms",
    "SemanticTypeIri": "urn:effortless:pko-extension#RulebookField",
    "Name": "MessageDeliveries.IsOverSegmentLimit",
    "IsDerived": true,
    "IsWitness": true,
    "DisagreeingSubstrateCount": 0,
    "IsSubstrateContested": false
   },
   {
    "RulebookFieldId": "MessageDeliveries.TemplateHasValidApproval",
    "TargetTable": "MessageDeliveries",
    "FieldName": "TemplateHasValidApproval",
    "FieldType": "lookup",
    "Datatype": "boolean",
    "Formula": "=INDEX(MessageTemplates!{{HasValidApproval}}, MATCH({{MessageTemplate}}, MessageTemplates!{{MessageTemplateId}}, 0))",
    "InventedForQuestion": "q-comms-approval-authority",
    "SemanticTypeIri": "urn:effortless:pko-extension#RulebookField",
    "Name": "MessageDeliveries.TemplateHasValidApproval",
    "IsDerived": true,
    "IsWitness": true,
    "DisagreeingSubstrateCount": 0,
    "IsSubstrateContested": false
   },
   {
    "RulebookFieldId": "MessageDeliveries.IsUnapprovedSend",
    "TargetTable": "MessageDeliveries",
    "FieldName": "IsUnapprovedSend",
    "FieldType": "calculated",
    "Datatype": "boolean",
    "Formula": "=AND({{WasActuallyTransmitted}}, NOT({{TemplateHasValidApproval}}))",
    "InventedForQuestion": "q-comms-approval-authority",
    "SemanticTypeIri": "urn:effortless:pko-extension#RulebookField",
    "Name": "MessageDeliveries.IsUnapprovedSend",
    "IsDerived": true,
    "IsWitness": true,
    "DisagreeingSubstrateCount": 0,
    "IsSubstrateContested": false
   },
   {
    "RulebookFieldId": "MessageDeliveries.PolicyRequiredOptOutPhrase",
    "TargetTable": "MessageDeliveries",
    "FieldName": "PolicyRequiredOptOutPhrase",
    "FieldType": "lookup",
    "Datatype": "string",
    "Formula": "=INDEX(CommunicationPolicies!{{RequiredOptOutPhrase}}, MATCH({{PolicyChannel}}, CommunicationPolicies!{{CommunicationPolicyId}}, 0))",
    "InventedForQuestion": "q-comms-optout-present",
    "SemanticTypeIri": "urn:effortless:pko-extension#RulebookField",
    "Name": "MessageDeliveries.PolicyRequiredOptOutPhrase",
    "IsDerived": true,
    "IsWitness": true,
    "DisagreeingSubstrateCount": 0,
    "IsSubstrateContested": false
   },
   {
    "RulebookFieldId": "MessageDeliveries.PolicyRequiresOptOut",
    "TargetTable": "MessageDeliveries",
    "FieldName": "PolicyRequiresOptOut",
    "FieldType": "calculated",
    "Datatype": "boolean",
    "Formula": "={{PolicyRequiredOptOutPhrase}} &lt;&gt; \"\"",
    "InventedForQuestion": "q-comms-optout-present",
    "SemanticTypeIri": "urn:effortless:pko-extension#RulebookField",
    "Name": "MessageDeliveries.PolicyRequiresOptOut",
    "IsDerived": true,
    "IsWitness": true,
    "DisagreeingSubstrateCount": 1,
    "IsSubstrateContested": true
   },
   {
    "RulebookFieldId": "MessageDeliveries.OptOutPhrasePosition",
    "TargetTable": "MessageDeliveries",
    "FieldName": "OptOutPhrasePosition",
    "FieldType": "calculated",
    "Datatype": "integer",
    "Formula": "=FIND({{PolicyRequiredOptOutPhrase}}, {{RenderedBody}})",
    "InventedForQuestion": "q-comms-optout-present",
    "SemanticTypeIri": "urn:effortless:pko-extension#RulebookField",
    "Name": "MessageDeliveries.OptOutPhrasePosition",
    "IsDerived": true,
    "IsWitness": true,
    "DisagreeingSubstrateCount": 6,
    "IsSubstrateContested": true
   },
   {
    "RulebookFieldId": "MessageDeliveries.HasOptOutPhrase",
    "TargetTable": "MessageDeliveries",
    "FieldName": "HasOptOutPhrase",
    "FieldType": "calculated",
    "Datatype": "boolean",
    "Formula": "={{OptOutPhrasePosition}} &gt; 0",
    "InventedForQuestion": "q-comms-optout-present",
    "SemanticTypeIri": "urn:effortless:pko-extension#RulebookField",
    "Name": "MessageDeliveries.HasOptOutPhrase",
    "IsDerived": true,
    "IsWitness": true,
    "DisagreeingSubstrateCount": 2,
    "IsSubstrateContested": true
   },
   {
    "RulebookFieldId": "MessageDeliveries.IsOptOutInFirstSegment",
    "TargetTable": "MessageDeliveries",
    "FieldName": "IsOptOutInFirstSegment",
    "FieldType": "calculated",
    "Datatype": "boolean",
    "Formula": "=AND({{HasOptOutPhrase}}, {{OptOutPhrasePosition}} &lt;= {{PolicyMaxMessageLengthAtSend}})",
    "InventedForQuestion": "q-comms-optout-present",
    "SemanticTypeIri": "urn:effortless:pko-extension#RulebookField",
    "Name": "MessageDeliveries.IsOptOutInFirstSegment",
    "IsDerived": true,
    "IsWitness": true,
    "DisagreeingSubstrateCount": 2,
    "IsSubstrateContested": true
   },
   {
    "RulebookFieldId": "MessageDeliveries.IsMissingRequiredOptOut",
    "TargetTable": "MessageDeliveries",
    "FieldName": "IsMissingRequiredOptOut",
    "FieldType": "calculated",
    "Datatype": "boolean",
    "Formula": "=AND({{WasActuallyTransmitted}}, AND({{PolicyRequiresOptOut}}, NOT({{HasOptOutPhrase}})))",
    "InventedForQuestion": "q-comms-optout-present",
    "SemanticTypeIri": "urn:effortless:pko-extension#RulebookField",
    "Name": "MessageDeliveries.IsMissingRequiredOptOut",
    "IsDerived": true,
    "IsWitness": true,
    "DisagreeingSubstrateCount": 2,
    "IsSubstrateContested": true
   },
   {
    "RulebookFieldId": "MessageDeliveries.IsOptOutAtRiskOfTruncation",
    "TargetTable": "MessageDeliveries",
    "FieldName": "IsOptOutAtRiskOfTruncation",
    "FieldType": "calculated",
    "Datatype": "boolean",
    "Formula": "=AND({{WasActuallyTransmitted}}, AND({{PolicyRequiresOptOut}}, AND({{HasOptOutPhrase}}, NOT({{IsOptOutInFirstSegment}}))))",
    "InventedForQuestion": "q-comms-optout-present",
    "SemanticTypeIri": "urn:effortless:pko-extension#RulebookField",
    "Name": "MessageDeliveries.IsOptOutAtRiskOfTruncation",
    "IsDerived": true,
    "IsWitness": true,
    "DisagreeingSubstrateCount": 1,
    "IsSubstrateContested": true
   },
   {
    "RulebookFieldId": "MessageDeliveries.IsFailedDelivery",
    "TargetTable": "MessageDeliveries",
    "FieldName": "IsFailedDelivery",
    "FieldType": "calculated",
    "Datatype": "boolean",
    "Formula": "=OR({{DeliveryStatus}} = \"Failed\", {{DeliveryStatus}} = \"Bounced\")",
    "InventedForQuestion": "q-comms-deliverability",
    "SemanticTypeIri": "urn:effortless:pko-extension#RulebookField",
    "Name": "MessageDeliveries.IsFailedDelivery",
    "IsDerived": true,
    "IsWitness": true,
    "DisagreeingSubstrateCount": 0,
    "IsSubstrateContested": false
   },
   {
    "RulebookFieldId": "MessageDeliveries.IsSuppressed",
    "TargetTable": "MessageDeliveries",
    "FieldName": "IsSuppressed",
    "FieldType": "calculated",
    "Datatype": "boolean",
    "Formula": "={{DeliveryStatus}} = \"Suppressed\"",
    "InventedForQuestion": "q-comms-deliverability",
    "SemanticTypeIri": "urn:effortless:pko-extension#RulebookField",
    "Name": "MessageDeliveries.IsSuppressed",
    "IsDerived": true,
    "IsWitness": true,
    "DisagreeingSubstrateCount": 0,
    "IsSubstrateContested": false
   },
   {
    "RulebookFieldId": "MessageDeliveries.IsTriaged",
    "TargetTable": "MessageDeliveries",
    "FieldName": "IsTriaged",
    "FieldType": "calculated",
    "Datatype": "boolean",
    "Formula": "={{InvokedException}} &lt;&gt; \"\"",
    "InventedForQuestion": "q-comms-deliverability",
    "SemanticTypeIri": "urn:effortless:pko-extension#RulebookField",
    "Name": "MessageDeliveries.IsTriaged",
    "IsDerived": true,
    "IsWitness": true,
    "DisagreeingSubstrateCount": 0,
    "IsSubstrateContested": false
   },
   {
    "RulebookFieldId": "MessageDeliveries.IsAbandonedFailure",
    "TargetTable": "MessageDeliveries",
    "FieldName": "IsAbandonedFailure",
    "FieldType": "calculated",
    "Datatype": "boolean",
    "Formula": "=AND({{IsFailedDelivery}}, NOT({{IsTriaged}}))",
    "InventedForQuestion": "q-comms-deliverability",
    "SemanticTypeIri": "urn:effortless:pko-extension#RulebookField",
    "Name": "MessageDeliveries.IsAbandonedFailure",
    "IsDerived": true,
    "IsWitness": true,
    "DisagreeingSubstrateCount": 0,
    "IsSubstrateContested": false
   },
   {
    "RulebookFieldId": "MessageDeliveries.AbandonedFailureExecutionKey",
    "TargetTable": "MessageDeliveries",
    "FieldName": "AbandonedFailureExecutionKey",
    "FieldType": "calculated",
    "Datatype": "string",
    "Formula": "=IF({{IsAbandonedFailure}}, {{ProcedureExecution}}, \"\")",
    "InventedForQuestion": "q-comms-deliverability",
    "SemanticTypeIri": "urn:effortless:pko-extension#RulebookField",
    "Name": "MessageDeliveries.AbandonedFailureExecutionKey",
    "IsDerived": true,
    "IsWitness": true,
    "DisagreeingSubstrateCount": 0,
    "IsSubstrateContested": false
   },
   {
    "RulebookFieldId": "MessageDeliveries.ReachedExecutionKey",
    "TargetTable": "MessageDeliveries",
    "FieldName": "ReachedExecutionKey",
    "FieldType": "calculated",
    "Datatype": "string",
    "Formula": "=IF({{DeliveryStatus}} = \"Delivered\", {{ProcedureExecution}}, \"\")",
    "InventedForQuestion": "q-comms-deliverability",
    "SemanticTypeIri": "urn:effortless:pko-extension#RulebookField",
    "Name": "MessageDeliveries.ReachedExecutionKey",
    "IsDerived": true,
    "IsWitness": true,
    "DisagreeingSubstrateCount": 0,
    "IsSubstrateContested": false
   },
   {
    "RulebookFieldId": "MessageDeliveries.TemplateWasSendable",
    "TargetTable": "MessageDeliveries",
    "FieldName": "TemplateWasSendable",
    "FieldType": "lookup",
    "Datatype": "boolean",
    "Formula": "=INDEX(MessageTemplates!{{IsSendableUnderApproval}}, MATCH({{MessageTemplate}}, MessageTemplates!{{MessageTemplateId}}, 0))",
    "InventedForQuestion": "q-comms-template-drift",
    "SemanticTypeIri": "urn:effortless:pko-extension#RulebookField",
    "Name": "MessageDeliveries.TemplateWasSendable",
    "IsDerived": true,
    "IsWitness": true,
    "DisagreeingSubstrateCount": 0,
    "IsSubstrateContested": false
   },
   {
    "RulebookFieldId": "MessageDeliveries.IsDriftedSend",
    "TargetTable": "MessageDeliveries",
    "FieldName": "IsDriftedSend",
    "FieldType": "calculated",
    "Datatype": "boolean",
    "Formula": "=AND({{WasActuallyTransmitted}}, NOT({{TemplateWasSendable}}))",
    "InventedForQuestion": "q-comms-template-drift",
    "SemanticTypeIri": "urn:effortless:pko-extension#RulebookField",
    "Name": "MessageDeliveries.IsDriftedSend",
    "IsDerived": true,
    "IsWitness": true,
    "DisagreeingSubstrateCount": 0,
    "IsSubstrateContested": false
   },
   {
    "RulebookFieldId": "MessageDeliveries.DriftedSendTemplateKey",
    "TargetTable": "MessageDeliveries",
    "FieldName": "DriftedSendTemplateKey",
    "FieldType": "calculated",
    "Datatype": "string",
    "Formula": "=IF({{IsDriftedSend}}, {{MessageTemplate}}, \"\")",
    "InventedForQuestion": "q-comms-template-drift",
    "SemanticTypeIri": "urn:effortless:pko-extension#RulebookField",
    "Name": "MessageDeliveries.DriftedSendTemplateKey",
    "IsDerived": true,
    "IsWitness": true,
    "DisagreeingSubstrateCount": 0,
    "IsSubstrateContested": false
   },
   {
    "RulebookFieldId": "MessageDeliveries.WasSentOutsideBusinessHours",
    "TargetTable": "MessageDeliveries",
    "FieldName": "WasSentOutsideBusinessHours",
    "FieldType": "calculated",
    "Datatype": "boolean",
    "Formula": "=OR({{SentAtLocalHour}} &lt; 8, {{SentAtLocalHour}} &gt; 18)",
    "InventedForQuestion": "q2-comms-message-nobody-answered",
    "SemanticTypeIri": "urn:effortless:pko-extension#RulebookField",
    "Name": "MessageDeliveries.WasSentOutsideBusinessHours",
    "IsDerived": true,
    "IsWitness": true,
    "DisagreeingSubstrateCount": 0,
    "IsSubstrateContested": false
   },
   {
    "RulebookFieldId": "MessageDeliveries.WasDeliveredAndUnanswered",
    "TargetTable": "MessageDeliveries",
    "FieldName": "WasDeliveredAndUnanswered",
    "FieldType": "calculated",
    "Datatype": "boolean",
    "Formula": "=AND({{WasActuallyTransmitted}}, NOT({{IsAcknowledged}}))",
    "InventedForQuestion": "q2-comms-message-nobody-answered",
    "SemanticTypeIri": "urn:effortless:pko-extension#RulebookField",
    "Name": "MessageDeliveries.WasDeliveredAndUnanswered",
    "IsDerived": true,
    "IsWitness": true,
    "DisagreeingSubstrateCount": 0,
    "IsSubstrateContested": false
   },
   {
    "RulebookFieldId": "MessageDeliveries.IsPoorlyTimedUnanswered",
    "TargetTable": "MessageDeliveries",
    "FieldName": "IsPoorlyTimedUnanswered",
    "FieldType": "calculated",
    "Datatype": "boolean",
    "Formula": "=AND({{WasDeliveredAndUnanswered}}, {{WasSentOutsideBusinessHours}})",
    "InventedForQuestion": "q2-comms-message-nobody-answered",
    "SemanticTypeIri": "urn:effortless:pko-extension#RulebookField",
    "Name": "MessageDeliveries.IsPoorlyTimedUnanswered",
    "IsDerived": true,
    "IsWitness": true,
    "DisagreeingSubstrateCount": 0,
    "IsSubstrateContested": false
   },
   {
    "RulebookFieldId": "MessageDeliveries.IsWellTimedUnanswered",
    "TargetTable": "MessageDeliveries",
    "FieldName": "IsWellTimedUnanswered",
    "FieldType": "calculated",
    "Datatype": "boolean",
    "Formula": "=AND({{WasDeliveredAndUnanswered}}, NOT({{WasSentOutsideBusinessHours}}))",
    "InventedForQuestion": "q2-comms-message-nobody-answered",
    "SemanticTypeIri": "urn:effortless:pko-extension#RulebookField",
    "Name": "MessageDeliveries.IsWellTimedUnanswered",
    "IsDerived": true,
    "IsWitness": true,
    "DisagreeingSubstrateCount": 0,
    "IsSubstrateContested": false
   },
   {
    "RulebookFieldId": "MessageDeliveries.UnansweredTemplateKey",
    "TargetTable": "MessageDeliveries",
    "FieldName": "UnansweredTemplateKey",
    "FieldType": "calculated",
    "Datatype": "string",
    "Formula": "=IF({{WasDeliveredAndUnanswered}}, {{MessageTemplate}}, \"\")",
    "InventedForQuestion": "q2-comms-message-nobody-answered",
    "SemanticTypeIri": "urn:effortless:pko-extension#RulebookField",
    "Name": "MessageDeliveries.UnansweredTemplateKey",
    "IsDerived": true,
    "IsWitness": true,
    "DisagreeingSubstrateCount": 0,
    "IsSubstrateContested": false
   },
   {
    "RulebookFieldId": "MessageDeliveries.TransmittedTemplateKey",
    "TargetTable": "MessageDeliveries",
    "FieldName": "TransmittedTemplateKey",
    "FieldType": "calculated",
    "Datatype": "string",
    "Formula": "=IF({{WasActuallyTransmitted}}, {{MessageTemplate}}, \"\")",
    "InventedForQuestion": "q2-comms-message-nobody-answered",
    "SemanticTypeIri": "urn:effortless:pko-extension#RulebookField",
    "Name": "MessageDeliveries.TransmittedTemplateKey",
    "IsDerived": true,
    "IsWitness": true,
    "DisagreeingSubstrateCount": 0,
    "IsSubstrateContested": false
   },
   {
    "RulebookFieldId": "MessageDeliveries.ApprovingAgentAtSend",
    "TargetTable": "MessageDeliveries",
    "FieldName": "ApprovingAgentAtSend",
    "FieldType": "raw",
    "Datatype": "string",
    "Formula": null,
    "InventedForQuestion": "q2-comms-freeze-what-i-approved",
    "SemanticTypeIri": "urn:effortless:pko-extension#RulebookField",
    "Name": "MessageDeliveries.ApprovingAgentAtSend",
    "IsDerived": false,
    "IsWitness": true,
    "DisagreeingSubstrateCount": 0,
    "IsSubstrateContested": false
   },
   {
    "RulebookFieldId": "MessageDeliveries.ApprovingRoleAtSend",
    "TargetTable": "MessageDeliveries",
    "FieldName": "ApprovingRoleAtSend",
    "FieldType": "raw",
    "Datatype": "string",
    "Formula": null,
    "InventedForQuestion": "q2-comms-freeze-what-i-approved",
    "SemanticTypeIri": "urn:effortless:pko-extension#RulebookField",
    "Name": "MessageDeliveries.ApprovingRoleAtSend",
    "IsDerived": false,
    "IsWitness": true,
    "DisagreeingSubstrateCount": 0,
    "IsSubstrateContested": false
   },
   {
    "RulebookFieldId": "MessageDeliveries.ApprovalDecidedAtSend",
    "TargetTable": "MessageDeliveries",
    "FieldName": "ApprovalDecidedAtSend",
    "FieldType": "raw",
    "Datatype": "datetime",
    "Formula": null,
    "InventedForQuestion": "q2-comms-freeze-what-i-approved",
    "SemanticTypeIri": "urn:effortless:pko-extension#RulebookField",
    "Name": "MessageDeliveries.ApprovalDecidedAtSend",
    "IsDerived": false,
    "IsWitness": true,
    "DisagreeingSubstrateCount": 0,
    "IsSubstrateContested": false
   },
   {
    "RulebookFieldId": "MessageDeliveries.ApprovalPrecededSend",
    "TargetTable": "MessageDeliveries",
    "FieldName": "ApprovalPrecededSend",
    "FieldType": "calculated",
    "Datatype": "boolean",
    "Formula": "=AND({{ApprovalDecidedAtSend}} &lt;&gt; \"\", {{SentAt}} &gt; {{ApprovalDecidedAtSend}})",
    "InventedForQuestion": "q2-comms-freeze-what-i-approved",
    "SemanticTypeIri": "urn:effortless:pko-extension#RulebookField",
    "Name": "MessageDeliveries.ApprovalPrecededSend",
    "IsDerived": true,
    "IsWitness": true,
    "DisagreeingSubstrateCount": 0,
    "IsSubstrateContested": false
   },
   {
    "RulebookFieldId": "MessageDeliveries.HasFrozenApprovalEvidence",
    "TargetTable": "MessageDeliveries",
    "FieldName": "HasFrozenApprovalEvidence",
    "FieldType": "calculated",
    "Datatype": "boolean",
    "Formula": "=AND({{ApprovingAgentAtSend}} &lt;&gt; \"\", {{ApprovalDecidedAtSend}} &lt;&gt; \"\")",
    "InventedForQuestion": "q2-comms-freeze-what-i-approved",
    "SemanticTypeIri": "urn:effortless:pko-extension#RulebookField",
    "Name": "MessageDeliveries.HasFrozenApprovalEvidence",
    "IsDerived": true,
    "IsWitness": true,
    "DisagreeingSubstrateCount": 0,
    "IsSubstrateContested": false
   },
   {
    "RulebookFieldId": "MessageDeliveries.ProvenanceIsLiveDerived",
    "TargetTable": "MessageDeliveries",
    "FieldName": "ProvenanceIsLiveDerived",
    "FieldType": "calculated",
    "Datatype": "boolean",
    "Formula": "=NOT({{HasFrozenApprovalEvidence}})",
    "InventedForQuestion": "q2-comms-freeze-what-i-approved",
    "SemanticTypeIri": "urn:effortless:pko-extension#RulebookField",
    "Name": "MessageDeliveries.ProvenanceIsLiveDerived",
    "IsDerived": true,
    "IsWitness": true,
    "DisagreeingSubstrateCount": 0,
    "IsSubstrateContested": false
   },
   {
    "RulebookFieldId": "MessageDeliveries.CurrentLastApprovalAt",
    "TargetTable": "MessageDeliveries",
    "FieldName": "CurrentLastApprovalAt",
    "FieldType": "lookup",
    "Datatype": "datetime",
    "Formula": "=INDEX(MessageTemplates!{{LastApprovalAt}}, MATCH({{MessageTemplate}}, MessageTemplates!{{MessageTemplateId}}, 0))",
    "InventedForQuestion": "q2-comms-freeze-what-i-approved",
    "SemanticTypeIri": "urn:effortless:pko-extension#RulebookField",
    "Name": "MessageDeliveries.CurrentLastApprovalAt",
    "IsDerived": true,
    "IsWitness": true,
    "DisagreeingSubstrateCount": 1,
    "IsSubstrateContested": true
   },
   {
    "RulebookFieldId": "MessageDeliveries.TemplateReapprovedSinceSend",
    "TargetTable": "MessageDeliveries",
    "FieldName": "TemplateReapprovedSinceSend",
    "FieldType": "calculated",
    "Datatype": "boolean",
    "Formula": "=AND({{CurrentLastApprovalAt}} &lt;&gt; \"\", {{CurrentLastApprovalAt}} &gt; {{SentAt}})",
    "InventedForQuestion": "q2-comms-freeze-what-i-approved",
    "SemanticTypeIri": "urn:effortless:pko-extension#RulebookField",
    "Name": "MessageDeliveries.TemplateReapprovedSinceSend",
    "IsDerived": true,
    "IsWitness": true,
    "DisagreeingSubstrateCount": 0,
    "IsSubstrateContested": false
   },
   {
    "RulebookFieldId": "MessageDeliveries.IsUnprovableApprovalClaim",
    "TargetTable": "MessageDeliveries",
    "FieldName": "IsUnprovableApprovalClaim",
    "FieldType": "calculated",
    "Datatype": "boolean",
    "Formula": "=AND({{ProvenanceIsLiveDerived}}, AND({{TemplateReapprovedSinceSend}}, {{TemplateHasValidApproval}}))",
    "InventedForQuestion": "q2-comms-freeze-what-i-approved",
    "SemanticTypeIri": "urn:effortless:pko-extension#RulebookField",
    "Name": "MessageDeliveries.IsUnprovableApprovalClaim",
    "IsDerived": true,
    "IsWitness": true,
    "DisagreeingSubstrateCount": 0,
    "IsSubstrateContested": false
   },
   {
    "RulebookFieldId": "MessageDeliveries.ReminderSentAt",
    "TargetTable": "MessageDeliveries",
    "FieldName": "ReminderSentAt",
    "FieldType": "raw",
    "Datatype": "datetime",
    "Formula": null,
    "InventedForQuestion": "q2-publisher-obligation-after-send",
    "SemanticTypeIri": "urn:effortless:pko-extension#RulebookField",
    "Name": "MessageDeliveries.ReminderSentAt",
    "IsDerived": false,
    "IsWitness": true,
    "Di</t>
  </si>
  <si>
    <t xml:space="preserve">sagreeingSubstrateCount": 0,
    "IsSubstrateContested": false
   },
   {
    "RulebookFieldId": "MessageDeliveries.ReminderCount",
    "TargetTable": "MessageDeliveries",
    "FieldName": "ReminderCount",
    "FieldType": "raw",
    "Datatype": "integer",
    "Formula": null,
    "InventedForQuestion": "q2-publisher-obligation-after-send",
    "SemanticTypeIri": "urn:effortless:pko-extension#RulebookField",
    "Name": "MessageDeliveries.ReminderCount",
    "IsDerived": false,
    "IsWitness": true,
    "DisagreeingSubstrateCount": 0,
    "IsSubstrateContested": false
   },
   {
    "RulebookFieldId": "MessageDeliveries.HasSentReminder",
    "TargetTable": "MessageDeliveries",
    "FieldName": "HasSentReminder",
    "FieldType": "calculated",
    "Datatype": "boolean",
    "Formula": "={{ReminderCount}} &gt; 0",
    "InventedForQuestion": "q2-publisher-obligation-after-send",
    "SemanticTypeIri": "urn:effortless:pko-extension#RulebookField",
    "Name": "MessageDeliveries.HasSentReminder",
    "IsDerived": true,
    "IsWitness": true,
    "DisagreeingSubstrateCount": 0,
    "IsSubstrateContested": false
   },
   {
    "RulebookFieldId": "MessageDeliveries.AcknowledgementIsOutstanding",
    "TargetTable": "MessageDeliveries",
    "FieldName": "AcknowledgementIsOutstanding",
    "FieldType": "calculated",
    "Datatype": "boolean",
    "Formula": "=AND({{WasActuallyTransmitted}}, AND({{IsEvidenceRequired}}, NOT({{IsAcknowledged}})))",
    "InventedForQuestion": "q2-publisher-obligation-after-send",
    "SemanticTypeIri": "urn:effortless:pko-extension#RulebookField",
    "Name": "MessageDeliveries.AcknowledgementIsOutstanding",
    "IsDerived": true,
    "IsWitness": true,
    "DisagreeingSubstrateCount": 0,
    "IsSubstrateContested": false
   },
   {
    "RulebookFieldId": "MessageDeliveries.OutstandingAgeDays",
    "TargetTable": "MessageDeliveries",
    "FieldName": "OutstandingAgeDays",
    "FieldType": "calculated",
    "Datatype": "integer",
    "Formula": "=IF({{AcknowledgementIsOutstanding}}, DATETIME_DIFF({{AsOfInstant}}, {{SentAt}}, \"days\"), 0)",
    "InventedForQuestion": "q2-publisher-obligation-after-send",
    "SemanticTypeIri": "urn:effortless:pko-extension#RulebookField",
    "Name": "MessageDeliveries.OutstandingAgeDays",
    "IsDerived": true,
    "IsWitness": true,
    "DisagreeingSubstrateCount": 7,
    "IsSubstrateContested": true
   },
   {
    "RulebookFieldId": "MessageDeliveries.IsUnchasedAcknowledgement",
    "TargetTable": "MessageDeliveries",
    "FieldName": "IsUnchasedAcknowledgement",
    "FieldType": "calculated",
    "Datatype": "boolean",
    "Formula": "=AND({{AcknowledgementIsOutstanding}}, AND({{OutstandingAgeDays}} &gt; 7, NOT({{HasSentReminder}})))",
    "InventedForQuestion": "q2-publisher-obligation-after-send",
    "SemanticTypeIri": "urn:effortless:pko-extension#RulebookField",
    "Name": "MessageDeliveries.IsUnchasedAcknowledgement",
    "IsDerived": true,
    "IsWitness": true,
    "DisagreeingSubstrateCount": 0,
    "IsSubstrateContested": false
   },
   {
    "RulebookFieldId": "MessageDeliveries.IsExhaustedFollowUp",
    "TargetTable": "MessageDeliveries",
    "FieldName": "IsExhaustedFollowUp",
    "FieldType": "calculated",
    "Datatype": "boolean",
    "Formula": "=AND({{AcknowledgementIsOutstanding}}, {{ReminderCount}} &gt;= 3)",
    "InventedForQuestion": "q2-publisher-obligation-after-send",
    "SemanticTypeIri": "urn:effortless:pko-extension#RulebookField",
    "Name": "MessageDeliveries.IsExhaustedFollowUp",
    "IsDerived": true,
    "IsWitness": true,
    "DisagreeingSubstrateCount": 0,
    "IsSubstrateContested": false
   },
   {
    "RulebookFieldId": "MessageDeliveries.NeedsHumanEscalation",
    "TargetTable": "MessageDeliveries",
    "FieldName": "NeedsHumanEscalation",
    "FieldType": "calculated",
    "Datatype": "boolean",
    "Formula": "=AND({{IsExhaustedFollowUp}}, NOT({{HasUnreachableExceptionInvoked}}))",
    "InventedForQuestion": "q2-publisher-obligation-after-send",
    "SemanticTypeIri": "urn:effortless:pko-extension#RulebookField",
    "Name": "MessageDeliveries.NeedsHumanEscalation",
    "IsDerived": true,
    "IsWitness": true,
    "DisagreeingSubstrateCount": 0,
    "IsSubstrateContested": false
   },
   {
    "RulebookFieldId": "MessageDeliveries.SemanticTypeIri",
    "TargetTable": "MessageDeliveries",
    "FieldName": "SemanticTypeIri",
    "FieldType": "raw",
    "Datatype": "string",
    "Formula": null,
    "InventedForQuestion": null,
    "SemanticTypeIri": "urn:effortless:pko-extension#RulebookField",
    "Name": "MessageDeliveries.SemanticTypeIri",
    "IsDerived": false,
    "IsWitness": false,
    "DisagreeingSubstrateCount": 0,
    "IsSubstrateContested": false
   },
   {
    "RulebookFieldId": "TemplateApprovals.TemplateApprovalId",
    "TargetTable": "TemplateApprovals",
    "FieldName": "TemplateApprovalId",
    "FieldType": "raw",
    "Datatype": "string",
    "Formula": null,
    "InventedForQuestion": null,
    "SemanticTypeIri": "urn:effortless:pko-extension#RulebookField",
    "Name": "TemplateApprovals.TemplateApprovalId",
    "IsDerived": false,
    "IsWitness": false,
    "DisagreeingSubstrateCount": 0,
    "IsSubstrateContested": false
   },
   {
    "RulebookFieldId": "TemplateApprovals.Name",
    "TargetTable": "TemplateApprovals",
    "FieldName": "Name",
    "FieldType": "calculated",
    "Datatype": "string",
    "Formula": "={{MessageTemplate}} &amp; \" / \" &amp; {{Decision}} &amp; \" / \" &amp; {{DecidedAt}}",
    "InventedForQuestion": null,
    "SemanticTypeIri": "urn:effortless:pko-extension#RulebookField",
    "Name": "TemplateApprovals.Name",
    "IsDerived": true,
    "IsWitness": false,
    "DisagreeingSubstrateCount": 6,
    "IsSubstrateContested": true
   },
   {
    "RulebookFieldId": "TemplateApprovals.MessageTemplate",
    "TargetTable": "TemplateApprovals",
    "FieldName": "MessageTemplate",
    "FieldType": "relationship",
    "Datatype": "string",
    "Formula": null,
    "InventedForQuestion": null,
    "SemanticTypeIri": "urn:effortless:pko-extension#RulebookField",
    "Name": "TemplateApprovals.MessageTemplate",
    "IsDerived": false,
    "IsWitness": false,
    "DisagreeingSubstrateCount": 0,
    "IsSubstrateContested": false
   },
   {
    "RulebookFieldId": "TemplateApprovals.DecidedByAgent",
    "TargetTable": "TemplateApprovals",
    "FieldName": "DecidedByAgent",
    "FieldType": "relationship",
    "Datatype": "string",
    "Formula": null,
    "InventedForQuestion": null,
    "SemanticTypeIri": "urn:effortless:pko-extension#RulebookField",
    "Name": "TemplateApprovals.DecidedByAgent",
    "IsDerived": false,
    "IsWitness": false,
    "DisagreeingSubstrateCount": 0,
    "IsSubstrateContested": false
   },
   {
    "RulebookFieldId": "TemplateApprovals.DecidedInRole",
    "TargetTable": "TemplateApprovals",
    "FieldName": "DecidedInRole",
    "FieldType": "relationship",
    "Datatype": "string",
    "Formula": null,
    "InventedForQuestion": null,
    "SemanticTypeIri": "urn:effortless:pko-extension#RulebookField",
    "Name": "TemplateApprovals.DecidedInRole",
    "IsDerived": false,
    "IsWitness": false,
    "DisagreeingSubstrateCount": 0,
    "IsSubstrateContested": false
   },
   {
    "RulebookFieldId": "TemplateApprovals.Decision",
    "TargetTable": "TemplateApprovals",
    "FieldName": "Decision",
    "FieldType": "raw",
    "Datatype": "string",
    "Formula": null,
    "InventedForQuestion": null,
    "SemanticTypeIri": "urn:effortless:pko-extension#RulebookField",
    "Name": "TemplateApprovals.Decision",
    "IsDerived": false,
    "IsWitness": false,
    "DisagreeingSubstrateCount": 0,
    "IsSubstrateContested": false
   },
   {
    "RulebookFieldId": "TemplateApprovals.DecidedAt",
    "TargetTable": "TemplateApprovals",
    "FieldName": "DecidedAt",
    "FieldType": "raw",
    "Datatype": "datetime",
    "Formula": null,
    "InventedForQuestion": null,
    "SemanticTypeIri": "urn:effortless:pko-extension#RulebookField",
    "Name": "TemplateApprovals.DecidedAt",
    "IsDerived": false,
    "IsWitness": false,
    "DisagreeingSubstrateCount": 0,
    "IsSubstrateContested": false
   },
   {
    "RulebookFieldId": "TemplateApprovals.ApprovedBodyHash",
    "TargetTable": "TemplateApprovals",
    "FieldName": "ApprovedBodyHash",
    "FieldType": "raw",
    "Datatype": "string",
    "Formula": null,
    "InventedForQuestion": null,
    "SemanticTypeIri": "urn:effortless:pko-extension#RulebookField",
    "Name": "TemplateApprovals.ApprovedBodyHash",
    "IsDerived": false,
    "IsWitness": false,
    "DisagreeingSubstrateCount": 0,
    "IsSubstrateContested": false
   },
   {
    "RulebookFieldId": "TemplateApprovals.Notes",
    "TargetTable": "TemplateApprovals",
    "FieldName": "Notes",
    "FieldType": "raw",
    "Datatype": "string",
    "Formula": null,
    "InventedForQuestion": null,
    "SemanticTypeIri": "urn:effortless:pko-extension#RulebookField",
    "Name": "TemplateApprovals.Notes",
    "IsDerived": false,
    "IsWitness": false,
    "DisagreeingSubstrateCount": 0,
    "IsSubstrateContested": false
   },
   {
    "RulebookFieldId": "TemplateApprovals.IsApprovalDecision",
    "TargetTable": "TemplateApprovals",
    "FieldName": "IsApprovalDecision",
    "FieldType": "calculated",
    "Datatype": "boolean",
    "Formula": "={{Decision}} = \"Approved\"",
    "InventedForQuestion": "q-comms-approval-authority",
    "SemanticTypeIri": "urn:effortless:pko-extension#RulebookField",
    "Name": "TemplateApprovals.IsApprovalDecision",
    "IsDerived": true,
    "IsWitness": true,
    "DisagreeingSubstrateCount": 0,
    "IsSubstrateContested": false
   },
   {
    "RulebookFieldId": "TemplateApprovals.TemplatePolicy",
    "TargetTable": "TemplateApprovals",
    "FieldName": "TemplatePolicy",
    "FieldType": "lookup",
    "Datatype": "string",
    "Formula": "=INDEX(MessageTemplates!{{CommunicationPolicy}}, MATCH({{MessageTemplate}}, MessageTemplates!{{MessageTemplateId}}, 0))",
    "InventedForQuestion": "q-comms-approval-authority",
    "SemanticTypeIri": "urn:effortless:pko-extension#RulebookField",
    "Name": "TemplateApprovals.TemplatePolicy",
    "IsDerived": true,
    "IsWitness": true,
    "DisagreeingSubstrateCount": 0,
    "IsSubstrateContested": false
   },
   {
    "RulebookFieldId": "TemplateApprovals.RequiredApprovalRole",
    "TargetTable": "TemplateApprovals",
    "FieldName": "RequiredApprovalRole",
    "FieldType": "lookup",
    "Datatype": "string",
    "Formula": "=INDEX(CommunicationPolicies!{{ApprovalRole}}, MATCH({{TemplatePolicy}}, CommunicationPolicies!{{CommunicationPolicyId}}, 0))",
    "InventedForQuestion": "q-comms-approval-authority",
    "SemanticTypeIri": "urn:effortless:pko-extension#RulebookField",
    "Name": "TemplateApprovals.RequiredApprovalRole",
    "IsDerived": true,
    "IsWitness": true,
    "DisagreeingSubstrateCount": 0,
    "IsSubstrateContested": false
   },
   {
    "RulebookFieldId": "TemplateApprovals.IsDecidedByRequiredRole",
    "TargetTable": "TemplateApprovals",
    "FieldName": "IsDecidedByRequiredRole",
    "FieldType": "calculated",
    "Datatype": "boolean",
    "Formula": "={{DecidedInRole}} = {{RequiredApprovalRole}}",
    "InventedForQuestion": "q-comms-approval-authority",
    "SemanticTypeIri": "urn:effortless:pko-extension#RulebookField",
    "Name": "TemplateApprovals.IsDecidedByRequiredRole",
    "IsDerived": true,
    "IsWitness": true,
    "DisagreeingSubstrateCount": 0,
    "IsSubstrateContested": false
   },
   {
    "RulebookFieldId": "TemplateApprovals.ValidApprovalTemplateKey",
    "TargetTable": "TemplateApprovals",
    "FieldName": "ValidApprovalTemplateKey",
    "FieldType": "calculated",
    "Datatype": "string",
    "Formula": "=IF(AND({{IsApprovalDecision}}, {{IsDecidedByRequiredRole}}), {{MessageTemplate}}, \"\")",
    "InventedForQuestion": "q-comms-approval-authority",
    "SemanticTypeIri": "urn:effortless:pko-extension#RulebookField",
    "Name": "TemplateApprovals.ValidApprovalTemplateKey",
    "IsDerived": true,
    "IsWitness": true,
    "DisagreeingSubstrateCount": 0,
    "IsSubstrateContested": false
   },
   {
    "RulebookFieldId": "TemplateApprovals.SemanticTypeIri",
    "TargetTable": "TemplateApprovals",
    "FieldName": "SemanticTypeIri",
    "FieldType": "raw",
    "Datatype": "string",
    "Formula": null,
    "InventedForQuestion": null,
    "SemanticTypeIri": "urn:effortless:pko-extension#RulebookField",
    "Name": "TemplateApprovals.SemanticTypeIri",
    "IsDerived": false,
    "IsWitness": false,
    "DisagreeingSubstrateCount": 0,
    "IsSubstrateContested": false
   },
   {
    "RulebookFieldId": "SendIntents.SendIntentId",
    "TargetTable": "SendIntents",
    "FieldName": "SendIntentId",
    "FieldType": "raw",
    "Datatype": "string",
    "Formula": null,
    "InventedForQuestion": null,
    "SemanticTypeIri": "urn:effortless:pko-extension#RulebookField",
    "Name": "SendIntents.SendIntentId",
    "IsDerived": false,
    "IsWitness": false,
    "DisagreeingSubstrateCount": 0,
    "IsSubstrateContested": false
   },
   {
    "RulebookFieldId": "SendIntents.Name",
    "TargetTable": "SendIntents",
    "FieldName": "Name",
    "FieldType": "calculated",
    "Datatype": "string",
    "Formula": "={{Recipient}} &amp; \" / \" &amp; {{MessageTemplate}} &amp; \" / intent\"",
    "InventedForQuestion": null,
    "SemanticTypeIri": "urn:effortless:pko-extension#RulebookField",
    "Name": "SendIntents.Name",
    "IsDerived": true,
    "IsWitness": false,
    "DisagreeingSubstrateCount": 0,
    "IsSubstrateContested": false
   },
   {
    "RulebookFieldId": "SendIntents.ProcedureExecution",
    "TargetTable": "SendIntents",
    "FieldName": "ProcedureExecution",
    "FieldType": "relationship",
    "Datatype": "string",
    "Formula": null,
    "InventedForQuestion": null,
    "SemanticTypeIri": "urn:effortless:pko-extension#RulebookField",
    "Name": "SendIntents.ProcedureExecution",
    "IsDerived": false,
    "IsWitness": false,
    "DisagreeingSubstrateCount": 0,
    "IsSubstrateContested": false
   },
   {
    "RulebookFieldId": "SendIntents.StepExecution",
    "TargetTable": "SendIntents",
    "FieldName": "StepExecution",
    "FieldType": "relationship",
    "Datatype": "string",
    "Formula": null,
    "InventedForQuestion": null,
    "SemanticTypeIri": "urn:effortless:pko-extension#RulebookField",
    "Name": "SendIntents.StepExecution",
    "IsDerived": false,
    "IsWitness": false,
    "DisagreeingSubstrateCount": 0,
    "IsSubstrateContested": false
   },
   {
    "RulebookFieldId": "SendIntents.Recipient",
    "TargetTable": "SendIntents",
    "FieldName": "Recipient",
    "FieldType": "relationship",
    "Datatype": "string",
    "Formula": null,
    "InventedForQuestion": null,
    "SemanticTypeIri": "urn:effortless:pko-extension#RulebookField",
    "Name": "SendIntents.Recipient",
    "IsDerived": false,
    "IsWitness": false,
    "DisagreeingSubstrateCount": 0,
    "IsSubstrateContested": false
   },
   {
    "RulebookFieldId": "SendIntents.MessageTemplate",
    "TargetTable": "SendIntents",
    "FieldName": "MessageTemplate",
    "FieldType": "relationship",
    "Datatype": "string",
    "Formula": null,
    "InventedForQuestion": null,
    "SemanticTypeIri": "urn:effortless:pko-extension#RulebookField",
    "Name": "SendIntents.MessageTemplate",
    "IsDerived": false,
    "IsWitness": false,
    "DisagreeingSubstrateCount": 0,
    "IsSubstrateContested": false
   },
   {
    "RulebookFieldId": "SendIntents.ProposedBody",
    "TargetTable": "SendIntents",
    "FieldName": "ProposedBody",
    "FieldType": "raw",
    "Datatype": "string",
    "Formula": null,
    "InventedForQuestion": null,
    "SemanticTypeIri": "urn:effortless:pko-extension#RulebookField",
    "Name": "SendIntents.ProposedBody",
    "IsDerived": false,
    "IsWitness": false,
    "DisagreeingSubstrateCount": 0,
    "IsSubstrateContested": false
   },
   {
    "RulebookFieldId": "SendIntents.ProposedSendAtLocalHour",
    "TargetTable": "SendIntents",
    "FieldName": "ProposedSendAtLocalHour",
    "FieldType": "raw",
    "Datatype": "integer",
    "Formula": null,
    "InventedForQuestion": null,
    "SemanticTypeIri": "urn:effortless:pko-extension#RulebookField",
    "Name": "SendIntents.ProposedSendAtLocalHour",
    "IsDerived": false,
    "IsWitness": false,
    "DisagreeingSubstrateCount": 0,
    "IsSubstrateContested": false
   },
   {
    "RulebookFieldId": "SendIntents.EvaluatedAt",
    "TargetTable": "SendIntents",
    "FieldName": "EvaluatedAt",
    "FieldType": "raw",
    "Datatype": "datetime",
    "Formula": null,
    "InventedForQuestion": null,
    "SemanticTypeIri": "urn:effortless:pko-extension#RulebookField",
    "Name": "SendIntents.EvaluatedAt",
    "IsDerived": false,
    "IsWitness": false,
    "DisagreeingSubstrateCount": 0,
    "IsSubstrateContested": false
   },
   {
    "RulebookFieldId": "SendIntents.ResultingDelivery",
    "TargetTable": "SendIntents",
    "FieldName": "ResultingDelivery",
    "FieldType": "relationship",
    "Datatype": "string",
    "Formula": null,
    "InventedForQuestion": null,
    "SemanticTypeIri": "urn:effortless:pko-extension#RulebookField",
    "Name": "SendIntents.ResultingDelivery",
    "IsDerived": false,
    "IsWitness": false,
    "DisagreeingSubstrateCount": 0,
    "IsSubstrateContested": false
   },
   {
    "RulebookFieldId": "SendIntents.IntentPolicy",
    "TargetTable": "SendIntents",
    "FieldName": "IntentPolicy",
    "FieldType": "lookup",
    "Datatype": "string",
    "Formula": "=INDEX(MessageTemplates!{{CommunicationPolicy}}, MATCH({{MessageTemplate}}, MessageTemplates!{{MessageTemplateId}}, 0))",
    "InventedForQuestion": "q-publisher-may-i-transmit",
    "SemanticTypeIri": "urn:effortless:pko-extension#RulebookField",
    "Name": "SendIntents.IntentPolicy",
    "IsDerived": true,
    "IsWitness": true,
    "DisagreeingSubstrateCount": 0,
    "IsSubstrateContested": false
   },
   {
    "RulebookFieldId": "SendIntents.IntentChannel",
    "TargetTable": "SendIntents",
    "FieldName": "IntentChannel",
    "FieldType": "lookup",
    "Datatype": "string",
    "Formula": "=INDEX(CommunicationPolicies!{{Channel}}, MATCH({{IntentPolicy}}, CommunicationPolicies!{{CommunicationPolicyId}}, 0))",
    "InventedForQuestion": "q-publisher-may-i-transmit",
    "SemanticTypeIri": "urn:effortless:pko-extension#RulebookField",
    "Name": "SendIntents.IntentChannel",
    "IsDerived": true,
    "IsWitness": true,
    "DisagreeingSubstrateCount": 0,
    "IsSubstrateContested": false
   },
   {
    "RulebookFieldId": "SendIntents.PolicyIsActive",
    "TargetTable": "SendIntents",
    "FieldName": "PolicyIsActive",
    "FieldType": "lookup",
    "Datatype": "boolean",
    "Formula": "=INDEX(CommunicationPolicies!{{IsActivePolicy}}, MATCH({{IntentPolicy}}, CommunicationPolicies!{{CommunicationPolicyId}}, 0))",
    "InventedForQuestion": "q-publisher-may-i-transmit",
    "SemanticTypeIri": "urn:effortless:pko-extension#RulebookField",
    "Name": "SendIntents.PolicyIsActive",
    "IsDerived": true,
    "IsWitness": true,
    "DisagreeingSubstrateCount": 0,
    "IsSubstrateContested": false
   },
   {
    "RulebookFieldId": "SendIntents.IntentRequiresConsent",
    "TargetTable": "SendIntents",
    "FieldName": "IntentRequiresConsent",
    "FieldType": "lookup",
    "Datatype": "boolean",
    "Formula": "=INDEX(CommunicationPolicies!{{ConsentRequired}}, MATCH({{IntentPolicy}}, CommunicationPolicies!{{CommunicationPolicyId}}, 0))",
    "InventedForQuestion": "q-publisher-may-i-transmit",
    "SemanticTypeIri": "urn:effortless:pko-extension#RulebookField",
    "Name": "SendIntents.IntentRequiresConsent",
    "IsDerived": true,
    "IsWitness": true,
    "DisagreeingSubstrateCount": 0,
    "IsSubstrateContested": false
   },
   {
    "RulebookFieldId": "SendIntents.RecipientHasChannelConsent",
    "TargetTable": "SendIntents",
    "FieldName": "RecipientHasChannelConsent",
    "FieldType": "lookup",
    "Datatype": "boolean",
    "Formula": "=INDEX(Recipients!{{HasSmsConsent}}, MATCH({{Recipient}}, Recipients!{{RecipientId}}, 0))",
    "InventedForQuestion": "q-publisher-may-i-transmit",
    "SemanticTypeIri": "urn:effortless:pko-extension#RulebookField",
    "Name": "SendIntents.RecipientHasChannelConsent",
    "IsDerived": true,
    "IsWitness": true,
    "DisagreeingSubstrateCount": 0,
    "IsSubstrateContested": false
   },
   {
    "RulebookFieldId": "SendIntents.ConsentGatePassed",
    "TargetTable": "SendIntents",
    "FieldName": "ConsentGatePassed",
    "FieldType": "calculated",
    "Datatype": "boolean",
    "Formula": "=OR(NOT({{IntentRequiresConsent}}), {{RecipientHasChannelConsent}})",
    "InventedForQuestion": "q-publisher-may-i-transmit",
    "SemanticTypeIri": "urn:effortless:pko-extension#RulebookField",
    "Name": "SendIntents.ConsentGatePassed",
    "IsDerived": true,
    "IsWitness": true,
    "DisagreeingSubstrateCount": 0,
    "IsSubstrateContested": false
   },
   {
    "RulebookFieldId": "SendIntents.RecipientIsSmsReachable",
    "TargetTable": "SendIntents",
    "FieldName": "RecipientIsSmsReachable",
    "FieldType": "lookup",
    "Datatype": "boolean",
    "Formula": "=INDEX(Recipients!{{IsSmsReachable}}, MATCH({{Recipient}}, Recipients!{{RecipientId}}, 0))",
    "InventedForQuestion": "q-publisher-may-i-transmit",
    "SemanticTypeIri": "urn:effortless:pko-extension#RulebookField",
    "Name": "SendIntents.RecipientIsSmsReachable",
    "IsDerived": true,
    "IsWitness": true,
    "DisagreeingSubstrateCount": 0,
    "IsSubstrateContested": false
   },
   {
    "RulebookFieldId": "SendIntents.RecipientIsEmailReachable",
    "TargetTable": "SendIntents",
    "FieldName": "RecipientIsEmailReachable",
    "FieldType": "lookup",
    "Datatype": "boolean",
    "Formula": "=INDEX(Recipients!{{IsEmailReachable}}, MATCH({{Recipient}}, Recipients!{{RecipientId}}, 0))",
    "InventedForQuestion": "q-publisher-may-i-transmit",
    "SemanticTypeIri": "urn:effortless:pko-extension#RulebookField",
    "Name": "SendIntents.RecipientIsEmailReachable",
    "IsDerived": true,
    "IsWitness": true,
    "DisagreeingSubstrateCount": 0,
    "IsSubstrateContested": false
   },
   {
    "RulebookFieldId": "SendIntents.ReachabilityGatePassed",
    "TargetTable": "SendIntents",
    "FieldName": "ReachabilityGatePassed",
    "FieldType": "calculated",
    "Datatype": "boolean",
    "Formula": "=IF({{IntentChannel}} = \"SMS\", {{RecipientIsSmsReachable}}, {{RecipientIsEmailReachable}})",
    "InventedForQuestion": "q-publisher-may-i-transmit",
    "SemanticTypeIri": "urn:effortless:pko-extension#RulebookField",
    "Name": "SendIntents.ReachabilityGatePassed",
    "IsDerived": true,
    "IsWitness": true,
    "DisagreeingSubstrateCount": 0,
    "IsSubstrateContested": false
   },
   {
    "RulebookFieldId": "SendIntents.PermissionGatePassed",
    "TargetTable": "SendIntents",
    "FieldName": "PermissionGatePassed",
    "FieldType": "calculated",
    "Datatype": "boolean",
    "Formula": "=AND({{PolicyIsActive}}, AND({{ConsentGatePassed}}, {{ReachabilityGatePassed}}))",
    "InventedForQuestion": "q-publisher-may-i-transmit",
    "SemanticTypeIri": "urn:effortless:pko-extension#RulebookField",
    "Name": "SendIntents.PermissionGatePassed",
    "IsDerived": true,
    "IsWitness": true,
    "DisagreeingSubstrateCount": 0,
    "IsSubstrateContested": false
   },
   {
    "RulebookFieldId": "SendIntents.IntentQuietStartHour",
    "TargetTable": "SendIntents",
    "FieldName": "IntentQuietStartHour",
    "FieldType": "lookup",
    "Datatype": "integer",
    "Formula": "=INDEX(CommunicationPolicies!{{QuietHoursStartHour}}, MATCH({{IntentPolicy}}, CommunicationPolicies!{{CommunicationPolicyId}}, 0))",
    "InventedForQuestion": "q-publisher-may-i-transmit-now",
    "SemanticTypeIri": "urn:effortless:pko-extension#RulebookField",
    "Name": "SendIntents.IntentQuietStartHour",
    "IsDerived": true,
    "IsWitness": true,
    "DisagreeingSubstrateCount": 0,
    "IsSubstrateContested": false
   },
   {
    "RulebookFieldId": "SendIntents.IntentQuietEndHour",
    "TargetTable": "SendIntents",
    "FieldName": "IntentQuietEndHour",
    "FieldType": "lookup",
    "Datatype": "integer",
    "Formula": "=INDEX(CommunicationPolicies!{{QuietHoursEndHour}}, MATCH({{IntentPolicy}}, CommunicationPolicies!{{CommunicationPolicyId}}, 0))",
    "InventedForQuestion": "q-publisher-may-i-transmit-now",
    "SemanticTypeIri": "urn:effortless:pko-extension#RulebookField",
    "Name": "SendIntents.IntentQuietEndHour",
    "IsDerived": true,
    "IsWitness": true,
    "DisagreeingSubstrateCount": 0,
    "IsSubstrateContested": false
   },
   {
    "RulebookFieldId": "SendIntents.IntentPolicyHasQuietHours",
    "TargetTable": "SendIntents",
    "FieldName": "IntentPolicyHasQuietHours",
    "FieldType": "calculated",
    "Datatype": "boolean",
    "Formula": "={{IntentQuietStartHour}} &lt;&gt; {{IntentQuietEndHour}}",
    "InventedForQuestion": "q-publisher-may-i-transmit-now",
    "SemanticTypeIri": "urn:effortless:pko-extension#RulebookField",
    "Name": "SendIntents.IntentPolicyHasQuietHours",
    "IsDerived": true,
    "IsWitness": true,
    "DisagreeingSubstrateCount": 0,
    "IsSubstrateContested": false
   },
   {
    "RulebookFieldId": "SendIntents.IntentQuietWindowWraps",
    "TargetTable": "SendIntents",
    "FieldName": "IntentQuietWindowWraps",
    "FieldType": "calculated",
    "Datatype": "boolean",
    "Formula": "={{IntentQuietStartHour}} &gt; {{IntentQuietEndHour}}",
    "InventedForQuestion": "q-publisher-may-i-transmit-now",
    "SemanticTypeIri": "urn:effortless:pko-extension#RulebookField",
    "Name": "SendIntents.IntentQuietWindowWraps",
    "IsDerived": true,
    "IsWitness": true,
    "DisagreeingSubstrateCount": 0,
    "IsSubstrateContested": false
   },
   {
    "RulebookFieldId": "SendIntents.IntentIsInsideQuietWindow",
    "TargetTable": "SendIntents",
    "FieldName": "IntentIsInsideQuietWindow",
    "FieldType": "calculated",
    "Datatype": "boolean",
    "Formula": "=IF({{IntentQuietWindowWraps}}, OR({{ProposedSendAtLocalHour}} &gt;= {{IntentQuietStartHour}}, {{ProposedSendAtLocalHour}} &lt; {{IntentQuietEndHour}}), AND({{ProposedSendAtLocalHour}} &gt;= {{IntentQuietStartHour}}, {{ProposedSendAtLocalHour}} &lt; {{IntentQuietEndHour}}))",
    "InventedForQuestion": "q-publisher-may-i-transmit-now",
    "SemanticTypeIri": "urn:effortless:pko-extension#RulebookField",
    "Name": "SendIntents.IntentIsInsideQuietWindow",
    "IsDerived": true,
    "IsWitness": true,
    "DisagreeingSubstrateCount": 0,
    "IsSubstrateContested": false
   },
   {
    "RulebookFieldId": "SendIntents.TimingGatePassed",
    "TargetTable": "SendIntents",
    "FieldName": "TimingGatePassed",
    "FieldType": "calculated",
    "Datatype": "boolean",
    "Formula": "=OR(NOT({{IntentPolicyHasQuietHours}}), NOT({{IntentIsInsideQuietWindow}}))",
    "InventedForQuestion": "q-publisher-may-i-transmit-now",
    "SemanticTypeIri": "urn:effortless:pko-extension#RulebookField",
    "Name": "SendIntents.TimingGatePassed",
    "IsDerived": true,
    "IsWitness": true,
    "DisagreeingSubstrateCount": 0,
    "IsSubstrateContested": false
   },
   {
    "RulebookFieldId": "SendIntents.HoursUntilWindowOpens",
    "TargetTable": "SendIntents",
    "FieldName": "HoursUntilWindowOpens",
    "FieldType": "calculated",
    "Datatype": "integer",
    "Formula": "=IF({{TimingGatePassed}}, 0, IF({{ProposedSendAtLocalHour}} &lt; {{IntentQuietEndHour}}, {{IntentQuietEndHour}} - {{ProposedSendAtLocalHour}}, 24 - {{ProposedSendAtLocalHour}} + {{IntentQuietEndHour}}))",
    "InventedForQuestion": "q-publisher-may-i-transmit-now",
    "SemanticTypeIri": "urn:effortless:pko-extension#RulebookField",
    "Name": "SendIntents.HoursUntilWindowOpens",
    "IsDerived": true,
    "IsWitness": true,
    "DisagreeingSubstrateCount": 0,
    "IsSubstrateContested": false
   },
   {
    "RulebookFieldId": "SendIntents.IntentMaxMessageLength",
    "TargetTable": "SendIntents",
    "FieldName": "IntentMaxMessageLength",
    "FieldType": "lookup",
    "Datatype": "integer",
    "Formula": "=INDEX(CommunicationPolicies!{{MaxMessageLength}}, MATCH({{IntentPolicy}}, CommunicationPolicies!{{CommunicationPolicyId}}, 0))",
    "InventedForQuestion": "q-publisher-is-this-content-permitted",
    "SemanticTypeIri": "urn:effortless:pko-extension#RulebookField",
    "Name": "SendIntents.IntentMaxMessageLength",
    "IsDerived": true,
    "IsWitness": true,
    "DisagreeingSubstrateCount": 0,
    "IsSubstrateContested": false
   },
   {
    "RulebookFieldId": "SendIntents.IntentMaxSegments",
    "TargetTable": "SendIntents",
    "FieldName": "IntentMaxSegments",
    "FieldType": "lookup",
    "Datatype": "integer",
    "Formula": "=INDEX(CommunicationPolicies!{{MaxSegments}}, MATCH({{IntentPolicy}}, CommunicationPolicies!{{CommunicationPolicyId}}, 0))",
    "InventedForQuestion": "q-publisher-is-this-content-permitted",
    "SemanticTypeIri": "urn:effortless:pko-extension#RulebookField",
    "Name": "SendIntents.IntentMaxSegments",
    "IsDerived": true,
    "IsWitness": true,
    "DisagreeingSubstrateCount": 0,
    "IsSubstrateContested": false
   },
   {
    "RulebookFieldId": "SendIntents.ProposedBodyLength",
    "TargetTable": "SendIntents",
    "FieldName": "ProposedBodyLength",
    "FieldType": "raw",
    "Datatype": "integer",
    "Formula": null,
    "InventedForQuestion": "q-publisher-is-this-content-permitted",
    "SemanticTypeIri": "urn:effortless:pko-extension#RulebookField",
    "Name": "SendIntents.ProposedBodyLength",
    "IsDerived": false,
    "IsWitness": true,
    "DisagreeingSubstrateCount": 0,
    "IsSubstrateContested": false
   },
   {
    "RulebookFieldId": "SendIntents.ProposedSegmentCount",
    "TargetTable": "SendIntents",
    "FieldName": "ProposedSegmentCount",
    "FieldType": "raw",
    "Datatype": "integer",
    "Formula": null,
    "InventedForQuestion": "q-publisher-is-this-content-permitted",
    "SemanticTypeIri": "urn:effortless:pko-extension#RulebookField",
    "Name": "SendIntents.ProposedSegmentCount",
    "IsDerived": false,
    "IsWitness": true,
    "DisagreeingSubstrateCount": 0,
    "IsSubstrateContested": false
   },
   {
    "RulebookFieldId": "SendIntents.LengthGatePassed",
    "TargetTable": "SendIntents",
    "FieldName": "LengthGatePassed",
    "FieldType": "calculated",
    "Datatype": "boolean",
    "Formula": "=AND({{ProposedBodyLength}} &gt; 0, {{ProposedSegmentCount}} &lt;= {{IntentMaxSegments}})",
    "InventedForQuestion": "q-publisher-is-this-content-permitted",
    "SemanticTypeIri": "urn:effortless:pko-extension#RulebookField",
    "Name": "SendIntents.LengthGatePassed",
    "IsDerived": true,
    "IsWitness": true,
    "DisagreeingSubstrateCount": 0,
    "IsSubstrateContested": false
   },
   {
    "RulebookFieldId": "SendIntents.IntentRequiredOptOutPhrase",
    "TargetTable": "SendIntents",
    "FieldName": "IntentRequiredOptOutPhrase",
    "FieldType": "lookup",
    "Datatype": "string",
    "Formula": "=INDEX(CommunicationPolicies!{{RequiredOptOutPhrase}}, MATCH({{IntentPolicy}}, CommunicationPolicies!{{CommunicationPolicyId}}, 0))",
    "InventedForQuestion": "q-publisher-is-this-content-permitted",
    "SemanticTypeIri": "urn:effortless:pko-extension#RulebookField",
    "Name": "SendIntents.IntentRequiredOptOutPhrase",
    "IsDerived": true,
    "IsWitness": true,
    "DisagreeingSubstrateCount": 0,
    "IsSubstrateContested": false
   },
   {
    "RulebookFieldId": "SendIntents.ProposedOptOutPosition",
    "TargetTable": "SendIntents",
    "FieldName": "ProposedOptOutPosition",
    "FieldType": "raw",
    "Datatype": "integer",
    "Formula": null,
    "InventedForQuestion": "q-publisher-is-this-content-permitted",
    "SemanticTypeIri": "urn:effortless:pko-extension#RulebookField",
    "Name": "SendIntents.ProposedOptOutPosition",
    "IsDerived": false,
    "IsWitness": true,
    "DisagreeingSubstrateCount": 0,
    "IsSubstrateContested": false
   },
   {
    "RulebookFieldId": "SendIntents.OptOutGatePassed",
    "TargetTable": "SendIntents",
    "FieldName": "OptOutGatePassed",
    "FieldType": "calculated",
    "Datatype": "boolean",
    "Formula": "=OR({{IntentRequiredOptOutPhrase}} = \"\", AND({{ProposedOptOutPosition}} &gt; 0, {{ProposedOptOutPosition}} &lt;= {{IntentMaxMessageLength}}))",
    "InventedForQuestion": "q-publisher-is-this-content-permitted",
    "SemanticTypeIri": "urn:effortless:pko-extension#RulebookField",
    "Name": "SendIntents.OptOutGatePassed",
    "IsDerived": true,
    "IsWitness": true,
    "DisagreeingSubstrateCount": 1,
    "IsSubstrateContested": true
   },
   {
    "Rulebook</t>
  </si>
  <si>
    <t xml:space="preserve">FieldId": "SendIntents.ContentGatePassed",
    "TargetTable": "SendIntents",
    "FieldName": "ContentGatePassed",
    "FieldType": "calculated",
    "Datatype": "boolean",
    "Formula": "=AND({{LengthGatePassed}}, {{OptOutGatePassed}})",
    "InventedForQuestion": "q-publisher-is-this-content-permitted",
    "SemanticTypeIri": "urn:effortless:pko-extension#RulebookField",
    "Name": "SendIntents.ContentGatePassed",
    "IsDerived": true,
    "IsWitness": true,
    "DisagreeingSubstrateCount": 1,
    "IsSubstrateContested": true
   },
   {
    "RulebookFieldId": "SendIntents.TemplateIsSendable",
    "TargetTable": "SendIntents",
    "FieldName": "TemplateIsSendable",
    "FieldType": "lookup",
    "Datatype": "boolean",
    "Formula": "=INDEX(MessageTemplates!{{IsSendableUnderApproval}}, MATCH({{MessageTemplate}}, MessageTemplates!{{MessageTemplateId}}, 0))",
    "InventedForQuestion": "q-publisher-am-i-authorized-to-act",
    "SemanticTypeIri": "urn:effortless:pko-extension#RulebookField",
    "Name": "SendIntents.TemplateIsSendable",
    "IsDerived": true,
    "IsWitness": true,
    "DisagreeingSubstrateCount": 0,
    "IsSubstrateContested": false
   },
   {
    "RulebookFieldId": "SendIntents.ExecutionHasLegalClearance",
    "TargetTable": "SendIntents",
    "FieldName": "ExecutionHasLegalClearance",
    "FieldType": "lookup",
    "Datatype": "boolean",
    "Formula": "=INDEX(ProcedureExecutions!{{HasClearedLegalReview}}, MATCH({{ProcedureExecution}}, ProcedureExecutions!{{ProcedureExecutionId}}, 0))",
    "InventedForQuestion": "q-publisher-am-i-authorized-to-act",
    "SemanticTypeIri": "urn:effortless:pko-extension#RulebookField",
    "Name": "SendIntents.ExecutionHasLegalClearance",
    "IsDerived": true,
    "IsWitness": true,
    "DisagreeingSubstrateCount": 0,
    "IsSubstrateContested": false
   },
   {
    "RulebookFieldId": "SendIntents.IntentApprovalRole",
    "TargetTable": "SendIntents",
    "FieldName": "IntentApprovalRole",
    "FieldType": "lookup",
    "Datatype": "string",
    "Formula": "=INDEX(CommunicationPolicies!{{ApprovalRole}}, MATCH({{IntentPolicy}}, CommunicationPolicies!{{CommunicationPolicyId}}, 0))",
    "InventedForQuestion": "q-publisher-am-i-authorized-to-act",
    "SemanticTypeIri": "urn:effortless:pko-extension#RulebookField",
    "Name": "SendIntents.IntentApprovalRole",
    "IsDerived": true,
    "IsWitness": true,
    "DisagreeingSubstrateCount": 0,
    "IsSubstrateContested": false
   },
   {
    "RulebookFieldId": "SendIntents.ApprovalRoleAgentKind",
    "TargetTable": "SendIntents",
    "FieldName": "ApprovalRoleAgentKind",
    "FieldType": "lookup",
    "Datatype": "string",
    "Formula": "=INDEX(Roles!{{CurrentAgentKind}}, MATCH({{IntentApprovalRole}}, Roles!{{RoleId}}, 0))",
    "InventedForQuestion": "q-publisher-am-i-authorized-to-act",
    "SemanticTypeIri": "urn:effortless:pko-extension#RulebookField",
    "Name": "SendIntents.ApprovalRoleAgentKind",
    "IsDerived": true,
    "IsWitness": true,
    "DisagreeingSubstrateCount": 0,
    "IsSubstrateContested": false
   },
   {
    "RulebookFieldId": "SendIntents.ApprovalIsHuman",
    "TargetTable": "SendIntents",
    "FieldName": "ApprovalIsHuman",
    "FieldType": "calculated",
    "Datatype": "boolean",
    "Formula": "={{ApprovalRoleAgentKind}} = \"Human\"",
    "InventedForQuestion": "q-publisher-am-i-authorized-to-act",
    "SemanticTypeIri": "urn:effortless:pko-extension#RulebookField",
    "Name": "SendIntents.ApprovalIsHuman",
    "IsDerived": true,
    "IsWitness": true,
    "DisagreeingSubstrateCount": 0,
    "IsSubstrateContested": false
   },
   {
    "RulebookFieldId": "SendIntents.AuthorizationGatePassed",
    "TargetTable": "SendIntents",
    "FieldName": "AuthorizationGatePassed",
    "FieldType": "calculated",
    "Datatype": "boolean",
    "Formula": "=AND({{TemplateIsSendable}}, AND({{ExecutionHasLegalClearance}}, {{ApprovalIsHuman}}))",
    "InventedForQuestion": "q-publisher-am-i-authorized-to-act",
    "SemanticTypeIri": "urn:effortless:pko-extension#RulebookField",
    "Name": "SendIntents.AuthorizationGatePassed",
    "IsDerived": true,
    "IsWitness": true,
    "DisagreeingSubstrateCount": 0,
    "IsSubstrateContested": false
   },
   {
    "RulebookFieldId": "SendIntents.IsClearedToSend",
    "TargetTable": "SendIntents",
    "FieldName": "IsClearedToSend",
    "FieldType": "calculated",
    "Datatype": "boolean",
    "Formula": "=AND({{PermissionGatePassed}}, AND({{TimingGatePassed}}, AND({{ContentGatePassed}}, {{AuthorizationGatePassed}})))",
    "InventedForQuestion": "q-publisher-am-i-authorized-to-act",
    "SemanticTypeIri": "urn:effortless:pko-extension#RulebookField",
    "Name": "SendIntents.IsClearedToSend",
    "IsDerived": true,
    "IsWitness": true,
    "DisagreeingSubstrateCount": 1,
    "IsSubstrateContested": true
   },
   {
    "RulebookFieldId": "SendIntents.BlockingGateName",
    "TargetTable": "SendIntents",
    "FieldName": "BlockingGateName",
    "FieldType": "calculated",
    "Datatype": "string",
    "Formula": "=IF({{IsClearedToSend}}, \"\", IF(NOT({{PermissionGatePassed}}), \"Permission\", IF(NOT({{TimingGatePassed}}), \"Timing\", IF(NOT({{ContentGatePassed}}), \"Content\", \"Authorization\"))))",
    "InventedForQuestion": "q-publisher-am-i-authorized-to-act",
    "SemanticTypeIri": "urn:effortless:pko-extension#RulebookField",
    "Name": "SendIntents.BlockingGateName",
    "IsDerived": true,
    "IsWitness": true,
    "DisagreeingSubstrateCount": 1,
    "IsSubstrateContested": true
   },
   {
    "RulebookFieldId": "SendIntents.HasResultingDelivery",
    "TargetTable": "SendIntents",
    "FieldName": "HasResultingDelivery",
    "FieldType": "calculated",
    "Datatype": "boolean",
    "Formula": "={{ResultingDelivery}} &lt;&gt; \"\"",
    "InventedForQuestion": "q-publisher-refusal-was-honored",
    "SemanticTypeIri": "urn:effortless:pko-extension#RulebookField",
    "Name": "SendIntents.HasResultingDelivery",
    "IsDerived": true,
    "IsWitness": true,
    "DisagreeingSubstrateCount": 0,
    "IsSubstrateContested": false
   },
   {
    "RulebookFieldId": "SendIntents.ResultingDeliveryWasTransmitted",
    "TargetTable": "SendIntents",
    "FieldName": "ResultingDeliveryWasTransmitted",
    "FieldType": "lookup",
    "Datatype": "boolean",
    "Formula": "=INDEX(MessageDeliveries!{{WasActuallyTransmitted}}, MATCH({{ResultingDelivery}}, MessageDeliveries!{{MessageDeliveryId}}, 0))",
    "InventedForQuestion": "q-publisher-refusal-was-honored",
    "SemanticTypeIri": "urn:effortless:pko-extension#RulebookField",
    "Name": "SendIntents.ResultingDeliveryWasTransmitted",
    "IsDerived": true,
    "IsWitness": true,
    "DisagreeingSubstrateCount": 0,
    "IsSubstrateContested": false
   },
   {
    "RulebookFieldId": "SendIntents.IsOverriddenRefusal",
    "TargetTable": "SendIntents",
    "FieldName": "IsOverriddenRefusal",
    "FieldType": "calculated",
    "Datatype": "boolean",
    "Formula": "=AND(NOT({{IsClearedToSend}}), AND({{HasResultingDelivery}}, {{ResultingDeliveryWasTransmitted}}))",
    "InventedForQuestion": "q-publisher-refusal-was-honored",
    "SemanticTypeIri": "urn:effortless:pko-extension#RulebookField",
    "Name": "SendIntents.IsOverriddenRefusal",
    "IsDerived": true,
    "IsWitness": true,
    "DisagreeingSubstrateCount": 1,
    "IsSubstrateContested": true
   },
   {
    "RulebookFieldId": "SendIntents.IsSilentlyDropped",
    "TargetTable": "SendIntents",
    "FieldName": "IsSilentlyDropped",
    "FieldType": "calculated",
    "Datatype": "boolean",
    "Formula": "=AND(NOT({{IsClearedToSend}}), NOT({{HasResultingDelivery}}))",
    "InventedForQuestion": "q-publisher-refusal-was-honored",
    "SemanticTypeIri": "urn:effortless:pko-extension#RulebookField",
    "Name": "SendIntents.IsSilentlyDropped",
    "IsDerived": true,
    "IsWitness": true,
    "DisagreeingSubstrateCount": 0,
    "IsSubstrateContested": false
   },
   {
    "RulebookFieldId": "SendIntents.ResultingDeliveryException",
    "TargetTable": "SendIntents",
    "FieldName": "ResultingDeliveryException",
    "FieldType": "lookup",
    "Datatype": "string",
    "Formula": "=INDEX(MessageDeliveries!{{InvokedException}}, MATCH({{ResultingDelivery}}, MessageDeliveries!{{MessageDeliveryId}}, 0))",
    "InventedForQuestion": "q-publisher-refusal-was-honored",
    "SemanticTypeIri": "urn:effortless:pko-extension#RulebookField",
    "Name": "SendIntents.ResultingDeliveryException",
    "IsDerived": true,
    "IsWitness": true,
    "DisagreeingSubstrateCount": 0,
    "IsSubstrateContested": false
   },
   {
    "RulebookFieldId": "SendIntents.RefusalCitedAnException",
    "TargetTable": "SendIntents",
    "FieldName": "RefusalCitedAnException",
    "FieldType": "calculated",
    "Datatype": "boolean",
    "Formula": "={{ResultingDeliveryException}} &lt;&gt; \"\"",
    "InventedForQuestion": "q-publisher-refusal-was-honored",
    "SemanticTypeIri": "urn:effortless:pko-extension#RulebookField",
    "Name": "SendIntents.RefusalCitedAnException",
    "IsDerived": true,
    "IsWitness": true,
    "DisagreeingSubstrateCount": 1,
    "IsSubstrateContested": true
   },
   {
    "RulebookFieldId": "SendIntents.IsProperlyHandledRefusal",
    "TargetTable": "SendIntents",
    "FieldName": "IsProperlyHandledRefusal",
    "FieldType": "calculated",
    "Datatype": "boolean",
    "Formula": "=AND(NOT({{IsClearedToSend}}), AND({{HasResultingDelivery}}, AND(NOT({{ResultingDeliveryWasTransmitted}}), {{RefusalCitedAnException}})))",
    "InventedForQuestion": "q-publisher-refusal-was-honored",
    "SemanticTypeIri": "urn:effortless:pko-extension#RulebookField",
    "Name": "SendIntents.IsProperlyHandledRefusal",
    "IsDerived": true,
    "IsWitness": true,
    "DisagreeingSubstrateCount": 1,
    "IsSubstrateContested": true
   },
   {
    "RulebookFieldId": "SendIntents.RefusalFailureExecutionKey",
    "TargetTable": "SendIntents",
    "FieldName": "RefusalFailureExecutionKey",
    "FieldType": "calculated",
    "Datatype": "string",
    "Formula": "=IF(OR({{IsOverriddenRefusal}}, {{IsSilentlyDropped}}), {{ProcedureExecution}}, \"\")",
    "InventedForQuestion": "q-publisher-refusal-was-honored",
    "SemanticTypeIri": "urn:effortless:pko-extension#RulebookField",
    "Name": "SendIntents.RefusalFailureExecutionKey",
    "IsDerived": true,
    "IsWitness": true,
    "DisagreeingSubstrateCount": 1,
    "IsSubstrateContested": true
   },
   {
    "RulebookFieldId": "SendIntents.IntentExecutionKey",
    "TargetTable": "SendIntents",
    "FieldName": "IntentExecutionKey",
    "FieldType": "calculated",
    "Datatype": "string",
    "Formula": "={{ProcedureExecution}}",
    "InventedForQuestion": "q2-comms-approval-to-delivery-yield",
    "SemanticTypeIri": "urn:effortless:pko-extension#RulebookField",
    "Name": "SendIntents.IntentExecutionKey",
    "IsDerived": true,
    "IsWitness": true,
    "DisagreeingSubstrateCount": 0,
    "IsSubstrateContested": false
   },
   {
    "RulebookFieldId": "SendIntents.DeliveredIntentExecutionKey",
    "TargetTable": "SendIntents",
    "FieldName": "DeliveredIntentExecutionKey",
    "FieldType": "calculated",
    "Datatype": "string",
    "Formula": "=IF(AND({{HasResultingDelivery}}, {{ResultingDeliveryWasTransmitted}}), {{ProcedureExecution}}, \"\")",
    "InventedForQuestion": "q2-comms-approval-to-delivery-yield",
    "SemanticTypeIri": "urn:effortless:pko-extension#RulebookField",
    "Name": "SendIntents.DeliveredIntentExecutionKey",
    "IsDerived": true,
    "IsWitness": true,
    "DisagreeingSubstrateCount": 0,
    "IsSubstrateContested": false
   },
   {
    "RulebookFieldId": "SendIntents.DroppedIntentExecutionKey",
    "TargetTable": "SendIntents",
    "FieldName": "DroppedIntentExecutionKey",
    "FieldType": "calculated",
    "Datatype": "string",
    "Formula": "=IF({{IsSilentlyDropped}}, {{ProcedureExecution}}, \"\")",
    "InventedForQuestion": "q2-comms-approval-to-delivery-yield",
    "SemanticTypeIri": "urn:effortless:pko-extension#RulebookField",
    "Name": "SendIntents.DroppedIntentExecutionKey",
    "IsDerived": true,
    "IsWitness": true,
    "DisagreeingSubstrateCount": 0,
    "IsSubstrateContested": false
   },
   {
    "RulebookFieldId": "SendIntents.MyApprovalWasInForce",
    "TargetTable": "SendIntents",
    "FieldName": "MyApprovalWasInForce",
    "FieldType": "calculated",
    "Datatype": "boolean",
    "Formula": "={{TemplateIsSendable}}",
    "InventedForQuestion": "q2-comms-my-approval-was-consumed-correctly",
    "SemanticTypeIri": "urn:effortless:pko-extension#RulebookField",
    "Name": "SendIntents.MyApprovalWasInForce",
    "IsDerived": true,
    "IsWitness": true,
    "DisagreeingSubstrateCount": 0,
    "IsSubstrateContested": false
   },
   {
    "RulebookFieldId": "SendIntents.RefusedOnApprovedContent",
    "TargetTable": "SendIntents",
    "FieldName": "RefusedOnApprovedContent",
    "FieldType": "calculated",
    "Datatype": "boolean",
    "Formula": "=AND({{MyApprovalWasInForce}}, NOT({{ContentGatePassed}}))",
    "InventedForQuestion": "q2-comms-my-approval-was-consumed-correctly",
    "SemanticTypeIri": "urn:effortless:pko-extension#RulebookField",
    "Name": "SendIntents.RefusedOnApprovedContent",
    "IsDerived": true,
    "IsWitness": true,
    "DisagreeingSubstrateCount": 1,
    "IsSubstrateContested": true
   },
   {
    "RulebookFieldId": "SendIntents.RefusedOnOptOutOnly",
    "TargetTable": "SendIntents",
    "FieldName": "RefusedOnOptOutOnly",
    "FieldType": "calculated",
    "Datatype": "boolean",
    "Formula": "=AND(NOT({{OptOutGatePassed}}), {{LengthGatePassed}})",
    "InventedForQuestion": "q2-comms-my-approval-was-consumed-correctly",
    "SemanticTypeIri": "urn:effortless:pko-extension#RulebookField",
    "Name": "SendIntents.RefusedOnOptOutOnly",
    "IsDerived": true,
    "IsWitness": true,
    "DisagreeingSubstrateCount": 1,
    "IsSubstrateContested": true
   },
   {
    "RulebookFieldId": "SendIntents.RefusalWasOnMyRules",
    "TargetTable": "SendIntents",
    "FieldName": "RefusalWasOnMyRules",
    "FieldType": "calculated",
    "Datatype": "boolean",
    "Formula": "=AND(NOT({{IsClearedToSend}}), OR(NOT({{ContentGatePassed}}), NOT({{TimingGatePassed}})))",
    "InventedForQuestion": "q2-comms-my-approval-was-consumed-correctly",
    "SemanticTypeIri": "urn:effortless:pko-extension#RulebookField",
    "Name": "SendIntents.RefusalWasOnMyRules",
    "IsDerived": true,
    "IsWitness": true,
    "DisagreeingSubstrateCount": 1,
    "IsSubstrateContested": true
   },
   {
    "RulebookFieldId": "SendIntents.RefusalWasOutsideMyControl",
    "TargetTable": "SendIntents",
    "FieldName": "RefusalWasOutsideMyControl",
    "FieldType": "calculated",
    "Datatype": "boolean",
    "Formula": "=AND(NOT({{IsClearedToSend}}), OR(NOT({{PermissionGatePassed}}), NOT({{AuthorizationGatePassed}})))",
    "InventedForQuestion": "q2-comms-my-approval-was-consumed-correctly",
    "SemanticTypeIri": "urn:effortless:pko-extension#RulebookField",
    "Name": "SendIntents.RefusalWasOutsideMyControl",
    "IsDerived": true,
    "IsWitness": true,
    "DisagreeingSubstrateCount": 0,
    "IsSubstrateContested": false
   },
   {
    "RulebookFieldId": "SendIntents.ApproverWasNotified",
    "TargetTable": "SendIntents",
    "FieldName": "ApproverWasNotified",
    "FieldType": "raw",
    "Datatype": "boolean",
    "Formula": null,
    "InventedForQuestion": "q2-comms-my-approval-was-consumed-correctly",
    "SemanticTypeIri": "urn:effortless:pko-extension#RulebookField",
    "Name": "SendIntents.ApproverWasNotified",
    "IsDerived": false,
    "IsWitness": true,
    "DisagreeingSubstrateCount": 0,
    "IsSubstrateContested": false
   },
   {
    "RulebookFieldId": "SendIntents.IsUnreportedRefusalOnMyRules",
    "TargetTable": "SendIntents",
    "FieldName": "IsUnreportedRefusalOnMyRules",
    "FieldType": "calculated",
    "Datatype": "boolean",
    "Formula": "=AND({{RefusalWasOnMyRules}}, NOT({{ApproverWasNotified}}))",
    "InventedForQuestion": "q2-comms-my-approval-was-consumed-correctly",
    "SemanticTypeIri": "urn:effortless:pko-extension#RulebookField",
    "Name": "SendIntents.IsUnreportedRefusalOnMyRules",
    "IsDerived": true,
    "IsWitness": true,
    "DisagreeingSubstrateCount": 2,
    "IsSubstrateContested": true
   },
   {
    "RulebookFieldId": "SendIntents.IsApprovalOverriddenSilently",
    "TargetTable": "SendIntents",
    "FieldName": "IsApprovalOverriddenSilently",
    "FieldType": "calculated",
    "Datatype": "boolean",
    "Formula": "=AND({{RefusedOnApprovedContent}}, NOT({{ApproverWasNotified}}))",
    "InventedForQuestion": "q2-comms-my-approval-was-consumed-correctly",
    "SemanticTypeIri": "urn:effortless:pko-extension#RulebookField",
    "Name": "SendIntents.IsApprovalOverriddenSilently",
    "IsDerived": true,
    "IsWitness": true,
    "DisagreeingSubstrateCount": 2,
    "IsSubstrateContested": true
   },
   {
    "RulebookFieldId": "SendIntents.AlternateChannelIntent",
    "TargetTable": "SendIntents",
    "FieldName": "AlternateChannelIntent",
    "FieldType": "raw",
    "Datatype": "string",
    "Formula": null,
    "InventedForQuestion": "q2-comms-suppression-is-a-communication",
    "SemanticTypeIri": "urn:effortless:pko-extension#RulebookField",
    "Name": "SendIntents.AlternateChannelIntent",
    "IsDerived": false,
    "IsWitness": true,
    "DisagreeingSubstrateCount": 0,
    "IsSubstrateContested": false
   },
   {
    "RulebookFieldId": "SendIntents.HasAlternateChannelAttempt",
    "TargetTable": "SendIntents",
    "FieldName": "HasAlternateChannelAttempt",
    "FieldType": "calculated",
    "Datatype": "boolean",
    "Formula": "={{AlternateChannelIntent}} &lt;&gt; \"\"",
    "InventedForQuestion": "q2-comms-suppression-is-a-communication",
    "SemanticTypeIri": "urn:effortless:pko-extension#RulebookField",
    "Name": "SendIntents.HasAlternateChannelAttempt",
    "IsDerived": true,
    "IsWitness": true,
    "DisagreeingSubstrateCount": 0,
    "IsSubstrateContested": false
   },
   {
    "RulebookFieldId": "SendIntents.AlternateAttemptWasCleared",
    "TargetTable": "SendIntents",
    "FieldName": "AlternateAttemptWasCleared",
    "FieldType": "lookup",
    "Datatype": "boolean",
    "Formula": "=INDEX(SendIntents!{{IsClearedToSend}}, MATCH({{AlternateChannelIntent}}, SendIntents!{{SendIntentId}}, 0))",
    "InventedForQuestion": "q2-comms-suppression-is-a-communication",
    "SemanticTypeIri": "urn:effortless:pko-extension#RulebookField",
    "Name": "SendIntents.AlternateAttemptWasCleared",
    "IsDerived": true,
    "IsWitness": true,
    "DisagreeingSubstrateCount": 0,
    "IsSubstrateContested": false
   },
   {
    "RulebookFieldId": "SendIntents.IsRefusedWithNoAlternative",
    "TargetTable": "SendIntents",
    "FieldName": "IsRefusedWithNoAlternative",
    "FieldType": "calculated",
    "Datatype": "boolean",
    "Formula": "=AND(NOT({{IsClearedToSend}}), NOT({{HasAlternateChannelAttempt}}))",
    "InventedForQuestion": "q2-comms-suppression-is-a-communication",
    "SemanticTypeIri": "urn:effortless:pko-extension#RulebookField",
    "Name": "SendIntents.IsRefusedWithNoAlternative",
    "IsDerived": true,
    "IsWitness": true,
    "DisagreeingSubstrateCount": 1,
    "IsSubstrateContested": true
   },
   {
    "RulebookFieldId": "SendIntents.ExceptionPrescribedAnAlternative",
    "TargetTable": "SendIntents",
    "FieldName": "ExceptionPrescribedAnAlternative",
    "FieldType": "calculated",
    "Datatype": "boolean",
    "Formula": "=AND({{RefusalCitedAnException}}, {{ResultingDeliveryException}} &lt;&gt; \"\")",
    "InventedForQuestion": "q2-comms-suppression-is-a-communication",
    "SemanticTypeIri": "urn:effortless:pko-extension#RulebookField",
    "Name": "SendIntents.ExceptionPrescribedAnAlternative",
    "IsDerived": true,
    "IsWitness": true,
    "DisagreeingSubstrateCount": 1,
    "IsSubstrateContested": true
   },
   {
    "RulebookFieldId": "SendIntents.PrescribedHandlingWasPerformed",
    "TargetTable": "SendIntents",
    "FieldName": "PrescribedHandlingWasPerformed",
    "FieldType": "calculated",
    "Datatype": "boolean",
    "Formula": "=AND({{ExceptionPrescribedAnAlternative}}, AND({{HasAlternateChannelAttempt}}, {{AlternateAttemptWasCleared}}))",
    "InventedForQuestion": "q2-comms-suppression-is-a-communication",
    "SemanticTypeIri": "urn:effortless:pko-extension#RulebookField",
    "Name": "SendIntents.PrescribedHandlingWasPerformed",
    "IsDerived": true,
    "IsWitness": true,
    "DisagreeingSubstrateCount": 0,
    "IsSubstrateContested": false
   },
   {
    "RulebookFieldId": "SendIntents.IsSuppressionWithoutRemedy",
    "TargetTable": "SendIntents",
    "FieldName": "IsSuppressionWithoutRemedy",
    "FieldType": "calculated",
    "Datatype": "boolean",
    "Formula": "=AND({{ExceptionPrescribedAnAlternative}}, NOT({{PrescribedHandlingWasPerformed}}))",
    "InventedForQuestion": "q2-comms-suppression-is-a-communication",
    "SemanticTypeIri": "urn:effortless:pko-extension#RulebookField",
    "Name": "SendIntents.IsSuppressionWithoutRemedy",
    "IsDerived": true,
    "IsWitness": true,
    "DisagreeingSubstrateCount": 1,
    "IsSubstrateContested": true
   },
   {
    "RulebookFieldId": "SendIntents.RefusalRecordedAt",
    "TargetTable": "SendIntents",
    "FieldName": "RefusalRecordedAt",
    "FieldType": "raw",
    "Datatype": "datetime",
    "Formula": null,
    "InventedForQuestion": "q2-publisher-every-refusal-leaves-a-record",
    "SemanticTypeIri": "urn:effortless:pko-extension#RulebookField",
    "Name": "SendIntents.RefusalRecordedAt",
    "IsDerived": false,
    "IsWitness": true,
    "DisagreeingSubstrateCount": 0,
    "IsSubstrateContested": false
   },
   {
    "RulebookFieldId": "SendIntents.RefusalNotifiedRole",
    "TargetTable": "SendIntents",
    "FieldName": "RefusalNotifiedRole",
    "FieldType": "relationship",
    "Datatype": "string",
    "Formula": null,
    "InventedForQuestion": "q2-publisher-every-refusal-leaves-a-record",
    "SemanticTypeIri": "urn:effortless:pko-extension#RulebookField",
    "Name": "SendIntents.RefusalNotifiedRole",
    "IsDerived": false,
    "IsWitness": true,
    "DisagreeingSubstrateCount": 0,
    "IsSubstrateContested": false
   },
   {
    "RulebookFieldId": "SendIntents.HasDurableRefusalRecord",
    "TargetTable": "SendIntents",
    "FieldName": "HasDurableRefusalRecord",
    "FieldType": "calculated",
    "Datatype": "boolean",
    "Formula": "={{RefusalRecordedAt}} &lt;&gt; \"\"",
    "InventedForQuestion": "q2-publisher-every-refusal-leaves-a-record",
    "SemanticTypeIri": "urn:effortless:pko-extension#RulebookField",
    "Name": "SendIntents.HasDurableRefusalRecord",
    "IsDerived": true,
    "IsWitness": true,
    "DisagreeingSubstrateCount": 0,
    "IsSubstrateContested": false
   },
   {
    "RulebookFieldId": "SendIntents.RefusalWasEscalated",
    "TargetTable": "SendIntents",
    "FieldName": "RefusalWasEscalated",
    "FieldType": "calculated",
    "Datatype": "boolean",
    "Formula": "={{RefusalNotifiedRole}} &lt;&gt; \"\"",
    "InventedForQuestion": "q2-publisher-every-refusal-leaves-a-record",
    "SemanticTypeIri": "urn:effortless:pko-extension#RulebookField",
    "Name": "SendIntents.RefusalWasEscalated",
    "IsDerived": true,
    "IsWitness": true,
    "DisagreeingSubstrateCount": 0,
    "IsSubstrateContested": false
   },
   {
    "RulebookFieldId": "SendIntents.IsUnrecordedRefusal",
    "TargetTable": "SendIntents",
    "FieldName": "IsUnrecordedRefusal",
    "FieldType": "calculated",
    "Datatype": "boolean",
    "Formula": "=AND({{IsSilentlyDropped}}, AND(NOT({{HasDurableRefusalRecord}}), NOT({{RefusalCitedAnException}})))",
    "InventedForQuestion": "q2-publisher-every-refusal-leaves-a-record",
    "SemanticTypeIri": "urn:effortless:pko-extension#RulebookField",
    "Name": "SendIntents.IsUnrecordedRefusal",
    "IsDerived": true,
    "IsWitness": true,
    "DisagreeingSubstrateCount": 0,
    "IsSubstrateContested": false
   },
   {
    "RulebookFieldId": "SendIntents.IsUnescalatedRefusal",
    "TargetTable": "SendIntents",
    "FieldName": "IsUnescalatedRefusal",
    "FieldType": "calculated",
    "Datatype": "boolean",
    "Formula": "=AND(NOT({{IsClearedToSend}}), NOT({{RefusalWasEscalated}}))",
    "InventedForQuestion": "q2-publisher-every-refusal-leaves-a-record",
    "SemanticTypeIri": "urn:effortless:pko-extension#RulebookField",
    "Name": "SendIntents.IsUnescalatedRefusal",
    "IsDerived": true,
    "IsWitness": true,
    "DisagreeingSubstrateCount": 1,
    "IsSubstrateContested": true
   },
   {
    "RulebookFieldId": "SendIntents.UnescalatedRefusalRoleKey",
    "TargetTable": "SendIntents",
    "FieldName": "UnescalatedRefusalRoleKey",
    "FieldType": "calculated",
    "Datatype": "string",
    "Formula": "=IF({{IsUnrecordedRefusal}}, {{RefusalNotifiedRole}}, \"\")",
    "InventedForQuestion": "q2-publisher-every-refusal-leaves-a-record",
    "SemanticTypeIri": "urn:effortless:pko-extension#RulebookField",
    "Name": "SendIntents.UnescalatedRefusalRoleKey",
    "IsDerived": true,
    "IsWitness": true,
    "DisagreeingSubstrateCount": 0,
    "IsSubstrateContested": false
   },
   {
    "RulebookFieldId": "SendIntents.UnrecordedRefusalExecutionKey",
    "TargetTable": "SendIntents",
    "FieldName": "UnrecordedRefusalExecutionKey",
    "FieldType": "calculated",
    "Datatype": "string",
    "Formula": "=IF({{IsUnrecordedRefusal}}, {{ProcedureExecution}}, \"\")",
    "InventedForQuestion": "q2-publisher-every-refusal-leaves-a-record",
    "SemanticTypeIri": "urn:effortless:pko-extension#RulebookField",
    "Name": "SendIntents.UnrecordedRefusalExecutionKey",
    "IsDerived": true,
    "IsWitness": true,
    "DisagreeingSubstrateCount": 0,
    "IsSubstrateContested": false
   },
   {
    "RulebookFieldId": "SendIntents.RetryIntent",
    "TargetTable": "SendIntents",
    "FieldName": "RetryIntent",
    "FieldType": "raw",
    "Datatype": "string",
    "Formula": null,
    "InventedForQuestion": "q2-publisher-deferred-not-cancelled",
    "SemanticTypeIri": "urn:effortless:pko-extension#RulebookField",
    "Name": "SendIntents.RetryIntent",
    "IsDerived": false,
    "IsWitness": true,
    "DisagreeingSubstrateCount": 0,
    "IsSubstrateContested": false
   },
   {
    "RulebookFieldId": "SendIntents.WasDeferredOnTiming",
    "TargetTable": "SendIntents",
    "FieldName": "WasDeferredOnTiming",
    "FieldType": "calculated",
    "Datatype": "boolean",
    "Formula": "=AND(NOT({{TimingGatePassed}}), AND({{PermissionGatePassed}}, {{ContentGatePassed}}))",
    "InventedForQuestion": "q2-publisher-deferred-not-cancelled",
    "SemanticTypeIri": "urn:effortless:pko-extension#RulebookField",
    "Name": "SendIntents.WasDeferredOnTiming",
    "IsDerived": true,
    "IsWitness": true,
    "DisagreeingSubstrateCount": 0,
    "IsSubstrateContested": false
   },
   {
    "RulebookFieldId": "SendIntents.EvaluationContext",
    "TargetTable": "SendIntents",
    "FieldName": "EvaluationContext",
    "FieldType": "relationship",
    "Datatype": "string",
    "Formula": null,
    "InventedForQuestion": null,
    "SemanticTypeIri": "urn:effortless:pko-extension#RulebookField",
    "Name": "SendIntents.EvaluationContext",
    "IsDerived": false,
    "IsWitness": false,
    "DisagreeingSubstrateCount": 0,
    "IsSubstrateContested": false
   },
   {
    "RulebookFieldId": "SendIntents.AsOfInstant",
    "TargetTable": "SendIntents",
    "FieldName": "AsOfInstant",
    "FieldType": "lookup",
    "Datatype": "datetime",
    "Formula": "=INDEX(EvaluationContexts!{{AsOfInstant}}, MATCH({{EvaluationContext}}, EvaluationContexts!{{EvaluationContextId}}, 0))",
    "InventedForQuestion": null,
    "SemanticTypeIri": "urn:effortless:pko-extension#RulebookField",
    "Name": "SendIntents.AsOfInstant",
    "IsDerived": true,
    "IsWitness": false,
    "DisagreeingSubstrateCount": 1,
    "IsSubstrateContested": true
   },
   {
    "RulebookFieldId": "SendIntents.WindowHasSinceReopened",
    "TargetTable": "SendIntents",
    "FieldName": "WindowHasSinceReopened",
    "FieldType": "calculated",
    "Datatype": "boolean",
    "Formula": "=AND({{HoursUntilWindowOpens}} &gt; 0, DATETIME_DIFF({{AsOfInstant}}, {{EvaluatedAt}}, \"hours\") &gt; {{HoursUntilWindowOpens}})",
    "InventedForQuestion": "q2-publisher-deferred-not-cancelled",
    "SemanticTypeIri": "urn:effortless:pko-extension#RulebookField",
    "Name": "SendIntents.WindowHasSinceReopened",
    "IsDerived": true,
    "IsWitness": true,
    "DisagreeingSubstrateCount": 2,
    "IsSubstrateContested": true
   },
   {
    "RulebookFieldId": "SendIntents.HasRetryAttempt",
    "TargetTable": "SendIntents",
    "FieldName": "HasRetryAttempt",
    "FieldType": "calculated",
    "Datatype": "boolean",
    "Formula": "={{RetryIntent}} &lt;&gt; \"\"",
    "InventedForQuestion": "q2-publisher-deferred-not-cancelled",
    "SemanticTypeIri": "urn:effortless:pko-extension#RulebookField",
    "Name": "SendIntents.HasRetryAttempt",
    "IsDerived": true,
    "IsWitness": true,
    "DisagreeingSubstrateCount": 0,
    "IsSubstrateContested": false
   },
   {
    "RulebookFieldId": "SendIntents.RetryWasCleared",
    "TargetTable": "SendIntents",
    "FieldName": "RetryWasCleared",
    "FieldType": "lookup",
    "Datatype": "boolean",
    "Formula": "=INDEX(SendIntents!{{IsClearedToSend}}, MATCH({{RetryIntent}}, SendIntents!{{SendIntentId}}, 0))",
    "InventedForQuestion": "q2-publisher-deferred-not-cancelled",
    "SemanticTypeIri": "urn:effortless:pko-extension#RulebookField",
    "Name": "SendIntents.RetryWasCleared",
    "IsDerived": true,
    "IsWitness": true,
    "DisagreeingSubstrateCount": 0,
    "IsSubstrateContested": false
   },
   {
    "RulebookFieldId": "SendIntents.IsAbandonedDeferral",
    "TargetTable": "SendIntents",
    "FieldName": "IsAbandonedDeferral",
    "FieldType": "calculated",
    "Datatype": "boolean",
    "Formula": "=AND({{WasDeferredOnTiming}}, AND({{WindowHasSinceReopened}}, NOT({{HasRetryAttempt}})))",
    "InventedForQuestion": "q2-publisher-deferred-not-cancelled",
    "SemanticTypeIri": "urn:effortless:pko-extension#RulebookField",
    "Name": "SendIntents.IsAbandonedDeferral",
    "IsDerived": true,
    "IsWitness": true,
    "DisagreeingSubstrateCount": 2,
    "IsSubstrateContested": true
   },
   {
    "RulebookFieldId": "SendIntents.DeferralAgeHours",
    "TargetTable": "SendIntents",
    "FieldName": "DeferralAgeHours",
    "FieldType": "calculated",
    "Datatype": "integer",
    "Formula": "=DATETIME_DIFF({{AsOfInstant}}, {{EvaluatedAt}}, \"hours\")",
    "InventedForQuestion": "q2-publisher-deferred-not-cancelled",
    "SemanticTypeIri": "urn:effortless:pko-extension#RulebookField",
    "Name": "SendIntents.DeferralAgeHours",
    "IsDerived": true,
    "IsWitness": true,
    "DisagreeingSubstrateCount": 7,
    "IsSubstrateContested": true
   },
   {
    "RulebookFieldId": "SendIntents.IsStaleDeferral",
    "TargetTable": "SendIntents",
    "FieldName": "IsStaleDeferral",
    "FieldType": "calculated",
    "Datatype": "boolean",
    "Formula": "=AND({{WasDeferredOnTiming}}, {{DeferralAgeHours}} &gt; 24)",
    "InventedForQuestion": "q2-publisher-deferred-not-cancelled",
    "SemanticTypeIri": "urn:effortless:pko-extension#RulebookField",
    "Name": "SendIntents.IsStaleDeferral",
    "IsDerived": true,
    "IsWitness": true,
    "DisagreeingSubstrateCount": 1,
    "IsSubstrateContested": true
   },
   {
    "RulebookFieldId": "SendIntents.EvaluatingRoleAssignment",
    "TargetTable": "SendIntents",
    "FieldName": "EvaluatingRoleAssignment",
    "FieldType": "raw",
    "Datatype": "string",
    "Formula": null,
    "InventedForQuestion": "q2-publisher-my-own-authorization",
    "SemanticTypeIri": "urn:effortless:pko-extension#RulebookField",
    "Name": "SendIntents.EvaluatingRoleAssignment",
    "IsDerived": false,
    "IsWitness": true,
    "DisagreeingSubstrateCount": 0,
    "IsSubstrateContested": false
   },
   {
    "RulebookFieldId": "SendIntents.EnforcedByUnauthorizedAgent",
    "TargetTable": "SendIntents",
    "FieldName": "EnforcedByUnauthorizedAgent",
    "FieldType": "lookup",
    "Datatype": "boolean",
    "Formula": "=INDEX(RoleAssignments!{{IsUnauthorizedEnforcementAgent}}, MATCH({{EvaluatingRoleAssignment}}, RoleAssignments!{{RoleAssignmentId}}, 0))",
    "InventedForQuestion": "q2-publisher-my-own-authorization",
    "SemanticTypeIri": "urn:effortless:pko-extension#RulebookField",
    "Name": "SendIntents.EnforcedByUnauthorizedAgent",
    "IsDerived": true,
    "IsWitness": true,
    "DisagreeingSubstrateCount": 0,
    "IsSubstrateContested": false
   },
   {
    "RulebookFieldId": "SendIntents.ConsentInputWasResolvable",
    "Tar</t>
  </si>
  <si>
    <t xml:space="preserve">getTable": "SendIntents",
    "FieldName": "ConsentInputWasResolvable",
    "FieldType": "calculated",
    "Datatype": "boolean",
    "Formula": "={{RecipientConsentStatusRaw}} &lt;&gt; \"\"",
    "InventedForQuestion": "q2-publisher-am-i-the-only-witness",
    "SemanticTypeIri": "urn:effortless:pko-extension#RulebookField",
    "Name": "SendIntents.ConsentInputWasResolvable",
    "IsDerived": true,
    "IsWitness": true,
    "DisagreeingSubstrateCount": 0,
    "IsSubstrateContested": false
   },
   {
    "RulebookFieldId": "SendIntents.RecipientConsentStatusRaw",
    "TargetTable": "SendIntents",
    "FieldName": "RecipientConsentStatusRaw",
    "FieldType": "lookup",
    "Datatype": "string",
    "Formula": "=INDEX(Recipients!{{SmsConsentStatus}}, MATCH({{Recipient}}, Recipients!{{RecipientId}}, 0))",
    "InventedForQuestion": "q2-publisher-am-i-the-only-witness",
    "SemanticTypeIri": "urn:effortless:pko-extension#RulebookField",
    "Name": "SendIntents.RecipientConsentStatusRaw",
    "IsDerived": true,
    "IsWitness": true,
    "DisagreeingSubstrateCount": 0,
    "IsSubstrateContested": false
   },
   {
    "RulebookFieldId": "SendIntents.PolicyInputWasResolvable",
    "TargetTable": "SendIntents",
    "FieldName": "PolicyInputWasResolvable",
    "FieldType": "calculated",
    "Datatype": "boolean",
    "Formula": "={{IntentPolicy}} &lt;&gt; \"\"",
    "InventedForQuestion": "q2-publisher-am-i-the-only-witness",
    "SemanticTypeIri": "urn:effortless:pko-extension#RulebookField",
    "Name": "SendIntents.PolicyInputWasResolvable",
    "IsDerived": true,
    "IsWitness": true,
    "DisagreeingSubstrateCount": 0,
    "IsSubstrateContested": false
   },
   {
    "RulebookFieldId": "SendIntents.AllGateInputsResolved",
    "TargetTable": "SendIntents",
    "FieldName": "AllGateInputsResolved",
    "FieldType": "calculated",
    "Datatype": "boolean",
    "Formula": "=AND({{ConsentInputWasResolvable}}, {{PolicyInputWasResolvable}})",
    "InventedForQuestion": "q2-publisher-am-i-the-only-witness",
    "SemanticTypeIri": "urn:effortless:pko-extension#RulebookField",
    "Name": "SendIntents.AllGateInputsResolved",
    "IsDerived": true,
    "IsWitness": true,
    "DisagreeingSubstrateCount": 0,
    "IsSubstrateContested": false
   },
   {
    "RulebookFieldId": "SendIntents.IsUnevaluableRefusal",
    "TargetTable": "SendIntents",
    "FieldName": "IsUnevaluableRefusal",
    "FieldType": "calculated",
    "Datatype": "boolean",
    "Formula": "=AND(NOT({{IsClearedToSend}}), NOT({{AllGateInputsResolved}}))",
    "InventedForQuestion": "q2-publisher-am-i-the-only-witness",
    "SemanticTypeIri": "urn:effortless:pko-extension#RulebookField",
    "Name": "SendIntents.IsUnevaluableRefusal",
    "IsDerived": true,
    "IsWitness": true,
    "DisagreeingSubstrateCount": 0,
    "IsSubstrateContested": false
   },
   {
    "RulebookFieldId": "SendIntents.GateResultWasIndependentlyConfirmed",
    "TargetTable": "SendIntents",
    "FieldName": "GateResultWasIndependentlyConfirmed",
    "FieldType": "raw",
    "Datatype": "boolean",
    "Formula": null,
    "InventedForQuestion": "q2-publisher-am-i-the-only-witness",
    "SemanticTypeIri": "urn:effortless:pko-extension#RulebookField",
    "Name": "SendIntents.GateResultWasIndependentlyConfirmed",
    "IsDerived": false,
    "IsWitness": true,
    "DisagreeingSubstrateCount": 0,
    "IsSubstrateContested": false
   },
   {
    "RulebookFieldId": "SendIntents.IsSelfWitnessedDecision",
    "TargetTable": "SendIntents",
    "FieldName": "IsSelfWitnessedDecision",
    "FieldType": "calculated",
    "Datatype": "boolean",
    "Formula": "=NOT({{GateResultWasIndependentlyConfirmed}})",
    "InventedForQuestion": "q2-publisher-am-i-the-only-witness",
    "SemanticTypeIri": "urn:effortless:pko-extension#RulebookField",
    "Name": "SendIntents.IsSelfWitnessedDecision",
    "IsDerived": true,
    "IsWitness": true,
    "DisagreeingSubstrateCount": 2,
    "IsSubstrateContested": true
   },
   {
    "RulebookFieldId": "SendIntents.IsIndependentlyConfirmed",
    "TargetTable": "SendIntents",
    "FieldName": "IsIndependentlyConfirmed",
    "FieldType": "calculated",
    "Datatype": "boolean",
    "Formula": "=AND({{HasResultingDelivery}}, {{ResultingDeliveryWasTransmitted}})",
    "InventedForQuestion": "q2-publisher-am-i-the-only-witness",
    "SemanticTypeIri": "urn:effortless:pko-extension#RulebookField",
    "Name": "SendIntents.IsIndependentlyConfirmed",
    "IsDerived": true,
    "IsWitness": true,
    "DisagreeingSubstrateCount": 0,
    "IsSubstrateContested": false
   },
   {
    "RulebookFieldId": "SendIntents.IndependentlyConfirmedExecutionKey",
    "TargetTable": "SendIntents",
    "FieldName": "IndependentlyConfirmedExecutionKey",
    "FieldType": "calculated",
    "Datatype": "string",
    "Formula": "=IF({{IsIndependentlyConfirmed}}, {{ProcedureExecution}}, \"\")",
    "InventedForQuestion": "q2-publisher-am-i-the-only-witness",
    "SemanticTypeIri": "urn:effortless:pko-extension#RulebookField",
    "Name": "SendIntents.IndependentlyConfirmedExecutionKey",
    "IsDerived": true,
    "IsWitness": true,
    "DisagreeingSubstrateCount": 0,
    "IsSubstrateContested": false
   },
   {
    "RulebookFieldId": "SendIntents.SemanticTypeIri",
    "TargetTable": "SendIntents",
    "FieldName": "SemanticTypeIri",
    "FieldType": "raw",
    "Datatype": "string",
    "Formula": null,
    "InventedForQuestion": null,
    "SemanticTypeIri": "urn:effortless:pko-extension#RulebookField",
    "Name": "SendIntents.SemanticTypeIri",
    "IsDerived": false,
    "IsWitness": false,
    "DisagreeingSubstrateCount": 0,
    "IsSubstrateContested": false
   },
   {
    "RulebookFieldId": "AgentDecisionRecords.AgentDecisionRecordId",
    "TargetTable": "AgentDecisionRecords",
    "FieldName": "AgentDecisionRecordId",
    "FieldType": "raw",
    "Datatype": "string",
    "Formula": null,
    "InventedForQuestion": null,
    "SemanticTypeIri": "urn:effortless:pko-extension#RulebookField",
    "Name": "AgentDecisionRecords.AgentDecisionRecordId",
    "IsDerived": false,
    "IsWitness": false,
    "DisagreeingSubstrateCount": 0,
    "IsSubstrateContested": false
   },
   {
    "RulebookFieldId": "AgentDecisionRecords.Name",
    "TargetTable": "AgentDecisionRecords",
    "FieldName": "Name",
    "FieldType": "calculated",
    "Datatype": "string",
    "Formula": "={{DecidingAgent}} &amp; \": \" &amp; LEFT({{DecisionSummary}}, 60)",
    "InventedForQuestion": null,
    "SemanticTypeIri": "urn:effortless:pko-extension#RulebookField",
    "Name": "AgentDecisionRecords.Name",
    "IsDerived": true,
    "IsWitness": false,
    "DisagreeingSubstrateCount": 0,
    "IsSubstrateContested": false
   },
   {
    "RulebookFieldId": "AgentDecisionRecords.StepExecution",
    "TargetTable": "AgentDecisionRecords",
    "FieldName": "StepExecution",
    "FieldType": "relationship",
    "Datatype": "string",
    "Formula": null,
    "InventedForQuestion": null,
    "SemanticTypeIri": "urn:effortless:pko-extension#RulebookField",
    "Name": "AgentDecisionRecords.StepExecution",
    "IsDerived": false,
    "IsWitness": false,
    "DisagreeingSubstrateCount": 0,
    "IsSubstrateContested": false
   },
   {
    "RulebookFieldId": "AgentDecisionRecords.DecidingAgent",
    "TargetTable": "AgentDecisionRecords",
    "FieldName": "DecidingAgent",
    "FieldType": "relationship",
    "Datatype": "string",
    "Formula": null,
    "InventedForQuestion": null,
    "SemanticTypeIri": "urn:effortless:pko-extension#RulebookField",
    "Name": "AgentDecisionRecords.DecidingAgent",
    "IsDerived": false,
    "IsWitness": false,
    "DisagreeingSubstrateCount": 0,
    "IsSubstrateContested": false
   },
   {
    "RulebookFieldId": "AgentDecisionRecords.DecisionKind",
    "TargetTable": "AgentDecisionRecords",
    "FieldName": "DecisionKind",
    "FieldType": "raw",
    "Datatype": "string",
    "Formula": null,
    "InventedForQuestion": null,
    "SemanticTypeIri": "urn:effortless:pko-extension#RulebookField",
    "Name": "AgentDecisionRecords.DecisionKind",
    "IsDerived": false,
    "IsWitness": false,
    "DisagreeingSubstrateCount": 0,
    "IsSubstrateContested": false
   },
   {
    "RulebookFieldId": "AgentDecisionRecords.DecisionSummary",
    "TargetTable": "AgentDecisionRecords",
    "FieldName": "DecisionSummary",
    "FieldType": "raw",
    "Datatype": "string",
    "Formula": null,
    "InventedForQuestion": null,
    "SemanticTypeIri": "urn:effortless:pko-extension#RulebookField",
    "Name": "AgentDecisionRecords.DecisionSummary",
    "IsDerived": false,
    "IsWitness": false,
    "DisagreeingSubstrateCount": 0,
    "IsSubstrateContested": false
   },
   {
    "RulebookFieldId": "AgentDecisionRecords.DecidedAt",
    "TargetTable": "AgentDecisionRecords",
    "FieldName": "DecidedAt",
    "FieldType": "raw",
    "Datatype": "datetime",
    "Formula": null,
    "InventedForQuestion": null,
    "SemanticTypeIri": "urn:effortless:pko-extension#RulebookField",
    "Name": "AgentDecisionRecords.DecidedAt",
    "IsDerived": false,
    "IsWitness": false,
    "DisagreeingSubstrateCount": 0,
    "IsSubstrateContested": false
   },
   {
    "RulebookFieldId": "AgentDecisionRecords.MaterialityBand",
    "TargetTable": "AgentDecisionRecords",
    "FieldName": "MaterialityBand",
    "FieldType": "raw",
    "Datatype": "string",
    "Formula": null,
    "InventedForQuestion": null,
    "SemanticTypeIri": "urn:effortless:pko-extension#RulebookField",
    "Name": "AgentDecisionRecords.MaterialityBand",
    "IsDerived": false,
    "IsWitness": false,
    "DisagreeingSubstrateCount": 0,
    "IsSubstrateContested": false
   },
   {
    "RulebookFieldId": "AgentDecisionRecords.HumanDisposition",
    "TargetTable": "AgentDecisionRecords",
    "FieldName": "HumanDisposition",
    "FieldType": "raw",
    "Datatype": "string",
    "Formula": null,
    "InventedForQuestion": null,
    "SemanticTypeIri": "urn:effortless:pko-extension#RulebookField",
    "Name": "AgentDecisionRecords.HumanDisposition",
    "IsDerived": false,
    "IsWitness": false,
    "DisagreeingSubstrateCount": 0,
    "IsSubstrateContested": false
   },
   {
    "RulebookFieldId": "AgentDecisionRecords.ReviewedByAgent",
    "TargetTable": "AgentDecisionRecords",
    "FieldName": "ReviewedByAgent",
    "FieldType": "relationship",
    "Datatype": "string",
    "Formula": null,
    "InventedForQuestion": null,
    "SemanticTypeIri": "urn:effortless:pko-extension#RulebookField",
    "Name": "AgentDecisionRecords.ReviewedByAgent",
    "IsDerived": false,
    "IsWitness": false,
    "DisagreeingSubstrateCount": 0,
    "IsSubstrateContested": false
   },
   {
    "RulebookFieldId": "AgentDecisionRecords.ReviewedAt",
    "TargetTable": "AgentDecisionRecords",
    "FieldName": "ReviewedAt",
    "FieldType": "raw",
    "Datatype": "datetime",
    "Formula": null,
    "InventedForQuestion": null,
    "SemanticTypeIri": "urn:effortless:pko-extension#RulebookField",
    "Name": "AgentDecisionRecords.ReviewedAt",
    "IsDerived": false,
    "IsWitness": false,
    "DisagreeingSubstrateCount": 0,
    "IsSubstrateContested": false
   },
   {
    "RulebookFieldId": "AgentDecisionRecords.WasOverridden",
    "TargetTable": "AgentDecisionRecords",
    "FieldName": "WasOverridden",
    "FieldType": "calculated",
    "Datatype": "boolean",
    "Formula": "=OR({{HumanDisposition}} = \"Corrected\", {{HumanDisposition}} = \"Reversed\")",
    "InventedForQuestion": "q-close-auto-human-override-drift",
    "SemanticTypeIri": "urn:effortless:pko-extension#RulebookField",
    "Name": "AgentDecisionRecords.WasOverridden",
    "IsDerived": true,
    "IsWitness": true,
    "DisagreeingSubstrateCount": 0,
    "IsSubstrateContested": false
   },
   {
    "RulebookFieldId": "AgentDecisionRecords.WasReviewed",
    "TargetTable": "AgentDecisionRecords",
    "FieldName": "WasReviewed",
    "FieldType": "calculated",
    "Datatype": "boolean",
    "Formula": "=AND({{HumanDisposition}} &lt;&gt; \"\", {{HumanDisposition}} &lt;&gt; \"NotReviewed\")",
    "InventedForQuestion": "q-close-auto-human-override-drift",
    "SemanticTypeIri": "urn:effortless:pko-extension#RulebookField",
    "Name": "AgentDecisionRecords.WasReviewed",
    "IsDerived": true,
    "IsWitness": true,
    "DisagreeingSubstrateCount": 0,
    "IsSubstrateContested": false
   },
   {
    "RulebookFieldId": "AgentDecisionRecords.DecidingAgentKind",
    "TargetTable": "AgentDecisionRecords",
    "FieldName": "DecidingAgentKind",
    "FieldType": "lookup",
    "Datatype": "string",
    "Formula": "=INDEX(Agents!{{AgentKind}}, MATCH({{DecidingAgent}}, Agents!{{AgentId}}, 0))",
    "InventedForQuestion": "q-close-auto-human-override-drift",
    "SemanticTypeIri": "urn:effortless:pko-extension#RulebookField",
    "Name": "AgentDecisionRecords.DecidingAgentKind",
    "IsDerived": true,
    "IsWitness": true,
    "DisagreeingSubstrateCount": 0,
    "IsSubstrateContested": false
   },
   {
    "RulebookFieldId": "AgentDecisionRecords.DecidingAgentWhenOverridden",
    "TargetTable": "AgentDecisionRecords",
    "FieldName": "DecidingAgentWhenOverridden",
    "FieldType": "calculated",
    "Datatype": "string",
    "Formula": "=IF({{WasOverridden}}, {{DecidingAgent}}, \"\")",
    "InventedForQuestion": "q-close-auto-human-override-drift",
    "SemanticTypeIri": "urn:effortless:pko-extension#RulebookField",
    "Name": "AgentDecisionRecords.DecidingAgentWhenOverridden",
    "IsDerived": true,
    "IsWitness": true,
    "DisagreeingSubstrateCount": 0,
    "IsSubstrateContested": false
   },
   {
    "RulebookFieldId": "AgentDecisionRecords.UnderRoleAssignment",
    "TargetTable": "AgentDecisionRecords",
    "FieldName": "UnderRoleAssignment",
    "FieldType": "relationship",
    "Datatype": "string",
    "Formula": null,
    "InventedForQuestion": null,
    "SemanticTypeIri": "urn:effortless:pko-extension#RulebookField",
    "Name": "AgentDecisionRecords.UnderRoleAssignment",
    "IsDerived": false,
    "IsWitness": false,
    "DisagreeingSubstrateCount": 0,
    "IsSubstrateContested": false
   },
   {
    "RulebookFieldId": "AgentDecisionRecords.RoleAssignmentWhenScored",
    "TargetTable": "AgentDecisionRecords",
    "FieldName": "RoleAssignmentWhenScored",
    "FieldType": "calculated",
    "Datatype": "string",
    "Formula": "=IF({{UnderRoleAssignment}} &lt;&gt; \"\", {{UnderRoleAssignment}}, \"\")",
    "InventedForQuestion": "q-variance-ai-quality-vs-human-baseline",
    "SemanticTypeIri": "urn:effortless:pko-extension#RulebookField",
    "Name": "AgentDecisionRecords.RoleAssignmentWhenScored",
    "IsDerived": true,
    "IsWitness": true,
    "DisagreeingSubstrateCount": 0,
    "IsSubstrateContested": false
   },
   {
    "RulebookFieldId": "AgentDecisionRecords.RoleAssignmentWhenOverridden",
    "TargetTable": "AgentDecisionRecords",
    "FieldName": "RoleAssignmentWhenOverridden",
    "FieldType": "calculated",
    "Datatype": "string",
    "Formula": "=IF({{WasOverridden}}, {{UnderRoleAssignment}}, \"\")",
    "InventedForQuestion": "q-variance-ai-quality-vs-human-baseline",
    "SemanticTypeIri": "urn:effortless:pko-extension#RulebookField",
    "Name": "AgentDecisionRecords.RoleAssignmentWhenOverridden",
    "IsDerived": true,
    "IsWitness": true,
    "DisagreeingSubstrateCount": 0,
    "IsSubstrateContested": false
   },
   {
    "RulebookFieldId": "AgentDecisionRecords.StepOfDecision",
    "TargetTable": "AgentDecisionRecords",
    "FieldName": "StepOfDecision",
    "FieldType": "lookup",
    "Datatype": "string",
    "Formula": "=INDEX(StepExecutions!{{Step}}, MATCH({{StepExecution}}, StepExecutions!{{StepExecutionId}}, 0))",
    "InventedForQuestion": "q-variance-ai-boundary-compliance",
    "SemanticTypeIri": "urn:effortless:pko-extension#RulebookField",
    "Name": "AgentDecisionRecords.StepOfDecision",
    "IsDerived": true,
    "IsWitness": true,
    "DisagreeingSubstrateCount": 0,
    "IsSubstrateContested": false
   },
   {
    "RulebookFieldId": "AgentDecisionRecords.BoundaryMatchKey",
    "TargetTable": "AgentDecisionRecords",
    "FieldName": "BoundaryMatchKey",
    "FieldType": "calculated",
    "Datatype": "string",
    "Formula": "={{StepOfDecision}} &amp; \"|\" &amp; {{DecidingAgentKind}} &amp; \"|\" &amp; {{DecisionKind}}",
    "InventedForQuestion": "q-variance-ai-boundary-compliance",
    "SemanticTypeIri": "urn:effortless:pko-extension#RulebookField",
    "Name": "AgentDecisionRecords.BoundaryMatchKey",
    "IsDerived": true,
    "IsWitness": true,
    "DisagreeingSubstrateCount": 0,
    "IsSubstrateContested": false
   },
   {
    "RulebookFieldId": "AgentDecisionRecords.MatchingBoundaryCount",
    "TargetTable": "AgentDecisionRecords",
    "FieldName": "MatchingBoundaryCount",
    "FieldType": "aggregation",
    "Datatype": "number",
    "Formula": "=COUNTIFS(AuthorityBoundaries!{{BoundaryMatchKey}}, {{BoundaryMatchKey}})",
    "InventedForQuestion": "q-variance-ai-boundary-compliance",
    "SemanticTypeIri": "urn:effortless:pko-extension#RulebookField",
    "Name": "AgentDecisionRecords.MatchingBoundaryCount",
    "IsDerived": true,
    "IsWitness": true,
    "DisagreeingSubstrateCount": 0,
    "IsSubstrateContested": false
   },
   {
    "RulebookFieldId": "AgentDecisionRecords.ViolatedAuthorityBoundary",
    "TargetTable": "AgentDecisionRecords",
    "FieldName": "ViolatedAuthorityBoundary",
    "FieldType": "calculated",
    "Datatype": "boolean",
    "Formula": "={{MatchingBoundaryCount}} &gt; 0",
    "InventedForQuestion": "q-variance-ai-boundary-compliance",
    "SemanticTypeIri": "urn:effortless:pko-extension#RulebookField",
    "Name": "AgentDecisionRecords.ViolatedAuthorityBoundary",
    "IsDerived": true,
    "IsWitness": true,
    "DisagreeingSubstrateCount": 0,
    "IsSubstrateContested": false
   },
   {
    "RulebookFieldId": "AgentDecisionRecords.ReviewerAgentKind",
    "TargetTable": "AgentDecisionRecords",
    "FieldName": "ReviewerAgentKind",
    "FieldType": "lookup",
    "Datatype": "string",
    "Formula": "=INDEX(Agents!{{AgentKind}}, MATCH({{ReviewedByAgent}}, Agents!{{AgentId}}, 0))",
    "InventedForQuestion": "q-variance-ai-human-confirmation-present",
    "SemanticTypeIri": "urn:effortless:pko-extension#RulebookField",
    "Name": "AgentDecisionRecords.ReviewerAgentKind",
    "IsDerived": true,
    "IsWitness": true,
    "DisagreeingSubstrateCount": 0,
    "IsSubstrateContested": false
   },
   {
    "RulebookFieldId": "AgentDecisionRecords.HasHumanConfirmation",
    "TargetTable": "AgentDecisionRecords",
    "FieldName": "HasHumanConfirmation",
    "FieldType": "calculated",
    "Datatype": "boolean",
    "Formula": "=AND({{ReviewerAgentKind}} = \"Human\", {{HumanDisposition}} &lt;&gt; \"\", {{HumanDisposition}} &lt;&gt; \"NotReviewed\")",
    "InventedForQuestion": "q-variance-ai-human-confirmation-present",
    "SemanticTypeIri": "urn:effortless:pko-extension#RulebookField",
    "Name": "AgentDecisionRecords.HasHumanConfirmation",
    "IsDerived": true,
    "IsWitness": true,
    "DisagreeingSubstrateCount": 0,
    "IsSubstrateContested": false
   },
   {
    "RulebookFieldId": "AgentDecisionRecords.NeedsHumanConfirmation",
    "TargetTable": "AgentDecisionRecords",
    "FieldName": "NeedsHumanConfirmation",
    "FieldType": "calculated",
    "Datatype": "boolean",
    "Formula": "=AND(NOT({{DecidingAgentKind}} = \"Human\"), OR({{MaterialityBand}} = \"Material\", {{MaterialityBand}} = \"Escalated\"))",
    "InventedForQuestion": "q-variance-ai-human-confirmation-present",
    "SemanticTypeIri": "urn:effortless:pko-extension#RulebookField",
    "Name": "AgentDecisionRecords.NeedsHumanConfirmation",
    "IsDerived": true,
    "IsWitness": true,
    "DisagreeingSubstrateCount": 0,
    "IsSubstrateContested": false
   },
   {
    "RulebookFieldId": "AgentDecisionRecords.IsUnconfirmedNonHumanDecision",
    "TargetTable": "AgentDecisionRecords",
    "FieldName": "IsUnconfirmedNonHumanDecision",
    "FieldType": "calculated",
    "Datatype": "boolean",
    "Formula": "=AND({{NeedsHumanConfirmation}}, NOT({{HasHumanConfirmation}}))",
    "InventedForQuestion": "q-variance-ai-human-confirmation-present",
    "SemanticTypeIri": "urn:effortless:pko-extension#RulebookField",
    "Name": "AgentDecisionRecords.IsUnconfirmedNonHumanDecision",
    "IsDerived": true,
    "IsWitness": true,
    "DisagreeingSubstrateCount": 0,
    "IsSubstrateContested": false
   },
   {
    "RulebookFieldId": "AgentDecisionRecords.StepExecutionWhenUnconfirmed",
    "TargetTable": "AgentDecisionRecords",
    "FieldName": "StepExecutionWhenUnconfirmed",
    "FieldType": "calculated",
    "Datatype": "string",
    "Formula": "=IF({{IsUnconfirmedNonHumanDecision}}, {{StepExecution}}, \"\")",
    "InventedForQuestion": "q-variance-ai-human-confirmation-present",
    "SemanticTypeIri": "urn:effortless:pko-extension#RulebookField",
    "Name": "AgentDecisionRecords.StepExecutionWhenUnconfirmed",
    "IsDerived": true,
    "IsWitness": true,
    "DisagreeingSubstrateCount": 0,
    "IsSubstrateContested": false
   },
   {
    "RulebookFieldId": "AgentDecisionRecords.AgentWhenBoundaryViolated",
    "TargetTable": "AgentDecisionRecords",
    "FieldName": "AgentWhenBoundaryViolated",
    "FieldType": "calculated",
    "Datatype": "string",
    "Formula": "=IF({{ViolatedAuthorityBoundary}}, {{DecidingAgent}}, \"\")",
    "InventedForQuestion": "q-policy-ai-commitment-boundary",
    "SemanticTypeIri": "urn:effortless:pko-extension#RulebookField",
    "Name": "AgentDecisionRecords.AgentWhenBoundaryViolated",
    "IsDerived": true,
    "IsWitness": true,
    "DisagreeingSubstrateCount": 0,
    "IsSubstrateContested": false
   },
   {
    "RulebookFieldId": "AgentDecisionRecords.ReviewLatencyMinutes",
    "TargetTable": "AgentDecisionRecords",
    "FieldName": "ReviewLatencyMinutes",
    "FieldType": "calculated",
    "Datatype": "number",
    "Formula": "=IF({{ReviewedAt}} = \"\", 0, DATETIME_DIFF({{ReviewedAt}}, {{DecidedAt}}, \"minutes\"))",
    "InventedForQuestion": "q-policy-ai-downstream-rewrite",
    "SemanticTypeIri": "urn:effortless:pko-extension#RulebookField",
    "Name": "AgentDecisionRecords.ReviewLatencyMinutes",
    "IsDerived": true,
    "IsWitness": true,
    "DisagreeingSubstrateCount": 2,
    "IsSubstrateContested": true
   },
   {
    "RulebookFieldId": "AgentDecisionRecords.IsDraftKind",
    "TargetTable": "AgentDecisionRecords",
    "FieldName": "IsDraftKind",
    "FieldType": "calculated",
    "Datatype": "boolean",
    "Formula": "=OR({{DecisionKind}} = \"Draft\", {{DecisionKind}} = \"Commitment\")",
    "InventedForQuestion": "q-policy-ai-downstream-rewrite",
    "SemanticTypeIri": "urn:effortless:pko-extension#RulebookField",
    "Name": "AgentDecisionRecords.IsDraftKind",
    "IsDerived": true,
    "IsWitness": true,
    "DisagreeingSubstrateCount": 0,
    "IsSubstrateContested": false
   },
   {
    "RulebookFieldId": "AgentDecisionRecords.AgentWhenDraftOverridden",
    "TargetTable": "AgentDecisionRecords",
    "FieldName": "AgentWhenDraftOverridden",
    "FieldType": "calculated",
    "Datatype": "string",
    "Formula": "=IF(AND({{IsDraftKind}}, {{WasOverridden}}), {{DecidingAgent}}, \"\")",
    "InventedForQuestion": "q-policy-ai-downstream-rewrite",
    "SemanticTypeIri": "urn:effortless:pko-extension#RulebookField",
    "Name": "AgentDecisionRecords.AgentWhenDraftOverridden",
    "IsDerived": true,
    "IsWitness": true,
    "DisagreeingSubstrateCount": 0,
    "IsSubstrateContested": false
   },
   {
    "RulebookFieldId": "AgentDecisionRecords.AgentWhenDraft",
    "TargetTable": "AgentDecisionRecords",
    "FieldName": "AgentWhenDraft",
    "FieldType": "calculated",
    "Datatype": "string",
    "Formula": "=IF({{IsDraftKind}}, {{DecidingAgent}}, \"\")",
    "InventedForQuestion": "q-policy-ai-downstream-rewrite",
    "SemanticTypeIri": "urn:effortless:pko-extension#RulebookField",
    "Name": "AgentDecisionRecords.AgentWhenDraft",
    "IsDerived": true,
    "IsWitness": true,
    "DisagreeingSubstrateCount": 0,
    "IsSubstrateContested": false
   },
   {
    "RulebookFieldId": "AgentDecisionRecords.OverrideReasonKind",
    "TargetTable": "AgentDecisionRecords",
    "FieldName": "OverrideReasonKind",
    "FieldType": "raw",
    "Datatype": "string",
    "Formula": null,
    "InventedForQuestion": "q2-variance-override-signal-vs-noise",
    "SemanticTypeIri": "urn:effortless:pko-extension#RulebookField",
    "Name": "AgentDecisionRecords.OverrideReasonKind",
    "IsDerived": false,
    "IsWitness": true,
    "DisagreeingSubstrateCount": 0,
    "IsSubstrateContested": false
   },
   {
    "RulebookFieldId": "AgentDecisionRecords.IsErrorCorrection",
    "TargetTable": "AgentDecisionRecords",
    "FieldName": "IsErrorCorrection",
    "FieldType": "calculated",
    "Datatype": "boolean",
    "Formula": "=AND({{WasOverridden}}, {{OverrideReasonKind}} = \"ErrorCorrection\")",
    "InventedForQuestion": "q2-variance-override-signal-vs-noise",
    "SemanticTypeIri": "urn:effortless:pko-extension#RulebookField",
    "Name": "AgentDecisionRecords.IsErrorCorrection",
    "IsDerived": true,
    "IsWitness": true,
    "DisagreeingSubstrateCount": 0,
    "IsSubstrateContested": false
   },
   {
    "RulebookFieldId": "AgentDecisionRecords.IsReservedJudgmentOverride",
    "TargetTable": "AgentDecisionRecords",
    "FieldName": "IsReservedJudgmentOverride",
    "FieldType": "calculated",
    "Datatype": "boolean",
    "Formula": "=AND({{WasOverridden}}, {{OverrideReasonKind}} = \"JudgmentReserved\")",
    "InventedForQuestion": "q2-variance-override-signal-vs-noise",
    "SemanticTypeIri": "urn:effortless:pko-extension#RulebookField",
    "Name": "AgentDecisionRecords.IsReservedJudgmentOverride",
    "IsDerived": true,
    "IsWitness": true,
    "DisagreeingSubstrateCount": 0,
    "IsSubstrateContested": false
   },
   {
    "RulebookFieldId": "AgentDecisionRecords.OverrideReasonIsRecorded",
    "TargetTable": "AgentDecisionRecords",
    "FieldName": "OverrideReasonIsRecorded",
    "FieldType": "calculated",
    "Datatype": "boolean",
    "Formula": "=AND({{WasOverridden}}, {{OverrideReasonKind}} &lt;&gt; \"\")",
    "InventedForQuestion": "q2-variance-override-signal-vs-noise",
    "SemanticTypeIri": "urn:effortless:pko-extension#RulebookField",
    "Name": "AgentDecisionRecords.OverrideReasonIsRecorded",
    "IsDerived": true,
    "IsWitness": true,
    "DisagreeingSubstrateCount": 0,
    "IsSubstrateContested": false
   },
   {
    "RulebookFieldId": "AgentDecisionRecords.IsUnexplainedOverride",
    "TargetTable": "AgentDecisionRecords",
    "FieldName": "IsUnexplainedOverride",
    "FieldType": "calculated",
    "Datatype": "boolean",
    "Formula": "=AND({{WasOverridden}}, NOT({{OverrideReasonIsRecorded}}))",
    "InventedForQuestion": "q2-variance-override-signal-vs-noise",
    "SemanticTypeIri": "urn:effortless:pko-extension#RulebookField",
    "Name": "AgentDecisionRecords.IsUnexplainedOverride",
    "IsDerived": true,
    "IsWitness": true,
    "DisagreeingSubstrateCount": 0,
    "IsSubstrateContested": false
   },
   {
    "RulebookFieldId": "AgentDecisionRecords.ErrorCorrectionRoleAssignmentKey",
    "TargetTable": "AgentDecisionRecords",
    "FieldName": "ErrorCorrectionRoleAssignmentKey",
    "FieldType": "calculated",
    "Datatype": "string",
    "Formula": "=IF({{IsErrorCorrection}}, {{UnderRoleAssignment}}, \"\")",
    "InventedForQuestion": "q2-variance-override-signal-vs-noise",
    "SemanticTypeIri": "urn:effortless:pko-extension#RulebookField",
    "Name": "AgentDecisionRecords.ErrorCorrectionRoleAssignmentKey",
    "IsDerived": true,
    "IsWitness": true,
    "DisagreeingSubstrateCount": 0,
    "IsSubstrateContested": false
   },
   {
    "RulebookFieldId": "AgentDecisionRecords.BoundaryViolationRoleAssignmentKey",
    "TargetTable": "AgentDecisionRecords",
    "FieldName": "BoundaryViolationRoleAssignmentKey",
    "FieldType": "calculated",
    "Datatype": "string",
    "Formula": "=IF({{ViolatedAuthorityBoundary}}, {{UnderRoleAssignment}}, \"\")",
    "InventedForQuestion": "q2-variance-what-would-make-me-stop",
    "SemanticTypeIri": "urn:effortless:pko-extension#RulebookField",
    "Name": "AgentDecisionRecords.BoundaryViolationRoleAssignmentKey",
    "IsDerived": true,
    "IsWitness": true,
    "DisagreeingSubstrateCount": 0,
    "IsSubstrateContested": false
   },
   {
    "RulebookFieldId": "AgentDecisionRecords.SemanticTypeIri",
    "TargetTable": "AgentDecisionRecords",
    "FieldName": "SemanticTypeIri",
    "FieldType": "raw",
    "Datatype": "string",
    "Formula": null,
    "InventedForQuestion": null,
    "SemanticTypeIri": "urn:effortless:pko-extension#RulebookField",
    "Name": "AgentDecisionRecords.SemanticTypeIri",
    "IsDerived": false,
    "IsWitness": false,
    "DisagreeingSubstrateCount": 0,
    "IsSubstrateContested": false
   },
   {
    "RulebookFieldId": "DeliveredCommunications.DeliveredCommunicationId",
    "TargetTable": "DeliveredCommunications",
    "FieldName": "DeliveredCommunicationId",
    "FieldType": "raw",
    "Datatype": "string",
    "Formula": null,
    "InventedForQuestion": null,
    "SemanticTypeIri": "urn:effortless:pko-extension#RulebookField",
    "Name": "DeliveredCommunications.DeliveredCommunicationId",
    "IsDerived": false,
    "IsWitness": false,
    "DisagreeingSubstrateCount": 0,
    "IsSubstrateContested": false
   },
   {
    "RulebookFieldId": "DeliveredCommunications.Name",
    "TargetTable": "DeliveredCommunications",
    "FieldName": "Name",
    "FieldType": "calculated",
    "Datatype": "string",
    "Formula": "={{Channel}} &amp; \" -&gt; \" &amp; {{RecipientKey}} &amp; \" @ \" &amp; {{SentAt}}",
    "InventedForQuestion": null,
    "SemanticTypeIri": "urn:effortless:pko-extension#RulebookField",
    "Name": "DeliveredCommunications.Name",
    "IsDerived": true,
    "IsWitness": false,
    "DisagreeingSubstrateCount": 2,
    "IsSubstrateContested": true
   },
   {
    "RulebookFieldId": "DeliveredCommunications.ProcedureExecution",
    "TargetTable": "DeliveredCommunications",
    "FieldName": "ProcedureExecution",
    "FieldType": "relationship",
    "Datatype": "string",
    "Formula": null,
    "InventedForQuestion": null,
    "SemanticTypeIri": "urn:effortless:pko-extension#RulebookField",
    "Name": "DeliveredCommunications.ProcedureExecution",
    "IsDerived": false,
    "IsWitness": false,
    "DisagreeingSubstrateCount": 0,
    "IsSubstrateContested": false
   },
   {
    "RulebookFieldId": "DeliveredCommunications.SendingStepExecution",
    "TargetTable": "DeliveredCommunications",
    "FieldName": "SendingStepExecution",
    "FieldType": "relationship",
    "Datatype": "string",
    "Formula": null,
    "InventedForQuestion": null,
    "SemanticTypeIri": "urn:effortless:pko-extension#RulebookField",
    "Name": "DeliveredCommunications.SendingStepExecution",
    "IsDerived": false,
    "IsWitness": false,
    "DisagreeingSubstrateCount": 0,
    "IsSubstrateContested": false
   },
   {
    "RulebookFieldId": "DeliveredCommunications.AuthorizingStepExecution",
    "TargetTable": "DeliveredCommunications",
    "FieldName": "AuthorizingStepExecution",
    "FieldType": "relationship",
    "Datatype": "string",
    "Formula": null,
    "InventedForQuestion": null,
    "SemanticTypeIri": "urn:effortless:pko-extension#RulebookField",
    "Name": "DeliveredCommunications.AuthorizingStepExecution",
    "IsDerived": false,
    "IsWitness": false,
    "DisagreeingSubstrateCount": 0,
    "IsSubstrateContested": false
   },
   {
    "RulebookFieldId": "DeliveredCommunications.MessageTemplate",
    "TargetTable": "DeliveredCommunications",
    "FieldName": "MessageTemplate",
    "FieldType": "relationship",
    "Datatype": "string",
    "Formula": null,
    "InventedForQuestion": null,
    "SemanticTypeIri": "urn:effortless:pko-extension#RulebookField",
    "Name": "DeliveredCommunications.MessageTemplate",
    "IsDerived": false,
    "IsWitness": false,
    "DisagreeingSubstrateCount": 0,
    "IsSubstrateContested": false
   },
   {
    "RulebookFieldId": "DeliveredCommunications.Channel",
    "TargetTable": "DeliveredCommunications",
    "FieldName": "Channel",
    "FieldType": "raw",
    "Datatype": "string",
    "Formula": null,
    "InventedForQuestion": null,
    "SemanticTypeIri": "urn:effortless:pko-extension#RulebookField",
    "Name": "DeliveredCommunications.Channel",
    "IsDerived": false,
    "IsWitness": false,
    "DisagreeingSubstrateCount": 0,
    "IsSubstrateContested": false
   },
   {
    "RulebookFieldId": "DeliveredCommunications.RecipientKey",
    "TargetTable": "DeliveredCommunications",
    "FieldName": "RecipientKey",
    "FieldType": "raw",
    "Datatype": "string",
    "Formula": null,
    "InventedForQuestion": null</t>
  </si>
  <si>
    <t xml:space="preserve">,
    "SemanticTypeIri": "urn:effortless:pko-extension#RulebookField",
    "Name": "DeliveredCommunications.RecipientKey",
    "IsDerived": false,
    "IsWitness": false,
    "DisagreeingSubstrateCount": 0,
    "IsSubstrateContested": false
   },
   {
    "RulebookFieldId": "DeliveredCommunications.SentAt",
    "TargetTable": "DeliveredCommunications",
    "FieldName": "SentAt",
    "FieldType": "raw",
    "Datatype": "datetime",
    "Formula": null,
    "InventedForQuestion": null,
    "SemanticTypeIri": "urn:effortless:pko-extension#RulebookField",
    "Name": "DeliveredCommunications.SentAt",
    "IsDerived": false,
    "IsWitness": false,
    "DisagreeingSubstrateCount": 0,
    "IsSubstrateContested": false
   },
   {
    "RulebookFieldId": "DeliveredCommunications.RenderedContentHash",
    "TargetTable": "DeliveredCommunications",
    "FieldName": "RenderedContentHash",
    "FieldType": "raw",
    "Datatype": "string",
    "Formula": null,
    "InventedForQuestion": null,
    "SemanticTypeIri": "urn:effortless:pko-extension#RulebookField",
    "Name": "DeliveredCommunications.RenderedContentHash",
    "IsDerived": false,
    "IsWitness": false,
    "DisagreeingSubstrateCount": 0,
    "IsSubstrateContested": false
   },
   {
    "RulebookFieldId": "DeliveredCommunications.ApprovedContentHash",
    "TargetTable": "DeliveredCommunications",
    "FieldName": "ApprovedContentHash",
    "FieldType": "raw",
    "Datatype": "string",
    "Formula": null,
    "InventedForQuestion": null,
    "SemanticTypeIri": "urn:effortless:pko-extension#RulebookField",
    "Name": "DeliveredCommunications.ApprovedContentHash",
    "IsDerived": false,
    "IsWitness": false,
    "DisagreeingSubstrateCount": 0,
    "IsSubstrateContested": false
   },
   {
    "RulebookFieldId": "DeliveredCommunications.DeliveryStatus",
    "TargetTable": "DeliveredCommunications",
    "FieldName": "DeliveryStatus",
    "FieldType": "raw",
    "Datatype": "string",
    "Formula": null,
    "InventedForQuestion": null,
    "SemanticTypeIri": "urn:effortless:pko-extension#RulebookField",
    "Name": "DeliveredCommunications.DeliveryStatus",
    "IsDerived": false,
    "IsWitness": false,
    "DisagreeingSubstrateCount": 0,
    "IsSubstrateContested": false
   },
   {
    "RulebookFieldId": "DeliveredCommunications.SemanticTypeIri",
    "TargetTable": "DeliveredCommunications",
    "FieldName": "SemanticTypeIri",
    "FieldType": "raw",
    "Datatype": "string",
    "Formula": null,
    "InventedForQuestion": null,
    "SemanticTypeIri": "urn:effortless:pko-extension#RulebookField",
    "Name": "DeliveredCommunications.SemanticTypeIri",
    "IsDerived": false,
    "IsWitness": false,
    "DisagreeingSubstrateCount": 0,
    "IsSubstrateContested": false
   },
   {
    "RulebookFieldId": "DeliveredCommunications.HasAuthorization",
    "TargetTable": "DeliveredCommunications",
    "FieldName": "HasAuthorization",
    "FieldType": "calculated",
    "Datatype": "boolean",
    "Formula": "={{AuthorizingStepExecution}} &lt;&gt; \"\"",
    "InventedForQuestion": null,
    "SemanticTypeIri": "urn:effortless:pko-extension#RulebookField",
    "Name": "DeliveredCommunications.HasAuthorization",
    "IsDerived": true,
    "IsWitness": false,
    "DisagreeingSubstrateCount": 0,
    "IsSubstrateContested": false
   },
   {
    "RulebookFieldId": "DeliveredCommunications.ContentMatchesApproval",
    "TargetTable": "DeliveredCommunications",
    "FieldName": "ContentMatchesApproval",
    "FieldType": "calculated",
    "Datatype": "boolean",
    "Formula": "={{RenderedContentHash}} = {{ApprovedContentHash}}",
    "InventedForQuestion": null,
    "SemanticTypeIri": "urn:effortless:pko-extension#RulebookField",
    "Name": "DeliveredCommunications.ContentMatchesApproval",
    "IsDerived": true,
    "IsWitness": false,
    "DisagreeingSubstrateCount": 6,
    "IsSubstrateContested": true
   },
   {
    "RulebookFieldId": "DeliveredCommunications.AuthorizedAt",
    "TargetTable": "DeliveredCommunications",
    "FieldName": "AuthorizedAt",
    "FieldType": "lookup",
    "Datatype": "datetime",
    "Formula": "=INDEX(StepExecutions!{{EndedAt}}, MATCH({{AuthorizingStepExecution}}, StepExecutions!{{StepExecutionId}}, 0))",
    "InventedForQuestion": null,
    "SemanticTypeIri": "urn:effortless:pko-extension#RulebookField",
    "Name": "DeliveredCommunications.AuthorizedAt",
    "IsDerived": true,
    "IsWitness": false,
    "DisagreeingSubstrateCount": 0,
    "IsSubstrateContested": false
   },
   {
    "RulebookFieldId": "DeliveredCommunications.WasApprovedBeforeSending",
    "TargetTable": "DeliveredCommunications",
    "FieldName": "WasApprovedBeforeSending",
    "FieldType": "calculated",
    "Datatype": "boolean",
    "Formula": "={{AuthorizedAt}} &lt;= {{SentAt}}",
    "InventedForQuestion": null,
    "SemanticTypeIri": "urn:effortless:pko-extension#RulebookField",
    "Name": "DeliveredCommunications.WasApprovedBeforeSending",
    "IsDerived": true,
    "IsWitness": false,
    "DisagreeingSubstrateCount": 1,
    "IsSubstrateContested": true
   },
   {
    "RulebookFieldId": "DeliveredCommunications.IsDefensible",
    "TargetTable": "DeliveredCommunications",
    "FieldName": "IsDefensible",
    "FieldType": "calculated",
    "Datatype": "boolean",
    "Formula": "=AND({{HasAuthorization}}, {{ContentMatchesApproval}}, {{WasApprovedBeforeSending}})",
    "InventedForQuestion": null,
    "SemanticTypeIri": "urn:effortless:pko-extension#RulebookField",
    "Name": "DeliveredCommunications.IsDefensible",
    "IsDerived": true,
    "IsWitness": false,
    "DisagreeingSubstrateCount": 0,
    "IsSubstrateContested": false
   },
   {
    "RulebookFieldId": "AuthorityBoundaries.AuthorityBoundaryId",
    "TargetTable": "AuthorityBoundaries",
    "FieldName": "AuthorityBoundaryId",
    "FieldType": "raw",
    "Datatype": "string",
    "Formula": null,
    "InventedForQuestion": null,
    "SemanticTypeIri": "urn:effortless:pko-extension#RulebookField",
    "Name": "AuthorityBoundaries.AuthorityBoundaryId",
    "IsDerived": false,
    "IsWitness": false,
    "DisagreeingSubstrateCount": 0,
    "IsSubstrateContested": false
   },
   {
    "RulebookFieldId": "AuthorityBoundaries.Name",
    "TargetTable": "AuthorityBoundaries",
    "FieldName": "Name",
    "FieldType": "calculated",
    "Datatype": "string",
    "Formula": "={{ForbiddenAgentKind}} &amp; \" may not \" &amp; {{ForbiddenDecisionKind}}",
    "InventedForQuestion": null,
    "SemanticTypeIri": "urn:effortless:pko-extension#RulebookField",
    "Name": "AuthorityBoundaries.Name",
    "IsDerived": true,
    "IsWitness": false,
    "DisagreeingSubstrateCount": 0,
    "IsSubstrateContested": false
   },
   {
    "RulebookFieldId": "AuthorityBoundaries.Step",
    "TargetTable": "AuthorityBoundaries",
    "FieldName": "Step",
    "FieldType": "relationship",
    "Datatype": "string",
    "Formula": null,
    "InventedForQuestion": null,
    "SemanticTypeIri": "urn:effortless:pko-extension#RulebookField",
    "Name": "AuthorityBoundaries.Step",
    "IsDerived": false,
    "IsWitness": false,
    "DisagreeingSubstrateCount": 0,
    "IsSubstrateContested": false
   },
   {
    "RulebookFieldId": "AuthorityBoundaries.ForbiddenAgentKind",
    "TargetTable": "AuthorityBoundaries",
    "FieldName": "ForbiddenAgentKind",
    "FieldType": "raw",
    "Datatype": "string",
    "Formula": null,
    "InventedForQuestion": null,
    "SemanticTypeIri": "urn:effortless:pko-extension#RulebookField",
    "Name": "AuthorityBoundaries.ForbiddenAgentKind",
    "IsDerived": false,
    "IsWitness": false,
    "DisagreeingSubstrateCount": 0,
    "IsSubstrateContested": false
   },
   {
    "RulebookFieldId": "AuthorityBoundaries.ForbiddenDecisionKind",
    "TargetTable": "AuthorityBoundaries",
    "FieldName": "ForbiddenDecisionKind",
    "FieldType": "raw",
    "Datatype": "string",
    "Formula": null,
    "InventedForQuestion": null,
    "SemanticTypeIri": "urn:effortless:pko-extension#RulebookField",
    "Name": "AuthorityBoundaries.ForbiddenDecisionKind",
    "IsDerived": false,
    "IsWitness": false,
    "DisagreeingSubstrateCount": 0,
    "IsSubstrateContested": false
   },
   {
    "RulebookFieldId": "AuthorityBoundaries.RatifiedByKnowledgeFragment",
    "TargetTable": "AuthorityBoundaries",
    "FieldName": "RatifiedByKnowledgeFragment",
    "FieldType": "relationship",
    "Datatype": "string",
    "Formula": null,
    "InventedForQuestion": null,
    "SemanticTypeIri": "urn:effortless:pko-extension#RulebookField",
    "Name": "AuthorityBoundaries.RatifiedByKnowledgeFragment",
    "IsDerived": false,
    "IsWitness": false,
    "DisagreeingSubstrateCount": 0,
    "IsSubstrateContested": false
   },
   {
    "RulebookFieldId": "AuthorityBoundaries.EnforcingRequirement",
    "TargetTable": "AuthorityBoundaries",
    "FieldName": "EnforcingRequirement",
    "FieldType": "relationship",
    "Datatype": "string",
    "Formula": null,
    "InventedForQuestion": null,
    "SemanticTypeIri": "urn:effortless:pko-extension#RulebookField",
    "Name": "AuthorityBoundaries.EnforcingRequirement",
    "IsDerived": false,
    "IsWitness": false,
    "DisagreeingSubstrateCount": 0,
    "IsSubstrateContested": false
   },
   {
    "RulebookFieldId": "AuthorityBoundaries.AuthorityRole",
    "TargetTable": "AuthorityBoundaries",
    "FieldName": "AuthorityRole",
    "FieldType": "relationship",
    "Datatype": "string",
    "Formula": null,
    "InventedForQuestion": null,
    "SemanticTypeIri": "urn:effortless:pko-extension#RulebookField",
    "Name": "AuthorityBoundaries.AuthorityRole",
    "IsDerived": false,
    "IsWitness": false,
    "DisagreeingSubstrateCount": 0,
    "IsSubstrateContested": false
   },
   {
    "RulebookFieldId": "AuthorityBoundaries.ValidFrom",
    "TargetTable": "AuthorityBoundaries",
    "FieldName": "ValidFrom",
    "FieldType": "raw",
    "Datatype": "datetime",
    "Formula": null,
    "InventedForQuestion": null,
    "SemanticTypeIri": "urn:effortless:pko-extension#RulebookField",
    "Name": "AuthorityBoundaries.ValidFrom",
    "IsDerived": false,
    "IsWitness": false,
    "DisagreeingSubstrateCount": 0,
    "IsSubstrateContested": false
   },
   {
    "RulebookFieldId": "AuthorityBoundaries.ValidTo",
    "TargetTable": "AuthorityBoundaries",
    "FieldName": "ValidTo",
    "FieldType": "raw",
    "Datatype": "datetime",
    "Formula": null,
    "InventedForQuestion": null,
    "SemanticTypeIri": "urn:effortless:pko-extension#RulebookField",
    "Name": "AuthorityBoundaries.ValidTo",
    "IsDerived": false,
    "IsWitness": false,
    "DisagreeingSubstrateCount": 0,
    "IsSubstrateContested": false
   },
   {
    "RulebookFieldId": "AuthorityBoundaries.Status",
    "TargetTable": "AuthorityBoundaries",
    "FieldName": "Status",
    "FieldType": "raw",
    "Datatype": "string",
    "Formula": null,
    "InventedForQuestion": null,
    "SemanticTypeIri": "urn:effortless:pko-extension#RulebookField",
    "Name": "AuthorityBoundaries.Status",
    "IsDerived": false,
    "IsWitness": false,
    "DisagreeingSubstrateCount": 0,
    "IsSubstrateContested": false
   },
   {
    "RulebookFieldId": "AuthorityBoundaries.EvaluationContext",
    "TargetTable": "AuthorityBoundaries",
    "FieldName": "EvaluationContext",
    "FieldType": "relationship",
    "Datatype": "string",
    "Formula": null,
    "InventedForQuestion": null,
    "SemanticTypeIri": "urn:effortless:pko-extension#RulebookField",
    "Name": "AuthorityBoundaries.EvaluationContext",
    "IsDerived": false,
    "IsWitness": false,
    "DisagreeingSubstrateCount": 0,
    "IsSubstrateContested": false
   },
   {
    "RulebookFieldId": "AuthorityBoundaries.AsOfInstant",
    "TargetTable": "AuthorityBoundaries",
    "FieldName": "AsOfInstant",
    "FieldType": "lookup",
    "Datatype": "datetime",
    "Formula": "=INDEX(EvaluationContexts!{{AsOfInstant}}, MATCH({{EvaluationContext}}, EvaluationContexts!{{EvaluationContextId}}, 0))",
    "InventedForQuestion": null,
    "SemanticTypeIri": "urn:effortless:pko-extension#RulebookField",
    "Name": "AuthorityBoundaries.AsOfInstant",
    "IsDerived": true,
    "IsWitness": false,
    "DisagreeingSubstrateCount": 1,
    "IsSubstrateContested": true
   },
   {
    "RulebookFieldId": "AuthorityBoundaries.IsCurrentlyBinding",
    "TargetTable": "AuthorityBoundaries",
    "FieldName": "IsCurrentlyBinding",
    "FieldType": "calculated",
    "Datatype": "boolean",
    "Formula": "=AND({{Status}} = \"Approved\", {{ValidFrom}} &lt;= {{AsOfInstant}}, OR({{ValidTo}} = \"\", {{ValidTo}} &gt; {{AsOfInstant}}))",
    "InventedForQuestion": "q-variance-ai-boundary-compliance",
    "SemanticTypeIri": "urn:effortless:pko-extension#RulebookField",
    "Name": "AuthorityBoundaries.IsCurrentlyBinding",
    "IsDerived": true,
    "IsWitness": true,
    "DisagreeingSubstrateCount": 0,
    "IsSubstrateContested": false
   },
   {
    "RulebookFieldId": "AuthorityBoundaries.RatifyingFragmentIsValid",
    "TargetTable": "AuthorityBoundaries",
    "FieldName": "RatifyingFragmentIsValid",
    "FieldType": "lookup",
    "Datatype": "boolean",
    "Formula": "=INDEX(KnowledgeFragments!{{IsCurrentlyValid}}, MATCH({{RatifiedByKnowledgeFragment}}, KnowledgeFragments!{{KnowledgeFragmentId}}, 0))",
    "InventedForQuestion": "q-variance-ai-boundary-compliance",
    "SemanticTypeIri": "urn:effortless:pko-extension#RulebookField",
    "Name": "AuthorityBoundaries.RatifyingFragmentIsValid",
    "IsDerived": true,
    "IsWitness": true,
    "DisagreeingSubstrateCount": 0,
    "IsSubstrateContested": false
   },
   {
    "RulebookFieldId": "AuthorityBoundaries.StepWhenBinding",
    "TargetTable": "AuthorityBoundaries",
    "FieldName": "StepWhenBinding",
    "FieldType": "calculated",
    "Datatype": "string",
    "Formula": "=IF({{IsCurrentlyBinding}}, {{Step}}, \"\")",
    "InventedForQuestion": "q-variance-ai-boundary-compliance",
    "SemanticTypeIri": "urn:effortless:pko-extension#RulebookField",
    "Name": "AuthorityBoundaries.StepWhenBinding",
    "IsDerived": true,
    "IsWitness": true,
    "DisagreeingSubstrateCount": 0,
    "IsSubstrateContested": false
   },
   {
    "RulebookFieldId": "AuthorityBoundaries.BoundaryMatchKey",
    "TargetTable": "AuthorityBoundaries",
    "FieldName": "BoundaryMatchKey",
    "FieldType": "calculated",
    "Datatype": "string",
    "Formula": "={{Step}} &amp; \"|\" &amp; {{ForbiddenAgentKind}} &amp; \"|\" &amp; {{ForbiddenDecisionKind}}",
    "InventedForQuestion": "q-variance-ai-boundary-compliance",
    "SemanticTypeIri": "urn:effortless:pko-extension#RulebookField",
    "Name": "AuthorityBoundaries.BoundaryMatchKey",
    "IsDerived": true,
    "IsWitness": true,
    "DisagreeingSubstrateCount": 0,
    "IsSubstrateContested": false
   },
   {
    "RulebookFieldId": "AuthorityBoundaries.ViolationCount",
    "TargetTable": "AuthorityBoundaries",
    "FieldName": "ViolationCount",
    "FieldType": "aggregation",
    "Datatype": "number",
    "Formula": "=COUNTIFS(AgentDecisionRecords!{{BoundaryMatchKey}}, {{BoundaryMatchKey}})",
    "InventedForQuestion": "q-policy-ai-commitment-boundary",
    "SemanticTypeIri": "urn:effortless:pko-extension#RulebookField",
    "Name": "AuthorityBoundaries.ViolationCount",
    "IsDerived": true,
    "IsWitness": true,
    "DisagreeingSubstrateCount": 0,
    "IsSubstrateContested": false
   },
   {
    "RulebookFieldId": "AuthorityBoundaries.IsUntested",
    "TargetTable": "AuthorityBoundaries",
    "FieldName": "IsUntested",
    "FieldType": "calculated",
    "Datatype": "boolean",
    "Formula": "=AND({{IsCurrentlyBinding}}, {{ViolationCount}} = 0)",
    "InventedForQuestion": "q-policy-ai-commitment-boundary",
    "SemanticTypeIri": "urn:effortless:pko-extension#RulebookField",
    "Name": "AuthorityBoundaries.IsUntested",
    "IsDerived": true,
    "IsWitness": true,
    "DisagreeingSubstrateCount": 0,
    "IsSubstrateContested": false
   },
   {
    "RulebookFieldId": "AuthorityBoundaries.HasRatifyingFragment",
    "TargetTable": "AuthorityBoundaries",
    "FieldName": "HasRatifyingFragment",
    "FieldType": "calculated",
    "Datatype": "boolean",
    "Formula": "={{RatifiedByKnowledgeFragment}} &lt;&gt; \"\"",
    "InventedForQuestion": null,
    "SemanticTypeIri": "urn:effortless:pko-extension#RulebookField",
    "Name": "AuthorityBoundaries.HasRatifyingFragment",
    "IsDerived": true,
    "IsWitness": false,
    "DisagreeingSubstrateCount": 0,
    "IsSubstrateContested": false
   },
   {
    "RulebookFieldId": "AuthorityBoundaries.IsUnwarranted",
    "TargetTable": "AuthorityBoundaries",
    "FieldName": "IsUnwarranted",
    "FieldType": "calculated",
    "Datatype": "boolean",
    "Formula": "=AND({{IsCurrentlyBinding}}, OR(NOT({{HasRatifyingFragment}}), NOT({{RatifyingFragmentIsValid}})))",
    "InventedForQuestion": "q2-authority-boundary-rests-on-expired-claim",
    "SemanticTypeIri": "urn:effortless:pko-extension#RulebookField",
    "Name": "AuthorityBoundaries.IsUnwarranted",
    "IsDerived": true,
    "IsWitness": true,
    "DisagreeingSubstrateCount": 1,
    "IsSubstrateContested": true
   },
   {
    "RulebookFieldId": "AuthorityBoundaries.RatifyingFragmentIsOverdue",
    "TargetTable": "AuthorityBoundaries",
    "FieldName": "RatifyingFragmentIsOverdue",
    "FieldType": "lookup",
    "Datatype": "boolean",
    "Formula": "=INDEX(KnowledgeFragments!{{IsOverdueForReview}}, MATCH({{RatifiedByKnowledgeFragment}}, KnowledgeFragments!{{KnowledgeFragmentId}}, 0))",
    "InventedForQuestion": "q2-authority-boundary-rests-on-expired-claim",
    "SemanticTypeIri": "urn:effortless:pko-extension#RulebookField",
    "Name": "AuthorityBoundaries.RatifyingFragmentIsOverdue",
    "IsDerived": true,
    "IsWitness": true,
    "DisagreeingSubstrateCount": 0,
    "IsSubstrateContested": false
   },
   {
    "RulebookFieldId": "AuthorityBoundaries.RatifyingFragmentIsSingleWitness",
    "TargetTable": "AuthorityBoundaries",
    "FieldName": "RatifyingFragmentIsSingleWitness",
    "FieldType": "lookup",
    "Datatype": "boolean",
    "Formula": "=INDEX(KnowledgeFragments!{{IsFromSingleWitness}}, MATCH({{RatifiedByKnowledgeFragment}}, KnowledgeFragments!{{KnowledgeFragmentId}}, 0))",
    "InventedForQuestion": "q2-authority-boundary-rests-on-expired-claim",
    "SemanticTypeIri": "urn:effortless:pko-extension#RulebookField",
    "Name": "AuthorityBoundaries.RatifyingFragmentIsSingleWitness",
    "IsDerived": true,
    "IsWitness": true,
    "DisagreeingSubstrateCount": 0,
    "IsSubstrateContested": false
   },
   {
    "RulebookFieldId": "AuthorityBoundaries.WarrantIsThin",
    "TargetTable": "AuthorityBoundaries",
    "FieldName": "WarrantIsThin",
    "FieldType": "calculated",
    "Datatype": "boolean",
    "Formula": "=AND({{IsCurrentlyBinding}}, OR({{RatifyingFragmentIsOverdue}}, {{RatifyingFragmentIsSingleWitness}}))",
    "InventedForQuestion": "q2-authority-boundary-rests-on-expired-claim",
    "SemanticTypeIri": "urn:effortless:pko-extension#RulebookField",
    "Name": "AuthorityBoundaries.WarrantIsThin",
    "IsDerived": true,
    "IsWitness": true,
    "DisagreeingSubstrateCount": 1,
    "IsSubstrateContested": true
   },
   {
    "RulebookFieldId": "AuthorityBoundaries.IsUnwarrantedAndUntested",
    "TargetTable": "AuthorityBoundaries",
    "FieldName": "IsUnwarrantedAndUntested",
    "FieldType": "calculated",
    "Datatype": "boolean",
    "Formula": "=AND({{IsUnwarranted}}, {{IsUntested}})",
    "InventedForQuestion": "q2-authority-boundary-rests-on-expired-claim",
    "SemanticTypeIri": "urn:effortless:pko-extension#RulebookField",
    "Name": "AuthorityBoundaries.IsUnwarrantedAndUntested",
    "IsDerived": true,
    "IsWitness": true,
    "DisagreeingSubstrateCount": 1,
    "IsSubstrateContested": true
   },
   {
    "RulebookFieldId": "AuthorityBoundaries.UnwarrantedBoundaryStepKey",
    "TargetTable": "AuthorityBoundaries",
    "FieldName": "UnwarrantedBoundaryStepKey",
    "FieldType": "calculated",
    "Datatype": "string",
    "Formula": "=IF({{IsUnwarranted}}, {{Step}}, \"\")",
    "InventedForQuestion": "q2-authority-boundary-rests-on-expired-claim",
    "SemanticTypeIri": "urn:effortless:pko-extension#RulebookField",
    "Name": "AuthorityBoundaries.UnwarrantedBoundaryStepKey",
    "IsDerived": true,
    "IsWitness": true,
    "DisagreeingSubstrateCount": 1,
    "IsSubstrateContested": true
   },
   {
    "RulebookFieldId": "AuthorityBoundaries.RatifyingFragmentKey",
    "TargetTable": "AuthorityBoundaries",
    "FieldName": "RatifyingFragmentKey",
    "FieldType": "calculated",
    "Datatype": "string",
    "Formula": "=IF({{IsCurrentlyBinding}}, {{RatifiedByKnowledgeFragment}}, \"\")",
    "InventedForQuestion": "q2-hr-my-unapproved-claim-is-load-bearing",
    "SemanticTypeIri": "urn:effortless:pko-extension#RulebookField",
    "Name": "AuthorityBoundaries.RatifyingFragmentKey",
    "IsDerived": true,
    "IsWitness": true,
    "DisagreeingSubstrateCount": 0,
    "IsSubstrateContested": false
   },
   {
    "RulebookFieldId": "AuthorityBoundaries.RatifyingFragmentStatus",
    "TargetTable": "AuthorityBoundaries",
    "FieldName": "RatifyingFragmentStatus",
    "FieldType": "lookup",
    "Datatype": "string",
    "Formula": "=INDEX(KnowledgeFragments!{{Status}}, MATCH({{RatifiedByKnowledgeFragment}}, KnowledgeFragments!{{KnowledgeFragmentId}}, 0))",
    "InventedForQuestion": "q2-variance-boundary-rests-on-expired-knowledge",
    "SemanticTypeIri": "urn:effortless:pko-extension#RulebookField",
    "Name": "AuthorityBoundaries.RatifyingFragmentStatus",
    "IsDerived": true,
    "IsWitness": true,
    "DisagreeingSubstrateCount": 0,
    "IsSubstrateContested": false
   },
   {
    "RulebookFieldId": "AuthorityBoundaries.RatificationLapsed",
    "TargetTable": "AuthorityBoundaries",
    "FieldName": "RatificationLapsed",
    "FieldType": "calculated",
    "Datatype": "boolean",
    "Formula": "=AND({{HasRatifyingFragment}}, NOT({{RatifyingFragmentIsValid}}))",
    "InventedForQuestion": "q2-variance-boundary-rests-on-expired-knowledge",
    "SemanticTypeIri": "urn:effortless:pko-extension#RulebookField",
    "Name": "AuthorityBoundaries.RatificationLapsed",
    "IsDerived": true,
    "IsWitness": true,
    "DisagreeingSubstrateCount": 1,
    "IsSubstrateContested": true
   },
   {
    "RulebookFieldId": "AuthorityBoundaries.BindsDespiteLapsedRatification",
    "TargetTable": "AuthorityBoundaries",
    "FieldName": "BindsDespiteLapsedRatification",
    "FieldType": "calculated",
    "Datatype": "boolean",
    "Formula": "=AND({{IsCurrentlyBinding}}, {{RatificationLapsed}})",
    "InventedForQuestion": "q2-variance-boundary-rests-on-expired-knowledge",
    "SemanticTypeIri": "urn:effortless:pko-extension#RulebookField",
    "Name": "AuthorityBoundaries.BindsDespiteLapsedRatification",
    "IsDerived": true,
    "IsWitness": true,
    "DisagreeingSubstrateCount": 1,
    "IsSubstrateContested": true
   },
   {
    "RulebookFieldId": "AuthorityBoundaries.IsUngroundedAndUntested",
    "TargetTable": "AuthorityBoundaries",
    "FieldName": "IsUngroundedAndUntested",
    "FieldType": "calculated",
    "Datatype": "boolean",
    "Formula": "=AND({{BindsDespiteLapsedRatification}}, {{IsUntested}})",
    "InventedForQuestion": "q2-variance-boundary-rests-on-expired-knowledge",
    "SemanticTypeIri": "urn:effortless:pko-extension#RulebookField",
    "Name": "AuthorityBoundaries.IsUngroundedAndUntested",
    "IsDerived": true,
    "IsWitness": true,
    "DisagreeingSubstrateCount": 1,
    "IsSubstrateContested": true
   },
   {
    "RulebookFieldId": "AuthorityBoundaries.ConstrainedRoleAssignmentKey",
    "TargetTable": "AuthorityBoundaries",
    "FieldName": "ConstrainedRoleAssignmentKey",
    "FieldType": "calculated",
    "Datatype": "string",
    "Formula": "=IF({{BindsDespiteLapsedRatification}}, {{AuthorityRole}}, \"\")",
    "InventedForQuestion": "q2-variance-boundary-rests-on-expired-knowledge",
    "SemanticTypeIri": "urn:effortless:pko-extension#RulebookField",
    "Name": "AuthorityBoundaries.ConstrainedRoleAssignmentKey",
    "IsDerived": true,
    "IsWitness": true,
    "DisagreeingSubstrateCount": 1,
    "IsSubstrateContested": true
   },
   {
    "RulebookFieldId": "AuthorityBoundaries.SemanticTypeIri",
    "TargetTable": "AuthorityBoundaries",
    "FieldName": "SemanticTypeIri",
    "FieldType": "raw",
    "Datatype": "string",
    "Formula": null,
    "InventedForQuestion": null,
    "SemanticTypeIri": "urn:effortless:pko-extension#RulebookField",
    "Name": "AuthorityBoundaries.SemanticTypeIri",
    "IsDerived": false,
    "IsWitness": false,
    "DisagreeingSubstrateCount": 0,
    "IsSubstrateContested": false
   },
   {
    "RulebookFieldId": "BindingObservations.BindingObservationId",
    "TargetTable": "BindingObservations",
    "FieldName": "BindingObservationId",
    "FieldType": "raw",
    "Datatype": "string",
    "Formula": null,
    "InventedForQuestion": "q2-fa-stale-then-vs-stale-now",
    "SemanticTypeIri": "urn:effortless:pko-extension#RulebookField",
    "Name": "BindingObservations.BindingObservationId",
    "IsDerived": false,
    "IsWitness": true,
    "DisagreeingSubstrateCount": 0,
    "IsSubstrateContested": false
   },
   {
    "RulebookFieldId": "BindingObservations.Name",
    "TargetTable": "BindingObservations",
    "FieldName": "Name",
    "FieldType": "calculated",
    "Datatype": "string",
    "Formula": "={{StepExecution}} &amp; \" / \" &amp; {{BindingObservationId}}",
    "InventedForQuestion": null,
    "SemanticTypeIri": "urn:effortless:pko-extension#RulebookField",
    "Name": "BindingObservations.Name",
    "IsDerived": true,
    "IsWitness": false,
    "DisagreeingSubstrateCount": 0,
    "IsSubstrateContested": false
   },
   {
    "RulebookFieldId": "BindingObservations.StepExecution",
    "TargetTable": "BindingObservations",
    "FieldName": "StepExecution",
    "FieldType": "relationship",
    "Datatype": "string",
    "Formula": null,
    "InventedForQuestion": "q2-fa-stale-then-vs-stale-now",
    "SemanticTypeIri": "urn:effortless:pko-extension#RulebookField",
    "Name": "BindingObservations.StepExecution",
    "IsDerived": false,
    "IsWitness": true,
    "DisagreeingSubstrateCount": 0,
    "IsSubstrateContested": false
   },
   {
    "RulebookFieldId": "BindingObservations.OperationalBinding",
    "TargetTable": "BindingObservations",
    "FieldName": "OperationalBinding",
    "FieldType": "relationship",
    "Datatype": "string",
    "Formula": null,
    "InventedForQuestion": "q2-fa-stale-then-vs-stale-now",
    "SemanticTypeIri": "urn:effortless:pko-extension#RulebookField",
    "Name": "BindingObservations.OperationalBinding",
    "IsDerived": false,
    "IsWitness": true,
    "DisagreeingSubstrateCount": 0,
    "IsSubstrateContested": false
   },
   {
    "RulebookFieldId": "BindingObservations.ObservedSourceTimestamp",
    "TargetTable": "BindingObservations",
    "FieldName": "ObservedSourceTimestamp",
    "FieldType": "raw",
    "Datatype": "datetime",
    "Formula": null,
    "InventedForQuestion": "q2-fa-stale-then-vs-stale-now",
    "SemanticTypeIri": "urn:effortless:pko-extension#RulebookField",
    "Name": "BindingObservations.ObservedSourceTimestamp",
    "IsDerived": false,
    "IsWitness": true,
    "DisagreeingSubstrateCount": 0,
    "IsSubstrateContested": false
   },
   {
    "RulebookFieldId": "BindingObservations.ReadAt",
    "TargetTable": "BindingObservations",
    "FieldName": "ReadAt",
    "FieldType": "raw",
    "Datatype": "datetime",
    "Formula": null,
    "InventedForQuestion": "q2-fa-stale-then-vs-stale-now",
    "SemanticTypeIri": "urn:effortless:pko-extension#RulebookField",
    "Name": "BindingObservations.ReadAt",
    "IsDerived": false,
    "IsWitness": true,
    "DisagreeingSubstrateCount": 0,
    "IsSubstrateContested": false
   },
   {
    "RulebookFieldId": "BindingObservations.SlaMinutesAtRun",
    "TargetTable": "BindingObservations",
    "FieldName": "SlaMinutesAtRun",
    "FieldType": "lookup",
    "Datatype": "integer",
    "Formula": "=INDEX(OperationalBindings!{{FreshnessSlaMinutes}}, MATCH({{OperationalBinding}}, OperationalBindings!{{OperationalBindingId}}, 0))",
    "InventedForQuestion": "q2-fa-stale-then-vs-stale-now",
    "SemanticTypeIri": "urn:effortless:pko-extension#RulebookField",
    "Name": "BindingObservations.SlaMinutesAtRun",
    "IsDerived": true,
    "IsWitness": true,
    "DisagreeingSubstrateCount": 0,
    "IsSubstrateContested": false
   },
   {
    "RulebookFieldId": "BindingObservations.AgeAtRunMinutes",
    "TargetTable": "BindingObservations",
    "FieldName": "AgeAtRunMinutes",
    "FieldType": "calculated",
    "Datatype": "integer",
    "Formula": "=DATETIME_DIFF({{ReadAt}}, {{ObservedSourceTimestamp}}, \"minutes\")",
    "InventedForQuestion": "q2-fa-stale-then-vs-stale-now",
    "SemanticTypeIri": "urn:effortless:pko-extension#RulebookField",
    "Name": "BindingObservations.AgeAtRunMinutes",
    "IsDerived": true,
    "IsWitness": true,
    "DisagreeingSubstrateCount": 0,
    "IsSubstrateContested": false
   },
   {
    "RulebookFieldId": "BindingObservations.WasStaleAtRun",
    "TargetTable": "BindingObservations",
    "FieldName": "WasStaleAtRun",
    "FieldType": "calculated",
    "Datatype": "boolean",
    "Formula": "=AND({{IsAuthoritativeBinding}}, {{AgeAtRunMinutes}} &gt; {{SlaMinutesAtRun}})",
    "InventedForQuestion": "q2-fa-stale-then-vs-stale-now",
    "SemanticTypeIri": "urn:effortless:pko-extension#RulebookField",
    "Name": "BindingObservations.WasStaleAtRun",
    "IsDerived": true,
    "IsWitness": true,
    "DisagreeingSubstrateCount": 0,
    "IsSubstrateContested": false
   },
   {
    "RulebookFieldId": "BindingObservations.IsAuthoritativeBinding",
    "TargetTable": "BindingObservations",
    "FieldName": "IsAuthoritativeBinding",
    "FieldType": "lookup",
    "Datatype": "boolean",
    "Formula": "=INDEX(OperationalBindings!{{IsAuthoritative}}, MATCH({{OperationalBinding}}, OperationalBindings!{{OperationalBindingId}}, 0))",
    "InventedForQuestion": "q2-fa-stale-then-vs-stale-now",
    "SemanticTypeIri": "urn:effortless:pko-extension#RulebookField",
    "Name": "BindingObservations.IsAuthoritativeBinding",
    "IsDerived": true,
    "IsWitness": true,
    "DisagreeingSubstrateCount": 0,
    "IsSubstrateContested": false
   },
   {
    "RulebookFieldId": "BindingObservations.StaleAtRunStepKey",
    "TargetTable": "BindingObservations",
    "FieldName": "StaleAtRunStepKey",
    "FieldType": "calculated",
    "Datatype": "string",
    "Formula": "=IF({{WasStaleAtRun}}, {{StepExecution}}, \"\")",
    "InventedForQuestion": "q2-fa-stale-then-vs-stale-now",
    "SemanticTypeIri": "urn:effortless:pko-extension#RulebookField",
    "Name": "BindingObservations.StaleAtRunStepKey",
    "IsDerived": true,
    "IsWitness": true,
    "DisagreeingSubstrateCount": 0,
    "IsSubstrateContested": false
   },
   {
    "RulebookFieldId": "Attestations.AttestationId",
    "TargetTable": "Attestations",
    "FieldName": "AttestationId",
    "FieldType": "raw",
    "Datatype": "string",
    "Formula": null,
    "InventedForQuestion": "q2-cfo-would-it-survive-restatement",
    "SemanticTypeIri": "urn:effortless:pko-extension#RulebookField",
    "Name": "Attestations.AttestationId",
    "IsDerived": false,
    "IsWitness": true,
    "DisagreeingSubstrateCount": 0,
    "IsSubstrateContested": false
   },
   {
    "RulebookFieldId": "Attestations.Name",
    "TargetTable": "Attestations",
    "FieldName": "Name",
    "FieldType": "calculated",
    "Datatype": "string",
    "Formula": "={{ProcedureExecution}} &amp; \" / \" &amp; {{AttestationId}}",
    "InventedForQuestion": null,
    "SemanticTypeIri": "urn:effortless:pko-extension#RulebookField",
    "Name": "Attestations.Name",
    "IsDerived": true,
    "IsWitness": false,
    "DisagreeingSubstrateCount": 0,
    "IsSubstrateContested": false
   },
   {
    "RulebookFieldId": "Attestations.ProcedureExecution",
    "TargetTable": "Attestations",
    "FieldName": "ProcedureExecution",
    "FieldType": "relationship",
    "Datatype": "string",
    "Formula": null,
    "InventedForQuestion": "q2-cfo-would-it-survive-restatement",
    "SemanticTypeIri": "urn:effortless:pko-extension#RulebookField",
    "Name": "Attestations.ProcedureExecution",
    "IsDerived": false,
    "IsWitness": true,
    "DisagreeingSubstrateCount": 0,
    "IsSubstrateContested": false
   },
   {
    "RulebookFieldId": "Attestations.SignedByAgent",
    "TargetTable": "Attestations",
    "FieldName": "SignedByAgent",
    "FieldType": "relationship",
    "Datatype": "string",
    "Formula": null,
    "InventedForQuestion": "q2-cfo-would-it-survive-restatement",
    "SemanticTypeIri": "urn:effortless:pko-extensi</t>
  </si>
  <si>
    <t xml:space="preserve">on#RulebookField",
    "Name": "Attestations.SignedByAgent",
    "IsDerived": false,
    "IsWitness": true,
    "DisagreeingSubstrateCount": 0,
    "IsSubstrateContested": false
   },
   {
    "RulebookFieldId": "Attestations.SignedAt",
    "TargetTable": "Attestations",
    "FieldName": "SignedAt",
    "FieldType": "raw",
    "Datatype": "datetime",
    "Formula": null,
    "InventedForQuestion": "q2-cfo-would-it-survive-restatement",
    "SemanticTypeIri": "urn:effortless:pko-extension#RulebookField",
    "Name": "Attestations.SignedAt",
    "IsDerived": false,
    "IsWitness": true,
    "DisagreeingSubstrateCount": 0,
    "IsSubstrateContested": false
   },
   {
    "RulebookFieldId": "Attestations.AssuranceGradeAtSigning",
    "TargetTable": "Attestations",
    "FieldName": "AssuranceGradeAtSigning",
    "FieldType": "raw",
    "Datatype": "string",
    "Formula": null,
    "InventedForQuestion": "q2-cfo-would-it-survive-restatement",
    "SemanticTypeIri": "urn:effortless:pko-extension#RulebookField",
    "Name": "Attestations.AssuranceGradeAtSigning",
    "IsDerived": false,
    "IsWitness": true,
    "DisagreeingSubstrateCount": 0,
    "IsSubstrateContested": false
   },
   {
    "RulebookFieldId": "Attestations.VersionWasFitAtSigning",
    "TargetTable": "Attestations",
    "FieldName": "VersionWasFitAtSigning",
    "FieldType": "raw",
    "Datatype": "boolean",
    "Formula": null,
    "InventedForQuestion": "q2-cfo-would-it-survive-restatement",
    "SemanticTypeIri": "urn:effortless:pko-extension#RulebookField",
    "Name": "Attestations.VersionWasFitAtSigning",
    "IsDerived": false,
    "IsWitness": true,
    "DisagreeingSubstrateCount": 0,
    "IsSubstrateContested": false
   },
   {
    "RulebookFieldId": "Attestations.VersionIsFitNow",
    "TargetTable": "Attestations",
    "FieldName": "VersionIsFitNow",
    "FieldType": "lookup",
    "Datatype": "boolean",
    "Formula": "=INDEX(ProcedureExecutions!{{ExecutedVersionIsFit}}, MATCH({{ProcedureExecution}}, ProcedureExecutions!{{ProcedureExecutionId}}, 0))",
    "InventedForQuestion": "q2-cfo-would-it-survive-restatement",
    "SemanticTypeIri": "urn:effortless:pko-extension#RulebookField",
    "Name": "Attestations.VersionIsFitNow",
    "IsDerived": true,
    "IsWitness": true,
    "DisagreeingSubstrateCount": 0,
    "IsSubstrateContested": false
   },
   {
    "RulebookFieldId": "Attestations.FitnessVerdictHasDrifted",
    "TargetTable": "Attestations",
    "FieldName": "FitnessVerdictHasDrifted",
    "FieldType": "calculated",
    "Datatype": "boolean",
    "Formula": "=NOT({{VersionWasFitAtSigning}} = {{VersionIsFitNow}})",
    "InventedForQuestion": "q2-cfo-would-it-survive-restatement",
    "SemanticTypeIri": "urn:effortless:pko-extension#RulebookField",
    "Name": "Attestations.FitnessVerdictHasDrifted",
    "IsDerived": true,
    "IsWitness": true,
    "DisagreeingSubstrateCount": 0,
    "IsSubstrateContested": false
   },
   {
    "RulebookFieldId": "Attestations.AssuranceGradeNow",
    "TargetTable": "Attestations",
    "FieldName": "AssuranceGradeNow",
    "FieldType": "lookup",
    "Datatype": "string",
    "Formula": "=INDEX(ProcedureExecutions!{{AssuranceGrade}}, MATCH({{ProcedureExecution}}, ProcedureExecutions!{{ProcedureExecutionId}}, 0))",
    "InventedForQuestion": "q2-cfo-would-it-survive-restatement",
    "SemanticTypeIri": "urn:effortless:pko-extension#RulebookField",
    "Name": "Attestations.AssuranceGradeNow",
    "IsDerived": true,
    "IsWitness": true,
    "DisagreeingSubstrateCount": 0,
    "IsSubstrateContested": false
   },
   {
    "RulebookFieldId": "Attestations.AssuranceGradeHasDrifted",
    "TargetTable": "Attestations",
    "FieldName": "AssuranceGradeHasDrifted",
    "FieldType": "calculated",
    "Datatype": "boolean",
    "Formula": "=NOT({{AssuranceGradeAtSigning}} = {{AssuranceGradeNow}})",
    "InventedForQuestion": "q2-cfo-would-it-survive-restatement",
    "SemanticTypeIri": "urn:effortless:pko-extension#RulebookField",
    "Name": "Attestations.AssuranceGradeHasDrifted",
    "IsDerived": true,
    "IsWitness": true,
    "DisagreeingSubstrateCount": 0,
    "IsSubstrateContested": false
   },
   {
    "RulebookFieldId": "Attestations.WouldNotSurviveRestatement",
    "TargetTable": "Attestations",
    "FieldName": "WouldNotSurviveRestatement",
    "FieldType": "calculated",
    "Datatype": "boolean",
    "Formula": "=OR({{FitnessVerdictHasDrifted}}, {{AssuranceGradeHasDrifted}})",
    "InventedForQuestion": "q2-cfo-would-it-survive-restatement",
    "SemanticTypeIri": "urn:effortless:pko-extension#RulebookField",
    "Name": "Attestations.WouldNotSurviveRestatement",
    "IsDerived": true,
    "IsWitness": true,
    "DisagreeingSubstrateCount": 0,
    "IsSubstrateContested": false
   },
   {
    "RulebookFieldId": "AppRoleProfiles.AppRoleProfileId",
    "TargetTable": "AppRoleProfiles",
    "FieldName": "AppRoleProfileId",
    "FieldType": "raw",
    "Datatype": "string",
    "Formula": null,
    "InventedForQuestion": null,
    "SemanticTypeIri": "urn:effortless:pko-extension#RulebookField",
    "Name": "AppRoleProfiles.AppRoleProfileId",
    "IsDerived": false,
    "IsWitness": false,
    "DisagreeingSubstrateCount": 0,
    "IsSubstrateContested": false
   },
   {
    "RulebookFieldId": "AppRoleProfiles.Name",
    "TargetTable": "AppRoleProfiles",
    "FieldName": "Name",
    "FieldType": "calculated",
    "Datatype": "string",
    "Formula": "={{DisplayLabel}} &amp; \" (\" &amp; {{RoleKind}} &amp; \")\"",
    "InventedForQuestion": null,
    "SemanticTypeIri": "urn:effortless:pko-extension#RulebookField",
    "Name": "AppRoleProfiles.Name",
    "IsDerived": true,
    "IsWitness": false,
    "DisagreeingSubstrateCount": 0,
    "IsSubstrateContested": false
   },
   {
    "RulebookFieldId": "AppRoleProfiles.Role",
    "TargetTable": "AppRoleProfiles",
    "FieldName": "Role",
    "FieldType": "relationship",
    "Datatype": "string",
    "Formula": null,
    "InventedForQuestion": null,
    "SemanticTypeIri": "urn:effortless:pko-extension#RulebookField",
    "Name": "AppRoleProfiles.Role",
    "IsDerived": false,
    "IsWitness": false,
    "DisagreeingSubstrateCount": 0,
    "IsSubstrateContested": false
   },
   {
    "RulebookFieldId": "AppRoleProfiles.DisplayLabel",
    "TargetTable": "AppRoleProfiles",
    "FieldName": "DisplayLabel",
    "FieldType": "raw",
    "Datatype": "string",
    "Formula": null,
    "InventedForQuestion": null,
    "SemanticTypeIri": "urn:effortless:pko-extension#RulebookField",
    "Name": "AppRoleProfiles.DisplayLabel",
    "IsDerived": false,
    "IsWitness": false,
    "DisagreeingSubstrateCount": 0,
    "IsSubstrateContested": false
   },
   {
    "RulebookFieldId": "AppRoleProfiles.RoleKind",
    "TargetTable": "AppRoleProfiles",
    "FieldName": "RoleKind",
    "FieldType": "raw",
    "Datatype": "string",
    "Formula": null,
    "InventedForQuestion": null,
    "SemanticTypeIri": "urn:effortless:pko-extension#RulebookField",
    "Name": "AppRoleProfiles.RoleKind",
    "IsDerived": false,
    "IsWitness": false,
    "DisagreeingSubstrateCount": 0,
    "IsSubstrateContested": false
   },
   {
    "RulebookFieldId": "AppRoleProfiles.AccentColor",
    "TargetTable": "AppRoleProfiles",
    "FieldName": "AccentColor",
    "FieldType": "raw",
    "Datatype": "string",
    "Formula": null,
    "InventedForQuestion": null,
    "SemanticTypeIri": "urn:effortless:pko-extension#RulebookField",
    "Name": "AppRoleProfiles.AccentColor",
    "IsDerived": false,
    "IsWitness": false,
    "DisagreeingSubstrateCount": 0,
    "IsSubstrateContested": false
   },
   {
    "RulebookFieldId": "AppRoleProfiles.IconMark",
    "TargetTable": "AppRoleProfiles",
    "FieldName": "IconMark",
    "FieldType": "raw",
    "Datatype": "string",
    "Formula": null,
    "InventedForQuestion": null,
    "SemanticTypeIri": "urn:effortless:pko-extension#RulebookField",
    "Name": "AppRoleProfiles.IconMark",
    "IsDerived": false,
    "IsWitness": false,
    "DisagreeingSubstrateCount": 0,
    "IsSubstrateContested": false
   },
   {
    "RulebookFieldId": "AppRoleProfiles.IconPngBase64",
    "TargetTable": "AppRoleProfiles",
    "FieldName": "IconPngBase64",
    "FieldType": "raw",
    "Datatype": "string",
    "Formula": null,
    "InventedForQuestion": null,
    "SemanticTypeIri": "urn:effortless:pko-extension#RulebookField",
    "Name": "AppRoleProfiles.IconPngBase64",
    "IsDerived": false,
    "IsWitness": false,
    "DisagreeingSubstrateCount": 0,
    "IsSubstrateContested": false
   },
   {
    "RulebookFieldId": "AppRoleProfiles.Pitch",
    "TargetTable": "AppRoleProfiles",
    "FieldName": "Pitch",
    "FieldType": "raw",
    "Datatype": "string",
    "Formula": null,
    "InventedForQuestion": null,
    "SemanticTypeIri": "urn:effortless:pko-extension#RulebookField",
    "Name": "AppRoleProfiles.Pitch",
    "IsDerived": false,
    "IsWitness": false,
    "DisagreeingSubstrateCount": 0,
    "IsSubstrateContested": false
   },
   {
    "RulebookFieldId": "AppRoleProfiles.SortOrder",
    "TargetTable": "AppRoleProfiles",
    "FieldName": "SortOrder",
    "FieldType": "raw",
    "Datatype": "number",
    "Formula": null,
    "InventedForQuestion": null,
    "SemanticTypeIri": "urn:effortless:pko-extension#RulebookField",
    "Name": "AppRoleProfiles.SortOrder",
    "IsDerived": false,
    "IsWitness": false,
    "DisagreeingSubstrateCount": 0,
    "IsSubstrateContested": false
   },
   {
    "RulebookFieldId": "AppRoleProfiles.RouteCount",
    "TargetTable": "AppRoleProfiles",
    "FieldName": "RouteCount",
    "FieldType": "aggregation",
    "Datatype": "number",
    "Formula": "=COUNTIFS(AppRoutes!{{OwningRole}}, {{Role}})",
    "InventedForQuestion": null,
    "SemanticTypeIri": "urn:effortless:pko-extension#RulebookField",
    "Name": "AppRoleProfiles.RouteCount",
    "IsDerived": true,
    "IsWitness": false,
    "DisagreeingSubstrateCount": 1,
    "IsSubstrateContested": true
   },
   {
    "RulebookFieldId": "AppRoleProfiles.SemanticTypeIri",
    "TargetTable": "AppRoleProfiles",
    "FieldName": "SemanticTypeIri",
    "FieldType": "raw",
    "Datatype": "string",
    "Formula": null,
    "InventedForQuestion": null,
    "SemanticTypeIri": "urn:effortless:pko-extension#RulebookField",
    "Name": "AppRoleProfiles.SemanticTypeIri",
    "IsDerived": false,
    "IsWitness": false,
    "DisagreeingSubstrateCount": 0,
    "IsSubstrateContested": false
   },
   {
    "RulebookFieldId": "AppNavGroups.AppNavGroupId",
    "TargetTable": "AppNavGroups",
    "FieldName": "AppNavGroupId",
    "FieldType": "raw",
    "Datatype": "string",
    "Formula": null,
    "InventedForQuestion": null,
    "SemanticTypeIri": "urn:effortless:pko-extension#RulebookField",
    "Name": "AppNavGroups.AppNavGroupId",
    "IsDerived": false,
    "IsWitness": false,
    "DisagreeingSubstrateCount": 0,
    "IsSubstrateContested": false
   },
   {
    "RulebookFieldId": "AppNavGroups.Name",
    "TargetTable": "AppNavGroups",
    "FieldName": "Name",
    "FieldType": "calculated",
    "Datatype": "string",
    "Formula": "={{GroupLabel}}",
    "InventedForQuestion": null,
    "SemanticTypeIri": "urn:effortless:pko-extension#RulebookField",
    "Name": "AppNavGroups.Name",
    "IsDerived": true,
    "IsWitness": false,
    "DisagreeingSubstrateCount": 0,
    "IsSubstrateContested": false
   },
   {
    "RulebookFieldId": "AppNavGroups.GroupLabel",
    "TargetTable": "AppNavGroups",
    "FieldName": "GroupLabel",
    "FieldType": "raw",
    "Datatype": "string",
    "Formula": null,
    "InventedForQuestion": null,
    "SemanticTypeIri": "urn:effortless:pko-extension#RulebookField",
    "Name": "AppNavGroups.GroupLabel",
    "IsDerived": false,
    "IsWitness": false,
    "DisagreeingSubstrateCount": 0,
    "IsSubstrateContested": false
   },
   {
    "RulebookFieldId": "AppNavGroups.RouteCount",
    "TargetTable": "AppNavGroups",
    "FieldName": "RouteCount",
    "FieldType": "aggregation",
    "Datatype": "number",
    "Formula": "=COUNTIFS(AppRoutes!{{NavGroup}}, {{AppNavGroupId}})",
    "InventedForQuestion": null,
    "SemanticTypeIri": "urn:effortless:pko-extension#RulebookField",
    "Name": "AppNavGroups.RouteCount",
    "IsDerived": true,
    "IsWitness": false,
    "DisagreeingSubstrateCount": 0,
    "IsSubstrateContested": false
   },
   {
    "RulebookFieldId": "AppNavGroups.SemanticTypeIri",
    "TargetTable": "AppNavGroups",
    "FieldName": "SemanticTypeIri",
    "FieldType": "raw",
    "Datatype": "string",
    "Formula": null,
    "InventedForQuestion": null,
    "SemanticTypeIri": "urn:effortless:pko-extension#RulebookField",
    "Name": "AppNavGroups.SemanticTypeIri",
    "IsDerived": false,
    "IsWitness": false,
    "DisagreeingSubstrateCount": 0,
    "IsSubstrateContested": false
   },
   {
    "RulebookFieldId": "AppRoutes.AppRouteId",
    "TargetTable": "AppRoutes",
    "FieldName": "AppRouteId",
    "FieldType": "raw",
    "Datatype": "string",
    "Formula": null,
    "InventedForQuestion": null,
    "SemanticTypeIri": "urn:effortless:pko-extension#RulebookField",
    "Name": "AppRoutes.AppRouteId",
    "IsDerived": false,
    "IsWitness": false,
    "DisagreeingSubstrateCount": 0,
    "IsSubstrateContested": false
   },
   {
    "RulebookFieldId": "AppRoutes.Name",
    "TargetTable": "AppRoutes",
    "FieldName": "Name",
    "FieldType": "calculated",
    "Datatype": "string",
    "Formula": "={{RouteName}} &amp; \" — \" &amp; {{RoutePath}}",
    "InventedForQuestion": null,
    "SemanticTypeIri": "urn:effortless:pko-extension#RulebookField",
    "Name": "AppRoutes.Name",
    "IsDerived": true,
    "IsWitness": false,
    "DisagreeingSubstrateCount": 0,
    "IsSubstrateContested": false
   },
   {
    "RulebookFieldId": "AppRoutes.RoutePath",
    "TargetTable": "AppRoutes",
    "FieldName": "RoutePath",
    "FieldType": "raw",
    "Datatype": "string",
    "Formula": null,
    "InventedForQuestion": null,
    "SemanticTypeIri": "urn:effortless:pko-extension#RulebookField",
    "Name": "AppRoutes.RoutePath",
    "IsDerived": false,
    "IsWitness": false,
    "DisagreeingSubstrateCount": 0,
    "IsSubstrateContested": false
   },
   {
    "RulebookFieldId": "AppRoutes.RouteName",
    "TargetTable": "AppRoutes",
    "FieldName": "RouteName",
    "FieldType": "raw",
    "Datatype": "string",
    "Formula": null,
    "InventedForQuestion": null,
    "SemanticTypeIri": "urn:effortless:pko-extension#RulebookField",
    "Name": "AppRoutes.RouteName",
    "IsDerived": false,
    "IsWitness": false,
    "DisagreeingSubstrateCount": 0,
    "IsSubstrateContested": false
   },
   {
    "RulebookFieldId": "AppRoutes.Surface",
    "TargetTable": "AppRoutes",
    "FieldName": "Surface",
    "FieldType": "raw",
    "Datatype": "string",
    "Formula": null,
    "InventedForQuestion": null,
    "SemanticTypeIri": "urn:effortless:pko-extension#RulebookField",
    "Name": "AppRoutes.Surface",
    "IsDerived": false,
    "IsWitness": false,
    "DisagreeingSubstrateCount": 0,
    "IsSubstrateContested": false
   },
   {
    "RulebookFieldId": "AppRoutes.OwningRole",
    "TargetTable": "AppRoutes",
    "FieldName": "OwningRole",
    "FieldType": "relationship",
    "Datatype": "string",
    "Formula": null,
    "InventedForQuestion": null,
    "SemanticTypeIri": "urn:effortless:pko-extension#RulebookField",
    "Name": "AppRoutes.OwningRole",
    "IsDerived": false,
    "IsWitness": false,
    "DisagreeingSubstrateCount": 0,
    "IsSubstrateContested": false
   },
   {
    "RulebookFieldId": "AppRoutes.NavGroup",
    "TargetTable": "AppRoutes",
    "FieldName": "NavGroup",
    "FieldType": "relationship",
    "Datatype": "string",
    "Formula": null,
    "InventedForQuestion": null,
    "SemanticTypeIri": "urn:effortless:pko-extension#RulebookField",
    "Name": "AppRoutes.NavGroup",
    "IsDerived": false,
    "IsWitness": false,
    "DisagreeingSubstrateCount": 0,
    "IsSubstrateContested": false
   },
   {
    "RulebookFieldId": "AppRoutes.NavOrder",
    "TargetTable": "AppRoutes",
    "FieldName": "NavOrder",
    "FieldType": "raw",
    "Datatype": "number",
    "Formula": null,
    "InventedForQuestion": null,
    "SemanticTypeIri": "urn:effortless:pko-extension#RulebookField",
    "Name": "AppRoutes.NavOrder",
    "IsDerived": false,
    "IsWitness": false,
    "DisagreeingSubstrateCount": 0,
    "IsSubstrateContested": false
   },
   {
    "RulebookFieldId": "AppRoutes.RouteKind",
    "TargetTable": "AppRoutes",
    "FieldName": "RouteKind",
    "FieldType": "raw",
    "Datatype": "string",
    "Formula": null,
    "InventedForQuestion": null,
    "SemanticTypeIri": "urn:effortless:pko-extension#RulebookField",
    "Name": "AppRoutes.RouteKind",
    "IsDerived": false,
    "IsWitness": false,
    "DisagreeingSubstrateCount": 0,
    "IsSubstrateContested": false
   },
   {
    "RulebookFieldId": "AppRoutes.Purpose",
    "TargetTable": "AppRoutes",
    "FieldName": "Purpose",
    "FieldType": "raw",
    "Datatype": "string",
    "Formula": null,
    "InventedForQuestion": null,
    "SemanticTypeIri": "urn:effortless:pko-extension#RulebookField",
    "Name": "AppRoutes.Purpose",
    "IsDerived": false,
    "IsWitness": false,
    "DisagreeingSubstrateCount": 0,
    "IsSubstrateContested": false
   },
   {
    "RulebookFieldId": "AppRoutes.LayoutHints",
    "TargetTable": "AppRoutes",
    "FieldName": "LayoutHints",
    "FieldType": "raw",
    "Datatype": "string",
    "Formula": null,
    "InventedForQuestion": null,
    "SemanticTypeIri": "urn:effortless:pko-extension#RulebookField",
    "Name": "AppRoutes.LayoutHints",
    "IsDerived": false,
    "IsWitness": false,
    "DisagreeingSubstrateCount": 0,
    "IsSubstrateContested": false
   },
   {
    "RulebookFieldId": "AppRoutes.IsInNav",
    "TargetTable": "AppRoutes",
    "FieldName": "IsInNav",
    "FieldType": "calculated",
    "Datatype": "boolean",
    "Formula": "={{NavGroup}} &lt;&gt; \"\"",
    "InventedForQuestion": null,
    "SemanticTypeIri": "urn:effortless:pko-extension#RulebookField",
    "Name": "AppRoutes.IsInNav",
    "IsDerived": true,
    "IsWitness": false,
    "DisagreeingSubstrateCount": 0,
    "IsSubstrateContested": false
   },
   {
    "RulebookFieldId": "AppRoutes.IsShared",
    "TargetTable": "AppRoutes",
    "FieldName": "IsShared",
    "FieldType": "calculated",
    "Datatype": "boolean",
    "Formula": "=AND({{OwningRole}} = \"\", {{Surface}} = \"domain\")",
    "InventedForQuestion": null,
    "SemanticTypeIri": "urn:effortless:pko-extension#RulebookField",
    "Name": "AppRoutes.IsShared",
    "IsDerived": true,
    "IsWitness": false,
    "DisagreeingSubstrateCount": 0,
    "IsSubstrateContested": false
   },
   {
    "RulebookFieldId": "AppRoutes.IsMaintainer",
    "TargetTable": "AppRoutes",
    "FieldName": "IsMaintainer",
    "FieldType": "calculated",
    "Datatype": "boolean",
    "Formula": "={{Surface}} = \"maintainer\"",
    "InventedForQuestion": null,
    "SemanticTypeIri": "urn:effortless:pko-extension#RulebookField",
    "Name": "AppRoutes.IsMaintainer",
    "IsDerived": true,
    "IsWitness": false,
    "DisagreeingSubstrateCount": 0,
    "IsSubstrateContested": false
   },
   {
    "RulebookFieldId": "AppRoutes.QuestionCount",
    "TargetTable": "AppRoutes",
    "FieldName": "QuestionCount",
    "FieldType": "aggregation",
    "Datatype": "number",
    "Formula": "=COUNTIFS(AppRouteQuestions!{{Route}}, {{AppRouteId}})",
    "InventedForQuestion": null,
    "SemanticTypeIri": "urn:effortless:pko-extension#RulebookField",
    "Name": "AppRoutes.QuestionCount",
    "IsDerived": true,
    "IsWitness": false,
    "DisagreeingSubstrateCount": 0,
    "IsSubstrateContested": false
   },
   {
    "RulebookFieldId": "AppRoutes.ReferenceCount",
    "TargetTable": "AppRoutes",
    "FieldName": "ReferenceCount",
    "FieldType": "aggregation",
    "Datatype": "number",
    "Formula": "=COUNTIFS(AppRouteReferences!{{FromRoute}}, {{AppRouteId}})",
    "InventedForQuestion": null,
    "SemanticTypeIri": "urn:effortless:pko-extension#RulebookField",
    "Name": "AppRoutes.ReferenceCount",
    "IsDerived": true,
    "IsWitness": false,
    "DisagreeingSubstrateCount": 0,
    "IsSubstrateContested": false
   },
   {
    "RulebookFieldId": "AppRoutes.AnswersNoQuestion",
    "TargetTable": "AppRoutes",
    "FieldName": "AnswersNoQuestion",
    "FieldType": "calculated",
    "Datatype": "boolean",
    "Formula": "=AND({{QuestionCount}} = 0, {{IsShared}} = FALSE, {{IsMaintainer}} = FALSE, {{RouteKind}} &lt;&gt; \"index\")",
    "InventedForQuestion": null,
    "SemanticTypeIri": "urn:effortless:pko-extension#RulebookField",
    "Name": "AppRoutes.AnswersNoQuestion",
    "IsDerived": true,
    "IsWitness": false,
    "DisagreeingSubstrateCount": 0,
    "IsSubstrateContested": false
   },
   {
    "RulebookFieldId": "AppRoutes.SemanticTypeIri",
    "TargetTable": "AppRoutes",
    "FieldName": "SemanticTypeIri",
    "FieldType": "raw",
    "Datatype": "string",
    "Formula": null,
    "InventedForQuestion": null,
    "SemanticTypeIri": "urn:effortless:pko-extension#RulebookField",
    "Name": "AppRoutes.SemanticTypeIri",
    "IsDerived": false,
    "IsWitness": false,
    "DisagreeingSubstrateCount": 0,
    "IsSubstrateContested": false
   },
   {
    "RulebookFieldId": "AppRouteQuestions.AppRouteQuestionId",
    "TargetTable": "AppRouteQuestions",
    "FieldName": "AppRouteQuestionId",
    "FieldType": "raw",
    "Datatype": "string",
    "Formula": null,
    "InventedForQuestion": null,
    "SemanticTypeIri": "urn:effortless:pko-extension#RulebookField",
    "Name": "AppRouteQuestions.AppRouteQuestionId",
    "IsDerived": false,
    "IsWitness": false,
    "DisagreeingSubstrateCount": 0,
    "IsSubstrateContested": false
   },
   {
    "RulebookFieldId": "AppRouteQuestions.Name",
    "TargetTable": "AppRouteQuestions",
    "FieldName": "Name",
    "FieldType": "calculated",
    "Datatype": "string",
    "Formula": "={{Route}} &amp; \" answers \" &amp; {{Question}}",
    "InventedForQuestion": null,
    "SemanticTypeIri": "urn:effortless:pko-extension#RulebookField",
    "Name": "AppRouteQuestions.Name",
    "IsDerived": true,
    "IsWitness": false,
    "DisagreeingSubstrateCount": 0,
    "IsSubstrateContested": false
   },
   {
    "RulebookFieldId": "AppRouteQuestions.Route",
    "TargetTable": "AppRouteQuestions",
    "FieldName": "Route",
    "FieldType": "relationship",
    "Datatype": "string",
    "Formula": null,
    "InventedForQuestion": null,
    "SemanticTypeIri": "urn:effortless:pko-extension#RulebookField",
    "Name": "AppRouteQuestions.Route",
    "IsDerived": false,
    "IsWitness": false,
    "DisagreeingSubstrateCount": 0,
    "IsSubstrateContested": false
   },
   {
    "RulebookFieldId": "AppRouteQuestions.Question",
    "TargetTable": "AppRouteQuestions",
    "FieldName": "Question",
    "FieldType": "relationship",
    "Datatype": "string",
    "Formula": null,
    "InventedForQuestion": null,
    "SemanticTypeIri": "urn:effortless:pko-extension#RulebookField",
    "Name": "AppRouteQuestions.Question",
    "IsDerived": false,
    "IsWitness": false,
    "DisagreeingSubstrateCount": 0,
    "IsSubstrateContested": false
   },
   {
    "RulebookFieldId": "AppRouteQuestions.SemanticTypeIri",
    "TargetTable": "AppRouteQuestions",
    "FieldName": "SemanticTypeIri",
    "FieldType": "raw",
    "Datatype": "string",
    "Formula": null,
    "InventedForQuestion": null,
    "SemanticTypeIri": "urn:effortless:pko-extension#RulebookField",
    "Name": "AppRouteQuestions.SemanticTypeIri",
    "IsDerived": false,
    "IsWitness": false,
    "DisagreeingSubstrateCount": 0,
    "IsSubstrateContested": false
   },
   {
    "RulebookFieldId": "AppRouteReferences.AppRouteReferenceId",
    "TargetTable": "AppRouteReferences",
    "FieldName": "AppRouteReferenceId",
    "FieldType": "raw",
    "Datatype": "string",
    "Formula": null,
    "InventedForQuestion": null,
    "SemanticTypeIri": "urn:effortless:pko-extension#RulebookField",
    "Name": "AppRouteReferences.AppRouteReferenceId",
    "IsDerived": false,
    "IsWitness": false,
    "DisagreeingSubstrateCount": 0,
    "IsSubstrateContested": false
   },
   {
    "RulebookFieldId": "AppRouteReferences.Name",
    "TargetTable": "AppRouteReferences",
    "FieldName": "Name",
    "FieldType": "calculated",
    "Datatype": "string",
    "Formula": "={{FromRoute}} &amp; \" -&gt; \" &amp; {{ToRoute}}",
    "InventedForQuestion": null,
    "SemanticTypeIri": "urn:effortless:pko-extension#RulebookField",
    "Name": "AppRouteReferences.Name",
    "IsDerived": true,
    "IsWitness": false,
    "DisagreeingSubstrateCount": 0,
    "IsSubstrateContested": false
   },
   {
    "RulebookFieldId": "AppRouteReferences.FromRoute",
    "TargetTable": "AppRouteReferences",
    "FieldName": "FromRoute",
    "FieldType": "relationship",
    "Datatype": "string",
    "Formula": null,
    "InventedForQuestion": null,
    "SemanticTypeIri": "urn:effortless:pko-extension#RulebookField",
    "Name": "AppRouteReferences.FromRoute",
    "IsDerived": false,
    "IsWitness": false,
    "DisagreeingSubstrateCount": 0,
    "IsSubstrateContested": false
   },
   {
    "RulebookFieldId": "AppRouteReferences.ToRoute",
    "TargetTable": "AppRouteReferences",
    "FieldName": "ToRoute",
    "FieldType": "relationship",
    "Datatype": "string",
    "Formula": null,
    "InventedForQuestion": null,
    "SemanticTypeIri": "urn:effortless:pko-extension#RulebookField",
    "Name": "AppRouteReferences.ToRoute",
    "IsDerived": false,
    "IsWitness": false,
    "DisagreeingSubstrateCount": 0,
    "IsSubstrateContested": false
   },
   {
    "RulebookFieldId": "AppRouteReferences.SemanticTypeIri",
    "TargetTable": "AppRouteReferences",
    "FieldName": "SemanticTypeIri",
    "FieldType": "raw",
    "Datatype": "string",
    "Formula": null,
    "InventedForQuestion": null,
    "SemanticTypeIri": "urn:effortless:pko-extension#RulebookField",
    "Name": "AppRouteReferences.SemanticTypeIri",
    "IsDerived": false,
    "IsWitness": false,
    "DisagreeingSubstrateCount": 0,
    "IsSubstrateContested": false
   },
   {
    "RulebookFieldId": "RulebookTables.RulebookTableId",
    "TargetTable": "RulebookTables",
    "FieldName": "RulebookTableId",
    "FieldType": "raw",
    "Datatype": "string",
    "Formula": null,
    "InventedForQuestion": null,
    "SemanticTypeIri": "urn:effortless:pko-extension#RulebookField",
    "Name": "RulebookTables.RulebookTableId",
    "IsDerived": false,
    "IsWitness": false,
    "DisagreeingSubstrateCount": 0,
    "IsSubstrateContested": false
   },
   {
    "RulebookFieldId": "RulebookTables.TableName",
    "TargetTable": "RulebookTables",
    "FieldName": "TableName",
    "FieldType": "raw",
    "Datatype": "string",
    "Formula": null,
    "InventedForQuestion": null,
    "SemanticTypeIri": "urn:effortless:pko-extension#RulebookField",
    "Name": "RulebookTables.TableName",
    "IsDerived": false,
    "IsWitness": false,
    "DisagreeingSubstrateCount": 0,
    "IsSubstrateContested": false
   },
   {
    "RulebookFieldId": "RulebookTables.Name",
    "TargetTable": "RulebookTables",
    "FieldName": "Name",
    "FieldType": "calculated",
    "Datatype": "string",
    "Formula": "={{TableName}}",
    "InventedForQuestion": null,
    "SemanticTypeIri": "urn:effortless:pko-extension#RulebookField",
    "Name": "RulebookTables.Name",
    "IsDerived": true,
    "IsWitness": false,
    "DisagreeingSubstrateCount": 0,
    "IsSubstrateContested": false
   },
   {
    "RulebookFieldId": "RulebookTables.PhysicalTable",
    "TargetTable": "RulebookTables",
    "FieldName": "PhysicalTable",
    "FieldType": "raw",
    "Datatype": "string",
    "Formula": null,
    "InventedForQuestion": null,
    "SemanticTypeIri": "urn:effortless:pko-extension#RulebookField",
    "Name": "RulebookTables.PhysicalTable",
    "IsDerived": false,
    "IsWitness": false,
    "DisagreeingSubstrateCount": 0,
    "IsSubstrateContested": false
   },
   {
    "RulebookFieldId": "RulebookTables.PhysicalView",
    "TargetTable": "RulebookTables",
    "FieldName": "PhysicalView",
    "FieldType": "raw",
    "Datatype": "string",
    "Formula": null,
    "InventedForQuestion": null,
    "SemanticTypeIri": "urn:effortless:pko-extension#RulebookField",
    "Name": "RulebookTables.PhysicalView",
    "IsDerived": false,
    "IsWitness": false,
    "DisagreeingSubstrateCount": 0,
    "IsSubstrateContested": false
   },
   {
    "RulebookFieldId": "RulebookTables.SubjectArea",
    "TargetTable": "RulebookTables",
    "FieldName": "SubjectArea",
    "FieldType": "raw",
    "Datatype": "string",
    "Formula": null,
    "InventedForQuestion": null,
    "SemanticTypeIri": "urn:effortless:pko-extension#RulebookField",
    "Name": "RulebookTables.SubjectArea",
    "IsDerived": false,
    "IsWitness": false,
    "DisagreeingSubstrateCount": 0,
    "IsSubstrateContested": false
   },
   {
    "RulebookFieldId": "RulebookTables.IsExtension",
    "TargetTable": "RulebookTables",
    "FieldName": "IsExtension",
    "FieldType": "raw",
    "Datatype": "boolean",
    "Formula": null,
    "InventedForQuestion": null,
    "SemanticTypeIri": "urn:effortless:pko-extension#RulebookField",
    "Name": "RulebookTables.IsExtension",
    "IsDerived": false,
    "IsWitness": false,
    "DisagreeingSubstrateCount": 0,
    "IsSubstrateContested": false
   },
   {
    "RulebookFieldId": "RulebookTables.FieldCount",
    "TargetTable": "RulebookTables",
    "FieldName": "FieldCount",
    "FieldType": "aggregation",
    "Datatype": "number",
    "Formula": "=COUNTIFS(RulebookFields!{{TargetTable}}, {{RulebookTableId}})",
    "InventedForQuestion": null,
    "SemanticTypeIri": "urn:effortless:pko-extension#RulebookField",
    "Name": "RulebookTables.FieldCount",
    "IsDerived": true,
    "IsWitness": false,
    "DisagreeingSubstrateCount": 1,
    "IsSubstrateContested": true
   },
   {
    "RulebookFieldId": "RulebookTables.PolicyCount",
    "TargetTable": "RulebookTables",
    "FieldName": "PolicyCount",
    "FieldType": "aggregation",
    "Datatype": "number",
    "Formula": "=COUNTIFS(AccessPolicies!{{TargetTable}}, {{RulebookTableId}})",
    "InventedForQuestion": null,
    "SemanticTypeIri": "urn:effortless:pko-extension#RulebookField",
    "Name": "RulebookTables.PolicyCount",
    "IsDerived": true,
    "IsWitness": false,
    "DisagreeingSubstrateCount": 0,
    "IsSubstrateContested": false
   },
   {
    "RulebookFieldId": "RulebookTables.IsUnsecured",
    "TargetTable": "RulebookTables",
    "FieldName": "IsUnsecured",
    "FieldType": "calculated",
    "Datatype": "boolean",
    "Formula": "={{PolicyCount}} = 0",
    "InventedForQuestion": null,
    "SemanticTypeIri": "urn:effortless:pko-extension#RulebookField",
    "Name": "RulebookTables.IsUnsecured",
    "IsDerived": true,
    "IsWitness": false,
    "DisagreeingSubstrateCount": 0,
    "IsSubstrateContested": false
   },
   {
    "RulebookFieldId": "RulebookTables.DisagreeingSubstrateCount",
    "TargetTable": "RulebookTables",
    "FieldName": "DisagreeingSubstrateCount",
    "FieldType": "aggregation",
    "Datatype": "number",
    "Formula": "=COUNTIFS(TableConformance!{{ImperfectTableKey}}, {{RulebookTableId}})",
    "InventedForQuestion": "q-auditor-substrate-agreement",
    "SemanticTypeIri": "urn:effortless:pko-extension#RulebookField",
    "Name": "RulebookTables.DisagreeingSubstrateCount",
    "IsDerived": true,
    "IsWitness": true,
    "DisagreeingSubstrateCount": 0,
    "IsSubstrateContested": false
   },
   {
    "RulebookFieldId": "RulebookTables.SemanticTypeIri",
    "TargetTable": "RulebookTables",
    "FieldName": "SemanticTypeIri",
    "FieldType": "raw",
    "Datatype": "string",
    "Formula": null,
    "InventedForQuestion": null,
    "SemanticTypeIri": "urn:effortless:pko-extension#RulebookField",
    "Name": "RulebookTables.SemanticTypeIri",
    "IsDerived": false,
    "IsWitness": false,
    "DisagreeingSubstrateCount": 0,
    "IsSubstrateContested": false
   },
   {
    "RulebookFieldId": "AccessPrincipals.AccessPrincipalId",
    "TargetTable": "AccessPrincipals",
    "FieldName": "AccessPrincipalId",
    "FieldType": "raw",
    "Datatype": "string",
    "Formula": null,
    "InventedForQuestion": null,
    "SemanticTypeIri": "urn:effortless:pko-extension#RulebookField",
    "Name": "AccessPrincipals.AccessPrincipalId",
    "IsDerived": false,
    "IsWitness": false,
    "DisagreeingSubstrateCount": 0,
    "IsSubstrateContested": false
   },
   {
    "RulebookFieldId": "AccessPrincipals.Name",
    "TargetTable": "AccessPrincipals",
    "FieldName": "Name",
    "FieldType": "calculated",
    "Datatype": "string",
    "Form</t>
  </si>
  <si>
    <t xml:space="preserve">ula": "={{Label}}",
    "InventedForQuestion": null,
    "SemanticTypeIri": "urn:effortless:pko-extension#RulebookField",
    "Name": "AccessPrincipals.Name",
    "IsDerived": true,
    "IsWitness": false,
    "DisagreeingSubstrateCount": 0,
    "IsSubstrateContested": false
   },
   {
    "RulebookFieldId": "AccessPrincipals.Label",
    "TargetTable": "AccessPrincipals",
    "FieldName": "Label",
    "FieldType": "raw",
    "Datatype": "string",
    "Formula": null,
    "InventedForQuestion": null,
    "SemanticTypeIri": "urn:effortless:pko-extension#RulebookField",
    "Name": "AccessPrincipals.Label",
    "IsDerived": false,
    "IsWitness": false,
    "DisagreeingSubstrateCount": 0,
    "IsSubstrateContested": false
   },
   {
    "RulebookFieldId": "AccessPrincipals.DomainRole",
    "TargetTable": "AccessPrincipals",
    "FieldName": "DomainRole",
    "FieldType": "relationship",
    "Datatype": "string",
    "Formula": null,
    "InventedForQuestion": null,
    "SemanticTypeIri": "urn:effortless:pko-extension#RulebookField",
    "Name": "AccessPrincipals.DomainRole",
    "IsDerived": false,
    "IsWitness": false,
    "DisagreeingSubstrateCount": 0,
    "IsSubstrateContested": false
   },
   {
    "RulebookFieldId": "AccessPrincipals.PgRoleName",
    "TargetTable": "AccessPrincipals",
    "FieldName": "PgRoleName",
    "FieldType": "raw",
    "Datatype": "string",
    "Formula": null,
    "InventedForQuestion": null,
    "SemanticTypeIri": "urn:effortless:pko-extension#RulebookField",
    "Name": "AccessPrincipals.PgRoleName",
    "IsDerived": false,
    "IsWitness": false,
    "DisagreeingSubstrateCount": 0,
    "IsSubstrateContested": false
   },
   {
    "RulebookFieldId": "AccessPrincipals.SchemaName",
    "TargetTable": "AccessPrincipals",
    "FieldName": "SchemaName",
    "FieldType": "raw",
    "Datatype": "string",
    "Formula": null,
    "InventedForQuestion": null,
    "SemanticTypeIri": "urn:effortless:pko-extension#RulebookField",
    "Name": "AccessPrincipals.SchemaName",
    "IsDerived": false,
    "IsWitness": false,
    "DisagreeingSubstrateCount": 0,
    "IsSubstrateContested": false
   },
   {
    "RulebookFieldId": "AccessPrincipals.IsAdministrator",
    "TargetTable": "AccessPrincipals",
    "FieldName": "IsAdministrator",
    "FieldType": "raw",
    "Datatype": "boolean",
    "Formula": null,
    "InventedForQuestion": null,
    "SemanticTypeIri": "urn:effortless:pko-extension#RulebookField",
    "Name": "AccessPrincipals.IsAdministrator",
    "IsDerived": false,
    "IsWitness": false,
    "DisagreeingSubstrateCount": 0,
    "IsSubstrateContested": false
   },
   {
    "RulebookFieldId": "AccessPrincipals.OrganizationScope",
    "TargetTable": "AccessPrincipals",
    "FieldName": "OrganizationScope",
    "FieldType": "lookup",
    "Datatype": "string",
    "Formula": "=INDEX(Roles!{{Organization}}, MATCH({{DomainRole}}, Roles!{{RoleId}}, 0))",
    "InventedForQuestion": null,
    "SemanticTypeIri": "urn:effortless:pko-extension#RulebookField",
    "Name": "AccessPrincipals.OrganizationScope",
    "IsDerived": true,
    "IsWitness": false,
    "DisagreeingSubstrateCount": 0,
    "IsSubstrateContested": false
   },
   {
    "RulebookFieldId": "AccessPrincipals.RoleLabel",
    "TargetTable": "AccessPrincipals",
    "FieldName": "RoleLabel",
    "FieldType": "lookup",
    "Datatype": "string",
    "Formula": "=INDEX(Roles!{{Label}}, MATCH({{DomainRole}}, Roles!{{RoleId}}, 0))",
    "InventedForQuestion": null,
    "SemanticTypeIri": "urn:effortless:pko-extension#RulebookField",
    "Name": "AccessPrincipals.RoleLabel",
    "IsDerived": true,
    "IsWitness": false,
    "DisagreeingSubstrateCount": 0,
    "IsSubstrateContested": false
   },
   {
    "RulebookFieldId": "AccessPrincipals.PolicyCount",
    "TargetTable": "AccessPrincipals",
    "FieldName": "PolicyCount",
    "FieldType": "aggregation",
    "Datatype": "number",
    "Formula": "=COUNTIFS(AccessPolicies!{{Principal}}, {{AccessPrincipalId}})",
    "InventedForQuestion": null,
    "SemanticTypeIri": "urn:effortless:pko-extension#RulebookField",
    "Name": "AccessPrincipals.PolicyCount",
    "IsDerived": true,
    "IsWitness": false,
    "DisagreeingSubstrateCount": 0,
    "IsSubstrateContested": false
   },
   {
    "RulebookFieldId": "AccessPrincipals.GrantCount",
    "TargetTable": "AccessPrincipals",
    "FieldName": "GrantCount",
    "FieldType": "aggregation",
    "Datatype": "number",
    "Formula": "=COUNTIFS(FieldGrants!{{Principal}}, {{AccessPrincipalId}})",
    "InventedForQuestion": null,
    "SemanticTypeIri": "urn:effortless:pko-extension#RulebookField",
    "Name": "AccessPrincipals.GrantCount",
    "IsDerived": true,
    "IsWitness": false,
    "DisagreeingSubstrateCount": 1,
    "IsSubstrateContested": true
   },
   {
    "RulebookFieldId": "AccessPrincipals.VisibleTableCount",
    "TargetTable": "AccessPrincipals",
    "FieldName": "VisibleTableCount",
    "FieldType": "aggregation",
    "Datatype": "number",
    "Formula": "=COUNTIFS(RoleSchemaViews!{{Principal}}, {{AccessPrincipalId}})",
    "InventedForQuestion": null,
    "SemanticTypeIri": "urn:effortless:pko-extension#RulebookField",
    "Name": "AccessPrincipals.VisibleTableCount",
    "IsDerived": true,
    "IsWitness": false,
    "DisagreeingSubstrateCount": 0,
    "IsSubstrateContested": false
   },
   {
    "RulebookFieldId": "AccessPrincipals.HasNoAccess",
    "TargetTable": "AccessPrincipals",
    "FieldName": "HasNoAccess",
    "FieldType": "calculated",
    "Datatype": "boolean",
    "Formula": "={{PolicyCount}} = 0",
    "InventedForQuestion": null,
    "SemanticTypeIri": "urn:effortless:pko-extension#RulebookField",
    "Name": "AccessPrincipals.HasNoAccess",
    "IsDerived": true,
    "IsWitness": false,
    "DisagreeingSubstrateCount": 0,
    "IsSubstrateContested": false
   },
   {
    "RulebookFieldId": "AccessPrincipals.IsOverPrivileged",
    "TargetTable": "AccessPrincipals",
    "FieldName": "IsOverPrivileged",
    "FieldType": "calculated",
    "Datatype": "boolean",
    "Formula": "=AND(NOT({{IsAdministrator}}), {{VisibleTableCount}} &gt;= 74)",
    "InventedForQuestion": null,
    "SemanticTypeIri": "urn:effortless:pko-extension#RulebookField",
    "Name": "AccessPrincipals.IsOverPrivileged",
    "IsDerived": true,
    "IsWitness": false,
    "DisagreeingSubstrateCount": 0,
    "IsSubstrateContested": false
   },
   {
    "RulebookFieldId": "AccessPrincipals.SemanticTypeIri",
    "TargetTable": "AccessPrincipals",
    "FieldName": "SemanticTypeIri",
    "FieldType": "raw",
    "Datatype": "string",
    "Formula": null,
    "InventedForQuestion": null,
    "SemanticTypeIri": "urn:effortless:pko-extension#RulebookField",
    "Name": "AccessPrincipals.SemanticTypeIri",
    "IsDerived": false,
    "IsWitness": false,
    "DisagreeingSubstrateCount": 0,
    "IsSubstrateContested": false
   },
   {
    "RulebookFieldId": "AccessPolicies.AccessPolicyId",
    "TargetTable": "AccessPolicies",
    "FieldName": "AccessPolicyId",
    "FieldType": "raw",
    "Datatype": "string",
    "Formula": null,
    "InventedForQuestion": null,
    "SemanticTypeIri": "urn:effortless:pko-extension#RulebookField",
    "Name": "AccessPolicies.AccessPolicyId",
    "IsDerived": false,
    "IsWitness": false,
    "DisagreeingSubstrateCount": 0,
    "IsSubstrateContested": false
   },
   {
    "RulebookFieldId": "AccessPolicies.Name",
    "TargetTable": "AccessPolicies",
    "FieldName": "Name",
    "FieldType": "calculated",
    "Datatype": "string",
    "Formula": "={{Principal}} &amp; \" \" &amp; {{Command}} &amp; \" \" &amp; {{TargetTable}}",
    "InventedForQuestion": null,
    "SemanticTypeIri": "urn:effortless:pko-extension#RulebookField",
    "Name": "AccessPolicies.Name",
    "IsDerived": true,
    "IsWitness": false,
    "DisagreeingSubstrateCount": 0,
    "IsSubstrateContested": false
   },
   {
    "RulebookFieldId": "AccessPolicies.Principal",
    "TargetTable": "AccessPolicies",
    "FieldName": "Principal",
    "FieldType": "relationship",
    "Datatype": "string",
    "Formula": null,
    "InventedForQuestion": null,
    "SemanticTypeIri": "urn:effortless:pko-extension#RulebookField",
    "Name": "AccessPolicies.Principal",
    "IsDerived": false,
    "IsWitness": false,
    "DisagreeingSubstrateCount": 0,
    "IsSubstrateContested": false
   },
   {
    "RulebookFieldId": "AccessPolicies.TargetTable",
    "TargetTable": "AccessPolicies",
    "FieldName": "TargetTable",
    "FieldType": "relationship",
    "Datatype": "string",
    "Formula": null,
    "InventedForQuestion": null,
    "SemanticTypeIri": "urn:effortless:pko-extension#RulebookField",
    "Name": "AccessPolicies.TargetTable",
    "IsDerived": false,
    "IsWitness": false,
    "DisagreeingSubstrateCount": 0,
    "IsSubstrateContested": false
   },
   {
    "RulebookFieldId": "AccessPolicies.Command",
    "TargetTable": "AccessPolicies",
    "FieldName": "Command",
    "FieldType": "raw",
    "Datatype": "string",
    "Formula": null,
    "InventedForQuestion": null,
    "SemanticTypeIri": "urn:effortless:pko-extension#RulebookField",
    "Name": "AccessPolicies.Command",
    "IsDerived": false,
    "IsWitness": false,
    "DisagreeingSubstrateCount": 0,
    "IsSubstrateContested": false
   },
   {
    "RulebookFieldId": "AccessPolicies.RowPredicate",
    "TargetTable": "AccessPolicies",
    "FieldName": "RowPredicate",
    "FieldType": "raw",
    "Datatype": "string",
    "Formula": null,
    "InventedForQuestion": null,
    "SemanticTypeIri": "urn:effortless:pko-extension#RulebookField",
    "Name": "AccessPolicies.RowPredicate",
    "IsDerived": false,
    "IsWitness": false,
    "DisagreeingSubstrateCount": 0,
    "IsSubstrateContested": false
   },
   {
    "RulebookFieldId": "AccessPolicies.CheckPredicate",
    "TargetTable": "AccessPolicies",
    "FieldName": "CheckPredicate",
    "FieldType": "raw",
    "Datatype": "string",
    "Formula": null,
    "InventedForQuestion": null,
    "SemanticTypeIri": "urn:effortless:pko-extension#RulebookField",
    "Name": "AccessPolicies.CheckPredicate",
    "IsDerived": false,
    "IsWitness": false,
    "DisagreeingSubstrateCount": 0,
    "IsSubstrateContested": false
   },
   {
    "RulebookFieldId": "AccessPolicies.Rationale",
    "TargetTable": "AccessPolicies",
    "FieldName": "Rationale",
    "FieldType": "raw",
    "Datatype": "string",
    "Formula": null,
    "InventedForQuestion": null,
    "SemanticTypeIri": "urn:effortless:pko-extension#RulebookField",
    "Name": "AccessPolicies.Rationale",
    "IsDerived": false,
    "IsWitness": false,
    "DisagreeingSubstrateCount": 0,
    "IsSubstrateContested": false
   },
   {
    "RulebookFieldId": "AccessPolicies.ReferencesInference",
    "TargetTable": "AccessPolicies",
    "FieldName": "ReferencesInference",
    "FieldType": "raw",
    "Datatype": "boolean",
    "Formula": null,
    "InventedForQuestion": null,
    "SemanticTypeIri": "urn:effortless:pko-extension#RulebookField",
    "Name": "AccessPolicies.ReferencesInference",
    "IsDerived": false,
    "IsWitness": false,
    "DisagreeingSubstrateCount": 0,
    "IsSubstrateContested": false
   },
   {
    "RulebookFieldId": "AccessPolicies.IsWriteCommand",
    "TargetTable": "AccessPolicies",
    "FieldName": "IsWriteCommand",
    "FieldType": "calculated",
    "Datatype": "boolean",
    "Formula": "=OR({{Command}} = \"INSERT\", {{Command}} = \"UPDATE\", {{Command}} = \"DELETE\", {{Command}} = \"ALL\")",
    "InventedForQuestion": null,
    "SemanticTypeIri": "urn:effortless:pko-extension#RulebookField",
    "Name": "AccessPolicies.IsWriteCommand",
    "IsDerived": true,
    "IsWitness": false,
    "DisagreeingSubstrateCount": 0,
    "IsSubstrateContested": false
   },
   {
    "RulebookFieldId": "AccessPolicies.IsUnrestricted",
    "TargetTable": "AccessPolicies",
    "FieldName": "IsUnrestricted",
    "FieldType": "calculated",
    "Datatype": "boolean",
    "Formula": "={{RowPredicate}} = \"\"",
    "InventedForQuestion": null,
    "SemanticTypeIri": "urn:effortless:pko-extension#RulebookField",
    "Name": "AccessPolicies.IsUnrestricted",
    "IsDerived": true,
    "IsWitness": false,
    "DisagreeingSubstrateCount": 0,
    "IsSubstrateContested": false
   },
   {
    "RulebookFieldId": "AccessPolicies.PrincipalIsAdmin",
    "TargetTable": "AccessPolicies",
    "FieldName": "PrincipalIsAdmin",
    "FieldType": "lookup",
    "Datatype": "boolean",
    "Formula": "=INDEX(AccessPrincipals!{{IsAdministrator}}, MATCH({{Principal}}, AccessPrincipals!{{AccessPrincipalId}}, 0))",
    "InventedForQuestion": null,
    "SemanticTypeIri": "urn:effortless:pko-extension#RulebookField",
    "Name": "AccessPolicies.PrincipalIsAdmin",
    "IsDerived": true,
    "IsWitness": false,
    "DisagreeingSubstrateCount": 0,
    "IsSubstrateContested": false
   },
   {
    "RulebookFieldId": "AccessPolicies.IsUnrestrictedNonAdminGrant",
    "TargetTable": "AccessPolicies",
    "FieldName": "IsUnrestrictedNonAdminGrant",
    "FieldType": "calculated",
    "Datatype": "boolean",
    "Formula": "=AND({{IsUnrestricted}}, NOT({{PrincipalIsAdmin}}))",
    "InventedForQuestion": null,
    "SemanticTypeIri": "urn:effortless:pko-extension#RulebookField",
    "Name": "AccessPolicies.IsUnrestrictedNonAdminGrant",
    "IsDerived": true,
    "IsWitness": false,
    "DisagreeingSubstrateCount": 0,
    "IsSubstrateContested": false
   },
   {
    "RulebookFieldId": "AccessPolicies.IsUnwitnessedWrite",
    "TargetTable": "AccessPolicies",
    "FieldName": "IsUnwitnessedWrite",
    "FieldType": "calculated",
    "Datatype": "boolean",
    "Formula": "=AND({{IsWriteCommand}}, {{DenialTestCount}} = 0)",
    "InventedForQuestion": null,
    "SemanticTypeIri": "urn:effortless:pko-extension#RulebookField",
    "Name": "AccessPolicies.IsUnwitnessedWrite",
    "IsDerived": true,
    "IsWitness": false,
    "DisagreeingSubstrateCount": 0,
    "IsSubstrateContested": false
   },
   {
    "RulebookFieldId": "AccessPolicies.DenialTestCount",
    "TargetTable": "AccessPolicies",
    "FieldName": "DenialTestCount",
    "FieldType": "aggregation",
    "Datatype": "number",
    "Formula": "=COUNTIFS(AccessDenialTests!{{TargetPolicy}}, {{AccessPolicyId}})",
    "InventedForQuestion": null,
    "SemanticTypeIri": "urn:effortless:pko-extension#RulebookField",
    "Name": "AccessPolicies.DenialTestCount",
    "IsDerived": true,
    "IsWitness": false,
    "DisagreeingSubstrateCount": 0,
    "IsSubstrateContested": false
   },
   {
    "RulebookFieldId": "AccessPolicies.SemanticTypeIri",
    "TargetTable": "AccessPolicies",
    "FieldName": "SemanticTypeIri",
    "FieldType": "raw",
    "Datatype": "string",
    "Formula": null,
    "InventedForQuestion": null,
    "SemanticTypeIri": "urn:effortless:pko-extension#RulebookField",
    "Name": "AccessPolicies.SemanticTypeIri",
    "IsDerived": false,
    "IsWitness": false,
    "DisagreeingSubstrateCount": 0,
    "IsSubstrateContested": false
   },
   {
    "RulebookFieldId": "FieldGrants.FieldGrantId",
    "TargetTable": "FieldGrants",
    "FieldName": "FieldGrantId",
    "FieldType": "raw",
    "Datatype": "string",
    "Formula": null,
    "InventedForQuestion": null,
    "SemanticTypeIri": "urn:effortless:pko-extension#RulebookField",
    "Name": "FieldGrants.FieldGrantId",
    "IsDerived": false,
    "IsWitness": false,
    "DisagreeingSubstrateCount": 0,
    "IsSubstrateContested": false
   },
   {
    "RulebookFieldId": "FieldGrants.Name",
    "TargetTable": "FieldGrants",
    "FieldName": "Name",
    "FieldType": "calculated",
    "Datatype": "string",
    "Formula": "={{Principal}} &amp; \" -&gt; \" &amp; {{TargetField}}",
    "InventedForQuestion": null,
    "SemanticTypeIri": "urn:effortless:pko-extension#RulebookField",
    "Name": "FieldGrants.Name",
    "IsDerived": true,
    "IsWitness": false,
    "DisagreeingSubstrateCount": 0,
    "IsSubstrateContested": false
   },
   {
    "RulebookFieldId": "FieldGrants.Principal",
    "TargetTable": "FieldGrants",
    "FieldName": "Principal",
    "FieldType": "relationship",
    "Datatype": "string",
    "Formula": null,
    "InventedForQuestion": null,
    "SemanticTypeIri": "urn:effortless:pko-extension#RulebookField",
    "Name": "FieldGrants.Principal",
    "IsDerived": false,
    "IsWitness": false,
    "DisagreeingSubstrateCount": 0,
    "IsSubstrateContested": false
   },
   {
    "RulebookFieldId": "FieldGrants.TargetField",
    "TargetTable": "FieldGrants",
    "FieldName": "TargetField",
    "FieldType": "relationship",
    "Datatype": "string",
    "Formula": null,
    "InventedForQuestion": null,
    "SemanticTypeIri": "urn:effortless:pko-extension#RulebookField",
    "Name": "FieldGrants.TargetField",
    "IsDerived": false,
    "IsWitness": false,
    "DisagreeingSubstrateCount": 0,
    "IsSubstrateContested": false
   },
   {
    "RulebookFieldId": "FieldGrants.CanRead",
    "TargetTable": "FieldGrants",
    "FieldName": "CanRead",
    "FieldType": "raw",
    "Datatype": "boolean",
    "Formula": null,
    "InventedForQuestion": null,
    "SemanticTypeIri": "urn:effortless:pko-extension#RulebookField",
    "Name": "FieldGrants.CanRead",
    "IsDerived": false,
    "IsWitness": false,
    "DisagreeingSubstrateCount": 0,
    "IsSubstrateContested": false
   },
   {
    "RulebookFieldId": "FieldGrants.CanWrite",
    "TargetTable": "FieldGrants",
    "FieldName": "CanWrite",
    "FieldType": "raw",
    "Datatype": "boolean",
    "Formula": null,
    "InventedForQuestion": null,
    "SemanticTypeIri": "urn:effortless:pko-extension#RulebookField",
    "Name": "FieldGrants.CanWrite",
    "IsDerived": false,
    "IsWitness": false,
    "DisagreeingSubstrateCount": 0,
    "IsSubstrateContested": false
   },
   {
    "RulebookFieldId": "FieldGrants.MaskStrategy",
    "TargetTable": "FieldGrants",
    "FieldName": "MaskStrategy",
    "FieldType": "raw",
    "Datatype": "string",
    "Formula": null,
    "InventedForQuestion": null,
    "SemanticTypeIri": "urn:effortless:pko-extension#RulebookField",
    "Name": "FieldGrants.MaskStrategy",
    "IsDerived": false,
    "IsWitness": false,
    "DisagreeingSubstrateCount": 0,
    "IsSubstrateContested": false
   },
   {
    "RulebookFieldId": "FieldGrants.FieldTable",
    "TargetTable": "FieldGrants",
    "FieldName": "FieldTable",
    "FieldType": "lookup",
    "Datatype": "string",
    "Formula": "=INDEX(RulebookFields!{{TargetTable}}, MATCH({{TargetField}}, RulebookFields!{{RulebookFieldId}}, 0))",
    "InventedForQuestion": null,
    "SemanticTypeIri": "urn:effortless:pko-extension#RulebookField",
    "Name": "FieldGrants.FieldTable",
    "IsDerived": true,
    "IsWitness": false,
    "DisagreeingSubstrateCount": 1,
    "IsSubstrateContested": true
   },
   {
    "RulebookFieldId": "FieldGrants.FieldName",
    "TargetTable": "FieldGrants",
    "FieldName": "FieldName",
    "FieldType": "lookup",
    "Datatype": "string",
    "Formula": "=INDEX(RulebookFields!{{FieldName}}, MATCH({{TargetField}}, RulebookFields!{{RulebookFieldId}}, 0))",
    "InventedForQuestion": null,
    "SemanticTypeIri": "urn:effortless:pko-extension#RulebookField",
    "Name": "FieldGrants.FieldName",
    "IsDerived": true,
    "IsWitness": false,
    "DisagreeingSubstrateCount": 1,
    "IsSubstrateContested": true
   },
   {
    "RulebookFieldId": "FieldGrants.FieldIsDerived",
    "TargetTable": "FieldGrants",
    "FieldName": "FieldIsDerived",
    "FieldType": "lookup",
    "Datatype": "boolean",
    "Formula": "=INDEX(RulebookFields!{{IsDerived}}, MATCH({{TargetField}}, RulebookFields!{{RulebookFieldId}}, 0))",
    "InventedForQuestion": null,
    "SemanticTypeIri": "urn:effortless:pko-extension#RulebookField",
    "Name": "FieldGrants.FieldIsDerived",
    "IsDerived": true,
    "IsWitness": false,
    "DisagreeingSubstrateCount": 1,
    "IsSubstrateContested": true
   },
   {
    "RulebookFieldId": "FieldGrants.IsWritableDerivedField",
    "TargetTable": "FieldGrants",
    "FieldName": "IsWritableDerivedField",
    "FieldType": "calculated",
    "Datatype": "boolean",
    "Formula": "=AND({{CanWrite}}, {{FieldIsDerived}})",
    "InventedForQuestion": null,
    "SemanticTypeIri": "urn:effortless:pko-extension#RulebookField",
    "Name": "FieldGrants.IsWritableDerivedField",
    "IsDerived": true,
    "IsWitness": false,
    "DisagreeingSubstrateCount": 0,
    "IsSubstrateContested": false
   },
   {
    "RulebookFieldId": "FieldGrants.IsMasked",
    "TargetTable": "FieldGrants",
    "FieldName": "IsMasked",
    "FieldType": "calculated",
    "Datatype": "boolean",
    "Formula": "=AND({{MaskStrategy}} &lt;&gt; \"plain\", {{MaskStrategy}} &lt;&gt; \"\")",
    "InventedForQuestion": null,
    "SemanticTypeIri": "urn:effortless:pko-extension#RulebookField",
    "Name": "FieldGrants.IsMasked",
    "IsDerived": true,
    "IsWitness": false,
    "DisagreeingSubstrateCount": 0,
    "IsSubstrateContested": false
   },
   {
    "RulebookFieldId": "FieldGrants.GrantKeyWhenReadable",
    "TargetTable": "FieldGrants",
    "FieldName": "GrantKeyWhenReadable",
    "FieldType": "calculated",
    "Datatype": "string",
    "Formula": "=IF({{CanRead}}, {{Principal}} &amp; \"|\" &amp; {{FieldTable}}, \"\")",
    "InventedForQuestion": null,
    "SemanticTypeIri": "urn:effortless:pko-extension#RulebookField",
    "Name": "FieldGrants.GrantKeyWhenReadable",
    "IsDerived": true,
    "IsWitness": false,
    "DisagreeingSubstrateCount": 1,
    "IsSubstrateContested": true
   },
   {
    "RulebookFieldId": "FieldGrants.SemanticTypeIri",
    "TargetTable": "FieldGrants",
    "FieldName": "SemanticTypeIri",
    "FieldType": "raw",
    "Datatype": "string",
    "Formula": null,
    "InventedForQuestion": null,
    "SemanticTypeIri": "urn:effortless:pko-extension#RulebookField",
    "Name": "FieldGrants.SemanticTypeIri",
    "IsDerived": false,
    "IsWitness": false,
    "DisagreeingSubstrateCount": 0,
    "IsSubstrateContested": false
   },
   {
    "RulebookFieldId": "RoleSchemas.RoleSchemaId",
    "TargetTable": "RoleSchemas",
    "FieldName": "RoleSchemaId",
    "FieldType": "raw",
    "Datatype": "string",
    "Formula": null,
    "InventedForQuestion": null,
    "SemanticTypeIri": "urn:effortless:pko-extension#RulebookField",
    "Name": "RoleSchemas.RoleSchemaId",
    "IsDerived": false,
    "IsWitness": false,
    "DisagreeingSubstrateCount": 0,
    "IsSubstrateContested": false
   },
   {
    "RulebookFieldId": "RoleSchemas.Name",
    "TargetTable": "RoleSchemas",
    "FieldName": "Name",
    "FieldType": "calculated",
    "Datatype": "string",
    "Formula": "={{SchemaName}}",
    "InventedForQuestion": null,
    "SemanticTypeIri": "urn:effortless:pko-extension#RulebookField",
    "Name": "RoleSchemas.Name",
    "IsDerived": true,
    "IsWitness": false,
    "DisagreeingSubstrateCount": 0,
    "IsSubstrateContested": false
   },
   {
    "RulebookFieldId": "RoleSchemas.Principal",
    "TargetTable": "RoleSchemas",
    "FieldName": "Principal",
    "FieldType": "relationship",
    "Datatype": "string",
    "Formula": null,
    "InventedForQuestion": null,
    "SemanticTypeIri": "urn:effortless:pko-extension#RulebookField",
    "Name": "RoleSchemas.Principal",
    "IsDerived": false,
    "IsWitness": false,
    "DisagreeingSubstrateCount": 0,
    "IsSubstrateContested": false
   },
   {
    "RulebookFieldId": "RoleSchemas.SchemaName",
    "TargetTable": "RoleSchemas",
    "FieldName": "SchemaName",
    "FieldType": "raw",
    "Datatype": "string",
    "Formula": null,
    "InventedForQuestion": null,
    "SemanticTypeIri": "urn:effortless:pko-extension#RulebookField",
    "Name": "RoleSchemas.SchemaName",
    "IsDerived": false,
    "IsWitness": false,
    "DisagreeingSubstrateCount": 0,
    "IsSubstrateContested": false
   },
   {
    "RulebookFieldId": "RoleSchemas.SearchPath",
    "TargetTable": "RoleSchemas",
    "FieldName": "SearchPath",
    "FieldType": "calculated",
    "Datatype": "string",
    "Formula": "={{SchemaName}}",
    "InventedForQuestion": null,
    "SemanticTypeIri": "urn:effortless:pko-extension#RulebookField",
    "Name": "RoleSchemas.SearchPath",
    "IsDerived": true,
    "IsWitness": false,
    "DisagreeingSubstrateCount": 0,
    "IsSubstrateContested": false
   },
   {
    "RulebookFieldId": "RoleSchemas.IsSealed",
    "TargetTable": "RoleSchemas",
    "FieldName": "IsSealed",
    "FieldType": "raw",
    "Datatype": "boolean",
    "Formula": null,
    "InventedForQuestion": null,
    "SemanticTypeIri": "urn:effortless:pko-extension#RulebookField",
    "Name": "RoleSchemas.IsSealed",
    "IsDerived": false,
    "IsWitness": false,
    "DisagreeingSubstrateCount": 0,
    "IsSubstrateContested": false
   },
   {
    "RulebookFieldId": "RoleSchemas.ViewCount",
    "TargetTable": "RoleSchemas",
    "FieldName": "ViewCount",
    "FieldType": "aggregation",
    "Datatype": "number",
    "Formula": "=COUNTIFS(RoleSchemaViews!{{RoleSchema}}, {{RoleSchemaId}})",
    "InventedForQuestion": null,
    "SemanticTypeIri": "urn:effortless:pko-extension#RulebookField",
    "Name": "RoleSchemas.ViewCount",
    "IsDerived": true,
    "IsWitness": false,
    "DisagreeingSubstrateCount": 0,
    "IsSubstrateContested": false
   },
   {
    "RulebookFieldId": "RoleSchemas.IsEmptySchema",
    "TargetTable": "RoleSchemas",
    "FieldName": "IsEmptySchema",
    "FieldType": "calculated",
    "Datatype": "boolean",
    "Formula": "={{ViewCount}} = 0",
    "InventedForQuestion": null,
    "SemanticTypeIri": "urn:effortless:pko-extension#RulebookField",
    "Name": "RoleSchemas.IsEmptySchema",
    "IsDerived": true,
    "IsWitness": false,
    "DisagreeingSubstrateCount": 0,
    "IsSubstrateContested": false
   },
   {
    "RulebookFieldId": "RoleSchemas.SemanticTypeIri",
    "TargetTable": "RoleSchemas",
    "FieldName": "SemanticTypeIri",
    "FieldType": "raw",
    "Datatype": "string",
    "Formula": null,
    "InventedForQuestion": null,
    "SemanticTypeIri": "urn:effortless:pko-extension#RulebookField",
    "Name": "RoleSchemas.SemanticTypeIri",
    "IsDerived": false,
    "IsWitness": false,
    "DisagreeingSubstrateCount": 0,
    "IsSubstrateContested": false
   },
   {
    "RulebookFieldId": "RoleSchemaViews.RoleSchemaViewId",
    "TargetTable": "RoleSchemaViews",
    "FieldName": "RoleSchemaViewId",
    "FieldType": "raw",
    "Datatype": "string",
    "Formula": null,
    "InventedForQuestion": null,
    "SemanticTypeIri": "urn:effortless:pko-extension#RulebookField",
    "Name": "RoleSchemaViews.RoleSchemaViewId",
    "IsDerived": false,
    "IsWitness": false,
    "DisagreeingSubstrateCount": 0,
    "IsSubstrateContested": false
   },
   {
    "RulebookFieldId": "RoleSchemaViews.Name",
    "TargetTable": "RoleSchemaViews",
    "FieldName": "Name",
    "FieldType": "calculated",
    "Datatype": "string",
    "Formula": "={{SchemaName}} &amp; \".\" &amp; {{ViewName}}",
    "InventedForQuestion": null,
    "SemanticTypeIri": "urn:effortless:pko-extension#RulebookField",
    "Name": "RoleSchemaViews.Name",
    "IsDerived": true,
    "IsWitness": false,
    "DisagreeingSubstrateCount": 0,
    "IsSubstrateContested": false
   },
   {
    "RulebookFieldId": "RoleSchemaViews.RoleSchema",
    "TargetTable": "RoleSchemaViews",
    "FieldName": "RoleSchema",
    "FieldType": "relationship",
    "Datatype": "string",
    "Formula": null,
    "InventedForQuestion": null,
    "SemanticTypeIri": "urn:effortless:pko-extension#RulebookField",
    "Name": "RoleSchemaViews.RoleSchema",
    "IsDerived": false,
    "IsWitness": false,
    "DisagreeingSubstrateCount": 0,
    "IsSubstrateContested": false
   },
   {
    "RulebookFieldId": "RoleSchemaViews.Principal",
    "TargetTable": "RoleSchemaViews",
    "FieldName": "Principal",
    "FieldType": "relationship",
    "Datatype": "string",
    "Formula": null,
    "InventedForQuestion": null,
    "SemanticTypeIri": "urn:effortless:pko-extension#RulebookField",
    "Name": "RoleSchemaViews.Principal",
    "IsDerived": false,
    "IsWitness": false,
    "DisagreeingSubstrateCount": 0,
    "IsSubstrateContested": false
   },
   {
    "RulebookFieldId": "RoleSchemaViews.TargetTable",
    "TargetTable": "RoleSchemaViews",
    "FieldName": "TargetTable",
    "FieldType": "relationship",
    "Datatype": "string",
    "Formula": null,
    "InventedForQuestion": null,
    "SemanticTypeIri": "urn:effortless:pko-extension#RulebookField",
    "Name": "RoleSchemaViews.TargetTable",
    "IsDerived": false,
    "IsWitness": false,
    "DisagreeingSubstrateCount": 0,
    "IsSubstrateContested": false
   },
   {
    "RulebookFieldId": "RoleSchemaViews.ViewName",
    "TargetTable": "RoleSchemaViews",
    "FieldName": "ViewName",
    "FieldType": "raw",
    "Datatype": "string",
    "Formula": null,
    "InventedForQuestion": null,
    "SemanticTypeIri": "urn:effortless:pko-extension#RulebookField",
    "Name": "RoleSchemaViews.ViewName",
    "IsDerived": false,
    "IsWitness": false,
    "DisagreeingSubstrateCount": 0,
    "IsSubstrateContested": false
   },
   {
    "RulebookFieldId": "RoleSchemaViews.SchemaName",
    "TargetTable": "RoleSchemaViews",
    "FieldName": "SchemaName",
    "FieldType": "lookup",
    "Datatype": "string",
    "Formula": "=INDEX(RoleSchemas!{{SchemaName}}, MATCH({{RoleSchema}}, RoleSchemas!{{RoleSchemaId}}, 0))",
    "InventedForQuestion": null,
    "SemanticTypeIri": "urn:effortless:pko-extension#RulebookField",
    "Name": "RoleSchemaViews.SchemaName",
    "IsDerived": true,
    "IsWitness": false,
    "DisagreeingSubstrateCount": 0,
    "IsSubstrateContested": false
   },
   {
    "RulebookFieldId": "RoleSchemaViews.SourceView",
    "TargetTable": "RoleSchemaViews",
    "FieldName": "SourceView",
    "FieldType": "lookup",
    "Datatype": "string",
    "Formula": "=INDEX(RulebookTables!{{PhysicalView}}, MATCH({{TargetTable}}, RulebookTables!{{RulebookTableId}}, 0))",
    "InventedForQuestion": null,
    "SemanticTypeIri": "urn:effortless:pko-extension#RulebookField",
    "Name": "RoleSchemaViews.SourceView",
    "IsDerived": true,
    "IsWitness": false,
    "DisagreeingSubstrateCount": 0,
    "IsSubstrateContested": false
   },
   {
    "RulebookFieldId": "RoleSchemaViews.GrantKey",
    "TargetTable": "RoleSchemaViews",
    "FieldName": "GrantKey",
    "FieldType": "calculated",
    "Datatype": "string",
    "Formula": "={{Principal}} &amp; \"|\" &amp; {{TargetTable}}",
    "InventedForQuestion": null,
    "SemanticTypeIri": "urn:effortless:pko-extension#RulebookField",
    "Name": "RoleSchemaViews.GrantKey",
    "IsDerived": true,
    "IsWitness": false,
    "DisagreeingSubstrateCount": 0,
    "IsSubstrateContested": false
   },
   {
    "RulebookFieldId": "RoleSchemaViews.ColumnCount",
    "TargetTable": "RoleSchemaViews",
    "FieldName": "ColumnCount",
    "FieldType": "aggregation",
    "Datatype": "number",
    "Formula": "=COUNTIFS(FieldGrants!{{GrantKeyWhenReadable}}, {{GrantKey}})",
    "InventedForQuestion": null,
    "SemanticTypeIri": "urn:effortless:pko-extension#RulebookField",
    "Name": "RoleSchemaViews.ColumnCount",
    "IsDerived": true,
    "IsWitness": false,
    "DisagreeingSubstrateCount": 1,
    "IsSubstrateContested": true
   },
   {
    "RulebookFieldId": "RoleSchemaViews.TableFieldCount",
    "TargetTable": "RoleSchemaViews",
    "FieldName": "TableFieldCount",
    "FieldType": "lookup",
    "Datatype": "number",
    "Formula": "=INDEX(RulebookTables!{{FieldCount}}, MATCH({{TargetTable}}, RulebookTables!{{RulebookTableId}}, 0))",
    "InventedForQuestion": null,
    "SemanticTypeIri": "urn:effortless:pko-extension#RulebookField",
    "Name": "RoleSchemaViews.TableFieldCount",
    "IsDerived": true,
    "IsWitness": false,
    "DisagreeingSubstrateCount": 1,
    "IsSubstrateContested": true
   },
   {
    "RulebookFieldId": "RoleSchemaViews.IsFullWidth",
    "TargetTable": "RoleSchemaViews",
    "FieldName": "IsFullWidth",
    "FieldType": "calculated",
    "Datatype": "boolean",
    "Formula": "=AND({{ColumnCount}} &gt; 0, {{ColumnCount}} &gt;= {{TableFieldCount}})",
    "InventedForQuestion": null,
    "SemanticTypeIri": "urn:effortless:pko-extension#RulebookField",
    "Name": "RoleSchemaViews.IsFullWidth",
    "IsDerived": true,
    "IsWitness": false,
    "DisagreeingSubstrateCount": 1,
    "IsSubstrateContested": true
   },
   {
    "RulebookFieldId": "RoleSchemaViews.IsDegenerateView",
    "TargetTable": "RoleSchemaViews",
    "FieldName": "IsDegenerateView",
    "FieldType": "calculated",
    "Datatype": "boolean",
    "Formula": "={{ColumnCount}} = 0",
    "InventedForQuestion": null,
    "SemanticTypeIri": "urn:effortless:pko-extension#RulebookField",
    "Name": "RoleSchemaViews.IsDegenerateView",
    "IsDerived": true,
    "IsWitness": false,
    "DisagreeingSubstrateCo</t>
  </si>
  <si>
    <t xml:space="preserve">unt": 1,
    "IsSubstrateContested": true
   },
   {
    "RulebookFieldId": "RoleSchemaViews.SemanticTypeIri",
    "TargetTable": "RoleSchemaViews",
    "FieldName": "SemanticTypeIri",
    "FieldType": "raw",
    "Datatype": "string",
    "Formula": null,
    "InventedForQuestion": null,
    "SemanticTypeIri": "urn:effortless:pko-extension#RulebookField",
    "Name": "RoleSchemaViews.SemanticTypeIri",
    "IsDerived": false,
    "IsWitness": false,
    "DisagreeingSubstrateCount": 0,
    "IsSubstrateContested": false
   },
   {
    "RulebookFieldId": "JwtClaimMappings.JwtClaimMappingId",
    "TargetTable": "JwtClaimMappings",
    "FieldName": "JwtClaimMappingId",
    "FieldType": "raw",
    "Datatype": "string",
    "Formula": null,
    "InventedForQuestion": null,
    "SemanticTypeIri": "urn:effortless:pko-extension#RulebookField",
    "Name": "JwtClaimMappings.JwtClaimMappingId",
    "IsDerived": false,
    "IsWitness": false,
    "DisagreeingSubstrateCount": 0,
    "IsSubstrateContested": false
   },
   {
    "RulebookFieldId": "JwtClaimMappings.Name",
    "TargetTable": "JwtClaimMappings",
    "FieldName": "Name",
    "FieldType": "calculated",
    "Datatype": "string",
    "Formula": "={{ClaimName}} &amp; \" -&gt; \" &amp; {{SqlAccessor}}",
    "InventedForQuestion": null,
    "SemanticTypeIri": "urn:effortless:pko-extension#RulebookField",
    "Name": "JwtClaimMappings.Name",
    "IsDerived": true,
    "IsWitness": false,
    "DisagreeingSubstrateCount": 0,
    "IsSubstrateContested": false
   },
   {
    "RulebookFieldId": "JwtClaimMappings.ClaimName",
    "TargetTable": "JwtClaimMappings",
    "FieldName": "ClaimName",
    "FieldType": "raw",
    "Datatype": "string",
    "Formula": null,
    "InventedForQuestion": null,
    "SemanticTypeIri": "urn:effortless:pko-extension#RulebookField",
    "Name": "JwtClaimMappings.ClaimName",
    "IsDerived": false,
    "IsWitness": false,
    "DisagreeingSubstrateCount": 0,
    "IsSubstrateContested": false
   },
   {
    "RulebookFieldId": "JwtClaimMappings.SqlAccessor",
    "TargetTable": "JwtClaimMappings",
    "FieldName": "SqlAccessor",
    "FieldType": "raw",
    "Datatype": "string",
    "Formula": null,
    "InventedForQuestion": null,
    "SemanticTypeIri": "urn:effortless:pko-extension#RulebookField",
    "Name": "JwtClaimMappings.SqlAccessor",
    "IsDerived": false,
    "IsWitness": false,
    "DisagreeingSubstrateCount": 0,
    "IsSubstrateContested": false
   },
   {
    "RulebookFieldId": "JwtClaimMappings.IsReservedClaim",
    "TargetTable": "JwtClaimMappings",
    "FieldName": "IsReservedClaim",
    "FieldType": "raw",
    "Datatype": "boolean",
    "Formula": null,
    "InventedForQuestion": null,
    "SemanticTypeIri": "urn:effortless:pko-extension#RulebookField",
    "Name": "JwtClaimMappings.IsReservedClaim",
    "IsDerived": false,
    "IsWitness": false,
    "DisagreeingSubstrateCount": 0,
    "IsSubstrateContested": false
   },
   {
    "RulebookFieldId": "JwtClaimMappings.MapsToPrincipal",
    "TargetTable": "JwtClaimMappings",
    "FieldName": "MapsToPrincipal",
    "FieldType": "raw",
    "Datatype": "boolean",
    "Formula": null,
    "InventedForQuestion": null,
    "SemanticTypeIri": "urn:effortless:pko-extension#RulebookField",
    "Name": "JwtClaimMappings.MapsToPrincipal",
    "IsDerived": false,
    "IsWitness": false,
    "DisagreeingSubstrateCount": 0,
    "IsSubstrateContested": false
   },
   {
    "RulebookFieldId": "JwtClaimMappings.Description2",
    "TargetTable": "JwtClaimMappings",
    "FieldName": "Description2",
    "FieldType": "raw",
    "Datatype": "string",
    "Formula": null,
    "InventedForQuestion": null,
    "SemanticTypeIri": "urn:effortless:pko-extension#RulebookField",
    "Name": "JwtClaimMappings.Description2",
    "IsDerived": false,
    "IsWitness": false,
    "DisagreeingSubstrateCount": 0,
    "IsSubstrateContested": false
   },
   {
    "RulebookFieldId": "JwtClaimMappings.UsageCount",
    "TargetTable": "JwtClaimMappings",
    "FieldName": "UsageCount",
    "FieldType": "aggregation",
    "Datatype": "number",
    "Formula": "=COUNTIFS(AccessPolicies!{{RowPredicate}}, {{SqlAccessor}})",
    "InventedForQuestion": null,
    "SemanticTypeIri": "urn:effortless:pko-extension#RulebookField",
    "Name": "JwtClaimMappings.UsageCount",
    "IsDerived": true,
    "IsWitness": false,
    "DisagreeingSubstrateCount": 0,
    "IsSubstrateContested": false
   },
   {
    "RulebookFieldId": "JwtClaimMappings.SemanticTypeIri",
    "TargetTable": "JwtClaimMappings",
    "FieldName": "SemanticTypeIri",
    "FieldType": "raw",
    "Datatype": "string",
    "Formula": null,
    "InventedForQuestion": null,
    "SemanticTypeIri": "urn:effortless:pko-extension#RulebookField",
    "Name": "JwtClaimMappings.SemanticTypeIri",
    "IsDerived": false,
    "IsWitness": false,
    "DisagreeingSubstrateCount": 0,
    "IsSubstrateContested": false
   },
   {
    "RulebookFieldId": "AccessDenialTests.AccessDenialTestId",
    "TargetTable": "AccessDenialTests",
    "FieldName": "AccessDenialTestId",
    "FieldType": "raw",
    "Datatype": "string",
    "Formula": null,
    "InventedForQuestion": null,
    "SemanticTypeIri": "urn:effortless:pko-extension#RulebookField",
    "Name": "AccessDenialTests.AccessDenialTestId",
    "IsDerived": false,
    "IsWitness": false,
    "DisagreeingSubstrateCount": 0,
    "IsSubstrateContested": false
   },
   {
    "RulebookFieldId": "AccessDenialTests.Name",
    "TargetTable": "AccessDenialTests",
    "FieldName": "Name",
    "FieldType": "calculated",
    "Datatype": "string",
    "Formula": "={{Principal}} &amp; \" must not see \" &amp; {{ForbiddenRowId}}",
    "InventedForQuestion": null,
    "SemanticTypeIri": "urn:effortless:pko-extension#RulebookField",
    "Name": "AccessDenialTests.Name",
    "IsDerived": true,
    "IsWitness": false,
    "DisagreeingSubstrateCount": 1,
    "IsSubstrateContested": true
   },
   {
    "RulebookFieldId": "AccessDenialTests.TargetPolicy",
    "TargetTable": "AccessDenialTests",
    "FieldName": "TargetPolicy",
    "FieldType": "relationship",
    "Datatype": "string",
    "Formula": null,
    "InventedForQuestion": null,
    "SemanticTypeIri": "urn:effortless:pko-extension#RulebookField",
    "Name": "AccessDenialTests.TargetPolicy",
    "IsDerived": false,
    "IsWitness": false,
    "DisagreeingSubstrateCount": 0,
    "IsSubstrateContested": false
   },
   {
    "RulebookFieldId": "AccessDenialTests.Principal",
    "TargetTable": "AccessDenialTests",
    "FieldName": "Principal",
    "FieldType": "relationship",
    "Datatype": "string",
    "Formula": null,
    "InventedForQuestion": null,
    "SemanticTypeIri": "urn:effortless:pko-extension#RulebookField",
    "Name": "AccessDenialTests.Principal",
    "IsDerived": false,
    "IsWitness": false,
    "DisagreeingSubstrateCount": 0,
    "IsSubstrateContested": false
   },
   {
    "RulebookFieldId": "AccessDenialTests.TargetTable",
    "TargetTable": "AccessDenialTests",
    "FieldName": "TargetTable",
    "FieldType": "relationship",
    "Datatype": "string",
    "Formula": null,
    "InventedForQuestion": null,
    "SemanticTypeIri": "urn:effortless:pko-extension#RulebookField",
    "Name": "AccessDenialTests.TargetTable",
    "IsDerived": false,
    "IsWitness": false,
    "DisagreeingSubstrateCount": 0,
    "IsSubstrateContested": false
   },
   {
    "RulebookFieldId": "AccessDenialTests.ForbiddenRowId",
    "TargetTable": "AccessDenialTests",
    "FieldName": "ForbiddenRowId",
    "FieldType": "raw",
    "Datatype": "string",
    "Formula": null,
    "InventedForQuestion": null,
    "SemanticTypeIri": "urn:effortless:pko-extension#RulebookField",
    "Name": "AccessDenialTests.ForbiddenRowId",
    "IsDerived": false,
    "IsWitness": false,
    "DisagreeingSubstrateCount": 0,
    "IsSubstrateContested": false
   },
   {
    "RulebookFieldId": "AccessDenialTests.ExpectedVisible",
    "TargetTable": "AccessDenialTests",
    "FieldName": "ExpectedVisible",
    "FieldType": "raw",
    "Datatype": "boolean",
    "Formula": null,
    "InventedForQuestion": null,
    "SemanticTypeIri": "urn:effortless:pko-extension#RulebookField",
    "Name": "AccessDenialTests.ExpectedVisible",
    "IsDerived": false,
    "IsWitness": false,
    "DisagreeingSubstrateCount": 0,
    "IsSubstrateContested": false
   },
   {
    "RulebookFieldId": "AccessDenialTests.ObservedVisible",
    "TargetTable": "AccessDenialTests",
    "FieldName": "ObservedVisible",
    "FieldType": "raw",
    "Datatype": "boolean",
    "Formula": null,
    "InventedForQuestion": null,
    "SemanticTypeIri": "urn:effortless:pko-extension#RulebookField",
    "Name": "AccessDenialTests.ObservedVisible",
    "IsDerived": false,
    "IsWitness": false,
    "DisagreeingSubstrateCount": 0,
    "IsSubstrateContested": false
   },
   {
    "RulebookFieldId": "AccessDenialTests.LastRunAt",
    "TargetTable": "AccessDenialTests",
    "FieldName": "LastRunAt",
    "FieldType": "raw",
    "Datatype": "datetime",
    "Formula": null,
    "InventedForQuestion": null,
    "SemanticTypeIri": "urn:effortless:pko-extension#RulebookField",
    "Name": "AccessDenialTests.LastRunAt",
    "IsDerived": false,
    "IsWitness": false,
    "DisagreeingSubstrateCount": 0,
    "IsSubstrateContested": false
   },
   {
    "RulebookFieldId": "AccessDenialTests.HasRun",
    "TargetTable": "AccessDenialTests",
    "FieldName": "HasRun",
    "FieldType": "calculated",
    "Datatype": "boolean",
    "Formula": "={{LastRunAt}} &lt;&gt; \"\"",
    "InventedForQuestion": null,
    "SemanticTypeIri": "urn:effortless:pko-extension#RulebookField",
    "Name": "AccessDenialTests.HasRun",
    "IsDerived": true,
    "IsWitness": false,
    "DisagreeingSubstrateCount": 0,
    "IsSubstrateContested": false
   },
   {
    "RulebookFieldId": "AccessDenialTests.IsPassing",
    "TargetTable": "AccessDenialTests",
    "FieldName": "IsPassing",
    "FieldType": "calculated",
    "Datatype": "boolean",
    "Formula": "={{ObservedVisible}} = {{ExpectedVisible}}",
    "InventedForQuestion": null,
    "SemanticTypeIri": "urn:effortless:pko-extension#RulebookField",
    "Name": "AccessDenialTests.IsPassing",
    "IsDerived": true,
    "IsWitness": false,
    "DisagreeingSubstrateCount": 0,
    "IsSubstrateContested": false
   },
   {
    "RulebookFieldId": "AccessDenialTests.IsLeak",
    "TargetTable": "AccessDenialTests",
    "FieldName": "IsLeak",
    "FieldType": "calculated",
    "Datatype": "boolean",
    "Formula": "=AND(NOT({{ExpectedVisible}}), {{ObservedVisible}})",
    "InventedForQuestion": null,
    "SemanticTypeIri": "urn:effortless:pko-extension#RulebookField",
    "Name": "AccessDenialTests.IsLeak",
    "IsDerived": true,
    "IsWitness": false,
    "DisagreeingSubstrateCount": 0,
    "IsSubstrateContested": false
   },
   {
    "RulebookFieldId": "AccessDenialTests.IsUnproven",
    "TargetTable": "AccessDenialTests",
    "FieldName": "IsUnproven",
    "FieldType": "calculated",
    "Datatype": "boolean",
    "Formula": "=NOT({{HasRun}})",
    "InventedForQuestion": null,
    "SemanticTypeIri": "urn:effortless:pko-extension#RulebookField",
    "Name": "AccessDenialTests.IsUnproven",
    "IsDerived": true,
    "IsWitness": false,
    "DisagreeingSubstrateCount": 0,
    "IsSubstrateContested": false
   },
   {
    "RulebookFieldId": "AccessDenialTests.Rationale",
    "TargetTable": "AccessDenialTests",
    "FieldName": "Rationale",
    "FieldType": "raw",
    "Datatype": "string",
    "Formula": null,
    "InventedForQuestion": null,
    "SemanticTypeIri": "urn:effortless:pko-extension#RulebookField",
    "Name": "AccessDenialTests.Rationale",
    "IsDerived": false,
    "IsWitness": false,
    "DisagreeingSubstrateCount": 0,
    "IsSubstrateContested": false
   },
   {
    "RulebookFieldId": "AccessDenialTests.IsPositiveControl",
    "TargetTable": "AccessDenialTests",
    "FieldName": "IsPositiveControl",
    "FieldType": "calculated",
    "Datatype": "boolean",
    "Formula": "={{ExpectedVisible}}",
    "InventedForQuestion": null,
    "SemanticTypeIri": "urn:effortless:pko-extension#RulebookField",
    "Name": "AccessDenialTests.IsPositiveControl",
    "IsDerived": true,
    "IsWitness": false,
    "DisagreeingSubstrateCount": 0,
    "IsSubstrateContested": false
   },
   {
    "RulebookFieldId": "AccessDenialTests.ForbiddenTable",
    "TargetTable": "AccessDenialTests",
    "FieldName": "ForbiddenTable",
    "FieldType": "raw",
    "Datatype": "string",
    "Formula": null,
    "InventedForQuestion": null,
    "SemanticTypeIri": "urn:effortless:pko-extension#RulebookField",
    "Name": "AccessDenialTests.ForbiddenTable",
    "IsDerived": false,
    "IsWitness": false,
    "DisagreeingSubstrateCount": 0,
    "IsSubstrateContested": false
   },
   {
    "RulebookFieldId": "AccessDenialTests.ForbiddenColumn",
    "TargetTable": "AccessDenialTests",
    "FieldName": "ForbiddenColumn",
    "FieldType": "raw",
    "Datatype": "string",
    "Formula": null,
    "InventedForQuestion": null,
    "SemanticTypeIri": "urn:effortless:pko-extension#RulebookField",
    "Name": "AccessDenialTests.ForbiddenColumn",
    "IsDerived": false,
    "IsWitness": false,
    "DisagreeingSubstrateCount": 0,
    "IsSubstrateContested": false
   },
   {
    "RulebookFieldId": "AccessDenialTests.SemanticTypeIri",
    "TargetTable": "AccessDenialTests",
    "FieldName": "SemanticTypeIri",
    "FieldType": "raw",
    "Datatype": "string",
    "Formula": null,
    "InventedForQuestion": null,
    "SemanticTypeIri": "urn:effortless:pko-extension#RulebookField",
    "Name": "AccessDenialTests.SemanticTypeIri",
    "IsDerived": false,
    "IsWitness": false,
    "DisagreeingSubstrateCount": 0,
    "IsSubstrateContested": false
   },
   {
    "RulebookFieldId": "AppUsers.AppUserId",
    "TargetTable": "AppUsers",
    "FieldName": "AppUserId",
    "FieldType": "raw",
    "Datatype": "string",
    "Formula": null,
    "InventedForQuestion": null,
    "SemanticTypeIri": "urn:effortless:pko-extension#RulebookField",
    "Name": "AppUsers.AppUserId",
    "IsDerived": false,
    "IsWitness": false,
    "DisagreeingSubstrateCount": 0,
    "IsSubstrateContested": false
   },
   {
    "RulebookFieldId": "AppUsers.Name",
    "TargetTable": "AppUsers",
    "FieldName": "Name",
    "FieldType": "calculated",
    "Datatype": "string",
    "Formula": "={{DisplayName}}",
    "InventedForQuestion": null,
    "SemanticTypeIri": "urn:effortless:pko-extension#RulebookField",
    "Name": "AppUsers.Name",
    "IsDerived": true,
    "IsWitness": false,
    "DisagreeingSubstrateCount": 0,
    "IsSubstrateContested": false
   },
   {
    "RulebookFieldId": "AppUsers.EmailAddress",
    "TargetTable": "AppUsers",
    "FieldName": "EmailAddress",
    "FieldType": "raw",
    "Datatype": "string",
    "Formula": null,
    "InventedForQuestion": null,
    "SemanticTypeIri": "urn:effortless:pko-extension#RulebookField",
    "Name": "AppUsers.EmailAddress",
    "IsDerived": false,
    "IsWitness": false,
    "DisagreeingSubstrateCount": 0,
    "IsSubstrateContested": false
   },
   {
    "RulebookFieldId": "AppUsers.DisplayName",
    "TargetTable": "AppUsers",
    "FieldName": "DisplayName",
    "FieldType": "raw",
    "Datatype": "string",
    "Formula": null,
    "InventedForQuestion": null,
    "SemanticTypeIri": "urn:effortless:pko-extension#RulebookField",
    "Name": "AppUsers.DisplayName",
    "IsDerived": false,
    "IsWitness": false,
    "DisagreeingSubstrateCount": 0,
    "IsSubstrateContested": false
   },
   {
    "RulebookFieldId": "AppUsers.LinkedAgent",
    "TargetTable": "AppUsers",
    "FieldName": "LinkedAgent",
    "FieldType": "relationship",
    "Datatype": "string",
    "Formula": null,
    "InventedForQuestion": null,
    "SemanticTypeIri": "urn:effortless:pko-extension#RulebookField",
    "Name": "AppUsers.LinkedAgent",
    "IsDerived": false,
    "IsWitness": false,
    "DisagreeingSubstrateCount": 0,
    "IsSubstrateContested": false
   },
   {
    "RulebookFieldId": "AppUsers.IsEnabled",
    "TargetTable": "AppUsers",
    "FieldName": "IsEnabled",
    "FieldType": "raw",
    "Datatype": "boolean",
    "Formula": null,
    "InventedForQuestion": null,
    "SemanticTypeIri": "urn:effortless:pko-extension#RulebookField",
    "Name": "AppUsers.IsEnabled",
    "IsDerived": false,
    "IsWitness": false,
    "DisagreeingSubstrateCount": 0,
    "IsSubstrateContested": false
   },
   {
    "RulebookFieldId": "AppUsers.AgentKind",
    "TargetTable": "AppUsers",
    "FieldName": "AgentKind",
    "FieldType": "lookup",
    "Datatype": "string",
    "Formula": "=INDEX(Agents!{{AgentKind}}, MATCH({{LinkedAgent}}, Agents!{{AgentId}}, 0))",
    "InventedForQuestion": null,
    "SemanticTypeIri": "urn:effortless:pko-extension#RulebookField",
    "Name": "AppUsers.AgentKind",
    "IsDerived": true,
    "IsWitness": false,
    "DisagreeingSubstrateCount": 0,
    "IsSubstrateContested": false
   },
   {
    "RulebookFieldId": "AppUsers.Organization",
    "TargetTable": "AppUsers",
    "FieldName": "Organization",
    "FieldType": "lookup",
    "Datatype": "string",
    "Formula": "=INDEX(Agents!{{Organization}}, MATCH({{LinkedAgent}}, Agents!{{AgentId}}, 0))",
    "InventedForQuestion": null,
    "SemanticTypeIri": "urn:effortless:pko-extension#RulebookField",
    "Name": "AppUsers.Organization",
    "IsDerived": true,
    "IsWitness": false,
    "DisagreeingSubstrateCount": 0,
    "IsSubstrateContested": false
   },
   {
    "RulebookFieldId": "AppUsers.AssignmentCount",
    "TargetTable": "AppUsers",
    "FieldName": "AssignmentCount",
    "FieldType": "aggregation",
    "Datatype": "number",
    "Formula": "=COUNTIFS(PrincipalAssignments!{{AppUser}}, {{AppUserId}})",
    "InventedForQuestion": null,
    "SemanticTypeIri": "urn:effortless:pko-extension#RulebookField",
    "Name": "AppUsers.AssignmentCount",
    "IsDerived": true,
    "IsWitness": false,
    "DisagreeingSubstrateCount": 0,
    "IsSubstrateContested": false
   },
   {
    "RulebookFieldId": "AppUsers.HasNoPrincipal",
    "TargetTable": "AppUsers",
    "FieldName": "HasNoPrincipal",
    "FieldType": "calculated",
    "Datatype": "boolean",
    "Formula": "={{AssignmentCount}} = 0",
    "InventedForQuestion": null,
    "SemanticTypeIri": "urn:effortless:pko-extension#RulebookField",
    "Name": "AppUsers.HasNoPrincipal",
    "IsDerived": true,
    "IsWitness": false,
    "DisagreeingSubstrateCount": 0,
    "IsSubstrateContested": false
   },
   {
    "RulebookFieldId": "AppUsers.HoldsMultiplePrincipals",
    "TargetTable": "AppUsers",
    "FieldName": "HoldsMultiplePrincipals",
    "FieldType": "calculated",
    "Datatype": "boolean",
    "Formula": "={{AssignmentCount}} &gt; 1",
    "InventedForQuestion": null,
    "SemanticTypeIri": "urn:effortless:pko-extension#RulebookField",
    "Name": "AppUsers.HoldsMultiplePrincipals",
    "IsDerived": true,
    "IsWitness": false,
    "DisagreeingSubstrateCount": 0,
    "IsSubstrateContested": false
   },
   {
    "RulebookFieldId": "AppUsers.IsNonHumanSignIn",
    "TargetTable": "AppUsers",
    "FieldName": "IsNonHumanSignIn",
    "FieldType": "calculated",
    "Datatype": "boolean",
    "Formula": "=OR({{AgentKind}} = \"AIAgent\", {{AgentKind}} = \"AutomatedPipeline\")",
    "InventedForQuestion": null,
    "SemanticTypeIri": "urn:effortless:pko-extension#RulebookField",
    "Name": "AppUsers.IsNonHumanSignIn",
    "IsDerived": true,
    "IsWitness": false,
    "DisagreeingSubstrateCount": 0,
    "IsSubstrateContested": false
   },
   {
    "RulebookFieldId": "AppUsers.SemanticTypeIri",
    "TargetTable": "AppUsers",
    "FieldName": "SemanticTypeIri",
    "FieldType": "raw",
    "Datatype": "string",
    "Formula": null,
    "InventedForQuestion": null,
    "SemanticTypeIri": "urn:effortless:pko-extension#RulebookField",
    "Name": "AppUsers.SemanticTypeIri",
    "IsDerived": false,
    "IsWitness": false,
    "DisagreeingSubstrateCount": 0,
    "IsSubstrateContested": false
   },
   {
    "RulebookFieldId": "PrincipalAssignments.PrincipalAssignmentId",
    "TargetTable": "PrincipalAssignments",
    "FieldName": "PrincipalAssignmentId",
    "FieldType": "raw",
    "Datatype": "string",
    "Formula": null,
    "InventedForQuestion": null,
    "SemanticTypeIri": "urn:effortless:pko-extension#RulebookField",
    "Name": "PrincipalAssignments.PrincipalAssignmentId",
    "IsDerived": false,
    "IsWitness": false,
    "DisagreeingSubstrateCount": 0,
    "IsSubstrateContested": false
   },
   {
    "RulebookFieldId": "PrincipalAssignments.Name",
    "TargetTable": "PrincipalAssignments",
    "FieldName": "Name",
    "FieldType": "calculated",
    "Datatype": "string",
    "Formula": "={{AppUser}} &amp; \" as \" &amp; {{Principal}}",
    "InventedForQuestion": null,
    "SemanticTypeIri": "urn:effortless:pko-extension#RulebookField",
    "Name": "PrincipalAssignments.Name",
    "IsDerived": true,
    "IsWitness": false,
    "DisagreeingSubstrateCount": 0,
    "IsSubstrateContested": false
   },
   {
    "RulebookFieldId": "PrincipalAssignments.AppUser",
    "TargetTable": "PrincipalAssignments",
    "FieldName": "AppUser",
    "FieldType": "relationship",
    "Datatype": "string",
    "Formula": null,
    "InventedForQuestion": null,
    "SemanticTypeIri": "urn:effortless:pko-extension#RulebookField",
    "Name": "PrincipalAssignments.AppUser",
    "IsDerived": false,
    "IsWitness": false,
    "DisagreeingSubstrateCount": 0,
    "IsSubstrateContested": false
   },
   {
    "RulebookFieldId": "PrincipalAssignments.Principal",
    "TargetTable": "PrincipalAssignments",
    "FieldName": "Principal",
    "FieldType": "relationship",
    "Datatype": "string",
    "Formula": null,
    "InventedForQuestion": null,
    "SemanticTypeIri": "urn:effortless:pko-extension#RulebookField",
    "Name": "PrincipalAssignments.Principal",
    "IsDerived": false,
    "IsWitness": false,
    "DisagreeingSubstrateCount": 0,
    "IsSubstrateContested": false
   },
   {
    "RulebookFieldId": "PrincipalAssignments.IsDefault",
    "TargetTable": "PrincipalAssignments",
    "FieldName": "IsDefault",
    "FieldType": "raw",
    "Datatype": "boolean",
    "Formula": null,
    "InventedForQuestion": null,
    "SemanticTypeIri": "urn:effortless:pko-extension#RulebookField",
    "Name": "PrincipalAssignments.IsDefault",
    "IsDerived": false,
    "IsWitness": false,
    "DisagreeingSubstrateCount": 0,
    "IsSubstrateContested": false
   },
   {
    "RulebookFieldId": "PrincipalAssignments.GrantedRationale",
    "TargetTable": "PrincipalAssignments",
    "FieldName": "GrantedRationale",
    "FieldType": "raw",
    "Datatype": "string",
    "Formula": null,
    "InventedForQuestion": null,
    "SemanticTypeIri": "urn:effortless:pko-extension#RulebookField",
    "Name": "PrincipalAssignments.GrantedRationale",
    "IsDerived": false,
    "IsWitness": false,
    "DisagreeingSubstrateCount": 0,
    "IsSubstrateContested": false
   },
   {
    "RulebookFieldId": "PrincipalAssignments.PrincipalIsAdmin",
    "TargetTable": "PrincipalAssignments",
    "FieldName": "PrincipalIsAdmin",
    "FieldType": "lookup",
    "Datatype": "boolean",
    "Formula": "=INDEX(AccessPrincipals!{{IsAdministrator}}, MATCH({{Principal}}, AccessPrincipals!{{AccessPrincipalId}}, 0))",
    "InventedForQuestion": null,
    "SemanticTypeIri": "urn:effortless:pko-extension#RulebookField",
    "Name": "PrincipalAssignments.PrincipalIsAdmin",
    "IsDerived": true,
    "IsWitness": false,
    "DisagreeingSubstrateCount": 0,
    "IsSubstrateContested": false
   },
   {
    "RulebookFieldId": "PrincipalAssignments.UserOrganization",
    "TargetTable": "PrincipalAssignments",
    "FieldName": "UserOrganization",
    "FieldType": "lookup",
    "Datatype": "string",
    "Formula": "=INDEX(AppUsers!{{Organization}}, MATCH({{AppUser}}, AppUsers!{{AppUserId}}, 0))",
    "InventedForQuestion": null,
    "SemanticTypeIri": "urn:effortless:pko-extension#RulebookField",
    "Name": "PrincipalAssignments.UserOrganization",
    "IsDerived": true,
    "IsWitness": false,
    "DisagreeingSubstrateCount": 0,
    "IsSubstrateContested": false
   },
   {
    "RulebookFieldId": "PrincipalAssignments.PrincipalOrganization",
    "TargetTable": "PrincipalAssignments",
    "FieldName": "PrincipalOrganization",
    "FieldType": "lookup",
    "Datatype": "string",
    "Formula": "=INDEX(AccessPrincipals!{{OrganizationScope}}, MATCH({{Principal}}, AccessPrincipals!{{AccessPrincipalId}}, 0))",
    "InventedForQuestion": null,
    "SemanticTypeIri": "urn:effortless:pko-extension#RulebookField",
    "Name": "PrincipalAssignments.PrincipalOrganization",
    "IsDerived": true,
    "IsWitness": false,
    "DisagreeingSubstrateCount": 0,
    "IsSubstrateContested": false
   },
   {
    "RulebookFieldId": "PrincipalAssignments.IsCrossOrganizationGrant",
    "TargetTable": "PrincipalAssignments",
    "FieldName": "IsCrossOrganizationGrant",
    "FieldType": "calculated",
    "Datatype": "boolean",
    "Formula": "=AND({{UserOrganization}} &lt;&gt; \"\", {{PrincipalOrganization}} &lt;&gt; \"\", {{UserOrganization}} &lt;&gt; {{PrincipalOrganization}})",
    "InventedForQuestion": null,
    "SemanticTypeIri": "urn:effortless:pko-extension#RulebookField",
    "Name": "PrincipalAssignments.IsCrossOrganizationGrant",
    "IsDerived": true,
    "IsWitness": false,
    "DisagreeingSubstrateCount": 0,
    "IsSubstrateContested": false
   },
   {
    "RulebookFieldId": "PrincipalAssignments.SemanticTypeIri",
    "TargetTable": "PrincipalAssignments",
    "FieldName": "SemanticTypeIri",
    "FieldType": "raw",
    "Datatype": "string",
    "Formula": null,
    "InventedForQuestion": null,
    "SemanticTypeIri": "urn:effortless:pko-extension#RulebookField",
    "Name": "PrincipalAssignments.SemanticTypeIri",
    "IsDerived": false,
    "IsWitness": false,
    "DisagreeingSubstrateCount": 0,
    "IsSubstrateContested": false
   },
   {
    "RulebookFieldId": "IssuedTokens.IssuedTokenId",
    "TargetTable": "IssuedTokens",
    "FieldName": "IssuedTokenId",
    "FieldType": "raw",
    "Datatype": "string",
    "Formula": null,
    "InventedForQuestion": null,
    "SemanticTypeIri": "urn:effortless:pko-extension#RulebookField",
    "Name": "IssuedTokens.IssuedTokenId",
    "IsDerived": false,
    "IsWitness": false,
    "DisagreeingSubstrateCount": 0,
    "IsSubstrateContested": false
   },
   {
    "RulebookFieldId": "IssuedTokens.Name",
    "TargetTable": "IssuedTokens",
    "FieldName": "Name",
    "FieldType": "calculated",
    "Datatype": "string",
    "Formula": "={{AppUser}} &amp; \" as \" &amp; {{Principal}} &amp; \" @ \" &amp; {{IssuedAt}}",
    "InventedForQuestion": null,
    "SemanticTypeIri": "urn:effortless:pko-extension#RulebookField",
    "Name": "IssuedTokens.Name",
    "IsDerived": true,
    "IsWitness": false,
    "DisagreeingSubstrateCount": 0,
    "IsSubstrateContested": false
   },
   {
    "RulebookFieldId": "IssuedTokens.AppUser",
    "TargetTable": "IssuedTokens",
    "FieldName": "AppUser",
    "FieldType": "relationship",
    "Datatype": "string",
    "Formula": null,
    "InventedForQuestion": null,
    "SemanticTypeIri": "urn:effortless:pko-extension#RulebookField",
    "Name": "IssuedTokens.AppUser",
    "IsDerived": false,
    "IsWitness": false,
    "DisagreeingSubstrateCount": 0,
    "IsSubstrateContested": false
   },
   {
    "RulebookFieldId": "IssuedTokens.Principal",
    "TargetTable": "IssuedTokens",
    "FieldName": "Principal",
    "FieldType": "relationship",
    "Datatype": "string",
    "Formula": null,
    "InventedForQuestion": null,
    "SemanticTypeIri": "urn:effortless:pko-extension#RulebookField",
    "Name": "IssuedTokens.Principal",
    "IsDerived": false,
    "IsWitness": false,
    "DisagreeingSubstrateCount": 0,
    "IsSubstrateContested": false
   },
   {
    "RulebookFieldId": "IssuedTokens.IssuedAt",
    "TargetTable": "IssuedTokens",
    "FieldName": "IssuedAt",
    "FieldType": "raw",
    "Datatype": "datetime",
    "Formula": null,
    "InventedForQuestion": null,
    "SemanticTypeIri": "urn:effortless:pko-extension#RulebookField",
    "Name": "IssuedTokens.IssuedAt",
    "IsDerived": false,
    "IsWitness": false,
    "DisagreeingSubstrateCount": 0,
    "IsSubstrateContested": false
   },
   {
    "RulebookFieldId": "IssuedTokens.ExpiresAt",
    "TargetTable": "IssuedTokens",
    "FieldName": "ExpiresAt",
    "FieldType": "raw",
    "Datatype": "datetime",
    "Formula": null,
    "InventedForQuestion": null,
    "SemanticTypeIri": "urn:effortless:pko-extension#RulebookField",
    "Name": "IssuedTokens.ExpiresAt",
    "IsDerived": false,
    "IsWitness": false,
    "DisagreeingSubstrateCount": 0,
    "IsSubstrateContested": false
   },
   {
    "RulebookFieldId": "IssuedTokens.Issuer",
    "TargetTable": "IssuedTokens",
    "FieldName": "Issuer",
    "FieldType": "raw",
    "Datatype": "string",
    "Formula": null,
    "InventedForQuestion": null,
    "SemanticTypeIri": "urn:effortless:pko-extension#RulebookField",
    "Name": "IssuedTokens.Issuer",
    "IsDerived": false,
    "IsWitness": false,
    "DisagreeingSubstrateCount": 0,
    "IsSubstrateContested": false
   },
   {
    "RulebookFieldId": "IssuedTokens.SubjectClaim",
    "TargetTable": "IssuedTokens",
    "FieldName": "SubjectClaim",
    "FieldType": "raw",
    "Datatype": "string",
    "Formula": null,
    "InventedForQuestion": null,
    "SemanticTypeIri": "urn:effortless:pko-extension#RulebookField",
    "Name": "IssuedTokens.SubjectClaim",
    "IsDerived": false,
    "IsWitness": false,
    "DisagreeingSubstrateCount": 0,
    "IsSubstrateContested": false
   },
   {
    "RulebookFieldId": "IssuedTokens.ClaimsSnapshot",
    "TargetTable": "IssuedTokens",
    "FieldName": "ClaimsSnapshot",
    "FieldType": "raw",
    "Datatype": "string",
    "Formula": null,
    "InventedForQuestion": null,
    "SemanticTypeIri": "urn:effortless:pko-extension#RulebookField",
    "Name": "IssuedTokens.ClaimsSnapshot",
    "IsDerived": false,
    "IsWitness": false,
    "DisagreeingSubstrateCount": 0,
    "IsSubstrateContested": false
   },
   {
    "RulebookFieldId": "IssuedTokens.IsDevMinted",
    "TargetTable": "IssuedTokens",
    "FieldName": "IsDevMinted",
    "FieldType": "calculated",
    "Datatype": "boolean",
    "Formula": "={{Issuer}} = \"dev-mint\"",
    "InventedForQuestion": null,
    "SemanticTypeIri": "urn:effortless:pko-extension#RulebookField",
    "Name": "IssuedTokens.IsDevMinted",
    "IsDerived": true,
    "IsWitness": false,
    "DisagreeingSubstrateCount": 0,
    "IsSubstrateContested": false
   },
   {
    "RulebookFieldId": "IssuedTokens.SemanticTypeIri",
    "TargetTable": "IssuedTokens",
    "FieldName": "SemanticTypeIri",
    "FieldType": "raw",
    "Datatype": "string",
    "Formula": null,
    "InventedForQuestion": null,
    "SemanticTypeIri": "urn:effortless:pko-extension#RulebookField",
    "Name": "IssuedTokens.SemanticTypeIri",
    "IsDerived": false,
    "IsWitness": false,
    "DisagreeingSubstrateCount": 0,
    "IsSubstrateContested": false
   },
   {
    "RulebookFieldId": "ProcessMiningRuns.ProcessMiningRunId",
    "TargetTable": "ProcessMiningRuns",
    "FieldName": "ProcessMiningRunId",
    "FieldType": "raw",
    "Datatype": "string",
    "Formula": null,
    "InventedForQuestion": "q-steward-mining-drift",
    "SemanticTypeIri": "urn:effortless:pko-extension#RulebookField",
    "Name": "ProcessMiningRuns.ProcessMiningRunId",
    "IsDerived": false,
    "IsWitness": true,
    "DisagreeingSubstrateCount": 0,
    "IsSubstrateContested": false
   },
   {
    "RulebookFieldId": "ProcessMiningRuns.Name",
    "TargetTable": "ProcessMiningRuns",
    "FieldName": "Name",
    "FieldType": "calculated",
    "Datatype": "string",
    "Formula": "={{EventLogSource}} &amp; \" / \" &amp; {{MinedAt}}",
    "InventedForQuestion": "q-steward-mining-drift",
    "SemanticTypeIri": "urn:effortless:pko-extension#RulebookField",
    "Name": "ProcessMiningRuns.Name",
    "IsDerived": true,
    "IsWitness": true,
    "DisagreeingSubstrateCount": 6,
    "IsSubstrateContested": true
   },
   {
    "RulebookFieldId": "ProcessMiningRuns.ProcedureVersion",
    "TargetTable": "ProcessMiningRuns",
    "FieldName": "ProcedureVersion",
    "FieldType": "relationship",
    "Datatype": "string",
    "Formula": null,
    "InventedForQuestion": "q-steward-mining-drift",
    "SemanticTypeIri": "urn:effortless:pko-extension#RulebookField",
    "Name": "ProcessMiningRuns.ProcedureVersion",
    "IsDerived": false,
    "IsWitness": true,
    "DisagreeingSubstrateCount": 0,
    "IsSubstrateContested": false
   },
   {
    "RulebookFieldId": "ProcessMiningRuns.EventLogSource",
    "TargetTable": "ProcessMiningRuns",
    "FieldName": "EventLogSo</t>
  </si>
  <si>
    <t xml:space="preserve">urce",
    "FieldType": "raw",
    "Datatype": "string",
    "Formula": null,
    "InventedForQuestion": "q-steward-mining-drift",
    "SemanticTypeIri": "urn:effortless:pko-extension#RulebookField",
    "Name": "ProcessMiningRuns.EventLogSource",
    "IsDerived": false,
    "IsWitness": true,
    "DisagreeingSubstrateCount": 0,
    "IsSubstrateContested": false
   },
   {
    "RulebookFieldId": "ProcessMiningRuns.MinedAt",
    "TargetTable": "ProcessMiningRuns",
    "FieldName": "MinedAt",
    "FieldType": "raw",
    "Datatype": "datetime",
    "Formula": null,
    "InventedForQuestion": "q-steward-mining-drift",
    "SemanticTypeIri": "urn:effortless:pko-extension#RulebookField",
    "Name": "ProcessMiningRuns.MinedAt",
    "IsDerived": false,
    "IsWitness": true,
    "DisagreeingSubstrateCount": 0,
    "IsSubstrateContested": false
   },
   {
    "RulebookFieldId": "ProcessMiningRuns.DiscoveredVariantCount",
    "TargetTable": "ProcessMiningRuns",
    "FieldName": "DiscoveredVariantCount",
    "FieldType": "raw",
    "Datatype": "integer",
    "Formula": null,
    "InventedForQuestion": "q-steward-mining-drift",
    "SemanticTypeIri": "urn:effortless:pko-extension#RulebookField",
    "Name": "ProcessMiningRuns.DiscoveredVariantCount",
    "IsDerived": false,
    "IsWitness": true,
    "DisagreeingSubstrateCount": 0,
    "IsSubstrateContested": false
   },
   {
    "RulebookFieldId": "ProcessMiningRuns.ConformingVariantCount",
    "TargetTable": "ProcessMiningRuns",
    "FieldName": "ConformingVariantCount",
    "FieldType": "raw",
    "Datatype": "integer",
    "Formula": null,
    "InventedForQuestion": "q-steward-mining-drift",
    "SemanticTypeIri": "urn:effortless:pko-extension#RulebookField",
    "Name": "ProcessMiningRuns.ConformingVariantCount",
    "IsDerived": false,
    "IsWitness": true,
    "DisagreeingSubstrateCount": 0,
    "IsSubstrateContested": false
   },
   {
    "RulebookFieldId": "ProcessMiningRuns.DeviationDescription",
    "TargetTable": "ProcessMiningRuns",
    "FieldName": "DeviationDescription",
    "FieldType": "raw",
    "Datatype": "string",
    "Formula": null,
    "InventedForQuestion": "q-steward-mining-drift",
    "SemanticTypeIri": "urn:effortless:pko-extension#RulebookField",
    "Name": "ProcessMiningRuns.DeviationDescription",
    "IsDerived": false,
    "IsWitness": true,
    "DisagreeingSubstrateCount": 0,
    "IsSubstrateContested": false
   },
   {
    "RulebookFieldId": "ProcessMiningRuns.EvaluationContext",
    "TargetTable": "ProcessMiningRuns",
    "FieldName": "EvaluationContext",
    "FieldType": "relationship",
    "Datatype": "string",
    "Formula": null,
    "InventedForQuestion": "q-steward-mining-drift",
    "SemanticTypeIri": "urn:effortless:pko-extension#RulebookField",
    "Name": "ProcessMiningRuns.EvaluationContext",
    "IsDerived": false,
    "IsWitness": true,
    "DisagreeingSubstrateCount": 0,
    "IsSubstrateContested": false
   },
   {
    "RulebookFieldId": "ProcessMiningRuns.AsOfInstant",
    "TargetTable": "ProcessMiningRuns",
    "FieldName": "AsOfInstant",
    "FieldType": "lookup",
    "Datatype": "datetime",
    "Formula": "=INDEX(EvaluationContexts!{{AsOfInstant}}, MATCH({{EvaluationContext}}, EvaluationContexts!{{EvaluationContextId}}, 0))",
    "InventedForQuestion": "q-steward-mining-drift",
    "SemanticTypeIri": "urn:effortless:pko-extension#RulebookField",
    "Name": "ProcessMiningRuns.AsOfInstant",
    "IsDerived": true,
    "IsWitness": true,
    "DisagreeingSubstrateCount": 1,
    "IsSubstrateContested": true
   },
   {
    "RulebookFieldId": "ProcessMiningRuns.ConformanceRate",
    "TargetTable": "ProcessMiningRuns",
    "FieldName": "ConformanceRate",
    "FieldType": "calculated",
    "Datatype": "number",
    "Formula": "=IF({{DiscoveredVariantCount}} = 0, 0, {{ConformingVariantCount}} / {{DiscoveredVariantCount}})",
    "InventedForQuestion": "q-steward-mining-drift",
    "SemanticTypeIri": "urn:effortless:pko-extension#RulebookField",
    "Name": "ProcessMiningRuns.ConformanceRate",
    "IsDerived": true,
    "IsWitness": true,
    "DisagreeingSubstrateCount": 0,
    "IsSubstrateContested": false
   },
   {
    "RulebookFieldId": "ProcessMiningRuns.IsConformant",
    "TargetTable": "ProcessMiningRuns",
    "FieldName": "IsConformant",
    "FieldType": "calculated",
    "Datatype": "boolean",
    "Formula": "={{ConformanceRate}} &gt;= 0.8",
    "InventedForQuestion": "q-steward-mining-drift",
    "SemanticTypeIri": "urn:effortless:pko-extension#RulebookField",
    "Name": "ProcessMiningRuns.IsConformant",
    "IsDerived": true,
    "IsWitness": true,
    "DisagreeingSubstrateCount": 0,
    "IsSubstrateContested": false
   },
   {
    "RulebookFieldId": "ProcessMiningRuns.HasMajorDriftFromDocumentation",
    "TargetTable": "ProcessMiningRuns",
    "FieldName": "HasMajorDriftFromDocumentation",
    "FieldType": "calculated",
    "Datatype": "boolean",
    "Formula": "={{ConformanceRate}} &lt; 0.5",
    "InventedForQuestion": "q-steward-mining-drift",
    "SemanticTypeIri": "urn:effortless:pko-extension#RulebookField",
    "Name": "ProcessMiningRuns.HasMajorDriftFromDocumentation",
    "IsDerived": true,
    "IsWitness": true,
    "DisagreeingSubstrateCount": 0,
    "IsSubstrateContested": false
   },
   {
    "RulebookFieldId": "ProcessMiningRuns.DaysSinceMined",
    "TargetTable": "ProcessMiningRuns",
    "FieldName": "DaysSinceMined",
    "FieldType": "calculated",
    "Datatype": "integer",
    "Formula": "=DATETIME_DIFF({{AsOfInstant}}, {{MinedAt}}, \"days\")",
    "InventedForQuestion": "q-steward-mining-drift",
    "SemanticTypeIri": "urn:effortless:pko-extension#RulebookField",
    "Name": "ProcessMiningRuns.DaysSinceMined",
    "IsDerived": true,
    "IsWitness": true,
    "DisagreeingSubstrateCount": 0,
    "IsSubstrateContested": false
   },
   {
    "RulebookFieldId": "ProcessMiningRuns.IsStaleMiningEvidence",
    "TargetTable": "ProcessMiningRuns",
    "FieldName": "IsStaleMiningEvidence",
    "FieldType": "calculated",
    "Datatype": "boolean",
    "Formula": "={{DaysSinceMined}} &gt; 180",
    "InventedForQuestion": "q-steward-mining-drift",
    "SemanticTypeIri": "urn:effortless:pko-extension#RulebookField",
    "Name": "ProcessMiningRuns.IsStaleMiningEvidence",
    "IsDerived": true,
    "IsWitness": true,
    "DisagreeingSubstrateCount": 0,
    "IsSubstrateContested": false
   },
   {
    "RulebookFieldId": "ProcessMiningRuns.ProcedureVersionIsLive",
    "TargetTable": "ProcessMiningRuns",
    "FieldName": "ProcedureVersionIsLive",
    "FieldType": "lookup",
    "Datatype": "boolean",
    "Formula": "=INDEX(ProcedureVersions!{{IsLive}}, MATCH({{ProcedureVersion}}, ProcedureVersions!{{ProcedureVersionId}}, 0))",
    "InventedForQuestion": "q-steward-mining-drift",
    "SemanticTypeIri": "urn:effortless:pko-extension#RulebookField",
    "Name": "ProcessMiningRuns.ProcedureVersionIsLive",
    "IsDerived": true,
    "IsWitness": true,
    "DisagreeingSubstrateCount": 0,
    "IsSubstrateContested": false
   },
   {
    "RulebookFieldId": "ProcessMiningRuns.IsDriftOnLiveVersion",
    "TargetTable": "ProcessMiningRuns",
    "FieldName": "IsDriftOnLiveVersion",
    "FieldType": "calculated",
    "Datatype": "boolean",
    "Formula": "=AND({{HasMajorDriftFromDocumentation}}, {{ProcedureVersionIsLive}})",
    "InventedForQuestion": "q-steward-mining-drift",
    "SemanticTypeIri": "urn:effortless:pko-extension#RulebookField",
    "Name": "ProcessMiningRuns.IsDriftOnLiveVersion",
    "IsDerived": true,
    "IsWitness": true,
    "DisagreeingSubstrateCount": 0,
    "IsSubstrateContested": false
   },
   {
    "RulebookFieldId": "ProcessMiningRuns.DriftedMiningRunKey",
    "TargetTable": "ProcessMiningRuns",
    "FieldName": "DriftedMiningRunKey",
    "FieldType": "calculated",
    "Datatype": "string",
    "Formula": "=IF({{IsDriftOnLiveVersion}}, {{ProcedureVersion}}, \"\")",
    "InventedForQuestion": "q-steward-mining-drift",
    "SemanticTypeIri": "urn:effortless:pko-extension#RulebookField",
    "Name": "ProcessMiningRuns.DriftedMiningRunKey",
    "IsDerived": true,
    "IsWitness": true,
    "DisagreeingSubstrateCount": 0,
    "IsSubstrateContested": false
   },
   {
    "RulebookFieldId": "ProcessMiningRuns.SemanticTypeIri",
    "TargetTable": "ProcessMiningRuns",
    "FieldName": "SemanticTypeIri",
    "FieldType": "raw",
    "Datatype": "string",
    "Formula": null,
    "InventedForQuestion": "q-steward-mining-drift",
    "SemanticTypeIri": "urn:effortless:pko-extension#RulebookField",
    "Name": "ProcessMiningRuns.SemanticTypeIri",
    "IsDerived": false,
    "IsWitness": true,
    "DisagreeingSubstrateCount": 0,
    "IsSubstrateContested": false
   },
   {
    "RulebookFieldId": "Vocabularies.VocabularyId",
    "TargetTable": "Vocabularies",
    "FieldName": "VocabularyId",
    "FieldType": "raw",
    "Datatype": "string",
    "Formula": null,
    "InventedForQuestion": "q-authority-controlled-vocabulary",
    "SemanticTypeIri": "urn:effortless:pko-extension#RulebookField",
    "Name": "Vocabularies.VocabularyId",
    "IsDerived": false,
    "IsWitness": true,
    "DisagreeingSubstrateCount": 0,
    "IsSubstrateContested": false
   },
   {
    "RulebookFieldId": "Vocabularies.Name",
    "TargetTable": "Vocabularies",
    "FieldName": "Name",
    "FieldType": "calculated",
    "Datatype": "string",
    "Formula": "={{Title}}",
    "InventedForQuestion": "q-authority-controlled-vocabulary",
    "SemanticTypeIri": "urn:effortless:pko-extension#RulebookField",
    "Name": "Vocabularies.Name",
    "IsDerived": true,
    "IsWitness": true,
    "DisagreeingSubstrateCount": 0,
    "IsSubstrateContested": false
   },
   {
    "RulebookFieldId": "Vocabularies.Title",
    "TargetTable": "Vocabularies",
    "FieldName": "Title",
    "FieldType": "raw",
    "Datatype": "string",
    "Formula": null,
    "InventedForQuestion": "q-authority-controlled-vocabulary",
    "SemanticTypeIri": "urn:effortless:pko-extension#RulebookField",
    "Name": "Vocabularies.Title",
    "IsDerived": false,
    "IsWitness": true,
    "DisagreeingSubstrateCount": 0,
    "IsSubstrateContested": false
   },
   {
    "RulebookFieldId": "Vocabularies.SchemeUri",
    "TargetTable": "Vocabularies",
    "FieldName": "SchemeUri",
    "FieldType": "raw",
    "Datatype": "string",
    "Formula": null,
    "InventedForQuestion": "q-authority-controlled-vocabulary",
    "SemanticTypeIri": "urn:effortless:pko-extension#RulebookField",
    "Name": "Vocabularies.SchemeUri",
    "IsDerived": false,
    "IsWitness": true,
    "DisagreeingSubstrateCount": 0,
    "IsSubstrateContested": false
   },
   {
    "RulebookFieldId": "Vocabularies.GoverningRole",
    "TargetTable": "Vocabularies",
    "FieldName": "GoverningRole",
    "FieldType": "relationship",
    "Datatype": "string",
    "Formula": null,
    "InventedForQuestion": "q-authority-controlled-vocabulary",
    "SemanticTypeIri": "urn:effortless:pko-extension#RulebookField",
    "Name": "Vocabularies.GoverningRole",
    "IsDerived": false,
    "IsWitness": true,
    "DisagreeingSubstrateCount": 0,
    "IsSubstrateContested": false
   },
   {
    "RulebookFieldId": "Vocabularies.TermCount",
    "TargetTable": "Vocabularies",
    "FieldName": "TermCount",
    "FieldType": "aggregation",
    "Datatype": "number",
    "Formula": "=COUNTIFS(VocabularyTerms!{{Vocabulary}}, {{VocabularyId}})",
    "InventedForQuestion": "q-authority-controlled-vocabulary",
    "SemanticTypeIri": "urn:effortless:pko-extension#RulebookField",
    "Name": "Vocabularies.TermCount",
    "IsDerived": true,
    "IsWitness": true,
    "DisagreeingSubstrateCount": 0,
    "IsSubstrateContested": false
   },
   {
    "RulebookFieldId": "Vocabularies.OrphanTermCount",
    "TargetTable": "Vocabularies",
    "FieldName": "OrphanTermCount",
    "FieldType": "aggregation",
    "Datatype": "number",
    "Formula": "=COUNTIFS(VocabularyTerms!{{OrphanTermVocabularyKey}}, {{VocabularyId}})",
    "InventedForQuestion": "q-authority-controlled-vocabulary",
    "SemanticTypeIri": "urn:effortless:pko-extension#RulebookField",
    "Name": "Vocabularies.OrphanTermCount",
    "IsDerived": true,
    "IsWitness": true,
    "DisagreeingSubstrateCount": 0,
    "IsSubstrateContested": false
   },
   {
    "RulebookFieldId": "Vocabularies.HasOrphanTerms",
    "TargetTable": "Vocabularies",
    "FieldName": "HasOrphanTerms",
    "FieldType": "calculated",
    "Datatype": "boolean",
    "Formula": "={{OrphanTermCount}} &gt; 0",
    "InventedForQuestion": "q-authority-controlled-vocabulary",
    "SemanticTypeIri": "urn:effortless:pko-extension#RulebookField",
    "Name": "Vocabularies.HasOrphanTerms",
    "IsDerived": true,
    "IsWitness": true,
    "DisagreeingSubstrateCount": 0,
    "IsSubstrateContested": false
   },
   {
    "RulebookFieldId": "Vocabularies.SemanticTypeIri",
    "TargetTable": "Vocabularies",
    "FieldName": "SemanticTypeIri",
    "FieldType": "raw",
    "Datatype": "string",
    "Formula": null,
    "InventedForQuestion": "q-authority-controlled-vocabulary",
    "SemanticTypeIri": "urn:effortless:pko-extension#RulebookField",
    "Name": "Vocabularies.SemanticTypeIri",
    "IsDerived": false,
    "IsWitness": true,
    "DisagreeingSubstrateCount": 0,
    "IsSubstrateContested": false
   },
   {
    "RulebookFieldId": "VocabularyTerms.VocabularyTermId",
    "TargetTable": "VocabularyTerms",
    "FieldName": "VocabularyTermId",
    "FieldType": "raw",
    "Datatype": "string",
    "Formula": null,
    "InventedForQuestion": "q-authority-controlled-vocabulary",
    "SemanticTypeIri": "urn:effortless:pko-extension#RulebookField",
    "Name": "VocabularyTerms.VocabularyTermId",
    "IsDerived": false,
    "IsWitness": true,
    "DisagreeingSubstrateCount": 0,
    "IsSubstrateContested": false
   },
   {
    "RulebookFieldId": "VocabularyTerms.Name",
    "TargetTable": "VocabularyTerms",
    "FieldName": "Name",
    "FieldType": "calculated",
    "Datatype": "string",
    "Formula": "={{PrefLabel}}",
    "InventedForQuestion": "q-authority-controlled-vocabulary",
    "SemanticTypeIri": "urn:effortless:pko-extension#RulebookField",
    "Name": "VocabularyTerms.Name",
    "IsDerived": true,
    "IsWitness": true,
    "DisagreeingSubstrateCount": 0,
    "IsSubstrateContested": false
   },
   {
    "RulebookFieldId": "VocabularyTerms.Vocabulary",
    "TargetTable": "VocabularyTerms",
    "FieldName": "Vocabulary",
    "FieldType": "relationship",
    "Datatype": "string",
    "Formula": null,
    "InventedForQuestion": "q-authority-controlled-vocabulary",
    "SemanticTypeIri": "urn:effortless:pko-extension#RulebookField",
    "Name": "VocabularyTerms.Vocabulary",
    "IsDerived": false,
    "IsWitness": true,
    "DisagreeingSubstrateCount": 0,
    "IsSubstrateContested": false
   },
   {
    "RulebookFieldId": "VocabularyTerms.PrefLabel",
    "TargetTable": "VocabularyTerms",
    "FieldName": "PrefLabel",
    "FieldType": "raw",
    "Datatype": "string",
    "Formula": null,
    "InventedForQuestion": "q-authority-controlled-vocabulary",
    "SemanticTypeIri": "urn:effortless:pko-extension#RulebookField",
    "Name": "VocabularyTerms.PrefLabel",
    "IsDerived": false,
    "IsWitness": true,
    "DisagreeingSubstrateCount": 0,
    "IsSubstrateContested": false
   },
   {
    "RulebookFieldId": "VocabularyTerms.AltLabels",
    "TargetTable": "VocabularyTerms",
    "FieldName": "AltLabels",
    "FieldType": "raw",
    "Datatype": "string",
    "Formula": null,
    "InventedForQuestion": "q-authority-controlled-vocabulary",
    "SemanticTypeIri": "urn:effortless:pko-extension#RulebookField",
    "Name": "VocabularyTerms.AltLabels",
    "IsDerived": false,
    "IsWitness": true,
    "DisagreeingSubstrateCount": 0,
    "IsSubstrateContested": false
   },
   {
    "RulebookFieldId": "VocabularyTerms.Definition",
    "TargetTable": "VocabularyTerms",
    "FieldName": "Definition",
    "FieldType": "raw",
    "Datatype": "string",
    "Formula": null,
    "InventedForQuestion": "q-authority-controlled-vocabulary",
    "SemanticTypeIri": "urn:effortless:pko-extension#RulebookField",
    "Name": "VocabularyTerms.Definition",
    "IsDerived": false,
    "IsWitness": true,
    "DisagreeingSubstrateCount": 0,
    "IsSubstrateContested": false
   },
   {
    "RulebookFieldId": "VocabularyTerms.UsageCount",
    "TargetTable": "VocabularyTerms",
    "FieldName": "UsageCount",
    "FieldType": "aggregation",
    "Datatype": "number",
    "Formula": "=COUNTIFS(Requirements!{{ControlledTerm}}, {{VocabularyTermId}})",
    "InventedForQuestion": "q-authority-controlled-vocabulary",
    "SemanticTypeIri": "urn:effortless:pko-extension#RulebookField",
    "Name": "VocabularyTerms.UsageCount",
    "IsDerived": true,
    "IsWitness": true,
    "DisagreeingSubstrateCount": 0,
    "IsSubstrateContested": false
   },
   {
    "RulebookFieldId": "VocabularyTerms.IsOrphanTerm",
    "TargetTable": "VocabularyTerms",
    "FieldName": "IsOrphanTerm",
    "FieldType": "calculated",
    "Datatype": "boolean",
    "Formula": "={{UsageCount}} = 0",
    "InventedForQuestion": "q-authority-controlled-vocabulary",
    "SemanticTypeIri": "urn:effortless:pko-extension#RulebookField",
    "Name": "VocabularyTerms.IsOrphanTerm",
    "IsDerived": true,
    "IsWitness": true,
    "DisagreeingSubstrateCount": 0,
    "IsSubstrateContested": false
   },
   {
    "RulebookFieldId": "VocabularyTerms.IsWidelyAdoptedTerm",
    "TargetTable": "VocabularyTerms",
    "FieldName": "IsWidelyAdoptedTerm",
    "FieldType": "calculated",
    "Datatype": "boolean",
    "Formula": "={{UsageCount}} &gt;= 2",
    "InventedForQuestion": "q-authority-controlled-vocabulary",
    "SemanticTypeIri": "urn:effortless:pko-extension#RulebookField",
    "Name": "VocabularyTerms.IsWidelyAdoptedTerm",
    "IsDerived": true,
    "IsWitness": true,
    "DisagreeingSubstrateCount": 0,
    "IsSubstrateContested": false
   },
   {
    "RulebookFieldId": "VocabularyTerms.OrphanTermVocabularyKey",
    "TargetTable": "VocabularyTerms",
    "FieldName": "OrphanTermVocabularyKey",
    "FieldType": "calculated",
    "Datatype": "string",
    "Formula": "=IF({{IsOrphanTerm}}, {{Vocabulary}}, \"\")",
    "InventedForQuestion": "q-authority-controlled-vocabulary",
    "SemanticTypeIri": "urn:effortless:pko-extension#RulebookField",
    "Name": "VocabularyTerms.OrphanTermVocabularyKey",
    "IsDerived": true,
    "IsWitness": true,
    "DisagreeingSubstrateCount": 0,
    "IsSubstrateContested": false
   },
   {
    "RulebookFieldId": "VocabularyTerms.SemanticTypeIri",
    "TargetTable": "VocabularyTerms",
    "FieldName": "SemanticTypeIri",
    "FieldType": "raw",
    "Datatype": "string",
    "Formula": null,
    "InventedForQuestion": "q-authority-controlled-vocabulary",
    "SemanticTypeIri": "urn:effortless:pko-extension#RulebookField",
    "Name": "VocabularyTerms.SemanticTypeIri",
    "IsDerived": false,
    "IsWitness": true,
    "DisagreeingSubstrateCount": 0,
    "IsSubstrateContested": false
   },
   {
    "RulebookFieldId": "KnowledgeBrokerLinks.KnowledgeBrokerLinkId",
    "TargetTable": "KnowledgeBrokerLinks",
    "FieldName": "KnowledgeBrokerLinkId",
    "FieldType": "raw",
    "Datatype": "string",
    "Formula": null,
    "InventedForQuestion": "q-authority-knowledge-broker",
    "SemanticTypeIri": "urn:effortless:pko-extension#RulebookField",
    "Name": "KnowledgeBrokerLinks.KnowledgeBrokerLinkId",
    "IsDerived": false,
    "IsWitness": true,
    "DisagreeingSubstrateCount": 0,
    "IsSubstrateContested": false
   },
   {
    "RulebookFieldId": "KnowledgeBrokerLinks.Name",
    "TargetTable": "KnowledgeBrokerLinks",
    "FieldName": "Name",
    "FieldType": "calculated",
    "Datatype": "string",
    "Formula": "={{Seeker}} &amp; \" -&gt; \" &amp; {{Broker}}",
    "InventedForQuestion": "q-authority-knowledge-broker",
    "SemanticTypeIri": "urn:effortless:pko-extension#RulebookField",
    "Name": "KnowledgeBrokerLinks.Name",
    "IsDerived": true,
    "IsWitness": true,
    "DisagreeingSubstrateCount": 0,
    "IsSubstrateContested": false
   },
   {
    "RulebookFieldId": "KnowledgeBrokerLinks.Seeker",
    "TargetTable": "KnowledgeBrokerLinks",
    "FieldName": "Seeker",
    "FieldType": "relationship",
    "Datatype": "string",
    "Formula": null,
    "InventedForQuestion": "q-authority-knowledge-broker",
    "SemanticTypeIri": "urn:effortless:pko-extension#RulebookField",
    "Name": "KnowledgeBrokerLinks.Seeker",
    "IsDerived": false,
    "IsWitness": true,
    "DisagreeingSubstrateCount": 0,
    "IsSubstrateContested": false
   },
   {
    "RulebookFieldId": "KnowledgeBrokerLinks.Broker",
    "TargetTable": "KnowledgeBrokerLinks",
    "FieldName": "Broker",
    "FieldType": "relationship",
    "Datatype": "string",
    "Formula": null,
    "InventedForQuestion": "q-authority-knowledge-broker",
    "SemanticTypeIri": "urn:effortless:pko-extension#RulebookField",
    "Name": "KnowledgeBrokerLinks.Broker",
    "IsDerived": false,
    "IsWitness": true,
    "DisagreeingSubstrateCount": 0,
    "IsSubstrateContested": false
   },
   {
    "RulebookFieldId": "KnowledgeBrokerLinks.Topic",
    "TargetTable": "KnowledgeBrokerLinks",
    "FieldName": "Topic",
    "FieldType": "relationship",
    "Datatype": "string",
    "Formula": null,
    "InventedForQuestion": "q-authority-knowledge-broker",
    "SemanticTypeIri": "urn:effortless:pko-extension#RulebookField",
    "Name": "KnowledgeBrokerLinks.Topic",
    "IsDerived": false,
    "IsWitness": true,
    "DisagreeingSubstrateCount": 0,
    "IsSubstrateContested": false
   },
   {
    "RulebookFieldId": "KnowledgeBrokerLinks.Frequency",
    "TargetTable": "KnowledgeBrokerLinks",
    "FieldName": "Frequency",
    "FieldType": "raw",
    "Datatype": "string",
    "Formula": null,
    "InventedForQuestion": "q-authority-knowledge-broker",
    "SemanticTypeIri": "urn:effortless:pko-extension#RulebookField",
    "Name": "KnowledgeBrokerLinks.Frequency",
    "IsDerived": false,
    "IsWitness": true,
    "DisagreeingSubstrateCount": 0,
    "IsSubstrateContested": false
   },
   {
    "RulebookFieldId": "KnowledgeBrokerLinks.LastConsultedAt",
    "TargetTable": "KnowledgeBrokerLinks",
    "FieldName": "LastConsultedAt",
    "FieldType": "raw",
    "Datatype": "datetime",
    "Formula": null,
    "InventedForQuestion": "q-authority-knowledge-broker",
    "SemanticTypeIri": "urn:effortless:pko-extension#RulebookField",
    "Name": "KnowledgeBrokerLinks.LastConsultedAt",
    "IsDerived": false,
    "IsWitness": true,
    "DisagreeingSubstrateCount": 0,
    "IsSubstrateContested": false
   },
   {
    "RulebookFieldId": "KnowledgeBrokerLinks.EvaluationContext",
    "TargetTable": "KnowledgeBrokerLinks",
    "FieldName": "EvaluationContext",
    "FieldType": "relationship",
    "Datatype": "string",
    "Formula": null,
    "InventedForQuestion": "q-authority-knowledge-broker",
    "SemanticTypeIri": "urn:effortless:pko-extension#RulebookField",
    "Name": "KnowledgeBrokerLinks.EvaluationContext",
    "IsDerived": false,
    "IsWitness": true,
    "DisagreeingSubstrateCount": 0,
    "IsSubstrateContested": false
   },
   {
    "RulebookFieldId": "KnowledgeBrokerLinks.AsOfInstant",
    "TargetTable": "KnowledgeBrokerLinks",
    "FieldName": "AsOfInstant",
    "FieldType": "lookup",
    "Datatype": "datetime",
    "Formula": "=INDEX(EvaluationContexts!{{AsOfInstant}}, MATCH({{EvaluationContext}}, EvaluationContexts!{{EvaluationContextId}}, 0))",
    "InventedForQuestion": "q-authority-knowledge-broker",
    "SemanticTypeIri": "urn:effortless:pko-extension#RulebookField",
    "Name": "KnowledgeBrokerLinks.AsOfInstant",
    "IsDerived": true,
    "IsWitness": true,
    "DisagreeingSubstrateCount": 1,
    "IsSubstrateContested": true
   },
   {
    "RulebookFieldId": "KnowledgeBrokerLinks.DaysSinceConsulted",
    "TargetTable": "KnowledgeBrokerLinks",
    "FieldName": "DaysSinceConsulted",
    "FieldType": "calculated",
    "Datatype": "integer",
    "Formula": "=DATETIME_DIFF({{AsOfInstant}}, {{LastConsultedAt}}, \"days\")",
    "InventedForQuestion": "q-authority-knowledge-broker",
    "SemanticTypeIri": "urn:effortless:pko-extension#RulebookField",
    "Name": "KnowledgeBrokerLinks.DaysSinceConsulted",
    "IsDerived": true,
    "IsWitness": true,
    "DisagreeingSubstrateCount": 0,
    "IsSubstrateContested": false
   },
   {
    "RulebookFieldId": "KnowledgeBrokerLinks.IsActiveReliance",
    "TargetTable": "KnowledgeBrokerLinks",
    "FieldName": "IsActiveReliance",
    "FieldType": "calculated",
    "Datatype": "boolean",
    "Formula": "=AND(NOT({{Frequency}} = \"Rarely\"), {{DaysSinceConsulted}} &lt;= 180)",
    "InventedForQuestion": "q-authority-knowledge-broker",
    "SemanticTypeIri": "urn:effortless:pko-extension#RulebookField",
    "Name": "KnowledgeBrokerLinks.IsActiveReliance",
    "IsDerived": true,
    "IsWitness": true,
    "DisagreeingSubstrateCount": 0,
    "IsSubstrateContested": false
   },
   {
    "RulebookFieldId": "KnowledgeBrokerLinks.BrokerIsStillEngaged",
    "TargetTable": "KnowledgeBrokerLinks",
    "FieldName": "BrokerIsStillEngaged",
    "FieldType": "lookup",
    "Datatype": "boolean",
    "Formula": "=INDEX(Agents!{{IsStillEngaged}}, MATCH({{Broker}}, Agents!{{AgentId}}, 0))",
    "InventedForQuestion": "q-authority-knowledge-broker",
    "SemanticTypeIri": "urn:effortless:pko-extension#RulebookField",
    "Name": "KnowledgeBrokerLinks.BrokerIsStillEngaged",
    "IsDerived": true,
    "IsWitness": true,
    "DisagreeingSubstrateCount": 0,
    "IsSubstrateContested": false
   },
   {
    "RulebookFieldId": "KnowledgeBrokerLinks.IsAtRiskReliance",
    "TargetTable": "KnowledgeBrokerLinks",
    "FieldName": "IsAtRiskReliance",
    "FieldType": "calculated",
    "Datatype": "boolean",
    "Formula": "=AND({{IsActiveReliance}}, NOT({{BrokerIsStillEngaged}}))",
    "InventedForQuestion": "q-authority-knowledge-broker",
    "SemanticTypeIri": "urn:effortless:pko-extension#RulebookField",
    "Name": "KnowledgeBrokerLinks.IsAtRiskReliance",
    "IsDerived": true,
    "IsWitness": true,
    "DisagreeingSubstrateCount": 0,
    "IsSubstrateContested": false
   },
   {
    "RulebookFieldId": "KnowledgeBrokerLinks.ActiveRelianceBrokerKey",
    "TargetTable": "KnowledgeBrokerLinks",
    "FieldName": "ActiveRelianceBrokerKey",
    "FieldType": "calculated",
    "Datatype": "string",
    "Formula": "=IF({{IsActiveReliance}}, {{Broker}}, \"\")",
    "InventedForQuestion": "q-authority-knowledge-broker",
    "SemanticTypeIri": "urn:effortless:pko-extension#RulebookField",
    "Name": "KnowledgeBrokerLinks.ActiveRelianceBrokerKey",
    "IsDerived": true,
    "IsWitness": true,
    "DisagreeingSubstrateCount": 0,
    "IsSubstrateContested": false
   },
   {
    "RulebookFieldId": "KnowledgeBrokerLinks.AtRiskBrokerKey",
    "TargetTable": "KnowledgeBrokerLinks",
    "FieldName": "AtRiskBrokerKey",
    "FieldType": "calculated",
    "Datatype": "string",
    "Formula": "=IF({{IsAtRiskReliance}}, {{Broker}}, \"\")",
    "InventedForQuestion": "q-authority-knowledge-broker",
    "SemanticTypeIri": "urn:effortless:pko-extension#RulebookField",
    "Name": "KnowledgeBrokerLinks.AtRiskBrokerKey",
    "IsDerived": true,
    "IsWitness": true,
    "DisagreeingSubstrateCount": 0,
    "IsSubstrateContested": false
   },
   {
    "RulebookFieldId": "KnowledgeBrokerLinks.SemanticTypeIri",
    "TargetTable": "KnowledgeBrokerLinks",
    "FieldName": "SemanticTypeIri",
    "FieldType": "raw",
    "Datatype": "string",
    "Formula": null,
    "InventedForQuestion": "q-authority-knowledge-broker",
    "SemanticTypeIri": "urn:effortless:pko-extension#RulebookField",
    "Name": "KnowledgeBrokerLinks.SemanticTypeIri",
    "IsDerived": false,
    "IsWitness": true,
    "DisagreeingSubstrateCount": 0,
    "IsSubstrateContested": false
   },
   {
    "RulebookFieldId": "ConformanceSubstrates.ConformanceSubstrateId",
    "TargetTable": "ConformanceSubstrates",
    "FieldName": "ConformanceSubstrateId",
    "FieldType": "raw",
    "Datatype": "string",
    "Formula": null,
    "InventedForQuestion": null,
    "SemanticTypeIri": "urn:effortless:pko-extension#RulebookField",
    "Name": "ConformanceSubstrates.ConformanceSubstrateId",
    "IsDerived": false,
    "IsWitness": false,
    "DisagreeingSubstrateCount": 0,
    "IsSubstrateContested": false
   },
   {
    "RulebookFieldId": "ConformanceSubstrates.Name",
    "TargetTable": "ConformanceSubstrates",
    "FieldName": "Name",
    "FieldType": "calculated",
    "Datatype": "string",
    "Formula": "={{Label}}",
    "InventedForQuestion": null,
    "SemanticTypeIri": "urn:effortless:pko-extension#RulebookField",
    "Name": "ConformanceSubstrates.Name",
    "IsDerived": true,
    "IsWitness": false,
    "DisagreeingSubstrateCount": 0,
    "IsSubstrateContested": false
   },
   {
    "RulebookFieldId": "ConformanceSubstrates.Label",
    "TargetTable": "ConformanceSubstrates",
    "FieldName": "Label",
    "FieldType": "raw",
    "Datatype": "string",
    "Formula": null,
    "InventedForQuestion": null,
    "SemanticTypeIri": "urn:effortless:pko-extension#RulebookField",
    "Name": "ConformanceSubstrates.Label",
    "IsDerived": false,
    "IsWitness": false,
    "DisagreeingSubstrateCount": 0,
    "IsSubstrateContested": false
   },
   {
    "RulebookFieldId": "ConformanceSubstrates.Transpiler",
    "TargetTable": "ConformanceSubstrates",
    "FieldName": "Transpiler",
    "FieldType": "raw",
    "Datatype": "string",
    "Formula": null,
    "InventedForQuestion": null,
    "SemanticTypeIri": "urn:effortless:pko-extension#RulebookField",
    "Name": "ConformanceSubstrates.Transpiler",
    "IsDerived": false,
    "IsWitness": false,
    "DisagreeingSubstrateCount": 0,
    "IsSubstrateContested": false
   },
   {
    "RulebookFieldId": "ConformanceSubstrates.OutputFolder",
    "TargetTable": "ConformanceSubstrates",
    "FieldName": "OutputFolder",
    "FieldType": "raw",
    "Datatype": "string",
    "Formula": null,
    "InventedForQuestion": null,
    "SemanticTypeIri": "urn:effortless:pko-extension#RulebookField",
    "Name": "ConformanceSubstrates.OutputFolder",
    "IsDerived": false,
    "IsWitness": false,
    "DisagreeingSubstrateCount": 0,
    "IsSubstrateContested": false
   },
   {
    "RulebookFieldId": "ConformanceSubstrates.Engine",
    "TargetTable": "ConformanceSubstrates",
    "FieldName": "Engine",
    "FieldType": "raw",
    "Datatype": "string",
    "Formula": null,
    "InventedForQuestion": null,
    "SemanticTypeIri": "urn:effortless:pko-extension#RulebookField",
    "Name": "ConformanceSubstrates.Engine",
    "IsDerived": false,
    "IsWitness": false,
    "DisagreeingSubstrateCount": 0,
    "IsSubstrateContested": false
   },
   {
    "RulebookFieldId": "ConformanceSubstrates.HowItComputes",
    "TargetTable": "ConformanceSubstrates",
    "FieldName": "HowItComputes",
    "FieldType": "raw",
    "Datatype": "string",
    "Formula": null,
    "InventedForQuestion": null,
    "SemanticTypeIri": "urn:effortless:pko-extension#RulebookField",
    "Name": "ConformanceSubstrates.HowItComputes",
    "IsDerived": false,
    "IsWitness": false,
    "DisagreeingSubstrateCount": 0,
    "IsSubstrateContested": false
   },
   {
    "RulebookFieldId": "ConformanceSubstrates.Role",
    "TargetTable": "ConformanceSubstrates",
    "FieldName": "Role",
    "FieldType": "raw",
    "Datatype": "string",
    "Formula": null,
    "InventedForQuestion": null,
    "SemanticTypeIri": "urn:effortless:pko-extension#RulebookField",
    "Name": "ConformanceSubstrates.Role",
    "IsDerived": false,
    "IsWitness": false,
    "DisagreeingSubstrateCount": 0,
    "IsSubstrateContested": false
   },
   {
    "RulebookFieldId": "ConformanceSubstrates.SortOrder",
    "TargetTable": "ConformanceSubstrates",
    "FieldName": "SortOrder",
    "FieldType": "raw",
    "Datatype": "number",
    "Formula": null,
    "InventedForQuestion": null,
    "SemanticTypeIri": "urn:effortless:pko-extension#RulebookField",
    "Name": "ConformanceSubstrates.SortOrder",
    "IsDerived": false,
    "IsWitness": false,
    "DisagreeingSubstrateCount": 0,
    "IsSubstrateContested": false
   },
   {
    "RulebookFieldId": "ConformanceSubstrates.IsGraded",
    "TargetTable": "ConformanceSubstrates",
    "FieldName": "IsGraded",
    "FieldType": "calculated",
    "Datatype": "boolean",
    "Formula": "={{Role}} = \"graded\"",
    "InventedForQuestion": "q-auditor-substrate-agreement",
    "SemanticTypeIri": "urn:effortless:pko-extension#RulebookField",
    "Name": "ConformanceSubstrates.IsGraded",
    "IsDerived": true,
    "IsWitness": true,
    "DisagreeingSubstrateCount": 0,
    "IsSubstrateContested": false
   },
   {
 </t>
  </si>
  <si>
    <t xml:space="preserve">   "RulebookFieldId": "ConformanceSubstrates.RunCount",
    "TargetTable": "ConformanceSubstrates",
    "FieldName": "RunCount",
    "FieldType": "aggregation",
    "Datatype": "number",
    "Formula": "=COUNTIFS(SubstrateRunScores!{{Substrate}}, {{ConformanceSubstrateId}})",
    "InventedForQuestion": "q-auditor-substrate-agreement",
    "SemanticTypeIri": "urn:effortless:pko-extension#RulebookField",
    "Name": "ConformanceSubstrates.RunCount",
    "IsDerived": true,
    "IsWitness": true,
    "DisagreeingSubstrateCount": 0,
    "IsSubstrateContested": false
   },
   {
    "RulebookFieldId": "ConformanceSubstrates.LatestCellsTested",
    "TargetTable": "ConformanceSubstrates",
    "FieldName": "LatestCellsTested",
    "FieldType": "aggregation",
    "Datatype": "number",
    "Formula": "=SUMIFS(SubstrateRunScores!{{LatestCellsTested}}, SubstrateRunScores!{{Substrate}}, {{ConformanceSubstrateId}})",
    "InventedForQuestion": "q-auditor-substrate-agreement",
    "SemanticTypeIri": "urn:effortless:pko-extension#RulebookField",
    "Name": "ConformanceSubstrates.LatestCellsTested",
    "IsDerived": true,
    "IsWitness": true,
    "DisagreeingSubstrateCount": 0,
    "IsSubstrateContested": false
   },
   {
    "RulebookFieldId": "ConformanceSubstrates.LatestCellsPassed",
    "TargetTable": "ConformanceSubstrates",
    "FieldName": "LatestCellsPassed",
    "FieldType": "aggregation",
    "Datatype": "number",
    "Formula": "=SUMIFS(SubstrateRunScores!{{LatestCellsPassed}}, SubstrateRunScores!{{Substrate}}, {{ConformanceSubstrateId}})",
    "InventedForQuestion": "q-auditor-substrate-agreement",
    "SemanticTypeIri": "urn:effortless:pko-extension#RulebookField",
    "Name": "ConformanceSubstrates.LatestCellsPassed",
    "IsDerived": true,
    "IsWitness": true,
    "DisagreeingSubstrateCount": 0,
    "IsSubstrateContested": false
   },
   {
    "RulebookFieldId": "ConformanceSubstrates.LatestHarnessErrors",
    "TargetTable": "ConformanceSubstrates",
    "FieldName": "LatestHarnessErrors",
    "FieldType": "aggregation",
    "Datatype": "number",
    "Formula": "=SUMIFS(SubstrateRunScores!{{LatestErrorFlag}}, SubstrateRunScores!{{Substrate}}, {{ConformanceSubstrateId}})",
    "InventedForQuestion": "q-auditor-substrate-agreement",
    "SemanticTypeIri": "urn:effortless:pko-extension#RulebookField",
    "Name": "ConformanceSubstrates.LatestHarnessErrors",
    "IsDerived": true,
    "IsWitness": true,
    "DisagreeingSubstrateCount": 0,
    "IsSubstrateContested": false
   },
   {
    "RulebookFieldId": "ConformanceSubstrates.LatestCellsFailed",
    "TargetTable": "ConformanceSubstrates",
    "FieldName": "LatestCellsFailed",
    "FieldType": "calculated",
    "Datatype": "number",
    "Formula": "={{LatestCellsTested}} - {{LatestCellsPassed}}",
    "InventedForQuestion": "q-auditor-substrate-agreement",
    "SemanticTypeIri": "urn:effortless:pko-extension#RulebookField",
    "Name": "ConformanceSubstrates.LatestCellsFailed",
    "IsDerived": true,
    "IsWitness": true,
    "DisagreeingSubstrateCount": 0,
    "IsSubstrateContested": false
   },
   {
    "RulebookFieldId": "ConformanceSubstrates.LatestScore",
    "TargetTable": "ConformanceSubstrates",
    "FieldName": "LatestScore",
    "FieldType": "calculated",
    "Datatype": "number",
    "Formula": "=IF({{LatestCellsTested}} = 0, 0, ROUND(100 * {{LatestCellsPassed}} / {{LatestCellsTested}}, 2))",
    "InventedForQuestion": "q-auditor-substrate-agreement",
    "SemanticTypeIri": "urn:effortless:pko-extension#RulebookField",
    "Name": "ConformanceSubstrates.LatestScore",
    "IsDerived": true,
    "IsWitness": true,
    "DisagreeingSubstrateCount": 0,
    "IsSubstrateContested": false
   },
   {
    "RulebookFieldId": "ConformanceSubstrates.DisagreeingFieldCount",
    "TargetTable": "ConformanceSubstrates",
    "FieldName": "DisagreeingFieldCount",
    "FieldType": "aggregation",
    "Datatype": "number",
    "Formula": "=COUNTIFS(FieldDisagreements!{{Substrate}}, {{ConformanceSubstrateId}})",
    "InventedForQuestion": "q-auditor-substrate-agreement",
    "SemanticTypeIri": "urn:effortless:pko-extension#RulebookField",
    "Name": "ConformanceSubstrates.DisagreeingFieldCount",
    "IsDerived": true,
    "IsWitness": true,
    "DisagreeingSubstrateCount": 0,
    "IsSubstrateContested": false
   },
   {
    "RulebookFieldId": "ConformanceSubstrates.DisagreeingTableCount",
    "TargetTable": "ConformanceSubstrates",
    "FieldName": "DisagreeingTableCount",
    "FieldType": "aggregation",
    "Datatype": "number",
    "Formula": "=COUNTIFS(TableConformance!{{ImperfectSubstrateKey}}, {{ConformanceSubstrateId}})",
    "InventedForQuestion": "q-auditor-substrate-agreement",
    "SemanticTypeIri": "urn:effortless:pko-extension#RulebookField",
    "Name": "ConformanceSubstrates.DisagreeingTableCount",
    "IsDerived": true,
    "IsWitness": true,
    "DisagreeingSubstrateCount": 0,
    "IsSubstrateContested": false
   },
   {
    "RulebookFieldId": "ConformanceSubstrates.IsFullyConformant",
    "TargetTable": "ConformanceSubstrates",
    "FieldName": "IsFullyConformant",
    "FieldType": "calculated",
    "Datatype": "boolean",
    "Formula": "=AND({{LatestCellsTested}} &gt; 0, {{LatestCellsFailed}} = 0, {{LatestHarnessErrors}} = 0)",
    "InventedForQuestion": "q-auditor-substrate-agreement",
    "SemanticTypeIri": "urn:effortless:pko-extension#RulebookField",
    "Name": "ConformanceSubstrates.IsFullyConformant",
    "IsDerived": true,
    "IsWitness": true,
    "DisagreeingSubstrateCount": 0,
    "IsSubstrateContested": false
   },
   {
    "RulebookFieldId": "ConformanceSubstrates.SemanticTypeIri",
    "TargetTable": "ConformanceSubstrates",
    "FieldName": "SemanticTypeIri",
    "FieldType": "raw",
    "Datatype": "string",
    "Formula": null,
    "InventedForQuestion": null,
    "SemanticTypeIri": "urn:effortless:pko-extension#RulebookField",
    "Name": "ConformanceSubstrates.SemanticTypeIri",
    "IsDerived": false,
    "IsWitness": false,
    "DisagreeingSubstrateCount": 0,
    "IsSubstrateContested": false
   },
   {
    "RulebookFieldId": "ConformanceRuns.ConformanceRunId",
    "TargetTable": "ConformanceRuns",
    "FieldName": "ConformanceRunId",
    "FieldType": "raw",
    "Datatype": "string",
    "Formula": null,
    "InventedForQuestion": null,
    "SemanticTypeIri": "urn:effortless:pko-extension#RulebookField",
    "Name": "ConformanceRuns.ConformanceRunId",
    "IsDerived": false,
    "IsWitness": false,
    "DisagreeingSubstrateCount": 0,
    "IsSubstrateContested": false
   },
   {
    "RulebookFieldId": "ConformanceRuns.Name",
    "TargetTable": "ConformanceRuns",
    "FieldName": "Name",
    "FieldType": "calculated",
    "Datatype": "string",
    "Formula": "={{ConformanceRunId}}",
    "InventedForQuestion": null,
    "SemanticTypeIri": "urn:effortless:pko-extension#RulebookField",
    "Name": "ConformanceRuns.Name",
    "IsDerived": true,
    "IsWitness": false,
    "DisagreeingSubstrateCount": 0,
    "IsSubstrateContested": false
   },
   {
    "RulebookFieldId": "ConformanceRuns.RanOn",
    "TargetTable": "ConformanceRuns",
    "FieldName": "RanOn",
    "FieldType": "raw",
    "Datatype": "datetime",
    "Formula": null,
    "InventedForQuestion": null,
    "SemanticTypeIri": "urn:effortless:pko-extension#RulebookField",
    "Name": "ConformanceRuns.RanOn",
    "IsDerived": false,
    "IsWitness": false,
    "DisagreeingSubstrateCount": 0,
    "IsSubstrateContested": false
   },
   {
    "RulebookFieldId": "ConformanceRuns.RulebookCommit",
    "TargetTable": "ConformanceRuns",
    "FieldName": "RulebookCommit",
    "FieldType": "raw",
    "Datatype": "string",
    "Formula": null,
    "InventedForQuestion": null,
    "SemanticTypeIri": "urn:effortless:pko-extension#RulebookField",
    "Name": "ConformanceRuns.RulebookCommit",
    "IsDerived": false,
    "IsWitness": false,
    "DisagreeingSubstrateCount": 0,
    "IsSubstrateContested": false
   },
   {
    "RulebookFieldId": "ConformanceRuns.AnswerKeyAuthor",
    "TargetTable": "ConformanceRuns",
    "FieldName": "AnswerKeyAuthor",
    "FieldType": "relationship",
    "Datatype": "string",
    "Formula": null,
    "InventedForQuestion": null,
    "SemanticTypeIri": "urn:effortless:pko-extension#RulebookField",
    "Name": "ConformanceRuns.AnswerKeyAuthor",
    "IsDerived": false,
    "IsWitness": false,
    "DisagreeingSubstrateCount": 0,
    "IsSubstrateContested": false
   },
   {
    "RulebookFieldId": "ConformanceRuns.IsLatest",
    "TargetTable": "ConformanceRuns",
    "FieldName": "IsLatest",
    "FieldType": "raw",
    "Datatype": "boolean",
    "Formula": null,
    "InventedForQuestion": null,
    "SemanticTypeIri": "urn:effortless:pko-extension#RulebookField",
    "Name": "ConformanceRuns.IsLatest",
    "IsDerived": false,
    "IsWitness": false,
    "DisagreeingSubstrateCount": 0,
    "IsSubstrateContested": false
   },
   {
    "RulebookFieldId": "ConformanceRuns.Notes",
    "TargetTable": "ConformanceRuns",
    "FieldName": "Notes",
    "FieldType": "raw",
    "Datatype": "string",
    "Formula": null,
    "InventedForQuestion": null,
    "SemanticTypeIri": "urn:effortless:pko-extension#RulebookField",
    "Name": "ConformanceRuns.Notes",
    "IsDerived": false,
    "IsWitness": false,
    "DisagreeingSubstrateCount": 0,
    "IsSubstrateContested": false
   },
   {
    "RulebookFieldId": "ConformanceRuns.SubstrateCount",
    "TargetTable": "ConformanceRuns",
    "FieldName": "SubstrateCount",
    "FieldType": "aggregation",
    "Datatype": "number",
    "Formula": "=COUNTIFS(SubstrateRunScores!{{Run}}, {{ConformanceRunId}})",
    "InventedForQuestion": "q-auditor-substrate-agreement",
    "SemanticTypeIri": "urn:effortless:pko-extension#RulebookField",
    "Name": "ConformanceRuns.SubstrateCount",
    "IsDerived": true,
    "IsWitness": true,
    "DisagreeingSubstrateCount": 0,
    "IsSubstrateContested": false
   },
   {
    "RulebookFieldId": "ConformanceRuns.PerfectSubstrateCount",
    "TargetTable": "ConformanceRuns",
    "FieldName": "PerfectSubstrateCount",
    "FieldType": "aggregation",
    "Datatype": "number",
    "Formula": "=COUNTIFS(SubstrateRunScores!{{PerfectRunKey}}, {{ConformanceRunId}})",
    "InventedForQuestion": "q-auditor-substrate-agreement",
    "SemanticTypeIri": "urn:effortless:pko-extension#RulebookField",
    "Name": "ConformanceRuns.PerfectSubstrateCount",
    "IsDerived": true,
    "IsWitness": true,
    "DisagreeingSubstrateCount": 0,
    "IsSubstrateContested": false
   },
   {
    "RulebookFieldId": "ConformanceRuns.CellsTested",
    "TargetTable": "ConformanceRuns",
    "FieldName": "CellsTested",
    "FieldType": "aggregation",
    "Datatype": "number",
    "Formula": "=SUMIFS(SubstrateRunScores!{{CellsTested}}, SubstrateRunScores!{{Run}}, {{ConformanceRunId}})",
    "InventedForQuestion": "q-auditor-substrate-agreement",
    "SemanticTypeIri": "urn:effortless:pko-extension#RulebookField",
    "Name": "ConformanceRuns.CellsTested",
    "IsDerived": true,
    "IsWitness": true,
    "DisagreeingSubstrateCount": 0,
    "IsSubstrateContested": false
   },
   {
    "RulebookFieldId": "ConformanceRuns.CellsPassed",
    "TargetTable": "ConformanceRuns",
    "FieldName": "CellsPassed",
    "FieldType": "aggregation",
    "Datatype": "number",
    "Formula": "=SUMIFS(SubstrateRunScores!{{CellsPassed}}, SubstrateRunScores!{{Run}}, {{ConformanceRunId}})",
    "InventedForQuestion": "q-auditor-substrate-agreement",
    "SemanticTypeIri": "urn:effortless:pko-extension#RulebookField",
    "Name": "ConformanceRuns.CellsPassed",
    "IsDerived": true,
    "IsWitness": true,
    "DisagreeingSubstrateCount": 0,
    "IsSubstrateContested": false
   },
   {
    "RulebookFieldId": "ConformanceRuns.CellsFailed",
    "TargetTable": "ConformanceRuns",
    "FieldName": "CellsFailed",
    "FieldType": "calculated",
    "Datatype": "number",
    "Formula": "={{CellsTested}} - {{CellsPassed}}",
    "InventedForQuestion": "q-auditor-substrate-agreement",
    "SemanticTypeIri": "urn:effortless:pko-extension#RulebookField",
    "Name": "ConformanceRuns.CellsFailed",
    "IsDerived": true,
    "IsWitness": true,
    "DisagreeingSubstrateCount": 0,
    "IsSubstrateContested": false
   },
   {
    "RulebookFieldId": "ConformanceRuns.OverallScore",
    "TargetTable": "ConformanceRuns",
    "FieldName": "OverallScore",
    "FieldType": "calculated",
    "Datatype": "number",
    "Formula": "=IF({{CellsTested}} = 0, 0, ROUND(100 * {{CellsPassed}} / {{CellsTested}}, 2))",
    "InventedForQuestion": "q-auditor-substrate-agreement",
    "SemanticTypeIri": "urn:effortless:pko-extension#RulebookField",
    "Name": "ConformanceRuns.OverallScore",
    "IsDerived": true,
    "IsWitness": true,
    "DisagreeingSubstrateCount": 0,
    "IsSubstrateContested": false
   },
   {
    "RulebookFieldId": "ConformanceRuns.ImperfectSubstrateCount",
    "TargetTable": "ConformanceRuns",
    "FieldName": "ImperfectSubstrateCount",
    "FieldType": "calculated",
    "Datatype": "number",
    "Formula": "={{SubstrateCount}} - {{PerfectSubstrateCount}}",
    "InventedForQuestion": "q-auditor-substrate-agreement",
    "SemanticTypeIri": "urn:effortless:pko-extension#RulebookField",
    "Name": "ConformanceRuns.ImperfectSubstrateCount",
    "IsDerived": true,
    "IsWitness": true,
    "DisagreeingSubstrateCount": 0,
    "IsSubstrateContested": false
   },
   {
    "RulebookFieldId": "ConformanceRuns.IsFullyConformant",
    "TargetTable": "ConformanceRuns",
    "FieldName": "IsFullyConformant",
    "FieldType": "calculated",
    "Datatype": "boolean",
    "Formula": "=AND({{SubstrateCount}} &gt; 0, {{ImperfectSubstrateCount}} = 0)",
    "InventedForQuestion": "q-auditor-substrate-agreement",
    "SemanticTypeIri": "urn:effortless:pko-extension#RulebookField",
    "Name": "ConformanceRuns.IsFullyConformant",
    "IsDerived": true,
    "IsWitness": true,
    "DisagreeingSubstrateCount": 0,
    "IsSubstrateContested": false
   },
   {
    "RulebookFieldId": "ConformanceRuns.SemanticTypeIri",
    "TargetTable": "ConformanceRuns",
    "FieldName": "SemanticTypeIri",
    "FieldType": "raw",
    "Datatype": "string",
    "Formula": null,
    "InventedForQuestion": null,
    "SemanticTypeIri": "urn:effortless:pko-extension#RulebookField",
    "Name": "ConformanceRuns.SemanticTypeIri",
    "IsDerived": false,
    "IsWitness": false,
    "DisagreeingSubstrateCount": 0,
    "IsSubstrateContested": false
   },
   {
    "RulebookFieldId": "SubstrateRunScores.SubstrateRunScoreId",
    "TargetTable": "SubstrateRunScores",
    "FieldName": "SubstrateRunScoreId",
    "FieldType": "raw",
    "Datatype": "string",
    "Formula": null,
    "InventedForQuestion": null,
    "SemanticTypeIri": "urn:effortless:pko-extension#RulebookField",
    "Name": "SubstrateRunScores.SubstrateRunScoreId",
    "IsDerived": false,
    "IsWitness": false,
    "DisagreeingSubstrateCount": 0,
    "IsSubstrateContested": false
   },
   {
    "RulebookFieldId": "SubstrateRunScores.Name",
    "TargetTable": "SubstrateRunScores",
    "FieldName": "Name",
    "FieldType": "calculated",
    "Datatype": "string",
    "Formula": "=CONCAT({{Run}}, \" / \", {{Substrate}})",
    "InventedForQuestion": null,
    "SemanticTypeIri": "urn:effortless:pko-extension#RulebookField",
    "Name": "SubstrateRunScores.Name",
    "IsDerived": true,
    "IsWitness": false,
    "DisagreeingSubstrateCount": 0,
    "IsSubstrateContested": false
   },
   {
    "RulebookFieldId": "SubstrateRunScores.Run",
    "TargetTable": "SubstrateRunScores",
    "FieldName": "Run",
    "FieldType": "relationship",
    "Datatype": "string",
    "Formula": null,
    "InventedForQuestion": null,
    "SemanticTypeIri": "urn:effortless:pko-extension#RulebookField",
    "Name": "SubstrateRunScores.Run",
    "IsDerived": false,
    "IsWitness": false,
    "DisagreeingSubstrateCount": 0,
    "IsSubstrateContested": false
   },
   {
    "RulebookFieldId": "SubstrateRunScores.Substrate",
    "TargetTable": "SubstrateRunScores",
    "FieldName": "Substrate",
    "FieldType": "relationship",
    "Datatype": "string",
    "Formula": null,
    "InventedForQuestion": null,
    "SemanticTypeIri": "urn:effortless:pko-extension#RulebookField",
    "Name": "SubstrateRunScores.Substrate",
    "IsDerived": false,
    "IsWitness": false,
    "DisagreeingSubstrateCount": 0,
    "IsSubstrateContested": false
   },
   {
    "RulebookFieldId": "SubstrateRunScores.HarnessError",
    "TargetTable": "SubstrateRunScores",
    "FieldName": "HarnessError",
    "FieldType": "raw",
    "Datatype": "string",
    "Formula": null,
    "InventedForQuestion": null,
    "SemanticTypeIri": "urn:effortless:pko-extension#RulebookField",
    "Name": "SubstrateRunScores.HarnessError",
    "IsDerived": false,
    "IsWitness": false,
    "DisagreeingSubstrateCount": 0,
    "IsSubstrateContested": false
   },
   {
    "RulebookFieldId": "SubstrateRunScores.DurationSeconds",
    "TargetTable": "SubstrateRunScores",
    "FieldName": "DurationSeconds",
    "FieldType": "raw",
    "Datatype": "number",
    "Formula": null,
    "InventedForQuestion": null,
    "SemanticTypeIri": "urn:effortless:pko-extension#RulebookField",
    "Name": "SubstrateRunScores.DurationSeconds",
    "IsDerived": false,
    "IsWitness": false,
    "DisagreeingSubstrateCount": 0,
    "IsSubstrateContested": false
   },
   {
    "RulebookFieldId": "SubstrateRunScores.CellsTested",
    "TargetTable": "SubstrateRunScores",
    "FieldName": "CellsTested",
    "FieldType": "raw",
    "Datatype": "number",
    "Formula": null,
    "InventedForQuestion": null,
    "SemanticTypeIri": "urn:effortless:pko-extension#RulebookField",
    "Name": "SubstrateRunScores.CellsTested",
    "IsDerived": false,
    "IsWitness": false,
    "DisagreeingSubstrateCount": 0,
    "IsSubstrateContested": false
   },
   {
    "RulebookFieldId": "SubstrateRunScores.CellsPassed",
    "TargetTable": "SubstrateRunScores",
    "FieldName": "CellsPassed",
    "FieldType": "raw",
    "Datatype": "number",
    "Formula": null,
    "InventedForQuestion": null,
    "SemanticTypeIri": "urn:effortless:pko-extension#RulebookField",
    "Name": "SubstrateRunScores.CellsPassed",
    "IsDerived": false,
    "IsWitness": false,
    "DisagreeingSubstrateCount": 0,
    "IsSubstrateContested": false
   },
   {
    "RulebookFieldId": "SubstrateRunScores.CalculatedTested",
    "TargetTable": "SubstrateRunScores",
    "FieldName": "CalculatedTested",
    "FieldType": "raw",
    "Datatype": "number",
    "Formula": null,
    "InventedForQuestion": null,
    "SemanticTypeIri": "urn:effortless:pko-extension#RulebookField",
    "Name": "SubstrateRunScores.CalculatedTested",
    "IsDerived": false,
    "IsWitness": false,
    "DisagreeingSubstrateCount": 0,
    "IsSubstrateContested": false
   },
   {
    "RulebookFieldId": "SubstrateRunScores.CalculatedPassed",
    "TargetTable": "SubstrateRunScores",
    "FieldName": "CalculatedPassed",
    "FieldType": "raw",
    "Datatype": "number",
    "Formula": null,
    "InventedForQuestion": null,
    "SemanticTypeIri": "urn:effortless:pko-extension#RulebookField",
    "Name": "SubstrateRunScores.CalculatedPassed",
    "IsDerived": false,
    "IsWitness": false,
    "DisagreeingSubstrateCount": 0,
    "IsSubstrateContested": false
   },
   {
    "RulebookFieldId": "SubstrateRunScores.LookupTested",
    "TargetTable": "SubstrateRunScores",
    "FieldName": "LookupTested",
    "FieldType": "raw",
    "Datatype": "number",
    "Formula": null,
    "InventedForQuestion": null,
    "SemanticTypeIri": "urn:effortless:pko-extension#RulebookField",
    "Name": "SubstrateRunScores.LookupTested",
    "IsDerived": false,
    "IsWitness": false,
    "DisagreeingSubstrateCount": 0,
    "IsSubstrateContested": false
   },
   {
    "RulebookFieldId": "SubstrateRunScores.LookupPassed",
    "TargetTable": "SubstrateRunScores",
    "FieldName": "LookupPassed",
    "FieldType": "raw",
    "Datatype": "number",
    "Formula": null,
    "InventedForQuestion": null,
    "SemanticTypeIri": "urn:effortless:pko-extension#RulebookField",
    "Name": "SubstrateRunScores.LookupPassed",
    "IsDerived": false,
    "IsWitness": false,
    "DisagreeingSubstrateCount": 0,
    "IsSubstrateContested": false
   },
   {
    "RulebookFieldId": "SubstrateRunScores.AggregationTested",
    "TargetTable": "SubstrateRunScores",
    "FieldName": "AggregationTested",
    "FieldType": "raw",
    "Datatype": "number",
    "Formula": null,
    "InventedForQuestion": null,
    "SemanticTypeIri": "urn:effortless:pko-extension#RulebookField",
    "Name": "SubstrateRunScores.AggregationTested",
    "IsDerived": false,
    "IsWitness": false,
    "DisagreeingSubstrateCount": 0,
    "IsSubstrateContested": false
   },
   {
    "RulebookFieldId": "SubstrateRunScores.AggregationPassed",
    "TargetTable": "SubstrateRunScores",
    "FieldName": "AggregationPassed",
    "FieldType": "raw",
    "Datatype": "number",
    "Formula": null,
    "InventedForQuestion": null,
    "SemanticTypeIri": "urn:effortless:pko-extension#RulebookField",
    "Name": "SubstrateRunScores.AggregationPassed",
    "IsDerived": false,
    "IsWitness": false,
    "DisagreeingSubstrateCount": 0,
    "IsSubstrateContested": false
   },
   {
    "RulebookFieldId": "SubstrateRunScores.CellsFailed",
    "TargetTable": "SubstrateRunScores",
    "FieldName": "CellsFailed",
    "FieldType": "calculated",
    "Datatype": "number",
    "Formula": "={{CellsTested}} - {{CellsPassed}}",
    "InventedForQuestion": "q-auditor-substrate-agreement",
    "SemanticTypeIri": "urn:effortless:pko-extension#RulebookField",
    "Name": "SubstrateRunScores.CellsFailed",
    "IsDerived": true,
    "IsWitness": true,
    "DisagreeingSubstrateCount": 0,
    "IsSubstrateContested": false
   },
   {
    "RulebookFieldId": "SubstrateRunScores.Score",
    "TargetTable": "SubstrateRunScores",
    "FieldName": "Score",
    "FieldType": "calculated",
    "Datatype": "number",
    "Formula": "=IF({{CellsTested}} = 0, 0, ROUND(100 * {{CellsPassed}} / {{CellsTested}}, 2))",
    "InventedForQuestion": "q-auditor-substrate-agreement",
    "SemanticTypeIri": "urn:effortless:pko-extension#RulebookField",
    "Name": "SubstrateRunScores.Score",
    "IsDerived": true,
    "IsWitness": true,
    "DisagreeingSubstrateCount": 0,
    "IsSubstrateContested": false
   },
   {
    "RulebookFieldId": "SubstrateRunScores.CalculatedScore",
    "TargetTable": "SubstrateRunScores",
    "FieldName": "CalculatedScore",
    "FieldType": "calculated",
    "Datatype": "number",
    "Formula": "=IF({{CalculatedTested}} = 0, 0, ROUND(100 * {{CalculatedPassed}} / {{CalculatedTested}}, 2))",
    "InventedForQuestion": "q-auditor-substrate-agreement",
    "SemanticTypeIri": "urn:effortless:pko-extension#RulebookField",
    "Name": "SubstrateRunScores.CalculatedScore",
    "IsDerived": true,
    "IsWitness": true,
    "DisagreeingSubstrateCount": 0,
    "IsSubstrateContested": false
   },
   {
    "RulebookFieldId": "SubstrateRunScores.LookupScore",
    "TargetTable": "SubstrateRunScores",
    "FieldName": "LookupScore",
    "FieldType": "calculated",
    "Datatype": "number",
    "Formula": "=IF({{LookupTested}} = 0, 0, ROUND(100 * {{LookupPassed}} / {{LookupTested}}, 2))",
    "InventedForQuestion": "q-auditor-substrate-agreement",
    "SemanticTypeIri": "urn:effortless:pko-extension#RulebookField",
    "Name": "SubstrateRunScores.LookupScore",
    "IsDerived": true,
    "IsWitness": true,
    "DisagreeingSubstrateCount": 0,
    "IsSubstrateContested": false
   },
   {
    "RulebookFieldId": "SubstrateRunScores.AggregationScore",
    "TargetTable": "SubstrateRunScores",
    "FieldName": "AggregationScore",
    "FieldType": "calculated",
    "Datatype": "number",
    "Formula": "=IF({{AggregationTested}} = 0, 0, ROUND(100 * {{AggregationPassed}} / {{AggregationTested}}, 2))",
    "InventedForQuestion": "q-auditor-substrate-agreement",
    "SemanticTypeIri": "urn:effortless:pko-extension#RulebookField",
    "Name": "SubstrateRunScores.AggregationScore",
    "IsDerived": true,
    "IsWitness": true,
    "DisagreeingSubstrateCount": 0,
    "IsSubstrateContested": false
   },
   {
    "RulebookFieldId": "SubstrateRunScores.IsPerfect",
    "TargetTable": "SubstrateRunScores",
    "FieldName": "IsPerfect",
    "FieldType": "calculated",
    "Datatype": "boolean",
    "Formula": "=AND({{HarnessError}} = \"\", {{CellsTested}} &gt; 0, {{CellsFailed}} = 0)",
    "InventedForQuestion": "q-auditor-substrate-agreement",
    "SemanticTypeIri": "urn:effortless:pko-extension#RulebookField",
    "Name": "SubstrateRunScores.IsPerfect",
    "IsDerived": true,
    "IsWitness": true,
    "DisagreeingSubstrateCount": 0,
    "IsSubstrateContested": false
   },
   {
    "RulebookFieldId": "SubstrateRunScores.PerfectRunKey",
    "TargetTable": "SubstrateRunScores",
    "FieldName": "PerfectRunKey",
    "FieldType": "calculated",
    "Datatype": "string",
    "Formula": "=IF({{IsPerfect}}, {{Run}}, \"\")",
    "InventedForQuestion": "q-auditor-substrate-agreement",
    "SemanticTypeIri": "urn:effortless:pko-extension#RulebookField",
    "Name": "SubstrateRunScores.PerfectRunKey",
    "IsDerived": true,
    "IsWitness": true,
    "DisagreeingSubstrateCount": 0,
    "IsSubstrateContested": false
   },
   {
    "RulebookFieldId": "SubstrateRunScores.IsInLatestRun",
    "TargetTable": "SubstrateRunScores",
    "FieldName": "IsInLatestRun",
    "FieldType": "lookup",
    "Datatype": "boolean",
    "Formula": "=INDEX(ConformanceRuns!{{IsLatest}}, MATCH({{Run}}, ConformanceRuns!{{ConformanceRunId}}, 0))",
    "InventedForQuestion": "q-auditor-substrate-agreement",
    "SemanticTypeIri": "urn:effortless:pko-extension#RulebookField",
    "Name": "SubstrateRunScores.IsInLatestRun",
    "IsDerived": true,
    "IsWitness": true,
    "DisagreeingSubstrateCount": 0,
    "IsSubstrateContested": false
   },
   {
    "RulebookFieldId": "SubstrateRunScores.LatestCellsTested",
    "TargetTable": "SubstrateRunScores",
    "FieldName": "LatestCellsTested",
    "FieldType": "calculated",
    "Datatype": "number",
    "Formula": "=IF({{IsInLatestRun}}, {{CellsTested}}, 0)",
    "InventedForQuestion": "q-auditor-substrate-agreement",
    "SemanticTypeIri": "urn:effortless:pko-extension#RulebookField",
    "Name": "SubstrateRunScores.LatestCellsTested",
    "IsDerived": true,
    "IsWitness": true,
    "DisagreeingSubstrateCount": 0,
    "IsSubstrateContested": false
   },
   {
    "RulebookFieldId": "SubstrateRunScores.LatestCellsPassed",
    "TargetTable": "SubstrateRunScores",
    "FieldName": "LatestCellsPassed",
    "FieldType": "calculated",
    "Datatype": "number",
    "Formula": "=IF({{IsInLatestRun}}, {{CellsPassed}}, 0)",
    "InventedForQuestion": "q-auditor-substrate-agreement",
    "SemanticTypeIri": "urn:effortless:pko-extension#RulebookField",
    "Name": "SubstrateRunScores.LatestCellsPassed",
    "IsDerived": true,
    "IsWitness": true,
    "DisagreeingSubstrateCount": 0,
    "IsSubstrateContested": false
   },
   {
    "RulebookFieldId": "SubstrateRunScores.LatestErrorFlag",
    "TargetTable": "SubstrateRunScores",
    "FieldName": "LatestErrorFlag",
    "FieldType": "calculated",
    "Datatype": "number",
    "Formula": "=IF(AND({{IsInLatestRun}}, {{HarnessError}} &lt;&gt; \"\"), 1, 0)",
    "InventedForQuestion": "q-auditor-substrate-agreement",
    "SemanticTypeIri": "urn:effortless:pko-extension#RulebookField",
    "Name": "SubstrateRunScores.LatestErrorFlag",
    "IsDerived": true,
    "IsWitness": true,
    "DisagreeingSubstrateCount": 0,
    "IsSubstrateContested": false
   },
   {
    "RulebookFieldId": "SubstrateRunScores.SubstrateLabel",
    "TargetTable": "SubstrateRunScores",
    "FieldName": "SubstrateLabel",
    "FieldType": "lookup",
    "Datatype": "string",
    "Formula": "=INDEX(ConformanceSubstrates!{{Label}}, MATCH({{Substrate}}, ConformanceSubstrates!{{ConformanceSubstrateId}}, 0))",
    "InventedForQuestion": "q-auditor-substrate-agreement",
    "SemanticTypeIri": "urn:effortless:pko-extension#RulebookField",
    "Name": "SubstrateRunScores.SubstrateLabel",
    "IsDerived": true,
    "IsWitness": true,
    "DisagreeingSubstrateCount": 0,
    "IsSubstrateContested": false
   },
   {
    "RulebookFieldId": "SubstrateRunScores.SemanticTypeIri",
    "TargetTable": "SubstrateRunScores",
    "FieldName": "SemanticTypeIri",
    "FieldType": "raw",
    "Datatype": "string",
    "Formula": null,
    "InventedForQuestion": null,
    "SemanticTypeIri": "urn:effortless:pko-extension#RulebookField",
    "Name": "SubstrateRunScores.SemanticTypeIri",
    "IsDerived": false,
    "IsWitness": false,
    "DisagreeingSubstrateCount": 0,
    "IsSubstrateContested": false
   },
   {
    "RulebookFieldId": "TableConformance.TableConformanceId",
    "TargetTable": "TableConformance",
    "FieldName": "TableConformanceId",
    "FieldType": "raw",
    "Datatype": "string",
    "Formula": null,
    "InventedForQuestion": null,
    "SemanticTypeIri": "urn:effortless:pko-extension#RulebookField",
    "Name": "TableConformance.TableConformanceId",
    "IsDerived": false,
    "IsWitness": false,
    "DisagreeingSubstrateCount": 0,
    "IsSubstrateContested": false
   },
   {
    "RulebookFieldId": "TableConformance.Name",
    "TargetTable": "TableConformance",
    "FieldName": "Name",
    "FieldType": "calculated",
    "Datatype": "string",
    "Formula": "=CONCAT({{Substrate}}, \" / \", {{RulebookTable}})",
    "InventedForQuestion": null,
    "SemanticTypeIri": "urn:effortless:pko-extension#RulebookField",
    "Name": "TableConformance.Name",
    "IsDerived": true,
    "IsWitness": false,
    "DisagreeingSubstrateCount": 0,
    "IsSubstrateContested": false
   },
   {
    "RulebookFieldId": "TableConformance.Run",
    "TargetTable": "TableConformance",
    "FieldName": "Run",
    "FieldType": "relationship",
    "Datatype": "string",
    "Formula": null,
    "InventedForQuestion": null,
    "SemanticTypeIri": "urn:effortless:pko-extension#RulebookField",
    "Name": "TableConformance.Run",
    "IsDerived": false,
    "IsWitness": false,
    "DisagreeingSubstrateCount": 0,
    "IsSubstrateContested": false
   },
   {
    "RulebookFieldId": "TableConformance.Substrate",
    "TargetTable": "TableConformance",
    "FieldName": "Substrate",
    "FieldType": "relationship",
    "Datatype": "string",
    "Formula": null,
    "InventedForQuestion": null,
    "SemanticTypeIri": "urn:effortless:pko-extension#RulebookField",
    "Name": "TableConformance.Substrate",
    "IsDerived": false,
    "IsWitness": false,
    "DisagreeingSubstrateCount": 0,
    "IsSubstrateContested": false
   },
   {
    "RulebookFieldId": "TableConformance.RulebookTable",
    "TargetTable": "TableConformance",
    "FieldName": "RulebookTable",
    "FieldType": "relationship",
    "Datatype": "string",
    "Formula": null,
    "InventedForQuestion": null,
    "SemanticTypeIri": "urn:effortless:pko-extension#RulebookField",
    "Name": "TableConformance.RulebookTable",
    "IsDerived": false,
    "IsWitness": false,
    "DisagreeingSubstrateCount": 0,
    "IsSubstrateContested": false
   },
   {
    "RulebookFieldId": "TableConformance.RecordCount",
    "TargetTable": "TableConformance",
    "FieldName": "RecordCount",
    "FieldType": "raw",
    "Datatype": "number",
    "Formula": null,
    "InventedForQuestion": null,
    "SemanticTypeIri": "urn:effortless:pko-extension#RulebookField",
    "Name": "TableConformance.RecordCount",
    "IsDerived": false,
    "IsWitness": false,
    "DisagreeingSubstrateCount": 0,
    "IsSubstrateContested": false
   },
   {
    "RulebookFieldId": "TableConformance.DerivedFieldCount",
    "TargetTable": "TableConformance",
    "FieldName": "DerivedFieldCount",
    "FieldType": "raw",
    "Datatype": "number",
    "Formula": null,
    "InventedForQuestion": null,
    "SemanticTypeIri": "urn:effortless:pko-extension#RulebookField",
    "Name": "TableConformance.DerivedFieldCount",
    "IsDerived": false,
    "IsWitness": false,
    "DisagreeingSubstrateCount": 0,
    "IsSubstrateContested": false
   },
   {
    "RulebookFieldId": "TableConformance.CellsTested",
    "TargetTable": "TableConformance",
    "FieldName": "CellsTested",
    "FieldType": "raw",
    "Datatype": "number",
    "Formula": null,
    "InventedForQuestion": null,
    "SemanticTypeIri": "urn:effortless:pko-extension#RulebookField",
    "Name": "TableConformance.CellsTested",
    "IsDerived": false,
    "IsWitness": false,
    "DisagreeingSubstrateCount": 0,
    "IsSubstrateContested": false
   },
   {
    "RulebookFieldId": "TableConformance.CellsPassed",
    "TargetTable": "TableConformance",
    "FieldName": "CellsPassed",
  </t>
  </si>
  <si>
    <t xml:space="preserve">  "FieldType": "raw",
    "Datatype": "number",
    "Formula": null,
    "InventedForQuestion": null,
    "SemanticTypeIri": "urn:effortless:pko-extension#RulebookField",
    "Name": "TableConformance.CellsPassed",
    "IsDerived": false,
    "IsWitness": false,
    "DisagreeingSubstrateCount": 0,
    "IsSubstrateContested": false
   },
   {
    "RulebookFieldId": "TableConformance.IsMissingAnswerFile",
    "TargetTable": "TableConformance",
    "FieldName": "IsMissingAnswerFile",
    "FieldType": "raw",
    "Datatype": "boolean",
    "Formula": null,
    "InventedForQuestion": null,
    "SemanticTypeIri": "urn:effortless:pko-extension#RulebookField",
    "Name": "TableConformance.IsMissingAnswerFile",
    "IsDerived": false,
    "IsWitness": false,
    "DisagreeingSubstrateCount": 0,
    "IsSubstrateContested": false
   },
   {
    "RulebookFieldId": "TableConformance.CellsFailed",
    "TargetTable": "TableConformance",
    "FieldName": "CellsFailed",
    "FieldType": "calculated",
    "Datatype": "number",
    "Formula": "={{CellsTested}} - {{CellsPassed}}",
    "InventedForQuestion": "q-auditor-substrate-agreement",
    "SemanticTypeIri": "urn:effortless:pko-extension#RulebookField",
    "Name": "TableConformance.CellsFailed",
    "IsDerived": true,
    "IsWitness": true,
    "DisagreeingSubstrateCount": 0,
    "IsSubstrateContested": false
   },
   {
    "RulebookFieldId": "TableConformance.Score",
    "TargetTable": "TableConformance",
    "FieldName": "Score",
    "FieldType": "calculated",
    "Datatype": "number",
    "Formula": "=IF({{CellsTested}} = 0, 0, ROUND(100 * {{CellsPassed}} / {{CellsTested}}, 2))",
    "InventedForQuestion": "q-auditor-substrate-agreement",
    "SemanticTypeIri": "urn:effortless:pko-extension#RulebookField",
    "Name": "TableConformance.Score",
    "IsDerived": true,
    "IsWitness": true,
    "DisagreeingSubstrateCount": 0,
    "IsSubstrateContested": false
   },
   {
    "RulebookFieldId": "TableConformance.IsPerfect",
    "TargetTable": "TableConformance",
    "FieldName": "IsPerfect",
    "FieldType": "calculated",
    "Datatype": "boolean",
    "Formula": "={{CellsFailed}} = 0",
    "InventedForQuestion": "q-auditor-substrate-agreement",
    "SemanticTypeIri": "urn:effortless:pko-extension#RulebookField",
    "Name": "TableConformance.IsPerfect",
    "IsDerived": true,
    "IsWitness": true,
    "DisagreeingSubstrateCount": 0,
    "IsSubstrateContested": false
   },
   {
    "RulebookFieldId": "TableConformance.ImperfectSubstrateKey",
    "TargetTable": "TableConformance",
    "FieldName": "ImperfectSubstrateKey",
    "FieldType": "calculated",
    "Datatype": "string",
    "Formula": "=IF({{IsPerfect}}, \"\", {{Substrate}})",
    "InventedForQuestion": "q-auditor-substrate-agreement",
    "SemanticTypeIri": "urn:effortless:pko-extension#RulebookField",
    "Name": "TableConformance.ImperfectSubstrateKey",
    "IsDerived": true,
    "IsWitness": true,
    "DisagreeingSubstrateCount": 0,
    "IsSubstrateContested": false
   },
   {
    "RulebookFieldId": "TableConformance.ImperfectTableKey",
    "TargetTable": "TableConformance",
    "FieldName": "ImperfectTableKey",
    "FieldType": "calculated",
    "Datatype": "string",
    "Formula": "=IF({{IsPerfect}}, \"\", {{RulebookTable}})",
    "InventedForQuestion": "q-auditor-substrate-agreement",
    "SemanticTypeIri": "urn:effortless:pko-extension#RulebookField",
    "Name": "TableConformance.ImperfectTableKey",
    "IsDerived": true,
    "IsWitness": true,
    "DisagreeingSubstrateCount": 0,
    "IsSubstrateContested": false
   },
   {
    "RulebookFieldId": "TableConformance.DisagreeingFieldCount",
    "TargetTable": "TableConformance",
    "FieldName": "DisagreeingFieldCount",
    "FieldType": "aggregation",
    "Datatype": "number",
    "Formula": "=COUNTIFS(FieldDisagreements!{{TableConformance}}, {{TableConformanceId}})",
    "InventedForQuestion": "q-auditor-substrate-agreement",
    "SemanticTypeIri": "urn:effortless:pko-extension#RulebookField",
    "Name": "TableConformance.DisagreeingFieldCount",
    "IsDerived": true,
    "IsWitness": true,
    "DisagreeingSubstrateCount": 0,
    "IsSubstrateContested": false
   },
   {
    "RulebookFieldId": "TableConformance.SubstrateLabel",
    "TargetTable": "TableConformance",
    "FieldName": "SubstrateLabel",
    "FieldType": "lookup",
    "Datatype": "string",
    "Formula": "=INDEX(ConformanceSubstrates!{{Label}}, MATCH({{Substrate}}, ConformanceSubstrates!{{ConformanceSubstrateId}}, 0))",
    "InventedForQuestion": "q-auditor-substrate-agreement",
    "SemanticTypeIri": "urn:effortless:pko-extension#RulebookField",
    "Name": "TableConformance.SubstrateLabel",
    "IsDerived": true,
    "IsWitness": true,
    "DisagreeingSubstrateCount": 0,
    "IsSubstrateContested": false
   },
   {
    "RulebookFieldId": "TableConformance.SubjectArea",
    "TargetTable": "TableConformance",
    "FieldName": "SubjectArea",
    "FieldType": "lookup",
    "Datatype": "string",
    "Formula": "=INDEX(RulebookTables!{{SubjectArea}}, MATCH({{RulebookTable}}, RulebookTables!{{RulebookTableId}}, 0))",
    "InventedForQuestion": "q-auditor-substrate-agreement",
    "SemanticTypeIri": "urn:effortless:pko-extension#RulebookField",
    "Name": "TableConformance.SubjectArea",
    "IsDerived": true,
    "IsWitness": true,
    "DisagreeingSubstrateCount": 0,
    "IsSubstrateContested": false
   },
   {
    "RulebookFieldId": "TableConformance.SemanticTypeIri",
    "TargetTable": "TableConformance",
    "FieldName": "SemanticTypeIri",
    "FieldType": "raw",
    "Datatype": "string",
    "Formula": null,
    "InventedForQuestion": null,
    "SemanticTypeIri": "urn:effortless:pko-extension#RulebookField",
    "Name": "TableConformance.SemanticTypeIri",
    "IsDerived": false,
    "IsWitness": false,
    "DisagreeingSubstrateCount": 0,
    "IsSubstrateContested": false
   },
   {
    "RulebookFieldId": "FieldDisagreements.FieldDisagreementId",
    "TargetTable": "FieldDisagreements",
    "FieldName": "FieldDisagreementId",
    "FieldType": "raw",
    "Datatype": "string",
    "Formula": null,
    "InventedForQuestion": null,
    "SemanticTypeIri": "urn:effortless:pko-extension#RulebookField",
    "Name": "FieldDisagreements.FieldDisagreementId",
    "IsDerived": false,
    "IsWitness": false,
    "DisagreeingSubstrateCount": 0,
    "IsSubstrateContested": false
   },
   {
    "RulebookFieldId": "FieldDisagreements.Name",
    "TargetTable": "FieldDisagreements",
    "FieldName": "Name",
    "FieldType": "calculated",
    "Datatype": "string",
    "Formula": "=CONCAT({{Substrate}}, \" / \", {{RulebookField}})",
    "InventedForQuestion": null,
    "SemanticTypeIri": "urn:effortless:pko-extension#RulebookField",
    "Name": "FieldDisagreements.Name",
    "IsDerived": true,
    "IsWitness": false,
    "DisagreeingSubstrateCount": 0,
    "IsSubstrateContested": false
   },
   {
    "RulebookFieldId": "FieldDisagreements.Substrate",
    "TargetTable": "FieldDisagreements",
    "FieldName": "Substrate",
    "FieldType": "relationship",
    "Datatype": "string",
    "Formula": null,
    "InventedForQuestion": null,
    "SemanticTypeIri": "urn:effortless:pko-extension#RulebookField",
    "Name": "FieldDisagreements.Substrate",
    "IsDerived": false,
    "IsWitness": false,
    "DisagreeingSubstrateCount": 0,
    "IsSubstrateContested": false
   },
   {
    "RulebookFieldId": "FieldDisagreements.RulebookField",
    "TargetTable": "FieldDisagreements",
    "FieldName": "RulebookField",
    "FieldType": "relationship",
    "Datatype": "string",
    "Formula": null,
    "InventedForQuestion": null,
    "SemanticTypeIri": "urn:effortless:pko-extension#RulebookField",
    "Name": "FieldDisagreements.RulebookField",
    "IsDerived": false,
    "IsWitness": false,
    "DisagreeingSubstrateCount": 0,
    "IsSubstrateContested": false
   },
   {
    "RulebookFieldId": "FieldDisagreements.TableConformance",
    "TargetTable": "FieldDisagreements",
    "FieldName": "TableConformance",
    "FieldType": "relationship",
    "Datatype": "string",
    "Formula": null,
    "InventedForQuestion": null,
    "SemanticTypeIri": "urn:effortless:pko-extension#RulebookField",
    "Name": "FieldDisagreements.TableConformance",
    "IsDerived": false,
    "IsWitness": false,
    "DisagreeingSubstrateCount": 0,
    "IsSubstrateContested": false
   },
   {
    "RulebookFieldId": "FieldDisagreements.FieldClass",
    "TargetTable": "FieldDisagreements",
    "FieldName": "FieldClass",
    "FieldType": "raw",
    "Datatype": "string",
    "Formula": null,
    "InventedForQuestion": null,
    "SemanticTypeIri": "urn:effortless:pko-extension#RulebookField",
    "Name": "FieldDisagreements.FieldClass",
    "IsDerived": false,
    "IsWitness": false,
    "DisagreeingSubstrateCount": 0,
    "IsSubstrateContested": false
   },
   {
    "RulebookFieldId": "FieldDisagreements.CellsFailed",
    "TargetTable": "FieldDisagreements",
    "FieldName": "CellsFailed",
    "FieldType": "raw",
    "Datatype": "number",
    "Formula": null,
    "InventedForQuestion": null,
    "SemanticTypeIri": "urn:effortless:pko-extension#RulebookField",
    "Name": "FieldDisagreements.CellsFailed",
    "IsDerived": false,
    "IsWitness": false,
    "DisagreeingSubstrateCount": 0,
    "IsSubstrateContested": false
   },
   {
    "RulebookFieldId": "FieldDisagreements.DominantReason",
    "TargetTable": "FieldDisagreements",
    "FieldName": "DominantReason",
    "FieldType": "raw",
    "Datatype": "string",
    "Formula": null,
    "InventedForQuestion": null,
    "SemanticTypeIri": "urn:effortless:pko-extension#RulebookField",
    "Name": "FieldDisagreements.DominantReason",
    "IsDerived": false,
    "IsWitness": false,
    "DisagreeingSubstrateCount": 0,
    "IsSubstrateContested": false
   },
   {
    "RulebookFieldId": "FieldDisagreements.SampledCellCount",
    "TargetTable": "FieldDisagreements",
    "FieldName": "SampledCellCount",
    "FieldType": "aggregation",
    "Datatype": "number",
    "Formula": "=COUNTIFS(CellDisagreements!{{FieldDisagreement}}, {{FieldDisagreementId}})",
    "InventedForQuestion": "q-auditor-substrate-agreement",
    "SemanticTypeIri": "urn:effortless:pko-extension#RulebookField",
    "Name": "FieldDisagreements.SampledCellCount",
    "IsDerived": true,
    "IsWitness": true,
    "DisagreeingSubstrateCount": 0,
    "IsSubstrateContested": false
   },
   {
    "RulebookFieldId": "FieldDisagreements.IsFullySampled",
    "TargetTable": "FieldDisagreements",
    "FieldName": "IsFullySampled",
    "FieldType": "calculated",
    "Datatype": "boolean",
    "Formula": "={{SampledCellCount}} = {{CellsFailed}}",
    "InventedForQuestion": "q-auditor-substrate-agreement",
    "SemanticTypeIri": "urn:effortless:pko-extension#RulebookField",
    "Name": "FieldDisagreements.IsFullySampled",
    "IsDerived": true,
    "IsWitness": true,
    "DisagreeingSubstrateCount": 0,
    "IsSubstrateContested": false
   },
   {
    "RulebookFieldId": "FieldDisagreements.Formula",
    "TargetTable": "FieldDisagreements",
    "FieldName": "Formula",
    "FieldType": "lookup",
    "Datatype": "string",
    "Formula": "=INDEX(RulebookFields!{{Formula}}, MATCH({{RulebookField}}, RulebookFields!{{RulebookFieldId}}, 0))",
    "InventedForQuestion": "q-auditor-substrate-agreement",
    "SemanticTypeIri": "urn:effortless:pko-extension#RulebookField",
    "Name": "FieldDisagreements.Formula",
    "IsDerived": true,
    "IsWitness": true,
    "DisagreeingSubstrateCount": 0,
    "IsSubstrateContested": false
   },
   {
    "RulebookFieldId": "FieldDisagreements.SubstrateLabel",
    "TargetTable": "FieldDisagreements",
    "FieldName": "SubstrateLabel",
    "FieldType": "lookup",
    "Datatype": "string",
    "Formula": "=INDEX(ConformanceSubstrates!{{Label}}, MATCH({{Substrate}}, ConformanceSubstrates!{{ConformanceSubstrateId}}, 0))",
    "InventedForQuestion": "q-auditor-substrate-agreement",
    "SemanticTypeIri": "urn:effortless:pko-extension#RulebookField",
    "Name": "FieldDisagreements.SubstrateLabel",
    "IsDerived": true,
    "IsWitness": true,
    "DisagreeingSubstrateCount": 0,
    "IsSubstrateContested": false
   },
   {
    "RulebookFieldId": "FieldDisagreements.SemanticTypeIri",
    "TargetTable": "FieldDisagreements",
    "FieldName": "SemanticTypeIri",
    "FieldType": "raw",
    "Datatype": "string",
    "Formula": null,
    "InventedForQuestion": null,
    "SemanticTypeIri": "urn:effortless:pko-extension#RulebookField",
    "Name": "FieldDisagreements.SemanticTypeIri",
    "IsDerived": false,
    "IsWitness": false,
    "DisagreeingSubstrateCount": 0,
    "IsSubstrateContested": false
   },
   {
    "RulebookFieldId": "CellDisagreements.CellDisagreementId",
    "TargetTable": "CellDisagreements",
    "FieldName": "CellDisagreementId",
    "FieldType": "raw",
    "Datatype": "string",
    "Formula": null,
    "InventedForQuestion": null,
    "SemanticTypeIri": "urn:effortless:pko-extension#RulebookField",
    "Name": "CellDisagreements.CellDisagreementId",
    "IsDerived": false,
    "IsWitness": false,
    "DisagreeingSubstrateCount": 0,
    "IsSubstrateContested": false
   },
   {
    "RulebookFieldId": "CellDisagreements.Name",
    "TargetTable": "CellDisagreements",
    "FieldName": "Name",
    "FieldType": "calculated",
    "Datatype": "string",
    "Formula": "=CONCAT({{FieldDisagreement}}, \" @ \", {{RecordId}})",
    "InventedForQuestion": null,
    "SemanticTypeIri": "urn:effortless:pko-extension#RulebookField",
    "Name": "CellDisagreements.Name",
    "IsDerived": true,
    "IsWitness": false,
    "DisagreeingSubstrateCount": 0,
    "IsSubstrateContested": false
   },
   {
    "RulebookFieldId": "CellDisagreements.FieldDisagreement",
    "TargetTable": "CellDisagreements",
    "FieldName": "FieldDisagreement",
    "FieldType": "relationship",
    "Datatype": "string",
    "Formula": null,
    "InventedForQuestion": null,
    "SemanticTypeIri": "urn:effortless:pko-extension#RulebookField",
    "Name": "CellDisagreements.FieldDisagreement",
    "IsDerived": false,
    "IsWitness": false,
    "DisagreeingSubstrateCount": 0,
    "IsSubstrateContested": false
   },
   {
    "RulebookFieldId": "CellDisagreements.RecordId",
    "TargetTable": "CellDisagreements",
    "FieldName": "RecordId",
    "FieldType": "raw",
    "Datatype": "string",
    "Formula": null,
    "InventedForQuestion": null,
    "SemanticTypeIri": "urn:effortless:pko-extension#RulebookField",
    "Name": "CellDisagreements.RecordId",
    "IsDerived": false,
    "IsWitness": false,
    "DisagreeingSubstrateCount": 0,
    "IsSubstrateContested": false
   },
   {
    "RulebookFieldId": "CellDisagreements.ExpectedValue",
    "TargetTable": "CellDisagreements",
    "FieldName": "ExpectedValue",
    "FieldType": "raw",
    "Datatype": "string",
    "Formula": null,
    "InventedForQuestion": null,
    "SemanticTypeIri": "urn:effortless:pko-extension#RulebookField",
    "Name": "CellDisagreements.ExpectedValue",
    "IsDerived": false,
    "IsWitness": false,
    "DisagreeingSubstrateCount": 0,
    "IsSubstrateContested": false
   },
   {
    "RulebookFieldId": "CellDisagreements.ActualValue",
    "TargetTable": "CellDisagreements",
    "FieldName": "ActualValue",
    "FieldType": "raw",
    "Datatype": "string",
    "Formula": null,
    "InventedForQuestion": null,
    "SemanticTypeIri": "urn:effortless:pko-extension#RulebookField",
    "Name": "CellDisagreements.ActualValue",
    "IsDerived": false,
    "IsWitness": false,
    "DisagreeingSubstrateCount": 0,
    "IsSubstrateContested": false
   },
   {
    "RulebookFieldId": "CellDisagreements.Reason",
    "TargetTable": "CellDisagreements",
    "FieldName": "Reason",
    "FieldType": "raw",
    "Datatype": "string",
    "Formula": null,
    "InventedForQuestion": null,
    "SemanticTypeIri": "urn:effortless:pko-extension#RulebookField",
    "Name": "CellDisagreements.Reason",
    "IsDerived": false,
    "IsWitness": false,
    "DisagreeingSubstrateCount": 0,
    "IsSubstrateContested": false
   },
   {
    "RulebookFieldId": "CellDisagreements.Substrate",
    "TargetTable": "CellDisagreements",
    "FieldName": "Substrate",
    "FieldType": "lookup",
    "Datatype": "string",
    "Formula": "=INDEX(FieldDisagreements!{{Substrate}}, MATCH({{FieldDisagreement}}, FieldDisagreements!{{FieldDisagreementId}}, 0))",
    "InventedForQuestion": "q-auditor-substrate-agreement",
    "SemanticTypeIri": "urn:effortless:pko-extension#RulebookField",
    "Name": "CellDisagreements.Substrate",
    "IsDerived": true,
    "IsWitness": true,
    "DisagreeingSubstrateCount": 0,
    "IsSubstrateContested": false
   },
   {
    "RulebookFieldId": "CellDisagreements.RulebookField",
    "TargetTable": "CellDisagreements",
    "FieldName": "RulebookField",
    "FieldType": "lookup",
    "Datatype": "string",
    "Formula": "=INDEX(FieldDisagreements!{{RulebookField}}, MATCH({{FieldDisagreement}}, FieldDisagreements!{{FieldDisagreementId}}, 0))",
    "InventedForQuestion": "q-auditor-substrate-agreement",
    "SemanticTypeIri": "urn:effortless:pko-extension#RulebookField",
    "Name": "CellDisagreements.RulebookField",
    "IsDerived": true,
    "IsWitness": true,
    "DisagreeingSubstrateCount": 0,
    "IsSubstrateContested": false
   },
   {
    "RulebookFieldId": "CellDisagreements.SemanticTypeIri",
    "TargetTable": "CellDisagreements",
    "FieldName": "SemanticTypeIri",
    "FieldType": "raw",
    "Datatype": "string",
    "Formula": null,
    "InventedForQuestion": null,
    "SemanticTypeIri": "urn:effortless:pko-extension#RulebookField",
    "Name": "CellDisagreements.SemanticTypeIri",
    "IsDerived": false,
    "IsWitness": false,
    "DisagreeingSubstrateCount": 0,
    "IsSubstrateContested": false
   }
  ]
 },
 "TestSuites": {
  "Description": "Groups of conformance checks. Rollups here are computed from TestCases, so the board's headline is itself a derived field.",
  "schema": [
   {
    "name": "TestSuiteId",
    "datatype": "string",
    "type": "raw",
    "nullable": false,
    "Description": "Stored logical identifier for one TestSuites row."
   },
   {
    "name": "Name",
    "datatype": "string",
    "type": "calculated",
    "nullable": true,
    "Description": "Human-readable calculated display alias for the TestSuites row.",
    "formula": "={{Label}}"
   },
   {
    "name": "Label",
    "datatype": "string",
    "type": "raw",
    "nullable": true,
    "Description": "Display name for this suite."
   },
   {
    "name": "TestCount",
    "datatype": "number",
    "type": "aggregation",
    "nullable": true,
    "Description": "How many checks belong to this suite.",
    "formula": "=COUNTIFS(TestCases!{{Suite}}, {{TestSuiteId}})"
   },
   {
    "name": "PassCount",
    "datatype": "number",
    "type": "aggregation",
    "nullable": true,
    "Description": "How many checks passed on the last run.",
    "formula": "=COUNTIFS(TestCases!{{PassingSuiteKey}}, {{TestSuiteId}})"
   },
   {
    "name": "BlockingFailCount",
    "datatype": "number",
    "type": "aggregation",
    "nullable": true,
    "Description": "How many blocking checks failed. This is the number that must be zero for the board to be green.",
    "formula": "=COUNTIFS(TestCases!{{NeedsAttentionSuiteKey}}, {{TestSuiteId}})"
   },
   {
    "name": "IsGreen",
    "datatype": "boolean",
    "type": "calculated",
    "nullable": true,
    "Description": "TRUE when no blocking check is failing. Advisory warnings do not break the board.",
    "formula": "={{BlockingFailCount}} = 0"
   },
   {
    "name": "SemanticTypeIri",
    "datatype": "string",
    "type": "raw",
    "nullable": true,
    "Description": "Extension class IRI."
   }
  ],
  "data": [
   {
    "TestSuiteId": "suite-structure",
    "Label": "Model structure",
    "SemanticTypeIri": "urn:effortless:pko-extension#TestSuite",
    "Name": "Model structure",
    "TestCount": 69,
    "PassCount": 69,
    "BlockingFailCount": 0,
    "IsGreen": true
   },
   {
    "TestSuiteId": "suite-substrate",
    "Label": "Substrate translation",
    "SemanticTypeIri": "urn:effortless:pko-extension#TestSuite",
    "Name": "Substrate translation",
    "TestCount": 993,
    "PassCount": 991,
    "BlockingFailCount": 0,
    "IsGreen": true
   },
   {
    "TestSuiteId": "suite-integrity",
    "Label": "Referential integrity",
    "SemanticTypeIri": "urn:effortless:pko-extension#TestSuite",
    "Name": "Referential integrity",
    "TestCount": 160,
    "PassCount": 160,
    "BlockingFailCount": 0,
    "IsGreen": true
   },
   {
    "TestSuiteId": "suite-witness",
    "Label": "Witness behaviour",
    "SemanticTypeIri": "urn:effortless:pko-extension#TestSuite",
    "Name": "Witness behaviour",
    "TestCount": 458,
    "PassCount": 225,
    "BlockingFailCount": 0,
    "IsGreen": true
   },
   {
    "TestSuiteId": "suite-provenance",
    "Label": "Question provenance",
    "SemanticTypeIri": "urn:effortless:pko-extension#TestSuite",
    "Name": "Question provenance",
    "TestCount": 107,
    "PassCount": 107,
    "BlockingFailCount": 0,
    "IsGreen": true
   },
   {
    "TestSuiteId": "suite-invariant",
    "Label": "Domain invariants",
    "SemanticTypeIri": "urn:effortless:pko-extension#TestSuite",
    "Name": "Domain invariants",
    "TestCount": 7,
    "PassCount": 7,
    "BlockingFailCount": 0,
    "IsGreen": true
   }
  ]
 },
 "TestCases": {
  "Description": "The conformance suite, as data. One row per check, naming what it checks and — where applicable — the role question whose answer it defends. tools/run_test_suite.py executes these rows and writes the outcome back; it invents no checks of its own.",
  "schema": [
   {
    "name": "TestCaseId",
    "datatype": "string",
    "type": "raw",
    "nullable": false,
    "Description": "Stored logical identifier for one TestCases row."
   },
   {
    "name": "Name",
    "datatype": "string",
    "type": "calculated",
    "nullable": true,
    "Description": "Human-readable calculated display alias for the TestCases row.",
    "formula": "={{TestKind}} &amp; \": \" &amp; {{Subject}}"
   },
   {
    "name": "TestKind",
    "datatype": "string",
    "type": "raw",
    "nullable": true,
    "Description": "What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
   },
   {
    "name": "Subject",
    "datatype": "string",
    "type": "raw",
    "nullable": true,
    "Description": "What is under test — a Table.Field, a table, a view, or a question id."
   },
   {
    "name": "TargetTable",
    "datatype": "string",
    "type": "raw",
    "nullable": true,
    "Description": "The table this check reads, when it reads one."
   },
   {
    "name": "TargetField",
    "datatype": "string",
    "type": "raw",
    "nullable": true,
    "Description": "The field this check reads, when it reads one."
   },
   {
    "name": "Assertion",
    "datatype": "string",
    "type": "raw",
    "nullable": true,
    "Description": "What must be true, stated so a human can judge the verdict without reading code."
   },
   {
    "name": "DefendsQuestion",
    "datatype": "string",
    "type": "relationship",
    "nullable": true,
    "Description": "The role question whose answer this check protects. Null for checks that defend the model's structure rather than a specific question.",
    "RelatedTo": "RoleQuestions"
   },
   {
    "name": "Suite",
    "datatype": "string",
    "type": "relationship",
    "nullable": true,
    "Description": "The suite this check belongs to.",
    "RelatedTo": "TestSuites"
   },
   {
    "name": "Severity",
    "datatype": "string",
    "type": "raw",
    "nullable": true,
    "Description": "blocking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
   },
   {
    "name": "IsBlocking",
    "datatype": "boolean",
    "type": "calculated",
    "nullable": true,
    "Description": "TRUE when a failure of this check means the model is asserting something false.",
    "formula": "={{Severity}} = \"blocking\""
   },
   {
    "name": "LastOutcome",
    "datatype": "string",
    "type": "raw",
    "nullable": true,
    "Description": "PASS, WARN, FAIL, or SKIP from the most recent run. Written by tools/run_test_suite.py from the substrate — never hand-edited."
   },
   {
    "name": "LastDetail",
    "datatype": "string",
    "type": "raw",
    "nullable": true,
    "Description": "The observed reading behind LastOutcome, e.g. a fire count or the error text."
   },
   {
    "name": "LastRunAt",
    "datatype": "datetime",
    "type": "raw",
    "nullable": true,
    "Description": "When this check last ran."
   },
   {
    "name": "IsPassing",
    "datatype": "boolean",
    "type": "calculated",
    "nullable": true,
    "Description": "TRUE when the last run passed outright.",
    "formula": "={{LastOutcome}} = \"PASS\""
   },
   {
    "name": "IsFailing",
    "datatype": "boolean",
    "type": "calculated",
    "nullable": true,
    "Description": "TRUE when the last run failed. A blocking failure means the model is asserting something false.",
    "formula": "={{LastOutcome}} = \"FAIL\""
   },
   {
    "name": "NeedsAttention",
    "datatype": "boolean",
    "type": "calculated",
    "nullable": true,
    "Description": "TRUE when this check failed and its failure means the model is wrong. This is the number that must be zero.",
    "formula": "=AND({{IsFailing}}, {{IsBlocking}})"
   },
   {
    "name": "PassingSuiteKey",
    "datatype": "string",
    "type": "calculated",
    "nullable": true,
    "Description": "Echoes the suite id only for checks that passed; empty otherwise. Single-criterion COUNTIFS key.",
    "formula": "=IF({{IsPassing}}, {{Suite}}, \"\")"
   },
   {
    "name": "NeedsAttentionSuiteKey",
    "datatype": "string",
    "type": "calculated",
    "nullable": true,
    "Description": "Echoes the suite id only for blocking checks that failed; empty otherwise. Single-criterion COUNTIFS key.",
    "formula": "=IF({{NeedsAttention}}, {{Suite}}, \"\")"
   },
   {
    "name": "SemanticTypeIri",
    "datatype": "string",
    "type": "raw",
    "nullable": true,
    "Description": "Extension class IRI."
   }
  ],
  "data": [
   {
    "TestCaseId": "tc-struct-rulebook_releases",
    "TestKind": "structural",
    "Subject": "RulebookReleases",
    "TargetTable": "RulebookReleases",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RulebookReleases",
    "IsBlocking": true,
    "IsPassing": true,
    "IsFailing": false,
    "NeedsAttention": false,
    "PassingSuiteKey": "suite-structure",
    "NeedsAttentionSuiteKey": null
   },
   {
    "TestCaseId": "tc-struct-ontology_profiles",
    "TestKind": "structural",
    "Subject": "OntologyProfiles",
    "TargetTable": "OntologyProfiles",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OntologyProfiles",
    "IsBlocking": true,
    "IsPassing": true,
    "IsFailing": false,
    "NeedsAttention": false,
    "PassingSuiteKey": "suite-structure",
    "NeedsAttentionSuiteKey": null
   },
   {
    "TestCaseId": "tc-struct-evaluation_contexts",
    "TestKind": "structural",
    "Subject": "EvaluationContexts",
    "TargetTable": "EvaluationContexts",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EvaluationContexts",
    "IsBlocking": true,
    "IsPassing": true,
    "IsFailing": false,
    "NeedsAttention": false,
    "PassingSuiteKey": "suite-structure",
    "NeedsAttentionSuiteKey": null
   },
   {
    "TestCaseId": "tc-struct-organizations",
    "TestKind": "structural",
    "Subject": "Organizations",
    "TargetTable": "Organizations",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Organizations",
    "IsBlocking": true,
    "IsPassing": true,
    "IsFailing": false,
    "NeedsAttention": false,
    "PassingSuiteKey": "suite-structure",
    "NeedsAttentionSuiteKey": null
   },
   {
    "TestCaseId": "tc-struct-agents",
    "TestKind": "structural",
    "Subject": "Agents",
    "TargetTable": "Agents",
    "TargetField": null,
    "Assertion": "Primary key first and non-nullable, and a calculated Name display alias exists.",
    "DefendsQuestion": null,
    "Suite": "suite-structure",
    "Severity": "blocking",
    "LastOutcome": "PASS",
    "LastDetail": "19 fields",
    "LastRunAt": "2026-07-20T03:06:49+00:00",
    "SemanticTypeIri": "urn:effortless:pko-extension#TestCase",
    "Name": "structural: Agents",
    "IsBlocking": true,
    "IsPassing": true,
    "IsFailing": false,
    "NeedsAttention": false,
    "PassingSuiteKey": "suite-structure",
    "NeedsAttentionSuiteKey": null
   },
   {
    "TestCaseId": "tc-struct-roles",
    "TestKind": "structural",
    "Subject": "Roles",
    "TargetTable": "Roles",
    "TargetField": null,
    "Assertion": "Primary key first and non-nullable, and a calculated Name display alias exists.",
    "DefendsQuestion": null,
    "Suite": "suite-structure",
    "Severity": "blocking",
    "LastOutcome": "PASS",
    "LastDetail": "24 fields",
    "LastRunAt": "2026-07-20T03:06:49+00:00",
    "SemanticTypeIri": "urn:effortless:pko-extension#TestCase",
    "Name": "structural: Roles",
    "IsBlocking": true,
    "IsPassing": true,
    "IsFailing": false,
    "NeedsAttention": false,
    "PassingSuiteKey": "suite-structure",
    "NeedsAttentionSuiteKey": null
   },
   {
    "TestCaseId": "tc-struct-role_assignments",
    "TestKind": "structural",
    "Subject": "RoleAssignments",
    "TargetTable": "RoleAssignments",
    "TargetField": null,
    "Assertion": "Primary key first and non-nullable, and a calculated Name display alias exists.",
    "DefendsQuestion": null,
    "Suite": "suite-structure",
    "Severity": "blocking",
    "LastOutcome": "PASS",
    "LastDetail": "65 fields",
    "LastRunAt": "2026-07-20T03:06:49+00:00",
    "SemanticTypeIri": "urn:effortless:pko-extension#TestCase",
    "Name": "structural: RoleAssignments",
    "IsBlocking": true,
    "IsPassing": true,
    "IsFailing": false,
    "NeedsAttention": false,
    "PassingSuiteKey": "suite-structure",
    "NeedsAttentionSuiteKey": null
   },
   {
    "TestCaseId": "tc-struct-communities_of_practice",
    "TestKind": "structural",
    "Subject": "CommunitiesOfPractice",
    "TargetTable": "CommunitiesOfPractice",
    "TargetField": null,
    "Assertion": "Primary key first and non-nullable, and a calculated Name display alias exists.",
    "DefendsQuestion": null,
    "Suite": "suite-structure",
    "Severity": "blocking",
    "LastOutcome": "PASS",
    "LastDetail": "8 fields",
</t>
  </si>
  <si>
    <t xml:space="preserve">    "LastRunAt": "2026-07-20T03:06:49+00:00",
    "SemanticTypeIri": "urn:effortless:pko-extension#TestCase",
    "Name": "structural: CommunitiesOfPractice",
    "IsBlocking": true,
    "IsPassing": true,
    "IsFailing": false,
    "NeedsAttention": false,
    "PassingSuiteKey": "suite-structure",
    "NeedsAttentionSuiteKey": null
   },
   {
    "TestCaseId": "tc-struct-mentorships",
    "TestKind": "structural",
    "Subject": "Mentorships",
    "TargetTable": "Mentorships",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Mentorships",
    "IsBlocking": true,
    "IsPassing": true,
    "IsFailing": false,
    "NeedsAttention": false,
    "PassingSuiteKey": "suite-structure",
    "NeedsAttentionSuiteKey": null
   },
   {
    "TestCaseId": "tc-struct-procedure_types",
    "TestKind": "structural",
    "Subject": "ProcedureTypes",
    "TargetTable": "ProcedureTypes",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ProcedureTypes",
    "IsBlocking": true,
    "IsPassing": true,
    "IsFailing": false,
    "NeedsAttention": false,
    "PassingSuiteKey": "suite-structure",
    "NeedsAttentionSuiteKey": null
   },
   {
    "TestCaseId": "tc-struct-procedures",
    "TestKind": "structural",
    "Subject": "Procedures",
    "TargetTable": "Procedures",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Procedures",
    "IsBlocking": true,
    "IsPassing": true,
    "IsFailing": false,
    "NeedsAttention": false,
    "PassingSuiteKey": "suite-structure",
    "NeedsAttentionSuiteKey": null
   },
   {
    "TestCaseId": "tc-struct-procedure_versions",
    "TestKind": "structural",
    "Subject": "ProcedureVersions",
    "TargetTable": "ProcedureVersions",
    "TargetField": null,
    "Assertion": "Primary key first and non-nullable, and a calculated Name display alias exists.",
    "DefendsQuestion": null,
    "Suite": "suite-structure",
    "Severity": "blocking",
    "LastOutcome": "PASS",
    "LastDetail": "83 fields",
    "LastRunAt": "2026-07-20T03:06:49+00:00",
    "SemanticTypeIri": "urn:effortless:pko-extension#TestCase",
    "Name": "structural: ProcedureVersions",
    "IsBlocking": true,
    "IsPassing": true,
    "IsFailing": false,
    "NeedsAttention": false,
    "PassingSuiteKey": "suite-structure",
    "NeedsAttentionSuiteKey": null
   },
   {
    "TestCaseId": "tc-struct-procedure_version_links",
    "TestKind": "structural",
    "Subject": "ProcedureVersionLinks",
    "TargetTable": "ProcedureVersionLinks",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ProcedureVersionLinks",
    "IsBlocking": true,
    "IsPassing": true,
    "IsFailing": false,
    "NeedsAttention": false,
    "PassingSuiteKey": "suite-structure",
    "NeedsAttentionSuiteKey": null
   },
   {
    "TestCaseId": "tc-struct-procedure_status_changes",
    "TestKind": "structural",
    "Subject": "ProcedureStatusChanges",
    "TargetTable": "ProcedureStatusChanges",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ProcedureStatusChanges",
    "IsBlocking": true,
    "IsPassing": true,
    "IsFailing": false,
    "NeedsAttention": false,
    "PassingSuiteKey": "suite-structure",
    "NeedsAttentionSuiteKey": null
   },
   {
    "TestCaseId": "tc-struct-steps",
    "TestKind": "structural",
    "Subject": "Steps",
    "TargetTable": "Steps",
    "TargetField": null,
    "Assertion": "Primary key first and non-nullable, and a calculated Name display alias exists.",
    "DefendsQuestion": null,
    "Suite": "suite-structure",
    "Severity": "blocking",
    "LastOutcome": "PASS",
    "LastDetail": "42 fields",
    "LastRunAt": "2026-07-20T03:06:49+00:00",
    "SemanticTypeIri": "urn:effortless:pko-extension#TestCase",
    "Name": "structural: Steps",
    "IsBlocking": true,
    "IsPassing": true,
    "IsFailing": false,
    "NeedsAttention": false,
    "PassingSuiteKey": "suite-structure",
    "NeedsAttentionSuiteKey": null
   },
   {
    "TestCaseId": "tc-struct-step_transitions",
    "TestKind": "structural",
    "Subject": "StepTransitions",
    "TargetTable": "StepTransitions",
    "TargetField": null,
    "Assertion": "Primary key first and non-nullable, and a calculated Name display alias exists.",
    "DefendsQuestion": null,
    "Suite": "suite-structure",
    "Severity": "blocking",
    "LastOutcome": "PASS",
    "LastDetail": "23 fields",
    "LastRunAt": "2026-07-20T03:06:49+00:00",
    "SemanticTypeIri": "urn:effortless:pko-extension#TestCase",
    "Name": "structural: StepTransitions",
    "IsBlocking": true,
    "IsPassing": true,
    "IsFailing": false,
    "NeedsAttention": false,
    "PassingSuiteKey": "suite-structure",
    "NeedsAttentionSuiteKey": null
   },
   {
    "TestCaseId": "tc-struct-actions",
    "TestKind": "structural",
    "Subject": "Actions",
    "TargetTable": "Actions",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Actions",
    "IsBlocking": true,
    "IsPassing": true,
    "IsFailing": false,
    "NeedsAttention": false,
    "PassingSuiteKey": "suite-structure",
    "NeedsAttentionSuiteKey": null
   },
   {
    "TestCaseId": "tc-struct-functions",
    "TestKind": "structural",
    "Subject": "Functions",
    "TargetTable": "Functions",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Functions",
    "IsBlocking": true,
    "IsPassing": true,
    "IsFailing": false,
    "NeedsAttention": false,
    "PassingSuiteKey": "suite-structure",
    "NeedsAttentionSuiteKey": null
   },
   {
    "TestCaseId": "tc-struct-tools",
    "TestKind": "structural",
    "Subject": "Tools",
    "TargetTable": "Tools",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Tools",
    "IsBlocking": true,
    "IsPassing": true,
    "IsFailing": false,
    "NeedsAttention": false,
    "PassingSuiteKey": "suite-structure",
    "NeedsAttentionSuiteKey": null
   },
   {
    "TestCaseId": "tc-struct-step_actions",
    "TestKind": "structural",
    "Subject": "StepActions",
    "TargetTable": "StepActions",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StepActions",
    "IsBlocking": true,
    "IsPassing": true,
    "IsFailing": false,
    "NeedsAttention": false,
    "PassingSuiteKey": "suite-structure",
    "NeedsAttentionSuiteKey": null
   },
   {
    "TestCaseId": "tc-struct-step_functions",
    "TestKind": "structural",
    "Subject": "StepFunctions",
    "TargetTable": "StepFunctions",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StepFunctions",
    "IsBlocking": true,
    "IsPassing": true,
    "IsFailing": false,
    "NeedsAttention": false,
    "PassingSuiteKey": "suite-structure",
    "NeedsAttentionSuiteKey": null
   },
   {
    "TestCaseId": "tc-struct-step_tools",
    "TestKind": "structural",
    "Subject": "StepTools",
    "TargetTable": "StepTools",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StepTools",
    "IsBlocking": true,
    "IsPassing": true,
    "IsFailing": false,
    "NeedsAttention": false,
    "PassingSuiteKey": "suite-structure",
    "NeedsAttentionSuiteKey": null
   },
   {
    "TestCaseId": "tc-struct-requirements",
    "TestKind": "structural",
    "Subject": "Requirements",
    "TargetTable": "Requirements",
    "TargetField": null,
    "Assertion": "Primary key first and non-nullable, and a calculated Name display alias exists.",
    "DefendsQuestion": null,
    "Suite": "suite-structure",
    "Severity": "blocking",
    "LastOutcome": "PASS",
    "LastDetail": "41 fields",
    "LastRunAt": "2026-07-20T03:06:49+00:00",
    "SemanticTypeIri": "urn:effortless:pko-extension#TestCase",
    "Name": "structural: Requirements",
    "IsBlocking": true,
    "IsPassing": true,
    "IsFailing": false,
    "NeedsAttention": false,
    "PassingSuiteKey": "suite-structure",
    "NeedsAttentionSuiteKey": null
   },
   {
    "TestCaseId": "tc-struct-step_requirements",
    "TestKind": "structural",
    "Subject": "StepRequirements",
    "TargetTable": "StepRequirements",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StepRequirements",
    "IsBlocking": true,
    "IsPassing": true,
    "IsFailing": false,
    "NeedsAttention": false,
    "PassingSuiteKey": "suite-structure",
    "NeedsAttentionSuiteKey": null
   },
   {
    "TestCaseId": "tc-struct-step_verifications",
    "TestKind": "structural",
    "Subject": "StepVerifications",
    "TargetTable": "StepVerifications",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StepVerifications",
    "IsBlocking": true,
    "IsPassing": true,
    "IsFailing": false,
    "NeedsAttention": false,
    "PassingSuiteKey": "suite-structure",
    "NeedsAttentionSuiteKey": null
   },
   {
    "TestCaseId": "tc-struct-rationales",
    "TestKind": "structural",
    "Subject": "Rationales",
    "TargetTable": "Rationales",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Rationales",
    "IsBlocking": true,
    "IsPassing": true,
    "IsFailing": false,
    "NeedsAttention": false,
    "PassingSuiteKey": "suite-structure",
    "NeedsAttentionSuiteKey": null
   },
   {
    "TestCaseId": "tc-struct-exceptions",
    "TestKind": "structural",
    "Subject": "Exceptions",
    "TargetTable": "Exceptions",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Exceptions",
    "IsBlocking": true,
    "IsPassing": true,
    "IsFailing": false,
    "NeedsAttention": false,
    "PassingSuiteKey": "suite-structure",
    "NeedsAttentionSuiteKey": null
   },
   {
    "TestCaseId": "tc-struct-resources",
    "TestKind": "structural",
    "Subject": "Resources",
    "TargetTable": "Resources",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Resources",
    "IsBlocking": true,
    "IsPassing": true,
    "IsFailing": false,
    "NeedsAttention": false,
    "PassingSuiteKey": "suite-structure",
    "NeedsAttentionSuiteKey": null
   },
   {
    "TestCaseId": "tc-struct-procedure_resources",
    "TestKind": "structural",
    "Subject": "ProcedureResources",
    "TargetTable": "ProcedureResources",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ProcedureResources",
    "IsBlocking": true,
    "IsPassing": true,
    "IsFailing": false,
    "NeedsAttention": false,
    "PassingSuiteKey": "suite-structure",
    "NeedsAttentionSuiteKey": null
   },
   {
    "TestCaseId": "tc-struct-elicitation_sessions",
    "TestKind": "structural",
    "Subject": "ElicitationSessions",
    "TargetTable": "ElicitationSessions",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ElicitationSessions",
    "IsBlocking": true,
    "IsPassing": true,
    "IsFailing": false,
    "NeedsAttention": false,
    "PassingSuiteKey": "suite-structure",
    "NeedsAttentionSuiteKey": null
   },
   {
    "TestCaseId": "tc-struct-knowledge_fragments",
    "TestKind": "structural",
    "Subject": "KnowledgeFragments",
    "TargetTable": "KnowledgeFragments",
    "TargetField": null,
    "Assertion": "Primary key first and non-nullable, and a calculated Name display alias exists.",
    "DefendsQuestion": null,
    "Suite": "suite-structure",
    "Severity": "blocking",
    "LastOutcome": "PASS",
    "LastDetail": "80 fields",
    "LastRunAt": "2026-07-20T03:06:49+00:00",
    "SemanticTypeIri": "urn:effortless:pko-extension#TestCase",
    "Name": "structural: KnowledgeFragments",
    "IsBlocking": true,
    "IsPassing": true,
    "IsFailing": false,
    "NeedsAttention": false,
    "PassingSuiteKey": "suite-structure",
    "NeedsAttentionSuiteKey": null
   },
   {
    "TestCaseId": "tc-struct-knowledge_gaps",
    "TestKind": "structural",
    "Subject": "KnowledgeGaps",
    "TargetTable": "KnowledgeGaps",
    "TargetField": null,
    "Assertion": "Primary key first and non-nullable, and a calculated Name display alias exists.",
    "DefendsQuestion": null,
    "Suite": "suite-structure",
    "Severity": "blocking",
    "LastOutcome": "PASS",
    "LastDetail": "28 fields",
    "LastRunAt": "2026-07-20T03:06:49+00:00",
    "SemanticTypeIri": "urn:effortless:pko-extension#TestCase",
    "Name": "structural: KnowledgeGaps",
    "IsBlocking": true,
    "IsPassing": true,
    "IsFailing": false,
    "NeedsAttention": false,
    "PassingSuiteKey": "suite-structure",
    "NeedsAttentionSuiteKey": null
   },
   {
    "TestCaseId": "tc-struct-f_a_qs",
    "TestKind": "structural",
    "Subject": "FAQs",
    "TargetTable": "FAQs",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FAQs",
    "IsBlocking": true,
    "IsPassing": true,
    "IsFailing": false,
    "NeedsAttention": false,
    "PassingSuiteKey": "suite-structure",
    "NeedsAttentionSuiteKey": null
   },
   {
    "TestCaseId": "tc-struct-explanations",
    "TestKind": "structural",
    "Subject": "Explanations",
    "TargetTable": "Explanations",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Explanations",
    "IsBlocking": true,
    "IsPassing": true,
    "IsFailing": false,
    "NeedsAttention": false,
    "PassingSuiteKey": "suite-structure",
    "NeedsAttentionSuiteKey": null
   },
   {
    "TestCaseId": "tc-struct-procedure_executions",
    "TestKind": "structural",
    "Subject": "ProcedureExecutions",
    "TargetTable": "ProcedureExecutions",
    "TargetField": null,
    "Assertion": "Primary key first and non-nullable, and a calculated Name display alias exists.",
    "DefendsQuestion": null,
    "Suite": "suite-structure",
    "Severity": "blocking",
    "LastOutcome": "PASS",
    "LastDetail": "78 fields",
    "LastRunAt": "2026-07-20T03:06:49+00:00",
    "SemanticTypeIri": "urn:effortless:pko-extension#TestCase",
    "Name": "structural: ProcedureExecutions",
    "IsBlocking": true,
    "IsPassing": true,
    "IsFailing": false,
    "NeedsAttention": false,
    "PassingSuiteKey": "suite-structure",
    "NeedsAttentionSuiteKey": null
   },
   {
    "TestCaseId": "tc-struct-step_executions",
    "TestKind": "structural",
    "Subject": "StepExecutions",
    "TargetTable": "StepExecutions",
    "TargetField": null,
    "Assertion": "Primary key first and non-nullable, and a calculated Name display alias exists.",
    "DefendsQuestion": null,
    "Suite": "suite-structure",
    "Severity": "blocking",
    "LastOutcome": "PASS",
    "LastDetail": "109 fields",
    "LastRunAt": "2026-07-20T03:06:49+00:00",
    "SemanticTypeIri": "urn:effortless:pko-extension#TestCase",
    "Name": "structural: StepExecutions",
    "IsBlocking": true,
    "IsPassing": true,
    "IsFailing": false,
    "NeedsAttention": false,
    "PassingSuiteKey": "suite-structure",
    "NeedsAttentionSuiteKey": null
   },
   {
    "TestCaseId": "tc-struct-requirement_satisfactions",
    "TestKind": "structural",
    "Subject": "RequirementSatisfactions",
    "TargetTable": "RequirementSatisfactions",
    "TargetField": null,
    "Assertion": "Primary key first and non-nullable, and a calculated Name display alias exists.",
    "DefendsQuestion": null,
    "Suite": "suite-structure",
    "Severity": "blocking",
    "LastOutcome": "PASS",
    "LastDetail": "46 fields",
    "LastRunAt": "2026-07-20T03:06:49+00:00",
    "SemanticTypeIri": "urn:effortless:pko-extension#TestCase",
    "Name": "structural: RequirementSatisfactions",
    "IsBlocking": true,
    "IsPassing": true,
    "IsFailing": false,
    "NeedsAttention": false,
    "PassingSuiteKey": "suite-structure",
    "NeedsAttentionSuiteKey": null
   },
   {
    "TestCaseId": "tc-struct-errors",
    "TestKind": "structural",
    "Subject": "Errors",
    "TargetTable": "Errors",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Errors",
    "IsBlocking": true,
    "IsPassing": true,
    "IsFailing": false,
    "NeedsAttention": false,
    "PassingSuiteKey": "suite-structure",
    "NeedsAttentionSuiteKey": null
   },
   {
    "TestCaseId": "tc-struct-issue_occurrences",
    "TestKind": "structural",
    "Subject": "IssueOccurrences",
    "TargetTable": "IssueOccurrences",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IssueOccurrences",
    "IsBlocking": true,
    "IsPassing": true,
    "IsFailing": false,
    "NeedsAttention": false,
    "PassingSuiteKey": "suite-structure",
    "NeedsAttentionSuiteKey": null
   },
   {
    "TestCaseId": "tc-struct-user_questions",
    "TestKind": "structural",
    "Subject": "UserQuestions",
    "TargetTable": "UserQuestions",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UserQuestions",
    "IsBlocking": true,
    "IsPassing": true,
    "IsFailing": false,
    "NeedsAttention": false,
    "PassingSuiteKey": "suite-structure",
    "NeedsAttentionSuiteKey": null
   },
   {
    "TestCaseId": "tc-struct-user_feedback",
    "TestKind": "structural",
    "Subject": "UserFeedback",
    "TargetTable": "UserFeedback",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UserFeedback",
    "IsBlocking": true,
    "IsPassing": true,
    "IsFailing": false,
    "NeedsAttention": false,
    "PassingSuiteKey": "suite-structure",
    "NeedsAttentionSuiteKey": null
   },
   {
    "TestCaseId": "tc-struct-stewardship_assignments",
    "TestKind": "structural",
    "Subject": "StewardshipAssignments",
    "TargetTable": "StewardshipAssignments",
    "TargetField": null,
    "Assertion": "Primary key first and non-nullable, and a calculated Name display alias exists.",
    "DefendsQuestion": null,
    "Suite": "suite-structure",
    "Severity": "blocking",
    "LastOutcome": "PASS",
    "LastDetail": "14 fields",
    "LastRunAt": "2026-07-20T03:06:49+00:00",
    "SemanticTypeIri": "urn:effortless:pko-extension#TestCase",
    "Name": "structural: StewardshipAssignments",
    "IsBlocking": true,
    "IsPassing": true,
    "IsFailing": false,
    "NeedsAttention": false,
    "PassingSuiteKey": "suite-structure",
    "NeedsAttentionSuiteKey": null
   },
   {
    "TestCaseId": "tc-struct-change_requests",
    "TestKind": "structural",
    "Subject": "ChangeRequests",
    "TargetTable": "ChangeRequests",
    "TargetField": null,
    "Assertion": "Primary key first and non-nullable, and a calculated Name display alias exists.",
    "DefendsQuestion": null,
    "Suite": "suite-structure",
    "Severity": "blocking",
    "LastOutcome": "PASS",
    "LastDetail": "45 fields",
    "LastRunAt": "2026-07-20T03:06:49+00:00",
    "SemanticTypeIri": "urn:effortless:pko-extension#TestCase",
    "Name": "structural: ChangeRequests",
    "IsBlocking": true,
    "IsPassing": true,
    "IsFailing": false,
    "NeedsAttention": false,
    "PassingSuiteKey": "suite-structure",
    "NeedsAttentionSuiteKey": null
   },
   {
    "TestCaseId": "tc-struct-review_events",
    "TestKind": "structural",
    "Subject": "ReviewEvents",
    "TargetTable": "ReviewEvents",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ReviewEvents",
    "IsBlocking": true,
    "IsPassing": true,
    "IsFailing": false,
    "NeedsAttention": false,
    "PassingSuiteKey": "suite-structure",
    "NeedsAttentionSuiteKey": null
   },
   {
    "TestCaseId": "tc-struct-learning_activities",
    "TestKind": "structural",
    "Subject": "LearningActivities",
    "TargetTable": "LearningActivities",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LearningActivities",
    "IsBlocking": true,
    "IsPassing": true,
    "IsFailing": false,
    "NeedsAttention": false,
    "PassingSuiteKey": "suite-structure",
    "NeedsAttentionSuiteKey": null
   },
   {
    "TestCaseId": "tc-struct-operational_bindings",
    "TestKind": "structural",
    "Subject": "OperationalBindings",
    "TargetTable": "OperationalBindings",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OperationalBindings",
    "IsBlocking": true,
    "IsPassing": true,
    "IsFailing": false,
    "NeedsAttention": false,
    "PassingSuiteKey": "suite-structure",
    "NeedsAttentionSuiteKey": null
   },
   {
    "TestCaseId": "tc-struct-communication_policies",
    "TestKind": "structural",
    "Subject": "CommunicationPolicies",
    "TargetTable": "CommunicationPolicies",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CommunicationPolicies",
    "IsBlocking": true,
    "IsPassing": true,
    "IsFailing": false,
    "NeedsAttention": false,
    "PassingSuiteKey": "suite-structure",
    "NeedsAttentionSuiteKey": null
   },
   {
    "TestCaseId": "tc-struct-message_templates",
    "TestKind": "structural",
    "Subject": "MessageTemplates",
    "TargetTable": "MessageTemplates",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MessageTemplates",
    "IsBlocking": true,
    "IsPassing": true,
    "IsFailing": false,
    "NeedsAttention": false,
    "PassingSuiteKey": "suite-structure",
    "NeedsAttentionSuiteKey": null
   },
   {
    "TestCaseId": "tc-struct-semantic_mappings",
    "TestKind": "structural",
    "Subject": "SemanticMappings",
    "TargetTable": "SemanticMappings",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SemanticMappings",
    "IsBlocking": true,
    "IsPassing": true,
    "IsFailing": false,
    "NeedsAttention": false,
    "PassingSuiteKey": "suite-structure",
    "NeedsAttentionSuiteKey": null
   },
   {
    "TestCaseId": "tc-struct-witness_loops",
    "TestKind": "structural",
    "Subject": "WitnessLoops",
    "TargetTable": "WitnessLoops",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WitnessLoops",
    "IsBlocking": true,
    "IsPassing": true,
    "IsFailing": false,
    "NeedsAttention": false,
    "PassingSuiteKey": "suite-structure",
    "NeedsAttentionSuiteKey": null
   },
   {
    "TestCaseId": "tc-struct-role_questions",
    "TestKind": "structural",
    "Subject": "RoleQuestions",
    "TargetTable": "RoleQuestions",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RoleQuestions",
    "IsBlocking": true,
    </t>
  </si>
  <si>
    <t xml:space="preserve">"IsPassing": true,
    "IsFailing": false,
    "NeedsAttention": false,
    "PassingSuiteKey": "suite-structure",
    "NeedsAttentionSuiteKey": null
   },
   {
    "TestCaseId": "tc-struct-rulebook_fields",
    "TestKind": "structural",
    "Subject": "RulebookFields",
    "TargetTable": "RulebookFields",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RulebookFields",
    "IsBlocking": true,
    "IsPassing": true,
    "IsFailing": false,
    "NeedsAttention": false,
    "PassingSuiteKey": "suite-structure",
    "NeedsAttentionSuiteKey": null
   },
   {
    "TestCaseId": "tc-struct-test_suites",
    "TestKind": "structural",
    "Subject": "TestSuites",
    "TargetTable": "TestSuites",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TestSuites",
    "IsBlocking": true,
    "IsPassing": true,
    "IsFailing": false,
    "NeedsAttention": false,
    "PassingSuiteKey": "suite-structure",
    "NeedsAttentionSuiteKey": null
   },
   {
    "TestCaseId": "tc-struct-test_cases",
    "TestKind": "structural",
    "Subject": "TestCases",
    "TargetTable": "TestCases",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TestCases",
    "IsBlocking": true,
    "IsPassing": true,
    "IsFailing": false,
    "NeedsAttention": false,
    "PassingSuiteKey": "suite-structure",
    "NeedsAttentionSuiteKey": null
   },
   {
    "TestCaseId": "tc-struct-e_r_b_versions",
    "TestKind": "structural",
    "Subject": "ERBVersions",
    "TargetTable": "ERBVersions",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ERBVersions",
    "IsBlocking": true,
    "IsPassing": true,
    "IsFailing": false,
    "NeedsAttention": false,
    "PassingSuiteKey": "suite-structure",
    "NeedsAttentionSuiteKey": null
   },
   {
    "TestCaseId": "tc-struct-e_r_b_customizations",
    "TestKind": "structural",
    "Subject": "ERBCustomizations",
    "TargetTable": "ERBCustomizations",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ERBCustomizations",
    "IsBlocking": true,
    "IsPassing": true,
    "IsFailing": false,
    "NeedsAttention": false,
    "PassingSuiteKey": "suite-structure",
    "NeedsAttentionSuiteKey": null
   },
   {
    "TestCaseId": "tc-struct-__meta__",
    "TestKind": "structural",
    "Subject": "__meta__",
    "TargetTable": "__meta__",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__meta__",
    "IsBlocking": true,
    "IsPassing": true,
    "IsFailing": false,
    "NeedsAttention": false,
    "PassingSuiteKey": "suite-structure",
    "NeedsAttentionSuiteKey": null
   },
   {
    "TestCaseId": "tc-struct-exception_invocations",
    "TestKind": "structural",
    "Subject": "ExceptionInvocations",
    "TargetTable": "ExceptionInvocations",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ExceptionInvocations",
    "IsBlocking": true,
    "IsPassing": true,
    "IsFailing": false,
    "NeedsAttention": false,
    "PassingSuiteKey": "suite-structure",
    "NeedsAttentionSuiteKey": null
   },
   {
    "TestCaseId": "tc-struct-verification_outcomes",
    "TestKind": "structural",
    "Subject": "VerificationOutcomes",
    "TargetTable": "VerificationOutcomes",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VerificationOutcomes",
    "IsBlocking": true,
    "IsPassing": true,
    "IsFailing": false,
    "NeedsAttention": false,
    "PassingSuiteKey": "suite-structure",
    "NeedsAttentionSuiteKey": null
   },
   {
    "TestCaseId": "tc-struct-observed_transitions",
    "TestKind": "structural",
    "Subject": "ObservedTransitions",
    "TargetTable": "ObservedTransitions",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ObservedTransitions",
    "IsBlocking": true,
    "IsPassing": true,
    "IsFailing": false,
    "NeedsAttention": false,
    "PassingSuiteKey": "suite-structure",
    "NeedsAttentionSuiteKey": null
   },
   {
    "TestCaseId": "tc-struct-recipients",
    "TestKind": "structural",
    "Subject": "Recipients",
    "TargetTable": "Recipients",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Recipients",
    "IsBlocking": true,
    "IsPassing": true,
    "IsFailing": false,
    "NeedsAttention": false,
    "PassingSuiteKey": "suite-structure",
    "NeedsAttentionSuiteKey": null
   },
   {
    "TestCaseId": "tc-struct-message_deliveries",
    "TestKind": "structural",
    "Subject": "MessageDeliveries",
    "TargetTable": "MessageDeliveries",
    "TargetField": null,
    "Assertion": "Primary key first and non-nullable, and a calculated Name display alias exists.",
    "DefendsQuestion": null,
    "Suite": "suite-structure",
    "Severity": "blocking",
    "LastOutcome": "PASS",
    "LastDetail": "94 fields",
    "LastRunAt": "2026-07-20T03:06:49+00:00",
    "SemanticTypeIri": "urn:effortless:pko-extension#TestCase",
    "Name": "structural: MessageDeliveries",
    "IsBlocking": true,
    "IsPassing": true,
    "IsFailing": false,
    "NeedsAttention": false,
    "PassingSuiteKey": "suite-structure",
    "NeedsAttentionSuiteKey": null
   },
   {
    "TestCaseId": "tc-struct-template_approvals",
    "TestKind": "structural",
    "Subject": "TemplateApprovals",
    "TargetTable": "TemplateApprovals",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TemplateApprovals",
    "IsBlocking": true,
    "IsPassing": true,
    "IsFailing": false,
    "NeedsAttention": false,
    "PassingSuiteKey": "suite-structure",
    "NeedsAttentionSuiteKey": null
   },
   {
    "TestCaseId": "tc-struct-send_intents",
    "TestKind": "structural",
    "Subject": "SendIntents",
    "TargetTable": "SendIntents",
    "TargetField": null,
    "Assertion": "Primary key first and non-nullable, and a calculated Name display alias exists.",
    "DefendsQuestion": null,
    "Suite": "suite-structure",
    "Severity": "blocking",
    "LastOutcome": "PASS",
    "LastDetail": "100 fields",
    "LastRunAt": "2026-07-20T03:06:49+00:00",
    "SemanticTypeIri": "urn:effortless:pko-extension#TestCase",
    "Name": "structural: SendIntents",
    "IsBlocking": true,
    "IsPassing": true,
    "IsFailing": false,
    "NeedsAttention": false,
    "PassingSuiteKey": "suite-structure",
    "NeedsAttentionSuiteKey": null
   },
   {
    "TestCaseId": "tc-struct-agent_decision_records",
    "TestKind": "structural",
    "Subject": "AgentDecisionRecords",
    "TargetTable": "AgentDecisionRecords",
    "TargetField": null,
    "Assertion": "Primary key first and non-nullable, and a calculated Name display alias exists.",
    "DefendsQuestion": null,
    "Suite": "suite-structure",
    "Severity": "blocking",
    "LastOutcome": "PASS",
    "LastDetail": "40 fields",
    "LastRunAt": "2026-07-20T03:06:49+00:00",
    "SemanticTypeIri": "urn:effortless:pko-extension#TestCase",
    "Name": "structural: AgentDecisionRecords",
    "IsBlocking": true,
    "IsPassing": true,
    "IsFailing": false,
    "NeedsAttention": false,
    "PassingSuiteKey": "suite-structure",
    "NeedsAttentionSuiteKey": null
   },
   {
    "TestCaseId": "tc-struct-delivered_communications",
    "TestKind": "structural",
    "Subject": "DeliveredCommunications",
    "TargetTable": "DeliveredCommunications",
    "TargetField": null,
    "Assertion": "Primary key first and non-nullable, and a calculated Name display alias exists.",
    "DefendsQuestion": null,
    "Suite": "suite-structure",
    "Severity": "blocking",
    "LastOutcome": "PASS",
    "LastDetail": "18 fields",
    "LastRunAt": "2026-07-20T03:06:49+00:00",
    "SemanticTypeIri": "urn:effortless:pko-extension#TestCase",
    "Name": "structural: DeliveredCommunications",
    "IsBlocking": true,
    "IsPassing": true,
    "IsFailing": false,
    "NeedsAttention": false,
    "PassingSuiteKey": "suite-structure",
    "NeedsAttentionSuiteKey": null
   },
   {
    "TestCaseId": "tc-struct-authority_boundaries",
    "TestKind": "structural",
    "Subject": "AuthorityBoundaries",
    "TargetTable": "AuthorityBoundaries",
    "TargetField": null,
    "Assertion": "Primary key first and non-nullable, and a calculated Name display alias exists.",
    "DefendsQuestion": null,
    "Suite": "suite-structure",
    "Severity": "blocking",
    "LastOutcome": "PASS",
    "LastDetail": "33 fields",
    "LastRunAt": "2026-07-20T03:06:49+00:00",
    "SemanticTypeIri": "urn:effortless:pko-extension#TestCase",
    "Name": "structural: AuthorityBoundaries",
    "IsBlocking": true,
    "IsPassing": true,
    "IsFailing": false,
    "NeedsAttention": false,
    "PassingSuiteKey": "suite-structure",
    "NeedsAttentionSuiteKey": null
   },
   {
    "TestCaseId": "tc-struct-binding_observations",
    "TestKind": "structural",
    "Subject": "BindingObservations",
    "TargetTable": "BindingObservations",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BindingObservations",
    "IsBlocking": true,
    "IsPassing": true,
    "IsFailing": false,
    "NeedsAttention": false,
    "PassingSuiteKey": "suite-structure",
    "NeedsAttentionSuiteKey": null
   },
   {
    "TestCaseId": "tc-struct-attestations",
    "TestKind": "structural",
    "Subject": "Attestations",
    "TargetTable": "Attestations",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Attestations",
    "IsBlocking": true,
    "IsPassing": true,
    "IsFailing": false,
    "NeedsAttention": false,
    "PassingSuiteKey": "suite-structure",
    "NeedsAttentionSuiteKey": null
   },
   {
    "TestCaseId": "tc-xlate-rulebook_releases-name",
    "TestKind": "formula-translates",
    "Subject": "RulebookReleases.Name",
    "TargetTable": "RulebookReleases",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RulebookReleases.Name",
    "IsBlocking": true,
    "IsPassing": true,
    "IsFailing": false,
    "NeedsAttention": false,
    "PassingSuiteKey": "suite-substrate",
    "NeedsAttentionSuiteKey": null
   },
   {
    "TestCaseId": "tc-xlate-ontology_profiles-name",
    "TestKind": "formula-translates",
    "Subject": "OntologyProfiles.Name",
    "TargetTable": "OntologyProfiles",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OntologyProfiles.Name",
    "IsBlocking": true,
    "IsPassing": true,
    "IsFailing": false,
    "NeedsAttention": false,
    "PassingSuiteKey": "suite-substrate",
    "NeedsAttentionSuiteKey": null
   },
   {
    "TestCaseId": "tc-xlate-evaluation_contexts-name",
    "TestKind": "formula-translates",
    "Subject": "EvaluationContexts.Name",
    "TargetTable": "EvaluationContexts",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EvaluationContexts.Name",
    "IsBlocking": true,
    "IsPassing": true,
    "IsFailing": false,
    "NeedsAttention": false,
    "PassingSuiteKey": "suite-substrate",
    "NeedsAttentionSuiteKey": null
   },
   {
    "TestCaseId": "tc-xlate-organizations-name",
    "TestKind": "formula-translates",
    "Subject": "Organizations.Name",
    "TargetTable": "Organizations",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Organizations.Name",
    "IsBlocking": true,
    "IsPassing": true,
    "IsFailing": false,
    "NeedsAttention": false,
    "PassingSuiteKey": "suite-substrate",
    "NeedsAttentionSuiteKey": null
   },
   {
    "TestCaseId": "tc-xlate-agents-name",
    "TestKind": "formula-translates",
    "Subject": "Agents.Name",
    "TargetTable": "Agents",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Agents.Name",
    "IsBlocking": true,
    "IsPassing": true,
    "IsFailing": false,
    "NeedsAttention": false,
    "PassingSuiteKey": "suite-substrate",
    "NeedsAttentionSuiteKey": null
   },
   {
    "TestCaseId": "tc-xlate-agents-count_of_current_role_assignments",
    "TestKind": "formula-translates",
    "Subject": "Agents.CountOfCurrentRoleAssignments",
    "TargetTable": "Agents",
    "TargetField": "CountOfCurrentRoleAssignments",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Agents.CountOfCurrentRoleAssignments",
    "IsBlocking": true,
    "IsPassing": true,
    "IsFailing": false,
    "NeedsAttention": false,
    "PassingSuiteKey": "suite-substrate",
    "NeedsAttentionSuiteKey": null
   },
   {
    "TestCaseId": "tc-xlate-agents-is_still_engaged",
    "TestKind": "formula-translates",
    "Subject": "Agents.IsStillEngaged",
    "TargetTable": "Agents",
    "TargetField": "IsStillEngaged",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Agents.IsStillEngaged",
    "IsBlocking": true,
    "IsPassing": true,
    "IsFailing": false,
    "NeedsAttention": false,
    "PassingSuiteKey": "suite-substrate",
    "NeedsAttentionSuiteKey": null
   },
   {
    "TestCaseId": "tc-xlate-agents-decision_count",
    "TestKind": "formula-translates",
    "Subject": "Agents.DecisionCount",
    "TargetTable": "Agents",
    "TargetField": "DecisionCount",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Agents.DecisionCount",
    "IsBlocking": true,
    "IsPassing": true,
    "IsFailing": false,
    "NeedsAttention": false,
    "PassingSuiteKey": "suite-substrate",
    "NeedsAttentionSuiteKey": null
   },
   {
    "TestCaseId": "tc-xlate-agents-overridden_decision_count",
    "TestKind": "formula-translates",
    "Subject": "Agents.OverriddenDecisionCount",
    "TargetTable": "Agents",
    "TargetField": "OverriddenDecisionCount",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Agents.OverriddenDecisionCount",
    "IsBlocking": true,
    "IsPassing": true,
    "IsFailing": false,
    "NeedsAttention": false,
    "PassingSuiteKey": "suite-substrate",
    "NeedsAttentionSuiteKey": null
   },
   {
    "TestCaseId": "tc-xlate-agents-override_rate_percent",
    "TestKind": "formula-translates",
    "Subject": "Agents.OverrideRatePercent",
    "TargetTable": "Agents",
    "TargetField": "OverrideRatePercent",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Agents.OverrideRatePercent",
    "IsBlocking": true,
    "IsPassing": true,
    "IsFailing": false,
    "NeedsAttention": false,
    "PassingSuiteKey": "suite-substrate",
    "NeedsAttentionSuiteKey": null
   },
   {
    "TestCaseId": "tc-xlate-agents-is_non_human",
    "TestKind": "formula-translates",
    "Subject": "Agents.IsNonHuman",
    "TargetTable": "Agents",
    "TargetField": "IsNonHuman",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Agents.IsNonHuman",
    "IsBlocking": true,
    "IsPassing": true,
    "IsFailing": false,
    "NeedsAttention": false,
    "PassingSuiteKey": "suite-substrate",
    "NeedsAttentionSuiteKey": null
   },
   {
    "TestCaseId": "tc-xlate-agents-boundary_violation_count",
    "TestKind": "formula-translates",
    "Subject": "Agents.BoundaryViolationCount",
    "TargetTable": "Agents",
    "TargetField": "BoundaryViolationCount",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Agents.BoundaryViolationCount",
    "IsBlocking": true,
    "IsPassing": true,
    "IsFailing": false,
    "NeedsAttention": false,
    "PassingSuiteKey": "suite-substrate",
    "NeedsAttentionSuiteKey": null
   },
   {
    "TestCaseId": "tc-xlate-agents-is_operating_outside_boundary",
    "TestKind": "formula-translates",
    "Subject": "Agents.IsOperatingOutsideBoundary",
    "TargetTable": "Agents",
    "TargetField": "IsOperatingOutsideBoundary",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Agents.IsOperatingOutsideBoundary",
    "IsBlocking": true,
    "IsPassing": true,
    "IsFailing": false,
    "NeedsAttention": false,
    "PassingSuiteKey": "suite-substrate",
    "NeedsAttentionSuiteKey": null
   },
   {
    "TestCaseId": "tc-xlate-agents-draft_decision_count",
    "TestKind": "formula-translates",
    "Subject": "Agents.DraftDecisionCount",
    "TargetTable": "Agents",
    "TargetField": "DraftDecisionCount",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Agents.DraftDecisionCount",
    "IsBlocking": true,
    "IsPassing": true,
    "IsFailing": false,
    "NeedsAttention": false,
    "PassingSuiteKey": "suite-substrate",
    "NeedsAttentionSuiteKey": null
   },
   {
    "TestCaseId": "tc-xlate-agents-overridden_draft_count",
    "TestKind": "formula-translates",
    "Subject": "Agents.OverriddenDraftCount",
    "TargetTable": "Agents",
    "TargetField": "OverriddenDraftCount",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Agents.OverriddenDraftCount",
    "IsBlocking": true,
    "IsPassing": true,
    "IsFailing": false,
    "NeedsAttention": false,
    "PassingSuiteKey": "suite-substrate",
    "NeedsAttentionSuiteKey": null
   },
   {
    "TestCaseId": "tc-xlate-agents-draft_rewrite_rate_percent",
    "TestKind": "formula-translates",
    "Subject": "Agents.DraftRewriteRatePercent",
    "TargetTable": "Agents",
    "TargetField": "DraftRewriteRatePercent",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Agents.DraftRewriteRatePercent",
    "IsBlocking": true,
    "IsPassing": true,
    "IsFailing": false,
    "NeedsAttention": false,
    "PassingSuiteKey": "suite-substrate",
    "NeedsAttentionSuiteKey": null
   },
   {
    "TestCaseId": "tc-xlate-roles-name",
    "TestKind": "formula-translates",
    "Subject": "Roles.Name",
    "TargetTable": "Roles",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Roles.Name",
    "IsBlocking": true,
    "IsPassing": true,
    "IsFailing": false,
    "NeedsAttention": false,
    "PassingSuiteKey": "suite-substrate",
    "NeedsAttentionSuiteKey": null
   },
   {
    "TestCaseId": "tc-xlate-roles-current_agent_kind",
    "TestKind": "formula-translates",
    "Subject": "Roles.CurrentAgentKind",
    "TargetTable": "Roles",
    "TargetField": "CurrentAgentKind",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Roles.CurrentAgentKind",
    "IsBlocking": true,
    "IsPassing": true,
    "IsFailing": false,
    "NeedsAttention": false,
    "PassingSuiteKey": "suite-substrate",
    "NeedsAttentionSuiteKey": null
   },
   {
    "TestCaseId": "tc-xlate-roles-active_assignment_count",
    "TestKind": "formula-translates",
    "Subject": "Roles.ActiveAssignmentCount",
    "TargetTable": "Roles",
    "TargetField": "ActiveAssignmentCount",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Roles.ActiveAssignmentCount",
    "IsBlocking": true,
    "IsPassing": true,
    "IsFailing": false,
    "NeedsAttention": false,
    "PassingSuiteKey": "suite-substrate",
    "NeedsAttentionSuiteKey": null
   },
   {
    "TestCaseId": "tc-xlate-roles-currently_covered_assignment_count",
    "TestKind": "formula-translates",
    "Subject": "Roles.CurrentlyCoveredAssignmentCount",
    "TargetTable": "Roles",
    "TargetField": "CurrentlyCoveredAssignmentCount",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Roles.CurrentlyCoveredAssignmentCount",
    "IsBlocking": true,
    "IsPassing": true,
    "IsFailing": false,
    "NeedsAttention": false,
    "PassingSuiteKey": "suite-substrate",
    "NeedsAttentionSuiteKey": null
   },
   {
    "TestCaseId": "tc-xlate-roles-has_no_current_holder",
    "TestKind": "formula-translates",
    "Subject": "Roles.HasNoCurrentHolder",
    "TargetTable": "Roles",
    "TargetField": "HasNoCurrentHolder",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Roles.HasNoCurrentHolder",
    "IsBlocking": true,
    "IsPassing": true,
    "IsFailing": false,
    "NeedsAttention": false,
    "PassingSuiteKey": "suite-substrate",
    "NeedsAttentionSuiteKey": null
   },
   {
    "TestCaseId": "tc-xlate-roles-count_of_awaited_decisions",
    "TestKind": "formula-translates",
    "Subject": "Roles.CountOfAwaitedDecisions",
    "TargetTable": "Roles",
    "TargetField": "CountOfAwaitedDecisions",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Roles.CountOfAwaitedDecisions",
    "IsBlocking": true,
    "IsPassing": true,
    "IsFailing": false,
    "NeedsAttention": false,
    "PassingSuiteKey": "suite-substrate",
    "NeedsAttentionSuiteKey": null
   },
   {
    "TestCaseId": "tc-xlate-roles-current_assignment_valid_from",
    "TestKind": "formula-translates",
    "Subject": "Roles.CurrentAssignmentValidFrom",
    "TargetTable": "Roles",
    "TargetField": "CurrentAssignmentValidFrom",
    "Assertion": "The transpiler emitted a real SQL function for this formula rather than a NULL stub.",
    "DefendsQuestion": "q-variance-ai-knowledge-cu</t>
  </si>
  <si>
    <t xml:space="preserve">rrency",
    "Suite": "suite-substrate",
    "Severity": "blocking",
    "LastOutcome": "PASS",
    "LastDetail": "translated",
    "LastRunAt": "2026-07-20T03:06:49+00:00",
    "SemanticTypeIri": "urn:effortless:pko-extension#TestCase",
    "Name": "formula-translates: Roles.CurrentAssignmentValidFrom",
    "IsBlocking": true,
    "IsPassing": true,
    "IsFailing": false,
    "NeedsAttention": false,
    "PassingSuiteKey": "suite-substrate",
    "NeedsAttentionSuiteKey": null
   },
   {
    "TestCaseId": "tc-xlate-roles-is_non_human_held",
    "TestKind": "formula-translates",
    "Subject": "Roles.IsNonHumanHeld",
    "TargetTable": "Roles",
    "TargetField": "IsNonHumanHeld",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Roles.IsNonHumanHeld",
    "IsBlocking": true,
    "IsPassing": true,
    "IsFailing": false,
    "NeedsAttention": false,
    "PassingSuiteKey": "suite-substrate",
    "NeedsAttentionSuiteKey": null
   },
   {
    "TestCaseId": "tc-xlate-roles-is_ungoverned_non_human_role",
    "TestKind": "formula-translates",
    "Subject": "Roles.IsUngovernedNonHumanRole",
    "TargetTable": "Roles",
    "TargetField": "IsUngovernedNonHumanRole",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Roles.IsUngovernedNonHumanRole",
    "IsBlocking": true,
    "IsPassing": true,
    "IsFailing": false,
    "NeedsAttention": false,
    "PassingSuiteKey": "suite-substrate",
    "NeedsAttentionSuiteKey": null
   },
   {
    "TestCaseId": "tc-xlate-roles-departed_assignment_count",
    "TestKind": "formula-translates",
    "Subject": "Roles.DepartedAssignmentCount",
    "TargetTable": "Roles",
    "TargetField": "DepartedAssignmentCount",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Roles.DepartedAssignmentCount",
    "IsBlocking": true,
    "IsPassing": true,
    "IsFailing": false,
    "NeedsAttention": false,
    "PassingSuiteKey": "suite-substrate",
    "NeedsAttentionSuiteKey": null
   },
   {
    "TestCaseId": "tc-xlate-roles-has_lost_a_holder",
    "TestKind": "formula-translates",
    "Subject": "Roles.HasLostAHolder",
    "TargetTable": "Roles",
    "TargetField": "HasLostAHolder",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Roles.HasLostAHolder",
    "IsBlocking": true,
    "IsPassing": true,
    "IsFailing": false,
    "NeedsAttention": false,
    "PassingSuiteKey": "suite-substrate",
    "NeedsAttentionSuiteKey": null
   },
   {
    "TestCaseId": "tc-xlate-roles-is_vacated_role",
    "TestKind": "formula-translates",
    "Subject": "Roles.IsVacatedRole",
    "TargetTable": "Roles",
    "TargetField": "IsVacatedRole",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Roles.IsVacatedRole",
    "IsBlocking": true,
    "IsPassing": true,
    "IsFailing": false,
    "NeedsAttention": false,
    "PassingSuiteKey": "suite-substrate",
    "NeedsAttentionSuiteKey": null
   },
   {
    "TestCaseId": "tc-xlate-roles-ungrounded_boundary_count",
    "TestKind": "formula-translates",
    "Subject": "Roles.UngroundedBoundaryCount",
    "TargetTable": "Roles",
    "TargetField": "UngroundedBoundaryCount",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Roles.UngroundedBoundaryCount",
    "IsBlocking": true,
    "IsPassing": true,
    "IsFailing": false,
    "NeedsAttention": false,
    "PassingSuiteKey": "suite-substrate",
    "NeedsAttentionSuiteKey": null
   },
   {
    "TestCaseId": "tc-xlate-roles-is_governed_by_lapsed_authority",
    "TestKind": "formula-translates",
    "Subject": "Roles.IsGovernedByLapsedAuthority",
    "TargetTable": "Roles",
    "TargetField": "IsGovernedByLapsedAuthority",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Roles.IsGovernedByLapsedAuthority",
    "IsBlocking": true,
    "IsPassing": true,
    "IsFailing": false,
    "NeedsAttention": false,
    "PassingSuiteKey": "suite-substrate",
    "NeedsAttentionSuiteKey": null
   },
   {
    "TestCaseId": "tc-xlate-roles-unescalated_refusal_count",
    "TestKind": "formula-translates",
    "Subject": "Roles.UnescalatedRefusalCount",
    "TargetTable": "Roles",
    "TargetField": "UnescalatedRefusalCount",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Roles.UnescalatedRefusalCount",
    "IsBlocking": true,
    "IsPassing": true,
    "IsFailing": false,
    "NeedsAttention": false,
    "PassingSuiteKey": "suite-substrate",
    "NeedsAttentionSuiteKey": null
   },
   {
    "TestCaseId": "tc-xlate-roles-unauthorized_enforcement_assignment_count",
    "TestKind": "formula-translates",
    "Subject": "Roles.UnauthorizedEnforcementAssignmentCount",
    "TargetTable": "Roles",
    "TargetField": "UnauthorizedEnforcementAssignmentCount",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Roles.UnauthorizedEnforcementAssignmentCount",
    "IsBlocking": true,
    "IsPassing": true,
    "IsFailing": false,
    "NeedsAttention": false,
    "PassingSuiteKey": "suite-substrate",
    "NeedsAttentionSuiteKey": null
   },
   {
    "TestCaseId": "tc-xlate-roles-is_ungoverned_enforcement_role",
    "TestKind": "formula-translates",
    "Subject": "Roles.IsUngovernedEnforcementRole",
    "TargetTable": "Roles",
    "TargetField": "IsUngovernedEnforcementRole",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Roles.IsUngovernedEnforcementRole",
    "IsBlocking": true,
    "IsPassing": true,
    "IsFailing": false,
    "NeedsAttention": false,
    "PassingSuiteKey": "suite-substrate",
    "NeedsAttentionSuiteKey": null
   },
   {
    "TestCaseId": "tc-xlate-role_assignments-name",
    "TestKind": "formula-translates",
    "Subject": "RoleAssignments.Name",
    "TargetTable": "RoleAssignments",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RoleAssignments.Name",
    "IsBlocking": true,
    "IsPassing": true,
    "IsFailing": false,
    "NeedsAttention": false,
    "PassingSuiteKey": "suite-substrate",
    "NeedsAttentionSuiteKey": null
   },
   {
    "TestCaseId": "tc-xlate-role_assignments-as_of_instant",
    "TestKind": "formula-translates",
    "Subject": "RoleAssignments.AsOfInstant",
    "TargetTable": "RoleAssignments",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RoleAssignments.AsOfInstant",
    "IsBlocking": true,
    "IsPassing": true,
    "IsFailing": false,
    "NeedsAttention": false,
    "PassingSuiteKey": "suite-substrate",
    "NeedsAttentionSuiteKey": null
   },
   {
    "TestCaseId": "tc-xlate-role_assignments-is_current",
    "TestKind": "formula-translates",
    "Subject": "RoleAssignments.IsCurrent",
    "TargetTable": "RoleAssignments",
    "TargetField": "IsCurrent",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RoleAssignments.IsCurrent",
    "IsBlocking": true,
    "IsPassing": true,
    "IsFailing": false,
    "NeedsAttention": false,
    "PassingSuiteKey": "suite-substrate",
    "NeedsAttentionSuiteKey": null
   },
   {
    "TestCaseId": "tc-xlate-role_assignments-current_agent_key",
    "TestKind": "formula-translates",
    "Subject": "RoleAssignments.CurrentAgentKey",
    "TargetTable": "RoleAssignments",
    "TargetField": "CurrentAgentKey",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RoleAssignments.CurrentAgentKey",
    "IsBlocking": true,
    "IsPassing": true,
    "IsFailing": false,
    "NeedsAttention": false,
    "PassingSuiteKey": "suite-substrate",
    "NeedsAttentionSuiteKey": null
   },
   {
    "TestCaseId": "tc-xlate-role_assignments-is_currently_valid",
    "TestKind": "formula-translates",
    "Subject": "RoleAssignments.IsCurrentlyValid",
    "TargetTable": "RoleAssignments",
    "TargetField": "IsCurrentlyValid",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RoleAssignments.IsCurrentlyValid",
    "IsBlocking": true,
    "IsPassing": true,
    "IsFailing": false,
    "NeedsAttention": false,
    "PassingSuiteKey": "suite-substrate",
    "NeedsAttentionSuiteKey": null
   },
   {
    "TestCaseId": "tc-xlate-role_assignments-agent_role_key",
    "TestKind": "formula-translates",
    "Subject": "RoleAssignments.AgentRoleKey",
    "TargetTable": "RoleAssignments",
    "TargetField": "AgentRoleKey",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RoleAssignments.AgentRoleKey",
    "IsBlocking": true,
    "IsPassing": true,
    "IsFailing": false,
    "NeedsAttention": false,
    "PassingSuiteKey": "suite-substrate",
    "NeedsAttentionSuiteKey": null
   },
   {
    "TestCaseId": "tc-xlate-role_assignments-has_departed",
    "TestKind": "formula-translates",
    "Subject": "RoleAssignments.HasDeparted",
    "TargetTable": "RoleAssignments",
    "TargetField": "HasDeparted",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RoleAssignments.HasDeparted",
    "IsBlocking": true,
    "IsPassing": true,
    "IsFailing": false,
    "NeedsAttention": false,
    "PassingSuiteKey": "suite-substrate",
    "NeedsAttentionSuiteKey": null
   },
   {
    "TestCaseId": "tc-xlate-role_assignments-covers_now",
    "TestKind": "formula-translates",
    "Subject": "RoleAssignments.CoversNow",
    "TargetTable": "RoleAssignments",
    "TargetField": "CoversNow",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RoleAssignments.CoversNow",
    "IsBlocking": true,
    "IsPassing": true,
    "IsFailing": false,
    "NeedsAttention": false,
    "PassingSuiteKey": "suite-substrate",
    "NeedsAttentionSuiteKey": null
   },
   {
    "TestCaseId": "tc-xlate-role_assignments-role_when_covering",
    "TestKind": "formula-translates",
    "Subject": "RoleAssignments.RoleWhenCovering",
    "TargetTable": "RoleAssignments",
    "TargetField": "RoleWhenCovering",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RoleAssignments.RoleWhenCovering",
    "IsBlocking": true,
    "IsPassing": true,
    "IsFailing": false,
    "NeedsAttention": false,
    "PassingSuiteKey": "suite-substrate",
    "NeedsAttentionSuiteKey": null
   },
   {
    "TestCaseId": "tc-xlate-role_assignments-agent_kind",
    "TestKind": "formula-translates",
    "Subject": "RoleAssignments.AgentKind",
    "TargetTable": "RoleAssignments",
    "TargetField": "AgentKind",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RoleAssignments.AgentKind",
    "IsBlocking": true,
    "IsPassing": true,
    "IsFailing": false,
    "NeedsAttention": false,
    "PassingSuiteKey": "suite-substrate",
    "NeedsAttentionSuiteKey": null
   },
   {
    "TestCaseId": "tc-xlate-role_assignments-is_non_human_assignment",
    "TestKind": "formula-translates",
    "Subject": "RoleAssignments.IsNonHumanAssignment",
    "TargetTable": "RoleAssignments",
    "TargetField": "IsNonHumanAssignment",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RoleAssignments.IsNonHumanAssignment",
    "IsBlocking": true,
    "IsPassing": true,
    "IsFailing": false,
    "NeedsAttention": false,
    "PassingSuiteKey": "suite-substrate",
    "NeedsAttentionSuiteKey": null
   },
   {
    "TestCaseId": "tc-xlate-role_assignments-predecessor_agent_kind",
    "TestKind": "formula-translates",
    "Subject": "RoleAssignments.PredecessorAgentKind",
    "TargetTable": "RoleAssignments",
    "TargetField": "PredecessorAgentKind",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RoleAssignments.PredecessorAgentKind",
    "IsBlocking": true,
    "IsPassing": true,
    "IsFailing": false,
    "NeedsAttention": false,
    "PassingSuiteKey": "suite-substrate",
    "NeedsAttentionSuiteKey": null
   },
   {
    "TestCaseId": "tc-xlate-role_assignments-is_human_to_non_human_handover",
    "TestKind": "formula-translates",
    "Subject": "RoleAssignments.IsHumanToNonHumanHandover",
    "TargetTable": "RoleAssignments",
    "TargetField": "IsHumanToNonHumanHandover",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RoleAssignments.IsHumanToNonHumanHandover",
    "IsBlocking": true,
    "IsPassing": true,
    "IsFailing": false,
    "NeedsAttention": false,
    "PassingSuiteKey": "suite-substrate",
    "NeedsAttentionSuiteKey": null
   },
   {
    "TestCaseId": "tc-xlate-role_assignments-is_unauthorized_non_human_assignment",
    "TestKind": "formula-translates",
    "Subject": "RoleAssignments.IsUnauthorizedNonHumanAssignment",
    "TargetTable": "RoleAssignments",
    "TargetField": "IsUnauthorizedNonHumanAssignment",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RoleAssignments.IsUnauthorizedNonHumanAssignment",
    "IsBlocking": true,
    "IsPassing": true,
    "IsFailing": false,
    "NeedsAttention": false,
    "PassingSuiteKey": "suite-substrate",
    "NeedsAttentionSuiteKey": null
   },
   {
    "TestCaseId": "tc-xlate-role_assignments-was_authorized_by_change_request",
    "TestKind": "formula-translates",
    "Subject": "RoleAssignments.WasAuthorizedByChangeRequest",
    "TargetTable": "RoleAssignments",
    "TargetField": "WasAuthorizedByChangeRequest",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RoleAssignments.WasAuthorizedByChangeRequest",
    "IsBlocking": true,
    "IsPassing": true,
    "IsFailing": false,
    "NeedsAttention": false,
    "PassingSuiteKey": "suite-substrate",
    "NeedsAttentionSuiteKey": null
   },
   {
    "TestCaseId": "tc-xlate-role_assignments-decision_count",
    "TestKind": "formula-translates",
    "Subject": "RoleAssignments.DecisionCount",
    "TargetTable": "RoleAssignments",
    "TargetField": "DecisionCount",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RoleAssignments.DecisionCount",
    "IsBlocking": true,
    "IsPassing": true,
    "IsFailing": false,
    "NeedsAttention": false,
    "PassingSuiteKey": "suite-substrate",
    "NeedsAttentionSuiteKey": null
   },
   {
    "TestCaseId": "tc-xlate-role_assignments-overridden_decision_count",
    "TestKind": "formula-translates",
    "Subject": "RoleAssignments.OverriddenDecisionCount",
    "TargetTable": "RoleAssignments",
    "TargetField": "OverriddenDecisionCount",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RoleAssignments.OverriddenDecisionCount",
    "IsBlocking": true,
    "IsPassing": true,
    "IsFailing": false,
    "NeedsAttention": false,
    "PassingSuiteKey": "suite-substrate",
    "NeedsAttentionSuiteKey": null
   },
   {
    "TestCaseId": "tc-xlate-role_assignments-override_rate_percent",
    "TestKind": "formula-translates",
    "Subject": "RoleAssignments.OverrideRatePercent",
    "TargetTable": "RoleAssignments",
    "TargetField": "OverrideRatePercent",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RoleAssignments.OverrideRatePercent",
    "IsBlocking": true,
    "IsPassing": true,
    "IsFailing": false,
    "NeedsAttention": false,
    "PassingSuiteKey": "suite-substrate",
    "NeedsAttentionSuiteKey": null
   },
   {
    "TestCaseId": "tc-xlate-role_assignments-predecessor_override_rate_percent",
    "TestKind": "formula-translates",
    "Subject": "RoleAssignments.PredecessorOverrideRatePercent",
    "TargetTable": "RoleAssignments",
    "TargetField": "PredecessorOverrideRatePercent",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RoleAssignments.PredecessorOverrideRatePercent",
    "IsBlocking": true,
    "IsPassing": true,
    "IsFailing": false,
    "NeedsAttention": false,
    "PassingSuiteKey": "suite-substrate",
    "NeedsAttentionSuiteKey": null
   },
   {
    "TestCaseId": "tc-xlate-role_assignments-quality_regressed_vs_predecessor",
    "TestKind": "formula-translates",
    "Subject": "RoleAssignments.QualityRegressedVsPredecessor",
    "TargetTable": "RoleAssignments",
    "TargetField": "QualityRegressedVsPredecessor",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RoleAssignments.QualityRegressedVsPredecessor",
    "IsBlocking": true,
    "IsPassing": true,
    "IsFailing": false,
    "NeedsAttention": false,
    "PassingSuiteKey": "suite-substrate",
    "NeedsAttentionSuiteKey": null
   },
   {
    "TestCaseId": "tc-xlate-role_assignments-departed_role_key",
    "TestKind": "formula-translates",
    "Subject": "RoleAssignments.DepartedRoleKey",
    "TargetTable": "RoleAssignments",
    "TargetField": "DepartedRoleKey",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RoleAssignments.DepartedRoleKey",
    "IsBlocking": true,
    "IsPassing": true,
    "IsFailing": false,
    "NeedsAttention": false,
    "PassingSuiteKey": "suite-substrate",
    "NeedsAttentionSuiteKey": null
   },
   {
    "TestCaseId": "tc-xlate-role_assignments-predecessor_decision_count",
    "TestKind": "formula-translates",
    "Subject": "RoleAssignments.PredecessorDecisionCount",
    "TargetTable": "RoleAssignments",
    "TargetField": "PredecessorDecisionCount",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RoleAssignments.PredecessorDecisionCount",
    "IsBlocking": true,
    "IsPassing": true,
    "IsFailing": false,
    "NeedsAttention": false,
    "PassingSuiteKey": "suite-substrate",
    "NeedsAttentionSuiteKey": null
   },
   {
    "TestCaseId": "tc-xlate-role_assignments-has_sufficient_sample",
    "TestKind": "formula-translates",
    "Subject": "RoleAssignments.HasSufficientSample",
    "TargetTable": "RoleAssignments",
    "TargetField": "HasSufficientSample",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RoleAssignments.HasSufficientSample",
    "IsBlocking": true,
    "IsPassing": true,
    "IsFailing": false,
    "NeedsAttention": false,
    "PassingSuiteKey": "suite-substrate",
    "NeedsAttentionSuiteKey": null
   },
   {
    "TestCaseId": "tc-xlate-role_assignments-predecessor_has_sufficient_sample",
    "TestKind": "formula-translates",
    "Subject": "RoleAssignments.PredecessorHasSufficientSample",
    "TargetTable": "RoleAssignments",
    "TargetField": "PredecessorHasSufficientSample",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RoleAssignments.PredecessorHasSufficientSample",
    "IsBlocking": true,
    "IsPassing": true,
    "IsFailing": false,
    "NeedsAttention": false,
    "PassingSuiteKey": "suite-substrate",
    "NeedsAttentionSuiteKey": null
   },
   {
    "TestCaseId": "tc-xlate-role_assignments-comparison_is_evidentially_sound",
    "TestKind": "formula-translates",
    "Subject": "RoleAssignments.ComparisonIsEvidentiallySound",
    "TargetTable": "RoleAssignments",
    "TargetField": "ComparisonIsEvidentiallySound",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RoleAssignments.ComparisonIsEvidentiallySound",
    "IsBlocking": true,
    "IsPassing": true,
    "IsFailing": false,
    "NeedsAttention": false,
    "PassingSuiteKey": "suite-substrate",
    "NeedsAttentionSuiteKey": null
   },
   {
    "TestCaseId": "tc-xlate-role_assignments-single_override_swing_percent",
    "TestKind": "formula-translates",
    "Subject": "RoleAssignments.SingleOverrideSwingPercent",
    "TargetTable": "RoleAssignments",
    "TargetField": "SingleOverrideSwingPercent",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RoleAssignments.SingleOverrideSwingPercent",
    "IsBlocking": true,
    "IsPassing": true,
    "IsFailing": false,
    "NeedsAttention": false,
    "PassingSuiteKey": "suite-substrate",
    "NeedsAttentionSuiteKey": null
   },
   {
    "TestCaseId": "tc-xlate-role_assignments-quality_verdict_is_unsupported",
    "TestKind": "formula-translates",
    "Subject": "RoleAssignments.QualityVerdictIsUnsupported",
    "TargetTable": "RoleAssignments",
    "TargetField": "QualityVerdictIsUnsupported",
    "Assertion": "The transpiler emitted a real SQL function for this formul</t>
  </si>
  <si>
    <t xml:space="preserve">a rather than a NULL stub.",
    "DefendsQuestion": "q2-variance-comparison-is-statistically-empty",
    "Suite": "suite-substrate",
    "Severity": "blocking",
    "LastOutcome": "PASS",
    "LastDetail": "translated",
    "LastRunAt": "2026-07-20T03:06:49+00:00",
    "SemanticTypeIri": "urn:effortless:pko-extension#TestCase",
    "Name": "formula-translates: RoleAssignments.QualityVerdictIsUnsupported",
    "IsBlocking": true,
    "IsPassing": true,
    "IsFailing": false,
    "NeedsAttention": false,
    "PassingSuiteKey": "suite-substrate",
    "NeedsAttentionSuiteKey": null
   },
   {
    "TestCaseId": "tc-xlate-role_assignments-is_unmeasured_automation_handover",
    "TestKind": "formula-translates",
    "Subject": "RoleAssignments.IsUnmeasuredAutomationHandover",
    "TargetTable": "RoleAssignments",
    "TargetField": "IsUnmeasuredAutomationHandover",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RoleAssignments.IsUnmeasuredAutomationHandover",
    "IsBlocking": true,
    "IsPassing": true,
    "IsFailing": false,
    "NeedsAttention": false,
    "PassingSuiteKey": "suite-substrate",
    "NeedsAttentionSuiteKey": null
   },
   {
    "TestCaseId": "tc-xlate-role_assignments-error_correction_count",
    "TestKind": "formula-translates",
    "Subject": "RoleAssignments.ErrorCorrectionCount",
    "TargetTable": "RoleAssignments",
    "TargetField": "ErrorCorrectionCount",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RoleAssignments.ErrorCorrectionCount",
    "IsBlocking": true,
    "IsPassing": true,
    "IsFailing": false,
    "NeedsAttention": false,
    "PassingSuiteKey": "suite-substrate",
    "NeedsAttentionSuiteKey": null
   },
   {
    "TestCaseId": "tc-xlate-role_assignments-error_rate_percent",
    "TestKind": "formula-translates",
    "Subject": "RoleAssignments.ErrorRatePercent",
    "TargetTable": "RoleAssignments",
    "TargetField": "ErrorRatePercent",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RoleAssignments.ErrorRatePercent",
    "IsBlocking": true,
    "IsPassing": true,
    "IsFailing": false,
    "NeedsAttention": false,
    "PassingSuiteKey": "suite-substrate",
    "NeedsAttentionSuiteKey": null
   },
   {
    "TestCaseId": "tc-xlate-role_assignments-has_dated_authorization",
    "TestKind": "formula-translates",
    "Subject": "RoleAssignments.HasDatedAuthorization",
    "TargetTable": "RoleAssignments",
    "TargetField": "HasDatedAuthorization",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RoleAssignments.HasDatedAuthorization",
    "IsBlocking": true,
    "IsPassing": true,
    "IsFailing": false,
    "NeedsAttention": false,
    "PassingSuiteKey": "suite-substrate",
    "NeedsAttentionSuiteKey": null
   },
   {
    "TestCaseId": "tc-xlate-role_assignments-days_since_authorization_review",
    "TestKind": "formula-translates",
    "Subject": "RoleAssignments.DaysSinceAuthorizationReview",
    "TargetTable": "RoleAssignments",
    "TargetField": "DaysSinceAuthorizationReview",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RoleAssignments.DaysSinceAuthorizationReview",
    "IsBlocking": true,
    "IsPassing": true,
    "IsFailing": false,
    "NeedsAttention": false,
    "PassingSuiteKey": "suite-substrate",
    "NeedsAttentionSuiteKey": null
   },
   {
    "TestCaseId": "tc-xlate-role_assignments-authorization_is_overdue_for_review",
    "TestKind": "formula-translates",
    "Subject": "RoleAssignments.AuthorizationIsOverdueForReview",
    "TargetTable": "RoleAssignments",
    "TargetField": "AuthorizationIsOverdueForReview",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RoleAssignments.AuthorizationIsOverdueForReview",
    "IsBlocking": true,
    "IsPassing": true,
    "IsFailing": false,
    "NeedsAttention": false,
    "PassingSuiteKey": "suite-substrate",
    "NeedsAttentionSuiteKey": null
   },
   {
    "TestCaseId": "tc-xlate-role_assignments-is_standing_unreviewed_automation",
    "TestKind": "formula-translates",
    "Subject": "RoleAssignments.IsStandingUnreviewedAutomation",
    "TargetTable": "RoleAssignments",
    "TargetField": "IsStandingUnreviewedAutomation",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RoleAssignments.IsStandingUnreviewedAutomation",
    "IsBlocking": true,
    "IsPassing": true,
    "IsFailing": false,
    "NeedsAttention": false,
    "PassingSuiteKey": "suite-substrate",
    "NeedsAttentionSuiteKey": null
   },
   {
    "TestCaseId": "tc-xlate-role_assignments-is_unconditioned_automation_handover",
    "TestKind": "formula-translates",
    "Subject": "RoleAssignments.IsUnconditionedAutomationHandover",
    "TargetTable": "RoleAssignments",
    "TargetField": "IsUnconditionedAutomationHandover",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RoleAssignments.IsUnconditionedAutomationHandover",
    "IsBlocking": true,
    "IsPassing": true,
    "IsFailing": false,
    "NeedsAttention": false,
    "PassingSuiteKey": "suite-substrate",
    "NeedsAttentionSuiteKey": null
   },
   {
    "TestCaseId": "tc-xlate-role_assignments-exceeds_tolerable_error_rate",
    "TestKind": "formula-translates",
    "Subject": "RoleAssignments.ExceedsTolerableErrorRate",
    "TargetTable": "RoleAssignments",
    "TargetField": "ExceedsTolerableErrorRate",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RoleAssignments.ExceedsTolerableErrorRate",
    "IsBlocking": true,
    "IsPassing": true,
    "IsFailing": false,
    "NeedsAttention": false,
    "PassingSuiteKey": "suite-substrate",
    "NeedsAttentionSuiteKey": null
   },
   {
    "TestCaseId": "tc-xlate-role_assignments-boundary_violation_count_for_assignment",
    "TestKind": "formula-translates",
    "Subject": "RoleAssignments.BoundaryViolationCountForAssignment",
    "TargetTable": "RoleAssignments",
    "TargetField": "BoundaryViolationCountForAssignment",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RoleAssignments.BoundaryViolationCountForAssignment",
    "IsBlocking": true,
    "IsPassing": true,
    "IsFailing": false,
    "NeedsAttention": false,
    "PassingSuiteKey": "suite-substrate",
    "NeedsAttentionSuiteKey": null
   },
   {
    "TestCaseId": "tc-xlate-role_assignments-has_any_boundary_violation",
    "TestKind": "formula-translates",
    "Subject": "RoleAssignments.HasAnyBoundaryViolation",
    "TargetTable": "RoleAssignments",
    "TargetField": "HasAnyBoundaryViolation",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RoleAssignments.HasAnyBoundaryViolation",
    "IsBlocking": true,
    "IsPassing": true,
    "IsFailing": false,
    "NeedsAttention": false,
    "PassingSuiteKey": "suite-substrate",
    "NeedsAttentionSuiteKey": null
   },
   {
    "TestCaseId": "tc-xlate-role_assignments-has_ungrounded_governing_boundary",
    "TestKind": "formula-translates",
    "Subject": "RoleAssignments.HasUngroundedGoverningBoundary",
    "TargetTable": "RoleAssignments",
    "TargetField": "HasUngroundedGoverningBoundary",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RoleAssignments.HasUngroundedGoverningBoundary",
    "IsBlocking": true,
    "IsPassing": true,
    "IsFailing": false,
    "NeedsAttention": false,
    "PassingSuiteKey": "suite-substrate",
    "NeedsAttentionSuiteKey": null
   },
   {
    "TestCaseId": "tc-xlate-role_assignments-suspension_condition_met",
    "TestKind": "formula-translates",
    "Subject": "RoleAssignments.SuspensionConditionMet",
    "TargetTable": "RoleAssignments",
    "TargetField": "SuspensionConditionMet",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RoleAssignments.SuspensionConditionMet",
    "IsBlocking": true,
    "IsPassing": true,
    "IsFailing": false,
    "NeedsAttention": false,
    "PassingSuiteKey": "suite-substrate",
    "NeedsAttentionSuiteKey": null
   },
   {
    "TestCaseId": "tc-xlate-role_assignments-is_operating_under_met_suspension_condition",
    "TestKind": "formula-translates",
    "Subject": "RoleAssignments.IsOperatingUnderMetSuspensionCondition",
    "TargetTable": "RoleAssignments",
    "TargetField": "IsOperatingUnderMetSuspensionCondition",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RoleAssignments.IsOperatingUnderMetSuspensionCondition",
    "IsBlocking": true,
    "IsPassing": true,
    "IsFailing": false,
    "NeedsAttention": false,
    "PassingSuiteKey": "suite-substrate",
    "NeedsAttentionSuiteKey": null
   },
   {
    "TestCaseId": "tc-xlate-role_assignments-has_declared_suspension_condition",
    "TestKind": "formula-translates",
    "Subject": "RoleAssignments.HasDeclaredSuspensionCondition",
    "TargetTable": "RoleAssignments",
    "TargetField": "HasDeclaredSuspensionCondition",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RoleAssignments.HasDeclaredSuspensionCondition",
    "IsBlocking": true,
    "IsPassing": true,
    "IsFailing": false,
    "NeedsAttention": false,
    "PassingSuiteKey": "suite-substrate",
    "NeedsAttentionSuiteKey": null
   },
   {
    "TestCaseId": "tc-xlate-role_assignments-has_approving_authority",
    "TestKind": "formula-translates",
    "Subject": "RoleAssignments.HasApprovingAuthority",
    "TargetTable": "RoleAssignments",
    "TargetField": "HasApprovingAuthority",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RoleAssignments.HasApprovingAuthority",
    "IsBlocking": true,
    "IsPassing": true,
    "IsFailing": false,
    "NeedsAttention": false,
    "PassingSuiteKey": "suite-substrate",
    "NeedsAttentionSuiteKey": null
   },
   {
    "TestCaseId": "tc-xlate-role_assignments-has_authorizing_change_request",
    "TestKind": "formula-translates",
    "Subject": "RoleAssignments.HasAuthorizingChangeRequest",
    "TargetTable": "RoleAssignments",
    "TargetField": "HasAuthorizingChangeRequest",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RoleAssignments.HasAuthorizingChangeRequest",
    "IsBlocking": true,
    "IsPassing": true,
    "IsFailing": false,
    "NeedsAttention": false,
    "PassingSuiteKey": "suite-substrate",
    "NeedsAttentionSuiteKey": null
   },
   {
    "TestCaseId": "tc-xlate-role_assignments-is_unauthorized_enforcement_agent",
    "TestKind": "formula-translates",
    "Subject": "RoleAssignments.IsUnauthorizedEnforcementAgent",
    "TargetTable": "RoleAssignments",
    "TargetField": "IsUnauthorizedEnforcementAgent",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RoleAssignments.IsUnauthorizedEnforcementAgent",
    "IsBlocking": true,
    "IsPassing": true,
    "IsFailing": false,
    "NeedsAttention": false,
    "PassingSuiteKey": "suite-substrate",
    "NeedsAttentionSuiteKey": null
   },
   {
    "TestCaseId": "tc-xlate-role_assignments-governance_evidence_count",
    "TestKind": "formula-translates",
    "Subject": "RoleAssignments.GovernanceEvidenceCount",
    "TargetTable": "RoleAssignments",
    "TargetField": "GovernanceEvidenceCount",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RoleAssignments.GovernanceEvidenceCount",
    "IsBlocking": true,
    "IsPassing": true,
    "IsFailing": false,
    "NeedsAttention": false,
    "PassingSuiteKey": "suite-substrate",
    "NeedsAttentionSuiteKey": null
   },
   {
    "TestCaseId": "tc-xlate-role_assignments-unauthorized_enforcement_role_key",
    "TestKind": "formula-translates",
    "Subject": "RoleAssignments.UnauthorizedEnforcementRoleKey",
    "TargetTable": "RoleAssignments",
    "TargetField": "UnauthorizedEnforcementRoleKey",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RoleAssignments.UnauthorizedEnforcementRoleKey",
    "IsBlocking": true,
    "IsPassing": true,
    "IsFailing": false,
    "NeedsAttention": false,
    "PassingSuiteKey": "suite-substrate",
    "NeedsAttentionSuiteKey": null
   },
   {
    "TestCaseId": "tc-xlate-communities_of_practice-name",
    "TestKind": "formula-translates",
    "Subject": "CommunitiesOfPractice.Name",
    "TargetTable": "CommunitiesOfPractice",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CommunitiesOfPractice.Name",
    "IsBlocking": true,
    "IsPassing": true,
    "IsFailing": false,
    "NeedsAttention": false,
    "PassingSuiteKey": "suite-substrate",
    "NeedsAttentionSuiteKey": null
   },
   {
    "TestCaseId": "tc-xlate-mentorships-name",
    "TestKind": "formula-translates",
    "Subject": "Mentorships.Name",
    "TargetTable": "Mentorships",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Mentorships.Name",
    "IsBlocking": true,
    "IsPassing": true,
    "IsFailing": false,
    "NeedsAttention": false,
    "PassingSuiteKey": "suite-substrate",
    "NeedsAttentionSuiteKey": null
   },
   {
    "TestCaseId": "tc-xlate-procedure_types-name",
    "TestKind": "formula-translates",
    "Subject": "ProcedureTypes.Name",
    "TargetTable": "ProcedureTypes",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ProcedureTypes.Name",
    "IsBlocking": true,
    "IsPassing": true,
    "IsFailing": false,
    "NeedsAttention": false,
    "PassingSuiteKey": "suite-substrate",
    "NeedsAttentionSuiteKey": null
   },
   {
    "TestCaseId": "tc-xlate-procedures-name",
    "TestKind": "formula-translates",
    "Subject": "Procedures.Name",
    "TargetTable": "Procedures",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Procedures.Name",
    "IsBlocking": true,
    "IsPassing": true,
    "IsFailing": false,
    "NeedsAttention": false,
    "PassingSuiteKey": "suite-substrate",
    "NeedsAttentionSuiteKey": null
   },
   {
    "TestCaseId": "tc-xlate-procedure_versions-name",
    "TestKind": "formula-translates",
    "Subject": "ProcedureVersions.Name",
    "TargetTable": "ProcedureVersions",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ProcedureVersions.Name",
    "IsBlocking": true,
    "IsPassing": true,
    "IsFailing": false,
    "NeedsAttention": false,
    "PassingSuiteKey": "suite-substrate",
    "NeedsAttentionSuiteKey": null
   },
   {
    "TestCaseId": "tc-xlate-procedure_versions-count_of_steps",
    "TestKind": "formula-translates",
    "Subject": "ProcedureVersions.CountOfSteps",
    "TargetTable": "ProcedureVersions",
    "TargetField": "CountOfSteps",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ProcedureVersions.CountOfSteps",
    "IsBlocking": true,
    "IsPassing": true,
    "IsFailing": false,
    "NeedsAttention": false,
    "PassingSuiteKey": "suite-substrate",
    "NeedsAttentionSuiteKey": null
   },
   {
    "TestCaseId": "tc-xlate-procedure_versions-count_of_open_knowledge_gaps",
    "TestKind": "formula-translates",
    "Subject": "ProcedureVersions.CountOfOpenKnowledgeGaps",
    "TargetTable": "ProcedureVersions",
    "TargetField": "CountOfOpenKnowledgeGaps",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ProcedureVersions.CountOfOpenKnowledgeGaps",
    "IsBlocking": true,
    "IsPassing": true,
    "IsFailing": false,
    "NeedsAttention": false,
    "PassingSuiteKey": "suite-substrate",
    "NeedsAttentionSuiteKey": null
   },
   {
    "TestCaseId": "tc-xlate-procedure_versions-is_ready_for_execution",
    "TestKind": "formula-translates",
    "Subject": "ProcedureVersions.IsReadyForExecution",
    "TargetTable": "ProcedureVersions",
    "TargetField": "IsReadyForExecution",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ProcedureVersions.IsReadyForExecution",
    "IsBlocking": true,
    "IsPassing": true,
    "IsFailing": false,
    "NeedsAttention": false,
    "PassingSuiteKey": "suite-substrate",
    "NeedsAttentionSuiteKey": null
   },
   {
    "TestCaseId": "tc-xlate-procedure_versions-specified_step_count",
    "TestKind": "formula-translates",
    "Subject": "ProcedureVersions.SpecifiedStepCount",
    "TargetTable": "ProcedureVersions",
    "TargetField": "SpecifiedStepCount",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ProcedureVersions.SpecifiedStepCount",
    "IsBlocking": true,
    "IsPassing": true,
    "IsFailing": false,
    "NeedsAttention": false,
    "PassingSuiteKey": "suite-substrate",
    "NeedsAttentionSuiteKey": null
   },
   {
    "TestCaseId": "tc-xlate-procedure_versions-overdue_review_count",
    "TestKind": "formula-translates",
    "Subject": "ProcedureVersions.OverdueReviewCount",
    "TargetTable": "ProcedureVersions",
    "TargetField": "OverdueReviewCount",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ProcedureVersions.OverdueReviewCount",
    "IsBlocking": true,
    "IsPassing": true,
    "IsFailing": false,
    "NeedsAttention": false,
    "PassingSuiteKey": "suite-substrate",
    "NeedsAttentionSuiteKey": null
   },
   {
    "TestCaseId": "tc-xlate-procedure_versions-open_change_request_count",
    "TestKind": "formula-translates",
    "Subject": "ProcedureVersions.OpenChangeRequestCount",
    "TargetTable": "ProcedureVersions",
    "TargetField": "OpenChangeRequestCount",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ProcedureVersions.OpenChangeRequestCount",
    "IsBlocking": true,
    "IsPassing": true,
    "IsFailing": false,
    "NeedsAttention": false,
    "PassingSuiteKey": "suite-substrate",
    "NeedsAttentionSuiteKey": null
   },
   {
    "TestCaseId": "tc-xlate-procedure_versions-open_high_severity_gap_count",
    "TestKind": "formula-translates",
    "Subject": "ProcedureVersions.OpenHighSeverityGapCount",
    "TargetTable": "ProcedureVersions",
    "TargetField": "OpenHighSeverityGapCount",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ProcedureVersions.OpenHighSeverityGapCount",
    "IsBlocking": true,
    "IsPassing": true,
    "IsFailing": false,
    "NeedsAttention": false,
    "PassingSuiteKey": "suite-substrate",
    "NeedsAttentionSuiteKey": null
   },
   {
    "TestCaseId": "tc-xlate-procedure_versions-is_fit_to_execute",
    "TestKind": "formula-translates",
    "Subject": "ProcedureVersions.IsFitToExecute",
    "TargetTable": "ProcedureVersions",
    "TargetField": "IsFitToExecute",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ProcedureVersions.IsFitToExecute",
    "IsBlocking": true,
    "IsPassing": true,
    "IsFailing": false,
    "NeedsAttention": false,
    "PassingSuiteKey": "suite-substrate",
    "NeedsAttentionSuiteKey": null
   },
   {
    "TestCaseId": "tc-xlate-procedure_versions-steward_review_cadence_days",
    "TestKind": "formula-translates",
    "Subject": "ProcedureVersions.StewardReviewCadenceDays",
    "TargetTable": "ProcedureVersions",
    "TargetField": "StewardReviewCadenceDays",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ProcedureVersions.StewardReviewCadenceDays",
    "IsBlocking": true,
    "IsPassing": true,
    "IsFailing": false,
    "NeedsAttention": false,
    "PassingSuiteKey": "suite-substrate",
    "NeedsAttentionSuiteKey": null
   },
   {
    "TestCaseId": "tc-xlate-procedure_versions-count_of_stewardship_assignments",
    "TestKind": "formula-translates",
    "Subject": "ProcedureVersions.CountOfStewardshipAssignments",
    "TargetTable": "ProcedureVersions",
    "TargetField": "CountOfStewardshipAssignments",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ProcedureVersions.CountOfStewardshipAssignments",
    "IsBlocking": true,
    "IsPassing": true,
    "IsFailing": false,
    "NeedsAttention": false,
    "PassingSuiteKey": "suite-substrate",
    "NeedsAttentionSuiteKey": null
   },
   {
    "TestCaseId": "tc-xlate-procedure_versions-has_any_steward",
    "TestKind": "formula-translates",
    "Subject": "ProcedureVersions.HasAnySteward",
    "TargetTable": "ProcedureVersions",
    "TargetField": "HasAnySteward",
    "Assertion": "The transpiler emitted a real SQL function for this formula rather than a NULL stub.",
    "DefendsQuestion": "q-steward-orphan-versions",
    "Suite": "suite-substrate",
    "Severity": "blocking",
    "LastOutcome": "PASS",
    "LastDetail": "translated",
    "LastRunAt": "2026-07-20</t>
  </si>
  <si>
    <t xml:space="preserve">T03:06:49+00:00",
    "SemanticTypeIri": "urn:effortless:pko-extension#TestCase",
    "Name": "formula-translates: ProcedureVersions.HasAnySteward",
    "IsBlocking": true,
    "IsPassing": true,
    "IsFailing": false,
    "NeedsAttention": false,
    "PassingSuiteKey": "suite-substrate",
    "NeedsAttentionSuiteKey": null
   },
   {
    "TestCaseId": "tc-xlate-procedure_versions-is_live",
    "TestKind": "formula-translates",
    "Subject": "ProcedureVersions.IsLive",
    "TargetTable": "ProcedureVersions",
    "TargetField": "IsLive",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
    "IsBlocking": true,
    "IsPassing": true,
    "IsFailing": false,
    "NeedsAttention": false,
    "PassingSuiteKey": "suite-substrate",
    "NeedsAttentionSuiteKey": null
   },
   {
    "TestCaseId": "tc-xlate-procedure_versions-is_unstewarded",
    "TestKind": "formula-translates",
    "Subject": "ProcedureVersions.IsUnstewarded",
    "TargetTable": "ProcedureVersions",
    "TargetField": "IsUnstewarded",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ProcedureVersions.IsUnstewarded",
    "IsBlocking": true,
    "IsPassing": true,
    "IsFailing": false,
    "NeedsAttention": false,
    "PassingSuiteKey": "suite-substrate",
    "NeedsAttentionSuiteKey": null
   },
   {
    "TestCaseId": "tc-xlate-procedure_versions-is_live_and_unstewarded",
    "TestKind": "formula-translates",
    "Subject": "ProcedureVersions.IsLiveAndUnstewarded",
    "TargetTable": "ProcedureVersions",
    "TargetField": "IsLiveAndUnstewarded",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ProcedureVersions.IsLiveAndUnstewarded",
    "IsBlocking": true,
    "IsPassing": true,
    "IsFailing": false,
    "NeedsAttention": false,
    "PassingSuiteKey": "suite-substrate",
    "NeedsAttentionSuiteKey": null
   },
   {
    "TestCaseId": "tc-xlate-procedure_versions-count_of_open_blocking_gaps",
    "TestKind": "formula-translates",
    "Subject": "ProcedureVersions.CountOfOpenBlockingGaps",
    "TargetTable": "ProcedureVersions",
    "TargetField": "CountOfOpenBlockingGaps",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ProcedureVersions.CountOfOpenBlockingGaps",
    "IsBlocking": true,
    "IsPassing": true,
    "IsFailing": false,
    "NeedsAttention": false,
    "PassingSuiteKey": "suite-substrate",
    "NeedsAttentionSuiteKey": null
   },
   {
    "TestCaseId": "tc-xlate-procedure_versions-has_open_blocking_gap",
    "TestKind": "formula-translates",
    "Subject": "ProcedureVersions.HasOpenBlockingGap",
    "TargetTable": "ProcedureVersions",
    "TargetField": "HasOpenBlockingGap",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ProcedureVersions.HasOpenBlockingGap",
    "IsBlocking": true,
    "IsPassing": true,
    "IsFailing": false,
    "NeedsAttention": false,
    "PassingSuiteKey": "suite-substrate",
    "NeedsAttentionSuiteKey": null
   },
   {
    "TestCaseId": "tc-xlate-procedure_versions-is_live_with_blocking_gap",
    "TestKind": "formula-translates",
    "Subject": "ProcedureVersions.IsLiveWithBlockingGap",
    "TargetTable": "ProcedureVersions",
    "TargetField": "IsLiveWithBlockingGap",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ProcedureVersions.IsLiveWithBlockingGap",
    "IsBlocking": true,
    "IsPassing": true,
    "IsFailing": false,
    "NeedsAttention": false,
    "PassingSuiteKey": "suite-substrate",
    "NeedsAttentionSuiteKey": null
   },
   {
    "TestCaseId": "tc-xlate-procedure_versions-should_not_be_executable",
    "TestKind": "formula-translates",
    "Subject": "ProcedureVersions.ShouldNotBeExecutable",
    "TargetTable": "ProcedureVersions",
    "TargetField": "ShouldNotBeExecutable",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ProcedureVersions.ShouldNotBeExecutable",
    "IsBlocking": true,
    "IsPassing": true,
    "IsFailing": false,
    "NeedsAttention": false,
    "PassingSuiteKey": "suite-substrate",
    "NeedsAttentionSuiteKey": null
   },
   {
    "TestCaseId": "tc-xlate-procedure_versions-count_of_unapproved_reliance_fragments",
    "TestKind": "formula-translates",
    "Subject": "ProcedureVersions.CountOfUnapprovedRelianceFragments",
    "TargetTable": "ProcedureVersions",
    "TargetField": "CountOfUnapprovedRelianceFragments",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ProcedureVersions.CountOfUnapprovedRelianceFragments",
    "IsBlocking": true,
    "IsPassing": true,
    "IsFailing": false,
    "NeedsAttention": false,
    "PassingSuiteKey": "suite-substrate",
    "NeedsAttentionSuiteKey": null
   },
   {
    "TestCaseId": "tc-xlate-procedure_versions-runs_on_unapproved_knowledge",
    "TestKind": "formula-translates",
    "Subject": "ProcedureVersions.RunsOnUnapprovedKnowledge",
    "TargetTable": "ProcedureVersions",
    "TargetField": "RunsOnUnapprovedKnowledge",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ProcedureVersions.RunsOnUnapprovedKnowledge",
    "IsBlocking": true,
    "IsPassing": true,
    "IsFailing": false,
    "NeedsAttention": false,
    "PassingSuiteKey": "suite-substrate",
    "NeedsAttentionSuiteKey": null
   },
   {
    "TestCaseId": "tc-xlate-procedure_versions-count_of_overdue_gaps",
    "TestKind": "formula-translates",
    "Subject": "ProcedureVersions.CountOfOverdueGaps",
    "TargetTable": "ProcedureVersions",
    "TargetField": "CountOfOverdueGaps",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ProcedureVersions.CountOfOverdueGaps",
    "IsBlocking": true,
    "IsPassing": true,
    "IsFailing": false,
    "NeedsAttention": false,
    "PassingSuiteKey": "suite-substrate",
    "NeedsAttentionSuiteKey": null
   },
   {
    "TestCaseId": "tc-xlate-procedure_versions-count_of_change_requests",
    "TestKind": "formula-translates",
    "Subject": "ProcedureVersions.CountOfChangeRequests",
    "TargetTable": "ProcedureVersions",
    "TargetField": "CountOfChangeRequests",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ProcedureVersions.CountOfChangeRequests",
    "IsBlocking": true,
    "IsPassing": true,
    "IsFailing": false,
    "NeedsAttention": false,
    "PassingSuiteKey": "suite-substrate",
    "NeedsAttentionSuiteKey": null
   },
   {
    "TestCaseId": "tc-xlate-procedure_versions-count_of_review_events",
    "TestKind": "formula-translates",
    "Subject": "ProcedureVersions.CountOfReviewEvents",
    "TargetTable": "ProcedureVersions",
    "TargetField": "CountOfReviewEvents",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ProcedureVersions.CountOfReviewEvents",
    "IsBlocking": true,
    "IsPassing": true,
    "IsFailing": false,
    "NeedsAttention": false,
    "PassingSuiteKey": "suite-substrate",
    "NeedsAttentionSuiteKey": null
   },
   {
    "TestCaseId": "tc-xlate-procedure_versions-has_governance_record",
    "TestKind": "formula-translates",
    "Subject": "ProcedureVersions.HasGovernanceRecord",
    "TargetTable": "ProcedureVersions",
    "TargetField": "HasGovernanceRecord",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ProcedureVersions.HasGovernanceRecord",
    "IsBlocking": true,
    "IsPassing": true,
    "IsFailing": false,
    "NeedsAttention": false,
    "PassingSuiteKey": "suite-substrate",
    "NeedsAttentionSuiteKey": null
   },
   {
    "TestCaseId": "tc-xlate-procedure_versions-as_of_instant",
    "TestKind": "formula-translates",
    "Subject": "ProcedureVersions.AsOfInstant",
    "TargetTable": "ProcedureVersions",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ProcedureVersions.AsOfInstant",
    "IsBlocking": true,
    "IsPassing": true,
    "IsFailing": false,
    "NeedsAttention": false,
    "PassingSuiteKey": "suite-substrate",
    "NeedsAttentionSuiteKey": null
   },
   {
    "TestCaseId": "tc-xlate-procedure_versions-days_since_modified",
    "TestKind": "formula-translates",
    "Subject": "ProcedureVersions.DaysSinceModified",
    "TargetTable": "ProcedureVersions",
    "TargetField": "DaysSinceModified",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ProcedureVersions.DaysSinceModified",
    "IsBlocking": true,
    "IsPassing": true,
    "IsFailing": false,
    "NeedsAttention": false,
    "PassingSuiteKey": "suite-substrate",
    "NeedsAttentionSuiteKey": null
   },
   {
    "TestCaseId": "tc-xlate-procedure_versions-days_since_last_review",
    "TestKind": "formula-translates",
    "Subject": "ProcedureVersions.DaysSinceLastReview",
    "TargetTable": "ProcedureVersions",
    "TargetField": "DaysSinceLastReview",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ProcedureVersions.DaysSinceLastReview",
    "IsBlocking": true,
    "IsPassing": true,
    "IsFailing": false,
    "NeedsAttention": false,
    "PassingSuiteKey": "suite-substrate",
    "NeedsAttentionSuiteKey": null
   },
   {
    "TestCaseId": "tc-xlate-procedure_versions-was_modified_since_last_review",
    "TestKind": "formula-translates",
    "Subject": "ProcedureVersions.WasModifiedSinceLastReview",
    "TargetTable": "ProcedureVersions",
    "TargetField": "WasModifiedSinceLastReview",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ProcedureVersions.WasModifiedSinceLastReview",
    "IsBlocking": true,
    "IsPassing": true,
    "IsFailing": false,
    "NeedsAttention": false,
    "PassingSuiteKey": "suite-substrate",
    "NeedsAttentionSuiteKey": null
   },
   {
    "TestCaseId": "tc-xlate-procedure_versions-modifier_is_authority",
    "TestKind": "formula-translates",
    "Subject": "ProcedureVersions.ModifierIsAuthority",
    "TargetTable": "ProcedureVersions",
    "TargetField": "ModifierIsAuthority",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ProcedureVersions.ModifierIsAuthority",
    "IsBlocking": true,
    "IsPassing": true,
    "IsFailing": false,
    "NeedsAttention": false,
    "PassingSuiteKey": "suite-substrate",
    "NeedsAttentionSuiteKey": null
   },
   {
    "TestCaseId": "tc-xlate-procedure_versions-has_unwitnessed_change",
    "TestKind": "formula-translates",
    "Subject": "ProcedureVersions.HasUnwitnessedChange",
    "TargetTable": "ProcedureVersions",
    "TargetField": "HasUnwitnessedChange",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ProcedureVersions.HasUnwitnessedChange",
    "IsBlocking": true,
    "IsPassing": true,
    "IsFailing": false,
    "NeedsAttention": false,
    "PassingSuiteKey": "suite-substrate",
    "NeedsAttentionSuiteKey": null
   },
   {
    "TestCaseId": "tc-xlate-procedure_versions-count_of_stale_fragments",
    "TestKind": "formula-translates",
    "Subject": "ProcedureVersions.CountOfStaleFragments",
    "TargetTable": "ProcedureVersions",
    "TargetField": "CountOfStaleFragments",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ProcedureVersions.CountOfStaleFragments",
    "IsBlocking": true,
    "IsPassing": true,
    "IsFailing": false,
    "NeedsAttention": false,
    "PassingSuiteKey": "suite-substrate",
    "NeedsAttentionSuiteKey": null
   },
   {
    "TestCaseId": "tc-xlate-procedure_versions-knowledge_is_staler_than_cadence",
    "TestKind": "formula-translates",
    "Subject": "ProcedureVersions.KnowledgeIsStalerThanCadence",
    "TargetTable": "ProcedureVersions",
    "TargetField": "KnowledgeIsStalerThanCadence",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ProcedureVersions.KnowledgeIsStalerThanCadence",
    "IsBlocking": true,
    "IsPassing": true,
    "IsFailing": false,
    "NeedsAttention": false,
    "PassingSuiteKey": "suite-substrate",
    "NeedsAttentionSuiteKey": null
   },
   {
    "TestCaseId": "tc-xlate-procedure_versions-compound_fragile_fragment_count",
    "TestKind": "formula-translates",
    "Subject": "ProcedureVersions.CompoundFragileFragmentCount",
    "TargetTable": "ProcedureVersions",
    "TargetField": "CompoundFragileFragmentCount",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ProcedureVersions.CompoundFragileFragmentCount",
    "IsBlocking": true,
    "IsPassing": true,
    "IsFailing": false,
    "NeedsAttention": false,
    "PassingSuiteKey": "suite-substrate",
    "NeedsAttentionSuiteKey": null
   },
   {
    "TestCaseId": "tc-xlate-procedure_versions-rests_on_compound_fragile_knowledge",
    "TestKind": "formula-translates",
    "Subject": "ProcedureVersions.RestsOnCompoundFragileKnowledge",
    "TargetTable": "ProcedureVersions",
    "TargetField": "RestsOnCompoundFragileKnowledge",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ProcedureVersions.RestsOnCompoundFragileKnowledge",
    "IsBlocking": true,
    "IsPassing": true,
    "IsFailing": false,
    "NeedsAttention": false,
    "PassingSuiteKey": "suite-substrate",
    "NeedsAttentionSuiteKey": null
   },
   {
    "TestCaseId": "tc-xlate-procedure_versions-concentrated_witness_session_count",
    "TestKind": "formula-translates",
    "Subject": "ProcedureVersions.ConcentratedWitnessSessionCount",
    "TargetTable": "ProcedureVersions",
    "TargetField": "ConcentratedWitnessSessionCount",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ProcedureVersions.ConcentratedWitnessSessionCount",
    "IsBlocking": true,
    "IsPassing": true,
    "IsFailing": false,
    "NeedsAttention": false,
    "PassingSuiteKey": "suite-substrate",
    "NeedsAttentionSuiteKey": null
   },
   {
    "TestCaseId": "tc-xlate-procedure_versions-knowledge_base_is_concentrated",
    "TestKind": "formula-translates",
    "Subject": "ProcedureVersions.KnowledgeBaseIsConcentrated",
    "TargetTable": "ProcedureVersions",
    "TargetField": "KnowledgeBaseIsConcentrated",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ProcedureVersions.KnowledgeBaseIsConcentrated",
    "IsBlocking": true,
    "IsPassing": true,
    "IsFailing": false,
    "NeedsAttention": false,
    "PassingSuiteKey": "suite-substrate",
    "NeedsAttentionSuiteKey": null
   },
   {
    "TestCaseId": "tc-xlate-procedure_versions-machine_consumed_unapproved_count",
    "TestKind": "formula-translates",
    "Subject": "ProcedureVersions.MachineConsumedUnapprovedCount",
    "TargetTable": "ProcedureVersions",
    "TargetField": "MachineConsumedUnapprovedCount",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ProcedureVersions.MachineConsumedUnapprovedCount",
    "IsBlocking": true,
    "IsPassing": true,
    "IsFailing": false,
    "NeedsAttention": false,
    "PassingSuiteKey": "suite-substrate",
    "NeedsAttentionSuiteKey": null
   },
   {
    "TestCaseId": "tc-xlate-procedure_versions-feeds_unapproved_knowledge_to_machines",
    "TestKind": "formula-translates",
    "Subject": "ProcedureVersions.FeedsUnapprovedKnowledgeToMachines",
    "TargetTable": "ProcedureVersions",
    "TargetField": "FeedsUnapprovedKnowledgeToMachines",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ProcedureVersions.FeedsUnapprovedKnowledgeToMachines",
    "IsBlocking": true,
    "IsPassing": true,
    "IsFailing": false,
    "NeedsAttention": false,
    "PassingSuiteKey": "suite-substrate",
    "NeedsAttentionSuiteKey": null
   },
   {
    "TestCaseId": "tc-xlate-procedure_versions-genuinely_overdue_fragment_count",
    "TestKind": "formula-translates",
    "Subject": "ProcedureVersions.GenuinelyOverdueFragmentCount",
    "TargetTable": "ProcedureVersions",
    "TargetField": "GenuinelyOverdueFragmentCount",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ProcedureVersions.GenuinelyOverdueFragmentCount",
    "IsBlocking": true,
    "IsPassing": true,
    "IsFailing": false,
    "NeedsAttention": false,
    "PassingSuiteKey": "suite-substrate",
    "NeedsAttentionSuiteKey": null
   },
   {
    "TestCaseId": "tc-xlate-procedure_versions-awaited_decision_count",
    "TestKind": "formula-translates",
    "Subject": "ProcedureVersions.AwaitedDecisionCount",
    "TargetTable": "ProcedureVersions",
    "TargetField": "AwaitedDecisionCount",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ProcedureVersions.AwaitedDecisionCount",
    "IsBlocking": true,
    "IsPassing": true,
    "IsFailing": false,
    "NeedsAttention": false,
    "PassingSuiteKey": "suite-substrate",
    "NeedsAttentionSuiteKey": null
   },
   {
    "TestCaseId": "tc-xlate-procedure_versions-scoped_open_blocking_gap_count",
    "TestKind": "formula-translates",
    "Subject": "ProcedureVersions.ScopedOpenBlockingGapCount",
    "TargetTable": "ProcedureVersions",
    "TargetField": "ScopedOpenBlockingGapCount",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ProcedureVersions.ScopedOpenBlockingGapCount",
    "IsBlocking": true,
    "IsPassing": true,
    "IsFailing": false,
    "NeedsAttention": false,
    "PassingSuiteKey": "suite-substrate",
    "NeedsAttentionSuiteKey": null
   },
   {
    "TestCaseId": "tc-xlate-procedure_versions-is_blocked_on_pending_decision",
    "TestKind": "formula-translates",
    "Subject": "ProcedureVersions.IsBlockedOnPendingDecision",
    "TargetTable": "ProcedureVersions",
    "TargetField": "IsBlockedOnPendingDecision",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ProcedureVersions.IsBlockedOnPendingDecision",
    "IsBlocking": true,
    "IsPassing": true,
    "IsFailing": false,
    "NeedsAttention": false,
    "PassingSuiteKey": "suite-substrate",
    "NeedsAttentionSuiteKey": null
   },
   {
    "TestCaseId": "tc-xlate-procedure_versions-unexercised_human_gate_count",
    "TestKind": "formula-translates",
    "Subject": "ProcedureVersions.UnexercisedHumanGateCount",
    "TargetTable": "ProcedureVersions",
    "TargetField": "UnexercisedHumanGateCount",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ProcedureVersions.UnexercisedHumanGateCount",
    "IsBlocking": true,
    "IsPassing": true,
    "IsFailing": false,
    "NeedsAttention": false,
    "PassingSuiteKey": "suite-substrate",
    "NeedsAttentionSuiteKey": null
   },
   {
    "TestCaseId": "tc-xlate-procedure_versions-ai_boundary_is_unevidenced",
    "TestKind": "formula-translates",
    "Subject": "ProcedureVersions.AiBoundaryIsUnevidenced",
    "TargetTable": "ProcedureVersions",
    "TargetField": "AiBoundaryIsUnevidenced",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ProcedureVersions.AiBoundaryIsUnevidenced",
    "IsBlocking": true,
    "IsPassing": true,
    "IsFailing": false,
    "NeedsAttention": false,
    "PassingSuiteKey": "suite-substrate",
    "NeedsAttentionSuiteKey": null
   },
   {
    "TestCaseId": "tc-xlate-procedure_versions-load_bearing_unapproved_count",
    "TestKind": "formula-translates",
    "Subject": "ProcedureVersions.LoadBearingUnapprovedCount",
    "TargetTable": "ProcedureVersions",
    "TargetField": "LoadBearingUnapprovedCount",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ProcedureVersions.LoadBearingUnapprovedCount",
    "IsBlocking": true,
    "IsPassing": true,
    "IsFailing": false,
    "NeedsAttention": false,
    "PassingSuiteKey": "suite-substrate",
    "NeedsAttentionSuiteKey": null
   },
   {
    "TestCaseId": "tc-xlate-procedure_versions-unlanded_decision_count",
    "TestKind": "formula-translates",
    "Subject": "ProcedureVersions.UnlandedDecisionCount",
    "TargetTable": "ProcedureVersions",
    "TargetField": "UnlandedDecisionCount",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ProcedureVersions.UnlandedDecisionCount",
    "IsBlocking": true,
    "IsPassing": true,
    "IsFailing": false,
    "NeedsAttention": false,
    "PassingSuiteKey": "suite-substrate",
    "NeedsAttentionSuiteKey": null
   },
   {
    "TestCaseId": "tc-xlate-procedure_versions-unrehearsed_control_entry_count",
    "TestKind": "formula-translates",
    "Subject": "ProcedureVersions.UnrehearsedControlEntryCount",
    "TargetTable": "ProcedureVersions",
    "TargetField": "UnrehearsedCont</t>
  </si>
  <si>
    <t xml:space="preserve">rolEntryCount",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ProcedureVersions.UnrehearsedControlEntryCount",
    "IsBlocking": true,
    "IsPassing": true,
    "IsFailing": false,
    "NeedsAttention": false,
    "PassingSuiteKey": "suite-substrate",
    "NeedsAttentionSuiteKey": null
   },
   {
    "TestCaseId": "tc-xlate-procedure_versions-has_unrehearsed_control_entry",
    "TestKind": "formula-translates",
    "Subject": "ProcedureVersions.HasUnrehearsedControlEntry",
    "TargetTable": "ProcedureVersions",
    "TargetField": "HasUnrehearsedControlEntry",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ProcedureVersions.HasUnrehearsedControlEntry",
    "IsBlocking": true,
    "IsPassing": true,
    "IsFailing": false,
    "NeedsAttention": false,
    "PassingSuiteKey": "suite-substrate",
    "NeedsAttentionSuiteKey": null
   },
   {
    "TestCaseId": "tc-xlate-procedure_versions-is_live_with_unrehearsed_control",
    "TestKind": "formula-translates",
    "Subject": "ProcedureVersions.IsLiveWithUnrehearsedControl",
    "TargetTable": "ProcedureVersions",
    "TargetField": "IsLiveWithUnrehearsedControl",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ProcedureVersions.IsLiveWithUnrehearsedControl",
    "IsBlocking": true,
    "IsPassing": true,
    "IsFailing": false,
    "NeedsAttention": false,
    "PassingSuiteKey": "suite-substrate",
    "NeedsAttentionSuiteKey": null
   },
   {
    "TestCaseId": "tc-xlate-procedure_versions-cadence_breach_count",
    "TestKind": "formula-translates",
    "Subject": "ProcedureVersions.CadenceBreachCount",
    "TargetTable": "ProcedureVersions",
    "TargetField": "CadenceBreachCount",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ProcedureVersions.CadenceBreachCount",
    "IsBlocking": true,
    "IsPassing": true,
    "IsFailing": false,
    "NeedsAttention": false,
    "PassingSuiteKey": "suite-substrate",
    "NeedsAttentionSuiteKey": null
   },
   {
    "TestCaseId": "tc-xlate-procedure_versions-is_in_cadence_breach",
    "TestKind": "formula-translates",
    "Subject": "ProcedureVersions.IsInCadenceBreach",
    "TargetTable": "ProcedureVersions",
    "TargetField": "IsInCadenceBreach",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ProcedureVersions.IsInCadenceBreach",
    "IsBlocking": true,
    "IsPassing": true,
    "IsFailing": false,
    "NeedsAttention": false,
    "PassingSuiteKey": "suite-substrate",
    "NeedsAttentionSuiteKey": null
   },
   {
    "TestCaseId": "tc-xlate-procedure_versions-has_decision_in_flight",
    "TestKind": "formula-translates",
    "Subject": "ProcedureVersions.HasDecisionInFlight",
    "TargetTable": "ProcedureVersions",
    "TargetField": "HasDecisionInFlight",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ProcedureVersions.HasDecisionInFlight",
    "IsBlocking": true,
    "IsPassing": true,
    "IsFailing": false,
    "NeedsAttention": false,
    "PassingSuiteKey": "suite-substrate",
    "NeedsAttentionSuiteKey": null
   },
   {
    "TestCaseId": "tc-xlate-procedure_versions-is_unremediated_cadence_breach",
    "TestKind": "formula-translates",
    "Subject": "ProcedureVersions.IsUnremediatedCadenceBreach",
    "TargetTable": "ProcedureVersions",
    "TargetField": "IsUnremediatedCadenceBreach",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ProcedureVersions.IsUnremediatedCadenceBreach",
    "IsBlocking": true,
    "IsPassing": true,
    "IsFailing": false,
    "NeedsAttention": false,
    "PassingSuiteKey": "suite-substrate",
    "NeedsAttentionSuiteKey": null
   },
   {
    "TestCaseId": "tc-xlate-procedure_versions-is_managed_cadence_breach",
    "TestKind": "formula-translates",
    "Subject": "ProcedureVersions.IsManagedCadenceBreach",
    "TargetTable": "ProcedureVersions",
    "TargetField": "IsManagedCadenceBreach",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ProcedureVersions.IsManagedCadenceBreach",
    "IsBlocking": true,
    "IsPassing": true,
    "IsFailing": false,
    "NeedsAttention": false,
    "PassingSuiteKey": "suite-substrate",
    "NeedsAttentionSuiteKey": null
   },
   {
    "TestCaseId": "tc-xlate-procedure_versions-governance_is_silent",
    "TestKind": "formula-translates",
    "Subject": "ProcedureVersions.GovernanceIsSilent",
    "TargetTable": "ProcedureVersions",
    "TargetField": "GovernanceIsSilent",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ProcedureVersions.GovernanceIsSilent",
    "IsBlocking": true,
    "IsPassing": true,
    "IsFailing": false,
    "NeedsAttention": false,
    "PassingSuiteKey": "suite-substrate",
    "NeedsAttentionSuiteKey": null
   },
   {
    "TestCaseId": "tc-xlate-procedure_versions-valid_fragment_count",
    "TestKind": "formula-translates",
    "Subject": "ProcedureVersions.ValidFragmentCount",
    "TargetTable": "ProcedureVersions",
    "TargetField": "ValidFragmentCount",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ProcedureVersions.ValidFragmentCount",
    "IsBlocking": true,
    "IsPassing": true,
    "IsFailing": false,
    "NeedsAttention": false,
    "PassingSuiteKey": "suite-substrate",
    "NeedsAttentionSuiteKey": null
   },
   {
    "TestCaseId": "tc-xlate-procedure_versions-still_owns_valid_knowledge",
    "TestKind": "formula-translates",
    "Subject": "ProcedureVersions.StillOwnsValidKnowledge",
    "TargetTable": "ProcedureVersions",
    "TargetField": "StillOwnsValidKnowledge",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ProcedureVersions.StillOwnsValidKnowledge",
    "IsBlocking": true,
    "IsPassing": true,
    "IsFailing": false,
    "NeedsAttention": false,
    "PassingSuiteKey": "suite-substrate",
    "NeedsAttentionSuiteKey": null
   },
   {
    "TestCaseId": "tc-xlate-procedure_versions-incoming_supersession_count",
    "TestKind": "formula-translates",
    "Subject": "ProcedureVersions.IncomingSupersessionCount",
    "TargetTable": "ProcedureVersions",
    "TargetField": "IncomingSupersessionCount",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ProcedureVersions.IncomingSupersessionCount",
    "IsBlocking": true,
    "IsPassing": true,
    "IsFailing": false,
    "NeedsAttention": false,
    "PassingSuiteKey": "suite-substrate",
    "NeedsAttentionSuiteKey": null
   },
   {
    "TestCaseId": "tc-xlate-procedure_versions-is_still_referenced",
    "TestKind": "formula-translates",
    "Subject": "ProcedureVersions.IsStillReferenced",
    "TargetTable": "ProcedureVersions",
    "TargetField": "IsStillReferenced",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ProcedureVersions.IsStillReferenced",
    "IsBlocking": true,
    "IsPassing": true,
    "IsFailing": false,
    "NeedsAttention": false,
    "PassingSuiteKey": "suite-substrate",
    "NeedsAttentionSuiteKey": null
   },
   {
    "TestCaseId": "tc-xlate-procedure_versions-is_load_bearing_orphan",
    "TestKind": "formula-translates",
    "Subject": "ProcedureVersions.IsLoadBearingOrphan",
    "TargetTable": "ProcedureVersions",
    "TargetField": "IsLoadBearingOrphan",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ProcedureVersions.IsLoadBearingOrphan",
    "IsBlocking": true,
    "IsPassing": true,
    "IsFailing": false,
    "NeedsAttention": false,
    "PassingSuiteKey": "suite-substrate",
    "NeedsAttentionSuiteKey": null
   },
   {
    "TestCaseId": "tc-xlate-procedure_versions-is_cleanly_retired",
    "TestKind": "formula-translates",
    "Subject": "ProcedureVersions.IsCleanlyRetired",
    "TargetTable": "ProcedureVersions",
    "TargetField": "IsCleanlyRetired",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ProcedureVersions.IsCleanlyRetired",
    "IsBlocking": true,
    "IsPassing": true,
    "IsFailing": false,
    "NeedsAttention": false,
    "PassingSuiteKey": "suite-substrate",
    "NeedsAttentionSuiteKey": null
   },
   {
    "TestCaseId": "tc-xlate-procedure_versions-stalled_implementation_count",
    "TestKind": "formula-translates",
    "Subject": "ProcedureVersions.StalledImplementationCount",
    "TargetTable": "ProcedureVersions",
    "TargetField": "StalledImplementationCount",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ProcedureVersions.StalledImplementationCount",
    "IsBlocking": true,
    "IsPassing": true,
    "IsFailing": false,
    "NeedsAttention": false,
    "PassingSuiteKey": "suite-substrate",
    "NeedsAttentionSuiteKey": null
   },
   {
    "TestCaseId": "tc-xlate-procedure_versions-is_held_unfit_by_landed_decisions",
    "TestKind": "formula-translates",
    "Subject": "ProcedureVersions.IsHeldUnfitByLandedDecisions",
    "TargetTable": "ProcedureVersions",
    "TargetField": "IsHeldUnfitByLandedDecisions",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ProcedureVersions.IsHeldUnfitByLandedDecisions",
    "IsBlocking": true,
    "IsPassing": true,
    "IsFailing": false,
    "NeedsAttention": false,
    "PassingSuiteKey": "suite-substrate",
    "NeedsAttentionSuiteKey": null
   },
   {
    "TestCaseId": "tc-xlate-procedure_versions-undeclared_control_kind_count",
    "TestKind": "formula-translates",
    "Subject": "ProcedureVersions.UndeclaredControlKindCount",
    "TargetTable": "ProcedureVersions",
    "TargetField": "UndeclaredControlKindCount",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ProcedureVersions.UndeclaredControlKindCount",
    "IsBlocking": true,
    "IsPassing": true,
    "IsFailing": false,
    "NeedsAttention": false,
    "PassingSuiteKey": "suite-substrate",
    "NeedsAttentionSuiteKey": null
   },
   {
    "TestCaseId": "tc-xlate-procedure_versions-control_taxonomy_is_incomplete",
    "TestKind": "formula-translates",
    "Subject": "ProcedureVersions.ControlTaxonomyIsIncomplete",
    "TargetTable": "ProcedureVersions",
    "TargetField": "ControlTaxonomyIsIncomplete",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ProcedureVersions.ControlTaxonomyIsIncomplete",
    "IsBlocking": true,
    "IsPassing": true,
    "IsFailing": false,
    "NeedsAttention": false,
    "PassingSuiteKey": "suite-substrate",
    "NeedsAttentionSuiteKey": null
   },
   {
    "TestCaseId": "tc-xlate-procedure_versions-has_approved_change_request",
    "TestKind": "formula-translates",
    "Subject": "ProcedureVersions.HasApprovedChangeRequest",
    "TargetTable": "ProcedureVersions",
    "TargetField": "HasApprovedChangeRequest",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ProcedureVersions.HasApprovedChangeRequest",
    "IsBlocking": true,
    "IsPassing": true,
    "IsFailing": false,
    "NeedsAttention": false,
    "PassingSuiteKey": "suite-substrate",
    "NeedsAttentionSuiteKey": null
   },
   {
    "TestCaseId": "tc-xlate-procedure_versions-approved_change_request_count",
    "TestKind": "formula-translates",
    "Subject": "ProcedureVersions.ApprovedChangeRequestCount",
    "TargetTable": "ProcedureVersions",
    "TargetField": "ApprovedChangeRequestCount",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ProcedureVersions.ApprovedChangeRequestCount",
    "IsBlocking": true,
    "IsPassing": true,
    "IsFailing": false,
    "NeedsAttention": false,
    "PassingSuiteKey": "suite-substrate",
    "NeedsAttentionSuiteKey": null
   },
   {
    "TestCaseId": "tc-xlate-procedure_versions-unwatched_unowned_control_count",
    "TestKind": "formula-translates",
    "Subject": "ProcedureVersions.UnwatchedUnownedControlCount",
    "TargetTable": "ProcedureVersions",
    "TargetField": "UnwatchedUnownedControlCount",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ProcedureVersions.UnwatchedUnownedControlCount",
    "IsBlocking": true,
    "IsPassing": true,
    "IsFailing": false,
    "NeedsAttention": false,
    "PassingSuiteKey": "suite-substrate",
    "NeedsAttentionSuiteKey": null
   },
   {
    "TestCaseId": "tc-xlate-procedure_version_links-name",
    "TestKind": "formula-translates",
    "Subject": "ProcedureVersionLinks.Name",
    "TargetTable": "ProcedureVersionLinks",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ProcedureVersionLinks.Name",
    "IsBlocking": true,
    "IsPassing": true,
    "IsFailing": false,
    "NeedsAttention": false,
    "PassingSuiteKey": "suite-substrate",
    "NeedsAttentionSuiteKey": null
   },
   {
    "TestCaseId": "tc-xlate-procedure_version_links-superseded_version_key",
    "TestKind": "formula-translates",
    "Subject": "ProcedureVersionLinks.SupersededVersionKey",
    "TargetTable": "ProcedureVersionLinks",
    "TargetField": "SupersededVersionKey",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ProcedureVersionLinks.SupersededVersionKey",
    "IsBlocking": true,
    "IsPassing": true,
    "IsFailing": false,
    "NeedsAttention": false,
    "PassingSuiteKey": "suite-substrate",
    "NeedsAttentionSuiteKey": null
   },
   {
    "TestCaseId": "tc-xlate-procedure_status_changes-name",
    "TestKind": "formula-translates",
    "Subject": "ProcedureStatusChanges.Name",
    "TargetTable": "ProcedureStatusChanges",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ProcedureStatusChanges.Name",
    "IsBlocking": true,
    "IsPassing": true,
    "IsFailing": false,
    "NeedsAttention": false,
    "PassingSuiteKey": "suite-substrate",
    "NeedsAttentionSuiteKey": null
   },
   {
    "TestCaseId": "tc-xlate-steps-name",
    "TestKind": "formula-translates",
    "Subject": "Steps.Name",
    "TargetTable": "Steps",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Steps.Name",
    "IsBlocking": true,
    "IsPassing": true,
    "IsFailing": false,
    "NeedsAttention": false,
    "PassingSuiteKey": "suite-substrate",
    "NeedsAttentionSuiteKey": null
   },
   {
    "TestCaseId": "tc-xlate-steps-assigned_role_label",
    "TestKind": "formula-translates",
    "Subject": "Steps.AssignedRoleLabel",
    "TargetTable": "Steps",
    "TargetField": "AssignedRoleLabel",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Steps.AssignedRoleLabel",
    "IsBlocking": true,
    "IsPassing": true,
    "IsFailing": false,
    "NeedsAttention": false,
    "PassingSuiteKey": "suite-substrate",
    "NeedsAttentionSuiteKey": null
   },
   {
    "TestCaseId": "tc-xlate-steps-assigned_agent_kind",
    "TestKind": "formula-translates",
    "Subject": "Steps.AssignedAgentKind",
    "TargetTable": "Steps",
    "TargetField": "AssignedAgentKind",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Steps.AssignedAgentKind",
    "IsBlocking": true,
    "IsPassing": true,
    "IsFailing": false,
    "NeedsAttention": false,
    "PassingSuiteKey": "suite-substrate",
    "NeedsAttentionSuiteKey": null
   },
   {
    "TestCaseId": "tc-xlate-steps-blocking_requirement_count",
    "TestKind": "formula-translates",
    "Subject": "Steps.BlockingRequirementCount",
    "TargetTable": "Steps",
    "TargetField": "BlockingRequirementCount",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Steps.BlockingRequirementCount",
    "IsBlocking": true,
    "IsPassing": true,
    "IsFailing": false,
    "NeedsAttention": false,
    "PassingSuiteKey": "suite-substrate",
    "NeedsAttentionSuiteKey": null
   },
   {
    "TestCaseId": "tc-xlate-steps-stale_binding_count",
    "TestKind": "formula-translates",
    "Subject": "Steps.StaleBindingCount",
    "TargetTable": "Steps",
    "TargetField": "StaleBindingCount",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Steps.StaleBindingCount",
    "IsBlocking": true,
    "IsPassing": true,
    "IsFailing": false,
    "NeedsAttention": false,
    "PassingSuiteKey": "suite-substrate",
    "NeedsAttentionSuiteKey": null
   },
   {
    "TestCaseId": "tc-xlate-steps-authoritative_stale_count",
    "TestKind": "formula-translates",
    "Subject": "Steps.AuthoritativeStaleCount",
    "TargetTable": "Steps",
    "TargetField": "AuthoritativeStaleCount",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Steps.AuthoritativeStaleCount",
    "IsBlocking": true,
    "IsPassing": true,
    "IsFailing": false,
    "NeedsAttention": false,
    "PassingSuiteKey": "suite-substrate",
    "NeedsAttentionSuiteKey": null
   },
   {
    "TestCaseId": "tc-xlate-steps-available_exception_count",
    "TestKind": "formula-translates",
    "Subject": "Steps.AvailableExceptionCount",
    "TargetTable": "Steps",
    "TargetField": "AvailableExceptionCount",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Steps.AvailableExceptionCount",
    "IsBlocking": true,
    "IsPassing": true,
    "IsFailing": false,
    "NeedsAttention": false,
    "PassingSuiteKey": "suite-substrate",
    "NeedsAttentionSuiteKey": null
   },
   {
    "TestCaseId": "tc-xlate-steps-declared_verification_count",
    "TestKind": "formula-translates",
    "Subject": "Steps.DeclaredVerificationCount",
    "TargetTable": "Steps",
    "TargetField": "DeclaredVerificationCount",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Steps.DeclaredVerificationCount",
    "IsBlocking": true,
    "IsPassing": true,
    "IsFailing": false,
    "NeedsAttention": false,
    "PassingSuiteKey": "suite-substrate",
    "NeedsAttentionSuiteKey": null
   },
   {
    "TestCaseId": "tc-xlate-steps-is_preparation_step",
    "TestKind": "formula-translates",
    "Subject": "Steps.IsPreparationStep",
    "TargetTable": "Steps",
    "TargetField": "IsPreparationStep",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Steps.IsPreparationStep",
    "IsBlocking": true,
    "IsPassing": true,
    "IsFailing": false,
    "NeedsAttention": false,
    "PassingSuiteKey": "suite-substrate",
    "NeedsAttentionSuiteKey": null
   },
   {
    "TestCaseId": "tc-xlate-steps-is_approval_step",
    "TestKind": "formula-translates",
    "Subject": "Steps.IsApprovalStep",
    "TargetTable": "Steps",
    "TargetField": "IsApprovalStep",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Steps.IsApprovalStep",
    "IsBlocking": true,
    "IsPassing": true,
    "IsFailing": false,
    "NeedsAttention": false,
    "PassingSuiteKey": "suite-substrate",
    "NeedsAttentionSuiteKey": null
   },
   {
    "TestCaseId": "tc-xlate-steps-stale_authoritative_binding_count",
    "TestKind": "formula-translates",
    "Subject": "Steps.StaleAuthoritativeBindingCount",
    "TargetTable": "Steps",
    "TargetField": "StaleAuthoritativeBindingCount",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Steps.StaleAuthoritativeBindingCount",
    "IsBlocking": true,
    "IsPassing": true,
    "IsFailing": false,
    "NeedsAttention": false,
    "PassingSuiteKey": "suite-substrate",
    "NeedsAttentionSuiteKey": null
   },
   {
    "TestCaseId": "tc-xlate-steps-inputs_are_fresh",
    "TestKind": "formula-translates",
    "Subject": "Steps.InputsAreFresh",
    "TargetTable": "Steps",
    "TargetField": "InputsAreFresh",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Steps.InputsAreFresh",
    "IsBlocking": true,
    "IsPassing": true,
    "IsFailing": false,
    "</t>
  </si>
  <si>
    <t xml:space="preserve">NeedsAttention": false,
    "PassingSuiteKey": "suite-substrate",
    "NeedsAttentionSuiteKey": null
   },
   {
    "TestCaseId": "tc-xlate-steps-is_software_assigned",
    "TestKind": "formula-translates",
    "Subject": "Steps.IsSoftwareAssigned",
    "TargetTable": "Steps",
    "TargetField": "IsSoftwareAssigned",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Steps.IsSoftwareAssigned",
    "IsBlocking": true,
    "IsPassing": true,
    "IsFailing": false,
    "NeedsAttention": false,
    "PassingSuiteKey": "suite-substrate",
    "NeedsAttentionSuiteKey": null
   },
   {
    "TestCaseId": "tc-xlate-steps-is_human_approval_gate",
    "TestKind": "formula-translates",
    "Subject": "Steps.IsHumanApprovalGate",
    "TargetTable": "Steps",
    "TargetField": "IsHumanApprovalGate",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Steps.IsHumanApprovalGate",
    "IsBlocking": true,
    "IsPassing": true,
    "IsFailing": false,
    "NeedsAttention": false,
    "PassingSuiteKey": "suite-substrate",
    "NeedsAttentionSuiteKey": null
   },
   {
    "TestCaseId": "tc-xlate-steps-gate_held_by_human",
    "TestKind": "formula-translates",
    "Subject": "Steps.GateHeldByHuman",
    "TargetTable": "Steps",
    "TargetField": "GateHeldByHuman",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Steps.GateHeldByHuman",
    "IsBlocking": true,
    "IsPassing": true,
    "IsFailing": false,
    "NeedsAttention": false,
    "PassingSuiteKey": "suite-substrate",
    "NeedsAttentionSuiteKey": null
   },
   {
    "TestCaseId": "tc-xlate-steps-binding_boundary_count",
    "TestKind": "formula-translates",
    "Subject": "Steps.BindingBoundaryCount",
    "TargetTable": "Steps",
    "TargetField": "BindingBoundaryCount",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Steps.BindingBoundaryCount",
    "IsBlocking": true,
    "IsPassing": true,
    "IsFailing": false,
    "NeedsAttention": false,
    "PassingSuiteKey": "suite-substrate",
    "NeedsAttentionSuiteKey": null
   },
   {
    "TestCaseId": "tc-xlate-steps-assigned_role_is_ungoverned",
    "TestKind": "formula-translates",
    "Subject": "Steps.AssignedRoleIsUngoverned",
    "TargetTable": "Steps",
    "TargetField": "AssignedRoleIsUngoverned",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Steps.AssignedRoleIsUngoverned",
    "IsBlocking": true,
    "IsPassing": true,
    "IsFailing": false,
    "NeedsAttention": false,
    "PassingSuiteKey": "suite-substrate",
    "NeedsAttentionSuiteKey": null
   },
   {
    "TestCaseId": "tc-xlate-steps-unusable_binding_count",
    "TestKind": "formula-translates",
    "Subject": "Steps.UnusableBindingCount",
    "TargetTable": "Steps",
    "TargetField": "UnusableBindingCount",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Steps.UnusableBindingCount",
    "IsBlocking": true,
    "IsPassing": true,
    "IsFailing": false,
    "NeedsAttention": false,
    "PassingSuiteKey": "suite-substrate",
    "NeedsAttentionSuiteKey": null
   },
   {
    "TestCaseId": "tc-xlate-steps-all_sources_usable",
    "TestKind": "formula-translates",
    "Subject": "Steps.AllSourcesUsable",
    "TargetTable": "Steps",
    "TargetField": "AllSourcesUsable",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Steps.AllSourcesUsable",
    "IsBlocking": true,
    "IsPassing": true,
    "IsFailing": false,
    "NeedsAttention": false,
    "PassingSuiteKey": "suite-substrate",
    "NeedsAttentionSuiteKey": null
   },
   {
    "TestCaseId": "tc-xlate-steps-unwarranted_boundary_count",
    "TestKind": "formula-translates",
    "Subject": "Steps.UnwarrantedBoundaryCount",
    "TargetTable": "Steps",
    "TargetField": "UnwarrantedBoundaryCount",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Steps.UnwarrantedBoundaryCount",
    "IsBlocking": true,
    "IsPassing": true,
    "IsFailing": false,
    "NeedsAttention": false,
    "PassingSuiteKey": "suite-substrate",
    "NeedsAttentionSuiteKey": null
   },
   {
    "TestCaseId": "tc-xlate-steps-is_governed_by_unwarranted_boundary",
    "TestKind": "formula-translates",
    "Subject": "Steps.IsGovernedByUnwarrantedBoundary",
    "TargetTable": "Steps",
    "TargetField": "IsGovernedByUnwarrantedBoundary",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Steps.IsGovernedByUnwarrantedBoundary",
    "IsBlocking": true,
    "IsPassing": true,
    "IsFailing": false,
    "NeedsAttention": false,
    "PassingSuiteKey": "suite-substrate",
    "NeedsAttentionSuiteKey": null
   },
   {
    "TestCaseId": "tc-xlate-steps-software_execution_count",
    "TestKind": "formula-translates",
    "Subject": "Steps.SoftwareExecutionCount",
    "TargetTable": "Steps",
    "TargetField": "SoftwareExecutionCount",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Steps.SoftwareExecutionCount",
    "IsBlocking": true,
    "IsPassing": true,
    "IsFailing": false,
    "NeedsAttention": false,
    "PassingSuiteKey": "suite-substrate",
    "NeedsAttentionSuiteKey": null
   },
   {
    "TestCaseId": "tc-xlate-steps-has_been_approached_by_software",
    "TestKind": "formula-translates",
    "Subject": "Steps.HasBeenApproachedBySoftware",
    "TargetTable": "Steps",
    "TargetField": "HasBeenApproachedBySoftware",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Steps.HasBeenApproachedBySoftware",
    "IsBlocking": true,
    "IsPassing": true,
    "IsFailing": false,
    "NeedsAttention": false,
    "PassingSuiteKey": "suite-substrate",
    "NeedsAttentionSuiteKey": null
   },
   {
    "TestCaseId": "tc-xlate-steps-is_unexercised_human_gate",
    "TestKind": "formula-translates",
    "Subject": "Steps.IsUnexercisedHumanGate",
    "TargetTable": "Steps",
    "TargetField": "IsUnexercisedHumanGate",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Steps.IsUnexercisedHumanGate",
    "IsBlocking": true,
    "IsPassing": true,
    "IsFailing": false,
    "NeedsAttention": false,
    "PassingSuiteKey": "suite-substrate",
    "NeedsAttentionSuiteKey": null
   },
   {
    "TestCaseId": "tc-xlate-steps-is_demonstrated_human_gate",
    "TestKind": "formula-translates",
    "Subject": "Steps.IsDemonstratedHumanGate",
    "TargetTable": "Steps",
    "TargetField": "IsDemonstratedHumanGate",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Steps.IsDemonstratedHumanGate",
    "IsBlocking": true,
    "IsPassing": true,
    "IsFailing": false,
    "NeedsAttention": false,
    "PassingSuiteKey": "suite-substrate",
    "NeedsAttentionSuiteKey": null
   },
   {
    "TestCaseId": "tc-xlate-steps-unexercised_gate_version_key",
    "TestKind": "formula-translates",
    "Subject": "Steps.UnexercisedGateVersionKey",
    "TargetTable": "Steps",
    "TargetField": "UnexercisedGateVersionKey",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Steps.UnexercisedGateVersionKey",
    "IsBlocking": true,
    "IsPassing": true,
    "IsFailing": false,
    "NeedsAttention": false,
    "PassingSuiteKey": "suite-substrate",
    "NeedsAttentionSuiteKey": null
   },
   {
    "TestCaseId": "tc-xlate-steps-has_declared_control_kind",
    "TestKind": "formula-translates",
    "Subject": "Steps.HasDeclaredControlKind",
    "TargetTable": "Steps",
    "TargetField": "HasDeclaredControlKind",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Steps.HasDeclaredControlKind",
    "IsBlocking": true,
    "IsPassing": true,
    "IsFailing": false,
    "NeedsAttention": false,
    "PassingSuiteKey": "suite-substrate",
    "NeedsAttentionSuiteKey": null
   },
   {
    "TestCaseId": "tc-xlate-steps-undeclared_control_version_key",
    "TestKind": "formula-translates",
    "Subject": "Steps.UndeclaredControlVersionKey",
    "TargetTable": "Steps",
    "TargetField": "UndeclaredControlVersionKey",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Steps.UndeclaredControlVersionKey",
    "IsBlocking": true,
    "IsPassing": true,
    "IsFailing": false,
    "NeedsAttention": false,
    "PassingSuiteKey": "suite-substrate",
    "NeedsAttentionSuiteKey": null
   },
   {
    "TestCaseId": "tc-xlate-steps-approval_step_is_software_assigned",
    "TestKind": "formula-translates",
    "Subject": "Steps.ApprovalStepIsSoftwareAssigned",
    "TargetTable": "Steps",
    "TargetField": "ApprovalStepIsSoftwareAssigned",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Steps.ApprovalStepIsSoftwareAssigned",
    "IsBlocking": true,
    "IsPassing": true,
    "IsFailing": false,
    "NeedsAttention": false,
    "PassingSuiteKey": "suite-substrate",
    "NeedsAttentionSuiteKey": null
   },
   {
    "TestCaseId": "tc-xlate-steps-unwitnessed_blocking_count",
    "TestKind": "formula-translates",
    "Subject": "Steps.UnwitnessedBlockingCount",
    "TargetTable": "Steps",
    "TargetField": "UnwitnessedBlockingCount",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Steps.UnwitnessedBlockingCount",
    "IsBlocking": true,
    "IsPassing": true,
    "IsFailing": false,
    "NeedsAttention": false,
    "PassingSuiteKey": "suite-substrate",
    "NeedsAttentionSuiteKey": null
   },
   {
    "TestCaseId": "tc-xlate-step_transitions-name",
    "TestKind": "formula-translates",
    "Subject": "StepTransitions.Name",
    "TargetTable": "StepTransitions",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StepTransitions.Name",
    "IsBlocking": true,
    "IsPassing": true,
    "IsFailing": false,
    "NeedsAttention": false,
    "PassingSuiteKey": "suite-substrate",
    "NeedsAttentionSuiteKey": null
   },
   {
    "TestCaseId": "tc-xlate-step_transitions-is_recovery_path",
    "TestKind": "formula-translates",
    "Subject": "StepTransitions.IsRecoveryPath",
    "TargetTable": "StepTransitions",
    "TargetField": "IsRecoveryPath",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StepTransitions.IsRecoveryPath",
    "IsBlocking": true,
    "IsPassing": true,
    "IsFailing": false,
    "NeedsAttention": false,
    "PassingSuiteKey": "suite-substrate",
    "NeedsAttentionSuiteKey": null
   },
   {
    "TestCaseId": "tc-xlate-step_transitions-count_of_from_step_executions",
    "TestKind": "formula-translates",
    "Subject": "StepTransitions.CountOfFromStepExecutions",
    "TargetTable": "StepTransitions",
    "TargetField": "CountOfFromStepExecutions",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StepTransitions.CountOfFromStepExecutions",
    "IsBlocking": true,
    "IsPassing": true,
    "IsFailing": false,
    "NeedsAttention": false,
    "PassingSuiteKey": "suite-substrate",
    "NeedsAttentionSuiteKey": null
   },
   {
    "TestCaseId": "tc-xlate-step_transitions-count_of_to_step_executions",
    "TestKind": "formula-translates",
    "Subject": "StepTransitions.CountOfToStepExecutions",
    "TargetTable": "StepTransitions",
    "TargetField": "CountOfToStepExecutions",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StepTransitions.CountOfToStepExecutions",
    "IsBlocking": true,
    "IsPassing": true,
    "IsFailing": false,
    "NeedsAttention": false,
    "PassingSuiteKey": "suite-substrate",
    "NeedsAttentionSuiteKey": null
   },
   {
    "TestCaseId": "tc-xlate-step_transitions-has_reachable_origin",
    "TestKind": "formula-translates",
    "Subject": "StepTransitions.HasReachableOrigin",
    "TargetTable": "StepTransitions",
    "TargetField": "HasReachableOrigin",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StepTransitions.HasReachableOrigin",
    "IsBlocking": true,
    "IsPassing": true,
    "IsFailing": false,
    "NeedsAttention": false,
    "PassingSuiteKey": "suite-substrate",
    "NeedsAttentionSuiteKey": null
   },
   {
    "TestCaseId": "tc-xlate-step_transitions-has_reachable_target",
    "TestKind": "formula-translates",
    "Subject": "StepTransitions.HasReachableTarget",
    "TargetTable": "StepTransitions",
    "TargetField": "HasReachableTarget",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StepTransitions.HasReachableTarget",
    "IsBlocking": true,
    "IsPassing": true,
    "IsFailing": false,
    "NeedsAttention": false,
    "PassingSuiteKey": "suite-substrate",
    "NeedsAttentionSuiteKey": null
   },
   {
    "TestCaseId": "tc-xlate-step_transitions-is_never_exercised",
    "TestKind": "formula-translates",
    "Subject": "StepTransitions.IsNeverExercised",
    "TargetTable": "StepTransitions",
    "TargetField": "IsNeverExercised",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StepTransitions.IsNeverExercised",
    "IsBlocking": true,
    "IsPassing": true,
    "IsFailing": false,
    "NeedsAttention": false,
    "PassingSuiteKey": "suite-substrate",
    "NeedsAttentionSuiteKey": null
   },
   {
    "TestCaseId": "tc-xlate-step_transitions-is_untested_recovery_path",
    "TestKind": "formula-translates",
    "Subject": "StepTransitions.IsUntestedRecoveryPath",
    "TargetTable": "StepTransitions",
    "TargetField": "IsUntestedRecoveryPath",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StepTransitions.IsUntestedRecoveryPath",
    "IsBlocking": true,
    "IsPassing": true,
    "IsFailing": false,
    "NeedsAttention": false,
    "PassingSuiteKey": "suite-substrate",
    "NeedsAttentionSuiteKey": null
   },
   {
    "TestCaseId": "tc-xlate-step_transitions-count_of_observed_traversals",
    "TestKind": "formula-translates",
    "Subject": "StepTransitions.CountOfObservedTraversals",
    "TargetTable": "StepTransitions",
    "TargetField": "CountOfObservedTraversals",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StepTransitions.CountOfObservedTraversals",
    "IsBlocking": true,
    "IsPassing": true,
    "IsFailing": false,
    "NeedsAttention": false,
    "PassingSuiteKey": "suite-substrate",
    "NeedsAttentionSuiteKey": null
   },
   {
    "TestCaseId": "tc-xlate-step_transitions-has_been_traversed",
    "TestKind": "formula-translates",
    "Subject": "StepTransitions.HasBeenTraversed",
    "TargetTable": "StepTransitions",
    "TargetField": "HasBeenTraversed",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StepTransitions.HasBeenTraversed",
    "IsBlocking": true,
    "IsPassing": true,
    "IsFailing": false,
    "NeedsAttention": false,
    "PassingSuiteKey": "suite-substrate",
    "NeedsAttentionSuiteKey": null
   },
   {
    "TestCaseId": "tc-xlate-step_transitions-is_unwalked_recovery_path",
    "TestKind": "formula-translates",
    "Subject": "StepTransitions.IsUnwalkedRecoveryPath",
    "TargetTable": "StepTransitions",
    "TargetField": "IsUnwalkedRecoveryPath",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StepTransitions.IsUnwalkedRecoveryPath",
    "IsBlocking": true,
    "IsPassing": true,
    "IsFailing": false,
    "NeedsAttention": false,
    "PassingSuiteKey": "suite-substrate",
    "NeedsAttentionSuiteKey": null
   },
   {
    "TestCaseId": "tc-xlate-step_transitions-target_blocking_requirement_count",
    "TestKind": "formula-translates",
    "Subject": "StepTransitions.TargetBlockingRequirementCount",
    "TargetTable": "StepTransitions",
    "TargetField": "TargetBlockingRequirementCount",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StepTransitions.TargetBlockingRequirementCount",
    "IsBlocking": true,
    "IsPassing": true,
    "IsFailing": false,
    "NeedsAttention": false,
    "PassingSuiteKey": "suite-substrate",
    "NeedsAttentionSuiteKey": null
   },
   {
    "TestCaseId": "tc-xlate-step_transitions-target_carries_blocking_control",
    "TestKind": "formula-translates",
    "Subject": "StepTransitions.TargetCarriesBlockingControl",
    "TargetTable": "StepTransitions",
    "TargetField": "TargetCarriesBlockingControl",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StepTransitions.TargetCarriesBlockingControl",
    "IsBlocking": true,
    "IsPassing": true,
    "IsFailing": false,
    "NeedsAttention": false,
    "PassingSuiteKey": "suite-substrate",
    "NeedsAttentionSuiteKey": null
   },
   {
    "TestCaseId": "tc-xlate-step_transitions-is_unrehearsed_control_entry",
    "TestKind": "formula-translates",
    "Subject": "StepTransitions.IsUnrehearsedControlEntry",
    "TargetTable": "StepTransitions",
    "TargetField": "IsUnrehearsedControlEntry",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StepTransitions.IsUnrehearsedControlEntry",
    "IsBlocking": true,
    "IsPassing": true,
    "IsFailing": false,
    "NeedsAttention": false,
    "PassingSuiteKey": "suite-substrate",
    "NeedsAttentionSuiteKey": null
   },
   {
    "TestCaseId": "tc-xlate-step_transitions-unrehearsed_control_version_key",
    "TestKind": "formula-translates",
    "Subject": "StepTransitions.UnrehearsedControlVersionKey",
    "TargetTable": "StepTransitions",
    "TargetField": "UnrehearsedControlVersionKey",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StepTransitions.UnrehearsedControlVersionKey",
    "IsBlocking": true,
    "IsPassing": true,
    "IsFailing": false,
    "NeedsAttention": false,
    "PassingSuiteKey": "suite-substrate",
    "NeedsAttentionSuiteKey": null
   },
   {
    "TestCaseId": "tc-xlate-actions-name",
    "TestKind": "formula-translates",
    "Subject": "Actions.Name",
    "TargetTable": "Actions",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Actions.Name",
    "IsBlocking": true,
    "IsPassing": true,
    "IsFailing": false,
    "NeedsAttention": false,
    "PassingSuiteKey": "suite-substrate",
    "NeedsAttentionSuiteKey": null
   },
   {
    "TestCaseId": "tc-xlate-functions-name",
    "TestKind": "formula-translates",
    "Subject": "Functions.Name",
    "TargetTable": "Functions",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Functions.Name",
    "IsBlocking": true,
    "IsPassing": true,
    "IsFailing": false,
    "NeedsAttention": false,
    "PassingSuiteKey": "suite-substrate",
    "NeedsAttentionSuiteKey": null
   },
   {
    "TestCaseId": "tc-xlate-tools-name",
    "TestKind": "formula-translates",
    "Subject": "Tools.Name",
    "TargetTable": "Tools",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Tools.Name",
    "IsBlocking": true,
    "IsPassing": true,
    "IsFailing": false,
    "NeedsAttention": false,
    "PassingSuiteKey": "suite-substrate",
    "NeedsAttentionSuiteKey": null
   },
   {
    "TestCaseId": "tc-xlate-step_actions-name",
    "TestKind": "formula-translates",
    "Subject": "StepActions.Name",
    "TargetTable": "StepActions",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StepActions.Name",
    "IsBlocking": true,
    "IsPassing": true,
    "IsFailing": false,
    "NeedsAttention": false,
    "PassingSuiteKey": "suite-substrate",
    "NeedsAttentionSuiteKey": null
   },
   {
    "TestCaseId": "tc-xlate-step_functions-name",
    "TestKind": "formula-translates",
    "Subject": "StepFunctions.Name",
    "TargetTable": "StepFunctions",
    "TargetField": "Name",
    "Assertion": "The transpiler emitted a real SQL function for this formula rather than a NULL stub.",
    "DefendsQuestion": null,
    "Suite": "suite-substrate",
    "Severity": </t>
  </si>
  <si>
    <t xml:space="preserve">"blocking",
    "LastOutcome": "PASS",
    "LastDetail": "translated",
    "LastRunAt": "2026-07-20T03:06:49+00:00",
    "SemanticTypeIri": "urn:effortless:pko-extension#TestCase",
    "Name": "formula-translates: StepFunctions.Name",
    "IsBlocking": true,
    "IsPassing": true,
    "IsFailing": false,
    "NeedsAttention": false,
    "PassingSuiteKey": "suite-substrate",
    "NeedsAttentionSuiteKey": null
   },
   {
    "TestCaseId": "tc-xlate-step_tools-name",
    "TestKind": "formula-translates",
    "Subject": "StepTools.Name",
    "TargetTable": "StepTools",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StepTools.Name",
    "IsBlocking": true,
    "IsPassing": true,
    "IsFailing": false,
    "NeedsAttention": false,
    "PassingSuiteKey": "suite-substrate",
    "NeedsAttentionSuiteKey": null
   },
   {
    "TestCaseId": "tc-xlate-requirements-name",
    "TestKind": "formula-translates",
    "Subject": "Requirements.Name",
    "TargetTable": "Requirements",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Requirements.Name",
    "IsBlocking": true,
    "IsPassing": true,
    "IsFailing": false,
    "NeedsAttention": false,
    "PassingSuiteKey": "suite-substrate",
    "NeedsAttentionSuiteKey": null
   },
   {
    "TestCaseId": "tc-xlate-requirements-satisfaction_record_count",
    "TestKind": "formula-translates",
    "Subject": "Requirements.SatisfactionRecordCount",
    "TargetTable": "Requirements",
    "TargetField": "SatisfactionRecordCount",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Requirements.SatisfactionRecordCount",
    "IsBlocking": true,
    "IsPassing": true,
    "IsFailing": false,
    "NeedsAttention": false,
    "PassingSuiteKey": "suite-substrate",
    "NeedsAttentionSuiteKey": null
   },
   {
    "TestCaseId": "tc-xlate-requirements-step_binding_count",
    "TestKind": "formula-translates",
    "Subject": "Requirements.StepBindingCount",
    "TargetTable": "Requirements",
    "TargetField": "StepBindingCount",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Requirements.StepBindingCount",
    "IsBlocking": true,
    "IsPassing": true,
    "IsFailing": false,
    "NeedsAttention": false,
    "PassingSuiteKey": "suite-substrate",
    "NeedsAttentionSuiteKey": null
   },
   {
    "TestCaseId": "tc-xlate-requirements-is_bound_to_any_step",
    "TestKind": "formula-translates",
    "Subject": "Requirements.IsBoundToAnyStep",
    "TargetTable": "Requirements",
    "TargetField": "IsBoundToAnyStep",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Requirements.IsBoundToAnyStep",
    "IsBlocking": true,
    "IsPassing": true,
    "IsFailing": false,
    "NeedsAttention": false,
    "PassingSuiteKey": "suite-substrate",
    "NeedsAttentionSuiteKey": null
   },
   {
    "TestCaseId": "tc-xlate-requirements-has_ever_been_evaluated",
    "TestKind": "formula-translates",
    "Subject": "Requirements.HasEverBeenEvaluated",
    "TargetTable": "Requirements",
    "TargetField": "HasEverBeenEvaluated",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Requirements.HasEverBeenEvaluated",
    "IsBlocking": true,
    "IsPassing": true,
    "IsFailing": false,
    "NeedsAttention": false,
    "PassingSuiteKey": "suite-substrate",
    "NeedsAttentionSuiteKey": null
   },
   {
    "TestCaseId": "tc-xlate-requirements-negative_outcome_count",
    "TestKind": "formula-translates",
    "Subject": "Requirements.NegativeOutcomeCount",
    "TargetTable": "Requirements",
    "TargetField": "NegativeOutcomeCount",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Requirements.NegativeOutcomeCount",
    "IsBlocking": true,
    "IsPassing": true,
    "IsFailing": false,
    "NeedsAttention": false,
    "PassingSuiteKey": "suite-substrate",
    "NeedsAttentionSuiteKey": null
   },
   {
    "TestCaseId": "tc-xlate-requirements-is_inoperative_control",
    "TestKind": "formula-translates",
    "Subject": "Requirements.IsInoperativeControl",
    "TargetTable": "Requirements",
    "TargetField": "IsInoperativeControl",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Requirements.IsInoperativeControl",
    "IsBlocking": true,
    "IsPassing": true,
    "IsFailing": false,
    "NeedsAttention": false,
    "PassingSuiteKey": "suite-substrate",
    "NeedsAttentionSuiteKey": null
   },
   {
    "TestCaseId": "tc-xlate-requirements-is_decorative_control",
    "TestKind": "formula-translates",
    "Subject": "Requirements.IsDecorativeControl",
    "TargetTable": "Requirements",
    "TargetField": "IsDecorativeControl",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Requirements.IsDecorativeControl",
    "IsBlocking": true,
    "IsPassing": true,
    "IsFailing": false,
    "NeedsAttention": false,
    "PassingSuiteKey": "suite-substrate",
    "NeedsAttentionSuiteKey": null
   },
   {
    "TestCaseId": "tc-xlate-requirements-has_ever_produced_negative",
    "TestKind": "formula-translates",
    "Subject": "Requirements.HasEverProducedNegative",
    "TargetTable": "Requirements",
    "TargetField": "HasEverProducedNegative",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Requirements.HasEverProducedNegative",
    "IsBlocking": true,
    "IsPassing": true,
    "IsFailing": false,
    "NeedsAttention": false,
    "PassingSuiteKey": "suite-substrate",
    "NeedsAttentionSuiteKey": null
   },
   {
    "TestCaseId": "tc-xlate-requirements-is_unfalsified_control",
    "TestKind": "formula-translates",
    "Subject": "Requirements.IsUnfalsifiedControl",
    "TargetTable": "Requirements",
    "TargetField": "IsUnfalsifiedControl",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Requirements.IsUnfalsifiedControl",
    "IsBlocking": true,
    "IsPassing": true,
    "IsFailing": false,
    "NeedsAttention": false,
    "PassingSuiteKey": "suite-substrate",
    "NeedsAttentionSuiteKey": null
   },
   {
    "TestCaseId": "tc-xlate-requirements-claims_a_witness_field",
    "TestKind": "formula-translates",
    "Subject": "Requirements.ClaimsAWitnessField",
    "TargetTable": "Requirements",
    "TargetField": "ClaimsAWitnessField",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Requirements.ClaimsAWitnessField",
    "IsBlocking": true,
    "IsPassing": true,
    "IsFailing": false,
    "NeedsAttention": false,
    "PassingSuiteKey": "suite-substrate",
    "NeedsAttentionSuiteKey": null
   },
   {
    "TestCaseId": "tc-xlate-requirements-named_witness_field_exists",
    "TestKind": "formula-translates",
    "Subject": "Requirements.NamedWitnessFieldExists",
    "TargetTable": "Requirements",
    "TargetField": "NamedWitnessFieldExists",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Requirements.NamedWitnessFieldExists",
    "IsBlocking": true,
    "IsPassing": true,
    "IsFailing": false,
    "NeedsAttention": false,
    "PassingSuiteKey": "suite-substrate",
    "NeedsAttentionSuiteKey": null
   },
   {
    "TestCaseId": "tc-xlate-requirements-derived_has_computed_witness",
    "TestKind": "formula-translates",
    "Subject": "Requirements.DerivedHasComputedWitness",
    "TargetTable": "Requirements",
    "TargetField": "DerivedHasComputedWitness",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Requirements.DerivedHasComputedWitness",
    "IsBlocking": true,
    "IsPassing": true,
    "IsFailing": false,
    "NeedsAttention": false,
    "PassingSuiteKey": "suite-substrate",
    "NeedsAttentionSuiteKey": null
   },
   {
    "TestCaseId": "tc-xlate-requirements-witness_claim_is_unverified",
    "TestKind": "formula-translates",
    "Subject": "Requirements.WitnessClaimIsUnverified",
    "TargetTable": "Requirements",
    "TargetField": "WitnessClaimIsUnverified",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Requirements.WitnessClaimIsUnverified",
    "IsBlocking": true,
    "IsPassing": true,
    "IsFailing": false,
    "NeedsAttention": false,
    "PassingSuiteKey": "suite-substrate",
    "NeedsAttentionSuiteKey": null
   },
   {
    "TestCaseId": "tc-xlate-requirements-is_unwitnessed_blocking_control",
    "TestKind": "formula-translates",
    "Subject": "Requirements.IsUnwitnessedBlockingControl",
    "TargetTable": "Requirements",
    "TargetField": "IsUnwitnessedBlockingControl",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Requirements.IsUnwitnessedBlockingControl",
    "IsBlocking": true,
    "IsPassing": true,
    "IsFailing": false,
    "NeedsAttention": false,
    "PassingSuiteKey": "suite-substrate",
    "NeedsAttentionSuiteKey": null
   },
   {
    "TestCaseId": "tc-xlate-requirements-witness_fire_count",
    "TestKind": "formula-translates",
    "Subject": "Requirements.WitnessFireCount",
    "TargetTable": "Requirements",
    "TargetField": "WitnessFireCount",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Requirements.WitnessFireCount",
    "IsBlocking": true,
    "IsPassing": true,
    "IsFailing": false,
    "NeedsAttention": false,
    "PassingSuiteKey": "suite-substrate",
    "NeedsAttentionSuiteKey": null
   },
   {
    "TestCaseId": "tc-xlate-requirements-witness_has_never_fired",
    "TestKind": "formula-translates",
    "Subject": "Requirements.WitnessHasNeverFired",
    "TargetTable": "Requirements",
    "TargetField": "WitnessHasNeverFired",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Requirements.WitnessHasNeverFired",
    "IsBlocking": true,
    "IsPassing": true,
    "IsFailing": false,
    "NeedsAttention": false,
    "PassingSuiteKey": "suite-substrate",
    "NeedsAttentionSuiteKey": null
   },
   {
    "TestCaseId": "tc-xlate-requirements-evaluation_sample_size",
    "TestKind": "formula-translates",
    "Subject": "Requirements.EvaluationSampleSize",
    "TargetTable": "Requirements",
    "TargetField": "EvaluationSampleSize",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Requirements.EvaluationSampleSize",
    "IsBlocking": true,
    "IsPassing": true,
    "IsFailing": false,
    "NeedsAttention": false,
    "PassingSuiteKey": "suite-substrate",
    "NeedsAttentionSuiteKey": null
   },
   {
    "TestCaseId": "tc-xlate-requirements-has_meaningful_sample",
    "TestKind": "formula-translates",
    "Subject": "Requirements.HasMeaningfulSample",
    "TargetTable": "Requirements",
    "TargetField": "HasMeaningfulSample",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Requirements.HasMeaningfulSample",
    "IsBlocking": true,
    "IsPassing": true,
    "IsFailing": false,
    "NeedsAttention": false,
    "PassingSuiteKey": "suite-substrate",
    "NeedsAttentionSuiteKey": null
   },
   {
    "TestCaseId": "tc-xlate-requirements-is_untested_witness",
    "TestKind": "formula-translates",
    "Subject": "Requirements.IsUntestedWitness",
    "TargetTable": "Requirements",
    "TargetField": "IsUntestedWitness",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Requirements.IsUntestedWitness",
    "IsBlocking": true,
    "IsPassing": true,
    "IsFailing": false,
    "NeedsAttention": false,
    "PassingSuiteKey": "suite-substrate",
    "NeedsAttentionSuiteKey": null
   },
   {
    "TestCaseId": "tc-xlate-requirements-is_evidenced_holding_control",
    "TestKind": "formula-translates",
    "Subject": "Requirements.IsEvidencedHoldingControl",
    "TargetTable": "Requirements",
    "TargetField": "IsEvidencedHoldingControl",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Requirements.IsEvidencedHoldingControl",
    "IsBlocking": true,
    "IsPassing": true,
    "IsFailing": false,
    "NeedsAttention": false,
    "PassingSuiteKey": "suite-substrate",
    "NeedsAttentionSuiteKey": null
   },
   {
    "TestCaseId": "tc-xlate-requirements-control_assurance_state",
    "TestKind": "formula-translates",
    "Subject": "Requirements.ControlAssuranceState",
    "TargetTable": "Requirements",
    "TargetField": "ControlAssuranceState",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Requirements.ControlAssuranceState",
    "IsBlocking": true,
    "IsPassing": true,
    "IsFailing": false,
    "NeedsAttention": false,
    "PassingSuiteKey": "suite-substrate",
    "NeedsAttentionSuiteKey": null
   },
   {
    "TestCaseId": "tc-xlate-requirements-unexercised_binding_count",
    "TestKind": "formula-translates",
    "Subject": "Requirements.UnexercisedBindingCount",
    "TargetTable": "Requirements",
    "TargetField": "UnexercisedBindingCount",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Requirements.UnexercisedBindingCount",
    "IsBlocking": true,
    "IsPassing": true,
    "IsFailing": false,
    "NeedsAttention": false,
    "PassingSuiteKey": "suite-substrate",
    "NeedsAttentionSuiteKey": null
   },
   {
    "TestCaseId": "tc-xlate-requirements-witness_is_partially_scoped",
    "TestKind": "formula-translates",
    "Subject": "Requirements.WitnessIsPartiallyScoped",
    "TargetTable": "Requirements",
    "TargetField": "WitnessIsPartiallyScoped",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Requirements.WitnessIsPartiallyScoped",
    "IsBlocking": true,
    "IsPassing": true,
    "IsFailing": false,
    "NeedsAttention": false,
    "PassingSuiteKey": "suite-substrate",
    "NeedsAttentionSuiteKey": null
   },
   {
    "TestCaseId": "tc-xlate-requirements-accountable_agent",
    "TestKind": "formula-translates",
    "Subject": "Requirements.AccountableAgent",
    "TargetTable": "Requirements",
    "TargetField": "AccountableAgent",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Requirements.AccountableAgent",
    "IsBlocking": true,
    "IsPassing": true,
    "IsFailing": false,
    "NeedsAttention": false,
    "PassingSuiteKey": "suite-substrate",
    "NeedsAttentionSuiteKey": null
   },
   {
    "TestCaseId": "tc-xlate-requirements-has_named_owner",
    "TestKind": "formula-translates",
    "Subject": "Requirements.HasNamedOwner",
    "TargetTable": "Requirements",
    "TargetField": "HasNamedOwner",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Requirements.HasNamedOwner",
    "IsBlocking": true,
    "IsPassing": true,
    "IsFailing": false,
    "NeedsAttention": false,
    "PassingSuiteKey": "suite-substrate",
    "NeedsAttentionSuiteKey": null
   },
   {
    "TestCaseId": "tc-xlate-requirements-is_orphaned_blocking_control",
    "TestKind": "formula-translates",
    "Subject": "Requirements.IsOrphanedBlockingControl",
    "TargetTable": "Requirements",
    "TargetField": "IsOrphanedBlockingControl",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Requirements.IsOrphanedBlockingControl",
    "IsBlocking": true,
    "IsPassing": true,
    "IsFailing": false,
    "NeedsAttention": false,
    "PassingSuiteKey": "suite-substrate",
    "NeedsAttentionSuiteKey": null
   },
   {
    "TestCaseId": "tc-xlate-requirements-is_unwatched_and_unowned",
    "TestKind": "formula-translates",
    "Subject": "Requirements.IsUnwatchedAndUnowned",
    "TargetTable": "Requirements",
    "TargetField": "IsUnwatchedAndUnowned",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Requirements.IsUnwatchedAndUnowned",
    "IsBlocking": true,
    "IsPassing": true,
    "IsFailing": false,
    "NeedsAttention": false,
    "PassingSuiteKey": "suite-substrate",
    "NeedsAttentionSuiteKey": null
   },
   {
    "TestCaseId": "tc-xlate-requirements-attestation_exposure_note",
    "TestKind": "formula-translates",
    "Subject": "Requirements.AttestationExposureNote",
    "TargetTable": "Requirements",
    "TargetField": "AttestationExposureNote",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Requirements.AttestationExposureNote",
    "IsBlocking": true,
    "IsPassing": true,
    "IsFailing": false,
    "NeedsAttention": false,
    "PassingSuiteKey": "suite-substrate",
    "NeedsAttentionSuiteKey": null
   },
   {
    "TestCaseId": "tc-xlate-requirements-unwatched_unowned_flag",
    "TestKind": "formula-translates",
    "Subject": "Requirements.UnwatchedUnownedFlag",
    "TargetTable": "Requirements",
    "TargetField": "UnwatchedUnownedFlag",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Requirements.UnwatchedUnownedFlag",
    "IsBlocking": true,
    "IsPassing": true,
    "IsFailing": false,
    "NeedsAttention": false,
    "PassingSuiteKey": "suite-substrate",
    "NeedsAttentionSuiteKey": null
   },
   {
    "TestCaseId": "tc-xlate-step_requirements-name",
    "TestKind": "formula-translates",
    "Subject": "StepRequirements.Name",
    "TargetTable": "StepRequirements",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StepRequirements.Name",
    "IsBlocking": true,
    "IsPassing": true,
    "IsFailing": false,
    "NeedsAttention": false,
    "PassingSuiteKey": "suite-substrate",
    "NeedsAttentionSuiteKey": null
   },
   {
    "TestCaseId": "tc-xlate-step_requirements-requirement_is_blocking",
    "TestKind": "formula-translates",
    "Subject": "StepRequirements.RequirementIsBlocking",
    "TargetTable": "StepRequirements",
    "TargetField": "RequirementIsBlocking",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StepRequirements.RequirementIsBlocking",
    "IsBlocking": true,
    "IsPassing": true,
    "IsFailing": false,
    "NeedsAttention": false,
    "PassingSuiteKey": "suite-substrate",
    "NeedsAttentionSuiteKey": null
   },
   {
    "TestCaseId": "tc-xlate-step_requirements-blocking_step_key",
    "TestKind": "formula-translates",
    "Subject": "StepRequirements.BlockingStepKey",
    "TargetTable": "StepRequirements",
    "TargetField": "BlockingStepKey",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StepRequirements.BlockingStepKey",
    "IsBlocking": true,
    "IsPassing": true,
    "IsFailing": false,
    "NeedsAttention": false,
    "PassingSuiteKey": "suite-substrate",
    "NeedsAttentionSuiteKey": null
   },
   {
    "TestCaseId": "tc-xlate-step_requirements-step_when_blocking",
    "TestKind": "formula-translates",
    "Subject": "StepRequirements.StepWhenBlocking",
    "TargetTable": "StepRequirements",
    "TargetField": "StepWhenBlocking",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StepRequirements.StepWhenBlocking",
    "IsBlocking": true,
    "IsPassing": true,
    "IsFailing": false,
    "NeedsAttention": false,
    "PassingSuiteKey": "suite-substrate",
    "NeedsAttentionSuiteKey": null
   },
   {
    "TestCaseId": "tc-xlate-step_requirements-requirement_lacks_witness",
    "TestKind": "formula-translates",
    "Subject": "StepRequirements.RequirementLacksWitness",
    "TargetTable": "StepRequirements",
    "TargetField": "RequirementLacksWitness",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StepRequirements.RequirementLacksWitness",
    "IsBlocking": true,
    "IsPassing": true,
    "IsFailing": false,
    "NeedsAttention": false,
    "PassingSuiteKey": "suite-substrate",
    "NeedsAttentionSuiteKey": null
   },
   {
    "TestCaseId": "tc-xlate-step_requirements-unwitnessed_step_key",
    "TestKind": "formula-translates",
    "Subject": "StepRequirements.UnwitnessedStepKey",
    "TargetTable": "StepRequirements",
    "TargetField": "UnwitnessedStepKey",
    "Assertion": "The transpiler emitted a real SQL function for this formula rather than a NULL stub.",
    "DefendsQuestion": "q2-fa-witness-coverage-of-my-steps",
    "Suite": "suite-substrate",
    "Severity": "blocking",
    "LastOutcome": "PASS",
    "LastDetail": "translated",
    "LastRunAt": "2026-07-20T03:06:49+00:00",
    "SemanticTypeIri": "urn:effortless:p</t>
  </si>
  <si>
    <t xml:space="preserve">ko-extension#TestCase",
    "Name": "formula-translates: StepRequirements.UnwitnessedStepKey",
    "IsBlocking": true,
    "IsPassing": true,
    "IsFailing": false,
    "NeedsAttention": false,
    "PassingSuiteKey": "suite-substrate",
    "NeedsAttentionSuiteKey": null
   },
   {
    "TestCaseId": "tc-xlate-step_requirements-satisfaction_count_for_binding",
    "TestKind": "formula-translates",
    "Subject": "StepRequirements.SatisfactionCountForBinding",
    "TargetTable": "StepRequirements",
    "TargetField": "SatisfactionCountForBinding",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StepRequirements.SatisfactionCountForBinding",
    "IsBlocking": true,
    "IsPassing": true,
    "IsFailing": false,
    "NeedsAttention": false,
    "PassingSuiteKey": "suite-substrate",
    "NeedsAttentionSuiteKey": null
   },
   {
    "TestCaseId": "tc-xlate-step_requirements-binding_was_ever_exercised",
    "TestKind": "formula-translates",
    "Subject": "StepRequirements.BindingWasEverExercised",
    "TargetTable": "StepRequirements",
    "TargetField": "BindingWasEverExercised",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StepRequirements.BindingWasEverExercised",
    "IsBlocking": true,
    "IsPassing": true,
    "IsFailing": false,
    "NeedsAttention": false,
    "PassingSuiteKey": "suite-substrate",
    "NeedsAttentionSuiteKey": null
   },
   {
    "TestCaseId": "tc-xlate-step_requirements-is_unexercised_blocking_binding",
    "TestKind": "formula-translates",
    "Subject": "StepRequirements.IsUnexercisedBlockingBinding",
    "TargetTable": "StepRequirements",
    "TargetField": "IsUnexercisedBlockingBinding",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StepRequirements.IsUnexercisedBlockingBinding",
    "IsBlocking": true,
    "IsPassing": true,
    "IsFailing": false,
    "NeedsAttention": false,
    "PassingSuiteKey": "suite-substrate",
    "NeedsAttentionSuiteKey": null
   },
   {
    "TestCaseId": "tc-xlate-step_requirements-unexercised_binding_requirement_key",
    "TestKind": "formula-translates",
    "Subject": "StepRequirements.UnexercisedBindingRequirementKey",
    "TargetTable": "StepRequirements",
    "TargetField": "UnexercisedBindingRequirementKey",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StepRequirements.UnexercisedBindingRequirementKey",
    "IsBlocking": true,
    "IsPassing": true,
    "IsFailing": false,
    "NeedsAttention": false,
    "PassingSuiteKey": "suite-substrate",
    "NeedsAttentionSuiteKey": null
   },
   {
    "TestCaseId": "tc-xlate-step_verifications-name",
    "TestKind": "formula-translates",
    "Subject": "StepVerifications.Name",
    "TargetTable": "StepVerifications",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StepVerifications.Name",
    "IsBlocking": true,
    "IsPassing": true,
    "IsFailing": false,
    "NeedsAttention": false,
    "PassingSuiteKey": "suite-substrate",
    "NeedsAttentionSuiteKey": null
   },
   {
    "TestCaseId": "tc-xlate-rationales-name",
    "TestKind": "formula-translates",
    "Subject": "Rationales.Name",
    "TargetTable": "Rationales",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Rationales.Name",
    "IsBlocking": true,
    "IsPassing": true,
    "IsFailing": false,
    "NeedsAttention": false,
    "PassingSuiteKey": "suite-substrate",
    "NeedsAttentionSuiteKey": null
   },
   {
    "TestCaseId": "tc-xlate-exceptions-name",
    "TestKind": "formula-translates",
    "Subject": "Exceptions.Name",
    "TargetTable": "Exceptions",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Exceptions.Name",
    "IsBlocking": true,
    "IsPassing": true,
    "IsFailing": false,
    "NeedsAttention": false,
    "PassingSuiteKey": "suite-substrate",
    "NeedsAttentionSuiteKey": null
   },
   {
    "TestCaseId": "tc-xlate-exceptions-active_exception_step_key",
    "TestKind": "formula-translates",
    "Subject": "Exceptions.ActiveExceptionStepKey",
    "TargetTable": "Exceptions",
    "TargetField": "ActiveExceptionStepKey",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Exceptions.ActiveExceptionStepKey",
    "IsBlocking": true,
    "IsPassing": true,
    "IsFailing": false,
    "NeedsAttention": false,
    "PassingSuiteKey": "suite-substrate",
    "NeedsAttentionSuiteKey": null
   },
   {
    "TestCaseId": "tc-xlate-resources-name",
    "TestKind": "formula-translates",
    "Subject": "Resources.Name",
    "TargetTable": "Resources",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Resources.Name",
    "IsBlocking": true,
    "IsPassing": true,
    "IsFailing": false,
    "NeedsAttention": false,
    "PassingSuiteKey": "suite-substrate",
    "NeedsAttentionSuiteKey": null
   },
   {
    "TestCaseId": "tc-xlate-resources-is_approved_source",
    "TestKind": "formula-translates",
    "Subject": "Resources.IsApprovedSource",
    "TargetTable": "Resources",
    "TargetField": "IsApprovedSource",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Resources.IsApprovedSource",
    "IsBlocking": true,
    "IsPassing": true,
    "IsFailing": false,
    "NeedsAttention": false,
    "PassingSuiteKey": "suite-substrate",
    "NeedsAttentionSuiteKey": null
   },
   {
    "TestCaseId": "tc-xlate-procedure_resources-name",
    "TestKind": "formula-translates",
    "Subject": "ProcedureResources.Name",
    "TargetTable": "ProcedureResources",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ProcedureResources.Name",
    "IsBlocking": true,
    "IsPassing": true,
    "IsFailing": false,
    "NeedsAttention": false,
    "PassingSuiteKey": "suite-substrate",
    "NeedsAttentionSuiteKey": null
   },
   {
    "TestCaseId": "tc-xlate-procedure_resources-relation_iri",
    "TestKind": "formula-translates",
    "Subject": "ProcedureResources.RelationIri",
    "TargetTable": "ProcedureResources",
    "TargetField": "RelationIri",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ProcedureResources.RelationIri",
    "IsBlocking": true,
    "IsPassing": true,
    "IsFailing": false,
    "NeedsAttention": false,
    "PassingSuiteKey": "suite-substrate",
    "NeedsAttentionSuiteKey": null
   },
   {
    "TestCaseId": "tc-xlate-elicitation_sessions-name",
    "TestKind": "formula-translates",
    "Subject": "ElicitationSessions.Name",
    "TargetTable": "ElicitationSessions",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ElicitationSessions.Name",
    "IsBlocking": true,
    "IsPassing": true,
    "IsFailing": false,
    "NeedsAttention": false,
    "PassingSuiteKey": "suite-substrate",
    "NeedsAttentionSuiteKey": null
   },
   {
    "TestCaseId": "tc-xlate-elicitation_sessions-as_of_instant",
    "TestKind": "formula-translates",
    "Subject": "ElicitationSessions.AsOfInstant",
    "TargetTable": "ElicitationSessions",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ElicitationSessions.AsOfInstant",
    "IsBlocking": true,
    "IsPassing": true,
    "IsFailing": false,
    "NeedsAttention": false,
    "PassingSuiteKey": "suite-substrate",
    "NeedsAttentionSuiteKey": null
   },
   {
    "TestCaseId": "tc-xlate-elicitation_sessions-days_since_elicited",
    "TestKind": "formula-translates",
    "Subject": "ElicitationSessions.DaysSinceElicited",
    "TargetTable": "ElicitationSessions",
    "TargetField": "DaysSinceElicited",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ElicitationSessions.DaysSinceElicited",
    "IsBlocking": true,
    "IsPassing": true,
    "IsFailing": false,
    "NeedsAttention": false,
    "PassingSuiteKey": "suite-substrate",
    "NeedsAttentionSuiteKey": null
   },
   {
    "TestCaseId": "tc-xlate-elicitation_sessions-is_single_witness_method",
    "TestKind": "formula-translates",
    "Subject": "ElicitationSessions.IsSingleWitnessMethod",
    "TargetTable": "ElicitationSessions",
    "TargetField": "IsSingleWitnessMethod",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ElicitationSessions.IsSingleWitnessMethod",
    "IsBlocking": true,
    "IsPassing": true,
    "IsFailing": false,
    "NeedsAttention": false,
    "PassingSuiteKey": "suite-substrate",
    "NeedsAttentionSuiteKey": null
   },
   {
    "TestCaseId": "tc-xlate-elicitation_sessions-practitioner_is_still_engaged",
    "TestKind": "formula-translates",
    "Subject": "ElicitationSessions.PractitionerIsStillEngaged",
    "TargetTable": "ElicitationSessions",
    "TargetField": "PractitionerIsStillEngaged",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ElicitationSessions.PractitionerIsStillEngaged",
    "IsBlocking": true,
    "IsPassing": true,
    "IsFailing": false,
    "NeedsAttention": false,
    "PassingSuiteKey": "suite-substrate",
    "NeedsAttentionSuiteKey": null
   },
   {
    "TestCaseId": "tc-xlate-elicitation_sessions-valid_fragments_produced",
    "TestKind": "formula-translates",
    "Subject": "ElicitationSessions.ValidFragmentsProduced",
    "TargetTable": "ElicitationSessions",
    "TargetField": "ValidFragmentsProduced",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ElicitationSessions.ValidFragmentsProduced",
    "IsBlocking": true,
    "IsPassing": true,
    "IsFailing": false,
    "NeedsAttention": false,
    "PassingSuiteKey": "suite-substrate",
    "NeedsAttentionSuiteKey": null
   },
   {
    "TestCaseId": "tc-xlate-elicitation_sessions-is_high_yield_session",
    "TestKind": "formula-translates",
    "Subject": "ElicitationSessions.IsHighYieldSession",
    "TargetTable": "ElicitationSessions",
    "TargetField": "IsHighYieldSession",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ElicitationSessions.IsHighYieldSession",
    "IsBlocking": true,
    "IsPassing": true,
    "IsFailing": false,
    "NeedsAttention": false,
    "PassingSuiteKey": "suite-substrate",
    "NeedsAttentionSuiteKey": null
   },
   {
    "TestCaseId": "tc-xlate-elicitation_sessions-is_concentrated_single_witness",
    "TestKind": "formula-translates",
    "Subject": "ElicitationSessions.IsConcentratedSingleWitness",
    "TargetTable": "ElicitationSessions",
    "TargetField": "IsConcentratedSingleWitness",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ElicitationSessions.IsConcentratedSingleWitness",
    "IsBlocking": true,
    "IsPassing": true,
    "IsFailing": false,
    "NeedsAttention": false,
    "PassingSuiteKey": "suite-substrate",
    "NeedsAttentionSuiteKey": null
   },
   {
    "TestCaseId": "tc-xlate-elicitation_sessions-is_stale_concentrated_witness",
    "TestKind": "formula-translates",
    "Subject": "ElicitationSessions.IsStaleConcentratedWitness",
    "TargetTable": "ElicitationSessions",
    "TargetField": "IsStaleConcentratedWitness",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ElicitationSessions.IsStaleConcentratedWitness",
    "IsBlocking": true,
    "IsPassing": true,
    "IsFailing": false,
    "NeedsAttention": false,
    "PassingSuiteKey": "suite-substrate",
    "NeedsAttentionSuiteKey": null
   },
   {
    "TestCaseId": "tc-xlate-elicitation_sessions-concentrated_session_version_key",
    "TestKind": "formula-translates",
    "Subject": "ElicitationSessions.ConcentratedSessionVersionKey",
    "TargetTable": "ElicitationSessions",
    "TargetField": "ConcentratedSessionVersionKey",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ElicitationSessions.ConcentratedSessionVersionKey",
    "IsBlocking": true,
    "IsPassing": true,
    "IsFailing": false,
    "NeedsAttention": false,
    "PassingSuiteKey": "suite-substrate",
    "NeedsAttentionSuiteKey": null
   },
   {
    "TestCaseId": "tc-xlate-knowledge_fragments-name",
    "TestKind": "formula-translates",
    "Subject": "KnowledgeFragments.Name",
    "TargetTable": "KnowledgeFragments",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KnowledgeFragments.Name",
    "IsBlocking": true,
    "IsPassing": true,
    "IsFailing": false,
    "NeedsAttention": false,
    "PassingSuiteKey": "suite-substrate",
    "NeedsAttentionSuiteKey": null
   },
   {
    "TestCaseId": "tc-xlate-knowledge_fragments-as_of_instant",
    "TestKind": "formula-translates",
    "Subject": "KnowledgeFragments.AsOfInstant",
    "TargetTable": "KnowledgeFragments",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KnowledgeFragments.AsOfInstant",
    "IsBlocking": true,
    "IsPassing": true,
    "IsFailing": false,
    "NeedsAttention": false,
    "PassingSuiteKey": "suite-substrate",
    "NeedsAttentionSuiteKey": null
   },
   {
    "TestCaseId": "tc-xlate-knowledge_fragments-is_currently_valid",
    "TestKind": "formula-translates",
    "Subject": "KnowledgeFragments.IsCurrentlyValid",
    "TargetTable": "KnowledgeFragments",
    "TargetField": "IsCurrentlyValid",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KnowledgeFragments.IsCurrentlyValid",
    "IsBlocking": true,
    "IsPassing": true,
    "IsFailing": false,
    "NeedsAttention": false,
    "PassingSuiteKey": "suite-substrate",
    "NeedsAttentionSuiteKey": null
   },
   {
    "TestCaseId": "tc-xlate-knowledge_fragments-source_agent_is_still_engaged",
    "TestKind": "formula-translates",
    "Subject": "KnowledgeFragments.SourceAgentIsStillEngaged",
    "TargetTable": "KnowledgeFragments",
    "TargetField": "SourceAgentIsStillEngaged",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KnowledgeFragments.SourceAgentIsStillEngaged",
    "IsBlocking": true,
    "IsPassing": true,
    "IsFailing": false,
    "NeedsAttention": false,
    "PassingSuiteKey": "suite-substrate",
    "NeedsAttentionSuiteKey": null
   },
   {
    "TestCaseId": "tc-xlate-knowledge_fragments-source_agent_kind",
    "TestKind": "formula-translates",
    "Subject": "KnowledgeFragments.SourceAgentKind",
    "TargetTable": "KnowledgeFragments",
    "TargetField": "SourceAgentKind",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KnowledgeFragments.SourceAgentKind",
    "IsBlocking": true,
    "IsPassing": true,
    "IsFailing": false,
    "NeedsAttention": false,
    "PassingSuiteKey": "suite-substrate",
    "NeedsAttentionSuiteKey": null
   },
   {
    "TestCaseId": "tc-xlate-knowledge_fragments-has_human_source",
    "TestKind": "formula-translates",
    "Subject": "KnowledgeFragments.HasHumanSource",
    "TargetTable": "KnowledgeFragments",
    "TargetField": "HasHumanSource",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KnowledgeFragments.HasHumanSource",
    "IsBlocking": true,
    "IsPassing": true,
    "IsFailing": false,
    "NeedsAttention": false,
    "PassingSuiteKey": "suite-substrate",
    "NeedsAttentionSuiteKey": null
   },
   {
    "TestCaseId": "tc-xlate-knowledge_fragments-has_orphaned_provenance",
    "TestKind": "formula-translates",
    "Subject": "KnowledgeFragments.HasOrphanedProvenance",
    "TargetTable": "KnowledgeFragments",
    "TargetField": "HasOrphanedProvenance",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KnowledgeFragments.HasOrphanedProvenance",
    "IsBlocking": true,
    "IsPassing": true,
    "IsFailing": false,
    "NeedsAttention": false,
    "PassingSuiteKey": "suite-substrate",
    "NeedsAttentionSuiteKey": null
   },
   {
    "TestCaseId": "tc-xlate-knowledge_fragments-is_undefendable_tacit_claim",
    "TestKind": "formula-translates",
    "Subject": "KnowledgeFragments.IsUndefendableTacitClaim",
    "TargetTable": "KnowledgeFragments",
    "TargetField": "IsUndefendableTacitClaim",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KnowledgeFragments.IsUndefendableTacitClaim",
    "IsBlocking": true,
    "IsPassing": true,
    "IsFailing": false,
    "NeedsAttention": false,
    "PassingSuiteKey": "suite-substrate",
    "NeedsAttentionSuiteKey": null
   },
   {
    "TestCaseId": "tc-xlate-knowledge_fragments-is_approved",
    "TestKind": "formula-translates",
    "Subject": "KnowledgeFragments.IsApproved",
    "TargetTable": "KnowledgeFragments",
    "TargetField": "IsApproved",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KnowledgeFragments.IsApproved",
    "IsBlocking": true,
    "IsPassing": true,
    "IsFailing": false,
    "NeedsAttention": false,
    "PassingSuiteKey": "suite-substrate",
    "NeedsAttentionSuiteKey": null
   },
   {
    "TestCaseId": "tc-xlate-knowledge_fragments-is_within_validity_window",
    "TestKind": "formula-translates",
    "Subject": "KnowledgeFragments.IsWithinValidityWindow",
    "TargetTable": "KnowledgeFragments",
    "TargetField": "IsWithinValidityWindow",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KnowledgeFragments.IsWithinValidityWindow",
    "IsBlocking": true,
    "IsPassing": true,
    "IsFailing": false,
    "NeedsAttention": false,
    "PassingSuiteKey": "suite-substrate",
    "NeedsAttentionSuiteKey": null
   },
   {
    "TestCaseId": "tc-xlate-knowledge_fragments-is_relied_upon",
    "TestKind": "formula-translates",
    "Subject": "KnowledgeFragments.IsReliedUpon",
    "TargetTable": "KnowledgeFragments",
    "TargetField": "IsReliedUpon",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KnowledgeFragments.IsReliedUpon",
    "IsBlocking": true,
    "IsPassing": true,
    "IsFailing": false,
    "NeedsAttention": false,
    "PassingSuiteKey": "suite-substrate",
    "NeedsAttentionSuiteKey": null
   },
   {
    "TestCaseId": "tc-xlate-knowledge_fragments-step_procedure_version_status",
    "TestKind": "formula-translates",
    "Subject": "KnowledgeFragments.StepProcedureVersionStatus",
    "TargetTable": "KnowledgeFragments",
    "TargetField": "StepProcedureVersionStatus",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KnowledgeFragments.StepProcedureVersionStatus",
    "IsBlocking": true,
    "IsPassing": true,
    "IsFailing": false,
    "NeedsAttention": false,
    "PassingSuiteKey": "suite-substrate",
    "NeedsAttentionSuiteKey": null
   },
   {
    "TestCaseId": "tc-xlate-knowledge_fragments-is_attached_to_live_version",
    "TestKind": "formula-translates",
    "Subject": "KnowledgeFragments.IsAttachedToLiveVersion",
    "TargetTable": "KnowledgeFragments",
    "TargetField": "IsAttachedToLiveVersion",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KnowledgeFragments.IsAttachedToLiveVersion",
    "IsBlocking": true,
    "IsPassing": true,
    "IsFailing": false,
    "NeedsAttention": false,
    "PassingSuiteKey": "suite-substrate",
    "NeedsAttentionSuiteKey": null
   },
   {
    "TestCaseId": "tc-xlate-knowledge_fragments-is_unapproved_but_relied_on",
    "TestKind": "formula-translates",
    "Subject": "KnowledgeFragments.IsUnapprovedButReliedOn",
    "TargetTable": "KnowledgeFragments",
    "TargetField": "IsUnapprovedButReliedOn",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KnowledgeFragments.IsUnapprovedButReliedOn",
    "IsBlocking": true,
    "IsPassing": true,
    "IsFailing": false,
    "NeedsAttention": false,
    "PassingSuiteKey": "suite-substrate",
    "NeedsAttentionSuiteKey": null
   },
   {
    "TestCaseId": "tc-xlate-knowledge_fragments-evidence_age_days",
    "TestKind": "formula-translates",
    "Subject": "KnowledgeFragments.EvidenceAgeDays",
    "TargetTable": "KnowledgeFragments",
    "TargetField": "EvidenceAgeDays",
    "Assertion": "The transpiler emitted a real SQL function for this formula rather than a NULL stub.",
    "DefendsQuestion": "q-authority-stale-elicitation",
    "Suite": "suite-substrate",
    "Severity": "blocking",
    "LastOutcome": "PASS",
    "LastDetail": "translated",
    "LastRunAt": "2026-07-20T03:06:49+00:00",
    "SemanticT</t>
  </si>
  <si>
    <t xml:space="preserve">ypeIri": "urn:effortless:pko-extension#TestCase",
    "Name": "formula-translates: KnowledgeFragments.EvidenceAgeDays",
    "IsBlocking": true,
    "IsPassing": true,
    "IsFailing": false,
    "NeedsAttention": false,
    "PassingSuiteKey": "suite-substrate",
    "NeedsAttentionSuiteKey": null
   },
   {
    "TestCaseId": "tc-xlate-knowledge_fragments-has_recorded_elicitation",
    "TestKind": "formula-translates",
    "Subject": "KnowledgeFragments.HasRecordedElicitation",
    "TargetTable": "KnowledgeFragments",
    "TargetField": "HasRecordedElicitation",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KnowledgeFragments.HasRecordedElicitation",
    "IsBlocking": true,
    "IsPassing": true,
    "IsFailing": false,
    "NeedsAttention": false,
    "PassingSuiteKey": "suite-substrate",
    "NeedsAttentionSuiteKey": null
   },
   {
    "TestCaseId": "tc-xlate-knowledge_fragments-is_from_single_witness",
    "TestKind": "formula-translates",
    "Subject": "KnowledgeFragments.IsFromSingleWitness",
    "TargetTable": "KnowledgeFragments",
    "TargetField": "IsFromSingleWitness",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KnowledgeFragments.IsFromSingleWitness",
    "IsBlocking": true,
    "IsPassing": true,
    "IsFailing": false,
    "NeedsAttention": false,
    "PassingSuiteKey": "suite-substrate",
    "NeedsAttentionSuiteKey": null
   },
   {
    "TestCaseId": "tc-xlate-knowledge_fragments-evidence_expiry_days",
    "TestKind": "formula-translates",
    "Subject": "KnowledgeFragments.EvidenceExpiryDays",
    "TargetTable": "KnowledgeFragments",
    "TargetField": "EvidenceExpiryDays",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KnowledgeFragments.EvidenceExpiryDays",
    "IsBlocking": true,
    "IsPassing": true,
    "IsFailing": false,
    "NeedsAttention": false,
    "PassingSuiteKey": "suite-substrate",
    "NeedsAttentionSuiteKey": null
   },
   {
    "TestCaseId": "tc-xlate-knowledge_fragments-evidence_has_expired",
    "TestKind": "formula-translates",
    "Subject": "KnowledgeFragments.EvidenceHasExpired",
    "TargetTable": "KnowledgeFragments",
    "TargetField": "EvidenceHasExpired",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KnowledgeFragments.EvidenceHasExpired",
    "IsBlocking": true,
    "IsPassing": true,
    "IsFailing": false,
    "NeedsAttention": false,
    "PassingSuiteKey": "suite-substrate",
    "NeedsAttentionSuiteKey": null
   },
   {
    "TestCaseId": "tc-xlate-knowledge_fragments-owner_agent",
    "TestKind": "formula-translates",
    "Subject": "KnowledgeFragments.OwnerAgent",
    "TargetTable": "KnowledgeFragments",
    "TargetField": "OwnerAgent",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KnowledgeFragments.OwnerAgent",
    "IsBlocking": true,
    "IsPassing": true,
    "IsFailing": false,
    "NeedsAttention": false,
    "PassingSuiteKey": "suite-substrate",
    "NeedsAttentionSuiteKey": null
   },
   {
    "TestCaseId": "tc-xlate-knowledge_fragments-is_awaiting_approval",
    "TestKind": "formula-translates",
    "Subject": "KnowledgeFragments.IsAwaitingApproval",
    "TargetTable": "KnowledgeFragments",
    "TargetField": "IsAwaitingApproval",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KnowledgeFragments.IsAwaitingApproval",
    "IsBlocking": true,
    "IsPassing": true,
    "IsFailing": false,
    "NeedsAttention": false,
    "PassingSuiteKey": "suite-substrate",
    "NeedsAttentionSuiteKey": null
   },
   {
    "TestCaseId": "tc-xlate-knowledge_fragments-owner_is_me",
    "TestKind": "formula-translates",
    "Subject": "KnowledgeFragments.OwnerIsMe",
    "TargetTable": "KnowledgeFragments",
    "TargetField": "OwnerIsMe",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KnowledgeFragments.OwnerIsMe",
    "IsBlocking": true,
    "IsPassing": true,
    "IsFailing": false,
    "NeedsAttention": false,
    "PassingSuiteKey": "suite-substrate",
    "NeedsAttentionSuiteKey": null
   },
   {
    "TestCaseId": "tc-xlate-knowledge_fragments-is_my_unfinished_approval",
    "TestKind": "formula-translates",
    "Subject": "KnowledgeFragments.IsMyUnfinishedApproval",
    "TargetTable": "KnowledgeFragments",
    "TargetField": "IsMyUnfinishedApproval",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KnowledgeFragments.IsMyUnfinishedApproval",
    "IsBlocking": true,
    "IsPassing": true,
    "IsFailing": false,
    "NeedsAttention": false,
    "PassingSuiteKey": "suite-substrate",
    "NeedsAttentionSuiteKey": null
   },
   {
    "TestCaseId": "tc-xlate-knowledge_fragments-is_invoked_by_an_exception",
    "TestKind": "formula-translates",
    "Subject": "KnowledgeFragments.IsInvokedByAnException",
    "TargetTable": "KnowledgeFragments",
    "TargetField": "IsInvokedByAnException",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KnowledgeFragments.IsInvokedByAnException",
    "IsBlocking": true,
    "IsPassing": true,
    "IsFailing": false,
    "NeedsAttention": false,
    "PassingSuiteKey": "suite-substrate",
    "NeedsAttentionSuiteKey": null
   },
   {
    "TestCaseId": "tc-xlate-knowledge_fragments-has_operational_reliance",
    "TestKind": "formula-translates",
    "Subject": "KnowledgeFragments.HasOperationalReliance",
    "TargetTable": "KnowledgeFragments",
    "TargetField": "HasOperationalReliance",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KnowledgeFragments.HasOperationalReliance",
    "IsBlocking": true,
    "IsPassing": true,
    "IsFailing": false,
    "NeedsAttention": false,
    "PassingSuiteKey": "suite-substrate",
    "NeedsAttentionSuiteKey": null
   },
   {
    "TestCaseId": "tc-xlate-knowledge_fragments-is_unapproved_and_operationally_live",
    "TestKind": "formula-translates",
    "Subject": "KnowledgeFragments.IsUnapprovedAndOperationallyLive",
    "TargetTable": "KnowledgeFragments",
    "TargetField": "IsUnapprovedAndOperationallyLive",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KnowledgeFragments.IsUnapprovedAndOperationallyLive",
    "IsBlocking": true,
    "IsPassing": true,
    "IsFailing": false,
    "NeedsAttention": false,
    "PassingSuiteKey": "suite-substrate",
    "NeedsAttentionSuiteKey": null
   },
   {
    "TestCaseId": "tc-xlate-knowledge_fragments-age_days",
    "TestKind": "formula-translates",
    "Subject": "KnowledgeFragments.AgeDays",
    "TargetTable": "KnowledgeFragments",
    "TargetField": "AgeDays",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KnowledgeFragments.AgeDays",
    "IsBlocking": true,
    "IsPassing": true,
    "IsFailing": false,
    "NeedsAttention": false,
    "PassingSuiteKey": "suite-substrate",
    "NeedsAttentionSuiteKey": null
   },
   {
    "TestCaseId": "tc-xlate-knowledge_fragments-is_low_confidence",
    "TestKind": "formula-translates",
    "Subject": "KnowledgeFragments.IsLowConfidence",
    "TargetTable": "KnowledgeFragments",
    "TargetField": "IsLowConfidence",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KnowledgeFragments.IsLowConfidence",
    "IsBlocking": true,
    "IsPassing": true,
    "IsFailing": false,
    "NeedsAttention": false,
    "PassingSuiteKey": "suite-substrate",
    "NeedsAttentionSuiteKey": null
   },
   {
    "TestCaseId": "tc-xlate-knowledge_fragments-owning_version_cadence_days",
    "TestKind": "formula-translates",
    "Subject": "KnowledgeFragments.OwningVersionCadenceDays",
    "TargetTable": "KnowledgeFragments",
    "TargetField": "OwningVersionCadenceDays",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KnowledgeFragments.OwningVersionCadenceDays",
    "IsBlocking": true,
    "IsPassing": true,
    "IsFailing": false,
    "NeedsAttention": false,
    "PassingSuiteKey": "suite-substrate",
    "NeedsAttentionSuiteKey": null
   },
   {
    "TestCaseId": "tc-xlate-knowledge_fragments-exceeds_owning_cadence",
    "TestKind": "formula-translates",
    "Subject": "KnowledgeFragments.ExceedsOwningCadence",
    "TargetTable": "KnowledgeFragments",
    "TargetField": "ExceedsOwningCadence",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KnowledgeFragments.ExceedsOwningCadence",
    "IsBlocking": true,
    "IsPassing": true,
    "IsFailing": false,
    "NeedsAttention": false,
    "PassingSuiteKey": "suite-substrate",
    "NeedsAttentionSuiteKey": null
   },
   {
    "TestCaseId": "tc-xlate-knowledge_fragments-is_aging_low_confidence_claim",
    "TestKind": "formula-translates",
    "Subject": "KnowledgeFragments.IsAgingLowConfidenceClaim",
    "TargetTable": "KnowledgeFragments",
    "TargetField": "IsAgingLowConfidenceClaim",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KnowledgeFragments.IsAgingLowConfidenceClaim",
    "IsBlocking": true,
    "IsPassing": true,
    "IsFailing": false,
    "NeedsAttention": false,
    "PassingSuiteKey": "suite-substrate",
    "NeedsAttentionSuiteKey": null
   },
   {
    "TestCaseId": "tc-xlate-knowledge_fragments-owner_role_agent_kind",
    "TestKind": "formula-translates",
    "Subject": "KnowledgeFragments.OwnerRoleAgentKind",
    "TargetTable": "KnowledgeFragments",
    "TargetField": "OwnerRoleAgentKind",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KnowledgeFragments.OwnerRoleAgentKind",
    "IsBlocking": true,
    "IsPassing": true,
    "IsFailing": false,
    "NeedsAttention": false,
    "PassingSuiteKey": "suite-substrate",
    "NeedsAttentionSuiteKey": null
   },
   {
    "TestCaseId": "tc-xlate-knowledge_fragments-is_human_owned",
    "TestKind": "formula-translates",
    "Subject": "KnowledgeFragments.IsHumanOwned",
    "TargetTable": "KnowledgeFragments",
    "TargetField": "IsHumanOwned",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KnowledgeFragments.IsHumanOwned",
    "IsBlocking": true,
    "IsPassing": true,
    "IsFailing": false,
    "NeedsAttention": false,
    "PassingSuiteKey": "suite-substrate",
    "NeedsAttentionSuiteKey": null
   },
   {
    "TestCaseId": "tc-xlate-knowledge_fragments-is_ai_validated_by_ai",
    "TestKind": "formula-translates",
    "Subject": "KnowledgeFragments.IsAiValidatedByAi",
    "TargetTable": "KnowledgeFragments",
    "TargetField": "IsAiValidatedByAi",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KnowledgeFragments.IsAiValidatedByAi",
    "IsBlocking": true,
    "IsPassing": true,
    "IsFailing": false,
    "NeedsAttention": false,
    "PassingSuiteKey": "suite-substrate",
    "NeedsAttentionSuiteKey": null
   },
   {
    "TestCaseId": "tc-xlate-knowledge_fragments-review_cadence_days",
    "TestKind": "formula-translates",
    "Subject": "KnowledgeFragments.ReviewCadenceDays",
    "TargetTable": "KnowledgeFragments",
    "TargetField": "ReviewCadenceDays",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KnowledgeFragments.ReviewCadenceDays",
    "IsBlocking": true,
    "IsPassing": true,
    "IsFailing": false,
    "NeedsAttention": false,
    "PassingSuiteKey": "suite-substrate",
    "NeedsAttentionSuiteKey": null
   },
   {
    "TestCaseId": "tc-xlate-knowledge_fragments-is_overdue_for_review",
    "TestKind": "formula-translates",
    "Subject": "KnowledgeFragments.IsOverdueForReview",
    "TargetTable": "KnowledgeFragments",
    "TargetField": "IsOverdueForReview",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KnowledgeFragments.IsOverdueForReview",
    "IsBlocking": true,
    "IsPassing": true,
    "IsFailing": false,
    "NeedsAttention": false,
    "PassingSuiteKey": "suite-substrate",
    "NeedsAttentionSuiteKey": null
   },
   {
    "TestCaseId": "tc-xlate-knowledge_fragments-predates_current_role_holder",
    "TestKind": "formula-translates",
    "Subject": "KnowledgeFragments.PredatesCurrentRoleHolder",
    "TargetTable": "KnowledgeFragments",
    "TargetField": "PredatesCurrentRoleHolder",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KnowledgeFragments.PredatesCurrentRoleHolder",
    "IsBlocking": true,
    "IsPassing": true,
    "IsFailing": false,
    "NeedsAttention": false,
    "PassingSuiteKey": "suite-substrate",
    "NeedsAttentionSuiteKey": null
   },
   {
    "TestCaseId": "tc-xlate-knowledge_fragments-owner_role_assignment_valid_from",
    "TestKind": "formula-translates",
    "Subject": "KnowledgeFragments.OwnerRoleAssignmentValidFrom",
    "TargetTable": "KnowledgeFragments",
    "TargetField": "OwnerRoleAssignmentValidFrom",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KnowledgeFragments.OwnerRoleAssignmentValidFrom",
    "IsBlocking": true,
    "IsPassing": true,
    "IsFailing": false,
    "NeedsAttention": false,
    "PassingSuiteKey": "suite-substrate",
    "NeedsAttentionSuiteKey": null
   },
   {
    "TestCaseId": "tc-xlate-knowledge_fragments-fragility_signal_count",
    "TestKind": "formula-translates",
    "Subject": "KnowledgeFragments.FragilitySignalCount",
    "TargetTable": "KnowledgeFragments",
    "TargetField": "FragilitySignalCount",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KnowledgeFragments.FragilitySignalCount",
    "IsBlocking": true,
    "IsPassing": true,
    "IsFailing": false,
    "NeedsAttention": false,
    "PassingSuiteKey": "suite-substrate",
    "NeedsAttentionSuiteKey": null
   },
   {
    "TestCaseId": "tc-xlate-knowledge_fragments-is_compound_fragile",
    "TestKind": "formula-translates",
    "Subject": "KnowledgeFragments.IsCompoundFragile",
    "TargetTable": "KnowledgeFragments",
    "TargetField": "IsCompoundFragile",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KnowledgeFragments.IsCompoundFragile",
    "IsBlocking": true,
    "IsPassing": true,
    "IsFailing": false,
    "NeedsAttention": false,
    "PassingSuiteKey": "suite-substrate",
    "NeedsAttentionSuiteKey": null
   },
   {
    "TestCaseId": "tc-xlate-knowledge_fragments-is_single_point_of_failure",
    "TestKind": "formula-translates",
    "Subject": "KnowledgeFragments.IsSinglePointOfFailure",
    "TargetTable": "KnowledgeFragments",
    "TargetField": "IsSinglePointOfFailure",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KnowledgeFragments.IsSinglePointOfFailure",
    "IsBlocking": true,
    "IsPassing": true,
    "IsFailing": false,
    "NeedsAttention": false,
    "PassingSuiteKey": "suite-substrate",
    "NeedsAttentionSuiteKey": null
   },
   {
    "TestCaseId": "tc-xlate-knowledge_fragments-is_expiring_single_point_of_failure",
    "TestKind": "formula-translates",
    "Subject": "KnowledgeFragments.IsExpiringSinglePointOfFailure",
    "TargetTable": "KnowledgeFragments",
    "TargetField": "IsExpiringSinglePointOfFailure",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KnowledgeFragments.IsExpiringSinglePointOfFailure",
    "IsBlocking": true,
    "IsPassing": true,
    "IsFailing": false,
    "NeedsAttention": false,
    "PassingSuiteKey": "suite-substrate",
    "NeedsAttentionSuiteKey": null
   },
   {
    "TestCaseId": "tc-xlate-knowledge_fragments-compound_fragile_version_key",
    "TestKind": "formula-translates",
    "Subject": "KnowledgeFragments.CompoundFragileVersionKey",
    "TargetTable": "KnowledgeFragments",
    "TargetField": "CompoundFragileVersionKey",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KnowledgeFragments.CompoundFragileVersionKey",
    "IsBlocking": true,
    "IsPassing": true,
    "IsFailing": false,
    "NeedsAttention": false,
    "PassingSuiteKey": "suite-substrate",
    "NeedsAttentionSuiteKey": null
   },
   {
    "TestCaseId": "tc-xlate-knowledge_fragments-valid_fragment_session_key",
    "TestKind": "formula-translates",
    "Subject": "KnowledgeFragments.ValidFragmentSessionKey",
    "TargetTable": "KnowledgeFragments",
    "TargetField": "ValidFragmentSessionKey",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KnowledgeFragments.ValidFragmentSessionKey",
    "IsBlocking": true,
    "IsPassing": true,
    "IsFailing": false,
    "NeedsAttention": false,
    "PassingSuiteKey": "suite-substrate",
    "NeedsAttentionSuiteKey": null
   },
   {
    "TestCaseId": "tc-xlate-knowledge_fragments-consuming_step_is_software_assigned",
    "TestKind": "formula-translates",
    "Subject": "KnowledgeFragments.ConsumingStepIsSoftwareAssigned",
    "TargetTable": "KnowledgeFragments",
    "TargetField": "ConsumingStepIsSoftwareAssigned",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KnowledgeFragments.ConsumingStepIsSoftwareAssigned",
    "IsBlocking": true,
    "IsPassing": true,
    "IsFailing": false,
    "NeedsAttention": false,
    "PassingSuiteKey": "suite-substrate",
    "NeedsAttentionSuiteKey": null
   },
   {
    "TestCaseId": "tc-xlate-knowledge_fragments-consuming_step_agent_kind",
    "TestKind": "formula-translates",
    "Subject": "KnowledgeFragments.ConsumingStepAgentKind",
    "TargetTable": "KnowledgeFragments",
    "TargetField": "ConsumingStepAgentKind",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KnowledgeFragments.ConsumingStepAgentKind",
    "IsBlocking": true,
    "IsPassing": true,
    "IsFailing": false,
    "NeedsAttention": false,
    "PassingSuiteKey": "suite-substrate",
    "NeedsAttentionSuiteKey": null
   },
   {
    "TestCaseId": "tc-xlate-knowledge_fragments-is_unapproved_and_machine_consumed",
    "TestKind": "formula-translates",
    "Subject": "KnowledgeFragments.IsUnapprovedAndMachineConsumed",
    "TargetTable": "KnowledgeFragments",
    "TargetField": "IsUnapprovedAndMachineConsumed",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KnowledgeFragments.IsUnapprovedAndMachineConsumed",
    "IsBlocking": true,
    "IsPassing": true,
    "IsFailing": false,
    "NeedsAttention": false,
    "PassingSuiteKey": "suite-substrate",
    "NeedsAttentionSuiteKey": null
   },
   {
    "TestCaseId": "tc-xlate-knowledge_fragments-is_unapproved_and_human_consumed",
    "TestKind": "formula-translates",
    "Subject": "KnowledgeFragments.IsUnapprovedAndHumanConsumed",
    "TargetTable": "KnowledgeFragments",
    "TargetField": "IsUnapprovedAndHumanConsumed",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KnowledgeFragments.IsUnapprovedAndHumanConsumed",
    "IsBlocking": true,
    "IsPassing": true,
    "IsFailing": false,
    "NeedsAttention": false,
    "PassingSuiteKey": "suite-substrate",
    "NeedsAttentionSuiteKey": null
   },
   {
    "TestCaseId": "tc-xlate-knowledge_fragments-machine_consumed_unapproved_version_key",
    "TestKind": "formula-translates",
    "Subject": "KnowledgeFragments.MachineConsumedUnapprovedVersionKey",
    "TargetTable": "KnowledgeFragments",
    "TargetField": "MachineConsumedUnapprovedVersionKey",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KnowledgeFragments.MachineConsumedUnapprovedVersionKey",
    "IsBlocking": true,
    "IsPassing": true,
    "IsFailing": false,
    "NeedsAttention": false,
    "PassingSuiteKey": "suite-substrate",
    "NeedsAttentionSuiteKey": null
   },
   {
    "TestCaseId": "tc-xlate-knowledge_fragments-has_review_record",
    "TestKind": "formula-translates",
    "Subject": "KnowledgeFragments.HasReviewRecord",
    "TargetTable": "KnowledgeFragments",
    "TargetField": "HasReviewRecord",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KnowledgeFragments.HasReviewRecord",
    "IsBlocking": true,
    "IsPassing": true,
    "IsFailing": false,
    "NeedsAttention": false,
    "PassingSuiteKey": "suite-substrate",
    "NeedsAttentionSuiteKey": null
   },
   {
    "TestCaseId": "tc-xlate-knowledge_fragments-days_since_actual_review",
    "TestKind": "formula-translates",
    "Subject": "KnowledgeFragments.DaysSinceActualReview",
    "TargetTable": "KnowledgeFragments",
    "TargetField": "DaysSinceActualReview",
    "Assertion": "The transpiler emitted a real SQL function for this formula rather</t>
  </si>
  <si>
    <t xml:space="preserve"> than a NULL stub.",
    "DefendsQuestion": "q2-authority-review-date-is-inferred-not-recorded",
    "Suite": "suite-substrate",
    "Severity": "blocking",
    "LastOutcome": "PASS",
    "LastDetail": "translated",
    "LastRunAt": "2026-07-20T03:06:49+00:00",
    "SemanticTypeIri": "urn:effortless:pko-extension#TestCase",
    "Name": "formula-translates: KnowledgeFragments.DaysSinceActualReview",
    "IsBlocking": true,
    "IsPassing": true,
    "IsFailing": false,
    "NeedsAttention": false,
    "PassingSuiteKey": "suite-substrate",
    "NeedsAttentionSuiteKey": null
   },
   {
    "TestCaseId": "tc-xlate-knowledge_fragments-is_unreviewed_since_authoring",
    "TestKind": "formula-translates",
    "Subject": "KnowledgeFragments.IsUnreviewedSinceAuthoring",
    "TargetTable": "KnowledgeFragments",
    "TargetField": "IsUnreviewedSinceAuthoring",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KnowledgeFragments.IsUnreviewedSinceAuthoring",
    "IsBlocking": true,
    "IsPassing": true,
    "IsFailing": false,
    "NeedsAttention": false,
    "PassingSuiteKey": "suite-substrate",
    "NeedsAttentionSuiteKey": null
   },
   {
    "TestCaseId": "tc-xlate-knowledge_fragments-is_genuinely_overdue",
    "TestKind": "formula-translates",
    "Subject": "KnowledgeFragments.IsGenuinelyOverdue",
    "TargetTable": "KnowledgeFragments",
    "TargetField": "IsGenuinelyOverdue",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KnowledgeFragments.IsGenuinelyOverdue",
    "IsBlocking": true,
    "IsPassing": true,
    "IsFailing": false,
    "NeedsAttention": false,
    "PassingSuiteKey": "suite-substrate",
    "NeedsAttentionSuiteKey": null
   },
   {
    "TestCaseId": "tc-xlate-knowledge_fragments-review_recency_is_inferred",
    "TestKind": "formula-translates",
    "Subject": "KnowledgeFragments.ReviewRecencyIsInferred",
    "TargetTable": "KnowledgeFragments",
    "TargetField": "ReviewRecencyIsInferred",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KnowledgeFragments.ReviewRecencyIsInferred",
    "IsBlocking": true,
    "IsPassing": true,
    "IsFailing": false,
    "NeedsAttention": false,
    "PassingSuiteKey": "suite-substrate",
    "NeedsAttentionSuiteKey": null
   },
   {
    "TestCaseId": "tc-xlate-knowledge_fragments-inference_disagrees_with_record",
    "TestKind": "formula-translates",
    "Subject": "KnowledgeFragments.InferenceDisagreesWithRecord",
    "TargetTable": "KnowledgeFragments",
    "TargetField": "InferenceDisagreesWithRecord",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KnowledgeFragments.InferenceDisagreesWithRecord",
    "IsBlocking": true,
    "IsPassing": true,
    "IsFailing": false,
    "NeedsAttention": false,
    "PassingSuiteKey": "suite-substrate",
    "NeedsAttentionSuiteKey": null
   },
   {
    "TestCaseId": "tc-xlate-knowledge_fragments-genuinely_overdue_version_key",
    "TestKind": "formula-translates",
    "Subject": "KnowledgeFragments.GenuinelyOverdueVersionKey",
    "TargetTable": "KnowledgeFragments",
    "TargetField": "GenuinelyOverdueVersionKey",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KnowledgeFragments.GenuinelyOverdueVersionKey",
    "IsBlocking": true,
    "IsPassing": true,
    "IsFailing": false,
    "NeedsAttention": false,
    "PassingSuiteKey": "suite-substrate",
    "NeedsAttentionSuiteKey": null
   },
   {
    "TestCaseId": "tc-xlate-knowledge_fragments-ratified_boundary_count",
    "TestKind": "formula-translates",
    "Subject": "KnowledgeFragments.RatifiedBoundaryCount",
    "TargetTable": "KnowledgeFragments",
    "TargetField": "RatifiedBoundaryCount",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KnowledgeFragments.RatifiedBoundaryCount",
    "IsBlocking": true,
    "IsPassing": true,
    "IsFailing": false,
    "NeedsAttention": false,
    "PassingSuiteKey": "suite-substrate",
    "NeedsAttentionSuiteKey": null
   },
   {
    "TestCaseId": "tc-xlate-knowledge_fragments-reliance_surface_count",
    "TestKind": "formula-translates",
    "Subject": "KnowledgeFragments.RelianceSurfaceCount",
    "TargetTable": "KnowledgeFragments",
    "TargetField": "RelianceSurfaceCount",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KnowledgeFragments.RelianceSurfaceCount",
    "IsBlocking": true,
    "IsPassing": true,
    "IsFailing": false,
    "NeedsAttention": false,
    "PassingSuiteKey": "suite-substrate",
    "NeedsAttentionSuiteKey": null
   },
   {
    "TestCaseId": "tc-xlate-knowledge_fragments-days_awaiting_my_approval",
    "TestKind": "formula-translates",
    "Subject": "KnowledgeFragments.DaysAwaitingMyApproval",
    "TargetTable": "KnowledgeFragments",
    "TargetField": "DaysAwaitingMyApproval",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KnowledgeFragments.DaysAwaitingMyApproval",
    "IsBlocking": true,
    "IsPassing": true,
    "IsFailing": false,
    "NeedsAttention": false,
    "PassingSuiteKey": "suite-substrate",
    "NeedsAttentionSuiteKey": null
   },
   {
    "TestCaseId": "tc-xlate-knowledge_fragments-is_high_blast_radius_unapproved",
    "TestKind": "formula-translates",
    "Subject": "KnowledgeFragments.IsHighBlastRadiusUnapproved",
    "TargetTable": "KnowledgeFragments",
    "TargetField": "IsHighBlastRadiusUnapproved",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KnowledgeFragments.IsHighBlastRadiusUnapproved",
    "IsBlocking": true,
    "IsPassing": true,
    "IsFailing": false,
    "NeedsAttention": false,
    "PassingSuiteKey": "suite-substrate",
    "NeedsAttentionSuiteKey": null
   },
   {
    "TestCaseId": "tc-xlate-knowledge_fragments-is_long_unapproved",
    "TestKind": "formula-translates",
    "Subject": "KnowledgeFragments.IsLongUnapproved",
    "TargetTable": "KnowledgeFragments",
    "TargetField": "IsLongUnapproved",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KnowledgeFragments.IsLongUnapproved",
    "IsBlocking": true,
    "IsPassing": true,
    "IsFailing": false,
    "NeedsAttention": false,
    "PassingSuiteKey": "suite-substrate",
    "NeedsAttentionSuiteKey": null
   },
   {
    "TestCaseId": "tc-xlate-knowledge_fragments-unapproved_load_bearing_version_key",
    "TestKind": "formula-translates",
    "Subject": "KnowledgeFragments.UnapprovedLoadBearingVersionKey",
    "TargetTable": "KnowledgeFragments",
    "TargetField": "UnapprovedLoadBearingVersionKey",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KnowledgeFragments.UnapprovedLoadBearingVersionKey",
    "IsBlocking": true,
    "IsPassing": true,
    "IsFailing": false,
    "NeedsAttention": false,
    "PassingSuiteKey": "suite-substrate",
    "NeedsAttentionSuiteKey": null
   },
   {
    "TestCaseId": "tc-xlate-knowledge_fragments-owner_role_is_vacated",
    "TestKind": "formula-translates",
    "Subject": "KnowledgeFragments.OwnerRoleIsVacated",
    "TargetTable": "KnowledgeFragments",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KnowledgeFragments.OwnerRoleIsVacated",
    "IsBlocking": true,
    "IsPassing": true,
    "IsFailing": false,
    "NeedsAttention": false,
    "PassingSuiteKey": "suite-substrate",
    "NeedsAttentionSuiteKey": null
   },
   {
    "TestCaseId": "tc-xlate-knowledge_fragments-is_orphaned_by_role",
    "TestKind": "formula-translates",
    "Subject": "KnowledgeFragments.IsOrphanedByRole",
    "TargetTable": "KnowledgeFragments",
    "TargetField": "IsOrphanedByRole",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KnowledgeFragments.IsOrphanedByRole",
    "IsBlocking": true,
    "IsPassing": true,
    "IsFailing": false,
    "NeedsAttention": false,
    "PassingSuiteKey": "suite-substrate",
    "NeedsAttentionSuiteKey": null
   },
   {
    "TestCaseId": "tc-xlate-knowledge_fragments-valid_fragment_version_key",
    "TestKind": "formula-translates",
    "Subject": "KnowledgeFragments.ValidFragmentVersionKey",
    "TargetTable": "KnowledgeFragments",
    "TargetField": "ValidFragmentVersionKey",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KnowledgeFragments.ValidFragmentVersionKey",
    "IsBlocking": true,
    "IsPassing": true,
    "IsFailing": false,
    "NeedsAttention": false,
    "PassingSuiteKey": "suite-substrate",
    "NeedsAttentionSuiteKey": null
   },
   {
    "TestCaseId": "tc-xlate-knowledge_gaps-name",
    "TestKind": "formula-translates",
    "Subject": "KnowledgeGaps.Name",
    "TargetTable": "KnowledgeGaps",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KnowledgeGaps.Name",
    "IsBlocking": true,
    "IsPassing": true,
    "IsFailing": false,
    "NeedsAttention": false,
    "PassingSuiteKey": "suite-substrate",
    "NeedsAttentionSuiteKey": null
   },
   {
    "TestCaseId": "tc-xlate-knowledge_gaps-is_open",
    "TestKind": "formula-translates",
    "Subject": "KnowledgeGaps.IsOpen",
    "TargetTable": "KnowledgeGaps",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KnowledgeGaps.IsOpen",
    "IsBlocking": true,
    "IsPassing": true,
    "IsFailing": false,
    "NeedsAttention": false,
    "PassingSuiteKey": "suite-substrate",
    "NeedsAttentionSuiteKey": null
   },
   {
    "TestCaseId": "tc-xlate-knowledge_gaps-open_gap_version_key",
    "TestKind": "formula-translates",
    "Subject": "KnowledgeGaps.OpenGapVersionKey",
    "TargetTable": "KnowledgeGaps",
    "TargetField": "OpenGapVersionKey",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KnowledgeGaps.OpenGapVersionKey",
    "IsBlocking": true,
    "IsPassing": true,
    "IsFailing": false,
    "NeedsAttention": false,
    "PassingSuiteKey": "suite-substrate",
    "NeedsAttentionSuiteKey": null
   },
   {
    "TestCaseId": "tc-xlate-knowledge_gaps-is_blocking",
    "TestKind": "formula-translates",
    "Subject": "KnowledgeGaps.IsBlocking",
    "TargetTable": "KnowledgeGaps",
    "TargetField": "IsBlocking",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KnowledgeGaps.IsBlocking",
    "IsBlocking": true,
    "IsPassing": true,
    "IsFailing": false,
    "NeedsAttention": false,
    "PassingSuiteKey": "suite-substrate",
    "NeedsAttentionSuiteKey": null
   },
   {
    "TestCaseId": "tc-xlate-knowledge_gaps-is_open_and_blocking",
    "TestKind": "formula-translates",
    "Subject": "KnowledgeGaps.IsOpenAndBlocking",
    "TargetTable": "KnowledgeGaps",
    "TargetField": "IsOpenAndBlocking",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KnowledgeGaps.IsOpenAndBlocking",
    "IsBlocking": true,
    "IsPassing": true,
    "IsFailing": false,
    "NeedsAttention": false,
    "PassingSuiteKey": "suite-substrate",
    "NeedsAttentionSuiteKey": null
   },
   {
    "TestCaseId": "tc-xlate-knowledge_gaps-as_of_instant",
    "TestKind": "formula-translates",
    "Subject": "KnowledgeGaps.AsOfInstant",
    "TargetTable": "KnowledgeGaps",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KnowledgeGaps.AsOfInstant",
    "IsBlocking": true,
    "IsPassing": true,
    "IsFailing": false,
    "NeedsAttention": false,
    "PassingSuiteKey": "suite-substrate",
    "NeedsAttentionSuiteKey": null
   },
   {
    "TestCaseId": "tc-xlate-knowledge_gaps-days_open",
    "TestKind": "formula-translates",
    "Subject": "KnowledgeGaps.DaysOpen",
    "TargetTable": "KnowledgeGaps",
    "TargetField": "DaysOpen",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KnowledgeGaps.DaysOpen",
    "IsBlocking": true,
    "IsPassing": true,
    "IsFailing": false,
    "NeedsAttention": false,
    "PassingSuiteKey": "suite-substrate",
    "NeedsAttentionSuiteKey": null
   },
   {
    "TestCaseId": "tc-xlate-knowledge_gaps-tolerance_days",
    "TestKind": "formula-translates",
    "Subject": "KnowledgeGaps.ToleranceDays",
    "TargetTable": "KnowledgeGaps",
    "TargetField": "ToleranceDays",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KnowledgeGaps.ToleranceDays",
    "IsBlocking": true,
    "IsPassing": true,
    "IsFailing": false,
    "NeedsAttention": false,
    "PassingSuiteKey": "suite-substrate",
    "NeedsAttentionSuiteKey": null
   },
   {
    "TestCaseId": "tc-xlate-knowledge_gaps-is_overdue_gap",
    "TestKind": "formula-translates",
    "Subject": "KnowledgeGaps.IsOverdueGap",
    "TargetTable": "KnowledgeGaps",
    "TargetField": "IsOverdueGap",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KnowledgeGaps.IsOverdueGap",
    "IsBlocking": true,
    "IsPassing": true,
    "IsFailing": false,
    "NeedsAttention": false,
    "PassingSuiteKey": "suite-substrate",
    "NeedsAttentionSuiteKey": null
   },
   {
    "TestCaseId": "tc-xlate-knowledge_gaps-owner_agent",
    "TestKind": "formula-translates",
    "Subject": "KnowledgeGaps.OwnerAgent",
    "TargetTable": "KnowledgeGaps",
    "TargetField": "OwnerAgent",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KnowledgeGaps.OwnerAgent",
    "IsBlocking": true,
    "IsPassing": true,
    "IsFailing": false,
    "NeedsAttention": false,
    "PassingSuiteKey": "suite-substrate",
    "NeedsAttentionSuiteKey": null
   },
   {
    "TestCaseId": "tc-xlate-knowledge_gaps-owner_is_still_engaged",
    "TestKind": "formula-translates",
    "Subject": "KnowledgeGaps.OwnerIsStillEngaged",
    "TargetTable": "KnowledgeGaps",
    "TargetField": "OwnerIsStillEngaged",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KnowledgeGaps.OwnerIsStillEngaged",
    "IsBlocking": true,
    "IsPassing": true,
    "IsFailing": false,
    "NeedsAttention": false,
    "PassingSuiteKey": "suite-substrate",
    "NeedsAttentionSuiteKey": null
   },
   {
    "TestCaseId": "tc-xlate-knowledge_gaps-has_resolution_plan",
    "TestKind": "formula-translates",
    "Subject": "KnowledgeGaps.HasResolutionPlan",
    "TargetTable": "KnowledgeGaps",
    "TargetField": "HasResolutionPlan",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KnowledgeGaps.HasResolutionPlan",
    "IsBlocking": true,
    "IsPassing": true,
    "IsFailing": false,
    "NeedsAttention": false,
    "PassingSuiteKey": "suite-substrate",
    "NeedsAttentionSuiteKey": null
   },
   {
    "TestCaseId": "tc-xlate-knowledge_gaps-is_abandoned_unknown",
    "TestKind": "formula-translates",
    "Subject": "KnowledgeGaps.IsAbandonedUnknown",
    "TargetTable": "KnowledgeGaps",
    "TargetField": "IsAbandonedUnknown",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KnowledgeGaps.IsAbandonedUnknown",
    "IsBlocking": true,
    "IsPassing": true,
    "IsFailing": false,
    "NeedsAttention": false,
    "PassingSuiteKey": "suite-substrate",
    "NeedsAttentionSuiteKey": null
   },
   {
    "TestCaseId": "tc-xlate-knowledge_gaps-open_blocking_gap_version_key",
    "TestKind": "formula-translates",
    "Subject": "KnowledgeGaps.OpenBlockingGapVersionKey",
    "TargetTable": "KnowledgeGaps",
    "TargetField": "OpenBlockingGapVersionKey",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KnowledgeGaps.OpenBlockingGapVersionKey",
    "IsBlocking": true,
    "IsPassing": true,
    "IsFailing": false,
    "NeedsAttention": false,
    "PassingSuiteKey": "suite-substrate",
    "NeedsAttentionSuiteKey": null
   },
   {
    "TestCaseId": "tc-xlate-knowledge_gaps-owner_role_is_vacated",
    "TestKind": "formula-translates",
    "Subject": "KnowledgeGaps.OwnerRoleIsVacated",
    "TargetTable": "KnowledgeGaps",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KnowledgeGaps.OwnerRoleIsVacated",
    "IsBlocking": true,
    "IsPassing": true,
    "IsFailing": false,
    "NeedsAttention": false,
    "PassingSuiteKey": "suite-substrate",
    "NeedsAttentionSuiteKey": null
   },
   {
    "TestCaseId": "tc-xlate-knowledge_gaps-is_ownerless_open_gap",
    "TestKind": "formula-translates",
    "Subject": "KnowledgeGaps.IsOwnerlessOpenGap",
    "TargetTable": "KnowledgeGaps",
    "TargetField": "IsOwnerlessOpenGap",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KnowledgeGaps.IsOwnerlessOpenGap",
    "IsBlocking": true,
    "IsPassing": true,
    "IsFailing": false,
    "NeedsAttention": false,
    "PassingSuiteKey": "suite-substrate",
    "NeedsAttentionSuiteKey": null
   },
   {
    "TestCaseId": "tc-xlate-f_a_qs-name",
    "TestKind": "formula-translates",
    "Subject": "FAQs.Name",
    "TargetTable": "FAQs",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FAQs.Name",
    "IsBlocking": true,
    "IsPassing": true,
    "IsFailing": false,
    "NeedsAttention": false,
    "PassingSuiteKey": "suite-substrate",
    "NeedsAttentionSuiteKey": null
   },
   {
    "TestCaseId": "tc-xlate-explanations-name",
    "TestKind": "formula-translates",
    "Subject": "Explanations.Name",
    "TargetTable": "Explanations",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Explanations.Name",
    "IsBlocking": true,
    "IsPassing": true,
    "IsFailing": false,
    "NeedsAttention": false,
    "PassingSuiteKey": "suite-substrate",
    "NeedsAttentionSuiteKey": null
   },
   {
    "TestCaseId": "tc-xlate-procedure_executions-name",
    "TestKind": "formula-translates",
    "Subject": "ProcedureExecutions.Name",
    "TargetTable": "ProcedureExecutions",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ProcedureExecutions.Name",
    "IsBlocking": true,
    "IsPassing": true,
    "IsFailing": false,
    "NeedsAttention": false,
    "PassingSuiteKey": "suite-substrate",
    "NeedsAttentionSuiteKey": null
   },
   {
    "TestCaseId": "tc-xlate-procedure_executions-expected_step_count",
    "TestKind": "formula-translates",
    "Subject": "ProcedureExecutions.ExpectedStepCount",
    "TargetTable": "ProcedureExecutions",
    "TargetField": "ExpectedStepCount",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ProcedureExecutions.ExpectedStepCount",
    "IsBlocking": true,
    "IsPassing": true,
    "IsFailing": false,
    "NeedsAttention": false,
    "PassingSuiteKey": "suite-substrate",
    "NeedsAttentionSuiteKey": null
   },
   {
    "TestCaseId": "tc-xlate-procedure_executions-completed_step_count",
    "TestKind": "formula-translates",
    "Subject": "ProcedureExecutions.CompletedStepCount",
    "TargetTable": "ProcedureExecutions",
    "TargetField": "CompletedStepCount",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ProcedureExecutions.CompletedStepCount",
    "IsBlocking": true,
    "IsPassing": true,
    "IsFailing": false,
    "NeedsAttention": false,
    "PassingSuiteKey": "suite-substrate",
    "NeedsAttentionSuiteKey": null
   },
   {
    "TestCaseId": "tc-xlate-procedure_executions-control_breach_count",
    "TestKind": "formula-translates",
    "Subject": "ProcedureExecutions.ControlBreachCount",
    "TargetTable": "ProcedureExecutions",
    "TargetField": "ControlBreachCount",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ProcedureExecutions.ControlBreachCount",
    "IsBlocking": true,
    "IsPassing": true,
    "IsFailing": false,
    "NeedsAttention": false,
    "PassingSuiteKey": "suite-substrate",
    "NeedsAttentionSuiteKey": null
   },
   {
    "TestCaseId": "tc-xlate-procedure_executions-late_step_count",
    "TestKind": "formula-translates",
    "Subject": "ProcedureExecutions.LateStepCount",
    "TargetTable": "ProcedureExecutions",
    "TargetField": "LateStepCount",
    "Assertion": "The transpiler emitted a real SQL func</t>
  </si>
  <si>
    <t xml:space="preserve">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ProcedureExecutions.LateStepCount",
    "IsBlocking": true,
    "IsPassing": true,
    "IsFailing": false,
    "NeedsAttention": false,
    "PassingSuiteKey": "suite-substrate",
    "NeedsAttentionSuiteKey": null
   },
   {
    "TestCaseId": "tc-xlate-procedure_executions-is_structurally_complete",
    "TestKind": "formula-translates",
    "Subject": "ProcedureExecutions.IsStructurallyComplete",
    "TargetTable": "ProcedureExecutions",
    "TargetField": "IsStructurallyComplete",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ProcedureExecutions.IsStructurallyComplete",
    "IsBlocking": true,
    "IsPassing": true,
    "IsFailing": false,
    "NeedsAttention": false,
    "PassingSuiteKey": "suite-substrate",
    "NeedsAttentionSuiteKey": null
   },
   {
    "TestCaseId": "tc-xlate-procedure_executions-diverged_from_specification",
    "TestKind": "formula-translates",
    "Subject": "ProcedureExecutions.DivergedFromSpecification",
    "TargetTable": "ProcedureExecutions",
    "TargetField": "DivergedFromSpecification",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ProcedureExecutions.DivergedFromSpecification",
    "IsBlocking": true,
    "IsPassing": true,
    "IsFailing": false,
    "NeedsAttention": false,
    "PassingSuiteKey": "suite-substrate",
    "NeedsAttentionSuiteKey": null
   },
   {
    "TestCaseId": "tc-xlate-procedure_executions-all_blocking_controls_evaluated",
    "TestKind": "formula-translates",
    "Subject": "ProcedureExecutions.AllBlockingControlsEvaluated",
    "TargetTable": "ProcedureExecutions",
    "TargetField": "AllBlockingControlsEvaluated",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ProcedureExecutions.AllBlockingControlsEvaluated",
    "IsBlocking": true,
    "IsPassing": true,
    "IsFailing": false,
    "NeedsAttention": false,
    "PassingSuiteKey": "suite-substrate",
    "NeedsAttentionSuiteKey": null
   },
   {
    "TestCaseId": "tc-xlate-procedure_executions-unevaluated_blocking_total",
    "TestKind": "formula-translates",
    "Subject": "ProcedureExecutions.UnevaluatedBlockingTotal",
    "TargetTable": "ProcedureExecutions",
    "TargetField": "UnevaluatedBlockingTotal",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ProcedureExecutions.UnevaluatedBlockingTotal",
    "IsBlocking": true,
    "IsPassing": true,
    "IsFailing": false,
    "NeedsAttention": false,
    "PassingSuiteKey": "suite-substrate",
    "NeedsAttentionSuiteKey": null
   },
   {
    "TestCaseId": "tc-xlate-procedure_executions-separation_of_duties_held",
    "TestKind": "formula-translates",
    "Subject": "ProcedureExecutions.SeparationOfDutiesHeld",
    "TargetTable": "ProcedureExecutions",
    "TargetField": "SeparationOfDutiesHeld",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ProcedureExecutions.SeparationOfDutiesHeld",
    "IsBlocking": true,
    "IsPassing": true,
    "IsFailing": false,
    "NeedsAttention": false,
    "PassingSuiteKey": "suite-substrate",
    "NeedsAttentionSuiteKey": null
   },
   {
    "TestCaseId": "tc-xlate-procedure_executions-separation_violation_count",
    "TestKind": "formula-translates",
    "Subject": "ProcedureExecutions.SeparationViolationCount",
    "TargetTable": "ProcedureExecutions",
    "TargetField": "SeparationViolationCount",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ProcedureExecutions.SeparationViolationCount",
    "IsBlocking": true,
    "IsPassing": true,
    "IsFailing": false,
    "NeedsAttention": false,
    "PassingSuiteKey": "suite-substrate",
    "NeedsAttentionSuiteKey": null
   },
   {
    "TestCaseId": "tc-xlate-procedure_executions-is_attestation_ready",
    "TestKind": "formula-translates",
    "Subject": "ProcedureExecutions.IsAttestationReady",
    "TargetTable": "ProcedureExecutions",
    "TargetField": "IsAttestationReady",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ProcedureExecutions.IsAttestationReady",
    "IsBlocking": true,
    "IsPassing": true,
    "IsFailing": false,
    "NeedsAttention": false,
    "PassingSuiteKey": "suite-substrate",
    "NeedsAttentionSuiteKey": null
   },
   {
    "TestCaseId": "tc-xlate-procedure_executions-attestation_blocker_summary",
    "TestKind": "formula-translates",
    "Subject": "ProcedureExecutions.AttestationBlockerSummary",
    "TargetTable": "ProcedureExecutions",
    "TargetField": "AttestationBlockerSummary",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ProcedureExecutions.AttestationBlockerSummary",
    "IsBlocking": true,
    "IsPassing": true,
    "IsFailing": false,
    "NeedsAttention": false,
    "PassingSuiteKey": "suite-substrate",
    "NeedsAttentionSuiteKey": null
   },
   {
    "TestCaseId": "tc-xlate-procedure_executions-executed_version_is_fit",
    "TestKind": "formula-translates",
    "Subject": "ProcedureExecutions.ExecutedVersionIsFit",
    "TargetTable": "ProcedureExecutions",
    "TargetField": "ExecutedVersionIsFit",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ProcedureExecutions.ExecutedVersionIsFit",
    "IsBlocking": true,
    "IsPassing": true,
    "IsFailing": false,
    "NeedsAttention": false,
    "PassingSuiteKey": "suite-substrate",
    "NeedsAttentionSuiteKey": null
   },
   {
    "TestCaseId": "tc-xlate-procedure_executions-signed_against_unfit_version",
    "TestKind": "formula-translates",
    "Subject": "ProcedureExecutions.SignedAgainstUnfitVersion",
    "TargetTable": "ProcedureExecutions",
    "TargetField": "SignedAgainstUnfitVersion",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ProcedureExecutions.SignedAgainstUnfitVersion",
    "IsBlocking": true,
    "IsPassing": true,
    "IsFailing": false,
    "NeedsAttention": false,
    "PassingSuiteKey": "suite-substrate",
    "NeedsAttentionSuiteKey": null
   },
   {
    "TestCaseId": "tc-xlate-procedure_executions-asserted_only_control_count",
    "TestKind": "formula-translates",
    "Subject": "ProcedureExecutions.AssertedOnlyControlCount",
    "TargetTable": "ProcedureExecutions",
    "TargetField": "AssertedOnlyControlCount",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ProcedureExecutions.AssertedOnlyControlCount",
    "IsBlocking": true,
    "IsPassing": true,
    "IsFailing": false,
    "NeedsAttention": false,
    "PassingSuiteKey": "suite-substrate",
    "NeedsAttentionSuiteKey": null
   },
   {
    "TestCaseId": "tc-xlate-procedure_executions-assurance_is_mostly_asserted",
    "TestKind": "formula-translates",
    "Subject": "ProcedureExecutions.AssuranceIsMostlyAsserted",
    "TargetTable": "ProcedureExecutions",
    "TargetField": "AssuranceIsMostlyAsserted",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ProcedureExecutions.AssuranceIsMostlyAsserted",
    "IsBlocking": true,
    "IsPassing": true,
    "IsFailing": false,
    "NeedsAttention": false,
    "PassingSuiteKey": "suite-substrate",
    "NeedsAttentionSuiteKey": null
   },
   {
    "TestCaseId": "tc-xlate-procedure_executions-unreachable_handling_failure_count",
    "TestKind": "formula-translates",
    "Subject": "ProcedureExecutions.UnreachableHandlingFailureCount",
    "TargetTable": "ProcedureExecutions",
    "TargetField": "UnreachableHandlingFailureCount",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ProcedureExecutions.UnreachableHandlingFailureCount",
    "IsBlocking": true,
    "IsPassing": true,
    "IsFailing": false,
    "NeedsAttention": false,
    "PassingSuiteKey": "suite-substrate",
    "NeedsAttentionSuiteKey": null
   },
   {
    "TestCaseId": "tc-xlate-procedure_executions-retention_breach_count",
    "TestKind": "formula-translates",
    "Subject": "ProcedureExecutions.RetentionBreachCount",
    "TargetTable": "ProcedureExecutions",
    "TargetField": "RetentionBreachCount",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ProcedureExecutions.RetentionBreachCount",
    "IsBlocking": true,
    "IsPassing": true,
    "IsFailing": false,
    "NeedsAttention": false,
    "PassingSuiteKey": "suite-substrate",
    "NeedsAttentionSuiteKey": null
   },
   {
    "TestCaseId": "tc-xlate-procedure_executions-cleared_legal_review_count",
    "TestKind": "formula-translates",
    "Subject": "ProcedureExecutions.ClearedLegalReviewCount",
    "TargetTable": "ProcedureExecutions",
    "TargetField": "ClearedLegalReviewCount",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ProcedureExecutions.ClearedLegalReviewCount",
    "IsBlocking": true,
    "IsPassing": true,
    "IsFailing": false,
    "NeedsAttention": false,
    "PassingSuiteKey": "suite-substrate",
    "NeedsAttentionSuiteKey": null
   },
   {
    "TestCaseId": "tc-xlate-procedure_executions-has_cleared_legal_review",
    "TestKind": "formula-translates",
    "Subject": "ProcedureExecutions.HasClearedLegalReview",
    "TargetTable": "ProcedureExecutions",
    "TargetField": "HasClearedLegalReview",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ProcedureExecutions.HasClearedLegalReview",
    "IsBlocking": true,
    "IsPassing": true,
    "IsFailing": false,
    "NeedsAttention": false,
    "PassingSuiteKey": "suite-substrate",
    "NeedsAttentionSuiteKey": null
   },
   {
    "TestCaseId": "tc-xlate-procedure_executions-abandoned_failure_count",
    "TestKind": "formula-translates",
    "Subject": "ProcedureExecutions.AbandonedFailureCount",
    "TargetTable": "ProcedureExecutions",
    "TargetField": "AbandonedFailureCount",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ProcedureExecutions.AbandonedFailureCount",
    "IsBlocking": true,
    "IsPassing": true,
    "IsFailing": false,
    "NeedsAttention": false,
    "PassingSuiteKey": "suite-substrate",
    "NeedsAttentionSuiteKey": null
   },
   {
    "TestCaseId": "tc-xlate-procedure_executions-delivered_count",
    "TestKind": "formula-translates",
    "Subject": "ProcedureExecutions.DeliveredCount",
    "TargetTable": "ProcedureExecutions",
    "TargetField": "DeliveredCount",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ProcedureExecutions.DeliveredCount",
    "IsBlocking": true,
    "IsPassing": true,
    "IsFailing": false,
    "NeedsAttention": false,
    "PassingSuiteKey": "suite-substrate",
    "NeedsAttentionSuiteKey": null
   },
   {
    "TestCaseId": "tc-xlate-procedure_executions-total_delivery_attempt_count",
    "TestKind": "formula-translates",
    "Subject": "ProcedureExecutions.TotalDeliveryAttemptCount",
    "TargetTable": "ProcedureExecutions",
    "TargetField": "TotalDeliveryAttemptCount",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ProcedureExecutions.TotalDeliveryAttemptCount",
    "IsBlocking": true,
    "IsPassing": true,
    "IsFailing": false,
    "NeedsAttention": false,
    "PassingSuiteKey": "suite-substrate",
    "NeedsAttentionSuiteKey": null
   },
   {
    "TestCaseId": "tc-xlate-procedure_executions-has_abandoned_failures",
    "TestKind": "formula-translates",
    "Subject": "ProcedureExecutions.HasAbandonedFailures",
    "TargetTable": "ProcedureExecutions",
    "TargetField": "HasAbandonedFailures",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ProcedureExecutions.HasAbandonedFailures",
    "IsBlocking": true,
    "IsPassing": true,
    "IsFailing": false,
    "NeedsAttention": false,
    "PassingSuiteKey": "suite-substrate",
    "NeedsAttentionSuiteKey": null
   },
   {
    "TestCaseId": "tc-xlate-procedure_executions-mishandled_refusal_count",
    "TestKind": "formula-translates",
    "Subject": "ProcedureExecutions.MishandledRefusalCount",
    "TargetTable": "ProcedureExecutions",
    "TargetField": "MishandledRefusalCount",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ProcedureExecutions.MishandledRefusalCount",
    "IsBlocking": true,
    "IsPassing": true,
    "IsFailing": false,
    "NeedsAttention": false,
    "PassingSuiteKey": "suite-substrate",
    "NeedsAttentionSuiteKey": null
   },
   {
    "TestCaseId": "tc-xlate-procedure_executions-unclean_step_count",
    "TestKind": "formula-translates",
    "Subject": "ProcedureExecutions.UncleanStepCount",
    "TargetTable": "ProcedureExecutions",
    "TargetField": "UncleanStepCount",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ProcedureExecutions.UncleanStepCount",
    "IsBlocking": true,
    "IsPassing": true,
    "IsFailing": false,
    "NeedsAttention": false,
    "PassingSuiteKey": "suite-substrate",
    "NeedsAttentionSuiteKey": null
   },
   {
    "TestCaseId": "tc-xlate-procedure_executions-ran_clean",
    "TestKind": "formula-translates",
    "Subject": "ProcedureExecutions.RanClean",
    "TargetTable": "ProcedureExecutions",
    "TargetField": "RanClean",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ProcedureExecutions.RanClean",
    "IsBlocking": true,
    "IsPassing": true,
    "IsFailing": false,
    "NeedsAttention": false,
    "PassingSuiteKey": "suite-substrate",
    "NeedsAttentionSuiteKey": null
   },
   {
    "TestCaseId": "tc-xlate-procedure_executions-count_of_approval_executions",
    "TestKind": "formula-translates",
    "Subject": "ProcedureExecutions.CountOfApprovalExecutions",
    "TargetTable": "ProcedureExecutions",
    "TargetField": "CountOfApprovalExecutions",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ProcedureExecutions.CountOfApprovalExecutions",
    "IsBlocking": true,
    "IsPassing": true,
    "IsFailing": false,
    "NeedsAttention": false,
    "PassingSuiteKey": "suite-substrate",
    "NeedsAttentionSuiteKey": null
   },
   {
    "TestCaseId": "tc-xlate-procedure_executions-has_human_approval",
    "TestKind": "formula-translates",
    "Subject": "ProcedureExecutions.HasHumanApproval",
    "TargetTable": "ProcedureExecutions",
    "TargetField": "HasHumanApproval",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ProcedureExecutions.HasHumanApproval",
    "IsBlocking": true,
    "IsPassing": true,
    "IsFailing": false,
    "NeedsAttention": false,
    "PassingSuiteKey": "suite-substrate",
    "NeedsAttentionSuiteKey": null
   },
   {
    "TestCaseId": "tc-xlate-procedure_executions-count_of_delivery_executions",
    "TestKind": "formula-translates",
    "Subject": "ProcedureExecutions.CountOfDeliveryExecutions",
    "TargetTable": "ProcedureExecutions",
    "TargetField": "CountOfDeliveryExecutions",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ProcedureExecutions.CountOfDeliveryExecutions",
    "IsBlocking": true,
    "IsPassing": true,
    "IsFailing": false,
    "NeedsAttention": false,
    "PassingSuiteKey": "suite-substrate",
    "NeedsAttentionSuiteKey": null
   },
   {
    "TestCaseId": "tc-xlate-procedure_executions-has_delivered",
    "TestKind": "formula-translates",
    "Subject": "ProcedureExecutions.HasDelivered",
    "TargetTable": "ProcedureExecutions",
    "TargetField": "HasDelivered",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ProcedureExecutions.HasDelivered",
    "IsBlocking": true,
    "IsPassing": true,
    "IsFailing": false,
    "NeedsAttention": false,
    "PassingSuiteKey": "suite-substrate",
    "NeedsAttentionSuiteKey": null
   },
   {
    "TestCaseId": "tc-xlate-procedure_executions-delivered_without_approval",
    "TestKind": "formula-translates",
    "Subject": "ProcedureExecutions.DeliveredWithoutApproval",
    "TargetTable": "ProcedureExecutions",
    "TargetField": "DeliveredWithoutApproval",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ProcedureExecutions.DeliveredWithoutApproval",
    "IsBlocking": true,
    "IsPassing": true,
    "IsFailing": false,
    "NeedsAttention": false,
    "PassingSuiteKey": "suite-substrate",
    "NeedsAttentionSuiteKey": null
   },
   {
    "TestCaseId": "tc-xlate-procedure_executions-invalid_approval_count",
    "TestKind": "formula-translates",
    "Subject": "ProcedureExecutions.InvalidApprovalCount",
    "TargetTable": "ProcedureExecutions",
    "TargetField": "InvalidApprovalCount",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ProcedureExecutions.InvalidApprovalCount",
    "IsBlocking": true,
    "IsPassing": true,
    "IsFailing": false,
    "NeedsAttention": false,
    "PassingSuiteKey": "suite-substrate",
    "NeedsAttentionSuiteKey": null
   },
   {
    "TestCaseId": "tc-xlate-procedure_executions-approval_chain_is_complete",
    "TestKind": "formula-translates",
    "Subject": "ProcedureExecutions.ApprovalChainIsComplete",
    "TargetTable": "ProcedureExecutions",
    "TargetField": "ApprovalChainIsComplete",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ProcedureExecutions.ApprovalChainIsComplete",
    "IsBlocking": true,
    "IsPassing": true,
    "IsFailing": false,
    "NeedsAttention": false,
    "PassingSuiteKey": "suite-substrate",
    "NeedsAttentionSuiteKey": null
   },
   {
    "TestCaseId": "tc-xlate-procedure_executions-vacuously_clean_step_count",
    "TestKind": "formula-translates",
    "Subject": "ProcedureExecutions.VacuouslyCleanStepCount",
    "TargetTable": "ProcedureExecutions",
    "TargetField": "VacuouslyCleanStepCount",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ProcedureExecutions.VacuouslyCleanStepCount",
    "IsBlocking": true,
    "IsPassing": true,
    "IsFailing": false,
    "NeedsAttention": false,
    "PassingSuiteKey": "suite-substrate",
    "NeedsAttentionSuiteKey": null
   },
   {
    "TestCaseId": "tc-xlate-procedure_executions-preparation_step_count",
    "TestKind": "formula-translates",
    "Subject": "ProcedureExecutions.PreparationStepCount",
    "TargetTable": "ProcedureExecutions",
    "TargetField": "PreparationStepCount",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ProcedureExecutions.PreparationStepCount",
    "IsBlocking": true,
    "IsPassing": true,
    "IsFailing": false,
    "NeedsAttention": false,
    "PassingSuiteKey": "suite-substrate",
    "NeedsAttentionSuiteKey": null
   },
   {
    "TestCaseId": "tc-xlate-procedure_executions-approval_step_count",
    "TestKind": "formula-translates",
    "Subject": "ProcedureExecutions.ApprovalStepCount",
    "TargetTable": "ProcedureExecutions",
    "TargetField": "ApprovalStepCount",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ProcedureExecutions.ApprovalStepCount",
    "IsBlocking": true,
    "IsPassing": true,
    "IsFailing": false,
    "NeedsAttention": false,
    "PassingSuiteKey": "suite-substrate",
    "NeedsAttentionSuiteKey": null
   },
   {
    "TestCaseId": "tc-xlate-procedure_executions-separation_was_testable",
    "TestKind": "formula-translates",
    "Subject": "ProcedureExecutions.SeparationWasTestable",
    "TargetTable": "ProcedureExecutions",
    "TargetField": "SeparationWasTestable",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ProcedureExecutions.SeparationWasTestable",
    "IsBlocking": true,
    "IsPassing": true,
    "IsFailing": false,
    "NeedsAttention": false,
    "PassingSuiteKey": "suite-substrate",
    "NeedsAttentionSuiteKey": null
   },
   {
    "TestCaseId": "tc-xlate-procedure_executions-separation_held_under_test",
    "TestKind": "formula-translates",
    "Subject": "ProcedureExecutions.SeparationHeldUnderTest",
    "TargetTable": "ProcedureExecutions",
    "TargetField": "SeparationHeldUnderTest",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ProcedureExecutions.SeparationHeldUnderTest",
    "IsBlocking": true,
    "IsPassing": true,
    "IsFailing": false,
    "NeedsAttention": false,
    "PassingSuiteKey": "suite-substrate",
    "NeedsAttentionSuiteKey": null
   },
   {
    "TestCaseId": "tc-xlate-procedure_executions-separation_is_vacuously_green",
    "TestKind": "formula-translates",
    "Subject"</t>
  </si>
  <si>
    <t xml:space="preserve">: "ProcedureExecutions.SeparationIsVacuouslyGreen",
    "TargetTable": "ProcedureExecutions",
    "TargetField": "SeparationIsVacuouslyGreen",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ProcedureExecutions.SeparationIsVacuouslyGreen",
    "IsBlocking": true,
    "IsPassing": true,
    "IsFailing": false,
    "NeedsAttention": false,
    "PassingSuiteKey": "suite-substrate",
    "NeedsAttentionSuiteKey": null
   },
   {
    "TestCaseId": "tc-xlate-procedure_executions-separation_assurance_note",
    "TestKind": "formula-translates",
    "Subject": "ProcedureExecutions.SeparationAssuranceNote",
    "TargetTable": "ProcedureExecutions",
    "TargetField": "SeparationAssuranceNote",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ProcedureExecutions.SeparationAssuranceNote",
    "IsBlocking": true,
    "IsPassing": true,
    "IsFailing": false,
    "NeedsAttention": false,
    "PassingSuiteKey": "suite-substrate",
    "NeedsAttentionSuiteKey": null
   },
   {
    "TestCaseId": "tc-xlate-procedure_executions-ungoverned_divergence_count",
    "TestKind": "formula-translates",
    "Subject": "ProcedureExecutions.UngovernedDivergenceCount",
    "TargetTable": "ProcedureExecutions",
    "TargetField": "UngovernedDivergenceCount",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ProcedureExecutions.UngovernedDivergenceCount",
    "IsBlocking": true,
    "IsPassing": true,
    "IsFailing": false,
    "NeedsAttention": false,
    "PassingSuiteKey": "suite-substrate",
    "NeedsAttentionSuiteKey": null
   },
   {
    "TestCaseId": "tc-xlate-procedure_executions-divergence_was_fully_governed",
    "TestKind": "formula-translates",
    "Subject": "ProcedureExecutions.DivergenceWasFullyGoverned",
    "TargetTable": "ProcedureExecutions",
    "TargetField": "DivergenceWasFullyGoverned",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ProcedureExecutions.DivergenceWasFullyGoverned",
    "IsBlocking": true,
    "IsPassing": true,
    "IsFailing": false,
    "NeedsAttention": false,
    "PassingSuiteKey": "suite-substrate",
    "NeedsAttentionSuiteKey": null
   },
   {
    "TestCaseId": "tc-xlate-procedure_executions-computedly_witnessed_control_count",
    "TestKind": "formula-translates",
    "Subject": "ProcedureExecutions.ComputedlyWitnessedControlCount",
    "TargetTable": "ProcedureExecutions",
    "TargetField": "ComputedlyWitnessedControlCount",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ProcedureExecutions.ComputedlyWitnessedControlCount",
    "IsBlocking": true,
    "IsPassing": true,
    "IsFailing": false,
    "NeedsAttention": false,
    "PassingSuiteKey": "suite-substrate",
    "NeedsAttentionSuiteKey": null
   },
   {
    "TestCaseId": "tc-xlate-procedure_executions-evaluated_control_count",
    "TestKind": "formula-translates",
    "Subject": "ProcedureExecutions.EvaluatedControlCount",
    "TargetTable": "ProcedureExecutions",
    "TargetField": "EvaluatedControlCount",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ProcedureExecutions.EvaluatedControlCount",
    "IsBlocking": true,
    "IsPassing": true,
    "IsFailing": false,
    "NeedsAttention": false,
    "PassingSuiteKey": "suite-substrate",
    "NeedsAttentionSuiteKey": null
   },
   {
    "TestCaseId": "tc-xlate-procedure_executions-computed_assurance_ratio",
    "TestKind": "formula-translates",
    "Subject": "ProcedureExecutions.ComputedAssuranceRatio",
    "TargetTable": "ProcedureExecutions",
    "TargetField": "ComputedAssuranceRatio",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ProcedureExecutions.ComputedAssuranceRatio",
    "IsBlocking": true,
    "IsPassing": true,
    "IsFailing": false,
    "NeedsAttention": false,
    "PassingSuiteKey": "suite-substrate",
    "NeedsAttentionSuiteKey": null
   },
   {
    "TestCaseId": "tc-xlate-procedure_executions-interested_party_assertion_count",
    "TestKind": "formula-translates",
    "Subject": "ProcedureExecutions.InterestedPartyAssertionCount",
    "TargetTable": "ProcedureExecutions",
    "TargetField": "InterestedPartyAssertionCount",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ProcedureExecutions.InterestedPartyAssertionCount",
    "IsBlocking": true,
    "IsPassing": true,
    "IsFailing": false,
    "NeedsAttention": false,
    "PassingSuiteKey": "suite-substrate",
    "NeedsAttentionSuiteKey": null
   },
   {
    "TestCaseId": "tc-xlate-procedure_executions-assurance_grade",
    "TestKind": "formula-translates",
    "Subject": "ProcedureExecutions.AssuranceGrade",
    "TargetTable": "ProcedureExecutions",
    "TargetField": "AssuranceGrade",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ProcedureExecutions.AssuranceGrade",
    "IsBlocking": true,
    "IsPassing": true,
    "IsFailing": false,
    "NeedsAttention": false,
    "PassingSuiteKey": "suite-substrate",
    "NeedsAttentionSuiteKey": null
   },
   {
    "TestCaseId": "tc-xlate-procedure_executions-attestation_would_be_weakly_based",
    "TestKind": "formula-translates",
    "Subject": "ProcedureExecutions.AttestationWouldBeWeaklyBased",
    "TargetTable": "ProcedureExecutions",
    "TargetField": "AttestationWouldBeWeaklyBased",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ProcedureExecutions.AttestationWouldBeWeaklyBased",
    "IsBlocking": true,
    "IsPassing": true,
    "IsFailing": false,
    "NeedsAttention": false,
    "PassingSuiteKey": "suite-substrate",
    "NeedsAttentionSuiteKey": null
   },
   {
    "TestCaseId": "tc-xlate-procedure_executions-independent_human_observation_count",
    "TestKind": "formula-translates",
    "Subject": "ProcedureExecutions.IndependentHumanObservationCount",
    "TargetTable": "ProcedureExecutions",
    "TargetField": "IndependentHumanObservationCount",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ProcedureExecutions.IndependentHumanObservationCount",
    "IsBlocking": true,
    "IsPassing": true,
    "IsFailing": false,
    "NeedsAttention": false,
    "PassingSuiteKey": "suite-substrate",
    "NeedsAttentionSuiteKey": null
   },
   {
    "TestCaseId": "tc-xlate-procedure_executions-has_any_independent_observation",
    "TestKind": "formula-translates",
    "Subject": "ProcedureExecutions.HasAnyIndependentObservation",
    "TargetTable": "ProcedureExecutions",
    "TargetField": "HasAnyIndependentObservation",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ProcedureExecutions.HasAnyIndependentObservation",
    "IsBlocking": true,
    "IsPassing": true,
    "IsFailing": false,
    "NeedsAttention": false,
    "PassingSuiteKey": "suite-substrate",
    "NeedsAttentionSuiteKey": null
   },
   {
    "TestCaseId": "tc-xlate-procedure_executions-self_attested_approval_count",
    "TestKind": "formula-translates",
    "Subject": "ProcedureExecutions.SelfAttestedApprovalCount",
    "TargetTable": "ProcedureExecutions",
    "TargetField": "SelfAttestedApprovalCount",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ProcedureExecutions.SelfAttestedApprovalCount",
    "IsBlocking": true,
    "IsPassing": true,
    "IsFailing": false,
    "NeedsAttention": false,
    "PassingSuiteKey": "suite-substrate",
    "NeedsAttentionSuiteKey": null
   },
   {
    "TestCaseId": "tc-xlate-procedure_executions-assurance_chain_is_circular",
    "TestKind": "formula-translates",
    "Subject": "ProcedureExecutions.AssuranceChainIsCircular",
    "TargetTable": "ProcedureExecutions",
    "TargetField": "AssuranceChainIsCircular",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ProcedureExecutions.AssuranceChainIsCircular",
    "IsBlocking": true,
    "IsPassing": true,
    "IsFailing": false,
    "NeedsAttention": false,
    "PassingSuiteKey": "suite-substrate",
    "NeedsAttentionSuiteKey": null
   },
   {
    "TestCaseId": "tc-xlate-procedure_executions-latest_attestation_instant",
    "TestKind": "formula-translates",
    "Subject": "ProcedureExecutions.LatestAttestationInstant",
    "TargetTable": "ProcedureExecutions",
    "TargetField": "LatestAttestationInstant",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ProcedureExecutions.LatestAttestationInstant",
    "IsBlocking": true,
    "IsPassing": true,
    "IsFailing": false,
    "NeedsAttention": false,
    "PassingSuiteKey": "suite-substrate",
    "NeedsAttentionSuiteKey": null
   },
   {
    "TestCaseId": "tc-xlate-procedure_executions-has_been_attested",
    "TestKind": "formula-translates",
    "Subject": "ProcedureExecutions.HasBeenAttested",
    "TargetTable": "ProcedureExecutions",
    "TargetField": "HasBeenAttested",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ProcedureExecutions.HasBeenAttested",
    "IsBlocking": true,
    "IsPassing": true,
    "IsFailing": false,
    "NeedsAttention": false,
    "PassingSuiteKey": "suite-substrate",
    "NeedsAttentionSuiteKey": null
   },
   {
    "TestCaseId": "tc-xlate-procedure_executions-attestation_count",
    "TestKind": "formula-translates",
    "Subject": "ProcedureExecutions.AttestationCount",
    "TargetTable": "ProcedureExecutions",
    "TargetField": "AttestationCount",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ProcedureExecutions.AttestationCount",
    "IsBlocking": true,
    "IsPassing": true,
    "IsFailing": false,
    "NeedsAttention": false,
    "PassingSuiteKey": "suite-substrate",
    "NeedsAttentionSuiteKey": null
   },
   {
    "TestCaseId": "tc-xlate-procedure_executions-post_attestation_score_count",
    "TestKind": "formula-translates",
    "Subject": "ProcedureExecutions.PostAttestationScoreCount",
    "TargetTable": "ProcedureExecutions",
    "TargetField": "PostAttestationScoreCount",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ProcedureExecutions.PostAttestationScoreCount",
    "IsBlocking": true,
    "IsPassing": true,
    "IsFailing": false,
    "NeedsAttention": false,
    "PassingSuiteKey": "suite-substrate",
    "NeedsAttentionSuiteKey": null
   },
   {
    "TestCaseId": "tc-xlate-procedure_executions-basis_changed_after_signature",
    "TestKind": "formula-translates",
    "Subject": "ProcedureExecutions.BasisChangedAfterSignature",
    "TargetTable": "ProcedureExecutions",
    "TargetField": "BasisChangedAfterSignature",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ProcedureExecutions.BasisChangedAfterSignature",
    "IsBlocking": true,
    "IsPassing": true,
    "IsFailing": false,
    "NeedsAttention": false,
    "PassingSuiteKey": "suite-substrate",
    "NeedsAttentionSuiteKey": null
   },
   {
    "TestCaseId": "tc-xlate-procedure_executions-requires_re_attestation",
    "TestKind": "formula-translates",
    "Subject": "ProcedureExecutions.RequiresReAttestation",
    "TargetTable": "ProcedureExecutions",
    "TargetField": "RequiresReAttestation",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ProcedureExecutions.RequiresReAttestation",
    "IsBlocking": true,
    "IsPassing": true,
    "IsFailing": false,
    "NeedsAttention": false,
    "PassingSuiteKey": "suite-substrate",
    "NeedsAttentionSuiteKey": null
   },
   {
    "TestCaseId": "tc-xlate-procedure_executions-intended_recipient_count",
    "TestKind": "formula-translates",
    "Subject": "ProcedureExecutions.IntendedRecipientCount",
    "TargetTable": "ProcedureExecutions",
    "TargetField": "IntendedRecipientCount",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ProcedureExecutions.IntendedRecipientCount",
    "IsBlocking": true,
    "IsPassing": true,
    "IsFailing": false,
    "NeedsAttention": false,
    "PassingSuiteKey": "suite-substrate",
    "NeedsAttentionSuiteKey": null
   },
   {
    "TestCaseId": "tc-xlate-procedure_executions-reached_recipient_count",
    "TestKind": "formula-translates",
    "Subject": "ProcedureExecutions.ReachedRecipientCount",
    "TargetTable": "ProcedureExecutions",
    "TargetField": "ReachedRecipientCount",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ProcedureExecutions.ReachedRecipientCount",
    "IsBlocking": true,
    "IsPassing": true,
    "IsFailing": false,
    "NeedsAttention": false,
    "PassingSuiteKey": "suite-substrate",
    "NeedsAttentionSuiteKey": null
   },
   {
    "TestCaseId": "tc-xlate-procedure_executions-silently_dropped_count",
    "TestKind": "formula-translates",
    "Subject": "ProcedureExecutions.SilentlyDroppedCount",
    "TargetTable": "ProcedureExecutions",
    "TargetField": "SilentlyDroppedCount",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ProcedureExecutions.SilentlyDroppedCount",
    "IsBlocking": true,
    "IsPassing": true,
    "IsFailing": false,
    "NeedsAttention": false,
    "PassingSuiteKey": "suite-substrate",
    "NeedsAttentionSuiteKey": null
   },
   {
    "TestCaseId": "tc-xlate-procedure_executions-delivery_yield_percent",
    "TestKind": "formula-translates",
    "Subject": "ProcedureExecutions.DeliveryYieldPercent",
    "TargetTable": "ProcedureExecutions",
    "TargetField": "DeliveryYieldPercent",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ProcedureExecutions.DeliveryYieldPercent",
    "IsBlocking": true,
    "IsPassing": true,
    "IsFailing": false,
    "NeedsAttention": false,
    "PassingSuiteKey": "suite-substrate",
    "NeedsAttentionSuiteKey": null
   },
   {
    "TestCaseId": "tc-xlate-procedure_executions-campaign_silently_lost_audience",
    "TestKind": "formula-translates",
    "Subject": "ProcedureExecutions.CampaignSilentlyLostAudience",
    "TargetTable": "ProcedureExecutions",
    "TargetField": "CampaignSilentlyLostAudience",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ProcedureExecutions.CampaignSilentlyLostAudience",
    "IsBlocking": true,
    "IsPassing": true,
    "IsFailing": false,
    "NeedsAttention": false,
    "PassingSuiteKey": "suite-substrate",
    "NeedsAttentionSuiteKey": null
   },
   {
    "TestCaseId": "tc-xlate-procedure_executions-unrecorded_refusal_count",
    "TestKind": "formula-translates",
    "Subject": "ProcedureExecutions.UnrecordedRefusalCount",
    "TargetTable": "ProcedureExecutions",
    "TargetField": "UnrecordedRefusalCount",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ProcedureExecutions.UnrecordedRefusalCount",
    "IsBlocking": true,
    "IsPassing": true,
    "IsFailing": false,
    "NeedsAttention": false,
    "PassingSuiteKey": "suite-substrate",
    "NeedsAttentionSuiteKey": null
   },
   {
    "TestCaseId": "tc-xlate-procedure_executions-has_unrecorded_refusals",
    "TestKind": "formula-translates",
    "Subject": "ProcedureExecutions.HasUnrecordedRefusals",
    "TargetTable": "ProcedureExecutions",
    "TargetField": "HasUnrecordedRefusals",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ProcedureExecutions.HasUnrecordedRefusals",
    "IsBlocking": true,
    "IsPassing": true,
    "IsFailing": false,
    "NeedsAttention": false,
    "PassingSuiteKey": "suite-substrate",
    "NeedsAttentionSuiteKey": null
   },
   {
    "TestCaseId": "tc-xlate-procedure_executions-independently_confirmed_intent_count",
    "TestKind": "formula-translates",
    "Subject": "ProcedureExecutions.IndependentlyConfirmedIntentCount",
    "TargetTable": "ProcedureExecutions",
    "TargetField": "IndependentlyConfirmedIntentCount",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ProcedureExecutions.IndependentlyConfirmedIntentCount",
    "IsBlocking": true,
    "IsPassing": true,
    "IsFailing": false,
    "NeedsAttention": false,
    "PassingSuiteKey": "suite-substrate",
    "NeedsAttentionSuiteKey": null
   },
   {
    "TestCaseId": "tc-xlate-procedure_executions-send_decisions_are_entirely_self_witnessed",
    "TestKind": "formula-translates",
    "Subject": "ProcedureExecutions.SendDecisionsAreEntirelySelfWitnessed",
    "TargetTable": "ProcedureExecutions",
    "TargetField": "SendDecisionsAreEntirelySelfWitnessed",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ProcedureExecutions.SendDecisionsAreEntirelySelfWitnessed",
    "IsBlocking": true,
    "IsPassing": true,
    "IsFailing": false,
    "NeedsAttention": false,
    "PassingSuiteKey": "suite-substrate",
    "NeedsAttentionSuiteKey": null
   },
   {
    "TestCaseId": "tc-xlate-step_executions-name",
    "TestKind": "formula-translates",
    "Subject": "StepExecutions.Name",
    "TargetTable": "StepExecutions",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StepExecutions.Name",
    "IsBlocking": true,
    "IsPassing": true,
    "IsFailing": false,
    "NeedsAttention": false,
    "PassingSuiteKey": "suite-substrate",
    "NeedsAttentionSuiteKey": null
   },
   {
    "TestCaseId": "tc-xlate-step_executions-actual_duration_minutes",
    "TestKind": "formula-translates",
    "Subject": "StepExecutions.ActualDurationMinutes",
    "TargetTable": "StepExecutions",
    "TargetField": "ActualDurationMinutes",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StepExecutions.ActualDurationMinutes",
    "IsBlocking": true,
    "IsPassing": true,
    "IsFailing": false,
    "NeedsAttention": false,
    "PassingSuiteKey": "suite-substrate",
    "NeedsAttentionSuiteKey": null
   },
   {
    "TestCaseId": "tc-xlate-step_executions-expected_duration_minutes",
    "TestKind": "formula-translates",
    "Subject": "StepExecutions.ExpectedDurationMinutes",
    "TargetTable": "StepExecutions",
    "TargetField": "ExpectedDurationMinutes",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StepExecutions.ExpectedDurationMinutes",
    "IsBlocking": true,
    "IsPassing": true,
    "IsFailing": false,
    "NeedsAttention": false,
    "PassingSuiteKey": "suite-substrate",
    "NeedsAttentionSuiteKey": null
   },
   {
    "TestCaseId": "tc-xlate-step_executions-is_late",
    "TestKind": "formula-translates",
    "Subject": "StepExecutions.IsLate",
    "TargetTable": "StepExecutions",
    "TargetField": "IsLate",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StepExecutions.IsLate",
    "IsBlocking": true,
    "IsPassing": true,
    "IsFailing": false,
    "NeedsAttention": false,
    "PassingSuiteKey": "suite-substrate",
    "NeedsAttentionSuiteKey": null
   },
   {
    "TestCaseId": "tc-xlate-step_executions-blocking_unmet_count",
    "TestKind": "formula-translates",
    "Subject": "StepExecutions.BlockingUnmetCount",
    "TargetTable": "StepExecutions",
    "TargetField": "BlockingUnmetCount",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StepExecutions.BlockingUnmetCount",
    "IsBlocking": true,
    "IsPassing": true,
    "IsFailing": false,
    "NeedsAttention": false,
    "PassingSuiteKey": "suite-substrate",
    "NeedsAttentionSuiteKey": null
   },
   {
    "TestCaseId": "tc-xlate-step_executions-blocking_unmet_count_safe",
    "TestKind": "formula-translates",
    "Subject": "StepExecutions.BlockingUnmetCountSafe",
    "TargetTable": "StepExecutions",
    "TargetField": "BlockingUnmetCountSafe",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StepExecutions.BlockingUnmetCountSafe",
    "IsBlocking": true,
    "IsPassing": true,
    "IsFailing": false,
    "NeedsAttention": false,
    "PassingSuiteKey": "suite-substrate",
    "NeedsAttentionSuiteKey": null
   },
   {
    "TestCaseId": "tc-xlate-step_executions-proceeded_past_blocking_control",
    "TestKind": "formula-translates",
    "Subject": "StepExecutions.ProceededPastBlockingControl",
    "TargetTable": "StepExecutions",
    "TargetField": "ProceededPastBlockingControl",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t>
  </si>
  <si>
    <t xml:space="preserve">,
    "Name": "formula-translates: StepExecutions.ProceededPastBlockingControl",
    "IsBlocking": true,
    "IsPassing": true,
    "IsFailing": false,
    "NeedsAttention": false,
    "PassingSuiteKey": "suite-substrate",
    "NeedsAttentionSuiteKey": null
   },
   {
    "TestCaseId": "tc-xlate-step_executions-expected_blocking_count",
    "TestKind": "formula-translates",
    "Subject": "StepExecutions.ExpectedBlockingCount",
    "TargetTable": "StepExecutions",
    "TargetField": "ExpectedBlockingCount",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StepExecutions.ExpectedBlockingCount",
    "IsBlocking": true,
    "IsPassing": true,
    "IsFailing": false,
    "NeedsAttention": false,
    "PassingSuiteKey": "suite-substrate",
    "NeedsAttentionSuiteKey": null
   },
   {
    "TestCaseId": "tc-xlate-step_executions-evaluated_blocking_count",
    "TestKind": "formula-translates",
    "Subject": "StepExecutions.EvaluatedBlockingCount",
    "TargetTable": "StepExecutions",
    "TargetField": "EvaluatedBlockingCount",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StepExecutions.EvaluatedBlockingCount",
    "IsBlocking": true,
    "IsPassing": true,
    "IsFailing": false,
    "NeedsAttention": false,
    "PassingSuiteKey": "suite-substrate",
    "NeedsAttentionSuiteKey": null
   },
   {
    "TestCaseId": "tc-xlate-step_executions-unevaluated_blocking_count",
    "TestKind": "formula-translates",
    "Subject": "StepExecutions.UnevaluatedBlockingCount",
    "TargetTable": "StepExecutions",
    "TargetField": "UnevaluatedBlockingCount",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StepExecutions.UnevaluatedBlockingCount",
    "IsBlocking": true,
    "IsPassing": true,
    "IsFailing": false,
    "NeedsAttention": false,
    "PassingSuiteKey": "suite-substrate",
    "NeedsAttentionSuiteKey": null
   },
   {
    "TestCaseId": "tc-xlate-step_executions-has_unevaluated_blocking_control",
    "TestKind": "formula-translates",
    "Subject": "StepExecutions.HasUnevaluatedBlockingControl",
    "TargetTable": "StepExecutions",
    "TargetField": "HasUnevaluatedBlockingControl",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StepExecutions.HasUnevaluatedBlockingControl",
    "IsBlocking": true,
    "IsPassing": true,
    "IsFailing": false,
    "NeedsAttention": false,
    "PassingSuiteKey": "suite-substrate",
    "NeedsAttentionSuiteKey": null
   },
   {
    "TestCaseId": "tc-xlate-step_executions-stale_authoritative_source_count",
    "TestKind": "formula-translates",
    "Subject": "StepExecutions.StaleAuthoritativeSourceCount",
    "TargetTable": "StepExecutions",
    "TargetField": "StaleAuthoritativeSourceCount",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StepExecutions.StaleAuthoritativeSourceCount",
    "IsBlocking": true,
    "IsPassing": true,
    "IsFailing": false,
    "NeedsAttention": false,
    "PassingSuiteKey": "suite-substrate",
    "NeedsAttentionSuiteKey": null
   },
   {
    "TestCaseId": "tc-xlate-step_executions-ran_on_stale_authoritative_source",
    "TestKind": "formula-translates",
    "Subject": "StepExecutions.RanOnStaleAuthoritativeSource",
    "TargetTable": "StepExecutions",
    "TargetField": "RanOnStaleAuthoritativeSource",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StepExecutions.RanOnStaleAuthoritativeSource",
    "IsBlocking": true,
    "IsPassing": true,
    "IsFailing": false,
    "NeedsAttention": false,
    "PassingSuiteKey": "suite-substrate",
    "NeedsAttentionSuiteKey": null
   },
   {
    "TestCaseId": "tc-xlate-step_executions-has_deviation_note",
    "TestKind": "formula-translates",
    "Subject": "StepExecutions.HasDeviationNote",
    "TargetTable": "StepExecutions",
    "TargetField": "HasDeviationNote",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StepExecutions.HasDeviationNote",
    "IsBlocking": true,
    "IsPassing": true,
    "IsFailing": false,
    "NeedsAttention": false,
    "PassingSuiteKey": "suite-substrate",
    "NeedsAttentionSuiteKey": null
   },
   {
    "TestCaseId": "tc-xlate-step_executions-is_late_and_unexplained",
    "TestKind": "formula-translates",
    "Subject": "StepExecutions.IsLateAndUnexplained",
    "TargetTable": "StepExecutions",
    "TargetField": "IsLateAndUnexplained",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StepExecutions.IsLateAndUnexplained",
    "IsBlocking": true,
    "IsPassing": true,
    "IsFailing": false,
    "NeedsAttention": false,
    "PassingSuiteKey": "suite-substrate",
    "NeedsAttentionSuiteKey": null
   },
   {
    "TestCaseId": "tc-xlate-step_executions-available_exception_count_for_step",
    "TestKind": "formula-translates",
    "Subject": "StepExecutions.AvailableExceptionCountForStep",
    "TargetTable": "StepExecutions",
    "TargetField": "AvailableExceptionCountForStep",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StepExecutions.AvailableExceptionCountForStep",
    "IsBlocking": true,
    "IsPassing": true,
    "IsFailing": false,
    "NeedsAttention": false,
    "PassingSuiteKey": "suite-substrate",
    "NeedsAttentionSuiteKey": null
   },
   {
    "TestCaseId": "tc-xlate-step_executions-had_uninvoked_exception_available",
    "TestKind": "formula-translates",
    "Subject": "StepExecutions.HadUninvokedExceptionAvailable",
    "TargetTable": "StepExecutions",
    "TargetField": "HadUninvokedExceptionAvailable",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StepExecutions.HadUninvokedExceptionAvailable",
    "IsBlocking": true,
    "IsPassing": true,
    "IsFailing": false,
    "NeedsAttention": false,
    "PassingSuiteKey": "suite-substrate",
    "NeedsAttentionSuiteKey": null
   },
   {
    "TestCaseId": "tc-xlate-step_executions-expected_verification_count",
    "TestKind": "formula-translates",
    "Subject": "StepExecutions.ExpectedVerificationCount",
    "TargetTable": "StepExecutions",
    "TargetField": "ExpectedVerificationCount",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StepExecutions.ExpectedVerificationCount",
    "IsBlocking": true,
    "IsPassing": true,
    "IsFailing": false,
    "NeedsAttention": false,
    "PassingSuiteKey": "suite-substrate",
    "NeedsAttentionSuiteKey": null
   },
   {
    "TestCaseId": "tc-xlate-step_executions-performed_verification_count",
    "TestKind": "formula-translates",
    "Subject": "StepExecutions.PerformedVerificationCount",
    "TargetTable": "StepExecutions",
    "TargetField": "PerformedVerificationCount",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StepExecutions.PerformedVerificationCount",
    "IsBlocking": true,
    "IsPassing": true,
    "IsFailing": false,
    "NeedsAttention": false,
    "PassingSuiteKey": "suite-substrate",
    "NeedsAttentionSuiteKey": null
   },
   {
    "TestCaseId": "tc-xlate-step_executions-skipped_verification_count",
    "TestKind": "formula-translates",
    "Subject": "StepExecutions.SkippedVerificationCount",
    "TargetTable": "StepExecutions",
    "TargetField": "SkippedVerificationCount",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StepExecutions.SkippedVerificationCount",
    "IsBlocking": true,
    "IsPassing": true,
    "IsFailing": false,
    "NeedsAttention": false,
    "PassingSuiteKey": "suite-substrate",
    "NeedsAttentionSuiteKey": null
   },
   {
    "TestCaseId": "tc-xlate-step_executions-has_skipped_verification",
    "TestKind": "formula-translates",
    "Subject": "StepExecutions.HasSkippedVerification",
    "TargetTable": "StepExecutions",
    "TargetField": "HasSkippedVerification",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StepExecutions.HasSkippedVerification",
    "IsBlocking": true,
    "IsPassing": true,
    "IsFailing": false,
    "NeedsAttention": false,
    "PassingSuiteKey": "suite-substrate",
    "NeedsAttentionSuiteKey": null
   },
   {
    "TestCaseId": "tc-xlate-step_executions-claims_pass_without_evidence",
    "TestKind": "formula-translates",
    "Subject": "StepExecutions.ClaimsPassWithoutEvidence",
    "TargetTable": "StepExecutions",
    "TargetField": "ClaimsPassWithoutEvidence",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StepExecutions.ClaimsPassWithoutEvidence",
    "IsBlocking": true,
    "IsPassing": true,
    "IsFailing": false,
    "NeedsAttention": false,
    "PassingSuiteKey": "suite-substrate",
    "NeedsAttentionSuiteKey": null
   },
   {
    "TestCaseId": "tc-xlate-step_executions-step_is_preparation",
    "TestKind": "formula-translates",
    "Subject": "StepExecutions.StepIsPreparation",
    "TargetTable": "StepExecutions",
    "TargetField": "StepIsPreparation",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StepExecutions.StepIsPreparation",
    "IsBlocking": true,
    "IsPassing": true,
    "IsFailing": false,
    "NeedsAttention": false,
    "PassingSuiteKey": "suite-substrate",
    "NeedsAttentionSuiteKey": null
   },
   {
    "TestCaseId": "tc-xlate-step_executions-step_is_approval",
    "TestKind": "formula-translates",
    "Subject": "StepExecutions.StepIsApproval",
    "TargetTable": "StepExecutions",
    "TargetField": "StepIsApproval",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StepExecutions.StepIsApproval",
    "IsBlocking": true,
    "IsPassing": true,
    "IsFailing": false,
    "NeedsAttention": false,
    "PassingSuiteKey": "suite-substrate",
    "NeedsAttentionSuiteKey": null
   },
   {
    "TestCaseId": "tc-xlate-step_executions-preparer_agent_key",
    "TestKind": "formula-translates",
    "Subject": "StepExecutions.PreparerAgentKey",
    "TargetTable": "StepExecutions",
    "TargetField": "PreparerAgentKey",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StepExecutions.PreparerAgentKey",
    "IsBlocking": true,
    "IsPassing": true,
    "IsFailing": false,
    "NeedsAttention": false,
    "PassingSuiteKey": "suite-substrate",
    "NeedsAttentionSuiteKey": null
   },
   {
    "TestCaseId": "tc-xlate-step_executions-approver_agent_key",
    "TestKind": "formula-translates",
    "Subject": "StepExecutions.ApproverAgentKey",
    "TargetTable": "StepExecutions",
    "TargetField": "ApproverAgentKey",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StepExecutions.ApproverAgentKey",
    "IsBlocking": true,
    "IsPassing": true,
    "IsFailing": false,
    "NeedsAttention": false,
    "PassingSuiteKey": "suite-substrate",
    "NeedsAttentionSuiteKey": null
   },
   {
    "TestCaseId": "tc-xlate-step_executions-prepared_by_this_agent_count",
    "TestKind": "formula-translates",
    "Subject": "StepExecutions.PreparedByThisAgentCount",
    "TargetTable": "StepExecutions",
    "TargetField": "PreparedByThisAgentCount",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StepExecutions.PreparedByThisAgentCount",
    "IsBlocking": true,
    "IsPassing": true,
    "IsFailing": false,
    "NeedsAttention": false,
    "PassingSuiteKey": "suite-substrate",
    "NeedsAttentionSuiteKey": null
   },
   {
    "TestCaseId": "tc-xlate-step_executions-violates_separation_of_duties",
    "TestKind": "formula-translates",
    "Subject": "StepExecutions.ViolatesSeparationOfDuties",
    "TargetTable": "StepExecutions",
    "TargetField": "ViolatesSeparationOfDuties",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StepExecutions.ViolatesSeparationOfDuties",
    "IsBlocking": true,
    "IsPassing": true,
    "IsFailing": false,
    "NeedsAttention": false,
    "PassingSuiteKey": "suite-substrate",
    "NeedsAttentionSuiteKey": null
   },
   {
    "TestCaseId": "tc-xlate-step_executions-required_role_for_step",
    "TestKind": "formula-translates",
    "Subject": "StepExecutions.RequiredRoleForStep",
    "TargetTable": "StepExecutions",
    "TargetField": "RequiredRoleForStep",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StepExecutions.RequiredRoleForStep",
    "IsBlocking": true,
    "IsPassing": true,
    "IsFailing": false,
    "NeedsAttention": false,
    "PassingSuiteKey": "suite-substrate",
    "NeedsAttentionSuiteKey": null
   },
   {
    "TestCaseId": "tc-xlate-step_executions-executor_role_key",
    "TestKind": "formula-translates",
    "Subject": "StepExecutions.ExecutorRoleKey",
    "TargetTable": "StepExecutions",
    "TargetField": "ExecutorRoleKey",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StepExecutions.ExecutorRoleKey",
    "IsBlocking": true,
    "IsPassing": true,
    "IsFailing": false,
    "NeedsAttention": false,
    "PassingSuiteKey": "suite-substrate",
    "NeedsAttentionSuiteKey": null
   },
   {
    "TestCaseId": "tc-xlate-step_executions-executor_authority_count",
    "TestKind": "formula-translates",
    "Subject": "StepExecutions.ExecutorAuthorityCount",
    "TargetTable": "StepExecutions",
    "TargetField": "ExecutorAuthorityCount",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StepExecutions.ExecutorAuthorityCount",
    "IsBlocking": true,
    "IsPassing": true,
    "IsFailing": false,
    "NeedsAttention": false,
    "PassingSuiteKey": "suite-substrate",
    "NeedsAttentionSuiteKey": null
   },
   {
    "TestCaseId": "tc-xlate-step_executions-executor_held_required_role",
    "TestKind": "formula-translates",
    "Subject": "StepExecutions.ExecutorHeldRequiredRole",
    "TargetTable": "StepExecutions",
    "TargetField": "ExecutorHeldRequiredRole",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StepExecutions.ExecutorHeldRequiredRole",
    "IsBlocking": true,
    "IsPassing": true,
    "IsFailing": false,
    "NeedsAttention": false,
    "PassingSuiteKey": "suite-substrate",
    "NeedsAttentionSuiteKey": null
   },
   {
    "TestCaseId": "tc-xlate-step_executions-is_unauthorized_approval",
    "TestKind": "formula-translates",
    "Subject": "StepExecutions.IsUnauthorizedApproval",
    "TargetTable": "StepExecutions",
    "TargetField": "IsUnauthorizedApproval",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StepExecutions.IsUnauthorizedApproval",
    "IsBlocking": true,
    "IsPassing": true,
    "IsFailing": false,
    "NeedsAttention": false,
    "PassingSuiteKey": "suite-substrate",
    "NeedsAttentionSuiteKey": null
   },
   {
    "TestCaseId": "tc-xlate-step_executions-completed_execution_key",
    "TestKind": "formula-translates",
    "Subject": "StepExecutions.CompletedExecutionKey",
    "TargetTable": "StepExecutions",
    "TargetField": "CompletedExecutionKey",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StepExecutions.CompletedExecutionKey",
    "IsBlocking": true,
    "IsPassing": true,
    "IsFailing": false,
    "NeedsAttention": false,
    "PassingSuiteKey": "suite-substrate",
    "NeedsAttentionSuiteKey": null
   },
   {
    "TestCaseId": "tc-xlate-step_executions-control_breach_execution_key",
    "TestKind": "formula-translates",
    "Subject": "StepExecutions.ControlBreachExecutionKey",
    "TargetTable": "StepExecutions",
    "TargetField": "ControlBreachExecutionKey",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StepExecutions.ControlBreachExecutionKey",
    "IsBlocking": true,
    "IsPassing": true,
    "IsFailing": false,
    "NeedsAttention": false,
    "PassingSuiteKey": "suite-substrate",
    "NeedsAttentionSuiteKey": null
   },
   {
    "TestCaseId": "tc-xlate-step_executions-late_execution_key",
    "TestKind": "formula-translates",
    "Subject": "StepExecutions.LateExecutionKey",
    "TargetTable": "StepExecutions",
    "TargetField": "LateExecutionKey",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StepExecutions.LateExecutionKey",
    "IsBlocking": true,
    "IsPassing": true,
    "IsFailing": false,
    "NeedsAttention": false,
    "PassingSuiteKey": "suite-substrate",
    "NeedsAttentionSuiteKey": null
   },
   {
    "TestCaseId": "tc-xlate-step_executions-executor_agent_kind",
    "TestKind": "formula-translates",
    "Subject": "StepExecutions.ExecutorAgentKind",
    "TargetTable": "StepExecutions",
    "TargetField": "ExecutorAgentKind",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StepExecutions.ExecutorAgentKind",
    "IsBlocking": true,
    "IsPassing": true,
    "IsFailing": false,
    "NeedsAttention": false,
    "PassingSuiteKey": "suite-substrate",
    "NeedsAttentionSuiteKey": null
   },
   {
    "TestCaseId": "tc-xlate-step_executions-executor_is_human",
    "TestKind": "formula-translates",
    "Subject": "StepExecutions.ExecutorIsHuman",
    "TargetTable": "StepExecutions",
    "TargetField": "ExecutorIsHuman",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StepExecutions.ExecutorIsHuman",
    "IsBlocking": true,
    "IsPassing": true,
    "IsFailing": false,
    "NeedsAttention": false,
    "PassingSuiteKey": "suite-substrate",
    "NeedsAttentionSuiteKey": null
   },
   {
    "TestCaseId": "tc-xlate-step_executions-step_requires_human_confirmation",
    "TestKind": "formula-translates",
    "Subject": "StepExecutions.StepRequiresHumanConfirmation",
    "TargetTable": "StepExecutions",
    "TargetField": "StepRequiresHumanConfirmation",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StepExecutions.StepRequiresHumanConfirmation",
    "IsBlocking": true,
    "IsPassing": true,
    "IsFailing": false,
    "NeedsAttention": false,
    "PassingSuiteKey": "suite-substrate",
    "NeedsAttentionSuiteKey": null
   },
   {
    "TestCaseId": "tc-xlate-step_executions-non_human_ran_human_step",
    "TestKind": "formula-translates",
    "Subject": "StepExecutions.NonHumanRanHumanStep",
    "TargetTable": "StepExecutions",
    "TargetField": "NonHumanRanHumanStep",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StepExecutions.NonHumanRanHumanStep",
    "IsBlocking": true,
    "IsPassing": true,
    "IsFailing": false,
    "NeedsAttention": false,
    "PassingSuiteKey": "suite-substrate",
    "NeedsAttentionSuiteKey": null
   },
   {
    "TestCaseId": "tc-xlate-step_executions-non_human_approval",
    "TestKind": "formula-translates",
    "Subject": "StepExecutions.NonHumanApproval",
    "TargetTable": "StepExecutions",
    "TargetField": "NonHumanApproval",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StepExecutions.NonHumanApproval",
    "IsBlocking": true,
    "IsPassing": true,
    "IsFailing": false,
    "NeedsAttention": false,
    "PassingSuiteKey": "suite-substrate",
    "NeedsAttentionSuiteKey": null
   },
   {
    "TestCaseId": "tc-xlate-step_executions-unevaluated_blocking_execution_key",
    "TestKind": "formula-translates",
    "Subject": "StepExecutions.UnevaluatedBlockingExecutionKey",
    "TargetTable": "StepExecutions",
    "TargetField": "UnevaluatedBlockingExecutionKey",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StepExecutions.UnevaluatedBlockingExecutionKey",
    "IsBlocking": true,
    "IsPassing": true,
    "IsFailing": false,
    "NeedsAttention": false,
    "PassingSuiteKey": "suite-substrate",
    "NeedsAttentionSuiteKey": null
   },
   {
    "TestCaseId": "tc-xlate-step_executions-separation_violation_execution_key",
    "TestKind": "formula-translates",
    "Subject": "StepExecutions.SeparationViolationExecutionKey",
    "TargetTable": "StepExecutions",
    "TargetField": "SeparationViolationExecutionKey",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StepExecutions.SeparationViolationExecutionKey",
    "IsBlocking</t>
  </si>
  <si>
    <t xml:space="preserve">": true,
    "IsPassing": true,
    "IsFailing": false,
    "NeedsAttention": false,
    "PassingSuiteKey": "suite-substrate",
    "NeedsAttentionSuiteKey": null
   },
   {
    "TestCaseId": "tc-xlate-step_executions-self_witnessed_verification_count",
    "TestKind": "formula-translates",
    "Subject": "StepExecutions.SelfWitnessedVerificationCount",
    "TargetTable": "StepExecutions",
    "TargetField": "SelfWitnessedVerificationCount",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StepExecutions.SelfWitnessedVerificationCount",
    "IsBlocking": true,
    "IsPassing": true,
    "IsFailing": false,
    "NeedsAttention": false,
    "PassingSuiteKey": "suite-substrate",
    "NeedsAttentionSuiteKey": null
   },
   {
    "TestCaseId": "tc-xlate-step_executions-unbacked_verification_count",
    "TestKind": "formula-translates",
    "Subject": "StepExecutions.UnbackedVerificationCount",
    "TargetTable": "StepExecutions",
    "TargetField": "UnbackedVerificationCount",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StepExecutions.UnbackedVerificationCount",
    "IsBlocking": true,
    "IsPassing": true,
    "IsFailing": false,
    "NeedsAttention": false,
    "PassingSuiteKey": "suite-substrate",
    "NeedsAttentionSuiteKey": null
   },
   {
    "TestCaseId": "tc-xlate-step_executions-approval_rests_on_self_attestation",
    "TestKind": "formula-translates",
    "Subject": "StepExecutions.ApprovalRestsOnSelfAttestation",
    "TargetTable": "StepExecutions",
    "TargetField": "ApprovalRestsOnSelfAttestation",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StepExecutions.ApprovalRestsOnSelfAttestation",
    "IsBlocking": true,
    "IsPassing": true,
    "IsFailing": false,
    "NeedsAttention": false,
    "PassingSuiteKey": "suite-substrate",
    "NeedsAttentionSuiteKey": null
   },
   {
    "TestCaseId": "tc-xlate-step_executions-exception_invocation_count",
    "TestKind": "formula-translates",
    "Subject": "StepExecutions.ExceptionInvocationCount",
    "TargetTable": "StepExecutions",
    "TargetField": "ExceptionInvocationCount",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StepExecutions.ExceptionInvocationCount",
    "IsBlocking": true,
    "IsPassing": true,
    "IsFailing": false,
    "NeedsAttention": false,
    "PassingSuiteKey": "suite-substrate",
    "NeedsAttentionSuiteKey": null
   },
   {
    "TestCaseId": "tc-xlate-step_executions-ran_under_exception",
    "TestKind": "formula-translates",
    "Subject": "StepExecutions.RanUnderException",
    "TargetTable": "StepExecutions",
    "TargetField": "RanUnderException",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StepExecutions.RanUnderException",
    "IsBlocking": true,
    "IsPassing": true,
    "IsFailing": false,
    "NeedsAttention": false,
    "PassingSuiteKey": "suite-substrate",
    "NeedsAttentionSuiteKey": null
   },
   {
    "TestCaseId": "tc-xlate-step_executions-is_completed",
    "TestKind": "formula-translates",
    "Subject": "StepExecutions.IsCompleted",
    "TargetTable": "StepExecutions",
    "TargetField": "IsCompleted",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StepExecutions.IsCompleted",
    "IsBlocking": true,
    "IsPassing": true,
    "IsFailing": false,
    "NeedsAttention": false,
    "PassingSuiteKey": "suite-substrate",
    "NeedsAttentionSuiteKey": null
   },
   {
    "TestCaseId": "tc-xlate-step_executions-is_verification_passed",
    "TestKind": "formula-translates",
    "Subject": "StepExecutions.IsVerificationPassed",
    "TargetTable": "StepExecutions",
    "TargetField": "IsVerificationPassed",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StepExecutions.IsVerificationPassed",
    "IsBlocking": true,
    "IsPassing": true,
    "IsFailing": false,
    "NeedsAttention": false,
    "PassingSuiteKey": "suite-substrate",
    "NeedsAttentionSuiteKey": null
   },
   {
    "TestCaseId": "tc-xlate-step_executions-is_legal_review_step",
    "TestKind": "formula-translates",
    "Subject": "StepExecutions.IsLegalReviewStep",
    "TargetTable": "StepExecutions",
    "TargetField": "IsLegalReviewStep",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StepExecutions.IsLegalReviewStep",
    "IsBlocking": true,
    "IsPassing": true,
    "IsFailing": false,
    "NeedsAttention": false,
    "PassingSuiteKey": "suite-substrate",
    "NeedsAttentionSuiteKey": null
   },
   {
    "TestCaseId": "tc-xlate-step_executions-cleared_legal_review_key",
    "TestKind": "formula-translates",
    "Subject": "StepExecutions.ClearedLegalReviewKey",
    "TargetTable": "StepExecutions",
    "TargetField": "ClearedLegalReviewKey",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StepExecutions.ClearedLegalReviewKey",
    "IsBlocking": true,
    "IsPassing": true,
    "IsFailing": false,
    "NeedsAttention": false,
    "PassingSuiteKey": "suite-substrate",
    "NeedsAttentionSuiteKey": null
   },
   {
    "TestCaseId": "tc-xlate-step_executions-assigned_role",
    "TestKind": "formula-translates",
    "Subject": "StepExecutions.AssignedRole",
    "TargetTable": "StepExecutions",
    "TargetField": "AssignedRole",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StepExecutions.AssignedRole",
    "IsBlocking": true,
    "IsPassing": true,
    "IsFailing": false,
    "NeedsAttention": false,
    "PassingSuiteKey": "suite-substrate",
    "NeedsAttentionSuiteKey": null
   },
   {
    "TestCaseId": "tc-xlate-step_executions-role_current_agent",
    "TestKind": "formula-translates",
    "Subject": "StepExecutions.RoleCurrentAgent",
    "TargetTable": "StepExecutions",
    "TargetField": "RoleCurrentAgent",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StepExecutions.RoleCurrentAgent",
    "IsBlocking": true,
    "IsPassing": true,
    "IsFailing": false,
    "NeedsAttention": false,
    "PassingSuiteKey": "suite-substrate",
    "NeedsAttentionSuiteKey": null
   },
   {
    "TestCaseId": "tc-xlate-step_executions-executor_is_designated_agent",
    "TestKind": "formula-translates",
    "Subject": "StepExecutions.ExecutorIsDesignatedAgent",
    "TargetTable": "StepExecutions",
    "TargetField": "ExecutorIsDesignatedAgent",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StepExecutions.ExecutorIsDesignatedAgent",
    "IsBlocking": true,
    "IsPassing": true,
    "IsFailing": false,
    "NeedsAttention": false,
    "PassingSuiteKey": "suite-substrate",
    "NeedsAttentionSuiteKey": null
   },
   {
    "TestCaseId": "tc-xlate-step_executions-inputs_were_fresh_at_run",
    "TestKind": "formula-translates",
    "Subject": "StepExecutions.InputsWereFreshAtRun",
    "TargetTable": "StepExecutions",
    "TargetField": "InputsWereFreshAtRun",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StepExecutions.InputsWereFreshAtRun",
    "IsBlocking": true,
    "IsPassing": true,
    "IsFailing": false,
    "NeedsAttention": false,
    "PassingSuiteKey": "suite-substrate",
    "NeedsAttentionSuiteKey": null
   },
   {
    "TestCaseId": "tc-xlate-step_executions-ran_on_stale_inputs",
    "TestKind": "formula-translates",
    "Subject": "StepExecutions.RanOnStaleInputs",
    "TargetTable": "StepExecutions",
    "TargetField": "RanOnStaleInputs",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StepExecutions.RanOnStaleInputs",
    "IsBlocking": true,
    "IsPassing": true,
    "IsFailing": false,
    "NeedsAttention": false,
    "PassingSuiteKey": "suite-substrate",
    "NeedsAttentionSuiteKey": null
   },
   {
    "TestCaseId": "tc-xlate-step_executions-unresolved_issue_count",
    "TestKind": "formula-translates",
    "Subject": "StepExecutions.UnresolvedIssueCount",
    "TargetTable": "StepExecutions",
    "TargetField": "UnresolvedIssueCount",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StepExecutions.UnresolvedIssueCount",
    "IsBlocking": true,
    "IsPassing": true,
    "IsFailing": false,
    "NeedsAttention": false,
    "PassingSuiteKey": "suite-substrate",
    "NeedsAttentionSuiteKey": null
   },
   {
    "TestCaseId": "tc-xlate-step_executions-has_deviation",
    "TestKind": "formula-translates",
    "Subject": "StepExecutions.HasDeviation",
    "TargetTable": "StepExecutions",
    "TargetField": "HasDeviation",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StepExecutions.HasDeviation",
    "IsBlocking": true,
    "IsPassing": true,
    "IsFailing": false,
    "NeedsAttention": false,
    "PassingSuiteKey": "suite-substrate",
    "NeedsAttentionSuiteKey": null
   },
   {
    "TestCaseId": "tc-xlate-step_executions-is_clean",
    "TestKind": "formula-translates",
    "Subject": "StepExecutions.IsClean",
    "TargetTable": "StepExecutions",
    "TargetField": "IsClean",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StepExecutions.IsClean",
    "IsBlocking": true,
    "IsPassing": true,
    "IsFailing": false,
    "NeedsAttention": false,
    "PassingSuiteKey": "suite-substrate",
    "NeedsAttentionSuiteKey": null
   },
   {
    "TestCaseId": "tc-xlate-step_executions-procedure_execution_when_unclean",
    "TestKind": "formula-translates",
    "Subject": "StepExecutions.ProcedureExecutionWhenUnclean",
    "TargetTable": "StepExecutions",
    "TargetField": "ProcedureExecutionWhenUnclean",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StepExecutions.ProcedureExecutionWhenUnclean",
    "IsBlocking": true,
    "IsPassing": true,
    "IsFailing": false,
    "NeedsAttention": false,
    "PassingSuiteKey": "suite-substrate",
    "NeedsAttentionSuiteKey": null
   },
   {
    "TestCaseId": "tc-xlate-step_executions-evaluated_requirement_count",
    "TestKind": "formula-translates",
    "Subject": "StepExecutions.EvaluatedRequirementCount",
    "TargetTable": "StepExecutions",
    "TargetField": "EvaluatedRequirementCount",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StepExecutions.EvaluatedRequirementCount",
    "IsBlocking": true,
    "IsPassing": true,
    "IsFailing": false,
    "NeedsAttention": false,
    "PassingSuiteKey": "suite-substrate",
    "NeedsAttentionSuiteKey": null
   },
   {
    "TestCaseId": "tc-xlate-step_executions-required_blocking_count",
    "TestKind": "formula-translates",
    "Subject": "StepExecutions.RequiredBlockingCount",
    "TargetTable": "StepExecutions",
    "TargetField": "RequiredBlockingCount",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StepExecutions.RequiredBlockingCount",
    "IsBlocking": true,
    "IsPassing": true,
    "IsFailing": false,
    "NeedsAttention": false,
    "PassingSuiteKey": "suite-substrate",
    "NeedsAttentionSuiteKey": null
   },
   {
    "TestCaseId": "tc-xlate-step_executions-has_unevaluated_blocking_requirement",
    "TestKind": "formula-translates",
    "Subject": "StepExecutions.HasUnevaluatedBlockingRequirement",
    "TargetTable": "StepExecutions",
    "TargetField": "HasUnevaluatedBlockingRequirement",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StepExecutions.HasUnevaluatedBlockingRequirement",
    "IsBlocking": true,
    "IsPassing": true,
    "IsFailing": false,
    "NeedsAttention": false,
    "PassingSuiteKey": "suite-substrate",
    "NeedsAttentionSuiteKey": null
   },
   {
    "TestCaseId": "tc-xlate-step_executions-executing_agent_kind",
    "TestKind": "formula-translates",
    "Subject": "StepExecutions.ExecutingAgentKind",
    "TargetTable": "StepExecutions",
    "TargetField": "ExecutingAgentKind",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StepExecutions.ExecutingAgentKind",
    "IsBlocking": true,
    "IsPassing": true,
    "IsFailing": false,
    "NeedsAttention": false,
    "PassingSuiteKey": "suite-substrate",
    "NeedsAttentionSuiteKey": null
   },
   {
    "TestCaseId": "tc-xlate-step_executions-was_executed_by_software",
    "TestKind": "formula-translates",
    "Subject": "StepExecutions.WasExecutedBySoftware",
    "TargetTable": "StepExecutions",
    "TargetField": "WasExecutedBySoftware",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StepExecutions.WasExecutedBySoftware",
    "IsBlocking": true,
    "IsPassing": true,
    "IsFailing": false,
    "NeedsAttention": false,
    "PassingSuiteKey": "suite-substrate",
    "NeedsAttentionSuiteKey": null
   },
   {
    "TestCaseId": "tc-xlate-step_executions-step_is_software_assigned",
    "TestKind": "formula-translates",
    "Subject": "StepExecutions.StepIsSoftwareAssigned",
    "TargetTable": "StepExecutions",
    "TargetField": "StepIsSoftwareAssigned",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StepExecutions.StepIsSoftwareAssigned",
    "IsBlocking": true,
    "IsPassing": true,
    "IsFailing": false,
    "NeedsAttention": false,
    "PassingSuiteKey": "suite-substrate",
    "NeedsAttentionSuiteKey": null
   },
   {
    "TestCaseId": "tc-xlate-step_executions-software_did_human_work",
    "TestKind": "formula-translates",
    "Subject": "StepExecutions.SoftwareDidHumanWork",
    "TargetTable": "StepExecutions",
    "TargetField": "SoftwareDidHumanWork",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StepExecutions.SoftwareDidHumanWork",
    "IsBlocking": true,
    "IsPassing": true,
    "IsFailing": false,
    "NeedsAttention": false,
    "PassingSuiteKey": "suite-substrate",
    "NeedsAttentionSuiteKey": null
   },
   {
    "TestCaseId": "tc-xlate-step_executions-is_approval_execution",
    "TestKind": "formula-translates",
    "Subject": "StepExecutions.IsApprovalExecution",
    "TargetTable": "StepExecutions",
    "TargetField": "IsApprovalExecution",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StepExecutions.IsApprovalExecution",
    "IsBlocking": true,
    "IsPassing": true,
    "IsFailing": false,
    "NeedsAttention": false,
    "PassingSuiteKey": "suite-substrate",
    "NeedsAttentionSuiteKey": null
   },
   {
    "TestCaseId": "tc-xlate-step_executions-is_verified",
    "TestKind": "formula-translates",
    "Subject": "StepExecutions.IsVerified",
    "TargetTable": "StepExecutions",
    "TargetField": "IsVerified",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StepExecutions.IsVerified",
    "IsBlocking": true,
    "IsPassing": true,
    "IsFailing": false,
    "NeedsAttention": false,
    "PassingSuiteKey": "suite-substrate",
    "NeedsAttentionSuiteKey": null
   },
   {
    "TestCaseId": "tc-xlate-step_executions-unconfirmed_non_human_decision_count",
    "TestKind": "formula-translates",
    "Subject": "StepExecutions.UnconfirmedNonHumanDecisionCount",
    "TargetTable": "StepExecutions",
    "TargetField": "UnconfirmedNonHumanDecisionCount",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StepExecutions.UnconfirmedNonHumanDecisionCount",
    "IsBlocking": true,
    "IsPassing": true,
    "IsFailing": false,
    "NeedsAttention": false,
    "PassingSuiteKey": "suite-substrate",
    "NeedsAttentionSuiteKey": null
   },
   {
    "TestCaseId": "tc-xlate-step_executions-requires_human_confirmation",
    "TestKind": "formula-translates",
    "Subject": "StepExecutions.RequiresHumanConfirmation",
    "TargetTable": "StepExecutions",
    "TargetField": "RequiresHumanConfirmation",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StepExecutions.RequiresHumanConfirmation",
    "IsBlocking": true,
    "IsPassing": true,
    "IsFailing": false,
    "NeedsAttention": false,
    "PassingSuiteKey": "suite-substrate",
    "NeedsAttentionSuiteKey": null
   },
   {
    "TestCaseId": "tc-xlate-step_executions-human_confirmation_missing",
    "TestKind": "formula-translates",
    "Subject": "StepExecutions.HumanConfirmationMissing",
    "TargetTable": "StepExecutions",
    "TargetField": "HumanConfirmationMissing",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StepExecutions.HumanConfirmationMissing",
    "IsBlocking": true,
    "IsPassing": true,
    "IsFailing": false,
    "NeedsAttention": false,
    "PassingSuiteKey": "suite-substrate",
    "NeedsAttentionSuiteKey": null
   },
   {
    "TestCaseId": "tc-xlate-step_executions-drafted_from_unusable_source",
    "TestKind": "formula-translates",
    "Subject": "StepExecutions.DraftedFromUnusableSource",
    "TargetTable": "StepExecutions",
    "TargetField": "DraftedFromUnusableSource",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StepExecutions.DraftedFromUnusableSource",
    "IsBlocking": true,
    "IsPassing": true,
    "IsFailing": false,
    "NeedsAttention": false,
    "PassingSuiteKey": "suite-substrate",
    "NeedsAttentionSuiteKey": null
   },
   {
    "TestCaseId": "tc-xlate-step_executions-inputs_were_usable",
    "TestKind": "formula-translates",
    "Subject": "StepExecutions.InputsWereUsable",
    "TargetTable": "StepExecutions",
    "TargetField": "InputsWereUsable",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StepExecutions.InputsWereUsable",
    "IsBlocking": true,
    "IsPassing": true,
    "IsFailing": false,
    "NeedsAttention": false,
    "PassingSuiteKey": "suite-substrate",
    "NeedsAttentionSuiteKey": null
   },
   {
    "TestCaseId": "tc-xlate-step_executions-software_execution_step_key",
    "TestKind": "formula-translates",
    "Subject": "StepExecutions.SoftwareExecutionStepKey",
    "TargetTable": "StepExecutions",
    "TargetField": "SoftwareExecutionStepKey",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StepExecutions.SoftwareExecutionStepKey",
    "IsBlocking": true,
    "IsPassing": true,
    "IsFailing": false,
    "NeedsAttention": false,
    "PassingSuiteKey": "suite-substrate",
    "NeedsAttentionSuiteKey": null
   },
   {
    "TestCaseId": "tc-xlate-step_executions-step_control_kind",
    "TestKind": "formula-translates",
    "Subject": "StepExecutions.StepControlKind",
    "TargetTable": "StepExecutions",
    "TargetField": "StepControlKind",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StepExecutions.StepControlKind",
    "IsBlocking": true,
    "IsPassing": true,
    "IsFailing": false,
    "NeedsAttention": false,
    "PassingSuiteKey": "suite-substrate",
    "NeedsAttentionSuiteKey": null
   },
   {
    "TestCaseId": "tc-xlate-step_executions-unfalsified_clearance_count",
    "TestKind": "formula-translates",
    "Subject": "StepExecutions.UnfalsifiedClearanceCount",
    "TargetTable": "StepExecutions",
    "TargetField": "UnfalsifiedClearanceCount",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StepExecutions.UnfalsifiedClearanceCount",
    "IsBlocking": true,
    "IsPassing": true,
    "IsFailing": false,
    "NeedsAttention": false,
    "PassingSuiteKey": "suite-substrate",
    "NeedsAttentionSuiteKey": null
   },
   {
    "TestCaseId": "tc-xlate-step_executions-all_clearances_are_unfalsified",
    "TestKind": "formula-translates",
    "Subject": "StepExecutions.AllClearancesAreUnfalsified",
    "TargetTable": "StepExecutions",
    "TargetField": "AllClearancesAreUnfalsified",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StepExecutions.AllClearancesAreUnfalsified",
    "IsBlocking": true,
    "IsPassing": true,
    "IsFailing": false,
    "NeedsAttention": false,
    "PassingSuiteKey": "suite-substrate",
    "NeedsAttentionSuiteKey": null
   },
   {
    "TestCaseId": "tc-xlate-step_executions-stale_at_run_count",
    "TestKind": "formula-translates",
    "Subject": "StepExecutions.StaleAtRunCount",
    "TargetTable": "StepExecutions",
    "TargetField": "StaleAtRunCount",
    "Assertion": "The transpiler emitted a real</t>
  </si>
  <si>
    <t xml:space="preserve">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StepExecutions.StaleAtRunCount",
    "IsBlocking": true,
    "IsPassing": true,
    "IsFailing": false,
    "NeedsAttention": false,
    "PassingSuiteKey": "suite-substrate",
    "NeedsAttentionSuiteKey": null
   },
   {
    "TestCaseId": "tc-xlate-step_executions-was_stale_when_i_ran_it",
    "TestKind": "formula-translates",
    "Subject": "StepExecutions.WasStaleWhenIRanIt",
    "TargetTable": "StepExecutions",
    "TargetField": "WasStaleWhenIRanIt",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StepExecutions.WasStaleWhenIRanIt",
    "IsBlocking": true,
    "IsPassing": true,
    "IsFailing": false,
    "NeedsAttention": false,
    "PassingSuiteKey": "suite-substrate",
    "NeedsAttentionSuiteKey": null
   },
   {
    "TestCaseId": "tc-xlate-step_executions-staleness_answer_is_tense_dependent",
    "TestKind": "formula-translates",
    "Subject": "StepExecutions.StalenessAnswerIsTenseDependent",
    "TargetTable": "StepExecutions",
    "TargetField": "StalenessAnswerIsTenseDependent",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StepExecutions.StalenessAnswerIsTenseDependent",
    "IsBlocking": true,
    "IsPassing": true,
    "IsFailing": false,
    "NeedsAttention": false,
    "PassingSuiteKey": "suite-substrate",
    "NeedsAttentionSuiteKey": null
   },
   {
    "TestCaseId": "tc-xlate-step_executions-has_any_declared_check",
    "TestKind": "formula-translates",
    "Subject": "StepExecutions.HasAnyDeclaredCheck",
    "TargetTable": "StepExecutions",
    "TargetField": "HasAnyDeclaredCheck",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StepExecutions.HasAnyDeclaredCheck",
    "IsBlocking": true,
    "IsPassing": true,
    "IsFailing": false,
    "NeedsAttention": false,
    "PassingSuiteKey": "suite-substrate",
    "NeedsAttentionSuiteKey": null
   },
   {
    "TestCaseId": "tc-xlate-step_executions-performed_check_count",
    "TestKind": "formula-translates",
    "Subject": "StepExecutions.PerformedCheckCount",
    "TargetTable": "StepExecutions",
    "TargetField": "PerformedCheckCount",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StepExecutions.PerformedCheckCount",
    "IsBlocking": true,
    "IsPassing": true,
    "IsFailing": false,
    "NeedsAttention": false,
    "PassingSuiteKey": "suite-substrate",
    "NeedsAttentionSuiteKey": null
   },
   {
    "TestCaseId": "tc-xlate-step_executions-declared_check_count",
    "TestKind": "formula-translates",
    "Subject": "StepExecutions.DeclaredCheckCount",
    "TargetTable": "StepExecutions",
    "TargetField": "DeclaredCheckCount",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StepExecutions.DeclaredCheckCount",
    "IsBlocking": true,
    "IsPassing": true,
    "IsFailing": false,
    "NeedsAttention": false,
    "PassingSuiteKey": "suite-substrate",
    "NeedsAttentionSuiteKey": null
   },
   {
    "TestCaseId": "tc-xlate-step_executions-is_unchecked_by_design",
    "TestKind": "formula-translates",
    "Subject": "StepExecutions.IsUncheckedByDesign",
    "TargetTable": "StepExecutions",
    "TargetField": "IsUncheckedByDesign",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StepExecutions.IsUncheckedByDesign",
    "IsBlocking": true,
    "IsPassing": true,
    "IsFailing": false,
    "NeedsAttention": false,
    "PassingSuiteKey": "suite-substrate",
    "NeedsAttentionSuiteKey": null
   },
   {
    "TestCaseId": "tc-xlate-step_executions-is_vacuously_clean",
    "TestKind": "formula-translates",
    "Subject": "StepExecutions.IsVacuouslyClean",
    "TargetTable": "StepExecutions",
    "TargetField": "IsVacuouslyClean",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StepExecutions.IsVacuouslyClean",
    "IsBlocking": true,
    "IsPassing": true,
    "IsFailing": false,
    "NeedsAttention": false,
    "PassingSuiteKey": "suite-substrate",
    "NeedsAttentionSuiteKey": null
   },
   {
    "TestCaseId": "tc-xlate-step_executions-is_substantively_clean",
    "TestKind": "formula-translates",
    "Subject": "StepExecutions.IsSubstantivelyClean",
    "TargetTable": "StepExecutions",
    "TargetField": "IsSubstantivelyClean",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StepExecutions.IsSubstantivelyClean",
    "IsBlocking": true,
    "IsPassing": true,
    "IsFailing": false,
    "NeedsAttention": false,
    "PassingSuiteKey": "suite-substrate",
    "NeedsAttentionSuiteKey": null
   },
   {
    "TestCaseId": "tc-xlate-step_executions-vacuously_clean_execution_key",
    "TestKind": "formula-translates",
    "Subject": "StepExecutions.VacuouslyCleanExecutionKey",
    "TargetTable": "StepExecutions",
    "TargetField": "VacuouslyCleanExecutionKey",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StepExecutions.VacuouslyCleanExecutionKey",
    "IsBlocking": true,
    "IsPassing": true,
    "IsFailing": false,
    "NeedsAttention": false,
    "PassingSuiteKey": "suite-substrate",
    "NeedsAttentionSuiteKey": null
   },
   {
    "TestCaseId": "tc-xlate-step_executions-uncorroborated_pass_count",
    "TestKind": "formula-translates",
    "Subject": "StepExecutions.UncorroboratedPassCount",
    "TargetTable": "StepExecutions",
    "TargetField": "UncorroboratedPassCount",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StepExecutions.UncorroboratedPassCount",
    "IsBlocking": true,
    "IsPassing": true,
    "IsFailing": false,
    "NeedsAttention": false,
    "PassingSuiteKey": "suite-substrate",
    "NeedsAttentionSuiteKey": null
   },
   {
    "TestCaseId": "tc-xlate-step_executions-evidence_position_is_weak",
    "TestKind": "formula-translates",
    "Subject": "StepExecutions.EvidencePositionIsWeak",
    "TargetTable": "StepExecutions",
    "TargetField": "EvidencePositionIsWeak",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StepExecutions.EvidencePositionIsWeak",
    "IsBlocking": true,
    "IsPassing": true,
    "IsFailing": false,
    "NeedsAttention": false,
    "PassingSuiteKey": "suite-substrate",
    "NeedsAttentionSuiteKey": null
   },
   {
    "TestCaseId": "tc-xlate-step_executions-preparation_execution_key",
    "TestKind": "formula-translates",
    "Subject": "StepExecutions.PreparationExecutionKey",
    "TargetTable": "StepExecutions",
    "TargetField": "PreparationExecutionKey",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StepExecutions.PreparationExecutionKey",
    "IsBlocking": true,
    "IsPassing": true,
    "IsFailing": false,
    "NeedsAttention": false,
    "PassingSuiteKey": "suite-substrate",
    "NeedsAttentionSuiteKey": null
   },
   {
    "TestCaseId": "tc-xlate-step_executions-approval_execution_key",
    "TestKind": "formula-translates",
    "Subject": "StepExecutions.ApprovalExecutionKey",
    "TargetTable": "StepExecutions",
    "TargetField": "ApprovalExecutionKey",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StepExecutions.ApprovalExecutionKey",
    "IsBlocking": true,
    "IsPassing": true,
    "IsFailing": false,
    "NeedsAttention": false,
    "PassingSuiteKey": "suite-substrate",
    "NeedsAttentionSuiteKey": null
   },
   {
    "TestCaseId": "tc-xlate-step_executions-has_governing_instrument",
    "TestKind": "formula-translates",
    "Subject": "StepExecutions.HasGoverningInstrument",
    "TargetTable": "StepExecutions",
    "TargetField": "HasGoverningInstrument",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StepExecutions.HasGoverningInstrument",
    "IsBlocking": true,
    "IsPassing": true,
    "IsFailing": false,
    "NeedsAttention": false,
    "PassingSuiteKey": "suite-substrate",
    "NeedsAttentionSuiteKey": null
   },
   {
    "TestCaseId": "tc-xlate-step_executions-has_approved_change_coverage",
    "TestKind": "formula-translates",
    "Subject": "StepExecutions.HasApprovedChangeCoverage",
    "TargetTable": "StepExecutions",
    "TargetField": "HasApprovedChangeCoverage",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StepExecutions.HasApprovedChangeCoverage",
    "IsBlocking": true,
    "IsPassing": true,
    "IsFailing": false,
    "NeedsAttention": false,
    "PassingSuiteKey": "suite-substrate",
    "NeedsAttentionSuiteKey": null
   },
   {
    "TestCaseId": "tc-xlate-step_executions-version_of_step",
    "TestKind": "formula-translates",
    "Subject": "StepExecutions.VersionOfStep",
    "TargetTable": "StepExecutions",
    "TargetField": "VersionOfStep",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StepExecutions.VersionOfStep",
    "IsBlocking": true,
    "IsPassing": true,
    "IsFailing": false,
    "NeedsAttention": false,
    "PassingSuiteKey": "suite-substrate",
    "NeedsAttentionSuiteKey": null
   },
   {
    "TestCaseId": "tc-xlate-step_executions-is_ungoverned_divergence",
    "TestKind": "formula-translates",
    "Subject": "StepExecutions.IsUngovernedDivergence",
    "TargetTable": "StepExecutions",
    "TargetField": "IsUngovernedDivergence",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StepExecutions.IsUngovernedDivergence",
    "IsBlocking": true,
    "IsPassing": true,
    "IsFailing": false,
    "NeedsAttention": false,
    "PassingSuiteKey": "suite-substrate",
    "NeedsAttentionSuiteKey": null
   },
   {
    "TestCaseId": "tc-xlate-step_executions-ungoverned_divergence_execution_key",
    "TestKind": "formula-translates",
    "Subject": "StepExecutions.UngovernedDivergenceExecutionKey",
    "TargetTable": "StepExecutions",
    "TargetField": "UngovernedDivergenceExecutionKey",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StepExecutions.UngovernedDivergenceExecutionKey",
    "IsBlocking": true,
    "IsPassing": true,
    "IsFailing": false,
    "NeedsAttention": false,
    "PassingSuiteKey": "suite-substrate",
    "NeedsAttentionSuiteKey": null
   },
   {
    "TestCaseId": "tc-xlate-step_executions-self_attested_approval_execution_key",
    "TestKind": "formula-translates",
    "Subject": "StepExecutions.SelfAttestedApprovalExecutionKey",
    "TargetTable": "StepExecutions",
    "TargetField": "SelfAttestedApprovalExecutionKey",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StepExecutions.SelfAttestedApprovalExecutionKey",
    "IsBlocking": true,
    "IsPassing": true,
    "IsFailing": false,
    "NeedsAttention": false,
    "PassingSuiteKey": "suite-substrate",
    "NeedsAttentionSuiteKey": null
   },
   {
    "TestCaseId": "tc-xlate-requirement_satisfactions-name",
    "TestKind": "formula-translates",
    "Subject": "RequirementSatisfactions.Name",
    "TargetTable": "RequirementSatisfactions",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RequirementSatisfactions.Name",
    "IsBlocking": true,
    "IsPassing": true,
    "IsFailing": false,
    "NeedsAttention": false,
    "PassingSuiteKey": "suite-substrate",
    "NeedsAttentionSuiteKey": null
   },
   {
    "TestCaseId": "tc-xlate-requirement_satisfactions-requirement_is_blocking",
    "TestKind": "formula-translates",
    "Subject": "RequirementSatisfactions.RequirementIsBlocking",
    "TargetTable": "RequirementSatisfactions",
    "TargetField": "RequirementIsBlocking",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RequirementSatisfactions.RequirementIsBlocking",
    "IsBlocking": true,
    "IsPassing": true,
    "IsFailing": false,
    "NeedsAttention": false,
    "PassingSuiteKey": "suite-substrate",
    "NeedsAttentionSuiteKey": null
   },
   {
    "TestCaseId": "tc-xlate-requirement_satisfactions-is_fully_satisfied",
    "TestKind": "formula-translates",
    "Subject": "RequirementSatisfactions.IsFullySatisfied",
    "TargetTable": "RequirementSatisfactions",
    "TargetField": "IsFullySatisfied",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RequirementSatisfactions.IsFullySatisfied",
    "IsBlocking": true,
    "IsPassing": true,
    "IsFailing": false,
    "NeedsAttention": false,
    "PassingSuiteKey": "suite-substrate",
    "NeedsAttentionSuiteKey": null
   },
   {
    "TestCaseId": "tc-xlate-requirement_satisfactions-is_blocking_and_unmet",
    "TestKind": "formula-translates",
    "Subject": "RequirementSatisfactions.IsBlockingAndUnmet",
    "TargetTable": "RequirementSatisfactions",
    "TargetField": "IsBlockingAndUnmet",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RequirementSatisfactions.IsBlockingAndUnmet",
    "IsBlocking": true,
    "IsPassing": true,
    "IsFailing": false,
    "NeedsAttention": false,
    "PassingSuiteKey": "suite-substrate",
    "NeedsAttentionSuiteKey": null
   },
   {
    "TestCaseId": "tc-xlate-requirement_satisfactions-blocking_unmet_step_key",
    "TestKind": "formula-translates",
    "Subject": "RequirementSatisfactions.BlockingUnmetStepKey",
    "TargetTable": "RequirementSatisfactions",
    "TargetField": "BlockingUnmetStepKey",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RequirementSatisfactions.BlockingUnmetStepKey",
    "IsBlocking": true,
    "IsPassing": true,
    "IsFailing": false,
    "NeedsAttention": false,
    "PassingSuiteKey": "suite-substrate",
    "NeedsAttentionSuiteKey": null
   },
   {
    "TestCaseId": "tc-xlate-requirement_satisfactions-blocking_satisfaction_step_key",
    "TestKind": "formula-translates",
    "Subject": "RequirementSatisfactions.BlockingSatisfactionStepKey",
    "TargetTable": "RequirementSatisfactions",
    "TargetField": "BlockingSatisfactionStepKey",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RequirementSatisfactions.BlockingSatisfactionStepKey",
    "IsBlocking": true,
    "IsPassing": true,
    "IsFailing": false,
    "NeedsAttention": false,
    "PassingSuiteKey": "suite-substrate",
    "NeedsAttentionSuiteKey": null
   },
   {
    "TestCaseId": "tc-xlate-requirement_satisfactions-negative_outcome_requirement_key",
    "TestKind": "formula-translates",
    "Subject": "RequirementSatisfactions.NegativeOutcomeRequirementKey",
    "TargetTable": "RequirementSatisfactions",
    "TargetField": "NegativeOutcomeRequirementKey",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RequirementSatisfactions.NegativeOutcomeRequirementKey",
    "IsBlocking": true,
    "IsPassing": true,
    "IsFailing": false,
    "NeedsAttention": false,
    "PassingSuiteKey": "suite-substrate",
    "NeedsAttentionSuiteKey": null
   },
   {
    "TestCaseId": "tc-xlate-requirement_satisfactions-evaluator_agent_kind",
    "TestKind": "formula-translates",
    "Subject": "RequirementSatisfactions.EvaluatorAgentKind",
    "TargetTable": "RequirementSatisfactions",
    "TargetField": "EvaluatorAgentKind",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RequirementSatisfactions.EvaluatorAgentKind",
    "IsBlocking": true,
    "IsPassing": true,
    "IsFailing": false,
    "NeedsAttention": false,
    "PassingSuiteKey": "suite-substrate",
    "NeedsAttentionSuiteKey": null
   },
   {
    "TestCaseId": "tc-xlate-requirement_satisfactions-non_human_evaluated_human_control",
    "TestKind": "formula-translates",
    "Subject": "RequirementSatisfactions.NonHumanEvaluatedHumanControl",
    "TargetTable": "RequirementSatisfactions",
    "TargetField": "NonHumanEvaluatedHumanControl",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RequirementSatisfactions.NonHumanEvaluatedHumanControl",
    "IsBlocking": true,
    "IsPassing": true,
    "IsFailing": false,
    "NeedsAttention": false,
    "PassingSuiteKey": "suite-substrate",
    "NeedsAttentionSuiteKey": null
   },
   {
    "TestCaseId": "tc-xlate-requirement_satisfactions-requirement_has_computed_witness",
    "TestKind": "formula-translates",
    "Subject": "RequirementSatisfactions.RequirementHasComputedWitness",
    "TargetTable": "RequirementSatisfactions",
    "TargetField": "RequirementHasComputedWitness",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RequirementSatisfactions.RequirementHasComputedWitness",
    "IsBlocking": true,
    "IsPassing": true,
    "IsFailing": false,
    "NeedsAttention": false,
    "PassingSuiteKey": "suite-substrate",
    "NeedsAttentionSuiteKey": null
   },
   {
    "TestCaseId": "tc-xlate-requirement_satisfactions-is_asserted_only",
    "TestKind": "formula-translates",
    "Subject": "RequirementSatisfactions.IsAssertedOnly",
    "TargetTable": "RequirementSatisfactions",
    "TargetField": "IsAssertedOnly",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RequirementSatisfactions.IsAssertedOnly",
    "IsBlocking": true,
    "IsPassing": true,
    "IsFailing": false,
    "NeedsAttention": false,
    "PassingSuiteKey": "suite-substrate",
    "NeedsAttentionSuiteKey": null
   },
   {
    "TestCaseId": "tc-xlate-requirement_satisfactions-asserted_only_execution_key",
    "TestKind": "formula-translates",
    "Subject": "RequirementSatisfactions.AssertedOnlyExecutionKey",
    "TargetTable": "RequirementSatisfactions",
    "TargetField": "AssertedOnlyExecutionKey",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RequirementSatisfactions.AssertedOnlyExecutionKey",
    "IsBlocking": true,
    "IsPassing": true,
    "IsFailing": false,
    "NeedsAttention": false,
    "PassingSuiteKey": "suite-substrate",
    "NeedsAttentionSuiteKey": null
   },
   {
    "TestCaseId": "tc-xlate-requirement_satisfactions-parent_procedure_execution",
    "TestKind": "formula-translates",
    "Subject": "RequirementSatisfactions.ParentProcedureExecution",
    "TargetTable": "RequirementSatisfactions",
    "TargetField": "ParentProcedureExecution",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RequirementSatisfactions.ParentProcedureExecution",
    "IsBlocking": true,
    "IsPassing": true,
    "IsFailing": false,
    "NeedsAttention": false,
    "PassingSuiteKey": "suite-substrate",
    "NeedsAttentionSuiteKey": null
   },
   {
    "TestCaseId": "tc-xlate-requirement_satisfactions-step_execution_when_scored",
    "TestKind": "formula-translates",
    "Subject": "RequirementSatisfactions.StepExecutionWhenScored",
    "TargetTable": "RequirementSatisfactions",
    "TargetField": "StepExecutionWhenScored",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RequirementSatisfactions.StepExecutionWhenScored",
    "IsBlocking": true,
    "IsPassing": true,
    "IsFailing": false,
    "NeedsAttention": false,
    "PassingSuiteKey": "suite-substrate",
    "NeedsAttentionSuiteKey": null
   },
   {
    "TestCaseId": "tc-xlate-requirement_satisfactions-is_human_evaluated",
    "TestKind": "formula-translates",
    "Subject": "RequirementSatisfactions.IsHumanEvaluated",
    "TargetTable": "RequirementSatisfactions",
    "TargetField": "IsHumanEvaluated",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RequirementSatisfactions.IsHumanEvaluated",
    "IsBlocking": true,
    "IsPassing": true,
    "IsFailing": false,
    "NeedsAttention": false,
    "PassingSuiteKey": "suite-substrate",
    "NeedsAttentionSuiteKey": null
   },
   {
    "TestCaseId": "tc-xlate-requirement_satisfactions-requirement_is_approval_type",
    "TestKind": "formula-translates",
    "Subject": "RequirementSatisfactions.RequirementIsApprovalType",
    "TargetTable": "RequirementSatisfactions",
    "TargetField": "RequirementIsApprovalType",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RequirementSatisfactions.RequirementIsApprovalType",
    "IsBlocking": true,
    "IsPassing": true,
    "IsFailing": false,
    "NeedsAttention": false,
    "PassingSuiteKey": "suite-substrate",
    "NeedsAttentionSuiteKey": null
   },
   {
    "TestCaseId": "tc-xlate-</t>
  </si>
  <si>
    <t xml:space="preserve">requirement_satisfactions-is_invalid_approval",
    "TestKind": "formula-translates",
    "Subject": "RequirementSatisfactions.IsInvalidApproval",
    "TargetTable": "RequirementSatisfactions",
    "TargetField": "IsInvalidApproval",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RequirementSatisfactions.IsInvalidApproval",
    "IsBlocking": true,
    "IsPassing": true,
    "IsFailing": false,
    "NeedsAttention": false,
    "PassingSuiteKey": "suite-substrate",
    "NeedsAttentionSuiteKey": null
   },
   {
    "TestCaseId": "tc-xlate-requirement_satisfactions-procedure_execution_of_satisfaction",
    "TestKind": "formula-translates",
    "Subject": "RequirementSatisfactions.ProcedureExecutionOfSatisfaction",
    "TargetTable": "RequirementSatisfactions",
    "TargetField": "ProcedureExecutionOfSatisfaction",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RequirementSatisfactions.ProcedureExecutionOfSatisfaction",
    "IsBlocking": true,
    "IsPassing": true,
    "IsFailing": false,
    "NeedsAttention": false,
    "PassingSuiteKey": "suite-substrate",
    "NeedsAttentionSuiteKey": null
   },
   {
    "TestCaseId": "tc-xlate-requirement_satisfactions-run_when_invalid_approval",
    "TestKind": "formula-translates",
    "Subject": "RequirementSatisfactions.RunWhenInvalidApproval",
    "TargetTable": "RequirementSatisfactions",
    "TargetField": "RunWhenInvalidApproval",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RequirementSatisfactions.RunWhenInvalidApproval",
    "IsBlocking": true,
    "IsPassing": true,
    "IsFailing": false,
    "NeedsAttention": false,
    "PassingSuiteKey": "suite-substrate",
    "NeedsAttentionSuiteKey": null
   },
   {
    "TestCaseId": "tc-xlate-requirement_satisfactions-requirement_is_unfalsified",
    "TestKind": "formula-translates",
    "Subject": "RequirementSatisfactions.RequirementIsUnfalsified",
    "TargetTable": "RequirementSatisfactions",
    "TargetField": "RequirementIsUnfalsified",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RequirementSatisfactions.RequirementIsUnfalsified",
    "IsBlocking": true,
    "IsPassing": true,
    "IsFailing": false,
    "NeedsAttention": false,
    "PassingSuiteKey": "suite-substrate",
    "NeedsAttentionSuiteKey": null
   },
   {
    "TestCaseId": "tc-xlate-requirement_satisfactions-is_clearance_by_unfalsified_control",
    "TestKind": "formula-translates",
    "Subject": "RequirementSatisfactions.IsClearanceByUnfalsifiedControl",
    "TargetTable": "RequirementSatisfactions",
    "TargetField": "IsClearanceByUnfalsifiedControl",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RequirementSatisfactions.IsClearanceByUnfalsifiedControl",
    "IsBlocking": true,
    "IsPassing": true,
    "IsFailing": false,
    "NeedsAttention": false,
    "PassingSuiteKey": "suite-substrate",
    "NeedsAttentionSuiteKey": null
   },
   {
    "TestCaseId": "tc-xlate-requirement_satisfactions-unfalsified_clearance_step_key",
    "TestKind": "formula-translates",
    "Subject": "RequirementSatisfactions.UnfalsifiedClearanceStepKey",
    "TargetTable": "RequirementSatisfactions",
    "TargetField": "UnfalsifiedClearanceStepKey",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RequirementSatisfactions.UnfalsifiedClearanceStepKey",
    "IsBlocking": true,
    "IsPassing": true,
    "IsFailing": false,
    "NeedsAttention": false,
    "PassingSuiteKey": "suite-substrate",
    "NeedsAttentionSuiteKey": null
   },
   {
    "TestCaseId": "tc-xlate-requirement_satisfactions-spec_step_of_execution",
    "TestKind": "formula-translates",
    "Subject": "RequirementSatisfactions.SpecStepOfExecution",
    "TargetTable": "RequirementSatisfactions",
    "TargetField": "SpecStepOfExecution",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RequirementSatisfactions.SpecStepOfExecution",
    "IsBlocking": true,
    "IsPassing": true,
    "IsFailing": false,
    "NeedsAttention": false,
    "PassingSuiteKey": "suite-substrate",
    "NeedsAttentionSuiteKey": null
   },
   {
    "TestCaseId": "tc-xlate-requirement_satisfactions-binding_key",
    "TestKind": "formula-translates",
    "Subject": "RequirementSatisfactions.BindingKey",
    "TargetTable": "RequirementSatisfactions",
    "TargetField": "BindingKey",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RequirementSatisfactions.BindingKey",
    "IsBlocking": true,
    "IsPassing": true,
    "IsFailing": false,
    "NeedsAttention": false,
    "PassingSuiteKey": "suite-substrate",
    "NeedsAttentionSuiteKey": null
   },
   {
    "TestCaseId": "tc-xlate-requirement_satisfactions-scored_step_executor_agent",
    "TestKind": "formula-translates",
    "Subject": "RequirementSatisfactions.ScoredStepExecutorAgent",
    "TargetTable": "RequirementSatisfactions",
    "TargetField": "ScoredStepExecutorAgent",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RequirementSatisfactions.ScoredStepExecutorAgent",
    "IsBlocking": true,
    "IsPassing": true,
    "IsFailing": false,
    "NeedsAttention": false,
    "PassingSuiteKey": "suite-substrate",
    "NeedsAttentionSuiteKey": null
   },
   {
    "TestCaseId": "tc-xlate-requirement_satisfactions-evaluator_is_step_executor",
    "TestKind": "formula-translates",
    "Subject": "RequirementSatisfactions.EvaluatorIsStepExecutor",
    "TargetTable": "RequirementSatisfactions",
    "TargetField": "EvaluatorIsStepExecutor",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RequirementSatisfactions.EvaluatorIsStepExecutor",
    "IsBlocking": true,
    "IsPassing": true,
    "IsFailing": false,
    "NeedsAttention": false,
    "PassingSuiteKey": "suite-substrate",
    "NeedsAttentionSuiteKey": null
   },
   {
    "TestCaseId": "tc-xlate-requirement_satisfactions-run_owner_agent",
    "TestKind": "formula-translates",
    "Subject": "RequirementSatisfactions.RunOwnerAgent",
    "TargetTable": "RequirementSatisfactions",
    "TargetField": "RunOwnerAgent",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RequirementSatisfactions.RunOwnerAgent",
    "IsBlocking": true,
    "IsPassing": true,
    "IsFailing": false,
    "NeedsAttention": false,
    "PassingSuiteKey": "suite-substrate",
    "NeedsAttentionSuiteKey": null
   },
   {
    "TestCaseId": "tc-xlate-requirement_satisfactions-evaluator_owns_the_run",
    "TestKind": "formula-translates",
    "Subject": "RequirementSatisfactions.EvaluatorOwnsTheRun",
    "TargetTable": "RequirementSatisfactions",
    "TargetField": "EvaluatorOwnsTheRun",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RequirementSatisfactions.EvaluatorOwnsTheRun",
    "IsBlocking": true,
    "IsPassing": true,
    "IsFailing": false,
    "NeedsAttention": false,
    "PassingSuiteKey": "suite-substrate",
    "NeedsAttentionSuiteKey": null
   },
   {
    "TestCaseId": "tc-xlate-requirement_satisfactions-is_interested_party_assertion",
    "TestKind": "formula-translates",
    "Subject": "RequirementSatisfactions.IsInterestedPartyAssertion",
    "TargetTable": "RequirementSatisfactions",
    "TargetField": "IsInterestedPartyAssertion",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RequirementSatisfactions.IsInterestedPartyAssertion",
    "IsBlocking": true,
    "IsPassing": true,
    "IsFailing": false,
    "NeedsAttention": false,
    "PassingSuiteKey": "suite-substrate",
    "NeedsAttentionSuiteKey": null
   },
   {
    "TestCaseId": "tc-xlate-requirement_satisfactions-has_written_evidence",
    "TestKind": "formula-translates",
    "Subject": "RequirementSatisfactions.HasWrittenEvidence",
    "TargetTable": "RequirementSatisfactions",
    "TargetField": "HasWrittenEvidence",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RequirementSatisfactions.HasWrittenEvidence",
    "IsBlocking": true,
    "IsPassing": true,
    "IsFailing": false,
    "NeedsAttention": false,
    "PassingSuiteKey": "suite-substrate",
    "NeedsAttentionSuiteKey": null
   },
   {
    "TestCaseId": "tc-xlate-requirement_satisfactions-is_bare_assertion",
    "TestKind": "formula-translates",
    "Subject": "RequirementSatisfactions.IsBareAssertion",
    "TargetTable": "RequirementSatisfactions",
    "TargetField": "IsBareAssertion",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RequirementSatisfactions.IsBareAssertion",
    "IsBlocking": true,
    "IsPassing": true,
    "IsFailing": false,
    "NeedsAttention": false,
    "PassingSuiteKey": "suite-substrate",
    "NeedsAttentionSuiteKey": null
   },
   {
    "TestCaseId": "tc-xlate-requirement_satisfactions-interested_assertion_execution_key",
    "TestKind": "formula-translates",
    "Subject": "RequirementSatisfactions.InterestedAssertionExecutionKey",
    "TargetTable": "RequirementSatisfactions",
    "TargetField": "InterestedAssertionExecutionKey",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RequirementSatisfactions.InterestedAssertionExecutionKey",
    "IsBlocking": true,
    "IsPassing": true,
    "IsFailing": false,
    "NeedsAttention": false,
    "PassingSuiteKey": "suite-substrate",
    "NeedsAttentionSuiteKey": null
   },
   {
    "TestCaseId": "tc-xlate-requirement_satisfactions-is_computedly_witnessed",
    "TestKind": "formula-translates",
    "Subject": "RequirementSatisfactions.IsComputedlyWitnessed",
    "TargetTable": "RequirementSatisfactions",
    "TargetField": "IsComputedlyWitnessed",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RequirementSatisfactions.IsComputedlyWitnessed",
    "IsBlocking": true,
    "IsPassing": true,
    "IsFailing": false,
    "NeedsAttention": false,
    "PassingSuiteKey": "suite-substrate",
    "NeedsAttentionSuiteKey": null
   },
   {
    "TestCaseId": "tc-xlate-requirement_satisfactions-computed_witness_execution_key",
    "TestKind": "formula-translates",
    "Subject": "RequirementSatisfactions.ComputedWitnessExecutionKey",
    "TargetTable": "RequirementSatisfactions",
    "TargetField": "ComputedWitnessExecutionKey",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RequirementSatisfactions.ComputedWitnessExecutionKey",
    "IsBlocking": true,
    "IsPassing": true,
    "IsFailing": false,
    "NeedsAttention": false,
    "PassingSuiteKey": "suite-substrate",
    "NeedsAttentionSuiteKey": null
   },
   {
    "TestCaseId": "tc-xlate-requirement_satisfactions-step_executor_agent",
    "TestKind": "formula-translates",
    "Subject": "RequirementSatisfactions.StepExecutorAgent",
    "TargetTable": "RequirementSatisfactions",
    "TargetField": "StepExecutorAgent",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RequirementSatisfactions.StepExecutorAgent",
    "IsBlocking": true,
    "IsPassing": true,
    "IsFailing": false,
    "NeedsAttention": false,
    "PassingSuiteKey": "suite-substrate",
    "NeedsAttentionSuiteKey": null
   },
   {
    "TestCaseId": "tc-xlate-requirement_satisfactions-was_scored_after_attestation",
    "TestKind": "formula-translates",
    "Subject": "RequirementSatisfactions.WasScoredAfterAttestation",
    "TargetTable": "RequirementSatisfactions",
    "TargetField": "WasScoredAfterAttestation",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RequirementSatisfactions.WasScoredAfterAttestation",
    "IsBlocking": true,
    "IsPassing": true,
    "IsFailing": false,
    "NeedsAttention": false,
    "PassingSuiteKey": "suite-substrate",
    "NeedsAttentionSuiteKey": null
   },
   {
    "TestCaseId": "tc-xlate-requirement_satisfactions-attestation_instant_for_run",
    "TestKind": "formula-translates",
    "Subject": "RequirementSatisfactions.AttestationInstantForRun",
    "TargetTable": "RequirementSatisfactions",
    "TargetField": "AttestationInstantForRun",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RequirementSatisfactions.AttestationInstantForRun",
    "IsBlocking": true,
    "IsPassing": true,
    "IsFailing": false,
    "NeedsAttention": false,
    "PassingSuiteKey": "suite-substrate",
    "NeedsAttentionSuiteKey": null
   },
   {
    "TestCaseId": "tc-xlate-requirement_satisfactions-post_attestation_score_execution_key",
    "TestKind": "formula-translates",
    "Subject": "RequirementSatisfactions.PostAttestationScoreExecutionKey",
    "TargetTable": "RequirementSatisfactions",
    "TargetField": "PostAttestationScoreExecutionKey",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RequirementSatisfactions.PostAttestationScoreExecutionKey",
    "IsBlocking": true,
    "IsPassing": true,
    "IsFailing": false,
    "NeedsAttention": false,
    "PassingSuiteKey": "suite-substrate",
    "NeedsAttentionSuiteKey": null
   },
   {
    "TestCaseId": "tc-xlate-errors-name",
    "TestKind": "formula-translates",
    "Subject": "Errors.Name",
    "TargetTable": "Errors",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Errors.Name",
    "IsBlocking": true,
    "IsPassing": true,
    "IsFailing": false,
    "NeedsAttention": false,
    "PassingSuiteKey": "suite-substrate",
    "NeedsAttentionSuiteKey": null
   },
   {
    "TestCaseId": "tc-xlate-issue_occurrences-name",
    "TestKind": "formula-translates",
    "Subject": "IssueOccurrences.Name",
    "TargetTable": "IssueOccurrences",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IssueOccurrences.Name",
    "IsBlocking": true,
    "IsPassing": true,
    "IsFailing": false,
    "NeedsAttention": false,
    "PassingSuiteKey": "suite-substrate",
    "NeedsAttentionSuiteKey": null
   },
   {
    "TestCaseId": "tc-xlate-issue_occurrences-is_unresolved",
    "TestKind": "formula-translates",
    "Subject": "IssueOccurrences.IsUnresolved",
    "TargetTable": "IssueOccurrences",
    "TargetField": "IsUnresolved",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IssueOccurrences.IsUnresolved",
    "IsBlocking": true,
    "IsPassing": true,
    "IsFailing": false,
    "NeedsAttention": false,
    "PassingSuiteKey": "suite-substrate",
    "NeedsAttentionSuiteKey": null
   },
   {
    "TestCaseId": "tc-xlate-issue_occurrences-step_execution_when_unresolved",
    "TestKind": "formula-translates",
    "Subject": "IssueOccurrences.StepExecutionWhenUnresolved",
    "TargetTable": "IssueOccurrences",
    "TargetField": "StepExecutionWhenUnresolved",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IssueOccurrences.StepExecutionWhenUnresolved",
    "IsBlocking": true,
    "IsPassing": true,
    "IsFailing": false,
    "NeedsAttention": false,
    "PassingSuiteKey": "suite-substrate",
    "NeedsAttentionSuiteKey": null
   },
   {
    "TestCaseId": "tc-xlate-user_questions-name",
    "TestKind": "formula-translates",
    "Subject": "UserQuestions.Name",
    "TargetTable": "UserQuestions",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UserQuestions.Name",
    "IsBlocking": true,
    "IsPassing": true,
    "IsFailing": false,
    "NeedsAttention": false,
    "PassingSuiteKey": "suite-substrate",
    "NeedsAttentionSuiteKey": null
   },
   {
    "TestCaseId": "tc-xlate-user_feedback-name",
    "TestKind": "formula-translates",
    "Subject": "UserFeedback.Name",
    "TargetTable": "UserFeedback",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UserFeedback.Name",
    "IsBlocking": true,
    "IsPassing": true,
    "IsFailing": false,
    "NeedsAttention": false,
    "PassingSuiteKey": "suite-substrate",
    "NeedsAttentionSuiteKey": null
   },
   {
    "TestCaseId": "tc-xlate-stewardship_assignments-name",
    "TestKind": "formula-translates",
    "Subject": "StewardshipAssignments.Name",
    "TargetTable": "StewardshipAssignments",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StewardshipAssignments.Name",
    "IsBlocking": true,
    "IsPassing": true,
    "IsFailing": false,
    "NeedsAttention": false,
    "PassingSuiteKey": "suite-substrate",
    "NeedsAttentionSuiteKey": null
   },
   {
    "TestCaseId": "tc-xlate-stewardship_assignments-count_of_review_events",
    "TestKind": "formula-translates",
    "Subject": "StewardshipAssignments.CountOfReviewEvents",
    "TargetTable": "StewardshipAssignments",
    "TargetField": "CountOfReviewEvents",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StewardshipAssignments.CountOfReviewEvents",
    "IsBlocking": true,
    "IsPassing": true,
    "IsFailing": false,
    "NeedsAttention": false,
    "PassingSuiteKey": "suite-substrate",
    "NeedsAttentionSuiteKey": null
   },
   {
    "TestCaseId": "tc-xlate-stewardship_assignments-has_ever_been_reviewed",
    "TestKind": "formula-translates",
    "Subject": "StewardshipAssignments.HasEverBeenReviewed",
    "TargetTable": "StewardshipAssignments",
    "TargetField": "HasEverBeenReviewed",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StewardshipAssignments.HasEverBeenReviewed",
    "IsBlocking": true,
    "IsPassing": true,
    "IsFailing": false,
    "NeedsAttention": false,
    "PassingSuiteKey": "suite-substrate",
    "NeedsAttentionSuiteKey": null
   },
   {
    "TestCaseId": "tc-xlate-stewardship_assignments-as_of_instant",
    "TestKind": "formula-translates",
    "Subject": "StewardshipAssignments.AsOfInstant",
    "TargetTable": "StewardshipAssignments",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StewardshipAssignments.AsOfInstant",
    "IsBlocking": true,
    "IsPassing": true,
    "IsFailing": false,
    "NeedsAttention": false,
    "PassingSuiteKey": "suite-substrate",
    "NeedsAttentionSuiteKey": null
   },
   {
    "TestCaseId": "tc-xlate-stewardship_assignments-is_current_assignment",
    "TestKind": "formula-translates",
    "Subject": "StewardshipAssignments.IsCurrentAssignment",
    "TargetTable": "StewardshipAssignments",
    "TargetField": "IsCurrentAssignment",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StewardshipAssignments.IsCurrentAssignment",
    "IsBlocking": true,
    "IsPassing": true,
    "IsFailing": false,
    "NeedsAttention": false,
    "PassingSuiteKey": "suite-substrate",
    "NeedsAttentionSuiteKey": null
   },
   {
    "TestCaseId": "tc-xlate-change_requests-name",
    "TestKind": "formula-translates",
    "Subject": "ChangeRequests.Name",
    "TargetTable": "ChangeRequests",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ChangeRequests.Name",
    "IsBlocking": true,
    "IsPassing": true,
    "IsFailing": false,
    "NeedsAttention": false,
    "PassingSuiteKey": "suite-substrate",
    "NeedsAttentionSuiteKey": null
   },
   {
    "TestCaseId": "tc-xlate-change_requests-is_open",
    "TestKind": "formula-translates",
    "Subject": "ChangeRequests.IsOpen",
    "TargetTable": "ChangeRequests",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ChangeRequests.IsOpen",
    "IsBlocking": true,
    "IsPassing": true,
    "IsFailing": false,
    "NeedsAttention": false,
    "PassingSuiteKey": "suite-substrate",
    "NeedsAttentionSuiteKey": null
   },
   {
    "TestCaseId": "tc-xlate-change_requests-open_change_version_key",
    "TestKind": "formula-translates",
    "Subject": "ChangeRequests.OpenChangeVersionKey",
    "TargetTable": "ChangeRequests",
    "TargetField": "OpenChangeVersionKey",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ChangeRequests.OpenChangeVersionKey",
    "IsBlocking": true,
    "IsPassing": true,
    "IsFailing": false,
    "NeedsAttention": false,
    "PassingSuiteKey": "suite-substrate",
    "NeedsAttentionSuiteKey": null
   },
   {
    "TestCaseId": "tc-xlate-change_requests-is_decided",
    "TestKind": "formula-translates",
    "Subject": "ChangeRequests.IsDecided",
    "TargetTabl</t>
  </si>
  <si>
    <t xml:space="preserve">e": "ChangeRequests",
    "TargetField": "IsDecided",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ChangeRequests.IsDecided",
    "IsBlocking": true,
    "IsPassing": true,
    "IsFailing": false,
    "NeedsAttention": false,
    "PassingSuiteKey": "suite-substrate",
    "NeedsAttentionSuiteKey": null
   },
   {
    "TestCaseId": "tc-xlate-change_requests-as_of_instant",
    "TestKind": "formula-translates",
    "Subject": "ChangeRequests.AsOfInstant",
    "TargetTable": "ChangeRequests",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ChangeRequests.AsOfInstant",
    "IsBlocking": true,
    "IsPassing": true,
    "IsFailing": false,
    "NeedsAttention": false,
    "PassingSuiteKey": "suite-substrate",
    "NeedsAttentionSuiteKey": null
   },
   {
    "TestCaseId": "tc-xlate-change_requests-days_pending",
    "TestKind": "formula-translates",
    "Subject": "ChangeRequests.DaysPending",
    "TargetTable": "ChangeRequests",
    "TargetField": "DaysPending",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ChangeRequests.DaysPending",
    "IsBlocking": true,
    "IsPassing": true,
    "IsFailing": false,
    "NeedsAttention": false,
    "PassingSuiteKey": "suite-substrate",
    "NeedsAttentionSuiteKey": null
   },
   {
    "TestCaseId": "tc-xlate-change_requests-is_still_pending",
    "TestKind": "formula-translates",
    "Subject": "ChangeRequests.IsStillPending",
    "TargetTable": "ChangeRequests",
    "TargetField": "IsStillPending",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ChangeRequests.IsStillPending",
    "IsBlocking": true,
    "IsPassing": true,
    "IsFailing": false,
    "NeedsAttention": false,
    "PassingSuiteKey": "suite-substrate",
    "NeedsAttentionSuiteKey": null
   },
   {
    "TestCaseId": "tc-xlate-change_requests-is_stalled",
    "TestKind": "formula-translates",
    "Subject": "ChangeRequests.IsStalled",
    "TargetTable": "ChangeRequests",
    "TargetField": "IsStalled",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ChangeRequests.IsStalled",
    "IsBlocking": true,
    "IsPassing": true,
    "IsFailing": false,
    "NeedsAttention": false,
    "PassingSuiteKey": "suite-substrate",
    "NeedsAttentionSuiteKey": null
   },
   {
    "TestCaseId": "tc-xlate-change_requests-authority_agent",
    "TestKind": "formula-translates",
    "Subject": "ChangeRequests.AuthorityAgent",
    "TargetTable": "ChangeRequests",
    "TargetField": "AuthorityAgent",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ChangeRequests.AuthorityAgent",
    "IsBlocking": true,
    "IsPassing": true,
    "IsFailing": false,
    "NeedsAttention": false,
    "PassingSuiteKey": "suite-substrate",
    "NeedsAttentionSuiteKey": null
   },
   {
    "TestCaseId": "tc-xlate-change_requests-requester_is_authority",
    "TestKind": "formula-translates",
    "Subject": "ChangeRequests.RequesterIsAuthority",
    "TargetTable": "ChangeRequests",
    "TargetField": "RequesterIsAuthority",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ChangeRequests.RequesterIsAuthority",
    "IsBlocking": true,
    "IsPassing": true,
    "IsFailing": false,
    "NeedsAttention": false,
    "PassingSuiteKey": "suite-substrate",
    "NeedsAttentionSuiteKey": null
   },
   {
    "TestCaseId": "tc-xlate-change_requests-awaits_authority_decision",
    "TestKind": "formula-translates",
    "Subject": "ChangeRequests.AwaitsAuthorityDecision",
    "TargetTable": "ChangeRequests",
    "TargetField": "AwaitsAuthorityDecision",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ChangeRequests.AwaitsAuthorityDecision",
    "IsBlocking": true,
    "IsPassing": true,
    "IsFailing": false,
    "NeedsAttention": false,
    "PassingSuiteKey": "suite-substrate",
    "NeedsAttentionSuiteKey": null
   },
   {
    "TestCaseId": "tc-xlate-change_requests-authority_role_label",
    "TestKind": "formula-translates",
    "Subject": "ChangeRequests.AuthorityRoleLabel",
    "TargetTable": "ChangeRequests",
    "TargetField": "AuthorityRoleLabel",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ChangeRequests.AuthorityRoleLabel",
    "IsBlocking": true,
    "IsPassing": true,
    "IsFailing": false,
    "NeedsAttention": false,
    "PassingSuiteKey": "suite-substrate",
    "NeedsAttentionSuiteKey": null
   },
   {
    "TestCaseId": "tc-xlate-change_requests-touches_live_version",
    "TestKind": "formula-translates",
    "Subject": "ChangeRequests.TouchesLiveVersion",
    "TargetTable": "ChangeRequests",
    "TargetField": "TouchesLiveVersion",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ChangeRequests.TouchesLiveVersion",
    "IsBlocking": true,
    "IsPassing": true,
    "IsFailing": false,
    "NeedsAttention": false,
    "PassingSuiteKey": "suite-substrate",
    "NeedsAttentionSuiteKey": null
   },
   {
    "TestCaseId": "tc-xlate-change_requests-is_live_decision_backlog",
    "TestKind": "formula-translates",
    "Subject": "ChangeRequests.IsLiveDecisionBacklog",
    "TargetTable": "ChangeRequests",
    "TargetField": "IsLiveDecisionBacklog",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ChangeRequests.IsLiveDecisionBacklog",
    "IsBlocking": true,
    "IsPassing": true,
    "IsFailing": false,
    "NeedsAttention": false,
    "PassingSuiteKey": "suite-substrate",
    "NeedsAttentionSuiteKey": null
   },
   {
    "TestCaseId": "tc-xlate-change_requests-blocks_an_open_gap",
    "TestKind": "formula-translates",
    "Subject": "ChangeRequests.BlocksAnOpenGap",
    "TargetTable": "ChangeRequests",
    "TargetField": "BlocksAnOpenGap",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ChangeRequests.BlocksAnOpenGap",
    "IsBlocking": true,
    "IsPassing": true,
    "IsFailing": false,
    "NeedsAttention": false,
    "PassingSuiteKey": "suite-substrate",
    "NeedsAttentionSuiteKey": null
   },
   {
    "TestCaseId": "tc-xlate-change_requests-backlog_version_key",
    "TestKind": "formula-translates",
    "Subject": "ChangeRequests.BacklogVersionKey",
    "TargetTable": "ChangeRequests",
    "TargetField": "BacklogVersionKey",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ChangeRequests.BacklogVersionKey",
    "IsBlocking": true,
    "IsPassing": true,
    "IsFailing": false,
    "NeedsAttention": false,
    "PassingSuiteKey": "suite-substrate",
    "NeedsAttentionSuiteKey": null
   },
   {
    "TestCaseId": "tc-xlate-change_requests-is_my_pending_decision",
    "TestKind": "formula-translates",
    "Subject": "ChangeRequests.IsMyPendingDecision",
    "TargetTable": "ChangeRequests",
    "TargetField": "IsMyPendingDecision",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ChangeRequests.IsMyPendingDecision",
    "IsBlocking": true,
    "IsPassing": true,
    "IsFailing": false,
    "NeedsAttention": false,
    "PassingSuiteKey": "suite-substrate",
    "NeedsAttentionSuiteKey": null
   },
   {
    "TestCaseId": "tc-xlate-change_requests-is_my_blocking_backlog",
    "TestKind": "formula-translates",
    "Subject": "ChangeRequests.IsMyBlockingBacklog",
    "TargetTable": "ChangeRequests",
    "TargetField": "IsMyBlockingBacklog",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ChangeRequests.IsMyBlockingBacklog",
    "IsBlocking": true,
    "IsPassing": true,
    "IsFailing": false,
    "NeedsAttention": false,
    "PassingSuiteKey": "suite-substrate",
    "NeedsAttentionSuiteKey": null
   },
   {
    "TestCaseId": "tc-xlate-change_requests-is_my_overdue_backlog",
    "TestKind": "formula-translates",
    "Subject": "ChangeRequests.IsMyOverdueBacklog",
    "TargetTable": "ChangeRequests",
    "TargetField": "IsMyOverdueBacklog",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ChangeRequests.IsMyOverdueBacklog",
    "IsBlocking": true,
    "IsPassing": true,
    "IsFailing": false,
    "NeedsAttention": false,
    "PassingSuiteKey": "suite-substrate",
    "NeedsAttentionSuiteKey": null
   },
   {
    "TestCaseId": "tc-xlate-change_requests-is_implemented",
    "TestKind": "formula-translates",
    "Subject": "ChangeRequests.IsImplemented",
    "TargetTable": "ChangeRequests",
    "TargetField": "IsImplemented",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ChangeRequests.IsImplemented",
    "IsBlocking": true,
    "IsPassing": true,
    "IsFailing": false,
    "NeedsAttention": false,
    "PassingSuiteKey": "suite-substrate",
    "NeedsAttentionSuiteKey": null
   },
   {
    "TestCaseId": "tc-xlate-change_requests-is_my_decided_request",
    "TestKind": "formula-translates",
    "Subject": "ChangeRequests.IsMyDecidedRequest",
    "TargetTable": "ChangeRequests",
    "TargetField": "IsMyDecidedRequest",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ChangeRequests.IsMyDecidedRequest",
    "IsBlocking": true,
    "IsPassing": true,
    "IsFailing": false,
    "NeedsAttention": false,
    "PassingSuiteKey": "suite-substrate",
    "NeedsAttentionSuiteKey": null
   },
   {
    "TestCaseId": "tc-xlate-change_requests-is_my_decided_but_unlanded",
    "TestKind": "formula-translates",
    "Subject": "ChangeRequests.IsMyDecidedButUnlanded",
    "TargetTable": "ChangeRequests",
    "TargetField": "IsMyDecidedButUnlanded",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ChangeRequests.IsMyDecidedButUnlanded",
    "IsBlocking": true,
    "IsPassing": true,
    "IsFailing": false,
    "NeedsAttention": false,
    "PassingSuiteKey": "suite-substrate",
    "NeedsAttentionSuiteKey": null
   },
   {
    "TestCaseId": "tc-xlate-change_requests-decision_latency_days",
    "TestKind": "formula-translates",
    "Subject": "ChangeRequests.DecisionLatencyDays",
    "TargetTable": "ChangeRequests",
    "TargetField": "DecisionLatencyDays",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ChangeRequests.DecisionLatencyDays",
    "IsBlocking": true,
    "IsPassing": true,
    "IsFailing": false,
    "NeedsAttention": false,
    "PassingSuiteKey": "suite-substrate",
    "NeedsAttentionSuiteKey": null
   },
   {
    "TestCaseId": "tc-xlate-change_requests-implementation_latency_days",
    "TestKind": "formula-translates",
    "Subject": "ChangeRequests.ImplementationLatencyDays",
    "TargetTable": "ChangeRequests",
    "TargetField": "ImplementationLatencyDays",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ChangeRequests.ImplementationLatencyDays",
    "IsBlocking": true,
    "IsPassing": true,
    "IsFailing": false,
    "NeedsAttention": false,
    "PassingSuiteKey": "suite-substrate",
    "NeedsAttentionSuiteKey": null
   },
   {
    "TestCaseId": "tc-xlate-change_requests-delay_is_downstream_of_me",
    "TestKind": "formula-translates",
    "Subject": "ChangeRequests.DelayIsDownstreamOfMe",
    "TargetTable": "ChangeRequests",
    "TargetField": "DelayIsDownstreamOfMe",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ChangeRequests.DelayIsDownstreamOfMe",
    "IsBlocking": true,
    "IsPassing": true,
    "IsFailing": false,
    "NeedsAttention": false,
    "PassingSuiteKey": "suite-substrate",
    "NeedsAttentionSuiteKey": null
   },
   {
    "TestCaseId": "tc-xlate-change_requests-unlanded_version_key",
    "TestKind": "formula-translates",
    "Subject": "ChangeRequests.UnlandedVersionKey",
    "TargetTable": "ChangeRequests",
    "TargetField": "UnlandedVersionKey",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ChangeRequests.UnlandedVersionKey",
    "IsBlocking": true,
    "IsPassing": true,
    "IsFailing": false,
    "NeedsAttention": false,
    "PassingSuiteKey": "suite-substrate",
    "NeedsAttentionSuiteKey": null
   },
   {
    "TestCaseId": "tc-xlate-change_requests-is_approved_not_implemented",
    "TestKind": "formula-translates",
    "Subject": "ChangeRequests.IsApprovedNotImplemented",
    "TargetTable": "ChangeRequests",
    "TargetField": "IsApprovedNotImplemented",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ChangeRequests.IsApprovedNotImplemented",
    "IsBlocking": true,
    "IsPassing": true,
    "IsFailing": false,
    "NeedsAttention": false,
    "PassingSuiteKey": "suite-substrate",
    "NeedsAttentionSuiteKey": null
   },
   {
    "TestCaseId": "tc-xlate-change_requests-days_since_approval",
    "TestKind": "formula-translates",
    "Subject": "ChangeRequests.DaysSinceApproval",
    "TargetTable": "ChangeRequests",
    "TargetField": "DaysSinceApproval",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ChangeRequests.DaysSinceApproval",
    "IsBlocking": true,
    "IsPassing": true,
    "IsFailing": false,
    "NeedsAttention": false,
    "PassingSuiteKey": "suite-substrate",
    "NeedsAttentionSuiteKey": null
   },
   {
    "TestCaseId": "tc-xlate-change_requests-is_stalled_implementation",
    "TestKind": "formula-translates",
    "Subject": "ChangeRequests.IsStalledImplementation",
    "TargetTable": "ChangeRequests",
    "TargetField": "IsStalledImplementation",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ChangeRequests.IsStalledImplementation",
    "IsBlocking": true,
    "IsPassing": true,
    "IsFailing": false,
    "NeedsAttention": false,
    "PassingSuiteKey": "suite-substrate",
    "NeedsAttentionSuiteKey": null
   },
   {
    "TestCaseId": "tc-xlate-change_requests-stalled_implementation_version_key",
    "TestKind": "formula-translates",
    "Subject": "ChangeRequests.StalledImplementationVersionKey",
    "TargetTable": "ChangeRequests",
    "TargetField": "StalledImplementationVersionKey",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ChangeRequests.StalledImplementationVersionKey",
    "IsBlocking": true,
    "IsPassing": true,
    "IsFailing": false,
    "NeedsAttention": false,
    "PassingSuiteKey": "suite-substrate",
    "NeedsAttentionSuiteKey": null
   },
   {
    "TestCaseId": "tc-xlate-change_requests-approved_version_key",
    "TestKind": "formula-translates",
    "Subject": "ChangeRequests.ApprovedVersionKey",
    "TargetTable": "ChangeRequests",
    "TargetField": "ApprovedVersionKey",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ChangeRequests.ApprovedVersionKey",
    "IsBlocking": true,
    "IsPassing": true,
    "IsFailing": false,
    "NeedsAttention": false,
    "PassingSuiteKey": "suite-substrate",
    "NeedsAttentionSuiteKey": null
   },
   {
    "TestCaseId": "tc-xlate-change_requests-is_approved_decision",
    "TestKind": "formula-translates",
    "Subject": "ChangeRequests.IsApprovedDecision",
    "TargetTable": "ChangeRequests",
    "TargetField": "IsApprovedDecision",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ChangeRequests.IsApprovedDecision",
    "IsBlocking": true,
    "IsPassing": true,
    "IsFailing": false,
    "NeedsAttention": false,
    "PassingSuiteKey": "suite-substrate",
    "NeedsAttentionSuiteKey": null
   },
   {
    "TestCaseId": "tc-xlate-review_events-name",
    "TestKind": "formula-translates",
    "Subject": "ReviewEvents.Name",
    "TargetTable": "ReviewEvents",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ReviewEvents.Name",
    "IsBlocking": true,
    "IsPassing": true,
    "IsFailing": false,
    "NeedsAttention": false,
    "PassingSuiteKey": "suite-substrate",
    "NeedsAttentionSuiteKey": null
   },
   {
    "TestCaseId": "tc-xlate-review_events-as_of_instant",
    "TestKind": "formula-translates",
    "Subject": "ReviewEvents.AsOfInstant",
    "TargetTable": "ReviewEvents",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ReviewEvents.AsOfInstant",
    "IsBlocking": true,
    "IsPassing": true,
    "IsFailing": false,
    "NeedsAttention": false,
    "PassingSuiteKey": "suite-substrate",
    "NeedsAttentionSuiteKey": null
   },
   {
    "TestCaseId": "tc-xlate-review_events-is_overdue",
    "TestKind": "formula-translates",
    "Subject": "ReviewEvents.IsOverdue",
    "TargetTable": "ReviewEvents",
    "TargetField": "IsOverdue",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ReviewEvents.IsOverdue",
    "IsBlocking": true,
    "IsPassing": true,
    "IsFailing": false,
    "NeedsAttention": false,
    "PassingSuiteKey": "suite-substrate",
    "NeedsAttentionSuiteKey": null
   },
   {
    "TestCaseId": "tc-xlate-review_events-overdue_version_key",
    "TestKind": "formula-translates",
    "Subject": "ReviewEvents.OverdueVersionKey",
    "TargetTable": "ReviewEvents",
    "TargetField": "OverdueVersionKey",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ReviewEvents.OverdueVersionKey",
    "IsBlocking": true,
    "IsPassing": true,
    "IsFailing": false,
    "NeedsAttention": false,
    "PassingSuiteKey": "suite-substrate",
    "NeedsAttentionSuiteKey": null
   },
   {
    "TestCaseId": "tc-xlate-review_events-promised_cadence_days",
    "TestKind": "formula-translates",
    "Subject": "ReviewEvents.PromisedCadenceDays",
    "TargetTable": "ReviewEvents",
    "TargetField": "PromisedCadenceDays",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ReviewEvents.PromisedCadenceDays",
    "IsBlocking": true,
    "IsPassing": true,
    "IsFailing": false,
    "NeedsAttention": false,
    "PassingSuiteKey": "suite-substrate",
    "NeedsAttentionSuiteKey": null
   },
   {
    "TestCaseId": "tc-xlate-review_events-days_since_reviewed",
    "TestKind": "formula-translates",
    "Subject": "ReviewEvents.DaysSinceReviewed",
    "TargetTable": "ReviewEvents",
    "TargetField": "DaysSinceReviewed",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ReviewEvents.DaysSinceReviewed",
    "IsBlocking": true,
    "IsPassing": true,
    "IsFailing": false,
    "NeedsAttention": false,
    "PassingSuiteKey": "suite-substrate",
    "NeedsAttentionSuiteKey": null
   },
   {
    "TestCaseId": "tc-xlate-review_events-exceeds_promised_cadence",
    "TestKind": "formula-translates",
    "Subject": "ReviewEvents.ExceedsPromisedCadence",
    "TargetTable": "ReviewEvents",
    "TargetField": "ExceedsPromisedCadence",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ReviewEvents.ExceedsPromisedCadence",
    "IsBlocking": true,
    "IsPassing": true,
    "IsFailing": false,
    "NeedsAttention": false,
    "PassingSuiteKey": "suite-substrate",
    "NeedsAttentionSuiteKey": null
   },
   {
    "TestCaseId": "tc-xlate-review_events-cadence_drift_days",
    "TestKind": "formula-translates",
    "Subject": "ReviewEvents.CadenceDriftDays",
    "TargetTable": "ReviewEvents",
    "TargetField": "CadenceDriftDays",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ReviewEvents.CadenceDriftDays",
    "IsBlocking": true,
    "IsPassing": true,
    "IsFailing": false,
    "NeedsAttention": false,
    "PassingSuiteKey": "suite-substrate",
    "NeedsAttentionSuiteKey": null
   },
   {
    "TestCaseId": "tc-xlate-review_events-promise_and_behavior_disagree",
    "TestKind": "formula-translates",
    "Subject": "ReviewEvents.PromiseAndBehaviorDisagree",
    "TargetTable": "ReviewEvents",
    "TargetField": "PromiseAndBehaviorDisagree",
    "Assertion": "The transpiler emitted a real SQL function for this formula rather than a NULL stub.",
    "DefendsQuestion": "q-steward-cadence-breach",
    "Suite": "s</t>
  </si>
  <si>
    <t xml:space="preserve">uite-substrate",
    "Severity": "blocking",
    "LastOutcome": "PASS",
    "LastDetail": "translated",
    "LastRunAt": "2026-07-20T03:06:49+00:00",
    "SemanticTypeIri": "urn:effortless:pko-extension#TestCase",
    "Name": "formula-translates: ReviewEvents.PromiseAndBehaviorDisagree",
    "IsBlocking": true,
    "IsPassing": true,
    "IsFailing": false,
    "NeedsAttention": false,
    "PassingSuiteKey": "suite-substrate",
    "NeedsAttentionSuiteKey": null
   },
   {
    "TestCaseId": "tc-xlate-review_events-cadence_breach_version_key",
    "TestKind": "formula-translates",
    "Subject": "ReviewEvents.CadenceBreachVersionKey",
    "TargetTable": "ReviewEvents",
    "TargetField": "CadenceBreachVersionKey",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ReviewEvents.CadenceBreachVersionKey",
    "IsBlocking": true,
    "IsPassing": true,
    "IsFailing": false,
    "NeedsAttention": false,
    "PassingSuiteKey": "suite-substrate",
    "NeedsAttentionSuiteKey": null
   },
   {
    "TestCaseId": "tc-xlate-learning_activities-name",
    "TestKind": "formula-translates",
    "Subject": "LearningActivities.Name",
    "TargetTable": "LearningActivities",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LearningActivities.Name",
    "IsBlocking": true,
    "IsPassing": true,
    "IsFailing": false,
    "NeedsAttention": false,
    "PassingSuiteKey": "suite-substrate",
    "NeedsAttentionSuiteKey": null
   },
   {
    "TestCaseId": "tc-xlate-operational_bindings-name",
    "TestKind": "formula-translates",
    "Subject": "OperationalBindings.Name",
    "TargetTable": "OperationalBindings",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OperationalBindings.Name",
    "IsBlocking": true,
    "IsPassing": true,
    "IsFailing": false,
    "NeedsAttention": false,
    "PassingSuiteKey": "suite-substrate",
    "NeedsAttentionSuiteKey": null
   },
   {
    "TestCaseId": "tc-xlate-operational_bindings-as_of_instant",
    "TestKind": "formula-translates",
    "Subject": "OperationalBindings.AsOfInstant",
    "TargetTable": "OperationalBindings",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OperationalBindings.AsOfInstant",
    "IsBlocking": true,
    "IsPassing": true,
    "IsFailing": false,
    "NeedsAttention": false,
    "PassingSuiteKey": "suite-substrate",
    "NeedsAttentionSuiteKey": null
   },
   {
    "TestCaseId": "tc-xlate-operational_bindings-age_minutes",
    "TestKind": "formula-translates",
    "Subject": "OperationalBindings.AgeMinutes",
    "TargetTable": "OperationalBindings",
    "TargetField": "AgeMinutes",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OperationalBindings.AgeMinutes",
    "IsBlocking": true,
    "IsPassing": true,
    "IsFailing": false,
    "NeedsAttention": false,
    "PassingSuiteKey": "suite-substrate",
    "NeedsAttentionSuiteKey": null
   },
   {
    "TestCaseId": "tc-xlate-operational_bindings-is_fresh",
    "TestKind": "formula-translates",
    "Subject": "OperationalBindings.IsFresh",
    "TargetTable": "OperationalBindings",
    "TargetField": "IsFresh",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OperationalBindings.IsFresh",
    "IsBlocking": true,
    "IsPassing": true,
    "IsFailing": false,
    "NeedsAttention": false,
    "PassingSuiteKey": "suite-substrate",
    "NeedsAttentionSuiteKey": null
   },
   {
    "TestCaseId": "tc-xlate-operational_bindings-stale_binding_step_key",
    "TestKind": "formula-translates",
    "Subject": "OperationalBindings.StaleBindingStepKey",
    "TargetTable": "OperationalBindings",
    "TargetField": "StaleBindingStepKey",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OperationalBindings.StaleBindingStepKey",
    "IsBlocking": true,
    "IsPassing": true,
    "IsFailing": false,
    "NeedsAttention": false,
    "PassingSuiteKey": "suite-substrate",
    "NeedsAttentionSuiteKey": null
   },
   {
    "TestCaseId": "tc-xlate-operational_bindings-authoritative_stale_step_key",
    "TestKind": "formula-translates",
    "Subject": "OperationalBindings.AuthoritativeStaleStepKey",
    "TargetTable": "OperationalBindings",
    "TargetField": "AuthoritativeStaleStepKey",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OperationalBindings.AuthoritativeStaleStepKey",
    "IsBlocking": true,
    "IsPassing": true,
    "IsFailing": false,
    "NeedsAttention": false,
    "PassingSuiteKey": "suite-substrate",
    "NeedsAttentionSuiteKey": null
   },
   {
    "TestCaseId": "tc-xlate-operational_bindings-is_stale_and_authoritative",
    "TestKind": "formula-translates",
    "Subject": "OperationalBindings.IsStaleAndAuthoritative",
    "TargetTable": "OperationalBindings",
    "TargetField": "IsStaleAndAuthoritative",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OperationalBindings.IsStaleAndAuthoritative",
    "IsBlocking": true,
    "IsPassing": true,
    "IsFailing": false,
    "NeedsAttention": false,
    "PassingSuiteKey": "suite-substrate",
    "NeedsAttentionSuiteKey": null
   },
   {
    "TestCaseId": "tc-xlate-operational_bindings-step_when_stale",
    "TestKind": "formula-translates",
    "Subject": "OperationalBindings.StepWhenStale",
    "TargetTable": "OperationalBindings",
    "TargetField": "StepWhenStale",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OperationalBindings.StepWhenStale",
    "IsBlocking": true,
    "IsPassing": true,
    "IsFailing": false,
    "NeedsAttention": false,
    "PassingSuiteKey": "suite-substrate",
    "NeedsAttentionSuiteKey": null
   },
   {
    "TestCaseId": "tc-xlate-operational_bindings-resource_is_approved",
    "TestKind": "formula-translates",
    "Subject": "OperationalBindings.ResourceIsApproved",
    "TargetTable": "OperationalBindings",
    "TargetField": "ResourceIsApproved",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OperationalBindings.ResourceIsApproved",
    "IsBlocking": true,
    "IsPassing": true,
    "IsFailing": false,
    "NeedsAttention": false,
    "PassingSuiteKey": "suite-substrate",
    "NeedsAttentionSuiteKey": null
   },
   {
    "TestCaseId": "tc-xlate-operational_bindings-is_usable_for_drafting",
    "TestKind": "formula-translates",
    "Subject": "OperationalBindings.IsUsableForDrafting",
    "TargetTable": "OperationalBindings",
    "TargetField": "IsUsableForDrafting",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OperationalBindings.IsUsableForDrafting",
    "IsBlocking": true,
    "IsPassing": true,
    "IsFailing": false,
    "NeedsAttention": false,
    "PassingSuiteKey": "suite-substrate",
    "NeedsAttentionSuiteKey": null
   },
   {
    "TestCaseId": "tc-xlate-operational_bindings-step_when_unusable",
    "TestKind": "formula-translates",
    "Subject": "OperationalBindings.StepWhenUnusable",
    "TargetTable": "OperationalBindings",
    "TargetField": "StepWhenUnusable",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OperationalBindings.StepWhenUnusable",
    "IsBlocking": true,
    "IsPassing": true,
    "IsFailing": false,
    "NeedsAttention": false,
    "PassingSuiteKey": "suite-substrate",
    "NeedsAttentionSuiteKey": null
   },
   {
    "TestCaseId": "tc-xlate-communication_policies-name",
    "TestKind": "formula-translates",
    "Subject": "CommunicationPolicies.Name",
    "TargetTable": "CommunicationPolicies",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CommunicationPolicies.Name",
    "IsBlocking": true,
    "IsPassing": true,
    "IsFailing": false,
    "NeedsAttention": false,
    "PassingSuiteKey": "suite-substrate",
    "NeedsAttentionSuiteKey": null
   },
   {
    "TestCaseId": "tc-xlate-communication_policies-consent_violation_count",
    "TestKind": "formula-translates",
    "Subject": "CommunicationPolicies.ConsentViolationCount",
    "TargetTable": "CommunicationPolicies",
    "TargetField": "ConsentViolationCount",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CommunicationPolicies.ConsentViolationCount",
    "IsBlocking": true,
    "IsPassing": true,
    "IsFailing": false,
    "NeedsAttention": false,
    "PassingSuiteKey": "suite-substrate",
    "NeedsAttentionSuiteKey": null
   },
   {
    "TestCaseId": "tc-xlate-communication_policies-quiet_hours_violation_count",
    "TestKind": "formula-translates",
    "Subject": "CommunicationPolicies.QuietHoursViolationCount",
    "TargetTable": "CommunicationPolicies",
    "TargetField": "QuietHoursViolationCount",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CommunicationPolicies.QuietHoursViolationCount",
    "IsBlocking": true,
    "IsPassing": true,
    "IsFailing": false,
    "NeedsAttention": false,
    "PassingSuiteKey": "suite-substrate",
    "NeedsAttentionSuiteKey": null
   },
   {
    "TestCaseId": "tc-xlate-communication_policies-is_active_policy",
    "TestKind": "formula-translates",
    "Subject": "CommunicationPolicies.IsActivePolicy",
    "TargetTable": "CommunicationPolicies",
    "TargetField": "IsActivePolicy",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CommunicationPolicies.IsActivePolicy",
    "IsBlocking": true,
    "IsPassing": true,
    "IsFailing": false,
    "NeedsAttention": false,
    "PassingSuiteKey": "suite-substrate",
    "NeedsAttentionSuiteKey": null
   },
   {
    "TestCaseId": "tc-xlate-message_templates-name",
    "TestKind": "formula-translates",
    "Subject": "MessageTemplates.Name",
    "TargetTable": "MessageTemplates",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MessageTemplates.Name",
    "IsBlocking": true,
    "IsPassing": true,
    "IsFailing": false,
    "NeedsAttention": false,
    "PassingSuiteKey": "suite-substrate",
    "NeedsAttentionSuiteKey": null
   },
   {
    "TestCaseId": "tc-xlate-message_templates-policy_max_message_length",
    "TestKind": "formula-translates",
    "Subject": "MessageTemplates.PolicyMaxMessageLength",
    "TargetTable": "MessageTemplates",
    "TargetField": "PolicyMaxMessageLength",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MessageTemplates.PolicyMaxMessageLength",
    "IsBlocking": true,
    "IsPassing": true,
    "IsFailing": false,
    "NeedsAttention": false,
    "PassingSuiteKey": "suite-substrate",
    "NeedsAttentionSuiteKey": null
   },
   {
    "TestCaseId": "tc-xlate-message_templates-policy_max_segments",
    "TestKind": "formula-translates",
    "Subject": "MessageTemplates.PolicyMaxSegments",
    "TargetTable": "MessageTemplates",
    "TargetField": "PolicyMaxSegments",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MessageTemplates.PolicyMaxSegments",
    "IsBlocking": true,
    "IsPassing": true,
    "IsFailing": false,
    "NeedsAttention": false,
    "PassingSuiteKey": "suite-substrate",
    "NeedsAttentionSuiteKey": null
   },
   {
    "TestCaseId": "tc-xlate-message_templates-body_template_length",
    "TestKind": "formula-translates",
    "Subject": "MessageTemplates.BodyTemplateLength",
    "TargetTable": "MessageTemplates",
    "TargetField": "BodyTemplateLength",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MessageTemplates.BodyTemplateLength",
    "IsBlocking": true,
    "IsPassing": true,
    "IsFailing": false,
    "NeedsAttention": false,
    "PassingSuiteKey": "suite-substrate",
    "NeedsAttentionSuiteKey": null
   },
   {
    "TestCaseId": "tc-xlate-message_templates-is_template_over_length",
    "TestKind": "formula-translates",
    "Subject": "MessageTemplates.IsTemplateOverLength",
    "TargetTable": "MessageTemplates",
    "TargetField": "IsTemplateOverLength",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MessageTemplates.IsTemplateOverLength",
    "IsBlocking": true,
    "IsPassing": true,
    "IsFailing": false,
    "NeedsAttention": false,
    "PassingSuiteKey": "suite-substrate",
    "NeedsAttentionSuiteKey": null
   },
   {
    "TestCaseId": "tc-xlate-message_templates-valid_approval_count",
    "TestKind": "formula-translates",
    "Subject": "MessageTemplates.ValidApprovalCount",
    "TargetTable": "MessageTemplates",
    "TargetField": "ValidApprovalCount",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MessageTemplates.ValidApprovalCount",
    "IsBlocking": true,
    "IsPassing": true,
    "IsFailing": false,
    "NeedsAttention": false,
    "PassingSuiteKey": "suite-substrate",
    "NeedsAttentionSuiteKey": null
   },
   {
    "TestCaseId": "tc-xlate-message_templates-has_valid_approval",
    "TestKind": "formula-translates",
    "Subject": "MessageTemplates.HasValidApproval",
    "TargetTable": "MessageTemplates",
    "TargetField": "HasValidApproval",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MessageTemplates.HasValidApproval",
    "IsBlocking": true,
    "IsPassing": true,
    "IsFailing": false,
    "NeedsAttention": false,
    "PassingSuiteKey": "suite-substrate",
    "NeedsAttentionSuiteKey": null
   },
   {
    "TestCaseId": "tc-xlate-message_templates-is_claiming_unbacked_approval",
    "TestKind": "formula-translates",
    "Subject": "MessageTemplates.IsClaimingUnbackedApproval",
    "TargetTable": "MessageTemplates",
    "TargetField": "IsClaimingUnbackedApproval",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MessageTemplates.IsClaimingUnbackedApproval",
    "IsBlocking": true,
    "IsPassing": true,
    "IsFailing": false,
    "NeedsAttention": false,
    "PassingSuiteKey": "suite-substrate",
    "NeedsAttentionSuiteKey": null
   },
   {
    "TestCaseId": "tc-xlate-message_templates-last_approved_body_hash",
    "TestKind": "formula-translates",
    "Subject": "MessageTemplates.LastApprovedBodyHash",
    "TargetTable": "MessageTemplates",
    "TargetField": "LastApprovedBodyHash",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MessageTemplates.LastApprovedBodyHash",
    "IsBlocking": true,
    "IsPassing": true,
    "IsFailing": false,
    "NeedsAttention": false,
    "PassingSuiteKey": "suite-substrate",
    "NeedsAttentionSuiteKey": null
   },
   {
    "TestCaseId": "tc-xlate-message_templates-has_body_drifted",
    "TestKind": "formula-translates",
    "Subject": "MessageTemplates.HasBodyDrifted",
    "TargetTable": "MessageTemplates",
    "TargetField": "HasBodyDrifted",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MessageTemplates.HasBodyDrifted",
    "IsBlocking": true,
    "IsPassing": true,
    "IsFailing": false,
    "NeedsAttention": false,
    "PassingSuiteKey": "suite-substrate",
    "NeedsAttentionSuiteKey": null
   },
   {
    "TestCaseId": "tc-xlate-message_templates-is_sendable_under_approval",
    "TestKind": "formula-translates",
    "Subject": "MessageTemplates.IsSendableUnderApproval",
    "TargetTable": "MessageTemplates",
    "TargetField": "IsSendableUnderApproval",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MessageTemplates.IsSendableUnderApproval",
    "IsBlocking": true,
    "IsPassing": true,
    "IsFailing": false,
    "NeedsAttention": false,
    "PassingSuiteKey": "suite-substrate",
    "NeedsAttentionSuiteKey": null
   },
   {
    "TestCaseId": "tc-xlate-message_templates-drifted_send_count",
    "TestKind": "formula-translates",
    "Subject": "MessageTemplates.DriftedSendCount",
    "TargetTable": "MessageTemplates",
    "TargetField": "DriftedSendCount",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MessageTemplates.DriftedSendCount",
    "IsBlocking": true,
    "IsPassing": true,
    "IsFailing": false,
    "NeedsAttention": false,
    "PassingSuiteKey": "suite-substrate",
    "NeedsAttentionSuiteKey": null
   },
   {
    "TestCaseId": "tc-xlate-message_templates-unanswered_delivery_count",
    "TestKind": "formula-translates",
    "Subject": "MessageTemplates.UnansweredDeliveryCount",
    "TargetTable": "MessageTemplates",
    "TargetField": "UnansweredDeliveryCount",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MessageTemplates.UnansweredDeliveryCount",
    "IsBlocking": true,
    "IsPassing": true,
    "IsFailing": false,
    "NeedsAttention": false,
    "PassingSuiteKey": "suite-substrate",
    "NeedsAttentionSuiteKey": null
   },
   {
    "TestCaseId": "tc-xlate-message_templates-transmitted_delivery_count",
    "TestKind": "formula-translates",
    "Subject": "MessageTemplates.TransmittedDeliveryCount",
    "TargetTable": "MessageTemplates",
    "TargetField": "TransmittedDeliveryCount",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MessageTemplates.TransmittedDeliveryCount",
    "IsBlocking": true,
    "IsPassing": true,
    "IsFailing": false,
    "NeedsAttention": false,
    "PassingSuiteKey": "suite-substrate",
    "NeedsAttentionSuiteKey": null
   },
   {
    "TestCaseId": "tc-xlate-message_templates-template_draws_no_response",
    "TestKind": "formula-translates",
    "Subject": "MessageTemplates.TemplateDrawsNoResponse",
    "TargetTable": "MessageTemplates",
    "TargetField": "TemplateDrawsNoResponse",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MessageTemplates.TemplateDrawsNoResponse",
    "IsBlocking": true,
    "IsPassing": true,
    "IsFailing": false,
    "NeedsAttention": false,
    "PassingSuiteKey": "suite-substrate",
    "NeedsAttentionSuiteKey": null
   },
   {
    "TestCaseId": "tc-xlate-message_templates-last_approval_at",
    "TestKind": "formula-translates",
    "Subject": "MessageTemplates.LastApprovalAt",
    "TargetTable": "MessageTemplates",
    "TargetField": "LastApprovalAt",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MessageTemplates.LastApprovalAt",
    "IsBlocking": true,
    "IsPassing": true,
    "IsFailing": false,
    "NeedsAttention": false,
    "PassingSuiteKey": "suite-substrate",
    "NeedsAttentionSuiteKey": null
   },
   {
    "TestCaseId": "tc-xlate-semantic_mappings-name",
    "TestKind": "formula-translates",
    "Subject": "SemanticMappings.Name",
    "TargetTable": "SemanticMappings",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SemanticMappings.Name",
    "IsBlocking": true,
    "IsPassing": true,
    "IsFailing": false,
    "NeedsAttention": false,
    "PassingSuiteKey": "suite-substrate",
    "NeedsAttentionSuiteKey": null
   },
   {
    "TestCaseId": "tc-xlate-witness_loops-name",
    "TestKind": "formula-translates",
    "Subject": "WitnessLoops.Name",
    "TargetTable": "WitnessLoops",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WitnessLoops.Name",
    "IsBlocking": true,
    "IsPassing": true,
    "IsFailing": false,
    "NeedsAttention": false,
    "PassingSuiteKey": "suite-substrate",
    "NeedsAttentionSuiteKey": null
   },
   {
    "TestCaseId": "tc-xlate-witness_loops-question_count",
    "TestKind": "formula-translates",
    "Subject": "WitnessLoops.QuestionCount",
    "TargetTable": "WitnessLoops",
    "TargetField": "QuestionCount",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WitnessLoops.QuestionCount",
    "IsBlocking": true,
    "IsPassing": true,
    "IsFailing": false,
    "NeedsAttention": false,
    "PassingSuiteKey": "suite-substrate",
    "NeedsAttentionSuiteKey": null
   },
   {
    "TestCaseId": "tc-xlate-witness_loops-is_complete",
    "TestKind": "formula-translates",
    "Subject": "WitnessLoops.IsComplete",
    "TargetTable": "WitnessLoops",
    "TargetField": "IsComplete",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WitnessLoops.IsComplete",
    "IsBlocking": true,
    "IsPassing": true,
    "IsFailing": false,
  </t>
  </si>
  <si>
    <t xml:space="preserve">  "NeedsAttention": false,
    "PassingSuiteKey": "suite-substrate",
    "NeedsAttentionSuiteKey": null
   },
   {
    "TestCaseId": "tc-xlate-role_questions-name",
    "TestKind": "formula-translates",
    "Subject": "RoleQuestions.Name",
    "TargetTable": "RoleQuestions",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RoleQuestions.Name",
    "IsBlocking": true,
    "IsPassing": true,
    "IsFailing": false,
    "NeedsAttention": false,
    "PassingSuiteKey": "suite-substrate",
    "NeedsAttentionSuiteKey": null
   },
   {
    "TestCaseId": "tc-xlate-role_questions-predicate_count",
    "TestKind": "formula-translates",
    "Subject": "RoleQuestions.PredicateCount",
    "TargetTable": "RoleQuestions",
    "TargetField": "PredicateCount",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RoleQuestions.PredicateCount",
    "IsBlocking": true,
    "IsPassing": true,
    "IsFailing": false,
    "NeedsAttention": false,
    "PassingSuiteKey": "suite-substrate",
    "NeedsAttentionSuiteKey": null
   },
   {
    "TestCaseId": "tc-xlate-role_questions-is_answered",
    "TestKind": "formula-translates",
    "Subject": "RoleQuestions.IsAnswered",
    "TargetTable": "RoleQuestions",
    "TargetField": "IsAnswered",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RoleQuestions.IsAnswered",
    "IsBlocking": true,
    "IsPassing": true,
    "IsFailing": false,
    "NeedsAttention": false,
    "PassingSuiteKey": "suite-substrate",
    "NeedsAttentionSuiteKey": null
   },
   {
    "TestCaseId": "tc-xlate-rulebook_fields-name",
    "TestKind": "formula-translates",
    "Subject": "RulebookFields.Name",
    "TargetTable": "RulebookFields",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RulebookFields.Name",
    "IsBlocking": true,
    "IsPassing": true,
    "IsFailing": false,
    "NeedsAttention": false,
    "PassingSuiteKey": "suite-substrate",
    "NeedsAttentionSuiteKey": null
   },
   {
    "TestCaseId": "tc-xlate-rulebook_fields-is_derived",
    "TestKind": "formula-translates",
    "Subject": "RulebookFields.IsDerived",
    "TargetTable": "RulebookFields",
    "TargetField": "IsDerived",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RulebookFields.IsDerived",
    "IsBlocking": true,
    "IsPassing": true,
    "IsFailing": false,
    "NeedsAttention": false,
    "PassingSuiteKey": "suite-substrate",
    "NeedsAttentionSuiteKey": null
   },
   {
    "TestCaseId": "tc-xlate-rulebook_fields-is_witness",
    "TestKind": "formula-translates",
    "Subject": "RulebookFields.IsWitness",
    "TargetTable": "RulebookFields",
    "TargetField": "IsWitness",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RulebookFields.IsWitness",
    "IsBlocking": true,
    "IsPassing": true,
    "IsFailing": false,
    "NeedsAttention": false,
    "PassingSuiteKey": "suite-substrate",
    "NeedsAttentionSuiteKey": null
   },
   {
    "TestCaseId": "tc-xlate-test_suites-name",
    "TestKind": "formula-translates",
    "Subject": "TestSuites.Name",
    "TargetTable": "TestSuites",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TestSuites.Name",
    "IsBlocking": true,
    "IsPassing": true,
    "IsFailing": false,
    "NeedsAttention": false,
    "PassingSuiteKey": "suite-substrate",
    "NeedsAttentionSuiteKey": null
   },
   {
    "TestCaseId": "tc-xlate-test_suites-test_count",
    "TestKind": "formula-translates",
    "Subject": "TestSuites.TestCount",
    "TargetTable": "TestSuites",
    "TargetField": "TestCount",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TestSuites.TestCount",
    "IsBlocking": true,
    "IsPassing": true,
    "IsFailing": false,
    "NeedsAttention": false,
    "PassingSuiteKey": "suite-substrate",
    "NeedsAttentionSuiteKey": null
   },
   {
    "TestCaseId": "tc-xlate-test_suites-pass_count",
    "TestKind": "formula-translates",
    "Subject": "TestSuites.PassCount",
    "TargetTable": "TestSuites",
    "TargetField": "PassCount",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TestSuites.PassCount",
    "IsBlocking": true,
    "IsPassing": true,
    "IsFailing": false,
    "NeedsAttention": false,
    "PassingSuiteKey": "suite-substrate",
    "NeedsAttentionSuiteKey": null
   },
   {
    "TestCaseId": "tc-xlate-test_suites-blocking_fail_count",
    "TestKind": "formula-translates",
    "Subject": "TestSuites.BlockingFailCount",
    "TargetTable": "TestSuites",
    "TargetField": "BlockingFailCount",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TestSuites.BlockingFailCount",
    "IsBlocking": true,
    "IsPassing": true,
    "IsFailing": false,
    "NeedsAttention": false,
    "PassingSuiteKey": "suite-substrate",
    "NeedsAttentionSuiteKey": null
   },
   {
    "TestCaseId": "tc-xlate-test_suites-is_green",
    "TestKind": "formula-translates",
    "Subject": "TestSuites.IsGreen",
    "TargetTable": "TestSuites",
    "TargetField": "IsGreen",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TestSuites.IsGreen",
    "IsBlocking": true,
    "IsPassing": true,
    "IsFailing": false,
    "NeedsAttention": false,
    "PassingSuiteKey": "suite-substrate",
    "NeedsAttentionSuiteKey": null
   },
   {
    "TestCaseId": "tc-xlate-test_cases-name",
    "TestKind": "formula-translates",
    "Subject": "TestCases.Name",
    "TargetTable": "TestCases",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TestCases.Name",
    "IsBlocking": true,
    "IsPassing": true,
    "IsFailing": false,
    "NeedsAttention": false,
    "PassingSuiteKey": "suite-substrate",
    "NeedsAttentionSuiteKey": null
   },
   {
    "TestCaseId": "tc-xlate-test_cases-is_blocking",
    "TestKind": "formula-translates",
    "Subject": "TestCases.IsBlocking",
    "TargetTable": "TestCases",
    "TargetField": "IsBlocking",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TestCases.IsBlocking",
    "IsBlocking": true,
    "IsPassing": true,
    "IsFailing": false,
    "NeedsAttention": false,
    "PassingSuiteKey": "suite-substrate",
    "NeedsAttentionSuiteKey": null
   },
   {
    "TestCaseId": "tc-xlate-test_cases-is_passing",
    "TestKind": "formula-translates",
    "Subject": "TestCases.IsPassing",
    "TargetTable": "TestCases",
    "TargetField": "IsPassing",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TestCases.IsPassing",
    "IsBlocking": true,
    "IsPassing": true,
    "IsFailing": false,
    "NeedsAttention": false,
    "PassingSuiteKey": "suite-substrate",
    "NeedsAttentionSuiteKey": null
   },
   {
    "TestCaseId": "tc-xlate-test_cases-is_failing",
    "TestKind": "formula-translates",
    "Subject": "TestCases.IsFailing",
    "TargetTable": "TestCases",
    "TargetField": "IsFailing",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TestCases.IsFailing",
    "IsBlocking": true,
    "IsPassing": true,
    "IsFailing": false,
    "NeedsAttention": false,
    "PassingSuiteKey": "suite-substrate",
    "NeedsAttentionSuiteKey": null
   },
   {
    "TestCaseId": "tc-xlate-test_cases-needs_attention",
    "TestKind": "formula-translates",
    "Subject": "TestCases.NeedsAttention",
    "TargetTable": "TestCases",
    "TargetField": "NeedsAttention",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
    "IsBlocking": true,
    "IsPassing": true,
    "IsFailing": false,
    "NeedsAttention": false,
    "PassingSuiteKey": "suite-substrate",
    "NeedsAttentionSuiteKey": null
   },
   {
    "TestCaseId": "tc-xlate-test_cases-passing_suite_key",
    "TestKind": "formula-translates",
    "Subject": "TestCases.PassingSuiteKey",
    "TargetTable": "TestCases",
    "TargetField": "PassingSuiteKey",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TestCases.PassingSuiteKey",
    "IsBlocking": true,
    "IsPassing": true,
    "IsFailing": false,
    "NeedsAttention": false,
    "PassingSuiteKey": "suite-substrate",
    "NeedsAttentionSuiteKey": null
   },
   {
    "TestCaseId": "tc-xlate-test_cases-needs_attention_suite_key",
    "TestKind": "formula-translates",
    "Subject": "TestCases.NeedsAttentionSuiteKey",
    "TargetTable": "TestCases",
    "TargetField": "NeedsAttentionSuiteKey",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TestCases.NeedsAttentionSuiteKey",
    "IsBlocking": true,
    "IsPassing": true,
    "IsFailing": false,
    "NeedsAttention": false,
    "PassingSuiteKey": "suite-substrate",
    "NeedsAttentionSuiteKey": null
   },
   {
    "TestCaseId": "tc-xlate-__meta__-name",
    "TestKind": "formula-translates",
    "Subject": "__meta__.Name",
    "TargetTable": "__meta__",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__meta__.Name",
    "IsBlocking": true,
    "IsPassing": true,
    "IsFailing": false,
    "NeedsAttention": false,
    "PassingSuiteKey": "suite-substrate",
    "NeedsAttentionSuiteKey": null
   },
   {
    "TestCaseId": "tc-xlate-exception_invocations-name",
    "TestKind": "formula-translates",
    "Subject": "ExceptionInvocations.Name",
    "TargetTable": "ExceptionInvocations",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ExceptionInvocations.Name",
    "IsBlocking": true,
    "IsPassing": true,
    "IsFailing": false,
    "NeedsAttention": false,
    "PassingSuiteKey": "suite-substrate",
    "NeedsAttentionSuiteKey": null
   },
   {
    "TestCaseId": "tc-xlate-exception_invocations-expected_handling",
    "TestKind": "formula-translates",
    "Subject": "ExceptionInvocations.ExpectedHandling",
    "TargetTable": "ExceptionInvocations",
    "TargetField": "ExpectedHandling",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ExceptionInvocations.ExpectedHandling",
    "IsBlocking": true,
    "IsPassing": true,
    "IsFailing": false,
    "NeedsAttention": false,
    "PassingSuiteKey": "suite-substrate",
    "NeedsAttentionSuiteKey": null
   },
   {
    "TestCaseId": "tc-xlate-exception_invocations-required_approval_role",
    "TestKind": "formula-translates",
    "Subject": "ExceptionInvocations.RequiredApprovalRole",
    "TargetTable": "ExceptionInvocations",
    "TargetField": "RequiredApprovalRole",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
    "IsBlocking": true,
    "IsPassing": true,
    "IsFailing": false,
    "NeedsAttention": false,
    "PassingSuiteKey": "suite-substrate",
    "NeedsAttentionSuiteKey": null
   },
   {
    "TestCaseId": "tc-xlate-exception_invocations-required_approval_role_holder",
    "TestKind": "formula-translates",
    "Subject": "ExceptionInvocations.RequiredApprovalRoleHolder",
    "TargetTable": "ExceptionInvocations",
    "TargetField": "RequiredApprovalRoleHolder",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ExceptionInvocations.RequiredApprovalRoleHolder",
    "IsBlocking": true,
    "IsPassing": true,
    "IsFailing": false,
    "NeedsAttention": false,
    "PassingSuiteKey": "suite-substrate",
    "NeedsAttentionSuiteKey": null
   },
   {
    "TestCaseId": "tc-xlate-exception_invocations-approval_role_matches",
    "TestKind": "formula-translates",
    "Subject": "ExceptionInvocations.ApprovalRoleMatches",
    "TargetTable": "ExceptionInvocations",
    "TargetField": "ApprovalRoleMatches",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ExceptionInvocations.ApprovalRoleMatches",
    "IsBlocking": true,
    "IsPassing": true,
    "IsFailing": false,
    "NeedsAttention": false,
    "PassingSuiteKey": "suite-substrate",
    "NeedsAttentionSuiteKey": null
   },
   {
    "TestCaseId": "tc-xlate-exception_invocations-is_approved",
    "TestKind": "formula-translates",
    "Subject": "ExceptionInvocations.IsApproved",
    "TargetTable": "ExceptionInvocations",
    "TargetField": "IsApproved",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ExceptionInvocations.IsApproved",
    "IsBlocking": true,
    "IsPassing": true,
    "IsFailing": false,
    "NeedsAttention": false,
    "PassingSuiteKey": "suite-substrate",
    "NeedsAttentionSuiteKey": null
   },
   {
    "TestCaseId": "tc-xlate-exception_invocations-is_improperly_approved",
    "TestKind": "formula-translates",
    "Subject": "ExceptionInvocations.IsImproperlyApproved",
    "TargetTable": "ExceptionInvocations",
    "TargetField": "IsImproperlyApproved",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ExceptionInvocations.IsImproperlyApproved",
    "IsBlocking": true,
    "IsPassing": true,
    "IsFailing": false,
    "NeedsAttention": false,
    "PassingSuiteKey": "suite-substrate",
    "NeedsAttentionSuiteKey": null
   },
   {
    "TestCaseId": "tc-xlate-exception_invocations-invoker_agent_kind",
    "TestKind": "formula-translates",
    "Subject": "ExceptionInvocations.InvokerAgentKind",
    "TargetTable": "ExceptionInvocations",
    "TargetField": "InvokerAgentKind",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ExceptionInvocations.InvokerAgentKind",
    "IsBlocking": true,
    "IsPassing": true,
    "IsFailing": false,
    "NeedsAttention": false,
    "PassingSuiteKey": "suite-substrate",
    "NeedsAttentionSuiteKey": null
   },
   {
    "TestCaseId": "tc-xlate-exception_invocations-invoker_also_prepared_key",
    "TestKind": "formula-translates",
    "Subject": "ExceptionInvocations.InvokerAlsoPreparedKey",
    "TargetTable": "ExceptionInvocations",
    "TargetField": "InvokerAlsoPreparedKey",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ExceptionInvocations.InvokerAlsoPreparedKey",
    "IsBlocking": true,
    "IsPassing": true,
    "IsFailing": false,
    "NeedsAttention": false,
    "PassingSuiteKey": "suite-substrate",
    "NeedsAttentionSuiteKey": null
   },
   {
    "TestCaseId": "tc-xlate-exception_invocations-parent_procedure_execution",
    "TestKind": "formula-translates",
    "Subject": "ExceptionInvocations.ParentProcedureExecution",
    "TargetTable": "ExceptionInvocations",
    "TargetField": "ParentProcedureExecution",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ExceptionInvocations.ParentProcedureExecution",
    "IsBlocking": true,
    "IsPassing": true,
    "IsFailing": false,
    "NeedsAttention": false,
    "PassingSuiteKey": "suite-substrate",
    "NeedsAttentionSuiteKey": null
   },
   {
    "TestCaseId": "tc-xlate-exception_invocations-approver_prepared_count",
    "TestKind": "formula-translates",
    "Subject": "ExceptionInvocations.ApproverPreparedCount",
    "TargetTable": "ExceptionInvocations",
    "TargetField": "ApproverPreparedCount",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ExceptionInvocations.ApproverPreparedCount",
    "IsBlocking": true,
    "IsPassing": true,
    "IsFailing": false,
    "NeedsAttention": false,
    "PassingSuiteKey": "suite-substrate",
    "NeedsAttentionSuiteKey": null
   },
   {
    "TestCaseId": "tc-xlate-exception_invocations-delegated_to_preparer",
    "TestKind": "formula-translates",
    "Subject": "ExceptionInvocations.DelegatedToPreparer",
    "TargetTable": "ExceptionInvocations",
    "TargetField": "DelegatedToPreparer",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ExceptionInvocations.DelegatedToPreparer",
    "IsBlocking": true,
    "IsPassing": true,
    "IsFailing": false,
    "NeedsAttention": false,
    "PassingSuiteKey": "suite-substrate",
    "NeedsAttentionSuiteKey": null
   },
   {
    "TestCaseId": "tc-xlate-exception_invocations-is_ungoverned_invocation",
    "TestKind": "formula-translates",
    "Subject": "ExceptionInvocations.IsUngovernedInvocation",
    "TargetTable": "ExceptionInvocations",
    "TargetField": "IsUngovernedInvocation",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ExceptionInvocations.IsUngovernedInvocation",
    "IsBlocking": true,
    "IsPassing": true,
    "IsFailing": false,
    "NeedsAttention": false,
    "PassingSuiteKey": "suite-substrate",
    "NeedsAttentionSuiteKey": null
   },
   {
    "TestCaseId": "tc-xlate-verification_outcomes-name",
    "TestKind": "formula-translates",
    "Subject": "VerificationOutcomes.Name",
    "TargetTable": "VerificationOutcomes",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VerificationOutcomes.Name",
    "IsBlocking": true,
    "IsPassing": true,
    "IsFailing": false,
    "NeedsAttention": false,
    "PassingSuiteKey": "suite-substrate",
    "NeedsAttentionSuiteKey": null
   },
   {
    "TestCaseId": "tc-xlate-verification_outcomes-expected_signal_value",
    "TestKind": "formula-translates",
    "Subject": "VerificationOutcomes.ExpectedSignalValue",
    "TargetTable": "VerificationOutcomes",
    "TargetField": "ExpectedSignalValue",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VerificationOutcomes.ExpectedSignalValue",
    "IsBlocking": true,
    "IsPassing": true,
    "IsFailing": false,
    "NeedsAttention": false,
    "PassingSuiteKey": "suite-substrate",
    "NeedsAttentionSuiteKey": null
   },
   {
    "TestCaseId": "tc-xlate-verification_outcomes-signal_identifier",
    "TestKind": "formula-translates",
    "Subject": "VerificationOutcomes.SignalIdentifier",
    "TargetTable": "VerificationOutcomes",
    "TargetField": "SignalIdentifier",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VerificationOutcomes.SignalIdentifier",
    "IsBlocking": true,
    "IsPassing": true,
    "IsFailing": false,
    "NeedsAttention": false,
    "PassingSuiteKey": "suite-substrate",
    "NeedsAttentionSuiteKey": null
   },
   {
    "TestCaseId": "tc-xlate-verification_outcomes-signal_matches_expected",
    "TestKind": "formula-translates",
    "Subject": "VerificationOutcomes.SignalMatchesExpected",
    "TargetTable": "VerificationOutcomes",
    "TargetField": "SignalMatchesExpected",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VerificationOutcomes.SignalMatchesExpected",
    "IsBlocking": true,
    "IsPassing": true,
    "IsFailing": false,
    "NeedsAttention": false,
    "PassingSuiteKey": "suite-substrate",
    "NeedsAttentionSuiteKey": null
   },
   {
    "TestCaseId": "tc-xlate-verification_outcomes-has_evidence",
    "TestKind": "formula-translates",
    "Subject": "VerificationOutcomes.HasEvidence",
    "TargetTable": "VerificationOutcomes",
    "TargetField": "HasEvidence",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VerificationOutcomes.HasEvidence",
    "IsBlocking": true,
    "IsPassing": true,
    "IsFailing": false,
    "NeedsAttention": false,
    "PassingSuiteKey": "suite-substrate",
    "NeedsAttentionSuiteKey": null
   },
   {
    "TestCaseId": "tc-xlate-verification_outcomes-is_unbacked_observation",
    "TestKind": "formula-translates",
    "Subject": "VerificationOutcomes.IsUnbackedObservation",
    "TargetTable": "VerificationOutcomes",
    "TargetField": "IsUnbackedObservation",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VerificationOutcomes.IsUnbackedObservation",
    "IsBlocking": true,
    "IsPassing": true,
    "IsFailing": false,
    "NeedsAttention": false,
    "PassingSuiteKey": "suite-substrate",
    "NeedsAttentionSuiteKey": null
   },
   {
    "TestCaseId": "tc-xlate-verification_outcomes-is_self_witnessed",
    "TestKind": "formula-translates",
    "Subject": "VerificationOutcomes.IsSelfWitnessed",
    "TargetTable": "VerificationOutcomes",
    "TargetField": "IsSelfWitnessed",
    "Assertion": "The transpiler emitted a real SQL function for this formula rather than a NULL stub.",
    "DefendsQuestion": "q-cfo-approval-was-actually-verified",
    "Suite": "suite-substrate",
    "Severity": "blocking",
    "LastOu</t>
  </si>
  <si>
    <t xml:space="preserve">tcome": "PASS",
    "LastDetail": "translated",
    "LastRunAt": "2026-07-20T03:06:49+00:00",
    "SemanticTypeIri": "urn:effortless:pko-extension#TestCase",
    "Name": "formula-translates: VerificationOutcomes.IsSelfWitnessed",
    "IsBlocking": true,
    "IsPassing": true,
    "IsFailing": false,
    "NeedsAttention": false,
    "PassingSuiteKey": "suite-substrate",
    "NeedsAttentionSuiteKey": null
   },
   {
    "TestCaseId": "tc-xlate-verification_outcomes-step_executor_agent",
    "TestKind": "formula-translates",
    "Subject": "VerificationOutcomes.StepExecutorAgent",
    "TargetTable": "VerificationOutcomes",
    "TargetField": "StepExecutorAgent",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VerificationOutcomes.StepExecutorAgent",
    "IsBlocking": true,
    "IsPassing": true,
    "IsFailing": false,
    "NeedsAttention": false,
    "PassingSuiteKey": "suite-substrate",
    "NeedsAttentionSuiteKey": null
   },
   {
    "TestCaseId": "tc-xlate-verification_outcomes-self_witnessed_step_key",
    "TestKind": "formula-translates",
    "Subject": "VerificationOutcomes.SelfWitnessedStepKey",
    "TargetTable": "VerificationOutcomes",
    "TargetField": "SelfWitnessedStepKey",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VerificationOutcomes.SelfWitnessedStepKey",
    "IsBlocking": true,
    "IsPassing": true,
    "IsFailing": false,
    "NeedsAttention": false,
    "PassingSuiteKey": "suite-substrate",
    "NeedsAttentionSuiteKey": null
   },
   {
    "TestCaseId": "tc-xlate-verification_outcomes-unbacked_step_key",
    "TestKind": "formula-translates",
    "Subject": "VerificationOutcomes.UnbackedStepKey",
    "TargetTable": "VerificationOutcomes",
    "TargetField": "UnbackedStepKey",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VerificationOutcomes.UnbackedStepKey",
    "IsBlocking": true,
    "IsPassing": true,
    "IsFailing": false,
    "NeedsAttention": false,
    "PassingSuiteKey": "suite-substrate",
    "NeedsAttentionSuiteKey": null
   },
   {
    "TestCaseId": "tc-xlate-verification_outcomes-is_self_witnessed_and_unbacked",
    "TestKind": "formula-translates",
    "Subject": "VerificationOutcomes.IsSelfWitnessedAndUnbacked",
    "TargetTable": "VerificationOutcomes",
    "TargetField": "IsSelfWitnessedAndUnbacked",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VerificationOutcomes.IsSelfWitnessedAndUnbacked",
    "IsBlocking": true,
    "IsPassing": true,
    "IsFailing": false,
    "NeedsAttention": false,
    "PassingSuiteKey": "suite-substrate",
    "NeedsAttentionSuiteKey": null
   },
   {
    "TestCaseId": "tc-xlate-verification_outcomes-is_uncorroborated_pass",
    "TestKind": "formula-translates",
    "Subject": "VerificationOutcomes.IsUncorroboratedPass",
    "TargetTable": "VerificationOutcomes",
    "TargetField": "IsUncorroboratedPass",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VerificationOutcomes.IsUncorroboratedPass",
    "IsBlocking": true,
    "IsPassing": true,
    "IsFailing": false,
    "NeedsAttention": false,
    "PassingSuiteKey": "suite-substrate",
    "NeedsAttentionSuiteKey": null
   },
   {
    "TestCaseId": "tc-xlate-verification_outcomes-uncorroborated_pass_step_key",
    "TestKind": "formula-translates",
    "Subject": "VerificationOutcomes.UncorroboratedPassStepKey",
    "TargetTable": "VerificationOutcomes",
    "TargetField": "UncorroboratedPassStepKey",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VerificationOutcomes.UncorroboratedPassStepKey",
    "IsBlocking": true,
    "IsPassing": true,
    "IsFailing": false,
    "NeedsAttention": false,
    "PassingSuiteKey": "suite-substrate",
    "NeedsAttentionSuiteKey": null
   },
   {
    "TestCaseId": "tc-xlate-verification_outcomes-observer_is_non_human",
    "TestKind": "formula-translates",
    "Subject": "VerificationOutcomes.ObserverIsNonHuman",
    "TargetTable": "VerificationOutcomes",
    "TargetField": "ObserverIsNonHuman",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VerificationOutcomes.ObserverIsNonHuman",
    "IsBlocking": true,
    "IsPassing": true,
    "IsFailing": false,
    "NeedsAttention": false,
    "PassingSuiteKey": "suite-substrate",
    "NeedsAttentionSuiteKey": null
   },
   {
    "TestCaseId": "tc-xlate-verification_outcomes-observer_is_independent_of_executor",
    "TestKind": "formula-translates",
    "Subject": "VerificationOutcomes.ObserverIsIndependentOfExecutor",
    "TargetTable": "VerificationOutcomes",
    "TargetField": "ObserverIsIndependentOfExecutor",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VerificationOutcomes.ObserverIsIndependentOfExecutor",
    "IsBlocking": true,
    "IsPassing": true,
    "IsFailing": false,
    "NeedsAttention": false,
    "PassingSuiteKey": "suite-substrate",
    "NeedsAttentionSuiteKey": null
   },
   {
    "TestCaseId": "tc-xlate-verification_outcomes-is_independent_human_observation",
    "TestKind": "formula-translates",
    "Subject": "VerificationOutcomes.IsIndependentHumanObservation",
    "TargetTable": "VerificationOutcomes",
    "TargetField": "IsIndependentHumanObservation",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VerificationOutcomes.IsIndependentHumanObservation",
    "IsBlocking": true,
    "IsPassing": true,
    "IsFailing": false,
    "NeedsAttention": false,
    "PassingSuiteKey": "suite-substrate",
    "NeedsAttentionSuiteKey": null
   },
   {
    "TestCaseId": "tc-xlate-verification_outcomes-independent_observation_execution_key",
    "TestKind": "formula-translates",
    "Subject": "VerificationOutcomes.IndependentObservationExecutionKey",
    "TargetTable": "VerificationOutcomes",
    "TargetField": "IndependentObservationExecutionKey",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VerificationOutcomes.IndependentObservationExecutionKey",
    "IsBlocking": true,
    "IsPassing": true,
    "IsFailing": false,
    "NeedsAttention": false,
    "PassingSuiteKey": "suite-substrate",
    "NeedsAttentionSuiteKey": null
   },
   {
    "TestCaseId": "tc-xlate-verification_outcomes-parent_procedure_execution_of_outcome",
    "TestKind": "formula-translates",
    "Subject": "VerificationOutcomes.ParentProcedureExecutionOfOutcome",
    "TargetTable": "VerificationOutcomes",
    "TargetField": "ParentProcedureExecutionOfOutcome",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VerificationOutcomes.ParentProcedureExecutionOfOutcome",
    "IsBlocking": true,
    "IsPassing": true,
    "IsFailing": false,
    "NeedsAttention": false,
    "PassingSuiteKey": "suite-substrate",
    "NeedsAttentionSuiteKey": null
   },
   {
    "TestCaseId": "tc-xlate-observed_transitions-name",
    "TestKind": "formula-translates",
    "Subject": "ObservedTransitions.Name",
    "TargetTable": "ObservedTransitions",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ObservedTransitions.Name",
    "IsBlocking": true,
    "IsPassing": true,
    "IsFailing": false,
    "NeedsAttention": false,
    "PassingSuiteKey": "suite-substrate",
    "NeedsAttentionSuiteKey": null
   },
   {
    "TestCaseId": "tc-xlate-recipients-name",
    "TestKind": "formula-translates",
    "Subject": "Recipients.Name",
    "TargetTable": "Recipients",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Recipients.Name",
    "IsBlocking": true,
    "IsPassing": true,
    "IsFailing": false,
    "NeedsAttention": false,
    "PassingSuiteKey": "suite-substrate",
    "NeedsAttentionSuiteKey": null
   },
   {
    "TestCaseId": "tc-xlate-recipients-has_sms_consent",
    "TestKind": "formula-translates",
    "Subject": "Recipients.HasSmsConsent",
    "TargetTable": "Recipients",
    "TargetField": "HasSmsConsent",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Recipients.HasSmsConsent",
    "IsBlocking": true,
    "IsPassing": true,
    "IsFailing": false,
    "NeedsAttention": false,
    "PassingSuiteKey": "suite-substrate",
    "NeedsAttentionSuiteKey": null
   },
   {
    "TestCaseId": "tc-xlate-recipients-is_email_reachable",
    "TestKind": "formula-translates",
    "Subject": "Recipients.IsEmailReachable",
    "TargetTable": "Recipients",
    "TargetField": "IsEmailReachable",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Recipients.IsEmailReachable",
    "IsBlocking": true,
    "IsPassing": true,
    "IsFailing": false,
    "NeedsAttention": false,
    "PassingSuiteKey": "suite-substrate",
    "NeedsAttentionSuiteKey": null
   },
   {
    "TestCaseId": "tc-xlate-recipients-is_sms_reachable",
    "TestKind": "formula-translates",
    "Subject": "Recipients.IsSmsReachable",
    "TargetTable": "Recipients",
    "TargetField": "IsSmsReachable",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Recipients.IsSmsReachable",
    "IsBlocking": true,
    "IsPassing": true,
    "IsFailing": false,
    "NeedsAttention": false,
    "PassingSuiteKey": "suite-substrate",
    "NeedsAttentionSuiteKey": null
   },
   {
    "TestCaseId": "tc-xlate-recipients-is_unreachable",
    "TestKind": "formula-translates",
    "Subject": "Recipients.IsUnreachable",
    "TargetTable": "Recipients",
    "TargetField": "IsUnreachable",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Recipients.IsUnreachable",
    "IsBlocking": true,
    "IsPassing": true,
    "IsFailing": false,
    "NeedsAttention": false,
    "PassingSuiteKey": "suite-substrate",
    "NeedsAttentionSuiteKey": null
   },
   {
    "TestCaseId": "tc-xlate-recipients-is_communicationally_stranded",
    "TestKind": "formula-translates",
    "Subject": "Recipients.IsCommunicationallyStranded",
    "TargetTable": "Recipients",
    "TargetField": "IsCommunicationallyStranded",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Recipients.IsCommunicationallyStranded",
    "IsBlocking": true,
    "IsPassing": true,
    "IsFailing": false,
    "NeedsAttention": false,
    "PassingSuiteKey": "suite-substrate",
    "NeedsAttentionSuiteKey": null
   },
   {
    "TestCaseId": "tc-xlate-message_deliveries-name",
    "TestKind": "formula-translates",
    "Subject": "MessageDeliveries.Name",
    "TargetTable": "MessageDeliveries",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MessageDeliveries.Name",
    "IsBlocking": true,
    "IsPassing": true,
    "IsFailing": false,
    "NeedsAttention": false,
    "PassingSuiteKey": "suite-substrate",
    "NeedsAttentionSuiteKey": null
   },
   {
    "TestCaseId": "tc-xlate-message_deliveries-policy_channel",
    "TestKind": "formula-translates",
    "Subject": "MessageDeliveries.PolicyChannel",
    "TargetTable": "MessageDeliveries",
    "TargetField": "PolicyChannel",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MessageDeliveries.PolicyChannel",
    "IsBlocking": true,
    "IsPassing": true,
    "IsFailing": false,
    "NeedsAttention": false,
    "PassingSuiteKey": "suite-substrate",
    "NeedsAttentionSuiteKey": null
   },
   {
    "TestCaseId": "tc-xlate-message_deliveries-channel_name",
    "TestKind": "formula-translates",
    "Subject": "MessageDeliveries.ChannelName",
    "TargetTable": "MessageDeliveries",
    "TargetField": "ChannelName",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MessageDeliveries.ChannelName",
    "IsBlocking": true,
    "IsPassing": true,
    "IsFailing": false,
    "NeedsAttention": false,
    "PassingSuiteKey": "suite-substrate",
    "NeedsAttentionSuiteKey": null
   },
   {
    "TestCaseId": "tc-xlate-message_deliveries-policy_requires_consent",
    "TestKind": "formula-translates",
    "Subject": "MessageDeliveries.PolicyRequiresConsent",
    "TargetTable": "MessageDeliveries",
    "TargetField": "PolicyRequiresConsent",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MessageDeliveries.PolicyRequiresConsent",
    "IsBlocking": true,
    "IsPassing": true,
    "IsFailing": false,
    "NeedsAttention": false,
    "PassingSuiteKey": "suite-substrate",
    "NeedsAttentionSuiteKey": null
   },
   {
    "TestCaseId": "tc-xlate-message_deliveries-recipient_has_sms_consent",
    "TestKind": "formula-translates",
    "Subject": "MessageDeliveries.RecipientHasSmsConsent",
    "TargetTable": "MessageDeliveries",
    "TargetField": "RecipientHasSmsConsent",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MessageDeliveries.RecipientHasSmsConsent",
    "IsBlocking": true,
    "IsPassing": true,
    "IsFailing": false,
    "NeedsAttention": false,
    "PassingSuiteKey": "suite-substrate",
    "NeedsAttentionSuiteKey": null
   },
   {
    "TestCaseId": "tc-xlate-message_deliveries-was_actually_transmitted",
    "TestKind": "formula-translates",
    "Subject": "MessageDeliveries.WasActuallyTransmitted",
    "TargetTable": "MessageDeliveries",
    "TargetField": "WasActuallyTransmitted",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MessageDeliveries.WasActuallyTransmitted",
    "IsBlocking": true,
    "IsPassing": true,
    "IsFailing": false,
    "NeedsAttention": false,
    "PassingSuiteKey": "suite-substrate",
    "NeedsAttentionSuiteKey": null
   },
   {
    "TestCaseId": "tc-xlate-message_deliveries-is_consent_violation",
    "TestKind": "formula-translates",
    "Subject": "MessageDeliveries.IsConsentViolation",
    "TargetTable": "MessageDeliveries",
    "TargetField": "IsConsentViolation",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MessageDeliveries.IsConsentViolation",
    "IsBlocking": true,
    "IsPassing": true,
    "IsFailing": false,
    "NeedsAttention": false,
    "PassingSuiteKey": "suite-substrate",
    "NeedsAttentionSuiteKey": null
   },
   {
    "TestCaseId": "tc-xlate-message_deliveries-consent_violation_policy_key",
    "TestKind": "formula-translates",
    "Subject": "MessageDeliveries.ConsentViolationPolicyKey",
    "TargetTable": "MessageDeliveries",
    "TargetField": "ConsentViolationPolicyKey",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MessageDeliveries.ConsentViolationPolicyKey",
    "IsBlocking": true,
    "IsPassing": true,
    "IsFailing": false,
    "NeedsAttention": false,
    "PassingSuiteKey": "suite-substrate",
    "NeedsAttentionSuiteKey": null
   },
   {
    "TestCaseId": "tc-xlate-message_deliveries-policy_quiet_hours_start_hour",
    "TestKind": "formula-translates",
    "Subject": "MessageDeliveries.PolicyQuietHoursStartHour",
    "TargetTable": "MessageDeliveries",
    "TargetField": "PolicyQuietHoursStartHour",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MessageDeliveries.PolicyQuietHoursStartHour",
    "IsBlocking": true,
    "IsPassing": true,
    "IsFailing": false,
    "NeedsAttention": false,
    "PassingSuiteKey": "suite-substrate",
    "NeedsAttentionSuiteKey": null
   },
   {
    "TestCaseId": "tc-xlate-message_deliveries-policy_quiet_hours_end_hour",
    "TestKind": "formula-translates",
    "Subject": "MessageDeliveries.PolicyQuietHoursEndHour",
    "TargetTable": "MessageDeliveries",
    "TargetField": "PolicyQuietHoursEndHour",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MessageDeliveries.PolicyQuietHoursEndHour",
    "IsBlocking": true,
    "IsPassing": true,
    "IsFailing": false,
    "NeedsAttention": false,
    "PassingSuiteKey": "suite-substrate",
    "NeedsAttentionSuiteKey": null
   },
   {
    "TestCaseId": "tc-xlate-message_deliveries-policy_has_quiet_hours",
    "TestKind": "formula-translates",
    "Subject": "MessageDeliveries.PolicyHasQuietHours",
    "TargetTable": "MessageDeliveries",
    "TargetField": "PolicyHasQuietHours",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MessageDeliveries.PolicyHasQuietHours",
    "IsBlocking": true,
    "IsPassing": true,
    "IsFailing": false,
    "NeedsAttention": false,
    "PassingSuiteKey": "suite-substrate",
    "NeedsAttentionSuiteKey": null
   },
   {
    "TestCaseId": "tc-xlate-message_deliveries-quiet_window_wraps_midnight",
    "TestKind": "formula-translates",
    "Subject": "MessageDeliveries.QuietWindowWrapsMidnight",
    "TargetTable": "MessageDeliveries",
    "TargetField": "QuietWindowWrapsMidnight",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MessageDeliveries.QuietWindowWrapsMidnight",
    "IsBlocking": true,
    "IsPassing": true,
    "IsFailing": false,
    "NeedsAttention": false,
    "PassingSuiteKey": "suite-substrate",
    "NeedsAttentionSuiteKey": null
   },
   {
    "TestCaseId": "tc-xlate-message_deliveries-is_inside_quiet_window",
    "TestKind": "formula-translates",
    "Subject": "MessageDeliveries.IsInsideQuietWindow",
    "TargetTable": "MessageDeliveries",
    "TargetField": "IsInsideQuietWindow",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MessageDeliveries.IsInsideQuietWindow",
    "IsBlocking": true,
    "IsPassing": true,
    "IsFailing": false,
    "NeedsAttention": false,
    "PassingSuiteKey": "suite-substrate",
    "NeedsAttentionSuiteKey": null
   },
   {
    "TestCaseId": "tc-xlate-message_deliveries-is_quiet_hours_violation",
    "TestKind": "formula-translates",
    "Subject": "MessageDeliveries.IsQuietHoursViolation",
    "TargetTable": "MessageDeliveries",
    "TargetField": "IsQuietHoursViolation",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MessageDeliveries.IsQuietHoursViolation",
    "IsBlocking": true,
    "IsPassing": true,
    "IsFailing": false,
    "NeedsAttention": false,
    "PassingSuiteKey": "suite-substrate",
    "NeedsAttentionSuiteKey": null
   },
   {
    "TestCaseId": "tc-xlate-message_deliveries-quiet_hours_violation_policy_key",
    "TestKind": "formula-translates",
    "Subject": "MessageDeliveries.QuietHoursViolationPolicyKey",
    "TargetTable": "MessageDeliveries",
    "TargetField": "QuietHoursViolationPolicyKey",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MessageDeliveries.QuietHoursViolationPolicyKey",
    "IsBlocking": true,
    "IsPassing": true,
    "IsFailing": false,
    "NeedsAttention": false,
    "PassingSuiteKey": "suite-substrate",
    "NeedsAttentionSuiteKey": null
   },
   {
    "TestCaseId": "tc-xlate-message_deliveries-recipient_is_unreachable",
    "TestKind": "formula-translates",
    "Subject": "MessageDeliveries.RecipientIsUnreachable",
    "TargetTable": "MessageDeliveries",
    "TargetField": "RecipientIsUnreachable",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MessageDeliveries.RecipientIsUnreachable",
    "IsBlocking": true,
    "IsPassing": true,
    "IsFailing": false,
    "NeedsAttention": false,
    "PassingSuiteKey": "suite-substrate",
    "NeedsAttentionSuiteKey": null
   },
   {
    "TestCaseId": "tc-xlate-message_deliveries-is_acknowledged",
    "TestKind": "formula-translates",
    "Subject": "MessageDeliveries.IsAcknowledged",
    "TargetTable": "MessageDeliveries",
    "TargetField": "IsAcknowledged",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MessageDeliveries.IsAcknowledged",
    "IsBlocking": true,
    "IsPassing": true,
    "IsFailing": false,
    "NeedsAttention": false,
    "PassingSuiteKey": "suite-substrate",
    "NeedsAttentionSuiteKey": null
   },
   {
    "TestCaseId": "tc-xlate-message_deliveries-invoked_exception_condition",
    "TestKind": "formula-translates",
    "Subject": "MessageDeliveries.InvokedExceptionCondition",
    "TargetTable": "MessageDeliveries",
    "TargetField": "InvokedExceptionCondition",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MessageDeliveries.InvokedExceptionCondition",
    "IsBlocking": true,
    "IsPassing": true,
    "IsFailing": false,
    "NeedsAttention": false,
    "PassingSuiteKey": "suite-substrate",
    "NeedsAttentionSuiteKey": null
   },
   {
    "TestCaseId": "tc-xlate-message_deliv</t>
  </si>
  <si>
    <t xml:space="preserve">eries-has_unreachable_exception_invoked",
    "TestKind": "formula-translates",
    "Subject": "MessageDeliveries.HasUnreachableExceptionInvoked",
    "TargetTable": "MessageDeliveries",
    "TargetField": "HasUnreachableExceptionInvoked",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MessageDeliveries.HasUnreachableExceptionInvoked",
    "IsBlocking": true,
    "IsPassing": true,
    "IsFailing": false,
    "NeedsAttention": false,
    "PassingSuiteKey": "suite-substrate",
    "NeedsAttentionSuiteKey": null
   },
   {
    "TestCaseId": "tc-xlate-message_deliveries-is_fabricated_acknowledgement",
    "TestKind": "formula-translates",
    "Subject": "MessageDeliveries.IsFabricatedAcknowledgement",
    "TargetTable": "MessageDeliveries",
    "TargetField": "IsFabricatedAcknowledgement",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MessageDeliveries.IsFabricatedAcknowledgement",
    "IsBlocking": true,
    "IsPassing": true,
    "IsFailing": false,
    "NeedsAttention": false,
    "PassingSuiteKey": "suite-substrate",
    "NeedsAttentionSuiteKey": null
   },
   {
    "TestCaseId": "tc-xlate-message_deliveries-is_unhandled_unreachable",
    "TestKind": "formula-translates",
    "Subject": "MessageDeliveries.IsUnhandledUnreachable",
    "TargetTable": "MessageDeliveries",
    "TargetField": "IsUnhandledUnreachable",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MessageDeliveries.IsUnhandledUnreachable",
    "IsBlocking": true,
    "IsPassing": true,
    "IsFailing": false,
    "NeedsAttention": false,
    "PassingSuiteKey": "suite-substrate",
    "NeedsAttentionSuiteKey": null
   },
   {
    "TestCaseId": "tc-xlate-message_deliveries-unreachable_failure_key",
    "TestKind": "formula-translates",
    "Subject": "MessageDeliveries.UnreachableFailureKey",
    "TargetTable": "MessageDeliveries",
    "TargetField": "UnreachableFailureKey",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MessageDeliveries.UnreachableFailureKey",
    "IsBlocking": true,
    "IsPassing": true,
    "IsFailing": false,
    "NeedsAttention": false,
    "PassingSuiteKey": "suite-substrate",
    "NeedsAttentionSuiteKey": null
   },
   {
    "TestCaseId": "tc-xlate-message_deliveries-policy_retention_days",
    "TestKind": "formula-translates",
    "Subject": "MessageDeliveries.PolicyRetentionDays",
    "TargetTable": "MessageDeliveries",
    "TargetField": "PolicyRetentionDays",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MessageDeliveries.PolicyRetentionDays",
    "IsBlocking": true,
    "IsPassing": true,
    "IsFailing": false,
    "NeedsAttention": false,
    "PassingSuiteKey": "suite-substrate",
    "NeedsAttentionSuiteKey": null
   },
   {
    "TestCaseId": "tc-xlate-message_deliveries-as_of_instant",
    "TestKind": "formula-translates",
    "Subject": "MessageDeliveries.AsOfInstant",
    "TargetTable": "MessageDeliveries",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MessageDeliveries.AsOfInstant",
    "IsBlocking": true,
    "IsPassing": true,
    "IsFailing": false,
    "NeedsAttention": false,
    "PassingSuiteKey": "suite-substrate",
    "NeedsAttentionSuiteKey": null
   },
   {
    "TestCaseId": "tc-xlate-message_deliveries-age_days",
    "TestKind": "formula-translates",
    "Subject": "MessageDeliveries.AgeDays",
    "TargetTable": "MessageDeliveries",
    "TargetField": "AgeDays",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MessageDeliveries.AgeDays",
    "IsBlocking": true,
    "IsPassing": true,
    "IsFailing": false,
    "NeedsAttention": false,
    "PassingSuiteKey": "suite-substrate",
    "NeedsAttentionSuiteKey": null
   },
   {
    "TestCaseId": "tc-xlate-message_deliveries-is_within_retention_window",
    "TestKind": "formula-translates",
    "Subject": "MessageDeliveries.IsWithinRetentionWindow",
    "TargetTable": "MessageDeliveries",
    "TargetField": "IsWithinRetentionWindow",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MessageDeliveries.IsWithinRetentionWindow",
    "IsBlocking": true,
    "IsPassing": true,
    "IsFailing": false,
    "NeedsAttention": false,
    "PassingSuiteKey": "suite-substrate",
    "NeedsAttentionSuiteKey": null
   },
   {
    "TestCaseId": "tc-xlate-message_deliveries-has_rendered_body",
    "TestKind": "formula-translates",
    "Subject": "MessageDeliveries.HasRenderedBody",
    "TargetTable": "MessageDeliveries",
    "TargetField": "HasRenderedBody",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MessageDeliveries.HasRenderedBody",
    "IsBlocking": true,
    "IsPassing": true,
    "IsFailing": false,
    "NeedsAttention": false,
    "PassingSuiteKey": "suite-substrate",
    "NeedsAttentionSuiteKey": null
   },
   {
    "TestCaseId": "tc-xlate-message_deliveries-is_evidence_required",
    "TestKind": "formula-translates",
    "Subject": "MessageDeliveries.IsEvidenceRequired",
    "TargetTable": "MessageDeliveries",
    "TargetField": "IsEvidenceRequired",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MessageDeliveries.IsEvidenceRequired",
    "IsBlocking": true,
    "IsPassing": true,
    "IsFailing": false,
    "NeedsAttention": false,
    "PassingSuiteKey": "suite-substrate",
    "NeedsAttentionSuiteKey": null
   },
   {
    "TestCaseId": "tc-xlate-message_deliveries-is_retention_breach",
    "TestKind": "formula-translates",
    "Subject": "MessageDeliveries.IsRetentionBreach",
    "TargetTable": "MessageDeliveries",
    "TargetField": "IsRetentionBreach",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MessageDeliveries.IsRetentionBreach",
    "IsBlocking": true,
    "IsPassing": true,
    "IsFailing": false,
    "NeedsAttention": false,
    "PassingSuiteKey": "suite-substrate",
    "NeedsAttentionSuiteKey": null
   },
   {
    "TestCaseId": "tc-xlate-message_deliveries-retention_breach_execution_key",
    "TestKind": "formula-translates",
    "Subject": "MessageDeliveries.RetentionBreachExecutionKey",
    "TargetTable": "MessageDeliveries",
    "TargetField": "RetentionBreachExecutionKey",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MessageDeliveries.RetentionBreachExecutionKey",
    "IsBlocking": true,
    "IsPassing": true,
    "IsFailing": false,
    "NeedsAttention": false,
    "PassingSuiteKey": "suite-substrate",
    "NeedsAttentionSuiteKey": null
   },
   {
    "TestCaseId": "tc-xlate-message_deliveries-sending_step_execution_step",
    "TestKind": "formula-translates",
    "Subject": "MessageDeliveries.SendingStepExecutionStep",
    "TargetTable": "MessageDeliveries",
    "TargetField": "SendingStepExecutionStep",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MessageDeliveries.SendingStepExecutionStep",
    "IsBlocking": true,
    "IsPassing": true,
    "IsFailing": false,
    "NeedsAttention": false,
    "PassingSuiteKey": "suite-substrate",
    "NeedsAttentionSuiteKey": null
   },
   {
    "TestCaseId": "tc-xlate-message_deliveries-execution_has_cleared_legal_review",
    "TestKind": "formula-translates",
    "Subject": "MessageDeliveries.ExecutionHasClearedLegalReview",
    "TargetTable": "MessageDeliveries",
    "TargetField": "ExecutionHasClearedLegalReview",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MessageDeliveries.ExecutionHasClearedLegalReview",
    "IsBlocking": true,
    "IsPassing": true,
    "IsFailing": false,
    "NeedsAttention": false,
    "PassingSuiteKey": "suite-substrate",
    "NeedsAttentionSuiteKey": null
   },
   {
    "TestCaseId": "tc-xlate-message_deliveries-is_unreviewed_send",
    "TestKind": "formula-translates",
    "Subject": "MessageDeliveries.IsUnreviewedSend",
    "TargetTable": "MessageDeliveries",
    "TargetField": "IsUnreviewedSend",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MessageDeliveries.IsUnreviewedSend",
    "IsBlocking": true,
    "IsPassing": true,
    "IsFailing": false,
    "NeedsAttention": false,
    "PassingSuiteKey": "suite-substrate",
    "NeedsAttentionSuiteKey": null
   },
   {
    "TestCaseId": "tc-xlate-message_deliveries-rendered_body_length",
    "TestKind": "formula-translates",
    "Subject": "MessageDeliveries.RenderedBodyLength",
    "TargetTable": "MessageDeliveries",
    "TargetField": "RenderedBodyLength",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MessageDeliveries.RenderedBodyLength",
    "IsBlocking": true,
    "IsPassing": true,
    "IsFailing": false,
    "NeedsAttention": false,
    "PassingSuiteKey": "suite-substrate",
    "NeedsAttentionSuiteKey": null
   },
   {
    "TestCaseId": "tc-xlate-message_deliveries-policy_max_message_length_at_send",
    "TestKind": "formula-translates",
    "Subject": "MessageDeliveries.PolicyMaxMessageLengthAtSend",
    "TargetTable": "MessageDeliveries",
    "TargetField": "PolicyMaxMessageLengthAtSend",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MessageDeliveries.PolicyMaxMessageLengthAtSend",
    "IsBlocking": true,
    "IsPassing": true,
    "IsFailing": false,
    "NeedsAttention": false,
    "PassingSuiteKey": "suite-substrate",
    "NeedsAttentionSuiteKey": null
   },
   {
    "TestCaseId": "tc-xlate-message_deliveries-segment_count",
    "TestKind": "formula-translates",
    "Subject": "MessageDeliveries.SegmentCount",
    "TargetTable": "MessageDeliveries",
    "TargetField": "SegmentCount",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MessageDeliveries.SegmentCount",
    "IsBlocking": true,
    "IsPassing": true,
    "IsFailing": false,
    "NeedsAttention": false,
    "PassingSuiteKey": "suite-substrate",
    "NeedsAttentionSuiteKey": null
   },
   {
    "TestCaseId": "tc-xlate-message_deliveries-policy_max_segments_at_send",
    "TestKind": "formula-translates",
    "Subject": "MessageDeliveries.PolicyMaxSegmentsAtSend",
    "TargetTable": "MessageDeliveries",
    "TargetField": "PolicyMaxSegmentsAtSend",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MessageDeliveries.PolicyMaxSegmentsAtSend",
    "IsBlocking": true,
    "IsPassing": true,
    "IsFailing": false,
    "NeedsAttention": false,
    "PassingSuiteKey": "suite-substrate",
    "NeedsAttentionSuiteKey": null
   },
   {
    "TestCaseId": "tc-xlate-message_deliveries-is_over_segment_limit",
    "TestKind": "formula-translates",
    "Subject": "MessageDeliveries.IsOverSegmentLimit",
    "TargetTable": "MessageDeliveries",
    "TargetField": "IsOverSegmentLimit",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MessageDeliveries.IsOverSegmentLimit",
    "IsBlocking": true,
    "IsPassing": true,
    "IsFailing": false,
    "NeedsAttention": false,
    "PassingSuiteKey": "suite-substrate",
    "NeedsAttentionSuiteKey": null
   },
   {
    "TestCaseId": "tc-xlate-message_deliveries-template_has_valid_approval",
    "TestKind": "formula-translates",
    "Subject": "MessageDeliveries.TemplateHasValidApproval",
    "TargetTable": "MessageDeliveries",
    "TargetField": "TemplateHasValidApproval",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MessageDeliveries.TemplateHasValidApproval",
    "IsBlocking": true,
    "IsPassing": true,
    "IsFailing": false,
    "NeedsAttention": false,
    "PassingSuiteKey": "suite-substrate",
    "NeedsAttentionSuiteKey": null
   },
   {
    "TestCaseId": "tc-xlate-message_deliveries-is_unapproved_send",
    "TestKind": "formula-translates",
    "Subject": "MessageDeliveries.IsUnapprovedSend",
    "TargetTable": "MessageDeliveries",
    "TargetField": "IsUnapprovedSend",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MessageDeliveries.IsUnapprovedSend",
    "IsBlocking": true,
    "IsPassing": true,
    "IsFailing": false,
    "NeedsAttention": false,
    "PassingSuiteKey": "suite-substrate",
    "NeedsAttentionSuiteKey": null
   },
   {
    "TestCaseId": "tc-xlate-message_deliveries-policy_required_opt_out_phrase",
    "TestKind": "formula-translates",
    "Subject": "MessageDeliveries.PolicyRequiredOptOutPhrase",
    "TargetTable": "MessageDeliveries",
    "TargetField": "PolicyRequiredOptOutPhrase",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MessageDeliveries.PolicyRequiredOptOutPhrase",
    "IsBlocking": true,
    "IsPassing": true,
    "IsFailing": false,
    "NeedsAttention": false,
    "PassingSuiteKey": "suite-substrate",
    "NeedsAttentionSuiteKey": null
   },
   {
    "TestCaseId": "tc-xlate-message_deliveries-policy_requires_opt_out",
    "TestKind": "formula-translates",
    "Subject": "MessageDeliveries.PolicyRequiresOptOut",
    "TargetTable": "MessageDeliveries",
    "TargetField": "PolicyRequiresOptOut",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MessageDeliveries.PolicyRequiresOptOut",
    "IsBlocking": true,
    "IsPassing": true,
    "IsFailing": false,
    "NeedsAttention": false,
    "PassingSuiteKey": "suite-substrate",
    "NeedsAttentionSuiteKey": null
   },
   {
    "TestCaseId": "tc-xlate-message_deliveries-opt_out_phrase_position",
    "TestKind": "formula-translates",
    "Subject": "MessageDeliveries.OptOutPhrasePosition",
    "TargetTable": "MessageDeliveries",
    "TargetField": "OptOutPhrasePosition",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MessageDeliveries.OptOutPhrasePosition",
    "IsBlocking": true,
    "IsPassing": true,
    "IsFailing": false,
    "NeedsAttention": false,
    "PassingSuiteKey": "suite-substrate",
    "NeedsAttentionSuiteKey": null
   },
   {
    "TestCaseId": "tc-xlate-message_deliveries-has_opt_out_phrase",
    "TestKind": "formula-translates",
    "Subject": "MessageDeliveries.HasOptOutPhrase",
    "TargetTable": "MessageDeliveries",
    "TargetField": "HasOptOutPhrase",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MessageDeliveries.HasOptOutPhrase",
    "IsBlocking": true,
    "IsPassing": true,
    "IsFailing": false,
    "NeedsAttention": false,
    "PassingSuiteKey": "suite-substrate",
    "NeedsAttentionSuiteKey": null
   },
   {
    "TestCaseId": "tc-xlate-message_deliveries-is_opt_out_in_first_segment",
    "TestKind": "formula-translates",
    "Subject": "MessageDeliveries.IsOptOutInFirstSegment",
    "TargetTable": "MessageDeliveries",
    "TargetField": "IsOptOutInFirstSegment",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MessageDeliveries.IsOptOutInFirstSegment",
    "IsBlocking": true,
    "IsPassing": true,
    "IsFailing": false,
    "NeedsAttention": false,
    "PassingSuiteKey": "suite-substrate",
    "NeedsAttentionSuiteKey": null
   },
   {
    "TestCaseId": "tc-xlate-message_deliveries-is_missing_required_opt_out",
    "TestKind": "formula-translates",
    "Subject": "MessageDeliveries.IsMissingRequiredOptOut",
    "TargetTable": "MessageDeliveries",
    "TargetField": "IsMissingRequiredOptOut",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MessageDeliveries.IsMissingRequiredOptOut",
    "IsBlocking": true,
    "IsPassing": true,
    "IsFailing": false,
    "NeedsAttention": false,
    "PassingSuiteKey": "suite-substrate",
    "NeedsAttentionSuiteKey": null
   },
   {
    "TestCaseId": "tc-xlate-message_deliveries-is_opt_out_at_risk_of_truncation",
    "TestKind": "formula-translates",
    "Subject": "MessageDeliveries.IsOptOutAtRiskOfTruncation",
    "TargetTable": "MessageDeliveries",
    "TargetField": "IsOptOutAtRiskOfTruncation",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MessageDeliveries.IsOptOutAtRiskOfTruncation",
    "IsBlocking": true,
    "IsPassing": true,
    "IsFailing": false,
    "NeedsAttention": false,
    "PassingSuiteKey": "suite-substrate",
    "NeedsAttentionSuiteKey": null
   },
   {
    "TestCaseId": "tc-xlate-message_deliveries-is_failed_delivery",
    "TestKind": "formula-translates",
    "Subject": "MessageDeliveries.IsFailedDelivery",
    "TargetTable": "MessageDeliveries",
    "TargetField": "IsFailedDelivery",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MessageDeliveries.IsFailedDelivery",
    "IsBlocking": true,
    "IsPassing": true,
    "IsFailing": false,
    "NeedsAttention": false,
    "PassingSuiteKey": "suite-substrate",
    "NeedsAttentionSuiteKey": null
   },
   {
    "TestCaseId": "tc-xlate-message_deliveries-is_suppressed",
    "TestKind": "formula-translates",
    "Subject": "MessageDeliveries.IsSuppressed",
    "TargetTable": "MessageDeliveries",
    "TargetField": "IsSuppressed",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MessageDeliveries.IsSuppressed",
    "IsBlocking": true,
    "IsPassing": true,
    "IsFailing": false,
    "NeedsAttention": false,
    "PassingSuiteKey": "suite-substrate",
    "NeedsAttentionSuiteKey": null
   },
   {
    "TestCaseId": "tc-xlate-message_deliveries-is_triaged",
    "TestKind": "formula-translates",
    "Subject": "MessageDeliveries.IsTriaged",
    "TargetTable": "MessageDeliveries",
    "TargetField": "IsTriaged",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MessageDeliveries.IsTriaged",
    "IsBlocking": true,
    "IsPassing": true,
    "IsFailing": false,
    "NeedsAttention": false,
    "PassingSuiteKey": "suite-substrate",
    "NeedsAttentionSuiteKey": null
   },
   {
    "TestCaseId": "tc-xlate-message_deliveries-is_abandoned_failure",
    "TestKind": "formula-translates",
    "Subject": "MessageDeliveries.IsAbandonedFailure",
    "TargetTable": "MessageDeliveries",
    "TargetField": "IsAbandonedFailure",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MessageDeliveries.IsAbandonedFailure",
    "IsBlocking": true,
    "IsPassing": true,
    "IsFailing": false,
    "NeedsAttention": false,
    "PassingSuiteKey": "suite-substrate",
    "NeedsAttentionSuiteKey": null
   },
   {
    "TestCaseId": "tc-xlate-message_deliveries-abandoned_failure_execution_key",
    "TestKind": "formula-translates",
    "Subject": "MessageDeliveries.AbandonedFailureExecutionKey",
    "TargetTable": "MessageDeliveries",
    "TargetField": "AbandonedFailureExecutionKey",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MessageDeliveries.AbandonedFailureExecutionKey",
    "IsBlocking": true,
    "IsPassing": true,
    "IsFailing": false,
    "NeedsAttention": false,
    "PassingSuiteKey": "suite-substrate",
    "NeedsAttentionSuiteKey": null
   },
   {
    "TestCaseId": "tc-xlate-message_deliveries-reached_execution_key",
    "TestKind": "formula-translates",
    "Subject": "MessageDeliveries.ReachedExecutionKey",
    "TargetTable": "MessageDeliveries",
    "TargetField": "ReachedExecutionKey",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MessageDeliveries.ReachedExecutionKey",
    "IsBlocking": true,
    "IsPassing": true,
    "IsFailing": false,
    "NeedsAttention": false,
    "PassingSuiteKey": "suite-substrate",
    "NeedsAttentionSuiteKey": null
   },
   {
    "TestCaseId": "tc-xlate-message_deliveries-template_was_sendable",
    "TestKind": "formula-translates",
    "Subject": "MessageDeliveries.TemplateWasSendable",
    "TargetTable": "MessageDeliveries",
    "TargetField": "TemplateWasSendable",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MessageDeliveries.TemplateWasSendable",
    "IsBlocking": true,
    "IsPassing": true,
    "IsFailing": false,
    "NeedsAttention": false,
    "PassingSuiteKey": "suite-substrate",
    "NeedsAttentionSuiteKey": null
   },
   {
    "TestCaseId": "tc-xlate-message_deliveries-is_drifted_send",
    "TestKind": "formula-translates",
    "Subject": "MessageDeliveries.IsDriftedSend",
    "TargetTable": "MessageDeliveries",
    "TargetField": "IsDriftedSend",
    "Assertion": "The transpiler emitted a real SQL function for this formula rather than a NULL stub.",
    "DefendsQuestion": "q-comms-template-drift",
    "Suite": "suite-substrate",
    "Severity": "blocking",
   </t>
  </si>
  <si>
    <t xml:space="preserve"> "LastOutcome": "PASS",
    "LastDetail": "translated",
    "LastRunAt": "2026-07-20T03:06:49+00:00",
    "SemanticTypeIri": "urn:effortless:pko-extension#TestCase",
    "Name": "formula-translates: MessageDeliveries.IsDriftedSend",
    "IsBlocking": true,
    "IsPassing": true,
    "IsFailing": false,
    "NeedsAttention": false,
    "PassingSuiteKey": "suite-substrate",
    "NeedsAttentionSuiteKey": null
   },
   {
    "TestCaseId": "tc-xlate-message_deliveries-drifted_send_template_key",
    "TestKind": "formula-translates",
    "Subject": "MessageDeliveries.DriftedSendTemplateKey",
    "TargetTable": "MessageDeliveries",
    "TargetField": "DriftedSendTemplateKey",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MessageDeliveries.DriftedSendTemplateKey",
    "IsBlocking": true,
    "IsPassing": true,
    "IsFailing": false,
    "NeedsAttention": false,
    "PassingSuiteKey": "suite-substrate",
    "NeedsAttentionSuiteKey": null
   },
   {
    "TestCaseId": "tc-xlate-message_deliveries-was_sent_outside_business_hours",
    "TestKind": "formula-translates",
    "Subject": "MessageDeliveries.WasSentOutsideBusinessHours",
    "TargetTable": "MessageDeliveries",
    "TargetField": "WasSentOutsideBusinessHours",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MessageDeliveries.WasSentOutsideBusinessHours",
    "IsBlocking": true,
    "IsPassing": true,
    "IsFailing": false,
    "NeedsAttention": false,
    "PassingSuiteKey": "suite-substrate",
    "NeedsAttentionSuiteKey": null
   },
   {
    "TestCaseId": "tc-xlate-message_deliveries-was_delivered_and_unanswered",
    "TestKind": "formula-translates",
    "Subject": "MessageDeliveries.WasDeliveredAndUnanswered",
    "TargetTable": "MessageDeliveries",
    "TargetField": "WasDeliveredAndUnanswered",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MessageDeliveries.WasDeliveredAndUnanswered",
    "IsBlocking": true,
    "IsPassing": true,
    "IsFailing": false,
    "NeedsAttention": false,
    "PassingSuiteKey": "suite-substrate",
    "NeedsAttentionSuiteKey": null
   },
   {
    "TestCaseId": "tc-xlate-message_deliveries-is_poorly_timed_unanswered",
    "TestKind": "formula-translates",
    "Subject": "MessageDeliveries.IsPoorlyTimedUnanswered",
    "TargetTable": "MessageDeliveries",
    "TargetField": "IsPoorlyTimedUnanswered",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MessageDeliveries.IsPoorlyTimedUnanswered",
    "IsBlocking": true,
    "IsPassing": true,
    "IsFailing": false,
    "NeedsAttention": false,
    "PassingSuiteKey": "suite-substrate",
    "NeedsAttentionSuiteKey": null
   },
   {
    "TestCaseId": "tc-xlate-message_deliveries-is_well_timed_unanswered",
    "TestKind": "formula-translates",
    "Subject": "MessageDeliveries.IsWellTimedUnanswered",
    "TargetTable": "MessageDeliveries",
    "TargetField": "IsWellTimedUnanswered",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MessageDeliveries.IsWellTimedUnanswered",
    "IsBlocking": true,
    "IsPassing": true,
    "IsFailing": false,
    "NeedsAttention": false,
    "PassingSuiteKey": "suite-substrate",
    "NeedsAttentionSuiteKey": null
   },
   {
    "TestCaseId": "tc-xlate-message_deliveries-unanswered_template_key",
    "TestKind": "formula-translates",
    "Subject": "MessageDeliveries.UnansweredTemplateKey",
    "TargetTable": "MessageDeliveries",
    "TargetField": "UnansweredTemplateKey",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MessageDeliveries.UnansweredTemplateKey",
    "IsBlocking": true,
    "IsPassing": true,
    "IsFailing": false,
    "NeedsAttention": false,
    "PassingSuiteKey": "suite-substrate",
    "NeedsAttentionSuiteKey": null
   },
   {
    "TestCaseId": "tc-xlate-message_deliveries-transmitted_template_key",
    "TestKind": "formula-translates",
    "Subject": "MessageDeliveries.TransmittedTemplateKey",
    "TargetTable": "MessageDeliveries",
    "TargetField": "TransmittedTemplateKey",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MessageDeliveries.TransmittedTemplateKey",
    "IsBlocking": true,
    "IsPassing": true,
    "IsFailing": false,
    "NeedsAttention": false,
    "PassingSuiteKey": "suite-substrate",
    "NeedsAttentionSuiteKey": null
   },
   {
    "TestCaseId": "tc-xlate-message_deliveries-approval_preceded_send",
    "TestKind": "formula-translates",
    "Subject": "MessageDeliveries.ApprovalPrecededSend",
    "TargetTable": "MessageDeliveries",
    "TargetField": "ApprovalPrecededSend",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MessageDeliveries.ApprovalPrecededSend",
    "IsBlocking": true,
    "IsPassing": true,
    "IsFailing": false,
    "NeedsAttention": false,
    "PassingSuiteKey": "suite-substrate",
    "NeedsAttentionSuiteKey": null
   },
   {
    "TestCaseId": "tc-xlate-message_deliveries-has_frozen_approval_evidence",
    "TestKind": "formula-translates",
    "Subject": "MessageDeliveries.HasFrozenApprovalEvidence",
    "TargetTable": "MessageDeliveries",
    "TargetField": "HasFrozenApprovalEvidence",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MessageDeliveries.HasFrozenApprovalEvidence",
    "IsBlocking": true,
    "IsPassing": true,
    "IsFailing": false,
    "NeedsAttention": false,
    "PassingSuiteKey": "suite-substrate",
    "NeedsAttentionSuiteKey": null
   },
   {
    "TestCaseId": "tc-xlate-message_deliveries-provenance_is_live_derived",
    "TestKind": "formula-translates",
    "Subject": "MessageDeliveries.ProvenanceIsLiveDerived",
    "TargetTable": "MessageDeliveries",
    "TargetField": "ProvenanceIsLiveDerived",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MessageDeliveries.ProvenanceIsLiveDerived",
    "IsBlocking": true,
    "IsPassing": true,
    "IsFailing": false,
    "NeedsAttention": false,
    "PassingSuiteKey": "suite-substrate",
    "NeedsAttentionSuiteKey": null
   },
   {
    "TestCaseId": "tc-xlate-message_deliveries-current_last_approval_at",
    "TestKind": "formula-translates",
    "Subject": "MessageDeliveries.CurrentLastApprovalAt",
    "TargetTable": "MessageDeliveries",
    "TargetField": "CurrentLastApprovalAt",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MessageDeliveries.CurrentLastApprovalAt",
    "IsBlocking": true,
    "IsPassing": true,
    "IsFailing": false,
    "NeedsAttention": false,
    "PassingSuiteKey": "suite-substrate",
    "NeedsAttentionSuiteKey": null
   },
   {
    "TestCaseId": "tc-xlate-message_deliveries-template_reapproved_since_send",
    "TestKind": "formula-translates",
    "Subject": "MessageDeliveries.TemplateReapprovedSinceSend",
    "TargetTable": "MessageDeliveries",
    "TargetField": "TemplateReapprovedSinceSend",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MessageDeliveries.TemplateReapprovedSinceSend",
    "IsBlocking": true,
    "IsPassing": true,
    "IsFailing": false,
    "NeedsAttention": false,
    "PassingSuiteKey": "suite-substrate",
    "NeedsAttentionSuiteKey": null
   },
   {
    "TestCaseId": "tc-xlate-message_deliveries-is_unprovable_approval_claim",
    "TestKind": "formula-translates",
    "Subject": "MessageDeliveries.IsUnprovableApprovalClaim",
    "TargetTable": "MessageDeliveries",
    "TargetField": "IsUnprovableApprovalClaim",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MessageDeliveries.IsUnprovableApprovalClaim",
    "IsBlocking": true,
    "IsPassing": true,
    "IsFailing": false,
    "NeedsAttention": false,
    "PassingSuiteKey": "suite-substrate",
    "NeedsAttentionSuiteKey": null
   },
   {
    "TestCaseId": "tc-xlate-message_deliveries-has_sent_reminder",
    "TestKind": "formula-translates",
    "Subject": "MessageDeliveries.HasSentReminder",
    "TargetTable": "MessageDeliveries",
    "TargetField": "HasSentReminder",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MessageDeliveries.HasSentReminder",
    "IsBlocking": true,
    "IsPassing": true,
    "IsFailing": false,
    "NeedsAttention": false,
    "PassingSuiteKey": "suite-substrate",
    "NeedsAttentionSuiteKey": null
   },
   {
    "TestCaseId": "tc-xlate-message_deliveries-acknowledgement_is_outstanding",
    "TestKind": "formula-translates",
    "Subject": "MessageDeliveries.AcknowledgementIsOutstanding",
    "TargetTable": "MessageDeliveries",
    "TargetField": "AcknowledgementIsOutstanding",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MessageDeliveries.AcknowledgementIsOutstanding",
    "IsBlocking": true,
    "IsPassing": true,
    "IsFailing": false,
    "NeedsAttention": false,
    "PassingSuiteKey": "suite-substrate",
    "NeedsAttentionSuiteKey": null
   },
   {
    "TestCaseId": "tc-xlate-message_deliveries-outstanding_age_days",
    "TestKind": "formula-translates",
    "Subject": "MessageDeliveries.OutstandingAgeDays",
    "TargetTable": "MessageDeliveries",
    "TargetField": "OutstandingAgeDays",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MessageDeliveries.OutstandingAgeDays",
    "IsBlocking": true,
    "IsPassing": true,
    "IsFailing": false,
    "NeedsAttention": false,
    "PassingSuiteKey": "suite-substrate",
    "NeedsAttentionSuiteKey": null
   },
   {
    "TestCaseId": "tc-xlate-message_deliveries-is_unchased_acknowledgement",
    "TestKind": "formula-translates",
    "Subject": "MessageDeliveries.IsUnchasedAcknowledgement",
    "TargetTable": "MessageDeliveries",
    "TargetField": "IsUnchasedAcknowledgement",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MessageDeliveries.IsUnchasedAcknowledgement",
    "IsBlocking": true,
    "IsPassing": true,
    "IsFailing": false,
    "NeedsAttention": false,
    "PassingSuiteKey": "suite-substrate",
    "NeedsAttentionSuiteKey": null
   },
   {
    "TestCaseId": "tc-xlate-message_deliveries-is_exhausted_follow_up",
    "TestKind": "formula-translates",
    "Subject": "MessageDeliveries.IsExhaustedFollowUp",
    "TargetTable": "MessageDeliveries",
    "TargetField": "IsExhaustedFollowUp",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MessageDeliveries.IsExhaustedFollowUp",
    "IsBlocking": true,
    "IsPassing": true,
    "IsFailing": false,
    "NeedsAttention": false,
    "PassingSuiteKey": "suite-substrate",
    "NeedsAttentionSuiteKey": null
   },
   {
    "TestCaseId": "tc-xlate-message_deliveries-needs_human_escalation",
    "TestKind": "formula-translates",
    "Subject": "MessageDeliveries.NeedsHumanEscalation",
    "TargetTable": "MessageDeliveries",
    "TargetField": "NeedsHumanEscalation",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MessageDeliveries.NeedsHumanEscalation",
    "IsBlocking": true,
    "IsPassing": true,
    "IsFailing": false,
    "NeedsAttention": false,
    "PassingSuiteKey": "suite-substrate",
    "NeedsAttentionSuiteKey": null
   },
   {
    "TestCaseId": "tc-xlate-template_approvals-name",
    "TestKind": "formula-translates",
    "Subject": "TemplateApprovals.Name",
    "TargetTable": "TemplateApprovals",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TemplateApprovals.Name",
    "IsBlocking": true,
    "IsPassing": true,
    "IsFailing": false,
    "NeedsAttention": false,
    "PassingSuiteKey": "suite-substrate",
    "NeedsAttentionSuiteKey": null
   },
   {
    "TestCaseId": "tc-xlate-template_approvals-is_approval_decision",
    "TestKind": "formula-translates",
    "Subject": "TemplateApprovals.IsApprovalDecision",
    "TargetTable": "TemplateApprovals",
    "TargetField": "IsApprovalDecision",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TemplateApprovals.IsApprovalDecision",
    "IsBlocking": true,
    "IsPassing": true,
    "IsFailing": false,
    "NeedsAttention": false,
    "PassingSuiteKey": "suite-substrate",
    "NeedsAttentionSuiteKey": null
   },
   {
    "TestCaseId": "tc-xlate-template_approvals-template_policy",
    "TestKind": "formula-translates",
    "Subject": "TemplateApprovals.TemplatePolicy",
    "TargetTable": "TemplateApprovals",
    "TargetField": "TemplatePolicy",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TemplateApprovals.TemplatePolicy",
    "IsBlocking": true,
    "IsPassing": true,
    "IsFailing": false,
    "NeedsAttention": false,
    "PassingSuiteKey": "suite-substrate",
    "NeedsAttentionSuiteKey": null
   },
   {
    "TestCaseId": "tc-xlate-template_approvals-required_approval_role",
    "TestKind": "formula-translates",
    "Subject": "TemplateApprovals.RequiredApprovalRole",
    "TargetTable": "TemplateApprovals",
    "TargetField": "RequiredApprovalRole",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TemplateApprovals.RequiredApprovalRole",
    "IsBlocking": true,
    "IsPassing": true,
    "IsFailing": false,
    "NeedsAttention": false,
    "PassingSuiteKey": "suite-substrate",
    "NeedsAttentionSuiteKey": null
   },
   {
    "TestCaseId": "tc-xlate-template_approvals-is_decided_by_required_role",
    "TestKind": "formula-translates",
    "Subject": "TemplateApprovals.IsDecidedByRequiredRole",
    "TargetTable": "TemplateApprovals",
    "TargetField": "IsDecidedByRequiredRole",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TemplateApprovals.IsDecidedByRequiredRole",
    "IsBlocking": true,
    "IsPassing": true,
    "IsFailing": false,
    "NeedsAttention": false,
    "PassingSuiteKey": "suite-substrate",
    "NeedsAttentionSuiteKey": null
   },
   {
    "TestCaseId": "tc-xlate-template_approvals-valid_approval_template_key",
    "TestKind": "formula-translates",
    "Subject": "TemplateApprovals.ValidApprovalTemplateKey",
    "TargetTable": "TemplateApprovals",
    "TargetField": "ValidApprovalTemplateKey",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TemplateApprovals.ValidApprovalTemplateKey",
    "IsBlocking": true,
    "IsPassing": true,
    "IsFailing": false,
    "NeedsAttention": false,
    "PassingSuiteKey": "suite-substrate",
    "NeedsAttentionSuiteKey": null
   },
   {
    "TestCaseId": "tc-xlate-send_intents-name",
    "TestKind": "formula-translates",
    "Subject": "SendIntents.Name",
    "TargetTable": "SendIntents",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SendIntents.Name",
    "IsBlocking": true,
    "IsPassing": true,
    "IsFailing": false,
    "NeedsAttention": false,
    "PassingSuiteKey": "suite-substrate",
    "NeedsAttentionSuiteKey": null
   },
   {
    "TestCaseId": "tc-xlate-send_intents-intent_policy",
    "TestKind": "formula-translates",
    "Subject": "SendIntents.IntentPolicy",
    "TargetTable": "SendIntents",
    "TargetField": "IntentPolicy",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SendIntents.IntentPolicy",
    "IsBlocking": true,
    "IsPassing": true,
    "IsFailing": false,
    "NeedsAttention": false,
    "PassingSuiteKey": "suite-substrate",
    "NeedsAttentionSuiteKey": null
   },
   {
    "TestCaseId": "tc-xlate-send_intents-intent_channel",
    "TestKind": "formula-translates",
    "Subject": "SendIntents.IntentChannel",
    "TargetTable": "SendIntents",
    "TargetField": "IntentChannel",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SendIntents.IntentChannel",
    "IsBlocking": true,
    "IsPassing": true,
    "IsFailing": false,
    "NeedsAttention": false,
    "PassingSuiteKey": "suite-substrate",
    "NeedsAttentionSuiteKey": null
   },
   {
    "TestCaseId": "tc-xlate-send_intents-policy_is_active",
    "TestKind": "formula-translates",
    "Subject": "SendIntents.PolicyIsActive",
    "TargetTable": "SendIntents",
    "TargetField": "PolicyIsActive",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SendIntents.PolicyIsActive",
    "IsBlocking": true,
    "IsPassing": true,
    "IsFailing": false,
    "NeedsAttention": false,
    "PassingSuiteKey": "suite-substrate",
    "NeedsAttentionSuiteKey": null
   },
   {
    "TestCaseId": "tc-xlate-send_intents-intent_requires_consent",
    "TestKind": "formula-translates",
    "Subject": "SendIntents.IntentRequiresConsent",
    "TargetTable": "SendIntents",
    "TargetField": "IntentRequiresConsent",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SendIntents.IntentRequiresConsent",
    "IsBlocking": true,
    "IsPassing": true,
    "IsFailing": false,
    "NeedsAttention": false,
    "PassingSuiteKey": "suite-substrate",
    "NeedsAttentionSuiteKey": null
   },
   {
    "TestCaseId": "tc-xlate-send_intents-recipient_has_channel_consent",
    "TestKind": "formula-translates",
    "Subject": "SendIntents.RecipientHasChannelConsent",
    "TargetTable": "SendIntents",
    "TargetField": "RecipientHasChannelConsent",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SendIntents.RecipientHasChannelConsent",
    "IsBlocking": true,
    "IsPassing": true,
    "IsFailing": false,
    "NeedsAttention": false,
    "PassingSuiteKey": "suite-substrate",
    "NeedsAttentionSuiteKey": null
   },
   {
    "TestCaseId": "tc-xlate-send_intents-consent_gate_passed",
    "TestKind": "formula-translates",
    "Subject": "SendIntents.ConsentGatePassed",
    "TargetTable": "SendIntents",
    "TargetField": "ConsentGatePassed",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SendIntents.ConsentGatePassed",
    "IsBlocking": true,
    "IsPassing": true,
    "IsFailing": false,
    "NeedsAttention": false,
    "PassingSuiteKey": "suite-substrate",
    "NeedsAttentionSuiteKey": null
   },
   {
    "TestCaseId": "tc-xlate-send_intents-recipient_is_sms_reachable",
    "TestKind": "formula-translates",
    "Subject": "SendIntents.RecipientIsSmsReachable",
    "TargetTable": "SendIntents",
    "TargetField": "RecipientIsSmsReachable",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SendIntents.RecipientIsSmsReachable",
    "IsBlocking": true,
    "IsPassing": true,
    "IsFailing": false,
    "NeedsAttention": false,
    "PassingSuiteKey": "suite-substrate",
    "NeedsAttentionSuiteKey": null
   },
   {
    "TestCaseId": "tc-xlate-send_intents-recipient_is_email_reachable",
    "TestKind": "formula-translates",
    "Subject": "SendIntents.RecipientIsEmailReachable",
    "TargetTable": "SendIntents",
    "TargetField": "RecipientIsEmailReachable",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SendIntents.RecipientIsEmailReachable",
    "IsBlocking": true,
    "IsPassing": true,
    "IsFailing": false,
    "NeedsAttention": false,
    "PassingSuiteKey": "suite-substrate",
    "NeedsAttentionSuiteKey": null
   },
   {
    "TestCaseId": "tc-xlate-send_intents-reachability_gate_passed",
    "TestKind": "formula-translates",
    "Subject": "SendIntents.ReachabilityGatePassed",
    "TargetTable": "SendIntents",
    "TargetField": "ReachabilityGatePassed",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SendIntents.ReachabilityGatePassed",
    "IsBlocking": true,
    "IsPassing": true,
    "IsFailing": false,
    "NeedsAttention": false,
    "PassingSuiteKey": "suite-substrate",
    "NeedsAttentionSuiteKey": null
   },
   {
    "TestCaseId": "tc-xlate-send_intents-permission_gate_passed",
    "TestKind": "formula-translates",
    "Subject": "SendIntents.PermissionGatePassed",
    "TargetTable": "SendIntents",
    "TargetField": "PermissionGatePassed",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SendIntents.PermissionGatePassed",
    "IsBlocking": true,
    "IsPassing": true,
    "IsFailing": false,
    "NeedsAttention": false,
    "PassingSuiteKey": "suite-substrate",
    "NeedsAttentionSuiteKey": null
   },
   {
    "TestCaseId": "tc-xlate-send_intents-intent_quiet_start_hour",
    "TestKind": "formula-translates",
    "Subject": "SendIntents.IntentQuietS</t>
  </si>
  <si>
    <t xml:space="preserve">tartHour",
    "TargetTable": "SendIntents",
    "TargetField": "IntentQuietStartHour",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SendIntents.IntentQuietStartHour",
    "IsBlocking": true,
    "IsPassing": true,
    "IsFailing": false,
    "NeedsAttention": false,
    "PassingSuiteKey": "suite-substrate",
    "NeedsAttentionSuiteKey": null
   },
   {
    "TestCaseId": "tc-xlate-send_intents-intent_quiet_end_hour",
    "TestKind": "formula-translates",
    "Subject": "SendIntents.IntentQuietEndHour",
    "TargetTable": "SendIntents",
    "TargetField": "IntentQuietEndHour",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SendIntents.IntentQuietEndHour",
    "IsBlocking": true,
    "IsPassing": true,
    "IsFailing": false,
    "NeedsAttention": false,
    "PassingSuiteKey": "suite-substrate",
    "NeedsAttentionSuiteKey": null
   },
   {
    "TestCaseId": "tc-xlate-send_intents-intent_policy_has_quiet_hours",
    "TestKind": "formula-translates",
    "Subject": "SendIntents.IntentPolicyHasQuietHours",
    "TargetTable": "SendIntents",
    "TargetField": "IntentPolicyHasQuietHours",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SendIntents.IntentPolicyHasQuietHours",
    "IsBlocking": true,
    "IsPassing": true,
    "IsFailing": false,
    "NeedsAttention": false,
    "PassingSuiteKey": "suite-substrate",
    "NeedsAttentionSuiteKey": null
   },
   {
    "TestCaseId": "tc-xlate-send_intents-intent_quiet_window_wraps",
    "TestKind": "formula-translates",
    "Subject": "SendIntents.IntentQuietWindowWraps",
    "TargetTable": "SendIntents",
    "TargetField": "IntentQuietWindowWraps",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SendIntents.IntentQuietWindowWraps",
    "IsBlocking": true,
    "IsPassing": true,
    "IsFailing": false,
    "NeedsAttention": false,
    "PassingSuiteKey": "suite-substrate",
    "NeedsAttentionSuiteKey": null
   },
   {
    "TestCaseId": "tc-xlate-send_intents-intent_is_inside_quiet_window",
    "TestKind": "formula-translates",
    "Subject": "SendIntents.IntentIsInsideQuietWindow",
    "TargetTable": "SendIntents",
    "TargetField": "IntentIsInsideQuietWindow",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SendIntents.IntentIsInsideQuietWindow",
    "IsBlocking": true,
    "IsPassing": true,
    "IsFailing": false,
    "NeedsAttention": false,
    "PassingSuiteKey": "suite-substrate",
    "NeedsAttentionSuiteKey": null
   },
   {
    "TestCaseId": "tc-xlate-send_intents-timing_gate_passed",
    "TestKind": "formula-translates",
    "Subject": "SendIntents.TimingGatePassed",
    "TargetTable": "SendIntents",
    "TargetField": "TimingGatePassed",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SendIntents.TimingGatePassed",
    "IsBlocking": true,
    "IsPassing": true,
    "IsFailing": false,
    "NeedsAttention": false,
    "PassingSuiteKey": "suite-substrate",
    "NeedsAttentionSuiteKey": null
   },
   {
    "TestCaseId": "tc-xlate-send_intents-hours_until_window_opens",
    "TestKind": "formula-translates",
    "Subject": "SendIntents.HoursUntilWindowOpens",
    "TargetTable": "SendIntents",
    "TargetField": "HoursUntilWindowOpens",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SendIntents.HoursUntilWindowOpens",
    "IsBlocking": true,
    "IsPassing": true,
    "IsFailing": false,
    "NeedsAttention": false,
    "PassingSuiteKey": "suite-substrate",
    "NeedsAttentionSuiteKey": null
   },
   {
    "TestCaseId": "tc-xlate-send_intents-intent_max_message_length",
    "TestKind": "formula-translates",
    "Subject": "SendIntents.IntentMaxMessageLength",
    "TargetTable": "SendIntents",
    "TargetField": "IntentMaxMessageLength",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SendIntents.IntentMaxMessageLength",
    "IsBlocking": true,
    "IsPassing": true,
    "IsFailing": false,
    "NeedsAttention": false,
    "PassingSuiteKey": "suite-substrate",
    "NeedsAttentionSuiteKey": null
   },
   {
    "TestCaseId": "tc-xlate-send_intents-intent_max_segments",
    "TestKind": "formula-translates",
    "Subject": "SendIntents.IntentMaxSegments",
    "TargetTable": "SendIntents",
    "TargetField": "IntentMaxSegments",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SendIntents.IntentMaxSegments",
    "IsBlocking": true,
    "IsPassing": true,
    "IsFailing": false,
    "NeedsAttention": false,
    "PassingSuiteKey": "suite-substrate",
    "NeedsAttentionSuiteKey": null
   },
   {
    "TestCaseId": "tc-xlate-send_intents-length_gate_passed",
    "TestKind": "formula-translates",
    "Subject": "SendIntents.LengthGatePassed",
    "TargetTable": "SendIntents",
    "TargetField": "LengthGatePassed",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SendIntents.LengthGatePassed",
    "IsBlocking": true,
    "IsPassing": true,
    "IsFailing": false,
    "NeedsAttention": false,
    "PassingSuiteKey": "suite-substrate",
    "NeedsAttentionSuiteKey": null
   },
   {
    "TestCaseId": "tc-xlate-send_intents-intent_required_opt_out_phrase",
    "TestKind": "formula-translates",
    "Subject": "SendIntents.IntentRequiredOptOutPhrase",
    "TargetTable": "SendIntents",
    "TargetField": "IntentRequiredOptOutPhrase",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SendIntents.IntentRequiredOptOutPhrase",
    "IsBlocking": true,
    "IsPassing": true,
    "IsFailing": false,
    "NeedsAttention": false,
    "PassingSuiteKey": "suite-substrate",
    "NeedsAttentionSuiteKey": null
   },
   {
    "TestCaseId": "tc-xlate-send_intents-opt_out_gate_passed",
    "TestKind": "formula-translates",
    "Subject": "SendIntents.OptOutGatePassed",
    "TargetTable": "SendIntents",
    "TargetField": "OptOutGatePassed",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SendIntents.OptOutGatePassed",
    "IsBlocking": true,
    "IsPassing": true,
    "IsFailing": false,
    "NeedsAttention": false,
    "PassingSuiteKey": "suite-substrate",
    "NeedsAttentionSuiteKey": null
   },
   {
    "TestCaseId": "tc-xlate-send_intents-content_gate_passed",
    "TestKind": "formula-translates",
    "Subject": "SendIntents.ContentGatePassed",
    "TargetTable": "SendIntents",
    "TargetField": "ContentGatePassed",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SendIntents.ContentGatePassed",
    "IsBlocking": true,
    "IsPassing": true,
    "IsFailing": false,
    "NeedsAttention": false,
    "PassingSuiteKey": "suite-substrate",
    "NeedsAttentionSuiteKey": null
   },
   {
    "TestCaseId": "tc-xlate-send_intents-template_is_sendable",
    "TestKind": "formula-translates",
    "Subject": "SendIntents.TemplateIsSendable",
    "TargetTable": "SendIntents",
    "TargetField": "TemplateIsSendable",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SendIntents.TemplateIsSendable",
    "IsBlocking": true,
    "IsPassing": true,
    "IsFailing": false,
    "NeedsAttention": false,
    "PassingSuiteKey": "suite-substrate",
    "NeedsAttentionSuiteKey": null
   },
   {
    "TestCaseId": "tc-xlate-send_intents-execution_has_legal_clearance",
    "TestKind": "formula-translates",
    "Subject": "SendIntents.ExecutionHasLegalClearance",
    "TargetTable": "SendIntents",
    "TargetField": "ExecutionHasLegalClearance",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SendIntents.ExecutionHasLegalClearance",
    "IsBlocking": true,
    "IsPassing": true,
    "IsFailing": false,
    "NeedsAttention": false,
    "PassingSuiteKey": "suite-substrate",
    "NeedsAttentionSuiteKey": null
   },
   {
    "TestCaseId": "tc-xlate-send_intents-intent_approval_role",
    "TestKind": "formula-translates",
    "Subject": "SendIntents.IntentApprovalRole",
    "TargetTable": "SendIntents",
    "TargetField": "IntentApprovalRole",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SendIntents.IntentApprovalRole",
    "IsBlocking": true,
    "IsPassing": true,
    "IsFailing": false,
    "NeedsAttention": false,
    "PassingSuiteKey": "suite-substrate",
    "NeedsAttentionSuiteKey": null
   },
   {
    "TestCaseId": "tc-xlate-send_intents-approval_role_agent_kind",
    "TestKind": "formula-translates",
    "Subject": "SendIntents.ApprovalRoleAgentKind",
    "TargetTable": "SendIntents",
    "TargetField": "ApprovalRoleAgentKind",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SendIntents.ApprovalRoleAgentKind",
    "IsBlocking": true,
    "IsPassing": true,
    "IsFailing": false,
    "NeedsAttention": false,
    "PassingSuiteKey": "suite-substrate",
    "NeedsAttentionSuiteKey": null
   },
   {
    "TestCaseId": "tc-xlate-send_intents-approval_is_human",
    "TestKind": "formula-translates",
    "Subject": "SendIntents.ApprovalIsHuman",
    "TargetTable": "SendIntents",
    "TargetField": "ApprovalIsHuman",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SendIntents.ApprovalIsHuman",
    "IsBlocking": true,
    "IsPassing": true,
    "IsFailing": false,
    "NeedsAttention": false,
    "PassingSuiteKey": "suite-substrate",
    "NeedsAttentionSuiteKey": null
   },
   {
    "TestCaseId": "tc-xlate-send_intents-authorization_gate_passed",
    "TestKind": "formula-translates",
    "Subject": "SendIntents.AuthorizationGatePassed",
    "TargetTable": "SendIntents",
    "TargetField": "AuthorizationGatePassed",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SendIntents.AuthorizationGatePassed",
    "IsBlocking": true,
    "IsPassing": true,
    "IsFailing": false,
    "NeedsAttention": false,
    "PassingSuiteKey": "suite-substrate",
    "NeedsAttentionSuiteKey": null
   },
   {
    "TestCaseId": "tc-xlate-send_intents-is_cleared_to_send",
    "TestKind": "formula-translates",
    "Subject": "SendIntents.IsClearedToSend",
    "TargetTable": "SendIntents",
    "TargetField": "IsClearedToSend",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SendIntents.IsClearedToSend",
    "IsBlocking": true,
    "IsPassing": true,
    "IsFailing": false,
    "NeedsAttention": false,
    "PassingSuiteKey": "suite-substrate",
    "NeedsAttentionSuiteKey": null
   },
   {
    "TestCaseId": "tc-xlate-send_intents-blocking_gate_name",
    "TestKind": "formula-translates",
    "Subject": "SendIntents.BlockingGateName",
    "TargetTable": "SendIntents",
    "TargetField": "BlockingGateName",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SendIntents.BlockingGateName",
    "IsBlocking": true,
    "IsPassing": true,
    "IsFailing": false,
    "NeedsAttention": false,
    "PassingSuiteKey": "suite-substrate",
    "NeedsAttentionSuiteKey": null
   },
   {
    "TestCaseId": "tc-xlate-send_intents-has_resulting_delivery",
    "TestKind": "formula-translates",
    "Subject": "SendIntents.HasResultingDelivery",
    "TargetTable": "SendIntents",
    "TargetField": "HasResultingDelivery",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SendIntents.HasResultingDelivery",
    "IsBlocking": true,
    "IsPassing": true,
    "IsFailing": false,
    "NeedsAttention": false,
    "PassingSuiteKey": "suite-substrate",
    "NeedsAttentionSuiteKey": null
   },
   {
    "TestCaseId": "tc-xlate-send_intents-resulting_delivery_was_transmitted",
    "TestKind": "formula-translates",
    "Subject": "SendIntents.ResultingDeliveryWasTransmitted",
    "TargetTable": "SendIntents",
    "TargetField": "ResultingDeliveryWasTransmitted",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SendIntents.ResultingDeliveryWasTransmitted",
    "IsBlocking": true,
    "IsPassing": true,
    "IsFailing": false,
    "NeedsAttention": false,
    "PassingSuiteKey": "suite-substrate",
    "NeedsAttentionSuiteKey": null
   },
   {
    "TestCaseId": "tc-xlate-send_intents-is_overridden_refusal",
    "TestKind": "formula-translates",
    "Subject": "SendIntents.IsOverriddenRefusal",
    "TargetTable": "SendIntents",
    "TargetField": "IsOverriddenRefusal",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SendIntents.IsOverriddenRefusal",
    "IsBlocking": true,
    "IsPassing": true,
    "IsFailing": false,
    "NeedsAttention": false,
    "PassingSuiteKey": "suite-substrate",
    "NeedsAttentionSuiteKey": null
   },
   {
    "TestCaseId": "tc-xlate-send_intents-is_silently_dropped",
    "TestKind": "formula-translates",
    "Subject": "SendIntents.IsSilentlyDropped",
    "TargetTable": "SendIntents",
    "TargetField": "IsSilentlyDropped",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SendIntents.IsSilentlyDropped",
    "IsBlocking": true,
    "IsPassing": true,
    "IsFailing": false,
    "NeedsAttention": false,
    "PassingSuiteKey": "suite-substrate",
    "NeedsAttentionSuiteKey": null
   },
   {
    "TestCaseId": "tc-xlate-send_intents-resulting_delivery_exception",
    "TestKind": "formula-translates",
    "Subject": "SendIntents.ResultingDeliveryException",
    "TargetTable": "SendIntents",
    "TargetField": "ResultingDeliveryException",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SendIntents.ResultingDeliveryException",
    "IsBlocking": true,
    "IsPassing": true,
    "IsFailing": false,
    "NeedsAttention": false,
    "PassingSuiteKey": "suite-substrate",
    "NeedsAttentionSuiteKey": null
   },
   {
    "TestCaseId": "tc-xlate-send_intents-refusal_cited_an_exception",
    "TestKind": "formula-translates",
    "Subject": "SendIntents.RefusalCitedAnException",
    "TargetTable": "SendIntents",
    "TargetField": "RefusalCitedAnException",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SendIntents.RefusalCitedAnException",
    "IsBlocking": true,
    "IsPassing": true,
    "IsFailing": false,
    "NeedsAttention": false,
    "PassingSuiteKey": "suite-substrate",
    "NeedsAttentionSuiteKey": null
   },
   {
    "TestCaseId": "tc-xlate-send_intents-is_properly_handled_refusal",
    "TestKind": "formula-translates",
    "Subject": "SendIntents.IsProperlyHandledRefusal",
    "TargetTable": "SendIntents",
    "TargetField": "IsProperlyHandledRefusal",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SendIntents.IsProperlyHandledRefusal",
    "IsBlocking": true,
    "IsPassing": true,
    "IsFailing": false,
    "NeedsAttention": false,
    "PassingSuiteKey": "suite-substrate",
    "NeedsAttentionSuiteKey": null
   },
   {
    "TestCaseId": "tc-xlate-send_intents-refusal_failure_execution_key",
    "TestKind": "formula-translates",
    "Subject": "SendIntents.RefusalFailureExecutionKey",
    "TargetTable": "SendIntents",
    "TargetField": "RefusalFailureExecutionKey",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SendIntents.RefusalFailureExecutionKey",
    "IsBlocking": true,
    "IsPassing": true,
    "IsFailing": false,
    "NeedsAttention": false,
    "PassingSuiteKey": "suite-substrate",
    "NeedsAttentionSuiteKey": null
   },
   {
    "TestCaseId": "tc-xlate-send_intents-intent_execution_key",
    "TestKind": "formula-translates",
    "Subject": "SendIntents.IntentExecutionKey",
    "TargetTable": "SendIntents",
    "TargetField": "IntentExecutionKey",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SendIntents.IntentExecutionKey",
    "IsBlocking": true,
    "IsPassing": true,
    "IsFailing": false,
    "NeedsAttention": false,
    "PassingSuiteKey": "suite-substrate",
    "NeedsAttentionSuiteKey": null
   },
   {
    "TestCaseId": "tc-xlate-send_intents-delivered_intent_execution_key",
    "TestKind": "formula-translates",
    "Subject": "SendIntents.DeliveredIntentExecutionKey",
    "TargetTable": "SendIntents",
    "TargetField": "DeliveredIntentExecutionKey",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SendIntents.DeliveredIntentExecutionKey",
    "IsBlocking": true,
    "IsPassing": true,
    "IsFailing": false,
    "NeedsAttention": false,
    "PassingSuiteKey": "suite-substrate",
    "NeedsAttentionSuiteKey": null
   },
   {
    "TestCaseId": "tc-xlate-send_intents-dropped_intent_execution_key",
    "TestKind": "formula-translates",
    "Subject": "SendIntents.DroppedIntentExecutionKey",
    "TargetTable": "SendIntents",
    "TargetField": "DroppedIntentExecutionKey",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SendIntents.DroppedIntentExecutionKey",
    "IsBlocking": true,
    "IsPassing": true,
    "IsFailing": false,
    "NeedsAttention": false,
    "PassingSuiteKey": "suite-substrate",
    "NeedsAttentionSuiteKey": null
   },
   {
    "TestCaseId": "tc-xlate-send_intents-my_approval_was_in_force",
    "TestKind": "formula-translates",
    "Subject": "SendIntents.MyApprovalWasInForce",
    "TargetTable": "SendIntents",
    "TargetField": "MyApprovalWasInForce",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SendIntents.MyApprovalWasInForce",
    "IsBlocking": true,
    "IsPassing": true,
    "IsFailing": false,
    "NeedsAttention": false,
    "PassingSuiteKey": "suite-substrate",
    "NeedsAttentionSuiteKey": null
   },
   {
    "TestCaseId": "tc-xlate-send_intents-refused_on_approved_content",
    "TestKind": "formula-translates",
    "Subject": "SendIntents.RefusedOnApprovedContent",
    "TargetTable": "SendIntents",
    "TargetField": "RefusedOnApprovedContent",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SendIntents.RefusedOnApprovedContent",
    "IsBlocking": true,
    "IsPassing": true,
    "IsFailing": false,
    "NeedsAttention": false,
    "PassingSuiteKey": "suite-substrate",
    "NeedsAttentionSuiteKey": null
   },
   {
    "TestCaseId": "tc-xlate-send_intents-refused_on_opt_out_only",
    "TestKind": "formula-translates",
    "Subject": "SendIntents.RefusedOnOptOutOnly",
    "TargetTable": "SendIntents",
    "TargetField": "RefusedOnOptOutOnly",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SendIntents.RefusedOnOptOutOnly",
    "IsBlocking": true,
    "IsPassing": true,
    "IsFailing": false,
    "NeedsAttention": false,
    "PassingSuiteKey": "suite-substrate",
    "NeedsAttentionSuiteKey": null
   },
   {
    "TestCaseId": "tc-xlate-send_intents-refusal_was_on_my_rules",
    "TestKind": "formula-translates",
    "Subject": "SendIntents.RefusalWasOnMyRules",
    "TargetTable": "SendIntents",
    "TargetField": "RefusalWasOnMyRules",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SendIntents.RefusalWasOnMyRules",
    "IsBlocking": true,
    "IsPassing": true,
    "IsFailing": false,
    "NeedsAttention": false,
    "PassingSuiteKey": "suite-substrate",
    "NeedsAttentionSuiteKey": null
   },
   {
    "TestCaseId": "tc-xlate-send_intents-refusal_was_outside_my_control",
    "TestKind": "formula-translates",
    "Subject": "SendIntents.RefusalWasOutsideMyControl",
    "TargetTable": "SendIntents",
    "TargetField": "RefusalWasOutsideMyControl",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SendIntents.RefusalWasOutsideMyControl",
    "IsBlocking": true,
    "IsPassing": true,
    "IsFailing": false,
    "NeedsAttention": false,
    "PassingSuiteKey": "suite-substrate",
    "NeedsAttentionSuiteKey": null
   },
   {
    "TestCaseId": "tc-xlate-send_intents-is_unrep</t>
  </si>
  <si>
    <t xml:space="preserve">orted_refusal_on_my_rules",
    "TestKind": "formula-translates",
    "Subject": "SendIntents.IsUnreportedRefusalOnMyRules",
    "TargetTable": "SendIntents",
    "TargetField": "IsUnreportedRefusalOnMyRules",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SendIntents.IsUnreportedRefusalOnMyRules",
    "IsBlocking": true,
    "IsPassing": true,
    "IsFailing": false,
    "NeedsAttention": false,
    "PassingSuiteKey": "suite-substrate",
    "NeedsAttentionSuiteKey": null
   },
   {
    "TestCaseId": "tc-xlate-send_intents-is_approval_overridden_silently",
    "TestKind": "formula-translates",
    "Subject": "SendIntents.IsApprovalOverriddenSilently",
    "TargetTable": "SendIntents",
    "TargetField": "IsApprovalOverriddenSilently",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SendIntents.IsApprovalOverriddenSilently",
    "IsBlocking": true,
    "IsPassing": true,
    "IsFailing": false,
    "NeedsAttention": false,
    "PassingSuiteKey": "suite-substrate",
    "NeedsAttentionSuiteKey": null
   },
   {
    "TestCaseId": "tc-xlate-send_intents-has_alternate_channel_attempt",
    "TestKind": "formula-translates",
    "Subject": "SendIntents.HasAlternateChannelAttempt",
    "TargetTable": "SendIntents",
    "TargetField": "HasAlternateChannelAttempt",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SendIntents.HasAlternateChannelAttempt",
    "IsBlocking": true,
    "IsPassing": true,
    "IsFailing": false,
    "NeedsAttention": false,
    "PassingSuiteKey": "suite-substrate",
    "NeedsAttentionSuiteKey": null
   },
   {
    "TestCaseId": "tc-xlate-send_intents-alternate_attempt_was_cleared",
    "TestKind": "formula-translates",
    "Subject": "SendIntents.AlternateAttemptWasCleared",
    "TargetTable": "SendIntents",
    "TargetField": "AlternateAttemptWasCleared",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SendIntents.AlternateAttemptWasCleared",
    "IsBlocking": true,
    "IsPassing": true,
    "IsFailing": false,
    "NeedsAttention": false,
    "PassingSuiteKey": "suite-substrate",
    "NeedsAttentionSuiteKey": null
   },
   {
    "TestCaseId": "tc-xlate-send_intents-is_refused_with_no_alternative",
    "TestKind": "formula-translates",
    "Subject": "SendIntents.IsRefusedWithNoAlternative",
    "TargetTable": "SendIntents",
    "TargetField": "IsRefusedWithNoAlternative",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SendIntents.IsRefusedWithNoAlternative",
    "IsBlocking": true,
    "IsPassing": true,
    "IsFailing": false,
    "NeedsAttention": false,
    "PassingSuiteKey": "suite-substrate",
    "NeedsAttentionSuiteKey": null
   },
   {
    "TestCaseId": "tc-xlate-send_intents-exception_prescribed_an_alternative",
    "TestKind": "formula-translates",
    "Subject": "SendIntents.ExceptionPrescribedAnAlternative",
    "TargetTable": "SendIntents",
    "TargetField": "ExceptionPrescribedAnAlternative",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SendIntents.ExceptionPrescribedAnAlternative",
    "IsBlocking": true,
    "IsPassing": true,
    "IsFailing": false,
    "NeedsAttention": false,
    "PassingSuiteKey": "suite-substrate",
    "NeedsAttentionSuiteKey": null
   },
   {
    "TestCaseId": "tc-xlate-send_intents-prescribed_handling_was_performed",
    "TestKind": "formula-translates",
    "Subject": "SendIntents.PrescribedHandlingWasPerformed",
    "TargetTable": "SendIntents",
    "TargetField": "PrescribedHandlingWasPerformed",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SendIntents.PrescribedHandlingWasPerformed",
    "IsBlocking": true,
    "IsPassing": true,
    "IsFailing": false,
    "NeedsAttention": false,
    "PassingSuiteKey": "suite-substrate",
    "NeedsAttentionSuiteKey": null
   },
   {
    "TestCaseId": "tc-xlate-send_intents-is_suppression_without_remedy",
    "TestKind": "formula-translates",
    "Subject": "SendIntents.IsSuppressionWithoutRemedy",
    "TargetTable": "SendIntents",
    "TargetField": "IsSuppressionWithoutRemedy",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SendIntents.IsSuppressionWithoutRemedy",
    "IsBlocking": true,
    "IsPassing": true,
    "IsFailing": false,
    "NeedsAttention": false,
    "PassingSuiteKey": "suite-substrate",
    "NeedsAttentionSuiteKey": null
   },
   {
    "TestCaseId": "tc-xlate-send_intents-has_durable_refusal_record",
    "TestKind": "formula-translates",
    "Subject": "SendIntents.HasDurableRefusalRecord",
    "TargetTable": "SendIntents",
    "TargetField": "HasDurableRefusalRecord",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SendIntents.HasDurableRefusalRecord",
    "IsBlocking": true,
    "IsPassing": true,
    "IsFailing": false,
    "NeedsAttention": false,
    "PassingSuiteKey": "suite-substrate",
    "NeedsAttentionSuiteKey": null
   },
   {
    "TestCaseId": "tc-xlate-send_intents-refusal_was_escalated",
    "TestKind": "formula-translates",
    "Subject": "SendIntents.RefusalWasEscalated",
    "TargetTable": "SendIntents",
    "TargetField": "RefusalWasEscalated",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SendIntents.RefusalWasEscalated",
    "IsBlocking": true,
    "IsPassing": true,
    "IsFailing": false,
    "NeedsAttention": false,
    "PassingSuiteKey": "suite-substrate",
    "NeedsAttentionSuiteKey": null
   },
   {
    "TestCaseId": "tc-xlate-send_intents-is_unrecorded_refusal",
    "TestKind": "formula-translates",
    "Subject": "SendIntents.IsUnrecordedRefusal",
    "TargetTable": "SendIntents",
    "TargetField": "IsUnrecordedRefusal",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SendIntents.IsUnrecordedRefusal",
    "IsBlocking": true,
    "IsPassing": true,
    "IsFailing": false,
    "NeedsAttention": false,
    "PassingSuiteKey": "suite-substrate",
    "NeedsAttentionSuiteKey": null
   },
   {
    "TestCaseId": "tc-xlate-send_intents-is_unescalated_refusal",
    "TestKind": "formula-translates",
    "Subject": "SendIntents.IsUnescalatedRefusal",
    "TargetTable": "SendIntents",
    "TargetField": "IsUnescalatedRefusal",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SendIntents.IsUnescalatedRefusal",
    "IsBlocking": true,
    "IsPassing": true,
    "IsFailing": false,
    "NeedsAttention": false,
    "PassingSuiteKey": "suite-substrate",
    "NeedsAttentionSuiteKey": null
   },
   {
    "TestCaseId": "tc-xlate-send_intents-unescalated_refusal_role_key",
    "TestKind": "formula-translates",
    "Subject": "SendIntents.UnescalatedRefusalRoleKey",
    "TargetTable": "SendIntents",
    "TargetField": "UnescalatedRefusalRoleKey",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SendIntents.UnescalatedRefusalRoleKey",
    "IsBlocking": true,
    "IsPassing": true,
    "IsFailing": false,
    "NeedsAttention": false,
    "PassingSuiteKey": "suite-substrate",
    "NeedsAttentionSuiteKey": null
   },
   {
    "TestCaseId": "tc-xlate-send_intents-unrecorded_refusal_execution_key",
    "TestKind": "formula-translates",
    "Subject": "SendIntents.UnrecordedRefusalExecutionKey",
    "TargetTable": "SendIntents",
    "TargetField": "UnrecordedRefusalExecutionKey",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SendIntents.UnrecordedRefusalExecutionKey",
    "IsBlocking": true,
    "IsPassing": true,
    "IsFailing": false,
    "NeedsAttention": false,
    "PassingSuiteKey": "suite-substrate",
    "NeedsAttentionSuiteKey": null
   },
   {
    "TestCaseId": "tc-xlate-send_intents-was_deferred_on_timing",
    "TestKind": "formula-translates",
    "Subject": "SendIntents.WasDeferredOnTiming",
    "TargetTable": "SendIntents",
    "TargetField": "WasDeferredOnTiming",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SendIntents.WasDeferredOnTiming",
    "IsBlocking": true,
    "IsPassing": true,
    "IsFailing": false,
    "NeedsAttention": false,
    "PassingSuiteKey": "suite-substrate",
    "NeedsAttentionSuiteKey": null
   },
   {
    "TestCaseId": "tc-xlate-send_intents-as_of_instant",
    "TestKind": "formula-translates",
    "Subject": "SendIntents.AsOfInstant",
    "TargetTable": "SendIntents",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SendIntents.AsOfInstant",
    "IsBlocking": true,
    "IsPassing": true,
    "IsFailing": false,
    "NeedsAttention": false,
    "PassingSuiteKey": "suite-substrate",
    "NeedsAttentionSuiteKey": null
   },
   {
    "TestCaseId": "tc-xlate-send_intents-window_has_since_reopened",
    "TestKind": "formula-translates",
    "Subject": "SendIntents.WindowHasSinceReopened",
    "TargetTable": "SendIntents",
    "TargetField": "WindowHasSinceReopened",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SendIntents.WindowHasSinceReopened",
    "IsBlocking": true,
    "IsPassing": true,
    "IsFailing": false,
    "NeedsAttention": false,
    "PassingSuiteKey": "suite-substrate",
    "NeedsAttentionSuiteKey": null
   },
   {
    "TestCaseId": "tc-xlate-send_intents-has_retry_attempt",
    "TestKind": "formula-translates",
    "Subject": "SendIntents.HasRetryAttempt",
    "TargetTable": "SendIntents",
    "TargetField": "HasRetryAttempt",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SendIntents.HasRetryAttempt",
    "IsBlocking": true,
    "IsPassing": true,
    "IsFailing": false,
    "NeedsAttention": false,
    "PassingSuiteKey": "suite-substrate",
    "NeedsAttentionSuiteKey": null
   },
   {
    "TestCaseId": "tc-xlate-send_intents-retry_was_cleared",
    "TestKind": "formula-translates",
    "Subject": "SendIntents.RetryWasCleared",
    "TargetTable": "SendIntents",
    "TargetField": "RetryWasCleared",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SendIntents.RetryWasCleared",
    "IsBlocking": true,
    "IsPassing": true,
    "IsFailing": false,
    "NeedsAttention": false,
    "PassingSuiteKey": "suite-substrate",
    "NeedsAttentionSuiteKey": null
   },
   {
    "TestCaseId": "tc-xlate-send_intents-is_abandoned_deferral",
    "TestKind": "formula-translates",
    "Subject": "SendIntents.IsAbandonedDeferral",
    "TargetTable": "SendIntents",
    "TargetField": "IsAbandonedDeferral",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SendIntents.IsAbandonedDeferral",
    "IsBlocking": true,
    "IsPassing": true,
    "IsFailing": false,
    "NeedsAttention": false,
    "PassingSuiteKey": "suite-substrate",
    "NeedsAttentionSuiteKey": null
   },
   {
    "TestCaseId": "tc-xlate-send_intents-deferral_age_hours",
    "TestKind": "formula-translates",
    "Subject": "SendIntents.DeferralAgeHours",
    "TargetTable": "SendIntents",
    "TargetField": "DeferralAgeHours",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SendIntents.DeferralAgeHours",
    "IsBlocking": true,
    "IsPassing": true,
    "IsFailing": false,
    "NeedsAttention": false,
    "PassingSuiteKey": "suite-substrate",
    "NeedsAttentionSuiteKey": null
   },
   {
    "TestCaseId": "tc-xlate-send_intents-is_stale_deferral",
    "TestKind": "formula-translates",
    "Subject": "SendIntents.IsStaleDeferral",
    "TargetTable": "SendIntents",
    "TargetField": "IsStaleDeferral",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SendIntents.IsStaleDeferral",
    "IsBlocking": true,
    "IsPassing": true,
    "IsFailing": false,
    "NeedsAttention": false,
    "PassingSuiteKey": "suite-substrate",
    "NeedsAttentionSuiteKey": null
   },
   {
    "TestCaseId": "tc-xlate-send_intents-enforced_by_unauthorized_agent",
    "TestKind": "formula-translates",
    "Subject": "SendIntents.EnforcedByUnauthorizedAgent",
    "TargetTable": "SendIntents",
    "TargetField": "EnforcedByUnauthorizedAgent",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SendIntents.EnforcedByUnauthorizedAgent",
    "IsBlocking": true,
    "IsPassing": true,
    "IsFailing": false,
    "NeedsAttention": false,
    "PassingSuiteKey": "suite-substrate",
    "NeedsAttentionSuiteKey": null
   },
   {
    "TestCaseId": "tc-xlate-send_intents-consent_input_was_resolvable",
    "TestKind": "formula-translates",
    "Subject": "SendIntents.ConsentInputWasResolvable",
    "TargetTable": "SendIntents",
    "TargetField": "ConsentInputWasResolvable",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SendIntents.ConsentInputWasResolvable",
    "IsBlocking": true,
    "IsPassing": true,
    "IsFailing": false,
    "NeedsAttention": false,
    "PassingSuiteKey": "suite-substrate",
    "NeedsAttentionSuiteKey": null
   },
   {
    "TestCaseId": "tc-xlate-send_intents-recipient_consent_status_raw",
    "TestKind": "formula-translates",
    "Subject": "SendIntents.RecipientConsentStatusRaw",
    "TargetTable": "SendIntents",
    "TargetField": "RecipientConsentStatusRaw",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SendIntents.RecipientConsentStatusRaw",
    "IsBlocking": true,
    "IsPassing": true,
    "IsFailing": false,
    "NeedsAttention": false,
    "PassingSuiteKey": "suite-substrate",
    "NeedsAttentionSuiteKey": null
   },
   {
    "TestCaseId": "tc-xlate-send_intents-policy_input_was_resolvable",
    "TestKind": "formula-translates",
    "Subject": "SendIntents.PolicyInputWasResolvable",
    "TargetTable": "SendIntents",
    "TargetField": "PolicyInputWasResolvable",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SendIntents.PolicyInputWasResolvable",
    "IsBlocking": true,
    "IsPassing": true,
    "IsFailing": false,
    "NeedsAttention": false,
    "PassingSuiteKey": "suite-substrate",
    "NeedsAttentionSuiteKey": null
   },
   {
    "TestCaseId": "tc-xlate-send_intents-all_gate_inputs_resolved",
    "TestKind": "formula-translates",
    "Subject": "SendIntents.AllGateInputsResolved",
    "TargetTable": "SendIntents",
    "TargetField": "AllGateInputsResolved",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SendIntents.AllGateInputsResolved",
    "IsBlocking": true,
    "IsPassing": true,
    "IsFailing": false,
    "NeedsAttention": false,
    "PassingSuiteKey": "suite-substrate",
    "NeedsAttentionSuiteKey": null
   },
   {
    "TestCaseId": "tc-xlate-send_intents-is_unevaluable_refusal",
    "TestKind": "formula-translates",
    "Subject": "SendIntents.IsUnevaluableRefusal",
    "TargetTable": "SendIntents",
    "TargetField": "IsUnevaluableRefusal",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SendIntents.IsUnevaluableRefusal",
    "IsBlocking": true,
    "IsPassing": true,
    "IsFailing": false,
    "NeedsAttention": false,
    "PassingSuiteKey": "suite-substrate",
    "NeedsAttentionSuiteKey": null
   },
   {
    "TestCaseId": "tc-xlate-send_intents-is_self_witnessed_decision",
    "TestKind": "formula-translates",
    "Subject": "SendIntents.IsSelfWitnessedDecision",
    "TargetTable": "SendIntents",
    "TargetField": "IsSelfWitnessedDecision",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SendIntents.IsSelfWitnessedDecision",
    "IsBlocking": true,
    "IsPassing": true,
    "IsFailing": false,
    "NeedsAttention": false,
    "PassingSuiteKey": "suite-substrate",
    "NeedsAttentionSuiteKey": null
   },
   {
    "TestCaseId": "tc-xlate-send_intents-is_independently_confirmed",
    "TestKind": "formula-translates",
    "Subject": "SendIntents.IsIndependentlyConfirmed",
    "TargetTable": "SendIntents",
    "TargetField": "IsIndependentlyConfirmed",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SendIntents.IsIndependentlyConfirmed",
    "IsBlocking": true,
    "IsPassing": true,
    "IsFailing": false,
    "NeedsAttention": false,
    "PassingSuiteKey": "suite-substrate",
    "NeedsAttentionSuiteKey": null
   },
   {
    "TestCaseId": "tc-xlate-send_intents-independently_confirmed_execution_key",
    "TestKind": "formula-translates",
    "Subject": "SendIntents.IndependentlyConfirmedExecutionKey",
    "TargetTable": "SendIntents",
    "TargetField": "IndependentlyConfirmedExecutionKey",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SendIntents.IndependentlyConfirmedExecutionKey",
    "IsBlocking": true,
    "IsPassing": true,
    "IsFailing": false,
    "NeedsAttention": false,
    "PassingSuiteKey": "suite-substrate",
    "NeedsAttentionSuiteKey": null
   },
   {
    "TestCaseId": "tc-xlate-agent_decision_records-name",
    "TestKind": "formula-translates",
    "Subject": "AgentDecisionRecords.Name",
    "TargetTable": "AgentDecisionRecords",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AgentDecisionRecords.Name",
    "IsBlocking": true,
    "IsPassing": true,
    "IsFailing": false,
    "NeedsAttention": false,
    "PassingSuiteKey": "suite-substrate",
    "NeedsAttentionSuiteKey": null
   },
   {
    "TestCaseId": "tc-xlate-agent_decision_records-was_overridden",
    "TestKind": "formula-translates",
    "Subject": "AgentDecisionRecords.WasOverridden",
    "TargetTable": "AgentDecisionRecords",
    "TargetField": "WasOverridden",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AgentDecisionRecords.WasOverridden",
    "IsBlocking": true,
    "IsPassing": true,
    "IsFailing": false,
    "NeedsAttention": false,
    "PassingSuiteKey": "suite-substrate",
    "NeedsAttentionSuiteKey": null
   },
   {
    "TestCaseId": "tc-xlate-agent_decision_records-was_reviewed",
    "TestKind": "formula-translates",
    "Subject": "AgentDecisionRecords.WasReviewed",
    "TargetTable": "AgentDecisionRecords",
    "TargetField": "WasReviewed",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AgentDecisionRecords.WasReviewed",
    "IsBlocking": true,
    "IsPassing": true,
    "IsFailing": false,
    "NeedsAttention": false,
    "PassingSuiteKey": "suite-substrate",
    "NeedsAttentionSuiteKey": null
   },
   {
    "TestCaseId": "tc-xlate-agent_decision_records-deciding_agent_kind",
    "TestKind": "formula-translates",
    "Subject": "AgentDecisionRecords.DecidingAgentKind",
    "TargetTable": "AgentDecisionRecords",
    "TargetField": "DecidingAgentKind",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AgentDecisionRecords.DecidingAgentKind",
    "IsBlocking": true,
    "IsPassing": true,
    "IsFailing": false,
    "NeedsAttention": false,
    "PassingSuiteKey": "suite-substrate",
    "NeedsAttentionSuiteKey": null
   },
   {
    "TestCaseId": "tc-xlate-agent_decision_records-deciding_agent_when_overridden",
    "TestKind": "formula-translates",
    "Subject": "AgentDecisionRecords.DecidingAgentWhenOverridden",
    "TargetTable": "AgentDecisionRecords",
    "TargetField": "DecidingAgentWhenOverridden",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AgentDecisionRecords.DecidingAgentWhenOverridden",
    "IsBlocking": true,
    "IsPassing": true,
    "IsFailing": false,
    "NeedsAttention": false,
    "PassingSuiteKey": "suite-substrate",
    "NeedsAttentionSuiteKey": null
   },
   {
    "TestCaseId": "tc-xlate-agent_decision_records-role_assignment_when_scored",
    "TestKind": "formula-translates",
    "Subject": "AgentDecisionRecords.RoleAssignmentWhenScored",
    "TargetTable": "AgentDecisionRecords",
    "TargetField": "RoleAssignmentWhenScored",
    "Assertion": "The transpiler emitted a real SQL function for this formula rather than a NULL stub.",
    "DefendsQuestion": "q-variance-ai-quality-vs-human-baseline",
    "Suite": "suite-substrate",
    "Severity": "blocking",
    "LastOutcome": "PASS",
  </t>
  </si>
  <si>
    <t xml:space="preserve">  "LastDetail": "translated",
    "LastRunAt": "2026-07-20T03:06:49+00:00",
    "SemanticTypeIri": "urn:effortless:pko-extension#TestCase",
    "Name": "formula-translates: AgentDecisionRecords.RoleAssignmentWhenScored",
    "IsBlocking": true,
    "IsPassing": true,
    "IsFailing": false,
    "NeedsAttention": false,
    "PassingSuiteKey": "suite-substrate",
    "NeedsAttentionSuiteKey": null
   },
   {
    "TestCaseId": "tc-xlate-agent_decision_records-role_assignment_when_overridden",
    "TestKind": "formula-translates",
    "Subject": "AgentDecisionRecords.RoleAssignmentWhenOverridden",
    "TargetTable": "AgentDecisionRecords",
    "TargetField": "RoleAssignmentWhenOverridden",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AgentDecisionRecords.RoleAssignmentWhenOverridden",
    "IsBlocking": true,
    "IsPassing": true,
    "IsFailing": false,
    "NeedsAttention": false,
    "PassingSuiteKey": "suite-substrate",
    "NeedsAttentionSuiteKey": null
   },
   {
    "TestCaseId": "tc-xlate-agent_decision_records-step_of_decision",
    "TestKind": "formula-translates",
    "Subject": "AgentDecisionRecords.StepOfDecision",
    "TargetTable": "AgentDecisionRecords",
    "TargetField": "StepOfDecision",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AgentDecisionRecords.StepOfDecision",
    "IsBlocking": true,
    "IsPassing": true,
    "IsFailing": false,
    "NeedsAttention": false,
    "PassingSuiteKey": "suite-substrate",
    "NeedsAttentionSuiteKey": null
   },
   {
    "TestCaseId": "tc-xlate-agent_decision_records-boundary_match_key",
    "TestKind": "formula-translates",
    "Subject": "AgentDecisionRecords.BoundaryMatchKey",
    "TargetTable": "AgentDecisionRecords",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AgentDecisionRecords.BoundaryMatchKey",
    "IsBlocking": true,
    "IsPassing": true,
    "IsFailing": false,
    "NeedsAttention": false,
    "PassingSuiteKey": "suite-substrate",
    "NeedsAttentionSuiteKey": null
   },
   {
    "TestCaseId": "tc-xlate-agent_decision_records-matching_boundary_count",
    "TestKind": "formula-translates",
    "Subject": "AgentDecisionRecords.MatchingBoundaryCount",
    "TargetTable": "AgentDecisionRecords",
    "TargetField": "MatchingBoundaryCount",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AgentDecisionRecords.MatchingBoundaryCount",
    "IsBlocking": true,
    "IsPassing": true,
    "IsFailing": false,
    "NeedsAttention": false,
    "PassingSuiteKey": "suite-substrate",
    "NeedsAttentionSuiteKey": null
   },
   {
    "TestCaseId": "tc-xlate-agent_decision_records-violated_authority_boundary",
    "TestKind": "formula-translates",
    "Subject": "AgentDecisionRecords.ViolatedAuthorityBoundary",
    "TargetTable": "AgentDecisionRecords",
    "TargetField": "ViolatedAuthorityBoundary",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AgentDecisionRecords.ViolatedAuthorityBoundary",
    "IsBlocking": true,
    "IsPassing": true,
    "IsFailing": false,
    "NeedsAttention": false,
    "PassingSuiteKey": "suite-substrate",
    "NeedsAttentionSuiteKey": null
   },
   {
    "TestCaseId": "tc-xlate-agent_decision_records-reviewer_agent_kind",
    "TestKind": "formula-translates",
    "Subject": "AgentDecisionRecords.ReviewerAgentKind",
    "TargetTable": "AgentDecisionRecords",
    "TargetField": "ReviewerAgentKind",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AgentDecisionRecords.ReviewerAgentKind",
    "IsBlocking": true,
    "IsPassing": true,
    "IsFailing": false,
    "NeedsAttention": false,
    "PassingSuiteKey": "suite-substrate",
    "NeedsAttentionSuiteKey": null
   },
   {
    "TestCaseId": "tc-xlate-agent_decision_records-has_human_confirmation",
    "TestKind": "formula-translates",
    "Subject": "AgentDecisionRecords.HasHumanConfirmation",
    "TargetTable": "AgentDecisionRecords",
    "TargetField": "HasHumanConfirmation",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AgentDecisionRecords.HasHumanConfirmation",
    "IsBlocking": true,
    "IsPassing": true,
    "IsFailing": false,
    "NeedsAttention": false,
    "PassingSuiteKey": "suite-substrate",
    "NeedsAttentionSuiteKey": null
   },
   {
    "TestCaseId": "tc-xlate-agent_decision_records-needs_human_confirmation",
    "TestKind": "formula-translates",
    "Subject": "AgentDecisionRecords.NeedsHumanConfirmation",
    "TargetTable": "AgentDecisionRecords",
    "TargetField": "NeedsHumanConfirmation",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AgentDecisionRecords.NeedsHumanConfirmation",
    "IsBlocking": true,
    "IsPassing": true,
    "IsFailing": false,
    "NeedsAttention": false,
    "PassingSuiteKey": "suite-substrate",
    "NeedsAttentionSuiteKey": null
   },
   {
    "TestCaseId": "tc-xlate-agent_decision_records-is_unconfirmed_non_human_decision",
    "TestKind": "formula-translates",
    "Subject": "AgentDecisionRecords.IsUnconfirmedNonHumanDecision",
    "TargetTable": "AgentDecisionRecords",
    "TargetField": "IsUnconfirmedNonHumanDecision",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AgentDecisionRecords.IsUnconfirmedNonHumanDecision",
    "IsBlocking": true,
    "IsPassing": true,
    "IsFailing": false,
    "NeedsAttention": false,
    "PassingSuiteKey": "suite-substrate",
    "NeedsAttentionSuiteKey": null
   },
   {
    "TestCaseId": "tc-xlate-agent_decision_records-step_execution_when_unconfirmed",
    "TestKind": "formula-translates",
    "Subject": "AgentDecisionRecords.StepExecutionWhenUnconfirmed",
    "TargetTable": "AgentDecisionRecords",
    "TargetField": "StepExecutionWhenUnconfirmed",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AgentDecisionRecords.StepExecutionWhenUnconfirmed",
    "IsBlocking": true,
    "IsPassing": true,
    "IsFailing": false,
    "NeedsAttention": false,
    "PassingSuiteKey": "suite-substrate",
    "NeedsAttentionSuiteKey": null
   },
   {
    "TestCaseId": "tc-xlate-agent_decision_records-agent_when_boundary_violated",
    "TestKind": "formula-translates",
    "Subject": "AgentDecisionRecords.AgentWhenBoundaryViolated",
    "TargetTable": "AgentDecisionRecords",
    "TargetField": "AgentWhenBoundaryViolated",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AgentDecisionRecords.AgentWhenBoundaryViolated",
    "IsBlocking": true,
    "IsPassing": true,
    "IsFailing": false,
    "NeedsAttention": false,
    "PassingSuiteKey": "suite-substrate",
    "NeedsAttentionSuiteKey": null
   },
   {
    "TestCaseId": "tc-xlate-agent_decision_records-review_latency_minutes",
    "TestKind": "formula-translates",
    "Subject": "AgentDecisionRecords.ReviewLatencyMinutes",
    "TargetTable": "AgentDecisionRecords",
    "TargetField": "ReviewLatencyMinutes",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AgentDecisionRecords.ReviewLatencyMinutes",
    "IsBlocking": true,
    "IsPassing": true,
    "IsFailing": false,
    "NeedsAttention": false,
    "PassingSuiteKey": "suite-substrate",
    "NeedsAttentionSuiteKey": null
   },
   {
    "TestCaseId": "tc-xlate-agent_decision_records-is_draft_kind",
    "TestKind": "formula-translates",
    "Subject": "AgentDecisionRecords.IsDraftKind",
    "TargetTable": "AgentDecisionRecords",
    "TargetField": "IsDraftKind",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AgentDecisionRecords.IsDraftKind",
    "IsBlocking": true,
    "IsPassing": true,
    "IsFailing": false,
    "NeedsAttention": false,
    "PassingSuiteKey": "suite-substrate",
    "NeedsAttentionSuiteKey": null
   },
   {
    "TestCaseId": "tc-xlate-agent_decision_records-agent_when_draft_overridden",
    "TestKind": "formula-translates",
    "Subject": "AgentDecisionRecords.AgentWhenDraftOverridden",
    "TargetTable": "AgentDecisionRecords",
    "TargetField": "AgentWhenDraftOverridden",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AgentDecisionRecords.AgentWhenDraftOverridden",
    "IsBlocking": true,
    "IsPassing": true,
    "IsFailing": false,
    "NeedsAttention": false,
    "PassingSuiteKey": "suite-substrate",
    "NeedsAttentionSuiteKey": null
   },
   {
    "TestCaseId": "tc-xlate-agent_decision_records-agent_when_draft",
    "TestKind": "formula-translates",
    "Subject": "AgentDecisionRecords.AgentWhenDraft",
    "TargetTable": "AgentDecisionRecords",
    "TargetField": "AgentWhenDraft",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
    "IsBlocking": true,
    "IsPassing": true,
    "IsFailing": false,
    "NeedsAttention": false,
    "PassingSuiteKey": "suite-substrate",
    "NeedsAttentionSuiteKey": null
   },
   {
    "TestCaseId": "tc-xlate-agent_decision_records-is_error_correction",
    "TestKind": "formula-translates",
    "Subject": "AgentDecisionRecords.IsErrorCorrection",
    "TargetTable": "AgentDecisionRecords",
    "TargetField": "IsErrorCorrection",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AgentDecisionRecords.IsErrorCorrection",
    "IsBlocking": true,
    "IsPassing": true,
    "IsFailing": false,
    "NeedsAttention": false,
    "PassingSuiteKey": "suite-substrate",
    "NeedsAttentionSuiteKey": null
   },
   {
    "TestCaseId": "tc-xlate-agent_decision_records-is_reserved_judgment_override",
    "TestKind": "formula-translates",
    "Subject": "AgentDecisionRecords.IsReservedJudgmentOverride",
    "TargetTable": "AgentDecisionRecords",
    "TargetField": "IsReservedJudgmentOverride",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AgentDecisionRecords.IsReservedJudgmentOverride",
    "IsBlocking": true,
    "IsPassing": true,
    "IsFailing": false,
    "NeedsAttention": false,
    "PassingSuiteKey": "suite-substrate",
    "NeedsAttentionSuiteKey": null
   },
   {
    "TestCaseId": "tc-xlate-agent_decision_records-override_reason_is_recorded",
    "TestKind": "formula-translates",
    "Subject": "AgentDecisionRecords.OverrideReasonIsRecorded",
    "TargetTable": "AgentDecisionRecords",
    "TargetField": "OverrideReasonIsRecorded",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AgentDecisionRecords.OverrideReasonIsRecorded",
    "IsBlocking": true,
    "IsPassing": true,
    "IsFailing": false,
    "NeedsAttention": false,
    "PassingSuiteKey": "suite-substrate",
    "NeedsAttentionSuiteKey": null
   },
   {
    "TestCaseId": "tc-xlate-agent_decision_records-is_unexplained_override",
    "TestKind": "formula-translates",
    "Subject": "AgentDecisionRecords.IsUnexplainedOverride",
    "TargetTable": "AgentDecisionRecords",
    "TargetField": "IsUnexplainedOverride",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AgentDecisionRecords.IsUnexplainedOverride",
    "IsBlocking": true,
    "IsPassing": true,
    "IsFailing": false,
    "NeedsAttention": false,
    "PassingSuiteKey": "suite-substrate",
    "NeedsAttentionSuiteKey": null
   },
   {
    "TestCaseId": "tc-xlate-agent_decision_records-error_correction_role_assignment_key",
    "TestKind": "formula-translates",
    "Subject": "AgentDecisionRecords.ErrorCorrectionRoleAssignmentKey",
    "TargetTable": "AgentDecisionRecords",
    "TargetField": "ErrorCorrectionRoleAssignmentKey",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AgentDecisionRecords.ErrorCorrectionRoleAssignmentKey",
    "IsBlocking": true,
    "IsPassing": true,
    "IsFailing": false,
    "NeedsAttention": false,
    "PassingSuiteKey": "suite-substrate",
    "NeedsAttentionSuiteKey": null
   },
   {
    "TestCaseId": "tc-xlate-agent_decision_records-boundary_violation_role_assignment_key",
    "TestKind": "formula-translates",
    "Subject": "AgentDecisionRecords.BoundaryViolationRoleAssignmentKey",
    "TargetTable": "AgentDecisionRecords",
    "TargetField": "BoundaryViolationRoleAssignmentKey",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AgentDecisionRecords.BoundaryViolationRoleAssignmentKey",
    "IsBlocking": true,
    "IsPassing": true,
    "IsFailing": false,
    "NeedsAttention": false,
    "PassingSuiteKey": "suite-substrate",
    "NeedsAttentionSuiteKey": null
   },
   {
    "TestCaseId": "tc-xlate-delivered_communications-name",
    "TestKind": "formula-translates",
    "Subject": "DeliveredCommunications.Name",
    "TargetTable": "DeliveredCommunications",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DeliveredCommunications.Name",
    "IsBlocking": true,
    "IsPassing": true,
    "IsFailing": false,
    "NeedsAttention": false,
    "PassingSuiteKey": "suite-substrate",
    "NeedsAttentionSuiteKey": null
   },
   {
    "TestCaseId": "tc-xlate-delivered_communications-has_authorization",
    "TestKind": "formula-translates",
    "Subject": "DeliveredCommunications.HasAuthorization",
    "TargetTable": "DeliveredCommunications",
    "TargetField": "HasAuthorization",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DeliveredCommunications.HasAuthorization",
    "IsBlocking": true,
    "IsPassing": true,
    "IsFailing": false,
    "NeedsAttention": false,
    "PassingSuiteKey": "suite-substrate",
    "NeedsAttentionSuiteKey": null
   },
   {
    "TestCaseId": "tc-xlate-delivered_communications-content_matches_approval",
    "TestKind": "formula-translates",
    "Subject": "DeliveredCommunications.ContentMatchesApproval",
    "TargetTable": "DeliveredCommunications",
    "TargetField": "ContentMatchesApproval",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DeliveredCommunications.ContentMatchesApproval",
    "IsBlocking": true,
    "IsPassing": true,
    "IsFailing": false,
    "NeedsAttention": false,
    "PassingSuiteKey": "suite-substrate",
    "NeedsAttentionSuiteKey": null
   },
   {
    "TestCaseId": "tc-xlate-delivered_communications-authorized_at",
    "TestKind": "formula-translates",
    "Subject": "DeliveredCommunications.AuthorizedAt",
    "TargetTable": "DeliveredCommunications",
    "TargetField": "AuthorizedAt",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DeliveredCommunications.AuthorizedAt",
    "IsBlocking": true,
    "IsPassing": true,
    "IsFailing": false,
    "NeedsAttention": false,
    "PassingSuiteKey": "suite-substrate",
    "NeedsAttentionSuiteKey": null
   },
   {
    "TestCaseId": "tc-xlate-delivered_communications-was_approved_before_sending",
    "TestKind": "formula-translates",
    "Subject": "DeliveredCommunications.WasApprovedBeforeSending",
    "TargetTable": "DeliveredCommunications",
    "TargetField": "WasApprovedBeforeSending",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DeliveredCommunications.WasApprovedBeforeSending",
    "IsBlocking": true,
    "IsPassing": true,
    "IsFailing": false,
    "NeedsAttention": false,
    "PassingSuiteKey": "suite-substrate",
    "NeedsAttentionSuiteKey": null
   },
   {
    "TestCaseId": "tc-xlate-delivered_communications-is_defensible",
    "TestKind": "formula-translates",
    "Subject": "DeliveredCommunications.IsDefensible",
    "TargetTable": "DeliveredCommunications",
    "TargetField": "IsDefensible",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DeliveredCommunications.IsDefensible",
    "IsBlocking": true,
    "IsPassing": true,
    "IsFailing": false,
    "NeedsAttention": false,
    "PassingSuiteKey": "suite-substrate",
    "NeedsAttentionSuiteKey": null
   },
   {
    "TestCaseId": "tc-xlate-authority_boundaries-name",
    "TestKind": "formula-translates",
    "Subject": "AuthorityBoundaries.Name",
    "TargetTable": "AuthorityBoundaries",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AuthorityBoundaries.Name",
    "IsBlocking": true,
    "IsPassing": true,
    "IsFailing": false,
    "NeedsAttention": false,
    "PassingSuiteKey": "suite-substrate",
    "NeedsAttentionSuiteKey": null
   },
   {
    "TestCaseId": "tc-xlate-authority_boundaries-as_of_instant",
    "TestKind": "formula-translates",
    "Subject": "AuthorityBoundaries.AsOfInstant",
    "TargetTable": "AuthorityBoundaries",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AuthorityBoundaries.AsOfInstant",
    "IsBlocking": true,
    "IsPassing": true,
    "IsFailing": false,
    "NeedsAttention": false,
    "PassingSuiteKey": "suite-substrate",
    "NeedsAttentionSuiteKey": null
   },
   {
    "TestCaseId": "tc-xlate-authority_boundaries-is_currently_binding",
    "TestKind": "formula-translates",
    "Subject": "AuthorityBoundaries.IsCurrentlyBinding",
    "TargetTable": "AuthorityBoundaries",
    "TargetField": "IsCurrentlyBinding",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AuthorityBoundaries.IsCurrentlyBinding",
    "IsBlocking": true,
    "IsPassing": true,
    "IsFailing": false,
    "NeedsAttention": false,
    "PassingSuiteKey": "suite-substrate",
    "NeedsAttentionSuiteKey": null
   },
   {
    "TestCaseId": "tc-xlate-authority_boundaries-ratifying_fragment_is_valid",
    "TestKind": "formula-translates",
    "Subject": "AuthorityBoundaries.RatifyingFragmentIsValid",
    "TargetTable": "AuthorityBoundaries",
    "TargetField": "RatifyingFragmentIsValid",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AuthorityBoundaries.RatifyingFragmentIsValid",
    "IsBlocking": true,
    "IsPassing": true,
    "IsFailing": false,
    "NeedsAttention": false,
    "PassingSuiteKey": "suite-substrate",
    "NeedsAttentionSuiteKey": null
   },
   {
    "TestCaseId": "tc-xlate-authority_boundaries-step_when_binding",
    "TestKind": "formula-translates",
    "Subject": "AuthorityBoundaries.StepWhenBinding",
    "TargetTable": "AuthorityBoundaries",
    "TargetField": "StepWhenBinding",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AuthorityBoundaries.StepWhenBinding",
    "IsBlocking": true,
    "IsPassing": true,
    "IsFailing": false,
    "NeedsAttention": false,
    "PassingSuiteKey": "suite-substrate",
    "NeedsAttentionSuiteKey": null
   },
   {
    "TestCaseId": "tc-xlate-authority_boundaries-boundary_match_key",
    "TestKind": "formula-translates",
    "Subject": "AuthorityBoundaries.BoundaryMatchKey",
    "TargetTable": "AuthorityBoundaries",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AuthorityBoundaries.BoundaryMatchKey",
    "IsBlocking": true,
    "IsPassing": true,
    "IsFailing": false,
    "NeedsAttention": false,
    "PassingSuiteKey": "suite-substrate",
    "NeedsAttentionSuiteKey": null
   },
   {
    "TestCaseId": "tc-xlate-authority_boundaries-violation_count",
    "TestKind": "formula-translates",
    "Subject": "AuthorityBoundaries.ViolationCount",
    "TargetTable": "AuthorityBoundaries",
    "TargetField": "ViolationCount",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AuthorityBoundaries.ViolationCount",
    "IsBlocking": true,
    "IsPassing": true,
    "IsFailing": false,
    "NeedsAttention": false,
    "PassingSuiteKey": "suite-substrate",
    "NeedsAttentionSuiteKey": null
   },
   {
    "TestCaseId": "tc-xlate-authority_boundaries-is_untested",
    "TestKind": "formula-translates",
    "Subject": "AuthorityBoundaries.IsUntested",
    "TargetTable": "AuthorityBoundaries",
    "TargetField": "IsUntested",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AuthorityBoundaries.IsUntested",
    "IsBlocking": true,
    "IsPassing": true,
    "IsFailing": false,
    "NeedsAttention": false,
    "PassingSuiteKey": "suite-substrate",
    "NeedsAttentionSuiteKey": null
   },
   {
    "TestCaseId": "tc-xlate-authority_boundaries-has_ratifying_fragment",
    "TestKind": "formula-translates",
    "Subject": "AuthorityBoundaries.HasRatifyingFragment",
    "TargetTable": "AuthorityBoundaries",
    "TargetField": "HasRatifyingFragment",
    "Assertion": "The transpiler emitted a real SQL function for this formula rather than a NULL stub.",
    "DefendsQuestion": null,
    "Suite": "suite-substrate",
    "Severity": "blocking",
    "LastOutcome": "PASS",
    "LastDeta</t>
  </si>
  <si>
    <t xml:space="preserve">il": "translated",
    "LastRunAt": "2026-07-20T03:06:49+00:00",
    "SemanticTypeIri": "urn:effortless:pko-extension#TestCase",
    "Name": "formula-translates: AuthorityBoundaries.HasRatifyingFragment",
    "IsBlocking": true,
    "IsPassing": true,
    "IsFailing": false,
    "NeedsAttention": false,
    "PassingSuiteKey": "suite-substrate",
    "NeedsAttentionSuiteKey": null
   },
   {
    "TestCaseId": "tc-xlate-authority_boundaries-is_unwarranted",
    "TestKind": "formula-translates",
    "Subject": "AuthorityBoundaries.IsUnwarranted",
    "TargetTable": "AuthorityBoundaries",
    "TargetField": "IsUnwarranted",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
    "IsBlocking": true,
    "IsPassing": true,
    "IsFailing": false,
    "NeedsAttention": false,
    "PassingSuiteKey": "suite-substrate",
    "NeedsAttentionSuiteKey": null
   },
   {
    "TestCaseId": "tc-xlate-authority_boundaries-ratifying_fragment_is_overdue",
    "TestKind": "formula-translates",
    "Subject": "AuthorityBoundaries.RatifyingFragmentIsOverdue",
    "TargetTable": "AuthorityBoundaries",
    "TargetField": "RatifyingFragmentIsOverdue",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AuthorityBoundaries.RatifyingFragmentIsOverdue",
    "IsBlocking": true,
    "IsPassing": true,
    "IsFailing": false,
    "NeedsAttention": false,
    "PassingSuiteKey": "suite-substrate",
    "NeedsAttentionSuiteKey": null
   },
   {
    "TestCaseId": "tc-xlate-authority_boundaries-ratifying_fragment_is_single_witness",
    "TestKind": "formula-translates",
    "Subject": "AuthorityBoundaries.RatifyingFragmentIsSingleWitness",
    "TargetTable": "AuthorityBoundaries",
    "TargetField": "RatifyingFragmentIsSingleWitness",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AuthorityBoundaries.RatifyingFragmentIsSingleWitness",
    "IsBlocking": true,
    "IsPassing": true,
    "IsFailing": false,
    "NeedsAttention": false,
    "PassingSuiteKey": "suite-substrate",
    "NeedsAttentionSuiteKey": null
   },
   {
    "TestCaseId": "tc-xlate-authority_boundaries-warrant_is_thin",
    "TestKind": "formula-translates",
    "Subject": "AuthorityBoundaries.WarrantIsThin",
    "TargetTable": "AuthorityBoundaries",
    "TargetField": "WarrantIsThin",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AuthorityBoundaries.WarrantIsThin",
    "IsBlocking": true,
    "IsPassing": true,
    "IsFailing": false,
    "NeedsAttention": false,
    "PassingSuiteKey": "suite-substrate",
    "NeedsAttentionSuiteKey": null
   },
   {
    "TestCaseId": "tc-xlate-authority_boundaries-is_unwarranted_and_untested",
    "TestKind": "formula-translates",
    "Subject": "AuthorityBoundaries.IsUnwarrantedAndUntested",
    "TargetTable": "AuthorityBoundaries",
    "TargetField": "IsUnwarrantedAndUntested",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AuthorityBoundaries.IsUnwarrantedAndUntested",
    "IsBlocking": true,
    "IsPassing": true,
    "IsFailing": false,
    "NeedsAttention": false,
    "PassingSuiteKey": "suite-substrate",
    "NeedsAttentionSuiteKey": null
   },
   {
    "TestCaseId": "tc-xlate-authority_boundaries-unwarranted_boundary_step_key",
    "TestKind": "formula-translates",
    "Subject": "AuthorityBoundaries.UnwarrantedBoundaryStepKey",
    "TargetTable": "AuthorityBoundaries",
    "TargetField": "UnwarrantedBoundaryStepKey",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AuthorityBoundaries.UnwarrantedBoundaryStepKey",
    "IsBlocking": true,
    "IsPassing": true,
    "IsFailing": false,
    "NeedsAttention": false,
    "PassingSuiteKey": "suite-substrate",
    "NeedsAttentionSuiteKey": null
   },
   {
    "TestCaseId": "tc-xlate-authority_boundaries-ratifying_fragment_key",
    "TestKind": "formula-translates",
    "Subject": "AuthorityBoundaries.RatifyingFragmentKey",
    "TargetTable": "AuthorityBoundaries",
    "TargetField": "RatifyingFragmentKey",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AuthorityBoundaries.RatifyingFragmentKey",
    "IsBlocking": true,
    "IsPassing": true,
    "IsFailing": false,
    "NeedsAttention": false,
    "PassingSuiteKey": "suite-substrate",
    "NeedsAttentionSuiteKey": null
   },
   {
    "TestCaseId": "tc-xlate-authority_boundaries-ratifying_fragment_status",
    "TestKind": "formula-translates",
    "Subject": "AuthorityBoundaries.RatifyingFragmentStatus",
    "TargetTable": "AuthorityBoundaries",
    "TargetField": "RatifyingFragmentStatus",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AuthorityBoundaries.RatifyingFragmentStatus",
    "IsBlocking": true,
    "IsPassing": true,
    "IsFailing": false,
    "NeedsAttention": false,
    "PassingSuiteKey": "suite-substrate",
    "NeedsAttentionSuiteKey": null
   },
   {
    "TestCaseId": "tc-xlate-authority_boundaries-ratification_lapsed",
    "TestKind": "formula-translates",
    "Subject": "AuthorityBoundaries.RatificationLapsed",
    "TargetTable": "AuthorityBoundaries",
    "TargetField": "RatificationLapsed",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AuthorityBoundaries.RatificationLapsed",
    "IsBlocking": true,
    "IsPassing": true,
    "IsFailing": false,
    "NeedsAttention": false,
    "PassingSuiteKey": "suite-substrate",
    "NeedsAttentionSuiteKey": null
   },
   {
    "TestCaseId": "tc-xlate-authority_boundaries-binds_despite_lapsed_ratification",
    "TestKind": "formula-translates",
    "Subject": "AuthorityBoundaries.BindsDespiteLapsedRatification",
    "TargetTable": "AuthorityBoundaries",
    "TargetField": "BindsDespiteLapsedRatification",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AuthorityBoundaries.BindsDespiteLapsedRatification",
    "IsBlocking": true,
    "IsPassing": true,
    "IsFailing": false,
    "NeedsAttention": false,
    "PassingSuiteKey": "suite-substrate",
    "NeedsAttentionSuiteKey": null
   },
   {
    "TestCaseId": "tc-xlate-authority_boundaries-is_ungrounded_and_untested",
    "TestKind": "formula-translates",
    "Subject": "AuthorityBoundaries.IsUngroundedAndUntested",
    "TargetTable": "AuthorityBoundaries",
    "TargetField": "IsUngroundedAndUntested",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AuthorityBoundaries.IsUngroundedAndUntested",
    "IsBlocking": true,
    "IsPassing": true,
    "IsFailing": false,
    "NeedsAttention": false,
    "PassingSuiteKey": "suite-substrate",
    "NeedsAttentionSuiteKey": null
   },
   {
    "TestCaseId": "tc-xlate-authority_boundaries-constrained_role_assignment_key",
    "TestKind": "formula-translates",
    "Subject": "AuthorityBoundaries.ConstrainedRoleAssignmentKey",
    "TargetTable": "AuthorityBoundaries",
    "TargetField": "ConstrainedRoleAssignmentKey",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AuthorityBoundaries.ConstrainedRoleAssignmentKey",
    "IsBlocking": true,
    "IsPassing": true,
    "IsFailing": false,
    "NeedsAttention": false,
    "PassingSuiteKey": "suite-substrate",
    "NeedsAttentionSuiteKey": null
   },
   {
    "TestCaseId": "tc-xlate-binding_observations-name",
    "TestKind": "formula-translates",
    "Subject": "BindingObservations.Name",
    "TargetTable": "BindingObservations",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BindingObservations.Name",
    "IsBlocking": true,
    "IsPassing": true,
    "IsFailing": false,
    "NeedsAttention": false,
    "PassingSuiteKey": "suite-substrate",
    "NeedsAttentionSuiteKey": null
   },
   {
    "TestCaseId": "tc-xlate-binding_observations-sla_minutes_at_run",
    "TestKind": "formula-translates",
    "Subject": "BindingObservations.SlaMinutesAtRun",
    "TargetTable": "BindingObservations",
    "TargetField": "SlaMinutesAtRun",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BindingObservations.SlaMinutesAtRun",
    "IsBlocking": true,
    "IsPassing": true,
    "IsFailing": false,
    "NeedsAttention": false,
    "PassingSuiteKey": "suite-substrate",
    "NeedsAttentionSuiteKey": null
   },
   {
    "TestCaseId": "tc-xlate-binding_observations-age_at_run_minutes",
    "TestKind": "formula-translates",
    "Subject": "BindingObservations.AgeAtRunMinutes",
    "TargetTable": "BindingObservations",
    "TargetField": "AgeAtRunMinutes",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BindingObservations.AgeAtRunMinutes",
    "IsBlocking": true,
    "IsPassing": true,
    "IsFailing": false,
    "NeedsAttention": false,
    "PassingSuiteKey": "suite-substrate",
    "NeedsAttentionSuiteKey": null
   },
   {
    "TestCaseId": "tc-xlate-binding_observations-was_stale_at_run",
    "TestKind": "formula-translates",
    "Subject": "BindingObservations.WasStaleAtRun",
    "TargetTable": "BindingObservations",
    "TargetField": "WasStaleAtRun",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BindingObservations.WasStaleAtRun",
    "IsBlocking": true,
    "IsPassing": true,
    "IsFailing": false,
    "NeedsAttention": false,
    "PassingSuiteKey": "suite-substrate",
    "NeedsAttentionSuiteKey": null
   },
   {
    "TestCaseId": "tc-xlate-binding_observations-is_authoritative_binding",
    "TestKind": "formula-translates",
    "Subject": "BindingObservations.IsAuthoritativeBinding",
    "TargetTable": "BindingObservations",
    "TargetField": "IsAuthoritativeBinding",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BindingObservations.IsAuthoritativeBinding",
    "IsBlocking": true,
    "IsPassing": true,
    "IsFailing": false,
    "NeedsAttention": false,
    "PassingSuiteKey": "suite-substrate",
    "NeedsAttentionSuiteKey": null
   },
   {
    "TestCaseId": "tc-xlate-binding_observations-stale_at_run_step_key",
    "TestKind": "formula-translates",
    "Subject": "BindingObservations.StaleAtRunStepKey",
    "TargetTable": "BindingObservations",
    "TargetField": "StaleAtRunStepKey",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BindingObservations.StaleAtRunStepKey",
    "IsBlocking": true,
    "IsPassing": true,
    "IsFailing": false,
    "NeedsAttention": false,
    "PassingSuiteKey": "suite-substrate",
    "NeedsAttentionSuiteKey": null
   },
   {
    "TestCaseId": "tc-xlate-attestations-name",
    "TestKind": "formula-translates",
    "Subject": "Attestations.Name",
    "TargetTable": "Attestations",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Attestations.Name",
    "IsBlocking": true,
    "IsPassing": true,
    "IsFailing": false,
    "NeedsAttention": false,
    "PassingSuiteKey": "suite-substrate",
    "NeedsAttentionSuiteKey": null
   },
   {
    "TestCaseId": "tc-xlate-attestations-version_is_fit_now",
    "TestKind": "formula-translates",
    "Subject": "Attestations.VersionIsFitNow",
    "TargetTable": "Attestations",
    "TargetField": "VersionIsFitNow",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Attestations.VersionIsFitNow",
    "IsBlocking": true,
    "IsPassing": true,
    "IsFailing": false,
    "NeedsAttention": false,
    "PassingSuiteKey": "suite-substrate",
    "NeedsAttentionSuiteKey": null
   },
   {
    "TestCaseId": "tc-xlate-attestations-fitness_verdict_has_drifted",
    "TestKind": "formula-translates",
    "Subject": "Attestations.FitnessVerdictHasDrifted",
    "TargetTable": "Attestations",
    "TargetField": "FitnessVerdictHasDrifted",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Attestations.FitnessVerdictHasDrifted",
    "IsBlocking": true,
    "IsPassing": true,
    "IsFailing": false,
    "NeedsAttention": false,
    "PassingSuiteKey": "suite-substrate",
    "NeedsAttentionSuiteKey": null
   },
   {
    "TestCaseId": "tc-xlate-attestations-assurance_grade_now",
    "TestKind": "formula-translates",
    "Subject": "Attestations.AssuranceGradeNow",
    "TargetTable": "Attestations",
    "TargetField": "AssuranceGradeNow",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Attestations.AssuranceGradeNow",
    "IsBlocking": true,
    "IsPassing": true,
    "IsFailing": false,
    "NeedsAttention": false,
    "PassingSuiteKey": "suite-substrate",
    "NeedsAttentionSuiteKey": null
   },
   {
    "TestCaseId": "tc-xlate-attestations-assurance_grade_has_drifted",
    "TestKind": "formula-translates",
    "Subject": "Attestations.AssuranceGradeHasDrifted",
    "TargetTable": "Attestations",
    "TargetField": "AssuranceGradeHasDrifted",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Attestations.AssuranceGradeHasDrifted",
    "IsBlocking": true,
    "IsPassing": true,
    "IsFailing": false,
    "NeedsAttention": false,
    "PassingSuiteKey": "suite-substrate",
    "NeedsAttentionSuiteKey": null
   },
   {
    "TestCaseId": "tc-xlate-attestations-would_not_survive_restatement",
    "TestKind": "formula-translates",
    "Subject": "Attestations.WouldNotSurviveRestatement",
    "TargetTable": "Attestations",
    "TargetField": "WouldNotSurviveRestatement",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Attestations.WouldNotSurviveRestatement",
    "IsBlocking": true,
    "IsPassing": true,
    "IsFailing": false,
    "NeedsAttention": false,
    "PassingSuiteKey": "suite-substrate",
    "NeedsAttentionSuiteKey": null
   },
   {
    "TestCaseId": "tc-view-rulebook_releases",
    "TestKind": "view-loads",
    "Subject": "vw_rulebook_releases",
    "TargetTable": "RulebookReleases",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vw_rulebook_releases",
    "IsBlocking": true,
    "IsPassing": true,
    "IsFailing": false,
    "NeedsAttention": false,
    "PassingSuiteKey": "suite-substrate",
    "NeedsAttentionSuiteKey": null
   },
   {
    "TestCaseId": "tc-view-ontology_profiles",
    "TestKind": "view-loads",
    "Subject": "vw_ontology_profiles",
    "TargetTable": "OntologyProfiles",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vw_ontology_profiles",
    "IsBlocking": true,
    "IsPassing": true,
    "IsFailing": false,
    "NeedsAttention": false,
    "PassingSuiteKey": "suite-substrate",
    "NeedsAttentionSuiteKey": null
   },
   {
    "TestCaseId": "tc-view-evaluation_contexts",
    "TestKind": "view-loads",
    "Subject": "vw_evaluation_contexts",
    "TargetTable": "EvaluationContexts",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vw_evaluation_contexts",
    "IsBlocking": true,
    "IsPassing": true,
    "IsFailing": false,
    "NeedsAttention": false,
    "PassingSuiteKey": "suite-substrate",
    "NeedsAttentionSuiteKey": null
   },
   {
    "TestCaseId": "tc-view-organizations",
    "TestKind": "view-loads",
    "Subject": "vw_organizations",
    "TargetTable": "Organizations",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vw_organizations",
    "IsBlocking": true,
    "IsPassing": true,
    "IsFailing": false,
    "NeedsAttention": false,
    "PassingSuiteKey": "suite-substrate",
    "NeedsAttentionSuiteKey": null
   },
   {
    "TestCaseId": "tc-view-agents",
    "TestKind": "view-loads",
    "Subject": "vw_agents",
    "TargetTable": "Agents",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vw_agents",
    "IsBlocking": true,
    "IsPassing": true,
    "IsFailing": false,
    "NeedsAttention": false,
    "PassingSuiteKey": "suite-substrate",
    "NeedsAttentionSuiteKey": null
   },
   {
    "TestCaseId": "tc-view-roles",
    "TestKind": "view-loads",
    "Subject": "vw_roles",
    "TargetTable": "Roles",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vw_roles",
    "IsBlocking": true,
    "IsPassing": true,
    "IsFailing": false,
    "NeedsAttention": false,
    "PassingSuiteKey": "suite-substrate",
    "NeedsAttentionSuiteKey": null
   },
   {
    "TestCaseId": "tc-view-role_assignments",
    "TestKind": "view-loads",
    "Subject": "vw_role_assignments",
    "TargetTable": "RoleAssignments",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vw_role_assignments",
    "IsBlocking": true,
    "IsPassing": true,
    "IsFailing": false,
    "NeedsAttention": false,
    "PassingSuiteKey": "suite-substrate",
    "NeedsAttentionSuiteKey": null
   },
   {
    "TestCaseId": "tc-view-communities_of_practice",
    "TestKind": "view-loads",
    "Subject": "vw_communities_of_practice",
    "TargetTable": "CommunitiesOfPractice",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vw_communities_of_practice",
    "IsBlocking": true,
    "IsPassing": true,
    "IsFailing": false,
    "NeedsAttention": false,
    "PassingSuiteKey": "suite-substrate",
    "NeedsAttentionSuiteKey": null
   },
   {
    "TestCaseId": "tc-view-mentorships",
    "TestKind": "view-loads",
    "Subject": "vw_mentorships",
    "TargetTable": "Mentorships",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vw_mentorships",
    "IsBlocking": true,
    "IsPassing": true,
    "IsFailing": false,
    "NeedsAttention": false,
    "PassingSuiteKey": "suite-substrate",
    "NeedsAttentionSuiteKey": null
   },
   {
    "TestCaseId": "tc-view-procedure_types",
    "TestKind": "view-loads",
    "Subject": "vw_procedure_types",
    "TargetTable": "ProcedureTypes",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vw_procedure_types",
    "IsBlocking": true,
    "IsPassing": true,
    "IsFailing": false,
    "NeedsAttention": false,
    "PassingSuiteKey": "suite-substrate",
    "NeedsAttentionSuiteKey": null
   },
   {
    "TestCaseId": "tc-view-procedures",
    "TestKind": "view-loads",
    "Subject": "vw_procedures",
    "TargetTable": "Procedures",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vw_procedures",
    "IsBlocking": true,
    "IsPassing": true,
    "IsFailing": false,
    "NeedsAttention": false,
    "PassingSuiteKey": "suite-substrate",
    "NeedsAttentionSuiteKey": null
   },
   {
    "TestCaseId": "tc-view-procedure_versions",
    "TestKind": "view-loads",
    "Subject": "vw_procedure_versions",
    "TargetTable": "ProcedureVersions",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vw_procedure_versions",
    "IsBlocking": true,
    "IsPassing": true,
    "IsFailing": false,
    "NeedsAttention": false,
    "PassingSuiteKey": "suite-substrate",
    "NeedsAttentionSuiteKey": null
   },
   {
    "TestCaseId": "tc-view-procedure_version_links",
    "TestKind": "view-loads",
    "Subject": "vw_procedure_version_links",
    "TargetTable": "ProcedureVersionLinks",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vw_procedure_version_links",
    "IsBlocking": true,
    "IsPassing": true,
    "IsFailing": false,
    "NeedsAttention": false,
    "PassingSuiteKey": "suite-substrate",
    "NeedsAttentionSuiteKey": null
   },
   {
    "TestCaseId": "tc-view-procedure_status_changes",
    "TestKind": "view-loads",
    "Subject": "vw_procedure_status_changes",
    "TargetTable": "ProcedureStatusChanges",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vw_procedure_status_changes",
    "IsBlocking": true,
    "IsPassing": true,
    "IsFailing": false,
    "NeedsAttention": false,
    "PassingSuiteKey": "suite-s</t>
  </si>
  <si>
    <t xml:space="preserve">ubstrate",
    "NeedsAttentionSuiteKey": null
   },
   {
    "TestCaseId": "tc-view-steps",
    "TestKind": "view-loads",
    "Subject": "vw_steps",
    "TargetTable": "Steps",
    "TargetField": null,
    "Assertion": "The view exists and answers a SELECT without error.",
    "DefendsQuestion": null,
    "Suite": "suite-substrate",
    "Severity": "blocking",
    "LastOutcome": "PASS",
    "LastDetail": "17 rows, all columns readable",
    "LastRunAt": "2026-07-20T03:06:49+00:00",
    "SemanticTypeIri": "urn:effortless:pko-extension#TestCase",
    "Name": "view-loads: vw_steps",
    "IsBlocking": true,
    "IsPassing": true,
    "IsFailing": false,
    "NeedsAttention": false,
    "PassingSuiteKey": "suite-substrate",
    "NeedsAttentionSuiteKey": null
   },
   {
    "TestCaseId": "tc-view-step_transitions",
    "TestKind": "view-loads",
    "Subject": "vw_step_transitions",
    "TargetTable": "StepTransitions",
    "TargetField": null,
    "Assertion": "The view exists and answers a SELECT without error.",
    "DefendsQuestion": null,
    "Suite": "suite-substrate",
    "Severity": "blocking",
    "LastOutcome": "PASS",
    "LastDetail": "19 rows, all columns readable",
    "LastRunAt": "2026-07-20T03:06:49+00:00",
    "SemanticTypeIri": "urn:effortless:pko-extension#TestCase",
    "Name": "view-loads: vw_step_transitions",
    "IsBlocking": true,
    "IsPassing": true,
    "IsFailing": false,
    "NeedsAttention": false,
    "PassingSuiteKey": "suite-substrate",
    "NeedsAttentionSuiteKey": null
   },
   {
    "TestCaseId": "tc-view-actions",
    "TestKind": "view-loads",
    "Subject": "vw_actions",
    "TargetTable": "Actions",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vw_actions",
    "IsBlocking": true,
    "IsPassing": true,
    "IsFailing": false,
    "NeedsAttention": false,
    "PassingSuiteKey": "suite-substrate",
    "NeedsAttentionSuiteKey": null
   },
   {
    "TestCaseId": "tc-view-functions",
    "TestKind": "view-loads",
    "Subject": "vw_functions",
    "TargetTable": "Functions",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vw_functions",
    "IsBlocking": true,
    "IsPassing": true,
    "IsFailing": false,
    "NeedsAttention": false,
    "PassingSuiteKey": "suite-substrate",
    "NeedsAttentionSuiteKey": null
   },
   {
    "TestCaseId": "tc-view-tools",
    "TestKind": "view-loads",
    "Subject": "vw_tools",
    "TargetTable": "Tools",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vw_tools",
    "IsBlocking": true,
    "IsPassing": true,
    "IsFailing": false,
    "NeedsAttention": false,
    "PassingSuiteKey": "suite-substrate",
    "NeedsAttentionSuiteKey": null
   },
   {
    "TestCaseId": "tc-view-step_actions",
    "TestKind": "view-loads",
    "Subject": "vw_step_actions",
    "TargetTable": "StepActions",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vw_step_actions",
    "IsBlocking": true,
    "IsPassing": true,
    "IsFailing": false,
    "NeedsAttention": false,
    "PassingSuiteKey": "suite-substrate",
    "NeedsAttentionSuiteKey": null
   },
   {
    "TestCaseId": "tc-view-step_functions",
    "TestKind": "view-loads",
    "Subject": "vw_step_functions",
    "TargetTable": "StepFunctions",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vw_step_functions",
    "IsBlocking": true,
    "IsPassing": true,
    "IsFailing": false,
    "NeedsAttention": false,
    "PassingSuiteKey": "suite-substrate",
    "NeedsAttentionSuiteKey": null
   },
   {
    "TestCaseId": "tc-view-step_tools",
    "TestKind": "view-loads",
    "Subject": "vw_step_tools",
    "TargetTable": "StepTools",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vw_step_tools",
    "IsBlocking": true,
    "IsPassing": true,
    "IsFailing": false,
    "NeedsAttention": false,
    "PassingSuiteKey": "suite-substrate",
    "NeedsAttentionSuiteKey": null
   },
   {
    "TestCaseId": "tc-view-requirements",
    "TestKind": "view-loads",
    "Subject": "vw_requirements",
    "TargetTable": "Requirements",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vw_requirements",
    "IsBlocking": true,
    "IsPassing": true,
    "IsFailing": false,
    "NeedsAttention": false,
    "PassingSuiteKey": "suite-substrate",
    "NeedsAttentionSuiteKey": null
   },
   {
    "TestCaseId": "tc-view-step_requirements",
    "TestKind": "view-loads",
    "Subject": "vw_step_requirements",
    "TargetTable": "StepRequirements",
    "TargetField": null,
    "Assertion": "The view exists and answers a SELECT without error.",
    "DefendsQuestion": null,
    "Suite": "suite-substrate",
    "Severity": "blocking",
    "LastOutcome": "PASS",
    "LastDetail": "15 rows, all columns readable",
    "LastRunAt": "2026-07-20T03:06:49+00:00",
    "SemanticTypeIri": "urn:effortless:pko-extension#TestCase",
    "Name": "view-loads: vw_step_requirements",
    "IsBlocking": true,
    "IsPassing": true,
    "IsFailing": false,
    "NeedsAttention": false,
    "PassingSuiteKey": "suite-substrate",
    "NeedsAttentionSuiteKey": null
   },
   {
    "TestCaseId": "tc-view-step_verifications",
    "TestKind": "view-loads",
    "Subject": "vw_step_verifications",
    "TargetTable": "StepVerifications",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vw_step_verifications",
    "IsBlocking": true,
    "IsPassing": true,
    "IsFailing": false,
    "NeedsAttention": false,
    "PassingSuiteKey": "suite-substrate",
    "NeedsAttentionSuiteKey": null
   },
   {
    "TestCaseId": "tc-view-rationales",
    "TestKind": "view-loads",
    "Subject": "vw_rationales",
    "TargetTable": "Rationales",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vw_rationales",
    "IsBlocking": true,
    "IsPassing": true,
    "IsFailing": false,
    "NeedsAttention": false,
    "PassingSuiteKey": "suite-substrate",
    "NeedsAttentionSuiteKey": null
   },
   {
    "TestCaseId": "tc-view-exceptions",
    "TestKind": "view-loads",
    "Subject": "vw_exceptions",
    "TargetTable": "Exceptions",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vw_exceptions",
    "IsBlocking": true,
    "IsPassing": true,
    "IsFailing": false,
    "NeedsAttention": false,
    "PassingSuiteKey": "suite-substrate",
    "NeedsAttentionSuiteKey": null
   },
   {
    "TestCaseId": "tc-view-resources",
    "TestKind": "view-loads",
    "Subject": "vw_resources",
    "TargetTable": "Resources",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vw_resources",
    "IsBlocking": true,
    "IsPassing": true,
    "IsFailing": false,
    "NeedsAttention": false,
    "PassingSuiteKey": "suite-substrate",
    "NeedsAttentionSuiteKey": null
   },
   {
    "TestCaseId": "tc-view-procedure_resources",
    "TestKind": "view-loads",
    "Subject": "vw_procedure_resources",
    "TargetTable": "ProcedureResources",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vw_procedure_resources",
    "IsBlocking": true,
    "IsPassing": true,
    "IsFailing": false,
    "NeedsAttention": false,
    "PassingSuiteKey": "suite-substrate",
    "NeedsAttentionSuiteKey": null
   },
   {
    "TestCaseId": "tc-view-elicitation_sessions",
    "TestKind": "view-loads",
    "Subject": "vw_elicitation_sessions",
    "TargetTable": "ElicitationSessions",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vw_elicitation_sessions",
    "IsBlocking": true,
    "IsPassing": true,
    "IsFailing": false,
    "NeedsAttention": false,
    "PassingSuiteKey": "suite-substrate",
    "NeedsAttentionSuiteKey": null
   },
   {
    "TestCaseId": "tc-view-knowledge_fragments",
    "TestKind": "view-loads",
    "Subject": "vw_knowledge_fragments",
    "TargetTable": "KnowledgeFragments",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vw_knowledge_fragments",
    "IsBlocking": true,
    "IsPassing": true,
    "IsFailing": false,
    "NeedsAttention": false,
    "PassingSuiteKey": "suite-substrate",
    "NeedsAttentionSuiteKey": null
   },
   {
    "TestCaseId": "tc-view-knowledge_gaps",
    "TestKind": "view-loads",
    "Subject": "vw_knowledge_gaps",
    "TargetTable": "KnowledgeGaps",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vw_knowledge_gaps",
    "IsBlocking": true,
    "IsPassing": true,
    "IsFailing": false,
    "NeedsAttention": false,
    "PassingSuiteKey": "suite-substrate",
    "NeedsAttentionSuiteKey": null
   },
   {
    "TestCaseId": "tc-view-f_a_qs",
    "TestKind": "view-loads",
    "Subject": "vw_f_a_qs",
    "TargetTable": "FAQs",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vw_f_a_qs",
    "IsBlocking": true,
    "IsPassing": true,
    "IsFailing": false,
    "NeedsAttention": false,
    "PassingSuiteKey": "suite-substrate",
    "NeedsAttentionSuiteKey": null
   },
   {
    "TestCaseId": "tc-view-explanations",
    "TestKind": "view-loads",
    "Subject": "vw_explanations",
    "TargetTable": "Explanations",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vw_explanations",
    "IsBlocking": true,
    "IsPassing": true,
    "IsFailing": false,
    "NeedsAttention": false,
    "PassingSuiteKey": "suite-substrate",
    "NeedsAttentionSuiteKey": null
   },
   {
    "TestCaseId": "tc-view-procedure_executions",
    "TestKind": "view-loads",
    "Subject": "vw_procedure_executions",
    "TargetTable": "ProcedureExecutions",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vw_procedure_executions",
    "IsBlocking": true,
    "IsPassing": true,
    "IsFailing": false,
    "NeedsAttention": false,
    "PassingSuiteKey": "suite-substrate",
    "NeedsAttentionSuiteKey": null
   },
   {
    "TestCaseId": "tc-view-step_executions",
    "TestKind": "view-loads",
    "Subject": "vw_step_executions",
    "TargetTable": "StepExecutions",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vw_step_executions",
    "IsBlocking": true,
    "IsPassing": true,
    "IsFailing": false,
    "NeedsAttention": false,
    "PassingSuiteKey": "suite-substrate",
    "NeedsAttentionSuiteKey": null
   },
   {
    "TestCaseId": "tc-view-requirement_satisfactions",
    "TestKind": "view-loads",
    "Subject": "vw_requirement_satisfactions",
    "TargetTable": "RequirementSatisfactions",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vw_requirement_satisfactions",
    "IsBlocking": true,
    "IsPassing": true,
    "IsFailing": false,
    "NeedsAttention": false,
    "PassingSuiteKey": "suite-substrate",
    "NeedsAttentionSuiteKey": null
   },
   {
    "TestCaseId": "tc-view-errors",
    "TestKind": "view-loads",
    "Subject": "vw_errors",
    "TargetTable": "Errors",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vw_errors",
    "IsBlocking": true,
    "IsPassing": true,
    "IsFailing": false,
    "NeedsAttention": false,
    "PassingSuiteKey": "suite-substrate",
    "NeedsAttentionSuiteKey": null
   },
   {
    "TestCaseId": "tc-view-issue_occurrences",
    "TestKind": "view-loads",
    "Subject": "vw_issue_occurrences",
    "TargetTable": "IssueOccurrences",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vw_issue_occurrences",
    "IsBlocking": true,
    "IsPassing": true,
    "IsFailing": false,
    "NeedsAttention": false,
    "PassingSuiteKey": "suite-substrate",
    "NeedsAttentionSuiteKey": null
   },
   {
    "TestCaseId": "tc-view-user_questions",
    "TestKind": "view-loads",
    "Subject": "vw_user_questions",
    "TargetTable": "UserQuestions",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vw_user_questions",
    "IsBlocking": true,
    "IsPassing": true,
    "IsFailing": false,
    "NeedsAttention": false,
    "PassingSuiteKey": "suite-substrate",
    "NeedsAttentionSuiteKey": null
   },
   {
    "TestCaseId": "tc-view-user_feedback",
    "TestKind": "view-loads",
    "Subject": "vw_user_feedback",
    "TargetTable": "UserFeedback",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vw_user_feedback",
    "IsBlocking": true,
    "IsPassing": true,
    "IsFailing": false,
    "NeedsAttention": false,
    "PassingSuiteKey": "suite-substrate",
    "NeedsAttentionSuiteKey": null
   },
   {
    "TestCaseId": "tc-view-stewardship_assignments",
    "TestKind": "view-loads",
    "Subject": "vw_stewardship_assignments",
    "TargetTable": "StewardshipAssignments",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vw_stewardship_assignments",
    "IsBlocking": true,
    "IsPassing": true,
    "IsFailing": false,
    "NeedsAttention": false,
    "PassingSuiteKey": "suite-substrate",
    "NeedsAttentionSuiteKey": null
   },
   {
    "TestCaseId": "tc-view-change_requests",
    "TestKind": "view-loads",
    "Subject": "vw_change_requests",
    "TargetTable": "ChangeRequests",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vw_change_requests",
    "IsBlocking": true,
    "IsPassing": true,
    "IsFailing": false,
    "NeedsAttention": false,
    "PassingSuiteKey": "suite-substrate",
    "NeedsAttentionSuiteKey": null
   },
   {
    "TestCaseId": "tc-view-review_events",
    "TestKind": "view-loads",
    "Subject": "vw_review_events",
    "TargetTable": "ReviewEvents",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vw_review_events",
    "IsBlocking": true,
    "IsPassing": true,
    "IsFailing": false,
    "NeedsAttention": false,
    "PassingSuiteKey": "suite-substrate",
    "NeedsAttentionSuiteKey": null
   },
   {
    "TestCaseId": "tc-view-learning_activities",
    "TestKind": "view-loads",
    "Subject": "vw_learning_activities",
    "TargetTable": "LearningActivities",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vw_learning_activities",
    "IsBlocking": true,
    "IsPassing": true,
    "IsFailing": false,
    "NeedsAttention": false,
    "PassingSuiteKey": "suite-substrate",
    "NeedsAttentionSuiteKey": null
   },
   {
    "TestCaseId": "tc-view-operational_bindings",
    "TestKind": "view-loads",
    "Subject": "vw_operational_bindings",
    "TargetTable": "OperationalBindings",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vw_operational_bindings",
    "IsBlocking": true,
    "IsPassing": true,
    "IsFailing": false,
    "NeedsAttention": false,
    "PassingSuiteKey": "suite-substrate",
    "NeedsAttentionSuiteKey": null
   },
   {
    "TestCaseId": "tc-view-communication_policies",
    "TestKind": "view-loads",
    "Subject": "vw_communication_policies",
    "TargetTable": "CommunicationPolicies",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vw_communication_policies",
    "IsBlocking": true,
    "IsPassing": true,
    "IsFailing": false,
    "NeedsAttention": false,
    "PassingSuiteKey": "suite-substrate",
    "NeedsAttentionSuiteKey": null
   },
   {
    "TestCaseId": "tc-view-message_templates",
    "TestKind": "view-loads",
    "Subject": "vw_message_templates",
    "TargetTable": "MessageTemplates",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vw_message_templates",
    "IsBlocking": true,
    "IsPassing": true,
    "IsFailing": false,
    "NeedsAttention": false,
    "PassingSuiteKey": "suite-substrate",
    "NeedsAttentionSuiteKey": null
   },
   {
    "TestCaseId": "tc-view-semantic_mappings",
    "TestKind": "view-loads",
    "Subject": "vw_semantic_mappings",
    "TargetTable": "SemanticMappings",
    "TargetField": null,
    "Assertion": "The view exists and answers a SELECT without error.",
    "DefendsQuestion": null,
    "Suite": "suite-substrate",
    "Severity": "blocking",
    "LastOutcome": "PASS",
    "LastDetail": "32 rows, all columns readable",
    "LastRunAt": "2026-07-20T03:06:49+00:00",
    "SemanticTypeIri": "urn:effortless:pko-extension#TestCase",
    "Name": "view-loads: vw_semantic_mappings",
    "IsBlocking": true,
    "IsPassing": true,
    "IsFailing": false,
    "NeedsAttention": false,
    "PassingSuiteKey": "suite-substrate",
    "NeedsAttentionSuiteKey": null
   },
   {
    "TestCaseId": "tc-view-witness_loops",
    "TestKind": "view-loads",
    "Subject": "vw_witness_loops",
    "TargetTable": "WitnessLoops",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vw_witness_loops",
    "IsBlocking": true,
    "IsPassing": true,
    "IsFailing": false,
    "NeedsAttention": false,
    "PassingSuiteKey": "suite-substrate",
    "NeedsAttentionSuiteKey": null
   },
   {
    "TestCaseId": "tc-view-role_questions",
    "TestKind": "view-loads",
    "Subject": "vw_role_questions",
    "TargetTable": "RoleQuestions",
    "TargetField": null,
    "Assertion": "The view exists and answers a SELECT without error.",
    "DefendsQuestion": null,
    "Suite": "suite-substrate",
    "Severity": "blocking",
    "LastOutcome": "PASS",
    "LastDetail": "105 rows, all columns readable",
    "LastRunAt": "2026-07-20T03:06:49+00:00",
    "SemanticTypeIri": "urn:effortless:pko-extension#TestCase",
    "Name": "view-loads: vw_role_questions",
    "IsBlocking": true,
    "IsPassing": true,
    "IsFailing": false,
    "NeedsAttention": false,
    "PassingSuiteKey": "suite-substrate",
    "NeedsAttentionSuiteKey": null
   },
   {
    "TestCaseId": "tc-view-rulebook_fields",
    "TestKind": "view-loads",
    "Subject": "vw_rulebook_fields",
    "TargetTable": "RulebookFields",
    "TargetField": null,
    "Assertion": "The view exists and answers a SELECT without error.",
    "DefendsQuestion": null,
    "Suite": "suite-substrate",
    "Severity": "blocking",
    "LastOutcome": "PASS",
    "LastDetail": "1521 rows, all columns readable",
    "LastRunAt": "2026-07-20T03:06:49+00:00",
    "SemanticTypeIri": "urn:effortless:pko-extension#TestCase",
    "Name": "view-loads: vw_rulebook_fields",
    "IsBlocking": true,
    "IsPassing": true,
    "IsFailing": false,
    "NeedsAttention": false,
    "PassingSuiteKey": "suite-substrate",
    "NeedsAttentionSuiteKey": null
   },
   {
    "TestCaseId": "tc-view-test_suites",
    "TestKind": "view-loads",
    "Subject": "vw_test_suites",
    "TargetTable": "TestSuites",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vw_test_suites",
    "IsBlocking": true,
    "IsPassing": true,
    "IsFailing": false,
    "NeedsAttention": false,
    "PassingSuiteKey": "suite-substrate",
    "NeedsAttentionSuiteKey": null
   },
   {
    "TestCaseId": "tc-view-test_cases",
    "TestKind": "view-loads",
    "Subject": "vw_test_cases",
    "TargetTable": "TestCases",
    "TargetField": null,
    "Assertion": "The view exists and answers a SELECT without error.",
    "DefendsQuestion": null,
    "Suite": "suite-substrate",
    "Severity": "blocking",
    "LastOutcome": "PASS",
    "LastDetail": "1794 rows, all columns readable",
    "LastRunAt": "2026-07-20T03:06:49+00:00",
    "SemanticTypeIri": "urn:effortless:pko-extension#TestCase",
    "Name": "view-loads: vw_test_cases",
    "IsBlocking": true,
    "IsPassing": true,
    "IsFailing": false,
    "NeedsAttention": false,
    "PassingSuiteKey": "suite-substrate",
    "NeedsAttentionSuiteKey": null
   },
   {
    "TestCaseId": "tc-view-e_r_b_versions",
    "TestKind": "view-loads",
    "Subject": "vw_e_r_b_versions",
    "TargetTable": "ERBVersions",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vw_e_r_b_versions",
    "IsBlocking": true,
    "IsPassing": false,
    "IsFailing": false,
    "NeedsAttention": false,
    "PassingSuiteKey": null,
    "NeedsAttentionSuiteKey": null
   },
   {
    "TestCaseId": "tc-view-e_r_b_customizations",
    "TestKind": "view-loads",
    "Subject": "vw_e_r_b_customizations",
    "TargetTable": "ERBCustomizations",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vw_e_r_b_customizations",
    "IsBlocking": true,
    "IsPassing": false,
    "IsFailing": false,
    "NeedsAttention": false,
    "PassingSuiteKey": null,
    "NeedsAttentionSuiteKey": null
   },
   {
    "TestCaseId": "tc-view-exception_invocations",
    "TestKind": "view-loads",
    "Subject": "vw_exception_invocations",
    "TargetTable": "ExceptionInvocations",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vw_exception_invocations",
    "IsBlocking": true,
    "IsPassing": true,
    "IsFailing": false,
    "NeedsAttention": false,
    "PassingSuiteKey": "suite-substrate",
    "NeedsAttentionSuiteKey": null
   },
   {
    "TestCaseId": "tc-view-verification_outcomes",
    "TestKind": "view-loads",
    "Subject": "vw_verification_outcomes",
    "TargetTable": "VerificationOutcomes",
    "TargetField": null,
    "Assertion": "The view exists and answers a SELECT without error.",
    "DefendsQuestio</t>
  </si>
  <si>
    <t xml:space="preserve">n": null,
    "Suite": "suite-substrate",
    "Severity": "blocking",
    "LastOutcome": "PASS",
    "LastDetail": "4 rows, all columns readable",
    "LastRunAt": "2026-07-20T03:06:49+00:00",
    "SemanticTypeIri": "urn:effortless:pko-extension#TestCase",
    "Name": "view-loads: vw_verification_outcomes",
    "IsBlocking": true,
    "IsPassing": true,
    "IsFailing": false,
    "NeedsAttention": false,
    "PassingSuiteKey": "suite-substrate",
    "NeedsAttentionSuiteKey": null
   },
   {
    "TestCaseId": "tc-view-observed_transitions",
    "TestKind": "view-loads",
    "Subject": "vw_observed_transitions",
    "TargetTable": "ObservedTransitions",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vw_observed_transitions",
    "IsBlocking": true,
    "IsPassing": true,
    "IsFailing": false,
    "NeedsAttention": false,
    "PassingSuiteKey": "suite-substrate",
    "NeedsAttentionSuiteKey": null
   },
   {
    "TestCaseId": "tc-view-recipients",
    "TestKind": "view-loads",
    "Subject": "vw_recipients",
    "TargetTable": "Recipients",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vw_recipients",
    "IsBlocking": true,
    "IsPassing": true,
    "IsFailing": false,
    "NeedsAttention": false,
    "PassingSuiteKey": "suite-substrate",
    "NeedsAttentionSuiteKey": null
   },
   {
    "TestCaseId": "tc-view-message_deliveries",
    "TestKind": "view-loads",
    "Subject": "vw_message_deliveries",
    "TargetTable": "MessageDeliveries",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vw_message_deliveries",
    "IsBlocking": true,
    "IsPassing": true,
    "IsFailing": false,
    "NeedsAttention": false,
    "PassingSuiteKey": "suite-substrate",
    "NeedsAttentionSuiteKey": null
   },
   {
    "TestCaseId": "tc-view-template_approvals",
    "TestKind": "view-loads",
    "Subject": "vw_template_approvals",
    "TargetTable": "TemplateApprovals",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vw_template_approvals",
    "IsBlocking": true,
    "IsPassing": true,
    "IsFailing": false,
    "NeedsAttention": false,
    "PassingSuiteKey": "suite-substrate",
    "NeedsAttentionSuiteKey": null
   },
   {
    "TestCaseId": "tc-view-send_intents",
    "TestKind": "view-loads",
    "Subject": "vw_send_intents",
    "TargetTable": "SendIntents",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vw_send_intents",
    "IsBlocking": true,
    "IsPassing": true,
    "IsFailing": false,
    "NeedsAttention": false,
    "PassingSuiteKey": "suite-substrate",
    "NeedsAttentionSuiteKey": null
   },
   {
    "TestCaseId": "tc-view-agent_decision_records",
    "TestKind": "view-loads",
    "Subject": "vw_agent_decision_records",
    "TargetTable": "AgentDecisionRecords",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vw_agent_decision_records",
    "IsBlocking": true,
    "IsPassing": true,
    "IsFailing": false,
    "NeedsAttention": false,
    "PassingSuiteKey": "suite-substrate",
    "NeedsAttentionSuiteKey": null
   },
   {
    "TestCaseId": "tc-view-delivered_communications",
    "TestKind": "view-loads",
    "Subject": "vw_delivered_communications",
    "TargetTable": "DeliveredCommunications",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vw_delivered_communications",
    "IsBlocking": true,
    "IsPassing": true,
    "IsFailing": false,
    "NeedsAttention": false,
    "PassingSuiteKey": "suite-substrate",
    "NeedsAttentionSuiteKey": null
   },
   {
    "TestCaseId": "tc-view-authority_boundaries",
    "TestKind": "view-loads",
    "Subject": "vw_authority_boundaries",
    "TargetTable": "AuthorityBoundaries",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vw_authority_boundaries",
    "IsBlocking": true,
    "IsPassing": true,
    "IsFailing": false,
    "NeedsAttention": false,
    "PassingSuiteKey": "suite-substrate",
    "NeedsAttentionSuiteKey": null
   },
   {
    "TestCaseId": "tc-view-binding_observations",
    "TestKind": "view-loads",
    "Subject": "vw_binding_observations",
    "TargetTable": "BindingObservations",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vw_binding_observations",
    "IsBlocking": true,
    "IsPassing": true,
    "IsFailing": false,
    "NeedsAttention": false,
    "PassingSuiteKey": "suite-substrate",
    "NeedsAttentionSuiteKey": null
   },
   {
    "TestCaseId": "tc-view-attestations",
    "TestKind": "view-loads",
    "Subject": "vw_attestations",
    "TargetTable": "Attestations",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vw_attestations",
    "IsBlocking": true,
    "IsPassing": true,
    "IsFailing": false,
    "NeedsAttention": false,
    "PassingSuiteKey": "suite-substrate",
    "NeedsAttentionSuiteKey": null
   },
   {
    "TestCaseId": "tc-fk-agents-organization",
    "TestKind": "fk-resolves",
    "Subject": "Agents.Organization -&gt; Organizations",
    "TargetTable": "Agents",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Agents.Organization -&gt; Organizations",
    "IsBlocking": true,
    "IsPassing": true,
    "IsFailing": false,
    "NeedsAttention": false,
    "PassingSuiteKey": "suite-integrity",
    "NeedsAttentionSuiteKey": null
   },
   {
    "TestCaseId": "tc-fk-roles-organization",
    "TestKind": "fk-resolves",
    "Subject": "Roles.Organization -&gt; Organizations",
    "TargetTable": "Roles",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Roles.Organization -&gt; Organizations",
    "IsBlocking": true,
    "IsPassing": true,
    "IsFailing": false,
    "NeedsAttention": false,
    "PassingSuiteKey": "suite-integrity",
    "NeedsAttentionSuiteKey": null
   },
   {
    "TestCaseId": "tc-fk-roles-current_agent",
    "TestKind": "fk-resolves",
    "Subject": "Roles.CurrentAgent -&gt; Agents",
    "TargetTable": "Roles",
    "TargetField": "CurrentAgent",
    "Assertion": "Every non-null value resolves to an existing Agents row.",
    "DefendsQuestion": null,
    "Suite": "suite-integrity",
    "Severity": "blocking",
    "LastOutcome": "PASS",
    "LastDetail": "all values resolve",
    "LastRunAt": "2026-07-20T03:06:49+00:00",
    "SemanticTypeIri": "urn:effortless:pko-extension#TestCase",
    "Name": "fk-resolves: Roles.CurrentAgent -&gt; Agents",
    "IsBlocking": true,
    "IsPassing": true,
    "IsFailing": false,
    "NeedsAttention": false,
    "PassingSuiteKey": "suite-integrity",
    "NeedsAttentionSuiteKey": null
   },
   {
    "TestCaseId": "tc-fk-role_assignments-role",
    "TestKind": "fk-resolves",
    "Subject": "RoleAssignments.Role -&gt; Roles",
    "TargetTable": "RoleAssignments",
    "TargetField": "Role",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RoleAssignments.Role -&gt; Roles",
    "IsBlocking": true,
    "IsPassing": true,
    "IsFailing": false,
    "NeedsAttention": false,
    "PassingSuiteKey": "suite-integrity",
    "NeedsAttentionSuiteKey": null
   },
   {
    "TestCaseId": "tc-fk-role_assignments-agent",
    "TestKind": "fk-resolves",
    "Subject": "RoleAssignments.Agent -&gt; Agents",
    "TargetTable": "RoleAssignments",
    "TargetField": "Agent",
    "Assertion": "Every non-null value resolves to an existing Agents row.",
    "DefendsQuestion": null,
    "Suite": "suite-integrity",
    "Severity": "blocking",
    "LastOutcome": "PASS",
    "LastDetail": "all values resolve",
    "LastRunAt": "2026-07-20T03:06:49+00:00",
    "SemanticTypeIri": "urn:effortless:pko-extension#TestCase",
    "Name": "fk-resolves: RoleAssignments.Agent -&gt; Agents",
    "IsBlocking": true,
    "IsPassing": true,
    "IsFailing": false,
    "NeedsAttention": false,
    "PassingSuiteKey": "suite-integrity",
    "NeedsAttentionSuiteKey": null
   },
   {
    "TestCaseId": "tc-fk-role_assignments-evaluation_context",
    "TestKind": "fk-resolves",
    "Subject": "RoleAssignments.EvaluationContext -&gt; EvaluationContexts",
    "TargetTable": "RoleAssignments",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RoleAssignments.EvaluationContext -&gt; EvaluationContexts",
    "IsBlocking": true,
    "IsPassing": true,
    "IsFailing": false,
    "NeedsAttention": false,
    "PassingSuiteKey": "suite-integrity",
    "NeedsAttentionSuiteKey": null
   },
   {
    "TestCaseId": "tc-fk-role_assignments-supersedes_assignment",
    "TestKind": "fk-resolves",
    "Subject": "RoleAssignments.SupersedesAssignment -&gt; RoleAssignments",
    "TargetTable": "RoleAssignments",
    "TargetField": "SupersedesAssignment",
    "Assertion": "Every non-null value resolves to an existing RoleAssignments row.",
    "DefendsQuestion": null,
    "Suite": "suite-integrity",
    "Severity": "blocking",
    "LastOutcome": "PASS",
    "LastDetail": "all values resolve",
    "LastRunAt": "2026-07-20T03:06:49+00:00",
    "SemanticTypeIri": "urn:effortless:pko-extension#TestCase",
    "Name": "fk-resolves: RoleAssignments.SupersedesAssignment -&gt; RoleAssignments",
    "IsBlocking": true,
    "IsPassing": true,
    "IsFailing": false,
    "NeedsAttention": false,
    "PassingSuiteKey": "suite-integrity",
    "NeedsAttentionSuiteKey": null
   },
   {
    "TestCaseId": "tc-fk-role_assignments-approving_authority_role",
    "TestKind": "fk-resolves",
    "Subject": "RoleAssignments.ApprovingAuthorityRole -&gt; Roles",
    "TargetTable": "RoleAssignments",
    "TargetField": "ApprovingAuthorityRole",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RoleAssignments.ApprovingAuthorityRole -&gt; Roles",
    "IsBlocking": true,
    "IsPassing": true,
    "IsFailing": false,
    "NeedsAttention": false,
    "PassingSuiteKey": "suite-integrity",
    "NeedsAttentionSuiteKey": null
   },
   {
    "TestCaseId": "tc-fk-role_assignments-authorizing_change_request",
    "TestKind": "fk-resolves",
    "Subject": "RoleAssignments.AuthorizingChangeRequest -&gt; ChangeRequests",
    "TargetTable": "RoleAssignments",
    "TargetField": "AuthorizingChangeRequest",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RoleAssignments.AuthorizingChangeRequest -&gt; ChangeRequests",
    "IsBlocking": true,
    "IsPassing": true,
    "IsFailing": false,
    "NeedsAttention": false,
    "PassingSuiteKey": "suite-integrity",
    "NeedsAttentionSuiteKey": null
   },
   {
    "TestCaseId": "tc-fk-communities_of_practice-organization",
    "TestKind": "fk-resolves",
    "Subject": "CommunitiesOfPractice.Organization -&gt; Organizations",
    "TargetTable": "CommunitiesOfPractice",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CommunitiesOfPractice.Organization -&gt; Organizations",
    "IsBlocking": true,
    "IsPassing": true,
    "IsFailing": false,
    "NeedsAttention": false,
    "PassingSuiteKey": "suite-integrity",
    "NeedsAttentionSuiteKey": null
   },
   {
    "TestCaseId": "tc-fk-communities_of_practice-steward_role",
    "TestKind": "fk-resolves",
    "Subject": "CommunitiesOfPractice.StewardRole -&gt; Roles",
    "TargetTable": "CommunitiesOfPractice",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CommunitiesOfPractice.StewardRole -&gt; Roles",
    "IsBlocking": true,
    "IsPassing": true,
    "IsFailing": false,
    "NeedsAttention": false,
    "PassingSuiteKey": "suite-integrity",
    "NeedsAttentionSuiteKey": null
   },
   {
    "TestCaseId": "tc-fk-mentorships-community_of_practice",
    "TestKind": "fk-resolves",
    "Subject": "Mentorships.CommunityOfPractice -&gt; CommunitiesOfPractice",
    "TargetTable": "Mentorships",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Mentorships.CommunityOfPractice -&gt; CommunitiesOfPractice",
    "IsBlocking": true,
    "IsPassing": true,
    "IsFailing": false,
    "NeedsAttention": false,
    "PassingSuiteKey": "suite-integrity",
    "NeedsAttentionSuiteKey": null
   },
   {
    "TestCaseId": "tc-fk-mentorships-mentor_agent",
    "TestKind": "fk-resolves",
    "Subject": "Mentorships.MentorAgent -&gt; Agents",
    "TargetTable": "Mentorships",
    "TargetField": "MentorAgent",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Mentorships.MentorAgent -&gt; Agents",
    "IsBlocking": true,
    "IsPassing": true,
    "IsFailing": false,
    "NeedsAttention": false,
    "PassingSuiteKey": "suite-integrity",
    "NeedsAttentionSuiteKey": null
   },
   {
    "TestCaseId": "tc-fk-mentorships-learner_agent",
    "TestKind": "fk-resolves",
    "Subject": "Mentorships.LearnerAgent -&gt; Agents",
    "TargetTable": "Mentorships",
    "TargetField": "LearnerAgent",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Mentorships.LearnerAgent -&gt; Agents",
    "IsBlocking": true,
    "IsPassing": true,
    "IsFailing": false,
    "NeedsAttention": false,
    "PassingSuiteKey": "suite-integrity",
    "NeedsAttentionSuiteKey": null
   },
   {
    "TestCaseId": "tc-fk-procedures-procedure_type",
    "TestKind": "fk-resolves",
    "Subject": "Procedures.ProcedureType -&gt; ProcedureTypes",
    "TargetTable": "Procedures",
    "TargetField": "ProcedureType",
    "Assertion": "Every non-null value resolves to an existing ProcedureTypes row.",
    "DefendsQuestion": null,
    "Suite": "suite-integrity",
    "Severity": "blocking",
    "LastOutcome": "PASS",
    "LastDetail": "all values resolve",
    "LastRunAt": "2026-07-20T03:06:49+00:00",
    "SemanticTypeIri": "urn:effortless:pko-extension#TestCase",
    "Name": "fk-resolves: Procedures.ProcedureType -&gt; ProcedureTypes",
    "IsBlocking": true,
    "IsPassing": true,
    "IsFailing": false,
    "NeedsAttention": false,
    "PassingSuiteKey": "suite-integrity",
    "NeedsAttentionSuiteKey": null
   },
   {
    "TestCaseId": "tc-fk-procedures-owner_organization",
    "TestKind": "fk-resolves",
    "Subject": "Procedures.OwnerOrganization -&gt; Organizations",
    "TargetTable": "Procedures",
    "TargetField": "OwnerOrganization",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Procedures.OwnerOrganization -&gt; Organizations",
    "IsBlocking": true,
    "IsPassing": true,
    "IsFailing": false,
    "NeedsAttention": false,
    "PassingSuiteKey": "suite-integrity",
    "NeedsAttentionSuiteKey": null
   },
   {
    "TestCaseId": "tc-fk-procedures-adopted_by_organization",
    "TestKind": "fk-resolves",
    "Subject": "Procedures.AdoptedByOrganization -&gt; Organizations",
    "TargetTable": "Procedures",
    "TargetField": "AdoptedByOrganization",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Procedures.AdoptedByOrganization -&gt; Organizations",
    "IsBlocking": true,
    "IsPassing": true,
    "IsFailing": false,
    "NeedsAttention": false,
    "PassingSuiteKey": "suite-integrity",
    "NeedsAttentionSuiteKey": null
   },
   {
    "TestCaseId": "tc-fk-procedure_versions-procedure",
    "TestKind": "fk-resolves",
    "Subject": "ProcedureVersions.Procedure -&gt; Procedures",
    "TargetTable": "ProcedureVersions",
    "TargetField": "Procedure",
    "Assertion": "Every non-null value resolves to an existing Procedures row.",
    "DefendsQuestion": null,
    "Suite": "suite-integrity",
    "Severity": "blocking",
    "LastOutcome": "PASS",
    "LastDetail": "all values resolve",
    "LastRunAt": "2026-07-20T03:06:49+00:00",
    "SemanticTypeIri": "urn:effortless:pko-extension#TestCase",
    "Name": "fk-resolves: ProcedureVersions.Procedure -&gt; Procedures",
    "IsBlocking": true,
    "IsPassing": true,
    "IsFailing": false,
    "NeedsAttention": false,
    "PassingSuiteKey": "suite-integrity",
    "NeedsAttentionSuiteKey": null
   },
   {
    "TestCaseId": "tc-fk-procedure_versions-created_by_agent",
    "TestKind": "fk-resolves",
    "Subject": "ProcedureVersions.CreatedByAgent -&gt; Agents",
    "TargetTable": "ProcedureVersions",
    "TargetField": "CreatedByAgent",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ProcedureVersions.CreatedByAgent -&gt; Agents",
    "IsBlocking": true,
    "IsPassing": true,
    "IsFailing": false,
    "NeedsAttention": false,
    "PassingSuiteKey": "suite-integrity",
    "NeedsAttentionSuiteKey": null
   },
   {
    "TestCaseId": "tc-fk-procedure_versions-modified_by_agent",
    "TestKind": "fk-resolves",
    "Subject": "ProcedureVersions.ModifiedByAgent -&gt; Agents",
    "TargetTable": "ProcedureVersions",
    "TargetField": "ModifiedByAgent",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ProcedureVersions.ModifiedByAgent -&gt; Agents",
    "IsBlocking": true,
    "IsPassing": true,
    "IsFailing": false,
    "NeedsAttention": false,
    "PassingSuiteKey": "suite-integrity",
    "NeedsAttentionSuiteKey": null
   },
   {
    "TestCaseId": "tc-fk-procedure_versions-evaluation_context",
    "TestKind": "fk-resolves",
    "Subject": "ProcedureVersions.EvaluationContext -&gt; EvaluationContexts",
    "TargetTable": "ProcedureVersions",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ProcedureVersions.EvaluationContext -&gt; EvaluationContexts",
    "IsBlocking": true,
    "IsPassing": true,
    "IsFailing": false,
    "NeedsAttention": false,
    "PassingSuiteKey": "suite-integrity",
    "NeedsAttentionSuiteKey": null
   },
   {
    "TestCaseId": "tc-fk-procedure_version_links-previous_procedure_version",
    "TestKind": "fk-resolves",
    "Subject": "ProcedureVersionLinks.PreviousProcedureVersion -&gt; ProcedureVersions",
    "TargetTable": "ProcedureVersionLinks",
    "TargetField": "PreviousProcedureVersion",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ProcedureVersionLinks.PreviousProcedureVersion -&gt; ProcedureVersions",
    "IsBlocking": true,
    "IsPassing": true,
    "IsFailing": false,
    "NeedsAttention": false,
    "PassingSuiteKey": "suite-integrity",
    "NeedsAttentionSuiteKey": null
   },
   {
    "TestCaseId": "tc-fk-procedure_version_links-next_procedure_version",
    "TestKind": "fk-resolves",
    "Subject": "ProcedureVersionLinks.NextProcedureVersion -&gt; ProcedureVersions",
    "TargetTable": "ProcedureVersionLinks",
    "TargetField": "NextProcedureVersion",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ProcedureVersionLinks.NextProcedureVersion -&gt; ProcedureVersions",
    "IsBlocking": true,
    "IsPassing": true,
    "IsFailing": false,
    "NeedsAttention": false,
    "PassingSuiteKey": "suite-integrity",
    "NeedsAttentionSuiteKey": null
   },
   {
    "TestCaseId": "tc-fk-procedure_status_changes-procedure_version",
    "TestKind": "fk-resolves",
    "Subject": "ProcedureStatusChanges.ProcedureVersion -&gt; ProcedureVersions",
    "TargetTable": "ProcedureStatusChanges",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ProcedureStatusChanges.ProcedureVersion -&gt; ProcedureVersions",
    "IsBlocking": true,
    "IsPassing": true,
    "IsFailing": false,
    "NeedsAttention": false,
    "PassingSuiteKey": "suite-integrity",
    "NeedsAttentionSuiteKey": null
   },
   {
    "TestCaseId": "tc-fk-procedure_status_changes-changed_by_agent",
    "TestKind": "fk-resolves",
    "Subject": "ProcedureStatusChanges.ChangedByAgent -&gt; Agents",
    "TargetTable": "ProcedureStatusChanges",
    "TargetField": "ChangedByAgent",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ProcedureStatusChanges.ChangedByAgent -&gt; Agents",
    "IsBlocking": true,
    "IsPassing": true,
    "IsFailing": false,
    "NeedsAttention": false,
    "PassingSuiteKey": "suite-integrity",
    "NeedsAttentionSuiteKey": null
   },
   {
    "TestCaseId": "tc-fk-steps-procedure_version",
    "TestKind": "fk-resolves",
    "Subject": "Steps.ProcedureVersion -&gt; ProcedureVersions",
    "TargetTable": "Steps",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Steps.ProcedureVersion -&gt; ProcedureVersions",
    "IsBlocking": true,
    "IsPassing": true,
    "IsFailing": false,
    "NeedsAttention": false,
    "PassingSuiteKey": "suite-integrity",
    "NeedsAttentionSuiteKey": null
   },
   {
    "TestCaseId": "tc-fk-steps-assigned_role",
    "TestKind": "fk-resolves",
    "Subject": "Steps.AssignedRole -&gt; Roles",
    "TargetTable": "Steps",
    "TargetField": "AssignedRole",
    "Assertion": "Every non-null value resolves to an existing Roles row.",
    "DefendsQuestion": null,
    "Suite": "suite-integrity",
    "Severity": "blocking",
    "LastOutcome": "PASS",
    "LastDetail": "all values resolve",
    "LastRunAt": "2026-07-20T03:06:49+00:00",
    "SemanticTypeIri": "urn:effortless:pko-extension#TestCase",
    "Name": "fk-resolves: Steps.AssignedRole -&gt; Roles",
    "IsBlocking": true,
    "IsPassing": true,
    "IsFailing": false,
    "NeedsAttention": false,
    "PassingSuiteKey": "suite-integrity",
    "NeedsAttentionSuiteKey": null
   },
   {
    "TestCaseId": "tc-fk-step_transitions-procedure_version",
    "TestKind": "fk-resolves",
    "Subject": "StepTransitions.ProcedureVersion -&gt; ProcedureVersions",
    "TargetTable": "StepTransitions",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StepTransitions.ProcedureVersion -&gt; ProcedureVersions",
    "IsBlocking": true,
    "IsPassing": true,
    "IsFailing": false,
    "NeedsAttention": false,
    "PassingSuiteKey": "suite-integrity",
    "NeedsAttentionSuiteKey": null
   },
   {
    "TestCaseId": "tc-fk-step_transitions-from_step",
    "TestKind": "fk-resolves",
    "Subject": "StepTransitions.FromStep -&gt; Steps",
    "TargetTable": "StepTransitions",
    "TargetField": "FromStep",
    "Assertion": "Every non-null value resolves to an existing Steps row.",
    "DefendsQuestion": null,
    "Suite": "suite-integrity",
    "Severity": "blocking",
    "LastOutcome": "PASS",
    "LastDetail": "all values resolve",
    "LastRunAt": "2026-07-20T03:06:49+00:00",
    "SemanticTypeIri": "urn:effortless:pko-extension#TestCase",
    "Name": "fk-resolves: StepTransitions.FromStep -&gt; Steps",
    "IsBlocking": true,
    "IsPassing": true,
    "IsFailing": false,
    "NeedsAttention": false,
    "PassingSuiteKey": "suite-integrity",
    "NeedsAttentionSuiteKey": null
   },
   {
    "TestCaseId": "tc-fk-step_transitions-to_step",
    "TestKind": "fk-resolves",
    "Subject": "StepTransitions.ToStep -&gt; Steps",
    "TargetTable": "StepTransitions",
    "TargetField": "ToStep",
    "Assertion": "Every non-null value resolves to an existing Ste</t>
  </si>
  <si>
    <t xml:space="preserve">ps row.",
    "DefendsQuestion": null,
    "Suite": "suite-integrity",
    "Severity": "blocking",
    "LastOutcome": "PASS",
    "LastDetail": "all values resolve",
    "LastRunAt": "2026-07-20T03:06:49+00:00",
    "SemanticTypeIri": "urn:effortless:pko-extension#TestCase",
    "Name": "fk-resolves: StepTransitions.ToStep -&gt; Steps",
    "IsBlocking": true,
    "IsPassing": true,
    "IsFailing": false,
    "NeedsAttention": false,
    "PassingSuiteKey": "suite-integrity",
    "NeedsAttentionSuiteKey": null
   },
   {
    "TestCaseId": "tc-fk-step_actions-step",
    "TestKind": "fk-resolves",
    "Subject": "StepActions.Step -&gt; Steps",
    "TargetTable": "StepActions",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StepActions.Step -&gt; Steps",
    "IsBlocking": true,
    "IsPassing": true,
    "IsFailing": false,
    "NeedsAttention": false,
    "PassingSuiteKey": "suite-integrity",
    "NeedsAttentionSuiteKey": null
   },
   {
    "TestCaseId": "tc-fk-step_actions-action",
    "TestKind": "fk-resolves",
    "Subject": "StepActions.Action -&gt; Actions",
    "TargetTable": "StepActions",
    "TargetField": "Action",
    "Assertion": "Every non-null value resolves to an existing Actions row.",
    "DefendsQuestion": null,
    "Suite": "suite-integrity",
    "Severity": "blocking",
    "LastOutcome": "PASS",
    "LastDetail": "all values resolve",
    "LastRunAt": "2026-07-20T03:06:49+00:00",
    "SemanticTypeIri": "urn:effortless:pko-extension#TestCase",
    "Name": "fk-resolves: StepActions.Action -&gt; Actions",
    "IsBlocking": true,
    "IsPassing": true,
    "IsFailing": false,
    "NeedsAttention": false,
    "PassingSuiteKey": "suite-integrity",
    "NeedsAttentionSuiteKey": null
   },
   {
    "TestCaseId": "tc-fk-step_functions-step",
    "TestKind": "fk-resolves",
    "Subject": "StepFunctions.Step -&gt; Steps",
    "TargetTable": "StepFunctions",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StepFunctions.Step -&gt; Steps",
    "IsBlocking": true,
    "IsPassing": true,
    "IsFailing": false,
    "NeedsAttention": false,
    "PassingSuiteKey": "suite-integrity",
    "NeedsAttentionSuiteKey": null
   },
   {
    "TestCaseId": "tc-fk-step_functions-function",
    "TestKind": "fk-resolves",
    "Subject": "StepFunctions.Function -&gt; Functions",
    "TargetTable": "StepFunctions",
    "TargetField": "Function",
    "Assertion": "Every non-null value resolves to an existing Functions row.",
    "DefendsQuestion": null,
    "Suite": "suite-integrity",
    "Severity": "blocking",
    "LastOutcome": "PASS",
    "LastDetail": "all values resolve",
    "LastRunAt": "2026-07-20T03:06:49+00:00",
    "SemanticTypeIri": "urn:effortless:pko-extension#TestCase",
    "Name": "fk-resolves: StepFunctions.Function -&gt; Functions",
    "IsBlocking": true,
    "IsPassing": true,
    "IsFailing": false,
    "NeedsAttention": false,
    "PassingSuiteKey": "suite-integrity",
    "NeedsAttentionSuiteKey": null
   },
   {
    "TestCaseId": "tc-fk-step_tools-step",
    "TestKind": "fk-resolves",
    "Subject": "StepTools.Step -&gt; Steps",
    "TargetTable": "StepTools",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StepTools.Step -&gt; Steps",
    "IsBlocking": true,
    "IsPassing": true,
    "IsFailing": false,
    "NeedsAttention": false,
    "PassingSuiteKey": "suite-integrity",
    "NeedsAttentionSuiteKey": null
   },
   {
    "TestCaseId": "tc-fk-step_tools-tool",
    "TestKind": "fk-resolves",
    "Subject": "StepTools.Tool -&gt; Tools",
    "TargetTable": "StepTools",
    "TargetField": "Tool",
    "Assertion": "Every non-null value resolves to an existing Tools row.",
    "DefendsQuestion": null,
    "Suite": "suite-integrity",
    "Severity": "blocking",
    "LastOutcome": "PASS",
    "LastDetail": "all values resolve",
    "LastRunAt": "2026-07-20T03:06:49+00:00",
    "SemanticTypeIri": "urn:effortless:pko-extension#TestCase",
    "Name": "fk-resolves: StepTools.Tool -&gt; Tools",
    "IsBlocking": true,
    "IsPassing": true,
    "IsFailing": false,
    "NeedsAttention": false,
    "PassingSuiteKey": "suite-integrity",
    "NeedsAttentionSuiteKey": null
   },
   {
    "TestCaseId": "tc-fk-requirements-accountable_role",
    "TestKind": "fk-resolves",
    "Subject": "Requirements.AccountableRole -&gt; Roles",
    "TargetTable": "Requirements",
    "TargetField": "AccountableRole",
    "Assertion": "Every non-null value resolves to an existing Roles row.",
    "DefendsQuestion": null,
    "Suite": "suite-integrity",
    "Severity": "blocking",
    "LastOutcome": "PASS",
    "LastDetail": "all values resolve",
    "LastRunAt": "2026-07-20T03:06:49+00:00",
    "SemanticTypeIri": "urn:effortless:pko-extension#TestCase",
    "Name": "fk-resolves: Requirements.AccountableRole -&gt; Roles",
    "IsBlocking": true,
    "IsPassing": true,
    "IsFailing": false,
    "NeedsAttention": false,
    "PassingSuiteKey": "suite-integrity",
    "NeedsAttentionSuiteKey": null
   },
   {
    "TestCaseId": "tc-fk-step_requirements-step",
    "TestKind": "fk-resolves",
    "Subject": "StepRequirements.Step -&gt; Steps",
    "TargetTable": "StepRequirements",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StepRequirements.Step -&gt; Steps",
    "IsBlocking": true,
    "IsPassing": true,
    "IsFailing": false,
    "NeedsAttention": false,
    "PassingSuiteKey": "suite-integrity",
    "NeedsAttentionSuiteKey": null
   },
   {
    "TestCaseId": "tc-fk-step_requirements-requirement",
    "TestKind": "fk-resolves",
    "Subject": "StepRequirements.Requirement -&gt; Requirements",
    "TargetTable": "StepRequirements",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StepRequirements.Requirement -&gt; Requirements",
    "IsBlocking": true,
    "IsPassing": true,
    "IsFailing": false,
    "NeedsAttention": false,
    "PassingSuiteKey": "suite-integrity",
    "NeedsAttentionSuiteKey": null
   },
   {
    "TestCaseId": "tc-fk-step_verifications-step",
    "TestKind": "fk-resolves",
    "Subject": "StepVerifications.Step -&gt; Steps",
    "TargetTable": "StepVerifications",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StepVerifications.Step -&gt; Steps",
    "IsBlocking": true,
    "IsPassing": true,
    "IsFailing": false,
    "NeedsAttention": false,
    "PassingSuiteKey": "suite-integrity",
    "NeedsAttentionSuiteKey": null
   },
   {
    "TestCaseId": "tc-fk-rationales-procedure_version",
    "TestKind": "fk-resolves",
    "Subject": "Rationales.ProcedureVersion -&gt; ProcedureVersions",
    "TargetTable": "Rationales",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Rationales.ProcedureVersion -&gt; ProcedureVersions",
    "IsBlocking": true,
    "IsPassing": true,
    "IsFailing": false,
    "NeedsAttention": false,
    "PassingSuiteKey": "suite-integrity",
    "NeedsAttentionSuiteKey": null
   },
   {
    "TestCaseId": "tc-fk-rationales-step",
    "TestKind": "fk-resolves",
    "Subject": "Rationales.Step -&gt; Steps",
    "TargetTable": "Rationales",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Rationales.Step -&gt; Steps",
    "IsBlocking": true,
    "IsPassing": true,
    "IsFailing": false,
    "NeedsAttention": false,
    "PassingSuiteKey": "suite-integrity",
    "NeedsAttentionSuiteKey": null
   },
   {
    "TestCaseId": "tc-fk-rationales-authority_role",
    "TestKind": "fk-resolves",
    "Subject": "Rationales.AuthorityRole -&gt; Roles",
    "TargetTable": "Rationales",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Rationales.AuthorityRole -&gt; Roles",
    "IsBlocking": true,
    "IsPassing": true,
    "IsFailing": false,
    "NeedsAttention": false,
    "PassingSuiteKey": "suite-integrity",
    "NeedsAttentionSuiteKey": null
   },
   {
    "TestCaseId": "tc-fk-exceptions-procedure_version",
    "TestKind": "fk-resolves",
    "Subject": "Exceptions.ProcedureVersion -&gt; ProcedureVersions",
    "TargetTable": "Exceptions",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Exceptions.ProcedureVersion -&gt; ProcedureVersions",
    "IsBlocking": true,
    "IsPassing": true,
    "IsFailing": false,
    "NeedsAttention": false,
    "PassingSuiteKey": "suite-integrity",
    "NeedsAttentionSuiteKey": null
   },
   {
    "TestCaseId": "tc-fk-exceptions-trigger_step",
    "TestKind": "fk-resolves",
    "Subject": "Exceptions.TriggerStep -&gt; Steps",
    "TargetTable": "Exceptions",
    "TargetField": "TriggerStep",
    "Assertion": "Every non-null value resolves to an existing Steps row.",
    "DefendsQuestion": null,
    "Suite": "suite-integrity",
    "Severity": "blocking",
    "LastOutcome": "PASS",
    "LastDetail": "all values resolve",
    "LastRunAt": "2026-07-20T03:06:49+00:00",
    "SemanticTypeIri": "urn:effortless:pko-extension#TestCase",
    "Name": "fk-resolves: Exceptions.TriggerStep -&gt; Steps",
    "IsBlocking": true,
    "IsPassing": true,
    "IsFailing": false,
    "NeedsAttention": false,
    "PassingSuiteKey": "suite-integrity",
    "NeedsAttentionSuiteKey": null
   },
   {
    "TestCaseId": "tc-fk-exceptions-approval_role",
    "TestKind": "fk-resolves",
    "Subject": "Exceptions.ApprovalRole -&gt; Roles",
    "TargetTable": "Exceptions",
    "TargetField": "ApprovalRole",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Exceptions.ApprovalRole -&gt; Roles",
    "IsBlocking": true,
    "IsPassing": true,
    "IsFailing": false,
    "NeedsAttention": false,
    "PassingSuiteKey": "suite-integrity",
    "NeedsAttentionSuiteKey": null
   },
   {
    "TestCaseId": "tc-fk-exceptions-fallback_role",
    "TestKind": "fk-resolves",
    "Subject": "Exceptions.FallbackRole -&gt; Roles",
    "TargetTable": "Exceptions",
    "TargetField": "FallbackRole",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Exceptions.FallbackRole -&gt; Roles",
    "IsBlocking": true,
    "IsPassing": true,
    "IsFailing": false,
    "NeedsAttention": false,
    "PassingSuiteKey": "suite-integrity",
    "NeedsAttentionSuiteKey": null
   },
   {
    "TestCaseId": "tc-fk-procedure_resources-procedure_version",
    "TestKind": "fk-resolves",
    "Subject": "ProcedureResources.ProcedureVersion -&gt; ProcedureVersions",
    "TargetTable": "ProcedureResources",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ProcedureResources.ProcedureVersion -&gt; ProcedureVersions",
    "IsBlocking": true,
    "IsPassing": true,
    "IsFailing": false,
    "NeedsAttention": false,
    "PassingSuiteKey": "suite-integrity",
    "NeedsAttentionSuiteKey": null
   },
   {
    "TestCaseId": "tc-fk-procedure_resources-resource",
    "TestKind": "fk-resolves",
    "Subject": "ProcedureResources.Resource -&gt; Resources",
    "TargetTable": "ProcedureResources",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ProcedureResources.Resource -&gt; Resources",
    "IsBlocking": true,
    "IsPassing": true,
    "IsFailing": false,
    "NeedsAttention": false,
    "PassingSuiteKey": "suite-integrity",
    "NeedsAttentionSuiteKey": null
   },
   {
    "TestCaseId": "tc-fk-elicitation_sessions-procedure_version",
    "TestKind": "fk-resolves",
    "Subject": "ElicitationSessions.ProcedureVersion -&gt; ProcedureVersions",
    "TargetTable": "ElicitationSessions",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ElicitationSessions.ProcedureVersion -&gt; ProcedureVersions",
    "IsBlocking": true,
    "IsPassing": true,
    "IsFailing": false,
    "NeedsAttention": false,
    "PassingSuiteKey": "suite-integrity",
    "NeedsAttentionSuiteKey": null
   },
   {
    "TestCaseId": "tc-fk-elicitation_sessions-practitioner_agent",
    "TestKind": "fk-resolves",
    "Subject": "ElicitationSessions.PractitionerAgent -&gt; Agents",
    "TargetTable": "ElicitationSessions",
    "TargetField": "PractitionerAgent",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ElicitationSessions.PractitionerAgent -&gt; Agents",
    "IsBlocking": true,
    "IsPassing": true,
    "IsFailing": false,
    "NeedsAttention": false,
    "PassingSuiteKey": "suite-integrity",
    "NeedsAttentionSuiteKey": null
   },
   {
    "TestCaseId": "tc-fk-elicitation_sessions-facilitator_agent",
    "TestKind": "fk-resolves",
    "Subject": "ElicitationSessions.FacilitatorAgent -&gt; Agents",
    "TargetTable": "ElicitationSessions",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ElicitationSessions.FacilitatorAgent -&gt; Agents",
    "IsBlocking": true,
    "IsPassing": true,
    "IsFailing": false,
    "NeedsAttention": false,
    "PassingSuiteKey": "suite-integrity",
    "NeedsAttentionSuiteKey": null
   },
   {
    "TestCaseId": "tc-fk-elicitation_sessions-evaluation_context",
    "TestKind": "fk-resolves",
    "Subject": "ElicitationSessions.EvaluationContext -&gt; EvaluationContexts",
    "TargetTable": "ElicitationSessions",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ElicitationSessions.EvaluationContext -&gt; EvaluationContexts",
    "IsBlocking": true,
    "IsPassing": true,
    "IsFailing": false,
    "NeedsAttention": false,
    "PassingSuiteKey": "suite-integrity",
    "NeedsAttentionSuiteKey": null
   },
   {
    "TestCaseId": "tc-fk-knowledge_fragments-procedure_version",
    "TestKind": "fk-resolves",
    "Subject": "KnowledgeFragments.ProcedureVersion -&gt; ProcedureVersions",
    "TargetTable": "KnowledgeFragments",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KnowledgeFragments.ProcedureVersion -&gt; ProcedureVersions",
    "IsBlocking": true,
    "IsPassing": true,
    "IsFailing": false,
    "NeedsAttention": false,
    "PassingSuiteKey": "suite-integrity",
    "NeedsAttentionSuiteKey": null
   },
   {
    "TestCaseId": "tc-fk-knowledge_fragments-step",
    "TestKind": "fk-resolves",
    "Subject": "KnowledgeFragments.Step -&gt; Steps",
    "TargetTable": "KnowledgeFragments",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KnowledgeFragments.Step -&gt; Steps",
    "IsBlocking": true,
    "IsPassing": true,
    "IsFailing": false,
    "NeedsAttention": false,
    "PassingSuiteKey": "suite-integrity",
    "NeedsAttentionSuiteKey": null
   },
   {
    "TestCaseId": "tc-fk-knowledge_fragments-elicitation_session",
    "TestKind": "fk-resolves",
    "Subject": "KnowledgeFragments.ElicitationSession -&gt; ElicitationSessions",
    "TargetTable": "KnowledgeFragments",
    "TargetField": "ElicitationSession",
    "Assertion": "Every non-null value resolves to an existing ElicitationSessions row.",
    "DefendsQuestion": null,
    "Suite": "suite-integrity",
    "Severity": "blocking",
    "LastOutcome": "PASS",
    "LastDetail": "all values resolve",
    "LastRunAt": "2026-07-20T03:06:49+00:00",
    "SemanticTypeIri": "urn:effortless:pko-extension#TestCase",
    "Name": "fk-resolves: KnowledgeFragments.ElicitationSession -&gt; ElicitationSessions",
    "IsBlocking": true,
    "IsPassing": true,
    "IsFailing": false,
    "NeedsAttention": false,
    "PassingSuiteKey": "suite-integrity",
    "NeedsAttentionSuiteKey": null
   },
   {
    "TestCaseId": "tc-fk-knowledge_fragments-source_agent",
    "TestKind": "fk-resolves",
    "Subject": "KnowledgeFragments.SourceAgent -&gt; Agents",
    "TargetTable": "KnowledgeFragments",
    "TargetField": "SourceAgent",
    "Assertion": "Every non-null value resolves to an existing Agents row.",
    "DefendsQuestion": null,
    "Suite": "suite-integrity",
    "Severity": "blocking",
    "LastOutcome": "PASS",
    "LastDetail": "all values resolve",
    "LastRunAt": "2026-07-20T03:06:49+00:00",
    "SemanticTypeIri": "urn:effortless:pko-extension#TestCase",
    "Name": "fk-resolves: KnowledgeFragments.SourceAgent -&gt; Agents",
    "IsBlocking": true,
    "IsPassing": true,
    "IsFailing": false,
    "NeedsAttention": false,
    "PassingSuiteKey": "suite-integrity",
    "NeedsAttentionSuiteKey": null
   },
   {
    "TestCaseId": "tc-fk-knowledge_fragments-owner_role",
    "TestKind": "fk-resolves",
    "Subject": "KnowledgeFragments.OwnerRole -&gt; Roles",
    "TargetTable": "KnowledgeFragments",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KnowledgeFragments.OwnerRole -&gt; Roles",
    "IsBlocking": true,
    "IsPassing": true,
    "IsFailing": false,
    "NeedsAttention": false,
    "PassingSuiteKey": "suite-integrity",
    "NeedsAttentionSuiteKey": null
   },
   {
    "TestCaseId": "tc-fk-knowledge_fragments-evaluation_context",
    "TestKind": "fk-resolves",
    "Subject": "KnowledgeFragments.EvaluationContext -&gt; EvaluationContexts",
    "TargetTable": "KnowledgeFragments",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KnowledgeFragments.EvaluationContext -&gt; EvaluationContexts",
    "IsBlocking": true,
    "IsPassing": true,
    "IsFailing": false,
    "NeedsAttention": false,
    "PassingSuiteKey": "suite-integrity",
    "NeedsAttentionSuiteKey": null
   },
   {
    "TestCaseId": "tc-fk-knowledge_gaps-procedure_version",
    "TestKind": "fk-resolves",
    "Subject": "KnowledgeGaps.ProcedureVersion -&gt; ProcedureVersions",
    "TargetTable": "KnowledgeGaps",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KnowledgeGaps.ProcedureVersion -&gt; ProcedureVersions",
    "IsBlocking": true,
    "IsPassing": true,
    "IsFailing": false,
    "NeedsAttention": false,
    "PassingSuiteKey": "suite-integrity",
    "NeedsAttentionSuiteKey": null
   },
   {
    "TestCaseId": "tc-fk-knowledge_gaps-step",
    "TestKind": "fk-resolves",
    "Subject": "KnowledgeGaps.Step -&gt; Steps",
    "TargetTable": "KnowledgeGaps",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KnowledgeGaps.Step -&gt; Steps",
    "IsBlocking": true,
    "IsPassing": true,
    "IsFailing": false,
    "NeedsAttention": false,
    "PassingSuiteKey": "suite-integrity",
    "NeedsAttentionSuiteKey": null
   },
   {
    "TestCaseId": "tc-fk-knowledge_gaps-owner_role",
    "TestKind": "fk-resolves",
    "Subject": "KnowledgeGaps.OwnerRole -&gt; Roles",
    "TargetTable": "KnowledgeGaps",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KnowledgeGaps.OwnerRole -&gt; Roles",
    "IsBlocking": true,
    "IsPassing": true,
    "IsFailing": false,
    "NeedsAttention": false,
    "PassingSuiteKey": "suite-integrity",
    "NeedsAttentionSuiteKey": null
   },
   {
    "TestCaseId": "tc-fk-knowledge_gaps-evaluation_context",
    "TestKind": "fk-resolves",
    "Subject": "KnowledgeGaps.EvaluationContext -&gt; EvaluationContexts",
    "TargetTable": "KnowledgeGaps",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KnowledgeGaps.EvaluationContext -&gt; EvaluationContexts",
    "IsBlocking": true,
    "IsPassing": true,
    "IsFailing": false,
    "NeedsAttention": false,
    "PassingSuiteKey": "suite-integrity",
    "NeedsAttentionSuiteKey": null
   },
   {
    "TestCaseId": "tc-fk-f_a_qs-procedure_version",
    "TestKind": "fk-resolves",
    "Subject": "FAQs.ProcedureVersion -&gt; ProcedureVersions",
    "TargetTable": "FAQs",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FAQs.ProcedureVersion -&gt; ProcedureVersions",
    "IsBlocking": true,
    "IsPassing": true,
    "IsFailing": false,
    "NeedsAttention": false,
    "PassingSuiteKey": "suite-integrity",
    "NeedsAttentionSuiteKey": null
   },
   {
    "TestCaseId": "tc-fk-f_a_qs-step",
    "TestKind": "fk-resolves",
    "Subject": "FAQs.Step -&gt; Steps",
    "TargetTable": "FAQs",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FAQs.Step -&gt; Steps",
    "IsBlocking": true,
    "IsPassing": true,
    "IsFailing": false,
    "NeedsAttention": false,
    "PassingSuiteKey": "suite-integrity",
    "NeedsAttentionSuiteKey": null
   },
   {
    "TestCaseId": "tc-fk-explanations-procedure_version",
    "TestKind": "fk-resolves",
    "Subject": "Explanations.ProcedureVersion -&gt; ProcedureVersions",
    "TargetTable": "Explanations",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Explanations.ProcedureVersion -&gt; ProcedureVersions",
    "IsBlocking": true,
    "IsPassing": true,
    "IsFailing": false,
    "NeedsAttention": false,
    "PassingSuiteKey": "suite-integrity",
    "NeedsAttentionSuiteKey": null
   },
   {
    "TestCaseId": "tc-fk-explanations-step",
    "TestKind": "fk-resolves",
    "Subject": "Explanations.Step -&gt; Steps",
    "TargetTable": "Explanations",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Explanations.Step -&gt; Steps",
    "IsBlocking": true,
    "IsPassing": true,
    "IsFailing": false,
    "NeedsAttention": false,
    "PassingSuiteKey": "suite-integrity",
    "NeedsAttentionSuiteKey": null
   },
   {
    "TestCaseId": "tc-fk-procedure_executions-procedure_version",
    "TestKind": "fk-resolves",
    "Subject": "ProcedureExecutions.ProcedureVersion -&gt; ProcedureVersions",
    "TargetTable": "ProcedureExecutions",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ProcedureExecutions.ProcedureVersion -&gt; ProcedureVersions",
    "IsBlocking": true,
    "IsPassing": true,
    "IsFailing": false,
    "NeedsAttention": false,
    "PassingSuiteKey": "suite-integrity",
    "NeedsAttentionSuiteKey": null
   },
   {
    "TestCaseId": "tc-fk-procedure_executions-executed_by_agent",
    "TestKind": "fk-resolves",
    "Subject": "ProcedureExecutions.ExecutedByAgent -&gt; Agents",
    "TargetTable": "ProcedureExecutions",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ProcedureExecutions.ExecutedByAgent -&gt; Agents",
    "IsBlocking": true,
    "IsPassing": true,
    "IsFailing": false,
    "NeedsAttention": false,
    "PassingSuiteKey": "suite-integrity",
    "NeedsAttentionSuiteKey": null
   },
   {
    "TestCaseId": "tc-fk-step_executions-procedure_execution",
    "TestKind": "fk-resolves",
    "Subject": "StepExecutions.ProcedureExecution -&gt; ProcedureExecutions",
    "TargetTable": "StepExecutions",
    "TargetField": "ProcedureExecution",
    "Assertion": "Every non-null value resolves to an existing</t>
  </si>
  <si>
    <t xml:space="preserve"> ProcedureExecutions row.",
    "DefendsQuestion": null,
    "Suite": "suite-integrity",
    "Severity": "blocking",
    "LastOutcome": "PASS",
    "LastDetail": "all values resolve",
    "LastRunAt": "2026-07-20T03:06:49+00:00",
    "SemanticTypeIri": "urn:effortless:pko-extension#TestCase",
    "Name": "fk-resolves: StepExecutions.ProcedureExecution -&gt; ProcedureExecutions",
    "IsBlocking": true,
    "IsPassing": true,
    "IsFailing": false,
    "NeedsAttention": false,
    "PassingSuiteKey": "suite-integrity",
    "NeedsAttentionSuiteKey": null
   },
   {
    "TestCaseId": "tc-fk-step_executions-step",
    "TestKind": "fk-resolves",
    "Subject": "StepExecutions.Step -&gt; Steps",
    "TargetTable": "StepExecutions",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StepExecutions.Step -&gt; Steps",
    "IsBlocking": true,
    "IsPassing": true,
    "IsFailing": false,
    "NeedsAttention": false,
    "PassingSuiteKey": "suite-integrity",
    "NeedsAttentionSuiteKey": null
   },
   {
    "TestCaseId": "tc-fk-step_executions-executed_by_agent",
    "TestKind": "fk-resolves",
    "Subject": "StepExecutions.ExecutedByAgent -&gt; Agents",
    "TargetTable": "StepExecutions",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StepExecutions.ExecutedByAgent -&gt; Agents",
    "IsBlocking": true,
    "IsPassing": true,
    "IsFailing": false,
    "NeedsAttention": false,
    "PassingSuiteKey": "suite-integrity",
    "NeedsAttentionSuiteKey": null
   },
   {
    "TestCaseId": "tc-fk-requirement_satisfactions-step_execution",
    "TestKind": "fk-resolves",
    "Subject": "RequirementSatisfactions.StepExecution -&gt; StepExecutions",
    "TargetTable": "RequirementSatisfactions",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RequirementSatisfactions.StepExecution -&gt; StepExecutions",
    "IsBlocking": true,
    "IsPassing": true,
    "IsFailing": false,
    "NeedsAttention": false,
    "PassingSuiteKey": "suite-integrity",
    "NeedsAttentionSuiteKey": null
   },
   {
    "TestCaseId": "tc-fk-requirement_satisfactions-requirement",
    "TestKind": "fk-resolves",
    "Subject": "RequirementSatisfactions.Requirement -&gt; Requirements",
    "TargetTable": "RequirementSatisfactions",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RequirementSatisfactions.Requirement -&gt; Requirements",
    "IsBlocking": true,
    "IsPassing": true,
    "IsFailing": false,
    "NeedsAttention": false,
    "PassingSuiteKey": "suite-integrity",
    "NeedsAttentionSuiteKey": null
   },
   {
    "TestCaseId": "tc-fk-requirement_satisfactions-evaluated_by_agent",
    "TestKind": "fk-resolves",
    "Subject": "RequirementSatisfactions.EvaluatedByAgent -&gt; Agents",
    "TargetTable": "RequirementSatisfactions",
    "TargetField": "EvaluatedByAgent",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RequirementSatisfactions.EvaluatedByAgent -&gt; Agents",
    "IsBlocking": true,
    "IsPassing": true,
    "IsFailing": false,
    "NeedsAttention": false,
    "PassingSuiteKey": "suite-integrity",
    "NeedsAttentionSuiteKey": null
   },
   {
    "TestCaseId": "tc-fk-issue_occurrences-step_execution",
    "TestKind": "fk-resolves",
    "Subject": "IssueOccurrences.StepExecution -&gt; StepExecutions",
    "TargetTable": "IssueOccurrences",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IssueOccurrences.StepExecution -&gt; StepExecutions",
    "IsBlocking": true,
    "IsPassing": true,
    "IsFailing": false,
    "NeedsAttention": false,
    "PassingSuiteKey": "suite-integrity",
    "NeedsAttentionSuiteKey": null
   },
   {
    "TestCaseId": "tc-fk-issue_occurrences-error",
    "TestKind": "fk-resolves",
    "Subject": "IssueOccurrences.Error -&gt; Errors",
    "TargetTable": "IssueOccurrences",
    "TargetField": "Error",
    "Assertion": "Every non-null value resolves to an existing Errors row.",
    "DefendsQuestion": null,
    "Suite": "suite-integrity",
    "Severity": "blocking",
    "LastOutcome": "PASS",
    "LastDetail": "all values resolve",
    "LastRunAt": "2026-07-20T03:06:49+00:00",
    "SemanticTypeIri": "urn:effortless:pko-extension#TestCase",
    "Name": "fk-resolves: IssueOccurrences.Error -&gt; Errors",
    "IsBlocking": true,
    "IsPassing": true,
    "IsFailing": false,
    "NeedsAttention": false,
    "PassingSuiteKey": "suite-integrity",
    "NeedsAttentionSuiteKey": null
   },
   {
    "TestCaseId": "tc-fk-issue_occurrences-encountered_by_agent",
    "TestKind": "fk-resolves",
    "Subject": "IssueOccurrences.EncounteredByAgent -&gt; Agents",
    "TargetTable": "IssueOccurrences",
    "TargetField": "EncounteredByAgent",
    "Assertion": "Every non-null value resolves to an existing Agents row.",
    "DefendsQuestion": null,
    "Suite": "suite-integrity",
    "Severity": "blocking",
    "LastOutcome": "PASS",
    "LastDetail": "all values resolve",
    "LastRunAt": "2026-07-20T03:06:49+00:00",
    "SemanticTypeIri": "urn:effortless:pko-extension#TestCase",
    "Name": "fk-resolves: IssueOccurrences.EncounteredByAgent -&gt; Agents",
    "IsBlocking": true,
    "IsPassing": true,
    "IsFailing": false,
    "NeedsAttention": false,
    "PassingSuiteKey": "suite-integrity",
    "NeedsAttentionSuiteKey": null
   },
   {
    "TestCaseId": "tc-fk-user_questions-step_execution",
    "TestKind": "fk-resolves",
    "Subject": "UserQuestions.StepExecution -&gt; StepExecutions",
    "TargetTable": "UserQuestions",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UserQuestions.StepExecution -&gt; StepExecutions",
    "IsBlocking": true,
    "IsPassing": true,
    "IsFailing": false,
    "NeedsAttention": false,
    "PassingSuiteKey": "suite-integrity",
    "NeedsAttentionSuiteKey": null
   },
   {
    "TestCaseId": "tc-fk-user_questions-asked_by_agent",
    "TestKind": "fk-resolves",
    "Subject": "UserQuestions.AskedByAgent -&gt; Agents",
    "TargetTable": "UserQuestions",
    "TargetField": "AskedByAgent",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UserQuestions.AskedByAgent -&gt; Agents",
    "IsBlocking": true,
    "IsPassing": true,
    "IsFailing": false,
    "NeedsAttention": false,
    "PassingSuiteKey": "suite-integrity",
    "NeedsAttentionSuiteKey": null
   },
   {
    "TestCaseId": "tc-fk-user_questions-resolved_by_faq",
    "TestKind": "fk-resolves",
    "Subject": "UserQuestions.ResolvedByFaq -&gt; FAQs",
    "TargetTable": "UserQuestions",
    "TargetField": "ResolvedByFaq",
    "Assertion": "Every non-null value resolves to an existing FAQs row.",
    "DefendsQuestion": null,
    "Suite": "suite-integrity",
    "Severity": "blocking",
    "LastOutcome": "PASS",
    "LastDetail": "all values resolve",
    "LastRunAt": "2026-07-20T03:06:49+00:00",
    "SemanticTypeIri": "urn:effortless:pko-extension#TestCase",
    "Name": "fk-resolves: UserQuestions.ResolvedByFaq -&gt; FAQs",
    "IsBlocking": true,
    "IsPassing": true,
    "IsFailing": false,
    "NeedsAttention": false,
    "PassingSuiteKey": "suite-integrity",
    "NeedsAttentionSuiteKey": null
   },
   {
    "TestCaseId": "tc-fk-user_questions-addressed_by_resource",
    "TestKind": "fk-resolves",
    "Subject": "UserQuestions.AddressedByResource -&gt; Resources",
    "TargetTable": "UserQuestions",
    "TargetField": "AddressedByResource",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UserQuestions.AddressedByResource -&gt; Resources",
    "IsBlocking": true,
    "IsPassing": true,
    "IsFailing": false,
    "NeedsAttention": false,
    "PassingSuiteKey": "suite-integrity",
    "NeedsAttentionSuiteKey": null
   },
   {
    "TestCaseId": "tc-fk-user_feedback-procedure_execution",
    "TestKind": "fk-resolves",
    "Subject": "UserFeedback.ProcedureExecution -&gt; ProcedureExecutions",
    "TargetTable": "UserFeedback",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UserFeedback.ProcedureExecution -&gt; ProcedureExecutions",
    "IsBlocking": true,
    "IsPassing": true,
    "IsFailing": false,
    "NeedsAttention": false,
    "PassingSuiteKey": "suite-integrity",
    "NeedsAttentionSuiteKey": null
   },
   {
    "TestCaseId": "tc-fk-user_feedback-provided_by_agent",
    "TestKind": "fk-resolves",
    "Subject": "UserFeedback.ProvidedByAgent -&gt; Agents",
    "TargetTable": "UserFeedback",
    "TargetField": "ProvidedByAgent",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UserFeedback.ProvidedByAgent -&gt; Agents",
    "IsBlocking": true,
    "IsPassing": true,
    "IsFailing": false,
    "NeedsAttention": false,
    "PassingSuiteKey": "suite-integrity",
    "NeedsAttentionSuiteKey": null
   },
   {
    "TestCaseId": "tc-fk-stewardship_assignments-procedure_version",
    "TestKind": "fk-resolves",
    "Subject": "StewardshipAssignments.ProcedureVersion -&gt; ProcedureVersions",
    "TargetTable": "StewardshipAssignments",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StewardshipAssignments.ProcedureVersion -&gt; ProcedureVersions",
    "IsBlocking": true,
    "IsPassing": true,
    "IsFailing": false,
    "NeedsAttention": false,
    "PassingSuiteKey": "suite-integrity",
    "NeedsAttentionSuiteKey": null
   },
   {
    "TestCaseId": "tc-fk-stewardship_assignments-steward_role",
    "TestKind": "fk-resolves",
    "Subject": "StewardshipAssignments.StewardRole -&gt; Roles",
    "TargetTable": "StewardshipAssignments",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StewardshipAssignments.StewardRole -&gt; Roles",
    "IsBlocking": true,
    "IsPassing": true,
    "IsFailing": false,
    "NeedsAttention": false,
    "PassingSuiteKey": "suite-integrity",
    "NeedsAttentionSuiteKey": null
   },
   {
    "TestCaseId": "tc-fk-stewardship_assignments-authority_role",
    "TestKind": "fk-resolves",
    "Subject": "StewardshipAssignments.AuthorityRole -&gt; Roles",
    "TargetTable": "StewardshipAssignments",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StewardshipAssignments.AuthorityRole -&gt; Roles",
    "IsBlocking": true,
    "IsPassing": true,
    "IsFailing": false,
    "NeedsAttention": false,
    "PassingSuiteKey": "suite-integrity",
    "NeedsAttentionSuiteKey": null
   },
   {
    "TestCaseId": "tc-fk-stewardship_assignments-evaluation_context",
    "TestKind": "fk-resolves",
    "Subject": "StewardshipAssignments.EvaluationContext -&gt; EvaluationContexts",
    "TargetTable": "StewardshipAssignments",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StewardshipAssignments.EvaluationContext -&gt; EvaluationContexts",
    "IsBlocking": true,
    "IsPassing": true,
    "IsFailing": false,
    "NeedsAttention": false,
    "PassingSuiteKey": "suite-integrity",
    "NeedsAttentionSuiteKey": null
   },
   {
    "TestCaseId": "tc-fk-change_requests-procedure_version",
    "TestKind": "fk-resolves",
    "Subject": "ChangeRequests.ProcedureVersion -&gt; ProcedureVersions",
    "TargetTable": "ChangeRequests",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ChangeRequests.ProcedureVersion -&gt; ProcedureVersions",
    "IsBlocking": true,
    "IsPassing": true,
    "IsFailing": false,
    "NeedsAttention": false,
    "PassingSuiteKey": "suite-integrity",
    "NeedsAttentionSuiteKey": null
   },
   {
    "TestCaseId": "tc-fk-change_requests-requested_by_agent",
    "TestKind": "fk-resolves",
    "Subject": "ChangeRequests.RequestedByAgent -&gt; Agents",
    "TargetTable": "ChangeRequests",
    "TargetField": "RequestedByAgent",
    "Assertion": "Every non-null value resolves to an existing Agents row.",
    "DefendsQuestion": null,
    "Suite": "suite-integrity",
    "Severity": "blocking",
    "LastOutcome": "PASS",
    "LastDetail": "all values resolve",
    "LastRunAt": "2026-07-20T03:06:49+00:00",
    "SemanticTypeIri": "urn:effortless:pko-extension#TestCase",
    "Name": "fk-resolves: ChangeRequests.RequestedByAgent -&gt; Agents",
    "IsBlocking": true,
    "IsPassing": true,
    "IsFailing": false,
    "NeedsAttention": false,
    "PassingSuiteKey": "suite-integrity",
    "NeedsAttentionSuiteKey": null
   },
   {
    "TestCaseId": "tc-fk-change_requests-authority_role",
    "TestKind": "fk-resolves",
    "Subject": "ChangeRequests.AuthorityRole -&gt; Roles",
    "TargetTable": "ChangeRequests",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ChangeRequests.AuthorityRole -&gt; Roles",
    "IsBlocking": true,
    "IsPassing": true,
    "IsFailing": false,
    "NeedsAttention": false,
    "PassingSuiteKey": "suite-integrity",
    "NeedsAttentionSuiteKey": null
   },
   {
    "TestCaseId": "tc-fk-change_requests-evaluation_context",
    "TestKind": "fk-resolves",
    "Subject": "ChangeRequests.EvaluationContext -&gt; EvaluationContexts",
    "TargetTable": "ChangeRequests",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ChangeRequests.EvaluationContext -&gt; EvaluationContexts",
    "IsBlocking": true,
    "IsPassing": true,
    "IsFailing": false,
    "NeedsAttention": false,
    "PassingSuiteKey": "suite-integrity",
    "NeedsAttentionSuiteKey": null
   },
   {
    "TestCaseId": "tc-fk-review_events-procedure_version",
    "TestKind": "fk-resolves",
    "Subject": "ReviewEvents.ProcedureVersion -&gt; ProcedureVersions",
    "TargetTable": "ReviewEvents",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ReviewEvents.ProcedureVersion -&gt; ProcedureVersions",
    "IsBlocking": true,
    "IsPassing": true,
    "IsFailing": false,
    "NeedsAttention": false,
    "PassingSuiteKey": "suite-integrity",
    "NeedsAttentionSuiteKey": null
   },
   {
    "TestCaseId": "tc-fk-review_events-reviewed_by_agent",
    "TestKind": "fk-resolves",
    "Subject": "ReviewEvents.ReviewedByAgent -&gt; Agents",
    "TargetTable": "ReviewEvents",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ReviewEvents.ReviewedByAgent -&gt; Agents",
    "IsBlocking": true,
    "IsPassing": true,
    "IsFailing": false,
    "NeedsAttention": false,
    "PassingSuiteKey": "suite-integrity",
    "NeedsAttentionSuiteKey": null
   },
   {
    "TestCaseId": "tc-fk-review_events-related_change_request",
    "TestKind": "fk-resolves",
    "Subject": "ReviewEvents.RelatedChangeRequest -&gt; ChangeRequests",
    "TargetTable": "ReviewEvents",
    "TargetField": "RelatedChangeRequest",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ReviewEvents.RelatedChangeRequest -&gt; ChangeRequests",
    "IsBlocking": true,
    "IsPassing": true,
    "IsFailing": false,
    "NeedsAttention": false,
    "PassingSuiteKey": "suite-integrity",
    "NeedsAttentionSuiteKey": null
   },
   {
    "TestCaseId": "tc-fk-review_events-evaluation_context",
    "TestKind": "fk-resolves",
    "Subject": "ReviewEvents.EvaluationContext -&gt; EvaluationContexts",
    "TargetTable": "ReviewEvents",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ReviewEvents.EvaluationContext -&gt; EvaluationContexts",
    "IsBlocking": true,
    "IsPassing": true,
    "IsFailing": false,
    "NeedsAttention": false,
    "PassingSuiteKey": "suite-integrity",
    "NeedsAttentionSuiteKey": null
   },
   {
    "TestCaseId": "tc-fk-learning_activities-community_of_practice",
    "TestKind": "fk-resolves",
    "Subject": "LearningActivities.CommunityOfPractice -&gt; CommunitiesOfPractice",
    "TargetTable": "LearningActivities",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LearningActivities.CommunityOfPractice -&gt; CommunitiesOfPractice",
    "IsBlocking": true,
    "IsPassing": true,
    "IsFailing": false,
    "NeedsAttention": false,
    "PassingSuiteKey": "suite-integrity",
    "NeedsAttentionSuiteKey": null
   },
   {
    "TestCaseId": "tc-fk-learning_activities-procedure_version",
    "TestKind": "fk-resolves",
    "Subject": "LearningActivities.ProcedureVersion -&gt; ProcedureVersions",
    "TargetTable": "LearningActivities",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LearningActivities.ProcedureVersion -&gt; ProcedureVersions",
    "IsBlocking": true,
    "IsPassing": true,
    "IsFailing": false,
    "NeedsAttention": false,
    "PassingSuiteKey": "suite-integrity",
    "NeedsAttentionSuiteKey": null
   },
   {
    "TestCaseId": "tc-fk-learning_activities-facilitator_agent",
    "TestKind": "fk-resolves",
    "Subject": "LearningActivities.FacilitatorAgent -&gt; Agents",
    "TargetTable": "LearningActivities",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LearningActivities.FacilitatorAgent -&gt; Agents",
    "IsBlocking": true,
    "IsPassing": true,
    "IsFailing": false,
    "NeedsAttention": false,
    "PassingSuiteKey": "suite-integrity",
    "NeedsAttentionSuiteKey": null
   },
   {
    "TestCaseId": "tc-fk-learning_activities-evidence_resource",
    "TestKind": "fk-resolves",
    "Subject": "LearningActivities.EvidenceResource -&gt; Resources",
    "TargetTable": "LearningActivities",
    "TargetField": "EvidenceResource",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LearningActivities.EvidenceResource -&gt; Resources",
    "IsBlocking": true,
    "IsPassing": true,
    "IsFailing": false,
    "NeedsAttention": false,
    "PassingSuiteKey": "suite-integrity",
    "NeedsAttentionSuiteKey": null
   },
   {
    "TestCaseId": "tc-fk-operational_bindings-procedure_version",
    "TestKind": "fk-resolves",
    "Subject": "OperationalBindings.ProcedureVersion -&gt; ProcedureVersions",
    "TargetTable": "OperationalBindings",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OperationalBindings.ProcedureVersion -&gt; ProcedureVersions",
    "IsBlocking": true,
    "IsPassing": true,
    "IsFailing": false,
    "NeedsAttention": false,
    "PassingSuiteKey": "suite-integrity",
    "NeedsAttentionSuiteKey": null
   },
   {
    "TestCaseId": "tc-fk-operational_bindings-step",
    "TestKind": "fk-resolves",
    "Subject": "OperationalBindings.Step -&gt; Steps",
    "TargetTable": "OperationalBindings",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OperationalBindings.Step -&gt; Steps",
    "IsBlocking": true,
    "IsPassing": true,
    "IsFailing": false,
    "NeedsAttention": false,
    "PassingSuiteKey": "suite-integrity",
    "NeedsAttentionSuiteKey": null
   },
   {
    "TestCaseId": "tc-fk-operational_bindings-resource",
    "TestKind": "fk-resolves",
    "Subject": "OperationalBindings.Resource -&gt; Resources",
    "TargetTable": "OperationalBindings",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OperationalBindings.Resource -&gt; Resources",
    "IsBlocking": true,
    "IsPassing": true,
    "IsFailing": false,
    "NeedsAttention": false,
    "PassingSuiteKey": "suite-integrity",
    "NeedsAttentionSuiteKey": null
   },
   {
    "TestCaseId": "tc-fk-operational_bindings-evaluation_context",
    "TestKind": "fk-resolves",
    "Subject": "OperationalBindings.EvaluationContext -&gt; EvaluationContexts",
    "TargetTable": "OperationalBindings",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OperationalBindings.EvaluationContext -&gt; EvaluationContexts",
    "IsBlocking": true,
    "IsPassing": true,
    "IsFailing": false,
    "NeedsAttention": false,
    "PassingSuiteKey": "suite-integrity",
    "NeedsAttentionSuiteKey": null
   },
   {
    "TestCaseId": "tc-fk-communication_policies-procedure_version",
    "TestKind": "fk-resolves",
    "Subject": "CommunicationPolicies.ProcedureVersion -&gt; ProcedureVersions",
    "TargetTable": "CommunicationPolicies",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CommunicationPolicies.ProcedureVersion -&gt; ProcedureVersions",
    "IsBlocking": true,
    "IsPassing": true,
    "IsFailing": false,
    "NeedsAttention": false,
    "PassingSuiteKey": "suite-integrity",
    "NeedsAttentionSuiteKey": null
   },
   {
    "TestCaseId": "tc-fk-communication_policies-approval_role",
    "TestKind": "fk-resolves",
    "Subject": "CommunicationPolicies.ApprovalRole -&gt; Roles",
    "TargetTable": "CommunicationPolicies",
    "TargetField": "ApprovalRole",
    "Assertion": "Every non-null value resolves to an existing Roles row.",
    "DefendsQuestion": null,
    "Suite": "suite-integrity",
    "Severity": "blocking",
    "LastOutcome": "PASS",
    "LastDetail": "all values resolve",
    "LastRunAt": "2026-07-20T03:06:49+00:00",
    "SemanticTypeIri": "urn:effortless:pko-extension#TestCase",
    "Name": "fk-resolves: CommunicationPolicies.ApprovalRole -&gt; Roles",
    "IsBlocking": true,
    "IsPassing": true,
    "IsFailing": false,
    "NeedsAttention": false,
    "PassingSuiteKey": "suite-integrity",
    "NeedsAttentionSuiteKey": null
   },
   {
    "TestCaseId": "tc-fk-message_templates-communication_policy",
    "TestKind": "fk-resolves",
    "Subject": "MessageTemplates.CommunicationPolicy -&gt; CommunicationPolicies",
    "TargetTable": "MessageTemplates",
    "TargetField": "CommunicationPolicy",
    "Assertion": "Every non-null value resolves to an existing CommunicationPolicies row.",
    "DefendsQuestion": null,
    "Suite": "suite-integrity",
    "Severity": "blocking",
    "LastOutcome": "PASS",
    "LastDetail": "all values resolve",
    "LastRunAt": "2026-07-20T03:06:49+00:00",
    "SemanticTypeIri": "urn:effortless:pko-extension#TestCase",
    "Name": "fk-resolves: MessageTemplates.CommunicationPolicy -&gt; CommunicationPolicies",
    "IsBlocking": true,
    "IsPassing": true,
    "IsFailing": false,
    "NeedsAttention": false,
    "PassingSuiteKey": "suite-integrity",
    "NeedsAttentionSuiteKey": null
   },
   {
    "TestCaseId": "tc-fk-message_templates-resource",
    "TestKind": "fk-resolves",
    "Subject": "MessageTemplates.Resource -&gt; Resources",
    "TargetTable": "MessageTemplates",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MessageTemplates.Resource -&gt; Resources",
    "IsBlocking": true,
    "IsPassing": true,
    "IsFailing": false,
    "NeedsAttention": false,
    "PassingSuiteKey": "suite-integr</t>
  </si>
  <si>
    <t xml:space="preserve">ity",
    "NeedsAttentionSuiteKey": null
   },
   {
    "TestCaseId": "tc-fk-semantic_mappings-ontology_profile",
    "TestKind": "fk-resolves",
    "Subject": "SemanticMappings.OntologyProfile -&gt; OntologyProfiles",
    "TargetTable": "SemanticMappings",
    "TargetField": "OntologyProfile",
    "Assertion": "Every non-null value resolves to an existing OntologyProfiles row.",
    "DefendsQuestion": null,
    "Suite": "suite-integrity",
    "Severity": "blocking",
    "LastOutcome": "PASS",
    "LastDetail": "all values resolve",
    "LastRunAt": "2026-07-20T03:06:49+00:00",
    "SemanticTypeIri": "urn:effortless:pko-extension#TestCase",
    "Name": "fk-resolves: SemanticMappings.OntologyProfile -&gt; OntologyProfiles",
    "IsBlocking": true,
    "IsPassing": true,
    "IsFailing": false,
    "NeedsAttention": false,
    "PassingSuiteKey": "suite-integrity",
    "NeedsAttentionSuiteKey": null
   },
   {
    "TestCaseId": "tc-fk-role_questions-asking_role",
    "TestKind": "fk-resolves",
    "Subject": "RoleQuestions.AskingRole -&gt; Roles",
    "TargetTable": "RoleQuestions",
    "TargetField": "AskingRole",
    "Assertion": "Every non-null value resolves to an existing Roles row.",
    "DefendsQuestion": null,
    "Suite": "suite-integrity",
    "Severity": "blocking",
    "LastOutcome": "PASS",
    "LastDetail": "all values resolve",
    "LastRunAt": "2026-07-20T03:06:49+00:00",
    "SemanticTypeIri": "urn:effortless:pko-extension#TestCase",
    "Name": "fk-resolves: RoleQuestions.AskingRole -&gt; Roles",
    "IsBlocking": true,
    "IsPassing": true,
    "IsFailing": false,
    "NeedsAttention": false,
    "PassingSuiteKey": "suite-integrity",
    "NeedsAttentionSuiteKey": null
   },
   {
    "TestCaseId": "tc-fk-role_questions-witness_loop",
    "TestKind": "fk-resolves",
    "Subject": "RoleQuestions.WitnessLoop -&gt; WitnessLoops",
    "TargetTable": "RoleQuestions",
    "TargetField": "WitnessLoop",
    "Assertion": "Every non-null value resolves to an existing WitnessLoops row.",
    "DefendsQuestion": null,
    "Suite": "suite-integrity",
    "Severity": "blocking",
    "LastOutcome": "PASS",
    "LastDetail": "all values resolve",
    "LastRunAt": "2026-07-20T03:06:49+00:00",
    "SemanticTypeIri": "urn:effortless:pko-extension#TestCase",
    "Name": "fk-resolves: RoleQuestions.WitnessLoop -&gt; WitnessLoops",
    "IsBlocking": true,
    "IsPassing": true,
    "IsFailing": false,
    "NeedsAttention": false,
    "PassingSuiteKey": "suite-integrity",
    "NeedsAttentionSuiteKey": null
   },
   {
    "TestCaseId": "tc-fk-rulebook_fields-invented_for_question",
    "TestKind": "fk-resolves",
    "Subject": "RulebookFields.InventedForQuestion -&gt; RoleQuestions",
    "TargetTable": "RulebookFields",
    "TargetField": "InventedForQuestion",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RulebookFields.InventedForQuestion -&gt; RoleQuestions",
    "IsBlocking": true,
    "IsPassing": true,
    "IsFailing": false,
    "NeedsAttention": false,
    "PassingSuiteKey": "suite-integrity",
    "NeedsAttentionSuiteKey": null
   },
   {
    "TestCaseId": "tc-fk-test_cases-defends_question",
    "TestKind": "fk-resolves",
    "Subject": "TestCases.DefendsQuestion -&gt; RoleQuestions",
    "TargetTable": "TestCases",
    "TargetField": "DefendsQuestion",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TestCases.DefendsQuestion -&gt; RoleQuestions",
    "IsBlocking": true,
    "IsPassing": true,
    "IsFailing": false,
    "NeedsAttention": false,
    "PassingSuiteKey": "suite-integrity",
    "NeedsAttentionSuiteKey": null
   },
   {
    "TestCaseId": "tc-fk-test_cases-suite",
    "TestKind": "fk-resolves",
    "Subject": "TestCases.Suite -&gt; TestSuites",
    "TargetTable": "TestCases",
    "TargetField": "Suite",
    "Assertion": "Every non-null value resolves to an existing TestSuites row.",
    "DefendsQuestion": null,
    "Suite": "suite-integrity",
    "Severity": "blocking",
    "LastOutcome": "PASS",
    "LastDetail": "all values resolve",
    "LastRunAt": "2026-07-20T03:06:49+00:00",
    "SemanticTypeIri": "urn:effortless:pko-extension#TestCase",
    "Name": "fk-resolves: TestCases.Suite -&gt; TestSuites",
    "IsBlocking": true,
    "IsPassing": true,
    "IsFailing": false,
    "NeedsAttention": false,
    "PassingSuiteKey": "suite-integrity",
    "NeedsAttentionSuiteKey": null
   },
   {
    "TestCaseId": "tc-fk-exception_invocations-step_execution",
    "TestKind": "fk-resolves",
    "Subject": "ExceptionInvocations.StepExecution -&gt; StepExecutions",
    "TargetTable": "ExceptionInvocations",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ExceptionInvocations.StepExecution -&gt; StepExecutions",
    "IsBlocking": true,
    "IsPassing": true,
    "IsFailing": false,
    "NeedsAttention": false,
    "PassingSuiteKey": "suite-integrity",
    "NeedsAttentionSuiteKey": null
   },
   {
    "TestCaseId": "tc-fk-exception_invocations-exception",
    "TestKind": "fk-resolves",
    "Subject": "ExceptionInvocations.Exception -&gt; Exceptions",
    "TargetTable": "ExceptionInvocations",
    "TargetField": "Exception",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ExceptionInvocations.Exception -&gt; Exceptions",
    "IsBlocking": true,
    "IsPassing": true,
    "IsFailing": false,
    "NeedsAttention": false,
    "PassingSuiteKey": "suite-integrity",
    "NeedsAttentionSuiteKey": null
   },
   {
    "TestCaseId": "tc-fk-exception_invocations-invoked_by_agent",
    "TestKind": "fk-resolves",
    "Subject": "ExceptionInvocations.InvokedByAgent -&gt; Agents",
    "TargetTable": "ExceptionInvocations",
    "TargetField": "InvokedByAgent",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ExceptionInvocations.InvokedByAgent -&gt; Agents",
    "IsBlocking": true,
    "IsPassing": true,
    "IsFailing": false,
    "NeedsAttention": false,
    "PassingSuiteKey": "suite-integrity",
    "NeedsAttentionSuiteKey": null
   },
   {
    "TestCaseId": "tc-fk-exception_invocations-approved_by_agent",
    "TestKind": "fk-resolves",
    "Subject": "ExceptionInvocations.ApprovedByAgent -&gt; Agents",
    "TargetTable": "ExceptionInvocations",
    "TargetField": "ApprovedByAgent",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ExceptionInvocations.ApprovedByAgent -&gt; Agents",
    "IsBlocking": true,
    "IsPassing": true,
    "IsFailing": false,
    "NeedsAttention": false,
    "PassingSuiteKey": "suite-integrity",
    "NeedsAttentionSuiteKey": null
   },
   {
    "TestCaseId": "tc-fk-verification_outcomes-step_execution",
    "TestKind": "fk-resolves",
    "Subject": "VerificationOutcomes.StepExecution -&gt; StepExecutions",
    "TargetTable": "VerificationOutcomes",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VerificationOutcomes.StepExecution -&gt; StepExecutions",
    "IsBlocking": true,
    "IsPassing": true,
    "IsFailing": false,
    "NeedsAttention": false,
    "PassingSuiteKey": "suite-integrity",
    "NeedsAttentionSuiteKey": null
   },
   {
    "TestCaseId": "tc-fk-verification_outcomes-step_verification",
    "TestKind": "fk-resolves",
    "Subject": "VerificationOutcomes.StepVerification -&gt; StepVerifications",
    "TargetTable": "VerificationOutcomes",
    "TargetField": "StepVerification",
    "Assertion": "Every non-null value resolves to an existing StepVerifications row.",
    "DefendsQuestion": null,
    "Suite": "suite-integrity",
    "Severity": "blocking",
    "LastOutcome": "PASS",
    "LastDetail": "all values resolve",
    "LastRunAt": "2026-07-20T03:06:49+00:00",
    "SemanticTypeIri": "urn:effortless:pko-extension#TestCase",
    "Name": "fk-resolves: VerificationOutcomes.StepVerification -&gt; StepVerifications",
    "IsBlocking": true,
    "IsPassing": true,
    "IsFailing": false,
    "NeedsAttention": false,
    "PassingSuiteKey": "suite-integrity",
    "NeedsAttentionSuiteKey": null
   },
   {
    "TestCaseId": "tc-fk-verification_outcomes-observed_by_agent",
    "TestKind": "fk-resolves",
    "Subject": "VerificationOutcomes.ObservedByAgent -&gt; Agents",
    "TargetTable": "VerificationOutcomes",
    "TargetField": "ObservedByAgent",
    "Assertion": "Every non-null value resolves to an existing Agents row.",
    "DefendsQuestion": null,
    "Suite": "suite-integrity",
    "Severity": "blocking",
    "LastOutcome": "PASS",
    "LastDetail": "all values resolve",
    "LastRunAt": "2026-07-20T03:06:49+00:00",
    "SemanticTypeIri": "urn:effortless:pko-extension#TestCase",
    "Name": "fk-resolves: VerificationOutcomes.ObservedByAgent -&gt; Agents",
    "IsBlocking": true,
    "IsPassing": true,
    "IsFailing": false,
    "NeedsAttention": false,
    "PassingSuiteKey": "suite-integrity",
    "NeedsAttentionSuiteKey": null
   },
   {
    "TestCaseId": "tc-fk-observed_transitions-procedure_execution",
    "TestKind": "fk-resolves",
    "Subject": "ObservedTransitions.ProcedureExecution -&gt; ProcedureExecutions",
    "TargetTable": "ObservedTransitions",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ObservedTransitions.ProcedureExecution -&gt; ProcedureExecutions",
    "IsBlocking": true,
    "IsPassing": true,
    "IsFailing": false,
    "NeedsAttention": false,
    "PassingSuiteKey": "suite-integrity",
    "NeedsAttentionSuiteKey": null
   },
   {
    "TestCaseId": "tc-fk-observed_transitions-step_transition",
    "TestKind": "fk-resolves",
    "Subject": "ObservedTransitions.StepTransition -&gt; StepTransitions",
    "TargetTable": "ObservedTransitions",
    "TargetField": "StepTransition",
    "Assertion": "Every non-null value resolves to an existing StepTransitions row.",
    "DefendsQuestion": null,
    "Suite": "suite-integrity",
    "Severity": "blocking",
    "LastOutcome": "PASS",
    "LastDetail": "all values resolve",
    "LastRunAt": "2026-07-20T03:06:49+00:00",
    "SemanticTypeIri": "urn:effortless:pko-extension#TestCase",
    "Name": "fk-resolves: ObservedTransitions.StepTransition -&gt; StepTransitions",
    "IsBlocking": true,
    "IsPassing": true,
    "IsFailing": false,
    "NeedsAttention": false,
    "PassingSuiteKey": "suite-integrity",
    "NeedsAttentionSuiteKey": null
   },
   {
    "TestCaseId": "tc-fk-observed_transitions-arriving_step_execution",
    "TestKind": "fk-resolves",
    "Subject": "ObservedTransitions.ArrivingStepExecution -&gt; StepExecutions",
    "TargetTable": "ObservedTransitions",
    "TargetField": "ArrivingStepExecution",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ObservedTransitions.ArrivingStepExecution -&gt; StepExecutions",
    "IsBlocking": true,
    "IsPassing": true,
    "IsFailing": false,
    "NeedsAttention": false,
    "PassingSuiteKey": "suite-integrity",
    "NeedsAttentionSuiteKey": null
   },
   {
    "TestCaseId": "tc-fk-recipients-organization",
    "TestKind": "fk-resolves",
    "Subject": "Recipients.Organization -&gt; Organizations",
    "TargetTable": "Recipients",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Recipients.Organization -&gt; Organizations",
    "IsBlocking": true,
    "IsPassing": true,
    "IsFailing": false,
    "NeedsAttention": false,
    "PassingSuiteKey": "suite-integrity",
    "NeedsAttentionSuiteKey": null
   },
   {
    "TestCaseId": "tc-fk-recipients-consent_binding",
    "TestKind": "fk-resolves",
    "Subject": "Recipients.ConsentBinding -&gt; OperationalBindings",
    "TargetTable": "Recipients",
    "TargetField": "ConsentBinding",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Recipients.ConsentBinding -&gt; OperationalBindings",
    "IsBlocking": true,
    "IsPassing": true,
    "IsFailing": false,
    "NeedsAttention": false,
    "PassingSuiteKey": "suite-integrity",
    "NeedsAttentionSuiteKey": null
   },
   {
    "TestCaseId": "tc-fk-message_deliveries-procedure_execution",
    "TestKind": "fk-resolves",
    "Subject": "MessageDeliveries.ProcedureExecution -&gt; ProcedureExecutions",
    "TargetTable": "MessageDeliveries",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MessageDeliveries.ProcedureExecution -&gt; ProcedureExecutions",
    "IsBlocking": true,
    "IsPassing": true,
    "IsFailing": false,
    "NeedsAttention": false,
    "PassingSuiteKey": "suite-integrity",
    "NeedsAttentionSuiteKey": null
   },
   {
    "TestCaseId": "tc-fk-message_deliveries-step_execution",
    "TestKind": "fk-resolves",
    "Subject": "MessageDeliveries.StepExecution -&gt; StepExecutions",
    "TargetTable": "MessageDeliveries",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MessageDeliveries.StepExecution -&gt; StepExecutions",
    "IsBlocking": true,
    "IsPassing": true,
    "IsFailing": false,
    "NeedsAttention": false,
    "PassingSuiteKey": "suite-integrity",
    "NeedsAttentionSuiteKey": null
   },
   {
    "TestCaseId": "tc-fk-message_deliveries-recipient",
    "TestKind": "fk-resolves",
    "Subject": "MessageDeliveries.Recipient -&gt; Recipients",
    "TargetTable": "MessageDeliveries",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MessageDeliveries.Recipient -&gt; Recipients",
    "IsBlocking": true,
    "IsPassing": true,
    "IsFailing": false,
    "NeedsAttention": false,
    "PassingSuiteKey": "suite-integrity",
    "NeedsAttentionSuiteKey": null
   },
   {
    "TestCaseId": "tc-fk-message_deliveries-message_template",
    "TestKind": "fk-resolves",
    "Subject": "MessageDeliveries.MessageTemplate -&gt; MessageTemplates",
    "TargetTable": "MessageDeliveries",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MessageDeliveries.MessageTemplate -&gt; MessageTemplates",
    "IsBlocking": true,
    "IsPassing": true,
    "IsFailing": false,
    "NeedsAttention": false,
    "PassingSuiteKey": "suite-integrity",
    "NeedsAttentionSuiteKey": null
   },
   {
    "TestCaseId": "tc-fk-message_deliveries-sent_by_agent",
    "TestKind": "fk-resolves",
    "Subject": "MessageDeliveries.SentByAgent -&gt; Agents",
    "TargetTable": "MessageDeliveries",
    "TargetField": "SentByAgent",
    "Assertion": "Every non-null value resolves to an existing Agents row.",
    "DefendsQuestion": null,
    "Suite": "suite-integrity",
    "Severity": "blocking",
    "LastOutcome": "PASS",
    "LastDetail": "all values resolve",
    "LastRunAt": "2026-07-20T03:06:49+00:00",
    "SemanticTypeIri": "urn:effortless:pko-extension#TestCase",
    "Name": "fk-resolves: MessageDeliveries.SentByAgent -&gt; Agents",
    "IsBlocking": true,
    "IsPassing": true,
    "IsFailing": false,
    "NeedsAttention": false,
    "PassingSuiteKey": "suite-integrity",
    "NeedsAttentionSuiteKey": null
   },
   {
    "TestCaseId": "tc-fk-message_deliveries-invoked_exception",
    "TestKind": "fk-resolves",
    "Subject": "MessageDeliveries.InvokedException -&gt; Exceptions",
    "TargetTable": "MessageDeliveries",
    "TargetField": "InvokedException",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MessageDeliveries.InvokedException -&gt; Exceptions",
    "IsBlocking": true,
    "IsPassing": true,
    "IsFailing": false,
    "NeedsAttention": false,
    "PassingSuiteKey": "suite-integrity",
    "NeedsAttentionSuiteKey": null
   },
   {
    "TestCaseId": "tc-fk-message_deliveries-evaluation_context",
    "TestKind": "fk-resolves",
    "Subject": "MessageDeliveries.EvaluationContext -&gt; EvaluationContexts",
    "TargetTable": "MessageDeliveries",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MessageDeliveries.EvaluationContext -&gt; EvaluationContexts",
    "IsBlocking": true,
    "IsPassing": true,
    "IsFailing": false,
    "NeedsAttention": false,
    "PassingSuiteKey": "suite-integrity",
    "NeedsAttentionSuiteKey": null
   },
   {
    "TestCaseId": "tc-fk-template_approvals-message_template",
    "TestKind": "fk-resolves",
    "Subject": "TemplateApprovals.MessageTemplate -&gt; MessageTemplates",
    "TargetTable": "TemplateApprovals",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TemplateApprovals.MessageTemplate -&gt; MessageTemplates",
    "IsBlocking": true,
    "IsPassing": true,
    "IsFailing": false,
    "NeedsAttention": false,
    "PassingSuiteKey": "suite-integrity",
    "NeedsAttentionSuiteKey": null
   },
   {
    "TestCaseId": "tc-fk-template_approvals-decided_by_agent",
    "TestKind": "fk-resolves",
    "Subject": "TemplateApprovals.DecidedByAgent -&gt; Agents",
    "TargetTable": "TemplateApprovals",
    "TargetField": "DecidedByAgent",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TemplateApprovals.DecidedByAgent -&gt; Agents",
    "IsBlocking": true,
    "IsPassing": true,
    "IsFailing": false,
    "NeedsAttention": false,
    "PassingSuiteKey": "suite-integrity",
    "NeedsAttentionSuiteKey": null
   },
   {
    "TestCaseId": "tc-fk-template_approvals-decided_in_role",
    "TestKind": "fk-resolves",
    "Subject": "TemplateApprovals.DecidedInRole -&gt; Roles",
    "TargetTable": "TemplateApprovals",
    "TargetField": "DecidedInRole",
    "Assertion": "Every non-null value resolves to an existing Roles row.",
    "DefendsQuestion": null,
    "Suite": "suite-integrity",
    "Severity": "blocking",
    "LastOutcome": "PASS",
    "LastDetail": "all values resolve",
    "LastRunAt": "2026-07-20T03:06:49+00:00",
    "SemanticTypeIri": "urn:effortless:pko-extension#TestCase",
    "Name": "fk-resolves: TemplateApprovals.DecidedInRole -&gt; Roles",
    "IsBlocking": true,
    "IsPassing": true,
    "IsFailing": false,
    "NeedsAttention": false,
    "PassingSuiteKey": "suite-integrity",
    "NeedsAttentionSuiteKey": null
   },
   {
    "TestCaseId": "tc-fk-send_intents-procedure_execution",
    "TestKind": "fk-resolves",
    "Subject": "SendIntents.ProcedureExecution -&gt; ProcedureExecutions",
    "TargetTable": "SendIntents",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SendIntents.ProcedureExecution -&gt; ProcedureExecutions",
    "IsBlocking": true,
    "IsPassing": true,
    "IsFailing": false,
    "NeedsAttention": false,
    "PassingSuiteKey": "suite-integrity",
    "NeedsAttentionSuiteKey": null
   },
   {
    "TestCaseId": "tc-fk-send_intents-step_execution",
    "TestKind": "fk-resolves",
    "Subject": "SendIntents.StepExecution -&gt; StepExecutions",
    "TargetTable": "SendIntents",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SendIntents.StepExecution -&gt; StepExecutions",
    "IsBlocking": true,
    "IsPassing": true,
    "IsFailing": false,
    "NeedsAttention": false,
    "PassingSuiteKey": "suite-integrity",
    "NeedsAttentionSuiteKey": null
   },
   {
    "TestCaseId": "tc-fk-send_intents-recipient",
    "TestKind": "fk-resolves",
    "Subject": "SendIntents.Recipient -&gt; Recipients",
    "TargetTable": "SendIntents",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SendIntents.Recipient -&gt; Recipients",
    "IsBlocking": true,
    "IsPassing": true,
    "IsFailing": false,
    "NeedsAttention": false,
    "PassingSuiteKey": "suite-integrity",
    "NeedsAttentionSuiteKey": null
   },
   {
    "TestCaseId": "tc-fk-send_intents-message_template",
    "TestKind": "fk-resolves",
    "Subject": "SendIntents.MessageTemplate -&gt; MessageTemplates",
    "TargetTable": "SendIntents",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SendIntents.MessageTemplate -&gt; MessageTemplates",
    "IsBlocking": true,
    "IsPassing": true,
    "IsFailing": false,
    "NeedsAttention": false,
    "PassingSuiteKey": "suite-integrity",
    "NeedsAttentionSuiteKey": null
   },
   {
    "TestCaseId": "tc-fk-send_intents-resulting_delivery",
    "TestKind": "fk-resolves",
    "Subject": "SendIntents.ResultingDelivery -&gt; MessageDeliveries",
    "TargetTable": "SendIntents",
    "TargetField": "ResultingDelivery",
    "Assertion": "Every non-null value resolves to an existing MessageDeliveries row.",
    "DefendsQuestion": null,
    "Suite": "suite-integrity",
    "Severity": "blocking",
    "LastOutcome": "PASS",
    "LastDetail": "all values resolve",
    "LastRunAt": "2026-07-20T03:06:49+00:00",
    "SemanticTypeIri": "urn:effortless:pko-extension#TestCase",
    "Name": "fk-resolves: SendIntents.ResultingDelivery -&gt; MessageDeliveries",
    "IsBlocking": true,
    "IsPassing": true,
    "IsFailing": false,
    "NeedsAttention": false,
    "PassingSuiteKey": "suite-integrity",
    "NeedsAttentionSuiteKey": null
   },
   {
    "TestCaseId": "tc-fk-send_intents-refusal_notified_role",
    "TestKind": "fk-resolves",
    "Subject": "SendIntents.RefusalNotifiedRole -&gt; Roles",
    "TargetTable": "SendIntents",
    "TargetField": "RefusalNotifiedRole",
    "Assertion": "Every non-null value resolves to an existing Roles row.",
    "DefendsQuestion": null,
    "Suite": "suite-integrity",
    "Severity": "blocking",
    "LastOutcome": "PASS",
    "LastDetail": "all values resolve",
    "LastRunAt": "2026-07-20T03:06:49+00:00",
    "SemanticTypeIri": "urn:effortless:pko-extension#TestCase",
    "Name": "fk-resolves: SendIntents.RefusalNotifiedRole -&gt; Roles",
    "IsBlocking": true,
    "IsPassing": true,
    "IsFailing": false,
    "NeedsAttention": false,
    "PassingSuiteKey": "suite-integrity",
    "NeedsAttentionSuiteKey": null
   },
   {
    "TestCaseId": "tc-fk-send_intents-evaluation_context",
    "TestKind": "fk-resolves",
    "Subject": "SendIntents.EvaluationContext -&gt; EvaluationContexts",
    "TargetTable": "SendIntents",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SendIntents.EvaluationContext -&gt; EvaluationContexts",
    "IsBlocking": true,
    "IsPassing": true,
    "IsFailing": false,
    "NeedsAttention": false,
    "PassingSuiteKey": "suite-integrity",
    "NeedsAttentionSuiteKey": null
   },
   {
    "TestCaseId": "tc-fk-agent_decision_records-step_execution",
    "TestKind": "fk-resolves",
    "Subject": "AgentDecisionRecords.StepExecution -&gt; StepExecutions",
    "TargetTable": "AgentDecisionRecords",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AgentDecisionRecords.StepExecution -&gt; StepExecutions",
    "IsBlocking": true,
    "IsPassing": true,
    "IsFailing": false,
    "NeedsAttention": false,
    "PassingSuiteKey": "suite-integrity",
    "NeedsAttentionSuiteKey": null
   },
   {
    "TestCaseId": "tc-fk-agent_decision_records-deciding_agent",
    "TestKind": "fk-resolves",
    "Subject": "AgentDecisionRecords.DecidingAgent -&gt; Agents",
    "TargetTable": "AgentDecisionRecords",
    "TargetField": "DecidingAgent",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AgentDecisionRecords.DecidingAgent -&gt; Agents",
    "IsBlocking": true,
    "IsPassing": true,
    "IsFailing": false,
    "NeedsAttention": false,
    "PassingSuiteKey": "suite-integrity",
    "NeedsAttentionSuiteKey": null
   },
   {
    "TestCaseId": "tc-fk-agent_decision_records-reviewed_by_agent",
    "TestKind": "fk-resolves",
    "Subject": "AgentDecisionRecords.ReviewedByAgent -&gt; Agents",
    "TargetTable": "AgentDecisionRecords",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AgentDecisionRecords.ReviewedByAgent -&gt; Agents",
    "IsBlocking": true,
    "IsPassing": true,
    "IsFailing": false,
    "NeedsAttention": false,
    "PassingSuiteKey": "suite-integrity",
    "NeedsAttentionSuiteKey": null
   },
   {
    "TestCaseId": "tc-fk-agent_decision_records-under_role_assignment",
    "TestKind": "fk-resolves",
    "Subject": "AgentDecisionRecords.UnderRoleAssignment -&gt; RoleAssignments",
    "TargetTable": "AgentDecisionRecords",
    "TargetField": "UnderRoleAssignment",
    "Assertion": "Every non-null value resolves to an existing RoleAssignments row.",
    "DefendsQuestion": null,
    "Suite": "suite-integrity",
    "Severity": "blocking",
    "LastOutcome": "PASS",
    "LastDetail": "all values reso</t>
  </si>
  <si>
    <t xml:space="preserve">lve",
    "LastRunAt": "2026-07-20T03:06:49+00:00",
    "SemanticTypeIri": "urn:effortless:pko-extension#TestCase",
    "Name": "fk-resolves: AgentDecisionRecords.UnderRoleAssignment -&gt; RoleAssignments",
    "IsBlocking": true,
    "IsPassing": true,
    "IsFailing": false,
    "NeedsAttention": false,
    "PassingSuiteKey": "suite-integrity",
    "NeedsAttentionSuiteKey": null
   },
   {
    "TestCaseId": "tc-fk-delivered_communications-procedure_execution",
    "TestKind": "fk-resolves",
    "Subject": "DeliveredCommunications.ProcedureExecution -&gt; ProcedureExecutions",
    "TargetTable": "DeliveredCommunications",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DeliveredCommunications.ProcedureExecution -&gt; ProcedureExecutions",
    "IsBlocking": true,
    "IsPassing": true,
    "IsFailing": false,
    "NeedsAttention": false,
    "PassingSuiteKey": "suite-integrity",
    "NeedsAttentionSuiteKey": null
   },
   {
    "TestCaseId": "tc-fk-delivered_communications-sending_step_execution",
    "TestKind": "fk-resolves",
    "Subject": "DeliveredCommunications.SendingStepExecution -&gt; StepExecutions",
    "TargetTable": "DeliveredCommunications",
    "TargetField": "SendingStepExecution",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DeliveredCommunications.SendingStepExecution -&gt; StepExecutions",
    "IsBlocking": true,
    "IsPassing": true,
    "IsFailing": false,
    "NeedsAttention": false,
    "PassingSuiteKey": "suite-integrity",
    "NeedsAttentionSuiteKey": null
   },
   {
    "TestCaseId": "tc-fk-delivered_communications-authorizing_step_execution",
    "TestKind": "fk-resolves",
    "Subject": "DeliveredCommunications.AuthorizingStepExecution -&gt; StepExecutions",
    "TargetTable": "DeliveredCommunications",
    "TargetField": "AuthorizingStepExecution",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DeliveredCommunications.AuthorizingStepExecution -&gt; StepExecutions",
    "IsBlocking": true,
    "IsPassing": true,
    "IsFailing": false,
    "NeedsAttention": false,
    "PassingSuiteKey": "suite-integrity",
    "NeedsAttentionSuiteKey": null
   },
   {
    "TestCaseId": "tc-fk-delivered_communications-message_template",
    "TestKind": "fk-resolves",
    "Subject": "DeliveredCommunications.MessageTemplate -&gt; MessageTemplates",
    "TargetTable": "DeliveredCommunications",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DeliveredCommunications.MessageTemplate -&gt; MessageTemplates",
    "IsBlocking": true,
    "IsPassing": true,
    "IsFailing": false,
    "NeedsAttention": false,
    "PassingSuiteKey": "suite-integrity",
    "NeedsAttentionSuiteKey": null
   },
   {
    "TestCaseId": "tc-fk-authority_boundaries-step",
    "TestKind": "fk-resolves",
    "Subject": "AuthorityBoundaries.Step -&gt; Steps",
    "TargetTable": "AuthorityBoundaries",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AuthorityBoundaries.Step -&gt; Steps",
    "IsBlocking": true,
    "IsPassing": true,
    "IsFailing": false,
    "NeedsAttention": false,
    "PassingSuiteKey": "suite-integrity",
    "NeedsAttentionSuiteKey": null
   },
   {
    "TestCaseId": "tc-fk-authority_boundaries-ratified_by_knowledge_fragment",
    "TestKind": "fk-resolves",
    "Subject": "AuthorityBoundaries.RatifiedByKnowledgeFragment -&gt; KnowledgeFragments",
    "TargetTable": "AuthorityBoundaries",
    "TargetField": "RatifiedByKnowledgeFragment",
    "Assertion": "Every non-null value resolves to an existing KnowledgeFragments row.",
    "DefendsQuestion": null,
    "Suite": "suite-integrity",
    "Severity": "blocking",
    "LastOutcome": "PASS",
    "LastDetail": "all values resolve",
    "LastRunAt": "2026-07-20T03:06:49+00:00",
    "SemanticTypeIri": "urn:effortless:pko-extension#TestCase",
    "Name": "fk-resolves: AuthorityBoundaries.RatifiedByKnowledgeFragment -&gt; KnowledgeFragments",
    "IsBlocking": true,
    "IsPassing": true,
    "IsFailing": false,
    "NeedsAttention": false,
    "PassingSuiteKey": "suite-integrity",
    "NeedsAttentionSuiteKey": null
   },
   {
    "TestCaseId": "tc-fk-authority_boundaries-enforcing_requirement",
    "TestKind": "fk-resolves",
    "Subject": "AuthorityBoundaries.EnforcingRequirement -&gt; Requirements",
    "TargetTable": "AuthorityBoundaries",
    "TargetField": "EnforcingRequirement",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AuthorityBoundaries.EnforcingRequirement -&gt; Requirements",
    "IsBlocking": true,
    "IsPassing": true,
    "IsFailing": false,
    "NeedsAttention": false,
    "PassingSuiteKey": "suite-integrity",
    "NeedsAttentionSuiteKey": null
   },
   {
    "TestCaseId": "tc-fk-authority_boundaries-authority_role",
    "TestKind": "fk-resolves",
    "Subject": "AuthorityBoundaries.AuthorityRole -&gt; Roles",
    "TargetTable": "AuthorityBoundaries",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AuthorityBoundaries.AuthorityRole -&gt; Roles",
    "IsBlocking": true,
    "IsPassing": true,
    "IsFailing": false,
    "NeedsAttention": false,
    "PassingSuiteKey": "suite-integrity",
    "NeedsAttentionSuiteKey": null
   },
   {
    "TestCaseId": "tc-fk-authority_boundaries-evaluation_context",
    "TestKind": "fk-resolves",
    "Subject": "AuthorityBoundaries.EvaluationContext -&gt; EvaluationContexts",
    "TargetTable": "AuthorityBoundaries",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AuthorityBoundaries.EvaluationContext -&gt; EvaluationContexts",
    "IsBlocking": true,
    "IsPassing": true,
    "IsFailing": false,
    "NeedsAttention": false,
    "PassingSuiteKey": "suite-integrity",
    "NeedsAttentionSuiteKey": null
   },
   {
    "TestCaseId": "tc-fk-binding_observations-step_execution",
    "TestKind": "fk-resolves",
    "Subject": "BindingObservations.StepExecution -&gt; StepExecutions",
    "TargetTable": "BindingObservations",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BindingObservations.StepExecution -&gt; StepExecutions",
    "IsBlocking": true,
    "IsPassing": true,
    "IsFailing": false,
    "NeedsAttention": false,
    "PassingSuiteKey": "suite-integrity",
    "NeedsAttentionSuiteKey": null
   },
   {
    "TestCaseId": "tc-fk-binding_observations-operational_binding",
    "TestKind": "fk-resolves",
    "Subject": "BindingObservations.OperationalBinding -&gt; OperationalBindings",
    "TargetTable": "BindingObservations",
    "TargetField": "OperationalBinding",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BindingObservations.OperationalBinding -&gt; OperationalBindings",
    "IsBlocking": true,
    "IsPassing": true,
    "IsFailing": false,
    "NeedsAttention": false,
    "PassingSuiteKey": "suite-integrity",
    "NeedsAttentionSuiteKey": null
   },
   {
    "TestCaseId": "tc-fk-attestations-procedure_execution",
    "TestKind": "fk-resolves",
    "Subject": "Attestations.ProcedureExecution -&gt; ProcedureExecutions",
    "TargetTable": "Attestations",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Attestations.ProcedureExecution -&gt; ProcedureExecutions",
    "IsBlocking": true,
    "IsPassing": true,
    "IsFailing": false,
    "NeedsAttention": false,
    "PassingSuiteKey": "suite-integrity",
    "NeedsAttentionSuiteKey": null
   },
   {
    "TestCaseId": "tc-fk-attestations-signed_by_agent",
    "TestKind": "fk-resolves",
    "Subject": "Attestations.SignedByAgent -&gt; Agents",
    "TargetTable": "Attestations",
    "TargetField": "SignedByAgent",
    "Assertion": "Every non-null value resolves to an existing Agents row.",
    "DefendsQuestion": null,
    "Suite": "suite-integrity",
    "Severity": "blocking",
    "LastOutcome": "PASS",
    "LastDetail": "all values resolve",
    "LastRunAt": "2026-07-20T03:06:49+00:00",
    "SemanticTypeIri": "urn:effortless:pko-extension#TestCase",
    "Name": "fk-resolves: Attestations.SignedByAgent -&gt; Agents",
    "IsBlocking": true,
    "IsPassing": true,
    "IsFailing": false,
    "NeedsAttention": false,
    "PassingSuiteKey": "suite-integrity",
    "NeedsAttentionSuiteKey": null
   },
   {
    "TestCaseId": "tc-witness-agents-is_still_engaged",
    "TestKind": "witness-discriminates",
    "Subject": "Agents.IsStillEngaged",
    "TargetTable": "Agents",
    "TargetField": "IsStillEngaged",
    "Assertion": "Reads both TRUE and FALSE across the seed data, so it can distinguish cases.",
    "DefendsQuestion": "q-authority-orphaned-provenance",
    "Suite": "suite-witness",
    "Severity": "advisory",
    "LastOutcome": "WARN",
    "LastDetail": "always true (10/10)",
    "LastRunAt": "2026-07-20T03:06:49+00:00",
    "SemanticTypeIri": "urn:effortless:pko-extension#TestCase",
    "Name": "witness-discriminates: Agents.IsStillEngaged",
    "IsBlocking": false,
    "IsPassing": false,
    "IsFailing": false,
    "NeedsAttention": false,
    "PassingSuiteKey": null,
    "NeedsAttentionSuiteKey": null
   },
   {
    "TestCaseId": "tc-witness-agents-is_non_human",
    "TestKind": "witness-discriminates",
    "Subject": "Agents.IsNonHuman",
    "TargetTable": "Agents",
    "TargetField": "IsNonHuman",
    "Assertion": "Reads both TRUE and FALSE across the seed data, so it can distinguish cases.",
    "DefendsQuestion": "q-close-auto-human-override-drift",
    "Suite": "suite-witness",
    "Severity": "advisory",
    "LastOutcome": "PASS",
    "LastDetail": "4 true / 6 false",
    "LastRunAt": "2026-07-20T03:06:49+00:00",
    "SemanticTypeIri": "urn:effortless:pko-extension#TestCase",
    "Name": "witness-discriminates: Agents.IsNonHuman",
    "IsBlocking": false,
    "IsPassing": true,
    "IsFailing": false,
    "NeedsAttention": false,
    "PassingSuiteKey": "suite-witness",
    "NeedsAttentionSuiteKey": null
   },
   {
    "TestCaseId": "tc-witness-agents-is_operating_outside_boundary",
    "TestKind": "witness-discriminates",
    "Subject": "Agents.IsOperatingOutsideBoundary",
    "TargetTable": "Agents",
    "TargetField": "IsOperatingOutsideBoundary",
    "Assertion": "Reads both TRUE and FALSE across the seed data, so it can distinguish cases.",
    "DefendsQuestion": "q-policy-ai-commitment-boundary",
    "Suite": "suite-witness",
    "Severity": "advisory",
    "LastOutcome": "WARN",
    "LastDetail": "never true (10/10 false)",
    "LastRunAt": "2026-07-20T03:06:49+00:00",
    "SemanticTypeIri": "urn:effortless:pko-extension#TestCase",
    "Name": "witness-discriminates: Agents.IsOperatingOutsideBoundary",
    "IsBlocking": false,
    "IsPassing": false,
    "IsFailing": false,
    "NeedsAttention": false,
    "PassingSuiteKey": null,
    "NeedsAttentionSuiteKey": null
   },
   {
    "TestCaseId": "tc-witness-roles-has_no_current_holder",
    "TestKind": "witness-discriminates",
    "Subject": "Roles.HasNoCurrentHolder",
    "TargetTable": "Roles",
    "TargetField": "HasNoCurrentHolder",
    "Assertion": "Reads both TRUE and FALSE across the seed data, so it can distinguish cases.",
    "DefendsQuestion": "q-close-auto-authority-current",
    "Suite": "suite-witness",
    "Severity": "advisory",
    "LastOutcome": "WARN",
    "LastDetail": "never true (12/12 false)",
    "LastRunAt": "2026-07-20T03:06:49+00:00",
    "SemanticTypeIri": "urn:effortless:pko-extension#TestCase",
    "Name": "witness-discriminates: Roles.HasNoCurrentHolder",
    "IsBlocking": false,
    "IsPassing": false,
    "IsFailing": false,
    "NeedsAttention": false,
    "PassingSuiteKey": null,
    "NeedsAttentionSuiteKey": null
   },
   {
    "TestCaseId": "tc-witness-roles-is_non_human_held",
    "TestKind": "witness-discriminates",
    "Subject": "Roles.IsNonHumanHeld",
    "TargetTable": "Roles",
    "TargetField": "IsNonHumanHeld",
    "Assertion": "Reads both TRUE and FALSE across the seed data, so it can distinguish cases.",
    "DefendsQuestion": "q-policy-ai-no-role-assignment",
    "Suite": "suite-witness",
    "Severity": "advisory",
    "LastOutcome": "PASS",
    "LastDetail": "4 true / 8 false",
    "LastRunAt": "2026-07-20T03:06:49+00:00",
    "SemanticTypeIri": "urn:effortless:pko-extension#TestCase",
    "Name": "witness-discriminates: Roles.IsNonHumanHeld",
    "IsBlocking": false,
    "IsPassing": true,
    "IsFailing": false,
    "NeedsAttention": false,
    "PassingSuiteKey": "suite-witness",
    "NeedsAttentionSuiteKey": null
   },
   {
    "TestCaseId": "tc-witness-roles-is_ungoverned_non_human_role",
    "TestKind": "witness-discriminates",
    "Subject": "Roles.IsUngovernedNonHumanRole",
    "TargetTable": "Roles",
    "TargetField": "IsUngovernedNonHumanRole",
    "Assertion": "Reads both TRUE and FALSE across the seed data, so it can distinguish cases.",
    "DefendsQuestion": "q-policy-ai-no-role-assignment",
    "Suite": "suite-witness",
    "Severity": "advisory",
    "LastOutcome": "WARN",
    "LastDetail": "never true (12/12 false)",
    "LastRunAt": "2026-07-20T03:06:49+00:00",
    "SemanticTypeIri": "urn:effortless:pko-extension#TestCase",
    "Name": "witness-discriminates: Roles.IsUngovernedNonHumanRole",
    "IsBlocking": false,
    "IsPassing": false,
    "IsFailing": false,
    "NeedsAttention": false,
    "PassingSuiteKey": null,
    "NeedsAttentionSuiteKey": null
   },
   {
    "TestCaseId": "tc-witness-roles-has_lost_a_holder",
    "TestKind": "witness-discriminates",
    "Subject": "Roles.HasLostAHolder",
    "TargetTable": "Roles",
    "TargetField": "HasLostAHolder",
    "Assertion": "Reads both TRUE and FALSE across the seed data, so it can distinguish cases.",
    "DefendsQuestion": "q2-hr-departed-holder-left-claims-behind",
    "Suite": "suite-witness",
    "Severity": "advisory",
    "LastOutcome": "PASS",
    "LastDetail": "1 true / 11 false",
    "LastRunAt": "2026-07-20T03:06:49+00:00",
    "SemanticTypeIri": "urn:effortless:pko-extension#TestCase",
    "Name": "witness-discriminates: Roles.HasLostAHolder",
    "IsBlocking": false,
    "IsPassing": true,
    "IsFailing": false,
    "NeedsAttention": false,
    "PassingSuiteKey": "suite-witness",
    "NeedsAttentionSuiteKey": null
   },
   {
    "TestCaseId": "tc-witness-roles-is_vacated_role",
    "TestKind": "witness-discriminates",
    "Subject": "Roles.IsVacatedRole",
    "TargetTable": "Roles",
    "TargetField": "IsVacatedRole",
    "Assertion": "Reads both TRUE and FALSE across the seed data, so it can distinguish cases.",
    "DefendsQuestion": "q2-hr-departed-holder-left-claims-behind",
    "Suite": "suite-witness",
    "Severity": "advisory",
    "LastOutcome": "WARN",
    "LastDetail": "never true (12/12 false)",
    "LastRunAt": "2026-07-20T03:06:49+00:00",
    "SemanticTypeIri": "urn:effortless:pko-extension#TestCase",
    "Name": "witness-discriminates: Roles.IsVacatedRole",
    "IsBlocking": false,
    "IsPassing": false,
    "IsFailing": false,
    "NeedsAttention": false,
    "PassingSuiteKey": null,
    "NeedsAttentionSuiteKey": null
   },
   {
    "TestCaseId": "tc-witness-roles-is_governed_by_lapsed_authority",
    "TestKind": "witness-discriminates",
    "Subject": "Roles.IsGovernedByLapsedAuthority",
    "TargetTable": "Roles",
    "TargetField": "IsGovernedByLapsedAuthority",
    "Assertion": "Reads both TRUE and FALSE across the seed data, so it can distinguish cases.",
    "DefendsQuestion": "q2-variance-boundary-rests-on-expired-knowledge",
    "Suite": "suite-witness",
    "Severity": "advisory",
    "LastOutcome": "WARN",
    "LastDetail": "never true (12/12 false)",
    "LastRunAt": "2026-07-20T03:06:49+00:00",
    "SemanticTypeIri": "urn:effortless:pko-extension#TestCase",
    "Name": "witness-discriminates: Roles.IsGovernedByLapsedAuthority",
    "IsBlocking": false,
    "IsPassing": false,
    "IsFailing": false,
    "NeedsAttention": false,
    "PassingSuiteKey": null,
    "NeedsAttentionSuiteKey": null
   },
   {
    "TestCaseId": "tc-witness-roles-is_ungoverned_enforcement_role",
    "TestKind": "witness-discriminates",
    "Subject": "Roles.IsUngovernedEnforcementRole",
    "TargetTable": "Roles",
    "TargetField": "IsUngovernedEnforcementRole",
    "Assertion": "Reads both TRUE and FALSE across the seed data, so it can distinguish cases.",
    "DefendsQuestion": "q2-publisher-my-own-authorization",
    "Suite": "suite-witness",
    "Severity": "advisory",
    "LastOutcome": "PASS",
    "LastDetail": "3 true / 9 false",
    "LastRunAt": "2026-07-20T03:06:49+00:00",
    "SemanticTypeIri": "urn:effortless:pko-extension#TestCase",
    "Name": "witness-discriminates: Roles.IsUngovernedEnforcementRole",
    "IsBlocking": false,
    "IsPassing": true,
    "IsFailing": false,
    "NeedsAttention": false,
    "PassingSuiteKey": "suite-witness",
    "NeedsAttentionSuiteKey": null
   },
   {
    "TestCaseId": "tc-witness-role_assignments-is_current",
    "TestKind": "witness-discriminates",
    "Subject": "RoleAssignments.IsCurrent",
    "TargetTable": "RoleAssignments",
    "TargetField": "IsCurrent",
    "Assertion": "Reads both TRUE and FALSE across the seed data, so it can distinguish cases.",
    "DefendsQuestion": null,
    "Suite": "suite-witness",
    "Severity": "advisory",
    "LastOutcome": "PASS",
    "LastDetail": "12 true / 1 false",
    "LastRunAt": "2026-07-20T03:06:49+00:00",
    "SemanticTypeIri": "urn:effortless:pko-extension#TestCase",
    "Name": "witness-discriminates: RoleAssignments.IsCurrent",
    "IsBlocking": false,
    "IsPassing": true,
    "IsFailing": false,
    "NeedsAttention": false,
    "PassingSuiteKey": "suite-witness",
    "NeedsAttentionSuiteKey": null
   },
   {
    "TestCaseId": "tc-witness-role_assignments-is_currently_valid",
    "TestKind": "witness-discriminates",
    "Subject": "RoleAssignments.IsCurrentlyValid",
    "TargetTable": "RoleAssignments",
    "TargetField": "IsCurrentlyValid",
    "Assertion": "Reads both TRUE and FALSE across the seed data, so it can distinguish cases.",
    "DefendsQuestion": "q-controller-approval-authority-valid",
    "Suite": "suite-witness",
    "Severity": "advisory",
    "LastOutcome": "PASS",
    "LastDetail": "12 true / 1 false",
    "LastRunAt": "2026-07-20T03:06:49+00:00",
    "SemanticTypeIri": "urn:effortless:pko-extension#TestCase",
    "Name": "witness-discriminates: RoleAssignments.IsCurrentlyValid",
    "IsBlocking": false,
    "IsPassing": true,
    "IsFailing": false,
    "NeedsAttention": false,
    "PassingSuiteKey": "suite-witness",
    "NeedsAttentionSuiteKey": null
   },
   {
    "TestCaseId": "tc-witness-role_assignments-has_departed",
    "TestKind": "witness-discriminates",
    "Subject": "RoleAssignments.HasDeparted",
    "TargetTable": "RoleAssignments",
    "TargetField": "HasDeparted",
    "Assertion": "Reads both TRUE and FALSE across the seed data, so it can distinguish cases.",
    "DefendsQuestion": "q-authority-orphaned-provenance",
    "Suite": "suite-witness",
    "Severity": "advisory",
    "LastOutcome": "PASS",
    "LastDetail": "1 true / 12 false",
    "LastRunAt": "2026-07-20T03:06:49+00:00",
    "SemanticTypeIri": "urn:effortless:pko-extension#TestCase",
    "Name": "witness-discriminates: RoleAssignments.HasDeparted",
    "IsBlocking": false,
    "IsPassing": true,
    "IsFailing": false,
    "NeedsAttention": false,
    "PassingSuiteKey": "suite-witness",
    "NeedsAttentionSuiteKey": null
   },
   {
    "TestCaseId": "tc-witness-role_assignments-covers_now",
    "TestKind": "witness-discriminates",
    "Subject": "RoleAssignments.CoversNow",
    "TargetTable": "RoleAssignments",
    "TargetField": "CoversNow",
    "Assertion": "Reads both TRUE and FALSE across the seed data, so it can distinguish cases.",
    "DefendsQuestion": "q-close-auto-authority-current",
    "Suite": "suite-witness",
    "Severity": "advisory",
    "LastOutcome": "PASS",
    "LastDetail": "12 true / 1 false",
    "LastRunAt": "2026-07-20T03:06:49+00:00",
    "SemanticTypeIri": "urn:effortless:pko-extension#TestCase",
    "Name": "witness-discriminates: RoleAssignments.CoversNow",
    "IsBlocking": false,
    "IsPassing": true,
    "IsFailing": false,
    "NeedsAttention": false,
    "PassingSuiteKey": "suite-witness",
    "NeedsAttentionSuiteKey": null
   },
   {
    "TestCaseId": "tc-witness-role_assignments-is_non_human_assignment",
    "TestKind": "witness-discriminates",
    "Subject": "RoleAssignments.IsNonHumanAssignment",
    "TargetTable": "RoleAssignments",
    "TargetField": "IsNonHumanAssignment",
    "Assertion": "Reads both TRUE and FALSE across the seed data, so it can distinguish cases.",
    "DefendsQuestion": "q-variance-ai-authority-provenance",
    "Suite": "suite-witness",
    "Severity": "advisory",
    "LastOutcome": "PASS",
    "LastDetail": "4 true / 9 false",
    "LastRunAt": "2026-07-20T03:06:49+00:00",
    "SemanticTypeIri": "urn:effortless:pko-extension#TestCase",
    "Name": "witness-discriminates: RoleAssignments.IsNonHumanAssignment",
    "IsBlocking": false,
    "IsPassing": true,
    "IsFailing": false,
    "NeedsAttention": false,
    "PassingSuiteKey": "suite-witness",
    "NeedsAttentionSuiteKey": null
   },
   {
    "TestCaseId": "tc-witness-role_assignments-is_human_to_non_human_handover",
    "TestKind": "witness-discriminates",
    "Subject": "RoleAssignments.IsHumanToNonHumanHandover",
    "TargetTable": "RoleAssignments",
    "TargetField": "IsHumanToNonHumanHandover",
    "Assertion": "Reads both TRUE and FALSE across the seed data, so it can distinguish cases.",
    "DefendsQuestion": "q-variance-ai-authority-provenance",
    "Suite": "suite-witness",
    "Severity": "advisory",
    "LastOutcome": "PASS",
    "LastDetail": "1 true / 9 false",
    "LastRunAt": "2026-07-20T03:06:49+00:00",
    "SemanticTypeIri": "urn:effortless:pko-extension#TestCase",
    "Name": "witness-discriminates: RoleAssignments.IsHumanToNonHumanHandover",
    "IsBlocking": false,
    "IsPassing": true,
    "IsFailing": false,
    "NeedsAttention": false,
    "PassingSuiteKey": "suite-witness",
    "NeedsAttentionSuiteKey": null
   },
   {
    "TestCaseId": "tc-witness-role_assignments-is_unauthorized_non_human_assignment",
    "TestKind": "witness-discriminates",
    "Subject": "RoleAssignments.IsUnauthorizedNonHumanAssignment",
    "TargetTable": "RoleAssignments",
    "TargetField": "IsUnauthorizedNonHumanAssignment",
    "Assertion": "Reads both TRUE and FALSE across the seed data, so it can distinguish cases.",
    "DefendsQuestion": "q-variance-ai-authority-provenance",
    "Suite": "suite-witness",
    "Severity": "advisory",
    "LastOutcome": "PASS",
    "LastDetail": "3 true / 10 false",
    "LastRunAt": "2026-07-20T03:06:49+00:00",
    "SemanticTypeIri": "urn:effortless:pko-extension#TestCase",
    "Name": "witness-discriminates: RoleAssignments.IsUnauthorizedNonHumanAssignment",
    "IsBlocking": false,
    "IsPassing": true,
    "IsFailing": false,
    "NeedsAttention": false,
    "PassingSuiteKey": "suite-witness",
    "NeedsAttentionSuiteKey": null
   },
   {
    "TestCaseId": "tc-witness-role_assignments-was_authorized_by_change_request",
    "TestKind": "witness-discriminates",
    "Subject": "RoleAssignments.WasAuthorizedByChangeRequest",
    "TargetTable": "RoleAssignments",
    "TargetField": "WasAuthorizedByChangeRequest",
    "Assertion": "Reads both TRUE and FALSE across the seed data, so it can distinguish cases.",
    "DefendsQuestion": null,
    "Suite": "suite-witness",
    "Severity": "advisory",
    "LastOutcome": "WARN",
    "LastDetail": "never true (13/13 false)",
    "LastRunAt": "2026-07-20T03:06:49+00:00",
    "SemanticTypeIri": "urn:effortless:pko-extension#TestCase",
    "Name": "witness-discriminates: RoleAssignments.WasAuthorizedByChangeRequest",
    "IsBlocking": false,
    "IsPassing": false,
    "IsFailing": false,
    "NeedsAttention": false,
    "PassingSuiteKey": null,
    "NeedsAttentionSuiteKey": null
   },
   {
    "TestCaseId": "tc-witness-role_assignments-quality_regressed_vs_predecessor",
    "TestKind": "witness-discriminates",
    "Subject": "RoleAssignments.QualityRegressedVsPredecessor",
    "TargetTable": "RoleAssignments",
    "TargetField": "QualityRegressedVsPredecessor",
    "Assertion": "Reads both TRUE and FALSE across the seed data, so it can distinguish cases.",
    "DefendsQuestion": "q-variance-ai-quality-vs-human-baseline",
    "Suite": "suite-witness",
    "Severity": "advisory",
    "LastOutcome": "WARN",
    "LastDetail": "never true (13/13 false)",
    "LastRunAt": "2026-07-20T03:06:49+00:00",
    "SemanticTypeIri": "urn:effortless:pko-extension#TestCase",
    "Name": "witness-discriminates: RoleAssignments.QualityRegressedVsPredecessor",
    "IsBlocking": false,
    "IsPassing": false,
    "IsFailing": false,
    "NeedsAttention": false,
    "PassingSuiteKey": null,
    "NeedsAttentionSuiteKey": null
   },
   {
    "TestCaseId": "tc-witness-role_assignments-has_sufficient_sample",
    "TestKind": "witness-discriminates",
    "Subject": "RoleAssignments.HasSufficientSample",
    "TargetTable": "RoleAssignments",
    "TargetField": "HasSufficientSample",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RoleAssignments.HasSufficientSample",
    "IsBlocking": false,
    "IsPassing": false,
    "IsFailing": false,
    "NeedsAttention": false,
    "PassingSuiteKey": null,
    "NeedsAttentionSuiteKey": null
   },
   {
    "TestCaseId": "tc-witness-role_assignments-predecessor_has_sufficient_sample",
    "TestKind": "witness-discriminates",
    "Subject": "RoleAssignments.PredecessorHasSufficientSample",
    "TargetTable": "RoleAssignments",
    "TargetField": "PredecessorHasSufficientSample",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RoleAssignments.PredecessorHasSufficientSample",
    "IsBlocking": false,
    "IsPassing": false,
    "IsFailing": false,
    "NeedsAttention": false,
    "PassingSuiteKey": null,
    "NeedsAttentionSuiteKey": null
   },
   {
    "TestCaseId": "tc-witness-role_assignments-comparison_is_evidentially_sound",
    "TestKind": "witness-discriminates",
    "Subject": "RoleAssignments.ComparisonIsEvidentiallySound",
    "TargetTable": "RoleAssignments",
    "TargetField": "ComparisonIsEvidentiallySound",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RoleAssignments.ComparisonIsEvidentiallySound",
    "IsBlocking": false,
    "IsPassing": false,
    "IsFailing": false,
    "NeedsAttention": false,
    "PassingSuiteKey": null,
    "NeedsAttentionSuiteKey": null
   },
   {
    "TestCaseId": "tc-witness-role_assignments-quality_verdict_is_unsupported",
    "TestKind": "witness-discriminates",
    "Subject": "RoleAssignments.QualityVerdictIsUnsupported",
    "TargetTable": "RoleAssignments",
    "TargetField": "QualityVerdictIsUnsupported",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RoleAssignments.QualityVerdictIsUnsupported",
    "IsBlocking": false,
    "IsPassing": false,
    "IsFailing": false,
    "NeedsAttention": false,
    "PassingSuiteKey": null,
    "NeedsAttentionSuiteKey": null
   },
   {
    "TestCaseId": "tc-witness-role_assignments-is_unmeasured_automation_handover",
    "TestKind": "witness-discriminates",
    "Subject": "RoleAssignments.IsUnmeasuredAutomationHandover",
    "TargetTable": "RoleAssignments",
    "TargetField": "IsUnmeasuredAutomationHandover",
    "Assertion": "Reads both TRUE and FALSE across the seed data, so it can distinguish cases.",
    "DefendsQuestion": "q2-variance-comparison-is-statistically-empty",
    "Suite": "suite-witness",
    "Severity": "advisory",
    "LastOutcome": "WARN",
    "LastDetail": "never true (9/13 false)",
    "LastRunAt": "2026-07-20T</t>
  </si>
  <si>
    <t xml:space="preserve">03:06:49+00:00",
    "SemanticTypeIri": "urn:effortless:pko-extension#TestCase",
    "Name": "witness-discriminates: RoleAssignments.IsUnmeasuredAutomationHandover",
    "IsBlocking": false,
    "IsPassing": false,
    "IsFailing": false,
    "NeedsAttention": false,
    "PassingSuiteKey": null,
    "NeedsAttentionSuiteKey": null
   },
   {
    "TestCaseId": "tc-witness-role_assignments-has_dated_authorization",
    "TestKind": "witness-discriminates",
    "Subject": "RoleAssignments.HasDatedAuthorization",
    "TargetTable": "RoleAssignments",
    "TargetField": "HasDatedAuthorization",
    "Assertion": "Reads both TRUE and FALSE across the seed data, so it can distinguish cases.",
    "DefendsQuestion": "q2-variance-handover-was-a-decision-somebody-made",
    "Suite": "suite-witness",
    "Severity": "advisory",
    "LastOutcome": "WARN",
    "LastDetail": "never true (13/13 false)",
    "LastRunAt": "2026-07-20T03:06:49+00:00",
    "SemanticTypeIri": "urn:effortless:pko-extension#TestCase",
    "Name": "witness-discriminates: RoleAssignments.HasDatedAuthorization",
    "IsBlocking": false,
    "IsPassing": false,
    "IsFailing": false,
    "NeedsAttention": false,
    "PassingSuiteKey": null,
    "NeedsAttentionSuiteKey": null
   },
   {
    "TestCaseId": "tc-witness-role_assignments-authorization_is_overdue_for_review",
    "TestKind": "witness-discriminates",
    "Subject": "RoleAssignments.AuthorizationIsOverdueForReview",
    "TargetTable": "RoleAssignments",
    "TargetField": "AuthorizationIsOverdueForReview",
    "Assertion": "Reads both TRUE and FALSE across the seed data, so it can distinguish cases.",
    "DefendsQuestion": "q2-variance-handover-was-a-decision-somebody-made",
    "Suite": "suite-witness",
    "Severity": "advisory",
    "LastOutcome": "WARN",
    "LastDetail": "never true (0/13 false)",
    "LastRunAt": "2026-07-20T03:06:49+00:00",
    "SemanticTypeIri": "urn:effortless:pko-extension#TestCase",
    "Name": "witness-discriminates: RoleAssignments.AuthorizationIsOverdueForReview",
    "IsBlocking": false,
    "IsPassing": false,
    "IsFailing": false,
    "NeedsAttention": false,
    "PassingSuiteKey": null,
    "NeedsAttentionSuiteKey": null
   },
   {
    "TestCaseId": "tc-witness-role_assignments-is_standing_unreviewed_automation",
    "TestKind": "witness-discriminates",
    "Subject": "RoleAssignments.IsStandingUnreviewedAutomation",
    "TargetTable": "RoleAssignments",
    "TargetField": "IsStandingUnreviewedAutomation",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RoleAssignments.IsStandingUnreviewedAutomation",
    "IsBlocking": false,
    "IsPassing": false,
    "IsFailing": false,
    "NeedsAttention": false,
    "PassingSuiteKey": null,
    "NeedsAttentionSuiteKey": null
   },
   {
    "TestCaseId": "tc-witness-role_assignments-is_unconditioned_automation_handover",
    "TestKind": "witness-discriminates",
    "Subject": "RoleAssignments.IsUnconditionedAutomationHandover",
    "TargetTable": "RoleAssignments",
    "TargetField": "IsUnconditionedAutomationHandover",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RoleAssignments.IsUnconditionedAutomationHandover",
    "IsBlocking": false,
    "IsPassing": false,
    "IsFailing": false,
    "NeedsAttention": false,
    "PassingSuiteKey": null,
    "NeedsAttentionSuiteKey": null
   },
   {
    "TestCaseId": "tc-witness-role_assignments-exceeds_tolerable_error_rate",
    "TestKind": "witness-discriminates",
    "Subject": "RoleAssignments.ExceedsTolerableErrorRate",
    "TargetTable": "RoleAssignments",
    "TargetField": "ExceedsTolerableErrorRate",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RoleAssignments.ExceedsTolerableErrorRate",
    "IsBlocking": false,
    "IsPassing": false,
    "IsFailing": false,
    "NeedsAttention": false,
    "PassingSuiteKey": null,
    "NeedsAttentionSuiteKey": null
   },
   {
    "TestCaseId": "tc-witness-role_assignments-has_any_boundary_violation",
    "TestKind": "witness-discriminates",
    "Subject": "RoleAssignments.HasAnyBoundaryViolation",
    "TargetTable": "RoleAssignments",
    "TargetField": "HasAnyBoundaryViolation",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RoleAssignments.HasAnyBoundaryViolation",
    "IsBlocking": false,
    "IsPassing": false,
    "IsFailing": false,
    "NeedsAttention": false,
    "PassingSuiteKey": null,
    "NeedsAttentionSuiteKey": null
   },
   {
    "TestCaseId": "tc-witness-role_assignments-has_ungrounded_governing_boundary",
    "TestKind": "witness-discriminates",
    "Subject": "RoleAssignments.HasUngroundedGoverningBoundary",
    "TargetTable": "RoleAssignments",
    "TargetField": "HasUngroundedGoverningBoundary",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RoleAssignments.HasUngroundedGoverningBoundary",
    "IsBlocking": false,
    "IsPassing": false,
    "IsFailing": false,
    "NeedsAttention": false,
    "PassingSuiteKey": null,
    "NeedsAttentionSuiteKey": null
   },
   {
    "TestCaseId": "tc-witness-role_assignments-suspension_condition_met",
    "TestKind": "witness-discriminates",
    "Subject": "RoleAssignments.SuspensionConditionMet",
    "TargetTable": "RoleAssignments",
    "TargetField": "SuspensionConditionMet",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RoleAssignments.SuspensionConditionMet",
    "IsBlocking": false,
    "IsPassing": false,
    "IsFailing": false,
    "NeedsAttention": false,
    "PassingSuiteKey": null,
    "NeedsAttentionSuiteKey": null
   },
   {
    "TestCaseId": "tc-witness-role_assignments-is_operating_under_met_suspension_condition",
    "TestKind": "witness-discriminates",
    "Subject": "RoleAssignments.IsOperatingUnderMetSuspensionCondition",
    "TargetTable": "RoleAssignments",
    "TargetField": "IsOperatingUnderMetSuspensionCondition",
    "Assertion": "Reads both TRUE and FALSE across the seed data, so it can distinguish cases.",
    "DefendsQuestion": "q2-variance-what-would-make-me-stop",
    "Suite": "suite-witness",
    "Severity": "advisory",
    "LastOutcome": "WARN",
    "LastDetail": "never true (9/13 false)",
    "LastRunAt": "2026-07-20T03:06:49+00:00",
    "SemanticTypeIri": "urn:effortless:pko-extension#TestCase",
    "Name": "witness-discriminates: RoleAssignments.IsOperatingUnderMetSuspensionCondition",
    "IsBlocking": false,
    "IsPassing": false,
    "IsFailing": false,
    "NeedsAttention": false,
    "PassingSuiteKey": null,
    "NeedsAttentionSuiteKey": null
   },
   {
    "TestCaseId": "tc-witness-role_assignments-has_declared_suspension_condition",
    "TestKind": "witness-discriminates",
    "Subject": "RoleAssignments.HasDeclaredSuspensionCondition",
    "TargetTable": "RoleAssignments",
    "TargetField": "HasDeclaredSuspensionCondition",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RoleAssignments.HasDeclaredSuspensionCondition",
    "IsBlocking": false,
    "IsPassing": false,
    "IsFailing": false,
    "NeedsAttention": false,
    "PassingSuiteKey": null,
    "NeedsAttentionSuiteKey": null
   },
   {
    "TestCaseId": "tc-witness-role_assignments-has_approving_authority",
    "TestKind": "witness-discriminates",
    "Subject": "RoleAssignments.HasApprovingAuthority",
    "TargetTable": "RoleAssignments",
    "TargetField": "HasApprovingAuthority",
    "Assertion": "Reads both TRUE and FALSE across the seed data, so it can distinguish cases.",
    "DefendsQuestion": "q2-publisher-my-own-authorization",
    "Suite": "suite-witness",
    "Severity": "advisory",
    "LastOutcome": "PASS",
    "LastDetail": "1 true / 12 false",
    "LastRunAt": "2026-07-20T03:06:49+00:00",
    "SemanticTypeIri": "urn:effortless:pko-extension#TestCase",
    "Name": "witness-discriminates: RoleAssignments.HasApprovingAuthority",
    "IsBlocking": false,
    "IsPassing": true,
    "IsFailing": false,
    "NeedsAttention": false,
    "PassingSuiteKey": "suite-witness",
    "NeedsAttentionSuiteKey": null
   },
   {
    "TestCaseId": "tc-witness-role_assignments-has_authorizing_change_request",
    "TestKind": "witness-discriminates",
    "Subject": "RoleAssignments.HasAuthorizingChangeRequest",
    "TargetTable": "RoleAssignments",
    "TargetField": "HasAuthorizingChangeRequest",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RoleAssignments.HasAuthorizingChangeRequest",
    "IsBlocking": false,
    "IsPassing": false,
    "IsFailing": false,
    "NeedsAttention": false,
    "PassingSuiteKey": null,
    "NeedsAttentionSuiteKey": null
   },
   {
    "TestCaseId": "tc-witness-role_assignments-is_unauthorized_enforcement_agent",
    "TestKind": "witness-discriminates",
    "Subject": "RoleAssignments.IsUnauthorizedEnforcementAgent",
    "TargetTable": "RoleAssignments",
    "TargetField": "IsUnauthorizedEnforcementAgent",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RoleAssignments.IsUnauthorizedEnforcementAgent",
    "IsBlocking": false,
    "IsPassing": false,
    "IsFailing": false,
    "NeedsAttention": false,
    "PassingSuiteKey": null,
    "NeedsAttentionSuiteKey": null
   },
   {
    "TestCaseId": "tc-witness-procedure_versions-is_ready_for_execution",
    "TestKind": "witness-discriminates",
    "Subject": "ProcedureVersions.IsReadyForExecution",
    "TargetTable": "ProcedureVersions",
    "TargetField": "IsReadyForExecution",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ProcedureVersions.IsReadyForExecution",
    "IsBlocking": false,
    "IsPassing": true,
    "IsFailing": false,
    "NeedsAttention": false,
    "PassingSuiteKey": "suite-witness",
    "NeedsAttentionSuiteKey": null
   },
   {
    "TestCaseId": "tc-witness-procedure_versions-is_fit_to_execute",
    "TestKind": "witness-discriminates",
    "Subject": "ProcedureVersions.IsFitToExecute",
    "TargetTable": "ProcedureVersions",
    "TargetField": "IsFitToExecute",
    "Assertion": "Reads both TRUE and FALSE across the seed data, so it can distinguish cases.",
    "DefendsQuestion": "q-cfo-approving-on-unfit-version",
    "Suite": "suite-witness",
    "Severity": "advisory",
    "LastOutcome": "WARN",
    "LastDetail": "never true (3/3 false)",
    "LastRunAt": "2026-07-20T03:06:49+00:00",
    "SemanticTypeIri": "urn:effortless:pko-extension#TestCase",
    "Name": "witness-discriminates: ProcedureVersions.IsFitToExecute",
    "IsBlocking": false,
    "IsPassing": false,
    "IsFailing": false,
    "NeedsAttention": false,
    "PassingSuiteKey": null,
    "NeedsAttentionSuiteKey": null
   },
   {
    "TestCaseId": "tc-witness-procedure_versions-has_any_steward",
    "TestKind": "witness-discriminates",
    "Subject": "ProcedureVersions.HasAnySteward",
    "TargetTable": "ProcedureVersions",
    "TargetField": "HasAnySteward",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ProcedureVersions.HasAnySteward",
    "IsBlocking": false,
    "IsPassing": true,
    "IsFailing": false,
    "NeedsAttention": false,
    "PassingSuiteKey": "suite-witness",
    "NeedsAttentionSuiteKey": null
   },
   {
    "TestCaseId": "tc-witness-procedure_versions-is_live",
    "TestKind": "witness-discriminates",
    "Subject": "ProcedureVersions.IsLive",
    "TargetTable": "ProcedureVersions",
    "TargetField": "IsLive",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ProcedureVersions.IsLive",
    "IsBlocking": false,
    "IsPassing": true,
    "IsFailing": false,
    "NeedsAttention": false,
    "PassingSuiteKey": "suite-witness",
    "NeedsAttentionSuiteKey": null
   },
   {
    "TestCaseId": "tc-witness-procedure_versions-is_unstewarded",
    "TestKind": "witness-discriminates",
    "Subject": "ProcedureVersions.IsUnstewarded",
    "TargetTable": "ProcedureVersions",
    "TargetField": "IsUnstewarded",
    "Assertion": "Reads both TRUE and FALSE across the seed data, so it can distinguish cases.",
    "DefendsQuestion": "q-steward-orphan-versions",
    "Suite": "suite-witness",
    "Severity": "advisory",
    "LastOutcome": "PASS",
    "LastDetail": "1 true / 2 false",
    "LastRunAt": "2026-07-20T03:06:49+00:00",
    "SemanticTypeIri": "urn:effortless:pko-extension#TestCase",
    "Name": "witness-discriminates: ProcedureVersions.IsUnstewarded",
    "IsBlocking": false,
    "IsPassing": true,
    "IsFailing": false,
    "NeedsAttention": false,
    "PassingSuiteKey": "suite-witness",
    "NeedsAttentionSuiteKey": null
   },
   {
    "TestCaseId": "tc-witness-procedure_versions-is_live_and_unstewarded",
    "TestKind": "witness-discriminates",
    "Subject": "ProcedureVersions.IsLiveAndUnstewarded",
    "TargetTable": "ProcedureVersions",
    "TargetField": "IsLiveAndUnstewarded",
    "Assertion": "Reads both TRUE and FALSE across the seed data, so it can distinguish cases.",
    "DefendsQuestion": "q-steward-orphan-versions",
    "Suite": "suite-witness",
    "Severity": "advisory",
    "LastOutcome": "WARN",
    "LastDetail": "never true (3/3 false)",
    "LastRunAt": "2026-07-20T03:06:49+00:00",
    "SemanticTypeIri": "urn:effortless:pko-extension#TestCase",
    "Name": "witness-discriminates: ProcedureVersions.IsLiveAndUnstewarded",
    "IsBlocking": false,
    "IsPassing": false,
    "IsFailing": false,
    "NeedsAttention": false,
    "PassingSuiteKey": null,
    "NeedsAttentionSuiteKey": null
   },
   {
    "TestCaseId": "tc-witness-procedure_versions-has_open_blocking_gap",
    "TestKind": "witness-discriminates",
    "Subject": "ProcedureVersions.HasOpenBlockingGap",
    "TargetTable": "ProcedureVersions",
    "TargetField": "HasOpenBlockingGap",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ProcedureVersions.HasOpenBlockingGap",
    "IsBlocking": false,
    "IsPassing": false,
    "IsFailing": false,
    "NeedsAttention": false,
    "PassingSuiteKey": null,
    "NeedsAttentionSuiteKey": null
   },
   {
    "TestCaseId": "tc-witness-procedure_versions-is_live_with_blocking_gap",
    "TestKind": "witness-discriminates",
    "Subject": "ProcedureVersions.IsLiveWithBlockingGap",
    "TargetTable": "ProcedureVersions",
    "TargetField": "IsLiveWithBlockingGap",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ProcedureVersions.IsLiveWithBlockingGap",
    "IsBlocking": false,
    "IsPassing": false,
    "IsFailing": false,
    "NeedsAttention": false,
    "PassingSuiteKey": null,
    "NeedsAttentionSuiteKey": null
   },
   {
    "TestCaseId": "tc-witness-procedure_versions-should_not_be_executable",
    "TestKind": "witness-discriminates",
    "Subject": "ProcedureVersions.ShouldNotBeExecutable",
    "TargetTable": "ProcedureVersions",
    "TargetField": "ShouldNotBeExecutable",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ProcedureVersions.ShouldNotBeExecutable",
    "IsBlocking": false,
    "IsPassing": false,
    "IsFailing": false,
    "NeedsAttention": false,
    "PassingSuiteKey": null,
    "NeedsAttentionSuiteKey": null
   },
   {
    "TestCaseId": "tc-witness-procedure_versions-runs_on_unapproved_knowledge",
    "TestKind": "witness-discriminates",
    "Subject": "ProcedureVersions.RunsOnUnapprovedKnowledge",
    "TargetTable": "ProcedureVersions",
    "TargetField": "RunsOnUnapprovedKnowledge",
    "Assertion": "Reads both TRUE and FALSE across the seed data, so it can distinguish cases.",
    "DefendsQuestion": "q-authority-non-approved-dependency",
    "Suite": "suite-witness",
    "Severity": "advisory",
    "LastOutcome": "WARN",
    "LastDetail": "always true (3/3)",
    "LastRunAt": "2026-07-20T03:06:49+00:00",
    "SemanticTypeIri": "urn:effortless:pko-extension#TestCase",
    "Name": "witness-discriminates: ProcedureVersions.RunsOnUnapprovedKnowledge",
    "IsBlocking": false,
    "IsPassing": false,
    "IsFailing": false,
    "NeedsAttention": false,
    "PassingSuiteKey": null,
    "NeedsAttentionSuiteKey": null
   },
   {
    "TestCaseId": "tc-witness-procedure_versions-has_governance_record",
    "TestKind": "witness-discriminates",
    "Subject": "ProcedureVersions.HasGovernanceRecord",
    "TargetTable": "ProcedureVersions",
    "TargetField": "HasGovernanceRecord",
    "Assertion": "Reads both TRUE and FALSE across the seed data, so it can distinguish cases.",
    "DefendsQuestion": "q-authority-unwitnessed-change",
    "Suite": "suite-witness",
    "Severity": "advisory",
    "LastOutcome": "PASS",
    "LastDetail": "2 true / 1 false",
    "LastRunAt": "2026-07-20T03:06:49+00:00",
    "SemanticTypeIri": "urn:effortless:pko-extension#TestCase",
    "Name": "witness-discriminates: ProcedureVersions.HasGovernanceRecord",
    "IsBlocking": false,
    "IsPassing": true,
    "IsFailing": false,
    "NeedsAttention": false,
    "PassingSuiteKey": "suite-witness",
    "NeedsAttentionSuiteKey": null
   },
   {
    "TestCaseId": "tc-witness-procedure_versions-was_modified_since_last_review",
    "TestKind": "witness-discriminates",
    "Subject": "ProcedureVersions.WasModifiedSinceLastReview",
    "TargetTable": "ProcedureVersions",
    "TargetField": "WasModifiedSinceLastReview",
    "Assertion": "Reads both TRUE and FALSE across the seed data, so it can distinguish cases.",
    "DefendsQuestion": "q-authority-unwitnessed-change",
    "Suite": "suite-witness",
    "Severity": "advisory",
    "LastOutcome": "WARN",
    "LastDetail": "never true (2/3 false)",
    "LastRunAt": "2026-07-20T03:06:49+00:00",
    "SemanticTypeIri": "urn:effortless:pko-extension#TestCase",
    "Name": "witness-discriminates: ProcedureVersions.WasModifiedSinceLastReview",
    "IsBlocking": false,
    "IsPassing": false,
    "IsFailing": false,
    "NeedsAttention": false,
    "PassingSuiteKey": null,
    "NeedsAttentionSuiteKey": null
   },
   {
    "TestCaseId": "tc-witness-procedure_versions-has_unwitnessed_change",
    "TestKind": "witness-discriminates",
    "Subject": "ProcedureVersions.HasUnwitnessedChange",
    "TargetTable": "ProcedureVersions",
    "TargetField": "HasUnwitnessedChange",
    "Assertion": "Reads both TRUE and FALSE across the seed data, so it can distinguish cases.",
    "DefendsQuestion": "q-authority-unwitnessed-change",
    "Suite": "suite-witness",
    "Severity": "advisory",
    "LastOutcome": "WARN",
    "LastDetail": "never true (3/3 false)",
    "LastRunAt": "2026-07-20T03:06:49+00:00",
    "SemanticTypeIri": "urn:effortless:pko-extension#TestCase",
    "Name": "witness-discriminates: ProcedureVersions.HasUnwitnessedChange",
    "IsBlocking": false,
    "IsPassing": false,
    "IsFailing": false,
    "NeedsAttention": false,
    "PassingSuiteKey": null,
    "NeedsAttentionSuiteKey": null
   },
   {
    "TestCaseId": "tc-witness-procedure_versions-knowledge_is_staler_than_cadence",
    "TestKind": "witness-discriminates",
    "Subject": "ProcedureVersions.KnowledgeIsStalerThanCadence",
    "TargetTable": "ProcedureVersions",
    "TargetField": "KnowledgeIsStalerThanCadence",
    "Assertion": "Reads both TRUE and FALSE across the seed data, so it can distinguish cases.",
    "DefendsQuestion": "q-hr-policy-knowledge-half-life",
    "Suite": "suite-witness",
    "Severity": "advisory",
    "LastOutcome": "WARN",
    "LastDetail": "always true (3/3)",
    "LastRunAt": "2026-07-20T03:06:49+00:00",
    "SemanticTypeIri": "urn:effortless:pko-extension#TestCase",
    "Name": "witness-discriminates: ProcedureVersions.KnowledgeIsStalerThanCadence",
    "IsBlocking": false,
    "IsPassing": false,
    "IsFailing": false,
    "NeedsAttention": false,
    "PassingSuiteKey": null,
    "NeedsAttentionSuiteKey": null
   },
   {
    "TestCaseId": "tc-witness-procedure_versions-rests_on_compound_fragile_knowledge",
    "TestKind": "witness-discriminates",
    "Subject": "ProcedureVersions.RestsOnCompoundFragileKnowledge",
    "TargetTable": "ProcedureVersions",
    "TargetField": "RestsOnCompoundFragileKnowledge",
    "Assertion": "Reads both TRUE and FALSE across the seed data, so it can distinguish cases.",
    "DefendsQuestion": "q2-authority-compound-fragility",
    "Suite": "suite-witness",
    "Severity": "advisory",
    "LastOutcome": "PASS",
    "LastDetail": "1 true / 2 false",
    "LastRunAt": "2026-07-20T03:06:49+00:00",
    "SemanticTypeIri": "urn:effortless:pko-extension#TestCase",
    "Name": "witness-discriminates: ProcedureVersions.RestsOnCompoundFragileKnowledge",
    "IsBlocking": false,
    "IsPassing": true,
    "IsFailing": false,
    "NeedsAttention": false,
    "PassingSuiteKey": "suite-witness",
    "NeedsAttentionSuiteKey": null
   },
   {
    "TestCaseId": "tc-witness-procedure_versions-knowledge_base_is_concentrated",
    "TestKind": "witness-discriminates",
    "Subject": "ProcedureVersions.KnowledgeBaseIsConcentrated",
    "TargetTable": "ProcedureVersions",
    "TargetField": "KnowledgeBaseIsConcentrated",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ProcedureVersions.KnowledgeBaseIsConcentrated",
    "IsBlocking": false,
    "IsPassing": true,
    "IsFailing": false,
    "NeedsAttention": false,
    "PassingSuiteKey": "suite-witness",
    "NeedsAttentionSuiteKey": null
   },
   {
    "TestCaseId": "tc-witness-procedure_versions-feeds_unapproved_knowledge_to_machines",
    "TestKind": "witness-discriminates",
    "Subject": "ProcedureVersions.FeedsUnapprovedKnowledgeToMachines",
    "TargetTable": "ProcedureVersions",
    "TargetField": "FeedsUnapprovedKnowledgeToMachines",
    "Assertion": "Reads both TRUE and FALSE across the seed data, so it can distinguish cases.",
    "DefendsQuestion": "q2-authority-unapproved-knowledge-reaching-machines",
    "Suite": "suite-witness",
    "Severity": "advisory",
    "LastOutcome": "PASS",
    "LastDetail": "1 true / 2 false",
    "LastRunAt": "2026-07-20T03:06:49+00:00",
    "SemanticTypeIri": "urn:effortless:pko-extension#TestCase",
    "Name": "witness-discriminates: ProcedureVersions.FeedsUnapprovedKnowledgeToMachines",
    "IsBlocking": false,
    "IsPassing": true,
    "IsFailing": false,
    "NeedsAttention": false,
    "PassingSuiteKey": "suite-witness",
    "NeedsAttentionSuiteKey": null
   },
   {
    "TestCaseId": "tc-witness-procedure_versions-is_blocked_on_pending_decision",
    "TestKind": "witness-discriminates",
    "Subject": "ProcedureVersions.IsBlockedOnPendingDecision",
    "TargetTable": "ProcedureVersions",
    "TargetField": "IsBlockedOnPendingDecision",
    "Assertion": "Reads both TRUE and FALSE across the seed data, so it can distinguish cases.",
    "DefendsQuestion": "q2-hr-my-backlog-is-someone-elses-block",
    "Suite": "suite-witness",
    "Severity": "advisory",
    "LastOutcome": "WARN",
    "LastDetail": "never true (3/3 false)",
    "LastRunAt": "2026-07-20T03:06:49+00:00",
    "SemanticTypeIri": "urn:effortless:pko-extension#TestCase",
    "Name": "witness-discriminates: ProcedureVersions.IsBlockedOnPendingDecision",
    "IsBlocking": false,
    "IsPassing": false,
    "IsFailing": false,
    "NeedsAttention": false,
    "PassingSuiteKey": null,
    "NeedsAttentionSuiteKey": null
   },
   {
    "TestCaseId": "tc-witness-procedure_versions-ai_boundary_is_unevidenced",
    "TestKind": "witness-discriminates",
    "Subject": "ProcedureVersions.AiBoundaryIsUnevidenced",
    "TargetTable": "ProcedureVersions",
    "TargetField": "AiBoundaryIsUnevidenced",
    "Assertion": "Reads both TRUE and FALSE across the seed data, so it can distinguish cases.",
    "DefendsQuestion": "q2-hr-ai-boundary-holds-only-where-tested",
    "Suite": "suite-witness",
    "Severity": "advisory",
    "LastOutcome": "PASS",
    "LastDetail": "2 true / 1 false",
    "LastRunAt": "2026-07-20T03:06:49+00:00",
    "SemanticTypeIri": "urn:effortless:pko-extension#TestCase",
    "Name": "witness-discriminates: ProcedureVersions.AiBoundaryIsUnevidenced",
    "IsBlocking": false,
    "IsPassing": true,
    "IsFailing": false,
    "NeedsAttention": false,
    "PassingSuiteKey": "suite-witness",
    "NeedsAttentionSuiteKey": null
   },
   {
    "TestCaseId": "tc-witness-procedure_versions-has_unrehearsed_control_entry",
    "TestKind": "witness-discriminates",
    "Subject": "ProcedureVersions.HasUnrehearsedControlEntry",
    "TargetTable": "ProcedureVersions",
    "TargetField": "HasUnrehearsedControlEntry",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ProcedureVersions.HasUnrehearsedControlEntry",
    "IsBlocking": false,
    "IsPassing": true,
    "IsFailing": false,
    "NeedsAttention": false,
    "PassingSuiteKey": "suite-witness",
    "NeedsAttentionSuiteKey": null
   },
   {
    "TestCaseId": "tc-witness-procedure_versions-is_live_with_unrehearsed_control",
    "TestKind": "witness-discriminates",
    "Subject": "ProcedureVersions.IsLiveWithUnrehearsedControl",
    "TargetTable": "ProcedureVersions",
    "TargetField": "IsLiveWithUnrehearsedControl",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ProcedureVersions.IsLiveWithUnrehearsedControl",
    "IsBlocking": false,
    "IsPassing": true,
    "IsFailing": false,
    "NeedsAttention": false,
    "PassingSuiteKey": "suite-witness",
    "NeedsAttentionSuiteKey": null
   },
   {
    "TestCaseId": "tc-witness-procedure_versions-is_in_cadence_breach",
    "TestKind": "witness-discriminates",
    "Subject": "ProcedureVersions.IsInCadenceBreach",
    "TargetTable": "ProcedureVersions",
    "TargetField": "IsInCadenceBreach",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ProcedureVersions.IsInCadenceBreach",
    "IsBlocking": false,
    "IsPassing": true,
    "IsFailing": false,
    "NeedsAttention": false,
    "PassingSuiteKey": "suite-witness",
    "NeedsAttentionSuiteKey": null
   },
   {
    "TestCaseId": "tc-witness-procedure_versions-has_decision_in_flight",
    "TestKind": "witness-discriminates",
    "Subject": "Proced</t>
  </si>
  <si>
    <t xml:space="preserve">ureVersions.HasDecisionInFlight",
    "TargetTable": "ProcedureVersions",
    "TargetField": "HasDecisionInFlight",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ProcedureVersions.HasDecisionInFlight",
    "IsBlocking": false,
    "IsPassing": true,
    "IsFailing": false,
    "NeedsAttention": false,
    "PassingSuiteKey": "suite-witness",
    "NeedsAttentionSuiteKey": null
   },
   {
    "TestCaseId": "tc-witness-procedure_versions-is_unremediated_cadence_breach",
    "TestKind": "witness-discriminates",
    "Subject": "ProcedureVersions.IsUnremediatedCadenceBreach",
    "TargetTable": "ProcedureVersions",
    "TargetField": "IsUnremediatedCadenceBreach",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ProcedureVersions.IsUnremediatedCadenceBreach",
    "IsBlocking": false,
    "IsPassing": true,
    "IsFailing": false,
    "NeedsAttention": false,
    "PassingSuiteKey": "suite-witness",
    "NeedsAttentionSuiteKey": null
   },
   {
    "TestCaseId": "tc-witness-procedure_versions-is_managed_cadence_breach",
    "TestKind": "witness-discriminates",
    "Subject": "ProcedureVersions.IsManagedCadenceBreach",
    "TargetTable": "ProcedureVersions",
    "TargetField": "IsManagedCadenceBreach",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ProcedureVersions.IsManagedCadenceBreach",
    "IsBlocking": false,
    "IsPassing": false,
    "IsFailing": false,
    "NeedsAttention": false,
    "PassingSuiteKey": null,
    "NeedsAttentionSuiteKey": null
   },
   {
    "TestCaseId": "tc-witness-procedure_versions-governance_is_silent",
    "TestKind": "witness-discriminates",
    "Subject": "ProcedureVersions.GovernanceIsSilent",
    "TargetTable": "ProcedureVersions",
    "TargetField": "GovernanceIsSilent",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ProcedureVersions.GovernanceIsSilent",
    "IsBlocking": false,
    "IsPassing": false,
    "IsFailing": false,
    "NeedsAttention": false,
    "PassingSuiteKey": null,
    "NeedsAttentionSuiteKey": null
   },
   {
    "TestCaseId": "tc-witness-procedure_versions-still_owns_valid_knowledge",
    "TestKind": "witness-discriminates",
    "Subject": "ProcedureVersions.StillOwnsValidKnowledge",
    "TargetTable": "ProcedureVersions",
    "TargetField": "StillOwnsValidKnowledge",
    "Assertion": "Reads both TRUE and FALSE across the seed data, so it can distinguish cases.",
    "DefendsQuestion": "q2-steward-unstewarded-version-still-referenced",
    "Suite": "suite-witness",
    "Severity": "advisory",
    "LastOutcome": "PASS",
    "LastDetail": "2 true / 1 false",
    "LastRunAt": "2026-07-20T03:06:49+00:00",
    "SemanticTypeIri": "urn:effortless:pko-extension#TestCase",
    "Name": "witness-discriminates: ProcedureVersions.StillOwnsValidKnowledge",
    "IsBlocking": false,
    "IsPassing": true,
    "IsFailing": false,
    "NeedsAttention": false,
    "PassingSuiteKey": "suite-witness",
    "NeedsAttentionSuiteKey": null
   },
   {
    "TestCaseId": "tc-witness-procedure_versions-is_still_referenced",
    "TestKind": "witness-discriminates",
    "Subject": "ProcedureVersions.IsStillReferenced",
    "TargetTable": "ProcedureVersions",
    "TargetField": "IsStillReferenced",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ProcedureVersions.IsStillReferenced",
    "IsBlocking": false,
    "IsPassing": true,
    "IsFailing": false,
    "NeedsAttention": false,
    "PassingSuiteKey": "suite-witness",
    "NeedsAttentionSuiteKey": null
   },
   {
    "TestCaseId": "tc-witness-procedure_versions-is_load_bearing_orphan",
    "TestKind": "witness-discriminates",
    "Subject": "ProcedureVersions.IsLoadBearingOrphan",
    "TargetTable": "ProcedureVersions",
    "TargetField": "IsLoadBearingOrphan",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ProcedureVersions.IsLoadBearingOrphan",
    "IsBlocking": false,
    "IsPassing": true,
    "IsFailing": false,
    "NeedsAttention": false,
    "PassingSuiteKey": "suite-witness",
    "NeedsAttentionSuiteKey": null
   },
   {
    "TestCaseId": "tc-witness-procedure_versions-is_cleanly_retired",
    "TestKind": "witness-discriminates",
    "Subject": "ProcedureVersions.IsCleanlyRetired",
    "TargetTable": "ProcedureVersions",
    "TargetField": "IsCleanlyRetired",
    "Assertion": "Reads both TRUE and FALSE across the seed data, so it can distinguish cases.",
    "DefendsQuestion": "q2-steward-unstewarded-version-still-referenced",
    "Suite": "suite-witness",
    "Severity": "advisory",
    "LastOutcome": "WARN",
    "LastDetail": "never true (3/3 false)",
    "LastRunAt": "2026-07-20T03:06:49+00:00",
    "SemanticTypeIri": "urn:effortless:pko-extension#TestCase",
    "Name": "witness-discriminates: ProcedureVersions.IsCleanlyRetired",
    "IsBlocking": false,
    "IsPassing": false,
    "IsFailing": false,
    "NeedsAttention": false,
    "PassingSuiteKey": null,
    "NeedsAttentionSuiteKey": null
   },
   {
    "TestCaseId": "tc-witness-procedure_versions-is_held_unfit_by_landed_decisions",
    "TestKind": "witness-discriminates",
    "Subject": "ProcedureVersions.IsHeldUnfitByLandedDecisions",
    "TargetTable": "ProcedureVersions",
    "TargetField": "IsHeldUnfitByLandedDecisions",
    "Assertion": "Reads both TRUE and FALSE across the seed data, so it can distinguish cases.",
    "DefendsQuestion": "q2-steward-approved-cr-never-lands",
    "Suite": "suite-witness",
    "Severity": "advisory",
    "LastOutcome": "WARN",
    "LastDetail": "never true (3/3 false)",
    "LastRunAt": "2026-07-20T03:06:49+00:00",
    "SemanticTypeIri": "urn:effortless:pko-extension#TestCase",
    "Name": "witness-discriminates: ProcedureVersions.IsHeldUnfitByLandedDecisions",
    "IsBlocking": false,
    "IsPassing": false,
    "IsFailing": false,
    "NeedsAttention": false,
    "PassingSuiteKey": null,
    "NeedsAttentionSuiteKey": null
   },
   {
    "TestCaseId": "tc-witness-procedure_versions-control_taxonomy_is_incomplete",
    "TestKind": "witness-discriminates",
    "Subject": "ProcedureVersions.ControlTaxonomyIsIncomplete",
    "TargetTable": "ProcedureVersions",
    "TargetField": "ControlTaxonomyIsIncomplete",
    "Assertion": "Reads both TRUE and FALSE across the seed data, so it can distinguish cases.",
    "DefendsQuestion": "q2-steward-control-kind-instead-of-hardcoded-ids",
    "Suite": "suite-witness",
    "Severity": "advisory",
    "LastOutcome": "WARN",
    "LastDetail": "never true (3/3 false)",
    "LastRunAt": "2026-07-20T03:06:49+00:00",
    "SemanticTypeIri": "urn:effortless:pko-extension#TestCase",
    "Name": "witness-discriminates: ProcedureVersions.ControlTaxonomyIsIncomplete",
    "IsBlocking": false,
    "IsPassing": false,
    "IsFailing": false,
    "NeedsAttention": false,
    "PassingSuiteKey": null,
    "NeedsAttentionSuiteKey": null
   },
   {
    "TestCaseId": "tc-witness-procedure_versions-has_approved_change_request",
    "TestKind": "witness-discriminates",
    "Subject": "ProcedureVersions.HasApprovedChangeRequest",
    "TargetTable": "ProcedureVersions",
    "TargetField": "HasApprovedChangeRequest",
    "Assertion": "Reads both TRUE and FALSE across the seed data, so it can distinguish cases.",
    "DefendsQuestion": "q2-ctl-divergence-that-nobody-governed",
    "Suite": "suite-witness",
    "Severity": "advisory",
    "LastOutcome": "PASS",
    "LastDetail": "1 true / 2 false",
    "LastRunAt": "2026-07-20T03:06:49+00:00",
    "SemanticTypeIri": "urn:effortless:pko-extension#TestCase",
    "Name": "witness-discriminates: ProcedureVersions.HasApprovedChangeRequest",
    "IsBlocking": false,
    "IsPassing": true,
    "IsFailing": false,
    "NeedsAttention": false,
    "PassingSuiteKey": "suite-witness",
    "NeedsAttentionSuiteKey": null
   },
   {
    "TestCaseId": "tc-witness-steps-is_preparation_step",
    "TestKind": "witness-discriminates",
    "Subject": "Steps.IsPreparationStep",
    "TargetTable": "Steps",
    "TargetField": "IsPreparationStep",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Steps.IsPreparationStep",
    "IsBlocking": false,
    "IsPassing": true,
    "IsFailing": false,
    "NeedsAttention": false,
    "PassingSuiteKey": "suite-witness",
    "NeedsAttentionSuiteKey": null
   },
   {
    "TestCaseId": "tc-witness-steps-is_approval_step",
    "TestKind": "witness-discriminates",
    "Subject": "Steps.IsApprovalStep",
    "TargetTable": "Steps",
    "TargetField": "IsApprovalStep",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Steps.IsApprovalStep",
    "IsBlocking": false,
    "IsPassing": true,
    "IsFailing": false,
    "NeedsAttention": false,
    "PassingSuiteKey": "suite-witness",
    "NeedsAttentionSuiteKey": null
   },
   {
    "TestCaseId": "tc-witness-steps-inputs_are_fresh",
    "TestKind": "witness-discriminates",
    "Subject": "Steps.InputsAreFresh",
    "TargetTable": "Steps",
    "TargetField": "InputsAreFresh",
    "Assertion": "Reads both TRUE and FALSE across the seed data, so it can distinguish cases.",
    "DefendsQuestion": "q-close-auto-input-freshness",
    "Suite": "suite-witness",
    "Severity": "advisory",
    "LastOutcome": "PASS",
    "LastDetail": "14 true / 3 false",
    "LastRunAt": "2026-07-20T03:06:49+00:00",
    "SemanticTypeIri": "urn:effortless:pko-extension#TestCase",
    "Name": "witness-discriminates: Steps.InputsAreFresh",
    "IsBlocking": false,
    "IsPassing": true,
    "IsFailing": false,
    "NeedsAttention": false,
    "PassingSuiteKey": "suite-witness",
    "NeedsAttentionSuiteKey": null
   },
   {
    "TestCaseId": "tc-witness-steps-is_software_assigned",
    "TestKind": "witness-discriminates",
    "Subject": "Steps.IsSoftwareAssigned",
    "TargetTable": "Steps",
    "TargetField": "IsSoftwareAssigned",
    "Assertion": "Reads both TRUE and FALSE across the seed data, so it can distinguish cases.",
    "DefendsQuestion": "q-hr-ai-authored-commitments",
    "Suite": "suite-witness",
    "Severity": "advisory",
    "LastOutcome": "PASS",
    "LastDetail": "8 true / 9 false",
    "LastRunAt": "2026-07-20T03:06:49+00:00",
    "SemanticTypeIri": "urn:effortless:pko-extension#TestCase",
    "Name": "witness-discriminates: Steps.IsSoftwareAssigned",
    "IsBlocking": false,
    "IsPassing": true,
    "IsFailing": false,
    "NeedsAttention": false,
    "PassingSuiteKey": "suite-witness",
    "NeedsAttentionSuiteKey": null
   },
   {
    "TestCaseId": "tc-witness-steps-is_human_approval_gate",
    "TestKind": "witness-discriminates",
    "Subject": "Steps.IsHumanApprovalGate",
    "TargetTable": "Steps",
    "TargetField": "IsHumanApprovalGate",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Steps.IsHumanApprovalGate",
    "IsBlocking": false,
    "IsPassing": true,
    "IsFailing": false,
    "NeedsAttention": false,
    "PassingSuiteKey": "suite-witness",
    "NeedsAttentionSuiteKey": null
   },
   {
    "TestCaseId": "tc-witness-steps-gate_held_by_human",
    "TestKind": "witness-discriminates",
    "Subject": "Steps.GateHeldByHuman",
    "TargetTable": "Steps",
    "TargetField": "GateHeldByHuman",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Steps.GateHeldByHuman",
    "IsBlocking": false,
    "IsPassing": true,
    "IsFailing": false,
    "NeedsAttention": false,
    "PassingSuiteKey": "suite-witness",
    "NeedsAttentionSuiteKey": null
   },
   {
    "TestCaseId": "tc-witness-steps-assigned_role_is_ungoverned",
    "TestKind": "witness-discriminates",
    "Subject": "Steps.AssignedRoleIsUngoverned",
    "TargetTable": "Steps",
    "TargetField": "AssignedRoleIsUngoverned",
    "Assertion": "Reads both TRUE and FALSE across the seed data, so it can distinguish cases.",
    "DefendsQuestion": "q-policy-ai-no-role-assignment",
    "Suite": "suite-witness",
    "Severity": "advisory",
    "LastOutcome": "WARN",
    "LastDetail": "never true (17/17 false)",
    "LastRunAt": "2026-07-20T03:06:49+00:00",
    "SemanticTypeIri": "urn:effortless:pko-extension#TestCase",
    "Name": "witness-discriminates: Steps.AssignedRoleIsUngoverned",
    "IsBlocking": false,
    "IsPassing": false,
    "IsFailing": false,
    "NeedsAttention": false,
    "PassingSuiteKey": null,
    "NeedsAttentionSuiteKey": null
   },
   {
    "TestCaseId": "tc-witness-steps-all_sources_usable",
    "TestKind": "witness-discriminates",
    "Subject": "Steps.AllSourcesUsable",
    "TargetTable": "Steps",
    "TargetField": "AllSourcesUsable",
    "Assertion": "Reads both TRUE and FALSE across the seed data, so it can distinguish cases.",
    "DefendsQuestion": "q-policy-ai-source-approval",
    "Suite": "suite-witness",
    "Severity": "advisory",
    "LastOutcome": "PASS",
    "LastDetail": "14 true / 3 false",
    "LastRunAt": "2026-07-20T03:06:49+00:00",
    "SemanticTypeIri": "urn:effortless:pko-extension#TestCase",
    "Name": "witness-discriminates: Steps.AllSourcesUsable",
    "IsBlocking": false,
    "IsPassing": true,
    "IsFailing": false,
    "NeedsAttention": false,
    "PassingSuiteKey": "suite-witness",
    "NeedsAttentionSuiteKey": null
   },
   {
    "TestCaseId": "tc-witness-steps-is_governed_by_unwarranted_boundary",
    "TestKind": "witness-discriminates",
    "Subject": "Steps.IsGovernedByUnwarrantedBoundary",
    "TargetTable": "Steps",
    "TargetField": "IsGovernedByUnwarrantedBoundary",
    "Assertion": "Reads both TRUE and FALSE across the seed data, so it can distinguish cases.",
    "DefendsQuestion": "q2-authority-boundary-rests-on-expired-claim",
    "Suite": "suite-witness",
    "Severity": "advisory",
    "LastOutcome": "PASS",
    "LastDetail": "1 true / 16 false",
    "LastRunAt": "2026-07-20T03:06:49+00:00",
    "SemanticTypeIri": "urn:effortless:pko-extension#TestCase",
    "Name": "witness-discriminates: Steps.IsGovernedByUnwarrantedBoundary",
    "IsBlocking": false,
    "IsPassing": true,
    "IsFailing": false,
    "NeedsAttention": false,
    "PassingSuiteKey": "suite-witness",
    "NeedsAttentionSuiteKey": null
   },
   {
    "TestCaseId": "tc-witness-steps-has_been_approached_by_software",
    "TestKind": "witness-discriminates",
    "Subject": "Steps.HasBeenApproachedBySoftware",
    "TargetTable": "Steps",
    "TargetField": "HasBeenApproachedBySoftware",
    "Assertion": "Reads both TRUE and FALSE across the seed data, so it can distinguish cases.",
    "DefendsQuestion": "q2-hr-ai-boundary-holds-only-where-tested",
    "Suite": "suite-witness",
    "Severity": "advisory",
    "LastOutcome": "PASS",
    "LastDetail": "5 true / 12 false",
    "LastRunAt": "2026-07-20T03:06:49+00:00",
    "SemanticTypeIri": "urn:effortless:pko-extension#TestCase",
    "Name": "witness-discriminates: Steps.HasBeenApproachedBySoftware",
    "IsBlocking": false,
    "IsPassing": true,
    "IsFailing": false,
    "NeedsAttention": false,
    "PassingSuiteKey": "suite-witness",
    "NeedsAttentionSuiteKey": null
   },
   {
    "TestCaseId": "tc-witness-steps-is_unexercised_human_gate",
    "TestKind": "witness-discriminates",
    "Subject": "Steps.IsUnexercisedHumanGate",
    "TargetTable": "Steps",
    "TargetField": "IsUnexercisedHumanGate",
    "Assertion": "Reads both TRUE and FALSE across the seed data, so it can distinguish cases.",
    "DefendsQuestion": "q2-hr-ai-boundary-holds-only-where-tested",
    "Suite": "suite-witness",
    "Severity": "advisory",
    "LastOutcome": "PASS",
    "LastDetail": "2 true / 15 false",
    "LastRunAt": "2026-07-20T03:06:49+00:00",
    "SemanticTypeIri": "urn:effortless:pko-extension#TestCase",
    "Name": "witness-discriminates: Steps.IsUnexercisedHumanGate",
    "IsBlocking": false,
    "IsPassing": true,
    "IsFailing": false,
    "NeedsAttention": false,
    "PassingSuiteKey": "suite-witness",
    "NeedsAttentionSuiteKey": null
   },
   {
    "TestCaseId": "tc-witness-steps-is_demonstrated_human_gate",
    "TestKind": "witness-discriminates",
    "Subject": "Steps.IsDemonstratedHumanGate",
    "TargetTable": "Steps",
    "TargetField": "IsDemonstratedHumanGate",
    "Assertion": "Reads both TRUE and FALSE across the seed data, so it can distinguish cases.",
    "DefendsQuestion": "q2-hr-ai-boundary-holds-only-where-tested",
    "Suite": "suite-witness",
    "Severity": "advisory",
    "LastOutcome": "WARN",
    "LastDetail": "never true (17/17 false)",
    "LastRunAt": "2026-07-20T03:06:49+00:00",
    "SemanticTypeIri": "urn:effortless:pko-extension#TestCase",
    "Name": "witness-discriminates: Steps.IsDemonstratedHumanGate",
    "IsBlocking": false,
    "IsPassing": false,
    "IsFailing": false,
    "NeedsAttention": false,
    "PassingSuiteKey": null,
    "NeedsAttentionSuiteKey": null
   },
   {
    "TestCaseId": "tc-witness-steps-has_declared_control_kind",
    "TestKind": "witness-discriminates",
    "Subject": "Steps.HasDeclaredControlKind",
    "TargetTable": "Steps",
    "TargetField": "HasDeclaredControlKind",
    "Assertion": "Reads both TRUE and FALSE across the seed data, so it can distinguish cases.",
    "DefendsQuestion": "q2-steward-control-kind-instead-of-hardcoded-ids",
    "Suite": "suite-witness",
    "Severity": "advisory",
    "LastOutcome": "WARN",
    "LastDetail": "always true (17/17)",
    "LastRunAt": "2026-07-20T03:06:49+00:00",
    "SemanticTypeIri": "urn:effortless:pko-extension#TestCase",
    "Name": "witness-discriminates: Steps.HasDeclaredControlKind",
    "IsBlocking": false,
    "IsPassing": false,
    "IsFailing": false,
    "NeedsAttention": false,
    "PassingSuiteKey": null,
    "NeedsAttentionSuiteKey": null
   },
   {
    "TestCaseId": "tc-witness-steps-approval_step_is_software_assigned",
    "TestKind": "witness-discriminates",
    "Subject": "Steps.ApprovalStepIsSoftwareAssigned",
    "TargetTable": "Steps",
    "TargetField": "ApprovalStepIsSoftwareAssigned",
    "Assertion": "Reads both TRUE and FALSE across the seed data, so it can distinguish cases.",
    "DefendsQuestion": "q2-steward-control-kind-instead-of-hardcoded-ids",
    "Suite": "suite-witness",
    "Severity": "advisory",
    "LastOutcome": "WARN",
    "LastDetail": "never true (17/17 false)",
    "LastRunAt": "2026-07-20T03:06:49+00:00",
    "SemanticTypeIri": "urn:effortless:pko-extension#TestCase",
    "Name": "witness-discriminates: Steps.ApprovalStepIsSoftwareAssigned",
    "IsBlocking": false,
    "IsPassing": false,
    "IsFailing": false,
    "NeedsAttention": false,
    "PassingSuiteKey": null,
    "NeedsAttentionSuiteKey": null
   },
   {
    "TestCaseId": "tc-witness-step_transitions-is_recovery_path",
    "TestKind": "witness-discriminates",
    "Subject": "StepTransitions.IsRecoveryPath",
    "TargetTable": "StepTransitions",
    "TargetField": "IsRecoveryPath",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StepTransitions.IsRecoveryPath",
    "IsBlocking": false,
    "IsPassing": true,
    "IsFailing": false,
    "NeedsAttention": false,
    "PassingSuiteKey": "suite-witness",
    "NeedsAttentionSuiteKey": null
   },
   {
    "TestCaseId": "tc-witness-step_transitions-has_reachable_origin",
    "TestKind": "witness-discriminates",
    "Subject": "StepTransitions.HasReachableOrigin",
    "TargetTable": "StepTransitions",
    "TargetField": "HasReachableOrigin",
    "Assertion": "Reads both TRUE and FALSE across the seed data, so it can distinguish cases.",
    "DefendsQuestion": "q-steward-untested-fallbacks",
    "Suite": "suite-witness",
    "Severity": "advisory",
    "LastOutcome": "PASS",
    "LastDetail": "14 true / 5 false",
    "LastRunAt": "2026-07-20T03:06:49+00:00",
    "SemanticTypeIri": "urn:effortless:pko-extension#TestCase",
    "Name": "witness-discriminates: StepTransitions.HasReachableOrigin",
    "IsBlocking": false,
    "IsPassing": true,
    "IsFailing": false,
    "NeedsAttention": false,
    "PassingSuiteKey": "suite-witness",
    "NeedsAttentionSuiteKey": null
   },
   {
    "TestCaseId": "tc-witness-step_transitions-has_reachable_target",
    "TestKind": "witness-discriminates",
    "Subject": "StepTransitions.HasReachableTarget",
    "TargetTable": "StepTransitions",
    "TargetField": "HasReachableTarget",
    "Assertion": "Reads both TRUE and FALSE across the seed data, so it can distinguish cases.",
    "DefendsQuestion": "q-steward-untested-fallbacks",
    "Suite": "suite-witness",
    "Severity": "advisory",
    "LastOutcome": "PASS",
    "LastDetail": "13 true / 6 false",
    "LastRunAt": "2026-07-20T03:06:49+00:00",
    "SemanticTypeIri": "urn:effortless:pko-extension#TestCase",
    "Name": "witness-discriminates: StepTransitions.HasReachableTarget",
    "IsBlocking": false,
    "IsPassing": true,
    "IsFailing": false,
    "NeedsAttention": false,
    "PassingSuiteKey": "suite-witness",
    "NeedsAttentionSuiteKey": null
   },
   {
    "TestCaseId": "tc-witness-step_transitions-is_never_exercised",
    "TestKind": "witness-discriminates",
    "Subject": "StepTransitions.IsNeverExercised",
    "TargetTable": "StepTransitions",
    "TargetField": "IsNeverExercised",
    "Assertion": "Reads both TRUE and FALSE across the seed data, so it can distinguish cases.",
    "DefendsQuestion": "q-steward-untested-fallbacks",
    "Suite": "suite-witness",
    "Severity": "advisory",
    "LastOutcome": "PASS",
    "LastDetail": "6 true / 13 false",
    "LastRunAt": "2026-07-20T03:06:49+00:00",
    "SemanticTypeIri": "urn:effortless:pko-extension#TestCase",
    "Name": "witness-discriminates: StepTransitions.IsNeverExercised",
    "IsBlocking": false,
    "IsPassing": true,
    "IsFailing": false,
    "NeedsAttention": false,
    "PassingSuiteKey": "suite-witness",
    "NeedsAttentionSuiteKey": null
   },
   {
    "TestCaseId": "tc-witness-step_transitions-is_untested_recovery_path",
    "TestKind": "witness-discriminates",
    "Subject": "StepTransitions.IsUntestedRecoveryPath",
    "TargetTable": "StepTransitions",
    "TargetField": "IsUntestedRecoveryPath",
    "Assertion": "Reads both TRUE and FALSE across the seed data, so it can distinguish cases.",
    "DefendsQuestion": "q-steward-untested-fallbacks",
    "Suite": "suite-witness",
    "Severity": "advisory",
    "LastOutcome": "PASS",
    "LastDetail": "1 true / 18 false",
    "LastRunAt": "2026-07-20T03:06:49+00:00",
    "SemanticTypeIri": "urn:effortless:pko-extension#TestCase",
    "Name": "witness-discriminates: StepTransitions.IsUntestedRecoveryPath",
    "IsBlocking": false,
    "IsPassing": true,
    "IsFailing": false,
    "NeedsAttention": false,
    "PassingSuiteKey": "suite-witness",
    "NeedsAttentionSuiteKey": null
   },
   {
    "TestCaseId": "tc-witness-step_transitions-has_been_traversed",
    "TestKind": "witness-discriminates",
    "Subject": "StepTransitions.HasBeenTraversed",
    "TargetTable": "StepTransitions",
    "TargetField": "HasBeenTraversed",
    "Assertion": "Reads both TRUE and FALSE across the seed data, so it can distinguish cases.",
    "DefendsQuestion": "q-steward-untested-fallbacks",
    "Suite": "suite-witness",
    "Severity": "advisory",
    "LastOutcome": "PASS",
    "LastDetail": "10 true / 9 false",
    "LastRunAt": "2026-07-20T03:06:49+00:00",
    "SemanticTypeIri": "urn:effortless:pko-extension#TestCase",
    "Name": "witness-discriminates: StepTransitions.HasBeenTraversed",
    "IsBlocking": false,
    "IsPassing": true,
    "IsFailing": false,
    "NeedsAttention": false,
    "PassingSuiteKey": "suite-witness",
    "NeedsAttentionSuiteKey": null
   },
   {
    "TestCaseId": "tc-witness-step_transitions-is_unwalked_recovery_path",
    "TestKind": "witness-discriminates",
    "Subject": "StepTransitions.IsUnwalkedRecoveryPath",
    "TargetTable": "StepTransitions",
    "TargetField": "IsUnwalkedRecoveryPath",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StepTransitions.IsUnwalkedRecoveryPath",
    "IsBlocking": false,
    "IsPassing": true,
    "IsFailing": false,
    "NeedsAttention": false,
    "PassingSuiteKey": "suite-witness",
    "NeedsAttentionSuiteKey": null
   },
   {
    "TestCaseId": "tc-witness-step_transitions-target_carries_blocking_control",
    "TestKind": "witness-discriminates",
    "Subject": "StepTransitions.TargetCarriesBlockingControl",
    "TargetTable": "StepTransitions",
    "TargetField": "TargetCarriesBlockingControl",
    "Assertion": "Reads both TRUE and FALSE across the seed data, so it can distinguish cases.",
    "DefendsQuestion": "q2-steward-recovery-path-is-load-bearing",
    "Suite": "suite-witness",
    "Severity": "advisory",
    "LastOutcome": "PASS",
    "LastDetail": "13 true / 6 false",
    "LastRunAt": "2026-07-20T03:06:49+00:00",
    "SemanticTypeIri": "urn:effortless:pko-extension#TestCase",
    "Name": "witness-discriminates: StepTransitions.TargetCarriesBlockingControl",
    "IsBlocking": false,
    "IsPassing": true,
    "IsFailing": false,
    "NeedsAttention": false,
    "PassingSuiteKey": "suite-witness",
    "NeedsAttentionSuiteKey": null
   },
   {
    "TestCaseId": "tc-witness-step_transitions-is_unrehearsed_control_entry",
    "TestKind": "witness-discriminates",
    "Subject": "StepTransitions.IsUnrehearsedControlEntry",
    "TargetTable": "StepTransitions",
    "TargetField": "IsUnrehearsedControlEntry",
    "Assertion": "Reads both TRUE and FALSE across the seed data, so it can distinguish cases.",
    "DefendsQuestion": "q2-steward-recovery-path-is-load-bearing",
    "Suite": "suite-witness",
    "Severity": "advisory",
    "LastOutcome": "PASS",
    "LastDetail": "3 true / 16 false",
    "LastRunAt": "2026-07-20T03:06:49+00:00",
    "SemanticTypeIri": "urn:effortless:pko-extension#TestCase",
    "Name": "witness-discriminates: StepTransitions.IsUnrehearsedControlEntry",
    "IsBlocking": false,
    "IsPassing": true,
    "IsFailing": false,
    "NeedsAttention": false,
    "PassingSuiteKey": "suite-witness",
    "NeedsAttentionSuiteKey": null
   },
   {
    "TestCaseId": "tc-witness-requirements-is_bound_to_any_step",
    "TestKind": "witness-discriminates",
    "Subject": "Requirements.IsBoundToAnyStep",
    "TargetTable": "Requirements",
    "TargetField": "IsBoundToAnyStep",
    "Assertion": "Reads both TRUE and FALSE across the seed data, so it can distinguish cases.",
    "DefendsQuestion": "q-controller-blocking-control-inoperative",
    "Suite": "suite-witness",
    "Severity": "advisory",
    "LastOutcome": "WARN",
    "LastDetail": "always true (13/13)",
    "LastRunAt": "2026-07-20T03:06:49+00:00",
    "SemanticTypeIri": "urn:effortless:pko-extension#TestCase",
    "Name": "witness-discriminates: Requirements.IsBoundToAnyStep",
    "IsBlocking": false,
    "IsPassing": false,
    "IsFailing": false,
    "NeedsAttention": false,
    "PassingSuiteKey": null,
    "NeedsAttentionSuiteKey": null
   },
   {
    "TestCaseId": "tc-witness-requirements-has_ever_been_evaluated",
    "TestKind": "witness-discriminates",
    "Subject": "Requirements.HasEverBeenEvaluated",
    "TargetTable": "Requirements",
    "TargetField": "HasEverBeenEvaluated",
    "Assertion": "Reads both TRUE and FALSE across the seed data, so it can distinguish cases.",
    "DefendsQuestion": "q-controller-blocking-control-inoperative",
    "Suite": "suite-witness",
    "Severity": "advisory",
    "LastOutcome": "PASS",
    "LastDetail": "7 true / 6 false",
    "LastRunAt": "2026-07-20T03:06:49+00:00",
    "SemanticTypeIri": "urn:effortless:pko-extension#TestCase",
    "Name": "witness-discriminates: Requirements.HasEverBeenEvaluated",
    "IsBlocking": false,
    "IsPassing": true,
    "IsFailing": false,
    "NeedsAttention": false,
    "PassingSuiteKey": "suite-witness",
    "NeedsAttentionSuiteKey": null
   },
   {
    "TestCaseId": "tc-witness-requirements-is_inoperative_control",
    "TestKind": "witness-discriminates",
    "Subject": "Requirements.IsInoperativeControl",
    "TargetTable": "Requirements",
    "TargetField": "IsInoperativeControl",
    "Assertion": "Reads both TRUE and FALSE across the seed data, so it can distinguish cases.",
    "DefendsQuestion": "q-controller-blocking-control-inoperative",
    "Suite": "suite-witness",
    "Severity": "advisory",
    "LastOutcome": "PASS",
    "LastDetail": "6 true / 7 false",
    "LastRunAt": "2026-07-20T03:06:49+00:00",
    "SemanticTypeIri": "urn:effortless:pko-extension#TestCase",
    "Name": "witness-discriminates: Requirements.IsInoperativeControl",
    "IsBlocking"</t>
  </si>
  <si>
    <t xml:space="preserve">: false,
    "IsPassing": true,
    "IsFailing": false,
    "NeedsAttention": false,
    "PassingSuiteKey": "suite-witness",
    "NeedsAttentionSuiteKey": null
   },
   {
    "TestCaseId": "tc-witness-requirements-is_decorative_control",
    "TestKind": "witness-discriminates",
    "Subject": "Requirements.IsDecorativeControl",
    "TargetTable": "Requirements",
    "TargetField": "IsDecorativeControl",
    "Assertion": "Reads both TRUE and FALSE across the seed data, so it can distinguish cases.",
    "DefendsQuestion": "q-controller-blocking-control-inoperative",
    "Suite": "suite-witness",
    "Severity": "advisory",
    "LastOutcome": "WARN",
    "LastDetail": "never true (13/13 false)",
    "LastRunAt": "2026-07-20T03:06:49+00:00",
    "SemanticTypeIri": "urn:effortless:pko-extension#TestCase",
    "Name": "witness-discriminates: Requirements.IsDecorativeControl",
    "IsBlocking": false,
    "IsPassing": false,
    "IsFailing": false,
    "NeedsAttention": false,
    "PassingSuiteKey": null,
    "NeedsAttentionSuiteKey": null
   },
   {
    "TestCaseId": "tc-witness-requirements-has_ever_produced_negative",
    "TestKind": "witness-discriminates",
    "Subject": "Requirements.HasEverProducedNegative",
    "TargetTable": "Requirements",
    "TargetField": "HasEverProducedNegative",
    "Assertion": "Reads both TRUE and FALSE across the seed data, so it can distinguish cases.",
    "DefendsQuestion": "q2-fa-cleared-by-mute-control",
    "Suite": "suite-witness",
    "Severity": "advisory",
    "LastOutcome": "PASS",
    "LastDetail": "1 true / 12 false",
    "LastRunAt": "2026-07-20T03:06:49+00:00",
    "SemanticTypeIri": "urn:effortless:pko-extension#TestCase",
    "Name": "witness-discriminates: Requirements.HasEverProducedNegative",
    "IsBlocking": false,
    "IsPassing": true,
    "IsFailing": false,
    "NeedsAttention": false,
    "PassingSuiteKey": "suite-witness",
    "NeedsAttentionSuiteKey": null
   },
   {
    "TestCaseId": "tc-witness-requirements-is_unfalsified_control",
    "TestKind": "witness-discriminates",
    "Subject": "Requirements.IsUnfalsifiedControl",
    "TargetTable": "Requirements",
    "TargetField": "IsUnfalsifiedControl",
    "Assertion": "Reads both TRUE and FALSE across the seed data, so it can distinguish cases.",
    "DefendsQuestion": "q2-fa-cleared-by-mute-control",
    "Suite": "suite-witness",
    "Severity": "advisory",
    "LastOutcome": "PASS",
    "LastDetail": "6 true / 7 false",
    "LastRunAt": "2026-07-20T03:06:49+00:00",
    "SemanticTypeIri": "urn:effortless:pko-extension#TestCase",
    "Name": "witness-discriminates: Requirements.IsUnfalsifiedControl",
    "IsBlocking": false,
    "IsPassing": true,
    "IsFailing": false,
    "NeedsAttention": false,
    "PassingSuiteKey": "suite-witness",
    "NeedsAttentionSuiteKey": null
   },
   {
    "TestCaseId": "tc-witness-requirements-claims_a_witness_field",
    "TestKind": "witness-discriminates",
    "Subject": "Requirements.ClaimsAWitnessField",
    "TargetTable": "Requirements",
    "TargetField": "ClaimsAWitnessField",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Requirements.ClaimsAWitnessField",
    "IsBlocking": false,
    "IsPassing": true,
    "IsFailing": false,
    "NeedsAttention": false,
    "PassingSuiteKey": "suite-witness",
    "NeedsAttentionSuiteKey": null
   },
   {
    "TestCaseId": "tc-witness-requirements-named_witness_field_exists",
    "TestKind": "witness-discriminates",
    "Subject": "Requirements.NamedWitnessFieldExists",
    "TargetTable": "Requirements",
    "TargetField": "NamedWitnessFieldExists",
    "Assertion": "Reads both TRUE and FALSE across the seed data, so it can distinguish cases.",
    "DefendsQuestion": "q2-fa-witness-coverage-of-my-steps",
    "Suite": "suite-witness",
    "Severity": "advisory",
    "LastOutcome": "WARN",
    "LastDetail": "always true (4/13)",
    "LastRunAt": "2026-07-20T03:06:49+00:00",
    "SemanticTypeIri": "urn:effortless:pko-extension#TestCase",
    "Name": "witness-discriminates: Requirements.NamedWitnessFieldExists",
    "IsBlocking": false,
    "IsPassing": false,
    "IsFailing": false,
    "NeedsAttention": false,
    "PassingSuiteKey": null,
    "NeedsAttentionSuiteKey": null
   },
   {
    "TestCaseId": "tc-witness-requirements-derived_has_computed_witness",
    "TestKind": "witness-discriminates",
    "Subject": "Requirements.DerivedHasComputedWitness",
    "TargetTable": "Requirements",
    "TargetField": "DerivedHasComputedWitness",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Requirements.DerivedHasComputedWitness",
    "IsBlocking": false,
    "IsPassing": true,
    "IsFailing": false,
    "NeedsAttention": false,
    "PassingSuiteKey": "suite-witness",
    "NeedsAttentionSuiteKey": null
   },
   {
    "TestCaseId": "tc-witness-requirements-witness_claim_is_unverified",
    "TestKind": "witness-discriminates",
    "Subject": "Requirements.WitnessClaimIsUnverified",
    "TargetTable": "Requirements",
    "TargetField": "WitnessClaimIsUnverified",
    "Assertion": "Reads both TRUE and FALSE across the seed data, so it can distinguish cases.",
    "DefendsQuestion": "q2-fa-witness-coverage-of-my-steps",
    "Suite": "suite-witness",
    "Severity": "advisory",
    "LastOutcome": "WARN",
    "LastDetail": "never true (13/13 false)",
    "LastRunAt": "2026-07-20T03:06:49+00:00",
    "SemanticTypeIri": "urn:effortless:pko-extension#TestCase",
    "Name": "witness-discriminates: Requirements.WitnessClaimIsUnverified",
    "IsBlocking": false,
    "IsPassing": false,
    "IsFailing": false,
    "NeedsAttention": false,
    "PassingSuiteKey": null,
    "NeedsAttentionSuiteKey": null
   },
   {
    "TestCaseId": "tc-witness-requirements-is_unwitnessed_blocking_control",
    "TestKind": "witness-discriminates",
    "Subject": "Requirements.IsUnwitnessedBlockingControl",
    "TargetTable": "Requirements",
    "TargetField": "IsUnwitnessedBlockingControl",
    "Assertion": "Reads both TRUE and FALSE across the seed data, so it can distinguish cases.",
    "DefendsQuestion": "q2-fa-witness-coverage-of-my-steps",
    "Suite": "suite-witness",
    "Severity": "advisory",
    "LastOutcome": "PASS",
    "LastDetail": "9 true / 4 false",
    "LastRunAt": "2026-07-20T03:06:49+00:00",
    "SemanticTypeIri": "urn:effortless:pko-extension#TestCase",
    "Name": "witness-discriminates: Requirements.IsUnwitnessedBlockingControl",
    "IsBlocking": false,
    "IsPassing": true,
    "IsFailing": false,
    "NeedsAttention": false,
    "PassingSuiteKey": "suite-witness",
    "NeedsAttentionSuiteKey": null
   },
   {
    "TestCaseId": "tc-witness-requirements-witness_has_never_fired",
    "TestKind": "witness-discriminates",
    "Subject": "Requirements.WitnessHasNeverFired",
    "TargetTable": "Requirements",
    "TargetField": "WitnessHasNeverFired",
    "Assertion": "Reads both TRUE and FALSE across the seed data, so it can distinguish cases.",
    "DefendsQuestion": "q2-ctl-witness-never-fired",
    "Suite": "suite-witness",
    "Severity": "advisory",
    "LastOutcome": "PASS",
    "LastDetail": "3 true / 10 false",
    "LastRunAt": "2026-07-20T03:06:49+00:00",
    "SemanticTypeIri": "urn:effortless:pko-extension#TestCase",
    "Name": "witness-discriminates: Requirements.WitnessHasNeverFired",
    "IsBlocking": false,
    "IsPassing": true,
    "IsFailing": false,
    "NeedsAttention": false,
    "PassingSuiteKey": "suite-witness",
    "NeedsAttentionSuiteKey": null
   },
   {
    "TestCaseId": "tc-witness-requirements-has_meaningful_sample",
    "TestKind": "witness-discriminates",
    "Subject": "Requirements.HasMeaningfulSample",
    "TargetTable": "Requirements",
    "TargetField": "HasMeaningfulSample",
    "Assertion": "Reads both TRUE and FALSE across the seed data, so it can distinguish cases.",
    "DefendsQuestion": "q2-ctl-witness-never-fired",
    "Suite": "suite-witness",
    "Severity": "advisory",
    "LastOutcome": "WARN",
    "LastDetail": "never true (0/13 false)",
    "LastRunAt": "2026-07-20T03:06:49+00:00",
    "SemanticTypeIri": "urn:effortless:pko-extension#TestCase",
    "Name": "witness-discriminates: Requirements.HasMeaningfulSample",
    "IsBlocking": false,
    "IsPassing": false,
    "IsFailing": false,
    "NeedsAttention": false,
    "PassingSuiteKey": null,
    "NeedsAttentionSuiteKey": null
   },
   {
    "TestCaseId": "tc-witness-requirements-is_untested_witness",
    "TestKind": "witness-discriminates",
    "Subject": "Requirements.IsUntestedWitness",
    "TargetTable": "Requirements",
    "TargetField": "IsUntestedWitness",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Requirements.IsUntestedWitness",
    "IsBlocking": false,
    "IsPassing": false,
    "IsFailing": false,
    "NeedsAttention": false,
    "PassingSuiteKey": null,
    "NeedsAttentionSuiteKey": null
   },
   {
    "TestCaseId": "tc-witness-requirements-is_evidenced_holding_control",
    "TestKind": "witness-discriminates",
    "Subject": "Requirements.IsEvidencedHoldingControl",
    "TargetTable": "Requirements",
    "TargetField": "IsEvidencedHoldingControl",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Requirements.IsEvidencedHoldingControl",
    "IsBlocking": false,
    "IsPassing": false,
    "IsFailing": false,
    "NeedsAttention": false,
    "PassingSuiteKey": null,
    "NeedsAttentionSuiteKey": null
   },
   {
    "TestCaseId": "tc-witness-requirements-witness_is_partially_scoped",
    "TestKind": "witness-discriminates",
    "Subject": "Requirements.WitnessIsPartiallyScoped",
    "TargetTable": "Requirements",
    "TargetField": "WitnessIsPartiallyScoped",
    "Assertion": "Reads both TRUE and FALSE across the seed data, so it can distinguish cases.",
    "DefendsQuestion": "q2-ctl-witness-scope-vs-binding",
    "Suite": "suite-witness",
    "Severity": "advisory",
    "LastOutcome": "PASS",
    "LastDetail": "4 true / 9 false",
    "LastRunAt": "2026-07-20T03:06:49+00:00",
    "SemanticTypeIri": "urn:effortless:pko-extension#TestCase",
    "Name": "witness-discriminates: Requirements.WitnessIsPartiallyScoped",
    "IsBlocking": false,
    "IsPassing": true,
    "IsFailing": false,
    "NeedsAttention": false,
    "PassingSuiteKey": "suite-witness",
    "NeedsAttentionSuiteKey": null
   },
   {
    "TestCaseId": "tc-witness-requirements-has_named_owner",
    "TestKind": "witness-discriminates",
    "Subject": "Requirements.HasNamedOwner",
    "TargetTable": "Requirements",
    "TargetField": "HasNamedOwner",
    "Assertion": "Reads both TRUE and FALSE across the seed data, so it can distinguish cases.",
    "DefendsQuestion": "q2-cfo-controls-nobody-is-watching",
    "Suite": "suite-witness",
    "Severity": "advisory",
    "LastOutcome": "WARN",
    "LastDetail": "never true (13/13 false)",
    "LastRunAt": "2026-07-20T03:06:49+00:00",
    "SemanticTypeIri": "urn:effortless:pko-extension#TestCase",
    "Name": "witness-discriminates: Requirements.HasNamedOwner",
    "IsBlocking": false,
    "IsPassing": false,
    "IsFailing": false,
    "NeedsAttention": false,
    "PassingSuiteKey": null,
    "NeedsAttentionSuiteKey": null
   },
   {
    "TestCaseId": "tc-witness-requirements-is_orphaned_blocking_control",
    "TestKind": "witness-discriminates",
    "Subject": "Requirements.IsOrphanedBlockingControl",
    "TargetTable": "Requirements",
    "TargetField": "IsOrphanedBlockingControl",
    "Assertion": "Reads both TRUE and FALSE across the seed data, so it can distinguish cases.",
    "DefendsQuestion": "q2-cfo-controls-nobody-is-watching",
    "Suite": "suite-witness",
    "Severity": "advisory",
    "LastOutcome": "WARN",
    "LastDetail": "always true (13/13)",
    "LastRunAt": "2026-07-20T03:06:49+00:00",
    "SemanticTypeIri": "urn:effortless:pko-extension#TestCase",
    "Name": "witness-discriminates: Requirements.IsOrphanedBlockingControl",
    "IsBlocking": false,
    "IsPassing": false,
    "IsFailing": false,
    "NeedsAttention": false,
    "PassingSuiteKey": null,
    "NeedsAttentionSuiteKey": null
   },
   {
    "TestCaseId": "tc-witness-requirements-is_unwatched_and_unowned",
    "TestKind": "witness-discriminates",
    "Subject": "Requirements.IsUnwatchedAndUnowned",
    "TargetTable": "Requirements",
    "TargetField": "IsUnwatchedAndUnowned",
    "Assertion": "Reads both TRUE and FALSE across the seed data, so it can distinguish cases.",
    "DefendsQuestion": "q2-cfo-controls-nobody-is-watching",
    "Suite": "suite-witness",
    "Severity": "advisory",
    "LastOutcome": "PASS",
    "LastDetail": "9 true / 4 false",
    "LastRunAt": "2026-07-20T03:06:49+00:00",
    "SemanticTypeIri": "urn:effortless:pko-extension#TestCase",
    "Name": "witness-discriminates: Requirements.IsUnwatchedAndUnowned",
    "IsBlocking": false,
    "IsPassing": true,
    "IsFailing": false,
    "NeedsAttention": false,
    "PassingSuiteKey": "suite-witness",
    "NeedsAttentionSuiteKey": null
   },
   {
    "TestCaseId": "tc-witness-step_requirements-requirement_is_blocking",
    "TestKind": "witness-discriminates",
    "Subject": "StepRequirements.RequirementIsBlocking",
    "TargetTable": "StepRequirements",
    "TargetField": "RequirementIsBlocking",
    "Assertion": "Reads both TRUE and FALSE across the seed data, so it can distinguish cases.",
    "DefendsQuestion": "q-analyst-blocking-never-evaluated",
    "Suite": "suite-witness",
    "Severity": "advisory",
    "LastOutcome": "WARN",
    "LastDetail": "always true (15/15)",
    "LastRunAt": "2026-07-20T03:06:49+00:00",
    "SemanticTypeIri": "urn:effortless:pko-extension#TestCase",
    "Name": "witness-discriminates: StepRequirements.RequirementIsBlocking",
    "IsBlocking": false,
    "IsPassing": false,
    "IsFailing": false,
    "NeedsAttention": false,
    "PassingSuiteKey": null,
    "NeedsAttentionSuiteKey": null
   },
   {
    "TestCaseId": "tc-witness-step_requirements-requirement_lacks_witness",
    "TestKind": "witness-discriminates",
    "Subject": "StepRequirements.RequirementLacksWitness",
    "TargetTable": "StepRequirements",
    "TargetField": "RequirementLacksWitness",
    "Assertion": "Reads both TRUE and FALSE across the seed data, so it can distinguish cases.",
    "DefendsQuestion": "q2-fa-witness-coverage-of-my-steps",
    "Suite": "suite-witness",
    "Severity": "advisory",
    "LastOutcome": "PASS",
    "LastDetail": "10 true / 5 false",
    "LastRunAt": "2026-07-20T03:06:49+00:00",
    "SemanticTypeIri": "urn:effortless:pko-extension#TestCase",
    "Name": "witness-discriminates: StepRequirements.RequirementLacksWitness",
    "IsBlocking": false,
    "IsPassing": true,
    "IsFailing": false,
    "NeedsAttention": false,
    "PassingSuiteKey": "suite-witness",
    "NeedsAttentionSuiteKey": null
   },
   {
    "TestCaseId": "tc-witness-step_requirements-binding_was_ever_exercised",
    "TestKind": "witness-discriminates",
    "Subject": "StepRequirements.BindingWasEverExercised",
    "TargetTable": "StepRequirements",
    "TargetField": "BindingWasEverExercised",
    "Assertion": "Reads both TRUE and FALSE across the seed data, so it can distinguish cases.",
    "DefendsQuestion": "q2-ctl-witness-scope-vs-binding",
    "Suite": "suite-witness",
    "Severity": "advisory",
    "LastOutcome": "WARN",
    "LastDetail": "never true (15/15 false)",
    "LastRunAt": "2026-07-20T03:06:49+00:00",
    "SemanticTypeIri": "urn:effortless:pko-extension#TestCase",
    "Name": "witness-discriminates: StepRequirements.BindingWasEverExercised",
    "IsBlocking": false,
    "IsPassing": false,
    "IsFailing": false,
    "NeedsAttention": false,
    "PassingSuiteKey": null,
    "NeedsAttentionSuiteKey": null
   },
   {
    "TestCaseId": "tc-witness-step_requirements-is_unexercised_blocking_binding",
    "TestKind": "witness-discriminates",
    "Subject": "StepRequirements.IsUnexercisedBlockingBinding",
    "TargetTable": "StepRequirements",
    "TargetField": "IsUnexercisedBlockingBinding",
    "Assertion": "Reads both TRUE and FALSE across the seed data, so it can distinguish cases.",
    "DefendsQuestion": "q2-ctl-witness-scope-vs-binding",
    "Suite": "suite-witness",
    "Severity": "advisory",
    "LastOutcome": "WARN",
    "LastDetail": "always true (15/15)",
    "LastRunAt": "2026-07-20T03:06:49+00:00",
    "SemanticTypeIri": "urn:effortless:pko-extension#TestCase",
    "Name": "witness-discriminates: StepRequirements.IsUnexercisedBlockingBinding",
    "IsBlocking": false,
    "IsPassing": false,
    "IsFailing": false,
    "NeedsAttention": false,
    "PassingSuiteKey": null,
    "NeedsAttentionSuiteKey": null
   },
   {
    "TestCaseId": "tc-witness-resources-is_approved_source",
    "TestKind": "witness-discriminates",
    "Subject": "Resources.IsApprovedSource",
    "TargetTable": "Resources",
    "TargetField": "IsApprovedSource",
    "Assertion": "Reads both TRUE and FALSE across the seed data, so it can distinguish cases.",
    "DefendsQuestion": "q-policy-ai-source-approval",
    "Suite": "suite-witness",
    "Severity": "advisory",
    "LastOutcome": "WARN",
    "LastDetail": "never true (0/8 false)",
    "LastRunAt": "2026-07-20T03:06:49+00:00",
    "SemanticTypeIri": "urn:effortless:pko-extension#TestCase",
    "Name": "witness-discriminates: Resources.IsApprovedSource",
    "IsBlocking": false,
    "IsPassing": false,
    "IsFailing": false,
    "NeedsAttention": false,
    "PassingSuiteKey": null,
    "NeedsAttentionSuiteKey": null
   },
   {
    "TestCaseId": "tc-witness-elicitation_sessions-is_single_witness_method",
    "TestKind": "witness-discriminates",
    "Subject": "ElicitationSessions.IsSingleWitnessMethod",
    "TargetTable": "ElicitationSessions",
    "TargetField": "IsSingleWitnessMethod",
    "Assertion": "Reads both TRUE and FALSE across the seed data, so it can distinguish cases.",
    "DefendsQuestion": "q-authority-stale-elicitation",
    "Suite": "suite-witness",
    "Severity": "advisory",
    "LastOutcome": "PASS",
    "LastDetail": "2 true / 1 false",
    "LastRunAt": "2026-07-20T03:06:49+00:00",
    "SemanticTypeIri": "urn:effortless:pko-extension#TestCase",
    "Name": "witness-discriminates: ElicitationSessions.IsSingleWitnessMethod",
    "IsBlocking": false,
    "IsPassing": true,
    "IsFailing": false,
    "NeedsAttention": false,
    "PassingSuiteKey": "suite-witness",
    "NeedsAttentionSuiteKey": null
   },
   {
    "TestCaseId": "tc-witness-elicitation_sessions-practitioner_is_still_engaged",
    "TestKind": "witness-discriminates",
    "Subject": "ElicitationSessions.PractitionerIsStillEngaged",
    "TargetTable": "ElicitationSessions",
    "TargetField": "PractitionerIsStillEngaged",
    "Assertion": "Reads both TRUE and FALSE across the seed data, so it can distinguish cases.",
    "DefendsQuestion": "q-authority-stale-elicitation",
    "Suite": "suite-witness",
    "Severity": "advisory",
    "LastOutcome": "WARN",
    "LastDetail": "always true (3/3)",
    "LastRunAt": "2026-07-20T03:06:49+00:00",
    "SemanticTypeIri": "urn:effortless:pko-extension#TestCase",
    "Name": "witness-discriminates: ElicitationSessions.PractitionerIsStillEngaged",
    "IsBlocking": false,
    "IsPassing": false,
    "IsFailing": false,
    "NeedsAttention": false,
    "PassingSuiteKey": null,
    "NeedsAttentionSuiteKey": null
   },
   {
    "TestCaseId": "tc-witness-elicitation_sessions-is_high_yield_session",
    "TestKind": "witness-discriminates",
    "Subject": "ElicitationSessions.IsHighYieldSession",
    "TargetTable": "ElicitationSessions",
    "TargetField": "IsHighYieldSession",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ElicitationSessions.IsHighYieldSession",
    "IsBlocking": false,
    "IsPassing": true,
    "IsFailing": false,
    "NeedsAttention": false,
    "PassingSuiteKey": "suite-witness",
    "NeedsAttentionSuiteKey": null
   },
   {
    "TestCaseId": "tc-witness-elicitation_sessions-is_concentrated_single_witness",
    "TestKind": "witness-discriminates",
    "Subject": "ElicitationSessions.IsConcentratedSingleWitness",
    "TargetTable": "ElicitationSessions",
    "TargetField": "IsConcentratedSingleWitness",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ElicitationSessions.IsConcentratedSingleWitness",
    "IsBlocking": false,
    "IsPassing": true,
    "IsFailing": false,
    "NeedsAttention": false,
    "PassingSuiteKey": "suite-witness",
    "NeedsAttentionSuiteKey": null
   },
   {
    "TestCaseId": "tc-witness-elicitation_sessions-is_stale_concentrated_witness",
    "TestKind": "witness-discriminates",
    "Subject": "ElicitationSessions.IsStaleConcentratedWitness",
    "TargetTable": "ElicitationSessions",
    "TargetField": "IsStaleConcentratedWitness",
    "Assertion": "Reads both TRUE and FALSE across the seed data, so it can distinguish cases.",
    "DefendsQuestion": "q2-authority-elicitation-method-monoculture",
    "Suite": "suite-witness",
    "Severity": "advisory",
    "LastOutcome": "WARN",
    "LastDetail": "never true (3/3 false)",
    "LastRunAt": "2026-07-20T03:06:49+00:00",
    "SemanticTypeIri": "urn:effortless:pko-extension#TestCase",
    "Name": "witness-discriminates: ElicitationSessions.IsStaleConcentratedWitness",
    "IsBlocking": false,
    "IsPassing": false,
    "IsFailing": false,
    "NeedsAttention": false,
    "PassingSuiteKey": null,
    "NeedsAttentionSuiteKey": null
   },
   {
    "TestCaseId": "tc-witness-knowledge_fragments-is_currently_valid",
    "TestKind": "witness-discriminates",
    "Subject": "KnowledgeFragments.IsCurrentlyValid",
    "TargetTable": "KnowledgeFragments",
    "TargetField": "IsCurrentlyValid",
    "Assertion": "Reads both TRUE and FALSE across the seed data, so it can distinguish cases.",
    "DefendsQuestion": null,
    "Suite": "suite-witness",
    "Severity": "advisory",
    "LastOutcome": "PASS",
    "LastDetail": "6 true / 1 false",
    "LastRunAt": "2026-07-20T03:06:49+00:00",
    "SemanticTypeIri": "urn:effortless:pko-extension#TestCase",
    "Name": "witness-discriminates: KnowledgeFragments.IsCurrentlyValid",
    "IsBlocking": false,
    "IsPassing": true,
    "IsFailing": false,
    "NeedsAttention": false,
    "PassingSuiteKey": "suite-witness",
    "NeedsAttentionSuiteKey": null
   },
   {
    "TestCaseId": "tc-witness-knowledge_fragments-source_agent_is_still_engaged",
    "TestKind": "witness-discriminates",
    "Subject": "KnowledgeFragments.SourceAgentIsStillEngaged",
    "TargetTable": "KnowledgeFragments",
    "TargetField": "SourceAgentIsStillEngaged",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KnowledgeFragments.SourceAgentIsStillEngaged",
    "IsBlocking": false,
    "IsPassing": false,
    "IsFailing": false,
    "NeedsAttention": false,
    "PassingSuiteKey": null,
    "NeedsAttentionSuiteKey": null
   },
   {
    "TestCaseId": "tc-witness-knowledge_fragments-has_human_source",
    "TestKind": "witness-discriminates",
    "Subject": "KnowledgeFragments.HasHumanSource",
    "TargetTable": "KnowledgeFragments",
    "TargetField": "HasHumanSource",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KnowledgeFragments.HasHumanSource",
    "IsBlocking": false,
    "IsPassing": false,
    "IsFailing": false,
    "NeedsAttention": false,
    "PassingSuiteKey": null,
    "NeedsAttentionSuiteKey": null
   },
   {
    "TestCaseId": "tc-witness-knowledge_fragments-has_orphaned_provenance",
    "TestKind": "witness-discriminates",
    "Subject": "KnowledgeFragments.HasOrphanedProvenance",
    "TargetTable": "KnowledgeFragments",
    "TargetField": "HasOrphanedProvenance",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KnowledgeFragments.HasOrphanedProvenance",
    "IsBlocking": false,
    "IsPassing": false,
    "IsFailing": false,
    "NeedsAttention": false,
    "PassingSuiteKey": null,
    "NeedsAttentionSuiteKey": null
   },
   {
    "TestCaseId": "tc-witness-knowledge_fragments-is_undefendable_tacit_claim",
    "TestKind": "witness-discriminates",
    "Subject": "KnowledgeFragments.IsUndefendableTacitClaim",
    "TargetTable": "KnowledgeFragments",
    "TargetField": "IsUndefendableTacitClaim",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KnowledgeFragments.IsUndefendableTacitClaim",
    "IsBlocking": false,
    "IsPassing": false,
    "IsFailing": false,
    "NeedsAttention": false,
    "PassingSuiteKey": null,
    "NeedsAttentionSuiteKey": null
   },
   {
    "TestCaseId": "tc-witness-knowledge_fragments-is_approved",
    "TestKind": "witness-discriminates",
    "Subject": "KnowledgeFragments.IsApproved",
    "TargetTable": "KnowledgeFragments",
    "TargetField": "IsApproved",
    "Assertion": "Reads both TRUE and FALSE across the seed data, so it can distinguish cases.",
    "DefendsQuestion": "q-authority-non-approved-dependency",
    "Suite": "suite-witness",
    "Severity": "advisory",
    "LastOutcome": "PASS",
    "LastDetail": "6 true / 1 false",
    "LastRunAt": "2026-07-20T03:06:49+00:00",
    "SemanticTypeIri": "urn:effortless:pko-extension#TestCase",
    "Name": "witness-discriminates: KnowledgeFragments.IsApproved",
    "IsBlocking": false,
    "IsPassing": true,
    "IsFailing": false,
    "NeedsAttention": false,
    "PassingSuiteKey": "suite-witness",
    "NeedsAttentionSuiteKey": null
   },
   {
    "TestCaseId": "tc-witness-knowledge_fragments-is_within_validity_window",
    "TestKind": "witness-discriminates",
    "Subject": "KnowledgeFragments.IsWithinValidityWindow",
    "TargetTable": "KnowledgeFragments",
    "TargetField": "IsWithinValidityWindow",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KnowledgeFragments.IsWithinValidityWindow",
    "IsBlocking": false,
    "IsPassing": false,
    "IsFailing": false,
    "NeedsAttention": false,
    "PassingSuiteKey": null,
    "NeedsAttentionSuiteKey": null
   },
   {
    "TestCaseId": "tc-witness-knowledge_fragments-is_relied_upon",
    "TestKind": "witness-discriminates",
    "Subject": "KnowledgeFragments.IsReliedUpon",
    "TargetTable": "KnowledgeFragments",
    "TargetField": "IsReliedUpon",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KnowledgeFragments.IsReliedUpon",
    "IsBlocking": false,
    "IsPassing": false,
    "IsFailing": false,
    "NeedsAttention": false,
    "PassingSuiteKey": null,
    "NeedsAttentionSuiteKey": null
   },
   {
    "TestCaseId": "tc-witness-knowledge_fragments-is_attached_to_live_version",
    "TestKind": "witness-discriminates",
    "Subject": "KnowledgeFragments.IsAttachedToLiveVersion",
    "TargetTable": "KnowledgeFragments",
    "TargetField": "IsAttachedToLiveVersion",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KnowledgeFragments.IsAttachedToLiveVersion",
    "IsBlocking": false,
    "IsPassing": false,
    "IsFailing": false,
    "NeedsAttention": false,
    "PassingSuiteKey": null,
    "NeedsAttentionSuiteKey": null
   },
   {
    "TestCaseId": "tc-witness-knowledge_fragments-is_unapproved_but_relied_on",
    "TestKind": "witness-discriminates",
    "Subject": "KnowledgeFragments.IsUnapprovedButReliedOn",
    "TargetTable": "KnowledgeFragments",
    "TargetField": "IsUnapprovedButReliedOn",
    "Assertion": "Reads both TRUE and FALSE across the seed data, so it can distinguish cases.",
    "DefendsQuestion": "q-authority-non-approved-dependency",
    "Suite": "suite-witness",
    "Severity": "advisory",
    "LastOutcome": "PASS",
    "LastDetail": "1 true / 6 false",
    "LastRunAt": "2026-07-20T03:06:49+00:00",
    "SemanticTypeIri": "urn:effortless:pko-extension#TestCase",
    "Name": "witness-discriminates: KnowledgeFragments.IsUnapprovedButReliedOn",
    "IsBlocking": false,
    "IsPassing": true,
    "IsFailing": false,
    "NeedsAttention": false,
    "PassingSuiteKey": "suite-witness",
    "NeedsAttentionSuiteKey": null
   },
   {
    "TestCaseId": "tc-witness-knowledge_fragments-has_recorded_elicitation",
    "TestKind": "witness-discriminates",
    "S</t>
  </si>
  <si>
    <t xml:space="preserve">ubject": "KnowledgeFragments.HasRecordedElicitation",
    "TargetTable": "KnowledgeFragments",
    "TargetField": "HasRecordedElicitation",
    "Assertion": "Reads both TRUE and FALSE across the seed data, so it can distinguish cases.",
    "DefendsQuestion": "q-authority-stale-elicitation",
    "Suite": "suite-witness",
    "Severity": "advisory",
    "LastOutcome": "PASS",
    "LastDetail": "6 true / 1 false",
    "LastRunAt": "2026-07-20T03:06:49+00:00",
    "SemanticTypeIri": "urn:effortless:pko-extension#TestCase",
    "Name": "witness-discriminates: KnowledgeFragments.HasRecordedElicitation",
    "IsBlocking": false,
    "IsPassing": true,
    "IsFailing": false,
    "NeedsAttention": false,
    "PassingSuiteKey": "suite-witness",
    "NeedsAttentionSuiteKey": null
   },
   {
    "TestCaseId": "tc-witness-knowledge_fragments-is_from_single_witness",
    "TestKind": "witness-discriminates",
    "Subject": "KnowledgeFragments.IsFromSingleWitness",
    "TargetTable": "KnowledgeFragments",
    "TargetField": "IsFromSingleWitness",
    "Assertion": "Reads both TRUE and FALSE across the seed data, so it can distinguish cases.",
    "DefendsQuestion": "q-authority-stale-elicitation",
    "Suite": "suite-witness",
    "Severity": "advisory",
    "LastOutcome": "PASS",
    "LastDetail": "4 true / 2 false",
    "LastRunAt": "2026-07-20T03:06:49+00:00",
    "SemanticTypeIri": "urn:effortless:pko-extension#TestCase",
    "Name": "witness-discriminates: KnowledgeFragments.IsFromSingleWitness",
    "IsBlocking": false,
    "IsPassing": true,
    "IsFailing": false,
    "NeedsAttention": false,
    "PassingSuiteKey": "suite-witness",
    "NeedsAttentionSuiteKey": null
   },
   {
    "TestCaseId": "tc-witness-knowledge_fragments-evidence_has_expired",
    "TestKind": "witness-discriminates",
    "Subject": "KnowledgeFragments.EvidenceHasExpired",
    "TargetTable": "KnowledgeFragments",
    "TargetField": "EvidenceHasExpired",
    "Assertion": "Reads both TRUE and FALSE across the seed data, so it can distinguish cases.",
    "DefendsQuestion": "q-authority-stale-elicitation",
    "Suite": "suite-witness",
    "Severity": "advisory",
    "LastOutcome": "WARN",
    "LastDetail": "never true (7/7 false)",
    "LastRunAt": "2026-07-20T03:06:49+00:00",
    "SemanticTypeIri": "urn:effortless:pko-extension#TestCase",
    "Name": "witness-discriminates: KnowledgeFragments.EvidenceHasExpired",
    "IsBlocking": false,
    "IsPassing": false,
    "IsFailing": false,
    "NeedsAttention": false,
    "PassingSuiteKey": null,
    "NeedsAttentionSuiteKey": null
   },
   {
    "TestCaseId": "tc-witness-knowledge_fragments-is_awaiting_approval",
    "TestKind": "witness-discriminates",
    "Subject": "KnowledgeFragments.IsAwaitingApproval",
    "TargetTable": "KnowledgeFragments",
    "TargetField": "IsAwaitingApproval",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KnowledgeFragments.IsAwaitingApproval",
    "IsBlocking": false,
    "IsPassing": true,
    "IsFailing": false,
    "NeedsAttention": false,
    "PassingSuiteKey": "suite-witness",
    "NeedsAttentionSuiteKey": null
   },
   {
    "TestCaseId": "tc-witness-knowledge_fragments-owner_is_me",
    "TestKind": "witness-discriminates",
    "Subject": "KnowledgeFragments.OwnerIsMe",
    "TargetTable": "KnowledgeFragments",
    "TargetField": "OwnerIsMe",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KnowledgeFragments.OwnerIsMe",
    "IsBlocking": false,
    "IsPassing": true,
    "IsFailing": false,
    "NeedsAttention": false,
    "PassingSuiteKey": "suite-witness",
    "NeedsAttentionSuiteKey": null
   },
   {
    "TestCaseId": "tc-witness-knowledge_fragments-is_my_unfinished_approval",
    "TestKind": "witness-discriminates",
    "Subject": "KnowledgeFragments.IsMyUnfinishedApproval",
    "TargetTable": "KnowledgeFragments",
    "TargetField": "IsMyUnfinishedApproval",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KnowledgeFragments.IsMyUnfinishedApproval",
    "IsBlocking": false,
    "IsPassing": true,
    "IsFailing": false,
    "NeedsAttention": false,
    "PassingSuiteKey": "suite-witness",
    "NeedsAttentionSuiteKey": null
   },
   {
    "TestCaseId": "tc-witness-knowledge_fragments-has_operational_reliance",
    "TestKind": "witness-discriminates",
    "Subject": "KnowledgeFragments.HasOperationalReliance",
    "TargetTable": "KnowledgeFragments",
    "TargetField": "HasOperationalReliance",
    "Assertion": "Reads both TRUE and FALSE across the seed data, so it can distinguish cases.",
    "DefendsQuestion": "q-hr-unapproved-knowledge-in-my-name",
    "Suite": "suite-witness",
    "Severity": "advisory",
    "LastOutcome": "PASS",
    "LastDetail": "2 true / 5 false",
    "LastRunAt": "2026-07-20T03:06:49+00:00",
    "SemanticTypeIri": "urn:effortless:pko-extension#TestCase",
    "Name": "witness-discriminates: KnowledgeFragments.HasOperationalReliance",
    "IsBlocking": false,
    "IsPassing": true,
    "IsFailing": false,
    "NeedsAttention": false,
    "PassingSuiteKey": "suite-witness",
    "NeedsAttentionSuiteKey": null
   },
   {
    "TestCaseId": "tc-witness-knowledge_fragments-is_unapproved_and_operationally_live",
    "TestKind": "witness-discriminates",
    "Subject": "KnowledgeFragments.IsUnapprovedAndOperationallyLive",
    "TargetTable": "KnowledgeFragments",
    "TargetField": "IsUnapprovedAndOperationallyLive",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KnowledgeFragments.IsUnapprovedAndOperationallyLive",
    "IsBlocking": false,
    "IsPassing": true,
    "IsFailing": false,
    "NeedsAttention": false,
    "PassingSuiteKey": "suite-witness",
    "NeedsAttentionSuiteKey": null
   },
   {
    "TestCaseId": "tc-witness-knowledge_fragments-is_low_confidence",
    "TestKind": "witness-discriminates",
    "Subject": "KnowledgeFragments.IsLowConfidence",
    "TargetTable": "KnowledgeFragments",
    "TargetField": "IsLowConfidence",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KnowledgeFragments.IsLowConfidence",
    "IsBlocking": false,
    "IsPassing": true,
    "IsFailing": false,
    "NeedsAttention": false,
    "PassingSuiteKey": "suite-witness",
    "NeedsAttentionSuiteKey": null
   },
   {
    "TestCaseId": "tc-witness-knowledge_fragments-exceeds_owning_cadence",
    "TestKind": "witness-discriminates",
    "Subject": "KnowledgeFragments.ExceedsOwningCadence",
    "TargetTable": "KnowledgeFragments",
    "TargetField": "ExceedsOwningCadence",
    "Assertion": "Reads both TRUE and FALSE across the seed data, so it can distinguish cases.",
    "DefendsQuestion": "q-hr-policy-knowledge-half-life",
    "Suite": "suite-witness",
    "Severity": "advisory",
    "LastOutcome": "WARN",
    "LastDetail": "always true (7/7)",
    "LastRunAt": "2026-07-20T03:06:49+00:00",
    "SemanticTypeIri": "urn:effortless:pko-extension#TestCase",
    "Name": "witness-discriminates: KnowledgeFragments.ExceedsOwningCadence",
    "IsBlocking": false,
    "IsPassing": false,
    "IsFailing": false,
    "NeedsAttention": false,
    "PassingSuiteKey": null,
    "NeedsAttentionSuiteKey": null
   },
   {
    "TestCaseId": "tc-witness-knowledge_fragments-is_aging_low_confidence_claim",
    "TestKind": "witness-discriminates",
    "Subject": "KnowledgeFragments.IsAgingLowConfidenceClaim",
    "TargetTable": "KnowledgeFragments",
    "TargetField": "IsAgingLowConfidenceClaim",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KnowledgeFragments.IsAgingLowConfidenceClaim",
    "IsBlocking": false,
    "IsPassing": true,
    "IsFailing": false,
    "NeedsAttention": false,
    "PassingSuiteKey": "suite-witness",
    "NeedsAttentionSuiteKey": null
   },
   {
    "TestCaseId": "tc-witness-knowledge_fragments-is_human_owned",
    "TestKind": "witness-discriminates",
    "Subject": "KnowledgeFragments.IsHumanOwned",
    "TargetTable": "KnowledgeFragments",
    "TargetField": "IsHumanOwned",
    "Assertion": "Reads both TRUE and FALSE across the seed data, so it can distinguish cases.",
    "DefendsQuestion": "q-variance-ai-knowledge-currency",
    "Suite": "suite-witness",
    "Severity": "advisory",
    "LastOutcome": "WARN",
    "LastDetail": "always true (7/7)",
    "LastRunAt": "2026-07-20T03:06:49+00:00",
    "SemanticTypeIri": "urn:effortless:pko-extension#TestCase",
    "Name": "witness-discriminates: KnowledgeFragments.IsHumanOwned",
    "IsBlocking": false,
    "IsPassing": false,
    "IsFailing": false,
    "NeedsAttention": false,
    "PassingSuiteKey": null,
    "NeedsAttentionSuiteKey": null
   },
   {
    "TestCaseId": "tc-witness-knowledge_fragments-is_ai_validated_by_ai",
    "TestKind": "witness-discriminates",
    "Subject": "KnowledgeFragments.IsAiValidatedByAi",
    "TargetTable": "KnowledgeFragments",
    "TargetField": "IsAiValidatedByAi",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KnowledgeFragments.IsAiValidatedByAi",
    "IsBlocking": false,
    "IsPassing": false,
    "IsFailing": false,
    "NeedsAttention": false,
    "PassingSuiteKey": null,
    "NeedsAttentionSuiteKey": null
   },
   {
    "TestCaseId": "tc-witness-knowledge_fragments-is_overdue_for_review",
    "TestKind": "witness-discriminates",
    "Subject": "KnowledgeFragments.IsOverdueForReview",
    "TargetTable": "KnowledgeFragments",
    "TargetField": "IsOverdueForReview",
    "Assertion": "Reads both TRUE and FALSE across the seed data, so it can distinguish cases.",
    "DefendsQuestion": "q-variance-ai-knowledge-currency",
    "Suite": "suite-witness",
    "Severity": "advisory",
    "LastOutcome": "PASS",
    "LastDetail": "6 true / 1 false",
    "LastRunAt": "2026-07-20T03:06:49+00:00",
    "SemanticTypeIri": "urn:effortless:pko-extension#TestCase",
    "Name": "witness-discriminates: KnowledgeFragments.IsOverdueForReview",
    "IsBlocking": false,
    "IsPassing": true,
    "IsFailing": false,
    "NeedsAttention": false,
    "PassingSuiteKey": "suite-witness",
    "NeedsAttentionSuiteKey": null
   },
   {
    "TestCaseId": "tc-witness-knowledge_fragments-predates_current_role_holder",
    "TestKind": "witness-discriminates",
    "Subject": "KnowledgeFragments.PredatesCurrentRoleHolder",
    "TargetTable": "KnowledgeFragments",
    "TargetField": "PredatesCurrentRoleHolder",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KnowledgeFragments.PredatesCurrentRoleHolder",
    "IsBlocking": false,
    "IsPassing": false,
    "IsFailing": false,
    "NeedsAttention": false,
    "PassingSuiteKey": null,
    "NeedsAttentionSuiteKey": null
   },
   {
    "TestCaseId": "tc-witness-knowledge_fragments-is_compound_fragile",
    "TestKind": "witness-discriminates",
    "Subject": "KnowledgeFragments.IsCompoundFragile",
    "TargetTable": "KnowledgeFragments",
    "TargetField": "IsCompoundFragile",
    "Assertion": "Reads both TRUE and FALSE across the seed data, so it can distinguish cases.",
    "DefendsQuestion": "q2-authority-compound-fragility",
    "Suite": "suite-witness",
    "Severity": "advisory",
    "LastOutcome": "PASS",
    "LastDetail": "1 true / 6 false",
    "LastRunAt": "2026-07-20T03:06:49+00:00",
    "SemanticTypeIri": "urn:effortless:pko-extension#TestCase",
    "Name": "witness-discriminates: KnowledgeFragments.IsCompoundFragile",
    "IsBlocking": false,
    "IsPassing": true,
    "IsFailing": false,
    "NeedsAttention": false,
    "PassingSuiteKey": "suite-witness",
    "NeedsAttentionSuiteKey": null
   },
   {
    "TestCaseId": "tc-witness-knowledge_fragments-is_single_point_of_failure",
    "TestKind": "witness-discriminates",
    "Subject": "KnowledgeFragments.IsSinglePointOfFailure",
    "TargetTable": "KnowledgeFragments",
    "TargetField": "IsSinglePointOfFailure",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KnowledgeFragments.IsSinglePointOfFailure",
    "IsBlocking": false,
    "IsPassing": false,
    "IsFailing": false,
    "NeedsAttention": false,
    "PassingSuiteKey": null,
    "NeedsAttentionSuiteKey": null
   },
   {
    "TestCaseId": "tc-witness-knowledge_fragments-is_expiring_single_point_of_failure",
    "TestKind": "witness-discriminates",
    "Subject": "KnowledgeFragments.IsExpiringSinglePointOfFailure",
    "TargetTable": "KnowledgeFragments",
    "TargetField": "IsExpiringSinglePointOfFailure",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KnowledgeFragments.IsExpiringSinglePointOfFailure",
    "IsBlocking": false,
    "IsPassing": false,
    "IsFailing": false,
    "NeedsAttention": false,
    "PassingSuiteKey": null,
    "NeedsAttentionSuiteKey": null
   },
   {
    "TestCaseId": "tc-witness-knowledge_fragments-consuming_step_is_software_assigned",
    "TestKind": "witness-discriminates",
    "Subject": "KnowledgeFragments.ConsumingStepIsSoftwareAssigned",
    "TargetTable": "KnowledgeFragments",
    "TargetField": "ConsumingStepIsSoftwareAssigned",
    "Assertion": "Reads both TRUE and FALSE across the seed data, so it can distinguish cases.",
    "DefendsQuestion": "q2-authority-unapproved-knowledge-reaching-machines",
    "Suite": "suite-witness",
    "Severity": "advisory",
    "LastOutcome": "PASS",
    "LastDetail": "6 true / 1 false",
    "LastRunAt": "2026-07-20T03:06:49+00:00",
    "SemanticTypeIri": "urn:effortless:pko-extension#TestCase",
    "Name": "witness-discriminates: KnowledgeFragments.ConsumingStepIsSoftwareAssigned",
    "IsBlocking": false,
    "IsPassing": true,
    "IsFailing": false,
    "NeedsAttention": false,
    "PassingSuiteKey": "suite-witness",
    "NeedsAttentionSuiteKey": null
   },
   {
    "TestCaseId": "tc-witness-knowledge_fragments-is_unapproved_and_machine_consumed",
    "TestKind": "witness-discriminates",
    "Subject": "KnowledgeFragments.IsUnapprovedAndMachineConsumed",
    "TargetTable": "KnowledgeFragments",
    "TargetField": "IsUnapprovedAndMachineConsumed",
    "Assertion": "Reads both TRUE and FALSE across the seed data, so it can distinguish cases.",
    "DefendsQuestion": "q2-authority-unapproved-knowledge-reaching-machines",
    "Suite": "suite-witness",
    "Severity": "advisory",
    "LastOutcome": "PASS",
    "LastDetail": "1 true / 6 false",
    "LastRunAt": "2026-07-20T03:06:49+00:00",
    "SemanticTypeIri": "urn:effortless:pko-extension#TestCase",
    "Name": "witness-discriminates: KnowledgeFragments.IsUnapprovedAndMachineConsumed",
    "IsBlocking": false,
    "IsPassing": true,
    "IsFailing": false,
    "NeedsAttention": false,
    "PassingSuiteKey": "suite-witness",
    "NeedsAttentionSuiteKey": null
   },
   {
    "TestCaseId": "tc-witness-knowledge_fragments-is_unapproved_and_human_consumed",
    "TestKind": "witness-discriminates",
    "Subject": "KnowledgeFragments.IsUnapprovedAndHumanConsumed",
    "TargetTable": "KnowledgeFragments",
    "TargetField": "IsUnapprovedAndHumanConsumed",
    "Assertion": "Reads both TRUE and FALSE across the seed data, so it can distinguish cases.",
    "DefendsQuestion": "q2-authority-unapproved-knowledge-reaching-machines",
    "Suite": "suite-witness",
    "Severity": "advisory",
    "LastOutcome": "WARN",
    "LastDetail": "never true (7/7 false)",
    "LastRunAt": "2026-07-20T03:06:49+00:00",
    "SemanticTypeIri": "urn:effortless:pko-extension#TestCase",
    "Name": "witness-discriminates: KnowledgeFragments.IsUnapprovedAndHumanConsumed",
    "IsBlocking": false,
    "IsPassing": false,
    "IsFailing": false,
    "NeedsAttention": false,
    "PassingSuiteKey": null,
    "NeedsAttentionSuiteKey": null
   },
   {
    "TestCaseId": "tc-witness-knowledge_fragments-has_review_record",
    "TestKind": "witness-discriminates",
    "Subject": "KnowledgeFragments.HasReviewRecord",
    "TargetTable": "KnowledgeFragments",
    "TargetField": "HasReviewRecord",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KnowledgeFragments.HasReviewRecord",
    "IsBlocking": false,
    "IsPassing": true,
    "IsFailing": false,
    "NeedsAttention": false,
    "PassingSuiteKey": "suite-witness",
    "NeedsAttentionSuiteKey": null
   },
   {
    "TestCaseId": "tc-witness-knowledge_fragments-is_unreviewed_since_authoring",
    "TestKind": "witness-discriminates",
    "Subject": "KnowledgeFragments.IsUnreviewedSinceAuthoring",
    "TargetTable": "KnowledgeFragments",
    "TargetField": "IsUnreviewedSinceAuthoring",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KnowledgeFragments.IsUnreviewedSinceAuthoring",
    "IsBlocking": false,
    "IsPassing": true,
    "IsFailing": false,
    "NeedsAttention": false,
    "PassingSuiteKey": "suite-witness",
    "NeedsAttentionSuiteKey": null
   },
   {
    "TestCaseId": "tc-witness-knowledge_fragments-is_genuinely_overdue",
    "TestKind": "witness-discriminates",
    "Subject": "KnowledgeFragments.IsGenuinelyOverdue",
    "TargetTable": "KnowledgeFragments",
    "TargetField": "IsGenuinelyOverdue",
    "Assertion": "Reads both TRUE and FALSE across the seed data, so it can distinguish cases.",
    "DefendsQuestion": "q2-authority-review-date-is-inferred-not-recorded",
    "Suite": "suite-witness",
    "Severity": "advisory",
    "LastOutcome": "WARN",
    "LastDetail": "never true (7/7 false)",
    "LastRunAt": "2026-07-20T03:06:49+00:00",
    "SemanticTypeIri": "urn:effortless:pko-extension#TestCase",
    "Name": "witness-discriminates: KnowledgeFragments.IsGenuinelyOverdue",
    "IsBlocking": false,
    "IsPassing": false,
    "IsFailing": false,
    "NeedsAttention": false,
    "PassingSuiteKey": null,
    "NeedsAttentionSuiteKey": null
   },
   {
    "TestCaseId": "tc-witness-knowledge_fragments-review_recency_is_inferred",
    "TestKind": "witness-discriminates",
    "Subject": "KnowledgeFragments.ReviewRecencyIsInferred",
    "TargetTable": "KnowledgeFragments",
    "TargetField": "ReviewRecencyIsInferred",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KnowledgeFragments.ReviewRecencyIsInferred",
    "IsBlocking": false,
    "IsPassing": true,
    "IsFailing": false,
    "NeedsAttention": false,
    "PassingSuiteKey": "suite-witness",
    "NeedsAttentionSuiteKey": null
   },
   {
    "TestCaseId": "tc-witness-knowledge_fragments-inference_disagrees_with_record",
    "TestKind": "witness-discriminates",
    "Subject": "KnowledgeFragments.InferenceDisagreesWithRecord",
    "TargetTable": "KnowledgeFragments",
    "TargetField": "InferenceDisagreesWithRecord",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KnowledgeFragments.InferenceDisagreesWithRecord",
    "IsBlocking": false,
    "IsPassing": true,
    "IsFailing": false,
    "NeedsAttention": false,
    "PassingSuiteKey": "suite-witness",
    "NeedsAttentionSuiteKey": null
   },
   {
    "TestCaseId": "tc-witness-knowledge_fragments-is_high_blast_radius_unapproved",
    "TestKind": "witness-discriminates",
    "Subject": "KnowledgeFragments.IsHighBlastRadiusUnapproved",
    "TargetTable": "KnowledgeFragments",
    "TargetField": "IsHighBlastRadiusUnapproved",
    "Assertion": "Reads both TRUE and FALSE across the seed data, so it can distinguish cases.",
    "DefendsQuestion": "q2-hr-my-unapproved-claim-is-load-bearing",
    "Suite": "suite-witness",
    "Severity": "advisory",
    "LastOutcome": "WARN",
    "LastDetail": "never true (7/7 false)",
    "LastRunAt": "2026-07-20T03:06:49+00:00",
    "SemanticTypeIri": "urn:effortless:pko-extension#TestCase",
    "Name": "witness-discriminates: KnowledgeFragments.IsHighBlastRadiusUnapproved",
    "IsBlocking": false,
    "IsPassing": false,
    "IsFailing": false,
    "NeedsAttention": false,
    "PassingSuiteKey": null,
    "NeedsAttentionSuiteKey": null
   },
   {
    "TestCaseId": "tc-witness-knowledge_fragments-is_long_unapproved",
    "TestKind": "witness-discriminates",
    "Subject": "KnowledgeFragments.IsLongUnapproved",
    "TargetTable": "KnowledgeFragments",
    "TargetField": "IsLongUnapproved",
    "Assertion": "Reads both TRUE and FALSE across the seed data, so it can distinguish cases.",
    "DefendsQuestion": "q2-hr-my-unapproved-claim-is-load-bearing",
    "Suite": "suite-witness",
    "Severity": "advisory",
    "LastOutcome": "PASS",
    "LastDetail": "1 true / 6 false",
    "LastRunAt": "2026-07-20T03:06:49+00:00",
    "SemanticTypeIri": "urn:effortless:pko-extension#TestCase",
    "Name": "witness-discriminates: KnowledgeFragments.IsLongUnapproved",
    "IsBlocking": false,
    "IsPassing": true,
    "IsFailing": false,
    "NeedsAttention": false,
    "PassingSuiteKey": "suite-witness",
    "NeedsAttentionSuiteKey": null
   },
   {
    "TestCaseId": "tc-witness-knowledge_fragments-owner_role_is_vacated",
    "TestKind": "witness-discriminates",
    "Subject": "KnowledgeFragments.OwnerRoleIsVacated",
    "TargetTable": "KnowledgeFragments",
    "TargetField": "OwnerRoleIsVacated",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KnowledgeFragments.OwnerRoleIsVacated",
    "IsBlocking": false,
    "IsPassing": false,
    "IsFailing": false,
    "NeedsAttention": false,
    "PassingSuiteKey": null,
    "NeedsAttentionSuiteKey": null
   },
   {
    "TestCaseId": "tc-witness-knowledge_fragments-is_orphaned_by_role",
    "TestKind": "witness-discriminates",
    "Subject": "KnowledgeFragments.IsOrphanedByRole",
    "TargetTable": "KnowledgeFragments",
    "TargetField": "IsOrphanedByRole",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KnowledgeFragments.IsOrphanedByRole",
    "IsBlocking": false,
    "IsPassing": false,
    "IsFailing": false,
    "NeedsAttention": false,
    "PassingSuiteKey": null,
    "NeedsAttentionSuiteKey": null
   },
   {
    "TestCaseId": "tc-witness-knowledge_gaps-is_open",
    "TestKind": "witness-discriminates",
    "Subject": "KnowledgeGaps.IsOpen",
    "TargetTable": "KnowledgeGaps",
    "TargetField": "IsOpen",
    "Assertion": "Reads both TRUE and FALSE across the seed data, so it can distinguish cases.",
    "DefendsQuestion": null,
    "Suite": "suite-witness",
    "Severity": "advisory",
    "LastOutcome": "PASS",
    "LastDetail": "1 true / 7 false",
    "LastRunAt": "2026-07-20T03:06:49+00:00",
    "SemanticTypeIri": "urn:effortless:pko-extension#TestCase",
    "Name": "witness-discriminates: KnowledgeGaps.IsOpen",
    "IsBlocking": false,
    "IsPassing": true,
    "IsFailing": false,
    "NeedsAttention": false,
    "PassingSuiteKey": "suite-witness",
    "NeedsAttentionSuiteKey": null
   },
   {
    "TestCaseId": "tc-witness-knowledge_gaps-is_blocking",
    "TestKind": "witness-discriminates",
    "Subject": "KnowledgeGaps.IsBlocking",
    "TargetTable": "KnowledgeGaps",
    "TargetField": "IsBlocking",
    "Assertion": "Reads both TRUE and FALSE across the seed data, so it can distinguish cases.",
    "DefendsQuestion": "q-steward-published-with-blocking-gap",
    "Suite": "suite-witness",
    "Severity": "advisory",
    "LastOutcome": "PASS",
    "LastDetail": "5 true / 3 false",
    "LastRunAt": "2026-07-20T03:06:49+00:00",
    "SemanticTypeIri": "urn:effortless:pko-extension#TestCase",
    "Name": "witness-discriminates: KnowledgeGaps.IsBlocking",
    "IsBlocking": false,
    "IsPassing": true,
    "IsFailing": false,
    "NeedsAttention": false,
    "PassingSuiteKey": "suite-witness",
    "NeedsAttentionSuiteKey": null
   },
   {
    "TestCaseId": "tc-witness-knowledge_gaps-is_open_and_blocking",
    "TestKind": "witness-discriminates",
    "Subject": "KnowledgeGaps.IsOpenAndBlocking",
    "TargetTable": "KnowledgeGaps",
    "TargetField": "IsOpenAndBlocking",
    "Assertion": "Reads both TRUE and FALSE across the seed data, so it can distinguish cases.",
    "DefendsQuestion": "q-steward-published-with-blocking-gap",
    "Suite": "suite-witness",
    "Severity": "advisory",
    "LastOutcome": "WARN",
    "LastDetail": "never true (8/8 false)",
    "LastRunAt": "2026-07-20T03:06:49+00:00",
    "SemanticTypeIri": "urn:effortless:pko-extension#TestCase",
    "Name": "witness-discriminates: KnowledgeGaps.IsOpenAndBlocking",
    "IsBlocking": false,
    "IsPassing": false,
    "IsFailing": false,
    "NeedsAttention": false,
    "PassingSuiteKey": null,
    "NeedsAttentionSuiteKey": null
   },
   {
    "TestCaseId": "tc-witness-knowledge_gaps-is_overdue_gap",
    "TestKind": "witness-discriminates",
    "Subject": "KnowledgeGaps.IsOverdueGap",
    "TargetTable": "KnowledgeGaps",
    "TargetField": "IsOverdueGap",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KnowledgeGaps.IsOverdueGap",
    "IsBlocking": false,
    "IsPassing": false,
    "IsFailing": false,
    "NeedsAttention": false,
    "PassingSuiteKey": null,
    "NeedsAttentionSuiteKey": null
   },
   {
    "TestCaseId": "tc-witness-knowledge_gaps-owner_is_still_engaged",
    "TestKind": "witness-discriminates",
    "Subject": "KnowledgeGaps.OwnerIsStillEngaged",
    "TargetTable": "KnowledgeGaps",
    "TargetField": "OwnerIsStillEngaged",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KnowledgeGaps.OwnerIsStillEngaged",
    "IsBlocking": false,
    "IsPassing": false,
    "IsFailing": false,
    "NeedsAttention": false,
    "PassingSuiteKey": null,
    "NeedsAttentionSuiteKey": null
   },
   {
    "TestCaseId": "tc-witness-knowledge_gaps-has_resolution_plan",
    "TestKind": "witness-discriminates",
    "Subject": "KnowledgeGaps.HasResolutionPlan",
    "TargetTable": "KnowledgeGaps",
    "TargetField": "HasResolutionPlan",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KnowledgeGaps.HasResolutionPlan",
    "IsBlocking": false,
    "IsPassing": false,
    "IsFailing": false,
    "NeedsAttention": false,
    "PassingSuiteKey": null,
    "NeedsAttentionSuiteKey": null
   },
   {
    "TestCaseId": "tc-witness-knowledge_gaps-is_abandoned_unknown",
    "TestKind": "witness</t>
  </si>
  <si>
    <t xml:space="preserve">-discriminates",
    "Subject": "KnowledgeGaps.IsAbandonedUnknown",
    "TargetTable": "KnowledgeGaps",
    "TargetField": "IsAbandonedUnknown",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KnowledgeGaps.IsAbandonedUnknown",
    "IsBlocking": false,
    "IsPassing": false,
    "IsFailing": false,
    "NeedsAttention": false,
    "PassingSuiteKey": null,
    "NeedsAttentionSuiteKey": null
   },
   {
    "TestCaseId": "tc-witness-knowledge_gaps-owner_role_is_vacated",
    "TestKind": "witness-discriminates",
    "Subject": "KnowledgeGaps.OwnerRoleIsVacated",
    "TargetTable": "KnowledgeGaps",
    "TargetField": "OwnerRoleIsVacated",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KnowledgeGaps.OwnerRoleIsVacated",
    "IsBlocking": false,
    "IsPassing": false,
    "IsFailing": false,
    "NeedsAttention": false,
    "PassingSuiteKey": null,
    "NeedsAttentionSuiteKey": null
   },
   {
    "TestCaseId": "tc-witness-knowledge_gaps-is_ownerless_open_gap",
    "TestKind": "witness-discriminates",
    "Subject": "KnowledgeGaps.IsOwnerlessOpenGap",
    "TargetTable": "KnowledgeGaps",
    "TargetField": "IsOwnerlessOpenGap",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KnowledgeGaps.IsOwnerlessOpenGap",
    "IsBlocking": false,
    "IsPassing": false,
    "IsFailing": false,
    "NeedsAttention": false,
    "PassingSuiteKey": null,
    "NeedsAttentionSuiteKey": null
   },
   {
    "TestCaseId": "tc-witness-procedure_executions-is_structurally_complete",
    "TestKind": "witness-discriminates",
    "Subject": "ProcedureExecutions.IsStructurallyComplete",
    "TargetTable": "ProcedureExecutions",
    "TargetField": "IsStructurallyComplete",
    "Assertion": "Reads both TRUE and FALSE across the seed data, so it can distinguish cases.",
    "DefendsQuestion": "q-controller-execution-diverged-from-spec",
    "Suite": "suite-witness",
    "Severity": "advisory",
    "LastOutcome": "PASS",
    "LastDetail": "1 true / 1 false",
    "LastRunAt": "2026-07-20T03:06:49+00:00",
    "SemanticTypeIri": "urn:effortless:pko-extension#TestCase",
    "Name": "witness-discriminates: ProcedureExecutions.IsStructurallyComplete",
    "IsBlocking": false,
    "IsPassing": true,
    "IsFailing": false,
    "NeedsAttention": false,
    "PassingSuiteKey": "suite-witness",
    "NeedsAttentionSuiteKey": null
   },
   {
    "TestCaseId": "tc-witness-procedure_executions-diverged_from_specification",
    "TestKind": "witness-discriminates",
    "Subject": "ProcedureExecutions.DivergedFromSpecification",
    "TargetTable": "ProcedureExecutions",
    "TargetField": "DivergedFromSpecification",
    "Assertion": "Reads both TRUE and FALSE across the seed data, so it can distinguish cases.",
    "DefendsQuestion": "q-controller-execution-diverged-from-spec",
    "Suite": "suite-witness",
    "Severity": "advisory",
    "LastOutcome": "WARN",
    "LastDetail": "always true (2/2)",
    "LastRunAt": "2026-07-20T03:06:49+00:00",
    "SemanticTypeIri": "urn:effortless:pko-extension#TestCase",
    "Name": "witness-discriminates: ProcedureExecutions.DivergedFromSpecification",
    "IsBlocking": false,
    "IsPassing": false,
    "IsFailing": false,
    "NeedsAttention": false,
    "PassingSuiteKey": null,
    "NeedsAttentionSuiteKey": null
   },
   {
    "TestCaseId": "tc-witness-procedure_executions-all_blocking_controls_evaluated",
    "TestKind": "witness-discriminates",
    "Subject": "ProcedureExecutions.AllBlockingControlsEvaluated",
    "TargetTable": "ProcedureExecutions",
    "TargetField": "AllBlockingControlsEvaluated",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ProcedureExecutions.AllBlockingControlsEvaluated",
    "IsBlocking": false,
    "IsPassing": false,
    "IsFailing": false,
    "NeedsAttention": false,
    "PassingSuiteKey": null,
    "NeedsAttentionSuiteKey": null
   },
   {
    "TestCaseId": "tc-witness-procedure_executions-separation_of_duties_held",
    "TestKind": "witness-discriminates",
    "Subject": "ProcedureExecutions.SeparationOfDutiesHeld",
    "TargetTable": "ProcedureExecutions",
    "TargetField": "SeparationOfDutiesHeld",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ProcedureExecutions.SeparationOfDutiesHeld",
    "IsBlocking": false,
    "IsPassing": false,
    "IsFailing": false,
    "NeedsAttention": false,
    "PassingSuiteKey": null,
    "NeedsAttentionSuiteKey": null
   },
   {
    "TestCaseId": "tc-witness-procedure_executions-is_attestation_ready",
    "TestKind": "witness-discriminates",
    "Subject": "ProcedureExecutions.IsAttestationReady",
    "TargetTable": "ProcedureExecutions",
    "TargetField": "IsAttestationReady",
    "Assertion": "Reads both TRUE and FALSE across the seed data, so it can distinguish cases.",
    "DefendsQuestion": "q-cfo-can-i-sign",
    "Suite": "suite-witness",
    "Severity": "advisory",
    "LastOutcome": "WARN",
    "LastDetail": "never true (2/2 false)",
    "LastRunAt": "2026-07-20T03:06:49+00:00",
    "SemanticTypeIri": "urn:effortless:pko-extension#TestCase",
    "Name": "witness-discriminates: ProcedureExecutions.IsAttestationReady",
    "IsBlocking": false,
    "IsPassing": false,
    "IsFailing": false,
    "NeedsAttention": false,
    "PassingSuiteKey": null,
    "NeedsAttentionSuiteKey": null
   },
   {
    "TestCaseId": "tc-witness-procedure_executions-executed_version_is_fit",
    "TestKind": "witness-discriminates",
    "Subject": "ProcedureExecutions.ExecutedVersionIsFit",
    "TargetTable": "ProcedureExecutions",
    "TargetField": "ExecutedVersionIsFit",
    "Assertion": "Reads both TRUE and FALSE across the seed data, so it can distinguish cases.",
    "DefendsQuestion": "q-cfo-approving-on-unfit-version",
    "Suite": "suite-witness",
    "Severity": "advisory",
    "LastOutcome": "WARN",
    "LastDetail": "never true (2/2 false)",
    "LastRunAt": "2026-07-20T03:06:49+00:00",
    "SemanticTypeIri": "urn:effortless:pko-extension#TestCase",
    "Name": "witness-discriminates: ProcedureExecutions.ExecutedVersionIsFit",
    "IsBlocking": false,
    "IsPassing": false,
    "IsFailing": false,
    "NeedsAttention": false,
    "PassingSuiteKey": null,
    "NeedsAttentionSuiteKey": null
   },
   {
    "TestCaseId": "tc-witness-procedure_executions-signed_against_unfit_version",
    "TestKind": "witness-discriminates",
    "Subject": "ProcedureExecutions.SignedAgainstUnfitVersion",
    "TargetTable": "ProcedureExecutions",
    "TargetField": "SignedAgainstUnfitVersion",
    "Assertion": "Reads both TRUE and FALSE across the seed data, so it can distinguish cases.",
    "DefendsQuestion": "q-cfo-approving-on-unfit-version",
    "Suite": "suite-witness",
    "Severity": "advisory",
    "LastOutcome": "PASS",
    "LastDetail": "1 true / 1 false",
    "LastRunAt": "2026-07-20T03:06:49+00:00",
    "SemanticTypeIri": "urn:effortless:pko-extension#TestCase",
    "Name": "witness-discriminates: ProcedureExecutions.SignedAgainstUnfitVersion",
    "IsBlocking": false,
    "IsPassing": true,
    "IsFailing": false,
    "NeedsAttention": false,
    "PassingSuiteKey": "suite-witness",
    "NeedsAttentionSuiteKey": null
   },
   {
    "TestCaseId": "tc-witness-procedure_executions-assurance_is_mostly_asserted",
    "TestKind": "witness-discriminates",
    "Subject": "ProcedureExecutions.AssuranceIsMostlyAsserted",
    "TargetTable": "ProcedureExecutions",
    "TargetField": "AssuranceIsMostlyAsserted",
    "Assertion": "Reads both TRUE and FALSE across the seed data, so it can distinguish cases.",
    "DefendsQuestion": "q-cfo-am-i-being-told-everything",
    "Suite": "suite-witness",
    "Severity": "advisory",
    "LastOutcome": "WARN",
    "LastDetail": "always true (2/2)",
    "LastRunAt": "2026-07-20T03:06:49+00:00",
    "SemanticTypeIri": "urn:effortless:pko-extension#TestCase",
    "Name": "witness-discriminates: ProcedureExecutions.AssuranceIsMostlyAsserted",
    "IsBlocking": false,
    "IsPassing": false,
    "IsFailing": false,
    "NeedsAttention": false,
    "PassingSuiteKey": null,
    "NeedsAttentionSuiteKey": null
   },
   {
    "TestCaseId": "tc-witness-procedure_executions-has_cleared_legal_review",
    "TestKind": "witness-discriminates",
    "Subject": "ProcedureExecutions.HasClearedLegalReview",
    "TargetTable": "ProcedureExecutions",
    "TargetField": "HasClearedLegalReview",
    "Assertion": "Reads both TRUE and FALSE across the seed data, so it can distinguish cases.",
    "DefendsQuestion": "q-counsel-legal-review-gated-send",
    "Suite": "suite-witness",
    "Severity": "advisory",
    "LastOutcome": "PASS",
    "LastDetail": "1 true / 1 false",
    "LastRunAt": "2026-07-20T03:06:49+00:00",
    "SemanticTypeIri": "urn:effortless:pko-extension#TestCase",
    "Name": "witness-discriminates: ProcedureExecutions.HasClearedLegalReview",
    "IsBlocking": false,
    "IsPassing": true,
    "IsFailing": false,
    "NeedsAttention": false,
    "PassingSuiteKey": "suite-witness",
    "NeedsAttentionSuiteKey": null
   },
   {
    "TestCaseId": "tc-witness-procedure_executions-has_abandoned_failures",
    "TestKind": "witness-discriminates",
    "Subject": "ProcedureExecutions.HasAbandonedFailures",
    "TargetTable": "ProcedureExecutions",
    "TargetField": "HasAbandonedFailures",
    "Assertion": "Reads both TRUE and FALSE across the seed data, so it can distinguish cases.",
    "DefendsQuestion": "q-comms-deliverability",
    "Suite": "suite-witness",
    "Severity": "advisory",
    "LastOutcome": "WARN",
    "LastDetail": "never true (2/2 false)",
    "LastRunAt": "2026-07-20T03:06:49+00:00",
    "SemanticTypeIri": "urn:effortless:pko-extension#TestCase",
    "Name": "witness-discriminates: ProcedureExecutions.HasAbandonedFailures",
    "IsBlocking": false,
    "IsPassing": false,
    "IsFailing": false,
    "NeedsAttention": false,
    "PassingSuiteKey": null,
    "NeedsAttentionSuiteKey": null
   },
   {
    "TestCaseId": "tc-witness-procedure_executions-ran_clean",
    "TestKind": "witness-discriminates",
    "Subject": "ProcedureExecutions.RanClean",
    "TargetTable": "ProcedureExecutions",
    "TargetField": "RanClean",
    "Assertion": "Reads both TRUE and FALSE across the seed data, so it can distinguish cases.",
    "DefendsQuestion": "q-close-auto-last-run-clean",
    "Suite": "suite-witness",
    "Severity": "advisory",
    "LastOutcome": "WARN",
    "LastDetail": "never true (2/2 false)",
    "LastRunAt": "2026-07-20T03:06:49+00:00",
    "SemanticTypeIri": "urn:effortless:pko-extension#TestCase",
    "Name": "witness-discriminates: ProcedureExecutions.RanClean",
    "IsBlocking": false,
    "IsPassing": false,
    "IsFailing": false,
    "NeedsAttention": false,
    "PassingSuiteKey": null,
    "NeedsAttentionSuiteKey": null
   },
   {
    "TestCaseId": "tc-witness-procedure_executions-has_human_approval",
    "TestKind": "witness-discriminates",
    "Subject": "ProcedureExecutions.HasHumanApproval",
    "TargetTable": "ProcedureExecutions",
    "TargetField": "HasHumanApproval",
    "Assertion": "Reads both TRUE and FALSE across the seed data, so it can distinguish cases.",
    "DefendsQuestion": "q-hr-what-was-actually-sent",
    "Suite": "suite-witness",
    "Severity": "advisory",
    "LastOutcome": "WARN",
    "LastDetail": "always true (2/2)",
    "LastRunAt": "2026-07-20T03:06:49+00:00",
    "SemanticTypeIri": "urn:effortless:pko-extension#TestCase",
    "Name": "witness-discriminates: ProcedureExecutions.HasHumanApproval",
    "IsBlocking": false,
    "IsPassing": false,
    "IsFailing": false,
    "NeedsAttention": false,
    "PassingSuiteKey": null,
    "NeedsAttentionSuiteKey": null
   },
   {
    "TestCaseId": "tc-witness-procedure_executions-has_delivered",
    "TestKind": "witness-discriminates",
    "Subject": "ProcedureExecutions.HasDelivered",
    "TargetTable": "ProcedureExecutions",
    "TargetField": "HasDelivered",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ProcedureExecutions.HasDelivered",
    "IsBlocking": false,
    "IsPassing": false,
    "IsFailing": false,
    "NeedsAttention": false,
    "PassingSuiteKey": null,
    "NeedsAttentionSuiteKey": null
   },
   {
    "TestCaseId": "tc-witness-procedure_executions-delivered_without_approval",
    "TestKind": "witness-discriminates",
    "Subject": "ProcedureExecutions.DeliveredWithoutApproval",
    "TargetTable": "ProcedureExecutions",
    "TargetField": "DeliveredWithoutApproval",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ProcedureExecutions.DeliveredWithoutApproval",
    "IsBlocking": false,
    "IsPassing": false,
    "IsFailing": false,
    "NeedsAttention": false,
    "PassingSuiteKey": null,
    "NeedsAttentionSuiteKey": null
   },
   {
    "TestCaseId": "tc-witness-procedure_executions-approval_chain_is_complete",
    "TestKind": "witness-discriminates",
    "Subject": "ProcedureExecutions.ApprovalChainIsComplete",
    "TargetTable": "ProcedureExecutions",
    "TargetField": "ApprovalChainIsComplete",
    "Assertion": "Reads both TRUE and FALSE across the seed data, so it can distinguish cases.",
    "DefendsQuestion": "q-policy-ai-approval-chain-complete",
    "Suite": "suite-witness",
    "Severity": "advisory",
    "LastOutcome": "WARN",
    "LastDetail": "always true (2/2)",
    "LastRunAt": "2026-07-20T03:06:49+00:00",
    "SemanticTypeIri": "urn:effortless:pko-extension#TestCase",
    "Name": "witness-discriminates: ProcedureExecutions.ApprovalChainIsComplete",
    "IsBlocking": false,
    "IsPassing": false,
    "IsFailing": false,
    "NeedsAttention": false,
    "PassingSuiteKey": null,
    "NeedsAttentionSuiteKey": null
   },
   {
    "TestCaseId": "tc-witness-procedure_executions-separation_was_testable",
    "TestKind": "witness-discriminates",
    "Subject": "ProcedureExecutions.SeparationWasTestable",
    "TargetTable": "ProcedureExecutions",
    "TargetField": "SeparationWasTestable",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ProcedureExecutions.SeparationWasTestable",
    "IsBlocking": false,
    "IsPassing": true,
    "IsFailing": false,
    "NeedsAttention": false,
    "PassingSuiteKey": "suite-witness",
    "NeedsAttentionSuiteKey": null
   },
   {
    "TestCaseId": "tc-witness-procedure_executions-separation_held_under_test",
    "TestKind": "witness-discriminates",
    "Subject": "ProcedureExecutions.SeparationHeldUnderTest",
    "TargetTable": "ProcedureExecutions",
    "TargetField": "SeparationHeldUnderTest",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ProcedureExecutions.SeparationHeldUnderTest",
    "IsBlocking": false,
    "IsPassing": true,
    "IsFailing": false,
    "NeedsAttention": false,
    "PassingSuiteKey": "suite-witness",
    "NeedsAttentionSuiteKey": null
   },
   {
    "TestCaseId": "tc-witness-procedure_executions-separation_is_vacuously_green",
    "TestKind": "witness-discriminates",
    "Subject": "ProcedureExecutions.SeparationIsVacuouslyGreen",
    "TargetTable": "ProcedureExecutions",
    "TargetField": "SeparationIsVacuouslyGreen",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ProcedureExecutions.SeparationIsVacuouslyGreen",
    "IsBlocking": false,
    "IsPassing": true,
    "IsFailing": false,
    "NeedsAttention": false,
    "PassingSuiteKey": "suite-witness",
    "NeedsAttentionSuiteKey": null
   },
   {
    "TestCaseId": "tc-witness-procedure_executions-divergence_was_fully_governed",
    "TestKind": "witness-discriminates",
    "Subject": "ProcedureExecutions.DivergenceWasFullyGoverned",
    "TargetTable": "ProcedureExecutions",
    "TargetField": "DivergenceWasFullyGoverned",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ProcedureExecutions.DivergenceWasFullyGoverned",
    "IsBlocking": false,
    "IsPassing": true,
    "IsFailing": false,
    "NeedsAttention": false,
    "PassingSuiteKey": "suite-witness",
    "NeedsAttentionSuiteKey": null
   },
   {
    "TestCaseId": "tc-witness-procedure_executions-attestation_would_be_weakly_based",
    "TestKind": "witness-discriminates",
    "Subject": "ProcedureExecutions.AttestationWouldBeWeaklyBased",
    "TargetTable": "ProcedureExecutions",
    "TargetField": "AttestationWouldBeWeaklyBased",
    "Assertion": "Reads both TRUE and FALSE across the seed data, so it can distinguish cases.",
    "DefendsQuestion": "q2-cfo-quality-of-a-green-attestation",
    "Suite": "suite-witness",
    "Severity": "advisory",
    "LastOutcome": "WARN",
    "LastDetail": "never true (2/2 false)",
    "LastRunAt": "2026-07-20T03:06:49+00:00",
    "SemanticTypeIri": "urn:effortless:pko-extension#TestCase",
    "Name": "witness-discriminates: ProcedureExecutions.AttestationWouldBeWeaklyBased",
    "IsBlocking": false,
    "IsPassing": false,
    "IsFailing": false,
    "NeedsAttention": false,
    "PassingSuiteKey": null,
    "NeedsAttentionSuiteKey": null
   },
   {
    "TestCaseId": "tc-witness-procedure_executions-has_any_independent_observation",
    "TestKind": "witness-discriminates",
    "Subject": "ProcedureExecutions.HasAnyIndependentObservation",
    "TargetTable": "ProcedureExecutions",
    "TargetField": "HasAnyIndependentObservation",
    "Assertion": "Reads both TRUE and FALSE across the seed data, so it can distinguish cases.",
    "DefendsQuestion": "q2-cfo-who-witnessed-the-witnesses",
    "Suite": "suite-witness",
    "Severity": "advisory",
    "LastOutcome": "PASS",
    "LastDetail": "1 true / 1 false",
    "LastRunAt": "2026-07-20T03:06:49+00:00",
    "SemanticTypeIri": "urn:effortless:pko-extension#TestCase",
    "Name": "witness-discriminates: ProcedureExecutions.HasAnyIndependentObservation",
    "IsBlocking": false,
    "IsPassing": true,
    "IsFailing": false,
    "NeedsAttention": false,
    "PassingSuiteKey": "suite-witness",
    "NeedsAttentionSuiteKey": null
   },
   {
    "TestCaseId": "tc-witness-procedure_executions-assurance_chain_is_circular",
    "TestKind": "witness-discriminates",
    "Subject": "ProcedureExecutions.AssuranceChainIsCircular",
    "TargetTable": "ProcedureExecutions",
    "TargetField": "AssuranceChainIsCircular",
    "Assertion": "Reads both TRUE and FALSE across the seed data, so it can distinguish cases.",
    "DefendsQuestion": "q2-cfo-who-witnessed-the-witnesses",
    "Suite": "suite-witness",
    "Severity": "advisory",
    "LastOutcome": "WARN",
    "LastDetail": "never true (2/2 false)",
    "LastRunAt": "2026-07-20T03:06:49+00:00",
    "SemanticTypeIri": "urn:effortless:pko-extension#TestCase",
    "Name": "witness-discriminates: ProcedureExecutions.AssuranceChainIsCircular",
    "IsBlocking": false,
    "IsPassing": false,
    "IsFailing": false,
    "NeedsAttention": false,
    "PassingSuiteKey": null,
    "NeedsAttentionSuiteKey": null
   },
   {
    "TestCaseId": "tc-witness-procedure_executions-has_been_attested",
    "TestKind": "witness-discriminates",
    "Subject": "ProcedureExecutions.HasBeenAttested",
    "TargetTable": "ProcedureExecutions",
    "TargetField": "HasBeenAttested",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ProcedureExecutions.HasBeenAttested",
    "IsBlocking": false,
    "IsPassing": false,
    "IsFailing": false,
    "NeedsAttention": false,
    "PassingSuiteKey": null,
    "NeedsAttentionSuiteKey": null
   },
   {
    "TestCaseId": "tc-witness-procedure_executions-basis_changed_after_signature",
    "TestKind": "witness-discriminates",
    "Subject": "ProcedureExecutions.BasisChangedAfterSignature",
    "TargetTable": "ProcedureExecutions",
    "TargetField": "BasisChangedAfterSignature",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ProcedureExecutions.BasisChangedAfterSignature",
    "IsBlocking": false,
    "IsPassing": false,
    "IsFailing": false,
    "NeedsAttention": false,
    "PassingSuiteKey": null,
    "NeedsAttentionSuiteKey": null
   },
   {
    "TestCaseId": "tc-witness-procedure_executions-requires_re_attestation",
    "TestKind": "witness-discriminates",
    "Subject": "ProcedureExecutions.RequiresReAttestation",
    "TargetTable": "ProcedureExecutions",
    "TargetField": "RequiresReAttestation",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ProcedureExecutions.RequiresReAttestation",
    "IsBlocking": false,
    "IsPassing": false,
    "IsFailing": false,
    "NeedsAttention": false,
    "PassingSuiteKey": null,
    "NeedsAttentionSuiteKey": null
   },
   {
    "TestCaseId": "tc-witness-procedure_executions-campaign_silently_lost_audience",
    "TestKind": "witness-discriminates",
    "Subject": "ProcedureExecutions.CampaignSilentlyLostAudience",
    "TargetTable": "ProcedureExecutions",
    "TargetField": "CampaignSilentlyLostAudience",
    "Assertion": "Reads both TRUE and FALSE across the seed data, so it can distinguish cases.",
    "DefendsQuestion": "q2-comms-approval-to-delivery-yield",
    "Suite": "suite-witness",
    "Severity": "advisory",
    "LastOutcome": "PASS",
    "LastDetail": "1 true / 1 false",
    "LastRunAt": "2026-07-20T03:06:49+00:00",
    "SemanticTypeIri": "urn:effortless:pko-extension#TestCase",
    "Name": "witness-discriminates: ProcedureExecutions.CampaignSilentlyLostAudience",
    "IsBlocking": false,
    "IsPassing": true,
    "IsFailing": false,
    "NeedsAttention": false,
    "PassingSuiteKey": "suite-witness",
    "NeedsAttentionSuiteKey": null
   },
   {
    "TestCaseId": "tc-witness-procedure_executions-has_unrecorded_refusals",
    "TestKind": "witness-discriminates",
    "Subject": "ProcedureExecutions.HasUnrecordedRefusals",
    "TargetTable": "ProcedureExecutions",
    "TargetField": "HasUnrecordedRefusals",
    "Assertion": "Reads both TRUE and FALSE across the seed data, so it can distinguish cases.",
    "DefendsQuestion": "q2-publisher-every-refusal-leaves-a-record",
    "Suite": "suite-witness",
    "Severity": "advisory",
    "LastOutcome": "PASS",
    "LastDetail": "1 true / 1 false",
    "LastRunAt": "2026-07-20T03:06:49+00:00",
    "SemanticTypeIri": "urn:effortless:pko-extension#TestCase",
    "Name": "witness-discriminates: ProcedureExecutions.HasUnrecordedRefusals",
    "IsBlocking": false,
    "IsPassing": true,
    "IsFailing": false,
    "NeedsAttention": false,
    "PassingSuiteKey": "suite-witness",
    "NeedsAttentionSuiteKey": null
   },
   {
    "TestCaseId": "tc-witness-procedure_executions-send_decisions_are_entirely_self_witnessed",
    "TestKind": "witness-discriminates",
    "Subject": "ProcedureExecutions.SendDecisionsAreEntirelySelfWitnessed",
    "TargetTable": "ProcedureExecutions",
    "TargetField": "SendDecisionsAreEntirelySelfWitnessed",
    "Assertion": "Reads both TRUE and FALSE across the seed data, so it can distinguish cases.",
    "DefendsQuestion": "q2-publisher-am-i-the-only-witness",
    "Suite": "suite-witness",
    "Severity": "advisory",
    "LastOutcome": "WARN",
    "LastDetail": "never true (2/2 false)",
    "LastRunAt": "2026-07-20T03:06:49+00:00",
    "SemanticTypeIri": "urn:effortless:pko-extension#TestCase",
    "Name": "witness-discriminates: ProcedureExecutions.SendDecisionsAreEntirelySelfWitnessed",
    "IsBlocking": false,
    "IsPassing": false,
    "IsFailing": false,
    "NeedsAttention": false,
    "PassingSuiteKey": null,
    "NeedsAttentionSuiteKey": null
   },
   {
    "TestCaseId": "tc-witness-step_executions-is_late",
    "TestKind": "witness-discriminates",
    "Subject": "StepExecutions.IsLate",
    "TargetTable": "StepExecutions",
    "TargetField": "IsLate",
    "Assertion": "Reads both TRUE and FALSE across the seed data, so it can distinguish cases.",
    "DefendsQuestion": null,
    "Suite": "suite-witness",
    "Severity": "advisory",
    "LastOutcome": "PASS",
    "LastDetail": "7 true / 5 false",
    "LastRunAt": "2026-07-20T03:06:49+00:00",
    "SemanticTypeIri": "urn:effortless:pko-extension#TestCase",
    "Name": "witness-discriminates: StepExecutions.IsLate",
    "IsBlocking": false,
    "IsPassing": true,
    "IsFailing": false,
    "NeedsAttention": false,
    "PassingSuiteKey": "suite-witness",
    "NeedsAttentionSuiteKey": null
   },
   {
    "TestCaseId": "tc-witness-step_executions-proceeded_past_blocking_control",
    "TestKind": "witness-discriminates",
    "Subject": "StepExecutions.ProceededPastBlockingControl",
    "TargetTable": "StepExecutions",
    "TargetField": "ProceededPastBlockingControl",
    "Assertion": "Reads both TRUE and FALSE across the seed data, so it can distinguish cases.",
    "DefendsQuestion": "q-analyst-blocking-unmet-on-my-step",
    "Suite": "suite-witness",
    "Severity": "advisory",
    "LastOutcome": "PASS",
    "LastDetail": "1 true / 11 false",
    "LastRunAt": "2026-07-20T03:06:49+00:00",
    "SemanticTypeIri": "urn:effortless:pko-extension#TestCase",
    "Name": "witness-discriminates: StepExecutions.ProceededPastBlockingControl",
    "IsBlocking": false,
    "IsPassing": true,
    "IsFailing": false,
    "NeedsAttention": false,
    "PassingSuiteKey": "suite-witness",
    "NeedsAttentionSuiteKey": null
   },
   {
    "TestCaseId": "tc-witness-step_executions-has_unevaluated_blocking_control",
    "TestKind": "witness-discriminates",
    "Subject": "StepExecutions.HasUnevaluatedBlockingControl",
    "TargetTable": "StepExecutions",
    "TargetField": "HasUnevaluatedBlockingControl",
    "Assertion": "Reads both TRUE and FALSE across the seed data, so it can distinguish cases.",
    "DefendsQuestion": "q-analyst-blocking-never-evaluated",
    "Suite": "suite-witness",
    "Severity": "advisory",
    "LastOutcome": "WARN",
    "LastDetail": "never true (12/12 false)",
    "LastRunAt": "2026-07-20T03:06:49+00:00",
    "SemanticTypeIri": "urn:effortless:pko-extension#TestCase",
    "Name": "witness-discriminates: StepExecutions.HasUnevaluatedBlockingControl",
    "IsBlocking": false,
    "IsPassing": false,
    "IsFailing": false,
    "NeedsAttention": false,
    "PassingSuiteKey": null,
    "NeedsAttentionSuiteKey": null
   },
   {
    "TestCaseId": "tc-witness-step_executions-ran_on_stale_authoritative_source",
    "TestKind": "witness-discriminates",
    "Subject": "StepExecutions.RanOnStaleAuthoritativeSource",
    "TargetTable": "StepExecutions",
    "TargetField": "RanOnStaleAuthoritativeSource",
    "Assertion": "Reads both TRUE and FALSE across the seed data, so it can distinguish cases.",
    "DefendsQuestion": "q-analyst-evidence-binding-stale",
    "Suite": "suite-witness",
    "Severity": "advisory",
    "LastOutcome": "PASS",
    "LastDetail": "2 true / 10 false",
    "LastRunAt": "2026-07-20T03:06:49+00:00",
    "SemanticTypeIri": "urn:effortless:pko-extension#TestCase",
    "Name": "witness-discriminates: StepExecutions.RanOnStaleAuthoritativeSource",
    "IsBlocking": false,
    "IsPassing": true,
    "IsFailing": false,
    "NeedsAttention": false,
    "PassingSuiteKey": "suite-witness",
    "NeedsAttentionSuiteKey": null
   },
   {
    "TestCaseId": "tc-witness-step_executions-has_deviation_note",
    "TestKind": "witness-discriminates",
    "Subject": "StepExecutions.HasDeviationNote",
    "TargetTable": "StepExecutions",
    "TargetField": "HasDeviationNote",
    "Assertion": "Reads both TRUE and FALSE across the seed data, so it can distinguish cases.",
    "DefendsQuestion": "q-analyst-my-late-steps-unexplained",
    "Suite": "suite-witness",
    "Severity": "advisory",
    "LastOutcome": "PASS",
    "LastDetail": "4 true / 8 false",
    "LastRunAt": "2026-07-20T03:06:49+00:00",
    "SemanticTypeIri": "urn:effortless:pko-extension#TestCase",
    "Name": "witness-discriminates: StepExecutions.HasDeviationNote",
    "IsBlocking": false,
    "IsPassing": true,
    "IsF</t>
  </si>
  <si>
    <t xml:space="preserve">ailing": false,
    "NeedsAttention": false,
    "PassingSuiteKey": "suite-witness",
    "NeedsAttentionSuiteKey": null
   },
   {
    "TestCaseId": "tc-witness-step_executions-is_late_and_unexplained",
    "TestKind": "witness-discriminates",
    "Subject": "StepExecutions.IsLateAndUnexplained",
    "TargetTable": "StepExecutions",
    "TargetField": "IsLateAndUnexplained",
    "Assertion": "Reads both TRUE and FALSE across the seed data, so it can distinguish cases.",
    "DefendsQuestion": "q-analyst-my-late-steps-unexplained",
    "Suite": "suite-witness",
    "Severity": "advisory",
    "LastOutcome": "PASS",
    "LastDetail": "3 true / 9 false",
    "LastRunAt": "2026-07-20T03:06:49+00:00",
    "SemanticTypeIri": "urn:effortless:pko-extension#TestCase",
    "Name": "witness-discriminates: StepExecutions.IsLateAndUnexplained",
    "IsBlocking": false,
    "IsPassing": true,
    "IsFailing": false,
    "NeedsAttention": false,
    "PassingSuiteKey": "suite-witness",
    "NeedsAttentionSuiteKey": null
   },
   {
    "TestCaseId": "tc-witness-step_executions-had_uninvoked_exception_available",
    "TestKind": "witness-discriminates",
    "Subject": "StepExecutions.HadUninvokedExceptionAvailable",
    "TargetTable": "StepExecutions",
    "TargetField": "HadUninvokedExceptionAvailable",
    "Assertion": "Reads both TRUE and FALSE across the seed data, so it can distinguish cases.",
    "DefendsQuestion": "q-analyst-my-late-steps-unexplained",
    "Suite": "suite-witness",
    "Severity": "advisory",
    "LastOutcome": "WARN",
    "LastDetail": "never true (12/12 false)",
    "LastRunAt": "2026-07-20T03:06:49+00:00",
    "SemanticTypeIri": "urn:effortless:pko-extension#TestCase",
    "Name": "witness-discriminates: StepExecutions.HadUninvokedExceptionAvailable",
    "IsBlocking": false,
    "IsPassing": false,
    "IsFailing": false,
    "NeedsAttention": false,
    "PassingSuiteKey": null,
    "NeedsAttentionSuiteKey": null
   },
   {
    "TestCaseId": "tc-witness-step_executions-has_skipped_verification",
    "TestKind": "witness-discriminates",
    "Subject": "StepExecutions.HasSkippedVerification",
    "TargetTable": "StepExecutions",
    "TargetField": "HasSkippedVerification",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StepExecutions.HasSkippedVerification",
    "IsBlocking": false,
    "IsPassing": true,
    "IsFailing": false,
    "NeedsAttention": false,
    "PassingSuiteKey": "suite-witness",
    "NeedsAttentionSuiteKey": null
   },
   {
    "TestCaseId": "tc-witness-step_executions-claims_pass_without_evidence",
    "TestKind": "witness-discriminates",
    "Subject": "StepExecutions.ClaimsPassWithoutEvidence",
    "TargetTable": "StepExecutions",
    "TargetField": "ClaimsPassWithoutEvidence",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StepExecutions.ClaimsPassWithoutEvidence",
    "IsBlocking": false,
    "IsPassing": true,
    "IsFailing": false,
    "NeedsAttention": false,
    "PassingSuiteKey": "suite-witness",
    "NeedsAttentionSuiteKey": null
   },
   {
    "TestCaseId": "tc-witness-step_executions-step_is_preparation",
    "TestKind": "witness-discriminates",
    "Subject": "StepExecutions.StepIsPreparation",
    "TargetTable": "StepExecutions",
    "TargetField": "StepIsPreparation",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StepExecutions.StepIsPreparation",
    "IsBlocking": false,
    "IsPassing": true,
    "IsFailing": false,
    "NeedsAttention": false,
    "PassingSuiteKey": "suite-witness",
    "NeedsAttentionSuiteKey": null
   },
   {
    "TestCaseId": "tc-witness-step_executions-step_is_approval",
    "TestKind": "witness-discriminates",
    "Subject": "StepExecutions.StepIsApproval",
    "TargetTable": "StepExecutions",
    "TargetField": "StepIsApproval",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StepExecutions.StepIsApproval",
    "IsBlocking": false,
    "IsPassing": true,
    "IsFailing": false,
    "NeedsAttention": false,
    "PassingSuiteKey": "suite-witness",
    "NeedsAttentionSuiteKey": null
   },
   {
    "TestCaseId": "tc-witness-step_executions-violates_separation_of_duties",
    "TestKind": "witness-discriminates",
    "Subject": "StepExecutions.ViolatesSeparationOfDuties",
    "TargetTable": "StepExecutions",
    "TargetField": "ViolatesSeparationOfDuties",
    "Assertion": "Reads both TRUE and FALSE across the seed data, so it can distinguish cases.",
    "DefendsQuestion": "q-controller-separation-of-duties",
    "Suite": "suite-witness",
    "Severity": "advisory",
    "LastOutcome": "WARN",
    "LastDetail": "never true (12/12 false)",
    "LastRunAt": "2026-07-20T03:06:49+00:00",
    "SemanticTypeIri": "urn:effortless:pko-extension#TestCase",
    "Name": "witness-discriminates: StepExecutions.ViolatesSeparationOfDuties",
    "IsBlocking": false,
    "IsPassing": false,
    "IsFailing": false,
    "NeedsAttention": false,
    "PassingSuiteKey": null,
    "NeedsAttentionSuiteKey": null
   },
   {
    "TestCaseId": "tc-witness-step_executions-executor_held_required_role",
    "TestKind": "witness-discriminates",
    "Subject": "StepExecutions.ExecutorHeldRequiredRole",
    "TargetTable": "StepExecutions",
    "TargetField": "ExecutorHeldRequiredRole",
    "Assertion": "Reads both TRUE and FALSE across the seed data, so it can distinguish cases.",
    "DefendsQuestion": "q-controller-approval-authority-valid",
    "Suite": "suite-witness",
    "Severity": "advisory",
    "LastOutcome": "WARN",
    "LastDetail": "always true (12/12)",
    "LastRunAt": "2026-07-20T03:06:49+00:00",
    "SemanticTypeIri": "urn:effortless:pko-extension#TestCase",
    "Name": "witness-discriminates: StepExecutions.ExecutorHeldRequiredRole",
    "IsBlocking": false,
    "IsPassing": false,
    "IsFailing": false,
    "NeedsAttention": false,
    "PassingSuiteKey": null,
    "NeedsAttentionSuiteKey": null
   },
   {
    "TestCaseId": "tc-witness-step_executions-is_unauthorized_approval",
    "TestKind": "witness-discriminates",
    "Subject": "StepExecutions.IsUnauthorizedApproval",
    "TargetTable": "StepExecutions",
    "TargetField": "IsUnauthorizedApproval",
    "Assertion": "Reads both TRUE and FALSE across the seed data, so it can distinguish cases.",
    "DefendsQuestion": "q-controller-approval-authority-valid",
    "Suite": "suite-witness",
    "Severity": "advisory",
    "LastOutcome": "WARN",
    "LastDetail": "never true (12/12 false)",
    "LastRunAt": "2026-07-20T03:06:49+00:00",
    "SemanticTypeIri": "urn:effortless:pko-extension#TestCase",
    "Name": "witness-discriminates: StepExecutions.IsUnauthorizedApproval",
    "IsBlocking": false,
    "IsPassing": false,
    "IsFailing": false,
    "NeedsAttention": false,
    "PassingSuiteKey": null,
    "NeedsAttentionSuiteKey": null
   },
   {
    "TestCaseId": "tc-witness-step_executions-executor_is_human",
    "TestKind": "witness-discriminates",
    "Subject": "StepExecutions.ExecutorIsHuman",
    "TargetTable": "StepExecutions",
    "TargetField": "ExecutorIsHuman",
    "Assertion": "Reads both TRUE and FALSE across the seed data, so it can distinguish cases.",
    "DefendsQuestion": "q-controller-ai-agent-approved-meaning",
    "Suite": "suite-witness",
    "Severity": "advisory",
    "LastOutcome": "PASS",
    "LastDetail": "7 true / 5 false",
    "LastRunAt": "2026-07-20T03:06:49+00:00",
    "SemanticTypeIri": "urn:effortless:pko-extension#TestCase",
    "Name": "witness-discriminates: StepExecutions.ExecutorIsHuman",
    "IsBlocking": false,
    "IsPassing": true,
    "IsFailing": false,
    "NeedsAttention": false,
    "PassingSuiteKey": "suite-witness",
    "NeedsAttentionSuiteKey": null
   },
   {
    "TestCaseId": "tc-witness-step_executions-step_requires_human_confirmation",
    "TestKind": "witness-discriminates",
    "Subject": "StepExecutions.StepRequiresHumanConfirmation",
    "TargetTable": "StepExecutions",
    "TargetField": "StepRequiresHumanConfirmation",
    "Assertion": "Reads both TRUE and FALSE across the seed data, so it can distinguish cases.",
    "DefendsQuestion": "q-controller-ai-agent-approved-meaning",
    "Suite": "suite-witness",
    "Severity": "advisory",
    "LastOutcome": "PASS",
    "LastDetail": "3 true / 9 false",
    "LastRunAt": "2026-07-20T03:06:49+00:00",
    "SemanticTypeIri": "urn:effortless:pko-extension#TestCase",
    "Name": "witness-discriminates: StepExecutions.StepRequiresHumanConfirmation",
    "IsBlocking": false,
    "IsPassing": true,
    "IsFailing": false,
    "NeedsAttention": false,
    "PassingSuiteKey": "suite-witness",
    "NeedsAttentionSuiteKey": null
   },
   {
    "TestCaseId": "tc-witness-step_executions-non_human_ran_human_step",
    "TestKind": "witness-discriminates",
    "Subject": "StepExecutions.NonHumanRanHumanStep",
    "TargetTable": "StepExecutions",
    "TargetField": "NonHumanRanHumanStep",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StepExecutions.NonHumanRanHumanStep",
    "IsBlocking": false,
    "IsPassing": false,
    "IsFailing": false,
    "NeedsAttention": false,
    "PassingSuiteKey": null,
    "NeedsAttentionSuiteKey": null
   },
   {
    "TestCaseId": "tc-witness-step_executions-non_human_approval",
    "TestKind": "witness-discriminates",
    "Subject": "StepExecutions.NonHumanApproval",
    "TargetTable": "StepExecutions",
    "TargetField": "NonHumanApproval",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StepExecutions.NonHumanApproval",
    "IsBlocking": false,
    "IsPassing": false,
    "IsFailing": false,
    "NeedsAttention": false,
    "PassingSuiteKey": null,
    "NeedsAttentionSuiteKey": null
   },
   {
    "TestCaseId": "tc-witness-step_executions-approval_rests_on_self_attestation",
    "TestKind": "witness-discriminates",
    "Subject": "StepExecutions.ApprovalRestsOnSelfAttestation",
    "TargetTable": "StepExecutions",
    "TargetField": "ApprovalRestsOnSelfAttestation",
    "Assertion": "Reads both TRUE and FALSE across the seed data, so it can distinguish cases.",
    "DefendsQuestion": "q-cfo-approval-was-actually-verified",
    "Suite": "suite-witness",
    "Severity": "advisory",
    "LastOutcome": "PASS",
    "LastDetail": "2 true / 10 false",
    "LastRunAt": "2026-07-20T03:06:49+00:00",
    "SemanticTypeIri": "urn:effortless:pko-extension#TestCase",
    "Name": "witness-discriminates: StepExecutions.ApprovalRestsOnSelfAttestation",
    "IsBlocking": false,
    "IsPassing": true,
    "IsFailing": false,
    "NeedsAttention": false,
    "PassingSuiteKey": "suite-witness",
    "NeedsAttentionSuiteKey": null
   },
   {
    "TestCaseId": "tc-witness-step_executions-ran_under_exception",
    "TestKind": "witness-discriminates",
    "Subject": "StepExecutions.RanUnderException",
    "TargetTable": "StepExecutions",
    "TargetField": "RanUnderException",
    "Assertion": "Reads both TRUE and FALSE across the seed data, so it can distinguish cases.",
    "DefendsQuestion": "q-cfo-who-actually-held-authority",
    "Suite": "suite-witness",
    "Severity": "advisory",
    "LastOutcome": "PASS",
    "LastDetail": "1 true / 11 false",
    "LastRunAt": "2026-07-20T03:06:49+00:00",
    "SemanticTypeIri": "urn:effortless:pko-extension#TestCase",
    "Name": "witness-discriminates: StepExecutions.RanUnderException",
    "IsBlocking": false,
    "IsPassing": true,
    "IsFailing": false,
    "NeedsAttention": false,
    "PassingSuiteKey": "suite-witness",
    "NeedsAttentionSuiteKey": null
   },
   {
    "TestCaseId": "tc-witness-step_executions-is_completed",
    "TestKind": "witness-discriminates",
    "Subject": "StepExecutions.IsCompleted",
    "TargetTable": "StepExecutions",
    "TargetField": "IsCompleted",
    "Assertion": "Reads both TRUE and FALSE across the seed data, so it can distinguish cases.",
    "DefendsQuestion": "q-steward-untested-fallbacks",
    "Suite": "suite-witness",
    "Severity": "advisory",
    "LastOutcome": "WARN",
    "LastDetail": "always true (12/12)",
    "LastRunAt": "2026-07-20T03:06:49+00:00",
    "SemanticTypeIri": "urn:effortless:pko-extension#TestCase",
    "Name": "witness-discriminates: StepExecutions.IsCompleted",
    "IsBlocking": false,
    "IsPassing": false,
    "IsFailing": false,
    "NeedsAttention": false,
    "PassingSuiteKey": null,
    "NeedsAttentionSuiteKey": null
   },
   {
    "TestCaseId": "tc-witness-step_executions-is_verification_passed",
    "TestKind": "witness-discriminates",
    "Subject": "StepExecutions.IsVerificationPassed",
    "TargetTable": "StepExecutions",
    "TargetField": "IsVerificationPassed",
    "Assertion": "Reads both TRUE and FALSE across the seed data, so it can distinguish cases.",
    "DefendsQuestion": "q-counsel-legal-review-gated-send",
    "Suite": "suite-witness",
    "Severity": "advisory",
    "LastOutcome": "PASS",
    "LastDetail": "11 true / 1 false",
    "LastRunAt": "2026-07-20T03:06:49+00:00",
    "SemanticTypeIri": "urn:effortless:pko-extension#TestCase",
    "Name": "witness-discriminates: StepExecutions.IsVerificationPassed",
    "IsBlocking": false,
    "IsPassing": true,
    "IsFailing": false,
    "NeedsAttention": false,
    "PassingSuiteKey": "suite-witness",
    "NeedsAttentionSuiteKey": null
   },
   {
    "TestCaseId": "tc-witness-step_executions-is_legal_review_step",
    "TestKind": "witness-discriminates",
    "Subject": "StepExecutions.IsLegalReviewStep",
    "TargetTable": "StepExecutions",
    "TargetField": "IsLegalReviewStep",
    "Assertion": "Reads both TRUE and FALSE across the seed data, so it can distinguish cases.",
    "DefendsQuestion": "q-counsel-legal-review-gated-send",
    "Suite": "suite-witness",
    "Severity": "advisory",
    "LastOutcome": "PASS",
    "LastDetail": "1 true / 11 false",
    "LastRunAt": "2026-07-20T03:06:49+00:00",
    "SemanticTypeIri": "urn:effortless:pko-extension#TestCase",
    "Name": "witness-discriminates: StepExecutions.IsLegalReviewStep",
    "IsBlocking": false,
    "IsPassing": true,
    "IsFailing": false,
    "NeedsAttention": false,
    "PassingSuiteKey": "suite-witness",
    "NeedsAttentionSuiteKey": null
   },
   {
    "TestCaseId": "tc-witness-step_executions-executor_is_designated_agent",
    "TestKind": "witness-discriminates",
    "Subject": "StepExecutions.ExecutorIsDesignatedAgent",
    "TargetTable": "StepExecutions",
    "TargetField": "ExecutorIsDesignatedAgent",
    "Assertion": "Reads both TRUE and FALSE across the seed data, so it can distinguish cases.",
    "DefendsQuestion": "q-close-auto-authority-current",
    "Suite": "suite-witness",
    "Severity": "advisory",
    "LastOutcome": "WARN",
    "LastDetail": "always true (12/12)",
    "LastRunAt": "2026-07-20T03:06:49+00:00",
    "SemanticTypeIri": "urn:effortless:pko-extension#TestCase",
    "Name": "witness-discriminates: StepExecutions.ExecutorIsDesignatedAgent",
    "IsBlocking": false,
    "IsPassing": false,
    "IsFailing": false,
    "NeedsAttention": false,
    "PassingSuiteKey": null,
    "NeedsAttentionSuiteKey": null
   },
   {
    "TestCaseId": "tc-witness-step_executions-inputs_were_fresh_at_run",
    "TestKind": "witness-discriminates",
    "Subject": "StepExecutions.InputsWereFreshAtRun",
    "TargetTable": "StepExecutions",
    "TargetField": "InputsWereFreshAtRun",
    "Assertion": "Reads both TRUE and FALSE across the seed data, so it can distinguish cases.",
    "DefendsQuestion": "q-close-auto-input-freshness",
    "Suite": "suite-witness",
    "Severity": "advisory",
    "LastOutcome": "PASS",
    "LastDetail": "10 true / 2 false",
    "LastRunAt": "2026-07-20T03:06:49+00:00",
    "SemanticTypeIri": "urn:effortless:pko-extension#TestCase",
    "Name": "witness-discriminates: StepExecutions.InputsWereFreshAtRun",
    "IsBlocking": false,
    "IsPassing": true,
    "IsFailing": false,
    "NeedsAttention": false,
    "PassingSuiteKey": "suite-witness",
    "NeedsAttentionSuiteKey": null
   },
   {
    "TestCaseId": "tc-witness-step_executions-ran_on_stale_inputs",
    "TestKind": "witness-discriminates",
    "Subject": "StepExecutions.RanOnStaleInputs",
    "TargetTable": "StepExecutions",
    "TargetField": "RanOnStaleInputs",
    "Assertion": "Reads both TRUE and FALSE across the seed data, so it can distinguish cases.",
    "DefendsQuestion": "q-close-auto-input-freshness",
    "Suite": "suite-witness",
    "Severity": "advisory",
    "LastOutcome": "PASS",
    "LastDetail": "2 true / 10 false",
    "LastRunAt": "2026-07-20T03:06:49+00:00",
    "SemanticTypeIri": "urn:effortless:pko-extension#TestCase",
    "Name": "witness-discriminates: StepExecutions.RanOnStaleInputs",
    "IsBlocking": false,
    "IsPassing": true,
    "IsFailing": false,
    "NeedsAttention": false,
    "PassingSuiteKey": "suite-witness",
    "NeedsAttentionSuiteKey": null
   },
   {
    "TestCaseId": "tc-witness-step_executions-has_deviation",
    "TestKind": "witness-discriminates",
    "Subject": "StepExecutions.HasDeviation",
    "TargetTable": "StepExecutions",
    "TargetField": "HasDeviation",
    "Assertion": "Reads both TRUE and FALSE across the seed data, so it can distinguish cases.",
    "DefendsQuestion": "q-close-auto-last-run-clean",
    "Suite": "suite-witness",
    "Severity": "advisory",
    "LastOutcome": "PASS",
    "LastDetail": "4 true / 8 false",
    "LastRunAt": "2026-07-20T03:06:49+00:00",
    "SemanticTypeIri": "urn:effortless:pko-extension#TestCase",
    "Name": "witness-discriminates: StepExecutions.HasDeviation",
    "IsBlocking": false,
    "IsPassing": true,
    "IsFailing": false,
    "NeedsAttention": false,
    "PassingSuiteKey": "suite-witness",
    "NeedsAttentionSuiteKey": null
   },
   {
    "TestCaseId": "tc-witness-step_executions-is_clean",
    "TestKind": "witness-discriminates",
    "Subject": "StepExecutions.IsClean",
    "TargetTable": "StepExecutions",
    "TargetField": "IsClean",
    "Assertion": "Reads both TRUE and FALSE across the seed data, so it can distinguish cases.",
    "DefendsQuestion": "q-close-auto-last-run-clean",
    "Suite": "suite-witness",
    "Severity": "advisory",
    "LastOutcome": "PASS",
    "LastDetail": "5 true / 7 false",
    "LastRunAt": "2026-07-20T03:06:49+00:00",
    "SemanticTypeIri": "urn:effortless:pko-extension#TestCase",
    "Name": "witness-discriminates: StepExecutions.IsClean",
    "IsBlocking": false,
    "IsPassing": true,
    "IsFailing": false,
    "NeedsAttention": false,
    "PassingSuiteKey": "suite-witness",
    "NeedsAttentionSuiteKey": null
   },
   {
    "TestCaseId": "tc-witness-step_executions-has_unevaluated_blocking_requirement",
    "TestKind": "witness-discriminates",
    "Subject": "StepExecutions.HasUnevaluatedBlockingRequirement",
    "TargetTable": "StepExecutions",
    "TargetField": "HasUnevaluatedBlockingRequirement",
    "Assertion": "Reads both TRUE and FALSE across the seed data, so it can distinguish cases.",
    "DefendsQuestion": "q-close-auto-blocking-requirements-evaluated",
    "Suite": "suite-witness",
    "Severity": "advisory",
    "LastOutcome": "WARN",
    "LastDetail": "never true (12/12 false)",
    "LastRunAt": "2026-07-20T03:06:49+00:00",
    "SemanticTypeIri": "urn:effortless:pko-extension#TestCase",
    "Name": "witness-discriminates: StepExecutions.HasUnevaluatedBlockingRequirement",
    "IsBlocking": false,
    "IsPassing": false,
    "IsFailing": false,
    "NeedsAttention": false,
    "PassingSuiteKey": null,
    "NeedsAttentionSuiteKey": null
   },
   {
    "TestCaseId": "tc-witness-step_executions-was_executed_by_software",
    "TestKind": "witness-discriminates",
    "Subject": "StepExecutions.WasExecutedBySoftware",
    "TargetTable": "StepExecutions",
    "TargetField": "WasExecutedBySoftware",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StepExecutions.WasExecutedBySoftware",
    "IsBlocking": false,
    "IsPassing": true,
    "IsFailing": false,
    "NeedsAttention": false,
    "PassingSuiteKey": "suite-witness",
    "NeedsAttentionSuiteKey": null
   },
   {
    "TestCaseId": "tc-witness-step_executions-step_is_software_assigned",
    "TestKind": "witness-discriminates",
    "Subject": "StepExecutions.StepIsSoftwareAssigned",
    "TargetTable": "StepExecutions",
    "TargetField": "StepIsSoftwareAssigned",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StepExecutions.StepIsSoftwareAssigned",
    "IsBlocking": false,
    "IsPassing": true,
    "IsFailing": false,
    "NeedsAttention": false,
    "PassingSuiteKey": "suite-witness",
    "NeedsAttentionSuiteKey": null
   },
   {
    "TestCaseId": "tc-witness-step_executions-software_did_human_work",
    "TestKind": "witness-discriminates",
    "Subject": "StepExecutions.SoftwareDidHumanWork",
    "TargetTable": "StepExecutions",
    "TargetField": "SoftwareDidHumanWork",
    "Assertion": "Reads both TRUE and FALSE across the seed data, so it can distinguish cases.",
    "DefendsQuestion": "q-hr-ai-authored-commitments",
    "Suite": "suite-witness",
    "Severity": "advisory",
    "LastOutcome": "WARN",
    "LastDetail": "never true (12/12 false)",
    "LastRunAt": "2026-07-20T03:06:49+00:00",
    "SemanticTypeIri": "urn:effortless:pko-extension#TestCase",
    "Name": "witness-discriminates: StepExecutions.SoftwareDidHumanWork",
    "IsBlocking": false,
    "IsPassing": false,
    "IsFailing": false,
    "NeedsAttention": false,
    "PassingSuiteKey": null,
    "NeedsAttentionSuiteKey": null
   },
   {
    "TestCaseId": "tc-witness-step_executions-is_approval_execution",
    "TestKind": "witness-discriminates",
    "Subject": "StepExecutions.IsApprovalExecution",
    "TargetTable": "StepExecutions",
    "TargetField": "IsApprovalExecution",
    "Assertion": "Reads both TRUE and FALSE across the seed data, so it can distinguish cases.",
    "DefendsQuestion": "q-hr-what-was-actually-sent",
    "Suite": "suite-witness",
    "Severity": "advisory",
    "LastOutcome": "PASS",
    "LastDetail": "1 true / 11 false",
    "LastRunAt": "2026-07-20T03:06:49+00:00",
    "SemanticTypeIri": "urn:effortless:pko-extension#TestCase",
    "Name": "witness-discriminates: StepExecutions.IsApprovalExecution",
    "IsBlocking": false,
    "IsPassing": true,
    "IsFailing": false,
    "NeedsAttention": false,
    "PassingSuiteKey": "suite-witness",
    "NeedsAttentionSuiteKey": null
   },
   {
    "TestCaseId": "tc-witness-step_executions-is_verified",
    "TestKind": "witness-discriminates",
    "Subject": "StepExecutions.IsVerified",
    "TargetTable": "StepExecutions",
    "TargetField": "IsVerified",
    "Assertion": "Reads both TRUE and FALSE across the seed data, so it can distinguish cases.",
    "DefendsQuestion": "q-hr-what-was-actually-sent",
    "Suite": "suite-witness",
    "Severity": "advisory",
    "LastOutcome": "WARN",
    "LastDetail": "always true (12/12)",
    "LastRunAt": "2026-07-20T03:06:49+00:00",
    "SemanticTypeIri": "urn:effortless:pko-extension#TestCase",
    "Name": "witness-discriminates: StepExecutions.IsVerified",
    "IsBlocking": false,
    "IsPassing": false,
    "IsFailing": false,
    "NeedsAttention": false,
    "PassingSuiteKey": null,
    "NeedsAttentionSuiteKey": null
   },
   {
    "TestCaseId": "tc-witness-step_executions-requires_human_confirmation",
    "TestKind": "witness-discriminates",
    "Subject": "StepExecutions.RequiresHumanConfirmation",
    "TargetTable": "StepExecutions",
    "TargetField": "RequiresHumanConfirmation",
    "Assertion": "Reads both TRUE and FALSE across the seed data, so it can distinguish cases.",
    "DefendsQuestion": "q-variance-ai-human-confirmation-present",
    "Suite": "suite-witness",
    "Severity": "advisory",
    "LastOutcome": "PASS",
    "LastDetail": "3 true / 9 false",
    "LastRunAt": "2026-07-20T03:06:49+00:00",
    "SemanticTypeIri": "urn:effortless:pko-extension#TestCase",
    "Name": "witness-discriminates: StepExecutions.RequiresHumanConfirmation",
    "IsBlocking": false,
    "IsPassing": true,
    "IsFailing": false,
    "NeedsAttention": false,
    "PassingSuiteKey": "suite-witness",
    "NeedsAttentionSuiteKey": null
   },
   {
    "TestCaseId": "tc-witness-step_executions-human_confirmation_missing",
    "TestKind": "witness-discriminates",
    "Subject": "StepExecutions.HumanConfirmationMissing",
    "TargetTable": "StepExecutions",
    "TargetField": "HumanConfirmationMissing",
    "Assertion": "Reads both TRUE and FALSE across the seed data, so it can distinguish cases.",
    "DefendsQuestion": "q-variance-ai-human-confirmation-present",
    "Suite": "suite-witness",
    "Severity": "advisory",
    "LastOutcome": "WARN",
    "LastDetail": "never true (12/12 false)",
    "LastRunAt": "2026-07-20T03:06:49+00:00",
    "SemanticTypeIri": "urn:effortless:pko-extension#TestCase",
    "Name": "witness-discriminates: StepExecutions.HumanConfirmationMissing",
    "IsBlocking": false,
    "IsPassing": false,
    "IsFailing": false,
    "NeedsAttention": false,
    "PassingSuiteKey": null,
    "NeedsAttentionSuiteKey": null
   },
   {
    "TestCaseId": "tc-witness-step_executions-drafted_from_unusable_source",
    "TestKind": "witness-discriminates",
    "Subject": "StepExecutions.DraftedFromUnusableSource",
    "TargetTable": "StepExecutions",
    "TargetField": "DraftedFromUnusableSource",
    "Assertion": "Reads both TRUE and FALSE across the seed data, so it can distinguish cases.",
    "DefendsQuestion": "q-policy-ai-source-approval",
    "Suite": "suite-witness",
    "Severity": "advisory",
    "LastOutcome": "PASS",
    "LastDetail": "2 true / 10 false",
    "LastRunAt": "2026-07-20T03:06:49+00:00",
    "SemanticTypeIri": "urn:effortless:pko-extension#TestCase",
    "Name": "witness-discriminates: StepExecutions.DraftedFromUnusableSource",
    "IsBlocking": false,
    "IsPassing": true,
    "IsFailing": false,
    "NeedsAttention": false,
    "PassingSuiteKey": "suite-witness",
    "NeedsAttentionSuiteKey": null
   },
   {
    "TestCaseId": "tc-witness-step_executions-inputs_were_usable",
    "TestKind": "witness-discriminates",
    "Subject": "StepExecutions.InputsWereUsable",
    "TargetTable": "StepExecutions",
    "TargetField": "InputsWereUsable",
    "Assertion": "Reads both TRUE and FALSE across the seed data, so it can distinguish cases.",
    "DefendsQuestion": "q-policy-ai-source-approval",
    "Suite": "suite-witness",
    "Severity": "advisory",
    "LastOutcome": "PASS",
    "LastDetail": "10 true / 2 false",
    "LastRunAt": "2026-07-20T03:06:49+00:00",
    "SemanticTypeIri": "urn:effortless:pko-extension#TestCase",
    "Name": "witness-discriminates: StepExecutions.InputsWereUsable",
    "IsBlocking": false,
    "IsPassing": true,
    "IsFailing": false,
    "NeedsAttention": false,
    "PassingSuiteKey": "suite-witness",
    "NeedsAttentionSuiteKey": null
   },
   {
    "TestCaseId": "tc-witness-step_executions-all_clearances_are_unfalsified",
    "TestKind": "witness-discriminates",
    "Subject": "StepExecutions.AllClearancesAreUnfalsified",
    "TargetTable": "StepExecutions",
    "TargetField": "AllClearancesAreUnfalsified",
    "Assertion": "Reads both TRUE and FALSE across the seed data, so it can distinguish cases.",
    "DefendsQuestion": "q2-fa-cleared-by-mute-control",
    "Suite": "suite-witness",
    "Severity": "advisory",
    "LastOutcome": "PASS",
    "LastDetail": "5 true / 7 false",
    "LastRunAt": "2026-07-20T03:06:49+00:00",
    "SemanticTypeIri": "urn:effortless:pko-extension#TestCase",
    "Name": "witness-discriminates: StepExecutions.AllClearancesAreUnfalsified",
    "IsBlocking": false,
    "IsPassing": true,
    "IsFailing": false,
    "NeedsAttention": false,
    "PassingSuiteKey": "suite-witness",
    "NeedsAttentionSuiteKey": null
   },
   {
    "TestCaseId": "tc-witness-step_executions-was_stale_when_i_ran_it",
    "TestKind": "witness-discriminates",
    "Subject": "StepExecutions.WasStaleWhenIRanIt",
    "TargetTable": "StepExecutions",
    "TargetField": "WasStaleWhenIRanIt",
    "Assertion": "Reads both TRUE and FALSE across the seed data, so it can distinguish cases.",
    "DefendsQuestion": "q2-fa-stale-then-vs-stale-now",
    "Suite": "suite-witness",
    "Severity": "advisory",
    "LastOutcome": "WARN",
    "LastDetail": "never true (12/12 false)",
    "LastRunAt": "2026-07-20T03:06:49+00:00",
    "SemanticTypeIri": "urn:effortless:pko-extension#TestCase",
    "Name": "witness-discriminates: StepExecutions.WasStaleWhenIRanIt",
    "IsBlocking": false,
    "IsPassing": false,
    "IsFailing": false,
    "NeedsAttention": false,
    "PassingSuiteKey": null,
    "NeedsAttentionSuiteKey": null
   },
   {
    "TestCaseId": "tc-witness-step_executions-staleness_answer_is_tense_dependent",
    "TestKind": "witness-discriminates",
    "Subject": "StepExecutions.StalenessAnswerIsTenseDependent",
    "TargetTable": "StepExecutions",
    "TargetField": "StalenessAnswerIsTenseDependent",
    "Assertion": "Reads both TRUE and FALSE across the seed data, so it can distinguish cases.",
    "DefendsQuestion": "q2-fa-stale-then-vs-stale-now",
    "Suite": "suite-witness",
    "Severity": "advisory",
    "LastOutcome": "PASS",
    "LastDetail": "2 true / 10 false",
    "LastRunAt": "2026-07-20T03:06:49+00:00",
    "SemanticTypeIri": "urn:effortless:pko-extension#TestCase",
    "Name": "witness-discriminates: StepExecutions.StalenessAnswerIsTenseDependent",
    "IsBlocking": false,
    "IsPassing": true,
    "IsFailing": false,
    "NeedsAttention": false,
    "PassingSuiteKey": "suite-witness",
    "NeedsAttentionSuiteKey": null
   },
   {
    "TestCaseId": "tc-witness-step_executions-has_any_declared_check",
    "TestKind": "witness-discriminates",
    "Subject": "StepExecutions.HasAnyDeclaredCheck",
    "TargetTable": "StepExecutions",
    "TargetField": "HasAnyDeclaredCheck",
 </t>
  </si>
  <si>
    <t xml:space="preserve">   "Assertion": "Reads both TRUE and FALSE across the seed data, so it can distinguish cases.",
    "DefendsQuestion": "q2-fa-clean-but-uncovered",
    "Suite": "suite-witness",
    "Severity": "advisory",
    "LastOutcome": "PASS",
    "LastDetail": "8 true / 4 false",
    "LastRunAt": "2026-07-20T03:06:49+00:00",
    "SemanticTypeIri": "urn:effortless:pko-extension#TestCase",
    "Name": "witness-discriminates: StepExecutions.HasAnyDeclaredCheck",
    "IsBlocking": false,
    "IsPassing": true,
    "IsFailing": false,
    "NeedsAttention": false,
    "PassingSuiteKey": "suite-witness",
    "NeedsAttentionSuiteKey": null
   },
   {
    "TestCaseId": "tc-witness-step_executions-is_unchecked_by_design",
    "TestKind": "witness-discriminates",
    "Subject": "StepExecutions.IsUncheckedByDesign",
    "TargetTable": "StepExecutions",
    "TargetField": "IsUncheckedByDesign",
    "Assertion": "Reads both TRUE and FALSE across the seed data, so it can distinguish cases.",
    "DefendsQuestion": "q2-fa-clean-but-uncovered",
    "Suite": "suite-witness",
    "Severity": "advisory",
    "LastOutcome": "PASS",
    "LastDetail": "4 true / 8 false",
    "LastRunAt": "2026-07-20T03:06:49+00:00",
    "SemanticTypeIri": "urn:effortless:pko-extension#TestCase",
    "Name": "witness-discriminates: StepExecutions.IsUncheckedByDesign",
    "IsBlocking": false,
    "IsPassing": true,
    "IsFailing": false,
    "NeedsAttention": false,
    "PassingSuiteKey": "suite-witness",
    "NeedsAttentionSuiteKey": null
   },
   {
    "TestCaseId": "tc-witness-step_executions-is_vacuously_clean",
    "TestKind": "witness-discriminates",
    "Subject": "StepExecutions.IsVacuouslyClean",
    "TargetTable": "StepExecutions",
    "TargetField": "IsVacuouslyClean",
    "Assertion": "Reads both TRUE and FALSE across the seed data, so it can distinguish cases.",
    "DefendsQuestion": "q2-fa-clean-but-uncovered",
    "Suite": "suite-witness",
    "Severity": "advisory",
    "LastOutcome": "PASS",
    "LastDetail": "2 true / 10 false",
    "LastRunAt": "2026-07-20T03:06:49+00:00",
    "SemanticTypeIri": "urn:effortless:pko-extension#TestCase",
    "Name": "witness-discriminates: StepExecutions.IsVacuouslyClean",
    "IsBlocking": false,
    "IsPassing": true,
    "IsFailing": false,
    "NeedsAttention": false,
    "PassingSuiteKey": "suite-witness",
    "NeedsAttentionSuiteKey": null
   },
   {
    "TestCaseId": "tc-witness-step_executions-is_substantively_clean",
    "TestKind": "witness-discriminates",
    "Subject": "StepExecutions.IsSubstantivelyClean",
    "TargetTable": "StepExecutions",
    "TargetField": "IsSubstantivelyClean",
    "Assertion": "Reads both TRUE and FALSE across the seed data, so it can distinguish cases.",
    "DefendsQuestion": "q2-fa-clean-but-uncovered",
    "Suite": "suite-witness",
    "Severity": "advisory",
    "LastOutcome": "PASS",
    "LastDetail": "1 true / 11 false",
    "LastRunAt": "2026-07-20T03:06:49+00:00",
    "SemanticTypeIri": "urn:effortless:pko-extension#TestCase",
    "Name": "witness-discriminates: StepExecutions.IsSubstantivelyClean",
    "IsBlocking": false,
    "IsPassing": true,
    "IsFailing": false,
    "NeedsAttention": false,
    "PassingSuiteKey": "suite-witness",
    "NeedsAttentionSuiteKey": null
   },
   {
    "TestCaseId": "tc-witness-step_executions-evidence_position_is_weak",
    "TestKind": "witness-discriminates",
    "Subject": "StepExecutions.EvidencePositionIsWeak",
    "TargetTable": "StepExecutions",
    "TargetField": "EvidencePositionIsWeak",
    "Assertion": "Reads both TRUE and FALSE across the seed data, so it can distinguish cases.",
    "DefendsQuestion": "q2-fa-my-own-evidence-quality",
    "Suite": "suite-witness",
    "Severity": "advisory",
    "LastOutcome": "PASS",
    "LastDetail": "1 true / 11 false",
    "LastRunAt": "2026-07-20T03:06:49+00:00",
    "SemanticTypeIri": "urn:effortless:pko-extension#TestCase",
    "Name": "witness-discriminates: StepExecutions.EvidencePositionIsWeak",
    "IsBlocking": false,
    "IsPassing": true,
    "IsFailing": false,
    "NeedsAttention": false,
    "PassingSuiteKey": "suite-witness",
    "NeedsAttentionSuiteKey": null
   },
   {
    "TestCaseId": "tc-witness-step_executions-has_governing_instrument",
    "TestKind": "witness-discriminates",
    "Subject": "StepExecutions.HasGoverningInstrument",
    "TargetTable": "StepExecutions",
    "TargetField": "HasGoverningInstrument",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StepExecutions.HasGoverningInstrument",
    "IsBlocking": false,
    "IsPassing": true,
    "IsFailing": false,
    "NeedsAttention": false,
    "PassingSuiteKey": "suite-witness",
    "NeedsAttentionSuiteKey": null
   },
   {
    "TestCaseId": "tc-witness-step_executions-has_approved_change_coverage",
    "TestKind": "witness-discriminates",
    "Subject": "StepExecutions.HasApprovedChangeCoverage",
    "TargetTable": "StepExecutions",
    "TargetField": "HasApprovedChangeCoverage",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StepExecutions.HasApprovedChangeCoverage",
    "IsBlocking": false,
    "IsPassing": true,
    "IsFailing": false,
    "NeedsAttention": false,
    "PassingSuiteKey": "suite-witness",
    "NeedsAttentionSuiteKey": null
   },
   {
    "TestCaseId": "tc-witness-step_executions-is_ungoverned_divergence",
    "TestKind": "witness-discriminates",
    "Subject": "StepExecutions.IsUngovernedDivergence",
    "TargetTable": "StepExecutions",
    "TargetField": "IsUngovernedDivergence",
    "Assertion": "Reads both TRUE and FALSE across the seed data, so it can distinguish cases.",
    "DefendsQuestion": "q2-ctl-divergence-that-nobody-governed",
    "Suite": "suite-witness",
    "Severity": "advisory",
    "LastOutcome": "PASS",
    "LastDetail": "2 true / 10 false",
    "LastRunAt": "2026-07-20T03:06:49+00:00",
    "SemanticTypeIri": "urn:effortless:pko-extension#TestCase",
    "Name": "witness-discriminates: StepExecutions.IsUngovernedDivergence",
    "IsBlocking": false,
    "IsPassing": true,
    "IsFailing": false,
    "NeedsAttention": false,
    "PassingSuiteKey": "suite-witness",
    "NeedsAttentionSuiteKey": null
   },
   {
    "TestCaseId": "tc-witness-requirement_satisfactions-requirement_is_blocking",
    "TestKind": "witness-discriminates",
    "Subject": "RequirementSatisfactions.RequirementIsBlocking",
    "TargetTable": "RequirementSatisfactions",
    "TargetField": "RequirementIsBlocking",
    "Assertion": "Reads both TRUE and FALSE across the seed data, so it can distinguish cases.",
    "DefendsQuestion": "q-analyst-blocking-unmet-on-my-step",
    "Suite": "suite-witness",
    "Severity": "advisory",
    "LastOutcome": "WARN",
    "LastDetail": "always true (8/8)",
    "LastRunAt": "2026-07-20T03:06:49+00:00",
    "SemanticTypeIri": "urn:effortless:pko-extension#TestCase",
    "Name": "witness-discriminates: RequirementSatisfactions.RequirementIsBlocking",
    "IsBlocking": false,
    "IsPassing": false,
    "IsFailing": false,
    "NeedsAttention": false,
    "PassingSuiteKey": null,
    "NeedsAttentionSuiteKey": null
   },
   {
    "TestCaseId": "tc-witness-requirement_satisfactions-is_fully_satisfied",
    "TestKind": "witness-discriminates",
    "Subject": "RequirementSatisfactions.IsFullySatisfied",
    "TargetTable": "RequirementSatisfactions",
    "TargetField": "IsFullySatisfied",
    "Assertion": "Reads both TRUE and FALSE across the seed data, so it can distinguish cases.",
    "DefendsQuestion": "q-analyst-blocking-unmet-on-my-step",
    "Suite": "suite-witness",
    "Severity": "advisory",
    "LastOutcome": "PASS",
    "LastDetail": "7 true / 1 false",
    "LastRunAt": "2026-07-20T03:06:49+00:00",
    "SemanticTypeIri": "urn:effortless:pko-extension#TestCase",
    "Name": "witness-discriminates: RequirementSatisfactions.IsFullySatisfied",
    "IsBlocking": false,
    "IsPassing": true,
    "IsFailing": false,
    "NeedsAttention": false,
    "PassingSuiteKey": "suite-witness",
    "NeedsAttentionSuiteKey": null
   },
   {
    "TestCaseId": "tc-witness-requirement_satisfactions-is_blocking_and_unmet",
    "TestKind": "witness-discriminates",
    "Subject": "RequirementSatisfactions.IsBlockingAndUnmet",
    "TargetTable": "RequirementSatisfactions",
    "TargetField": "IsBlockingAndUnmet",
    "Assertion": "Reads both TRUE and FALSE across the seed data, so it can distinguish cases.",
    "DefendsQuestion": "q-analyst-blocking-unmet-on-my-step",
    "Suite": "suite-witness",
    "Severity": "advisory",
    "LastOutcome": "PASS",
    "LastDetail": "1 true / 7 false",
    "LastRunAt": "2026-07-20T03:06:49+00:00",
    "SemanticTypeIri": "urn:effortless:pko-extension#TestCase",
    "Name": "witness-discriminates: RequirementSatisfactions.IsBlockingAndUnmet",
    "IsBlocking": false,
    "IsPassing": true,
    "IsFailing": false,
    "NeedsAttention": false,
    "PassingSuiteKey": "suite-witness",
    "NeedsAttentionSuiteKey": null
   },
   {
    "TestCaseId": "tc-witness-requirement_satisfactions-non_human_evaluated_human_control",
    "TestKind": "witness-discriminates",
    "Subject": "RequirementSatisfactions.NonHumanEvaluatedHumanControl",
    "TargetTable": "RequirementSatisfactions",
    "TargetField": "NonHumanEvaluatedHumanControl",
    "Assertion": "Reads both TRUE and FALSE across the seed data, so it can distinguish cases.",
    "DefendsQuestion": "q-controller-ai-agent-approved-meaning",
    "Suite": "suite-witness",
    "Severity": "advisory",
    "LastOutcome": "WARN",
    "LastDetail": "never true (8/8 false)",
    "LastRunAt": "2026-07-20T03:06:49+00:00",
    "SemanticTypeIri": "urn:effortless:pko-extension#TestCase",
    "Name": "witness-discriminates: RequirementSatisfactions.NonHumanEvaluatedHumanControl",
    "IsBlocking": false,
    "IsPassing": false,
    "IsFailing": false,
    "NeedsAttention": false,
    "PassingSuiteKey": null,
    "NeedsAttentionSuiteKey": null
   },
   {
    "TestCaseId": "tc-witness-requirement_satisfactions-requirement_has_computed_witness",
    "TestKind": "witness-discriminates",
    "Subject": "RequirementSatisfactions.RequirementHasComputedWitness",
    "TargetTable": "RequirementSatisfactions",
    "TargetField": "RequirementHasComputedWitness",
    "Assertion": "Reads both TRUE and FALSE across the seed data, so it can distinguish cases.",
    "DefendsQuestion": "q-cfo-am-i-being-told-everything",
    "Suite": "suite-witness",
    "Severity": "advisory",
    "LastOutcome": "PASS",
    "LastDetail": "5 true / 3 false",
    "LastRunAt": "2026-07-20T03:06:49+00:00",
    "SemanticTypeIri": "urn:effortless:pko-extension#TestCase",
    "Name": "witness-discriminates: RequirementSatisfactions.RequirementHasComputedWitness",
    "IsBlocking": false,
    "IsPassing": true,
    "IsFailing": false,
    "NeedsAttention": false,
    "PassingSuiteKey": "suite-witness",
    "NeedsAttentionSuiteKey": null
   },
   {
    "TestCaseId": "tc-witness-requirement_satisfactions-is_asserted_only",
    "TestKind": "witness-discriminates",
    "Subject": "RequirementSatisfactions.IsAssertedOnly",
    "TargetTable": "RequirementSatisfactions",
    "TargetField": "IsAssertedOnly",
    "Assertion": "Reads both TRUE and FALSE across the seed data, so it can distinguish cases.",
    "DefendsQuestion": "q-cfo-am-i-being-told-everything",
    "Suite": "suite-witness",
    "Severity": "advisory",
    "LastOutcome": "PASS",
    "LastDetail": "3 true / 5 false",
    "LastRunAt": "2026-07-20T03:06:49+00:00",
    "SemanticTypeIri": "urn:effortless:pko-extension#TestCase",
    "Name": "witness-discriminates: RequirementSatisfactions.IsAssertedOnly",
    "IsBlocking": false,
    "IsPassing": true,
    "IsFailing": false,
    "NeedsAttention": false,
    "PassingSuiteKey": "suite-witness",
    "NeedsAttentionSuiteKey": null
   },
   {
    "TestCaseId": "tc-witness-requirement_satisfactions-is_human_evaluated",
    "TestKind": "witness-discriminates",
    "Subject": "RequirementSatisfactions.IsHumanEvaluated",
    "TargetTable": "RequirementSatisfactions",
    "TargetField": "IsHumanEvaluated",
    "Assertion": "Reads both TRUE and FALSE across the seed data, so it can distinguish cases.",
    "DefendsQuestion": "q-policy-ai-approval-chain-complete",
    "Suite": "suite-witness",
    "Severity": "advisory",
    "LastOutcome": "WARN",
    "LastDetail": "always true (8/8)",
    "LastRunAt": "2026-07-20T03:06:49+00:00",
    "SemanticTypeIri": "urn:effortless:pko-extension#TestCase",
    "Name": "witness-discriminates: RequirementSatisfactions.IsHumanEvaluated",
    "IsBlocking": false,
    "IsPassing": false,
    "IsFailing": false,
    "NeedsAttention": false,
    "PassingSuiteKey": null,
    "NeedsAttentionSuiteKey": null
   },
   {
    "TestCaseId": "tc-witness-requirement_satisfactions-is_invalid_approval",
    "TestKind": "witness-discriminates",
    "Subject": "RequirementSatisfactions.IsInvalidApproval",
    "TargetTable": "RequirementSatisfactions",
    "TargetField": "IsInvalidApproval",
    "Assertion": "Reads both TRUE and FALSE across the seed data, so it can distinguish cases.",
    "DefendsQuestion": "q-policy-ai-approval-chain-complete",
    "Suite": "suite-witness",
    "Severity": "advisory",
    "LastOutcome": "WARN",
    "LastDetail": "never true (8/8 false)",
    "LastRunAt": "2026-07-20T03:06:49+00:00",
    "SemanticTypeIri": "urn:effortless:pko-extension#TestCase",
    "Name": "witness-discriminates: RequirementSatisfactions.IsInvalidApproval",
    "IsBlocking": false,
    "IsPassing": false,
    "IsFailing": false,
    "NeedsAttention": false,
    "PassingSuiteKey": null,
    "NeedsAttentionSuiteKey": null
   },
   {
    "TestCaseId": "tc-witness-requirement_satisfactions-requirement_is_unfalsified",
    "TestKind": "witness-discriminates",
    "Subject": "RequirementSatisfactions.RequirementIsUnfalsified",
    "TargetTable": "RequirementSatisfactions",
    "TargetField": "RequirementIsUnfalsified",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RequirementSatisfactions.RequirementIsUnfalsified",
    "IsBlocking": false,
    "IsPassing": true,
    "IsFailing": false,
    "NeedsAttention": false,
    "PassingSuiteKey": "suite-witness",
    "NeedsAttentionSuiteKey": null
   },
   {
    "TestCaseId": "tc-witness-requirement_satisfactions-is_clearance_by_unfalsified_control",
    "TestKind": "witness-discriminates",
    "Subject": "RequirementSatisfactions.IsClearanceByUnfalsifiedControl",
    "TargetTable": "RequirementSatisfactions",
    "TargetField": "IsClearanceByUnfalsifiedControl",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RequirementSatisfactions.IsClearanceByUnfalsifiedControl",
    "IsBlocking": false,
    "IsPassing": true,
    "IsFailing": false,
    "NeedsAttention": false,
    "PassingSuiteKey": "suite-witness",
    "NeedsAttentionSuiteKey": null
   },
   {
    "TestCaseId": "tc-witness-requirement_satisfactions-evaluator_is_step_executor",
    "TestKind": "witness-discriminates",
    "Subject": "RequirementSatisfactions.EvaluatorIsStepExecutor",
    "TargetTable": "RequirementSatisfactions",
    "TargetField": "EvaluatorIsStepExecutor",
    "Assertion": "Reads both TRUE and FALSE across the seed data, so it can distinguish cases.",
    "DefendsQuestion": "q2-ctl-asserted-controls-by-who",
    "Suite": "suite-witness",
    "Severity": "advisory",
    "LastOutcome": "PASS",
    "LastDetail": "2 true / 6 false",
    "LastRunAt": "2026-07-20T03:06:49+00:00",
    "SemanticTypeIri": "urn:effortless:pko-extension#TestCase",
    "Name": "witness-discriminates: RequirementSatisfactions.EvaluatorIsStepExecutor",
    "IsBlocking": false,
    "IsPassing": true,
    "IsFailing": false,
    "NeedsAttention": false,
    "PassingSuiteKey": "suite-witness",
    "NeedsAttentionSuiteKey": null
   },
   {
    "TestCaseId": "tc-witness-requirement_satisfactions-evaluator_owns_the_run",
    "TestKind": "witness-discriminates",
    "Subject": "RequirementSatisfactions.EvaluatorOwnsTheRun",
    "TargetTable": "RequirementSatisfactions",
    "TargetField": "EvaluatorOwnsTheRun",
    "Assertion": "Reads both TRUE and FALSE across the seed data, so it can distinguish cases.",
    "DefendsQuestion": "q2-ctl-asserted-controls-by-who",
    "Suite": "suite-witness",
    "Severity": "advisory",
    "LastOutcome": "PASS",
    "LastDetail": "5 true / 3 false",
    "LastRunAt": "2026-07-20T03:06:49+00:00",
    "SemanticTypeIri": "urn:effortless:pko-extension#TestCase",
    "Name": "witness-discriminates: RequirementSatisfactions.EvaluatorOwnsTheRun",
    "IsBlocking": false,
    "IsPassing": true,
    "IsFailing": false,
    "NeedsAttention": false,
    "PassingSuiteKey": "suite-witness",
    "NeedsAttentionSuiteKey": null
   },
   {
    "TestCaseId": "tc-witness-requirement_satisfactions-is_interested_party_assertion",
    "TestKind": "witness-discriminates",
    "Subject": "RequirementSatisfactions.IsInterestedPartyAssertion",
    "TargetTable": "RequirementSatisfactions",
    "TargetField": "IsInterestedPartyAssertion",
    "Assertion": "Reads both TRUE and FALSE across the seed data, so it can distinguish cases.",
    "DefendsQuestion": "q2-ctl-asserted-controls-by-who",
    "Suite": "suite-witness",
    "Severity": "advisory",
    "LastOutcome": "PASS",
    "LastDetail": "3 true / 5 false",
    "LastRunAt": "2026-07-20T03:06:49+00:00",
    "SemanticTypeIri": "urn:effortless:pko-extension#TestCase",
    "Name": "witness-discriminates: RequirementSatisfactions.IsInterestedPartyAssertion",
    "IsBlocking": false,
    "IsPassing": true,
    "IsFailing": false,
    "NeedsAttention": false,
    "PassingSuiteKey": "suite-witness",
    "NeedsAttentionSuiteKey": null
   },
   {
    "TestCaseId": "tc-witness-requirement_satisfactions-has_written_evidence",
    "TestKind": "witness-discriminates",
    "Subject": "RequirementSatisfactions.HasWrittenEvidence",
    "TargetTable": "RequirementSatisfactions",
    "TargetField": "HasWrittenEvidence",
    "Assertion": "Reads both TRUE and FALSE across the seed data, so it can distinguish cases.",
    "DefendsQuestion": "q2-ctl-asserted-controls-by-who",
    "Suite": "suite-witness",
    "Severity": "advisory",
    "LastOutcome": "WARN",
    "LastDetail": "always true (8/8)",
    "LastRunAt": "2026-07-20T03:06:49+00:00",
    "SemanticTypeIri": "urn:effortless:pko-extension#TestCase",
    "Name": "witness-discriminates: RequirementSatisfactions.HasWrittenEvidence",
    "IsBlocking": false,
    "IsPassing": false,
    "IsFailing": false,
    "NeedsAttention": false,
    "PassingSuiteKey": null,
    "NeedsAttentionSuiteKey": null
   },
   {
    "TestCaseId": "tc-witness-requirement_satisfactions-is_bare_assertion",
    "TestKind": "witness-discriminates",
    "Subject": "RequirementSatisfactions.IsBareAssertion",
    "TargetTable": "RequirementSatisfactions",
    "TargetField": "IsBareAssertion",
    "Assertion": "Reads both TRUE and FALSE across the seed data, so it can distinguish cases.",
    "DefendsQuestion": "q2-ctl-asserted-controls-by-who",
    "Suite": "suite-witness",
    "Severity": "advisory",
    "LastOutcome": "WARN",
    "LastDetail": "never true (8/8 false)",
    "LastRunAt": "2026-07-20T03:06:49+00:00",
    "SemanticTypeIri": "urn:effortless:pko-extension#TestCase",
    "Name": "witness-discriminates: RequirementSatisfactions.IsBareAssertion",
    "IsBlocking": false,
    "IsPassing": false,
    "IsFailing": false,
    "NeedsAttention": false,
    "PassingSuiteKey": null,
    "NeedsAttentionSuiteKey": null
   },
   {
    "TestCaseId": "tc-witness-requirement_satisfactions-is_computedly_witnessed",
    "TestKind": "witness-discriminates",
    "Subject": "RequirementSatisfactions.IsComputedlyWitnessed",
    "TargetTable": "RequirementSatisfactions",
    "TargetField": "IsComputedlyWitnessed",
    "Assertion": "Reads both TRUE and FALSE across the seed data, so it can distinguish cases.",
    "DefendsQuestion": "q2-cfo-quality-of-a-green-attestation",
    "Suite": "suite-witness",
    "Severity": "advisory",
    "LastOutcome": "PASS",
    "LastDetail": "5 true / 3 false",
    "LastRunAt": "2026-07-20T03:06:49+00:00",
    "SemanticTypeIri": "urn:effortless:pko-extension#TestCase",
    "Name": "witness-discriminates: RequirementSatisfactions.IsComputedlyWitnessed",
    "IsBlocking": false,
    "IsPassing": true,
    "IsFailing": false,
    "NeedsAttention": false,
    "PassingSuiteKey": "suite-witness",
    "NeedsAttentionSuiteKey": null
   },
   {
    "TestCaseId": "tc-witness-requirement_satisfactions-was_scored_after_attestation",
    "TestKind": "witness-discriminates",
    "Subject": "RequirementSatisfactions.WasScoredAfterAttestation",
    "TargetTable": "RequirementSatisfactions",
    "TargetField": "WasScoredAfterAttestation",
    "Assertion": "Reads both TRUE and FALSE across the seed data, so it can distinguish cases.",
    "DefendsQuestion": "q2-cfo-what-changed-since-i-signed",
    "Suite": "suite-witness",
    "Severity": "advisory",
    "LastOutcome": "WARN",
    "LastDetail": "never true (0/8 false)",
    "LastRunAt": "2026-07-20T03:06:49+00:00",
    "SemanticTypeIri": "urn:effortless:pko-extension#TestCase",
    "Name": "witness-discriminates: RequirementSatisfactions.WasScoredAfterAttestation",
    "IsBlocking": false,
    "IsPassing": false,
    "IsFailing": false,
    "NeedsAttention": false,
    "PassingSuiteKey": null,
    "NeedsAttentionSuiteKey": null
   },
   {
    "TestCaseId": "tc-witness-issue_occurrences-is_unresolved",
    "TestKind": "witness-discriminates",
    "Subject": "IssueOccurrences.IsUnresolved",
    "TargetTable": "IssueOccurrences",
    "TargetField": "IsUnresolved",
    "Assertion": "Reads both TRUE and FALSE across the seed data, so it can distinguish cases.",
    "DefendsQuestion": "q-close-auto-last-run-clean",
    "Suite": "suite-witness",
    "Severity": "advisory",
    "LastOutcome": "PASS",
    "LastDetail": "1 true / 1 false",
    "LastRunAt": "2026-07-20T03:06:49+00:00",
    "SemanticTypeIri": "urn:effortless:pko-extension#TestCase",
    "Name": "witness-discriminates: IssueOccurrences.IsUnresolved",
    "IsBlocking": false,
    "IsPassing": true,
    "IsFailing": false,
    "NeedsAttention": false,
    "PassingSuiteKey": "suite-witness",
    "NeedsAttentionSuiteKey": null
   },
   {
    "TestCaseId": "tc-witness-stewardship_assignments-has_ever_been_reviewed",
    "TestKind": "witness-discriminates",
    "Subject": "StewardshipAssignments.HasEverBeenReviewed",
    "TargetTable": "StewardshipAssignments",
    "TargetField": "HasEverBeenReviewed",
    "Assertion": "Reads both TRUE and FALSE across the seed data, so it can distinguish cases.",
    "DefendsQuestion": "q-steward-cadence-breach",
    "Suite": "suite-witness",
    "Severity": "advisory",
    "LastOutcome": "WARN",
    "LastDetail": "always true (2/2)",
    "LastRunAt": "2026-07-20T03:06:49+00:00",
    "SemanticTypeIri": "urn:effortless:pko-extension#TestCase",
    "Name": "witness-discriminates: StewardshipAssignments.HasEverBeenReviewed",
    "IsBlocking": false,
    "IsPassing": false,
    "IsFailing": false,
    "NeedsAttention": false,
    "PassingSuiteKey": null,
    "NeedsAttentionSuiteKey": null
   },
   {
    "TestCaseId": "tc-witness-stewardship_assignments-is_current_assignment",
    "TestKind": "witness-discriminates",
    "Subject": "StewardshipAssignments.IsCurrentAssignment",
    "TargetTable": "StewardshipAssignments",
    "TargetField": "IsCurrentAssignment",
    "Assertion": "Reads both TRUE and FALSE across the seed data, so it can distinguish cases.",
    "DefendsQuestion": "q-steward-orphan-versions",
    "Suite": "suite-witness",
    "Severity": "advisory",
    "LastOutcome": "WARN",
    "LastDetail": "always true (2/2)",
    "LastRunAt": "2026-07-20T03:06:49+00:00",
    "SemanticTypeIri": "urn:effortless:pko-extension#TestCase",
    "Name": "witness-discriminates: StewardshipAssignments.IsCurrentAssignment",
    "IsBlocking": false,
    "IsPassing": false,
    "IsFailing": false,
    "NeedsAttention": false,
    "PassingSuiteKey": null,
    "NeedsAttentionSuiteKey": null
   },
   {
    "TestCaseId": "tc-witness-change_requests-is_open",
    "TestKind": "witness-discriminates",
    "Subject": "ChangeRequests.IsOpen",
    "TargetTable": "ChangeRequests",
    "TargetField": "IsOpen",
    "Assertion": "Reads both TRUE and FALSE across the seed data, so it can distinguish cases.",
    "DefendsQuestion": null,
    "Suite": "suite-witness",
    "Severity": "advisory",
    "LastOutcome": "PASS",
    "LastDetail": "1 true / 1 false",
    "LastRunAt": "2026-07-20T03:06:49+00:00",
    "SemanticTypeIri": "urn:effortless:pko-extension#TestCase",
    "Name": "witness-discriminates: ChangeRequests.IsOpen",
    "IsBlocking": false,
    "IsPassing": true,
    "IsFailing": false,
    "NeedsAttention": false,
    "PassingSuiteKey": "suite-witness",
    "NeedsAttentionSuiteKey": null
   },
   {
    "TestCaseId": "tc-witness-change_requests-is_decided",
    "TestKind": "witness-discriminates",
    "Subject": "ChangeRequests.IsDecided",
    "TargetTable": "ChangeRequests",
    "TargetField": "IsDecided",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ChangeRequests.IsDecided",
    "IsBlocking": false,
    "IsPassing": true,
    "IsFailing": false,
    "NeedsAttention": false,
    "PassingSuiteKey": "suite-witness",
    "NeedsAttentionSuiteKey": null
   },
   {
    "TestCaseId": "tc-witness-change_requests-is_still_pending",
    "TestKind": "witness-discriminates",
    "Subject": "ChangeRequests.IsStillPending",
    "TargetTable": "ChangeRequests",
    "TargetField": "IsStillPending",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ChangeRequests.IsStillPending",
    "IsBlocking": false,
    "IsPassing": true,
    "IsFailing": false,
    "NeedsAttention": false,
    "PassingSuiteKey": "suite-witness",
    "NeedsAttentionSuiteKey": null
   },
   {
    "TestCaseId": "tc-witness-change_requests-is_stalled",
    "TestKind": "witness-discriminates",
    "Subject": "ChangeRequests.IsStalled",
    "TargetTable": "ChangeRequests",
    "TargetField": "IsStalled",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ChangeRequests.IsStalled",
    "IsBlocking": false,
    "IsPassing": false,
    "IsFailing": false,
    "NeedsAttention": false,
    "PassingSuiteKey": null,
    "NeedsAttentionSuiteKey": null
   },
   {
    "TestCaseId": "tc-witness-change_requests-requester_is_authority",
    "TestKind": "witness-discriminates",
    "Subject": "ChangeRequests.RequesterIsAuthority",
    "TargetTable": "ChangeRequests",
    "TargetField": "RequesterIsAuthority",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ChangeRequests.RequesterIsAuthority",
    "IsBlocking": false,
    "IsPassing": false,
    "IsFailing": false,
    "NeedsAttention": false,
    "PassingSuiteKey": null,
    "NeedsAttentionSuiteKey": null
   },
   {
    "TestCaseId": "tc-witness-change_requests-awaits_authority_decision",
    "TestKind": "witness-discriminates",
    "Subject": "ChangeRequests.AwaitsAuthorityDecision",
    "TargetTable": "ChangeRequests",
    "TargetField": "AwaitsAuthorityDecision",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ChangeRequests.AwaitsAuthorityDecision",
    "IsBlocking": false,
    "IsPassing": true,
    "IsFailing": false,
    "NeedsAttention": false,
    "PassingSuiteKey": "suite-witness",
    "NeedsAttentionSuiteKey": null
   },
   {
    "TestCaseId": "tc-witness-change_requests-touches_live_version",
    "TestKind": "witness-discriminates",
    "Subject": "ChangeRequests.TouchesLiveVersion",
    "TargetTable": "ChangeRequests",
    "TargetField": "TouchesLiveVersion",
    "Assertion": "Reads both TRUE and FALSE across the seed data, so it can distinguish cases.",
    "DefendsQuestion": "q-hr-authority-without-review",
    "Suite": "suite-witness",
    "Severity": "advisory",
    "LastOutcome": "WARN",
    "LastDetail": "always true (2/2)",
    "LastRunAt": "2026-07-20T03:06:49+00:00",
    "SemanticTypeIri": "urn:effortless:pko-extension#TestCase",
    "Name": "witness-discriminates: ChangeRequests.TouchesLiveVersion",
    "IsBlocking": false,
    "IsPassing": false,
    "IsFailing": false,
    "NeedsAttention": false,
    "PassingSuiteKey": null,
    "NeedsAttentionSuiteKey": null
   },
   {
    "TestCaseId": "tc-witness-change_requests-is_live_decision_backlog",
    "TestKind": "witness-discriminates",
    "Subject": "ChangeRequests.IsLiveDecisionBacklog",
    "TargetTable": "ChangeRequests",
    "TargetField": "IsLiveDecisionBacklog",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ChangeRequests.IsLiveDecisionBacklog",
    "IsBlocking": false,
    "IsPassing": true,
    "IsFailing": false,
    "NeedsAttention": false,
    "PassingSuiteKey": "suite-witness",
    "NeedsAttentionSuiteKey": null
   },
   {
    "TestCaseId": "tc-witness-change_requests-blocks_an_open_gap",
    "TestKind": "witness-discriminates",
    "Subject": "ChangeRequests.BlocksAnOpenGap",
    "TargetTable": "ChangeRequests",
    "TargetFiel</t>
  </si>
  <si>
    <t xml:space="preserve">d": "BlocksAnOpenGap",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ChangeRequests.BlocksAnOpenGap",
    "IsBlocking": false,
    "IsPassing": true,
    "IsFailing": false,
    "NeedsAttention": false,
    "PassingSuiteKey": "suite-witness",
    "NeedsAttentionSuiteKey": null
   },
   {
    "TestCaseId": "tc-witness-change_requests-is_my_pending_decision",
    "TestKind": "witness-discriminates",
    "Subject": "ChangeRequests.IsMyPendingDecision",
    "TargetTable": "ChangeRequests",
    "TargetField": "IsMyPendingDecision",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ChangeRequests.IsMyPendingDecision",
    "IsBlocking": false,
    "IsPassing": true,
    "IsFailing": false,
    "NeedsAttention": false,
    "PassingSuiteKey": "suite-witness",
    "NeedsAttentionSuiteKey": null
   },
   {
    "TestCaseId": "tc-witness-change_requests-is_my_blocking_backlog",
    "TestKind": "witness-discriminates",
    "Subject": "ChangeRequests.IsMyBlockingBacklog",
    "TargetTable": "ChangeRequests",
    "TargetField": "IsMyBlockingBacklog",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ChangeRequests.IsMyBlockingBacklog",
    "IsBlocking": false,
    "IsPassing": true,
    "IsFailing": false,
    "NeedsAttention": false,
    "PassingSuiteKey": "suite-witness",
    "NeedsAttentionSuiteKey": null
   },
   {
    "TestCaseId": "tc-witness-change_requests-is_my_overdue_backlog",
    "TestKind": "witness-discriminates",
    "Subject": "ChangeRequests.IsMyOverdueBacklog",
    "TargetTable": "ChangeRequests",
    "TargetField": "IsMyOverdueBacklog",
    "Assertion": "Reads both TRUE and FALSE across the seed data, so it can distinguish cases.",
    "DefendsQuestion": "q2-hr-my-backlog-is-someone-elses-block",
    "Suite": "suite-witness",
    "Severity": "advisory",
    "LastOutcome": "WARN",
    "LastDetail": "never true (2/2 false)",
    "LastRunAt": "2026-07-20T03:06:49+00:00",
    "SemanticTypeIri": "urn:effortless:pko-extension#TestCase",
    "Name": "witness-discriminates: ChangeRequests.IsMyOverdueBacklog",
    "IsBlocking": false,
    "IsPassing": false,
    "IsFailing": false,
    "NeedsAttention": false,
    "PassingSuiteKey": null,
    "NeedsAttentionSuiteKey": null
   },
   {
    "TestCaseId": "tc-witness-change_requests-is_implemented",
    "TestKind": "witness-discriminates",
    "Subject": "ChangeRequests.IsImplemented",
    "TargetTable": "ChangeRequests",
    "TargetField": "IsImplemented",
    "Assertion": "Reads both TRUE and FALSE across the seed data, so it can distinguish cases.",
    "DefendsQuestion": "q2-hr-my-approvals-never-read-as-done",
    "Suite": "suite-witness",
    "Severity": "advisory",
    "LastOutcome": "PASS",
    "LastDetail": "1 true / 1 false",
    "LastRunAt": "2026-07-20T03:06:49+00:00",
    "SemanticTypeIri": "urn:effortless:pko-extension#TestCase",
    "Name": "witness-discriminates: ChangeRequests.IsImplemented",
    "IsBlocking": false,
    "IsPassing": true,
    "IsFailing": false,
    "NeedsAttention": false,
    "PassingSuiteKey": "suite-witness",
    "NeedsAttentionSuiteKey": null
   },
   {
    "TestCaseId": "tc-witness-change_requests-is_my_decided_request",
    "TestKind": "witness-discriminates",
    "Subject": "ChangeRequests.IsMyDecidedRequest",
    "TargetTable": "ChangeRequests",
    "TargetField": "IsMyDecidedRequest",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ChangeRequests.IsMyDecidedRequest",
    "IsBlocking": false,
    "IsPassing": false,
    "IsFailing": false,
    "NeedsAttention": false,
    "PassingSuiteKey": null,
    "NeedsAttentionSuiteKey": null
   },
   {
    "TestCaseId": "tc-witness-change_requests-is_my_decided_but_unlanded",
    "TestKind": "witness-discriminates",
    "Subject": "ChangeRequests.IsMyDecidedButUnlanded",
    "TargetTable": "ChangeRequests",
    "TargetField": "IsMyDecidedButUnlanded",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ChangeRequests.IsMyDecidedButUnlanded",
    "IsBlocking": false,
    "IsPassing": false,
    "IsFailing": false,
    "NeedsAttention": false,
    "PassingSuiteKey": null,
    "NeedsAttentionSuiteKey": null
   },
   {
    "TestCaseId": "tc-witness-change_requests-delay_is_downstream_of_me",
    "TestKind": "witness-discriminates",
    "Subject": "ChangeRequests.DelayIsDownstreamOfMe",
    "TargetTable": "ChangeRequests",
    "TargetField": "DelayIsDownstreamOfMe",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ChangeRequests.DelayIsDownstreamOfMe",
    "IsBlocking": false,
    "IsPassing": false,
    "IsFailing": false,
    "NeedsAttention": false,
    "PassingSuiteKey": null,
    "NeedsAttentionSuiteKey": null
   },
   {
    "TestCaseId": "tc-witness-change_requests-is_approved_not_implemented",
    "TestKind": "witness-discriminates",
    "Subject": "ChangeRequests.IsApprovedNotImplemented",
    "TargetTable": "ChangeRequests",
    "TargetField": "IsApprovedNotImplemented",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ChangeRequests.IsApprovedNotImplemented",
    "IsBlocking": false,
    "IsPassing": false,
    "IsFailing": false,
    "NeedsAttention": false,
    "PassingSuiteKey": null,
    "NeedsAttentionSuiteKey": null
   },
   {
    "TestCaseId": "tc-witness-change_requests-is_stalled_implementation",
    "TestKind": "witness-discriminates",
    "Subject": "ChangeRequests.IsStalledImplementation",
    "TargetTable": "ChangeRequests",
    "TargetField": "IsStalledImplementation",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ChangeRequests.IsStalledImplementation",
    "IsBlocking": false,
    "IsPassing": false,
    "IsFailing": false,
    "NeedsAttention": false,
    "PassingSuiteKey": null,
    "NeedsAttentionSuiteKey": null
   },
   {
    "TestCaseId": "tc-witness-change_requests-is_approved_decision",
    "TestKind": "witness-discriminates",
    "Subject": "ChangeRequests.IsApprovedDecision",
    "TargetTable": "ChangeRequests",
    "TargetField": "IsApprovedDecision",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ChangeRequests.IsApprovedDecision",
    "IsBlocking": false,
    "IsPassing": true,
    "IsFailing": false,
    "NeedsAttention": false,
    "PassingSuiteKey": "suite-witness",
    "NeedsAttentionSuiteKey": null
   },
   {
    "TestCaseId": "tc-witness-review_events-is_overdue",
    "TestKind": "witness-discriminates",
    "Subject": "ReviewEvents.IsOverdue",
    "TargetTable": "ReviewEvents",
    "TargetField": "IsOverdue",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ReviewEvents.IsOverdue",
    "IsBlocking": false,
    "IsPassing": true,
    "IsFailing": false,
    "NeedsAttention": false,
    "PassingSuiteKey": "suite-witness",
    "NeedsAttentionSuiteKey": null
   },
   {
    "TestCaseId": "tc-witness-review_events-exceeds_promised_cadence",
    "TestKind": "witness-discriminates",
    "Subject": "ReviewEvents.ExceedsPromisedCadence",
    "TargetTable": "ReviewEvents",
    "TargetField": "ExceedsPromisedCadence",
    "Assertion": "Reads both TRUE and FALSE across the seed data, so it can distinguish cases.",
    "DefendsQuestion": "q-steward-cadence-breach",
    "Suite": "suite-witness",
    "Severity": "advisory",
    "LastOutcome": "PASS",
    "LastDetail": "1 true / 2 false",
    "LastRunAt": "2026-07-20T03:06:49+00:00",
    "SemanticTypeIri": "urn:effortless:pko-extension#TestCase",
    "Name": "witness-discriminates: ReviewEvents.ExceedsPromisedCadence",
    "IsBlocking": false,
    "IsPassing": true,
    "IsFailing": false,
    "NeedsAttention": false,
    "PassingSuiteKey": "suite-witness",
    "NeedsAttentionSuiteKey": null
   },
   {
    "TestCaseId": "tc-witness-review_events-promise_and_behavior_disagree",
    "TestKind": "witness-discriminates",
    "Subject": "ReviewEvents.PromiseAndBehaviorDisagree",
    "TargetTable": "ReviewEvents",
    "TargetField": "PromiseAndBehaviorDisagree",
    "Assertion": "Reads both TRUE and FALSE across the seed data, so it can distinguish cases.",
    "DefendsQuestion": "q-steward-cadence-breach",
    "Suite": "suite-witness",
    "Severity": "advisory",
    "LastOutcome": "WARN",
    "LastDetail": "never true (3/3 false)",
    "LastRunAt": "2026-07-20T03:06:49+00:00",
    "SemanticTypeIri": "urn:effortless:pko-extension#TestCase",
    "Name": "witness-discriminates: ReviewEvents.PromiseAndBehaviorDisagree",
    "IsBlocking": false,
    "IsPassing": false,
    "IsFailing": false,
    "NeedsAttention": false,
    "PassingSuiteKey": null,
    "NeedsAttentionSuiteKey": null
   },
   {
    "TestCaseId": "tc-witness-operational_bindings-is_fresh",
    "TestKind": "witness-discriminates",
    "Subject": "OperationalBindings.IsFresh",
    "TargetTable": "OperationalBindings",
    "TargetField": "IsFresh",
    "Assertion": "Reads both TRUE and FALSE across the seed data, so it can distinguish cases.",
    "DefendsQuestion": null,
    "Suite": "suite-witness",
    "Severity": "advisory",
    "LastOutcome": "PASS",
    "LastDetail": "2 true / 3 false",
    "LastRunAt": "2026-07-20T03:06:49+00:00",
    "SemanticTypeIri": "urn:effortless:pko-extension#TestCase",
    "Name": "witness-discriminates: OperationalBindings.IsFresh",
    "IsBlocking": false,
    "IsPassing": true,
    "IsFailing": false,
    "NeedsAttention": false,
    "PassingSuiteKey": "suite-witness",
    "NeedsAttentionSuiteKey": null
   },
   {
    "TestCaseId": "tc-witness-operational_bindings-is_stale_and_authoritative",
    "TestKind": "witness-discriminates",
    "Subject": "OperationalBindings.IsStaleAndAuthoritative",
    "TargetTable": "OperationalBindings",
    "TargetField": "IsStaleAndAuthoritative",
    "Assertion": "Reads both TRUE and FALSE across the seed data, so it can distinguish cases.",
    "DefendsQuestion": "q-close-auto-input-freshness",
    "Suite": "suite-witness",
    "Severity": "advisory",
    "LastOutcome": "PASS",
    "LastDetail": "3 true / 2 false",
    "LastRunAt": "2026-07-20T03:06:49+00:00",
    "SemanticTypeIri": "urn:effortless:pko-extension#TestCase",
    "Name": "witness-discriminates: OperationalBindings.IsStaleAndAuthoritative",
    "IsBlocking": false,
    "IsPassing": true,
    "IsFailing": false,
    "NeedsAttention": false,
    "PassingSuiteKey": "suite-witness",
    "NeedsAttentionSuiteKey": null
   },
   {
    "TestCaseId": "tc-witness-operational_bindings-resource_is_approved",
    "TestKind": "witness-discriminates",
    "Subject": "OperationalBindings.ResourceIsApproved",
    "TargetTable": "OperationalBindings",
    "TargetField": "ResourceIsApproved",
    "Assertion": "Reads both TRUE and FALSE across the seed data, so it can distinguish cases.",
    "DefendsQuestion": "q-policy-ai-source-approval",
    "Suite": "suite-witness",
    "Severity": "advisory",
    "LastOutcome": "WARN",
    "LastDetail": "never true (0/5 false)",
    "LastRunAt": "2026-07-20T03:06:49+00:00",
    "SemanticTypeIri": "urn:effortless:pko-extension#TestCase",
    "Name": "witness-discriminates: OperationalBindings.ResourceIsApproved",
    "IsBlocking": false,
    "IsPassing": false,
    "IsFailing": false,
    "NeedsAttention": false,
    "PassingSuiteKey": null,
    "NeedsAttentionSuiteKey": null
   },
   {
    "TestCaseId": "tc-witness-operational_bindings-is_usable_for_drafting",
    "TestKind": "witness-discriminates",
    "Subject": "OperationalBindings.IsUsableForDrafting",
    "TargetTable": "OperationalBindings",
    "TargetField": "IsUsableForDrafting",
    "Assertion": "Reads both TRUE and FALSE across the seed data, so it can distinguish cases.",
    "DefendsQuestion": "q-policy-ai-source-approval",
    "Suite": "suite-witness",
    "Severity": "advisory",
    "LastOutcome": "WARN",
    "LastDetail": "never true (3/5 false)",
    "LastRunAt": "2026-07-20T03:06:49+00:00",
    "SemanticTypeIri": "urn:effortless:pko-extension#TestCase",
    "Name": "witness-discriminates: OperationalBindings.IsUsableForDrafting",
    "IsBlocking": false,
    "IsPassing": false,
    "IsFailing": false,
    "NeedsAttention": false,
    "PassingSuiteKey": null,
    "NeedsAttentionSuiteKey": null
   },
   {
    "TestCaseId": "tc-witness-communication_policies-is_active_policy",
    "TestKind": "witness-discriminates",
    "Subject": "CommunicationPolicies.IsActivePolicy",
    "TargetTable": "CommunicationPolicies",
    "TargetField": "IsActivePolicy",
    "Assertion": "Reads both TRUE and FALSE across the seed data, so it can distinguish cases.",
    "DefendsQuestion": "q-publisher-may-i-transmit",
    "Suite": "suite-witness",
    "Severity": "advisory",
    "LastOutcome": "WARN",
    "LastDetail": "always true (2/2)",
    "LastRunAt": "2026-07-20T03:06:49+00:00",
    "SemanticTypeIri": "urn:effortless:pko-extension#TestCase",
    "Name": "witness-discriminates: CommunicationPolicies.IsActivePolicy",
    "IsBlocking": false,
    "IsPassing": false,
    "IsFailing": false,
    "NeedsAttention": false,
    "PassingSuiteKey": null,
    "NeedsAttentionSuiteKey": null
   },
   {
    "TestCaseId": "tc-witness-message_templates-is_template_over_length",
    "TestKind": "witness-discriminates",
    "Subject": "MessageTemplates.IsTemplateOverLength",
    "TargetTable": "MessageTemplates",
    "TargetField": "IsTemplateOverLength",
    "Assertion": "Reads both TRUE and FALSE across the seed data, so it can distinguish cases.",
    "DefendsQuestion": "q-comms-oversized-sms",
    "Suite": "suite-witness",
    "Severity": "advisory",
    "LastOutcome": "WARN",
    "LastDetail": "never true (2/2 false)",
    "LastRunAt": "2026-07-20T03:06:49+00:00",
    "SemanticTypeIri": "urn:effortless:pko-extension#TestCase",
    "Name": "witness-discriminates: MessageTemplates.IsTemplateOverLength",
    "IsBlocking": false,
    "IsPassing": false,
    "IsFailing": false,
    "NeedsAttention": false,
    "PassingSuiteKey": null,
    "NeedsAttentionSuiteKey": null
   },
   {
    "TestCaseId": "tc-witness-message_templates-has_valid_approval",
    "TestKind": "witness-discriminates",
    "Subject": "MessageTemplates.HasValidApproval",
    "TargetTable": "MessageTemplates",
    "TargetField": "HasValidApproval",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MessageTemplates.HasValidApproval",
    "IsBlocking": false,
    "IsPassing": false,
    "IsFailing": false,
    "NeedsAttention": false,
    "PassingSuiteKey": null,
    "NeedsAttentionSuiteKey": null
   },
   {
    "TestCaseId": "tc-witness-message_templates-is_claiming_unbacked_approval",
    "TestKind": "witness-discriminates",
    "Subject": "MessageTemplates.IsClaimingUnbackedApproval",
    "TargetTable": "MessageTemplates",
    "TargetField": "IsClaimingUnbackedApproval",
    "Assertion": "Reads both TRUE and FALSE across the seed data, so it can distinguish cases.",
    "DefendsQuestion": "q-comms-approval-authority",
    "Suite": "suite-witness",
    "Severity": "advisory",
    "LastOutcome": "WARN",
    "LastDetail": "never true (2/2 false)",
    "LastRunAt": "2026-07-20T03:06:49+00:00",
    "SemanticTypeIri": "urn:effortless:pko-extension#TestCase",
    "Name": "witness-discriminates: MessageTemplates.IsClaimingUnbackedApproval",
    "IsBlocking": false,
    "IsPassing": false,
    "IsFailing": false,
    "NeedsAttention": false,
    "PassingSuiteKey": null,
    "NeedsAttentionSuiteKey": null
   },
   {
    "TestCaseId": "tc-witness-message_templates-has_body_drifted",
    "TestKind": "witness-discriminates",
    "Subject": "MessageTemplates.HasBodyDrifted",
    "TargetTable": "MessageTemplates",
    "TargetField": "HasBodyDrifted",
    "Assertion": "Reads both TRUE and FALSE across the seed data, so it can distinguish cases.",
    "DefendsQuestion": "q-comms-template-drift",
    "Suite": "suite-witness",
    "Severity": "advisory",
    "LastOutcome": "WARN",
    "LastDetail": "never true (2/2 false)",
    "LastRunAt": "2026-07-20T03:06:49+00:00",
    "SemanticTypeIri": "urn:effortless:pko-extension#TestCase",
    "Name": "witness-discriminates: MessageTemplates.HasBodyDrifted",
    "IsBlocking": false,
    "IsPassing": false,
    "IsFailing": false,
    "NeedsAttention": false,
    "PassingSuiteKey": null,
    "NeedsAttentionSuiteKey": null
   },
   {
    "TestCaseId": "tc-witness-message_templates-is_sendable_under_approval",
    "TestKind": "witness-discriminates",
    "Subject": "MessageTemplates.IsSendableUnderApproval",
    "TargetTable": "MessageTemplates",
    "TargetField": "IsSendableUnderApproval",
    "Assertion": "Reads both TRUE and FALSE across the seed data, so it can distinguish cases.",
    "DefendsQuestion": "q-comms-template-drift",
    "Suite": "suite-witness",
    "Severity": "advisory",
    "LastOutcome": "WARN",
    "LastDetail": "always true (2/2)",
    "LastRunAt": "2026-07-20T03:06:49+00:00",
    "SemanticTypeIri": "urn:effortless:pko-extension#TestCase",
    "Name": "witness-discriminates: MessageTemplates.IsSendableUnderApproval",
    "IsBlocking": false,
    "IsPassing": false,
    "IsFailing": false,
    "NeedsAttention": false,
    "PassingSuiteKey": null,
    "NeedsAttentionSuiteKey": null
   },
   {
    "TestCaseId": "tc-witness-message_templates-template_draws_no_response",
    "TestKind": "witness-discriminates",
    "Subject": "MessageTemplates.TemplateDrawsNoResponse",
    "TargetTable": "MessageTemplates",
    "TargetField": "TemplateDrawsNoResponse",
    "Assertion": "Reads both TRUE and FALSE across the seed data, so it can distinguish cases.",
    "DefendsQuestion": "q2-comms-message-nobody-answered",
    "Suite": "suite-witness",
    "Severity": "advisory",
    "LastOutcome": "PASS",
    "LastDetail": "1 true / 1 false",
    "LastRunAt": "2026-07-20T03:06:49+00:00",
    "SemanticTypeIri": "urn:effortless:pko-extension#TestCase",
    "Name": "witness-discriminates: MessageTemplates.TemplateDrawsNoResponse",
    "IsBlocking": false,
    "IsPassing": true,
    "IsFailing": false,
    "NeedsAttention": false,
    "PassingSuiteKey": "suite-witness",
    "NeedsAttentionSuiteKey": null
   },
   {
    "TestCaseId": "tc-witness-exception_invocations-approval_role_matches",
    "TestKind": "witness-discriminates",
    "Subject": "ExceptionInvocations.ApprovalRoleMatches",
    "TargetTable": "ExceptionInvocations",
    "TargetField": "ApprovalRoleMatches",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ExceptionInvocations.ApprovalRoleMatches",
    "IsBlocking": false,
    "IsPassing": false,
    "IsFailing": false,
    "NeedsAttention": false,
    "PassingSuiteKey": null,
    "NeedsAttentionSuiteKey": null
   },
   {
    "TestCaseId": "tc-witness-exception_invocations-is_approved",
    "TestKind": "witness-discriminates",
    "Subject": "ExceptionInvocations.IsApproved",
    "TargetTable": "ExceptionInvocations",
    "TargetField": "IsApproved",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ExceptionInvocations.IsApproved",
    "IsBlocking": false,
    "IsPassing": false,
    "IsFailing": false,
    "NeedsAttention": false,
    "PassingSuiteKey": null,
    "NeedsAttentionSuiteKey": null
   },
   {
    "TestCaseId": "tc-witness-exception_invocations-is_improperly_approved",
    "TestKind": "witness-discriminates",
    "Subject": "ExceptionInvocations.IsImproperlyApproved",
    "TargetTable": "ExceptionInvocations",
    "TargetField": "IsImproperlyApproved",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ExceptionInvocations.IsImproperlyApproved",
    "IsBlocking": false,
    "IsPassing": false,
    "IsFailing": false,
    "NeedsAttention": false,
    "PassingSuiteKey": null,
    "NeedsAttentionSuiteKey": null
   },
   {
    "TestCaseId": "tc-witness-exception_invocations-delegated_to_preparer",
    "TestKind": "witness-discriminates",
    "Subject": "ExceptionInvocations.DelegatedToPreparer",
    "TargetTable": "ExceptionInvocations",
    "TargetField": "DelegatedToPreparer",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ExceptionInvocations.DelegatedToPreparer",
    "IsBlocking": false,
    "IsPassing": false,
    "IsFailing": false,
    "NeedsAttention": false,
    "PassingSuiteKey": null,
    "NeedsAttentionSuiteKey": null
   },
   {
    "TestCaseId": "tc-witness-exception_invocations-is_ungoverned_invocation",
    "TestKind": "witness-discriminates",
    "Subject": "ExceptionInvocations.IsUngovernedInvocation",
    "TargetTable": "ExceptionInvocations",
    "TargetField": "IsUngovernedInvocation",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ExceptionInvocations.IsUngovernedInvocation",
    "IsBlocking": false,
    "IsPassing": false,
    "IsFailing": false,
    "NeedsAttention": false,
    "PassingSuiteKey": null,
    "NeedsAttentionSuiteKey": null
   },
   {
    "TestCaseId": "tc-witness-verification_outcomes-signal_matches_expected",
    "TestKind": "witness-discriminates",
    "Subject": "VerificationOutcomes.SignalMatchesExpected",
    "TargetTable": "VerificationOutcomes",
    "TargetField": "SignalMatchesExpected",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VerificationOutcomes.SignalMatchesExpected",
    "IsBlocking": false,
    "IsPassing": true,
    "IsFailing": false,
    "NeedsAttention": false,
    "PassingSuiteKey": "suite-witness",
    "NeedsAttentionSuiteKey": null
   },
   {
    "TestCaseId": "tc-witness-verification_outcomes-has_evidence",
    "TestKind": "witness-discriminates",
    "Subject": "VerificationOutcomes.HasEvidence",
    "TargetTable": "VerificationOutcomes",
    "TargetField": "HasEvidence",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VerificationOutcomes.HasEvidence",
    "IsBlocking": false,
    "IsPassing": true,
    "IsFailing": false,
    "NeedsAttention": false,
    "PassingSuiteKey": "suite-witness",
    "NeedsAttentionSuiteKey": null
   },
   {
    "TestCaseId": "tc-witness-verification_outcomes-is_unbacked_observation",
    "TestKind": "witness-discriminates",
    "Subject": "VerificationOutcomes.IsUnbackedObservation",
    "TargetTable": "VerificationOutcomes",
    "TargetField": "IsUnbackedObservation",
    "Assertion": "Reads both TRUE and FALSE across the seed data, so it can distinguish cases.",
    "DefendsQuestion": null,
    "Suite": "suite-witness",
    "Severity": "advisory",
    "LastOutcome": "PASS",
    "LastDetail": "1 true / 3 false",
    "LastRunAt": "2026-07-20T03:06:49+00:00",
    "SemanticTypeIri": "urn:effortless:pko-extension#TestCase",
    "Name": "witness-discriminates: VerificationOutcomes.IsUnbackedObservation",
    "IsBlocking": false,
    "IsPassing": true,
    "IsFailing": false,
    "NeedsAttention": false,
    "PassingSuiteKey": "suite-witness",
    "NeedsAttentionSuiteKey": null
   },
   {
    "TestCaseId": "tc-witness-verification_outcomes-is_self_witnessed",
    "TestKind": "witness-discriminates",
    "Subject": "VerificationOutcomes.IsSelfWitnessed",
    "TargetTable": "VerificationOutcomes",
    "TargetField": "IsSelfWitnessed",
    "Assertion": "Reads both TRUE and FALSE across the seed data, so it can distinguish cases.",
    "DefendsQuestion": "q-cfo-approval-was-actually-verified",
    "Suite": "suite-witness",
    "Severity": "advisory",
    "LastOutcome": "PASS",
    "LastDetail": "3 true / 1 false",
    "LastRunAt": "2026-07-20T03:06:49+00:00",
    "SemanticTypeIri": "urn:effortless:pko-extension#TestCase",
    "Name": "witness-discriminates: VerificationOutcomes.IsSelfWitnessed",
    "IsBlocking": false,
    "IsPassing": true,
    "IsFailing": false,
    "NeedsAttention": false,
    "PassingSuiteKey": "suite-witness",
    "NeedsAttentionSuiteKey": null
   },
   {
    "TestCaseId": "tc-witness-verification_outcomes-is_self_witnessed_and_unbacked",
    "TestKind": "witness-discriminates",
    "Subject": "VerificationOutcomes.IsSelfWitnessedAndUnbacked",
    "TargetTable": "VerificationOutcomes",
    "TargetField": "IsSelfWitnessedAndUnbacked",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VerificationOutcomes.IsSelfWitnessedAndUnbacked",
    "IsBlocking": false,
    "IsPassing": true,
    "IsFailing": false,
    "NeedsAttention": false,
    "PassingSuiteKey": "suite-witness",
    "NeedsAttentionSuiteKey": null
   },
   {
    "TestCaseId": "tc-witness-verification_outcomes-is_uncorroborated_pass",
    "TestKind": "witness-discriminates",
    "Subject": "VerificationOutcomes.IsUncorroboratedPass",
    "TargetTable": "VerificationOutcomes",
    "TargetField": "IsUncorroboratedPass",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VerificationOutcomes.IsUncorroboratedPass",
    "IsBlocking": false,
    "IsPassing": true,
    "IsFailing": false,
    "NeedsAttention": false,
    "PassingSuiteKey": "suite-witness",
    "NeedsAttentionSuiteKey": null
   },
   {
    "TestCaseId": "tc-witness-verification_outcomes-observer_is_non_human",
    "TestKind": "witness-discriminates",
    "Subject": "VerificationOutcomes.ObserverIsNonHuman",
    "TargetTable": "VerificationOutcomes",
    "TargetField": "ObserverIsNonHuman",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VerificationOutcomes.ObserverIsNonHuman",
    "IsBlocking": false,
    "IsPassing": true,
    "IsFailing": false,
    "NeedsAttention": false,
    "PassingSuiteKey": "suite-witness",
    "N</t>
  </si>
  <si>
    <t xml:space="preserve">eedsAttentionSuiteKey": null
   },
   {
    "TestCaseId": "tc-witness-verification_outcomes-observer_is_independent_of_executor",
    "TestKind": "witness-discriminates",
    "Subject": "VerificationOutcomes.ObserverIsIndependentOfExecutor",
    "TargetTable": "VerificationOutcomes",
    "TargetField": "ObserverIsIndependentOfExecutor",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VerificationOutcomes.ObserverIsIndependentOfExecutor",
    "IsBlocking": false,
    "IsPassing": true,
    "IsFailing": false,
    "NeedsAttention": false,
    "PassingSuiteKey": "suite-witness",
    "NeedsAttentionSuiteKey": null
   },
   {
    "TestCaseId": "tc-witness-verification_outcomes-is_independent_human_observation",
    "TestKind": "witness-discriminates",
    "Subject": "VerificationOutcomes.IsIndependentHumanObservation",
    "TargetTable": "VerificationOutcomes",
    "TargetField": "IsIndependentHumanObservation",
    "Assertion": "Reads both TRUE and FALSE across the seed data, so it can distinguish cases.",
    "DefendsQuestion": "q2-cfo-who-witnessed-the-witnesses",
    "Suite": "suite-witness",
    "Severity": "advisory",
    "LastOutcome": "PASS",
    "LastDetail": "1 true / 3 false",
    "LastRunAt": "2026-07-20T03:06:49+00:00",
    "SemanticTypeIri": "urn:effortless:pko-extension#TestCase",
    "Name": "witness-discriminates: VerificationOutcomes.IsIndependentHumanObservation",
    "IsBlocking": false,
    "IsPassing": true,
    "IsFailing": false,
    "NeedsAttention": false,
    "PassingSuiteKey": "suite-witness",
    "NeedsAttentionSuiteKey": null
   },
   {
    "TestCaseId": "tc-witness-recipients-has_sms_consent",
    "TestKind": "witness-discriminates",
    "Subject": "Recipients.HasSmsConsent",
    "TargetTable": "Recipients",
    "TargetField": "HasSmsConsent",
    "Assertion": "Reads both TRUE and FALSE across the seed data, so it can distinguish cases.",
    "DefendsQuestion": null,
    "Suite": "suite-witness",
    "Severity": "advisory",
    "LastOutcome": "PASS",
    "LastDetail": "3 true / 2 false",
    "LastRunAt": "2026-07-20T03:06:49+00:00",
    "SemanticTypeIri": "urn:effortless:pko-extension#TestCase",
    "Name": "witness-discriminates: Recipients.HasSmsConsent",
    "IsBlocking": false,
    "IsPassing": true,
    "IsFailing": false,
    "NeedsAttention": false,
    "PassingSuiteKey": "suite-witness",
    "NeedsAttentionSuiteKey": null
   },
   {
    "TestCaseId": "tc-witness-recipients-is_email_reachable",
    "TestKind": "witness-discriminates",
    "Subject": "Recipients.IsEmailReachable",
    "TargetTable": "Recipients",
    "TargetField": "IsEmailReachable",
    "Assertion": "Reads both TRUE and FALSE across the seed data, so it can distinguish cases.",
    "DefendsQuestion": null,
    "Suite": "suite-witness",
    "Severity": "advisory",
    "LastOutcome": "WARN",
    "LastDetail": "always true (5/5)",
    "LastRunAt": "2026-07-20T03:06:49+00:00",
    "SemanticTypeIri": "urn:effortless:pko-extension#TestCase",
    "Name": "witness-discriminates: Recipients.IsEmailReachable",
    "IsBlocking": false,
    "IsPassing": false,
    "IsFailing": false,
    "NeedsAttention": false,
    "PassingSuiteKey": null,
    "NeedsAttentionSuiteKey": null
   },
   {
    "TestCaseId": "tc-witness-recipients-is_sms_reachable",
    "TestKind": "witness-discriminates",
    "Subject": "Recipients.IsSmsReachable",
    "TargetTable": "Recipients",
    "TargetField": "IsSmsReachable",
    "Assertion": "Reads both TRUE and FALSE across the seed data, so it can distinguish cases.",
    "DefendsQuestion": null,
    "Suite": "suite-witness",
    "Severity": "advisory",
    "LastOutcome": "PASS",
    "LastDetail": "4 true / 1 false",
    "LastRunAt": "2026-07-20T03:06:49+00:00",
    "SemanticTypeIri": "urn:effortless:pko-extension#TestCase",
    "Name": "witness-discriminates: Recipients.IsSmsReachable",
    "IsBlocking": false,
    "IsPassing": true,
    "IsFailing": false,
    "NeedsAttention": false,
    "PassingSuiteKey": "suite-witness",
    "NeedsAttentionSuiteKey": null
   },
   {
    "TestCaseId": "tc-witness-recipients-is_unreachable",
    "TestKind": "witness-discriminates",
    "Subject": "Recipients.IsUnreachable",
    "TargetTable": "Recipients",
    "TargetField": "IsUnreachable",
    "Assertion": "Reads both TRUE and FALSE across the seed data, so it can distinguish cases.",
    "DefendsQuestion": null,
    "Suite": "suite-witness",
    "Severity": "advisory",
    "LastOutcome": "WARN",
    "LastDetail": "never true (5/5 false)",
    "LastRunAt": "2026-07-20T03:06:49+00:00",
    "SemanticTypeIri": "urn:effortless:pko-extension#TestCase",
    "Name": "witness-discriminates: Recipients.IsUnreachable",
    "IsBlocking": false,
    "IsPassing": false,
    "IsFailing": false,
    "NeedsAttention": false,
    "PassingSuiteKey": null,
    "NeedsAttentionSuiteKey": null
   },
   {
    "TestCaseId": "tc-witness-recipients-is_communicationally_stranded",
    "TestKind": "witness-discriminates",
    "Subject": "Recipients.IsCommunicationallyStranded",
    "TargetTable": "Recipients",
    "TargetField": "IsCommunicationallyStranded",
    "Assertion": "Reads both TRUE and FALSE across the seed data, so it can distinguish cases.",
    "DefendsQuestion": "q2-comms-suppression-is-a-communication",
    "Suite": "suite-witness",
    "Severity": "advisory",
    "LastOutcome": "WARN",
    "LastDetail": "never true (5/5 false)",
    "LastRunAt": "2026-07-20T03:06:49+00:00",
    "SemanticTypeIri": "urn:effortless:pko-extension#TestCase",
    "Name": "witness-discriminates: Recipients.IsCommunicationallyStranded",
    "IsBlocking": false,
    "IsPassing": false,
    "IsFailing": false,
    "NeedsAttention": false,
    "PassingSuiteKey": null,
    "NeedsAttentionSuiteKey": null
   },
   {
    "TestCaseId": "tc-witness-message_deliveries-policy_requires_consent",
    "TestKind": "witness-discriminates",
    "Subject": "MessageDeliveries.PolicyRequiresConsent",
    "TargetTable": "MessageDeliveries",
    "TargetField": "PolicyRequiresConsent",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MessageDeliveries.PolicyRequiresConsent",
    "IsBlocking": false,
    "IsPassing": true,
    "IsFailing": false,
    "NeedsAttention": false,
    "PassingSuiteKey": "suite-witness",
    "NeedsAttentionSuiteKey": null
   },
   {
    "TestCaseId": "tc-witness-message_deliveries-recipient_has_sms_consent",
    "TestKind": "witness-discriminates",
    "Subject": "MessageDeliveries.RecipientHasSmsConsent",
    "TargetTable": "MessageDeliveries",
    "TargetField": "RecipientHasSmsConsent",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MessageDeliveries.RecipientHasSmsConsent",
    "IsBlocking": false,
    "IsPassing": true,
    "IsFailing": false,
    "NeedsAttention": false,
    "PassingSuiteKey": "suite-witness",
    "NeedsAttentionSuiteKey": null
   },
   {
    "TestCaseId": "tc-witness-message_deliveries-was_actually_transmitted",
    "TestKind": "witness-discriminates",
    "Subject": "MessageDeliveries.WasActuallyTransmitted",
    "TargetTable": "MessageDeliveries",
    "TargetField": "WasActuallyTransmitted",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MessageDeliveries.WasActuallyTransmitted",
    "IsBlocking": false,
    "IsPassing": true,
    "IsFailing": false,
    "NeedsAttention": false,
    "PassingSuiteKey": "suite-witness",
    "NeedsAttentionSuiteKey": null
   },
   {
    "TestCaseId": "tc-witness-message_deliveries-is_consent_violation",
    "TestKind": "witness-discriminates",
    "Subject": "MessageDeliveries.IsConsentViolation",
    "TargetTable": "MessageDeliveries",
    "TargetField": "IsConsentViolation",
    "Assertion": "Reads both TRUE and FALSE across the seed data, so it can distinguish cases.",
    "DefendsQuestion": "q-counsel-sms-without-consent",
    "Suite": "suite-witness",
    "Severity": "advisory",
    "LastOutcome": "WARN",
    "LastDetail": "never true (6/6 false)",
    "LastRunAt": "2026-07-20T03:06:49+00:00",
    "SemanticTypeIri": "urn:effortless:pko-extension#TestCase",
    "Name": "witness-discriminates: MessageDeliveries.IsConsentViolation",
    "IsBlocking": false,
    "IsPassing": false,
    "IsFailing": false,
    "NeedsAttention": false,
    "PassingSuiteKey": null,
    "NeedsAttentionSuiteKey": null
   },
   {
    "TestCaseId": "tc-witness-message_deliveries-policy_has_quiet_hours",
    "TestKind": "witness-discriminates",
    "Subject": "MessageDeliveries.PolicyHasQuietHours",
    "TargetTable": "MessageDeliveries",
    "TargetField": "PolicyHasQuietHours",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MessageDeliveries.PolicyHasQuietHours",
    "IsBlocking": false,
    "IsPassing": true,
    "IsFailing": false,
    "NeedsAttention": false,
    "PassingSuiteKey": "suite-witness",
    "NeedsAttentionSuiteKey": null
   },
   {
    "TestCaseId": "tc-witness-message_deliveries-quiet_window_wraps_midnight",
    "TestKind": "witness-discriminates",
    "Subject": "MessageDeliveries.QuietWindowWrapsMidnight",
    "TargetTable": "MessageDeliveries",
    "TargetField": "QuietWindowWrapsMidnight",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MessageDeliveries.QuietWindowWrapsMidnight",
    "IsBlocking": false,
    "IsPassing": true,
    "IsFailing": false,
    "NeedsAttention": false,
    "PassingSuiteKey": "suite-witness",
    "NeedsAttentionSuiteKey": null
   },
   {
    "TestCaseId": "tc-witness-message_deliveries-is_inside_quiet_window",
    "TestKind": "witness-discriminates",
    "Subject": "MessageDeliveries.IsInsideQuietWindow",
    "TargetTable": "MessageDeliveries",
    "TargetField": "IsInsideQuietWindow",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MessageDeliveries.IsInsideQuietWindow",
    "IsBlocking": false,
    "IsPassing": true,
    "IsFailing": false,
    "NeedsAttention": false,
    "PassingSuiteKey": "suite-witness",
    "NeedsAttentionSuiteKey": null
   },
   {
    "TestCaseId": "tc-witness-message_deliveries-is_quiet_hours_violation",
    "TestKind": "witness-discriminates",
    "Subject": "MessageDeliveries.IsQuietHoursViolation",
    "TargetTable": "MessageDeliveries",
    "TargetField": "IsQuietHoursViolation",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MessageDeliveries.IsQuietHoursViolation",
    "IsBlocking": false,
    "IsPassing": true,
    "IsFailing": false,
    "NeedsAttention": false,
    "PassingSuiteKey": "suite-witness",
    "NeedsAttentionSuiteKey": null
   },
   {
    "TestCaseId": "tc-witness-message_deliveries-recipient_is_unreachable",
    "TestKind": "witness-discriminates",
    "Subject": "MessageDeliveries.RecipientIsUnreachable",
    "TargetTable": "MessageDeliveries",
    "TargetField": "RecipientIsUnreachable",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MessageDeliveries.RecipientIsUnreachable",
    "IsBlocking": false,
    "IsPassing": false,
    "IsFailing": false,
    "NeedsAttention": false,
    "PassingSuiteKey": null,
    "NeedsAttentionSuiteKey": null
   },
   {
    "TestCaseId": "tc-witness-message_deliveries-is_acknowledged",
    "TestKind": "witness-discriminates",
    "Subject": "MessageDeliveries.IsAcknowledged",
    "TargetTable": "MessageDeliveries",
    "TargetField": "IsAcknowledged",
    "Assertion": "Reads both TRUE and FALSE across the seed data, so it can distinguish cases.",
    "DefendsQuestion": "q-counsel-unreachable-not-acknowledged",
    "Suite": "suite-witness",
    "Severity": "advisory",
    "LastOutcome": "PASS",
    "LastDetail": "1 true / 5 false",
    "LastRunAt": "2026-07-20T03:06:49+00:00",
    "SemanticTypeIri": "urn:effortless:pko-extension#TestCase",
    "Name": "witness-discriminates: MessageDeliveries.IsAcknowledged",
    "IsBlocking": false,
    "IsPassing": true,
    "IsFailing": false,
    "NeedsAttention": false,
    "PassingSuiteKey": "suite-witness",
    "NeedsAttentionSuiteKey": null
   },
   {
    "TestCaseId": "tc-witness-message_deliveries-has_unreachable_exception_invoked",
    "TestKind": "witness-discriminates",
    "Subject": "MessageDeliveries.HasUnreachableExceptionInvoked",
    "TargetTable": "MessageDeliveries",
    "TargetField": "HasUnreachableExceptionInvoked",
    "Assertion": "Reads both TRUE and FALSE across the seed data, so it can distinguish cases.",
    "DefendsQuestion": "q-counsel-unreachable-not-acknowledged",
    "Suite": "suite-witness",
    "Severity": "advisory",
    "LastOutcome": "PASS",
    "LastDetail": "1 true / 2 false",
    "LastRunAt": "2026-07-20T03:06:49+00:00",
    "SemanticTypeIri": "urn:effortless:pko-extension#TestCase",
    "Name": "witness-discriminates: MessageDeliveries.HasUnreachableExceptionInvoked",
    "IsBlocking": false,
    "IsPassing": true,
    "IsFailing": false,
    "NeedsAttention": false,
    "PassingSuiteKey": "suite-witness",
    "NeedsAttentionSuiteKey": null
   },
   {
    "TestCaseId": "tc-witness-message_deliveries-is_fabricated_acknowledgement",
    "TestKind": "witness-discriminates",
    "Subject": "MessageDeliveries.IsFabricatedAcknowledgement",
    "TargetTable": "MessageDeliveries",
    "TargetField": "IsFabricatedAcknowledgement",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MessageDeliveries.IsFabricatedAcknowledgement",
    "IsBlocking": false,
    "IsPassing": false,
    "IsFailing": false,
    "NeedsAttention": false,
    "PassingSuiteKey": null,
    "NeedsAttentionSuiteKey": null
   },
   {
    "TestCaseId": "tc-witness-message_deliveries-is_unhandled_unreachable",
    "TestKind": "witness-discriminates",
    "Subject": "MessageDeliveries.IsUnhandledUnreachable",
    "TargetTable": "MessageDeliveries",
    "TargetField": "IsUnhandledUnreachable",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MessageDeliveries.IsUnhandledUnreachable",
    "IsBlocking": false,
    "IsPassing": false,
    "IsFailing": false,
    "NeedsAttention": false,
    "PassingSuiteKey": null,
    "NeedsAttentionSuiteKey": null
   },
   {
    "TestCaseId": "tc-witness-message_deliveries-is_within_retention_window",
    "TestKind": "witness-discriminates",
    "Subject": "MessageDeliveries.IsWithinRetentionWindow",
    "TargetTable": "MessageDeliveries",
    "TargetField": "IsWithinRetentionWindow",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MessageDeliveries.IsWithinRetentionWindow",
    "IsBlocking": false,
    "IsPassing": false,
    "IsFailing": false,
    "NeedsAttention": false,
    "PassingSuiteKey": null,
    "NeedsAttentionSuiteKey": null
   },
   {
    "TestCaseId": "tc-witness-message_deliveries-has_rendered_body",
    "TestKind": "witness-discriminates",
    "Subject": "MessageDeliveries.HasRenderedBody",
    "TargetTable": "MessageDeliveries",
    "TargetField": "HasRenderedBody",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MessageDeliveries.HasRenderedBody",
    "IsBlocking": false,
    "IsPassing": false,
    "IsFailing": false,
    "NeedsAttention": false,
    "PassingSuiteKey": null,
    "NeedsAttentionSuiteKey": null
   },
   {
    "TestCaseId": "tc-witness-message_deliveries-is_evidence_required",
    "TestKind": "witness-discriminates",
    "Subject": "MessageDeliveries.IsEvidenceRequired",
    "TargetTable": "MessageDeliveries",
    "TargetField": "IsEvidenceRequired",
    "Assertion": "Reads both TRUE and FALSE across the seed data, so it can distinguish cases.",
    "DefendsQuestion": "q-counsel-retention-evidence",
    "Suite": "suite-witness",
    "Severity": "advisory",
    "LastOutcome": "PASS",
    "LastDetail": "4 true / 2 false",
    "LastRunAt": "2026-07-20T03:06:49+00:00",
    "SemanticTypeIri": "urn:effortless:pko-extension#TestCase",
    "Name": "witness-discriminates: MessageDeliveries.IsEvidenceRequired",
    "IsBlocking": false,
    "IsPassing": true,
    "IsFailing": false,
    "NeedsAttention": false,
    "PassingSuiteKey": "suite-witness",
    "NeedsAttentionSuiteKey": null
   },
   {
    "TestCaseId": "tc-witness-message_deliveries-is_retention_breach",
    "TestKind": "witness-discriminates",
    "Subject": "MessageDeliveries.IsRetentionBreach",
    "TargetTable": "MessageDeliveries",
    "TargetField": "IsRetentionBreach",
    "Assertion": "Reads both TRUE and FALSE across the seed data, so it can distinguish cases.",
    "DefendsQuestion": "q-counsel-retention-evidence",
    "Suite": "suite-witness",
    "Severity": "advisory",
    "LastOutcome": "WARN",
    "LastDetail": "never true (6/6 false)",
    "LastRunAt": "2026-07-20T03:06:49+00:00",
    "SemanticTypeIri": "urn:effortless:pko-extension#TestCase",
    "Name": "witness-discriminates: MessageDeliveries.IsRetentionBreach",
    "IsBlocking": false,
    "IsPassing": false,
    "IsFailing": false,
    "NeedsAttention": false,
    "PassingSuiteKey": null,
    "NeedsAttentionSuiteKey": null
   },
   {
    "TestCaseId": "tc-witness-message_deliveries-execution_has_cleared_legal_review",
    "TestKind": "witness-discriminates",
    "Subject": "MessageDeliveries.ExecutionHasClearedLegalReview",
    "TargetTable": "MessageDeliveries",
    "TargetField": "ExecutionHasClearedLegalReview",
    "Assertion": "Reads both TRUE and FALSE across the seed data, so it can distinguish cases.",
    "DefendsQuestion": "q-counsel-legal-review-gated-send",
    "Suite": "suite-witness",
    "Severity": "advisory",
    "LastOutcome": "WARN",
    "LastDetail": "always true (6/6)",
    "LastRunAt": "2026-07-20T03:06:49+00:00",
    "SemanticTypeIri": "urn:effortless:pko-extension#TestCase",
    "Name": "witness-discriminates: MessageDeliveries.ExecutionHasClearedLegalReview",
    "IsBlocking": false,
    "IsPassing": false,
    "IsFailing": false,
    "NeedsAttention": false,
    "PassingSuiteKey": null,
    "NeedsAttentionSuiteKey": null
   },
   {
    "TestCaseId": "tc-witness-message_deliveries-is_unreviewed_send",
    "TestKind": "witness-discriminates",
    "Subject": "MessageDeliveries.IsUnreviewedSend",
    "TargetTable": "MessageDeliveries",
    "TargetField": "IsUnreviewedSend",
    "Assertion": "Reads both TRUE and FALSE across the seed data, so it can distinguish cases.",
    "DefendsQuestion": "q-counsel-legal-review-gated-send",
    "Suite": "suite-witness",
    "Severity": "advisory",
    "LastOutcome": "WARN",
    "LastDetail": "never true (6/6 false)",
    "LastRunAt": "2026-07-20T03:06:49+00:00",
    "SemanticTypeIri": "urn:effortless:pko-extension#TestCase",
    "Name": "witness-discriminates: MessageDeliveries.IsUnreviewedSend",
    "IsBlocking": false,
    "IsPassing": false,
    "IsFailing": false,
    "NeedsAttention": false,
    "PassingSuiteKey": null,
    "NeedsAttentionSuiteKey": null
   },
   {
    "TestCaseId": "tc-witness-message_deliveries-is_over_segment_limit",
    "TestKind": "witness-discriminates",
    "Subject": "MessageDeliveries.IsOverSegmentLimit",
    "TargetTable": "MessageDeliveries",
    "TargetField": "IsOverSegmentLimit",
    "Assertion": "Reads both TRUE and FALSE across the seed data, so it can distinguish cases.",
    "DefendsQuestion": "q-comms-oversized-sms",
    "Suite": "suite-witness",
    "Severity": "advisory",
    "LastOutcome": "WARN",
    "LastDetail": "never true (6/6 false)",
    "LastRunAt": "2026-07-20T03:06:49+00:00",
    "SemanticTypeIri": "urn:effortless:pko-extension#TestCase",
    "Name": "witness-discriminates: MessageDeliveries.IsOverSegmentLimit",
    "IsBlocking": false,
    "IsPassing": false,
    "IsFailing": false,
    "NeedsAttention": false,
    "PassingSuiteKey": null,
    "NeedsAttentionSuiteKey": null
   },
   {
    "TestCaseId": "tc-witness-message_deliveries-template_has_valid_approval",
    "TestKind": "witness-discriminates",
    "Subject": "MessageDeliveries.TemplateHasValidApproval",
    "TargetTable": "MessageDeliveries",
    "TargetField": "TemplateHasValidApproval",
    "Assertion": "Reads both TRUE and FALSE across the seed data, so it can distinguish cases.",
    "DefendsQuestion": "q-comms-approval-authority",
    "Suite": "suite-witness",
    "Severity": "advisory",
    "LastOutcome": "WARN",
    "LastDetail": "always true (6/6)",
    "LastRunAt": "2026-07-20T03:06:49+00:00",
    "SemanticTypeIri": "urn:effortless:pko-extension#TestCase",
    "Name": "witness-discriminates: MessageDeliveries.TemplateHasValidApproval",
    "IsBlocking": false,
    "IsPassing": false,
    "IsFailing": false,
    "NeedsAttention": false,
    "PassingSuiteKey": null,
    "NeedsAttentionSuiteKey": null
   },
   {
    "TestCaseId": "tc-witness-message_deliveries-is_unapproved_send",
    "TestKind": "witness-discriminates",
    "Subject": "MessageDeliveries.IsUnapprovedSend",
    "TargetTable": "MessageDeliveries",
    "TargetField": "IsUnapprovedSend",
    "Assertion": "Reads both TRUE and FALSE across the seed data, so it can distinguish cases.",
    "DefendsQuestion": "q-comms-approval-authority",
    "Suite": "suite-witness",
    "Severity": "advisory",
    "LastOutcome": "WARN",
    "LastDetail": "never true (6/6 false)",
    "LastRunAt": "2026-07-20T03:06:49+00:00",
    "SemanticTypeIri": "urn:effortless:pko-extension#TestCase",
    "Name": "witness-discriminates: MessageDeliveries.IsUnapprovedSend",
    "IsBlocking": false,
    "IsPassing": false,
    "IsFailing": false,
    "NeedsAttention": false,
    "PassingSuiteKey": null,
    "NeedsAttentionSuiteKey": null
   },
   {
    "TestCaseId": "tc-witness-message_deliveries-policy_requires_opt_out",
    "TestKind": "witness-discriminates",
    "Subject": "MessageDeliveries.PolicyRequiresOptOut",
    "TargetTable": "MessageDeliveries",
    "TargetField": "PolicyRequiresOptOut",
    "Assertion": "Reads both TRUE and FALSE across the seed data, so it can distinguish cases.",
    "DefendsQuestion": "q-comms-optout-present",
    "Suite": "suite-witness",
    "Severity": "advisory",
    "LastOutcome": "PASS",
    "LastDetail": "4 true / 2 false",
    "LastRunAt": "2026-07-20T03:06:49+00:00",
    "SemanticTypeIri": "urn:effortless:pko-extension#TestCase",
    "Name": "witness-discriminates: MessageDeliveries.PolicyRequiresOptOut",
    "IsBlocking": false,
    "IsPassing": true,
    "IsFailing": false,
    "NeedsAttention": false,
    "PassingSuiteKey": "suite-witness",
    "NeedsAttentionSuiteKey": null
   },
   {
    "TestCaseId": "tc-witness-message_deliveries-has_opt_out_phrase",
    "TestKind": "witness-discriminates",
    "Subject": "MessageDeliveries.HasOptOutPhrase",
    "TargetTable": "MessageDeliveries",
    "TargetField": "HasOptOutPhrase",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MessageDeliveries.HasOptOutPhrase",
    "IsBlocking": false,
    "IsPassing": true,
    "IsFailing": false,
    "NeedsAttention": false,
    "PassingSuiteKey": "suite-witness",
    "NeedsAttentionSuiteKey": null
   },
   {
    "TestCaseId": "tc-witness-message_deliveries-is_opt_out_in_first_segment",
    "TestKind": "witness-discriminates",
    "Subject": "MessageDeliveries.IsOptOutInFirstSegment",
    "TargetTable": "MessageDeliveries",
    "TargetField": "IsOptOutInFirstSegment",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MessageDeliveries.IsOptOutInFirstSegment",
    "IsBlocking": false,
    "IsPassing": true,
    "IsFailing": false,
    "NeedsAttention": false,
    "PassingSuiteKey": "suite-witness",
    "NeedsAttentionSuiteKey": null
   },
   {
    "TestCaseId": "tc-witness-message_deliveries-is_missing_required_opt_out",
    "TestKind": "witness-discriminates",
    "Subject": "MessageDeliveries.IsMissingRequiredOptOut",
    "TargetTable": "MessageDeliveries",
    "TargetField": "IsMissingRequiredOptOut",
    "Assertion": "Reads both TRUE and FALSE across the seed data, so it can distinguish cases.",
    "DefendsQuestion": "q-comms-optout-present",
    "Suite": "suite-witness",
    "Severity": "advisory",
    "LastOutcome": "PASS",
    "LastDetail": "1 true / 5 false",
    "LastRunAt": "2026-07-20T03:06:49+00:00",
    "SemanticTypeIri": "urn:effortless:pko-extension#TestCase",
    "Name": "witness-discriminates: MessageDeliveries.IsMissingRequiredOptOut",
    "IsBlocking": false,
    "IsPassing": true,
    "IsFailing": false,
    "NeedsAttention": false,
    "PassingSuiteKey": "suite-witness",
    "NeedsAttentionSuiteKey": null
   },
   {
    "TestCaseId": "tc-witness-message_deliveries-is_opt_out_at_risk_of_truncation",
    "TestKind": "witness-discriminates",
    "Subject": "MessageDeliveries.IsOptOutAtRiskOfTruncation",
    "TargetTable": "MessageDeliveries",
    "TargetField": "IsOptOutAtRiskOfTruncation",
    "Assertion": "Reads both TRUE and FALSE across the seed data, so it can distinguish cases.",
    "DefendsQuestion": "q-comms-optout-present",
    "Suite": "suite-witness",
    "Severity": "advisory",
    "LastOutcome": "WARN",
    "LastDetail": "never true (6/6 false)",
    "LastRunAt": "2026-07-20T03:06:49+00:00",
    "SemanticTypeIri": "urn:effortless:pko-extension#TestCase",
    "Name": "witness-discriminates: MessageDeliveries.IsOptOutAtRiskOfTruncation",
    "IsBlocking": false,
    "IsPassing": false,
    "IsFailing": false,
    "NeedsAttention": false,
    "PassingSuiteKey": null,
    "NeedsAttentionSuiteKey": null
   },
   {
    "TestCaseId": "tc-witness-message_deliveries-is_failed_delivery",
    "TestKind": "witness-discriminates",
    "Subject": "MessageDeliveries.IsFailedDelivery",
    "TargetTable": "MessageDeliveries",
    "TargetField": "IsFailedDelivery",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MessageDeliveries.IsFailedDelivery",
    "IsBlocking": false,
    "IsPassing": true,
    "IsFailing": false,
    "NeedsAttention": false,
    "PassingSuiteKey": "suite-witness",
    "NeedsAttentionSuiteKey": null
   },
   {
    "TestCaseId": "tc-witness-message_deliveries-is_suppressed",
    "TestKind": "witness-discriminates",
    "Subject": "MessageDeliveries.IsSuppressed",
    "TargetTable": "MessageDeliveries",
    "TargetField": "IsSuppressed",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MessageDeliveries.IsSuppressed",
    "IsBlocking": false,
    "IsPassing": true,
    "IsFailing": false,
    "NeedsAttention": false,
    "PassingSuiteKey": "suite-witness",
    "NeedsAttentionSuiteKey": null
   },
   {
    "TestCaseId": "tc-witness-message_deliveries-is_triaged",
    "TestKind": "witness-discriminates",
    "Subject": "MessageDeliveries.IsTriaged",
    "TargetTable": "MessageDeliveries",
    "TargetField": "IsTriaged",
    "Assertion": "Reads both TRUE and FALSE across the seed data, so it can distinguish cases.",
    "DefendsQuestion": "q-comms-deliverability",
    "Suite": "suite</t>
  </si>
  <si>
    <t xml:space="preserve">-witness",
    "Severity": "advisory",
    "LastOutcome": "PASS",
    "LastDetail": "3 true / 3 false",
    "LastRunAt": "2026-07-20T03:06:49+00:00",
    "SemanticTypeIri": "urn:effortless:pko-extension#TestCase",
    "Name": "witness-discriminates: MessageDeliveries.IsTriaged",
    "IsBlocking": false,
    "IsPassing": true,
    "IsFailing": false,
    "NeedsAttention": false,
    "PassingSuiteKey": "suite-witness",
    "NeedsAttentionSuiteKey": null
   },
   {
    "TestCaseId": "tc-witness-message_deliveries-is_abandoned_failure",
    "TestKind": "witness-discriminates",
    "Subject": "MessageDeliveries.IsAbandonedFailure",
    "TargetTable": "MessageDeliveries",
    "TargetField": "IsAbandonedFailure",
    "Assertion": "Reads both TRUE and FALSE across the seed data, so it can distinguish cases.",
    "DefendsQuestion": "q-comms-deliverability",
    "Suite": "suite-witness",
    "Severity": "advisory",
    "LastOutcome": "WARN",
    "LastDetail": "never true (6/6 false)",
    "LastRunAt": "2026-07-20T03:06:49+00:00",
    "SemanticTypeIri": "urn:effortless:pko-extension#TestCase",
    "Name": "witness-discriminates: MessageDeliveries.IsAbandonedFailure",
    "IsBlocking": false,
    "IsPassing": false,
    "IsFailing": false,
    "NeedsAttention": false,
    "PassingSuiteKey": null,
    "NeedsAttentionSuiteKey": null
   },
   {
    "TestCaseId": "tc-witness-message_deliveries-template_was_sendable",
    "TestKind": "witness-discriminates",
    "Subject": "MessageDeliveries.TemplateWasSendable",
    "TargetTable": "MessageDeliveries",
    "TargetField": "TemplateWasSendable",
    "Assertion": "Reads both TRUE and FALSE across the seed data, so it can distinguish cases.",
    "DefendsQuestion": "q-comms-template-drift",
    "Suite": "suite-witness",
    "Severity": "advisory",
    "LastOutcome": "WARN",
    "LastDetail": "always true (6/6)",
    "LastRunAt": "2026-07-20T03:06:49+00:00",
    "SemanticTypeIri": "urn:effortless:pko-extension#TestCase",
    "Name": "witness-discriminates: MessageDeliveries.TemplateWasSendable",
    "IsBlocking": false,
    "IsPassing": false,
    "IsFailing": false,
    "NeedsAttention": false,
    "PassingSuiteKey": null,
    "NeedsAttentionSuiteKey": null
   },
   {
    "TestCaseId": "tc-witness-message_deliveries-is_drifted_send",
    "TestKind": "witness-discriminates",
    "Subject": "MessageDeliveries.IsDriftedSend",
    "TargetTable": "MessageDeliveries",
    "TargetField": "IsDriftedSend",
    "Assertion": "Reads both TRUE and FALSE across the seed data, so it can distinguish cases.",
    "DefendsQuestion": "q-comms-template-drift",
    "Suite": "suite-witness",
    "Severity": "advisory",
    "LastOutcome": "WARN",
    "LastDetail": "never true (6/6 false)",
    "LastRunAt": "2026-07-20T03:06:49+00:00",
    "SemanticTypeIri": "urn:effortless:pko-extension#TestCase",
    "Name": "witness-discriminates: MessageDeliveries.IsDriftedSend",
    "IsBlocking": false,
    "IsPassing": false,
    "IsFailing": false,
    "NeedsAttention": false,
    "PassingSuiteKey": null,
    "NeedsAttentionSuiteKey": null
   },
   {
    "TestCaseId": "tc-witness-message_deliveries-was_sent_outside_business_hours",
    "TestKind": "witness-discriminates",
    "Subject": "MessageDeliveries.WasSentOutsideBusinessHours",
    "TargetTable": "MessageDeliveries",
    "TargetField": "WasSentOutsideBusinessHours",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MessageDeliveries.WasSentOutsideBusinessHours",
    "IsBlocking": false,
    "IsPassing": true,
    "IsFailing": false,
    "NeedsAttention": false,
    "PassingSuiteKey": "suite-witness",
    "NeedsAttentionSuiteKey": null
   },
   {
    "TestCaseId": "tc-witness-message_deliveries-was_delivered_and_unanswered",
    "TestKind": "witness-discriminates",
    "Subject": "MessageDeliveries.WasDeliveredAndUnanswered",
    "TargetTable": "MessageDeliveries",
    "TargetField": "WasDeliveredAndUnanswered",
    "Assertion": "Reads both TRUE and FALSE across the seed data, so it can distinguish cases.",
    "DefendsQuestion": "q2-comms-message-nobody-answered",
    "Suite": "suite-witness",
    "Severity": "advisory",
    "LastOutcome": "PASS",
    "LastDetail": "3 true / 3 false",
    "LastRunAt": "2026-07-20T03:06:49+00:00",
    "SemanticTypeIri": "urn:effortless:pko-extension#TestCase",
    "Name": "witness-discriminates: MessageDeliveries.WasDeliveredAndUnanswered",
    "IsBlocking": false,
    "IsPassing": true,
    "IsFailing": false,
    "NeedsAttention": false,
    "PassingSuiteKey": "suite-witness",
    "NeedsAttentionSuiteKey": null
   },
   {
    "TestCaseId": "tc-witness-message_deliveries-is_poorly_timed_unanswered",
    "TestKind": "witness-discriminates",
    "Subject": "MessageDeliveries.IsPoorlyTimedUnanswered",
    "TargetTable": "MessageDeliveries",
    "TargetField": "IsPoorlyTimedUnanswered",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MessageDeliveries.IsPoorlyTimedUnanswered",
    "IsBlocking": false,
    "IsPassing": true,
    "IsFailing": false,
    "NeedsAttention": false,
    "PassingSuiteKey": "suite-witness",
    "NeedsAttentionSuiteKey": null
   },
   {
    "TestCaseId": "tc-witness-message_deliveries-is_well_timed_unanswered",
    "TestKind": "witness-discriminates",
    "Subject": "MessageDeliveries.IsWellTimedUnanswered",
    "TargetTable": "MessageDeliveries",
    "TargetField": "IsWellTimedUnanswered",
    "Assertion": "Reads both TRUE and FALSE across the seed data, so it can distinguish cases.",
    "DefendsQuestion": "q2-comms-message-nobody-answered",
    "Suite": "suite-witness",
    "Severity": "advisory",
    "LastOutcome": "PASS",
    "LastDetail": "2 true / 4 false",
    "LastRunAt": "2026-07-20T03:06:49+00:00",
    "SemanticTypeIri": "urn:effortless:pko-extension#TestCase",
    "Name": "witness-discriminates: MessageDeliveries.IsWellTimedUnanswered",
    "IsBlocking": false,
    "IsPassing": true,
    "IsFailing": false,
    "NeedsAttention": false,
    "PassingSuiteKey": "suite-witness",
    "NeedsAttentionSuiteKey": null
   },
   {
    "TestCaseId": "tc-witness-message_deliveries-approval_preceded_send",
    "TestKind": "witness-discriminates",
    "Subject": "MessageDeliveries.ApprovalPrecededSend",
    "TargetTable": "MessageDeliveries",
    "TargetField": "ApprovalPrecededSend",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MessageDeliveries.ApprovalPrecededSend",
    "IsBlocking": false,
    "IsPassing": false,
    "IsFailing": false,
    "NeedsAttention": false,
    "PassingSuiteKey": null,
    "NeedsAttentionSuiteKey": null
   },
   {
    "TestCaseId": "tc-witness-message_deliveries-has_frozen_approval_evidence",
    "TestKind": "witness-discriminates",
    "Subject": "MessageDeliveries.HasFrozenApprovalEvidence",
    "TargetTable": "MessageDeliveries",
    "TargetField": "HasFrozenApprovalEvidence",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MessageDeliveries.HasFrozenApprovalEvidence",
    "IsBlocking": false,
    "IsPassing": false,
    "IsFailing": false,
    "NeedsAttention": false,
    "PassingSuiteKey": null,
    "NeedsAttentionSuiteKey": null
   },
   {
    "TestCaseId": "tc-witness-message_deliveries-provenance_is_live_derived",
    "TestKind": "witness-discriminates",
    "Subject": "MessageDeliveries.ProvenanceIsLiveDerived",
    "TargetTable": "MessageDeliveries",
    "TargetField": "ProvenanceIsLiveDerived",
    "Assertion": "Reads both TRUE and FALSE across the seed data, so it can distinguish cases.",
    "DefendsQuestion": "q2-comms-freeze-what-i-approved",
    "Suite": "suite-witness",
    "Severity": "advisory",
    "LastOutcome": "WARN",
    "LastDetail": "always true (6/6)",
    "LastRunAt": "2026-07-20T03:06:49+00:00",
    "SemanticTypeIri": "urn:effortless:pko-extension#TestCase",
    "Name": "witness-discriminates: MessageDeliveries.ProvenanceIsLiveDerived",
    "IsBlocking": false,
    "IsPassing": false,
    "IsFailing": false,
    "NeedsAttention": false,
    "PassingSuiteKey": null,
    "NeedsAttentionSuiteKey": null
   },
   {
    "TestCaseId": "tc-witness-message_deliveries-template_reapproved_since_send",
    "TestKind": "witness-discriminates",
    "Subject": "MessageDeliveries.TemplateReapprovedSinceSend",
    "TargetTable": "MessageDeliveries",
    "TargetField": "TemplateReapprovedSinceSend",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MessageDeliveries.TemplateReapprovedSinceSend",
    "IsBlocking": false,
    "IsPassing": true,
    "IsFailing": false,
    "NeedsAttention": false,
    "PassingSuiteKey": "suite-witness",
    "NeedsAttentionSuiteKey": null
   },
   {
    "TestCaseId": "tc-witness-message_deliveries-is_unprovable_approval_claim",
    "TestKind": "witness-discriminates",
    "Subject": "MessageDeliveries.IsUnprovableApprovalClaim",
    "TargetTable": "MessageDeliveries",
    "TargetField": "IsUnprovableApprovalClaim",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MessageDeliveries.IsUnprovableApprovalClaim",
    "IsBlocking": false,
    "IsPassing": true,
    "IsFailing": false,
    "NeedsAttention": false,
    "PassingSuiteKey": "suite-witness",
    "NeedsAttentionSuiteKey": null
   },
   {
    "TestCaseId": "tc-witness-message_deliveries-has_sent_reminder",
    "TestKind": "witness-discriminates",
    "Subject": "MessageDeliveries.HasSentReminder",
    "TargetTable": "MessageDeliveries",
    "TargetField": "HasSentReminder",
    "Assertion": "Reads both TRUE and FALSE across the seed data, so it can distinguish cases.",
    "DefendsQuestion": "q2-publisher-obligation-after-send",
    "Suite": "suite-witness",
    "Severity": "advisory",
    "LastOutcome": "WARN",
    "LastDetail": "never true (0/6 false)",
    "LastRunAt": "2026-07-20T03:06:49+00:00",
    "SemanticTypeIri": "urn:effortless:pko-extension#TestCase",
    "Name": "witness-discriminates: MessageDeliveries.HasSentReminder",
    "IsBlocking": false,
    "IsPassing": false,
    "IsFailing": false,
    "NeedsAttention": false,
    "PassingSuiteKey": null,
    "NeedsAttentionSuiteKey": null
   },
   {
    "TestCaseId": "tc-witness-message_deliveries-acknowledgement_is_outstanding",
    "TestKind": "witness-discriminates",
    "Subject": "MessageDeliveries.AcknowledgementIsOutstanding",
    "TargetTable": "MessageDeliveries",
    "TargetField": "AcknowledgementIsOutstanding",
    "Assertion": "Reads both TRUE and FALSE across the seed data, so it can distinguish cases.",
    "DefendsQuestion": "q2-publisher-obligation-after-send",
    "Suite": "suite-witness",
    "Severity": "advisory",
    "LastOutcome": "PASS",
    "LastDetail": "3 true / 3 false",
    "LastRunAt": "2026-07-20T03:06:49+00:00",
    "SemanticTypeIri": "urn:effortless:pko-extension#TestCase",
    "Name": "witness-discriminates: MessageDeliveries.AcknowledgementIsOutstanding",
    "IsBlocking": false,
    "IsPassing": true,
    "IsFailing": false,
    "NeedsAttention": false,
    "PassingSuiteKey": "suite-witness",
    "NeedsAttentionSuiteKey": null
   },
   {
    "TestCaseId": "tc-witness-message_deliveries-is_unchased_acknowledgement",
    "TestKind": "witness-discriminates",
    "Subject": "MessageDeliveries.IsUnchasedAcknowledgement",
    "TargetTable": "MessageDeliveries",
    "TargetField": "IsUnchasedAcknowledgement",
    "Assertion": "Reads both TRUE and FALSE across the seed data, so it can distinguish cases.",
    "DefendsQuestion": "q2-publisher-obligation-after-send",
    "Suite": "suite-witness",
    "Severity": "advisory",
    "LastOutcome": "WARN",
    "LastDetail": "never true (6/6 false)",
    "LastRunAt": "2026-07-20T03:06:49+00:00",
    "SemanticTypeIri": "urn:effortless:pko-extension#TestCase",
    "Name": "witness-discriminates: MessageDeliveries.IsUnchasedAcknowledgement",
    "IsBlocking": false,
    "IsPassing": false,
    "IsFailing": false,
    "NeedsAttention": false,
    "PassingSuiteKey": null,
    "NeedsAttentionSuiteKey": null
   },
   {
    "TestCaseId": "tc-witness-message_deliveries-is_exhausted_follow_up",
    "TestKind": "witness-discriminates",
    "Subject": "MessageDeliveries.IsExhaustedFollowUp",
    "TargetTable": "MessageDeliveries",
    "TargetField": "IsExhaustedFollowUp",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MessageDeliveries.IsExhaustedFollowUp",
    "IsBlocking": false,
    "IsPassing": false,
    "IsFailing": false,
    "NeedsAttention": false,
    "PassingSuiteKey": null,
    "NeedsAttentionSuiteKey": null
   },
   {
    "TestCaseId": "tc-witness-message_deliveries-needs_human_escalation",
    "TestKind": "witness-discriminates",
    "Subject": "MessageDeliveries.NeedsHumanEscalation",
    "TargetTable": "MessageDeliveries",
    "TargetField": "NeedsHumanEscalation",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MessageDeliveries.NeedsHumanEscalation",
    "IsBlocking": false,
    "IsPassing": false,
    "IsFailing": false,
    "NeedsAttention": false,
    "PassingSuiteKey": null,
    "NeedsAttentionSuiteKey": null
   },
   {
    "TestCaseId": "tc-witness-template_approvals-is_approval_decision",
    "TestKind": "witness-discriminates",
    "Subject": "TemplateApprovals.IsApprovalDecision",
    "TargetTable": "TemplateApprovals",
    "TargetField": "IsApprovalDecision",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TemplateApprovals.IsApprovalDecision",
    "IsBlocking": false,
    "IsPassing": false,
    "IsFailing": false,
    "NeedsAttention": false,
    "PassingSuiteKey": null,
    "NeedsAttentionSuiteKey": null
   },
   {
    "TestCaseId": "tc-witness-template_approvals-is_decided_by_required_role",
    "TestKind": "witness-discriminates",
    "Subject": "TemplateApprovals.IsDecidedByRequiredRole",
    "TargetTable": "TemplateApprovals",
    "TargetField": "IsDecidedByRequiredRole",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TemplateApprovals.IsDecidedByRequiredRole",
    "IsBlocking": false,
    "IsPassing": false,
    "IsFailing": false,
    "NeedsAttention": false,
    "PassingSuiteKey": null,
    "NeedsAttentionSuiteKey": null
   },
   {
    "TestCaseId": "tc-witness-send_intents-policy_is_active",
    "TestKind": "witness-discriminates",
    "Subject": "SendIntents.PolicyIsActive",
    "TargetTable": "SendIntents",
    "TargetField": "PolicyIsActive",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SendIntents.PolicyIsActive",
    "IsBlocking": false,
    "IsPassing": false,
    "IsFailing": false,
    "NeedsAttention": false,
    "PassingSuiteKey": null,
    "NeedsAttentionSuiteKey": null
   },
   {
    "TestCaseId": "tc-witness-send_intents-intent_requires_consent",
    "TestKind": "witness-discriminates",
    "Subject": "SendIntents.IntentRequiresConsent",
    "TargetTable": "SendIntents",
    "TargetField": "IntentRequiresConsent",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SendIntents.IntentRequiresConsent",
    "IsBlocking": false,
    "IsPassing": true,
    "IsFailing": false,
    "NeedsAttention": false,
    "PassingSuiteKey": "suite-witness",
    "NeedsAttentionSuiteKey": null
   },
   {
    "TestCaseId": "tc-witness-send_intents-recipient_has_channel_consent",
    "TestKind": "witness-discriminates",
    "Subject": "SendIntents.RecipientHasChannelConsent",
    "TargetTable": "SendIntents",
    "TargetField": "RecipientHasChannelConsent",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SendIntents.RecipientHasChannelConsent",
    "IsBlocking": false,
    "IsPassing": true,
    "IsFailing": false,
    "NeedsAttention": false,
    "PassingSuiteKey": "suite-witness",
    "NeedsAttentionSuiteKey": null
   },
   {
    "TestCaseId": "tc-witness-send_intents-consent_gate_passed",
    "TestKind": "witness-discriminates",
    "Subject": "SendIntents.ConsentGatePassed",
    "TargetTable": "SendIntents",
    "TargetField": "ConsentGatePassed",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SendIntents.ConsentGatePassed",
    "IsBlocking": false,
    "IsPassing": true,
    "IsFailing": false,
    "NeedsAttention": false,
    "PassingSuiteKey": "suite-witness",
    "NeedsAttentionSuiteKey": null
   },
   {
    "TestCaseId": "tc-witness-send_intents-recipient_is_sms_reachable",
    "TestKind": "witness-discriminates",
    "Subject": "SendIntents.RecipientIsSmsReachable",
    "TargetTable": "SendIntents",
    "TargetField": "RecipientIsSmsReachable",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SendIntents.RecipientIsSmsReachable",
    "IsBlocking": false,
    "IsPassing": true,
    "IsFailing": false,
    "NeedsAttention": false,
    "PassingSuiteKey": "suite-witness",
    "NeedsAttentionSuiteKey": null
   },
   {
    "TestCaseId": "tc-witness-send_intents-recipient_is_email_reachable",
    "TestKind": "witness-discriminates",
    "Subject": "SendIntents.RecipientIsEmailReachable",
    "TargetTable": "SendIntents",
    "TargetField": "RecipientIsEmailReachable",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SendIntents.RecipientIsEmailReachable",
    "IsBlocking": false,
    "IsPassing": false,
    "IsFailing": false,
    "NeedsAttention": false,
    "PassingSuiteKey": null,
    "NeedsAttentionSuiteKey": null
   },
   {
    "TestCaseId": "tc-witness-send_intents-reachability_gate_passed",
    "TestKind": "witness-discriminates",
    "Subject": "SendIntents.ReachabilityGatePassed",
    "TargetTable": "SendIntents",
    "TargetField": "ReachabilityGatePassed",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SendIntents.ReachabilityGatePassed",
    "IsBlocking": false,
    "IsPassing": true,
    "IsFailing": false,
    "NeedsAttention": false,
    "PassingSuiteKey": "suite-witness",
    "NeedsAttentionSuiteKey": null
   },
   {
    "TestCaseId": "tc-witness-send_intents-permission_gate_passed",
    "TestKind": "witness-discriminates",
    "Subject": "SendIntents.PermissionGatePassed",
    "TargetTable": "SendIntents",
    "TargetField": "PermissionGatePassed",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SendIntents.PermissionGatePassed",
    "IsBlocking": false,
    "IsPassing": true,
    "IsFailing": false,
    "NeedsAttention": false,
    "PassingSuiteKey": "suite-witness",
    "NeedsAttentionSuiteKey": null
   },
   {
    "TestCaseId": "tc-witness-send_intents-intent_policy_has_quiet_hours",
    "TestKind": "witness-discriminates",
    "Subject": "SendIntents.IntentPolicyHasQuietHours",
    "TargetTable": "SendIntents",
    "TargetField": "IntentPolicyHasQuietHours",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SendIntents.IntentPolicyHasQuietHours",
    "IsBlocking": false,
    "IsPassing": true,
    "IsFailing": false,
    "NeedsAttention": false,
    "PassingSuiteKey": "suite-witness",
    "NeedsAttentionSuiteKey": null
   },
   {
    "TestCaseId": "tc-witness-send_intents-intent_quiet_window_wraps",
    "TestKind": "witness-discriminates",
    "Subject": "SendIntents.IntentQuietWindowWraps",
    "TargetTable": "SendIntents",
    "TargetField": "IntentQuietWindowWraps",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SendIntents.IntentQuietWindowWraps",
    "IsBlocking": false,
    "IsPassing": true,
    "IsFailing": false,
    "NeedsAttention": false,
    "PassingSuiteKey": "suite-witness",
    "NeedsAttentionSuiteKey": null
   },
   {
    "TestCaseId": "tc-witness-send_intents-intent_is_inside_quiet_window",
    "TestKind": "witness-discriminates",
    "Subject": "SendIntents.IntentIsInsideQuietWindow",
    "TargetTable": "SendIntents",
    "TargetField": "IntentIsInsideQuietWindow",
    "Assertion": "Reads both TRUE and FALSE across the seed data, so it can distinguish cases.",
    "DefendsQuestion": "q-publisher-may-i-transmit-now",
    "Suite": "suite-witness",
    "Severity": "advisory",
    "LastOutcome": "PASS",
    "LastDetail": "1 true / 6 false",
    "LastRunAt": "2026-07-20T03:06:49+00:00",
    "SemanticTypeIri": "urn:effortless:pko-extension#TestCase",
    "Name": "witness-discriminates: SendIntents.IntentIsInsideQuietWindow",
    "IsBlocking": false,
    "IsPassing": true,
    "IsFailing": false,
    "NeedsAttention": false,
    "PassingSuiteKey": "suite-witness",
    "NeedsAttentionSuiteKey": null
   },
   {
    "TestCaseId": "tc-witness-send_intents-timing_gate_passed",
    "TestKind": "witness-discriminates",
    "Subject": "SendIntents.TimingGatePassed",
    "TargetTable": "SendIntents",
    "TargetField": "TimingGatePassed",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SendIntents.TimingGatePassed",
    "IsBlocking": false,
    "IsPassing": true,
    "IsFailing": false,
    "NeedsAttention": false,
    "PassingSuiteKey": "suite-witness",
    "NeedsAttentionSuiteKey": null
   },
   {
    "TestCaseId": "tc-witness-send_intents-length_gate_passed",
    "TestKind": "witness-discriminates",
    "Subject": "SendIntents.LengthGatePassed",
    "TargetTable": "SendIntents",
    "TargetField": "LengthGatePassed",
    "Assertion": "Reads both TRUE and FALSE across the seed data, so it can distinguish cases.",
    "DefendsQuestion": "q-publisher-is-this-content-permitted",
    "Suite": "suite-witness",
    "Severity": "advisory",
    "LastOutcome": "WARN",
    "LastDetail": "always true (7/7)",
    "LastRunAt": "2026-07-20T03:06:49+00:00",
    "SemanticTypeIri": "urn:effortless:pko-extension#TestCase",
    "Name": "witness-discriminates: SendIntents.LengthGatePassed",
    "IsBlocking": false,
    "IsPassing": false,
    "IsFailing": false,
    "NeedsAttention": false,
    "PassingSuiteKey": null,
    "NeedsAttentionSuiteKey": null
   },
   {
    "TestCaseId": "tc-witness-send_intents-opt_out_gate_passed",
    "TestKind": "witness-discriminates",
    "Subject": "SendIntents.OptOutGatePassed",
    "TargetTable": "SendIntents",
    "TargetField": "OptOutGatePassed",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SendIntents.OptOutGatePassed",
    "IsBlocking": false,
    "IsPassing": true,
    "IsFailing": false,
    "NeedsAttention": false,
    "PassingSuiteKey": "suite-witness",
    "NeedsAttentionSuiteKey": null
   },
   {
    "TestCaseId": "tc-witness-send_intents-content_gate_passed",
    "TestKind": "witness-discriminates",
    "Subject": "SendIntents.ContentGatePassed",
    "TargetTable": "SendIntents",
    "TargetField": "ContentGatePassed",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SendIntents.ContentGatePassed",
    "IsBlocking": false,
    "IsPassing": true,
    "IsFailing": false,
    "NeedsAttention": false,
    "PassingSuiteKey": "suite-witness",
    "NeedsAttentionSuiteKey": null
   },
   {
    "TestCaseId": "tc-witness-send_intents-template_is_sendable",
    "TestKind": "witness-discriminates",
    "Subject": "SendIntents.TemplateIsSendable",
    "TargetTable": "SendIntents",
    "TargetField": "TemplateIsSendable",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SendIntents.TemplateIsSendable",
    "IsBlocking": false,
    "IsPassing": false,
    "IsFailing": false,
    "NeedsAttention": false,
    "PassingSuiteKey": null,
    "NeedsAttentionSuiteKey": null
   },
   {
    "TestCaseId": "tc-witness-send_intents-execution_has_legal_clearance",
    "TestKind": "witness-discriminates",
    "Subject": "SendIntents.ExecutionHasLegalClearance",
    "TargetTable": "SendIntents",
    "TargetField": "ExecutionHasLegalClearance",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SendIntents.ExecutionHasLegalClearance",
    "IsBlocking": false,
    "IsPassing": false,
    "IsFailing": false,
    "NeedsAttention": false,
    "PassingSuiteKey": null,
    "NeedsAttentionSuiteKey": null
   },
   {
    "TestCase</t>
  </si>
  <si>
    <t xml:space="preserve">Id": "tc-witness-send_intents-approval_is_human",
    "TestKind": "witness-discriminates",
    "Subject": "SendIntents.ApprovalIsHuman",
    "TargetTable": "SendIntents",
    "TargetField": "ApprovalIsHuman",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SendIntents.ApprovalIsHuman",
    "IsBlocking": false,
    "IsPassing": false,
    "IsFailing": false,
    "NeedsAttention": false,
    "PassingSuiteKey": null,
    "NeedsAttentionSuiteKey": null
   },
   {
    "TestCaseId": "tc-witness-send_intents-authorization_gate_passed",
    "TestKind": "witness-discriminates",
    "Subject": "SendIntents.AuthorizationGatePassed",
    "TargetTable": "SendIntents",
    "TargetField": "AuthorizationGatePassed",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SendIntents.AuthorizationGatePassed",
    "IsBlocking": false,
    "IsPassing": false,
    "IsFailing": false,
    "NeedsAttention": false,
    "PassingSuiteKey": null,
    "NeedsAttentionSuiteKey": null
   },
   {
    "TestCaseId": "tc-witness-send_intents-is_cleared_to_send",
    "TestKind": "witness-discriminates",
    "Subject": "SendIntents.IsClearedToSend",
    "TargetTable": "SendIntents",
    "TargetField": "IsClearedToSend",
    "Assertion": "Reads both TRUE and FALSE across the seed data, so it can distinguish cases.",
    "DefendsQuestion": "q-publisher-am-i-authorized-to-act",
    "Suite": "suite-witness",
    "Severity": "advisory",
    "LastOutcome": "PASS",
    "LastDetail": "3 true / 4 false",
    "LastRunAt": "2026-07-20T03:06:49+00:00",
    "SemanticTypeIri": "urn:effortless:pko-extension#TestCase",
    "Name": "witness-discriminates: SendIntents.IsClearedToSend",
    "IsBlocking": false,
    "IsPassing": true,
    "IsFailing": false,
    "NeedsAttention": false,
    "PassingSuiteKey": "suite-witness",
    "NeedsAttentionSuiteKey": null
   },
   {
    "TestCaseId": "tc-witness-send_intents-has_resulting_delivery",
    "TestKind": "witness-discriminates",
    "Subject": "SendIntents.HasResultingDelivery",
    "TargetTable": "SendIntents",
    "TargetField": "HasResultingDelivery",
    "Assertion": "Reads both TRUE and FALSE across the seed data, so it can distinguish cases.",
    "DefendsQuestion": "q-publisher-refusal-was-honored",
    "Suite": "suite-witness",
    "Severity": "advisory",
    "LastOutcome": "PASS",
    "LastDetail": "2 true / 5 false",
    "LastRunAt": "2026-07-20T03:06:49+00:00",
    "SemanticTypeIri": "urn:effortless:pko-extension#TestCase",
    "Name": "witness-discriminates: SendIntents.HasResultingDelivery",
    "IsBlocking": false,
    "IsPassing": true,
    "IsFailing": false,
    "NeedsAttention": false,
    "PassingSuiteKey": "suite-witness",
    "NeedsAttentionSuiteKey": null
   },
   {
    "TestCaseId": "tc-witness-send_intents-resulting_delivery_was_transmitted",
    "TestKind": "witness-discriminates",
    "Subject": "SendIntents.ResultingDeliveryWasTransmitted",
    "TargetTable": "SendIntents",
    "TargetField": "ResultingDeliveryWasTransmitted",
    "Assertion": "Reads both TRUE and FALSE across the seed data, so it can distinguish cases.",
    "DefendsQuestion": "q-publisher-refusal-was-honored",
    "Suite": "suite-witness",
    "Severity": "advisory",
    "LastOutcome": "WARN",
    "LastDetail": "always true (2/7)",
    "LastRunAt": "2026-07-20T03:06:49+00:00",
    "SemanticTypeIri": "urn:effortless:pko-extension#TestCase",
    "Name": "witness-discriminates: SendIntents.ResultingDeliveryWasTransmitted",
    "IsBlocking": false,
    "IsPassing": false,
    "IsFailing": false,
    "NeedsAttention": false,
    "PassingSuiteKey": null,
    "NeedsAttentionSuiteKey": null
   },
   {
    "TestCaseId": "tc-witness-send_intents-is_overridden_refusal",
    "TestKind": "witness-discriminates",
    "Subject": "SendIntents.IsOverriddenRefusal",
    "TargetTable": "SendIntents",
    "TargetField": "IsOverriddenRefusal",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SendIntents.IsOverriddenRefusal",
    "IsBlocking": false,
    "IsPassing": false,
    "IsFailing": false,
    "NeedsAttention": false,
    "PassingSuiteKey": null,
    "NeedsAttentionSuiteKey": null
   },
   {
    "TestCaseId": "tc-witness-send_intents-is_silently_dropped",
    "TestKind": "witness-discriminates",
    "Subject": "SendIntents.IsSilentlyDropped",
    "TargetTable": "SendIntents",
    "TargetField": "IsSilentlyDropped",
    "Assertion": "Reads both TRUE and FALSE across the seed data, so it can distinguish cases.",
    "DefendsQuestion": "q-publisher-refusal-was-honored",
    "Suite": "suite-witness",
    "Severity": "advisory",
    "LastOutcome": "PASS",
    "LastDetail": "4 true / 3 false",
    "LastRunAt": "2026-07-20T03:06:49+00:00",
    "SemanticTypeIri": "urn:effortless:pko-extension#TestCase",
    "Name": "witness-discriminates: SendIntents.IsSilentlyDropped",
    "IsBlocking": false,
    "IsPassing": true,
    "IsFailing": false,
    "NeedsAttention": false,
    "PassingSuiteKey": "suite-witness",
    "NeedsAttentionSuiteKey": null
   },
   {
    "TestCaseId": "tc-witness-send_intents-refusal_cited_an_exception",
    "TestKind": "witness-discriminates",
    "Subject": "SendIntents.RefusalCitedAnException",
    "TargetTable": "SendIntents",
    "TargetField": "RefusalCitedAnException",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SendIntents.RefusalCitedAnException",
    "IsBlocking": false,
    "IsPassing": false,
    "IsFailing": false,
    "NeedsAttention": false,
    "PassingSuiteKey": null,
    "NeedsAttentionSuiteKey": null
   },
   {
    "TestCaseId": "tc-witness-send_intents-is_properly_handled_refusal",
    "TestKind": "witness-discriminates",
    "Subject": "SendIntents.IsProperlyHandledRefusal",
    "TargetTable": "SendIntents",
    "TargetField": "IsProperlyHandledRefusal",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SendIntents.IsProperlyHandledRefusal",
    "IsBlocking": false,
    "IsPassing": false,
    "IsFailing": false,
    "NeedsAttention": false,
    "PassingSuiteKey": null,
    "NeedsAttentionSuiteKey": null
   },
   {
    "TestCaseId": "tc-witness-send_intents-my_approval_was_in_force",
    "TestKind": "witness-discriminates",
    "Subject": "SendIntents.MyApprovalWasInForce",
    "TargetTable": "SendIntents",
    "TargetField": "MyApprovalWasInForce",
    "Assertion": "Reads both TRUE and FALSE across the seed data, so it can distinguish cases.",
    "DefendsQuestion": "q2-comms-my-approval-was-consumed-correctly",
    "Suite": "suite-witness",
    "Severity": "advisory",
    "LastOutcome": "WARN",
    "LastDetail": "always true (7/7)",
    "LastRunAt": "2026-07-20T03:06:49+00:00",
    "SemanticTypeIri": "urn:effortless:pko-extension#TestCase",
    "Name": "witness-discriminates: SendIntents.MyApprovalWasInForce",
    "IsBlocking": false,
    "IsPassing": false,
    "IsFailing": false,
    "NeedsAttention": false,
    "PassingSuiteKey": null,
    "NeedsAttentionSuiteKey": null
   },
   {
    "TestCaseId": "tc-witness-send_intents-refused_on_approved_content",
    "TestKind": "witness-discriminates",
    "Subject": "SendIntents.RefusedOnApprovedContent",
    "TargetTable": "SendIntents",
    "TargetField": "RefusedOnApprovedContent",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SendIntents.RefusedOnApprovedContent",
    "IsBlocking": false,
    "IsPassing": true,
    "IsFailing": false,
    "NeedsAttention": false,
    "PassingSuiteKey": "suite-witness",
    "NeedsAttentionSuiteKey": null
   },
   {
    "TestCaseId": "tc-witness-send_intents-refused_on_opt_out_only",
    "TestKind": "witness-discriminates",
    "Subject": "SendIntents.RefusedOnOptOutOnly",
    "TargetTable": "SendIntents",
    "TargetField": "RefusedOnOptOutOnly",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SendIntents.RefusedOnOptOutOnly",
    "IsBlocking": false,
    "IsPassing": true,
    "IsFailing": false,
    "NeedsAttention": false,
    "PassingSuiteKey": "suite-witness",
    "NeedsAttentionSuiteKey": null
   },
   {
    "TestCaseId": "tc-witness-send_intents-refusal_was_on_my_rules",
    "TestKind": "witness-discriminates",
    "Subject": "SendIntents.RefusalWasOnMyRules",
    "TargetTable": "SendIntents",
    "TargetField": "RefusalWasOnMyRules",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SendIntents.RefusalWasOnMyRules",
    "IsBlocking": false,
    "IsPassing": true,
    "IsFailing": false,
    "NeedsAttention": false,
    "PassingSuiteKey": "suite-witness",
    "NeedsAttentionSuiteKey": null
   },
   {
    "TestCaseId": "tc-witness-send_intents-refusal_was_outside_my_control",
    "TestKind": "witness-discriminates",
    "Subject": "SendIntents.RefusalWasOutsideMyControl",
    "TargetTable": "SendIntents",
    "TargetField": "RefusalWasOutsideMyControl",
    "Assertion": "Reads both TRUE and FALSE across the seed data, so it can distinguish cases.",
    "DefendsQuestion": "q2-comms-my-approval-was-consumed-correctly",
    "Suite": "suite-witness",
    "Severity": "advisory",
    "LastOutcome": "PASS",
    "LastDetail": "1 true / 6 false",
    "LastRunAt": "2026-07-20T03:06:49+00:00",
    "SemanticTypeIri": "urn:effortless:pko-extension#TestCase",
    "Name": "witness-discriminates: SendIntents.RefusalWasOutsideMyControl",
    "IsBlocking": false,
    "IsPassing": true,
    "IsFailing": false,
    "NeedsAttention": false,
    "PassingSuiteKey": "suite-witness",
    "NeedsAttentionSuiteKey": null
   },
   {
    "TestCaseId": "tc-witness-send_intents-is_unreported_refusal_on_my_rules",
    "TestKind": "witness-discriminates",
    "Subject": "SendIntents.IsUnreportedRefusalOnMyRules",
    "TargetTable": "SendIntents",
    "TargetField": "IsUnreportedRefusalOnMyRules",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SendIntents.IsUnreportedRefusalOnMyRules",
    "IsBlocking": false,
    "IsPassing": true,
    "IsFailing": false,
    "NeedsAttention": false,
    "PassingSuiteKey": "suite-witness",
    "NeedsAttentionSuiteKey": null
   },
   {
    "TestCaseId": "tc-witness-send_intents-is_approval_overridden_silently",
    "TestKind": "witness-discriminates",
    "Subject": "SendIntents.IsApprovalOverriddenSilently",
    "TargetTable": "SendIntents",
    "TargetField": "IsApprovalOverriddenSilently",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SendIntents.IsApprovalOverriddenSilently",
    "IsBlocking": false,
    "IsPassing": true,
    "IsFailing": false,
    "NeedsAttention": false,
    "PassingSuiteKey": "suite-witness",
    "NeedsAttentionSuiteKey": null
   },
   {
    "TestCaseId": "tc-witness-send_intents-has_alternate_channel_attempt",
    "TestKind": "witness-discriminates",
    "Subject": "SendIntents.HasAlternateChannelAttempt",
    "TargetTable": "SendIntents",
    "TargetField": "HasAlternateChannelAttempt",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SendIntents.HasAlternateChannelAttempt",
    "IsBlocking": false,
    "IsPassing": false,
    "IsFailing": false,
    "NeedsAttention": false,
    "PassingSuiteKey": null,
    "NeedsAttentionSuiteKey": null
   },
   {
    "TestCaseId": "tc-witness-send_intents-alternate_attempt_was_cleared",
    "TestKind": "witness-discriminates",
    "Subject": "SendIntents.AlternateAttemptWasCleared",
    "TargetTable": "SendIntents",
    "TargetField": "AlternateAttemptWasCleared",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SendIntents.AlternateAttemptWasCleared",
    "IsBlocking": false,
    "IsPassing": false,
    "IsFailing": false,
    "NeedsAttention": false,
    "PassingSuiteKey": null,
    "NeedsAttentionSuiteKey": null
   },
   {
    "TestCaseId": "tc-witness-send_intents-is_refused_with_no_alternative",
    "TestKind": "witness-discriminates",
    "Subject": "SendIntents.IsRefusedWithNoAlternative",
    "TargetTable": "SendIntents",
    "TargetField": "IsRefusedWithNoAlternative",
    "Assertion": "Reads both TRUE and FALSE across the seed data, so it can distinguish cases.",
    "DefendsQuestion": "q2-comms-suppression-is-a-communication",
    "Suite": "suite-witness",
    "Severity": "advisory",
    "LastOutcome": "PASS",
    "LastDetail": "4 true / 3 false",
    "LastRunAt": "2026-07-20T03:06:49+00:00",
    "SemanticTypeIri": "urn:effortless:pko-extension#TestCase",
    "Name": "witness-discriminates: SendIntents.IsRefusedWithNoAlternative",
    "IsBlocking": false,
    "IsPassing": true,
    "IsFailing": false,
    "NeedsAttention": false,
    "PassingSuiteKey": "suite-witness",
    "NeedsAttentionSuiteKey": null
   },
   {
    "TestCaseId": "tc-witness-send_intents-exception_prescribed_an_alternative",
    "TestKind": "witness-discriminates",
    "Subject": "SendIntents.ExceptionPrescribedAnAlternative",
    "TargetTable": "SendIntents",
    "TargetField": "ExceptionPrescribedAnAlternative",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SendIntents.ExceptionPrescribedAnAlternative",
    "IsBlocking": false,
    "IsPassing": false,
    "IsFailing": false,
    "NeedsAttention": false,
    "PassingSuiteKey": null,
    "NeedsAttentionSuiteKey": null
   },
   {
    "TestCaseId": "tc-witness-send_intents-prescribed_handling_was_performed",
    "TestKind": "witness-discriminates",
    "Subject": "SendIntents.PrescribedHandlingWasPerformed",
    "TargetTable": "SendIntents",
    "TargetField": "PrescribedHandlingWasPerformed",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SendIntents.PrescribedHandlingWasPerformed",
    "IsBlocking": false,
    "IsPassing": false,
    "IsFailing": false,
    "NeedsAttention": false,
    "PassingSuiteKey": null,
    "NeedsAttentionSuiteKey": null
   },
   {
    "TestCaseId": "tc-witness-send_intents-is_suppression_without_remedy",
    "TestKind": "witness-discriminates",
    "Subject": "SendIntents.IsSuppressionWithoutRemedy",
    "TargetTable": "SendIntents",
    "TargetField": "IsSuppressionWithoutRemedy",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SendIntents.IsSuppressionWithoutRemedy",
    "IsBlocking": false,
    "IsPassing": false,
    "IsFailing": false,
    "NeedsAttention": false,
    "PassingSuiteKey": null,
    "NeedsAttentionSuiteKey": null
   },
   {
    "TestCaseId": "tc-witness-send_intents-has_durable_refusal_record",
    "TestKind": "witness-discriminates",
    "Subject": "SendIntents.HasDurableRefusalRecord",
    "TargetTable": "SendIntents",
    "TargetField": "HasDurableRefusalRecord",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SendIntents.HasDurableRefusalRecord",
    "IsBlocking": false,
    "IsPassing": false,
    "IsFailing": false,
    "NeedsAttention": false,
    "PassingSuiteKey": null,
    "NeedsAttentionSuiteKey": null
   },
   {
    "TestCaseId": "tc-witness-send_intents-refusal_was_escalated",
    "TestKind": "witness-discriminates",
    "Subject": "SendIntents.RefusalWasEscalated",
    "TargetTable": "SendIntents",
    "TargetField": "RefusalWasEscalated",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SendIntents.RefusalWasEscalated",
    "IsBlocking": false,
    "IsPassing": false,
    "IsFailing": false,
    "NeedsAttention": false,
    "PassingSuiteKey": null,
    "NeedsAttentionSuiteKey": null
   },
   {
    "TestCaseId": "tc-witness-send_intents-is_unrecorded_refusal",
    "TestKind": "witness-discriminates",
    "Subject": "SendIntents.IsUnrecordedRefusal",
    "TargetTable": "SendIntents",
    "TargetField": "IsUnrecordedRefusal",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SendIntents.IsUnrecordedRefusal",
    "IsBlocking": false,
    "IsPassing": true,
    "IsFailing": false,
    "NeedsAttention": false,
    "PassingSuiteKey": "suite-witness",
    "NeedsAttentionSuiteKey": null
   },
   {
    "TestCaseId": "tc-witness-send_intents-is_unescalated_refusal",
    "TestKind": "witness-discriminates",
    "Subject": "SendIntents.IsUnescalatedRefusal",
    "TargetTable": "SendIntents",
    "TargetField": "IsUnescalatedRefusal",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SendIntents.IsUnescalatedRefusal",
    "IsBlocking": false,
    "IsPassing": true,
    "IsFailing": false,
    "NeedsAttention": false,
    "PassingSuiteKey": "suite-witness",
    "NeedsAttentionSuiteKey": null
   },
   {
    "TestCaseId": "tc-witness-send_intents-was_deferred_on_timing",
    "TestKind": "witness-discriminates",
    "Subject": "SendIntents.WasDeferredOnTiming",
    "TargetTable": "SendIntents",
    "TargetField": "WasDeferredOnTiming",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SendIntents.WasDeferredOnTiming",
    "IsBlocking": false,
    "IsPassing": true,
    "IsFailing": false,
    "NeedsAttention": false,
    "PassingSuiteKey": "suite-witness",
    "NeedsAttentionSuiteKey": null
   },
   {
    "TestCaseId": "tc-witness-send_intents-window_has_since_reopened",
    "TestKind": "witness-discriminates",
    "Subject": "SendIntents.WindowHasSinceReopened",
    "TargetTable": "SendIntents",
    "TargetField": "WindowHasSinceReopened",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SendIntents.WindowHasSinceReopened",
    "IsBlocking": false,
    "IsPassing": true,
    "IsFailing": false,
    "NeedsAttention": false,
    "PassingSuiteKey": "suite-witness",
    "NeedsAttentionSuiteKey": null
   },
   {
    "TestCaseId": "tc-witness-send_intents-has_retry_attempt",
    "TestKind": "witness-discriminates",
    "Subject": "SendIntents.HasRetryAttempt",
    "TargetTable": "SendIntents",
    "TargetField": "HasRetryAttempt",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SendIntents.HasRetryAttempt",
    "IsBlocking": false,
    "IsPassing": false,
    "IsFailing": false,
    "NeedsAttention": false,
    "PassingSuiteKey": null,
    "NeedsAttentionSuiteKey": null
   },
   {
    "TestCaseId": "tc-witness-send_intents-retry_was_cleared",
    "TestKind": "witness-discriminates",
    "Subject": "SendIntents.RetryWasCleared",
    "TargetTable": "SendIntents",
    "TargetField": "RetryWasCleared",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SendIntents.RetryWasCleared",
    "IsBlocking": false,
    "IsPassing": false,
    "IsFailing": false,
    "NeedsAttention": false,
    "PassingSuiteKey": null,
    "NeedsAttentionSuiteKey": null
   },
   {
    "TestCaseId": "tc-witness-send_intents-is_abandoned_deferral",
    "TestKind": "witness-discriminates",
    "Subject": "SendIntents.IsAbandonedDeferral",
    "TargetTable": "SendIntents",
    "TargetField": "IsAbandonedDeferral",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SendIntents.IsAbandonedDeferral",
    "IsBlocking": false,
    "IsPassing": true,
    "IsFailing": false,
    "NeedsAttention": false,
    "PassingSuiteKey": "suite-witness",
    "NeedsAttentionSuiteKey": null
   },
   {
    "TestCaseId": "tc-witness-send_intents-is_stale_deferral",
    "TestKind": "witness-discriminates",
    "Subject": "SendIntents.IsStaleDeferral",
    "TargetTable": "SendIntents",
    "TargetField": "IsStaleDeferral",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SendIntents.IsStaleDeferral",
    "IsBlocking": false,
    "IsPassing": false,
    "IsFailing": false,
    "NeedsAttention": false,
    "PassingSuiteKey": null,
    "NeedsAttentionSuiteKey": null
   },
   {
    "TestCaseId": "tc-witness-send_intents-enforced_by_unauthorized_agent",
    "TestKind": "witness-discriminates",
    "Subject": "SendIntents.EnforcedByUnauthorizedAgent",
    "TargetTable": "SendIntents",
    "TargetField": "EnforcedByUnauthorizedAgent",
    "Assertion": "Reads both TRUE and FALSE across the seed data, so it can distinguish cases.",
    "DefendsQuestion": "q2-publisher-my-own-authorization",
    "Suite": "suite-witness",
    "Severity": "advisory",
    "LastOutcome": "WARN",
    "LastDetail": "never true (7/7 false)",
    "LastRunAt": "2026-07-20T03:06:49+00:00",
    "SemanticTypeIri": "urn:effortless:pko-extension#TestCase",
    "Name": "witness-discriminates: SendIntents.EnforcedByUnauthorizedAgent",
    "IsBlocking": false,
    "IsPassing": false,
    "IsFailing": false,
    "NeedsAttention": false,
    "PassingSuiteKey": null,
    "NeedsAttentionSuiteKey": null
   },
   {
    "TestCaseId": "tc-witness-send_intents-consent_input_was_resolvable",
    "TestKind": "witness-discriminates",
    "Subject": "SendIntents.ConsentInputWasResolvable",
    "TargetTable": "SendIntents",
    "TargetField": "ConsentInputWasResolvable",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SendIntents.ConsentInputWasResolvable",
    "IsBlocking": false,
    "IsPassing": false,
    "IsFailing": false,
    "NeedsAttention": false,
    "PassingSuiteKey": null,
    "NeedsAttentionSuiteKey": null
   },
   {
    "TestCaseId": "tc-witness-send_intents-policy_input_was_resolvable",
    "TestKind": "witness-discriminates",
    "Subject": "SendIntents.PolicyInputWasResolvable",
    "TargetTable": "SendIntents",
    "TargetField": "PolicyInputWasResolvable",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SendIntents.PolicyInputWasResolvable",
    "IsBlocking": false,
    "IsPassing": false,
    "IsFailing": false,
    "NeedsAttention": false,
    "PassingSuiteKey": null,
    "NeedsAttentionSuiteKey": null
   },
   {
    "TestCaseId": "tc-witness-send_intents-all_gate_inputs_resolved",
    "TestKind": "witness-discriminates",
    "Subject": "SendIntents.AllGateInputsResolved",
    "TargetTable": "SendIntents",
    "TargetField": "AllGateInputsResolved",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SendIntents.AllGateInputsResolved",
    "IsBlocking": false,
    "IsPassing": false,
    "IsFailing": false,
    "NeedsAttention": false,
    "PassingSuiteKey": null,
    "NeedsAttentionSuiteKey": null
   },
   {
    "TestCaseId": "tc-witness-send_intents-is_unevaluable_refusal",
    "TestKind": "witness-discriminates",
    "Subject": "SendIntents.IsUnevaluableRefusal",
    "TargetTable": "SendIntents",
    "TargetField": "IsUnevaluableRefusal",
    "Assertion": "Reads both TRUE and FALSE across the seed data, so it can distinguish cases.",
    "DefendsQuestion": "q2-publisher-am-i-the-only-witness",
    "Suite": "suite-witness",
    "Severity": "advisory",
    "LastOutcome": "WARN",
    "LastDetail": "never true (7/7 false)",
    "LastRunAt":</t>
  </si>
  <si>
    <t xml:space="preserve"> "2026-07-20T03:06:49+00:00",
    "SemanticTypeIri": "urn:effortless:pko-extension#TestCase",
    "Name": "witness-discriminates: SendIntents.IsUnevaluableRefusal",
    "IsBlocking": false,
    "IsPassing": false,
    "IsFailing": false,
    "NeedsAttention": false,
    "PassingSuiteKey": null,
    "NeedsAttentionSuiteKey": null
   },
   {
    "TestCaseId": "tc-witness-send_intents-is_self_witnessed_decision",
    "TestKind": "witness-discriminates",
    "Subject": "SendIntents.IsSelfWitnessedDecision",
    "TargetTable": "SendIntents",
    "TargetField": "IsSelfWitnessedDecision",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SendIntents.IsSelfWitnessedDecision",
    "IsBlocking": false,
    "IsPassing": false,
    "IsFailing": false,
    "NeedsAttention": false,
    "PassingSuiteKey": null,
    "NeedsAttentionSuiteKey": null
   },
   {
    "TestCaseId": "tc-witness-send_intents-is_independently_confirmed",
    "TestKind": "witness-discriminates",
    "Subject": "SendIntents.IsIndependentlyConfirmed",
    "TargetTable": "SendIntents",
    "TargetField": "IsIndependentlyConfirmed",
    "Assertion": "Reads both TRUE and FALSE across the seed data, so it can distinguish cases.",
    "DefendsQuestion": "q2-publisher-am-i-the-only-witness",
    "Suite": "suite-witness",
    "Severity": "advisory",
    "LastOutcome": "PASS",
    "LastDetail": "2 true / 5 false",
    "LastRunAt": "2026-07-20T03:06:49+00:00",
    "SemanticTypeIri": "urn:effortless:pko-extension#TestCase",
    "Name": "witness-discriminates: SendIntents.IsIndependentlyConfirmed",
    "IsBlocking": false,
    "IsPassing": true,
    "IsFailing": false,
    "NeedsAttention": false,
    "PassingSuiteKey": "suite-witness",
    "NeedsAttentionSuiteKey": null
   },
   {
    "TestCaseId": "tc-witness-agent_decision_records-was_overridden",
    "TestKind": "witness-discriminates",
    "Subject": "AgentDecisionRecords.WasOverridden",
    "TargetTable": "AgentDecisionRecords",
    "TargetField": "WasOverridden",
    "Assertion": "Reads both TRUE and FALSE across the seed data, so it can distinguish cases.",
    "DefendsQuestion": "q-close-auto-human-override-drift",
    "Suite": "suite-witness",
    "Severity": "advisory",
    "LastOutcome": "PASS",
    "LastDetail": "1 true / 2 false",
    "LastRunAt": "2026-07-20T03:06:49+00:00",
    "SemanticTypeIri": "urn:effortless:pko-extension#TestCase",
    "Name": "witness-discriminates: AgentDecisionRecords.WasOverridden",
    "IsBlocking": false,
    "IsPassing": true,
    "IsFailing": false,
    "NeedsAttention": false,
    "PassingSuiteKey": "suite-witness",
    "NeedsAttentionSuiteKey": null
   },
   {
    "TestCaseId": "tc-witness-agent_decision_records-was_reviewed",
    "TestKind": "witness-discriminates",
    "Subject": "AgentDecisionRecords.WasReviewed",
    "TargetTable": "AgentDecisionRecords",
    "TargetField": "WasReviewed",
    "Assertion": "Reads both TRUE and FALSE across the seed data, so it can distinguish cases.",
    "DefendsQuestion": "q-close-auto-human-override-drift",
    "Suite": "suite-witness",
    "Severity": "advisory",
    "LastOutcome": "WARN",
    "LastDetail": "always true (3/3)",
    "LastRunAt": "2026-07-20T03:06:49+00:00",
    "SemanticTypeIri": "urn:effortless:pko-extension#TestCase",
    "Name": "witness-discriminates: AgentDecisionRecords.WasReviewed",
    "IsBlocking": false,
    "IsPassing": false,
    "IsFailing": false,
    "NeedsAttention": false,
    "PassingSuiteKey": null,
    "NeedsAttentionSuiteKey": null
   },
   {
    "TestCaseId": "tc-witness-agent_decision_records-violated_authority_boundary",
    "TestKind": "witness-discriminates",
    "Subject": "AgentDecisionRecords.ViolatedAuthorityBoundary",
    "TargetTable": "AgentDecisionRecords",
    "TargetField": "ViolatedAuthorityBoundary",
    "Assertion": "Reads both TRUE and FALSE across the seed data, so it can distinguish cases.",
    "DefendsQuestion": "q-variance-ai-boundary-compliance",
    "Suite": "suite-witness",
    "Severity": "advisory",
    "LastOutcome": "WARN",
    "LastDetail": "never true (3/3 false)",
    "LastRunAt": "2026-07-20T03:06:49+00:00",
    "SemanticTypeIri": "urn:effortless:pko-extension#TestCase",
    "Name": "witness-discriminates: AgentDecisionRecords.ViolatedAuthorityBoundary",
    "IsBlocking": false,
    "IsPassing": false,
    "IsFailing": false,
    "NeedsAttention": false,
    "PassingSuiteKey": null,
    "NeedsAttentionSuiteKey": null
   },
   {
    "TestCaseId": "tc-witness-agent_decision_records-has_human_confirmation",
    "TestKind": "witness-discriminates",
    "Subject": "AgentDecisionRecords.HasHumanConfirmation",
    "TargetTable": "AgentDecisionRecords",
    "TargetField": "HasHumanConfirmation",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AgentDecisionRecords.HasHumanConfirmation",
    "IsBlocking": false,
    "IsPassing": false,
    "IsFailing": false,
    "NeedsAttention": false,
    "PassingSuiteKey": null,
    "NeedsAttentionSuiteKey": null
   },
   {
    "TestCaseId": "tc-witness-agent_decision_records-needs_human_confirmation",
    "TestKind": "witness-discriminates",
    "Subject": "AgentDecisionRecords.NeedsHumanConfirmation",
    "TargetTable": "AgentDecisionRecords",
    "TargetField": "NeedsHumanConfirmation",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AgentDecisionRecords.NeedsHumanConfirmation",
    "IsBlocking": false,
    "IsPassing": false,
    "IsFailing": false,
    "NeedsAttention": false,
    "PassingSuiteKey": null,
    "NeedsAttentionSuiteKey": null
   },
   {
    "TestCaseId": "tc-witness-agent_decision_records-is_unconfirmed_non_human_decision",
    "TestKind": "witness-discriminates",
    "Subject": "AgentDecisionRecords.IsUnconfirmedNonHumanDecision",
    "TargetTable": "AgentDecisionRecords",
    "TargetField": "IsUnconfirmedNonHumanDecision",
    "Assertion": "Reads both TRUE and FALSE across the seed data, so it can distinguish cases.",
    "DefendsQuestion": "q-variance-ai-human-confirmation-present",
    "Suite": "suite-witness",
    "Severity": "advisory",
    "LastOutcome": "WARN",
    "LastDetail": "never true (3/3 false)",
    "LastRunAt": "2026-07-20T03:06:49+00:00",
    "SemanticTypeIri": "urn:effortless:pko-extension#TestCase",
    "Name": "witness-discriminates: AgentDecisionRecords.IsUnconfirmedNonHumanDecision",
    "IsBlocking": false,
    "IsPassing": false,
    "IsFailing": false,
    "NeedsAttention": false,
    "PassingSuiteKey": null,
    "NeedsAttentionSuiteKey": null
   },
   {
    "TestCaseId": "tc-witness-agent_decision_records-is_draft_kind",
    "TestKind": "witness-discriminates",
    "Subject": "AgentDecisionRecords.IsDraftKind",
    "TargetTable": "AgentDecisionRecords",
    "TargetField": "IsDraftKind",
    "Assertion": "Reads both TRUE and FALSE across the seed data, so it can distinguish cases.",
    "DefendsQuestion": "q-policy-ai-downstream-rewrite",
    "Suite": "suite-witness",
    "Severity": "advisory",
    "LastOutcome": "WARN",
    "LastDetail": "never true (3/3 false)",
    "LastRunAt": "2026-07-20T03:06:49+00:00",
    "SemanticTypeIri": "urn:effortless:pko-extension#TestCase",
    "Name": "witness-discriminates: AgentDecisionRecords.IsDraftKind",
    "IsBlocking": false,
    "IsPassing": false,
    "IsFailing": false,
    "NeedsAttention": false,
    "PassingSuiteKey": null,
    "NeedsAttentionSuiteKey": null
   },
   {
    "TestCaseId": "tc-witness-agent_decision_records-is_error_correction",
    "TestKind": "witness-discriminates",
    "Subject": "AgentDecisionRecords.IsErrorCorrection",
    "TargetTable": "AgentDecisionRecords",
    "TargetField": "IsErrorCorrection",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AgentDecisionRecords.IsErrorCorrection",
    "IsBlocking": false,
    "IsPassing": false,
    "IsFailing": false,
    "NeedsAttention": false,
    "PassingSuiteKey": null,
    "NeedsAttentionSuiteKey": null
   },
   {
    "TestCaseId": "tc-witness-agent_decision_records-is_reserved_judgment_override",
    "TestKind": "witness-discriminates",
    "Subject": "AgentDecisionRecords.IsReservedJudgmentOverride",
    "TargetTable": "AgentDecisionRecords",
    "TargetField": "IsReservedJudgmentOverride",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AgentDecisionRecords.IsReservedJudgmentOverride",
    "IsBlocking": false,
    "IsPassing": false,
    "IsFailing": false,
    "NeedsAttention": false,
    "PassingSuiteKey": null,
    "NeedsAttentionSuiteKey": null
   },
   {
    "TestCaseId": "tc-witness-agent_decision_records-override_reason_is_recorded",
    "TestKind": "witness-discriminates",
    "Subject": "AgentDecisionRecords.OverrideReasonIsRecorded",
    "TargetTable": "AgentDecisionRecords",
    "TargetField": "OverrideReasonIsRecorded",
    "Assertion": "Reads both TRUE and FALSE across the seed data, so it can distinguish cases.",
    "DefendsQuestion": "q2-variance-override-signal-vs-noise",
    "Suite": "suite-witness",
    "Severity": "advisory",
    "LastOutcome": "WARN",
    "LastDetail": "never true (3/3 false)",
    "LastRunAt": "2026-07-20T03:06:49+00:00",
    "SemanticTypeIri": "urn:effortless:pko-extension#TestCase",
    "Name": "witness-discriminates: AgentDecisionRecords.OverrideReasonIsRecorded",
    "IsBlocking": false,
    "IsPassing": false,
    "IsFailing": false,
    "NeedsAttention": false,
    "PassingSuiteKey": null,
    "NeedsAttentionSuiteKey": null
   },
   {
    "TestCaseId": "tc-witness-agent_decision_records-is_unexplained_override",
    "TestKind": "witness-discriminates",
    "Subject": "AgentDecisionRecords.IsUnexplainedOverride",
    "TargetTable": "AgentDecisionRecords",
    "TargetField": "IsUnexplainedOverride",
    "Assertion": "Reads both TRUE and FALSE across the seed data, so it can distinguish cases.",
    "DefendsQuestion": "q2-variance-override-signal-vs-noise",
    "Suite": "suite-witness",
    "Severity": "advisory",
    "LastOutcome": "PASS",
    "LastDetail": "1 true / 2 false",
    "LastRunAt": "2026-07-20T03:06:49+00:00",
    "SemanticTypeIri": "urn:effortless:pko-extension#TestCase",
    "Name": "witness-discriminates: AgentDecisionRecords.IsUnexplainedOverride",
    "IsBlocking": false,
    "IsPassing": true,
    "IsFailing": false,
    "NeedsAttention": false,
    "PassingSuiteKey": "suite-witness",
    "NeedsAttentionSuiteKey": null
   },
   {
    "TestCaseId": "tc-witness-delivered_communications-has_authorization",
    "TestKind": "witness-discriminates",
    "Subject": "DeliveredCommunications.HasAuthorization",
    "TargetTable": "DeliveredCommunications",
    "TargetField": "HasAuthorization",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DeliveredCommunications.HasAuthorization",
    "IsBlocking": false,
    "IsPassing": false,
    "IsFailing": false,
    "NeedsAttention": false,
    "PassingSuiteKey": null,
    "NeedsAttentionSuiteKey": null
   },
   {
    "TestCaseId": "tc-witness-delivered_communications-content_matches_approval",
    "TestKind": "witness-discriminates",
    "Subject": "DeliveredCommunications.ContentMatchesApproval",
    "TargetTable": "DeliveredCommunications",
    "TargetField": "ContentMatchesApproval",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DeliveredCommunications.ContentMatchesApproval",
    "IsBlocking": false,
    "IsPassing": false,
    "IsFailing": false,
    "NeedsAttention": false,
    "PassingSuiteKey": null,
    "NeedsAttentionSuiteKey": null
   },
   {
    "TestCaseId": "tc-witness-delivered_communications-was_approved_before_sending",
    "TestKind": "witness-discriminates",
    "Subject": "DeliveredCommunications.WasApprovedBeforeSending",
    "TargetTable": "DeliveredCommunications",
    "TargetField": "WasApprovedBeforeSending",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DeliveredCommunications.WasApprovedBeforeSending",
    "IsBlocking": false,
    "IsPassing": false,
    "IsFailing": false,
    "NeedsAttention": false,
    "PassingSuiteKey": null,
    "NeedsAttentionSuiteKey": null
   },
   {
    "TestCaseId": "tc-witness-delivered_communications-is_defensible",
    "TestKind": "witness-discriminates",
    "Subject": "DeliveredCommunications.IsDefensible",
    "TargetTable": "DeliveredCommunications",
    "TargetField": "IsDefensible",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DeliveredCommunications.IsDefensible",
    "IsBlocking": false,
    "IsPassing": false,
    "IsFailing": false,
    "NeedsAttention": false,
    "PassingSuiteKey": null,
    "NeedsAttentionSuiteKey": null
   },
   {
    "TestCaseId": "tc-witness-authority_boundaries-is_currently_binding",
    "TestKind": "witness-discriminates",
    "Subject": "AuthorityBoundaries.IsCurrentlyBinding",
    "TargetTable": "AuthorityBoundaries",
    "TargetField": "IsCurrentlyBinding",
    "Assertion": "Reads both TRUE and FALSE across the seed data, so it can distinguish cases.",
    "DefendsQuestion": "q-variance-ai-boundary-compliance",
    "Suite": "suite-witness",
    "Severity": "advisory",
    "LastOutcome": "WARN",
    "LastDetail": "always true (3/3)",
    "LastRunAt": "2026-07-20T03:06:49+00:00",
    "SemanticTypeIri": "urn:effortless:pko-extension#TestCase",
    "Name": "witness-discriminates: AuthorityBoundaries.IsCurrentlyBinding",
    "IsBlocking": false,
    "IsPassing": false,
    "IsFailing": false,
    "NeedsAttention": false,
    "PassingSuiteKey": null,
    "NeedsAttentionSuiteKey": null
   },
   {
    "TestCaseId": "tc-witness-authority_boundaries-ratifying_fragment_is_valid",
    "TestKind": "witness-discriminates",
    "Subject": "AuthorityBoundaries.RatifyingFragmentIsValid",
    "TargetTable": "AuthorityBoundaries",
    "TargetField": "RatifyingFragmentIsValid",
    "Assertion": "Reads both TRUE and FALSE across the seed data, so it can distinguish cases.",
    "DefendsQuestion": "q-variance-ai-boundary-compliance",
    "Suite": "suite-witness",
    "Severity": "advisory",
    "LastOutcome": "WARN",
    "LastDetail": "always true (2/3)",
    "LastRunAt": "2026-07-20T03:06:49+00:00",
    "SemanticTypeIri": "urn:effortless:pko-extension#TestCase",
    "Name": "witness-discriminates: AuthorityBoundaries.RatifyingFragmentIsValid",
    "IsBlocking": false,
    "IsPassing": false,
    "IsFailing": false,
    "NeedsAttention": false,
    "PassingSuiteKey": null,
    "NeedsAttentionSuiteKey": null
   },
   {
    "TestCaseId": "tc-witness-authority_boundaries-is_untested",
    "TestKind": "witness-discriminates",
    "Subject": "AuthorityBoundaries.IsUntested",
    "TargetTable": "AuthorityBoundaries",
    "TargetField": "IsUntested",
    "Assertion": "Reads both TRUE and FALSE across the seed data, so it can distinguish cases.",
    "DefendsQuestion": "q-policy-ai-commitment-boundary",
    "Suite": "suite-witness",
    "Severity": "advisory",
    "LastOutcome": "WARN",
    "LastDetail": "always true (3/3)",
    "LastRunAt": "2026-07-20T03:06:49+00:00",
    "SemanticTypeIri": "urn:effortless:pko-extension#TestCase",
    "Name": "witness-discriminates: AuthorityBoundaries.IsUntested",
    "IsBlocking": false,
    "IsPassing": false,
    "IsFailing": false,
    "NeedsAttention": false,
    "PassingSuiteKey": null,
    "NeedsAttentionSuiteKey": null
   },
   {
    "TestCaseId": "tc-witness-authority_boundaries-has_ratifying_fragment",
    "TestKind": "witness-discriminates",
    "Subject": "AuthorityBoundaries.HasRatifyingFragment",
    "TargetTable": "AuthorityBoundaries",
    "TargetField": "HasRatifyingFragment",
    "Assertion": "Reads both TRUE and FALSE across the seed data, so it can distinguish cases.",
    "DefendsQuestion": null,
    "Suite": "suite-witness",
    "Severity": "advisory",
    "LastOutcome": "PASS",
    "LastDetail": "2 true / 1 false",
    "LastRunAt": "2026-07-20T03:06:49+00:00",
    "SemanticTypeIri": "urn:effortless:pko-extension#TestCase",
    "Name": "witness-discriminates: AuthorityBoundaries.HasRatifyingFragment",
    "IsBlocking": false,
    "IsPassing": true,
    "IsFailing": false,
    "NeedsAttention": false,
    "PassingSuiteKey": "suite-witness",
    "NeedsAttentionSuiteKey": null
   },
   {
    "TestCaseId": "tc-witness-authority_boundaries-is_unwarranted",
    "TestKind": "witness-discriminates",
    "Subject": "AuthorityBoundaries.IsUnwarranted",
    "TargetTable": "AuthorityBoundaries",
    "TargetField": "IsUnwarranted",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
    "IsBlocking": false,
    "IsPassing": true,
    "IsFailing": false,
    "NeedsAttention": false,
    "PassingSuiteKey": "suite-witness",
    "NeedsAttentionSuiteKey": null
   },
   {
    "TestCaseId": "tc-witness-authority_boundaries-ratifying_fragment_is_overdue",
    "TestKind": "witness-discriminates",
    "Subject": "AuthorityBoundaries.RatifyingFragmentIsOverdue",
    "TargetTable": "AuthorityBoundaries",
    "TargetField": "RatifyingFragmentIsOverdue",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AuthorityBoundaries.RatifyingFragmentIsOverdue",
    "IsBlocking": false,
    "IsPassing": false,
    "IsFailing": false,
    "NeedsAttention": false,
    "PassingSuiteKey": null,
    "NeedsAttentionSuiteKey": null
   },
   {
    "TestCaseId": "tc-witness-authority_boundaries-ratifying_fragment_is_single_witness",
    "TestKind": "witness-discriminates",
    "Subject": "AuthorityBoundaries.RatifyingFragmentIsSingleWitness",
    "TargetTable": "AuthorityBoundaries",
    "TargetField": "RatifyingFragmentIsSingleWitness",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AuthorityBoundaries.RatifyingFragmentIsSingleWitness",
    "IsBlocking": false,
    "IsPassing": false,
    "IsFailing": false,
    "NeedsAttention": false,
    "PassingSuiteKey": null,
    "NeedsAttentionSuiteKey": null
   },
   {
    "TestCaseId": "tc-witness-authority_boundaries-warrant_is_thin",
    "TestKind": "witness-discriminates",
    "Subject": "AuthorityBoundaries.WarrantIsThin",
    "TargetTable": "AuthorityBoundaries",
    "TargetField": "WarrantIsThin",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AuthorityBoundaries.WarrantIsThin",
    "IsBlocking": false,
    "IsPassing": false,
    "IsFailing": false,
    "NeedsAttention": false,
    "PassingSuiteKey": null,
    "NeedsAttentionSuiteKey": null
   },
   {
    "TestCaseId": "tc-witness-authority_boundaries-is_unwarranted_and_untested",
    "TestKind": "witness-discriminates",
    "Subject": "AuthorityBoundaries.IsUnwarrantedAndUntested",
    "TargetTable": "AuthorityBoundaries",
    "TargetField": "IsUnwarrantedAndUntested",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AuthorityBoundaries.IsUnwarrantedAndUntested",
    "IsBlocking": false,
    "IsPassing": true,
    "IsFailing": false,
    "NeedsAttention": false,
    "PassingSuiteKey": "suite-witness",
    "NeedsAttentionSuiteKey": null
   },
   {
    "TestCaseId": "tc-witness-authority_boundaries-ratification_lapsed",
    "TestKind": "witness-discriminates",
    "Subject": "AuthorityBoundaries.RatificationLapsed",
    "TargetTable": "AuthorityBoundaries",
    "TargetField": "RatificationLapsed",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AuthorityBoundaries.RatificationLapsed",
    "IsBlocking": false,
    "IsPassing": false,
    "IsFailing": false,
    "NeedsAttention": false,
    "PassingSuiteKey": null,
    "NeedsAttentionSuiteKey": null
   },
   {
    "TestCaseId": "tc-witness-authority_boundaries-binds_despite_lapsed_ratification",
    "TestKind": "witness-discriminates",
    "Subject": "AuthorityBoundaries.BindsDespiteLapsedRatification",
    "TargetTable": "AuthorityBoundaries",
    "TargetField": "BindsDespiteLapsedRatification",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AuthorityBoundaries.BindsDespiteLapsedRatification",
    "IsBlocking": false,
    "IsPassing": false,
    "IsFailing": false,
    "NeedsAttention": false,
    "PassingSuiteKey": null,
    "NeedsAttentionSuiteKey": null
   },
   {
    "TestCaseId": "tc-witness-authority_boundaries-is_ungrounded_and_untested",
    "TestKind": "witness-discriminates",
    "Subject": "AuthorityBoundaries.IsUngroundedAndUntested",
    "TargetTable": "AuthorityBoundaries",
    "TargetField": "IsUngroundedAndUntested",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AuthorityBoundaries.IsUngroundedAndUntested",
    "IsBlocking": false,
    "IsPassing": false,
    "IsFailing": false,
    "NeedsAttention": false,
    "PassingSuiteKey": null,
    "NeedsAttentionSuiteKey": null
   },
   {
    "TestCaseId": "tc-witness-binding_observations-was_stale_at_run",
    "TestKind": "witness-discriminates",
    "Subject": "BindingObservations.WasStaleAtRun",
    "TargetTable": "BindingObservations",
    "TargetField": "WasStaleAtRun",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BindingObservations.WasStaleAtRun",
    "IsBlocking": false,
    "IsPassing": false,
    "IsFailing": false,
    "NeedsAttention": false,
    "PassingSuiteKey": null,
    "NeedsAttentionSuiteKey": null
   },
   {
    "TestCaseId": "tc-witness-binding_observations-is_authoritative_binding",
    "TestKind": "witness-discriminates",
    "Subject": "BindingObservations.IsAuthoritativeBinding",
    "TargetTable": "BindingObservations",
    "TargetField": "IsAuthoritativeBinding",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BindingObservations.IsAuthoritativeBinding",
    "IsBlocking": false,
    "IsPassing": false,
    "IsFailing": false,
    "NeedsAttention": false,
    "PassingSuiteKey": null,
    "NeedsAttentionSuiteKey": null
   },
   {
    "TestCaseId": "tc-witness-attestations-version_is_fit_now",
    "TestKind": "witness-discriminates",
    "Subject": "Attestations.VersionIsFitNow",
    "TargetTable": "Attestations",
    "TargetField": "VersionIsFitNow",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Attestations.VersionIsFitNow",
    "IsBlocking": false,
    "IsPassing": false,
    "IsFailing": false,
    "NeedsAttention": false,
    "PassingSuiteKey": null,
    "NeedsAttentionSuiteKey": null
   },
   {
    "TestCaseId": "tc-witness-attestations-fitness_verdict_has_drifted",
    "TestKind": "witness-discriminates",
    "Subject": "Attestations.FitnessVerdictHasDrifted",
    "TargetTable": "Attestations",
    "TargetField": "FitnessVerdictHasDrifted",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Attestations.FitnessVerdictHasDrifted",
    "IsBlocking": false,
    "IsPassing": false,
    "IsFailing": false,
    "NeedsAttention": false,
    "PassingSuiteKey": null,
    "NeedsAttentionSuiteKey": null
   },
   {
    "TestCaseId": "tc-witness-attestations-assurance_grade_has_drifted",
    "TestKind": "witness-discriminates",
    "Subject": "Attestations.AssuranceGradeHasDrifted",
    "TargetTable": "Attestations",
    "TargetField": "AssuranceGradeHasDrifted",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Attestations.AssuranceGradeHasDrifted",
    "IsBlocking": false,
    "IsPassing": false,
    "IsFailing": false,
    "NeedsAttention": false,
    "PassingSuiteKey": null,
    "NeedsAttentionSuiteKey": null
   },
   {
    "TestCaseId": "tc-witness-attestations-would_not_survive_restatement",
    "TestKind": "witness-discriminates",
    "Subject": "Attestations.WouldNotSurviveRestatement",
    "TargetTable": "Attestations",
    "TargetField": "WouldNotSurviveRestatement",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Attestations.WouldNotSurviveRestatement",
    "IsBlocking": false,
    "IsPassing": false,
    "IsFailing": false,
    "NeedsAttention": false,
    "PassingSuiteKey": null,
    "NeedsAttentionSuiteKey": null
   },
   {
    "TestCaseId": "tc-answered-q-analyst-blocking-unmet-on-my-step",
    "TestKind": "question-answered",
    "Subject": "q-analyst-blocking-unmet-on-my-step",
    "TargetTable": null,
    "TargetField": null,
    "Assertion": "At least one predicate exists to answer this question.",
    "DefendsQuestion": "q-analyst-blocking-unmet-on-my-step",
    "Suite": "suite-provenance",
    "Severity": "blocking",
    "LastOutcome": "PASS",
    "LastDetail": "7 predicates",
    "LastRunAt": "2026-07-20T03:06:49+00:00",
    "SemanticTypeIri": </t>
  </si>
  <si>
    <t xml:space="preserve">"urn:effortless:pko-extension#TestCase",
    "Name": "question-answered: q-analyst-blocking-unmet-on-my-step",
    "IsBlocking": true,
    "IsPassing": true,
    "IsFailing": false,
    "NeedsAttention": false,
    "PassingSuiteKey": "suite-provenance",
    "NeedsAttentionSuiteKey": null
   },
   {
    "TestCaseId": "tc-answered-q-analyst-blocking-never-evaluated",
    "TestKind": "question-answered",
    "Subject": "q-analyst-blocking-never-evaluated",
    "TargetTable": null,
    "TargetField": null,
    "Assertion": "At least one predicate exists to answer this question.",
    "DefendsQuestion": "q-analyst-blocking-never-evaluated",
    "Suite": "suite-provenance",
    "Severity": "blocking",
    "LastOutcome": "PASS",
    "LastDetail": "8 predicates",
    "LastRunAt": "2026-07-20T03:06:49+00:00",
    "SemanticTypeIri": "urn:effortless:pko-extension#TestCase",
    "Name": "question-answered: q-analyst-blocking-never-evaluated",
    "IsBlocking": true,
    "IsPassing": true,
    "IsFailing": false,
    "NeedsAttention": false,
    "PassingSuiteKey": "suite-provenance",
    "NeedsAttentionSuiteKey": null
   },
   {
    "TestCaseId": "tc-answered-q-analyst-evidence-binding-stale",
    "TestKind": "question-answered",
    "Subject": "q-analyst-evidence-binding-stale",
    "TargetTable": null,
    "TargetField": null,
    "Assertion": "At least one predicate exists to answer this question.",
    "DefendsQuestion": "q-analyst-evidence-binding-stale",
    "Suite": "suite-provenance",
    "Severity": "blocking",
    "LastOutcome": "PASS",
    "LastDetail": "6 predicates",
    "LastRunAt": "2026-07-20T03:06:49+00:00",
    "SemanticTypeIri": "urn:effortless:pko-extension#TestCase",
    "Name": "question-answered: q-analyst-evidence-binding-stale",
    "IsBlocking": true,
    "IsPassing": true,
    "IsFailing": false,
    "NeedsAttention": false,
    "PassingSuiteKey": "suite-provenance",
    "NeedsAttentionSuiteKey": null
   },
   {
    "TestCaseId": "tc-answered-q-analyst-my-late-steps-unexplained",
    "TestKind": "question-answered",
    "Subject": "q-analyst-my-late-steps-unexplained",
    "TargetTable": null,
    "TargetField": null,
    "Assertion": "At least one predicate exists to answer this question.",
    "DefendsQuestion": "q-analyst-my-late-steps-unexplained",
    "Suite": "suite-provenance",
    "Severity": "blocking",
    "LastOutcome": "PASS",
    "LastDetail": "6 predicates",
    "LastRunAt": "2026-07-20T03:06:49+00:00",
    "SemanticTypeIri": "urn:effortless:pko-extension#TestCase",
    "Name": "question-answered: q-analyst-my-late-steps-unexplained",
    "IsBlocking": true,
    "IsPassing": true,
    "IsFailing": false,
    "NeedsAttention": false,
    "PassingSuiteKey": "suite-provenance",
    "NeedsAttentionSuiteKey": null
   },
   {
    "TestCaseId": "tc-answered-q-analyst-verification-declared-never-performed",
    "TestKind": "question-answered",
    "Subject": "q-analyst-verification-declared-never-performed",
    "TargetTable": null,
    "TargetField": null,
    "Assertion": "At least one predicate exists to answer this question.",
    "DefendsQuestion": "q-analyst-verification-declared-never-performed",
    "Suite": "suite-provenance",
    "Severity": "blocking",
    "LastOutcome": "PASS",
    "LastDetail": "6 predicates",
    "LastRunAt": "2026-07-20T03:06:49+00:00",
    "SemanticTypeIri": "urn:effortless:pko-extension#TestCase",
    "Name": "question-answered: q-analyst-verification-declared-never-performed",
    "IsBlocking": true,
    "IsPassing": true,
    "IsFailing": false,
    "NeedsAttention": false,
    "PassingSuiteKey": "suite-provenance",
    "NeedsAttentionSuiteKey": null
   },
   {
    "TestCaseId": "tc-answered-q-controller-separation-of-duties",
    "TestKind": "question-answered",
    "Subject": "q-controller-separation-of-duties",
    "TargetTable": null,
    "TargetField": null,
    "Assertion": "At least one predicate exists to answer this question.",
    "DefendsQuestion": "q-controller-separation-of-duties",
    "Suite": "suite-provenance",
    "Severity": "blocking",
    "LastOutcome": "PASS",
    "LastDetail": "8 predicates",
    "LastRunAt": "2026-07-20T03:06:49+00:00",
    "SemanticTypeIri": "urn:effortless:pko-extension#TestCase",
    "Name": "question-answered: q-controller-separation-of-duties",
    "IsBlocking": true,
    "IsPassing": true,
    "IsFailing": false,
    "NeedsAttention": false,
    "PassingSuiteKey": "suite-provenance",
    "NeedsAttentionSuiteKey": null
   },
   {
    "TestCaseId": "tc-answered-q-controller-approval-authority-valid",
    "TestKind": "question-answered",
    "Subject": "q-controller-approval-authority-valid",
    "TargetTable": null,
    "TargetField": null,
    "Assertion": "At least one predicate exists to answer this question.",
    "DefendsQuestion": "q-controller-approval-authority-valid",
    "Suite": "suite-provenance",
    "Severity": "blocking",
    "LastOutcome": "PASS",
    "LastDetail": "7 predicates",
    "LastRunAt": "2026-07-20T03:06:49+00:00",
    "SemanticTypeIri": "urn:effortless:pko-extension#TestCase",
    "Name": "question-answered: q-controller-approval-authority-valid",
    "IsBlocking": true,
    "IsPassing": true,
    "IsFailing": false,
    "NeedsAttention": false,
    "PassingSuiteKey": "suite-provenance",
    "NeedsAttentionSuiteKey": null
   },
   {
    "TestCaseId": "tc-answered-q-controller-blocking-control-inoperative",
    "TestKind": "question-answered",
    "Subject": "q-controller-blocking-control-inoperative",
    "TargetTable": null,
    "TargetField": null,
    "Assertion": "At least one predicate exists to answer this question.",
    "DefendsQuestion": "q-controller-blocking-control-inoperative",
    "Suite": "suite-provenance",
    "Severity": "blocking",
    "LastOutcome": "PASS",
    "LastDetail": "8 predicates",
    "LastRunAt": "2026-07-20T03:06:49+00:00",
    "SemanticTypeIri": "urn:effortless:pko-extension#TestCase",
    "Name": "question-answered: q-controller-blocking-control-inoperative",
    "IsBlocking": true,
    "IsPassing": true,
    "IsFailing": false,
    "NeedsAttention": false,
    "PassingSuiteKey": "suite-provenance",
    "NeedsAttentionSuiteKey": null
   },
   {
    "TestCaseId": "tc-answered-q-controller-execution-diverged-from-spec",
    "TestKind": "question-answered",
    "Subject": "q-controller-execution-diverged-from-spec",
    "TargetTable": null,
    "TargetField": null,
    "Assertion": "At least one predicate exists to answer this question.",
    "DefendsQuestion": "q-controller-execution-diverged-from-spec",
    "Suite": "suite-provenance",
    "Severity": "blocking",
    "LastOutcome": "PASS",
    "LastDetail": "10 predicates",
    "LastRunAt": "2026-07-20T03:06:49+00:00",
    "SemanticTypeIri": "urn:effortless:pko-extension#TestCase",
    "Name": "question-answered: q-controller-execution-diverged-from-spec",
    "IsBlocking": true,
    "IsPassing": true,
    "IsFailing": false,
    "NeedsAttention": false,
    "PassingSuiteKey": "suite-provenance",
    "NeedsAttentionSuiteKey": null
   },
   {
    "TestCaseId": "tc-answered-q-controller-ai-agent-approved-meaning",
    "TestKind": "question-answered",
    "Subject": "q-controller-ai-agent-approved-meaning",
    "TargetTable": null,
    "TargetField": null,
    "Assertion": "At least one predicate exists to answer this question.",
    "DefendsQuestion": "q-controller-ai-agent-approved-meaning",
    "Suite": "suite-provenance",
    "Severity": "blocking",
    "LastOutcome": "PASS",
    "LastDetail": "7 predicates",
    "LastRunAt": "2026-07-20T03:06:49+00:00",
    "SemanticTypeIri": "urn:effortless:pko-extension#TestCase",
    "Name": "question-answered: q-controller-ai-agent-approved-meaning",
    "IsBlocking": true,
    "IsPassing": true,
    "IsFailing": false,
    "NeedsAttention": false,
    "PassingSuiteKey": "suite-provenance",
    "NeedsAttentionSuiteKey": null
   },
   {
    "TestCaseId": "tc-answered-q-cfo-can-i-sign",
    "TestKind": "question-answered",
    "Subject": "q-cfo-can-i-sign",
    "TargetTable": null,
    "TargetField": null,
    "Assertion": "At least one predicate exists to answer this question.",
    "DefendsQuestion": "q-cfo-can-i-sign",
    "Suite": "suite-provenance",
    "Severity": "blocking",
    "LastOutcome": "PASS",
    "LastDetail": "8 predicates",
    "LastRunAt": "2026-07-20T03:06:49+00:00",
    "SemanticTypeIri": "urn:effortless:pko-extension#TestCase",
    "Name": "question-answered: q-cfo-can-i-sign",
    "IsBlocking": true,
    "IsPassing": true,
    "IsFailing": false,
    "NeedsAttention": false,
    "PassingSuiteKey": "suite-provenance",
    "NeedsAttentionSuiteKey": null
   },
   {
    "TestCaseId": "tc-answered-q-cfo-approving-on-unfit-version",
    "TestKind": "question-answered",
    "Subject": "q-cfo-approving-on-unfit-version",
    "TargetTable": null,
    "TargetField": null,
    "Assertion": "At least one predicate exists to answer this question.",
    "DefendsQuestion": "q-cfo-approving-on-unfit-version",
    "Suite": "suite-provenance",
    "Severity": "blocking",
    "LastOutcome": "PASS",
    "LastDetail": "9 predicates",
    "LastRunAt": "2026-07-20T03:06:49+00:00",
    "SemanticTypeIri": "urn:effortless:pko-extension#TestCase",
    "Name": "question-answered: q-cfo-approving-on-unfit-version",
    "IsBlocking": true,
    "IsPassing": true,
    "IsFailing": false,
    "NeedsAttention": false,
    "PassingSuiteKey": "suite-provenance",
    "NeedsAttentionSuiteKey": null
   },
   {
    "TestCaseId": "tc-answered-q-cfo-approval-was-actually-verified",
    "TestKind": "question-answered",
    "Subject": "q-cfo-approval-was-actually-verified",
    "TargetTable": null,
    "TargetField": null,
    "Assertion": "At least one predicate exists to answer this question.",
    "DefendsQuestion": "q-cfo-approval-was-actually-verified",
    "Suite": "suite-provenance",
    "Severity": "blocking",
    "LastOutcome": "PASS",
    "LastDetail": "7 predicates",
    "LastRunAt": "2026-07-20T03:06:49+00:00",
    "SemanticTypeIri": "urn:effortless:pko-extension#TestCase",
    "Name": "question-answered: q-cfo-approval-was-actually-verified",
    "IsBlocking": true,
    "IsPassing": true,
    "IsFailing": false,
    "NeedsAttention": false,
    "PassingSuiteKey": "suite-provenance",
    "NeedsAttentionSuiteKey": null
   },
   {
    "TestCaseId": "tc-answered-q-cfo-who-actually-held-authority",
    "TestKind": "question-answered",
    "Subject": "q-cfo-who-actually-held-authority",
    "TargetTable": null,
    "TargetField": null,
    "Assertion": "At least one predicate exists to answer this question.",
    "DefendsQuestion": "q-cfo-who-actually-held-authority",
    "Suite": "suite-provenance",
    "Severity": "blocking",
    "LastOutcome": "PASS",
    "LastDetail": "8 predicates",
    "LastRunAt": "2026-07-20T03:06:49+00:00",
    "SemanticTypeIri": "urn:effortless:pko-extension#TestCase",
    "Name": "question-answered: q-cfo-who-actually-held-authority",
    "IsBlocking": true,
    "IsPassing": true,
    "IsFailing": false,
    "NeedsAttention": false,
    "PassingSuiteKey": "suite-provenance",
    "NeedsAttentionSuiteKey": null
   },
   {
    "TestCaseId": "tc-answered-q-cfo-am-i-being-told-everything",
    "TestKind": "question-answered",
    "Subject": "q-cfo-am-i-being-told-everything",
    "TargetTable": null,
    "TargetField": null,
    "Assertion": "At least one predicate exists to answer this question.",
    "DefendsQuestion": "q-cfo-am-i-being-told-everything",
    "Suite": "suite-provenance",
    "Severity": "blocking",
    "LastOutcome": "PASS",
    "LastDetail": "8 predicates",
    "LastRunAt": "2026-07-20T03:06:49+00:00",
    "SemanticTypeIri": "urn:effortless:pko-extension#TestCase",
    "Name": "question-answered: q-cfo-am-i-being-told-everything",
    "IsBlocking": true,
    "IsPassing": true,
    "IsFailing": false,
    "NeedsAttention": false,
    "PassingSuiteKey": "suite-provenance",
    "NeedsAttentionSuiteKey": null
   },
   {
    "TestCaseId": "tc-answered-q-steward-cadence-breach",
    "TestKind": "question-answered",
    "Subject": "q-steward-cadence-breach",
    "TargetTable": null,
    "TargetField": null,
    "Assertion": "At least one predicate exists to answer this question.",
    "DefendsQuestion": "q-steward-cadence-breach",
    "Suite": "suite-provenance",
    "Severity": "blocking",
    "LastOutcome": "PASS",
    "LastDetail": "8 predicates",
    "LastRunAt": "2026-07-20T03:06:49+00:00",
    "SemanticTypeIri": "urn:effortless:pko-extension#TestCase",
    "Name": "question-answered: q-steward-cadence-breach",
    "IsBlocking": true,
    "IsPassing": true,
    "IsFailing": false,
    "NeedsAttention": false,
    "PassingSuiteKey": "suite-provenance",
    "NeedsAttentionSuiteKey": null
   },
   {
    "TestCaseId": "tc-answered-q-steward-orphan-versions",
    "TestKind": "question-answered",
    "Subject": "q-steward-orphan-versions",
    "TargetTable": null,
    "TargetField": null,
    "Assertion": "At least one predicate exists to answer this question.",
    "DefendsQuestion": "q-steward-orphan-versions",
    "Suite": "suite-provenance",
    "Severity": "blocking",
    "LastOutcome": "PASS",
    "LastDetail": "6 predicates",
    "LastRunAt": "2026-07-20T03:06:49+00:00",
    "SemanticTypeIri": "urn:effortless:pko-extension#TestCase",
    "Name": "question-answered: q-steward-orphan-versions",
    "IsBlocking": true,
    "IsPassing": true,
    "IsFailing": false,
    "NeedsAttention": false,
    "PassingSuiteKey": "suite-provenance",
    "NeedsAttentionSuiteKey": null
   },
   {
    "TestCaseId": "tc-answered-q-steward-untested-fallbacks",
    "TestKind": "question-answered",
    "Subject": "q-steward-untested-fallbacks",
    "TargetTable": null,
    "TargetField": null,
    "Assertion": "At least one predicate exists to answer this question.",
    "DefendsQuestion": "q-steward-untested-fallbacks",
    "Suite": "suite-provenance",
    "Severity": "blocking",
    "LastOutcome": "PASS",
    "LastDetail": "11 predicates",
    "LastRunAt": "2026-07-20T03:06:49+00:00",
    "SemanticTypeIri": "urn:effortless:pko-extension#TestCase",
    "Name": "question-answered: q-steward-untested-fallbacks",
    "IsBlocking": true,
    "IsPassing": true,
    "IsFailing": false,
    "NeedsAttention": false,
    "PassingSuiteKey": "suite-provenance",
    "NeedsAttentionSuiteKey": null
   },
   {
    "TestCaseId": "tc-answered-q-steward-published-with-blocking-gap",
    "TestKind": "question-answered",
    "Subject": "q-steward-published-with-blocking-gap",
    "TargetTable": null,
    "TargetField": null,
    "Assertion": "At least one predicate exists to answer this question.",
    "DefendsQuestion": "q-steward-published-with-blocking-gap",
    "Suite": "suite-provenance",
    "Severity": "blocking",
    "LastOutcome": "PASS",
    "LastDetail": "6 predicates",
    "LastRunAt": "2026-07-20T03:06:49+00:00",
    "SemanticTypeIri": "urn:effortless:pko-extension#TestCase",
    "Name": "question-answered: q-steward-published-with-blocking-gap",
    "IsBlocking": true,
    "IsPassing": true,
    "IsFailing": false,
    "NeedsAttention": false,
    "PassingSuiteKey": "suite-provenance",
    "NeedsAttentionSuiteKey": null
   },
   {
    "TestCaseId": "tc-answered-q-steward-stalled-change-requests",
    "TestKind": "question-answered",
    "Subject": "q-steward-stalled-change-requests",
    "TargetTable": null,
    "TargetField": null,
    "Assertion": "At least one predicate exists to answer this question.",
    "DefendsQuestion": "q-steward-stalled-change-requests",
    "Suite": "suite-provenance",
    "Severity": "blocking",
    "LastOutcome": "PASS",
    "LastDetail": "6 predicates",
    "LastRunAt": "2026-07-20T03:06:49+00:00",
    "SemanticTypeIri": "urn:effortless:pko-extension#TestCase",
    "Name": "question-answered: q-steward-stalled-change-requests",
    "IsBlocking": true,
    "IsPassing": true,
    "IsFailing": false,
    "NeedsAttention": false,
    "PassingSuiteKey": "suite-provenance",
    "NeedsAttentionSuiteKey": null
   },
   {
    "TestCaseId": "tc-answered-q-authority-orphaned-provenance",
    "TestKind": "question-answered",
    "Subject": "q-authority-orphaned-provenance",
    "TargetTable": null,
    "TargetField": null,
    "Assertion": "At least one predicate exists to answer this question.",
    "DefendsQuestion": "q-authority-orphaned-provenance",
    "Suite": "suite-provenance",
    "Severity": "blocking",
    "LastOutcome": "PASS",
    "LastDetail": "8 predicates",
    "LastRunAt": "2026-07-20T03:06:49+00:00",
    "SemanticTypeIri": "urn:effortless:pko-extension#TestCase",
    "Name": "question-answered: q-authority-orphaned-provenance",
    "IsBlocking": true,
    "IsPassing": true,
    "IsFailing": false,
    "NeedsAttention": false,
    "PassingSuiteKey": "suite-provenance",
    "NeedsAttentionSuiteKey": null
   },
   {
    "TestCaseId": "tc-answered-q-authority-non-approved-dependency",
    "TestKind": "question-answered",
    "Subject": "q-authority-non-approved-dependency",
    "TargetTable": null,
    "TargetField": null,
    "Assertion": "At least one predicate exists to answer this question.",
    "DefendsQuestion": "q-authority-non-approved-dependency",
    "Suite": "suite-provenance",
    "Severity": "blocking",
    "LastOutcome": "PASS",
    "LastDetail": "8 predicates",
    "LastRunAt": "2026-07-20T03:06:49+00:00",
    "SemanticTypeIri": "urn:effortless:pko-extension#TestCase",
    "Name": "question-answered: q-authority-non-approved-dependency",
    "IsBlocking": true,
    "IsPassing": true,
    "IsFailing": false,
    "NeedsAttention": false,
    "PassingSuiteKey": "suite-provenance",
    "NeedsAttentionSuiteKey": null
   },
   {
    "TestCaseId": "tc-answered-q-authority-stale-elicitation",
    "TestKind": "question-answered",
    "Subject": "q-authority-stale-elicitation",
    "TargetTable": null,
    "TargetField": null,
    "Assertion": "At least one predicate exists to answer this question.",
    "DefendsQuestion": "q-authority-stale-elicitation",
    "Suite": "suite-provenance",
    "Severity": "blocking",
    "LastOutcome": "PASS",
    "LastDetail": "8 predicates",
    "LastRunAt": "2026-07-20T03:06:49+00:00",
    "SemanticTypeIri": "urn:effortless:pko-extension#TestCase",
    "Name": "question-answered: q-authority-stale-elicitation",
    "IsBlocking": true,
    "IsPassing": true,
    "IsFailing": false,
    "NeedsAttention": false,
    "PassingSuiteKey": "suite-provenance",
    "NeedsAttentionSuiteKey": null
   },
   {
    "TestCaseId": "tc-answered-q-authority-known-unknowns",
    "TestKind": "question-answered",
    "Subject": "q-authority-known-unknowns",
    "TargetTable": null,
    "TargetField": null,
    "Assertion": "At least one predicate exists to answer this question.",
    "DefendsQuestion": "q-authority-known-unknowns",
    "Suite": "suite-provenance",
    "Severity": "blocking",
    "LastOutcome": "PASS",
    "LastDetail": "8 predicates",
    "LastRunAt": "2026-07-20T03:06:49+00:00",
    "SemanticTypeIri": "urn:effortless:pko-extension#TestCase",
    "Name": "question-answered: q-authority-known-unknowns",
    "IsBlocking": true,
    "IsPassing": true,
    "IsFailing": false,
    "NeedsAttention": false,
    "PassingSuiteKey": "suite-provenance",
    "NeedsAttentionSuiteKey": null
   },
   {
    "TestCaseId": "tc-answered-q-authority-unwitnessed-change",
    "TestKind": "question-answered",
    "Subject": "q-authority-unwitnessed-change",
    "TargetTable": null,
    "TargetField": null,
    "Assertion": "At least one predicate exists to answer this question.",
    "DefendsQuestion": "q-authority-unwitnessed-change",
    "Suite": "suite-provenance",
    "Severity": "blocking",
    "LastOutcome": "PASS",
    "LastDetail": "8 predicates",
    "LastRunAt": "2026-07-20T03:06:49+00:00",
    "SemanticTypeIri": "urn:effortless:pko-extension#TestCase",
    "Name": "question-answered: q-authority-unwitnessed-change",
    "IsBlocking": true,
    "IsPassing": true,
    "IsFailing": false,
    "NeedsAttention": false,
    "PassingSuiteKey": "suite-provenance",
    "NeedsAttentionSuiteKey": null
   },
   {
    "TestCaseId": "tc-answered-q-counsel-sms-without-consent",
    "TestKind": "question-answered",
    "Subject": "q-counsel-sms-without-consent",
    "TargetTable": null,
    "TargetField": null,
    "Assertion": "At least one predicate exists to answer this question.",
    "DefendsQuestion": "q-counsel-sms-without-consent",
    "Suite": "suite-provenance",
    "Severity": "blocking",
    "LastOutcome": "PASS",
    "LastDetail": "8 predicates",
    "LastRunAt": "2026-07-20T03:06:49+00:00",
    "SemanticTypeIri": "urn:effortless:pko-extension#TestCase",
    "Name": "question-answered: q-counsel-sms-without-consent",
    "IsBlocking": true,
    "IsPassing": true,
    "IsFailing": false,
    "NeedsAttention": false,
    "PassingSuiteKey": "suite-provenance",
    "NeedsAttentionSuiteKey": null
   },
   {
    "TestCaseId": "tc-answered-q-counsel-quiet-hours-breach",
    "TestKind": "question-answered",
    "Subject": "q-counsel-quiet-hours-breach",
    "TargetTable": null,
    "TargetField": null,
    "Assertion": "At least one predicate exists to answer this question.",
    "DefendsQuestion": "q-counsel-quiet-hours-breach",
    "Suite": "suite-provenance",
    "Severity": "blocking",
    "LastOutcome": "PASS",
    "LastDetail": "10 predicates",
    "LastRunAt": "2026-07-20T03:06:49+00:00",
    "SemanticTypeIri": "urn:effortless:pko-extension#TestCase",
    "Name": "question-answered: q-counsel-quiet-hours-breach",
    "IsBlocking": true,
    "IsPassing": true,
    "IsFailing": false,
    "NeedsAttention": false,
    "PassingSuiteKey": "suite-provenance",
    "NeedsAttentionSuiteKey": null
   },
   {
    "TestCaseId": "tc-answered-q-counsel-unreachable-not-acknowledged",
    "TestKind": "question-answered",
    "Subject": "q-counsel-unreachable-not-acknowledged",
    "TargetTable": null,
    "TargetField": null,
    "Assertion": "At least one predicate exists to answer this question.",
    "DefendsQuestion": "q-counsel-unreachable-not-acknowledged",
    "Suite": "suite-provenance",
    "Severity": "blocking",
    "LastOutcome": "PASS",
    "LastDetail": "8 predicates",
    "LastRunAt": "2026-07-20T03:06:49+00:00",
    "SemanticTypeIri": "urn:effortless:pko-extension#TestCase",
    "Name": "question-answered: q-counsel-unreachable-not-acknowledged",
    "IsBlocking": true,
    "IsPassing": true,
    "IsFailing": false,
    "NeedsAttention": false,
    "PassingSuiteKey": "suite-provenance",
    "NeedsAttentionSuiteKey": null
   },
   {
    "TestCaseId": "tc-answered-q-counsel-retention-evidence",
    "TestKind": "question-answered",
    "Subject": "q-counsel-retention-evidence",
    "TargetTable": null,
    "TargetField": null,
    "Assertion": "At least one predicate exists to answer this question.",
    "DefendsQuestion": "q-counsel-retention-evidence",
    "Suite": "suite-provenance",
    "Severity": "blocking",
    "LastOutcome": "PASS",
    "LastDetail": "8 predicates",
    "LastRunAt": "2026-07-20T03:06:49+00:00",
    "SemanticTypeIri": "urn:effortless:pko-extension#TestCase",
    "Name": "question-answered: q-counsel-retention-evidence",
    "IsBlocking": true,
    "IsPassing": true,
    "IsFailing": false,
    "NeedsAttention": false,
    "PassingSuiteKey": "suite-provenance",
    "NeedsAttentionSuiteKey": null
   },
   {
    "TestCaseId": "tc-answered-q-counsel-legal-review-gated-send",
    "TestKind": "question-answered",
    "Subject": "q-counsel-legal-review-gated-send",
    "TargetTable": null,
    "TargetField": null,
    "Assertion": "At least one predicate exists to answer this question.",
    "DefendsQuestion": "q-counsel-legal-review-gated-send",
    "Suite": "suite-provenance",
    "Severity": "blocking",
    "LastOutcome": "PASS",
    "LastDetail": "8 predicates",
    "LastRunAt": "2026-07-20T03:06:49+00:00",
    "SemanticTypeIri": "urn:effortless:pko-extension#TestCase",
    "Name": "question-answered: q-counsel-legal-review-gated-send",
    "IsBlocking": true,
    "IsPassing": true,
    "IsFailing": false,
    "NeedsAttention": false,
    "PassingSuiteKey": "suite-provenance",
    "NeedsAttentionSuiteKey": null
   },
   {
    "TestCaseId": "tc-answered-q-comms-oversized-sms",
    "TestKind": "question-answered",
    "Subject": "q-comms-oversized-sms",
    "TargetTable": null,
    "TargetField": null,
    "Assertion": "At least one predicate exists to answer this question.",
    "DefendsQuestion": "q-comms-oversized-sms",
    "Suite": "suite-provenance",
    "Severity": "blocking",
    "LastOutcome": "PASS",
    "LastDetail": "9 predicates",
    "LastRunAt": "2026-07-20T03:06:49+00:00",
    "SemanticTypeIri": "urn:effortless:pko-extension#TestCase",
    "Name": "question-answered: q-comms-oversized-sms",
    "IsBlocking": true,
    "IsPassing": true,
    "IsFailing": false,
    "NeedsAttention": false,
    "PassingSuiteKey": "suite-provenance",
    "NeedsAttentionSuiteKey": null
   },
   {
    "TestCaseId": "tc-answered-q-comms-approval-authority",
    "TestKind": "question-answered",
    "Subject": "q-comms-approval-authority",
    "TargetTable": null,
    "TargetField": null,
    "Assertion": "At least one predicate exists to answer this question.",
    "DefendsQuestion": "q-comms-approval-authority",
    "Suite": "suite-provenance",
    "Severity": "blocking",
    "LastOutcome": "PASS",
    "LastDetail": "10 predicates",
    "LastRunAt": "2026-07-20T03:06:49+00:00",
    "SemanticTypeIri": "urn:effortless:pko-extension#TestCase",
    "Name": "question-answered: q-comms-approval-authority",
    "IsBlocking": true,
    "IsPassing": true,
    "IsFailing": false,
    "NeedsAttention": false,
    "PassingSuiteKey": "suite-provenance",
    "NeedsAttentionSuiteKey": null
   },
   {
    "TestCaseId": "tc-answered-q-comms-optout-present",
    "TestKind": "question-answered",
    "Subject": "q-comms-optout-present",
    "TargetTable": null,
    "TargetField": null,
    "Assertion": "At least one predicate exists to answer this question.",
    "DefendsQuestion": "q-comms-optout-present",
    "Suite": "suite-provenance",
    "Severity": "blocking",
    "LastOutcome": "PASS",
    "LastDetail": "8 predicates",
    "LastRunAt": "2026-07-20T03:06:49+00:00",
    "SemanticTypeIri": "urn:effortless:pko-extension#TestCase",
    "Name": "question-answered: q-comms-optout-present",
    "IsBlocking": true,
    "IsPassing": true,
    "IsFailing": false,
    "NeedsAttention": false,
    "PassingSuiteKey": "suite-provenance",
    "NeedsAttentionSuiteKey": null
   },
   {
    "TestCaseId": "tc-answered-q-comms-deliverability",
    "TestKind": "question-answered",
    "Subject": "q-comms-deliverability",
    "TargetTable": null,
    "TargetField": null,
    "Assertion": "At least one predicate exists to answer this question.",
    "DefendsQuestion": "q-comms-deliverability",
    "Suite": "suite-provenance",
    "Severity": "blocking",
    "LastOutcome": "PASS",
    "LastDetail": "10 predicates",
    "LastRunAt": "2026-07-20T03:06:49+00:00",
    "SemanticTypeIri": "urn:effortless:pko-extension#TestCase",
    "Name": "question-answered: q-comms-deliverability",
    "IsBlocking": true,
    "IsPassing": true,
    "IsFailing": false,
    "NeedsAttention": false,
    "PassingSuiteKey": "suite-provenance",
    "NeedsAttentionSuiteKey": null
   },
   {
    "TestCaseId": "tc-answered-q-comms-template-drift",
    "TestKind": "question-answered",
    "Subject": "q-comms-template-drift",
    "TargetTable": null,
    "TargetField": null,
    "Assertion": "At least one predicate exists to answer this question.",
    "DefendsQuestion": "q-comms-template-drift",
    "Suite": "suite-provenance",
    "Severity": "blocking",
    "LastOutcome": "PASS",
    "LastDetail": "9 predicates",
    "LastRunAt": "2026-07-20T03:06:49+00:00",
    "SemanticTypeIri": "urn:effortless:pko-extension#TestCase",
    "Name": "question-answered: q-comms-template-drift",
    "IsBlocking": true,
    "IsPassing": true,
    "IsFailing": false,
    "NeedsAttention": false,
    "PassingSuiteKey": "suite-provenance",
    "NeedsAttentionSuiteKey": null
   },
   {
    "TestCaseId": "tc-answered-q-publisher-may-i-transmit",
    "TestKind": "question-answered",
    "Subject": "q-publisher-may-i-transmit",
    "TargetTable": null,
    "TargetField": null,
    "Assertion": "At least one predicate exists to answer this question.",
    "DefendsQuestion": "q-publisher-may-i-transmit",
    "Suite": "suite-provenance",
    "Severity": "blocking",
    "LastOutcome": "PASS",
    "LastDetail": "11 predicates",
    "LastRunAt": "2026-07-20T03:06:49+00:00",
    "SemanticTypeIri": "urn:effortless:pko-extension#TestCase",
    "Name": "question-answered: q-publisher-may-i-transmit",
    "IsBlocking": true,
    "IsPassing": true,
    "IsFailing": false,
    "NeedsAttention": false,
    "PassingSuiteKey": "suite-provenance",
    "NeedsAttentionSuiteKey": null
   },
   {
    "TestCaseId": "tc-answered-q-publisher-may-i-transmit-now",
    "TestKind": "question-answered",
    "Subject": "q-publisher-may-i-transmit-now",
    "TargetTable": null,
    "TargetField": null,
    "Assertion": "At least one predicate exists to answer this question.",
    "DefendsQuestion": "q-publisher-may-i-transmit-now",
    "Suite": "suite-provenance",
    "Severity": "blocking",
    "LastOutcome": "PASS",
    "LastDetail": "7 predicates",
    "LastRunAt": "2026-07-20T03:06:49+00:00",
    "SemanticTypeIri": "urn:effortless:pko-extension#TestCase",
    "Name": "question-answered: q-publisher-may-i-transmit-now",
    "IsBlocking": true,
    "IsPassing": true,
    "IsFailing": false,
    "NeedsAttention": false,
    "PassingSuiteKey": "suite-provenance",
    "NeedsAttentionSuiteKey": null
   },
   {
    "TestCaseId": "tc-answered-q-publisher-is-this-content-permitted",
    "TestKind": "question-answered",
    "Subject": "q-publisher-is-this-content-permitted",
    "TargetTable": null,
    "TargetField": null,
    "Assertion": "At least one predicate exists to answer this question.",
    "DefendsQuestion": "q-publisher-is-this-content-permitted",
    "Suite": "suite-provenance",
    "Severity": "blocking",
    "LastOutcome": "PASS",
    "LastDetail": "9 predicates",
    "LastRunAt": "2026-07-20T03:06:49+00:00",
    "SemanticTypeIri": "urn:effortless:pko-extension#TestCase",
    "Name": "question-answered: q-publisher-is-this-content-permitted",
    "IsBlocking": true,
    "IsPassing": true,
    "IsFailing": false,
    "NeedsAttention": false,
    "PassingSuiteKey": "suite-provenance",
    "NeedsAttentionSuiteKey": null
   },
   {
    "TestCaseId": "tc-answered-q-publisher-am-i-authorized-to-act",
    "TestKind": "question-answered",
    "Subject": "q-publisher-am-i-authorized-to-act",
    "TargetTable": null,
    "TargetField": null,
    "Assertion": "At least one predicate exists to answer this question.",
    "DefendsQuestion": "q-publisher-am-i-authorized-to-act",
    "Suite": "suite-provenance",
    "Severity": "blocking",
    "LastOutcome": "PASS",
    "LastDetail": "8 predicates",
    "LastRunAt": "2026-07-20T03:06:49+00:00",
    "SemanticTypeIri": "urn:effortless:pko-extension#TestCase",
    "Name": "question-answered: q-publisher-am-i-authorized-to-act",
    "IsBlocking": true,
    "IsPassing": true,
    "IsFailing": false,
    "NeedsAttention": false,
    "PassingSuiteKey": "suite-provenance",
    "NeedsAttentionSuiteKey": null
   },
   {
    "TestCaseId": "tc-answered-q-publisher-refusal-was-honored",
    "TestKind": "question-answered",
    "Subject": "q-publisher-refusal-was-honored",
    "TargetTable": null,
    "TargetField": null,
    "Assertion": "At least one predicate exists to answer this question.",
    "DefendsQuestion": "q-publisher-refusal-was-honored",
    "Suite": "suite-provenance",
    "Severity": "blocking",
    "LastOutcome": "PASS",
    "LastDetail": "9 predicates",
    "LastRunAt": "2026-07-20T03:06:49+00:00",
    "SemanticTypeIri": "urn:effortless:pko-extension#TestCase",
    "Name": "question-answered: q-publisher-refusal-was-honored",
    "IsBlocking": true,
    "IsPassing": true,
    "IsFailing": false,
    "NeedsAttention": false,
    "PassingSuiteKey": "suite-provenance",
    "NeedsAttentionSuiteKey": null
   },
   {
    "TestCaseId": "tc-answered-q-close-auto-authority-current",
    "TestKind": "question-answered",
    "Subject": "q-close-auto-authority-current",
    "TargetTable": null,
    "TargetField": null,
    "Assertion": "At least one predicate exists to answer this question.",
    "DefendsQuestion": "q-close-auto-authority-current",
    "Suite": "suite-provenance",
    "Severity": "blocking"</t>
  </si>
  <si>
    <t xml:space="preserve">,
    "LastOutcome": "PASS",
    "LastDetail": "8 predicates",
    "LastRunAt": "2026-07-20T03:06:49+00:00",
    "SemanticTypeIri": "urn:effortless:pko-extension#TestCase",
    "Name": "question-answered: q-close-auto-authority-current",
    "IsBlocking": true,
    "IsPassing": true,
    "IsFailing": false,
    "NeedsAttention": false,
    "PassingSuiteKey": "suite-provenance",
    "NeedsAttentionSuiteKey": null
   },
   {
    "TestCaseId": "tc-answered-q-close-auto-input-freshness",
    "TestKind": "question-answered",
    "Subject": "q-close-auto-input-freshness",
    "TargetTable": null,
    "TargetField": null,
    "Assertion": "At least one predicate exists to answer this question.",
    "DefendsQuestion": "q-close-auto-input-freshness",
    "Suite": "suite-provenance",
    "Severity": "blocking",
    "LastOutcome": "PASS",
    "LastDetail": "6 predicates",
    "LastRunAt": "2026-07-20T03:06:49+00:00",
    "SemanticTypeIri": "urn:effortless:pko-extension#TestCase",
    "Name": "question-answered: q-close-auto-input-freshness",
    "IsBlocking": true,
    "IsPassing": true,
    "IsFailing": false,
    "NeedsAttention": false,
    "PassingSuiteKey": "suite-provenance",
    "NeedsAttentionSuiteKey": null
   },
   {
    "TestCaseId": "tc-answered-q-close-auto-last-run-clean",
    "TestKind": "question-answered",
    "Subject": "q-close-auto-last-run-clean",
    "TargetTable": null,
    "TargetField": null,
    "Assertion": "At least one predicate exists to answer this question.",
    "DefendsQuestion": "q-close-auto-last-run-clean",
    "Suite": "suite-provenance",
    "Severity": "blocking",
    "LastOutcome": "PASS",
    "LastDetail": "8 predicates",
    "LastRunAt": "2026-07-20T03:06:49+00:00",
    "SemanticTypeIri": "urn:effortless:pko-extension#TestCase",
    "Name": "question-answered: q-close-auto-last-run-clean",
    "IsBlocking": true,
    "IsPassing": true,
    "IsFailing": false,
    "NeedsAttention": false,
    "PassingSuiteKey": "suite-provenance",
    "NeedsAttentionSuiteKey": null
   },
   {
    "TestCaseId": "tc-answered-q-close-auto-blocking-requirements-evaluated",
    "TestKind": "question-answered",
    "Subject": "q-close-auto-blocking-requirements-evaluated",
    "TargetTable": null,
    "TargetField": null,
    "Assertion": "At least one predicate exists to answer this question.",
    "DefendsQuestion": "q-close-auto-blocking-requirements-evaluated",
    "Suite": "suite-provenance",
    "Severity": "blocking",
    "LastOutcome": "PASS",
    "LastDetail": "5 predicates",
    "LastRunAt": "2026-07-20T03:06:49+00:00",
    "SemanticTypeIri": "urn:effortless:pko-extension#TestCase",
    "Name": "question-answered: q-close-auto-blocking-requirements-evaluated",
    "IsBlocking": true,
    "IsPassing": true,
    "IsFailing": false,
    "NeedsAttention": false,
    "PassingSuiteKey": "suite-provenance",
    "NeedsAttentionSuiteKey": null
   },
   {
    "TestCaseId": "tc-answered-q-close-auto-human-override-drift",
    "TestKind": "question-answered",
    "Subject": "q-close-auto-human-override-drift",
    "TargetTable": null,
    "TargetField": null,
    "Assertion": "At least one predicate exists to answer this question.",
    "DefendsQuestion": "q-close-auto-human-override-drift",
    "Suite": "suite-provenance",
    "Severity": "blocking",
    "LastOutcome": "PASS",
    "LastDetail": "8 predicates",
    "LastRunAt": "2026-07-20T03:06:49+00:00",
    "SemanticTypeIri": "urn:effortless:pko-extension#TestCase",
    "Name": "question-answered: q-close-auto-human-override-drift",
    "IsBlocking": true,
    "IsPassing": true,
    "IsFailing": false,
    "NeedsAttention": false,
    "PassingSuiteKey": "suite-provenance",
    "NeedsAttentionSuiteKey": null
   },
   {
    "TestCaseId": "tc-answered-q-hr-authority-without-review",
    "TestKind": "question-answered",
    "Subject": "q-hr-authority-without-review",
    "TargetTable": null,
    "TargetField": null,
    "Assertion": "At least one predicate exists to answer this question.",
    "DefendsQuestion": "q-hr-authority-without-review",
    "Suite": "suite-provenance",
    "Severity": "blocking",
    "LastOutcome": "PASS",
    "LastDetail": "6 predicates",
    "LastRunAt": "2026-07-20T03:06:49+00:00",
    "SemanticTypeIri": "urn:effortless:pko-extension#TestCase",
    "Name": "question-answered: q-hr-authority-without-review",
    "IsBlocking": true,
    "IsPassing": true,
    "IsFailing": false,
    "NeedsAttention": false,
    "PassingSuiteKey": "suite-provenance",
    "NeedsAttentionSuiteKey": null
   },
   {
    "TestCaseId": "tc-answered-q-hr-ai-authored-commitments",
    "TestKind": "question-answered",
    "Subject": "q-hr-ai-authored-commitments",
    "TargetTable": null,
    "TargetField": null,
    "Assertion": "At least one predicate exists to answer this question.",
    "DefendsQuestion": "q-hr-ai-authored-commitments",
    "Suite": "suite-provenance",
    "Severity": "blocking",
    "LastOutcome": "PASS",
    "LastDetail": "7 predicates",
    "LastRunAt": "2026-07-20T03:06:49+00:00",
    "SemanticTypeIri": "urn:effortless:pko-extension#TestCase",
    "Name": "question-answered: q-hr-ai-authored-commitments",
    "IsBlocking": true,
    "IsPassing": true,
    "IsFailing": false,
    "NeedsAttention": false,
    "PassingSuiteKey": "suite-provenance",
    "NeedsAttentionSuiteKey": null
   },
   {
    "TestCaseId": "tc-answered-q-hr-unapproved-knowledge-in-my-name",
    "TestKind": "question-answered",
    "Subject": "q-hr-unapproved-knowledge-in-my-name",
    "TargetTable": null,
    "TargetField": null,
    "Assertion": "At least one predicate exists to answer this question.",
    "DefendsQuestion": "q-hr-unapproved-knowledge-in-my-name",
    "Suite": "suite-provenance",
    "Severity": "blocking",
    "LastOutcome": "PASS",
    "LastDetail": "7 predicates",
    "LastRunAt": "2026-07-20T03:06:49+00:00",
    "SemanticTypeIri": "urn:effortless:pko-extension#TestCase",
    "Name": "question-answered: q-hr-unapproved-knowledge-in-my-name",
    "IsBlocking": true,
    "IsPassing": true,
    "IsFailing": false,
    "NeedsAttention": false,
    "PassingSuiteKey": "suite-provenance",
    "NeedsAttentionSuiteKey": null
   },
   {
    "TestCaseId": "tc-answered-q-hr-what-was-actually-sent",
    "TestKind": "question-answered",
    "Subject": "q-hr-what-was-actually-sent",
    "TargetTable": null,
    "TargetField": null,
    "Assertion": "At least one predicate exists to answer this question.",
    "DefendsQuestion": "q-hr-what-was-actually-sent",
    "Suite": "suite-provenance",
    "Severity": "blocking",
    "LastOutcome": "PASS",
    "LastDetail": "7 predicates",
    "LastRunAt": "2026-07-20T03:06:49+00:00",
    "SemanticTypeIri": "urn:effortless:pko-extension#TestCase",
    "Name": "question-answered: q-hr-what-was-actually-sent",
    "IsBlocking": true,
    "IsPassing": true,
    "IsFailing": false,
    "NeedsAttention": false,
    "PassingSuiteKey": "suite-provenance",
    "NeedsAttentionSuiteKey": null
   },
   {
    "TestCaseId": "tc-answered-q-hr-policy-knowledge-half-life",
    "TestKind": "question-answered",
    "Subject": "q-hr-policy-knowledge-half-life",
    "TargetTable": null,
    "TargetField": null,
    "Assertion": "At least one predicate exists to answer this question.",
    "DefendsQuestion": "q-hr-policy-knowledge-half-life",
    "Suite": "suite-provenance",
    "Severity": "blocking",
    "LastOutcome": "PASS",
    "LastDetail": "7 predicates",
    "LastRunAt": "2026-07-20T03:06:49+00:00",
    "SemanticTypeIri": "urn:effortless:pko-extension#TestCase",
    "Name": "question-answered: q-hr-policy-knowledge-half-life",
    "IsBlocking": true,
    "IsPassing": true,
    "IsFailing": false,
    "NeedsAttention": false,
    "PassingSuiteKey": "suite-provenance",
    "NeedsAttentionSuiteKey": null
   },
   {
    "TestCaseId": "tc-answered-q-variance-ai-authority-provenance",
    "TestKind": "question-answered",
    "Subject": "q-variance-ai-authority-provenance",
    "TargetTable": null,
    "TargetField": null,
    "Assertion": "At least one predicate exists to answer this question.",
    "DefendsQuestion": "q-variance-ai-authority-provenance",
    "Suite": "suite-provenance",
    "Severity": "blocking",
    "LastOutcome": "PASS",
    "LastDetail": "8 predicates",
    "LastRunAt": "2026-07-20T03:06:49+00:00",
    "SemanticTypeIri": "urn:effortless:pko-extension#TestCase",
    "Name": "question-answered: q-variance-ai-authority-provenance",
    "IsBlocking": true,
    "IsPassing": true,
    "IsFailing": false,
    "NeedsAttention": false,
    "PassingSuiteKey": "suite-provenance",
    "NeedsAttentionSuiteKey": null
   },
   {
    "TestCaseId": "tc-answered-q-variance-ai-quality-vs-human-baseline",
    "TestKind": "question-answered",
    "Subject": "q-variance-ai-quality-vs-human-baseline",
    "TargetTable": null,
    "TargetField": null,
    "Assertion": "At least one predicate exists to answer this question.",
    "DefendsQuestion": "q-variance-ai-quality-vs-human-baseline",
    "Suite": "suite-provenance",
    "Severity": "blocking",
    "LastOutcome": "PASS",
    "LastDetail": "7 predicates",
    "LastRunAt": "2026-07-20T03:06:49+00:00",
    "SemanticTypeIri": "urn:effortless:pko-extension#TestCase",
    "Name": "question-answered: q-variance-ai-quality-vs-human-baseline",
    "IsBlocking": true,
    "IsPassing": true,
    "IsFailing": false,
    "NeedsAttention": false,
    "PassingSuiteKey": "suite-provenance",
    "NeedsAttentionSuiteKey": null
   },
   {
    "TestCaseId": "tc-answered-q-variance-ai-boundary-compliance",
    "TestKind": "question-answered",
    "Subject": "q-variance-ai-boundary-compliance",
    "TargetTable": null,
    "TargetField": null,
    "Assertion": "At least one predicate exists to answer this question.",
    "DefendsQuestion": "q-variance-ai-boundary-compliance",
    "Suite": "suite-provenance",
    "Severity": "blocking",
    "LastOutcome": "PASS",
    "LastDetail": "9 predicates",
    "LastRunAt": "2026-07-20T03:06:49+00:00",
    "SemanticTypeIri": "urn:effortless:pko-extension#TestCase",
    "Name": "question-answered: q-variance-ai-boundary-compliance",
    "IsBlocking": true,
    "IsPassing": true,
    "IsFailing": false,
    "NeedsAttention": false,
    "PassingSuiteKey": "suite-provenance",
    "NeedsAttentionSuiteKey": null
   },
   {
    "TestCaseId": "tc-answered-q-variance-ai-human-confirmation-present",
    "TestKind": "question-answered",
    "Subject": "q-variance-ai-human-confirmation-present",
    "TargetTable": null,
    "TargetField": null,
    "Assertion": "At least one predicate exists to answer this question.",
    "DefendsQuestion": "q-variance-ai-human-confirmation-present",
    "Suite": "suite-provenance",
    "Severity": "blocking",
    "LastOutcome": "PASS",
    "LastDetail": "8 predicates",
    "LastRunAt": "2026-07-20T03:06:49+00:00",
    "SemanticTypeIri": "urn:effortless:pko-extension#TestCase",
    "Name": "question-answered: q-variance-ai-human-confirmation-present",
    "IsBlocking": true,
    "IsPassing": true,
    "IsFailing": false,
    "NeedsAttention": false,
    "PassingSuiteKey": "suite-provenance",
    "NeedsAttentionSuiteKey": null
   },
   {
    "TestCaseId": "tc-answered-q-variance-ai-knowledge-currency",
    "TestKind": "question-answered",
    "Subject": "q-variance-ai-knowledge-currency",
    "TargetTable": null,
    "TargetField": null,
    "Assertion": "At least one predicate exists to answer this question.",
    "DefendsQuestion": "q-variance-ai-knowledge-currency",
    "Suite": "suite-provenance",
    "Severity": "blocking",
    "LastOutcome": "PASS",
    "LastDetail": "8 predicates",
    "LastRunAt": "2026-07-20T03:06:49+00:00",
    "SemanticTypeIri": "urn:effortless:pko-extension#TestCase",
    "Name": "question-answered: q-variance-ai-knowledge-currency",
    "IsBlocking": true,
    "IsPassing": true,
    "IsFailing": false,
    "NeedsAttention": false,
    "PassingSuiteKey": "suite-provenance",
    "NeedsAttentionSuiteKey": null
   },
   {
    "TestCaseId": "tc-answered-q-policy-ai-no-role-assignment",
    "TestKind": "question-answered",
    "Subject": "q-policy-ai-no-role-assignment",
    "TargetTable": null,
    "TargetField": null,
    "Assertion": "At least one predicate exists to answer this question.",
    "DefendsQuestion": "q-policy-ai-no-role-assignment",
    "Suite": "suite-provenance",
    "Severity": "blocking",
    "LastOutcome": "PASS",
    "LastDetail": "3 predicates",
    "LastRunAt": "2026-07-20T03:06:49+00:00",
    "SemanticTypeIri": "urn:effortless:pko-extension#TestCase",
    "Name": "question-answered: q-policy-ai-no-role-assignment",
    "IsBlocking": true,
    "IsPassing": true,
    "IsFailing": false,
    "NeedsAttention": false,
    "PassingSuiteKey": "suite-provenance",
    "NeedsAttentionSuiteKey": null
   },
   {
    "TestCaseId": "tc-answered-q-policy-ai-source-approval",
    "TestKind": "question-answered",
    "Subject": "q-policy-ai-source-approval",
    "TargetTable": null,
    "TargetField": null,
    "Assertion": "At least one predicate exists to answer this question.",
    "DefendsQuestion": "q-policy-ai-source-approval",
    "Suite": "suite-provenance",
    "Severity": "blocking",
    "LastOutcome": "PASS",
    "LastDetail": "9 predicates",
    "LastRunAt": "2026-07-20T03:06:49+00:00",
    "SemanticTypeIri": "urn:effortless:pko-extension#TestCase",
    "Name": "question-answered: q-policy-ai-source-approval",
    "IsBlocking": true,
    "IsPassing": true,
    "IsFailing": false,
    "NeedsAttention": false,
    "PassingSuiteKey": "suite-provenance",
    "NeedsAttentionSuiteKey": null
   },
   {
    "TestCaseId": "tc-answered-q-policy-ai-commitment-boundary",
    "TestKind": "question-answered",
    "Subject": "q-policy-ai-commitment-boundary",
    "TargetTable": null,
    "TargetField": null,
    "Assertion": "At least one predicate exists to answer this question.",
    "DefendsQuestion": "q-policy-ai-commitment-boundary",
    "Suite": "suite-provenance",
    "Severity": "blocking",
    "LastOutcome": "PASS",
    "LastDetail": "5 predicates",
    "LastRunAt": "2026-07-20T03:06:49+00:00",
    "SemanticTypeIri": "urn:effortless:pko-extension#TestCase",
    "Name": "question-answered: q-policy-ai-commitment-boundary",
    "IsBlocking": true,
    "IsPassing": true,
    "IsFailing": false,
    "NeedsAttention": false,
    "PassingSuiteKey": "suite-provenance",
    "NeedsAttentionSuiteKey": null
   },
   {
    "TestCaseId": "tc-answered-q-policy-ai-downstream-rewrite",
    "TestKind": "question-answered",
    "Subject": "q-policy-ai-downstream-rewrite",
    "TargetTable": null,
    "TargetField": null,
    "Assertion": "At least one predicate exists to answer this question.",
    "DefendsQuestion": "q-policy-ai-downstream-rewrite",
    "Suite": "suite-provenance",
    "Severity": "blocking",
    "LastOutcome": "PASS",
    "LastDetail": "7 predicates",
    "LastRunAt": "2026-07-20T03:06:49+00:00",
    "SemanticTypeIri": "urn:effortless:pko-extension#TestCase",
    "Name": "question-answered: q-policy-ai-downstream-rewrite",
    "IsBlocking": true,
    "IsPassing": true,
    "IsFailing": false,
    "NeedsAttention": false,
    "PassingSuiteKey": "suite-provenance",
    "NeedsAttentionSuiteKey": null
   },
   {
    "TestCaseId": "tc-answered-q-policy-ai-approval-chain-complete",
    "TestKind": "question-answered",
    "Subject": "q-policy-ai-approval-chain-complete",
    "TargetTable": null,
    "TargetField": null,
    "Assertion": "At least one predicate exists to answer this question.",
    "DefendsQuestion": "q-policy-ai-approval-chain-complete",
    "Suite": "suite-provenance",
    "Severity": "blocking",
    "LastOutcome": "PASS",
    "LastDetail": "7 predicates",
    "LastRunAt": "2026-07-20T03:06:49+00:00",
    "SemanticTypeIri": "urn:effortless:pko-extension#TestCase",
    "Name": "question-answered: q-policy-ai-approval-chain-complete",
    "IsBlocking": true,
    "IsPassing": true,
    "IsFailing": false,
    "NeedsAttention": false,
    "PassingSuiteKey": "suite-provenance",
    "NeedsAttentionSuiteKey": null
   },
   {
    "TestCaseId": "tc-answered-q2-authority-compound-fragility",
    "TestKind": "question-answered",
    "Subject": "q2-authority-compound-fragility",
    "TargetTable": null,
    "TargetField": null,
    "Assertion": "At least one predicate exists to answer this question.",
    "DefendsQuestion": "q2-authority-compound-fragility",
    "Suite": "suite-provenance",
    "Severity": "blocking",
    "LastOutcome": "PASS",
    "LastDetail": "7 predicates",
    "LastRunAt": "2026-07-20T03:06:49+00:00",
    "SemanticTypeIri": "urn:effortless:pko-extension#TestCase",
    "Name": "question-answered: q2-authority-compound-fragility",
    "IsBlocking": true,
    "IsPassing": true,
    "IsFailing": false,
    "NeedsAttention": false,
    "PassingSuiteKey": "suite-provenance",
    "NeedsAttentionSuiteKey": null
   },
   {
    "TestCaseId": "tc-answered-q2-authority-boundary-rests-on-expired-claim",
    "TestKind": "question-answered",
    "Subject": "q2-authority-boundary-rests-on-expired-claim",
    "TargetTable": null,
    "TargetField": null,
    "Assertion": "At least one predicate exists to answer this question.",
    "DefendsQuestion": "q2-authority-boundary-rests-on-expired-claim",
    "Suite": "suite-provenance",
    "Severity": "blocking",
    "LastOutcome": "PASS",
    "LastDetail": "8 predicates",
    "LastRunAt": "2026-07-20T03:06:49+00:00",
    "SemanticTypeIri": "urn:effortless:pko-extension#TestCase",
    "Name": "question-answered: q2-authority-boundary-rests-on-expired-claim",
    "IsBlocking": true,
    "IsPassing": true,
    "IsFailing": false,
    "NeedsAttention": false,
    "PassingSuiteKey": "suite-provenance",
    "NeedsAttentionSuiteKey": null
   },
   {
    "TestCaseId": "tc-answered-q2-authority-elicitation-method-monoculture",
    "TestKind": "question-answered",
    "Subject": "q2-authority-elicitation-method-monoculture",
    "TargetTable": null,
    "TargetField": null,
    "Assertion": "At least one predicate exists to answer this question.",
    "DefendsQuestion": "q2-authority-elicitation-method-monoculture",
    "Suite": "suite-provenance",
    "Severity": "blocking",
    "LastOutcome": "PASS",
    "LastDetail": "8 predicates",
    "LastRunAt": "2026-07-20T03:06:49+00:00",
    "SemanticTypeIri": "urn:effortless:pko-extension#TestCase",
    "Name": "question-answered: q2-authority-elicitation-method-monoculture",
    "IsBlocking": true,
    "IsPassing": true,
    "IsFailing": false,
    "NeedsAttention": false,
    "PassingSuiteKey": "suite-provenance",
    "NeedsAttentionSuiteKey": null
   },
   {
    "TestCaseId": "tc-answered-q2-authority-unapproved-knowledge-reaching-machines",
    "TestKind": "question-answered",
    "Subject": "q2-authority-unapproved-knowledge-reaching-machines",
    "TargetTable": null,
    "TargetField": null,
    "Assertion": "At least one predicate exists to answer this question.",
    "DefendsQuestion": "q2-authority-unapproved-knowledge-reaching-machines",
    "Suite": "suite-provenance",
    "Severity": "blocking",
    "LastOutcome": "PASS",
    "LastDetail": "7 predicates",
    "LastRunAt": "2026-07-20T03:06:49+00:00",
    "SemanticTypeIri": "urn:effortless:pko-extension#TestCase",
    "Name": "question-answered: q2-authority-unapproved-knowledge-reaching-machines",
    "IsBlocking": true,
    "IsPassing": true,
    "IsFailing": false,
    "NeedsAttention": false,
    "PassingSuiteKey": "suite-provenance",
    "NeedsAttentionSuiteKey": null
   },
   {
    "TestCaseId": "tc-answered-q2-authority-review-date-is-inferred-not-recorded",
    "TestKind": "question-answered",
    "Subject": "q2-authority-review-date-is-inferred-not-recorded",
    "TargetTable": null,
    "TargetField": null,
    "Assertion": "At least one predicate exists to answer this question.",
    "DefendsQuestion": "q2-authority-review-date-is-inferred-not-recorded",
    "Suite": "suite-provenance",
    "Severity": "blocking",
    "LastOutcome": "PASS",
    "LastDetail": "8 predicates",
    "LastRunAt": "2026-07-20T03:06:49+00:00",
    "SemanticTypeIri": "urn:effortless:pko-extension#TestCase",
    "Name": "question-answered: q2-authority-review-date-is-inferred-not-recorded",
    "IsBlocking": true,
    "IsPassing": true,
    "IsFailing": false,
    "NeedsAttention": false,
    "PassingSuiteKey": "suite-provenance",
    "NeedsAttentionSuiteKey": null
   },
   {
    "TestCaseId": "tc-answered-q2-hr-my-backlog-is-someone-elses-block",
    "TestKind": "question-answered",
    "Subject": "q2-hr-my-backlog-is-someone-elses-block",
    "TargetTable": null,
    "TargetField": null,
    "Assertion": "At least one predicate exists to answer this question.",
    "DefendsQuestion": "q2-hr-my-backlog-is-someone-elses-block",
    "Suite": "suite-provenance",
    "Severity": "blocking",
    "LastOutcome": "PASS",
    "LastDetail": "8 predicates",
    "LastRunAt": "2026-07-20T03:06:49+00:00",
    "SemanticTypeIri": "urn:effortless:pko-extension#TestCase",
    "Name": "question-answered: q2-hr-my-backlog-is-someone-elses-block",
    "IsBlocking": true,
    "IsPassing": true,
    "IsFailing": false,
    "NeedsAttention": false,
    "PassingSuiteKey": "suite-provenance",
    "NeedsAttentionSuiteKey": null
   },
   {
    "TestCaseId": "tc-answered-q2-hr-ai-boundary-holds-only-where-tested",
    "TestKind": "question-answered",
    "Subject": "q2-hr-ai-boundary-holds-only-where-tested",
    "TargetTable": null,
    "TargetField": null,
    "Assertion": "At least one predicate exists to answer this question.",
    "DefendsQuestion": "q2-hr-ai-boundary-holds-only-where-tested",
    "Suite": "suite-provenance",
    "Severity": "blocking",
    "LastOutcome": "PASS",
    "LastDetail": "8 predicates",
    "LastRunAt": "2026-07-20T03:06:49+00:00",
    "SemanticTypeIri": "urn:effortless:pko-extension#TestCase",
    "Name": "question-answered: q2-hr-ai-boundary-holds-only-where-tested",
    "IsBlocking": true,
    "IsPassing": true,
    "IsFailing": false,
    "NeedsAttention": false,
    "PassingSuiteKey": "suite-provenance",
    "NeedsAttentionSuiteKey": null
   },
   {
    "TestCaseId": "tc-answered-q2-hr-my-unapproved-claim-is-load-bearing",
    "TestKind": "question-answered",
    "Subject": "q2-hr-my-unapproved-claim-is-load-bearing",
    "TargetTable": null,
    "TargetField": null,
    "Assertion": "At least one predicate exists to answer this question.",
    "DefendsQuestion": "q2-hr-my-unapproved-claim-is-load-bearing",
    "Suite": "suite-provenance",
    "Severity": "blocking",
    "LastOutcome": "PASS",
    "LastDetail": "8 predicates",
    "LastRunAt": "2026-07-20T03:06:49+00:00",
    "SemanticTypeIri": "urn:effortless:pko-extension#TestCase",
    "Name": "question-answered: q2-hr-my-unapproved-claim-is-load-bearing",
    "IsBlocking": true,
    "IsPassing": true,
    "IsFailing": false,
    "NeedsAttention": false,
    "PassingSuiteKey": "suite-provenance",
    "NeedsAttentionSuiteKey": null
   },
   {
    "TestCaseId": "tc-answered-q2-hr-my-approvals-never-read-as-done",
    "TestKind": "question-answered",
    "Subject": "q2-hr-my-approvals-never-read-as-done",
    "TargetTable": null,
    "TargetField": null,
    "Assertion": "At least one predicate exists to answer this question.",
    "DefendsQuestion": "q2-hr-my-approvals-never-read-as-done",
    "Suite": "suite-provenance",
    "Severity": "blocking",
    "LastOutcome": "PASS",
    "LastDetail": "8 predicates",
    "LastRunAt": "2026-07-20T03:06:49+00:00",
    "SemanticTypeIri": "urn:effortless:pko-extension#TestCase",
    "Name": "question-answered: q2-hr-my-approvals-never-read-as-done",
    "IsBlocking": true,
    "IsPassing": true,
    "IsFailing": false,
    "NeedsAttention": false,
    "PassingSuiteKey": "suite-provenance",
    "NeedsAttentionSuiteKey": null
   },
   {
    "TestCaseId": "tc-answered-q2-hr-departed-holder-left-claims-behind",
    "TestKind": "question-answered",
    "Subject": "q2-hr-departed-holder-left-claims-behind",
    "TargetTable": null,
    "TargetField": null,
    "Assertion": "At least one predicate exists to answer this question.",
    "DefendsQuestion": "q2-hr-departed-holder-left-claims-behind",
    "Suite": "suite-provenance",
    "Severity": "blocking",
    "LastOutcome": "PASS",
    "LastDetail": "8 predicates",
    "LastRunAt": "2026-07-20T03:06:49+00:00",
    "SemanticTypeIri": "urn:effortless:pko-extension#TestCase",
    "Name": "question-answered: q2-hr-departed-holder-left-claims-behind",
    "IsBlocking": true,
    "IsPassing": true,
    "IsFailing": false,
    "NeedsAttention": false,
    "PassingSuiteKey": "suite-provenance",
    "NeedsAttentionSuiteKey": null
   },
   {
    "TestCaseId": "tc-answered-q2-steward-recovery-path-is-load-bearing",
    "TestKind": "question-answered",
    "Subject": "q2-steward-recovery-path-is-load-bearing",
    "TargetTable": null,
    "TargetField": null,
    "Assertion": "At least one predicate exists to answer this question.",
    "DefendsQuestion": "q2-steward-recovery-path-is-load-bearing",
    "Suite": "suite-provenance",
    "Severity": "blocking",
    "LastOutcome": "PASS",
    "LastDetail": "7 predicates",
    "LastRunAt": "2026-07-20T03:06:49+00:00",
    "SemanticTypeIri": "urn:effortless:pko-extension#TestCase",
    "Name": "question-answered: q2-steward-recovery-path-is-load-bearing",
    "IsBlocking": true,
    "IsPassing": true,
    "IsFailing": false,
    "NeedsAttention": false,
    "PassingSuiteKey": "suite-provenance",
    "NeedsAttentionSuiteKey": null
   },
   {
    "TestCaseId": "tc-answered-q2-steward-cadence-breach-is-unremediated",
    "TestKind": "question-answered",
    "Subject": "q2-steward-cadence-breach-is-unremediated",
    "TargetTable": null,
    "TargetField": null,
    "Assertion": "At least one predicate exists to answer this question.",
    "DefendsQuestion": "q2-steward-cadence-breach-is-unremediated",
    "Suite": "suite-provenance",
    "Severity": "blocking",
    "LastOutcome": "PASS",
    "LastDetail": "7 predicates",
    "LastRunAt": "2026-07-20T03:06:49+00:00",
    "SemanticTypeIri": "urn:effortless:pko-extension#TestCase",
    "Name": "question-answered: q2-steward-cadence-breach-is-unremediated",
    "IsBlocking": true,
    "IsPassing": true,
    "IsFailing": false,
    "NeedsAttention": false,
    "PassingSuiteKey": "suite-provenance",
    "NeedsAttentionSuiteKey": null
   },
   {
    "TestCaseId": "tc-answered-q2-steward-unstewarded-version-still-referenced",
    "TestKind": "question-answered",
    "Subject": "q2-steward-unstewarded-version-still-referenced",
    "TargetTable": null,
    "TargetField": null,
    "Assertion": "At least one predicate exists to answer this question.",
    "DefendsQuestion": "q2-steward-unstewarded-version-still-referenced",
    "Suite": "suite-provenance",
    "Severity": "blocking",
    "LastOutcome": "PASS",
    "LastDetail": "8 predicates",
    "LastRunAt": "2026-07-20T03:06:49+00:00",
    "SemanticTypeIri": "urn:effortless:pko-extension#TestCase",
    "Name": "question-answered: q2-steward-unstewarded-version-still-referenced",
    "IsBlocking": true,
    "IsPassing": true,
    "IsFailing": false,
    "NeedsAttention": false,
    "PassingSuiteKey": "suite-provenance",
    "NeedsAttentionSuiteKey": null
   },
   {
    "TestCaseId": "tc-answered-q2-steward-approved-cr-never-lands",
    "TestKind": "question-answered",
    "Subject": "q2-steward-approved-cr-never-lands",
    "TargetTable": null,
    "TargetField": null,
    "Assertion": "At least one predicate exists to answer this question.",
    "DefendsQuestion": "q2-steward-approved-cr-never-lands",
    "Suite": "suite-provenance",
    "Severity": "blocking",
    "LastOutcome": "PASS",
    "LastDetail": "6 predicates",
    "LastRunAt": "2026-07-20T03:06:49+00:00",
    "SemanticTypeIri": "urn:effortless:pko-extension#TestCase",
    "Name": "question-answered: q2-steward-approved-cr-never-lands",
    "IsBlocking": true,
    "IsPassing": true,
    "IsFailing": false,
    "NeedsAttention": false,
    "PassingSuiteKey": "suite-provenance",
    "NeedsAttentionSuiteKey": null
   },
   {
    "TestCaseId": "tc-answered-q2-steward-control-kind-instead-of-hardcoded-ids",
    "TestKind": "question-answered",
    "Subject": "q2-steward-control-kind-instead-of-hardcoded-ids",
    "TargetTable": null,
    "TargetField": null,
    "Assertion": "At least one predicate exists to answer this question.",
    "DefendsQuestion": "q2-steward-control-kind-instead-of-hardcoded-ids",
    "Suite": "suite-provenance",
    "Severity": "blocking",
    "LastOutcome": "PASS",
    "LastDetail": "6 predicates",
    "LastRunAt": "2026-07-20T03:06:49+00:00",
    "SemanticTypeIri": "urn:effortless:pko-extension#TestCase",
    "Name": "question-answered: q2-steward-control-kind-instead-of-hardcoded-ids",
    "IsBlocking": true,
    "IsPassing": true,
    "IsFailing": false,
    "NeedsAttention": false,
    "PassingSuiteKey": "suite-provenance",
    "NeedsAttentionSuiteKey": null
   },
   {
    "TestCaseId": "tc-answered-q2-fa-cleared-by-mute-control",
    "TestKind": "question-answered",
    "Subject": "q2-fa-cleared-by-mute-control",
    "TargetTable": null,
    "TargetField": null,
    "Assertion": "At least one predicate exists to answer this question.",
    "DefendsQuestion": "q2-fa-cleared-by-mute-control",
    "Suite": "suite-provenance",
    "Severity": "blocking",
    "LastOutcome": "PASS",
    "LastDetail": "7 predicates",
    "LastRunAt": "2026-07-20T03:06:49+00:00",
    "SemanticTypeIri": "urn:effortless:pko-extension#TestCase",
    "Name": "question-answered: q2-fa-cleared-by-mute-control",
    "IsBlocking": true,
    "IsPassing": true,
    "IsFailing": false,
    "NeedsAttention": false,
    "PassingSuiteKey": "suite-provenance",
    "NeedsAttentionSuiteKey": null
   },
   {
    "TestCaseId": "tc-answered-q2-fa-stale-then-vs-stale-now",
    "TestKind": "question-answered",
    "Subject": "q2-fa-stale-then-vs-stale-now",
    "TargetTable": null,
    "TargetField": null,
    "Assertion": "At least one predicate exists to answer this question.",
    "DefendsQuestion": "q2-fa-stale-then-vs-stale-now",
    "Suite": "suite-provenance",
    "Severity": "blocking",
    "LastOutcome": "PASS",
    "LastDetail": "13 predicates",
    "LastRunAt": "2026-07-20T03:06:49+00:00",
    "SemanticTypeIri": "urn:effortless:pko-extension#TestCase",
    "Name": "question-answered: q2-fa-stale-then-vs-stale-now",
    "IsBlocking": true,
    "IsPassing": true,
    "IsFailing": false,
    "NeedsAttention": false,
    "PassingSuiteKey": "suite-provenance",
    "NeedsAttentionSuiteKey": null
   },
   {
    "TestCaseId": "tc-answered-q2-fa-witness-coverage-of-my-steps",
    "TestKind": "question-answered",
    "Subject": "q2-fa-witness-coverage-of-my-steps",
    "TargetTable": null,
    "TargetField": null,
    "Assertion": "At least one predicate exists to answer this question.",
    "DefendsQuestion": "q2-fa-witness-coverage-of-my-steps",
    "Suite": "suite-provenance",
    "Severity": "blocking",
    "LastOutcome": "PASS",
    "LastDetail": "8 predicates",
    "LastRunAt": "2026-07-20T03:06:49+00:00",
    "SemanticTypeIri": "urn:effortless:pko-extension#TestCase",
    "Name": "question-answered: q2-fa-witness-coverage-of-my-steps",
    "IsBlocking": true,
    "IsPassing": true,
    "IsFailing": false,
    "NeedsAttention": false,
    "PassingSuiteKey": "suite-provenance",
    "NeedsAttentionSuiteKey": null
   },
   {
    "TestCaseId": "tc-answered-q2-fa-clean-but-uncovered",
    "TestKind": "question-answered",
    "Subject": "q2-fa-clean-but-uncovered",
    "TargetTable": null,
    "TargetField": null,
    "Assertion": "At least one predicate exists to answer this question.",
    "DefendsQuestion": "q2-fa-clean-but-uncovered",
    "Suite": "suite-provenance",
    "Severity": "blocking",
    "LastOutcome": "PASS",
    "LastDetail": "8 predicates",
    "LastRunAt": "2026-07-20T03:06:49+00:00",
    "SemanticTypeIri": "urn:effortless:pko-extension#TestCase",
    "Name": "question-answered: q2-fa-clean-but-uncovered",
    "IsBlocking": true,
    "IsPassing": true,
    "IsFailing": false,
    "NeedsAttention": false,
    "PassingSuiteKey": "suite-provenance",
    "NeedsAttentionSuiteKey": null
   },
   {
    "TestCaseId": "tc-answered-q2-fa-my-own-evidence-quality",
    "TestKind": "question-answered",
    "Subject": "q2-fa-my-own-evidence-quality",
    "TargetTable": null,
    "TargetField": null,
    "Assertion": "At least one predicate exists to answer this question.",
    "DefendsQuestion": "q2-fa-my-own-evidence-quality",
    "Suite": "suite-provenance",
    "Severity": "blocking</t>
  </si>
  <si>
    <t xml:space="preserve">",
    "LastOutcome": "PASS",
    "LastDetail": "7 predicates",
    "LastRunAt": "2026-07-20T03:06:49+00:00",
    "SemanticTypeIri": "urn:effortless:pko-extension#TestCase",
    "Name": "question-answered: q2-fa-my-own-evidence-quality",
    "IsBlocking": true,
    "IsPassing": true,
    "IsFailing": false,
    "NeedsAttention": false,
    "PassingSuiteKey": "suite-provenance",
    "NeedsAttentionSuiteKey": null
   },
   {
    "TestCaseId": "tc-answered-q2-ctl-witness-never-fired",
    "TestKind": "question-answered",
    "Subject": "q2-ctl-witness-never-fired",
    "TargetTable": null,
    "TargetField": null,
    "Assertion": "At least one predicate exists to answer this question.",
    "DefendsQuestion": "q2-ctl-witness-never-fired",
    "Suite": "suite-provenance",
    "Severity": "blocking",
    "LastOutcome": "PASS",
    "LastDetail": "8 predicates",
    "LastRunAt": "2026-07-20T03:06:49+00:00",
    "SemanticTypeIri": "urn:effortless:pko-extension#TestCase",
    "Name": "question-answered: q2-ctl-witness-never-fired",
    "IsBlocking": true,
    "IsPassing": true,
    "IsFailing": false,
    "NeedsAttention": false,
    "PassingSuiteKey": "suite-provenance",
    "NeedsAttentionSuiteKey": null
   },
   {
    "TestCaseId": "tc-answered-q2-ctl-witness-scope-vs-binding",
    "TestKind": "question-answered",
    "Subject": "q2-ctl-witness-scope-vs-binding",
    "TargetTable": null,
    "TargetField": null,
    "Assertion": "At least one predicate exists to answer this question.",
    "DefendsQuestion": "q2-ctl-witness-scope-vs-binding",
    "Suite": "suite-provenance",
    "Severity": "blocking",
    "LastOutcome": "PASS",
    "LastDetail": "8 predicates",
    "LastRunAt": "2026-07-20T03:06:49+00:00",
    "SemanticTypeIri": "urn:effortless:pko-extension#TestCase",
    "Name": "question-answered: q2-ctl-witness-scope-vs-binding",
    "IsBlocking": true,
    "IsPassing": true,
    "IsFailing": false,
    "NeedsAttention": false,
    "PassingSuiteKey": "suite-provenance",
    "NeedsAttentionSuiteKey": null
   },
   {
    "TestCaseId": "tc-answered-q2-ctl-separation-held-or-untested",
    "TestKind": "question-answered",
    "Subject": "q2-ctl-separation-held-or-untested",
    "TargetTable": null,
    "TargetField": null,
    "Assertion": "At least one predicate exists to answer this question.",
    "DefendsQuestion": "q2-ctl-separation-held-or-untested",
    "Suite": "suite-provenance",
    "Severity": "blocking",
    "LastOutcome": "PASS",
    "LastDetail": "8 predicates",
    "LastRunAt": "2026-07-20T03:06:49+00:00",
    "SemanticTypeIri": "urn:effortless:pko-extension#TestCase",
    "Name": "question-answered: q2-ctl-separation-held-or-untested",
    "IsBlocking": true,
    "IsPassing": true,
    "IsFailing": false,
    "NeedsAttention": false,
    "PassingSuiteKey": "suite-provenance",
    "NeedsAttentionSuiteKey": null
   },
   {
    "TestCaseId": "tc-answered-q2-ctl-asserted-controls-by-who",
    "TestKind": "question-answered",
    "Subject": "q2-ctl-asserted-controls-by-who",
    "TargetTable": null,
    "TargetField": null,
    "Assertion": "At least one predicate exists to answer this question.",
    "DefendsQuestion": "q2-ctl-asserted-controls-by-who",
    "Suite": "suite-provenance",
    "Severity": "blocking",
    "LastOutcome": "PASS",
    "LastDetail": "8 predicates",
    "LastRunAt": "2026-07-20T03:06:49+00:00",
    "SemanticTypeIri": "urn:effortless:pko-extension#TestCase",
    "Name": "question-answered: q2-ctl-asserted-controls-by-who",
    "IsBlocking": true,
    "IsPassing": true,
    "IsFailing": false,
    "NeedsAttention": false,
    "PassingSuiteKey": "suite-provenance",
    "NeedsAttentionSuiteKey": null
   },
   {
    "TestCaseId": "tc-answered-q2-ctl-divergence-that-nobody-governed",
    "TestKind": "question-answered",
    "Subject": "q2-ctl-divergence-that-nobody-governed",
    "TargetTable": null,
    "TargetField": null,
    "Assertion": "At least one predicate exists to answer this question.",
    "DefendsQuestion": "q2-ctl-divergence-that-nobody-governed",
    "Suite": "suite-provenance",
    "Severity": "blocking",
    "LastOutcome": "PASS",
    "LastDetail": "11 predicates",
    "LastRunAt": "2026-07-20T03:06:49+00:00",
    "SemanticTypeIri": "urn:effortless:pko-extension#TestCase",
    "Name": "question-answered: q2-ctl-divergence-that-nobody-governed",
    "IsBlocking": true,
    "IsPassing": true,
    "IsFailing": false,
    "NeedsAttention": false,
    "PassingSuiteKey": "suite-provenance",
    "NeedsAttentionSuiteKey": null
   },
   {
    "TestCaseId": "tc-answered-q2-cfo-quality-of-a-green-attestation",
    "TestKind": "question-answered",
    "Subject": "q2-cfo-quality-of-a-green-attestation",
    "TargetTable": null,
    "TargetField": null,
    "Assertion": "At least one predicate exists to answer this question.",
    "DefendsQuestion": "q2-cfo-quality-of-a-green-attestation",
    "Suite": "suite-provenance",
    "Severity": "blocking",
    "LastOutcome": "PASS",
    "LastDetail": "9 predicates",
    "LastRunAt": "2026-07-20T03:06:49+00:00",
    "SemanticTypeIri": "urn:effortless:pko-extension#TestCase",
    "Name": "question-answered: q2-cfo-quality-of-a-green-attestation",
    "IsBlocking": true,
    "IsPassing": true,
    "IsFailing": false,
    "NeedsAttention": false,
    "PassingSuiteKey": "suite-provenance",
    "NeedsAttentionSuiteKey": null
   },
   {
    "TestCaseId": "tc-answered-q2-cfo-would-it-survive-restatement",
    "TestKind": "question-answered",
    "Subject": "q2-cfo-would-it-survive-restatement",
    "TargetTable": null,
    "TargetField": null,
    "Assertion": "At least one predicate exists to answer this question.",
    "DefendsQuestion": "q2-cfo-would-it-survive-restatement",
    "Suite": "suite-provenance",
    "Severity": "blocking",
    "LastOutcome": "PASS",
    "LastDetail": "11 predicates",
    "LastRunAt": "2026-07-20T03:06:49+00:00",
    "SemanticTypeIri": "urn:effortless:pko-extension#TestCase",
    "Name": "question-answered: q2-cfo-would-it-survive-restatement",
    "IsBlocking": true,
    "IsPassing": true,
    "IsFailing": false,
    "NeedsAttention": false,
    "PassingSuiteKey": "suite-provenance",
    "NeedsAttentionSuiteKey": null
   },
   {
    "TestCaseId": "tc-answered-q2-cfo-who-witnessed-the-witnesses",
    "TestKind": "question-answered",
    "Subject": "q2-cfo-who-witnessed-the-witnesses",
    "TargetTable": null,
    "TargetField": null,
    "Assertion": "At least one predicate exists to answer this question.",
    "DefendsQuestion": "q2-cfo-who-witnessed-the-witnesses",
    "Suite": "suite-provenance",
    "Severity": "blocking",
    "LastOutcome": "PASS",
    "LastDetail": "8 predicates",
    "LastRunAt": "2026-07-20T03:06:49+00:00",
    "SemanticTypeIri": "urn:effortless:pko-extension#TestCase",
    "Name": "question-answered: q2-cfo-who-witnessed-the-witnesses",
    "IsBlocking": true,
    "IsPassing": true,
    "IsFailing": false,
    "NeedsAttention": false,
    "PassingSuiteKey": "suite-provenance",
    "NeedsAttentionSuiteKey": null
   },
   {
    "TestCaseId": "tc-answered-q2-cfo-controls-nobody-is-watching",
    "TestKind": "question-answered",
    "Subject": "q2-cfo-controls-nobody-is-watching",
    "TargetTable": null,
    "TargetField": null,
    "Assertion": "At least one predicate exists to answer this question.",
    "DefendsQuestion": "q2-cfo-controls-nobody-is-watching",
    "Suite": "suite-provenance",
    "Severity": "blocking",
    "LastOutcome": "PASS",
    "LastDetail": "8 predicates",
    "LastRunAt": "2026-07-20T03:06:49+00:00",
    "SemanticTypeIri": "urn:effortless:pko-extension#TestCase",
    "Name": "question-answered: q2-cfo-controls-nobody-is-watching",
    "IsBlocking": true,
    "IsPassing": true,
    "IsFailing": false,
    "NeedsAttention": false,
    "PassingSuiteKey": "suite-provenance",
    "NeedsAttentionSuiteKey": null
   },
   {
    "TestCaseId": "tc-answered-q2-cfo-what-changed-since-i-signed",
    "TestKind": "question-answered",
    "Subject": "q2-cfo-what-changed-since-i-signed",
    "TargetTable": null,
    "TargetField": null,
    "Assertion": "At least one predicate exists to answer this question.",
    "DefendsQuestion": "q2-cfo-what-changed-since-i-signed",
    "Suite": "suite-provenance",
    "Severity": "blocking",
    "LastOutcome": "PASS",
    "LastDetail": "9 predicates",
    "LastRunAt": "2026-07-20T03:06:49+00:00",
    "SemanticTypeIri": "urn:effortless:pko-extension#TestCase",
    "Name": "question-answered: q2-cfo-what-changed-since-i-signed",
    "IsBlocking": true,
    "IsPassing": true,
    "IsFailing": false,
    "NeedsAttention": false,
    "PassingSuiteKey": "suite-provenance",
    "NeedsAttentionSuiteKey": null
   },
   {
    "TestCaseId": "tc-answered-q2-comms-approval-to-delivery-yield",
    "TestKind": "question-answered",
    "Subject": "q2-comms-approval-to-delivery-yield",
    "TargetTable": null,
    "TargetField": null,
    "Assertion": "At least one predicate exists to answer this question.",
    "DefendsQuestion": "q2-comms-approval-to-delivery-yield",
    "Suite": "suite-provenance",
    "Severity": "blocking",
    "LastOutcome": "PASS",
    "LastDetail": "8 predicates",
    "LastRunAt": "2026-07-20T03:06:49+00:00",
    "SemanticTypeIri": "urn:effortless:pko-extension#TestCase",
    "Name": "question-answered: q2-comms-approval-to-delivery-yield",
    "IsBlocking": true,
    "IsPassing": true,
    "IsFailing": false,
    "NeedsAttention": false,
    "PassingSuiteKey": "suite-provenance",
    "NeedsAttentionSuiteKey": null
   },
   {
    "TestCaseId": "tc-answered-q2-comms-message-nobody-answered",
    "TestKind": "question-answered",
    "Subject": "q2-comms-message-nobody-answered",
    "TargetTable": null,
    "TargetField": null,
    "Assertion": "At least one predicate exists to answer this question.",
    "DefendsQuestion": "q2-comms-message-nobody-answered",
    "Suite": "suite-provenance",
    "Severity": "blocking",
    "LastOutcome": "PASS",
    "LastDetail": "9 predicates",
    "LastRunAt": "2026-07-20T03:06:49+00:00",
    "SemanticTypeIri": "urn:effortless:pko-extension#TestCase",
    "Name": "question-answered: q2-comms-message-nobody-answered",
    "IsBlocking": true,
    "IsPassing": true,
    "IsFailing": false,
    "NeedsAttention": false,
    "PassingSuiteKey": "suite-provenance",
    "NeedsAttentionSuiteKey": null
   },
   {
    "TestCaseId": "tc-answered-q2-comms-my-approval-was-consumed-correctly",
    "TestKind": "question-answered",
    "Subject": "q2-comms-my-approval-was-consumed-correctly",
    "TargetTable": null,
    "TargetField": null,
    "Assertion": "At least one predicate exists to answer this question.",
    "DefendsQuestion": "q2-comms-my-approval-was-consumed-correctly",
    "Suite": "suite-provenance",
    "Severity": "blocking",
    "LastOutcome": "PASS",
    "LastDetail": "8 predicates",
    "LastRunAt": "2026-07-20T03:06:49+00:00",
    "SemanticTypeIri": "urn:effortless:pko-extension#TestCase",
    "Name": "question-answered: q2-comms-my-approval-was-consumed-correctly",
    "IsBlocking": true,
    "IsPassing": true,
    "IsFailing": false,
    "NeedsAttention": false,
    "PassingSuiteKey": "suite-provenance",
    "NeedsAttentionSuiteKey": null
   },
   {
    "TestCaseId": "tc-answered-q2-comms-freeze-what-i-approved",
    "TestKind": "question-answered",
    "Subject": "q2-comms-freeze-what-i-approved",
    "TargetTable": null,
    "TargetField": null,
    "Assertion": "At least one predicate exists to answer this question.",
    "DefendsQuestion": "q2-comms-freeze-what-i-approved",
    "Suite": "suite-provenance",
    "Severity": "blocking",
    "LastOutcome": "PASS",
    "LastDetail": "10 predicates",
    "LastRunAt": "2026-07-20T03:06:49+00:00",
    "SemanticTypeIri": "urn:effortless:pko-extension#TestCase",
    "Name": "question-answered: q2-comms-freeze-what-i-approved",
    "IsBlocking": true,
    "IsPassing": true,
    "IsFailing": false,
    "NeedsAttention": false,
    "PassingSuiteKey": "suite-provenance",
    "NeedsAttentionSuiteKey": null
   },
   {
    "TestCaseId": "tc-answered-q2-comms-suppression-is-a-communication",
    "TestKind": "question-answered",
    "Subject": "q2-comms-suppression-is-a-communication",
    "TargetTable": null,
    "TargetField": null,
    "Assertion": "At least one predicate exists to answer this question.",
    "DefendsQuestion": "q2-comms-suppression-is-a-communication",
    "Suite": "suite-provenance",
    "Severity": "blocking",
    "LastOutcome": "PASS",
    "LastDetail": "8 predicates",
    "LastRunAt": "2026-07-20T03:06:49+00:00",
    "SemanticTypeIri": "urn:effortless:pko-extension#TestCase",
    "Name": "question-answered: q2-comms-suppression-is-a-communication",
    "IsBlocking": true,
    "IsPassing": true,
    "IsFailing": false,
    "NeedsAttention": false,
    "PassingSuiteKey": "suite-provenance",
    "NeedsAttentionSuiteKey": null
   },
   {
    "TestCaseId": "tc-answered-q2-variance-comparison-is-statistically-empty",
    "TestKind": "question-answered",
    "Subject": "q2-variance-comparison-is-statistically-empty",
    "TargetTable": null,
    "TargetField": null,
    "Assertion": "At least one predicate exists to answer this question.",
    "DefendsQuestion": "q2-variance-comparison-is-statistically-empty",
    "Suite": "suite-provenance",
    "Severity": "blocking",
    "LastOutcome": "PASS",
    "LastDetail": "8 predicates",
    "LastRunAt": "2026-07-20T03:06:49+00:00",
    "SemanticTypeIri": "urn:effortless:pko-extension#TestCase",
    "Name": "question-answered: q2-variance-comparison-is-statistically-empty",
    "IsBlocking": true,
    "IsPassing": true,
    "IsFailing": false,
    "NeedsAttention": false,
    "PassingSuiteKey": "suite-provenance",
    "NeedsAttentionSuiteKey": null
   },
   {
    "TestCaseId": "tc-answered-q2-variance-boundary-rests-on-expired-knowledge",
    "TestKind": "question-answered",
    "Subject": "q2-variance-boundary-rests-on-expired-knowledge",
    "TargetTable": null,
    "TargetField": null,
    "Assertion": "At least one predicate exists to answer this question.",
    "DefendsQuestion": "q2-variance-boundary-rests-on-expired-knowledge",
    "Suite": "suite-provenance",
    "Severity": "blocking",
    "LastOutcome": "PASS",
    "LastDetail": "7 predicates",
    "LastRunAt": "2026-07-20T03:06:49+00:00",
    "SemanticTypeIri": "urn:effortless:pko-extension#TestCase",
    "Name": "question-answered: q2-variance-boundary-rests-on-expired-knowledge",
    "IsBlocking": true,
    "IsPassing": true,
    "IsFailing": false,
    "NeedsAttention": false,
    "PassingSuiteKey": "suite-provenance",
    "NeedsAttentionSuiteKey": null
   },
   {
    "TestCaseId": "tc-answered-q2-variance-override-signal-vs-noise",
    "TestKind": "question-answered",
    "Subject": "q2-variance-override-signal-vs-noise",
    "TargetTable": null,
    "TargetField": null,
    "Assertion": "At least one predicate exists to answer this question.",
    "DefendsQuestion": "q2-variance-override-signal-vs-noise",
    "Suite": "suite-provenance",
    "Severity": "blocking",
    "LastOutcome": "PASS",
    "LastDetail": "8 predicates",
    "LastRunAt": "2026-07-20T03:06:49+00:00",
    "SemanticTypeIri": "urn:effortless:pko-extension#TestCase",
    "Name": "question-answered: q2-variance-override-signal-vs-noise",
    "IsBlocking": true,
    "IsPassing": true,
    "IsFailing": false,
    "NeedsAttention": false,
    "PassingSuiteKey": "suite-provenance",
    "NeedsAttentionSuiteKey": null
   },
   {
    "TestCaseId": "tc-answered-q2-variance-handover-was-a-decision-somebody-made",
    "TestKind": "question-answered",
    "Subject": "q2-variance-handover-was-a-decision-somebody-made",
    "TargetTable": null,
    "TargetField": null,
    "Assertion": "At least one predicate exists to answer this question.",
    "DefendsQuestion": "q2-variance-handover-was-a-decision-somebody-made",
    "Suite": "suite-provenance",
    "Severity": "blocking",
    "LastOutcome": "PASS",
    "LastDetail": "8 predicates",
    "LastRunAt": "2026-07-20T03:06:49+00:00",
    "SemanticTypeIri": "urn:effortless:pko-extension#TestCase",
    "Name": "question-answered: q2-variance-handover-was-a-decision-somebody-made",
    "IsBlocking": true,
    "IsPassing": true,
    "IsFailing": false,
    "NeedsAttention": false,
    "PassingSuiteKey": "suite-provenance",
    "NeedsAttentionSuiteKey": null
   },
   {
    "TestCaseId": "tc-answered-q2-variance-what-would-make-me-stop",
    "TestKind": "question-answered",
    "Subject": "q2-variance-what-would-make-me-stop",
    "TargetTable": null,
    "TargetField": null,
    "Assertion": "At least one predicate exists to answer this question.",
    "DefendsQuestion": "q2-variance-what-would-make-me-stop",
    "Suite": "suite-provenance",
    "Severity": "blocking",
    "LastOutcome": "PASS",
    "LastDetail": "9 predicates",
    "LastRunAt": "2026-07-20T03:06:49+00:00",
    "SemanticTypeIri": "urn:effortless:pko-extension#TestCase",
    "Name": "question-answered: q2-variance-what-would-make-me-stop",
    "IsBlocking": true,
    "IsPassing": true,
    "IsFailing": false,
    "NeedsAttention": false,
    "PassingSuiteKey": "suite-provenance",
    "NeedsAttentionSuiteKey": null
   },
   {
    "TestCaseId": "tc-answered-q2-publisher-every-refusal-leaves-a-record",
    "TestKind": "question-answered",
    "Subject": "q2-publisher-every-refusal-leaves-a-record",
    "TargetTable": null,
    "TargetField": null,
    "Assertion": "At least one predicate exists to answer this question.",
    "DefendsQuestion": "q2-publisher-every-refusal-leaves-a-record",
    "Suite": "suite-provenance",
    "Severity": "blocking",
    "LastOutcome": "PASS",
    "LastDetail": "11 predicates",
    "LastRunAt": "2026-07-20T03:06:49+00:00",
    "SemanticTypeIri": "urn:effortless:pko-extension#TestCase",
    "Name": "question-answered: q2-publisher-every-refusal-leaves-a-record",
    "IsBlocking": true,
    "IsPassing": true,
    "IsFailing": false,
    "NeedsAttention": false,
    "PassingSuiteKey": "suite-provenance",
    "NeedsAttentionSuiteKey": null
   },
   {
    "TestCaseId": "tc-answered-q2-publisher-deferred-not-cancelled",
    "TestKind": "question-answered",
    "Subject": "q2-publisher-deferred-not-cancelled",
    "TargetTable": null,
    "TargetField": null,
    "Assertion": "At least one predicate exists to answer this question.",
    "DefendsQuestion": "q2-publisher-deferred-not-cancelled",
    "Suite": "suite-provenance",
    "Severity": "blocking",
    "LastOutcome": "PASS",
    "LastDetail": "8 predicates",
    "LastRunAt": "2026-07-20T03:06:49+00:00",
    "SemanticTypeIri": "urn:effortless:pko-extension#TestCase",
    "Name": "question-answered: q2-publisher-deferred-not-cancelled",
    "IsBlocking": true,
    "IsPassing": true,
    "IsFailing": false,
    "NeedsAttention": false,
    "PassingSuiteKey": "suite-provenance",
    "NeedsAttentionSuiteKey": null
   },
   {
    "TestCaseId": "tc-answered-q2-publisher-my-own-authorization",
    "TestKind": "question-answered",
    "Subject": "q2-publisher-my-own-authorization",
    "TargetTable": null,
    "TargetField": null,
    "Assertion": "At least one predicate exists to answer this question.",
    "DefendsQuestion": "q2-publisher-my-own-authorization",
    "Suite": "suite-provenance",
    "Severity": "blocking",
    "LastOutcome": "PASS",
    "LastDetail": "10 predicates",
    "LastRunAt": "2026-07-20T03:06:49+00:00",
    "SemanticTypeIri": "urn:effortless:pko-extension#TestCase",
    "Name": "question-answered: q2-publisher-my-own-authorization",
    "IsBlocking": true,
    "IsPassing": true,
    "IsFailing": false,
    "NeedsAttention": false,
    "PassingSuiteKey": "suite-provenance",
    "NeedsAttentionSuiteKey": null
   },
   {
    "TestCaseId": "tc-answered-q2-publisher-am-i-the-only-witness",
    "TestKind": "question-answered",
    "Subject": "q2-publisher-am-i-the-only-witness",
    "TargetTable": null,
    "TargetField": null,
    "Assertion": "At least one predicate exists to answer this question.",
    "DefendsQuestion": "q2-publisher-am-i-the-only-witness",
    "Suite": "suite-provenance",
    "Severity": "blocking",
    "LastOutcome": "PASS",
    "LastDetail": "11 predicates",
    "LastRunAt": "2026-07-20T03:06:49+00:00",
    "SemanticTypeIri": "urn:effortless:pko-extension#TestCase",
    "Name": "question-answered: q2-publisher-am-i-the-only-witness",
    "IsBlocking": true,
    "IsPassing": true,
    "IsFailing": false,
    "NeedsAttention": false,
    "PassingSuiteKey": "suite-provenance",
    "NeedsAttentionSuiteKey": null
   },
   {
    "TestCaseId": "tc-answered-q2-publisher-obligation-after-send",
    "TestKind": "question-answered",
    "Subject": "q2-publisher-obligation-after-send",
    "TargetTable": null,
    "TargetField": null,
    "Assertion": "At least one predicate exists to answer this question.",
    "DefendsQuestion": "q2-publisher-obligation-after-send",
    "Suite": "suite-provenance",
    "Severity": "blocking",
    "LastOutcome": "PASS",
    "LastDetail": "8 predicates",
    "LastRunAt": "2026-07-20T03:06:49+00:00",
    "SemanticTypeIri": "urn:effortless:pko-extension#TestCase",
    "Name": "question-answered: q2-publisher-obligation-after-send",
    "IsBlocking": true,
    "IsPassing": true,
    "IsFailing": false,
    "NeedsAttention": false,
    "PassingSuiteKey": "suite-provenance",
    "NeedsAttentionSuiteKey": null
   },
   {
    "TestCaseId": "tc-provenance-resolves",
    "TestKind": "provenance",
    "Subject": "RulebookFields.InventedForQuestion",
    "TargetTable": null,
    "TargetField": null,
    "Assertion": "Every invented field points at a role question that exists.",
    "DefendsQuestion": null,
    "Suite": "suite-provenance",
    "Severity": "blocking",
    "LastOutcome": "PASS",
    "LastDetail": "all resolve",
    "LastRunAt": "2026-07-20T03:06:49+00:00",
    "SemanticTypeIri": "urn:effortless:pko-extension#TestCase",
    "Name": "provenance: RulebookFields.InventedForQuestion",
    "IsBlocking": true,
    "IsPassing": true,
    "IsFailing": false,
    "NeedsAttention": false,
    "PassingSuiteKey": "suite-provenance",
    "NeedsAttentionSuiteKey": null
   },
   {
    "TestCaseId": "tc-catalog-sync",
    "TestKind": "catalog-sync",
    "Subject": "RulebookFields",
    "TargetTable": null,
    "TargetField": null,
    "Assertion": "The catalog matches the real schemas in both directions — nothing missing, nothing stale.",
    "DefendsQuestion": null,
    "Suite": "suite-provenance",
    "Severity": "blocking",
    "LastOutcome": "PASS",
    "LastDetail": "1521 fields in sync",
    "LastRunAt": "2026-07-20T03:06:49+00:00",
    "SemanticTypeIri": "urn:effortless:pko-extension#TestCase",
    "Name": "catalog-sync: RulebookFields",
    "IsBlocking": true,
    "IsPassing": true,
    "IsFailing": false,
    "NeedsAttention": false,
    "PassingSuiteKey": "suite-provenance",
    "NeedsAttentionSuiteKey": null
   },
   {
    "TestCaseId": "tc-no-delimiter-collision",
    "TestKind": "invariant",
    "Subject": "composite keys",
    "TargetTable": null,
    "TargetField": null,
    "Assertion": "No identifier contains the '|' delimiter that composite join keys rely on.",
    "DefendsQuestion": null,
    "Suite": "suite-invariant",
    "Severity": "blocking",
    "LastOutcome": "PASS",
    "LastDetail": "no identifier contains '|'",
    "LastRunAt": "2026-07-20T03:06:49+00:00",
    "SemanticTypeIri": "urn:effortless:pko-extension#TestCase",
    "Name": "invariant: composite keys",
    "IsBlocking": true,
    "IsPassing": true,
    "IsFailing": false,
    "NeedsAttention": false,
    "PassingSuiteKey": "suite-invariant",
    "NeedsAttentionSuiteKey": null
   },
   {
    "TestCaseId": "tc-inv-spec-exec-separate",
    "TestKind": "invariant",
    "Subject": "Procedures vs ProcedureExecutions",
    "TargetTable": "ProcedureExecutions",
    "TargetField": null,
    "Assertion": "Specifications and executions remain separate tables linked by hasExecutedProcedure.",
    "DefendsQuestion": null,
    "Suite": "suite-invariant",
    "Severity": "blocking",
    "LastOutcome": "PASS",
    "LastDetail": "specification and execution are separate tables",
    "LastRunAt": "2026-07-20T03:06:49+00:00",
    "SemanticTypeIri": "urn:effortless:pko-extension#TestCase",
    "Name": "invariant: Procedures vs ProcedureExecutions",
    "IsBlocking": true,
    "IsPassing": true,
    "IsFailing": false,
    "NeedsAttention": false,
    "PassingSuiteKey": "suite-invariant",
    "NeedsAttentionSuiteKey": null
   },
   {
    "TestCaseId": "tc-inv-blocking-unmet-visible",
    "TestKind": "invariant",
    "Subject": "RequirementSatisfactions.IsBlockingAndUnmet",
    "TargetTable": "RequirementSatisfactions",
    "TargetField": "IsBlockingAndUnmet",
    "Assertion": "A blocking requirement recorded below Satisfied is visible as a witness, not merely as text.",
    "DefendsQuestion": null,
    "Suite": "suite-invariant",
    "Severity": "blocking",
    "LastOutcome": "PASS",
    "LastDetail": "computed on 8 rows",
    "LastRunAt": "2026-07-20T03:06:49+00:00",
    "SemanticTypeIri": "urn:effortless:pko-extension#TestCase",
    "Name": "invariant: RequirementSatisfactions.IsBlockingAndUnmet",
    "IsBlocking": true,
    "IsPassing": true,
    "IsFailing": false,
    "NeedsAttention": false,
    "PassingSuiteKey": "suite-invariant",
    "NeedsAttentionSuiteKey": null
   },
   {
    "TestCaseId": "tc-inv-sod-computable",
    "TestKind": "invariant",
    "Subject": "StepExecutions.ViolatesSeparationOfDuties",
    "TargetTable": "StepExecutions",
    "TargetField": "ViolatesSeparationOfDuties",
    "Assertion": "Segregation of duties is computed from execution data rather than asserted in prose.",
    "DefendsQuestion": null,
    "Suite": "suite-invariant",
    "Severity": "blocking",
    "LastOutcome": "PASS",
    "LastDetail": "computed on 12 rows",
    "LastRunAt": "2026-07-20T03:06:49+00:00",
    "SemanticTypeIri": "urn:effortless:pko-extension#TestCase",
    "Name": "invariant: StepExecutions.ViolatesSeparationOfDuties",
    "IsBlocking": true,
    "IsPassing": true,
    "IsFailing": false,
    "NeedsAttention": false,
    "PassingSuiteKey": "suite-invariant",
    "NeedsAttentionSuiteKey": null
   },
   {
    "TestCaseId": "tc-inv-consent-computable",
    "TestKind": "invariant",
    "Subject": "MessageDeliveries.IsConsentViolation",
    "TargetTable": "MessageDeliveries",
    "TargetField": "IsConsentViolation",
    "Assertion": "A send to a non-consenting recipient is distinguishable from a correctly suppressed one.",
    "DefendsQuestion": null,
    "Suite": "suite-invariant",
    "Severity": "blocking",
    "LastOutcome": "PASS",
    "LastDetail": "computed on 6 rows",
    "LastRunAt": "2026-07-20T03:06:49+00:00",
    "SemanticTypeIri": "urn:effortless:pko-extension#TestCase",
    "Name": "invariant: MessageDeliveries.IsConsentViolation",
    "IsBlocking": true,
    "IsPassing": true,
    "IsFailing": false,
    "NeedsAttention": false,
    "PassingSuiteKey": "suite-invariant",
    "NeedsAttentionSuiteKey": null
   },
   {
    "TestCaseId": "tc-inv-asof-not-wallclock",
    "TestKind": "invariant",
    "Subject": "time-dependent witnesses",
    "TargetTable": null,
    "TargetField": null,
    "Assertion": "No time-dependent witness compares against NOW(); all read the modeled evaluation instant.",
    "DefendsQuestion": null,
    "Suite": "suite-invariant",
    "Severity": "blocking",
    "LastOutcome": "PASS",
    "LastDetail": "all time witnesses read the modeled instant",
    "LastRunAt": "2026-07-20T03:06:49+00:00",
    "SemanticTypeIri": "urn:effortless:pko-extension#TestCase",
    "Name": "invariant: time-dependent witnesses",
    "IsBlocking": true,
    "IsPassing": true,
    "IsFailing": false,
    "NeedsAttention": false,
    "PassingSuiteKey": "suite-invariant",
    "NeedsAttentionSuiteKey": null
   },
   {
    "TestCaseId": "tc-inv-remediation-preserved",
    "TestKind": "invariant",
    "Subject": "KnowledgeGaps",
    "TargetTable": "KnowledgeGaps",
    "TargetField": null,
    "Assertion": "Seeded violations were remediated in model rather than deleted — resolved gaps remain as evidence.",
    "DefendsQuestion": null,
    "Suite": "suite-invariant",
    "Severity": "blocking",
    "LastOutcome": "PASS",
    "LastDetail": "7 resolved gaps retained as evidence",
    "LastRunAt": "2026-07-20T03:06:49+00:00",
    "SemanticTypeIri": "urn:effortless:pko-extension#TestCase",
    "Name": "invariant: KnowledgeGaps",
    "IsBlocking": true,
    "IsPassing": true,
    "IsFailing": false,
    "NeedsAttention": false,
    "PassingSuiteKey": "suite-invariant",
    "NeedsAttentionSuiteKey": null
   }
  ]
 },
 "ERBVersions": {
  "Description": "Standard ERB semantic version history.",
  "schema": [
   {
    "name": "ERBVersionId",
    "datatype": "string",
    "type": "raw",
    "nullable": false,
    "Description": "Stored ERB version identifier."
   },
   {
    "name": "BaseId",
    "datatype": "string",
    "type": "raw",
    "nullable": true,
    "Description": "Source base identifier."
   },
   {
    "name": "Name",
    "datatype": "string",
    "type": "raw",
    "nullable": true,
    "Description": "Version label."
   },
   {
    "name": "Message",
    "datatype": "string",
    "type": "raw",
    "nullable": true,
    "Description": "Version message."
   },
   {
    "name": "Notes",
    "datatype": "string",
    "type": "raw",
    "nullable": true,
    "Description": "Version notes."
   },
   {
    "name": "CommitDate",
    "datatype": "datetime",
    "type": "raw",
    "nullable": true,
    "Description": "Commit timestamp."
   },
   {
    "name": "IsPublished",
    "datatype": "boolean",
    "type": "raw",
    "nullable": true,
    "Description": "Publication flag."
   }
  ],
  "data": [
   {
    "ERBVersionId": "erb-pko-1.0.0",
    "BaseId": "pko-native-procedural-knowledge",
    "Name": "1.0.0",
    "Message": "Initial PKO 2.0.0 aligned rulebook",
    "Notes": "Candidate proof of canonical PKO-as-ERB architecture.",
    "CommitDate": "2026-07-19T12:00:00-05:00",
    "IsPublished": false
   }
  ]
 },
 "ERBCustomizations": {
  "Description": "Explicit customization seams; empty because the canonical model is expressed in the rulebook.",
  "schema": [
   {
    "name": "ERBCustomizationId",
    "datatype": "string",
    "type": "raw",
    "nullable": false,
    "Description": "Customization identifier."
   },
   {
    "name": "Name",
    "datatype": "string",
    "type": "raw",
    "nullable": true,
    "Description": "Customization file name."
   },
   {
    "name": "Title",
    "datatype": "string",
    "type": "raw",
    "nullable": true,
    "Description": "Customization title."
   },
   {
    "name": "SQLCode",
    "datatype": "string",
    "type": "raw",
    "nullable": true,
    "Description": "Customization SQL."
   },
   {
    "name": "SQLTarget",
    "datatype": "string",
    "type": "raw",
    "nullable": true,
    "Description": "Target substrate."
   },
   {
    "name": "CustomizationType",
    "datatype": "string",
    "type": "raw",
    "nullable": true,
    "Description": "Customization category."
   }
  ],
  "data": []
 },
 "__meta__": {
  "Description": "Project-level metadata that travels with the rulebook: tagline, motif, narrative descriptions, PKO version contract, substrate list, signature rows, etc. One row per metadata key. Use ValueType to interpret StringValue vs JsonValue.",
  "important": false,
  "schema": [
   {
    "name": "MetaKey",
    "datatype": "string",
    "type": "raw",
    "nullable": false,
    "Description": "The metadata key (e.g. 'tagline', 'motif_palette', 'substrates'). Unique within the table."
   },
   {
    "name": "Name",
    "datatype": "string",
    "type": "calculated",
    "nullable": false,
    "formula": "={{MetaKey}}",
    "Description": "Identifier for this metadata entry. Mirrors MetaKey so the row is addressable by Name like every other table."
   },
   {
    "name": "ValueType",
    "datatype": "string",
    "type": "raw",
    "nullable": false,
    "Description": "How to interpret the value columns: 'string' (use StringValue), 'object' (parse JsonValue as JSON object), 'array' (parse JsonValue as JSON array)."
   },
   {
    "name": "StringValue",
    "datatype": "string",
    "type": "raw",
    "nullable": true,
    "Description": "Plain string value. Populated when ValueType == 'string'; null otherwise."
   },
   {
    "name": "JsonValue",
    "datatype": "string",
    "type": "raw",
    "nullable": true,
    "Description": "JSON-encoded value. Populated when ValueType == 'object' or 'array'; null when ValueType == 'string'."
   }
 </t>
  </si>
  <si>
    <t xml:space="preserve"> ],
  "data": [
   {
    "MetaKey": "tagline",
    "Name": "tagline",
    "ValueType": "string",
    "StringValue": "One canonical PKO-native rulebook; every procedure document is a projection.",
    "JsonValue": null
   },
   {
    "MetaKey": "motif",
    "Name": "motif",
    "ValueType": "string",
    "StringValue": "procedural-knowledge",
    "JsonValue": null
   },
   {
    "MetaKey": "motif_palette",
    "Name": "motif_palette",
    "ValueType": "object",
    "StringValue": null,
    "JsonValue": "{\"primary\": \"#2f5d8a\", \"accent\": \"#c9822f\", \"surface\": \"#f4f1ea\", \"ink\": \"#1f2933\"}"
   },
   {
    "MetaKey": "ontology_profile",
    "Name": "ontology_profile",
    "ValueType": "string",
    "StringValue": "PKO 2.0.0 + PKO industry 2.0.0",
    "JsonValue": null
   },
   {
    "MetaKey": "pko_core_version_iri",
    "Name": "pko_core_version_iri",
    "ValueType": "string",
    "StringValue": "https://w3id.org/pko/2.0.0",
    "JsonValue": null
   },
   {
    "MetaKey": "pko_industry_version_iri",
    "Name": "pko_industry_version_iri",
    "ValueType": "string",
    "StringValue": "https://w3id.org/pko/industry/2.0.0",
    "JsonValue": null
   },
   {
    "MetaKey": "erb_pko_profile_version",
    "Name": "erb_pko_profile_version",
    "ValueType": "string",
    "StringValue": "1.0.0",
    "JsonValue": null
   },
   {
    "MetaKey": "rulebook_version",
    "Name": "rulebook_version",
    "ValueType": "string",
    "StringValue": "1.0.0",
    "JsonValue": null
   },
   {
    "MetaKey": "description_rich",
    "Name": "description_rich",
    "ValueType": "string",
    "StringValue": "A single Effortless Rulebook whose structural model is aligned to the Procedural Knowledge Ontology (PKO) 2.0.0. It keeps procedure *specifications* separate from procedure *executions*, and carries versions, lifecycle status changes, steps, transitions, alternatives and fallbacks, actions, software functions, tools, requirements and verifications, agents, roles and time-bounded role assignments, resources and provenance, errors, issues, questions, feedback, explanations, tacit/implicit/explicit/situated knowledge, elicitation provenance, knowledge gaps, stewardship, change requests, reviews, communities of practice, and communication policy. Natural-language docs, financial SOPs, email/SMS policies, and a governance handbook are all projections of this one model — never hand-maintained documents.",
    "JsonValue": null
   },
   {
    "MetaKey": "use_cases",
    "Name": "use_cases",
    "ValueType": "array",
    "StringValue": null,
    "JsonValue": "[\"Publish an SOP and its governance record from one source instead of two drifting documents.\", \"Separate what a procedure *says* from what an execution actually *did*, and audit the gap.\", \"Carry tacit know-how, elicitation provenance, and known knowledge gaps as first-class data.\", \"Adapt a foreign process format into PKO once, and inherit every downstream projection.\"]"
   },
   {
    "MetaKey": "signature_rows",
    "Name": "signature_rows",
    "ValueType": "array",
    "StringValue": null,
    "JsonValue": "[{\"table\": \"Procedures\", \"why\": \"Specification of a procedure — distinct from any execution of it.\"}, {\"table\": \"ProcedureExecutions\", \"why\": \"What actually happened, linked back to the spec via pko:hasExecutedProcedure.\"}, {\"table\": \"StepTransitions\", \"why\": \"Default, alternative, and fallback edges — the control flow as data.\"}, {\"table\": \"KnowledgeGaps\", \"why\": \"Known unknowns tracked with severity, ownership, and blocking status.\"}, {\"table\": \"SemanticMappings\", \"why\": \"Every table's exact PKO term, or its explicit extension IRI.\"}]"
   },
   {
    "MetaKey": "procedure_families",
    "Name": "procedure_families",
    "ValueType": "array",
    "StringValue": null,
    "JsonValue": "[\"Quarter-End Financial Close\", \"Workforce Policy Change and Employee Notification\"]"
   },
   {
    "MetaKey": "substrates",
    "Name": "substrates",
    "ValueType": "array",
    "StringValue": null,
    "JsonValue": "[\"rulespeak\"]"
   },
   {
    "MetaKey": "table_count",
    "Name": "table_count",
    "ValueType": "string",
    "StringValue": "50",
    "JsonValue": null
   },
   {
    "MetaKey": "semantic_mapping_counts",
    "Name": "semantic_mapping_counts",
    "ValueType": "string",
    "StringValue": "28 exact/aligned mappings, 4 explicit ERB-PKO extensions",
    "JsonValue": null
   },
   {
    "MetaKey": "journal_seed",
    "Name": "journal_seed",
    "ValueType": "string",
    "StringValue": "Started from a standalone PKO prototype and onboarded it as a first-class domain: the rulebook is the source of truth, and the prose is downstream.",
    "JsonValue": null
   },
   {
    "MetaKey": "attribution",
    "Name": "attribution",
    "ValueType": "string",
    "StringValue": "PKO was created by Valentina Anita Carriero, Mario Scrocca, Ilaria Baroni, Antonia Azzini, and Irene Celino, and is published under CC BY 4.0. This domain aligns to PKO; it is not an official PKO distribution and implies no endorsement. See NOTICE.md.",
    "JsonValue": null
   },
   {
    "MetaKey": "CMCC_Summary",
    "Name": "CMCC_Summary",
    "ValueType": "string",
    "StringValue": "Procedural knowledge is modeled as data, not prose. PKO is graph-shaped; an Effortless Rulebook is an acyclic structural graph, so repeated and many-to-many semantics are promoted to first-class junction and event entities (StepTransitions, StepRequirements, RoleAssignments). No semantics are lost — the relational shape is a faithful encoding, and each projection recovers its own native surface form from the same structure.",
    "JsonValue": null
   },
   {
    "MetaKey": "conversion_metadata",
    "ValueType": "object",
    "StringValue": null,
    "JsonValue": "{\"source\": \"hand-authored PKO 2.0.0 alignment\", \"profile_schema\": \"schemas/pko-erb-profile-1.0.0.schema.json\", \"rulebook_version\": \"1.0.0\", \"pko_core_version_iri\": \"https://w3id.org/pko/2.0.0\", \"pko_industry_version_iri\": \"https://w3id.org/pko/industry/2.0.0\", \"generated_at\": \"2026-07-19T12:00:00-05:00\"}",
    "Name": "conversion_metadata"
   }
  ]
 },
 "ExceptionInvocations": {
  "Description": "ExceptionInvocations (added by witness loop 1).",
  "schema": [
   {
    "name": "ExceptionInvocationId",
    "datatype": "string",
    "type": "raw",
    "nullable": false,
    "Description": "Stored logical identifier for one ExceptionInvocations row."
   },
   {
    "name": "Name",
    "datatype": "string",
    "type": "calculated",
    "nullable": true,
    "Description": "Human-readable calculated display alias.",
    "formula": "={{StepExecution}} &amp; \" / \" &amp; {{Exception}}"
   },
   {
    "name": "StepExecution",
    "datatype": "string",
    "type": "relationship",
    "nullable": true,
    "Description": "The execution during which the exception was invoked.",
    "RelatedTo": "StepExecutions"
   },
   {
    "name": "Exception",
    "datatype": "string",
    "type": "relationship",
    "nullable": true,
    "Description": "The specified exception that was invoked.",
    "RelatedTo": "Exceptions"
   },
   {
    "name": "InvokedByAgent",
    "datatype": "string",
    "type": "relationship",
    "nullable": true,
    "Description": "Agent who invoked the exception.",
    "RelatedTo": "Agents"
   },
   {
    "name": "ApprovedByAgent",
    "datatype": "string",
    "type": "relationship",
    "nullable": true,
    "Description": "Agent who approved the invocation. Must satisfy the exception's ApprovalRole.",
    "RelatedTo": "Agents"
   },
   {
    "name": "InvokedAt",
    "datatype": "datetime",
    "type": "raw",
    "nullable": true,
    "Description": "When the exception was invoked."
   },
   {
    "name": "HandlingApplied",
    "datatype": "string",
    "type": "raw",
    "nullable": true,
    "Description": "What was actually done, in the invoker's words."
   },
   {
    "name": "ExpectedHandling",
    "datatype": "string",
    "type": "lookup",
    "nullable": true,
    "Description": "The handling the specification prescribes.",
    "formula": "=INDEX(Exceptions!{{Handling}}, MATCH({{Exception}}, Exceptions!{{ExceptionId}}, 0))"
   },
   {
    "name": "RequiredApprovalRole",
    "datatype": "string",
    "type": "lookup",
    "nullable": true,
    "Description": "The role the specification requires to approve this exception.",
    "formula": "=INDEX(Exceptions!{{ApprovalRole}}, MATCH({{Exception}}, Exceptions!{{ExceptionId}}, 0))"
   },
   {
    "name": "RequiredApprovalRoleHolder",
    "datatype": "string",
    "type": "lookup",
    "nullable": true,
    "Description": "The agent who currently holds the role that must approve this exception.",
    "formula": "=INDEX(Roles!{{CurrentAgent}}, MATCH({{RequiredApprovalRole}}, Roles!{{RoleId}}, 0))"
   },
   {
    "name": "ApprovalRoleMatches",
    "datatype": "boolean",
    "type": "calculated",
    "nullable": true,
    "Description": "TRUE when the agent who approved is the holder of the role the exception requires.",
    "formula": "={{ApprovedByAgent}} = {{RequiredApprovalRoleHolder}}"
   },
   {
    "name": "IsApproved",
    "datatype": "boolean",
    "type": "calculated",
    "nullable": true,
    "Description": "TRUE when an approver was recorded at all.",
    "formula": "={{ApprovedByAgent}} &lt;&gt; \"\""
   },
   {
    "name": "IsImproperlyApproved",
    "datatype": "boolean",
    "type": "calculated",
    "nullable": true,
    "Description": "TRUE when an exception was invoked without an approver, or approved by an agent who does not hold the required role.",
    "formula": "=OR(NOT({{IsApproved}}), NOT({{ApprovalRoleMatches}}))"
   },
   {
    "name": "InvokerAgentKind",
    "datatype": "string",
    "type": "lookup",
    "nullable": true,
    "Description": "What kind of agent invoked the exception.",
    "formula": "=INDEX(Agents!{{AgentKind}}, MATCH({{InvokedByAgent}}, Agents!{{AgentId}}, 0))"
   },
   {
    "name": "InvokerAlsoPreparedKey",
    "datatype": "string",
    "type": "calculated",
    "nullable": true,
    "Description": "Composite execution+approver key, in the same key space as StepExecutions.PreparerAgentKey.",
    "formula": "={{ParentProcedureExecution}} &amp; \"|\" &amp; {{ApprovedByAgent}}"
   },
   {
    "name": "ParentProcedureExecution",
    "datatype": "string",
    "type": "lookup",
    "nullable": true,
    "Description": "The procedure execution this invocation belongs to.",
    "formula": "=INDEX(StepExecutions!{{ProcedureExecution}}, MATCH({{StepExecution}}, StepExecutions!{{StepExecutionId}}, 0))"
   },
   {
    "name": "ApproverPreparedCount",
    "datatype": "number",
    "type": "aggregation",
    "nullable": true,
    "Description": "How many preparation steps in the same execution were run by the agent who approved this exception.",
    "formula": "=COUNTIFS(StepExecutions!{{PreparerAgentKey}}, {{InvokerAlsoPreparedKey}})"
   },
   {
    "name": "DelegatedToPreparer",
    "datatype": "boolean",
    "type": "calculated",
    "nullable": true,
    "Description": "TRUE when an exception routed approval authority to an agent who prepared work in the same execution.",
    "formula": "={{ApproverPreparedCount}} &gt; 0"
   },
   {
    "name": "IsUngovernedInvocation",
    "datatype": "boolean",
    "type": "calculated",
    "nullable": true,
    "Description": "TRUE when an exception was invoked without proper role authority, or routed authority to the preparer.",
    "formula": "=OR({{IsImproperlyApproved}}, {{DelegatedToPreparer}})"
   },
   {
    "name": "SemanticTypeIri",
    "datatype": "string",
    "type": "raw",
    "nullable": true,
    "Description": "Extension IRI — PKO does not define exception invocation.",
    "default": "urn:effortless:pko-extension#ExceptionInvocation"
   }
  ],
  "data": [
   {
    "ExceptionInvocationId": "exc-inv-close02",
    "StepExecution": "se-close02",
    "Exception": "exc-ledger-outage",
    "InvokedByAgent": "close-pipeline",
    "ApprovedByAgent": "devon-okafor",
    "InvokedAt": "2026-07-19T09:24:00-05:00",
    "HandlingApplied": "Used the digitally signed 09:07 trial-balance snapshot and opened blocking incident issue-close-feed. No spreadsheet substitution.",
    "SemanticTypeIri": "urn:effortless:pko-extension#ExceptionInvocation",
    "Name": "se-close02 / exc-ledger-outage",
    "ExpectedHandling": "Use a digitally signed, timestamped snapshot and open a blocking incident; do not silently substitute a spreadsheet.",
    "RequiredApprovalRole": "controller",
    "RequiredApprovalRoleHolder": "devon-okafor",
    "ApprovalRoleMatches": true,
    "IsApproved": true,
    "IsImproperlyApproved": false,
    "InvokerAgentKind": "AutomatedPipeline",
    "InvokerAlsoPreparedKey": "exec-close-2026-q2|devon-okafor",
    "ParentProcedureExecution": "exec-close-2026-q2",
    "ApproverPreparedCount": 0,
    "DelegatedToPreparer": false,
    "IsUngovernedInvocation": false
   }
  ]
 },
 "VerificationOutcomes": {
  "Description": "VerificationOutcomes (added by witness loop 1).",
  "schema": [
   {
    "name": "VerificationOutcomeId",
    "datatype": "string",
    "type": "raw",
    "nullable": false,
    "Description": "Stored logical identifier for one VerificationOutcomes row."
   },
   {
    "name": "Name",
    "datatype": "string",
    "type": "calculated",
    "nullable": true,
    "Description": "Human-readable calculated display alias.",
    "formula": "={{StepExecution}} &amp; \" / \" &amp; {{StepVerification}}"
   },
   {
    "name": "StepExecution",
    "datatype": "string",
    "type": "relationship",
    "nullable": true,
    "Description": "The execution during which the verification was performed.",
    "RelatedTo": "StepExecutions"
   },
   {
    "name": "StepVerification",
    "datatype": "string",
    "type": "relationship",
    "nullable": true,
    "Description": "The declared verification being performed.",
    "RelatedTo": "StepVerifications"
   },
   {
    "name": "ObservedSignalValue",
    "datatype": "string",
    "type": "raw",
    "nullable": true,
    "Description": "The value the signal actually read at verification time."
   },
   {
    "name": "ObservedByAgent",
    "datatype": "string",
    "type": "relationship",
    "nullable": true,
    "Description": "Agent who observed the signal.",
    "RelatedTo": "Agents"
   },
   {
    "name": "ObservedAt",
    "datatype": "datetime",
    "type": "raw",
    "nullable": true,
    "Description": "When the signal was observed."
   },
   {
    "name": "EvidenceUri",
    "datatype": "string",
    "type": "raw",
    "nullable": true,
    "Description": "Pointer to the retained artifact backing the observation."
   },
   {
    "name": "ExpectedSignalValue",
    "datatype": "string",
    "type": "lookup",
    "nullable": true,
    "Description": "The value the specification expects.",
    "formula": "=INDEX(StepVerifications!{{ExpectedSignalValue}}, MATCH({{StepVerification}}, StepVerifications!{{StepVerificationId}}, 0))"
   },
   {
    "name": "SignalIdentifier",
    "datatype": "string",
    "type": "lookup",
    "nullable": true,
    "Description": "Which signal this outcome concerns.",
    "formula": "=INDEX(StepVerifications!{{SignalIdentifier}}, MATCH({{StepVerification}}, StepVerifications!{{StepVerificationId}}, 0))"
   },
   {
    "name": "SignalMatchesExpected",
    "datatype": "boolean",
    "type": "calculated",
    "nullable": true,
    "Description": "TRUE when the observed value equals the expected value.",
    "formula": "={{ObservedSignalValue}} = {{ExpectedSignalValue}}"
   },
   {
    "name": "HasEvidence",
    "datatype": "boolean",
    "type": "calculated",
    "nullable": true,
    "Description": "TRUE when a retained artifact backs this observation.",
    "formula": "={{EvidenceUri}} &lt;&gt; \"\""
   },
   {
    "name": "IsUnbackedObservation",
    "datatype": "boolean",
    "type": "calculated",
    "nullable": true,
    "Description": "TRUE when a verification was recorded as matching but no evidence artifact was retained.",
    "formula": "=AND({{SignalMatchesExpected}}, NOT({{HasEvidence}}))"
   },
   {
    "name": "IsSelfWitnessed",
    "datatype": "boolean",
    "type": "calculated",
    "nullable": true,
    "Description": "TRUE when the agent who observed the verification signal is the same agent who executed the step being verified.",
    "formula": "={{ObservedByAgent}} = {{StepExecutorAgent}}"
   },
   {
    "name": "StepExecutorAgent",
    "datatype": "string",
    "type": "lookup",
    "nullable": true,
    "Description": "The agent who executed the step this verification outcome concerns.",
    "formula": "=INDEX(StepExecutions!{{ExecutedByAgent}}, MATCH({{StepExecution}}, StepExecutions!{{StepExecutionId}}, 0))"
   },
   {
    "name": "SelfWitnessedStepKey",
    "datatype": "string",
    "type": "calculated",
    "nullable": true,
    "Description": "Echoes the StepExecution id only for self-witnessed verifications.",
    "formula": "=IF({{IsSelfWitnessed}}, {{StepExecution}}, \"\")"
   },
   {
    "name": "UnbackedStepKey",
    "datatype": "string",
    "type": "calculated",
    "nullable": true,
    "Description": "Echoes the StepExecution id when a verification matched but retained no evidence.",
    "formula": "=IF({{IsUnbackedObservation}}, {{StepExecution}}, \"\")"
   },
   {
    "name": "IsSelfWitnessedAndUnbacked",
    "datatype": "boolean",
    "type": "calculated",
    "nullable": true,
    "Description": "TRUE when the executor observed their own passing signal and attached no evidence.",
    "formula": "=AND({{IsSelfWitnessed}}, NOT({{HasEvidence}}))"
   },
   {
    "name": "IsUncorroboratedPass",
    "datatype": "boolean",
    "type": "calculated",
    "nullable": true,
    "Description": "TRUE when a PASSING signal was self-observed with no evidence behind it.",
    "formula": "=AND({{SignalMatchesExpected}}, {{IsSelfWitnessedAndUnbacked}})"
   },
   {
    "name": "UncorroboratedPassStepKey",
    "datatype": "string",
    "type": "calculated",
    "nullable": true,
    "Description": "Echoes the step execution id when this outcome is an uncorroborated pass.",
    "formula": "=IF({{IsUncorroboratedPass}}, {{StepExecution}}, \"\")"
   },
   {
    "name": "ObserverIsNonHuman",
    "datatype": "boolean",
    "type": "lookup",
    "nullable": true,
    "Description": "Whether the agent who recorded this observation is non-human. Agents has no PrimaryRole column and an FK from Agents back to Roles would create a table cycle, so the independence question is answered by agent kind rather than by role.",
    "formula": "=INDEX(Agents!{{IsNonHuman}}, MATCH({{ObservedByAgent}}, Agents!{{AgentId}}, 0))"
   },
   {
    "name": "ObserverIsIndependentOfExecutor",
    "datatype": "boolean",
    "type": "calculated",
    "nullable": true,
    "Description": "TRUE when someone other than the step's executor recorded the observation.",
    "formula": "=NOT({{IsSelfWitnessed}})"
   },
   {
    "name": "IsIndependentHumanObservation",
    "datatype": "boolean",
    "type": "calculated",
    "nullable": true,
    "Description": "TRUE when a human other than the step's executor observed this signal and attached evidence.",
    "formula": "=AND(NOT({{ObserverIsNonHuman}}), NOT({{IsSelfWitnessed}}), {{HasEvidence}})"
   },
   {
    "name": "IndependentObservationExecutionKey",
    "datatype": "string",
    "type": "calculated",
    "nullable": true,
    "Description": "Echoes the parent execution id when this is an independent human observation.",
    "formula": "=IF({{IsIndependentHumanObservation}}, {{ParentProcedureExecutionOfOutcome}}, \"\")"
   },
   {
    "name": "ParentProcedureExecutionOfOutcome",
    "datatype": "string",
    "type": "lookup",
    "nullable": true,
    "Description": "The procedure execution this verification outcome belongs to.",
    "formula": "=INDEX(StepExecutions!{{ProcedureExecution}}, MATCH({{StepExecution}}, StepExecutions!{{StepExecutionId}}, 0))"
   },
   {
    "name": "SemanticTypeIri",
    "datatype": "string",
    "type": "raw",
    "nullable": true,
    "Description": "Extension IRI — PKO 2.0.0 has no execution-side verification outcome class.",
    "default": "urn:effortless:pko-extension#VerificationOutcome"
   }
  ],
  "data": [
   {
    "VerificationOutcomeId": "vo-close01",
    "StepExecution": "se-close01",
    "StepVerification": "verify-close-cutoff",
    "ObservedSignalValue": "LOCKED",
    "EvidenceUri": "evidence://erp/close/2026-q2/ledger-lock.json",
    "ObservedByAgent": "devon-okafor",
    "ObservedAt": "2026-07-19T09:05:00-05:00",
    "SemanticTypeIri": "urn:effortless:pko-extension#VerificationOutcome",
    "Name": "se-close01 / verify-close-cutoff",
    "ExpectedSignalValue": "LOCKED",
    "SignalIdentifier": "ledger-lock-state",
    "SignalMatchesExpected": true,
    "HasEvidence": true,
    "IsUnbackedObservation": false,
    "IsSelfWitnessed": false,
    "StepExecutorAgent": "close-pipeline",
    "SelfWitnessedStepKey": null,
    "UnbackedStepKey": null,
    "IsSelfWitnessedAndUnbacked": false,
    "IsUncorroboratedPass": false,
    "UncorroboratedPassStepKey": null,
    "ObserverIsNonHuman": false,
    "ObserverIsIndependentOfExecutor": true,
    "IsIndependentHumanObservation": true,
    "IndependentObservationExecutionKey": "exec-close-2026-q2",
    "ParentProcedureExecutionOfOutcome": "exec-close-2026-q2"
   },
   {
    "VerificationOutcomeId": "vo-close02",
    "StepExecution": "se-close02",
    "StepVerification": "verify-feed-time",
    "ObservedSignalValue": "17",
    "EvidenceUri": "evidence://erp/close/2026-q2/feed-age.json",
    "ObservedByAgent": "close-pipeline",
    "ObservedAt": "2026-07-19T09:22:00-05:00",
    "SemanticTypeIri": "urn:effortless:pko-extension#VerificationOutcome",
    "Name": "se-close02 / verify-feed-time",
    "ExpectedSignalValue": "15",
    "SignalIdentifier": "max-feed-age-minutes",
    "SignalMatchesExpected": false,
    "HasEvidence": true,
    "IsUnbackedObservation": false,
    "IsSelfWitnessed": true,
    "StepExecutorAgent": "close-pipeline",
    "SelfWitnessedStepKey": "se-close02",
    "UnbackedStepKey": null,
    "IsSelfWitnessedAndUnbacked": false,
    "IsUncorroboratedPass": false,
    "UncorroboratedPassStepKey": null,
    "ObserverIsNonHuman": true,
    "ObserverIsIndependentOfExecutor": false,
    "IsIndependentHumanObservation": false,
    "IndependentObservationExecutionKey": null,
    "ParentProcedureExecutionOfOutcome": "exec-close-2026-q2"
   },
   {
    "VerificationOutcomeId": "vo-close03",
    "StepExecution": "se-close03",
    "StepVerification": "verify-reconciliation",
    "ObservedSignalValue": "0",
    "EvidenceUri": "",
    "ObservedByAgent": "maria-chen",
    "ObservedAt": "2026-07-19T11:40:00-05:00",
    "SemanticTypeIri": "urn:effortless:pko-extension#VerificationOutcome",
    "Name": "se-close03 / verify-reconciliation",
    "ExpectedSignalValue": "0",
    "SignalIdentifier": "unexplained-material-variance",
    "SignalMatchesExpected": true,
    "HasEvidence": false,
    "IsUnbackedObservation": true,
    "IsSelfWitnessed": true,
    "StepExecutorAgent": "maria-chen",
    "SelfWitnessedStepKey": "se-close03",
    "UnbackedStepKey": "se-close03",
    "IsSelfWitnessedAndUnbacked": true,
    "IsUncorroboratedPass": true,
    "UncorroboratedPassStepKey": "se-close03",
    "ObserverIsNonHuman": false,
    "ObserverIsIndependentOfExecutor": false,
    "IsIndependentHumanObservation": false,
    "IndependentObservationExecutionKey": null,
    "ParentProcedureExecutionOfOutcome": "exec-close-2026-q2"
   },
   {
    "VerificationOutcomeId": "vo-close05",
    "StepExecution": "se-close05",
    "StepVerification": "verify-controller",
    "ObservedSignalValue": "APPROVED",
    "EvidenceUri": "evidence://erp/close/2026-q2/controller-approval.pdf",
    "ObservedByAgent": "devon-okafor",
    "ObservedAt": "2026-07-19T12:20:00-05:00",
    "SemanticTypeIri": "urn:effortless:pko-extension#VerificationOutcome",
    "Name": "se-close05 / verify-controller",
    "ExpectedSignalValue": "APPROVED",
    "SignalIdentifier": "controller-approval",
    "SignalMatchesExpected": true,
    "HasEvidence": true,
    "IsUnbackedObservation": false,
    "IsSelfWitnessed": true,
    "StepExecutorAgent": "devon-okafor",
    "SelfWitnessedStepKey": "se-close05",
    "UnbackedStepKey": null,
    "IsSelfWitnessedAndUnbacked": false,
    "IsUncorroboratedPass": false,
    "UncorroboratedPassStepKey": null,
    "ObserverIsNonHuman": false,
    "ObserverIsIndependentOfExecutor": false,
    "IsIndependentHumanObservation": false,
    "IndependentObservationExecutionKey": null,
    "ParentProcedureExecutionOfOutcome": "exec-close-2026-q2"
   }
  ]
 },
 "ObservedTransitions": {
  "Description": "The proxy above cannot tell a walked fallback from a happy-path step that happens to share an endpoint. PKO models Transition as a first-class thing; its execution counterpart is missing. Without a table that records WHICH transition a step execution arrived by, 'has this fallback ever been walked' is permanently unanswerable rather than merely unanswered. This is an extension (urn:effortless:pko-extension#ObservedTransition), not a native PKO term.",
  "schema": [
   {
    "name": "ObservedTransitionId",
    "datatype": "string",
    "type": "raw",
    "nullable": false,
    "Description": "Stored logical identifier for one ObservedTransitions row."
   },
   {
    "name": "Name",
    "datatype": "string",
    "type": "calculated",
    "nullable": true,
    "Description": "Human-readable calculated display alias.",
    "formula": "={{StepTransition}} &amp; \" @ \" &amp; {{ObservedAt}}"
   },
   {
    "name": "ProcedureExecution",
    "datatype": "string",
    "type": "relationship",
    "nullable": false,
    "Description": "The procedure execution during which this transition was traversed.",
    "RelatedTo": "ProcedureExecutions"
   },
   {
    "name": "StepTransition",
    "datatype": "string",
    "type": "relationship",
    "nullable": false,
    "Description": "The specification-level transition that was actually taken.",
    "RelatedTo": "StepTransitions"
   },
   {
    "name": "ArrivingStepExecution",
    "datatype": "string",
    "type": "relationship",
    "nullable": true,
    "Description": "The step execution that this traversal produced.",
    "RelatedTo": "StepExecutions"
   },
   {
    "name": "ObservedAt",
    "datatype": "datetime",
    "type": "raw",
    "nullable": true,
    "Description": "When the traversal occurred."
   },
   {
    "name": "TriggerReason",
    "datatype": "string",
    "type": "raw",
    "nullable": true,
    "Description": "Why this path rather than the default was taken."
   },
   {
    "name": "SemanticTypeIri",
    "datatype": "string",
    "type": "raw",
    "nullable": true,
    "Description": "Extension class IRI."
   }
  ],
  "data": [
   {
    "ObservedTransitionId": "obs-close-01-02-q2",
    "ProcedureExecution": "exec-close-2026-q2",
    "StepTransition": "close-01-to-close-02",
    "ArrivingStepExecution": "se-close02",
    "ObservedAt": "2026-06-30T17:04:00-05:00",
    "TriggerReason": "Default sequence",
    "SemanticTypeIri": "urn:effortless:pko-extension#ObservedTransition",
    "Name": "close-01-to-close-02 @ 2026-06-30T17:04:00-05:00"
   },
   {
    "ObservedTransitionId": "obs-close-02-03-q2",
    "ProcedureExecution": "exec-close-2026-q2",
    "StepTransition": "close-02-to-close-03",
    "ArrivingStepExecution": "se-close03",
    "ObservedAt": "2026-06-30T17:18:00-05:00",
    "TriggerReason": "Default sequence",
    "SemanticTypeIri": "urn:effortless:pko-extension#ObservedTransition",
    "Name": "close-02-to-close-03 @ 2026-06-30T17:18:00-05:00"
   },
   {
    "ObservedTransitionId": "obs-close-03-04-q2",
    "ProcedureExecution": "exec-close-2026-q2",
    "StepTransition": "close-03-to-close-04",
    "ArrivingStepExecution": "se-close04",
    "ObservedAt": "2026-07-01T12:15:00-05:00",
    "TriggerReason": "Default sequence",
    "SemanticTypeIri": "urn:effortless:pko-extension#ObservedTransition",
    "Name": "close-03-to-close-04 @ 2026-07-01T12:15:00-05:00"
   },
   {
    "ObservedTransitionId": "obs-close-04-05-q2",
    "ProcedureExecution": "exec-close-2026-q2",
    "StepTransition": "close-04-to-close-05",
    "ArrivingStepExecution": "se-close05",
    "ObservedAt": "2026-07-01T15:05:00-05:00",
    "TriggerReason": "Default sequence",
    "SemanticTypeIri": "urn:effortless:pko-extension#ObservedTransition",
    "Name": "close-04-to-close-05 @ 2026-07-01T15:05:00-05:00"
   },
   {
    "ObservedTransitionId": "obs-close-05-06-q2",
    "ProcedureExecution": "exec-close-2026-q2",
    "StepTransition": "close-05-to-close-06",
    "ArrivingStepExecution": "se-close06",
    "ObservedAt": "2026-07-02T09:00:00-05:00",
    "TriggerReason": "Default sequence",
    "SemanticTypeIri": "urn:effortless:pko-extension#ObservedTransition",
    "Name": "close-05-to-close-06 @ 2026-07-02T09:00:00-05:00"
   },
   {
    "ObservedTransitionId": "obs-close-06-07-q2",
    "ProcedureExecution": "exec-close-2026-q2",
    "StepTransition": "close-06-to-close-07",
    "ArrivingStepExecution": "se-close07",
    "ObservedAt": "2026-07-02T09:22:00-05:00",
    "TriggerReason": "Default sequence",
    "SemanticTypeIri": "urn:effortless:pko-extension#ObservedTransition",
    "Name": "close-06-to-close-07 @ 2026-07-02T09:22:00-05:00"
   },
   {
    "ObservedTransitionId": "obs-close-07-08-q2",
    "ProcedureExecution": "exec-close-2026-q2",
    "StepTransition": "close-07-to-close-08",
    "ArrivingStepExecution": "se-close08",
    "ObservedAt": "2026-07-02T14:00:00-05:00",
    "TriggerReason": "Default sequence",
    "SemanticTypeIri": "urn:effortless:pko-extension#ObservedTransition",
    "Name": "close-07-to-close-08 @ 2026-07-02T14:00:00-05:00"
   },
   {
    "ObservedTransitionId": "obs-policy-01-02-hr4821",
    "ProcedureExecution": "exec-policy-hr4821",
    "StepTransition": "policy-01-to-policy-02",
    "ArrivingStepExecution": "se-policy02",
    "ObservedAt": "2026-07-18T09:30:00-05:00",
    "TriggerReason": "Default sequence",
    "SemanticTypeIri": "urn:effortless:pko-extension#ObservedTransition",
    "Name": "policy-01-to-policy-02 @ 2026-07-18T09:30:00-05:00"
   },
   {
    "ObservedTransitionId": "obs-policy-02-03-hr4821",
    "ProcedureExecution": "exec-policy-hr4821",
    "StepTransition": "policy-02-to-policy-03",
    "ArrivingStepExecution": "se-policy03",
    "ObservedAt": "2026-07-18T13:00:00-05:00",
    "TriggerReason": "Default sequence",
    "SemanticTypeIri": "urn:effortless:pko-extension#ObservedTransition",
    "Name": "policy-02-to-policy-03 @ 2026-07-18T13:00:00-05:00"
   },
   {
    "ObservedTransitionId": "obs-policy-03-04-hr4821",
    "ProcedureExecution": "exec-policy-hr4821",
    "StepTransition": "policy-03-to-policy-04",
    "ArrivingStepExecution": "se-policy04",
    "ObservedAt": "2026-07-19T09:00:00-05:00",
    "TriggerReason": "Default sequence",
    "SemanticTypeIri": "urn:effortless:pko-extension#ObservedTransition",
    "Name": "policy-03-to-policy-04 @ 2026-07-19T09:00:00-05:00"
   }
  ]
 },
 "Recipients": {
  "Description": "Recipients (added by witness loop 1).",
  "schema": [
   {
    "name": "RecipientId",
    "datatype": "string",
    "type": "raw",
    "nullable": false,
    "Description": "Stored logical identifier for one Recipients row."
   },
   {
    "name": "Name",
    "datatype": "string",
    "type": "calculated",
    "nullable": true,
    "Description": "Human-readable calculated display alias for the Recipients row.",
    "formula": "={{DisplayName}}"
   },
   {
    "name": "DisplayName",
    "datatype": "string",
    "type": "raw",
    "nullable": true,
    "Description": "Employee display name as carried in the consent registry."
   },
   {
    "name": "Organization",
    "datatype": "string",
    "type": "relationship",
    "nullable": true,
    "Description": "Organization the recipient belongs to.",
    "RelatedTo": "Organizations"
   },
   {
    "name": "EmailAddress",
    "datatype": "string",
    "type": "raw",
    "nullable": true,
    "Description": "Corporate email address; empty string when the recipient has no valid corporate email."
   },
   {
    "name": "MobileNumber",
    "datatype": "string",
    "type": "raw",
    "nullable": true,
    "Description": "Mobile number in E.164 form; empty string when no mobile number is on file."
   },
   {
    "name": "SmsConsentStatus",
    "datatype": "string",
    "type": "raw",
    "nullable": true,
    "Description": "Consent state as observed in the consent registry: Granted, Revoked, or NeverGiven."
   },
   {
    "name": "SmsConsentAt",
    "datatype": "datetime",
    "type": "raw",
    "null</t>
  </si>
  <si>
    <t xml:space="preserve">able": true,
    "Description": "Timestamp at which the current SMS consent state took effect."
   },
   {
    "name": "ConsentBinding",
    "datatype": "string",
    "type": "relationship",
    "nullable": true,
    "Description": "Operational binding through which this consent state was observed.",
    "RelatedTo": "OperationalBindings"
   },
   {
    "name": "HasSmsConsent",
    "datatype": "boolean",
    "type": "calculated",
    "nullable": true,
    "Description": "TRUE only when the recipient's SMS consent state is Granted.",
    "formula": "={{SmsConsentStatus}} = \"Granted\""
   },
   {
    "name": "IsEmailReachable",
    "datatype": "boolean",
    "type": "calculated",
    "nullable": true,
    "Description": "TRUE when a corporate email address is on file for this recipient.",
    "formula": "={{EmailAddress}} &lt;&gt; \"\""
   },
   {
    "name": "IsSmsReachable",
    "datatype": "boolean",
    "type": "calculated",
    "nullable": true,
    "Description": "TRUE when a mobile number is on file for this recipient.",
    "formula": "={{MobileNumber}} &lt;&gt; \"\""
   },
   {
    "name": "IsUnreachable",
    "datatype": "boolean",
    "type": "calculated",
    "nullable": true,
    "Description": "TRUE when the recipient has neither an email address nor a mobile number -- the exc-unreachable trigger condition.",
    "formula": "=AND(NOT({{IsEmailReachable}}), NOT({{IsSmsReachable}}))"
   },
   {
    "name": "IsCommunicationallyStranded",
    "datatype": "boolean",
    "type": "calculated",
    "nullable": true,
    "Description": "TRUE when every channel we hold for this person is either non-consenting or unreachable, so no lawful route exists at all.",
    "formula": "=AND(NOT({{IsSmsReachable}}), NOT({{IsEmailReachable}}))"
   },
   {
    "name": "SemanticTypeIri",
    "datatype": "string",
    "type": "raw",
    "nullable": true,
    "Description": "Extension IRI; recipients are not a PKO 2.0.0 native class.",
    "RelatedTo": null
   }
  ],
  "data": [
   {
    "RecipientId": "rec-001",
    "DisplayName": "Jordan Ellis",
    "Organization": "acme-corp",
    "EmailAddress": "jordan.ellis@example.com",
    "MobileNumber": "+15551000001",
    "SmsConsentStatus": "Granted",
    "SmsConsentAt": "2026-05-02T10:00:00-05:00",
    "ConsentBinding": "bind-policy-consent",
    "SemanticTypeIri": "urn:effortless:pko-extension#Recipient",
    "Name": "Jordan Ellis",
    "HasSmsConsent": true,
    "IsEmailReachable": true,
    "IsSmsReachable": true,
    "IsUnreachable": false,
    "IsCommunicationallyStranded": false
   },
   {
    "RecipientId": "rec-002",
    "DisplayName": "Sam Rivera",
    "Organization": "acme-corp",
    "EmailAddress": "sam.rivera@example.com",
    "MobileNumber": "+15551000002",
    "SmsConsentStatus": "Granted",
    "SmsConsentAt": "2026-05-04T14:30:00-05:00",
    "ConsentBinding": "bind-policy-consent",
    "SemanticTypeIri": "urn:effortless:pko-extension#Recipient",
    "Name": "Sam Rivera",
    "HasSmsConsent": true,
    "IsEmailReachable": true,
    "IsSmsReachable": true,
    "IsUnreachable": false,
    "IsCommunicationallyStranded": false
   },
   {
    "RecipientId": "rec-003",
    "DisplayName": "Alex Kim",
    "Organization": "acme-corp",
    "EmailAddress": "alex.kim@example.com",
    "MobileNumber": "+15551000003",
    "SmsConsentStatus": "Granted",
    "SmsConsentAt": "2026-07-19T09:15:00-05:00",
    "ConsentBinding": "bind-policy-consent",
    "SemanticTypeIri": "urn:effortless:pko-extension#Recipient",
    "Name": "Alex Kim",
    "HasSmsConsent": true,
    "IsEmailReachable": true,
    "IsSmsReachable": true,
    "IsUnreachable": false,
    "IsCommunicationallyStranded": false
   },
   {
    "RecipientId": "rec-004",
    "DisplayName": "Riley Chen",
    "Organization": "acme-corp",
    "EmailAddress": "riley.chen@example.com",
    "MobileNumber": "+15551000004",
    "SmsConsentStatus": "Revoked",
    "SmsConsentAt": "2026-06-15T09:00:00-05:00",
    "ConsentBinding": "bind-policy-consent",
    "SemanticTypeIri": "urn:effortless:pko-extension#Recipient",
    "Name": "Riley Chen",
    "HasSmsConsent": false,
    "IsEmailReachable": true,
    "IsSmsReachable": true,
    "IsUnreachable": false,
    "IsCommunicationallyStranded": false
   },
   {
    "RecipientId": "rec-005",
    "DisplayName": "Morgan Diaz",
    "Organization": "acme-corp",
    "EmailAddress": "morgan.diaz@example.com",
    "MobileNumber": null,
    "SmsConsentStatus": "NeverGranted",
    "SmsConsentAt": null,
    "ConsentBinding": "bind-policy-consent",
    "SemanticTypeIri": "urn:effortless:pko-extension#Recipient",
    "Name": "Morgan Diaz",
    "HasSmsConsent": false,
    "IsEmailReachable": true,
    "IsSmsReachable": false,
    "IsUnreachable": false,
    "IsCommunicationallyStranded": false
   }
  ]
 },
 "MessageDeliveries": {
  "Description": "MessageDeliveries (added by witness loop 1).",
  "schema": [
   {
    "name": "MessageDeliveryId",
    "datatype": "string",
    "type": "raw",
    "nullable": false,
    "Description": "Stored logical identifier for one MessageDeliveries row."
   },
   {
    "name": "Name",
    "datatype": "string",
    "type": "calculated",
    "nullable": true,
    "Description": "Human-readable calculated display alias for the MessageDeliveries row.",
    "formula": "={{Recipient}} &amp; \" / \" &amp; {{MessageTemplate}} &amp; \" / \" &amp; {{SentAt}}"
   },
   {
    "name": "ProcedureExecution",
    "datatype": "string",
    "type": "relationship",
    "nullable": true,
    "Description": "The procedure execution this send was performed under.",
    "RelatedTo": "ProcedureExecutions"
   },
   {
    "name": "StepExecution",
    "datatype": "string",
    "type": "relationship",
    "nullable": true,
    "Description": "The step execution that performed the send.",
    "RelatedTo": "StepExecutions"
   },
   {
    "name": "Recipient",
    "datatype": "string",
    "type": "relationship",
    "nullable": true,
    "Description": "Who the message was sent to.",
    "RelatedTo": "Recipients"
   },
   {
    "name": "MessageTemplate",
    "datatype": "string",
    "type": "relationship",
    "nullable": true,
    "Description": "Template that was rendered for this send.",
    "RelatedTo": "MessageTemplates"
   },
   {
    "name": "SentByAgent",
    "datatype": "string",
    "type": "relationship",
    "nullable": true,
    "Description": "Agent that performed the send.",
    "RelatedTo": "Agents"
   },
   {
    "name": "RenderedBody",
    "datatype": "string",
    "type": "raw",
    "nullable": true,
    "Description": "The exact body text that was transmitted, after variable substitution."
   },
   {
    "name": "SentAt",
    "datatype": "datetime",
    "type": "raw",
    "nullable": true,
    "Description": "Transmission timestamp."
   },
   {
    "name": "SentAtLocalHour",
    "datatype": "integer",
    "type": "raw",
    "nullable": true,
    "Description": "Hour of day 0-23 in the RECIPIENT's local timezone at transmission. Stored raw because recipient-local time is what the quiet-hours rule is written against and it is not derivable from SentAt alone."
   },
   {
    "name": "DeliveryStatus",
    "datatype": "string",
    "type": "raw",
    "nullable": true,
    "Description": "Sent, Delivered, Failed, Suppressed, or Bounced."
   },
   {
    "name": "SuppressionReason",
    "datatype": "string",
    "type": "raw",
    "nullable": true,
    "Description": "When DeliveryStatus is Suppressed, why; empty string otherwise."
   },
   {
    "name": "InvokedException",
    "datatype": "string",
    "type": "relationship",
    "nullable": true,
    "Description": "Documented exception invoked for this delivery, when one was.",
    "RelatedTo": "Exceptions"
   },
   {
    "name": "AcknowledgedAt",
    "datatype": "datetime",
    "type": "raw",
    "nullable": true,
    "Description": "When the recipient acknowledged; null when not acknowledged."
   },
   {
    "name": "PolicyChannel",
    "datatype": "string",
    "type": "lookup",
    "nullable": true,
    "Description": "The communication policy governing the template that was sent.",
    "formula": "=INDEX(MessageTemplates!{{CommunicationPolicy}}, MATCH({{MessageTemplate}}, MessageTemplates!{{MessageTemplateId}}, 0))"
   },
   {
    "name": "ChannelName",
    "datatype": "string",
    "type": "lookup",
    "nullable": true,
    "Description": "Channel (Email, SMS) of the policy this delivery went out under.",
    "formula": "=INDEX(CommunicationPolicies!{{Channel}}, MATCH({{PolicyChannel}}, CommunicationPolicies!{{CommunicationPolicyId}}, 0))"
   },
   {
    "name": "PolicyRequiresConsent",
    "datatype": "boolean",
    "type": "lookup",
    "nullable": true,
    "Description": "Whether the governing policy requires active consent for this channel.",
    "formula": "=INDEX(CommunicationPolicies!{{ConsentRequired}}, MATCH({{PolicyChannel}}, CommunicationPolicies!{{CommunicationPolicyId}}, 0))"
   },
   {
    "name": "RecipientHasSmsConsent",
    "datatype": "boolean",
    "type": "lookup",
    "nullable": true,
    "Description": "Whether the recipient of this delivery had SMS consent on file.",
    "formula": "=INDEX(Recipients!{{HasSmsConsent}}, MATCH({{Recipient}}, Recipients!{{RecipientId}}, 0))"
   },
   {
    "name": "WasActuallyTransmitted",
    "datatype": "boolean",
    "type": "calculated",
    "nullable": true,
    "Description": "TRUE when the message actually left our systems. Suppressed and Failed messages never reached the carrier.",
    "formula": "=OR({{DeliveryStatus}} = \"Sent\", OR({{DeliveryStatus}} = \"Delivered\", {{DeliveryStatus}} = \"Bounced\"))"
   },
   {
    "name": "IsConsentViolation",
    "datatype": "boolean",
    "type": "calculated",
    "nullable": true,
    "Description": "TRUE when a message was actually transmitted on a consent-required channel to a recipient without consent. This is the TCPA witness.",
    "formula": "=AND({{WasActuallyTransmitted}}, AND({{PolicyRequiresConsent}}, NOT({{RecipientHasSmsConsent}})))"
   },
   {
    "name": "ConsentViolationPolicyKey",
    "datatype": "string",
    "type": "calculated",
    "nullable": true,
    "Description": "Carries the policy id only on rows that are consent violations; empty string otherwise.",
    "formula": "=IF({{IsConsentViolation}}, {{PolicyChannel}}, \"\")"
   },
   {
    "name": "PolicyQuietHoursStartHour",
    "datatype": "integer",
    "type": "lookup",
    "nullable": true,
    "Description": "Quiet-hours start hour (0-23) from the governing policy.",
    "formula": "=INDEX(CommunicationPolicies!{{QuietHoursStartHour}}, MATCH({{PolicyChannel}}, CommunicationPolicies!{{CommunicationPolicyId}}, 0))"
   },
   {
    "name": "PolicyQuietHoursEndHour",
    "datatype": "integer",
    "type": "lookup",
    "nullable": true,
    "Description": "Quiet-hours end hour (0-23) from the governing policy.",
    "formula": "=INDEX(CommunicationPolicies!{{QuietHoursEndHour}}, MATCH({{PolicyChannel}}, CommunicationPolicies!{{CommunicationPolicyId}}, 0))"
   },
   {
    "name": "PolicyHasQuietHours",
    "datatype": "boolean",
    "type": "calculated",
    "nullable": true,
    "Description": "TRUE when the governing policy actually declares a quiet-hours window. comm-email-policy has 00:00-00:00, meaning no window.",
    "formula": "={{PolicyQuietHoursStartHour}} &lt;&gt; {{PolicyQuietHoursEndHour}}"
   },
   {
    "name": "QuietWindowWrapsMidnight",
    "datatype": "boolean",
    "type": "calculated",
    "nullable": true,
    "Description": "TRUE when the quiet window crosses midnight (20:00 -&gt; 08:00 does).",
    "formula": "={{PolicyQuietHoursStartHour}} &gt; {{PolicyQuietHoursEndHour}}"
   },
   {
    "name": "IsInsideQuietWindow",
    "datatype": "boolean",
    "type": "calculated",
    "nullable": true,
    "Description": "TRUE when the recipient-local send hour falls inside the declared quiet window, handling the midnight wrap correctly.",
    "formula": "=IF({{QuietWindowWrapsMidnight}}, OR({{SentAtLocalHour}} &gt;= {{PolicyQuietHoursStartHour}}, {{SentAtLocalHour}} &lt; {{PolicyQuietHoursEndHour}}), AND({{SentAtLocalHour}} &gt;= {{PolicyQuietHoursStartHour}}, {{SentAtLocalHour}} &lt; {{PolicyQuietHoursEndHour}}))"
   },
   {
    "name": "IsQuietHoursViolation",
    "datatype": "boolean",
    "type": "calculated",
    "nullable": true,
    "Description": "TRUE when a message was actually transmitted inside a declared quiet-hours window. The quiet-hours witness.",
    "formula": "=AND({{WasActuallyTransmitted}}, AND({{PolicyHasQuietHours}}, {{IsInsideQuietWindow}}))"
   },
   {
    "name": "QuietHoursViolationPolicyKey",
    "datatype": "string",
    "type": "calculated",
    "nullable": true,
    "Description": "Carries the policy id only on quiet-hours violations; empty string otherwise.",
    "formula": "=IF({{IsQuietHoursViolation}}, {{PolicyChannel}}, \"\")"
   },
   {
    "name": "RecipientIsUnreachable",
    "datatype": "boolean",
    "type": "lookup",
    "nullable": true,
    "Description": "Whether the recipient has neither email nor mobile on file -- the exc-unreachable trigger.",
    "formula": "=INDEX(Recipients!{{IsUnreachable}}, MATCH({{Recipient}}, Recipients!{{RecipientId}}, 0))"
   },
   {
    "name": "IsAcknowledged",
    "datatype": "boolean",
    "type": "calculated",
    "nullable": true,
    "Description": "TRUE when an acknowledgement timestamp is recorded for this delivery.",
    "formula": "={{AcknowledgedAt}} &lt;&gt; \"\""
   },
   {
    "name": "InvokedExceptionCondition",
    "datatype": "string",
    "type": "lookup",
    "nullable": true,
    "Description": "The documented condition of the exception invoked on this delivery, if any.",
    "formula": "=INDEX(Exceptions!{{Condition}}, MATCH({{InvokedException}}, Exceptions!{{ExceptionId}}, 0))"
   },
   {
    "name": "HasUnreachableExceptionInvoked",
    "datatype": "boolean",
    "type": "calculated",
    "nullable": true,
    "Description": "TRUE when the documented unreachable-recipient exception was formally invoked on this delivery.",
    "formula": "={{InvokedException}} = \"exc-unreachable\""
   },
   {
    "name": "IsFabricatedAcknowledgement",
    "datatype": "boolean",
    "type": "calculated",
    "nullable": true,
    "Description": "TRUE when an acknowledgement is recorded for a recipient we could not reach. This is the misrepresentation witness.",
    "formula": "=AND({{RecipientIsUnreachable}}, {{IsAcknowledged}})"
   },
   {
    "name": "IsUnhandledUnreachable",
    "datatype": "boolean",
    "type": "calculated",
    "nullable": true,
    "Description": "TRUE when a recipient was unreachable but no documented exception was invoked -- the case fell on the floor silently.",
    "formula": "=AND({{RecipientIsUnreachable}}, NOT({{HasUnreachableExceptionInvoked}}))"
   },
   {
    "name": "UnreachableFailureKey",
    "datatype": "string",
    "type": "calculated",
    "nullable": true,
    "Description": "Carries the execution id on any unreachable-handling failure; empty string otherwise.",
    "formula": "=IF(OR({{IsFabricatedAcknowledgement}}, {{IsUnhandledUnreachable}}), {{ProcedureExecution}}, \"\")"
   },
   {
    "name": "PolicyRetentionDays",
    "datatype": "integer",
    "type": "lookup",
    "nullable": true,
    "Description": "Retention commitment in days inherited from the governing channel policy.",
    "formula": "=INDEX(CommunicationPolicies!{{RetentionDays}}, MATCH({{PolicyChannel}}, CommunicationPolicies!{{CommunicationPolicyId}},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"AgeDays",
    "datatype": "integer",
    "type": "calculated",
    "nullable": true,
    "Description": "Days elapsed since transmission.",
    "formula": "=DATETIME_DIFF({{AsOfInstant}}, {{SentAt}}, \"days\")"
   },
   {
    "name": "IsWithinRetentionWindow",
    "datatype": "boolean",
    "type": "calculated",
    "nullable": true,
    "Description": "TRUE while this delivery is still inside its committed retention period.",
    "formula": "={{AgeDays}} &lt;= {{PolicyRetentionDays}}"
   },
   {
    "name": "HasRenderedBody",
    "datatype": "boolean",
    "type": "calculated",
    "nullable": true,
    "Description": "TRUE when the exact transmitted text is still held on this record.",
    "formula": "={{RenderedBody}} &lt;&gt; \"\""
   },
   {
    "name": "IsEvidenceRequired",
    "datatype": "boolean",
    "type": "calculated",
    "nullable": true,
    "Description": "TRUE when we are still obliged to hold this message's text.",
    "formula": "=AND({{WasActuallyTransmitted}}, {{IsWithinRetentionWindow}})"
   },
   {
    "name": "IsRetentionBreach",
    "datatype": "boolean",
    "type": "calculated",
    "nullable": true,
    "Description": "TRUE when we are obliged to hold the message text and do not. The evidentiary-gap witness.",
    "formula": "=AND({{IsEvidenceRequired}}, NOT({{HasRenderedBody}}))"
   },
   {
    "name": "RetentionBreachExecutionKey",
    "datatype": "string",
    "type": "calculated",
    "nullable": true,
    "Description": "Carries the execution id on retention breaches; empty string otherwise.",
    "formula": "=IF({{IsRetentionBreach}}, {{ProcedureExecution}}, \"\")"
   },
   {
    "name": "SendingStepExecutionStep",
    "datatype": "string",
    "type": "lookup",
    "nullable": true,
    "Description": "Which procedure step this delivery was performed under.",
    "formula": "=INDEX(StepExecutions!{{Step}}, MATCH({{StepExecution}}, StepExecutions!{{StepExecutionId}}, 0))"
   },
   {
    "name": "ExecutionHasClearedLegalReview",
    "datatype": "boolean",
    "type": "lookup",
    "nullable": true,
    "Description": "Whether legal review had passed for the execution this delivery belongs to.",
    "formula": "=INDEX(ProcedureExecutions!{{HasClearedLegalReview}}, MATCH({{ProcedureExecution}}, ProcedureExecutions!{{ProcedureExecutionId}}, 0))"
   },
   {
    "name": "IsUnreviewedSend",
    "datatype": "boolean",
    "type": "calculated",
    "nullable": true,
    "Description": "TRUE when a message was transmitted under an execution whose legal review had not passed. The ungated-send witness.",
    "formula": "=AND({{WasActuallyTransmitted}}, NOT({{ExecutionHasClearedLegalReview}}))"
   },
   {
    "name": "RenderedBodyLength",
    "datatype": "integer",
    "type": "calculated",
    "nullable": true,
    "Description": "Character length of the exact text that was actually transmitted.",
    "formula": "=LEN({{RenderedBody}})"
   },
   {
    "name": "PolicyMaxMessageLengthAtSend",
    "datatype": "integer",
    "type": "lookup",
    "nullable": true,
    "Description": "The per-segment limit that governed this specific send.",
    "formula": "=INDEX(CommunicationPolicies!{{MaxMessageLength}}, MATCH({{PolicyChannel}}, CommunicationPolicies!{{CommunicationPolicyId}}, 0))"
   },
   {
    "name": "SegmentCount",
    "datatype": "integer",
    "type": "calculated",
    "nullable": true,
    "Description": "How many channel segments the transmitted text occupied.",
    "formula": "=IF({{RenderedBodyLength}} = 0, 0, IF({{RenderedBodyLength}} &lt;= {{PolicyMaxMessageLengthAtSend}}, 1, ROUNDUP({{RenderedBodyLength}} / {{PolicyMaxMessageLengthAtSend}}, 0)))"
   },
   {
    "name": "PolicyMaxSegmentsAtSend",
    "datatype": "integer",
    "type": "lookup",
    "nullable": true,
    "Description": "The segment ceiling that governed this specific send.",
    "formula": "=INDEX(CommunicationPolicies!{{MaxSegments}}, MATCH({{PolicyChannel}}, CommunicationPolicies!{{CommunicationPolicyId}}, 0))"
   },
   {
    "name": "IsOverSegmentLimit",
    "datatype": "boolean",
    "type": "calculated",
    "nullable": true,
    "Description": "TRUE when a transmitted message split into more segments than the policy permits. The oversize witness.",
    "formula": "=AND({{WasActuallyTransmitted}}, {{SegmentCount}} &gt; {{PolicyMaxSegmentsAtSend}})"
   },
   {
    "name": "TemplateHasValidApproval",
    "datatype": "boolean",
    "type": "lookup",
    "nullable": true,
    "Description": "Whether the template used for this delivery had a properly-authorized approval.",
    "formula": "=INDEX(MessageTemplates!{{HasValidApproval}}, MATCH({{MessageTemplate}}, MessageTemplates!{{MessageTemplateId}}, 0))"
   },
   {
    "name": "IsUnapprovedSend",
    "datatype": "boolean",
    "type": "calculated",
    "nullable": true,
    "Description": "TRUE when a message was transmitted using a template with no valid approval behind it.",
    "formula": "=AND({{WasActuallyTransmitted}}, NOT({{TemplateHasValidApproval}}))"
   },
   {
    "name": "PolicyRequiredOptOutPhrase",
    "datatype": "string",
    "type": "lookup",
    "nullable": true,
    "Description": "The opt-out phrase required for this delivery's channel.",
    "formula": "=INDEX(CommunicationPolicies!{{RequiredOptOutPhrase}}, MATCH({{PolicyChannel}}, CommunicationPolicies!{{CommunicationPolicyId}}, 0))"
   },
   {
    "name": "PolicyRequiresOptOut",
    "datatype": "boolean",
    "type": "calculated",
    "nullable": true,
    "Description": "TRUE when the governing channel policy declares a required opt-out phrase at all.",
    "formula": "={{PolicyRequiredOptOutPhrase}} &lt;&gt; \"\""
   },
   {
    "name": "OptOutPhrasePosition",
    "datatype": "integer",
    "type": "calculated",
    "nullable": true,
    "Description": "Character position at which the required opt-out phrase appears in the transmitted text; 0 when absent.",
    "formula": "=FIND({{PolicyRequiredOptOutPhrase}}, {{RenderedBody}})"
   },
   {
    "name": "HasOptOutPhrase",
    "datatype": "boolean",
    "type": "calculated",
    "nullable": true,
    "Description": "TRUE when the required opt-out phrase appears anywhere in the transmitted text.",
    "formula": "={{OptOutPhrasePosition}} &gt; 0"
   },
   {
    "name": "IsOptOutInFirstSegment",
    "datatype": "boolean",
    "type": "calculated",
    "nullable": true,
    "Description": "TRUE when the opt-out phrase falls inside the first segment, where it is guaranteed to be read.",
    "formula": "=AND({{HasOptOutPhrase}}, {{OptOutPhrasePosition}} &lt;= {{PolicyMaxMessageLengthAtSend}})"
   },
   {
    "name": "IsMissingRequiredOptOut",
    "datatype": "boolean",
    "type": "calculated",
    "nullable": true,
    "Description": "TRUE when a transmitted message on an opt-out-required channel did not contain the phrase at all. The hard witness.",
    "formula": "=AND({{WasActuallyTransmitted}}, AND({{PolicyRequiresOptOut}}, NOT({{HasOptOutPhrase}})))"
   },
   {
    "name": "IsOptOutAtRiskOfTruncation",
    "datatype": "boolean",
    "type": "calculated",
    "nullable": true,
    "Description": "TRUE when the opt-out phrase is present but sits beyond the first segment, where carrier truncation or out-of-order delivery can hide it. The soft witness.",
    "formula": "=AND({{WasActuallyTransmitted}}, AND({{PolicyRequiresOptOut}}, AND({{HasOptOutPhrase}}, NOT({{IsOptOutInFirstSegment}}))))"
   },
   {
    "name": "IsFailedDelivery",
    "datatype": "boolean",
    "type": "calculated",
    "nullable": true,
    "Description": "TRUE when the message left our systems but did not land.",
    "formula": "=OR({{DeliveryStatus}} = \"Failed\", {{DeliveryStatus}} = \"Bounced\")"
   },
   {
    "name": "IsSuppressed",
    "datatype": "boolean",
    "type": "calculated",
    "nullable": true,
    "Description": "TRUE when we deliberately chose not to transmit.",
    "formula": "={{DeliveryStatus}} = \"Suppressed\""
   },
   {
    "name": "IsTriaged",
    "datatype": "boolean",
    "type": "calculated",
    "nullable": true,
    "Description": "TRUE when some documented exception was formally invoked on this delivery -- i.e. a human or a rule picked it up.",
    "formula": "={{InvokedException}} &lt;&gt; \"\""
   },
   {
    "name": "IsAbandonedFailure",
    "datatype": "boolean",
    "type": "calculated",
    "nullable": true,
    "Description": "TRUE when a delivery failed and no documented exception was invoked. The abandoned-bounce witness.",
    "formula": "=AND({{IsFailedDelivery}}, NOT({{IsTriaged}}))"
   },
   {
    "name": "AbandonedFailureExecutionKey",
    "datatype": "string",
    "type": "calculated",
    "nullable": true,
    "Description": "Carries the execution id on abandoned failures; empty string otherwise.",
    "formula": "=IF({{IsAbandonedFailure}}, {{ProcedureExecution}}, \"\")"
   },
   {
    "name": "ReachedExecutionKey",
    "datatype": "string",
    "type": "calculated",
    "nullable": true,
    "Description": "Carries the execution id on confirmed-delivered messages; empty string otherwise.",
    "formula": "=IF({{DeliveryStatus}} = \"Delivered\", {{ProcedureExecution}}, \"\")"
   },
   {
    "name": "TemplateWasSendable",
    "datatype": "boolean",
    "type": "lookup",
    "nullable": true,
    "Description": "Whether the template used for this delivery was fully sendable under a current, matching approval.",
    "formula": "=INDEX(MessageTemplates!{{IsSendableUnderApproval}}, MATCH({{MessageTemplate}}, MessageTemplates!{{MessageTemplateId}}, 0))"
   },
   {
    "name": "IsDriftedSend",
    "datatype": "boolean",
    "type": "calculated",
    "nullable": true,
    "Description": "TRUE when a message was transmitted from a template that was not validly sendable at the time. The drift witness.",
    "formula": "=AND({{WasActuallyTransmitted}}, NOT({{TemplateWasSendable}}))"
   },
   {
    "name": "DriftedSendTemplateKey",
    "datatype": "string",
    "type": "calculated",
    "nullable": true,
    "Description": "Carries the template id on drifted sends; empty string otherwise.",
    "formula": "=IF({{IsDriftedSend}}, {{MessageTemplate}}, \"\")"
   },
   {
    "name": "WasSentOutsideBusinessHours",
    "datatype": "boolean",
    "type": "calculated",
    "nullable": true,
    "Description": "TRUE when this message landed before 08:00 or after 18:00 in the recipient's local time.",
    "formula": "=OR({{SentAtLocalHour}} &lt; 8, {{SentAtLocalHour}} &gt; 18)"
   },
   {
    "name": "WasDeliveredAndUnanswered",
    "datatype": "boolean",
    "type": "calculated",
    "nullable": true,
    "Description": "TRUE when a message actually reached someone and no acknowledgement came back.",
    "formula": "=AND({{WasActuallyTransmitted}}, NOT({{IsAcknowledged}}))"
   },
   {
    "name": "IsPoorlyTimedUnanswered",
    "datatype": "boolean",
    "type": "calculated",
    "nullable": true,
    "Description": "TRUE when an unanswered message was delivered outside business hours -- a timing hypothesis for the silence.",
    "formula": "=AND({{WasDeliveredAndUnanswered}}, {{WasSentOutsideBusinessHours}})"
   },
   {
    "name": "IsWellTimedUnanswered",
    "datatype": "boolean",
    "type": "calculated",
    "nullable": true,
    "Description": "TRUE when a message was delivered at a reasonable hour and still drew no response.",
    "formula": "=AND({{WasDeliveredAndUnanswered}}, NOT({{WasSentOutsideBusinessHours}}))"
   },
   {
    "name": "UnansweredTemplateKey",
    "datatype": "string",
    "type": "calculated",
    "nullable": true,
    "Description": "The template id when this delivery went unanswered, otherwise empty string.",
    "formula": "=IF({{WasDeliveredAndUnanswered}}, {{MessageTemplate}}, \"\")"
   },
   {
    "name": "TransmittedTemplateKey",
    "datatype": "string",
    "type": "calculated",
    "nullable": true,
    "Description": "The template id when this delivery actually reached someone.",
    "formula": "=IF({{WasActuallyTransmitted}}, {{MessageTemplate}}, \"\")"
   },
   {
    "name": "ApprovingAgentAtSend",
    "datatype": "string",
    "type": "raw",
    "nullable": true,
    "Description": "The agent whose approval authorized this specific transmission, frozen at send time."
   },
   {
    "name": "ApprovingRoleAtSend",
    "datatype": "string",
    "type": "raw",
    "nullable": true,
    "Description": "The role that agent held when they approved, frozen at send time."
   },
   {
    "name": "ApprovalDecidedAtSend",
    "datatype": "datetime",
    "type": "raw",
    "nullable": true,
    "Description": "When the relied-upon approval was granted, frozen at send time."
   },
   {
    "name": "ApprovalPrecededSend",
    "datatype": "boolean",
    "type": "calculated",
    "nullable": true,
    "Description": "TRUE when the approval we relied on was granted before the message went out.",
    "formula": "=AND({{ApprovalDecidedAtSend}} &lt;&gt; \"\", {{SentAt}} &gt; {{ApprovalDecidedAtSend}})"
   },
   {
    "name": "HasFrozenApprovalEvidence",
    "datatype": "boolean",
    "type": "calculated",
    "nullable": true,
    "Description": "TRUE when this delivery carries a complete frozen record of who authorized it and when.",
    "formula": "=AND({{ApprovingAgentAtSend}} &lt;&gt; \"\", {{ApprovalDecidedAtSend}} &lt;&gt; \"\")"
   },
   {
    "name": "ProvenanceIsLiveDerived",
    "datatype": "boolean",
    "type": "calculated",
    "nullable": true,
    "Description": "TRUE when we have no frozen evidence and the only available answer comes from recomputing against today's template state.",
    "formula": "=NOT({{HasFrozenApprovalEvidence}})"
   },
   {
    "name": "CurrentLastApprovalAt",
    "datatype": "datetime",
    "type": "lookup",
    "nullable": true,
    "Description": "The template's most recent approval time as it stands NOW, for comparison against what was approved at send.",
    "formula": "=INDEX(MessageTemplates!{{LastApprovalAt}}, MATCH({{MessageTemplate}}, MessageTemplates!{{MessageTemplateId}}, 0))"
   },
   {
    "name": "TemplateReapprovedSinceSend",
    "datatype": "boolean",
    "type": "calculated",
    "nullable": true,
    "Description": "TRUE when the template has picked up a newer approval since this message was transmitted.",
    "formula": "=AND({{CurrentLastApprovalAt}} &lt;&gt; \"\", {{CurrentLastApprovalAt}} &gt; {{SentAt}})"
   },
   {
    "name": "IsUnprovableApprovalClaim",
    "datatype": "boolean",
    "type": "calculated",
    "nullable": true,
    "Description": "TRUE when we assert this send was approved, hold no frozen evidence, and the template has been re-approved since. The claim cannot be substantiated from the record.",
    "formula": "=AND({{ProvenanceIsLiveDerived}}, AND({{TemplateReapprovedSinceSend}}, {{TemplateHasValidApproval}}))"
   },
   {
    "name": "ReminderSentAt",
    "datatype": "datetime",
    "type": "raw",
    "nullable": true,
    "Description": "When I sent a follow-up reminder about this unacknowledged message. Empty when I never did."
   },
   {
    "name": "ReminderCount",
    "datatype": "integer",
    "type": "raw",
    "nullable": true,
    "Description": "How many reminders I have sent for this delivery."
   },
   {
    "name": "HasSentReminder",
    "datatype": "boolean",
    "type": "calculated",
    "nullable": true,
    "Description": "TRUE when at least one reminder went out for this delivery.",
    "formula": "={{ReminderCount}} &gt; 0"
   },
   {
    "name": "AcknowledgementIsOutstanding",
    "datatype": "boolean",
    "type": "calculated",
    "nullable": true,
    "Description": "TRUE when a message actually reached someone, carried an acknowledgement obligation, and has not been acknowledged.",
    "formula": "=AND({{WasActuallyTransmitted}}, AND({{IsEvidenceRequired}}, NOT({{IsAcknowledged}})))"
   },
   {
    "name": "OutstandingAgeDays",
    "datatype": "integer",
    "type": "calculated",
    "nullable": true,
    "Description": "How long this acknowledgement has been outstanding.",
    "formula": "=IF({{AcknowledgementIsOutstanding}}, DATETIME_DIFF({{AsOfInstant}}, {{SentAt}}, \"days\"), 0)"
   },
   {
    "name": "IsUnchasedAcknowledgement",
    "datatype": "boolean",
    "type": "calculated",
    "nullable": true,
    "Description": "TRUE when an acknowledgement has been outstanding for more than 7 days and I have never sent a reminder.",
    "formula": "=AND({{AcknowledgementIsOutstanding}}, AND({{OutstandingAgeDays}} &gt; 7, NOT({{HasSentReminder}})))"
   },
   {
    "name": "IsExhaustedFollowUp",
    "datatype": "boolean",
    "type": "calculated",
    "nullable": true,
    "Description": "TRUE when I have sent three or more reminders and still have no acknowledgement -- the point at which this stops being my work and becomes a human escalation."</t>
  </si>
  <si>
    <t xml:space="preserve">,
    "formula": "=AND({{AcknowledgementIsOutstanding}}, {{ReminderCount}} &gt;= 3)"
   },
   {
    "name": "NeedsHumanEscalation",
    "datatype": "boolean",
    "type": "calculated",
    "nullable": true,
    "Description": "TRUE when follow-up is exhausted and no exception has been invoked to close out the obligation.",
    "formula": "=AND({{IsExhaustedFollowUp}}, NOT({{HasUnreachableExceptionInvoked}}))"
   },
   {
    "name": "SemanticTypeIri",
    "datatype": "string",
    "type": "raw",
    "nullable": true,
    "Description": "Extension IRI; per-recipient delivery events are not a PKO 2.0.0 native class."
   }
  ],
  "data": [
   {
    "MessageDeliveryId": "md-001",
    "ProcedureExecution": "exec-policy-hr4821",
    "StepExecution": "se-policy04",
    "Recipient": "rec-001",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"2026-07-18T15:20:00-05:00",
    "SemanticTypeIri": "urn:effortless:pko-extension#MessageDelivery",
    "EvaluationContext": "eval-current",
    "Name": "rec-001 / tmpl-policy-email / 2026-07-18T14:05:00-05:00",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true,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null,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false,
    "IsPoorlyTimedUnanswered": false,
    "IsWellTimedUnanswered": false,
    "UnansweredTemplateKey": null,
    "TransmittedTemplateKey": "tmpl-policy-email",
    "ApprovalPrecededSend": false,
    "HasFrozenApprovalEvidence": false,
    "ProvenanceIsLiveDerived": true,
    "CurrentLastApprovalAt": "2026-07-17T11:00:00-05:00",
    "TemplateReapprovedSinceSend": false,
    "IsUnprovableApprovalClaim": false,
    "AcknowledgementIsOutstanding": false,
    "OutstandingAgeDays": 0,
    "IsUnchasedAcknowledgement": false,
    "IsExhaustedFollowUp": false,
    "NeedsHumanEscalation": false,
    "InvokedExceptionCondition": null,
    "HasUnreachableExceptionInvoked": false,
    "PolicyRequiredOptOutPhrase": null,
    "OptOutPhrasePosition": null,
    "HasOptOutPhrase": false,
    "IsOptOutInFirstSegment": false,
    "HasSentReminder": false
   },
   {
    "MessageDeliveryId": "md-002",
    "ProcedureExecution": "exec-policy-hr4821",
    "StepExecution": "se-policy04",
    "Recipient": "rec-002",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null,
    "SemanticTypeIri": "urn:effortless:pko-extension#MessageDelivery",
    "EvaluationContext": "eval-current",
    "Name": "rec-002 / tmpl-policy-email / 2026-07-18T14:05:00-05:00",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false,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null,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"tmpl-policy-email",
    "TransmittedTemplateKey": "tmpl-policy-email",
    "ApprovalPrecededSend": false,
    "HasFrozenApprovalEvidence": false,
    "ProvenanceIsLiveDerived": true,
    "CurrentLastApprovalAt": "2026-07-17T11:00:00-05:00",
    "TemplateReapprovedSinceSend": false,
    "IsUnprovableApprovalClaim": false,
    "AcknowledgementIsOutstanding": true,
    "OutstandingAgeDays": 0,
    "IsUnchasedAcknowledgement": false,
    "InvokedExceptionCondition": null,
    "HasUnreachableExceptionInvoked": false,
    "PolicyRequiredOptOutPhrase": null,
    "OptOutPhrasePosition": null,
    "HasOptOutPhrase": false,
    "IsOptOutInFirstSegment": false,
    "HasSentReminder": false,
    "IsExhaustedFollowUp": false,
    "NeedsHumanEscalation": false
   },
   {
    "MessageDeliveryId": "md-003",
    "ProcedureExecution": "exec-policy-hr4821",
    "StepExecution": "se-policy04",
    "Recipient": "rec-003",
    "MessageTemplate": "tmpl-policy-sms",
    "SentByAgent": "notification-pipeline",
    "RenderedBody": "Policy HR-4821 update. Review the notice and acknowledge: https://example.com/hr4821 Reply STOP to opt out.",
    "SentAt": "2026-07-18T14:06:00-05:00",
    "SentAtLocalHour": 14,
    "DeliveryStatus": "Delivered",
    "SuppressionReason": "RETROACTIVE FINDING: transmitted to a recipient with no SMS consent. Should have been suppressed under exc-no-sms-consent and sent by approved email only. Retained as evidence; recipient re-consented on 2026-07-19 and a corrected email was sent.",
    "InvokedException": "exc-no-sms-consent",
    "AcknowledgedAt": null,
    "SemanticTypeIri": "urn:effortless:pko-extension#MessageDelivery",
    "EvaluationContext": "eval-current",
    "Name": "rec-003 / tmpl-policy-sms / 2026-07-18T14:06:00-05:00",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107,
    "PolicyMaxMessageLengthAtSend": 160,
    "SegmentCount": null,
    "PolicyMaxSegmentsAtSend": 3,
    "IsOverSegmentLimit": false,
    "TemplateHasValidApproval": true,
    "IsUnapprovedSend": false,
    "PolicyRequiredOptOutPhrase": "Reply STOP to opt out",
    "PolicyRequiresOptOut": true,
    "OptOutPhrasePosition": true,
    "HasOptOutPhrase": true,
    "IsOptOutInFirstSegment": true,
    "IsMissingRequiredOptOut": false,
    "IsOptOutAtRiskOfTruncation": false,
    "IsFailedDelivery": false,
    "IsSuppressed": false,
    "IsTriaged": true,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0,
    "IsUnchasedAcknowledgement": false,
    "HasSentReminder": false,
    "IsExhaustedFollowUp": false,
    "NeedsHumanEscalation": false
   },
   {
    "MessageDeliveryId": "md-004",
    "ProcedureExecution": "exec-policy-hr4821",
    "StepExecution": "se-policy04",
    "Recipient": "rec-004",
    "MessageTemplate": "tmpl-policy-sms",
    "SentByAgent": "notification-pipeline",
    "RenderedBody": "Policy HR-4821 update. Review the notice and acknowledge: https://example.com/hr4821 Reply STOP to opt out.",
    "SentAt": "2026-07-18T14:06:00-05:00",
    "SentAtLocalHour": 14,
    "DeliveryStatus": "Suppressed",
    "SuppressionReason": "Recipient consent revoked; suppressed per exc-no-sms-consent and sent approved email only.",
    "InvokedException": "exc-no-sms-consent",
    "AcknowledgedAt": null,
    "SemanticTypeIri": "urn:effortless:pko-extension#MessageDelivery",
    "EvaluationContext": "eval-current",
    "Name": "rec-004 / tmpl-policy-sms / 2026-07-18T14:06:00-05:00",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0,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null,
    "PolicyMaxSegmentsAtSend": 3,
    "IsOverSegmentLimit": false,
    "TemplateHasValidApproval": true,
    "IsUnapprovedSend": false,
    "PolicyRequiredOptOutPhrase": "Reply STOP to opt out",
    "PolicyRequiresOptOut": true,
    "OptOutPhrasePosition": true,
    "HasOptOutPhrase": true,
    "IsOptOutInFirstSegment": true,
    "IsMissingRequiredOptOut": false,
    "IsOptOutAtRiskOfTruncation": false,
    "IsFailedDelivery": false,
    "IsSuppressed": true,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"MessageDeliveryId": "md-005",
    "ProcedureExecution": "exec-policy-hr4821",
    "StepExecution": "se-policy04",
    "Recipient": "rec-001",
    "MessageTemplate": "tmpl-policy-sms",
    "SentByAgent": "notification-pipeline",
    "RenderedBody": "Policy HR-4821 update. Review the notice and acknowledge: https://example.com/hr4821",
    "SentAt": "2026-07-18T21:00:00-05:00",
    "SentAtLocalHour": 21,
    "DeliveryStatus": "Delivered",
    "SuppressionReason": "RETROACTIVE FINDING: transmitted at 21:00, inside the 20:00-08:00 quiet window defined by comm-sms-policy. Retained as evidence; the send window is now gated on CommunicationPolicies.QuietHoursStartHour before transmission.",
    "InvokedException": null,
    "AcknowledgedAt": null,
    "SemanticTypeIri": "urn:effortless:pko-extension#MessageDelivery",
    "EvaluationContext": "eval-current",
    "Name": "rec-001 / tmpl-policy-sms / 2026-07-18T21:00:00-05:00",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true,
    "IsQuietHoursViolation": true,
    "QuietHoursViolationPolicyKey": "comm-sms-policy",
    "RecipientIsUnreachable": false,
    "IsAcknowledged": false,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84,
    "PolicyMaxMessageLengthAtSend": 160,
    "SegmentCount": null,
    "PolicyMaxSegmentsAtSend": 3,
    "IsOverSegmentLimit": false,
    "TemplateHasValidApproval": true,
    "IsUnapprovedSend": false,
    "PolicyRequiredOptOutPhrase": "Reply STOP to opt out",
    "PolicyRequiresOptOut": true,
    "OptOutPhrasePosition": 0,
    "HasOptOutPhrase": false,
    "IsOptOutInFirstSegment": false,
    "IsMissingRequiredOptOut": true,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true,
    "WasDeliveredAndUnanswered": true,
    "IsPoorlyTimedUnanswered": true,
    "IsWellTimedUnanswered": false,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0,
    "IsUnchasedAcknowledgement": false,
    "InvokedExceptionCondition": null,
    "HasUnreachableExceptionInvoked": false,
    "HasSentReminder": false,
    "IsExhaustedFollowUp": false,
    "NeedsHumanEscalation": false
   },
   {
    "MessageDeliveryId": "md-006",
    "ProcedureExecution": "exec-policy-hr4821",
    "StepExecution": "se-policy04",
    "Recipient": "rec-005",
    "MessageTemplate": "tmpl-policy-sms",
    "SentByAgent": "notification-pipeline",
    "RenderedBody": "Policy HR-4821 update. Review the notice and acknowledge: https://example.com/hr4821 Reply STOP to opt out.",
    "SentAt": "2026-07-18T14:06:00-05:00",
    "SentAtLocalHour": 14,
    "DeliveryStatus": "Failed",
    "SuppressionReason": "No mobile number on file; HR case opened and routed to the manager per exc-unreachable. Acknowledgement deliberately not marked complete.",
    "InvokedException": "exc-unreachable",
    "AcknowledgedAt": null,
    "SemanticTypeIri": "urn:effortless:pko-extension#MessageDelivery",
    "EvaluationContext": "eval-current",
    "Name": "rec-005 / tmpl-policy-sms / 2026-07-18T14:06:00-05:00",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unreachable",
    "HasUnreachableExceptionInvoked": true,
    "IsFabricatedAcknowledgement": false,
    "IsUnhandledUnreachable": false,
    "UnreachableFailureKey": null,
    "PolicyRetentionDays": 2555,
    "AsOfInstant": "2026-07-19T13:00:00-05:00",
    "AgeDays": 0,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null,
    "PolicyMaxSegmentsAtSend": 3,
    "IsOverSegmentLimit": false,
    "TemplateHasValidApproval": true,
    "IsUnapprovedSend": false,
    "PolicyRequiredOptOutPhrase": "Reply STOP to opt out",
    "PolicyRequiresOptOut": true,
    "OptOutPhrasePosition": true,
    "HasOptOutPhrase": true,
    "IsOptOutInFirstSegment": true,
    "IsMissingRequiredOptOut": false,
    "IsOptOutAtRiskOfTruncation": false,
    "IsFailedDelivery": true,
    "IsSuppressed": false,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
 "TemplateApprovals": {
  "Description": "TemplateApprovals (added by witness loop 1).",
  "schema": [
   {
    "name": "TemplateApprovalId",
    "datatype": "string",
    "type": "raw",
    "nullable": false,
    "Description": "Stored logical identifier for one TemplateApprovals row."
   },
   {
    "name": "Name",
    "datatype": "string",
    "type": "calculated",
    "nullable": true,
    "Description": "Human-readable calculated display alias for the TemplateApprovals row.",
    "formula": "={{MessageTemplate}} &amp; \" / \" &amp; {{Decision}} &amp; \" / \" &amp; {{DecidedAt}}"
   },
   {
    "name": "MessageTemplate",
    "datatype": "string",
    "type": "relationship",
    "nullable": true,
    "Description": "Template this decision applies to.",
    "RelatedTo": "MessageTemplates"
   },
   {
    "name": "DecidedByAgent",
    "datatype": "string",
    "type": "relationship",
    "nullable": true,
    "Description": "Agent who made the approval decision.",
    "RelatedTo": "Agents"
   },
   {
    "name": "DecidedInRole",
    "datatype": "string",
    "type": "relationship",
    "nullable": true,
    "Description": "Role the agent was acting in when deciding.",
    "RelatedTo": "Roles"
   },
   {
    "name": "Decision",
    "datatype": "string",
    "type": "raw",
    "nullable": true,
    "Description": "Approved, Rejected, or Withdrawn."
   },
   {
    "name": "DecidedAt",
    "datatype": "datetime",
    "type": "raw",
    "nullable": true,
    "Description": "When the decision was recorded."
   },
   {
    "name": "ApprovedBodyHash",
    "datatype": "string",
    "type": "raw",
    "nullable": true,
    "Description": "Digest of the exact template body that was approved, so later edits are detectable."
   },
   {
    "name": "Notes",
    "datatype": "string",
    "type": "raw",
    "nullable": true,
    "Description": "Approver's rationale or conditions."
   },
   {
    "name": "IsApprovalDecision",
    "datatype": "boolean",
    "type": "calculated",
    "nullable": true,
    "Description": "TRUE when this decision row is an approval rather than a rejection or withdrawal.",
    "formula": "={{Decision}} = \"Approved\""
   },
   {
    "name": "TemplatePolicy",
    "datatype": "string",
    "type": "lookup",
    "nullable": true,
    "Description": "The communication policy governing the template being approved.",
    "formula": "=INDEX(MessageTemplates!{{CommunicationPolicy}}, MATCH({{MessageTemplate}}, MessageTemplates!{{MessageTemplateId}}, 0))"
   },
   {
    "name": "RequiredApprovalRole",
    "datatype": "string",
    "type": "lookup",
    "nullable": true,
    "Description": "The role the governing policy designates as approver -- communications-manager for both current policies.",
    "formula": "=INDEX(CommunicationPolicies!{{ApprovalRole}}, MATCH({{TemplatePolicy}}, CommunicationPolicies!{{CommunicationPolicyId}}, 0))"
   },
   {
    "name": "IsDecidedByRequiredRole",
    "datatype": "boolean",
    "type": "calculated",
    "nullable": true,
    "Description": "TRUE when the approving role matches the role the policy designates.",
    "formula": "={{DecidedInRole}} = {{RequiredApprovalRole}}"
   },
   {
    "name": "ValidApprovalTemplateKey",
    "datatype": "string",
    "type": "calculated",
    "nullable": true,
    "Description": "Carries the template id only on approvals made by the correct role; empty string otherwise.",
    "formula": "=IF(AND({{IsApprovalDecision}}, {{IsDecidedByRequiredRole}}), {{MessageTemplate}}, \"\")"
   },
   {
    "name": "SemanticTypeIri",
    "datatype": "string",
    "type": "raw",
    "nullable": true,
    "Description": "Extension IRI; template approval events are not a PKO 2.0.0 native class."
   }
  ],
  "data": [
   {
    "TemplateApprovalId": "tap-email-001",
    "MessageTemplate": "tmpl-policy-email",
    "DecidedByAgent": "amina-yusuf",
    "DecidedInRole": "communications-manager",
    "Decision": "Approved",
    "DecidedAt": "2026-07-17T11:00:00-05:00",
    "ApprovedBodyHash": "h-email-v1",
    "Notes": "Reviewed against comm-email-policy required content and retention.",
    "SemanticTypeIri": "urn:effortless:pko-extension#TemplateApproval",
    "Name": "tmpl-policy-email / Approved / 2026-07-17T11:00:00-05:00",
    "IsApprovalDecision": true,
    "TemplatePolicy": "comm-email-policy",
    "RequiredApprovalRole": "communications-manager",
    "IsDecidedByRequiredRole": true,
    "ValidApprovalTemplateKey": "tmpl-policy-email"
   },
   {
    "TemplateApprovalId": "tap-sms-001",
    "MessageTemplate": "tmpl-policy-sms",
    "DecidedByAgent": "amina-yusuf",
    "DecidedInRole": "communications-manager",
    "Decision": "Approved",
    "DecidedAt": "2026-07-19T10:00:00-05:00",
    "ApprovedBodyHash": "h-sms-v1",
    "Notes": "Approved against comm-sms-policy: 160-char limit, 3-segment cap, required STOP opt-out, 20:00-08:00 quiet window.",
    "SemanticTypeIri": "urn:effortless:pko-extension#TemplateApproval",
    "Name": "tmpl-policy-sms / Approved / 2026-07-19T10:00:00-05:00",
    "IsApprovalDecision": true,
    "TemplatePolicy": "comm-sms-policy",
    "RequiredApprovalRole": "communications-manager",
    "IsDecidedByRequiredRole": true,
    "ValidApprovalTemplateKey": "tmpl-policy-sms"
   }
  ]
 },
 "SendIntents": {
  "Description": "SendIntents (added by witness loop 1).",
  "schema": [
   {
    "name": "SendIntentId",
    "datatype": "string",
    "type": "raw",
    "nullable": false,
    "Description": "Stored logical identifier for one SendIntents row."
   },
   {
    "name": "Name",
    "datatype": "string",
    "type": "calculated",
    "nullable": true,
    "Description": "Human-readable calculated display alias for the SendIntents row.",
    "formula": "={{Recipient}} &amp; \" / \" &amp; {{MessageTemplate}} &amp; \" / intent\""
   },
   {
    "name": "ProcedureExecution",
    "datatype": "string",
    "type": "relationship",
    "nullable": true,
    "Description": "Execution this send intent belongs to.",
    "RelatedTo": "ProcedureExecutions"
   },
   {
    "name": "StepExecution",
    "datatype": "string",
    "type": "relationship",
    "nullable": true,
    "Description": "Step execution evaluating this intent.",
    "RelatedTo": "StepExecutions"
   },
   {
    "name": "Recipient",
    "datatype": "string",
    "type": "relationship",
    "nullable": true,
    "Description": "Intended recipient.",
    "RelatedTo": "Recipients"
   },
   {
    "name": "MessageTemplate",
    "datatype": "string",
    "type": "relationship",
    "nullable": true,
    "Description": "Template the pipeline intends to render and send.",
    "RelatedTo": "MessageTemplates"
   },
   {
    "name": "ProposedBody",
    "datatype": "string",
    "type": "raw",
    "nullable": true,
    "Description": "The fully rendered text the pipeline intends to transmit, before transmission."
   },
   {
    "name": "ProposedSendAtLocalHour",
    "datatype": "integer",
    "type": "raw",
    "nullable": true,
    "Description": "Hour 0-23 in the recipient's local timezone at which the pipeline intends to transmit."
   },
   {
    "name": "EvaluatedAt",
    "datatype": "datetime",
    "type": "raw",
    "nullable": true,
    "Description": "When the pipeline evaluated the gates for this intent."
   },
   {
    "name": "ResultingDelivery",
    "datatype": "string",
    "type": "relationship",
    "nullable": true,
    "Description": "The delivery record produced from this intent, whether transmitted or suppressed.",
    "RelatedTo": "MessageDeliveries"
   },
   {
    "name": "IntentPolicy",
    "datatype": "string",
    "type": "lookup",
    "nullable": true,
    "Description": "The communication policy governing the template this intent would send.",
    "formula": "=INDEX(MessageTemplates!{{CommunicationPolicy}}, MATCH({{MessageTemplate}}, MessageTemplates!{{MessageTemplateId}}, 0))"
   },
   {
    "name": "IntentChannel",
    "datatype": "string",
    "type": "lookup",
    "nullable": true,
    "Description": "Channel this intent would transmit on.",
    "formula": "=INDEX(CommunicationPolicies!{{Channel}}, MATCH({{IntentPolicy}}, CommunicationPolicies!{{CommunicationPolicyId}}, 0))"
   },
   {
    "name": "PolicyIsActive",
    "datatype": "boolean",
    "type": "lookup",
    "nullable": true,
    "Description": "Whether the governing policy is currently Active rather than Draft, Suspended, or Retired.",
    "formula": "=INDEX(CommunicationPolicies!{{IsActivePolicy}}, MATCH({{IntentPolicy}}, CommunicationPolicies!{{CommunicationPolicyId}}, 0))"
   },
   {
    "name": "IntentRequiresConsent",
    "datatype": "boolean",
    "type": "lookup",
    "nullable": true,
    "Description": "Whether the governing policy requires consent for this channel.",
    "formula": "=INDEX(CommunicationPolicies!{{ConsentRequired}}, MATCH({{IntentPolicy}}, CommunicationPolicies!{{CommunicationPolicyId}}, 0))"
   },
   {
    "name": "RecipientHasChannelConsent",
    "datatype": "boolean",
    "type": "lookup",
    "nullable": true,
    "Description": "Whether the intended recipient has active SMS consent on record.",
    "formula": "=INDEX(Recipients!{{HasSmsConsent}}, MATCH({{Recipient}}, Recipients!{{RecipientId}}, 0))"
   },
   {
    "name": "ConsentGatePassed",
    "datatype": "boolean",
    "type": "calculated",
    "nullable": true,
    "Description": "TRUE when either the channel does not require consent, or the recipient has granted it.",
    "formula": "=OR(NOT({{IntentRequiresConsent}}), {{RecipientHasChannelConsent}})"
   },
   {
    "name": "RecipientIsSmsReachable",
    "datatype": "boolean",
    "type": "lookup",
    "nullable": true,
    "Description": "Whether a mobile number is on file for the intended recipient.",
    "formula": "=INDEX(Recipients!{{IsSmsReachable}}, MATCH({{Recipient}}, Recipients!{{RecipientId}}, 0))"
   },
   {
    "name": "RecipientIsEmailReachable",
    "datatype": "boolean",
    "type": "lookup",
    "nullable": true,
    "Description": "Whether an email address is on file for the intended recipient.",
    "formula": "=INDEX(Recipients!{{IsEmailReachable}}, MATCH({{Recipient}}, Recipients!{{RecipientId}}, 0))"
   },
   {
    "name": "ReachabilityGatePassed",
    "datatype": "boolean",
    "type": "calculated",
    "nullable": true,
    "Description": "TRUE when the recipient is reachable on the channel this intent would use.",
    "formula": "=IF({{IntentChannel}} = \"SMS\", {{RecipientIsSmsReachable}}, {{RecipientIsEmailReachable}})"
   },
   {
    "name": "PermissionGatePassed",
    "datatype": "boolean",
    "type": "calculated",
    "nullable": true,
    "Description": "TRUE when the policy is active, consent is satisfied, and the recipient is reachable on this channel. The channel-permission gate.",
    "formula": "=AND({{PolicyIsActive}}, AND({{ConsentGatePassed}}, {{ReachabilityGatePassed}}))"
   },
   {
    "name": "IntentQuietStartH</t>
  </si>
  <si>
    <t xml:space="preserve">our",
    "datatype": "integer",
    "type": "lookup",
    "nullable": true,
    "Description": "Quiet-hours start hour from the governing policy.",
    "formula": "=INDEX(CommunicationPolicies!{{QuietHoursStartHour}}, MATCH({{IntentPolicy}}, CommunicationPolicies!{{CommunicationPolicyId}}, 0))"
   },
   {
    "name": "IntentQuietEndHour",
    "datatype": "integer",
    "type": "lookup",
    "nullable": true,
    "Description": "Quiet-hours end hour from the governing policy.",
    "formula": "=INDEX(CommunicationPolicies!{{QuietHoursEndHour}}, MATCH({{IntentPolicy}}, CommunicationPolicies!{{CommunicationPolicyId}}, 0))"
   },
   {
    "name": "IntentPolicyHasQuietHours",
    "datatype": "boolean",
    "type": "calculated",
    "nullable": true,
    "Description": "TRUE when the governing policy declares a real quiet-hours window.",
    "formula": "={{IntentQuietStartHour}} &lt;&gt; {{IntentQuietEndHour}}"
   },
   {
    "name": "IntentQuietWindowWraps",
    "datatype": "boolean",
    "type": "calculated",
    "nullable": true,
    "Description": "TRUE when the quiet window crosses midnight.",
    "formula": "={{IntentQuietStartHour}} &gt; {{IntentQuietEndHour}}"
   },
   {
    "name": "IntentIsInsideQuietWindow",
    "datatype": "boolean",
    "type": "calculated",
    "nullable": true,
    "Description": "TRUE when the proposed recipient-local send hour falls inside the forbidden window.",
    "formula": "=IF({{IntentQuietWindowWraps}}, OR({{ProposedSendAtLocalHour}} &gt;= {{IntentQuietStartHour}}, {{ProposedSendAtLocalHour}} &lt; {{IntentQuietEndHour}}), AND({{ProposedSendAtLocalHour}} &gt;= {{IntentQuietStartHour}}, {{ProposedSendAtLocalHour}} &lt; {{IntentQuietEndHour}}))"
   },
   {
    "name": "TimingGatePassed",
    "datatype": "boolean",
    "type": "calculated",
    "nullable": true,
    "Description": "TRUE when transmitting now is permitted on timing grounds. The timing gate.",
    "formula": "=OR(NOT({{IntentPolicyHasQuietHours}}), NOT({{IntentIsInsideQuietWindow}}))"
   },
   {
    "name": "HoursUntilWindowOpens",
    "datatype": "integer",
    "type": "calculated",
    "nullable": true,
    "Description": "How many hours the pipeline must defer before transmission becomes permitted; 0 when already permitted.",
    "formula": "=IF({{TimingGatePassed}}, 0, IF({{ProposedSendAtLocalHour}} &lt; {{IntentQuietEndHour}}, {{IntentQuietEndHour}} - {{ProposedSendAtLocalHour}}, 24 - {{ProposedSendAtLocalHour}} + {{IntentQuietEndHour}}))"
   },
   {
    "name": "IntentMaxMessageLength",
    "datatype": "integer",
    "type": "lookup",
    "nullable": true,
    "Description": "Per-segment character limit from the governing policy.",
    "formula": "=INDEX(CommunicationPolicies!{{MaxMessageLength}}, MATCH({{IntentPolicy}}, CommunicationPolicies!{{CommunicationPolicyId}}, 0))"
   },
   {
    "name": "IntentMaxSegments",
    "datatype": "integer",
    "type": "lookup",
    "nullable": true,
    "Description": "Segment ceiling from the governing policy.",
    "formula": "=INDEX(CommunicationPolicies!{{MaxSegments}}, MATCH({{IntentPolicy}}, CommunicationPolicies!{{CommunicationPolicyId}}, 0))"
   },
   {
    "name": "ProposedBodyLength",
    "datatype": "integer",
    "type": "raw",
    "nullable": true,
    "Description": "Character count of ProposedBody, written by the pipeline at render time."
   },
   {
    "name": "ProposedSegmentCount",
    "datatype": "integer",
    "type": "raw",
    "nullable": true,
    "Description": "Number of channel segments ProposedBody will occupy, computed by the pipeline at render time."
   },
   {
    "name": "LengthGatePassed",
    "datatype": "boolean",
    "type": "calculated",
    "nullable": true,
    "Description": "TRUE when the proposed text is non-empty and fits within the segment ceiling.",
    "formula": "=AND({{ProposedBodyLength}} &gt; 0, {{ProposedSegmentCount}} &lt;= {{IntentMaxSegments}})"
   },
   {
    "name": "IntentRequiredOptOutPhrase",
    "datatype": "string",
    "type": "lookup",
    "nullable": true,
    "Description": "Opt-out phrase the governing policy requires in every message on this channel.",
    "formula": "=INDEX(CommunicationPolicies!{{RequiredOptOutPhrase}}, MATCH({{IntentPolicy}}, CommunicationPolicies!{{CommunicationPolicyId}}, 0))"
   },
   {
    "name": "ProposedOptOutPosition",
    "datatype": "integer",
    "type": "raw",
    "nullable": true,
    "Description": "Character position of the required opt-out phrase within ProposedBody; 0 when absent. Written by the pipeline at render time."
   },
   {
    "name": "OptOutGatePassed",
    "datatype": "boolean",
    "type": "calculated",
    "nullable": true,
    "Description": "TRUE when no opt-out is required, or the required phrase is present within the first segment.",
    "formula": "=OR({{IntentRequiredOptOutPhrase}} = \"\", AND({{ProposedOptOutPosition}} &gt; 0, {{ProposedOptOutPosition}} &lt;= {{IntentMaxMessageLength}}))"
   },
   {
    "name": "ContentGatePassed",
    "datatype": "boolean",
    "type": "calculated",
    "nullable": true,
    "Description": "TRUE when the proposed text satisfies every content rule of the governing channel policy.",
    "formula": "=AND({{LengthGatePassed}}, {{OptOutGatePassed}})"
   },
   {
    "name": "TemplateIsSendable",
    "datatype": "boolean",
    "type": "lookup",
    "nullable": true,
    "Description": "Whether the template carries a current, properly-authorized, non-drifted approval.",
    "formula": "=INDEX(MessageTemplates!{{IsSendableUnderApproval}}, MATCH({{MessageTemplate}}, MessageTemplates!{{MessageTemplateId}}, 0))"
   },
   {
    "name": "ExecutionHasLegalClearance",
    "datatype": "boolean",
    "type": "lookup",
    "nullable": true,
    "Description": "Whether legal review has passed for the execution this intent belongs to.",
    "formula": "=INDEX(ProcedureExecutions!{{HasClearedLegalReview}}, MATCH({{ProcedureExecution}}, ProcedureExecutions!{{ProcedureExecutionId}}, 0))"
   },
   {
    "name": "IntentApprovalRole",
    "datatype": "string",
    "type": "lookup",
    "nullable": true,
    "Description": "The role the governing policy designates as the approving authority.",
    "formula": "=INDEX(CommunicationPolicies!{{ApprovalRole}}, MATCH({{IntentPolicy}}, CommunicationPolicies!{{CommunicationPolicyId}}, 0))"
   },
   {
    "name": "ApprovalRoleAgentKind",
    "datatype": "string",
    "type": "lookup",
    "nullable": true,
    "Description": "Whether the agent currently filling the designated approval role is Human, AIAgent, or AutomatedPipeline.",
    "formula": "=INDEX(Roles!{{CurrentAgentKind}}, MATCH({{IntentApprovalRole}}, Roles!{{RoleId}}, 0))"
   },
   {
    "name": "ApprovalIsHuman",
    "datatype": "boolean",
    "type": "calculated",
    "nullable": true,
    "Description": "TRUE when the designated approval role is currently held by a human agent.",
    "formula": "={{ApprovalRoleAgentKind}} = \"Human\""
   },
   {
    "name": "AuthorizationGatePassed",
    "datatype": "boolean",
    "type": "calculated",
    "nullable": true,
    "Description": "TRUE only when the template is validly approved, legal review has cleared, and the approving role is held by a human. The authorization gate.",
    "formula": "=AND({{TemplateIsSendable}}, AND({{ExecutionHasLegalClearance}}, {{ApprovalIsHuman}}))"
   },
   {
    "name": "IsClearedToSend",
    "datatype": "boolean",
    "type": "calculated",
    "nullable": true,
    "Description": "TRUE only when all four gates pass. THE single column the pipeline reads before transmitting.",
    "formula": "=AND({{PermissionGatePassed}}, AND({{TimingGatePassed}}, AND({{ContentGatePassed}}, {{AuthorizationGatePassed}})))"
   },
   {
    "name": "BlockingGateName",
    "datatype": "string",
    "type": "calculated",
    "nullable": true,
    "Description": "Names the first gate that refused, for the suppression reason; empty string when cleared.",
    "formula": "=IF({{IsClearedToSend}}, \"\", IF(NOT({{PermissionGatePassed}}), \"Permission\", IF(NOT({{TimingGatePassed}}), \"Timing\", IF(NOT({{ContentGatePassed}}), \"Content\", \"Authorization\"))))"
   },
   {
    "name": "HasResultingDelivery",
    "datatype": "boolean",
    "type": "calculated",
    "nullable": true,
    "Description": "TRUE when this intent produced a delivery record of any status.",
    "formula": "={{ResultingDelivery}} &lt;&gt; \"\""
   },
   {
    "name": "ResultingDeliveryWasTransmitted",
    "datatype": "boolean",
    "type": "lookup",
    "nullable": true,
    "Description": "Whether the delivery produced from this intent actually left our systems.",
    "formula": "=INDEX(MessageDeliveries!{{WasActuallyTransmitted}}, MATCH({{ResultingDelivery}}, MessageDeliveries!{{MessageDeliveryId}}, 0))"
   },
   {
    "name": "IsOverriddenRefusal",
    "datatype": "boolean",
    "type": "calculated",
    "nullable": true,
    "Description": "TRUE when a gate refused and the message was transmitted regardless. The override witness.",
    "formula": "=AND(NOT({{IsClearedToSend}}), AND({{HasResultingDelivery}}, {{ResultingDeliveryWasTransmitted}}))"
   },
   {
    "name": "IsSilentlyDropped",
    "datatype": "boolean",
    "type": "calculated",
    "nullable": true,
    "Description": "TRUE when a gate refused and no delivery record of any kind was produced -- the recipient vanished from the run.",
    "formula": "=AND(NOT({{IsClearedToSend}}), NOT({{HasResultingDelivery}}))"
   },
   {
    "name": "ResultingDeliveryException",
    "datatype": "string",
    "type": "lookup",
    "nullable": true,
    "Description": "The documented exception invoked on the delivery produced from this intent, if any.",
    "formula": "=INDEX(MessageDeliveries!{{InvokedException}}, MATCH({{ResultingDelivery}}, MessageDeliveries!{{MessageDeliveryId}}, 0))"
   },
   {
    "name": "RefusalCitedAnException",
    "datatype": "boolean",
    "type": "calculated",
    "nullable": true,
    "Description": "TRUE when the suppression produced by this refusal cited a documented exception.",
    "formula": "={{ResultingDeliveryException}} &lt;&gt; \"\""
   },
   {
    "name": "IsProperlyHandledRefusal",
    "datatype": "boolean",
    "type": "calculated",
    "nullable": true,
    "Description": "TRUE when a refusal correctly resulted in a non-transmitted delivery record citing a documented exception. The positive witness.",
    "formula": "=AND(NOT({{IsClearedToSend}}), AND({{HasResultingDelivery}}, AND(NOT({{ResultingDeliveryWasTransmitted}}), {{RefusalCitedAnException}})))"
   },
   {
    "name": "RefusalFailureExecutionKey",
    "datatype": "string",
    "type": "calculated",
    "nullable": true,
    "Description": "Carries the execution id on any mishandled refusal; empty string otherwise.",
    "formula": "=IF(OR({{IsOverriddenRefusal}}, {{IsSilentlyDropped}}), {{ProcedureExecution}}, \"\")"
   },
   {
    "name": "IntentExecutionKey",
    "datatype": "string",
    "type": "calculated",
    "nullable": true,
    "Description": "The procedure execution id for every intent, used as the campaign rollup key.",
    "formula": "={{ProcedureExecution}}"
   },
   {
    "name": "DeliveredIntentExecutionKey",
    "datatype": "string",
    "type": "calculated",
    "nullable": true,
    "Description": "The execution id when this intent actually reached a person, otherwise empty string.",
    "formula": "=IF(AND({{HasResultingDelivery}}, {{ResultingDeliveryWasTransmitted}}), {{ProcedureExecution}}, \"\")"
   },
   {
    "name": "DroppedIntentExecutionKey",
    "datatype": "string",
    "type": "calculated",
    "nullable": true,
    "Description": "The execution id when this intent was refused and left no record at all.",
    "formula": "=IF({{IsSilentlyDropped}}, {{ProcedureExecution}}, \"\")"
   },
   {
    "name": "MyApprovalWasInForce",
    "datatype": "boolean",
    "type": "calculated",
    "nullable": true,
    "Description": "TRUE when the template carried a valid approval at the moment this intent was evaluated.",
    "formula": "={{TemplateIsSendable}}"
   },
   {
    "name": "RefusedOnApprovedContent",
    "datatype": "boolean",
    "type": "calculated",
    "nullable": true,
    "Description": "TRUE when the pipeline refused an intent on content grounds even though the template was approved.",
    "formula": "=AND({{MyApprovalWasInForce}}, NOT({{ContentGatePassed}}))"
   },
   {
    "name": "RefusedOnOptOutOnly",
    "datatype": "boolean",
    "type": "calculated",
    "nullable": true,
    "Description": "TRUE when the only content failure was a missing or mispositioned opt-out phrase.",
    "formula": "=AND(NOT({{OptOutGatePassed}}), {{LengthGatePassed}})"
   },
   {
    "name": "RefusalWasOnMyRules",
    "datatype": "boolean",
    "type": "calculated",
    "nullable": true,
    "Description": "TRUE when the refusal came from a communications rule I own -- content, length, opt-out, quiet hours.",
    "formula": "=AND(NOT({{IsClearedToSend}}), OR(NOT({{ContentGatePassed}}), NOT({{TimingGatePassed}})))"
   },
   {
    "name": "RefusalWasOutsideMyControl",
    "datatype": "boolean",
    "type": "calculated",
    "nullable": true,
    "Description": "TRUE when the refusal came from consent, reachability, or authorization -- none of which I can fix by editing a template.",
    "formula": "=AND(NOT({{IsClearedToSend}}), OR(NOT({{PermissionGatePassed}}), NOT({{AuthorizationGatePassed}})))"
   },
   {
    "name": "ApproverWasNotified",
    "datatype": "boolean",
    "type": "raw",
    "nullable": true,
    "Description": "Whether the approving human was informed that this intent was refused."
   },
   {
    "name": "IsUnreportedRefusalOnMyRules",
    "datatype": "boolean",
    "type": "calculated",
    "nullable": true,
    "Description": "TRUE when a refusal I own and could have fixed was never surfaced to me.",
    "formula": "=AND({{RefusalWasOnMyRules}}, NOT({{ApproverWasNotified}}))"
   },
   {
    "name": "IsApprovalOverriddenSilently",
    "datatype": "boolean",
    "type": "calculated",
    "nullable": true,
    "Description": "TRUE when the pipeline overrode a valid human approval on content grounds and told nobody.",
    "formula": "=AND({{RefusedOnApprovedContent}}, NOT({{ApproverWasNotified}}))"
   },
   {
    "name": "AlternateChannelIntent",
    "datatype": "string",
    "type": "raw",
    "nullable": true,
    "Description": "The follow-up intent raised on a different channel after this one was refused. Stored as a raw identifier rather than an FK: SendIntents pointing at SendIntents would make the table self-referential in a way the DAG contract does not allow here."
   },
   {
    "name": "HasAlternateChannelAttempt",
    "datatype": "boolean",
    "type": "calculated",
    "nullable": true,
    "Description": "TRUE when a follow-up intent on another channel was raised for this refused send.",
    "formula": "={{AlternateChannelIntent}} &lt;&gt; \"\""
   },
   {
    "name": "AlternateAttemptWasCleared",
    "datatype": "boolean",
    "type": "lookup",
    "nullable": true,
    "Description": "Whether the follow-up intent itself passed all gates.",
    "formula": "=INDEX(SendIntents!{{IsClearedToSend}}, MATCH({{AlternateChannelIntent}}, SendIntents!{{SendIntentId}}, 0))"
   },
   {
    "name": "IsRefusedWithNoAlternative",
    "datatype": "boolean",
    "type": "calculated",
    "nullable": true,
    "Description": "TRUE when a send was refused and no attempt was ever made on any other channel.",
    "formula": "=AND(NOT({{IsClearedToSend}}), NOT({{HasAlternateChannelAttempt}}))"
   },
   {
    "name": "ExceptionPrescribedAnAlternative",
    "datatype": "boolean",
    "type": "calculated",
    "nullable": true,
    "Description": "TRUE when the documented exception for this refusal prescribes a different-channel send as the correct handling.",
    "formula": "=AND({{RefusalCitedAnException}}, {{ResultingDeliveryException}} &lt;&gt; \"\")"
   },
   {
    "name": "PrescribedHandlingWasPerformed",
    "datatype": "boolean",
    "type": "calculated",
    "nullable": true,
    "Description": "TRUE when the exception prescribed an alternate channel and an alternate intent was actually raised and cleared.",
    "formula": "=AND({{ExceptionPrescribedAnAlternative}}, AND({{HasAlternateChannelAttempt}}, {{AlternateAttemptWasCleared}}))"
   },
   {
    "name": "IsSuppressionWithoutRemedy",
    "datatype": "boolean",
    "type": "calculated",
    "nullable": true,
    "Description": "TRUE when we cited an exception that prescribed an alternate channel and then never performed it.",
    "formula": "=AND({{ExceptionPrescribedAnAlternative}}, NOT({{PrescribedHandlingWasPerformed}}))"
   },
   {
    "name": "RefusalRecordedAt",
    "datatype": "datetime",
    "type": "raw",
    "nullable": true,
    "Description": "When this refusal was written to a durable record. Empty when no record was ever emitted."
   },
   {
    "name": "RefusalNotifiedRole",
    "datatype": "string",
    "type": "relationship",
    "nullable": true,
    "Description": "The role informed that this send was refused.",
    "RelatedTo": "Roles"
   },
   {
    "name": "HasDurableRefusalRecord",
    "datatype": "boolean",
    "type": "calculated",
    "nullable": true,
    "Description": "TRUE when this refusal was written down somewhere a human can find it.",
    "formula": "={{RefusalRecordedAt}} &lt;&gt; \"\""
   },
   {
    "name": "RefusalWasEscalated",
    "datatype": "boolean",
    "type": "calculated",
    "nullable": true,
    "Description": "TRUE when a specific role was notified of this refusal.",
    "formula": "={{RefusalNotifiedRole}} &lt;&gt; \"\""
   },
   {
    "name": "IsUnrecordedRefusal",
    "datatype": "boolean",
    "type": "calculated",
    "nullable": true,
    "Description": "TRUE when I refused a send and produced no delivery record, no refusal record, and no exception. The refusal left no trace of any kind.",
    "formula": "=AND({{IsSilentlyDropped}}, AND(NOT({{HasDurableRefusalRecord}}), NOT({{RefusalCitedAnException}})))"
   },
   {
    "name": "IsUnescalatedRefusal",
    "datatype": "boolean",
    "type": "calculated",
    "nullable": true,
    "Description": "TRUE when a refusal was recorded but no human role was ever told.",
    "formula": "=AND(NOT({{IsClearedToSend}}), NOT({{RefusalWasEscalated}}))"
   },
   {
    "name": "UnescalatedRefusalRoleKey",
    "datatype": "string",
    "type": "calculated",
    "nullable": true,
    "Description": "Echoes the role that should have been told about this refusal, but only when the refusal went unrecorded. Empty otherwise.",
    "formula": "=IF({{IsUnrecordedRefusal}}, {{RefusalNotifiedRole}}, \"\")"
   },
   {
    "name": "UnrecordedRefusalExecutionKey",
    "datatype": "string",
    "type": "calculated",
    "nullable": true,
    "Description": "Echoes the parent procedure execution only for refusals nobody recorded; empty otherwise.",
    "formula": "=IF({{IsUnrecordedRefusal}}, {{ProcedureExecution}}, \"\")"
   },
   {
    "name": "RetryIntent",
    "datatype": "string",
    "type": "raw",
    "nullable": true,
    "Description": "The intent I raised when the quiet window reopened for this deferred send. Raw identifier rather than an FK: a SendIntents self-reference is not expressible as a relationship without making the table depend on itself."
   },
   {
    "name": "WasDeferredOnTiming",
    "datatype": "boolean",
    "type": "calculated",
    "nullable": true,
    "Description": "TRUE when the timing gate is the reason this intent did not clear, and every other gate passed.",
    "formula": "=AND(NOT({{TimingGatePassed}}), AND({{PermissionGatePassed}}, {{ContentGatePassed}}))"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"WindowHasSinceReopened",
    "datatype": "boolean",
    "type": "calculated",
    "nullable": true,
    "Description": "TRUE when enough time has passed since evaluation that the quiet window this intent hit must have closed.",
    "formula": "=AND({{HoursUntilWindowOpens}} &gt; 0, DATETIME_DIFF({{AsOfInstant}}, {{EvaluatedAt}}, \"hours\") &gt; {{HoursUntilWindowOpens}})"
   },
   {
    "name": "HasRetryAttempt",
    "datatype": "boolean",
    "type": "calculated",
    "nullable": true,
    "Description": "TRUE when a retry intent was raised for this deferred send.",
    "formula": "={{RetryIntent}} &lt;&gt; \"\""
   },
   {
    "name": "RetryWasCleared",
    "datatype": "boolean",
    "type": "lookup",
    "nullable": true,
    "Description": "Whether the retry intent itself passed all gates.",
    "formula": "=INDEX(SendIntents!{{IsClearedToSend}}, MATCH({{RetryIntent}}, SendIntents!{{SendIntentId}}, 0))"
   },
   {
    "name": "IsAbandonedDeferral",
    "datatype": "boolean",
    "type": "calculated",
    "nullable": true,
    "Description": "TRUE when a send was deferred for timing, the window has since reopened, and no retry was ever raised. A deferral silently converted into a cancellation.",
    "formula": "=AND({{WasDeferredOnTiming}}, AND({{WindowHasSinceReopened}}, NOT({{HasRetryAttempt}})))"
   },
   {
    "name": "DeferralAgeHours",
    "datatype": "integer",
    "type": "calculated",
    "nullable": true,
    "Description": "How long this deferred intent has been sitting since evaluation.",
    "formula": "=DATETIME_DIFF({{AsOfInstant}}, {{EvaluatedAt}}, \"hours\")"
   },
   {
    "name": "IsStaleDeferral",
    "datatype": "boolean",
    "type": "calculated",
    "nullable": true,
    "Description": "TRUE when a deferred send has been waiting more than 24 hours -- longer than any quiet window can justify.",
    "formula": "=AND({{WasDeferredOnTiming}}, {{DeferralAgeHours}} &gt; 24)"
   },
   {
    "name": "EvaluatingRoleAssignment",
    "datatype": "string",
    "type": "raw",
    "nullable": true,
    "Description": "The RoleAssignments id under which the pipeline evaluated this send intent. Raw rather than an FK because SendIntents already sits downstream of the execution graph and an added edge to RoleAssignments is not needed to resolve it."
   },
   {
    "name": "EnforcedByUnauthorizedAgent",
    "datatype": "boolean",
    "type": "lookup",
    "nullable": true,
    "Description": "Whether the gate decision on this intent was made by an agent holding an unauthorized enforcement assignment.",
    "formula": "=INDEX(RoleAssignments!{{IsUnauthorizedEnforcementAgent}}, MATCH({{EvaluatingRoleAssignment}}, RoleAssignments!{{RoleAssignmentId}}, 0))"
   },
   {
    "name": "ConsentInputWasResolvable",
    "datatype": "boolean",
    "type": "calculated",
    "nullable": true,
    "Description": "TRUE when the recipient's consent state was actually retrievable, as opposed to absent and read as a refusal.",
    "formula": "={{RecipientConsentStatusRaw}} &lt;&gt; \"\""
   },
   {
    "name": "RecipientConsentStatusRaw",
    "datatype": "string",
    "type": "lookup",
    "nullable": true,
    "Description": "The recipient's consent status as a string: Granted, Revoked, NeverGiven, or empty if no consent record exists at all.",
    "formula": "=INDEX(Recipients!{{SmsConsentStatus}}, MATCH({{Recipient}}, Recipients!{{RecipientId}}, 0))"
   },
   {
    "name": "PolicyInputWasResolvable",
    "datatype": "boolean",
    "type": "calculated",
    "nullable": true,
    "Description": "TRUE when a governing communication policy was actually found for this intent.",
    "formula": "={{IntentPolicy}} &lt;&gt; \"\""
   },
   {
    "name": "AllGateInputsResolved",
    "datatype": "boolean",
    "type": "calculated",
    "nullable": true,
    "Description": "TRUE when every input my gates depend on was actually retrievable.",
    "formula": "=AND({{ConsentInputWasResolvable}}, {{PolicyInputWasResolvable}})"
   },
   {
    "name": "IsUnevaluableRefusal",
    "datatype": "boolean",
    "type": "calculated",
    "nullable": true,
    "Description": "TRUE when I refused a send but at least one gate input could not be resolved -- so I do not actually know whether the rule was violated or merely unreadable.",
    "formula": "=AND(NOT({{IsClearedToSend}}), NOT({{AllGateInputsResolved}}))"
   },
   {
    "name": "GateResultWasIndependentlyConfirmed",
    "datatype": "boolean",
    "type": "raw",
    "nullable": true,
    "Description": "Whether any agent other than me verified this gate outcome."
   },
   {
    "name": "IsSelfWitnessedDecision",
    "datatype": "boolean",
    "type": "calculated",
    "nullable": true,
    "Description": "TRUE when the entire decision to send or refuse rests solely on my own computation, unconfirmed by anything else.",
    "formula": "=NOT({{GateResultWasIndependentlyConfirmed}})"
   },
   {
    "name": "IsIndependentlyConfirmed",
    "datatype": "boolean",
    "type": "calculated",
    "nullable": true,
    "Description": "TRUE when this intent's decision was corroborated by an actual delivery record rather than resting solely on the pipeline's own say-so.",
    "formula": "=AND({{HasResultingDelivery}}, {{ResultingDeliveryWasTransmitted}})"
   },
   {
    "name": "IndependentlyConfirmedExecutionKey",
    "datatype": "string",
    "type": "calculated",
    "nullable": true,
    "Description": "Echoes the parent execution only for independently confirmed intents; empty otherwise.",
    "formula": "=IF({{IsIndependentlyConfirmed}}, {{ProcedureExecution}}, \"\")"
   },
   {
    "name": "SemanticTypeIri",
    "datatype": "string",
    "type": "raw",
    "nullable": true,
    "Description": "Extension IRI; pre-send intents are not a PKO 2.0.0 native class."
   }
  ],
  "data": [
   {
    "SendIntentId": "si-001",
    "ProcedureExecution": "exec-policy-hr4821",
    "StepExecution": "se-policy04",
    "Recipient": "rec-001",
    "MessageTemplate": "tmpl-policy-sms",
    "ProposedBody": "Policy HR-4821 update. Review and acknowledge: https://example.com/hr4821 Reply STOP to opt out",
    "ProposedSendAtLocalHour": 14,
    "EvaluatedAt": "2026-07-18T14:04:00-05:00",
    "ResultingDelivery": "md-001",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22,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"ResultingDeliveryException": null,
    "AlternateAttemptWasCleared": false,
    "RetryWasCleared": false
   },
   {
    "SendIntentId": "si-002",
    "ProcedureExecution": "exec-policy-hr4821",
    "StepExecution": "se-policy04",
    "Recipient": "rec-003",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"rec-003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false,
    "IsOverriddenRefusal": false,
    "IsSilentlyDropped": false,
    "RefusalCitedAnException": false,
    "IsProperlyHandledRefusal": false,
    "RefusalFailureExecutionKey": null,
    "IntentExecutionKey": "exec-policy-hr4821",
    "DeliveredIntentExecutionKey": null,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22,
    "IsStaleDeferral": false,
    "EnforcedByUnauthorizedAgent": false,
    "ConsentInputWasResolvable": true,
    "RecipientConsentStatusRa</t>
  </si>
  <si>
    <t xml:space="preserve">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"RetryWasCleared": false
   },
   {
    "SendIntentId": "si-003",
    "ProcedureExecution": "exec-policy-hr4821",
    "StepExecution": "se-policy04",
    "Recipient": "rec-001",
    "MessageTemplate": "tmpl-policy-sms",
    "ProposedBody": "Policy HR-4821 update. Review and acknowledge: https://example.com/hr4821 Reply STOP to opt out",
    "ProposedSendAtLocalHour": 21,
    "EvaluatedAt": "2026-07-18T14:04:00-05:00",
    "ResultingDelivery": null,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true,
    "TimingGatePassed": false,
    "HoursUntilWindowOpens": 11,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"Timing",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true,
    "RefusalWasOutsideMyControl": false,
    "IsUnreportedRefusalOnMyRules": true,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true,
    "AsOfInstant": "2026-07-19T13:00:00-05:00",
    "WindowHasSinceReopened": true,
    "HasRetryAttempt": false,
    "IsAbandonedDeferral": true,
    "DeferralAgeHours": 22,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"si-004",
    "ProcedureExecution": "exec-policy-hr4821",
    "StepExecution": "se-policy04",
    "Recipient": "rec-002",
    "MessageTemplate": "tmpl-policy-sms",
    "ProposedBody": "Policy HR-4821 update. This notice explains the revised remote-work expectations, the effective date, the acknowledgement deadline, and who to contact with questions about how the change affects your specific arrangement. Reply STOP to opt out",
    "ProposedSendAtLocalHour": 14,
    "EvaluatedAt": "2026-07-18T14:04:00-05:00",
    "ResultingDelivery": null,
    "ProposedBodyLength": 243,
    "ProposedSegmentCount": 2,
    "ProposedOptOutPosition": 223,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22,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"si-005",
    "ProcedureExecution": "exec-policy-hr4821",
    "StepExecution": "se-policy04",
    "Recipient": "rec-002",
    "MessageTemplate": "tmpl-policy-sms",
    "ProposedBody": "Policy HR-4821 update. Review and acknowledge: https://example.com/hr4821",
    "ProposedSendAtLocalHour": 14,
    "EvaluatedAt": "2026-07-18T14:04:00-05:00",
    "ResultingDelivery": null,
    "ProposedBodyLength": 73,
    "ProposedSegmentCount": 1,
    "ProposedOptOutPosition": 0,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22,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"si-006",
    "ProcedureExecution": "exec-policy-hr4821",
    "StepExecution": "se-policy04",
    "Recipient": "rec-005",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"rec-005 / tmpl-policy-sms / intent",
    "IntentPolicy": "comm-sms-policy",
    "IntentChannel": "SMS",
    "PolicyIsActive": true,
    "IntentRequiresConsent": true,
    "RecipientHasChannelConsent": false,
    "ConsentGatePassed": false,
    "RecipientIsSmsReachable": false,
    "RecipientIsEmailReachable": true,
    "ReachabilityGatePassed": false,
    "PermissionGatePassed": false,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"Permission",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false,
    "RefusalWasOutsideMyControl": true,
    "IsUnreportedRefusalOnMyRules": false,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22,
    "IsStaleDeferral": false,
    "EnforcedByUnauthorizedAgent": false,
    "ConsentInputWasResolvable": true,
    "RecipientConsentStatusRaw": "NeverGranted",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"si-007",
    "ProcedureExecution": "exec-policy-hr4821",
    "StepExecution": "se-policy04",
    "Recipient": "rec-001",
    "MessageTemplate": "tmpl-policy-email",
    "ProposedBody": "Policy HR-4821 update. Review and acknowledge: https://example.com/hr4821 Reply STOP to opt out",
    "ProposedSendAtLocalHour": 14,
    "EvaluatedAt": "2026-07-18T14:04:00-05:00",
    "ResultingDelivery": "md-001",
    "ProposedBodyLength": 95,
    "ProposedSegmentCount": 1,
    "ProposedOptOutPosition": 0,
    "SemanticTypeIri": "urn:effortless:pko-extension#SendIntent",
    "EvaluationContext": "eval-current",
    "Name": "rec-001 / tmpl-policy-email / intent",
    "IntentPolicy": "comm-email-policy",
    "IntentChannel": "Email",
    "PolicyIsActive": true,
    "IntentRequiresConsent": false,
    "RecipientHasChannelConsent": true,
    "ConsentGatePassed": true,
    "RecipientIsSmsReachable": true,
    "RecipientIsEmailReachable": true,
    "ReachabilityGatePassed": true,
    "PermissionGatePassed": true,
    "IntentQuietStartHour": 0,
    "IntentQuietEndHour": 0,
    "IntentPolicyHasQuietHours": false,
    "IntentQuietWindowWraps": false,
    "IntentIsInsideQuietWindow": false,
    "TimingGatePassed": true,
    "HoursUntilWindowOpens": 0,
    "IntentMaxMessageLength": 100000,
    "IntentMaxSegments": 1,
    "LengthGatePassed": true,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22,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"IntentRequiredOptOutPhrase": null,
    "ResultingDeliveryException": null,
    "AlternateAttemptWasCleared": false,
    "RetryWasCleared": false
   }
  ]
 },
 "AgentDecisionRecords": {
  "Description": "AgentDecisionRecords (added by witness loop 1).",
  "schema": [
   {
    "name": "AgentDecisionRecordId",
    "datatype": "string",
    "type": "raw",
    "nullable": false,
    "Description": "Stored logical identifier for one AgentDecisionRecords row."
   },
   {
    "name": "Name",
    "datatype": "string",
    "type": "calculated",
    "nullable": true,
    "Description": "Human-readable calculated display alias for the AgentDecisionRecords row.",
    "formula": "={{DecidingAgent}} &amp; \": \" &amp; LEFT({{DecisionSummary}}, 60)"
   },
   {
    "name": "StepExecution",
    "datatype": "string",
    "type": "relationship",
    "nullable": true,
    "Description": "Step execution during which the decision was made.",
    "RelatedTo": "StepExecutions"
   },
   {
    "name": "DecidingAgent",
    "datatype": "string",
    "type": "relationship",
    "nullable": true,
    "Description": "Agent that made the decision.",
    "RelatedTo": "Agents"
   },
   {
    "name": "DecisionKind",
    "datatype": "string",
    "type": "raw",
    "nullable": true,
    "Description": "Classification, Prioritization, Draft, Suppression, Escalation, or Posting."
   },
   {
    "name": "DecisionSummary",
    "datatype": "string",
    "type": "raw",
    "nullable": true,
    "Description": "What the agent decided, in one sentence."
   },
   {
    "name": "DecidedAt",
    "datatype": "datetime",
    "type": "raw",
    "nullable": true,
    "Description": "When the decision was made."
   },
   {
    "name": "MaterialityBand",
    "datatype": "string",
    "type": "raw",
    "nullable": true,
    "Description": "BelowThreshold, Material, or Escalated."
   },
   {
    "name": "HumanDisposition",
    "datatype": "string",
    "type": "raw",
    "nullable": true,
    "Description": "Accepted, Corrected, Reversed, or NotReviewed."
   },
   {
    "name": "ReviewedByAgent",
    "datatype": "string",
    "type": "relationship",
    "nullable": true,
    "Description": "Human agent that dispositioned the decision.",
    "RelatedTo": "Agents"
   },
   {
    "name": "ReviewedAt",
    "datatype": "datetime",
    "type": "raw",
    "nullable": true,
    "Description": "When a human dispositioned the decision."
   },
   {
    "name": "WasOverridden",
    "datatype": "boolean",
    "type": "calculated",
    "nullable": true,
    "Description": "TRUE when a human corrected or reversed this decision.",
    "formula": "=OR({{HumanDisposition}} = \"Corrected\", {{HumanDisposition}} = \"Reversed\")"
   },
   {
    "name": "WasReviewed",
    "datatype": "boolean",
    "type": "calculated",
    "nullable": true,
    "Description": "TRUE when a human actually dispositioned this decision.",
    "formula": "=AND({{HumanDisposition}} &lt;&gt; \"\", {{HumanDisposition}} &lt;&gt; \"NotReviewed\")"
   },
   {
    "name": "DecidingAgentKind",
    "datatype": "string",
    "type": "lookup",
    "nullable": true,
    "Description": "Whether the deciding agent is Human, AIAgent, or AutomatedPipeline.",
    "formula": "=INDEX(Agents!{{AgentKind}}, MATCH({{DecidingAgent}}, Agents!{{AgentId}}, 0))"
   },
   {
    "name": "DecidingAgentWhenOverridden",
    "datatype": "string",
    "type": "calculated",
    "nullable": true,
    "Description": "Echoes the deciding agent id when the decision was overridden, blank otherwise.",
    "formula": "=IF({{WasOverridden}}, {{DecidingAgent}}, \"\")"
   },
   {
    "name": "UnderRoleAssignment",
    "datatype": "string",
    "type": "relationship",
    "nullable": true,
    "Description": "Role assignment in force when the decision was made; anchors the decision to one side of a handover.",
    "RelatedTo": "RoleAssignments"
   },
   {
    "name": "RoleAssignmentWhenScored",
    "datatype": "string",
    "type": "calculated",
    "nullable": true,
    "Description": "Echoes the governing role assignment when one is recorded, blank otherwise.",
    "formula": "=IF({{UnderRoleAssignment}} &lt;&gt; \"\", {{UnderRoleAssignment}}, \"\")"
   },
   {
    "name": "RoleAssignmentWhenOverridden",
    "datatype": "string",
    "type": "calculated",
    "nullable": true,
    "Description": "Echoes the governing role assignment when the decision was overridden, blank otherwise.",
    "formula": "=IF({{WasOverridden}}, {{UnderRoleAssignment}}, \"\")"
   },
   {
    "name": "StepOfDecision",
    "datatype": "string",
    "type": "lookup",
    "nullable": true,
    "Description": "The specified step at which this decision was made.",
    "formula": "=INDEX(StepExecutions!{{Step}}, MATCH({{StepExecution}}, StepExecutions!{{StepExecutionId}}, 0))"
   },
   {
    "name": "BoundaryMatchKey",
    "datatype": "string",
    "type": "calculated",
    "nullable": true,
    "Description": "Composite key of step, deciding agent kind, and decision kind for this decision.",
    "formula": "={{StepOfDecision}} &amp; \"|\" &amp; {{DecidingAgentKind}} &amp; \"|\" &amp; {{DecisionKind}}"
   },
   {
    "name": "MatchingBoundaryCount",
    "datatype": "number",
    "type": "aggregation",
    "nullable": true,
    "Description": "Number of authority boundaries this decision matches.",
    "formula": "=COUNTIFS(AuthorityBoundaries!{{BoundaryMatchKey}}, {{BoundaryMatchKey}})"
   },
   {
    "name": "ViolatedAuthorityBoundary",
    "datatype": "boolean",
    "type": "calculated",
    "nullable": true,
    "Description": "TRUE when this decision matches an authority boundary that forbids it.",
    "formula": "={{MatchingBoundaryCount}} &gt; 0"
   },
   {
    "name": "ReviewerAgentKind",
    "datatype": "string",
    "type": "lookup",
    "nullable": true,
    "Description": "Agent kind of the reviewer, if any.",
    "formula": "=INDEX(Agents!{{AgentKind}}, MATCH({{ReviewedByAgent}}, Agents!{{AgentId}}, 0))"
   },
   {
    "name": "HasHumanConfirmation",
    "datatype": "boolean",
    "type": "calculated",
    "nullable": true,
    "Description": "TRUE when a human agent actually dispositioned this decision.",
    "formula": "=AND({{ReviewerAgentKind}} = \"Human\", {{HumanDisposition}} &lt;&gt; \"\", {{HumanDisposition}} &lt;&gt; \"NotReviewed\")"
   },
   {
    "name": "NeedsHumanConfirmation",
    "datatype": "boolean",
    "type": "calculated",
    "nullable": true,
    "Description": "TRUE when a non-human agent made a material or escalated decision.",
    "formula": "=AND(NOT({{DecidingAgentKind}} = \"Human\"), OR({{MaterialityBand}} = \"Material\", {{MaterialityBand}} = \"Escalated\"))"
   },
   {
    "name": "IsUnconfirmedNonHumanDecision",
    "datatype": "boolean",
    "type": "calculated",
    "nullable": true,
    "Description": "TRUE when a material non-human decision was never confirmed by a human.",
    "formula": "=AND({{NeedsHumanConfirmation}}, NOT({{HasHumanConfirmation}}))"
   },
   {
    "name": "StepExecutionWhenUnconfirmed",
    "datatype": "string",
    "type": "calculated",
    "nullable": true,
    "Description": "Echoes the step-execution id when the decision is an unconfirmed non-human material decision, blank otherwise.",
    "formula": "=IF({{IsUnconfirmedNonHumanDecision}}, {{StepExecution}}, \"\")"
   },
   {
    "name": "AgentWhenBoundaryViolated",
    "datatype": "string",
    "type": "calculated",
    "nullable": true,
    "Description": "Echoes the deciding agent id when the decision violated a boundary, blank otherwise.",
    "formula": "=IF({{ViolatedAuthorityBoundary}}, {{DecidingAgent}}, \"\")"
   },
   {
    "name": "ReviewLatencyMinutes",
    "datatype": "number",
    "type": "calculated",
    "nullable": true,
    "Description": "Minutes between the decision and its human disposition; 0 when never reviewed. Declared number, not integer: DATETIME_DIFF returns a numeric and an integer cast makes the entire view fail on read.",
    "formula": "=IF({{ReviewedAt}} = \"\", 0, DATETIME_DIFF({{ReviewedAt}}, {{DecidedAt}}, \"minutes\"))"
   },
   {
    "name": "IsDraftKind",
    "datatype": "boolean",
    "type": "calculated",
    "nullable": true,
    "Description": "TRUE when this decision produced text — the drafter's own output class.",
    "formula": "=OR({{DecisionKind}} = \"Draft\", {{DecisionKind}} = \"Commitment\")"
   },
   {
    "name": "AgentWhenDraftOverridden",
    "datatype": "string",
    "type": "calculated",
    "nullable": true,
    "Description": "Echoes the deciding agent id when a drafting decision was overridden, blank otherwise.",
    "formula": "=IF(AND({{IsDraftKind}}, {{WasOverridden}}), {{DecidingAgent}}, \"\")"
   },
   {
    "name": "AgentWhenDraft",
    "datatype": "string",
    "type": "calculated",
    "nullable": true,
    "Description": "Echoes the deciding agent id when the decision produced text, blank otherwise.",
    "formula": "=IF({{IsDraftKind}}, {{DecidingAgent}}, \"\")"
   },
   {
    "name": "OverrideReasonKind",
    "datatype": "string",
    "type": "raw",
    "nullable": true,
    "Description": "Why the human changed my output: ErrorCorrection, JudgmentReserved, PolicyChange, or empty when not overridden."
   },
   {
    "name": "IsErrorCorrection",
    "datatype": "boolean",
    "type": "calculated",
    "nullable": true,
    "Description": "TRUE when the override corrected something I got wrong.",
    "formula": "=AND({{WasOverridden}}, {{OverrideReasonKind}} = \"ErrorCorrection\")"
   },
   {
    "name": "IsReservedJudgmentOverride",
    "datatype": "boolean",
    "type": "calculated",
    "nullable": true,
    "Description": "TRUE when the override was a human exercising authority the procedure always reserved to them.",
    "formula": "=AND({{WasOverridden}}, {{OverrideReasonKind}} = \"JudgmentReserved\")"
   },
   {
    "name": "OverrideReasonIsRecorded",
    "datatype": "boolean",
    "type": "calculated",
    "nullable": true,
    "Description": "TRUE when an override carries a stated reason.",
    "formula": "=AND({{WasOverridden}}, {{OverrideReasonKind}} &lt;&gt; \"\")"
   },
   {
    "name": "IsUnexplainedOverride",
    "datatype": "boolean",
    "type": "calculated",
    "nullable": true,
    "Description": "TRUE when my output was changed and nobody recorded why.",
    "formula": "=AND({{WasOverridden}}, NOT({{OverrideReasonIsRecorded}}))"
   },
   {
    "name": "ErrorCorrectionRoleAssignmentKey",
    "datatype": "string",
    "type": "calculated",
    "nullable": true,
    "Description": "The role assignment id when this decision was overridden as an error correction, otherwise empty.",
    "formula": "=IF({{IsErrorCorrection}}, {{UnderRoleAssignment}}, \"\")"
   },
   {
    "name": "BoundaryViolationRoleAssignmentKey",
    "datatype": "string",
    "type": "calculated",
    "nullable": true,
    "Description": "Echoes the role assignment this decision was made under, but only when the decision violated an authority boundary. Empty otherwise.",
    "formula": "=IF({{ViolatedAuthorityBoundary}}, {{UnderRoleAssignment}}, \"\")"
   },
   {
    "name": "SemanticTypeIri",
    "datatype": "string",
    "type": "raw",
    "nullable": true,
    "Description": "Extension class IRI for an agent decision record."
   }
  ],
  "data": [
   {
    "AgentDecisionRecordId": "adr-close-post-q2",
    "StepExecution": "se-close07",
    "DecidingAgent": "close-pipeline",
    "DecisionKind": "Posting",
    "DecisionSummary": "Posted approved close entries and published the package.",
    "DecidedAt": "2026-07-02T09:30:00-05:00",
    "MaterialityBand": "Material",
    "HumanDisposition": "Accepted",
    "ReviewedByAgent": "devon-okafor",
    "ReviewedAt": "2026-07-02T10:00:00-05:00",
    "SemanticTypeIri": "urn:effortless:pko-extension#AgentDecisionRecord",
    "Name": "close-pipeline: Posted approved close entries and published the package.",
    "WasOverridden": false,
    "WasReviewed": true,
    "DecidingAgentKind": "AutomatedPipeline",
    "DecidingAgentWhenOverridden": null,
    "RoleAssignmentWhenScored": null,
    "RoleAssignmentWhenOverridden": null,
    "StepOfDecision": "close-07",
    "BoundaryMatchKey": "close-07|AutomatedPipeline|Posting",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30.0,
    "IsDraftKind": false,
    "AgentWhenDraftOverridden": null,
    "AgentWhenDraft": null,
    "IsErrorCorrection": false,
    "IsReservedJudgmentOverride": false,
    "OverrideReasonIsRecorded": false,
    "IsUnexplainedOverride": false,
    "ErrorCorrectionRoleAssignmentKey": null,
    "BoundaryViolationRoleAssignmentKey": null
   },
   {
    "AgentDecisionRecordId": "adr-close-extract-q2",
    "StepExecution": "se-close02",
    "DecidingAgent": "close-pipeline",
    "DecisionKind": "Posting",
    "DecisionSummary": "Accepted a trial-balance extract in which one feed was 17 minutes old.",
    "DecidedAt": "2026-06-30T17:12:00-05:00",
    "MaterialityBand": "Material",
    "HumanDisposition": "Corrected",
    "ReviewedByAgent": "devon-okafor",
    "ReviewedAt": "2026-06-30T17:16:00-05:00",
    "SemanticTypeIri": "urn:effortless:pko-extension#AgentDecisionRecord",
    "Name": "close-pipeline: Accepted a trial-balance extract in which one feed was 17 mi",
    "WasOverridden": true,
    "WasReviewed": true,
    "DecidingAgentKind": "AutomatedPipeline",
    "DecidingAgentWhenOverridden": "close-pipeline",
    "RoleAssignmentWhenScored": null,
    "StepOfDecision": "close-02",
    "BoundaryMatchKey": "close-02|AutomatedPipeline|Posting",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4.0,
    "IsDraftKind": false,
    "AgentWhenDraftOverridden": null,
    "AgentWhenDraft": null,
    "OverrideReasonIsRecorded": false,
    "IsUnexplainedOverride": true,
    "ErrorCorrectionRoleAssignmentKey": null,
    "BoundaryViolationRoleAssi</t>
  </si>
  <si>
    <t xml:space="preserve">gnmentKey": null,
    "RoleAssignmentWhenOverridden": null,
    "IsErrorCorrection": false,
    "IsReservedJudgmentOverride": false
   },
   {
    "AgentDecisionRecordId": "adr-close-freeze-q2",
    "StepExecution": "se-close01",
    "DecidingAgent": "close-pipeline",
    "DecisionKind": "Posting",
    "DecisionSummary": "Locked subledgers at cutoff.",
    "DecidedAt": "2026-06-30T17:02:00-05:00",
    "MaterialityBand": "Material",
    "HumanDisposition": "Accepted",
    "ReviewedByAgent": "devon-okafor",
    "ReviewedAt": "2026-06-30T17:20:00-05:00",
    "SemanticTypeIri": "urn:effortless:pko-extension#AgentDecisionRecord",
    "Name": "close-pipeline: Locked subledgers at cutoff.",
    "WasOverridden": false,
    "WasReviewed": true,
    "DecidingAgentKind": "AutomatedPipeline",
    "DecidingAgentWhenOverridden": null,
    "RoleAssignmentWhenScored": null,
    "RoleAssignmentWhenOverridden": null,
    "StepOfDecision": "close-01",
    "BoundaryMatchKey": "close-01|AutomatedPipeline|Posting",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18.0,
    "IsDraftKind": false,
    "AgentWhenDraftOverridden": null,
    "AgentWhenDraft": null,
    "IsErrorCorrection": false,
    "IsReservedJudgmentOverride": false,
    "OverrideReasonIsRecorded": false,
    "IsUnexplainedOverride": false,
    "ErrorCorrectionRoleAssignmentKey": null,
    "BoundaryViolationRoleAssignmentKey": null
   }
  ]
 },
 "DeliveredCommunications": {
  "Description": "Everything above is a proxy for the real question, which is instance-level: THIS message, to THIS recipient, rendered from THIS template, authorized by THIS approval. The model has MessageTemplates and CommunicationPolicies as specifications and no record of a single thing ever sent. Without an instance table, 'can I show that what was sent matched what I approved' is permanently unanswerable rather than merely unanswered — and it is the question a disputing employee actually asks. Extension term (urn:effortless:pko-extension#DeliveredCommunication); PKO has no native class for a delivered artifact instance.",
  "schema": [
   {
    "name": "DeliveredCommunicationId",
    "datatype": "string",
    "type": "raw",
    "nullable": false,
    "Description": "Stored logical identifier for one DeliveredCommunications row."
   },
   {
    "name": "Name",
    "datatype": "string",
    "type": "calculated",
    "nullable": true,
    "Description": "Human-readable calculated display alias.",
    "formula": "={{Channel}} &amp; \" -&gt; \" &amp; {{RecipientKey}} &amp; \" @ \" &amp; {{SentAt}}"
   },
   {
    "name": "ProcedureExecution",
    "datatype": "string",
    "type": "relationship",
    "nullable": false,
    "Description": "The run that produced this delivery.",
    "RelatedTo": "ProcedureExecutions"
   },
   {
    "name": "SendingStepExecution",
    "datatype": "string",
    "type": "relationship",
    "nullable": true,
    "Description": "The policy-07 step execution that sent it.",
    "RelatedTo": "StepExecutions"
   },
   {
    "name": "AuthorizingStepExecution",
    "datatype": "string",
    "type": "relationship",
    "nullable": true,
    "Description": "The human approval gate execution that authorized this content. Null means nobody approved it.",
    "RelatedTo": "StepExecutions"
   },
   {
    "name": "MessageTemplate",
    "datatype": "string",
    "type": "relationship",
    "nullable": true,
    "Description": "The approved template this delivery was rendered from.",
    "RelatedTo": "MessageTemplates"
   },
   {
    "name": "Channel",
    "datatype": "string",
    "type": "raw",
    "nullable": true,
    "Description": "Email or SMS."
   },
   {
    "name": "RecipientKey",
    "datatype": "string",
    "type": "raw",
    "nullable": true,
    "Description": "Opaque recipient identifier; no personal data in the rulebook."
   },
   {
    "name": "SentAt",
    "datatype": "datetime",
    "type": "raw",
    "nullable": true,
    "Description": "When the message was dispatched."
   },
   {
    "name": "RenderedContentHash",
    "datatype": "string",
    "type": "raw",
    "nullable": true,
    "Description": "Hash of the exact bytes delivered, for comparison against the approved rendering."
   },
   {
    "name": "ApprovedContentHash",
    "datatype": "string",
    "type": "raw",
    "nullable": true,
    "Description": "Hash of the content as it stood at the approval gate."
   },
   {
    "name": "DeliveryStatus",
    "datatype": "string",
    "type": "raw",
    "nullable": true,
    "Description": "Provider-reported delivery outcome."
   },
   {
    "name": "SemanticTypeIri",
    "datatype": "string",
    "type": "raw",
    "nullable": true,
    "Description": "Extension class IRI."
   },
   {
    "name": "HasAuthorization",
    "datatype": "boolean",
    "type": "calculated",
    "nullable": true,
    "Description": "TRUE when this delivery names the approval that authorized it.",
    "formula": "={{AuthorizingStepExecution}} &lt;&gt; \"\""
   },
   {
    "name": "ContentMatchesApproval",
    "datatype": "boolean",
    "type": "calculated",
    "nullable": true,
    "Description": "TRUE when the bytes delivered are the bytes approved.",
    "formula": "={{RenderedContentHash}} = {{ApprovedContentHash}}"
   },
   {
    "name": "AuthorizedAt",
    "datatype": "datetime",
    "type": "lookup",
    "nullable": true,
    "Description": "When the authorizing approval completed.",
    "formula": "=INDEX(StepExecutions!{{EndedAt}}, MATCH({{AuthorizingStepExecution}}, StepExecutions!{{StepExecutionId}}, 0))"
   },
   {
    "name": "WasApprovedBeforeSending",
    "datatype": "boolean",
    "type": "calculated",
    "nullable": true,
    "Description": "TRUE when the approval preceded the send.",
    "formula": "={{AuthorizedAt}} &lt;= {{SentAt}}"
   },
   {
    "name": "IsDefensible",
    "datatype": "boolean",
    "type": "calculated",
    "nullable": true,
    "Description": "TRUE when this delivery can be defended in a dispute: authorized, unaltered, and approved beforehand.",
    "formula": "=AND({{HasAuthorization}}, {{ContentMatchesApproval}}, {{WasApprovedBeforeSending}})"
   }
  ],
  "data": [
   {
    "DeliveredCommunicationId": "dc-hr4821-email-001",
    "ProcedureExecution": "exec-policy-hr4821",
    "SendingStepExecution": null,
    "AuthorizingStepExecution": null,
    "MessageTemplate": null,
    "Channel": "Email",
    "RecipientKey": "emp-anon-0001",
    "SentAt": null,
    "RenderedContentHash": null,
    "ApprovedContentHash": null,
    "DeliveryStatus": "NotYetSent",
    "SemanticTypeIri": "urn:effortless:pko-extension#DeliveredCommunication",
    "Name": "Email -&gt; emp-anon-0001 @ ",
    "HasAuthorization": false,
    "IsDefensible": false,
    "ContentMatchesApproval": true,
    "AuthorizedAt": null,
    "WasApprovedBeforeSending": false
   }
  ]
 },
 "AuthorityBoundaries": {
  "Description": "AuthorityBoundaries (added by witness loop 1).",
  "schema": [
   {
    "name": "AuthorityBoundaryId",
    "datatype": "string",
    "type": "raw",
    "nullable": false,
    "Description": "Stored logical identifier for one AuthorityBoundaries row."
   },
   {
    "name": "Name",
    "datatype": "string",
    "type": "calculated",
    "nullable": true,
    "Description": "Human-readable calculated display alias for the AuthorityBoundaries row.",
    "formula": "={{ForbiddenAgentKind}} &amp; \" may not \" &amp; {{ForbiddenDecisionKind}}"
   },
   {
    "name": "Step",
    "datatype": "string",
    "type": "relationship",
    "nullable": true,
    "Description": "Step at which the boundary applies.",
    "RelatedTo": "Steps"
   },
   {
    "name": "ForbiddenAgentKind",
    "datatype": "string",
    "type": "raw",
    "nullable": true,
    "Description": "Agent kind that may not perform the forbidden decision kind: Human, AIAgent, or AutomatedPipeline."
   },
   {
    "name": "ForbiddenDecisionKind",
    "datatype": "string",
    "type": "raw",
    "nullable": true,
    "Description": "Decision kind forbidden to that agent kind at this step."
   },
   {
    "name": "RatifiedByKnowledgeFragment",
    "datatype": "string",
    "type": "relationship",
    "nullable": true,
    "Description": "Knowledge fragment that states the boundary.",
    "RelatedTo": "KnowledgeFragments"
   },
   {
    "name": "EnforcingRequirement",
    "datatype": "string",
    "type": "relationship",
    "nullable": true,
    "Description": "Requirement under which the boundary is enforced, if any.",
    "RelatedTo": "Requirements"
   },
   {
    "name": "AuthorityRole",
    "datatype": "string",
    "type": "relationship",
    "nullable": true,
    "Description": "Role accountable for the boundary.",
    "RelatedTo": "Roles"
   },
   {
    "name": "ValidFrom",
    "datatype": "datetime",
    "type": "raw",
    "nullable": true,
    "Description": "Start of the boundary's valid-time interval."
   },
   {
    "name": "ValidTo",
    "datatype": "datetime",
    "type": "raw",
    "nullable": true,
    "Description": "End of the boundary's valid-time interval; null means open-ended."
   },
   {
    "name": "Status",
    "datatype": "string",
    "type": "raw",
    "nullable": true,
    "Description": "Approved, Proposed, or Retired."
   },
   {
    "name": "EvaluationContext",
    "datatype": "string",
    "type": "relationship",
    "nullable": true,
    "Description": "The evaluation context this boundary's currency is judged under.",
    "RelatedTo": "EvaluationContexts"
   },
   {
    "name": "AsOfInstant",
    "datatype": "datetime",
    "type": "lookup",
    "nullable": true,
    "Description": "The evaluation instant this boundary is judged against.",
    "formula": "=INDEX(EvaluationContexts!{{AsOfInstant}}, MATCH({{EvaluationContext}}, EvaluationContexts!{{EvaluationContextId}}, 0))"
   },
   {
    "name": "IsCurrentlyBinding",
    "datatype": "boolean",
    "type": "calculated",
    "nullable": true,
    "Description": "TRUE when this boundary is approved and inside its valid-time window right now.",
    "formula": "=AND({{Status}} = \"Approved\", {{ValidFrom}} &lt;= {{AsOfInstant}}, OR({{ValidTo}} = \"\", {{ValidTo}} &gt; {{AsOfInstant}}))"
   },
   {
    "name": "RatifyingFragmentIsValid",
    "datatype": "boolean",
    "type": "lookup",
    "nullable": true,
    "Description": "Whether the knowledge fragment that ratified this boundary is still valid.",
    "formula": "=INDEX(KnowledgeFragments!{{IsCurrentlyValid}}, MATCH({{RatifiedByKnowledgeFragment}}, KnowledgeFragments!{{KnowledgeFragmentId}}, 0))"
   },
   {
    "name": "StepWhenBinding",
    "datatype": "string",
    "type": "calculated",
    "nullable": true,
    "Description": "Echoes the step id when this boundary is currently binding, blank otherwise.",
    "formula": "=IF({{IsCurrentlyBinding}}, {{Step}}, \"\")"
   },
   {
    "name": "BoundaryMatchKey",
    "datatype": "string",
    "type": "calculated",
    "nullable": true,
    "Description": "Composite key of step, forbidden agent kind, and forbidden decision kind.",
    "formula": "={{Step}} &amp; \"|\" &amp; {{ForbiddenAgentKind}} &amp; \"|\" &amp; {{ForbiddenDecisionKind}}"
   },
   {
    "name": "ViolationCount",
    "datatype": "number",
    "type": "aggregation",
    "nullable": true,
    "Description": "Number of recorded decisions that this boundary forbids.",
    "formula": "=COUNTIFS(AgentDecisionRecords!{{BoundaryMatchKey}}, {{BoundaryMatchKey}})"
   },
   {
    "name": "IsUntested",
    "datatype": "boolean",
    "type": "calculated",
    "nullable": true,
    "Description": "TRUE when a binding boundary has never been triggered by any recorded decision.",
    "formula": "=AND({{IsCurrentlyBinding}}, {{ViolationCount}} = 0)"
   },
   {
    "name": "HasRatifyingFragment",
    "datatype": "boolean",
    "type": "calculated",
    "nullable": true,
    "Description": "TRUE when this boundary names a knowledge fragment as its justification. FALSE means the rule constrains behaviour on nobody's recorded authority — strictly worse than resting on an expired claim, and previously invisible because the ratification lookup returned NULL.",
    "formula": "={{RatifiedByKnowledgeFragment}} &lt;&gt; \"\""
   },
   {
    "name": "IsUnwarranted",
    "datatype": "boolean",
    "type": "calculated",
    "nullable": true,
    "Description": "TRUE when a binding constraint on authority rests on no ratifying claim at all, or on one that is no longer valid. Either way the rule is being enforced without a live justification.",
    "formula": "=AND({{IsCurrentlyBinding}}, OR(NOT({{HasRatifyingFragment}}), NOT({{RatifyingFragmentIsValid}})))"
   },
   {
    "name": "RatifyingFragmentIsOverdue",
    "datatype": "boolean",
    "type": "lookup",
    "nullable": true,
    "Description": "Whether the fragment ratifying this boundary is past its review date.",
    "formula": "=INDEX(KnowledgeFragments!{{IsOverdueForReview}}, MATCH({{RatifiedByKnowledgeFragment}}, KnowledgeFragments!{{KnowledgeFragmentId}}, 0))"
   },
   {
    "name": "RatifyingFragmentIsSingleWitness",
    "datatype": "boolean",
    "type": "lookup",
    "nullable": true,
    "Description": "Whether the fragment ratifying this boundary rests on a single witness.",
    "formula": "=INDEX(KnowledgeFragments!{{IsFromSingleWitness}}, MATCH({{RatifiedByKnowledgeFragment}}, KnowledgeFragments!{{KnowledgeFragmentId}}, 0))"
   },
   {
    "name": "WarrantIsThin",
    "datatype": "boolean",
    "type": "calculated",
    "nullable": true,
    "Description": "A binding boundary whose ratifying knowledge is either overdue for review or single-sourced — still valid, but weakly warranted.",
    "formula": "=AND({{IsCurrentlyBinding}}, OR({{RatifyingFragmentIsOverdue}}, {{RatifyingFragmentIsSingleWitness}}))"
   },
   {
    "name": "IsUnwarrantedAndUntested",
    "datatype": "boolean",
    "type": "calculated",
    "nullable": true,
    "Description": "A boundary whose ratification has lapsed and which no agent decision has ever been evaluated against — we cannot show it works and we cannot show why it exists.",
    "formula": "=AND({{IsUnwarranted}}, {{IsUntested}})"
   },
   {
    "name": "UnwarrantedBoundaryStepKey",
    "datatype": "string",
    "type": "calculated",
    "nullable": true,
    "Description": "Composite-key echo: the step this boundary governs when the boundary is unwarranted, blank otherwise.",
    "formula": "=IF({{IsUnwarranted}}, {{Step}}, \"\")"
   },
   {
    "name": "RatifyingFragmentKey",
    "datatype": "string",
    "type": "calculated",
    "nullable": true,
    "Description": "Composite-key echo: the fragment ratifying this boundary when the boundary is currently binding, blank otherwise.",
    "formula": "=IF({{IsCurrentlyBinding}}, {{RatifiedByKnowledgeFragment}}, \"\")"
   },
   {
    "name": "RatifyingFragmentStatus",
    "datatype": "string",
    "type": "lookup",
    "nullable": true,
    "Description": "The status string of the knowledge fragment that ratifies this boundary: Approved, Reviewed, Draft, or empty.",
    "formula": "=INDEX(KnowledgeFragments!{{Status}}, MATCH({{RatifiedByKnowledgeFragment}}, KnowledgeFragments!{{KnowledgeFragmentId}}, 0))"
   },
   {
    "name": "RatificationLapsed",
    "datatype": "boolean",
    "type": "calculated",
    "nullable": true,
    "Description": "TRUE when this boundary names a ratifying fragment and that fragment is no longer valid.",
    "formula": "=AND({{HasRatifyingFragment}}, NOT({{RatifyingFragmentIsValid}}))"
   },
   {
    "name": "BindsDespiteLapsedRatification",
    "datatype": "boolean",
    "type": "calculated",
    "nullable": true,
    "Description": "TRUE when a boundary is still enforced against agents while the knowledge that authorized it has lapsed.",
    "formula": "=AND({{IsCurrentlyBinding}}, {{RatificationLapsed}})"
   },
   {
    "name": "IsUngroundedAndUntested",
    "datatype": "boolean",
    "type": "calculated",
    "nullable": true,
    "Description": "TRUE when a boundary has lapsed ratification AND has never once been exercised -- so neither its authority nor its operation has ever been demonstrated.",
    "formula": "=AND({{BindsDespiteLapsedRatification}}, {{IsUntested}})"
   },
   {
    "name": "ConstrainedRoleAssignmentKey",
    "datatype": "string",
    "type": "calculated",
    "nullable": true,
    "Description": "The role id this boundary constrains, emitted only when the boundary is ungrounded.",
    "formula": "=IF({{BindsDespiteLapsedRatification}}, {{AuthorityRole}}, \"\")"
   },
   {
    "name": "SemanticTypeIri",
    "datatype": "string",
    "type": "raw",
    "nullable": true,
    "Description": "Extension class IRI for an authority boundary."
   }
  ],
  "data": [
   {
    "AuthorityBoundaryId": "bnd-close-04-no-ai-escalation-waiver",
    "Step": "close-04",
    "ForbiddenAgentKind": "AIAgent",
    "ForbiddenDecisionKind": "Suppression",
    "RatifiedByKnowledgeFragment": "kf-close-judgment",
    "EnforcingRequirement": "req-close-balance",
    "AuthorityRole": "controller",
    "ValidFrom": "2026-04-01T00:00:00-05:00",
    "ValidTo": null,
    "Status": "Approved",
    "SemanticTypeIri": "urn:effortless:pko-extension#AuthorityBoundary",
    "EvaluationContext": "eval-current",
    "Name": "AIAgent may not Suppression",
    "AsOfInstant": "2026-07-19T13:00:00-05:00",
    "IsCurrentlyBinding": true,
    "RatifyingFragmentIsValid": true,
    "StepWhenBinding": "close-04",
    "BoundaryMatchKey": "close-04|AIAgent|Suppression",
    "ViolationCount": 0,
    "IsUntested": true,
    "HasRatifyingFragment": true,
    "IsUnwarranted": false,
    "RatifyingFragmentIsOverdue": true,
    "RatifyingFragmentIsSingleWitness": true,
    "WarrantIsThin": true,
    "IsUnwarrantedAndUntested": false,
    "UnwarrantedBoundaryStepKey": null,
    "RatifyingFragmentKey": "kf-close-judgment",
    "RatifyingFragmentStatus": "Approved",
    "RatificationLapsed": false,
    "BindsDespiteLapsedRatification": false,
    "IsUngroundedAndUntested": false,
    "ConstrainedRoleAssignmentKey": null
   },
   {
    "AuthorityBoundaryId": "bnd-close-06-no-nonhuman-approval",
    "Step": "close-06",
    "ForbiddenAgentKind": "AIAgent",
    "ForbiddenDecisionKind": "Approval",
    "RatifiedByKnowledgeFragment": null,
    "EnforcingRequirement": "req-close-human-approval",
    "AuthorityRole": "cfo",
    "ValidFrom": "2026-04-15T09:00:00-05:00",
    "ValidTo": null,
    "Status": "Approved",
    "SemanticTypeIri": "urn:effortless:pko-extension#AuthorityBoundary",
    "EvaluationContext": "eval-current",
    "Name": "AIAgent may not Approval",
    "AsOfInstant": "2026-07-19T13:00:00-05:00",
    "IsCurrentlyBinding": true,
    "StepWhenBinding": "close-06",
    "BoundaryMatchKey": "close-06|AIAgent|Approval",
    "ViolationCount": 0,
    "IsUntested": true,
    "HasRatifyingFragment": false,
    "IsUnwarranted": true,
    "IsUnwarrantedAndUntested": true,
    "UnwarrantedBoundaryStepKey": "close-06",
    "RatificationLapsed": false,
    "BindsDespiteLapsedRatification": false,
    "IsUngroundedAndUntested": false,
    "ConstrainedRoleAssignmentKey": null,
    "RatifyingFragmentIsValid": false,
    "RatifyingFragmentIsOverdue": false,
    "RatifyingFragmentIsSingleWitness": false,
    "WarrantIsThin": false,
    "RatifyingFragmentKey": null,
    "RatifyingFragmentStatus": null
   },
   {
    "AuthorityBoundaryId": "bnd-policy-03-no-ai-commitment",
    "Step": "policy-03",
    "ForbiddenAgentKind": "AIAgent",
    "ForbiddenDecisionKind": "Commitment",
    "RatifiedByKnowledgeFragment": "kf-policy-ai-boundary",
    "EnforcingRequirement": "req-policy-human-approval",
    "AuthorityRole": "employment-counsel",
    "ValidFrom": "2026-05-12T14:30:00-05:00",
    "ValidTo": null,
    "Status": "Approved",
    "SemanticTypeIri": "urn:effortless:pko-extension#AuthorityBoundary",
    "EvaluationContext": "eval-current",
    "Name": "AIAgent may not Commitment",
    "AsOfInstant": "2026-07-19T13:00:00-05:00",
    "IsCurrentlyBinding": true,
    "RatifyingFragmentIsValid": true,
    "StepWhenBinding": "policy-03",
    "BoundaryMatchKey": "policy-03|AIAgent|Commitment",
    "ViolationCount": 0,
    "IsUntested": true,
    "HasRatifyingFragment": true,
    "IsUnwarranted": false,
    "RatifyingFragmentIsOverdue": true,
    "RatifyingFragmentIsSingleWitness": true,
    "WarrantIsThin": true,
    "IsUnwarrantedAndUntested": false,
    "UnwarrantedBoundaryStepKey": null,
    "RatifyingFragmentKey": "kf-policy-ai-boundary",
    "RatifyingFragmentStatus": "Approved",
    "RatificationLapsed": false,
    "BindsDespiteLapsedRatification": false,
    "IsUngroundedAndUntested": false,
    "ConstrainedRoleAssignmentKey": null
   }
  ]
 },
 "BindingObservations": {
  "Description": "BindingObservations (added by witness loop 2).",
  "schema": [
   {
    "name": "BindingObservationId",
    "datatype": "string",
    "type": "raw",
    "nullable": false,
    "Description": "Primary key of an execution-side observation of one operational binding, frozen at the moment a step actually ran."
   },
   {
    "name": "Name",
    "datatype": "string",
    "type": "calculated",
    "nullable": true,
    "Description": "Human-readable calculated display alias for the BindingObservations row.",
    "formula": "={{StepExecution}} &amp; \" / \" &amp; {{BindingObservationId}}"
   },
   {
    "name": "StepExecution",
    "datatype": "string",
    "type": "relationship",
    "nullable": true,
    "Description": "The step execution during which this binding was read.",
    "RelatedTo": "StepExecutions"
   },
   {
    "name": "OperationalBinding",
    "datatype": "string",
    "type": "relationship",
    "nullable": true,
    "Description": "The spec-side binding this observation instantiates.",
    "RelatedTo": "OperationalBindings"
   },
   {
    "name": "ObservedSourceTimestamp",
    "datatype": "datetime",
    "type": "raw",
    "nullable": true,
    "Description": "The LastObservedAt value the source actually carried at run time, captured then and never recomputed."
   },
   {
    "name": "ReadAt",
    "datatype": "datetime",
    "type": "raw",
    "nullable": true,
    "Description": "When the step execution actually read this binding."
   },
   {
    "name": "SlaMinutesAtRun",
    "datatype": "integer",
    "type": "lookup",
    "nullable": true,
    "Description": "The freshness SLA declared for this binding.",
    "formula": "=INDEX(OperationalBindings!{{FreshnessSlaMinutes}}, MATCH({{OperationalBinding}}, OperationalBindings!{{OperationalBindingId}}, 0))"
   },
   {
    "name": "AgeAtRunMinutes",
    "datatype": "integer",
    "type": "calculated",
    "nullable": true,
    "Description": "How old the source data was at the instant the step read it.",
    "formula": "=DATETIME_DIFF({{ReadAt}}, {{ObservedSourceTimestamp}}, \"minutes\")"
   },
   {
    "name": "WasStaleAtRun",
    "datatype": "boolean",
    "type": "calculated",
    "nullable": true,
    "Description": "TRUE when an authoritative source was already outside its SLA at the moment the step consumed it.",
    "formula": "=AND({{IsAuthoritativeBinding}}, {{AgeAtRunMinutes}} &gt; {{SlaMinutesAtRun}})"
   },
   {
    "name": "IsAuthoritativeBinding",
    "datatype": "boolean",
    "type": "lookup",
    "nullable": true,
    "Description": "Whether the binding observed is the authoritative source for its record key.",
    "formula": "=INDEX(OperationalBindings!{{IsAuthoritative}}, MATCH({{OperationalBinding}}, OperationalBindings!{{OperationalBindingId}}, 0))"
   },
   {
    "name": "StaleAtRunStepKey",
    "datatype": "string",
    "type": "calculated",
    "nullable": true,
    "Description": "Echoes the step execution id when the source was stale at run time.",
    "formula": "=IF({{WasStaleAtRun}}, {{StepExecution}}, \"\")"
   }
  ],
  "data": []
 },
 "Attestations": {
  "Description": "Attestations (added by witness loop 2).",
  "schema": [
   {
    "name": "AttestationId",
    "datatype": "string",
    "type": "raw",
    "nullable": false,
    "Description": "Primary key of a signature event: one person, one execution, one instant."
   },
   {
    "name": "Name",
    "datatype": "string",
    "type": "calculated",
    "nullable": true,
    "Description": "Human-readable calculated display alias for the Attestations row.",
    "formula": "={{ProcedureExecution}} &amp; \" / \" &amp; {{AttestationId}}"
   },
   {
    "name": "ProcedureExecution",
    "datatype": "string",
    "type": "relationship",
    "nullable": true,
    "Description": "The execution being attested to.",
    "RelatedTo": "ProcedureExecutions"
   },
   {
    "name": "SignedByAgent",
    "datatype": "string",
    "type": "relationship",
    "nullable": true,
    "Description": "The human who signed.",
    "RelatedTo": "Agents"
   },
   {
    "name": "SignedAt",
    "datatype": "datetime",
    "type": "raw",
    "nullable": true,
    "Description": "The instant of signature."
   },
   {
    "name": "AssuranceGradeAtSigning",
    "datatype": "string",
    "type": "raw",
    "nullable": true,
    "Description": "The AssuranceGrade string as the model reported it at the moment of signature, captured then and never recomputed."
   },
   {
    "name": "VersionWasFitAtSigning",
    "datatype": "boolean",
    "type": "raw",
    "nullable": true,
    "Description": "Whether the executed procedure version was fit to execute at the moment of signature."
   },
   {
    "name": "VersionIsFitNow",
    "datatype": "boolean",
    "type": "lookup",
    "nullable": true,
    "Description": "Whether the executed version reads as fit today.",
    "formula": "=INDEX(ProcedureExecutions!{{ExecutedVersionIsFit}}, MATCH({{ProcedureExecution}}, ProcedureExecutions!{{ProcedureExecutionId}}, 0))"
   },
   {
    "name": "FitnessVerdictHasDrifted",
    "datatype": "boolean",
    "type": "calculated",
    "nullable": true,
    "Description": "TRUE when the fitness of the signed version reads differently today than it did at signature.",
    "formula": "=NOT({{VersionWasFitAtSigning}} = {{VersionIsFitNow}})"
   },
   {
    "name": "AssuranceGradeNow",
    "datatype": "string",
    "type": "lookup",
    "nullable": true,
    "Description": "The AssuranceGrade the model reports for this execution today.",
    "formula": "=INDEX(ProcedureExecutions!{{AssuranceGrade}}, MATCH({{ProcedureExecution}}, ProcedureExecutions!{{ProcedureExecutionId}}, 0))"
   },
   {
    "name": "AssuranceGradeHasDrifted",
    "datatype": "boolean",
    "type": "calculated",
    "nullable": true,
    "Description": "TRUE when the assurance behind this signature is described differently now than it was at signature.",
    "formula": "=NOT({{AssuranceGradeAtSigning}} = {{AssuranceGradeNow}})"
   },
   {
    "name": "WouldNotSurviveRestatement",
    "datatype": "boolean",
    "type": "calculated",
    "nullable": true,
    "Description": "TRUE when re-deriving this attestation today would not reproduce what the model said when it was signed.",
    "formula": "=OR({{FitnessVerdictHasDrifted}}, {{AssuranceGradeHasDrifted}})"
   }
  ],
  "data": []
 },
 "AppRoleProfiles": {
  "Description": "One row per role, carrying how that role is presented: its accent colour, its 128x128 icon, and the login-card copy. Presentation is data, so the app never hardcodes a colour or a label per role.",
  "schema": [
   {
    "name": "AppRoleProfileId",
    "datatype": "string",
    "type": "raw",
    "nullable": false,
    "Description": "Stored logical identifier for one AppRoleProfiles row."
   },
   {
    "name": "Name",
    "datatype": "string",
    "type": "calculated",
    "nullable": true,
    "Description": "Human-readable calculated display alias for the AppRoleProfiles row.",
    "formula": "={{DisplayLabel}} &amp; \" (\" &amp; {{RoleKind}} &amp; \")\""
   },
   {
    "name": "Role",
    "datatype": "string",
    "type": "relationship",
    "nullable": true,
    "Description": "The role this presentation profile describes.",
    "RelatedTo": "Roles"
   },
   {
    "name": "DisplayLabel",
    "datatype": "string",
    "type": "raw",
    "nullable": true,
    "Description": "Label shown on the login card and in the app chrome."
   },
   {
    "name": "RoleKind",
    "datatype": "string",
    "type": "raw",
    "nullable": true,
    "Description": "human or software. Drives the login-card silhouette and the icon plate shape."
   },
   {
    "name": "AccentColor",
    "datatype": "string",
    "type": "raw",
    "nullable": true,
    "Description": "Hex accent colour. Distinctive per role; used for chrome, the left-nav active state, and the icon plate."
   },
   {
    "name": "IconMark",
    "datatype": "string",
    "type": "raw",
    "nullable": true,
    "Description": "Name of the geometric mark drawn on this role's icon. Colour is never the only signal — the mark discriminates in greyscale."
   },
   {
    "name": "IconPngBase64",
    "datatype": "string",
    "type": "raw",
    "nullable": true,
    "Description": "128x128 PNG icon for this role, base64-encoded, no data: prefix. Rendered on the login card and beside the role name throughout the app."
   },
   {
    "name": "Pitch",
    "datatype": "string",
    "type": "raw",
    "nullable": true,
    "Description": "One line of login-card copy: what this role opens the app to do, in that role's own terms."
   },
   {
    "name": "SortOrder",
    "datatype": "number",
    "type": "raw",
    "nullable": true,
    "Description": "Display order on the login screen. Human roles first, then software roles."
   },
   {
    "name": "RouteCount",
    "datatype": "number",
    "type": "aggregation",
    "nullable": true,
    "Description": "How many routes this role has.",
    "formula": "=COUNTIFS(AppRoutes!{{OwningRole}}, {{Role}})"
   },
   {
    "name": "SemanticTypeIri",
    "datatype": "string",
    "type": "raw",
    "nullable": true,
    "Description": "Semantic type IRI for this row. An extension: PKO does not model application presentation."
   }
  ],
  "data": [
   {
    "AppRoleProfileId": "profile-cfo",
    "Role": "cfo",
    "DisplayLabel": "Chief Financial Officer",
    "RoleKind": "human",
    "AccentColor": "#1d4ed8",
    "IconMark": "crown",
    "IconPngBase64": "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cj1TS+/9c+35o4d2/ICgco649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t>
  </si>
  <si>
    <t xml:space="preserve">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
    "Pitch": "Decide whether the attestation can be signed, and what the green actually rests on.",
    "SortOrder": 1,
    "SemanticTypeIri": "urn:effortless:pko-extension#AppRoleProfile",
    "Name": "Chief Financial Officer (human)",
    "RouteCount": 12
   },
   {
    "AppRoleProfileId": "profile-controller",
    "Role": "controller",
    "DisplayLabel": "Corporate Controller",
    "RoleKind": "human",
    "AccentColor": "#0f766e",
    "IconMark": "shield",
    "IconPngBase64": "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
    "Pitch": "Prove the close controls worked — not merely that nothing failed.",
    "SortOrder": 2,
    "SemanticTypeIri": "urn:effortless:pko-extension#AppRoleProfile",
    "Name": "Corporate Controller (human)",
    "RouteCount": 10
   },
   {
    "AppRoleProfileId": "profile-finance-analyst",
    "Role": "finance-analyst",
    "DisplayLabel": "Finance Analyst",
    "RoleKind": "human",
    "AccentColor": "#0891b2",
    "IconMark": "ledger",
    "IconPngBase64": "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
    "Pitch": "Check my own steps before somebody else does.",
    "SortOrder": 3,
    "SemanticTypeIri": "urn:effortless:pko-extension#AppRoleProfile",
    "Name": "Finance Analyst (human)",
    "RouteCount": 11
   },
   {
    "AppRoleProfileId": "profile-hr-policy-owner",
    "Role": "hr-policy-owner",
    "DisplayLabel": "People Policy Owner",
    "RoleKind": "human",
    "AccentColor": "#7c3aed",
    "IconMark": "seal",
    "IconPngBase64": "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
    "Pitch": "See what is live in my name and what is waiting on me.",
    "SortOrder": 4,
    "SemanticTypeIri": "urn:effortless:pko-extension#AppRoleProfile",
    "Name": "People Policy Owner (human)",
    "RouteCount": 10
   },
   {
    "AppRoleProfileId": "profile-employment-counsel",
    "Role": "employment-counsel",
    "DisplayLabel": "Employment Counsel",
    "RoleKind": "human",
    "AccentColor": "#4338ca",
    "IconMark": "scales",
    "IconPngBase64": "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A6sEMKgcY/WTGIxxfA0RFYG6z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t>
  </si>
  <si>
    <t xml:space="preserve">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
    "Pitch": "Hold the four legal gates: consent, quiet hours, review, retention.",
    "SortOrder": 5,
    "SemanticTypeIri": "urn:effortless:pko-extension#AppRoleProfile",
    "Name": "Employment Counsel (human)",
    "RouteCount": 6
   },
   {
    "AppRoleProfileId": "profile-communications-manager",
    "Role": "communications-manager",
    "DisplayLabel": "Employee Communications Manager",
    "RoleKind": "human",
    "AccentColor": "#c026d3",
    "IconMark": "broadcast",
    "IconPngBase64": "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
    "Pitch": "Follow a message from my approval to whether anyone actually got it.",
    "SortOrder": 6,
    "SemanticTypeIri": "urn:effortless:pko-extension#AppRoleProfile",
    "Name": "Employee Communications Manager (human)",
    "RouteCount": 11
   },
   {
    "AppRoleProfileId": "profile-process-steward",
    "Role": "process-steward",
    "DisplayLabel": "Procedural Knowledge Steward",
    "RoleKind": "human",
    "AccentColor": "#15803d",
    "IconMark": "cycle",
    "IconPngBase64": "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
    "Pitch": "Keep procedural knowledge current, owned, and exercised.",
    "SortOrder": 7,
    "SemanticTypeIri": "urn:effortless:pko-extension#AppRoleProfile",
    "Name": "Procedural Knowledge Steward (human)",
    "RouteCount": 11
   },
   {
    "AppRoleProfileId": "profile-knowledge-authority",
    "Role": "knowledge-authority",
    "DisplayLabel": "Procedural Knowledge Authority",
    "RoleKind": "human",
    "AccentColor": "#b45309",
    "IconMark": "keystone",
    "IconPngBase64": "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U7rrXIisCBCCeP1lCDXFkpXwG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
    "Pitch": "Approve semantic change, and know what the model's claims rest on.",
    "SortOrder": 8,
    "SemanticTypeIri": "urn:effortless:pko-extension#AppRoleProfile",
    "Name": "Procedural Knowledge Autho</t>
  </si>
  <si>
    <t xml:space="preserve">rity (human)",
    "RouteCount": 11
   },
   {
    "AppRoleProfileId": "profile-close-automation",
    "Role": "close-automation",
    "DisplayLabel": "Close Automation Operator",
    "RoleKind": "software",
    "AccentColor": "#0369a1",
    "IconMark": "gear",
    "IconPngBase64": "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
    "Pitch": "Confirm I am authorized and my inputs are fresh before I run.",
    "SortOrder": 9,
    "SemanticTypeIri": "urn:effortless:pko-extension#AppRoleProfile",
    "Name": "Close Automation Operator (software)",
    "RouteCount": 6
   },
   {
    "AppRoleProfileId": "profile-variance-review-agent",
    "Role": "variance-review-agent",
    "DisplayLabel": "Variance Review Agent",
    "RoleKind": "software",
    "AccentColor": "#be123c",
    "IconMark": "spark",
    "IconPngBase64": "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
    "Pitch": "Check my authority, my boundary, and my quality against the human baseline.",
    "SortOrder": 10,
    "SemanticTypeIri": "urn:effortless:pko-extension#AppRoleProfile",
    "Name": "Variance Review Agent (software)",
    "RouteCount": 11
   },
   {
    "AppRoleProfileId": "profile-policy-drafting-agent",
    "Role": "policy-drafting-agent",
    "DisplayLabel": "Policy Drafting Agent",
    "RoleKind": "software",
    "AccentColor": "#9333ea",
    "IconMark": "quill",
    "IconPngBase64": "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
    "Pitch": "Confirm my sources are approved and I have not created a commitment.",
    "SortOrder": 11,
    "SemanticTypeIri": "urn:effortless:pko-extension#AppRoleProfile",
    "Name": "Policy Drafting Agent (software)",
    "RouteCount": 6
   },
   {
    "AppRoleProfileId": "profile-notification-publisher",
    "Role": "notification-publisher",
    "DisplayLabel": "Notification Publisher",
    "RoleKind": "software",
    "AccentColor": "#ea580c",
    "IconMark": "signal",
    "IconPngBase64": "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
    "Pitch": "Clear four gates before transmitting, and leave a record of every refusal.",
    "SortOrder": 12,
    "SemanticTypeIri": "urn:effortless:pko-extension#AppRoleProfile",
    "Name": "Notification Publisher (software)",
    "RouteCount": 11
   }
  ]
 },
 "AppNavGroups": {
  "Description": "The left-navigation section headers. A route names the group it appears under; the nav renders the groups its active role actually uses.",
  "schema": [
   {
    "name": "AppNavGroupId",
    "datatype": "string",
    "type": "raw",
    "nullable": false,
    "Description": "Stored logical identifier for one AppNavGroups row."
   },
   {
    "name": "Name",
    "datatype": "string",
    "type": "calculated",
    "nullable": true,
    "Description": "Human-readable calculated display alias for the AppNavGroups row.",
    "formula": "={{GroupLabel}}"
   },
   {
    "name": "GroupLabel",
    "datatype": "string",
    "type": "raw",
    "nullable": true,
    "Description": "Section header text rendered in the left navigation."
   },
   {
    "name": "RouteCount",
    "datatype": "number",
    "type": "aggregation",
    "nullable": true,
    "Description": "How many routes sit under this nav group across all roles.",
    "formula": "=COUNTIFS(AppRoutes!{{NavGroup}}, {{AppNavGroupId}})"
   },
   {
    "name": "SemanticTypeIri",
    "datatype": "string",
    "type": "raw",
    "nullable": true,
    "Description": "Semantic type IRI for this row. An extension: PKO does not model navigation."
   }
  ],
  "data": [
   {
    "AppNavGroupId": "attest",
    "GroupLabel": "Attestation",
    "SemanticTypeIri": "urn:effortless:pko-extension#AppNavGroup",
    "Name": "Attestation",
    "RouteCount": 4
   },
   {
    "AppNavGroupId": "assurance",
    "GroupLabel": "Assurance",
    "SemanticTypeIri": "urn:effortless:pko-extension#AppNavGroup",
    "Name": "Assurance",
    "RouteCount": 5
   },
   {
    "AppNavGroupId": "authority",
    "GroupLabel": "Authority",
    "SemanticTypeIri": "urn:effortless:pko-extension#AppNavGroup",
    "Name": "Authority",
    "RouteCount": 4
   },
   {
    "AppNavGroupId": "controls",
    "GroupLabel": "Controls",
    "SemanticTypeIri": "urn:effortless:pko-extension#AppNavGroup",
    "Name": "Controls",
    "RouteCount": 4
   },
   {
    "AppNavGroupId": "evidence",
    "GroupLabel": "Evidence",
    "SemanticTypeIri": "urn:effortless:pko-extension#AppNavGroup",
    "Name": "Evidence",
    "RouteCount": 5
   },
   {
    "AppNavGroupId": "execution",
    "GroupLabel": "Execution",
    "SemanticTypeIri": "urn:effortless:pko-extension#AppNavGroup",
    "Name": "Execution",
    "RouteCount": 6
   },
   {
    "AppNavGroupId": "knowledge",
    "GroupLabel": "Knowledge",
    "SemanticTypeIri": "urn:effortless:pko-extension#AppNavGroup",
    "Name": "Knowledge",
    "RouteCount": 11
   },
   {
    "AppNavGroupId": "governance",
    "GroupLabel": "Governance",
    "SemanticTypeIri": "urn:effortless:pko-extension#AppNavGroup",
    "Name": "Governance",
    "RouteCount": 20
   },
   {
    "AppNavGroupId": "delivery",
    "GroupLabel": "Delivery",
    "SemanticTypeIri": "urn:effortless:pko-extension#AppNavGroup",
    "Name": "Delivery",
    "RouteCount": 5
   },
   {
    "AppNavGroupId": "audience",
    "GroupLabel": "Audience",
    "SemanticTypeIri": "urn:effortless:pko-extension#AppNavGroup",
    "Name": "Audience",
    "RouteCount": 2
   },
   {
    "AppNavGroupId": "compliance",
    "GroupLabel": "Compliance",
    "SemanticTypeIri": "urn:effortless:pko-extension#AppNavGroup",
    "Name": "Compliance",
    "RouteCount": 8
   },
   {
    "AppNavGroupId": "readiness",
    "GroupLabel": "Readiness",
    "SemanticTypeIri": "urn:effortless:pko-extension#AppNavGroup",
    "Name": "Readiness",
    "RouteCount": 13
   },
   {
    "AppNavGroupId": "selfcheck",
    "GroupLabel": "Self-check",
    "SemanticTypeIri": "urn:effortless:pko-extension#AppNavGroup",
    "Name": "Self-check",
    "RouteCount": 7
   },
   {
    "AppNavGroupId": "quality",
    "GroupLabel": "Quality",
    "SemanticTypeIri": "urn:effortless:pko-extension#AppNavGroup",
    "Name": "Quality",
    "RouteCount": 7
   },
   {
    "AppNavGroupId": "backlog",
    "GroupLabel": "My Backlog",
    "SemanticTypeIri": "urn:effortless:pko-extension#AppNavGroup",
    "Name": "My Backlog",
    "RouteCount": 3
   },
   {
    "AppNavGroupId": "ownership",
    "GroupLabel": "Ownership",
    "SemanticTypeIri": "urn:effortless:pko-extension#AppNavGroup",
    "Name": "Ownership",
    "RouteCount": 5
   },
   {
    "AppNavGroupId": "cadence",
    "GroupLabel": "Cadence",
    "SemanticTypeIri": "urn:effortless:pko-extension#AppNavGroup",
    "Name": "Cadence",
    "RouteCount": 3
   },
   {
    "AppNavGroupId": "model",
    "GroupLabel": "The Model",
    "SemanticTypeIri": "urn:effortless:pko-extension#AppNavGroup",
    "Name": "The Model",
    "RouteCount": 4
   },
   {
    "AppNavGroupId": "conformance",
    "GroupLabel": "Conformance",
    "SemanticTypeIri": "urn:effortless:pko-extension#AppNavGroup",
    "Name": "Conformance",
    "RouteCount": 2
   },
   {
    "AppNavGroupId": "witnesses",
    "GroupLabel": "Witnesses",
    "SemanticTypeIri": "urn:effortless:pko-extension#AppNavGroup",
    "Name": "Witnesses",
    "RouteCount": 2
   },
   {
    "AppNavGroupId": "loops",
    "GroupLabel": "Loops",
    "SemanticTypeIri": "urn:effortless:pko-extension#AppNavGroup",
    "Name": "Loops",
    "RouteCount": 2
   },
   {
    "AppNavGroupId": "provenance",
    "GroupLabel": "Provenance",
    "SemanticTypeIri": "urn:effortless:pko-extension#AppNavGroup",
    "Name": "Provenance",
    "RouteCount": 1
   },
   {
    "AppNavGroupId": "inferences",
    "GroupLabel": "Inferences",
    "SemanticTypeIri": "urn:effortless:pko-extension#AppNavGroup",
    "Name": "Inferences",
    "RouteCount": 4
   }
  ]
 },
 "AppRoutes": {
  "Description": "One row per screen in the role-navigated application, as /{role}/{dashboard}/{entity...}. Each carries its purpose in the owning role's voice and brief layout hints, so a later build session has the brief without re-deriving it. Shared detail routes have no owning role.",
  "schema": [
   {
    "name": "AppRouteId",
    "datatype": "string",
    "type": "raw",
    "nullable": false,
    "Description": "Stored logical identifier for one AppRoutes row."
   },
   {
    "name": "Name",
    "datatype": "string",
    "type": "calculated",
    "nullable": true,
    "Description": "Human-readable calculated display alias for the AppRoutes row.",
    "formula": "={{RouteName}} &amp; \" — \" &amp; {{RoutePath}}"
   },
   {
    "name": "RoutePath",
    "datatype": "string",
    "type": "raw",
    "nullable": false,
    "Description": "The URL path, /{role}/{dashboard}/{entity...}. Shared detail routes live under /shared/ because the same entity serves every role."
   },
   {
    "name": "RouteName",
    "datatype": "string",
    "type": "raw",
    "nullable": true,
    "Description": "Short label. This is the left-nav text."
   },
   {
    "name": "Surface",
    "datatype": "string",
    "type": "raw",
    "nullable": false,
    "Description": "domain | maintainer. Domain routes belong to the twelve accountable Roles. Maintainer routes are the model's own instrumentation (Admin, Explorer) and deliberately have no owning role — 'admin' is not a role anyone is accountable in."
   },
   {
    "name": "OwningRole",
    "datatype": "string",
    "type": "relationship",
    "nullable": true,
    "Description": "The role whose navigation contains this route. Null for shared routes reachable from several roles.",
    "RelatedTo": "Roles"
   },
   {
    "name": "NavGroup",
    "datatype": "string",
    "type": "relationship",
    "nullable": true,
    "Description": "Left-nav section this route appears under. Null for detail routes reached by drill-down rather than from the nav.",
    "RelatedTo": "AppNavGroups"
   },
   {
    "name": "NavOrder",
    "datatype": "number",
    "type": "raw",
    "nullable": true,
    "Description": "Sort order within the nav group."
   },
   {
    "name": "RouteKind",
    "datatype": "string",
    "type": "raw",
    "nullable": true,
    "Description": "dashboard | workspace | detail | index | action. Detail routes carry path parameters and are not in the nav."
   },
   {
    "name": "Purpose",
    "datatype": "string",
    "type": "raw",
    "nullable": true,
    "Description": "What the role does here, in that role's own voice. This is the brief for the build session."
   },
   {
    "name": "LayoutHints",
    "datatype": "string",
    "type": "raw",
    "nullable": true,
    "Description": "Brief layout direction: the shape of the screen, what leads, and what must not be collapsed or implied."
   },
   {
    "name": "IsInNav",
    "datatype": "boolean",
    "type": "calculated",
    "nullable": true,
    "Description": "Whether this route appears in the left navigation. Detail routes do not.",
    "formula": "={{NavGroup}} &lt;&gt; \"\""
   },
   {
    "name": "IsShared",
    "datatype": "boolean",
    "type": "calculated",
    "nullable": true,
    "Description": "Whether this route is shared across domain roles rather than owned by one. A maintainer route is not shared — it belongs to a different surface entirely.",
    "formula": "=AND({{OwningRole}} = \"\", {{Surface}} = \"domain\")"
   },
   {
    "name": "IsMaintainer",
    "datatype": "boolean",
    "type": "calculated",
    "nullable": true,
    "Description": "Whether this route is model instrumentation rather than a domain workspace. Maintainer routes are reached from the login page's maintainer section, not from a role card.",
    "formula": "={{Surface}} = \"maintainer\""
   },
   {
    "name": "QuestionCount",
    "datatype": "number",
    "type": "aggregation",
    "nullable": true,
    "Description": "How many role questions this route helps answer.",
    "formula": "=COUNTIFS(AppRouteQuest</t>
  </si>
  <si>
    <t xml:space="preserve">ions!{{Route}}, {{AppRouteId}})"
   },
   {
    "name": "ReferenceCount",
    "datatype": "number",
    "type": "aggregation",
    "nullable": true,
    "Description": "How many other routes this route links to.",
    "formula": "=COUNTIFS(AppRouteReferences!{{FromRoute}}, {{AppRouteId}})"
   },
   {
    "name": "AnswersNoQuestion",
    "datatype": "boolean",
    "type": "calculated",
    "nullable": true,
    "Description": "A domain route owned by a role that answers no role question. Not automatically wrong, but it should be justified. Maintainer routes are excluded: they answer questions about the model itself, which are not RoleQuestions and must not be fabricated as such.",
    "formula": "=AND({{QuestionCount}} = 0, {{IsShared}} = FALSE, {{IsMaintainer}} = FALSE, {{RouteKind}} &lt;&gt; \"index\")"
   },
   {
    "name": "SemanticTypeIri",
    "datatype": "string",
    "type": "raw",
    "nullable": true,
    "Description": "Semantic type IRI for this row. An extension: PKO models procedures, not the applications that display them."
   }
  ],
  "data": [
   {
    "AppRouteId": "cfo-home",
    "RoutePath": "/cfo/attestation",
    "RouteName": "Can I Sign?",
    "OwningRole": "cfo",
    "NavGroup": "attest",
    "NavOrder": 1,
    "RouteKind": "dashboard",
    "Purpose": "The one screen I open first. A single verdict for the close I am being asked to attest to, and if the answer is no, the named blocker.",
    "LayoutHints": "Hero verdict card (green/red) with the IsAttestationReady column and, beneath it, a blocker list. Right rail: assurance grade summary. Nothing below the fold that is not a blocker.",
    "SemanticTypeIri": "urn:effortless:pko-extension#AppRoute",
    "Surface": "domain",
    "Name": "Can I Sign? — /cfo/attestation",
    "IsInNav": true,
    "IsShared": false,
    "IsMaintainer": false,
    "QuestionCount": 2,
    "ReferenceCount": 3,
    "AnswersNoQuestion": false
   },
   {
    "AppRouteId": "cfo-blockers",
    "RoutePath": "/cfo/attestation/blockers",
    "RouteName": "Blockers",
    "OwningRole": "cfo",
    "NavGroup": "attest",
    "NavOrder": 2,
    "RouteKind": "workspace",
    "Purpose": "Every reason I cannot sign yet, each one traced to the row that produced it.",
    "LayoutHints": "Ordered list, most severe first. Each row: the blocking condition, the entity it fires on, and a link into that entity's detail route. Empty state must say 'no blockers' explicitly, never render blank.",
    "SemanticTypeIri": "urn:effortless:pko-extension#AppRoute",
    "Surface": "domain",
    "Name": "Blockers — /cfo/attestation/blockers",
    "IsInNav": true,
    "IsShared": false,
    "IsMaintainer": false,
    "QuestionCount": 2,
    "ReferenceCount": 2,
    "AnswersNoQuestion": false
   },
   {
    "AppRouteId": "cfo-assurance-grade",
    "RoutePath": "/cfo/assurance/grade",
    "RouteName": "Assurance Grade",
    "OwningRole": "cfo",
    "NavGroup": "assurance",
    "NavOrder": 1,
    "RouteKind": "workspace",
    "Purpose": "When the verdict reads TRUE, what proportion of the controls behind that TRUE were actually demonstrated to work — versus asserted by an interested party, versus never exercised at all.",
    "LayoutHints": "Three-band stacked bar: demonstrated / asserted / never-exercised. Below it, the per-control table that produced the bands. The headline number is the grade, not the verdict.",
    "SemanticTypeIri": "urn:effortless:pko-extension#AppRoute",
    "Surface": "domain",
    "Name": "Assurance Grade — /cfo/assurance/grade",
    "IsInNav": true,
    "IsShared": false,
    "IsMaintainer": false,
    "QuestionCount": 2,
    "ReferenceCount": 2,
    "AnswersNoQuestion": false
   },
   {
    "AppRouteId": "cfo-unwitnessed-controls",
    "RoutePath": "/cfo/assurance/unwitnessed",
    "RouteName": "Controls Nobody Watches",
    "OwningRole": "cfo",
    "NavGroup": "assurance",
    "NavOrder": 2,
    "RouteKind": "workspace",
    "Purpose": "The requirements I am personally attesting to that have no computed witness — and the named human who would answer for each if it failed.",
    "LayoutHints": "Table: requirement, blocking?, has-witness?, accountable human, their role. Rows with no witness AND blocking are the emphasis. Each row links to the requirement detail.",
    "SemanticTypeIri": "urn:effortless:pko-extension#AppRoute",
    "Surface": "domain",
    "Name": "Controls Nobody Watches — /cfo/assurance/unwitnessed",
    "IsInNav": true,
    "IsShared": false,
    "IsMaintainer": false,
    "QuestionCount": 2,
    "ReferenceCount": 2,
    "AnswersNoQuestion": false
   },
   {
    "AppRouteId": "cfo-typed-conclusions",
    "RoutePath": "/cfo/assurance/typed-conclusions",
    "RouteName": "Typed, Not Computed",
    "OwningRole": "cfo",
    "NavGroup": "assurance",
    "NavOrder": 3,
    "RouteKind": "workspace",
    "Purpose": "Every control claim in this model that rests on a human typing a conclusion rather than on something computed.",
    "LayoutHints": "Two-column split: computed claims vs typed claims, with counts. The typed side is the working list. Each entry shows who typed it and when.",
    "SemanticTypeIri": "urn:effortless:pko-extension#AppRoute",
    "Surface": "domain",
    "Name": "Typed, Not Computed — /cfo/assurance/typed-conclusions",
    "IsInNav": true,
    "IsShared": false,
    "IsMaintainer": false,
    "QuestionCount": 1,
    "ReferenceCount": 2,
    "AnswersNoQuestion": false
   },
   {
    "AppRouteId": "cfo-witness-chain",
    "RoutePath": "/cfo/assurance/independence",
    "RouteName": "Who Witnessed the Witnesses",
    "OwningRole": "cfo",
    "NavGroup": "assurance",
    "NavOrder": 4,
    "RouteKind": "workspace",
    "Purpose": "Across the whole close, is there any independent human observation at all — or is every layer the same handful of people confirming each other?",
    "LayoutHints": "Chain/graph view: approvals and verification outcomes as nodes, edges where one person confirms another. Self-witnessed loops highlighted. Sidebar counts independent vs self-witnessed.",
    "SemanticTypeIri": "urn:effortless:pko-extension#AppRoute",
    "Surface": "domain",
    "Name": "Who Witnessed the Witnesses — /cfo/assurance/independence",
    "IsInNav": true,
    "IsShared": false,
    "IsMaintainer": false,
    "QuestionCount": 2,
    "ReferenceCount": 2,
    "AnswersNoQuestion": false
   },
   {
    "AppRouteId": "cfo-authority-map",
    "RoutePath": "/cfo/authority/accountability",
    "RouteName": "Who Held Authority",
    "OwningRole": "cfo",
    "NavGroup": "authority",
    "NavOrder": 1,
    "RouteKind": "workspace",
    "Purpose": "For every approval in this close, the human who was personally accountable — and whether an exception routed authority away from the person who normally holds it.",
    "LayoutHints": "Table per approval: approver, role held at the time, normal holder, exception invoked?. Rerouted rows flagged. Links to the exception invocation detail.",
    "SemanticTypeIri": "urn:effortless:pko-extension#AppRoute",
    "Surface": "domain",
    "Name": "Who Held Authority — /cfo/authority/accountability",
    "IsInNav": true,
    "IsShared": false,
    "IsMaintainer": false,
    "QuestionCount": 1,
    "ReferenceCount": 2,
    "AnswersNoQuestion": false
   },
   {
    "AppRouteId": "cfo-my-approvals",
    "RoutePath": "/cfo/authority/my-approvals",
    "RouteName": "My Own Approvals",
    "OwningRole": "cfo",
    "NavGroup": "authority",
    "NavOrder": 2,
    "RouteKind": "workspace",
    "Purpose": "My approval on se-close06 — is there anything behind it other than the fact that I clicked approve?",
    "LayoutHints": "Detail card per approval I gave: what was verified, by whom, with what evidence. An approval with nothing behind it is rendered as a warning state, not an empty section.",
    "SemanticTypeIri": "urn:effortless:pko-extension#AppRoute",
    "Surface": "domain",
    "Name": "My Own Approvals — /cfo/authority/my-approvals",
    "IsInNav": true,
    "IsShared": false,
    "IsMaintainer": false,
    "QuestionCount": 2,
    "ReferenceCount": 2,
    "AnswersNoQuestion": false
   },
   {
    "AppRouteId": "cfo-signature-dependencies",
    "RoutePath": "/cfo/attestation/dependencies",
    "RouteName": "What My Signature Rests On",
    "OwningRole": "cfo",
    "NavGroup": "attest",
    "NavOrder": 3,
    "RouteKind": "workspace",
    "Purpose": "The full set of controls, versions, and evidence records my signature actually depends on — the blast radius of my own name.",
    "LayoutHints": "Dependency tree rooted at the attestation, expanding into controls, versions, evidence. Each node shows its current state. This is the reference view the change-watch route diffs against.",
    "SemanticTypeIri": "urn:effortless:pko-extension#AppRoute",
    "Surface": "domain",
    "Name": "What My Signature Rests On — /cfo/attestation/dependencies",
    "IsInNav": true,
    "IsShared": false,
    "IsMaintainer": false,
    "QuestionCount": 1,
    "ReferenceCount": 2,
    "AnswersNoQuestion": false
   },
   {
    "AppRouteId": "cfo-changed-since-signing",
    "RoutePath": "/cfo/attestation/changed-since",
    "RouteName": "Changed Since I Signed",
    "OwningRole": "cfo",
    "NavGroup": "attest",
    "NavOrder": 4,
    "RouteKind": "workspace",
    "Purpose": "Since the moment I signed, has anything changed that would have altered my decision — specifically touching a control, a version, or an evidence record my signature depended on.",
    "LayoutHints": "Timeline diff anchored at the signature timestamp. Only changes intersecting the dependency set are shown; unrelated churn is explicitly excluded and the exclusion is stated.",
    "SemanticTypeIri": "urn:effortless:pko-extension#AppRoute",
    "Surface": "domain",
    "Name": "Changed Since I Signed — /cfo/attestation/changed-since",
    "IsInNav": true,
    "IsShared": false,
    "IsMaintainer": false,
    "QuestionCount": 1,
    "ReferenceCount": 2,
    "AnswersNoQuestion": false
   },
   {
    "AppRouteId": "cfo-restatement",
    "RoutePath": "/cfo/assurance/restatement",
    "RouteName": "Would It Survive Restatement",
    "OwningRole": "cfo",
    "NavGroup": "assurance",
    "NavOrder": 5,
    "RouteKind": "workspace",
    "Purpose": "If I re-run every attestation column against this same data six months from now, will it give the same answer? Name every column whose value depends on when it is read.",
    "LayoutHints": "Table of attestation columns with a tense-dependent flag, sourced from the EvaluationContexts modelled instant. Time-dependent columns get an explicit warning band at the top.",
    "SemanticTypeIri": "urn:effortless:pko-extension#AppRoute",
    "Surface": "domain",
    "Name": "Would It Survive Restatement — /cfo/assurance/restatement",
    "IsInNav": true,
    "IsShared": false,
    "IsMaintainer": false,
    "QuestionCount": 1,
    "ReferenceCount": 2,
    "AnswersNoQuestion": false
   },
   {
    "AppRouteId": "cfo-attestation-detail",
    "RoutePath": "/cfo/attestation/execution/:executionId",
    "RouteName": "Attestation Detail",
    "OwningRole": "cfo",
    "NavGroup": "",
    "NavOrder": 0,
    "RouteKind": "detail",
    "Purpose": "One execution, everything I would be signing for it.",
    "LayoutHints": "Full-page record: execution header, per-step conformance, control results, evidence links. Reachable from the blocker list and the home verdict.",
    "SemanticTypeIri": "urn:effortless:pko-extension#AppRoute",
    "Surface": "domain",
    "Name": "Attestation Detail — /cfo/attestation/execution/:executionId",
    "IsInNav": false,
    "IsShared": false,
    "IsMaintainer": false,
    "QuestionCount": 1,
    "ReferenceCount": 2,
    "AnswersNoQuestion": false
   },
   {
    "AppRouteId": "controller-home",
    "RoutePath": "/controller/controls",
    "RouteName": "Control Board",
    "OwningRole": "controller",
    "NavGroup": "controls",
    "NavOrder": 1,
    "RouteKind": "dashboard",
    "Purpose": "Every close control at a glance: which fired, which held, and which are structurally incapable of failing.",
    "LayoutHints": "Grid of control tiles, each showing bound steps, witness presence, and whether it has ever produced a negative. Inoperative controls are visually distinct, not just sorted lower.",
    "SemanticTypeIri": "urn:effortless:pko-extension#AppRoute",
    "Surface": "domain",
    "Name": "Control Board — /controller/controls",
    "IsInNav": true,
    "IsShared": false,
    "IsMaintainer": false,
    "QuestionCount": 2,
    "ReferenceCount": 3,
    "AnswersNoQuestion": false
   },
   {
    "AppRouteId": "controller-mute-controls",
    "RoutePath": "/controller/controls/inoperative",
    "RouteName": "Inoperative Controls",
    "OwningRole": "controller",
    "NavGroup": "controls",
    "NavOrder": 2,
    "RouteKind": "workspace",
    "Purpose": "Which of my blocking close controls are structurally incapable of failing — declared, bound to a step, and yet with no mechanism that could ever produce a negative result.",
    "LayoutHints": "List with a three-state badge per control: has-witness / witness-ever-fired / could-ever-fire. The third state is the finding. Each row explains WHY it cannot fire.",
    "SemanticTypeIri": "urn:effortless:pko-extension#AppRoute",
    "Surface": "domain",
    "Name": "Inoperative Controls — /controller/controls/inoperative",
    "IsInNav": true,
    "IsShared": false,
    "IsMaintainer": false,
    "QuestionCount": 2,
    "ReferenceCount": 3,
    "AnswersNoQuestion": false
   },
   {
    "AppRouteId": "controller-witness-scope",
    "RoutePath": "/controller/controls/witness-scope",
    "RouteName": "Witness Scope vs Binding",
    "OwningRole": "controller",
    "NavGroup": "controls",
    "NavOrder": 3,
    "RouteKind": "workspace",
    "Purpose": "For each control with a witness, is the witness evaluated at the same steps where the control is bound? req-close-evidence is bound to close-03 and close-08 — is its witness scoped to both?",
    "LayoutHints": "Two parallel columns per control: steps bound vs steps witnessed, with the set difference called out. A non-empty difference is the finding.",
    "SemanticTypeIri": "urn:effortless:pko-extension#AppRoute",
    "Surface": "domain",
    "Name": "Witness Scope vs Binding — /controller/controls/witness-scope",
    "IsInNav": true,
    "IsShared": false,
    "IsMaintainer": false,
    "QuestionCount": 1,
    "ReferenceCount": 2,
    "AnswersNoQuestion": false
   },
   {
    "AppRouteId": "controller-separation",
    "RoutePath": "/controller/controls/separation-of-duties",
    "RouteName": "Separation of Duties",
    "OwningRole": "controller",
    "NavGroup": "controls",
    "NavOrder": 4,
    "RouteKind": "workspace",
    "Purpose": "Did the same agent both prepare and approve any part of this close — computed, not asserted. And could it even have happened, or is the control passing because the structure never gave it the chance to fail?",
    "LayoutHints": "Top: the computed verdict. Below: the opportunity analysis — executions where the same agent COULD have held both seats. A pass with zero opportunity is rendered as inconclusive, not green.",
    "SemanticTypeIri": "urn:effortless:pko-extension#AppRoute",
    "Surface": "domain",
    "Name": "Separation of Duties — /controller/controls/separation-of-duties",
    "IsInNav": true,
    "IsShared": false,
    "IsMaintainer": false,
    "QuestionCount": 2,
    "ReferenceCount": 2,
    "AnswersNoQuestion": false
   },
   {
    "AppRouteId": "controller-conformance",
    "RoutePath": "/controller/execution/conformance",
    "RouteName": "Spec vs Execution",
    "OwningRole": "controller",
    "NavGroup": "execution",
    "NavOrder": 1,
    "RouteKind": "workspace",
    "Purpose": "One number per close: did the execution actually conform to its procedure version, and if not, how far off was it?",
    "LayoutHints": "Reuse the existing spec/execution ledger layout. Add a single conformance score in the header. Divergent steps anchor-linked from the score.",
    "SemanticTypeIri": "urn:effortless:pko-extension#AppRoute",
    "Surface": "domain",
    "Name": "Spec vs Execution — /controller/execution/conformance",
    "IsInNav": true,
    "IsShared": false,
    "IsMaintainer": false,
    "QuestionCount": 1,
    "ReferenceCount": 2,
    "AnswersNoQuestion": false
   },
   {
    "AppRouteId": "controller-ungoverned-divergence",
    "RoutePath": "/controller/execution/ungoverned-divergence",
    "RouteName": "Divergence Nobody Governed",
    "OwningRole": "controller",
    "NavGroup": "execution",
    "NavOrder": 2,
    "RouteKind": "workspace",
    "Purpose": "For each divergence, was there a governing instrument behind it — an invoked exception, an approved change request, a recorded deviation with an owner — or did the run simply do something different and nobody wrote it down?",
    "LayoutHints": "Per divergence: the instrument that covers it, or an explicit 'ungoverned' state. Ungoverned rows are the working list and sort first.",
    "SemanticTypeIri": "urn:effortless:pko-extension#AppRoute",
    "Surface": "domain",
    "Name": "Divergence Nobody Governed — /controller/execution/ungoverned-divergence",
    "IsInNav": true,
    "IsShared": false,
    "IsMaintainer": false,
    "QuestionCount": 1,
    "ReferenceCount": 3,
    "AnswersNoQuestion": false
   },
   {
    "AppRouteId": "controller-authority-validity",
    "RoutePath": "/controller/authority/validity",
    "RouteName": "Authority at Time of Approval",
    "OwningRole": "controller",
    "NavGroup": "authority",
    "NavOrder": 1,
    "RouteKind": "workspace",
    "Purpose": "Every approval on this close — was it given by an agent who actually held the required role AT THE TIME they approved, not just someone who holds it today?",
    "LayoutHints": "Timeline per approval: the assignment window vs the approval instant. Approvals outside their window are the finding. Bitemporal — do not compare against today.",
    "SemanticTypeIri": "urn:effortless:pko-extension#AppRoute",
    "Surface": "domain",
    "Name": "Authority at Time of Approval — /controller/authority/validity",
    "IsInNav": true,
    "IsShared": false,
    "IsMaintainer": false,
    "QuestionCount": 1,
    "ReferenceCount": 2,
    "AnswersNoQuestion": false
   },
   {
    "AppRouteId": "controller-ai-boundary",
    "RoutePath": "/controller/authority/ai-boundary",
    "RouteName": "Machine Did Human Work",
    "OwningRole": "controller",
    "NavGroup": "authority",
    "NavOrder": 2,
    "RouteKind": "workspace",
    "Purpose": "Did any AI agent or automated pipeline execute a step that requires human confirmation, or sign off on something a human was supposed to own?",
    "LayoutHints": "Table of software-executed steps against their human-confirmation requirement. Include an explicit 'never approached' column — an untested boundary is not a passing one.",
    "SemanticTypeIri": "urn:effortless:pko-extension#AppRoute",
    "Surface": "domain",
    "Name": "Machine Did Human Work — /controller/authority/ai-boundary",
    "IsInNav": true,
    "IsShared": false,
    "IsMaintainer": false,
    "QuestionCount": 1,
    "ReferenceCount": 2,
    "AnswersNoQuestion": false
   },
   {
    "AppRouteId": "controller-asserted-controls",
    "RoutePath": "/controller/evidence/asserted",
    "RouteName": "Asserted, Not Demonstrated",
    "OwningRole": "controller",
    "NavGroup": "evidence",
    "NavOrder": 1,
    "RouteKind": "workspace",
    "Purpose": "Three satisfaction records are asserted-only. For each: who asserted it, did they have any independent basis, and were they the same person who executed the step they were scoring?",
    "LayoutHints": "Per record: asserter, executor, independence verdict. Same-person rows flagged. Evidence URI shown or its absence stated explicitly.",
    "SemanticTypeIri": "urn:effortless:pko-extension#AppRoute",
    "Surface": "domain",
    "Name": "Asserted, Not Demonstrated — /controller/evidence/asserted",
    "IsInNav": true,
    "IsShared": false,
    "IsMaintainer": false,
    "QuestionCount": 1,
    "ReferenceCount": 2,
    "AnswersNoQuestion": false
   },
   {
    "AppRouteId": "controller-control-detail",
    "RoutePath": "/controller/controls/requirement/:requirementId",
    "RouteName": "Control Detail",
    "OwningRole": "controller",
    "NavGroup": "",
    "NavOrder": 0,
    "RouteKind": "detail",
    "Purpose": "One control, end to end: what it says, where it is bound, what witnesses it, and every time it has been evaluated.",
    "LayoutHints": "Detail page. Header with the statement and blocking flag; sections for bindings, witness, and evaluation history. This is the shared requirement detail specialised for the controller.",
    "SemanticTypeIri": "urn:effortless:pko-extension#AppRoute",
    "Surface": "domain",
    "Name": "Control Detail — /controller/controls/requirement/:requirementId",
    "IsInNav": false,
    "IsShared": false,
    "IsMaintainer": false,
    "QuestionCount": 1,
    "ReferenceCount": 2,
    "AnswersNoQuestion": false
   },
   {
    "AppRouteId": "analyst-home",
    "RoutePath": "/finance-analyst/my-work",
    "RouteName": "My Steps",
    "OwningRole": "finance-analyst",
    "NavGroup": "execution",
    "NavOrder": 1,
    "RouteKind": "dashboard",
    "Purpose": "The steps I personally executed, and whether each one closed cleanly or closed past something.",
    "LayoutHints": "Card per step execution with status, duration vs expected, and blocking-control state. Anything that closed past a blocking control is the emphasis.",
    "SemanticTypeIri": "urn:effortless:pko-extension#AppRoute",
    "Surface": "domain",
    "Name": "My Steps — /finance-analyst/my-work",
    "IsInNav": true,
    "IsShared": false,
    "IsMaintainer": false,
    "QuestionCount": 2,
    "ReferenceCount": 3,
    "AnswersNoQuestion": false
   },
   {
    "AppRouteId": "analyst-blocking-unmet",
    "RoutePath": "/finance-analyst/my-work/blocking-unmet",
    "RouteName": "Closed Past a Control",
    "OwningRole": "finance-analyst",
    "NavGroup": "execution",
    "NavOrder": 2,
    "RouteKind": "workspace",
    "Purpose": "On the steps I personally executed, did any close out while a BLOCKING requirement was still not fully satisfied?",
    "LayoutHints": "List of my step executions with an unmet blocking control, each showing the control and its satisfaction level. This is a personal-exposure screen — keep it short and unambiguous.",
    "SemanticTypeIri": "urn:effortless:pko-extension#AppRoute",
    "Surface": "domain",
    "Name": "Closed Past a Control — /finance-analyst/my-work/blocking-unmet",
    "IsInNav": true,
    "IsShared": false,
    "IsMaintainer": false,
    "QuestionCount": 1,
    "ReferenceCount": 2,
    "AnswersNoQuestion": false
   },
   {
    "AppRouteId": "analyst-never-evaluated",
    "RoutePath": "/finance-analyst/my-work/never-evaluated",
    "RouteName": "Never Assessed",
    "OwningRole": "finance-analyst",
    "NavGroup": "execution",
    "NavOrder": 3,
    "RouteKind": "workspace",
    "Purpose": "Which blocking requirements were attached to a step I ran but never got a satisfaction record at all — not satisfied, not unsatisfied, just never assessed.",
    "LayoutHints": "The absence IS the finding, so render missing records as explicit rows, never as an empty table.",
    "SemanticTypeIri": "urn:effortless:pko-extension#AppRoute",
    "Surface": "domain",
    "Name": "Never Assessed — /finance-analyst/my-work/never-evaluated",
    "IsInNav": true,
    "IsShared": false,
    "IsMaintainer": false,
    "QuestionCount": 1,
    "ReferenceCount": 2,
    "AnswersNoQuestion": false
   },
   {
    "AppRouteId": "analyst-late-steps",
    "RoutePath": "/finance-analyst/my-work/late-unexplained",
    "RouteName": "Late and Unexplained",
    "OwningRole": "finance-analyst",
    "NavGroup": "execution",
    "NavOrder": 4,
    "RouteKind": "workspace",
    "Purpose": "Which of my steps ran long without anybody recording why — and of those, which had an exception available that nobody invoked.",
    "LayoutHints": "Table: step, actual vs expected, deviation recorded?, exception available?, exception invoked?. The available-but-not-invoked combination is the finding.",
    "SemanticTypeIri": "urn:effortless:pko-extension#AppRoute",
    "Surface": "domain",
    "Name": "Late and Unexplained — /finance-analyst/my-work/late-unexplained",
    "IsInNav": true,
    "IsShared": false,
    "IsMaintainer": false,
    "QuestionCount": 1,
    "ReferenceCount": 2,
    "AnswersNoQuestion": false
   },
   {
    "AppRouteId": "analyst-verification-performed",
    "RoutePath": "/finance-analyst/evidence/verification-performed",
    "RouteName": "Declared vs Performed",
    "OwningRole": "finance-analyst",
    "NavGroup": "evidence",
    "NavOrder": 1,
    "RouteKind": "workspace",
    "Purpose": "For every step I ran that had a declared verification, did anybody actually perform it and record the observed signal — or did I just get a PASS with nothing behind it?",
    "LayoutHints": "Per step: declared verification, observed signal or its absence, who observed. A PASS with no observation is rendered as hollow, not green.",
    "SemanticTypeIri": "urn:effortless:pko-extension#AppRoute",
    "Surface": "domain",
    "Name": "Declared vs Performed — /finance-analyst/evidence/verification-performed",
    "IsInNav": true,
    "IsShared": false,
    "IsMaintainer": false,
    "QuestionCount": 1,
    "ReferenceCount": 2,
    "AnswersNoQuestion": false
   },
   {
    "AppRouteId": "analyst-evidence-quality",
    "RoutePath": "/finance-analyst/evidence/my-evidence",
    "RouteName": "My Own Evidence Quality",
    "OwningRole": "finance-analyst",
    "NavGroup": "evidence",
    "NavOrder": 2,
    "RouteKind": "workspace",
    "Purpose": "On the steps I ran, was the person who observed the passing signal ever me — and when it was, did I at least attach an evidence URI?",
    "LayoutHints": "Self-witness table scoped to my steps: observer, is-me flag, evidence URI present. Self-witnessed with no URI is the weakest state and should read that way.",
    "SemanticTypeIri": "urn:effortless:pko-extension#AppRoute",
    "Surface": "domain",
    "Name": "My Own Evidence Quality — /finance-analyst/evidence/my-evidence",
    "IsInNav": true,
    "IsShared": false,
    "IsMaintainer": false,
    "QuestionCount": 1,
    "ReferenceCount": 2,
    "AnswersNoQuestion": false
   },
   {
    "AppRouteId": "analyst-source-freshness",
    "RoutePath": "/finance-analyst/evidence/source-freshness",
    "RouteName": "Was My Source Fresh",
    "OwningRole": "finance-analyst",
    "NavGroup": "evidence",
    "NavOrder": 3,
    "RouteKind": "workspace",
    "Purpose": "When I attested my reconciliation, was the underlying ledger data actually fresh — or was I certifying against a source that had already gone stale under its own SLA?",
    "LayoutHints": "Per binding: freshness SLA, age at run, authoritative flag. Judged against the modelled instant, never the wall clock.",
    "SemanticTypeIri": "urn:effortless:pko-extension#AppRoute",
    "Surface": "domain",
    "Name": "Was My Source Fresh — /finance-analyst/evidence/source-freshness",
    "IsInNav": true,
    "IsShared": false,
    "IsMaintainer": false,
    "QuestionCount": 1,
    "ReferenceCount": 2,
    "AnswersNoQuestion": false
   },
   {
    "AppRouteId": "analyst-stale-then-vs-now",
    "RoutePath": "/finance-analyst/evidence/stale-then-vs-now",
    "RouteName": "Stale Then vs Stale Now",
    "OwningRole": "finance-analyst",
    "NavGroup": "evidence",
    "NavOrder": 4,
    "RouteKind": "workspace",
    "Purpose": "Was the source stale AT THE MOMENT I RAN, or has it merely gone stale since — and are those the same steps?",
    "LayoutHints": "Two-column comparison: staleness at run-time vs staleness at the current evaluation context. The delta between the columns is the whole point of the screen.",
    "SemanticTypeIri": "urn:effortless:pko-extension#AppRoute",
    "Surface": "domain",
    "Name": "Stale Then vs Stale Now — /finance-analyst/evidence/stale-then-vs-now",
    "IsInNav": true,
    "IsShared": false,
    "IsMaintainer": false,
    "QuestionCount": 1,
    "ReferenceCount": 2,
    "AnswersNoQuestion": false
   },
   {
    "AppRouteId": "analyst-clean-but-uncovered",
    "RoutePath": "/finance-analyst/quality/clean-but-uncovered",
    "RouteName": "Clean, or Just Unchecked",
    "OwningRole": "finance-analyst",
    "NavGroup": "quality",
    "NavOrder": 1,
    "RouteKind": "workspace",
    "Purpose": "Of the executions that ARE clean, how many are clean because everything was checked and passed, versus clean because there was almost nothing checking them?",
    "LayoutHints": "Scatter or two-axis table: controls-checked against controls-passed. Low-check/high-pass is the quadrant of interest and should be labelled as such.",
    "SemanticTypeIri": "urn:effortless:pko-extension#AppRoute",
    "Surface": "domain",
    "Name": "Clean, or Just Unchecked — /finance-analyst/quality/clean-but-uncovered",
    "IsInNav": true,
    "IsShared": false,
    "IsMaintainer": false,
    "QuestionCount": 1,
    "ReferenceCount": 2,
    "AnswersNoQuestion": false
   },
   {
    "AppRouteId": "analyst-mute-clearance",
    "RoutePath": "/finance-analyst/quality/cleared-by-mute-control",
    "RouteName": "Cleared by a Mute Control",
    "OwningRole": "finance-analyst",
    "NavGroup": "quality",
    "NavOrder": 2,
    "RouteKind": "workspace",
    "Purpose": "How many of the blocking controls that cleared me have NEVER produced a negative outcome anywhere in this model — and were any of my steps cleared ONLY by controls of that kind?",
    "LayoutHints": "Per step: clearing controls, each tagged with whether it has ever fired negative. A step cleared exclusively by never-fired controls is the headline finding.",
    "SemanticTypeIri": "urn:effortless:pko-extension#AppRoute",
    "Surface": "domain",
    "Name": "Cleared by a Mute Control — /finance-analyst/quality/cleared-by-mute-control",
    "IsInNav": true,
    "IsShared": false,
    "IsMaintainer": false,
    "QuestionCount": 1,
    "ReferenceCount": 2,
    "AnswersNoQuestion": false
   },
   {
    "AppRouteId": "analyst-witness-coverage",
    "RoutePath": "/finance-analyst/quality/witness-coverage",
    "RouteName": "Coverage of My Controls",
    "OwningRole": "finance-analyst",
    "NavGroup": "quality",
    "NavOrder": 3,
    "RouteKind": "workspace",
    "Purpose": "Of the blocking controls attached to the steps I run, how many have no computed witness — and is HasComputedWitness even telling me the truth, given a human typed it in by hand?",
    "LayoutHints": "Coverage bar plus a caveat band: the declared-vs-actual witness comparison, because the declaration itself is a typed field and must be shown as such.",
    "SemanticTypeIri": "urn:effortless:pko-extension#AppRoute",
    "Surface": "domain",
    "Name": "Coverage of My Controls — /finance-analyst/quality/witness-coverage",
    "IsInNav": true,
    "IsShared": false,
    "IsMaintainer": false,
    "QuestionCount": 1,
    "ReferenceCount": 2,
    "AnswersNoQuestion": false
   },
   {
    "AppRouteId": "hr-home",
    "RoutePath": "/hr-policy-owner/ownership",
    "RouteName": "What I Own",
    "OwningRole": "hr-policy-owner",
    "NavGroup": "ownership",
    "NavOrder": 1,
    "RouteKind": "dashboard",
    "Purpose": "Everything currently live under my name: policy versions, knowledge claims, and the decisions waiting on me.",
    "LayoutHints": "Three-panel dashboard: owned versions, owned claims (with approval state), pending decisions with age. Unapproved-but-live claims are the emphasis.",
    "SemanticTypeIri": "urn:effortless:pko-extension#AppRoute",
    "Surface": "domain",
    "Name": "What I Own — /hr-policy-owner/ownership",
    "IsInNav": true,
    "IsShared": false,
    "IsMaintainer": false,
    "QuestionCount": 2,
    "ReferenceCount": 3,
    "AnswersNoQuestion": false
   },
   {
    "AppRouteId": "hr-unapproved-claims",
    "RoutePath": "/hr-policy-owner/ownership/unapproved",
    "RouteName": "Unapproved in My Name",
    "OwningRole": "hr-policy-owner",
    "NavGroup": "ownership",
    "NavOrder": 2,
    "RouteKind": "workspace",
    "Purpose": "Which claims am I the owner of that were never approved — and are any of them routing real cases right now?",
    "LayoutHints": "List of owned fragments by status, with an 'operationally live' flag. Reviewed-but-not-Approved AND live is the finding.",
    "SemanticTypeIri": "urn:effortless:pko-extension#AppRoute",
    "Surface": "domain",
    "Name": "Unapproved in My Name — /hr-poli</t>
  </si>
  <si>
    <t xml:space="preserve">cy-owner/ownership/unapproved",
    "IsInNav": true,
    "IsShared": false,
    "IsMaintainer": false,
    "QuestionCount": 1,
    "ReferenceCount": 2,
    "AnswersNoQuestion": false
   },
   {
    "AppRouteId": "hr-load-bearing-claim",
    "RoutePath": "/hr-policy-owner/ownership/blast-radius/:fragmentId",
    "RouteName": "Blast Radius of a Claim",
    "OwningRole": "hr-policy-owner",
    "NavGroup": "ownership",
    "NavOrder": 3,
    "RouteKind": "detail",
    "Purpose": "How many steps, exceptions and authority boundaries currently depend on a claim I have not signed, and how long has it been sitting at Reviewed?",
    "LayoutHints": "Dependency fan-out from one fragment: steps, exceptions, boundaries. Header carries the age at Reviewed. This is the screen that makes an unsigned claim feel expensive.",
    "SemanticTypeIri": "urn:effortless:pko-extension#AppRoute",
    "Surface": "domain",
    "Name": "Blast Radius of a Claim — /hr-policy-owner/ownership/blast-radius/:fragmentId",
    "IsInNav": true,
    "IsShared": false,
    "IsMaintainer": false,
    "QuestionCount": 1,
    "ReferenceCount": 2,
    "AnswersNoQuestion": false
   },
   {
    "AppRouteId": "hr-backlog",
    "RoutePath": "/hr-policy-owner/backlog",
    "RouteName": "Waiting On Me",
    "OwningRole": "hr-policy-owner",
    "NavGroup": "backlog",
    "NavOrder": 1,
    "RouteKind": "workspace",
    "Purpose": "What decisions are waiting on me personally, and how long have they been waiting.",
    "LayoutHints": "Queue ordered by age. Each item shows what it blocks downstream, so the cost of my delay is visible from the queue itself.",
    "SemanticTypeIri": "urn:effortless:pko-extension#AppRoute",
    "Surface": "domain",
    "Name": "Waiting On Me — /hr-policy-owner/backlog",
    "IsInNav": true,
    "IsShared": false,
    "IsMaintainer": false,
    "QuestionCount": 1,
    "ReferenceCount": 2,
    "AnswersNoQuestion": false
   },
   {
    "AppRouteId": "hr-backlog-downstream",
    "RoutePath": "/hr-policy-owner/backlog/downstream",
    "RouteName": "What My Delay Blocks",
    "OwningRole": "hr-policy-owner",
    "NavGroup": "backlog",
    "NavOrder": 2,
    "RouteKind": "workspace",
    "Purpose": "The full chain from my inbox outward: which knowledge gaps stay open because I have not decided, which steps sit downstream, and how many days of that delay are mine personally.",
    "LayoutHints": "Chain view: my pending decision → blocked gap → downstream steps. Attribute delay days to me vs to the process explicitly; do not conflate them.",
    "SemanticTypeIri": "urn:effortless:pko-extension#AppRoute",
    "Surface": "domain",
    "Name": "What My Delay Blocks — /hr-policy-owner/backlog/downstream",
    "IsInNav": true,
    "IsShared": false,
    "IsMaintainer": false,
    "QuestionCount": 1,
    "ReferenceCount": 2,
    "AnswersNoQuestion": false
   },
   {
    "AppRouteId": "hr-my-decisions",
    "RoutePath": "/hr-policy-owner/backlog/my-decisions",
    "RouteName": "What I Have Cleared",
    "OwningRole": "hr-policy-owner",
    "NavGroup": "backlog",
    "NavOrder": 3,
    "RouteKind": "workspace",
    "Purpose": "How many decisions have I made that the model still displays as outstanding against me? I cannot show what I have actually cleared.",
    "LayoutHints": "Decision history with the terminal-state problem surfaced: Approved requests still counted open are flagged as a model defect, not hidden.",
    "SemanticTypeIri": "urn:effortless:pko-extension#AppRoute",
    "Surface": "domain",
    "Name": "What I Have Cleared — /hr-policy-owner/backlog/my-decisions",
    "IsInNav": true,
    "IsShared": false,
    "IsMaintainer": false,
    "QuestionCount": 1,
    "ReferenceCount": 2,
    "AnswersNoQuestion": false
   },
   {
    "AppRouteId": "hr-ai-boundary",
    "RoutePath": "/hr-policy-owner/governance/ai-boundary",
    "RouteName": "Is the AI Boundary Held",
    "OwningRole": "hr-policy-owner",
    "NavGroup": "governance",
    "NavOrder": 1,
    "RouteKind": "workspace",
    "Purpose": "kf-policy-ai-boundary says AI may draft but may not create legal commitments. Is that boundary actually being held?",
    "LayoutHints": "Per boundary: assigned agent, executions, and whether a violation was possible. Pair every 'no violation' with an 'ever approached' count — the two together are the real answer.",
    "SemanticTypeIri": "urn:effortless:pko-extension#AppRoute",
    "Surface": "domain",
    "Name": "Is the AI Boundary Held — /hr-policy-owner/governance/ai-boundary",
    "IsInNav": true,
    "IsShared": false,
    "IsMaintainer": false,
    "QuestionCount": 2,
    "ReferenceCount": 2,
    "AnswersNoQuestion": false
   },
   {
    "AppRouteId": "hr-knowledge-half-life",
    "RoutePath": "/hr-policy-owner/governance/knowledge-half-life",
    "RouteName": "Knowledge Half-Life",
    "OwningRole": "hr-policy-owner",
    "NavGroup": "governance",
    "NavOrder": 2,
    "RouteKind": "workspace",
    "Purpose": "Is the policy I own now resting on knowledge older than the policy itself has been reviewed?",
    "LayoutHints": "Timeline: elicitation dates, version issue date, review cadence, next due. The comparison between knowledge age and review interval is the headline.",
    "SemanticTypeIri": "urn:effortless:pko-extension#AppRoute",
    "Surface": "domain",
    "Name": "Knowledge Half-Life — /hr-policy-owner/governance/knowledge-half-life",
    "IsInNav": true,
    "IsShared": false,
    "IsMaintainer": false,
    "QuestionCount": 1,
    "ReferenceCount": 2,
    "AnswersNoQuestion": false
   },
   {
    "AppRouteId": "hr-departed-holders",
    "RoutePath": "/hr-policy-owner/governance/departed-holders",
    "RouteName": "What Departed With Them",
    "OwningRole": "hr-policy-owner",
    "NavGroup": "governance",
    "NavOrder": 3,
    "RouteKind": "workspace",
    "Purpose": "Somebody's assignment ended. Did anything they owned or sourced go with them — claims, gaps, pending decisions — or did the departure genuinely leave nothing behind?",
    "LayoutHints": "Per departed assignment: everything sourced or owned by that agent, with current ownership state. Orphaned items are the finding.",
    "SemanticTypeIri": "urn:effortless:pko-extension#AppRoute",
    "Surface": "domain",
    "Name": "What Departed With Them — /hr-policy-owner/governance/departed-holders",
    "IsInNav": true,
    "IsShared": false,
    "IsMaintainer": false,
    "QuestionCount": 1,
    "ReferenceCount": 2,
    "AnswersNoQuestion": false
   },
   {
    "AppRouteId": "hr-what-was-sent",
    "RoutePath": "/hr-policy-owner/delivery/what-was-sent",
    "RouteName": "What Was Actually Sent",
    "OwningRole": "hr-policy-owner",
    "NavGroup": "delivery",
    "NavOrder": 1,
    "RouteKind": "workspace",
    "Purpose": "If an employee disputes what they received, can I show that what was sent matched what I approved?",
    "LayoutHints": "Per delivery: approved text vs transmitted text, side by side, with the approval record and date. A mismatch is the finding; identical is stated explicitly.",
    "SemanticTypeIri": "urn:effortless:pko-extension#AppRoute",
    "Surface": "domain",
    "Name": "What Was Actually Sent — /hr-policy-owner/delivery/what-was-sent",
    "IsInNav": true,
    "IsShared": false,
    "IsMaintainer": false,
    "QuestionCount": 1,
    "ReferenceCount": 2,
    "AnswersNoQuestion": false
   },
   {
    "AppRouteId": "counsel-home",
    "RoutePath": "/employment-counsel/compliance",
    "RouteName": "Compliance Gates",
    "OwningRole": "employment-counsel",
    "NavGroup": "compliance",
    "NavOrder": 1,
    "RouteKind": "dashboard",
    "Purpose": "The four gates I care about — consent, quiet hours, legal review, retention — each as a pass/fail with the breaching rows named.",
    "LayoutHints": "Four gate tiles across the top; a breach list beneath whichever is selected. A gate with zero breaches must distinguish 'checked and clean' from 'never evaluated'.",
    "SemanticTypeIri": "urn:effortless:pko-extension#AppRoute",
    "Surface": "domain",
    "Name": "Compliance Gates — /employment-counsel/compliance",
    "IsInNav": true,
    "IsShared": false,
    "IsMaintainer": false,
    "QuestionCount": 4,
    "ReferenceCount": 4,
    "AnswersNoQuestion": false
   },
   {
    "AppRouteId": "counsel-consent",
    "RoutePath": "/employment-counsel/compliance/consent",
    "RouteName": "SMS Without Consent",
    "OwningRole": "employment-counsel",
    "NavGroup": "compliance",
    "NavOrder": 2,
    "RouteKind": "workspace",
    "Purpose": "Did we send an SMS to any recipient who had not given SMS consent at the moment we sent it?",
    "LayoutHints": "Per SMS delivery: recipient, consent state at send time, verdict. Bitemporal — consent today is not the question.",
    "SemanticTypeIri": "urn:effortless:pko-extension#AppRoute",
    "Surface": "domain",
    "Name": "SMS Without Consent — /employment-counsel/compliance/consent",
    "IsInNav": true,
    "IsShared": false,
    "IsMaintainer": false,
    "QuestionCount": 1,
    "ReferenceCount": 2,
    "AnswersNoQuestion": false
   },
   {
    "AppRouteId": "counsel-quiet-hours",
    "RoutePath": "/employment-counsel/compliance/quiet-hours",
    "RouteName": "Quiet Hours",
    "OwningRole": "employment-counsel",
    "NavGroup": "compliance",
    "NavOrder": 3,
    "RouteKind": "workspace",
    "Purpose": "Did any SMS go out between 20:00 and 08:00 in the recipient's own local time?",
    "LayoutHints": "Per delivery: send instant, recipient timezone, local hour, verdict. Show the local-time conversion explicitly — the timezone is the whole difficulty.",
    "SemanticTypeIri": "urn:effortless:pko-extension#AppRoute",
    "Surface": "domain",
    "Name": "Quiet Hours — /employment-counsel/compliance/quiet-hours",
    "IsInNav": true,
    "IsShared": false,
    "IsMaintainer": false,
    "QuestionCount": 1,
    "ReferenceCount": 2,
    "AnswersNoQuestion": false
   },
   {
    "AppRouteId": "counsel-legal-review",
    "RoutePath": "/employment-counsel/compliance/legal-review",
    "RouteName": "Sent Before My Review",
    "OwningRole": "employment-counsel",
    "NavGroup": "compliance",
    "NavOrder": 4,
    "RouteKind": "workspace",
    "Purpose": "Did any message go out before my legal review of the underlying policy version was actually complete?",
    "LayoutHints": "Timeline per campaign: review completion vs first transmission. Sends preceding review completion are the finding.",
    "SemanticTypeIri": "urn:effortless:pko-extension#AppRoute",
    "Surface": "domain",
    "Name": "Sent Before My Review — /employment-counsel/compliance/legal-review",
    "IsInNav": true,
    "IsShared": false,
    "IsMaintainer": false,
    "QuestionCount": 1,
    "ReferenceCount": 2,
    "AnswersNoQuestion": false
   },
   {
    "AppRouteId": "counsel-retention",
    "RoutePath": "/employment-counsel/compliance/retention",
    "RouteName": "Retention Evidence",
    "OwningRole": "employment-counsel",
    "NavGroup": "compliance",
    "NavOrder": 5,
    "RouteKind": "workspace",
    "Purpose": "Do we still hold the exact text of every message we sent, for the full 2555-day retention period the policy commits us to?",
    "LayoutHints": "Per delivery: text retained?, retention deadline, days remaining. Missing text is a breach and must render as one.",
    "SemanticTypeIri": "urn:effortless:pko-extension#AppRoute",
    "Surface": "domain",
    "Name": "Retention Evidence — /employment-counsel/compliance/retention",
    "IsInNav": true,
    "IsShared": false,
    "IsMaintainer": false,
    "QuestionCount": 1,
    "ReferenceCount": 2,
    "AnswersNoQuestion": false
   },
   {
    "AppRouteId": "counsel-unreachable",
    "RoutePath": "/employment-counsel/compliance/unreachable",
    "RouteName": "Unreachable, Not Acknowledged",
    "OwningRole": "employment-counsel",
    "NavGroup": "compliance",
    "NavOrder": 6,
    "RouteKind": "workspace",
    "Purpose": "For every recipient we could not reach, did we correctly refrain from marking their acknowledgement complete?",
    "LayoutHints": "Per unreachable recipient: delivery state, acknowledgement state. An acknowledgement on an unreachable recipient is the finding.",
    "SemanticTypeIri": "urn:effortless:pko-extension#AppRoute",
    "Surface": "domain",
    "Name": "Unreachable, Not Acknowledged — /employment-counsel/compliance/unreachable",
    "IsInNav": true,
    "IsShared": false,
    "IsMaintainer": false,
    "QuestionCount": 1,
    "ReferenceCount": 2,
    "AnswersNoQuestion": false
   },
   {
    "AppRouteId": "comms-home",
    "RoutePath": "/communications-manager/delivery",
    "RouteName": "Campaign Board",
    "OwningRole": "communications-manager",
    "NavGroup": "delivery",
    "NavOrder": 1,
    "RouteKind": "dashboard",
    "Purpose": "For this policy run: who we meant to reach, who we actually reached, and where the rest went.",
    "LayoutHints": "Funnel across the top (intended → sent → delivered → acknowledged), with each drop-off clickable into the rows that fell out.",
    "SemanticTypeIri": "urn:effortless:pko-extension#AppRoute",
    "Surface": "domain",
    "Name": "Campaign Board — /communications-manager/delivery",
    "IsInNav": true,
    "IsShared": false,
    "IsMaintainer": false,
    "QuestionCount": 2,
    "ReferenceCount": 3,
    "AnswersNoQuestion": false
   },
   {
    "AppRouteId": "comms-yield",
    "RoutePath": "/communications-manager/delivery/yield",
    "RouteName": "Approval-to-Delivery Yield",
    "OwningRole": "communications-manager",
    "NavGroup": "delivery",
    "NavOrder": 2,
    "RouteKind": "workspace",
    "Purpose": "Of everybody the pipeline intended to contact, what fraction actually received it — and where exactly did the rest go?",
    "LayoutHints": "Sankey or stepped funnel with an explicit terminal bucket for every loss: refused, bounced, suppressed, deferred. No row may vanish without a bucket.",
    "SemanticTypeIri": "urn:effortless:pko-extension#AppRoute",
    "Surface": "domain",
    "Name": "Approval-to-Delivery Yield — /communications-manager/delivery/yield",
    "IsInNav": true,
    "IsShared": false,
    "IsMaintainer": false,
    "QuestionCount": 2,
    "ReferenceCount": 3,
    "AnswersNoQuestion": false
   },
   {
    "AppRouteId": "comms-failed-deliveries",
    "RoutePath": "/communications-manager/delivery/failed",
    "RouteName": "Bounced and Unworked",
    "OwningRole": "communications-manager",
    "NavGroup": "delivery",
    "NavOrder": 3,
    "RouteKind": "workspace",
    "Purpose": "How many recipients are sitting in a bounced or failed state that nobody is working?",
    "LayoutHints": "Worklist, not a report: each failed delivery with age and owner. Unowned failures sort first.",
    "SemanticTypeIri": "urn:effortless:pko-extension#AppRoute",
    "Surface": "domain",
    "Name": "Bounced and Unworked — /communications-manager/delivery/failed",
    "IsInNav": true,
    "IsShared": false,
    "IsMaintainer": false,
    "QuestionCount": 1,
    "ReferenceCount": 2,
    "AnswersNoQuestion": false
   },
   {
    "AppRouteId": "comms-approval-authority",
    "RoutePath": "/communications-manager/governance/approval-authority",
    "RouteName": "Approved Before Sending",
    "OwningRole": "communications-manager",
    "NavGroup": "governance",
    "NavOrder": 1,
    "RouteKind": "workspace",
    "Purpose": "Was every template we actually sent approved by me — the ApprovalRole the policy names — before it went out?",
    "LayoutHints": "Per sent template: approval record, approver role, approval instant vs send instant. Sends preceding approval are the finding.",
    "SemanticTypeIri": "urn:effortless:pko-extension#AppRoute",
    "Surface": "domain",
    "Name": "Approved Before Sending — /communications-manager/governance/approval-authority",
    "IsInNav": true,
    "IsShared": false,
    "IsMaintainer": false,
    "QuestionCount": 1,
    "ReferenceCount": 2,
    "AnswersNoQuestion": false
   },
   {
    "AppRouteId": "comms-template-drift",
    "RoutePath": "/communications-manager/governance/template-drift",
    "RouteName": "Edited After I Approved",
    "OwningRole": "communications-manager",
    "NavGroup": "governance",
    "NavOrder": 2,
    "RouteKind": "workspace",
    "Purpose": "Has any template been edited since I approved it, and did we send the edited version under cover of my old approval?",
    "LayoutHints": "Per template: approval timestamp, last edit timestamp, sends after the edit. Edit-then-send-on-old-approval is the finding.",
    "SemanticTypeIri": "urn:effortless:pko-extension#AppRoute",
    "Surface": "domain",
    "Name": "Edited After I Approved — /communications-manager/governance/template-drift",
    "IsInNav": true,
    "IsShared": false,
    "IsMaintainer": false,
    "QuestionCount": 1,
    "ReferenceCount": 2,
    "AnswersNoQuestion": false
   },
   {
    "AppRouteId": "comms-frozen-approval",
    "RoutePath": "/communications-manager/governance/frozen-approval/:deliveryId",
    "RouteName": "Freeze What I Approved",
    "OwningRole": "communications-manager",
    "NavGroup": "governance",
    "NavOrder": 3,
    "RouteKind": "detail",
    "Purpose": "For a message we sent last month, can I still show what I approved — the exact text, the exact approval, on the exact date — without that answer changing the next time somebody edits the template?",
    "LayoutHints": "Immutable snapshot view: the text as sent, the approval as given. Must read from the frozen delivery record, never from the live template.",
    "SemanticTypeIri": "urn:effortless:pko-extension#AppRoute",
    "Surface": "domain",
    "Name": "Freeze What I Approved — /communications-manager/governance/frozen-approval/:deliveryId",
    "IsInNav": true,
    "IsShared": false,
    "IsMaintainer": false,
    "QuestionCount": 1,
    "ReferenceCount": 3,
    "AnswersNoQuestion": false
   },
   {
    "AppRouteId": "comms-optout",
    "RoutePath": "/communications-manager/compliance/optout",
    "RouteName": "Opt-Out Text",
    "OwningRole": "communications-manager",
    "NavGroup": "compliance",
    "NavOrder": 1,
    "RouteKind": "workspace",
    "Purpose": "Did every SMS we actually transmitted carry the approved opt-out text?",
    "LayoutHints": "Per SMS: transmitted text, opt-out present?. Missing opt-out is a breach row.",
    "SemanticTypeIri": "urn:effortless:pko-extension#AppRoute",
    "Surface": "domain",
    "Name": "Opt-Out Text — /communications-manager/compliance/optout",
    "IsInNav": true,
    "IsShared": false,
    "IsMaintainer": false,
    "QuestionCount": 1,
    "ReferenceCount": 2,
    "AnswersNoQuestion": false
   },
   {
    "AppRouteId": "comms-sms-limits",
    "RoutePath": "/communications-manager/compliance/sms-limits",
    "RouteName": "Oversized SMS",
    "OwningRole": "communications-manager",
    "NavGroup": "compliance",
    "NavOrder": 2,
    "RouteKind": "workspace",
    "Purpose": "Did any SMS we sent exceed 160 characters or split into more than 3 segments?",
    "LayoutHints": "Per SMS: character count, segment count, both against their limits. Show the computed integer, not a re-derived length.",
    "SemanticTypeIri": "urn:effortless:pko-extension#AppRoute",
    "Surface": "domain",
    "Name": "Oversized SMS — /communications-manager/compliance/sms-limits",
    "IsInNav": true,
    "IsShared": false,
    "IsMaintainer": false,
    "QuestionCount": 1,
    "ReferenceCount": 2,
    "AnswersNoQuestion": false
   },
   {
    "AppRouteId": "comms-engagement",
    "RoutePath": "/communications-manager/audience/engagement",
    "RouteName": "Why Nobody Answered",
    "OwningRole": "communications-manager",
    "NavGroup": "audience",
    "NavOrder": 1,
    "RouteKind": "workspace",
    "Purpose": "One acknowledgement out of six deliveries. Is that because employees ignored us, or because the messages that landed were the least likely to be answered — wrong channel, wrong template, sent into the small hours?",
    "LayoutHints": "Cross-tab of acknowledgement rate by channel, template, and send hour. The point is to separate audience apathy from our own targeting.",
    "SemanticTypeIri": "urn:effortless:pko-extension#AppRoute",
    "Surface": "domain",
    "Name": "Why Nobody Answered — /communications-manager/audience/engagement",
    "IsInNav": true,
    "IsShared": false,
    "IsMaintainer": false,
    "QuestionCount": 1,
    "ReferenceCount": 2,
    "AnswersNoQuestion": false
   },
   {
    "AppRouteId": "comms-suppression",
    "RoutePath": "/communications-manager/audience/suppression",
    "RouteName": "Correctly Refused, Then Forgotten",
    "OwningRole": "communications-manager",
    "NavGroup": "audience",
    "NavOrder": 2,
    "RouteKind": "workspace",
    "Purpose": "When we correctly refused to reach somebody, did anyone ever go back and reach them another way — or does 'correctly refused' quietly mean 'never communicated with again'?",
    "LayoutHints": "Per suppressed recipient: the refusal reason, and any subsequent successful contact on another channel. No follow-up is the finding.",
    "SemanticTypeIri": "urn:effortless:pko-extension#AppRoute",
    "Surface": "domain",
    "Name": "Correctly Refused, Then Forgotten — /communications-manager/audience/suppression",
    "IsInNav": true,
    "IsShared": false,
    "IsMaintainer": false,
    "QuestionCount": 1,
    "ReferenceCount": 2,
    "AnswersNoQuestion": false
   },
   {
    "AppRouteId": "comms-authorization-override",
    "RoutePath": "/communications-manager/governance/authorization-override",
    "RouteName": "Refused, or Overridden",
    "OwningRole": "communications-manager",
    "NavGroup": "governance",
    "NavOrder": 4,
    "RouteKind": "workspace",
    "Purpose": "When the pipeline refused to send, was it refusing on a rule I set — or overriding an authorization I had already given, for a reason nobody routed back to me?",
    "LayoutHints": "Per refusal: the governing rule, its owner, and whether it contradicts a standing authorization of mine. Contradictions are the finding.",
    "SemanticTypeIri": "urn:effortless:pko-extension#AppRoute",
    "Surface": "domain",
    "Name": "Refused, or Overridden — /communications-manager/governance/authorization-override",
    "IsInNav": true,
    "IsShared": false,
    "IsMaintainer": false,
    "QuestionCount": 1,
    "ReferenceCount": 2,
    "AnswersNoQuestion": false
   },
   {
    "AppRouteId": "close-auto-home",
    "RoutePath": "/close-automation/readiness",
    "RouteName": "Pre-Flight",
    "OwningRole": "close-automation",
    "NavGroup": "readiness",
    "NavOrder": 1,
    "RouteKind": "dashboard",
    "Purpose": "Before I execute anything: am I authorized, are my inputs fresh, and did my last run leave a mess.",
    "LayoutHints": "Four go/no-go tiles (authority, inputs, prior run, controls) resolving to a single may-I-run verdict. Built for a supervisor watching the agent as much as for the agent.",
    "SemanticTypeIri": "urn:effortless:pko-extension#AppRoute",
    "Surface": "domain",
    "Name": "Pre-Flight — /close-automation/readiness",
    "IsInNav": true,
    "IsShared": false,
    "IsMaintainer": false,
    "QuestionCount": 4,
    "ReferenceCount": 3,
    "AnswersNoQuestion": false
   },
   {
    "AppRouteId": "close-auto-authority",
    "RoutePath": "/close-automation/readiness/authority",
    "RouteName": "Am I Authorized",
    "OwningRole": "close-automation",
    "NavGroup": "readiness",
    "NavOrder": 2,
    "RouteKind": "workspace",
    "Purpose": "Is my own role assignment currently valid, and is the agent named in that assignment actually me?",
    "LayoutHints": "Assignment card: validity window, named agent, identity match. An identity mismatch must halt, not warn.",
    "SemanticTypeIri": "urn:effortless:pko-extension#AppRoute",
    "Surface": "domain",
    "Name": "Am I Authorized — /close-automation/readiness/authority",
    "IsInNav": true,
    "IsShared": false,
    "IsMaintainer": false,
    "QuestionCount": 1,
    "ReferenceCount": 2,
    "AnswersNoQuestion": false
   },
   {
    "AppRouteId": "close-auto-inputs",
    "RoutePath": "/close-automation/readiness/input-freshness",
    "RouteName": "Are My Inputs Fresh",
    "OwningRole": "close-automation",
    "NavGroup": "readiness",
    "NavOrder": 3,
    "RouteKind": "workspace",
    "Purpose": "Before I extract: is every operational binding this step reads inside its freshness SLA, and is it the authoritative one?",
    "LayoutHints": "Per binding: age, SLA, authoritative flag. Two independent failure modes — stale, and non-authoritative — must not be collapsed into one badge.",
    "SemanticTypeIri": "urn:effortless:pko-extension#AppRoute",
    "Surface": "domain",
    "Name": "Are My Inputs Fresh — /close-automation/readiness/input-freshness",
    "IsInNav": true,
    "IsShared": false,
    "IsMaintainer": false,
    "QuestionCount": 1,
    "ReferenceCount": 2,
    "AnswersNoQuestion": false
   },
   {
    "AppRouteId": "close-auto-controls",
    "RoutePath": "/close-automation/readiness/blocking-controls",
    "RouteName": "Controls Scored",
    "OwningRole": "close-automation",
    "NavGroup": "readiness",
    "NavOrder": 4,
    "RouteKind": "workspace",
    "Purpose": "For each step I am about to run, has every blocking requirement actually been evaluated — or am I about to execute past a control that nobody scored?",
    "LayoutHints": "Per upcoming step: blocking controls and their evaluation state. Unscored controls block the run.",
    "SemanticTypeIri": "urn:effortless:pko-extension#AppRoute",
    "Surface": "domain",
    "Name": "Controls Scored — /close-automation/readiness/blocking-controls",
    "IsInNav": true,
    "IsShared": false,
    "IsMaintainer": false,
    "QuestionCount": 1,
    "ReferenceCount": 2,
    "AnswersNoQuestion": false
   },
   {
    "AppRouteId": "close-auto-last-run",
    "RoutePath": "/close-automation/readiness/last-run",
    "RouteName": "Last Run Clean",
    "OwningRole": "close-automation",
    "NavGroup": "readiness",
    "NavOrder": 5,
    "RouteKind": "workspace",
    "Purpose": "Did my previous run leave anything unresolved — an open issue, a WARN, or a deviation — that I should refuse to run on top of?",
    "LayoutHints": "Prior-run summary with an explicit refuse-to-proceed state. Unresolved items are listed individually, never summarised to a count alone.",
    "SemanticTypeIri": "urn:effortless:pko-extension#AppRoute",
    "Surface": "domain",
    "Name": "Last Run Clean — /close-automation/readiness/last-run",
    "IsInNav": true,
    "IsShared": false,
    "IsMaintainer": false,
    "QuestionCount": 1,
    "ReferenceCount": 2,
    "AnswersNoQuestion": false
   },
   {
    "AppRouteId": "close-auto-drift",
    "RoutePath": "/close-automation/self-check/override-drift",
    "RouteName": "Am I Drifting",
    "OwningRole": "close-automation",
    "NavGroup": "selfcheck",
    "NavOrder": 1,
    "RouteKind": "workspace",
    "Purpose": "Are humans overriding or correcting my output more often now than they used to?",
    "LayoutHints": "Override rate over time with the baseline period marked. Call out sample size — a trend on three decisions is not a trend.",
    "SemanticTypeIri": "urn:effortless:pko-extension#AppRoute",
    "Surface": "domain",
    "Name": "Am I Drifting — /close-automation/self-check/override-drift",
    "IsInNav": true,
    "IsShared": false,
    "IsMaintainer": false,
    "QuestionCount": 1,
    "ReferenceCount": 2,
    "AnswersNoQuestion": false
   },
   {
    "AppRouteId": "variance-home",
    "RoutePath": "/variance-review-agent/self-check",
    "RouteName": "Am I Fit to Decide",
    "OwningRole": "variance-review-agent",
    "NavGroup": "selfcheck",
    "NavOrder": 1,
    "RouteKind": "dashboard",
    "Purpose": "My authority, my boundary, and the currency of the knowledge I triage against — as one verdict.",
    "LayoutHints": "Three-part readiness card: authority provenance, boundary validity, knowledge currency. Any expired component invalidates the whole.",
    "SemanticTypeIri": "urn:effortless:pko-extension#AppRoute",
    "Surface": "domain",
    "Name": "Am I Fit to Decide — /variance-review-agent/self-check",
    "IsInNav": true,
    "IsShared": false,
    "IsMaintainer": false,
    "QuestionCount": 3,
    "ReferenceCount": 3,
    "AnswersNoQuestion": false
   },
   {
    "AppRouteId": "variance-authority",
    "RoutePath": "/variance-review-agent/self-check/authority",
    "RouteName": "By What Authority",
    "OwningRole": "variance-review-agent",
    "NavGroup": "selfcheck",
    "NavOrder": 2,
    "RouteKind": "workspace",
    "Purpose": "By what authority am I executing close-04, when did that authority begin, who approved it, and who held this role before me?",
    "LayoutHints": "Provenance chain: assignment, approver, start instant, predecessor. The handover is part of the answer, not a footnote.",
    "SemanticTypeIri": "urn:effortless:pko-extension#AppRoute",
    "Surface": "domain",
    "Name": "By What Authority — /variance-review-agent/self-check/authority",
    "IsInNav": true,
    "IsShared": false,
    "IsMaintainer": false,
    "QuestionCount": 2,
    "ReferenceCount": 2,
    "AnswersNoQuestion": false
   },
   {
    "AppRouteId": "variance-handover",
    "RoutePath": "/variance-review-agent/self-check/handover",
    "RouteName": "Who Decided a Machine Should Hold This",
    "OwningRole": "variance-review-agent",
    "NavGroup": "selfcheck",
    "NavOrder": 3,
    "RouteKind": "workspace",
    "Purpose": "Mine is the one non-human assignment with a recorded approving authority. Who decided a machine should hold this role, and on what basis?",
    "LayoutHints": "The approving decision as a first-class record: who, when, rationale. If the basis is absent, say so — do not present the approval alone as sufficient.",
    "SemanticTypeIri": "urn:effortless:pko-extension#AppRoute",
    "Surface": "domain",
    "Name": "Who Decided a Machine Should Hold This — /variance-review-agent/self-check/handover",
    "IsInNav": true,
    "IsShared": false,
    "IsMaintainer": false,
    "QuestionCount": 1,
    "ReferenceCount": 2,
    "AnswersNoQuestion": false
   },
   {
    "AppRouteId": "variance-boundary",
    "RoutePath": "/variance-review-agent/governance/boundary",
    "RouteName": "Inside My Boundary",
    "OwningRole": "variance-review-agent",
    "NavGroup": "governance",
    "NavOrder": 1,
    "RouteKind": "workspace",
    "Purpose": "Am I operating inside my approved boundary — or have I made a decision that kf-policy-ai-boundary says only a human may make?",
    "LayoutHints": "Boundary statement, decisions evaluated against it, verdict per decision. Pair with the 'ever tested' count from the ratification route.",
    "SemanticTypeIri": "urn:effortless:pko-extension#AppRoute",
    "Surface": "domain",
    "Name": "Inside My Boundary — /variance-review-agent/governance/boundary",
    "IsInNav": true,
    "IsShared": false,
    "IsMaintainer": false,
    "QuestionCount": 1,
    "ReferenceCount": 2,
    "AnswersNoQuestion": false
   },
   {
    "AppRouteId": "variance-boundary-ratification",
    "RoutePath": "/variance-review-agent/governance/boundary-ratification",
    "RouteName": "My Boundary's Own Validity",
    "OwningRole": "variance-review-agent",
    "NavGroup": "governance",
    "NavOrder": 2,
    "RouteKind": "workspace",
    "Purpose": "The boundary that constrains what I am allowed to decide is ratified by a knowledge fragment that is not current. Is the rule governing me still valid?",
    "LayoutHints": "Fragment validity chain behind the boundary. An expired ratifier makes the boundary itself questionable, and the page must say that plainly.",
    "SemanticTypeIri": "urn:effortless:pko-extension#AppRoute",
    "Surface": "domain",
    "Name": "My Boundary's Own Validity — /variance-review-agent/governance/boundary-ratification",
    "IsInNav": true,
    "IsShared": false,
    "IsMaintainer": false,
    "QuestionCount": 1,
    "ReferenceCount": 2,
    "AnswersNoQuestion": false
   },
   {
    "AppRouteId": "variance-human-confirmation",
    "RoutePath": "/variance-review-agent/governance/human-confirmation",
    "RouteName": "Did a Human Confirm",
    "OwningRole": "variance-review-agent",
    "NavGroup": "governance",
    "NavOrder": 3,
    "RouteKind": "workspace",
    "Purpose": "close-04's instruction says 'Use AI triage, then apply human judgment.' Did a human actually confirm my materiality calls, or did my output pass through unchallenged?",
    "LayoutHints": "Per decision: human confirmation present?, who, when. Unconfirmed decisions on a human-confirmation step are the finding.",</t>
  </si>
  <si>
    <t xml:space="preserve">
    "SemanticTypeIri": "urn:effortless:pko-extension#AppRoute",
    "Surface": "domain",
    "Name": "Did a Human Confirm — /variance-review-agent/governance/human-confirmation",
    "IsInNav": true,
    "IsShared": false,
    "IsMaintainer": false,
    "QuestionCount": 1,
    "ReferenceCount": 2,
    "AnswersNoQuestion": false
   },
   {
    "AppRouteId": "variance-knowledge-currency",
    "RoutePath": "/variance-review-agent/knowledge/currency",
    "RouteName": "Is My Knowledge Current",
    "OwningRole": "variance-review-agent",
    "NavGroup": "knowledge",
    "NavOrder": 1,
    "RouteKind": "workspace",
    "Purpose": "Is the judgment knowledge I triage against still valid, still owned by someone, and has it been reviewed since it was written?",
    "LayoutHints": "Per fragment: validity, owner, last review. An unowned or unreviewed fragment degrades every decision made against it.",
    "SemanticTypeIri": "urn:effortless:pko-extension#AppRoute",
    "Surface": "domain",
    "Name": "Is My Knowledge Current — /variance-review-agent/knowledge/currency",
    "IsInNav": true,
    "IsShared": false,
    "IsMaintainer": false,
    "QuestionCount": 1,
    "ReferenceCount": 2,
    "AnswersNoQuestion": false
   },
   {
    "AppRouteId": "variance-quality-baseline",
    "RoutePath": "/variance-review-agent/quality/vs-human-baseline",
    "RouteName": "Better or Worse Than the Human",
    "OwningRole": "variance-review-agent",
    "NavGroup": "quality",
    "NavOrder": 1,
    "RouteKind": "workspace",
    "Purpose": "Since I took over, is my triage quality better or worse than maria-chen's during the prior period?",
    "LayoutHints": "Side-by-side period comparison. Sample size shown at equal prominence to the delta — this is the screen most likely to be over-read.",
    "SemanticTypeIri": "urn:effortless:pko-extension#AppRoute",
    "Surface": "domain",
    "Name": "Better or Worse Than the Human — /variance-review-agent/quality/vs-human-baseline",
    "IsInNav": true,
    "IsShared": false,
    "IsMaintainer": false,
    "QuestionCount": 2,
    "ReferenceCount": 2,
    "AnswersNoQuestion": false
   },
   {
    "AppRouteId": "variance-sample-size",
    "RoutePath": "/variance-review-agent/quality/sample-size",
    "RouteName": "Is My Comparison Empty",
    "OwningRole": "variance-review-agent",
    "NavGroup": "quality",
    "NavOrder": 2,
    "RouteKind": "workspace",
    "Purpose": "QualityRegressedVsPredecessor says I have not regressed — on the strength of three decisions. Is my comparison statistically empty?",
    "LayoutHints": "Explicit power/sample-size statement. A verdict computed on too few observations must be rendered as inconclusive, not as a pass.",
    "SemanticTypeIri": "urn:effortless:pko-extension#AppRoute",
    "Surface": "domain",
    "Name": "Is My Comparison Empty — /variance-review-agent/quality/sample-size",
    "IsInNav": true,
    "IsShared": false,
    "IsMaintainer": false,
    "QuestionCount": 1,
    "ReferenceCount": 1,
    "AnswersNoQuestion": false
   },
   {
    "AppRouteId": "variance-override-signal",
    "RoutePath": "/variance-review-agent/quality/override-signal",
    "RouteName": "Correction or Judgment",
    "OwningRole": "variance-review-agent",
    "NavGroup": "quality",
    "NavOrder": 3,
    "RouteKind": "workspace",
    "Purpose": "One of my three decisions was overridden. Was that a correction of an error I made, or a human exercising judgment I was never authorized to exercise?",
    "LayoutHints": "Per override: my decision, the human's decision, the stated reason, and which of the two categories it falls in. Uncategorised overrides are themselves a gap.",
    "SemanticTypeIri": "urn:effortless:pko-extension#AppRoute",
    "Surface": "domain",
    "Name": "Correction or Judgment — /variance-review-agent/quality/override-signal",
    "IsInNav": true,
    "IsShared": false,
    "IsMaintainer": false,
    "QuestionCount": 1,
    "ReferenceCount": 2,
    "AnswersNoQuestion": false
   },
   {
    "AppRouteId": "variance-stop-condition",
    "RoutePath": "/variance-review-agent/self-check/stop-condition",
    "RouteName": "What Would Make Me Stop",
    "OwningRole": "variance-review-agent",
    "NavGroup": "selfcheck",
    "NavOrder": 4,
    "RouteKind": "workspace",
    "Purpose": "Every witness in this model detects something after it has happened. Is there any condition, computed and named, that would stop me before I act?",
    "LayoutHints": "Inventory of stop conditions: pre-act vs post-hoc. If none are pre-act, the page must state that as the finding rather than listing post-hoc witnesses as if they qualified.",
    "SemanticTypeIri": "urn:effortless:pko-extension#AppRoute",
    "Surface": "domain",
    "Name": "What Would Make Me Stop — /variance-review-agent/self-check/stop-condition",
    "IsInNav": true,
    "IsShared": false,
    "IsMaintainer": false,
    "QuestionCount": 1,
    "ReferenceCount": 2,
    "AnswersNoQuestion": false
   },
   {
    "AppRouteId": "policy-agent-home",
    "RoutePath": "/policy-drafting-agent/readiness",
    "RouteName": "May I Draft",
    "OwningRole": "policy-drafting-agent",
    "NavGroup": "readiness",
    "NavOrder": 1,
    "RouteKind": "dashboard",
    "Purpose": "Before I draft: approved sources, valid bindings, and a role assignment that actually exists.",
    "LayoutHints": "Go/no-go card combining source approval, binding freshness, and assignment presence. A missing assignment is a hard stop.",
    "SemanticTypeIri": "urn:effortless:pko-extension#AppRoute",
    "Surface": "domain",
    "Name": "May I Draft — /policy-drafting-agent/readiness",
    "IsInNav": true,
    "IsShared": false,
    "IsMaintainer": false,
    "QuestionCount": 2,
    "ReferenceCount": 2,
    "AnswersNoQuestion": false
   },
   {
    "AppRouteId": "policy-agent-sources",
    "RoutePath": "/policy-drafting-agent/readiness/sources",
    "RouteName": "Approved Sources",
    "OwningRole": "policy-drafting-agent",
    "NavGroup": "readiness",
    "NavOrder": 2,
    "RouteKind": "workspace",
    "Purpose": "Is every resource I am about to read an approved source, and is its binding still inside its freshness window?",
    "LayoutHints": "Per source: approval state, binding age, SLA. Unapproved or stale sources block the draft.",
    "SemanticTypeIri": "urn:effortless:pko-extension#AppRoute",
    "Surface": "domain",
    "Name": "Approved Sources — /policy-drafting-agent/readiness/sources",
    "IsInNav": true,
    "IsShared": false,
    "IsMaintainer": false,
    "QuestionCount": 1,
    "ReferenceCount": 2,
    "AnswersNoQuestion": false
   },
   {
    "AppRouteId": "policy-agent-assignment",
    "RoutePath": "/policy-drafting-agent/readiness/my-assignment",
    "RouteName": "Do I Have an Assignment",
    "OwningRole": "policy-drafting-agent",
    "NavGroup": "readiness",
    "NavOrder": 3,
    "RouteKind": "workspace",
    "Purpose": "I am named as CurrentAgent and I executed se-policy03 — but is there any RoleAssignment actually granting me that authority?",
    "LayoutHints": "The absence is the finding. If no assignment exists, render that as a violation state, never as an empty list.",
    "SemanticTypeIri": "urn:effortless:pko-extension#AppRoute",
    "Surface": "domain",
    "Name": "Do I Have an Assignment — /policy-drafting-agent/readiness/my-assignment",
    "IsInNav": true,
    "IsShared": false,
    "IsMaintainer": false,
    "QuestionCount": 1,
    "ReferenceCount": 2,
    "AnswersNoQuestion": false
   },
   {
    "AppRouteId": "policy-agent-commitment-boundary",
    "RoutePath": "/policy-drafting-agent/governance/commitment-boundary",
    "RouteName": "Did I Create a Commitment",
    "OwningRole": "policy-drafting-agent",
    "NavGroup": "governance",
    "NavOrder": 1,
    "RouteKind": "workspace",
    "Purpose": "Did I draft language that creates a new legal commitment — the one thing kf-policy-ai-boundary says I may not do?",
    "LayoutHints": "Per draft: commitment-creating language detected?, the boundary text, verdict. Pair with whether the gate was ever exercised.",
    "SemanticTypeIri": "urn:effortless:pko-extension#AppRoute",
    "Surface": "domain",
    "Name": "Did I Create a Commitment — /policy-drafting-agent/governance/commitment-boundary",
    "IsInNav": true,
    "IsShared": false,
    "IsMaintainer": false,
    "QuestionCount": 1,
    "ReferenceCount": 2,
    "AnswersNoQuestion": false
   },
   {
    "AppRouteId": "policy-agent-approval-chain",
    "RoutePath": "/policy-drafting-agent/governance/approval-chain",
    "RouteName": "Is the Chain Complete",
    "OwningRole": "policy-drafting-agent",
    "NavGroup": "governance",
    "NavOrder": 2,
    "RouteKind": "workspace",
    "Purpose": "Before anything I rendered gets sent: has a human actually approved the MEANING, not just the formatting?",
    "LayoutHints": "Approval chain from draft to send, with each link's approver and scope. A formatting-only approval must not satisfy a meaning gate.",
    "SemanticTypeIri": "urn:effortless:pko-extension#AppRoute",
    "Surface": "domain",
    "Name": "Is the Chain Complete — /policy-drafting-agent/governance/approval-chain",
    "IsInNav": true,
    "IsShared": false,
    "IsMaintainer": false,
    "QuestionCount": 1,
    "ReferenceCount": 2,
    "AnswersNoQuestion": false
   },
   {
    "AppRouteId": "policy-agent-rewrite",
    "RoutePath": "/policy-drafting-agent/quality/downstream-rewrite",
    "RouteName": "Is My Draft Surviving Review",
    "OwningRole": "policy-drafting-agent",
    "NavGroup": "quality",
    "NavOrder": 1,
    "RouteKind": "workspace",
    "Purpose": "Is my draft surviving human review, or is noah-williams rewriting my legal language every time?",
    "LayoutHints": "Per draft: retained vs rewritten proportion, with the diff available. Aggregate rate in the header.",
    "SemanticTypeIri": "urn:effortless:pko-extension#AppRoute",
    "Surface": "domain",
    "Name": "Is My Draft Surviving Review — /policy-drafting-agent/quality/downstream-rewrite",
    "IsInNav": true,
    "IsShared": false,
    "IsMaintainer": false,
    "QuestionCount": 1,
    "ReferenceCount": 2,
    "AnswersNoQuestion": false
   },
   {
    "AppRouteId": "publisher-home",
    "RoutePath": "/notification-publisher/gates",
    "RouteName": "May I Transmit",
    "OwningRole": "notification-publisher",
    "NavGroup": "readiness",
    "NavOrder": 1,
    "RouteKind": "dashboard",
    "Purpose": "The four gates I evaluate before every send — channel permission, timing, content, and human authorization — as one verdict per intent.",
    "LayoutHints": "Gate matrix: intents down, four gates across, cell = pass/refuse. The row verdict is the conjunction. This is the agent's primary screen.",
    "SemanticTypeIri": "urn:effortless:pko-extension#AppRoute",
    "Surface": "domain",
    "Name": "May I Transmit — /notification-publisher/gates",
    "IsInNav": true,
    "IsShared": false,
    "IsMaintainer": false,
    "QuestionCount": 4,
    "ReferenceCount": 4,
    "AnswersNoQuestion": false
   },
   {
    "AppRouteId": "publisher-permission-gate",
    "RoutePath": "/notification-publisher/gates/channel-permission",
    "RouteName": "Channel Permission",
    "OwningRole": "notification-publisher",
    "NavGroup": "readiness",
    "NavOrder": 2,
    "RouteKind": "workspace",
    "Purpose": "Am I permitted to use this channel for this recipient at all?",
    "LayoutHints": "Per intent: channel, recipient consent state, policy rule, verdict. The governing rule is named on every row.",
    "SemanticTypeIri": "urn:effortless:pko-extension#AppRoute",
    "Surface": "domain",
    "Name": "Channel Permission — /notification-publisher/gates/channel-permission",
    "IsInNav": true,
    "IsShared": false,
    "IsMaintainer": false,
    "QuestionCount": 1,
    "ReferenceCount": 2,
    "AnswersNoQuestion": false
   },
   {
    "AppRouteId": "publisher-timing-gate",
    "RoutePath": "/notification-publisher/gates/timing",
    "RouteName": "Timing Window",
    "OwningRole": "notification-publisher",
    "NavGroup": "readiness",
    "NavOrder": 3,
    "RouteKind": "workspace",
    "Purpose": "Is the current moment inside a window this channel forbids?",
    "LayoutHints": "Per intent: send instant, recipient local time, forbidden window, verdict. This gate's refusals are temporary and must be labelled deferred, not blocked.",
    "SemanticTypeIri": "urn:effortless:pko-extension#AppRoute",
    "Surface": "domain",
    "Name": "Timing Window — /notification-publisher/gates/timing",
    "IsInNav": true,
    "IsShared": false,
    "IsMaintainer": false,
    "QuestionCount": 1,
    "ReferenceCount": 2,
    "AnswersNoQuestion": false
   },
   {
    "AppRouteId": "publisher-content-gate",
    "RoutePath": "/notification-publisher/gates/content",
    "RouteName": "Content Rules",
    "OwningRole": "notification-publisher",
    "NavGroup": "readiness",
    "NavOrder": 4,
    "RouteKind": "workspace",
    "Purpose": "Is the exact text I am holding within this channel's content rules?",
    "LayoutHints": "Per intent: length, segments, required opt-out, verdict. Show the computed values, never recompute them client-side.",
    "SemanticTypeIri": "urn:effortless:pko-extension#AppRoute",
    "Surface": "domain",
    "Name": "Content Rules — /notification-publisher/gates/content",
    "IsInNav": true,
    "IsShared": false,
    "IsMaintainer": false,
    "QuestionCount": 1,
    "ReferenceCount": 2,
    "AnswersNoQuestion": false
   },
   {
    "AppRouteId": "publisher-authorization-gate",
    "RoutePath": "/notification-publisher/gates/authorization",
    "RouteName": "Human Authorization",
    "OwningRole": "notification-publisher",
    "NavGroup": "readiness",
    "NavOrder": 5,
    "RouteKind": "workspace",
    "Purpose": "Has every human authorization my instructions depend on actually been granted?",
    "LayoutHints": "Per intent: required authorizations, each granted or missing. A missing authorization is a hard refuse.",
    "SemanticTypeIri": "urn:effortless:pko-extension#AppRoute",
    "Surface": "domain",
    "Name": "Human Authorization — /notification-publisher/gates/authorization",
    "IsInNav": true,
    "IsShared": false,
    "IsMaintainer": false,
    "QuestionCount": 1,
    "ReferenceCount": 2,
    "AnswersNoQuestion": false
   },
   {
    "AppRouteId": "publisher-refusals",
    "RoutePath": "/notification-publisher/refusals",
    "RouteName": "Every Refusal",
    "OwningRole": "notification-publisher",
    "NavGroup": "governance",
    "NavOrder": 1,
    "RouteKind": "workspace",
    "Purpose": "When a gate refused, did the transmission actually stop — and did I invoke the documented exception instead?",
    "LayoutHints": "Refusal log: gate, verdict, did transmission stop, exception invoked. A refusal that did not stop the send is the most serious row on the screen.",
    "SemanticTypeIri": "urn:effortless:pko-extension#AppRoute",
    "Surface": "domain",
    "Name": "Every Refusal — /notification-publisher/refusals",
    "IsInNav": true,
    "IsShared": false,
    "IsMaintainer": false,
    "QuestionCount": 1,
    "ReferenceCount": 3,
    "AnswersNoQuestion": false
   },
   {
    "AppRouteId": "publisher-refusal-artifacts",
    "RoutePath": "/notification-publisher/refusals/artifacts",
    "RouteName": "Every Refusal Leaves a Record",
    "OwningRole": "notification-publisher",
    "NavGroup": "governance",
    "NavOrder": 2,
    "RouteKind": "workspace",
    "Purpose": "For every intent I refused, did I emit an artifact — a suppression record, an exception, anything a human could later find?",
    "LayoutHints": "Per refusal: artifact emitted?, its type and id. A refusal with no artifact is invisible to humans and is the finding.",
    "SemanticTypeIri": "urn:effortless:pko-extension#AppRoute",
    "Surface": "domain",
    "Name": "Every Refusal Leaves a Record — /notification-publisher/refusals/artifacts",
    "IsInNav": true,
    "IsShared": false,
    "IsMaintainer": false,
    "QuestionCount": 1,
    "ReferenceCount": 2,
    "AnswersNoQuestion": false
   },
   {
    "AppRouteId": "publisher-deferred",
    "RoutePath": "/notification-publisher/refusals/deferred",
    "RouteName": "Deferred, Not Cancelled",
    "OwningRole": "notification-publisher",
    "NavGroup": "governance",
    "NavOrder": 3,
    "RouteKind": "workspace",
    "Purpose": "The timing gate is the only gate whose refusal is temporary — the window reopens. For every send I deferred, did it ever actually go?",
    "LayoutHints": "Per deferred intent: deferral instant, window reopen, eventual send or its absence. A deferral that never sent is a silent cancellation.",
    "SemanticTypeIri": "urn:effortless:pko-extension#AppRoute",
    "Surface": "domain",
    "Name": "Deferred, Not Cancelled — /notification-publisher/refusals/deferred",
    "IsInNav": true,
    "IsShared": false,
    "IsMaintainer": false,
    "QuestionCount": 1,
    "ReferenceCount": 2,
    "AnswersNoQuestion": false
   },
   {
    "AppRouteId": "publisher-obligations",
    "RoutePath": "/notification-publisher/obligations",
    "RouteName": "After the Send",
    "OwningRole": "notification-publisher",
    "NavGroup": "delivery",
    "NavOrder": 1,
    "RouteKind": "workspace",
    "Purpose": "policy-08 makes me responsible for collecting acknowledgements, not just for transmitting. Am I discharging that?",
    "LayoutHints": "Per delivery: acknowledgement expected?, received?, chased?. Transmission success is not obligation discharge and the layout must not imply it is.",
    "SemanticTypeIri": "urn:effortless:pko-extension#AppRoute",
    "Surface": "domain",
    "Name": "After the Send — /notification-publisher/obligations",
    "IsInNav": true,
    "IsShared": false,
    "IsMaintainer": false,
    "QuestionCount": 1,
    "ReferenceCount": 2,
    "AnswersNoQuestion": false
   },
   {
    "AppRouteId": "publisher-my-authorization",
    "RoutePath": "/notification-publisher/self-check/my-authority",
    "RouteName": "By What Authority Do I Hold This",
    "OwningRole": "notification-publisher",
    "NavGroup": "selfcheck",
    "NavOrder": 1,
    "RouteKind": "workspace",
    "Purpose": "I enforce authorization rules on every message I touch. By what recorded authority do I hold this role?",
    "LayoutHints": "My own assignment, its approver, and its validity — the same scrutiny I apply to others, applied to me.",
    "SemanticTypeIri": "urn:effortless:pko-extension#AppRoute",
    "Surface": "domain",
    "Name": "By What Authority Do I Hold This — /notification-publisher/self-check/my-authority",
    "IsInNav": true,
    "IsShared": false,
    "IsMaintainer": false,
    "QuestionCount": 1,
    "ReferenceCount": 2,
    "AnswersNoQuestion": false
   },
   {
    "AppRouteId": "publisher-sole-witness",
    "RoutePath": "/notification-publisher/self-check/sole-witness",
    "RouteName": "Am I the Only Witness",
    "OwningRole": "notification-publisher",
    "NavGroup": "selfcheck",
    "NavOrder": 2,
    "RouteKind": "workspace",
    "Purpose": "Every gate I evaluate, I evaluate alone, and every result I record, I record about myself. Is there any claim about my behaviour that does not originate with me?",
    "LayoutHints": "Provenance of every claim about this agent, split by originator. If all originate with the agent, that is the finding and must be stated.",
    "SemanticTypeIri": "urn:effortless:pko-extension#AppRoute",
    "Surface": "domain",
    "Name": "Am I the Only Witness — /notification-publisher/self-check/sole-witness",
    "IsInNav": true,
    "IsShared": false,
    "IsMaintainer": false,
    "QuestionCount": 1,
    "ReferenceCount": 2,
    "AnswersNoQuestion": false
   },
   {
    "AppRouteId": "steward-home",
    "RoutePath": "/process-steward/health",
    "RouteName": "Knowledge Health",
    "OwningRole": "process-steward",
    "NavGroup": "cadence",
    "NavOrder": 1,
    "RouteKind": "dashboard",
    "Purpose": "Where the register is thin: open gaps, overdue reviews, unstewarded versions, untested recovery paths.",
    "LayoutHints": "Four health tiles feeding four worklists. Every tile is a link, not a statistic.",
    "SemanticTypeIri": "urn:effortless:pko-extension#AppRoute",
    "Surface": "domain",
    "Name": "Knowledge Health — /process-steward/health",
    "IsInNav": true,
    "IsShared": false,
    "IsMaintainer": false,
    "QuestionCount": 4,
    "ReferenceCount": 4,
    "AnswersNoQuestion": false
   },
   {
    "AppRouteId": "steward-cadence",
    "RoutePath": "/process-steward/cadence/breach",
    "RouteName": "Cadence Breach",
    "OwningRole": "process-steward",
    "NavGroup": "cadence",
    "NavOrder": 2,
    "RouteKind": "workspace",
    "Purpose": "For close-v1.1.0 I promised a 90-day cadence and for policy-v1.0.0 a 60-day cadence. Is the ACTUAL interval inside what I promised?",
    "LayoutHints": "Per version: promised cadence, actual interval, delta. Computed against the modelled instant so the answer is reproducible.",
    "SemanticTypeIri": "urn:effortless:pko-extension#AppRoute",
    "Surface": "domain",
    "Name": "Cadence Breach — /process-steward/cadence/breach",
    "IsInNav": true,
    "IsShared": false,
    "IsMaintainer": false,
    "QuestionCount": 1,
    "ReferenceCount": 2,
    "AnswersNoQuestion": false
   },
   {
    "AppRouteId": "steward-cadence-remediation",
    "RoutePath": "/process-steward/cadence/remediation",
    "RouteName": "Was the Breach Remediated",
    "OwningRole": "process-steward",
    "NavGroup": "cadence",
    "NavOrder": 3,
    "RouteKind": "workspace",
    "Purpose": "One review event exceeds the cadence I promised. Did anyone actually do anything about it?",
    "LayoutHints": "Per breach: the remediating action, or its absence. An unremediated breach is the finding; the breach alone is only the trigger.",
    "SemanticTypeIri": "urn:effortless:pko-extension#AppRoute",
    "Surface": "domain",
    "Name": "Was the Breach Remediated — /process-steward/cadence/remediation",
    "IsInNav": true,
    "IsShared": false,
    "IsMaintainer": false,
    "QuestionCount": 1,
    "ReferenceCount": 2,
    "AnswersNoQuestion": false
   },
   {
    "AppRouteId": "steward-open-gaps",
    "RoutePath": "/process-steward/knowledge/open-gaps",
    "RouteName": "Live With a Blocking Gap",
    "OwningRole": "process-steward",
    "NavGroup": "knowledge",
    "NavOrder": 1,
    "RouteKind": "workspace",
    "Purpose": "Is any procedure version live with an Open BLOCKING knowledge gap against it?",
    "LayoutHints": "Per version: open gaps by severity, blocking flag, owner. Live-and-blocking is the finding.",
    "SemanticTypeIri": "urn:effortless:pko-extension#AppRoute",
    "Surface": "domain",
    "Name": "Live With a Blocking Gap — /process-steward/knowledge/open-gaps",
    "IsInNav": true,
    "IsShared": false,
    "IsMaintainer": false,
    "QuestionCount": 1,
    "ReferenceCount": 2,
    "AnswersNoQuestion": false
   },
   {
    "AppRouteId": "steward-stalled-changes",
    "RoutePath": "/process-steward/governance/stalled-changes",
    "RouteName": "Stalled Change Requests",
    "OwningRole": "process-steward",
    "NavGroup": "governance",
    "NavOrder": 1,
    "RouteKind": "workspace",
    "Purpose": "cr-policy-delivery was requested on 2026-07-19 with no DecidedAt. How long has it been sitting, and is that inside what we promised?",
    "LayoutHints": "Queue by age with the promised decision window marked. Overdue rows are the working list.",
    "SemanticTypeIri": "urn:effortless:pko-extension#AppRoute",
    "Surface": "domain",
    "Name": "Stalled Change Requests — /process-steward/governance/stalled-changes",
    "IsInNav": true,
    "IsShared": false,
    "IsMaintainer": false,
    "QuestionCount": 1,
    "ReferenceCount": 2,
    "AnswersNoQuestion": false
   },
   {
    "AppRouteId": "steward-approved-never-lands",
    "RoutePath": "/process-steward/governance/approved-never-lands",
    "RouteName": "Approved but Still Open",
    "OwningRole": "process-steward",
    "NavGroup": "governance",
    "NavOrder": 2,
    "RouteKind": "workspace",
    "Purpose": "cr-close-timestamp is Approved, and the model still reads it as OPEN because IsOpen counts Approved as open. Every version it touches reads permanently unfit.",
    "LayoutHints": "Surface this as a MODEL DEFECT panel, not a data problem: the terminal-state gap, the rows it distorts, and the downstream verdicts it poisons.",
    "SemanticTypeIri": "urn:effortless:pko-extension#AppRoute",
    "Surface": "domain",
    "Name": "Approved but Still Open — /process-steward/governance/approved-never-lands",
    "IsInNav": true,
    "IsShared": false,
    "IsMaintainer": false,
    "QuestionCount": 1,
    "ReferenceCount": 2,
    "AnswersNoQuestion": false
   },
   {
    "AppRouteId": "steward-orphans",
    "RoutePath": "/process-steward/ownership/orphan-versions",
    "RouteName": "Versions With No Steward",
    "OwningRole": "process-steward",
    "NavGroup": "ownership",
    "NavOrder": 1,
    "RouteKind": "workspace",
    "Purpose": "Which procedure versions have no steward at all? close-v1.0.0 is Archived but still referenced.",
    "LayoutHints": "Per version: steward or none, status, inbound references. Unstewarded-but-referenced is the finding.",
    "SemanticTypeIri": "urn:effortless:pko-extension#AppRoute",
    "Surface": "domain",
    "Name": "Versions With No Steward — /process-steward/ownership/orphan-versions",
    "IsInNav": true,
    "IsShared": false,
    "IsMaintainer": false,
    "QuestionCount": 1,
    "ReferenceCount": 2,
    "AnswersNoQuestion": false
   },
   {
    "AppRouteId": "steward-archived-still-referenced",
    "RoutePath": "/process-steward/ownership/archived-referenced",
    "RouteName": "Archived, Still Load-Bearing",
    "OwningRole": "process-steward",
    "NavGroup": "ownership",
    "NavOrder": 2,
    "RouteKind": "workspace",
    "Purpose": "close-v1.0.0 is Archived and unstewarded — but it is still referenced. What still points at it?",
    "LayoutHints": "Inbound reference list for each archived version. A referenced archive is not retired, and the page should say so.",
    "SemanticTypeIri": "urn:effortless:pko-extension#AppRoute",
    "Surface": "domain",
    "Name": "Archived, Still Load-Bearing — /process-steward/ownership/archived-referenced",
    "IsInNav": true,
    "IsShared": false,
    "IsMaintainer": false,
    "QuestionCount": 1,
    "ReferenceCount": 2,
    "AnswersNoQuestion": false
   },
   {
    "AppRouteId": "steward-fallbacks",
    "RoutePath": "/process-steward/knowledge/untested-fallbacks",
    "RouteName": "Untested Recovery Paths",
    "OwningRole": "process-steward",
    "NavGroup": "knowledge",
    "NavOrder": 2,
    "RouteKind": "workspace",
    "Purpose": "close-04-fallback-close-03 and policy-07-fallback-policy-06 are the paths we take when things go wrong. Have they ever been walked?",
    "LayoutHints": "Per fallback transition: times traversed, last traversal. Zero traversals is the finding.",
    "SemanticTypeIri": "urn:effortless:pko-extension#AppRoute",
    "Surface": "domain",
    "Name": "Untested Recovery Paths — /process-steward/knowledge/untested-fallbacks",
    "IsInNav": true,
    "IsShared": false,
    "IsMaintainer": false,
    "QuestionCount": 1,
    "ReferenceCount": 2,
    "AnswersNoQuestion": false
   },
   {
    "AppRouteId": "steward-fallback-criticality",
    "RoutePath": "/process-steward/knowledge/fallback-criticality",
    "RouteName": "Which Untested Path Matters",
    "OwningRole": "process-steward",
    "NavGroup": "knowledge",
    "NavOrder": 3,
    "RouteKind": "workspace",
    "Purpose": "Four recovery paths have never been walked. An untested path to a trivial step does not scare me; one guarding a blocking control does.",
    "LayoutHints": "Rank untested fallbacks by what they protect — blocking controls downstream, criticality of the target step. Ranking is the contribution here.",
    "SemanticTypeIri": "urn:effortless:pko-extension#AppRoute",
    "Surface": "domain",
    "Name": "Which Untested Path Matters — /process-steward/knowledge/fallback-criticality",
    "IsInNav": true,
    "IsShared": false,
    "IsMaintainer": false,
    "QuestionCount": 1,
    "ReferenceCount": 2,
    "AnswersNoQuestion": false
   },
   {
    "AppRouteId": "steward-hardcoded-predicates",
    "RoutePath": "/process-steward/model/hardcoded-predicates",
    "RouteName": "Predicates Naming Step Ids",
    "OwningRole": "process-steward",
    "NavGroup": "model",
    "NavOrder": 1,
    "RouteKind": "workspace",
    "Purpose": "Several of my predicates name individual steps by id. Steps.IsHumanApprovalGate hardcodes policy-05 and close-06 — it should key off a control kind instead.",
    "LayoutHints": "Model-quality worklist: predicates containing literal ids, with the generalisation each should use. This is technical debt in the rulebook, presented as such.",
    "SemanticTypeIri": "urn:effortless:pko-extension#AppRoute",
    "Surface": "domain",
    "Name": "Predicates Naming Step Ids — /process-steward/model/hardcoded-predicates",
    "IsInNav": true,
    "IsShared": false,
    "IsMaintainer": false,
    "QuestionCount": 1,
    "ReferenceCount": 2,
    "AnswersNoQuestion": false
   },
   {
    "AppRouteId": "authority-home",
    "RoutePath": "/knowledge-authority/knowledge",
    "RouteName": "Knowledge Register",
    "OwningRole": "knowledge-authority",
    "NavGroup": "knowledge",
    "NavOrder": 1,
    "RouteKind": "dashboard",
    "Purpose": "Every fragment: its status, its age, its owner, and whether anything live depends on it.",
    "LayoutHints": "Table with decay signals as columns rather than separate screens, so stacked fragility is visible in one pass.",
    "SemanticTypeIri": "urn:effortless:pko-extension#AppRoute",
    "Surface": "domain",
    "Name": "Knowledge Register — /knowledge-authority/knowledge",
    "IsInNav": true,
    "IsShared": false,
    "IsMaintainer": false,
    "QuestionCount": 2,
    "ReferenceCount": 3,
    "AnswersNoQuestion": false
   },
   {
    "AppRouteId": "authority-fragment-decay",
    "RoutePath": "/knowledge-authority/knowledge/compound-fragility",
    "RouteName": "Compound Fragility",
    "OwningRole": "knowledge-authority",
    "NavGroup": "knowledge",
    "NavOrder": 2,
    "RouteKind": "workspace",
    "Purpose": "Four separate decay signals on knowledge fragments and no way to see where they stack. Show me where they compound.",
    "LayoutHints": "One row per fragment, one column per decay signal, plus a stack count. Sort by stack count — a fragment failing on four axes is categorically worse than four failing on one.",
    "SemanticTypeIri": "urn:effortless:pko-extension#AppRoute",
    "Surface": "domain",
    "Name": "Compound Fragility — /knowledge-authority/knowledge/compound-fragility",
    "IsInNav": true,
    "IsShared": false,
    "IsMaintainer": false,
    "QuestionCount": 1,
    "ReferenceCount": 2,
    "AnswersNoQuestion": false
   },
   {
    "AppRouteId": "authority-unapproved-live",
    "RoutePath": "/knowledge-authority/knowledge/unapproved-live",
    "RouteName": "Unapproved but Live",
    "OwningRole": "knowledge-authority",
    "NavGroup": "knowledge",
    "NavOrder": 3,
    "RouteKind": "workspace",
    "Purpose": "kf-policy-manager-route is Reviewed, not Approved, so IsCurrentlyValid is FALSE — and policy-08 is a live step depending on it.",
    "LayoutHints": "Per unapproved fragment: dependents, and whether each is live. Live dependents on an invalid fragment are the finding.",
    "SemanticTypeIri": "urn:effortless:pko-extension#AppRoute",
    "Surface": "domain",
    "Name": "Unapproved but Live — /knowledge-authority/knowledge/unapproved-live",
    "IsInNav": true,
    "IsShared": false,
    "IsMaintainer": false,
    "QuestionCount": 2,
    "ReferenceCount": 2,
    "AnswersNoQuestion": false
   },
   {
    "AppRouteId": "authority-machine-consumers",
    "RoutePath": "/knowledge-authority/knowledge/reaching-machines",
    "RouteName": "Unapproved Knowledge Reaching Machines",
    "OwningRole": "knowledge-authority",
    "NavGroup": "knowledge",
    "NavOrder": 4,
    "RouteKind": "workspace",
    "Purpose": "One fragment is unapproved and operationally live, and all three AI boundaries are untested. Where does unapproved knowledge reach a machine that acts on it?",
    "LayoutHints": "Trace from unapproved fragments to software-executed steps. The intersection is the finding.",
    "SemanticTypeIri": "urn:effortless:pko-extension#AppRoute",
    "Surface": "domain",
    "Name": "Unapproved Knowledge Reaching Machines — /knowledge-authority/knowledge/reaching-machines"</t>
  </si>
  <si>
    <t xml:space="preserve">,
    "IsInNav": true,
    "IsShared": false,
    "IsMaintainer": false,
    "QuestionCount": 1,
    "ReferenceCount": 2,
    "AnswersNoQuestion": false
   },
   {
    "AppRouteId": "authority-expired-ratifier",
    "RoutePath": "/knowledge-authority/governance/expired-ratifier",
    "RouteName": "Boundaries on Expired Claims",
    "OwningRole": "knowledge-authority",
    "NavGroup": "governance",
    "NavOrder": 1,
    "RouteKind": "workspace",
    "Purpose": "RatifyingFragmentIsValid reads 2 of 3. One of the rules constraining what an AI agent may do is ratified by a fragment that is no longer valid.",
    "LayoutHints": "Per boundary: its ratifying fragment and that fragment's validity. An invalid ratifier undermines the boundary and must be shown as doing so.",
    "SemanticTypeIri": "urn:effortless:pko-extension#AppRoute",
    "Surface": "domain",
    "Name": "Boundaries on Expired Claims — /knowledge-authority/governance/expired-ratifier",
    "IsInNav": true,
    "IsShared": false,
    "IsMaintainer": false,
    "QuestionCount": 1,
    "ReferenceCount": 2,
    "AnswersNoQuestion": false
   },
   {
    "AppRouteId": "authority-orphaned-provenance",
    "RoutePath": "/knowledge-authority/governance/orphaned-provenance",
    "RouteName": "Orphaned Provenance",
    "OwningRole": "knowledge-authority",
    "NavGroup": "governance",
    "NavOrder": 2,
    "RouteKind": "workspace",
    "Purpose": "kf-close-fx-time, kf-close-top-ten and kf-close-judgment all trace to devon-okafor via elicit-close-shadow. If that provenance is orphaned, what rests on it?",
    "LayoutHints": "Provenance tree from agent through session to fragments, with the orphan state marked at whichever level it occurs.",
    "SemanticTypeIri": "urn:effortless:pko-extension#AppRoute",
    "Surface": "domain",
    "Name": "Orphaned Provenance — /knowledge-authority/governance/orphaned-provenance",
    "IsInNav": true,
    "IsShared": false,
    "IsMaintainer": false,
    "QuestionCount": 1,
    "ReferenceCount": 2,
    "AnswersNoQuestion": false
   },
   {
    "AppRouteId": "authority-unwitnessed-change",
    "RoutePath": "/knowledge-authority/governance/unwitnessed-change",
    "RouteName": "Semantic Change Without a Witness",
    "OwningRole": "knowledge-authority",
    "NavGroup": "governance",
    "NavOrder": 3,
    "RouteKind": "workspace",
    "Purpose": "cr-close-timestamp altered a blocking control and was decided by me. Did any semantic change go through without a witness?",
    "LayoutHints": "Per semantic change: what it altered, who decided, what witnessed the effect. A change with no witness is the finding.",
    "SemanticTypeIri": "urn:effortless:pko-extension#AppRoute",
    "Surface": "domain",
    "Name": "Semantic Change Without a Witness — /knowledge-authority/governance/unwitnessed-change",
    "IsInNav": true,
    "IsShared": false,
    "IsMaintainer": false,
    "QuestionCount": 1,
    "ReferenceCount": 2,
    "AnswersNoQuestion": false
   },
   {
    "AppRouteId": "authority-stale-elicitation",
    "RoutePath": "/knowledge-authority/knowledge/elicitation-age",
    "RouteName": "How Old Is the Evidence",
    "OwningRole": "knowledge-authority",
    "NavGroup": "knowledge",
    "NavOrder": 5,
    "RouteKind": "workspace",
    "Purpose": "elicit-close-shadow ran on 2026-04-03 and elicit-policy-workshop on 2026-05-10. How old is the evidence behind what we rely on?",
    "LayoutHints": "Sessions on a timeline with the fragments each produced, and the age of each. Judged against the modelled instant.",
    "SemanticTypeIri": "urn:effortless:pko-extension#AppRoute",
    "Surface": "domain",
    "Name": "How Old Is the Evidence — /knowledge-authority/knowledge/elicitation-age",
    "IsInNav": true,
    "IsShared": false,
    "IsMaintainer": false,
    "QuestionCount": 1,
    "ReferenceCount": 2,
    "AnswersNoQuestion": false
   },
   {
    "AppRouteId": "authority-elicitation-monoculture",
    "RoutePath": "/knowledge-authority/knowledge/method-monoculture",
    "RouteName": "Single-Witness Monoculture",
    "OwningRole": "knowledge-authority",
    "NavGroup": "knowledge",
    "NavOrder": 6,
    "RouteKind": "workspace",
    "Purpose": "2 of 3 elicitation sessions used a single-witness method, and 4 of 7 fragments inherit that. How much of what we know rests on one person's account?",
    "LayoutHints": "Method distribution plus the inheritance chain into fragments. The inherited proportion is the headline.",
    "SemanticTypeIri": "urn:effortless:pko-extension#AppRoute",
    "Surface": "domain",
    "Name": "Single-Witness Monoculture — /knowledge-authority/knowledge/method-monoculture",
    "IsInNav": true,
    "IsShared": false,
    "IsMaintainer": false,
    "QuestionCount": 1,
    "ReferenceCount": 2,
    "AnswersNoQuestion": false
   },
   {
    "AppRouteId": "authority-known-unknowns",
    "RoutePath": "/knowledge-authority/knowledge/known-unknowns",
    "RouteName": "Known Unknowns",
    "OwningRole": "knowledge-authority",
    "NavGroup": "knowledge",
    "NavOrder": 7,
    "RouteKind": "workspace",
    "Purpose": "What do we know that we do not know? gap-policy-delivery-receipts has been Open since 2026-07-18 with a resolution nobody has taken.",
    "LayoutHints": "Gap register with age, owner, severity, and resolution path. Ownerless gaps sort first.",
    "SemanticTypeIri": "urn:effortless:pko-extension#AppRoute",
    "Surface": "domain",
    "Name": "Known Unknowns — /knowledge-authority/knowledge/known-unknowns",
    "IsInNav": true,
    "IsShared": false,
    "IsMaintainer": false,
    "QuestionCount": 1,
    "ReferenceCount": 2,
    "AnswersNoQuestion": false
   },
   {
    "AppRouteId": "authority-review-date-inferred",
    "RoutePath": "/knowledge-authority/model/inferred-review-dates",
    "RouteName": "Inferred, Not Recorded",
    "OwningRole": "knowledge-authority",
    "NavGroup": "model",
    "NavOrder": 1,
    "RouteKind": "workspace",
    "Purpose": "IsOverdueForReview reads 6/7 and I do not trust it — it is computed from AgeDays rather than from a recorded review date.",
    "LayoutHints": "Per fragment: inferred review state vs any recorded date. Where no date was ever recorded, say so — do not present the inference as a record.",
    "SemanticTypeIri": "urn:effortless:pko-extension#AppRoute",
    "Surface": "domain",
    "Name": "Inferred, Not Recorded — /knowledge-authority/model/inferred-review-dates",
    "IsInNav": true,
    "IsShared": false,
    "IsMaintainer": false,
    "QuestionCount": 1,
    "ReferenceCount": 2,
    "AnswersNoQuestion": false
   },
   {
    "AppRouteId": "shared-step-execution-detail",
    "RoutePath": "/shared/step-execution/:stepExecutionId",
    "RouteName": "Step Execution",
    "OwningRole": "",
    "NavGroup": "",
    "NavOrder": 0,
    "RouteKind": "detail",
    "Purpose": "One step execution, everything about it: spec, what happened, controls, evidence, issues.",
    "LayoutHints": "The existing step drawer promoted to a full route. Role-aware emphasis: the analyst sees controls first, the controller sees separation, the CFO sees approvals.",
    "SemanticTypeIri": "urn:effortless:pko-extension#AppRoute",
    "Surface": "domain",
    "Name": "Step Execution — /shared/step-execution/:stepExecutionId",
    "IsInNav": false,
    "IsShared": true,
    "IsMaintainer": false,
    "QuestionCount": 0,
    "ReferenceCount": 2,
    "AnswersNoQuestion": false
   },
   {
    "AppRouteId": "shared-requirement-detail",
    "RoutePath": "/shared/requirement/:requirementId",
    "RouteName": "Requirement",
    "OwningRole": "",
    "NavGroup": "",
    "NavOrder": 0,
    "RouteKind": "detail",
    "Purpose": "One control: its statement, bindings, witness, and every evaluation.",
    "LayoutHints": "Header with statement and blocking flag; sections for bindings, witness scope, evaluation history.",
    "SemanticTypeIri": "urn:effortless:pko-extension#AppRoute",
    "Surface": "domain",
    "Name": "Requirement — /shared/requirement/:requirementId",
    "IsInNav": false,
    "IsShared": true,
    "IsMaintainer": false,
    "QuestionCount": 0,
    "ReferenceCount": 2,
    "AnswersNoQuestion": false
   },
   {
    "AppRouteId": "shared-knowledge-fragment-detail",
    "RoutePath": "/shared/knowledge-fragment/:fragmentId",
    "RouteName": "Knowledge Fragment",
    "OwningRole": "",
    "NavGroup": "",
    "NavOrder": 0,
    "RouteKind": "detail",
    "Purpose": "One claim: its form, status, owner, provenance, and everything depending on it.",
    "LayoutHints": "Status and validity header; provenance chain up to the elicitation session; dependents fanned out below.",
    "SemanticTypeIri": "urn:effortless:pko-extension#AppRoute",
    "Surface": "domain",
    "Name": "Knowledge Fragment — /shared/knowledge-fragment/:fragmentId",
    "IsInNav": false,
    "IsShared": true,
    "IsMaintainer": false,
    "QuestionCount": 0,
    "ReferenceCount": 2,
    "AnswersNoQuestion": false
   },
   {
    "AppRouteId": "shared-change-request-detail",
    "RoutePath": "/shared/change-request/:changeRequestId",
    "RouteName": "Change Request",
    "OwningRole": "",
    "NavGroup": "",
    "NavOrder": 0,
    "RouteKind": "detail",
    "Purpose": "One request: what it targets, who must clear it, and where it currently sits.",
    "LayoutHints": "Header with status and age; the authority chain; the version it targets.",
    "SemanticTypeIri": "urn:effortless:pko-extension#AppRoute",
    "Surface": "domain",
    "Name": "Change Request — /shared/change-request/:changeRequestId",
    "IsInNav": false,
    "IsShared": true,
    "IsMaintainer": false,
    "QuestionCount": 0,
    "ReferenceCount": 2,
    "AnswersNoQuestion": false
   },
   {
    "AppRouteId": "shared-exception-detail",
    "RoutePath": "/shared/exception/:exceptionId",
    "RouteName": "Exception",
    "OwningRole": "",
    "NavGroup": "",
    "NavOrder": 0,
    "RouteKind": "detail",
    "Purpose": "One documented exception: its condition, its handling, and every time it was invoked.",
    "LayoutHints": "Condition and handling text, approval and fallback roles, invocation history.",
    "SemanticTypeIri": "urn:effortless:pko-extension#AppRoute",
    "Surface": "domain",
    "Name": "Exception — /shared/exception/:exceptionId",
    "IsInNav": false,
    "IsShared": true,
    "IsMaintainer": false,
    "QuestionCount": 0,
    "ReferenceCount": 2,
    "AnswersNoQuestion": false
   },
   {
    "AppRouteId": "shared-role-assignment-detail",
    "RoutePath": "/shared/role-assignment/:assignmentId",
    "RouteName": "Role Assignment",
    "OwningRole": "",
    "NavGroup": "",
    "NavOrder": 0,
    "RouteKind": "detail",
    "Purpose": "One assignment: who held what, when, on whose authority.",
    "LayoutHints": "Validity window rendered as a timeline; approver and predecessor named.",
    "SemanticTypeIri": "urn:effortless:pko-extension#AppRoute",
    "Surface": "domain",
    "Name": "Role Assignment — /shared/role-assignment/:assignmentId",
    "IsInNav": false,
    "IsShared": true,
    "IsMaintainer": false,
    "QuestionCount": 0,
    "ReferenceCount": 2,
    "AnswersNoQuestion": false
   },
   {
    "AppRouteId": "shared-operational-binding-detail",
    "RoutePath": "/shared/operational-binding/:bindingId",
    "RouteName": "Operational Binding",
    "OwningRole": "",
    "NavGroup": "",
    "NavOrder": 0,
    "RouteKind": "detail",
    "Purpose": "One binding: its source, freshness SLA, authoritative flag, and observation history.",
    "LayoutHints": "Freshness judged against the modelled instant, with the instant named on the page.",
    "SemanticTypeIri": "urn:effortless:pko-extension#AppRoute",
    "Surface": "domain",
    "Name": "Operational Binding — /shared/operational-binding/:bindingId",
    "IsInNav": false,
    "IsShared": true,
    "IsMaintainer": false,
    "QuestionCount": 0,
    "ReferenceCount": 2,
    "AnswersNoQuestion": false
   },
   {
    "AppRouteId": "shared-delivery-detail",
    "RoutePath": "/shared/delivery/:deliveryId",
    "RouteName": "Delivery",
    "OwningRole": "",
    "NavGroup": "",
    "NavOrder": 0,
    "RouteKind": "detail",
    "Purpose": "One delivery: intended, sent, landed, acknowledged — plus the exact text transmitted.",
    "LayoutHints": "Lifecycle strip across the top; frozen text below; gate results attached.",
    "SemanticTypeIri": "urn:effortless:pko-extension#AppRoute",
    "Surface": "domain",
    "Name": "Delivery — /shared/delivery/:deliveryId",
    "IsInNav": false,
    "IsShared": true,
    "IsMaintainer": false,
    "QuestionCount": 0,
    "ReferenceCount": 2,
    "AnswersNoQuestion": false
   },
   {
    "AppRouteId": "shared-recipient-detail",
    "RoutePath": "/shared/recipient/:recipientId",
    "RouteName": "Recipient",
    "OwningRole": "",
    "NavGroup": "",
    "NavOrder": 0,
    "RouteKind": "detail",
    "Purpose": "One person: consent state, channels, every message we attempted, and whether we ever reached them.",
    "LayoutHints": "Consent history as a timeline; attempts listed with outcomes.",
    "SemanticTypeIri": "urn:effortless:pko-extension#AppRoute",
    "Surface": "domain",
    "Name": "Recipient — /shared/recipient/:recipientId",
    "IsInNav": false,
    "IsShared": true,
    "IsMaintainer": false,
    "QuestionCount": 0,
    "ReferenceCount": 2,
    "AnswersNoQuestion": false
   },
   {
    "AppRouteId": "shared-template-detail",
    "RoutePath": "/shared/template/:templateId",
    "RouteName": "Message Template",
    "OwningRole": "",
    "NavGroup": "",
    "NavOrder": 0,
    "RouteKind": "detail",
    "Purpose": "One template: its text, approvals, edit history, and every send that used it.",
    "LayoutHints": "Edit history against approval history on one axis — that overlay is what makes drift visible.",
    "SemanticTypeIri": "urn:effortless:pko-extension#AppRoute",
    "Surface": "domain",
    "Name": "Message Template — /shared/template/:templateId",
    "IsInNav": false,
    "IsShared": true,
    "IsMaintainer": false,
    "QuestionCount": 0,
    "ReferenceCount": 2,
    "AnswersNoQuestion": false
   },
   {
    "AppRouteId": "shared-procedure-version-detail",
    "RoutePath": "/shared/procedure-version/:versionId",
    "RouteName": "Procedure Version",
    "OwningRole": "",
    "NavGroup": "",
    "NavOrder": 0,
    "RouteKind": "detail",
    "Purpose": "One version: its steps, status, stewardship, reviews, and what still references it.",
    "LayoutHints": "Header with status and steward; steps listed; inbound references shown even when archived.",
    "SemanticTypeIri": "urn:effortless:pko-extension#AppRoute",
    "Surface": "domain",
    "Name": "Procedure Version — /shared/procedure-version/:versionId",
    "IsInNav": false,
    "IsShared": true,
    "IsMaintainer": false,
    "QuestionCount": 0,
    "ReferenceCount": 2,
    "AnswersNoQuestion": false
   },
   {
    "AppRouteId": "shared-knowledge-gap-detail",
    "RoutePath": "/shared/knowledge-gap/:gapId",
    "RouteName": "Knowledge Gap",
    "OwningRole": "",
    "NavGroup": "",
    "NavOrder": 0,
    "RouteKind": "detail",
    "Purpose": "One gap: what is missing, who owns closing it, how long it has been open, and what it blocks.",
    "LayoutHints": "Age and severity in the header; blocked items listed below.",
    "SemanticTypeIri": "urn:effortless:pko-extension#AppRoute",
    "Surface": "domain",
    "Name": "Knowledge Gap — /shared/knowledge-gap/:gapId",
    "IsInNav": false,
    "IsShared": true,
    "IsMaintainer": false,
    "QuestionCount": 0,
    "ReferenceCount": 2,
    "AnswersNoQuestion": false
   },
   {
    "AppRouteId": "shared-verification-outcomes",
    "RoutePath": "/shared/verification-outcome/:outcomeId",
    "RouteName": "Verification Outcome",
    "OwningRole": "",
    "NavGroup": "",
    "NavOrder": 0,
    "RouteKind": "detail",
    "Purpose": "One verification: expected signal, observed signal, observer, and independence.",
    "LayoutHints": "Expected vs observed side by side; independence verdict prominent.",
    "SemanticTypeIri": "urn:effortless:pko-extension#AppRoute",
    "Surface": "domain",
    "Name": "Verification Outcome — /shared/verification-outcome/:outcomeId",
    "IsInNav": false,
    "IsShared": true,
    "IsMaintainer": false,
    "QuestionCount": 0,
    "ReferenceCount": 2,
    "AnswersNoQuestion": false
   },
   {
    "AppRouteId": "shared-review-event-detail",
    "RoutePath": "/shared/review-event/:reviewId",
    "RouteName": "Review Event",
    "OwningRole": "",
    "NavGroup": "",
    "NavOrder": 0,
    "RouteKind": "detail",
    "Purpose": "One review: kind, reviewer, outcome, and when the next is due.",
    "LayoutHints": "Cadence context in the header so a single review reads against its promised interval.",
    "SemanticTypeIri": "urn:effortless:pko-extension#AppRoute",
    "Surface": "domain",
    "Name": "Review Event — /shared/review-event/:reviewId",
    "IsInNav": false,
    "IsShared": true,
    "IsMaintainer": false,
    "QuestionCount": 0,
    "ReferenceCount": 2,
    "AnswersNoQuestion": false
   },
   {
    "AppRouteId": "shared-elicitation-detail",
    "RoutePath": "/shared/elicitation-session/:sessionId",
    "RouteName": "Elicitation Session",
    "OwningRole": "",
    "NavGroup": "",
    "NavOrder": 0,
    "RouteKind": "detail",
    "Purpose": "One session: method, participants, date, and every fragment it produced.",
    "LayoutHints": "Method and single-witness flag in the header; produced fragments listed with their current validity.",
    "SemanticTypeIri": "urn:effortless:pko-extension#AppRoute",
    "Surface": "domain",
    "Name": "Elicitation Session — /shared/elicitation-session/:sessionId",
    "IsInNav": false,
    "IsShared": true,
    "IsMaintainer": false,
    "QuestionCount": 0,
    "ReferenceCount": 2,
    "AnswersNoQuestion": false
   },
   {
    "AppRouteId": "shared-transition-detail",
    "RoutePath": "/shared/transition/:transitionId",
    "RouteName": "Step Transition",
    "OwningRole": "",
    "NavGroup": "",
    "NavOrder": 0,
    "RouteKind": "detail",
    "Purpose": "One transition: from, to, condition, kind, and how often it has actually been taken.",
    "LayoutHints": "Traversal count prominent — a zero on a fallback is the point of the page.",
    "SemanticTypeIri": "urn:effortless:pko-extension#AppRoute",
    "Surface": "domain",
    "Name": "Step Transition — /shared/transition/:transitionId",
    "IsInNav": false,
    "IsShared": true,
    "IsMaintainer": false,
    "QuestionCount": 0,
    "ReferenceCount": 2,
    "AnswersNoQuestion": false
   },
   {
    "AppRouteId": "shared-authority-boundary-detail",
    "RoutePath": "/shared/authority-boundary/:boundaryId",
    "RouteName": "Authority Boundary",
    "OwningRole": "",
    "NavGroup": "",
    "NavOrder": 0,
    "RouteKind": "detail",
    "Purpose": "One boundary: what it constrains, the fragment ratifying it, and whether it has ever been tested.",
    "LayoutHints": "Ratifier validity and 'ever approached' count together — neither alone answers the question.",
    "SemanticTypeIri": "urn:effortless:pko-extension#AppRoute",
    "Surface": "domain",
    "Name": "Authority Boundary — /shared/authority-boundary/:boundaryId",
    "IsInNav": false,
    "IsShared": true,
    "IsMaintainer": false,
    "QuestionCount": 0,
    "ReferenceCount": 2,
    "AnswersNoQuestion": false
   },
   {
    "AppRouteId": "shared-evaluation-context",
    "RoutePath": "/shared/evaluation-context",
    "RouteName": "Evaluation Context",
    "OwningRole": "",
    "NavGroup": "",
    "NavOrder": 0,
    "RouteKind": "detail",
    "Purpose": "The modelled instant every time-dependent answer in this app is judged against.",
    "LayoutHints": "State the instant plainly, list the columns that depend on it, and explain why the wall clock is not used.",
    "SemanticTypeIri": "urn:effortless:pko-extension#AppRoute",
    "Surface": "domain",
    "Name": "Evaluation Context — /shared/evaluation-context",
    "IsInNav": false,
    "IsShared": true,
    "IsMaintainer": false,
    "QuestionCount": 2,
    "ReferenceCount": 2,
    "AnswersNoQuestion": false
   },
   {
    "AppRouteId": "shared-field-provenance",
    "RoutePath": "/shared/field/:table/:field",
    "RouteName": "Field Provenance",
    "OwningRole": "",
    "NavGroup": "",
    "NavOrder": 0,
    "RouteKind": "detail",
    "Purpose": "Any field, traced back to the question that motivated it and the formula that computes it.",
    "LayoutHints": "The existing provenance tracer promoted to a route so every value in the app is deep-linkable.",
    "SemanticTypeIri": "urn:effortless:pko-extension#AppRoute",
    "Surface": "domain",
    "Name": "Field Provenance — /shared/field/:table/:field",
    "IsInNav": false,
    "IsShared": true,
    "IsMaintainer": false,
    "QuestionCount": 0,
    "ReferenceCount": 2,
    "AnswersNoQuestion": false
   },
   {
    "AppRouteId": "shared-login",
    "RoutePath": "/",
    "RouteName": "Choose a Role",
    "OwningRole": "",
    "NavGroup": "",
    "NavOrder": 0,
    "RouteKind": "index",
    "Purpose": "The entry point: one card per role, each carrying its own colour and icon.",
    "LayoutHints": "Grid of 12 role cards, human roles first then software roles, each with icon, label, responsibility, and question count. Selecting a card enters that role's dashboard.",
    "SemanticTypeIri": "urn:effortless:pko-extension#AppRoute",
    "Surface": "domain",
    "Name": "Choose a Role — /",
    "IsInNav": false,
    "IsShared": true,
    "IsMaintainer": false,
    "QuestionCount": 0,
    "ReferenceCount": 0,
    "AnswersNoQuestion": false
   },
   {
    "AppRouteId": "admin-board",
    "RoutePath": "/admin/conformance",
    "RouteName": "Test Board",
    "OwningRole": "",
    "Surface": "maintainer",
    "NavGroup": "conformance",
    "NavOrder": 1,
    "RouteKind": "dashboard",
    "Purpose": "Every check the model runs against itself, and whether the board is green.",
    "LayoutHints": "Green/red banner with a blocking-failure count, then per-suite and per-kind tables, then the filterable check list. Warnings are advisory and must read that way — scoring a non-firing witness red would only pressure someone into fabricating rows until it went green.",
    "SemanticTypeIri": "urn:effortless:pko-extension#AppRoute",
    "Name": "Test Board — /admin/conformance",
    "IsInNav": true,
    "IsShared": false,
    "IsMaintainer": true,
    "QuestionCount": 0,
    "ReferenceCount": 2,
    "AnswersNoQuestion": false
   },
   {
    "AppRouteId": "admin-checks",
    "RoutePath": "/admin/conformance/checks",
    "RouteName": "Checks",
    "OwningRole": "",
    "Surface": "maintainer",
    "NavGroup": "conformance",
    "NavOrder": 2,
    "RouteKind": "workspace",
    "Purpose": "One row per check, filterable by kind, outcome, and subject.",
    "LayoutHints": "Filter bar over a virtualised list. Each row shows outcome, subject, assertion, and the question it defends. Blocking and advisory are visually distinct.",
    "SemanticTypeIri": "urn:effortless:pko-extension#AppRoute",
    "Name": "Checks — /admin/conformance/checks",
    "IsInNav": true,
    "IsShared": false,
    "IsMaintainer": true,
    "QuestionCount": 0,
    "ReferenceCount": 2,
    "AnswersNoQuestion": false
   },
   {
    "AppRouteId": "admin-witnesses",
    "RoutePath": "/admin/witnesses",
    "RouteName": "Witness Board",
    "OwningRole": "",
    "Surface": "maintainer",
    "NavGroup": "witnesses",
    "NavOrder": 1,
    "RouteKind": "dashboard",
    "Purpose": "Every boolean witness with its live true/false distribution, so a column that cannot discriminate is visible rather than mistaken for a working check.",
    "LayoutHints": "Grouped by table. Per witness: fire count, distribution bar, and a verdict of discriminates / always-true / never-true / empty. Non-vacuity is the acceptance bar, so the vacuous ones are reported, never hidden.",
    "SemanticTypeIri": "urn:effortless:pko-extension#AppRoute",
    "Name": "Witness Board — /admin/witnesses",
    "IsInNav": true,
    "IsShared": false,
    "IsMaintainer": true,
    "QuestionCount": 0,
    "ReferenceCount": 2,
    "AnswersNoQuestion": false
   },
   {
    "AppRouteId": "admin-vacuous",
    "RoutePath": "/admin/witnesses/vacuous",
    "RouteName": "Cannot Discriminate",
    "OwningRole": "",
    "Surface": "maintainer",
    "NavGroup": "witnesses",
    "NavOrder": 2,
    "RouteKind": "workspace",
    "Purpose": "The witnesses that read the same value on every row — they state nothing about the procedures and are not evidence.",
    "LayoutHints": "Working list of vacuous witnesses with, for each, whether uniformity is legitimate (every seeded requirement really is blocking) or a defect. Do not present these as failures; present them as unproven.",
    "SemanticTypeIri": "urn:effortless:pko-extension#AppRoute",
    "Name": "Cannot Discriminate — /admin/witnesses/vacuous",
    "IsInNav": true,
    "IsShared": false,
    "IsMaintainer": true,
    "QuestionCount": 0,
    "ReferenceCount": 2,
    "AnswersNoQuestion": false
   },
   {
    "AppRouteId": "admin-loops",
    "RoutePath": "/admin/loops",
    "RouteName": "Loops &amp; Questions",
    "OwningRole": "",
    "Surface": "maintainer",
    "NavGroup": "loops",
    "NavOrder": 1,
    "RouteKind": "dashboard",
    "Purpose": "The expansion loops: what each made askable, which role asked, and how many predicates each question produced.",
    "LayoutHints": "Loop sections, each with its premise, then questions grouped by asking role. Each question shows its predicate count and computed answer.",
    "SemanticTypeIri": "urn:effortless:pko-extension#AppRoute",
    "Name": "Loops &amp; Questions — /admin/loops",
    "IsInNav": true,
    "IsShared": false,
    "IsMaintainer": true,
    "QuestionCount": 0,
    "ReferenceCount": 2,
    "AnswersNoQuestion": false
   },
   {
    "AppRouteId": "admin-question-defence",
    "RoutePath": "/admin/loops/question/:questionId",
    "RouteName": "Question Defence",
    "OwningRole": "",
    "Surface": "maintainer",
    "NavGroup": "loops",
    "NavOrder": 2,
    "RouteKind": "detail",
    "Purpose": "One question: the predicates invented to answer it, the checks defending it, and the routes where a role actually asks it.",
    "LayoutHints": "Three panels — predicates, checks, routes. The routes panel reads AppRouteQuestions, closing the loop between the question and the screens built to answer it.",
    "SemanticTypeIri": "urn:effortless:pko-extension#AppRoute",
    "Name": "Question Defence — /admin/loops/question/:questionId",
    "IsInNav": true,
    "IsShared": false,
    "IsMaintainer": true,
    "QuestionCount": 0,
    "ReferenceCount": 3,
    "AnswersNoQuestion": false
   },
   {
    "AppRouteId": "admin-provenance",
    "RoutePath": "/admin/provenance",
    "RouteName": "Provenance Tracer",
    "OwningRole": "",
    "Surface": "maintainer",
    "NavGroup": "provenance",
    "NavOrder": 1,
    "RouteKind": "workspace",
    "Purpose": "Trace any field back to the question that motivated it, the role that asked, and the loop it came from.",
    "LayoutHints": "Search by Table.Field, then a chain: field → question → role → loop, plus sibling predicates from the same question. Fields predating the loops carry no question and must say so — inventing one retroactively would be fabrication.",
    "SemanticTypeIri": "urn:effortless:pko-extension#AppRoute",
    "Name": "Provenance Tracer — /admin/provenance",
    "IsInNav": true,
    "IsShared": false,
    "IsMaintainer": true,
    "QuestionCount": 0,
    "ReferenceCount": 2,
    "AnswersNoQuestion": false
   },
   {
    "AppRouteId": "admin-route-map",
    "RoutePath": "/admin/route-map",
    "RouteName": "Route Map",
    "OwningRole": "",
    "Surface": "maintainer",
    "NavGroup": "model",
    "NavOrder": 1,
    "RouteKind": "workspace",
    "Purpose": "The application's own navigation model: every route, which questions it answers, and which routes it links to.",
    "LayoutHints": "Matrix or graph of AppRoutes against AppRouteQuestions, with an explicit panel for AnswersNoQuestion — a route serving no question should be justified or removed.",
    "SemanticTypeIri": "urn:effortless:pko-extension#AppRoute",
    "Name": "Route Map — /admin/route-map",
    "IsInNav": true,
    "IsShared": false,
    "IsMaintainer": true,
    "QuestionCount": 0,
    "ReferenceCount": 2,
    "AnswersNoQuestion": false
   },
   {
    "AppRouteId": "admin-catalog-drift",
    "RoutePath": "/admin/model/catalog-drift",
    "RouteName": "Catalog Drift",
    "OwningRole": "",
    "Surface": "maintainer",
    "NavGroup": "model",
    "NavOrder": 2,
    "RouteKind": "workspace",
    "Purpose": "Whether the field catalog still matches the real schemas, and whether every catalog field resolves to a column the substrate actually emitted.",
    "LayoutHints": "Two checks side by side: catalog-vs-schema drift, and catalog-vs-information_schema resolution. Both must state 'in sync' explicitly rather than rendering an empty list.",
    "SemanticTypeIri": "urn:effortless:pko-extension#AppRoute",
    "Name": "Catalog Drift — /admin/model/catalog-drift",
    "IsInNav": true,
    "IsShared": false,
    "IsMaintainer": true,
    "QuestionCount": 0,
    "ReferenceCount": 2,
    "AnswersNoQuestion": false
   },
   {
    "AppRouteId": "explorer-inferences",
    "RoutePath": "/explorer/inferences",
    "RouteName": "Every Inference",
    "OwningRole": "",
    "Surface": "maintainer",
    "NavGroup": "inferences",
    "NavOrder": 1,
    "RouteKind": "dashboard",
    "Purpose": "All 937 derived fields with the formula that defines it and the fields it reads.",
    "LayoutHints": "Stat row (raw vs inferred, and by kind), then a filterable list. Each entry shows its formula with field references highlighted, its dependencies, and the question that motivated it.",
    "SemanticTypeIri": "urn:effortless:pko-extension#AppRoute",
    "Name": "Every Inference — /explorer/inferences",
    "IsInNav": true,
    "IsShared": false,
    "IsMaintainer": true,
    "QuestionCount": 0,
    "ReferenceCount": 2,
    "AnswersNoQuestion": false
   },
   {
    "AppRouteId": "explorer-tables",
    "RoutePath": "/explorer/tables",
    "RouteName": "All Tables",
    "OwningRole": "",
    "Surface": "maintainer",
    "NavGroup": "inferences",
    "NavOrder": 2,
    "RouteKind": "workspace",
    "Purpose": "Every table with its raw/calculated/lookup/aggregation composition.",
    "LayoutHints": "Table index with a composition bar per row. Infrastructure tables that deliberately have no view are labelled as such, not as broken.",
    "SemanticTypeIri": "urn:effortless:pko-extension#AppRoute",
    "Name": "All Tables — /explorer/tables",
    "IsInNav": true,
    "IsShared": false,
    "IsMaintainer": true,
    "QuestionCount": 0,
    "ReferenceCount": 2,
    "AnswersNoQuestion": false
   },
   {
    "AppRouteId": "explorer-table-detail",
    "RoutePath": "/explorer/tables/:table",
    "RouteName": "Table Detail",
    "OwningRole": "",
    "Surface": "maintainer",
    "NavGroup": "inferences",
    "NavOrder": 3,
    "RouteKind": "detail",
    "Purpose": "One table: its full column catalog and every row, with inferred columns distinguished from stated ones.",
    "LayoutHints": "Column cards above a row grid. Inferred columns are shaded and their cells are clickable for the formula-and-inputs popover.",
    "SemanticTypeIri": "urn:effortless:pko-extension#AppRoute",
    "Name": "Table Detail — /explorer/tables/:table",
    "IsInNav": true,
    "IsShared": false,
    "IsMaintainer": true,
    "QuestionCount": 0,
    "ReferenceCount": 2,
    "AnswersNoQuestion": false
   },
   {
    "AppRouteId": "explorer-record",
    "RoutePath": "/explorer/record/:table/:id",
    "RouteName": "Record Inspector",
    "OwningRole": "",
    "Surface": "maintainer",
    "NavGroup": "inferences",
    "NavOrder": 4,
    "RouteKind": "detail",
    "Purpose": "One row, every field it has: stated values first, then each inference with the current value of every field its formula reads.",
    "LayoutHints": "Two sections — stated and inferred. Each inference shows its formula and its inputs, local or across a foreign key, with derived inputs marked so the chain can be walked further back.",
    "SemanticTypeIri": "urn:effortless:pko-extension#AppRoute",
    "Name": "Record Inspector — /explorer/record/:table/:id",
    "IsInNav": true,
    "IsShared": false,
    "IsMaintainer": true,
    "QuestionCount": 0,
    "ReferenceCount": 2,
    "AnswersNoQuestion": false
   }
  ]
 },
 "AppRouteQuestions": {
  "Description": "Junction: which RoleQuestions each route helps answer. D</t>
  </si>
  <si>
    <t xml:space="preserve">eliberately many-to-many — a question is answered across several routes and a route serves several questions. It is not, and should not become, 1:1.",
  "schema": [
   {
    "name": "AppRouteQuestionId",
    "datatype": "string",
    "type": "raw",
    "nullable": false,
    "Description": "Stored logical identifier for one AppRouteQuestions row."
   },
   {
    "name": "Name",
    "datatype": "string",
    "type": "calculated",
    "nullable": true,
    "Description": "Human-readable calculated display alias for the AppRouteQuestions row.",
    "formula": "={{Route}} &amp; \" answers \" &amp; {{Question}}"
   },
   {
    "name": "Route",
    "datatype": "string",
    "type": "relationship",
    "nullable": true,
    "Description": "The route that helps answer the question.",
    "RelatedTo": "AppRoutes"
   },
   {
    "name": "Question",
    "datatype": "string",
    "type": "relationship",
    "nullable": true,
    "Description": "The role question this route helps answer.",
    "RelatedTo": "RoleQuestions"
   },
   {
    "name": "SemanticTypeIri",
    "datatype": "string",
    "type": "raw",
    "nullable": true,
    "Description": "Semantic type IRI for this row. An extension."
   }
  ],
  "data": [
   {
    "AppRouteQuestionId": "rq-cfo-home--q-cfo-can-i-sign",
    "Route": "cfo-home",
    "Question": "q-cfo-can-i-sign",
    "SemanticTypeIri": "urn:effortless:pko-extension#AppRouteQuestion",
    "Name": "cfo-home answers q-cfo-can-i-sign"
   },
   {
    "AppRouteQuestionId": "rq-cfo-home--q-cfo-approving-on-unfit-version",
    "Route": "cfo-home",
    "Question": "q-cfo-approving-on-unfit-version",
    "SemanticTypeIri": "urn:effortless:pko-extension#AppRouteQuestion",
    "Name": "cfo-home answers q-cfo-approving-on-unfit-version"
   },
   {
    "AppRouteQuestionId": "rq-cfo-blockers--q-cfo-can-i-sign",
    "Route": "cfo-blockers",
    "Question": "q-cfo-can-i-sign",
    "SemanticTypeIri": "urn:effortless:pko-extension#AppRouteQuestion",
    "Name": "cfo-blockers answers q-cfo-can-i-sign"
   },
   {
    "AppRouteQuestionId": "rq-cfo-blockers--q-cfo-approving-on-unfit-version",
    "Route": "cfo-blockers",
    "Question": "q-cfo-approving-on-unfit-version",
    "SemanticTypeIri": "urn:effortless:pko-extension#AppRouteQuestion",
    "Name": "cfo-blockers answers q-cfo-approving-on-unfit-version"
   },
   {
    "AppRouteQuestionId": "rq-cfo-assurance-grade--q2-cfo-quality-of-a-green-attestation",
    "Route": "cfo-assurance-grade",
    "Question": "q2-cfo-quality-of-a-green-attestation",
    "SemanticTypeIri": "urn:effortless:pko-extension#AppRouteQuestion",
    "Name": "cfo-assurance-grade answers q2-cfo-quality-of-a-green-attestation"
   },
   {
    "AppRouteQuestionId": "rq-cfo-assurance-grade--q2-cfo-controls-nobody-is-watching",
    "Route": "cfo-assurance-grade",
    "Question": "q2-cfo-controls-nobody-is-watching",
    "SemanticTypeIri": "urn:effortless:pko-extension#AppRouteQuestion",
    "Name": "cfo-assurance-grade answers q2-cfo-controls-nobody-is-watching"
   },
   {
    "AppRouteQuestionId": "rq-cfo-unwitnessed-controls--q2-cfo-controls-nobody-is-watching",
    "Route": "cfo-unwitnessed-controls",
    "Question": "q2-cfo-controls-nobody-is-watching",
    "SemanticTypeIri": "urn:effortless:pko-extension#AppRouteQuestion",
    "Name": "cfo-unwitnessed-controls answers q2-cfo-controls-nobody-is-watching"
   },
   {
    "AppRouteQuestionId": "rq-cfo-unwitnessed-controls--q-cfo-am-i-being-told-everything",
    "Route": "cfo-unwitnessed-controls",
    "Question": "q-cfo-am-i-being-told-everything",
    "SemanticTypeIri": "urn:effortless:pko-extension#AppRouteQuestion",
    "Name": "cfo-unwitnessed-controls answers q-cfo-am-i-being-told-everything"
   },
   {
    "AppRouteQuestionId": "rq-cfo-typed-conclusions--q-cfo-am-i-being-told-everything",
    "Route": "cfo-typed-conclusions",
    "Question": "q-cfo-am-i-being-told-everything",
    "SemanticTypeIri": "urn:effortless:pko-extension#AppRouteQuestion",
    "Name": "cfo-typed-conclusions answers q-cfo-am-i-being-told-everything"
   },
   {
    "AppRouteQuestionId": "rq-cfo-witness-chain--q2-cfo-who-witnessed-the-witnesses",
    "Route": "cfo-witness-chain",
    "Question": "q2-cfo-who-witnessed-the-witnesses",
    "SemanticTypeIri": "urn:effortless:pko-extension#AppRouteQuestion",
    "Name": "cfo-witness-chain answers q2-cfo-who-witnessed-the-witnesses"
   },
   {
    "AppRouteQuestionId": "rq-cfo-witness-chain--q-cfo-approval-was-actually-verified",
    "Route": "cfo-witness-chain",
    "Question": "q-cfo-approval-was-actually-verified",
    "SemanticTypeIri": "urn:effortless:pko-extension#AppRouteQuestion",
    "Name": "cfo-witness-chain answers q-cfo-approval-was-actually-verified"
   },
   {
    "AppRouteQuestionId": "rq-cfo-authority-map--q-cfo-who-actually-held-authority",
    "Route": "cfo-authority-map",
    "Question": "q-cfo-who-actually-held-authority",
    "SemanticTypeIri": "urn:effortless:pko-extension#AppRouteQuestion",
    "Name": "cfo-authority-map answers q-cfo-who-actually-held-authority"
   },
   {
    "AppRouteQuestionId": "rq-cfo-my-approvals--q-cfo-approval-was-actually-verified",
    "Route": "cfo-my-approvals",
    "Question": "q-cfo-approval-was-actually-verified",
    "SemanticTypeIri": "urn:effortless:pko-extension#AppRouteQuestion",
    "Name": "cfo-my-approvals answers q-cfo-approval-was-actually-verified"
   },
   {
    "AppRouteQuestionId": "rq-cfo-my-approvals--q2-cfo-who-witnessed-the-witnesses",
    "Route": "cfo-my-approvals",
    "Question": "q2-cfo-who-witnessed-the-witnesses",
    "SemanticTypeIri": "urn:effortless:pko-extension#AppRouteQuestion",
    "Name": "cfo-my-approvals answers q2-cfo-who-witnessed-the-witnesses"
   },
   {
    "AppRouteQuestionId": "rq-cfo-signature-dependencies--q2-cfo-what-changed-since-i-signed",
    "Route": "cfo-signature-dependencies",
    "Question": "q2-cfo-what-changed-since-i-signed",
    "SemanticTypeIri": "urn:effortless:pko-extension#AppRouteQuestion",
    "Name": "cfo-signature-dependencies answers q2-cfo-what-changed-since-i-signed"
   },
   {
    "AppRouteQuestionId": "rq-cfo-changed-since-signing--q2-cfo-what-changed-since-i-signed",
    "Route": "cfo-changed-since-signing",
    "Question": "q2-cfo-what-changed-since-i-signed",
    "SemanticTypeIri": "urn:effortless:pko-extension#AppRouteQuestion",
    "Name": "cfo-changed-since-signing answers q2-cfo-what-changed-since-i-signed"
   },
   {
    "AppRouteQuestionId": "rq-cfo-restatement--q2-cfo-would-it-survive-restatement",
    "Route": "cfo-restatement",
    "Question": "q2-cfo-would-it-survive-restatement",
    "SemanticTypeIri": "urn:effortless:pko-extension#AppRouteQuestion",
    "Name": "cfo-restatement answers q2-cfo-would-it-survive-restatement"
   },
   {
    "AppRouteQuestionId": "rq-cfo-attestation-detail--q-cfo-can-i-sign",
    "Route": "cfo-attestation-detail",
    "Question": "q-cfo-can-i-sign",
    "SemanticTypeIri": "urn:effortless:pko-extension#AppRouteQuestion",
    "Name": "cfo-attestation-detail answers q-cfo-can-i-sign"
   },
   {
    "AppRouteQuestionId": "rq-controller-home--q-controller-blocking-control-inoperative",
    "Route": "controller-home",
    "Question": "q-controller-blocking-control-inoperative",
    "SemanticTypeIri": "urn:effortless:pko-extension#AppRouteQuestion",
    "Name": "controller-home answers q-controller-blocking-control-inoperative"
   },
   {
    "AppRouteQuestionId": "rq-controller-home--q2-ctl-witness-never-fired",
    "Route": "controller-home",
    "Question": "q2-ctl-witness-never-fired",
    "SemanticTypeIri": "urn:effortless:pko-extension#AppRouteQuestion",
    "Name": "controller-home answers q2-ctl-witness-never-fired"
   },
   {
    "AppRouteQuestionId": "rq-controller-mute-controls--q-controller-blocking-control-inoperative",
    "Route": "controller-mute-controls",
    "Question": "q-controller-blocking-control-inoperative",
    "SemanticTypeIri": "urn:effortless:pko-extension#AppRouteQuestion",
    "Name": "controller-mute-controls answers q-controller-blocking-control-inoperative"
   },
   {
    "AppRouteQuestionId": "rq-controller-mute-controls--q2-ctl-witness-never-fired",
    "Route": "controller-mute-controls",
    "Question": "q2-ctl-witness-never-fired",
    "SemanticTypeIri": "urn:effortless:pko-extension#AppRouteQuestion",
    "Name": "controller-mute-controls answers q2-ctl-witness-never-fired"
   },
   {
    "AppRouteQuestionId": "rq-controller-witness-scope--q2-ctl-witness-scope-vs-binding",
    "Route": "controller-witness-scope",
    "Question": "q2-ctl-witness-scope-vs-binding",
    "SemanticTypeIri": "urn:effortless:pko-extension#AppRouteQuestion",
    "Name": "controller-witness-scope answers q2-ctl-witness-scope-vs-binding"
   },
   {
    "AppRouteQuestionId": "rq-controller-separation--q-controller-separation-of-duties",
    "Route": "controller-separation",
    "Question": "q-controller-separation-of-duties",
    "SemanticTypeIri": "urn:effortless:pko-extension#AppRouteQuestion",
    "Name": "controller-separation answers q-controller-separation-of-duties"
   },
   {
    "AppRouteQuestionId": "rq-controller-separation--q2-ctl-separation-held-or-untested",
    "Route": "controller-separation",
    "Question": "q2-ctl-separation-held-or-untested",
    "SemanticTypeIri": "urn:effortless:pko-extension#AppRouteQuestion",
    "Name": "controller-separation answers q2-ctl-separation-held-or-untested"
   },
   {
    "AppRouteQuestionId": "rq-controller-conformance--q-controller-execution-diverged-from-spec",
    "Route": "controller-conformance",
    "Question": "q-controller-execution-diverged-from-spec",
    "SemanticTypeIri": "urn:effortless:pko-extension#AppRouteQuestion",
    "Name": "controller-conformance answers q-controller-execution-diverged-from-spec"
   },
   {
    "AppRouteQuestionId": "rq-controller-ungoverned-divergence--q2-ctl-divergence-that-nobody-governed",
    "Route": "controller-ungoverned-divergence",
    "Question": "q2-ctl-divergence-that-nobody-governed",
    "SemanticTypeIri": "urn:effortless:pko-extension#AppRouteQuestion",
    "Name": "controller-ungoverned-divergence answers q2-ctl-divergence-that-nobody-governed"
   },
   {
    "AppRouteQuestionId": "rq-controller-authority-validity--q-controller-approval-authority-valid",
    "Route": "controller-authority-validity",
    "Question": "q-controller-approval-authority-valid",
    "SemanticTypeIri": "urn:effortless:pko-extension#AppRouteQuestion",
    "Name": "controller-authority-validity answers q-controller-approval-authority-valid"
   },
   {
    "AppRouteQuestionId": "rq-controller-ai-boundary--q-controller-ai-agent-approved-meaning",
    "Route": "controller-ai-boundary",
    "Question": "q-controller-ai-agent-approved-meaning",
    "SemanticTypeIri": "urn:effortless:pko-extension#AppRouteQuestion",
    "Name": "controller-ai-boundary answers q-controller-ai-agent-approved-meaning"
   },
   {
    "AppRouteQuestionId": "rq-controller-asserted-controls--q2-ctl-asserted-controls-by-who",
    "Route": "controller-asserted-controls",
    "Question": "q2-ctl-asserted-controls-by-who",
    "SemanticTypeIri": "urn:effortless:pko-extension#AppRouteQuestion",
    "Name": "controller-asserted-controls answers q2-ctl-asserted-controls-by-who"
   },
   {
    "AppRouteQuestionId": "rq-controller-control-detail--q-controller-blocking-control-inoperative",
    "Route": "controller-control-detail",
    "Question": "q-controller-blocking-control-inoperative",
    "SemanticTypeIri": "urn:effortless:pko-extension#AppRouteQuestion",
    "Name": "controller-control-detail answers q-controller-blocking-control-inoperative"
   },
   {
    "AppRouteQuestionId": "rq-analyst-home--q-analyst-blocking-unmet-on-my-step",
    "Route": "analyst-home",
    "Question": "q-analyst-blocking-unmet-on-my-step",
    "SemanticTypeIri": "urn:effortless:pko-extension#AppRouteQuestion",
    "Name": "analyst-home answers q-analyst-blocking-unmet-on-my-step"
   },
   {
    "AppRouteQuestionId": "rq-analyst-home--q2-fa-clean-but-uncovered",
    "Route": "analyst-home",
    "Question": "q2-fa-clean-but-uncovered",
    "SemanticTypeIri": "urn:effortless:pko-extension#AppRouteQuestion",
    "Name": "analyst-home answers q2-fa-clean-but-uncovered"
   },
   {
    "AppRouteQuestionId": "rq-analyst-blocking-unmet--q-analyst-blocking-unmet-on-my-step",
    "Route": "analyst-blocking-unmet",
    "Question": "q-analyst-blocking-unmet-on-my-step",
    "SemanticTypeIri": "urn:effortless:pko-extension#AppRouteQuestion",
    "Name": "analyst-blocking-unmet answers q-analyst-blocking-unmet-on-my-step"
   },
   {
    "AppRouteQuestionId": "rq-analyst-never-evaluated--q-analyst-blocking-never-evaluated",
    "Route": "analyst-never-evaluated",
    "Question": "q-analyst-blocking-never-evaluated",
    "SemanticTypeIri": "urn:effortless:pko-extension#AppRouteQuestion",
    "Name": "analyst-never-evaluated answers q-analyst-blocking-never-evaluated"
   },
   {
    "AppRouteQuestionId": "rq-analyst-late-steps--q-analyst-my-late-steps-unexplained",
    "Route": "analyst-late-steps",
    "Question": "q-analyst-my-late-steps-unexplained",
    "SemanticTypeIri": "urn:effortless:pko-extension#AppRouteQuestion",
    "Name": "analyst-late-steps answers q-analyst-my-late-steps-unexplained"
   },
   {
    "AppRouteQuestionId": "rq-analyst-verification-performed--q-analyst-verification-declared-never-performed",
    "Route": "analyst-verification-performed",
    "Question": "q-analyst-verification-declared-never-performed",
    "SemanticTypeIri": "urn:effortless:pko-extension#AppRouteQuestion",
    "Name": "analyst-verification-performed answers q-analyst-verification-declared-never-performed"
   },
   {
    "AppRouteQuestionId": "rq-analyst-evidence-quality--q2-fa-my-own-evidence-quality",
    "Route": "analyst-evidence-quality",
    "Question": "q2-fa-my-own-evidence-quality",
    "SemanticTypeIri": "urn:effortless:pko-extension#AppRouteQuestion",
    "Name": "analyst-evidence-quality answers q2-fa-my-own-evidence-quality"
   },
   {
    "AppRouteQuestionId": "rq-analyst-source-freshness--q-analyst-evidence-binding-stale",
    "Route": "analyst-source-freshness",
    "Question": "q-analyst-evidence-binding-stale",
    "SemanticTypeIri": "urn:effortless:pko-extension#AppRouteQuestion",
    "Name": "analyst-source-freshness answers q-analyst-evidence-binding-stale"
   },
   {
    "AppRouteQuestionId": "rq-analyst-stale-then-vs-now--q2-fa-stale-then-vs-stale-now",
    "Route": "analyst-stale-then-vs-now",
    "Question": "q2-fa-stale-then-vs-stale-now",
    "SemanticTypeIri": "urn:effortless:pko-extension#AppRouteQuestion",
    "Name": "analyst-stale-then-vs-now answers q2-fa-stale-then-vs-stale-now"
   },
   {
    "AppRouteQuestionId": "rq-analyst-clean-but-uncovered--q2-fa-clean-but-uncovered",
    "Route": "analyst-clean-but-uncovered",
    "Question": "q2-fa-clean-but-uncovered",
    "SemanticTypeIri": "urn:effortless:pko-extension#AppRouteQuestion",
    "Name": "analyst-clean-but-uncovered answers q2-fa-clean-but-uncovered"
   },
   {
    "AppRouteQuestionId": "rq-analyst-mute-clearance--q2-fa-cleared-by-mute-control",
    "Route": "analyst-mute-clearance",
    "Question": "q2-fa-cleared-by-mute-control",
    "SemanticTypeIri": "urn:effortless:pko-extension#AppRouteQuestion",
    "Name": "analyst-mute-clearance answers q2-fa-cleared-by-mute-control"
   },
   {
    "AppRouteQuestionId": "rq-analyst-witness-coverage--q2-fa-witness-coverage-of-my-steps",
    "Route": "analyst-witness-coverage",
    "Question": "q2-fa-witness-coverage-of-my-steps",
    "SemanticTypeIri": "urn:effortless:pko-extension#AppRouteQuestion",
    "Name": "analyst-witness-coverage answers q2-fa-witness-coverage-of-my-steps"
   },
   {
    "AppRouteQuestionId": "rq-hr-home--q-hr-unapproved-knowledge-in-my-name",
    "Route": "hr-home",
    "Question": "q-hr-unapproved-knowledge-in-my-name",
    "SemanticTypeIri": "urn:effortless:pko-extension#AppRouteQuestion",
    "Name": "hr-home answers q-hr-unapproved-knowledge-in-my-name"
   },
   {
    "AppRouteQuestionId": "rq-hr-home--q-hr-authority-without-review",
    "Route": "hr-home",
    "Question": "q-hr-authority-without-review",
    "SemanticTypeIri": "urn:effortless:pko-extension#AppRouteQuestion",
    "Name": "hr-home answers q-hr-authority-without-review"
   },
   {
    "AppRouteQuestionId": "rq-hr-unapproved-claims--q-hr-unapproved-knowledge-in-my-name",
    "Route": "hr-unapproved-claims",
    "Question": "q-hr-unapproved-knowledge-in-my-name",
    "SemanticTypeIri": "urn:effortless:pko-extension#AppRouteQuestion",
    "Name": "hr-unapproved-claims answers q-hr-unapproved-knowledge-in-my-name"
   },
   {
    "AppRouteQuestionId": "rq-hr-load-bearing-claim--q2-hr-my-unapproved-claim-is-load-bearing",
    "Route": "hr-load-bearing-claim",
    "Question": "q2-hr-my-unapproved-claim-is-load-bearing",
    "SemanticTypeIri": "urn:effortless:pko-extension#AppRouteQuestion",
    "Name": "hr-load-bearing-claim answers q2-hr-my-unapproved-claim-is-load-bearing"
   },
   {
    "AppRouteQuestionId": "rq-hr-backlog--q-hr-authority-without-review",
    "Route": "hr-backlog",
    "Question": "q-hr-authority-without-review",
    "SemanticTypeIri": "urn:effortless:pko-extension#AppRouteQuestion",
    "Name": "hr-backlog answers q-hr-authority-without-review"
   },
   {
    "AppRouteQuestionId": "rq-hr-backlog-downstream--q2-hr-my-backlog-is-someone-elses-block",
    "Route": "hr-backlog-downstream",
    "Question": "q2-hr-my-backlog-is-someone-elses-block",
    "SemanticTypeIri": "urn:effortless:pko-extension#AppRouteQuestion",
    "Name": "hr-backlog-downstream answers q2-hr-my-backlog-is-someone-elses-block"
   },
   {
    "AppRouteQuestionId": "rq-hr-my-decisions--q2-hr-my-approvals-never-read-as-done",
    "Route": "hr-my-decisions",
    "Question": "q2-hr-my-approvals-never-read-as-done",
    "SemanticTypeIri": "urn:effortless:pko-extension#AppRouteQuestion",
    "Name": "hr-my-decisions answers q2-hr-my-approvals-never-read-as-done"
   },
   {
    "AppRouteQuestionId": "rq-hr-ai-boundary--q-hr-ai-authored-commitments",
    "Route": "hr-ai-boundary",
    "Question": "q-hr-ai-authored-commitments",
    "SemanticTypeIri": "urn:effortless:pko-extension#AppRouteQuestion",
    "Name": "hr-ai-boundary answers q-hr-ai-authored-commitments"
   },
   {
    "AppRouteQuestionId": "rq-hr-ai-boundary--q2-hr-ai-boundary-holds-only-where-tested",
    "Route": "hr-ai-boundary",
    "Question": "q2-hr-ai-boundary-holds-only-where-tested",
    "SemanticTypeIri": "urn:effortless:pko-extension#AppRouteQuestion",
    "Name": "hr-ai-boundary answers q2-hr-ai-boundary-holds-only-where-tested"
   },
   {
    "AppRouteQuestionId": "rq-hr-knowledge-half-life--q-hr-policy-knowledge-half-life",
    "Route": "hr-knowledge-half-life",
    "Question": "q-hr-policy-knowledge-half-life",
    "SemanticTypeIri": "urn:effortless:pko-extension#AppRouteQuestion",
    "Name": "hr-knowledge-half-life answers q-hr-policy-knowledge-half-life"
   },
   {
    "AppRouteQuestionId": "rq-hr-departed-holders--q2-hr-departed-holder-left-claims-behind",
    "Route": "hr-departed-holders",
    "Question": "q2-hr-departed-holder-left-claims-behind",
    "SemanticTypeIri": "urn:effortless:pko-extension#AppRouteQuestion",
    "Name": "hr-departed-holders answers q2-hr-departed-holder-left-claims-behind"
   },
   {
    "AppRouteQuestionId": "rq-hr-what-was-sent--q-hr-what-was-actually-sent",
    "Route": "hr-what-was-sent",
    "Question": "q-hr-what-was-actually-sent",
    "SemanticTypeIri": "urn:effortless:pko-extension#AppRouteQuestion",
    "Name": "hr-what-was-sent answers q-hr-what-was-actually-sent"
   },
   {
    "AppRouteQuestionId": "rq-counsel-home--q-counsel-sms-without-consent",
    "Route": "counsel-home",
    "Question": "q-counsel-sms-without-consent",
    "SemanticTypeIri": "urn:effortless:pko-extension#AppRouteQuestion",
    "Name": "counsel-home answers q-counsel-sms-without-consent"
   },
   {
    "AppRouteQuestionId": "rq-counsel-home--q-counsel-quiet-hours-breach",
    "Route": "counsel-home",
    "Question": "q-counsel-quiet-hours-breach",
    "SemanticTypeIri": "urn:effortless:pko-extension#AppRouteQuestion",
    "Name": "counsel-home answers q-counsel-quiet-hours-breach"
   },
   {
    "AppRouteQuestionId": "rq-counsel-home--q-counsel-legal-review-gated-send",
    "Route": "counsel-home",
    "Question": "q-counsel-legal-review-gated-send",
    "SemanticTypeIri": "urn:effortless:pko-extension#AppRouteQuestion",
    "Name": "counsel-home answers q-counsel-legal-review-gated-send"
   },
   {
    "AppRouteQuestionId": "rq-counsel-home--q-counsel-retention-evidence",
    "Route": "counsel-home",
    "Question": "q-counsel-retention-evidence",
    "SemanticTypeIri": "urn:effortless:pko-extension#AppRouteQuestion",
    "Name": "counsel-home answers q-counsel-retention-evidence"
   },
   {
    "AppRouteQuestionId": "rq-counsel-consent--q-counsel-sms-without-consent",
    "Route": "counsel-consent",
    "Question": "q-counsel-sms-without-consent",
    "SemanticTypeIri": "urn:effortless:pko-extension#AppRouteQuestion",
    "Name": "counsel-consent answers q-counsel-sms-without-consent"
   },
   {
    "AppRouteQuestionId": "rq-counsel-quiet-hours--q-counsel-quiet-hours-breach",
    "Route": "counsel-quiet-hours",
    "Question": "q-counsel-quiet-hours-breach",
    "SemanticTypeIri": "urn:effortless:pko-extension#AppRouteQuestion",
    "Name": "counsel-quiet-hours answers q-counsel-quiet-hours-breach"
   },
   {
    "AppRouteQuestionId": "rq-counsel-legal-review--q-counsel-legal-review-gated-send",
    "Route": "counsel-legal-review",
    "Question": "q-counsel-legal-review-gated-send",
    "SemanticTypeIri": "urn:effortless:pko-extension#AppRouteQuestion",
    "Name": "counsel-legal-review answers q-counsel-legal-review-gated-send"
   },
   {
    "AppRouteQuestionId": "rq-counsel-retention--q-counsel-retention-evidence",
    "Route": "counsel-retention",
    "Question": "q-counsel-retention-evidence",
    "SemanticTypeIri": "urn:effortless:pko-extension#AppRouteQuestion",
    "Name": "counsel-retention answers q-counsel-retention-evidence"
   },
   {
    "AppRouteQuestionId": "rq-counsel-unreachable--q-counsel-unreachable-not-acknowledged",
    "Route": "counsel-unreachable",
    "Question": "q-counsel-unreachable-not-acknowledged",
    "SemanticTypeIri": "urn:effortless:pko-extension#AppRouteQuestion",
    "Name": "counsel-unreachable answers q-counsel-unreachable-not-acknowledged"
   },
   {
    "AppRouteQuestionId": "rq-comms-home--q-comms-deliverability",
    "Route": "comms-home",
    "Question": "q-comms-deliverability",
    "SemanticTypeIri": "urn:effortless:pko-extension#AppRouteQuestion",
    "Name": "comms-home answers q-comms-deliverability"
   },
   {
    "AppRouteQuestionId": "rq-comms-home--q2-comms-approval-to-delivery-yield",
    "Route": "comms-home",
    "Question": "q2-comms-approval-to-delivery-yield",
    "SemanticTypeIri": "urn:effortless:pko-extension#AppRouteQuestion",
    "Name": "comms-home answers q2-comms-approval-to-delivery-yield"
   },
   {
    "AppRouteQuestionId": "rq-comms-yield--q2-comms-approval-to-delivery-yield",
    "Route": "comms-yield",
    "Question": "q2-comms-approval-to-delivery-yield",
    "SemanticTypeIri": "urn:effortless:pko-extension#AppRouteQuestion",
    "Name": "comms-yield answers q2-comms-approval-to-delivery-yield"
   },
   {
    "AppRouteQuestionId": "rq-comms-yield--q-comms-deliverability",
    "Route": "comms-yield",
    "Question": "q-comms-deliverability",
    "SemanticTypeIri": "urn:effortless:pko-extension#AppRouteQuestion",
    "Name": "comms-yield answers q-comms-deliverability"
   },
   {
    "AppRouteQuestionId": "rq-comms-failed-deliveries--q-comms-deliverability",
    "Route": "comms-failed-deliveries",
    "Question": "q-comms-deliverability",
    "SemanticTypeIri": "urn:effortless:pko-extension#AppRouteQuestion",
    "Name": "comms-failed-deliveries answers q-comms-deliverability"
   },
   {
    "AppRouteQuestionId": "rq-comms-approval-authority--q-comms-approval-authority",
    "Route": "comms-approval-authority",
    "Question": "q-comms-approval-authority",
    "SemanticTypeIri": "urn:effortless:pko-extension#AppRouteQuestion",
    "Name": "comms-approval-authority answers q-comms-approval-authority"
   },
   {
    "AppRouteQuestionId": "rq-comms-template-drift--q-comms-template-drift",
    "Route": "comms-template-drift",
    "Question": "q-comms-template-drift",
    "SemanticTypeIri": "urn:effortless:pko-extension#AppRouteQuestion",
    "Name": "comms-template-drift answers q-comms-template-drift"
   },
   {
    "AppRouteQuestionId": "rq-comms-frozen-approval--q2-comms-freeze-what-i-approved",
    "Route": "comms-frozen-approval",
    "Question": "q2-comms-freeze-what-i-approved",
    "SemanticTypeIri": "urn:effortless:pko-extension#AppRouteQuestion",
    "Name": "comms-frozen-approval answers q2-comms-freeze-what-i-approved"
   },
   {
    "AppRouteQuestionId": "rq-comms-optout--q-comms-optout-present",
    "Route": "comms-optout",
    "Question": "q-comms-optout-present",
    "SemanticTypeIri": "urn:effortless:pko-extension#AppRouteQuestion",
    "Name": "comms-optout answers q-comms-optout-present"
   },
   {
    "AppRouteQuestionId": "rq-comms-sms-limits--q-comms-oversized-sms",
    "Route": "comms-sms-limits",
    "Question": "q-comms-oversized-sms",
    "SemanticTypeIri": "urn:effortless:pko-extension#AppRouteQuestion",
    "Name": "comms-sms-limits answers q-comms-oversized-sms"
   },
   {
    "AppRouteQuestionId": "rq-comms-engagement--q2-comms-message-nobody-answered",
    "Route": "comms-engagement",
    "Question": "q2-comms-message-nobody-answered",
    "SemanticTypeIri": "urn:effortless:pko-extension#AppRouteQuestion",
    "Name": "comms-engagement answers q2-comms-message-nobody-answered"
   },
   {
    "AppRouteQuestionId": "rq-comms-suppression--q2-comms-suppression-is-a-communication",
    "Route": "comms-suppression",
    "Question": "q2-comms-suppression-is-a-communication",
    "SemanticTypeIri": "urn:effortless:pko-extension#AppRouteQuestion",
    "Name": "comms-suppression answers q2-comms-suppression-is-a-communication"
   },
   {
    "AppRouteQuestionId": "rq-comms-authorization-override--q2-comms-my-approval-was-consumed-correctly",
    "Route": "comms-authorization-override",
    "Question": "q2-comms-my-approval-was-consumed-correctly",
    "SemanticTypeIri": "urn:effortless:pko-extension#AppRouteQuestion",
    "Name": "comms-authorization-override answers q2-comms-my-approval-was-consumed-correctly"
   },
   {
    "AppRouteQuestionId": "rq-close-auto-home--q-close-auto-authority-current",
    "Route": "close-auto-home",
    "Question": "q-close-auto-authority-current",
    "SemanticTypeIri": "urn:effortless:pko-extension#AppRouteQuestion",
    "Name": "close-auto-home answers q-close-auto-authority-current"
   },
   {
    "AppRouteQuestionId": "rq-close-auto-home--q-close-auto-input-freshness",
    "Route": "close-auto-home",
    "Question": "q-close-auto-input-freshness",
    "SemanticTypeIri": "urn:effortless:pko-extension#AppRouteQuestion",
    "Name": "close-auto-home answers q-close-auto-input-freshness"
   },
   {
    "AppRouteQuestionId": "rq-close-auto-home--q-close-auto-last-run-clean",
    "Route": "close-auto-home",
    "Question": "q-close-auto-last-run-clean",
    "SemanticTypeIri": "urn:effortless:pko-extension#AppRouteQuestion",
    "Name": "close-auto-home answers q-close-auto-last-run-clean"
   },
   {
    "AppRouteQuestionId": "rq-close-auto-home--q-close-auto-blocking-requirements-evaluated",
    "Route": "close-auto-home",
    "Question": "q-close-auto-blocking-requirements-evaluated",
    "SemanticTypeIri": "urn:effortless:pko-extension#AppRouteQuestion",
    "Name": "close-auto-home answers q-close-auto-blocking-requirements-evaluated"
   },
   {
    "AppRouteQuestionId": "rq-close-auto-authority--q-close-auto-authority-current",
    "Route": "close-auto-authority",
    "Question": "q-close-auto-authority-current",
    "SemanticTypeIri": "urn:effortless:pko-extension#AppRouteQuestion",
    "Name": "close-auto-authority answers q-close-auto-authority-current"
   },
   {
    "AppRouteQuestionId": "rq-close-auto-inputs--q-close-auto-input-freshness",
    "Route": "close-auto-inputs",
    "Question": "q-close-auto-input-freshness",
    "SemanticTypeIri": "urn:effortless:pko-extension#AppRouteQuestion",
    "Name": "close-auto-inputs answers q-close-auto-input-freshness"
   },
   {
    "AppRouteQuestionId": "rq-close-auto-controls--q-close-auto-blocking-requirements-evaluated",
    "Route": "close-auto-controls",
    "Question": "q-close-auto-blocking-requirements-evaluated",
    "SemanticTypeIri": "urn:effortless:pko-extension#AppRouteQuestion",
    "Name": "close-auto-controls answers q-close-auto-blocking-requirements-evaluated"
   },
   {
    "AppRouteQuestionId": "rq-close-auto-last-run--q-close-auto-last-run-clean",
    "Route": "close-auto-last-run",
    "Question": "q-close-auto-last-run-clean",
    "SemanticTypeIri": "urn:effortless:pko-extension#AppRouteQuestion",
    "Name": "close-auto-last-run answers q-close-auto-last-run-clean"
   },
   {
    "AppRouteQuestionId": "rq-close-auto-drift--q-close-auto-human-override-drift",
    "Route": "close-auto-drift",
    "Question": "q-close-auto-human-override-drift",
    "SemanticTypeIri": "urn:effortless:pko-extension#AppRouteQuestion",
    "Name": "close-auto-drift answers q-close-auto-human-override-drift"
   },
   {
    "AppRouteQuestionId": "rq-variance-home--q-variance-ai-authority-provenance",
    "Route": "variance-home",
    "Question": "q-variance-ai-authority-provenance",
    "SemanticTypeIri": "urn:effortless:pko-extension#AppRouteQuestion",
    "Name": "variance-home answers q-variance-ai-authority-provenance"
   },
   {
    "AppRouteQuestionId": "rq-variance-home--q-variance-ai-boundary-compliance",
    "Route": "variance-home",
    "Question": "q-variance-ai-boundary-compliance",
    "SemanticTypeIri": "urn:effortless:pko-extension#AppRouteQuestion",
    "Name": "variance-home answers q-variance-ai-boundary-compliance"
   },
   {
    "AppRouteQuestionId": "rq-variance-home--q-variance-ai-knowledge-currency",
    "Route": "variance-home",
    "Question": "q-variance-ai-knowledge-currency",
    "SemanticTypeIri": "urn:effortless:pko-extension#AppRouteQuestion",
    "Name": "variance-home answers q-variance-ai-knowledge-currency"
   },
   {
    "AppRouteQuestionId": "rq-variance-authority--q-variance-ai-authority-provenance",
    "Route": "variance-authority",
    "Question": "q-variance-ai-authority-provenance",
    "SemanticTypeIri": "urn:effortless:pko-extension#AppRouteQuestion",
    "Name": "variance-authority answers q-variance-ai-authority-provenance"
   },
   {
    "AppRouteQuestionId": "rq-variance-authority--q2-variance-handover-was-a-decision-somebody-made",
    "Route": "variance-authority",
    "Question": "q2-variance-handover-was-a-decision-somebody-made",
    "SemanticTypeIri": "urn:effortless:pko-extension#AppRouteQuestion",
    "Name": "variance-authority answers q2-variance-handover-was-a-decision-somebody-made"
   },
   {
    "AppRouteQuestionId": "rq-variance-handover--q2-variance-handover-was-a-decision-somebody-made",
    "Route": "variance-handover",
    "Question": "q2-variance-handover-was-a-decision-somebody-made",
    "SemanticTypeIri": "urn:effortless:pko-extension#AppRouteQuestion",
    "Name": "variance-handover answers q2-variance-handover-was-a-decision-somebody-made"
   },
   {
    "AppRouteQuestionId": "rq-variance-boundary--q-variance-ai-boundary-compliance",
    "Route": "variance-boundary",
    "Question": "q-variance-ai-boundary-compliance",
    "SemanticTypeIri": "urn:effortless:pko-extension#AppRouteQuestion",
    "Name": "variance-boundary answers q-variance-ai-boundary-compliance"
   },
   {
    "AppRouteQuestionId": "rq-variance-boundary-ratification--q2-variance-boundary-rests-on-expired-knowledge",
    "Route": "variance-boundary-ratification",
    "Question": "q2-variance-boundary-rests-on-expired-knowledge",
    "SemanticTypeIri": "urn:effortless:pko-extension#AppRouteQuestion",
    "Name": "variance-boundary-ratification answers q2-variance-boundary-rests-on-expired-knowledge"
   },
   {
    "AppRouteQuestionId": "rq-variance-human-confirmation--q-variance-ai-human-confirmation-present",
    "Route": "variance-human-confirmation",
    "Question": "q-variance-ai-human-confirmation-present",
    "SemanticTypeIri": "urn:effortless:pko-extension#AppRouteQuestion",
    "Name": "variance-human-confirmation answers q-variance-ai-human-confirmation-present"
   },
</t>
  </si>
  <si>
    <t xml:space="preserve">   {
    "AppRouteQuestionId": "rq-variance-knowledge-currency--q-variance-ai-knowledge-currency",
    "Route": "variance-knowledge-currency",
    "Question": "q-variance-ai-knowledge-currency",
    "SemanticTypeIri": "urn:effortless:pko-extension#AppRouteQuestion",
    "Name": "variance-knowledge-currency answers q-variance-ai-knowledge-currency"
   },
   {
    "AppRouteQuestionId": "rq-variance-quality-baseline--q-variance-ai-quality-vs-human-baseline",
    "Route": "variance-quality-baseline",
    "Question": "q-variance-ai-quality-vs-human-baseline",
    "SemanticTypeIri": "urn:effortless:pko-extension#AppRouteQuestion",
    "Name": "variance-quality-baseline answers q-variance-ai-quality-vs-human-baseline"
   },
   {
    "AppRouteQuestionId": "rq-variance-quality-baseline--q2-variance-comparison-is-statistically-empty",
    "Route": "variance-quality-baseline",
    "Question": "q2-variance-comparison-is-statistically-empty",
    "SemanticTypeIri": "urn:effortless:pko-extension#AppRouteQuestion",
    "Name": "variance-quality-baseline answers q2-variance-comparison-is-statistically-empty"
   },
   {
    "AppRouteQuestionId": "rq-variance-sample-size--q2-variance-comparison-is-statistically-empty",
    "Route": "variance-sample-size",
    "Question": "q2-variance-comparison-is-statistically-empty",
    "SemanticTypeIri": "urn:effortless:pko-extension#AppRouteQuestion",
    "Name": "variance-sample-size answers q2-variance-comparison-is-statistically-empty"
   },
   {
    "AppRouteQuestionId": "rq-variance-override-signal--q2-variance-override-signal-vs-noise",
    "Route": "variance-override-signal",
    "Question": "q2-variance-override-signal-vs-noise",
    "SemanticTypeIri": "urn:effortless:pko-extension#AppRouteQuestion",
    "Name": "variance-override-signal answers q2-variance-override-signal-vs-noise"
   },
   {
    "AppRouteQuestionId": "rq-variance-stop-condition--q2-variance-what-would-make-me-stop",
    "Route": "variance-stop-condition",
    "Question": "q2-variance-what-would-make-me-stop",
    "SemanticTypeIri": "urn:effortless:pko-extension#AppRouteQuestion",
    "Name": "variance-stop-condition answers q2-variance-what-would-make-me-stop"
   },
   {
    "AppRouteQuestionId": "rq-policy-agent-home--q-policy-ai-source-approval",
    "Route": "policy-agent-home",
    "Question": "q-policy-ai-source-approval",
    "SemanticTypeIri": "urn:effortless:pko-extension#AppRouteQuestion",
    "Name": "policy-agent-home answers q-policy-ai-source-approval"
   },
   {
    "AppRouteQuestionId": "rq-policy-agent-home--q-policy-ai-no-role-assignment",
    "Route": "policy-agent-home",
    "Question": "q-policy-ai-no-role-assignment",
    "SemanticTypeIri": "urn:effortless:pko-extension#AppRouteQuestion",
    "Name": "policy-agent-home answers q-policy-ai-no-role-assignment"
   },
   {
    "AppRouteQuestionId": "rq-policy-agent-sources--q-policy-ai-source-approval",
    "Route": "policy-agent-sources",
    "Question": "q-policy-ai-source-approval",
    "SemanticTypeIri": "urn:effortless:pko-extension#AppRouteQuestion",
    "Name": "policy-agent-sources answers q-policy-ai-source-approval"
   },
   {
    "AppRouteQuestionId": "rq-policy-agent-assignment--q-policy-ai-no-role-assignment",
    "Route": "policy-agent-assignment",
    "Question": "q-policy-ai-no-role-assignment",
    "SemanticTypeIri": "urn:effortless:pko-extension#AppRouteQuestion",
    "Name": "policy-agent-assignment answers q-policy-ai-no-role-assignment"
   },
   {
    "AppRouteQuestionId": "rq-policy-agent-commitment-boundary--q-policy-ai-commitment-boundary",
    "Route": "policy-agent-commitment-boundary",
    "Question": "q-policy-ai-commitment-boundary",
    "SemanticTypeIri": "urn:effortless:pko-extension#AppRouteQuestion",
    "Name": "policy-agent-commitment-boundary answers q-policy-ai-commitment-boundary"
   },
   {
    "AppRouteQuestionId": "rq-policy-agent-approval-chain--q-policy-ai-approval-chain-complete",
    "Route": "policy-agent-approval-chain",
    "Question": "q-policy-ai-approval-chain-complete",
    "SemanticTypeIri": "urn:effortless:pko-extension#AppRouteQuestion",
    "Name": "policy-agent-approval-chain answers q-policy-ai-approval-chain-complete"
   },
   {
    "AppRouteQuestionId": "rq-policy-agent-rewrite--q-policy-ai-downstream-rewrite",
    "Route": "policy-agent-rewrite",
    "Question": "q-policy-ai-downstream-rewrite",
    "SemanticTypeIri": "urn:effortless:pko-extension#AppRouteQuestion",
    "Name": "policy-agent-rewrite answers q-policy-ai-downstream-rewrite"
   },
   {
    "AppRouteQuestionId": "rq-publisher-home--q-publisher-may-i-transmit",
    "Route": "publisher-home",
    "Question": "q-publisher-may-i-transmit",
    "SemanticTypeIri": "urn:effortless:pko-extension#AppRouteQuestion",
    "Name": "publisher-home answers q-publisher-may-i-transmit"
   },
   {
    "AppRouteQuestionId": "rq-publisher-home--q-publisher-may-i-transmit-now",
    "Route": "publisher-home",
    "Question": "q-publisher-may-i-transmit-now",
    "SemanticTypeIri": "urn:effortless:pko-extension#AppRouteQuestion",
    "Name": "publisher-home answers q-publisher-may-i-transmit-now"
   },
   {
    "AppRouteQuestionId": "rq-publisher-home--q-publisher-is-this-content-permitted",
    "Route": "publisher-home",
    "Question": "q-publisher-is-this-content-permitted",
    "SemanticTypeIri": "urn:effortless:pko-extension#AppRouteQuestion",
    "Name": "publisher-home answers q-publisher-is-this-content-permitted"
   },
   {
    "AppRouteQuestionId": "rq-publisher-home--q-publisher-am-i-authorized-to-act",
    "Route": "publisher-home",
    "Question": "q-publisher-am-i-authorized-to-act",
    "SemanticTypeIri": "urn:effortless:pko-extension#AppRouteQuestion",
    "Name": "publisher-home answers q-publisher-am-i-authorized-to-act"
   },
   {
    "AppRouteQuestionId": "rq-publisher-permission-gate--q-publisher-may-i-transmit",
    "Route": "publisher-permission-gate",
    "Question": "q-publisher-may-i-transmit",
    "SemanticTypeIri": "urn:effortless:pko-extension#AppRouteQuestion",
    "Name": "publisher-permission-gate answers q-publisher-may-i-transmit"
   },
   {
    "AppRouteQuestionId": "rq-publisher-timing-gate--q-publisher-may-i-transmit-now",
    "Route": "publisher-timing-gate",
    "Question": "q-publisher-may-i-transmit-now",
    "SemanticTypeIri": "urn:effortless:pko-extension#AppRouteQuestion",
    "Name": "publisher-timing-gate answers q-publisher-may-i-transmit-now"
   },
   {
    "AppRouteQuestionId": "rq-publisher-content-gate--q-publisher-is-this-content-permitted",
    "Route": "publisher-content-gate",
    "Question": "q-publisher-is-this-content-permitted",
    "SemanticTypeIri": "urn:effortless:pko-extension#AppRouteQuestion",
    "Name": "publisher-content-gate answers q-publisher-is-this-content-permitted"
   },
   {
    "AppRouteQuestionId": "rq-publisher-authorization-gate--q-publisher-am-i-authorized-to-act",
    "Route": "publisher-authorization-gate",
    "Question": "q-publisher-am-i-authorized-to-act",
    "SemanticTypeIri": "urn:effortless:pko-extension#AppRouteQuestion",
    "Name": "publisher-authorization-gate answers q-publisher-am-i-authorized-to-act"
   },
   {
    "AppRouteQuestionId": "rq-publisher-refusals--q-publisher-refusal-was-honored",
    "Route": "publisher-refusals",
    "Question": "q-publisher-refusal-was-honored",
    "SemanticTypeIri": "urn:effortless:pko-extension#AppRouteQuestion",
    "Name": "publisher-refusals answers q-publisher-refusal-was-honored"
   },
   {
    "AppRouteQuestionId": "rq-publisher-refusal-artifacts--q2-publisher-every-refusal-leaves-a-record",
    "Route": "publisher-refusal-artifacts",
    "Question": "q2-publisher-every-refusal-leaves-a-record",
    "SemanticTypeIri": "urn:effortless:pko-extension#AppRouteQuestion",
    "Name": "publisher-refusal-artifacts answers q2-publisher-every-refusal-leaves-a-record"
   },
   {
    "AppRouteQuestionId": "rq-publisher-deferred--q2-publisher-deferred-not-cancelled",
    "Route": "publisher-deferred",
    "Question": "q2-publisher-deferred-not-cancelled",
    "SemanticTypeIri": "urn:effortless:pko-extension#AppRouteQuestion",
    "Name": "publisher-deferred answers q2-publisher-deferred-not-cancelled"
   },
   {
    "AppRouteQuestionId": "rq-publisher-obligations--q2-publisher-obligation-after-send",
    "Route": "publisher-obligations",
    "Question": "q2-publisher-obligation-after-send",
    "SemanticTypeIri": "urn:effortless:pko-extension#AppRouteQuestion",
    "Name": "publisher-obligations answers q2-publisher-obligation-after-send"
   },
   {
    "AppRouteQuestionId": "rq-publisher-my-authorization--q2-publisher-my-own-authorization",
    "Route": "publisher-my-authorization",
    "Question": "q2-publisher-my-own-authorization",
    "SemanticTypeIri": "urn:effortless:pko-extension#AppRouteQuestion",
    "Name": "publisher-my-authorization answers q2-publisher-my-own-authorization"
   },
   {
    "AppRouteQuestionId": "rq-publisher-sole-witness--q2-publisher-am-i-the-only-witness",
    "Route": "publisher-sole-witness",
    "Question": "q2-publisher-am-i-the-only-witness",
    "SemanticTypeIri": "urn:effortless:pko-extension#AppRouteQuestion",
    "Name": "publisher-sole-witness answers q2-publisher-am-i-the-only-witness"
   },
   {
    "AppRouteQuestionId": "rq-steward-home--q-steward-cadence-breach",
    "Route": "steward-home",
    "Question": "q-steward-cadence-breach",
    "SemanticTypeIri": "urn:effortless:pko-extension#AppRouteQuestion",
    "Name": "steward-home answers q-steward-cadence-breach"
   },
   {
    "AppRouteQuestionId": "rq-steward-home--q-steward-published-with-blocking-gap",
    "Route": "steward-home",
    "Question": "q-steward-published-with-blocking-gap",
    "SemanticTypeIri": "urn:effortless:pko-extension#AppRouteQuestion",
    "Name": "steward-home answers q-steward-published-with-blocking-gap"
   },
   {
    "AppRouteQuestionId": "rq-steward-home--q-steward-orphan-versions",
    "Route": "steward-home",
    "Question": "q-steward-orphan-versions",
    "SemanticTypeIri": "urn:effortless:pko-extension#AppRouteQuestion",
    "Name": "steward-home answers q-steward-orphan-versions"
   },
   {
    "AppRouteQuestionId": "rq-steward-home--q-steward-untested-fallbacks",
    "Route": "steward-home",
    "Question": "q-steward-untested-fallbacks",
    "SemanticTypeIri": "urn:effortless:pko-extension#AppRouteQuestion",
    "Name": "steward-home answers q-steward-untested-fallbacks"
   },
   {
    "AppRouteQuestionId": "rq-steward-cadence--q-steward-cadence-breach",
    "Route": "steward-cadence",
    "Question": "q-steward-cadence-breach",
    "SemanticTypeIri": "urn:effortless:pko-extension#AppRouteQuestion",
    "Name": "steward-cadence answers q-steward-cadence-breach"
   },
   {
    "AppRouteQuestionId": "rq-steward-cadence-remediation--q2-steward-cadence-breach-is-unremediated",
    "Route": "steward-cadence-remediation",
    "Question": "q2-steward-cadence-breach-is-unremediated",
    "SemanticTypeIri": "urn:effortless:pko-extension#AppRouteQuestion",
    "Name": "steward-cadence-remediation answers q2-steward-cadence-breach-is-unremediated"
   },
   {
    "AppRouteQuestionId": "rq-steward-open-gaps--q-steward-published-with-blocking-gap",
    "Route": "steward-open-gaps",
    "Question": "q-steward-published-with-blocking-gap",
    "SemanticTypeIri": "urn:effortless:pko-extension#AppRouteQuestion",
    "Name": "steward-open-gaps answers q-steward-published-with-blocking-gap"
   },
   {
    "AppRouteQuestionId": "rq-steward-stalled-changes--q-steward-stalled-change-requests",
    "Route": "steward-stalled-changes",
    "Question": "q-steward-stalled-change-requests",
    "SemanticTypeIri": "urn:effortless:pko-extension#AppRouteQuestion",
    "Name": "steward-stalled-changes answers q-steward-stalled-change-requests"
   },
   {
    "AppRouteQuestionId": "rq-steward-approved-never-lands--q2-steward-approved-cr-never-lands",
    "Route": "steward-approved-never-lands",
    "Question": "q2-steward-approved-cr-never-lands",
    "SemanticTypeIri": "urn:effortless:pko-extension#AppRouteQuestion",
    "Name": "steward-approved-never-lands answers q2-steward-approved-cr-never-lands"
   },
   {
    "AppRouteQuestionId": "rq-steward-orphans--q-steward-orphan-versions",
    "Route": "steward-orphans",
    "Question": "q-steward-orphan-versions",
    "SemanticTypeIri": "urn:effortless:pko-extension#AppRouteQuestion",
    "Name": "steward-orphans answers q-steward-orphan-versions"
   },
   {
    "AppRouteQuestionId": "rq-steward-archived-still-referenced--q2-steward-unstewarded-version-still-referenced",
    "Route": "steward-archived-still-referenced",
    "Question": "q2-steward-unstewarded-version-still-referenced",
    "SemanticTypeIri": "urn:effortless:pko-extension#AppRouteQuestion",
    "Name": "steward-archived-still-referenced answers q2-steward-unstewarded-version-still-referenced"
   },
   {
    "AppRouteQuestionId": "rq-steward-fallbacks--q-steward-untested-fallbacks",
    "Route": "steward-fallbacks",
    "Question": "q-steward-untested-fallbacks",
    "SemanticTypeIri": "urn:effortless:pko-extension#AppRouteQuestion",
    "Name": "steward-fallbacks answers q-steward-untested-fallbacks"
   },
   {
    "AppRouteQuestionId": "rq-steward-fallback-criticality--q2-steward-recovery-path-is-load-bearing",
    "Route": "steward-fallback-criticality",
    "Question": "q2-steward-recovery-path-is-load-bearing",
    "SemanticTypeIri": "urn:effortless:pko-extension#AppRouteQuestion",
    "Name": "steward-fallback-criticality answers q2-steward-recovery-path-is-load-bearing"
   },
   {
    "AppRouteQuestionId": "rq-steward-hardcoded-predicates--q2-steward-control-kind-instead-of-hardcoded-ids",
    "Route": "steward-hardcoded-predicates",
    "Question": "q2-steward-control-kind-instead-of-hardcoded-ids",
    "SemanticTypeIri": "urn:effortless:pko-extension#AppRouteQuestion",
    "Name": "steward-hardcoded-predicates answers q2-steward-control-kind-instead-of-hardcoded-ids"
   },
   {
    "AppRouteQuestionId": "rq-authority-home--q-authority-non-approved-dependency",
    "Route": "authority-home",
    "Question": "q-authority-non-approved-dependency",
    "SemanticTypeIri": "urn:effortless:pko-extension#AppRouteQuestion",
    "Name": "authority-home answers q-authority-non-approved-dependency"
   },
   {
    "AppRouteQuestionId": "rq-authority-home--q-authority-stale-elicitation",
    "Route": "authority-home",
    "Question": "q-authority-stale-elicitation",
    "SemanticTypeIri": "urn:effortless:pko-extension#AppRouteQuestion",
    "Name": "authority-home answers q-authority-stale-elicitation"
   },
   {
    "AppRouteQuestionId": "rq-authority-fragment-decay--q2-authority-compound-fragility",
    "Route": "authority-fragment-decay",
    "Question": "q2-authority-compound-fragility",
    "SemanticTypeIri": "urn:effortless:pko-extension#AppRouteQuestion",
    "Name": "authority-fragment-decay answers q2-authority-compound-fragility"
   },
   {
    "AppRouteQuestionId": "rq-authority-unapproved-live--q-authority-non-approved-dependency",
    "Route": "authority-unapproved-live",
    "Question": "q-authority-non-approved-dependency",
    "SemanticTypeIri": "urn:effortless:pko-extension#AppRouteQuestion",
    "Name": "authority-unapproved-live answers q-authority-non-approved-dependency"
   },
   {
    "AppRouteQuestionId": "rq-authority-unapproved-live--q2-authority-unapproved-knowledge-reaching-machines",
    "Route": "authority-unapproved-live",
    "Question": "q2-authority-unapproved-knowledge-reaching-machines",
    "SemanticTypeIri": "urn:effortless:pko-extension#AppRouteQuestion",
    "Name": "authority-unapproved-live answers q2-authority-unapproved-knowledge-reaching-machines"
   },
   {
    "AppRouteQuestionId": "rq-authority-machine-consumers--q2-authority-unapproved-knowledge-reaching-machines",
    "Route": "authority-machine-consumers",
    "Question": "q2-authority-unapproved-knowledge-reaching-machines",
    "SemanticTypeIri": "urn:effortless:pko-extension#AppRouteQuestion",
    "Name": "authority-machine-consumers answers q2-authority-unapproved-knowledge-reaching-machines"
   },
   {
    "AppRouteQuestionId": "rq-authority-expired-ratifier--q2-authority-boundary-rests-on-expired-claim",
    "Route": "authority-expired-ratifier",
    "Question": "q2-authority-boundary-rests-on-expired-claim",
    "SemanticTypeIri": "urn:effortless:pko-extension#AppRouteQuestion",
    "Name": "authority-expired-ratifier answers q2-authority-boundary-rests-on-expired-claim"
   },
   {
    "AppRouteQuestionId": "rq-authority-orphaned-provenance--q-authority-orphaned-provenance",
    "Route": "authority-orphaned-provenance",
    "Question": "q-authority-orphaned-provenance",
    "SemanticTypeIri": "urn:effortless:pko-extension#AppRouteQuestion",
    "Name": "authority-orphaned-provenance answers q-authority-orphaned-provenance"
   },
   {
    "AppRouteQuestionId": "rq-authority-unwitnessed-change--q-authority-unwitnessed-change",
    "Route": "authority-unwitnessed-change",
    "Question": "q-authority-unwitnessed-change",
    "SemanticTypeIri": "urn:effortless:pko-extension#AppRouteQuestion",
    "Name": "authority-unwitnessed-change answers q-authority-unwitnessed-change"
   },
   {
    "AppRouteQuestionId": "rq-authority-stale-elicitation--q-authority-stale-elicitation",
    "Route": "authority-stale-elicitation",
    "Question": "q-authority-stale-elicitation",
    "SemanticTypeIri": "urn:effortless:pko-extension#AppRouteQuestion",
    "Name": "authority-stale-elicitation answers q-authority-stale-elicitation"
   },
   {
    "AppRouteQuestionId": "rq-authority-elicitation-monoculture--q2-authority-elicitation-method-monoculture",
    "Route": "authority-elicitation-monoculture",
    "Question": "q2-authority-elicitation-method-monoculture",
    "SemanticTypeIri": "urn:effortless:pko-extension#AppRouteQuestion",
    "Name": "authority-elicitation-monoculture answers q2-authority-elicitation-method-monoculture"
   },
   {
    "AppRouteQuestionId": "rq-authority-known-unknowns--q-authority-known-unknowns",
    "Route": "authority-known-unknowns",
    "Question": "q-authority-known-unknowns",
    "SemanticTypeIri": "urn:effortless:pko-extension#AppRouteQuestion",
    "Name": "authority-known-unknowns answers q-authority-known-unknowns"
   },
   {
    "AppRouteQuestionId": "rq-authority-review-date-inferred--q2-authority-review-date-is-inferred-not-recorded",
    "Route": "authority-review-date-inferred",
    "Question": "q2-authority-review-date-is-inferred-not-recorded",
    "SemanticTypeIri": "urn:effortless:pko-extension#AppRouteQuestion",
    "Name": "authority-review-date-inferred answers q2-authority-review-date-is-inferred-not-recorded"
   },
   {
    "AppRouteQuestionId": "rq-shared-evaluation-context--q2-cfo-would-it-survive-restatement",
    "Route": "shared-evaluation-context",
    "Question": "q2-cfo-would-it-survive-restatement",
    "SemanticTypeIri": "urn:effortless:pko-extension#AppRouteQuestion",
    "Name": "shared-evaluation-context answers q2-cfo-would-it-survive-restatement"
   },
   {
    "AppRouteQuestionId": "rq-shared-evaluation-context--q2-fa-stale-then-vs-stale-now",
    "Route": "shared-evaluation-context",
    "Question": "q2-fa-stale-then-vs-stale-now",
    "SemanticTypeIri": "urn:effortless:pko-extension#AppRouteQuestion",
    "Name": "shared-evaluation-context answers q2-fa-stale-then-vs-stale-now"
   }
  ]
 },
 "AppRouteReferences": {
  "Description": "Junction: which other routes a route links to. This is the navigation graph between screens, kept as rows rather than embedded lists so the canonical model stays a DAG.",
  "schema": [
   {
    "name": "AppRouteReferenceId",
    "datatype": "string",
    "type": "raw",
    "nullable": false,
    "Description": "Stored logical identifier for one AppRouteReferences row."
   },
   {
    "name": "Name",
    "datatype": "string",
    "type": "calculated",
    "nullable": true,
    "Description": "Human-readable calculated display alias for the AppRouteReferences row.",
    "formula": "={{FromRoute}} &amp; \" -&gt; \" &amp; {{ToRoute}}"
   },
   {
    "name": "FromRoute",
    "datatype": "string",
    "type": "relationship",
    "nullable": true,
    "Description": "The route that links out.",
    "RelatedTo": "AppRoutes"
   },
   {
    "name": "ToRoute",
    "datatype": "string",
    "type": "relationship",
    "nullable": true,
    "Description": "The route being linked to.",
    "RelatedTo": "AppRoutes"
   },
   {
    "name": "SemanticTypeIri",
    "datatype": "string",
    "type": "raw",
    "nullable": true,
    "Description": "Semantic type IRI for this row. An extension."
   }
  ],
  "data": [
   {
    "AppRouteReferenceId": "rr-cfo-home--cfo-blockers",
    "FromRoute": "cfo-home",
    "ToRoute": "cfo-blockers",
    "SemanticTypeIri": "urn:effortless:pko-extension#AppRouteReference",
    "Name": "cfo-home -&gt; cfo-blockers"
   },
   {
    "AppRouteReferenceId": "rr-cfo-home--cfo-assurance-grade",
    "FromRoute": "cfo-home",
    "ToRoute": "cfo-assurance-grade",
    "SemanticTypeIri": "urn:effortless:pko-extension#AppRouteReference",
    "Name": "cfo-home -&gt; cfo-assurance-grade"
   },
   {
    "AppRouteReferenceId": "rr-cfo-home--cfo-signature-dependencies",
    "FromRoute": "cfo-home",
    "ToRoute": "cfo-signature-dependencies",
    "SemanticTypeIri": "urn:effortless:pko-extension#AppRouteReference",
    "Name": "cfo-home -&gt; cfo-signature-dependencies"
   },
   {
    "AppRouteReferenceId": "rr-cfo-blockers--cfo-home",
    "FromRoute": "cfo-blockers",
    "ToRoute": "cfo-home",
    "SemanticTypeIri": "urn:effortless:pko-extension#AppRouteReference",
    "Name": "cfo-blockers -&gt; cfo-home"
   },
   {
    "AppRouteReferenceId": "rr-cfo-blockers--controller-conformance",
    "FromRoute": "cfo-blockers",
    "ToRoute": "controller-conformance",
    "SemanticTypeIri": "urn:effortless:pko-extension#AppRouteReference",
    "Name": "cfo-blockers -&gt; controller-conformance"
   },
   {
    "AppRouteReferenceId": "rr-cfo-assurance-grade--cfo-unwitnessed-controls",
    "FromRoute": "cfo-assurance-grade",
    "ToRoute": "cfo-unwitnessed-controls",
    "SemanticTypeIri": "urn:effortless:pko-extension#AppRouteReference",
    "Name": "cfo-assurance-grade -&gt; cfo-unwitnessed-controls"
   },
   {
    "AppRouteReferenceId": "rr-cfo-assurance-grade--controller-mute-controls",
    "FromRoute": "cfo-assurance-grade",
    "ToRoute": "controller-mute-controls",
    "SemanticTypeIri": "urn:effortless:pko-extension#AppRouteReference",
    "Name": "cfo-assurance-grade -&gt; controller-mute-controls"
   },
   {
    "AppRouteReferenceId": "rr-cfo-unwitnessed-controls--cfo-assurance-grade",
    "FromRoute": "cfo-unwitnessed-controls",
    "ToRoute": "cfo-assurance-grade",
    "SemanticTypeIri": "urn:effortless:pko-extension#AppRouteReference",
    "Name": "cfo-unwitnessed-controls -&gt; cfo-assurance-grade"
   },
   {
    "AppRouteReferenceId": "rr-cfo-unwitnessed-controls--shared-requirement-detail",
    "FromRoute": "cfo-unwitnessed-controls",
    "ToRoute": "shared-requirement-detail",
    "SemanticTypeIri": "urn:effortless:pko-extension#AppRouteReference",
    "Name": "cfo-unwitnessed-controls -&gt; shared-requirement-detail"
   },
   {
    "AppRouteReferenceId": "rr-cfo-typed-conclusions--cfo-unwitnessed-controls",
    "FromRoute": "cfo-typed-conclusions",
    "ToRoute": "cfo-unwitnessed-controls",
    "SemanticTypeIri": "urn:effortless:pko-extension#AppRouteReference",
    "Name": "cfo-typed-conclusions -&gt; cfo-unwitnessed-controls"
   },
   {
    "AppRouteReferenceId": "rr-cfo-typed-conclusions--controller-asserted-controls",
    "FromRoute": "cfo-typed-conclusions",
    "ToRoute": "controller-asserted-controls",
    "SemanticTypeIri": "urn:effortless:pko-extension#AppRouteReference",
    "Name": "cfo-typed-conclusions -&gt; controller-asserted-controls"
   },
   {
    "AppRouteReferenceId": "rr-cfo-witness-chain--cfo-my-approvals",
    "FromRoute": "cfo-witness-chain",
    "ToRoute": "cfo-my-approvals",
    "SemanticTypeIri": "urn:effortless:pko-extension#AppRouteReference",
    "Name": "cfo-witness-chain -&gt; cfo-my-approvals"
   },
   {
    "AppRouteReferenceId": "rr-cfo-witness-chain--shared-verification-outcomes",
    "FromRoute": "cfo-witness-chain",
    "ToRoute": "shared-verification-outcomes",
    "SemanticTypeIri": "urn:effortless:pko-extension#AppRouteReference",
    "Name": "cfo-witness-chain -&gt; shared-verification-outcomes"
   },
   {
    "AppRouteReferenceId": "rr-cfo-authority-map--shared-exception-detail",
    "FromRoute": "cfo-authority-map",
    "ToRoute": "shared-exception-detail",
    "SemanticTypeIri": "urn:effortless:pko-extension#AppRouteReference",
    "Name": "cfo-authority-map -&gt; shared-exception-detail"
   },
   {
    "AppRouteReferenceId": "rr-cfo-authority-map--controller-authority-validity",
    "FromRoute": "cfo-authority-map",
    "ToRoute": "controller-authority-validity",
    "SemanticTypeIri": "urn:effortless:pko-extension#AppRouteReference",
    "Name": "cfo-authority-map -&gt; controller-authority-validity"
   },
   {
    "AppRouteReferenceId": "rr-cfo-my-approvals--cfo-witness-chain",
    "FromRoute": "cfo-my-approvals",
    "ToRoute": "cfo-witness-chain",
    "SemanticTypeIri": "urn:effortless:pko-extension#AppRouteReference",
    "Name": "cfo-my-approvals -&gt; cfo-witness-chain"
   },
   {
    "AppRouteReferenceId": "rr-cfo-my-approvals--shared-step-execution-detail",
    "FromRoute": "cfo-my-approvals",
    "ToRoute": "shared-step-execution-detail",
    "SemanticTypeIri": "urn:effortless:pko-extension#AppRouteReference",
    "Name": "cfo-my-approvals -&gt; shared-step-execution-detail"
   },
   {
    "AppRouteReferenceId": "rr-cfo-signature-dependencies--cfo-changed-since-signing",
    "FromRoute": "cfo-signature-dependencies",
    "ToRoute": "cfo-changed-since-signing",
    "SemanticTypeIri": "urn:effortless:pko-extension#AppRouteReference",
    "Name": "cfo-signature-dependencies -&gt; cfo-changed-since-signing"
   },
   {
    "AppRouteReferenceId": "rr-cfo-signature-dependencies--cfo-home",
    "FromRoute": "cfo-signature-dependencies",
    "ToRoute": "cfo-home",
    "SemanticTypeIri": "urn:effortless:pko-extension#AppRouteReference",
    "Name": "cfo-signature-dependencies -&gt; cfo-home"
   },
   {
    "AppRouteReferenceId": "rr-cfo-changed-since-signing--cfo-signature-dependencies",
    "FromRoute": "cfo-changed-since-signing",
    "ToRoute": "cfo-signature-dependencies",
    "SemanticTypeIri": "urn:effortless:pko-extension#AppRouteReference",
    "Name": "cfo-changed-since-signing -&gt; cfo-signature-dependencies"
   },
   {
    "AppRouteReferenceId": "rr-cfo-changed-since-signing--shared-change-request-detail",
    "FromRoute": "cfo-changed-since-signing",
    "ToRoute": "shared-change-request-detail",
    "SemanticTypeIri": "urn:effortless:pko-extension#AppRouteReference",
    "Name": "cfo-changed-since-signing -&gt; shared-change-request-detail"
   },
   {
    "AppRouteReferenceId": "rr-cfo-restatement--shared-evaluation-context",
    "FromRoute": "cfo-restatement",
    "ToRoute": "shared-evaluation-context",
    "SemanticTypeIri": "urn:effortless:pko-extension#AppRouteReference",
    "Name": "cfo-restatement -&gt; shared-evaluation-context"
   },
   {
    "AppRouteReferenceId": "rr-cfo-restatement--cfo-assurance-grade",
    "FromRoute": "cfo-restatement",
    "ToRoute": "cfo-assurance-grade",
    "SemanticTypeIri": "urn:effortless:pko-extension#AppRouteReference",
    "Name": "cfo-restatement -&gt; cfo-assurance-grade"
   },
   {
    "AppRouteReferenceId": "rr-cfo-attestation-detail--cfo-home",
    "FromRoute": "cfo-attestation-detail",
    "ToRoute": "cfo-home",
    "SemanticTypeIri": "urn:effortless:pko-extension#AppRouteReference",
    "Name": "cfo-attestation-detail -&gt; cfo-home"
   },
   {
    "AppRouteReferenceId": "rr-cfo-attestation-detail--shared-step-execution-detail",
    "FromRoute": "cfo-attestation-detail",
    "ToRoute": "shared-step-execution-detail",
    "SemanticTypeIri": "urn:effortless:pko-extension#AppRouteReference",
    "Name": "cfo-attestation-detail -&gt; shared-step-execution-detail"
   },
   {
    "AppRouteReferenceId": "rr-controller-home--controller-mute-controls",
    "FromRoute": "controller-home",
    "ToRoute": "controller-mute-controls",
    "SemanticTypeIri": "urn:effortless:pko-extension#AppRouteReference",
    "Name": "controller-home -&gt; controller-mute-controls"
   },
   {
    "AppRouteReferenceId": "rr-controller-home--controller-witness-scope",
    "FromRoute": "controller-home",
    "ToRoute": "controller-witness-scope",
    "SemanticTypeIri": "urn:effortless:pko-extension#AppRouteReference",
    "Name": "controller-home -&gt; controller-witness-scope"
   },
   {
    "AppRouteReferenceId": "rr-controller-home--shared-requirement-detail",
    "FromRoute": "controller-home",
    "ToRoute": "shared-requirement-detail",
    "SemanticTypeIri": "urn:effortless:pko-extension#AppRouteReference",
    "Name": "controller-home -&gt; shared-requirement-detail"
   },
   {
    "AppRouteReferenceId": "rr-controller-mute-controls--controller-home",
    "FromRoute": "controller-mute-controls",
    "ToRoute": "controller-home",
    "SemanticTypeIri": "urn:effortless:pko-extension#AppRouteReference",
    "Name": "controller-mute-controls -&gt; controller-home"
   },
   {
    "AppRouteReferenceId": "rr-controller-mute-controls--cfo-assurance-grade",
    "FromRoute": "controller-mute-controls",
    "ToRoute": "cfo-assurance-grade",
    "SemanticTypeIri": "urn:effortless:pko-extension#AppRouteReference",
    "Name": "controller-mute-controls -&gt; cfo-assurance-grade"
   },
   {
    "AppRouteReferenceId": "rr-controller-mute-controls--analyst-mute-clearance",
    "FromRoute": "controller-mute-controls",
    "ToRoute": "analyst-mute-clearance",
    "SemanticTypeIri": "urn:effortless:pko-extension#AppRouteReference",
    "Name": "controller-mute-controls -&gt; analyst-mute-clearance"
   },
   {
    "AppRouteReferenceId": "rr-controller-witness-scope--controller-mute-controls",
    "FromRoute": "controller-witness-scope",
    "ToRoute": "controller-mute-controls",
    "SemanticTypeIri": "urn:effortless:pko-extension#AppRouteReference",
    "Name": "controller-witness-scope -&gt; controller-mute-controls"
   },
   {
    "AppRouteReferenceId": "rr-controller-witness-scope--shared-requirement-detail",
    "FromRoute": "controller-witness-scope",
    "ToRoute": "shared-requirement-detail",
    "SemanticTypeIri": "urn:effortless:pko-extension#AppRouteReference",
    "Name": "controller-witness-scope -&gt; shared-requirement-detail"
   },
   {
    "AppRouteReferenceId": "rr-controller-separation--controller-authority-validity",
    "FromRoute": "controller-separation",
    "ToRoute": "controller-authority-validity",
    "SemanticTypeIri": "urn:effortless:pko-extension#AppRouteReference",
    "Name": "controller-separation -&gt; controller-authority-validity"
   },
   {
    "AppRouteReferenceId": "rr-controller-separation--shared-step-execution-detail",
    "FromRoute": "controller-separation",
    "ToRoute": "shared-step-execution-detail",
    "SemanticTypeIri": "urn:effortless:pko-extension#AppRouteReference",
    "Name": "controller-separation -&gt; shared-step-execution-detail"
   },
   {
    "AppRouteReferenceId": "rr-controller-conformance--controller-ungoverned-divergence",
    "FromRoute": "controller-conformance",
    "ToRoute": "controller-ungoverned-divergence",
    "SemanticTypeIri": "urn:effortless:pko-extension#AppRouteReference",
    "Name": "controller-conformance -&gt; controller-ungoverned-divergence"
   },
   {
    "AppRouteReferenceId": "rr-controller-conformance--shared-step-execution-detail",
    "FromRoute": "controller-conformance",
    "ToRoute": "shared-step-execution-detail",
    "SemanticTypeIri": "urn:effortless:pko-extension#AppRouteReference",
    "Name": "controller-conformance -&gt; shared-step-execution-detail"
   },
   {
    "AppRouteReferenceId": "rr-controller-ungoverned-divergence--controller-conformance",
    "FromRoute": "controller-ungoverned-divergence",
    "ToRoute": "controller-conformance",
    "SemanticTypeIri": "urn:effortless:pko-extension#AppRouteReference",
    "Name": "controller-ungoverned-divergence -&gt; controller-conformance"
   },
   {
    "AppRouteReferenceId": "rr-controller-ungoverned-divergence--shared-exception-detail",
    "FromRoute": "controller-ungoverned-divergence",
    "ToRoute": "shared-exception-detail",
    "SemanticTypeIri": "urn:effortless:pko-extension#AppRouteReference",
    "Name": "controller-ungoverned-divergence -&gt; shared-exception-detail"
   },
   {
    "AppRouteReferenceId": "rr-controller-ungoverned-divergence--shared-chang</t>
  </si>
  <si>
    <t xml:space="preserve">e-request-detail",
    "FromRoute": "controller-ungoverned-divergence",
    "ToRoute": "shared-change-request-detail",
    "SemanticTypeIri": "urn:effortless:pko-extension#AppRouteReference",
    "Name": "controller-ungoverned-divergence -&gt; shared-change-request-detail"
   },
   {
    "AppRouteReferenceId": "rr-controller-authority-validity--cfo-authority-map",
    "FromRoute": "controller-authority-validity",
    "ToRoute": "cfo-authority-map",
    "SemanticTypeIri": "urn:effortless:pko-extension#AppRouteReference",
    "Name": "controller-authority-validity -&gt; cfo-authority-map"
   },
   {
    "AppRouteReferenceId": "rr-controller-authority-validity--shared-role-assignment-detail",
    "FromRoute": "controller-authority-validity",
    "ToRoute": "shared-role-assignment-detail",
    "SemanticTypeIri": "urn:effortless:pko-extension#AppRouteReference",
    "Name": "controller-authority-validity -&gt; shared-role-assignment-detail"
   },
   {
    "AppRouteReferenceId": "rr-controller-ai-boundary--hr-ai-boundary",
    "FromRoute": "controller-ai-boundary",
    "ToRoute": "hr-ai-boundary",
    "SemanticTypeIri": "urn:effortless:pko-extension#AppRouteReference",
    "Name": "controller-ai-boundary -&gt; hr-ai-boundary"
   },
   {
    "AppRouteReferenceId": "rr-controller-ai-boundary--variance-boundary",
    "FromRoute": "controller-ai-boundary",
    "ToRoute": "variance-boundary",
    "SemanticTypeIri": "urn:effortless:pko-extension#AppRouteReference",
    "Name": "controller-ai-boundary -&gt; variance-boundary"
   },
   {
    "AppRouteReferenceId": "rr-controller-asserted-controls--cfo-typed-conclusions",
    "FromRoute": "controller-asserted-controls",
    "ToRoute": "cfo-typed-conclusions",
    "SemanticTypeIri": "urn:effortless:pko-extension#AppRouteReference",
    "Name": "controller-asserted-controls -&gt; cfo-typed-conclusions"
   },
   {
    "AppRouteReferenceId": "rr-controller-asserted-controls--analyst-evidence-quality",
    "FromRoute": "controller-asserted-controls",
    "ToRoute": "analyst-evidence-quality",
    "SemanticTypeIri": "urn:effortless:pko-extension#AppRouteReference",
    "Name": "controller-asserted-controls -&gt; analyst-evidence-quality"
   },
   {
    "AppRouteReferenceId": "rr-controller-control-detail--controller-home",
    "FromRoute": "controller-control-detail",
    "ToRoute": "controller-home",
    "SemanticTypeIri": "urn:effortless:pko-extension#AppRouteReference",
    "Name": "controller-control-detail -&gt; controller-home"
   },
   {
    "AppRouteReferenceId": "rr-controller-control-detail--shared-requirement-detail",
    "FromRoute": "controller-control-detail",
    "ToRoute": "shared-requirement-detail",
    "SemanticTypeIri": "urn:effortless:pko-extension#AppRouteReference",
    "Name": "controller-control-detail -&gt; shared-requirement-detail"
   },
   {
    "AppRouteReferenceId": "rr-analyst-home--analyst-blocking-unmet",
    "FromRoute": "analyst-home",
    "ToRoute": "analyst-blocking-unmet",
    "SemanticTypeIri": "urn:effortless:pko-extension#AppRouteReference",
    "Name": "analyst-home -&gt; analyst-blocking-unmet"
   },
   {
    "AppRouteReferenceId": "rr-analyst-home--analyst-late-steps",
    "FromRoute": "analyst-home",
    "ToRoute": "analyst-late-steps",
    "SemanticTypeIri": "urn:effortless:pko-extension#AppRouteReference",
    "Name": "analyst-home -&gt; analyst-late-steps"
   },
   {
    "AppRouteReferenceId": "rr-analyst-home--shared-step-execution-detail",
    "FromRoute": "analyst-home",
    "ToRoute": "shared-step-execution-detail",
    "SemanticTypeIri": "urn:effortless:pko-extension#AppRouteReference",
    "Name": "analyst-home -&gt; shared-step-execution-detail"
   },
   {
    "AppRouteReferenceId": "rr-analyst-blocking-unmet--analyst-never-evaluated",
    "FromRoute": "analyst-blocking-unmet",
    "ToRoute": "analyst-never-evaluated",
    "SemanticTypeIri": "urn:effortless:pko-extension#AppRouteReference",
    "Name": "analyst-blocking-unmet -&gt; analyst-never-evaluated"
   },
   {
    "AppRouteReferenceId": "rr-analyst-blocking-unmet--shared-requirement-detail",
    "FromRoute": "analyst-blocking-unmet",
    "ToRoute": "shared-requirement-detail",
    "SemanticTypeIri": "urn:effortless:pko-extension#AppRouteReference",
    "Name": "analyst-blocking-unmet -&gt; shared-requirement-detail"
   },
   {
    "AppRouteReferenceId": "rr-analyst-never-evaluated--analyst-blocking-unmet",
    "FromRoute": "analyst-never-evaluated",
    "ToRoute": "analyst-blocking-unmet",
    "SemanticTypeIri": "urn:effortless:pko-extension#AppRouteReference",
    "Name": "analyst-never-evaluated -&gt; analyst-blocking-unmet"
   },
   {
    "AppRouteReferenceId": "rr-analyst-never-evaluated--controller-mute-controls",
    "FromRoute": "analyst-never-evaluated",
    "ToRoute": "controller-mute-controls",
    "SemanticTypeIri": "urn:effortless:pko-extension#AppRouteReference",
    "Name": "analyst-never-evaluated -&gt; controller-mute-controls"
   },
   {
    "AppRouteReferenceId": "rr-analyst-late-steps--shared-exception-detail",
    "FromRoute": "analyst-late-steps",
    "ToRoute": "shared-exception-detail",
    "SemanticTypeIri": "urn:effortless:pko-extension#AppRouteReference",
    "Name": "analyst-late-steps -&gt; shared-exception-detail"
   },
   {
    "AppRouteReferenceId": "rr-analyst-late-steps--shared-step-execution-detail",
    "FromRoute": "analyst-late-steps",
    "ToRoute": "shared-step-execution-detail",
    "SemanticTypeIri": "urn:effortless:pko-extension#AppRouteReference",
    "Name": "analyst-late-steps -&gt; shared-step-execution-detail"
   },
   {
    "AppRouteReferenceId": "rr-analyst-verification-performed--analyst-evidence-quality",
    "FromRoute": "analyst-verification-performed",
    "ToRoute": "analyst-evidence-quality",
    "SemanticTypeIri": "urn:effortless:pko-extension#AppRouteReference",
    "Name": "analyst-verification-performed -&gt; analyst-evidence-quality"
   },
   {
    "AppRouteReferenceId": "rr-analyst-verification-performed--shared-verification-outcomes",
    "FromRoute": "analyst-verification-performed",
    "ToRoute": "shared-verification-outcomes",
    "SemanticTypeIri": "urn:effortless:pko-extension#AppRouteReference",
    "Name": "analyst-verification-performed -&gt; shared-verification-outcomes"
   },
   {
    "AppRouteReferenceId": "rr-analyst-evidence-quality--controller-asserted-controls",
    "FromRoute": "analyst-evidence-quality",
    "ToRoute": "controller-asserted-controls",
    "SemanticTypeIri": "urn:effortless:pko-extension#AppRouteReference",
    "Name": "analyst-evidence-quality -&gt; controller-asserted-controls"
   },
   {
    "AppRouteReferenceId": "rr-analyst-evidence-quality--cfo-witness-chain",
    "FromRoute": "analyst-evidence-quality",
    "ToRoute": "cfo-witness-chain",
    "SemanticTypeIri": "urn:effortless:pko-extension#AppRouteReference",
    "Name": "analyst-evidence-quality -&gt; cfo-witness-chain"
   },
   {
    "AppRouteReferenceId": "rr-analyst-source-freshness--analyst-stale-then-vs-now",
    "FromRoute": "analyst-source-freshness",
    "ToRoute": "analyst-stale-then-vs-now",
    "SemanticTypeIri": "urn:effortless:pko-extension#AppRouteReference",
    "Name": "analyst-source-freshness -&gt; analyst-stale-then-vs-now"
   },
   {
    "AppRouteReferenceId": "rr-analyst-source-freshness--shared-operational-binding-detail",
    "FromRoute": "analyst-source-freshness",
    "ToRoute": "shared-operational-binding-detail",
    "SemanticTypeIri": "urn:effortless:pko-extension#AppRouteReference",
    "Name": "analyst-source-freshness -&gt; shared-operational-binding-detail"
   },
   {
    "AppRouteReferenceId": "rr-analyst-stale-then-vs-now--analyst-source-freshness",
    "FromRoute": "analyst-stale-then-vs-now",
    "ToRoute": "analyst-source-freshness",
    "SemanticTypeIri": "urn:effortless:pko-extension#AppRouteReference",
    "Name": "analyst-stale-then-vs-now -&gt; analyst-source-freshness"
   },
   {
    "AppRouteReferenceId": "rr-analyst-stale-then-vs-now--shared-evaluation-context",
    "FromRoute": "analyst-stale-then-vs-now",
    "ToRoute": "shared-evaluation-context",
    "SemanticTypeIri": "urn:effortless:pko-extension#AppRouteReference",
    "Name": "analyst-stale-then-vs-now -&gt; shared-evaluation-context"
   },
   {
    "AppRouteReferenceId": "rr-analyst-clean-but-uncovered--analyst-mute-clearance",
    "FromRoute": "analyst-clean-but-uncovered",
    "ToRoute": "analyst-mute-clearance",
    "SemanticTypeIri": "urn:effortless:pko-extension#AppRouteReference",
    "Name": "analyst-clean-but-uncovered -&gt; analyst-mute-clearance"
   },
   {
    "AppRouteReferenceId": "rr-analyst-clean-but-uncovered--controller-mute-controls",
    "FromRoute": "analyst-clean-but-uncovered",
    "ToRoute": "controller-mute-controls",
    "SemanticTypeIri": "urn:effortless:pko-extension#AppRouteReference",
    "Name": "analyst-clean-but-uncovered -&gt; controller-mute-controls"
   },
   {
    "AppRouteReferenceId": "rr-analyst-mute-clearance--controller-mute-controls",
    "FromRoute": "analyst-mute-clearance",
    "ToRoute": "controller-mute-controls",
    "SemanticTypeIri": "urn:effortless:pko-extension#AppRouteReference",
    "Name": "analyst-mute-clearance -&gt; controller-mute-controls"
   },
   {
    "AppRouteReferenceId": "rr-analyst-mute-clearance--analyst-clean-but-uncovered",
    "FromRoute": "analyst-mute-clearance",
    "ToRoute": "analyst-clean-but-uncovered",
    "SemanticTypeIri": "urn:effortless:pko-extension#AppRouteReference",
    "Name": "analyst-mute-clearance -&gt; analyst-clean-but-uncovered"
   },
   {
    "AppRouteReferenceId": "rr-analyst-witness-coverage--cfo-unwitnessed-controls",
    "FromRoute": "analyst-witness-coverage",
    "ToRoute": "cfo-unwitnessed-controls",
    "SemanticTypeIri": "urn:effortless:pko-extension#AppRouteReference",
    "Name": "analyst-witness-coverage -&gt; cfo-unwitnessed-controls"
   },
   {
    "AppRouteReferenceId": "rr-analyst-witness-coverage--cfo-typed-conclusions",
    "FromRoute": "analyst-witness-coverage",
    "ToRoute": "cfo-typed-conclusions",
    "SemanticTypeIri": "urn:effortless:pko-extension#AppRouteReference",
    "Name": "analyst-witness-coverage -&gt; cfo-typed-conclusions"
   },
   {
    "AppRouteReferenceId": "rr-hr-home--hr-unapproved-claims",
    "FromRoute": "hr-home",
    "ToRoute": "hr-unapproved-claims",
    "SemanticTypeIri": "urn:effortless:pko-extension#AppRouteReference",
    "Name": "hr-home -&gt; hr-unapproved-claims"
   },
   {
    "AppRouteReferenceId": "rr-hr-home--hr-backlog",
    "FromRoute": "hr-home",
    "ToRoute": "hr-backlog",
    "SemanticTypeIri": "urn:effortless:pko-extension#AppRouteReference",
    "Name": "hr-home -&gt; hr-backlog"
   },
   {
    "AppRouteReferenceId": "rr-hr-home--hr-load-bearing-claim",
    "FromRoute": "hr-home",
    "ToRoute": "hr-load-bearing-claim",
    "SemanticTypeIri": "urn:effortless:pko-extension#AppRouteReference",
    "Name": "hr-home -&gt; hr-load-bearing-claim"
   },
   {
    "AppRouteReferenceId": "rr-hr-unapproved-claims--hr-load-bearing-claim",
    "FromRoute": "hr-unapproved-claims",
    "ToRoute": "hr-load-bearing-claim",
    "SemanticTypeIri": "urn:effortless:pko-extension#AppRouteReference",
    "Name": "hr-unapproved-claims -&gt; hr-load-bearing-claim"
   },
   {
    "AppRouteReferenceId": "rr-hr-unapproved-claims--shared-knowledge-fragment-detail",
    "FromRoute": "hr-unapproved-claims",
    "ToRoute": "shared-knowledge-fragment-detail",
    "SemanticTypeIri": "urn:effortless:pko-extension#AppRouteReference",
    "Name": "hr-unapproved-claims -&gt; shared-knowledge-fragment-detail"
   },
   {
    "AppRouteReferenceId": "rr-hr-load-bearing-claim--hr-unapproved-claims",
    "FromRoute": "hr-load-bearing-claim",
    "ToRoute": "hr-unapproved-claims",
    "SemanticTypeIri": "urn:effortless:pko-extension#AppRouteReference",
    "Name": "hr-load-bearing-claim -&gt; hr-unapproved-claims"
   },
   {
    "AppRouteReferenceId": "rr-hr-load-bearing-claim--shared-exception-detail",
    "FromRoute": "hr-load-bearing-claim",
    "ToRoute": "shared-exception-detail",
    "SemanticTypeIri": "urn:effortless:pko-extension#AppRouteReference",
    "Name": "hr-load-bearing-claim -&gt; shared-exception-detail"
   },
   {
    "AppRouteReferenceId": "rr-hr-backlog--hr-backlog-downstream",
    "FromRoute": "hr-backlog",
    "ToRoute": "hr-backlog-downstream",
    "SemanticTypeIri": "urn:effortless:pko-extension#AppRouteReference",
    "Name": "hr-backlog -&gt; hr-backlog-downstream"
   },
   {
    "AppRouteReferenceId": "rr-hr-backlog--shared-change-request-detail",
    "FromRoute": "hr-backlog",
    "ToRoute": "shared-change-request-detail",
    "SemanticTypeIri": "urn:effortless:pko-extension#AppRouteReference",
    "Name": "hr-backlog -&gt; shared-change-request-detail"
   },
   {
    "AppRouteReferenceId": "rr-hr-backlog-downstream--hr-backlog",
    "FromRoute": "hr-backlog-downstream",
    "ToRoute": "hr-backlog",
    "SemanticTypeIri": "urn:effortless:pko-extension#AppRouteReference",
    "Name": "hr-backlog-downstream -&gt; hr-backlog"
   },
   {
    "AppRouteReferenceId": "rr-hr-backlog-downstream--steward-open-gaps",
    "FromRoute": "hr-backlog-downstream",
    "ToRoute": "steward-open-gaps",
    "SemanticTypeIri": "urn:effortless:pko-extension#AppRouteReference",
    "Name": "hr-backlog-downstream -&gt; steward-open-gaps"
   },
   {
    "AppRouteReferenceId": "rr-hr-my-decisions--steward-approved-never-lands",
    "FromRoute": "hr-my-decisions",
    "ToRoute": "steward-approved-never-lands",
    "SemanticTypeIri": "urn:effortless:pko-extension#AppRouteReference",
    "Name": "hr-my-decisions -&gt; steward-approved-never-lands"
   },
   {
    "AppRouteReferenceId": "rr-hr-my-decisions--shared-change-request-detail",
    "FromRoute": "hr-my-decisions",
    "ToRoute": "shared-change-request-detail",
    "SemanticTypeIri": "urn:effortless:pko-extension#AppRouteReference",
    "Name": "hr-my-decisions -&gt; shared-change-request-detail"
   },
   {
    "AppRouteReferenceId": "rr-hr-ai-boundary--controller-ai-boundary",
    "FromRoute": "hr-ai-boundary",
    "ToRoute": "controller-ai-boundary",
    "SemanticTypeIri": "urn:effortless:pko-extension#AppRouteReference",
    "Name": "hr-ai-boundary -&gt; controller-ai-boundary"
   },
   {
    "AppRouteReferenceId": "rr-hr-ai-boundary--policy-agent-commitment-boundary",
    "FromRoute": "hr-ai-boundary",
    "ToRoute": "policy-agent-commitment-boundary",
    "SemanticTypeIri": "urn:effortless:pko-extension#AppRouteReference",
    "Name": "hr-ai-boundary -&gt; policy-agent-commitment-boundary"
   },
   {
    "AppRouteReferenceId": "rr-hr-knowledge-half-life--authority-stale-elicitation",
    "FromRoute": "hr-knowledge-half-life",
    "ToRoute": "authority-stale-elicitation",
    "SemanticTypeIri": "urn:effortless:pko-extension#AppRouteReference",
    "Name": "hr-knowledge-half-life -&gt; authority-stale-elicitation"
   },
   {
    "AppRouteReferenceId": "rr-hr-knowledge-half-life--steward-cadence",
    "FromRoute": "hr-knowledge-half-life",
    "ToRoute": "steward-cadence",
    "SemanticTypeIri": "urn:effortless:pko-extension#AppRouteReference",
    "Name": "hr-knowledge-half-life -&gt; steward-cadence"
   },
   {
    "AppRouteReferenceId": "rr-hr-departed-holders--authority-orphaned-provenance",
    "FromRoute": "hr-departed-holders",
    "ToRoute": "authority-orphaned-provenance",
    "SemanticTypeIri": "urn:effortless:pko-extension#AppRouteReference",
    "Name": "hr-departed-holders -&gt; authority-orphaned-provenance"
   },
   {
    "AppRouteReferenceId": "rr-hr-departed-holders--shared-role-assignment-detail",
    "FromRoute": "hr-departed-holders",
    "ToRoute": "shared-role-assignment-detail",
    "SemanticTypeIri": "urn:effortless:pko-extension#AppRouteReference",
    "Name": "hr-departed-holders -&gt; shared-role-assignment-detail"
   },
   {
    "AppRouteReferenceId": "rr-hr-what-was-sent--comms-frozen-approval",
    "FromRoute": "hr-what-was-sent",
    "ToRoute": "comms-frozen-approval",
    "SemanticTypeIri": "urn:effortless:pko-extension#AppRouteReference",
    "Name": "hr-what-was-sent -&gt; comms-frozen-approval"
   },
   {
    "AppRouteReferenceId": "rr-hr-what-was-sent--shared-delivery-detail",
    "FromRoute": "hr-what-was-sent",
    "ToRoute": "shared-delivery-detail",
    "SemanticTypeIri": "urn:effortless:pko-extension#AppRouteReference",
    "Name": "hr-what-was-sent -&gt; shared-delivery-detail"
   },
   {
    "AppRouteReferenceId": "rr-counsel-home--counsel-consent",
    "FromRoute": "counsel-home",
    "ToRoute": "counsel-consent",
    "SemanticTypeIri": "urn:effortless:pko-extension#AppRouteReference",
    "Name": "counsel-home -&gt; counsel-consent"
   },
   {
    "AppRouteReferenceId": "rr-counsel-home--counsel-quiet-hours",
    "FromRoute": "counsel-home",
    "ToRoute": "counsel-quiet-hours",
    "SemanticTypeIri": "urn:effortless:pko-extension#AppRouteReference",
    "Name": "counsel-home -&gt; counsel-quiet-hours"
   },
   {
    "AppRouteReferenceId": "rr-counsel-home--counsel-legal-review",
    "FromRoute": "counsel-home",
    "ToRoute": "counsel-legal-review",
    "SemanticTypeIri": "urn:effortless:pko-extension#AppRouteReference",
    "Name": "counsel-home -&gt; counsel-legal-review"
   },
   {
    "AppRouteReferenceId": "rr-counsel-home--counsel-retention",
    "FromRoute": "counsel-home",
    "ToRoute": "counsel-retention",
    "SemanticTypeIri": "urn:effortless:pko-extension#AppRouteReference",
    "Name": "counsel-home -&gt; counsel-retention"
   },
   {
    "AppRouteReferenceId": "rr-counsel-consent--shared-delivery-detail",
    "FromRoute": "counsel-consent",
    "ToRoute": "shared-delivery-detail",
    "SemanticTypeIri": "urn:effortless:pko-extension#AppRouteReference",
    "Name": "counsel-consent -&gt; shared-delivery-detail"
   },
   {
    "AppRouteReferenceId": "rr-counsel-consent--publisher-permission-gate",
    "FromRoute": "counsel-consent",
    "ToRoute": "publisher-permission-gate",
    "SemanticTypeIri": "urn:effortless:pko-extension#AppRouteReference",
    "Name": "counsel-consent -&gt; publisher-permission-gate"
   },
   {
    "AppRouteReferenceId": "rr-counsel-quiet-hours--publisher-timing-gate",
    "FromRoute": "counsel-quiet-hours",
    "ToRoute": "publisher-timing-gate",
    "SemanticTypeIri": "urn:effortless:pko-extension#AppRouteReference",
    "Name": "counsel-quiet-hours -&gt; publisher-timing-gate"
   },
   {
    "AppRouteReferenceId": "rr-counsel-quiet-hours--shared-delivery-detail",
    "FromRoute": "counsel-quiet-hours",
    "ToRoute": "shared-delivery-detail",
    "SemanticTypeIri": "urn:effortless:pko-extension#AppRouteReference",
    "Name": "counsel-quiet-hours -&gt; shared-delivery-detail"
   },
   {
    "AppRouteReferenceId": "rr-counsel-legal-review--shared-review-event-detail",
    "FromRoute": "counsel-legal-review",
    "ToRoute": "shared-review-event-detail",
    "SemanticTypeIri": "urn:effortless:pko-extension#AppRouteReference",
    "Name": "counsel-legal-review -&gt; shared-review-event-detail"
   },
   {
    "AppRouteReferenceId": "rr-counsel-legal-review--comms-approval-authority",
    "FromRoute": "counsel-legal-review",
    "ToRoute": "comms-approval-authority",
    "SemanticTypeIri": "urn:effortless:pko-extension#AppRouteReference",
    "Name": "counsel-legal-review -&gt; comms-approval-authority"
   },
   {
    "AppRouteReferenceId": "rr-counsel-retention--comms-frozen-approval",
    "FromRoute": "counsel-retention",
    "ToRoute": "comms-frozen-approval",
    "SemanticTypeIri": "urn:effortless:pko-extension#AppRouteReference",
    "Name": "counsel-retention -&gt; comms-frozen-approval"
   },
   {
    "AppRouteReferenceId": "rr-counsel-retention--shared-delivery-detail",
    "FromRoute": "counsel-retention",
    "ToRoute": "shared-delivery-detail",
    "SemanticTypeIri": "urn:effortless:pko-extension#AppRouteReference",
    "Name": "counsel-retention -&gt; shared-delivery-detail"
   },
   {
    "AppRouteReferenceId": "rr-counsel-unreachable--comms-suppression",
    "FromRoute": "counsel-unreachable",
    "ToRoute": "comms-suppression",
    "SemanticTypeIri": "urn:effortless:pko-extension#AppRouteReference",
    "Name": "counsel-unreachable -&gt; comms-suppression"
   },
   {
    "AppRouteReferenceId": "rr-counsel-unreachable--shared-recipient-detail",
    "FromRoute": "counsel-unreachable",
    "ToRoute": "shared-recipient-detail",
    "SemanticTypeIri": "urn:effortless:pko-extension#AppRouteReference",
    "Name": "counsel-unreachable -&gt; shared-recipient-detail"
   },
   {
    "AppRouteReferenceId": "rr-comms-home--comms-yield",
    "FromRoute": "comms-home",
    "ToRoute": "comms-yield",
    "SemanticTypeIri": "urn:effortless:pko-extension#AppRouteReference",
    "Name": "comms-home -&gt; comms-yield"
   },
   {
    "AppRouteReferenceId": "rr-comms-home--comms-failed-deliveries",
    "FromRoute": "comms-home",
    "ToRoute": "comms-failed-deliveries",
    "SemanticTypeIri": "urn:effortless:pko-extension#AppRouteReference",
    "Name": "comms-home -&gt; comms-failed-deliveries"
   },
   {
    "AppRouteReferenceId": "rr-comms-home--shared-delivery-detail",
    "FromRoute": "comms-home",
    "ToRoute": "shared-delivery-detail",
    "SemanticTypeIri": "urn:effortless:pko-extension#AppRouteReference",
    "Name": "comms-home -&gt; shared-delivery-detail"
   },
   {
    "AppRouteReferenceId": "rr-comms-yield--comms-failed-deliveries",
    "FromRoute": "comms-yield",
    "ToRoute": "comms-failed-deliveries",
    "SemanticTypeIri": "urn:effortless:pko-extension#AppRouteReference",
    "Name": "comms-yield -&gt; comms-failed-deliveries"
   },
   {
    "AppRouteReferenceId": "rr-comms-yield--comms-suppression",
    "FromRoute": "comms-yield",
    "ToRoute": "comms-suppression",
    "SemanticTypeIri": "urn:effortless:pko-extension#AppRouteReference",
    "Name": "comms-yield -&gt; comms-suppression"
   },
   {
    "AppRouteReferenceId": "rr-comms-yield--publisher-refusals",
    "FromRoute": "comms-yield",
    "ToRoute": "publisher-refusals",
    "SemanticTypeIri": "urn:effortless:pko-extension#AppRouteReference",
    "Name": "comms-yield -&gt; publisher-refusals"
   },
   {
    "AppRouteReferenceId": "rr-comms-failed-deliveries--comms-yield",
    "FromRoute": "comms-failed-deliveries",
    "ToRoute": "comms-yield",
    "SemanticTypeIri": "urn:effortless:pko-extension#AppRouteReference",
    "Name": "comms-failed-deliveries -&gt; comms-yield"
   },
   {
    "AppRouteReferenceId": "rr-comms-failed-deliveries--shared-recipient-detail",
    "FromRoute": "comms-failed-deliveries",
    "ToRoute": "shared-recipient-detail",
    "SemanticTypeIri": "urn:effortless:pko-extension#AppRouteReference",
    "Name": "comms-failed-deliveries -&gt; shared-recipient-detail"
   },
   {
    "AppRouteReferenceId": "rr-comms-approval-authority--comms-template-drift",
    "FromRoute": "comms-approval-authority",
    "ToRoute": "comms-template-drift",
    "SemanticTypeIri": "urn:effortless:pko-extension#AppRouteReference",
    "Name": "comms-approval-authority -&gt; comms-template-drift"
   },
   {
    "AppRouteReferenceId": "rr-comms-approval-authority--counsel-legal-review",
    "FromRoute": "comms-approval-authority",
    "ToRoute": "counsel-legal-review",
    "SemanticTypeIri": "urn:effortless:pko-extension#AppRouteReference",
    "Name": "comms-approval-authority -&gt; counsel-legal-review"
   },
   {
    "AppRouteReferenceId": "rr-comms-template-drift--comms-frozen-approval",
    "FromRoute": "comms-template-drift",
    "ToRoute": "comms-frozen-approval",
    "SemanticTypeIri": "urn:effortless:pko-extension#AppRouteReference",
    "Name": "comms-template-drift -&gt; comms-frozen-approval"
   },
   {
    "AppRouteReferenceId": "rr-comms-template-drift--shared-template-detail",
    "FromRoute": "comms-template-drift",
    "ToRoute": "shared-template-detail",
    "SemanticTypeIri": "urn:effortless:pko-extension#AppRouteReference",
    "Name": "comms-template-drift -&gt; shared-template-detail"
   },
   {
    "AppRouteReferenceId": "rr-comms-frozen-approval--comms-template-drift",
    "FromRoute": "comms-frozen-approval",
    "ToRoute": "comms-template-drift",
    "SemanticTypeIri": "urn:effortless:pko-extension#AppRouteReference",
    "Name": "comms-frozen-approval -&gt; comms-template-drift"
   },
   {
    "AppRouteReferenceId": "rr-comms-frozen-approval--hr-what-was-sent",
    "FromRoute": "comms-frozen-approval",
    "ToRoute": "hr-what-was-sent",
    "SemanticTypeIri": "urn:effortless:pko-extension#AppRouteReference",
    "Name": "comms-frozen-approval -&gt; hr-what-was-sent"
   },
   {
    "AppRouteReferenceId": "rr-comms-frozen-approval--counsel-retention",
    "FromRoute": "comms-frozen-approval",
    "ToRoute": "counsel-retention",
    "SemanticTypeIri": "urn:effortless:pko-extension#AppRouteReference",
    "Name": "comms-frozen-approval -&gt; counsel-retention"
   },
   {
    "AppRouteReferenceId": "rr-comms-optout--comms-sms-limits",
    "FromRoute": "comms-optout",
    "ToRoute": "comms-sms-limits",
    "SemanticTypeIri": "urn:effortless:pko-extension#AppRouteReference",
    "Name": "comms-optout -&gt; comms-sms-limits"
   },
   {
    "AppRouteReferenceId": "rr-comms-optout--counsel-consent",
    "FromRoute": "comms-optout",
    "ToRoute": "counsel-consent",
    "SemanticTypeIri": "urn:effortless:pko-extension#AppRouteReference",
    "Name": "comms-optout -&gt; counsel-consent"
   },
   {
    "AppRouteReferenceId": "rr-comms-sms-limits--comms-optout",
    "FromRoute": "comms-sms-limits",
    "ToRoute": "comms-optout",
    "SemanticTypeIri": "urn:effortless:pko-extension#AppRouteReference",
    "Name": "comms-sms-limits -&gt; comms-optout"
   },
   {
    "AppRouteReferenceId": "rr-comms-sms-limits--publisher-content-gate",
    "FromRoute": "comms-sms-limits",
    "ToRoute": "publisher-content-gate",
    "SemanticTypeIri": "urn:effortless:pko-extension#AppRouteReference",
    "Name": "comms-sms-limits -&gt; publisher-content-gate"
   },
   {
    "AppRouteReferenceId": "rr-comms-engagement--comms-yield",
    "FromRoute": "comms-engagement",
    "ToRoute": "comms-yield",
    "SemanticTypeIri": "urn:effortless:pko-extension#AppRouteReference",
    "Name": "comms-engagement -&gt; comms-yield"
   },
   {
    "AppRouteReferenceId": "rr-comms-engagement--shared-delivery-detail",
    "FromRoute": "comms-engagement",
    "ToRoute": "shared-delivery-detail",
    "SemanticTypeIri": "urn:effortless:pko-extension#AppRouteReference",
    "Name": "comms-engagement -&gt; shared-delivery-detail"
   },
   {
    "AppRouteReferenceId": "rr-comms-suppression--publisher-refusals",
    "FromRoute": "comms-suppression",
    "ToRoute": "publisher-refusals",
    "SemanticTypeIri": "urn:effortless:pko-extension#AppRouteReference",
    "Name": "comms-suppression -&gt; publisher-refusals"
   },
   {
    "AppRouteReferenceId": "rr-comms-suppression--counsel-unreachable",
    "FromRoute": "comms-suppression",
    "ToRoute": "counsel-unreachable",
    "SemanticTypeIri": "urn:effortless:pko-extension#AppRouteReference",
    "Name": "comms-suppression -&gt; counsel-unreachable"
   },
   {
    "AppRouteReferenceId": "rr-comms-authorization-override--publisher-refusals",
    "FromRoute": "comms-authorization-override",
    "ToRoute": "publisher-refusals",
    "SemanticTypeIri": "urn:effortless:pko-extension#AppRouteReference",
    "Name": "comms-authorization-override -&gt; publisher-refusals"
   },
   {
    "AppRouteReferenceId": "rr-comms-authorization-override--comms-approval-authority",
    "FromRoute": "comms-authorization-override",
    "ToRoute": "comms-approval-authority",
    "SemanticTypeIri": "urn:effortless:pko-extension#AppRouteReference",
    "Name": "comms-authorization-override -&gt; comms-approval-authority"
   },
   {
    "AppRouteReferenceId": "rr-close-auto-home--close-auto-authority",
    "FromRoute": "close-auto-home",
    "ToRoute": "close-auto-authority",
    "SemanticTypeIri": "urn:effortless:pko-extension#AppRouteReference",
    "Name": "close-auto-home -&gt; close-auto-authority"
   },
   {
    "AppRouteReferenceId": "rr-close-auto-home--close-auto-inputs",
    "FromRoute": "close-auto-home",
    "ToRoute": "close-auto-inputs",
    "SemanticTypeIri": "urn:effortless:pko-extension#AppRouteReference",
    "Name": "close-auto-home -&gt; close-auto-inputs"
   },
   {
    "AppRouteReferenceId": "rr-close-auto-home--close-auto-last-run",
    "FromRoute": "close-auto-home",
    "ToRoute": "close-auto-last-run",
    "SemanticTypeIri": "urn:effortless:pko-extension#AppRouteReference",
    "Name": "close-auto-home -&gt; close-auto-last-run"
   },
   {
    "AppRouteReferenceId": "rr-close-auto-authority--shared-role-assignment-detail",
    "FromRoute": "close-auto-authority",
    "ToRoute": "shared-role-assignment-detail",
    "SemanticTypeIri": "urn:effortless:pko-extension#AppRouteReference",
    "Name": "close-auto-authority -&gt; shared-role-assignment-detail"
   },
   {
    "AppRouteReferenceId": "rr-close-auto-authority--publisher-my-authorization",
    "FromRoute": "close-auto-authority",
    "ToRoute": "publisher-my-authorization",
    "SemanticTypeIri": "urn:effortless:pko-extension#AppRouteReference",
    "Name": "close-auto-authority -&gt; publisher-my-authorization"
   },
   {
    "AppRouteReferenceId": "rr-close-auto-inputs--shared-operational-binding-detail",
    "FromRoute": "close-auto-inputs",
    "ToRoute": "shared-operational-binding-detail",
    "SemanticTypeIri": "urn:effortless:pko-extension#AppRouteReference",
    "Name": "close-auto-inputs -&gt; shared-operational-binding-detail"
   },
   {
    "AppRouteReferenceId": "rr-close-auto-inputs--analyst-source-freshness",
    "FromRoute": "close-auto-inputs",
    "ToRoute": "analyst-source-freshness",
    "SemanticTypeIri": "urn:effortless:pko-extension#AppRouteReference",
    "Name": "close-auto-inputs -&gt; analyst-source-freshness"
   },
   {
    "AppRouteReferenceId": "rr-close-auto-controls--analyst-never-evaluated",
    "FromRoute": "close-auto-controls",
    "ToRoute": "analyst-never-evaluated",
    "SemanticTypeIri": "urn:effortless:pko-extension#AppRouteReference",
    "Name": "close-auto-controls -&gt; analyst-never-evaluated"
   },
   {
    "AppRouteReferenceId": "rr-close-auto-controls--controller-home",
    "FromRoute": "close-auto-controls",
    "ToRoute": "controller-home",
    "SemanticTypeIri": "urn:effortless:pko-extension#AppRouteReference",
    "Name": "close-auto-controls -&gt; controller-home"
   },
   {
    "AppRouteReferenceId": "rr-close-auto-last-run--shared-step-execution-detail",
    "FromRoute": "close-auto-last-run",
    "ToRoute": "shared-step-execution-detail",
    "SemanticTypeIri": "urn:effortless:pko-extension#AppRouteReference",
    "Name": "close-auto-last-run -&gt; shared-step-execution-detail"
   },
   {
    "AppRouteReferenceId": "rr-close-auto-last-run--close-auto-home",
    "FromRoute": "close-auto-last-run",
    "ToRoute": "close-auto-home",
    "SemanticTypeIri": "urn:effortless:pko-extension#AppRouteReference",
    "Name": "close-auto-last-run -&gt; close-auto-home"
   },
   {
    "AppRouteReferenceId": "rr-close-auto-drift--variance-override-signal",
    "FromRoute": "close-auto-drift",
    "ToRoute": "variance-override-signal",
    "SemanticTypeIri": "urn:effortless:pko-extension#AppRouteReference",
    "Name": "close-auto-drift -&gt; variance-override-signal"
   },
   {
    "AppRouteReferenceId": "rr-close-auto-drift--variance-quality-baseline",
    "FromRoute": "close-auto-drift",
    "ToRoute": "variance-quality-baseline",
    "SemanticTypeIri": "urn:effortless:pko-extension#AppRouteReference",
    "Name": "close-auto-drift -&gt; variance-quality-baseline"
   },
   {
    "AppRouteReferenceId": "rr-variance-home--variance-authority",
    "FromRoute": "variance-home",
    "ToRoute": "variance-authority",
    "SemanticTypeIri": "urn:effortless:pko-extension#AppRouteReference",
    "Name": "variance-home -&gt; variance-authority"
   },
   {
    "AppRouteReferenceId": "rr-variance-home--variance-boundary",
    "FromRoute": "variance-home",
    "ToRoute": "variance-boundary",
    "SemanticTypeIri": "urn:effortless:pko-extension#AppRouteReference",
    "Name": "variance-home -&gt; variance-boundary"
   },
   {
    "AppRouteReferenceId": "rr-variance-home--variance-knowledge-currency",
    "FromRoute": "variance-home",
    "ToRoute": "variance-knowledge-currency",
    "SemanticTypeIri": "urn:effortless:pko-extension#AppRouteReference",
    "Name": "variance-home -&gt; variance-knowledge-currency"
   },
   {
    "AppRouteReferenceId": "rr-variance-authority--shared-role-assignment-detail",
    "FromRoute": "variance-authority",
    "ToRoute": "shared-role-assignment-detail",
    "SemanticTypeIri": "urn:effortless:pko-extension#AppRouteReference",
    "Name": "variance-authority -&gt; shared-role-assignment-detail"
   },
   {
    "AppRouteReferenceId": "rr-variance-authority--variance-handover",
    "FromRoute": "variance-autho</t>
  </si>
  <si>
    <t xml:space="preserve">rity",
    "ToRoute": "variance-handover",
    "SemanticTypeIri": "urn:effortless:pko-extension#AppRouteReference",
    "Name": "variance-authority -&gt; variance-handover"
   },
   {
    "AppRouteReferenceId": "rr-variance-handover--variance-authority",
    "FromRoute": "variance-handover",
    "ToRoute": "variance-authority",
    "SemanticTypeIri": "urn:effortless:pko-extension#AppRouteReference",
    "Name": "variance-handover -&gt; variance-authority"
   },
   {
    "AppRouteReferenceId": "rr-variance-handover--controller-ai-boundary",
    "FromRoute": "variance-handover",
    "ToRoute": "controller-ai-boundary",
    "SemanticTypeIri": "urn:effortless:pko-extension#AppRouteReference",
    "Name": "variance-handover -&gt; controller-ai-boundary"
   },
   {
    "AppRouteReferenceId": "rr-variance-boundary--variance-boundary-ratification",
    "FromRoute": "variance-boundary",
    "ToRoute": "variance-boundary-ratification",
    "SemanticTypeIri": "urn:effortless:pko-extension#AppRouteReference",
    "Name": "variance-boundary -&gt; variance-boundary-ratification"
   },
   {
    "AppRouteReferenceId": "rr-variance-boundary--hr-ai-boundary",
    "FromRoute": "variance-boundary",
    "ToRoute": "hr-ai-boundary",
    "SemanticTypeIri": "urn:effortless:pko-extension#AppRouteReference",
    "Name": "variance-boundary -&gt; hr-ai-boundary"
   },
   {
    "AppRouteReferenceId": "rr-variance-boundary-ratification--authority-expired-ratifier",
    "FromRoute": "variance-boundary-ratification",
    "ToRoute": "authority-expired-ratifier",
    "SemanticTypeIri": "urn:effortless:pko-extension#AppRouteReference",
    "Name": "variance-boundary-ratification -&gt; authority-expired-ratifier"
   },
   {
    "AppRouteReferenceId": "rr-variance-boundary-ratification--variance-boundary",
    "FromRoute": "variance-boundary-ratification",
    "ToRoute": "variance-boundary",
    "SemanticTypeIri": "urn:effortless:pko-extension#AppRouteReference",
    "Name": "variance-boundary-ratification -&gt; variance-boundary"
   },
   {
    "AppRouteReferenceId": "rr-variance-human-confirmation--controller-ai-boundary",
    "FromRoute": "variance-human-confirmation",
    "ToRoute": "controller-ai-boundary",
    "SemanticTypeIri": "urn:effortless:pko-extension#AppRouteReference",
    "Name": "variance-human-confirmation -&gt; controller-ai-boundary"
   },
   {
    "AppRouteReferenceId": "rr-variance-human-confirmation--shared-step-execution-detail",
    "FromRoute": "variance-human-confirmation",
    "ToRoute": "shared-step-execution-detail",
    "SemanticTypeIri": "urn:effortless:pko-extension#AppRouteReference",
    "Name": "variance-human-confirmation -&gt; shared-step-execution-detail"
   },
   {
    "AppRouteReferenceId": "rr-variance-knowledge-currency--authority-fragment-decay",
    "FromRoute": "variance-knowledge-currency",
    "ToRoute": "authority-fragment-decay",
    "SemanticTypeIri": "urn:effortless:pko-extension#AppRouteReference",
    "Name": "variance-knowledge-currency -&gt; authority-fragment-decay"
   },
   {
    "AppRouteReferenceId": "rr-variance-knowledge-currency--shared-knowledge-fragment-detail",
    "FromRoute": "variance-knowledge-currency",
    "ToRoute": "shared-knowledge-fragment-detail",
    "SemanticTypeIri": "urn:effortless:pko-extension#AppRouteReference",
    "Name": "variance-knowledge-currency -&gt; shared-knowledge-fragment-detail"
   },
   {
    "AppRouteReferenceId": "rr-variance-quality-baseline--variance-sample-size",
    "FromRoute": "variance-quality-baseline",
    "ToRoute": "variance-sample-size",
    "SemanticTypeIri": "urn:effortless:pko-extension#AppRouteReference",
    "Name": "variance-quality-baseline -&gt; variance-sample-size"
   },
   {
    "AppRouteReferenceId": "rr-variance-quality-baseline--close-auto-drift",
    "FromRoute": "variance-quality-baseline",
    "ToRoute": "close-auto-drift",
    "SemanticTypeIri": "urn:effortless:pko-extension#AppRouteReference",
    "Name": "variance-quality-baseline -&gt; close-auto-drift"
   },
   {
    "AppRouteReferenceId": "rr-variance-sample-size--variance-quality-baseline",
    "FromRoute": "variance-sample-size",
    "ToRoute": "variance-quality-baseline",
    "SemanticTypeIri": "urn:effortless:pko-extension#AppRouteReference",
    "Name": "variance-sample-size -&gt; variance-quality-baseline"
   },
   {
    "AppRouteReferenceId": "rr-variance-override-signal--close-auto-drift",
    "FromRoute": "variance-override-signal",
    "ToRoute": "close-auto-drift",
    "SemanticTypeIri": "urn:effortless:pko-extension#AppRouteReference",
    "Name": "variance-override-signal -&gt; close-auto-drift"
   },
   {
    "AppRouteReferenceId": "rr-variance-override-signal--variance-human-confirmation",
    "FromRoute": "variance-override-signal",
    "ToRoute": "variance-human-confirmation",
    "SemanticTypeIri": "urn:effortless:pko-extension#AppRouteReference",
    "Name": "variance-override-signal -&gt; variance-human-confirmation"
   },
   {
    "AppRouteReferenceId": "rr-variance-stop-condition--close-auto-home",
    "FromRoute": "variance-stop-condition",
    "ToRoute": "close-auto-home",
    "SemanticTypeIri": "urn:effortless:pko-extension#AppRouteReference",
    "Name": "variance-stop-condition -&gt; close-auto-home"
   },
   {
    "AppRouteReferenceId": "rr-variance-stop-condition--publisher-permission-gate",
    "FromRoute": "variance-stop-condition",
    "ToRoute": "publisher-permission-gate",
    "SemanticTypeIri": "urn:effortless:pko-extension#AppRouteReference",
    "Name": "variance-stop-condition -&gt; publisher-permission-gate"
   },
   {
    "AppRouteReferenceId": "rr-policy-agent-home--policy-agent-sources",
    "FromRoute": "policy-agent-home",
    "ToRoute": "policy-agent-sources",
    "SemanticTypeIri": "urn:effortless:pko-extension#AppRouteReference",
    "Name": "policy-agent-home -&gt; policy-agent-sources"
   },
   {
    "AppRouteReferenceId": "rr-policy-agent-home--policy-agent-assignment",
    "FromRoute": "policy-agent-home",
    "ToRoute": "policy-agent-assignment",
    "SemanticTypeIri": "urn:effortless:pko-extension#AppRouteReference",
    "Name": "policy-agent-home -&gt; policy-agent-assignment"
   },
   {
    "AppRouteReferenceId": "rr-policy-agent-sources--shared-operational-binding-detail",
    "FromRoute": "policy-agent-sources",
    "ToRoute": "shared-operational-binding-detail",
    "SemanticTypeIri": "urn:effortless:pko-extension#AppRouteReference",
    "Name": "policy-agent-sources -&gt; shared-operational-binding-detail"
   },
   {
    "AppRouteReferenceId": "rr-policy-agent-sources--close-auto-inputs",
    "FromRoute": "policy-agent-sources",
    "ToRoute": "close-auto-inputs",
    "SemanticTypeIri": "urn:effortless:pko-extension#AppRouteReference",
    "Name": "policy-agent-sources -&gt; close-auto-inputs"
   },
   {
    "AppRouteReferenceId": "rr-policy-agent-assignment--shared-role-assignment-detail",
    "FromRoute": "policy-agent-assignment",
    "ToRoute": "shared-role-assignment-detail",
    "SemanticTypeIri": "urn:effortless:pko-extension#AppRouteReference",
    "Name": "policy-agent-assignment -&gt; shared-role-assignment-detail"
   },
   {
    "AppRouteReferenceId": "rr-policy-agent-assignment--variance-authority",
    "FromRoute": "policy-agent-assignment",
    "ToRoute": "variance-authority",
    "SemanticTypeIri": "urn:effortless:pko-extension#AppRouteReference",
    "Name": "policy-agent-assignment -&gt; variance-authority"
   },
   {
    "AppRouteReferenceId": "rr-policy-agent-commitment-boundary--hr-ai-boundary",
    "FromRoute": "policy-agent-commitment-boundary",
    "ToRoute": "hr-ai-boundary",
    "SemanticTypeIri": "urn:effortless:pko-extension#AppRouteReference",
    "Name": "policy-agent-commitment-boundary -&gt; hr-ai-boundary"
   },
   {
    "AppRouteReferenceId": "rr-policy-agent-commitment-boundary--variance-boundary",
    "FromRoute": "policy-agent-commitment-boundary",
    "ToRoute": "variance-boundary",
    "SemanticTypeIri": "urn:effortless:pko-extension#AppRouteReference",
    "Name": "policy-agent-commitment-boundary -&gt; variance-boundary"
   },
   {
    "AppRouteReferenceId": "rr-policy-agent-approval-chain--comms-approval-authority",
    "FromRoute": "policy-agent-approval-chain",
    "ToRoute": "comms-approval-authority",
    "SemanticTypeIri": "urn:effortless:pko-extension#AppRouteReference",
    "Name": "policy-agent-approval-chain -&gt; comms-approval-authority"
   },
   {
    "AppRouteReferenceId": "rr-policy-agent-approval-chain--counsel-legal-review",
    "FromRoute": "policy-agent-approval-chain",
    "ToRoute": "counsel-legal-review",
    "SemanticTypeIri": "urn:effortless:pko-extension#AppRouteReference",
    "Name": "policy-agent-approval-chain -&gt; counsel-legal-review"
   },
   {
    "AppRouteReferenceId": "rr-policy-agent-rewrite--variance-override-signal",
    "FromRoute": "policy-agent-rewrite",
    "ToRoute": "variance-override-signal",
    "SemanticTypeIri": "urn:effortless:pko-extension#AppRouteReference",
    "Name": "policy-agent-rewrite -&gt; variance-override-signal"
   },
   {
    "AppRouteReferenceId": "rr-policy-agent-rewrite--shared-step-execution-detail",
    "FromRoute": "policy-agent-rewrite",
    "ToRoute": "shared-step-execution-detail",
    "SemanticTypeIri": "urn:effortless:pko-extension#AppRouteReference",
    "Name": "policy-agent-rewrite -&gt; shared-step-execution-detail"
   },
   {
    "AppRouteReferenceId": "rr-publisher-home--publisher-permission-gate",
    "FromRoute": "publisher-home",
    "ToRoute": "publisher-permission-gate",
    "SemanticTypeIri": "urn:effortless:pko-extension#AppRouteReference",
    "Name": "publisher-home -&gt; publisher-permission-gate"
   },
   {
    "AppRouteReferenceId": "rr-publisher-home--publisher-timing-gate",
    "FromRoute": "publisher-home",
    "ToRoute": "publisher-timing-gate",
    "SemanticTypeIri": "urn:effortless:pko-extension#AppRouteReference",
    "Name": "publisher-home -&gt; publisher-timing-gate"
   },
   {
    "AppRouteReferenceId": "rr-publisher-home--publisher-content-gate",
    "FromRoute": "publisher-home",
    "ToRoute": "publisher-content-gate",
    "SemanticTypeIri": "urn:effortless:pko-extension#AppRouteReference",
    "Name": "publisher-home -&gt; publisher-content-gate"
   },
   {
    "AppRouteReferenceId": "rr-publisher-home--publisher-authorization-gate",
    "FromRoute": "publisher-home",
    "ToRoute": "publisher-authorization-gate",
    "SemanticTypeIri": "urn:effortless:pko-extension#AppRouteReference",
    "Name": "publisher-home -&gt; publisher-authorization-gate"
   },
   {
    "AppRouteReferenceId": "rr-publisher-permission-gate--counsel-consent",
    "FromRoute": "publisher-permission-gate",
    "ToRoute": "counsel-consent",
    "SemanticTypeIri": "urn:effortless:pko-extension#AppRouteReference",
    "Name": "publisher-permission-gate -&gt; counsel-consent"
   },
   {
    "AppRouteReferenceId": "rr-publisher-permission-gate--shared-recipient-detail",
    "FromRoute": "publisher-permission-gate",
    "ToRoute": "shared-recipient-detail",
    "SemanticTypeIri": "urn:effortless:pko-extension#AppRouteReference",
    "Name": "publisher-permission-gate -&gt; shared-recipient-detail"
   },
   {
    "AppRouteReferenceId": "rr-publisher-timing-gate--counsel-quiet-hours",
    "FromRoute": "publisher-timing-gate",
    "ToRoute": "counsel-quiet-hours",
    "SemanticTypeIri": "urn:effortless:pko-extension#AppRouteReference",
    "Name": "publisher-timing-gate -&gt; counsel-quiet-hours"
   },
   {
    "AppRouteReferenceId": "rr-publisher-timing-gate--publisher-deferred",
    "FromRoute": "publisher-timing-gate",
    "ToRoute": "publisher-deferred",
    "SemanticTypeIri": "urn:effortless:pko-extension#AppRouteReference",
    "Name": "publisher-timing-gate -&gt; publisher-deferred"
   },
   {
    "AppRouteReferenceId": "rr-publisher-content-gate--comms-sms-limits",
    "FromRoute": "publisher-content-gate",
    "ToRoute": "comms-sms-limits",
    "SemanticTypeIri": "urn:effortless:pko-extension#AppRouteReference",
    "Name": "publisher-content-gate -&gt; comms-sms-limits"
   },
   {
    "AppRouteReferenceId": "rr-publisher-content-gate--comms-optout",
    "FromRoute": "publisher-content-gate",
    "ToRoute": "comms-optout",
    "SemanticTypeIri": "urn:effortless:pko-extension#AppRouteReference",
    "Name": "publisher-content-gate -&gt; comms-optout"
   },
   {
    "AppRouteReferenceId": "rr-publisher-authorization-gate--comms-approval-authority",
    "FromRoute": "publisher-authorization-gate",
    "ToRoute": "comms-approval-authority",
    "SemanticTypeIri": "urn:effortless:pko-extension#AppRouteReference",
    "Name": "publisher-authorization-gate -&gt; comms-approval-authority"
   },
   {
    "AppRouteReferenceId": "rr-publisher-authorization-gate--policy-agent-approval-chain",
    "FromRoute": "publisher-authorization-gate",
    "ToRoute": "policy-agent-approval-chain",
    "SemanticTypeIri": "urn:effortless:pko-extension#AppRouteReference",
    "Name": "publisher-authorization-gate -&gt; policy-agent-approval-chain"
   },
   {
    "AppRouteReferenceId": "rr-publisher-refusals--publisher-refusal-artifacts",
    "FromRoute": "publisher-refusals",
    "ToRoute": "publisher-refusal-artifacts",
    "SemanticTypeIri": "urn:effortless:pko-extension#AppRouteReference",
    "Name": "publisher-refusals -&gt; publisher-refusal-artifacts"
   },
   {
    "AppRouteReferenceId": "rr-publisher-refusals--comms-suppression",
    "FromRoute": "publisher-refusals",
    "ToRoute": "comms-suppression",
    "SemanticTypeIri": "urn:effortless:pko-extension#AppRouteReference",
    "Name": "publisher-refusals -&gt; comms-suppression"
   },
   {
    "AppRouteReferenceId": "rr-publisher-refusals--shared-exception-detail",
    "FromRoute": "publisher-refusals",
    "ToRoute": "shared-exception-detail",
    "SemanticTypeIri": "urn:effortless:pko-extension#AppRouteReference",
    "Name": "publisher-refusals -&gt; shared-exception-detail"
   },
   {
    "AppRouteReferenceId": "rr-publisher-refusal-artifacts--publisher-refusals",
    "FromRoute": "publisher-refusal-artifacts",
    "ToRoute": "publisher-refusals",
    "SemanticTypeIri": "urn:effortless:pko-extension#AppRouteReference",
    "Name": "publisher-refusal-artifacts -&gt; publisher-refusals"
   },
   {
    "AppRouteReferenceId": "rr-publisher-refusal-artifacts--comms-suppression",
    "FromRoute": "publisher-refusal-artifacts",
    "ToRoute": "comms-suppression",
    "SemanticTypeIri": "urn:effortless:pko-extension#AppRouteReference",
    "Name": "publisher-refusal-artifacts -&gt; comms-suppression"
   },
   {
    "AppRouteReferenceId": "rr-publisher-deferred--publisher-timing-gate",
    "FromRoute": "publisher-deferred",
    "ToRoute": "publisher-timing-gate",
    "SemanticTypeIri": "urn:effortless:pko-extension#AppRouteReference",
    "Name": "publisher-deferred -&gt; publisher-timing-gate"
   },
   {
    "AppRouteReferenceId": "rr-publisher-deferred--comms-suppression",
    "FromRoute": "publisher-deferred",
    "ToRoute": "comms-suppression",
    "SemanticTypeIri": "urn:effortless:pko-extension#AppRouteReference",
    "Name": "publisher-deferred -&gt; comms-suppression"
   },
   {
    "AppRouteReferenceId": "rr-publisher-obligations--comms-engagement",
    "FromRoute": "publisher-obligations",
    "ToRoute": "comms-engagement",
    "SemanticTypeIri": "urn:effortless:pko-extension#AppRouteReference",
    "Name": "publisher-obligations -&gt; comms-engagement"
   },
   {
    "AppRouteReferenceId": "rr-publisher-obligations--shared-delivery-detail",
    "FromRoute": "publisher-obligations",
    "ToRoute": "shared-delivery-detail",
    "SemanticTypeIri": "urn:effortless:pko-extension#AppRouteReference",
    "Name": "publisher-obligations -&gt; shared-delivery-detail"
   },
   {
    "AppRouteReferenceId": "rr-publisher-my-authorization--shared-role-assignment-detail",
    "FromRoute": "publisher-my-authorization",
    "ToRoute": "shared-role-assignment-detail",
    "SemanticTypeIri": "urn:effortless:pko-extension#AppRouteReference",
    "Name": "publisher-my-authorization -&gt; shared-role-assignment-detail"
   },
   {
    "AppRouteReferenceId": "rr-publisher-my-authorization--variance-authority",
    "FromRoute": "publisher-my-authorization",
    "ToRoute": "variance-authority",
    "SemanticTypeIri": "urn:effortless:pko-extension#AppRouteReference",
    "Name": "publisher-my-authorization -&gt; variance-authority"
   },
   {
    "AppRouteReferenceId": "rr-publisher-sole-witness--cfo-witness-chain",
    "FromRoute": "publisher-sole-witness",
    "ToRoute": "cfo-witness-chain",
    "SemanticTypeIri": "urn:effortless:pko-extension#AppRouteReference",
    "Name": "publisher-sole-witness -&gt; cfo-witness-chain"
   },
   {
    "AppRouteReferenceId": "rr-publisher-sole-witness--controller-asserted-controls",
    "FromRoute": "publisher-sole-witness",
    "ToRoute": "controller-asserted-controls",
    "SemanticTypeIri": "urn:effortless:pko-extension#AppRouteReference",
    "Name": "publisher-sole-witness -&gt; controller-asserted-controls"
   },
   {
    "AppRouteReferenceId": "rr-steward-home--steward-cadence",
    "FromRoute": "steward-home",
    "ToRoute": "steward-cadence",
    "SemanticTypeIri": "urn:effortless:pko-extension#AppRouteReference",
    "Name": "steward-home -&gt; steward-cadence"
   },
   {
    "AppRouteReferenceId": "rr-steward-home--steward-open-gaps",
    "FromRoute": "steward-home",
    "ToRoute": "steward-open-gaps",
    "SemanticTypeIri": "urn:effortless:pko-extension#AppRouteReference",
    "Name": "steward-home -&gt; steward-open-gaps"
   },
   {
    "AppRouteReferenceId": "rr-steward-home--steward-orphans",
    "FromRoute": "steward-home",
    "ToRoute": "steward-orphans",
    "SemanticTypeIri": "urn:effortless:pko-extension#AppRouteReference",
    "Name": "steward-home -&gt; steward-orphans"
   },
   {
    "AppRouteReferenceId": "rr-steward-home--steward-fallbacks",
    "FromRoute": "steward-home",
    "ToRoute": "steward-fallbacks",
    "SemanticTypeIri": "urn:effortless:pko-extension#AppRouteReference",
    "Name": "steward-home -&gt; steward-fallbacks"
   },
   {
    "AppRouteReferenceId": "rr-steward-cadence--steward-cadence-remediation",
    "FromRoute": "steward-cadence",
    "ToRoute": "steward-cadence-remediation",
    "SemanticTypeIri": "urn:effortless:pko-extension#AppRouteReference",
    "Name": "steward-cadence -&gt; steward-cadence-remediation"
   },
   {
    "AppRouteReferenceId": "rr-steward-cadence--shared-review-event-detail",
    "FromRoute": "steward-cadence",
    "ToRoute": "shared-review-event-detail",
    "SemanticTypeIri": "urn:effortless:pko-extension#AppRouteReference",
    "Name": "steward-cadence -&gt; shared-review-event-detail"
   },
   {
    "AppRouteReferenceId": "rr-steward-cadence-remediation--steward-cadence",
    "FromRoute": "steward-cadence-remediation",
    "ToRoute": "steward-cadence",
    "SemanticTypeIri": "urn:effortless:pko-extension#AppRouteReference",
    "Name": "steward-cadence-remediation -&gt; steward-cadence"
   },
   {
    "AppRouteReferenceId": "rr-steward-cadence-remediation--shared-change-request-detail",
    "FromRoute": "steward-cadence-remediation",
    "ToRoute": "shared-change-request-detail",
    "SemanticTypeIri": "urn:effortless:pko-extension#AppRouteReference",
    "Name": "steward-cadence-remediation -&gt; shared-change-request-detail"
   },
   {
    "AppRouteReferenceId": "rr-steward-open-gaps--hr-backlog-downstream",
    "FromRoute": "steward-open-gaps",
    "ToRoute": "hr-backlog-downstream",
    "SemanticTypeIri": "urn:effortless:pko-extension#AppRouteReference",
    "Name": "steward-open-gaps -&gt; hr-backlog-downstream"
   },
   {
    "AppRouteReferenceId": "rr-steward-open-gaps--shared-knowledge-gap-detail",
    "FromRoute": "steward-open-gaps",
    "ToRoute": "shared-knowledge-gap-detail",
    "SemanticTypeIri": "urn:effortless:pko-extension#AppRouteReference",
    "Name": "steward-open-gaps -&gt; shared-knowledge-gap-detail"
   },
   {
    "AppRouteReferenceId": "rr-steward-stalled-changes--hr-backlog",
    "FromRoute": "steward-stalled-changes",
    "ToRoute": "hr-backlog",
    "SemanticTypeIri": "urn:effortless:pko-extension#AppRouteReference",
    "Name": "steward-stalled-changes -&gt; hr-backlog"
   },
   {
    "AppRouteReferenceId": "rr-steward-stalled-changes--shared-change-request-detail",
    "FromRoute": "steward-stalled-changes",
    "ToRoute": "shared-change-request-detail",
    "SemanticTypeIri": "urn:effortless:pko-extension#AppRouteReference",
    "Name": "steward-stalled-changes -&gt; shared-change-request-detail"
   },
   {
    "AppRouteReferenceId": "rr-steward-approved-never-lands--hr-my-decisions",
    "FromRoute": "steward-approved-never-lands",
    "ToRoute": "hr-my-decisions",
    "SemanticTypeIri": "urn:effortless:pko-extension#AppRouteReference",
    "Name": "steward-approved-never-lands -&gt; hr-my-decisions"
   },
   {
    "AppRouteReferenceId": "rr-steward-approved-never-lands--cfo-blockers",
    "FromRoute": "steward-approved-never-lands",
    "ToRoute": "cfo-blockers",
    "SemanticTypeIri": "urn:effortless:pko-extension#AppRouteReference",
    "Name": "steward-approved-never-lands -&gt; cfo-blockers"
   },
   {
    "AppRouteReferenceId": "rr-steward-orphans--steward-archived-still-referenced",
    "FromRoute": "steward-orphans",
    "ToRoute": "steward-archived-still-referenced",
    "SemanticTypeIri": "urn:effortless:pko-extension#AppRouteReference",
    "Name": "steward-orphans -&gt; steward-archived-still-referenced"
   },
   {
    "AppRouteReferenceId": "rr-steward-orphans--shared-procedure-version-detail",
    "FromRoute": "steward-orphans",
    "ToRoute": "shared-procedure-version-detail",
    "SemanticTypeIri": "urn:effortless:pko-extension#AppRouteReference",
    "Name": "steward-orphans -&gt; shared-procedure-version-detail"
   },
   {
    "AppRouteReferenceId": "rr-steward-archived-still-referenced--steward-orphans",
    "FromRoute": "steward-archived-still-referenced",
    "ToRoute": "steward-orphans",
    "SemanticTypeIri": "urn:effortless:pko-extension#AppRouteReference",
    "Name": "steward-archived-still-referenced -&gt; steward-orphans"
   },
   {
    "AppRouteReferenceId": "rr-steward-archived-still-referenced--shared-procedure-version-detail",
    "FromRoute": "steward-archived-still-referenced",
    "ToRoute": "shared-procedure-version-detail",
    "SemanticTypeIri": "urn:effortless:pko-extension#AppRouteReference",
    "Name": "steward-archived-still-referenced -&gt; shared-procedure-version-detail"
   },
   {
    "AppRouteReferenceId": "rr-steward-fallbacks--steward-fallback-criticality",
    "FromRoute": "steward-fallbacks",
    "ToRoute": "steward-fallback-criticality",
    "SemanticTypeIri": "urn:effortless:pko-extension#AppRouteReference",
    "Name": "steward-fallbacks -&gt; steward-fallback-criticality"
   },
   {
    "AppRouteReferenceId": "rr-steward-fallbacks--shared-transition-detail",
    "FromRoute": "steward-fallbacks",
    "ToRoute": "shared-transition-detail",
    "SemanticTypeIri": "urn:effortless:pko-extension#AppRouteReference",
    "Name": "steward-fallbacks -&gt; shared-transition-detail"
   },
   {
    "AppRouteReferenceId": "rr-steward-fallback-criticality--steward-fallbacks",
    "FromRoute": "steward-fallback-criticality",
    "ToRoute": "steward-fallbacks",
    "SemanticTypeIri": "urn:effortless:pko-extension#AppRouteReference",
    "Name": "steward-fallback-criticality -&gt; steward-fallbacks"
   },
   {
    "AppRouteReferenceId": "rr-steward-fallback-criticality--controller-home",
    "FromRoute": "steward-fallback-criticality",
    "ToRoute": "controller-home",
    "SemanticTypeIri": "urn:effortless:pko-extension#AppRouteReference",
    "Name": "steward-fallback-criticality -&gt; controller-home"
   },
   {
    "AppRouteReferenceId": "rr-steward-hardcoded-predicates--shared-field-provenance",
    "FromRoute": "steward-hardcoded-predicates",
    "ToRoute": "shared-field-provenance",
    "SemanticTypeIri": "urn:effortless:pko-extension#AppRouteReference",
    "Name": "steward-hardcoded-predicates -&gt; shared-field-provenance"
   },
   {
    "AppRouteReferenceId": "rr-steward-hardcoded-predicates--steward-home",
    "FromRoute": "steward-hardcoded-predicates",
    "ToRoute": "steward-home",
    "SemanticTypeIri": "urn:effortless:pko-extension#AppRouteReference",
    "Name": "steward-hardcoded-predicates -&gt; steward-home"
   },
   {
    "AppRouteReferenceId": "rr-authority-home--authority-fragment-decay",
    "FromRoute": "authority-home",
    "ToRoute": "authority-fragment-decay",
    "SemanticTypeIri": "urn:effortless:pko-extension#AppRouteReference",
    "Name": "authority-home -&gt; authority-fragment-decay"
   },
   {
    "AppRouteReferenceId": "rr-authority-home--authority-unapproved-live",
    "FromRoute": "authority-home",
    "ToRoute": "authority-unapproved-live",
    "SemanticTypeIri": "urn:effortless:pko-extension#AppRouteReference",
    "Name": "authority-home -&gt; authority-unapproved-live"
   },
   {
    "AppRouteReferenceId": "rr-authority-home--shared-knowledge-fragment-detail",
    "FromRoute": "authority-home",
    "ToRoute": "shared-knowledge-fragment-detail",
    "SemanticTypeIri": "urn:effortless:pko-extension#AppRouteReference",
    "Name": "authority-home -&gt; shared-knowledge-fragment-detail"
   },
   {
    "AppRouteReferenceId": "rr-authority-fragment-decay--authority-home",
    "FromRoute": "authority-fragment-decay",
    "ToRoute": "authority-home",
    "SemanticTypeIri": "urn:effortless:pko-extension#AppRouteReference",
    "Name": "authority-fragment-decay -&gt; authority-home"
   },
   {
    "AppRouteReferenceId": "rr-authority-fragment-decay--variance-knowledge-currency",
    "FromRoute": "authority-fragment-decay",
    "ToRoute": "variance-knowledge-currency",
    "SemanticTypeIri": "urn:effortless:pko-extension#AppRouteReference",
    "Name": "authority-fragment-decay -&gt; variance-knowledge-currency"
   },
   {
    "AppRouteReferenceId": "rr-authority-unapproved-live--hr-load-bearing-claim",
    "FromRoute": "authority-unapproved-live",
    "ToRoute": "hr-load-bearing-claim",
    "SemanticTypeIri": "urn:effortless:pko-extension#AppRouteReference",
    "Name": "authority-unapproved-live -&gt; hr-load-bearing-claim"
   },
   {
    "AppRouteReferenceId": "rr-authority-unapproved-live--authority-machine-consumers",
    "FromRoute": "authority-unapproved-live",
    "ToRoute": "authority-machine-consumers",
    "SemanticTypeIri": "urn:effortless:pko-extension#AppRouteReference",
    "Name": "authority-unapproved-live -&gt; authority-machine-consumers"
   },
   {
    "AppRouteReferenceId": "rr-authority-machine-consumers--authority-unapproved-live",
    "FromRoute": "authority-machine-consumers",
    "ToRoute": "authority-unapproved-live",
    "SemanticTypeIri": "urn:effortless:pko-extension#AppRouteReference",
    "Name": "authority-machine-consumers -&gt; authority-unapproved-live"
   },
   {
    "AppRouteReferenceId": "rr-authority-machine-consumers--hr-ai-boundary",
    "FromRoute": "authority-machine-consumers",
    "ToRoute": "hr-ai-boundary",
    "SemanticTypeIri": "urn:effortless:pko-extension#AppRouteReference",
    "Name": "authority-machine-consumers -&gt; hr-ai-boundary"
   },
   {
    "AppRouteReferenceId": "rr-authority-expired-ratifier--variance-boundary-ratification",
    "FromRoute": "authority-expired-ratifier",
    "ToRoute": "variance-boundary-ratification",
    "SemanticTypeIri": "urn:effortless:pko-extension#AppRouteReference",
    "Name": "authority-expired-ratifier -&gt; variance-boundary-ratification"
   },
   {
    "AppRouteReferenceId": "rr-authority-expired-ratifier--shared-authority-boundary-detail",
    "FromRoute": "authority-expired-ratifier",
    "ToRoute": "shared-authority-boundary-detail",
    "SemanticTypeIri": "urn:effortless:pko-extension#AppRouteReference",
    "Name": "authority-expired-ratifier -&gt; shared-authority-boundary-detail"
   },
   {
    "AppRouteReferenceId": "rr-authority-orphaned-provenance--hr-departed-holders",
    "FromRoute": "authority-orphaned-provenance",
    "ToRoute": "hr-departed-holders",
    "SemanticTypeIri": "urn:effortless:pko-extension#AppRouteReference",
    "Name": "authority-orphaned-provenance -&gt; hr-departed-holders"
   },
   {
    "AppRouteReferenceId": "rr-authority-orphaned-provenance--authority-elicitation-monoculture",
    "FromRoute": "authority-orphaned-provenance",
    "ToRoute": "authority-elicitation-monoculture",
    "SemanticTypeIri": "urn:effortless:pko-extension#AppRouteReference",
    "Name": "authority-orphaned-provenance -&gt; authority-elicitation-monoculture"
   },
   {
    "AppRouteReferenceId": "rr-authority-unwitnessed-change--controller-home",
    "FromRoute": "authority-unwitnessed-change",
    "ToRoute": "controller-home",
    "SemanticTypeIri": "urn:effortless:pko-extension#AppRouteReference",
    "Name": "authority-unwitnessed-change -&gt; controller-home"
   },
   {
    "AppRouteReferenceId": "rr-authority-unwitnessed-change--shared-change-request-detail",
    "FromRoute": "authority-unwitnessed-change",
    "ToRoute": "shared-change-request-detail",
    "SemanticTypeIri": "urn:effortless:pko-extension#AppRouteReference",
    "Name": "authority-unwitnessed-change -&gt; shared-change-request-detail"
   },
   {
    "AppRouteReferenceId": "rr-authority-stale-elicitation--hr-knowledge-half-life",
    "FromRoute": "authority-stale-elicitation",
    "ToRoute": "hr-knowledge-half-life",
    "SemanticTypeIri": "urn:effortless:pko-extension#AppRouteReference",
    "Name": "authority-stale-elicitation -&gt; hr-knowledge-half-life"
   },
   {
    "AppRouteReferenceId": "rr-authority-stale-elicitation--shared-elicitation-detail",
    "FromRoute": "authority-stale-elicitation",
    "ToRoute": "shared-elicitation-detail",
    "SemanticTypeIri": "urn:effortless:pko-extension#AppRouteReference",
    "Name": "authority-stale-elicitation -&gt; shared-elicitation-detail"
   },
   {
    "AppRouteReferenceId": "rr-authority-elicitation-monoculture--authority-orphaned-provenance",
    "FromRoute": "authority-elicitation-monoculture",
    "ToRoute": "authority-orphaned-provenance",
    "SemanticTypeIri": "urn:effortless:pko-extension#AppRouteReference",
    "Name": "authority-elicitation-monoculture -&gt; authority-orphaned-provenance"
   },
   {
    "AppRouteReferenceId": "rr-authority-elicitation-monoculture--shared-elicitation-detail",
    "FromRoute": "authority-elicitation-monoculture",
    "ToRoute": "shared-elicitation-detail",
    "SemanticTypeIri": "urn:effortless:pko-extension#AppRouteReference",
    "Name": "authority-elicitation-monoculture -&gt; shared-elicitation-detail"
   },
   {
    "AppRouteReferenceId": "rr-authority-known-unknowns--steward-open-gaps",
    "FromRoute": "authority-known-unknowns",
    "ToRoute": "steward-open-gaps",
    "SemanticTypeIri": "urn:effortless:pko-extension#AppRouteReference",
    "Name": "authority-known-unknowns -&gt; steward-open-gaps"
   },
   {
    "AppRouteReferenceId": "rr-authority-known-unknowns--shared-knowledge-gap-detail",
    "FromRoute": "authority-known-unknowns",
    "ToRoute": "shared-knowledge-gap-detail",
    "SemanticTypeIri": "urn:effortless:pko-extension#AppRouteReference",
    "Name": "authority-known-unknowns -&gt; shared-knowledge-gap-detail"
   },
   {
    "AppRouteReferenceId": "rr-authority-review-date-inferred--shared-field-provenance",
    "FromRoute": "authority-review-date-inferred",
    "ToRoute": "shared-field-provenance",
    "SemanticTypeIri": "urn:effortless:pko-extension#AppRouteReference",
    "Name": "authority-review-date-inferred -&gt; shared-field-provenance"
   },
   {
    "AppRouteReferenceId": "rr-authority-review-date-inferred--authority-fragment-decay",
    "FromRoute": "authority-review-date-inferred",
    "ToRoute": "authority-fragment-decay",
    "SemanticTypeIri": "urn:effortless:pko-extension#AppRouteReference",
    "Name": "authority-review-date-inferred -&gt; authority-fragment-decay"
   },
   {
    "AppRouteReferenceId": "rr-shared-step-execution-detail--shared-requirement-detail",
    "FromRoute": "shared-step-execution-detail",
    "ToRoute": "shared-requirement-detail",
    "SemanticTypeIri": "urn:effortless:pko-extension#AppRouteReference",
    "Name": "shared-step-execution-detail -&gt; shared-requirement-detail"
   },
   {
    "AppRouteReferenceId": "rr-shared-step-execution-detail--shared-verification-outcomes",
    "FromRoute": "shared-step-execution-detail",
    "ToRoute": "shared-verification-outcomes",
    "SemanticTypeIri": "urn:effortless:pko-extension#AppRouteReference",
    "Name": "shared-step-execution-detail -&gt; shared-verification-outcomes"
   },
   {
    "AppRouteReferenceId": "rr-shared-requirement-detail--controller-witness-scope",
    "FromRoute": "shared-requirement-detail",
    "ToRoute": "controller-witness-scope",
    "SemanticTypeIri": "urn:effortless:pko-extension#AppRo</t>
  </si>
  <si>
    <t xml:space="preserve">uteReference",
    "Name": "shared-requirement-detail -&gt; controller-witness-scope"
   },
   {
    "AppRouteReferenceId": "rr-shared-requirement-detail--shared-step-execution-detail",
    "FromRoute": "shared-requirement-detail",
    "ToRoute": "shared-step-execution-detail",
    "SemanticTypeIri": "urn:effortless:pko-extension#AppRouteReference",
    "Name": "shared-requirement-detail -&gt; shared-step-execution-detail"
   },
   {
    "AppRouteReferenceId": "rr-shared-knowledge-fragment-detail--authority-fragment-decay",
    "FromRoute": "shared-knowledge-fragment-detail",
    "ToRoute": "authority-fragment-decay",
    "SemanticTypeIri": "urn:effortless:pko-extension#AppRouteReference",
    "Name": "shared-knowledge-fragment-detail -&gt; authority-fragment-decay"
   },
   {
    "AppRouteReferenceId": "rr-shared-knowledge-fragment-detail--hr-load-bearing-claim",
    "FromRoute": "shared-knowledge-fragment-detail",
    "ToRoute": "hr-load-bearing-claim",
    "SemanticTypeIri": "urn:effortless:pko-extension#AppRouteReference",
    "Name": "shared-knowledge-fragment-detail -&gt; hr-load-bearing-claim"
   },
   {
    "AppRouteReferenceId": "rr-shared-change-request-detail--steward-stalled-changes",
    "FromRoute": "shared-change-request-detail",
    "ToRoute": "steward-stalled-changes",
    "SemanticTypeIri": "urn:effortless:pko-extension#AppRouteReference",
    "Name": "shared-change-request-detail -&gt; steward-stalled-changes"
   },
   {
    "AppRouteReferenceId": "rr-shared-change-request-detail--hr-backlog",
    "FromRoute": "shared-change-request-detail",
    "ToRoute": "hr-backlog",
    "SemanticTypeIri": "urn:effortless:pko-extension#AppRouteReference",
    "Name": "shared-change-request-detail -&gt; hr-backlog"
   },
   {
    "AppRouteReferenceId": "rr-shared-exception-detail--publisher-refusals",
    "FromRoute": "shared-exception-detail",
    "ToRoute": "publisher-refusals",
    "SemanticTypeIri": "urn:effortless:pko-extension#AppRouteReference",
    "Name": "shared-exception-detail -&gt; publisher-refusals"
   },
   {
    "AppRouteReferenceId": "rr-shared-exception-detail--analyst-late-steps",
    "FromRoute": "shared-exception-detail",
    "ToRoute": "analyst-late-steps",
    "SemanticTypeIri": "urn:effortless:pko-extension#AppRouteReference",
    "Name": "shared-exception-detail -&gt; analyst-late-steps"
   },
   {
    "AppRouteReferenceId": "rr-shared-role-assignment-detail--controller-authority-validity",
    "FromRoute": "shared-role-assignment-detail",
    "ToRoute": "controller-authority-validity",
    "SemanticTypeIri": "urn:effortless:pko-extension#AppRouteReference",
    "Name": "shared-role-assignment-detail -&gt; controller-authority-validity"
   },
   {
    "AppRouteReferenceId": "rr-shared-role-assignment-detail--variance-authority",
    "FromRoute": "shared-role-assignment-detail",
    "ToRoute": "variance-authority",
    "SemanticTypeIri": "urn:effortless:pko-extension#AppRouteReference",
    "Name": "shared-role-assignment-detail -&gt; variance-authority"
   },
   {
    "AppRouteReferenceId": "rr-shared-operational-binding-detail--analyst-source-freshness",
    "FromRoute": "shared-operational-binding-detail",
    "ToRoute": "analyst-source-freshness",
    "SemanticTypeIri": "urn:effortless:pko-extension#AppRouteReference",
    "Name": "shared-operational-binding-detail -&gt; analyst-source-freshness"
   },
   {
    "AppRouteReferenceId": "rr-shared-operational-binding-detail--close-auto-inputs",
    "FromRoute": "shared-operational-binding-detail",
    "ToRoute": "close-auto-inputs",
    "SemanticTypeIri": "urn:effortless:pko-extension#AppRouteReference",
    "Name": "shared-operational-binding-detail -&gt; close-auto-inputs"
   },
   {
    "AppRouteReferenceId": "rr-shared-delivery-detail--comms-yield",
    "FromRoute": "shared-delivery-detail",
    "ToRoute": "comms-yield",
    "SemanticTypeIri": "urn:effortless:pko-extension#AppRouteReference",
    "Name": "shared-delivery-detail -&gt; comms-yield"
   },
   {
    "AppRouteReferenceId": "rr-shared-delivery-detail--comms-frozen-approval",
    "FromRoute": "shared-delivery-detail",
    "ToRoute": "comms-frozen-approval",
    "SemanticTypeIri": "urn:effortless:pko-extension#AppRouteReference",
    "Name": "shared-delivery-detail -&gt; comms-frozen-approval"
   },
   {
    "AppRouteReferenceId": "rr-shared-recipient-detail--comms-suppression",
    "FromRoute": "shared-recipient-detail",
    "ToRoute": "comms-suppression",
    "SemanticTypeIri": "urn:effortless:pko-extension#AppRouteReference",
    "Name": "shared-recipient-detail -&gt; comms-suppression"
   },
   {
    "AppRouteReferenceId": "rr-shared-recipient-detail--counsel-consent",
    "FromRoute": "shared-recipient-detail",
    "ToRoute": "counsel-consent",
    "SemanticTypeIri": "urn:effortless:pko-extension#AppRouteReference",
    "Name": "shared-recipient-detail -&gt; counsel-consent"
   },
   {
    "AppRouteReferenceId": "rr-shared-template-detail--comms-template-drift",
    "FromRoute": "shared-template-detail",
    "ToRoute": "comms-template-drift",
    "SemanticTypeIri": "urn:effortless:pko-extension#AppRouteReference",
    "Name": "shared-template-detail -&gt; comms-template-drift"
   },
   {
    "AppRouteReferenceId": "rr-shared-template-detail--comms-approval-authority",
    "FromRoute": "shared-template-detail",
    "ToRoute": "comms-approval-authority",
    "SemanticTypeIri": "urn:effortless:pko-extension#AppRouteReference",
    "Name": "shared-template-detail -&gt; comms-approval-authority"
   },
   {
    "AppRouteReferenceId": "rr-shared-procedure-version-detail--steward-orphans",
    "FromRoute": "shared-procedure-version-detail",
    "ToRoute": "steward-orphans",
    "SemanticTypeIri": "urn:effortless:pko-extension#AppRouteReference",
    "Name": "shared-procedure-version-detail -&gt; steward-orphans"
   },
   {
    "AppRouteReferenceId": "rr-shared-procedure-version-detail--controller-conformance",
    "FromRoute": "shared-procedure-version-detail",
    "ToRoute": "controller-conformance",
    "SemanticTypeIri": "urn:effortless:pko-extension#AppRouteReference",
    "Name": "shared-procedure-version-detail -&gt; controller-conformance"
   },
   {
    "AppRouteReferenceId": "rr-shared-knowledge-gap-detail--steward-open-gaps",
    "FromRoute": "shared-knowledge-gap-detail",
    "ToRoute": "steward-open-gaps",
    "SemanticTypeIri": "urn:effortless:pko-extension#AppRouteReference",
    "Name": "shared-knowledge-gap-detail -&gt; steward-open-gaps"
   },
   {
    "AppRouteReferenceId": "rr-shared-knowledge-gap-detail--authority-known-unknowns",
    "FromRoute": "shared-knowledge-gap-detail",
    "ToRoute": "authority-known-unknowns",
    "SemanticTypeIri": "urn:effortless:pko-extension#AppRouteReference",
    "Name": "shared-knowledge-gap-detail -&gt; authority-known-unknowns"
   },
   {
    "AppRouteReferenceId": "rr-shared-verification-outcomes--cfo-witness-chain",
    "FromRoute": "shared-verification-outcomes",
    "ToRoute": "cfo-witness-chain",
    "SemanticTypeIri": "urn:effortless:pko-extension#AppRouteReference",
    "Name": "shared-verification-outcomes -&gt; cfo-witness-chain"
   },
   {
    "AppRouteReferenceId": "rr-shared-verification-outcomes--analyst-verification-performed",
    "FromRoute": "shared-verification-outcomes",
    "ToRoute": "analyst-verification-performed",
    "SemanticTypeIri": "urn:effortless:pko-extension#AppRouteReference",
    "Name": "shared-verification-outcomes -&gt; analyst-verification-performed"
   },
   {
    "AppRouteReferenceId": "rr-shared-review-event-detail--steward-cadence",
    "FromRoute": "shared-review-event-detail",
    "ToRoute": "steward-cadence",
    "SemanticTypeIri": "urn:effortless:pko-extension#AppRouteReference",
    "Name": "shared-review-event-detail -&gt; steward-cadence"
   },
   {
    "AppRouteReferenceId": "rr-shared-review-event-detail--counsel-legal-review",
    "FromRoute": "shared-review-event-detail",
    "ToRoute": "counsel-legal-review",
    "SemanticTypeIri": "urn:effortless:pko-extension#AppRouteReference",
    "Name": "shared-review-event-detail -&gt; counsel-legal-review"
   },
   {
    "AppRouteReferenceId": "rr-shared-elicitation-detail--authority-elicitation-monoculture",
    "FromRoute": "shared-elicitation-detail",
    "ToRoute": "authority-elicitation-monoculture",
    "SemanticTypeIri": "urn:effortless:pko-extension#AppRouteReference",
    "Name": "shared-elicitation-detail -&gt; authority-elicitation-monoculture"
   },
   {
    "AppRouteReferenceId": "rr-shared-elicitation-detail--authority-stale-elicitation",
    "FromRoute": "shared-elicitation-detail",
    "ToRoute": "authority-stale-elicitation",
    "SemanticTypeIri": "urn:effortless:pko-extension#AppRouteReference",
    "Name": "shared-elicitation-detail -&gt; authority-stale-elicitation"
   },
   {
    "AppRouteReferenceId": "rr-shared-transition-detail--steward-fallbacks",
    "FromRoute": "shared-transition-detail",
    "ToRoute": "steward-fallbacks",
    "SemanticTypeIri": "urn:effortless:pko-extension#AppRouteReference",
    "Name": "shared-transition-detail -&gt; steward-fallbacks"
   },
   {
    "AppRouteReferenceId": "rr-shared-transition-detail--shared-step-execution-detail",
    "FromRoute": "shared-transition-detail",
    "ToRoute": "shared-step-execution-detail",
    "SemanticTypeIri": "urn:effortless:pko-extension#AppRouteReference",
    "Name": "shared-transition-detail -&gt; shared-step-execution-detail"
   },
   {
    "AppRouteReferenceId": "rr-shared-authority-boundary-detail--authority-expired-ratifier",
    "FromRoute": "shared-authority-boundary-detail",
    "ToRoute": "authority-expired-ratifier",
    "SemanticTypeIri": "urn:effortless:pko-extension#AppRouteReference",
    "Name": "shared-authority-boundary-detail -&gt; authority-expired-ratifier"
   },
   {
    "AppRouteReferenceId": "rr-shared-authority-boundary-detail--variance-boundary",
    "FromRoute": "shared-authority-boundary-detail",
    "ToRoute": "variance-boundary",
    "SemanticTypeIri": "urn:effortless:pko-extension#AppRouteReference",
    "Name": "shared-authority-boundary-detail -&gt; variance-boundary"
   },
   {
    "AppRouteReferenceId": "rr-shared-evaluation-context--cfo-restatement",
    "FromRoute": "shared-evaluation-context",
    "ToRoute": "cfo-restatement",
    "SemanticTypeIri": "urn:effortless:pko-extension#AppRouteReference",
    "Name": "shared-evaluation-context -&gt; cfo-restatement"
   },
   {
    "AppRouteReferenceId": "rr-shared-evaluation-context--analyst-stale-then-vs-now",
    "FromRoute": "shared-evaluation-context",
    "ToRoute": "analyst-stale-then-vs-now",
    "SemanticTypeIri": "urn:effortless:pko-extension#AppRouteReference",
    "Name": "shared-evaluation-context -&gt; analyst-stale-then-vs-now"
   },
   {
    "AppRouteReferenceId": "rr-shared-field-provenance--steward-hardcoded-predicates",
    "FromRoute": "shared-field-provenance",
    "ToRoute": "steward-hardcoded-predicates",
    "SemanticTypeIri": "urn:effortless:pko-extension#AppRouteReference",
    "Name": "shared-field-provenance -&gt; steward-hardcoded-predicates"
   },
   {
    "AppRouteReferenceId": "rr-shared-field-provenance--authority-review-date-inferred",
    "FromRoute": "shared-field-provenance",
    "ToRoute": "authority-review-date-inferred",
    "SemanticTypeIri": "urn:effortless:pko-extension#AppRouteReference",
    "Name": "shared-field-provenance -&gt; authority-review-date-inferred"
   },
   {
    "AppRouteReferenceId": "rr-admin-board--admin-checks",
    "FromRoute": "admin-board",
    "ToRoute": "admin-checks",
    "SemanticTypeIri": "urn:effortless:pko-extension#AppRouteReference",
    "Name": "admin-board -&gt; admin-checks"
   },
   {
    "AppRouteReferenceId": "rr-admin-board--admin-witnesses",
    "FromRoute": "admin-board",
    "ToRoute": "admin-witnesses",
    "SemanticTypeIri": "urn:effortless:pko-extension#AppRouteReference",
    "Name": "admin-board -&gt; admin-witnesses"
   },
   {
    "AppRouteReferenceId": "rr-admin-checks--admin-board",
    "FromRoute": "admin-checks",
    "ToRoute": "admin-board",
    "SemanticTypeIri": "urn:effortless:pko-extension#AppRouteReference",
    "Name": "admin-checks -&gt; admin-board"
   },
   {
    "AppRouteReferenceId": "rr-admin-checks--admin-question-defence",
    "FromRoute": "admin-checks",
    "ToRoute": "admin-question-defence",
    "SemanticTypeIri": "urn:effortless:pko-extension#AppRouteReference",
    "Name": "admin-checks -&gt; admin-question-defence"
   },
   {
    "AppRouteReferenceId": "rr-admin-witnesses--admin-vacuous",
    "FromRoute": "admin-witnesses",
    "ToRoute": "admin-vacuous",
    "SemanticTypeIri": "urn:effortless:pko-extension#AppRouteReference",
    "Name": "admin-witnesses -&gt; admin-vacuous"
   },
   {
    "AppRouteReferenceId": "rr-admin-witnesses--shared-field-provenance",
    "FromRoute": "admin-witnesses",
    "ToRoute": "shared-field-provenance",
    "SemanticTypeIri": "urn:effortless:pko-extension#AppRouteReference",
    "Name": "admin-witnesses -&gt; shared-field-provenance"
   },
   {
    "AppRouteReferenceId": "rr-admin-vacuous--admin-witnesses",
    "FromRoute": "admin-vacuous",
    "ToRoute": "admin-witnesses",
    "SemanticTypeIri": "urn:effortless:pko-extension#AppRouteReference",
    "Name": "admin-vacuous -&gt; admin-witnesses"
   },
   {
    "AppRouteReferenceId": "rr-admin-vacuous--admin-loops",
    "FromRoute": "admin-vacuous",
    "ToRoute": "admin-loops",
    "SemanticTypeIri": "urn:effortless:pko-extension#AppRouteReference",
    "Name": "admin-vacuous -&gt; admin-loops"
   },
   {
    "AppRouteReferenceId": "rr-admin-loops--admin-question-defence",
    "FromRoute": "admin-loops",
    "ToRoute": "admin-question-defence",
    "SemanticTypeIri": "urn:effortless:pko-extension#AppRouteReference",
    "Name": "admin-loops -&gt; admin-question-defence"
   },
   {
    "AppRouteReferenceId": "rr-admin-loops--shared-field-provenance",
    "FromRoute": "admin-loops",
    "ToRoute": "shared-field-provenance",
    "SemanticTypeIri": "urn:effortless:pko-extension#AppRouteReference",
    "Name": "admin-loops -&gt; shared-field-provenance"
   },
   {
    "AppRouteReferenceId": "rr-admin-question-defence--admin-loops",
    "FromRoute": "admin-question-defence",
    "ToRoute": "admin-loops",
    "SemanticTypeIri": "urn:effortless:pko-extension#AppRouteReference",
    "Name": "admin-question-defence -&gt; admin-loops"
   },
   {
    "AppRouteReferenceId": "rr-admin-question-defence--admin-checks",
    "FromRoute": "admin-question-defence",
    "ToRoute": "admin-checks",
    "SemanticTypeIri": "urn:effortless:pko-extension#AppRouteReference",
    "Name": "admin-question-defence -&gt; admin-checks"
   },
   {
    "AppRouteReferenceId": "rr-admin-question-defence--admin-route-map",
    "FromRoute": "admin-question-defence",
    "ToRoute": "admin-route-map",
    "SemanticTypeIri": "urn:effortless:pko-extension#AppRouteReference",
    "Name": "admin-question-defence -&gt; admin-route-map"
   },
   {
    "AppRouteReferenceId": "rr-admin-provenance--shared-field-provenance",
    "FromRoute": "admin-provenance",
    "ToRoute": "shared-field-provenance",
    "SemanticTypeIri": "urn:effortless:pko-extension#AppRouteReference",
    "Name": "admin-provenance -&gt; shared-field-provenance"
   },
   {
    "AppRouteReferenceId": "rr-admin-provenance--admin-loops",
    "FromRoute": "admin-provenance",
    "ToRoute": "admin-loops",
    "SemanticTypeIri": "urn:effortless:pko-extension#AppRouteReference",
    "Name": "admin-provenance -&gt; admin-loops"
   },
   {
    "AppRouteReferenceId": "rr-admin-route-map--admin-question-defence",
    "FromRoute": "admin-route-map",
    "ToRoute": "admin-question-defence",
    "SemanticTypeIri": "urn:effortless:pko-extension#AppRouteReference",
    "Name": "admin-route-map -&gt; admin-question-defence"
   },
   {
    "AppRouteReferenceId": "rr-admin-route-map--explorer-tables",
    "FromRoute": "admin-route-map",
    "ToRoute": "explorer-tables",
    "SemanticTypeIri": "urn:effortless:pko-extension#AppRouteReference",
    "Name": "admin-route-map -&gt; explorer-tables"
   },
   {
    "AppRouteReferenceId": "rr-admin-catalog-drift--explorer-inferences",
    "FromRoute": "admin-catalog-drift",
    "ToRoute": "explorer-inferences",
    "SemanticTypeIri": "urn:effortless:pko-extension#AppRouteReference",
    "Name": "admin-catalog-drift -&gt; explorer-inferences"
   },
   {
    "AppRouteReferenceId": "rr-admin-catalog-drift--admin-board",
    "FromRoute": "admin-catalog-drift",
    "ToRoute": "admin-board",
    "SemanticTypeIri": "urn:effortless:pko-extension#AppRouteReference",
    "Name": "admin-catalog-drift -&gt; admin-board"
   },
   {
    "AppRouteReferenceId": "rr-explorer-inferences--explorer-tables",
    "FromRoute": "explorer-inferences",
    "ToRoute": "explorer-tables",
    "SemanticTypeIri": "urn:effortless:pko-extension#AppRouteReference",
    "Name": "explorer-inferences -&gt; explorer-tables"
   },
   {
    "AppRouteReferenceId": "rr-explorer-inferences--shared-field-provenance",
    "FromRoute": "explorer-inferences",
    "ToRoute": "shared-field-provenance",
    "SemanticTypeIri": "urn:effortless:pko-extension#AppRouteReference",
    "Name": "explorer-inferences -&gt; shared-field-provenance"
   },
   {
    "AppRouteReferenceId": "rr-explorer-tables--explorer-table-detail",
    "FromRoute": "explorer-tables",
    "ToRoute": "explorer-table-detail",
    "SemanticTypeIri": "urn:effortless:pko-extension#AppRouteReference",
    "Name": "explorer-tables -&gt; explorer-table-detail"
   },
   {
    "AppRouteReferenceId": "rr-explorer-tables--explorer-inferences",
    "FromRoute": "explorer-tables",
    "ToRoute": "explorer-inferences",
    "SemanticTypeIri": "urn:effortless:pko-extension#AppRouteReference",
    "Name": "explorer-tables -&gt; explorer-inferences"
   },
   {
    "AppRouteReferenceId": "rr-explorer-table-detail--explorer-record",
    "FromRoute": "explorer-table-detail",
    "ToRoute": "explorer-record",
    "SemanticTypeIri": "urn:effortless:pko-extension#AppRouteReference",
    "Name": "explorer-table-detail -&gt; explorer-record"
   },
   {
    "AppRouteReferenceId": "rr-explorer-table-detail--shared-field-provenance",
    "FromRoute": "explorer-table-detail",
    "ToRoute": "shared-field-provenance",
    "SemanticTypeIri": "urn:effortless:pko-extension#AppRouteReference",
    "Name": "explorer-table-detail -&gt; shared-field-provenance"
   },
   {
    "AppRouteReferenceId": "rr-explorer-record--explorer-table-detail",
    "FromRoute": "explorer-record",
    "ToRoute": "explorer-table-detail",
    "SemanticTypeIri": "urn:effortless:pko-extension#AppRouteReference",
    "Name": "explorer-record -&gt; explorer-table-detail"
   },
   {
    "AppRouteReferenceId": "rr-explorer-record--shared-field-provenance",
    "FromRoute": "explorer-record",
    "ToRoute": "shared-field-provenance",
    "SemanticTypeIri": "urn:effortless:pko-extension#AppRouteReference",
    "Name": "explorer-record -&gt; shared-field-provenance"
   }
  ]
 },
 "RulebookTables": {
  "Description": "Census of every table in this rulebook. The table-level counterpart to RulebookFields, and the anchor every access policy points at. Derived by tools/reconcile_field_catalog.py -- never hand-maintained.",
  "important": true,
  "schema": [
   {
    "name": "RulebookTableId",
    "datatype": "string",
    "type": "raw",
    "nullable": false,
    "Description": "Primary key: the rulebook table name, verbatim. rulebook-to-postgres synthesizes a lowercased slug PK for a table with no &lt;Entity&gt;Id and rewrites every FK to it, which broke each formula comparing an FK to TableName."
   },
   {
    "name": "TableName",
    "datatype": "string",
    "type": "raw",
    "nullable": false,
    "Description": "Stored logical identifier: the rulebook table name, e.g. 'Procedures'."
   },
   {
    "name": "Name",
    "datatype": "string",
    "type": "calculated",
    "nullable": true,
    "Description": "Human-readable calculated display alias.",
    "formula": "={{TableName}}"
   },
   {
    "name": "PhysicalTable",
    "datatype": "string",
    "type": "raw",
    "nullable": true,
    "Description": "snake_case Postgres base table name emitted by rulebook-to-postgres."
   },
   {
    "name": "PhysicalView",
    "datatype": "string",
    "type": "raw",
    "nullable": true,
    "Description": "snake_case Postgres view name (vw_*) carrying the computed columns."
   },
   {
    "name": "SubjectArea",
    "datatype": "string",
    "type": "raw",
    "nullable": true,
    "Description": "Coarse grouping used to organise role schemas, e.g. 'execution', 'governance'."
   },
   {
    "name": "IsExtension",
    "datatype": "boolean",
    "type": "raw",
    "nullable": true,
    "Description": "True when this table is an ERB extension rather than a native/aligned PKO term."
   },
   {
    "name": "FieldCount",
    "datatype": "number",
    "type": "aggregation",
    "nullable": true,
    "Description": "Number of catalogued fields on this table.",
    "formula": "=COUNTIFS(RulebookFields!{{TargetTable}}, {{RulebookTableId}})"
   },
   {
    "name": "PolicyCount",
    "datatype": "number",
    "type": "aggregation",
    "nullable": true,
    "Description": "Number of access policies targeting this table.",
    "formula": "=COUNTIFS(AccessPolicies!{{TargetTable}}, {{RulebookTableId}})"
   },
   {
    "name": "IsUnsecured",
    "datatype": "boolean",
    "type": "calculated",
    "nullable": true,
    "Description": "True when RLS is enabled but no policy targets the table, so every principal sees zero rows. A fail-closed table nobody has granted access to.",
    "formula": "={{PolicyCount}} = 0"
   },
   {
    "name": "DisagreeingSubstrateCount",
    "datatype": "number",
    "type": "aggregation",
    "nullable": true,
    "Description": "How many substrates got at least one cell of this table wrong in the latest conformance run.",
    "formula": "=COUNTIFS(TableConformance!{{ImperfectTableKey}}, {{RulebookTableId}})"
   },
   {
    "name": "SemanticTypeIri",
    "datatype": "string",
    "type": "raw",
    "nullable": true,
    "Description": "Semantic type IRI."
   }
  ],
  "data": [
   {
    "RulebookTableId": "AccessDenialTests",
    "TableName": "AccessDenialTests",
    "PhysicalTable": null,
    "PhysicalView": null,
    "SubjectArea": "access-control",
    "IsExtension": true,
    "SemanticTypeIri": "urn:effortless:pko-extension#RulebookTable",
    "Name": "AccessDenialTests",
    "FieldCount": 18,
    "PolicyCount": 0,
    "IsUnsecured": true,
    "DisagreeingSubstrateCount": 1
   },
   {
    "RulebookTableId": "AccessPolicies",
    "TableName": "AccessPolicies",
    "PhysicalTable": null,
    "PhysicalView": null,
    "SubjectArea": "access-control",
    "IsExtension": true,
    "SemanticTypeIri": "urn:effortless:pko-extension#RulebookTable",
    "Name": "AccessPolicies",
    "FieldCount": 16,
    "PolicyCount": 0,
    "IsUnsecured": true,
    "DisagreeingSubstrateCount": 0
   },
   {
    "RulebookTableId": "AccessPrincipals",
    "TableName": "AccessPrincipals",
    "PhysicalTable": null,
    "PhysicalView": null,
    "SubjectArea": "access-control",
    "IsExtension": true,
    "SemanticTypeIri": "urn:effortless:pko-extension#RulebookTable",
    "Name": "AccessPrincipals",
    "FieldCount": 15,
    "PolicyCount": 0,
    "IsUnsecured": true,
    "DisagreeingSubstrateCount": 1
   },
   {
    "RulebookTableId": "Actions",
    "TableName": "Actions",
    "PhysicalTable": "actions",
    "PhysicalView": "vw_actions",
    "SubjectArea": "specification",
    "IsExtension": false,
    "SemanticTypeIri": "urn:effortless:pko-extension#RulebookTable",
    "Name": "Actions",
    "FieldCount": 5,
    "PolicyCount": 2,
    "IsUnsecured": false,
    "DisagreeingSubstrateCount": 0
   },
   {
    "RulebookTableId": "AgentDecisionRecords",
    "TableName": "AgentDecisionRecords",
    "PhysicalTable": "agent_decision_records",
    "PhysicalView": "vw_agent_decision_records",
    "SubjectArea": "org",
    "IsExtension": false,
    "SemanticTypeIri": "urn:effortless:pko-extension#RulebookTable",
    "Name": "AgentDecisionRecords",
    "FieldCount": 40,
    "PolicyCount": 2,
    "IsUnsecured": false,
    "DisagreeingSubstrateCount": 2
   },
   {
    "RulebookTableId": "Agents",
    "TableName": "Agents",
    "PhysicalTable": "agents",
    "PhysicalView": "vw_agents",
    "SubjectArea": "org",
    "IsExtension": false,
    "SemanticTypeIri": "urn:effortless:pko-extension#RulebookTable",
    "Name": "Agents",
    "FieldCount": 23,
    "PolicyCount": 2,
    "IsUnsecured": false,
    "DisagreeingSubstrateCount": 0
   },
   {
    "RulebookTableId": "AppNavGroups",
    "TableName": "AppNavGroups",
    "PhysicalTable": "app_nav_groups",
    "PhysicalView": "vw_app_nav_groups",
    "SubjectArea": "application",
    "IsExtension": true,
    "SemanticTypeIri": "urn:effortless:pko-extension#RulebookTable",
    "Name": "AppNavGroups",
    "FieldCount": 5,
    "PolicyCount": 2,
    "IsUnsecured": false,
    "DisagreeingSubstrateCount": 0
   },
   {
    "RulebookTableId": "AppRoleProfiles",
    "TableName": "AppRoleProfiles",
    "PhysicalTable": "app_role_profiles",
    "PhysicalView": "vw_app_role_profiles",
    "SubjectArea": "org",
    "IsExtension": true,
    "SemanticTypeIri": "urn:effortless:pko-extension#RulebookTable",
    "Name": "AppRoleProfiles",
    "FieldCount": 12,
    "PolicyCount": 2,
    "IsUnsecured": false,
    "DisagreeingSubstrateCount": 1
   },
   {
    "RulebookTableId": "AppRouteQuestions",
    "TableName": "AppRouteQuestions",
    "PhysicalTable": "app_route_questions",
    "PhysicalView": "vw_app_route_questions",
    "SubjectArea": "application",
    "IsExtension": true,
    "SemanticTypeIri": "urn:effortless:pko-extension#RulebookTable",
    "Name": "AppRouteQuestions",
    "FieldCount": 5,
    "PolicyCount": 2,
    "IsUnsecured": false,
    "DisagreeingSubstrateCount": 0
   },
   {
    "RulebookTableId": "AppRouteReferences",
    "TableName": "AppRouteReferences",
    "PhysicalTable": "app_route_references",
    "PhysicalView": "vw_app_route_references",
    "SubjectArea": "application",
    "IsExtension": true,
    "SemanticTypeIri": "urn:effortless:pko-extension#RulebookTable",
    "Name": "AppRouteReferences",
    "FieldCount": 5,
    "PolicyCount": 2,
    "IsUnsecured": false,
    "DisagreeingSubstrateCount": 0
   },
   {
    "RulebookTableId": "AppRoutes",
    "TableName": "AppRoutes",
    "PhysicalTable": "app_routes",
    "PhysicalView": "vw_app_routes",
    "SubjectArea": "application",
    "IsExtension": true,
    "SemanticTypeIri": "urn:effortless:pko-extension#RulebookTable",
    "Name": "AppRoutes",
    "FieldCount": 18,
    "PolicyCount": 2,
    "IsUnsecured": false,
    "DisagreeingSubstrateCount": 0
   },
   {
    "RulebookTableId": "Attestations",
    "TableName": "Attestations",
    "PhysicalTable": "attestations",
    "PhysicalView": "vw_attestations",
    "SubjectArea": "domain",
    "IsExtension": false,
    "SemanticTypeIri": "urn:effortless:pko-extension#RulebookTable",
    "Name": "Attestations",
    "FieldCount": 12,
    "PolicyCount": 2,
    "IsUnsecured": false,
    "DisagreeingSubstrateCount": 0
   },
   {
    "RulebookTableId": "AuthorityBoundaries",
    "TableName": "AuthorityBoundaries",
    "PhysicalTable": "authority_boundaries",
    "PhysicalView": "vw_authority_boundaries",
    "SubjectArea": "governance",
    "IsExtension": false,
    "SemanticTypeIri": "urn:effortless:pko-extension#RulebookTable",
    "Name": "AuthorityBoundaries",
    "FieldCount": 33,
    "PolicyCount": 4,
    "IsUnsecured": false,
    "DisagreeingSubstrateCount": 1
   },
   {
    "RulebookTableId": "BindingObservations",
    "TableName": "BindingObservations",
    "PhysicalTable": "binding_observations",
    "PhysicalView": "vw_binding_observations",
    "SubjectArea": "domain",
    "IsExtension": false,
    "SemanticTypeIri": "urn:effortless:pko-extension#RulebookTable",
    "Name": "BindingObservations",
    "FieldCount": 11,
    "PolicyCount": 2,
    "IsUnsecured": false,
    "DisagreeingSubstrateCount": 0
   },
   {
    "RulebookTableId": "ChangeRequests",
    "TableName": "ChangeRequests",
    "PhysicalTable": "change_requests",
    "PhysicalView": "vw_change_requests",
    "SubjectArea": "domain",
    "IsExtension": false,
    "SemanticTypeIri": "urn:effortless:pko-extension#RulebookTable",
    "Name": "ChangeRequests",
    "FieldCount": 45,
    "PolicyCount": 6,
    "IsUnsecured": false,
    "DisagreeingSubstrateCount": 7
   },
   {
    "RulebookTableId": "CommunicationPolicies",
    "TableName": "CommunicationPolicies",
    "PhysicalTable": "communication_policies",
    "PhysicalView": "vw_communication_policies",
    "SubjectArea": "communication",
    "IsExtension": false,
    "SemanticTypeIri": "urn:effortless:pko-extension#RulebookTable",
    "Name": "CommunicationPolicies",
    "FieldCount": 22,
    "PolicyCount": 6,
    "IsUnsecured": false,
    "DisagreeingSubstrateCount": 0
   },
   {
    "RulebookTableId": "CommunitiesOfPractice",
    "TableName": "CommunitiesOfPractice",
    "PhysicalTable": "communities_of_practice",
    "PhysicalView": "vw_communities_of_practice",
    "SubjectArea": "org",
    "IsExtension": false,
    "SemanticTypeIri": "urn:effortless:pko-extension#RulebookTable",
    "Name": "CommunitiesOfPractice",
    "FieldCount": 8,
    "PolicyCount": 2,
    "IsUnsecured": false,
    "DisagreeingSubstrateCount": 0
   },
   {
    "RulebookTableId": "DeliveredCommunications",
    "TableName": "DeliveredCommunications",
    "PhysicalTable": "delivered_communications",
    "PhysicalView": "vw_delivered_communications",
    "SubjectArea": "communication",
    "IsExtension": false,
    "SemanticTypeIri": "urn:effortless:pko-extension#RulebookTable",
    "Name": "DeliveredCommunications",
    "FieldCount": 18,
    "PolicyCount": 2,
    "IsUnsecured": false,
    "DisagreeingSubstrateCount": 7
   },
   {
    "RulebookTableId": "ERBCustomizations",
    "TableName": "ERBCustomizations",
    "PhysicalTable": null,
    "PhysicalView": null,
    "SubjectArea": "meta",
    "IsExtension": true,
    "SemanticTypeIri": "urn:effortless:pko-extension#RulebookTable",
    "Name": "ERBCustomizations",
    "FieldCount": 6,
    "PolicyCount": 0,
    "IsUnsecured": true,
    "DisagreeingSubstrateCount": 0
   },
   {
    "RulebookTableId": "ERBVersions",
    "TableName": "ERBVersions",
    "PhysicalTable": null,
    "PhysicalView": null,
    "SubjectArea": "meta",
    "IsExtension": true,
    "SemanticTypeIri": "urn:effortless:pko-extension#RulebookTable",
    "Name": "ERBVersions",
    "FieldCount": 7,
    "PolicyCount": 0,
    "IsUnsecured": true,
    "DisagreeingSubstrateCount": 0
   },
   {
    "RulebookTableId": "ElicitationSessions",
    "TableName": "ElicitationSessions",
    "PhysicalTable": "elicitation_sessions",
    "PhysicalView": "vw_elicitation_sessions",
    "SubjectArea": "knowledge",
    "IsExtension": true,
    "SemanticTypeIri": "urn:effortless:pko-extension#RulebookTable",
    "Name": "ElicitationSessions",
    "FieldCount": 21,
    "PolicyCount": 2,
    "IsUnsecured": false,
    "DisagreeingSubstrateCount": 7
   },
   {
    "RulebookTableId": "Errors",
    "TableName": "Errors",
    "PhysicalTable": "errors",
    "PhysicalView": "vw_errors",
    "SubjectArea": "execution",
    "IsExtension": false,
    "SemanticTypeIri": "urn:effortless:pko-extension#RulebookTable",
    "Name": "Errors",
    "FieldCount": 6,
    "PolicyCount": 4,
    "IsUnsecured": false,
    "DisagreeingSubstrateCount": 0
   },
   {
    "RulebookTableId": "EvaluationContexts",
    "TableName": "EvaluationContexts",
    "PhysicalTable": "evaluation_contexts",
    "PhysicalView": "vw_evaluation_contexts",
    "SubjectArea": "meta",
    "IsExtension": true,
    "SemanticTypeIri": "urn:effortless:pko-extension#RulebookTable",
    "Name": "EvaluationContexts",
    "FieldCount": 7,
    "PolicyCount": 2,
    "IsUnsecured": false,
    "DisagreeingSubstrateCount": 6
   },
   {
    "RulebookTableId": "ExceptionInvocations",
    "TableName": "ExceptionInvocations",
    "PhysicalTable": "exception_invocations",
    "PhysicalView": "vw_exception_invocations",
    "SubjectArea": "governance",
    "IsExtension": false,
    "SemanticTypeIri": "urn:effortless:pko-extension#RulebookTable",
    "Name": "ExceptionInvocations",
    "FieldCount": 21,
    "PolicyCount": 2,
    "IsUnsecured": false,
    "DisagreeingSubstrateCount": 0
   },
   {
    "RulebookTableId": "Exceptions",
    "TableName": "Exceptions",
    "PhysicalTable": "exceptions",
    "PhysicalView": "vw_exceptions",
    "SubjectArea": "governance",
    "IsExtension": false,
    "SemanticTypeIri": "urn:effortless:pko-extension#RulebookTable",
    "Name": "Exceptions",
    "FieldCount": 11,
    "PolicyCount": 5,
    "IsUnsecured": false,
  </t>
  </si>
  <si>
    <t xml:space="preserve">  "DisagreeingSubstrateCount": 0
   },
   {
    "RulebookTableId": "Explanations",
    "TableName": "Explanations",
    "PhysicalTable": "explanations",
    "PhysicalView": "vw_explanations",
    "SubjectArea": "knowledge",
    "IsExtension": false,
    "SemanticTypeIri": "urn:effortless:pko-extension#RulebookTable",
    "Name": "Explanations",
    "FieldCount": 7,
    "PolicyCount": 2,
    "IsUnsecured": false,
    "DisagreeingSubstrateCount": 0
   },
   {
    "RulebookTableId": "FAQs",
    "TableName": "FAQs",
    "PhysicalTable": null,
    "PhysicalView": null,
    "SubjectArea": "knowledge",
    "IsExtension": false,
    "SemanticTypeIri": "urn:effortless:pko-extension#RulebookTable",
    "Name": "FAQs",
    "FieldCount": 9,
    "PolicyCount": 0,
    "IsUnsecured": true,
    "DisagreeingSubstrateCount": 1
   },
   {
    "RulebookTableId": "FieldGrants",
    "TableName": "FieldGrants",
    "PhysicalTable": null,
    "PhysicalView": null,
    "SubjectArea": "access-control",
    "IsExtension": true,
    "SemanticTypeIri": "urn:effortless:pko-extension#RulebookTable",
    "Name": "FieldGrants",
    "FieldCount": 14,
    "PolicyCount": 0,
    "IsUnsecured": true,
    "DisagreeingSubstrateCount": 1
   },
   {
    "RulebookTableId": "Functions",
    "TableName": "Functions",
    "PhysicalTable": "functions",
    "PhysicalView": "vw_functions",
    "SubjectArea": "specification",
    "IsExtension": false,
    "SemanticTypeIri": "urn:effortless:pko-extension#RulebookTable",
    "Name": "Functions",
    "FieldCount": 6,
    "PolicyCount": 2,
    "IsUnsecured": false,
    "DisagreeingSubstrateCount": 0
   },
   {
    "RulebookTableId": "IssueOccurrences",
    "TableName": "IssueOccurrences",
    "PhysicalTable": "issue_occurrences",
    "PhysicalView": "vw_issue_occurrences",
    "SubjectArea": "execution",
    "IsExtension": false,
    "SemanticTypeIri": "urn:effortless:pko-extension#RulebookTable",
    "Name": "IssueOccurrences",
    "FieldCount": 12,
    "PolicyCount": 2,
    "IsUnsecured": false,
    "DisagreeingSubstrateCount": 6
   },
   {
    "RulebookTableId": "JwtClaimMappings",
    "TableName": "JwtClaimMappings",
    "PhysicalTable": null,
    "PhysicalView": null,
    "SubjectArea": "access-control",
    "IsExtension": true,
    "SemanticTypeIri": "urn:effortless:pko-extension#RulebookTable",
    "Name": "JwtClaimMappings",
    "FieldCount": 9,
    "PolicyCount": 0,
    "IsUnsecured": true,
    "DisagreeingSubstrateCount": 0
   },
   {
    "RulebookTableId": "KnowledgeFragments",
    "TableName": "KnowledgeFragments",
    "PhysicalTable": "knowledge_fragments",
    "PhysicalView": "vw_knowledge_fragments",
    "SubjectArea": "knowledge",
    "IsExtension": true,
    "SemanticTypeIri": "urn:effortless:pko-extension#RulebookTable",
    "Name": "KnowledgeFragments",
    "FieldCount": 80,
    "PolicyCount": 6,
    "IsUnsecured": false,
    "DisagreeingSubstrateCount": 7
   },
   {
    "RulebookTableId": "KnowledgeGaps",
    "TableName": "KnowledgeGaps",
    "PhysicalTable": "knowledge_gaps",
    "PhysicalView": "vw_knowledge_gaps",
    "SubjectArea": "knowledge",
    "IsExtension": true,
    "SemanticTypeIri": "urn:effortless:pko-extension#RulebookTable",
    "Name": "KnowledgeGaps",
    "FieldCount": 28,
    "PolicyCount": 4,
    "IsUnsecured": false,
    "DisagreeingSubstrateCount": 7
   },
   {
    "RulebookTableId": "LearningActivities",
    "TableName": "LearningActivities",
    "PhysicalTable": "learning_activities",
    "PhysicalView": "vw_learning_activities",
    "SubjectArea": "domain",
    "IsExtension": false,
    "SemanticTypeIri": "urn:effortless:pko-extension#RulebookTable",
    "Name": "LearningActivities",
    "FieldCount": 10,
    "PolicyCount": 2,
    "IsUnsecured": false,
    "DisagreeingSubstrateCount": 6
   },
   {
    "RulebookTableId": "Mentorships",
    "TableName": "Mentorships",
    "PhysicalTable": "mentorships",
    "PhysicalView": "vw_mentorships",
    "SubjectArea": "org",
    "IsExtension": false,
    "SemanticTypeIri": "urn:effortless:pko-extension#RulebookTable",
    "Name": "Mentorships",
    "FieldCount": 10,
    "PolicyCount": 2,
    "IsUnsecured": false,
    "DisagreeingSubstrateCount": 0
   },
   {
    "RulebookTableId": "MessageDeliveries",
    "TableName": "MessageDeliveries",
    "PhysicalTable": "message_deliveries",
    "PhysicalView": "vw_message_deliveries",
    "SubjectArea": "communication",
    "IsExtension": false,
    "SemanticTypeIri": "urn:effortless:pko-extension#RulebookTable",
    "Name": "MessageDeliveries",
    "FieldCount": 94,
    "PolicyCount": 4,
    "IsUnsecured": false,
    "DisagreeingSubstrateCount": 7
   },
   {
    "RulebookTableId": "MessageTemplates",
    "TableName": "MessageTemplates",
    "PhysicalTable": "message_templates",
    "PhysicalView": "vw_message_templates",
    "SubjectArea": "communication",
    "IsExtension": false,
    "SemanticTypeIri": "urn:effortless:pko-extension#RulebookTable",
    "Name": "MessageTemplates",
    "FieldCount": 26,
    "PolicyCount": 5,
    "IsUnsecured": false,
    "DisagreeingSubstrateCount": 1
   },
   {
    "RulebookTableId": "ObservedTransitions",
    "TableName": "ObservedTransitions",
    "PhysicalTable": "observed_transitions",
    "PhysicalView": "vw_observed_transitions",
    "SubjectArea": "specification",
    "IsExtension": false,
    "SemanticTypeIri": "urn:effortless:pko-extension#RulebookTable",
    "Name": "ObservedTransitions",
    "FieldCount": 8,
    "PolicyCount": 2,
    "IsUnsecured": false,
    "DisagreeingSubstrateCount": 6
   },
   {
    "RulebookTableId": "OntologyProfiles",
    "TableName": "OntologyProfiles",
    "PhysicalTable": "ontology_profiles",
    "PhysicalView": "vw_ontology_profiles",
    "SubjectArea": "domain",
    "IsExtension": false,
    "SemanticTypeIri": "urn:effortless:pko-extension#RulebookTable",
    "Name": "OntologyProfiles",
    "FieldCount": 8,
    "PolicyCount": 2,
    "IsUnsecured": false,
    "DisagreeingSubstrateCount": 0
   },
   {
    "RulebookTableId": "OperationalBindings",
    "TableName": "OperationalBindings",
    "PhysicalTable": "operational_bindings",
    "PhysicalView": "vw_operational_bindings",
    "SubjectArea": "domain",
    "IsExtension": true,
    "SemanticTypeIri": "urn:effortless:pko-extension#RulebookTable",
    "Name": "OperationalBindings",
    "FieldCount": 22,
    "PolicyCount": 2,
    "IsUnsecured": false,
    "DisagreeingSubstrateCount": 2
   },
   {
    "RulebookTableId": "Organizations",
    "TableName": "Organizations",
    "PhysicalTable": "organizations",
    "PhysicalView": "vw_organizations",
    "SubjectArea": "org",
    "IsExtension": false,
    "SemanticTypeIri": "urn:effortless:pko-extension#RulebookTable",
    "Name": "Organizations",
    "FieldCount": 6,
    "PolicyCount": 2,
    "IsUnsecured": false,
    "DisagreeingSubstrateCount": 0
   },
   {
    "RulebookTableId": "ProcedureExecutions",
    "TableName": "ProcedureExecutions",
    "PhysicalTable": "procedure_executions",
    "PhysicalView": "vw_procedure_executions",
    "SubjectArea": "specification",
    "IsExtension": false,
    "SemanticTypeIri": "urn:effortless:pko-extension#RulebookTable",
    "Name": "ProcedureExecutions",
    "FieldCount": 78,
    "PolicyCount": 5,
    "IsUnsecured": false,
    "DisagreeingSubstrateCount": 3
   },
   {
    "RulebookTableId": "ProcedureResources",
    "TableName": "ProcedureResources",
    "PhysicalTable": "procedure_resources",
    "PhysicalView": "vw_procedure_resources",
    "SubjectArea": "specification",
    "IsExtension": false,
    "SemanticTypeIri": "urn:effortless:pko-extension#RulebookTable",
    "Name": "ProcedureResources",
    "FieldCount": 6,
    "PolicyCount": 2,
    "IsUnsecured": false,
    "DisagreeingSubstrateCount": 0
   },
   {
    "RulebookTableId": "ProcedureStatusChanges",
    "TableName": "ProcedureStatusChanges",
    "PhysicalTable": "procedure_status_changes",
    "PhysicalView": "vw_procedure_status_changes",
    "SubjectArea": "specification",
    "IsExtension": false,
    "SemanticTypeIri": "urn:effortless:pko-extension#RulebookTable",
    "Name": "ProcedureStatusChanges",
    "FieldCount": 9,
    "PolicyCount": 2,
    "IsUnsecured": false,
    "DisagreeingSubstrateCount": 0
   },
   {
    "RulebookTableId": "ProcedureTypes",
    "TableName": "ProcedureTypes",
    "PhysicalTable": "procedure_types",
    "PhysicalView": "vw_procedure_types",
    "SubjectArea": "specification",
    "IsExtension": false,
    "SemanticTypeIri": "urn:effortless:pko-extension#RulebookTable",
    "Name": "ProcedureTypes",
    "FieldCount": 5,
    "PolicyCount": 2,
    "IsUnsecured": false,
    "DisagreeingSubstrateCount": 0
   },
   {
    "RulebookTableId": "ProcedureVersionLinks",
    "TableName": "ProcedureVersionLinks",
    "PhysicalTable": "procedure_version_links",
    "PhysicalView": "vw_procedure_version_links",
    "SubjectArea": "specification",
    "IsExtension": false,
    "SemanticTypeIri": "urn:effortless:pko-extension#RulebookTable",
    "Name": "ProcedureVersionLinks",
    "FieldCount": 7,
    "PolicyCount": 2,
    "IsUnsecured": false,
    "DisagreeingSubstrateCount": 1
   },
   {
    "RulebookTableId": "ProcedureVersions",
    "TableName": "ProcedureVersions",
    "PhysicalTable": "procedure_versions",
    "PhysicalView": "vw_procedure_versions",
    "SubjectArea": "specification",
    "IsExtension": false,
    "SemanticTypeIri": "urn:effortless:pko-extension#RulebookTable",
    "Name": "ProcedureVersions",
    "FieldCount": 86,
    "PolicyCount": 4,
    "IsUnsecured": false,
    "DisagreeingSubstrateCount": 7
   },
   {
    "RulebookTableId": "Procedures",
    "TableName": "Procedures",
    "PhysicalTable": "procedures",
    "PhysicalView": "vw_procedures",
    "SubjectArea": "specification",
    "IsExtension": false,
    "SemanticTypeIri": "urn:effortless:pko-extension#RulebookTable",
    "Name": "Procedures",
    "FieldCount": 11,
    "PolicyCount": 4,
    "IsUnsecured": false,
    "DisagreeingSubstrateCount": 0
   },
   {
    "RulebookTableId": "Rationales",
    "TableName": "Rationales",
    "PhysicalTable": "rationales",
    "PhysicalView": "vw_rationales",
    "SubjectArea": "governance",
    "IsExtension": false,
    "SemanticTypeIri": "urn:effortless:pko-extension#RulebookTable",
    "Name": "Rationales",
    "FieldCount": 9,
    "PolicyCount": 2,
    "IsUnsecured": false,
    "DisagreeingSubstrateCount": 0
   },
   {
    "RulebookTableId": "Recipients",
    "TableName": "Recipients",
    "PhysicalTable": "recipients",
    "PhysicalView": "vw_recipients",
    "SubjectArea": "communication",
    "IsExtension": false,
    "SemanticTypeIri": "urn:effortless:pko-extension#RulebookTable",
    "Name": "Recipients",
    "FieldCount": 15,
    "PolicyCount": 4,
    "IsUnsecured": false,
    "DisagreeingSubstrateCount": 0
   },
   {
    "RulebookTableId": "RequirementSatisfactions",
    "TableName": "RequirementSatisfactions",
    "PhysicalTable": "requirement_satisfactions",
    "PhysicalView": "vw_requirement_satisfactions",
    "SubjectArea": "execution",
    "IsExtension": false,
    "SemanticTypeIri": "urn:effortless:pko-extension#RulebookTable",
    "Name": "RequirementSatisfactions",
    "FieldCount": 46,
    "PolicyCount": 4,
    "IsUnsecured": false,
    "DisagreeingSubstrateCount": 1
   },
   {
    "RulebookTableId": "Requirements",
    "TableName": "Requirements",
    "PhysicalTable": "requirements",
    "PhysicalView": "vw_requirements",
    "SubjectArea": "governance",
    "IsExtension": false,
    "SemanticTypeIri": "urn:effortless:pko-extension#RulebookTable",
    "Name": "Requirements",
    "FieldCount": 43,
    "PolicyCount": 5,
    "IsUnsecured": false,
    "DisagreeingSubstrateCount": 7
   },
   {
    "RulebookTableId": "Resources",
    "TableName": "Resources",
    "PhysicalTable": "resources",
    "PhysicalView": "vw_resources",
    "SubjectArea": "domain",
    "IsExtension": false,
    "SemanticTypeIri": "urn:effortless:pko-extension#RulebookTable",
    "Name": "Resources",
    "FieldCount": 11,
    "PolicyCount": 2,
    "IsUnsecured": false,
    "DisagreeingSubstrateCount": 0
   },
   {
    "RulebookTableId": "ReviewEvents",
    "TableName": "ReviewEvents",
    "PhysicalTable": "review_events",
    "PhysicalView": "vw_review_events",
    "SubjectArea": "domain",
    "IsExtension": false,
    "SemanticTypeIri": "urn:effortless:pko-extension#RulebookTable",
    "Name": "ReviewEvents",
    "FieldCount": 20,
    "PolicyCount": 2,
    "IsUnsecured": false,
    "DisagreeingSubstrateCount": 7
   },
   {
    "RulebookTableId": "RoleAssignments",
    "TableName": "RoleAssignments",
    "PhysicalTable": "role_assignments",
    "PhysicalView": "vw_role_assignments",
    "SubjectArea": "org",
    "IsExtension": false,
    "SemanticTypeIri": "urn:effortless:pko-extension#RulebookTable",
    "Name": "RoleAssignments",
    "FieldCount": 65,
    "PolicyCount": 2,
    "IsUnsecured": false,
    "DisagreeingSubstrateCount": 7
   },
   {
    "RulebookTableId": "RoleQuestions",
    "TableName": "RoleQuestions",
    "PhysicalTable": "role_questions",
    "PhysicalView": "vw_role_questions",
    "SubjectArea": "org",
    "IsExtension": true,
    "SemanticTypeIri": "urn:effortless:pko-extension#RulebookTable",
    "Name": "RoleQuestions",
    "FieldCount": 11,
    "PolicyCount": 2,
    "IsUnsecured": false,
    "DisagreeingSubstrateCount": 1
   },
   {
    "RulebookTableId": "RoleSchemaViews",
    "TableName": "RoleSchemaViews",
    "PhysicalTable": null,
    "PhysicalView": null,
    "SubjectArea": "org",
    "IsExtension": true,
    "SemanticTypeIri": "urn:effortless:pko-extension#RulebookTable",
    "Name": "RoleSchemaViews",
    "FieldCount": 14,
    "PolicyCount": 0,
    "IsUnsecured": true,
    "DisagreeingSubstrateCount": 1
   },
   {
    "RulebookTableId": "RoleSchemas",
    "TableName": "RoleSchemas",
    "PhysicalTable": null,
    "PhysicalView": null,
    "SubjectArea": "org",
    "IsExtension": true,
    "SemanticTypeIri": "urn:effortless:pko-extension#RulebookTable",
    "Name": "RoleSchemas",
    "FieldCount": 9,
    "PolicyCount": 0,
    "IsUnsecured": true,
    "DisagreeingSubstrateCount": 0
   },
   {
    "RulebookTableId": "Roles",
    "TableName": "Roles",
    "PhysicalTable": "roles",
    "PhysicalView": "vw_roles",
    "SubjectArea": "org",
    "IsExtension": false,
    "SemanticTypeIri": "urn:effortless:pko-extension#RulebookTable",
    "Name": "Roles",
    "FieldCount": 24,
    "PolicyCount": 2,
    "IsUnsecured": false,
    "DisagreeingSubstrateCount": 1
   },
   {
    "RulebookTableId": "RulebookFields",
    "TableName": "RulebookFields",
    "PhysicalTable": "rulebook_fields",
    "PhysicalView": "vw_rulebook_fields",
    "SubjectArea": "access-control",
    "IsExtension": true,
    "SemanticTypeIri": "urn:effortless:pko-extension#RulebookTable",
    "Name": "RulebookFields",
    "FieldCount": 13,
    "PolicyCount": 2,
    "IsUnsecured": false,
    "DisagreeingSubstrateCount": 0
   },
   {
    "RulebookTableId": "RulebookReleases",
    "TableName": "RulebookReleases",
    "PhysicalTable": "rulebook_releases",
    "PhysicalView": "vw_rulebook_releases",
    "SubjectArea": "meta",
    "IsExtension": true,
    "SemanticTypeIri": "urn:effortless:pko-extension#RulebookTable",
    "Name": "RulebookReleases",
    "FieldCount": 11,
    "PolicyCount": 2,
    "IsUnsecured": false,
    "DisagreeingSubstrateCount": 1
   },
   {
    "RulebookTableId": "RulebookTables",
    "TableName": "RulebookTables",
    "PhysicalTable": null,
    "PhysicalView": null,
    "SubjectArea": "meta",
    "IsExtension": true,
    "SemanticTypeIri": "urn:effortless:pko-extension#RulebookTable",
    "Name": "RulebookTables",
    "FieldCount": 12,
    "PolicyCount": 0,
    "IsUnsecured": true,
    "DisagreeingSubstrateCount": 1
   },
   {
    "RulebookTableId": "SemanticMappings",
    "TableName": "SemanticMappings",
    "PhysicalTable": "semantic_mappings",
    "PhysicalView": "vw_semantic_mappings",
    "SubjectArea": "meta",
    "IsExtension": true,
    "SemanticTypeIri": "urn:effortless:pko-extension#RulebookTable",
    "Name": "SemanticMappings",
    "FieldCount": 8,
    "PolicyCount": 2,
    "IsUnsecured": false,
    "DisagreeingSubstrateCount": 0
   },
   {
    "RulebookTableId": "SendIntents",
    "TableName": "SendIntents",
    "PhysicalTable": "send_intents",
    "PhysicalView": "vw_send_intents",
    "SubjectArea": "communication",
    "IsExtension": false,
    "SemanticTypeIri": "urn:effortless:pko-extension#RulebookTable",
    "Name": "SendIntents",
    "FieldCount": 100,
    "PolicyCount": 4,
    "IsUnsecured": false,
    "DisagreeingSubstrateCount": 7
   },
   {
    "RulebookTableId": "StepActions",
    "TableName": "StepActions",
    "PhysicalTable": "step_actions",
    "PhysicalView": "vw_step_actions",
    "SubjectArea": "specification",
    "IsExtension": false,
    "SemanticTypeIri": "urn:effortless:pko-extension#RulebookTable",
    "Name": "StepActions",
    "FieldCount": 4,
    "PolicyCount": 2,
    "IsUnsecured": false,
    "DisagreeingSubstrateCount": 0
   },
   {
    "RulebookTableId": "StepExecutions",
    "TableName": "StepExecutions",
    "PhysicalTable": "step_executions",
    "PhysicalView": "vw_step_executions",
    "SubjectArea": "specification",
    "IsExtension": false,
    "SemanticTypeIri": "urn:effortless:pko-extension#RulebookTable",
    "Name": "StepExecutions",
    "FieldCount": 109,
    "PolicyCount": 6,
    "IsUnsecured": false,
    "DisagreeingSubstrateCount": 2
   },
   {
    "RulebookTableId": "StepFunctions",
    "TableName": "StepFunctions",
    "PhysicalTable": "step_functions",
    "PhysicalView": "vw_step_functions",
    "SubjectArea": "specification",
    "IsExtension": false,
    "SemanticTypeIri": "urn:effortless:pko-extension#RulebookTable",
    "Name": "StepFunctions",
    "FieldCount": 4,
    "PolicyCount": 2,
    "IsUnsecured": false,
    "DisagreeingSubstrateCount": 0
   },
   {
    "RulebookTableId": "StepRequirements",
    "TableName": "StepRequirements",
    "PhysicalTable": "step_requirements",
    "PhysicalView": "vw_step_requirements",
    "SubjectArea": "specification",
    "IsExtension": false,
    "SemanticTypeIri": "urn:effortless:pko-extension#RulebookTable",
    "Name": "StepRequirements",
    "FieldCount": 13,
    "PolicyCount": 2,
    "IsUnsecured": false,
    "DisagreeingSubstrateCount": 0
   },
   {
    "RulebookTableId": "StepTools",
    "TableName": "StepTools",
    "PhysicalTable": "step_tools",
    "PhysicalView": "vw_step_tools",
    "SubjectArea": "specification",
    "IsExtension": false,
    "SemanticTypeIri": "urn:effortless:pko-extension#RulebookTable",
    "Name": "StepTools",
    "FieldCount": 4,
    "PolicyCount": 2,
    "IsUnsecured": false,
    "DisagreeingSubstrateCount": 0
   },
   {
    "RulebookTableId": "StepTransitions",
    "TableName": "StepTransitions",
    "PhysicalTable": "step_transitions",
    "PhysicalView": "vw_step_transitions",
    "SubjectArea": "specification",
    "IsExtension": false,
    "SemanticTypeIri": "urn:effortless:pko-extension#RulebookTable",
    "Name": "StepTransitions",
    "FieldCount": 23,
    "PolicyCount": 2,
    "IsUnsecured": false,
    "DisagreeingSubstrateCount": 1
   },
   {
    "RulebookTableId": "StepVerifications",
    "TableName": "StepVerifications",
    "PhysicalTable": "step_verifications",
    "PhysicalView": "vw_step_verifications",
    "SubjectArea": "specification",
    "IsExtension": false,
    "SemanticTypeIri": "urn:effortless:pko-extension#RulebookTable",
    "Name": "StepVerifications",
    "FieldCount": 8,
    "PolicyCount": 2,
    "IsUnsecured": false,
    "DisagreeingSubstrateCount": 0
   },
   {
    "RulebookTableId": "Steps",
    "TableName": "Steps",
    "PhysicalTable": "steps",
    "PhysicalView": "vw_steps",
    "SubjectArea": "specification",
    "IsExtension": false,
    "SemanticTypeIri": "urn:effortless:pko-extension#RulebookTable",
    "Name": "Steps",
    "FieldCount": 42,
    "PolicyCount": 10,
    "IsUnsecured": false,
    "DisagreeingSubstrateCount": 2
   },
   {
    "RulebookTableId": "StewardshipAssignments",
    "TableName": "StewardshipAssignments",
    "PhysicalTable": "stewardship_assignments",
    "PhysicalView": "vw_stewardship_assignments",
    "SubjectArea": "org",
    "IsExtension": true,
    "SemanticTypeIri": "urn:effortless:pko-extension#RulebookTable",
    "Name": "StewardshipAssignments",
    "FieldCount": 14,
    "PolicyCount": 2,
    "IsUnsecured": false,
    "DisagreeingSubstrateCount": 1
   },
   {
    "RulebookTableId": "TemplateApprovals",
    "TableName": "TemplateApprovals",
    "PhysicalTable": "template_approvals",
    "PhysicalView": "vw_template_approvals",
    "SubjectArea": "communication",
    "IsExtension": false,
    "SemanticTypeIri": "urn:effortless:pko-extension#RulebookTable",
    "Name": "TemplateApprovals",
    "FieldCount": 15,
    "PolicyCount": 2,
    "IsUnsecured": false,
    "DisagreeingSubstrateCount": 6
   },
   {
    "RulebookTableId": "TestCases",
    "TableName": "TestCases",
    "PhysicalTable": "test_cases",
    "PhysicalView": "vw_test_cases",
    "SubjectArea": "meta",
    "IsExtension": true,
    "SemanticTypeIri": "urn:effortless:pko-extension#RulebookTable",
    "Name": "TestCases",
    "FieldCount": 20,
    "PolicyCount": 2,
    "IsUnsecured": false,
    "DisagreeingSubstrateCount": 0
   },
   {
    "RulebookTableId": "TestSuites",
    "TableName": "TestSuites",
    "PhysicalTable": "test_suites",
    "PhysicalView": "vw_test_suites",
    "SubjectArea": "meta",
    "IsExtension": true,
    "SemanticTypeIri": "urn:effortless:pko-extension#RulebookTable",
    "Name": "TestSuites",
    "FieldCount": 8,
    "PolicyCount": 2,
    "IsUnsecured": false,
    "DisagreeingSubstrateCount": 1
   },
   {
    "RulebookTableId": "Tools",
    "TableName": "Tools",
    "PhysicalTable": "tools",
    "PhysicalView": "vw_tools",
    "SubjectArea": "specification",
    "IsExtension": false,
    "SemanticTypeIri": "urn:effortless:pko-extension#RulebookTable",
    "Name": "Tools",
    "FieldCount": 5,
    "PolicyCount": 2,
    "IsUnsecured": false,
    "DisagreeingSubstrateCount": 0
   },
   {
    "RulebookTableId": "UserFeedback",
    "TableName": "UserFeedback",
    "PhysicalTable": "user_feedback",
    "PhysicalView": "vw_user_feedback",
    "SubjectArea": "domain",
    "IsExtension": false,
    "SemanticTypeIri": "urn:effortless:pko-extension#RulebookTable",
    "Name": "UserFeedback",
    "FieldCount": 9,
    "PolicyCount": 2,
    "IsUnsecured": false,
    "DisagreeingSubstrateCount": 0
   },
   {
    "RulebookTableId": "UserQuestions",
    "TableName": "UserQuestions",
    "PhysicalTable": "user_questions",
    "PhysicalView": "vw_user_questions",
    "SubjectArea": "domain",
    "IsExtension": false,
    "SemanticTypeIri": "urn:effortless:pko-extension#RulebookTable",
    "Name": "UserQuestions",
    "FieldCount": 10,
    "PolicyCount": 2,
    "IsUnsecured": false,
    "DisagreeingSubstrateCount": 0
   },
   {
    "RulebookTableId": "VerificationOutcomes",
    "TableName": "VerificationOutcomes",
    "PhysicalTable": "verification_outcomes",
    "PhysicalView": "vw_verification_outcomes",
    "SubjectArea": "execution",
    "IsExtension": false,
    "SemanticTypeIri": "urn:effortless:pko-extension#RulebookTable",
    "Name": "VerificationOutcomes",
    "FieldCount": 26,
    "PolicyCount": 2,
    "IsUnsecured": false,
    "DisagreeingSubstrateCount": 0
   },
   {
    "RulebookTableId": "WitnessLoops",
    "TableName": "WitnessLoops",
    "PhysicalTable": "witness_loops",
    "PhysicalView": "vw_witness_loops",
    "SubjectArea": "meta",
    "IsExtension": true,
    "SemanticTypeIri": "urn:effortless:pko-extension#RulebookTable",
    "Name": "WitnessLoops",
    "FieldCount": 13,
    "PolicyCount": 2,
    "IsUnsecured": false,
    "DisagreeingSubstrateCount": 0
   },
   {
    "RulebookTableId": "__meta__",
    "TableName": "__meta__",
    "PhysicalTable": null,
    "PhysicalView": null,
    "SubjectArea": "meta",
    "IsExtension": true,
    "SemanticTypeIri": "urn:effortless:pko-extension#RulebookTable",
    "Name": "__meta__",
    "FieldCount": 5,
    "PolicyCount": 0,
    "IsUnsecured": true,
    "DisagreeingSubstrateCount": 0
   },
   {
    "RulebookTableId": "ProcessMiningRuns",
    "TableName": "ProcessMiningRuns",
    "PhysicalTable": "process_mining_runs",
    "PhysicalView": "vw_process_mining_runs",
    "SubjectArea": "knowledge",
    "IsExtension": true,
    "SemanticTypeIri": "urn:effortless:pko-extension#RulebookTable",
    "Name": "ProcessMiningRuns",
    "FieldCount": 19,
    "PolicyCount": 2,
    "IsUnsecured": false,
    "DisagreeingSubstrateCount": 6
   },
   {
    "RulebookTableId": "Vocabularies",
    "TableName": "Vocabularies",
    "PhysicalTable": "vocabularies",
    "PhysicalView": "vw_vocabularies",
    "SubjectArea": "knowledge",
    "IsExtension": true,
    "SemanticTypeIri": "urn:effortless:pko-extension#RulebookTable",
    "Name": "Vocabularies",
    "FieldCount": 9,
    "PolicyCount": 2,
    "IsUnsecured": false,
    "DisagreeingSubstrateCount": 0
   },
   {
    "RulebookTableId": "VocabularyTerms",
    "TableName": "VocabularyTerms",
    "PhysicalTable": "vocabulary_terms",
    "PhysicalView": "vw_vocabulary_terms",
    "SubjectArea": "knowledge",
    "IsExtension": true,
    "SemanticTypeIri": "urn:effortless:pko-extension#RulebookTable",
    "Name": "VocabularyTerms",
    "FieldCount": 11,
    "PolicyCount": 2,
    "IsUnsecured": false,
    "DisagreeingSubstrateCount": 0
   },
   {
    "RulebookTableId": "KnowledgeBrokerLinks",
    "TableName": "KnowledgeBrokerLinks",
    "PhysicalTable": "knowledge_broker_links",
    "PhysicalView": "vw_knowledge_broker_links",
    "SubjectArea": "knowledge",
    "IsExtension": true,
    "SemanticTypeIri": "urn:effortless:pko-extension#RulebookTable",
    "Name": "KnowledgeBrokerLinks",
    "FieldCount": 16,
    "PolicyCount": 2,
    "IsUnsecured": false,
    "DisagreeingSubstrateCount": 1
   },
   {
    "RulebookTableId": "ConformanceSubstrates",
    "TableName": "ConformanceSubstrates",
    "PhysicalTable": "conformance_substrates",
    "PhysicalView": "vw_conformance_substrates",
    "SubjectArea": "meta",
    "IsExtension": true,
    "SemanticTypeIri": "urn:effortless:pko-extension#RulebookTable",
    "Name": "ConformanceSubstrates",
    "FieldCount": 20,
    "PolicyCount": 0,
    "IsUnsecured": true,
    "DisagreeingSubstrateCount": 0
   },
   {
    "RulebookTableId": "ConformanceRuns",
    "TableName": "ConformanceRuns",
    "PhysicalTable": "conformance_runs",
    "PhysicalView": "vw_conformance_runs",
    "SubjectArea": "meta",
    "IsExtension": true,
    "SemanticTypeIri": "urn:effortless:pko-extension#RulebookTable",
    "Name": "ConformanceRuns",
    "FieldCount": 16,
    "PolicyCount": 0,
    "IsUnsecured": true,
    "DisagreeingSubstrateCount": 0
   },
   {
    "RulebookTableId": "SubstrateRunScores",
    "TableName": "SubstrateRunScores",
    "PhysicalTable": "substrate_run_scores",
    "PhysicalView": "vw_substrate_run_scores",
    "SubjectArea": "meta",
    "IsExtension": true,
    "SemanticTypeIri": "urn:effortless:pko-extension#RulebookTable",
    "Name": "SubstrateRunScores",
    "FieldCount": 27,
    "PolicyCount": 0,
    "IsUnsecured": true,
    "DisagreeingSubstrateCount": 0
   },
   {
    "RulebookTableId": "TableConformance",
    "TableName": "TableConformance",
    "PhysicalTable": "table_conformance",
    "PhysicalView": "vw_table_conformance",
    "SubjectArea": "meta",
    "IsExtension": true,
    "SemanticTypeIri": "urn:effortless:pko-extension#RulebookTable",
    "Name": "TableConformance",
    "FieldCount": 19,
    "PolicyCount": 0,
    "IsUnsecured": true,
    "DisagreeingSubstrateCount": 0
   },
   {
    "RulebookTableId": "FieldDisagreements",
    "TableName": "FieldDisagreements",
    "PhysicalTable": "field_disagreements",
    "PhysicalView": "vw_field_disagreements",
    "SubjectArea": "meta",
    "IsExtension": true,
    "SemanticTypeIri": "urn:effortless:pko-extension#RulebookTable",
    "Name": "FieldDisagreements",
    "FieldCount": 13,
    "PolicyCount": 0,
    "IsUnsecured": true,
    "DisagreeingSubstrateCount": 0
   },
   {
    "RulebookTableId": "CellDisagreements",
    "TableName": "CellDisagreements",
    "PhysicalTable": "cell_disagreements",
    "PhysicalView": "vw_cell_disagreements",
    "SubjectArea": "meta",
    "IsExtension": true,
    "SemanticTypeIri": "urn:effortless:pko-extension#RulebookTable",
    "Name": "CellDisagreements",
    "FieldCount": 10,
    "PolicyCount": 0,
    "IsUnsecured": true,
    "DisagreeingSubstrateCount": 0
   }
  ]
 },
 "AccessPrincipals": {
  "Description": "Security principals -- the identities policies attach to. A principal is the console persona a person logs in as; it maps many-to-one onto a domain Role, so 'who may see this row' is expressed once against the domain vocabulary while the UI keeps its own persona names. Each principal owns exactly one Postgres role and one Postgres schema.",
  "important": true,
  "schema": [
   {
    "name": "AccessPrincipalId",
    "datatype": "string",
    "type": "raw",
    "nullable": false,
    "Description": "Stored logical identifier, e.g. 'principal-controller'."
   },
   {
    "name": "Name",
    "datatype": "string",
    "type": "calculated",
    "nullable": true,
    "Description": "Human-readable calculated display alias.",
    "formula": "={{Label}}"
   },
   {
    "name": "Label",
    "datatype": "string",
    "type": "raw",
    "nullable": true,
    "Description": "Display label shown in the console role picker."
   },
   {
    "name": "DomainRole",
    "datatype": "string",
    "type": "relationship",
    "nullable": true,
    "Description": "Domain role whose authority this principal exercises.",
    "RelatedTo": "Roles"
   },
   {
    "name": "PgRoleName",
    "datatype": "string",
    "type": "raw",
    "nullable": true,
    "Description": "Postgres role name this principal authenticates as, e.g. 'pko_controller'."
   },
   {
    "name": "SchemaName",
    "datatype": "string",
    "type": "raw",
    "nullable": true,
    "Description": "Postgres schema that is this principal's entire visible world, e.g. 'pko_controller'."
   },
   {
    "name": "IsAdministrator",
    "datatype": "boolean",
    "type": "raw",
    "nullable": true,
    "Description": "True when this principal may read every table and edit access policy."
   },
   {
    "name": "OrganizationScope",
    "datatype": "string",
    "type": "lookup",
    "nullable": true,
    "Description": "Organization inherited from the domain role; the default tenancy boundary for row predicates.",
    "formula": "=INDEX(Roles!{{Organization}}, MATCH({{DomainRole}}, Roles!{{RoleId}}, 0))"
   },
   {
    "name": "RoleLabel",
    "datatype": "string",
    "type": "lookup",
    "nullable": true,
    "Description": "Label of the domain role, for display.",
    "formula": "=INDEX(Roles!{{Label}}, MATCH({{DomainRole}}, Roles!{{RoleId}}, 0))"
   },
   {
    "name": "PolicyCount",
    "datatype": "number",
    "type": "aggregation",
    "nullable": true,
    "Description": "Number of row policies granted to this principal.",
    "formula": "=COUNTIFS(AccessPolicies!{{Principal}}, {{AccessPrincipalId}})"
   },
   {
    "name": "GrantCount",
    "datatype": "number",
    "type": "aggregation",
    "nullable": true,
    "Description": "Number of field grants held by this principal.",
    "formula": "=COUNTIFS(FieldGrants!{{Principal}}, {{AccessPrincipalId}})"
   },
   {
    "name": "VisibleTableCount",
    "datatype": "number",
    "type": "aggregation",
    "nullable": true,
    "Description": "Number of tables exposed in this principal's schema.",
    "formula": "=COUNTIFS(RoleSchemaViews!{{Principal}}, {{AccessPrincipalId}})"
   },
   {
    "name": "HasNoAccess",
    "datatype": "boolean",
    "type": "calculated",
    "nullable": true,
    "Description": "True when the principal holds no policies at all, so its schema is empty and it can read nothing. Fail-closed by construction.",
    "formula": "={{PolicyCount}} = 0"
   },
   {
    "name": "IsOverPrivileged",
    "datatype": "boolean",
    "type": "calculated",
    "nullable": true,
    "Description": "True when a non-administrator principal can reach every table in the rulebook -- an admin-equivalent principal that was never declared as one.",
    "formula": "=AND(NOT({{IsAdministrator}}), {{VisibleTableCount}} &gt;= 74)"
   },
   {
    "name": "SemanticTypeIri",
    "datatype": "string",
    "type": "raw",
    "nullable": true,
    "Description": "Semantic type IRI."
   }
  ],
  "data": [
   {
    "AccessPrincipalId": "principal</t>
  </si>
  <si>
    <t xml:space="preserve">-finance-analyst",
    "Label": "Finance Analyst",
    "DomainRole": "finance-analyst",
    "PgRoleName": "pko_finance_analyst",
    "SchemaName": "pko_finance_analyst",
    "IsAdministrator": false,
    "SemanticTypeIri": "urn:effortless:pko-extension#AccessPrincipal",
    "Name": "Finance Analyst",
    "OrganizationScope": "acme-finance",
    "RoleLabel": "Finance Analyst",
    "PolicyCount": 7,
    "GrantCount": 51,
    "VisibleTableCount": 7,
    "HasNoAccess": false,
    "IsOverPrivileged": false
   },
   {
    "AccessPrincipalId": "principal-controller",
    "Label": "Corporate Controller",
    "DomainRole": "controller",
    "PgRoleName": "pko_controller",
    "SchemaName": "pko_controller",
    "IsAdministrator": false,
    "SemanticTypeIri": "urn:effortless:pko-extension#AccessPrincipal",
    "Name": "Corporate Controller",
    "OrganizationScope": "acme-finance",
    "RoleLabel": "Corporate Controller",
    "PolicyCount": 8,
    "GrantCount": 69,
    "VisibleTableCount": 8,
    "HasNoAccess": false,
    "IsOverPrivileged": false
   },
   {
    "AccessPrincipalId": "principal-cfo",
    "Label": "Chief Financial Officer",
    "DomainRole": "cfo",
    "PgRoleName": "pko_cfo",
    "SchemaName": "pko_cfo",
    "IsAdministrator": false,
    "SemanticTypeIri": "urn:effortless:pko-extension#AccessPrincipal",
    "Name": "Chief Financial Officer",
    "OrganizationScope": "acme-finance",
    "RoleLabel": "Chief Financial Officer",
    "PolicyCount": 5,
    "GrantCount": 37,
    "VisibleTableCount": 5,
    "HasNoAccess": false,
    "IsOverPrivileged": false
   },
   {
    "AccessPrincipalId": "principal-hr-policy-owner",
    "Label": "People Policy Owner",
    "DomainRole": "hr-policy-owner",
    "PgRoleName": "pko_hr_policy_owner",
    "SchemaName": "pko_hr_policy_owner",
    "IsAdministrator": false,
    "SemanticTypeIri": "urn:effortless:pko-extension#AccessPrincipal",
    "Name": "People Policy Owner",
    "OrganizationScope": "acme-people",
    "RoleLabel": "People Policy Owner",
    "PolicyCount": 6,
    "GrantCount": 56,
    "VisibleTableCount": 6,
    "HasNoAccess": false,
    "IsOverPrivileged": false
   },
   {
    "AccessPrincipalId": "principal-employment-counsel",
    "Label": "Employment Counsel",
    "DomainRole": "employment-counsel",
    "PgRoleName": "pko_employment_counsel",
    "SchemaName": "pko_employment_counsel",
    "IsAdministrator": false,
    "SemanticTypeIri": "urn:effortless:pko-extension#AccessPrincipal",
    "Name": "Employment Counsel",
    "OrganizationScope": "acme-legal",
    "RoleLabel": "Employment Counsel",
    "PolicyCount": 5,
    "GrantCount": 40,
    "VisibleTableCount": 5,
    "HasNoAccess": false,
    "IsOverPrivileged": false
   },
   {
    "AccessPrincipalId": "principal-communications-manager",
    "Label": "Employee Communications Manager",
    "DomainRole": "communications-manager",
    "PgRoleName": "pko_communications_manager",
    "SchemaName": "pko_communications_manager",
    "IsAdministrator": false,
    "SemanticTypeIri": "urn:effortless:pko-extension#AccessPrincipal",
    "Name": "Employee Communications Manager",
    "OrganizationScope": "acme-people",
    "RoleLabel": "Employee Communications Manager",
    "PolicyCount": 6,
    "GrantCount": 57,
    "VisibleTableCount": 6,
    "HasNoAccess": false,
    "IsOverPrivileged": false
   },
   {
    "AccessPrincipalId": "principal-close-automation",
    "Label": "Close Automation Operator",
    "DomainRole": "close-automation",
    "PgRoleName": "pko_close_automation",
    "SchemaName": "pko_close_automation",
    "IsAdministrator": false,
    "SemanticTypeIri": "urn:effortless:pko-extension#AccessPrincipal",
    "Name": "Close Automation Operator",
    "OrganizationScope": "acme-finance",
    "RoleLabel": "Close Automation Operator",
    "PolicyCount": 3,
    "GrantCount": 23,
    "VisibleTableCount": 3,
    "HasNoAccess": false,
    "IsOverPrivileged": false
   },
   {
    "AccessPrincipalId": "principal-variance-review-agent",
    "Label": "Variance Review Agent",
    "DomainRole": "variance-review-agent",
    "PgRoleName": "pko_variance_review_agent",
    "SchemaName": "pko_variance_review_agent",
    "IsAdministrator": false,
    "SemanticTypeIri": "urn:effortless:pko-extension#AccessPrincipal",
    "Name": "Variance Review Agent",
    "OrganizationScope": "acme-finance",
    "RoleLabel": "Variance Review Agent",
    "PolicyCount": 5,
    "GrantCount": 35,
    "VisibleTableCount": 5,
    "HasNoAccess": false,
    "IsOverPrivileged": false
   },
   {
    "AccessPrincipalId": "principal-policy-drafting-agent",
    "Label": "Policy Drafting Agent",
    "DomainRole": "policy-drafting-agent",
    "PgRoleName": "pko_policy_drafting_agent",
    "SchemaName": "pko_policy_drafting_agent",
    "IsAdministrator": false,
    "SemanticTypeIri": "urn:effortless:pko-extension#AccessPrincipal",
    "Name": "Policy Drafting Agent",
    "OrganizationScope": "acme-people",
    "RoleLabel": "Policy Drafting Agent",
    "PolicyCount": 4,
    "GrantCount": 29,
    "VisibleTableCount": 4,
    "HasNoAccess": false,
    "IsOverPrivileged": false
   },
   {
    "AccessPrincipalId": "principal-notification-publisher",
    "Label": "Notification Publisher",
    "DomainRole": "notification-publisher",
    "PgRoleName": "pko_notification_publisher",
    "SchemaName": "pko_notification_publisher",
    "IsAdministrator": false,
    "SemanticTypeIri": "urn:effortless:pko-extension#AccessPrincipal",
    "Name": "Notification Publisher",
    "OrganizationScope": "acme-people",
    "RoleLabel": "Notification Publisher",
    "PolicyCount": 5,
    "GrantCount": 36,
    "VisibleTableCount": 5,
    "HasNoAccess": false,
    "IsOverPrivileged": false
   },
   {
    "AccessPrincipalId": "principal-process-steward",
    "Label": "Procedural Knowledge Steward",
    "DomainRole": "process-steward",
    "PgRoleName": "pko_process_steward",
    "SchemaName": "pko_process_steward",
    "IsAdministrator": true,
    "SemanticTypeIri": "urn:effortless:pko-extension#AccessPrincipal",
    "Name": "Procedural Knowledge Steward",
    "OrganizationScope": "acme-people",
    "RoleLabel": "Procedural Knowledge Steward",
    "PolicyCount": 74,
    "GrantCount": 1603,
    "VisibleTableCount": 74,
    "HasNoAccess": false,
    "IsOverPrivileged": false
   },
   {
    "AccessPrincipalId": "principal-knowledge-authority",
    "Label": "Procedural Knowledge Authority",
    "DomainRole": "knowledge-authority",
    "PgRoleName": "pko_knowledge_authority",
    "SchemaName": "pko_knowledge_authority",
    "IsAdministrator": true,
    "SemanticTypeIri": "urn:effortless:pko-extension#AccessPrincipal",
    "Name": "Procedural Knowledge Authority",
    "OrganizationScope": "acme-finance",
    "RoleLabel": "Procedural Knowledge Authority",
    "PolicyCount": 74,
    "GrantCount": 1603,
    "VisibleTableCount": 74,
    "HasNoAccess": false,
    "IsOverPrivileged": false
   }
  ]
 },
 "AccessPolicies": {
  "Description": "Row-level security policies: the VERTICAL cut. One row per principal x table x command, carrying the predicate that decides which rows are visible. RowPredicate is emitted verbatim into a Postgres USING clause, so it may call any SECURITY DEFINER calc_* function and therefore reference inference fields many hops down the DAG.",
  "important": true,
  "schema": [
   {
    "name": "AccessPolicyId",
    "datatype": "string",
    "type": "raw",
    "nullable": false,
    "Description": "Stored logical identifier, e.g. 'pol-controller-procedures-select'."
   },
   {
    "name": "Name",
    "datatype": "string",
    "type": "calculated",
    "nullable": true,
    "Description": "Human-readable calculated display alias.",
    "formula": "={{Principal}} &amp; \" \" &amp; {{Command}} &amp; \" \" &amp; {{TargetTable}}"
   },
   {
    "name": "Principal",
    "datatype": "string",
    "type": "relationship",
    "nullable": true,
    "Description": "Principal this policy grants to.",
    "RelatedTo": "AccessPrincipals"
   },
   {
    "name": "TargetTable",
    "datatype": "string",
    "type": "relationship",
    "nullable": true,
    "Description": "Rulebook table this policy guards.",
    "RelatedTo": "RulebookTables"
   },
   {
    "name": "Command",
    "datatype": "string",
    "type": "raw",
    "nullable": true,
    "Description": "SQL command the policy governs: SELECT, INSERT, UPDATE, DELETE or ALL."
   },
   {
    "name": "RowPredicate",
    "datatype": "string",
    "type": "raw",
    "nullable": true,
    "Description": "SQL boolean expression emitted into USING(...). Empty means all rows of the table. Must not sub-select the guarded table -- Postgres raises infinite recursion; route such predicates through a SECURITY DEFINER function instead."
   },
   {
    "name": "CheckPredicate",
    "datatype": "string",
    "type": "raw",
    "nullable": true,
    "Description": "SQL boolean expression emitted into WITH CHECK(...) for write commands. Empty reuses RowPredicate."
   },
   {
    "name": "Rationale",
    "datatype": "string",
    "type": "raw",
    "nullable": true,
    "Description": "Why this principal is entitled to these rows, in the granting authority's words."
   },
   {
    "name": "ReferencesInference",
    "datatype": "boolean",
    "type": "raw",
    "nullable": true,
    "Description": "True when RowPredicate calls a calc_* function, i.e. the cut depends on a derived field rather than a stored column."
   },
   {
    "name": "IsWriteCommand",
    "datatype": "boolean",
    "type": "calculated",
    "nullable": true,
    "Description": "True when this policy governs a mutating command.",
    "formula": "=OR({{Command}} = \"INSERT\", {{Command}} = \"UPDATE\", {{Command}} = \"DELETE\", {{Command}} = \"ALL\")"
   },
   {
    "name": "IsUnrestricted",
    "datatype": "boolean",
    "type": "calculated",
    "nullable": true,
    "Description": "True when the policy carries no predicate, exposing every row of the target table to the principal.",
    "formula": "={{RowPredicate}} = \"\""
   },
   {
    "name": "PrincipalIsAdmin",
    "datatype": "boolean",
    "type": "lookup",
    "nullable": true,
    "Description": "Whether the granted principal is an administrator.",
    "formula": "=INDEX(AccessPrincipals!{{IsAdministrator}}, MATCH({{Principal}}, AccessPrincipals!{{AccessPrincipalId}}, 0))"
   },
   {
    "name": "IsUnrestrictedNonAdminGrant",
    "datatype": "boolean",
    "type": "calculated",
    "nullable": true,
    "Description": "True when a non-administrator principal is granted an unrestricted policy -- a whole-table exposure that no row predicate narrows. The single highest-signal privilege-escalation witness in the model.",
    "formula": "=AND({{IsUnrestricted}}, NOT({{PrincipalIsAdmin}}))"
   },
   {
    "name": "IsUnwitnessedWrite",
    "datatype": "boolean",
    "type": "calculated",
    "nullable": true,
    "Description": "True when a write policy has no denial test proving it refuses out-of-scope rows. An untested write grant is an assertion, not evidence.",
    "formula": "=AND({{IsWriteCommand}}, {{DenialTestCount}} = 0)"
   },
   {
    "name": "DenialTestCount",
    "datatype": "number",
    "type": "aggregation",
    "nullable": true,
    "Description": "Number of denial tests seeded against this policy.",
    "formula": "=COUNTIFS(AccessDenialTests!{{TargetPolicy}}, {{AccessPolicyId}})"
   },
   {
    "name": "SemanticTypeIri",
    "datatype": "string",
    "type": "raw",
    "nullable": true,
    "Description": "Semantic type IRI."
   }
  ],
  "data": [
   {
    "AccessPolicyId": "pol-financeanalyst-steps-select",
    "Principal": "principal-finance-analyst",
    "TargetTable": "Steps",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Steps",
    "IsWriteCommand": false,
    "IsUnrestricted": true,
    "PrincipalIsAdmin": false,
    "IsUnrestrictedNonAdminGrant": true,
    "IsUnwitnessedWrite": false,
    "DenialTestCount": 0
   },
   {
    "AccessPolicyId": "pol-financeanalyst-step_executions-select",
    "Principal": "principal-finance-analyst",
    "TargetTable": "StepExecutions",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StepExecutions",
    "IsWriteCommand": false,
    "IsUnrestricted": true,
    "PrincipalIsAdmin": false,
    "IsUnrestrictedNonAdminGrant": true,
    "IsUnwitnessedWrite": false,
    "DenialTestCount": 0
   },
   {
    "AccessPolicyId": "pol-financeanalyst-procedure_executions-select",
    "Principal": "principal-finance-analyst",
    "TargetTable": "ProcedureExecutions",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ProcedureExecutions",
    "IsWriteCommand": false,
    "IsUnrestricted": true,
    "PrincipalIsAdmin": false,
    "IsUnrestrictedNonAdminGrant": true,
    "IsUnwitnessedWrite": false,
    "DenialTestCount": 0
   },
   {
    "AccessPolicyId": "pol-financeanalyst-requirements-select",
    "Principal": "principal-finance-analyst",
    "TargetTable": "Requirements",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
    "IsWriteCommand": false,
    "IsUnrestricted": true,
    "PrincipalIsAdmin": false,
    "IsUnrestrictedNonAdminGrant": true,
    "IsUnwitnessedWrite": false,
    "DenialTestCount": 0
   },
   {
    "AccessPolicyId": "pol-financeanalyst-requirement_satisfactions-select",
    "Principal": "principal-finance-analyst",
    "TargetTable": "RequirementSatisfactions",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RequirementSatisfactions",
    "IsWriteCommand": false,
    "IsUnrestricted": true,
    "PrincipalIsAdmin": false,
    "IsUnrestrictedNonAdminGrant": true,
    "IsUnwitnessedWrite": false,
    "DenialTestCount": 0
   },
   {
    "AccessPolicyId": "pol-financeanalyst-procedures-select",
    "Principal": "principal-finance-analyst",
    "TargetTable": "Procedures",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Procedures",
    "IsWriteCommand": false,
    "IsUnrestricted": true,
    "PrincipalIsAdmin": false,
    "IsUnrestrictedNonAdminGrant": true,
    "IsUnwitnessedWrite": false,
    "DenialTestCount": 0
   },
   {
    "AccessPolicyId": "pol-financeanalyst-procedure_versions-select",
    "Principal": "principal-finance-analyst",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"principal-finance-analyst SELECT ProcedureVersions",
    "IsWriteCommand": false,
    "IsUnrestricted": false,
    "PrincipalIsAdmin": false,
    "IsUnrestrictedNonAdminGrant": false,
    "IsUnwitnessedWrite": false,
    "DenialTestCount": 2
   },
   {
    "AccessPolicyId": "pol-controller-steps-select",
    "Principal": "principal-controller",
    "TargetTable": "Steps",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Steps",
    "IsWriteCommand": false,
    "IsUnrestricted": true,
    "PrincipalIsAdmin": false,
    "IsUnrestrictedNonAdminGrant": true,
    "IsUnwitnessedWrite": false,
    "DenialTestCount": 0
   },
   {
    "AccessPolicyId": "pol-controller-step_executions-select",
    "Principal": "principal-controller",
    "TargetTable": "StepExecutions",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StepExecutions",
    "IsWriteCommand": false,
    "IsUnrestricted": true,
    "PrincipalIsAdmin": false,
    "IsUnrestrictedNonAdminGrant": true,
    "IsUnwitnessedWrite": false,
    "DenialTestCount": 0
   },
   {
    "AccessPolicyId": "pol-controller-procedure_executions-select",
    "Principal": "principal-controller",
    "TargetTable": "ProcedureExecutions",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ProcedureExecutions",
    "IsWriteCommand": false,
    "IsUnrestricted": true,
    "PrincipalIsAdmin": false,
    "IsUnrestrictedNonAdminGrant": true,
    "IsUnwitnessedWrite": false,
    "DenialTestCount": 0
   },
   {
    "AccessPolicyId": "pol-controller-exceptions-select",
    "Principal": "principal-controller",
    "TargetTable": "Exceptions",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Exceptions",
    "IsWriteCommand": false,
    "IsUnrestricted": true,
    "PrincipalIsAdmin": false,
    "IsUnrestrictedNonAdminGrant": true,
    "IsUnwitnessedWrite": false,
    "DenialTestCount": 0
   },
   {
    "AccessPolicyId": "pol-controller-change_requests-select",
    "Principal": "principal-controller",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"principal-controller SELECT ChangeRequests",
    "IsWriteCommand": false,
    "IsUnrestricted": false,
    "PrincipalIsAdmin": false,
    "IsUnrestrictedNonAdminGrant": false,
    "IsUnwitnessedWrite": false,
    "DenialTestCount": 2
   },
   {
    "AccessPolicyId": "pol-controller-knowledge_fragments-select",
    "Principal": "principal-controller",
    "TargetTable": "KnowledgeFragments",
    "Command": "SELECT",
    "RowPredicate": "owner_role = app.jwt_role()",
    "CheckPredicate": "",
    "Rationale": "Ownership: only the rows this role owns.",
    "ReferencesInference": false,
    "SemanticTypeIri": "urn:effortless:pko-extension#AccessPolicy",
    "Name": "principal-controller SELECT KnowledgeFragments",
    "IsWriteCommand": false,
    "IsUnrestricted": false,
    "PrincipalIsAdmin": false,
    "IsUnrestrictedNonAdminGrant": false,
    "IsUnwitnessedWrite": false,
    "DenialTestCount": 1
   },
   {
    "AccessPolicyId": "pol-controller-requirements-select",
    "Principal": "principal-controller",
    "TargetTable": "Requirements",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Requirements",
    "IsWriteCommand": false,
    "IsUnrestricted": true,
    "PrincipalIsAdmin": false,
    "IsUnrestrictedNonAdminGrant": true,
    "IsUnwitnessedWrite": false,
    "DenialTestCount": 0
   },
   {
    "AccessPolicyId": "pol-controller-procedure_versions-select",
    "Principal": "principal-controller",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"principal-controller SELECT ProcedureVersions",
    "IsWriteCommand": false,
    "IsUnrestricted": false,
    "PrincipalIsAdmin": false,
    "IsUnrestrictedNonAdminGrant": false,
    "IsUnwitnessedWrite": false,
    "DenialTestCount": 0
   },
   {
    "AccessPolicyId": "pol-cfo-procedure_executions-select",
    "Principal": "principal-cfo",
    "TargetTable": "ProcedureExecutions",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ProcedureExecutions",
    "IsWriteCommand": false,
    "IsUnrestricted": true,
    "PrincipalIsAdmin": false,
    "IsUnrestrictedNonAdminGrant": true,
    "IsUnwitnessedWrite": false,
    "DenialTestCount": 0
   },
   {
    "AccessPolicyId": "pol-cfo-exceptions-select",
    "Principal": "principal-cfo",
    "TargetTable": "Exceptions",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Exceptions",
    "IsWriteCommand": false,
    "IsUnrestricted": true,
    "PrincipalIsAdmin": false,
    "IsUnrestrictedNonAdminGrant": true,
    "IsUnwitnessedWrite": false,
    "DenialTestCount": 0
   },
   {
    "AccessPolicyId": "pol-cfo-change_requests-select",
    "Principal": "principal-cfo",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"principal-cfo SELECT ChangeRequests",
    "IsWriteCommand": false,
    "IsUnrestricted": false,
    "PrincipalIsAdmin": false,
    "IsUnrestrictedNonAdminGrant": false,
    "IsUnwitnessedWrite": false,
    "DenialTestCount": 0
   },
   {
    "AccessPolicyId": "pol-cfo-authority_boundaries-select",
    "Principal": "principal-cfo",
    "TargetTable": "AuthorityBoundaries",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AuthorityBoundaries",
    "IsWriteCommand": false,
    "IsUnrestricted": true,
    "PrincipalIsAdmin": false,
    "IsUnrestrictedNonAdminGrant": true,
    "IsUnwitnessedWrite": false,
    "DenialTestCount": 0
   },
   {
    "AccessPolicyId": "pol-cfo-procedures-select",
    "Principal": "principal-cfo",
    "TargetTable": "Procedures",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Procedures",
    "IsWriteCommand": false,
    "IsUnrestricted": true,
    "PrincipalIsAdmin": false,
    "IsUnrestrictedNonAdminGrant": true,
    "IsUnwitnessedWrite": false,
    "DenialTestCount": 0
   },
   {
    "AccessPolicyId": "pol-hrpolicyowner-steps-select",
    "Principal": "principal-hr-policy-owner",
    "TargetTable": "Steps",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Steps",
    "IsWriteCommand": false,
    "IsUnrestricted": true,
    "PrincipalIsAdmin": false,
    "IsUnrestrictedNonAdminGrant": true,
    "IsUnwitnessedWrite": false,
    "DenialTestCount": 0
   },
   {
    "AccessPolicyId": "pol-hrpolicyowner-knowledge_fragments-select",
    "Principal": "principal-hr-policy-owner",
    "TargetTable": "KnowledgeFragments",
    "Command": "SELECT",
    "RowPredicate": "owner_role = app.jwt_role()",
    "CheckPredicate": "",
    "Rationale": "Ownership: only the rows this role owns.",
    "ReferencesInference": false,
    "SemanticTypeIri": "urn:effortless:pko-extension#AccessPolicy",
    "Name": "principal-hr-policy-owner SELECT KnowledgeFragments",
    "IsWriteCommand": false,
    "IsUnrestricted": false,
    "PrincipalIsAdmin": false,
    "IsUnrestrictedNonAdminGrant": false,
    "IsUnwitnessedWrite": false,
    "DenialTestCount": 0
   },
   {
    "AccessPolicyId": "pol-hrpolicyowner-knowledge_gaps-select",
    "Principal": "principal-hr-policy-owner",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"principal-hr-policy-owner SELECT KnowledgeGaps",
    "IsWriteCommand": false,
    "IsUnrestricted": false,
    "PrincipalIsAdmin": false,
    "IsUnrestrictedNonAdminGrant": false,
    "IsUnwitnessedWrite": false,
    "DenialTestCount": 2
   },
   {
    "AccessPolicyId": "pol-hrpolicyowner-change_requests-select",
    "Principal": "principal-hr-policy-owner",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"principal-hr-policy-owner SELECT ChangeRequests",
    "IsWriteCommand": false,
    "IsUnrestricted": false,
    "PrincipalIsAdmin": false,
    "IsUnrestrictedNonAdminGrant": false,
    "IsUnwitnessedWrite": false,
    "DenialTestCount": 0
   },
   {
    "AccessPolicyId": "pol-hrpolicyowner-exceptions-select",
    "Principal": "principal-hr-policy-owner",
    "TargetTable": "Exceptions",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Exceptions",
    "IsWriteCommand": false,
    "IsUnrestricted": true,
    "PrincipalIsAdmin": false,
    "IsUnrestrictedNonAdminGrant": true,
    "IsUnwitnessedWrite": false,
    "DenialTestCount": 0
   },
   {
    "AccessPolicyId": "pol-hrpolicyowner-message_templates-select",
    "Principal": "principal-hr-policy-owner",
    "TargetTable": "MessageTemplates",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MessageTemplates",
    "IsWriteCommand": false,
    "IsUnrestricted": true,
    "PrincipalIsAdmin": false,
    "IsUnrestrictedNonAdminGrant": true,
    "IsUnwitnessedWrite": false,
    "DenialTestCount": 0
   },
   {
    "AccessPolicyId": "pol-employmentcounsel-change_requests-select",
    "Principal": "principal-employment-counsel",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"principal-employment-counsel SELECT ChangeRequests",
    "IsWriteCommand": false,
    "IsUnrestricted": false,
    "PrincipalIsAdmin": false,
    "IsUnrestrictedNonAdminGrant": false,
    "IsUnwitnessedWrite": false,
    "DenialTestCount": 0
   },
   {
    "AccessPolicyId": "pol-employmentcounsel-knowledge_fragments-select",
    "Principal": "principal-employment-counsel",
    "TargetTable": "KnowledgeFragments",
    "Command": "SELECT",
    "RowPredicate": "owner_role = app.jwt_role()",
    "CheckPredicate": "",
    "Rationale": "Ownership: only the rows this role owns.",
    "Referen</t>
  </si>
  <si>
    <t xml:space="preserve">cesInference": false,
    "SemanticTypeIri": "urn:effortless:pko-extension#AccessPolicy",
    "Name": "principal-employment-counsel SELECT KnowledgeFragments",
    "IsWriteCommand": false,
    "IsUnrestricted": false,
    "PrincipalIsAdmin": false,
    "IsUnrestrictedNonAdminGrant": false,
    "IsUnwitnessedWrite": false,
    "DenialTestCount": 2
   },
   {
    "AccessPolicyId": "pol-employmentcounsel-authority_boundaries-select",
    "Principal": "principal-employment-counsel",
    "TargetTable": "AuthorityBoundaries",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AuthorityBoundaries",
    "IsWriteCommand": false,
    "IsUnrestricted": true,
    "PrincipalIsAdmin": false,
    "IsUnrestrictedNonAdminGrant": true,
    "IsUnwitnessedWrite": false,
    "DenialTestCount": 0
   },
   {
    "AccessPolicyId": "pol-employmentcounsel-communication_policies-select",
    "Principal": "principal-employment-counsel",
    "TargetTable": "CommunicationPolicies",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CommunicationPolicies",
    "IsWriteCommand": false,
    "IsUnrestricted": true,
    "PrincipalIsAdmin": false,
    "IsUnrestrictedNonAdminGrant": true,
    "IsUnwitnessedWrite": false,
    "DenialTestCount": 0
   },
   {
    "AccessPolicyId": "pol-employmentcounsel-steps-select",
    "Principal": "principal-employment-counsel",
    "TargetTable": "Steps",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Steps",
    "IsWriteCommand": false,
    "IsUnrestricted": true,
    "PrincipalIsAdmin": false,
    "IsUnrestrictedNonAdminGrant": true,
    "IsUnwitnessedWrite": false,
    "DenialTestCount": 0
   },
   {
    "AccessPolicyId": "pol-communicationsmanager-communication_policies-select",
    "Principal": "principal-communications-manager",
    "TargetTable": "CommunicationPolicies",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CommunicationPolicies",
    "IsWriteCommand": false,
    "IsUnrestricted": true,
    "PrincipalIsAdmin": false,
    "IsUnrestrictedNonAdminGrant": true,
    "IsUnwitnessedWrite": false,
    "DenialTestCount": 0
   },
   {
    "AccessPolicyId": "pol-communicationsmanager-message_templates-select",
    "Principal": "principal-communications-manager",
    "TargetTable": "MessageTemplates",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MessageTemplates",
    "IsWriteCommand": false,
    "IsUnrestricted": true,
    "PrincipalIsAdmin": false,
    "IsUnrestrictedNonAdminGrant": true,
    "IsUnwitnessedWrite": false,
    "DenialTestCount": 0
   },
   {
    "AccessPolicyId": "pol-communicationsmanager-send_intents-select",
    "Principal": "principal-communications-manager",
    "TargetTable": "SendIntents",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SendIntents",
    "IsWriteCommand": false,
    "IsUnrestricted": true,
    "PrincipalIsAdmin": false,
    "IsUnrestrictedNonAdminGrant": true,
    "IsUnwitnessedWrite": false,
    "DenialTestCount": 0
   },
   {
    "AccessPolicyId": "pol-communicationsmanager-message_deliveries-select",
    "Principal": "principal-communications-manager",
    "TargetTable": "MessageDeliveries",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MessageDeliveries",
    "IsWriteCommand": false,
    "IsUnrestricted": true,
    "PrincipalIsAdmin": false,
    "IsUnrestrictedNonAdminGrant": true,
    "IsUnwitnessedWrite": false,
    "DenialTestCount": 0
   },
   {
    "AccessPolicyId": "pol-communicationsmanager-recipients-select",
    "Principal": "principal-communications-manager",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"principal-communications-manager SELECT Recipients",
    "IsWriteCommand": false,
    "IsUnrestricted": false,
    "PrincipalIsAdmin": false,
    "IsUnrestrictedNonAdminGrant": false,
    "IsUnwitnessedWrite": false,
    "DenialTestCount": 0
   },
   {
    "AccessPolicyId": "pol-communicationsmanager-knowledge_gaps-select",
    "Principal": "principal-communications-manager",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"principal-communications-manager SELECT KnowledgeGaps",
    "IsWriteCommand": false,
    "IsUnrestricted": false,
    "PrincipalIsAdmin": false,
    "IsUnrestrictedNonAdminGrant": false,
    "IsUnwitnessedWrite": false,
    "DenialTestCount": 0
   },
   {
    "AccessPolicyId": "pol-closeautomation-steps-select",
    "Principal": "principal-close-automation",
    "TargetTable": "Steps",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Steps",
    "IsWriteCommand": false,
    "IsUnrestricted": true,
    "PrincipalIsAdmin": false,
    "IsUnrestrictedNonAdminGrant": true,
    "IsUnwitnessedWrite": false,
    "DenialTestCount": 0
   },
   {
    "AccessPolicyId": "pol-closeautomation-step_executions-select",
    "Principal": "principal-close-automation",
    "TargetTable": "StepExecutions",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StepExecutions",
    "IsWriteCommand": false,
    "IsUnrestricted": true,
    "PrincipalIsAdmin": false,
    "IsUnrestrictedNonAdminGrant": true,
    "IsUnwitnessedWrite": false,
    "DenialTestCount": 0
   },
   {
    "AccessPolicyId": "pol-closeautomation-errors-select",
    "Principal": "principal-close-automation",
    "TargetTable": "Errors",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Errors",
    "IsWriteCommand": false,
    "IsUnrestricted": true,
    "PrincipalIsAdmin": false,
    "IsUnrestrictedNonAdminGrant": true,
    "IsUnwitnessedWrite": false,
    "DenialTestCount": 0
   },
   {
    "AccessPolicyId": "pol-variancereviewagent-steps-select",
    "Principal": "principal-variance-review-agent",
    "TargetTable": "Steps",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Steps",
    "IsWriteCommand": false,
    "IsUnrestricted": true,
    "PrincipalIsAdmin": false,
    "IsUnrestrictedNonAdminGrant": true,
    "IsUnwitnessedWrite": false,
    "DenialTestCount": 0
   },
   {
    "AccessPolicyId": "pol-variancereviewagent-step_executions-select",
    "Principal": "principal-variance-review-agent",
    "TargetTable": "StepExecutions",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StepExecutions",
    "IsWriteCommand": false,
    "IsUnrestricted": true,
    "PrincipalIsAdmin": false,
    "IsUnrestrictedNonAdminGrant": true,
    "IsUnwitnessedWrite": false,
    "DenialTestCount": 0
   },
   {
    "AccessPolicyId": "pol-variancereviewagent-requirements-select",
    "Principal": "principal-variance-review-agent",
    "TargetTable": "Requirements",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
    "IsWriteCommand": false,
    "IsUnrestricted": true,
    "PrincipalIsAdmin": false,
    "IsUnrestrictedNonAdminGrant": true,
    "IsUnwitnessedWrite": false,
    "DenialTestCount": 0
   },
   {
    "AccessPolicyId": "pol-variancereviewagent-requirement_satisfactions-select",
    "Principal": "principal-variance-review-agent",
    "TargetTable": "RequirementSatisfactions",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RequirementSatisfactions",
    "IsWriteCommand": false,
    "IsUnrestricted": true,
    "PrincipalIsAdmin": false,
    "IsUnrestrictedNonAdminGrant": true,
    "IsUnwitnessedWrite": false,
    "DenialTestCount": 0
   },
   {
    "AccessPolicyId": "pol-variancereviewagent-errors-select",
    "Principal": "principal-variance-review-agent",
    "TargetTable": "Errors",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Errors",
    "IsWriteCommand": false,
    "IsUnrestricted": true,
    "PrincipalIsAdmin": false,
    "IsUnrestrictedNonAdminGrant": true,
    "IsUnwitnessedWrite": false,
    "DenialTestCount": 0
   },
   {
    "AccessPolicyId": "pol-policydraftingagent-message_templates-select",
    "Principal": "principal-policy-drafting-agent",
    "TargetTable": "MessageTemplates",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MessageTemplates",
    "IsWriteCommand": false,
    "IsUnrestricted": true,
    "PrincipalIsAdmin": false,
    "IsUnrestrictedNonAdminGrant": true,
    "IsUnwitnessedWrite": false,
    "DenialTestCount": 0
   },
   {
    "AccessPolicyId": "pol-policydraftingagent-communication_policies-select",
    "Principal": "principal-policy-drafting-agent",
    "TargetTable": "CommunicationPolicies",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CommunicationPolicies",
    "IsWriteCommand": false,
    "IsUnrestricted": true,
    "PrincipalIsAdmin": false,
    "IsUnrestrictedNonAdminGrant": true,
    "IsUnwitnessedWrite": false,
    "DenialTestCount": 0
   },
   {
    "AccessPolicyId": "pol-policydraftingagent-knowledge_fragments-select",
    "Principal": "principal-policy-drafting-agent",
    "TargetTable": "KnowledgeFragments",
    "Command": "SELECT",
    "RowPredicate": "owner_role = app.jwt_role()",
    "CheckPredicate": "",
    "Rationale": "Ownership: only the rows this role owns.",
    "ReferencesInference": false,
    "SemanticTypeIri": "urn:effortless:pko-extension#AccessPolicy",
    "Name": "principal-policy-drafting-agent SELECT KnowledgeFragments",
    "IsWriteCommand": false,
    "IsUnrestricted": false,
    "PrincipalIsAdmin": false,
    "IsUnrestrictedNonAdminGrant": false,
    "IsUnwitnessedWrite": false,
    "DenialTestCount": 0
   },
   {
    "AccessPolicyId": "pol-policydraftingagent-steps-select",
    "Principal": "principal-policy-drafting-agent",
    "TargetTable": "Steps",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Steps",
    "IsWriteCommand": false,
    "IsUnrestricted": true,
    "PrincipalIsAdmin": false,
    "IsUnrestrictedNonAdminGrant": true,
    "IsUnwitnessedWrite": false,
    "DenialTestCount": 0
   },
   {
    "AccessPolicyId": "pol-notificationpublisher-communication_policies-select",
    "Principal": "principal-notification-publisher",
    "TargetTable": "CommunicationPolicies",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CommunicationPolicies",
    "IsWriteCommand": false,
    "IsUnrestricted": true,
    "PrincipalIsAdmin": false,
    "IsUnrestrictedNonAdminGrant": true,
    "IsUnwitnessedWrite": false,
    "DenialTestCount": 0
   },
   {
    "AccessPolicyId": "pol-notificationpublisher-send_intents-select",
    "Principal": "principal-notification-publisher",
    "TargetTable": "SendIntents",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SendIntents",
    "IsWriteCommand": false,
    "IsUnrestricted": true,
    "PrincipalIsAdmin": false,
    "IsUnrestrictedNonAdminGrant": true,
    "IsUnwitnessedWrite": false,
    "DenialTestCount": 0
   },
   {
    "AccessPolicyId": "pol-notificationpublisher-message_deliveries-select",
    "Principal": "principal-notification-publisher",
    "TargetTable": "MessageDeliveries",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MessageDeliveries",
    "IsWriteCommand": false,
    "IsUnrestricted": true,
    "PrincipalIsAdmin": false,
    "IsUnrestrictedNonAdminGrant": true,
    "IsUnwitnessedWrite": false,
    "DenialTestCount": 0
   },
   {
    "AccessPolicyId": "pol-notificationpublisher-recipients-select",
    "Principal": "principal-notification-publisher",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"principal-notification-publisher SELECT Recipients",
    "IsWriteCommand": false,
    "IsUnrestricted": false,
    "PrincipalIsAdmin": false,
    "IsUnrestrictedNonAdminGrant": false,
    "IsUnwitnessedWrite": false,
    "DenialTestCount": 0
   },
   {
    "AccessPolicyId": "pol-notificationpublisher-steps-select",
    "Principal": "principal-notification-publisher",
    "TargetTable": "Steps",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Steps",
    "IsWriteCommand": false,
    "IsUnrestricted": true,
    "PrincipalIsAdmin": false,
    "IsUnrestrictedNonAdminGrant": true,
    "IsUnwitnessedWrite": false,
    "DenialTestCount": 0
   },
   {
    "AccessPolicyId": "pol-processsteward-actions-select",
    "Principal": "principal-process-steward",
    "TargetTable": "Actions",
    "Command": "SELECT",
    "RowPredicate": "",
    "CheckPredicate": "",
    "Rationale": "Full read: this principal is a declared administrator.",
    "ReferencesInference": false,
    "SemanticTypeIri": "urn:effortless:pko-extension#AccessPolicy",
    "Name": "principal-process-steward SELECT Actions",
    "IsWriteCommand": false,
    "IsUnrestricted": true,
    "PrincipalIsAdmin": true,
    "IsUnrestrictedNonAdminGrant": false,
    "IsUnwitnessedWrite": false,
    "DenialTestCount": 0
   },
   {
    "AccessPolicyId": "pol-processsteward-agent_decision_records-select",
    "Principal": "principal-process-steward",
    "TargetTable": "AgentDecisionRecords",
    "Command": "SELECT",
    "RowPredicate": "",
    "CheckPredicate": "",
    "Rationale": "Full read: this principal is a declared administrator.",
    "ReferencesInference": false,
    "SemanticTypeIri": "urn:effortless:pko-extension#AccessPolicy",
    "Name": "principal-process-steward SELECT AgentDecisionRecords",
    "IsWriteCommand": false,
    "IsUnrestricted": true,
    "PrincipalIsAdmin": true,
    "IsUnrestrictedNonAdminGrant": false,
    "IsUnwitnessedWrite": false,
    "DenialTestCount": 0
   },
   {
    "AccessPolicyId": "pol-processsteward-agents-select",
    "Principal": "principal-process-steward",
    "TargetTable": "Agents",
    "Command": "SELECT",
    "RowPredicate": "",
    "CheckPredicate": "",
    "Rationale": "Full read: this principal is a declared administrator.",
    "ReferencesInference": false,
    "SemanticTypeIri": "urn:effortless:pko-extension#AccessPolicy",
    "Name": "principal-process-steward SELECT Agents",
    "IsWriteCommand": false,
    "IsUnrestricted": true,
    "PrincipalIsAdmin": true,
    "IsUnrestrictedNonAdminGrant": false,
    "IsUnwitnessedWrite": false,
    "DenialTestCount": 0
   },
   {
    "AccessPolicyId": "pol-processsteward-app_nav_groups-select",
    "Principal": "principal-process-steward",
    "TargetTable": "AppNavGroups",
    "Command": "SELECT",
    "RowPredicate": "",
    "CheckPredicate": "",
    "Rationale": "Full read: this principal is a declared administrator.",
    "ReferencesInference": false,
    "SemanticTypeIri": "urn:effortless:pko-extension#AccessPolicy",
    "Name": "principal-process-steward SELECT AppNavGroups",
    "IsWriteCommand": false,
    "IsUnrestricted": true,
    "PrincipalIsAdmin": true,
    "IsUnrestrictedNonAdminGrant": false,
    "IsUnwitnessedWrite": false,
    "DenialTestCount": 0
   },
   {
    "AccessPolicyId": "pol-processsteward-app_role_profiles-select",
    "Principal": "principal-process-steward",
    "TargetTable": "AppRoleProfiles",
    "Command": "SELECT",
    "RowPredicate": "",
    "CheckPredicate": "",
    "Rationale": "Full read: this principal is a declared administrator.",
    "ReferencesInference": false,
    "SemanticTypeIri": "urn:effortless:pko-extension#AccessPolicy",
    "Name": "principal-process-steward SELECT AppRoleProfiles",
    "IsWriteCommand": false,
    "IsUnrestricted": true,
    "PrincipalIsAdmin": true,
    "IsUnrestrictedNonAdminGrant": false,
    "IsUnwitnessedWrite": false,
    "DenialTestCount": 0
   },
   {
    "AccessPolicyId": "pol-processsteward-app_route_questions-select",
    "Principal": "principal-process-steward",
    "TargetTable": "AppRouteQuestions",
    "Command": "SELECT",
    "RowPredicate": "",
    "CheckPredicate": "",
    "Rationale": "Full read: this principal is a declared administrator.",
    "ReferencesInference": false,
    "SemanticTypeIri": "urn:effortless:pko-extension#AccessPolicy",
    "Name": "principal-process-steward SELECT AppRouteQuestions",
    "IsWriteCommand": false,
    "IsUnrestricted": true,
    "PrincipalIsAdmin": true,
    "IsUnrestrictedNonAdminGrant": false,
    "IsUnwitnessedWrite": false,
    "DenialTestCount": 0
   },
   {
    "AccessPolicyId": "pol-processsteward-app_route_references-select",
    "Principal": "principal-process-steward",
    "TargetTable": "AppRouteReferences",
    "Command": "SELECT",
    "RowPredicate": "",
    "CheckPredicate": "",
    "Rationale": "Full read: this principal is a declared administrator.",
    "ReferencesInference": false,
    "SemanticTypeIri": "urn:effortless:pko-extension#AccessPolicy",
    "Name": "principal-process-steward SELECT AppRouteReferences",
    "IsWriteCommand": false,
    "IsUnrestricted": true,
    "PrincipalIsAdmin": true,
    "IsUnrestrictedNonAdminGrant": false,
    "IsUnwitnessedWrite": false,
    "DenialTestCount": 0
   },
   {
    "AccessPolicyId": "pol-processsteward-app_routes-select",
    "Principal": "principal-process-steward",
    "TargetTable": "AppRoutes",
    "Command": "SELECT",
    "RowPredicate": "",
    "CheckPredicate": "",
    "Rationale": "Full read: this principal is a declared administrator.",
    "ReferencesInference": false,
    "SemanticTypeIri": "urn:effortless:pko-extension#AccessPolicy",
    "Name": "principal-process-steward SELECT AppRoutes",
    "IsWriteCommand": false,
    "IsUnrestricted": true,
    "PrincipalIsAdmin": true,
    "IsUnrestrictedNonAdminGrant": false,
    "IsUnwitnessedWrite": false,
    "DenialTestCount": 0
   },
   {
    "AccessPolicyId": "pol-processsteward-attestations-select",
    "Principal": "principal-process-steward",
    "TargetTable": "Attestations",
    "Command": "SELECT",
    "RowPredicate": "",
    "CheckPredicate": "",
    "Rationale": "Full read: this principal is a declared administrator.",
    "ReferencesInference": false,
    "SemanticTypeIri": "urn:effortless:pko-extension#AccessPolicy",
    "Name": "principal-process-steward SELECT Attestations",
    "IsWriteCommand": false,
    "IsUnrestricted": true,
    "PrincipalIsAdmin": true,
    "IsUnrestrictedNonAdminGrant": false,
    "IsUnwitnessedWrite": false,
    "DenialTestCount": 0
   },
   {
    "AccessPolicyId": "pol-processsteward-authority_boundaries-select",
    "Principal": "principal-process-steward",
    "TargetTable": "AuthorityBoundaries",
    "Command": "SELECT",
    "RowPredicate": "",
    "CheckPredicate": "",
    "Rationale": "Full read: this principal is a declared administrator.",
    "ReferencesInference": false,
    "SemanticTypeIri": "urn:effortless:pko-extension#AccessPolicy",
    "Name": "principal-process-steward SELECT AuthorityBoundaries",
    "IsWriteCommand": false,
    "IsUnrestricted": true,
    "PrincipalIsAdmin": true,
    "IsUnrestrictedNonAdminGrant": false,
    "IsUnwitnessedWrite": false,
    "DenialTestCount": 0
   },
   {
    "AccessPolicyId": "pol-processsteward-binding_observations-select",
    "Principal": "principal-process-steward",
    "TargetTable": "BindingObservations",
    "Command": "SELECT",
    "RowPredicate": "",
    "CheckPredicate": "",
    "Rationale": "Full read: this principal is a declared administrator.",
    "ReferencesInference": false,
    "SemanticTypeIri": "urn:effortless:pko-extension#AccessPolicy",
    "Name": "principal-process-steward SELECT BindingObservations",
    "IsWriteCommand": false,
    "IsUnrestricted": true,
    "PrincipalIsAdmin": true,
    "IsUnrestrictedNonAdminGrant": false,
    "IsUnwitnessedWrite": false,
    "DenialTestCount": 0
   },
   {
    "AccessPolicyId": "pol-processsteward-change_requests-select",
    "Principal": "principal-process-steward",
    "TargetTable": "ChangeRequests",
    "Command": "SELECT",
    "RowPredicate": "",
    "CheckPredicate": "",
    "Rationale": "Full read: this principal is a declared administrator.",
    "ReferencesInference": false,
    "SemanticTypeIri": "urn:effortless:pko-extension#AccessPolicy",
    "Name": "principal-process-steward SELECT ChangeRequests",
    "IsWriteCommand": false,
    "IsUnrestricted": true,
    "PrincipalIsAdmin": true,
    "IsUnrestrictedNonAdminGrant": false,
    "IsUnwitnessedWrite": false,
    "DenialTestCount": 0
   },
   {
    "AccessPolicyId": "pol-processsteward-communication_policies-select",
    "Principal": "principal-process-steward",
    "TargetTable": "CommunicationPolicies",
    "Command": "SELECT",
    "RowPredicate": "",
    "CheckPredicate": "",
    "Rationale": "Full read: this principal is a declared administrator.",
    "ReferencesInference": false,
    "SemanticTypeIri": "urn:effortless:pko-extension#AccessPolicy",
    "Name": "principal-process-steward SELECT CommunicationPolicies",
    "IsWriteCommand": false,
    "IsUnrestricted": true,
    "PrincipalIsAdmin": true,
    "IsUnrestrictedNonAdminGrant": false,
    "IsUnwitnessedWrite": false,
    "DenialTestCount": 0
   },
   {
    "AccessPolicyId": "pol-processsteward-communities_of_practice-select",
    "Principal": "principal-process-steward",
    "TargetTable": "CommunitiesOfPractice",
    "Command": "SELECT",
    "RowPredicate": "",
    "CheckPredicate": "",
    "Rationale": "Full read: this principal is a declared administrator.",
    "ReferencesInference": false,
    "SemanticTypeIri": "urn:effortless:pko-extension#AccessPolicy",
    "Name": "principal-process-steward SELECT CommunitiesOfPractice",
    "IsWriteCommand": false,
    "IsUnrestricted": true,
    "PrincipalIsAdmin": true,
    "IsUnrestrictedNonAdminGrant": false,
    "IsUnwitnessedWrite": false,
    "DenialTestCount": 0
   },
   {
    "AccessPolicyId": "pol-processsteward-delivered_communications-select",
    "Principal": "principal-process-steward",
    "TargetTable": "DeliveredCommunications",
    "Command": "SELECT",
    "RowPredicate": "",
    "CheckPredicate": "",
    "Rationale": "Full read: this principal is a declared administrator.",
    "ReferencesInference": false,
    "SemanticTypeIri": "urn:effortless:pko-extension#AccessPolicy",
    "Name": "principal-process-steward SELECT DeliveredCommunications",
    "IsWriteCommand": false,
    "IsUnrestricted": true,
    "PrincipalIsAdmin": true,
    "IsUnrestrictedNonAdminGrant": false,
    "IsUnwitnessedWrite": false,
    "DenialTestCount": 0
   },
   {
    "AccessPolicyId": "pol-processsteward-elicitation_sessions-select",
    "Principal": "principal-process-steward",
    "TargetTable": "ElicitationSessions",
    "Command": "SELECT",
    "RowPredicate": "",
    "CheckPredicate": "",
    "Rationale": "Full read: this principal is a declared administrator.",
    "ReferencesInference": false,
    "SemanticTypeIri": "urn:effortless:pko-extension#AccessPolicy",
    "Name": "principal-process-steward SELECT ElicitationSessions",
    "IsWriteCommand": false,
    "IsUnrestricted": true,
    "PrincipalIsAdmin": true,
    "IsUnrestrictedNonAdminGrant": false,
    "IsUnwitnessedWrite": false,
    "DenialTestCount": 0
   },
   {
    "AccessPolicyId": "pol-processsteward-errors-select",
    "Principal": "principal-process-steward",
    "TargetTable": "Errors",
    "Command": "SELECT",
    "RowPredicate": "",
    "CheckPredicate": "",
    "Rationale": "Full read: this principal is a declared administrator.",
    "ReferencesInference": false,
    "SemanticTypeIri": "urn:effortless:pko-extension#AccessPolicy",
    "Name": "principal-process-steward SELECT Errors",
    "IsWriteCommand": false,
    "IsUnrestricted": true,
    "PrincipalIsAdmin": true,
    "IsUnrestrictedNonAdminGrant": false,
    "IsUnwitnessedWrite": false,
    "DenialTestCount": 0
   },
   {
    "AccessPolicyId": "pol-processsteward-evaluation_contexts-select",
    "Principal": "principal-process-steward",
    "TargetTable": "EvaluationContexts",
    "Command": "SELECT",
    "RowPredicate": "",
    "CheckPredicate": "",
    "Rationale": "Full read: this principal is a declared administrator.",
    "ReferencesInference": false,
    "SemanticTypeIri": "urn:effortless:pko-ext</t>
  </si>
  <si>
    <t xml:space="preserve">ension#AccessPolicy",
    "Name": "principal-process-steward SELECT EvaluationContexts",
    "IsWriteCommand": false,
    "IsUnrestricted": true,
    "PrincipalIsAdmin": true,
    "IsUnrestrictedNonAdminGrant": false,
    "IsUnwitnessedWrite": false,
    "DenialTestCount": 0
   },
   {
    "AccessPolicyId": "pol-processsteward-exception_invocations-select",
    "Principal": "principal-process-steward",
    "TargetTable": "ExceptionInvocations",
    "Command": "SELECT",
    "RowPredicate": "",
    "CheckPredicate": "",
    "Rationale": "Full read: this principal is a declared administrator.",
    "ReferencesInference": false,
    "SemanticTypeIri": "urn:effortless:pko-extension#AccessPolicy",
    "Name": "principal-process-steward SELECT ExceptionInvocations",
    "IsWriteCommand": false,
    "IsUnrestricted": true,
    "PrincipalIsAdmin": true,
    "IsUnrestrictedNonAdminGrant": false,
    "IsUnwitnessedWrite": false,
    "DenialTestCount": 0
   },
   {
    "AccessPolicyId": "pol-processsteward-exceptions-select",
    "Principal": "principal-process-steward",
    "TargetTable": "Exceptions",
    "Command": "SELECT",
    "RowPredicate": "",
    "CheckPredicate": "",
    "Rationale": "Full read: this principal is a declared administrator.",
    "ReferencesInference": false,
    "SemanticTypeIri": "urn:effortless:pko-extension#AccessPolicy",
    "Name": "principal-process-steward SELECT Exceptions",
    "IsWriteCommand": false,
    "IsUnrestricted": true,
    "PrincipalIsAdmin": true,
    "IsUnrestrictedNonAdminGrant": false,
    "IsUnwitnessedWrite": false,
    "DenialTestCount": 0
   },
   {
    "AccessPolicyId": "pol-processsteward-explanations-select",
    "Principal": "principal-process-steward",
    "TargetTable": "Explanations",
    "Command": "SELECT",
    "RowPredicate": "",
    "CheckPredicate": "",
    "Rationale": "Full read: this principal is a declared administrator.",
    "ReferencesInference": false,
    "SemanticTypeIri": "urn:effortless:pko-extension#AccessPolicy",
    "Name": "principal-process-steward SELECT Explanations",
    "IsWriteCommand": false,
    "IsUnrestricted": true,
    "PrincipalIsAdmin": true,
    "IsUnrestrictedNonAdminGrant": false,
    "IsUnwitnessedWrite": false,
    "DenialTestCount": 0
   },
   {
    "AccessPolicyId": "pol-processsteward-functions-select",
    "Principal": "principal-process-steward",
    "TargetTable": "Functions",
    "Command": "SELECT",
    "RowPredicate": "",
    "CheckPredicate": "",
    "Rationale": "Full read: this principal is a declared administrator.",
    "ReferencesInference": false,
    "SemanticTypeIri": "urn:effortless:pko-extension#AccessPolicy",
    "Name": "principal-process-steward SELECT Functions",
    "IsWriteCommand": false,
    "IsUnrestricted": true,
    "PrincipalIsAdmin": true,
    "IsUnrestrictedNonAdminGrant": false,
    "IsUnwitnessedWrite": false,
    "DenialTestCount": 0
   },
   {
    "AccessPolicyId": "pol-processsteward-issue_occurrences-select",
    "Principal": "principal-process-steward",
    "TargetTable": "IssueOccurrences",
    "Command": "SELECT",
    "RowPredicate": "",
    "CheckPredicate": "",
    "Rationale": "Full read: this principal is a declared administrator.",
    "ReferencesInference": false,
    "SemanticTypeIri": "urn:effortless:pko-extension#AccessPolicy",
    "Name": "principal-process-steward SELECT IssueOccurrences",
    "IsWriteCommand": false,
    "IsUnrestricted": true,
    "PrincipalIsAdmin": true,
    "IsUnrestrictedNonAdminGrant": false,
    "IsUnwitnessedWrite": false,
    "DenialTestCount": 0
   },
   {
    "AccessPolicyId": "pol-processsteward-knowledge_fragments-select",
    "Principal": "principal-process-steward",
    "TargetTable": "KnowledgeFragments",
    "Command": "SELECT",
    "RowPredicate": "",
    "CheckPredicate": "",
    "Rationale": "Full read: this principal is a declared administrator.",
    "ReferencesInference": false,
    "SemanticTypeIri": "urn:effortless:pko-extension#AccessPolicy",
    "Name": "principal-process-steward SELECT KnowledgeFragments",
    "IsWriteCommand": false,
    "IsUnrestricted": true,
    "PrincipalIsAdmin": true,
    "IsUnrestrictedNonAdminGrant": false,
    "IsUnwitnessedWrite": false,
    "DenialTestCount": 0
   },
   {
    "AccessPolicyId": "pol-processsteward-knowledge_gaps-select",
    "Principal": "principal-process-steward",
    "TargetTable": "KnowledgeGaps",
    "Command": "SELECT",
    "RowPredicate": "",
    "CheckPredicate": "",
    "Rationale": "Full read: this principal is a declared administrator.",
    "ReferencesInference": false,
    "SemanticTypeIri": "urn:effortless:pko-extension#AccessPolicy",
    "Name": "principal-process-steward SELECT KnowledgeGaps",
    "IsWriteCommand": false,
    "IsUnrestricted": true,
    "PrincipalIsAdmin": true,
    "IsUnrestrictedNonAdminGrant": false,
    "IsUnwitnessedWrite": false,
    "DenialTestCount": 0
   },
   {
    "AccessPolicyId": "pol-processsteward-learning_activities-select",
    "Principal": "principal-process-steward",
    "TargetTable": "LearningActivities",
    "Command": "SELECT",
    "RowPredicate": "",
    "CheckPredicate": "",
    "Rationale": "Full read: this principal is a declared administrator.",
    "ReferencesInference": false,
    "SemanticTypeIri": "urn:effortless:pko-extension#AccessPolicy",
    "Name": "principal-process-steward SELECT LearningActivities",
    "IsWriteCommand": false,
    "IsUnrestricted": true,
    "PrincipalIsAdmin": true,
    "IsUnrestrictedNonAdminGrant": false,
    "IsUnwitnessedWrite": false,
    "DenialTestCount": 0
   },
   {
    "AccessPolicyId": "pol-processsteward-mentorships-select",
    "Principal": "principal-process-steward",
    "TargetTable": "Mentorships",
    "Command": "SELECT",
    "RowPredicate": "",
    "CheckPredicate": "",
    "Rationale": "Full read: this principal is a declared administrator.",
    "ReferencesInference": false,
    "SemanticTypeIri": "urn:effortless:pko-extension#AccessPolicy",
    "Name": "principal-process-steward SELECT Mentorships",
    "IsWriteCommand": false,
    "IsUnrestricted": true,
    "PrincipalIsAdmin": true,
    "IsUnrestrictedNonAdminGrant": false,
    "IsUnwitnessedWrite": false,
    "DenialTestCount": 0
   },
   {
    "AccessPolicyId": "pol-processsteward-message_deliveries-select",
    "Principal": "principal-process-steward",
    "TargetTable": "MessageDeliveries",
    "Command": "SELECT",
    "RowPredicate": "",
    "CheckPredicate": "",
    "Rationale": "Full read: this principal is a declared administrator.",
    "ReferencesInference": false,
    "SemanticTypeIri": "urn:effortless:pko-extension#AccessPolicy",
    "Name": "principal-process-steward SELECT MessageDeliveries",
    "IsWriteCommand": false,
    "IsUnrestricted": true,
    "PrincipalIsAdmin": true,
    "IsUnrestrictedNonAdminGrant": false,
    "IsUnwitnessedWrite": false,
    "DenialTestCount": 0
   },
   {
    "AccessPolicyId": "pol-processsteward-message_templates-select",
    "Principal": "principal-process-steward",
    "TargetTable": "MessageTemplates",
    "Command": "SELECT",
    "RowPredicate": "",
    "CheckPredicate": "",
    "Rationale": "Full read: this principal is a declared administrator.",
    "ReferencesInference": false,
    "SemanticTypeIri": "urn:effortless:pko-extension#AccessPolicy",
    "Name": "principal-process-steward SELECT MessageTemplates",
    "IsWriteCommand": false,
    "IsUnrestricted": true,
    "PrincipalIsAdmin": true,
    "IsUnrestrictedNonAdminGrant": false,
    "IsUnwitnessedWrite": false,
    "DenialTestCount": 0
   },
   {
    "AccessPolicyId": "pol-processsteward-observed_transitions-select",
    "Principal": "principal-process-steward",
    "TargetTable": "ObservedTransitions",
    "Command": "SELECT",
    "RowPredicate": "",
    "CheckPredicate": "",
    "Rationale": "Full read: this principal is a declared administrator.",
    "ReferencesInference": false,
    "SemanticTypeIri": "urn:effortless:pko-extension#AccessPolicy",
    "Name": "principal-process-steward SELECT ObservedTransitions",
    "IsWriteCommand": false,
    "IsUnrestricted": true,
    "PrincipalIsAdmin": true,
    "IsUnrestrictedNonAdminGrant": false,
    "IsUnwitnessedWrite": false,
    "DenialTestCount": 0
   },
   {
    "AccessPolicyId": "pol-processsteward-ontology_profiles-select",
    "Principal": "principal-process-steward",
    "TargetTable": "OntologyProfiles",
    "Command": "SELECT",
    "RowPredicate": "",
    "CheckPredicate": "",
    "Rationale": "Full read: this principal is a declared administrator.",
    "ReferencesInference": false,
    "SemanticTypeIri": "urn:effortless:pko-extension#AccessPolicy",
    "Name": "principal-process-steward SELECT OntologyProfiles",
    "IsWriteCommand": false,
    "IsUnrestricted": true,
    "PrincipalIsAdmin": true,
    "IsUnrestrictedNonAdminGrant": false,
    "IsUnwitnessedWrite": false,
    "DenialTestCount": 0
   },
   {
    "AccessPolicyId": "pol-processsteward-operational_bindings-select",
    "Principal": "principal-process-steward",
    "TargetTable": "OperationalBindings",
    "Command": "SELECT",
    "RowPredicate": "",
    "CheckPredicate": "",
    "Rationale": "Full read: this principal is a declared administrator.",
    "ReferencesInference": false,
    "SemanticTypeIri": "urn:effortless:pko-extension#AccessPolicy",
    "Name": "principal-process-steward SELECT OperationalBindings",
    "IsWriteCommand": false,
    "IsUnrestricted": true,
    "PrincipalIsAdmin": true,
    "IsUnrestrictedNonAdminGrant": false,
    "IsUnwitnessedWrite": false,
    "DenialTestCount": 0
   },
   {
    "AccessPolicyId": "pol-processsteward-organizations-select",
    "Principal": "principal-process-steward",
    "TargetTable": "Organizations",
    "Command": "SELECT",
    "RowPredicate": "",
    "CheckPredicate": "",
    "Rationale": "Full read: this principal is a declared administrator.",
    "ReferencesInference": false,
    "SemanticTypeIri": "urn:effortless:pko-extension#AccessPolicy",
    "Name": "principal-process-steward SELECT Organizations",
    "IsWriteCommand": false,
    "IsUnrestricted": true,
    "PrincipalIsAdmin": true,
    "IsUnrestrictedNonAdminGrant": false,
    "IsUnwitnessedWrite": false,
    "DenialTestCount": 0
   },
   {
    "AccessPolicyId": "pol-processsteward-procedure_executions-select",
    "Principal": "principal-process-steward",
    "TargetTable": "ProcedureExecutions",
    "Command": "SELECT",
    "RowPredicate": "",
    "CheckPredicate": "",
    "Rationale": "Full read: this principal is a declared administrator.",
    "ReferencesInference": false,
    "SemanticTypeIri": "urn:effortless:pko-extension#AccessPolicy",
    "Name": "principal-process-steward SELECT ProcedureExecutions",
    "IsWriteCommand": false,
    "IsUnrestricted": true,
    "PrincipalIsAdmin": true,
    "IsUnrestrictedNonAdminGrant": false,
    "IsUnwitnessedWrite": false,
    "DenialTestCount": 0
   },
   {
    "AccessPolicyId": "pol-processsteward-procedure_resources-select",
    "Principal": "principal-process-steward",
    "TargetTable": "ProcedureResources",
    "Command": "SELECT",
    "RowPredicate": "",
    "CheckPredicate": "",
    "Rationale": "Full read: this principal is a declared administrator.",
    "ReferencesInference": false,
    "SemanticTypeIri": "urn:effortless:pko-extension#AccessPolicy",
    "Name": "principal-process-steward SELECT ProcedureResources",
    "IsWriteCommand": false,
    "IsUnrestricted": true,
    "PrincipalIsAdmin": true,
    "IsUnrestrictedNonAdminGrant": false,
    "IsUnwitnessedWrite": false,
    "DenialTestCount": 0
   },
   {
    "AccessPolicyId": "pol-processsteward-procedure_status_changes-select",
    "Principal": "principal-process-steward",
    "TargetTable": "ProcedureStatusChanges",
    "Command": "SELECT",
    "RowPredicate": "",
    "CheckPredicate": "",
    "Rationale": "Full read: this principal is a declared administrator.",
    "ReferencesInference": false,
    "SemanticTypeIri": "urn:effortless:pko-extension#AccessPolicy",
    "Name": "principal-process-steward SELECT ProcedureStatusChanges",
    "IsWriteCommand": false,
    "IsUnrestricted": true,
    "PrincipalIsAdmin": true,
    "IsUnrestrictedNonAdminGrant": false,
    "IsUnwitnessedWrite": false,
    "DenialTestCount": 0
   },
   {
    "AccessPolicyId": "pol-processsteward-procedure_types-select",
    "Principal": "principal-process-steward",
    "TargetTable": "ProcedureTypes",
    "Command": "SELECT",
    "RowPredicate": "",
    "CheckPredicate": "",
    "Rationale": "Full read: this principal is a declared administrator.",
    "ReferencesInference": false,
    "SemanticTypeIri": "urn:effortless:pko-extension#AccessPolicy",
    "Name": "principal-process-steward SELECT ProcedureTypes",
    "IsWriteCommand": false,
    "IsUnrestricted": true,
    "PrincipalIsAdmin": true,
    "IsUnrestrictedNonAdminGrant": false,
    "IsUnwitnessedWrite": false,
    "DenialTestCount": 0
   },
   {
    "AccessPolicyId": "pol-processsteward-procedure_version_links-select",
    "Principal": "principal-process-steward",
    "TargetTable": "ProcedureVersionLinks",
    "Command": "SELECT",
    "RowPredicate": "",
    "CheckPredicate": "",
    "Rationale": "Full read: this principal is a declared administrator.",
    "ReferencesInference": false,
    "SemanticTypeIri": "urn:effortless:pko-extension#AccessPolicy",
    "Name": "principal-process-steward SELECT ProcedureVersionLinks",
    "IsWriteCommand": false,
    "IsUnrestricted": true,
    "PrincipalIsAdmin": true,
    "IsUnrestrictedNonAdminGrant": false,
    "IsUnwitnessedWrite": false,
    "DenialTestCount": 0
   },
   {
    "AccessPolicyId": "pol-processsteward-procedure_versions-select",
    "Principal": "principal-process-steward",
    "TargetTable": "ProcedureVersions",
    "Command": "SELECT",
    "RowPredicate": "",
    "CheckPredicate": "",
    "Rationale": "Full read: this principal is a declared administrator.",
    "ReferencesInference": false,
    "SemanticTypeIri": "urn:effortless:pko-extension#AccessPolicy",
    "Name": "principal-process-steward SELECT ProcedureVersions",
    "IsWriteCommand": false,
    "IsUnrestricted": true,
    "PrincipalIsAdmin": true,
    "IsUnrestrictedNonAdminGrant": false,
    "IsUnwitnessedWrite": false,
    "DenialTestCount": 0
   },
   {
    "AccessPolicyId": "pol-processsteward-procedures-select",
    "Principal": "principal-process-steward",
    "TargetTable": "Procedures",
    "Command": "SELECT",
    "RowPredicate": "",
    "CheckPredicate": "",
    "Rationale": "Full read: this principal is a declared administrator.",
    "ReferencesInference": false,
    "SemanticTypeIri": "urn:effortless:pko-extension#AccessPolicy",
    "Name": "principal-process-steward SELECT Procedures",
    "IsWriteCommand": false,
    "IsUnrestricted": true,
    "PrincipalIsAdmin": true,
    "IsUnrestrictedNonAdminGrant": false,
    "IsUnwitnessedWrite": false,
    "DenialTestCount": 0
   },
   {
    "AccessPolicyId": "pol-processsteward-rationales-select",
    "Principal": "principal-process-steward",
    "TargetTable": "Rationales",
    "Command": "SELECT",
    "RowPredicate": "",
    "CheckPredicate": "",
    "Rationale": "Full read: this principal is a declared administrator.",
    "ReferencesInference": false,
    "SemanticTypeIri": "urn:effortless:pko-extension#AccessPolicy",
    "Name": "principal-process-steward SELECT Rationales",
    "IsWriteCommand": false,
    "IsUnrestricted": true,
    "PrincipalIsAdmin": true,
    "IsUnrestrictedNonAdminGrant": false,
    "IsUnwitnessedWrite": false,
    "DenialTestCount": 0
   },
   {
    "AccessPolicyId": "pol-processsteward-recipients-select",
    "Principal": "principal-process-steward",
    "TargetTable": "Recipients",
    "Command": "SELECT",
    "RowPredicate": "",
    "CheckPredicate": "",
    "Rationale": "Full read: this principal is a declared administrator.",
    "ReferencesInference": false,
    "SemanticTypeIri": "urn:effortless:pko-extension#AccessPolicy",
    "Name": "principal-process-steward SELECT Recipients",
    "IsWriteCommand": false,
    "IsUnrestricted": true,
    "PrincipalIsAdmin": true,
    "IsUnrestrictedNonAdminGrant": false,
    "IsUnwitnessedWrite": false,
    "DenialTestCount": 0
   },
   {
    "AccessPolicyId": "pol-processsteward-requirement_satisfactions-select",
    "Principal": "principal-process-steward",
    "TargetTable": "RequirementSatisfactions",
    "Command": "SELECT",
    "RowPredicate": "",
    "CheckPredicate": "",
    "Rationale": "Full read: this principal is a declared administrator.",
    "ReferencesInference": false,
    "SemanticTypeIri": "urn:effortless:pko-extension#AccessPolicy",
    "Name": "principal-process-steward SELECT RequirementSatisfactions",
    "IsWriteCommand": false,
    "IsUnrestricted": true,
    "PrincipalIsAdmin": true,
    "IsUnrestrictedNonAdminGrant": false,
    "IsUnwitnessedWrite": false,
    "DenialTestCount": 0
   },
   {
    "AccessPolicyId": "pol-processsteward-requirements-select",
    "Principal": "principal-process-steward",
    "TargetTable": "Requirements",
    "Command": "SELECT",
    "RowPredicate": "",
    "CheckPredicate": "",
    "Rationale": "Full read: this principal is a declared administrator.",
    "ReferencesInference": false,
    "SemanticTypeIri": "urn:effortless:pko-extension#AccessPolicy",
    "Name": "principal-process-steward SELECT Requirements",
    "IsWriteCommand": false,
    "IsUnrestricted": true,
    "PrincipalIsAdmin": true,
    "IsUnrestrictedNonAdminGrant": false,
    "IsUnwitnessedWrite": false,
    "DenialTestCount": 0
   },
   {
    "AccessPolicyId": "pol-processsteward-resources-select",
    "Principal": "principal-process-steward",
    "TargetTable": "Resources",
    "Command": "SELECT",
    "RowPredicate": "",
    "CheckPredicate": "",
    "Rationale": "Full read: this principal is a declared administrator.",
    "ReferencesInference": false,
    "SemanticTypeIri": "urn:effortless:pko-extension#AccessPolicy",
    "Name": "principal-process-steward SELECT Resources",
    "IsWriteCommand": false,
    "IsUnrestricted": true,
    "PrincipalIsAdmin": true,
    "IsUnrestrictedNonAdminGrant": false,
    "IsUnwitnessedWrite": false,
    "DenialTestCount": 0
   },
   {
    "AccessPolicyId": "pol-processsteward-review_events-select",
    "Principal": "principal-process-steward",
    "TargetTable": "ReviewEvents",
    "Command": "SELECT",
    "RowPredicate": "",
    "CheckPredicate": "",
    "Rationale": "Full read: this principal is a declared administrator.",
    "ReferencesInference": false,
    "SemanticTypeIri": "urn:effortless:pko-extension#AccessPolicy",
    "Name": "principal-process-steward SELECT ReviewEvents",
    "IsWriteCommand": false,
    "IsUnrestricted": true,
    "PrincipalIsAdmin": true,
    "IsUnrestrictedNonAdminGrant": false,
    "IsUnwitnessedWrite": false,
    "DenialTestCount": 0
   },
   {
    "AccessPolicyId": "pol-processsteward-role_assignments-select",
    "Principal": "principal-process-steward",
    "TargetTable": "RoleAssignments",
    "Command": "SELECT",
    "RowPredicate": "",
    "CheckPredicate": "",
    "Rationale": "Full read: this principal is a declared administrator.",
    "ReferencesInference": false,
    "SemanticTypeIri": "urn:effortless:pko-extension#AccessPolicy",
    "Name": "principal-process-steward SELECT RoleAssignments",
    "IsWriteCommand": false,
    "IsUnrestricted": true,
    "PrincipalIsAdmin": true,
    "IsUnrestrictedNonAdminGrant": false,
    "IsUnwitnessedWrite": false,
    "DenialTestCount": 0
   },
   {
    "AccessPolicyId": "pol-processsteward-role_questions-select",
    "Principal": "principal-process-steward",
    "TargetTable": "RoleQuestions",
    "Command": "SELECT",
    "RowPredicate": "",
    "CheckPredicate": "",
    "Rationale": "Full read: this principal is a declared administrator.",
    "ReferencesInference": false,
    "SemanticTypeIri": "urn:effortless:pko-extension#AccessPolicy",
    "Name": "principal-process-steward SELECT RoleQuestions",
    "IsWriteCommand": false,
    "IsUnrestricted": true,
    "PrincipalIsAdmin": true,
    "IsUnrestrictedNonAdminGrant": false,
    "IsUnwitnessedWrite": false,
    "DenialTestCount": 0
   },
   {
    "AccessPolicyId": "pol-processsteward-roles-select",
    "Principal": "principal-process-steward",
    "TargetTable": "Roles",
    "Command": "SELECT",
    "RowPredicate": "",
    "CheckPredicate": "",
    "Rationale": "Full read: this principal is a declared administrator.",
    "ReferencesInference": false,
    "SemanticTypeIri": "urn:effortless:pko-extension#AccessPolicy",
    "Name": "principal-process-steward SELECT Roles",
    "IsWriteCommand": false,
    "IsUnrestricted": true,
    "PrincipalIsAdmin": true,
    "IsUnrestrictedNonAdminGrant": false,
    "IsUnwitnessedWrite": false,
    "DenialTestCount": 0
   },
   {
    "AccessPolicyId": "pol-processsteward-rulebook_fields-select",
    "Principal": "principal-process-steward",
    "TargetTable": "RulebookFields",
    "Command": "SELECT",
    "RowPredicate": "",
    "CheckPredicate": "",
    "Rationale": "Full read: this principal is a declared administrator.",
    "ReferencesInference": false,
    "SemanticTypeIri": "urn:effortless:pko-extension#AccessPolicy",
    "Name": "principal-process-steward SELECT RulebookFields",
    "IsWriteCommand": false,
    "IsUnrestricted": true,
    "PrincipalIsAdmin": true,
    "IsUnrestrictedNonAdminGrant": false,
    "IsUnwitnessedWrite": false,
    "DenialTestCount": 0
   },
   {
    "AccessPolicyId": "pol-processsteward-rulebook_releases-select",
    "Principal": "principal-process-steward",
    "TargetTable": "RulebookReleases",
    "Command": "SELECT",
    "RowPredicate": "",
    "CheckPredicate": "",
    "Rationale": "Full read: this principal is a declared administrator.",
    "ReferencesInference": false,
    "SemanticTypeIri": "urn:effortless:pko-extension#AccessPolicy",
    "Name": "principal-process-steward SELECT RulebookReleases",
    "IsWriteCommand": false,
    "IsUnrestricted": true,
    "PrincipalIsAdmin": true,
    "IsUnrestrictedNonAdminGrant": false,
    "IsUnwitnessedWrite": false,
    "DenialTestCount": 0
   },
   {
    "AccessPolicyId": "pol-processsteward-semantic_mappings-select",
    "Principal": "principal-process-steward",
    "TargetTable": "SemanticMappings",
    "Command": "SELECT",
    "RowPredicate": "",
    "CheckPredicate": "",
    "Rationale": "Full read: this principal is a declared administrator.",
    "ReferencesInference": false,
    "SemanticTypeIri": "urn:effortless:pko-extension#AccessPolicy",
    "Name": "principal-process-steward SELECT SemanticMappings",
    "IsWriteCommand": false,
    "IsUnrestricted": true,
    "PrincipalIsAdmin": true,
    "IsUnrestrictedNonAdminGrant": false,
    "IsUnwitnessedWrite": false,
    "DenialTestCount": 0
   },
   {
    "AccessPolicyId": "pol-processsteward-send_intents-select",
    "Principal": "principal-process-steward",
    "TargetTable": "SendIntents",
    "Command": "SELECT",
    "RowPredicate": "",
    "CheckPredicate": "",
    "Rationale": "Full read: this principal is a declared administrator.",
    "ReferencesInference": false,
    "SemanticTypeIri": "urn:effortless:pko-extension#AccessPolicy",
    "Name": "principal-process-steward SELECT SendIntents",
    "IsWriteCommand": false,
    "IsUnrestricted": true,
    "PrincipalIsAdmin": true,
    "IsUnrestrictedNonAdminGrant": false,
    "IsUnwitnessedWrite": false,
    "DenialTestCount": 0
   },
   {
    "AccessPolicyId": "pol-processsteward-step_actions-select",
    "Principal": "principal-process-steward",
    "TargetTable": "StepActions",
    "Command": "SELECT",
    "RowPredicate": "",
    "CheckPredicate": "",
    "Rationale": "Full read: this principal is a declared administrator.",
    "ReferencesInference": false,
    "SemanticTypeIri": "urn:effortless:pko-extension#AccessPolicy",
    "Name": "principal-process-steward SELECT StepActions",
    "IsWriteCommand": false,
    "IsUnrestricted": true,
    "PrincipalIsAdmin": true,
    "IsUnrestrictedNonAdminGrant": false,
    "IsUnwitnessedWrite": false,
    "DenialTestCount": 0
   },
   {
    "AccessPolicyId": "pol-processsteward-step_executions-select",
    "Principal": "principal-process-steward",
    "TargetTable": "StepExecutions",
    "Command": "SELECT",
    "RowPredicate": "",
    "CheckPredicate": "",
    "Rationale": "Full read: this principal is a declared administrator.",
    "ReferencesInference": false,
    "SemanticTypeIri": "urn:effortless:pko-extension#AccessPolicy",
    "Name": "principal-process-steward SELECT StepExecutions",
    "IsWriteCommand": false,
    "IsUnrestricted": true,
    "PrincipalIsAdmin": true,
    "IsUnrestrictedNonAdminGrant": false,
    "IsUnwitnessedWrite": false,
    "DenialTestCount": 0
   },
   {
    "AccessPolicyId": "pol-processsteward-step_functions-select",
    "Principal": "principal-process-steward",
    "TargetTable": "StepFunctions",
    "Command": "SELECT",
    "RowPredicate": "",
    "CheckPredicate": "",
    "Rationale": "Full read: this principal is a declared administrator.",
    "ReferencesInference": false,
    "SemanticTypeIri": "urn:effortless:pko-extension#AccessPolicy",
    "Name": "principal-process-steward SELECT StepFunctions",
    "IsWriteCommand": false,
    "IsUnrestricted": true,
    "PrincipalIsAdmin": true,
    "IsUnrestrictedNonAdminGrant": false,
    "IsUnwitnessedWrite": false,
    "DenialTestCount": 0
   },
   {
    "AccessPolicyId": "pol-processsteward-step_requirements-select",
    "Principal": "principal-process-steward",
    "TargetTable": "StepRequirements",
    "Command": "SELECT",
    "RowPredicate": "",
    "CheckPredicate": "",
    "Rationale": "Full read: this principal is a declared administrator.",
    "ReferencesInference": false,
    "SemanticTypeIri": "urn:effortless:pko-extension#AccessPolicy",
    "Name": "principal-process-steward SELECT StepRequirements",
    "IsWriteCommand": false,
    "IsUnrestricted": true,
    "PrincipalIsAdmin": true,
    "IsUnrestrictedNonAdminGrant": false,
    "IsUnwitnessedWrite": false,
    "DenialTestCount": 0
   },
   {
    "AccessPolicyId": "pol-processsteward-step_tools-select",
    "Principal": "principal-process-steward",
    "TargetTable": "StepTools",
    "Command": "SELECT",
    "RowPredicate": "",
    "CheckPredicate": "",
    "Rationale": "Full read: this principal is a declared administrator.",
    "ReferencesInference": false,
    "SemanticTypeIri": "urn:effortless:pko-extension#AccessPolicy",
    "Name": "principal-process-steward SELECT StepTools",
    "IsWriteCommand": false,
    "IsUnrestricted": true,
    "PrincipalIsAdmin": true,
    "IsUnrestrictedNonAdminGrant": false,
    "IsUnwitnessedWrite": false,
    "DenialTestCount": 0
   },
   {
    "AccessPolicyId": "pol-processsteward-step_transitions-select",
    "Principal": "principal-process-steward",
    "TargetTable": "StepTransitions",
    "Command": "SELECT",
    "RowPredicate": "",
    "CheckPredicate": "",
    "Rationale": "Full read: this principal is a declared administrator.",
    "ReferencesInference": false,
    "SemanticTypeIri": "urn:effortless:pko-extension#AccessPolicy",
    "Name": "principal-process-steward SELECT StepTransitions",
    "IsWriteCommand": false,
    "IsUnrestricted": true,
    "PrincipalIsAdmin": true,
    "IsUnrestrictedNonAdminGrant": false,
    "IsUnwitnessedWrite": false,
    "DenialTestCount": 0
   },
   {
    "AccessPolicyId": "pol-processsteward-step_verifications-select",
    "Principal": "principal-process-steward",
    "TargetTable": "StepVerifications",
    "Command": "SELECT",
    "RowPredicate": "",
    "CheckPredicate": "",
    "Rationale": "Full read: this principal is a declared administrator.",
    "ReferencesInference": false,
    "SemanticTypeIri": "urn:effortless:pko-extension#AccessPolicy",
    "Name": "principal-process-steward SELECT StepVerifications",
    "IsWriteCommand": false,
    "IsUnrestricted": true,
    "PrincipalIsAdmin": true,
    "IsUnrestrictedNonAdminGrant": false,
    "IsUnwitnessedWrite": false,
    "DenialTestCount": 0
   },
   {
    "AccessPolicyId": "pol-processsteward-steps-select",
    "Principal": "principal-process-steward",
    "TargetTable": "Steps",
    "Command": "SELECT",
    "RowPredicate": "",
    "CheckPredicate": "",
    "Rationale": "Full read: this principal is a declared administrator.",
    "ReferencesInference": false,
    "SemanticTypeIri": "urn:effortless:pko-extension#AccessPolicy",
    "Name": "principal-process-steward SELECT Steps",
    "IsWriteCommand": false,
    "IsUnrestricted": true,
    "PrincipalIsAdmin": true,
    "IsUnrestrictedNonAdminGrant": false,
    "IsUnwitnessedWrite": false,
    "DenialTestCount": 0
   },
   {
    "AccessPolicyId": "pol-processsteward-stewardship_assignments-select",
    "Principal": "principal-process-steward",
    "TargetTable": "StewardshipAssignments",
    "Command": "SELECT",
    "RowPredicate": "",
    "CheckPredicate": "",
    "Rationale": "Full read: this principal is a declared administrator.",
    "ReferencesInference": false,
    "SemanticTypeIri": "urn:effortless:pko-extension#AccessPolicy",
    "Name": "principal-process-steward SELECT StewardshipAssignments",
    "IsWriteCommand": false,
    "IsUnrestricted": true,
    "PrincipalIsAdmin": true,
    "IsUnrestrictedNonAdminGrant": false,
    "IsUnwitnessedWrite": false,
    "DenialTestCount": 0
   },
   {
    "AccessPolicyId": "pol-processsteward-template_approvals-select",
    "Principal": "principal-process-steward",
    "TargetTable": "TemplateApprovals",
    "Command": "SELECT",
    "RowPredicate": "",
    "CheckPredicate": "",
    "Rationale": "Full read: this principal is a declared administrator.",
    "ReferencesInference": false,
    "SemanticTypeIri": "urn:effortless:pko-extension#AccessPolicy",
    "Name": "principal-process-steward SELECT TemplateApprovals",
    "IsWriteCommand": false,
    "IsUnrestricted": true,
    "PrincipalIsAdmin": true,
    "IsUnrestrictedNonAdminGrant": false,
    "IsUnwitnessedWrite": false,
    "DenialTestCount": 0
   },
   {
    "AccessPolicyId": "pol-processsteward-test_cases-select",
    "Principal": "principal-process-steward",
    "TargetTable": "TestCases",
    "Command": "SELECT",
    "RowPredicate": "",
    "CheckPredicate": "",
    "Rationale": "Full read: this principal is a declared administrator.",
    "ReferencesInference": false,
    "SemanticTypeIri": "urn:effortless:pko-extension#AccessPolicy",
    "Name": "principal-process-steward SELECT TestCases",
    "IsWriteCommand": false,
    "IsUnrestricted": true,
    "PrincipalIsAdmin": true,
    "IsUnrestrictedNonAdminGrant": false,
    "IsUnwitnessedWrite": false,
    "DenialTestCount": 0
   },
   {
    "AccessPolicyId": "pol-processsteward-test_suites-select",
    "Principal": "principal-process-steward",
    "TargetTable": "TestSuites",
    "Command": "SELECT",
    "RowPredicate": "",
    "CheckPredicate": "",
    "Rationale": "Full read: this principal is a declared administrator.",
    "ReferencesInference": false,
    "SemanticTypeIri": "urn:effortless:pko-extension#AccessPolicy",
    "Name": "principal-process-steward SELECT TestSuites",
    "IsWriteCommand": false,
    "IsUnrestricted": true,
    "PrincipalIsAdmin": true,
    "IsUnrestrictedNonAdminGrant": false,
    "IsUnwitnessedWrite": false,
    "DenialTestCount": 0
   },
   {
    "AccessPolicyId": "pol-processsteward-tools-select",
    "Principal": "principal-process-steward",
    "TargetTable": "Tools",
    "Command": "SELECT",
    "RowPredicate": "",
    "CheckPredicate": "",
    "Rationale": "Full read: this principal is a declared administrator.",
    "ReferencesInference": false,
    "SemanticTypeIri": "urn:effortless:pko-extension#AccessPolicy",
    "Name": "principal-process-steward SELECT Tools",
    "IsWriteCommand": false,
    "IsUnrestricted": true,
    "PrincipalIsAdmin": true,
    "IsUnrestrictedNonAdminGrant": false,
    "IsUnwitnessedWrite": false,
    "DenialTestCount": 0
   },
   {
    "AccessPolicyId": "pol-processsteward-user_feedback-select",
    "Principal": "principal-process-steward",
    "TargetTable": "UserFeedback",
    "Command": "SELECT",
    "RowPredicate": "",
    "CheckPredicate": "",
    "Rationale": "Full read: this principal is a declared administrator.",
    "ReferencesInference": false,
    "SemanticTypeIri": "urn:effortless:pko-extension#AccessPolicy",
    "Name": "principal-process-steward SELECT UserFeedback",
    "IsWriteCommand": false,
    "IsUnrestricted": true,
    "PrincipalIsAdmin": true,
    "IsUnrestrictedNonAdminGrant": false,
    "IsUnwitnessedWrite": false,
    "DenialTestCount": 0
   </t>
  </si>
  <si>
    <t xml:space="preserve">},
   {
    "AccessPolicyId": "pol-processsteward-user_questions-select",
    "Principal": "principal-process-steward",
    "TargetTable": "UserQuestions",
    "Command": "SELECT",
    "RowPredicate": "",
    "CheckPredicate": "",
    "Rationale": "Full read: this principal is a declared administrator.",
    "ReferencesInference": false,
    "SemanticTypeIri": "urn:effortless:pko-extension#AccessPolicy",
    "Name": "principal-process-steward SELECT UserQuestions",
    "IsWriteCommand": false,
    "IsUnrestricted": true,
    "PrincipalIsAdmin": true,
    "IsUnrestrictedNonAdminGrant": false,
    "IsUnwitnessedWrite": false,
    "DenialTestCount": 0
   },
   {
    "AccessPolicyId": "pol-processsteward-verification_outcomes-select",
    "Principal": "principal-process-steward",
    "TargetTable": "VerificationOutcomes",
    "Command": "SELECT",
    "RowPredicate": "",
    "CheckPredicate": "",
    "Rationale": "Full read: this principal is a declared administrator.",
    "ReferencesInference": false,
    "SemanticTypeIri": "urn:effortless:pko-extension#AccessPolicy",
    "Name": "principal-process-steward SELECT VerificationOutcomes",
    "IsWriteCommand": false,
    "IsUnrestricted": true,
    "PrincipalIsAdmin": true,
    "IsUnrestrictedNonAdminGrant": false,
    "IsUnwitnessedWrite": false,
    "DenialTestCount": 0
   },
   {
    "AccessPolicyId": "pol-processsteward-witness_loops-select",
    "Principal": "principal-process-steward",
    "TargetTable": "WitnessLoops",
    "Command": "SELECT",
    "RowPredicate": "",
    "CheckPredicate": "",
    "Rationale": "Full read: this principal is a declared administrator.",
    "ReferencesInference": false,
    "SemanticTypeIri": "urn:effortless:pko-extension#AccessPolicy",
    "Name": "principal-process-steward SELECT WitnessLoops",
    "IsWriteCommand": false,
    "IsUnrestricted": true,
    "PrincipalIsAdmin": true,
    "IsUnrestrictedNonAdminGrant": false,
    "IsUnwitnessedWrite": false,
    "DenialTestCount": 0
   },
   {
    "AccessPolicyId": "pol-knowledgeauthority-actions-select",
    "Principal": "principal-knowledge-authority",
    "TargetTable": "Actions",
    "Command": "SELECT",
    "RowPredicate": "",
    "CheckPredicate": "",
    "Rationale": "Full read: this principal is a declared administrator.",
    "ReferencesInference": false,
    "SemanticTypeIri": "urn:effortless:pko-extension#AccessPolicy",
    "Name": "principal-knowledge-authority SELECT Actions",
    "IsWriteCommand": false,
    "IsUnrestricted": true,
    "PrincipalIsAdmin": true,
    "IsUnrestrictedNonAdminGrant": false,
    "IsUnwitnessedWrite": false,
    "DenialTestCount": 0
   },
   {
    "AccessPolicyId": "pol-knowledgeauthority-agent_decision_records-select",
    "Principal": "principal-knowledge-authority",
    "TargetTable": "AgentDecisionRecords",
    "Command": "SELECT",
    "RowPredicate": "",
    "CheckPredicate": "",
    "Rationale": "Full read: this principal is a declared administrator.",
    "ReferencesInference": false,
    "SemanticTypeIri": "urn:effortless:pko-extension#AccessPolicy",
    "Name": "principal-knowledge-authority SELECT AgentDecisionRecords",
    "IsWriteCommand": false,
    "IsUnrestricted": true,
    "PrincipalIsAdmin": true,
    "IsUnrestrictedNonAdminGrant": false,
    "IsUnwitnessedWrite": false,
    "DenialTestCount": 0
   },
   {
    "AccessPolicyId": "pol-knowledgeauthority-agents-select",
    "Principal": "principal-knowledge-authority",
    "TargetTable": "Agents",
    "Command": "SELECT",
    "RowPredicate": "",
    "CheckPredicate": "",
    "Rationale": "Full read: this principal is a declared administrator.",
    "ReferencesInference": false,
    "SemanticTypeIri": "urn:effortless:pko-extension#AccessPolicy",
    "Name": "principal-knowledge-authority SELECT Agents",
    "IsWriteCommand": false,
    "IsUnrestricted": true,
    "PrincipalIsAdmin": true,
    "IsUnrestrictedNonAdminGrant": false,
    "IsUnwitnessedWrite": false,
    "DenialTestCount": 0
   },
   {
    "AccessPolicyId": "pol-knowledgeauthority-app_nav_groups-select",
    "Principal": "principal-knowledge-authority",
    "TargetTable": "AppNavGroups",
    "Command": "SELECT",
    "RowPredicate": "",
    "CheckPredicate": "",
    "Rationale": "Full read: this principal is a declared administrator.",
    "ReferencesInference": false,
    "SemanticTypeIri": "urn:effortless:pko-extension#AccessPolicy",
    "Name": "principal-knowledge-authority SELECT AppNavGroups",
    "IsWriteCommand": false,
    "IsUnrestricted": true,
    "PrincipalIsAdmin": true,
    "IsUnrestrictedNonAdminGrant": false,
    "IsUnwitnessedWrite": false,
    "DenialTestCount": 0
   },
   {
    "AccessPolicyId": "pol-knowledgeauthority-app_role_profiles-select",
    "Principal": "principal-knowledge-authority",
    "TargetTable": "AppRoleProfiles",
    "Command": "SELECT",
    "RowPredicate": "",
    "CheckPredicate": "",
    "Rationale": "Full read: this principal is a declared administrator.",
    "ReferencesInference": false,
    "SemanticTypeIri": "urn:effortless:pko-extension#AccessPolicy",
    "Name": "principal-knowledge-authority SELECT AppRoleProfiles",
    "IsWriteCommand": false,
    "IsUnrestricted": true,
    "PrincipalIsAdmin": true,
    "IsUnrestrictedNonAdminGrant": false,
    "IsUnwitnessedWrite": false,
    "DenialTestCount": 0
   },
   {
    "AccessPolicyId": "pol-knowledgeauthority-app_route_questions-select",
    "Principal": "principal-knowledge-authority",
    "TargetTable": "AppRouteQuestions",
    "Command": "SELECT",
    "RowPredicate": "",
    "CheckPredicate": "",
    "Rationale": "Full read: this principal is a declared administrator.",
    "ReferencesInference": false,
    "SemanticTypeIri": "urn:effortless:pko-extension#AccessPolicy",
    "Name": "principal-knowledge-authority SELECT AppRouteQuestions",
    "IsWriteCommand": false,
    "IsUnrestricted": true,
    "PrincipalIsAdmin": true,
    "IsUnrestrictedNonAdminGrant": false,
    "IsUnwitnessedWrite": false,
    "DenialTestCount": 0
   },
   {
    "AccessPolicyId": "pol-knowledgeauthority-app_route_references-select",
    "Principal": "principal-knowledge-authority",
    "TargetTable": "AppRouteReferences",
    "Command": "SELECT",
    "RowPredicate": "",
    "CheckPredicate": "",
    "Rationale": "Full read: this principal is a declared administrator.",
    "ReferencesInference": false,
    "SemanticTypeIri": "urn:effortless:pko-extension#AccessPolicy",
    "Name": "principal-knowledge-authority SELECT AppRouteReferences",
    "IsWriteCommand": false,
    "IsUnrestricted": true,
    "PrincipalIsAdmin": true,
    "IsUnrestrictedNonAdminGrant": false,
    "IsUnwitnessedWrite": false,
    "DenialTestCount": 0
   },
   {
    "AccessPolicyId": "pol-knowledgeauthority-app_routes-select",
    "Principal": "principal-knowledge-authority",
    "TargetTable": "AppRoutes",
    "Command": "SELECT",
    "RowPredicate": "",
    "CheckPredicate": "",
    "Rationale": "Full read: this principal is a declared administrator.",
    "ReferencesInference": false,
    "SemanticTypeIri": "urn:effortless:pko-extension#AccessPolicy",
    "Name": "principal-knowledge-authority SELECT AppRoutes",
    "IsWriteCommand": false,
    "IsUnrestricted": true,
    "PrincipalIsAdmin": true,
    "IsUnrestrictedNonAdminGrant": false,
    "IsUnwitnessedWrite": false,
    "DenialTestCount": 0
   },
   {
    "AccessPolicyId": "pol-knowledgeauthority-attestations-select",
    "Principal": "principal-knowledge-authority",
    "TargetTable": "Attestations",
    "Command": "SELECT",
    "RowPredicate": "",
    "CheckPredicate": "",
    "Rationale": "Full read: this principal is a declared administrator.",
    "ReferencesInference": false,
    "SemanticTypeIri": "urn:effortless:pko-extension#AccessPolicy",
    "Name": "principal-knowledge-authority SELECT Attestations",
    "IsWriteCommand": false,
    "IsUnrestricted": true,
    "PrincipalIsAdmin": true,
    "IsUnrestrictedNonAdminGrant": false,
    "IsUnwitnessedWrite": false,
    "DenialTestCount": 0
   },
   {
    "AccessPolicyId": "pol-knowledgeauthority-authority_boundaries-select",
    "Principal": "principal-knowledge-authority",
    "TargetTable": "AuthorityBoundaries",
    "Command": "SELECT",
    "RowPredicate": "",
    "CheckPredicate": "",
    "Rationale": "Full read: this principal is a declared administrator.",
    "ReferencesInference": false,
    "SemanticTypeIri": "urn:effortless:pko-extension#AccessPolicy",
    "Name": "principal-knowledge-authority SELECT AuthorityBoundaries",
    "IsWriteCommand": false,
    "IsUnrestricted": true,
    "PrincipalIsAdmin": true,
    "IsUnrestrictedNonAdminGrant": false,
    "IsUnwitnessedWrite": false,
    "DenialTestCount": 0
   },
   {
    "AccessPolicyId": "pol-knowledgeauthority-binding_observations-select",
    "Principal": "principal-knowledge-authority",
    "TargetTable": "BindingObservations",
    "Command": "SELECT",
    "RowPredicate": "",
    "CheckPredicate": "",
    "Rationale": "Full read: this principal is a declared administrator.",
    "ReferencesInference": false,
    "SemanticTypeIri": "urn:effortless:pko-extension#AccessPolicy",
    "Name": "principal-knowledge-authority SELECT BindingObservations",
    "IsWriteCommand": false,
    "IsUnrestricted": true,
    "PrincipalIsAdmin": true,
    "IsUnrestrictedNonAdminGrant": false,
    "IsUnwitnessedWrite": false,
    "DenialTestCount": 0
   },
   {
    "AccessPolicyId": "pol-knowledgeauthority-change_requests-select",
    "Principal": "principal-knowledge-authority",
    "TargetTable": "ChangeRequests",
    "Command": "SELECT",
    "RowPredicate": "",
    "CheckPredicate": "",
    "Rationale": "Full read: this principal is a declared administrator.",
    "ReferencesInference": false,
    "SemanticTypeIri": "urn:effortless:pko-extension#AccessPolicy",
    "Name": "principal-knowledge-authority SELECT ChangeRequests",
    "IsWriteCommand": false,
    "IsUnrestricted": true,
    "PrincipalIsAdmin": true,
    "IsUnrestrictedNonAdminGrant": false,
    "IsUnwitnessedWrite": false,
    "DenialTestCount": 0
   },
   {
    "AccessPolicyId": "pol-knowledgeauthority-communication_policies-select",
    "Principal": "principal-knowledge-authority",
    "TargetTable": "CommunicationPolicies",
    "Command": "SELECT",
    "RowPredicate": "",
    "CheckPredicate": "",
    "Rationale": "Full read: this principal is a declared administrator.",
    "ReferencesInference": false,
    "SemanticTypeIri": "urn:effortless:pko-extension#AccessPolicy",
    "Name": "principal-knowledge-authority SELECT CommunicationPolicies",
    "IsWriteCommand": false,
    "IsUnrestricted": true,
    "PrincipalIsAdmin": true,
    "IsUnrestrictedNonAdminGrant": false,
    "IsUnwitnessedWrite": false,
    "DenialTestCount": 0
   },
   {
    "AccessPolicyId": "pol-knowledgeauthority-communities_of_practice-select",
    "Principal": "principal-knowledge-authority",
    "TargetTable": "CommunitiesOfPractice",
    "Command": "SELECT",
    "RowPredicate": "",
    "CheckPredicate": "",
    "Rationale": "Full read: this principal is a declared administrator.",
    "ReferencesInference": false,
    "SemanticTypeIri": "urn:effortless:pko-extension#AccessPolicy",
    "Name": "principal-knowledge-authority SELECT CommunitiesOfPractice",
    "IsWriteCommand": false,
    "IsUnrestricted": true,
    "PrincipalIsAdmin": true,
    "IsUnrestrictedNonAdminGrant": false,
    "IsUnwitnessedWrite": false,
    "DenialTestCount": 0
   },
   {
    "AccessPolicyId": "pol-knowledgeauthority-delivered_communications-select",
    "Principal": "principal-knowledge-authority",
    "TargetTable": "DeliveredCommunications",
    "Command": "SELECT",
    "RowPredicate": "",
    "CheckPredicate": "",
    "Rationale": "Full read: this principal is a declared administrator.",
    "ReferencesInference": false,
    "SemanticTypeIri": "urn:effortless:pko-extension#AccessPolicy",
    "Name": "principal-knowledge-authority SELECT DeliveredCommunications",
    "IsWriteCommand": false,
    "IsUnrestricted": true,
    "PrincipalIsAdmin": true,
    "IsUnrestrictedNonAdminGrant": false,
    "IsUnwitnessedWrite": false,
    "DenialTestCount": 0
   },
   {
    "AccessPolicyId": "pol-knowledgeauthority-elicitation_sessions-select",
    "Principal": "principal-knowledge-authority",
    "TargetTable": "ElicitationSessions",
    "Command": "SELECT",
    "RowPredicate": "",
    "CheckPredicate": "",
    "Rationale": "Full read: this principal is a declared administrator.",
    "ReferencesInference": false,
    "SemanticTypeIri": "urn:effortless:pko-extension#AccessPolicy",
    "Name": "principal-knowledge-authority SELECT ElicitationSessions",
    "IsWriteCommand": false,
    "IsUnrestricted": true,
    "PrincipalIsAdmin": true,
    "IsUnrestrictedNonAdminGrant": false,
    "IsUnwitnessedWrite": false,
    "DenialTestCount": 0
   },
   {
    "AccessPolicyId": "pol-knowledgeauthority-errors-select",
    "Principal": "principal-knowledge-authority",
    "TargetTable": "Errors",
    "Command": "SELECT",
    "RowPredicate": "",
    "CheckPredicate": "",
    "Rationale": "Full read: this principal is a declared administrator.",
    "ReferencesInference": false,
    "SemanticTypeIri": "urn:effortless:pko-extension#AccessPolicy",
    "Name": "principal-knowledge-authority SELECT Errors",
    "IsWriteCommand": false,
    "IsUnrestricted": true,
    "PrincipalIsAdmin": true,
    "IsUnrestrictedNonAdminGrant": false,
    "IsUnwitnessedWrite": false,
    "DenialTestCount": 0
   },
   {
    "AccessPolicyId": "pol-knowledgeauthority-evaluation_contexts-select",
    "Principal": "principal-knowledge-authority",
    "TargetTable": "EvaluationContexts",
    "Command": "SELECT",
    "RowPredicate": "",
    "CheckPredicate": "",
    "Rationale": "Full read: this principal is a declared administrator.",
    "ReferencesInference": false,
    "SemanticTypeIri": "urn:effortless:pko-extension#AccessPolicy",
    "Name": "principal-knowledge-authority SELECT EvaluationContexts",
    "IsWriteCommand": false,
    "IsUnrestricted": true,
    "PrincipalIsAdmin": true,
    "IsUnrestrictedNonAdminGrant": false,
    "IsUnwitnessedWrite": false,
    "DenialTestCount": 0
   },
   {
    "AccessPolicyId": "pol-knowledgeauthority-exception_invocations-select",
    "Principal": "principal-knowledge-authority",
    "TargetTable": "ExceptionInvocations",
    "Command": "SELECT",
    "RowPredicate": "",
    "CheckPredicate": "",
    "Rationale": "Full read: this principal is a declared administrator.",
    "ReferencesInference": false,
    "SemanticTypeIri": "urn:effortless:pko-extension#AccessPolicy",
    "Name": "principal-knowledge-authority SELECT ExceptionInvocations",
    "IsWriteCommand": false,
    "IsUnrestricted": true,
    "PrincipalIsAdmin": true,
    "IsUnrestrictedNonAdminGrant": false,
    "IsUnwitnessedWrite": false,
    "DenialTestCount": 0
   },
   {
    "AccessPolicyId": "pol-knowledgeauthority-exceptions-select",
    "Principal": "principal-knowledge-authority",
    "TargetTable": "Exceptions",
    "Command": "SELECT",
    "RowPredicate": "",
    "CheckPredicate": "",
    "Rationale": "Full read: this principal is a declared administrator.",
    "ReferencesInference": false,
    "SemanticTypeIri": "urn:effortless:pko-extension#AccessPolicy",
    "Name": "principal-knowledge-authority SELECT Exceptions",
    "IsWriteCommand": false,
    "IsUnrestricted": true,
    "PrincipalIsAdmin": true,
    "IsUnrestrictedNonAdminGrant": false,
    "IsUnwitnessedWrite": false,
    "DenialTestCount": 0
   },
   {
    "AccessPolicyId": "pol-knowledgeauthority-explanations-select",
    "Principal": "principal-knowledge-authority",
    "TargetTable": "Explanations",
    "Command": "SELECT",
    "RowPredicate": "",
    "CheckPredicate": "",
    "Rationale": "Full read: this principal is a declared administrator.",
    "ReferencesInference": false,
    "SemanticTypeIri": "urn:effortless:pko-extension#AccessPolicy",
    "Name": "principal-knowledge-authority SELECT Explanations",
    "IsWriteCommand": false,
    "IsUnrestricted": true,
    "PrincipalIsAdmin": true,
    "IsUnrestrictedNonAdminGrant": false,
    "IsUnwitnessedWrite": false,
    "DenialTestCount": 0
   },
   {
    "AccessPolicyId": "pol-knowledgeauthority-functions-select",
    "Principal": "principal-knowledge-authority",
    "TargetTable": "Functions",
    "Command": "SELECT",
    "RowPredicate": "",
    "CheckPredicate": "",
    "Rationale": "Full read: this principal is a declared administrator.",
    "ReferencesInference": false,
    "SemanticTypeIri": "urn:effortless:pko-extension#AccessPolicy",
    "Name": "principal-knowledge-authority SELECT Functions",
    "IsWriteCommand": false,
    "IsUnrestricted": true,
    "PrincipalIsAdmin": true,
    "IsUnrestrictedNonAdminGrant": false,
    "IsUnwitnessedWrite": false,
    "DenialTestCount": 0
   },
   {
    "AccessPolicyId": "pol-knowledgeauthority-issue_occurrences-select",
    "Principal": "principal-knowledge-authority",
    "TargetTable": "IssueOccurrences",
    "Command": "SELECT",
    "RowPredicate": "",
    "CheckPredicate": "",
    "Rationale": "Full read: this principal is a declared administrator.",
    "ReferencesInference": false,
    "SemanticTypeIri": "urn:effortless:pko-extension#AccessPolicy",
    "Name": "principal-knowledge-authority SELECT IssueOccurrences",
    "IsWriteCommand": false,
    "IsUnrestricted": true,
    "PrincipalIsAdmin": true,
    "IsUnrestrictedNonAdminGrant": false,
    "IsUnwitnessedWrite": false,
    "DenialTestCount": 0
   },
   {
    "AccessPolicyId": "pol-knowledgeauthority-knowledge_fragments-select",
    "Principal": "principal-knowledge-authority",
    "TargetTable": "KnowledgeFragments",
    "Command": "SELECT",
    "RowPredicate": "",
    "CheckPredicate": "",
    "Rationale": "Full read: this principal is a declared administrator.",
    "ReferencesInference": false,
    "SemanticTypeIri": "urn:effortless:pko-extension#AccessPolicy",
    "Name": "principal-knowledge-authority SELECT KnowledgeFragments",
    "IsWriteCommand": false,
    "IsUnrestricted": true,
    "PrincipalIsAdmin": true,
    "IsUnrestrictedNonAdminGrant": false,
    "IsUnwitnessedWrite": false,
    "DenialTestCount": 0
   },
   {
    "AccessPolicyId": "pol-knowledgeauthority-knowledge_gaps-select",
    "Principal": "principal-knowledge-authority",
    "TargetTable": "KnowledgeGaps",
    "Command": "SELECT",
    "RowPredicate": "",
    "CheckPredicate": "",
    "Rationale": "Full read: this principal is a declared administrator.",
    "ReferencesInference": false,
    "SemanticTypeIri": "urn:effortless:pko-extension#AccessPolicy",
    "Name": "principal-knowledge-authority SELECT KnowledgeGaps",
    "IsWriteCommand": false,
    "IsUnrestricted": true,
    "PrincipalIsAdmin": true,
    "IsUnrestrictedNonAdminGrant": false,
    "IsUnwitnessedWrite": false,
    "DenialTestCount": 0
   },
   {
    "AccessPolicyId": "pol-knowledgeauthority-learning_activities-select",
    "Principal": "principal-knowledge-authority",
    "TargetTable": "LearningActivities",
    "Command": "SELECT",
    "RowPredicate": "",
    "CheckPredicate": "",
    "Rationale": "Full read: this principal is a declared administrator.",
    "ReferencesInference": false,
    "SemanticTypeIri": "urn:effortless:pko-extension#AccessPolicy",
    "Name": "principal-knowledge-authority SELECT LearningActivities",
    "IsWriteCommand": false,
    "IsUnrestricted": true,
    "PrincipalIsAdmin": true,
    "IsUnrestrictedNonAdminGrant": false,
    "IsUnwitnessedWrite": false,
    "DenialTestCount": 0
   },
   {
    "AccessPolicyId": "pol-knowledgeauthority-mentorships-select",
    "Principal": "principal-knowledge-authority",
    "TargetTable": "Mentorships",
    "Command": "SELECT",
    "RowPredicate": "",
    "CheckPredicate": "",
    "Rationale": "Full read: this principal is a declared administrator.",
    "ReferencesInference": false,
    "SemanticTypeIri": "urn:effortless:pko-extension#AccessPolicy",
    "Name": "principal-knowledge-authority SELECT Mentorships",
    "IsWriteCommand": false,
    "IsUnrestricted": true,
    "PrincipalIsAdmin": true,
    "IsUnrestrictedNonAdminGrant": false,
    "IsUnwitnessedWrite": false,
    "DenialTestCount": 0
   },
   {
    "AccessPolicyId": "pol-knowledgeauthority-message_deliveries-select",
    "Principal": "principal-knowledge-authority",
    "TargetTable": "MessageDeliveries",
    "Command": "SELECT",
    "RowPredicate": "",
    "CheckPredicate": "",
    "Rationale": "Full read: this principal is a declared administrator.",
    "ReferencesInference": false,
    "SemanticTypeIri": "urn:effortless:pko-extension#AccessPolicy",
    "Name": "principal-knowledge-authority SELECT MessageDeliveries",
    "IsWriteCommand": false,
    "IsUnrestricted": true,
    "PrincipalIsAdmin": true,
    "IsUnrestrictedNonAdminGrant": false,
    "IsUnwitnessedWrite": false,
    "DenialTestCount": 0
   },
   {
    "AccessPolicyId": "pol-knowledgeauthority-message_templates-select",
    "Principal": "principal-knowledge-authority",
    "TargetTable": "MessageTemplates",
    "Command": "SELECT",
    "RowPredicate": "",
    "CheckPredicate": "",
    "Rationale": "Full read: this principal is a declared administrator.",
    "ReferencesInference": false,
    "SemanticTypeIri": "urn:effortless:pko-extension#AccessPolicy",
    "Name": "principal-knowledge-authority SELECT MessageTemplates",
    "IsWriteCommand": false,
    "IsUnrestricted": true,
    "PrincipalIsAdmin": true,
    "IsUnrestrictedNonAdminGrant": false,
    "IsUnwitnessedWrite": false,
    "DenialTestCount": 0
   },
   {
    "AccessPolicyId": "pol-knowledgeauthority-observed_transitions-select",
    "Principal": "principal-knowledge-authority",
    "TargetTable": "ObservedTransitions",
    "Command": "SELECT",
    "RowPredicate": "",
    "CheckPredicate": "",
    "Rationale": "Full read: this principal is a declared administrator.",
    "ReferencesInference": false,
    "SemanticTypeIri": "urn:effortless:pko-extension#AccessPolicy",
    "Name": "principal-knowledge-authority SELECT ObservedTransitions",
    "IsWriteCommand": false,
    "IsUnrestricted": true,
    "PrincipalIsAdmin": true,
    "IsUnrestrictedNonAdminGrant": false,
    "IsUnwitnessedWrite": false,
    "DenialTestCount": 0
   },
   {
    "AccessPolicyId": "pol-knowledgeauthority-ontology_profiles-select",
    "Principal": "principal-knowledge-authority",
    "TargetTable": "OntologyProfiles",
    "Command": "SELECT",
    "RowPredicate": "",
    "CheckPredicate": "",
    "Rationale": "Full read: this principal is a declared administrator.",
    "ReferencesInference": false,
    "SemanticTypeIri": "urn:effortless:pko-extension#AccessPolicy",
    "Name": "principal-knowledge-authority SELECT OntologyProfiles",
    "IsWriteCommand": false,
    "IsUnrestricted": true,
    "PrincipalIsAdmin": true,
    "IsUnrestrictedNonAdminGrant": false,
    "IsUnwitnessedWrite": false,
    "DenialTestCount": 0
   },
   {
    "AccessPolicyId": "pol-knowledgeauthority-operational_bindings-select",
    "Principal": "principal-knowledge-authority",
    "TargetTable": "OperationalBindings",
    "Command": "SELECT",
    "RowPredicate": "",
    "CheckPredicate": "",
    "Rationale": "Full read: this principal is a declared administrator.",
    "ReferencesInference": false,
    "SemanticTypeIri": "urn:effortless:pko-extension#AccessPolicy",
    "Name": "principal-knowledge-authority SELECT OperationalBindings",
    "IsWriteCommand": false,
    "IsUnrestricted": true,
    "PrincipalIsAdmin": true,
    "IsUnrestrictedNonAdminGrant": false,
    "IsUnwitnessedWrite": false,
    "DenialTestCount": 0
   },
   {
    "AccessPolicyId": "pol-knowledgeauthority-organizations-select",
    "Principal": "principal-knowledge-authority",
    "TargetTable": "Organizations",
    "Command": "SELECT",
    "RowPredicate": "",
    "CheckPredicate": "",
    "Rationale": "Full read: this principal is a declared administrator.",
    "ReferencesInference": false,
    "SemanticTypeIri": "urn:effortless:pko-extension#AccessPolicy",
    "Name": "principal-knowledge-authority SELECT Organizations",
    "IsWriteCommand": false,
    "IsUnrestricted": true,
    "PrincipalIsAdmin": true,
    "IsUnrestrictedNonAdminGrant": false,
    "IsUnwitnessedWrite": false,
    "DenialTestCount": 0
   },
   {
    "AccessPolicyId": "pol-knowledgeauthority-procedure_executions-select",
    "Principal": "principal-knowledge-authority",
    "TargetTable": "ProcedureExecutions",
    "Command": "SELECT",
    "RowPredicate": "",
    "CheckPredicate": "",
    "Rationale": "Full read: this principal is a declared administrator.",
    "ReferencesInference": false,
    "SemanticTypeIri": "urn:effortless:pko-extension#AccessPolicy",
    "Name": "principal-knowledge-authority SELECT ProcedureExecutions",
    "IsWriteCommand": false,
    "IsUnrestricted": true,
    "PrincipalIsAdmin": true,
    "IsUnrestrictedNonAdminGrant": false,
    "IsUnwitnessedWrite": false,
    "DenialTestCount": 0
   },
   {
    "AccessPolicyId": "pol-knowledgeauthority-procedure_resources-select",
    "Principal": "principal-knowledge-authority",
    "TargetTable": "ProcedureResources",
    "Command": "SELECT",
    "RowPredicate": "",
    "CheckPredicate": "",
    "Rationale": "Full read: this principal is a declared administrator.",
    "ReferencesInference": false,
    "SemanticTypeIri": "urn:effortless:pko-extension#AccessPolicy",
    "Name": "principal-knowledge-authority SELECT ProcedureResources",
    "IsWriteCommand": false,
    "IsUnrestricted": true,
    "PrincipalIsAdmin": true,
    "IsUnrestrictedNonAdminGrant": false,
    "IsUnwitnessedWrite": false,
    "DenialTestCount": 0
   },
   {
    "AccessPolicyId": "pol-knowledgeauthority-procedure_status_changes-select",
    "Principal": "principal-knowledge-authority",
    "TargetTable": "ProcedureStatusChanges",
    "Command": "SELECT",
    "RowPredicate": "",
    "CheckPredicate": "",
    "Rationale": "Full read: this principal is a declared administrator.",
    "ReferencesInference": false,
    "SemanticTypeIri": "urn:effortless:pko-extension#AccessPolicy",
    "Name": "principal-knowledge-authority SELECT ProcedureStatusChanges",
    "IsWriteCommand": false,
    "IsUnrestricted": true,
    "PrincipalIsAdmin": true,
    "IsUnrestrictedNonAdminGrant": false,
    "IsUnwitnessedWrite": false,
    "DenialTestCount": 0
   },
   {
    "AccessPolicyId": "pol-knowledgeauthority-procedure_types-select",
    "Principal": "principal-knowledge-authority",
    "TargetTable": "ProcedureTypes",
    "Command": "SELECT",
    "RowPredicate": "",
    "CheckPredicate": "",
    "Rationale": "Full read: this principal is a declared administrator.",
    "ReferencesInference": false,
    "SemanticTypeIri": "urn:effortless:pko-extension#AccessPolicy",
    "Name": "principal-knowledge-authority SELECT ProcedureTypes",
    "IsWriteCommand": false,
    "IsUnrestricted": true,
    "PrincipalIsAdmin": true,
    "IsUnrestrictedNonAdminGrant": false,
    "IsUnwitnessedWrite": false,
    "DenialTestCount": 0
   },
   {
    "AccessPolicyId": "pol-knowledgeauthority-procedure_version_links-select",
    "Principal": "principal-knowledge-authority",
    "TargetTable": "ProcedureVersionLinks",
    "Command": "SELECT",
    "RowPredicate": "",
    "CheckPredicate": "",
    "Rationale": "Full read: this principal is a declared administrator.",
    "ReferencesInference": false,
    "SemanticTypeIri": "urn:effortless:pko-extension#AccessPolicy",
    "Name": "principal-knowledge-authority SELECT ProcedureVersionLinks",
    "IsWriteCommand": false,
    "IsUnrestricted": true,
    "PrincipalIsAdmin": true,
    "IsUnrestrictedNonAdminGrant": false,
    "IsUnwitnessedWrite": false,
    "DenialTestCount": 0
   },
   {
    "AccessPolicyId": "pol-knowledgeauthority-procedure_versions-select",
    "Principal": "principal-knowledge-authority",
    "TargetTable": "ProcedureVersions",
    "Command": "SELECT",
    "RowPredicate": "",
    "CheckPredicate": "",
    "Rationale": "Full read: this principal is a declared administrator.",
    "ReferencesInference": false,
    "SemanticTypeIri": "urn:effortless:pko-extension#AccessPolicy",
    "Name": "principal-knowledge-authority SELECT ProcedureVersions",
    "IsWriteCommand": false,
    "IsUnrestricted": true,
    "PrincipalIsAdmin": true,
    "IsUnrestrictedNonAdminGrant": false,
    "IsUnwitnessedWrite": false,
    "DenialTestCount": 0
   },
   {
    "AccessPolicyId": "pol-knowledgeauthority-procedures-select",
    "Principal": "principal-knowledge-authority",
    "TargetTable": "Procedures",
    "Command": "SELECT",
    "RowPredicate": "",
    "CheckPredicate": "",
    "Rationale": "Full read: this principal is a declared administrator.",
    "ReferencesInference": false,
    "SemanticTypeIri": "urn:effortless:pko-extension#AccessPolicy",
    "Name": "principal-knowledge-authority SELECT Procedures",
    "IsWriteCommand": false,
    "IsUnrestricted": true,
    "PrincipalIsAdmin": true,
    "IsUnrestrictedNonAdminGrant": false,
    "IsUnwitnessedWrite": false,
    "DenialTestCount": 0
   },
   {
    "AccessPolicyId": "pol-knowledgeauthority-rationales-select",
    "Principal": "principal-knowledge-authority",
    "TargetTable": "Rationales",
    "Command": "SELECT",
    "RowPredicate": "",
    "CheckPredicate": "",
    "Rationale": "Full read: this principal is a declared administrator.",
    "ReferencesInference": false,
    "SemanticTypeIri": "urn:effortless:pko-extension#AccessPolicy",
    "Name": "principal-knowledge-authority SELECT Rationales",
    "IsWriteCommand": false,
    "IsUnrestricted": true,
    "PrincipalIsAdmin": true,
    "IsUnrestrictedNonAdminGrant": false,
    "IsUnwitnessedWrite": false,
    "DenialTestCount": 0
   },
   {
    "AccessPolicyId": "pol-knowledgeauthority-recipients-select",
    "Principal": "principal-knowledge-authority",
    "TargetTable": "Recipients",
    "Command": "SELECT",
    "RowPredicate": "",
    "CheckPredicate": "",
    "Rationale": "Full read: this principal is a declared administrator.",
    "ReferencesInference": false,
    "SemanticTypeIri": "urn:effortless:pko-extension#AccessPolicy",
    "Name": "principal-knowledge-authority SELECT Recipients",
    "IsWriteCommand": false,
    "IsUnrestricted": true,
    "PrincipalIsAdmin": true,
    "IsUnrestrictedNonAdminGrant": false,
    "IsUnwitnessedWrite": false,
    "DenialTestCount": 0
   },
   {
    "AccessPolicyId": "pol-knowledgeauthority-requirement_satisfactions-select",
    "Principal": "principal-knowledge-authority",
    "TargetTable": "RequirementSatisfactions",
    "Command": "SELECT",
    "RowPredicate": "",
    "CheckPredicate": "",
    "Rationale": "Full read: this principal is a declared administrator.",
    "ReferencesInference": false,
    "SemanticTypeIri": "urn:effortless:pko-extension#AccessPolicy",
    "Name": "principal-knowledge-authority SELECT RequirementSatisfactions",
    "IsWriteCommand": false,
    "IsUnrestricted": true,
    "PrincipalIsAdmin": true,
    "IsUnrestrictedNonAdminGrant": false,
    "IsUnwitnessedWrite": false,
    "DenialTestCount": 0
   },
   {
    "AccessPolicyId": "pol-knowledgeauthority-requirements-select",
    "Principal": "principal-knowledge-authority",
    "TargetTable": "Requirements",
    "Command": "SELECT",
    "RowPredicate": "",
    "CheckPredicate": "",
    "Rationale": "Full read: this principal is a declared administrator.",
    "ReferencesInference": false,
    "SemanticTypeIri": "urn:effortless:pko-extension#AccessPolicy",
    "Name": "principal-knowledge-authority SELECT Requirements",
    "IsWriteCommand": false,
    "IsUnrestricted": true,
    "PrincipalIsAdmin": true,
    "IsUnrestrictedNonAdminGrant": false,
    "IsUnwitnessedWrite": false,
    "DenialTestCount": 0
   },
   {
    "AccessPolicyId": "pol-knowledgeauthority-resources-select",
    "Principal": "principal-knowledge-authority",
    "TargetTable": "Resources",
    "Command": "SELECT",
    "RowPredicate": "",
    "CheckPredicate": "",
    "Rationale": "Full read: this principal is a declared administrator.",
    "ReferencesInference": false,
    "SemanticTypeIri": "urn:effortless:pko-extension#AccessPolicy",
    "Name": "principal-knowledge-authority SELECT Resources",
    "IsWriteCommand": false,
    "IsUnrestricted": true,
    "PrincipalIsAdmin": true,
    "IsUnrestrictedNonAdminGrant": false,
    "IsUnwitnessedWrite": false,
    "DenialTestCount": 0
   },
   {
    "AccessPolicyId": "pol-knowledgeauthority-review_events-select",
    "Principal": "principal-knowledge-authority",
    "TargetTable": "ReviewEvents",
    "Command": "SELECT",
    "RowPredicate": "",
    "CheckPr</t>
  </si>
  <si>
    <t xml:space="preserve">edicate": "",
    "Rationale": "Full read: this principal is a declared administrator.",
    "ReferencesInference": false,
    "SemanticTypeIri": "urn:effortless:pko-extension#AccessPolicy",
    "Name": "principal-knowledge-authority SELECT ReviewEvents",
    "IsWriteCommand": false,
    "IsUnrestricted": true,
    "PrincipalIsAdmin": true,
    "IsUnrestrictedNonAdminGrant": false,
    "IsUnwitnessedWrite": false,
    "DenialTestCount": 0
   },
   {
    "AccessPolicyId": "pol-knowledgeauthority-role_assignments-select",
    "Principal": "principal-knowledge-authority",
    "TargetTable": "RoleAssignments",
    "Command": "SELECT",
    "RowPredicate": "",
    "CheckPredicate": "",
    "Rationale": "Full read: this principal is a declared administrator.",
    "ReferencesInference": false,
    "SemanticTypeIri": "urn:effortless:pko-extension#AccessPolicy",
    "Name": "principal-knowledge-authority SELECT RoleAssignments",
    "IsWriteCommand": false,
    "IsUnrestricted": true,
    "PrincipalIsAdmin": true,
    "IsUnrestrictedNonAdminGrant": false,
    "IsUnwitnessedWrite": false,
    "DenialTestCount": 0
   },
   {
    "AccessPolicyId": "pol-knowledgeauthority-role_questions-select",
    "Principal": "principal-knowledge-authority",
    "TargetTable": "RoleQuestions",
    "Command": "SELECT",
    "RowPredicate": "",
    "CheckPredicate": "",
    "Rationale": "Full read: this principal is a declared administrator.",
    "ReferencesInference": false,
    "SemanticTypeIri": "urn:effortless:pko-extension#AccessPolicy",
    "Name": "principal-knowledge-authority SELECT RoleQuestions",
    "IsWriteCommand": false,
    "IsUnrestricted": true,
    "PrincipalIsAdmin": true,
    "IsUnrestrictedNonAdminGrant": false,
    "IsUnwitnessedWrite": false,
    "DenialTestCount": 0
   },
   {
    "AccessPolicyId": "pol-knowledgeauthority-roles-select",
    "Principal": "principal-knowledge-authority",
    "TargetTable": "Roles",
    "Command": "SELECT",
    "RowPredicate": "",
    "CheckPredicate": "",
    "Rationale": "Full read: this principal is a declared administrator.",
    "ReferencesInference": false,
    "SemanticTypeIri": "urn:effortless:pko-extension#AccessPolicy",
    "Name": "principal-knowledge-authority SELECT Roles",
    "IsWriteCommand": false,
    "IsUnrestricted": true,
    "PrincipalIsAdmin": true,
    "IsUnrestrictedNonAdminGrant": false,
    "IsUnwitnessedWrite": false,
    "DenialTestCount": 0
   },
   {
    "AccessPolicyId": "pol-knowledgeauthority-rulebook_fields-select",
    "Principal": "principal-knowledge-authority",
    "TargetTable": "RulebookFields",
    "Command": "SELECT",
    "RowPredicate": "",
    "CheckPredicate": "",
    "Rationale": "Full read: this principal is a declared administrator.",
    "ReferencesInference": false,
    "SemanticTypeIri": "urn:effortless:pko-extension#AccessPolicy",
    "Name": "principal-knowledge-authority SELECT RulebookFields",
    "IsWriteCommand": false,
    "IsUnrestricted": true,
    "PrincipalIsAdmin": true,
    "IsUnrestrictedNonAdminGrant": false,
    "IsUnwitnessedWrite": false,
    "DenialTestCount": 0
   },
   {
    "AccessPolicyId": "pol-knowledgeauthority-rulebook_releases-select",
    "Principal": "principal-knowledge-authority",
    "TargetTable": "RulebookReleases",
    "Command": "SELECT",
    "RowPredicate": "",
    "CheckPredicate": "",
    "Rationale": "Full read: this principal is a declared administrator.",
    "ReferencesInference": false,
    "SemanticTypeIri": "urn:effortless:pko-extension#AccessPolicy",
    "Name": "principal-knowledge-authority SELECT RulebookReleases",
    "IsWriteCommand": false,
    "IsUnrestricted": true,
    "PrincipalIsAdmin": true,
    "IsUnrestrictedNonAdminGrant": false,
    "IsUnwitnessedWrite": false,
    "DenialTestCount": 0
   },
   {
    "AccessPolicyId": "pol-knowledgeauthority-semantic_mappings-select",
    "Principal": "principal-knowledge-authority",
    "TargetTable": "SemanticMappings",
    "Command": "SELECT",
    "RowPredicate": "",
    "CheckPredicate": "",
    "Rationale": "Full read: this principal is a declared administrator.",
    "ReferencesInference": false,
    "SemanticTypeIri": "urn:effortless:pko-extension#AccessPolicy",
    "Name": "principal-knowledge-authority SELECT SemanticMappings",
    "IsWriteCommand": false,
    "IsUnrestricted": true,
    "PrincipalIsAdmin": true,
    "IsUnrestrictedNonAdminGrant": false,
    "IsUnwitnessedWrite": false,
    "DenialTestCount": 0
   },
   {
    "AccessPolicyId": "pol-knowledgeauthority-send_intents-select",
    "Principal": "principal-knowledge-authority",
    "TargetTable": "SendIntents",
    "Command": "SELECT",
    "RowPredicate": "",
    "CheckPredicate": "",
    "Rationale": "Full read: this principal is a declared administrator.",
    "ReferencesInference": false,
    "SemanticTypeIri": "urn:effortless:pko-extension#AccessPolicy",
    "Name": "principal-knowledge-authority SELECT SendIntents",
    "IsWriteCommand": false,
    "IsUnrestricted": true,
    "PrincipalIsAdmin": true,
    "IsUnrestrictedNonAdminGrant": false,
    "IsUnwitnessedWrite": false,
    "DenialTestCount": 0
   },
   {
    "AccessPolicyId": "pol-knowledgeauthority-step_actions-select",
    "Principal": "principal-knowledge-authority",
    "TargetTable": "StepActions",
    "Command": "SELECT",
    "RowPredicate": "",
    "CheckPredicate": "",
    "Rationale": "Full read: this principal is a declared administrator.",
    "ReferencesInference": false,
    "SemanticTypeIri": "urn:effortless:pko-extension#AccessPolicy",
    "Name": "principal-knowledge-authority SELECT StepActions",
    "IsWriteCommand": false,
    "IsUnrestricted": true,
    "PrincipalIsAdmin": true,
    "IsUnrestrictedNonAdminGrant": false,
    "IsUnwitnessedWrite": false,
    "DenialTestCount": 0
   },
   {
    "AccessPolicyId": "pol-knowledgeauthority-step_executions-select",
    "Principal": "principal-knowledge-authority",
    "TargetTable": "StepExecutions",
    "Command": "SELECT",
    "RowPredicate": "",
    "CheckPredicate": "",
    "Rationale": "Full read: this principal is a declared administrator.",
    "ReferencesInference": false,
    "SemanticTypeIri": "urn:effortless:pko-extension#AccessPolicy",
    "Name": "principal-knowledge-authority SELECT StepExecutions",
    "IsWriteCommand": false,
    "IsUnrestricted": true,
    "PrincipalIsAdmin": true,
    "IsUnrestrictedNonAdminGrant": false,
    "IsUnwitnessedWrite": false,
    "DenialTestCount": 0
   },
   {
    "AccessPolicyId": "pol-knowledgeauthority-step_functions-select",
    "Principal": "principal-knowledge-authority",
    "TargetTable": "StepFunctions",
    "Command": "SELECT",
    "RowPredicate": "",
    "CheckPredicate": "",
    "Rationale": "Full read: this principal is a declared administrator.",
    "ReferencesInference": false,
    "SemanticTypeIri": "urn:effortless:pko-extension#AccessPolicy",
    "Name": "principal-knowledge-authority SELECT StepFunctions",
    "IsWriteCommand": false,
    "IsUnrestricted": true,
    "PrincipalIsAdmin": true,
    "IsUnrestrictedNonAdminGrant": false,
    "IsUnwitnessedWrite": false,
    "DenialTestCount": 0
   },
   {
    "AccessPolicyId": "pol-knowledgeauthority-step_requirements-select",
    "Principal": "principal-knowledge-authority",
    "TargetTable": "StepRequirements",
    "Command": "SELECT",
    "RowPredicate": "",
    "CheckPredicate": "",
    "Rationale": "Full read: this principal is a declared administrator.",
    "ReferencesInference": false,
    "SemanticTypeIri": "urn:effortless:pko-extension#AccessPolicy",
    "Name": "principal-knowledge-authority SELECT StepRequirements",
    "IsWriteCommand": false,
    "IsUnrestricted": true,
    "PrincipalIsAdmin": true,
    "IsUnrestrictedNonAdminGrant": false,
    "IsUnwitnessedWrite": false,
    "DenialTestCount": 0
   },
   {
    "AccessPolicyId": "pol-knowledgeauthority-step_tools-select",
    "Principal": "principal-knowledge-authority",
    "TargetTable": "StepTools",
    "Command": "SELECT",
    "RowPredicate": "",
    "CheckPredicate": "",
    "Rationale": "Full read: this principal is a declared administrator.",
    "ReferencesInference": false,
    "SemanticTypeIri": "urn:effortless:pko-extension#AccessPolicy",
    "Name": "principal-knowledge-authority SELECT StepTools",
    "IsWriteCommand": false,
    "IsUnrestricted": true,
    "PrincipalIsAdmin": true,
    "IsUnrestrictedNonAdminGrant": false,
    "IsUnwitnessedWrite": false,
    "DenialTestCount": 0
   },
   {
    "AccessPolicyId": "pol-knowledgeauthority-step_transitions-select",
    "Principal": "principal-knowledge-authority",
    "TargetTable": "StepTransitions",
    "Command": "SELECT",
    "RowPredicate": "",
    "CheckPredicate": "",
    "Rationale": "Full read: this principal is a declared administrator.",
    "ReferencesInference": false,
    "SemanticTypeIri": "urn:effortless:pko-extension#AccessPolicy",
    "Name": "principal-knowledge-authority SELECT StepTransitions",
    "IsWriteCommand": false,
    "IsUnrestricted": true,
    "PrincipalIsAdmin": true,
    "IsUnrestrictedNonAdminGrant": false,
    "IsUnwitnessedWrite": false,
    "DenialTestCount": 0
   },
   {
    "AccessPolicyId": "pol-knowledgeauthority-step_verifications-select",
    "Principal": "principal-knowledge-authority",
    "TargetTable": "StepVerifications",
    "Command": "SELECT",
    "RowPredicate": "",
    "CheckPredicate": "",
    "Rationale": "Full read: this principal is a declared administrator.",
    "ReferencesInference": false,
    "SemanticTypeIri": "urn:effortless:pko-extension#AccessPolicy",
    "Name": "principal-knowledge-authority SELECT StepVerifications",
    "IsWriteCommand": false,
    "IsUnrestricted": true,
    "PrincipalIsAdmin": true,
    "IsUnrestrictedNonAdminGrant": false,
    "IsUnwitnessedWrite": false,
    "DenialTestCount": 0
   },
   {
    "AccessPolicyId": "pol-knowledgeauthority-steps-select",
    "Principal": "principal-knowledge-authority",
    "TargetTable": "Steps",
    "Command": "SELECT",
    "RowPredicate": "",
    "CheckPredicate": "",
    "Rationale": "Full read: this principal is a declared administrator.",
    "ReferencesInference": false,
    "SemanticTypeIri": "urn:effortless:pko-extension#AccessPolicy",
    "Name": "principal-knowledge-authority SELECT Steps",
    "IsWriteCommand": false,
    "IsUnrestricted": true,
    "PrincipalIsAdmin": true,
    "IsUnrestrictedNonAdminGrant": false,
    "IsUnwitnessedWrite": false,
    "DenialTestCount": 0
   },
   {
    "AccessPolicyId": "pol-knowledgeauthority-stewardship_assignments-select",
    "Principal": "principal-knowledge-authority",
    "TargetTable": "StewardshipAssignments",
    "Command": "SELECT",
    "RowPredicate": "",
    "CheckPredicate": "",
    "Rationale": "Full read: this principal is a declared administrator.",
    "ReferencesInference": false,
    "SemanticTypeIri": "urn:effortless:pko-extension#AccessPolicy",
    "Name": "principal-knowledge-authority SELECT StewardshipAssignments",
    "IsWriteCommand": false,
    "IsUnrestricted": true,
    "PrincipalIsAdmin": true,
    "IsUnrestrictedNonAdminGrant": false,
    "IsUnwitnessedWrite": false,
    "DenialTestCount": 0
   },
   {
    "AccessPolicyId": "pol-knowledgeauthority-template_approvals-select",
    "Principal": "principal-knowledge-authority",
    "TargetTable": "TemplateApprovals",
    "Command": "SELECT",
    "RowPredicate": "",
    "CheckPredicate": "",
    "Rationale": "Full read: this principal is a declared administrator.",
    "ReferencesInference": false,
    "SemanticTypeIri": "urn:effortless:pko-extension#AccessPolicy",
    "Name": "principal-knowledge-authority SELECT TemplateApprovals",
    "IsWriteCommand": false,
    "IsUnrestricted": true,
    "PrincipalIsAdmin": true,
    "IsUnrestrictedNonAdminGrant": false,
    "IsUnwitnessedWrite": false,
    "DenialTestCount": 0
   },
   {
    "AccessPolicyId": "pol-knowledgeauthority-test_cases-select",
    "Principal": "principal-knowledge-authority",
    "TargetTable": "TestCases",
    "Command": "SELECT",
    "RowPredicate": "",
    "CheckPredicate": "",
    "Rationale": "Full read: this principal is a declared administrator.",
    "ReferencesInference": false,
    "SemanticTypeIri": "urn:effortless:pko-extension#AccessPolicy",
    "Name": "principal-knowledge-authority SELECT TestCases",
    "IsWriteCommand": false,
    "IsUnrestricted": true,
    "PrincipalIsAdmin": true,
    "IsUnrestrictedNonAdminGrant": false,
    "IsUnwitnessedWrite": false,
    "DenialTestCount": 0
   },
   {
    "AccessPolicyId": "pol-knowledgeauthority-test_suites-select",
    "Principal": "principal-knowledge-authority",
    "TargetTable": "TestSuites",
    "Command": "SELECT",
    "RowPredicate": "",
    "CheckPredicate": "",
    "Rationale": "Full read: this principal is a declared administrator.",
    "ReferencesInference": false,
    "SemanticTypeIri": "urn:effortless:pko-extension#AccessPolicy",
    "Name": "principal-knowledge-authority SELECT TestSuites",
    "IsWriteCommand": false,
    "IsUnrestricted": true,
    "PrincipalIsAdmin": true,
    "IsUnrestrictedNonAdminGrant": false,
    "IsUnwitnessedWrite": false,
    "DenialTestCount": 0
   },
   {
    "AccessPolicyId": "pol-knowledgeauthority-tools-select",
    "Principal": "principal-knowledge-authority",
    "TargetTable": "Tools",
    "Command": "SELECT",
    "RowPredicate": "",
    "CheckPredicate": "",
    "Rationale": "Full read: this principal is a declared administrator.",
    "ReferencesInference": false,
    "SemanticTypeIri": "urn:effortless:pko-extension#AccessPolicy",
    "Name": "principal-knowledge-authority SELECT Tools",
    "IsWriteCommand": false,
    "IsUnrestricted": true,
    "PrincipalIsAdmin": true,
    "IsUnrestrictedNonAdminGrant": false,
    "IsUnwitnessedWrite": false,
    "DenialTestCount": 0
   },
   {
    "AccessPolicyId": "pol-knowledgeauthority-user_feedback-select",
    "Principal": "principal-knowledge-authority",
    "TargetTable": "UserFeedback",
    "Command": "SELECT",
    "RowPredicate": "",
    "CheckPredicate": "",
    "Rationale": "Full read: this principal is a declared administrator.",
    "ReferencesInference": false,
    "SemanticTypeIri": "urn:effortless:pko-extension#AccessPolicy",
    "Name": "principal-knowledge-authority SELECT UserFeedback",
    "IsWriteCommand": false,
    "IsUnrestricted": true,
    "PrincipalIsAdmin": true,
    "IsUnrestrictedNonAdminGrant": false,
    "IsUnwitnessedWrite": false,
    "DenialTestCount": 0
   },
   {
    "AccessPolicyId": "pol-knowledgeauthority-user_questions-select",
    "Principal": "principal-knowledge-authority",
    "TargetTable": "UserQuestions",
    "Command": "SELECT",
    "RowPredicate": "",
    "CheckPredicate": "",
    "Rationale": "Full read: this principal is a declared administrator.",
    "ReferencesInference": false,
    "SemanticTypeIri": "urn:effortless:pko-extension#AccessPolicy",
    "Name": "principal-knowledge-authority SELECT UserQuestions",
    "IsWriteCommand": false,
    "IsUnrestricted": true,
    "PrincipalIsAdmin": true,
    "IsUnrestrictedNonAdminGrant": false,
    "IsUnwitnessedWrite": false,
    "DenialTestCount": 0
   },
   {
    "AccessPolicyId": "pol-knowledgeauthority-verification_outcomes-select",
    "Principal": "principal-knowledge-authority",
    "TargetTable": "VerificationOutcomes",
    "Command": "SELECT",
    "RowPredicate": "",
    "CheckPredicate": "",
    "Rationale": "Full read: this principal is a declared administrator.",
    "ReferencesInference": false,
    "SemanticTypeIri": "urn:effortless:pko-extension#AccessPolicy",
    "Name": "principal-knowledge-authority SELECT VerificationOutcomes",
    "IsWriteCommand": false,
    "IsUnrestricted": true,
    "PrincipalIsAdmin": true,
    "IsUnrestrictedNonAdminGrant": false,
    "IsUnwitnessedWrite": false,
    "DenialTestCount": 0
   },
   {
    "AccessPolicyId": "pol-knowledgeauthority-witness_loops-select",
    "Principal": "principal-knowledge-authority",
    "TargetTable": "WitnessLoops",
    "Command": "SELECT",
    "RowPredicate": "",
    "CheckPredicate": "",
    "Rationale": "Full read: this principal is a declared administrator.",
    "ReferencesInference": false,
    "SemanticTypeIri": "urn:effortless:pko-extension#AccessPolicy",
    "Name": "principal-knowledge-authority SELECT WitnessLoops",
    "IsWriteCommand": false,
    "IsUnrestricted": true,
    "PrincipalIsAdmin": true,
    "IsUnrestrictedNonAdminGrant": false,
    "IsUnwitnessedWrite": false,
    "DenialTestCount": 0
   },
   {
    "AccessPolicyId": "pol-processsteward-process_mining_runs-select",
    "Principal": "principal-process-steward",
    "TargetTable": "ProcessMiningRuns",
    "Command": "SELECT",
    "RowPredicate": "",
    "CheckPredicate": "",
    "Rationale": "Steward-level role: unrestricted read of this table, matching this principal's existing broad reach across the model.",
    "SemanticTypeIri": "urn:effortless:pko-extension#AccessPolicy",
    "Name": "principal-process-steward SELECT ProcessMiningRuns",
    "IsWriteCommand": false,
    "IsUnrestricted": true,
    "PrincipalIsAdmin": true,
    "IsUnrestrictedNonAdminGrant": false,
    "IsUnwitnessedWrite": false,
    "DenialTestCount": 0
   },
   {
    "AccessPolicyId": "pol-processsteward-vocabularies-select",
    "Principal": "principal-process-steward",
    "TargetTable": "Vocabularies",
    "Command": "SELECT",
    "RowPredicate": "",
    "CheckPredicate": "",
    "Rationale": "Steward-level role: unrestricted read of this table, matching this principal's existing broad reach across the model.",
    "SemanticTypeIri": "urn:effortless:pko-extension#AccessPolicy",
    "Name": "principal-process-steward SELECT Vocabularies",
    "IsWriteCommand": false,
    "IsUnrestricted": true,
    "PrincipalIsAdmin": true,
    "IsUnrestrictedNonAdminGrant": false,
    "IsUnwitnessedWrite": false,
    "DenialTestCount": 0
   },
   {
    "AccessPolicyId": "pol-processsteward-vocabulary_terms-select",
    "Principal": "principal-process-steward",
    "TargetTable": "VocabularyTerms",
    "Command": "SELECT",
    "RowPredicate": "",
    "CheckPredicate": "",
    "Rationale": "Steward-level role: unrestricted read of this table, matching this principal's existing broad reach across the model.",
    "SemanticTypeIri": "urn:effortless:pko-extension#AccessPolicy",
    "Name": "principal-process-steward SELECT VocabularyTerms",
    "IsWriteCommand": false,
    "IsUnrestricted": true,
    "PrincipalIsAdmin": true,
    "IsUnrestrictedNonAdminGrant": false,
    "IsUnwitnessedWrite": false,
    "DenialTestCount": 0
   },
   {
    "AccessPolicyId": "pol-processsteward-knowledge_broker_links-select",
    "Principal": "principal-process-steward",
    "TargetTable": "KnowledgeBrokerLinks",
    "Command": "SELECT",
    "RowPredicate": "",
    "CheckPredicate": "",
    "Rationale": "Steward-level role: unrestricted read of this table, matching this principal's existing broad reach across the model.",
    "SemanticTypeIri": "urn:effortless:pko-extension#AccessPolicy",
    "Name": "principal-process-steward SELECT KnowledgeBrokerLinks",
    "IsWriteCommand": false,
    "IsUnrestricted": true,
    "PrincipalIsAdmin": true,
    "IsUnrestrictedNonAdminGrant": false,
    "IsUnwitnessedWrite": false,
    "DenialTestCount": 0
   },
   {
    "AccessPolicyId": "pol-knowledgeauthority-process_mining_runs-select",
    "Principal": "principal-knowledge-authority",
    "TargetTable": "ProcessMiningRuns",
    "Command": "SELECT",
    "RowPredicate": "",
    "CheckPredicate": "",
    "Rationale": "Steward-level role: unrestricted read of this table, matching this principal's existing broad reach across the model.",
    "SemanticTypeIri": "urn:effortless:pko-extension#AccessPolicy",
    "Name": "principal-knowledge-authority SELECT ProcessMiningRuns",
    "IsWriteCommand": false,
    "IsUnrestricted": true,
    "PrincipalIsAdmin": true,
    "IsUnrestrictedNonAdminGrant": false,
    "IsUnwitnessedWrite": false,
    "DenialTestCount": 0
   },
   {
    "AccessPolicyId": "pol-knowledgeauthority-vocabularies-select",
    "Principal": "principal-knowledge-authority",
    "TargetTable": "Vocabularies",
    "Command": "SELECT",
    "RowPredicate": "",
    "CheckPredicate": "",
    "Rationale": "Steward-level role: unrestricted read of this table, matching this principal's existing broad reach across the model.",
    "SemanticTypeIri": "urn:effortless:pko-extension#AccessPolicy",
    "Name": "principal-knowledge-authority SELECT Vocabularies",
    "IsWriteCommand": false,
    "IsUnrestricted": true,
    "PrincipalIsAdmin": true,
    "IsUnrestrictedNonAdminGrant": false,
    "IsUnwitnessedWrite": false,
    "DenialTestCount": 0
   },
   {
    "AccessPolicyId": "pol-knowledgeauthority-vocabulary_terms-select",
    "Principal": "principal-knowledge-authority",
    "TargetTable": "VocabularyTerms",
    "Command": "SELECT",
    "RowPredicate": "",
    "CheckPredicate": "",
    "Rationale": "Steward-level role: unrestricted read of this table, matching this principal's existing broad reach across the model.",
    "SemanticTypeIri": "urn:effortless:pko-extension#AccessPolicy",
    "Name": "principal-knowledge-authority SELECT VocabularyTerms",
    "IsWriteCommand": false,
    "IsUnrestricted": true,
    "PrincipalIsAdmin": true,
    "IsUnrestrictedNonAdminGrant": false,
    "IsUnwitnessedWrite": false,
    "DenialTestCount": 0
   },
   {
    "AccessPolicyId": "pol-knowledgeauthority-knowledge_broker_links-select",
    "Principal": "principal-knowledge-authority",
    "TargetTable": "KnowledgeBrokerLinks",
    "Command": "SELECT",
    "RowPredicate": "",
    "CheckPredicate": "",
    "Rationale": "Steward-level role: unrestricted read of this table, matching this principal's existing broad reach across the model.",
    "SemanticTypeIri": "urn:effortless:pko-extension#AccessPolicy",
    "Name": "principal-knowledge-authority SELECT KnowledgeBrokerLinks",
    "IsWriteCommand": false,
    "IsUnrestricted": true,
    "PrincipalIsAdmin": true,
    "IsUnrestrictedNonAdminGrant": false,
    "IsUnwitnessedWrite": false,
    "DenialTestCount": 0
   }
  ]
 },
 "FieldGrants": {
  "Description": "Field-level grants: the HORIZONTAL cut. One row per principal x field. A field with no grant row is not filtered from the principal's view -- it is absent from it, so the column does not exist as far as that principal's SQL is concerned.",
  "important": true,
  "schema": [
   {
    "name": "FieldGrantId",
    "datatype": "string",
    "type": "raw",
    "nullable": false,
    "Description": "Stored logical identifier, e.g. 'fg-controller-Procedures.Title'."
   },
   {
    "name": "Name",
    "datatype": "string",
    "type": "calculated",
    "nullable": true,
    "Description": "Human-readable calculated display alias.",
    "formula": "={{Principal}} &amp; \" -&gt; \" &amp; {{TargetField}}"
   },
   {
    "name": "Principal",
    "datatype": "string",
    "type": "relationship",
    "nullable": true,
    "Description": "Principal receiving the grant.",
    "RelatedTo": "AccessPrincipals"
   },
   {
    "name": "TargetField",
    "datatype": "string",
    "type": "relationship",
    "nullable": true,
    "Description": "Catalogued field being exposed.",
    "RelatedTo": "RulebookFields"
   },
   {
    "name": "CanRead",
    "datatype": "boolean",
    "type": "raw",
    "nullable": true,
    "Description": "True when the principal may read this field."
   },
   {
    "name": "CanWrite",
    "datatype": "boolean",
    "type": "raw",
    "nullable": true,
    "Description": "True when the principal may write this field."
   },
   {
    "name": "MaskStrategy",
    "datatype": "string",
    "type": "raw",
    "nullable": true,
    "Description": "How the value is presented when read: 'plain', 'redacted' or 'hashed'."
   },
   {
    "name": "FieldTable",
    "datatype": "string",
    "type": "lookup",
    "nullable": true,
    "Description": "Table the granted field belongs to.",
    "formula": "=INDEX(RulebookFields!{{TargetTable}}, MATCH({{TargetField}}, RulebookFields!{{RulebookFieldId}}, 0))"
   },
   {
    "name": "FieldName",
    "datatype": "string",
    "type": "lookup",
    "nullable": true,
    "Description": "Name of the granted field.",
    "formula": "=INDEX(RulebookFields!{{FieldName}}, MATCH({{TargetField}}, RulebookFields!{{RulebookFieldId}}, 0))"
   },
   {
    "name": "FieldIsDerived",
    "datatype": "boolean",
    "type": "lookup",
    "nullable": true,
    "Description": "Whether the granted field is a derived (calculated/lookup/aggregation) field.",
    "formula": "=INDEX(RulebookFields!{{IsDerived}}, MATCH({{TargetField}}, RulebookFields!{{RulebookFieldId}}, 0))"
   },
   {
    "name": "IsWritableDerivedField",
    "datatype": "boolean",
    "type": "calculated",
    "nullable": true,
    "Description": "True when a derived field has been granted write access. Derived fields are computed by the substrate and cannot be written -- such a grant is incoherent and must be corrected.",
    "formula": "=AND({{CanWrite}}, {{FieldIsDerived}})"
   },
   {
    "name": "IsMasked",
    "datatype": "boolean",
    "type": "calculated",
    "nullable": true,
    "Description": "True when the value is transformed rather than shown verbatim.",
    "formula": "=AND({{MaskStrategy}} &lt;&gt; \"plain\", {{MaskStrategy}} &lt;&gt; \"\")"
   },
   {
    "name": "GrantKeyWhenReadable",
    "datatype": "string",
    "type": "calculated",
    "nullable": true,
    "Description": "Composite echo of principal and table, blank unless readable. Enables single-criterion COUNTIFS rollups of readable columns per principal per table, per the documented multi-criteria COUNTIFS defect.",
    "formula": "=IF({{CanRead}}, {{Principal}} &amp; \"|\" &amp; {{FieldTable}}, \"\")"
   },
   {
    "name": "SemanticTypeIri",
    "datatype": "string",
    "type": "raw",
    "nullable": true,
    "Description": "Semantic type IRI."
   }
  ],
  "data": [
   {
    "FieldGrantId": "fg-finance-analyst-Steps.StepId",
    "Principal": "principal-finance-analyst",
    "TargetField": "Steps.StepId",
    "CanRead": true,
    "CanWrite": false,
    "MaskStrategy": "plain",
    "SemanticTypeIri": "urn:effortless:pko-extension#FieldGrant",
    "Name": "principal-finance-analyst -&gt; Steps.StepId",
    "FieldTable": "Steps",
    "FieldName": "StepId",
    "FieldIsDerived": false,
    "IsWritableDerivedField": false,
    "IsMasked": false,
    "GrantKeyWhenReadable": "principal-finance-analyst|Steps"
   },
   {
    "FieldGrantId": "fg-finance-analyst-Steps.StepNumber",
    "Principal": "principal-finance-analyst",
    "TargetField": "Steps.StepNumber",
    "CanRead": true,
    "CanWrite": false,
    "MaskStrategy": "plain",
    "SemanticTypeIri": "urn:effortless:pko-extension#FieldGrant",
    "Name": "principal-finance-analyst -&gt; Steps.StepNumber",
    "FieldTable": "Steps",
    "FieldName": "StepNumber",
    "FieldIsDerived": false,
    "IsWritableDerivedField": false,
    "IsMasked": false,
    "GrantKeyWhenReadable": "principal-finance-analyst|Steps"
   },
   {
    "FieldGrantId": "fg-finance-analyst-Steps.Title",
    "Principal": "principal-finance-analyst",
    "TargetField": "Steps.Title",
    "CanRead": true,
    "CanWrite": false,
    "MaskStrategy": "plain",
    "SemanticTypeIri": "urn:effortless:pko-extension#FieldGrant",
    "Name": "principal-finance-analyst -&gt; Steps.Title",
    "FieldTable": "Steps",
    "FieldName": "Title",
    "FieldIsDerived": false,
    "IsWritableDerivedField": false,
    "IsMasked": false,
    "GrantKeyWhenReadable": "principal-finance-analyst|Steps"
   },
   {
    "FieldGrantId": "fg-finance-analyst-Steps.StepKind",
    "Principal": "principal-finance-analyst",
    "TargetField": "Steps.StepKind",
    "CanRead": true,
    "CanWrite": false,
    "MaskStrategy": "plain",
    "SemanticTypeIri": "urn:effortless:pko-extension#FieldGrant",
    "Name": "principal-finance-analyst -&gt; Steps.StepKind",
    "FieldTable": "Steps",
    "FieldName": "StepKind",
    "FieldIsDerived": false,
    "IsWritableDerivedField": false,
    "IsMasked": false,
    "GrantKeyWhenReadable": "principal-finance-analyst|Steps"
   },
   {
    "FieldGrantId": "fg-finance-analyst-Steps.Instruction",
    "Principal": "principal-finance-analyst",
    "TargetField": "Steps.Instruction",
    "CanRead": true,
    "CanWrite": false,
    "MaskStrategy": "plain",
    "SemanticTypeIri": "urn:effortless:pko-extension#FieldGrant",
    "Name": "principal-finance-analyst -&gt; Steps.Instruction",
    "FieldTable": "Steps",
    "FieldName": "Instruction",
    "FieldIsDerived": false,
    "IsWritableDerivedField": false,
    "IsMasked": false,
    "GrantKeyWhenReadable": "principal-finance-analyst|Steps"
   },
   {
    "FieldGrantId": "fg-finance-analyst-Steps.AssignedRole",
    "Principal": "principal-finance-analyst",
    "TargetField": "Steps.AssignedRole",
    "CanRead": true,
    "CanWrite": false,
    "MaskStrategy": "plain",
    "SemanticTypeIri": "urn:effortless:pko-extension#FieldGrant",
    "Name": "principal-finance-analyst -&gt; Steps.AssignedRole",
    "FieldTable": "Steps",
    "FieldName": "AssignedRole",
    "FieldIsDerived": false,
    "IsWritableDerivedField": false,
    "IsMasked": false,
    "GrantKeyWhenReadable": "principal-finance-analyst|Steps"
   },
   {
    "FieldGrantId": "fg-finance-analyst-Steps.AssignedRoleLabel",
    "Principal": "principal-finance-analyst",
    "TargetField": "Steps.AssignedRoleLabel",
    "CanRead": true,
    "CanWrite": false,
    "MaskStrategy": "plain",
    "SemanticTypeIri": "urn:effortless:pko-extension#FieldGrant",
    "Name": "principal-finance-analyst -&gt; Steps.AssignedRoleLabel",
    "FieldTable": "Steps",
    "FieldName": "AssignedRoleLabel",
    "FieldIsDerived": true,
    "IsWritableDerivedField": false,
    "IsMasked": false,
    "GrantKeyWhenReadable": "principal-finance-analyst|Steps"
   },
   {
    "FieldGrantId": "fg-finance-analyst-Steps.ProcedureVersion",
    "Principal": "principal-finance-analyst",
    "TargetField": "Steps.ProcedureVersion",
    "CanRead": true,
    "CanWrite": false,
    "MaskStrategy": "plain",
    "SemanticTypeIri": "urn:effortless:pko-extension#FieldGrant",
    "Name": "principal-finance-analyst -&gt; Steps.ProcedureVersion",
    "FieldTable": "Steps",
    "FieldName": "ProcedureVersion",
    "FieldIsDerived": false,
    "IsWritableDerivedField": false,
    "IsMasked": false,
    "GrantKeyWhenReadable": "principal-finance-analyst|Steps"
   },
   {
    "FieldGrantId": "fg-finance-analyst-Steps.Name",
    "Principal": "principal-finance-analyst",
    "TargetField": "Steps.Name",
    "CanRead": true,
    "CanWrite": false,
    "MaskStrategy": "plain",
    "SemanticTypeIri": "urn:effortless:pko-extension#FieldGrant",
    "Name": "principal-finance-analyst -&gt; Steps.Name",
    "FieldTable": "Steps",
    "FieldName": "Name",
    "FieldIsDerived": true,
    "IsWritableDerivedField": false,
    "IsMasked": false,
    "GrantKeyWhenReadable": "principal-finance-analyst|Steps"
   },
   {
    "FieldGrantId": "fg-finance-analyst-Steps.IsApprovalStep",
    "Principal": "principal-finance-analyst",
    "TargetField": "Steps.IsApprovalStep",
    "CanRead": true,
    "CanWrite": false,
    "MaskStrategy": "plain",
    "SemanticTypeIri": "urn:effortless:pko-extension#FieldGrant",
    "Name": "principal-finance-analyst -&gt; Steps.IsApprovalStep",
    "FieldTable": "Steps",
    "FieldName": "IsApprovalStep",
    "FieldIsDerived": true,
    "IsWritableDerivedField": false,
    "IsMasked": false,
    "GrantKeyWhenReadable": "principal-finance-analyst|Steps"
   },
   {
    "FieldGrantId": "fg-finance-analyst-Steps.RequiresHumanConfirmation",
    "Principal": "principal-finance-analyst",
    "TargetField": "Steps.RequiresHumanConfirmation",
    "CanRead": true,
    "CanWrite": false,
    "MaskStrategy": "plain",
    "SemanticTypeIri": "urn:effortless:pko-extension#FieldGrant",
    "Name": "principal-finance-analyst -&gt; Steps.RequiresHumanConfirmation",
    "FieldTable": "Steps",
    "FieldName": "RequiresHumanConfirmation",
    "FieldIsDerived": false,
    "IsWritableDerivedField": false,
    "IsMasked": false,
    "GrantKeyWhenReadable": "principal-finance-analyst|Steps"
   },
   {
    "FieldGrantId": "fg-finance-analyst-Steps.ExpectedDurationMinutes",
    "Principal": "principal-finance-analyst",
    "TargetField": "Steps.ExpectedDurationMinutes",
    "CanRead": true,
    "CanWrite": false,
    "MaskStrategy": "plain",
    "SemanticTypeIri": "urn:effortless:pko-extension#FieldGrant",
    "Name": "principal-finance-analyst -&gt; Steps.ExpectedDurationMinutes",
    "FieldTable": "Steps",
    "FieldName": "ExpectedDurationMinutes",
    "FieldIsDerived": false</t>
  </si>
  <si>
    <t xml:space="preserve">,
    "IsWritableDerivedField": false,
    "IsMasked": false,
    "GrantKeyWhenReadable": "principal-finance-analyst|Steps"
   },
   {
    "FieldGrantId": "fg-finance-analyst-StepExecutions.StepExecutionId",
    "Principal": "principal-finance-analyst",
    "TargetField": "StepExecutions.StepExecutionId",
    "CanRead": true,
    "CanWrite": false,
    "MaskStrategy": "plain",
    "SemanticTypeIri": "urn:effortless:pko-extension#FieldGrant",
    "Name": "principal-finance-analyst -&gt; StepExecutions.StepExecutionId",
    "FieldTable": "StepExecutions",
    "FieldName": "StepExecutionId",
    "FieldIsDerived": false,
    "IsWritableDerivedField": false,
    "IsMasked": false,
    "GrantKeyWhenReadable": "principal-finance-analyst|StepExecutions"
   },
   {
    "FieldGrantId": "fg-finance-analyst-StepExecutions.Step",
    "Principal": "principal-finance-analyst",
    "TargetField": "StepExecutions.Step",
    "CanRead": true,
    "CanWrite": false,
    "MaskStrategy": "plain",
    "SemanticTypeIri": "urn:effortless:pko-extension#FieldGrant",
    "Name": "principal-finance-analyst -&gt; StepExecutions.Step",
    "FieldTable": "StepExecutions",
    "FieldName": "Step",
    "FieldIsDerived": false,
    "IsWritableDerivedField": false,
    "IsMasked": false,
    "GrantKeyWhenReadable": "principal-finance-analyst|StepExecutions"
   },
   {
    "FieldGrantId": "fg-finance-analyst-StepExecutions.ExecutionStatus",
    "Principal": "principal-finance-analyst",
    "TargetField": "StepExecutions.ExecutionStatus",
    "CanRead": true,
    "CanWrite": false,
    "MaskStrategy": "plain",
    "SemanticTypeIri": "urn:effortless:pko-extension#FieldGrant",
    "Name": "principal-finance-analyst -&gt; StepExecutions.ExecutionStatus",
    "FieldTable": "StepExecutions",
    "FieldName": "ExecutionStatus",
    "FieldIsDerived": false,
    "IsWritableDerivedField": false,
    "IsMasked": false,
    "GrantKeyWhenReadable": "principal-finance-analyst|StepExecutions"
   },
   {
    "FieldGrantId": "fg-finance-analyst-StepExecutions.StartedAt",
    "Principal": "principal-finance-analyst",
    "TargetField": "StepExecutions.StartedAt",
    "CanRead": true,
    "CanWrite": false,
    "MaskStrategy": "plain",
    "SemanticTypeIri": "urn:effortless:pko-extension#FieldGrant",
    "Name": "principal-finance-analyst -&gt; StepExecutions.StartedAt",
    "FieldTable": "StepExecutions",
    "FieldName": "StartedAt",
    "FieldIsDerived": false,
    "IsWritableDerivedField": false,
    "IsMasked": false,
    "GrantKeyWhenReadable": "principal-finance-analyst|StepExecutions"
   },
   {
    "FieldGrantId": "fg-finance-analyst-StepExecutions.EndedAt",
    "Principal": "principal-finance-analyst",
    "TargetField": "StepExecutions.EndedAt",
    "CanRead": true,
    "CanWrite": false,
    "MaskStrategy": "plain",
    "SemanticTypeIri": "urn:effortless:pko-extension#FieldGrant",
    "Name": "principal-finance-analyst -&gt; StepExecutions.EndedAt",
    "FieldTable": "StepExecutions",
    "FieldName": "EndedAt",
    "FieldIsDerived": false,
    "IsWritableDerivedField": false,
    "IsMasked": false,
    "GrantKeyWhenReadable": "principal-finance-analyst|StepExecutions"
   },
   {
    "FieldGrantId": "fg-finance-analyst-StepExecutions.VerificationResult",
    "Principal": "principal-finance-analyst",
    "TargetField": "StepExecutions.VerificationResult",
    "CanRead": true,
    "CanWrite": false,
    "MaskStrategy": "plain",
    "SemanticTypeIri": "urn:effortless:pko-extension#FieldGrant",
    "Name": "principal-finance-analyst -&gt; StepExecutions.VerificationResult",
    "FieldTable": "StepExecutions",
    "FieldName": "VerificationResult",
    "FieldIsDerived": false,
    "IsWritableDerivedField": false,
    "IsMasked": false,
    "GrantKeyWhenReadable": "principal-finance-analyst|StepExecutions"
   },
   {
    "FieldGrantId": "fg-finance-analyst-StepExecutions.Name",
    "Principal": "principal-finance-analyst",
    "TargetField": "StepExecutions.Name",
    "CanRead": true,
    "CanWrite": false,
    "MaskStrategy": "plain",
    "SemanticTypeIri": "urn:effortless:pko-extension#FieldGrant",
    "Name": "principal-finance-analyst -&gt; StepExecutions.Name",
    "FieldTable": "StepExecutions",
    "FieldName": "Name",
    "FieldIsDerived": true,
    "IsWritableDerivedField": false,
    "IsMasked": false,
    "GrantKeyWhenReadable": "principal-finance-analyst|StepExecutions"
   },
   {
    "FieldGrantId": "fg-finance-analyst-StepExecutions.Deviation",
    "Principal": "principal-finance-analyst",
    "TargetField": "StepExecutions.Deviation",
    "CanRead": true,
    "CanWrite": false,
    "MaskStrategy": "plain",
    "SemanticTypeIri": "urn:effortless:pko-extension#FieldGrant",
    "Name": "principal-finance-analyst -&gt; StepExecutions.Deviation",
    "FieldTable": "StepExecutions",
    "FieldName": "Deviation",
    "FieldIsDerived": false,
    "IsWritableDerivedField": false,
    "IsMasked": false,
    "GrantKeyWhenReadable": "principal-finance-analyst|StepExecutions"
   },
   {
    "FieldGrantId": "fg-finance-analyst-StepExecutions.ActualDurationMinutes",
    "Principal": "principal-finance-analyst",
    "TargetField": "StepExecutions.ActualDurationMinutes",
    "CanRead": true,
    "CanWrite": false,
    "MaskStrategy": "plain",
    "SemanticTypeIri": "urn:effortless:pko-extension#FieldGrant",
    "Name": "principal-finance-analyst -&gt; StepExecutions.ActualDurationMinutes",
    "FieldTable": "StepExecutions",
    "FieldName": "ActualDurationMinutes",
    "FieldIsDerived": true,
    "IsWritableDerivedField": false,
    "IsMasked": false,
    "GrantKeyWhenReadable": "principal-finance-analyst|StepExecutions"
   },
   {
    "FieldGrantId": "fg-finance-analyst-StepExecutions.IsLate",
    "Principal": "principal-finance-analyst",
    "TargetField": "StepExecutions.IsLate",
    "CanRead": true,
    "CanWrite": false,
    "MaskStrategy": "plain",
    "SemanticTypeIri": "urn:effortless:pko-extension#FieldGrant",
    "Name": "principal-finance-analyst -&gt; StepExecutions.IsLate",
    "FieldTable": "StepExecutions",
    "FieldName": "IsLate",
    "FieldIsDerived": true,
    "IsWritableDerivedField": false,
    "IsMasked": false,
    "GrantKeyWhenReadable": "principal-finance-analyst|StepExecutions"
   },
   {
    "FieldGrantId": "fg-finance-analyst-ProcedureExecutions.ProcedureExecutionId",
    "Principal": "principal-finance-analyst",
    "TargetField": "ProcedureExecutions.ProcedureExecutionId",
    "CanRead": true,
    "CanWrite": false,
    "MaskStrategy": "plain",
    "SemanticTypeIri": "urn:effortless:pko-extension#FieldGrant",
    "Name": "principal-finance-analyst -&gt; ProcedureExecutions.ProcedureExecutionId",
    "FieldTable": "ProcedureExecutions",
    "FieldName": "ProcedureExecutionId",
    "FieldIsDerived": false,
    "IsWritableDerivedField": false,
    "IsMasked": false,
    "GrantKeyWhenReadable": "principal-finance-analyst|ProcedureExecutions"
   },
   {
    "FieldGrantId": "fg-finance-analyst-ProcedureExecutions.ExecutionStatus",
    "Principal": "principal-finance-analyst",
    "TargetField": "ProcedureExecutions.ExecutionStatus",
    "CanRead": true,
    "CanWrite": false,
    "MaskStrategy": "plain",
    "SemanticTypeIri": "urn:effortless:pko-extension#FieldGrant",
    "Name": "principal-finance-analyst -&gt; ProcedureExecutions.ExecutionStatus",
    "FieldTable": "ProcedureExecutions",
    "FieldName": "ExecutionStatus",
    "FieldIsDerived": false,
    "IsWritableDerivedField": false,
    "IsMasked": false,
    "GrantKeyWhenReadable": "principal-finance-analyst|ProcedureExecutions"
   },
   {
    "FieldGrantId": "fg-finance-analyst-ProcedureExecutions.StartedAt",
    "Principal": "principal-finance-analyst",
    "TargetField": "ProcedureExecutions.StartedAt",
    "CanRead": true,
    "CanWrite": false,
    "MaskStrategy": "plain",
    "SemanticTypeIri": "urn:effortless:pko-extension#FieldGrant",
    "Name": "principal-finance-analyst -&gt; ProcedureExecutions.StartedAt",
    "FieldTable": "ProcedureExecutions",
    "FieldName": "StartedAt",
    "FieldIsDerived": false,
    "IsWritableDerivedField": false,
    "IsMasked": false,
    "GrantKeyWhenReadable": "principal-finance-analyst|ProcedureExecutions"
   },
   {
    "FieldGrantId": "fg-finance-analyst-ProcedureExecutions.EndedAt",
    "Principal": "principal-finance-analyst",
    "TargetField": "ProcedureExecutions.EndedAt",
    "CanRead": true,
    "CanWrite": false,
    "MaskStrategy": "plain",
    "SemanticTypeIri": "urn:effortless:pko-extension#FieldGrant",
    "Name": "principal-finance-analyst -&gt; ProcedureExecutions.EndedAt",
    "FieldTable": "ProcedureExecutions",
    "FieldName": "EndedAt",
    "FieldIsDerived": false,
    "IsWritableDerivedField": false,
    "IsMasked": false,
    "GrantKeyWhenReadable": "principal-finance-analyst|ProcedureExecutions"
   },
   {
    "FieldGrantId": "fg-finance-analyst-ProcedureExecutions.ProcedureVersion",
    "Principal": "principal-finance-analyst",
    "TargetField": "ProcedureExecutions.ProcedureVersion",
    "CanRead": true,
    "CanWrite": false,
    "MaskStrategy": "plain",
    "SemanticTypeIri": "urn:effortless:pko-extension#FieldGrant",
    "Name": "principal-finance-analyst -&gt; ProcedureExecutions.ProcedureVersion",
    "FieldTable": "ProcedureExecutions",
    "FieldName": "ProcedureVersion",
    "FieldIsDerived": false,
    "IsWritableDerivedField": false,
    "IsMasked": false,
    "GrantKeyWhenReadable": "principal-finance-analyst|ProcedureExecutions"
   },
   {
    "FieldGrantId": "fg-finance-analyst-ProcedureExecutions.Name",
    "Principal": "principal-finance-analyst",
    "TargetField": "ProcedureExecutions.Name",
    "CanRead": true,
    "CanWrite": false,
    "MaskStrategy": "plain",
    "SemanticTypeIri": "urn:effortless:pko-extension#FieldGrant",
    "Name": "principal-finance-analyst -&gt; ProcedureExecutions.Name",
    "FieldTable": "ProcedureExecutions",
    "FieldName": "Name",
    "FieldIsDerived": true,
    "IsWritableDerivedField": false,
    "IsMasked": false,
    "GrantKeyWhenReadable": "principal-finance-analyst|ProcedureExecutions"
   },
   {
    "FieldGrantId": "fg-finance-analyst-Requirements.RequirementId",
    "Principal": "principal-finance-analyst",
    "TargetField": "Requirements.RequirementId",
    "CanRead": true,
    "CanWrite": false,
    "MaskStrategy": "plain",
    "SemanticTypeIri": "urn:effortless:pko-extension#FieldGrant",
    "Name": "principal-finance-analyst -&gt; Requirements.RequirementId",
    "FieldTable": "Requirements",
    "FieldName": "RequirementId",
    "FieldIsDerived": false,
    "IsWritableDerivedField": false,
    "IsMasked": false,
    "GrantKeyWhenReadable": "principal-finance-analyst|Requirements"
   },
   {
    "FieldGrantId": "fg-finance-analyst-Requirements.Label",
    "Principal": "principal-finance-analyst",
    "TargetField": "Requirements.Label",
    "CanRead": true,
    "CanWrite": false,
    "MaskStrategy": "plain",
    "SemanticTypeIri": "urn:effortless:pko-extension#FieldGrant",
    "Name": "principal-finance-analyst -&gt; Requirements.Label",
    "FieldTable": "Requirements",
    "FieldName": "Label",
    "FieldIsDerived": false,
    "IsWritableDerivedField": false,
    "IsMasked": false,
    "GrantKeyWhenReadable": "principal-finance-analyst|Requirements"
   },
   {
    "FieldGrantId": "fg-finance-analyst-Requirements.RequirementType",
    "Principal": "principal-finance-analyst",
    "TargetField": "Requirements.RequirementType",
    "CanRead": true,
    "CanWrite": false,
    "MaskStrategy": "plain",
    "SemanticTypeIri": "urn:effortless:pko-extension#FieldGrant",
    "Name": "principal-finance-analyst -&gt; Requirements.RequirementType",
    "FieldTable": "Requirements",
    "FieldName": "RequirementType",
    "FieldIsDerived": false,
    "IsWritableDerivedField": false,
    "IsMasked": false,
    "GrantKeyWhenReadable": "principal-finance-analyst|Requirements"
   },
   {
    "FieldGrantId": "fg-finance-analyst-Requirements.Statement",
    "Principal": "principal-finance-analyst",
    "TargetField": "Requirements.Statement",
    "CanRead": true,
    "CanWrite": false,
    "MaskStrategy": "plain",
    "SemanticTypeIri": "urn:effortless:pko-extension#FieldGrant",
    "Name": "principal-finance-analyst -&gt; Requirements.Statement",
    "FieldTable": "Requirements",
    "FieldName": "Statement",
    "FieldIsDerived": false,
    "IsWritableDerivedField": false,
    "IsMasked": false,
    "GrantKeyWhenReadable": "principal-finance-analyst|Requirements"
   },
   {
    "FieldGrantId": "fg-finance-analyst-Requirements.IsBlocking",
    "Principal": "principal-finance-analyst",
    "TargetField": "Requirements.IsBlocking",
    "CanRead": true,
    "CanWrite": false,
    "MaskStrategy": "plain",
    "SemanticTypeIri": "urn:effortless:pko-extension#FieldGrant",
    "Name": "principal-finance-analyst -&gt; Requirements.IsBlocking",
    "FieldTable": "Requirements",
    "FieldName": "IsBlocking",
    "FieldIsDerived": false,
    "IsWritableDerivedField": false,
    "IsMasked": false,
    "GrantKeyWhenReadable": "principal-finance-analyst|Requirements"
   },
   {
    "FieldGrantId": "fg-finance-analyst-Requirements.Name",
    "Principal": "principal-finance-analyst",
    "TargetField": "Requirements.Name",
    "CanRead": true,
    "CanWrite": false,
    "MaskStrategy": "plain",
    "SemanticTypeIri": "urn:effortless:pko-extension#FieldGrant",
    "Name": "principal-finance-analyst -&gt; Requirements.Name",
    "FieldTable": "Requirements",
    "FieldName": "Name",
    "FieldIsDerived": true,
    "IsWritableDerivedField": false,
    "IsMasked": false,
    "GrantKeyWhenReadable": "principal-finance-analyst|Requirements"
   },
   {
    "FieldGrantId": "fg-finance-analyst-RequirementSatisfactions.RequirementSatisfactionId",
    "Principal": "principal-finance-analyst",
    "TargetField": "RequirementSatisfactions.RequirementSatisfactionId",
    "CanRead": true,
    "CanWrite": false,
    "MaskStrategy": "plain",
    "SemanticTypeIri": "urn:effortless:pko-extension#FieldGrant",
    "Name": "principal-finance-analyst -&gt; RequirementSatisfactions.RequirementSatisfactionId",
    "FieldTable": "RequirementSatisfactions",
    "FieldName": "RequirementSatisfactionId",
    "FieldIsDerived": false,
    "IsWritableDerivedField": false,
    "IsMasked": false,
    "GrantKeyWhenReadable": "principal-finance-analyst|RequirementSatisfactions"
   },
   {
    "FieldGrantId": "fg-finance-analyst-RequirementSatisfactions.Requirement",
    "Principal": "principal-finance-analyst",
    "TargetField": "RequirementSatisfactions.Requirement",
    "CanRead": true,
    "CanWrite": false,
    "MaskStrategy": "plain",
    "SemanticTypeIri": "urn:effortless:pko-extension#FieldGrant",
    "Name": "principal-finance-analyst -&gt; RequirementSatisfactions.Requirement",
    "FieldTable": "RequirementSatisfactions",
    "FieldName": "Requirement",
    "FieldIsDerived": false,
    "IsWritableDerivedField": false,
    "IsMasked": false,
    "GrantKeyWhenReadable": "principal-finance-analyst|RequirementSatisfactions"
   },
   {
    "FieldGrantId": "fg-finance-analyst-RequirementSatisfactions.SatisfactionLevel",
    "Principal": "principal-finance-analyst",
    "TargetField": "RequirementSatisfactions.SatisfactionLevel",
    "CanRead": true,
    "CanWrite": false,
    "MaskStrategy": "plain",
    "SemanticTypeIri": "urn:effortless:pko-extension#FieldGrant",
    "Name": "principal-finance-analyst -&gt; RequirementSatisfactions.SatisfactionLevel",
    "FieldTable": "RequirementSatisfactions",
    "FieldName": "SatisfactionLevel",
    "FieldIsDerived": false,
    "IsWritableDerivedField": false,
    "IsMasked": false,
    "GrantKeyWhenReadable": "principal-finance-analyst|RequirementSatisfactions"
   },
   {
    "FieldGrantId": "fg-finance-analyst-RequirementSatisfactions.Evidence",
    "Principal": "principal-finance-analyst",
    "TargetField": "RequirementSatisfactions.Evidence",
    "CanRead": true,
    "CanWrite": false,
    "MaskStrategy": "plain",
    "SemanticTypeIri": "urn:effortless:pko-extension#FieldGrant",
    "Name": "principal-finance-analyst -&gt; RequirementSatisfactions.Evidence",
    "FieldTable": "RequirementSatisfactions",
    "FieldName": "Evidence",
    "FieldIsDerived": false,
    "IsWritableDerivedField": false,
    "IsMasked": false,
    "GrantKeyWhenReadable": "principal-finance-analyst|RequirementSatisfactions"
   },
   {
    "FieldGrantId": "fg-finance-analyst-RequirementSatisfactions.EvaluatedAt",
    "Principal": "principal-finance-analyst",
    "TargetField": "RequirementSatisfactions.EvaluatedAt",
    "CanRead": true,
    "CanWrite": false,
    "MaskStrategy": "plain",
    "SemanticTypeIri": "urn:effortless:pko-extension#FieldGrant",
    "Name": "principal-finance-analyst -&gt; RequirementSatisfactions.EvaluatedAt",
    "FieldTable": "RequirementSatisfactions",
    "FieldName": "EvaluatedAt",
    "FieldIsDerived": false,
    "IsWritableDerivedField": false,
    "IsMasked": false,
    "GrantKeyWhenReadable": "principal-finance-analyst|RequirementSatisfactions"
   },
   {
    "FieldGrantId": "fg-finance-analyst-RequirementSatisfactions.Name",
    "Principal": "principal-finance-analyst",
    "TargetField": "RequirementSatisfactions.Name",
    "CanRead": true,
    "CanWrite": false,
    "MaskStrategy": "plain",
    "SemanticTypeIri": "urn:effortless:pko-extension#FieldGrant",
    "Name": "principal-finance-analyst -&gt; RequirementSatisfactions.Name",
    "FieldTable": "RequirementSatisfactions",
    "FieldName": "Name",
    "FieldIsDerived": true,
    "IsWritableDerivedField": false,
    "IsMasked": false,
    "GrantKeyWhenReadable": "principal-finance-analyst|RequirementSatisfactions"
   },
   {
    "FieldGrantId": "fg-finance-analyst-Procedures.ProcedureId",
    "Principal": "principal-finance-analyst",
    "TargetField": "Procedures.ProcedureId",
    "CanRead": true,
    "CanWrite": false,
    "MaskStrategy": "plain",
    "SemanticTypeIri": "urn:effortless:pko-extension#FieldGrant",
    "Name": "principal-finance-analyst -&gt; Procedures.ProcedureId",
    "FieldTable": "Procedures",
    "FieldName": "ProcedureId",
    "FieldIsDerived": false,
    "IsWritableDerivedField": false,
    "IsMasked": false,
    "GrantKeyWhenReadable": "principal-finance-analyst|Procedures"
   },
   {
    "FieldGrantId": "fg-finance-analyst-Procedures.Title",
    "Principal": "principal-finance-analyst",
    "TargetField": "Procedures.Title",
    "CanRead": true,
    "CanWrite": false,
    "MaskStrategy": "plain",
    "SemanticTypeIri": "urn:effortless:pko-extension#FieldGrant",
    "Name": "principal-finance-analyst -&gt; Procedures.Title",
    "FieldTable": "Procedures",
    "FieldName": "Title",
    "FieldIsDerived": false,
    "IsWritableDerivedField": false,
    "IsMasked": false,
    "GrantKeyWhenReadable": "principal-finance-analyst|Procedures"
   },
   {
    "FieldGrantId": "fg-finance-analyst-Procedures.Purpose",
    "Principal": "principal-finance-analyst",
    "TargetField": "Procedures.Purpose",
    "CanRead": true,
    "CanWrite": false,
    "MaskStrategy": "plain",
    "SemanticTypeIri": "urn:effortless:pko-extension#FieldGrant",
    "Name": "principal-finance-analyst -&gt; Procedures.Purpose",
    "FieldTable": "Procedures",
    "FieldName": "Purpose",
    "FieldIsDerived": false,
    "IsWritableDerivedField": false,
    "IsMasked": false,
    "GrantKeyWhenReadable": "principal-finance-analyst|Procedures"
   },
   {
    "FieldGrantId": "fg-finance-analyst-Procedures.Name",
    "Principal": "principal-finance-analyst",
    "TargetField": "Procedures.Name",
    "CanRead": true,
    "CanWrite": false,
    "MaskStrategy": "plain",
    "SemanticTypeIri": "urn:effortless:pko-extension#FieldGrant",
    "Name": "principal-finance-analyst -&gt; Procedures.Name",
    "FieldTable": "Procedures",
    "FieldName": "Name",
    "FieldIsDerived": true,
    "IsWritableDerivedField": false,
    "IsMasked": false,
    "GrantKeyWhenReadable": "principal-finance-analyst|Procedures"
   },
   {
    "FieldGrantId": "fg-finance-analyst-ProcedureVersions.ProcedureVersionId",
    "Principal": "principal-finance-analyst",
    "TargetField": "ProcedureVersions.ProcedureVersionId",
    "CanRead": true,
    "CanWrite": false,
    "MaskStrategy": "plain",
    "SemanticTypeIri": "urn:effortless:pko-extension#FieldGrant",
    "Name": "principal-finance-analyst -&gt; ProcedureVersions.ProcedureVersionId",
    "FieldTable": "ProcedureVersions",
    "FieldName": "ProcedureVersionId",
    "FieldIsDerived": false,
    "IsWritableDerivedField": false,
    "IsMasked": false,
    "GrantKeyWhenReadable": "principal-finance-analyst|ProcedureVersions"
   },
   {
    "FieldGrantId": "fg-finance-analyst-ProcedureVersions.VersionNumber",
    "Principal": "principal-finance-analyst",
    "TargetField": "ProcedureVersions.VersionNumber",
    "CanRead": true,
    "CanWrite": false,
    "MaskStrategy": "plain",
    "SemanticTypeIri": "urn:effortless:pko-extension#FieldGrant",
    "Name": "principal-finance-analyst -&gt; ProcedureVersions.VersionNumber",
    "FieldTable": "ProcedureVersions",
    "FieldName": "VersionNumber",
    "FieldIsDerived": false,
    "IsWritableDerivedField": false,
    "IsMasked": false,
    "GrantKeyWhenReadable": "principal-finance-analyst|ProcedureVersions"
   },
   {
    "FieldGrantId": "fg-finance-analyst-ProcedureVersions.Title",
    "Principal": "principal-finance-analyst",
    "TargetField": "ProcedureVersions.Title",
    "CanRead": true,
    "CanWrite": false,
    "MaskStrategy": "plain",
    "SemanticTypeIri": "urn:effortless:pko-extension#FieldGrant",
    "Name": "principal-finance-analyst -&gt; ProcedureVersions.Title",
    "FieldTable": "ProcedureVersions",
    "FieldName": "Title",
    "FieldIsDerived": false,
    "IsWritableDerivedField": false,
    "IsMasked": false,
    "GrantKeyWhenReadable": "principal-finance-analyst|ProcedureVersions"
   },
   {
    "FieldGrantId": "fg-finance-analyst-ProcedureVersions.Status",
    "Principal": "principal-finance-analyst",
    "TargetField": "ProcedureVersions.Status",
    "CanRead": true,
    "CanWrite": false,
    "MaskStrategy": "plain",
    "SemanticTypeIri": "urn:effortless:pko-extension#FieldGrant",
    "Name": "principal-finance-analyst -&gt; ProcedureVersions.Status",
    "FieldTable": "ProcedureVersions",
    "FieldName": "Status",
    "FieldIsDerived": false,
    "IsWritableDerivedField": false,
    "IsMasked": false,
    "GrantKeyWhenReadable": "principal-finance-analyst|ProcedureVersions"
   },
   {
    "FieldGrantId": "fg-finance-analyst-ProcedureVersions.IsCurrent",
    "Principal": "principal-finance-analyst",
    "TargetField": "ProcedureVersions.IsCurrent",
    "CanRead": true,
    "CanWrite": false,
    "MaskStrategy": "plain",
    "SemanticTypeIri": "urn:effortless:pko-extension#FieldGrant",
    "Name": "principal-finance-analyst -&gt; ProcedureVersions.IsCurrent",
    "FieldTable": "ProcedureVersions",
    "FieldName": "IsCurrent",
    "FieldIsDerived": false,
    "IsWritableDerivedField": false,
    "IsMasked": false,
    "GrantKeyWhenReadable": "principal-finance-analyst|ProcedureVersions"
   },
   {
    "FieldGrantId": "fg-finance-analyst-ProcedureVersions.Procedure",
    "Principal": "principal-finance-analyst",
    "TargetField": "ProcedureVersions.Procedure",
    "CanRead": true,
    "CanWrite": false,
    "MaskStrategy": "plain",
    "SemanticTypeIri": "urn:effortless:pko-extension#FieldGrant",
    "Name": "principal-finance-analyst -&gt; ProcedureVersions.Procedure",
    "FieldTable": "ProcedureVersions",
    "FieldName": "Procedure",
    "FieldIsDerived": false,
    "IsWritableDerivedField": false,
    "IsMasked": false,
    "GrantKeyWhenReadable": "principal-finance-analyst|ProcedureVersions"
   },
   {
    "FieldGrantId": "fg-finance-analyst-ProcedureVersions.Name",
    "Principal": "principal-finance-analyst",
    "TargetField": "ProcedureVersions.Name",
    "CanRead": true,
    "CanWrite": false,
    "MaskStrategy": "plain",
    "SemanticTypeIri": "urn:effortless:pko-extension#FieldGrant",
    "Name": "principal-finance-analyst -&gt; ProcedureVersions.Name",
    "FieldTable": "ProcedureVersions",
    "FieldName": "Name",
    "FieldIsDerived": true,
    "IsWritableDerivedField": false,
    "IsMasked": false,
    "GrantKeyWhenReadable": "principal-finance-analyst|ProcedureVersions"
   },
   {
    "FieldGrantId": "fg-controller-Steps.StepId",
    "Principal": "principal-controller",
    "TargetField": "Steps.StepId",
    "CanRead": true,
    "CanWrite": false,
    "MaskStrategy": "plain",
    "SemanticTypeIri": "urn:effortless:pko-extension#FieldGrant",
    "Name": "principal-controller -&gt; Steps.StepId",
    "FieldTable": "Steps",
    "FieldName": "StepId",
    "FieldIsDerived": false,
    "IsWritableDerivedField": false,
    "IsMasked": false,
    "GrantKeyWhenReadable": "principal-controller|Steps"
   },
   {
    "FieldGrantId": "fg-controller-Steps.StepNumber",
    "Principal": "principal-controller",
    "TargetField": "Steps.StepNumber",
    "CanRead": true,
    "CanWrite": false,
    "MaskStrategy": "plain",
    "SemanticTypeIri": "urn:effortless:pko-extension#FieldGrant",
    "Name": "principal-controller -&gt; Steps.StepNumber",
    "FieldTable": "Steps",
    "FieldName": "StepNumber",
    "FieldIsDerived": false,
    "IsWritableDerivedField": false,
    "IsMasked": false,
    "GrantKeyWhenReadable": "principal-controller|Steps"
   },
   {
    "FieldGrantId": "fg-controller-Steps.Title",
    "Principal": "principal-controller",
    "TargetField": "Steps.Title",
    "CanRead": true,
    "CanWrite": false,
    "MaskStrategy": "plain",
    "SemanticTypeIri": "urn:effortless:pko-extension#FieldGrant",
    "Name": "principal-controller -&gt; Steps.Title",
    "FieldTable": "Steps",
    "FieldName": "Title",
    "FieldIsDerived": false,
    "IsWritableDerivedField": false,
    "IsMasked": false,
    "GrantKeyWhenReadable": "principal-controller|Steps"
   },
   {
    "FieldGrantId": "fg-controller-Steps.StepKind",
    "Principal": "principal-controller",
    "TargetField": "Steps.StepKind",
    "CanRead": true,
    "CanWrite": false,
    "MaskStrategy": "plain",
    "SemanticTypeIri": "urn:effortless:pko-extension#FieldGrant",
    "Name": "principal-controller -&gt; Steps.StepKind",
    "FieldTable": "Steps",
    "FieldName": "StepKind",
    "FieldIsDerived": false,
    "IsWritableDerivedField": false,
    "IsMasked": false,
    "GrantKeyWhenReadable": "principal-controller|Steps"
   },
   {
    "FieldGrantId": "fg-controller-Steps.Instruction",
    "Principal": "principal-controller",
    "TargetField": "Steps.Instruction",
    "CanRead": true,
    "CanWrite": false,
    "MaskStrategy": "plain",
    "SemanticTypeIri": "urn:effortless:pko-extension#FieldGrant",
    "Name": "principal-controller -&gt; Steps.Instruction",
    "FieldTable": "Steps",
    "FieldName": "Instruction",
    "FieldIsDerived": false,
    "IsWritableDerivedField": false,
    "IsMasked": false,
    "GrantKeyWhenReadable": "principal-controller|Steps"
   },
   {
    "FieldGrantId": "fg-controller-Steps.AssignedRole",
    "Principal": "principal-controller",
    "TargetField": "Steps.AssignedRole",
    "CanRead": true,
    "CanWrite": false,
    "MaskStrategy": "plain",
    "SemanticTypeIri": "urn:effortless:pko-extension#FieldGrant",
    "Name": "principal-controller -&gt; Steps.AssignedRole",
    "FieldTable": "Steps",
    "FieldName": "AssignedRole",
    "FieldIsDerived": false,
    "IsWritableDerivedField": false,
    "IsMasked": false,
    "GrantKeyWhenReadable": "principal-controller|Steps"
   },
   {
    "FieldGrantId": "fg-controller-Steps.AssignedRoleLabel",
    "Principal": "principal-controller",
    "TargetField": "Steps.AssignedRoleLabel",
    "CanRead": true,
    "CanWrite": false,
    "MaskStrategy": "plain",
    "SemanticTypeIri": "urn:effortless:pko-extension#FieldGrant",
    "Name": "principal-controller -&gt; Steps.AssignedRoleLabel",
    "FieldTable": "Steps",
    "FieldName": "AssignedRoleLabel",
    "FieldIsDerived": true,
    "IsWritableDerivedField": false,
    "IsMasked": false,
    "GrantKeyWhenReadable": "principal-controller|Steps"
   },
   {
    "FieldGrantId": "fg-controller-Steps.ProcedureVersion",
    "Principal": "principal-controller",
    "TargetField": "Steps.ProcedureVersion",
    "CanRead": true,
    "CanWrite": false,
    "MaskStrategy": "plain",
    "SemanticTypeIri": "urn:effortless:pko-extension#FieldGrant",
    "Name": "principal-controller -&gt; Steps.ProcedureVersion",
    "FieldTable": "Steps",
    "FieldName": "ProcedureVersion",
    "FieldIsDerived": false,
    "IsWritableDerivedField": false,
    "IsMasked": false,
    "GrantKeyWhenReadable": "principal-controller|Steps"
   },
   {
    "FieldGrantId": "fg-controller-Steps.Name",
    "Principal": "principal-controller",
    "TargetField": "Steps.Name",
    "CanRead": true,
    "CanWrite": false,
    "MaskStrategy": "plain",
    "SemanticTypeIri": "urn:effortless:pko-extension#FieldGrant",
    "Name": "principal-controller -&gt; Steps.Name",
    "FieldTable": "Steps",
    "FieldName": "Name",
    "FieldIsDerived": true,
    "IsWritableDerivedField": false,
    "IsMasked": false,
    "GrantKeyWhenReadable": "principal-controller|Steps"
   },
   {
    "FieldGrantId": "fg-controller-Steps.IsApprovalStep",
    "Principal": "principal-controller",
    "TargetField": "Steps.IsApprovalStep",
    "CanRead": true,
    "CanWrite": false,
    "MaskStrategy": "plain",
    "SemanticTypeIri": "urn:effortless:pko-extension#FieldGrant",
    "Name": "principal-controller -&gt; Steps.IsApprovalStep",
    "FieldTable": "Steps",
    "FieldName": "IsApprovalStep",
    "FieldIsDerived": true,
    "IsWritableDerivedField": false,
    "IsMasked": false,
    "GrantKeyWhenReadable": "principal-controller|Steps"
   },
   {
    "FieldGrantId": "fg-controller-Steps.RequiresHumanConfirmation",
    "Principal": "principal-controller",
    "TargetField": "Steps.RequiresHumanConfirmation",
    "CanRead": true,
    "CanWrite": false,
    "MaskStrategy": "plain",
    "SemanticTypeIri": "urn:effortless:pko-extension#FieldGrant",
    "Name": "principal-controller -&gt; Steps.RequiresHumanConfirmation",
    "FieldTable": "Steps",
    "FieldName": "RequiresHumanConfirmation",
    "FieldIsDerived": false,
    "IsWritableDerivedField": false,
    "IsMasked": false,
    "GrantKeyWhenReadable": "principal-controller|Steps"
   },
   {
    "FieldGrantId": "fg-controller-Steps.ExpectedDurationMinutes",
    "Principal": "principal-controller",
    "TargetField": "Steps.ExpectedDurationMinutes",
    "CanRead": true,
    "CanWrite": false,
    "MaskStrategy": "plain",
    "SemanticTypeIri": "urn:effortless:pko-extension#FieldGrant",
    "Name": "principal-controller -&gt; Steps.ExpectedDurationMinutes",
    "FieldTable": "Steps",
    "FieldName": "ExpectedDurationMinutes",
    "FieldIsDerived": false,
    "IsWritableDerivedField": false,
    "IsMasked": false,
    "GrantKeyWhenReadable": "principal-controller|Steps"
   },
   {
    "FieldGrantId": "fg-controller-Steps.ControlKind",
    "Principal": "principal-controller",
    "TargetField": "Steps.ControlKind",
    "CanRead": true,
    "CanWrite": false,
    "MaskStrategy": "plain",
    "SemanticTypeIri": "urn:effortless:pko-extension#FieldGrant",
    "Name": "principal-controller -&gt; Steps.ControlKind",
    "FieldTable": "Steps",
    "FieldName": "ControlKind",
    "FieldIsDerived": false,
    "IsWritableDerivedField": false,
    "IsMasked": false,
    "GrantKeyWhenReadable": "principal-controller|Steps"
   },
   {
    "FieldGrantId": "fg-controller-StepExecutions.StepExecutionId",
    "Principal": "principal-controller",
    "TargetField": "StepExecutions.StepExecutionId",
    "CanRead": true,
    "CanWrite": false,
    "MaskStrategy": "plain",
    "SemanticTypeIri": "urn:effortless:pko-extension#FieldGrant",
    "Name": "principal-controller -&gt; StepExecutions.StepExecutionId",
    "FieldTable": "StepExecutions",
    "FieldName": "StepExecutionId",
    "FieldIsDerived": false,
    "IsWritableDerivedField": false,
    "IsMasked": false,
    "GrantKeyWhenReadable": "principal-controller|StepExecutions"
   },
   {
    "FieldGrantId": "fg-controller-StepExecutions.Step",
    "Principal": "principal-controller",
    "TargetField": "StepExecutions.Step",
    "CanRead": true,
    "CanWrite": false,
    "MaskStrategy": "plain",
    "SemanticTypeIri": "urn:effortless:pko-extension#FieldGrant",
    "Name": "principal-controller -&gt; StepExecutions.Step",
    "FieldTable": "StepExecutions",
    "FieldName": "Step",
    "FieldIsDerived": false,
    "IsWritableDerivedField": false,
    "IsMasked": false,
    "GrantKeyWhenReadable": "principal-controller|StepExecutions"
   },
   {
    "FieldGrantId": "fg-controller-StepExecutions.Execu</t>
  </si>
  <si>
    <t xml:space="preserve">tionStatus",
    "Principal": "principal-controller",
    "TargetField": "StepExecutions.ExecutionStatus",
    "CanRead": true,
    "CanWrite": false,
    "MaskStrategy": "plain",
    "SemanticTypeIri": "urn:effortless:pko-extension#FieldGrant",
    "Name": "principal-controller -&gt; StepExecutions.ExecutionStatus",
    "FieldTable": "StepExecutions",
    "FieldName": "ExecutionStatus",
    "FieldIsDerived": false,
    "IsWritableDerivedField": false,
    "IsMasked": false,
    "GrantKeyWhenReadable": "principal-controller|StepExecutions"
   },
   {
    "FieldGrantId": "fg-controller-StepExecutions.StartedAt",
    "Principal": "principal-controller",
    "TargetField": "StepExecutions.StartedAt",
    "CanRead": true,
    "CanWrite": false,
    "MaskStrategy": "plain",
    "SemanticTypeIri": "urn:effortless:pko-extension#FieldGrant",
    "Name": "principal-controller -&gt; StepExecutions.StartedAt",
    "FieldTable": "StepExecutions",
    "FieldName": "StartedAt",
    "FieldIsDerived": false,
    "IsWritableDerivedField": false,
    "IsMasked": false,
    "GrantKeyWhenReadable": "principal-controller|StepExecutions"
   },
   {
    "FieldGrantId": "fg-controller-StepExecutions.EndedAt",
    "Principal": "principal-controller",
    "TargetField": "StepExecutions.EndedAt",
    "CanRead": true,
    "CanWrite": false,
    "MaskStrategy": "plain",
    "SemanticTypeIri": "urn:effortless:pko-extension#FieldGrant",
    "Name": "principal-controller -&gt; StepExecutions.EndedAt",
    "FieldTable": "StepExecutions",
    "FieldName": "EndedAt",
    "FieldIsDerived": false,
    "IsWritableDerivedField": false,
    "IsMasked": false,
    "GrantKeyWhenReadable": "principal-controller|StepExecutions"
   },
   {
    "FieldGrantId": "fg-controller-StepExecutions.VerificationResult",
    "Principal": "principal-controller",
    "TargetField": "StepExecutions.VerificationResult",
    "CanRead": true,
    "CanWrite": false,
    "MaskStrategy": "plain",
    "SemanticTypeIri": "urn:effortless:pko-extension#FieldGrant",
    "Name": "principal-controller -&gt; StepExecutions.VerificationResult",
    "FieldTable": "StepExecutions",
    "FieldName": "VerificationResult",
    "FieldIsDerived": false,
    "IsWritableDerivedField": false,
    "IsMasked": false,
    "GrantKeyWhenReadable": "principal-controller|StepExecutions"
   },
   {
    "FieldGrantId": "fg-controller-StepExecutions.Name",
    "Principal": "principal-controller",
    "TargetField": "StepExecutions.Name",
    "CanRead": true,
    "CanWrite": false,
    "MaskStrategy": "plain",
    "SemanticTypeIri": "urn:effortless:pko-extension#FieldGrant",
    "Name": "principal-controller -&gt; StepExecutions.Name",
    "FieldTable": "StepExecutions",
    "FieldName": "Name",
    "FieldIsDerived": true,
    "IsWritableDerivedField": false,
    "IsMasked": false,
    "GrantKeyWhenReadable": "principal-controller|StepExecutions"
   },
   {
    "FieldGrantId": "fg-controller-StepExecutions.Deviation",
    "Principal": "principal-controller",
    "TargetField": "StepExecutions.Deviation",
    "CanRead": true,
    "CanWrite": false,
    "MaskStrategy": "plain",
    "SemanticTypeIri": "urn:effortless:pko-extension#FieldGrant",
    "Name": "principal-controller -&gt; StepExecutions.Deviation",
    "FieldTable": "StepExecutions",
    "FieldName": "Deviation",
    "FieldIsDerived": false,
    "IsWritableDerivedField": false,
    "IsMasked": false,
    "GrantKeyWhenReadable": "principal-controller|StepExecutions"
   },
   {
    "FieldGrantId": "fg-controller-ProcedureExecutions.ProcedureExecutionId",
    "Principal": "principal-controller",
    "TargetField": "ProcedureExecutions.ProcedureExecutionId",
    "CanRead": true,
    "CanWrite": false,
    "MaskStrategy": "plain",
    "SemanticTypeIri": "urn:effortless:pko-extension#FieldGrant",
    "Name": "principal-controller -&gt; ProcedureExecutions.ProcedureExecutionId",
    "FieldTable": "ProcedureExecutions",
    "FieldName": "ProcedureExecutionId",
    "FieldIsDerived": false,
    "IsWritableDerivedField": false,
    "IsMasked": false,
    "GrantKeyWhenReadable": "principal-controller|ProcedureExecutions"
   },
   {
    "FieldGrantId": "fg-controller-ProcedureExecutions.ExecutionStatus",
    "Principal": "principal-controller",
    "TargetField": "ProcedureExecutions.ExecutionStatus",
    "CanRead": true,
    "CanWrite": false,
    "MaskStrategy": "plain",
    "SemanticTypeIri": "urn:effortless:pko-extension#FieldGrant",
    "Name": "principal-controller -&gt; ProcedureExecutions.ExecutionStatus",
    "FieldTable": "ProcedureExecutions",
    "FieldName": "ExecutionStatus",
    "FieldIsDerived": false,
    "IsWritableDerivedField": false,
    "IsMasked": false,
    "GrantKeyWhenReadable": "principal-controller|ProcedureExecutions"
   },
   {
    "FieldGrantId": "fg-controller-ProcedureExecutions.StartedAt",
    "Principal": "principal-controller",
    "TargetField": "ProcedureExecutions.StartedAt",
    "CanRead": true,
    "CanWrite": false,
    "MaskStrategy": "plain",
    "SemanticTypeIri": "urn:effortless:pko-extension#FieldGrant",
    "Name": "principal-controller -&gt; ProcedureExecutions.StartedAt",
    "FieldTable": "ProcedureExecutions",
    "FieldName": "StartedAt",
    "FieldIsDerived": false,
    "IsWritableDerivedField": false,
    "IsMasked": false,
    "GrantKeyWhenReadable": "principal-controller|ProcedureExecutions"
   },
   {
    "FieldGrantId": "fg-controller-ProcedureExecutions.EndedAt",
    "Principal": "principal-controller",
    "TargetField": "ProcedureExecutions.EndedAt",
    "CanRead": true,
    "CanWrite": false,
    "MaskStrategy": "plain",
    "SemanticTypeIri": "urn:effortless:pko-extension#FieldGrant",
    "Name": "principal-controller -&gt; ProcedureExecutions.EndedAt",
    "FieldTable": "ProcedureExecutions",
    "FieldName": "EndedAt",
    "FieldIsDerived": false,
    "IsWritableDerivedField": false,
    "IsMasked": false,
    "GrantKeyWhenReadable": "principal-controller|ProcedureExecutions"
   },
   {
    "FieldGrantId": "fg-controller-ProcedureExecutions.ProcedureVersion",
    "Principal": "principal-controller",
    "TargetField": "ProcedureExecutions.ProcedureVersion",
    "CanRead": true,
    "CanWrite": false,
    "MaskStrategy": "plain",
    "SemanticTypeIri": "urn:effortless:pko-extension#FieldGrant",
    "Name": "principal-controller -&gt; ProcedureExecutions.ProcedureVersion",
    "FieldTable": "ProcedureExecutions",
    "FieldName": "ProcedureVersion",
    "FieldIsDerived": false,
    "IsWritableDerivedField": false,
    "IsMasked": false,
    "GrantKeyWhenReadable": "principal-controller|ProcedureExecutions"
   },
   {
    "FieldGrantId": "fg-controller-ProcedureExecutions.Name",
    "Principal": "principal-controller",
    "TargetField": "ProcedureExecutions.Name",
    "CanRead": true,
    "CanWrite": false,
    "MaskStrategy": "plain",
    "SemanticTypeIri": "urn:effortless:pko-extension#FieldGrant",
    "Name": "principal-controller -&gt; ProcedureExecutions.Name",
    "FieldTable": "ProcedureExecutions",
    "FieldName": "Name",
    "FieldIsDerived": true,
    "IsWritableDerivedField": false,
    "IsMasked": false,
    "GrantKeyWhenReadable": "principal-controller|ProcedureExecutions"
   },
   {
    "FieldGrantId": "fg-controller-Exceptions.ExceptionId",
    "Principal": "principal-controller",
    "TargetField": "Exceptions.ExceptionId",
    "CanRead": true,
    "CanWrite": false,
    "MaskStrategy": "plain",
    "SemanticTypeIri": "urn:effortless:pko-extension#FieldGrant",
    "Name": "principal-controller -&gt; Exceptions.ExceptionId",
    "FieldTable": "Exceptions",
    "FieldName": "ExceptionId",
    "FieldIsDerived": false,
    "IsWritableDerivedField": false,
    "IsMasked": false,
    "GrantKeyWhenReadable": "principal-controller|Exceptions"
   },
   {
    "FieldGrantId": "fg-controller-Exceptions.Name",
    "Principal": "principal-controller",
    "TargetField": "Exceptions.Name",
    "CanRead": true,
    "CanWrite": false,
    "MaskStrategy": "plain",
    "SemanticTypeIri": "urn:effortless:pko-extension#FieldGrant",
    "Name": "principal-controller -&gt; Exceptions.Name",
    "FieldTable": "Exceptions",
    "FieldName": "Name",
    "FieldIsDerived": true,
    "IsWritableDerivedField": false,
    "IsMasked": false,
    "GrantKeyWhenReadable": "principal-controller|Exceptions"
   },
   {
    "FieldGrantId": "fg-controller-Exceptions.ProcedureVersion",
    "Principal": "principal-controller",
    "TargetField": "Exceptions.ProcedureVersion",
    "CanRead": true,
    "CanWrite": false,
    "MaskStrategy": "plain",
    "SemanticTypeIri": "urn:effortless:pko-extension#FieldGrant",
    "Name": "principal-controller -&gt; Exceptions.ProcedureVersion",
    "FieldTable": "Exceptions",
    "FieldName": "ProcedureVersion",
    "FieldIsDerived": false,
    "IsWritableDerivedField": false,
    "IsMasked": false,
    "GrantKeyWhenReadable": "principal-controller|Exceptions"
   },
   {
    "FieldGrantId": "fg-controller-Exceptions.TriggerStep",
    "Principal": "principal-controller",
    "TargetField": "Exceptions.TriggerStep",
    "CanRead": true,
    "CanWrite": false,
    "MaskStrategy": "plain",
    "SemanticTypeIri": "urn:effortless:pko-extension#FieldGrant",
    "Name": "principal-controller -&gt; Exceptions.TriggerStep",
    "FieldTable": "Exceptions",
    "FieldName": "TriggerStep",
    "FieldIsDerived": false,
    "IsWritableDerivedField": false,
    "IsMasked": false,
    "GrantKeyWhenReadable": "principal-controller|Exceptions"
   },
   {
    "FieldGrantId": "fg-controller-Exceptions.Condition",
    "Principal": "principal-controller",
    "TargetField": "Exceptions.Condition",
    "CanRead": true,
    "CanWrite": false,
    "MaskStrategy": "plain",
    "SemanticTypeIri": "urn:effortless:pko-extension#FieldGrant",
    "Name": "principal-controller -&gt; Exceptions.Condition",
    "FieldTable": "Exceptions",
    "FieldName": "Condition",
    "FieldIsDerived": false,
    "IsWritableDerivedField": false,
    "IsMasked": false,
    "GrantKeyWhenReadable": "principal-controller|Exceptions"
   },
   {
    "FieldGrantId": "fg-controller-Exceptions.Handling",
    "Principal": "principal-controller",
    "TargetField": "Exceptions.Handling",
    "CanRead": true,
    "CanWrite": false,
    "MaskStrategy": "plain",
    "SemanticTypeIri": "urn:effortless:pko-extension#FieldGrant",
    "Name": "principal-controller -&gt; Exceptions.Handling",
    "FieldTable": "Exceptions",
    "FieldName": "Handling",
    "FieldIsDerived": false,
    "IsWritableDerivedField": false,
    "IsMasked": false,
    "GrantKeyWhenReadable": "principal-controller|Exceptions"
   },
   {
    "FieldGrantId": "fg-controller-Exceptions.ApprovalRole",
    "Principal": "principal-controller",
    "TargetField": "Exceptions.ApprovalRole",
    "CanRead": true,
    "CanWrite": false,
    "MaskStrategy": "plain",
    "SemanticTypeIri": "urn:effortless:pko-extension#FieldGrant",
    "Name": "principal-controller -&gt; Exceptions.ApprovalRole",
    "FieldTable": "Exceptions",
    "FieldName": "ApprovalRole",
    "FieldIsDerived": false,
    "IsWritableDerivedField": false,
    "IsMasked": false,
    "GrantKeyWhenReadable": "principal-controller|Exceptions"
   },
   {
    "FieldGrantId": "fg-controller-Exceptions.FallbackRole",
    "Principal": "principal-controller",
    "TargetField": "Exceptions.FallbackRole",
    "CanRead": true,
    "CanWrite": false,
    "MaskStrategy": "plain",
    "SemanticTypeIri": "urn:effortless:pko-extension#FieldGrant",
    "Name": "principal-controller -&gt; Exceptions.FallbackRole",
    "FieldTable": "Exceptions",
    "FieldName": "FallbackRole",
    "FieldIsDerived": false,
    "IsWritableDerivedField": false,
    "IsMasked": false,
    "GrantKeyWhenReadable": "principal-controller|Exceptions"
   },
   {
    "FieldGrantId": "fg-controller-Exceptions.Status",
    "Principal": "principal-controller",
    "TargetField": "Exceptions.Status",
    "CanRead": true,
    "CanWrite": false,
    "MaskStrategy": "plain",
    "SemanticTypeIri": "urn:effortless:pko-extension#FieldGrant",
    "Name": "principal-controller -&gt; Exceptions.Status",
    "FieldTable": "Exceptions",
    "FieldName": "Status",
    "FieldIsDerived": false,
    "IsWritableDerivedField": false,
    "IsMasked": false,
    "GrantKeyWhenReadable": "principal-controller|Exceptions"
   },
   {
    "FieldGrantId": "fg-controller-Exceptions.ActiveExceptionStepKey",
    "Principal": "principal-controller",
    "TargetField": "Exceptions.ActiveExceptionStepKey",
    "CanRead": true,
    "CanWrite": false,
    "MaskStrategy": "plain",
    "SemanticTypeIri": "urn:effortless:pko-extension#FieldGrant",
    "Name": "principal-controller -&gt; Exceptions.ActiveExceptionStepKey",
    "FieldTable": "Exceptions",
    "FieldName": "ActiveExceptionStepKey",
    "FieldIsDerived": true,
    "IsWritableDerivedField": false,
    "IsMasked": false,
    "GrantKeyWhenReadable": "principal-controller|Exceptions"
   },
   {
    "FieldGrantId": "fg-controller-Exceptions.SemanticTypeIri",
    "Principal": "principal-controller",
    "TargetField": "Exceptions.SemanticTypeIri",
    "CanRead": true,
    "CanWrite": false,
    "MaskStrategy": "plain",
    "SemanticTypeIri": "urn:effortless:pko-extension#FieldGrant",
    "Name": "principal-controller -&gt; Exceptions.SemanticTypeIri",
    "FieldTable": "Exceptions",
    "FieldName": "SemanticTypeIri",
    "FieldIsDerived": false,
    "IsWritableDerivedField": false,
    "IsMasked": false,
    "GrantKeyWhenReadable": "principal-controller|Exceptions"
   },
   {
    "FieldGrantId": "fg-controller-ChangeRequests.ChangeRequestId",
    "Principal": "principal-controller",
    "TargetField": "ChangeRequests.ChangeRequestId",
    "CanRead": true,
    "CanWrite": false,
    "MaskStrategy": "plain",
    "SemanticTypeIri": "urn:effortless:pko-extension#FieldGrant",
    "Name": "principal-controller -&gt; ChangeRequests.ChangeRequestId",
    "FieldTable": "ChangeRequests",
    "FieldName": "ChangeRequestId",
    "FieldIsDerived": false,
    "IsWritableDerivedField": false,
    "IsMasked": false,
    "GrantKeyWhenReadable": "principal-controller|ChangeRequests"
   },
   {
    "FieldGrantId": "fg-controller-ChangeRequests.Title",
    "Principal": "principal-controller",
    "TargetField": "ChangeRequests.Title",
    "CanRead": true,
    "CanWrite": false,
    "MaskStrategy": "plain",
    "SemanticTypeIri": "urn:effortless:pko-extension#FieldGrant",
    "Name": "principal-controller -&gt; ChangeRequests.Title",
    "FieldTable": "ChangeRequests",
    "FieldName": "Title",
    "FieldIsDerived": false,
    "IsWritableDerivedField": false,
    "IsMasked": false,
    "GrantKeyWhenReadable": "principal-controller|ChangeRequests"
   },
   {
    "FieldGrantId": "fg-controller-ChangeRequests.ChangeKind",
    "Principal": "principal-controller",
    "TargetField": "ChangeRequests.ChangeKind",
    "CanRead": true,
    "CanWrite": false,
    "MaskStrategy": "plain",
    "SemanticTypeIri": "urn:effortless:pko-extension#FieldGrant",
    "Name": "principal-controller -&gt; ChangeRequests.ChangeKind",
    "FieldTable": "ChangeRequests",
    "FieldName": "ChangeKind",
    "FieldIsDerived": false,
    "IsWritableDerivedField": false,
    "IsMasked": false,
    "GrantKeyWhenReadable": "principal-controller|ChangeRequests"
   },
   {
    "FieldGrantId": "fg-controller-ChangeRequests.Status",
    "Principal": "principal-controller",
    "TargetField": "ChangeRequests.Status",
    "CanRead": true,
    "CanWrite": false,
    "MaskStrategy": "plain",
    "SemanticTypeIri": "urn:effortless:pko-extension#FieldGrant",
    "Name": "principal-controller -&gt; ChangeRequests.Status",
    "FieldTable": "ChangeRequests",
    "FieldName": "Status",
    "FieldIsDerived": false,
    "IsWritableDerivedField": false,
    "IsMasked": false,
    "GrantKeyWhenReadable": "principal-controller|ChangeRequests"
   },
   {
    "FieldGrantId": "fg-controller-ChangeRequests.RequestedAt",
    "Principal": "principal-controller",
    "TargetField": "ChangeRequests.RequestedAt",
    "CanRead": true,
    "CanWrite": false,
    "MaskStrategy": "plain",
    "SemanticTypeIri": "urn:effortless:pko-extension#FieldGrant",
    "Name": "principal-controller -&gt; ChangeRequests.RequestedAt",
    "FieldTable": "ChangeRequests",
    "FieldName": "RequestedAt",
    "FieldIsDerived": false,
    "IsWritableDerivedField": false,
    "IsMasked": false,
    "GrantKeyWhenReadable": "principal-controller|ChangeRequests"
   },
   {
    "FieldGrantId": "fg-controller-ChangeRequests.DecidedAt",
    "Principal": "principal-controller",
    "TargetField": "ChangeRequests.DecidedAt",
    "CanRead": true,
    "CanWrite": false,
    "MaskStrategy": "plain",
    "SemanticTypeIri": "urn:effortless:pko-extension#FieldGrant",
    "Name": "principal-controller -&gt; ChangeRequests.DecidedAt",
    "FieldTable": "ChangeRequests",
    "FieldName": "DecidedAt",
    "FieldIsDerived": false,
    "IsWritableDerivedField": false,
    "IsMasked": false,
    "GrantKeyWhenReadable": "principal-controller|ChangeRequests"
   },
   {
    "FieldGrantId": "fg-controller-ChangeRequests.ImpactAssessment",
    "Principal": "principal-controller",
    "TargetField": "ChangeRequests.ImpactAssessment",
    "CanRead": true,
    "CanWrite": false,
    "MaskStrategy": "plain",
    "SemanticTypeIri": "urn:effortless:pko-extension#FieldGrant",
    "Name": "principal-controller -&gt; ChangeRequests.ImpactAssessment",
    "FieldTable": "ChangeRequests",
    "FieldName": "ImpactAssessment",
    "FieldIsDerived": false,
    "IsWritableDerivedField": false,
    "IsMasked": false,
    "GrantKeyWhenReadable": "principal-controller|ChangeRequests"
   },
   {
    "FieldGrantId": "fg-controller-ChangeRequests.AuthorityRole",
    "Principal": "principal-controller",
    "TargetField": "ChangeRequests.AuthorityRole",
    "CanRead": true,
    "CanWrite": false,
    "MaskStrategy": "plain",
    "SemanticTypeIri": "urn:effortless:pko-extension#FieldGrant",
    "Name": "principal-controller -&gt; ChangeRequests.AuthorityRole",
    "FieldTable": "ChangeRequests",
    "FieldName": "AuthorityRole",
    "FieldIsDerived": false,
    "IsWritableDerivedField": false,
    "IsMasked": false,
    "GrantKeyWhenReadable": "principal-controller|ChangeRequests"
   },
   {
    "FieldGrantId": "fg-controller-ChangeRequests.IsOpen",
    "Principal": "principal-controller",
    "TargetField": "ChangeRequests.IsOpen",
    "CanRead": true,
    "CanWrite": false,
    "MaskStrategy": "plain",
    "SemanticTypeIri": "urn:effortless:pko-extension#FieldGrant",
    "Name": "principal-controller -&gt; ChangeRequests.IsOpen",
    "FieldTable": "ChangeRequests",
    "FieldName": "IsOpen",
    "FieldIsDerived": true,
    "IsWritableDerivedField": false,
    "IsMasked": false,
    "GrantKeyWhenReadable": "principal-controller|ChangeRequests"
   },
   {
    "FieldGrantId": "fg-controller-ChangeRequests.Name",
    "Principal": "principal-controller",
    "TargetField": "ChangeRequests.Name",
    "CanRead": true,
    "CanWrite": false,
    "MaskStrategy": "plain",
    "SemanticTypeIri": "urn:effortless:pko-extension#FieldGrant",
    "Name": "principal-controller -&gt; ChangeRequests.Name",
    "FieldTable": "ChangeRequests",
    "FieldName": "Name",
    "FieldIsDerived": true,
    "IsWritableDerivedField": false,
    "IsMasked": false,
    "GrantKeyWhenReadable": "principal-controller|ChangeRequests"
   },
   {
    "FieldGrantId": "fg-controller-KnowledgeFragments.KnowledgeFragmentId",
    "Principal": "principal-controller",
    "TargetField": "KnowledgeFragments.KnowledgeFragmentId",
    "CanRead": true,
    "CanWrite": false,
    "MaskStrategy": "plain",
    "SemanticTypeIri": "urn:effortless:pko-extension#FieldGrant",
    "Name": "principal-controller -&gt; KnowledgeFragments.KnowledgeFragmentId",
    "FieldTable": "KnowledgeFragments",
    "FieldName": "KnowledgeFragmentId",
    "FieldIsDerived": false,
    "IsWritableDerivedField": false,
    "IsMasked": false,
    "GrantKeyWhenReadable": "principal-controller|KnowledgeFragments"
   },
   {
    "FieldGrantId": "fg-controller-KnowledgeFragments.Statement",
    "Principal": "principal-controller",
    "TargetField": "KnowledgeFragments.Statement",
    "CanRead": true,
    "CanWrite": false,
    "MaskStrategy": "plain",
    "SemanticTypeIri": "urn:effortless:pko-extension#FieldGrant",
    "Name": "principal-controller -&gt; KnowledgeFragments.Statement",
    "FieldTable": "KnowledgeFragments",
    "FieldName": "Statement",
    "FieldIsDerived": false,
    "IsWritableDerivedField": false,
    "IsMasked": false,
    "GrantKeyWhenReadable": "principal-controller|KnowledgeFragments"
   },
   {
    "FieldGrantId": "fg-controller-KnowledgeFragments.KnowledgeForm",
    "Principal": "principal-controller",
    "TargetField": "KnowledgeFragments.KnowledgeForm",
    "CanRead": true,
    "CanWrite": false,
    "MaskStrategy": "plain",
    "SemanticTypeIri": "urn:effortless:pko-extension#FieldGrant",
    "Name": "principal-controller -&gt; KnowledgeFragments.KnowledgeForm",
    "FieldTable": "KnowledgeFragments",
    "FieldName": "KnowledgeForm",
    "FieldIsDerived": false,
    "IsWritableDerivedField": false,
    "IsMasked": false,
    "GrantKeyWhenReadable": "principal-controller|KnowledgeFragments"
   },
   {
    "FieldGrantId": "fg-controller-KnowledgeFragments.Status",
    "Principal": "principal-controller",
    "TargetField": "KnowledgeFragments.Status",
    "CanRead": true,
    "CanWrite": false,
    "MaskStrategy": "plain",
    "SemanticTypeIri": "urn:effortless:pko-extension#FieldGrant",
    "Name": "principal-controller -&gt; KnowledgeFragments.Status",
    "FieldTable": "KnowledgeFragments",
    "FieldName": "Status",
    "FieldIsDerived": false,
    "IsWritableDerivedField": false,
    "IsMasked": false,
    "GrantKeyWhenReadable": "principal-controller|KnowledgeFragments"
   },
   {
    "FieldGrantId": "fg-controller-KnowledgeFragments.Confidence",
    "Principal": "principal-controller",
    "TargetField": "KnowledgeFragments.Confidence",
    "CanRead": true,
    "CanWrite": false,
    "MaskStrategy": "plain",
    "SemanticTypeIri": "urn:effortless:pko-extension#FieldGrant",
    "Name": "principal-controller -&gt; KnowledgeFragments.Confidence",
    "FieldTable": "KnowledgeFragments",
    "FieldName": "Confidence",
    "FieldIsDerived": false,
    "IsWritableDerivedField": false,
    "IsMasked": false,
    "GrantKeyWhenReadable": "principal-controller|KnowledgeFragments"
   },
   {
    "FieldGrantId": "fg-controller-KnowledgeFragments.OwnerRole",
    "Principal": "principal-controller",
    "TargetField": "KnowledgeFragments.OwnerRole",
    "CanRead": true,
    "CanWrite": false,
    "MaskStrategy": "plain",
    "SemanticTypeIri": "urn:effortless:pko-extension#FieldGrant",
    "Name": "principal-controller -&gt; KnowledgeFragments.OwnerRole",
    "FieldTable": "KnowledgeFragments",
    "FieldName": "OwnerRole",
    "FieldIsDerived": false,
    "IsWritableDerivedField": false,
    "IsMasked": false,
    "GrantKeyWhenReadable": "principal-controller|KnowledgeFragments"
   },
   {
    "FieldGrantId": "fg-controller-KnowledgeFragments.LastReviewedAt",
    "Principal": "principal-controller",
    "TargetField": "KnowledgeFragments.LastReviewedAt",
    "CanRead": true,
    "CanWrite": false,
    "MaskStrategy": "plain",
    "SemanticTypeIri": "urn:effortless:pko-extension#FieldGrant",
    "Name": "principal-controller -&gt; KnowledgeFragments.LastReviewedAt",
    "FieldTable": "KnowledgeFragments",
    "FieldName": "LastReviewedAt",
    "FieldIsDerived": false,
    "IsWritableDerivedField": false,
    "IsMasked": false,
    "GrantKeyWhenReadable": "principal-controller|KnowledgeFragments"
   },
   {
    "FieldGrantId": "fg-controller-KnowledgeFragments.Name",
    "Principal": "principal-controller",
    "TargetField": "KnowledgeFragments.Name",
    "CanRead": true,
    "CanWrite": false,
    "MaskStrategy": "plain",
    "SemanticTypeIri": "urn:effortless:pko-extension#FieldGrant",
    "Name": "principal-controller -&gt; KnowledgeFragments.Name",
    "FieldTable": "KnowledgeFragments",
    "FieldName": "Name",
    "FieldIsDerived": true,
    "IsWritableDerivedField": false,
    "IsMasked": false,
    "GrantKeyWhenReadable": "principal-controller|KnowledgeFragments"
   },
   {
    "FieldGrantId": "fg-controller-Requirements.RequirementId",
    "Principal": "principal-controller",
    "TargetField": "Requirements.RequirementId",
    "CanRead": true,
    "CanWrite": false,
    "MaskStrategy": "plain",
    "SemanticTypeIri": "urn:effortless:pko-extension#FieldGrant",
    "Name": "principal-controller -&gt; Requirements.RequirementId",
    "FieldTable": "Requirements",
    "FieldName": "RequirementId",
    "FieldIsDerived": false,
    "IsWritableDerivedField": false,
    "IsMasked": false,
    "GrantKeyWhenReadable": "principal-controller|Requirements"
   },
   {
    "FieldGrantId": "fg-controller-Requirements.Label",
    "Principal": "principal-controller",
    "TargetField": "Requirements.Label",
    "CanRead": true,
    "CanWrite": false,
    "MaskStrategy": "plain",
    "SemanticTypeIri": "urn:effortless:pko-extension#FieldGrant",
    "Name": "principal-controller -&gt; Requirements.Label",
    "FieldTable": "Requirements",
    "FieldName": "Label",
    "FieldIsDerived": false,
    "IsWritableDerivedField": false,
    "IsMasked": false,
    "GrantKeyWhenReadable": "principal-controller|Requirements"
   },
   {
    "FieldGrantId": "fg-controller-Requirements.Statement",
    "Principal": "principal-controller",
    "TargetField": "Requirements.Statement",
    "CanRead": true,
    "CanWrite": false,
    "MaskStrategy": "plain",
    "SemanticTypeIri": "urn:effortless:pko-extension#FieldGrant",
    "Name": "principal-controller -&gt; Requirements.Statement",
    "FieldTable": "Requirements",
    "FieldName": "Statement",
    "FieldIsDerived": false,
    "IsWritableDerivedField": false,
    "IsMasked": false,
    "GrantKeyWhenReadable": "principal-controller|Requirements"
   },
   {
    "FieldGrantId": "fg-controller-Requirements.IsBlocking",
    "Principal": "principal-controller",
    "TargetField": "Requirements.IsBlocking",
    "CanRead": true,
    "CanWrite": false,
    "MaskStrategy": "plain",
    "SemanticTypeIri": "urn:effortless:pko-extension#FieldGrant",
    "Name": "principal-controller -&gt; Requirements.IsBlocking",
    "FieldTable": "Requirements",
    "FieldName": "IsBlocking",
    "FieldIsDerived": false,
    "IsWritableDerivedField": false,
    "IsMasked": false,
    "GrantKeyWhenReadable": "principal-controller|Requirements"
   },
   {
    "FieldGrantId": "fg-controller-Requirements.AccountableRole",
    "Principal": "principal-controller",
    "TargetField": "Requirements.AccountableRole",
    "CanRead": true,
    "CanWrite": false,
    "MaskStrategy": "plain",
    "SemanticTypeIri": "urn:effortless:pko-extension#FieldGrant",
    "Name": "principal-controller -&gt; Requirements.AccountableRole",
    "FieldTable": "Requirements",
    "FieldName": "AccountableRole",
    "FieldIsDerived": false,
    "IsWritableDerivedField": false,
    "IsMasked": false,
    "GrantKeyWhenReadable": "principal-controller|Requirements"
   },
   {
    "FieldGrantId": "fg-controller-Requirements.Name",
    "Principal": "principal-controller",
    "TargetField": "Requirements.Name",
    "CanRead": true,
    "CanWrite": false,
    "MaskStrategy": "plain",
    "SemanticTypeIri": "urn:effortless:pko-extension#FieldGrant",
    "Name": "principal-controller -&gt; Requirements.Name",
    "FieldTable": "Requirements",
    "FieldName": "Name",
    "FieldIsDerived": true,
    "IsWritableDerivedField": false,
    "IsMasked": false,
    "GrantKeyWhenReadable": "principal-controller|Requirements"
   },
   {
    "FieldGrantId": "fg-controller-ProcedureVersions.ProcedureVersionId",
    "Principal": "principal-controller",
    "TargetField": "ProcedureVersions.ProcedureVersionId",
    "CanRead": true,
    "CanWrite": false,
    "MaskStrategy": "plain",
    "SemanticTypeIri": "urn:effortless:pko-extension#FieldGrant",
    "Name": "principal-controller -&gt; ProcedureVersions.ProcedureVersionId",
    "FieldTable": "ProcedureVersions",
    "FieldName": "ProcedureVersionId",
    "FieldIsDerived": false,
    "IsWritableDerivedField": false,
    "IsMasked": false,
    "GrantKeyWhenReadable": "principal-controller|ProcedureVersions"
   },
   {
    "FieldGrantId": "fg-controller-ProcedureVersions.VersionNumber",
    "Principal": "principal-controller",
    "TargetField": "ProcedureVersions.VersionNumber",
    "CanRead": true,
    "CanWrite": false,
    "MaskStrategy": "plain",
    "SemanticTypeIri": "urn:effortless:pko-extension#FieldGrant",
    "Name": "principal-controller -&gt; ProcedureVersions.VersionNumber",
    "FieldTable": "ProcedureVersions",
    "FieldName": "VersionNumber",
    "FieldIsDerived": false,
    "IsWritableDerivedField": false,
    "IsMasked": false,
    "GrantKeyWhenReadable": "principal-controller|ProcedureVersions"
   },
   {
    "FieldGrantId": "fg-controller-ProcedureVersions.Title",
    "Principal": "principal-controller",
    "TargetField": "ProcedureVersions.Title",
    "CanRead": true,
    "CanWrite": false,
    "MaskStrategy": "plain",
    "SemanticTypeIri": "urn:effortless:pko-extension#FieldGrant",
    "Name": "principal-controller -&gt; ProcedureVersions.Title",
    "FieldTable": "ProcedureVersions",
    "FieldName": "Title",
    "FieldIsDerived": false,
    "IsWritableDerivedField": false,
    "IsMasked": false,
    "GrantKeyWhenReadable": "principal-controller|ProcedureVersions"
   },
   {
    "FieldGrantId": "fg-controller-ProcedureVersions.Status",
    "Principal": "principal-controller",
    "TargetField": "ProcedureVersions.Status",
    "CanRead": true,
    "CanWrite": false,
    "MaskStrategy": "plain",
    "SemanticTypeIri": "urn:effortless:pko-extension#FieldGrant",
    "Name": "principal-controller -&gt; ProcedureVersions.Status",
    "FieldTable": "ProcedureVersions",
    "FieldName": "Status",
    "FieldIsDerived": false,
    "IsWritableDerivedField": false,
    "IsMasked": false,
    "GrantKeyWhenReadable": "principal-controller|ProcedureVersions"
   },
   {
    "FieldGrantId": "fg-controller-ProcedureVersions.IsCurrent",
    "Principal": "principal-controller",
    "TargetField": "ProcedureVersions.IsCurrent",
    "CanRead": true,
    "CanWrite": false,
    "MaskStrategy": "plain",
    "SemanticTypeIri": "urn:effortless:pko-extension#FieldGrant",
    "Name": "principal-controller -&gt; ProcedureVersions.IsCurrent",
    "FieldTable": "ProcedureVersions",
    "FieldName": "IsCurrent",
    "FieldIsDerived": false,
    "IsWritableDerivedField": false,
    "IsMasked": false,
    "GrantKeyWhenReadable": "principal-controller|ProcedureVersions"
   },
   {
    "FieldGrantId": "fg-controller-ProcedureVersions.Procedure",
    "Principal": "principal-controller",
    "TargetField": "ProcedureVersions.Procedure",
    "CanRead": true,
    "CanWrite": false,
    "MaskStrategy": "plain",
    "SemanticTypeIri": "urn:effortless:pko-extension#FieldGrant",
    "Name": "principal-controller -&gt; ProcedureVersions.Procedure",
    "FieldTable": "ProcedureVersions",
    "FieldName": "Procedure",
    "FieldIsDerived": false,
    "IsWritableDerivedField": false,
    "IsMasked": false,
    "GrantKeyWhenReadable": "principal-controller|ProcedureVersions"
   },
   {
    "FieldGrantId": "fg-controller-ProcedureVersions.Name",
    "Principal": "principal-controller",
    "TargetField": "ProcedureVersions.Name",
    "CanRead": true,
    "CanWrite": false,
    "MaskStrategy": "plain",
    "SemanticTypeIri": "urn:effortless:pko-extension#FieldGrant",
    "Name": "principal-controller -&gt; ProcedureVersions.Name",
    "FieldTable": "ProcedureVersions",
    "FieldName": "Name",
    "FieldIsDerived": true,
    "IsWritableDerivedField": false,
    "IsMasked": false,
    "GrantKeyWhenReadable": "principal-controller|ProcedureVersions"
   },
   {
    "FieldGrantId": "fg-cfo-ProcedureExecutions.ProcedureExecutionId",
    "Principal": "principal-cfo",
    "TargetField": "ProcedureExecutions.ProcedureExecutionId",
    "CanRead": true,
    "CanWrite": false,
    "MaskStrategy": "plain",
    "SemanticTypeIri": "urn:effortless:pko-extension#FieldGrant",
    "Name": "principal-cfo -&gt; ProcedureExecutions.ProcedureExecutionId",
    "FieldTable": "ProcedureExecutions",
    "FieldName": "ProcedureExecutionId",
    "FieldIsDerived": false,
    "IsWritableDerivedField": false,
    "IsMasked": false,
    "GrantKeyWhenReadable": "principal-cfo|ProcedureExecutions"
   },
   {
    "FieldGrantId": "fg-cfo-ProcedureExecutions.ExecutionStatus",
    "Principal": "principal-cfo",
    "TargetField": "ProcedureExecutions.ExecutionStatus",
    "CanRead": true,
    "CanWrite</t>
  </si>
  <si>
    <t xml:space="preserve">": false,
    "MaskStrategy": "plain",
    "SemanticTypeIri": "urn:effortless:pko-extension#FieldGrant",
    "Name": "principal-cfo -&gt; ProcedureExecutions.ExecutionStatus",
    "FieldTable": "ProcedureExecutions",
    "FieldName": "ExecutionStatus",
    "FieldIsDerived": false,
    "IsWritableDerivedField": false,
    "IsMasked": false,
    "GrantKeyWhenReadable": "principal-cfo|ProcedureExecutions"
   },
   {
    "FieldGrantId": "fg-cfo-ProcedureExecutions.StartedAt",
    "Principal": "principal-cfo",
    "TargetField": "ProcedureExecutions.StartedAt",
    "CanRead": true,
    "CanWrite": false,
    "MaskStrategy": "plain",
    "SemanticTypeIri": "urn:effortless:pko-extension#FieldGrant",
    "Name": "principal-cfo -&gt; ProcedureExecutions.StartedAt",
    "FieldTable": "ProcedureExecutions",
    "FieldName": "StartedAt",
    "FieldIsDerived": false,
    "IsWritableDerivedField": false,
    "IsMasked": false,
    "GrantKeyWhenReadable": "principal-cfo|ProcedureExecutions"
   },
   {
    "FieldGrantId": "fg-cfo-ProcedureExecutions.EndedAt",
    "Principal": "principal-cfo",
    "TargetField": "ProcedureExecutions.EndedAt",
    "CanRead": true,
    "CanWrite": false,
    "MaskStrategy": "plain",
    "SemanticTypeIri": "urn:effortless:pko-extension#FieldGrant",
    "Name": "principal-cfo -&gt; ProcedureExecutions.EndedAt",
    "FieldTable": "ProcedureExecutions",
    "FieldName": "EndedAt",
    "FieldIsDerived": false,
    "IsWritableDerivedField": false,
    "IsMasked": false,
    "GrantKeyWhenReadable": "principal-cfo|ProcedureExecutions"
   },
   {
    "FieldGrantId": "fg-cfo-ProcedureExecutions.ProcedureVersion",
    "Principal": "principal-cfo",
    "TargetField": "ProcedureExecutions.ProcedureVersion",
    "CanRead": true,
    "CanWrite": false,
    "MaskStrategy": "plain",
    "SemanticTypeIri": "urn:effortless:pko-extension#FieldGrant",
    "Name": "principal-cfo -&gt; ProcedureExecutions.ProcedureVersion",
    "FieldTable": "ProcedureExecutions",
    "FieldName": "ProcedureVersion",
    "FieldIsDerived": false,
    "IsWritableDerivedField": false,
    "IsMasked": false,
    "GrantKeyWhenReadable": "principal-cfo|ProcedureExecutions"
   },
   {
    "FieldGrantId": "fg-cfo-ProcedureExecutions.Name",
    "Principal": "principal-cfo",
    "TargetField": "ProcedureExecutions.Name",
    "CanRead": true,
    "CanWrite": false,
    "MaskStrategy": "plain",
    "SemanticTypeIri": "urn:effortless:pko-extension#FieldGrant",
    "Name": "principal-cfo -&gt; ProcedureExecutions.Name",
    "FieldTable": "ProcedureExecutions",
    "FieldName": "Name",
    "FieldIsDerived": true,
    "IsWritableDerivedField": false,
    "IsMasked": false,
    "GrantKeyWhenReadable": "principal-cfo|ProcedureExecutions"
   },
   {
    "FieldGrantId": "fg-cfo-Exceptions.ExceptionId",
    "Principal": "principal-cfo",
    "TargetField": "Exceptions.ExceptionId",
    "CanRead": true,
    "CanWrite": false,
    "MaskStrategy": "plain",
    "SemanticTypeIri": "urn:effortless:pko-extension#FieldGrant",
    "Name": "principal-cfo -&gt; Exceptions.ExceptionId",
    "FieldTable": "Exceptions",
    "FieldName": "ExceptionId",
    "FieldIsDerived": false,
    "IsWritableDerivedField": false,
    "IsMasked": false,
    "GrantKeyWhenReadable": "principal-cfo|Exceptions"
   },
   {
    "FieldGrantId": "fg-cfo-Exceptions.Name",
    "Principal": "principal-cfo",
    "TargetField": "Exceptions.Name",
    "CanRead": true,
    "CanWrite": false,
    "MaskStrategy": "plain",
    "SemanticTypeIri": "urn:effortless:pko-extension#FieldGrant",
    "Name": "principal-cfo -&gt; Exceptions.Name",
    "FieldTable": "Exceptions",
    "FieldName": "Name",
    "FieldIsDerived": true,
    "IsWritableDerivedField": false,
    "IsMasked": false,
    "GrantKeyWhenReadable": "principal-cfo|Exceptions"
   },
   {
    "FieldGrantId": "fg-cfo-Exceptions.ProcedureVersion",
    "Principal": "principal-cfo",
    "TargetField": "Exceptions.ProcedureVersion",
    "CanRead": true,
    "CanWrite": false,
    "MaskStrategy": "plain",
    "SemanticTypeIri": "urn:effortless:pko-extension#FieldGrant",
    "Name": "principal-cfo -&gt; Exceptions.ProcedureVersion",
    "FieldTable": "Exceptions",
    "FieldName": "ProcedureVersion",
    "FieldIsDerived": false,
    "IsWritableDerivedField": false,
    "IsMasked": false,
    "GrantKeyWhenReadable": "principal-cfo|Exceptions"
   },
   {
    "FieldGrantId": "fg-cfo-Exceptions.TriggerStep",
    "Principal": "principal-cfo",
    "TargetField": "Exceptions.TriggerStep",
    "CanRead": true,
    "CanWrite": false,
    "MaskStrategy": "plain",
    "SemanticTypeIri": "urn:effortless:pko-extension#FieldGrant",
    "Name": "principal-cfo -&gt; Exceptions.TriggerStep",
    "FieldTable": "Exceptions",
    "FieldName": "TriggerStep",
    "FieldIsDerived": false,
    "IsWritableDerivedField": false,
    "IsMasked": false,
    "GrantKeyWhenReadable": "principal-cfo|Exceptions"
   },
   {
    "FieldGrantId": "fg-cfo-Exceptions.Condition",
    "Principal": "principal-cfo",
    "TargetField": "Exceptions.Condition",
    "CanRead": true,
    "CanWrite": false,
    "MaskStrategy": "plain",
    "SemanticTypeIri": "urn:effortless:pko-extension#FieldGrant",
    "Name": "principal-cfo -&gt; Exceptions.Condition",
    "FieldTable": "Exceptions",
    "FieldName": "Condition",
    "FieldIsDerived": false,
    "IsWritableDerivedField": false,
    "IsMasked": false,
    "GrantKeyWhenReadable": "principal-cfo|Exceptions"
   },
   {
    "FieldGrantId": "fg-cfo-Exceptions.Handling",
    "Principal": "principal-cfo",
    "TargetField": "Exceptions.Handling",
    "CanRead": true,
    "CanWrite": false,
    "MaskStrategy": "plain",
    "SemanticTypeIri": "urn:effortless:pko-extension#FieldGrant",
    "Name": "principal-cfo -&gt; Exceptions.Handling",
    "FieldTable": "Exceptions",
    "FieldName": "Handling",
    "FieldIsDerived": false,
    "IsWritableDerivedField": false,
    "IsMasked": false,
    "GrantKeyWhenReadable": "principal-cfo|Exceptions"
   },
   {
    "FieldGrantId": "fg-cfo-Exceptions.ApprovalRole",
    "Principal": "principal-cfo",
    "TargetField": "Exceptions.ApprovalRole",
    "CanRead": true,
    "CanWrite": false,
    "MaskStrategy": "plain",
    "SemanticTypeIri": "urn:effortless:pko-extension#FieldGrant",
    "Name": "principal-cfo -&gt; Exceptions.ApprovalRole",
    "FieldTable": "Exceptions",
    "FieldName": "ApprovalRole",
    "FieldIsDerived": false,
    "IsWritableDerivedField": false,
    "IsMasked": false,
    "GrantKeyWhenReadable": "principal-cfo|Exceptions"
   },
   {
    "FieldGrantId": "fg-cfo-Exceptions.FallbackRole",
    "Principal": "principal-cfo",
    "TargetField": "Exceptions.FallbackRole",
    "CanRead": true,
    "CanWrite": false,
    "MaskStrategy": "plain",
    "SemanticTypeIri": "urn:effortless:pko-extension#FieldGrant",
    "Name": "principal-cfo -&gt; Exceptions.FallbackRole",
    "FieldTable": "Exceptions",
    "FieldName": "FallbackRole",
    "FieldIsDerived": false,
    "IsWritableDerivedField": false,
    "IsMasked": false,
    "GrantKeyWhenReadable": "principal-cfo|Exceptions"
   },
   {
    "FieldGrantId": "fg-cfo-Exceptions.Status",
    "Principal": "principal-cfo",
    "TargetField": "Exceptions.Status",
    "CanRead": true,
    "CanWrite": false,
    "MaskStrategy": "plain",
    "SemanticTypeIri": "urn:effortless:pko-extension#FieldGrant",
    "Name": "principal-cfo -&gt; Exceptions.Status",
    "FieldTable": "Exceptions",
    "FieldName": "Status",
    "FieldIsDerived": false,
    "IsWritableDerivedField": false,
    "IsMasked": false,
    "GrantKeyWhenReadable": "principal-cfo|Exceptions"
   },
   {
    "FieldGrantId": "fg-cfo-Exceptions.ActiveExceptionStepKey",
    "Principal": "principal-cfo",
    "TargetField": "Exceptions.ActiveExceptionStepKey",
    "CanRead": true,
    "CanWrite": false,
    "MaskStrategy": "plain",
    "SemanticTypeIri": "urn:effortless:pko-extension#FieldGrant",
    "Name": "principal-cfo -&gt; Exceptions.ActiveExceptionStepKey",
    "FieldTable": "Exceptions",
    "FieldName": "ActiveExceptionStepKey",
    "FieldIsDerived": true,
    "IsWritableDerivedField": false,
    "IsMasked": false,
    "GrantKeyWhenReadable": "principal-cfo|Exceptions"
   },
   {
    "FieldGrantId": "fg-cfo-Exceptions.SemanticTypeIri",
    "Principal": "principal-cfo",
    "TargetField": "Exceptions.SemanticTypeIri",
    "CanRead": true,
    "CanWrite": false,
    "MaskStrategy": "plain",
    "SemanticTypeIri": "urn:effortless:pko-extension#FieldGrant",
    "Name": "principal-cfo -&gt; Exceptions.SemanticTypeIri",
    "FieldTable": "Exceptions",
    "FieldName": "SemanticTypeIri",
    "FieldIsDerived": false,
    "IsWritableDerivedField": false,
    "IsMasked": false,
    "GrantKeyWhenReadable": "principal-cfo|Exceptions"
   },
   {
    "FieldGrantId": "fg-cfo-ChangeRequests.ChangeRequestId",
    "Principal": "principal-cfo",
    "TargetField": "ChangeRequests.ChangeRequestId",
    "CanRead": true,
    "CanWrite": false,
    "MaskStrategy": "plain",
    "SemanticTypeIri": "urn:effortless:pko-extension#FieldGrant",
    "Name": "principal-cfo -&gt; ChangeRequests.ChangeRequestId",
    "FieldTable": "ChangeRequests",
    "FieldName": "ChangeRequestId",
    "FieldIsDerived": false,
    "IsWritableDerivedField": false,
    "IsMasked": false,
    "GrantKeyWhenReadable": "principal-cfo|ChangeRequests"
   },
   {
    "FieldGrantId": "fg-cfo-ChangeRequests.Title",
    "Principal": "principal-cfo",
    "TargetField": "ChangeRequests.Title",
    "CanRead": true,
    "CanWrite": false,
    "MaskStrategy": "plain",
    "SemanticTypeIri": "urn:effortless:pko-extension#FieldGrant",
    "Name": "principal-cfo -&gt; ChangeRequests.Title",
    "FieldTable": "ChangeRequests",
    "FieldName": "Title",
    "FieldIsDerived": false,
    "IsWritableDerivedField": false,
    "IsMasked": false,
    "GrantKeyWhenReadable": "principal-cfo|ChangeRequests"
   },
   {
    "FieldGrantId": "fg-cfo-ChangeRequests.ChangeKind",
    "Principal": "principal-cfo",
    "TargetField": "ChangeRequests.ChangeKind",
    "CanRead": true,
    "CanWrite": false,
    "MaskStrategy": "plain",
    "SemanticTypeIri": "urn:effortless:pko-extension#FieldGrant",
    "Name": "principal-cfo -&gt; ChangeRequests.ChangeKind",
    "FieldTable": "ChangeRequests",
    "FieldName": "ChangeKind",
    "FieldIsDerived": false,
    "IsWritableDerivedField": false,
    "IsMasked": false,
    "GrantKeyWhenReadable": "principal-cfo|ChangeRequests"
   },
   {
    "FieldGrantId": "fg-cfo-ChangeRequests.Status",
    "Principal": "principal-cfo",
    "TargetField": "ChangeRequests.Status",
    "CanRead": true,
    "CanWrite": false,
    "MaskStrategy": "plain",
    "SemanticTypeIri": "urn:effortless:pko-extension#FieldGrant",
    "Name": "principal-cfo -&gt; ChangeRequests.Status",
    "FieldTable": "ChangeRequests",
    "FieldName": "Status",
    "FieldIsDerived": false,
    "IsWritableDerivedField": false,
    "IsMasked": false,
    "GrantKeyWhenReadable": "principal-cfo|ChangeRequests"
   },
   {
    "FieldGrantId": "fg-cfo-ChangeRequests.RequestedAt",
    "Principal": "principal-cfo",
    "TargetField": "ChangeRequests.RequestedAt",
    "CanRead": true,
    "CanWrite": false,
    "MaskStrategy": "plain",
    "SemanticTypeIri": "urn:effortless:pko-extension#FieldGrant",
    "Name": "principal-cfo -&gt; ChangeRequests.RequestedAt",
    "FieldTable": "ChangeRequests",
    "FieldName": "RequestedAt",
    "FieldIsDerived": false,
    "IsWritableDerivedField": false,
    "IsMasked": false,
    "GrantKeyWhenReadable": "principal-cfo|ChangeRequests"
   },
   {
    "FieldGrantId": "fg-cfo-ChangeRequests.DecidedAt",
    "Principal": "principal-cfo",
    "TargetField": "ChangeRequests.DecidedAt",
    "CanRead": true,
    "CanWrite": false,
    "MaskStrategy": "plain",
    "SemanticTypeIri": "urn:effortless:pko-extension#FieldGrant",
    "Name": "principal-cfo -&gt; ChangeRequests.DecidedAt",
    "FieldTable": "ChangeRequests",
    "FieldName": "DecidedAt",
    "FieldIsDerived": false,
    "IsWritableDerivedField": false,
    "IsMasked": false,
    "GrantKeyWhenReadable": "principal-cfo|ChangeRequests"
   },
   {
    "FieldGrantId": "fg-cfo-ChangeRequests.ImpactAssessment",
    "Principal": "principal-cfo",
    "TargetField": "ChangeRequests.ImpactAssessment",
    "CanRead": true,
    "CanWrite": false,
    "MaskStrategy": "plain",
    "SemanticTypeIri": "urn:effortless:pko-extension#FieldGrant",
    "Name": "principal-cfo -&gt; ChangeRequests.ImpactAssessment",
    "FieldTable": "ChangeRequests",
    "FieldName": "ImpactAssessment",
    "FieldIsDerived": false,
    "IsWritableDerivedField": false,
    "IsMasked": false,
    "GrantKeyWhenReadable": "principal-cfo|ChangeRequests"
   },
   {
    "FieldGrantId": "fg-cfo-ChangeRequests.IsOpen",
    "Principal": "principal-cfo",
    "TargetField": "ChangeRequests.IsOpen",
    "CanRead": true,
    "CanWrite": false,
    "MaskStrategy": "plain",
    "SemanticTypeIri": "urn:effortless:pko-extension#FieldGrant",
    "Name": "principal-cfo -&gt; ChangeRequests.IsOpen",
    "FieldTable": "ChangeRequests",
    "FieldName": "IsOpen",
    "FieldIsDerived": true,
    "IsWritableDerivedField": false,
    "IsMasked": false,
    "GrantKeyWhenReadable": "principal-cfo|ChangeRequests"
   },
   {
    "FieldGrantId": "fg-cfo-ChangeRequests.Name",
    "Principal": "principal-cfo",
    "TargetField": "ChangeRequests.Name",
    "CanRead": true,
    "CanWrite": false,
    "MaskStrategy": "plain",
    "SemanticTypeIri": "urn:effortless:pko-extension#FieldGrant",
    "Name": "principal-cfo -&gt; ChangeRequests.Name",
    "FieldTable": "ChangeRequests",
    "FieldName": "Name",
    "FieldIsDerived": true,
    "IsWritableDerivedField": false,
    "IsMasked": false,
    "GrantKeyWhenReadable": "principal-cfo|ChangeRequests"
   },
   {
    "FieldGrantId": "fg-cfo-AuthorityBoundaries.AuthorityBoundaryId",
    "Principal": "principal-cfo",
    "TargetField": "AuthorityBoundaries.AuthorityBoundaryId",
    "CanRead": true,
    "CanWrite": false,
    "MaskStrategy": "plain",
    "SemanticTypeIri": "urn:effortless:pko-extension#FieldGrant",
    "Name": "principal-cfo -&gt; AuthorityBoundaries.AuthorityBoundaryId",
    "FieldTable": "AuthorityBoundaries",
    "FieldName": "AuthorityBoundaryId",
    "FieldIsDerived": false,
    "IsWritableDerivedField": false,
    "IsMasked": false,
    "GrantKeyWhenReadable": "principal-cfo|AuthorityBoundaries"
   },
   {
    "FieldGrantId": "fg-cfo-AuthorityBoundaries.ForbiddenAgentKind",
    "Principal": "principal-cfo",
    "TargetField": "AuthorityBoundaries.ForbiddenAgentKind",
    "CanRead": true,
    "CanWrite": false,
    "MaskStrategy": "plain",
    "SemanticTypeIri": "urn:effortless:pko-extension#FieldGrant",
    "Name": "principal-cfo -&gt; AuthorityBoundaries.ForbiddenAgentKind",
    "FieldTable": "AuthorityBoundaries",
    "FieldName": "ForbiddenAgentKind",
    "FieldIsDerived": false,
    "IsWritableDerivedField": false,
    "IsMasked": false,
    "GrantKeyWhenReadable": "principal-cfo|AuthorityBoundaries"
   },
   {
    "FieldGrantId": "fg-cfo-AuthorityBoundaries.ForbiddenDecisionKind",
    "Principal": "principal-cfo",
    "TargetField": "AuthorityBoundaries.ForbiddenDecisionKind",
    "CanRead": true,
    "CanWrite": false,
    "MaskStrategy": "plain",
    "SemanticTypeIri": "urn:effortless:pko-extension#FieldGrant",
    "Name": "principal-cfo -&gt; AuthorityBoundaries.ForbiddenDecisionKind",
    "FieldTable": "AuthorityBoundaries",
    "FieldName": "ForbiddenDecisionKind",
    "FieldIsDerived": false,
    "IsWritableDerivedField": false,
    "IsMasked": false,
    "GrantKeyWhenReadable": "principal-cfo|AuthorityBoundaries"
   },
   {
    "FieldGrantId": "fg-cfo-AuthorityBoundaries.Status",
    "Principal": "principal-cfo",
    "TargetField": "AuthorityBoundaries.Status",
    "CanRead": true,
    "CanWrite": false,
    "MaskStrategy": "plain",
    "SemanticTypeIri": "urn:effortless:pko-extension#FieldGrant",
    "Name": "principal-cfo -&gt; AuthorityBoundaries.Status",
    "FieldTable": "AuthorityBoundaries",
    "FieldName": "Status",
    "FieldIsDerived": false,
    "IsWritableDerivedField": false,
    "IsMasked": false,
    "GrantKeyWhenReadable": "principal-cfo|AuthorityBoundaries"
   },
   {
    "FieldGrantId": "fg-cfo-AuthorityBoundaries.AuthorityRole",
    "Principal": "principal-cfo",
    "TargetField": "AuthorityBoundaries.AuthorityRole",
    "CanRead": true,
    "CanWrite": false,
    "MaskStrategy": "plain",
    "SemanticTypeIri": "urn:effortless:pko-extension#FieldGrant",
    "Name": "principal-cfo -&gt; AuthorityBoundaries.AuthorityRole",
    "FieldTable": "AuthorityBoundaries",
    "FieldName": "AuthorityRole",
    "FieldIsDerived": false,
    "IsWritableDerivedField": false,
    "IsMasked": false,
    "GrantKeyWhenReadable": "principal-cfo|AuthorityBoundaries"
   },
   {
    "FieldGrantId": "fg-cfo-AuthorityBoundaries.Step",
    "Principal": "principal-cfo",
    "TargetField": "AuthorityBoundaries.Step",
    "CanRead": true,
    "CanWrite": false,
    "MaskStrategy": "plain",
    "SemanticTypeIri": "urn:effortless:pko-extension#FieldGrant",
    "Name": "principal-cfo -&gt; AuthorityBoundaries.Step",
    "FieldTable": "AuthorityBoundaries",
    "FieldName": "Step",
    "FieldIsDerived": false,
    "IsWritableDerivedField": false,
    "IsMasked": false,
    "GrantKeyWhenReadable": "principal-cfo|AuthorityBoundaries"
   },
   {
    "FieldGrantId": "fg-cfo-AuthorityBoundaries.Name",
    "Principal": "principal-cfo",
    "TargetField": "AuthorityBoundaries.Name",
    "CanRead": true,
    "CanWrite": false,
    "MaskStrategy": "plain",
    "SemanticTypeIri": "urn:effortless:pko-extension#FieldGrant",
    "Name": "principal-cfo -&gt; AuthorityBoundaries.Name",
    "FieldTable": "AuthorityBoundaries",
    "FieldName": "Name",
    "FieldIsDerived": true,
    "IsWritableDerivedField": false,
    "IsMasked": false,
    "GrantKeyWhenReadable": "principal-cfo|AuthorityBoundaries"
   },
   {
    "FieldGrantId": "fg-cfo-Procedures.ProcedureId",
    "Principal": "principal-cfo",
    "TargetField": "Procedures.ProcedureId",
    "CanRead": true,
    "CanWrite": false,
    "MaskStrategy": "plain",
    "SemanticTypeIri": "urn:effortless:pko-extension#FieldGrant",
    "Name": "principal-cfo -&gt; Procedures.ProcedureId",
    "FieldTable": "Procedures",
    "FieldName": "ProcedureId",
    "FieldIsDerived": false,
    "IsWritableDerivedField": false,
    "IsMasked": false,
    "GrantKeyWhenReadable": "principal-cfo|Procedures"
   },
   {
    "FieldGrantId": "fg-cfo-Procedures.Title",
    "Principal": "principal-cfo",
    "TargetField": "Procedures.Title",
    "CanRead": true,
    "CanWrite": false,
    "MaskStrategy": "plain",
    "SemanticTypeIri": "urn:effortless:pko-extension#FieldGrant",
    "Name": "principal-cfo -&gt; Procedures.Title",
    "FieldTable": "Procedures",
    "FieldName": "Title",
    "FieldIsDerived": false,
    "IsWritableDerivedField": false,
    "IsMasked": false,
    "GrantKeyWhenReadable": "principal-cfo|Procedures"
   },
   {
    "FieldGrantId": "fg-cfo-Procedures.Purpose",
    "Principal": "principal-cfo",
    "TargetField": "Procedures.Purpose",
    "CanRead": true,
    "CanWrite": false,
    "MaskStrategy": "plain",
    "SemanticTypeIri": "urn:effortless:pko-extension#FieldGrant",
    "Name": "principal-cfo -&gt; Procedures.Purpose",
    "FieldTable": "Procedures",
    "FieldName": "Purpose",
    "FieldIsDerived": false,
    "IsWritableDerivedField": false,
    "IsMasked": false,
    "GrantKeyWhenReadable": "principal-cfo|Procedures"
   },
   {
    "FieldGrantId": "fg-cfo-Procedures.Name",
    "Principal": "principal-cfo",
    "TargetField": "Procedures.Name",
    "CanRead": true,
    "CanWrite": false,
    "MaskStrategy": "plain",
    "SemanticTypeIri": "urn:effortless:pko-extension#FieldGrant",
    "Name": "principal-cfo -&gt; Procedures.Name",
    "FieldTable": "Procedures",
    "FieldName": "Name",
    "FieldIsDerived": true,
    "IsWritableDerivedField": false,
    "IsMasked": false,
    "GrantKeyWhenReadable": "principal-cfo|Procedures"
   },
   {
    "FieldGrantId": "fg-hr-policy-owner-Steps.StepId",
    "Principal": "principal-hr-policy-owner",
    "TargetField": "Steps.StepId",
    "CanRead": true,
    "CanWrite": false,
    "MaskStrategy": "plain",
    "SemanticTypeIri": "urn:effortless:pko-extension#FieldGrant",
    "Name": "principal-hr-policy-owner -&gt; Steps.StepId",
    "FieldTable": "Steps",
    "FieldName": "StepId",
    "FieldIsDerived": false,
    "IsWritableDerivedField": false,
    "IsMasked": false,
    "GrantKeyWhenReadable": "principal-hr-policy-owner|Steps"
   },
   {
    "FieldGrantId": "fg-hr-policy-owner-Steps.StepNumber",
    "Principal": "principal-hr-policy-owner",
    "TargetField": "Steps.StepNumber",
    "CanRead": true,
    "CanWrite": false,
    "MaskStrategy": "plain",
    "SemanticTypeIri": "urn:effortless:pko-extension#FieldGrant",
    "Name": "principal-hr-policy-owner -&gt; Steps.StepNumber",
    "FieldTable": "Steps",
    "FieldName": "StepNumber",
    "FieldIsDerived": false,
    "IsWritableDerivedField": false,
    "IsMasked": false,
    "GrantKeyWhenReadable": "principal-hr-policy-owner|Steps"
   },
   {
    "FieldGrantId": "fg-hr-policy-owner-Steps.Title",
    "Principal": "principal-hr-policy-owner",
    "TargetField": "Steps.Title",
    "CanRead": true,
    "CanWrite": false,
    "MaskStrategy": "plain",
    "SemanticTypeIri": "urn:effortless:pko-extension#FieldGrant",
    "Name": "principal-hr-policy-owner -&gt; Steps.Title",
    "FieldTable": "Steps",
    "FieldName": "Title",
    "FieldIsDerived": false,
    "IsWritableDerivedField": false,
    "IsMasked": false,
    "GrantKeyWhenReadable": "principal-hr-policy-owner|Steps"
   },
   {
    "FieldGrantId": "fg-hr-policy-owner-Steps.StepKind",
    "Principal": "principal-hr-policy-owner",
    "TargetField": "Steps.StepKind",
    "CanRead": true,
    "CanWrite": false,
    "MaskStrategy": "plain",
    "SemanticTypeIri": "urn:effortless:pko-extension#FieldGrant",
    "Name": "principal-hr-policy-owner -&gt; Steps.StepKind",
    "FieldTable": "Steps",
    "FieldName": "StepKind",
    "FieldIsDerived": false,
    "IsWritableDerivedField": false,
    "IsMasked": false,
    "GrantKeyWhenReadable": "principal-hr-policy-owner|Steps"
   },
   {
    "FieldGrantId": "fg-hr-policy-owner-Steps.Instruction",
    "Principal": "principal-hr-policy-owner",
    "TargetField": "Steps.Instruction",
    "CanRead": true,
    "CanWrite": false,
    "MaskStrategy": "plain",
    "SemanticTypeIri": "urn:effortless:pko-extension#FieldGrant",
    "Name": "principal-hr-policy-owner -&gt; Steps.Instruction",
    "FieldTable": "Steps",
    "FieldName": "Instruction",
    "FieldIsDerived": false,
    "IsWritableDerivedField": false,
    "IsMasked": false,
    "GrantKeyWhenReadable": "principal-hr-policy-owner|Steps"
   },
   {
    "FieldGrantId": "fg-hr-policy-owner-Steps.AssignedRole",
    "Principal": "principal-hr-policy-owner",
    "TargetField": "Steps.AssignedRole",
    "CanRead": true,
    "CanWrite": false,
    "MaskStrategy": "plain",
    "SemanticTypeIri": "urn:effortless:pko-extension#FieldGrant",
    "Name": "principal-hr-policy-owner -&gt; Steps.AssignedRole",
    "FieldTable": "Steps",
    "FieldName": "AssignedRole",
    "FieldIsDerived": false,
    "IsWritableDerivedField": false,
    "IsMasked": false,
    "GrantKeyWhenReadable": "principal-hr-policy-owner|Steps"
   },
   {
    "FieldGrantId": "fg-hr-policy-owner-Steps.AssignedRoleLabel",
    "Principal": "principal-hr-policy-owner",
    "TargetField": "Steps.AssignedRoleLabel",
    "CanRead": true,
    "CanWrite": false,
    "MaskStrategy": "plain",
    "SemanticTypeIri": "urn:effortless:pko-extension#FieldGrant",
    "Name": "principal-hr-policy-owner -&gt; Steps.AssignedRoleLabel",
    "FieldTable": "Steps",
    "FieldName": "AssignedRoleLabel",
    "FieldIsDerived": true,
    "IsWritableDerivedField": false,
    "IsMasked": false,
    "GrantKeyWhenReadable": "principal-hr-policy-owner|Steps"
   },
   {
    "FieldGrantId": "fg-hr-policy-owner-Steps.ProcedureVersion",
    "Principal": "principal-hr-policy-owner",
    "TargetField": "Steps.ProcedureVersion",
    "CanRead": true,
    "CanWrite": false,
    "MaskStrategy": "plain",
    "SemanticTypeIri": "urn:effortless:pko-extension#FieldGrant",
    "Name": "principal-hr-policy-owner -&gt; Steps.ProcedureVersion",
    "FieldTable": "Steps",
    "FieldName": "ProcedureVersion",
    "FieldIsDerived": false,
    "IsWritableDerivedField": false,
    "IsMasked": false,
    "GrantKeyWhenReadable": "principal-hr-policy-owner|Steps"
   },
   {
    "FieldGrantId": "fg-hr-policy-owner-Steps.Name",
    "Principal": "principal-hr-policy-owner",
    "TargetField": "Steps.Name",
    "CanRead": true,
    "CanWrite": false,
    "MaskStrategy": "plain",
    "SemanticTypeIri": "urn:effortless:pko-extension#FieldGrant",
    "Name": "principal-hr-policy-owner -&gt; Steps.Name",
    "FieldTable": "Steps",
    "FieldName": "Name",
    "FieldIsDerived": true,
    "IsWritableDerivedField": false,
    "IsMasked": false,
    "GrantKeyWhenReadable": "principal-hr-policy-owner|Steps"
   },
   {
    "FieldGrantId": "fg-hr-policy-owner-Steps.IsApprovalStep",
    "Principal": "principal-hr-policy-owner",
    "TargetField": "Steps.IsApprovalStep",
    "CanRead": true,
    "CanWrite": false,
    "MaskStrategy": "plain",
    "SemanticTypeIri": "urn:effortless:pko-extension#FieldGrant",
    "Name": "principal-hr-policy-owner -&gt; Steps.IsApprovalStep",
    "FieldTable": "Steps",
    "FieldName": "IsApprovalStep",
    "FieldIsDerived": true,
    "IsWritableDerivedField": false,
    "IsMasked": false,
    "GrantKeyWhenReadable": "principal-hr-policy-owner|Steps"
   },
   {
    "FieldGrantId": "fg-hr-policy-owner-Steps.RequiresHumanConfirmation",
    "Principal": "principal-hr-policy-owner",
    "TargetField": "Steps.RequiresHumanConfirmation",
    "CanRead": true,
    "CanWrite": false,
    "MaskStrategy": "plain",
    "SemanticTypeIri": "urn:effortless:pko-extension#FieldGrant",
    "Name": "principal-hr-policy-owner -&gt; Steps.RequiresHumanConfirmation",
    "FieldTable": "Steps",
    "FieldName": "RequiresHumanConfirmation",
    "FieldIsDerived": false,
    "IsWritableDerivedField": false,
    "IsMasked": false,
    "GrantKeyWhenReadable": "principal-hr-policy-owner|Steps"
   },
   {
    "FieldGrantId": "fg-hr-policy-owner-Steps.ExpectedDurationMinutes",
    "Principal": "principal-hr-policy-owner",
    "TargetField": "Steps.ExpectedDurationMinutes",
    "CanRead": true,
    "CanWrite": false,
    "MaskStrategy": "plain",
    "SemanticTypeIri": "urn:effortless:pko-extension#FieldGrant",
    "Name": "principal-hr-policy-owner -&gt; Steps.ExpectedDurationMinutes",
    "FieldTable": "Steps",
    "FieldName": "ExpectedDurationMinutes",
    "FieldIsDerived": false,
    "IsWritableDerivedField": false,
    "IsMasked": false,
    "GrantKeyWhenReadable": "principal-hr-policy-owner|Steps"
   },
   {
    "FieldGrantId": "fg-hr-policy-owner-KnowledgeFragments.KnowledgeFragmentId",
    "Principal": "principal-hr-policy-owner",
    "TargetField": "KnowledgeFragments.KnowledgeFragmentId",
    "CanRead": true,
    "CanWrite": false,
    "MaskStrategy": "plain",
    "SemanticTypeIri": "urn:effortless:pko-extension#FieldGrant",
    "Name": "principal-hr-policy-owner -&gt; KnowledgeFragments.KnowledgeFragmentId",
    "FieldTable": "KnowledgeFragments",
    "FieldName": "KnowledgeFragmentId",
    "FieldIsDerived": false,
    "IsWritableDerivedField": false,
    "IsMasked": false,
    "GrantKeyWhenReadable": "principal-hr-policy-owner|KnowledgeFragments"
   },
   {
    "FieldGrantId": "fg-hr-policy-owner-KnowledgeFragments.Statement",
    "Principal": "principal-hr-policy-owner",
    "TargetField": "KnowledgeFragments.Statement",
    "CanRead": true,
    "CanWrite": false,
    "MaskStrategy": "plain",
    "SemanticTypeIri": "urn:effortless:pko-extension#FieldGrant",
    "Name": "principal-hr-policy-owner -&gt; KnowledgeFragments.Statement",
    "FieldTable": "KnowledgeFragments",
    "FieldName": "Statement",
    "FieldIsDerived": false,
    "IsWritableDerivedField": false,
    "IsMasked": false,
    "GrantKeyWhenReadable": "principal-hr-policy-owner|KnowledgeFragments"
   },
   {
    "FieldGrantId": "fg-hr-policy-owner-KnowledgeFragments.KnowledgeForm",
    "Principal": "principal-hr-policy-owner",
    "TargetField": "KnowledgeFragments.KnowledgeForm",
    "CanRead": true,
    "CanWrite": false,
    "MaskStrategy": "plain",
    "SemanticTypeIri": "urn:effortless:pko-extension#FieldGrant",
    "Name": "principal-hr-policy-owner -&gt; KnowledgeFragments.KnowledgeForm",
    "FieldTable": "KnowledgeFragments",
    "FieldName": "KnowledgeForm",
    "FieldIsDerived": false,
    "IsWritableDerivedField": false,
    "IsMasked": false,
    "GrantKeyWhenReadable": "principal-hr-policy-owner|KnowledgeFragments"
   },
   {
    "FieldGrantId": "fg-hr-policy-owner-KnowledgeFragments.Status",
    "Principal": "principal-hr-policy-owner",
    "TargetField": "KnowledgeFragments.Status",
    "CanRead": true,
    "CanWrite": false,
    "MaskStrategy": "plain",
    "SemanticTypeIri": "urn:effortless:pko-extension#FieldGrant",
    "Name": "principal-hr-policy-owner -&gt; KnowledgeFragments.Status",
    "FieldTable": "KnowledgeFragments",
    "FieldName": "Status",
    "FieldIsDerived": false,
    "IsWritableDerivedField": false,
    "IsMasked": false,
    "GrantKeyWhenReadable": "principal-hr-policy-owner|KnowledgeFragments"
   },
   {
    "FieldGrantId": "fg-hr-policy-owner-KnowledgeFragments.Confidence",
    "Principal": "principal-hr-policy-owner",
    "TargetField": "KnowledgeFragments.Confidence",
    "CanRead": true,
    "CanWrite": false,
    "MaskStrategy": "plain",
    "SemanticTypeIri": "urn:effortless:pko-extension#FieldGrant",
    "Name": "principal-hr-policy-owner -&gt; KnowledgeFragments.Confidence",
    "FieldTable": "KnowledgeFragments",
    "FieldName": "Confidence",
    "FieldIsDerived": false,
    "IsWritableDerivedField": false,
    "IsMasked": false,
    "GrantKeyWhenReadable": "principal-hr-policy-owner|KnowledgeFragments"
   },
   {
    "FieldGrantId": "fg-hr-policy-owner-KnowledgeFragments.OwnerRole",
    "Principal": "principal-hr-policy-owner",
    "TargetField": "KnowledgeFragments.OwnerRole",
    "CanRead": true,
    "CanWrite": false,
    "MaskStrategy": "plain",
    "SemanticTypeIri": "urn:effortless:pko-extension#FieldGrant",
    "Name": "principal-hr-policy-owner -&gt; KnowledgeFragments.OwnerRole",
    "FieldTable": "KnowledgeFragments",
    "FieldName": "OwnerRole",
    "FieldIsDerived": false,
    "IsWritableDerivedField": false,
    "IsMasked": false,
    "GrantKeyWhenReadable": "principal-hr-policy-owner|KnowledgeFragments"
   },
   {
    "FieldGrantId": "fg-hr-policy-owner-KnowledgeFragments.ValidFrom",
    "Principal": "principal-hr-policy-owner",
    "TargetField": "KnowledgeFragments.ValidFrom",
    "CanRead": true,
    "CanWrite": false,
    "MaskStrategy": "plain",
    "SemanticTypeIri": "urn:effortless:pko-extension#FieldGrant",
    "Name": "principal-hr-policy-owner -&gt; KnowledgeFragments.ValidFrom",
    "FieldTable": "KnowledgeFragments",
    "FieldName": "ValidFrom",
    "FieldIsDerived": false,
    "IsWritableDerivedField": false,
    "IsMasked": false,
    "GrantKeyWhenReadable": "principal-hr-policy-owner|KnowledgeFragments"
   },
   {
    "FieldGrantId": "fg-hr-policy-owner-KnowledgeFragments.ValidTo",
    "Principal": "principal-hr-policy-owner",
    "TargetField": "KnowledgeFragments.ValidTo",
    "CanRead": true,
    "CanWrite": false,
    "MaskStrategy": "plain",
    "SemanticTypeIri": "urn:effortless:pko-extension#FieldGrant",
    "Name": "principal-hr-policy-owner -&gt; KnowledgeFragments.ValidTo",
    "FieldTable": "KnowledgeFragments",
    "FieldName": "ValidTo",
    "FieldIsDerived": false,
    "IsWritableDerivedField": false,
    "IsMasked": false,
    "GrantKeyWhenReadable": "principal-hr-policy-owner|KnowledgeFragments"
   },
   {
    "FieldGrantId": "fg-hr-policy-owner-KnowledgeFragments.LastReviewedAt",
    "Principal": "principal-hr-policy-owner",
    "TargetField": "KnowledgeFragments.LastReviewedAt",
    "CanRead": true,
    "CanWrite": false,
    "MaskStrategy": "plain",
    "SemanticTypeIri": "urn:effortless:pko-extension#FieldGrant",
    "Name": "principal-hr-policy-owner -&gt; KnowledgeFragments.LastReviewedAt",
    "FieldTable": "KnowledgeFragments",
    "FieldName": "LastReviewedAt",
    "FieldIsDerived": false,
    "IsWritableDerivedField": false,
    "IsMasked": false,
    "GrantKeyWhenReadable": "principal-hr-policy-owner|KnowledgeFragments"
   },
   {
    "FieldGrantId": "fg-hr-policy-owner-KnowledgeFragments.Name",
    "Principal": "principal-hr-policy-owner",
    "TargetField": "KnowledgeFragments.N</t>
  </si>
  <si>
    <t xml:space="preserve">ame",
    "CanRead": true,
    "CanWrite": false,
    "MaskStrategy": "plain",
    "SemanticTypeIri": "urn:effortless:pko-extension#FieldGrant",
    "Name": "principal-hr-policy-owner -&gt; KnowledgeFragments.Name",
    "FieldTable": "KnowledgeFragments",
    "FieldName": "Name",
    "FieldIsDerived": true,
    "IsWritableDerivedField": false,
    "IsMasked": false,
    "GrantKeyWhenReadable": "principal-hr-policy-owner|KnowledgeFragments"
   },
   {
    "FieldGrantId": "fg-hr-policy-owner-KnowledgeGaps.KnowledgeGapId",
    "Principal": "principal-hr-policy-owner",
    "TargetField": "KnowledgeGaps.KnowledgeGapId",
    "CanRead": true,
    "CanWrite": false,
    "MaskStrategy": "plain",
    "SemanticTypeIri": "urn:effortless:pko-extension#FieldGrant",
    "Name": "principal-hr-policy-owner -&gt; KnowledgeGaps.KnowledgeGapId",
    "FieldTable": "KnowledgeGaps",
    "FieldName": "KnowledgeGapId",
    "FieldIsDerived": false,
    "IsWritableDerivedField": false,
    "IsMasked": false,
    "GrantKeyWhenReadable": "principal-hr-policy-owner|KnowledgeGaps"
   },
   {
    "FieldGrantId": "fg-hr-policy-owner-KnowledgeGaps.Statement",
    "Principal": "principal-hr-policy-owner",
    "TargetField": "KnowledgeGaps.Statement",
    "CanRead": true,
    "CanWrite": false,
    "MaskStrategy": "plain",
    "SemanticTypeIri": "urn:effortless:pko-extension#FieldGrant",
    "Name": "principal-hr-policy-owner -&gt; KnowledgeGaps.Statement",
    "FieldTable": "KnowledgeGaps",
    "FieldName": "Statement",
    "FieldIsDerived": false,
    "IsWritableDerivedField": false,
    "IsMasked": false,
    "GrantKeyWhenReadable": "principal-hr-policy-owner|KnowledgeGaps"
   },
   {
    "FieldGrantId": "fg-hr-policy-owner-KnowledgeGaps.Severity",
    "Principal": "principal-hr-policy-owner",
    "TargetField": "KnowledgeGaps.Severity",
    "CanRead": true,
    "CanWrite": false,
    "MaskStrategy": "plain",
    "SemanticTypeIri": "urn:effortless:pko-extension#FieldGrant",
    "Name": "principal-hr-policy-owner -&gt; KnowledgeGaps.Severity",
    "FieldTable": "KnowledgeGaps",
    "FieldName": "Severity",
    "FieldIsDerived": false,
    "IsWritableDerivedField": false,
    "IsMasked": false,
    "GrantKeyWhenReadable": "principal-hr-policy-owner|KnowledgeGaps"
   },
   {
    "FieldGrantId": "fg-hr-policy-owner-KnowledgeGaps.Status",
    "Principal": "principal-hr-policy-owner",
    "TargetField": "KnowledgeGaps.Status",
    "CanRead": true,
    "CanWrite": false,
    "MaskStrategy": "plain",
    "SemanticTypeIri": "urn:effortless:pko-extension#FieldGrant",
    "Name": "principal-hr-policy-owner -&gt; KnowledgeGaps.Status",
    "FieldTable": "KnowledgeGaps",
    "FieldName": "Status",
    "FieldIsDerived": false,
    "IsWritableDerivedField": false,
    "IsMasked": false,
    "GrantKeyWhenReadable": "principal-hr-policy-owner|KnowledgeGaps"
   },
   {
    "FieldGrantId": "fg-hr-policy-owner-KnowledgeGaps.OwnerRole",
    "Principal": "principal-hr-policy-owner",
    "TargetField": "KnowledgeGaps.OwnerRole",
    "CanRead": true,
    "CanWrite": false,
    "MaskStrategy": "plain",
    "SemanticTypeIri": "urn:effortless:pko-extension#FieldGrant",
    "Name": "principal-hr-policy-owner -&gt; KnowledgeGaps.OwnerRole",
    "FieldTable": "KnowledgeGaps",
    "FieldName": "OwnerRole",
    "FieldIsDerived": false,
    "IsWritableDerivedField": false,
    "IsMasked": false,
    "GrantKeyWhenReadable": "principal-hr-policy-owner|KnowledgeGaps"
   },
   {
    "FieldGrantId": "fg-hr-policy-owner-KnowledgeGaps.ResolutionPlan",
    "Principal": "principal-hr-policy-owner",
    "TargetField": "KnowledgeGaps.ResolutionPlan",
    "CanRead": true,
    "CanWrite": false,
    "MaskStrategy": "plain",
    "SemanticTypeIri": "urn:effortless:pko-extension#FieldGrant",
    "Name": "principal-hr-policy-owner -&gt; KnowledgeGaps.ResolutionPlan",
    "FieldTable": "KnowledgeGaps",
    "FieldName": "ResolutionPlan",
    "FieldIsDerived": false,
    "IsWritableDerivedField": false,
    "IsMasked": false,
    "GrantKeyWhenReadable": "principal-hr-policy-owner|KnowledgeGaps"
   },
   {
    "FieldGrantId": "fg-hr-policy-owner-KnowledgeGaps.IsOpen",
    "Principal": "principal-hr-policy-owner",
    "TargetField": "KnowledgeGaps.IsOpen",
    "CanRead": true,
    "CanWrite": false,
    "MaskStrategy": "plain",
    "SemanticTypeIri": "urn:effortless:pko-extension#FieldGrant",
    "Name": "principal-hr-policy-owner -&gt; KnowledgeGaps.IsOpen",
    "FieldTable": "KnowledgeGaps",
    "FieldName": "IsOpen",
    "FieldIsDerived": true,
    "IsWritableDerivedField": false,
    "IsMasked": false,
    "GrantKeyWhenReadable": "principal-hr-policy-owner|KnowledgeGaps"
   },
   {
    "FieldGrantId": "fg-hr-policy-owner-KnowledgeGaps.Name",
    "Principal": "principal-hr-policy-owner",
    "TargetField": "KnowledgeGaps.Name",
    "CanRead": true,
    "CanWrite": false,
    "MaskStrategy": "plain",
    "SemanticTypeIri": "urn:effortless:pko-extension#FieldGrant",
    "Name": "principal-hr-policy-owner -&gt; KnowledgeGaps.Name",
    "FieldTable": "KnowledgeGaps",
    "FieldName": "Name",
    "FieldIsDerived": true,
    "IsWritableDerivedField": false,
    "IsMasked": false,
    "GrantKeyWhenReadable": "principal-hr-policy-owner|KnowledgeGaps"
   },
   {
    "FieldGrantId": "fg-hr-policy-owner-ChangeRequests.ChangeRequestId",
    "Principal": "principal-hr-policy-owner",
    "TargetField": "ChangeRequests.ChangeRequestId",
    "CanRead": true,
    "CanWrite": false,
    "MaskStrategy": "plain",
    "SemanticTypeIri": "urn:effortless:pko-extension#FieldGrant",
    "Name": "principal-hr-policy-owner -&gt; ChangeRequests.ChangeRequestId",
    "FieldTable": "ChangeRequests",
    "FieldName": "ChangeRequestId",
    "FieldIsDerived": false,
    "IsWritableDerivedField": false,
    "IsMasked": false,
    "GrantKeyWhenReadable": "principal-hr-policy-owner|ChangeRequests"
   },
   {
    "FieldGrantId": "fg-hr-policy-owner-ChangeRequests.Title",
    "Principal": "principal-hr-policy-owner",
    "TargetField": "ChangeRequests.Title",
    "CanRead": true,
    "CanWrite": false,
    "MaskStrategy": "plain",
    "SemanticTypeIri": "urn:effortless:pko-extension#FieldGrant",
    "Name": "principal-hr-policy-owner -&gt; ChangeRequests.Title",
    "FieldTable": "ChangeRequests",
    "FieldName": "Title",
    "FieldIsDerived": false,
    "IsWritableDerivedField": false,
    "IsMasked": false,
    "GrantKeyWhenReadable": "principal-hr-policy-owner|ChangeRequests"
   },
   {
    "FieldGrantId": "fg-hr-policy-owner-ChangeRequests.ChangeKind",
    "Principal": "principal-hr-policy-owner",
    "TargetField": "ChangeRequests.ChangeKind",
    "CanRead": true,
    "CanWrite": false,
    "MaskStrategy": "plain",
    "SemanticTypeIri": "urn:effortless:pko-extension#FieldGrant",
    "Name": "principal-hr-policy-owner -&gt; ChangeRequests.ChangeKind",
    "FieldTable": "ChangeRequests",
    "FieldName": "ChangeKind",
    "FieldIsDerived": false,
    "IsWritableDerivedField": false,
    "IsMasked": false,
    "GrantKeyWhenReadable": "principal-hr-policy-owner|ChangeRequests"
   },
   {
    "FieldGrantId": "fg-hr-policy-owner-ChangeRequests.Status",
    "Principal": "principal-hr-policy-owner",
    "TargetField": "ChangeRequests.Status",
    "CanRead": true,
    "CanWrite": false,
    "MaskStrategy": "plain",
    "SemanticTypeIri": "urn:effortless:pko-extension#FieldGrant",
    "Name": "principal-hr-policy-owner -&gt; ChangeRequests.Status",
    "FieldTable": "ChangeRequests",
    "FieldName": "Status",
    "FieldIsDerived": false,
    "IsWritableDerivedField": false,
    "IsMasked": false,
    "GrantKeyWhenReadable": "principal-hr-policy-owner|ChangeRequests"
   },
   {
    "FieldGrantId": "fg-hr-policy-owner-ChangeRequests.RequestedAt",
    "Principal": "principal-hr-policy-owner",
    "TargetField": "ChangeRequests.RequestedAt",
    "CanRead": true,
    "CanWrite": false,
    "MaskStrategy": "plain",
    "SemanticTypeIri": "urn:effortless:pko-extension#FieldGrant",
    "Name": "principal-hr-policy-owner -&gt; ChangeRequests.RequestedAt",
    "FieldTable": "ChangeRequests",
    "FieldName": "RequestedAt",
    "FieldIsDerived": false,
    "IsWritableDerivedField": false,
    "IsMasked": false,
    "GrantKeyWhenReadable": "principal-hr-policy-owner|ChangeRequests"
   },
   {
    "FieldGrantId": "fg-hr-policy-owner-ChangeRequests.DecidedAt",
    "Principal": "principal-hr-policy-owner",
    "TargetField": "ChangeRequests.DecidedAt",
    "CanRead": true,
    "CanWrite": false,
    "MaskStrategy": "plain",
    "SemanticTypeIri": "urn:effortless:pko-extension#FieldGrant",
    "Name": "principal-hr-policy-owner -&gt; ChangeRequests.DecidedAt",
    "FieldTable": "ChangeRequests",
    "FieldName": "DecidedAt",
    "FieldIsDerived": false,
    "IsWritableDerivedField": false,
    "IsMasked": false,
    "GrantKeyWhenReadable": "principal-hr-policy-owner|ChangeRequests"
   },
   {
    "FieldGrantId": "fg-hr-policy-owner-ChangeRequests.ImpactAssessment",
    "Principal": "principal-hr-policy-owner",
    "TargetField": "ChangeRequests.ImpactAssessment",
    "CanRead": true,
    "CanWrite": false,
    "MaskStrategy": "plain",
    "SemanticTypeIri": "urn:effortless:pko-extension#FieldGrant",
    "Name": "principal-hr-policy-owner -&gt; ChangeRequests.ImpactAssessment",
    "FieldTable": "ChangeRequests",
    "FieldName": "ImpactAssessment",
    "FieldIsDerived": false,
    "IsWritableDerivedField": false,
    "IsMasked": false,
    "GrantKeyWhenReadable": "principal-hr-policy-owner|ChangeRequests"
   },
   {
    "FieldGrantId": "fg-hr-policy-owner-ChangeRequests.AuthorityRole",
    "Principal": "principal-hr-policy-owner",
    "TargetField": "ChangeRequests.AuthorityRole",
    "CanRead": true,
    "CanWrite": false,
    "MaskStrategy": "plain",
    "SemanticTypeIri": "urn:effortless:pko-extension#FieldGrant",
    "Name": "principal-hr-policy-owner -&gt; ChangeRequests.AuthorityRole",
    "FieldTable": "ChangeRequests",
    "FieldName": "AuthorityRole",
    "FieldIsDerived": false,
    "IsWritableDerivedField": false,
    "IsMasked": false,
    "GrantKeyWhenReadable": "principal-hr-policy-owner|ChangeRequests"
   },
   {
    "FieldGrantId": "fg-hr-policy-owner-ChangeRequests.IsOpen",
    "Principal": "principal-hr-policy-owner",
    "TargetField": "ChangeRequests.IsOpen",
    "CanRead": true,
    "CanWrite": false,
    "MaskStrategy": "plain",
    "SemanticTypeIri": "urn:effortless:pko-extension#FieldGrant",
    "Name": "principal-hr-policy-owner -&gt; ChangeRequests.IsOpen",
    "FieldTable": "ChangeRequests",
    "FieldName": "IsOpen",
    "FieldIsDerived": true,
    "IsWritableDerivedField": false,
    "IsMasked": false,
    "GrantKeyWhenReadable": "principal-hr-policy-owner|ChangeRequests"
   },
   {
    "FieldGrantId": "fg-hr-policy-owner-ChangeRequests.Name",
    "Principal": "principal-hr-policy-owner",
    "TargetField": "ChangeRequests.Name",
    "CanRead": true,
    "CanWrite": false,
    "MaskStrategy": "plain",
    "SemanticTypeIri": "urn:effortless:pko-extension#FieldGrant",
    "Name": "principal-hr-policy-owner -&gt; ChangeRequests.Name",
    "FieldTable": "ChangeRequests",
    "FieldName": "Name",
    "FieldIsDerived": true,
    "IsWritableDerivedField": false,
    "IsMasked": false,
    "GrantKeyWhenReadable": "principal-hr-policy-owner|ChangeRequests"
   },
   {
    "FieldGrantId": "fg-hr-policy-owner-Exceptions.ExceptionId",
    "Principal": "principal-hr-policy-owner",
    "TargetField": "Exceptions.ExceptionId",
    "CanRead": true,
    "CanWrite": false,
    "MaskStrategy": "plain",
    "SemanticTypeIri": "urn:effortless:pko-extension#FieldGrant",
    "Name": "principal-hr-policy-owner -&gt; Exceptions.ExceptionId",
    "FieldTable": "Exceptions",
    "FieldName": "ExceptionId",
    "FieldIsDerived": false,
    "IsWritableDerivedField": false,
    "IsMasked": false,
    "GrantKeyWhenReadable": "principal-hr-policy-owner|Exceptions"
   },
   {
    "FieldGrantId": "fg-hr-policy-owner-Exceptions.Name",
    "Principal": "principal-hr-policy-owner",
    "TargetField": "Exceptions.Name",
    "CanRead": true,
    "CanWrite": false,
    "MaskStrategy": "plain",
    "SemanticTypeIri": "urn:effortless:pko-extension#FieldGrant",
    "Name": "principal-hr-policy-owner -&gt; Exceptions.Name",
    "FieldTable": "Exceptions",
    "FieldName": "Name",
    "FieldIsDerived": true,
    "IsWritableDerivedField": false,
    "IsMasked": false,
    "GrantKeyWhenReadable": "principal-hr-policy-owner|Exceptions"
   },
   {
    "FieldGrantId": "fg-hr-policy-owner-Exceptions.ProcedureVersion",
    "Principal": "principal-hr-policy-owner",
    "TargetField": "Exceptions.ProcedureVersion",
    "CanRead": true,
    "CanWrite": false,
    "MaskStrategy": "plain",
    "SemanticTypeIri": "urn:effortless:pko-extension#FieldGrant",
    "Name": "principal-hr-policy-owner -&gt; Exceptions.ProcedureVersion",
    "FieldTable": "Exceptions",
    "FieldName": "ProcedureVersion",
    "FieldIsDerived": false,
    "IsWritableDerivedField": false,
    "IsMasked": false,
    "GrantKeyWhenReadable": "principal-hr-policy-owner|Exceptions"
   },
   {
    "FieldGrantId": "fg-hr-policy-owner-Exceptions.TriggerStep",
    "Principal": "principal-hr-policy-owner",
    "TargetField": "Exceptions.TriggerStep",
    "CanRead": true,
    "CanWrite": false,
    "MaskStrategy": "plain",
    "SemanticTypeIri": "urn:effortless:pko-extension#FieldGrant",
    "Name": "principal-hr-policy-owner -&gt; Exceptions.TriggerStep",
    "FieldTable": "Exceptions",
    "FieldName": "TriggerStep",
    "FieldIsDerived": false,
    "IsWritableDerivedField": false,
    "IsMasked": false,
    "GrantKeyWhenReadable": "principal-hr-policy-owner|Exceptions"
   },
   {
    "FieldGrantId": "fg-hr-policy-owner-Exceptions.Condition",
    "Principal": "principal-hr-policy-owner",
    "TargetField": "Exceptions.Condition",
    "CanRead": true,
    "CanWrite": false,
    "MaskStrategy": "plain",
    "SemanticTypeIri": "urn:effortless:pko-extension#FieldGrant",
    "Name": "principal-hr-policy-owner -&gt; Exceptions.Condition",
    "FieldTable": "Exceptions",
    "FieldName": "Condition",
    "FieldIsDerived": false,
    "IsWritableDerivedField": false,
    "IsMasked": false,
    "GrantKeyWhenReadable": "principal-hr-policy-owner|Exceptions"
   },
   {
    "FieldGrantId": "fg-hr-policy-owner-Exceptions.Handling",
    "Principal": "principal-hr-policy-owner",
    "TargetField": "Exceptions.Handling",
    "CanRead": true,
    "CanWrite": false,
    "MaskStrategy": "plain",
    "SemanticTypeIri": "urn:effortless:pko-extension#FieldGrant",
    "Name": "principal-hr-policy-owner -&gt; Exceptions.Handling",
    "FieldTable": "Exceptions",
    "FieldName": "Handling",
    "FieldIsDerived": false,
    "IsWritableDerivedField": false,
    "IsMasked": false,
    "GrantKeyWhenReadable": "principal-hr-policy-owner|Exceptions"
   },
   {
    "FieldGrantId": "fg-hr-policy-owner-Exceptions.ApprovalRole",
    "Principal": "principal-hr-policy-owner",
    "TargetField": "Exceptions.ApprovalRole",
    "CanRead": true,
    "CanWrite": false,
    "MaskStrategy": "plain",
    "SemanticTypeIri": "urn:effortless:pko-extension#FieldGrant",
    "Name": "principal-hr-policy-owner -&gt; Exceptions.ApprovalRole",
    "FieldTable": "Exceptions",
    "FieldName": "ApprovalRole",
    "FieldIsDerived": false,
    "IsWritableDerivedField": false,
    "IsMasked": false,
    "GrantKeyWhenReadable": "principal-hr-policy-owner|Exceptions"
   },
   {
    "FieldGrantId": "fg-hr-policy-owner-Exceptions.FallbackRole",
    "Principal": "principal-hr-policy-owner",
    "TargetField": "Exceptions.FallbackRole",
    "CanRead": true,
    "CanWrite": false,
    "MaskStrategy": "plain",
    "SemanticTypeIri": "urn:effortless:pko-extension#FieldGrant",
    "Name": "principal-hr-policy-owner -&gt; Exceptions.FallbackRole",
    "FieldTable": "Exceptions",
    "FieldName": "FallbackRole",
    "FieldIsDerived": false,
    "IsWritableDerivedField": false,
    "IsMasked": false,
    "GrantKeyWhenReadable": "principal-hr-policy-owner|Exceptions"
   },
   {
    "FieldGrantId": "fg-hr-policy-owner-Exceptions.Status",
    "Principal": "principal-hr-policy-owner",
    "TargetField": "Exceptions.Status",
    "CanRead": true,
    "CanWrite": false,
    "MaskStrategy": "plain",
    "SemanticTypeIri": "urn:effortless:pko-extension#FieldGrant",
    "Name": "principal-hr-policy-owner -&gt; Exceptions.Status",
    "FieldTable": "Exceptions",
    "FieldName": "Status",
    "FieldIsDerived": false,
    "IsWritableDerivedField": false,
    "IsMasked": false,
    "GrantKeyWhenReadable": "principal-hr-policy-owner|Exceptions"
   },
   {
    "FieldGrantId": "fg-hr-policy-owner-Exceptions.ActiveExceptionStepKey",
    "Principal": "principal-hr-policy-owner",
    "TargetField": "Exceptions.ActiveExceptionStepKey",
    "CanRead": true,
    "CanWrite": false,
    "MaskStrategy": "plain",
    "SemanticTypeIri": "urn:effortless:pko-extension#FieldGrant",
    "Name": "principal-hr-policy-owner -&gt; Exceptions.ActiveExceptionStepKey",
    "FieldTable": "Exceptions",
    "FieldName": "ActiveExceptionStepKey",
    "FieldIsDerived": true,
    "IsWritableDerivedField": false,
    "IsMasked": false,
    "GrantKeyWhenReadable": "principal-hr-policy-owner|Exceptions"
   },
   {
    "FieldGrantId": "fg-hr-policy-owner-Exceptions.SemanticTypeIri",
    "Principal": "principal-hr-policy-owner",
    "TargetField": "Exceptions.SemanticTypeIri",
    "CanRead": true,
    "CanWrite": false,
    "MaskStrategy": "plain",
    "SemanticTypeIri": "urn:effortless:pko-extension#FieldGrant",
    "Name": "principal-hr-policy-owner -&gt; Exceptions.SemanticTypeIri",
    "FieldTable": "Exceptions",
    "FieldName": "SemanticTypeIri",
    "FieldIsDerived": false,
    "IsWritableDerivedField": false,
    "IsMasked": false,
    "GrantKeyWhenReadable": "principal-hr-policy-owner|Exceptions"
   },
   {
    "FieldGrantId": "fg-hr-policy-owner-MessageTemplates.MessageTemplateId",
    "Principal": "principal-hr-policy-owner",
    "TargetField": "MessageTemplates.MessageTemplateId",
    "CanRead": true,
    "CanWrite": false,
    "MaskStrategy": "plain",
    "SemanticTypeIri": "urn:effortless:pko-extension#FieldGrant",
    "Name": "principal-hr-policy-owner -&gt; MessageTemplates.MessageTemplateId",
    "FieldTable": "MessageTemplates",
    "FieldName": "MessageTemplateId",
    "FieldIsDerived": false,
    "IsWritableDerivedField": false,
    "IsMasked": false,
    "GrantKeyWhenReadable": "principal-hr-policy-owner|MessageTemplates"
   },
   {
    "FieldGrantId": "fg-hr-policy-owner-MessageTemplates.SubjectTemplate",
    "Principal": "principal-hr-policy-owner",
    "TargetField": "MessageTemplates.SubjectTemplate",
    "CanRead": true,
    "CanWrite": false,
    "MaskStrategy": "plain",
    "SemanticTypeIri": "urn:effortless:pko-extension#FieldGrant",
    "Name": "principal-hr-policy-owner -&gt; MessageTemplates.SubjectTemplate",
    "FieldTable": "MessageTemplates",
    "FieldName": "SubjectTemplate",
    "FieldIsDerived": false,
    "IsWritableDerivedField": false,
    "IsMasked": false,
    "GrantKeyWhenReadable": "principal-hr-policy-owner|MessageTemplates"
   },
   {
    "FieldGrantId": "fg-hr-policy-owner-MessageTemplates.BodyTemplate",
    "Principal": "principal-hr-policy-owner",
    "TargetField": "MessageTemplates.BodyTemplate",
    "CanRead": true,
    "CanWrite": false,
    "MaskStrategy": "plain",
    "SemanticTypeIri": "urn:effortless:pko-extension#FieldGrant",
    "Name": "principal-hr-policy-owner -&gt; MessageTemplates.BodyTemplate",
    "FieldTable": "MessageTemplates",
    "FieldName": "BodyTemplate",
    "FieldIsDerived": false,
    "IsWritableDerivedField": false,
    "IsMasked": false,
    "GrantKeyWhenReadable": "principal-hr-policy-owner|MessageTemplates"
   },
   {
    "FieldGrantId": "fg-hr-policy-owner-MessageTemplates.Status",
    "Principal": "principal-hr-policy-owner",
    "TargetField": "MessageTemplates.Status",
    "CanRead": true,
    "CanWrite": false,
    "MaskStrategy": "plain",
    "SemanticTypeIri": "urn:effortless:pko-extension#FieldGrant",
    "Name": "principal-hr-policy-owner -&gt; MessageTemplates.Status",
    "FieldTable": "MessageTemplates",
    "FieldName": "Status",
    "FieldIsDerived": false,
    "IsWritableDerivedField": false,
    "IsMasked": false,
    "GrantKeyWhenReadable": "principal-hr-policy-owner|MessageTemplates"
   },
   {
    "FieldGrantId": "fg-hr-policy-owner-MessageTemplates.Name",
    "Principal": "principal-hr-policy-owner",
    "TargetField": "MessageTemplates.Name",
    "CanRead": true,
    "CanWrite": false,
    "MaskStrategy": "plain",
    "SemanticTypeIri": "urn:effortless:pko-extension#FieldGrant",
    "Name": "principal-hr-policy-owner -&gt; MessageTemplates.Name",
    "FieldTable": "MessageTemplates",
    "FieldName": "Name",
    "FieldIsDerived": true,
    "IsWritableDerivedField": false,
    "IsMasked": false,
    "GrantKeyWhenReadable": "principal-hr-policy-owner|MessageTemplates"
   },
   {
    "FieldGrantId": "fg-employment-counsel-ChangeRequests.ChangeRequestId",
    "Principal": "principal-employment-counsel",
    "TargetField": "ChangeRequests.ChangeRequestId",
    "CanRead": true,
    "CanWrite": false,
    "MaskStrategy": "plain",
    "SemanticTypeIri": "urn:effortless:pko-extension#FieldGrant",
    "Name": "principal-employment-counsel -&gt; ChangeRequests.ChangeRequestId",
    "FieldTable": "ChangeRequests",
    "FieldName": "ChangeRequestId",
    "FieldIsDerived": false,
    "IsWritableDerivedField": false,
    "IsMasked": false,
    "GrantKeyWhenReadable": "principal-employment-counsel|ChangeRequests"
   },
   {
    "FieldGrantId": "fg-employment-counsel-ChangeRequests.Title",
    "Principal": "principal-employment-counsel",
    "TargetField": "ChangeRequests.Title",
    "CanRead": true,
    "CanWrite": false,
    "MaskStrategy": "plain",
    "SemanticTypeIri": "urn:effortless:pko-extension#FieldGrant",
    "Name": "principal-employment-counsel -&gt; ChangeRequests.Title",
    "FieldTable": "ChangeRequests",
    "FieldName": "Title",
    "FieldIsDerived": false,
    "IsWritableDerivedField": false,
    "IsMasked": false,
    "GrantKeyWhenReadable": "principal-employment-counsel|ChangeRequests"
   },
   {
    "FieldGrantId": "fg-employment-counsel-ChangeRequests.ChangeKind",
    "Principal": "principal-employment-counsel",
    "TargetField": "ChangeRequests.ChangeKind",
    "CanRead": true,
    "CanWrite": false,
    "MaskStrategy": "plain",
    "SemanticTypeIri": "urn:effortless:pko-extension#FieldGrant",
    "Name": "principal-employment-counsel -&gt; ChangeRequests.ChangeKind",
    "FieldTable": "ChangeRequests",
    "FieldName": "ChangeKind",
    "FieldIsDerived": false,
    "IsWritableDerivedField": false,
    "IsMasked": false,
    "GrantKeyWhenReadable": "principal-employment-counsel|ChangeRequests"
   },
   {
    "FieldGrantId": "fg-employment-counsel-ChangeRequests.Status",
    "Principal": "principal-employment-counsel",
    "TargetField": "ChangeRequests.Status",
    "CanRead": true,
    "CanWrite": false,
    "MaskStrategy": "plain",
    "SemanticTypeIri": "urn:effortless:pko-extension#FieldGrant",
    "Name": "principal-employment-counsel -&gt; ChangeRequests.Status",
    "FieldTable": "ChangeRequests",
    "FieldName": "Status",
    "FieldIsDerived": false,
    "IsWritableDerivedField": false,
    "IsMasked": false,
    "GrantKeyWhenReadable": "principal-employment-counsel|ChangeRequests"
   },
   {
    "FieldGrantId": "fg-employment-counsel-ChangeRequests.RequestedAt",
    "Principal": "principal-employment-counsel",
    "TargetField": "ChangeRequests.RequestedAt",
    "CanRead": true,
    "CanWrite": false,
    "MaskStrategy": "plain",
    "SemanticTypeIri": "urn:effortless:pko-extension#FieldGrant",
    "Name": "principal-employment-counsel -&gt; ChangeRequests.RequestedAt",
    "FieldTable": "ChangeRequests",
    "FieldName": "RequestedAt",
    "FieldIsDerived": false,
    "IsWritableDerivedField": false,
    "IsMasked": false,
    "GrantKeyWhenReadable": "principal-employment-counsel|ChangeRequests"
   },
   {
    "FieldGrantId": "fg-employment-counsel-ChangeRequests.DecidedAt",
    "Principal": "principal-employment-counsel",
    "TargetField": "ChangeRequests.DecidedAt",
    "CanRead": true,
    "CanWrite": false,
    "MaskStrategy": "plain",
    "SemanticTypeIri": "urn:effortless:pko-extension#FieldGrant",
    "Name": "principal-employment-counsel -&gt; ChangeRequests.DecidedAt",
    "FieldTable": "ChangeRequests",
    "FieldName": "DecidedAt",
    "FieldIsDerived": false,
    "IsWritableDerivedField": false,
    "IsMasked": false,
    "GrantKeyWhenReadable": "principal-employment-counsel|ChangeRequests"
   },
   {
    "FieldGrantId": "fg-employment-counsel-ChangeRequests.ImpactAssessment",
    "Principal": "principal-employment-counsel",
    "TargetField": "ChangeRequests.ImpactAssessment",
    "CanRead": true,
    "CanWrite": false,
    "MaskStrategy": "plain",
    "SemanticTypeIri": "urn:effortless:pko-extension#FieldGrant",
    "Name": "principal-employment-counsel -&gt; ChangeRequests.ImpactAssessment",
    "FieldTable": "ChangeRequests",
    "FieldName": "ImpactAssessment",
    "FieldIsDerived": false,
    "IsWritableDerivedField": false,
    "IsMasked": false,
    "GrantKeyWhenReadable": "principal-employment-counsel|ChangeRequests"
   },
   {
    "FieldGrantId": "fg-employment-counsel-ChangeRequests.IsOpen",
    "Principal": "principal-employment-counsel",
    "TargetField": "ChangeRequests.IsOpen",
    "CanRead": true,
    "CanWrite": false,
    "MaskStrategy": "plain",
    "SemanticTypeIri": "urn:effortless:pko-extension#FieldGrant",
    "Name": "principal-employment-counsel -&gt; ChangeRequests.IsOpen",
    "FieldTable": "ChangeRequests",
    "FieldName": "IsOpen",
    "FieldIsDerived": true,
    "IsWritableDerivedField": false,
    "IsMasked": false,
    "GrantKeyWhenReadable": "principal-employment-counsel|ChangeRequests"
   },
   {
    "FieldGrantId": "fg-employment-counsel-ChangeRequests.Name",
    "Principal": "principal-employment-counsel",
    "TargetField": "ChangeRequests.Name",
    "CanRead": true,
    "CanWrite": false,
    "MaskStrategy": "plain",
    "SemanticTypeIri": "urn:effortless:pko-extension#FieldGrant",
    "Name": "principal-employment-counsel -&gt; ChangeRequests.Name",
    "FieldTable": "ChangeRequests",
    "FieldName": "Name",
    "FieldIsDerived": true,
    "IsWritableDerivedField": false,
    "IsMasked": false,
    "GrantKeyWhenReadable": "principal-employment-counsel|ChangeRequests"
   },
   {
    "FieldGrantId": "fg-employment-counsel-KnowledgeFragments.KnowledgeFragmentId",
    "Principal": "principal-employment-counsel",
    "TargetField": "KnowledgeFragments.KnowledgeFragmentId",
    "CanRead": true,
    "CanWrite": false,
    "MaskStrategy": "plain",
    "SemanticTypeIri": "urn:effortless:pko-extension#FieldGrant",
    "Name": "principal-employment-counsel -&gt; KnowledgeFragments.KnowledgeFragmentId",
    "FieldTable": "KnowledgeFragments",
    "FieldName": "KnowledgeFragmentId",
    "FieldIsDerived": false,
    "IsWritableDerivedField": false,
    "IsMasked": false,
    "GrantKeyWhenReadable": "principal-employment-counsel|KnowledgeFragments"
   },
   {
    "FieldGrantId": "fg-employment-counsel-KnowledgeFragments.Statement",
    "Principal": "principal-employment-counsel",
    "TargetField": "KnowledgeFragments.Statement",
    "CanRead": true,
    "CanWrite": false,
    "MaskStrategy": "plain",
    "SemanticTypeIri": "urn:effortless:pko-extension#FieldGrant",
    "Name": "principal-employment-counsel -&gt; KnowledgeFragments.Statement",
    "FieldTable": "KnowledgeFragments",
    "FieldName": "Statement",
    "FieldIsDerived": false,
    "IsWritableDerivedField": false,
    "IsMasked": false,
    "GrantKeyWhenReadable": "principal-employment-counsel|KnowledgeFragments"
   },
   {
    "FieldGrantId": "fg-employment-counsel-KnowledgeFragments.KnowledgeForm",
    "Principal": "principal-employment-counsel",
    "TargetField": "KnowledgeFragments.KnowledgeForm",
    "CanRead": true,
    "CanWrite": false,
    "MaskStrategy": "plain",
    "SemanticTypeIri": "urn:effortless:pko-extension#FieldGrant",
    "Name": "principal-employment-counsel -&gt; KnowledgeFragments.KnowledgeForm",
    "FieldTable": "KnowledgeFragments",
    "FieldName": "KnowledgeForm",
    "FieldIsDerived": false,
    "IsWritableDerivedField": false,
    "IsMasked": false,
    "GrantKeyWhenReadable": "principal-employment-counsel|KnowledgeFragments"
   },
   {
    "FieldGrantId": "fg-employment-counsel-KnowledgeFragments.Status",
    "Principal": "principal-employment-counsel",
    "TargetField": "KnowledgeFragments.Status",
    "CanRead": true,
    "CanWrite": false,
    "MaskStrategy": "plain",
    "SemanticTypeIri": "urn:effortless:pko-extension#FieldGrant",
    "Name": "principal-employment-counsel -&gt; KnowledgeFragments.Status",
    "FieldTable": "KnowledgeFragments",
    "FieldName": "Status",
    "FieldIsDerived": false,
    "IsWritableDerivedField": false,
    "IsMasked": false,
    "GrantKeyWhenReadable": "principal-employment-counsel|KnowledgeFragments"
   },
   {
    "FieldGrantId": "fg-employment-counsel-KnowledgeFragments.OwnerRole",
    "Principal": "principal-employment-counsel",
    "TargetField": "KnowledgeFragments.OwnerRole",
    "CanRead": true,
    "CanWrite": false,
    "MaskStrategy": "plain",
    "SemanticTypeIri": "urn:effortless:pko-extension#FieldGrant",
    "Name": "principal-employment-counsel -&gt; KnowledgeFragments.OwnerRole",
    "FieldTable": "KnowledgeFragments",
    "FieldName": "OwnerRole",
    "FieldIsDerived": false,
    "IsWritableDerivedField": false,
    "IsMasked": false,
    "GrantKeyWhenReadable": "principal-employment-counsel|KnowledgeFragments"
   },
   {
    "FieldGrantId": "fg-employment-counsel-KnowledgeFragments.ValidFrom",
    "Principal": "principal-employment-counsel",
    "TargetField": "KnowledgeFragments.ValidFrom",
    "CanRead": true,
    "CanWrite": false,
    "MaskStrategy": "plain",
    "SemanticTypeIri": "urn:effortless:pko-extension#FieldGrant",
    "Name": "principal-employment-counsel -&gt; KnowledgeFragments.ValidFrom",
    "FieldTable": "KnowledgeFragments",
    "FieldName": "ValidFrom",
    "FieldIsDerived": false,
    "IsWritableDerivedField": false,
    "IsMasked": false,
    "GrantKeyWhenReadable": "principal-employment-counsel|KnowledgeFragments"
   },
   {
    "FieldGrantId": "fg-employment-counsel-KnowledgeFragments.ValidTo",
    "Principal": "principal-employment-counsel",
    "TargetField": "KnowledgeFragments.ValidTo",
    "CanRead": true,
    "CanWrite": false,
    "MaskStrategy": "plain",
    "SemanticTypeIri": "urn:effortless:pko-extension#FieldGrant",
    "Name": "principal-employment-counsel -&gt; KnowledgeFragments.ValidTo",
    "FieldTable": "KnowledgeFragments",
    "FieldName": "ValidTo",
    "FieldIsDerived": false,
    "IsWritableDerivedField": false,
    "IsMasked": false,
    "GrantKeyWhenReadable": "principal-employment-counsel|KnowledgeFragments"
   },
   {
    "FieldGrantId": "fg-employment-counsel-KnowledgeFragments.Name",
    "Principal": "principal-employment-counsel",
    "TargetField": "KnowledgeFragments.Name",
    "CanRead": true,
    "CanWrite": false,
    "MaskStrategy": "plain",
    "SemanticTypeIri": "urn:effortless:pko-extension#FieldGrant",
    "Name": "principal-employment-counsel -&gt; KnowledgeFragments.Name",
    "FieldTable": "KnowledgeFragments",
    "FieldName": "Name",
    "FieldIsDerived": true,
    "IsWritableDerivedField": false,
    "IsMasked": false,
    "GrantKeyWhenReadable": "principal-employment-counsel|KnowledgeFragments"
   },
   {
    "FieldGrantId": "fg-employment-counsel-AuthorityBoundaries.AuthorityBoundaryId",
    "Principal": "principal-employment-counsel",
    "TargetField": "AuthorityBoundaries.AuthorityBoundaryId",
    "CanRead": true,
    "CanWrite": false,
    "MaskStrategy": "plain",
    "SemanticTypeIri": "urn:effortless:pko-extension#FieldGrant",
    "Name": "principal-employment-counsel -&gt; AuthorityBoundaries.AuthorityBoundaryId",
    "FieldTable": "AuthorityBoundaries",
    "FieldName": "AuthorityBoundaryId",
    "FieldIsDerived": false,
    "IsWritableDerivedField": false,
    "IsMasked": false,
    "GrantKeyWhenReadable": "principal-employment-counsel|AuthorityBoundaries"
   },
   {
    "FieldGrantId": "fg-employment-counsel-AuthorityBoundaries.ForbiddenAgentKind",
    "Principal": "principal-employment-counsel",
    "TargetField": "AuthorityBoundaries.ForbiddenAgentKind",
    "CanRead": true,
    "CanWrite": false,
    "MaskStrategy": "plain",
    "SemanticTypeIri": "urn:effortless:pko-extension#FieldGrant",
    "Name": "principal-employment-counsel -&gt; AuthorityBoundaries.ForbiddenAgentKind",
    "FieldTable": "AuthorityBoundaries"</t>
  </si>
  <si>
    <t xml:space="preserve">,
    "FieldName": "ForbiddenAgentKind",
    "FieldIsDerived": false,
    "IsWritableDerivedField": false,
    "IsMasked": false,
    "GrantKeyWhenReadable": "principal-employment-counsel|AuthorityBoundaries"
   },
   {
    "FieldGrantId": "fg-employment-counsel-AuthorityBoundaries.ForbiddenDecisionKind",
    "Principal": "principal-employment-counsel",
    "TargetField": "AuthorityBoundaries.ForbiddenDecisionKind",
    "CanRead": true,
    "CanWrite": false,
    "MaskStrategy": "plain",
    "SemanticTypeIri": "urn:effortless:pko-extension#FieldGrant",
    "Name": "principal-employment-counsel -&gt; AuthorityBoundaries.ForbiddenDecisionKind",
    "FieldTable": "AuthorityBoundaries",
    "FieldName": "ForbiddenDecisionKind",
    "FieldIsDerived": false,
    "IsWritableDerivedField": false,
    "IsMasked": false,
    "GrantKeyWhenReadable": "principal-employment-counsel|AuthorityBoundaries"
   },
   {
    "FieldGrantId": "fg-employment-counsel-AuthorityBoundaries.Status",
    "Principal": "principal-employment-counsel",
    "TargetField": "AuthorityBoundaries.Status",
    "CanRead": true,
    "CanWrite": false,
    "MaskStrategy": "plain",
    "SemanticTypeIri": "urn:effortless:pko-extension#FieldGrant",
    "Name": "principal-employment-counsel -&gt; AuthorityBoundaries.Status",
    "FieldTable": "AuthorityBoundaries",
    "FieldName": "Status",
    "FieldIsDerived": false,
    "IsWritableDerivedField": false,
    "IsMasked": false,
    "GrantKeyWhenReadable": "principal-employment-counsel|AuthorityBoundaries"
   },
   {
    "FieldGrantId": "fg-employment-counsel-AuthorityBoundaries.AuthorityRole",
    "Principal": "principal-employment-counsel",
    "TargetField": "AuthorityBoundaries.AuthorityRole",
    "CanRead": true,
    "CanWrite": false,
    "MaskStrategy": "plain",
    "SemanticTypeIri": "urn:effortless:pko-extension#FieldGrant",
    "Name": "principal-employment-counsel -&gt; AuthorityBoundaries.AuthorityRole",
    "FieldTable": "AuthorityBoundaries",
    "FieldName": "AuthorityRole",
    "FieldIsDerived": false,
    "IsWritableDerivedField": false,
    "IsMasked": false,
    "GrantKeyWhenReadable": "principal-employment-counsel|AuthorityBoundaries"
   },
   {
    "FieldGrantId": "fg-employment-counsel-AuthorityBoundaries.Name",
    "Principal": "principal-employment-counsel",
    "TargetField": "AuthorityBoundaries.Name",
    "CanRead": true,
    "CanWrite": false,
    "MaskStrategy": "plain",
    "SemanticTypeIri": "urn:effortless:pko-extension#FieldGrant",
    "Name": "principal-employment-counsel -&gt; AuthorityBoundaries.Name",
    "FieldTable": "AuthorityBoundaries",
    "FieldName": "Name",
    "FieldIsDerived": true,
    "IsWritableDerivedField": false,
    "IsMasked": false,
    "GrantKeyWhenReadable": "principal-employment-counsel|AuthorityBoundaries"
   },
   {
    "FieldGrantId": "fg-employment-counsel-CommunicationPolicies.CommunicationPolicyId",
    "Principal": "principal-employment-counsel",
    "TargetField": "CommunicationPolicies.CommunicationPolicyId",
    "CanRead": true,
    "CanWrite": false,
    "MaskStrategy": "plain",
    "SemanticTypeIri": "urn:effortless:pko-extension#FieldGrant",
    "Name": "principal-employment-counsel -&gt; CommunicationPolicies.CommunicationPolicyId",
    "FieldTable": "CommunicationPolicies",
    "FieldName": "CommunicationPolicyId",
    "FieldIsDerived": false,
    "IsWritableDerivedField": false,
    "IsMasked": false,
    "GrantKeyWhenReadable": "principal-employment-counsel|CommunicationPolicies"
   },
   {
    "FieldGrantId": "fg-employment-counsel-CommunicationPolicies.Channel",
    "Principal": "principal-employment-counsel",
    "TargetField": "CommunicationPolicies.Channel",
    "CanRead": true,
    "CanWrite": false,
    "MaskStrategy": "plain",
    "SemanticTypeIri": "urn:effortless:pko-extension#FieldGrant",
    "Name": "principal-employment-counsel -&gt; CommunicationPolicies.Channel",
    "FieldTable": "CommunicationPolicies",
    "FieldName": "Channel",
    "FieldIsDerived": false,
    "IsWritableDerivedField": false,
    "IsMasked": false,
    "GrantKeyWhenReadable": "principal-employment-counsel|CommunicationPolicies"
   },
   {
    "FieldGrantId": "fg-employment-counsel-CommunicationPolicies.ConsentRequired",
    "Principal": "principal-employment-counsel",
    "TargetField": "CommunicationPolicies.ConsentRequired",
    "CanRead": true,
    "CanWrite": false,
    "MaskStrategy": "plain",
    "SemanticTypeIri": "urn:effortless:pko-extension#FieldGrant",
    "Name": "principal-employment-counsel -&gt; CommunicationPolicies.ConsentRequired",
    "FieldTable": "CommunicationPolicies",
    "FieldName": "ConsentRequired",
    "FieldIsDerived": false,
    "IsWritableDerivedField": false,
    "IsMasked": false,
    "GrantKeyWhenReadable": "principal-employment-counsel|CommunicationPolicies"
   },
   {
    "FieldGrantId": "fg-employment-counsel-CommunicationPolicies.RequiredContent",
    "Principal": "principal-employment-counsel",
    "TargetField": "CommunicationPolicies.RequiredContent",
    "CanRead": true,
    "CanWrite": false,
    "MaskStrategy": "plain",
    "SemanticTypeIri": "urn:effortless:pko-extension#FieldGrant",
    "Name": "principal-employment-counsel -&gt; CommunicationPolicies.RequiredContent",
    "FieldTable": "CommunicationPolicies",
    "FieldName": "RequiredContent",
    "FieldIsDerived": false,
    "IsWritableDerivedField": false,
    "IsMasked": false,
    "GrantKeyWhenReadable": "principal-employment-counsel|CommunicationPolicies"
   },
   {
    "FieldGrantId": "fg-employment-counsel-CommunicationPolicies.AuthorityStatement",
    "Principal": "principal-employment-counsel",
    "TargetField": "CommunicationPolicies.AuthorityStatement",
    "CanRead": true,
    "CanWrite": false,
    "MaskStrategy": "plain",
    "SemanticTypeIri": "urn:effortless:pko-extension#FieldGrant",
    "Name": "principal-employment-counsel -&gt; CommunicationPolicies.AuthorityStatement",
    "FieldTable": "CommunicationPolicies",
    "FieldName": "AuthorityStatement",
    "FieldIsDerived": false,
    "IsWritableDerivedField": false,
    "IsMasked": false,
    "GrantKeyWhenReadable": "principal-employment-counsel|CommunicationPolicies"
   },
   {
    "FieldGrantId": "fg-employment-counsel-CommunicationPolicies.RetentionDays",
    "Principal": "principal-employment-counsel",
    "TargetField": "CommunicationPolicies.RetentionDays",
    "CanRead": true,
    "CanWrite": false,
    "MaskStrategy": "plain",
    "SemanticTypeIri": "urn:effortless:pko-extension#FieldGrant",
    "Name": "principal-employment-counsel -&gt; CommunicationPolicies.RetentionDays",
    "FieldTable": "CommunicationPolicies",
    "FieldName": "RetentionDays",
    "FieldIsDerived": false,
    "IsWritableDerivedField": false,
    "IsMasked": false,
    "GrantKeyWhenReadable": "principal-employment-counsel|CommunicationPolicies"
   },
   {
    "FieldGrantId": "fg-employment-counsel-CommunicationPolicies.Status",
    "Principal": "principal-employment-counsel",
    "TargetField": "CommunicationPolicies.Status",
    "CanRead": true,
    "CanWrite": false,
    "MaskStrategy": "plain",
    "SemanticTypeIri": "urn:effortless:pko-extension#FieldGrant",
    "Name": "principal-employment-counsel -&gt; CommunicationPolicies.Status",
    "FieldTable": "CommunicationPolicies",
    "FieldName": "Status",
    "FieldIsDerived": false,
    "IsWritableDerivedField": false,
    "IsMasked": false,
    "GrantKeyWhenReadable": "principal-employment-counsel|CommunicationPolicies"
   },
   {
    "FieldGrantId": "fg-employment-counsel-CommunicationPolicies.Name",
    "Principal": "principal-employment-counsel",
    "TargetField": "CommunicationPolicies.Name",
    "CanRead": true,
    "CanWrite": false,
    "MaskStrategy": "plain",
    "SemanticTypeIri": "urn:effortless:pko-extension#FieldGrant",
    "Name": "principal-employment-counsel -&gt; CommunicationPolicies.Name",
    "FieldTable": "CommunicationPolicies",
    "FieldName": "Name",
    "FieldIsDerived": true,
    "IsWritableDerivedField": false,
    "IsMasked": false,
    "GrantKeyWhenReadable": "principal-employment-counsel|CommunicationPolicies"
   },
   {
    "FieldGrantId": "fg-employment-counsel-Steps.StepId",
    "Principal": "principal-employment-counsel",
    "TargetField": "Steps.StepId",
    "CanRead": true,
    "CanWrite": false,
    "MaskStrategy": "plain",
    "SemanticTypeIri": "urn:effortless:pko-extension#FieldGrant",
    "Name": "principal-employment-counsel -&gt; Steps.StepId",
    "FieldTable": "Steps",
    "FieldName": "StepId",
    "FieldIsDerived": false,
    "IsWritableDerivedField": false,
    "IsMasked": false,
    "GrantKeyWhenReadable": "principal-employment-counsel|Steps"
   },
   {
    "FieldGrantId": "fg-employment-counsel-Steps.StepNumber",
    "Principal": "principal-employment-counsel",
    "TargetField": "Steps.StepNumber",
    "CanRead": true,
    "CanWrite": false,
    "MaskStrategy": "plain",
    "SemanticTypeIri": "urn:effortless:pko-extension#FieldGrant",
    "Name": "principal-employment-counsel -&gt; Steps.StepNumber",
    "FieldTable": "Steps",
    "FieldName": "StepNumber",
    "FieldIsDerived": false,
    "IsWritableDerivedField": false,
    "IsMasked": false,
    "GrantKeyWhenReadable": "principal-employment-counsel|Steps"
   },
   {
    "FieldGrantId": "fg-employment-counsel-Steps.Title",
    "Principal": "principal-employment-counsel",
    "TargetField": "Steps.Title",
    "CanRead": true,
    "CanWrite": false,
    "MaskStrategy": "plain",
    "SemanticTypeIri": "urn:effortless:pko-extension#FieldGrant",
    "Name": "principal-employment-counsel -&gt; Steps.Title",
    "FieldTable": "Steps",
    "FieldName": "Title",
    "FieldIsDerived": false,
    "IsWritableDerivedField": false,
    "IsMasked": false,
    "GrantKeyWhenReadable": "principal-employment-counsel|Steps"
   },
   {
    "FieldGrantId": "fg-employment-counsel-Steps.StepKind",
    "Principal": "principal-employment-counsel",
    "TargetField": "Steps.StepKind",
    "CanRead": true,
    "CanWrite": false,
    "MaskStrategy": "plain",
    "SemanticTypeIri": "urn:effortless:pko-extension#FieldGrant",
    "Name": "principal-employment-counsel -&gt; Steps.StepKind",
    "FieldTable": "Steps",
    "FieldName": "StepKind",
    "FieldIsDerived": false,
    "IsWritableDerivedField": false,
    "IsMasked": false,
    "GrantKeyWhenReadable": "principal-employment-counsel|Steps"
   },
   {
    "FieldGrantId": "fg-employment-counsel-Steps.Instruction",
    "Principal": "principal-employment-counsel",
    "TargetField": "Steps.Instruction",
    "CanRead": true,
    "CanWrite": false,
    "MaskStrategy": "plain",
    "SemanticTypeIri": "urn:effortless:pko-extension#FieldGrant",
    "Name": "principal-employment-counsel -&gt; Steps.Instruction",
    "FieldTable": "Steps",
    "FieldName": "Instruction",
    "FieldIsDerived": false,
    "IsWritableDerivedField": false,
    "IsMasked": false,
    "GrantKeyWhenReadable": "principal-employment-counsel|Steps"
   },
   {
    "FieldGrantId": "fg-employment-counsel-Steps.AssignedRole",
    "Principal": "principal-employment-counsel",
    "TargetField": "Steps.AssignedRole",
    "CanRead": true,
    "CanWrite": false,
    "MaskStrategy": "plain",
    "SemanticTypeIri": "urn:effortless:pko-extension#FieldGrant",
    "Name": "principal-employment-counsel -&gt; Steps.AssignedRole",
    "FieldTable": "Steps",
    "FieldName": "AssignedRole",
    "FieldIsDerived": false,
    "IsWritableDerivedField": false,
    "IsMasked": false,
    "GrantKeyWhenReadable": "principal-employment-counsel|Steps"
   },
   {
    "FieldGrantId": "fg-employment-counsel-Steps.AssignedRoleLabel",
    "Principal": "principal-employment-counsel",
    "TargetField": "Steps.AssignedRoleLabel",
    "CanRead": true,
    "CanWrite": false,
    "MaskStrategy": "plain",
    "SemanticTypeIri": "urn:effortless:pko-extension#FieldGrant",
    "Name": "principal-employment-counsel -&gt; Steps.AssignedRoleLabel",
    "FieldTable": "Steps",
    "FieldName": "AssignedRoleLabel",
    "FieldIsDerived": true,
    "IsWritableDerivedField": false,
    "IsMasked": false,
    "GrantKeyWhenReadable": "principal-employment-counsel|Steps"
   },
   {
    "FieldGrantId": "fg-employment-counsel-Steps.ProcedureVersion",
    "Principal": "principal-employment-counsel",
    "TargetField": "Steps.ProcedureVersion",
    "CanRead": true,
    "CanWrite": false,
    "MaskStrategy": "plain",
    "SemanticTypeIri": "urn:effortless:pko-extension#FieldGrant",
    "Name": "principal-employment-counsel -&gt; Steps.ProcedureVersion",
    "FieldTable": "Steps",
    "FieldName": "ProcedureVersion",
    "FieldIsDerived": false,
    "IsWritableDerivedField": false,
    "IsMasked": false,
    "GrantKeyWhenReadable": "principal-employment-counsel|Steps"
   },
   {
    "FieldGrantId": "fg-employment-counsel-Steps.Name",
    "Principal": "principal-employment-counsel",
    "TargetField": "Steps.Name",
    "CanRead": true,
    "CanWrite": false,
    "MaskStrategy": "plain",
    "SemanticTypeIri": "urn:effortless:pko-extension#FieldGrant",
    "Name": "principal-employment-counsel -&gt; Steps.Name",
    "FieldTable": "Steps",
    "FieldName": "Name",
    "FieldIsDerived": true,
    "IsWritableDerivedField": false,
    "IsMasked": false,
    "GrantKeyWhenReadable": "principal-employment-counsel|Steps"
   },
   {
    "FieldGrantId": "fg-communications-manager-CommunicationPolicies.CommunicationPolicyId",
    "Principal": "principal-communications-manager",
    "TargetField": "CommunicationPolicies.CommunicationPolicyId",
    "CanRead": true,
    "CanWrite": false,
    "MaskStrategy": "plain",
    "SemanticTypeIri": "urn:effortless:pko-extension#FieldGrant",
    "Name": "principal-communications-manager -&gt; CommunicationPolicies.CommunicationPolicyId",
    "FieldTable": "CommunicationPolicies",
    "FieldName": "CommunicationPolicyId",
    "FieldIsDerived": false,
    "IsWritableDerivedField": false,
    "IsMasked": false,
    "GrantKeyWhenReadable": "principal-communications-manager|CommunicationPolicies"
   },
   {
    "FieldGrantId": "fg-communications-manager-CommunicationPolicies.Name",
    "Principal": "principal-communications-manager",
    "TargetField": "CommunicationPolicies.Name",
    "CanRead": true,
    "CanWrite": false,
    "MaskStrategy": "plain",
    "SemanticTypeIri": "urn:effortless:pko-extension#FieldGrant",
    "Name": "principal-communications-manager -&gt; CommunicationPolicies.Name",
    "FieldTable": "CommunicationPolicies",
    "FieldName": "Name",
    "FieldIsDerived": true,
    "IsWritableDerivedField": false,
    "IsMasked": false,
    "GrantKeyWhenReadable": "principal-communications-manager|CommunicationPolicies"
   },
   {
    "FieldGrantId": "fg-communications-manager-CommunicationPolicies.ProcedureVersion",
    "Principal": "principal-communications-manager",
    "TargetField": "CommunicationPolicies.ProcedureVersion",
    "CanRead": true,
    "CanWrite": false,
    "MaskStrategy": "plain",
    "SemanticTypeIri": "urn:effortless:pko-extension#FieldGrant",
    "Name": "principal-communications-manager -&gt; CommunicationPolicies.ProcedureVersion",
    "FieldTable": "CommunicationPolicies",
    "FieldName": "ProcedureVersion",
    "FieldIsDerived": false,
    "IsWritableDerivedField": false,
    "IsMasked": false,
    "GrantKeyWhenReadable": "principal-communications-manager|CommunicationPolicies"
   },
   {
    "FieldGrantId": "fg-communications-manager-CommunicationPolicies.Channel",
    "Principal": "principal-communications-manager",
    "TargetField": "CommunicationPolicies.Channel",
    "CanRead": true,
    "CanWrite": false,
    "MaskStrategy": "plain",
    "SemanticTypeIri": "urn:effortless:pko-extension#FieldGrant",
    "Name": "principal-communications-manager -&gt; CommunicationPolicies.Channel",
    "FieldTable": "CommunicationPolicies",
    "FieldName": "Channel",
    "FieldIsDerived": false,
    "IsWritableDerivedField": false,
    "IsMasked": false,
    "GrantKeyWhenReadable": "principal-communications-manager|CommunicationPolicies"
   },
   {
    "FieldGrantId": "fg-communications-manager-CommunicationPolicies.AudienceRule",
    "Principal": "principal-communications-manager",
    "TargetField": "CommunicationPolicies.AudienceRule",
    "CanRead": true,
    "CanWrite": false,
    "MaskStrategy": "plain",
    "SemanticTypeIri": "urn:effortless:pko-extension#FieldGrant",
    "Name": "principal-communications-manager -&gt; CommunicationPolicies.AudienceRule",
    "FieldTable": "CommunicationPolicies",
    "FieldName": "AudienceRule",
    "FieldIsDerived": false,
    "IsWritableDerivedField": false,
    "IsMasked": false,
    "GrantKeyWhenReadable": "principal-communications-manager|CommunicationPolicies"
   },
   {
    "FieldGrantId": "fg-communications-manager-CommunicationPolicies.ConsentRequired",
    "Principal": "principal-communications-manager",
    "TargetField": "CommunicationPolicies.ConsentRequired",
    "CanRead": true,
    "CanWrite": false,
    "MaskStrategy": "plain",
    "SemanticTypeIri": "urn:effortless:pko-extension#FieldGrant",
    "Name": "principal-communications-manager -&gt; CommunicationPolicies.ConsentRequired",
    "FieldTable": "CommunicationPolicies",
    "FieldName": "ConsentRequired",
    "FieldIsDerived": false,
    "IsWritableDerivedField": false,
    "IsMasked": false,
    "GrantKeyWhenReadable": "principal-communications-manager|CommunicationPolicies"
   },
   {
    "FieldGrantId": "fg-communications-manager-CommunicationPolicies.QuietHoursStart",
    "Principal": "principal-communications-manager",
    "TargetField": "CommunicationPolicies.QuietHoursStart",
    "CanRead": true,
    "CanWrite": false,
    "MaskStrategy": "plain",
    "SemanticTypeIri": "urn:effortless:pko-extension#FieldGrant",
    "Name": "principal-communications-manager -&gt; CommunicationPolicies.QuietHoursStart",
    "FieldTable": "CommunicationPolicies",
    "FieldName": "QuietHoursStart",
    "FieldIsDerived": false,
    "IsWritableDerivedField": false,
    "IsMasked": false,
    "GrantKeyWhenReadable": "principal-communications-manager|CommunicationPolicies"
   },
   {
    "FieldGrantId": "fg-communications-manager-CommunicationPolicies.QuietHoursEnd",
    "Principal": "principal-communications-manager",
    "TargetField": "CommunicationPolicies.QuietHoursEnd",
    "CanRead": true,
    "CanWrite": false,
    "MaskStrategy": "plain",
    "SemanticTypeIri": "urn:effortless:pko-extension#FieldGrant",
    "Name": "principal-communications-manager -&gt; CommunicationPolicies.QuietHoursEnd",
    "FieldTable": "CommunicationPolicies",
    "FieldName": "QuietHoursEnd",
    "FieldIsDerived": false,
    "IsWritableDerivedField": false,
    "IsMasked": false,
    "GrantKeyWhenReadable": "principal-communications-manager|CommunicationPolicies"
   },
   {
    "FieldGrantId": "fg-communications-manager-CommunicationPolicies.MaxMessageLength",
    "Principal": "principal-communications-manager",
    "TargetField": "CommunicationPolicies.MaxMessageLength",
    "CanRead": true,
    "CanWrite": false,
    "MaskStrategy": "plain",
    "SemanticTypeIri": "urn:effortless:pko-extension#FieldGrant",
    "Name": "principal-communications-manager -&gt; CommunicationPolicies.MaxMessageLength",
    "FieldTable": "CommunicationPolicies",
    "FieldName": "MaxMessageLength",
    "FieldIsDerived": false,
    "IsWritableDerivedField": false,
    "IsMasked": false,
    "GrantKeyWhenReadable": "principal-communications-manager|CommunicationPolicies"
   },
   {
    "FieldGrantId": "fg-communications-manager-CommunicationPolicies.MaxSegments",
    "Principal": "principal-communications-manager",
    "TargetField": "CommunicationPolicies.MaxSegments",
    "CanRead": true,
    "CanWrite": false,
    "MaskStrategy": "plain",
    "SemanticTypeIri": "urn:effortless:pko-extension#FieldGrant",
    "Name": "principal-communications-manager -&gt; CommunicationPolicies.MaxSegments",
    "FieldTable": "CommunicationPolicies",
    "FieldName": "MaxSegments",
    "FieldIsDerived": false,
    "IsWritableDerivedField": false,
    "IsMasked": false,
    "GrantKeyWhenReadable": "principal-communications-manager|CommunicationPolicies"
   },
   {
    "FieldGrantId": "fg-communications-manager-CommunicationPolicies.RetentionDays",
    "Principal": "principal-communications-manager",
    "TargetField": "CommunicationPolicies.RetentionDays",
    "CanRead": true,
    "CanWrite": false,
    "MaskStrategy": "plain",
    "SemanticTypeIri": "urn:effortless:pko-extension#FieldGrant",
    "Name": "principal-communications-manager -&gt; CommunicationPolicies.RetentionDays",
    "FieldTable": "CommunicationPolicies",
    "FieldName": "RetentionDays",
    "FieldIsDerived": false,
    "IsWritableDerivedField": false,
    "IsMasked": false,
    "GrantKeyWhenReadable": "principal-communications-manager|CommunicationPolicies"
   },
   {
    "FieldGrantId": "fg-communications-manager-CommunicationPolicies.ApprovalRole",
    "Principal": "principal-communications-manager",
    "TargetField": "CommunicationPolicies.ApprovalRole",
    "CanRead": true,
    "CanWrite": false,
    "MaskStrategy": "plain",
    "SemanticTypeIri": "urn:effortless:pko-extension#FieldGrant",
    "Name": "principal-communications-manager -&gt; CommunicationPolicies.ApprovalRole",
    "FieldTable": "CommunicationPolicies",
    "FieldName": "ApprovalRole",
    "FieldIsDerived": false,
    "IsWritableDerivedField": false,
    "IsMasked": false,
    "GrantKeyWhenReadable": "principal-communications-manager|CommunicationPolicies"
   },
   {
    "FieldGrantId": "fg-communications-manager-CommunicationPolicies.RequiredContent",
    "Principal": "principal-communications-manager",
    "TargetField": "CommunicationPolicies.RequiredContent",
    "CanRead": true,
    "CanWrite": false,
    "MaskStrategy": "plain",
    "SemanticTypeIri": "urn:effortless:pko-extension#FieldGrant",
    "Name": "principal-communications-manager -&gt; CommunicationPolicies.RequiredContent",
    "FieldTable": "CommunicationPolicies",
    "FieldName": "RequiredContent",
    "FieldIsDerived": false,
    "IsWritableDerivedField": false,
    "IsMasked": false,
    "GrantKeyWhenReadable": "principal-communications-manager|CommunicationPolicies"
   },
   {
    "FieldGrantId": "fg-communications-manager-CommunicationPolicies.AuthorityStatement",
    "Principal": "principal-communications-manager",
    "TargetField": "CommunicationPolicies.AuthorityStatement",
    "CanRead": true,
    "CanWrite": false,
    "MaskStrategy": "plain",
    "SemanticTypeIri": "urn:effortless:pko-extension#FieldGrant",
    "Name": "principal-communications-manager -&gt; CommunicationPolicies.AuthorityStatement",
    "FieldTable": "CommunicationPolicies",
    "FieldName": "AuthorityStatement",
    "FieldIsDerived": false,
    "IsWritableDerivedField": false,
    "IsMasked": false,
    "GrantKeyWhenReadable": "principal-communications-manager|CommunicationPolicies"
   },
   {
    "FieldGrantId": "fg-communications-manager-CommunicationPolicies.Status",
    "Principal": "principal-communications-manager",
    "TargetField": "CommunicationPolicies.Status",
    "CanRead": true,
    "CanWrite": false,
    "MaskStrategy": "plain",
    "SemanticTypeIri": "urn:effortless:pko-extension#FieldGrant",
    "Name": "principal-communications-manager -&gt; CommunicationPolicies.Status",
    "FieldTable": "CommunicationPolicies",
    "FieldName": "Status",
    "FieldIsDerived": false,
    "IsWritableDerivedField": false,
    "IsMasked": false,
    "GrantKeyWhenReadable": "principal-communications-manager|CommunicationPolicies"
   },
   {
    "FieldGrantId": "fg-communications-manager-CommunicationPolicies.ConsentViolationCount",
    "Principal": "principal-communications-manager",
    "TargetField": "CommunicationPolicies.ConsentViolationCount",
    "CanRead": true,
    "CanWrite": false,
    "MaskStrategy": "plain",
    "SemanticTypeIri": "urn:effortless:pko-extension#FieldGrant",
    "Name": "principal-communications-manager -&gt; CommunicationPolicies.ConsentViolationCount",
    "FieldTable": "CommunicationPolicies",
    "FieldName": "ConsentViolationCount",
    "FieldIsDerived": true,
    "IsWritableDerivedField": false,
    "IsMasked": false,
    "GrantKeyWhenReadable": "principal-communications-manager|CommunicationPolicies"
   },
   {
    "FieldGrantId": "fg-communications-manager-CommunicationPolicies.QuietHoursStartHour",
    "Principal": "principal-communications-manager",
    "TargetField": "CommunicationPolicies.QuietHoursStartHour",
    "CanRead": true,
    "CanWrite": false,
    "MaskStrategy": "plain",
    "SemanticTypeIri": "urn:effortless:pko-extension#FieldGrant",
    "Name": "principal-communications-manager -&gt; CommunicationPolicies.QuietHoursStartHour",
    "FieldTable": "CommunicationPolicies",
    "FieldName": "QuietHoursStartHour",
    "FieldIsDerived": false,
    "IsWritableDerivedField": false,
    "IsMasked": false,
    "GrantKeyWhenReadable": "principal-communications-manager|CommunicationPolicies"
   },
   {
    "FieldGrantId": "fg-communications-manager-CommunicationPolicies.QuietHoursEndHour",
    "Principal": "principal-communications-manager",
    "TargetField": "CommunicationPolicies.QuietHoursEndHour",
    "CanRead": true,
    "CanWrite": false,
    "MaskStrategy": "plain",
    "SemanticTypeIri": "urn:effortless:pko-extension#FieldGrant",
    "Name": "principal-communications-manager -&gt; CommunicationPolicies.QuietHoursEndHour",
    "FieldTable": "CommunicationPolicies",
    "FieldName": "QuietHoursEndHour",
    "FieldIsDerived": false,
    "IsWritableDerivedField": false,
    "IsMasked": false,
    "GrantKeyWhenReadable": "principal-communications-manager|CommunicationPolicies"
   },
   {
    "FieldGrantId": "fg-communications-manager-CommunicationPolicies.QuietHoursViolationCount",
    "Principal": "principal-communications-manager",
    "TargetField": "CommunicationPolicies.QuietHoursViolationCount",
    "CanRead": true,
    "CanWrite": false,
    "MaskStrategy": "plain",
    "SemanticTypeIri": "urn:effortless:pko-extension#FieldGrant",
    "Name": "principal-communications-manager -&gt; CommunicationPolicies.QuietHoursViolationCount",
    "FieldTable": "CommunicationPolicies",
    "FieldName": "QuietHoursViolationCount",
    "FieldIsDerived": true,
    "IsWritableDerivedField": false,
    "IsMasked": false,
    "GrantKeyWhenReadable": "principal-communications-manager|CommunicationPolicies"
   },
   {
    "FieldGrantId": "fg-communications-manager-CommunicationPolicies.RequiredOptOutPhrase",
    "Principal": "principal-communications-manager",
    "TargetField": "CommunicationPolicies.RequiredOptOutPhrase",
    "CanRead": true,
    "CanWrite": false,
    "MaskStrategy": "plain",
    "SemanticTypeIri": "urn:effortless:pko-extension#FieldGrant",
    "Name": "principal-communications-manager -&gt; CommunicationPolicies.RequiredOptOutPhrase",
    "FieldTable": "CommunicationPolicies",
    "FieldName": "RequiredOptOutPhrase",
    "FieldIsDerived": false,
    "IsWritableDerivedField": false,
    "IsMasked": false,
    "GrantKeyWhenReadable": "principal-communications-manager|CommunicationPolicies"
   },
   {
    "FieldGrantId": "fg-communications-manager-CommunicationPolicies.IsActivePolicy",
    "Principal": "principal-communications-manager",
    "TargetField": "CommunicationPolicies.IsActivePolicy",
    "CanRead": true,
    "CanWrite": false,
    "MaskStrategy": "plain",
    "SemanticTypeIri": "urn:effortless:pko-extension#FieldGrant",
    "Name": "principal-communications-manager -&gt; CommunicationPolicies.IsActivePolicy",
    "FieldTable": "CommunicationPolicies",
    "FieldName": "IsActivePolicy",
    "FieldIsDerived": true,
    "IsWritableDerivedField": false,
    "IsMasked": false,
    "GrantKeyWhenReadable": "principal-communications-manager|CommunicationPolicies"
   },
   {
    "FieldGrantId": "fg-communications-manager-CommunicationPolicies.SemanticTypeIri",
    "Principal": "principal-communications-manager",
    "TargetField": "CommunicationPolicies.SemanticTypeIri",
    "CanRead": true,
    "CanWrite": false,
    "MaskStrategy": "plain",
    "SemanticTypeIri": "urn:effortless:pko-extension#FieldGrant",
    "Name": "principal-communications-manager -&gt; CommunicationPolicies.SemanticTypeIri",
    "FieldTable": "CommunicationPolicies",
    "FieldName": "SemanticTypeIri",
    "FieldIsDerived": false,
    "IsWritableDerivedField": false,
    "IsMasked": false,
    "GrantKeyWhenReadable": "principal-communications-manager|CommunicationPolicies"
   },
   {
    "FieldGrantId": "fg-communications-manager-MessageTemplates.MessageTemplateId",
    "Principal": "principal-communications-manager",
    "TargetField": "MessageTemplates.MessageTemplateId",
    "CanRead": true,
    "CanWrite": false,
    "MaskStrategy": "plain",
    "SemanticTypeIri": "urn:effortless:pko-extension#FieldGrant",
    "Name": "principal-communications-manager -&gt; MessageTemplates.MessageTemplateId",
    "FieldTable": "MessageTemplates",
    "FieldName": "MessageTemplateId",
    "FieldIsDerived": false,
    "IsWritableDerivedField": false,
    "IsMasked": false,
    "GrantKeyWhenReadable": "principal-communications-manager|MessageTemplates"
   },
   {
    "FieldGrantId": "fg-communications-manager-MessageTemplates.SubjectTemplate",
    "Principal": "principal-communications-manager",
    "TargetField": "MessageTemplates.SubjectTemplate",
    "CanRead": true,
    "CanWrite": false,
    "MaskStrategy": "plain",
    "SemanticTypeIri": "urn:effortless:pko-extension#FieldGrant",
    "Name": "principal-communications-manager -&gt; MessageTemplates.SubjectTemplate",
    "FieldTable": "MessageTemplates",
    "FieldName": "SubjectTemplate",
    "FieldIsDerived": false,
    "IsWritableDerivedField": false,
    "IsMasked": false,
    "GrantKeyWhenReadable": "principal-communications-manager|MessageTemplates"
   },
   {
    "FieldGrantId": "fg-communications-manager-MessageTemplates.BodyTemplate",
    "Principal": "principal-communications-manager",
    "TargetField": "MessageTemplates.BodyTemplate",
    "CanRead": true,
    "CanWrite": false,
    "MaskStrategy": "plain",
    "SemanticTypeIri": "urn:effortless:pko-extension#FieldGrant",
    "Name": "principal-communications-manager -&gt; MessageTemplates.BodyTemplate",
    "FieldTable": "MessageTemplates",
    "FieldName": "BodyTemplate",
    "FieldIsDerived": false,
    "IsWritableDerivedField": false,
    "IsMasked": false,
    "GrantKeyWhenReadable": "principal-communications-manager|MessageTemplates"
   },
   {
    "FieldGrantId": "fg-communications-manager-MessageTemplates.Locale",
    "Principal": "principal-communications-manager",
    "TargetField": "MessageTemplates.Locale",
    "CanRead": true,
    "CanWrite": false,
    "MaskStrategy": "plain",
    "SemanticTypeIri": "urn:effortless:pko-extension#FieldGrant",
    "Name": "principal-communications-manager -&gt; MessageTemplates.Locale",
    "FieldTable": "MessageTemplates",
    "FieldName": "Locale",
    "FieldIsDerived": false,
    "IsWritableDerivedField": false,
    "IsMasked": false,
    "GrantKeyWhenReadable": "principal-communications-manager|MessageTemplates"
   },
   {
    "FieldGrantId": "fg-communications-manager-MessageTemplates.Status",
    "Principal": "principal-communications-manager",
    "TargetField": "MessageTemplates.Status",
    "CanRead": true,
    "CanWrite": false,
    "MaskStrategy": "plain",
    "SemanticTypeIri": "urn:effortless:pko-extension#FieldGrant",
    "Name": "principal-communications-manager -&gt; MessageTemplates.Status",
    "FieldTable": "MessageTemplates",
    "FieldName": "Status",
    "FieldIsDerived": false,
    "IsWritableDerivedField": false,
    "IsMasked": false,
    "GrantKeyWhenReadable": "principal-communications-manager|MessageTemplates"
   },
   {
    "FieldGrantId": "fg-communications-manager-MessageTemplates.LastValidApproval",
    "Principal": "principal-communications-manager",
    "TargetField": "MessageTemplates.LastValidApproval",
    "CanRead": true,
    "CanWrite": false,
    "MaskStrategy": "plain",
    "SemanticTypeIri": "urn:effortless:pko-extension#FieldGrant",
    "Name": "principal-communications-manager -&gt; MessageTemplates.LastValidApproval",
    "FieldTable": "MessageTemplates",
    "FieldName": "LastValidApproval",
    "FieldIsDerived": false,
    "IsWritableDerivedField": false,
    "IsMasked": false,
    "GrantKeyWhenReadable": "principal-communications-manager|MessageTemplates"
   },
   {
    "FieldGrantId": "fg-communications-manager-MessageTemplates.Name",
    "Principal": "principal-communications-manager",
    "TargetField": "MessageTemplates.Name",
    "CanRead": true,
    "CanWrite": false,
    "MaskStrategy": "plain",
    "SemanticTypeIri": "urn:effortless:pko-extension#FieldGrant",
    "Name"</t>
  </si>
  <si>
    <t xml:space="preserve">: "principal-communications-manager -&gt; MessageTemplates.Name",
    "FieldTable": "MessageTemplates",
    "FieldName": "Name",
    "FieldIsDerived": true,
    "IsWritableDerivedField": false,
    "IsMasked": false,
    "GrantKeyWhenReadable": "principal-communications-manager|MessageTemplates"
   },
   {
    "FieldGrantId": "fg-communications-manager-SendIntents.SendIntentId",
    "Principal": "principal-communications-manager",
    "TargetField": "SendIntents.SendIntentId",
    "CanRead": true,
    "CanWrite": false,
    "MaskStrategy": "plain",
    "SemanticTypeIri": "urn:effortless:pko-extension#FieldGrant",
    "Name": "principal-communications-manager -&gt; SendIntents.SendIntentId",
    "FieldTable": "SendIntents",
    "FieldName": "SendIntentId",
    "FieldIsDerived": false,
    "IsWritableDerivedField": false,
    "IsMasked": false,
    "GrantKeyWhenReadable": "principal-communications-manager|SendIntents"
   },
   {
    "FieldGrantId": "fg-communications-manager-SendIntents.ProposedBody",
    "Principal": "principal-communications-manager",
    "TargetField": "SendIntents.ProposedBody",
    "CanRead": true,
    "CanWrite": false,
    "MaskStrategy": "plain",
    "SemanticTypeIri": "urn:effortless:pko-extension#FieldGrant",
    "Name": "principal-communications-manager -&gt; SendIntents.ProposedBody",
    "FieldTable": "SendIntents",
    "FieldName": "ProposedBody",
    "FieldIsDerived": false,
    "IsWritableDerivedField": false,
    "IsMasked": false,
    "GrantKeyWhenReadable": "principal-communications-manager|SendIntents"
   },
   {
    "FieldGrantId": "fg-communications-manager-SendIntents.ProposedSendAtLocalHour",
    "Principal": "principal-communications-manager",
    "TargetField": "SendIntents.ProposedSendAtLocalHour",
    "CanRead": true,
    "CanWrite": false,
    "MaskStrategy": "plain",
    "SemanticTypeIri": "urn:effortless:pko-extension#FieldGrant",
    "Name": "principal-communications-manager -&gt; SendIntents.ProposedSendAtLocalHour",
    "FieldTable": "SendIntents",
    "FieldName": "ProposedSendAtLocalHour",
    "FieldIsDerived": false,
    "IsWritableDerivedField": false,
    "IsMasked": false,
    "GrantKeyWhenReadable": "principal-communications-manager|SendIntents"
   },
   {
    "FieldGrantId": "fg-communications-manager-SendIntents.EvaluatedAt",
    "Principal": "principal-communications-manager",
    "TargetField": "SendIntents.EvaluatedAt",
    "CanRead": true,
    "CanWrite": false,
    "MaskStrategy": "plain",
    "SemanticTypeIri": "urn:effortless:pko-extension#FieldGrant",
    "Name": "principal-communications-manager -&gt; SendIntents.EvaluatedAt",
    "FieldTable": "SendIntents",
    "FieldName": "EvaluatedAt",
    "FieldIsDerived": false,
    "IsWritableDerivedField": false,
    "IsMasked": false,
    "GrantKeyWhenReadable": "principal-communications-manager|SendIntents"
   },
   {
    "FieldGrantId": "fg-communications-manager-SendIntents.MessageTemplate",
    "Principal": "principal-communications-manager",
    "TargetField": "SendIntents.MessageTemplate",
    "CanRead": true,
    "CanWrite": false,
    "MaskStrategy": "plain",
    "SemanticTypeIri": "urn:effortless:pko-extension#FieldGrant",
    "Name": "principal-communications-manager -&gt; SendIntents.MessageTemplate",
    "FieldTable": "SendIntents",
    "FieldName": "MessageTemplate",
    "FieldIsDerived": false,
    "IsWritableDerivedField": false,
    "IsMasked": false,
    "GrantKeyWhenReadable": "principal-communications-manager|SendIntents"
   },
   {
    "FieldGrantId": "fg-communications-manager-SendIntents.Recipient",
    "Principal": "principal-communications-manager",
    "TargetField": "SendIntents.Recipient",
    "CanRead": true,
    "CanWrite": false,
    "MaskStrategy": "plain",
    "SemanticTypeIri": "urn:effortless:pko-extension#FieldGrant",
    "Name": "principal-communications-manager -&gt; SendIntents.Recipient",
    "FieldTable": "SendIntents",
    "FieldName": "Recipient",
    "FieldIsDerived": false,
    "IsWritableDerivedField": false,
    "IsMasked": false,
    "GrantKeyWhenReadable": "principal-communications-manager|SendIntents"
   },
   {
    "FieldGrantId": "fg-communications-manager-SendIntents.Name",
    "Principal": "principal-communications-manager",
    "TargetField": "SendIntents.Name",
    "CanRead": true,
    "CanWrite": false,
    "MaskStrategy": "plain",
    "SemanticTypeIri": "urn:effortless:pko-extension#FieldGrant",
    "Name": "principal-communications-manager -&gt; SendIntents.Name",
    "FieldTable": "SendIntents",
    "FieldName": "Name",
    "FieldIsDerived": true,
    "IsWritableDerivedField": false,
    "IsMasked": false,
    "GrantKeyWhenReadable": "principal-communications-manager|SendIntents"
   },
   {
    "FieldGrantId": "fg-communications-manager-MessageDeliveries.MessageDeliveryId",
    "Principal": "principal-communications-manager",
    "TargetField": "MessageDeliveries.MessageDeliveryId",
    "CanRead": true,
    "CanWrite": false,
    "MaskStrategy": "plain",
    "SemanticTypeIri": "urn:effortless:pko-extension#FieldGrant",
    "Name": "principal-communications-manager -&gt; MessageDeliveries.MessageDeliveryId",
    "FieldTable": "MessageDeliveries",
    "FieldName": "MessageDeliveryId",
    "FieldIsDerived": false,
    "IsWritableDerivedField": false,
    "IsMasked": false,
    "GrantKeyWhenReadable": "principal-communications-manager|MessageDeliveries"
   },
   {
    "FieldGrantId": "fg-communications-manager-MessageDeliveries.RenderedBody",
    "Principal": "principal-communications-manager",
    "TargetField": "MessageDeliveries.RenderedBody",
    "CanRead": true,
    "CanWrite": false,
    "MaskStrategy": "plain",
    "SemanticTypeIri": "urn:effortless:pko-extension#FieldGrant",
    "Name": "principal-communications-manager -&gt; MessageDeliveries.RenderedBody",
    "FieldTable": "MessageDeliveries",
    "FieldName": "RenderedBody",
    "FieldIsDerived": false,
    "IsWritableDerivedField": false,
    "IsMasked": false,
    "GrantKeyWhenReadable": "principal-communications-manager|MessageDeliveries"
   },
   {
    "FieldGrantId": "fg-communications-manager-MessageDeliveries.SentAt",
    "Principal": "principal-communications-manager",
    "TargetField": "MessageDeliveries.SentAt",
    "CanRead": true,
    "CanWrite": false,
    "MaskStrategy": "plain",
    "SemanticTypeIri": "urn:effortless:pko-extension#FieldGrant",
    "Name": "principal-communications-manager -&gt; MessageDeliveries.SentAt",
    "FieldTable": "MessageDeliveries",
    "FieldName": "SentAt",
    "FieldIsDerived": false,
    "IsWritableDerivedField": false,
    "IsMasked": false,
    "GrantKeyWhenReadable": "principal-communications-manager|MessageDeliveries"
   },
   {
    "FieldGrantId": "fg-communications-manager-MessageDeliveries.DeliveryStatus",
    "Principal": "principal-communications-manager",
    "TargetField": "MessageDeliveries.DeliveryStatus",
    "CanRead": true,
    "CanWrite": false,
    "MaskStrategy": "plain",
    "SemanticTypeIri": "urn:effortless:pko-extension#FieldGrant",
    "Name": "principal-communications-manager -&gt; MessageDeliveries.DeliveryStatus",
    "FieldTable": "MessageDeliveries",
    "FieldName": "DeliveryStatus",
    "FieldIsDerived": false,
    "IsWritableDerivedField": false,
    "IsMasked": false,
    "GrantKeyWhenReadable": "principal-communications-manager|MessageDeliveries"
   },
   {
    "FieldGrantId": "fg-communications-manager-MessageDeliveries.SuppressionReason",
    "Principal": "principal-communications-manager",
    "TargetField": "MessageDeliveries.SuppressionReason",
    "CanRead": true,
    "CanWrite": false,
    "MaskStrategy": "plain",
    "SemanticTypeIri": "urn:effortless:pko-extension#FieldGrant",
    "Name": "principal-communications-manager -&gt; MessageDeliveries.SuppressionReason",
    "FieldTable": "MessageDeliveries",
    "FieldName": "SuppressionReason",
    "FieldIsDerived": false,
    "IsWritableDerivedField": false,
    "IsMasked": false,
    "GrantKeyWhenReadable": "principal-communications-manager|MessageDeliveries"
   },
   {
    "FieldGrantId": "fg-communications-manager-MessageDeliveries.AcknowledgedAt",
    "Principal": "principal-communications-manager",
    "TargetField": "MessageDeliveries.AcknowledgedAt",
    "CanRead": true,
    "CanWrite": false,
    "MaskStrategy": "plain",
    "SemanticTypeIri": "urn:effortless:pko-extension#FieldGrant",
    "Name": "principal-communications-manager -&gt; MessageDeliveries.AcknowledgedAt",
    "FieldTable": "MessageDeliveries",
    "FieldName": "AcknowledgedAt",
    "FieldIsDerived": false,
    "IsWritableDerivedField": false,
    "IsMasked": false,
    "GrantKeyWhenReadable": "principal-communications-manager|MessageDeliveries"
   },
   {
    "FieldGrantId": "fg-communications-manager-MessageDeliveries.Recipient",
    "Principal": "principal-communications-manager",
    "TargetField": "MessageDeliveries.Recipient",
    "CanRead": true,
    "CanWrite": false,
    "MaskStrategy": "plain",
    "SemanticTypeIri": "urn:effortless:pko-extension#FieldGrant",
    "Name": "principal-communications-manager -&gt; MessageDeliveries.Recipient",
    "FieldTable": "MessageDeliveries",
    "FieldName": "Recipient",
    "FieldIsDerived": false,
    "IsWritableDerivedField": false,
    "IsMasked": false,
    "GrantKeyWhenReadable": "principal-communications-manager|MessageDeliveries"
   },
   {
    "FieldGrantId": "fg-communications-manager-MessageDeliveries.Name",
    "Principal": "principal-communications-manager",
    "TargetField": "MessageDeliveries.Name",
    "CanRead": true,
    "CanWrite": false,
    "MaskStrategy": "plain",
    "SemanticTypeIri": "urn:effortless:pko-extension#FieldGrant",
    "Name": "principal-communications-manager -&gt; MessageDeliveries.Name",
    "FieldTable": "MessageDeliveries",
    "FieldName": "Name",
    "FieldIsDerived": true,
    "IsWritableDerivedField": false,
    "IsMasked": false,
    "GrantKeyWhenReadable": "principal-communications-manager|MessageDeliveries"
   },
   {
    "FieldGrantId": "fg-communications-manager-Recipients.RecipientId",
    "Principal": "principal-communications-manager",
    "TargetField": "Recipients.RecipientId",
    "CanRead": true,
    "CanWrite": false,
    "MaskStrategy": "plain",
    "SemanticTypeIri": "urn:effortless:pko-extension#FieldGrant",
    "Name": "principal-communications-manager -&gt; Recipients.RecipientId",
    "FieldTable": "Recipients",
    "FieldName": "RecipientId",
    "FieldIsDerived": false,
    "IsWritableDerivedField": false,
    "IsMasked": false,
    "GrantKeyWhenReadable": "principal-communications-manager|Recipients"
   },
   {
    "FieldGrantId": "fg-communications-manager-Recipients.DisplayName",
    "Principal": "principal-communications-manager",
    "TargetField": "Recipients.DisplayName",
    "CanRead": true,
    "CanWrite": false,
    "MaskStrategy": "plain",
    "SemanticTypeIri": "urn:effortless:pko-extension#FieldGrant",
    "Name": "principal-communications-manager -&gt; Recipients.DisplayName",
    "FieldTable": "Recipients",
    "FieldName": "DisplayName",
    "FieldIsDerived": false,
    "IsWritableDerivedField": false,
    "IsMasked": false,
    "GrantKeyWhenReadable": "principal-communications-manager|Recipients"
   },
   {
    "FieldGrantId": "fg-communications-manager-Recipients.EmailAddress",
    "Principal": "principal-communications-manager",
    "TargetField": "Recipients.EmailAddress",
    "CanRead": true,
    "CanWrite": false,
    "MaskStrategy": "plain",
    "SemanticTypeIri": "urn:effortless:pko-extension#FieldGrant",
    "Name": "principal-communications-manager -&gt; Recipients.EmailAddress",
    "FieldTable": "Recipients",
    "FieldName": "EmailAddress",
    "FieldIsDerived": false,
    "IsWritableDerivedField": false,
    "IsMasked": false,
    "GrantKeyWhenReadable": "principal-communications-manager|Recipients"
   },
   {
    "FieldGrantId": "fg-communications-manager-Recipients.SmsConsentStatus",
    "Principal": "principal-communications-manager",
    "TargetField": "Recipients.SmsConsentStatus",
    "CanRead": true,
    "CanWrite": false,
    "MaskStrategy": "plain",
    "SemanticTypeIri": "urn:effortless:pko-extension#FieldGrant",
    "Name": "principal-communications-manager -&gt; Recipients.SmsConsentStatus",
    "FieldTable": "Recipients",
    "FieldName": "SmsConsentStatus",
    "FieldIsDerived": false,
    "IsWritableDerivedField": false,
    "IsMasked": false,
    "GrantKeyWhenReadable": "principal-communications-manager|Recipients"
   },
   {
    "FieldGrantId": "fg-communications-manager-Recipients.SmsConsentAt",
    "Principal": "principal-communications-manager",
    "TargetField": "Recipients.SmsConsentAt",
    "CanRead": true,
    "CanWrite": false,
    "MaskStrategy": "plain",
    "SemanticTypeIri": "urn:effortless:pko-extension#FieldGrant",
    "Name": "principal-communications-manager -&gt; Recipients.SmsConsentAt",
    "FieldTable": "Recipients",
    "FieldName": "SmsConsentAt",
    "FieldIsDerived": false,
    "IsWritableDerivedField": false,
    "IsMasked": false,
    "GrantKeyWhenReadable": "principal-communications-manager|Recipients"
   },
   {
    "FieldGrantId": "fg-communications-manager-Recipients.Name",
    "Principal": "principal-communications-manager",
    "TargetField": "Recipients.Name",
    "CanRead": true,
    "CanWrite": false,
    "MaskStrategy": "plain",
    "SemanticTypeIri": "urn:effortless:pko-extension#FieldGrant",
    "Name": "principal-communications-manager -&gt; Recipients.Name",
    "FieldTable": "Recipients",
    "FieldName": "Name",
    "FieldIsDerived": true,
    "IsWritableDerivedField": false,
    "IsMasked": false,
    "GrantKeyWhenReadable": "principal-communications-manager|Recipients"
   },
   {
    "FieldGrantId": "fg-communications-manager-KnowledgeGaps.KnowledgeGapId",
    "Principal": "principal-communications-manager",
    "TargetField": "KnowledgeGaps.KnowledgeGapId",
    "CanRead": true,
    "CanWrite": false,
    "MaskStrategy": "plain",
    "SemanticTypeIri": "urn:effortless:pko-extension#FieldGrant",
    "Name": "principal-communications-manager -&gt; KnowledgeGaps.KnowledgeGapId",
    "FieldTable": "KnowledgeGaps",
    "FieldName": "KnowledgeGapId",
    "FieldIsDerived": false,
    "IsWritableDerivedField": false,
    "IsMasked": false,
    "GrantKeyWhenReadable": "principal-communications-manager|KnowledgeGaps"
   },
   {
    "FieldGrantId": "fg-communications-manager-KnowledgeGaps.Statement",
    "Principal": "principal-communications-manager",
    "TargetField": "KnowledgeGaps.Statement",
    "CanRead": true,
    "CanWrite": false,
    "MaskStrategy": "plain",
    "SemanticTypeIri": "urn:effortless:pko-extension#FieldGrant",
    "Name": "principal-communications-manager -&gt; KnowledgeGaps.Statement",
    "FieldTable": "KnowledgeGaps",
    "FieldName": "Statement",
    "FieldIsDerived": false,
    "IsWritableDerivedField": false,
    "IsMasked": false,
    "GrantKeyWhenReadable": "principal-communications-manager|KnowledgeGaps"
   },
   {
    "FieldGrantId": "fg-communications-manager-KnowledgeGaps.Severity",
    "Principal": "principal-communications-manager",
    "TargetField": "KnowledgeGaps.Severity",
    "CanRead": true,
    "CanWrite": false,
    "MaskStrategy": "plain",
    "SemanticTypeIri": "urn:effortless:pko-extension#FieldGrant",
    "Name": "principal-communications-manager -&gt; KnowledgeGaps.Severity",
    "FieldTable": "KnowledgeGaps",
    "FieldName": "Severity",
    "FieldIsDerived": false,
    "IsWritableDerivedField": false,
    "IsMasked": false,
    "GrantKeyWhenReadable": "principal-communications-manager|KnowledgeGaps"
   },
   {
    "FieldGrantId": "fg-communications-manager-KnowledgeGaps.Status",
    "Principal": "principal-communications-manager",
    "TargetField": "KnowledgeGaps.Status",
    "CanRead": true,
    "CanWrite": false,
    "MaskStrategy": "plain",
    "SemanticTypeIri": "urn:effortless:pko-extension#FieldGrant",
    "Name": "principal-communications-manager -&gt; KnowledgeGaps.Status",
    "FieldTable": "KnowledgeGaps",
    "FieldName": "Status",
    "FieldIsDerived": false,
    "IsWritableDerivedField": false,
    "IsMasked": false,
    "GrantKeyWhenReadable": "principal-communications-manager|KnowledgeGaps"
   },
   {
    "FieldGrantId": "fg-communications-manager-KnowledgeGaps.OwnerRole",
    "Principal": "principal-communications-manager",
    "TargetField": "KnowledgeGaps.OwnerRole",
    "CanRead": true,
    "CanWrite": false,
    "MaskStrategy": "plain",
    "SemanticTypeIri": "urn:effortless:pko-extension#FieldGrant",
    "Name": "principal-communications-manager -&gt; KnowledgeGaps.OwnerRole",
    "FieldTable": "KnowledgeGaps",
    "FieldName": "OwnerRole",
    "FieldIsDerived": false,
    "IsWritableDerivedField": false,
    "IsMasked": false,
    "GrantKeyWhenReadable": "principal-communications-manager|KnowledgeGaps"
   },
   {
    "FieldGrantId": "fg-communications-manager-KnowledgeGaps.IsOpen",
    "Principal": "principal-communications-manager",
    "TargetField": "KnowledgeGaps.IsOpen",
    "CanRead": true,
    "CanWrite": false,
    "MaskStrategy": "plain",
    "SemanticTypeIri": "urn:effortless:pko-extension#FieldGrant",
    "Name": "principal-communications-manager -&gt; KnowledgeGaps.IsOpen",
    "FieldTable": "KnowledgeGaps",
    "FieldName": "IsOpen",
    "FieldIsDerived": true,
    "IsWritableDerivedField": false,
    "IsMasked": false,
    "GrantKeyWhenReadable": "principal-communications-manager|KnowledgeGaps"
   },
   {
    "FieldGrantId": "fg-communications-manager-KnowledgeGaps.Name",
    "Principal": "principal-communications-manager",
    "TargetField": "KnowledgeGaps.Name",
    "CanRead": true,
    "CanWrite": false,
    "MaskStrategy": "plain",
    "SemanticTypeIri": "urn:effortless:pko-extension#FieldGrant",
    "Name": "principal-communications-manager -&gt; KnowledgeGaps.Name",
    "FieldTable": "KnowledgeGaps",
    "FieldName": "Name",
    "FieldIsDerived": true,
    "IsWritableDerivedField": false,
    "IsMasked": false,
    "GrantKeyWhenReadable": "principal-communications-manager|KnowledgeGaps"
   },
   {
    "FieldGrantId": "fg-close-automation-Steps.StepId",
    "Principal": "principal-close-automation",
    "TargetField": "Steps.StepId",
    "CanRead": true,
    "CanWrite": false,
    "MaskStrategy": "plain",
    "SemanticTypeIri": "urn:effortless:pko-extension#FieldGrant",
    "Name": "principal-close-automation -&gt; Steps.StepId",
    "FieldTable": "Steps",
    "FieldName": "StepId",
    "FieldIsDerived": false,
    "IsWritableDerivedField": false,
    "IsMasked": false,
    "GrantKeyWhenReadable": "principal-close-automation|Steps"
   },
   {
    "FieldGrantId": "fg-close-automation-Steps.StepNumber",
    "Principal": "principal-close-automation",
    "TargetField": "Steps.StepNumber",
    "CanRead": true,
    "CanWrite": false,
    "MaskStrategy": "plain",
    "SemanticTypeIri": "urn:effortless:pko-extension#FieldGrant",
    "Name": "principal-close-automation -&gt; Steps.StepNumber",
    "FieldTable": "Steps",
    "FieldName": "StepNumber",
    "FieldIsDerived": false,
    "IsWritableDerivedField": false,
    "IsMasked": false,
    "GrantKeyWhenReadable": "principal-close-automation|Steps"
   },
   {
    "FieldGrantId": "fg-close-automation-Steps.Title",
    "Principal": "principal-close-automation",
    "TargetField": "Steps.Title",
    "CanRead": true,
    "CanWrite": false,
    "MaskStrategy": "plain",
    "SemanticTypeIri": "urn:effortless:pko-extension#FieldGrant",
    "Name": "principal-close-automation -&gt; Steps.Title",
    "FieldTable": "Steps",
    "FieldName": "Title",
    "FieldIsDerived": false,
    "IsWritableDerivedField": false,
    "IsMasked": false,
    "GrantKeyWhenReadable": "principal-close-automation|Steps"
   },
   {
    "FieldGrantId": "fg-close-automation-Steps.StepKind",
    "Principal": "principal-close-automation",
    "TargetField": "Steps.StepKind",
    "CanRead": true,
    "CanWrite": false,
    "MaskStrategy": "plain",
    "SemanticTypeIri": "urn:effortless:pko-extension#FieldGrant",
    "Name": "principal-close-automation -&gt; Steps.StepKind",
    "FieldTable": "Steps",
    "FieldName": "StepKind",
    "FieldIsDerived": false,
    "IsWritableDerivedField": false,
    "IsMasked": false,
    "GrantKeyWhenReadable": "principal-close-automation|Steps"
   },
   {
    "FieldGrantId": "fg-close-automation-Steps.Instruction",
    "Principal": "principal-close-automation",
    "TargetField": "Steps.Instruction",
    "CanRead": true,
    "CanWrite": false,
    "MaskStrategy": "plain",
    "SemanticTypeIri": "urn:effortless:pko-extension#FieldGrant",
    "Name": "principal-close-automation -&gt; Steps.Instruction",
    "FieldTable": "Steps",
    "FieldName": "Instruction",
    "FieldIsDerived": false,
    "IsWritableDerivedField": false,
    "IsMasked": false,
    "GrantKeyWhenReadable": "principal-close-automation|Steps"
   },
   {
    "FieldGrantId": "fg-close-automation-Steps.AssignedRole",
    "Principal": "principal-close-automation",
    "TargetField": "Steps.AssignedRole",
    "CanRead": true,
    "CanWrite": false,
    "MaskStrategy": "plain",
    "SemanticTypeIri": "urn:effortless:pko-extension#FieldGrant",
    "Name": "principal-close-automation -&gt; Steps.AssignedRole",
    "FieldTable": "Steps",
    "FieldName": "AssignedRole",
    "FieldIsDerived": false,
    "IsWritableDerivedField": false,
    "IsMasked": false,
    "GrantKeyWhenReadable": "principal-close-automation|Steps"
   },
   {
    "FieldGrantId": "fg-close-automation-Steps.AssignedRoleLabel",
    "Principal": "principal-close-automation",
    "TargetField": "Steps.AssignedRoleLabel",
    "CanRead": true,
    "CanWrite": false,
    "MaskStrategy": "plain",
    "SemanticTypeIri": "urn:effortless:pko-extension#FieldGrant",
    "Name": "principal-close-automation -&gt; Steps.AssignedRoleLabel",
    "FieldTable": "Steps",
    "FieldName": "AssignedRoleLabel",
    "FieldIsDerived": true,
    "IsWritableDerivedField": false,
    "IsMasked": false,
    "GrantKeyWhenReadable": "principal-close-automation|Steps"
   },
   {
    "FieldGrantId": "fg-close-automation-Steps.ProcedureVersion",
    "Principal": "principal-close-automation",
    "TargetField": "Steps.ProcedureVersion",
    "CanRead": true,
    "CanWrite": false,
    "MaskStrategy": "plain",
    "SemanticTypeIri": "urn:effortless:pko-extension#FieldGrant",
    "Name": "principal-close-automation -&gt; Steps.ProcedureVersion",
    "FieldTable": "Steps",
    "FieldName": "ProcedureVersion",
    "FieldIsDerived": false,
    "IsWritableDerivedField": false,
    "IsMasked": false,
    "GrantKeyWhenReadable": "principal-close-automation|Steps"
   },
   {
    "FieldGrantId": "fg-close-automation-Steps.Name",
    "Principal": "principal-close-automation",
    "TargetField": "Steps.Name",
    "CanRead": true,
    "CanWrite": false,
    "MaskStrategy": "plain",
    "SemanticTypeIri": "urn:effortless:pko-extension#FieldGrant",
    "Name": "principal-close-automation -&gt; Steps.Name",
    "FieldTable": "Steps",
    "FieldName": "Name",
    "FieldIsDerived": true,
    "IsWritableDerivedField": false,
    "IsMasked": false,
    "GrantKeyWhenReadable": "principal-close-automation|Steps"
   },
   {
    "FieldGrantId": "fg-close-automation-Steps.ExpectedDurationMinutes",
    "Principal": "principal-close-automation",
    "TargetField": "Steps.ExpectedDurationMinutes",
    "CanRead": true,
    "CanWrite": false,
    "MaskStrategy": "plain",
    "SemanticTypeIri": "urn:effortless:pko-extension#FieldGrant",
    "Name": "principal-close-automation -&gt; Steps.ExpectedDurationMinutes",
    "FieldTable": "Steps",
    "FieldName": "ExpectedDurationMinutes",
    "FieldIsDerived": false,
    "IsWritableDerivedField": false,
    "IsMasked": false,
    "GrantKeyWhenReadable": "principal-close-automation|Steps"
   },
   {
    "FieldGrantId": "fg-close-automation-StepExecutions.StepExecutionId",
    "Principal": "principal-close-automation",
    "TargetField": "StepExecutions.StepExecutionId",
    "CanRead": true,
    "CanWrite": false,
    "MaskStrategy": "plain",
    "SemanticTypeIri": "urn:effortless:pko-extension#FieldGrant",
    "Name": "principal-close-automation -&gt; StepExecutions.StepExecutionId",
    "FieldTable": "StepExecutions",
    "FieldName": "StepExecutionId",
    "FieldIsDerived": false,
    "IsWritableDerivedField": false,
    "IsMasked": false,
    "GrantKeyWhenReadable": "principal-close-automation|StepExecutions"
   },
   {
    "FieldGrantId": "fg-close-automation-StepExecutions.Step",
    "Principal": "principal-close-automation",
    "TargetField": "StepExecutions.Step",
    "CanRead": true,
    "CanWrite": false,
    "MaskStrategy": "plain",
    "SemanticTypeIri": "urn:effortless:pko-extension#FieldGrant",
    "Name": "principal-close-automation -&gt; StepExecutions.Step",
    "FieldTable": "StepExecutions",
    "FieldName": "Step",
    "FieldIsDerived": false,
    "IsWritableDerivedField": false,
    "IsMasked": false,
    "GrantKeyWhenReadable": "principal-close-automation|StepExecutions"
   },
   {
    "FieldGrantId": "fg-close-automation-StepExecutions.ExecutionStatus",
    "Principal": "principal-close-automation",
    "TargetField": "StepExecutions.ExecutionStatus",
    "CanRead": true,
    "CanWrite": false,
    "MaskStrategy": "plain",
    "SemanticTypeIri": "urn:effortless:pko-extension#FieldGrant",
    "Name": "principal-close-automation -&gt; StepExecutions.ExecutionStatus",
    "FieldTable": "StepExecutions",
    "FieldName": "ExecutionStatus",
    "FieldIsDerived": false,
    "IsWritableDerivedField": false,
    "IsMasked": false,
    "GrantKeyWhenReadable": "principal-close-automation|StepExecutions"
   },
   {
    "FieldGrantId": "fg-close-automation-StepExecutions.StartedAt",
    "Principal": "principal-close-automation",
    "TargetField": "StepExecutions.StartedAt",
    "CanRead": true,
    "CanWrite": false,
    "MaskStrategy": "plain",
    "SemanticTypeIri": "urn:effortless:pko-extension#FieldGrant",
    "Name": "principal-close-automation -&gt; StepExecutions.StartedAt",
    "FieldTable": "StepExecutions",
    "FieldName": "StartedAt",
    "FieldIsDerived": false,
    "IsWritableDerivedField": false,
    "IsMasked": false,
    "GrantKeyWhenReadable": "principal-close-automation|StepExecutions"
   },
   {
    "FieldGrantId": "fg-close-automation-StepExecutions.EndedAt",
    "Principal": "principal-close-automation",
    "TargetField": "StepExecutions.EndedAt",
    "CanRead": true,
    "CanWrite": false,
    "MaskStrategy": "plain",
    "SemanticTypeIri": "urn:effortless:pko-extension#FieldGrant",
    "Name": "principal-close-automation -&gt; StepExecutions.EndedAt",
    "FieldTable": "StepExecutions",
    "FieldName": "EndedAt",
    "FieldIsDerived": false,
    "IsWritableDerivedField": false,
    "IsMasked": false,
    "GrantKeyWhenReadable": "principal-close-automation|StepExecutions"
   },
   {
    "FieldGrantId": "fg-close-automation-StepExecutions.VerificationResult",
    "Principal": "principal-close-automation",
    "TargetField": "StepExecutions.VerificationResult",
    "CanRead": true,
    "CanWrite": false,
    "MaskStrategy": "plain",
    "SemanticTypeIri": "urn:effortless:pko-extension#FieldGrant",
    "Name": "principal-close-automation -&gt; StepExecutions.VerificationResult",
    "FieldTable": "StepExecutions",
    "FieldName": "VerificationResult",
    "FieldIsDerived": false,
    "IsWritableDerivedField": false,
    "IsMasked": false,
    "GrantKeyWhenReadable": "principal-close-automation|StepExecutions"
   },
   {
    "FieldGrantId": "fg-close-automation-StepExecutions.Name",
    "Principal": "principal-close-automation",
    "TargetField": "StepExecutions.Name",
    "CanRead": true,
    "CanWrite": false,
    "MaskStrategy": "plain",
    "SemanticTypeIri": "urn:effortless:pko-extension#FieldGrant",
    "Name": "principal-close-automation -&gt; StepExecutions.Name",
    "FieldTable": "StepExecutions",
    "FieldName": "Name",
    "FieldIsDerived": true,
    "IsWritableDerivedField": false,
    "IsMasked": false,
    "GrantKeyWhenReadable": "principal-close-automation|StepExecutions"
   },
   {
    "FieldGrantId": "fg-close-automation-Errors.ErrorId",
    "Principal": "principal-close-automation",
    "TargetField": "Errors.ErrorId",
    "CanRead": true,
    "CanWrite": false,
    "MaskStrategy": "plain",
    "SemanticTypeIri": "urn:effortless:pko-extension#FieldGrant",
    "Name": "principal-close-automation -&gt; Errors.ErrorId",
    "FieldTable": "Errors",
    "FieldName": "ErrorId",
    "FieldIsDerived": false,
    "IsWritableDerivedField": false,
    "IsMasked": false,
    "GrantKeyWhenReadable": "principal-close-automation|Errors"
   },
   {
    "FieldGrantId": "fg-close-automation-Errors.Name",
    "Principal": "principal-close-automation",
    "TargetField": "Errors.Name",
    "CanRead": true,
    "CanWrite": false,
    "MaskStrategy": "plain",
    "SemanticTypeIri": "urn:effortless:pko-extension#FieldGrant",
    "Name": "principal-close-automation -&gt; Errors.Name",
    "FieldTable": "Errors",
    "FieldName": "Name",
    "FieldIsDerived": true,
    "IsWritableDerivedField": false,
    "IsMasked": false,
    "GrantKeyWhenReadable": "principal-close-automation|Errors"
   },
   {
    "FieldGrantId": "fg-close-automation-Errors.Label",
    "Principal": "principal-close-automation",
    "TargetField": "Errors.Label",
    "CanRead": true,
    "CanWrite": false,
    "MaskStrategy": "plain",
    "SemanticTypeIri": "urn:effortless:pko-extension#FieldGrant",
    "Name": "principal-close-automation -&gt; Errors.Label",
    "FieldTable": "Errors",
    "FieldName": "Label",
    "FieldIsDerived": false,
    "IsWritableDerivedField": false,
    "IsMasked": false,
    "GrantKeyWhenReadable": "principal-close-automation|Errors"
   },
   {
    "FieldGrantId": "fg-close-automation-Errors.ErrorCode",
    "Principal": "principal-close-automation",
    "TargetField": "Errors.ErrorCode",
    "CanRead": true,
    "CanWrite": false,
    "MaskStrategy": "plain",
    "SemanticTypeIri": "urn:effortless:pko-extension#FieldGrant",
    "Name": "principal-close-automation -&gt; Errors.ErrorCode",
    "FieldTable": "Errors",
    "FieldName": "ErrorCode",
    "FieldIsDerived": false,
    "IsWritableDerivedField": false,
    "IsMasked": false,
    "GrantKeyWhenReadable": "principal-close-automation|Errors"
   },
   {
    "FieldGrantId": "fg-close-automation-Errors.ErrorCause",
    "Principal": "principal-close-automation",
    "TargetField": "Errors.ErrorCause",
    "CanRead": true,
    "CanWrite": false,
    "MaskStrategy": "plain",
    "SemanticTypeIri": "urn:effortless:pko-extension#FieldGrant",
    "Name": "principal-close-automation -&gt; Errors.ErrorCause",
    "FieldTable": "Errors",
    "FieldName": "ErrorCause",
    "FieldIsDerived": false,
    "IsWritableDerivedField": false,
    "IsMasked": false,
    "GrantKeyWhenReadable": "principal-close-automation|Errors"
   },
   {
    "FieldGrantId": "fg-close-automation-Errors.SemanticTypeIri",
    "Principal": "principal-close-automation",
    "TargetField": "Errors.SemanticTypeIri",
    "CanRead": true,
    "CanWrite": false,
    "MaskStrategy": "plain",
    "SemanticTypeIri": "urn:effortless:pko-extension#FieldGrant",
    "Name": "principal-close-automation -&gt; Errors.SemanticTypeIri",
    "FieldTable": "Errors",
    "FieldName": "SemanticTypeIri",
    "FieldIsDerived": false,
    "IsWritableDerivedField": false,
    "IsMasked": false,
    "GrantKeyWhenReadable": "principal-close-automation|Errors"
   },
   {
    "FieldGrantId": "fg-variance-review-agent-Steps.StepId",
    "Principal": "principal-variance-review-agent",
    "TargetField": "Steps.StepId",
    "CanRead": true,
    "CanWrite": false,
    "MaskStrategy": "plain",
    "SemanticTypeIri": "urn:effortless:pko-extension#FieldGrant",
    "Name": "principal-variance-review-agent -&gt; Steps.StepId",
    "FieldTable": "Steps",
    "FieldName": "StepId",
    "FieldIsDerived": false,
    "IsWritableDerivedField": false,
    "IsMasked": false,
    "GrantKeyWhenReadable": "principal-variance-review-agent|Steps"
   },
   {
    "FieldGrantId": "fg-variance-review-agent-Steps.StepNumber",
    "Principal": "principal-variance-review-agent",
    "TargetField": "Steps.StepNumber",
    "CanRead": true,
    "CanWrite": false,
    "MaskStrategy": "plain",
    "SemanticTypeIri": "urn:effortless:pko-extension#FieldGrant",
    "Name": "principal-variance-review-agent -&gt; Steps.StepNumber",
    "FieldTable": "Steps",
    "FieldName": "StepNumber",
    "FieldIsDerived": false,
    "IsWritableDerivedField": false,
    "IsMasked": false,
    "GrantKeyWhenReadable": "principal-variance-review-agent|Steps"
   },
   {
    "FieldGrantId": "fg-variance-review-agent-Steps.Title",
    "Principal": "principal-variance-review-ag</t>
  </si>
  <si>
    <t xml:space="preserve">ent",
    "TargetField": "Steps.Title",
    "CanRead": true,
    "CanWrite": false,
    "MaskStrategy": "plain",
    "SemanticTypeIri": "urn:effortless:pko-extension#FieldGrant",
    "Name": "principal-variance-review-agent -&gt; Steps.Title",
    "FieldTable": "Steps",
    "FieldName": "Title",
    "FieldIsDerived": false,
    "IsWritableDerivedField": false,
    "IsMasked": false,
    "GrantKeyWhenReadable": "principal-variance-review-agent|Steps"
   },
   {
    "FieldGrantId": "fg-variance-review-agent-Steps.StepKind",
    "Principal": "principal-variance-review-agent",
    "TargetField": "Steps.StepKind",
    "CanRead": true,
    "CanWrite": false,
    "MaskStrategy": "plain",
    "SemanticTypeIri": "urn:effortless:pko-extension#FieldGrant",
    "Name": "principal-variance-review-agent -&gt; Steps.StepKind",
    "FieldTable": "Steps",
    "FieldName": "StepKind",
    "FieldIsDerived": false,
    "IsWritableDerivedField": false,
    "IsMasked": false,
    "GrantKeyWhenReadable": "principal-variance-review-agent|Steps"
   },
   {
    "FieldGrantId": "fg-variance-review-agent-Steps.Instruction",
    "Principal": "principal-variance-review-agent",
    "TargetField": "Steps.Instruction",
    "CanRead": true,
    "CanWrite": false,
    "MaskStrategy": "plain",
    "SemanticTypeIri": "urn:effortless:pko-extension#FieldGrant",
    "Name": "principal-variance-review-agent -&gt; Steps.Instruction",
    "FieldTable": "Steps",
    "FieldName": "Instruction",
    "FieldIsDerived": false,
    "IsWritableDerivedField": false,
    "IsMasked": false,
    "GrantKeyWhenReadable": "principal-variance-review-agent|Steps"
   },
   {
    "FieldGrantId": "fg-variance-review-agent-Steps.AssignedRole",
    "Principal": "principal-variance-review-agent",
    "TargetField": "Steps.AssignedRole",
    "CanRead": true,
    "CanWrite": false,
    "MaskStrategy": "plain",
    "SemanticTypeIri": "urn:effortless:pko-extension#FieldGrant",
    "Name": "principal-variance-review-agent -&gt; Steps.AssignedRole",
    "FieldTable": "Steps",
    "FieldName": "AssignedRole",
    "FieldIsDerived": false,
    "IsWritableDerivedField": false,
    "IsMasked": false,
    "GrantKeyWhenReadable": "principal-variance-review-agent|Steps"
   },
   {
    "FieldGrantId": "fg-variance-review-agent-Steps.AssignedRoleLabel",
    "Principal": "principal-variance-review-agent",
    "TargetField": "Steps.AssignedRoleLabel",
    "CanRead": true,
    "CanWrite": false,
    "MaskStrategy": "plain",
    "SemanticTypeIri": "urn:effortless:pko-extension#FieldGrant",
    "Name": "principal-variance-review-agent -&gt; Steps.AssignedRoleLabel",
    "FieldTable": "Steps",
    "FieldName": "AssignedRoleLabel",
    "FieldIsDerived": true,
    "IsWritableDerivedField": false,
    "IsMasked": false,
    "GrantKeyWhenReadable": "principal-variance-review-agent|Steps"
   },
   {
    "FieldGrantId": "fg-variance-review-agent-Steps.ProcedureVersion",
    "Principal": "principal-variance-review-agent",
    "TargetField": "Steps.ProcedureVersion",
    "CanRead": true,
    "CanWrite": false,
    "MaskStrategy": "plain",
    "SemanticTypeIri": "urn:effortless:pko-extension#FieldGrant",
    "Name": "principal-variance-review-agent -&gt; Steps.ProcedureVersion",
    "FieldTable": "Steps",
    "FieldName": "ProcedureVersion",
    "FieldIsDerived": false,
    "IsWritableDerivedField": false,
    "IsMasked": false,
    "GrantKeyWhenReadable": "principal-variance-review-agent|Steps"
   },
   {
    "FieldGrantId": "fg-variance-review-agent-Steps.Name",
    "Principal": "principal-variance-review-agent",
    "TargetField": "Steps.Name",
    "CanRead": true,
    "CanWrite": false,
    "MaskStrategy": "plain",
    "SemanticTypeIri": "urn:effortless:pko-extension#FieldGrant",
    "Name": "principal-variance-review-agent -&gt; Steps.Name",
    "FieldTable": "Steps",
    "FieldName": "Name",
    "FieldIsDerived": true,
    "IsWritableDerivedField": false,
    "IsMasked": false,
    "GrantKeyWhenReadable": "principal-variance-review-agent|Steps"
   },
   {
    "FieldGrantId": "fg-variance-review-agent-StepExecutions.StepExecutionId",
    "Principal": "principal-variance-review-agent",
    "TargetField": "StepExecutions.StepExecutionId",
    "CanRead": true,
    "CanWrite": false,
    "MaskStrategy": "plain",
    "SemanticTypeIri": "urn:effortless:pko-extension#FieldGrant",
    "Name": "principal-variance-review-agent -&gt; StepExecutions.StepExecutionId",
    "FieldTable": "StepExecutions",
    "FieldName": "StepExecutionId",
    "FieldIsDerived": false,
    "IsWritableDerivedField": false,
    "IsMasked": false,
    "GrantKeyWhenReadable": "principal-variance-review-agent|StepExecutions"
   },
   {
    "FieldGrantId": "fg-variance-review-agent-StepExecutions.Step",
    "Principal": "principal-variance-review-agent",
    "TargetField": "StepExecutions.Step",
    "CanRead": true,
    "CanWrite": false,
    "MaskStrategy": "plain",
    "SemanticTypeIri": "urn:effortless:pko-extension#FieldGrant",
    "Name": "principal-variance-review-agent -&gt; StepExecutions.Step",
    "FieldTable": "StepExecutions",
    "FieldName": "Step",
    "FieldIsDerived": false,
    "IsWritableDerivedField": false,
    "IsMasked": false,
    "GrantKeyWhenReadable": "principal-variance-review-agent|StepExecutions"
   },
   {
    "FieldGrantId": "fg-variance-review-agent-StepExecutions.ExecutionStatus",
    "Principal": "principal-variance-review-agent",
    "TargetField": "StepExecutions.ExecutionStatus",
    "CanRead": true,
    "CanWrite": false,
    "MaskStrategy": "plain",
    "SemanticTypeIri": "urn:effortless:pko-extension#FieldGrant",
    "Name": "principal-variance-review-agent -&gt; StepExecutions.ExecutionStatus",
    "FieldTable": "StepExecutions",
    "FieldName": "ExecutionStatus",
    "FieldIsDerived": false,
    "IsWritableDerivedField": false,
    "IsMasked": false,
    "GrantKeyWhenReadable": "principal-variance-review-agent|StepExecutions"
   },
   {
    "FieldGrantId": "fg-variance-review-agent-StepExecutions.StartedAt",
    "Principal": "principal-variance-review-agent",
    "TargetField": "StepExecutions.StartedAt",
    "CanRead": true,
    "CanWrite": false,
    "MaskStrategy": "plain",
    "SemanticTypeIri": "urn:effortless:pko-extension#FieldGrant",
    "Name": "principal-variance-review-agent -&gt; StepExecutions.StartedAt",
    "FieldTable": "StepExecutions",
    "FieldName": "StartedAt",
    "FieldIsDerived": false,
    "IsWritableDerivedField": false,
    "IsMasked": false,
    "GrantKeyWhenReadable": "principal-variance-review-agent|StepExecutions"
   },
   {
    "FieldGrantId": "fg-variance-review-agent-StepExecutions.EndedAt",
    "Principal": "principal-variance-review-agent",
    "TargetField": "StepExecutions.EndedAt",
    "CanRead": true,
    "CanWrite": false,
    "MaskStrategy": "plain",
    "SemanticTypeIri": "urn:effortless:pko-extension#FieldGrant",
    "Name": "principal-variance-review-agent -&gt; StepExecutions.EndedAt",
    "FieldTable": "StepExecutions",
    "FieldName": "EndedAt",
    "FieldIsDerived": false,
    "IsWritableDerivedField": false,
    "IsMasked": false,
    "GrantKeyWhenReadable": "principal-variance-review-agent|StepExecutions"
   },
   {
    "FieldGrantId": "fg-variance-review-agent-StepExecutions.VerificationResult",
    "Principal": "principal-variance-review-agent",
    "TargetField": "StepExecutions.VerificationResult",
    "CanRead": true,
    "CanWrite": false,
    "MaskStrategy": "plain",
    "SemanticTypeIri": "urn:effortless:pko-extension#FieldGrant",
    "Name": "principal-variance-review-agent -&gt; StepExecutions.VerificationResult",
    "FieldTable": "StepExecutions",
    "FieldName": "VerificationResult",
    "FieldIsDerived": false,
    "IsWritableDerivedField": false,
    "IsMasked": false,
    "GrantKeyWhenReadable": "principal-variance-review-agent|StepExecutions"
   },
   {
    "FieldGrantId": "fg-variance-review-agent-StepExecutions.Name",
    "Principal": "principal-variance-review-agent",
    "TargetField": "StepExecutions.Name",
    "CanRead": true,
    "CanWrite": false,
    "MaskStrategy": "plain",
    "SemanticTypeIri": "urn:effortless:pko-extension#FieldGrant",
    "Name": "principal-variance-review-agent -&gt; StepExecutions.Name",
    "FieldTable": "StepExecutions",
    "FieldName": "Name",
    "FieldIsDerived": true,
    "IsWritableDerivedField": false,
    "IsMasked": false,
    "GrantKeyWhenReadable": "principal-variance-review-agent|StepExecutions"
   },
   {
    "FieldGrantId": "fg-variance-review-agent-StepExecutions.Deviation",
    "Principal": "principal-variance-review-agent",
    "TargetField": "StepExecutions.Deviation",
    "CanRead": true,
    "CanWrite": false,
    "MaskStrategy": "plain",
    "SemanticTypeIri": "urn:effortless:pko-extension#FieldGrant",
    "Name": "principal-variance-review-agent -&gt; StepExecutions.Deviation",
    "FieldTable": "StepExecutions",
    "FieldName": "Deviation",
    "FieldIsDerived": false,
    "IsWritableDerivedField": false,
    "IsMasked": false,
    "GrantKeyWhenReadable": "principal-variance-review-agent|StepExecutions"
   },
   {
    "FieldGrantId": "fg-variance-review-agent-StepExecutions.IsLate",
    "Principal": "principal-variance-review-agent",
    "TargetField": "StepExecutions.IsLate",
    "CanRead": true,
    "CanWrite": false,
    "MaskStrategy": "plain",
    "SemanticTypeIri": "urn:effortless:pko-extension#FieldGrant",
    "Name": "principal-variance-review-agent -&gt; StepExecutions.IsLate",
    "FieldTable": "StepExecutions",
    "FieldName": "IsLate",
    "FieldIsDerived": true,
    "IsWritableDerivedField": false,
    "IsMasked": false,
    "GrantKeyWhenReadable": "principal-variance-review-agent|StepExecutions"
   },
   {
    "FieldGrantId": "fg-variance-review-agent-Requirements.RequirementId",
    "Principal": "principal-variance-review-agent",
    "TargetField": "Requirements.RequirementId",
    "CanRead": true,
    "CanWrite": false,
    "MaskStrategy": "plain",
    "SemanticTypeIri": "urn:effortless:pko-extension#FieldGrant",
    "Name": "principal-variance-review-agent -&gt; Requirements.RequirementId",
    "FieldTable": "Requirements",
    "FieldName": "RequirementId",
    "FieldIsDerived": false,
    "IsWritableDerivedField": false,
    "IsMasked": false,
    "GrantKeyWhenReadable": "principal-variance-review-agent|Requirements"
   },
   {
    "FieldGrantId": "fg-variance-review-agent-Requirements.Label",
    "Principal": "principal-variance-review-agent",
    "TargetField": "Requirements.Label",
    "CanRead": true,
    "CanWrite": false,
    "MaskStrategy": "plain",
    "SemanticTypeIri": "urn:effortless:pko-extension#FieldGrant",
    "Name": "principal-variance-review-agent -&gt; Requirements.Label",
    "FieldTable": "Requirements",
    "FieldName": "Label",
    "FieldIsDerived": false,
    "IsWritableDerivedField": false,
    "IsMasked": false,
    "GrantKeyWhenReadable": "principal-variance-review-agent|Requirements"
   },
   {
    "FieldGrantId": "fg-variance-review-agent-Requirements.RequirementType",
    "Principal": "principal-variance-review-agent",
    "TargetField": "Requirements.RequirementType",
    "CanRead": true,
    "CanWrite": false,
    "MaskStrategy": "plain",
    "SemanticTypeIri": "urn:effortless:pko-extension#FieldGrant",
    "Name": "principal-variance-review-agent -&gt; Requirements.RequirementType",
    "FieldTable": "Requirements",
    "FieldName": "RequirementType",
    "FieldIsDerived": false,
    "IsWritableDerivedField": false,
    "IsMasked": false,
    "GrantKeyWhenReadable": "principal-variance-review-agent|Requirements"
   },
   {
    "FieldGrantId": "fg-variance-review-agent-Requirements.Statement",
    "Principal": "principal-variance-review-agent",
    "TargetField": "Requirements.Statement",
    "CanRead": true,
    "CanWrite": false,
    "MaskStrategy": "plain",
    "SemanticTypeIri": "urn:effortless:pko-extension#FieldGrant",
    "Name": "principal-variance-review-agent -&gt; Requirements.Statement",
    "FieldTable": "Requirements",
    "FieldName": "Statement",
    "FieldIsDerived": false,
    "IsWritableDerivedField": false,
    "IsMasked": false,
    "GrantKeyWhenReadable": "principal-variance-review-agent|Requirements"
   },
   {
    "FieldGrantId": "fg-variance-review-agent-Requirements.IsBlocking",
    "Principal": "principal-variance-review-agent",
    "TargetField": "Requirements.IsBlocking",
    "CanRead": true,
    "CanWrite": false,
    "MaskStrategy": "plain",
    "SemanticTypeIri": "urn:effortless:pko-extension#FieldGrant",
    "Name": "principal-variance-review-agent -&gt; Requirements.IsBlocking",
    "FieldTable": "Requirements",
    "FieldName": "IsBlocking",
    "FieldIsDerived": false,
    "IsWritableDerivedField": false,
    "IsMasked": false,
    "GrantKeyWhenReadable": "principal-variance-review-agent|Requirements"
   },
   {
    "FieldGrantId": "fg-variance-review-agent-Requirements.Name",
    "Principal": "principal-variance-review-agent",
    "TargetField": "Requirements.Name",
    "CanRead": true,
    "CanWrite": false,
    "MaskStrategy": "plain",
    "SemanticTypeIri": "urn:effortless:pko-extension#FieldGrant",
    "Name": "principal-variance-review-agent -&gt; Requirements.Name",
    "FieldTable": "Requirements",
    "FieldName": "Name",
    "FieldIsDerived": true,
    "IsWritableDerivedField": false,
    "IsMasked": false,
    "GrantKeyWhenReadable": "principal-variance-review-agent|Requirements"
   },
   {
    "FieldGrantId": "fg-variance-review-agent-RequirementSatisfactions.RequirementSatisfactionId",
    "Principal": "principal-variance-review-agent",
    "TargetField": "RequirementSatisfactions.RequirementSatisfactionId",
    "CanRead": true,
    "CanWrite": false,
    "MaskStrategy": "plain",
    "SemanticTypeIri": "urn:effortless:pko-extension#FieldGrant",
    "Name": "principal-variance-review-agent -&gt; RequirementSatisfactions.RequirementSatisfactionId",
    "FieldTable": "RequirementSatisfactions",
    "FieldName": "RequirementSatisfactionId",
    "FieldIsDerived": false,
    "IsWritableDerivedField": false,
    "IsMasked": false,
    "GrantKeyWhenReadable": "principal-variance-review-agent|RequirementSatisfactions"
   },
   {
    "FieldGrantId": "fg-variance-review-agent-RequirementSatisfactions.Requirement",
    "Principal": "principal-variance-review-agent",
    "TargetField": "RequirementSatisfactions.Requirement",
    "CanRead": true,
    "CanWrite": false,
    "MaskStrategy": "plain",
    "SemanticTypeIri": "urn:effortless:pko-extension#FieldGrant",
    "Name": "principal-variance-review-agent -&gt; RequirementSatisfactions.Requirement",
    "FieldTable": "RequirementSatisfactions",
    "FieldName": "Requirement",
    "FieldIsDerived": false,
    "IsWritableDerivedField": false,
    "IsMasked": false,
    "GrantKeyWhenReadable": "principal-variance-review-agent|RequirementSatisfactions"
   },
   {
    "FieldGrantId": "fg-variance-review-agent-RequirementSatisfactions.SatisfactionLevel",
    "Principal": "principal-variance-review-agent",
    "TargetField": "RequirementSatisfactions.SatisfactionLevel",
    "CanRead": true,
    "CanWrite": false,
    "MaskStrategy": "plain",
    "SemanticTypeIri": "urn:effortless:pko-extension#FieldGrant",
    "Name": "principal-variance-review-agent -&gt; RequirementSatisfactions.SatisfactionLevel",
    "FieldTable": "RequirementSatisfactions",
    "FieldName": "SatisfactionLevel",
    "FieldIsDerived": false,
    "IsWritableDerivedField": false,
    "IsMasked": false,
    "GrantKeyWhenReadable": "principal-variance-review-agent|RequirementSatisfactions"
   },
   {
    "FieldGrantId": "fg-variance-review-agent-RequirementSatisfactions.Evidence",
    "Principal": "principal-variance-review-agent",
    "TargetField": "RequirementSatisfactions.Evidence",
    "CanRead": true,
    "CanWrite": false,
    "MaskStrategy": "plain",
    "SemanticTypeIri": "urn:effortless:pko-extension#FieldGrant",
    "Name": "principal-variance-review-agent -&gt; RequirementSatisfactions.Evidence",
    "FieldTable": "RequirementSatisfactions",
    "FieldName": "Evidence",
    "FieldIsDerived": false,
    "IsWritableDerivedField": false,
    "IsMasked": false,
    "GrantKeyWhenReadable": "principal-variance-review-agent|RequirementSatisfactions"
   },
   {
    "FieldGrantId": "fg-variance-review-agent-RequirementSatisfactions.Name",
    "Principal": "principal-variance-review-agent",
    "TargetField": "RequirementSatisfactions.Name",
    "CanRead": true,
    "CanWrite": false,
    "MaskStrategy": "plain",
    "SemanticTypeIri": "urn:effortless:pko-extension#FieldGrant",
    "Name": "principal-variance-review-agent -&gt; RequirementSatisfactions.Name",
    "FieldTable": "RequirementSatisfactions",
    "FieldName": "Name",
    "FieldIsDerived": true,
    "IsWritableDerivedField": false,
    "IsMasked": false,
    "GrantKeyWhenReadable": "principal-variance-review-agent|RequirementSatisfactions"
   },
   {
    "FieldGrantId": "fg-variance-review-agent-Errors.ErrorId",
    "Principal": "principal-variance-review-agent",
    "TargetField": "Errors.ErrorId",
    "CanRead": true,
    "CanWrite": false,
    "MaskStrategy": "plain",
    "SemanticTypeIri": "urn:effortless:pko-extension#FieldGrant",
    "Name": "principal-variance-review-agent -&gt; Errors.ErrorId",
    "FieldTable": "Errors",
    "FieldName": "ErrorId",
    "FieldIsDerived": false,
    "IsWritableDerivedField": false,
    "IsMasked": false,
    "GrantKeyWhenReadable": "principal-variance-review-agent|Errors"
   },
   {
    "FieldGrantId": "fg-variance-review-agent-Errors.Name",
    "Principal": "principal-variance-review-agent",
    "TargetField": "Errors.Name",
    "CanRead": true,
    "CanWrite": false,
    "MaskStrategy": "plain",
    "SemanticTypeIri": "urn:effortless:pko-extension#FieldGrant",
    "Name": "principal-variance-review-agent -&gt; Errors.Name",
    "FieldTable": "Errors",
    "FieldName": "Name",
    "FieldIsDerived": true,
    "IsWritableDerivedField": false,
    "IsMasked": false,
    "GrantKeyWhenReadable": "principal-variance-review-agent|Errors"
   },
   {
    "FieldGrantId": "fg-variance-review-agent-Errors.Label",
    "Principal": "principal-variance-review-agent",
    "TargetField": "Errors.Label",
    "CanRead": true,
    "CanWrite": false,
    "MaskStrategy": "plain",
    "SemanticTypeIri": "urn:effortless:pko-extension#FieldGrant",
    "Name": "principal-variance-review-agent -&gt; Errors.Label",
    "FieldTable": "Errors",
    "FieldName": "Label",
    "FieldIsDerived": false,
    "IsWritableDerivedField": false,
    "IsMasked": false,
    "GrantKeyWhenReadable": "principal-variance-review-agent|Errors"
   },
   {
    "FieldGrantId": "fg-variance-review-agent-Errors.ErrorCode",
    "Principal": "principal-variance-review-agent",
    "TargetField": "Errors.ErrorCode",
    "CanRead": true,
    "CanWrite": false,
    "MaskStrategy": "plain",
    "SemanticTypeIri": "urn:effortless:pko-extension#FieldGrant",
    "Name": "principal-variance-review-agent -&gt; Errors.ErrorCode",
    "FieldTable": "Errors",
    "FieldName": "ErrorCode",
    "FieldIsDerived": false,
    "IsWritableDerivedField": false,
    "IsMasked": false,
    "GrantKeyWhenReadable": "principal-variance-review-agent|Errors"
   },
   {
    "FieldGrantId": "fg-variance-review-agent-Errors.ErrorCause",
    "Principal": "principal-variance-review-agent",
    "TargetField": "Errors.ErrorCause",
    "CanRead": true,
    "CanWrite": false,
    "MaskStrategy": "plain",
    "SemanticTypeIri": "urn:effortless:pko-extension#FieldGrant",
    "Name": "principal-variance-review-agent -&gt; Errors.ErrorCause",
    "FieldTable": "Errors",
    "FieldName": "ErrorCause",
    "FieldIsDerived": false,
    "IsWritableDerivedField": false,
    "IsMasked": false,
    "GrantKeyWhenReadable": "principal-variance-review-agent|Errors"
   },
   {
    "FieldGrantId": "fg-variance-review-agent-Errors.SemanticTypeIri",
    "Principal": "principal-variance-review-agent",
    "TargetField": "Errors.SemanticTypeIri",
    "CanRead": true,
    "CanWrite": false,
    "MaskStrategy": "plain",
    "SemanticTypeIri": "urn:effortless:pko-extension#FieldGrant",
    "Name": "principal-variance-review-agent -&gt; Errors.SemanticTypeIri",
    "FieldTable": "Errors",
    "FieldName": "SemanticTypeIri",
    "FieldIsDerived": false,
    "IsWritableDerivedField": false,
    "IsMasked": false,
    "GrantKeyWhenReadable": "principal-variance-review-agent|Errors"
   },
   {
    "FieldGrantId": "fg-policy-drafting-agent-MessageTemplates.MessageTemplateId",
    "Principal": "principal-policy-drafting-agent",
    "TargetField": "MessageTemplates.MessageTemplateId",
    "CanRead": true,
    "CanWrite": false,
    "MaskStrategy": "plain",
    "SemanticTypeIri": "urn:effortless:pko-extension#FieldGrant",
    "Name": "principal-policy-drafting-agent -&gt; MessageTemplates.MessageTemplateId",
    "FieldTable": "MessageTemplates",
    "FieldName": "MessageTemplateId",
    "FieldIsDerived": false,
    "IsWritableDerivedField": false,
    "IsMasked": false,
    "GrantKeyWhenReadable": "principal-policy-drafting-agent|MessageTemplates"
   },
   {
    "FieldGrantId": "fg-policy-drafting-agent-MessageTemplates.SubjectTemplate",
    "Principal": "principal-policy-drafting-agent",
    "TargetField": "MessageTemplates.SubjectTemplate",
    "CanRead": true,
    "CanWrite": false,
    "MaskStrategy": "plain",
    "SemanticTypeIri": "urn:effortless:pko-extension#FieldGrant",
    "Name": "principal-policy-drafting-agent -&gt; MessageTemplates.SubjectTemplate",
    "FieldTable": "MessageTemplates",
    "FieldName": "SubjectTemplate",
    "FieldIsDerived": false,
    "IsWritableDerivedField": false,
    "IsMasked": false,
    "GrantKeyWhenReadable": "principal-policy-drafting-agent|MessageTemplates"
   },
   {
    "FieldGrantId": "fg-policy-drafting-agent-MessageTemplates.BodyTemplate",
    "Principal": "principal-policy-drafting-agent",
    "TargetField": "MessageTemplates.BodyTemplate",
    "CanRead": true,
    "CanWrite": false,
    "MaskStrategy": "plain",
    "SemanticTypeIri": "urn:effortless:pko-extension#FieldGrant",
    "Name": "principal-policy-drafting-agent -&gt; MessageTemplates.BodyTemplate",
    "FieldTable": "MessageTemplates",
    "FieldName": "BodyTemplate",
    "FieldIsDerived": false,
    "IsWritableDerivedField": false,
    "IsMasked": false,
    "GrantKeyWhenReadable": "principal-policy-drafting-agent|MessageTemplates"
   },
   {
    "FieldGrantId": "fg-policy-drafting-agent-MessageTemplates.Locale",
    "Principal": "principal-policy-drafting-agent",
    "TargetField": "MessageTemplates.Locale",
    "CanRead": true,
    "CanWrite": false,
    "MaskStrategy": "plain",
    "SemanticTypeIri": "urn:effortless:pko-extension#FieldGrant",
    "Name": "principal-policy-drafting-agent -&gt; MessageTemplates.Locale",
    "FieldTable": "MessageTemplates",
    "FieldName": "Locale",
    "FieldIsDerived": false,
    "IsWritableDerivedField": false,
    "IsMasked": false,
    "GrantKeyWhenReadable": "principal-policy-drafting-agent|MessageTemplates"
   },
   {
    "FieldGrantId": "fg-policy-drafting-agent-MessageTemplates.Status",
    "Principal": "principal-policy-drafting-agent",
    "TargetField": "MessageTemplates.Status",
    "CanRead": true,
    "CanWrite": false,
    "MaskStrategy": "plain",
    "SemanticTypeIri": "urn:effortless:pko-extension#FieldGrant",
    "Name": "principal-policy-drafting-agent -&gt; MessageTemplates.Status",
    "FieldTable": "MessageTemplates",
    "FieldName": "Status",
    "FieldIsDerived": false,
    "IsWritableDerivedField": false,
    "IsMasked": false,
    "GrantKeyWhenReadable": "principal-policy-drafting-agent|MessageTemplates"
   },
   {
    "FieldGrantId": "fg-policy-drafting-agent-MessageTemplates.Name",
    "Principal": "principal-policy-drafting-agent",
    "TargetField": "MessageTemplates.Name",
    "CanRead": true,
    "CanWrite": false,
    "MaskStrategy": "plain",
    "SemanticTypeIri": "urn:effortless:pko-extension#FieldGrant",
    "Name": "principal-policy-drafting-agent -&gt; MessageTemplates.Name",
    "FieldTable": "MessageTemplates",
    "FieldName": "Name",
    "FieldIsDerived": true,
    "IsWritableDerivedField": false,
    "IsMasked": false,
    "GrantKeyWhenReadable": "principal-policy-drafting-agent|MessageTemplates"
   },
   {
    "FieldGrantId": "fg-policy-drafting-agent-CommunicationPolicies.CommunicationPolicyId",
    "Principal": "principal-policy-drafting-agent",
    "TargetField": "CommunicationPolicies.CommunicationPolicyId",
    "CanRead": true,
    "CanWrite": false,
    "MaskStrategy": "plain",
    "SemanticTypeIri": "urn:effortless:pko-extension#FieldGrant",
    "Name": "principal-policy-drafting-agent -&gt; CommunicationPolicies.CommunicationPolicyId",
    "FieldTable": "CommunicationPolicies",
    "FieldName": "CommunicationPolicyId",
    "FieldIsDerived": false,
    "IsWritableDerivedField": false,
    "IsMasked": false,
    "GrantKeyWhenReadable": "principal-policy-drafting-agent|CommunicationPolicies"
   },
   {
    "FieldGrantId": "fg-policy-drafting-agent-CommunicationPolicies.Channel",
    "Principal": "principal-policy-drafting-agent",
    "TargetField": "CommunicationPolicies.Channel",
    "CanRead": true,
    "CanWrite": false,
    "MaskStrategy": "plain",
    "SemanticTypeIri": "urn:effortless:pko-extension#FieldGrant",
    "Name": "principal-policy-drafting-agent -&gt; CommunicationPolicies.Channel",
    "FieldTable": "CommunicationPolicies",
    "FieldName": "Channel",
    "FieldIsDerived": false,
    "IsWritableDerivedField": false,
    "IsMasked": false,
    "GrantKeyWhenReadable": "principal-policy-drafting-agent|CommunicationPolicies"
   },
   {
    "FieldGrantId": "fg-policy-drafting-agent-CommunicationPolicies.AudienceRule",
    "Principal": "principal-policy-drafting-agent",
    "TargetField": "CommunicationPolicies.AudienceRule",
    "CanRead": true,
    "CanWrite": false,
    "MaskStrategy": "plain",
    "SemanticTypeIri": "urn:effortless:pko-extension#FieldGrant",
    "Name": "principal-policy-drafting-agent -&gt; CommunicationPolicies.AudienceRule",
    "FieldTable": "CommunicationPolicies",
    "FieldName": "AudienceRule",
    "FieldIsDerived": false,
    "IsWritableDerivedField": false,
    "IsMasked": false,
    "GrantKeyWhenReadable": "principal-policy-drafting-agent|CommunicationPolicies"
   },
   {
    "FieldGrantId": "fg-policy-drafting-agent-CommunicationPolicies.MaxMessageLength",
    "Principal": "principal-policy-drafting-agent",
    "TargetField": "CommunicationPolicies.MaxMessageLength",
    "CanRead": true,
    "CanWrite": false,
    "MaskStrategy": "plain",
    "SemanticTypeIri": "urn:effortless:pko-extension#FieldGrant",
    "Name": "principal-policy-drafting-agent -&gt; CommunicationPolicies.MaxMessageLength",
    "FieldTable": "CommunicationPolicies",
    "FieldName": "MaxMessageLength",
    "FieldIsDerived": false,
    "IsWritableDerivedField": false,
    "IsMasked": false,
    "GrantKeyWhenReadable": "principal-policy-drafting-agent|CommunicationPolicies"
   },
   {
    "FieldGrantId": "fg-policy-drafting-agent-CommunicationPolicies.MaxSegments",
    "Principal": "principal-policy-drafting-agent",
    "TargetField": "CommunicationPolicies.MaxSegments",
    "CanRead": true,
    "CanWrite": false,
    "MaskStrategy": "plain",
    "SemanticTypeIri": "urn:effortless:pko-extension#FieldGrant",
    "Name": "principal-policy-drafting-agent -&gt; CommunicationPolicies.MaxSegments",
    "FieldTable": "CommunicationPolicies",
    "FieldName": "MaxSegments",
    "FieldIsDerived": false,
    "IsWritableDerivedField": false,
    "IsMasked": false,
    "GrantKeyWhenReadable": "principal-policy-drafting-agent|CommunicationPolicies"
   },
   {
    "FieldGrantId": "fg-policy-drafting-agent-CommunicationPolicies.RequiredContent",
    "Principal": "principal-policy-drafting-agent",
    "TargetField": "CommunicationPolicies.RequiredContent",
    "CanRead": true,
    "CanWrite": false,
    "MaskStrategy": "plain",
    "SemanticTypeIri": "urn:effortless:pko-extension#FieldGrant",
    "Name": "principal-policy-drafting-agent -&gt; CommunicationPolicies.RequiredContent",
    "FieldTable": "CommunicationPolicies",
    "FieldName": "RequiredContent",
    "FieldIsDerived": false,
    "IsWritableDerivedField": false,
    "IsMasked": false,
    "GrantKeyWhenReadable": "principal-policy-drafting-agent|CommunicationPolicies"
   },
   {
    "FieldGrantId": "fg-policy-drafting-agent-CommunicationPolicies.AuthorityStatement",
    "Principal": "principal-policy-drafting-agent",
    "TargetField": "CommunicationPolicies.AuthorityStatement",
    "CanRead": true,
    "CanWrite": false,
    "MaskStrategy": "plain",
    "SemanticTypeIri": "urn:effortless:pko-extension#FieldGrant",
    "Name": "principal-policy-drafting-agent -&gt; CommunicationPolicies.AuthorityStatement",
    "FieldTable": "CommunicationPolicies",
    "FieldName": "AuthorityStatement",
    "FieldIsDerived": false,
    "IsWritableDerivedField": false,
    "IsMasked": false,
    "GrantKeyWhenReadable": "principal-policy-drafting-agent|CommunicationPolicies"
   },
   {
    "FieldGrantId": "fg-policy-drafting-agent-CommunicationPolicies.Status",
    "Principal": "principal-policy-drafting-agent",
    "TargetField": "CommunicationPolicies.Status",
    "CanRead": true,
    "CanWrite": false,
    "MaskStrategy": "plain",
    "SemanticTypeIri": "urn:effortless:pko-extension#FieldGrant",
    "Name": "principal-policy-drafting-agent -&gt; CommunicationPolicies.Status",
    "FieldTable": "CommunicationPolicies",
    "FieldName": "Status",
    "FieldIsDerived": false,
    "IsWritableDerivedField": false,
    "IsMasked": false,
    "GrantKeyWhenReadable": "principal-policy-drafting-agent|CommunicationPolicies"
   },
   {
    "FieldGrantId": "fg-policy-drafting-agent-CommunicationPolicies.Name",
    "Principal": "principal-policy-drafting-agent",
    "TargetField": "CommunicationPolicies.Name",
    "CanRead": true,
    "CanWrite": false,
    "MaskStrategy": "plain",
    "SemanticTypeIri": "urn:effortless:pko-extension#FieldGrant",
    "Name": "principal-policy-drafting-agent -&gt; CommunicationPolicies.Name",
    "FieldTable": "CommunicationPolicies",
    "FieldName": "Name",
    "FieldIsDerived": true,
    "IsWritableDerivedField": false,
    "IsMasked": false,
    "GrantKeyWhenReadable": "principal-policy-drafting-agent|CommunicationPolicies"
   },
   {
    "FieldGrantId": "fg-policy-drafting-agent-KnowledgeFragments.KnowledgeFragmentId",
    "Principal": "principal-policy-drafting-agent",
    "TargetField": "KnowledgeFragments.KnowledgeFragmentId",
    "CanRead": true,
    "CanWrite": false,
    "MaskStrategy": "plain",
    "SemanticTypeIri": "urn:effortless:pko-extension#FieldGrant",
    "Name": "principal-policy-drafting-agent -&gt; KnowledgeFragments.KnowledgeFragmentId",
    "FieldTable": "KnowledgeFragments",
    "FieldName": "KnowledgeFragmentId",
    "FieldIsDerived": false,
    "IsWritableDerivedField": false,
    "IsMasked": false,
    "GrantKeyWhenReadable": "principal-policy-drafting-agent|KnowledgeFragments"
   },
   {
    "FieldGrantId": "fg-policy-drafting-agent-KnowledgeFragments.Statement",
    "Principal": "principal-policy-drafting-agent",
    "TargetField": "KnowledgeFragments.Statement",
    "CanRead": true,
    "CanWrite": false,
    "MaskStrategy": "plain",
    "SemanticTypeIri": "urn:effortless:pko-extension#FieldGrant",
    "Name": "principal-policy-drafting-agent -&gt; KnowledgeFragments.Statement",
    "FieldTable": "KnowledgeFragments",
    "FieldName": "Statement",
    "FieldIsDerived": false,
    "IsWritableDerivedField": false,
    "IsMasked": false,
    "GrantKeyWhenReadable": "principal-policy-drafting-agent|KnowledgeFragments"
   },
   {
    "FieldGrantId": "fg-policy-drafting-agent-KnowledgeFragments.KnowledgeForm",
    "Principal": "principal-policy-drafting-agent",
    "TargetField": "KnowledgeFragments.KnowledgeForm",
    "CanRead": true,
    "CanWrite": false,
    "MaskStrategy": "plain",
    "SemanticTypeIri": "urn:effortless:pko-extension#FieldGrant",
    "Name": "principal-policy-drafting-agent -&gt; KnowledgeFragments.KnowledgeForm",
    "FieldTable": "KnowledgeFragments",
    "FieldName": "KnowledgeForm",
    "FieldIsDerived": false,
    "IsWritableDerivedField": false,
    "IsMasked": false,
    "GrantKeyWhenReadable": "principal-policy-drafting-agent|KnowledgeFragments"
   },
   {
    "FieldGrantId": "fg-policy-drafting-agent-KnowledgeFragments.Status",
    "Principal": "principal-policy-drafting-agent",
    "TargetField": "KnowledgeFragments.Status",
    "CanRead": true,
    "CanWrite": false,
    "MaskStrategy": "plain",
    "SemanticTypeIri": "urn:effortless:pko-extension#FieldGrant",
    "Name": "principal-policy-drafting-agent -&gt; KnowledgeFragments.Status",
    "FieldTa</t>
  </si>
  <si>
    <t xml:space="preserve">ble": "KnowledgeFragments",
    "FieldName": "Status",
    "FieldIsDerived": false,
    "IsWritableDerivedField": false,
    "IsMasked": false,
    "GrantKeyWhenReadable": "principal-policy-drafting-agent|KnowledgeFragments"
   },
   {
    "FieldGrantId": "fg-policy-drafting-agent-KnowledgeFragments.Name",
    "Principal": "principal-policy-drafting-agent",
    "TargetField": "KnowledgeFragments.Name",
    "CanRead": true,
    "CanWrite": false,
    "MaskStrategy": "plain",
    "SemanticTypeIri": "urn:effortless:pko-extension#FieldGrant",
    "Name": "principal-policy-drafting-agent -&gt; KnowledgeFragments.Name",
    "FieldTable": "KnowledgeFragments",
    "FieldName": "Name",
    "FieldIsDerived": true,
    "IsWritableDerivedField": false,
    "IsMasked": false,
    "GrantKeyWhenReadable": "principal-policy-drafting-agent|KnowledgeFragments"
   },
   {
    "FieldGrantId": "fg-policy-drafting-agent-Steps.StepId",
    "Principal": "principal-policy-drafting-agent",
    "TargetField": "Steps.StepId",
    "CanRead": true,
    "CanWrite": false,
    "MaskStrategy": "plain",
    "SemanticTypeIri": "urn:effortless:pko-extension#FieldGrant",
    "Name": "principal-policy-drafting-agent -&gt; Steps.StepId",
    "FieldTable": "Steps",
    "FieldName": "StepId",
    "FieldIsDerived": false,
    "IsWritableDerivedField": false,
    "IsMasked": false,
    "GrantKeyWhenReadable": "principal-policy-drafting-agent|Steps"
   },
   {
    "FieldGrantId": "fg-policy-drafting-agent-Steps.StepNumber",
    "Principal": "principal-policy-drafting-agent",
    "TargetField": "Steps.StepNumber",
    "CanRead": true,
    "CanWrite": false,
    "MaskStrategy": "plain",
    "SemanticTypeIri": "urn:effortless:pko-extension#FieldGrant",
    "Name": "principal-policy-drafting-agent -&gt; Steps.StepNumber",
    "FieldTable": "Steps",
    "FieldName": "StepNumber",
    "FieldIsDerived": false,
    "IsWritableDerivedField": false,
    "IsMasked": false,
    "GrantKeyWhenReadable": "principal-policy-drafting-agent|Steps"
   },
   {
    "FieldGrantId": "fg-policy-drafting-agent-Steps.Title",
    "Principal": "principal-policy-drafting-agent",
    "TargetField": "Steps.Title",
    "CanRead": true,
    "CanWrite": false,
    "MaskStrategy": "plain",
    "SemanticTypeIri": "urn:effortless:pko-extension#FieldGrant",
    "Name": "principal-policy-drafting-agent -&gt; Steps.Title",
    "FieldTable": "Steps",
    "FieldName": "Title",
    "FieldIsDerived": false,
    "IsWritableDerivedField": false,
    "IsMasked": false,
    "GrantKeyWhenReadable": "principal-policy-drafting-agent|Steps"
   },
   {
    "FieldGrantId": "fg-policy-drafting-agent-Steps.StepKind",
    "Principal": "principal-policy-drafting-agent",
    "TargetField": "Steps.StepKind",
    "CanRead": true,
    "CanWrite": false,
    "MaskStrategy": "plain",
    "SemanticTypeIri": "urn:effortless:pko-extension#FieldGrant",
    "Name": "principal-policy-drafting-agent -&gt; Steps.StepKind",
    "FieldTable": "Steps",
    "FieldName": "StepKind",
    "FieldIsDerived": false,
    "IsWritableDerivedField": false,
    "IsMasked": false,
    "GrantKeyWhenReadable": "principal-policy-drafting-agent|Steps"
   },
   {
    "FieldGrantId": "fg-policy-drafting-agent-Steps.Instruction",
    "Principal": "principal-policy-drafting-agent",
    "TargetField": "Steps.Instruction",
    "CanRead": true,
    "CanWrite": false,
    "MaskStrategy": "plain",
    "SemanticTypeIri": "urn:effortless:pko-extension#FieldGrant",
    "Name": "principal-policy-drafting-agent -&gt; Steps.Instruction",
    "FieldTable": "Steps",
    "FieldName": "Instruction",
    "FieldIsDerived": false,
    "IsWritableDerivedField": false,
    "IsMasked": false,
    "GrantKeyWhenReadable": "principal-policy-drafting-agent|Steps"
   },
   {
    "FieldGrantId": "fg-policy-drafting-agent-Steps.AssignedRole",
    "Principal": "principal-policy-drafting-agent",
    "TargetField": "Steps.AssignedRole",
    "CanRead": true,
    "CanWrite": false,
    "MaskStrategy": "plain",
    "SemanticTypeIri": "urn:effortless:pko-extension#FieldGrant",
    "Name": "principal-policy-drafting-agent -&gt; Steps.AssignedRole",
    "FieldTable": "Steps",
    "FieldName": "AssignedRole",
    "FieldIsDerived": false,
    "IsWritableDerivedField": false,
    "IsMasked": false,
    "GrantKeyWhenReadable": "principal-policy-drafting-agent|Steps"
   },
   {
    "FieldGrantId": "fg-policy-drafting-agent-Steps.AssignedRoleLabel",
    "Principal": "principal-policy-drafting-agent",
    "TargetField": "Steps.AssignedRoleLabel",
    "CanRead": true,
    "CanWrite": false,
    "MaskStrategy": "plain",
    "SemanticTypeIri": "urn:effortless:pko-extension#FieldGrant",
    "Name": "principal-policy-drafting-agent -&gt; Steps.AssignedRoleLabel",
    "FieldTable": "Steps",
    "FieldName": "AssignedRoleLabel",
    "FieldIsDerived": true,
    "IsWritableDerivedField": false,
    "IsMasked": false,
    "GrantKeyWhenReadable": "principal-policy-drafting-agent|Steps"
   },
   {
    "FieldGrantId": "fg-policy-drafting-agent-Steps.ProcedureVersion",
    "Principal": "principal-policy-drafting-agent",
    "TargetField": "Steps.ProcedureVersion",
    "CanRead": true,
    "CanWrite": false,
    "MaskStrategy": "plain",
    "SemanticTypeIri": "urn:effortless:pko-extension#FieldGrant",
    "Name": "principal-policy-drafting-agent -&gt; Steps.ProcedureVersion",
    "FieldTable": "Steps",
    "FieldName": "ProcedureVersion",
    "FieldIsDerived": false,
    "IsWritableDerivedField": false,
    "IsMasked": false,
    "GrantKeyWhenReadable": "principal-policy-drafting-agent|Steps"
   },
   {
    "FieldGrantId": "fg-policy-drafting-agent-Steps.Name",
    "Principal": "principal-policy-drafting-agent",
    "TargetField": "Steps.Name",
    "CanRead": true,
    "CanWrite": false,
    "MaskStrategy": "plain",
    "SemanticTypeIri": "urn:effortless:pko-extension#FieldGrant",
    "Name": "principal-policy-drafting-agent -&gt; Steps.Name",
    "FieldTable": "Steps",
    "FieldName": "Name",
    "FieldIsDerived": true,
    "IsWritableDerivedField": false,
    "IsMasked": false,
    "GrantKeyWhenReadable": "principal-policy-drafting-agent|Steps"
   },
   {
    "FieldGrantId": "fg-notification-publisher-CommunicationPolicies.CommunicationPolicyId",
    "Principal": "principal-notification-publisher",
    "TargetField": "CommunicationPolicies.CommunicationPolicyId",
    "CanRead": true,
    "CanWrite": false,
    "MaskStrategy": "plain",
    "SemanticTypeIri": "urn:effortless:pko-extension#FieldGrant",
    "Name": "principal-notification-publisher -&gt; CommunicationPolicies.CommunicationPolicyId",
    "FieldTable": "CommunicationPolicies",
    "FieldName": "CommunicationPolicyId",
    "FieldIsDerived": false,
    "IsWritableDerivedField": false,
    "IsMasked": false,
    "GrantKeyWhenReadable": "principal-notification-publisher|CommunicationPolicies"
   },
   {
    "FieldGrantId": "fg-notification-publisher-CommunicationPolicies.Channel",
    "Principal": "principal-notification-publisher",
    "TargetField": "CommunicationPolicies.Channel",
    "CanRead": true,
    "CanWrite": false,
    "MaskStrategy": "plain",
    "SemanticTypeIri": "urn:effortless:pko-extension#FieldGrant",
    "Name": "principal-notification-publisher -&gt; CommunicationPolicies.Channel",
    "FieldTable": "CommunicationPolicies",
    "FieldName": "Channel",
    "FieldIsDerived": false,
    "IsWritableDerivedField": false,
    "IsMasked": false,
    "GrantKeyWhenReadable": "principal-notification-publisher|CommunicationPolicies"
   },
   {
    "FieldGrantId": "fg-notification-publisher-CommunicationPolicies.QuietHoursStartHour",
    "Principal": "principal-notification-publisher",
    "TargetField": "CommunicationPolicies.QuietHoursStartHour",
    "CanRead": true,
    "CanWrite": false,
    "MaskStrategy": "plain",
    "SemanticTypeIri": "urn:effortless:pko-extension#FieldGrant",
    "Name": "principal-notification-publisher -&gt; CommunicationPolicies.QuietHoursStartHour",
    "FieldTable": "CommunicationPolicies",
    "FieldName": "QuietHoursStartHour",
    "FieldIsDerived": false,
    "IsWritableDerivedField": false,
    "IsMasked": false,
    "GrantKeyWhenReadable": "principal-notification-publisher|CommunicationPolicies"
   },
   {
    "FieldGrantId": "fg-notification-publisher-CommunicationPolicies.QuietHoursEndHour",
    "Principal": "principal-notification-publisher",
    "TargetField": "CommunicationPolicies.QuietHoursEndHour",
    "CanRead": true,
    "CanWrite": false,
    "MaskStrategy": "plain",
    "SemanticTypeIri": "urn:effortless:pko-extension#FieldGrant",
    "Name": "principal-notification-publisher -&gt; CommunicationPolicies.QuietHoursEndHour",
    "FieldTable": "CommunicationPolicies",
    "FieldName": "QuietHoursEndHour",
    "FieldIsDerived": false,
    "IsWritableDerivedField": false,
    "IsMasked": false,
    "GrantKeyWhenReadable": "principal-notification-publisher|CommunicationPolicies"
   },
   {
    "FieldGrantId": "fg-notification-publisher-CommunicationPolicies.MaxMessageLength",
    "Principal": "principal-notification-publisher",
    "TargetField": "CommunicationPolicies.MaxMessageLength",
    "CanRead": true,
    "CanWrite": false,
    "MaskStrategy": "plain",
    "SemanticTypeIri": "urn:effortless:pko-extension#FieldGrant",
    "Name": "principal-notification-publisher -&gt; CommunicationPolicies.MaxMessageLength",
    "FieldTable": "CommunicationPolicies",
    "FieldName": "MaxMessageLength",
    "FieldIsDerived": false,
    "IsWritableDerivedField": false,
    "IsMasked": false,
    "GrantKeyWhenReadable": "principal-notification-publisher|CommunicationPolicies"
   },
   {
    "FieldGrantId": "fg-notification-publisher-CommunicationPolicies.MaxSegments",
    "Principal": "principal-notification-publisher",
    "TargetField": "CommunicationPolicies.MaxSegments",
    "CanRead": true,
    "CanWrite": false,
    "MaskStrategy": "plain",
    "SemanticTypeIri": "urn:effortless:pko-extension#FieldGrant",
    "Name": "principal-notification-publisher -&gt; CommunicationPolicies.MaxSegments",
    "FieldTable": "CommunicationPolicies",
    "FieldName": "MaxSegments",
    "FieldIsDerived": false,
    "IsWritableDerivedField": false,
    "IsMasked": false,
    "GrantKeyWhenReadable": "principal-notification-publisher|CommunicationPolicies"
   },
   {
    "FieldGrantId": "fg-notification-publisher-CommunicationPolicies.ConsentRequired",
    "Principal": "principal-notification-publisher",
    "TargetField": "CommunicationPolicies.ConsentRequired",
    "CanRead": true,
    "CanWrite": false,
    "MaskStrategy": "plain",
    "SemanticTypeIri": "urn:effortless:pko-extension#FieldGrant",
    "Name": "principal-notification-publisher -&gt; CommunicationPolicies.ConsentRequired",
    "FieldTable": "CommunicationPolicies",
    "FieldName": "ConsentRequired",
    "FieldIsDerived": false,
    "IsWritableDerivedField": false,
    "IsMasked": false,
    "GrantKeyWhenReadable": "principal-notification-publisher|CommunicationPolicies"
   },
   {
    "FieldGrantId": "fg-notification-publisher-CommunicationPolicies.Status",
    "Principal": "principal-notification-publisher",
    "TargetField": "CommunicationPolicies.Status",
    "CanRead": true,
    "CanWrite": false,
    "MaskStrategy": "plain",
    "SemanticTypeIri": "urn:effortless:pko-extension#FieldGrant",
    "Name": "principal-notification-publisher -&gt; CommunicationPolicies.Status",
    "FieldTable": "CommunicationPolicies",
    "FieldName": "Status",
    "FieldIsDerived": false,
    "IsWritableDerivedField": false,
    "IsMasked": false,
    "GrantKeyWhenReadable": "principal-notification-publisher|CommunicationPolicies"
   },
   {
    "FieldGrantId": "fg-notification-publisher-CommunicationPolicies.Name",
    "Principal": "principal-notification-publisher",
    "TargetField": "CommunicationPolicies.Name",
    "CanRead": true,
    "CanWrite": false,
    "MaskStrategy": "plain",
    "SemanticTypeIri": "urn:effortless:pko-extension#FieldGrant",
    "Name": "principal-notification-publisher -&gt; CommunicationPolicies.Name",
    "FieldTable": "CommunicationPolicies",
    "FieldName": "Name",
    "FieldIsDerived": true,
    "IsWritableDerivedField": false,
    "IsMasked": false,
    "GrantKeyWhenReadable": "principal-notification-publisher|CommunicationPolicies"
   },
   {
    "FieldGrantId": "fg-notification-publisher-SendIntents.SendIntentId",
    "Principal": "principal-notification-publisher",
    "TargetField": "SendIntents.SendIntentId",
    "CanRead": true,
    "CanWrite": false,
    "MaskStrategy": "plain",
    "SemanticTypeIri": "urn:effortless:pko-extension#FieldGrant",
    "Name": "principal-notification-publisher -&gt; SendIntents.SendIntentId",
    "FieldTable": "SendIntents",
    "FieldName": "SendIntentId",
    "FieldIsDerived": false,
    "IsWritableDerivedField": false,
    "IsMasked": false,
    "GrantKeyWhenReadable": "principal-notification-publisher|SendIntents"
   },
   {
    "FieldGrantId": "fg-notification-publisher-SendIntents.ProposedBody",
    "Principal": "principal-notification-publisher",
    "TargetField": "SendIntents.ProposedBody",
    "CanRead": true,
    "CanWrite": false,
    "MaskStrategy": "plain",
    "SemanticTypeIri": "urn:effortless:pko-extension#FieldGrant",
    "Name": "principal-notification-publisher -&gt; SendIntents.ProposedBody",
    "FieldTable": "SendIntents",
    "FieldName": "ProposedBody",
    "FieldIsDerived": false,
    "IsWritableDerivedField": false,
    "IsMasked": false,
    "GrantKeyWhenReadable": "principal-notification-publisher|SendIntents"
   },
   {
    "FieldGrantId": "fg-notification-publisher-SendIntents.ProposedSendAtLocalHour",
    "Principal": "principal-notification-publisher",
    "TargetField": "SendIntents.ProposedSendAtLocalHour",
    "CanRead": true,
    "CanWrite": false,
    "MaskStrategy": "plain",
    "SemanticTypeIri": "urn:effortless:pko-extension#FieldGrant",
    "Name": "principal-notification-publisher -&gt; SendIntents.ProposedSendAtLocalHour",
    "FieldTable": "SendIntents",
    "FieldName": "ProposedSendAtLocalHour",
    "FieldIsDerived": false,
    "IsWritableDerivedField": false,
    "IsMasked": false,
    "GrantKeyWhenReadable": "principal-notification-publisher|SendIntents"
   },
   {
    "FieldGrantId": "fg-notification-publisher-SendIntents.Recipient",
    "Principal": "principal-notification-publisher",
    "TargetField": "SendIntents.Recipient",
    "CanRead": true,
    "CanWrite": false,
    "MaskStrategy": "plain",
    "SemanticTypeIri": "urn:effortless:pko-extension#FieldGrant",
    "Name": "principal-notification-publisher -&gt; SendIntents.Recipient",
    "FieldTable": "SendIntents",
    "FieldName": "Recipient",
    "FieldIsDerived": false,
    "IsWritableDerivedField": false,
    "IsMasked": false,
    "GrantKeyWhenReadable": "principal-notification-publisher|SendIntents"
   },
   {
    "FieldGrantId": "fg-notification-publisher-SendIntents.MessageTemplate",
    "Principal": "principal-notification-publisher",
    "TargetField": "SendIntents.MessageTemplate",
    "CanRead": true,
    "CanWrite": false,
    "MaskStrategy": "plain",
    "SemanticTypeIri": "urn:effortless:pko-extension#FieldGrant",
    "Name": "principal-notification-publisher -&gt; SendIntents.MessageTemplate",
    "FieldTable": "SendIntents",
    "FieldName": "MessageTemplate",
    "FieldIsDerived": false,
    "IsWritableDerivedField": false,
    "IsMasked": false,
    "GrantKeyWhenReadable": "principal-notification-publisher|SendIntents"
   },
   {
    "FieldGrantId": "fg-notification-publisher-SendIntents.Name",
    "Principal": "principal-notification-publisher",
    "TargetField": "SendIntents.Name",
    "CanRead": true,
    "CanWrite": false,
    "MaskStrategy": "plain",
    "SemanticTypeIri": "urn:effortless:pko-extension#FieldGrant",
    "Name": "principal-notification-publisher -&gt; SendIntents.Name",
    "FieldTable": "SendIntents",
    "FieldName": "Name",
    "FieldIsDerived": true,
    "IsWritableDerivedField": false,
    "IsMasked": false,
    "GrantKeyWhenReadable": "principal-notification-publisher|SendIntents"
   },
   {
    "FieldGrantId": "fg-notification-publisher-MessageDeliveries.MessageDeliveryId",
    "Principal": "principal-notification-publisher",
    "TargetField": "MessageDeliveries.MessageDeliveryId",
    "CanRead": true,
    "CanWrite": false,
    "MaskStrategy": "plain",
    "SemanticTypeIri": "urn:effortless:pko-extension#FieldGrant",
    "Name": "principal-notification-publisher -&gt; MessageDeliveries.MessageDeliveryId",
    "FieldTable": "MessageDeliveries",
    "FieldName": "MessageDeliveryId",
    "FieldIsDerived": false,
    "IsWritableDerivedField": false,
    "IsMasked": false,
    "GrantKeyWhenReadable": "principal-notification-publisher|MessageDeliveries"
   },
   {
    "FieldGrantId": "fg-notification-publisher-MessageDeliveries.RenderedBody",
    "Principal": "principal-notification-publisher",
    "TargetField": "MessageDeliveries.RenderedBody",
    "CanRead": true,
    "CanWrite": false,
    "MaskStrategy": "plain",
    "SemanticTypeIri": "urn:effortless:pko-extension#FieldGrant",
    "Name": "principal-notification-publisher -&gt; MessageDeliveries.RenderedBody",
    "FieldTable": "MessageDeliveries",
    "FieldName": "RenderedBody",
    "FieldIsDerived": false,
    "IsWritableDerivedField": false,
    "IsMasked": false,
    "GrantKeyWhenReadable": "principal-notification-publisher|MessageDeliveries"
   },
   {
    "FieldGrantId": "fg-notification-publisher-MessageDeliveries.SentAt",
    "Principal": "principal-notification-publisher",
    "TargetField": "MessageDeliveries.SentAt",
    "CanRead": true,
    "CanWrite": false,
    "MaskStrategy": "plain",
    "SemanticTypeIri": "urn:effortless:pko-extension#FieldGrant",
    "Name": "principal-notification-publisher -&gt; MessageDeliveries.SentAt",
    "FieldTable": "MessageDeliveries",
    "FieldName": "SentAt",
    "FieldIsDerived": false,
    "IsWritableDerivedField": false,
    "IsMasked": false,
    "GrantKeyWhenReadable": "principal-notification-publisher|MessageDeliveries"
   },
   {
    "FieldGrantId": "fg-notification-publisher-MessageDeliveries.DeliveryStatus",
    "Principal": "principal-notification-publisher",
    "TargetField": "MessageDeliveries.DeliveryStatus",
    "CanRead": true,
    "CanWrite": false,
    "MaskStrategy": "plain",
    "SemanticTypeIri": "urn:effortless:pko-extension#FieldGrant",
    "Name": "principal-notification-publisher -&gt; MessageDeliveries.DeliveryStatus",
    "FieldTable": "MessageDeliveries",
    "FieldName": "DeliveryStatus",
    "FieldIsDerived": false,
    "IsWritableDerivedField": false,
    "IsMasked": false,
    "GrantKeyWhenReadable": "principal-notification-publisher|MessageDeliveries"
   },
   {
    "FieldGrantId": "fg-notification-publisher-MessageDeliveries.SuppressionReason",
    "Principal": "principal-notification-publisher",
    "TargetField": "MessageDeliveries.SuppressionReason",
    "CanRead": true,
    "CanWrite": false,
    "MaskStrategy": "plain",
    "SemanticTypeIri": "urn:effortless:pko-extension#FieldGrant",
    "Name": "principal-notification-publisher -&gt; MessageDeliveries.SuppressionReason",
    "FieldTable": "MessageDeliveries",
    "FieldName": "SuppressionReason",
    "FieldIsDerived": false,
    "IsWritableDerivedField": false,
    "IsMasked": false,
    "GrantKeyWhenReadable": "principal-notification-publisher|MessageDeliveries"
   },
   {
    "FieldGrantId": "fg-notification-publisher-MessageDeliveries.Recipient",
    "Principal": "principal-notification-publisher",
    "TargetField": "MessageDeliveries.Recipient",
    "CanRead": true,
    "CanWrite": false,
    "MaskStrategy": "plain",
    "SemanticTypeIri": "urn:effortless:pko-extension#FieldGrant",
    "Name": "principal-notification-publisher -&gt; MessageDeliveries.Recipient",
    "FieldTable": "MessageDeliveries",
    "FieldName": "Recipient",
    "FieldIsDerived": false,
    "IsWritableDerivedField": false,
    "IsMasked": false,
    "GrantKeyWhenReadable": "principal-notification-publisher|MessageDeliveries"
   },
   {
    "FieldGrantId": "fg-notification-publisher-MessageDeliveries.Name",
    "Principal": "principal-notification-publisher",
    "TargetField": "MessageDeliveries.Name",
    "CanRead": true,
    "CanWrite": false,
    "MaskStrategy": "plain",
    "SemanticTypeIri": "urn:effortless:pko-extension#FieldGrant",
    "Name": "principal-notification-publisher -&gt; MessageDeliveries.Name",
    "FieldTable": "MessageDeliveries",
    "FieldName": "Name",
    "FieldIsDerived": true,
    "IsWritableDerivedField": false,
    "IsMasked": false,
    "GrantKeyWhenReadable": "principal-notification-publisher|MessageDeliveries"
   },
   {
    "FieldGrantId": "fg-notification-publisher-Recipients.RecipientId",
    "Principal": "principal-notification-publisher",
    "TargetField": "Recipients.RecipientId",
    "CanRead": true,
    "CanWrite": false,
    "MaskStrategy": "plain",
    "SemanticTypeIri": "urn:effortless:pko-extension#FieldGrant",
    "Name": "principal-notification-publisher -&gt; Recipients.RecipientId",
    "FieldTable": "Recipients",
    "FieldName": "RecipientId",
    "FieldIsDerived": false,
    "IsWritableDerivedField": false,
    "IsMasked": false,
    "GrantKeyWhenReadable": "principal-notification-publisher|Recipients"
   },
   {
    "FieldGrantId": "fg-notification-publisher-Recipients.EmailAddress",
    "Principal": "principal-notification-publisher",
    "TargetField": "Recipients.EmailAddress",
    "CanRead": true,
    "CanWrite": false,
    "MaskStrategy": "plain",
    "SemanticTypeIri": "urn:effortless:pko-extension#FieldGrant",
    "Name": "principal-notification-publisher -&gt; Recipients.EmailAddress",
    "FieldTable": "Recipients",
    "FieldName": "EmailAddress",
    "FieldIsDerived": false,
    "IsWritableDerivedField": false,
    "IsMasked": false,
    "GrantKeyWhenReadable": "principal-notification-publisher|Recipients"
   },
   {
    "FieldGrantId": "fg-notification-publisher-Recipients.MobileNumber",
    "Principal": "principal-notification-publisher",
    "TargetField": "Recipients.MobileNumber",
    "CanRead": true,
    "CanWrite": false,
    "MaskStrategy": "plain",
    "SemanticTypeIri": "urn:effortless:pko-extension#FieldGrant",
    "Name": "principal-notification-publisher -&gt; Recipients.MobileNumber",
    "FieldTable": "Recipients",
    "FieldName": "MobileNumber",
    "FieldIsDerived": false,
    "IsWritableDerivedField": false,
    "IsMasked": false,
    "GrantKeyWhenReadable": "principal-notification-publisher|Recipients"
   },
   {
    "FieldGrantId": "fg-notification-publisher-Recipients.SmsConsentStatus",
    "Principal": "principal-notification-publisher",
    "TargetField": "Recipients.SmsConsentStatus",
    "CanRead": true,
    "CanWrite": false,
    "MaskStrategy": "plain",
    "SemanticTypeIri": "urn:effortless:pko-extension#FieldGrant",
    "Name": "principal-notification-publisher -&gt; Recipients.SmsConsentStatus",
    "FieldTable": "Recipients",
    "FieldName": "SmsConsentStatus",
    "FieldIsDerived": false,
    "IsWritableDerivedField": false,
    "IsMasked": false,
    "GrantKeyWhenReadable": "principal-notification-publisher|Recipients"
   },
   {
    "FieldGrantId": "fg-notification-publisher-Recipients.Name",
    "Principal": "principal-notification-publisher",
    "TargetField": "Recipients.Name",
    "CanRead": true,
    "CanWrite": false,
    "MaskStrategy": "plain",
    "SemanticTypeIri": "urn:effortless:pko-extension#FieldGrant",
    "Name": "principal-notification-publisher -&gt; Recipients.Name",
    "FieldTable": "Recipients",
    "FieldName": "Name",
    "FieldIsDerived": true,
    "IsWritableDerivedField": false,
    "IsMasked": false,
    "GrantKeyWhenReadable": "principal-notification-publisher|Recipients"
   },
   {
    "FieldGrantId": "fg-notification-publisher-Steps.StepId",
    "Principal": "principal-notification-publisher",
    "TargetField": "Steps.StepId",
    "CanRead": true,
    "CanWrite": false,
    "MaskStrategy": "plain",
    "SemanticTypeIri": "urn:effortless:pko-extension#FieldGrant",
    "Name": "principal-notification-publisher -&gt; Steps.StepId",
    "FieldTable": "Steps",
    "FieldName": "StepId",
    "FieldIsDerived": false,
    "IsWritableDerivedField": false,
    "IsMasked": false,
    "GrantKeyWhenReadable": "principal-notification-publisher|Steps"
   },
   {
    "FieldGrantId": "fg-notification-publisher-Steps.StepNumber",
    "Principal": "principal-notification-publisher",
    "TargetField": "Steps.StepNumber",
    "CanRead": true,
    "CanWrite": false,
    "MaskStrategy": "plain",
    "SemanticTypeIri": "urn:effortless:pko-extension#FieldGrant",
    "Name": "principal-notification-publisher -&gt; Steps.StepNumber",
    "FieldTable": "Steps",
    "FieldName": "StepNumber",
    "FieldIsDerived": false,
    "IsWritableDerivedField": false,
    "IsMasked": false,
    "GrantKeyWhenReadable": "principal-notification-publisher|Steps"
   },
   {
    "FieldGrantId": "fg-notification-publisher-Steps.Title",
    "Principal": "principal-notification-publisher",
    "TargetField": "Steps.Title",
    "CanRead": true,
    "CanWrite": false,
    "MaskStrategy": "plain",
    "SemanticTypeIri": "urn:effortless:pko-extension#FieldGrant",
    "Name": "principal-notification-publisher -&gt; Steps.Title",
    "FieldTable": "Steps",
    "FieldName": "Title",
    "FieldIsDerived": false,
    "IsWritableDerivedField": false,
    "IsMasked": false,
    "GrantKeyWhenReadable": "principal-notification-publisher|Steps"
   },
   {
    "FieldGrantId": "fg-notification-publisher-Steps.StepKind",
    "Principal": "principal-notification-publisher",
    "TargetField": "Steps.StepKind",
    "CanRead": true,
    "CanWrite": false,
    "MaskStrategy": "plain",
    "SemanticTypeIri": "urn:effortless:pko-extension#FieldGrant",
    "Name": "principal-notification-publisher -&gt; Steps.StepKind",
    "FieldTable": "Steps",
    "FieldName": "StepKind",
    "FieldIsDerived": false,
    "IsWritableDerivedField": false,
    "IsMasked": false,
    "GrantKeyWhenReadable": "principal-notification-publisher|Steps"
   },
   {
    "FieldGrantId": "fg-notification-publisher-Steps.Instruction",
    "Principal": "principal-notification-publisher",
    "TargetField": "Steps.Instruction",
    "CanRead": true,
    "CanWrite": false,
    "MaskStrategy": "plain",
    "SemanticTypeIri": "urn:effortless:pko-extension#FieldGrant",
    "Name": "principal-notification-publisher -&gt; Steps.Instruction",
    "FieldTable": "Steps",
    "FieldName": "Instruction",
    "FieldIsDerived": false,
    "IsWritableDerivedField": false,
    "IsMasked": false,
    "GrantKeyWhenReadable": "principal-notification-publisher|Steps"
   },
   {
    "FieldGrantId": "fg-notification-publisher-Steps.AssignedRole",
    "Principal": "principal-notification-publisher",
    "TargetField": "Steps.AssignedRole",
    "CanRead": true,
    "CanWrite": false,
    "MaskStrategy": "plain",
    "SemanticTypeIri": "urn:effortless:pko-extension#FieldGrant",
    "Name": "principal-notification-publisher -&gt; Steps.AssignedRole",
    "FieldTable": "Steps",
    "FieldName": "AssignedRole",
    "FieldIsDerived": false,
    "IsWritableDerivedField": false,
    "IsMasked": false,
    "GrantKeyWhenReadable": "principal-notification-publisher|Steps"
   },
   {
    "FieldGrantId": "fg-notification-publisher-Steps.AssignedRoleLabel",
    "Principal": "principal-notification-publisher",
    "TargetField": "Steps.AssignedRoleLabel",
    "CanRead": true,
    "CanWrite": false,
    "MaskStrategy": "plain",
    "SemanticTypeIri": "urn:effortless:pko-extension#FieldGrant",
    "Name": "principal-notification-publisher -&gt; Steps.AssignedRoleLabel",
    "FieldTable": "Steps",
    "FieldName": "AssignedRoleLabel",
    "FieldIsDerived": true,
    "IsWritableDerivedField": false,
    "IsMasked": false,
    "GrantKeyWhenReadable": "principal-notification-publisher|Steps"
   },
   {
    "FieldGrantId": "fg-notification-publisher-Steps.ProcedureVersion",
    "Principal": "principal-notification-publisher",
    "TargetField": "Steps.ProcedureVersion",
    "CanRead": true,
    "CanWrite": false,
    "MaskStrategy": "plain",
    "SemanticTypeIri": "urn:effortless:pko-extension#FieldGrant",
    "Name": "principal-notification-publisher -&gt; Steps.ProcedureVersion",
    "FieldTable": "Steps",
    "FieldName": "ProcedureVersion",
    "FieldIsDerived": false,
    "IsWritableDerivedField": false,
    "IsMasked": false,
    "GrantKeyWhenReadable": "principal-notification-publisher|Steps"
   },
   {
    "FieldGrantId": "fg-notification-publisher-Steps.Name",
    "Principal": "principal-notification-publisher",
    "TargetField": "Steps.Name",
    "CanRead": true,
    "CanWrite": false,
    "MaskStrategy": "plain",
    "SemanticTypeIri": "urn:effortless:pko-extension#FieldGrant",
    "Name": "principal-notification-publisher -&gt; Steps.Name",
    "FieldTable": "Steps",
    "FieldName": "Name",
    "FieldIsDerived": true,
    "IsWritableDerivedField": false,
    "IsMasked": false,
    "GrantKeyWhenReadable": "principal-notification-publisher|Steps"
   },
   {
    "FieldGrantId": "fg-process-steward-Actions.ActionId",
    "Principal": "principal-process-steward",
    "TargetField": "Actions.ActionId",
    "CanRead": true,
    "CanWrite": false,
    "MaskStrategy": "plain",
    "SemanticTypeIri": "urn:effortless:pko-extension#FieldGrant",
    "Name": "principal-process-steward -&gt; Actions.ActionId",
    "FieldTable": "Actions",
    "FieldName": "ActionId",
    "FieldIsDerived": false,
    "IsWritableDerivedField": false,
    "IsMasked": false,
    "GrantKeyWhenReadable": "principal-process-steward|Actions"
   },
   {
    "FieldGrantId": "fg-process-steward-Actions.Name",
    "Principal": "principal-process-steward",
    "TargetField": "Actions.Name",
    "CanRead": true,
    "CanWrite": false,
    "MaskStrategy": "plain",
    "SemanticTypeIri": "urn:effortless:pko-extension#FieldGrant",
    "Name": "principal-process-steward -&gt; Actions.Name",
    "FieldTable": "Actions",
    "FieldName": "Name",
    "FieldIsDerived": true,
    "IsWritableDerivedField": false,
    "IsMasked": false,
    "GrantKeyWhenReadable": "principal-process-steward|Actions"
   },
   {
    "FieldGrantId": "fg-process-steward-Actions.Label",
    "Principal": "principal-process-steward",
    "TargetField": "Actions.Label",
    "CanRead": true,
    "CanWrite": false,
    "MaskStrategy": "plain",
    "SemanticTypeIri": "urn:effortless:pko-extension#FieldGrant",
    "Name": "principal-process-steward -&gt; Actions.Label",
    "FieldTable": "Actions",
    "FieldName": "Label",
    "FieldIsDerived": false,
    "IsWritableDerivedField": false,
    "IsMasked": false,
    "GrantKeyWhenReadable": "principal-process-steward|Actions"
   },
   {
    "FieldGrantId": "fg-process-steward-Actions.Definition",
    "Principal": "principal-process-steward",
    "TargetField": "Actions.Definition",
    "CanRead": true,
    "CanWrite": false,
    "MaskStrategy": "plain",
    "SemanticTypeIri": "urn:effortless:pko-extension#FieldGrant",
    "Name": "principal-process-steward -&gt; Actions.Definition",
    "FieldTable": "Actions",
    "FieldName": "Definition",
    "FieldIsDerived": false,
    "IsWritableDerivedField": false,
    "IsMasked": false,
    "GrantKeyWhenReadable": "principal-process-steward|Actions"
   },
   {
    "FieldGrantId": "fg-process-steward-Actions.SemanticTypeIri",
    "Principal": "principal-process-steward",
    "TargetField": "Actions.SemanticTypeIri",
    "CanRead": true,
    "CanWrite": false,
    "MaskStrategy": "plain",
    "SemanticTypeIri": "urn:effortless:pko-extension#FieldGrant",
    "Name": "principal-process-steward -&gt; Actions.SemanticTypeIri",
    "FieldTable": "Actions",
    "FieldName": "SemanticTypeIri",
    "FieldIsDerived": false,
    "IsWritableDerivedField": false,
    "IsMasked": false,
    "GrantKeyWhenReadable": "principal-process-steward|Actions"
   },
   {
    "FieldGrantId": "fg-process-steward-AgentDecisionRecords.AgentDecisionRecordId",
    "Principal": "principal-process-steward",
    "TargetField": "AgentDecisionRecords.AgentDecisionRecordId",
    "CanRead": true,
    "CanWrite": false,
    "MaskStrategy": "plain",
    "SemanticTypeIri": "urn:effortless:pko-extension#FieldGrant",
    "Name": "principal-process-steward -&gt; AgentDecisionRecords.AgentDecisionRecordId",
    "FieldTable": "AgentDecisionRecords",
    "FieldName": "AgentDecisionRecordId",
    "FieldIsDerived": false,
    "IsWritableDerivedField": false,
    "IsMasked": false,
    "GrantKeyWhenReadable": "principal-process-steward|AgentDecisionRecords"
   },
   {
    "FieldGrantId": "fg-process-steward-AgentDecisionRecords.Name",
    "Principal": "principal-process-steward",
    "TargetField</t>
  </si>
  <si>
    <t xml:space="preserve">": "AgentDecisionRecords.Name",
    "CanRead": true,
    "CanWrite": false,
    "MaskStrategy": "plain",
    "SemanticTypeIri": "urn:effortless:pko-extension#FieldGrant",
    "Name": "principal-process-steward -&gt; AgentDecisionRecords.Name",
    "FieldTable": "AgentDecisionRecords",
    "FieldName": "Name",
    "FieldIsDerived": true,
    "IsWritableDerivedField": false,
    "IsMasked": false,
    "GrantKeyWhenReadable": "principal-process-steward|AgentDecisionRecords"
   },
   {
    "FieldGrantId": "fg-process-steward-AgentDecisionRecords.StepExecution",
    "Principal": "principal-process-steward",
    "TargetField": "AgentDecisionRecords.StepExecution",
    "CanRead": true,
    "CanWrite": false,
    "MaskStrategy": "plain",
    "SemanticTypeIri": "urn:effortless:pko-extension#FieldGrant",
    "Name": "principal-process-steward -&gt; AgentDecisionRecords.StepExecution",
    "FieldTable": "AgentDecisionRecords",
    "FieldName": "StepExecution",
    "FieldIsDerived": false,
    "IsWritableDerivedField": false,
    "IsMasked": false,
    "GrantKeyWhenReadable": "principal-process-steward|AgentDecisionRecords"
   },
   {
    "FieldGrantId": "fg-process-steward-AgentDecisionRecords.DecidingAgent",
    "Principal": "principal-process-steward",
    "TargetField": "AgentDecisionRecords.DecidingAgent",
    "CanRead": true,
    "CanWrite": false,
    "MaskStrategy": "plain",
    "SemanticTypeIri": "urn:effortless:pko-extension#FieldGrant",
    "Name": "principal-process-steward -&gt; AgentDecisionRecords.DecidingAgent",
    "FieldTable": "AgentDecisionRecords",
    "FieldName": "DecidingAgent",
    "FieldIsDerived": false,
    "IsWritableDerivedField": false,
    "IsMasked": false,
    "GrantKeyWhenReadable": "principal-process-steward|AgentDecisionRecords"
   },
   {
    "FieldGrantId": "fg-process-steward-AgentDecisionRecords.DecisionKind",
    "Principal": "principal-process-steward",
    "TargetField": "AgentDecisionRecords.DecisionKind",
    "CanRead": true,
    "CanWrite": false,
    "MaskStrategy": "plain",
    "SemanticTypeIri": "urn:effortless:pko-extension#FieldGrant",
    "Name": "principal-process-steward -&gt; AgentDecisionRecords.DecisionKind",
    "FieldTable": "AgentDecisionRecords",
    "FieldName": "DecisionKind",
    "FieldIsDerived": false,
    "IsWritableDerivedField": false,
    "IsMasked": false,
    "GrantKeyWhenReadable": "principal-process-steward|AgentDecisionRecords"
   },
   {
    "FieldGrantId": "fg-process-steward-AgentDecisionRecords.DecisionSummary",
    "Principal": "principal-process-steward",
    "TargetField": "AgentDecisionRecords.DecisionSummary",
    "CanRead": true,
    "CanWrite": false,
    "MaskStrategy": "plain",
    "SemanticTypeIri": "urn:effortless:pko-extension#FieldGrant",
    "Name": "principal-process-steward -&gt; AgentDecisionRecords.DecisionSummary",
    "FieldTable": "AgentDecisionRecords",
    "FieldName": "DecisionSummary",
    "FieldIsDerived": false,
    "IsWritableDerivedField": false,
    "IsMasked": false,
    "GrantKeyWhenReadable": "principal-process-steward|AgentDecisionRecords"
   },
   {
    "FieldGrantId": "fg-process-steward-AgentDecisionRecords.DecidedAt",
    "Principal": "principal-process-steward",
    "TargetField": "AgentDecisionRecords.DecidedAt",
    "CanRead": true,
    "CanWrite": false,
    "MaskStrategy": "plain",
    "SemanticTypeIri": "urn:effortless:pko-extension#FieldGrant",
    "Name": "principal-process-steward -&gt; AgentDecisionRecords.DecidedAt",
    "FieldTable": "AgentDecisionRecords",
    "FieldName": "DecidedAt",
    "FieldIsDerived": false,
    "IsWritableDerivedField": false,
    "IsMasked": false,
    "GrantKeyWhenReadable": "principal-process-steward|AgentDecisionRecords"
   },
   {
    "FieldGrantId": "fg-process-steward-AgentDecisionRecords.MaterialityBand",
    "Principal": "principal-process-steward",
    "TargetField": "AgentDecisionRecords.MaterialityBand",
    "CanRead": true,
    "CanWrite": false,
    "MaskStrategy": "plain",
    "SemanticTypeIri": "urn:effortless:pko-extension#FieldGrant",
    "Name": "principal-process-steward -&gt; AgentDecisionRecords.MaterialityBand",
    "FieldTable": "AgentDecisionRecords",
    "FieldName": "MaterialityBand",
    "FieldIsDerived": false,
    "IsWritableDerivedField": false,
    "IsMasked": false,
    "GrantKeyWhenReadable": "principal-process-steward|AgentDecisionRecords"
   },
   {
    "FieldGrantId": "fg-process-steward-AgentDecisionRecords.HumanDisposition",
    "Principal": "principal-process-steward",
    "TargetField": "AgentDecisionRecords.HumanDisposition",
    "CanRead": true,
    "CanWrite": false,
    "MaskStrategy": "plain",
    "SemanticTypeIri": "urn:effortless:pko-extension#FieldGrant",
    "Name": "principal-process-steward -&gt; AgentDecisionRecords.HumanDisposition",
    "FieldTable": "AgentDecisionRecords",
    "FieldName": "HumanDisposition",
    "FieldIsDerived": false,
    "IsWritableDerivedField": false,
    "IsMasked": false,
    "GrantKeyWhenReadable": "principal-process-steward|AgentDecisionRecords"
   },
   {
    "FieldGrantId": "fg-process-steward-AgentDecisionRecords.ReviewedByAgent",
    "Principal": "principal-process-steward",
    "TargetField": "AgentDecisionRecords.ReviewedByAgent",
    "CanRead": true,
    "CanWrite": false,
    "MaskStrategy": "plain",
    "SemanticTypeIri": "urn:effortless:pko-extension#FieldGrant",
    "Name": "principal-process-steward -&gt; AgentDecisionRecords.ReviewedByAgent",
    "FieldTable": "AgentDecisionRecords",
    "FieldName": "ReviewedByAgent",
    "FieldIsDerived": false,
    "IsWritableDerivedField": false,
    "IsMasked": false,
    "GrantKeyWhenReadable": "principal-process-steward|AgentDecisionRecords"
   },
   {
    "FieldGrantId": "fg-process-steward-AgentDecisionRecords.ReviewedAt",
    "Principal": "principal-process-steward",
    "TargetField": "AgentDecisionRecords.ReviewedAt",
    "CanRead": true,
    "CanWrite": false,
    "MaskStrategy": "plain",
    "SemanticTypeIri": "urn:effortless:pko-extension#FieldGrant",
    "Name": "principal-process-steward -&gt; AgentDecisionRecords.ReviewedAt",
    "FieldTable": "AgentDecisionRecords",
    "FieldName": "ReviewedAt",
    "FieldIsDerived": false,
    "IsWritableDerivedField": false,
    "IsMasked": false,
    "GrantKeyWhenReadable": "principal-process-steward|AgentDecisionRecords"
   },
   {
    "FieldGrantId": "fg-process-steward-AgentDecisionRecords.WasOverridden",
    "Principal": "principal-process-steward",
    "TargetField": "AgentDecisionRecords.WasOverridden",
    "CanRead": true,
    "CanWrite": false,
    "MaskStrategy": "plain",
    "SemanticTypeIri": "urn:effortless:pko-extension#FieldGrant",
    "Name": "principal-process-steward -&gt; AgentDecisionRecords.WasOverridden",
    "FieldTable": "AgentDecisionRecords",
    "FieldName": "WasOverridden",
    "FieldIsDerived": true,
    "IsWritableDerivedField": false,
    "IsMasked": false,
    "GrantKeyWhenReadable": "principal-process-steward|AgentDecisionRecords"
   },
   {
    "FieldGrantId": "fg-process-steward-AgentDecisionRecords.WasReviewed",
    "Principal": "principal-process-steward",
    "TargetField": "AgentDecisionRecords.WasReviewed",
    "CanRead": true,
    "CanWrite": false,
    "MaskStrategy": "plain",
    "SemanticTypeIri": "urn:effortless:pko-extension#FieldGrant",
    "Name": "principal-process-steward -&gt; AgentDecisionRecords.WasReviewed",
    "FieldTable": "AgentDecisionRecords",
    "FieldName": "WasReviewed",
    "FieldIsDerived": true,
    "IsWritableDerivedField": false,
    "IsMasked": false,
    "GrantKeyWhenReadable": "principal-process-steward|AgentDecisionRecords"
   },
   {
    "FieldGrantId": "fg-process-steward-AgentDecisionRecords.DecidingAgentKind",
    "Principal": "principal-process-steward",
    "TargetField": "AgentDecisionRecords.DecidingAgentKind",
    "CanRead": true,
    "CanWrite": false,
    "MaskStrategy": "plain",
    "SemanticTypeIri": "urn:effortless:pko-extension#FieldGrant",
    "Name": "principal-process-steward -&gt; AgentDecisionRecords.DecidingAgentKind",
    "FieldTable": "AgentDecisionRecords",
    "FieldName": "DecidingAgentKind",
    "FieldIsDerived": true,
    "IsWritableDerivedField": false,
    "IsMasked": false,
    "GrantKeyWhenReadable": "principal-process-steward|AgentDecisionRecords"
   },
   {
    "FieldGrantId": "fg-process-steward-AgentDecisionRecords.DecidingAgentWhenOverridden",
    "Principal": "principal-process-steward",
    "TargetField": "AgentDecisionRecords.DecidingAgentWhenOverridden",
    "CanRead": true,
    "CanWrite": false,
    "MaskStrategy": "plain",
    "SemanticTypeIri": "urn:effortless:pko-extension#FieldGrant",
    "Name": "principal-process-steward -&gt; AgentDecisionRecords.DecidingAgentWhenOverridden",
    "FieldTable": "AgentDecisionRecords",
    "FieldName": "DecidingAgentWhenOverridden",
    "FieldIsDerived": true,
    "IsWritableDerivedField": false,
    "IsMasked": false,
    "GrantKeyWhenReadable": "principal-process-steward|AgentDecisionRecords"
   },
   {
    "FieldGrantId": "fg-process-steward-AgentDecisionRecords.UnderRoleAssignment",
    "Principal": "principal-process-steward",
    "TargetField": "AgentDecisionRecords.UnderRoleAssignment",
    "CanRead": true,
    "CanWrite": false,
    "MaskStrategy": "plain",
    "SemanticTypeIri": "urn:effortless:pko-extension#FieldGrant",
    "Name": "principal-process-steward -&gt; AgentDecisionRecords.UnderRoleAssignment",
    "FieldTable": "AgentDecisionRecords",
    "FieldName": "UnderRoleAssignment",
    "FieldIsDerived": false,
    "IsWritableDerivedField": false,
    "IsMasked": false,
    "GrantKeyWhenReadable": "principal-process-steward|AgentDecisionRecords"
   },
   {
    "FieldGrantId": "fg-process-steward-AgentDecisionRecords.RoleAssignmentWhenScored",
    "Principal": "principal-process-steward",
    "TargetField": "AgentDecisionRecords.RoleAssignmentWhenScored",
    "CanRead": true,
    "CanWrite": false,
    "MaskStrategy": "plain",
    "SemanticTypeIri": "urn:effortless:pko-extension#FieldGrant",
    "Name": "principal-process-steward -&gt; AgentDecisionRecords.RoleAssignmentWhenScored",
    "FieldTable": "AgentDecisionRecords",
    "FieldName": "RoleAssignmentWhenScored",
    "FieldIsDerived": true,
    "IsWritableDerivedField": false,
    "IsMasked": false,
    "GrantKeyWhenReadable": "principal-process-steward|AgentDecisionRecords"
   },
   {
    "FieldGrantId": "fg-process-steward-AgentDecisionRecords.RoleAssignmentWhenOverridden",
    "Principal": "principal-process-steward",
    "TargetField": "AgentDecisionRecords.RoleAssignmentWhenOverridden",
    "CanRead": true,
    "CanWrite": false,
    "MaskStrategy": "plain",
    "SemanticTypeIri": "urn:effortless:pko-extension#FieldGrant",
    "Name": "principal-process-steward -&gt; AgentDecisionRecords.RoleAssignmentWhenOverridden",
    "FieldTable": "AgentDecisionRecords",
    "FieldName": "RoleAssignmentWhenOverridden",
    "FieldIsDerived": true,
    "IsWritableDerivedField": false,
    "IsMasked": false,
    "GrantKeyWhenReadable": "principal-process-steward|AgentDecisionRecords"
   },
   {
    "FieldGrantId": "fg-process-steward-AgentDecisionRecords.StepOfDecision",
    "Principal": "principal-process-steward",
    "TargetField": "AgentDecisionRecords.StepOfDecision",
    "CanRead": true,
    "CanWrite": false,
    "MaskStrategy": "plain",
    "SemanticTypeIri": "urn:effortless:pko-extension#FieldGrant",
    "Name": "principal-process-steward -&gt; AgentDecisionRecords.StepOfDecision",
    "FieldTable": "AgentDecisionRecords",
    "FieldName": "StepOfDecision",
    "FieldIsDerived": true,
    "IsWritableDerivedField": false,
    "IsMasked": false,
    "GrantKeyWhenReadable": "principal-process-steward|AgentDecisionRecords"
   },
   {
    "FieldGrantId": "fg-process-steward-AgentDecisionRecords.BoundaryMatchKey",
    "Principal": "principal-process-steward",
    "TargetField": "AgentDecisionRecords.BoundaryMatchKey",
    "CanRead": true,
    "CanWrite": false,
    "MaskStrategy": "plain",
    "SemanticTypeIri": "urn:effortless:pko-extension#FieldGrant",
    "Name": "principal-process-steward -&gt; AgentDecisionRecords.BoundaryMatchKey",
    "FieldTable": "AgentDecisionRecords",
    "FieldName": "BoundaryMatchKey",
    "FieldIsDerived": true,
    "IsWritableDerivedField": false,
    "IsMasked": false,
    "GrantKeyWhenReadable": "principal-process-steward|AgentDecisionRecords"
   },
   {
    "FieldGrantId": "fg-process-steward-AgentDecisionRecords.MatchingBoundaryCount",
    "Principal": "principal-process-steward",
    "TargetField": "AgentDecisionRecords.MatchingBoundaryCount",
    "CanRead": true,
    "CanWrite": false,
    "MaskStrategy": "plain",
    "SemanticTypeIri": "urn:effortless:pko-extension#FieldGrant",
    "Name": "principal-process-steward -&gt; AgentDecisionRecords.MatchingBoundaryCount",
    "FieldTable": "AgentDecisionRecords",
    "FieldName": "MatchingBoundaryCount",
    "FieldIsDerived": true,
    "IsWritableDerivedField": false,
    "IsMasked": false,
    "GrantKeyWhenReadable": "principal-process-steward|AgentDecisionRecords"
   },
   {
    "FieldGrantId": "fg-process-steward-AgentDecisionRecords.ViolatedAuthorityBoundary",
    "Principal": "principal-process-steward",
    "TargetField": "AgentDecisionRecords.ViolatedAuthorityBoundary",
    "CanRead": true,
    "CanWrite": false,
    "MaskStrategy": "plain",
    "SemanticTypeIri": "urn:effortless:pko-extension#FieldGrant",
    "Name": "principal-process-steward -&gt; AgentDecisionRecords.ViolatedAuthorityBoundary",
    "FieldTable": "AgentDecisionRecords",
    "FieldName": "ViolatedAuthorityBoundary",
    "FieldIsDerived": true,
    "IsWritableDerivedField": false,
    "IsMasked": false,
    "GrantKeyWhenReadable": "principal-process-steward|AgentDecisionRecords"
   },
   {
    "FieldGrantId": "fg-process-steward-AgentDecisionRecords.ReviewerAgentKind",
    "Principal": "principal-process-steward",
    "TargetField": "AgentDecisionRecords.ReviewerAgentKind",
    "CanRead": true,
    "CanWrite": false,
    "MaskStrategy": "plain",
    "SemanticTypeIri": "urn:effortless:pko-extension#FieldGrant",
    "Name": "principal-process-steward -&gt; AgentDecisionRecords.ReviewerAgentKind",
    "FieldTable": "AgentDecisionRecords",
    "FieldName": "ReviewerAgentKind",
    "FieldIsDerived": true,
    "IsWritableDerivedField": false,
    "IsMasked": false,
    "GrantKeyWhenReadable": "principal-process-steward|AgentDecisionRecords"
   },
   {
    "FieldGrantId": "fg-process-steward-AgentDecisionRecords.HasHumanConfirmation",
    "Principal": "principal-process-steward",
    "TargetField": "AgentDecisionRecords.HasHumanConfirmation",
    "CanRead": true,
    "CanWrite": false,
    "MaskStrategy": "plain",
    "SemanticTypeIri": "urn:effortless:pko-extension#FieldGrant",
    "Name": "principal-process-steward -&gt; AgentDecisionRecords.HasHumanConfirmation",
    "FieldTable": "AgentDecisionRecords",
    "FieldName": "HasHumanConfirmation",
    "FieldIsDerived": true,
    "IsWritableDerivedField": false,
    "IsMasked": false,
    "GrantKeyWhenReadable": "principal-process-steward|AgentDecisionRecords"
   },
   {
    "FieldGrantId": "fg-process-steward-AgentDecisionRecords.NeedsHumanConfirmation",
    "Principal": "principal-process-steward",
    "TargetField": "AgentDecisionRecords.NeedsHumanConfirmation",
    "CanRead": true,
    "CanWrite": false,
    "MaskStrategy": "plain",
    "SemanticTypeIri": "urn:effortless:pko-extension#FieldGrant",
    "Name": "principal-process-steward -&gt; AgentDecisionRecords.NeedsHumanConfirmation",
    "FieldTable": "AgentDecisionRecords",
    "FieldName": "NeedsHumanConfirmation",
    "FieldIsDerived": true,
    "IsWritableDerivedField": false,
    "IsMasked": false,
    "GrantKeyWhenReadable": "principal-process-steward|AgentDecisionRecords"
   },
   {
    "FieldGrantId": "fg-process-steward-AgentDecisionRecords.IsUnconfirmedNonHumanDecision",
    "Principal": "principal-process-steward",
    "TargetField": "AgentDecisionRecords.IsUnconfirmedNonHumanDecision",
    "CanRead": true,
    "CanWrite": false,
    "MaskStrategy": "plain",
    "SemanticTypeIri": "urn:effortless:pko-extension#FieldGrant",
    "Name": "principal-process-steward -&gt; AgentDecisionRecords.IsUnconfirmedNonHumanDecision",
    "FieldTable": "AgentDecisionRecords",
    "FieldName": "IsUnconfirmedNonHumanDecision",
    "FieldIsDerived": true,
    "IsWritableDerivedField": false,
    "IsMasked": false,
    "GrantKeyWhenReadable": "principal-process-steward|AgentDecisionRecords"
   },
   {
    "FieldGrantId": "fg-process-steward-AgentDecisionRecords.StepExecutionWhenUnconfirmed",
    "Principal": "principal-process-steward",
    "TargetField": "AgentDecisionRecords.StepExecutionWhenUnconfirmed",
    "CanRead": true,
    "CanWrite": false,
    "MaskStrategy": "plain",
    "SemanticTypeIri": "urn:effortless:pko-extension#FieldGrant",
    "Name": "principal-process-steward -&gt; AgentDecisionRecords.StepExecutionWhenUnconfirmed",
    "FieldTable": "AgentDecisionRecords",
    "FieldName": "StepExecutionWhenUnconfirmed",
    "FieldIsDerived": true,
    "IsWritableDerivedField": false,
    "IsMasked": false,
    "GrantKeyWhenReadable": "principal-process-steward|AgentDecisionRecords"
   },
   {
    "FieldGrantId": "fg-process-steward-AgentDecisionRecords.AgentWhenBoundaryViolated",
    "Principal": "principal-process-steward",
    "TargetField": "AgentDecisionRecords.AgentWhenBoundaryViolated",
    "CanRead": true,
    "CanWrite": false,
    "MaskStrategy": "plain",
    "SemanticTypeIri": "urn:effortless:pko-extension#FieldGrant",
    "Name": "principal-process-steward -&gt; AgentDecisionRecords.AgentWhenBoundaryViolated",
    "FieldTable": "AgentDecisionRecords",
    "FieldName": "AgentWhenBoundaryViolated",
    "FieldIsDerived": true,
    "IsWritableDerivedField": false,
    "IsMasked": false,
    "GrantKeyWhenReadable": "principal-process-steward|AgentDecisionRecords"
   },
   {
    "FieldGrantId": "fg-process-steward-AgentDecisionRecords.ReviewLatencyMinutes",
    "Principal": "principal-process-steward",
    "TargetField": "AgentDecisionRecords.ReviewLatencyMinutes",
    "CanRead": true,
    "CanWrite": false,
    "MaskStrategy": "plain",
    "SemanticTypeIri": "urn:effortless:pko-extension#FieldGrant",
    "Name": "principal-process-steward -&gt; AgentDecisionRecords.ReviewLatencyMinutes",
    "FieldTable": "AgentDecisionRecords",
    "FieldName": "ReviewLatencyMinutes",
    "FieldIsDerived": true,
    "IsWritableDerivedField": false,
    "IsMasked": false,
    "GrantKeyWhenReadable": "principal-process-steward|AgentDecisionRecords"
   },
   {
    "FieldGrantId": "fg-process-steward-AgentDecisionRecords.IsDraftKind",
    "Principal": "principal-process-steward",
    "TargetField": "AgentDecisionRecords.IsDraftKind",
    "CanRead": true,
    "CanWrite": false,
    "MaskStrategy": "plain",
    "SemanticTypeIri": "urn:effortless:pko-extension#FieldGrant",
    "Name": "principal-process-steward -&gt; AgentDecisionRecords.IsDraftKind",
    "FieldTable": "AgentDecisionRecords",
    "FieldName": "IsDraftKind",
    "FieldIsDerived": true,
    "IsWritableDerivedField": false,
    "IsMasked": false,
    "GrantKeyWhenReadable": "principal-process-steward|AgentDecisionRecords"
   },
   {
    "FieldGrantId": "fg-process-steward-AgentDecisionRecords.AgentWhenDraftOverridden",
    "Principal": "principal-process-steward",
    "TargetField": "AgentDecisionRecords.AgentWhenDraftOverridden",
    "CanRead": true,
    "CanWrite": false,
    "MaskStrategy": "plain",
    "SemanticTypeIri": "urn:effortless:pko-extension#FieldGrant",
    "Name": "principal-process-steward -&gt; AgentDecisionRecords.AgentWhenDraftOverridden",
    "FieldTable": "AgentDecisionRecords",
    "FieldName": "AgentWhenDraftOverridden",
    "FieldIsDerived": true,
    "IsWritableDerivedField": false,
    "IsMasked": false,
    "GrantKeyWhenReadable": "principal-process-steward|AgentDecisionRecords"
   },
   {
    "FieldGrantId": "fg-process-steward-AgentDecisionRecords.AgentWhenDraft",
    "Principal": "principal-process-steward",
    "TargetField": "AgentDecisionRecords.AgentWhenDraft",
    "CanRead": true,
    "CanWrite": false,
    "MaskStrategy": "plain",
    "SemanticTypeIri": "urn:effortless:pko-extension#FieldGrant",
    "Name": "principal-process-steward -&gt; AgentDecisionRecords.AgentWhenDraft",
    "FieldTable": "AgentDecisionRecords",
    "FieldName": "AgentWhenDraft",
    "FieldIsDerived": true,
    "IsWritableDerivedField": false,
    "IsMasked": false,
    "GrantKeyWhenReadable": "principal-process-steward|AgentDecisionRecords"
   },
   {
    "FieldGrantId": "fg-process-steward-AgentDecisionRecords.OverrideReasonKind",
    "Principal": "principal-process-steward",
    "TargetField": "AgentDecisionRecords.OverrideReasonKind",
    "CanRead": true,
    "CanWrite": false,
    "MaskStrategy": "plain",
    "SemanticTypeIri": "urn:effortless:pko-extension#FieldGrant",
    "Name": "principal-process-steward -&gt; AgentDecisionRecords.OverrideReasonKind",
    "FieldTable": "AgentDecisionRecords",
    "FieldName": "OverrideReasonKind",
    "FieldIsDerived": false,
    "IsWritableDerivedField": false,
    "IsMasked": false,
    "GrantKeyWhenReadable": "principal-process-steward|AgentDecisionRecords"
   },
   {
    "FieldGrantId": "fg-process-steward-AgentDecisionRecords.IsErrorCorrection",
    "Principal": "principal-process-steward",
    "TargetField": "AgentDecisionRecords.IsErrorCorrection",
    "CanRead": true,
    "CanWrite": false,
    "MaskStrategy": "plain",
    "SemanticTypeIri": "urn:effortless:pko-extension#FieldGrant",
    "Name": "principal-process-steward -&gt; AgentDecisionRecords.IsErrorCorrection",
    "FieldTable": "AgentDecisionRecords",
    "FieldName": "IsErrorCorrection",
    "FieldIsDerived": true,
    "IsWritableDerivedField": false,
    "IsMasked": false,
    "GrantKeyWhenReadable": "principal-process-steward|AgentDecisionRecords"
   },
   {
    "FieldGrantId": "fg-process-steward-AgentDecisionRecords.IsReservedJudgmentOverride",
    "Principal": "principal-process-steward",
    "TargetField": "AgentDecisionRecords.IsReservedJudgmentOverride",
    "CanRead": true,
    "CanWrite": false,
    "MaskStrategy": "plain",
    "SemanticTypeIri": "urn:effortless:pko-extension#FieldGrant",
    "Name": "principal-process-steward -&gt; AgentDecisionRecords.IsReservedJudgmentOverride",
    "FieldTable": "AgentDecisionRecords",
    "FieldName": "IsReservedJudgmentOverride",
    "FieldIsDerived": true,
    "IsWritableDerivedField": false,
    "IsMasked": false,
    "GrantKeyWhenReadable": "principal-process-steward|AgentDecisionRecords"
   },
   {
    "FieldGrantId": "fg-process-steward-AgentDecisionRecords.OverrideReasonIsRecorded",
    "Principal": "principal-process-steward",
    "TargetField": "AgentDecisionRecords.OverrideReasonIsRecorded",
    "CanRead": true,
    "CanWrite": false,
    "MaskStrategy": "plain",
    "SemanticTypeIri": "urn:effortless:pko-extension#FieldGrant",
    "Name": "principal-process-steward -&gt; AgentDecisionRecords.OverrideReasonIsRecorded",
    "FieldTable": "AgentDecisionRecords",
    "FieldName": "OverrideReasonIsRecorded",
    "FieldIsDerived": true,
    "IsWritableDerivedField": false,
    "IsMasked": false,
    "GrantKeyWhenReadable": "principal-process-steward|AgentDecisionRecords"
   },
   {
    "FieldGrantId": "fg-process-steward-AgentDecisionRecords.IsUnexplainedOverride",
    "Principal": "principal-process-steward",
    "TargetField": "AgentDecisionRecords.IsUnexplainedOverride",
    "CanRead": true,
    "CanWrite": false,
    "MaskStrategy": "plain",
    "SemanticTypeIri": "urn:effortless:pko-extension#FieldGrant",
    "Name": "principal-process-steward -&gt; AgentDecisionRecords.IsUnexplainedOverride",
    "FieldTable": "AgentDecisionRecords",
    "FieldName": "IsUnexplainedOverride",
    "FieldIsDerived": true,
    "IsWritableDerivedField": false,
    "IsMasked": false,
    "GrantKeyWhenReadable": "principal-process-steward|AgentDecisionRecords"
   },
   {
    "FieldGrantId": "fg-process-steward-AgentDecisionRecords.ErrorCorrectionRoleAssignmentKey",
    "Principal": "principal-process-steward",
    "TargetField": "AgentDecisionRecords.ErrorCorrectionRoleAssignmentKey",
    "CanRead": true,
    "CanWrite": false,
    "MaskStrategy": "plain",
    "SemanticTypeIri": "urn:effortless:pko-extension#FieldGrant",
    "Name": "principal-process-steward -&gt; AgentDecisionRecords.ErrorCorrectionRoleAssignmentKey",
    "FieldTable": "AgentDecisionRecords",
    "FieldName": "ErrorCorrectionRoleAssignmentKey",
    "FieldIsDerived": true,
    "IsWritableDerivedField": false,
    "IsMasked": false,
    "GrantKeyWhenReadable": "principal-process-steward|AgentDecisionRecords"
   },
   {
    "FieldGrantId": "fg-process-steward-AgentDecisionRecords.BoundaryViolationRoleAssignmentKey",
    "Principal": "principal-process-steward",
    "TargetField": "AgentDecisionRecords.BoundaryViolationRoleAssignmentKey",
    "CanRead": true,
    "CanWrite": false,
    "MaskStrategy": "plain",
    "SemanticTypeIri": "urn:effortless:pko-extension#FieldGrant",
    "Name": "principal-process-steward -&gt; AgentDecisionRecords.BoundaryViolationRoleAssignmentKey",
    "FieldTable": "AgentDecisionRecords",
    "FieldName": "BoundaryViolationRoleAssignmentKey",
    "FieldIsDerived": true,
    "IsWritableDerivedField": false,
    "IsMasked": false,
    "GrantKeyWhenReadable": "principal-process-steward|AgentDecisionRecords"
   },
   {
    "FieldGrantId": "fg-process-steward-AgentDecisionRecords.SemanticTypeIri",
    "Principal": "principal-process-steward",
    "TargetField": "AgentDecisionRecords.SemanticTypeIri",
    "CanRead": true,
    "CanWrite": false,
    "MaskStrategy": "plain",
    "SemanticTypeIri": "urn:effortless:pko-extension#FieldGrant",
    "Name": "principal-process-steward -&gt; AgentDecisionRecords.SemanticTypeIri",
    "FieldTable": "AgentDecisionRecords",
    "FieldName": "SemanticTypeIri",
    "FieldIsDerived": false,
    "IsWritableDerivedField": false,
    "IsMasked": false,
    "GrantKeyWhenReadable": "principal-process-steward|AgentDecisionRecords"
   },
   {
    "FieldGrantId": "fg-process-steward-Agents.AgentId",
    "Principal": "principal-process-steward",
    "TargetField": "Agents.AgentId",
    "CanRead": true,
    "CanWrite": false,
    "MaskStrategy": "plain",
    "SemanticTypeIri": "urn:effortless:pko-extension#FieldGrant",
    "Name": "principal-process-steward -&gt; Agents.AgentId",
    "FieldTable": "Agents",
    "FieldName": "AgentId",
    "FieldIsDerived": false,
    "IsWritableDerivedField": false,
    "IsMasked": false,
    "GrantKeyWhenReadable": "principal-process-steward|Agents"
   },
   {
    "FieldGrantId": "fg-process-steward-Agents.Name",
    "Principal": "principal-process-steward",
    "TargetField": "Agents.Name",
    "CanRead": true,
    "CanWrite": false,
    "MaskStrategy": "plain",
    "SemanticTypeIri": "urn:effortless:pko-extension#FieldGrant",
    "Name": "principal-process-steward -&gt; Agents.Name",
    "FieldTable": "Agents",
    "FieldName": "Name",
    "FieldIsDerived": true,
    "IsWritableDerivedField": false,
    "IsMasked": false,
    "GrantKeyWhenReadable": "principal-process-steward|Agents"
   },
   {
    "FieldGrantId": "fg-process-steward-Agents.DisplayName",
    "Principal": "principal-process-steward",
    "TargetField": "Agents.DisplayName",
    "CanRead": true,
    "CanWrite": false,
    "MaskStrategy": "plain",
    "SemanticTypeIri": "urn:effortless:pko-extension#FieldGrant",
    "Name": "principal-process-steward -&gt; Agents.DisplayName",
    "FieldTable": "Agents",
    "FieldName": "DisplayName",
    "FieldIsDerived": false,
    "IsWritableDerivedField": false,
    "IsMasked": false,
    "GrantKeyWhenReadable": "principal-process-steward|Agents"
   },
   {
    "FieldGrantId": "fg-process-steward-Agents.AgentKind",
    "Principal": "principal-process-steward",
    "TargetField": "Agents.AgentKind",
    "CanRead": true,
    "CanWrite": false,
    "MaskStrategy": "plain",
    "SemanticTypeIri": "urn:effortless:pko-extension#FieldGrant",
    "Name": "principal-process-steward -&gt; Agents.AgentKind",
    "FieldTable": "Agents",
    "FieldName": "AgentKind",
    "FieldIsDerived": false,
    "IsWritableDerivedField": false,
    "IsMasked": false,
    "GrantKeyWhenReadable": "principal-process-steward|Agents"
   },
   {
    "FieldGrantId": "fg-process-steward-Agents.Organization",
    "Principal": "principal-process-steward",
    "TargetField": "Agents.Organization",
    "CanRead": true,
    "CanWrite": false,
    "MaskStrategy": "plain",
    "SemanticTypeIri": "urn:effortless:pko-extension#FieldGrant",
    "Name": "principal-process-steward -&gt; Agents.Organization",
    "FieldTable": "Agents",
    "FieldName": "Organization",
    "FieldIsDerived": false,
    "IsWritableDerivedField": false,
    "IsMasked": false,
    "GrantKeyWhenReadable": "principal-process-steward|Agents"
   },
   {
    "FieldGrantId": "fg-process-steward-Agents.ContactAddress",
    "Principal": "principal-process-steward",
    "TargetField": "Agents.ContactAddress",
    "CanRead": true,
    "CanWrite": false,
    "MaskStrategy": "plain",
    "SemanticTypeIri": "urn:effortless:pko-extension#FieldGrant",
    "Name": "principal-process-steward -&gt; Agents.ContactAddress",
    "FieldTable": "Agents",
    "FieldName": "ContactAddress",
    "FieldIsDerived": false,
    "IsWritableDerivedField": false,
    "IsMasked": false,
    "GrantKeyWhenReadable": "principal-process-steward|Agents"
   },
   {
    "FieldGrantId": "fg-process-steward-Agents.VersionOrEmploymentKey",
    "Principal": "principal-process-steward",
    "TargetField": "Agents.VersionOrEmploymentKey",
    "CanRead": true,
    "CanWrite": false,
    "MaskStrategy": "plain",
    "SemanticTypeIri": "urn:effortless:pko-extension#FieldGrant",
    "Name": "principal-process-steward -&gt; Agents.VersionOrEmploymentKey",
    "FieldTable": "Agents",
    "FieldName": "VersionOrEmploymentKey",
    "FieldIsDerived": false,
    "IsWritableDerivedField": false,
    "IsMasked": false,
    "GrantKeyWhenReadable": "principal-process-steward|Agents"
   },
   {
    "FieldGrantId": "fg-process-steward-Agents.CountOfCurrentRoleAssignments",
    "Principal": "principal-process-steward",
    "TargetField": "Agents.CountOfCurrentRoleAssignments",
    "CanRead": true,
    "CanWrite": false,
    "MaskStrategy": "plain",
    "SemanticTypeIri": "urn:effortless:pko-extension#FieldGrant",
    "Name": "principal-process-steward -&gt; Agents.CountOfCurrentRoleAssignments",
    "FieldTable": "Agents",
    "FieldName": "CountOfCurrentRoleAssignments",
    "FieldIsDerived": true,
    "IsWritableDerivedField": false,
    "IsMasked": false,
    "GrantKeyWhenReadable": "principal-process-steward|Agents"
   },
   {
    "FieldGrantId": "fg-process-steward-Agents.IsStillEngaged",
    "Principal": "principal-process-steward",
    "TargetField": "Agents.IsStillEngaged",
    "CanRead": true,
    "CanWrite": false,
    "MaskStrategy": "plain",
    "SemanticTypeIri": "urn:effortless:pko-extension#FieldGrant",
    "Name": "principal-process-steward -&gt; Agents.IsStillEngaged",
    "FieldTable": "Agents",
    "FieldName": "IsStillEngaged",
    "FieldIsDerived": true,
    "IsWritableDerivedField": false,
    "IsMasked": false,
    "GrantKeyWhenReadable": "principal-process-steward|Agents"
   },
   {
    "FieldGrantId": "fg-process-steward-Agents.DecisionCount",
    "Principal": "principal-process-steward",
    "TargetField": "Agents.DecisionCount",
    "CanRead": true,
    "CanWrite": false,
    "MaskStrategy": "plain",
    "SemanticTypeIri": "urn:effortless:pko-extension#FieldGrant",
    "Name": "principal-process-steward -&gt; Agents.DecisionCount",
    "FieldTable": "Agents",
    "FieldName": "DecisionCount",
    "FieldIsDerived": true,
    "IsWritableDerivedField": false,
    "IsMasked": false,
    "GrantKeyWhenReadable": "principal-process-steward|Agents"
   },
   {
    "FieldGrantId": "fg-process-steward-Agents.OverriddenDecisionCount",
    "Principal": "principal-process-steward",
    "TargetField": "Agents.OverriddenDecisionCount",
    "CanRead": true,
    "CanWrite": false,
    "MaskStrategy": "plain",
    "SemanticTypeIri": "urn:effortless:pko-extension#FieldGrant",
    "Name": "principal-process-steward -&gt; Agents.OverriddenDecisionCount",
    "FieldTable": "Agents",
    "FieldName": "OverriddenDecisionCount",
    "FieldIsDerived": true,
    "IsWritableDerivedField": false,
    "IsMasked": false,
    "GrantKeyWhenReadable": "principal-process-steward|Agents"
   },
   {
    "FieldGrantId": "fg-process-steward-Agents.OverrideRatePercent",
    "Principal": "principal-process-steward",
    "TargetField": "Agents.OverrideRatePercent",
    "CanRead": tr</t>
  </si>
  <si>
    <t xml:space="preserve">ue,
    "CanWrite": false,
    "MaskStrategy": "plain",
    "SemanticTypeIri": "urn:effortless:pko-extension#FieldGrant",
    "Name": "principal-process-steward -&gt; Agents.OverrideRatePercent",
    "FieldTable": "Agents",
    "FieldName": "OverrideRatePercent",
    "FieldIsDerived": true,
    "IsWritableDerivedField": false,
    "IsMasked": false,
    "GrantKeyWhenReadable": "principal-process-steward|Agents"
   },
   {
    "FieldGrantId": "fg-process-steward-Agents.IsNonHuman",
    "Principal": "principal-process-steward",
    "TargetField": "Agents.IsNonHuman",
    "CanRead": true,
    "CanWrite": false,
    "MaskStrategy": "plain",
    "SemanticTypeIri": "urn:effortless:pko-extension#FieldGrant",
    "Name": "principal-process-steward -&gt; Agents.IsNonHuman",
    "FieldTable": "Agents",
    "FieldName": "IsNonHuman",
    "FieldIsDerived": true,
    "IsWritableDerivedField": false,
    "IsMasked": false,
    "GrantKeyWhenReadable": "principal-process-steward|Agents"
   },
   {
    "FieldGrantId": "fg-process-steward-Agents.BoundaryViolationCount",
    "Principal": "principal-process-steward",
    "TargetField": "Agents.BoundaryViolationCount",
    "CanRead": true,
    "CanWrite": false,
    "MaskStrategy": "plain",
    "SemanticTypeIri": "urn:effortless:pko-extension#FieldGrant",
    "Name": "principal-process-steward -&gt; Agents.BoundaryViolationCount",
    "FieldTable": "Agents",
    "FieldName": "BoundaryViolationCount",
    "FieldIsDerived": true,
    "IsWritableDerivedField": false,
    "IsMasked": false,
    "GrantKeyWhenReadable": "principal-process-steward|Agents"
   },
   {
    "FieldGrantId": "fg-process-steward-Agents.IsOperatingOutsideBoundary",
    "Principal": "principal-process-steward",
    "TargetField": "Agents.IsOperatingOutsideBoundary",
    "CanRead": true,
    "CanWrite": false,
    "MaskStrategy": "plain",
    "SemanticTypeIri": "urn:effortless:pko-extension#FieldGrant",
    "Name": "principal-process-steward -&gt; Agents.IsOperatingOutsideBoundary",
    "FieldTable": "Agents",
    "FieldName": "IsOperatingOutsideBoundary",
    "FieldIsDerived": true,
    "IsWritableDerivedField": false,
    "IsMasked": false,
    "GrantKeyWhenReadable": "principal-process-steward|Agents"
   },
   {
    "FieldGrantId": "fg-process-steward-Agents.DraftDecisionCount",
    "Principal": "principal-process-steward",
    "TargetField": "Agents.DraftDecisionCount",
    "CanRead": true,
    "CanWrite": false,
    "MaskStrategy": "plain",
    "SemanticTypeIri": "urn:effortless:pko-extension#FieldGrant",
    "Name": "principal-process-steward -&gt; Agents.DraftDecisionCount",
    "FieldTable": "Agents",
    "FieldName": "DraftDecisionCount",
    "FieldIsDerived": true,
    "IsWritableDerivedField": false,
    "IsMasked": false,
    "GrantKeyWhenReadable": "principal-process-steward|Agents"
   },
   {
    "FieldGrantId": "fg-process-steward-Agents.OverriddenDraftCount",
    "Principal": "principal-process-steward",
    "TargetField": "Agents.OverriddenDraftCount",
    "CanRead": true,
    "CanWrite": false,
    "MaskStrategy": "plain",
    "SemanticTypeIri": "urn:effortless:pko-extension#FieldGrant",
    "Name": "principal-process-steward -&gt; Agents.OverriddenDraftCount",
    "FieldTable": "Agents",
    "FieldName": "OverriddenDraftCount",
    "FieldIsDerived": true,
    "IsWritableDerivedField": false,
    "IsMasked": false,
    "GrantKeyWhenReadable": "principal-process-steward|Agents"
   },
   {
    "FieldGrantId": "fg-process-steward-Agents.DraftRewriteRatePercent",
    "Principal": "principal-process-steward",
    "TargetField": "Agents.DraftRewriteRatePercent",
    "CanRead": true,
    "CanWrite": false,
    "MaskStrategy": "plain",
    "SemanticTypeIri": "urn:effortless:pko-extension#FieldGrant",
    "Name": "principal-process-steward -&gt; Agents.DraftRewriteRatePercent",
    "FieldTable": "Agents",
    "FieldName": "DraftRewriteRatePercent",
    "FieldIsDerived": true,
    "IsWritableDerivedField": false,
    "IsMasked": false,
    "GrantKeyWhenReadable": "principal-process-steward|Agents"
   },
   {
    "FieldGrantId": "fg-process-steward-Agents.SemanticTypeIri",
    "Principal": "principal-process-steward",
    "TargetField": "Agents.SemanticTypeIri",
    "CanRead": true,
    "CanWrite": false,
    "MaskStrategy": "plain",
    "SemanticTypeIri": "urn:effortless:pko-extension#FieldGrant",
    "Name": "principal-process-steward -&gt; Agents.SemanticTypeIri",
    "FieldTable": "Agents",
    "FieldName": "SemanticTypeIri",
    "FieldIsDerived": false,
    "IsWritableDerivedField": false,
    "IsMasked": false,
    "GrantKeyWhenReadable": "principal-process-steward|Agents"
   },
   {
    "FieldGrantId": "fg-process-steward-AppNavGroups.AppNavGroupId",
    "Principal": "principal-process-steward",
    "TargetField": "AppNavGroups.AppNavGroupId",
    "CanRead": true,
    "CanWrite": false,
    "MaskStrategy": "plain",
    "SemanticTypeIri": "urn:effortless:pko-extension#FieldGrant",
    "Name": "principal-process-steward -&gt; AppNavGroups.AppNavGroupId",
    "FieldTable": "AppNavGroups",
    "FieldName": "AppNavGroupId",
    "FieldIsDerived": false,
    "IsWritableDerivedField": false,
    "IsMasked": false,
    "GrantKeyWhenReadable": "principal-process-steward|AppNavGroups"
   },
   {
    "FieldGrantId": "fg-process-steward-AppNavGroups.Name",
    "Principal": "principal-process-steward",
    "TargetField": "AppNavGroups.Name",
    "CanRead": true,
    "CanWrite": false,
    "MaskStrategy": "plain",
    "SemanticTypeIri": "urn:effortless:pko-extension#FieldGrant",
    "Name": "principal-process-steward -&gt; AppNavGroups.Name",
    "FieldTable": "AppNavGroups",
    "FieldName": "Name",
    "FieldIsDerived": true,
    "IsWritableDerivedField": false,
    "IsMasked": false,
    "GrantKeyWhenReadable": "principal-process-steward|AppNavGroups"
   },
   {
    "FieldGrantId": "fg-process-steward-AppNavGroups.GroupLabel",
    "Principal": "principal-process-steward",
    "TargetField": "AppNavGroups.GroupLabel",
    "CanRead": true,
    "CanWrite": false,
    "MaskStrategy": "plain",
    "SemanticTypeIri": "urn:effortless:pko-extension#FieldGrant",
    "Name": "principal-process-steward -&gt; AppNavGroups.GroupLabel",
    "FieldTable": "AppNavGroups",
    "FieldName": "GroupLabel",
    "FieldIsDerived": false,
    "IsWritableDerivedField": false,
    "IsMasked": false,
    "GrantKeyWhenReadable": "principal-process-steward|AppNavGroups"
   },
   {
    "FieldGrantId": "fg-process-steward-AppNavGroups.RouteCount",
    "Principal": "principal-process-steward",
    "TargetField": "AppNavGroups.RouteCount",
    "CanRead": true,
    "CanWrite": false,
    "MaskStrategy": "plain",
    "SemanticTypeIri": "urn:effortless:pko-extension#FieldGrant",
    "Name": "principal-process-steward -&gt; AppNavGroups.RouteCount",
    "FieldTable": "AppNavGroups",
    "FieldName": "RouteCount",
    "FieldIsDerived": true,
    "IsWritableDerivedField": false,
    "IsMasked": false,
    "GrantKeyWhenReadable": "principal-process-steward|AppNavGroups"
   },
   {
    "FieldGrantId": "fg-process-steward-AppNavGroups.SemanticTypeIri",
    "Principal": "principal-process-steward",
    "TargetField": "AppNavGroups.SemanticTypeIri",
    "CanRead": true,
    "CanWrite": false,
    "MaskStrategy": "plain",
    "SemanticTypeIri": "urn:effortless:pko-extension#FieldGrant",
    "Name": "principal-process-steward -&gt; AppNavGroups.SemanticTypeIri",
    "FieldTable": "AppNavGroups",
    "FieldName": "SemanticTypeIri",
    "FieldIsDerived": false,
    "IsWritableDerivedField": false,
    "IsMasked": false,
    "GrantKeyWhenReadable": "principal-process-steward|AppNavGroups"
   },
   {
    "FieldGrantId": "fg-process-steward-AppRoleProfiles.AppRoleProfileId",
    "Principal": "principal-process-steward",
    "TargetField": "AppRoleProfiles.AppRoleProfileId",
    "CanRead": true,
    "CanWrite": false,
    "MaskStrategy": "plain",
    "SemanticTypeIri": "urn:effortless:pko-extension#FieldGrant",
    "Name": "principal-process-steward -&gt; AppRoleProfiles.AppRoleProfileId",
    "FieldTable": "AppRoleProfiles",
    "FieldName": "AppRoleProfileId",
    "FieldIsDerived": false,
    "IsWritableDerivedField": false,
    "IsMasked": false,
    "GrantKeyWhenReadable": "principal-process-steward|AppRoleProfiles"
   },
   {
    "FieldGrantId": "fg-process-steward-AppRoleProfiles.Name",
    "Principal": "principal-process-steward",
    "TargetField": "AppRoleProfiles.Name",
    "CanRead": true,
    "CanWrite": false,
    "MaskStrategy": "plain",
    "SemanticTypeIri": "urn:effortless:pko-extension#FieldGrant",
    "Name": "principal-process-steward -&gt; AppRoleProfiles.Name",
    "FieldTable": "AppRoleProfiles",
    "FieldName": "Name",
    "FieldIsDerived": true,
    "IsWritableDerivedField": false,
    "IsMasked": false,
    "GrantKeyWhenReadable": "principal-process-steward|AppRoleProfiles"
   },
   {
    "FieldGrantId": "fg-process-steward-AppRoleProfiles.Role",
    "Principal": "principal-process-steward",
    "TargetField": "AppRoleProfiles.Role",
    "CanRead": true,
    "CanWrite": false,
    "MaskStrategy": "plain",
    "SemanticTypeIri": "urn:effortless:pko-extension#FieldGrant",
    "Name": "principal-process-steward -&gt; AppRoleProfiles.Role",
    "FieldTable": "AppRoleProfiles",
    "FieldName": "Role",
    "FieldIsDerived": false,
    "IsWritableDerivedField": false,
    "IsMasked": false,
    "GrantKeyWhenReadable": "principal-process-steward|AppRoleProfiles"
   },
   {
    "FieldGrantId": "fg-process-steward-AppRoleProfiles.DisplayLabel",
    "Principal": "principal-process-steward",
    "TargetField": "AppRoleProfiles.DisplayLabel",
    "CanRead": true,
    "CanWrite": false,
    "MaskStrategy": "plain",
    "SemanticTypeIri": "urn:effortless:pko-extension#FieldGrant",
    "Name": "principal-process-steward -&gt; AppRoleProfiles.DisplayLabel",
    "FieldTable": "AppRoleProfiles",
    "FieldName": "DisplayLabel",
    "FieldIsDerived": false,
    "IsWritableDerivedField": false,
    "IsMasked": false,
    "GrantKeyWhenReadable": "principal-process-steward|AppRoleProfiles"
   },
   {
    "FieldGrantId": "fg-process-steward-AppRoleProfiles.RoleKind",
    "Principal": "principal-process-steward",
    "TargetField": "AppRoleProfiles.RoleKind",
    "CanRead": true,
    "CanWrite": false,
    "MaskStrategy": "plain",
    "SemanticTypeIri": "urn:effortless:pko-extension#FieldGrant",
    "Name": "principal-process-steward -&gt; AppRoleProfiles.RoleKind",
    "FieldTable": "AppRoleProfiles",
    "FieldName": "RoleKind",
    "FieldIsDerived": false,
    "IsWritableDerivedField": false,
    "IsMasked": false,
    "GrantKeyWhenReadable": "principal-process-steward|AppRoleProfiles"
   },
   {
    "FieldGrantId": "fg-process-steward-AppRoleProfiles.AccentColor",
    "Principal": "principal-process-steward",
    "TargetField": "AppRoleProfiles.AccentColor",
    "CanRead": true,
    "CanWrite": false,
    "MaskStrategy": "plain",
    "SemanticTypeIri": "urn:effortless:pko-extension#FieldGrant",
    "Name": "principal-process-steward -&gt; AppRoleProfiles.AccentColor",
    "FieldTable": "AppRoleProfiles",
    "FieldName": "AccentColor",
    "FieldIsDerived": false,
    "IsWritableDerivedField": false,
    "IsMasked": false,
    "GrantKeyWhenReadable": "principal-process-steward|AppRoleProfiles"
   },
   {
    "FieldGrantId": "fg-process-steward-AppRoleProfiles.IconMark",
    "Principal": "principal-process-steward",
    "TargetField": "AppRoleProfiles.IconMark",
    "CanRead": true,
    "CanWrite": false,
    "MaskStrategy": "plain",
    "SemanticTypeIri": "urn:effortless:pko-extension#FieldGrant",
    "Name": "principal-process-steward -&gt; AppRoleProfiles.IconMark",
    "FieldTable": "AppRoleProfiles",
    "FieldName": "IconMark",
    "FieldIsDerived": false,
    "IsWritableDerivedField": false,
    "IsMasked": false,
    "GrantKeyWhenReadable": "principal-process-steward|AppRoleProfiles"
   },
   {
    "FieldGrantId": "fg-process-steward-AppRoleProfiles.IconPngBase64",
    "Principal": "principal-process-steward",
    "TargetField": "AppRoleProfiles.IconPngBase64",
    "CanRead": true,
    "CanWrite": false,
    "MaskStrategy": "plain",
    "SemanticTypeIri": "urn:effortless:pko-extension#FieldGrant",
    "Name": "principal-process-steward -&gt; AppRoleProfiles.IconPngBase64",
    "FieldTable": "AppRoleProfiles",
    "FieldName": "IconPngBase64",
    "FieldIsDerived": false,
    "IsWritableDerivedField": false,
    "IsMasked": false,
    "GrantKeyWhenReadable": "principal-process-steward|AppRoleProfiles"
   },
   {
    "FieldGrantId": "fg-process-steward-AppRoleProfiles.Pitch",
    "Principal": "principal-process-steward",
    "TargetField": "AppRoleProfiles.Pitch",
    "CanRead": true,
    "CanWrite": false,
    "MaskStrategy": "plain",
    "SemanticTypeIri": "urn:effortless:pko-extension#FieldGrant",
    "Name": "principal-process-steward -&gt; AppRoleProfiles.Pitch",
    "FieldTable": "AppRoleProfiles",
    "FieldName": "Pitch",
    "FieldIsDerived": false,
    "IsWritableDerivedField": false,
    "IsMasked": false,
    "GrantKeyWhenReadable": "principal-process-steward|AppRoleProfiles"
   },
   {
    "FieldGrantId": "fg-process-steward-AppRoleProfiles.SortOrder",
    "Principal": "principal-process-steward",
    "TargetField": "AppRoleProfiles.SortOrder",
    "CanRead": true,
    "CanWrite": false,
    "MaskStrategy": "plain",
    "SemanticTypeIri": "urn:effortless:pko-extension#FieldGrant",
    "Name": "principal-process-steward -&gt; AppRoleProfiles.SortOrder",
    "FieldTable": "AppRoleProfiles",
    "FieldName": "SortOrder",
    "FieldIsDerived": false,
    "IsWritableDerivedField": false,
    "IsMasked": false,
    "GrantKeyWhenReadable": "principal-process-steward|AppRoleProfiles"
   },
   {
    "FieldGrantId": "fg-process-steward-AppRoleProfiles.RouteCount",
    "Principal": "principal-process-steward",
    "TargetField": "AppRoleProfiles.RouteCount",
    "CanRead": true,
    "CanWrite": false,
    "MaskStrategy": "plain",
    "SemanticTypeIri": "urn:effortless:pko-extension#FieldGrant",
    "Name": "principal-process-steward -&gt; AppRoleProfiles.RouteCount",
    "FieldTable": "AppRoleProfiles",
    "FieldName": "RouteCount",
    "FieldIsDerived": true,
    "IsWritableDerivedField": false,
    "IsMasked": false,
    "GrantKeyWhenReadable": "principal-process-steward|AppRoleProfiles"
   },
   {
    "FieldGrantId": "fg-process-steward-AppRoleProfiles.SemanticTypeIri",
    "Principal": "principal-process-steward",
    "TargetField": "AppRoleProfiles.SemanticTypeIri",
    "CanRead": true,
    "CanWrite": false,
    "MaskStrategy": "plain",
    "SemanticTypeIri": "urn:effortless:pko-extension#FieldGrant",
    "Name": "principal-process-steward -&gt; AppRoleProfiles.SemanticTypeIri",
    "FieldTable": "AppRoleProfiles",
    "FieldName": "SemanticTypeIri",
    "FieldIsDerived": false,
    "IsWritableDerivedField": false,
    "IsMasked": false,
    "GrantKeyWhenReadable": "principal-process-steward|AppRoleProfiles"
   },
   {
    "FieldGrantId": "fg-process-steward-AppRouteQuestions.AppRouteQuestionId",
    "Principal": "principal-process-steward",
    "TargetField": "AppRouteQuestions.AppRouteQuestionId",
    "CanRead": true,
    "CanWrite": false,
    "MaskStrategy": "plain",
    "SemanticTypeIri": "urn:effortless:pko-extension#FieldGrant",
    "Name": "principal-process-steward -&gt; AppRouteQuestions.AppRouteQuestionId",
    "FieldTable": "AppRouteQuestions",
    "FieldName": "AppRouteQuestionId",
    "FieldIsDerived": false,
    "IsWritableDerivedField": false,
    "IsMasked": false,
    "GrantKeyWhenReadable": "principal-process-steward|AppRouteQuestions"
   },
   {
    "FieldGrantId": "fg-process-steward-AppRouteQuestions.Name",
    "Principal": "principal-process-steward",
    "TargetField": "AppRouteQuestions.Name",
    "CanRead": true,
    "CanWrite": false,
    "MaskStrategy": "plain",
    "SemanticTypeIri": "urn:effortless:pko-extension#FieldGrant",
    "Name": "principal-process-steward -&gt; AppRouteQuestions.Name",
    "FieldTable": "AppRouteQuestions",
    "FieldName": "Name",
    "FieldIsDerived": true,
    "IsWritableDerivedField": false,
    "IsMasked": false,
    "GrantKeyWhenReadable": "principal-process-steward|AppRouteQuestions"
   },
   {
    "FieldGrantId": "fg-process-steward-AppRouteQuestions.Route",
    "Principal": "principal-process-steward",
    "TargetField": "AppRouteQuestions.Route",
    "CanRead": true,
    "CanWrite": false,
    "MaskStrategy": "plain",
    "SemanticTypeIri": "urn:effortless:pko-extension#FieldGrant",
    "Name": "principal-process-steward -&gt; AppRouteQuestions.Route",
    "FieldTable": "AppRouteQuestions",
    "FieldName": "Route",
    "FieldIsDerived": false,
    "IsWritableDerivedField": false,
    "IsMasked": false,
    "GrantKeyWhenReadable": "principal-process-steward|AppRouteQuestions"
   },
   {
    "FieldGrantId": "fg-process-steward-AppRouteQuestions.Question",
    "Principal": "principal-process-steward",
    "TargetField": "AppRouteQuestions.Question",
    "CanRead": true,
    "CanWrite": false,
    "MaskStrategy": "plain",
    "SemanticTypeIri": "urn:effortless:pko-extension#FieldGrant",
    "Name": "principal-process-steward -&gt; AppRouteQuestions.Question",
    "FieldTable": "AppRouteQuestions",
    "FieldName": "Question",
    "FieldIsDerived": false,
    "IsWritableDerivedField": false,
    "IsMasked": false,
    "GrantKeyWhenReadable": "principal-process-steward|AppRouteQuestions"
   },
   {
    "FieldGrantId": "fg-process-steward-AppRouteQuestions.SemanticTypeIri",
    "Principal": "principal-process-steward",
    "TargetField": "AppRouteQuestions.SemanticTypeIri",
    "CanRead": true,
    "CanWrite": false,
    "MaskStrategy": "plain",
    "SemanticTypeIri": "urn:effortless:pko-extension#FieldGrant",
    "Name": "principal-process-steward -&gt; AppRouteQuestions.SemanticTypeIri",
    "FieldTable": "AppRouteQuestions",
    "FieldName": "SemanticTypeIri",
    "FieldIsDerived": false,
    "IsWritableDerivedField": false,
    "IsMasked": false,
    "GrantKeyWhenReadable": "principal-process-steward|AppRouteQuestions"
   },
   {
    "FieldGrantId": "fg-process-steward-AppRouteReferences.AppRouteReferenceId",
    "Principal": "principal-process-steward",
    "TargetField": "AppRouteReferences.AppRouteReferenceId",
    "CanRead": true,
    "CanWrite": false,
    "MaskStrategy": "plain",
    "SemanticTypeIri": "urn:effortless:pko-extension#FieldGrant",
    "Name": "principal-process-steward -&gt; AppRouteReferences.AppRouteReferenceId",
    "FieldTable": "AppRouteReferences",
    "FieldName": "AppRouteReferenceId",
    "FieldIsDerived": false,
    "IsWritableDerivedField": false,
    "IsMasked": false,
    "GrantKeyWhenReadable": "principal-process-steward|AppRouteReferences"
   },
   {
    "FieldGrantId": "fg-process-steward-AppRouteReferences.Name",
    "Principal": "principal-process-steward",
    "TargetField": "AppRouteReferences.Name",
    "CanRead": true,
    "CanWrite": false,
    "MaskStrategy": "plain",
    "SemanticTypeIri": "urn:effortless:pko-extension#FieldGrant",
    "Name": "principal-process-steward -&gt; AppRouteReferences.Name",
    "FieldTable": "AppRouteReferences",
    "FieldName": "Name",
    "FieldIsDerived": true,
    "IsWritableDerivedField": false,
    "IsMasked": false,
    "GrantKeyWhenReadable": "principal-process-steward|AppRouteReferences"
   },
   {
    "FieldGrantId": "fg-process-steward-AppRouteReferences.FromRoute",
    "Principal": "principal-process-steward",
    "TargetField": "AppRouteReferences.FromRoute",
    "CanRead": true,
    "CanWrite": false,
    "MaskStrategy": "plain",
    "SemanticTypeIri": "urn:effortless:pko-extension#FieldGrant",
    "Name": "principal-process-steward -&gt; AppRouteReferences.FromRoute",
    "FieldTable": "AppRouteReferences",
    "FieldName": "FromRoute",
    "FieldIsDerived": false,
    "IsWritableDerivedField": false,
    "IsMasked": false,
    "GrantKeyWhenReadable": "principal-process-steward|AppRouteReferences"
   },
   {
    "FieldGrantId": "fg-process-steward-AppRouteReferences.ToRoute",
    "Principal": "principal-process-steward",
    "TargetField": "AppRouteReferences.ToRoute",
    "CanRead": true,
    "CanWrite": false,
    "MaskStrategy": "plain",
    "SemanticTypeIri": "urn:effortless:pko-extension#FieldGrant",
    "Name": "principal-process-steward -&gt; AppRouteReferences.ToRoute",
    "FieldTable": "AppRouteReferences",
    "FieldName": "ToRoute",
    "FieldIsDerived": false,
    "IsWritableDerivedField": false,
    "IsMasked": false,
    "GrantKeyWhenReadable": "principal-process-steward|AppRouteReferences"
   },
   {
    "FieldGrantId": "fg-process-steward-AppRouteReferences.SemanticTypeIri",
    "Principal": "principal-process-steward",
    "TargetField": "AppRouteReferences.SemanticTypeIri",
    "CanRead": true,
    "CanWrite": false,
    "MaskStrategy": "plain",
    "SemanticTypeIri": "urn:effortless:pko-extension#FieldGrant",
    "Name": "principal-process-steward -&gt; AppRouteReferences.SemanticTypeIri",
    "FieldTable": "AppRouteReferences",
    "FieldName": "SemanticTypeIri",
    "FieldIsDerived": false,
    "IsWritableDerivedField": false,
    "IsMasked": false,
    "GrantKeyWhenReadable": "principal-process-steward|AppRouteReferences"
   },
   {
    "FieldGrantId": "fg-process-steward-AppRoutes.AppRouteId",
    "Principal": "principal-process-steward",
    "TargetField": "AppRoutes.AppRouteId",
    "CanRead": true,
    "CanWrite": false,
    "MaskStrategy": "plain",
    "SemanticTypeIri": "urn:effortless:pko-extension#FieldGrant",
    "Name": "principal-process-steward -&gt; AppRoutes.AppRouteId",
    "FieldTable": "AppRoutes",
    "FieldName": "AppRouteId",
    "FieldIsDerived": false,
    "IsWritableDerivedField": false,
    "IsMasked": false,
    "GrantKeyWhenReadable": "principal-process-steward|AppRoutes"
   },
   {
    "FieldGrantId": "fg-process-steward-AppRoutes.Name",
    "Principal": "principal-process-steward",
    "TargetField": "AppRoutes.Name",
    "CanRead": true,
    "CanWrite": false,
    "MaskStrategy": "plain",
    "SemanticTypeIri": "urn:effortless:pko-extension#FieldGrant",
    "Name": "principal-process-steward -&gt; AppRoutes.Name",
    "FieldTable": "AppRoutes",
    "FieldName": "Name",
    "FieldIsDerived": true,
    "IsWritableDerivedField": false,
    "IsMasked": false,
    "GrantKeyWhenReadable": "principal-process-steward|AppRoutes"
   },
   {
    "FieldGrantId": "fg-process-steward-AppRoutes.RoutePath",
    "Principal": "principal-process-steward",
    "TargetField": "AppRoutes.RoutePath",
    "CanRead": true,
    "CanWrite": false,
    "MaskStrategy": "plain",
    "SemanticTypeIri": "urn:effortless:pko-extension#FieldGrant",
    "Name": "principal-process-steward -&gt; AppRoutes.RoutePath",
    "FieldTable": "AppRoutes",
    "FieldName": "RoutePath",
    "FieldIsDerived": false,
    "IsWritableDerivedField": false,
    "IsMasked": false,
    "GrantKeyWhenReadable": "principal-process-steward|AppRoutes"
   },
   {
    "FieldGrantId": "fg-process-steward-AppRoutes.RouteName",
    "Principal": "principal-process-steward",
    "TargetField": "AppRoutes.RouteName",
    "CanRead": true,
    "CanWrite": false,
    "MaskStrategy": "plain",
    "SemanticTypeIri": "urn:effortless:pko-extension#FieldGrant",
    "Name": "principal-process-steward -&gt; AppRoutes.RouteName",
    "FieldTable": "AppRoutes",
    "FieldName": "RouteName",
    "FieldIsDerived": false,
    "IsWritableDerivedField": false,
    "IsMasked": false,
    "GrantKeyWhenReadable": "principal-process-steward|AppRoutes"
   },
   {
    "FieldGrantId": "fg-process-steward-AppRoutes.Surface",
    "Principal": "principal-process-steward",
    "TargetField": "AppRoutes.Surface",
    "CanRead": true,
    "CanWrite": false,
    "MaskStrategy": "plain",
    "SemanticTypeIri": "urn:effortless:pko-extension#FieldGrant",
    "Name": "principal-process-steward -&gt; AppRoutes.Surface",
    "FieldTable": "AppRoutes",
    "FieldName": "Surface",
    "FieldIsDerived": false,
    "IsWritableDerivedField": false,
    "IsMasked": false,
    "GrantKeyWhenReadable": "principal-process-steward|AppRoutes"
   },
   {
    "FieldGrantId": "fg-process-steward-AppRoutes.OwningRole",
    "Principal": "principal-process-steward",
    "TargetField": "AppRoutes.OwningRole",
    "CanRead": true,
    "CanWrite": false,
    "MaskStrategy": "plain",
    "SemanticTypeIri": "urn:effortless:pko-extension#FieldGrant",
    "Name": "principal-process-steward -&gt; AppRoutes.OwningRole",
    "FieldTable": "AppRoutes",
    "FieldName": "OwningRole",
    "FieldIsDerived": false,
    "IsWritableDerivedField": false,
    "IsMasked": false,
    "GrantKeyWhenReadable": "principal-process-steward|AppRoutes"
   },
   {
    "FieldGrantId": "fg-process-steward-AppRoutes.NavGroup",
    "Principal": "principal-process-steward",
    "TargetField": "AppRoutes.NavGroup",
    "CanRead": true,
    "CanWrite": false,
    "MaskStrategy": "plain",
    "SemanticTypeIri": "urn:effortless:pko-extension#FieldGrant",
    "Name": "principal-process-steward -&gt; AppRoutes.NavGroup",
    "FieldTable": "AppRoutes",
    "FieldName": "NavGroup",
    "FieldIsDerived": false,
    "IsWritableDerivedField": false,
    "IsMasked": false,
    "GrantKeyWhenReadable": "principal-process-steward|AppRoutes"
   },
   {
    "FieldGrantId": "fg-process-steward-AppRoutes.NavOrder",
    "Principal": "principal-process-steward",
    "TargetField": "AppRoutes.NavOrder",
    "CanRead": true,
    "CanWrite": false,
    "MaskStrategy": "plain",
    "SemanticTypeIri": "urn:effortless:pko-extension#FieldGrant",
    "Name": "principal-process-steward -&gt; AppRoutes.NavOrder",
    "FieldTable": "AppRoutes",
    "FieldName": "NavOrder",
    "FieldIsDerived": false,
    "IsWritableDerivedField": false,
    "IsMasked": false,
    "GrantKeyWhenReadable": "principal-process-steward|AppRoutes"
   },
   {
    "FieldGrantId": "fg-process-steward-AppRoutes.RouteKind",
    "Principal": "principal-process-steward",
    "TargetField": "AppRoutes.RouteKind",
    "CanRead": true,
    "CanWrite": false,
    "MaskStrategy": "plain",
    "SemanticTypeIri": "urn:effortless:pko-extension#FieldGrant",
    "Name": "principal-process-steward -&gt; AppRoutes.RouteKind",
    "FieldTable": "AppRoutes",
    "FieldName": "RouteKind",
    "FieldIsDerived": false,
    "IsWritableDerivedField": false,
    "IsMasked": false,
    "GrantKeyWhenReadable": "principal-process-steward|AppRoutes"
   },
   {
    "FieldGrantId": "fg-process-steward-AppRoutes.Purpose",
    "Principal": "principal-process-steward",
    "TargetField": "AppRoutes.Purpose",
    "CanRead": true,
    "CanWrite": false,
    "MaskStrategy": "plain",
    "SemanticTypeIri": "urn:effortless:pko-extension#FieldGrant",
    "Name": "principal-process-steward -&gt; AppRoutes.Purpose",
    "FieldTable": "AppRoutes",
    "FieldName": "Purpose",
    "FieldIsDerived": false,
    "IsWritableDerivedField": false,
    "IsMasked": false,
    "GrantKeyWhenReadable": "principal-process-steward|AppRoutes"
   },
   {
    "FieldGrantId": "fg-process-steward-AppRoutes.LayoutHints",
    "Principal": "principal-process-steward",
    "TargetField": "AppRoutes.LayoutHints",
    "CanRead": true,
    "CanWrite": false,
    "MaskStrategy": "plain",
    "SemanticTypeIri": "urn:effortless:pko-extension#FieldGrant",
    "Name": "principal-process-steward -&gt; AppRoutes.LayoutHints",
    "FieldTable": "AppRoutes",
    "FieldName": "LayoutHints",
    "FieldIsDerived": false,
    "IsWritableDerivedField": false,
    "IsMasked": false,
    "GrantKeyWhenReadable": "principal-process-steward|AppRoutes"
   },
   {
    "FieldGrantId": "fg-process-steward-AppRoutes.IsInNav",
    "Principal": "principal-process-steward",
    "TargetField": "AppRoutes.IsInNav",
    "CanRead": true,
    "CanWrite": false,
    "MaskStrategy": "plain",
    "SemanticTypeIri": "urn:effortless:pko-extension#FieldGrant",
    "Name": "principal-process-steward -&gt; AppRoutes.IsInNav",
    "FieldTable": "AppRoutes",
    "FieldName": "IsInNav",
    "FieldIsDerived": true,
    "IsWritableDerivedField": false,
    "IsMasked": false,
    "GrantKeyWhenReadable": "principal-process-steward|AppRoutes"
   },
   {
    "FieldGrantId": "fg-process-steward-AppRoutes.IsShared",
    "Principal": "principal-process-steward",
    "TargetField": "AppRoutes.IsShared",
    "CanRead": true,
    "CanWrite": false,
    "MaskStrategy": "plain",
    "SemanticTypeIri": "urn:effortless:pko-extension#FieldGrant",
    "Name": "principal-process-steward -&gt; AppRoutes.IsShared",
    "FieldTable": "AppRoutes",
    "FieldName": "IsShared",
    "FieldIsDerived": true,
    "IsWritableDerivedField": false,
    "IsMasked": false,
    "GrantKeyWhenReadable": "principal-process-steward|AppRoutes"
   },
   {
    "FieldGrantId": "fg-process-steward-AppRoutes.IsMaintainer",
    "Principal": "principal-process-steward",
    "TargetField": "AppRoutes.IsMaintainer",
    "CanRead": true,
    "CanWrite": false,
    "MaskStrategy": "plain",
    "SemanticTypeIri": "urn:effortless:pko-extension#FieldGrant",
    "Name": "principal-process-steward -&gt; AppRoutes.IsMaintainer",
    "FieldTable": "AppRoutes",
    "FieldName": "IsMaintainer",
    "FieldIsDerived": true,
    "IsWritableDerivedField": false,
    "IsMasked": false,
    "GrantKeyWhenReadable": "principal-process-steward|AppRoutes"
   },
   {
    "FieldGrantId": "fg-process-steward-AppRoutes.QuestionCount",
    "Principal": "principal-process-steward",
    "TargetField": "AppRoutes.QuestionCount",
    "CanRead": true,
    "CanWrite": false,
    "MaskStrategy": "plain",
    "SemanticTypeIri": "urn:effortless:pko-extension#FieldGrant",
    "Name": "principal-process-steward -&gt; AppRoutes.QuestionCount",
    "FieldTable": "AppRoutes",
    "FieldName": "QuestionCount",
    "FieldIsDerived": true,
    "IsWritableDerivedField": false,
    "IsMasked": false,
    "GrantKeyWhenReadable": "principal-process-steward|AppRoutes"
   },
   {
    "FieldGrantId": "fg-process-steward-AppRoutes.ReferenceCount",
    "Principal": "principal-process-steward",
    "TargetField": "AppRoutes.ReferenceCount",
    "CanRead": true,
    "CanWrite": false,
    "MaskStrategy": "plain",
    "SemanticTypeIri": "urn:effortless:pko-extension#FieldGrant",
    "Name": "principal-process-steward -&gt; AppRoutes.ReferenceCount",
    "FieldTable": "AppRoutes",
    "FieldName": "ReferenceCount",
    "FieldIsDerived": true,
    "IsWritableDerivedField": false,
    "IsMasked": false,
    "GrantKeyWhenReadable": "principal-process-steward|AppRoutes"
   },
   {
    "FieldGrantId": "fg-process-steward-AppRoutes.AnswersNoQuestion",
    "Principal": "principal-process-steward",
    "TargetField": "AppRoutes.AnswersNoQuestion",
    "CanRead": true,
    "CanWrite": false,
    "MaskStrategy": "plain",
    "SemanticTypeIri": "urn:effortless:pko-extension#FieldGrant",
    "Name": "principal-process-steward -&gt; AppRoutes.AnswersNoQuestion",
    "FieldTable": "AppRoutes",
    "FieldName": "AnswersNoQuestion",
    "FieldIsDerived": true,
    "IsWritableDerivedField": false,
    "IsMasked": false,
    "GrantKeyWhenReadable": "principal-process-steward|AppRoutes"
   },
   {
    "FieldGrantId": "fg-process-steward-AppRoutes.SemanticTypeIri",
    "Principal": "principal-process-steward",
    "TargetField": "AppRoutes.SemanticTypeIri",
    "CanRead": true,
    "CanWrite": false,
    "MaskStrategy": "plain",
    "SemanticTypeIri": "urn:effortless:pko-extension#FieldGrant",
    "Name": "principal-process-steward -&gt; AppRoutes.SemanticTypeIri",
    "FieldTable": "AppRoutes",
    "FieldName": "SemanticTypeIri",
    "FieldIsDerived": false,
    "IsWritableDerivedField": false,
    "IsMasked": false,
    "GrantKeyWhenReadable": "principal-process-steward|AppRoutes"
   },
   {
    "FieldGrantId": "fg-process-steward-Attestations.AttestationId",
    "Principal": "principal-process-steward",
    "TargetField": "Attestations.AttestationId",
    "CanRead": true,
    "CanWrite": false,
    "MaskStrategy": "plain",
    "SemanticTypeIri": "urn:effortless:pko-extension#FieldGrant",
    "Name": "principal-process-steward -&gt; Attestations.AttestationId",
    "FieldTable": "Attestations",
    "FieldName": "AttestationId",
    "FieldIsDerived": false,
    "IsWritableDerivedField": false,
    "IsMasked": false,
    "GrantKeyWhenReadable": "principal-process-steward|Attestations"
   },
   {
    "FieldGrantId": "fg-process-steward-Attestations.Name",
    "Principal": "principal-process-steward",
    "TargetField": "Attestations.Name",
    "CanRead": true,
    "CanWrite": false,
    "MaskStrategy": "plain",
    "SemanticTypeIri": "urn:effortless:pko-extension#FieldGrant",
    "Name": "principal-process-steward -&gt; Attestations.Name",
    "FieldTable": "Attestation</t>
  </si>
  <si>
    <t xml:space="preserve">s",
    "FieldName": "Name",
    "FieldIsDerived": true,
    "IsWritableDerivedField": false,
    "IsMasked": false,
    "GrantKeyWhenReadable": "principal-process-steward|Attestations"
   },
   {
    "FieldGrantId": "fg-process-steward-Attestations.ProcedureExecution",
    "Principal": "principal-process-steward",
    "TargetField": "Attestations.ProcedureExecution",
    "CanRead": true,
    "CanWrite": false,
    "MaskStrategy": "plain",
    "SemanticTypeIri": "urn:effortless:pko-extension#FieldGrant",
    "Name": "principal-process-steward -&gt; Attestations.ProcedureExecution",
    "FieldTable": "Attestations",
    "FieldName": "ProcedureExecution",
    "FieldIsDerived": false,
    "IsWritableDerivedField": false,
    "IsMasked": false,
    "GrantKeyWhenReadable": "principal-process-steward|Attestations"
   },
   {
    "FieldGrantId": "fg-process-steward-Attestations.SignedByAgent",
    "Principal": "principal-process-steward",
    "TargetField": "Attestations.SignedByAgent",
    "CanRead": true,
    "CanWrite": false,
    "MaskStrategy": "plain",
    "SemanticTypeIri": "urn:effortless:pko-extension#FieldGrant",
    "Name": "principal-process-steward -&gt; Attestations.SignedByAgent",
    "FieldTable": "Attestations",
    "FieldName": "SignedByAgent",
    "FieldIsDerived": false,
    "IsWritableDerivedField": false,
    "IsMasked": false,
    "GrantKeyWhenReadable": "principal-process-steward|Attestations"
   },
   {
    "FieldGrantId": "fg-process-steward-Attestations.SignedAt",
    "Principal": "principal-process-steward",
    "TargetField": "Attestations.SignedAt",
    "CanRead": true,
    "CanWrite": false,
    "MaskStrategy": "plain",
    "SemanticTypeIri": "urn:effortless:pko-extension#FieldGrant",
    "Name": "principal-process-steward -&gt; Attestations.SignedAt",
    "FieldTable": "Attestations",
    "FieldName": "SignedAt",
    "FieldIsDerived": false,
    "IsWritableDerivedField": false,
    "IsMasked": false,
    "GrantKeyWhenReadable": "principal-process-steward|Attestations"
   },
   {
    "FieldGrantId": "fg-process-steward-Attestations.AssuranceGradeAtSigning",
    "Principal": "principal-process-steward",
    "TargetField": "Attestations.AssuranceGradeAtSigning",
    "CanRead": true,
    "CanWrite": false,
    "MaskStrategy": "plain",
    "SemanticTypeIri": "urn:effortless:pko-extension#FieldGrant",
    "Name": "principal-process-steward -&gt; Attestations.AssuranceGradeAtSigning",
    "FieldTable": "Attestations",
    "FieldName": "AssuranceGradeAtSigning",
    "FieldIsDerived": false,
    "IsWritableDerivedField": false,
    "IsMasked": false,
    "GrantKeyWhenReadable": "principal-process-steward|Attestations"
   },
   {
    "FieldGrantId": "fg-process-steward-Attestations.VersionWasFitAtSigning",
    "Principal": "principal-process-steward",
    "TargetField": "Attestations.VersionWasFitAtSigning",
    "CanRead": true,
    "CanWrite": false,
    "MaskStrategy": "plain",
    "SemanticTypeIri": "urn:effortless:pko-extension#FieldGrant",
    "Name": "principal-process-steward -&gt; Attestations.VersionWasFitAtSigning",
    "FieldTable": "Attestations",
    "FieldName": "VersionWasFitAtSigning",
    "FieldIsDerived": false,
    "IsWritableDerivedField": false,
    "IsMasked": false,
    "GrantKeyWhenReadable": "principal-process-steward|Attestations"
   },
   {
    "FieldGrantId": "fg-process-steward-Attestations.VersionIsFitNow",
    "Principal": "principal-process-steward",
    "TargetField": "Attestations.VersionIsFitNow",
    "CanRead": true,
    "CanWrite": false,
    "MaskStrategy": "plain",
    "SemanticTypeIri": "urn:effortless:pko-extension#FieldGrant",
    "Name": "principal-process-steward -&gt; Attestations.VersionIsFitNow",
    "FieldTable": "Attestations",
    "FieldName": "VersionIsFitNow",
    "FieldIsDerived": true,
    "IsWritableDerivedField": false,
    "IsMasked": false,
    "GrantKeyWhenReadable": "principal-process-steward|Attestations"
   },
   {
    "FieldGrantId": "fg-process-steward-Attestations.FitnessVerdictHasDrifted",
    "Principal": "principal-process-steward",
    "TargetField": "Attestations.FitnessVerdictHasDrifted",
    "CanRead": true,
    "CanWrite": false,
    "MaskStrategy": "plain",
    "SemanticTypeIri": "urn:effortless:pko-extension#FieldGrant",
    "Name": "principal-process-steward -&gt; Attestations.FitnessVerdictHasDrifted",
    "FieldTable": "Attestations",
    "FieldName": "FitnessVerdictHasDrifted",
    "FieldIsDerived": true,
    "IsWritableDerivedField": false,
    "IsMasked": false,
    "GrantKeyWhenReadable": "principal-process-steward|Attestations"
   },
   {
    "FieldGrantId": "fg-process-steward-Attestations.AssuranceGradeNow",
    "Principal": "principal-process-steward",
    "TargetField": "Attestations.AssuranceGradeNow",
    "CanRead": true,
    "CanWrite": false,
    "MaskStrategy": "plain",
    "SemanticTypeIri": "urn:effortless:pko-extension#FieldGrant",
    "Name": "principal-process-steward -&gt; Attestations.AssuranceGradeNow",
    "FieldTable": "Attestations",
    "FieldName": "AssuranceGradeNow",
    "FieldIsDerived": true,
    "IsWritableDerivedField": false,
    "IsMasked": false,
    "GrantKeyWhenReadable": "principal-process-steward|Attestations"
   },
   {
    "FieldGrantId": "fg-process-steward-Attestations.AssuranceGradeHasDrifted",
    "Principal": "principal-process-steward",
    "TargetField": "Attestations.AssuranceGradeHasDrifted",
    "CanRead": true,
    "CanWrite": false,
    "MaskStrategy": "plain",
    "SemanticTypeIri": "urn:effortless:pko-extension#FieldGrant",
    "Name": "principal-process-steward -&gt; Attestations.AssuranceGradeHasDrifted",
    "FieldTable": "Attestations",
    "FieldName": "AssuranceGradeHasDrifted",
    "FieldIsDerived": true,
    "IsWritableDerivedField": false,
    "IsMasked": false,
    "GrantKeyWhenReadable": "principal-process-steward|Attestations"
   },
   {
    "FieldGrantId": "fg-process-steward-Attestations.WouldNotSurviveRestatement",
    "Principal": "principal-process-steward",
    "TargetField": "Attestations.WouldNotSurviveRestatement",
    "CanRead": true,
    "CanWrite": false,
    "MaskStrategy": "plain",
    "SemanticTypeIri": "urn:effortless:pko-extension#FieldGrant",
    "Name": "principal-process-steward -&gt; Attestations.WouldNotSurviveRestatement",
    "FieldTable": "Attestations",
    "FieldName": "WouldNotSurviveRestatement",
    "FieldIsDerived": true,
    "IsWritableDerivedField": false,
    "IsMasked": false,
    "GrantKeyWhenReadable": "principal-process-steward|Attestations"
   },
   {
    "FieldGrantId": "fg-process-steward-AuthorityBoundaries.AuthorityBoundaryId",
    "Principal": "principal-process-steward",
    "TargetField": "AuthorityBoundaries.AuthorityBoundaryId",
    "CanRead": true,
    "CanWrite": false,
    "MaskStrategy": "plain",
    "SemanticTypeIri": "urn:effortless:pko-extension#FieldGrant",
    "Name": "principal-process-steward -&gt; AuthorityBoundaries.AuthorityBoundaryId",
    "FieldTable": "AuthorityBoundaries",
    "FieldName": "AuthorityBoundaryId",
    "FieldIsDerived": false,
    "IsWritableDerivedField": false,
    "IsMasked": false,
    "GrantKeyWhenReadable": "principal-process-steward|AuthorityBoundaries"
   },
   {
    "FieldGrantId": "fg-process-steward-AuthorityBoundaries.Name",
    "Principal": "principal-process-steward",
    "TargetField": "AuthorityBoundaries.Name",
    "CanRead": true,
    "CanWrite": false,
    "MaskStrategy": "plain",
    "SemanticTypeIri": "urn:effortless:pko-extension#FieldGrant",
    "Name": "principal-process-steward -&gt; AuthorityBoundaries.Name",
    "FieldTable": "AuthorityBoundaries",
    "FieldName": "Name",
    "FieldIsDerived": true,
    "IsWritableDerivedField": false,
    "IsMasked": false,
    "GrantKeyWhenReadable": "principal-process-steward|AuthorityBoundaries"
   },
   {
    "FieldGrantId": "fg-process-steward-AuthorityBoundaries.Step",
    "Principal": "principal-process-steward",
    "TargetField": "AuthorityBoundaries.Step",
    "CanRead": true,
    "CanWrite": false,
    "MaskStrategy": "plain",
    "SemanticTypeIri": "urn:effortless:pko-extension#FieldGrant",
    "Name": "principal-process-steward -&gt; AuthorityBoundaries.Step",
    "FieldTable": "AuthorityBoundaries",
    "FieldName": "Step",
    "FieldIsDerived": false,
    "IsWritableDerivedField": false,
    "IsMasked": false,
    "GrantKeyWhenReadable": "principal-process-steward|AuthorityBoundaries"
   },
   {
    "FieldGrantId": "fg-process-steward-AuthorityBoundaries.ForbiddenAgentKind",
    "Principal": "principal-process-steward",
    "TargetField": "AuthorityBoundaries.ForbiddenAgentKind",
    "CanRead": true,
    "CanWrite": false,
    "MaskStrategy": "plain",
    "SemanticTypeIri": "urn:effortless:pko-extension#FieldGrant",
    "Name": "principal-process-steward -&gt; AuthorityBoundaries.ForbiddenAgentKind",
    "FieldTable": "AuthorityBoundaries",
    "FieldName": "ForbiddenAgentKind",
    "FieldIsDerived": false,
    "IsWritableDerivedField": false,
    "IsMasked": false,
    "GrantKeyWhenReadable": "principal-process-steward|AuthorityBoundaries"
   },
   {
    "FieldGrantId": "fg-process-steward-AuthorityBoundaries.ForbiddenDecisionKind",
    "Principal": "principal-process-steward",
    "TargetField": "AuthorityBoundaries.ForbiddenDecisionKind",
    "CanRead": true,
    "CanWrite": false,
    "MaskStrategy": "plain",
    "SemanticTypeIri": "urn:effortless:pko-extension#FieldGrant",
    "Name": "principal-process-steward -&gt; AuthorityBoundaries.ForbiddenDecisionKind",
    "FieldTable": "AuthorityBoundaries",
    "FieldName": "ForbiddenDecisionKind",
    "FieldIsDerived": false,
    "IsWritableDerivedField": false,
    "IsMasked": false,
    "GrantKeyWhenReadable": "principal-process-steward|AuthorityBoundaries"
   },
   {
    "FieldGrantId": "fg-process-steward-AuthorityBoundaries.RatifiedByKnowledgeFragment",
    "Principal": "principal-process-steward",
    "TargetField": "AuthorityBoundaries.RatifiedByKnowledgeFragment",
    "CanRead": true,
    "CanWrite": false,
    "MaskStrategy": "plain",
    "SemanticTypeIri": "urn:effortless:pko-extension#FieldGrant",
    "Name": "principal-process-steward -&gt; AuthorityBoundaries.RatifiedByKnowledgeFragment",
    "FieldTable": "AuthorityBoundaries",
    "FieldName": "RatifiedByKnowledgeFragment",
    "FieldIsDerived": false,
    "IsWritableDerivedField": false,
    "IsMasked": false,
    "GrantKeyWhenReadable": "principal-process-steward|AuthorityBoundaries"
   },
   {
    "FieldGrantId": "fg-process-steward-AuthorityBoundaries.EnforcingRequirement",
    "Principal": "principal-process-steward",
    "TargetField": "AuthorityBoundaries.EnforcingRequirement",
    "CanRead": true,
    "CanWrite": false,
    "MaskStrategy": "plain",
    "SemanticTypeIri": "urn:effortless:pko-extension#FieldGrant",
    "Name": "principal-process-steward -&gt; AuthorityBoundaries.EnforcingRequirement",
    "FieldTable": "AuthorityBoundaries",
    "FieldName": "EnforcingRequirement",
    "FieldIsDerived": false,
    "IsWritableDerivedField": false,
    "IsMasked": false,
    "GrantKeyWhenReadable": "principal-process-steward|AuthorityBoundaries"
   },
   {
    "FieldGrantId": "fg-process-steward-AuthorityBoundaries.AuthorityRole",
    "Principal": "principal-process-steward",
    "TargetField": "AuthorityBoundaries.AuthorityRole",
    "CanRead": true,
    "CanWrite": false,
    "MaskStrategy": "plain",
    "SemanticTypeIri": "urn:effortless:pko-extension#FieldGrant",
    "Name": "principal-process-steward -&gt; AuthorityBoundaries.AuthorityRole",
    "FieldTable": "AuthorityBoundaries",
    "FieldName": "AuthorityRole",
    "FieldIsDerived": false,
    "IsWritableDerivedField": false,
    "IsMasked": false,
    "GrantKeyWhenReadable": "principal-process-steward|AuthorityBoundaries"
   },
   {
    "FieldGrantId": "fg-process-steward-AuthorityBoundaries.ValidFrom",
    "Principal": "principal-process-steward",
    "TargetField": "AuthorityBoundaries.ValidFrom",
    "CanRead": true,
    "CanWrite": false,
    "MaskStrategy": "plain",
    "SemanticTypeIri": "urn:effortless:pko-extension#FieldGrant",
    "Name": "principal-process-steward -&gt; AuthorityBoundaries.ValidFrom",
    "FieldTable": "AuthorityBoundaries",
    "FieldName": "ValidFrom",
    "FieldIsDerived": false,
    "IsWritableDerivedField": false,
    "IsMasked": false,
    "GrantKeyWhenReadable": "principal-process-steward|AuthorityBoundaries"
   },
   {
    "FieldGrantId": "fg-process-steward-AuthorityBoundaries.ValidTo",
    "Principal": "principal-process-steward",
    "TargetField": "AuthorityBoundaries.ValidTo",
    "CanRead": true,
    "CanWrite": false,
    "MaskStrategy": "plain",
    "SemanticTypeIri": "urn:effortless:pko-extension#FieldGrant",
    "Name": "principal-process-steward -&gt; AuthorityBoundaries.ValidTo",
    "FieldTable": "AuthorityBoundaries",
    "FieldName": "ValidTo",
    "FieldIsDerived": false,
    "IsWritableDerivedField": false,
    "IsMasked": false,
    "GrantKeyWhenReadable": "principal-process-steward|AuthorityBoundaries"
   },
   {
    "FieldGrantId": "fg-process-steward-AuthorityBoundaries.Status",
    "Principal": "principal-process-steward",
    "TargetField": "AuthorityBoundaries.Status",
    "CanRead": true,
    "CanWrite": false,
    "MaskStrategy": "plain",
    "SemanticTypeIri": "urn:effortless:pko-extension#FieldGrant",
    "Name": "principal-process-steward -&gt; AuthorityBoundaries.Status",
    "FieldTable": "AuthorityBoundaries",
    "FieldName": "Status",
    "FieldIsDerived": false,
    "IsWritableDerivedField": false,
    "IsMasked": false,
    "GrantKeyWhenReadable": "principal-process-steward|AuthorityBoundaries"
   },
   {
    "FieldGrantId": "fg-process-steward-AuthorityBoundaries.EvaluationContext",
    "Principal": "principal-process-steward",
    "TargetField": "AuthorityBoundaries.EvaluationContext",
    "CanRead": true,
    "CanWrite": false,
    "MaskStrategy": "plain",
    "SemanticTypeIri": "urn:effortless:pko-extension#FieldGrant",
    "Name": "principal-process-steward -&gt; AuthorityBoundaries.EvaluationContext",
    "FieldTable": "AuthorityBoundaries",
    "FieldName": "EvaluationContext",
    "FieldIsDerived": false,
    "IsWritableDerivedField": false,
    "IsMasked": false,
    "GrantKeyWhenReadable": "principal-process-steward|AuthorityBoundaries"
   },
   {
    "FieldGrantId": "fg-process-steward-AuthorityBoundaries.AsOfInstant",
    "Principal": "principal-process-steward",
    "TargetField": "AuthorityBoundaries.AsOfInstant",
    "CanRead": true,
    "CanWrite": false,
    "MaskStrategy": "plain",
    "SemanticTypeIri": "urn:effortless:pko-extension#FieldGrant",
    "Name": "principal-process-steward -&gt; AuthorityBoundaries.AsOfInstant",
    "FieldTable": "AuthorityBoundaries",
    "FieldName": "AsOfInstant",
    "FieldIsDerived": true,
    "IsWritableDerivedField": false,
    "IsMasked": false,
    "GrantKeyWhenReadable": "principal-process-steward|AuthorityBoundaries"
   },
   {
    "FieldGrantId": "fg-process-steward-AuthorityBoundaries.IsCurrentlyBinding",
    "Principal": "principal-process-steward",
    "TargetField": "AuthorityBoundaries.IsCurrentlyBinding",
    "CanRead": true,
    "CanWrite": false,
    "MaskStrategy": "plain",
    "SemanticTypeIri": "urn:effortless:pko-extension#FieldGrant",
    "Name": "principal-process-steward -&gt; AuthorityBoundaries.IsCurrentlyBinding",
    "FieldTable": "AuthorityBoundaries",
    "FieldName": "IsCurrentlyBinding",
    "FieldIsDerived": true,
    "IsWritableDerivedField": false,
    "IsMasked": false,
    "GrantKeyWhenReadable": "principal-process-steward|AuthorityBoundaries"
   },
   {
    "FieldGrantId": "fg-process-steward-AuthorityBoundaries.RatifyingFragmentIsValid",
    "Principal": "principal-process-steward",
    "TargetField": "AuthorityBoundaries.RatifyingFragmentIsValid",
    "CanRead": true,
    "CanWrite": false,
    "MaskStrategy": "plain",
    "SemanticTypeIri": "urn:effortless:pko-extension#FieldGrant",
    "Name": "principal-process-steward -&gt; AuthorityBoundaries.RatifyingFragmentIsValid",
    "FieldTable": "AuthorityBoundaries",
    "FieldName": "RatifyingFragmentIsValid",
    "FieldIsDerived": true,
    "IsWritableDerivedField": false,
    "IsMasked": false,
    "GrantKeyWhenReadable": "principal-process-steward|AuthorityBoundaries"
   },
   {
    "FieldGrantId": "fg-process-steward-AuthorityBoundaries.StepWhenBinding",
    "Principal": "principal-process-steward",
    "TargetField": "AuthorityBoundaries.StepWhenBinding",
    "CanRead": true,
    "CanWrite": false,
    "MaskStrategy": "plain",
    "SemanticTypeIri": "urn:effortless:pko-extension#FieldGrant",
    "Name": "principal-process-steward -&gt; AuthorityBoundaries.StepWhenBinding",
    "FieldTable": "AuthorityBoundaries",
    "FieldName": "StepWhenBinding",
    "FieldIsDerived": true,
    "IsWritableDerivedField": false,
    "IsMasked": false,
    "GrantKeyWhenReadable": "principal-process-steward|AuthorityBoundaries"
   },
   {
    "FieldGrantId": "fg-process-steward-AuthorityBoundaries.BoundaryMatchKey",
    "Principal": "principal-process-steward",
    "TargetField": "AuthorityBoundaries.BoundaryMatchKey",
    "CanRead": true,
    "CanWrite": false,
    "MaskStrategy": "plain",
    "SemanticTypeIri": "urn:effortless:pko-extension#FieldGrant",
    "Name": "principal-process-steward -&gt; AuthorityBoundaries.BoundaryMatchKey",
    "FieldTable": "AuthorityBoundaries",
    "FieldName": "BoundaryMatchKey",
    "FieldIsDerived": true,
    "IsWritableDerivedField": false,
    "IsMasked": false,
    "GrantKeyWhenReadable": "principal-process-steward|AuthorityBoundaries"
   },
   {
    "FieldGrantId": "fg-process-steward-AuthorityBoundaries.ViolationCount",
    "Principal": "principal-process-steward",
    "TargetField": "AuthorityBoundaries.ViolationCount",
    "CanRead": true,
    "CanWrite": false,
    "MaskStrategy": "plain",
    "SemanticTypeIri": "urn:effortless:pko-extension#FieldGrant",
    "Name": "principal-process-steward -&gt; AuthorityBoundaries.ViolationCount",
    "FieldTable": "AuthorityBoundaries",
    "FieldName": "ViolationCount",
    "FieldIsDerived": true,
    "IsWritableDerivedField": false,
    "IsMasked": false,
    "GrantKeyWhenReadable": "principal-process-steward|AuthorityBoundaries"
   },
   {
    "FieldGrantId": "fg-process-steward-AuthorityBoundaries.IsUntested",
    "Principal": "principal-process-steward",
    "TargetField": "AuthorityBoundaries.IsUntested",
    "CanRead": true,
    "CanWrite": false,
    "MaskStrategy": "plain",
    "SemanticTypeIri": "urn:effortless:pko-extension#FieldGrant",
    "Name": "principal-process-steward -&gt; AuthorityBoundaries.IsUntested",
    "FieldTable": "AuthorityBoundaries",
    "FieldName": "IsUntested",
    "FieldIsDerived": true,
    "IsWritableDerivedField": false,
    "IsMasked": false,
    "GrantKeyWhenReadable": "principal-process-steward|AuthorityBoundaries"
   },
   {
    "FieldGrantId": "fg-process-steward-AuthorityBoundaries.HasRatifyingFragment",
    "Principal": "principal-process-steward",
    "TargetField": "AuthorityBoundaries.HasRatifyingFragment",
    "CanRead": true,
    "CanWrite": false,
    "MaskStrategy": "plain",
    "SemanticTypeIri": "urn:effortless:pko-extension#FieldGrant",
    "Name": "principal-process-steward -&gt; AuthorityBoundaries.HasRatifyingFragment",
    "FieldTable": "AuthorityBoundaries",
    "FieldName": "HasRatifyingFragment",
    "FieldIsDerived": true,
    "IsWritableDerivedField": false,
    "IsMasked": false,
    "GrantKeyWhenReadable": "principal-process-steward|AuthorityBoundaries"
   },
   {
    "FieldGrantId": "fg-process-steward-AuthorityBoundaries.IsUnwarranted",
    "Principal": "principal-process-steward",
    "TargetField": "AuthorityBoundaries.IsUnwarranted",
    "CanRead": true,
    "CanWrite": false,
    "MaskStrategy": "plain",
    "SemanticTypeIri": "urn:effortless:pko-extension#FieldGrant",
    "Name": "principal-process-steward -&gt; AuthorityBoundaries.IsUnwarranted",
    "FieldTable": "AuthorityBoundaries",
    "FieldName": "IsUnwarranted",
    "FieldIsDerived": true,
    "IsWritableDerivedField": false,
    "IsMasked": false,
    "GrantKeyWhenReadable": "principal-process-steward|AuthorityBoundaries"
   },
   {
    "FieldGrantId": "fg-process-steward-AuthorityBoundaries.RatifyingFragmentIsOverdue",
    "Principal": "principal-process-steward",
    "TargetField": "AuthorityBoundaries.RatifyingFragmentIsOverdue",
    "CanRead": true,
    "CanWrite": false,
    "MaskStrategy": "plain",
    "SemanticTypeIri": "urn:effortless:pko-extension#FieldGrant",
    "Name": "principal-process-steward -&gt; AuthorityBoundaries.RatifyingFragmentIsOverdue",
    "FieldTable": "AuthorityBoundaries",
    "FieldName": "RatifyingFragmentIsOverdue",
    "FieldIsDerived": true,
    "IsWritableDerivedField": false,
    "IsMasked": false,
    "GrantKeyWhenReadable": "principal-process-steward|AuthorityBoundaries"
   },
   {
    "FieldGrantId": "fg-process-steward-AuthorityBoundaries.RatifyingFragmentIsSingleWitness",
    "Principal": "principal-process-steward",
    "TargetField": "AuthorityBoundaries.RatifyingFragmentIsSingleWitness",
    "CanRead": true,
    "CanWrite": false,
    "MaskStrategy": "plain",
    "SemanticTypeIri": "urn:effortless:pko-extension#FieldGrant",
    "Name": "principal-process-steward -&gt; AuthorityBoundaries.RatifyingFragmentIsSingleWitness",
    "FieldTable": "AuthorityBoundaries",
    "FieldName": "RatifyingFragmentIsSingleWitness",
    "FieldIsDerived": true,
    "IsWritableDerivedField": false,
    "IsMasked": false,
    "GrantKeyWhenReadable": "principal-process-steward|AuthorityBoundaries"
   },
   {
    "FieldGrantId": "fg-process-steward-AuthorityBoundaries.WarrantIsThin",
    "Principal": "principal-process-steward",
    "TargetField": "AuthorityBoundaries.WarrantIsThin",
    "CanRead": true,
    "CanWrite": false,
    "MaskStrategy": "plain",
    "SemanticTypeIri": "urn:effortless:pko-extension#FieldGrant",
    "Name": "principal-process-steward -&gt; AuthorityBoundaries.WarrantIsThin",
    "FieldTable": "AuthorityBoundaries",
    "FieldName": "WarrantIsThin",
    "FieldIsDerived": true,
    "IsWritableDerivedField": false,
    "IsMasked": false,
    "GrantKeyWhenReadable": "principal-process-steward|AuthorityBoundaries"
   },
   {
    "FieldGrantId": "fg-process-steward-AuthorityBoundaries.IsUnwarrantedAndUntested",
    "Principal": "principal-process-steward",
    "TargetField": "AuthorityBoundaries.IsUnwarrantedAndUntested",
    "CanRead": true,
    "CanWrite": false,
    "MaskStrategy": "plain",
    "SemanticTypeIri": "urn:effortless:pko-extension#FieldGrant",
    "Name": "principal-process-steward -&gt; AuthorityBoundaries.IsUnwarrantedAndUntested",
    "FieldTable": "AuthorityBoundaries",
    "FieldName": "IsUnwarrantedAndUntested",
    "FieldIsDerived": true,
    "IsWritableDerivedField": false,
    "IsMasked": false,
    "GrantKeyWhenReadable": "principal-process-steward|AuthorityBoundaries"
   },
   {
    "FieldGrantId": "fg-process-steward-AuthorityBoundaries.UnwarrantedBoundaryStepKey",
    "Principal": "principal-process-steward",
    "TargetField": "AuthorityBoundaries.UnwarrantedBoundaryStepKey",
    "CanRead": true,
    "CanWrite": false,
    "MaskStrategy": "plain",
    "SemanticTypeIri": "urn:effortless:pko-extension#FieldGrant",
    "Name": "principal-process-steward -&gt; AuthorityBoundaries.UnwarrantedBoundaryStepKey",
    "FieldTable": "AuthorityBoundaries",
    "FieldName": "UnwarrantedBoundaryStepKey",
    "FieldIsDerived": true,
    "IsWritableDerivedField": false,
    "IsMasked": false,
    "GrantKeyWhenReadable": "principal-process-steward|AuthorityBoundaries"
   },
   {
    "FieldGrantId": "fg-process-steward-AuthorityBoundaries.RatifyingFragmentKey",
    "Principal": "principal-process-steward",
    "TargetField": "AuthorityBoundaries.RatifyingFragmentKey",
    "CanRead": true,
    "CanWrite": false,
    "MaskStrategy": "plain",
    "SemanticTypeIri": "urn:effortless:pko-extension#FieldGrant",
    "Name": "principal-process-steward -&gt; AuthorityBoundaries.RatifyingFragmentKey",
    "FieldTable": "AuthorityBoundaries",
    "FieldName": "RatifyingFragmentKey",
    "FieldIsDerived": true,
    "IsWritableDerivedField": false,
    "IsMasked": false,
    "GrantKeyWhenReadable": "principal-process-steward|AuthorityBoundaries"
   },
   {
    "FieldGrantId": "fg-process-steward-AuthorityBoundaries.RatifyingFragmentStatus",
    "Principal": "principal-process-steward",
    "TargetField": "AuthorityBoundaries.RatifyingFragmentStatus",
    "CanRead": true,
    "CanWrite": false,
    "MaskStrategy": "plain",
    "SemanticTypeIri": "urn:effortless:pko-extension#FieldGrant",
    "Name": "principal-process-steward -&gt; AuthorityBoundaries.RatifyingFragmentStatus",
    "FieldTable": "AuthorityBoundaries",
    "FieldName": "RatifyingFragmentStatus",
    "FieldIsDerived": true,
    "IsWritableDerivedField": false,
    "IsMasked": false,
    "GrantKeyWhenReadable": "principal-process-steward|AuthorityBoundaries"
   },
   {
    "FieldGrantId": "fg-process-steward-AuthorityBoundaries.RatificationLapsed",
    "Principal": "principal-process-steward",
    "TargetField": "AuthorityBoundaries.RatificationLapsed",
    "CanRead": true,
    "CanWrite": false,
    "MaskStrategy": "plain",
    "SemanticTypeIri": "urn:effortless:pko-extension#FieldGrant",
    "Name": "principal-process-steward -&gt; AuthorityBoundaries.RatificationLapsed",
    "FieldTable": "AuthorityBoundaries",
    "FieldName": "RatificationLapsed",
    "FieldIsDerived": true,
    "IsWritableDerivedField": false,
    "IsMasked": false,
    "GrantKeyWhenReadable": "principal-process-steward|AuthorityBoundaries"
   },
   {
    "FieldGrantId": "fg-process-steward-AuthorityBoundaries.BindsDespiteLapsedRatification",
    "Principal": "principal-process-steward",
    "TargetField": "AuthorityBoundaries.BindsDespiteLapsedRatification",
    "CanRead": true,
    "CanWrite": false,
    "MaskStrategy": "plain",
    "SemanticTypeIri": "urn:effortless:pko-extension#FieldGrant",
    "Name": "principal-process-steward -&gt; AuthorityBoundaries.BindsDespiteLapsedRatification",
    "FieldTable": "AuthorityBoundaries",
    "FieldName": "BindsDespiteLapsedRatification",
    "FieldIsDerived": true,
    "IsWritableDerivedField": false,
    "IsMasked": false,
    "GrantKeyWhenReadable": "principal-process-steward|AuthorityBoundaries"
   },
   {
    "FieldGrantId": "fg-process-steward-AuthorityBoundaries.IsUngroundedAndUntested",
    "Principal": "principal-process-steward",
    "TargetField": "AuthorityBoundaries.IsUngroundedAndUntested",
    "CanRead": true,
    "CanWrite": false,
    "MaskStrategy": "plain",
    "SemanticTypeIri": "urn:effortless:pko-extension#FieldGrant",
    "Name": "principal-process-steward -&gt; AuthorityBoundaries.IsUngroundedAndUntested",
    "FieldTable": "AuthorityBoundaries",
    "FieldName": "IsUngroundedAndUntested",
    "FieldIsDerived": true,
    "IsWritableDerivedField": false,
    "IsMasked": false,
    "GrantKeyWhenReadable": "principal-process-steward|AuthorityBoundaries"
   },
   {
    "FieldGrantId": "fg-process-steward-AuthorityBoundaries.ConstrainedRoleAssignmentKey",
    "Principal": "principal-process-steward",
    "TargetField": "AuthorityBoundaries.ConstrainedRoleAssignmentKey",
    "CanRead": true,
    "CanWrite": false,
    "MaskStrategy": "plain",
    "SemanticTypeIri": "urn:effortless:pko-extension#FieldGrant",
    "Name": "principal-process-steward -&gt; AuthorityBoundaries.ConstrainedRoleAssignmentKey",
    "FieldTable": "AuthorityBoundaries",
    "FieldName": "ConstrainedRoleAssignmentKey",
    "FieldIsDerived": true,
    "IsWritableDerivedField": false,
    "IsMasked": false,
    "GrantKeyWhenReadable": "principal-process-steward|AuthorityBoundaries"
   },
   {
    "FieldGrantId": "fg-process-steward-AuthorityBoundaries.SemanticTypeIri",
    "Principal": "principal-process-steward",
    "TargetField": "AuthorityBoundaries.SemanticTypeIri",
    "CanRead": true,
    "CanWrite": false,
    "MaskStrategy": "plain",
    "SemanticTypeIri": "urn:effortless:pko-extension#FieldGrant",
    "Name": "principal-process-steward -&gt; AuthorityBoundaries.SemanticTypeIri",
    "FieldTable": "AuthorityBoundaries",
    "FieldName": "SemanticTypeIri",
    "FieldIsDerived": false,
    "IsWritableDerivedField": false,
    "IsMasked": false,
    "GrantKeyWhenReadable": "principal-process-steward|AuthorityBoundaries"
   },
   {
    "FieldGrantId": "fg-process-steward-BindingObservations.BindingObservationId",
    "Principal": "principal-process-steward",
    "TargetField": "BindingObservations.BindingObservationId",
    "CanRead": true,
    "CanWrite": false,
    "MaskStrategy": "plain",
    "SemanticTypeIri": "urn:effortless:pko-extension#FieldGrant",
    "Name": "principal-process-steward -&gt; BindingObservations.BindingObservationId",
    "FieldTable": "BindingObservations",
    "FieldName": "BindingObservationId",
    "FieldIsDerived": false,
    "IsWritableDerivedField": false,
    "IsMasked": false,
    "GrantKeyWhenReadable": "principal-process-steward|BindingObservations"
   },
   {
    "FieldGrantId": "fg-process-steward-BindingObservations.Name",
    "Principal": "principal-process-steward",
    "TargetField": "BindingObservations.Name",
    "CanRead": true,
    "CanWrite": false,
    "MaskStrategy": "plain",
    "SemanticTypeIri": "urn:effortless:pko-extension#FieldGrant",
    "Name": "principal-process-steward -&gt; BindingObservations.Name",
    "FieldTable": "BindingObservations",
    "FieldName": "Name",
    "FieldIsDerived": true,
    "IsWritableDerivedField": false,
    "IsMasked": false,
    "GrantKeyWhenReadable": "principal-process-steward|BindingObservations"
   },
   {
    "FieldGrantId": "fg-process-steward-BindingObservations.StepExecution",
    "Principal": "principal-process-steward",
    "TargetField": "BindingObservations.StepExecution",
    "CanRead": true,
    "CanWrite": false,
    "MaskStrategy": "plain",
    "SemanticTypeIri": "urn:effortless:pko-extension#FieldGrant",
    "Name": "principal-process-steward -&gt; BindingObservations.StepExecution",
    "FieldTable": "BindingObservations",
    "FieldName": "StepExecution",
    "FieldIsDerived": false,
    "IsWritableDerivedField": false,
    "IsMasked": false,
    "GrantKeyWhenReadable": "principal-process-steward|BindingObservations"
   },
   {
    "FieldGrantId": "fg-process-steward-BindingObservations.OperationalBinding",
    "Principal": "principal-process-steward",
    "TargetField": "BindingObservations.OperationalBinding",
    "CanRead": true,
    "CanWrite": false,
    "MaskStrategy": "plain",
    "SemanticTypeIri": "urn:effortless:pko-extension#FieldGrant",
    "Name": "principal-process-steward -&gt; BindingObservations.OperationalBinding",
    "FieldTable": "BindingObservations",
    "FieldName": "OperationalBinding",
    "FieldIsDerived": false,
    "IsWritableDerivedField": false,
    "IsMasked": false,
    "GrantKeyWhenReadable": "principal-process-steward|BindingObservations"
   },
   {
    "FieldGrantId": "fg-process-steward-BindingObservations.ObservedSourceTimestamp",
    "Principal": "principal-process-steward",
    "TargetField": "BindingObservations.ObservedSourceTimestamp",
    "CanRead": true,
    "CanWrite": false,
    "MaskStrategy": "plain",
    "SemanticTypeIri": "urn:effortless:pko-extension#FieldGrant",
    "Name": "principal-process-steward -&gt; BindingObservations.ObservedSourceTimestamp",
    "FieldTable": "BindingObservations",
    "FieldName": "ObservedSourceTimestamp",
    "FieldIsDerived": false,
    "IsWritableDerivedField": false,
    "IsMasked": false,
    "GrantKeyWhenReadable": "principal-process-steward|BindingObservations"
   },
   {
    "FieldGrantId": "fg-process-steward-BindingObservations.ReadAt",
    "Principal": "principal-process-steward",
    "TargetField": "BindingObservations.ReadAt",
    "CanRead": true,
    "CanWrite": false,
    "MaskStrategy": "plain",
    "SemanticTypeIri": "urn:effortless:pko-extension#FieldGrant",
    "Name": "principal-process-steward -&gt; BindingObservations.ReadAt",
    "FieldTable": "BindingObservations",
    "FieldName": "ReadAt",
    "FieldIsDerived": false,
    "IsWritableDerivedField": false,
    "IsMasked": false,
    "GrantKeyWhenReadable": "principal-process-steward|BindingObservations"
   },
   {
    "FieldGrantId": "fg-process-steward-BindingObservations.SlaMinutesAtRun",
    "Principal": "principal-process-steward",
    "TargetField": "BindingObservations.SlaMinutesAtRun",
    "CanRead": true,
    "CanWrite": false,
    "MaskStrategy": "plain",
    "SemanticTypeIri": "urn:effortless:pko-extension#FieldGrant",
    "Name": "principal-process-steward -&gt; BindingObservations.SlaMinutesAtRun",
    "Fie</t>
  </si>
  <si>
    <t xml:space="preserve">ldTable": "BindingObservations",
    "FieldName": "SlaMinutesAtRun",
    "FieldIsDerived": true,
    "IsWritableDerivedField": false,
    "IsMasked": false,
    "GrantKeyWhenReadable": "principal-process-steward|BindingObservations"
   },
   {
    "FieldGrantId": "fg-process-steward-BindingObservations.AgeAtRunMinutes",
    "Principal": "principal-process-steward",
    "TargetField": "BindingObservations.AgeAtRunMinutes",
    "CanRead": true,
    "CanWrite": false,
    "MaskStrategy": "plain",
    "SemanticTypeIri": "urn:effortless:pko-extension#FieldGrant",
    "Name": "principal-process-steward -&gt; BindingObservations.AgeAtRunMinutes",
    "FieldTable": "BindingObservations",
    "FieldName": "AgeAtRunMinutes",
    "FieldIsDerived": true,
    "IsWritableDerivedField": false,
    "IsMasked": false,
    "GrantKeyWhenReadable": "principal-process-steward|BindingObservations"
   },
   {
    "FieldGrantId": "fg-process-steward-BindingObservations.WasStaleAtRun",
    "Principal": "principal-process-steward",
    "TargetField": "BindingObservations.WasStaleAtRun",
    "CanRead": true,
    "CanWrite": false,
    "MaskStrategy": "plain",
    "SemanticTypeIri": "urn:effortless:pko-extension#FieldGrant",
    "Name": "principal-process-steward -&gt; BindingObservations.WasStaleAtRun",
    "FieldTable": "BindingObservations",
    "FieldName": "WasStaleAtRun",
    "FieldIsDerived": true,
    "IsWritableDerivedField": false,
    "IsMasked": false,
    "GrantKeyWhenReadable": "principal-process-steward|BindingObservations"
   },
   {
    "FieldGrantId": "fg-process-steward-BindingObservations.IsAuthoritativeBinding",
    "Principal": "principal-process-steward",
    "TargetField": "BindingObservations.IsAuthoritativeBinding",
    "CanRead": true,
    "CanWrite": false,
    "MaskStrategy": "plain",
    "SemanticTypeIri": "urn:effortless:pko-extension#FieldGrant",
    "Name": "principal-process-steward -&gt; BindingObservations.IsAuthoritativeBinding",
    "FieldTable": "BindingObservations",
    "FieldName": "IsAuthoritativeBinding",
    "FieldIsDerived": true,
    "IsWritableDerivedField": false,
    "IsMasked": false,
    "GrantKeyWhenReadable": "principal-process-steward|BindingObservations"
   },
   {
    "FieldGrantId": "fg-process-steward-BindingObservations.StaleAtRunStepKey",
    "Principal": "principal-process-steward",
    "TargetField": "BindingObservations.StaleAtRunStepKey",
    "CanRead": true,
    "CanWrite": false,
    "MaskStrategy": "plain",
    "SemanticTypeIri": "urn:effortless:pko-extension#FieldGrant",
    "Name": "principal-process-steward -&gt; BindingObservations.StaleAtRunStepKey",
    "FieldTable": "BindingObservations",
    "FieldName": "StaleAtRunStepKey",
    "FieldIsDerived": true,
    "IsWritableDerivedField": false,
    "IsMasked": false,
    "GrantKeyWhenReadable": "principal-process-steward|BindingObservations"
   },
   {
    "FieldGrantId": "fg-process-steward-ChangeRequests.ChangeRequestId",
    "Principal": "principal-process-steward",
    "TargetField": "ChangeRequests.ChangeRequestId",
    "CanRead": true,
    "CanWrite": false,
    "MaskStrategy": "plain",
    "SemanticTypeIri": "urn:effortless:pko-extension#FieldGrant",
    "Name": "principal-process-steward -&gt; ChangeRequests.ChangeRequestId",
    "FieldTable": "ChangeRequests",
    "FieldName": "ChangeRequestId",
    "FieldIsDerived": false,
    "IsWritableDerivedField": false,
    "IsMasked": false,
    "GrantKeyWhenReadable": "principal-process-steward|ChangeRequests"
   },
   {
    "FieldGrantId": "fg-process-steward-ChangeRequests.Name",
    "Principal": "principal-process-steward",
    "TargetField": "ChangeRequests.Name",
    "CanRead": true,
    "CanWrite": false,
    "MaskStrategy": "plain",
    "SemanticTypeIri": "urn:effortless:pko-extension#FieldGrant",
    "Name": "principal-process-steward -&gt; ChangeRequests.Name",
    "FieldTable": "ChangeRequests",
    "FieldName": "Name",
    "FieldIsDerived": true,
    "IsWritableDerivedField": false,
    "IsMasked": false,
    "GrantKeyWhenReadable": "principal-process-steward|ChangeRequests"
   },
   {
    "FieldGrantId": "fg-process-steward-ChangeRequests.ProcedureVersion",
    "Principal": "principal-process-steward",
    "TargetField": "ChangeRequests.ProcedureVersion",
    "CanRead": true,
    "CanWrite": false,
    "MaskStrategy": "plain",
    "SemanticTypeIri": "urn:effortless:pko-extension#FieldGrant",
    "Name": "principal-process-steward -&gt; ChangeRequests.ProcedureVersion",
    "FieldTable": "ChangeRequests",
    "FieldName": "ProcedureVersion",
    "FieldIsDerived": false,
    "IsWritableDerivedField": false,
    "IsMasked": false,
    "GrantKeyWhenReadable": "principal-process-steward|ChangeRequests"
   },
   {
    "FieldGrantId": "fg-process-steward-ChangeRequests.Title",
    "Principal": "principal-process-steward",
    "TargetField": "ChangeRequests.Title",
    "CanRead": true,
    "CanWrite": false,
    "MaskStrategy": "plain",
    "SemanticTypeIri": "urn:effortless:pko-extension#FieldGrant",
    "Name": "principal-process-steward -&gt; ChangeRequests.Title",
    "FieldTable": "ChangeRequests",
    "FieldName": "Title",
    "FieldIsDerived": false,
    "IsWritableDerivedField": false,
    "IsMasked": false,
    "GrantKeyWhenReadable": "principal-process-steward|ChangeRequests"
   },
   {
    "FieldGrantId": "fg-process-steward-ChangeRequests.ChangeKind",
    "Principal": "principal-process-steward",
    "TargetField": "ChangeRequests.ChangeKind",
    "CanRead": true,
    "CanWrite": false,
    "MaskStrategy": "plain",
    "SemanticTypeIri": "urn:effortless:pko-extension#FieldGrant",
    "Name": "principal-process-steward -&gt; ChangeRequests.ChangeKind",
    "FieldTable": "ChangeRequests",
    "FieldName": "ChangeKind",
    "FieldIsDerived": false,
    "IsWritableDerivedField": false,
    "IsMasked": false,
    "GrantKeyWhenReadable": "principal-process-steward|ChangeRequests"
   },
   {
    "FieldGrantId": "fg-process-steward-ChangeRequests.Status",
    "Principal": "principal-process-steward",
    "TargetField": "ChangeRequests.Status",
    "CanRead": true,
    "CanWrite": false,
    "MaskStrategy": "plain",
    "SemanticTypeIri": "urn:effortless:pko-extension#FieldGrant",
    "Name": "principal-process-steward -&gt; ChangeRequests.Status",
    "FieldTable": "ChangeRequests",
    "FieldName": "Status",
    "FieldIsDerived": false,
    "IsWritableDerivedField": false,
    "IsMasked": false,
    "GrantKeyWhenReadable": "principal-process-steward|ChangeRequests"
   },
   {
    "FieldGrantId": "fg-process-steward-ChangeRequests.RequestedByAgent",
    "Principal": "principal-process-steward",
    "TargetField": "ChangeRequests.RequestedByAgent",
    "CanRead": true,
    "CanWrite": false,
    "MaskStrategy": "plain",
    "SemanticTypeIri": "urn:effortless:pko-extension#FieldGrant",
    "Name": "principal-process-steward -&gt; ChangeRequests.RequestedByAgent",
    "FieldTable": "ChangeRequests",
    "FieldName": "RequestedByAgent",
    "FieldIsDerived": false,
    "IsWritableDerivedField": false,
    "IsMasked": false,
    "GrantKeyWhenReadable": "principal-process-steward|ChangeRequests"
   },
   {
    "FieldGrantId": "fg-process-steward-ChangeRequests.AuthorityRole",
    "Principal": "principal-process-steward",
    "TargetField": "ChangeRequests.AuthorityRole",
    "CanRead": true,
    "CanWrite": false,
    "MaskStrategy": "plain",
    "SemanticTypeIri": "urn:effortless:pko-extension#FieldGrant",
    "Name": "principal-process-steward -&gt; ChangeRequests.AuthorityRole",
    "FieldTable": "ChangeRequests",
    "FieldName": "AuthorityRole",
    "FieldIsDerived": false,
    "IsWritableDerivedField": false,
    "IsMasked": false,
    "GrantKeyWhenReadable": "principal-process-steward|ChangeRequests"
   },
   {
    "FieldGrantId": "fg-process-steward-ChangeRequests.RequestedAt",
    "Principal": "principal-process-steward",
    "TargetField": "ChangeRequests.RequestedAt",
    "CanRead": true,
    "CanWrite": false,
    "MaskStrategy": "plain",
    "SemanticTypeIri": "urn:effortless:pko-extension#FieldGrant",
    "Name": "principal-process-steward -&gt; ChangeRequests.RequestedAt",
    "FieldTable": "ChangeRequests",
    "FieldName": "RequestedAt",
    "FieldIsDerived": false,
    "IsWritableDerivedField": false,
    "IsMasked": false,
    "GrantKeyWhenReadable": "principal-process-steward|ChangeRequests"
   },
   {
    "FieldGrantId": "fg-process-steward-ChangeRequests.DecidedAt",
    "Principal": "principal-process-steward",
    "TargetField": "ChangeRequests.DecidedAt",
    "CanRead": true,
    "CanWrite": false,
    "MaskStrategy": "plain",
    "SemanticTypeIri": "urn:effortless:pko-extension#FieldGrant",
    "Name": "principal-process-steward -&gt; ChangeRequests.DecidedAt",
    "FieldTable": "ChangeRequests",
    "FieldName": "DecidedAt",
    "FieldIsDerived": false,
    "IsWritableDerivedField": false,
    "IsMasked": false,
    "GrantKeyWhenReadable": "principal-process-steward|ChangeRequests"
   },
   {
    "FieldGrantId": "fg-process-steward-ChangeRequests.ImpactAssessment",
    "Principal": "principal-process-steward",
    "TargetField": "ChangeRequests.ImpactAssessment",
    "CanRead": true,
    "CanWrite": false,
    "MaskStrategy": "plain",
    "SemanticTypeIri": "urn:effortless:pko-extension#FieldGrant",
    "Name": "principal-process-steward -&gt; ChangeRequests.ImpactAssessment",
    "FieldTable": "ChangeRequests",
    "FieldName": "ImpactAssessment",
    "FieldIsDerived": false,
    "IsWritableDerivedField": false,
    "IsMasked": false,
    "GrantKeyWhenReadable": "principal-process-steward|ChangeRequests"
   },
   {
    "FieldGrantId": "fg-process-steward-ChangeRequests.IsOpen",
    "Principal": "principal-process-steward",
    "TargetField": "ChangeRequests.IsOpen",
    "CanRead": true,
    "CanWrite": false,
    "MaskStrategy": "plain",
    "SemanticTypeIri": "urn:effortless:pko-extension#FieldGrant",
    "Name": "principal-process-steward -&gt; ChangeRequests.IsOpen",
    "FieldTable": "ChangeRequests",
    "FieldName": "IsOpen",
    "FieldIsDerived": true,
    "IsWritableDerivedField": false,
    "IsMasked": false,
    "GrantKeyWhenReadable": "principal-process-steward|ChangeRequests"
   },
   {
    "FieldGrantId": "fg-process-steward-ChangeRequests.OpenChangeVersionKey",
    "Principal": "principal-process-steward",
    "TargetField": "ChangeRequests.OpenChangeVersionKey",
    "CanRead": true,
    "CanWrite": false,
    "MaskStrategy": "plain",
    "SemanticTypeIri": "urn:effortless:pko-extension#FieldGrant",
    "Name": "principal-process-steward -&gt; ChangeRequests.OpenChangeVersionKey",
    "FieldTable": "ChangeRequests",
    "FieldName": "OpenChangeVersionKey",
    "FieldIsDerived": true,
    "IsWritableDerivedField": false,
    "IsMasked": false,
    "GrantKeyWhenReadable": "principal-process-steward|ChangeRequests"
   },
   {
    "FieldGrantId": "fg-process-steward-ChangeRequests.IsDecided",
    "Principal": "principal-process-steward",
    "TargetField": "ChangeRequests.IsDecided",
    "CanRead": true,
    "CanWrite": false,
    "MaskStrategy": "plain",
    "SemanticTypeIri": "urn:effortless:pko-extension#FieldGrant",
    "Name": "principal-process-steward -&gt; ChangeRequests.IsDecided",
    "FieldTable": "ChangeRequests",
    "FieldName": "IsDecided",
    "FieldIsDerived": true,
    "IsWritableDerivedField": false,
    "IsMasked": false,
    "GrantKeyWhenReadable": "principal-process-steward|ChangeRequests"
   },
   {
    "FieldGrantId": "fg-process-steward-ChangeRequests.EvaluationContext",
    "Principal": "principal-process-steward",
    "TargetField": "ChangeRequests.EvaluationContext",
    "CanRead": true,
    "CanWrite": false,
    "MaskStrategy": "plain",
    "SemanticTypeIri": "urn:effortless:pko-extension#FieldGrant",
    "Name": "principal-process-steward -&gt; ChangeRequests.EvaluationContext",
    "FieldTable": "ChangeRequests",
    "FieldName": "EvaluationContext",
    "FieldIsDerived": false,
    "IsWritableDerivedField": false,
    "IsMasked": false,
    "GrantKeyWhenReadable": "principal-process-steward|ChangeRequests"
   },
   {
    "FieldGrantId": "fg-process-steward-ChangeRequests.AsOfInstant",
    "Principal": "principal-process-steward",
    "TargetField": "ChangeRequests.AsOfInstant",
    "CanRead": true,
    "CanWrite": false,
    "MaskStrategy": "plain",
    "SemanticTypeIri": "urn:effortless:pko-extension#FieldGrant",
    "Name": "principal-process-steward -&gt; ChangeRequests.AsOfInstant",
    "FieldTable": "ChangeRequests",
    "FieldName": "AsOfInstant",
    "FieldIsDerived": true,
    "IsWritableDerivedField": false,
    "IsMasked": false,
    "GrantKeyWhenReadable": "principal-process-steward|ChangeRequests"
   },
   {
    "FieldGrantId": "fg-process-steward-ChangeRequests.DaysPending",
    "Principal": "principal-process-steward",
    "TargetField": "ChangeRequests.DaysPending",
    "CanRead": true,
    "CanWrite": false,
    "MaskStrategy": "plain",
    "SemanticTypeIri": "urn:effortless:pko-extension#FieldGrant",
    "Name": "principal-process-steward -&gt; ChangeRequests.DaysPending",
    "FieldTable": "ChangeRequests",
    "FieldName": "DaysPending",
    "FieldIsDerived": true,
    "IsWritableDerivedField": false,
    "IsMasked": false,
    "GrantKeyWhenReadable": "principal-process-steward|ChangeRequests"
   },
   {
    "FieldGrantId": "fg-process-steward-ChangeRequests.IsStillPending",
    "Principal": "principal-process-steward",
    "TargetField": "ChangeRequests.IsStillPending",
    "CanRead": true,
    "CanWrite": false,
    "MaskStrategy": "plain",
    "SemanticTypeIri": "urn:effortless:pko-extension#FieldGrant",
    "Name": "principal-process-steward -&gt; ChangeRequests.IsStillPending",
    "FieldTable": "ChangeRequests",
    "FieldName": "IsStillPending",
    "FieldIsDerived": true,
    "IsWritableDerivedField": false,
    "IsMasked": false,
    "GrantKeyWhenReadable": "principal-process-steward|ChangeRequests"
   },
   {
    "FieldGrantId": "fg-process-steward-ChangeRequests.IsStalled",
    "Principal": "principal-process-steward",
    "TargetField": "ChangeRequests.IsStalled",
    "CanRead": true,
    "CanWrite": false,
    "MaskStrategy": "plain",
    "SemanticTypeIri": "urn:effortless:pko-extension#FieldGrant",
    "Name": "principal-process-steward -&gt; ChangeRequests.IsStalled",
    "FieldTable": "ChangeRequests",
    "FieldName": "IsStalled",
    "FieldIsDerived": true,
    "IsWritableDerivedField": false,
    "IsMasked": false,
    "GrantKeyWhenReadable": "principal-process-steward|ChangeRequests"
   },
   {
    "FieldGrantId": "fg-process-steward-ChangeRequests.AuthorityAgent",
    "Principal": "principal-process-steward",
    "TargetField": "ChangeRequests.AuthorityAgent",
    "CanRead": true,
    "CanWrite": false,
    "MaskStrategy": "plain",
    "SemanticTypeIri": "urn:effortless:pko-extension#FieldGrant",
    "Name": "principal-process-steward -&gt; ChangeRequests.AuthorityAgent",
    "FieldTable": "ChangeRequests",
    "FieldName": "AuthorityAgent",
    "FieldIsDerived": true,
    "IsWritableDerivedField": false,
    "IsMasked": false,
    "GrantKeyWhenReadable": "principal-process-steward|ChangeRequests"
   },
   {
    "FieldGrantId": "fg-process-steward-ChangeRequests.RequesterIsAuthority",
    "Principal": "principal-process-steward",
    "TargetField": "ChangeRequests.RequesterIsAuthority",
    "CanRead": true,
    "CanWrite": false,
    "MaskStrategy": "plain",
    "SemanticTypeIri": "urn:effortless:pko-extension#FieldGrant",
    "Name": "principal-process-steward -&gt; ChangeRequests.RequesterIsAuthority",
    "FieldTable": "ChangeRequests",
    "FieldName": "RequesterIsAuthority",
    "FieldIsDerived": true,
    "IsWritableDerivedField": false,
    "IsMasked": false,
    "GrantKeyWhenReadable": "principal-process-steward|ChangeRequests"
   },
   {
    "FieldGrantId": "fg-process-steward-ChangeRequests.AwaitsAuthorityDecision",
    "Principal": "principal-process-steward",
    "TargetField": "ChangeRequests.AwaitsAuthorityDecision",
    "CanRead": true,
    "CanWrite": false,
    "MaskStrategy": "plain",
    "SemanticTypeIri": "urn:effortless:pko-extension#FieldGrant",
    "Name": "principal-process-steward -&gt; ChangeRequests.AwaitsAuthorityDecision",
    "FieldTable": "ChangeRequests",
    "FieldName": "AwaitsAuthorityDecision",
    "FieldIsDerived": true,
    "IsWritableDerivedField": false,
    "IsMasked": false,
    "GrantKeyWhenReadable": "principal-process-steward|ChangeRequests"
   },
   {
    "FieldGrantId": "fg-process-steward-ChangeRequests.AuthorityRoleLabel",
    "Principal": "principal-process-steward",
    "TargetField": "ChangeRequests.AuthorityRoleLabel",
    "CanRead": true,
    "CanWrite": false,
    "MaskStrategy": "plain",
    "SemanticTypeIri": "urn:effortless:pko-extension#FieldGrant",
    "Name": "principal-process-steward -&gt; ChangeRequests.AuthorityRoleLabel",
    "FieldTable": "ChangeRequests",
    "FieldName": "AuthorityRoleLabel",
    "FieldIsDerived": true,
    "IsWritableDerivedField": false,
    "IsMasked": false,
    "GrantKeyWhenReadable": "principal-process-steward|ChangeRequests"
   },
   {
    "FieldGrantId": "fg-process-steward-ChangeRequests.TouchesLiveVersion",
    "Principal": "principal-process-steward",
    "TargetField": "ChangeRequests.TouchesLiveVersion",
    "CanRead": true,
    "CanWrite": false,
    "MaskStrategy": "plain",
    "SemanticTypeIri": "urn:effortless:pko-extension#FieldGrant",
    "Name": "principal-process-steward -&gt; ChangeRequests.TouchesLiveVersion",
    "FieldTable": "ChangeRequests",
    "FieldName": "TouchesLiveVersion",
    "FieldIsDerived": true,
    "IsWritableDerivedField": false,
    "IsMasked": false,
    "GrantKeyWhenReadable": "principal-process-steward|ChangeRequests"
   },
   {
    "FieldGrantId": "fg-process-steward-ChangeRequests.IsLiveDecisionBacklog",
    "Principal": "principal-process-steward",
    "TargetField": "ChangeRequests.IsLiveDecisionBacklog",
    "CanRead": true,
    "CanWrite": false,
    "MaskStrategy": "plain",
    "SemanticTypeIri": "urn:effortless:pko-extension#FieldGrant",
    "Name": "principal-process-steward -&gt; ChangeRequests.IsLiveDecisionBacklog",
    "FieldTable": "ChangeRequests",
    "FieldName": "IsLiveDecisionBacklog",
    "FieldIsDerived": true,
    "IsWritableDerivedField": false,
    "IsMasked": false,
    "GrantKeyWhenReadable": "principal-process-steward|ChangeRequests"
   },
   {
    "FieldGrantId": "fg-process-steward-ChangeRequests.BlocksAnOpenGap",
    "Principal": "principal-process-steward",
    "TargetField": "ChangeRequests.BlocksAnOpenGap",
    "CanRead": true,
    "CanWrite": false,
    "MaskStrategy": "plain",
    "SemanticTypeIri": "urn:effortless:pko-extension#FieldGrant",
    "Name": "principal-process-steward -&gt; ChangeRequests.BlocksAnOpenGap",
    "FieldTable": "ChangeRequests",
    "FieldName": "BlocksAnOpenGap",
    "FieldIsDerived": true,
    "IsWritableDerivedField": false,
    "IsMasked": false,
    "GrantKeyWhenReadable": "principal-process-steward|ChangeRequests"
   },
   {
    "FieldGrantId": "fg-process-steward-ChangeRequests.ImplementedAt",
    "Principal": "principal-process-steward",
    "TargetField": "ChangeRequests.ImplementedAt",
    "CanRead": true,
    "CanWrite": false,
    "MaskStrategy": "plain",
    "SemanticTypeIri": "urn:effortless:pko-extension#FieldGrant",
    "Name": "principal-process-steward -&gt; ChangeRequests.ImplementedAt",
    "FieldTable": "ChangeRequests",
    "FieldName": "ImplementedAt",
    "FieldIsDerived": false,
    "IsWritableDerivedField": false,
    "IsMasked": false,
    "GrantKeyWhenReadable": "principal-process-steward|ChangeRequests"
   },
   {
    "FieldGrantId": "fg-process-steward-ChangeRequests.BacklogVersionKey",
    "Principal": "principal-process-steward",
    "TargetField": "ChangeRequests.BacklogVersionKey",
    "CanRead": true,
    "CanWrite": false,
    "MaskStrategy": "plain",
    "SemanticTypeIri": "urn:effortless:pko-extension#FieldGrant",
    "Name": "principal-process-steward -&gt; ChangeRequests.BacklogVersionKey",
    "FieldTable": "ChangeRequests",
    "FieldName": "BacklogVersionKey",
    "FieldIsDerived": true,
    "IsWritableDerivedField": false,
    "IsMasked": false,
    "GrantKeyWhenReadable": "principal-process-steward|ChangeRequests"
   },
   {
    "FieldGrantId": "fg-process-steward-ChangeRequests.IsMyPendingDecision",
    "Principal": "principal-process-steward",
    "TargetField": "ChangeRequests.IsMyPendingDecision",
    "CanRead": true,
    "CanWrite": false,
    "MaskStrategy": "plain",
    "SemanticTypeIri": "urn:effortless:pko-extension#FieldGrant",
    "Name": "principal-process-steward -&gt; ChangeRequests.IsMyPendingDecision",
    "FieldTable": "ChangeRequests",
    "FieldName": "IsMyPendingDecision",
    "FieldIsDerived": true,
    "IsWritableDerivedField": false,
    "IsMasked": false,
    "GrantKeyWhenReadable": "principal-process-steward|ChangeRequests"
   },
   {
    "FieldGrantId": "fg-process-steward-ChangeRequests.IsMyBlockingBacklog",
    "Principal": "principal-process-steward",
    "TargetField": "ChangeRequests.IsMyBlockingBacklog",
    "CanRead": true,
    "CanWrite": false,
    "MaskStrategy": "plain",
    "SemanticTypeIri": "urn:effortless:pko-extension#FieldGrant",
    "Name": "principal-process-steward -&gt; ChangeRequests.IsMyBlockingBacklog",
    "FieldTable": "ChangeRequests",
    "FieldName": "IsMyBlockingBacklog",
    "FieldIsDerived": true,
    "IsWritableDerivedField": false,
    "IsMasked": false,
    "GrantKeyWhenReadable": "principal-process-steward|ChangeRequests"
   },
   {
    "FieldGrantId": "fg-process-steward-ChangeRequests.IsMyOverdueBacklog",
    "Principal": "principal-process-steward",
    "TargetField": "ChangeRequests.IsMyOverdueBacklog",
    "CanRead": true,
    "CanWrite": false,
    "MaskStrategy": "plain",
    "SemanticTypeIri": "urn:effortless:pko-extension#FieldGrant",
    "Name": "principal-process-steward -&gt; ChangeRequests.IsMyOverdueBacklog",
    "FieldTable": "ChangeRequests",
    "FieldName": "IsMyOverdueBacklog",
    "FieldIsDerived": true,
    "IsWritableDerivedField": false,
    "IsMasked": false,
    "GrantKeyWhenReadable": "principal-process-steward|ChangeRequests"
   },
   {
    "FieldGrantId": "fg-process-steward-ChangeRequests.IsImplemented",
    "Principal": "principal-process-steward",
    "TargetField": "ChangeRequests.IsImplemented",
    "CanRead": true,
    "CanWrite": false,
    "MaskStrategy": "plain",
    "SemanticTypeIri": "urn:effortless:pko-extension#FieldGrant",
    "Name": "principal-process-steward -&gt; ChangeRequests.IsImplemented",
    "FieldTable": "ChangeRequests",
    "FieldName": "IsImplemented",
    "FieldIsDerived": true,
    "IsWritableDerivedField": false,
    "IsMasked": false,
    "GrantKeyWhenReadable": "principal-process-steward|ChangeRequests"
   },
   {
    "FieldGrantId": "fg-process-steward-ChangeRequests.IsMyDecidedRequest",
    "Principal": "principal-process-steward",
    "TargetField": "ChangeRequests.IsMyDecidedRequest",
    "CanRead": true,
    "CanWrite": false,
    "MaskStrategy": "plain",
    "SemanticTypeIri": "urn:effortless:pko-extension#FieldGrant",
    "Name": "principal-process-steward -&gt; ChangeRequests.IsMyDecidedRequest",
    "FieldTable": "ChangeRequests",
    "FieldName": "IsMyDecidedRequest",
    "FieldIsDerived": true,
    "IsWritableDerivedField": false,
    "IsMasked": false,
    "GrantKeyWhenReadable": "principal-process-steward|ChangeRequests"
   },
   {
    "FieldGrantId": "fg-process-steward-ChangeRequests.IsMyDecidedButUnlanded",
    "Principal": "principal-process-steward",
    "TargetField": "ChangeRequests.IsMyDecidedButUnlanded",
    "CanRead": true,
    "CanWrite": false,
    "MaskStrategy": "plain",
    "SemanticTypeIri": "urn:effortless:pko-extension#FieldGrant",
    "Name": "principal-process-steward -&gt; ChangeRequests.IsMyDecidedButUnlanded",
    "FieldTable": "ChangeRequests",
    "FieldName": "IsMyDecidedButUnlanded",
    "FieldIsDerived": true,
    "IsWritableDerivedField": false,
    "IsMasked": false,
    "GrantKeyWhenReadable": "principal-process-steward|ChangeRequests"
   },
   {
    "FieldGrantId": "fg-process-steward-ChangeRequests.DecisionLatencyDays",
    "Principal": "principal-process-steward",
    "TargetField": "ChangeRequests.DecisionLatencyDays",
    "CanRead": true,
    "CanWrite": false,
    "MaskStrategy": "plain",
    "SemanticTypeIri": "urn:effortless:pko-extension#FieldGrant",
    "Name": "principal-process-steward -&gt; ChangeRequests.DecisionLatencyDays",
    "FieldTable": "ChangeRequests",
    "FieldName": "DecisionLatencyDays",
    "FieldIsDerived": true,
    "IsWritableDerivedField": false,
    "IsMasked": false,
    "GrantKeyWhenReadable": "principal-process-steward|ChangeRequests"
   },
   {
    "FieldGrantId": "fg-process-steward-ChangeRequests.ImplementationLatencyDays",
    "Principal": "principal-process-steward",
    "TargetField": "ChangeRequests.ImplementationLatencyDays",
    "CanRead": true,
    "CanWrite": false,
    "MaskStrategy": "plain",
    "SemanticTypeIri": "urn:effortless:pko-extension#FieldGrant",
    "Name": "principal-process-steward -&gt; ChangeRequests.ImplementationLatencyDays",
    "FieldTable": "ChangeRequests",
    "FieldName": "ImplementationLatencyDays",
    "FieldIsDerived": true,
    "IsWritableDerivedField": false,
    "IsMasked": false,
    "GrantKeyWhenReadable": "principal-process-steward|ChangeRequests"
   },
   {
    "FieldGrantId": "fg-process-steward-ChangeRequests.DelayIsDownstreamOfMe",
    "Principal": "principal-process-steward",
    "TargetField": "ChangeRequests.DelayIsDownstreamOfMe",
    "CanRead": true,
    "CanWrite": false,
    "MaskStrategy": "plain",
    "SemanticTypeIri": "urn:effortless:pko-extension#FieldGrant",
    "Name": "principal-process-steward -&gt; ChangeRequests.DelayIsDownstreamOfMe",
    "FieldTable": "ChangeRequests",
    "FieldName": "DelayIsDownstreamOfMe",
    "FieldIsDerived": true,
    "IsWritableDerivedField": false,
    "IsMasked": false,
    "GrantKeyWhenReadable": "principal-process-steward|ChangeRequests"
   },
   {
    "FieldGrantId": "fg-process-steward-ChangeRequests.UnlandedVersionKey",
    "Principal": "principal-process-steward",
    "TargetField": "ChangeRequests.UnlandedVersionKey",
    "CanRead": true,
    "CanWrite": false,
    "MaskStrategy": "plain",
    "SemanticTypeIri": "urn:effortless:pko-extension#FieldGrant",
    "Name": "principal-process-steward -&gt; ChangeRequests.UnlandedVersionKey",
    "FieldTable": "ChangeRequests",
    "FieldName": "UnlandedVersionKey",
    "FieldIsDerived": true,
    "IsWritableDerivedField": false,
    "IsMasked": false,
    "GrantKeyWhenReadable": "principal-process-steward|ChangeRequests"
   },
   {
    "FieldGrantId": "fg-process-steward-ChangeRequests.IsApprovedNotImplemented",
    "Principal": "principal-process-steward",
    "TargetField": "ChangeRequests.IsApprovedNotImplemented",
    "CanRead": true,
    "CanWrite": false,
    "MaskStrategy": "plain",
    "SemanticTypeIri": "urn:effortless:pko-extension#FieldGrant",
    "Name": "principal-process-steward -&gt; ChangeRequests.IsApprovedNotImplemented",
    "FieldTable": "ChangeRequests",
    "FieldName": "IsApprovedNotImplemented",
    "FieldIsDerived": true,
    "IsWritableDerivedField": false,
    "IsMasked": false,
    "GrantKeyWhenReadable": "principal-process-steward|ChangeRequests"
   },
   {
    "FieldGrantId": "fg-process-steward-ChangeRequests.DaysSinceApproval",
    "Principal": "principal-process-steward",
    "TargetField": "ChangeRequests.DaysSinceApproval",
    "CanRead": true,
    "CanWrite": false,
    "MaskStrategy": "plain",
    "SemanticTypeIri": "urn:effortless:pko-extension#FieldGrant",
    "Name": "principal-process-steward -&gt; ChangeRequests.DaysSinceApproval",
    "FieldTable": "ChangeRequests",
    "FieldName": "DaysSinceApproval",
    "FieldIsDerived": true,
    "IsWritableDerivedField": false,
    "IsMasked": false,
    "GrantKeyWhenReadable": "principal-process-steward|ChangeRequests"
   },
   {
    "FieldGrantId": "fg-process-steward-ChangeRequests.IsStalledImplementation",
    "Principal": "principal-process-steward",
    "TargetField": "ChangeRequests.IsStalledImplementation",
    "CanRead": true,
    "CanWrite": false,
    "MaskStrategy": "plain",
    "SemanticTypeIri": "urn:effortless:pko-extension#FieldGrant",
    "Name": "principal-process-steward -&gt; ChangeRequests.IsStalledImplementation",
    "FieldTable": "ChangeRequests",
    "FieldName": "IsStalledImplementation",
    "FieldIsDerived": true,
    "IsWritableDerivedField": false,
    "IsMasked": false,
    "GrantKeyWhenReadable": "principal-process-steward|ChangeRequests"
   },
   {
    "FieldGrantId": "fg-process-steward-ChangeRequests.StalledImplementationVersionKey",
    "Principal": "principal-process-steward",
    "TargetField": "ChangeRequests.StalledImplementationVersionKey",
    "CanRead": true,
    "CanWrite": false,
    "MaskStrategy": "plain",
    "SemanticTypeIri": "urn:effortless:pko-extension#FieldGrant",
    "Name": "principal-process-steward -&gt; ChangeRequests.StalledImplementationVersionKey",
    "FieldTable": "ChangeRequests",
    "FieldName": "StalledImplementationVersionKey",
    "FieldIsDerived": true,
    "IsWritableDerivedField": false,
    "IsMasked": false,
    "GrantKeyWhenReadable": "principal-process-steward|ChangeRequests"
   },
   {
    "FieldGrantId": "fg-process-steward-ChangeRequests.ApprovedVersionKey",
    "Principal": "principal-process-steward",
    "TargetField": "ChangeRequests.ApprovedVersionKey",
    "CanRead": true,
    "CanWrite": false,
    "MaskStrategy": "plain",
    "SemanticTypeIri": "urn:effortless:pko-extension#FieldGrant",
    "Name": "principal-process-steward -&gt; ChangeRequests.ApprovedVersionKey",
    "FieldTable": "ChangeRequests",
    "FieldName": "ApprovedVersionKey",
    "FieldIsDerived": true,
    "IsWritableDerivedField": false,
    "IsMasked": false,
    "GrantKeyWhenReadable": "principal-process-steward|ChangeRequests"
   },
   {
    "FieldGrantId": "fg-process-steward-ChangeRequests.IsApprovedDecision",
    "Principal": "principal-process-steward",
    "TargetField": "ChangeRequests.IsApprovedDecision",
    "CanRead": true,
    "CanWrite": false,
    "MaskStrategy": "plain",
    "SemanticTypeIri": "urn:effortless:pko-extension#FieldGrant",
    "Name": "principal-process-steward -&gt; ChangeRequests.IsApprovedDecision",
    "FieldTable": "ChangeRequests",
    "FieldName": "IsApprovedDecision",
    "FieldIsDerived": true,
    "IsWritableDerivedField": false,
    "IsMasked": false,
    "GrantKeyWhenReadable": "principal-process-steward|ChangeRequests"
   },
   {
    "FieldGrantId": "fg-process-steward-ChangeRequests.SemanticTypeIri",
    "Principal": "principal-process-steward",
    "TargetField": "ChangeRequests.SemanticTypeIri",
    "CanRead": true,
    "CanWrite": false,
    "MaskStrategy": "plain",
    "SemanticTypeIri": "urn:effortless:pko-extension#FieldGrant",
    "Name": "principal-process-steward -&gt; ChangeRequests.SemanticTypeIri",
    "FieldTable": "ChangeRequests",
    "FieldName": "SemanticTypeIri",
    "FieldIsDerived": false,
    "IsWritableDerivedField": false,
    "IsMasked": false,
    "GrantKeyWhenReadable": "principal-process-steward|ChangeRequests"
   },
   {
    "FieldGrantId": "fg-process-steward-CommunicationPolicies.CommunicationPolicyId",
    "Principal": "principal-process-steward",
    "TargetField": "CommunicationPolicies.CommunicationPolicyId",
    "CanRead": true,
    "CanWrite": false,
    "MaskStrategy": "plain",
    "SemanticTypeIri": "urn:effortless:pko-extension#FieldGrant",
    "Name": "principal-process-steward -&gt; CommunicationPolicies.CommunicationPolicyId",
    "FieldTable": "CommunicationPolicies",
    "FieldName": "CommunicationPolicyId",
    "FieldIsDerived": false,
    "IsWritableDerivedField": false,
    "IsMasked": false,
    "GrantKeyWhenReadable": "principal-process-steward|CommunicationPolicies"
   },
   {
    "FieldGrantId": "fg-process-steward-CommunicationPolicies.Name",
    "Principal": "principal-process-steward",
    "TargetField": "CommunicationPolicies.Name",
    "CanRead": true,
    "CanWrite": false,
    "MaskStrategy": "plain",
    "SemanticTypeIri": "urn:effortless:pko-extension#FieldGrant",
    "Name": "principal-process-steward -&gt; CommunicationPolicies.Name",
    "FieldTable": "CommunicationPolicies",
    "FieldName": "Name",
    "FieldIsDerived": true,
    "IsWritableDerivedField": false,
    "IsMasked": false,
    "GrantKeyWhenReadable": "principal-process-steward|CommunicationPolicies"
   },
   {
    "FieldGrantId": "fg-process-steward-CommunicationPolicies.ProcedureVersion",
    "Principal": "principal-process-steward",
    "TargetField</t>
  </si>
  <si>
    <t xml:space="preserve">": "CommunicationPolicies.ProcedureVersion",
    "CanRead": true,
    "CanWrite": false,
    "MaskStrategy": "plain",
    "SemanticTypeIri": "urn:effortless:pko-extension#FieldGrant",
    "Name": "principal-process-steward -&gt; CommunicationPolicies.ProcedureVersion",
    "FieldTable": "CommunicationPolicies",
    "FieldName": "ProcedureVersion",
    "FieldIsDerived": false,
    "IsWritableDerivedField": false,
    "IsMasked": false,
    "GrantKeyWhenReadable": "principal-process-steward|CommunicationPolicies"
   },
   {
    "FieldGrantId": "fg-process-steward-CommunicationPolicies.Channel",
    "Principal": "principal-process-steward",
    "TargetField": "CommunicationPolicies.Channel",
    "CanRead": true,
    "CanWrite": false,
    "MaskStrategy": "plain",
    "SemanticTypeIri": "urn:effortless:pko-extension#FieldGrant",
    "Name": "principal-process-steward -&gt; CommunicationPolicies.Channel",
    "FieldTable": "CommunicationPolicies",
    "FieldName": "Channel",
    "FieldIsDerived": false,
    "IsWritableDerivedField": false,
    "IsMasked": false,
    "GrantKeyWhenReadable": "principal-process-steward|CommunicationPolicies"
   },
   {
    "FieldGrantId": "fg-process-steward-CommunicationPolicies.AudienceRule",
    "Principal": "principal-process-steward",
    "TargetField": "CommunicationPolicies.AudienceRule",
    "CanRead": true,
    "CanWrite": false,
    "MaskStrategy": "plain",
    "SemanticTypeIri": "urn:effortless:pko-extension#FieldGrant",
    "Name": "principal-process-steward -&gt; CommunicationPolicies.AudienceRule",
    "FieldTable": "CommunicationPolicies",
    "FieldName": "AudienceRule",
    "FieldIsDerived": false,
    "IsWritableDerivedField": false,
    "IsMasked": false,
    "GrantKeyWhenReadable": "principal-process-steward|CommunicationPolicies"
   },
   {
    "FieldGrantId": "fg-process-steward-CommunicationPolicies.ConsentRequired",
    "Principal": "principal-process-steward",
    "TargetField": "CommunicationPolicies.ConsentRequired",
    "CanRead": true,
    "CanWrite": false,
    "MaskStrategy": "plain",
    "SemanticTypeIri": "urn:effortless:pko-extension#FieldGrant",
    "Name": "principal-process-steward -&gt; CommunicationPolicies.ConsentRequired",
    "FieldTable": "CommunicationPolicies",
    "FieldName": "ConsentRequired",
    "FieldIsDerived": false,
    "IsWritableDerivedField": false,
    "IsMasked": false,
    "GrantKeyWhenReadable": "principal-process-steward|CommunicationPolicies"
   },
   {
    "FieldGrantId": "fg-process-steward-CommunicationPolicies.QuietHoursStart",
    "Principal": "principal-process-steward",
    "TargetField": "CommunicationPolicies.QuietHoursStart",
    "CanRead": true,
    "CanWrite": false,
    "MaskStrategy": "plain",
    "SemanticTypeIri": "urn:effortless:pko-extension#FieldGrant",
    "Name": "principal-process-steward -&gt; CommunicationPolicies.QuietHoursStart",
    "FieldTable": "CommunicationPolicies",
    "FieldName": "QuietHoursStart",
    "FieldIsDerived": false,
    "IsWritableDerivedField": false,
    "IsMasked": false,
    "GrantKeyWhenReadable": "principal-process-steward|CommunicationPolicies"
   },
   {
    "FieldGrantId": "fg-process-steward-CommunicationPolicies.QuietHoursEnd",
    "Principal": "principal-process-steward",
    "TargetField": "CommunicationPolicies.QuietHoursEnd",
    "CanRead": true,
    "CanWrite": false,
    "MaskStrategy": "plain",
    "SemanticTypeIri": "urn:effortless:pko-extension#FieldGrant",
    "Name": "principal-process-steward -&gt; CommunicationPolicies.QuietHoursEnd",
    "FieldTable": "CommunicationPolicies",
    "FieldName": "QuietHoursEnd",
    "FieldIsDerived": false,
    "IsWritableDerivedField": false,
    "IsMasked": false,
    "GrantKeyWhenReadable": "principal-process-steward|CommunicationPolicies"
   },
   {
    "FieldGrantId": "fg-process-steward-CommunicationPolicies.MaxMessageLength",
    "Principal": "principal-process-steward",
    "TargetField": "CommunicationPolicies.MaxMessageLength",
    "CanRead": true,
    "CanWrite": false,
    "MaskStrategy": "plain",
    "SemanticTypeIri": "urn:effortless:pko-extension#FieldGrant",
    "Name": "principal-process-steward -&gt; CommunicationPolicies.MaxMessageLength",
    "FieldTable": "CommunicationPolicies",
    "FieldName": "MaxMessageLength",
    "FieldIsDerived": false,
    "IsWritableDerivedField": false,
    "IsMasked": false,
    "GrantKeyWhenReadable": "principal-process-steward|CommunicationPolicies"
   },
   {
    "FieldGrantId": "fg-process-steward-CommunicationPolicies.MaxSegments",
    "Principal": "principal-process-steward",
    "TargetField": "CommunicationPolicies.MaxSegments",
    "CanRead": true,
    "CanWrite": false,
    "MaskStrategy": "plain",
    "SemanticTypeIri": "urn:effortless:pko-extension#FieldGrant",
    "Name": "principal-process-steward -&gt; CommunicationPolicies.MaxSegments",
    "FieldTable": "CommunicationPolicies",
    "FieldName": "MaxSegments",
    "FieldIsDerived": false,
    "IsWritableDerivedField": false,
    "IsMasked": false,
    "GrantKeyWhenReadable": "principal-process-steward|CommunicationPolicies"
   },
   {
    "FieldGrantId": "fg-process-steward-CommunicationPolicies.RetentionDays",
    "Principal": "principal-process-steward",
    "TargetField": "CommunicationPolicies.RetentionDays",
    "CanRead": true,
    "CanWrite": false,
    "MaskStrategy": "plain",
    "SemanticTypeIri": "urn:effortless:pko-extension#FieldGrant",
    "Name": "principal-process-steward -&gt; CommunicationPolicies.RetentionDays",
    "FieldTable": "CommunicationPolicies",
    "FieldName": "RetentionDays",
    "FieldIsDerived": false,
    "IsWritableDerivedField": false,
    "IsMasked": false,
    "GrantKeyWhenReadable": "principal-process-steward|CommunicationPolicies"
   },
   {
    "FieldGrantId": "fg-process-steward-CommunicationPolicies.ApprovalRole",
    "Principal": "principal-process-steward",
    "TargetField": "CommunicationPolicies.ApprovalRole",
    "CanRead": true,
    "CanWrite": false,
    "MaskStrategy": "plain",
    "SemanticTypeIri": "urn:effortless:pko-extension#FieldGrant",
    "Name": "principal-process-steward -&gt; CommunicationPolicies.ApprovalRole",
    "FieldTable": "CommunicationPolicies",
    "FieldName": "ApprovalRole",
    "FieldIsDerived": false,
    "IsWritableDerivedField": false,
    "IsMasked": false,
    "GrantKeyWhenReadable": "principal-process-steward|CommunicationPolicies"
   },
   {
    "FieldGrantId": "fg-process-steward-CommunicationPolicies.RequiredContent",
    "Principal": "principal-process-steward",
    "TargetField": "CommunicationPolicies.RequiredContent",
    "CanRead": true,
    "CanWrite": false,
    "MaskStrategy": "plain",
    "SemanticTypeIri": "urn:effortless:pko-extension#FieldGrant",
    "Name": "principal-process-steward -&gt; CommunicationPolicies.RequiredContent",
    "FieldTable": "CommunicationPolicies",
    "FieldName": "RequiredContent",
    "FieldIsDerived": false,
    "IsWritableDerivedField": false,
    "IsMasked": false,
    "GrantKeyWhenReadable": "principal-process-steward|CommunicationPolicies"
   },
   {
    "FieldGrantId": "fg-process-steward-CommunicationPolicies.AuthorityStatement",
    "Principal": "principal-process-steward",
    "TargetField": "CommunicationPolicies.AuthorityStatement",
    "CanRead": true,
    "CanWrite": false,
    "MaskStrategy": "plain",
    "SemanticTypeIri": "urn:effortless:pko-extension#FieldGrant",
    "Name": "principal-process-steward -&gt; CommunicationPolicies.AuthorityStatement",
    "FieldTable": "CommunicationPolicies",
    "FieldName": "AuthorityStatement",
    "FieldIsDerived": false,
    "IsWritableDerivedField": false,
    "IsMasked": false,
    "GrantKeyWhenReadable": "principal-process-steward|CommunicationPolicies"
   },
   {
    "FieldGrantId": "fg-process-steward-CommunicationPolicies.Status",
    "Principal": "principal-process-steward",
    "TargetField": "CommunicationPolicies.Status",
    "CanRead": true,
    "CanWrite": false,
    "MaskStrategy": "plain",
    "SemanticTypeIri": "urn:effortless:pko-extension#FieldGrant",
    "Name": "principal-process-steward -&gt; CommunicationPolicies.Status",
    "FieldTable": "CommunicationPolicies",
    "FieldName": "Status",
    "FieldIsDerived": false,
    "IsWritableDerivedField": false,
    "IsMasked": false,
    "GrantKeyWhenReadable": "principal-process-steward|CommunicationPolicies"
   },
   {
    "FieldGrantId": "fg-process-steward-CommunicationPolicies.ConsentViolationCount",
    "Principal": "principal-process-steward",
    "TargetField": "CommunicationPolicies.ConsentViolationCount",
    "CanRead": true,
    "CanWrite": false,
    "MaskStrategy": "plain",
    "SemanticTypeIri": "urn:effortless:pko-extension#FieldGrant",
    "Name": "principal-process-steward -&gt; CommunicationPolicies.ConsentViolationCount",
    "FieldTable": "CommunicationPolicies",
    "FieldName": "ConsentViolationCount",
    "FieldIsDerived": true,
    "IsWritableDerivedField": false,
    "IsMasked": false,
    "GrantKeyWhenReadable": "principal-process-steward|CommunicationPolicies"
   },
   {
    "FieldGrantId": "fg-process-steward-CommunicationPolicies.QuietHoursStartHour",
    "Principal": "principal-process-steward",
    "TargetField": "CommunicationPolicies.QuietHoursStartHour",
    "CanRead": true,
    "CanWrite": false,
    "MaskStrategy": "plain",
    "SemanticTypeIri": "urn:effortless:pko-extension#FieldGrant",
    "Name": "principal-process-steward -&gt; CommunicationPolicies.QuietHoursStartHour",
    "FieldTable": "CommunicationPolicies",
    "FieldName": "QuietHoursStartHour",
    "FieldIsDerived": false,
    "IsWritableDerivedField": false,
    "IsMasked": false,
    "GrantKeyWhenReadable": "principal-process-steward|CommunicationPolicies"
   },
   {
    "FieldGrantId": "fg-process-steward-CommunicationPolicies.QuietHoursEndHour",
    "Principal": "principal-process-steward",
    "TargetField": "CommunicationPolicies.QuietHoursEndHour",
    "CanRead": true,
    "CanWrite": false,
    "MaskStrategy": "plain",
    "SemanticTypeIri": "urn:effortless:pko-extension#FieldGrant",
    "Name": "principal-process-steward -&gt; CommunicationPolicies.QuietHoursEndHour",
    "FieldTable": "CommunicationPolicies",
    "FieldName": "QuietHoursEndHour",
    "FieldIsDerived": false,
    "IsWritableDerivedField": false,
    "IsMasked": false,
    "GrantKeyWhenReadable": "principal-process-steward|CommunicationPolicies"
   },
   {
    "FieldGrantId": "fg-process-steward-CommunicationPolicies.QuietHoursViolationCount",
    "Principal": "principal-process-steward",
    "TargetField": "CommunicationPolicies.QuietHoursViolationCount",
    "CanRead": true,
    "CanWrite": false,
    "MaskStrategy": "plain",
    "SemanticTypeIri": "urn:effortless:pko-extension#FieldGrant",
    "Name": "principal-process-steward -&gt; CommunicationPolicies.QuietHoursViolationCount",
    "FieldTable": "CommunicationPolicies",
    "FieldName": "QuietHoursViolationCount",
    "FieldIsDerived": true,
    "IsWritableDerivedField": false,
    "IsMasked": false,
    "GrantKeyWhenReadable": "principal-process-steward|CommunicationPolicies"
   },
   {
    "FieldGrantId": "fg-process-steward-CommunicationPolicies.RequiredOptOutPhrase",
    "Principal": "principal-process-steward",
    "TargetField": "CommunicationPolicies.RequiredOptOutPhrase",
    "CanRead": true,
    "CanWrite": false,
    "MaskStrategy": "plain",
    "SemanticTypeIri": "urn:effortless:pko-extension#FieldGrant",
    "Name": "principal-process-steward -&gt; CommunicationPolicies.RequiredOptOutPhrase",
    "FieldTable": "CommunicationPolicies",
    "FieldName": "RequiredOptOutPhrase",
    "FieldIsDerived": false,
    "IsWritableDerivedField": false,
    "IsMasked": false,
    "GrantKeyWhenReadable": "principal-process-steward|CommunicationPolicies"
   },
   {
    "FieldGrantId": "fg-process-steward-CommunicationPolicies.IsActivePolicy",
    "Principal": "principal-process-steward",
    "TargetField": "CommunicationPolicies.IsActivePolicy",
    "CanRead": true,
    "CanWrite": false,
    "MaskStrategy": "plain",
    "SemanticTypeIri": "urn:effortless:pko-extension#FieldGrant",
    "Name": "principal-process-steward -&gt; CommunicationPolicies.IsActivePolicy",
    "FieldTable": "CommunicationPolicies",
    "FieldName": "IsActivePolicy",
    "FieldIsDerived": true,
    "IsWritableDerivedField": false,
    "IsMasked": false,
    "GrantKeyWhenReadable": "principal-process-steward|CommunicationPolicies"
   },
   {
    "FieldGrantId": "fg-process-steward-CommunicationPolicies.SemanticTypeIri",
    "Principal": "principal-process-steward",
    "TargetField": "CommunicationPolicies.SemanticTypeIri",
    "CanRead": true,
    "CanWrite": false,
    "MaskStrategy": "plain",
    "SemanticTypeIri": "urn:effortless:pko-extension#FieldGrant",
    "Name": "principal-process-steward -&gt; CommunicationPolicies.SemanticTypeIri",
    "FieldTable": "CommunicationPolicies",
    "FieldName": "SemanticTypeIri",
    "FieldIsDerived": false,
    "IsWritableDerivedField": false,
    "IsMasked": false,
    "GrantKeyWhenReadable": "principal-process-steward|CommunicationPolicies"
   },
   {
    "FieldGrantId": "fg-process-steward-CommunitiesOfPractice.CommunityOfPracticeId",
    "Principal": "principal-process-steward",
    "TargetField": "CommunitiesOfPractice.CommunityOfPracticeId",
    "CanRead": true,
    "CanWrite": false,
    "MaskStrategy": "plain",
    "SemanticTypeIri": "urn:effortless:pko-extension#FieldGrant",
    "Name": "principal-process-steward -&gt; CommunitiesOfPractice.CommunityOfPracticeId",
    "FieldTable": "CommunitiesOfPractice",
    "FieldName": "CommunityOfPracticeId",
    "FieldIsDerived": false,
    "IsWritableDerivedField": false,
    "IsMasked": false,
    "GrantKeyWhenReadable": "principal-process-steward|CommunitiesOfPractice"
   },
   {
    "FieldGrantId": "fg-process-steward-CommunitiesOfPractice.Name",
    "Principal": "principal-process-steward",
    "TargetField": "CommunitiesOfPractice.Name",
    "CanRead": true,
    "CanWrite": false,
    "MaskStrategy": "plain",
    "SemanticTypeIri": "urn:effortless:pko-extension#FieldGrant",
    "Name": "principal-process-steward -&gt; CommunitiesOfPractice.Name",
    "FieldTable": "CommunitiesOfPractice",
    "FieldName": "Name",
    "FieldIsDerived": true,
    "IsWritableDerivedField": false,
    "IsMasked": false,
    "GrantKeyWhenReadable": "principal-process-steward|CommunitiesOfPractice"
   },
   {
    "FieldGrantId": "fg-process-steward-CommunitiesOfPractice.Label",
    "Principal": "principal-process-steward",
    "TargetField": "CommunitiesOfPractice.Label",
    "CanRead": true,
    "CanWrite": false,
    "MaskStrategy": "plain",
    "SemanticTypeIri": "urn:effortless:pko-extension#FieldGrant",
    "Name": "principal-process-steward -&gt; CommunitiesOfPractice.Label",
    "FieldTable": "CommunitiesOfPractice",
    "FieldName": "Label",
    "FieldIsDerived": false,
    "IsWritableDerivedField": false,
    "IsMasked": false,
    "GrantKeyWhenReadable": "principal-process-steward|CommunitiesOfPractice"
   },
   {
    "FieldGrantId": "fg-process-steward-CommunitiesOfPractice.Organization",
    "Principal": "principal-process-steward",
    "TargetField": "CommunitiesOfPractice.Organization",
    "CanRead": true,
    "CanWrite": false,
    "MaskStrategy": "plain",
    "SemanticTypeIri": "urn:effortless:pko-extension#FieldGrant",
    "Name": "principal-process-steward -&gt; CommunitiesOfPractice.Organization",
    "FieldTable": "CommunitiesOfPractice",
    "FieldName": "Organization",
    "FieldIsDerived": false,
    "IsWritableDerivedField": false,
    "IsMasked": false,
    "GrantKeyWhenReadable": "principal-process-steward|CommunitiesOfPractice"
   },
   {
    "FieldGrantId": "fg-process-steward-CommunitiesOfPractice.StewardRole",
    "Principal": "principal-process-steward",
    "TargetField": "CommunitiesOfPractice.StewardRole",
    "CanRead": true,
    "CanWrite": false,
    "MaskStrategy": "plain",
    "SemanticTypeIri": "urn:effortless:pko-extension#FieldGrant",
    "Name": "principal-process-steward -&gt; CommunitiesOfPractice.StewardRole",
    "FieldTable": "CommunitiesOfPractice",
    "FieldName": "StewardRole",
    "FieldIsDerived": false,
    "IsWritableDerivedField": false,
    "IsMasked": false,
    "GrantKeyWhenReadable": "principal-process-steward|CommunitiesOfPractice"
   },
   {
    "FieldGrantId": "fg-process-steward-CommunitiesOfPractice.Purpose",
    "Principal": "principal-process-steward",
    "TargetField": "CommunitiesOfPractice.Purpose",
    "CanRead": true,
    "CanWrite": false,
    "MaskStrategy": "plain",
    "SemanticTypeIri": "urn:effortless:pko-extension#FieldGrant",
    "Name": "principal-process-steward -&gt; CommunitiesOfPractice.Purpose",
    "FieldTable": "CommunitiesOfPractice",
    "FieldName": "Purpose",
    "FieldIsDerived": false,
    "IsWritableDerivedField": false,
    "IsMasked": false,
    "GrantKeyWhenReadable": "principal-process-steward|CommunitiesOfPractice"
   },
   {
    "FieldGrantId": "fg-process-steward-CommunitiesOfPractice.Cadence",
    "Principal": "principal-process-steward",
    "TargetField": "CommunitiesOfPractice.Cadence",
    "CanRead": true,
    "CanWrite": false,
    "MaskStrategy": "plain",
    "SemanticTypeIri": "urn:effortless:pko-extension#FieldGrant",
    "Name": "principal-process-steward -&gt; CommunitiesOfPractice.Cadence",
    "FieldTable": "CommunitiesOfPractice",
    "FieldName": "Cadence",
    "FieldIsDerived": false,
    "IsWritableDerivedField": false,
    "IsMasked": false,
    "GrantKeyWhenReadable": "principal-process-steward|CommunitiesOfPractice"
   },
   {
    "FieldGrantId": "fg-process-steward-CommunitiesOfPractice.SemanticTypeIri",
    "Principal": "principal-process-steward",
    "TargetField": "CommunitiesOfPractice.SemanticTypeIri",
    "CanRead": true,
    "CanWrite": false,
    "MaskStrategy": "plain",
    "SemanticTypeIri": "urn:effortless:pko-extension#FieldGrant",
    "Name": "principal-process-steward -&gt; CommunitiesOfPractice.SemanticTypeIri",
    "FieldTable": "CommunitiesOfPractice",
    "FieldName": "SemanticTypeIri",
    "FieldIsDerived": false,
    "IsWritableDerivedField": false,
    "IsMasked": false,
    "GrantKeyWhenReadable": "principal-process-steward|CommunitiesOfPractice"
   },
   {
    "FieldGrantId": "fg-process-steward-DeliveredCommunications.DeliveredCommunicationId",
    "Principal": "principal-process-steward",
    "TargetField": "DeliveredCommunications.DeliveredCommunicationId",
    "CanRead": true,
    "CanWrite": false,
    "MaskStrategy": "plain",
    "SemanticTypeIri": "urn:effortless:pko-extension#FieldGrant",
    "Name": "principal-process-steward -&gt; DeliveredCommunications.DeliveredCommunicationId",
    "FieldTable": "DeliveredCommunications",
    "FieldName": "DeliveredCommunicationId",
    "FieldIsDerived": false,
    "IsWritableDerivedField": false,
    "IsMasked": false,
    "GrantKeyWhenReadable": "principal-process-steward|DeliveredCommunications"
   },
   {
    "FieldGrantId": "fg-process-steward-DeliveredCommunications.Name",
    "Principal": "principal-process-steward",
    "TargetField": "DeliveredCommunications.Name",
    "CanRead": true,
    "CanWrite": false,
    "MaskStrategy": "plain",
    "SemanticTypeIri": "urn:effortless:pko-extension#FieldGrant",
    "Name": "principal-process-steward -&gt; DeliveredCommunications.Name",
    "FieldTable": "DeliveredCommunications",
    "FieldName": "Name",
    "FieldIsDerived": true,
    "IsWritableDerivedField": false,
    "IsMasked": false,
    "GrantKeyWhenReadable": "principal-process-steward|DeliveredCommunications"
   },
   {
    "FieldGrantId": "fg-process-steward-DeliveredCommunications.ProcedureExecution",
    "Principal": "principal-process-steward",
    "TargetField": "DeliveredCommunications.ProcedureExecution",
    "CanRead": true,
    "CanWrite": false,
    "MaskStrategy": "plain",
    "SemanticTypeIri": "urn:effortless:pko-extension#FieldGrant",
    "Name": "principal-process-steward -&gt; DeliveredCommunications.ProcedureExecution",
    "FieldTable": "DeliveredCommunications",
    "FieldName": "ProcedureExecution",
    "FieldIsDerived": false,
    "IsWritableDerivedField": false,
    "IsMasked": false,
    "GrantKeyWhenReadable": "principal-process-steward|DeliveredCommunications"
   },
   {
    "FieldGrantId": "fg-process-steward-DeliveredCommunications.SendingStepExecution",
    "Principal": "principal-process-steward",
    "TargetField": "DeliveredCommunications.SendingStepExecution",
    "CanRead": true,
    "CanWrite": false,
    "MaskStrategy": "plain",
    "SemanticTypeIri": "urn:effortless:pko-extension#FieldGrant",
    "Name": "principal-process-steward -&gt; DeliveredCommunications.SendingStepExecution",
    "FieldTable": "DeliveredCommunications",
    "FieldName": "SendingStepExecution",
    "FieldIsDerived": false,
    "IsWritableDerivedField": false,
    "IsMasked": false,
    "GrantKeyWhenReadable": "principal-process-steward|DeliveredCommunications"
   },
   {
    "FieldGrantId": "fg-process-steward-DeliveredCommunications.AuthorizingStepExecution",
    "Principal": "principal-process-steward",
    "TargetField": "DeliveredCommunications.AuthorizingStepExecution",
    "CanRead": true,
    "CanWrite": false,
    "MaskStrategy": "plain",
    "SemanticTypeIri": "urn:effortless:pko-extension#FieldGrant",
    "Name": "principal-process-steward -&gt; DeliveredCommunications.AuthorizingStepExecution",
    "FieldTable": "DeliveredCommunications",
    "FieldName": "AuthorizingStepExecution",
    "FieldIsDerived": false,
    "IsWritableDerivedField": false,
    "IsMasked": false,
    "GrantKeyWhenReadable": "principal-process-steward|DeliveredCommunications"
   },
   {
    "FieldGrantId": "fg-process-steward-DeliveredCommunications.MessageTemplate",
    "Principal": "principal-process-steward",
    "TargetField": "DeliveredCommunications.MessageTemplate",
    "CanRead": true,
    "CanWrite": false,
    "MaskStrategy": "plain",
    "SemanticTypeIri": "urn:effortless:pko-extension#FieldGrant",
    "Name": "principal-process-steward -&gt; DeliveredCommunications.MessageTemplate",
    "FieldTable": "DeliveredCommunications",
    "FieldName": "MessageTemplate",
    "FieldIsDerived": false,
    "IsWritableDerivedField": false,
    "IsMasked": false,
    "GrantKeyWhenReadable": "principal-process-steward|DeliveredCommunications"
   },
   {
    "FieldGrantId": "fg-process-steward-DeliveredCommunications.Channel",
    "Principal": "principal-process-steward",
    "TargetField": "DeliveredCommunications.Channel",
    "CanRead": true,
    "CanWrite": false,
    "MaskStrategy": "plain",
    "SemanticTypeIri": "urn:effortless:pko-extension#FieldGrant",
    "Name": "principal-process-steward -&gt; DeliveredCommunications.Channel",
    "FieldTable": "DeliveredCommunications",
    "FieldName": "Channel",
    "FieldIsDerived": false,
    "IsWritableDerivedField": false,
    "IsMasked": false,
    "GrantKeyWhenReadable": "principal-process-steward|DeliveredCommunications"
   },
   {
    "FieldGrantId": "fg-process-steward-DeliveredCommunications.RecipientKey",
    "Principal": "principal-process-steward",
    "TargetField": "DeliveredCommunications.RecipientKey",
    "CanRead": true,
    "CanWrite": false,
    "MaskStrategy": "plain",
    "SemanticTypeIri": "urn:effortless:pko-extension#FieldGrant",
    "Name": "principal-process-steward -&gt; DeliveredCommunications.RecipientKey",
    "FieldTable": "DeliveredCommunications",
    "FieldName": "RecipientKey",
    "FieldIsDerived": false,
    "IsWritableDerivedField": false,
    "IsMasked": false,
    "GrantKeyWhenReadable": "principal-process-steward|DeliveredCommunications"
   },
   {
    "FieldGrantId": "fg-process-steward-DeliveredCommunications.SentAt",
    "Principal": "principal-process-steward",
    "TargetField": "DeliveredCommunications.SentAt",
    "CanRead": true,
    "CanWrite": false,
    "MaskStrategy": "plain",
    "SemanticTypeIri": "urn:effortless:pko-extension#FieldGrant",
    "Name": "principal-process-steward -&gt; DeliveredCommunications.SentAt",
    "FieldTable": "DeliveredCommunications",
    "FieldName": "SentAt",
    "FieldIsDerived": false,
    "IsWritableDerivedField": false,
    "IsMasked": false,
    "GrantKeyWhenReadable": "principal-process-steward|DeliveredCommunications"
   },
   {
    "FieldGrantId": "fg-process-steward-DeliveredCommunications.RenderedContentHash",
    "Principal": "principal-process-steward",
    "TargetField": "DeliveredCommunications.RenderedContentHash",
    "CanRead": true,
    "CanWrite": false,
    "MaskStrategy": "plain",
    "SemanticTypeIri": "urn:effortless:pko-extension#FieldGrant",
    "Name": "principal-process-steward -&gt; DeliveredCommunications.RenderedContentHash",
    "FieldTable": "DeliveredCommunications",
    "FieldName": "RenderedContentHash",
    "FieldIsDerived": false,
    "IsWritableDerivedField": false,
    "IsMasked": false,
    "GrantKeyWhenReadable": "principal-process-steward|DeliveredCommunications"
   },
   {
    "FieldGrantId": "fg-process-steward-DeliveredCommunications.ApprovedContentHash",
    "Principal": "principal-process-steward",
    "TargetField": "DeliveredCommunications.ApprovedContentHash",
    "CanRead": true,
    "CanWrite": false,
    "MaskStrategy": "plain",
    "SemanticTypeIri": "urn:effortless:pko-extension#FieldGrant",
    "Name": "principal-process-steward -&gt; DeliveredCommunications.ApprovedContentHash",
    "FieldTable": "DeliveredCommunications",
    "FieldName": "ApprovedContentHash",
    "FieldIsDerived": false,
    "IsWritableDerivedField": false,
    "IsMasked": false,
    "GrantKeyWhenReadable": "principal-process-steward|DeliveredCommunications"
   },
   {
    "FieldGrantId": "fg-process-steward-DeliveredCommunications.DeliveryStatus",
    "Principal": "principal-process-steward",
    "TargetField": "DeliveredCommunications.DeliveryStatus",
    "CanRead": true,
    "CanWrite": false,
    "MaskStrategy": "plain",
    "SemanticTypeIri": "urn:effortless:pko-extension#FieldGrant",
    "Name": "principal-process-steward -&gt; DeliveredCommunications.DeliveryStatus",
    "FieldTable": "DeliveredCommunications",
    "FieldName": "DeliveryStatus",
    "FieldIsDerived": false,
    "IsWritableDerivedField": false,
    "IsMasked": false,
    "GrantKeyWhenReadable": "principal-process-steward|DeliveredCommunications"
   },
   {
    "FieldGrantId": "fg-process-steward-DeliveredCommunications.SemanticTypeIri",
    "Principal": "principal-process-steward",
    "TargetField": "DeliveredCommunications.SemanticTypeIri",
    "CanRead": true,
    "CanWrite": false,
    "MaskStrategy": "plain",
    "SemanticTypeIri": "urn:effortless:pko-extension#FieldGrant",
    "Name": "principal-process-steward -&gt; DeliveredCommunications.SemanticTypeIri",
    "FieldTable": "DeliveredCommunications",
    "FieldName": "SemanticTypeIri",
    "FieldIsDerived": false,
    "IsWritableDerivedField": false,
    "IsMasked": false,
    "GrantKeyWhenReadable": "principal-process-steward|DeliveredCommunications"
   },
   {
    "FieldGrantId": "fg-process-steward-DeliveredCommunications.HasAuthorization",
    "Principal": "principal-process-steward",
    "TargetField": "DeliveredCommunications.HasAuthorization",
    "CanRead": true,
    "CanWrite": false,
    "MaskStrategy": "plain",
    "SemanticTypeIri": "urn:effortless:pko-extension#FieldGrant",
    "Name": "principal-process-steward -&gt; DeliveredCommunications.HasAuthorization",
    "FieldTable": "DeliveredCommunications",
    "FieldName": "HasAuthorization",
    "FieldIsDerived": true,
    "IsWritableDerivedField": false,
    "IsMasked": false,
    "GrantKeyWhenReadable": "principal-process-steward|DeliveredCommunications"
   },
   {
    "FieldGrantId": "fg-process-steward-DeliveredCommunications.ContentMatchesApproval",
    "Principal": "principal-process-steward",
    "TargetField": "DeliveredCommunications.ContentMatchesApproval",
    "CanRead": true,
    "CanWrite": false,
    "MaskStrategy": "plain",
    "SemanticTypeIri": "urn:effortless:pko-extension#FieldGrant",
    "Name": "principal-process-steward -&gt; DeliveredCommunications.ContentMatchesApproval",
    "FieldTable": "DeliveredCommunications",
    "FieldName": "ContentMatchesApproval",
    "FieldIsDerived": true,
    "IsWritableDerivedField": false,
    "IsMasked": false,
    "GrantKeyWhenReadable": "principal-process-steward|DeliveredCommunications"
   },
   {
    "FieldGrantId": "fg-process-steward-DeliveredCommunications.AuthorizedAt",
    "Principal": "principal-process-steward",
    "TargetField": "DeliveredCommunications.AuthorizedAt",
    "CanRead": true,
    "CanWrite": false,
    "MaskStrategy": "plain",
    "SemanticTypeIri": "urn:effortless:pko-extension#FieldGrant",
    "Name": "principal-process-steward -&gt; DeliveredCommunications.AuthorizedAt",
    "FieldTable": "DeliveredCommunications",
    "FieldName": "AuthorizedAt",
    "FieldIsDerived": true,
    "IsWritableDerivedField": false,
    "IsMasked": false,
    "GrantKeyWhenReadable": "principal-process-steward|DeliveredCommunications"
   },
   {
    "FieldGrantId": "fg-process-steward-DeliveredCommunications.WasApprovedBeforeSending",
    "Principal": "principal-process-steward",
    "TargetField": "DeliveredCommunications.WasApprovedBeforeSending",
    "CanRead": true,
    "CanWrite": false,
    "MaskStrategy": "plain",
    "SemanticTypeIri": "urn:effortless:pko-extension#FieldGrant",
    "Name": "principal-process-steward -&gt; DeliveredCommunications.WasApprovedBeforeSending",
    "FieldTable": "DeliveredCommunications",
    "FieldName": "WasApprovedBeforeSending",
    "FieldIsDerived": true,
    "IsWritableDerivedField": false,
    "IsMasked": false,
    "GrantKeyWhenReadable": "principal-process-steward|DeliveredCommunications"
   },
   {
    "FieldGrantId": "fg-process-steward-DeliveredCommunications.IsDefensible",
    "Principal": "principal-process-steward",
    "TargetField": "DeliveredCommunications.IsDefensible",
    "CanRead": true,
    "CanWrite": false,
    "MaskStrategy": "plain",
    "SemanticTypeIri": "urn:effortless:pko-extension#FieldGrant",
    "Name": "principal-process-steward -&gt; DeliveredCommunications.IsDefensible",
    "FieldTable": "DeliveredCommunications",
    "FieldName": "IsDefensible",
    "FieldIsDerived": true,
    "IsWritableDerivedField": false,
    "IsMasked": false,
    "GrantKeyWhenReadable": "principal-process-steward|DeliveredCommunications"
   },
   {
    "FieldGrantId": "fg-process-steward-ElicitationSessions.ElicitationSessionId",
    "Principal": "principal-process-steward",
    "TargetField": "ElicitationSessions.ElicitationSessionId",
    "CanRead": true,
    "CanWrite": false,
    "MaskStrategy": "plain",
    "SemanticTypeIri": "urn:effortless:pko-extension#FieldGrant",
    "Name": "principal-process-steward -&gt; ElicitationSessions.ElicitationSessionId",
    "FieldTable": "ElicitationSessions",
    "FieldName": "ElicitationSessionId",
    "FieldIsDerived": false,
    "IsWritableDerivedField": false,
    "IsMasked": false,
    "GrantKeyWhenReadable": "principal-process-steward|ElicitationSessions"
   },
   {
    "FieldGrantId": "fg-process-steward-ElicitationSessions.Name",
    "Principal": "principal-process-steward",
    "TargetField": "ElicitationSessions.Name",
    "CanRead": true,
    "CanWrite": false,
    "MaskStrategy": "plain",
    "SemanticTypeIri": "urn:effortless:pko-extension#FieldGrant",
    "Name": "principal-process-steward -&gt; ElicitationSessions.Name",
    "FieldTable": "ElicitationSessions",
    "FieldName": "Name",
    "FieldIsDerived": true,
    "IsWritableDerivedField": false,
    "IsMasked": false,
    "GrantKeyWhenReadable": "principal-process-steward|ElicitationSessions"
   },
   {
    "FieldGrantId": "fg-process-steward-ElicitationSessions.ProcedureVersion",
    "Principal": "principal-process-steward",
    "TargetField": "ElicitationSessions.ProcedureVersion",
    "CanRead": true,
    "CanWrite": false,
    "MaskStrategy": "plain",
    "SemanticTypeIri": "urn:effortless:pko-extension#FieldGrant",
    "Name": "principal-process-steward -&gt; ElicitationSessions.ProcedureVersion",
    "FieldTable": "ElicitationSessions",
    "FieldName": "ProcedureVersion",
    "FieldIsDerived": false,
    "IsWritableDerivedField": false,
    "IsMasked": false,
    "GrantKeyWhenReadable": "principal-process-steward|ElicitationSessions"
   },
   {
    "FieldGrantId": "fg-process-steward-ElicitationSessions.Method",
    "Principal": "principal-process-steward",
    "TargetField": "ElicitationSessions.Method",
    "CanRead": true,
    "CanWrite": false,
    "MaskStrategy": "plain",
    "SemanticTypeIri": "urn:effortless:pko-extension#FieldGrant",
    "Name": "principal-process-steward -&gt; ElicitationSes</t>
  </si>
  <si>
    <t xml:space="preserve">sions.Method",
    "FieldTable": "ElicitationSessions",
    "FieldName": "Method",
    "FieldIsDerived": false,
    "IsWritableDerivedField": false,
    "IsMasked": false,
    "GrantKeyWhenReadable": "principal-process-steward|ElicitationSessions"
   },
   {
    "FieldGrantId": "fg-process-steward-ElicitationSessions.StartedAt",
    "Principal": "principal-process-steward",
    "TargetField": "ElicitationSessions.StartedAt",
    "CanRead": true,
    "CanWrite": false,
    "MaskStrategy": "plain",
    "SemanticTypeIri": "urn:effortless:pko-extension#FieldGrant",
    "Name": "principal-process-steward -&gt; ElicitationSessions.StartedAt",
    "FieldTable": "ElicitationSessions",
    "FieldName": "StartedAt",
    "FieldIsDerived": false,
    "IsWritableDerivedField": false,
    "IsMasked": false,
    "GrantKeyWhenReadable": "principal-process-steward|ElicitationSessions"
   },
   {
    "FieldGrantId": "fg-process-steward-ElicitationSessions.EndedAt",
    "Principal": "principal-process-steward",
    "TargetField": "ElicitationSessions.EndedAt",
    "CanRead": true,
    "CanWrite": false,
    "MaskStrategy": "plain",
    "SemanticTypeIri": "urn:effortless:pko-extension#FieldGrant",
    "Name": "principal-process-steward -&gt; ElicitationSessions.EndedAt",
    "FieldTable": "ElicitationSessions",
    "FieldName": "EndedAt",
    "FieldIsDerived": false,
    "IsWritableDerivedField": false,
    "IsMasked": false,
    "GrantKeyWhenReadable": "principal-process-steward|ElicitationSessions"
   },
   {
    "FieldGrantId": "fg-process-steward-ElicitationSessions.PractitionerAgent",
    "Principal": "principal-process-steward",
    "TargetField": "ElicitationSessions.PractitionerAgent",
    "CanRead": true,
    "CanWrite": false,
    "MaskStrategy": "plain",
    "SemanticTypeIri": "urn:effortless:pko-extension#FieldGrant",
    "Name": "principal-process-steward -&gt; ElicitationSessions.PractitionerAgent",
    "FieldTable": "ElicitationSessions",
    "FieldName": "PractitionerAgent",
    "FieldIsDerived": false,
    "IsWritableDerivedField": false,
    "IsMasked": false,
    "GrantKeyWhenReadable": "principal-process-steward|ElicitationSessions"
   },
   {
    "FieldGrantId": "fg-process-steward-ElicitationSessions.FacilitatorAgent",
    "Principal": "principal-process-steward",
    "TargetField": "ElicitationSessions.FacilitatorAgent",
    "CanRead": true,
    "CanWrite": false,
    "MaskStrategy": "plain",
    "SemanticTypeIri": "urn:effortless:pko-extension#FieldGrant",
    "Name": "principal-process-steward -&gt; ElicitationSessions.FacilitatorAgent",
    "FieldTable": "ElicitationSessions",
    "FieldName": "FacilitatorAgent",
    "FieldIsDerived": false,
    "IsWritableDerivedField": false,
    "IsMasked": false,
    "GrantKeyWhenReadable": "principal-process-steward|ElicitationSessions"
   },
   {
    "FieldGrantId": "fg-process-steward-ElicitationSessions.Summary",
    "Principal": "principal-process-steward",
    "TargetField": "ElicitationSessions.Summary",
    "CanRead": true,
    "CanWrite": false,
    "MaskStrategy": "plain",
    "SemanticTypeIri": "urn:effortless:pko-extension#FieldGrant",
    "Name": "principal-process-steward -&gt; ElicitationSessions.Summary",
    "FieldTable": "ElicitationSessions",
    "FieldName": "Summary",
    "FieldIsDerived": false,
    "IsWritableDerivedField": false,
    "IsMasked": false,
    "GrantKeyWhenReadable": "principal-process-steward|ElicitationSessions"
   },
   {
    "FieldGrantId": "fg-process-steward-ElicitationSessions.Status",
    "Principal": "principal-process-steward",
    "TargetField": "ElicitationSessions.Status",
    "CanRead": true,
    "CanWrite": false,
    "MaskStrategy": "plain",
    "SemanticTypeIri": "urn:effortless:pko-extension#FieldGrant",
    "Name": "principal-process-steward -&gt; ElicitationSessions.Status",
    "FieldTable": "ElicitationSessions",
    "FieldName": "Status",
    "FieldIsDerived": false,
    "IsWritableDerivedField": false,
    "IsMasked": false,
    "GrantKeyWhenReadable": "principal-process-steward|ElicitationSessions"
   },
   {
    "FieldGrantId": "fg-process-steward-ElicitationSessions.EvaluationContext",
    "Principal": "principal-process-steward",
    "TargetField": "ElicitationSessions.EvaluationContext",
    "CanRead": true,
    "CanWrite": false,
    "MaskStrategy": "plain",
    "SemanticTypeIri": "urn:effortless:pko-extension#FieldGrant",
    "Name": "principal-process-steward -&gt; ElicitationSessions.EvaluationContext",
    "FieldTable": "ElicitationSessions",
    "FieldName": "EvaluationContext",
    "FieldIsDerived": false,
    "IsWritableDerivedField": false,
    "IsMasked": false,
    "GrantKeyWhenReadable": "principal-process-steward|ElicitationSessions"
   },
   {
    "FieldGrantId": "fg-process-steward-ElicitationSessions.AsOfInstant",
    "Principal": "principal-process-steward",
    "TargetField": "ElicitationSessions.AsOfInstant",
    "CanRead": true,
    "CanWrite": false,
    "MaskStrategy": "plain",
    "SemanticTypeIri": "urn:effortless:pko-extension#FieldGrant",
    "Name": "principal-process-steward -&gt; ElicitationSessions.AsOfInstant",
    "FieldTable": "ElicitationSessions",
    "FieldName": "AsOfInstant",
    "FieldIsDerived": true,
    "IsWritableDerivedField": false,
    "IsMasked": false,
    "GrantKeyWhenReadable": "principal-process-steward|ElicitationSessions"
   },
   {
    "FieldGrantId": "fg-process-steward-ElicitationSessions.DaysSinceElicited",
    "Principal": "principal-process-steward",
    "TargetField": "ElicitationSessions.DaysSinceElicited",
    "CanRead": true,
    "CanWrite": false,
    "MaskStrategy": "plain",
    "SemanticTypeIri": "urn:effortless:pko-extension#FieldGrant",
    "Name": "principal-process-steward -&gt; ElicitationSessions.DaysSinceElicited",
    "FieldTable": "ElicitationSessions",
    "FieldName": "DaysSinceElicited",
    "FieldIsDerived": true,
    "IsWritableDerivedField": false,
    "IsMasked": false,
    "GrantKeyWhenReadable": "principal-process-steward|ElicitationSessions"
   },
   {
    "FieldGrantId": "fg-process-steward-ElicitationSessions.IsSingleWitnessMethod",
    "Principal": "principal-process-steward",
    "TargetField": "ElicitationSessions.IsSingleWitnessMethod",
    "CanRead": true,
    "CanWrite": false,
    "MaskStrategy": "plain",
    "SemanticTypeIri": "urn:effortless:pko-extension#FieldGrant",
    "Name": "principal-process-steward -&gt; ElicitationSessions.IsSingleWitnessMethod",
    "FieldTable": "ElicitationSessions",
    "FieldName": "IsSingleWitnessMethod",
    "FieldIsDerived": true,
    "IsWritableDerivedField": false,
    "IsMasked": false,
    "GrantKeyWhenReadable": "principal-process-steward|ElicitationSessions"
   },
   {
    "FieldGrantId": "fg-process-steward-ElicitationSessions.PractitionerIsStillEngaged",
    "Principal": "principal-process-steward",
    "TargetField": "ElicitationSessions.PractitionerIsStillEngaged",
    "CanRead": true,
    "CanWrite": false,
    "MaskStrategy": "plain",
    "SemanticTypeIri": "urn:effortless:pko-extension#FieldGrant",
    "Name": "principal-process-steward -&gt; ElicitationSessions.PractitionerIsStillEngaged",
    "FieldTable": "ElicitationSessions",
    "FieldName": "PractitionerIsStillEngaged",
    "FieldIsDerived": true,
    "IsWritableDerivedField": false,
    "IsMasked": false,
    "GrantKeyWhenReadable": "principal-process-steward|ElicitationSessions"
   },
   {
    "FieldGrantId": "fg-process-steward-ElicitationSessions.ValidFragmentsProduced",
    "Principal": "principal-process-steward",
    "TargetField": "ElicitationSessions.ValidFragmentsProduced",
    "CanRead": true,
    "CanWrite": false,
    "MaskStrategy": "plain",
    "SemanticTypeIri": "urn:effortless:pko-extension#FieldGrant",
    "Name": "principal-process-steward -&gt; ElicitationSessions.ValidFragmentsProduced",
    "FieldTable": "ElicitationSessions",
    "FieldName": "ValidFragmentsProduced",
    "FieldIsDerived": true,
    "IsWritableDerivedField": false,
    "IsMasked": false,
    "GrantKeyWhenReadable": "principal-process-steward|ElicitationSessions"
   },
   {
    "FieldGrantId": "fg-process-steward-ElicitationSessions.IsHighYieldSession",
    "Principal": "principal-process-steward",
    "TargetField": "ElicitationSessions.IsHighYieldSession",
    "CanRead": true,
    "CanWrite": false,
    "MaskStrategy": "plain",
    "SemanticTypeIri": "urn:effortless:pko-extension#FieldGrant",
    "Name": "principal-process-steward -&gt; ElicitationSessions.IsHighYieldSession",
    "FieldTable": "ElicitationSessions",
    "FieldName": "IsHighYieldSession",
    "FieldIsDerived": true,
    "IsWritableDerivedField": false,
    "IsMasked": false,
    "GrantKeyWhenReadable": "principal-process-steward|ElicitationSessions"
   },
   {
    "FieldGrantId": "fg-process-steward-ElicitationSessions.IsConcentratedSingleWitness",
    "Principal": "principal-process-steward",
    "TargetField": "ElicitationSessions.IsConcentratedSingleWitness",
    "CanRead": true,
    "CanWrite": false,
    "MaskStrategy": "plain",
    "SemanticTypeIri": "urn:effortless:pko-extension#FieldGrant",
    "Name": "principal-process-steward -&gt; ElicitationSessions.IsConcentratedSingleWitness",
    "FieldTable": "ElicitationSessions",
    "FieldName": "IsConcentratedSingleWitness",
    "FieldIsDerived": true,
    "IsWritableDerivedField": false,
    "IsMasked": false,
    "GrantKeyWhenReadable": "principal-process-steward|ElicitationSessions"
   },
   {
    "FieldGrantId": "fg-process-steward-ElicitationSessions.IsStaleConcentratedWitness",
    "Principal": "principal-process-steward",
    "TargetField": "ElicitationSessions.IsStaleConcentratedWitness",
    "CanRead": true,
    "CanWrite": false,
    "MaskStrategy": "plain",
    "SemanticTypeIri": "urn:effortless:pko-extension#FieldGrant",
    "Name": "principal-process-steward -&gt; ElicitationSessions.IsStaleConcentratedWitness",
    "FieldTable": "ElicitationSessions",
    "FieldName": "IsStaleConcentratedWitness",
    "FieldIsDerived": true,
    "IsWritableDerivedField": false,
    "IsMasked": false,
    "GrantKeyWhenReadable": "principal-process-steward|ElicitationSessions"
   },
   {
    "FieldGrantId": "fg-process-steward-ElicitationSessions.ConcentratedSessionVersionKey",
    "Principal": "principal-process-steward",
    "TargetField": "ElicitationSessions.ConcentratedSessionVersionKey",
    "CanRead": true,
    "CanWrite": false,
    "MaskStrategy": "plain",
    "SemanticTypeIri": "urn:effortless:pko-extension#FieldGrant",
    "Name": "principal-process-steward -&gt; ElicitationSessions.ConcentratedSessionVersionKey",
    "FieldTable": "ElicitationSessions",
    "FieldName": "ConcentratedSessionVersionKey",
    "FieldIsDerived": true,
    "IsWritableDerivedField": false,
    "IsMasked": false,
    "GrantKeyWhenReadable": "principal-process-steward|ElicitationSessions"
   },
   {
    "FieldGrantId": "fg-process-steward-ElicitationSessions.SemanticTypeIri",
    "Principal": "principal-process-steward",
    "TargetField": "ElicitationSessions.SemanticTypeIri",
    "CanRead": true,
    "CanWrite": false,
    "MaskStrategy": "plain",
    "SemanticTypeIri": "urn:effortless:pko-extension#FieldGrant",
    "Name": "principal-process-steward -&gt; ElicitationSessions.SemanticTypeIri",
    "FieldTable": "ElicitationSessions",
    "FieldName": "SemanticTypeIri",
    "FieldIsDerived": false,
    "IsWritableDerivedField": false,
    "IsMasked": false,
    "GrantKeyWhenReadable": "principal-process-steward|ElicitationSessions"
   },
   {
    "FieldGrantId": "fg-process-steward-Errors.ErrorId",
    "Principal": "principal-process-steward",
    "TargetField": "Errors.ErrorId",
    "CanRead": true,
    "CanWrite": false,
    "MaskStrategy": "plain",
    "SemanticTypeIri": "urn:effortless:pko-extension#FieldGrant",
    "Name": "principal-process-steward -&gt; Errors.ErrorId",
    "FieldTable": "Errors",
    "FieldName": "ErrorId",
    "FieldIsDerived": false,
    "IsWritableDerivedField": false,
    "IsMasked": false,
    "GrantKeyWhenReadable": "principal-process-steward|Errors"
   },
   {
    "FieldGrantId": "fg-process-steward-Errors.Name",
    "Principal": "principal-process-steward",
    "TargetField": "Errors.Name",
    "CanRead": true,
    "CanWrite": false,
    "MaskStrategy": "plain",
    "SemanticTypeIri": "urn:effortless:pko-extension#FieldGrant",
    "Name": "principal-process-steward -&gt; Errors.Name",
    "FieldTable": "Errors",
    "FieldName": "Name",
    "FieldIsDerived": true,
    "IsWritableDerivedField": false,
    "IsMasked": false,
    "GrantKeyWhenReadable": "principal-process-steward|Errors"
   },
   {
    "FieldGrantId": "fg-process-steward-Errors.Label",
    "Principal": "principal-process-steward",
    "TargetField": "Errors.Label",
    "CanRead": true,
    "CanWrite": false,
    "MaskStrategy": "plain",
    "SemanticTypeIri": "urn:effortless:pko-extension#FieldGrant",
    "Name": "principal-process-steward -&gt; Errors.Label",
    "FieldTable": "Errors",
    "FieldName": "Label",
    "FieldIsDerived": false,
    "IsWritableDerivedField": false,
    "IsMasked": false,
    "GrantKeyWhenReadable": "principal-process-steward|Errors"
   },
   {
    "FieldGrantId": "fg-process-steward-Errors.ErrorCode",
    "Principal": "principal-process-steward",
    "TargetField": "Errors.ErrorCode",
    "CanRead": true,
    "CanWrite": false,
    "MaskStrategy": "plain",
    "SemanticTypeIri": "urn:effortless:pko-extension#FieldGrant",
    "Name": "principal-process-steward -&gt; Errors.ErrorCode",
    "FieldTable": "Errors",
    "FieldName": "ErrorCode",
    "FieldIsDerived": false,
    "IsWritableDerivedField": false,
    "IsMasked": false,
    "GrantKeyWhenReadable": "principal-process-steward|Errors"
   },
   {
    "FieldGrantId": "fg-process-steward-Errors.ErrorCause",
    "Principal": "principal-process-steward",
    "TargetField": "Errors.ErrorCause",
    "CanRead": true,
    "CanWrite": false,
    "MaskStrategy": "plain",
    "SemanticTypeIri": "urn:effortless:pko-extension#FieldGrant",
    "Name": "principal-process-steward -&gt; Errors.ErrorCause",
    "FieldTable": "Errors",
    "FieldName": "ErrorCause",
    "FieldIsDerived": false,
    "IsWritableDerivedField": false,
    "IsMasked": false,
    "GrantKeyWhenReadable": "principal-process-steward|Errors"
   },
   {
    "FieldGrantId": "fg-process-steward-Errors.SemanticTypeIri",
    "Principal": "principal-process-steward",
    "TargetField": "Errors.SemanticTypeIri",
    "CanRead": true,
    "CanWrite": false,
    "MaskStrategy": "plain",
    "SemanticTypeIri": "urn:effortless:pko-extension#FieldGrant",
    "Name": "principal-process-steward -&gt; Errors.SemanticTypeIri",
    "FieldTable": "Errors",
    "FieldName": "SemanticTypeIri",
    "FieldIsDerived": false,
    "IsWritableDerivedField": false,
    "IsMasked": false,
    "GrantKeyWhenReadable": "principal-process-steward|Errors"
   },
   {
    "FieldGrantId": "fg-process-steward-EvaluationContexts.EvaluationContextId",
    "Principal": "principal-process-steward",
    "TargetField": "EvaluationContexts.EvaluationContextId",
    "CanRead": true,
    "CanWrite": false,
    "MaskStrategy": "plain",
    "SemanticTypeIri": "urn:effortless:pko-extension#FieldGrant",
    "Name": "principal-process-steward -&gt; EvaluationContexts.EvaluationContextId",
    "FieldTable": "EvaluationContexts",
    "FieldName": "EvaluationContextId",
    "FieldIsDerived": false,
    "IsWritableDerivedField": false,
    "IsMasked": false,
    "GrantKeyWhenReadable": "principal-process-steward|EvaluationContexts"
   },
   {
    "FieldGrantId": "fg-process-steward-EvaluationContexts.Name",
    "Principal": "principal-process-steward",
    "TargetField": "EvaluationContexts.Name",
    "CanRead": true,
    "CanWrite": false,
    "MaskStrategy": "plain",
    "SemanticTypeIri": "urn:effortless:pko-extension#FieldGrant",
    "Name": "principal-process-steward -&gt; EvaluationContexts.Name",
    "FieldTable": "EvaluationContexts",
    "FieldName": "Name",
    "FieldIsDerived": true,
    "IsWritableDerivedField": false,
    "IsMasked": false,
    "GrantKeyWhenReadable": "principal-process-steward|EvaluationContexts"
   },
   {
    "FieldGrantId": "fg-process-steward-EvaluationContexts.Label",
    "Principal": "principal-process-steward",
    "TargetField": "EvaluationContexts.Label",
    "CanRead": true,
    "CanWrite": false,
    "MaskStrategy": "plain",
    "SemanticTypeIri": "urn:effortless:pko-extension#FieldGrant",
    "Name": "principal-process-steward -&gt; EvaluationContexts.Label",
    "FieldTable": "EvaluationContexts",
    "FieldName": "Label",
    "FieldIsDerived": false,
    "IsWritableDerivedField": false,
    "IsMasked": false,
    "GrantKeyWhenReadable": "principal-process-steward|EvaluationContexts"
   },
   {
    "FieldGrantId": "fg-process-steward-EvaluationContexts.AsOfInstant",
    "Principal": "principal-process-steward",
    "TargetField": "EvaluationContexts.AsOfInstant",
    "CanRead": true,
    "CanWrite": false,
    "MaskStrategy": "plain",
    "SemanticTypeIri": "urn:effortless:pko-extension#FieldGrant",
    "Name": "principal-process-steward -&gt; EvaluationContexts.AsOfInstant",
    "FieldTable": "EvaluationContexts",
    "FieldName": "AsOfInstant",
    "FieldIsDerived": false,
    "IsWritableDerivedField": false,
    "IsMasked": false,
    "GrantKeyWhenReadable": "principal-process-steward|EvaluationContexts"
   },
   {
    "FieldGrantId": "fg-process-steward-EvaluationContexts.IsCurrent",
    "Principal": "principal-process-steward",
    "TargetField": "EvaluationContexts.IsCurrent",
    "CanRead": true,
    "CanWrite": false,
    "MaskStrategy": "plain",
    "SemanticTypeIri": "urn:effortless:pko-extension#FieldGrant",
    "Name": "principal-process-steward -&gt; EvaluationContexts.IsCurrent",
    "FieldTable": "EvaluationContexts",
    "FieldName": "IsCurrent",
    "FieldIsDerived": false,
    "IsWritableDerivedField": false,
    "IsMasked": false,
    "GrantKeyWhenReadable": "principal-process-steward|EvaluationContexts"
   },
   {
    "FieldGrantId": "fg-process-steward-EvaluationContexts.Rationale",
    "Principal": "principal-process-steward",
    "TargetField": "EvaluationContexts.Rationale",
    "CanRead": true,
    "CanWrite": false,
    "MaskStrategy": "plain",
    "SemanticTypeIri": "urn:effortless:pko-extension#FieldGrant",
    "Name": "principal-process-steward -&gt; EvaluationContexts.Rationale",
    "FieldTable": "EvaluationContexts",
    "FieldName": "Rationale",
    "FieldIsDerived": false,
    "IsWritableDerivedField": false,
    "IsMasked": false,
    "GrantKeyWhenReadable": "principal-process-steward|EvaluationContexts"
   },
   {
    "FieldGrantId": "fg-process-steward-EvaluationContexts.SemanticTypeIri",
    "Principal": "principal-process-steward",
    "TargetField": "EvaluationContexts.SemanticTypeIri",
    "CanRead": true,
    "CanWrite": false,
    "MaskStrategy": "plain",
    "SemanticTypeIri": "urn:effortless:pko-extension#FieldGrant",
    "Name": "principal-process-steward -&gt; EvaluationContexts.SemanticTypeIri",
    "FieldTable": "EvaluationContexts",
    "FieldName": "SemanticTypeIri",
    "FieldIsDerived": false,
    "IsWritableDerivedField": false,
    "IsMasked": false,
    "GrantKeyWhenReadable": "principal-process-steward|EvaluationContexts"
   },
   {
    "FieldGrantId": "fg-process-steward-ExceptionInvocations.ExceptionInvocationId",
    "Principal": "principal-process-steward",
    "TargetField": "ExceptionInvocations.ExceptionInvocationId",
    "CanRead": true,
    "CanWrite": false,
    "MaskStrategy": "plain",
    "SemanticTypeIri": "urn:effortless:pko-extension#FieldGrant",
    "Name": "principal-process-steward -&gt; ExceptionInvocations.ExceptionInvocationId",
    "FieldTable": "ExceptionInvocations",
    "FieldName": "ExceptionInvocationId",
    "FieldIsDerived": false,
    "IsWritableDerivedField": false,
    "IsMasked": false,
    "GrantKeyWhenReadable": "principal-process-steward|ExceptionInvocations"
   },
   {
    "FieldGrantId": "fg-process-steward-ExceptionInvocations.Name",
    "Principal": "principal-process-steward",
    "TargetField": "ExceptionInvocations.Name",
    "CanRead": true,
    "CanWrite": false,
    "MaskStrategy": "plain",
    "SemanticTypeIri": "urn:effortless:pko-extension#FieldGrant",
    "Name": "principal-process-steward -&gt; ExceptionInvocations.Name",
    "FieldTable": "ExceptionInvocations",
    "FieldName": "Name",
    "FieldIsDerived": true,
    "IsWritableDerivedField": false,
    "IsMasked": false,
    "GrantKeyWhenReadable": "principal-process-steward|ExceptionInvocations"
   },
   {
    "FieldGrantId": "fg-process-steward-ExceptionInvocations.StepExecution",
    "Principal": "principal-process-steward",
    "TargetField": "ExceptionInvocations.StepExecution",
    "CanRead": true,
    "CanWrite": false,
    "MaskStrategy": "plain",
    "SemanticTypeIri": "urn:effortless:pko-extension#FieldGrant",
    "Name": "principal-process-steward -&gt; ExceptionInvocations.StepExecution",
    "FieldTable": "ExceptionInvocations",
    "FieldName": "StepExecution",
    "FieldIsDerived": false,
    "IsWritableDerivedField": false,
    "IsMasked": false,
    "GrantKeyWhenReadable": "principal-process-steward|ExceptionInvocations"
   },
   {
    "FieldGrantId": "fg-process-steward-ExceptionInvocations.Exception",
    "Principal": "principal-process-steward",
    "TargetField": "ExceptionInvocations.Exception",
    "CanRead": true,
    "CanWrite": false,
    "MaskStrategy": "plain",
    "SemanticTypeIri": "urn:effortless:pko-extension#FieldGrant",
    "Name": "principal-process-steward -&gt; ExceptionInvocations.Exception",
    "FieldTable": "ExceptionInvocations",
    "FieldName": "Exception",
    "FieldIsDerived": false,
    "IsWritableDerivedField": false,
    "IsMasked": false,
    "GrantKeyWhenReadable": "principal-process-steward|ExceptionInvocations"
   },
   {
    "FieldGrantId": "fg-process-steward-ExceptionInvocations.InvokedByAgent",
    "Principal": "principal-process-steward",
    "TargetField": "ExceptionInvocations.InvokedByAgent",
    "CanRead": true,
    "CanWrite": false,
    "MaskStrategy": "plain",
    "SemanticTypeIri": "urn:effortless:pko-extension#FieldGrant",
    "Name": "principal-process-steward -&gt; ExceptionInvocations.InvokedByAgent",
    "FieldTable": "ExceptionInvocations",
    "FieldName": "InvokedByAgent",
    "FieldIsDerived": false,
    "IsWritableDerivedField": false,
    "IsMasked": false,
    "GrantKeyWhenReadable": "principal-process-steward|ExceptionInvocations"
   },
   {
    "FieldGrantId": "fg-process-steward-ExceptionInvocations.ApprovedByAgent",
    "Principal": "principal-process-steward",
    "TargetField": "ExceptionInvocations.ApprovedByAgent",
    "CanRead": true,
    "CanWrite": false,
    "MaskStrategy": "plain",
    "SemanticTypeIri": "urn:effortless:pko-extension#FieldGrant",
    "Name": "principal-process-steward -&gt; ExceptionInvocations.ApprovedByAgent",
    "FieldTable": "ExceptionInvocations",
    "FieldName": "ApprovedByAgent",
    "FieldIsDerived": false,
    "IsWritableDerivedField": false,
    "IsMasked": false,
    "GrantKeyWhenReadable": "principal-process-steward|ExceptionInvocations"
   },
   {
    "FieldGrantId": "fg-process-steward-ExceptionInvocations.InvokedAt",
    "Principal": "principal-process-steward",
    "TargetField": "ExceptionInvocations.InvokedAt",
    "CanRead": true,
    "CanWrite": false,
    "MaskStrategy": "plain",
    "SemanticTypeIri": "urn:effortless:pko-extension#FieldGrant",
    "Name": "principal-process-steward -&gt; ExceptionInvocations.InvokedAt",
    "FieldTable": "ExceptionInvocations",
    "FieldName": "InvokedAt",
    "FieldIsDerived": false,
    "IsWritableDerivedField": false,
    "IsMasked": false,
    "GrantKeyWhenReadable": "principal-process-steward|ExceptionInvocations"
   },
   {
    "FieldGrantId": "fg-process-steward-ExceptionInvocations.HandlingApplied",
    "Principal": "principal-process-steward",
    "TargetField": "ExceptionInvocations.HandlingApplied",
    "CanRead": true,
    "CanWrite": false,
    "MaskStrategy": "plain",
    "SemanticTypeIri": "urn:effortless:pko-extension#FieldGrant",
    "Name": "principal-process-steward -&gt; ExceptionInvocations.HandlingApplied",
    "FieldTable": "ExceptionInvocations",
    "FieldName": "HandlingApplied",
    "FieldIsDerived": false,
    "IsWritableDerivedField": false,
    "IsMasked": false,
    "GrantKeyWhenReadable": "principal-process-steward|ExceptionInvocations"
   },
   {
    "FieldGrantId": "fg-process-steward-ExceptionInvocations.ExpectedHandling",
    "Principal": "principal-process-steward",
    "TargetField": "ExceptionInvocations.ExpectedHandling",
    "CanRead": true,
    "CanWrite": false,
    "MaskStrategy": "plain",
    "SemanticTypeIri": "urn:effortless:pko-extension#FieldGrant",
    "Name": "principal-process-steward -&gt; ExceptionInvocations.ExpectedHandling",
    "FieldTable": "ExceptionInvocations",
    "FieldName": "ExpectedHandling",
    "FieldIsDerived": true,
    "IsWritableDerivedField": false,
    "IsMasked": false,
    "GrantKeyWhenReadable": "principal-process-steward|ExceptionInvocations"
   },
   {
    "FieldGrantId": "fg-process-steward-ExceptionInvocations.RequiredApprovalRole",
    "Principal": "principal-process-steward",
    "TargetField": "ExceptionInvocations.RequiredApprovalRole",
    "CanRead": true,
    "CanWrite": false,
    "MaskStrategy": "plain",
    "SemanticTypeIri": "urn:effortless:pko-extension#FieldGrant",
    "Name": "principal-process-steward -&gt; ExceptionInvocations.RequiredApprovalRole",
    "FieldTable": "ExceptionInvocations",
    "FieldName": "RequiredApprovalRole",
    "FieldIsDerived": true,
    "IsWritableDerivedField": false,
    "IsMasked": false,
    "GrantKeyWhenReadable": "principal-process-steward|ExceptionInvocations"
   },
   {
    "FieldGrantId": "fg-process-steward-ExceptionInvocations.RequiredApprovalRoleHolder",
    "Principal": "principal-process-steward",
    "TargetField": "ExceptionInvocations.RequiredApprovalRoleHolder",
    "CanRead": true,
    "CanWrite": false,
    "MaskStrategy": "plain",
    "SemanticTypeIri": "urn:effortless:pko-extension#FieldGrant",
    "Name": "principal-process-steward -&gt; ExceptionInvocations.RequiredApprovalRoleHolder",
    "FieldTable": "ExceptionInvocations",
    "FieldName": "RequiredApprovalRoleHolder",
    "FieldIsDerived": true,
    "IsWritableDerivedField": false,
    "IsMasked": false,
    "GrantKeyWhenReadable": "principal-process-steward|ExceptionInvocations"
   },
   {
    "FieldGrantId": "fg-process-steward-ExceptionInvocations.ApprovalRoleMatches",
    "Principal": "principal-process-steward",
    "TargetField": "ExceptionInvocations.ApprovalRoleMatches",
    "CanRead": true,
    "CanWrite": false,
    "MaskStrategy": "plain",
    "SemanticTypeIri": "urn:effortless:pko-extension#FieldGrant",
    "Name": "principal-process-steward -&gt; ExceptionInvocations.ApprovalRoleMatches",
    "FieldTable": "ExceptionInvocations",
    "FieldName": "ApprovalRoleMatches",
    "FieldIsDerived": true,
    "IsWritableDerivedField": false,
    "IsMasked": false,
    "GrantKeyWhenReadable": "principal-process-steward|ExceptionInvocations"
   },
   {
    "FieldGrantId": "fg-process-steward-ExceptionInvocations.IsApproved",
    "Principal": "principal-process-steward",
    "TargetField": "ExceptionInvocations.IsApproved",
    "CanRead": true,
    "CanWrite": false,
    "MaskStrategy": "plain",
    "SemanticTypeIri": "urn:effortless:pko-extension#FieldGrant",
    "Name": "principal-process-steward -&gt; ExceptionInvocations.IsApproved",
    "FieldTable": "ExceptionInvocations",
    "FieldName": "IsApproved",
    "FieldIsDerived": true,
    "IsWritableDerivedField": false,
    "IsMasked": false,
    "GrantKeyWhenReadable": "principal-process-steward|ExceptionInvocations"
   },
   {
    "FieldGrantId": "fg-process-steward-ExceptionInvocations.IsImproperlyApproved",
    "Principal": "principal-process-steward",
    "TargetField": "ExceptionInvocations.IsImproperlyApproved",
    "CanRead": true,
    "CanWrite": false,
    "MaskStrategy": "plain",
    "SemanticTypeIri": "urn:effortless:pko-extension#FieldGrant",
    "Name": "principal-process-steward -&gt; ExceptionInvocations.IsImproperlyApproved",
    "FieldTable": "ExceptionInvocations",
    "FieldName": "IsImproperlyApproved",
    "FieldIsDerived": true,
    "IsWritableDerivedField": false,
    "IsMasked": false,
    "GrantKeyWhenReadable": "principal-process-steward|ExceptionInvocations"
   },
   {
    "FieldGrantId": "fg-process-steward-ExceptionInvocations.InvokerAgentKind",
    "Principal": "principal-process-steward",
    "TargetField": "ExceptionInvocations.InvokerAgentKind",
    "CanRead": true,
    "CanWrite": false,
    "MaskStrategy": "plain",
    "SemanticTypeIri": "urn:effortless:pko-extension#FieldGrant",
    "Name": "principal-process-steward -&gt; ExceptionInvocations.InvokerAgentKind",
    "FieldTable": "ExceptionInvocations",
    "FieldName": "InvokerAgentKind",
    "FieldIsDerived": true,
    "IsWritableDerivedField": false,
    "IsMasked": false,
    "GrantKeyWhenReadable": "principal-process-steward|ExceptionInvocations"
   },
   {
    "FieldGrantId": "fg-process-steward-ExceptionInvocations.InvokerAlsoPreparedKey",
    "Principal": "principal-process-steward",
    "TargetField": "ExceptionInvocations.InvokerAlsoPreparedKey",
    "CanRead": true,
    "CanWrite": false,
    "MaskStrategy": "plain",
    "SemanticTypeIri": "urn:effortless:pko-extension#FieldGrant",
    "Name": "principal-process-steward -&gt; ExceptionInvocations.InvokerAlsoPreparedKey",
    "FieldTable": "ExceptionInvocations",
    "FieldName": "InvokerAlsoPreparedKey",
    "FieldIsDerived": true,
    "IsWritableDerivedField": false,
    "IsMasked": false,
    "GrantKeyWhenReadable": "principal-process-steward|ExceptionInvocations"
   },
   {
    "FieldGrantId": "fg-process-steward-ExceptionInvocations.ParentProcedureExecution",
    "Principal": "principal-process-steward",
    "TargetField": "ExceptionInvocations.ParentProcedureExecution",
    "CanRead": true,
    "CanWrite": false,
    "MaskStrategy": "plain",
    "SemanticTypeIri": "urn:effortless:pko-extension#FieldGrant",
    "Name": "principal-process-steward -&gt; ExceptionInvocations.ParentProcedureExecution",
    "FieldTable": "ExceptionInvocations",
    "FieldName": "ParentProcedureExecution",
    "FieldIsDerived": true,
    "IsWritableDerivedField": false,
    "IsMasked": false,
    "GrantKeyWhenReadable": "principal-process-steward|ExceptionInvocations"
   },
   {
    "FieldGrantId": "fg-process-steward-ExceptionInvocations.ApproverPreparedCount",
    "Principal": "principal-process-steward",
    "TargetField": "ExceptionInvocations.ApproverPreparedCount",
    "CanRead": true,
    "CanWrite": false,
    "MaskStrategy": "plain",
    "SemanticTypeIri": "urn:effortless:pko-extension#FieldGrant",
    "Name": "principal-process-steward -&gt; ExceptionInvocations.ApproverPreparedCount",
    "FieldTable": "ExceptionInvocations",
    "FieldName": "ApproverPreparedCount",
    "FieldIsDerived": true,
    "IsWritableDerivedField": false,
    "IsMasked": false,
    "GrantKeyWhenReadable": "principal-process-steward|ExceptionInvocations"
   },
   {
    "FieldGrantId": "fg-process-steward-ExceptionInvocations.DelegatedToPreparer",
    "Principal": "principal-process-steward",
    "TargetField": "ExceptionInvocations.DelegatedToPreparer",
    "CanRead": true,
    "CanWrite": false,
    "MaskStrategy": "plain",
    "SemanticTypeIri": "urn:effortless:pko-extension#FieldGrant",
    "Name": "principal-process-steward -&gt; ExceptionInvocations.DelegatedToPreparer",
    "FieldTable": "ExceptionInvocations",
    "FieldName": "DelegatedToPreparer",
    "FieldIsDerived": true,
    "IsWritableDerivedField": false,
    "IsMasked": false,
    "GrantKeyWhenReadable": "principal-process-steward|ExceptionInvocations"
   },
   {
    "FieldGrantId": "fg-process-steward-ExceptionInvocations.IsUngovernedInvocation",
    "Principal": "principal-process-steward",
    "TargetField": "ExceptionInvocations.IsUngovernedInvocation",
    "CanRead": true,
    "CanWrite": false,
    "MaskStrategy": "plain",
    "SemanticTypeIri": "urn:effortless:pko-extension#FieldGrant",
    "Name": "principal-process-steward -&gt; ExceptionInvocations.IsUngovernedInvocation",
    "FieldTable": "ExceptionInvocations",
    "FieldName": "IsUngovernedInvocation",
    "FieldIsDerived": true,
    "IsWritableDerivedField": false,
    "IsMasked": false,
    "GrantKeyWhenReadable": "principal-process-steward|ExceptionInvocations"
   },
   {
    "FieldGrantId": "fg-process-steward-ExceptionInvocations.SemanticTypeIri",
    "Principal": "principal-process-steward",
    "TargetField": "ExceptionInvocations</t>
  </si>
  <si>
    <t xml:space="preserve">.SemanticTypeIri",
    "CanRead": true,
    "CanWrite": false,
    "MaskStrategy": "plain",
    "SemanticTypeIri": "urn:effortless:pko-extension#FieldGrant",
    "Name": "principal-process-steward -&gt; ExceptionInvocations.SemanticTypeIri",
    "FieldTable": "ExceptionInvocations",
    "FieldName": "SemanticTypeIri",
    "FieldIsDerived": false,
    "IsWritableDerivedField": false,
    "IsMasked": false,
    "GrantKeyWhenReadable": "principal-process-steward|ExceptionInvocations"
   },
   {
    "FieldGrantId": "fg-process-steward-Exceptions.ExceptionId",
    "Principal": "principal-process-steward",
    "TargetField": "Exceptions.ExceptionId",
    "CanRead": true,
    "CanWrite": false,
    "MaskStrategy": "plain",
    "SemanticTypeIri": "urn:effortless:pko-extension#FieldGrant",
    "Name": "principal-process-steward -&gt; Exceptions.ExceptionId",
    "FieldTable": "Exceptions",
    "FieldName": "ExceptionId",
    "FieldIsDerived": false,
    "IsWritableDerivedField": false,
    "IsMasked": false,
    "GrantKeyWhenReadable": "principal-process-steward|Exceptions"
   },
   {
    "FieldGrantId": "fg-process-steward-Exceptions.Name",
    "Principal": "principal-process-steward",
    "TargetField": "Exceptions.Name",
    "CanRead": true,
    "CanWrite": false,
    "MaskStrategy": "plain",
    "SemanticTypeIri": "urn:effortless:pko-extension#FieldGrant",
    "Name": "principal-process-steward -&gt; Exceptions.Name",
    "FieldTable": "Exceptions",
    "FieldName": "Name",
    "FieldIsDerived": true,
    "IsWritableDerivedField": false,
    "IsMasked": false,
    "GrantKeyWhenReadable": "principal-process-steward|Exceptions"
   },
   {
    "FieldGrantId": "fg-process-steward-Exceptions.ProcedureVersion",
    "Principal": "principal-process-steward",
    "TargetField": "Exceptions.ProcedureVersion",
    "CanRead": true,
    "CanWrite": false,
    "MaskStrategy": "plain",
    "SemanticTypeIri": "urn:effortless:pko-extension#FieldGrant",
    "Name": "principal-process-steward -&gt; Exceptions.ProcedureVersion",
    "FieldTable": "Exceptions",
    "FieldName": "ProcedureVersion",
    "FieldIsDerived": false,
    "IsWritableDerivedField": false,
    "IsMasked": false,
    "GrantKeyWhenReadable": "principal-process-steward|Exceptions"
   },
   {
    "FieldGrantId": "fg-process-steward-Exceptions.TriggerStep",
    "Principal": "principal-process-steward",
    "TargetField": "Exceptions.TriggerStep",
    "CanRead": true,
    "CanWrite": false,
    "MaskStrategy": "plain",
    "SemanticTypeIri": "urn:effortless:pko-extension#FieldGrant",
    "Name": "principal-process-steward -&gt; Exceptions.TriggerStep",
    "FieldTable": "Exceptions",
    "FieldName": "TriggerStep",
    "FieldIsDerived": false,
    "IsWritableDerivedField": false,
    "IsMasked": false,
    "GrantKeyWhenReadable": "principal-process-steward|Exceptions"
   },
   {
    "FieldGrantId": "fg-process-steward-Exceptions.Condition",
    "Principal": "principal-process-steward",
    "TargetField": "Exceptions.Condition",
    "CanRead": true,
    "CanWrite": false,
    "MaskStrategy": "plain",
    "SemanticTypeIri": "urn:effortless:pko-extension#FieldGrant",
    "Name": "principal-process-steward -&gt; Exceptions.Condition",
    "FieldTable": "Exceptions",
    "FieldName": "Condition",
    "FieldIsDerived": false,
    "IsWritableDerivedField": false,
    "IsMasked": false,
    "GrantKeyWhenReadable": "principal-process-steward|Exceptions"
   },
   {
    "FieldGrantId": "fg-process-steward-Exceptions.Handling",
    "Principal": "principal-process-steward",
    "TargetField": "Exceptions.Handling",
    "CanRead": true,
    "CanWrite": false,
    "MaskStrategy": "plain",
    "SemanticTypeIri": "urn:effortless:pko-extension#FieldGrant",
    "Name": "principal-process-steward -&gt; Exceptions.Handling",
    "FieldTable": "Exceptions",
    "FieldName": "Handling",
    "FieldIsDerived": false,
    "IsWritableDerivedField": false,
    "IsMasked": false,
    "GrantKeyWhenReadable": "principal-process-steward|Exceptions"
   },
   {
    "FieldGrantId": "fg-process-steward-Exceptions.ApprovalRole",
    "Principal": "principal-process-steward",
    "TargetField": "Exceptions.ApprovalRole",
    "CanRead": true,
    "CanWrite": false,
    "MaskStrategy": "plain",
    "SemanticTypeIri": "urn:effortless:pko-extension#FieldGrant",
    "Name": "principal-process-steward -&gt; Exceptions.ApprovalRole",
    "FieldTable": "Exceptions",
    "FieldName": "ApprovalRole",
    "FieldIsDerived": false,
    "IsWritableDerivedField": false,
    "IsMasked": false,
    "GrantKeyWhenReadable": "principal-process-steward|Exceptions"
   },
   {
    "FieldGrantId": "fg-process-steward-Exceptions.FallbackRole",
    "Principal": "principal-process-steward",
    "TargetField": "Exceptions.FallbackRole",
    "CanRead": true,
    "CanWrite": false,
    "MaskStrategy": "plain",
    "SemanticTypeIri": "urn:effortless:pko-extension#FieldGrant",
    "Name": "principal-process-steward -&gt; Exceptions.FallbackRole",
    "FieldTable": "Exceptions",
    "FieldName": "FallbackRole",
    "FieldIsDerived": false,
    "IsWritableDerivedField": false,
    "IsMasked": false,
    "GrantKeyWhenReadable": "principal-process-steward|Exceptions"
   },
   {
    "FieldGrantId": "fg-process-steward-Exceptions.Status",
    "Principal": "principal-process-steward",
    "TargetField": "Exceptions.Status",
    "CanRead": true,
    "CanWrite": false,
    "MaskStrategy": "plain",
    "SemanticTypeIri": "urn:effortless:pko-extension#FieldGrant",
    "Name": "principal-process-steward -&gt; Exceptions.Status",
    "FieldTable": "Exceptions",
    "FieldName": "Status",
    "FieldIsDerived": false,
    "IsWritableDerivedField": false,
    "IsMasked": false,
    "GrantKeyWhenReadable": "principal-process-steward|Exceptions"
   },
   {
    "FieldGrantId": "fg-process-steward-Exceptions.ActiveExceptionStepKey",
    "Principal": "principal-process-steward",
    "TargetField": "Exceptions.ActiveExceptionStepKey",
    "CanRead": true,
    "CanWrite": false,
    "MaskStrategy": "plain",
    "SemanticTypeIri": "urn:effortless:pko-extension#FieldGrant",
    "Name": "principal-process-steward -&gt; Exceptions.ActiveExceptionStepKey",
    "FieldTable": "Exceptions",
    "FieldName": "ActiveExceptionStepKey",
    "FieldIsDerived": true,
    "IsWritableDerivedField": false,
    "IsMasked": false,
    "GrantKeyWhenReadable": "principal-process-steward|Exceptions"
   },
   {
    "FieldGrantId": "fg-process-steward-Exceptions.SemanticTypeIri",
    "Principal": "principal-process-steward",
    "TargetField": "Exceptions.SemanticTypeIri",
    "CanRead": true,
    "CanWrite": false,
    "MaskStrategy": "plain",
    "SemanticTypeIri": "urn:effortless:pko-extension#FieldGrant",
    "Name": "principal-process-steward -&gt; Exceptions.SemanticTypeIri",
    "FieldTable": "Exceptions",
    "FieldName": "SemanticTypeIri",
    "FieldIsDerived": false,
    "IsWritableDerivedField": false,
    "IsMasked": false,
    "GrantKeyWhenReadable": "principal-process-steward|Exceptions"
   },
   {
    "FieldGrantId": "fg-process-steward-Explanations.ExplanationId",
    "Principal": "principal-process-steward",
    "TargetField": "Explanations.ExplanationId",
    "CanRead": true,
    "CanWrite": false,
    "MaskStrategy": "plain",
    "SemanticTypeIri": "urn:effortless:pko-extension#FieldGrant",
    "Name": "principal-process-steward -&gt; Explanations.ExplanationId",
    "FieldTable": "Explanations",
    "FieldName": "ExplanationId",
    "FieldIsDerived": false,
    "IsWritableDerivedField": false,
    "IsMasked": false,
    "GrantKeyWhenReadable": "principal-process-steward|Explanations"
   },
   {
    "FieldGrantId": "fg-process-steward-Explanations.Name",
    "Principal": "principal-process-steward",
    "TargetField": "Explanations.Name",
    "CanRead": true,
    "CanWrite": false,
    "MaskStrategy": "plain",
    "SemanticTypeIri": "urn:effortless:pko-extension#FieldGrant",
    "Name": "principal-process-steward -&gt; Explanations.Name",
    "FieldTable": "Explanations",
    "FieldName": "Name",
    "FieldIsDerived": true,
    "IsWritableDerivedField": false,
    "IsMasked": false,
    "GrantKeyWhenReadable": "principal-process-steward|Explanations"
   },
   {
    "FieldGrantId": "fg-process-steward-Explanations.ProcedureVersion",
    "Principal": "principal-process-steward",
    "TargetField": "Explanations.ProcedureVersion",
    "CanRead": true,
    "CanWrite": false,
    "MaskStrategy": "plain",
    "SemanticTypeIri": "urn:effortless:pko-extension#FieldGrant",
    "Name": "principal-process-steward -&gt; Explanations.ProcedureVersion",
    "FieldTable": "Explanations",
    "FieldName": "ProcedureVersion",
    "FieldIsDerived": false,
    "IsWritableDerivedField": false,
    "IsMasked": false,
    "GrantKeyWhenReadable": "principal-process-steward|Explanations"
   },
   {
    "FieldGrantId": "fg-process-steward-Explanations.Step",
    "Principal": "principal-process-steward",
    "TargetField": "Explanations.Step",
    "CanRead": true,
    "CanWrite": false,
    "MaskStrategy": "plain",
    "SemanticTypeIri": "urn:effortless:pko-extension#FieldGrant",
    "Name": "principal-process-steward -&gt; Explanations.Step",
    "FieldTable": "Explanations",
    "FieldName": "Step",
    "FieldIsDerived": false,
    "IsWritableDerivedField": false,
    "IsMasked": false,
    "GrantKeyWhenReadable": "principal-process-steward|Explanations"
   },
   {
    "FieldGrantId": "fg-process-steward-Explanations.Title",
    "Principal": "principal-process-steward",
    "TargetField": "Explanations.Title",
    "CanRead": true,
    "CanWrite": false,
    "MaskStrategy": "plain",
    "SemanticTypeIri": "urn:effortless:pko-extension#FieldGrant",
    "Name": "principal-process-steward -&gt; Explanations.Title",
    "FieldTable": "Explanations",
    "FieldName": "Title",
    "FieldIsDerived": false,
    "IsWritableDerivedField": false,
    "IsMasked": false,
    "GrantKeyWhenReadable": "principal-process-steward|Explanations"
   },
   {
    "FieldGrantId": "fg-process-steward-Explanations.Description",
    "Principal": "principal-process-steward",
    "TargetField": "Explanations.Description",
    "CanRead": true,
    "CanWrite": false,
    "MaskStrategy": "plain",
    "SemanticTypeIri": "urn:effortless:pko-extension#FieldGrant",
    "Name": "principal-process-steward -&gt; Explanations.Description",
    "FieldTable": "Explanations",
    "FieldName": "Description",
    "FieldIsDerived": false,
    "IsWritableDerivedField": false,
    "IsMasked": false,
    "GrantKeyWhenReadable": "principal-process-steward|Explanations"
   },
   {
    "FieldGrantId": "fg-process-steward-Explanations.SemanticTypeIri",
    "Principal": "principal-process-steward",
    "TargetField": "Explanations.SemanticTypeIri",
    "CanRead": true,
    "CanWrite": false,
    "MaskStrategy": "plain",
    "SemanticTypeIri": "urn:effortless:pko-extension#FieldGrant",
    "Name": "principal-process-steward -&gt; Explanations.SemanticTypeIri",
    "FieldTable": "Explanations",
    "FieldName": "SemanticTypeIri",
    "FieldIsDerived": false,
    "IsWritableDerivedField": false,
    "IsMasked": false,
    "GrantKeyWhenReadable": "principal-process-steward|Explanations"
   },
   {
    "FieldGrantId": "fg-process-steward-Functions.FunctionId",
    "Principal": "principal-process-steward",
    "TargetField": "Functions.FunctionId",
    "CanRead": true,
    "CanWrite": false,
    "MaskStrategy": "plain",
    "SemanticTypeIri": "urn:effortless:pko-extension#FieldGrant",
    "Name": "principal-process-steward -&gt; Functions.FunctionId",
    "FieldTable": "Functions",
    "FieldName": "FunctionId",
    "FieldIsDerived": false,
    "IsWritableDerivedField": false,
    "IsMasked": false,
    "GrantKeyWhenReadable": "principal-process-steward|Functions"
   },
   {
    "FieldGrantId": "fg-process-steward-Functions.Name",
    "Principal": "principal-process-steward",
    "TargetField": "Functions.Name",
    "CanRead": true,
    "CanWrite": false,
    "MaskStrategy": "plain",
    "SemanticTypeIri": "urn:effortless:pko-extension#FieldGrant",
    "Name": "principal-process-steward -&gt; Functions.Name",
    "FieldTable": "Functions",
    "FieldName": "Name",
    "FieldIsDerived": true,
    "IsWritableDerivedField": false,
    "IsMasked": false,
    "GrantKeyWhenReadable": "principal-process-steward|Functions"
   },
   {
    "FieldGrantId": "fg-process-steward-Functions.Label",
    "Principal": "principal-process-steward",
    "TargetField": "Functions.Label",
    "CanRead": true,
    "CanWrite": false,
    "MaskStrategy": "plain",
    "SemanticTypeIri": "urn:effortless:pko-extension#FieldGrant",
    "Name": "principal-process-steward -&gt; Functions.Label",
    "FieldTable": "Functions",
    "FieldName": "Label",
    "FieldIsDerived": false,
    "IsWritableDerivedField": false,
    "IsMasked": false,
    "GrantKeyWhenReadable": "principal-process-steward|Functions"
   },
   {
    "FieldGrantId": "fg-process-steward-Functions.Definition",
    "Principal": "principal-process-steward",
    "TargetField": "Functions.Definition",
    "CanRead": true,
    "CanWrite": false,
    "MaskStrategy": "plain",
    "SemanticTypeIri": "urn:effortless:pko-extension#FieldGrant",
    "Name": "principal-process-steward -&gt; Functions.Definition",
    "FieldTable": "Functions",
    "FieldName": "Definition",
    "FieldIsDerived": false,
    "IsWritableDerivedField": false,
    "IsMasked": false,
    "GrantKeyWhenReadable": "principal-process-steward|Functions"
   },
   {
    "FieldGrantId": "fg-process-steward-Functions.ImplementationKey",
    "Principal": "principal-process-steward",
    "TargetField": "Functions.ImplementationKey",
    "CanRead": true,
    "CanWrite": false,
    "MaskStrategy": "plain",
    "SemanticTypeIri": "urn:effortless:pko-extension#FieldGrant",
    "Name": "principal-process-steward -&gt; Functions.ImplementationKey",
    "FieldTable": "Functions",
    "FieldName": "ImplementationKey",
    "FieldIsDerived": false,
    "IsWritableDerivedField": false,
    "IsMasked": false,
    "GrantKeyWhenReadable": "principal-process-steward|Functions"
   },
   {
    "FieldGrantId": "fg-process-steward-Functions.SemanticTypeIri",
    "Principal": "principal-process-steward",
    "TargetField": "Functions.SemanticTypeIri",
    "CanRead": true,
    "CanWrite": false,
    "MaskStrategy": "plain",
    "SemanticTypeIri": "urn:effortless:pko-extension#FieldGrant",
    "Name": "principal-process-steward -&gt; Functions.SemanticTypeIri",
    "FieldTable": "Functions",
    "FieldName": "SemanticTypeIri",
    "FieldIsDerived": false,
    "IsWritableDerivedField": false,
    "IsMasked": false,
    "GrantKeyWhenReadable": "principal-process-steward|Functions"
   },
   {
    "FieldGrantId": "fg-process-steward-IssueOccurrences.IssueOccurrenceId",
    "Principal": "principal-process-steward",
    "TargetField": "IssueOccurrences.IssueOccurrenceId",
    "CanRead": true,
    "CanWrite": false,
    "MaskStrategy": "plain",
    "SemanticTypeIri": "urn:effortless:pko-extension#FieldGrant",
    "Name": "principal-process-steward -&gt; IssueOccurrences.IssueOccurrenceId",
    "FieldTable": "IssueOccurrences",
    "FieldName": "IssueOccurrenceId",
    "FieldIsDerived": false,
    "IsWritableDerivedField": false,
    "IsMasked": false,
    "GrantKeyWhenReadable": "principal-process-steward|IssueOccurrences"
   },
   {
    "FieldGrantId": "fg-process-steward-IssueOccurrences.Name",
    "Principal": "principal-process-steward",
    "TargetField": "IssueOccurrences.Name",
    "CanRead": true,
    "CanWrite": false,
    "MaskStrategy": "plain",
    "SemanticTypeIri": "urn:effortless:pko-extension#FieldGrant",
    "Name": "principal-process-steward -&gt; IssueOccurrences.Name",
    "FieldTable": "IssueOccurrences",
    "FieldName": "Name",
    "FieldIsDerived": true,
    "IsWritableDerivedField": false,
    "IsMasked": false,
    "GrantKeyWhenReadable": "principal-process-steward|IssueOccurrences"
   },
   {
    "FieldGrantId": "fg-process-steward-IssueOccurrences.StepExecution",
    "Principal": "principal-process-steward",
    "TargetField": "IssueOccurrences.StepExecution",
    "CanRead": true,
    "CanWrite": false,
    "MaskStrategy": "plain",
    "SemanticTypeIri": "urn:effortless:pko-extension#FieldGrant",
    "Name": "principal-process-steward -&gt; IssueOccurrences.StepExecution",
    "FieldTable": "IssueOccurrences",
    "FieldName": "StepExecution",
    "FieldIsDerived": false,
    "IsWritableDerivedField": false,
    "IsMasked": false,
    "GrantKeyWhenReadable": "principal-process-steward|IssueOccurrences"
   },
   {
    "FieldGrantId": "fg-process-steward-IssueOccurrences.Error",
    "Principal": "principal-process-steward",
    "TargetField": "IssueOccurrences.Error",
    "CanRead": true,
    "CanWrite": false,
    "MaskStrategy": "plain",
    "SemanticTypeIri": "urn:effortless:pko-extension#FieldGrant",
    "Name": "principal-process-steward -&gt; IssueOccurrences.Error",
    "FieldTable": "IssueOccurrences",
    "FieldName": "Error",
    "FieldIsDerived": false,
    "IsWritableDerivedField": false,
    "IsMasked": false,
    "GrantKeyWhenReadable": "principal-process-steward|IssueOccurrences"
   },
   {
    "FieldGrantId": "fg-process-steward-IssueOccurrences.EncounteredByAgent",
    "Principal": "principal-process-steward",
    "TargetField": "IssueOccurrences.EncounteredByAgent",
    "CanRead": true,
    "CanWrite": false,
    "MaskStrategy": "plain",
    "SemanticTypeIri": "urn:effortless:pko-extension#FieldGrant",
    "Name": "principal-process-steward -&gt; IssueOccurrences.EncounteredByAgent",
    "FieldTable": "IssueOccurrences",
    "FieldName": "EncounteredByAgent",
    "FieldIsDerived": false,
    "IsWritableDerivedField": false,
    "IsMasked": false,
    "GrantKeyWhenReadable": "principal-process-steward|IssueOccurrences"
   },
   {
    "FieldGrantId": "fg-process-steward-IssueOccurrences.OccurredAt",
    "Principal": "principal-process-steward",
    "TargetField": "IssueOccurrences.OccurredAt",
    "CanRead": true,
    "CanWrite": false,
    "MaskStrategy": "plain",
    "SemanticTypeIri": "urn:effortless:pko-extension#FieldGrant",
    "Name": "principal-process-steward -&gt; IssueOccurrences.OccurredAt",
    "FieldTable": "IssueOccurrences",
    "FieldName": "OccurredAt",
    "FieldIsDerived": false,
    "IsWritableDerivedField": false,
    "IsMasked": false,
    "GrantKeyWhenReadable": "principal-process-steward|IssueOccurrences"
   },
   {
    "FieldGrantId": "fg-process-steward-IssueOccurrences.IssueCause",
    "Principal": "principal-process-steward",
    "TargetField": "IssueOccurrences.IssueCause",
    "CanRead": true,
    "CanWrite": false,
    "MaskStrategy": "plain",
    "SemanticTypeIri": "urn:effortless:pko-extension#FieldGrant",
    "Name": "principal-process-steward -&gt; IssueOccurrences.IssueCause",
    "FieldTable": "IssueOccurrences",
    "FieldName": "IssueCause",
    "FieldIsDerived": false,
    "IsWritableDerivedField": false,
    "IsMasked": false,
    "GrantKeyWhenReadable": "principal-process-steward|IssueOccurrences"
   },
   {
    "FieldGrantId": "fg-process-steward-IssueOccurrences.IssueSolution",
    "Principal": "principal-process-steward",
    "TargetField": "IssueOccurrences.IssueSolution",
    "CanRead": true,
    "CanWrite": false,
    "MaskStrategy": "plain",
    "SemanticTypeIri": "urn:effortless:pko-extension#FieldGrant",
    "Name": "principal-process-steward -&gt; IssueOccurrences.IssueSolution",
    "FieldTable": "IssueOccurrences",
    "FieldName": "IssueSolution",
    "FieldIsDerived": false,
    "IsWritableDerivedField": false,
    "IsMasked": false,
    "GrantKeyWhenReadable": "principal-process-steward|IssueOccurrences"
   },
   {
    "FieldGrantId": "fg-process-steward-IssueOccurrences.Status",
    "Principal": "principal-process-steward",
    "TargetField": "IssueOccurrences.Status",
    "CanRead": true,
    "CanWrite": false,
    "MaskStrategy": "plain",
    "SemanticTypeIri": "urn:effortless:pko-extension#FieldGrant",
    "Name": "principal-process-steward -&gt; IssueOccurrences.Status",
    "FieldTable": "IssueOccurrences",
    "FieldName": "Status",
    "FieldIsDerived": false,
    "IsWritableDerivedField": false,
    "IsMasked": false,
    "GrantKeyWhenReadable": "principal-process-steward|IssueOccurrences"
   },
   {
    "FieldGrantId": "fg-process-steward-IssueOccurrences.IsUnresolved",
    "Principal": "principal-process-steward",
    "TargetField": "IssueOccurrences.IsUnresolved",
    "CanRead": true,
    "CanWrite": false,
    "MaskStrategy": "plain",
    "SemanticTypeIri": "urn:effortless:pko-extension#FieldGrant",
    "Name": "principal-process-steward -&gt; IssueOccurrences.IsUnresolved",
    "FieldTable": "IssueOccurrences",
    "FieldName": "IsUnresolved",
    "FieldIsDerived": true,
    "IsWritableDerivedField": false,
    "IsMasked": false,
    "GrantKeyWhenReadable": "principal-process-steward|IssueOccurrences"
   },
   {
    "FieldGrantId": "fg-process-steward-IssueOccurrences.StepExecutionWhenUnresolved",
    "Principal": "principal-process-steward",
    "TargetField": "IssueOccurrences.StepExecutionWhenUnresolved",
    "CanRead": true,
    "CanWrite": false,
    "MaskStrategy": "plain",
    "SemanticTypeIri": "urn:effortless:pko-extension#FieldGrant",
    "Name": "principal-process-steward -&gt; IssueOccurrences.StepExecutionWhenUnresolved",
    "FieldTable": "IssueOccurrences",
    "FieldName": "StepExecutionWhenUnresolved",
    "FieldIsDerived": true,
    "IsWritableDerivedField": false,
    "IsMasked": false,
    "GrantKeyWhenReadable": "principal-process-steward|IssueOccurrences"
   },
   {
    "FieldGrantId": "fg-process-steward-IssueOccurrences.SemanticTypeIri",
    "Principal": "principal-process-steward",
    "TargetField": "IssueOccurrences.SemanticTypeIri",
    "CanRead": true,
    "CanWrite": false,
    "MaskStrategy": "plain",
    "SemanticTypeIri": "urn:effortless:pko-extension#FieldGrant",
    "Name": "principal-process-steward -&gt; IssueOccurrences.SemanticTypeIri",
    "FieldTable": "IssueOccurrences",
    "FieldName": "SemanticTypeIri",
    "FieldIsDerived": false,
    "IsWritableDerivedField": false,
    "IsMasked": false,
    "GrantKeyWhenReadable": "principal-process-steward|IssueOccurrences"
   },
   {
    "FieldGrantId": "fg-process-steward-KnowledgeFragments.KnowledgeFragmentId",
    "Principal": "principal-process-steward",
    "TargetField": "KnowledgeFragments.KnowledgeFragmentId",
    "CanRead": true,
    "CanWrite": false,
    "MaskStrategy": "plain",
    "SemanticTypeIri": "urn:effortless:pko-extension#FieldGrant",
    "Name": "principal-process-steward -&gt; KnowledgeFragments.KnowledgeFragmentId",
    "FieldTable": "KnowledgeFragments",
    "FieldName": "KnowledgeFragmentId",
    "FieldIsDerived": false,
    "IsWritableDerivedField": false,
    "IsMasked": false,
    "GrantKeyWhenReadable": "principal-process-steward|KnowledgeFragments"
   },
   {
    "FieldGrantId": "fg-process-steward-KnowledgeFragments.Name",
    "Principal": "principal-process-steward",
    "TargetField": "KnowledgeFragments.Name",
    "CanRead": true,
    "CanWrite": false,
    "MaskStrategy": "plain",
    "SemanticTypeIri": "urn:effortless:pko-extension#FieldGrant",
    "Name": "principal-process-steward -&gt; KnowledgeFragments.Name",
    "FieldTable": "KnowledgeFragments",
    "FieldName": "Name",
    "FieldIsDerived": true,
    "IsWritableDerivedField": false,
    "IsMasked": false,
    "GrantKeyWhenReadable": "principal-process-steward|KnowledgeFragments"
   },
   {
    "FieldGrantId": "fg-process-steward-KnowledgeFragments.ProcedureVersion",
    "Principal": "principal-process-steward",
    "TargetField": "KnowledgeFragments.ProcedureVersion",
    "CanRead": true,
    "CanWrite": false,
    "MaskStrategy": "plain",
    "SemanticTypeIri": "urn:effortless:pko-extension#FieldGrant",
    "Name": "principal-process-steward -&gt; KnowledgeFragments.ProcedureVersion",
    "FieldTable": "KnowledgeFragments",
    "FieldName": "ProcedureVersion",
    "FieldIsDerived": false,
    "IsWritableDerivedField": false,
    "IsMasked": false,
    "GrantKeyWhenReadable": "principal-process-steward|KnowledgeFragments"
   },
   {
    "FieldGrantId": "fg-process-steward-KnowledgeFragments.Step",
    "Principal": "principal-process-steward",
    "TargetField": "KnowledgeFragments.Step",
    "CanRead": true,
    "CanWrite": false,
    "MaskStrategy": "plain",
    "SemanticTypeIri": "urn:effortless:pko-extension#FieldGrant",
    "Name": "principal-process-steward -&gt; KnowledgeFragments.Step",
    "FieldTable": "KnowledgeFragments",
    "FieldName": "Step",
    "FieldIsDerived": false,
    "IsWritableDerivedField": false,
    "IsMasked": false,
    "GrantKeyWhenReadable": "principal-process-steward|KnowledgeFragments"
   },
   {
    "FieldGrantId": "fg-process-steward-KnowledgeFragments.KnowledgeForm",
    "Principal": "principal-process-steward",
    "TargetField": "KnowledgeFragments.KnowledgeForm",
    "CanRead": true,
    "CanWrite": false,
    "MaskStrategy": "plain",
    "SemanticTypeIri": "urn:effortless:pko-extension#FieldGrant",
    "Name": "principal-process-steward -&gt; KnowledgeFragments.KnowledgeForm",
    "FieldTable": "KnowledgeFragments",
    "FieldName": "KnowledgeForm",
    "FieldIsDerived": false,
    "IsWritableDerivedField": false,
    "IsMasked": false,
    "GrantKeyWhenReadable": "principal-process-steward|KnowledgeFragments"
   },
   {
    "FieldGrantId": "fg-process-steward-KnowledgeFragments.Statement",
    "Principal": "principal-process-steward",
    "TargetField": "KnowledgeFragments.Statement",
    "CanRead": true,
    "CanWrite": false,
    "MaskStrategy": "plain",
    "SemanticTypeIri": "urn:effortless:pko-extension#FieldGrant",
    "Name": "principal-process-steward -&gt; KnowledgeFragments.Statement",
    "FieldTable": "KnowledgeFragments",
    "FieldName": "Statement",
    "FieldIsDerived": false,
    "IsWritableDerivedField": false,
    "IsMasked": false,
    "GrantKeyWhenReadable": "principal-process-steward|KnowledgeFragments"
   },
   {
    "FieldGrantId": "fg-process-steward-KnowledgeFragments.ElicitationSession",
    "Principal": "principal-process-steward",
    "TargetField": "KnowledgeFragments.ElicitationSession",
    "CanRead": true,
    "CanWrite": false,
    "MaskStrategy": "plain",
    "SemanticTypeIri": "urn:effortless:pko-extension#FieldGrant",
    "Name": "principal-process-steward -&gt; KnowledgeFragments.ElicitationSession",
    "FieldTable": "KnowledgeFragments",
    "FieldName": "ElicitationSession",
    "FieldIsDerived": false,
    "IsWritableDerivedField": false,
    "IsMasked": false,
    "GrantKeyWhenReadable": "principal-process-steward|KnowledgeFragments"
   },
   {
    "FieldGrantId": "fg-process-steward-KnowledgeFragments.SourceAgent",
    "Principal": "principal-process-steward",
    "TargetField": "KnowledgeFragments.SourceAgent",
    "CanRead": true,
    "CanWrite": false,
    "MaskStrategy": "plain",
    "SemanticTypeIri": "urn:effortless:pko-extension#FieldGrant",
    "Name": "principal-process-steward -&gt; KnowledgeFragments.SourceAgent",
    "FieldTable": "KnowledgeFragments",
    "FieldName": "SourceAgent",
    "FieldIsDerived": false,
    "IsWritableDerivedField": false,
    "IsMasked": false,
    "GrantKeyWhenReadable": "principal-process-steward|KnowledgeFragments"
   },
   {
    "FieldGrantId": "fg-process-steward-KnowledgeFragments.Confidence",
    "Principal": "principal-process-steward",
    "TargetField": "KnowledgeFragments.Confidence",
    "CanRead": true,
    "CanWrite": false,
    "MaskStrategy": "plain",
    "SemanticTypeIri": "urn:effortless:pko-extension#FieldGrant",
    "Name": "principal-process-steward -&gt; KnowledgeFragments.Confidence",
    "FieldTable": "KnowledgeFragments",
    "FieldName": "Confidence",
    "FieldIsDerived": false,
    "IsWritableDerivedField": false,
    "IsMasked": false,
    "GrantKeyWhenReadable": "principal-process-steward|KnowledgeFragments"
   },
   {
    "FieldGrantId": "fg-process-steward-KnowledgeFragments.ValidFrom",
    "Principal": "principal-process-steward",
    "TargetField": "KnowledgeFragments.ValidFrom",
    "CanRead": true,
    "CanWrite": false,
    "MaskStrategy": "plain",
    "SemanticTypeIri": "urn:effortless:pko-extension#FieldGrant",
    "Name": "principal-process-steward -&gt; KnowledgeFragments.ValidFrom",
    "FieldTable": "KnowledgeFragments",
    "FieldName": "ValidFrom",
    "FieldIsDerived": false,
    "IsWritableDerivedField": false,
    "IsMasked": false,
    "GrantKeyWhenReadable": "principal-process-steward|KnowledgeFragments"
   },
   {
    "FieldGrantId": "fg-process-steward-KnowledgeFragments.ValidTo",
    "Principal": "principal-process-steward",
    "TargetField": "KnowledgeFragments.ValidTo",
    "CanRead": true,
    "CanWrite": false,
    "MaskStrategy": "plain",
    "SemanticTypeIri": "urn:effortless:pko-extension#FieldGrant",
    "Name": "principal-process-steward -&gt; KnowledgeFragments.ValidTo",
    "FieldTable": "KnowledgeFragments",
    "FieldName": "ValidTo",
    "FieldIsDerived": false,
    "IsWritableDerivedField": false,
    "IsMasked": false,
    "GrantKeyWhenReadable": "principal-process-steward|KnowledgeFragments"
   },
   {
    "FieldGrantId": "fg-process-steward-KnowledgeFragments.Status",
    "Principal": "principal-process-steward",
    "TargetField": "KnowledgeFragments.Status",
    "CanRead": true,
    "CanWrite": false,
    "MaskStrategy": "plain",
    "SemanticTypeIri": "urn:effortless:pko-extension#FieldGrant",
    "Name": "principal-process-steward -&gt; KnowledgeFragments.Status",
    "FieldTable": "KnowledgeFragments",
    "FieldName": "Status",
    "FieldIsDerived": false,
    "IsWritableDerivedField": false,
    "IsMasked": false,
    "GrantKeyWhenReadable": "principal-process-steward|KnowledgeFragments"
   },
   {
    "FieldGrantId": "fg-process-steward-KnowledgeFragments.OwnerRole",
    "Principal": "principal-process-steward",
    "TargetField": "KnowledgeFragments.OwnerRole",
    "CanRead": true,
    "CanWrite": false,
    "MaskStrategy": "plain",
    "SemanticTypeIri": "urn:effortless:pko-extension#FieldGrant",
    "Name": "principal-process-steward -&gt; KnowledgeFragments.OwnerRole",
    "FieldTable": "KnowledgeFragments",
    "FieldName": "OwnerRole",
    "FieldIsDerived": false,
    "IsWritableDerivedField": false,
    "IsMasked": false,
    "GrantKeyWhenReadable": "principal-process-steward|KnowledgeFragments"
   },
   {
    "FieldGrantId": "fg-process-steward-KnowledgeFragments.EvaluationContext",
    "Principal": "principal-process-steward",
    "TargetField": "KnowledgeFragments.EvaluationContext",
    "CanRead": true,
    "CanWrite": false,
    "MaskStrategy": "plain",
    "SemanticTypeIri": "urn:effortless:pko-extension#FieldGrant",
    "Name": "principal-process-steward -&gt; KnowledgeFragments.EvaluationContext",
    "FieldTable": "KnowledgeFragments",
    "FieldName": "EvaluationContext",
    "FieldIsDerived": false,
    "IsWritableDerivedField": false,
    "IsMasked": false,
    "GrantKeyWhenReadable": "principal-process-steward|KnowledgeFragments"
   },
   {
    "FieldGrantId": "fg-process-steward-KnowledgeFragments.AsOfInstant",
    "Principal": "principal-process-steward",
    "TargetField": "KnowledgeFragments.AsOfInstant",
    "CanRead": true,
    "CanWrite": false,
    "MaskStrategy": "plain",
    "SemanticTypeIri": "urn:effortless:pko-extension#FieldGrant",
    "Name": "principal-process-steward -&gt; KnowledgeFragments.AsOfInstant",
    "FieldTable": "KnowledgeFragments",
    "FieldName": "AsOfInstant",
    "FieldIsDerived": true,
    "IsWritableDerivedField": false,
    "IsMasked": false,
    "GrantKeyWhenReadable": "principal-process-steward|KnowledgeFragments"
   },
   {
    "FieldGrantId": "fg-process-steward-KnowledgeFragments.IsCurrentlyValid",
    "Principal": "principal-process-steward",
    "TargetField": "KnowledgeFragments.IsCurrentlyValid",
    "CanRead": true,
    "CanWrite": false,
    "MaskStrategy": "plain",
    "SemanticTypeIri": "urn:effortless:pko-extension#FieldGrant",
    "Name": "principal-process-steward -&gt; KnowledgeFragments.IsCurrentlyValid",
    "FieldTable": "KnowledgeFragments",
    "FieldName": "IsCurrentlyValid",
    "FieldIsDerived": true,
    "IsWritableDerivedField": false,
    "IsMasked": false,
    "GrantKeyWhenReadable": "principal-process-steward|KnowledgeFragments"
   },
   {
    "FieldGrantId": "fg-process-steward-KnowledgeFragments.SourceAgentIsStillEngaged",
    "Principal": "principal-process-steward",
    "TargetField": "KnowledgeFragments.SourceAgentIsStillEngaged",
    "CanRead": true,
    "CanWrite": false,
    "MaskStrategy": "plain",
    "SemanticTypeIri": "urn:effortless:pko-extension#FieldGrant",
    "Name": "princip</t>
  </si>
  <si>
    <t xml:space="preserve">al-process-steward -&gt; KnowledgeFragments.SourceAgentIsStillEngaged",
    "FieldTable": "KnowledgeFragments",
    "FieldName": "SourceAgentIsStillEngaged",
    "FieldIsDerived": true,
    "IsWritableDerivedField": false,
    "IsMasked": false,
    "GrantKeyWhenReadable": "principal-process-steward|KnowledgeFragments"
   },
   {
    "FieldGrantId": "fg-process-steward-KnowledgeFragments.SourceAgentKind",
    "Principal": "principal-process-steward",
    "TargetField": "KnowledgeFragments.SourceAgentKind",
    "CanRead": true,
    "CanWrite": false,
    "MaskStrategy": "plain",
    "SemanticTypeIri": "urn:effortless:pko-extension#FieldGrant",
    "Name": "principal-process-steward -&gt; KnowledgeFragments.SourceAgentKind",
    "FieldTable": "KnowledgeFragments",
    "FieldName": "SourceAgentKind",
    "FieldIsDerived": true,
    "IsWritableDerivedField": false,
    "IsMasked": false,
    "GrantKeyWhenReadable": "principal-process-steward|KnowledgeFragments"
   },
   {
    "FieldGrantId": "fg-process-steward-KnowledgeFragments.HasHumanSource",
    "Principal": "principal-process-steward",
    "TargetField": "KnowledgeFragments.HasHumanSource",
    "CanRead": true,
    "CanWrite": false,
    "MaskStrategy": "plain",
    "SemanticTypeIri": "urn:effortless:pko-extension#FieldGrant",
    "Name": "principal-process-steward -&gt; KnowledgeFragments.HasHumanSource",
    "FieldTable": "KnowledgeFragments",
    "FieldName": "HasHumanSource",
    "FieldIsDerived": true,
    "IsWritableDerivedField": false,
    "IsMasked": false,
    "GrantKeyWhenReadable": "principal-process-steward|KnowledgeFragments"
   },
   {
    "FieldGrantId": "fg-process-steward-KnowledgeFragments.HasOrphanedProvenance",
    "Principal": "principal-process-steward",
    "TargetField": "KnowledgeFragments.HasOrphanedProvenance",
    "CanRead": true,
    "CanWrite": false,
    "MaskStrategy": "plain",
    "SemanticTypeIri": "urn:effortless:pko-extension#FieldGrant",
    "Name": "principal-process-steward -&gt; KnowledgeFragments.HasOrphanedProvenance",
    "FieldTable": "KnowledgeFragments",
    "FieldName": "HasOrphanedProvenance",
    "FieldIsDerived": true,
    "IsWritableDerivedField": false,
    "IsMasked": false,
    "GrantKeyWhenReadable": "principal-process-steward|KnowledgeFragments"
   },
   {
    "FieldGrantId": "fg-process-steward-KnowledgeFragments.IsUndefendableTacitClaim",
    "Principal": "principal-process-steward",
    "TargetField": "KnowledgeFragments.IsUndefendableTacitClaim",
    "CanRead": true,
    "CanWrite": false,
    "MaskStrategy": "plain",
    "SemanticTypeIri": "urn:effortless:pko-extension#FieldGrant",
    "Name": "principal-process-steward -&gt; KnowledgeFragments.IsUndefendableTacitClaim",
    "FieldTable": "KnowledgeFragments",
    "FieldName": "IsUndefendableTacitClaim",
    "FieldIsDerived": true,
    "IsWritableDerivedField": false,
    "IsMasked": false,
    "GrantKeyWhenReadable": "principal-process-steward|KnowledgeFragments"
   },
   {
    "FieldGrantId": "fg-process-steward-KnowledgeFragments.IsApproved",
    "Principal": "principal-process-steward",
    "TargetField": "KnowledgeFragments.IsApproved",
    "CanRead": true,
    "CanWrite": false,
    "MaskStrategy": "plain",
    "SemanticTypeIri": "urn:effortless:pko-extension#FieldGrant",
    "Name": "principal-process-steward -&gt; KnowledgeFragments.IsApproved",
    "FieldTable": "KnowledgeFragments",
    "FieldName": "IsApproved",
    "FieldIsDerived": true,
    "IsWritableDerivedField": false,
    "IsMasked": false,
    "GrantKeyWhenReadable": "principal-process-steward|KnowledgeFragments"
   },
   {
    "FieldGrantId": "fg-process-steward-KnowledgeFragments.IsWithinValidityWindow",
    "Principal": "principal-process-steward",
    "TargetField": "KnowledgeFragments.IsWithinValidityWindow",
    "CanRead": true,
    "CanWrite": false,
    "MaskStrategy": "plain",
    "SemanticTypeIri": "urn:effortless:pko-extension#FieldGrant",
    "Name": "principal-process-steward -&gt; KnowledgeFragments.IsWithinValidityWindow",
    "FieldTable": "KnowledgeFragments",
    "FieldName": "IsWithinValidityWindow",
    "FieldIsDerived": true,
    "IsWritableDerivedField": false,
    "IsMasked": false,
    "GrantKeyWhenReadable": "principal-process-steward|KnowledgeFragments"
   },
   {
    "FieldGrantId": "fg-process-steward-KnowledgeFragments.IsReliedUpon",
    "Principal": "principal-process-steward",
    "TargetField": "KnowledgeFragments.IsReliedUpon",
    "CanRead": true,
    "CanWrite": false,
    "MaskStrategy": "plain",
    "SemanticTypeIri": "urn:effortless:pko-extension#FieldGrant",
    "Name": "principal-process-steward -&gt; KnowledgeFragments.IsReliedUpon",
    "FieldTable": "KnowledgeFragments",
    "FieldName": "IsReliedUpon",
    "FieldIsDerived": true,
    "IsWritableDerivedField": false,
    "IsMasked": false,
    "GrantKeyWhenReadable": "principal-process-steward|KnowledgeFragments"
   },
   {
    "FieldGrantId": "fg-process-steward-KnowledgeFragments.StepProcedureVersionStatus",
    "Principal": "principal-process-steward",
    "TargetField": "KnowledgeFragments.StepProcedureVersionStatus",
    "CanRead": true,
    "CanWrite": false,
    "MaskStrategy": "plain",
    "SemanticTypeIri": "urn:effortless:pko-extension#FieldGrant",
    "Name": "principal-process-steward -&gt; KnowledgeFragments.StepProcedureVersionStatus",
    "FieldTable": "KnowledgeFragments",
    "FieldName": "StepProcedureVersionStatus",
    "FieldIsDerived": true,
    "IsWritableDerivedField": false,
    "IsMasked": false,
    "GrantKeyWhenReadable": "principal-process-steward|KnowledgeFragments"
   },
   {
    "FieldGrantId": "fg-process-steward-KnowledgeFragments.IsAttachedToLiveVersion",
    "Principal": "principal-process-steward",
    "TargetField": "KnowledgeFragments.IsAttachedToLiveVersion",
    "CanRead": true,
    "CanWrite": false,
    "MaskStrategy": "plain",
    "SemanticTypeIri": "urn:effortless:pko-extension#FieldGrant",
    "Name": "principal-process-steward -&gt; KnowledgeFragments.IsAttachedToLiveVersion",
    "FieldTable": "KnowledgeFragments",
    "FieldName": "IsAttachedToLiveVersion",
    "FieldIsDerived": true,
    "IsWritableDerivedField": false,
    "IsMasked": false,
    "GrantKeyWhenReadable": "principal-process-steward|KnowledgeFragments"
   },
   {
    "FieldGrantId": "fg-process-steward-KnowledgeFragments.IsUnapprovedButReliedOn",
    "Principal": "principal-process-steward",
    "TargetField": "KnowledgeFragments.IsUnapprovedButReliedOn",
    "CanRead": true,
    "CanWrite": false,
    "MaskStrategy": "plain",
    "SemanticTypeIri": "urn:effortless:pko-extension#FieldGrant",
    "Name": "principal-process-steward -&gt; KnowledgeFragments.IsUnapprovedButReliedOn",
    "FieldTable": "KnowledgeFragments",
    "FieldName": "IsUnapprovedButReliedOn",
    "FieldIsDerived": true,
    "IsWritableDerivedField": false,
    "IsMasked": false,
    "GrantKeyWhenReadable": "principal-process-steward|KnowledgeFragments"
   },
   {
    "FieldGrantId": "fg-process-steward-KnowledgeFragments.EvidenceAgeDays",
    "Principal": "principal-process-steward",
    "TargetField": "KnowledgeFragments.EvidenceAgeDays",
    "CanRead": true,
    "CanWrite": false,
    "MaskStrategy": "plain",
    "SemanticTypeIri": "urn:effortless:pko-extension#FieldGrant",
    "Name": "principal-process-steward -&gt; KnowledgeFragments.EvidenceAgeDays",
    "FieldTable": "KnowledgeFragments",
    "FieldName": "EvidenceAgeDays",
    "FieldIsDerived": true,
    "IsWritableDerivedField": false,
    "IsMasked": false,
    "GrantKeyWhenReadable": "principal-process-steward|KnowledgeFragments"
   },
   {
    "FieldGrantId": "fg-process-steward-KnowledgeFragments.HasRecordedElicitation",
    "Principal": "principal-process-steward",
    "TargetField": "KnowledgeFragments.HasRecordedElicitation",
    "CanRead": true,
    "CanWrite": false,
    "MaskStrategy": "plain",
    "SemanticTypeIri": "urn:effortless:pko-extension#FieldGrant",
    "Name": "principal-process-steward -&gt; KnowledgeFragments.HasRecordedElicitation",
    "FieldTable": "KnowledgeFragments",
    "FieldName": "HasRecordedElicitation",
    "FieldIsDerived": true,
    "IsWritableDerivedField": false,
    "IsMasked": false,
    "GrantKeyWhenReadable": "principal-process-steward|KnowledgeFragments"
   },
   {
    "FieldGrantId": "fg-process-steward-KnowledgeFragments.IsFromSingleWitness",
    "Principal": "principal-process-steward",
    "TargetField": "KnowledgeFragments.IsFromSingleWitness",
    "CanRead": true,
    "CanWrite": false,
    "MaskStrategy": "plain",
    "SemanticTypeIri": "urn:effortless:pko-extension#FieldGrant",
    "Name": "principal-process-steward -&gt; KnowledgeFragments.IsFromSingleWitness",
    "FieldTable": "KnowledgeFragments",
    "FieldName": "IsFromSingleWitness",
    "FieldIsDerived": true,
    "IsWritableDerivedField": false,
    "IsMasked": false,
    "GrantKeyWhenReadable": "principal-process-steward|KnowledgeFragments"
   },
   {
    "FieldGrantId": "fg-process-steward-KnowledgeFragments.EvidenceExpiryDays",
    "Principal": "principal-process-steward",
    "TargetField": "KnowledgeFragments.EvidenceExpiryDays",
    "CanRead": true,
    "CanWrite": false,
    "MaskStrategy": "plain",
    "SemanticTypeIri": "urn:effortless:pko-extension#FieldGrant",
    "Name": "principal-process-steward -&gt; KnowledgeFragments.EvidenceExpiryDays",
    "FieldTable": "KnowledgeFragments",
    "FieldName": "EvidenceExpiryDays",
    "FieldIsDerived": true,
    "IsWritableDerivedField": false,
    "IsMasked": false,
    "GrantKeyWhenReadable": "principal-process-steward|KnowledgeFragments"
   },
   {
    "FieldGrantId": "fg-process-steward-KnowledgeFragments.EvidenceHasExpired",
    "Principal": "principal-process-steward",
    "TargetField": "KnowledgeFragments.EvidenceHasExpired",
    "CanRead": true,
    "CanWrite": false,
    "MaskStrategy": "plain",
    "SemanticTypeIri": "urn:effortless:pko-extension#FieldGrant",
    "Name": "principal-process-steward -&gt; KnowledgeFragments.EvidenceHasExpired",
    "FieldTable": "KnowledgeFragments",
    "FieldName": "EvidenceHasExpired",
    "FieldIsDerived": true,
    "IsWritableDerivedField": false,
    "IsMasked": false,
    "GrantKeyWhenReadable": "principal-process-steward|KnowledgeFragments"
   },
   {
    "FieldGrantId": "fg-process-steward-KnowledgeFragments.OwnerAgent",
    "Principal": "principal-process-steward",
    "TargetField": "KnowledgeFragments.OwnerAgent",
    "CanRead": true,
    "CanWrite": false,
    "MaskStrategy": "plain",
    "SemanticTypeIri": "urn:effortless:pko-extension#FieldGrant",
    "Name": "principal-process-steward -&gt; KnowledgeFragments.OwnerAgent",
    "FieldTable": "KnowledgeFragments",
    "FieldName": "OwnerAgent",
    "FieldIsDerived": true,
    "IsWritableDerivedField": false,
    "IsMasked": false,
    "GrantKeyWhenReadable": "principal-process-steward|KnowledgeFragments"
   },
   {
    "FieldGrantId": "fg-process-steward-KnowledgeFragments.IsAwaitingApproval",
    "Principal": "principal-process-steward",
    "TargetField": "KnowledgeFragments.IsAwaitingApproval",
    "CanRead": true,
    "CanWrite": false,
    "MaskStrategy": "plain",
    "SemanticTypeIri": "urn:effortless:pko-extension#FieldGrant",
    "Name": "principal-process-steward -&gt; KnowledgeFragments.IsAwaitingApproval",
    "FieldTable": "KnowledgeFragments",
    "FieldName": "IsAwaitingApproval",
    "FieldIsDerived": true,
    "IsWritableDerivedField": false,
    "IsMasked": false,
    "GrantKeyWhenReadable": "principal-process-steward|KnowledgeFragments"
   },
   {
    "FieldGrantId": "fg-process-steward-KnowledgeFragments.OwnerIsMe",
    "Principal": "principal-process-steward",
    "TargetField": "KnowledgeFragments.OwnerIsMe",
    "CanRead": true,
    "CanWrite": false,
    "MaskStrategy": "plain",
    "SemanticTypeIri": "urn:effortless:pko-extension#FieldGrant",
    "Name": "principal-process-steward -&gt; KnowledgeFragments.OwnerIsMe",
    "FieldTable": "KnowledgeFragments",
    "FieldName": "OwnerIsMe",
    "FieldIsDerived": true,
    "IsWritableDerivedField": false,
    "IsMasked": false,
    "GrantKeyWhenReadable": "principal-process-steward|KnowledgeFragments"
   },
   {
    "FieldGrantId": "fg-process-steward-KnowledgeFragments.IsMyUnfinishedApproval",
    "Principal": "principal-process-steward",
    "TargetField": "KnowledgeFragments.IsMyUnfinishedApproval",
    "CanRead": true,
    "CanWrite": false,
    "MaskStrategy": "plain",
    "SemanticTypeIri": "urn:effortless:pko-extension#FieldGrant",
    "Name": "principal-process-steward -&gt; KnowledgeFragments.IsMyUnfinishedApproval",
    "FieldTable": "KnowledgeFragments",
    "FieldName": "IsMyUnfinishedApproval",
    "FieldIsDerived": true,
    "IsWritableDerivedField": false,
    "IsMasked": false,
    "GrantKeyWhenReadable": "principal-process-steward|KnowledgeFragments"
   },
   {
    "FieldGrantId": "fg-process-steward-KnowledgeFragments.IsInvokedByAnException",
    "Principal": "principal-process-steward",
    "TargetField": "KnowledgeFragments.IsInvokedByAnException",
    "CanRead": true,
    "CanWrite": false,
    "MaskStrategy": "plain",
    "SemanticTypeIri": "urn:effortless:pko-extension#FieldGrant",
    "Name": "principal-process-steward -&gt; KnowledgeFragments.IsInvokedByAnException",
    "FieldTable": "KnowledgeFragments",
    "FieldName": "IsInvokedByAnException",
    "FieldIsDerived": true,
    "IsWritableDerivedField": false,
    "IsMasked": false,
    "GrantKeyWhenReadable": "principal-process-steward|KnowledgeFragments"
   },
   {
    "FieldGrantId": "fg-process-steward-KnowledgeFragments.HasOperationalReliance",
    "Principal": "principal-process-steward",
    "TargetField": "KnowledgeFragments.HasOperationalReliance",
    "CanRead": true,
    "CanWrite": false,
    "MaskStrategy": "plain",
    "SemanticTypeIri": "urn:effortless:pko-extension#FieldGrant",
    "Name": "principal-process-steward -&gt; KnowledgeFragments.HasOperationalReliance",
    "FieldTable": "KnowledgeFragments",
    "FieldName": "HasOperationalReliance",
    "FieldIsDerived": true,
    "IsWritableDerivedField": false,
    "IsMasked": false,
    "GrantKeyWhenReadable": "principal-process-steward|KnowledgeFragments"
   },
   {
    "FieldGrantId": "fg-process-steward-KnowledgeFragments.IsUnapprovedAndOperationallyLive",
    "Principal": "principal-process-steward",
    "TargetField": "KnowledgeFragments.IsUnapprovedAndOperationallyLive",
    "CanRead": true,
    "CanWrite": false,
    "MaskStrategy": "plain",
    "SemanticTypeIri": "urn:effortless:pko-extension#FieldGrant",
    "Name": "principal-process-steward -&gt; KnowledgeFragments.IsUnapprovedAndOperationallyLive",
    "FieldTable": "KnowledgeFragments",
    "FieldName": "IsUnapprovedAndOperationallyLive",
    "FieldIsDerived": true,
    "IsWritableDerivedField": false,
    "IsMasked": false,
    "GrantKeyWhenReadable": "principal-process-steward|KnowledgeFragments"
   },
   {
    "FieldGrantId": "fg-process-steward-KnowledgeFragments.AgeDays",
    "Principal": "principal-process-steward",
    "TargetField": "KnowledgeFragments.AgeDays",
    "CanRead": true,
    "CanWrite": false,
    "MaskStrategy": "plain",
    "SemanticTypeIri": "urn:effortless:pko-extension#FieldGrant",
    "Name": "principal-process-steward -&gt; KnowledgeFragments.AgeDays",
    "FieldTable": "KnowledgeFragments",
    "FieldName": "AgeDays",
    "FieldIsDerived": true,
    "IsWritableDerivedField": false,
    "IsMasked": false,
    "GrantKeyWhenReadable": "principal-process-steward|KnowledgeFragments"
   },
   {
    "FieldGrantId": "fg-process-steward-KnowledgeFragments.IsLowConfidence",
    "Principal": "principal-process-steward",
    "TargetField": "KnowledgeFragments.IsLowConfidence",
    "CanRead": true,
    "CanWrite": false,
    "MaskStrategy": "plain",
    "SemanticTypeIri": "urn:effortless:pko-extension#FieldGrant",
    "Name": "principal-process-steward -&gt; KnowledgeFragments.IsLowConfidence",
    "FieldTable": "KnowledgeFragments",
    "FieldName": "IsLowConfidence",
    "FieldIsDerived": true,
    "IsWritableDerivedField": false,
    "IsMasked": false,
    "GrantKeyWhenReadable": "principal-process-steward|KnowledgeFragments"
   },
   {
    "FieldGrantId": "fg-process-steward-KnowledgeFragments.OwningVersionCadenceDays",
    "Principal": "principal-process-steward",
    "TargetField": "KnowledgeFragments.OwningVersionCadenceDays",
    "CanRead": true,
    "CanWrite": false,
    "MaskStrategy": "plain",
    "SemanticTypeIri": "urn:effortless:pko-extension#FieldGrant",
    "Name": "principal-process-steward -&gt; KnowledgeFragments.OwningVersionCadenceDays",
    "FieldTable": "KnowledgeFragments",
    "FieldName": "OwningVersionCadenceDays",
    "FieldIsDerived": true,
    "IsWritableDerivedField": false,
    "IsMasked": false,
    "GrantKeyWhenReadable": "principal-process-steward|KnowledgeFragments"
   },
   {
    "FieldGrantId": "fg-process-steward-KnowledgeFragments.ExceedsOwningCadence",
    "Principal": "principal-process-steward",
    "TargetField": "KnowledgeFragments.ExceedsOwningCadence",
    "CanRead": true,
    "CanWrite": false,
    "MaskStrategy": "plain",
    "SemanticTypeIri": "urn:effortless:pko-extension#FieldGrant",
    "Name": "principal-process-steward -&gt; KnowledgeFragments.ExceedsOwningCadence",
    "FieldTable": "KnowledgeFragments",
    "FieldName": "ExceedsOwningCadence",
    "FieldIsDerived": true,
    "IsWritableDerivedField": false,
    "IsMasked": false,
    "GrantKeyWhenReadable": "principal-process-steward|KnowledgeFragments"
   },
   {
    "FieldGrantId": "fg-process-steward-KnowledgeFragments.IsAgingLowConfidenceClaim",
    "Principal": "principal-process-steward",
    "TargetField": "KnowledgeFragments.IsAgingLowConfidenceClaim",
    "CanRead": true,
    "CanWrite": false,
    "MaskStrategy": "plain",
    "SemanticTypeIri": "urn:effortless:pko-extension#FieldGrant",
    "Name": "principal-process-steward -&gt; KnowledgeFragments.IsAgingLowConfidenceClaim",
    "FieldTable": "KnowledgeFragments",
    "FieldName": "IsAgingLowConfidenceClaim",
    "FieldIsDerived": true,
    "IsWritableDerivedField": false,
    "IsMasked": false,
    "GrantKeyWhenReadable": "principal-process-steward|KnowledgeFragments"
   },
   {
    "FieldGrantId": "fg-process-steward-KnowledgeFragments.OwnerRoleAgentKind",
    "Principal": "principal-process-steward",
    "TargetField": "KnowledgeFragments.OwnerRoleAgentKind",
    "CanRead": true,
    "CanWrite": false,
    "MaskStrategy": "plain",
    "SemanticTypeIri": "urn:effortless:pko-extension#FieldGrant",
    "Name": "principal-process-steward -&gt; KnowledgeFragments.OwnerRoleAgentKind",
    "FieldTable": "KnowledgeFragments",
    "FieldName": "OwnerRoleAgentKind",
    "FieldIsDerived": true,
    "IsWritableDerivedField": false,
    "IsMasked": false,
    "GrantKeyWhenReadable": "principal-process-steward|KnowledgeFragments"
   },
   {
    "FieldGrantId": "fg-process-steward-KnowledgeFragments.IsHumanOwned",
    "Principal": "principal-process-steward",
    "TargetField": "KnowledgeFragments.IsHumanOwned",
    "CanRead": true,
    "CanWrite": false,
    "MaskStrategy": "plain",
    "SemanticTypeIri": "urn:effortless:pko-extension#FieldGrant",
    "Name": "principal-process-steward -&gt; KnowledgeFragments.IsHumanOwned",
    "FieldTable": "KnowledgeFragments",
    "FieldName": "IsHumanOwned",
    "FieldIsDerived": true,
    "IsWritableDerivedField": false,
    "IsMasked": false,
    "GrantKeyWhenReadable": "principal-process-steward|KnowledgeFragments"
   },
   {
    "FieldGrantId": "fg-process-steward-KnowledgeFragments.IsAiValidatedByAi",
    "Principal": "principal-process-steward",
    "TargetField": "KnowledgeFragments.IsAiValidatedByAi",
    "CanRead": true,
    "CanWrite": false,
    "MaskStrategy": "plain",
    "SemanticTypeIri": "urn:effortless:pko-extension#FieldGrant",
    "Name": "principal-process-steward -&gt; KnowledgeFragments.IsAiValidatedByAi",
    "FieldTable": "KnowledgeFragments",
    "FieldName": "IsAiValidatedByAi",
    "FieldIsDerived": true,
    "IsWritableDerivedField": false,
    "IsMasked": false,
    "GrantKeyWhenReadable": "principal-process-steward|KnowledgeFragments"
   },
   {
    "FieldGrantId": "fg-process-steward-KnowledgeFragments.ReviewCadenceDays",
    "Principal": "principal-process-steward",
    "TargetField": "KnowledgeFragments.ReviewCadenceDays",
    "CanRead": true,
    "CanWrite": false,
    "MaskStrategy": "plain",
    "SemanticTypeIri": "urn:effortless:pko-extension#FieldGrant",
    "Name": "principal-process-steward -&gt; KnowledgeFragments.ReviewCadenceDays",
    "FieldTable": "KnowledgeFragments",
    "FieldName": "ReviewCadenceDays",
    "FieldIsDerived": true,
    "IsWritableDerivedField": false,
    "IsMasked": false,
    "GrantKeyWhenReadable": "principal-process-steward|KnowledgeFragments"
   },
   {
    "FieldGrantId": "fg-process-steward-KnowledgeFragments.IsOverdueForReview",
    "Principal": "principal-process-steward",
    "TargetField": "KnowledgeFragments.IsOverdueForReview",
    "CanRead": true,
    "CanWrite": false,
    "MaskStrategy": "plain",
    "SemanticTypeIri": "urn:effortless:pko-extension#FieldGrant",
    "Name": "principal-process-steward -&gt; KnowledgeFragments.IsOverdueForReview",
    "FieldTable": "KnowledgeFragments",
    "FieldName": "IsOverdueForReview",
    "FieldIsDerived": true,
    "IsWritableDerivedField": false,
    "IsMasked": false,
    "GrantKeyWhenReadable": "principal-process-steward|KnowledgeFragments"
   },
   {
    "FieldGrantId": "fg-process-steward-KnowledgeFragments.PredatesCurrentRoleHolder",
    "Principal": "principal-process-steward",
    "TargetField": "KnowledgeFragments.PredatesCurrentRoleHolder",
    "CanRead": true,
    "CanWrite": false,
    "MaskStrategy": "plain",
    "SemanticTypeIri": "urn:effortless:pko-extension#FieldGrant",
    "Name": "principal-process-steward -&gt; KnowledgeFragments.PredatesCurrentRoleHolder",
    "FieldTable": "KnowledgeFragments",
    "FieldName": "PredatesCurrentRoleHolder",
    "FieldIsDerived": true,
    "IsWritableDerivedField": false,
    "IsMasked": false,
    "GrantKeyWhenReadable": "principal-process-steward|KnowledgeFragments"
   },
   {
    "FieldGrantId": "fg-process-steward-KnowledgeFragments.OwnerRoleAssignmentValidFrom",
    "Principal": "principal-process-steward",
    "TargetField": "KnowledgeFragments.OwnerRoleAssignmentValidFrom",
    "CanRead": true,
    "CanWrite": false,
    "MaskStrategy": "plain",
    "SemanticTypeIri": "urn:effortless:pko-extension#FieldGrant",
    "Name": "principal-process-steward -&gt; KnowledgeFragments.OwnerRoleAssignmentValidFrom",
    "FieldTable": "KnowledgeFragments",
    "FieldName": "OwnerRoleAssignmentValidFrom",
    "FieldIsDerived": true,
    "IsWritableDerivedField": false,
    "IsMasked": false,
    "GrantKeyWhenReadable": "principal-process-steward|KnowledgeFragments"
   },
   {
    "FieldGrantId": "fg-process-steward-KnowledgeFragments.LastReviewedAt",
    "Principal": "principal-process-steward",
    "TargetField": "KnowledgeFragments.LastReviewedAt",
    "CanRead": true,
    "CanWrite": false,
    "MaskStrategy": "plain",
    "SemanticTypeIri": "urn:effortless:pko-extension#FieldGrant",
    "Name": "principal-process-steward -&gt; KnowledgeFragments.LastReviewedAt",
    "FieldTable": "KnowledgeFragments",
    "FieldName": "LastReviewedAt",
    "FieldIsDerived": false,
    "IsWritableDerivedField": false,
    "IsMasked": false,
    "GrantKeyWhenReadable": "principal-process-steward|KnowledgeFragments"
   },
   {
    "FieldGrantId": "fg-process-steward-KnowledgeFragments.FragilitySignalCount",
    "Principal": "principal-process-steward",
    "TargetField": "KnowledgeFragments.FragilitySignalCount",
    "CanRead": true,
    "CanWrite": false,
    "MaskStrategy": "plain",
    "SemanticTypeIri": "urn:effortless:pko-extension#FieldGrant",
    "Name": "principal-process-steward -&gt; KnowledgeFragments.FragilitySignalCount",
    "FieldTable": "KnowledgeFragments",
    "FieldName": "FragilitySignalCount",
    "FieldIsDerived": true,
    "IsWritableDerivedField": false,
    "IsMasked": false,
    "GrantKeyWhenReadable": "principal-process-steward|KnowledgeFragments"
   },
   {
    "FieldGrantId": "fg-process-steward-KnowledgeFragments.IsCompoundFragile",
    "Principal": "principal-process-steward",
    "TargetField": "KnowledgeFragments.IsCompoundFragile",
    "CanRead": true,
    "CanWrite": false,
    "MaskStrategy": "plain",
    "SemanticTypeIri": "urn:effortless:pko-extension#FieldGrant",
    "Name": "principal-process-steward -&gt; KnowledgeFragments.IsCompoundFragile",
    "FieldTable": "KnowledgeFragments",
    "FieldName": "IsCompoundFragile",
    "FieldIsDerived": true,
    "IsWritableDerivedField": false,
    "IsMasked": false,
    "GrantKeyWhenReadable": "principal-process-steward|KnowledgeFragments"
   },
   {
    "FieldGrantId": "fg-process-steward-KnowledgeFragments.IsSinglePointOfFailure",
    "Principal": "principal-process-steward",
    "TargetField": "KnowledgeFragments.IsSinglePointOfFailure",
    "CanRead": true,
    "CanWrite": false,
    "MaskStrategy": "plain",
    "SemanticTypeIri": "urn:effortless:pko-extension#FieldGrant",
    "Name": "principal-process-steward -&gt; KnowledgeFragments.IsSinglePointOfFailure",
    "FieldTable": "KnowledgeFragments",
    "FieldName": "IsSinglePointOfFailure",
    "FieldIsDerived": true,
    "IsWritableDerivedField": false,
    "IsMasked": false,
    "GrantKeyWhenReadable": "principal-process-steward|KnowledgeFragments"
   },
   {
    "FieldGrantId": "fg-process-steward-KnowledgeFragments.IsExpiringSinglePointOfFailure",
    "Principal": "principal-process-steward",
    "TargetField": "KnowledgeFragments.IsExpiringSinglePointOfFailure",
    "CanRead": true,
    "CanWrite": false,
    "MaskStrategy": "plain",
    "SemanticTypeIri": "urn:effortless:pko-extension#FieldGrant",
    "Name": "principal-process-steward -&gt; KnowledgeFragments.IsExpiringSinglePointOfFailure",
    "FieldTable": "KnowledgeFragments",
    "FieldName": "IsExpiringSinglePointOfFailure",
    "FieldIsDerived": true,
    "IsWritableDerivedField": false,
    "IsMasked": false,
    "GrantKeyWhenReadable": "principal-process-steward|KnowledgeFragments"
   },
   {
    "FieldGrantId": "fg-process-steward-KnowledgeFragments.CompoundFragileVersionKey",
    "Principal": "principal-process-steward",
    "TargetField": "KnowledgeFragments.CompoundFragileVersionKey",
    "CanRead": true,
    "CanWrite": false,
    "MaskStrategy": "plain",
    "SemanticTypeIri": "urn:effortless:pko-extension#FieldGrant",
    "Name": "principal-process-steward -&gt; KnowledgeFragments.CompoundFragileVersionKey",
    "FieldTable": "KnowledgeFragments",
    "FieldName": "CompoundFragileVersionKey",
    "FieldIsDerived": true,
    "IsWritableDerivedField": false,
    "IsMasked": false,
    "GrantKeyWhenReadable": "principal-process-steward|KnowledgeFragments"
   },
   {
    "FieldGrantId": "fg-process-steward-KnowledgeFragments.ValidFragmentSessionKey",
    "Principal": "principal-process-steward",
    "TargetField": "KnowledgeFragments.ValidFragmentSessionKey",
    "CanRead": true,
    "CanWrite": false,
    "MaskStrategy": "plain",
    "SemanticTypeIri": "urn:effortless:pko-extension#FieldGrant",
    "Name": "principal-process-steward -&gt; KnowledgeFragments.ValidFragmentSessionKey",
    "FieldTable": "KnowledgeFragments",
    "FieldName": "ValidFragmentSessionKey",
    "FieldIsDerived": true,
    "IsWritableDerivedField": false,
    "IsMasked": false,
    "GrantKeyWhenReadable": "principal-process-steward|KnowledgeFragments"
   },
   {
    "FieldGrantId": "fg-process-steward-KnowledgeFragments.ConsumingStepIsSoftwareAssigned",
    "Principal": "principal-process-steward",
    "TargetField": "KnowledgeFragments.ConsumingStepIsSoftwareAssigned",
    "CanRead": true,
    "CanWrite": false,
    "MaskStrategy": "plain",
    "SemanticTypeIri": "urn:effortless:pko-extension#FieldGrant",
    "Name": "principal-process-steward -&gt; KnowledgeFragments.ConsumingStepIsSoftwareAssigned",
    "FieldTable": "KnowledgeFragments",
    "FieldName": "ConsumingStepIsSoftwareAssigned",
    "FieldIsDerived": true,
    "IsWritableDerivedField": false,
    "IsMasked": false,
    "GrantKeyWhenReadable": "principal-process-steward|KnowledgeFragments"
   },
   {
    "FieldGrantId": "fg-process-steward-KnowledgeFragments.ConsumingStepAgentKind",
    "Principal": "principal-process-steward",
    "TargetField": "KnowledgeFragments.ConsumingStepAgentKind",
    "CanRead": true,
    "CanWrite": false,
    "MaskStrategy": "plain",
    "SemanticTypeIri": "urn:effortless:pko-extension#FieldGrant",
    "Name": "principal-process-steward -&gt; KnowledgeFragments.ConsumingStepAgentKind",
    "FieldTable": "KnowledgeFragments",
    "FieldName": "ConsumingStepAgentKind",
    "FieldIsDerived": true,
    "IsWritableDerivedField": false,
    "IsMasked": false,
    "GrantKeyWhenReadable": "principal-process-steward|KnowledgeFragments"
   },
   {
    "FieldGrantId": "fg-process-steward-KnowledgeFragments.IsUnapprovedAndMachineConsumed",
    "Principal": "principal-process-steward",
    "TargetField": "KnowledgeFragments.IsUnapprovedAndMachineConsumed",
    "CanRead": true,
    "CanWrite": false,
    "MaskStrategy": "plain",
    "SemanticTypeIri": "urn:effortless:pko-extension#FieldGrant",
    "Name": "principal-process-steward -&gt; KnowledgeFragments.IsUnapprovedAndMachineConsumed",
    "FieldTable": "KnowledgeFragments",
    "FieldName": "IsUnapprovedAndMachineConsumed",
    "FieldIsDerived": true,
    "IsWritableDerivedField": false,
    "IsMasked": false,
    "GrantKeyWhenReadable": "principal-process-steward|KnowledgeFragments"
   },
   {
    "FieldGrantId": "fg-process-steward-KnowledgeFragments.IsUnapprovedAndHumanConsumed",
    "Principal": "principal-process-steward",
    "TargetField": "KnowledgeFragments.IsUnapprovedAndHumanConsumed",
    "CanRead": true,
    "CanWrite": false,
    "MaskStrategy": "plain",
    "SemanticTypeIri": "urn:effortless:pko-extension#FieldGrant",
    "Name": "principal-process-steward -&gt; KnowledgeFragments.IsUnapprovedAndHumanConsumed",
    "FieldTable": "KnowledgeFragments",
    "FieldName": "IsUnapprovedAndHumanConsumed",
    "FieldIsDerived": true,
    "IsWritableDerivedField": false,
    "IsMasked": false,
    "GrantKeyWhenReadable": "principal-process-steward|KnowledgeFragments"
   },
   {
    "FieldGrantId": "fg-process-steward-KnowledgeFragments.MachineConsumedUnapprovedVersionKey",
    "Principal": "principal-process-steward",
    "TargetField": "KnowledgeFragments.MachineConsumedUnapprovedVersionKey",
    "CanRead": true,
    "CanWrite": false,
    "MaskStrategy": "plain",
    "SemanticTypeIri": "urn:effortless:pko-extension#FieldGrant",
    "Name": "principal-process-steward -&gt; KnowledgeFragments.MachineConsumedUnapprovedVersionKey",
    "FieldTable": "KnowledgeFragments",
    "FieldName": "MachineConsumedUnapprovedVersionKey",
    "FieldIsDerived": true,
    "IsWritableDerivedField": false,
    "IsMasked": false,
    "GrantKeyWhenReadable": "principal-process-steward|KnowledgeFragments"
   },
   {
    "FieldGrantId": "fg-process-steward-KnowledgeFragments.HasReviewRecord",
    "Principal": "principal-process-steward",
    "TargetField": "KnowledgeFragments.HasReviewRecord",
    "CanRead": true,
    "CanWrite": false,
    "MaskStrategy": "plain",
    "SemanticTypeIri": "urn:effortless:pko-extension#FieldGrant",
    "Name": "principal-process-steward -&gt; KnowledgeFragments.HasReviewRecord",
    "FieldTable": "KnowledgeFragments",
    "FieldName": "HasReviewRecord",
    "FieldIsDerived": true,
    "IsWritableDerivedField": false,
    "IsMasked": false,
    "GrantKeyWhenReadable": "principal-process-steward|KnowledgeFragments"
   },
   {
    "FieldGrantId": "fg-process-steward-KnowledgeFragments.DaysSinceActualReview",
    "Principal": "principal-process-steward",
    "TargetField": "KnowledgeFragments.DaysSinceActualReview",
    "CanRead": true,
    "CanWrite": false,
    "MaskStrategy": "plain",
    "SemanticTypeIri": "urn:effortless:pko-extension#FieldGrant",
    "Name": "principal-process-steward -&gt; KnowledgeFragments.DaysSinceActualReview",
    "FieldTable": "KnowledgeFragments",
    "FieldName": "DaysSinceActualReview",
    "FieldIsDerived": true,
    "IsWritableDerivedField": false,
    "IsMasked": false,
    "GrantKeyWhenReadable": "principal-process-steward|KnowledgeFragments"
   },
   {
    "FieldGrantId": "fg-process-steward-KnowledgeFragments.IsUnreviewedSinceAuthoring",
    "Principal": "principal-process-steward",
    "TargetField": "KnowledgeFragments.IsUnreviewedSinceAuthoring",
    "CanRead": true,
    "CanWrite": false,
    "MaskStrategy": "plain",
    "SemanticTypeIri": "urn:effort</t>
  </si>
  <si>
    <t xml:space="preserve">less:pko-extension#FieldGrant",
    "Name": "principal-process-steward -&gt; KnowledgeFragments.IsUnreviewedSinceAuthoring",
    "FieldTable": "KnowledgeFragments",
    "FieldName": "IsUnreviewedSinceAuthoring",
    "FieldIsDerived": true,
    "IsWritableDerivedField": false,
    "IsMasked": false,
    "GrantKeyWhenReadable": "principal-process-steward|KnowledgeFragments"
   },
   {
    "FieldGrantId": "fg-process-steward-KnowledgeFragments.IsGenuinelyOverdue",
    "Principal": "principal-process-steward",
    "TargetField": "KnowledgeFragments.IsGenuinelyOverdue",
    "CanRead": true,
    "CanWrite": false,
    "MaskStrategy": "plain",
    "SemanticTypeIri": "urn:effortless:pko-extension#FieldGrant",
    "Name": "principal-process-steward -&gt; KnowledgeFragments.IsGenuinelyOverdue",
    "FieldTable": "KnowledgeFragments",
    "FieldName": "IsGenuinelyOverdue",
    "FieldIsDerived": true,
    "IsWritableDerivedField": false,
    "IsMasked": false,
    "GrantKeyWhenReadable": "principal-process-steward|KnowledgeFragments"
   },
   {
    "FieldGrantId": "fg-process-steward-KnowledgeFragments.ReviewRecencyIsInferred",
    "Principal": "principal-process-steward",
    "TargetField": "KnowledgeFragments.ReviewRecencyIsInferred",
    "CanRead": true,
    "CanWrite": false,
    "MaskStrategy": "plain",
    "SemanticTypeIri": "urn:effortless:pko-extension#FieldGrant",
    "Name": "principal-process-steward -&gt; KnowledgeFragments.ReviewRecencyIsInferred",
    "FieldTable": "KnowledgeFragments",
    "FieldName": "ReviewRecencyIsInferred",
    "FieldIsDerived": true,
    "IsWritableDerivedField": false,
    "IsMasked": false,
    "GrantKeyWhenReadable": "principal-process-steward|KnowledgeFragments"
   },
   {
    "FieldGrantId": "fg-process-steward-KnowledgeFragments.InferenceDisagreesWithRecord",
    "Principal": "principal-process-steward",
    "TargetField": "KnowledgeFragments.InferenceDisagreesWithRecord",
    "CanRead": true,
    "CanWrite": false,
    "MaskStrategy": "plain",
    "SemanticTypeIri": "urn:effortless:pko-extension#FieldGrant",
    "Name": "principal-process-steward -&gt; KnowledgeFragments.InferenceDisagreesWithRecord",
    "FieldTable": "KnowledgeFragments",
    "FieldName": "InferenceDisagreesWithRecord",
    "FieldIsDerived": true,
    "IsWritableDerivedField": false,
    "IsMasked": false,
    "GrantKeyWhenReadable": "principal-process-steward|KnowledgeFragments"
   },
   {
    "FieldGrantId": "fg-process-steward-KnowledgeFragments.GenuinelyOverdueVersionKey",
    "Principal": "principal-process-steward",
    "TargetField": "KnowledgeFragments.GenuinelyOverdueVersionKey",
    "CanRead": true,
    "CanWrite": false,
    "MaskStrategy": "plain",
    "SemanticTypeIri": "urn:effortless:pko-extension#FieldGrant",
    "Name": "principal-process-steward -&gt; KnowledgeFragments.GenuinelyOverdueVersionKey",
    "FieldTable": "KnowledgeFragments",
    "FieldName": "GenuinelyOverdueVersionKey",
    "FieldIsDerived": true,
    "IsWritableDerivedField": false,
    "IsMasked": false,
    "GrantKeyWhenReadable": "principal-process-steward|KnowledgeFragments"
   },
   {
    "FieldGrantId": "fg-process-steward-KnowledgeFragments.RatifiedBoundaryCount",
    "Principal": "principal-process-steward",
    "TargetField": "KnowledgeFragments.RatifiedBoundaryCount",
    "CanRead": true,
    "CanWrite": false,
    "MaskStrategy": "plain",
    "SemanticTypeIri": "urn:effortless:pko-extension#FieldGrant",
    "Name": "principal-process-steward -&gt; KnowledgeFragments.RatifiedBoundaryCount",
    "FieldTable": "KnowledgeFragments",
    "FieldName": "RatifiedBoundaryCount",
    "FieldIsDerived": true,
    "IsWritableDerivedField": false,
    "IsMasked": false,
    "GrantKeyWhenReadable": "principal-process-steward|KnowledgeFragments"
   },
   {
    "FieldGrantId": "fg-process-steward-KnowledgeFragments.RelianceSurfaceCount",
    "Principal": "principal-process-steward",
    "TargetField": "KnowledgeFragments.RelianceSurfaceCount",
    "CanRead": true,
    "CanWrite": false,
    "MaskStrategy": "plain",
    "SemanticTypeIri": "urn:effortless:pko-extension#FieldGrant",
    "Name": "principal-process-steward -&gt; KnowledgeFragments.RelianceSurfaceCount",
    "FieldTable": "KnowledgeFragments",
    "FieldName": "RelianceSurfaceCount",
    "FieldIsDerived": true,
    "IsWritableDerivedField": false,
    "IsMasked": false,
    "GrantKeyWhenReadable": "principal-process-steward|KnowledgeFragments"
   },
   {
    "FieldGrantId": "fg-process-steward-KnowledgeFragments.DaysAwaitingMyApproval",
    "Principal": "principal-process-steward",
    "TargetField": "KnowledgeFragments.DaysAwaitingMyApproval",
    "CanRead": true,
    "CanWrite": false,
    "MaskStrategy": "plain",
    "SemanticTypeIri": "urn:effortless:pko-extension#FieldGrant",
    "Name": "principal-process-steward -&gt; KnowledgeFragments.DaysAwaitingMyApproval",
    "FieldTable": "KnowledgeFragments",
    "FieldName": "DaysAwaitingMyApproval",
    "FieldIsDerived": true,
    "IsWritableDerivedField": false,
    "IsMasked": false,
    "GrantKeyWhenReadable": "principal-process-steward|KnowledgeFragments"
   },
   {
    "FieldGrantId": "fg-process-steward-KnowledgeFragments.IsHighBlastRadiusUnapproved",
    "Principal": "principal-process-steward",
    "TargetField": "KnowledgeFragments.IsHighBlastRadiusUnapproved",
    "CanRead": true,
    "CanWrite": false,
    "MaskStrategy": "plain",
    "SemanticTypeIri": "urn:effortless:pko-extension#FieldGrant",
    "Name": "principal-process-steward -&gt; KnowledgeFragments.IsHighBlastRadiusUnapproved",
    "FieldTable": "KnowledgeFragments",
    "FieldName": "IsHighBlastRadiusUnapproved",
    "FieldIsDerived": true,
    "IsWritableDerivedField": false,
    "IsMasked": false,
    "GrantKeyWhenReadable": "principal-process-steward|KnowledgeFragments"
   },
   {
    "FieldGrantId": "fg-process-steward-KnowledgeFragments.IsLongUnapproved",
    "Principal": "principal-process-steward",
    "TargetField": "KnowledgeFragments.IsLongUnapproved",
    "CanRead": true,
    "CanWrite": false,
    "MaskStrategy": "plain",
    "SemanticTypeIri": "urn:effortless:pko-extension#FieldGrant",
    "Name": "principal-process-steward -&gt; KnowledgeFragments.IsLongUnapproved",
    "FieldTable": "KnowledgeFragments",
    "FieldName": "IsLongUnapproved",
    "FieldIsDerived": true,
    "IsWritableDerivedField": false,
    "IsMasked": false,
    "GrantKeyWhenReadable": "principal-process-steward|KnowledgeFragments"
   },
   {
    "FieldGrantId": "fg-process-steward-KnowledgeFragments.UnapprovedLoadBearingVersionKey",
    "Principal": "principal-process-steward",
    "TargetField": "KnowledgeFragments.UnapprovedLoadBearingVersionKey",
    "CanRead": true,
    "CanWrite": false,
    "MaskStrategy": "plain",
    "SemanticTypeIri": "urn:effortless:pko-extension#FieldGrant",
    "Name": "principal-process-steward -&gt; KnowledgeFragments.UnapprovedLoadBearingVersionKey",
    "FieldTable": "KnowledgeFragments",
    "FieldName": "UnapprovedLoadBearingVersionKey",
    "FieldIsDerived": true,
    "IsWritableDerivedField": false,
    "IsMasked": false,
    "GrantKeyWhenReadable": "principal-process-steward|KnowledgeFragments"
   },
   {
    "FieldGrantId": "fg-process-steward-KnowledgeFragments.OwnerRoleIsVacated",
    "Principal": "principal-process-steward",
    "TargetField": "KnowledgeFragments.OwnerRoleIsVacated",
    "CanRead": true,
    "CanWrite": false,
    "MaskStrategy": "plain",
    "SemanticTypeIri": "urn:effortless:pko-extension#FieldGrant",
    "Name": "principal-process-steward -&gt; KnowledgeFragments.OwnerRoleIsVacated",
    "FieldTable": "KnowledgeFragments",
    "FieldName": "OwnerRoleIsVacated",
    "FieldIsDerived": true,
    "IsWritableDerivedField": false,
    "IsMasked": false,
    "GrantKeyWhenReadable": "principal-process-steward|KnowledgeFragments"
   },
   {
    "FieldGrantId": "fg-process-steward-KnowledgeFragments.IsOrphanedByRole",
    "Principal": "principal-process-steward",
    "TargetField": "KnowledgeFragments.IsOrphanedByRole",
    "CanRead": true,
    "CanWrite": false,
    "MaskStrategy": "plain",
    "SemanticTypeIri": "urn:effortless:pko-extension#FieldGrant",
    "Name": "principal-process-steward -&gt; KnowledgeFragments.IsOrphanedByRole",
    "FieldTable": "KnowledgeFragments",
    "FieldName": "IsOrphanedByRole",
    "FieldIsDerived": true,
    "IsWritableDerivedField": false,
    "IsMasked": false,
    "GrantKeyWhenReadable": "principal-process-steward|KnowledgeFragments"
   },
   {
    "FieldGrantId": "fg-process-steward-KnowledgeFragments.ValidFragmentVersionKey",
    "Principal": "principal-process-steward",
    "TargetField": "KnowledgeFragments.ValidFragmentVersionKey",
    "CanRead": true,
    "CanWrite": false,
    "MaskStrategy": "plain",
    "SemanticTypeIri": "urn:effortless:pko-extension#FieldGrant",
    "Name": "principal-process-steward -&gt; KnowledgeFragments.ValidFragmentVersionKey",
    "FieldTable": "KnowledgeFragments",
    "FieldName": "ValidFragmentVersionKey",
    "FieldIsDerived": true,
    "IsWritableDerivedField": false,
    "IsMasked": false,
    "GrantKeyWhenReadable": "principal-process-steward|KnowledgeFragments"
   },
   {
    "FieldGrantId": "fg-process-steward-KnowledgeFragments.SemanticTypeIri",
    "Principal": "principal-process-steward",
    "TargetField": "KnowledgeFragments.SemanticTypeIri",
    "CanRead": true,
    "CanWrite": false,
    "MaskStrategy": "plain",
    "SemanticTypeIri": "urn:effortless:pko-extension#FieldGrant",
    "Name": "principal-process-steward -&gt; KnowledgeFragments.SemanticTypeIri",
    "FieldTable": "KnowledgeFragments",
    "FieldName": "SemanticTypeIri",
    "FieldIsDerived": false,
    "IsWritableDerivedField": false,
    "IsMasked": false,
    "GrantKeyWhenReadable": "principal-process-steward|KnowledgeFragments"
   },
   {
    "FieldGrantId": "fg-process-steward-KnowledgeGaps.KnowledgeGapId",
    "Principal": "principal-process-steward",
    "TargetField": "KnowledgeGaps.KnowledgeGapId",
    "CanRead": true,
    "CanWrite": false,
    "MaskStrategy": "plain",
    "SemanticTypeIri": "urn:effortless:pko-extension#FieldGrant",
    "Name": "principal-process-steward -&gt; KnowledgeGaps.KnowledgeGapId",
    "FieldTable": "KnowledgeGaps",
    "FieldName": "KnowledgeGapId",
    "FieldIsDerived": false,
    "IsWritableDerivedField": false,
    "IsMasked": false,
    "GrantKeyWhenReadable": "principal-process-steward|KnowledgeGaps"
   },
   {
    "FieldGrantId": "fg-process-steward-KnowledgeGaps.Name",
    "Principal": "principal-process-steward",
    "TargetField": "KnowledgeGaps.Name",
    "CanRead": true,
    "CanWrite": false,
    "MaskStrategy": "plain",
    "SemanticTypeIri": "urn:effortless:pko-extension#FieldGrant",
    "Name": "principal-process-steward -&gt; KnowledgeGaps.Name",
    "FieldTable": "KnowledgeGaps",
    "FieldName": "Name",
    "FieldIsDerived": true,
    "IsWritableDerivedField": false,
    "IsMasked": false,
    "GrantKeyWhenReadable": "principal-process-steward|KnowledgeGaps"
   },
   {
    "FieldGrantId": "fg-process-steward-KnowledgeGaps.ProcedureVersion",
    "Principal": "principal-process-steward",
    "TargetField": "KnowledgeGaps.ProcedureVersion",
    "CanRead": true,
    "CanWrite": false,
    "MaskStrategy": "plain",
    "SemanticTypeIri": "urn:effortless:pko-extension#FieldGrant",
    "Name": "principal-process-steward -&gt; KnowledgeGaps.ProcedureVersion",
    "FieldTable": "KnowledgeGaps",
    "FieldName": "ProcedureVersion",
    "FieldIsDerived": false,
    "IsWritableDerivedField": false,
    "IsMasked": false,
    "GrantKeyWhenReadable": "principal-process-steward|KnowledgeGaps"
   },
   {
    "FieldGrantId": "fg-process-steward-KnowledgeGaps.Step",
    "Principal": "principal-process-steward",
    "TargetField": "KnowledgeGaps.Step",
    "CanRead": true,
    "CanWrite": false,
    "MaskStrategy": "plain",
    "SemanticTypeIri": "urn:effortless:pko-extension#FieldGrant",
    "Name": "principal-process-steward -&gt; KnowledgeGaps.Step",
    "FieldTable": "KnowledgeGaps",
    "FieldName": "Step",
    "FieldIsDerived": false,
    "IsWritableDerivedField": false,
    "IsMasked": false,
    "GrantKeyWhenReadable": "principal-process-steward|KnowledgeGaps"
   },
   {
    "FieldGrantId": "fg-process-steward-KnowledgeGaps.Statement",
    "Principal": "principal-process-steward",
    "TargetField": "KnowledgeGaps.Statement",
    "CanRead": true,
    "CanWrite": false,
    "MaskStrategy": "plain",
    "SemanticTypeIri": "urn:effortless:pko-extension#FieldGrant",
    "Name": "principal-process-steward -&gt; KnowledgeGaps.Statement",
    "FieldTable": "KnowledgeGaps",
    "FieldName": "Statement",
    "FieldIsDerived": false,
    "IsWritableDerivedField": false,
    "IsMasked": false,
    "GrantKeyWhenReadable": "principal-process-steward|KnowledgeGaps"
   },
   {
    "FieldGrantId": "fg-process-steward-KnowledgeGaps.Severity",
    "Principal": "principal-process-steward",
    "TargetField": "KnowledgeGaps.Severity",
    "CanRead": true,
    "CanWrite": false,
    "MaskStrategy": "plain",
    "SemanticTypeIri": "urn:effortless:pko-extension#FieldGrant",
    "Name": "principal-process-steward -&gt; KnowledgeGaps.Severity",
    "FieldTable": "KnowledgeGaps",
    "FieldName": "Severity",
    "FieldIsDerived": false,
    "IsWritableDerivedField": false,
    "IsMasked": false,
    "GrantKeyWhenReadable": "principal-process-steward|KnowledgeGaps"
   },
   {
    "FieldGrantId": "fg-process-steward-KnowledgeGaps.BlockingKind",
    "Principal": "principal-process-steward",
    "TargetField": "KnowledgeGaps.BlockingKind",
    "CanRead": true,
    "CanWrite": false,
    "MaskStrategy": "plain",
    "SemanticTypeIri": "urn:effortless:pko-extension#FieldGrant",
    "Name": "principal-process-steward -&gt; KnowledgeGaps.BlockingKind",
    "FieldTable": "KnowledgeGaps",
    "FieldName": "BlockingKind",
    "FieldIsDerived": false,
    "IsWritableDerivedField": false,
    "IsMasked": false,
    "GrantKeyWhenReadable": "principal-process-steward|KnowledgeGaps"
   },
   {
    "FieldGrantId": "fg-process-steward-KnowledgeGaps.Status",
    "Principal": "principal-process-steward",
    "TargetField": "KnowledgeGaps.Status",
    "CanRead": true,
    "CanWrite": false,
    "MaskStrategy": "plain",
    "SemanticTypeIri": "urn:effortless:pko-extension#FieldGrant",
    "Name": "principal-process-steward -&gt; KnowledgeGaps.Status",
    "FieldTable": "KnowledgeGaps",
    "FieldName": "Status",
    "FieldIsDerived": false,
    "IsWritableDerivedField": false,
    "IsMasked": false,
    "GrantKeyWhenReadable": "principal-process-steward|KnowledgeGaps"
   },
   {
    "FieldGrantId": "fg-process-steward-KnowledgeGaps.OwnerRole",
    "Principal": "principal-process-steward",
    "TargetField": "KnowledgeGaps.OwnerRole",
    "CanRead": true,
    "CanWrite": false,
    "MaskStrategy": "plain",
    "SemanticTypeIri": "urn:effortless:pko-extension#FieldGrant",
    "Name": "principal-process-steward -&gt; KnowledgeGaps.OwnerRole",
    "FieldTable": "KnowledgeGaps",
    "FieldName": "OwnerRole",
    "FieldIsDerived": false,
    "IsWritableDerivedField": false,
    "IsMasked": false,
    "GrantKeyWhenReadable": "principal-process-steward|KnowledgeGaps"
   },
   {
    "FieldGrantId": "fg-process-steward-KnowledgeGaps.IdentifiedAt",
    "Principal": "principal-process-steward",
    "TargetField": "KnowledgeGaps.IdentifiedAt",
    "CanRead": true,
    "CanWrite": false,
    "MaskStrategy": "plain",
    "SemanticTypeIri": "urn:effortless:pko-extension#FieldGrant",
    "Name": "principal-process-steward -&gt; KnowledgeGaps.IdentifiedAt",
    "FieldTable": "KnowledgeGaps",
    "FieldName": "IdentifiedAt",
    "FieldIsDerived": false,
    "IsWritableDerivedField": false,
    "IsMasked": false,
    "GrantKeyWhenReadable": "principal-process-steward|KnowledgeGaps"
   },
   {
    "FieldGrantId": "fg-process-steward-KnowledgeGaps.ResolutionPlan",
    "Principal": "principal-process-steward",
    "TargetField": "KnowledgeGaps.ResolutionPlan",
    "CanRead": true,
    "CanWrite": false,
    "MaskStrategy": "plain",
    "SemanticTypeIri": "urn:effortless:pko-extension#FieldGrant",
    "Name": "principal-process-steward -&gt; KnowledgeGaps.ResolutionPlan",
    "FieldTable": "KnowledgeGaps",
    "FieldName": "ResolutionPlan",
    "FieldIsDerived": false,
    "IsWritableDerivedField": false,
    "IsMasked": false,
    "GrantKeyWhenReadable": "principal-process-steward|KnowledgeGaps"
   },
   {
    "FieldGrantId": "fg-process-steward-KnowledgeGaps.IsOpen",
    "Principal": "principal-process-steward",
    "TargetField": "KnowledgeGaps.IsOpen",
    "CanRead": true,
    "CanWrite": false,
    "MaskStrategy": "plain",
    "SemanticTypeIri": "urn:effortless:pko-extension#FieldGrant",
    "Name": "principal-process-steward -&gt; KnowledgeGaps.IsOpen",
    "FieldTable": "KnowledgeGaps",
    "FieldName": "IsOpen",
    "FieldIsDerived": true,
    "IsWritableDerivedField": false,
    "IsMasked": false,
    "GrantKeyWhenReadable": "principal-process-steward|KnowledgeGaps"
   },
   {
    "FieldGrantId": "fg-process-steward-KnowledgeGaps.OpenGapVersionKey",
    "Principal": "principal-process-steward",
    "TargetField": "KnowledgeGaps.OpenGapVersionKey",
    "CanRead": true,
    "CanWrite": false,
    "MaskStrategy": "plain",
    "SemanticTypeIri": "urn:effortless:pko-extension#FieldGrant",
    "Name": "principal-process-steward -&gt; KnowledgeGaps.OpenGapVersionKey",
    "FieldTable": "KnowledgeGaps",
    "FieldName": "OpenGapVersionKey",
    "FieldIsDerived": true,
    "IsWritableDerivedField": false,
    "IsMasked": false,
    "GrantKeyWhenReadable": "principal-process-steward|KnowledgeGaps"
   },
   {
    "FieldGrantId": "fg-process-steward-KnowledgeGaps.IsBlocking",
    "Principal": "principal-process-steward",
    "TargetField": "KnowledgeGaps.IsBlocking",
    "CanRead": true,
    "CanWrite": false,
    "MaskStrategy": "plain",
    "SemanticTypeIri": "urn:effortless:pko-extension#FieldGrant",
    "Name": "principal-process-steward -&gt; KnowledgeGaps.IsBlocking",
    "FieldTable": "KnowledgeGaps",
    "FieldName": "IsBlocking",
    "FieldIsDerived": true,
    "IsWritableDerivedField": false,
    "IsMasked": false,
    "GrantKeyWhenReadable": "principal-process-steward|KnowledgeGaps"
   },
   {
    "FieldGrantId": "fg-process-steward-KnowledgeGaps.IsOpenAndBlocking",
    "Principal": "principal-process-steward",
    "TargetField": "KnowledgeGaps.IsOpenAndBlocking",
    "CanRead": true,
    "CanWrite": false,
    "MaskStrategy": "plain",
    "SemanticTypeIri": "urn:effortless:pko-extension#FieldGrant",
    "Name": "principal-process-steward -&gt; KnowledgeGaps.IsOpenAndBlocking",
    "FieldTable": "KnowledgeGaps",
    "FieldName": "IsOpenAndBlocking",
    "FieldIsDerived": true,
    "IsWritableDerivedField": false,
    "IsMasked": false,
    "GrantKeyWhenReadable": "principal-process-steward|KnowledgeGaps"
   },
   {
    "FieldGrantId": "fg-process-steward-KnowledgeGaps.EvaluationContext",
    "Principal": "principal-process-steward",
    "TargetField": "KnowledgeGaps.EvaluationContext",
    "CanRead": true,
    "CanWrite": false,
    "MaskStrategy": "plain",
    "SemanticTypeIri": "urn:effortless:pko-extension#FieldGrant",
    "Name": "principal-process-steward -&gt; KnowledgeGaps.EvaluationContext",
    "FieldTable": "KnowledgeGaps",
    "FieldName": "EvaluationContext",
    "FieldIsDerived": false,
    "IsWritableDerivedField": false,
    "IsMasked": false,
    "GrantKeyWhenReadable": "principal-process-steward|KnowledgeGaps"
   },
   {
    "FieldGrantId": "fg-process-steward-KnowledgeGaps.AsOfInstant",
    "Principal": "principal-process-steward",
    "TargetField": "KnowledgeGaps.AsOfInstant",
    "CanRead": true,
    "CanWrite": false,
    "MaskStrategy": "plain",
    "SemanticTypeIri": "urn:effortless:pko-extension#FieldGrant",
    "Name": "principal-process-steward -&gt; KnowledgeGaps.AsOfInstant",
    "FieldTable": "KnowledgeGaps",
    "FieldName": "AsOfInstant",
    "FieldIsDerived": true,
    "IsWritableDerivedField": false,
    "IsMasked": false,
    "GrantKeyWhenReadable": "principal-process-steward|KnowledgeGaps"
   },
   {
    "FieldGrantId": "fg-process-steward-KnowledgeGaps.DaysOpen",
    "Principal": "principal-process-steward",
    "TargetField": "KnowledgeGaps.DaysOpen",
    "CanRead": true,
    "CanWrite": false,
    "MaskStrategy": "plain",
    "SemanticTypeIri": "urn:effortless:pko-extension#FieldGrant",
    "Name": "principal-process-steward -&gt; KnowledgeGaps.DaysOpen",
    "FieldTable": "KnowledgeGaps",
    "FieldName": "DaysOpen",
    "FieldIsDerived": true,
    "IsWritableDerivedField": false,
    "IsMasked": false,
    "GrantKeyWhenReadable": "principal-process-steward|KnowledgeGaps"
   },
   {
    "FieldGrantId": "fg-process-steward-KnowledgeGaps.ToleranceDays",
    "Principal": "principal-process-steward",
    "TargetField": "KnowledgeGaps.ToleranceDays",
    "CanRead": true,
    "CanWrite": false,
    "MaskStrategy": "plain",
    "SemanticTypeIri": "urn:effortless:pko-extension#FieldGrant",
    "Name": "principal-process-steward -&gt; KnowledgeGaps.ToleranceDays",
    "FieldTable": "KnowledgeGaps",
    "FieldName": "ToleranceDays",
    "FieldIsDerived": true,
    "IsWritableDerivedField": false,
    "IsMasked": false,
    "GrantKeyWhenReadable": "principal-process-steward|KnowledgeGaps"
   },
   {
    "FieldGrantId": "fg-process-steward-KnowledgeGaps.IsOverdueGap",
    "Principal": "principal-process-steward",
    "TargetField": "KnowledgeGaps.IsOverdueGap",
    "CanRead": true,
    "CanWrite": false,
    "MaskStrategy": "plain",
    "SemanticTypeIri": "urn:effortless:pko-extension#FieldGrant",
    "Name": "principal-process-steward -&gt; KnowledgeGaps.IsOverdueGap",
    "FieldTable": "KnowledgeGaps",
    "FieldName": "IsOverdueGap",
    "FieldIsDerived": true,
    "IsWritableDerivedField": false,
    "IsMasked": false,
    "GrantKeyWhenReadable": "principal-process-steward|KnowledgeGaps"
   },
   {
    "FieldGrantId": "fg-process-steward-KnowledgeGaps.OwnerAgent",
    "Principal": "principal-process-steward",
    "TargetField": "KnowledgeGaps.OwnerAgent",
    "CanRead": true,
    "CanWrite": false,
    "MaskStrategy": "plain",
    "SemanticTypeIri": "urn:effortless:pko-extension#FieldGrant",
    "Name": "principal-process-steward -&gt; KnowledgeGaps.OwnerAgent",
    "FieldTable": "KnowledgeGaps",
    "FieldName": "OwnerAgent",
    "FieldIsDerived": true,
    "IsWritableDerivedField": false,
    "IsMasked": false,
    "GrantKeyWhenReadable": "principal-process-steward|KnowledgeGaps"
   },
   {
    "FieldGrantId": "fg-process-steward-KnowledgeGaps.OwnerIsStillEngaged",
    "Principal": "principal-process-steward",
    "TargetField": "KnowledgeGaps.OwnerIsStillEngaged",
    "CanRead": true,
    "CanWrite": false,
    "MaskStrategy": "plain",
    "SemanticTypeIri": "urn:effortless:pko-extension#FieldGrant",
    "Name": "principal-process-steward -&gt; KnowledgeGaps.OwnerIsStillEngaged",
    "FieldTable": "KnowledgeGaps",
    "FieldName": "OwnerIsStillEngaged",
    "FieldIsDerived": true,
    "IsWritableDerivedField": false,
    "IsMasked": false,
    "GrantKeyWhenReadable": "principal-process-steward|KnowledgeGaps"
   },
   {
    "FieldGrantId": "fg-process-steward-KnowledgeGaps.HasResolutionPlan",
    "Principal": "principal-process-steward",
    "TargetField": "KnowledgeGaps.HasResolutionPlan",
    "CanRead": true,
    "CanWrite": false,
    "MaskStrategy": "plain",
    "SemanticTypeIri": "urn:effortless:pko-extension#FieldGrant",
    "Name": "principal-process-steward -&gt; KnowledgeGaps.HasResolutionPlan",
    "FieldTable": "KnowledgeGaps",
    "FieldName": "HasResolutionPlan",
    "FieldIsDerived": true,
    "IsWritableDerivedField": false,
    "IsMasked": false,
    "GrantKeyWhenReadable": "principal-process-steward|KnowledgeGaps"
   },
   {
    "FieldGrantId": "fg-process-steward-KnowledgeGaps.IsAbandonedUnknown",
    "Principal": "principal-process-steward",
    "TargetField": "KnowledgeGaps.IsAbandonedUnknown",
    "CanRead": true,
    "CanWrite": false,
    "MaskStrategy": "plain",
    "SemanticTypeIri": "urn:effortless:pko-extension#FieldGrant",
    "Name": "principal-process-steward -&gt; KnowledgeGaps.IsAbandonedUnknown",
    "FieldTable": "KnowledgeGaps",
    "FieldName": "IsAbandonedUnknown",
    "FieldIsDerived": true,
    "IsWritableDerivedField": false,
    "IsMasked": false,
    "GrantKeyWhenReadable": "principal-process-steward|KnowledgeGaps"
   },
   {
    "FieldGrantId": "fg-process-steward-KnowledgeGaps.OpenBlockingGapVersionKey",
    "Principal": "principal-process-steward",
    "TargetField": "KnowledgeGaps.OpenBlockingGapVersionKey",
    "CanRead": true,
    "CanWrite": false,
    "MaskStrategy": "plain",
    "SemanticTypeIri": "urn:effortless:pko-extension#FieldGrant",
    "Name": "principal-process-steward -&gt; KnowledgeGaps.OpenBlockingGapVersionKey",
    "FieldTable": "KnowledgeGaps",
    "FieldName": "OpenBlockingGapVersionKey",
    "FieldIsDerived": true,
    "IsWritableDerivedField": false,
    "IsMasked": false,
    "GrantKeyWhenReadable": "principal-process-steward|KnowledgeGaps"
   },
   {
    "FieldGrantId": "fg-process-steward-KnowledgeGaps.OwnerRoleIsVacated",
    "Principal": "principal-process-steward",
    "TargetField": "KnowledgeGaps.OwnerRoleIsVacated",
    "CanRead": true,
    "CanWrite": false,
    "MaskStrategy": "plain",
    "SemanticTypeIri": "urn:effortless:pko-extension#FieldGrant",
    "Name": "principal-process-steward -&gt; KnowledgeGaps.OwnerRoleIsVacated",
    "FieldTable": "KnowledgeGaps",
    "FieldName": "OwnerRoleIsVacated",
    "FieldIsDerived": true,
    "IsWritableDerivedField": false,
    "IsMasked": false,
    "GrantKeyWhenReadable": "principal-process-steward|KnowledgeGaps"
   },
   {
    "FieldGrantId": "fg-process-steward-KnowledgeGaps.IsOwnerlessOpenGap",
    "Principal": "principal-process-steward",
    "TargetField": "KnowledgeGaps.IsOwnerlessOpenGap",
    "CanRead": true,
    "CanWrite": false,
    "MaskStrategy": "plain",
    "SemanticTypeIri": "urn:effortless:pko-extension#FieldGrant",
    "Name": "principal-process-steward -&gt; KnowledgeGaps.IsOwnerlessOpenGap",
    "FieldTable": "KnowledgeGaps",
    "FieldName": "IsOwnerlessOpenGap",
    "FieldIsDerived": true,
    "IsWritableDerivedField": false,
    "IsMasked": false,
    "GrantKeyWhenReadable": "principal-process-steward|KnowledgeGaps"
   },
   {
    "FieldGrantId": "fg-process-steward-KnowledgeGaps.SemanticTypeIri",
    "Principal": "principal-process-steward",
    "TargetField": "KnowledgeGaps.SemanticTypeIri",
    "CanRead": true,
    "CanWrite": false,
    "MaskStrategy": "plain",
    "SemanticTypeIri": "urn:effortless:pko-extension#FieldGrant",
    "Name": "principal-process-steward -&gt; KnowledgeGaps.SemanticTypeIri",
    "FieldTable": "KnowledgeGaps",
    "FieldName": "SemanticTypeIri",
    "FieldIsDerived": false,
    "IsWritableDerivedField": false,
    "IsMasked": false,
    "GrantKeyWhenReadable": "principal-process-steward|KnowledgeGaps"
   },
   {
    "FieldGrantId": "fg-process-steward-LearningActivities.LearningActivityId",
    "Principal": "principal-process-steward",
    "TargetField": "LearningActivities.LearningActivityId",
    "CanRead": true,
    "CanWrite": false,
    "MaskStrategy": "plain",
    "SemanticTypeIri": "urn:effortless:pko-extension#FieldGrant",
    "Name": "principal-process-steward -&gt; LearningActivities.LearningActivityId",
    "FieldTable": "LearningActivities",
    "FieldName": "LearningActivityId",
    "FieldIsDerived": false,
    "IsWritableDerivedField": false,
    "IsMasked": false,
    "GrantKeyWhenReadable": "principal-process-steward|LearningActivities"
   },
   {
    "FieldGrantId": "fg-process-steward-LearningActivities.Name",
    "Principal": "principal-process-steward",
    "TargetField": "LearningActivities.Name",
    "CanRead": true,
    "CanWrite": false,
    "MaskStrategy": "plain",
    "SemanticTypeIri": "urn:effortless:pko-extension#FieldGrant",
    "Name": "principal-process-steward -&gt; LearningActivities.Name",
    "FieldTable": "LearningActivities",
    "FieldName": "Name",
    "FieldIsDerived": true,
    "IsWritableDerivedField": false,
    "IsMasked": false,
    "GrantKeyWhenReadable": "principal-process-steward|LearningActivities"
   },
   {
    "FieldGrantId": "fg-process-steward-LearningActivities.CommunityOfPractice",
    "Principal": "principal-process-steward",
    "TargetField": "LearningActivities.CommunityOfPractice",
    "CanRead": true,
    "CanWrite": false,
    "MaskStrategy": "plain",
    "SemanticTypeIri": "urn:effortless:pko-extension#FieldGrant",
    "Name": "principal-process-steward -&gt; LearningActivities.CommunityOfPractice",
    "FieldTable": "LearningActivities",
    "FieldName": "CommunityOfPractice",
    "FieldIsDerived": false,
    "IsWritableDerivedField": false,
    "IsMasked": false,
    "GrantKeyWhenReadable": "principal-process-steward|LearningActivities"
   },
   {
    "FieldGrantId": "fg-process-steward-LearningActivities.ProcedureVersion",
    "Principal": "principal-process-steward",
    "TargetField": "LearningActivities.ProcedureVersion",
    "CanRead": true,
    "CanWrite": false,
    "MaskStrategy": "plain",
    "SemanticTypeIri": "urn:effortless:pko-extension#FieldGrant",
    "Name": "principal-process-steward -&gt; LearningActivities.ProcedureVersion",
    "FieldTable": "LearningActivities",
    "FieldName": "ProcedureVersion",
    "FieldIsDerived": false,
    "IsWritableDerivedField": false,
    "IsMasked": false,
    "GrantKeyWhenReadable": "principal-process-steward|LearningActivities"
   },
   {
    "FieldGrantId": "fg-process-steward-LearningActivities.ActivityKind",
    "Principal": "principal-process-steward",
    "TargetField": "LearningActivities.ActivityKind",
    "CanRead": true,
    "CanWrite": false,
    "MaskStrategy": "plain",
    "SemanticTypeIri": "urn:effortless:pko-extension#FieldGrant",
    "Name": "principal-process-steward -&gt; LearningActivities.ActivityKind",
    "FieldTable": "LearningActivities",
    "FieldName": "ActivityKind",
    "FieldIsDerived": false,
    "IsWritableDerivedField": false,
    "IsMasked": false,
    "GrantKeyWhenReadable": "principal-process-steward|LearningActivities"
   },
   {
    "FieldGrantId": "fg-process-steward-LearningActivities.OccurredAt",
    "Principal": "principal-process-steward",
    "TargetField": "LearningActivities.OccurredAt",
    "CanRead": true,
    "CanWrite": false,
    "MaskStrategy": "plain",
    "SemanticTypeIri": "urn:effortless:pko-extension#FieldGrant",
    "Name": "principal-process-steward -&gt; LearningActivities.OccurredAt",
    "FieldTable": "LearningActivities",
    "FieldName": "OccurredAt",
    "FieldIsDerived": false,
    "IsWritableDerivedField": false,
    "IsMasked": false,
    "GrantKeyWhenReadable": "principal-process-steward|LearningActivities"
   },
   {
    "FieldGrantId": "fg-process-steward-LearningActivities.FacilitatorAgent",
    "Principal": "principal-process-steward",
    "TargetField": "LearningActivities.FacilitatorAgent",
    "CanRead": true,
    "CanWrite": false,
    "MaskStrategy": "plain",
    "SemanticTypeIri": "urn:effortless:pko-extension#FieldGrant",
    "Name": "principal-process-steward -&gt; LearningActivities.FacilitatorAgent",
    "FieldTable": "LearningActivities",
    "FieldName": "FacilitatorAgent",
    "FieldIsDerived": false,
    "IsWritableDerivedField": false,
    "IsMasked": false,
    "GrantKeyWhenReadable": "principal-process-steward|LearningActivities"
   },
   {
    "FieldGrantId": "fg-process-steward-LearningActivities.Outcome",
    "Principal": "principal-process-steward",
    "TargetField": "LearningActivities.Outcome",
    "CanRead": true,
    "CanWrite": false,
    "MaskStrategy": "plain",
    "SemanticTypeIri": "urn:effortless:pko-extension#FieldGrant",
    "Name": "principal-process-steward -&gt; LearningActivities.Outcome",
    "FieldTable": "LearningActivities",
    "FieldName": "Outcome",
    "FieldIsDerived": false,
    "IsWritableDerivedField": false,
    "IsMasked": false,
    "GrantKeyWhenReadable": "principal-process-steward|LearningActivities"
   },
   {
    "FieldGrantId": "fg-process-steward-LearningActivities.EvidenceResource",
    "Principal": "principal-process-steward",
    "TargetField": "LearningActivities.EvidenceResource",
    "CanRead": true,
    "CanWrite": false,
    "MaskStrategy": "plain",
    "SemanticTypeIri": "urn:effortless:pko-extension#FieldGrant",
    "Name": "principal-process-steward -&gt; LearningActivities.EvidenceResource",
    "FieldTable": "LearningActivities",
    "FieldName": "EvidenceResource",
    "FieldIsDerived": false,
    "IsWritableDerivedField": false,
    "IsMasked": false,
    "GrantKeyWhenReadable": "principa</t>
  </si>
  <si>
    <t xml:space="preserve">l-process-steward|LearningActivities"
   },
   {
    "FieldGrantId": "fg-process-steward-LearningActivities.SemanticTypeIri",
    "Principal": "principal-process-steward",
    "TargetField": "LearningActivities.SemanticTypeIri",
    "CanRead": true,
    "CanWrite": false,
    "MaskStrategy": "plain",
    "SemanticTypeIri": "urn:effortless:pko-extension#FieldGrant",
    "Name": "principal-process-steward -&gt; LearningActivities.SemanticTypeIri",
    "FieldTable": "LearningActivities",
    "FieldName": "SemanticTypeIri",
    "FieldIsDerived": false,
    "IsWritableDerivedField": false,
    "IsMasked": false,
    "GrantKeyWhenReadable": "principal-process-steward|LearningActivities"
   },
   {
    "FieldGrantId": "fg-process-steward-Mentorships.MentorshipId",
    "Principal": "principal-process-steward",
    "TargetField": "Mentorships.MentorshipId",
    "CanRead": true,
    "CanWrite": false,
    "MaskStrategy": "plain",
    "SemanticTypeIri": "urn:effortless:pko-extension#FieldGrant",
    "Name": "principal-process-steward -&gt; Mentorships.MentorshipId",
    "FieldTable": "Mentorships",
    "FieldName": "MentorshipId",
    "FieldIsDerived": false,
    "IsWritableDerivedField": false,
    "IsMasked": false,
    "GrantKeyWhenReadable": "principal-process-steward|Mentorships"
   },
   {
    "FieldGrantId": "fg-process-steward-Mentorships.Name",
    "Principal": "principal-process-steward",
    "TargetField": "Mentorships.Name",
    "CanRead": true,
    "CanWrite": false,
    "MaskStrategy": "plain",
    "SemanticTypeIri": "urn:effortless:pko-extension#FieldGrant",
    "Name": "principal-process-steward -&gt; Mentorships.Name",
    "FieldTable": "Mentorships",
    "FieldName": "Name",
    "FieldIsDerived": true,
    "IsWritableDerivedField": false,
    "IsMasked": false,
    "GrantKeyWhenReadable": "principal-process-steward|Mentorships"
   },
   {
    "FieldGrantId": "fg-process-steward-Mentorships.CommunityOfPractice",
    "Principal": "principal-process-steward",
    "TargetField": "Mentorships.CommunityOfPractice",
    "CanRead": true,
    "CanWrite": false,
    "MaskStrategy": "plain",
    "SemanticTypeIri": "urn:effortless:pko-extension#FieldGrant",
    "Name": "principal-process-steward -&gt; Mentorships.CommunityOfPractice",
    "FieldTable": "Mentorships",
    "FieldName": "CommunityOfPractice",
    "FieldIsDerived": false,
    "IsWritableDerivedField": false,
    "IsMasked": false,
    "GrantKeyWhenReadable": "principal-process-steward|Mentorships"
   },
   {
    "FieldGrantId": "fg-process-steward-Mentorships.MentorAgent",
    "Principal": "principal-process-steward",
    "TargetField": "Mentorships.MentorAgent",
    "CanRead": true,
    "CanWrite": false,
    "MaskStrategy": "plain",
    "SemanticTypeIri": "urn:effortless:pko-extension#FieldGrant",
    "Name": "principal-process-steward -&gt; Mentorships.MentorAgent",
    "FieldTable": "Mentorships",
    "FieldName": "MentorAgent",
    "FieldIsDerived": false,
    "IsWritableDerivedField": false,
    "IsMasked": false,
    "GrantKeyWhenReadable": "principal-process-steward|Mentorships"
   },
   {
    "FieldGrantId": "fg-process-steward-Mentorships.LearnerAgent",
    "Principal": "principal-process-steward",
    "TargetField": "Mentorships.LearnerAgent",
    "CanRead": true,
    "CanWrite": false,
    "MaskStrategy": "plain",
    "SemanticTypeIri": "urn:effortless:pko-extension#FieldGrant",
    "Name": "principal-process-steward -&gt; Mentorships.LearnerAgent",
    "FieldTable": "Mentorships",
    "FieldName": "LearnerAgent",
    "FieldIsDerived": false,
    "IsWritableDerivedField": false,
    "IsMasked": false,
    "GrantKeyWhenReadable": "principal-process-steward|Mentorships"
   },
   {
    "FieldGrantId": "fg-process-steward-Mentorships.ValidFrom",
    "Principal": "principal-process-steward",
    "TargetField": "Mentorships.ValidFrom",
    "CanRead": true,
    "CanWrite": false,
    "MaskStrategy": "plain",
    "SemanticTypeIri": "urn:effortless:pko-extension#FieldGrant",
    "Name": "principal-process-steward -&gt; Mentorships.ValidFrom",
    "FieldTable": "Mentorships",
    "FieldName": "ValidFrom",
    "FieldIsDerived": false,
    "IsWritableDerivedField": false,
    "IsMasked": false,
    "GrantKeyWhenReadable": "principal-process-steward|Mentorships"
   },
   {
    "FieldGrantId": "fg-process-steward-Mentorships.ValidTo",
    "Principal": "principal-process-steward",
    "TargetField": "Mentorships.ValidTo",
    "CanRead": true,
    "CanWrite": false,
    "MaskStrategy": "plain",
    "SemanticTypeIri": "urn:effortless:pko-extension#FieldGrant",
    "Name": "principal-process-steward -&gt; Mentorships.ValidTo",
    "FieldTable": "Mentorships",
    "FieldName": "ValidTo",
    "FieldIsDerived": false,
    "IsWritableDerivedField": false,
    "IsMasked": false,
    "GrantKeyWhenReadable": "principal-process-steward|Mentorships"
   },
   {
    "FieldGrantId": "fg-process-steward-Mentorships.LearningObjective",
    "Principal": "principal-process-steward",
    "TargetField": "Mentorships.LearningObjective",
    "CanRead": true,
    "CanWrite": false,
    "MaskStrategy": "plain",
    "SemanticTypeIri": "urn:effortless:pko-extension#FieldGrant",
    "Name": "principal-process-steward -&gt; Mentorships.LearningObjective",
    "FieldTable": "Mentorships",
    "FieldName": "LearningObjective",
    "FieldIsDerived": false,
    "IsWritableDerivedField": false,
    "IsMasked": false,
    "GrantKeyWhenReadable": "principal-process-steward|Mentorships"
   },
   {
    "FieldGrantId": "fg-process-steward-Mentorships.EvidenceOfCompletion",
    "Principal": "principal-process-steward",
    "TargetField": "Mentorships.EvidenceOfCompletion",
    "CanRead": true,
    "CanWrite": false,
    "MaskStrategy": "plain",
    "SemanticTypeIri": "urn:effortless:pko-extension#FieldGrant",
    "Name": "principal-process-steward -&gt; Mentorships.EvidenceOfCompletion",
    "FieldTable": "Mentorships",
    "FieldName": "EvidenceOfCompletion",
    "FieldIsDerived": false,
    "IsWritableDerivedField": false,
    "IsMasked": false,
    "GrantKeyWhenReadable": "principal-process-steward|Mentorships"
   },
   {
    "FieldGrantId": "fg-process-steward-Mentorships.SemanticTypeIri",
    "Principal": "principal-process-steward",
    "TargetField": "Mentorships.SemanticTypeIri",
    "CanRead": true,
    "CanWrite": false,
    "MaskStrategy": "plain",
    "SemanticTypeIri": "urn:effortless:pko-extension#FieldGrant",
    "Name": "principal-process-steward -&gt; Mentorships.SemanticTypeIri",
    "FieldTable": "Mentorships",
    "FieldName": "SemanticTypeIri",
    "FieldIsDerived": false,
    "IsWritableDerivedField": false,
    "IsMasked": false,
    "GrantKeyWhenReadable": "principal-process-steward|Mentorships"
   },
   {
    "FieldGrantId": "fg-process-steward-MessageDeliveries.MessageDeliveryId",
    "Principal": "principal-process-steward",
    "TargetField": "MessageDeliveries.MessageDeliveryId",
    "CanRead": true,
    "CanWrite": false,
    "MaskStrategy": "plain",
    "SemanticTypeIri": "urn:effortless:pko-extension#FieldGrant",
    "Name": "principal-process-steward -&gt; MessageDeliveries.MessageDeliveryId",
    "FieldTable": "MessageDeliveries",
    "FieldName": "MessageDeliveryId",
    "FieldIsDerived": false,
    "IsWritableDerivedField": false,
    "IsMasked": false,
    "GrantKeyWhenReadable": "principal-process-steward|MessageDeliveries"
   },
   {
    "FieldGrantId": "fg-process-steward-MessageDeliveries.Name",
    "Principal": "principal-process-steward",
    "TargetField": "MessageDeliveries.Name",
    "CanRead": true,
    "CanWrite": false,
    "MaskStrategy": "plain",
    "SemanticTypeIri": "urn:effortless:pko-extension#FieldGrant",
    "Name": "principal-process-steward -&gt; MessageDeliveries.Name",
    "FieldTable": "MessageDeliveries",
    "FieldName": "Name",
    "FieldIsDerived": true,
    "IsWritableDerivedField": false,
    "IsMasked": false,
    "GrantKeyWhenReadable": "principal-process-steward|MessageDeliveries"
   },
   {
    "FieldGrantId": "fg-process-steward-MessageDeliveries.ProcedureExecution",
    "Principal": "principal-process-steward",
    "TargetField": "MessageDeliveries.ProcedureExecution",
    "CanRead": true,
    "CanWrite": false,
    "MaskStrategy": "plain",
    "SemanticTypeIri": "urn:effortless:pko-extension#FieldGrant",
    "Name": "principal-process-steward -&gt; MessageDeliveries.ProcedureExecution",
    "FieldTable": "MessageDeliveries",
    "FieldName": "ProcedureExecution",
    "FieldIsDerived": false,
    "IsWritableDerivedField": false,
    "IsMasked": false,
    "GrantKeyWhenReadable": "principal-process-steward|MessageDeliveries"
   },
   {
    "FieldGrantId": "fg-process-steward-MessageDeliveries.StepExecution",
    "Principal": "principal-process-steward",
    "TargetField": "MessageDeliveries.StepExecution",
    "CanRead": true,
    "CanWrite": false,
    "MaskStrategy": "plain",
    "SemanticTypeIri": "urn:effortless:pko-extension#FieldGrant",
    "Name": "principal-process-steward -&gt; MessageDeliveries.StepExecution",
    "FieldTable": "MessageDeliveries",
    "FieldName": "StepExecution",
    "FieldIsDerived": false,
    "IsWritableDerivedField": false,
    "IsMasked": false,
    "GrantKeyWhenReadable": "principal-process-steward|MessageDeliveries"
   },
   {
    "FieldGrantId": "fg-process-steward-MessageDeliveries.Recipient",
    "Principal": "principal-process-steward",
    "TargetField": "MessageDeliveries.Recipient",
    "CanRead": true,
    "CanWrite": false,
    "MaskStrategy": "plain",
    "SemanticTypeIri": "urn:effortless:pko-extension#FieldGrant",
    "Name": "principal-process-steward -&gt; MessageDeliveries.Recipient",
    "FieldTable": "MessageDeliveries",
    "FieldName": "Recipient",
    "FieldIsDerived": false,
    "IsWritableDerivedField": false,
    "IsMasked": false,
    "GrantKeyWhenReadable": "principal-process-steward|MessageDeliveries"
   },
   {
    "FieldGrantId": "fg-process-steward-MessageDeliveries.MessageTemplate",
    "Principal": "principal-process-steward",
    "TargetField": "MessageDeliveries.MessageTemplate",
    "CanRead": true,
    "CanWrite": false,
    "MaskStrategy": "plain",
    "SemanticTypeIri": "urn:effortless:pko-extension#FieldGrant",
    "Name": "principal-process-steward -&gt; MessageDeliveries.MessageTemplate",
    "FieldTable": "MessageDeliveries",
    "FieldName": "MessageTemplate",
    "FieldIsDerived": false,
    "IsWritableDerivedField": false,
    "IsMasked": false,
    "GrantKeyWhenReadable": "principal-process-steward|MessageDeliveries"
   },
   {
    "FieldGrantId": "fg-process-steward-MessageDeliveries.SentByAgent",
    "Principal": "principal-process-steward",
    "TargetField": "MessageDeliveries.SentByAgent",
    "CanRead": true,
    "CanWrite": false,
    "MaskStrategy": "plain",
    "SemanticTypeIri": "urn:effortless:pko-extension#FieldGrant",
    "Name": "principal-process-steward -&gt; MessageDeliveries.SentByAgent",
    "FieldTable": "MessageDeliveries",
    "FieldName": "SentByAgent",
    "FieldIsDerived": false,
    "IsWritableDerivedField": false,
    "IsMasked": false,
    "GrantKeyWhenReadable": "principal-process-steward|MessageDeliveries"
   },
   {
    "FieldGrantId": "fg-process-steward-MessageDeliveries.RenderedBody",
    "Principal": "principal-process-steward",
    "TargetField": "MessageDeliveries.RenderedBody",
    "CanRead": true,
    "CanWrite": false,
    "MaskStrategy": "plain",
    "SemanticTypeIri": "urn:effortless:pko-extension#FieldGrant",
    "Name": "principal-process-steward -&gt; MessageDeliveries.RenderedBody",
    "FieldTable": "MessageDeliveries",
    "FieldName": "RenderedBody",
    "FieldIsDerived": false,
    "IsWritableDerivedField": false,
    "IsMasked": false,
    "GrantKeyWhenReadable": "principal-process-steward|MessageDeliveries"
   },
   {
    "FieldGrantId": "fg-process-steward-MessageDeliveries.SentAt",
    "Principal": "principal-process-steward",
    "TargetField": "MessageDeliveries.SentAt",
    "CanRead": true,
    "CanWrite": false,
    "MaskStrategy": "plain",
    "SemanticTypeIri": "urn:effortless:pko-extension#FieldGrant",
    "Name": "principal-process-steward -&gt; MessageDeliveries.SentAt",
    "FieldTable": "MessageDeliveries",
    "FieldName": "SentAt",
    "FieldIsDerived": false,
    "IsWritableDerivedField": false,
    "IsMasked": false,
    "GrantKeyWhenReadable": "principal-process-steward|MessageDeliveries"
   },
   {
    "FieldGrantId": "fg-process-steward-MessageDeliveries.SentAtLocalHour",
    "Principal": "principal-process-steward",
    "TargetField": "MessageDeliveries.SentAtLocalHour",
    "CanRead": true,
    "CanWrite": false,
    "MaskStrategy": "plain",
    "SemanticTypeIri": "urn:effortless:pko-extension#FieldGrant",
    "Name": "principal-process-steward -&gt; MessageDeliveries.SentAtLocalHour",
    "FieldTable": "MessageDeliveries",
    "FieldName": "SentAtLocalHour",
    "FieldIsDerived": false,
    "IsWritableDerivedField": false,
    "IsMasked": false,
    "GrantKeyWhenReadable": "principal-process-steward|MessageDeliveries"
   },
   {
    "FieldGrantId": "fg-process-steward-MessageDeliveries.DeliveryStatus",
    "Principal": "principal-process-steward",
    "TargetField": "MessageDeliveries.DeliveryStatus",
    "CanRead": true,
    "CanWrite": false,
    "MaskStrategy": "plain",
    "SemanticTypeIri": "urn:effortless:pko-extension#FieldGrant",
    "Name": "principal-process-steward -&gt; MessageDeliveries.DeliveryStatus",
    "FieldTable": "MessageDeliveries",
    "FieldName": "DeliveryStatus",
    "FieldIsDerived": false,
    "IsWritableDerivedField": false,
    "IsMasked": false,
    "GrantKeyWhenReadable": "principal-process-steward|MessageDeliveries"
   },
   {
    "FieldGrantId": "fg-process-steward-MessageDeliveries.SuppressionReason",
    "Principal": "principal-process-steward",
    "TargetField": "MessageDeliveries.SuppressionReason",
    "CanRead": true,
    "CanWrite": false,
    "MaskStrategy": "plain",
    "SemanticTypeIri": "urn:effortless:pko-extension#FieldGrant",
    "Name": "principal-process-steward -&gt; MessageDeliveries.SuppressionReason",
    "FieldTable": "MessageDeliveries",
    "FieldName": "SuppressionReason",
    "FieldIsDerived": false,
    "IsWritableDerivedField": false,
    "IsMasked": false,
    "GrantKeyWhenReadable": "principal-process-steward|MessageDeliveries"
   },
   {
    "FieldGrantId": "fg-process-steward-MessageDeliveries.InvokedException",
    "Principal": "principal-process-steward",
    "TargetField": "MessageDeliveries.InvokedException",
    "CanRead": true,
    "CanWrite": false,
    "MaskStrategy": "plain",
    "SemanticTypeIri": "urn:effortless:pko-extension#FieldGrant",
    "Name": "principal-process-steward -&gt; MessageDeliveries.InvokedException",
    "FieldTable": "MessageDeliveries",
    "FieldName": "InvokedException",
    "FieldIsDerived": false,
    "IsWritableDerivedField": false,
    "IsMasked": false,
    "GrantKeyWhenReadable": "principal-process-steward|MessageDeliveries"
   },
   {
    "FieldGrantId": "fg-process-steward-MessageDeliveries.AcknowledgedAt",
    "Principal": "principal-process-steward",
    "TargetField": "MessageDeliveries.AcknowledgedAt",
    "CanRead": true,
    "CanWrite": false,
    "MaskStrategy": "plain",
    "SemanticTypeIri": "urn:effortless:pko-extension#FieldGrant",
    "Name": "principal-process-steward -&gt; MessageDeliveries.AcknowledgedAt",
    "FieldTable": "MessageDeliveries",
    "FieldName": "AcknowledgedAt",
    "FieldIsDerived": false,
    "IsWritableDerivedField": false,
    "IsMasked": false,
    "GrantKeyWhenReadable": "principal-process-steward|MessageDeliveries"
   },
   {
    "FieldGrantId": "fg-process-steward-MessageDeliveries.PolicyChannel",
    "Principal": "principal-process-steward",
    "TargetField": "MessageDeliveries.PolicyChannel",
    "CanRead": true,
    "CanWrite": false,
    "MaskStrategy": "plain",
    "SemanticTypeIri": "urn:effortless:pko-extension#FieldGrant",
    "Name": "principal-process-steward -&gt; MessageDeliveries.PolicyChannel",
    "FieldTable": "MessageDeliveries",
    "FieldName": "PolicyChannel",
    "FieldIsDerived": true,
    "IsWritableDerivedField": false,
    "IsMasked": false,
    "GrantKeyWhenReadable": "principal-process-steward|MessageDeliveries"
   },
   {
    "FieldGrantId": "fg-process-steward-MessageDeliveries.ChannelName",
    "Principal": "principal-process-steward",
    "TargetField": "MessageDeliveries.ChannelName",
    "CanRead": true,
    "CanWrite": false,
    "MaskStrategy": "plain",
    "SemanticTypeIri": "urn:effortless:pko-extension#FieldGrant",
    "Name": "principal-process-steward -&gt; MessageDeliveries.ChannelName",
    "FieldTable": "MessageDeliveries",
    "FieldName": "ChannelName",
    "FieldIsDerived": true,
    "IsWritableDerivedField": false,
    "IsMasked": false,
    "GrantKeyWhenReadable": "principal-process-steward|MessageDeliveries"
   },
   {
    "FieldGrantId": "fg-process-steward-MessageDeliveries.PolicyRequiresConsent",
    "Principal": "principal-process-steward",
    "TargetField": "MessageDeliveries.PolicyRequiresConsent",
    "CanRead": true,
    "CanWrite": false,
    "MaskStrategy": "plain",
    "SemanticTypeIri": "urn:effortless:pko-extension#FieldGrant",
    "Name": "principal-process-steward -&gt; MessageDeliveries.PolicyRequiresConsent",
    "FieldTable": "MessageDeliveries",
    "FieldName": "PolicyRequiresConsent",
    "FieldIsDerived": true,
    "IsWritableDerivedField": false,
    "IsMasked": false,
    "GrantKeyWhenReadable": "principal-process-steward|MessageDeliveries"
   },
   {
    "FieldGrantId": "fg-process-steward-MessageDeliveries.RecipientHasSmsConsent",
    "Principal": "principal-process-steward",
    "TargetField": "MessageDeliveries.RecipientHasSmsConsent",
    "CanRead": true,
    "CanWrite": false,
    "MaskStrategy": "plain",
    "SemanticTypeIri": "urn:effortless:pko-extension#FieldGrant",
    "Name": "principal-process-steward -&gt; MessageDeliveries.RecipientHasSmsConsent",
    "FieldTable": "MessageDeliveries",
    "FieldName": "RecipientHasSmsConsent",
    "FieldIsDerived": true,
    "IsWritableDerivedField": false,
    "IsMasked": false,
    "GrantKeyWhenReadable": "principal-process-steward|MessageDeliveries"
   },
   {
    "FieldGrantId": "fg-process-steward-MessageDeliveries.WasActuallyTransmitted",
    "Principal": "principal-process-steward",
    "TargetField": "MessageDeliveries.WasActuallyTransmitted",
    "CanRead": true,
    "CanWrite": false,
    "MaskStrategy": "plain",
    "SemanticTypeIri": "urn:effortless:pko-extension#FieldGrant",
    "Name": "principal-process-steward -&gt; MessageDeliveries.WasActuallyTransmitted",
    "FieldTable": "MessageDeliveries",
    "FieldName": "WasActuallyTransmitted",
    "FieldIsDerived": true,
    "IsWritableDerivedField": false,
    "IsMasked": false,
    "GrantKeyWhenReadable": "principal-process-steward|MessageDeliveries"
   },
   {
    "FieldGrantId": "fg-process-steward-MessageDeliveries.IsConsentViolation",
    "Principal": "principal-process-steward",
    "TargetField": "MessageDeliveries.IsConsentViolation",
    "CanRead": true,
    "CanWrite": false,
    "MaskStrategy": "plain",
    "SemanticTypeIri": "urn:effortless:pko-extension#FieldGrant",
    "Name": "principal-process-steward -&gt; MessageDeliveries.IsConsentViolation",
    "FieldTable": "MessageDeliveries",
    "FieldName": "IsConsentViolation",
    "FieldIsDerived": true,
    "IsWritableDerivedField": false,
    "IsMasked": false,
    "GrantKeyWhenReadable": "principal-process-steward|MessageDeliveries"
   },
   {
    "FieldGrantId": "fg-process-steward-MessageDeliveries.ConsentViolationPolicyKey",
    "Principal": "principal-process-steward",
    "TargetField": "MessageDeliveries.ConsentViolationPolicyKey",
    "CanRead": true,
    "CanWrite": false,
    "MaskStrategy": "plain",
    "SemanticTypeIri": "urn:effortless:pko-extension#FieldGrant",
    "Name": "principal-process-steward -&gt; MessageDeliveries.ConsentViolationPolicyKey",
    "FieldTable": "MessageDeliveries",
    "FieldName": "ConsentViolationPolicyKey",
    "FieldIsDerived": true,
    "IsWritableDerivedField": false,
    "IsMasked": false,
    "GrantKeyWhenReadable": "principal-process-steward|MessageDeliveries"
   },
   {
    "FieldGrantId": "fg-process-steward-MessageDeliveries.PolicyQuietHoursStartHour",
    "Principal": "principal-process-steward",
    "TargetField": "MessageDeliveries.PolicyQuietHoursStartHour",
    "CanRead": true,
    "CanWrite": false,
    "MaskStrategy": "plain",
    "SemanticTypeIri": "urn:effortless:pko-extension#FieldGrant",
    "Name": "principal-process-steward -&gt; MessageDeliveries.PolicyQuietHoursStartHour",
    "FieldTable": "MessageDeliveries",
    "FieldName": "PolicyQuietHoursStartHour",
    "FieldIsDerived": true,
    "IsWritableDerivedField": false,
    "IsMasked": false,
    "GrantKeyWhenReadable": "principal-process-steward|MessageDeliveries"
   },
   {
    "FieldGrantId": "fg-process-steward-MessageDeliveries.PolicyQuietHoursEndHour",
    "Principal": "principal-process-steward",
    "TargetField": "MessageDeliveries.PolicyQuietHoursEndHour",
    "CanRead": true,
    "CanWrite": false,
    "MaskStrategy": "plain",
    "SemanticTypeIri": "urn:effortless:pko-extension#FieldGrant",
    "Name": "principal-process-steward -&gt; MessageDeliveries.PolicyQuietHoursEndHour",
    "FieldTable": "MessageDeliveries",
    "FieldName": "PolicyQuietHoursEndHour",
    "FieldIsDerived": true,
    "IsWritableDerivedField": false,
    "IsMasked": false,
    "GrantKeyWhenReadable": "principal-process-steward|MessageDeliveries"
   },
   {
    "FieldGrantId": "fg-process-steward-MessageDeliveries.PolicyHasQuietHours",
    "Principal": "principal-process-steward",
    "TargetField": "MessageDeliveries.PolicyHasQuietHours",
    "CanRead": true,
    "CanWrite": false,
    "MaskStrategy": "plain",
    "SemanticTypeIri": "urn:effortless:pko-extension#FieldGrant",
    "Name": "principal-process-steward -&gt; MessageDeliveries.PolicyHasQuietHours",
    "FieldTable": "MessageDeliveries",
    "FieldName": "PolicyHasQuietHours",
    "FieldIsDerived": true,
    "IsWritableDerivedField": false,
    "IsMasked": false,
    "GrantKeyWhenReadable": "principal-process-steward|MessageDeliveries"
   },
   {
    "FieldGrantId": "fg-process-steward-MessageDeliveries.QuietWindowWrapsMidnight",
    "Principal": "principal-process-steward",
    "TargetField": "MessageDeliveries.QuietWindowWrapsMidnight",
    "CanRead": true,
    "CanWrite": false,
    "MaskStrategy": "plain",
    "SemanticTypeIri": "urn:effortless:pko-extension#FieldGrant",
    "Name": "principal-process-steward -&gt; MessageDeliveries.QuietWindowWrapsMidnight",
    "FieldTable": "MessageDeliveries",
    "FieldName": "QuietWindowWrapsMidnight",
    "FieldIsDerived": true,
    "IsWritableDerivedField": false,
    "IsMasked": false,
    "GrantKeyWhenReadable": "principal-process-steward|MessageDeliveries"
   },
   {
    "FieldGrantId": "fg-process-steward-MessageDeliveries.IsInsideQuietWindow",
    "Principal": "principal-process-steward",
    "TargetField": "MessageDeliveries.IsInsideQuietWindow",
    "CanRead": true,
    "CanWrite": false,
    "MaskStrategy": "plain",
    "SemanticTypeIri": "urn:effortless:pko-extension#FieldGrant",
    "Name": "principal-process-steward -&gt; MessageDeliveries.IsInsideQuietWindow",
    "FieldTable": "MessageDeliveries",
    "FieldName": "IsInsideQuietWindow",
    "FieldIsDerived": true,
    "IsWritableDerivedField": false,
    "IsMasked": false,
    "GrantKeyWhenReadable": "principal-process-steward|MessageDeliveries"
   },
   {
    "FieldGrantId": "fg-process-steward-MessageDeliveries.IsQuietHoursViolation",
    "Principal": "principal-process-steward",
    "TargetField": "MessageDeliveries.IsQuietHoursViolation",
    "CanRead": true,
    "CanWrite": false,
    "MaskStrategy": "plain",
    "SemanticTypeIri": "urn:effortless:pko-extension#FieldGrant",
    "Name": "principal-process-steward -&gt; MessageDeliveries.IsQuietHoursViolation",
    "FieldTable": "MessageDeliveries",
    "FieldName": "IsQuietHoursViolation",
    "FieldIsDerived": true,
    "IsWritableDerivedField": false,
    "IsMasked": false,
    "GrantKeyWhenReadable": "principal-process-steward|MessageDeliveries"
   },
   {
    "FieldGrantId": "fg-process-steward-MessageDeliveries.QuietHoursViolationPolicyKey",
    "Principal": "principal-process-steward",
    "TargetField": "MessageDeliveries.QuietHoursViolationPolicyKey",
    "CanRead": true,
    "CanWrite": false,
    "MaskStrategy": "plain",
    "SemanticTypeIri": "urn:effortless:pko-extension#FieldGrant",
    "Name": "principal-process-steward -&gt; MessageDeliveries.QuietHoursViolationPolicyKey",
    "FieldTable": "MessageDeliveries",
    "FieldName": "QuietHoursViolationPolicyKey",
    "FieldIsDerived": true,
    "IsWritableDerivedField": false,
    "IsMasked": false,
    "GrantKeyWhenReadable": "principal-process-steward|MessageDeliveries"
   },
   {
    "FieldGrantId": "fg-process-steward-MessageDeliveries.RecipientIsUnreachable",
    "Principal": "principal-process-steward",
    "TargetField": "MessageDeliveries.RecipientIsUnreachable",
    "CanRead": true,
    "CanWrite": false,
    "MaskStrategy": "plain",
    "SemanticTypeIri": "urn:effortless:pko-extension#FieldGrant",
    "Name": "principal-process-steward -&gt; MessageDeliveries.RecipientIsUnreachable",
    "FieldTable": "MessageDeliveries",
    "FieldName": "RecipientIsUnreachable",
    "FieldIsDerived": true,
    "IsWritableDerivedField": false,
    "IsMasked": false,
    "GrantKeyWhenReadable": "principal-process-steward|MessageDeliveries"
   },
   {
    "FieldGrantId": "fg-process-steward-MessageDeliveries.IsAcknowledged",
    "Principal": "principal-process-steward",
    "TargetField": "MessageDeliveries.IsAcknowledged",
    "CanRead": true,
    "CanWrite": false,
    "MaskStrategy": "plain",
    "SemanticTypeIri": "urn:effortless:pko-extension#FieldGrant",
    "Name": "principal-process-steward -&gt; MessageDeliveries.IsAcknowledged",
    "FieldTable": "MessageDeliveries",
    "FieldName": "IsAcknowledged",
    "FieldIsDerived": true,
    "IsWritableDerivedField": false,
    "IsMasked": false,
    "GrantKeyWhenReadable": "principal-process-steward|MessageDeliveries"
   },
   {
    "FieldGrantId": "fg-process-steward-MessageDeliveries.InvokedExceptionCondition",
    "Principal": "principal-process-steward",
    "TargetField": "MessageDeliveries.InvokedExceptionCondition",
    "CanRead": true,
    "CanWrite": false,
    "MaskStrategy": "plain",
    "SemanticTypeIri": "urn:effortless:pko-extension#FieldGrant",
    "Name": "principal-process-steward -&gt; MessageDeliveries.InvokedExceptionCondition",
    "FieldTable": "MessageDeliveries",
    "FieldName": "InvokedExceptionCondition",
    "FieldIsDerived": true,
    "IsWritableDerivedField": false,
    "IsMasked": false,
    "GrantKeyWhenReadable": "principal-process-steward|MessageDeliveries"
   },
   {
    "FieldGrantId": "fg-process-steward-MessageDeliveries.HasUnreachableExceptionInvoked",
    "Principal": "principal-process-steward",
    "TargetField": "MessageDeliveries.HasUnreachableExceptionInvoked",
    "CanRead": true,
    "CanWrite": false,
    "MaskStrategy": "plain",
    "SemanticTypeIri": "urn:effortless:pko-extension#FieldGrant",
    "Name": "principal-process-steward -&gt; MessageDeliveries.HasUnreachableExceptionInvoked",
    "FieldTable": "MessageDeliveries",
    "FieldName": "HasUnreachableExceptionInvoked",
    "FieldIsDerived": true,
    "IsWritableDerivedField": false,
    "IsMasked": false,
    "GrantKeyWhenReadable": "principal-process-steward|MessageDeliveries"
   },
   {
    "FieldGrantId": "fg-process-steward-MessageDeliveries.IsFabricatedAcknowledgement",
    "Principal": "principal-process-steward",
    "TargetField": "MessageDeliveries.IsFabricatedAcknowledgement",
    "CanRead": true,
    "CanWrite": false,
    "MaskStrategy": "plain",
    "SemanticTypeIri": "urn:effortless:pko-extension#FieldGrant",
    "Name": "principal-process-steward -&gt; MessageDeliveries.IsFabricatedAcknowledgement",
    "FieldTable": "MessageDeliveries",
    "FieldName": "IsFabricatedAcknowledgement",
    "FieldIsDerived": true,
    "IsWritableDerivedField": false,
    "IsMasked": false,
    "GrantKeyWhenReadable": "principal-process-steward|MessageDeliveries"
   },
   {
    "FieldGrantId": "fg-process-steward-MessageDeliveries.IsUnhandledUnreachable",
    "Principal": "principal-process-steward",
    "TargetField": "MessageDeliveries.IsUnhandledUnreachable",
    "CanRead": true,
    "CanWrite": false,
    "MaskStrategy": "plain",
    "SemanticTypeIri": "urn:effortless:pko-extension#FieldGrant",
    "Name": "principal-process-steward -&gt; MessageDeliveries.IsUnhandledUnreachable",
    "FieldTable": "MessageDeliveries",
    "FieldName": "IsUnhandledUnreachable",
    "FieldIsDerived": true,
    "IsWritableDerivedField": false,
    "IsMasked": false,
    "GrantKeyWhenReadable": "principal-process-steward|MessageDeliveries"
   },
   {
    "FieldGrantId": "fg-process-steward-MessageDeliveries.UnreachableFailureKey",
    "Principal": "principal-process-steward",
    "TargetField": "MessageDeliveries.UnreachableFailureKey",
    "CanRead": true,
    "CanWrite": false,
    "MaskStrategy": "plain",
    "SemanticTypeIri": "urn:effortless:pko-extension#FieldGrant",
    "Name": "principal-process-steward -&gt; MessageDeliveries.UnreachableFailureKey",
    "FieldTable": "MessageDeliveries",
    "FieldName": "UnreachableFailureKey",
    "FieldIsDerived": true,
    "IsWritableDerivedField": false,
    "IsMasked": false,
    "GrantKeyWhenReadable": "principal-process-steward|MessageDeliveries"
   },
   {
    "FieldGrantId": "fg-process-steward-MessageDeliveries.PolicyRetentionDays",
    "Principal": "principal-process-steward",
    "TargetField": "MessageDeliveries.PolicyRetentionDays",
    "CanRead": true,
    "CanWrite": false,
    "MaskStrategy": "plain",
    "SemanticTypeIri": "urn:effortless:pko-extension#FieldGrant",
    "Name": "principal-process-steward -&gt; MessageDeliveries.PolicyRetentionDays",
    "FieldTable": "MessageDeliveries",
    "FieldName": "PolicyRetentionDays",
    "FieldIsDerived": true,
    "IsWritableDerivedField": false,
    "IsMasked": false,
    "GrantKeyWhenReadable": "principal-process-steward|MessageDeliveries"
   },
   {
    "FieldGrantId": "fg-process-steward-MessageDeliveries.EvaluationContext",
    "Principal": "principal-process-steward",
    "TargetField": "MessageDeliveries.EvaluationContext",
    "CanRead": true,
    "CanWrite": false,
    "MaskStrategy": "plain",
    "SemanticTypeIri": "urn:effortless:pko-extension#FieldGrant",
    "Name": "principal-process-steward -&gt; MessageDeliveries.EvaluationContext",
    "FieldTable": "MessageDeliveries",
    "FieldName": "EvaluationContext",
    "FieldIsDerived": false,
    "IsWritableDerivedField": false,
    "IsMasked": false,
    "GrantKeyWhenReadable": "principal-process-steward|MessageDeliveries"
   },
   {
    "FieldGrantId": "fg-process-steward-MessageDeliveries.AsOfInstant",
    "Principal": "principal-process-steward",
    "TargetField": "MessageDeliveries.AsOfInstant",
    "CanRead": true,
    "CanWrite": false,
    "MaskStrategy": "plain",
    "SemanticTypeIri": "urn:effortless:pko-extension#FieldGrant",
    "Name": "principal-process-steward -&gt; MessageDeliveries.AsOfInstant",
    "FieldTable": "MessageDeliveries",
    "FieldName": "AsOfInstant",
    "FieldIsDerived": true,
    "IsWritableDerivedField": false,
    "IsMasked": false,
    "GrantKeyWhenReadable": "principal-process-steward|MessageDeliveries"
   },
   {
    "FieldGrantId": "fg-process-steward-MessageDeliveries.AgeDays",
    "Principal": "principal-process-steward",
    "TargetField": "MessageDeliveries.AgeDays",
    "CanRead": true,
    "CanWrite": false,
    "MaskStrategy": "plain",
    "SemanticTypeIri": "urn:effortless:pko-extension#FieldGrant",
    "Name": "principal-process-steward -&gt; MessageDeliveries.AgeDays",
    "FieldTable": "MessageDeliveries",
    "FieldName": "AgeDays",
    "FieldIsDerived": true,
    "IsWritableDerivedField": false,
    "IsMasked": false,
    "GrantKeyWhenReadable": "principal-process-steward|MessageDeliveries"
   },
   {
    "FieldGrantId": "fg-process-steward-MessageDeliveries.IsWithinRetentionWindow",
    "Principal": "principal-process-steward",
    "TargetField": "MessageDeliveries.IsWithinRetentionWindow",
    "CanRead": true,
    "CanWrite": false,
    "MaskStrategy": "plain",
    "SemanticTypeIri": "urn:effortless:pko-extension#FieldGrant",
    "Name": "principal-process-steward -&gt; MessageDeliveries.IsWithinRetentionWindow",
    "FieldTable": "MessageDeliveries",
    "FieldName": "IsWithinRetentionWindow",
    "FieldIsDerived": tru</t>
  </si>
  <si>
    <t xml:space="preserve">e,
    "IsWritableDerivedField": false,
    "IsMasked": false,
    "GrantKeyWhenReadable": "principal-process-steward|MessageDeliveries"
   },
   {
    "FieldGrantId": "fg-process-steward-MessageDeliveries.HasRenderedBody",
    "Principal": "principal-process-steward",
    "TargetField": "MessageDeliveries.HasRenderedBody",
    "CanRead": true,
    "CanWrite": false,
    "MaskStrategy": "plain",
    "SemanticTypeIri": "urn:effortless:pko-extension#FieldGrant",
    "Name": "principal-process-steward -&gt; MessageDeliveries.HasRenderedBody",
    "FieldTable": "MessageDeliveries",
    "FieldName": "HasRenderedBody",
    "FieldIsDerived": true,
    "IsWritableDerivedField": false,
    "IsMasked": false,
    "GrantKeyWhenReadable": "principal-process-steward|MessageDeliveries"
   },
   {
    "FieldGrantId": "fg-process-steward-MessageDeliveries.IsEvidenceRequired",
    "Principal": "principal-process-steward",
    "TargetField": "MessageDeliveries.IsEvidenceRequired",
    "CanRead": true,
    "CanWrite": false,
    "MaskStrategy": "plain",
    "SemanticTypeIri": "urn:effortless:pko-extension#FieldGrant",
    "Name": "principal-process-steward -&gt; MessageDeliveries.IsEvidenceRequired",
    "FieldTable": "MessageDeliveries",
    "FieldName": "IsEvidenceRequired",
    "FieldIsDerived": true,
    "IsWritableDerivedField": false,
    "IsMasked": false,
    "GrantKeyWhenReadable": "principal-process-steward|MessageDeliveries"
   },
   {
    "FieldGrantId": "fg-process-steward-MessageDeliveries.IsRetentionBreach",
    "Principal": "principal-process-steward",
    "TargetField": "MessageDeliveries.IsRetentionBreach",
    "CanRead": true,
    "CanWrite": false,
    "MaskStrategy": "plain",
    "SemanticTypeIri": "urn:effortless:pko-extension#FieldGrant",
    "Name": "principal-process-steward -&gt; MessageDeliveries.IsRetentionBreach",
    "FieldTable": "MessageDeliveries",
    "FieldName": "IsRetentionBreach",
    "FieldIsDerived": true,
    "IsWritableDerivedField": false,
    "IsMasked": false,
    "GrantKeyWhenReadable": "principal-process-steward|MessageDeliveries"
   },
   {
    "FieldGrantId": "fg-process-steward-MessageDeliveries.RetentionBreachExecutionKey",
    "Principal": "principal-process-steward",
    "TargetField": "MessageDeliveries.RetentionBreachExecutionKey",
    "CanRead": true,
    "CanWrite": false,
    "MaskStrategy": "plain",
    "SemanticTypeIri": "urn:effortless:pko-extension#FieldGrant",
    "Name": "principal-process-steward -&gt; MessageDeliveries.RetentionBreachExecutionKey",
    "FieldTable": "MessageDeliveries",
    "FieldName": "RetentionBreachExecutionKey",
    "FieldIsDerived": true,
    "IsWritableDerivedField": false,
    "IsMasked": false,
    "GrantKeyWhenReadable": "principal-process-steward|MessageDeliveries"
   },
   {
    "FieldGrantId": "fg-process-steward-MessageDeliveries.SendingStepExecutionStep",
    "Principal": "principal-process-steward",
    "TargetField": "MessageDeliveries.SendingStepExecutionStep",
    "CanRead": true,
    "CanWrite": false,
    "MaskStrategy": "plain",
    "SemanticTypeIri": "urn:effortless:pko-extension#FieldGrant",
    "Name": "principal-process-steward -&gt; MessageDeliveries.SendingStepExecutionStep",
    "FieldTable": "MessageDeliveries",
    "FieldName": "SendingStepExecutionStep",
    "FieldIsDerived": true,
    "IsWritableDerivedField": false,
    "IsMasked": false,
    "GrantKeyWhenReadable": "principal-process-steward|MessageDeliveries"
   },
   {
    "FieldGrantId": "fg-process-steward-MessageDeliveries.ExecutionHasClearedLegalReview",
    "Principal": "principal-process-steward",
    "TargetField": "MessageDeliveries.ExecutionHasClearedLegalReview",
    "CanRead": true,
    "CanWrite": false,
    "MaskStrategy": "plain",
    "SemanticTypeIri": "urn:effortless:pko-extension#FieldGrant",
    "Name": "principal-process-steward -&gt; MessageDeliveries.ExecutionHasClearedLegalReview",
    "FieldTable": "MessageDeliveries",
    "FieldName": "ExecutionHasClearedLegalReview",
    "FieldIsDerived": true,
    "IsWritableDerivedField": false,
    "IsMasked": false,
    "GrantKeyWhenReadable": "principal-process-steward|MessageDeliveries"
   },
   {
    "FieldGrantId": "fg-process-steward-MessageDeliveries.IsUnreviewedSend",
    "Principal": "principal-process-steward",
    "TargetField": "MessageDeliveries.IsUnreviewedSend",
    "CanRead": true,
    "CanWrite": false,
    "MaskStrategy": "plain",
    "SemanticTypeIri": "urn:effortless:pko-extension#FieldGrant",
    "Name": "principal-process-steward -&gt; MessageDeliveries.IsUnreviewedSend",
    "FieldTable": "MessageDeliveries",
    "FieldName": "IsUnreviewedSend",
    "FieldIsDerived": true,
    "IsWritableDerivedField": false,
    "IsMasked": false,
    "GrantKeyWhenReadable": "principal-process-steward|MessageDeliveries"
   },
   {
    "FieldGrantId": "fg-process-steward-MessageDeliveries.RenderedBodyLength",
    "Principal": "principal-process-steward",
    "TargetField": "MessageDeliveries.RenderedBodyLength",
    "CanRead": true,
    "CanWrite": false,
    "MaskStrategy": "plain",
    "SemanticTypeIri": "urn:effortless:pko-extension#FieldGrant",
    "Name": "principal-process-steward -&gt; MessageDeliveries.RenderedBodyLength",
    "FieldTable": "MessageDeliveries",
    "FieldName": "RenderedBodyLength",
    "FieldIsDerived": true,
    "IsWritableDerivedField": false,
    "IsMasked": false,
    "GrantKeyWhenReadable": "principal-process-steward|MessageDeliveries"
   },
   {
    "FieldGrantId": "fg-process-steward-MessageDeliveries.PolicyMaxMessageLengthAtSend",
    "Principal": "principal-process-steward",
    "TargetField": "MessageDeliveries.PolicyMaxMessageLengthAtSend",
    "CanRead": true,
    "CanWrite": false,
    "MaskStrategy": "plain",
    "SemanticTypeIri": "urn:effortless:pko-extension#FieldGrant",
    "Name": "principal-process-steward -&gt; MessageDeliveries.PolicyMaxMessageLengthAtSend",
    "FieldTable": "MessageDeliveries",
    "FieldName": "PolicyMaxMessageLengthAtSend",
    "FieldIsDerived": true,
    "IsWritableDerivedField": false,
    "IsMasked": false,
    "GrantKeyWhenReadable": "principal-process-steward|MessageDeliveries"
   },
   {
    "FieldGrantId": "fg-process-steward-MessageDeliveries.SegmentCount",
    "Principal": "principal-process-steward",
    "TargetField": "MessageDeliveries.SegmentCount",
    "CanRead": true,
    "CanWrite": false,
    "MaskStrategy": "plain",
    "SemanticTypeIri": "urn:effortless:pko-extension#FieldGrant",
    "Name": "principal-process-steward -&gt; MessageDeliveries.SegmentCount",
    "FieldTable": "MessageDeliveries",
    "FieldName": "SegmentCount",
    "FieldIsDerived": true,
    "IsWritableDerivedField": false,
    "IsMasked": false,
    "GrantKeyWhenReadable": "principal-process-steward|MessageDeliveries"
   },
   {
    "FieldGrantId": "fg-process-steward-MessageDeliveries.PolicyMaxSegmentsAtSend",
    "Principal": "principal-process-steward",
    "TargetField": "MessageDeliveries.PolicyMaxSegmentsAtSend",
    "CanRead": true,
    "CanWrite": false,
    "MaskStrategy": "plain",
    "SemanticTypeIri": "urn:effortless:pko-extension#FieldGrant",
    "Name": "principal-process-steward -&gt; MessageDeliveries.PolicyMaxSegmentsAtSend",
    "FieldTable": "MessageDeliveries",
    "FieldName": "PolicyMaxSegmentsAtSend",
    "FieldIsDerived": true,
    "IsWritableDerivedField": false,
    "IsMasked": false,
    "GrantKeyWhenReadable": "principal-process-steward|MessageDeliveries"
   },
   {
    "FieldGrantId": "fg-process-steward-MessageDeliveries.IsOverSegmentLimit",
    "Principal": "principal-process-steward",
    "TargetField": "MessageDeliveries.IsOverSegmentLimit",
    "CanRead": true,
    "CanWrite": false,
    "MaskStrategy": "plain",
    "SemanticTypeIri": "urn:effortless:pko-extension#FieldGrant",
    "Name": "principal-process-steward -&gt; MessageDeliveries.IsOverSegmentLimit",
    "FieldTable": "MessageDeliveries",
    "FieldName": "IsOverSegmentLimit",
    "FieldIsDerived": true,
    "IsWritableDerivedField": false,
    "IsMasked": false,
    "GrantKeyWhenReadable": "principal-process-steward|MessageDeliveries"
   },
   {
    "FieldGrantId": "fg-process-steward-MessageDeliveries.TemplateHasValidApproval",
    "Principal": "principal-process-steward",
    "TargetField": "MessageDeliveries.TemplateHasValidApproval",
    "CanRead": true,
    "CanWrite": false,
    "MaskStrategy": "plain",
    "SemanticTypeIri": "urn:effortless:pko-extension#FieldGrant",
    "Name": "principal-process-steward -&gt; MessageDeliveries.TemplateHasValidApproval",
    "FieldTable": "MessageDeliveries",
    "FieldName": "TemplateHasValidApproval",
    "FieldIsDerived": true,
    "IsWritableDerivedField": false,
    "IsMasked": false,
    "GrantKeyWhenReadable": "principal-process-steward|MessageDeliveries"
   },
   {
    "FieldGrantId": "fg-process-steward-MessageDeliveries.IsUnapprovedSend",
    "Principal": "principal-process-steward",
    "TargetField": "MessageDeliveries.IsUnapprovedSend",
    "CanRead": true,
    "CanWrite": false,
    "MaskStrategy": "plain",
    "SemanticTypeIri": "urn:effortless:pko-extension#FieldGrant",
    "Name": "principal-process-steward -&gt; MessageDeliveries.IsUnapprovedSend",
    "FieldTable": "MessageDeliveries",
    "FieldName": "IsUnapprovedSend",
    "FieldIsDerived": true,
    "IsWritableDerivedField": false,
    "IsMasked": false,
    "GrantKeyWhenReadable": "principal-process-steward|MessageDeliveries"
   },
   {
    "FieldGrantId": "fg-process-steward-MessageDeliveries.PolicyRequiredOptOutPhrase",
    "Principal": "principal-process-steward",
    "TargetField": "MessageDeliveries.PolicyRequiredOptOutPhrase",
    "CanRead": true,
    "CanWrite": false,
    "MaskStrategy": "plain",
    "SemanticTypeIri": "urn:effortless:pko-extension#FieldGrant",
    "Name": "principal-process-steward -&gt; MessageDeliveries.PolicyRequiredOptOutPhrase",
    "FieldTable": "MessageDeliveries",
    "FieldName": "PolicyRequiredOptOutPhrase",
    "FieldIsDerived": true,
    "IsWritableDerivedField": false,
    "IsMasked": false,
    "GrantKeyWhenReadable": "principal-process-steward|MessageDeliveries"
   },
   {
    "FieldGrantId": "fg-process-steward-MessageDeliveries.PolicyRequiresOptOut",
    "Principal": "principal-process-steward",
    "TargetField": "MessageDeliveries.PolicyRequiresOptOut",
    "CanRead": true,
    "CanWrite": false,
    "MaskStrategy": "plain",
    "SemanticTypeIri": "urn:effortless:pko-extension#FieldGrant",
    "Name": "principal-process-steward -&gt; MessageDeliveries.PolicyRequiresOptOut",
    "FieldTable": "MessageDeliveries",
    "FieldName": "PolicyRequiresOptOut",
    "FieldIsDerived": true,
    "IsWritableDerivedField": false,
    "IsMasked": false,
    "GrantKeyWhenReadable": "principal-process-steward|MessageDeliveries"
   },
   {
    "FieldGrantId": "fg-process-steward-MessageDeliveries.OptOutPhrasePosition",
    "Principal": "principal-process-steward",
    "TargetField": "MessageDeliveries.OptOutPhrasePosition",
    "CanRead": true,
    "CanWrite": false,
    "MaskStrategy": "plain",
    "SemanticTypeIri": "urn:effortless:pko-extension#FieldGrant",
    "Name": "principal-process-steward -&gt; MessageDeliveries.OptOutPhrasePosition",
    "FieldTable": "MessageDeliveries",
    "FieldName": "OptOutPhrasePosition",
    "FieldIsDerived": true,
    "IsWritableDerivedField": false,
    "IsMasked": false,
    "GrantKeyWhenReadable": "principal-process-steward|MessageDeliveries"
   },
   {
    "FieldGrantId": "fg-process-steward-MessageDeliveries.HasOptOutPhrase",
    "Principal": "principal-process-steward",
    "TargetField": "MessageDeliveries.HasOptOutPhrase",
    "CanRead": true,
    "CanWrite": false,
    "MaskStrategy": "plain",
    "SemanticTypeIri": "urn:effortless:pko-extension#FieldGrant",
    "Name": "principal-process-steward -&gt; MessageDeliveries.HasOptOutPhrase",
    "FieldTable": "MessageDeliveries",
    "FieldName": "HasOptOutPhrase",
    "FieldIsDerived": true,
    "IsWritableDerivedField": false,
    "IsMasked": false,
    "GrantKeyWhenReadable": "principal-process-steward|MessageDeliveries"
   },
   {
    "FieldGrantId": "fg-process-steward-MessageDeliveries.IsOptOutInFirstSegment",
    "Principal": "principal-process-steward",
    "TargetField": "MessageDeliveries.IsOptOutInFirstSegment",
    "CanRead": true,
    "CanWrite": false,
    "MaskStrategy": "plain",
    "SemanticTypeIri": "urn:effortless:pko-extension#FieldGrant",
    "Name": "principal-process-steward -&gt; MessageDeliveries.IsOptOutInFirstSegment",
    "FieldTable": "MessageDeliveries",
    "FieldName": "IsOptOutInFirstSegment",
    "FieldIsDerived": true,
    "IsWritableDerivedField": false,
    "IsMasked": false,
    "GrantKeyWhenReadable": "principal-process-steward|MessageDeliveries"
   },
   {
    "FieldGrantId": "fg-process-steward-MessageDeliveries.IsMissingRequiredOptOut",
    "Principal": "principal-process-steward",
    "TargetField": "MessageDeliveries.IsMissingRequiredOptOut",
    "CanRead": true,
    "CanWrite": false,
    "MaskStrategy": "plain",
    "SemanticTypeIri": "urn:effortless:pko-extension#FieldGrant",
    "Name": "principal-process-steward -&gt; MessageDeliveries.IsMissingRequiredOptOut",
    "FieldTable": "MessageDeliveries",
    "FieldName": "IsMissingRequiredOptOut",
    "FieldIsDerived": true,
    "IsWritableDerivedField": false,
    "IsMasked": false,
    "GrantKeyWhenReadable": "principal-process-steward|MessageDeliveries"
   },
   {
    "FieldGrantId": "fg-process-steward-MessageDeliveries.IsOptOutAtRiskOfTruncation",
    "Principal": "principal-process-steward",
    "TargetField": "MessageDeliveries.IsOptOutAtRiskOfTruncation",
    "CanRead": true,
    "CanWrite": false,
    "MaskStrategy": "plain",
    "SemanticTypeIri": "urn:effortless:pko-extension#FieldGrant",
    "Name": "principal-process-steward -&gt; MessageDeliveries.IsOptOutAtRiskOfTruncation",
    "FieldTable": "MessageDeliveries",
    "FieldName": "IsOptOutAtRiskOfTruncation",
    "FieldIsDerived": true,
    "IsWritableDerivedField": false,
    "IsMasked": false,
    "GrantKeyWhenReadable": "principal-process-steward|MessageDeliveries"
   },
   {
    "FieldGrantId": "fg-process-steward-MessageDeliveries.IsFailedDelivery",
    "Principal": "principal-process-steward",
    "TargetField": "MessageDeliveries.IsFailedDelivery",
    "CanRead": true,
    "CanWrite": false,
    "MaskStrategy": "plain",
    "SemanticTypeIri": "urn:effortless:pko-extension#FieldGrant",
    "Name": "principal-process-steward -&gt; MessageDeliveries.IsFailedDelivery",
    "FieldTable": "MessageDeliveries",
    "FieldName": "IsFailedDelivery",
    "FieldIsDerived": true,
    "IsWritableDerivedField": false,
    "IsMasked": false,
    "GrantKeyWhenReadable": "principal-process-steward|MessageDeliveries"
   },
   {
    "FieldGrantId": "fg-process-steward-MessageDeliveries.IsSuppressed",
    "Principal": "principal-process-steward",
    "TargetField": "MessageDeliveries.IsSuppressed",
    "CanRead": true,
    "CanWrite": false,
    "MaskStrategy": "plain",
    "SemanticTypeIri": "urn:effortless:pko-extension#FieldGrant",
    "Name": "principal-process-steward -&gt; MessageDeliveries.IsSuppressed",
    "FieldTable": "MessageDeliveries",
    "FieldName": "IsSuppressed",
    "FieldIsDerived": true,
    "IsWritableDerivedField": false,
    "IsMasked": false,
    "GrantKeyWhenReadable": "principal-process-steward|MessageDeliveries"
   },
   {
    "FieldGrantId": "fg-process-steward-MessageDeliveries.IsTriaged",
    "Principal": "principal-process-steward",
    "TargetField": "MessageDeliveries.IsTriaged",
    "CanRead": true,
    "CanWrite": false,
    "MaskStrategy": "plain",
    "SemanticTypeIri": "urn:effortless:pko-extension#FieldGrant",
    "Name": "principal-process-steward -&gt; MessageDeliveries.IsTriaged",
    "FieldTable": "MessageDeliveries",
    "FieldName": "IsTriaged",
    "FieldIsDerived": true,
    "IsWritableDerivedField": false,
    "IsMasked": false,
    "GrantKeyWhenReadable": "principal-process-steward|MessageDeliveries"
   },
   {
    "FieldGrantId": "fg-process-steward-MessageDeliveries.IsAbandonedFailure",
    "Principal": "principal-process-steward",
    "TargetField": "MessageDeliveries.IsAbandonedFailure",
    "CanRead": true,
    "CanWrite": false,
    "MaskStrategy": "plain",
    "SemanticTypeIri": "urn:effortless:pko-extension#FieldGrant",
    "Name": "principal-process-steward -&gt; MessageDeliveries.IsAbandonedFailure",
    "FieldTable": "MessageDeliveries",
    "FieldName": "IsAbandonedFailure",
    "FieldIsDerived": true,
    "IsWritableDerivedField": false,
    "IsMasked": false,
    "GrantKeyWhenReadable": "principal-process-steward|MessageDeliveries"
   },
   {
    "FieldGrantId": "fg-process-steward-MessageDeliveries.AbandonedFailureExecutionKey",
    "Principal": "principal-process-steward",
    "TargetField": "MessageDeliveries.AbandonedFailureExecutionKey",
    "CanRead": true,
    "CanWrite": false,
    "MaskStrategy": "plain",
    "SemanticTypeIri": "urn:effortless:pko-extension#FieldGrant",
    "Name": "principal-process-steward -&gt; MessageDeliveries.AbandonedFailureExecutionKey",
    "FieldTable": "MessageDeliveries",
    "FieldName": "AbandonedFailureExecutionKey",
    "FieldIsDerived": true,
    "IsWritableDerivedField": false,
    "IsMasked": false,
    "GrantKeyWhenReadable": "principal-process-steward|MessageDeliveries"
   },
   {
    "FieldGrantId": "fg-process-steward-MessageDeliveries.ReachedExecutionKey",
    "Principal": "principal-process-steward",
    "TargetField": "MessageDeliveries.ReachedExecutionKey",
    "CanRead": true,
    "CanWrite": false,
    "MaskStrategy": "plain",
    "SemanticTypeIri": "urn:effortless:pko-extension#FieldGrant",
    "Name": "principal-process-steward -&gt; MessageDeliveries.ReachedExecutionKey",
    "FieldTable": "MessageDeliveries",
    "FieldName": "ReachedExecutionKey",
    "FieldIsDerived": true,
    "IsWritableDerivedField": false,
    "IsMasked": false,
    "GrantKeyWhenReadable": "principal-process-steward|MessageDeliveries"
   },
   {
    "FieldGrantId": "fg-process-steward-MessageDeliveries.TemplateWasSendable",
    "Principal": "principal-process-steward",
    "TargetField": "MessageDeliveries.TemplateWasSendable",
    "CanRead": true,
    "CanWrite": false,
    "MaskStrategy": "plain",
    "SemanticTypeIri": "urn:effortless:pko-extension#FieldGrant",
    "Name": "principal-process-steward -&gt; MessageDeliveries.TemplateWasSendable",
    "FieldTable": "MessageDeliveries",
    "FieldName": "TemplateWasSendable",
    "FieldIsDerived": true,
    "IsWritableDerivedField": false,
    "IsMasked": false,
    "GrantKeyWhenReadable": "principal-process-steward|MessageDeliveries"
   },
   {
    "FieldGrantId": "fg-process-steward-MessageDeliveries.IsDriftedSend",
    "Principal": "principal-process-steward",
    "TargetField": "MessageDeliveries.IsDriftedSend",
    "CanRead": true,
    "CanWrite": false,
    "MaskStrategy": "plain",
    "SemanticTypeIri": "urn:effortless:pko-extension#FieldGrant",
    "Name": "principal-process-steward -&gt; MessageDeliveries.IsDriftedSend",
    "FieldTable": "MessageDeliveries",
    "FieldName": "IsDriftedSend",
    "FieldIsDerived": true,
    "IsWritableDerivedField": false,
    "IsMasked": false,
    "GrantKeyWhenReadable": "principal-process-steward|MessageDeliveries"
   },
   {
    "FieldGrantId": "fg-process-steward-MessageDeliveries.DriftedSendTemplateKey",
    "Principal": "principal-process-steward",
    "TargetField": "MessageDeliveries.DriftedSendTemplateKey",
    "CanRead": true,
    "CanWrite": false,
    "MaskStrategy": "plain",
    "SemanticTypeIri": "urn:effortless:pko-extension#FieldGrant",
    "Name": "principal-process-steward -&gt; MessageDeliveries.DriftedSendTemplateKey",
    "FieldTable": "MessageDeliveries",
    "FieldName": "DriftedSendTemplateKey",
    "FieldIsDerived": true,
    "IsWritableDerivedField": false,
    "IsMasked": false,
    "GrantKeyWhenReadable": "principal-process-steward|MessageDeliveries"
   },
   {
    "FieldGrantId": "fg-process-steward-MessageDeliveries.WasSentOutsideBusinessHours",
    "Principal": "principal-process-steward",
    "TargetField": "MessageDeliveries.WasSentOutsideBusinessHours",
    "CanRead": true,
    "CanWrite": false,
    "MaskStrategy": "plain",
    "SemanticTypeIri": "urn:effortless:pko-extension#FieldGrant",
    "Name": "principal-process-steward -&gt; MessageDeliveries.WasSentOutsideBusinessHours",
    "FieldTable": "MessageDeliveries",
    "FieldName": "WasSentOutsideBusinessHours",
    "FieldIsDerived": true,
    "IsWritableDerivedField": false,
    "IsMasked": false,
    "GrantKeyWhenReadable": "principal-process-steward|MessageDeliveries"
   },
   {
    "FieldGrantId": "fg-process-steward-MessageDeliveries.WasDeliveredAndUnanswered",
    "Principal": "principal-process-steward",
    "TargetField": "MessageDeliveries.WasDeliveredAndUnanswered",
    "CanRead": true,
    "CanWrite": false,
    "MaskStrategy": "plain",
    "SemanticTypeIri": "urn:effortless:pko-extension#FieldGrant",
    "Name": "principal-process-steward -&gt; MessageDeliveries.WasDeliveredAndUnanswered",
    "FieldTable": "MessageDeliveries",
    "FieldName": "WasDeliveredAndUnanswered",
    "FieldIsDerived": true,
    "IsWritableDerivedField": false,
    "IsMasked": false,
    "GrantKeyWhenReadable": "principal-process-steward|MessageDeliveries"
   },
   {
    "FieldGrantId": "fg-process-steward-MessageDeliveries.IsPoorlyTimedUnanswered",
    "Principal": "principal-process-steward",
    "TargetField": "MessageDeliveries.IsPoorlyTimedUnanswered",
    "CanRead": true,
    "CanWrite": false,
    "MaskStrategy": "plain",
    "SemanticTypeIri": "urn:effortless:pko-extension#FieldGrant",
    "Name": "principal-process-steward -&gt; MessageDeliveries.IsPoorlyTimedUnanswered",
    "FieldTable": "MessageDeliveries",
    "FieldName": "IsPoorlyTimedUnanswered",
    "FieldIsDerived": true,
    "IsWritableDerivedField": false,
    "IsMasked": false,
    "GrantKeyWhenReadable": "principal-process-steward|MessageDeliveries"
   },
   {
    "FieldGrantId": "fg-process-steward-MessageDeliveries.IsWellTimedUnanswered",
    "Principal": "principal-process-steward",
    "TargetField": "MessageDeliveries.IsWellTimedUnanswered",
    "CanRead": true,
    "CanWrite": false,
    "MaskStrategy": "plain",
    "SemanticTypeIri": "urn:effortless:pko-extension#FieldGrant",
    "Name": "principal-process-steward -&gt; MessageDeliveries.IsWellTimedUnanswered",
    "FieldTable": "MessageDeliveries",
    "FieldName": "IsWellTimedUnanswered",
    "FieldIsDerived": true,
    "IsWritableDerivedField": false,
    "IsMasked": false,
    "GrantKeyWhenReadable": "principal-process-steward|MessageDeliveries"
   },
   {
    "FieldGrantId": "fg-process-steward-MessageDeliveries.UnansweredTemplateKey",
    "Principal": "principal-process-steward",
    "TargetField": "MessageDeliveries.UnansweredTemplateKey",
    "CanRead": true,
    "CanWrite": false,
    "MaskStrategy": "plain",
    "SemanticTypeIri": "urn:effortless:pko-extension#FieldGrant",
    "Name": "principal-process-steward -&gt; MessageDeliveries.UnansweredTemplateKey",
    "FieldTable": "MessageDeliveries",
    "FieldName": "UnansweredTemplateKey",
    "FieldIsDerived": true,
    "IsWritableDerivedField": false,
    "IsMasked": false,
    "GrantKeyWhenReadable": "principal-process-steward|MessageDeliveries"
   },
   {
    "FieldGrantId": "fg-process-steward-MessageDeliveries.TransmittedTemplateKey",
    "Principal": "principal-process-steward",
    "TargetField": "MessageDeliveries.TransmittedTemplateKey",
    "CanRead": true,
    "CanWrite": false,
    "MaskStrategy": "plain",
    "SemanticTypeIri": "urn:effortless:pko-extension#FieldGrant",
    "Name": "principal-process-steward -&gt; MessageDeliveries.TransmittedTemplateKey",
    "FieldTable": "MessageDeliveries",
    "FieldName": "TransmittedTemplateKey",
    "FieldIsDerived": true,
    "IsWritableDerivedField": false,
    "IsMasked": false,
    "GrantKeyWhenReadable": "principal-process-steward|MessageDeliveries"
   },
   {
    "FieldGrantId": "fg-process-steward-MessageDeliveries.ApprovingAgentAtSend",
    "Principal": "principal-process-steward",
    "TargetField": "MessageDeliveries.ApprovingAgentAtSend",
    "CanRead": true,
    "CanWrite": false,
    "MaskStrategy": "plain",
    "SemanticTypeIri": "urn:effortless:pko-extension#FieldGrant",
    "Name": "principal-process-steward -&gt; MessageDeliveries.ApprovingAgentAtSend",
    "FieldTable": "MessageDeliveries",
    "FieldName": "ApprovingAgentAtSend",
    "FieldIsDerived": false,
    "IsWritableDerivedField": false,
    "IsMasked": false,
    "GrantKeyWhenReadable": "principal-process-steward|MessageDeliveries"
   },
   {
    "FieldGrantId": "fg-process-steward-MessageDeliveries.ApprovingRoleAtSend",
    "Principal": "principal-process-steward",
    "TargetField": "MessageDeliveries.ApprovingRoleAtSend",
    "CanRead": true,
    "CanWrite": false,
    "MaskStrategy": "plain",
    "SemanticTypeIri": "urn:effortless:pko-extension#FieldGrant",
    "Name": "principal-process-steward -&gt; MessageDeliveries.ApprovingRoleAtSend",
    "FieldTable": "MessageDeliveries",
    "FieldName": "ApprovingRoleAtSend",
    "FieldIsDerived": false,
    "IsWritableDerivedField": false,
    "IsMasked": false,
    "GrantKeyWhenReadable": "principal-process-steward|MessageDeliveries"
   },
   {
    "FieldGrantId": "fg-process-steward-MessageDeliveries.ApprovalDecidedAtSend",
    "Principal": "principal-process-steward",
    "TargetField": "MessageDeliveries.ApprovalDecidedAtSend",
    "CanRead": true,
    "CanWrite": false,
    "MaskStrategy": "plain",
    "SemanticTypeIri": "urn:effortless:pko-extension#FieldGrant",
    "Name": "principal-process-steward -&gt; MessageDeliveries.ApprovalDecidedAtSend",
    "FieldTable": "MessageDeliveries",
    "FieldName": "ApprovalDecidedAtSend",
    "FieldIsDerived": false,
    "IsWritableDerivedField": false,
    "IsMasked": false,
    "GrantKeyWhenReadable": "principal-process-steward|MessageDeliveries"
   },
   {
    "FieldGrantId": "fg-process-steward-MessageDeliveries.ApprovalPrecededSend",
    "Principal": "principal-process-steward",
    "TargetField": "MessageDeliveries.ApprovalPrecededSend",
    "CanRead": true,
    "CanWrite": false,
    "MaskStrategy": "plain",
    "SemanticTypeIri": "urn:effortless:pko-extension#FieldGrant",
    "Name": "principal-process-steward -&gt; MessageDeliveries.ApprovalPrecededSend",
    "FieldTable": "MessageDeliveries",
    "FieldName": "ApprovalPrecededSend",
    "FieldIsDerived": true,
    "IsWritableDerivedField": false,
    "IsMasked": false,
    "GrantKeyWhenReadable": "principal-process-steward|MessageDeliveries"
   },
   {
    "FieldGrantId": "fg-process-steward-MessageDeliveries.HasFrozenApprovalEvidence",
    "Principal": "principal-process-steward",
    "TargetField": "MessageDeliveries.HasFrozenApprovalEvidence",
    "CanRead": true,
    "CanWrite": false,
    "MaskStrategy": "plain",
    "SemanticTypeIri": "urn:effortless:pko-extension#FieldGrant",
    "Name": "principal-process-steward -&gt; MessageDeliveries.HasFrozenApprovalEvidence",
    "FieldTable": "MessageDeliveries",
    "FieldName": "HasFrozenApprovalEvidence",
    "FieldIsDerived": true,
    "IsWritableDerivedField": false,
    "IsMasked": false,
    "GrantKeyWhenReadable": "principal-process-steward|MessageDeliveries"
   },
   {
    "FieldGrantId": "fg-process-steward-MessageDeliveries.ProvenanceIsLiveDerived",
    "Principal": "principal-process-steward",
    "TargetField": "MessageDeliveries.ProvenanceIsLiveDerived",
    "CanRead": true,
    "CanWrite": false,
    "MaskStrategy": "plain",
    "SemanticTypeIri": "urn:effortless:pko-extension#FieldGrant",
    "Name": "principal-process-steward -&gt; MessageDeliveries.ProvenanceIsLiveDerived",
    "FieldTable": "MessageDeliveries",
    "FieldName": "ProvenanceIsLiveDerived",
    "FieldIsDerived": true,
    "IsWritableDerivedField": false,
    "IsMasked": false,
    "GrantKeyWhenReadable": "principal-process-steward|MessageDeliveries"
   },
   {
    "FieldGrantId": "fg-process-steward-MessageDeliveries.CurrentLastApprovalAt",
    "Principal": "principal-process-steward",
    "TargetField": "MessageDeliveries.CurrentLastApprovalAt",
    "CanRead": true,
    "CanWrite": false,
    "MaskStrategy": "plain",
    "SemanticTypeIri": "urn:effortless:pko-extension#FieldGrant",
    "Name": "principal-process-steward -&gt; MessageDeliveries.CurrentLastApprovalAt",
    "FieldTable": "MessageDeliveries",
    "FieldName": "CurrentLastApprovalAt",
    "FieldIsDerived": true,
    "IsWritableDerivedField": false,
    "IsMasked": false,
    "GrantKeyWhenReadable": "principal-process-steward|MessageDeliveries"
   },
   {
    "FieldGrantId": "fg-process-steward-MessageDeliveries.TemplateReapprovedSinceSend",
    "Principal": "principal-process-steward",
    "TargetField": "MessageDeliveries.TemplateReapprovedSinceSend",
    "CanRead": true,
    "CanWrite": false,
    "MaskStrategy": "plain",
    "SemanticTypeIri": "urn:effortless:pko-extension#FieldGrant",
    "Name": "principal-process-steward -&gt; MessageDeliveries.TemplateReapprovedSinceSend",
    "FieldTable": "MessageDeliveries",
    "FieldName": "TemplateReapprovedSinceSend",
    "FieldIsDerived": true,
    "IsWritableDerivedField": false,
    "IsMasked": false,
    "GrantKeyWhenReadable": "principal-process-steward|MessageDeliveries"
   },
   {
    "FieldGrantId": "fg-process-steward-MessageDeliveries.IsUnprovableApprovalClaim",
    "Principal": "principal-process-steward",
    "TargetField": "MessageDeliveries.IsUnprovableApprovalClaim",
    "CanRead": true,
    "CanWrite": false,
    "MaskStrategy": "plain",
    "SemanticTypeIri": "urn:effortless:pko-extension#FieldGrant",
    "Name": "principal-process-steward -&gt; MessageDeliveries.IsUnprovableApprovalClaim",
    "FieldTable": "MessageDeliveries",
    "FieldName": "IsUnprovableApprovalClaim",
    "FieldIsDerived": true,
    "IsWritableDerivedField": false,
    "IsMasked": false,
    "GrantKeyWhenReadable": "principal-process-steward|MessageDeliveries"
   },
   {
    "FieldGrantId": "fg-process-steward-MessageDeliveries.ReminderSentAt",
    "Principal": "principal-process-steward",
    "TargetField": "MessageDeliveries.ReminderSentAt",
    "CanRead": true,
    "CanWrite": false,
    "MaskStrategy": "plain",
    "SemanticTypeIri": "urn:effortless:pko-extension#FieldGrant",
    "Name": "principal-process-steward -&gt; MessageDeliveries.ReminderSentAt",
    "FieldTable": "MessageDeliveries",
    "FieldName": "ReminderSentAt",
    "FieldIsDerived": false,
    "IsWritableDerivedField": false,
    "IsMasked": false,
    "GrantKeyWhenReadable": "principal-process-steward|MessageDeliveries"
   },
   {
    "FieldGrantId": "fg-process-steward-MessageDeliveries.ReminderCount",
    "Principal": "principal-process-steward",
    "TargetField": "MessageDeliveries.ReminderCount",
    "CanRead": true,
    "CanWrite": false,
    "MaskStrategy": "plain",
    "SemanticTypeIri": "urn:effortless:pko-extension#FieldGrant",
    "Name": "principal-process-steward -&gt; MessageDeliveries.ReminderCount",
    "FieldTable": "MessageDeliveries",
    "FieldName": "ReminderCount",
    "FieldIsDerived": false,
    "IsWritableDerivedField": false,
    "IsMasked": false,
    "GrantKeyWhenReadable": "principal-process-steward|MessageDeliveries"
   },
   {
    "FieldGrantId": "fg-process-steward-MessageDeliveries.HasSentReminder",
    "Principal": "principal-process-steward",
    "TargetField": "MessageDeliveries.HasSentReminder",
    "CanRead": true,
    "CanWrite": false,
    "MaskStrategy": "plain",
    "SemanticTypeIri": "urn:effortless:pko-extension#FieldGrant",
    "Name": "principal-process-steward -&gt; MessageDeliveries.HasSentReminder",
    "FieldTable": "MessageDeliveries",
    "FieldName": "HasSentReminder",
    "FieldIsDerived": true,
    "IsWritableDerivedField": false,
    "IsMasked": false,
    "GrantKeyWhenReadable": "principal-process-steward|MessageDeliveries"
   },
   {
    "FieldGrantId": "fg-process-steward-MessageDeliveries.AcknowledgementIsOutstanding",
    "Principal": "principal-process-steward",
    "TargetField": "MessageDeliveries.AcknowledgementIsOutstanding",
    "CanRead": true,
    "CanWrite": false,
    "MaskStrategy": "plain",
    "SemanticTypeIri": "urn:effortless:pko-extension#FieldGrant",
    "Name": "principal-process-steward -&gt; MessageDeliveries.AcknowledgementIsOutstanding",
    "FieldTable": "MessageDeliveries",
    "FieldName": "AcknowledgementIsOutstanding",
    "FieldIsDerived": true,
    "IsWritableDerivedField": false,
    "IsMasked": false,
    "GrantKeyWhenReadable": "principal-process-steward|MessageDeliveries"
   },
   {
    "FieldGrantId": "fg-process</t>
  </si>
  <si>
    <t xml:space="preserve">-steward-MessageDeliveries.OutstandingAgeDays",
    "Principal": "principal-process-steward",
    "TargetField": "MessageDeliveries.OutstandingAgeDays",
    "CanRead": true,
    "CanWrite": false,
    "MaskStrategy": "plain",
    "SemanticTypeIri": "urn:effortless:pko-extension#FieldGrant",
    "Name": "principal-process-steward -&gt; MessageDeliveries.OutstandingAgeDays",
    "FieldTable": "MessageDeliveries",
    "FieldName": "OutstandingAgeDays",
    "FieldIsDerived": true,
    "IsWritableDerivedField": false,
    "IsMasked": false,
    "GrantKeyWhenReadable": "principal-process-steward|MessageDeliveries"
   },
   {
    "FieldGrantId": "fg-process-steward-MessageDeliveries.IsUnchasedAcknowledgement",
    "Principal": "principal-process-steward",
    "TargetField": "MessageDeliveries.IsUnchasedAcknowledgement",
    "CanRead": true,
    "CanWrite": false,
    "MaskStrategy": "plain",
    "SemanticTypeIri": "urn:effortless:pko-extension#FieldGrant",
    "Name": "principal-process-steward -&gt; MessageDeliveries.IsUnchasedAcknowledgement",
    "FieldTable": "MessageDeliveries",
    "FieldName": "IsUnchasedAcknowledgement",
    "FieldIsDerived": true,
    "IsWritableDerivedField": false,
    "IsMasked": false,
    "GrantKeyWhenReadable": "principal-process-steward|MessageDeliveries"
   },
   {
    "FieldGrantId": "fg-process-steward-MessageDeliveries.IsExhaustedFollowUp",
    "Principal": "principal-process-steward",
    "TargetField": "MessageDeliveries.IsExhaustedFollowUp",
    "CanRead": true,
    "CanWrite": false,
    "MaskStrategy": "plain",
    "SemanticTypeIri": "urn:effortless:pko-extension#FieldGrant",
    "Name": "principal-process-steward -&gt; MessageDeliveries.IsExhaustedFollowUp",
    "FieldTable": "MessageDeliveries",
    "FieldName": "IsExhaustedFollowUp",
    "FieldIsDerived": true,
    "IsWritableDerivedField": false,
    "IsMasked": false,
    "GrantKeyWhenReadable": "principal-process-steward|MessageDeliveries"
   },
   {
    "FieldGrantId": "fg-process-steward-MessageDeliveries.NeedsHumanEscalation",
    "Principal": "principal-process-steward",
    "TargetField": "MessageDeliveries.NeedsHumanEscalation",
    "CanRead": true,
    "CanWrite": false,
    "MaskStrategy": "plain",
    "SemanticTypeIri": "urn:effortless:pko-extension#FieldGrant",
    "Name": "principal-process-steward -&gt; MessageDeliveries.NeedsHumanEscalation",
    "FieldTable": "MessageDeliveries",
    "FieldName": "NeedsHumanEscalation",
    "FieldIsDerived": true,
    "IsWritableDerivedField": false,
    "IsMasked": false,
    "GrantKeyWhenReadable": "principal-process-steward|MessageDeliveries"
   },
   {
    "FieldGrantId": "fg-process-steward-MessageDeliveries.SemanticTypeIri",
    "Principal": "principal-process-steward",
    "TargetField": "MessageDeliveries.SemanticTypeIri",
    "CanRead": true,
    "CanWrite": false,
    "MaskStrategy": "plain",
    "SemanticTypeIri": "urn:effortless:pko-extension#FieldGrant",
    "Name": "principal-process-steward -&gt; MessageDeliveries.SemanticTypeIri",
    "FieldTable": "MessageDeliveries",
    "FieldName": "SemanticTypeIri",
    "FieldIsDerived": false,
    "IsWritableDerivedField": false,
    "IsMasked": false,
    "GrantKeyWhenReadable": "principal-process-steward|MessageDeliveries"
   },
   {
    "FieldGrantId": "fg-process-steward-MessageTemplates.MessageTemplateId",
    "Principal": "principal-process-steward",
    "TargetField": "MessageTemplates.MessageTemplateId",
    "CanRead": true,
    "CanWrite": false,
    "MaskStrategy": "plain",
    "SemanticTypeIri": "urn:effortless:pko-extension#FieldGrant",
    "Name": "principal-process-steward -&gt; MessageTemplates.MessageTemplateId",
    "FieldTable": "MessageTemplates",
    "FieldName": "MessageTemplateId",
    "FieldIsDerived": false,
    "IsWritableDerivedField": false,
    "IsMasked": false,
    "GrantKeyWhenReadable": "principal-process-steward|MessageTemplates"
   },
   {
    "FieldGrantId": "fg-process-steward-MessageTemplates.Name",
    "Principal": "principal-process-steward",
    "TargetField": "MessageTemplates.Name",
    "CanRead": true,
    "CanWrite": false,
    "MaskStrategy": "plain",
    "SemanticTypeIri": "urn:effortless:pko-extension#FieldGrant",
    "Name": "principal-process-steward -&gt; MessageTemplates.Name",
    "FieldTable": "MessageTemplates",
    "FieldName": "Name",
    "FieldIsDerived": true,
    "IsWritableDerivedField": false,
    "IsMasked": false,
    "GrantKeyWhenReadable": "principal-process-steward|MessageTemplates"
   },
   {
    "FieldGrantId": "fg-process-steward-MessageTemplates.CommunicationPolicy",
    "Principal": "principal-process-steward",
    "TargetField": "MessageTemplates.CommunicationPolicy",
    "CanRead": true,
    "CanWrite": false,
    "MaskStrategy": "plain",
    "SemanticTypeIri": "urn:effortless:pko-extension#FieldGrant",
    "Name": "principal-process-steward -&gt; MessageTemplates.CommunicationPolicy",
    "FieldTable": "MessageTemplates",
    "FieldName": "CommunicationPolicy",
    "FieldIsDerived": false,
    "IsWritableDerivedField": false,
    "IsMasked": false,
    "GrantKeyWhenReadable": "principal-process-steward|MessageTemplates"
   },
   {
    "FieldGrantId": "fg-process-steward-MessageTemplates.Resource",
    "Principal": "principal-process-steward",
    "TargetField": "MessageTemplates.Resource",
    "CanRead": true,
    "CanWrite": false,
    "MaskStrategy": "plain",
    "SemanticTypeIri": "urn:effortless:pko-extension#FieldGrant",
    "Name": "principal-process-steward -&gt; MessageTemplates.Resource",
    "FieldTable": "MessageTemplates",
    "FieldName": "Resource",
    "FieldIsDerived": false,
    "IsWritableDerivedField": false,
    "IsMasked": false,
    "GrantKeyWhenReadable": "principal-process-steward|MessageTemplates"
   },
   {
    "FieldGrantId": "fg-process-steward-MessageTemplates.SubjectTemplate",
    "Principal": "principal-process-steward",
    "TargetField": "MessageTemplates.SubjectTemplate",
    "CanRead": true,
    "CanWrite": false,
    "MaskStrategy": "plain",
    "SemanticTypeIri": "urn:effortless:pko-extension#FieldGrant",
    "Name": "principal-process-steward -&gt; MessageTemplates.SubjectTemplate",
    "FieldTable": "MessageTemplates",
    "FieldName": "SubjectTemplate",
    "FieldIsDerived": false,
    "IsWritableDerivedField": false,
    "IsMasked": false,
    "GrantKeyWhenReadable": "principal-process-steward|MessageTemplates"
   },
   {
    "FieldGrantId": "fg-process-steward-MessageTemplates.BodyTemplate",
    "Principal": "principal-process-steward",
    "TargetField": "MessageTemplates.BodyTemplate",
    "CanRead": true,
    "CanWrite": false,
    "MaskStrategy": "plain",
    "SemanticTypeIri": "urn:effortless:pko-extension#FieldGrant",
    "Name": "principal-process-steward -&gt; MessageTemplates.BodyTemplate",
    "FieldTable": "MessageTemplates",
    "FieldName": "BodyTemplate",
    "FieldIsDerived": false,
    "IsWritableDerivedField": false,
    "IsMasked": false,
    "GrantKeyWhenReadable": "principal-process-steward|MessageTemplates"
   },
   {
    "FieldGrantId": "fg-process-steward-MessageTemplates.Locale",
    "Principal": "principal-process-steward",
    "TargetField": "MessageTemplates.Locale",
    "CanRead": true,
    "CanWrite": false,
    "MaskStrategy": "plain",
    "SemanticTypeIri": "urn:effortless:pko-extension#FieldGrant",
    "Name": "principal-process-steward -&gt; MessageTemplates.Locale",
    "FieldTable": "MessageTemplates",
    "FieldName": "Locale",
    "FieldIsDerived": false,
    "IsWritableDerivedField": false,
    "IsMasked": false,
    "GrantKeyWhenReadable": "principal-process-steward|MessageTemplates"
   },
   {
    "FieldGrantId": "fg-process-steward-MessageTemplates.Status",
    "Principal": "principal-process-steward",
    "TargetField": "MessageTemplates.Status",
    "CanRead": true,
    "CanWrite": false,
    "MaskStrategy": "plain",
    "SemanticTypeIri": "urn:effortless:pko-extension#FieldGrant",
    "Name": "principal-process-steward -&gt; MessageTemplates.Status",
    "FieldTable": "MessageTemplates",
    "FieldName": "Status",
    "FieldIsDerived": false,
    "IsWritableDerivedField": false,
    "IsMasked": false,
    "GrantKeyWhenReadable": "principal-process-steward|MessageTemplates"
   },
   {
    "FieldGrantId": "fg-process-steward-MessageTemplates.PolicyMaxMessageLength",
    "Principal": "principal-process-steward",
    "TargetField": "MessageTemplates.PolicyMaxMessageLength",
    "CanRead": true,
    "CanWrite": false,
    "MaskStrategy": "plain",
    "SemanticTypeIri": "urn:effortless:pko-extension#FieldGrant",
    "Name": "principal-process-steward -&gt; MessageTemplates.PolicyMaxMessageLength",
    "FieldTable": "MessageTemplates",
    "FieldName": "PolicyMaxMessageLength",
    "FieldIsDerived": true,
    "IsWritableDerivedField": false,
    "IsMasked": false,
    "GrantKeyWhenReadable": "principal-process-steward|MessageTemplates"
   },
   {
    "FieldGrantId": "fg-process-steward-MessageTemplates.PolicyMaxSegments",
    "Principal": "principal-process-steward",
    "TargetField": "MessageTemplates.PolicyMaxSegments",
    "CanRead": true,
    "CanWrite": false,
    "MaskStrategy": "plain",
    "SemanticTypeIri": "urn:effortless:pko-extension#FieldGrant",
    "Name": "principal-process-steward -&gt; MessageTemplates.PolicyMaxSegments",
    "FieldTable": "MessageTemplates",
    "FieldName": "PolicyMaxSegments",
    "FieldIsDerived": true,
    "IsWritableDerivedField": false,
    "IsMasked": false,
    "GrantKeyWhenReadable": "principal-process-steward|MessageTemplates"
   },
   {
    "FieldGrantId": "fg-process-steward-MessageTemplates.BodyTemplateLength",
    "Principal": "principal-process-steward",
    "TargetField": "MessageTemplates.BodyTemplateLength",
    "CanRead": true,
    "CanWrite": false,
    "MaskStrategy": "plain",
    "SemanticTypeIri": "urn:effortless:pko-extension#FieldGrant",
    "Name": "principal-process-steward -&gt; MessageTemplates.BodyTemplateLength",
    "FieldTable": "MessageTemplates",
    "FieldName": "BodyTemplateLength",
    "FieldIsDerived": true,
    "IsWritableDerivedField": false,
    "IsMasked": false,
    "GrantKeyWhenReadable": "principal-process-steward|MessageTemplates"
   },
   {
    "FieldGrantId": "fg-process-steward-MessageTemplates.IsTemplateOverLength",
    "Principal": "principal-process-steward",
    "TargetField": "MessageTemplates.IsTemplateOverLength",
    "CanRead": true,
    "CanWrite": false,
    "MaskStrategy": "plain",
    "SemanticTypeIri": "urn:effortless:pko-extension#FieldGrant",
    "Name": "principal-process-steward -&gt; MessageTemplates.IsTemplateOverLength",
    "FieldTable": "MessageTemplates",
    "FieldName": "IsTemplateOverLength",
    "FieldIsDerived": true,
    "IsWritableDerivedField": false,
    "IsMasked": false,
    "GrantKeyWhenReadable": "principal-process-steward|MessageTemplates"
   },
   {
    "FieldGrantId": "fg-process-steward-MessageTemplates.ValidApprovalCount",
    "Principal": "principal-process-steward",
    "TargetField": "MessageTemplates.ValidApprovalCount",
    "CanRead": true,
    "CanWrite": false,
    "MaskStrategy": "plain",
    "SemanticTypeIri": "urn:effortless:pko-extension#FieldGrant",
    "Name": "principal-process-steward -&gt; MessageTemplates.ValidApprovalCount",
    "FieldTable": "MessageTemplates",
    "FieldName": "ValidApprovalCount",
    "FieldIsDerived": true,
    "IsWritableDerivedField": false,
    "IsMasked": false,
    "GrantKeyWhenReadable": "principal-process-steward|MessageTemplates"
   },
   {
    "FieldGrantId": "fg-process-steward-MessageTemplates.HasValidApproval",
    "Principal": "principal-process-steward",
    "TargetField": "MessageTemplates.HasValidApproval",
    "CanRead": true,
    "CanWrite": false,
    "MaskStrategy": "plain",
    "SemanticTypeIri": "urn:effortless:pko-extension#FieldGrant",
    "Name": "principal-process-steward -&gt; MessageTemplates.HasValidApproval",
    "FieldTable": "MessageTemplates",
    "FieldName": "HasValidApproval",
    "FieldIsDerived": true,
    "IsWritableDerivedField": false,
    "IsMasked": false,
    "GrantKeyWhenReadable": "principal-process-steward|MessageTemplates"
   },
   {
    "FieldGrantId": "fg-process-steward-MessageTemplates.IsClaimingUnbackedApproval",
    "Principal": "principal-process-steward",
    "TargetField": "MessageTemplates.IsClaimingUnbackedApproval",
    "CanRead": true,
    "CanWrite": false,
    "MaskStrategy": "plain",
    "SemanticTypeIri": "urn:effortless:pko-extension#FieldGrant",
    "Name": "principal-process-steward -&gt; MessageTemplates.IsClaimingUnbackedApproval",
    "FieldTable": "MessageTemplates",
    "FieldName": "IsClaimingUnbackedApproval",
    "FieldIsDerived": true,
    "IsWritableDerivedField": false,
    "IsMasked": false,
    "GrantKeyWhenReadable": "principal-process-steward|MessageTemplates"
   },
   {
    "FieldGrantId": "fg-process-steward-MessageTemplates.CurrentBodyHash",
    "Principal": "principal-process-steward",
    "TargetField": "MessageTemplates.CurrentBodyHash",
    "CanRead": true,
    "CanWrite": false,
    "MaskStrategy": "plain",
    "SemanticTypeIri": "urn:effortless:pko-extension#FieldGrant",
    "Name": "principal-process-steward -&gt; MessageTemplates.CurrentBodyHash",
    "FieldTable": "MessageTemplates",
    "FieldName": "CurrentBodyHash",
    "FieldIsDerived": false,
    "IsWritableDerivedField": false,
    "IsMasked": false,
    "GrantKeyWhenReadable": "principal-process-steward|MessageTemplates"
   },
   {
    "FieldGrantId": "fg-process-steward-MessageTemplates.LastApprovedBodyHash",
    "Principal": "principal-process-steward",
    "TargetField": "MessageTemplates.LastApprovedBodyHash",
    "CanRead": true,
    "CanWrite": false,
    "MaskStrategy": "plain",
    "SemanticTypeIri": "urn:effortless:pko-extension#FieldGrant",
    "Name": "principal-process-steward -&gt; MessageTemplates.LastApprovedBodyHash",
    "FieldTable": "MessageTemplates",
    "FieldName": "LastApprovedBodyHash",
    "FieldIsDerived": true,
    "IsWritableDerivedField": false,
    "IsMasked": false,
    "GrantKeyWhenReadable": "principal-process-steward|MessageTemplates"
   },
   {
    "FieldGrantId": "fg-process-steward-MessageTemplates.LastValidApproval",
    "Principal": "principal-process-steward",
    "TargetField": "MessageTemplates.LastValidApproval",
    "CanRead": true,
    "CanWrite": false,
    "MaskStrategy": "plain",
    "SemanticTypeIri": "urn:effortless:pko-extension#FieldGrant",
    "Name": "principal-process-steward -&gt; MessageTemplates.LastValidApproval",
    "FieldTable": "MessageTemplates",
    "FieldName": "LastValidApproval",
    "FieldIsDerived": false,
    "IsWritableDerivedField": false,
    "IsMasked": false,
    "GrantKeyWhenReadable": "principal-process-steward|MessageTemplates"
   },
   {
    "FieldGrantId": "fg-process-steward-MessageTemplates.HasBodyDrifted",
    "Principal": "principal-process-steward",
    "TargetField": "MessageTemplates.HasBodyDrifted",
    "CanRead": true,
    "CanWrite": false,
    "MaskStrategy": "plain",
    "SemanticTypeIri": "urn:effortless:pko-extension#FieldGrant",
    "Name": "principal-process-steward -&gt; MessageTemplates.HasBodyDrifted",
    "FieldTable": "MessageTemplates",
    "FieldName": "HasBodyDrifted",
    "FieldIsDerived": true,
    "IsWritableDerivedField": false,
    "IsMasked": false,
    "GrantKeyWhenReadable": "principal-process-steward|MessageTemplates"
   },
   {
    "FieldGrantId": "fg-process-steward-MessageTemplates.IsSendableUnderApproval",
    "Principal": "principal-process-steward",
    "TargetField": "MessageTemplates.IsSendableUnderApproval",
    "CanRead": true,
    "CanWrite": false,
    "MaskStrategy": "plain",
    "SemanticTypeIri": "urn:effortless:pko-extension#FieldGrant",
    "Name": "principal-process-steward -&gt; MessageTemplates.IsSendableUnderApproval",
    "FieldTable": "MessageTemplates",
    "FieldName": "IsSendableUnderApproval",
    "FieldIsDerived": true,
    "IsWritableDerivedField": false,
    "IsMasked": false,
    "GrantKeyWhenReadable": "principal-process-steward|MessageTemplates"
   },
   {
    "FieldGrantId": "fg-process-steward-MessageTemplates.DriftedSendCount",
    "Principal": "principal-process-steward",
    "TargetField": "MessageTemplates.DriftedSendCount",
    "CanRead": true,
    "CanWrite": false,
    "MaskStrategy": "plain",
    "SemanticTypeIri": "urn:effortless:pko-extension#FieldGrant",
    "Name": "principal-process-steward -&gt; MessageTemplates.DriftedSendCount",
    "FieldTable": "MessageTemplates",
    "FieldName": "DriftedSendCount",
    "FieldIsDerived": true,
    "IsWritableDerivedField": false,
    "IsMasked": false,
    "GrantKeyWhenReadable": "principal-process-steward|MessageTemplates"
   },
   {
    "FieldGrantId": "fg-process-steward-MessageTemplates.UnansweredDeliveryCount",
    "Principal": "principal-process-steward",
    "TargetField": "MessageTemplates.UnansweredDeliveryCount",
    "CanRead": true,
    "CanWrite": false,
    "MaskStrategy": "plain",
    "SemanticTypeIri": "urn:effortless:pko-extension#FieldGrant",
    "Name": "principal-process-steward -&gt; MessageTemplates.UnansweredDeliveryCount",
    "FieldTable": "MessageTemplates",
    "FieldName": "UnansweredDeliveryCount",
    "FieldIsDerived": true,
    "IsWritableDerivedField": false,
    "IsMasked": false,
    "GrantKeyWhenReadable": "principal-process-steward|MessageTemplates"
   },
   {
    "FieldGrantId": "fg-process-steward-MessageTemplates.TransmittedDeliveryCount",
    "Principal": "principal-process-steward",
    "TargetField": "MessageTemplates.TransmittedDeliveryCount",
    "CanRead": true,
    "CanWrite": false,
    "MaskStrategy": "plain",
    "SemanticTypeIri": "urn:effortless:pko-extension#FieldGrant",
    "Name": "principal-process-steward -&gt; MessageTemplates.TransmittedDeliveryCount",
    "FieldTable": "MessageTemplates",
    "FieldName": "TransmittedDeliveryCount",
    "FieldIsDerived": true,
    "IsWritableDerivedField": false,
    "IsMasked": false,
    "GrantKeyWhenReadable": "principal-process-steward|MessageTemplates"
   },
   {
    "FieldGrantId": "fg-process-steward-MessageTemplates.TemplateDrawsNoResponse",
    "Principal": "principal-process-steward",
    "TargetField": "MessageTemplates.TemplateDrawsNoResponse",
    "CanRead": true,
    "CanWrite": false,
    "MaskStrategy": "plain",
    "SemanticTypeIri": "urn:effortless:pko-extension#FieldGrant",
    "Name": "principal-process-steward -&gt; MessageTemplates.TemplateDrawsNoResponse",
    "FieldTable": "MessageTemplates",
    "FieldName": "TemplateDrawsNoResponse",
    "FieldIsDerived": true,
    "IsWritableDerivedField": false,
    "IsMasked": false,
    "GrantKeyWhenReadable": "principal-process-steward|MessageTemplates"
   },
   {
    "FieldGrantId": "fg-process-steward-MessageTemplates.LastApprovalAt",
    "Principal": "principal-process-steward",
    "TargetField": "MessageTemplates.LastApprovalAt",
    "CanRead": true,
    "CanWrite": false,
    "MaskStrategy": "plain",
    "SemanticTypeIri": "urn:effortless:pko-extension#FieldGrant",
    "Name": "principal-process-steward -&gt; MessageTemplates.LastApprovalAt",
    "FieldTable": "MessageTemplates",
    "FieldName": "LastApprovalAt",
    "FieldIsDerived": true,
    "IsWritableDerivedField": false,
    "IsMasked": false,
    "GrantKeyWhenReadable": "principal-process-steward|MessageTemplates"
   },
   {
    "FieldGrantId": "fg-process-steward-MessageTemplates.SemanticTypeIri",
    "Principal": "principal-process-steward",
    "TargetField": "MessageTemplates.SemanticTypeIri",
    "CanRead": true,
    "CanWrite": false,
    "MaskStrategy": "plain",
    "SemanticTypeIri": "urn:effortless:pko-extension#FieldGrant",
    "Name": "principal-process-steward -&gt; MessageTemplates.SemanticTypeIri",
    "FieldTable": "MessageTemplates",
    "FieldName": "SemanticTypeIri",
    "FieldIsDerived": false,
    "IsWritableDerivedField": false,
    "IsMasked": false,
    "GrantKeyWhenReadable": "principal-process-steward|MessageTemplates"
   },
   {
    "FieldGrantId": "fg-process-steward-ObservedTransitions.ObservedTransitionId",
    "Principal": "principal-process-steward",
    "TargetField": "ObservedTransitions.ObservedTransitionId",
    "CanRead": true,
    "CanWrite": false,
    "MaskStrategy": "plain",
    "SemanticTypeIri": "urn:effortless:pko-extension#FieldGrant",
    "Name": "principal-process-steward -&gt; ObservedTransitions.ObservedTransitionId",
    "FieldTable": "ObservedTransitions",
    "FieldName": "ObservedTransitionId",
    "FieldIsDerived": false,
    "IsWritableDerivedField": false,
    "IsMasked": false,
    "GrantKeyWhenReadable": "principal-process-steward|ObservedTransitions"
   },
   {
    "FieldGrantId": "fg-process-steward-ObservedTransitions.Name",
    "Principal": "principal-process-steward",
    "TargetField": "ObservedTransitions.Name",
    "CanRead": true,
    "CanWrite": false,
    "MaskStrategy": "plain",
    "SemanticTypeIri": "urn:effortless:pko-extension#FieldGrant",
    "Name": "principal-process-steward -&gt; ObservedTransitions.Name",
    "FieldTable": "ObservedTransitions",
    "FieldName": "Name",
    "FieldIsDerived": true,
    "IsWritableDerivedField": false,
    "IsMasked": false,
    "GrantKeyWhenReadable": "principal-process-steward|ObservedTransitions"
   },
   {
    "FieldGrantId": "fg-process-steward-ObservedTransitions.ProcedureExecution",
    "Principal": "principal-process-steward",
    "TargetField": "ObservedTransitions.ProcedureExecution",
    "CanRead": true,
    "CanWrite": false,
    "MaskStrategy": "plain",
    "SemanticTypeIri": "urn:effortless:pko-extension#FieldGrant",
    "Name": "principal-process-steward -&gt; ObservedTransitions.ProcedureExecution",
    "FieldTable": "ObservedTransitions",
    "FieldName": "ProcedureExecution",
    "FieldIsDerived": false,
    "IsWritableDerivedField": false,
    "IsMasked": false,
    "GrantKeyWhenReadable": "principal-process-steward|ObservedTransitions"
   },
   {
    "FieldGrantId": "fg-process-steward-ObservedTransitions.StepTransition",
    "Principal": "principal-process-steward",
    "TargetField": "ObservedTransitions.StepTransition",
    "CanRead": true,
    "CanWrite": false,
    "MaskStrategy": "plain",
    "SemanticTypeIri": "urn:effortless:pko-extension#FieldGrant",
    "Name": "principal-process-steward -&gt; ObservedTransitions.StepTransition",
    "FieldTable": "ObservedTransitions",
    "FieldName": "StepTransition",
    "FieldIsDerived": false,
    "IsWritableDerivedField": false,
    "IsMasked": false,
    "GrantKeyWhenReadable": "principal-process-steward|ObservedTransitions"
   },
   {
    "FieldGrantId": "fg-process-steward-ObservedTransitions.ArrivingStepExecution",
    "Principal": "principal-process-steward",
    "TargetField": "ObservedTransitions.ArrivingStepExecution",
    "CanRead": true,
    "CanWrite": false,
    "MaskStrategy": "plain",
    "SemanticTypeIri": "urn:effortless:pko-extension#FieldGrant",
    "Name": "principal-process-steward -&gt; ObservedTransitions.ArrivingStepExecution",
    "FieldTable": "ObservedTransitions",
    "FieldName": "ArrivingStepExecution",
    "FieldIsDerived": false,
    "IsWritableDerivedField": false,
    "IsMasked": false,
    "GrantKeyWhenReadable": "principal-process-steward|ObservedTransitions"
   },
   {
    "FieldGrantId": "fg-process-steward-ObservedTransitions.ObservedAt",
    "Principal": "principal-process-steward",
    "TargetField": "ObservedTransitions.ObservedAt",
    "CanRead": true,
    "CanWrite": false,
    "MaskStrategy": "plain",
    "SemanticTypeIri": "urn:effortless:pko-extension#FieldGrant",
    "Name": "principal-process-steward -&gt; ObservedTransitions.ObservedAt",
    "FieldTable": "ObservedTransitions",
    "FieldName": "ObservedAt",
    "FieldIsDerived": false,
    "IsWritableDerivedField": false,
    "IsMasked": false,
    "GrantKeyWhenReadable": "principal-process-steward|ObservedTransitions"
   },
   {
    "FieldGrantId": "fg-process-steward-ObservedTransitions.TriggerReason",
    "Principal": "principal-process-steward",
    "TargetField": "ObservedTransitions.TriggerReason",
    "CanRead": true,
    "CanWrite": false,
    "MaskStrategy": "plain",
    "SemanticTypeIri": "urn:effortless:pko-extension#FieldGrant",
    "Name": "principal-process-steward -&gt; ObservedTransitions.TriggerReason",
    "FieldTable": "ObservedTransitions",
    "FieldName": "TriggerReason",
    "FieldIsDerived": false,
    "IsWritableDerivedField": false,
    "IsMasked": false,
    "GrantKeyWhenReadable": "principal-process-steward|ObservedTransitions"
   },
   {
    "FieldGrantId": "fg-process-steward-ObservedTransitions.SemanticTypeIri",
    "Principal": "principal-process-steward",
    "TargetField": "ObservedTransitions.SemanticTypeIri",
    "CanRead": true,
    "CanWrite": false,
    "MaskStrategy": "plain",
    "SemanticTypeIri": "urn:effortless:pko-extension#FieldGrant",
    "Name": "principal-process-steward -&gt; ObservedTransitions.SemanticTypeIri",
    "FieldTable": "ObservedTransitions",
    "FieldName": "SemanticTypeIri",
    "FieldIsDerived": false,
    "IsWritableDerivedField": false,
    "IsMasked": false,
    "GrantKeyWhenReadable": "principal-process-steward|ObservedTransitions"
   },
   {
    "FieldGrantId": "fg-process-steward-OntologyProfiles.OntologyProfileId",
    "Principal": "principal-process-steward",
    "TargetField": "OntologyProfiles.OntologyProfileId",
    "CanRead": true,
    "CanWrite": false,
    "MaskStrategy": "plain",
    "SemanticTypeIri": "urn:effortless:pko-extension#FieldGrant",
    "Name": "principal-process-steward -&gt; OntologyProfiles.OntologyProfileId",
    "FieldTable": "OntologyProfiles",
    "FieldName": "OntologyProfileId",
    "FieldIsDerived": false,
    "IsWritableDerivedField": false,
    "IsMasked": false,
    "GrantKeyWhenReadable": "principal-process-steward|OntologyProfiles"
   },
   {
    "FieldGrantId": "fg-process-steward-OntologyProfiles.Name",
    "Principal": "principal-process-steward",
    "TargetField": "OntologyProfiles.Name",
    "CanRead": true,
    "CanWrite": false,
    "MaskStrategy": "plain",
    "SemanticTypeIri": "urn:effortless:pko-extension#FieldGrant",
    "Name": "principal-process-steward -&gt; OntologyProfiles.Name",
    "FieldTable": "OntologyProfiles",
    "FieldName": "Name",
    "FieldIsDerived": true,
    "IsWritableDerivedField": false,
    "IsMasked": false,
    "GrantKeyWhenReadable": "principal-process-steward|OntologyProfiles"
   },
   {
    "FieldGrantId": "fg-process-steward-OntologyProfiles.Label",
    "Principal": "principal-process-steward",
    "TargetField": "OntologyProfiles.Label",
    "CanRead": true,
    "CanWrite": false,
    "MaskStrategy": "plain",
    "SemanticTypeIri": "urn:effortless:pko-extension#FieldGrant",
    "Name": "principal-process-steward -&gt; OntologyProfiles.Label",
    "FieldTable": "OntologyProfiles",
    "FieldName": "Label",
    "FieldIsDerived": false,
    "IsWritableDerivedField": false,
    "IsMasked": false,
    "GrantKeyWhenReadable": "principal-process-steward|OntologyProfiles"
   },
   {
    "FieldGrantId": "fg-process-steward-OntologyProfiles.Version",
    "Principal": "principal-process-steward",
    "TargetField": "OntologyProfiles.Version",
    "CanRead": true,
    "CanWrite": false,
    "MaskStrategy": "plain",
    "SemanticTypeIri": "urn:effortless:pko-extension#FieldGrant",
    "Name": "principal-process-steward -&gt; OntologyProfiles.Version",
    "FieldTable": "OntologyProfiles",
    "FieldName": "Version",
    "FieldIsDerived": false,
    "IsWritableDerivedField": false,
    "IsMasked": false,
    "GrantKeyWhenReadable": "principal-process-steward|OntologyProfiles"
   },
   {
    "FieldGrantId": "fg-process-steward-OntologyProfiles.VersionIri",
    "Principal": "principal-process-steward",
    "TargetField": "OntologyProfiles.VersionIri",
    "CanRead": true,
    "CanWrite": false,
    "MaskStrategy": "plain",
    "SemanticTypeIri": "urn:effortless:pko-extension#FieldGrant",
    "Name": "principal-process-steward -&gt; OntologyProfiles.VersionIri",
    "FieldTable": "OntologyProfiles",
    "FieldName": "VersionIri",
    "FieldIsDerived": false,
    "IsWritableDerivedField": false,
    "IsMasked": false,
    "GrantKeyWhenReadable": "principal-process-steward|OntologyProfiles"
   },
   {
    "FieldGrantId": "fg-process-steward-OntologyProfiles.NamespaceIri",
    "Principal": "principal-process-steward",
    "TargetField": "OntologyProfiles.NamespaceIri",
    "CanRead": true,
    "CanWrite": false,
    "MaskStrategy": "plain",
    "SemanticTypeIri": "urn:effortless:pko-extension#FieldGrant",
    "Name": "principal-process-steward -&gt; OntologyProfiles.NamespaceIri",
    "FieldTable": "OntologyProfiles",
    "FieldName": "NamespaceIri",
    "FieldIsDerived": false,
    "IsWritableDerivedField": false,
    "IsMasked": false,
    "GrantKeyWhenReadable": "principal-process-steward|OntologyProfiles"
   },
   {
    "FieldGrantId": "fg-process-steward-OntologyProfiles.License",
    "Principal": "principal-process-steward",
    "TargetField": "OntologyProfiles.License",
    "CanRead": true,
    "CanWrite": false,
    "MaskStrategy": "plain",
    "SemanticTypeIri": "urn:effortless:pko-extension#FieldGrant",
    "Name": "principal-process-steward -&gt; OntologyProfiles.License",
    "FieldTable": "OntologyProfiles",
    "FieldName": "License",
    "FieldIsDerived": false,
    "IsWritableDerivedField": false,
    "IsMasked": false,
    "GrantKeyWhenReadable": "principal-process-steward|OntologyProfiles"
   },
   {
    "FieldGrantId": "fg-process-steward-OntologyProfiles.Scope",
    "Principal": "principal-process-steward",
    "TargetField": "OntologyProfiles.Scope",
    "CanRead": true,
    "CanWrite": false,
    "MaskStrategy": "plain",
    "SemanticTypeIri": "urn:effortless:pko-extension#FieldGrant",
    "Name": "principal-process-steward -&gt; OntologyProfiles.Scope",
    "FieldTable": "OntologyProfiles",
    "FieldName": "Scope",
    "FieldIsDerived": false,
    "IsWritableDerivedField": false,
    "IsMasked": false,
    "GrantKeyWhenReadable": "principal-process-steward|OntologyProfiles"
   },
   {
    "FieldGrantId": "fg-process-steward-OperationalBindings.OperationalBindingId",
    "Principal": "principal-process-steward",
    "TargetField": "OperationalBindings.OperationalBindingId",
    "CanRead": true,
    "CanWrite": false,
    "MaskStrategy": "plain",
    "SemanticTypeIri": "urn:effortless:pko-extension#FieldGrant",
    "Name": "principal-process-steward -&gt; OperationalBindings.OperationalBindingId",
    "FieldTable": "OperationalBindings",
    "FieldName": "OperationalBindingId",
    "FieldIsDerived": false,
    "IsWritableDerivedField": false,
    "IsMasked": false,
    "GrantKeyWhenReadable": "principal-process-steward|OperationalBindings"
   },
   {
    "FieldGrantId": "fg-process-steward-OperationalBindings.Name",
    "Principal": "principal-process-steward",
    "TargetField": "OperationalBindings.Name",
    "CanRead": true,
    "CanWrite": false,
    "MaskStrategy": "plain",
    "SemanticTypeIri": "urn:effortless:pko-extension#FieldGrant",
    "Name": "principal-process-steward -&gt; OperationalBindings.Name",
    "FieldTable": "OperationalBindings",
    "FieldName": "Name",
    "FieldIsDerived": true,
    "IsWritableDerivedField": false,
    "IsMasked": false,
    "GrantKeyWhenReadable": "principal-process-steward|OperationalBindings"
   },
   {
    "FieldGrantId": "fg-process-steward-OperationalBindings.ProcedureVersion",
    "Principal": "principal-process-steward",
    "TargetField": "OperationalBindings.ProcedureVersion",
    "CanRead": true,
    "CanWrite": false,
    "MaskStrategy": "plain",
    "SemanticTypeIri": "urn:effortless:pko-extension#FieldGrant",
    "Name": "principal-process-steward -&gt; OperationalBindings.ProcedureVersion",
    "FieldTable": "OperationalBindings",
    "FieldName": "ProcedureVersion",
    "FieldIsDerived": false,
    "IsWritableDerivedField": false,
    "IsMasked": false,
    "GrantKeyWhenReadable": "principal-process-steward|OperationalBindings"
   },
   {
    "FieldGrantId": "fg-process-steward-OperationalBindings.Step",
    "Principal": "principal-process-steward",
    "TargetField": "OperationalBindings.Step",
    "CanRead": true,
    "CanWrite": false,
    "MaskStrategy": "plain",
    "SemanticTypeIri": "urn:effortless:pko-extension#FieldGrant",
    "Name": "principal-process-steward -&gt; OperationalBindings.Step",
    "FieldTable": "OperationalBindings",
    "FieldName": "Step",
    "FieldIsDerived": false,
    "IsWritableDerivedField": false,
    "IsMasked": false,
    "GrantKeyWhenReadable": "principal-process-steward|OperationalBindings"
   },
   {
    "FieldGrantId": "fg-process-steward-OperationalBindings.Resource",
    "Princip</t>
  </si>
  <si>
    <t xml:space="preserve">al": "principal-process-steward",
    "TargetField": "OperationalBindings.Resource",
    "CanRead": true,
    "CanWrite": false,
    "MaskStrategy": "plain",
    "SemanticTypeIri": "urn:effortless:pko-extension#FieldGrant",
    "Name": "principal-process-steward -&gt; OperationalBindings.Resource",
    "FieldTable": "OperationalBindings",
    "FieldName": "Resource",
    "FieldIsDerived": false,
    "IsWritableDerivedField": false,
    "IsMasked": false,
    "GrantKeyWhenReadable": "principal-process-steward|OperationalBindings"
   },
   {
    "FieldGrantId": "fg-process-steward-OperationalBindings.AccessMode",
    "Principal": "principal-process-steward",
    "TargetField": "OperationalBindings.AccessMode",
    "CanRead": true,
    "CanWrite": false,
    "MaskStrategy": "plain",
    "SemanticTypeIri": "urn:effortless:pko-extension#FieldGrant",
    "Name": "principal-process-steward -&gt; OperationalBindings.AccessMode",
    "FieldTable": "OperationalBindings",
    "FieldName": "AccessMode",
    "FieldIsDerived": false,
    "IsWritableDerivedField": false,
    "IsMasked": false,
    "GrantKeyWhenReadable": "principal-process-steward|OperationalBindings"
   },
   {
    "FieldGrantId": "fg-process-steward-OperationalBindings.RecordOrSchemaKey",
    "Principal": "principal-process-steward",
    "TargetField": "OperationalBindings.RecordOrSchemaKey",
    "CanRead": true,
    "CanWrite": false,
    "MaskStrategy": "plain",
    "SemanticTypeIri": "urn:effortless:pko-extension#FieldGrant",
    "Name": "principal-process-steward -&gt; OperationalBindings.RecordOrSchemaKey",
    "FieldTable": "OperationalBindings",
    "FieldName": "RecordOrSchemaKey",
    "FieldIsDerived": false,
    "IsWritableDerivedField": false,
    "IsMasked": false,
    "GrantKeyWhenReadable": "principal-process-steward|OperationalBindings"
   },
   {
    "FieldGrantId": "fg-process-steward-OperationalBindings.LastObservedAt",
    "Principal": "principal-process-steward",
    "TargetField": "OperationalBindings.LastObservedAt",
    "CanRead": true,
    "CanWrite": false,
    "MaskStrategy": "plain",
    "SemanticTypeIri": "urn:effortless:pko-extension#FieldGrant",
    "Name": "principal-process-steward -&gt; OperationalBindings.LastObservedAt",
    "FieldTable": "OperationalBindings",
    "FieldName": "LastObservedAt",
    "FieldIsDerived": false,
    "IsWritableDerivedField": false,
    "IsMasked": false,
    "GrantKeyWhenReadable": "principal-process-steward|OperationalBindings"
   },
   {
    "FieldGrantId": "fg-process-steward-OperationalBindings.FreshnessSlaMinutes",
    "Principal": "principal-process-steward",
    "TargetField": "OperationalBindings.FreshnessSlaMinutes",
    "CanRead": true,
    "CanWrite": false,
    "MaskStrategy": "plain",
    "SemanticTypeIri": "urn:effortless:pko-extension#FieldGrant",
    "Name": "principal-process-steward -&gt; OperationalBindings.FreshnessSlaMinutes",
    "FieldTable": "OperationalBindings",
    "FieldName": "FreshnessSlaMinutes",
    "FieldIsDerived": false,
    "IsWritableDerivedField": false,
    "IsMasked": false,
    "GrantKeyWhenReadable": "principal-process-steward|OperationalBindings"
   },
   {
    "FieldGrantId": "fg-process-steward-OperationalBindings.IsAuthoritative",
    "Principal": "principal-process-steward",
    "TargetField": "OperationalBindings.IsAuthoritative",
    "CanRead": true,
    "CanWrite": false,
    "MaskStrategy": "plain",
    "SemanticTypeIri": "urn:effortless:pko-extension#FieldGrant",
    "Name": "principal-process-steward -&gt; OperationalBindings.IsAuthoritative",
    "FieldTable": "OperationalBindings",
    "FieldName": "IsAuthoritative",
    "FieldIsDerived": false,
    "IsWritableDerivedField": false,
    "IsMasked": false,
    "GrantKeyWhenReadable": "principal-process-steward|OperationalBindings"
   },
   {
    "FieldGrantId": "fg-process-steward-OperationalBindings.EvaluationContext",
    "Principal": "principal-process-steward",
    "TargetField": "OperationalBindings.EvaluationContext",
    "CanRead": true,
    "CanWrite": false,
    "MaskStrategy": "plain",
    "SemanticTypeIri": "urn:effortless:pko-extension#FieldGrant",
    "Name": "principal-process-steward -&gt; OperationalBindings.EvaluationContext",
    "FieldTable": "OperationalBindings",
    "FieldName": "EvaluationContext",
    "FieldIsDerived": false,
    "IsWritableDerivedField": false,
    "IsMasked": false,
    "GrantKeyWhenReadable": "principal-process-steward|OperationalBindings"
   },
   {
    "FieldGrantId": "fg-process-steward-OperationalBindings.AsOfInstant",
    "Principal": "principal-process-steward",
    "TargetField": "OperationalBindings.AsOfInstant",
    "CanRead": true,
    "CanWrite": false,
    "MaskStrategy": "plain",
    "SemanticTypeIri": "urn:effortless:pko-extension#FieldGrant",
    "Name": "principal-process-steward -&gt; OperationalBindings.AsOfInstant",
    "FieldTable": "OperationalBindings",
    "FieldName": "AsOfInstant",
    "FieldIsDerived": true,
    "IsWritableDerivedField": false,
    "IsMasked": false,
    "GrantKeyWhenReadable": "principal-process-steward|OperationalBindings"
   },
   {
    "FieldGrantId": "fg-process-steward-OperationalBindings.AgeMinutes",
    "Principal": "principal-process-steward",
    "TargetField": "OperationalBindings.AgeMinutes",
    "CanRead": true,
    "CanWrite": false,
    "MaskStrategy": "plain",
    "SemanticTypeIri": "urn:effortless:pko-extension#FieldGrant",
    "Name": "principal-process-steward -&gt; OperationalBindings.AgeMinutes",
    "FieldTable": "OperationalBindings",
    "FieldName": "AgeMinutes",
    "FieldIsDerived": true,
    "IsWritableDerivedField": false,
    "IsMasked": false,
    "GrantKeyWhenReadable": "principal-process-steward|OperationalBindings"
   },
   {
    "FieldGrantId": "fg-process-steward-OperationalBindings.IsFresh",
    "Principal": "principal-process-steward",
    "TargetField": "OperationalBindings.IsFresh",
    "CanRead": true,
    "CanWrite": false,
    "MaskStrategy": "plain",
    "SemanticTypeIri": "urn:effortless:pko-extension#FieldGrant",
    "Name": "principal-process-steward -&gt; OperationalBindings.IsFresh",
    "FieldTable": "OperationalBindings",
    "FieldName": "IsFresh",
    "FieldIsDerived": true,
    "IsWritableDerivedField": false,
    "IsMasked": false,
    "GrantKeyWhenReadable": "principal-process-steward|OperationalBindings"
   },
   {
    "FieldGrantId": "fg-process-steward-OperationalBindings.StaleBindingStepKey",
    "Principal": "principal-process-steward",
    "TargetField": "OperationalBindings.StaleBindingStepKey",
    "CanRead": true,
    "CanWrite": false,
    "MaskStrategy": "plain",
    "SemanticTypeIri": "urn:effortless:pko-extension#FieldGrant",
    "Name": "principal-process-steward -&gt; OperationalBindings.StaleBindingStepKey",
    "FieldTable": "OperationalBindings",
    "FieldName": "StaleBindingStepKey",
    "FieldIsDerived": true,
    "IsWritableDerivedField": false,
    "IsMasked": false,
    "GrantKeyWhenReadable": "principal-process-steward|OperationalBindings"
   },
   {
    "FieldGrantId": "fg-process-steward-OperationalBindings.AuthoritativeStaleStepKey",
    "Principal": "principal-process-steward",
    "TargetField": "OperationalBindings.AuthoritativeStaleStepKey",
    "CanRead": true,
    "CanWrite": false,
    "MaskStrategy": "plain",
    "SemanticTypeIri": "urn:effortless:pko-extension#FieldGrant",
    "Name": "principal-process-steward -&gt; OperationalBindings.AuthoritativeStaleStepKey",
    "FieldTable": "OperationalBindings",
    "FieldName": "AuthoritativeStaleStepKey",
    "FieldIsDerived": true,
    "IsWritableDerivedField": false,
    "IsMasked": false,
    "GrantKeyWhenReadable": "principal-process-steward|OperationalBindings"
   },
   {
    "FieldGrantId": "fg-process-steward-OperationalBindings.IsStaleAndAuthoritative",
    "Principal": "principal-process-steward",
    "TargetField": "OperationalBindings.IsStaleAndAuthoritative",
    "CanRead": true,
    "CanWrite": false,
    "MaskStrategy": "plain",
    "SemanticTypeIri": "urn:effortless:pko-extension#FieldGrant",
    "Name": "principal-process-steward -&gt; OperationalBindings.IsStaleAndAuthoritative",
    "FieldTable": "OperationalBindings",
    "FieldName": "IsStaleAndAuthoritative",
    "FieldIsDerived": true,
    "IsWritableDerivedField": false,
    "IsMasked": false,
    "GrantKeyWhenReadable": "principal-process-steward|OperationalBindings"
   },
   {
    "FieldGrantId": "fg-process-steward-OperationalBindings.StepWhenStale",
    "Principal": "principal-process-steward",
    "TargetField": "OperationalBindings.StepWhenStale",
    "CanRead": true,
    "CanWrite": false,
    "MaskStrategy": "plain",
    "SemanticTypeIri": "urn:effortless:pko-extension#FieldGrant",
    "Name": "principal-process-steward -&gt; OperationalBindings.StepWhenStale",
    "FieldTable": "OperationalBindings",
    "FieldName": "StepWhenStale",
    "FieldIsDerived": true,
    "IsWritableDerivedField": false,
    "IsMasked": false,
    "GrantKeyWhenReadable": "principal-process-steward|OperationalBindings"
   },
   {
    "FieldGrantId": "fg-process-steward-OperationalBindings.ResourceIsApproved",
    "Principal": "principal-process-steward",
    "TargetField": "OperationalBindings.ResourceIsApproved",
    "CanRead": true,
    "CanWrite": false,
    "MaskStrategy": "plain",
    "SemanticTypeIri": "urn:effortless:pko-extension#FieldGrant",
    "Name": "principal-process-steward -&gt; OperationalBindings.ResourceIsApproved",
    "FieldTable": "OperationalBindings",
    "FieldName": "ResourceIsApproved",
    "FieldIsDerived": true,
    "IsWritableDerivedField": false,
    "IsMasked": false,
    "GrantKeyWhenReadable": "principal-process-steward|OperationalBindings"
   },
   {
    "FieldGrantId": "fg-process-steward-OperationalBindings.IsUsableForDrafting",
    "Principal": "principal-process-steward",
    "TargetField": "OperationalBindings.IsUsableForDrafting",
    "CanRead": true,
    "CanWrite": false,
    "MaskStrategy": "plain",
    "SemanticTypeIri": "urn:effortless:pko-extension#FieldGrant",
    "Name": "principal-process-steward -&gt; OperationalBindings.IsUsableForDrafting",
    "FieldTable": "OperationalBindings",
    "FieldName": "IsUsableForDrafting",
    "FieldIsDerived": true,
    "IsWritableDerivedField": false,
    "IsMasked": false,
    "GrantKeyWhenReadable": "principal-process-steward|OperationalBindings"
   },
   {
    "FieldGrantId": "fg-process-steward-OperationalBindings.StepWhenUnusable",
    "Principal": "principal-process-steward",
    "TargetField": "OperationalBindings.StepWhenUnusable",
    "CanRead": true,
    "CanWrite": false,
    "MaskStrategy": "plain",
    "SemanticTypeIri": "urn:effortless:pko-extension#FieldGrant",
    "Name": "principal-process-steward -&gt; OperationalBindings.StepWhenUnusable",
    "FieldTable": "OperationalBindings",
    "FieldName": "StepWhenUnusable",
    "FieldIsDerived": true,
    "IsWritableDerivedField": false,
    "IsMasked": false,
    "GrantKeyWhenReadable": "principal-process-steward|OperationalBindings"
   },
   {
    "FieldGrantId": "fg-process-steward-OperationalBindings.SemanticTypeIri",
    "Principal": "principal-process-steward",
    "TargetField": "OperationalBindings.SemanticTypeIri",
    "CanRead": true,
    "CanWrite": false,
    "MaskStrategy": "plain",
    "SemanticTypeIri": "urn:effortless:pko-extension#FieldGrant",
    "Name": "principal-process-steward -&gt; OperationalBindings.SemanticTypeIri",
    "FieldTable": "OperationalBindings",
    "FieldName": "SemanticTypeIri",
    "FieldIsDerived": false,
    "IsWritableDerivedField": false,
    "IsMasked": false,
    "GrantKeyWhenReadable": "principal-process-steward|OperationalBindings"
   },
   {
    "FieldGrantId": "fg-process-steward-Organizations.OrganizationId",
    "Principal": "principal-process-steward",
    "TargetField": "Organizations.OrganizationId",
    "CanRead": true,
    "CanWrite": false,
    "MaskStrategy": "plain",
    "SemanticTypeIri": "urn:effortless:pko-extension#FieldGrant",
    "Name": "principal-process-steward -&gt; Organizations.OrganizationId",
    "FieldTable": "Organizations",
    "FieldName": "OrganizationId",
    "FieldIsDerived": false,
    "IsWritableDerivedField": false,
    "IsMasked": false,
    "GrantKeyWhenReadable": "principal-process-steward|Organizations"
   },
   {
    "FieldGrantId": "fg-process-steward-Organizations.Name",
    "Principal": "principal-process-steward",
    "TargetField": "Organizations.Name",
    "CanRead": true,
    "CanWrite": false,
    "MaskStrategy": "plain",
    "SemanticTypeIri": "urn:effortless:pko-extension#FieldGrant",
    "Name": "principal-process-steward -&gt; Organizations.Name",
    "FieldTable": "Organizations",
    "FieldName": "Name",
    "FieldIsDerived": true,
    "IsWritableDerivedField": false,
    "IsMasked": false,
    "GrantKeyWhenReadable": "principal-process-steward|Organizations"
   },
   {
    "FieldGrantId": "fg-process-steward-Organizations.DisplayName",
    "Principal": "principal-process-steward",
    "TargetField": "Organizations.DisplayName",
    "CanRead": true,
    "CanWrite": false,
    "MaskStrategy": "plain",
    "SemanticTypeIri": "urn:effortless:pko-extension#FieldGrant",
    "Name": "principal-process-steward -&gt; Organizations.DisplayName",
    "FieldTable": "Organizations",
    "FieldName": "DisplayName",
    "FieldIsDerived": false,
    "IsWritableDerivedField": false,
    "IsMasked": false,
    "GrantKeyWhenReadable": "principal-process-steward|Organizations"
   },
   {
    "FieldGrantId": "fg-process-steward-Organizations.OrganizationType",
    "Principal": "principal-process-steward",
    "TargetField": "Organizations.OrganizationType",
    "CanRead": true,
    "CanWrite": false,
    "MaskStrategy": "plain",
    "SemanticTypeIri": "urn:effortless:pko-extension#FieldGrant",
    "Name": "principal-process-steward -&gt; Organizations.OrganizationType",
    "FieldTable": "Organizations",
    "FieldName": "OrganizationType",
    "FieldIsDerived": false,
    "IsWritableDerivedField": false,
    "IsMasked": false,
    "GrantKeyWhenReadable": "principal-process-steward|Organizations"
   },
   {
    "FieldGrantId": "fg-process-steward-Organizations.ExternalIdentifier",
    "Principal": "principal-process-steward",
    "TargetField": "Organizations.ExternalIdentifier",
    "CanRead": true,
    "CanWrite": false,
    "MaskStrategy": "plain",
    "SemanticTypeIri": "urn:effortless:pko-extension#FieldGrant",
    "Name": "principal-process-steward -&gt; Organizations.ExternalIdentifier",
    "FieldTable": "Organizations",
    "FieldName": "ExternalIdentifier",
    "FieldIsDerived": false,
    "IsWritableDerivedField": false,
    "IsMasked": false,
    "GrantKeyWhenReadable": "principal-process-steward|Organizations"
   },
   {
    "FieldGrantId": "fg-process-steward-Organizations.SemanticTypeIri",
    "Principal": "principal-process-steward",
    "TargetField": "Organizations.SemanticTypeIri",
    "CanRead": true,
    "CanWrite": false,
    "MaskStrategy": "plain",
    "SemanticTypeIri": "urn:effortless:pko-extension#FieldGrant",
    "Name": "principal-process-steward -&gt; Organizations.SemanticTypeIri",
    "FieldTable": "Organizations",
    "FieldName": "SemanticTypeIri",
    "FieldIsDerived": false,
    "IsWritableDerivedField": false,
    "IsMasked": false,
    "GrantKeyWhenReadable": "principal-process-steward|Organizations"
   },
   {
    "FieldGrantId": "fg-process-steward-ProcedureExecutions.ProcedureExecutionId",
    "Principal": "principal-process-steward",
    "TargetField": "ProcedureExecutions.ProcedureExecutionId",
    "CanRead": true,
    "CanWrite": false,
    "MaskStrategy": "plain",
    "SemanticTypeIri": "urn:effortless:pko-extension#FieldGrant",
    "Name": "principal-process-steward -&gt; ProcedureExecutions.ProcedureExecutionId",
    "FieldTable": "ProcedureExecutions",
    "FieldName": "ProcedureExecutionId",
    "FieldIsDerived": false,
    "IsWritableDerivedField": false,
    "IsMasked": false,
    "GrantKeyWhenReadable": "principal-process-steward|ProcedureExecutions"
   },
   {
    "FieldGrantId": "fg-process-steward-ProcedureExecutions.Name",
    "Principal": "principal-process-steward",
    "TargetField": "ProcedureExecutions.Name",
    "CanRead": true,
    "CanWrite": false,
    "MaskStrategy": "plain",
    "SemanticTypeIri": "urn:effortless:pko-extension#FieldGrant",
    "Name": "principal-process-steward -&gt; ProcedureExecutions.Name",
    "FieldTable": "ProcedureExecutions",
    "FieldName": "Name",
    "FieldIsDerived": true,
    "IsWritableDerivedField": false,
    "IsMasked": false,
    "GrantKeyWhenReadable": "principal-process-steward|ProcedureExecutions"
   },
   {
    "FieldGrantId": "fg-process-steward-ProcedureExecutions.ProcedureVersion",
    "Principal": "principal-process-steward",
    "TargetField": "ProcedureExecutions.ProcedureVersion",
    "CanRead": true,
    "CanWrite": false,
    "MaskStrategy": "plain",
    "SemanticTypeIri": "urn:effortless:pko-extension#FieldGrant",
    "Name": "principal-process-steward -&gt; ProcedureExecutions.ProcedureVersion",
    "FieldTable": "ProcedureExecutions",
    "FieldName": "ProcedureVersion",
    "FieldIsDerived": false,
    "IsWritableDerivedField": false,
    "IsMasked": false,
    "GrantKeyWhenReadable": "principal-process-steward|ProcedureExecutions"
   },
   {
    "FieldGrantId": "fg-process-steward-ProcedureExecutions.ExecutionStatus",
    "Principal": "principal-process-steward",
    "TargetField": "ProcedureExecutions.ExecutionStatus",
    "CanRead": true,
    "CanWrite": false,
    "MaskStrategy": "plain",
    "SemanticTypeIri": "urn:effortless:pko-extension#FieldGrant",
    "Name": "principal-process-steward -&gt; ProcedureExecutions.ExecutionStatus",
    "FieldTable": "ProcedureExecutions",
    "FieldName": "ExecutionStatus",
    "FieldIsDerived": false,
    "IsWritableDerivedField": false,
    "IsMasked": false,
    "GrantKeyWhenReadable": "principal-process-steward|ProcedureExecutions"
   },
   {
    "FieldGrantId": "fg-process-steward-ProcedureExecutions.StartedAt",
    "Principal": "principal-process-steward",
    "TargetField": "ProcedureExecutions.StartedAt",
    "CanRead": true,
    "CanWrite": false,
    "MaskStrategy": "plain",
    "SemanticTypeIri": "urn:effortless:pko-extension#FieldGrant",
    "Name": "principal-process-steward -&gt; ProcedureExecutions.StartedAt",
    "FieldTable": "ProcedureExecutions",
    "FieldName": "StartedAt",
    "FieldIsDerived": false,
    "IsWritableDerivedField": false,
    "IsMasked": false,
    "GrantKeyWhenReadable": "principal-process-steward|ProcedureExecutions"
   },
   {
    "FieldGrantId": "fg-process-steward-ProcedureExecutions.EndedAt",
    "Principal": "principal-process-steward",
    "TargetField": "ProcedureExecutions.EndedAt",
    "CanRead": true,
    "CanWrite": false,
    "MaskStrategy": "plain",
    "SemanticTypeIri": "urn:effortless:pko-extension#FieldGrant",
    "Name": "principal-process-steward -&gt; ProcedureExecutions.EndedAt",
    "FieldTable": "ProcedureExecutions",
    "FieldName": "EndedAt",
    "FieldIsDerived": false,
    "IsWritableDerivedField": false,
    "IsMasked": false,
    "GrantKeyWhenReadable": "principal-process-steward|ProcedureExecutions"
   },
   {
    "FieldGrantId": "fg-process-steward-ProcedureExecutions.ExecutedByAgent",
    "Principal": "principal-process-steward",
    "TargetField": "ProcedureExecutions.ExecutedByAgent",
    "CanRead": true,
    "CanWrite": false,
    "MaskStrategy": "plain",
    "SemanticTypeIri": "urn:effortless:pko-extension#FieldGrant",
    "Name": "principal-process-steward -&gt; ProcedureExecutions.ExecutedByAgent",
    "FieldTable": "ProcedureExecutions",
    "FieldName": "ExecutedByAgent",
    "FieldIsDerived": false,
    "IsWritableDerivedField": false,
    "IsMasked": false,
    "GrantKeyWhenReadable": "principal-process-steward|ProcedureExecutions"
   },
   {
    "FieldGrantId": "fg-process-steward-ProcedureExecutions.Context",
    "Principal": "principal-process-steward",
    "TargetField": "ProcedureExecutions.Context",
    "CanRead": true,
    "CanWrite": false,
    "MaskStrategy": "plain",
    "SemanticTypeIri": "urn:effortless:pko-extension#FieldGrant",
    "Name": "principal-process-steward -&gt; ProcedureExecutions.Context",
    "FieldTable": "ProcedureExecutions",
    "FieldName": "Context",
    "FieldIsDerived": false,
    "IsWritableDerivedField": false,
    "IsMasked": false,
    "GrantKeyWhenReadable": "principal-process-steward|ProcedureExecutions"
   },
   {
    "FieldGrantId": "fg-process-steward-ProcedureExecutions.OperationalRecordUri",
    "Principal": "principal-process-steward",
    "TargetField": "ProcedureExecutions.OperationalRecordUri",
    "CanRead": true,
    "CanWrite": false,
    "MaskStrategy": "plain",
    "SemanticTypeIri": "urn:effortless:pko-extension#FieldGrant",
    "Name": "principal-process-steward -&gt; ProcedureExecutions.OperationalRecordUri",
    "FieldTable": "ProcedureExecutions",
    "FieldName": "OperationalRecordUri",
    "FieldIsDerived": false,
    "IsWritableDerivedField": false,
    "IsMasked": false,
    "GrantKeyWhenReadable": "principal-process-steward|ProcedureExecutions"
   },
   {
    "FieldGrantId": "fg-process-steward-ProcedureExecutions.ExpectedStepCount",
    "Principal": "principal-process-steward",
    "TargetField": "ProcedureExecutions.ExpectedStepCount",
    "CanRead": true,
    "CanWrite": false,
    "MaskStrategy": "plain",
    "SemanticTypeIri": "urn:effortless:pko-extension#FieldGrant",
    "Name": "principal-process-steward -&gt; ProcedureExecutions.ExpectedStepCount",
    "FieldTable": "ProcedureExecutions",
    "FieldName": "ExpectedStepCount",
    "FieldIsDerived": true,
    "IsWritableDerivedField": false,
    "IsMasked": false,
    "GrantKeyWhenReadable": "principal-process-steward|ProcedureExecutions"
   },
   {
    "FieldGrantId": "fg-process-steward-ProcedureExecutions.CompletedStepCount",
    "Principal": "principal-process-steward",
    "TargetField": "ProcedureExecutions.CompletedStepCount",
    "CanRead": true,
    "CanWrite": false,
    "MaskStrategy": "plain",
    "SemanticTypeIri": "urn:effortless:pko-extension#FieldGrant",
    "Name": "principal-process-steward -&gt; ProcedureExecutions.CompletedStepCount",
    "FieldTable": "ProcedureExecutions",
    "FieldName": "CompletedStepCount",
    "FieldIsDerived": true,
    "IsWritableDerivedField": false,
    "IsMasked": false,
    "GrantKeyWhenReadable": "principal-process-steward|ProcedureExecutions"
   },
   {
    "FieldGrantId": "fg-process-steward-ProcedureExecutions.ControlBreachCount",
    "Principal": "principal-process-steward",
    "TargetField": "ProcedureExecutions.ControlBreachCount",
    "CanRead": true,
    "CanWrite": false,
    "MaskStrategy": "plain",
    "SemanticTypeIri": "urn:effortless:pko-extension#FieldGrant",
    "Name": "principal-process-steward -&gt; ProcedureExecutions.ControlBreachCount",
    "FieldTable": "ProcedureExecutions",
    "FieldName": "ControlBreachCount",
    "FieldIsDerived": true,
    "IsWritableDerivedField": false,
    "IsMasked": false,
    "GrantKeyWhenReadable": "principal-process-steward|ProcedureExecutions"
   },
   {
    "FieldGrantId": "fg-process-steward-ProcedureExecutions.LateStepCount",
    "Principal": "principal-process-steward",
    "TargetField": "ProcedureExecutions.LateStepCount",
    "CanRead": true,
    "CanWrite": false,
    "MaskStrategy": "plain",
    "SemanticTypeIri": "urn:effortless:pko-extension#FieldGrant",
    "Name": "principal-process-steward -&gt; ProcedureExecutions.LateStepCount",
    "FieldTable": "ProcedureExecutions",
    "FieldName": "LateStepCount",
    "FieldIsDerived": true,
    "IsWritableDerivedField": false,
    "IsMasked": false,
    "GrantKeyWhenReadable": "principal-process-steward|ProcedureExecutions"
   },
   {
    "FieldGrantId": "fg-process-steward-ProcedureExecutions.IsStructurallyComplete",
    "Principal": "principal-process-steward",
    "TargetField": "ProcedureExecutions.IsStructurallyComplete",
    "CanRead": true,
    "CanWrite": false,
    "MaskStrategy": "plain",
    "SemanticTypeIri": "urn:effortless:pko-extension#FieldGrant",
    "Name": "principal-process-steward -&gt; ProcedureExecutions.IsStructurallyComplete",
    "FieldTable": "ProcedureExecutions",
    "FieldName": "IsStructurallyComplete",
    "FieldIsDerived": true,
    "IsWritableDerivedField": false,
    "IsMasked": false,
    "GrantKeyWhenReadable": "principal-process-steward|ProcedureExecutions"
   },
   {
    "FieldGrantId": "fg-process-steward-ProcedureExecutions.DivergedFromSpecification",
    "Principal": "principal-process-steward",
    "TargetField": "ProcedureExecutions.DivergedFromSpecification",
    "CanRead": true,
    "CanWrite": false,
    "MaskStrategy": "plain",
    "SemanticTypeIri": "urn:effortless:pko-extension#FieldGrant",
    "Name": "principal-process-steward -&gt; ProcedureExecutions.DivergedFromSpecification",
    "FieldTable": "ProcedureExecutions",
    "FieldName": "DivergedFromSpecification",
    "FieldIsDerived": true,
    "IsWritableDerivedField": false,
    "IsMasked": false,
    "GrantKeyWhenReadable": "principal-process-steward|ProcedureExecutions"
   },
   {
    "FieldGrantId": "fg-process-steward-ProcedureExecutions.AllBlockingControlsEvaluated",
    "Principal": "principal-process-steward",
    "TargetField": "ProcedureExecutions.AllBlockingControlsEvaluated",
    "CanRead": true,
    "CanWrite": false,
    "MaskStrategy": "plain",
    "SemanticTypeIri": "urn:effortless:pko-extension#FieldGrant",
    "Name": "principal-process-steward -&gt; ProcedureExecutions.AllBlockingControlsEvaluated",
    "FieldTable": "ProcedureExecutions",
    "FieldName": "AllBlockingControlsEvaluated",
    "FieldIsDerived": true,
    "IsWritableDerivedField": false,
    "IsMasked": false,
    "GrantKeyWhenReadable": "principal-process-steward|ProcedureExecutions"
   },
   {
    "FieldGrantId": "fg-process-steward-ProcedureExecutions.UnevaluatedBlockingTotal",
    "Principal": "principal-process-steward",
    "TargetField": "ProcedureExecutions.UnevaluatedBlockingTotal",
    "CanRead": true,
    "CanWrite": false,
    "MaskStrategy": "plain",
    "SemanticTypeIri": "urn:effortless:pko-extension#FieldGrant",
    "Name": "principal-process-steward -&gt; ProcedureExecutions.UnevaluatedBlockingTotal",
    "FieldTable": "ProcedureExecutions",
    "FieldName": "UnevaluatedBlockingTotal",
    "FieldIsDerived": true,
    "IsWritableDerivedField": false,
    "IsMasked": false,
    "GrantKeyWhenReadable": "principal-process-steward|ProcedureExecutions"
   },
   {
    "FieldGrantId": "fg-process-steward-ProcedureExecutions.SeparationOfDutiesHeld",
    "Principal": "principal-process-steward",
    "TargetField": "ProcedureExecutions.SeparationOfDutiesHeld",
    "CanRead": true,
    "CanWrite": false,
    "MaskStrategy": "plain",
    "SemanticTypeIri": "urn:effortless:pko-extension#FieldGrant",
    "Name": "principal-process-steward -&gt; ProcedureExecutions.SeparationOfDutiesHeld",
    "FieldTable": "ProcedureExecutions",
    "FieldName": "SeparationOfDutiesHeld",
    "FieldIsDerived": true,
    "IsWritableDerivedField": false,
    "IsMasked": false,
    "GrantKeyWhenReadable": "principal-process-steward|ProcedureExecutions"
   },
   {
    "FieldGrantId": "fg-process-steward-ProcedureExecutions.SeparationViolationCount",
    "Principal": "principal-process-steward",
    "TargetField": "ProcedureExecutions.SeparationViolationCount",
    "CanRead": true,
    "CanWrite": false,
    "MaskStrategy": "plain",
    "SemanticTypeIri": "urn:effortless:pko-extension#FieldGrant",
    "Name": "principal-process-steward -&gt; ProcedureExecutions.SeparationViolationCount",
    "FieldTable": "ProcedureExecutions",
    "FieldName": "SeparationViolationCount",
    "FieldIsDerived": true,
    "IsWritableDerivedField": false,
    "IsMasked": false,
    "GrantKeyWhenReadable": "principal-process-steward|ProcedureExecutions"
   },
   {
    "FieldGrantId": "fg-process-steward-ProcedureExecutions.IsAttestationReady",
    "Principal": "principal-process-steward",
    "TargetField": "ProcedureExecutions.IsAttestationReady",
    "CanRead": true,
    "CanWrite": false,
    "MaskStrategy": "plain",
    "SemanticTypeIri": "urn:effortless:pko-extension#FieldGrant",
    "Name": "principal-process-steward -&gt; ProcedureExecutions.IsAttestationReady",
    "FieldTable": "ProcedureExecutions",
    "FieldName": "IsAttestationReady",
    "FieldIsDerived": true,
    "IsWritableDerivedField": false,
    "IsMasked": false,
    "GrantKeyWhenReadable": "principal-process-steward|ProcedureExecutions"
   },
   {
    "FieldGrantId": "fg-process-steward-ProcedureExecutions.AttestationBlockerSummary",
    "Principal": "principal-process-steward",
    "TargetField": "ProcedureExecutions.AttestationBlockerSummary",
    "CanRead": true,
    "CanWrite": false,
    "MaskStrategy": "plain",
    "SemanticTypeIri": "urn:effortless:pko-extension#FieldGrant",
    "Name": "principal-process-steward -&gt; ProcedureExecutions.AttestationBlockerSummary",
    "FieldTable": "ProcedureExecutions",
    "FieldName": "AttestationBlockerSummary",
    "FieldIsDerived": true,
    "IsWritableDerivedField": false,
    "IsMasked": false,
    "GrantKeyWhenReadable": "principal-process-steward|ProcedureExecutions"
   },
   {
    "FieldGrantId": "fg-process-steward-ProcedureExecutions.ExecutedVersionIsFit",
    "Principal": "principal-process-steward",
    "TargetField": "ProcedureExecutions.ExecutedVersionIsFit",
    "CanRead": true,
    "CanWrite": false,
    "MaskStrategy": "plain",
    "SemanticTypeIri": "urn:effortless:pko-extension#FieldGrant",
    "Name": "principal-process-steward -&gt; ProcedureExecutions.ExecutedVersionIsFit",
    "FieldTable": "ProcedureExecutions",
    "FieldName": "ExecutedVersionIsFit",
    "FieldIsDerived": true,
    "IsWritableDerivedField": false,
    "IsMasked": false,
    "GrantKeyWhenReadable": "principal-process-steward|ProcedureExecutions"
   },
   {
    "FieldGrantId": "fg-process-steward-ProcedureExecutions.SignedAgainstUnfitVersion",
    "Principal": "principal-process-steward",
    "TargetField": "ProcedureExecutions.SignedAgainstUnfitVersion",
    "CanRead": true,
    "CanWrite": false,
    "MaskStrategy": "plain",
    "SemanticTypeIri": "urn:effortless:pko-extension#FieldGrant",
    "Name": "principal-process-steward -&gt; ProcedureExecutions.SignedAgainstUnfitVersion",
    "FieldTable": "ProcedureExecutions",
    "FieldName": "SignedAgainstUnfitVersion",
    "FieldIsDerived": true,
    "IsWritableDerivedField": false,
    "IsMasked": false,
    "GrantKeyWhenReadable": "principal-process-steward|ProcedureExecutions"
   },
   {
    "FieldGrantId": "fg-process-steward-ProcedureExecutions.AssertedOnlyControlCount",
    "Principal": "principal-process-steward",
    "TargetField": "ProcedureExecutions.AssertedOnlyControlCount",
    "CanRead": true,
    "CanWrite": false,
    "MaskStrategy": "plain",
    "SemanticTypeIri": "urn:effortless:pko-extension#FieldGrant",
    "Name": "principal-process-steward -&gt; ProcedureExecutions.AssertedOnlyControlCount",
    "FieldTable": "ProcedureExecutions",
    "FieldName": "AssertedOnlyControlCount",
    "FieldIsDerived": true,
    "IsWritableDerivedField": false,
    "IsMasked": false,
    "GrantKeyWhenReadable": "principal-process-steward|ProcedureExecutions"
   },
   {
    "FieldGrantId": "fg-process-steward-ProcedureExecutions.AssuranceIsMostlyAsserted",
    "Principal": "principal-process-steward",
    "TargetField": "ProcedureExecutions.AssuranceIsMostlyAsserted",
    "CanRead": true,
    "CanWrite": false,
    "MaskStrategy": "plain",
    "SemanticTypeIri": "urn:effortless:pko-extension#FieldGrant",
    "Name": "principal-process-steward -&gt; ProcedureExecutions.AssuranceIsMostlyAsserted",
    "FieldTable": "ProcedureExecutions",
    "FieldName": "AssuranceIsMostlyAsserted",
    "FieldIsDerived": true,
    "IsWritableDerivedField": false,
    "IsMasked": false,
    "GrantKeyWhenReadable": "principal-process-steward|ProcedureExecutions"
   },
   {
    "FieldGrantId": "fg-process-steward-ProcedureExecutions.UnreachableHandlingFailureCount",
    "Principal": "principal-process-steward",
    "TargetField": "ProcedureExecutions.UnreachableHandlingFailureCount",
    "CanRead": true,
    "CanWrite": false,
    "MaskStrategy": "plain",
    "SemanticTypeIri": "urn:effortless:pko-extension#FieldGrant",
    "Name": "principal-process-steward -&gt; ProcedureExecutions.UnreachableHandlingFailureCount",
    "FieldTable": "ProcedureExecutions",
    "FieldName": "UnreachableHandlingFailureCount",
    "FieldIsDerived": true,
    "IsWritableDerivedField": false,
    "IsMasked": false,
    "GrantKeyWhenReadable": "principal-process-steward|Procedu</t>
  </si>
  <si>
    <t xml:space="preserve">reExecutions"
   },
   {
    "FieldGrantId": "fg-process-steward-ProcedureExecutions.RetentionBreachCount",
    "Principal": "principal-process-steward",
    "TargetField": "ProcedureExecutions.RetentionBreachCount",
    "CanRead": true,
    "CanWrite": false,
    "MaskStrategy": "plain",
    "SemanticTypeIri": "urn:effortless:pko-extension#FieldGrant",
    "Name": "principal-process-steward -&gt; ProcedureExecutions.RetentionBreachCount",
    "FieldTable": "ProcedureExecutions",
    "FieldName": "RetentionBreachCount",
    "FieldIsDerived": true,
    "IsWritableDerivedField": false,
    "IsMasked": false,
    "GrantKeyWhenReadable": "principal-process-steward|ProcedureExecutions"
   },
   {
    "FieldGrantId": "fg-process-steward-ProcedureExecutions.ClearedLegalReviewCount",
    "Principal": "principal-process-steward",
    "TargetField": "ProcedureExecutions.ClearedLegalReviewCount",
    "CanRead": true,
    "CanWrite": false,
    "MaskStrategy": "plain",
    "SemanticTypeIri": "urn:effortless:pko-extension#FieldGrant",
    "Name": "principal-process-steward -&gt; ProcedureExecutions.ClearedLegalReviewCount",
    "FieldTable": "ProcedureExecutions",
    "FieldName": "ClearedLegalReviewCount",
    "FieldIsDerived": true,
    "IsWritableDerivedField": false,
    "IsMasked": false,
    "GrantKeyWhenReadable": "principal-process-steward|ProcedureExecutions"
   },
   {
    "FieldGrantId": "fg-process-steward-ProcedureExecutions.HasClearedLegalReview",
    "Principal": "principal-process-steward",
    "TargetField": "ProcedureExecutions.HasClearedLegalReview",
    "CanRead": true,
    "CanWrite": false,
    "MaskStrategy": "plain",
    "SemanticTypeIri": "urn:effortless:pko-extension#FieldGrant",
    "Name": "principal-process-steward -&gt; ProcedureExecutions.HasClearedLegalReview",
    "FieldTable": "ProcedureExecutions",
    "FieldName": "HasClearedLegalReview",
    "FieldIsDerived": true,
    "IsWritableDerivedField": false,
    "IsMasked": false,
    "GrantKeyWhenReadable": "principal-process-steward|ProcedureExecutions"
   },
   {
    "FieldGrantId": "fg-process-steward-ProcedureExecutions.AbandonedFailureCount",
    "Principal": "principal-process-steward",
    "TargetField": "ProcedureExecutions.AbandonedFailureCount",
    "CanRead": true,
    "CanWrite": false,
    "MaskStrategy": "plain",
    "SemanticTypeIri": "urn:effortless:pko-extension#FieldGrant",
    "Name": "principal-process-steward -&gt; ProcedureExecutions.AbandonedFailureCount",
    "FieldTable": "ProcedureExecutions",
    "FieldName": "AbandonedFailureCount",
    "FieldIsDerived": true,
    "IsWritableDerivedField": false,
    "IsMasked": false,
    "GrantKeyWhenReadable": "principal-process-steward|ProcedureExecutions"
   },
   {
    "FieldGrantId": "fg-process-steward-ProcedureExecutions.DeliveredCount",
    "Principal": "principal-process-steward",
    "TargetField": "ProcedureExecutions.DeliveredCount",
    "CanRead": true,
    "CanWrite": false,
    "MaskStrategy": "plain",
    "SemanticTypeIri": "urn:effortless:pko-extension#FieldGrant",
    "Name": "principal-process-steward -&gt; ProcedureExecutions.DeliveredCount",
    "FieldTable": "ProcedureExecutions",
    "FieldName": "DeliveredCount",
    "FieldIsDerived": true,
    "IsWritableDerivedField": false,
    "IsMasked": false,
    "GrantKeyWhenReadable": "principal-process-steward|ProcedureExecutions"
   },
   {
    "FieldGrantId": "fg-process-steward-ProcedureExecutions.TotalDeliveryAttemptCount",
    "Principal": "principal-process-steward",
    "TargetField": "ProcedureExecutions.TotalDeliveryAttemptCount",
    "CanRead": true,
    "CanWrite": false,
    "MaskStrategy": "plain",
    "SemanticTypeIri": "urn:effortless:pko-extension#FieldGrant",
    "Name": "principal-process-steward -&gt; ProcedureExecutions.TotalDeliveryAttemptCount",
    "FieldTable": "ProcedureExecutions",
    "FieldName": "TotalDeliveryAttemptCount",
    "FieldIsDerived": true,
    "IsWritableDerivedField": false,
    "IsMasked": false,
    "GrantKeyWhenReadable": "principal-process-steward|ProcedureExecutions"
   },
   {
    "FieldGrantId": "fg-process-steward-ProcedureExecutions.HasAbandonedFailures",
    "Principal": "principal-process-steward",
    "TargetField": "ProcedureExecutions.HasAbandonedFailures",
    "CanRead": true,
    "CanWrite": false,
    "MaskStrategy": "plain",
    "SemanticTypeIri": "urn:effortless:pko-extension#FieldGrant",
    "Name": "principal-process-steward -&gt; ProcedureExecutions.HasAbandonedFailures",
    "FieldTable": "ProcedureExecutions",
    "FieldName": "HasAbandonedFailures",
    "FieldIsDerived": true,
    "IsWritableDerivedField": false,
    "IsMasked": false,
    "GrantKeyWhenReadable": "principal-process-steward|ProcedureExecutions"
   },
   {
    "FieldGrantId": "fg-process-steward-ProcedureExecutions.MishandledRefusalCount",
    "Principal": "principal-process-steward",
    "TargetField": "ProcedureExecutions.MishandledRefusalCount",
    "CanRead": true,
    "CanWrite": false,
    "MaskStrategy": "plain",
    "SemanticTypeIri": "urn:effortless:pko-extension#FieldGrant",
    "Name": "principal-process-steward -&gt; ProcedureExecutions.MishandledRefusalCount",
    "FieldTable": "ProcedureExecutions",
    "FieldName": "MishandledRefusalCount",
    "FieldIsDerived": true,
    "IsWritableDerivedField": false,
    "IsMasked": false,
    "GrantKeyWhenReadable": "principal-process-steward|ProcedureExecutions"
   },
   {
    "FieldGrantId": "fg-process-steward-ProcedureExecutions.UncleanStepCount",
    "Principal": "principal-process-steward",
    "TargetField": "ProcedureExecutions.UncleanStepCount",
    "CanRead": true,
    "CanWrite": false,
    "MaskStrategy": "plain",
    "SemanticTypeIri": "urn:effortless:pko-extension#FieldGrant",
    "Name": "principal-process-steward -&gt; ProcedureExecutions.UncleanStepCount",
    "FieldTable": "ProcedureExecutions",
    "FieldName": "UncleanStepCount",
    "FieldIsDerived": true,
    "IsWritableDerivedField": false,
    "IsMasked": false,
    "GrantKeyWhenReadable": "principal-process-steward|ProcedureExecutions"
   },
   {
    "FieldGrantId": "fg-process-steward-ProcedureExecutions.RanClean",
    "Principal": "principal-process-steward",
    "TargetField": "ProcedureExecutions.RanClean",
    "CanRead": true,
    "CanWrite": false,
    "MaskStrategy": "plain",
    "SemanticTypeIri": "urn:effortless:pko-extension#FieldGrant",
    "Name": "principal-process-steward -&gt; ProcedureExecutions.RanClean",
    "FieldTable": "ProcedureExecutions",
    "FieldName": "RanClean",
    "FieldIsDerived": true,
    "IsWritableDerivedField": false,
    "IsMasked": false,
    "GrantKeyWhenReadable": "principal-process-steward|ProcedureExecutions"
   },
   {
    "FieldGrantId": "fg-process-steward-ProcedureExecutions.CountOfApprovalExecutions",
    "Principal": "principal-process-steward",
    "TargetField": "ProcedureExecutions.CountOfApprovalExecutions",
    "CanRead": true,
    "CanWrite": false,
    "MaskStrategy": "plain",
    "SemanticTypeIri": "urn:effortless:pko-extension#FieldGrant",
    "Name": "principal-process-steward -&gt; ProcedureExecutions.CountOfApprovalExecutions",
    "FieldTable": "ProcedureExecutions",
    "FieldName": "CountOfApprovalExecutions",
    "FieldIsDerived": true,
    "IsWritableDerivedField": false,
    "IsMasked": false,
    "GrantKeyWhenReadable": "principal-process-steward|ProcedureExecutions"
   },
   {
    "FieldGrantId": "fg-process-steward-ProcedureExecutions.HasHumanApproval",
    "Principal": "principal-process-steward",
    "TargetField": "ProcedureExecutions.HasHumanApproval",
    "CanRead": true,
    "CanWrite": false,
    "MaskStrategy": "plain",
    "SemanticTypeIri": "urn:effortless:pko-extension#FieldGrant",
    "Name": "principal-process-steward -&gt; ProcedureExecutions.HasHumanApproval",
    "FieldTable": "ProcedureExecutions",
    "FieldName": "HasHumanApproval",
    "FieldIsDerived": true,
    "IsWritableDerivedField": false,
    "IsMasked": false,
    "GrantKeyWhenReadable": "principal-process-steward|ProcedureExecutions"
   },
   {
    "FieldGrantId": "fg-process-steward-ProcedureExecutions.CountOfDeliveryExecutions",
    "Principal": "principal-process-steward",
    "TargetField": "ProcedureExecutions.CountOfDeliveryExecutions",
    "CanRead": true,
    "CanWrite": false,
    "MaskStrategy": "plain",
    "SemanticTypeIri": "urn:effortless:pko-extension#FieldGrant",
    "Name": "principal-process-steward -&gt; ProcedureExecutions.CountOfDeliveryExecutions",
    "FieldTable": "ProcedureExecutions",
    "FieldName": "CountOfDeliveryExecutions",
    "FieldIsDerived": true,
    "IsWritableDerivedField": false,
    "IsMasked": false,
    "GrantKeyWhenReadable": "principal-process-steward|ProcedureExecutions"
   },
   {
    "FieldGrantId": "fg-process-steward-ProcedureExecutions.HasDelivered",
    "Principal": "principal-process-steward",
    "TargetField": "ProcedureExecutions.HasDelivered",
    "CanRead": true,
    "CanWrite": false,
    "MaskStrategy": "plain",
    "SemanticTypeIri": "urn:effortless:pko-extension#FieldGrant",
    "Name": "principal-process-steward -&gt; ProcedureExecutions.HasDelivered",
    "FieldTable": "ProcedureExecutions",
    "FieldName": "HasDelivered",
    "FieldIsDerived": true,
    "IsWritableDerivedField": false,
    "IsMasked": false,
    "GrantKeyWhenReadable": "principal-process-steward|ProcedureExecutions"
   },
   {
    "FieldGrantId": "fg-process-steward-ProcedureExecutions.DeliveredWithoutApproval",
    "Principal": "principal-process-steward",
    "TargetField": "ProcedureExecutions.DeliveredWithoutApproval",
    "CanRead": true,
    "CanWrite": false,
    "MaskStrategy": "plain",
    "SemanticTypeIri": "urn:effortless:pko-extension#FieldGrant",
    "Name": "principal-process-steward -&gt; ProcedureExecutions.DeliveredWithoutApproval",
    "FieldTable": "ProcedureExecutions",
    "FieldName": "DeliveredWithoutApproval",
    "FieldIsDerived": true,
    "IsWritableDerivedField": false,
    "IsMasked": false,
    "GrantKeyWhenReadable": "principal-process-steward|ProcedureExecutions"
   },
   {
    "FieldGrantId": "fg-process-steward-ProcedureExecutions.InvalidApprovalCount",
    "Principal": "principal-process-steward",
    "TargetField": "ProcedureExecutions.InvalidApprovalCount",
    "CanRead": true,
    "CanWrite": false,
    "MaskStrategy": "plain",
    "SemanticTypeIri": "urn:effortless:pko-extension#FieldGrant",
    "Name": "principal-process-steward -&gt; ProcedureExecutions.InvalidApprovalCount",
    "FieldTable": "ProcedureExecutions",
    "FieldName": "InvalidApprovalCount",
    "FieldIsDerived": true,
    "IsWritableDerivedField": false,
    "IsMasked": false,
    "GrantKeyWhenReadable": "principal-process-steward|ProcedureExecutions"
   },
   {
    "FieldGrantId": "fg-process-steward-ProcedureExecutions.ApprovalChainIsComplete",
    "Principal": "principal-process-steward",
    "TargetField": "ProcedureExecutions.ApprovalChainIsComplete",
    "CanRead": true,
    "CanWrite": false,
    "MaskStrategy": "plain",
    "SemanticTypeIri": "urn:effortless:pko-extension#FieldGrant",
    "Name": "principal-process-steward -&gt; ProcedureExecutions.ApprovalChainIsComplete",
    "FieldTable": "ProcedureExecutions",
    "FieldName": "ApprovalChainIsComplete",
    "FieldIsDerived": true,
    "IsWritableDerivedField": false,
    "IsMasked": false,
    "GrantKeyWhenReadable": "principal-process-steward|ProcedureExecutions"
   },
   {
    "FieldGrantId": "fg-process-steward-ProcedureExecutions.VacuouslyCleanStepCount",
    "Principal": "principal-process-steward",
    "TargetField": "ProcedureExecutions.VacuouslyCleanStepCount",
    "CanRead": true,
    "CanWrite": false,
    "MaskStrategy": "plain",
    "SemanticTypeIri": "urn:effortless:pko-extension#FieldGrant",
    "Name": "principal-process-steward -&gt; ProcedureExecutions.VacuouslyCleanStepCount",
    "FieldTable": "ProcedureExecutions",
    "FieldName": "VacuouslyCleanStepCount",
    "FieldIsDerived": true,
    "IsWritableDerivedField": false,
    "IsMasked": false,
    "GrantKeyWhenReadable": "principal-process-steward|ProcedureExecutions"
   },
   {
    "FieldGrantId": "fg-process-steward-ProcedureExecutions.PreparationStepCount",
    "Principal": "principal-process-steward",
    "TargetField": "ProcedureExecutions.PreparationStepCount",
    "CanRead": true,
    "CanWrite": false,
    "MaskStrategy": "plain",
    "SemanticTypeIri": "urn:effortless:pko-extension#FieldGrant",
    "Name": "principal-process-steward -&gt; ProcedureExecutions.PreparationStepCount",
    "FieldTable": "ProcedureExecutions",
    "FieldName": "PreparationStepCount",
    "FieldIsDerived": true,
    "IsWritableDerivedField": false,
    "IsMasked": false,
    "GrantKeyWhenReadable": "principal-process-steward|ProcedureExecutions"
   },
   {
    "FieldGrantId": "fg-process-steward-ProcedureExecutions.ApprovalStepCount",
    "Principal": "principal-process-steward",
    "TargetField": "ProcedureExecutions.ApprovalStepCount",
    "CanRead": true,
    "CanWrite": false,
    "MaskStrategy": "plain",
    "SemanticTypeIri": "urn:effortless:pko-extension#FieldGrant",
    "Name": "principal-process-steward -&gt; ProcedureExecutions.ApprovalStepCount",
    "FieldTable": "ProcedureExecutions",
    "FieldName": "ApprovalStepCount",
    "FieldIsDerived": true,
    "IsWritableDerivedField": false,
    "IsMasked": false,
    "GrantKeyWhenReadable": "principal-process-steward|ProcedureExecutions"
   },
   {
    "FieldGrantId": "fg-process-steward-ProcedureExecutions.SeparationWasTestable",
    "Principal": "principal-process-steward",
    "TargetField": "ProcedureExecutions.SeparationWasTestable",
    "CanRead": true,
    "CanWrite": false,
    "MaskStrategy": "plain",
    "SemanticTypeIri": "urn:effortless:pko-extension#FieldGrant",
    "Name": "principal-process-steward -&gt; ProcedureExecutions.SeparationWasTestable",
    "FieldTable": "ProcedureExecutions",
    "FieldName": "SeparationWasTestable",
    "FieldIsDerived": true,
    "IsWritableDerivedField": false,
    "IsMasked": false,
    "GrantKeyWhenReadable": "principal-process-steward|ProcedureExecutions"
   },
   {
    "FieldGrantId": "fg-process-steward-ProcedureExecutions.SeparationHeldUnderTest",
    "Principal": "principal-process-steward",
    "TargetField": "ProcedureExecutions.SeparationHeldUnderTest",
    "CanRead": true,
    "CanWrite": false,
    "MaskStrategy": "plain",
    "SemanticTypeIri": "urn:effortless:pko-extension#FieldGrant",
    "Name": "principal-process-steward -&gt; ProcedureExecutions.SeparationHeldUnderTest",
    "FieldTable": "ProcedureExecutions",
    "FieldName": "SeparationHeldUnderTest",
    "FieldIsDerived": true,
    "IsWritableDerivedField": false,
    "IsMasked": false,
    "GrantKeyWhenReadable": "principal-process-steward|ProcedureExecutions"
   },
   {
    "FieldGrantId": "fg-process-steward-ProcedureExecutions.SeparationIsVacuouslyGreen",
    "Principal": "principal-process-steward",
    "TargetField": "ProcedureExecutions.SeparationIsVacuouslyGreen",
    "CanRead": true,
    "CanWrite": false,
    "MaskStrategy": "plain",
    "SemanticTypeIri": "urn:effortless:pko-extension#FieldGrant",
    "Name": "principal-process-steward -&gt; ProcedureExecutions.SeparationIsVacuouslyGreen",
    "FieldTable": "ProcedureExecutions",
    "FieldName": "SeparationIsVacuouslyGreen",
    "FieldIsDerived": true,
    "IsWritableDerivedField": false,
    "IsMasked": false,
    "GrantKeyWhenReadable": "principal-process-steward|ProcedureExecutions"
   },
   {
    "FieldGrantId": "fg-process-steward-ProcedureExecutions.SeparationAssuranceNote",
    "Principal": "principal-process-steward",
    "TargetField": "ProcedureExecutions.SeparationAssuranceNote",
    "CanRead": true,
    "CanWrite": false,
    "MaskStrategy": "plain",
    "SemanticTypeIri": "urn:effortless:pko-extension#FieldGrant",
    "Name": "principal-process-steward -&gt; ProcedureExecutions.SeparationAssuranceNote",
    "FieldTable": "ProcedureExecutions",
    "FieldName": "SeparationAssuranceNote",
    "FieldIsDerived": true,
    "IsWritableDerivedField": false,
    "IsMasked": false,
    "GrantKeyWhenReadable": "principal-process-steward|ProcedureExecutions"
   },
   {
    "FieldGrantId": "fg-process-steward-ProcedureExecutions.UngovernedDivergenceCount",
    "Principal": "principal-process-steward",
    "TargetField": "ProcedureExecutions.UngovernedDivergenceCount",
    "CanRead": true,
    "CanWrite": false,
    "MaskStrategy": "plain",
    "SemanticTypeIri": "urn:effortless:pko-extension#FieldGrant",
    "Name": "principal-process-steward -&gt; ProcedureExecutions.UngovernedDivergenceCount",
    "FieldTable": "ProcedureExecutions",
    "FieldName": "UngovernedDivergenceCount",
    "FieldIsDerived": true,
    "IsWritableDerivedField": false,
    "IsMasked": false,
    "GrantKeyWhenReadable": "principal-process-steward|ProcedureExecutions"
   },
   {
    "FieldGrantId": "fg-process-steward-ProcedureExecutions.DivergenceWasFullyGoverned",
    "Principal": "principal-process-steward",
    "TargetField": "ProcedureExecutions.DivergenceWasFullyGoverned",
    "CanRead": true,
    "CanWrite": false,
    "MaskStrategy": "plain",
    "SemanticTypeIri": "urn:effortless:pko-extension#FieldGrant",
    "Name": "principal-process-steward -&gt; ProcedureExecutions.DivergenceWasFullyGoverned",
    "FieldTable": "ProcedureExecutions",
    "FieldName": "DivergenceWasFullyGoverned",
    "FieldIsDerived": true,
    "IsWritableDerivedField": false,
    "IsMasked": false,
    "GrantKeyWhenReadable": "principal-process-steward|ProcedureExecutions"
   },
   {
    "FieldGrantId": "fg-process-steward-ProcedureExecutions.ComputedlyWitnessedControlCount",
    "Principal": "principal-process-steward",
    "TargetField": "ProcedureExecutions.ComputedlyWitnessedControlCount",
    "CanRead": true,
    "CanWrite": false,
    "MaskStrategy": "plain",
    "SemanticTypeIri": "urn:effortless:pko-extension#FieldGrant",
    "Name": "principal-process-steward -&gt; ProcedureExecutions.ComputedlyWitnessedControlCount",
    "FieldTable": "ProcedureExecutions",
    "FieldName": "ComputedlyWitnessedControlCount",
    "FieldIsDerived": true,
    "IsWritableDerivedField": false,
    "IsMasked": false,
    "GrantKeyWhenReadable": "principal-process-steward|ProcedureExecutions"
   },
   {
    "FieldGrantId": "fg-process-steward-ProcedureExecutions.EvaluatedControlCount",
    "Principal": "principal-process-steward",
    "TargetField": "ProcedureExecutions.EvaluatedControlCount",
    "CanRead": true,
    "CanWrite": false,
    "MaskStrategy": "plain",
    "SemanticTypeIri": "urn:effortless:pko-extension#FieldGrant",
    "Name": "principal-process-steward -&gt; ProcedureExecutions.EvaluatedControlCount",
    "FieldTable": "ProcedureExecutions",
    "FieldName": "EvaluatedControlCount",
    "FieldIsDerived": true,
    "IsWritableDerivedField": false,
    "IsMasked": false,
    "GrantKeyWhenReadable": "principal-process-steward|ProcedureExecutions"
   },
   {
    "FieldGrantId": "fg-process-steward-ProcedureExecutions.ComputedAssuranceRatio",
    "Principal": "principal-process-steward",
    "TargetField": "ProcedureExecutions.ComputedAssuranceRatio",
    "CanRead": true,
    "CanWrite": false,
    "MaskStrategy": "plain",
    "SemanticTypeIri": "urn:effortless:pko-extension#FieldGrant",
    "Name": "principal-process-steward -&gt; ProcedureExecutions.ComputedAssuranceRatio",
    "FieldTable": "ProcedureExecutions",
    "FieldName": "ComputedAssuranceRatio",
    "FieldIsDerived": true,
    "IsWritableDerivedField": false,
    "IsMasked": false,
    "GrantKeyWhenReadable": "principal-process-steward|ProcedureExecutions"
   },
   {
    "FieldGrantId": "fg-process-steward-ProcedureExecutions.InterestedPartyAssertionCount",
    "Principal": "principal-process-steward",
    "TargetField": "ProcedureExecutions.InterestedPartyAssertionCount",
    "CanRead": true,
    "CanWrite": false,
    "MaskStrategy": "plain",
    "SemanticTypeIri": "urn:effortless:pko-extension#FieldGrant",
    "Name": "principal-process-steward -&gt; ProcedureExecutions.InterestedPartyAssertionCount",
    "FieldTable": "ProcedureExecutions",
    "FieldName": "InterestedPartyAssertionCount",
    "FieldIsDerived": true,
    "IsWritableDerivedField": false,
    "IsMasked": false,
    "GrantKeyWhenReadable": "principal-process-steward|ProcedureExecutions"
   },
   {
    "FieldGrantId": "fg-process-steward-ProcedureExecutions.AssuranceGrade",
    "Principal": "principal-process-steward",
    "TargetField": "ProcedureExecutions.AssuranceGrade",
    "CanRead": true,
    "CanWrite": false,
    "MaskStrategy": "plain",
    "SemanticTypeIri": "urn:effortless:pko-extension#FieldGrant",
    "Name": "principal-process-steward -&gt; ProcedureExecutions.AssuranceGrade",
    "FieldTable": "ProcedureExecutions",
    "FieldName": "AssuranceGrade",
    "FieldIsDerived": true,
    "IsWritableDerivedField": false,
    "IsMasked": false,
    "GrantKeyWhenReadable": "principal-process-steward|ProcedureExecutions"
   },
   {
    "FieldGrantId": "fg-process-steward-ProcedureExecutions.AttestationWouldBeWeaklyBased",
    "Principal": "principal-process-steward",
    "TargetField": "ProcedureExecutions.AttestationWouldBeWeaklyBased",
    "CanRead": true,
    "CanWrite": false,
    "MaskStrategy": "plain",
    "SemanticTypeIri": "urn:effortless:pko-extension#FieldGrant",
    "Name": "principal-process-steward -&gt; ProcedureExecutions.AttestationWouldBeWeaklyBased",
    "FieldTable": "ProcedureExecutions",
    "FieldName": "AttestationWouldBeWeaklyBased",
    "FieldIsDerived": true,
    "IsWritableDerivedField": false,
    "IsMasked": false,
    "GrantKeyWhenReadable": "principal-process-steward|ProcedureExecutions"
   },
   {
    "FieldGrantId": "fg-process-steward-ProcedureExecutions.IndependentHumanObservationCount",
    "Principal": "principal-process-steward",
    "TargetField": "ProcedureExecutions.IndependentHumanObservationCount",
    "CanRead": true,
    "CanWrite": false,
    "MaskStrategy": "plain",
    "SemanticTypeIri": "urn:effortless:pko-extension#FieldGrant",
    "Name": "principal-process-steward -&gt; ProcedureExecutions.IndependentHumanObservationCount",
    "FieldTable": "ProcedureExecutions",
    "FieldName": "IndependentHumanObservationCount",
    "FieldIsDerived": true,
    "IsWritableDerivedField": false,
    "IsMasked": false,
    "GrantKeyWhenReadable": "principal-process-steward|ProcedureExecutions"
   },
   {
    "FieldGrantId": "fg-process-steward-ProcedureExecutions.HasAnyIndependentObservation",
    "Principal": "principal-process-steward",
    "TargetField": "ProcedureExecutions.HasAnyIndependentObservation",
    "CanRead": true,
    "CanWrite": false,
    "MaskStrategy": "plain",
    "SemanticTypeIri": "urn:effortless:pko-extension#FieldGrant",
    "Name": "principal-process-steward -&gt; ProcedureExecutions.HasAnyIndependentObservation",
    "FieldTable": "ProcedureExecutions",
    "FieldName": "HasAnyIndependentObservation",
    "FieldIsDerived": true,
    "IsWritableDerivedField": false,
    "IsMasked": false,
    "GrantKeyWhenReadable": "principal-process-steward|ProcedureExecutions"
   },
   {
    "FieldGrantId": "fg-process-steward-ProcedureExecutions.SelfAttestedApprovalCount",
    "Principal": "principal-process-steward",
    "TargetField": "ProcedureExecutions.SelfAttestedApprovalCount",
    "CanRead": true,
    "CanWrite": false,
    "MaskStrategy": "plain",
    "SemanticTypeIri": "urn:effortless:pko-extension#FieldGrant",
    "Name": "principal-process-steward -&gt; ProcedureExecutions.SelfAttestedApprovalCount",
    "FieldTable": "ProcedureExecutions",
    "FieldName": "SelfAttestedApprovalCount",
    "FieldIsDerived": true,
    "IsWritableDerivedField": false,
    "IsMasked": false,
    "GrantKeyWhenReadable": "principal-process-steward|ProcedureExecutions"
   },
   {
    "FieldGrantId": "fg-process-steward-ProcedureExecutions.AssuranceChainIsCircular",
    "Principal": "principal-process-steward",
    "TargetField": "ProcedureExecutions.AssuranceChainIsCircular",
    "CanRead": true,
    "CanWrite": false,
    "MaskStrategy": "plain",
    "SemanticTypeIri": "urn:effortless:pko-extension#FieldGrant",
    "Name": "principal-process-steward -&gt; ProcedureExecutions.AssuranceChainIsCircular",
    "FieldTable": "ProcedureExecutions",
    "FieldName": "AssuranceChainIsCircular",
    "FieldIsDerived": true,
    "IsWritableDerivedField": false,
    "IsMasked": false,
    "GrantKeyWhenReadable": "principal-process-steward|ProcedureExecutions"
   },
   {
    "FieldGrantId": "fg-process-steward-ProcedureExecutions.LatestAttestationInstant",
    "Principal": "principal-process-steward",
    "TargetField": "ProcedureExecutions.LatestAttestationInstant",
    "CanRead": true,
    "CanWrite": false,
    "MaskStrategy": "plain",
    "SemanticTypeIri": "urn:effortless:pko-extension#FieldGrant",
    "Name": "principal-process-steward -&gt; ProcedureExecutions.LatestAttestationInstant",
    "FieldTable": "ProcedureExecutions",
    "FieldName": "LatestAttestationInstant",
    "FieldIsDerived": true,
    "IsWritableDerivedField": false,
    "IsMasked": false,
    "GrantKeyWhenReadable": "principal-process-steward|ProcedureExecutions"
   },
   {
    "FieldGrantId": "fg-process-steward-ProcedureExecutions.HasBeenAttested",
    "Principal": "principal-process-steward",
    "TargetField": "ProcedureExecutions.HasBeenAttested",
    "CanRead": true,
    "CanWrite": false,
    "MaskStrategy": "plain",
    "SemanticTypeIri": "urn:effortless:pko-extension#FieldGrant",
    "Name": "principal-process-steward -&gt; ProcedureExecutions.HasBeenAttested",
    "FieldTable": "ProcedureExecutions",
    "FieldName": "HasBeenAttested",
    "FieldIsDerived": true,
    "IsWritableDerivedField": false,
    "IsMasked": false,
    "GrantKeyWhenReadable": "principal-process-steward|ProcedureExecutions"
   },
   {
    "FieldGrantId": "fg-process-steward-ProcedureExecutions.AttestationCount",
    "Principal": "principal-process-steward",
    "TargetField": "ProcedureExecutions.AttestationCount",
    "CanRead": true,
    "CanWrite": false,
    "MaskStrategy": "plain",
    "SemanticTypeIri": "urn:effortless:pko-extension#FieldGrant",
    "Name": "principal-process-steward -&gt; ProcedureExecutions.AttestationCount",
    "FieldTable": "ProcedureExecutions",
    "FieldName": "AttestationCount",
    "FieldIsDerived": true,
    "IsWritableDerivedField": false,
    "IsMasked": false,
    "GrantKeyWhenReadable": "principal-process-steward|ProcedureExecutions"
   },
   {
    "FieldGrantId": "fg-process-steward-ProcedureExecutions.PostAttestationScoreCount",
    "Principal": "principal-process-steward",
    "TargetField": "ProcedureExecutions.PostAttestationScoreCount",
    "CanRead": true,
    "CanWrite": false,
    "MaskStrategy": "plain",
    "SemanticTypeIri": "urn:effortless:pko-extension#FieldGrant",
    "Name": "principal-process-steward -&gt; ProcedureExecutions.PostAttestationScoreCount",
    "FieldTable": "ProcedureExecutions",
    "FieldName": "PostAttestationScoreCount",
    "FieldIsDerived": true,
    "IsWritableDerivedField": false,
    "IsMasked": false,
    "GrantKeyWhenReadable": "principal-process-steward|ProcedureExecutions"
   },
   {
    "FieldGrantId": "fg-process-steward-ProcedureExecutions.BasisChangedAfterSignature",
    "Principal": "principal-process-steward",
    "TargetField": "ProcedureExecutions.BasisChangedAfterSignature",
    "CanRead": true,
    "CanWrite": false,
    "MaskStrategy": "plain",
    "SemanticTypeIri": "urn:effortless:pko-extension#FieldGrant",
    "Name": "principal-process-steward -&gt; ProcedureExecutions.BasisChangedAfterSignature",
    "FieldTable": "ProcedureExecutions",
    "FieldName": "BasisChangedAfterSignature",
    "FieldIsDerived": true,
    "IsWritableDerivedField": false,
    "IsMasked": false,
    "GrantKeyWhenReadable": "principal-process-steward|ProcedureExecutions"
   },
   {
    "FieldGrantId": "fg-process-steward-ProcedureExecutions.RequiresReAttestation",
    "Principal": "principal-process-steward",
    "TargetField": "ProcedureExecutions.RequiresReAttestation",
    "CanRead": true,
    "CanWrite": false,
    "MaskStrategy": "plain",
    "SemanticTypeIri": "urn:effortless:pko-extension#FieldGrant",
    "Name": "principal-process-steward -&gt; ProcedureExecutions.RequiresReAttestation",
    "FieldTable": "ProcedureExecutions",
    "FieldName": "RequiresReAttestation",
    "FieldIsDerived": true,
    "IsWritableDerivedField": false,
    "IsMasked": false,
    "GrantKeyWhenReadable": "principal-process-steward|ProcedureExecutions"
   },
   {
    "FieldGrantId": "fg-process-steward-ProcedureExecutions.IntendedRecipientCount",
    "Principal": "principal-process-steward",
    "TargetField": "ProcedureExecutions.IntendedRecipientCount",
    "CanRead": true,
    "CanWrite": false,
    "MaskStrategy": "plain",
    "SemanticTypeIri": "urn:effortless:pko-extension#FieldGrant",
    "Name": "principal-process-steward -&gt; ProcedureExecutions.IntendedRecipientCount",
    "FieldTable": "ProcedureExecutions",
    "FieldName": "IntendedRecipientCount",
    "FieldIsDerived": true,
    "IsWritableDerivedField": false,
    "IsMasked": false,
    "GrantKeyWhenReadable": "principal-process-steward|ProcedureExecutions"
   },
   {
    "FieldGrantId": "fg-process-steward-ProcedureExecutions.ReachedRecipientCount",
    "Principal": "principal-process-steward",
    "TargetField": "ProcedureExecutions.ReachedRecipientCount",
    "CanRead": true,
    "CanWrite": false,
    "MaskStrategy": "plain",
    "SemanticTypeIri": "urn:effortless:pko-extension#FieldGrant",
    "Name": "principal-process-steward -&gt; ProcedureExecutions.ReachedRecipientCount",
    "FieldTable": "ProcedureExecutions",
    "FieldName": "ReachedRecipientCount",
    "FieldIsDerived": true,
    "IsWritableDerivedField": false,
    "IsMasked": false,
    "GrantKeyWhenReadable": "principal-process-steward|ProcedureExecutions"
   },
   {
    "FieldGrantId": "fg-process-steward-ProcedureExecutions.SilentlyDroppedCount",
    "Principal": "principal-process-steward",
    "TargetField": "ProcedureExecutions.SilentlyDroppedCount",
    "CanRead": true,
    "CanWrite": false,
    "MaskStrategy": "plain",
    "SemanticTypeIri": "urn:effortless:pko-extension#FieldGrant",
    "Name": "principal-process-steward -&gt; ProcedureExecutions.SilentlyDroppedCount",
    "FieldTable": "ProcedureExecutions",
    "FieldName": "SilentlyDroppedCount",
    "FieldIsDerived": true,
    "IsWritableDerivedField": false,
    "IsMasked": false,
    "GrantKeyWhenReadable": "principal-process-steward|ProcedureExecutions"
   },
   {
    "FieldGrantId": "fg-process-steward-ProcedureExecutions.DeliveryYieldPercent",
    "Principal": "principal-process-steward",
    "TargetField": "ProcedureExecutions.DeliveryYieldPercent",
    "CanRead": true,
    "CanWrite": false,
    "MaskStrategy": "plain",
    "SemanticTypeIri": "urn:effortless:pko-extension#FieldGrant",
    "Name": "principal-process-steward -&gt; ProcedureExecutions.DeliveryYieldPercent",
    "FieldTable": "ProcedureExecutions",
    "FieldName": "DeliveryYieldPercent",
    "FieldIsDerived": true,
    "IsWritableDerivedField": false,
    "IsMasked": false,
    "GrantKeyWhenReadable": "principal-process-steward|ProcedureExecutions"
   },
   {
    "FieldGrantId": "fg-process-steward-ProcedureExecutions.CampaignSilentlyLostAudience",
    "Principal": "principal-process-steward",
    "TargetField": "ProcedureExecutions.CampaignSilentlyLostAudience",
    "CanRead": true,
    "CanWrite": false,
    "MaskStrategy": "plain",
    "SemanticTypeIri": "urn:effortless:pko-extension#FieldGrant",
    "Name": "principal-process-steward -&gt; ProcedureExecutions.CampaignSilentlyLostAudience",
    "FieldTable": "ProcedureExecutions",
    "FieldName": "CampaignSilentlyLostAudience",
    "FieldIsDerived": true,
    "IsWritableDerivedField": false,
    "IsMasked": false,
    "GrantKeyWhenReadable": "principal-process-steward|ProcedureExecutions"
   },
   {
    "FieldGrantId": "fg-process-steward-ProcedureExecutions.UnrecordedRefusalCount",
    "Principal": "principal-process-steward",
    "TargetField": "ProcedureExecutions.UnrecordedRefusalCount",
    "CanRead": true,
    "CanWrite": false,
    "MaskStrategy": "plain",
    "SemanticTypeIri": "urn:effortless:pko-extension#FieldGrant",
    "Name": "principal-process-steward -&gt; ProcedureExecutions.UnrecordedRefusalCount",
    "FieldTable": "ProcedureExecutions",
    "FieldName": "UnrecordedRefusalCount",
    "FieldIsDerived": true,
    "IsWritableDerivedField": false,
    "IsMasked": false,
    "GrantKeyWhenReadable": "principal-process-steward|ProcedureExecutions"
   },
   {
    "FieldGrantId": "fg-process-steward-ProcedureExecutions.Ha</t>
  </si>
  <si>
    <t xml:space="preserve">sUnrecordedRefusals",
    "Principal": "principal-process-steward",
    "TargetField": "ProcedureExecutions.HasUnrecordedRefusals",
    "CanRead": true,
    "CanWrite": false,
    "MaskStrategy": "plain",
    "SemanticTypeIri": "urn:effortless:pko-extension#FieldGrant",
    "Name": "principal-process-steward -&gt; ProcedureExecutions.HasUnrecordedRefusals",
    "FieldTable": "ProcedureExecutions",
    "FieldName": "HasUnrecordedRefusals",
    "FieldIsDerived": true,
    "IsWritableDerivedField": false,
    "IsMasked": false,
    "GrantKeyWhenReadable": "principal-process-steward|ProcedureExecutions"
   },
   {
    "FieldGrantId": "fg-process-steward-ProcedureExecutions.IndependentlyConfirmedIntentCount",
    "Principal": "principal-process-steward",
    "TargetField": "ProcedureExecutions.IndependentlyConfirmedIntentCount",
    "CanRead": true,
    "CanWrite": false,
    "MaskStrategy": "plain",
    "SemanticTypeIri": "urn:effortless:pko-extension#FieldGrant",
    "Name": "principal-process-steward -&gt; ProcedureExecutions.IndependentlyConfirmedIntentCount",
    "FieldTable": "ProcedureExecutions",
    "FieldName": "IndependentlyConfirmedIntentCount",
    "FieldIsDerived": true,
    "IsWritableDerivedField": false,
    "IsMasked": false,
    "GrantKeyWhenReadable": "principal-process-steward|ProcedureExecutions"
   },
   {
    "FieldGrantId": "fg-process-steward-ProcedureExecutions.SendDecisionsAreEntirelySelfWitnessed",
    "Principal": "principal-process-steward",
    "TargetField": "ProcedureExecutions.SendDecisionsAreEntirelySelfWitnessed",
    "CanRead": true,
    "CanWrite": false,
    "MaskStrategy": "plain",
    "SemanticTypeIri": "urn:effortless:pko-extension#FieldGrant",
    "Name": "principal-process-steward -&gt; ProcedureExecutions.SendDecisionsAreEntirelySelfWitnessed",
    "FieldTable": "ProcedureExecutions",
    "FieldName": "SendDecisionsAreEntirelySelfWitnessed",
    "FieldIsDerived": true,
    "IsWritableDerivedField": false,
    "IsMasked": false,
    "GrantKeyWhenReadable": "principal-process-steward|ProcedureExecutions"
   },
   {
    "FieldGrantId": "fg-process-steward-ProcedureExecutions.SemanticTypeIri",
    "Principal": "principal-process-steward",
    "TargetField": "ProcedureExecutions.SemanticTypeIri",
    "CanRead": true,
    "CanWrite": false,
    "MaskStrategy": "plain",
    "SemanticTypeIri": "urn:effortless:pko-extension#FieldGrant",
    "Name": "principal-process-steward -&gt; ProcedureExecutions.SemanticTypeIri",
    "FieldTable": "ProcedureExecutions",
    "FieldName": "SemanticTypeIri",
    "FieldIsDerived": false,
    "IsWritableDerivedField": false,
    "IsMasked": false,
    "GrantKeyWhenReadable": "principal-process-steward|ProcedureExecutions"
   },
   {
    "FieldGrantId": "fg-process-steward-ProcedureResources.ProcedureResourceId",
    "Principal": "principal-process-steward",
    "TargetField": "ProcedureResources.ProcedureResourceId",
    "CanRead": true,
    "CanWrite": false,
    "MaskStrategy": "plain",
    "SemanticTypeIri": "urn:effortless:pko-extension#FieldGrant",
    "Name": "principal-process-steward -&gt; ProcedureResources.ProcedureResourceId",
    "FieldTable": "ProcedureResources",
    "FieldName": "ProcedureResourceId",
    "FieldIsDerived": false,
    "IsWritableDerivedField": false,
    "IsMasked": false,
    "GrantKeyWhenReadable": "principal-process-steward|ProcedureResources"
   },
   {
    "FieldGrantId": "fg-process-steward-ProcedureResources.Name",
    "Principal": "principal-process-steward",
    "TargetField": "ProcedureResources.Name",
    "CanRead": true,
    "CanWrite": false,
    "MaskStrategy": "plain",
    "SemanticTypeIri": "urn:effortless:pko-extension#FieldGrant",
    "Name": "principal-process-steward -&gt; ProcedureResources.Name",
    "FieldTable": "ProcedureResources",
    "FieldName": "Name",
    "FieldIsDerived": true,
    "IsWritableDerivedField": false,
    "IsMasked": false,
    "GrantKeyWhenReadable": "principal-process-steward|ProcedureResources"
   },
   {
    "FieldGrantId": "fg-process-steward-ProcedureResources.ProcedureVersion",
    "Principal": "principal-process-steward",
    "TargetField": "ProcedureResources.ProcedureVersion",
    "CanRead": true,
    "CanWrite": false,
    "MaskStrategy": "plain",
    "SemanticTypeIri": "urn:effortless:pko-extension#FieldGrant",
    "Name": "principal-process-steward -&gt; ProcedureResources.ProcedureVersion",
    "FieldTable": "ProcedureResources",
    "FieldName": "ProcedureVersion",
    "FieldIsDerived": false,
    "IsWritableDerivedField": false,
    "IsMasked": false,
    "GrantKeyWhenReadable": "principal-process-steward|ProcedureResources"
   },
   {
    "FieldGrantId": "fg-process-steward-ProcedureResources.Resource",
    "Principal": "principal-process-steward",
    "TargetField": "ProcedureResources.Resource",
    "CanRead": true,
    "CanWrite": false,
    "MaskStrategy": "plain",
    "SemanticTypeIri": "urn:effortless:pko-extension#FieldGrant",
    "Name": "principal-process-steward -&gt; ProcedureResources.Resource",
    "FieldTable": "ProcedureResources",
    "FieldName": "Resource",
    "FieldIsDerived": false,
    "IsWritableDerivedField": false,
    "IsMasked": false,
    "GrantKeyWhenReadable": "principal-process-steward|ProcedureResources"
   },
   {
    "FieldGrantId": "fg-process-steward-ProcedureResources.Relation",
    "Principal": "principal-process-steward",
    "TargetField": "ProcedureResources.Relation",
    "CanRead": true,
    "CanWrite": false,
    "MaskStrategy": "plain",
    "SemanticTypeIri": "urn:effortless:pko-extension#FieldGrant",
    "Name": "principal-process-steward -&gt; ProcedureResources.Relation",
    "FieldTable": "ProcedureResources",
    "FieldName": "Relation",
    "FieldIsDerived": false,
    "IsWritableDerivedField": false,
    "IsMasked": false,
    "GrantKeyWhenReadable": "principal-process-steward|ProcedureResources"
   },
   {
    "FieldGrantId": "fg-process-steward-ProcedureResources.RelationIri",
    "Principal": "principal-process-steward",
    "TargetField": "ProcedureResources.RelationIri",
    "CanRead": true,
    "CanWrite": false,
    "MaskStrategy": "plain",
    "SemanticTypeIri": "urn:effortless:pko-extension#FieldGrant",
    "Name": "principal-process-steward -&gt; ProcedureResources.RelationIri",
    "FieldTable": "ProcedureResources",
    "FieldName": "RelationIri",
    "FieldIsDerived": true,
    "IsWritableDerivedField": false,
    "IsMasked": false,
    "GrantKeyWhenReadable": "principal-process-steward|ProcedureResources"
   },
   {
    "FieldGrantId": "fg-process-steward-ProcedureStatusChanges.ProcedureStatusChangeId",
    "Principal": "principal-process-steward",
    "TargetField": "ProcedureStatusChanges.ProcedureStatusChangeId",
    "CanRead": true,
    "CanWrite": false,
    "MaskStrategy": "plain",
    "SemanticTypeIri": "urn:effortless:pko-extension#FieldGrant",
    "Name": "principal-process-steward -&gt; ProcedureStatusChanges.ProcedureStatusChangeId",
    "FieldTable": "ProcedureStatusChanges",
    "FieldName": "ProcedureStatusChangeId",
    "FieldIsDerived": false,
    "IsWritableDerivedField": false,
    "IsMasked": false,
    "GrantKeyWhenReadable": "principal-process-steward|ProcedureStatusChanges"
   },
   {
    "FieldGrantId": "fg-process-steward-ProcedureStatusChanges.Name",
    "Principal": "principal-process-steward",
    "TargetField": "ProcedureStatusChanges.Name",
    "CanRead": true,
    "CanWrite": false,
    "MaskStrategy": "plain",
    "SemanticTypeIri": "urn:effortless:pko-extension#FieldGrant",
    "Name": "principal-process-steward -&gt; ProcedureStatusChanges.Name",
    "FieldTable": "ProcedureStatusChanges",
    "FieldName": "Name",
    "FieldIsDerived": true,
    "IsWritableDerivedField": false,
    "IsMasked": false,
    "GrantKeyWhenReadable": "principal-process-steward|ProcedureStatusChanges"
   },
   {
    "FieldGrantId": "fg-process-steward-ProcedureStatusChanges.ProcedureVersion",
    "Principal": "principal-process-steward",
    "TargetField": "ProcedureStatusChanges.ProcedureVersion",
    "CanRead": true,
    "CanWrite": false,
    "MaskStrategy": "plain",
    "SemanticTypeIri": "urn:effortless:pko-extension#FieldGrant",
    "Name": "principal-process-steward -&gt; ProcedureStatusChanges.ProcedureVersion",
    "FieldTable": "ProcedureStatusChanges",
    "FieldName": "ProcedureVersion",
    "FieldIsDerived": false,
    "IsWritableDerivedField": false,
    "IsMasked": false,
    "GrantKeyWhenReadable": "principal-process-steward|ProcedureStatusChanges"
   },
   {
    "FieldGrantId": "fg-process-steward-ProcedureStatusChanges.FromStatus",
    "Principal": "principal-process-steward",
    "TargetField": "ProcedureStatusChanges.FromStatus",
    "CanRead": true,
    "CanWrite": false,
    "MaskStrategy": "plain",
    "SemanticTypeIri": "urn:effortless:pko-extension#FieldGrant",
    "Name": "principal-process-steward -&gt; ProcedureStatusChanges.FromStatus",
    "FieldTable": "ProcedureStatusChanges",
    "FieldName": "FromStatus",
    "FieldIsDerived": false,
    "IsWritableDerivedField": false,
    "IsMasked": false,
    "GrantKeyWhenReadable": "principal-process-steward|ProcedureStatusChanges"
   },
   {
    "FieldGrantId": "fg-process-steward-ProcedureStatusChanges.ToStatus",
    "Principal": "principal-process-steward",
    "TargetField": "ProcedureStatusChanges.ToStatus",
    "CanRead": true,
    "CanWrite": false,
    "MaskStrategy": "plain",
    "SemanticTypeIri": "urn:effortless:pko-extension#FieldGrant",
    "Name": "principal-process-steward -&gt; ProcedureStatusChanges.ToStatus",
    "FieldTable": "ProcedureStatusChanges",
    "FieldName": "ToStatus",
    "FieldIsDerived": false,
    "IsWritableDerivedField": false,
    "IsMasked": false,
    "GrantKeyWhenReadable": "principal-process-steward|ProcedureStatusChanges"
   },
   {
    "FieldGrantId": "fg-process-steward-ProcedureStatusChanges.ChangedAt",
    "Principal": "principal-process-steward",
    "TargetField": "ProcedureStatusChanges.ChangedAt",
    "CanRead": true,
    "CanWrite": false,
    "MaskStrategy": "plain",
    "SemanticTypeIri": "urn:effortless:pko-extension#FieldGrant",
    "Name": "principal-process-steward -&gt; ProcedureStatusChanges.ChangedAt",
    "FieldTable": "ProcedureStatusChanges",
    "FieldName": "ChangedAt",
    "FieldIsDerived": false,
    "IsWritableDerivedField": false,
    "IsMasked": false,
    "GrantKeyWhenReadable": "principal-process-steward|ProcedureStatusChanges"
   },
   {
    "FieldGrantId": "fg-process-steward-ProcedureStatusChanges.ChangedByAgent",
    "Principal": "principal-process-steward",
    "TargetField": "ProcedureStatusChanges.ChangedByAgent",
    "CanRead": true,
    "CanWrite": false,
    "MaskStrategy": "plain",
    "SemanticTypeIri": "urn:effortless:pko-extension#FieldGrant",
    "Name": "principal-process-steward -&gt; ProcedureStatusChanges.ChangedByAgent",
    "FieldTable": "ProcedureStatusChanges",
    "FieldName": "ChangedByAgent",
    "FieldIsDerived": false,
    "IsWritableDerivedField": false,
    "IsMasked": false,
    "GrantKeyWhenReadable": "principal-process-steward|ProcedureStatusChanges"
   },
   {
    "FieldGrantId": "fg-process-steward-ProcedureStatusChanges.Motivation",
    "Principal": "principal-process-steward",
    "TargetField": "ProcedureStatusChanges.Motivation",
    "CanRead": true,
    "CanWrite": false,
    "MaskStrategy": "plain",
    "SemanticTypeIri": "urn:effortless:pko-extension#FieldGrant",
    "Name": "principal-process-steward -&gt; ProcedureStatusChanges.Motivation",
    "FieldTable": "ProcedureStatusChanges",
    "FieldName": "Motivation",
    "FieldIsDerived": false,
    "IsWritableDerivedField": false,
    "IsMasked": false,
    "GrantKeyWhenReadable": "principal-process-steward|ProcedureStatusChanges"
   },
   {
    "FieldGrantId": "fg-process-steward-ProcedureStatusChanges.SemanticTypeIri",
    "Principal": "principal-process-steward",
    "TargetField": "ProcedureStatusChanges.SemanticTypeIri",
    "CanRead": true,
    "CanWrite": false,
    "MaskStrategy": "plain",
    "SemanticTypeIri": "urn:effortless:pko-extension#FieldGrant",
    "Name": "principal-process-steward -&gt; ProcedureStatusChanges.SemanticTypeIri",
    "FieldTable": "ProcedureStatusChanges",
    "FieldName": "SemanticTypeIri",
    "FieldIsDerived": false,
    "IsWritableDerivedField": false,
    "IsMasked": false,
    "GrantKeyWhenReadable": "principal-process-steward|ProcedureStatusChanges"
   },
   {
    "FieldGrantId": "fg-process-steward-ProcedureTypes.ProcedureTypeId",
    "Principal": "principal-process-steward",
    "TargetField": "ProcedureTypes.ProcedureTypeId",
    "CanRead": true,
    "CanWrite": false,
    "MaskStrategy": "plain",
    "SemanticTypeIri": "urn:effortless:pko-extension#FieldGrant",
    "Name": "principal-process-steward -&gt; ProcedureTypes.ProcedureTypeId",
    "FieldTable": "ProcedureTypes",
    "FieldName": "ProcedureTypeId",
    "FieldIsDerived": false,
    "IsWritableDerivedField": false,
    "IsMasked": false,
    "GrantKeyWhenReadable": "principal-process-steward|ProcedureTypes"
   },
   {
    "FieldGrantId": "fg-process-steward-ProcedureTypes.Name",
    "Principal": "principal-process-steward",
    "TargetField": "ProcedureTypes.Name",
    "CanRead": true,
    "CanWrite": false,
    "MaskStrategy": "plain",
    "SemanticTypeIri": "urn:effortless:pko-extension#FieldGrant",
    "Name": "principal-process-steward -&gt; ProcedureTypes.Name",
    "FieldTable": "ProcedureTypes",
    "FieldName": "Name",
    "FieldIsDerived": true,
    "IsWritableDerivedField": false,
    "IsMasked": false,
    "GrantKeyWhenReadable": "principal-process-steward|ProcedureTypes"
   },
   {
    "FieldGrantId": "fg-process-steward-ProcedureTypes.Label",
    "Principal": "principal-process-steward",
    "TargetField": "ProcedureTypes.Label",
    "CanRead": true,
    "CanWrite": false,
    "MaskStrategy": "plain",
    "SemanticTypeIri": "urn:effortless:pko-extension#FieldGrant",
    "Name": "principal-process-steward -&gt; ProcedureTypes.Label",
    "FieldTable": "ProcedureTypes",
    "FieldName": "Label",
    "FieldIsDerived": false,
    "IsWritableDerivedField": false,
    "IsMasked": false,
    "GrantKeyWhenReadable": "principal-process-steward|ProcedureTypes"
   },
   {
    "FieldGrantId": "fg-process-steward-ProcedureTypes.Definition",
    "Principal": "principal-process-steward",
    "TargetField": "ProcedureTypes.Definition",
    "CanRead": true,
    "CanWrite": false,
    "MaskStrategy": "plain",
    "SemanticTypeIri": "urn:effortless:pko-extension#FieldGrant",
    "Name": "principal-process-steward -&gt; ProcedureTypes.Definition",
    "FieldTable": "ProcedureTypes",
    "FieldName": "Definition",
    "FieldIsDerived": false,
    "IsWritableDerivedField": false,
    "IsMasked": false,
    "GrantKeyWhenReadable": "principal-process-steward|ProcedureTypes"
   },
   {
    "FieldGrantId": "fg-process-steward-ProcedureTypes.SemanticTypeIri",
    "Principal": "principal-process-steward",
    "TargetField": "ProcedureTypes.SemanticTypeIri",
    "CanRead": true,
    "CanWrite": false,
    "MaskStrategy": "plain",
    "SemanticTypeIri": "urn:effortless:pko-extension#FieldGrant",
    "Name": "principal-process-steward -&gt; ProcedureTypes.SemanticTypeIri",
    "FieldTable": "ProcedureTypes",
    "FieldName": "SemanticTypeIri",
    "FieldIsDerived": false,
    "IsWritableDerivedField": false,
    "IsMasked": false,
    "GrantKeyWhenReadable": "principal-process-steward|ProcedureTypes"
   },
   {
    "FieldGrantId": "fg-process-steward-ProcedureVersionLinks.ProcedureVersionLinkId",
    "Principal": "principal-process-steward",
    "TargetField": "ProcedureVersionLinks.ProcedureVersionLinkId",
    "CanRead": true,
    "CanWrite": false,
    "MaskStrategy": "plain",
    "SemanticTypeIri": "urn:effortless:pko-extension#FieldGrant",
    "Name": "principal-process-steward -&gt; ProcedureVersionLinks.ProcedureVersionLinkId",
    "FieldTable": "ProcedureVersionLinks",
    "FieldName": "ProcedureVersionLinkId",
    "FieldIsDerived": false,
    "IsWritableDerivedField": false,
    "IsMasked": false,
    "GrantKeyWhenReadable": "principal-process-steward|ProcedureVersionLinks"
   },
   {
    "FieldGrantId": "fg-process-steward-ProcedureVersionLinks.Name",
    "Principal": "principal-process-steward",
    "TargetField": "ProcedureVersionLinks.Name",
    "CanRead": true,
    "CanWrite": false,
    "MaskStrategy": "plain",
    "SemanticTypeIri": "urn:effortless:pko-extension#FieldGrant",
    "Name": "principal-process-steward -&gt; ProcedureVersionLinks.Name",
    "FieldTable": "ProcedureVersionLinks",
    "FieldName": "Name",
    "FieldIsDerived": true,
    "IsWritableDerivedField": false,
    "IsMasked": false,
    "GrantKeyWhenReadable": "principal-process-steward|ProcedureVersionLinks"
   },
   {
    "FieldGrantId": "fg-process-steward-ProcedureVersionLinks.PreviousProcedureVersion",
    "Principal": "principal-process-steward",
    "TargetField": "ProcedureVersionLinks.PreviousProcedureVersion",
    "CanRead": true,
    "CanWrite": false,
    "MaskStrategy": "plain",
    "SemanticTypeIri": "urn:effortless:pko-extension#FieldGrant",
    "Name": "principal-process-steward -&gt; ProcedureVersionLinks.PreviousProcedureVersion",
    "FieldTable": "ProcedureVersionLinks",
    "FieldName": "PreviousProcedureVersion",
    "FieldIsDerived": false,
    "IsWritableDerivedField": false,
    "IsMasked": false,
    "GrantKeyWhenReadable": "principal-process-steward|ProcedureVersionLinks"
   },
   {
    "FieldGrantId": "fg-process-steward-ProcedureVersionLinks.NextProcedureVersion",
    "Principal": "principal-process-steward",
    "TargetField": "ProcedureVersionLinks.NextProcedureVersion",
    "CanRead": true,
    "CanWrite": false,
    "MaskStrategy": "plain",
    "SemanticTypeIri": "urn:effortless:pko-extension#FieldGrant",
    "Name": "principal-process-steward -&gt; ProcedureVersionLinks.NextProcedureVersion",
    "FieldTable": "ProcedureVersionLinks",
    "FieldName": "NextProcedureVersion",
    "FieldIsDerived": false,
    "IsWritableDerivedField": false,
    "IsMasked": false,
    "GrantKeyWhenReadable": "principal-process-steward|ProcedureVersionLinks"
   },
   {
    "FieldGrantId": "fg-process-steward-ProcedureVersionLinks.RelationIri",
    "Principal": "principal-process-steward",
    "TargetField": "ProcedureVersionLinks.RelationIri",
    "CanRead": true,
    "CanWrite": false,
    "MaskStrategy": "plain",
    "SemanticTypeIri": "urn:effortless:pko-extension#FieldGrant",
    "Name": "principal-process-steward -&gt; ProcedureVersionLinks.RelationIri",
    "FieldTable": "ProcedureVersionLinks",
    "FieldName": "RelationIri",
    "FieldIsDerived": false,
    "IsWritableDerivedField": false,
    "IsMasked": false,
    "GrantKeyWhenReadable": "principal-process-steward|ProcedureVersionLinks"
   },
   {
    "FieldGrantId": "fg-process-steward-ProcedureVersionLinks.ChangeSummary",
    "Principal": "principal-process-steward",
    "TargetField": "ProcedureVersionLinks.ChangeSummary",
    "CanRead": true,
    "CanWrite": false,
    "MaskStrategy": "plain",
    "SemanticTypeIri": "urn:effortless:pko-extension#FieldGrant",
    "Name": "principal-process-steward -&gt; ProcedureVersionLinks.ChangeSummary",
    "FieldTable": "ProcedureVersionLinks",
    "FieldName": "ChangeSummary",
    "FieldIsDerived": false,
    "IsWritableDerivedField": false,
    "IsMasked": false,
    "GrantKeyWhenReadable": "principal-process-steward|ProcedureVersionLinks"
   },
   {
    "FieldGrantId": "fg-process-steward-ProcedureVersionLinks.SupersededVersionKey",
    "Principal": "principal-process-steward",
    "TargetField": "ProcedureVersionLinks.SupersededVersionKey",
    "CanRead": true,
    "CanWrite": false,
    "MaskStrategy": "plain",
    "SemanticTypeIri": "urn:effortless:pko-extension#FieldGrant",
    "Name": "principal-process-steward -&gt; ProcedureVersionLinks.SupersededVersionKey",
    "FieldTable": "ProcedureVersionLinks",
    "FieldName": "SupersededVersionKey",
    "FieldIsDerived": true,
    "IsWritableDerivedField": false,
    "IsMasked": false,
    "GrantKeyWhenReadable": "principal-process-steward|ProcedureVersionLinks"
   },
   {
    "FieldGrantId": "fg-process-steward-ProcedureVersions.ProcedureVersionId",
    "Principal": "principal-process-steward",
    "TargetField": "ProcedureVersions.ProcedureVersionId",
    "CanRead": true,
    "CanWrite": false,
    "MaskStrategy": "plain",
    "SemanticTypeIri": "urn:effortless:pko-extension#FieldGrant",
    "Name": "principal-process-steward -&gt; ProcedureVersions.ProcedureVersionId",
    "FieldTable": "ProcedureVersions",
    "FieldName": "ProcedureVersionId",
    "FieldIsDerived": false,
    "IsWritableDerivedField": false,
    "IsMasked": false,
    "GrantKeyWhenReadable": "principal-process-steward|ProcedureVersions"
   },
   {
    "FieldGrantId": "fg-process-steward-ProcedureVersions.Name",
    "Principal": "principal-process-steward",
    "TargetField": "ProcedureVersions.Name",
    "CanRead": true,
    "CanWrite": false,
    "MaskStrategy": "plain",
    "SemanticTypeIri": "urn:effortless:pko-extension#FieldGrant",
    "Name": "principal-process-steward -&gt; ProcedureVersions.Name",
    "FieldTable": "ProcedureVersions",
    "FieldName": "Name",
    "FieldIsDerived": true,
    "IsWritableDerivedField": false,
    "IsMasked": false,
    "GrantKeyWhenReadable": "principal-process-steward|ProcedureVersions"
   },
   {
    "FieldGrantId": "fg-process-steward-ProcedureVersions.Procedure",
    "Principal": "principal-process-steward",
    "TargetField": "ProcedureVersions.Procedure",
    "CanRead": true,
    "CanWrite": false,
    "MaskStrategy": "plain",
    "SemanticTypeIri": "urn:effortless:pko-extension#FieldGrant",
    "Name": "principal-process-steward -&gt; ProcedureVersions.Procedure",
    "FieldTable": "ProcedureVersions",
    "FieldName": "Procedure",
    "FieldIsDerived": false,
    "IsWritableDerivedField": false,
    "IsMasked": false,
    "GrantKeyWhenReadable": "principal-process-steward|ProcedureVersions"
   },
   {
    "FieldGrantId": "fg-process-steward-ProcedureVersions.VersionNumber",
    "Principal": "principal-process-steward",
    "TargetField": "ProcedureVersions.VersionNumber",
    "CanRead": true,
    "CanWrite": false,
    "MaskStrategy": "plain",
    "SemanticTypeIri": "urn:effortless:pko-extension#FieldGrant",
    "Name": "principal-process-steward -&gt; ProcedureVersions.VersionNumber",
    "FieldTable": "ProcedureVersions",
    "FieldName": "VersionNumber",
    "FieldIsDerived": false,
    "IsWritableDerivedField": false,
    "IsMasked": false,
    "GrantKeyWhenReadable": "principal-process-steward|ProcedureVersions"
   },
   {
    "FieldGrantId": "fg-process-steward-ProcedureVersions.Title",
    "Principal": "principal-process-steward",
    "TargetField": "ProcedureVersions.Title",
    "CanRead": true,
    "CanWrite": false,
    "MaskStrategy": "plain",
    "SemanticTypeIri": "urn:effortless:pko-extension#FieldGrant",
    "Name": "principal-process-steward -&gt; ProcedureVersions.Title",
    "FieldTable": "ProcedureVersions",
    "FieldName": "Title",
    "FieldIsDerived": false,
    "IsWritableDerivedField": false,
    "IsMasked": false,
    "GrantKeyWhenReadable": "principal-process-steward|ProcedureVersions"
   },
   {
    "FieldGrantId": "fg-process-steward-ProcedureVersions.Status",
    "Principal": "principal-process-steward",
    "TargetField": "ProcedureVersions.Status",
    "CanRead": true,
    "CanWrite": false,
    "MaskStrategy": "plain",
    "SemanticTypeIri": "urn:effortless:pko-extension#FieldGrant",
    "Name": "principal-process-steward -&gt; ProcedureVersions.Status",
    "FieldTable": "ProcedureVersions",
    "FieldName": "Status",
    "FieldIsDerived": false,
    "IsWritableDerivedField": false,
    "IsMasked": false,
    "GrantKeyWhenReadable": "principal-process-steward|ProcedureVersions"
   },
   {
    "FieldGrantId": "fg-process-steward-ProcedureVersions.IssuedAt",
    "Principal": "principal-process-steward",
    "TargetField": "ProcedureVersions.IssuedAt",
    "CanRead": true,
    "CanWrite": false,
    "MaskStrategy": "plain",
    "SemanticTypeIri": "urn:effortless:pko-extension#FieldGrant",
    "Name": "principal-process-steward -&gt; ProcedureVersions.IssuedAt",
    "FieldTable": "ProcedureVersions",
    "FieldName": "IssuedAt",
    "FieldIsDerived": false,
    "IsWritableDerivedField": false,
    "IsMasked": false,
    "GrantKeyWhenReadable": "principal-process-steward|ProcedureVersions"
   },
   {
    "FieldGrantId": "fg-process-steward-ProcedureVersions.ModifiedAt",
    "Principal": "principal-process-steward",
    "TargetField": "ProcedureVersions.ModifiedAt",
    "CanRead": true,
    "CanWrite": false,
    "MaskStrategy": "plain",
    "SemanticTypeIri": "urn:effortless:pko-extension#FieldGrant",
    "Name": "principal-process-steward -&gt; ProcedureVersions.ModifiedAt",
    "FieldTable": "ProcedureVersions",
    "FieldName": "ModifiedAt",
    "FieldIsDerived": false,
    "IsWritableDerivedField": false,
    "IsMasked": false,
    "GrantKeyWhenReadable": "principal-process-steward|ProcedureVersions"
   },
   {
    "FieldGrantId": "fg-process-steward-ProcedureVersions.CreatedByAgent",
    "Principal": "principal-process-steward",
    "TargetField": "ProcedureVersions.CreatedByAgent",
    "CanRead": true,
    "CanWrite": false,
    "MaskStrategy": "plain",
    "SemanticTypeIri": "urn:effortless:pko-extension#FieldGrant",
    "Name": "principal-process-steward -&gt; ProcedureVersions.CreatedByAgent",
    "FieldTable": "ProcedureVersions",
    "FieldName": "CreatedByAgent",
    "FieldIsDerived": false,
    "IsWritableDerivedField": false,
    "IsMasked": false,
    "GrantKeyWhenReadable": "principal-process-steward|ProcedureVersions"
   },
   {
    "FieldGrantId": "fg-process-steward-ProcedureVersions.ModifiedByAgent",
    "Principal": "principal-process-steward",
    "TargetField": "ProcedureVersions.ModifiedByAgent",
    "CanRead": true,
    "CanWrite": false,
    "MaskStrategy": "plain",
    "SemanticTypeIri": "urn:effortless:pko-extension#FieldGrant",
    "Name": "principal-process-steward -&gt; ProcedureVersions.ModifiedByAgent",
    "FieldTable": "ProcedureVersions",
    "FieldName": "ModifiedByAgent",
    "FieldIsDerived": false,
    "IsWritableDerivedField": false,
    "IsMasked": false,
    "GrantKeyWhenReadable": "principal-process-steward|ProcedureVersions"
   },
   {
    "FieldGrantId": "fg-process-steward-ProcedureVersions.NewVersionMotivation",
    "Principal": "principal-process-steward",
    "TargetField": "ProcedureVersions.NewVersionMotivation",
    "CanRead": true,
    "CanWrite": false,
    "MaskStrategy": "plain",
    "SemanticTypeIri": "urn:effortless:pko-extension#FieldGrant",
    "Name": "principal-process-steward -&gt; ProcedureVersions.NewVersionMotivation",
    "FieldTable": "ProcedureVersions",
    "FieldName": "NewVersionMotivation",
    "FieldIsDerived": false,
    "IsWritableDerivedField": false,
    "IsMasked": false,
    "GrantKeyWhenReadable": "principal-process-steward|ProcedureVersions"
   },
   {
    "FieldGrantId": "fg-process-steward-ProcedureVersions.ChangelogDescription",
    "Principal": "principal-process-steward",
    "TargetField": "ProcedureVersions.ChangelogDescription",
    "CanRead": true,
    "CanWrite": false,
    "MaskStrategy": "plain",
    "SemanticTypeIri": "urn:effortless:pko-extension#FieldGrant",
    "Name": "principal-process-steward -&gt; ProcedureVersions.ChangelogDescription",
    "FieldTable": "ProcedureVersions",
    "FieldName": "ChangelogDescription",
    "FieldIsDerived": false,
    "IsWritableDerivedField": false,
    "IsMasked": false,
    "GrantKeyWhenReadable": "principal-process-steward|ProcedureVersions"
   },
   {
    "FieldGrantId": "fg-process-steward-ProcedureVersions.IsCurrent",
    "Principal": "principal-process-steward",
    "TargetField": "ProcedureVersions.IsCurrent",
    "CanRead": true,
    "CanWrite": false,
    "MaskStrategy": "plain",
    "SemanticTypeIri": "urn:effortless:pko-extension#FieldGrant",
    "Name": "principal-process-steward -&gt; ProcedureVersions.IsCurrent",
    "FieldTable": "ProcedureVersions",
    "FieldName": "IsCurrent",
    "FieldIsDerived": false,
    "IsWritableDerivedField": false,
    "IsMasked": false,
    "GrantKeyWhenReadable": "principal-process-steward|ProcedureVersions"
   },
   {
    "FieldGrantId": "fg-process-steward-ProcedureVersions.CountOfSteps",
    "Principal": "principal-process-steward",
    "TargetField": "ProcedureVersions.CountOfSteps",
    "CanRead": true,
    "CanWrite": false,
    "MaskStrategy": "plain",
    "SemanticTypeIri": "urn:effortless:pko-extension#FieldGrant",
    "Name": "principal-process-steward -&gt; ProcedureVersions.CountOfSteps",
    "FieldTable": "ProcedureVersions",
    "FieldName": "CountOfSteps",
    "FieldIsDerived": true,
    "IsWritableDerivedField": false,
    "IsMasked": false,
    "GrantKeyWhenReadable": "principal-process-steward|ProcedureVersions"
   },
   {
    "FieldGrantId": "fg-process-steward-ProcedureVersions.CountOfOpenKnowledgeGaps",
    "Principal": "principal-process-steward",
    "TargetField": "ProcedureVersions.CountOfOpenKnowledgeGaps",
    "CanRead": true,
    "CanWrite": false,
    "MaskStrategy": "plain",
    "SemanticTypeIri": "urn:effortless:pko-extension#FieldGrant",
    "Name": "principal-process-steward -&gt; ProcedureVersions.CountOfOpenKnowledgeGaps",
    "FieldTable": "ProcedureVersions",
    "FieldName": "CountOfOpenKnowledgeGaps",
    "FieldIsDerived": true,
    "IsWritableDerivedField": false,
    "IsMasked": false,
    "GrantKeyWhenReadable": "principal-process-steward|ProcedureVersions"
   },
   {
    "FieldGrantId": "fg-process-steward-ProcedureVersions.IsReadyForExecution",
    "Principal": "principal-process-steward",
    "TargetField": "ProcedureVersions.IsReadyForExecution",
    "CanRead": true,
    "CanWrite": false,
    "MaskStrategy": "plain",
    "SemanticTypeIri": "urn:effortless:pko-extension#FieldGrant",
    "Name": "principal-process-steward -&gt; ProcedureVersions.IsReadyForExecution",
    "FieldTable": "ProcedureVersions",
    "FieldName": "IsReadyForExecution",
    "FieldIsDerived": true,
    "IsWritableDerivedField": false,
    "IsMasked": false,
    "GrantKeyWhenReadable": "principal-process-steward|ProcedureVersions"
   },
   {
    "FieldGrantId": "fg-process-steward-ProcedureVersions.SpecifiedStepCount",
    "Principal": "principal-process-steward",
    "TargetField": "ProcedureVersions.SpecifiedStepCount",
    "CanRead": true,
    "CanWrite": false,
    "MaskStrategy": "plain",
    "SemanticTypeIri": "urn:effortless:pko-extension#FieldGrant",
    "Name": "principal-process-steward -&gt; ProcedureVersions.SpecifiedStepCount",
    "FieldTable": "ProcedureVersions",
    "FieldName": "SpecifiedStepCount",
    "FieldIsDerived": true,
    "IsWritableDerivedField": false,
    "IsMasked": false,
    "GrantKeyWhenReadable": "principal-process-steward|ProcedureVersions"
   },
   {
    "FieldGrantId": "fg-process-steward-ProcedureVersions.OverdueReviewCount",
    "Principal": "principal-process-steward",
    "TargetField": "ProcedureVersions.OverdueReviewCount",
    "CanRead": true,
    "CanWrite": false,
    "MaskStrategy": "plain",
    "SemanticTypeIri": "urn:effortless:pko-extension#FieldGrant",
    "Name": "principal-process-steward -&gt; ProcedureVersions.OverdueReviewCount",
    "FieldTable": "ProcedureVersions",
    "FieldName": "OverdueReviewCount",
    "FieldIsDerived": true,
    "IsWritableDerivedField": false,
    "IsMasked": false,
    "GrantKeyWhenReadable": "principal-process-steward|ProcedureVersions"
   },
   {
    "FieldGrantId": "fg-process-steward-ProcedureVersions.OpenChangeRequestCount",
    "Principal": "principal-process-steward",
    "TargetField": "ProcedureVersions.OpenChangeRequestCount",
    "CanRead": true,
    "CanWrite": false,
    "MaskStrategy": "plain",
    "SemanticTypeIri": "urn:effortless:pko-extension#FieldGrant",
    "Name": "principal-process-steward -&gt; ProcedureVersions.OpenChangeRequestCount",
    "FieldTable": "ProcedureVersions",
    "FieldName": "OpenChangeRequestCount",
    "FieldIsDerived": true,
    "IsWritableDerivedField": false,
    "IsMasked": false,
    "GrantKeyWhenReadable": "principal-process-steward|ProcedureVersions"
   },
   {
    "FieldGrantId": "fg-process-steward-ProcedureVersions.OpenHighSeverityGapCount",
    "Principal": "principal-process-steward",
    "TargetField": "ProcedureVersions.OpenHighSeverityGapCount",
    "CanRead": true,
    "CanWrite": false,
    "MaskStrategy": "plain",
    "SemanticTypeIri": "urn:effortless:pko-extension#FieldGrant",
    "Name": "principal-process-steward -&gt; ProcedureVersions.OpenHighSeverityGapCount",
    "FieldTable": "ProcedureVer</t>
  </si>
  <si>
    <t xml:space="preserve">sions",
    "FieldName": "OpenHighSeverityGapCount",
    "FieldIsDerived": true,
    "IsWritableDerivedField": false,
    "IsMasked": false,
    "GrantKeyWhenReadable": "principal-process-steward|ProcedureVersions"
   },
   {
    "FieldGrantId": "fg-process-steward-ProcedureVersions.IsFitToExecute",
    "Principal": "principal-process-steward",
    "TargetField": "ProcedureVersions.IsFitToExecute",
    "CanRead": true,
    "CanWrite": false,
    "MaskStrategy": "plain",
    "SemanticTypeIri": "urn:effortless:pko-extension#FieldGrant",
    "Name": "principal-process-steward -&gt; ProcedureVersions.IsFitToExecute",
    "FieldTable": "ProcedureVersions",
    "FieldName": "IsFitToExecute",
    "FieldIsDerived": true,
    "IsWritableDerivedField": false,
    "IsMasked": false,
    "GrantKeyWhenReadable": "principal-process-steward|ProcedureVersions"
   },
   {
    "FieldGrantId": "fg-process-steward-ProcedureVersions.StewardReviewCadenceDays",
    "Principal": "principal-process-steward",
    "TargetField": "ProcedureVersions.StewardReviewCadenceDays",
    "CanRead": true,
    "CanWrite": false,
    "MaskStrategy": "plain",
    "SemanticTypeIri": "urn:effortless:pko-extension#FieldGrant",
    "Name": "principal-process-steward -&gt; ProcedureVersions.StewardReviewCadenceDays",
    "FieldTable": "ProcedureVersions",
    "FieldName": "StewardReviewCadenceDays",
    "FieldIsDerived": true,
    "IsWritableDerivedField": false,
    "IsMasked": false,
    "GrantKeyWhenReadable": "principal-process-steward|ProcedureVersions"
   },
   {
    "FieldGrantId": "fg-process-steward-ProcedureVersions.CountOfStewardshipAssignments",
    "Principal": "principal-process-steward",
    "TargetField": "ProcedureVersions.CountOfStewardshipAssignments",
    "CanRead": true,
    "CanWrite": false,
    "MaskStrategy": "plain",
    "SemanticTypeIri": "urn:effortless:pko-extension#FieldGrant",
    "Name": "principal-process-steward -&gt; ProcedureVersions.CountOfStewardshipAssignments",
    "FieldTable": "ProcedureVersions",
    "FieldName": "CountOfStewardshipAssignments",
    "FieldIsDerived": true,
    "IsWritableDerivedField": false,
    "IsMasked": false,
    "GrantKeyWhenReadable": "principal-process-steward|ProcedureVersions"
   },
   {
    "FieldGrantId": "fg-process-steward-ProcedureVersions.HasAnySteward",
    "Principal": "principal-process-steward",
    "TargetField": "ProcedureVersions.HasAnySteward",
    "CanRead": true,
    "CanWrite": false,
    "MaskStrategy": "plain",
    "SemanticTypeIri": "urn:effortless:pko-extension#FieldGrant",
    "Name": "principal-process-steward -&gt; ProcedureVersions.HasAnySteward",
    "FieldTable": "ProcedureVersions",
    "FieldName": "HasAnySteward",
    "FieldIsDerived": true,
    "IsWritableDerivedField": false,
    "IsMasked": false,
    "GrantKeyWhenReadable": "principal-process-steward|ProcedureVersions"
   },
   {
    "FieldGrantId": "fg-process-steward-ProcedureVersions.IsLive",
    "Principal": "principal-process-steward",
    "TargetField": "ProcedureVersions.IsLive",
    "CanRead": true,
    "CanWrite": false,
    "MaskStrategy": "plain",
    "SemanticTypeIri": "urn:effortless:pko-extension#FieldGrant",
    "Name": "principal-process-steward -&gt; ProcedureVersions.IsLive",
    "FieldTable": "ProcedureVersions",
    "FieldName": "IsLive",
    "FieldIsDerived": true,
    "IsWritableDerivedField": false,
    "IsMasked": false,
    "GrantKeyWhenReadable": "principal-process-steward|ProcedureVersions"
   },
   {
    "FieldGrantId": "fg-process-steward-ProcedureVersions.IsUnstewarded",
    "Principal": "principal-process-steward",
    "TargetField": "ProcedureVersions.IsUnstewarded",
    "CanRead": true,
    "CanWrite": false,
    "MaskStrategy": "plain",
    "SemanticTypeIri": "urn:effortless:pko-extension#FieldGrant",
    "Name": "principal-process-steward -&gt; ProcedureVersions.IsUnstewarded",
    "FieldTable": "ProcedureVersions",
    "FieldName": "IsUnstewarded",
    "FieldIsDerived": true,
    "IsWritableDerivedField": false,
    "IsMasked": false,
    "GrantKeyWhenReadable": "principal-process-steward|ProcedureVersions"
   },
   {
    "FieldGrantId": "fg-process-steward-ProcedureVersions.IsLiveAndUnstewarded",
    "Principal": "principal-process-steward",
    "TargetField": "ProcedureVersions.IsLiveAndUnstewarded",
    "CanRead": true,
    "CanWrite": false,
    "MaskStrategy": "plain",
    "SemanticTypeIri": "urn:effortless:pko-extension#FieldGrant",
    "Name": "principal-process-steward -&gt; ProcedureVersions.IsLiveAndUnstewarded",
    "FieldTable": "ProcedureVersions",
    "FieldName": "IsLiveAndUnstewarded",
    "FieldIsDerived": true,
    "IsWritableDerivedField": false,
    "IsMasked": false,
    "GrantKeyWhenReadable": "principal-process-steward|ProcedureVersions"
   },
   {
    "FieldGrantId": "fg-process-steward-ProcedureVersions.CountOfOpenBlockingGaps",
    "Principal": "principal-process-steward",
    "TargetField": "ProcedureVersions.CountOfOpenBlockingGaps",
    "CanRead": true,
    "CanWrite": false,
    "MaskStrategy": "plain",
    "SemanticTypeIri": "urn:effortless:pko-extension#FieldGrant",
    "Name": "principal-process-steward -&gt; ProcedureVersions.CountOfOpenBlockingGaps",
    "FieldTable": "ProcedureVersions",
    "FieldName": "CountOfOpenBlockingGaps",
    "FieldIsDerived": true,
    "IsWritableDerivedField": false,
    "IsMasked": false,
    "GrantKeyWhenReadable": "principal-process-steward|ProcedureVersions"
   },
   {
    "FieldGrantId": "fg-process-steward-ProcedureVersions.HasOpenBlockingGap",
    "Principal": "principal-process-steward",
    "TargetField": "ProcedureVersions.HasOpenBlockingGap",
    "CanRead": true,
    "CanWrite": false,
    "MaskStrategy": "plain",
    "SemanticTypeIri": "urn:effortless:pko-extension#FieldGrant",
    "Name": "principal-process-steward -&gt; ProcedureVersions.HasOpenBlockingGap",
    "FieldTable": "ProcedureVersions",
    "FieldName": "HasOpenBlockingGap",
    "FieldIsDerived": true,
    "IsWritableDerivedField": false,
    "IsMasked": false,
    "GrantKeyWhenReadable": "principal-process-steward|ProcedureVersions"
   },
   {
    "FieldGrantId": "fg-process-steward-ProcedureVersions.IsLiveWithBlockingGap",
    "Principal": "principal-process-steward",
    "TargetField": "ProcedureVersions.IsLiveWithBlockingGap",
    "CanRead": true,
    "CanWrite": false,
    "MaskStrategy": "plain",
    "SemanticTypeIri": "urn:effortless:pko-extension#FieldGrant",
    "Name": "principal-process-steward -&gt; ProcedureVersions.IsLiveWithBlockingGap",
    "FieldTable": "ProcedureVersions",
    "FieldName": "IsLiveWithBlockingGap",
    "FieldIsDerived": true,
    "IsWritableDerivedField": false,
    "IsMasked": false,
    "GrantKeyWhenReadable": "principal-process-steward|ProcedureVersions"
   },
   {
    "FieldGrantId": "fg-process-steward-ProcedureVersions.ShouldNotBeExecutable",
    "Principal": "principal-process-steward",
    "TargetField": "ProcedureVersions.ShouldNotBeExecutable",
    "CanRead": true,
    "CanWrite": false,
    "MaskStrategy": "plain",
    "SemanticTypeIri": "urn:effortless:pko-extension#FieldGrant",
    "Name": "principal-process-steward -&gt; ProcedureVersions.ShouldNotBeExecutable",
    "FieldTable": "ProcedureVersions",
    "FieldName": "ShouldNotBeExecutable",
    "FieldIsDerived": true,
    "IsWritableDerivedField": false,
    "IsMasked": false,
    "GrantKeyWhenReadable": "principal-process-steward|ProcedureVersions"
   },
   {
    "FieldGrantId": "fg-process-steward-ProcedureVersions.CountOfUnapprovedRelianceFragments",
    "Principal": "principal-process-steward",
    "TargetField": "ProcedureVersions.CountOfUnapprovedRelianceFragments",
    "CanRead": true,
    "CanWrite": false,
    "MaskStrategy": "plain",
    "SemanticTypeIri": "urn:effortless:pko-extension#FieldGrant",
    "Name": "principal-process-steward -&gt; ProcedureVersions.CountOfUnapprovedRelianceFragments",
    "FieldTable": "ProcedureVersions",
    "FieldName": "CountOfUnapprovedRelianceFragments",
    "FieldIsDerived": true,
    "IsWritableDerivedField": false,
    "IsMasked": false,
    "GrantKeyWhenReadable": "principal-process-steward|ProcedureVersions"
   },
   {
    "FieldGrantId": "fg-process-steward-ProcedureVersions.RunsOnUnapprovedKnowledge",
    "Principal": "principal-process-steward",
    "TargetField": "ProcedureVersions.RunsOnUnapprovedKnowledge",
    "CanRead": true,
    "CanWrite": false,
    "MaskStrategy": "plain",
    "SemanticTypeIri": "urn:effortless:pko-extension#FieldGrant",
    "Name": "principal-process-steward -&gt; ProcedureVersions.RunsOnUnapprovedKnowledge",
    "FieldTable": "ProcedureVersions",
    "FieldName": "RunsOnUnapprovedKnowledge",
    "FieldIsDerived": true,
    "IsWritableDerivedField": false,
    "IsMasked": false,
    "GrantKeyWhenReadable": "principal-process-steward|ProcedureVersions"
   },
   {
    "FieldGrantId": "fg-process-steward-ProcedureVersions.CountOfOverdueGaps",
    "Principal": "principal-process-steward",
    "TargetField": "ProcedureVersions.CountOfOverdueGaps",
    "CanRead": true,
    "CanWrite": false,
    "MaskStrategy": "plain",
    "SemanticTypeIri": "urn:effortless:pko-extension#FieldGrant",
    "Name": "principal-process-steward -&gt; ProcedureVersions.CountOfOverdueGaps",
    "FieldTable": "ProcedureVersions",
    "FieldName": "CountOfOverdueGaps",
    "FieldIsDerived": true,
    "IsWritableDerivedField": false,
    "IsMasked": false,
    "GrantKeyWhenReadable": "principal-process-steward|ProcedureVersions"
   },
   {
    "FieldGrantId": "fg-process-steward-ProcedureVersions.CountOfChangeRequests",
    "Principal": "principal-process-steward",
    "TargetField": "ProcedureVersions.CountOfChangeRequests",
    "CanRead": true,
    "CanWrite": false,
    "MaskStrategy": "plain",
    "SemanticTypeIri": "urn:effortless:pko-extension#FieldGrant",
    "Name": "principal-process-steward -&gt; ProcedureVersions.CountOfChangeRequests",
    "FieldTable": "ProcedureVersions",
    "FieldName": "CountOfChangeRequests",
    "FieldIsDerived": true,
    "IsWritableDerivedField": false,
    "IsMasked": false,
    "GrantKeyWhenReadable": "principal-process-steward|ProcedureVersions"
   },
   {
    "FieldGrantId": "fg-process-steward-ProcedureVersions.CountOfReviewEvents",
    "Principal": "principal-process-steward",
    "TargetField": "ProcedureVersions.CountOfReviewEvents",
    "CanRead": true,
    "CanWrite": false,
    "MaskStrategy": "plain",
    "SemanticTypeIri": "urn:effortless:pko-extension#FieldGrant",
    "Name": "principal-process-steward -&gt; ProcedureVersions.CountOfReviewEvents",
    "FieldTable": "ProcedureVersions",
    "FieldName": "CountOfReviewEvents",
    "FieldIsDerived": true,
    "IsWritableDerivedField": false,
    "IsMasked": false,
    "GrantKeyWhenReadable": "principal-process-steward|ProcedureVersions"
   },
   {
    "FieldGrantId": "fg-process-steward-ProcedureVersions.HasGovernanceRecord",
    "Principal": "principal-process-steward",
    "TargetField": "ProcedureVersions.HasGovernanceRecord",
    "CanRead": true,
    "CanWrite": false,
    "MaskStrategy": "plain",
    "SemanticTypeIri": "urn:effortless:pko-extension#FieldGrant",
    "Name": "principal-process-steward -&gt; ProcedureVersions.HasGovernanceRecord",
    "FieldTable": "ProcedureVersions",
    "FieldName": "HasGovernanceRecord",
    "FieldIsDerived": true,
    "IsWritableDerivedField": false,
    "IsMasked": false,
    "GrantKeyWhenReadable": "principal-process-steward|ProcedureVersions"
   },
   {
    "FieldGrantId": "fg-process-steward-ProcedureVersions.EvaluationContext",
    "Principal": "principal-process-steward",
    "TargetField": "ProcedureVersions.EvaluationContext",
    "CanRead": true,
    "CanWrite": false,
    "MaskStrategy": "plain",
    "SemanticTypeIri": "urn:effortless:pko-extension#FieldGrant",
    "Name": "principal-process-steward -&gt; ProcedureVersions.EvaluationContext",
    "FieldTable": "ProcedureVersions",
    "FieldName": "EvaluationContext",
    "FieldIsDerived": false,
    "IsWritableDerivedField": false,
    "IsMasked": false,
    "GrantKeyWhenReadable": "principal-process-steward|ProcedureVersions"
   },
   {
    "FieldGrantId": "fg-process-steward-ProcedureVersions.AsOfInstant",
    "Principal": "principal-process-steward",
    "TargetField": "ProcedureVersions.AsOfInstant",
    "CanRead": true,
    "CanWrite": false,
    "MaskStrategy": "plain",
    "SemanticTypeIri": "urn:effortless:pko-extension#FieldGrant",
    "Name": "principal-process-steward -&gt; ProcedureVersions.AsOfInstant",
    "FieldTable": "ProcedureVersions",
    "FieldName": "AsOfInstant",
    "FieldIsDerived": true,
    "IsWritableDerivedField": false,
    "IsMasked": false,
    "GrantKeyWhenReadable": "principal-process-steward|ProcedureVersions"
   },
   {
    "FieldGrantId": "fg-process-steward-ProcedureVersions.DaysSinceModified",
    "Principal": "principal-process-steward",
    "TargetField": "ProcedureVersions.DaysSinceModified",
    "CanRead": true,
    "CanWrite": false,
    "MaskStrategy": "plain",
    "SemanticTypeIri": "urn:effortless:pko-extension#FieldGrant",
    "Name": "principal-process-steward -&gt; ProcedureVersions.DaysSinceModified",
    "FieldTable": "ProcedureVersions",
    "FieldName": "DaysSinceModified",
    "FieldIsDerived": true,
    "IsWritableDerivedField": false,
    "IsMasked": false,
    "GrantKeyWhenReadable": "principal-process-steward|ProcedureVersions"
   },
   {
    "FieldGrantId": "fg-process-steward-ProcedureVersions.DaysSinceLastReview",
    "Principal": "principal-process-steward",
    "TargetField": "ProcedureVersions.DaysSinceLastReview",
    "CanRead": true,
    "CanWrite": false,
    "MaskStrategy": "plain",
    "SemanticTypeIri": "urn:effortless:pko-extension#FieldGrant",
    "Name": "principal-process-steward -&gt; ProcedureVersions.DaysSinceLastReview",
    "FieldTable": "ProcedureVersions",
    "FieldName": "DaysSinceLastReview",
    "FieldIsDerived": true,
    "IsWritableDerivedField": false,
    "IsMasked": false,
    "GrantKeyWhenReadable": "principal-process-steward|ProcedureVersions"
   },
   {
    "FieldGrantId": "fg-process-steward-ProcedureVersions.WasModifiedSinceLastReview",
    "Principal": "principal-process-steward",
    "TargetField": "ProcedureVersions.WasModifiedSinceLastReview",
    "CanRead": true,
    "CanWrite": false,
    "MaskStrategy": "plain",
    "SemanticTypeIri": "urn:effortless:pko-extension#FieldGrant",
    "Name": "principal-process-steward -&gt; ProcedureVersions.WasModifiedSinceLastReview",
    "FieldTable": "ProcedureVersions",
    "FieldName": "WasModifiedSinceLastReview",
    "FieldIsDerived": true,
    "IsWritableDerivedField": false,
    "IsMasked": false,
    "GrantKeyWhenReadable": "principal-process-steward|ProcedureVersions"
   },
   {
    "FieldGrantId": "fg-process-steward-ProcedureVersions.ModifierIsAuthority",
    "Principal": "principal-process-steward",
    "TargetField": "ProcedureVersions.ModifierIsAuthority",
    "CanRead": true,
    "CanWrite": false,
    "MaskStrategy": "plain",
    "SemanticTypeIri": "urn:effortless:pko-extension#FieldGrant",
    "Name": "principal-process-steward -&gt; ProcedureVersions.ModifierIsAuthority",
    "FieldTable": "ProcedureVersions",
    "FieldName": "ModifierIsAuthority",
    "FieldIsDerived": true,
    "IsWritableDerivedField": false,
    "IsMasked": false,
    "GrantKeyWhenReadable": "principal-process-steward|ProcedureVersions"
   },
   {
    "FieldGrantId": "fg-process-steward-ProcedureVersions.HasUnwitnessedChange",
    "Principal": "principal-process-steward",
    "TargetField": "ProcedureVersions.HasUnwitnessedChange",
    "CanRead": true,
    "CanWrite": false,
    "MaskStrategy": "plain",
    "SemanticTypeIri": "urn:effortless:pko-extension#FieldGrant",
    "Name": "principal-process-steward -&gt; ProcedureVersions.HasUnwitnessedChange",
    "FieldTable": "ProcedureVersions",
    "FieldName": "HasUnwitnessedChange",
    "FieldIsDerived": true,
    "IsWritableDerivedField": false,
    "IsMasked": false,
    "GrantKeyWhenReadable": "principal-process-steward|ProcedureVersions"
   },
   {
    "FieldGrantId": "fg-process-steward-ProcedureVersions.CountOfStaleFragments",
    "Principal": "principal-process-steward",
    "TargetField": "ProcedureVersions.CountOfStaleFragments",
    "CanRead": true,
    "CanWrite": false,
    "MaskStrategy": "plain",
    "SemanticTypeIri": "urn:effortless:pko-extension#FieldGrant",
    "Name": "principal-process-steward -&gt; ProcedureVersions.CountOfStaleFragments",
    "FieldTable": "ProcedureVersions",
    "FieldName": "CountOfStaleFragments",
    "FieldIsDerived": true,
    "IsWritableDerivedField": false,
    "IsMasked": false,
    "GrantKeyWhenReadable": "principal-process-steward|ProcedureVersions"
   },
   {
    "FieldGrantId": "fg-process-steward-ProcedureVersions.KnowledgeIsStalerThanCadence",
    "Principal": "principal-process-steward",
    "TargetField": "ProcedureVersions.KnowledgeIsStalerThanCadence",
    "CanRead": true,
    "CanWrite": false,
    "MaskStrategy": "plain",
    "SemanticTypeIri": "urn:effortless:pko-extension#FieldGrant",
    "Name": "principal-process-steward -&gt; ProcedureVersions.KnowledgeIsStalerThanCadence",
    "FieldTable": "ProcedureVersions",
    "FieldName": "KnowledgeIsStalerThanCadence",
    "FieldIsDerived": true,
    "IsWritableDerivedField": false,
    "IsMasked": false,
    "GrantKeyWhenReadable": "principal-process-steward|ProcedureVersions"
   },
   {
    "FieldGrantId": "fg-process-steward-ProcedureVersions.CompoundFragileFragmentCount",
    "Principal": "principal-process-steward",
    "TargetField": "ProcedureVersions.CompoundFragileFragmentCount",
    "CanRead": true,
    "CanWrite": false,
    "MaskStrategy": "plain",
    "SemanticTypeIri": "urn:effortless:pko-extension#FieldGrant",
    "Name": "principal-process-steward -&gt; ProcedureVersions.CompoundFragileFragmentCount",
    "FieldTable": "ProcedureVersions",
    "FieldName": "CompoundFragileFragmentCount",
    "FieldIsDerived": true,
    "IsWritableDerivedField": false,
    "IsMasked": false,
    "GrantKeyWhenReadable": "principal-process-steward|ProcedureVersions"
   },
   {
    "FieldGrantId": "fg-process-steward-ProcedureVersions.RestsOnCompoundFragileKnowledge",
    "Principal": "principal-process-steward",
    "TargetField": "ProcedureVersions.RestsOnCompoundFragileKnowledge",
    "CanRead": true,
    "CanWrite": false,
    "MaskStrategy": "plain",
    "SemanticTypeIri": "urn:effortless:pko-extension#FieldGrant",
    "Name": "principal-process-steward -&gt; ProcedureVersions.RestsOnCompoundFragileKnowledge",
    "FieldTable": "ProcedureVersions",
    "FieldName": "RestsOnCompoundFragileKnowledge",
    "FieldIsDerived": true,
    "IsWritableDerivedField": false,
    "IsMasked": false,
    "GrantKeyWhenReadable": "principal-process-steward|ProcedureVersions"
   },
   {
    "FieldGrantId": "fg-process-steward-ProcedureVersions.ConcentratedWitnessSessionCount",
    "Principal": "principal-process-steward",
    "TargetField": "ProcedureVersions.ConcentratedWitnessSessionCount",
    "CanRead": true,
    "CanWrite": false,
    "MaskStrategy": "plain",
    "SemanticTypeIri": "urn:effortless:pko-extension#FieldGrant",
    "Name": "principal-process-steward -&gt; ProcedureVersions.ConcentratedWitnessSessionCount",
    "FieldTable": "ProcedureVersions",
    "FieldName": "ConcentratedWitnessSessionCount",
    "FieldIsDerived": true,
    "IsWritableDerivedField": false,
    "IsMasked": false,
    "GrantKeyWhenReadable": "principal-process-steward|ProcedureVersions"
   },
   {
    "FieldGrantId": "fg-process-steward-ProcedureVersions.KnowledgeBaseIsConcentrated",
    "Principal": "principal-process-steward",
    "TargetField": "ProcedureVersions.KnowledgeBaseIsConcentrated",
    "CanRead": true,
    "CanWrite": false,
    "MaskStrategy": "plain",
    "SemanticTypeIri": "urn:effortless:pko-extension#FieldGrant",
    "Name": "principal-process-steward -&gt; ProcedureVersions.KnowledgeBaseIsConcentrated",
    "FieldTable": "ProcedureVersions",
    "FieldName": "KnowledgeBaseIsConcentrated",
    "FieldIsDerived": true,
    "IsWritableDerivedField": false,
    "IsMasked": false,
    "GrantKeyWhenReadable": "principal-process-steward|ProcedureVersions"
   },
   {
    "FieldGrantId": "fg-process-steward-ProcedureVersions.MachineConsumedUnapprovedCount",
    "Principal": "principal-process-steward",
    "TargetField": "ProcedureVersions.MachineConsumedUnapprovedCount",
    "CanRead": true,
    "CanWrite": false,
    "MaskStrategy": "plain",
    "SemanticTypeIri": "urn:effortless:pko-extension#FieldGrant",
    "Name": "principal-process-steward -&gt; ProcedureVersions.MachineConsumedUnapprovedCount",
    "FieldTable": "ProcedureVersions",
    "FieldName": "MachineConsumedUnapprovedCount",
    "FieldIsDerived": true,
    "IsWritableDerivedField": false,
    "IsMasked": false,
    "GrantKeyWhenReadable": "principal-process-steward|ProcedureVersions"
   },
   {
    "FieldGrantId": "fg-process-steward-ProcedureVersions.FeedsUnapprovedKnowledgeToMachines",
    "Principal": "principal-process-steward",
    "TargetField": "ProcedureVersions.FeedsUnapprovedKnowledgeToMachines",
    "CanRead": true,
    "CanWrite": false,
    "MaskStrategy": "plain",
    "SemanticTypeIri": "urn:effortless:pko-extension#FieldGrant",
    "Name": "principal-process-steward -&gt; ProcedureVersions.FeedsUnapprovedKnowledgeToMachines",
    "FieldTable": "ProcedureVersions",
    "FieldName": "FeedsUnapprovedKnowledgeToMachines",
    "FieldIsDerived": true,
    "IsWritableDerivedField": false,
    "IsMasked": false,
    "GrantKeyWhenReadable": "principal-process-steward|ProcedureVersions"
   },
   {
    "FieldGrantId": "fg-process-steward-ProcedureVersions.GenuinelyOverdueFragmentCount",
    "Principal": "principal-process-steward",
    "TargetField": "ProcedureVersions.GenuinelyOverdueFragmentCount",
    "CanRead": true,
    "CanWrite": false,
    "MaskStrategy": "plain",
    "SemanticTypeIri": "urn:effortless:pko-extension#FieldGrant",
    "Name": "principal-process-steward -&gt; ProcedureVersions.GenuinelyOverdueFragmentCount",
    "FieldTable": "ProcedureVersions",
    "FieldName": "GenuinelyOverdueFragmentCount",
    "FieldIsDerived": true,
    "IsWritableDerivedField": false,
    "IsMasked": false,
    "GrantKeyWhenReadable": "principal-process-steward|ProcedureVersions"
   },
   {
    "FieldGrantId": "fg-process-steward-ProcedureVersions.AwaitedDecisionCount",
    "Principal": "principal-process-steward",
    "TargetField": "ProcedureVersions.AwaitedDecisionCount",
    "CanRead": true,
    "CanWrite": false,
    "MaskStrategy": "plain",
    "SemanticTypeIri": "urn:effortless:pko-extension#FieldGrant",
    "Name": "principal-process-steward -&gt; ProcedureVersions.AwaitedDecisionCount",
    "FieldTable": "ProcedureVersions",
    "FieldName": "AwaitedDecisionCount",
    "FieldIsDerived": true,
    "IsWritableDerivedField": false,
    "IsMasked": false,
    "GrantKeyWhenReadable": "principal-process-steward|ProcedureVersions"
   },
   {
    "FieldGrantId": "fg-process-steward-ProcedureVersions.ScopedOpenBlockingGapCount",
    "Principal": "principal-process-steward",
    "TargetField": "ProcedureVersions.ScopedOpenBlockingGapCount",
    "CanRead": true,
    "CanWrite": false,
    "MaskStrategy": "plain",
    "SemanticTypeIri": "urn:effortless:pko-extension#FieldGrant",
    "Name": "principal-process-steward -&gt; ProcedureVersions.ScopedOpenBlockingGapCount",
    "FieldTable": "ProcedureVersions",
    "FieldName": "ScopedOpenBlockingGapCount",
    "FieldIsDerived": true,
    "IsWritableDerivedField": false,
    "IsMasked": false,
    "GrantKeyWhenReadable": "principal-process-steward|ProcedureVersions"
   },
   {
    "FieldGrantId": "fg-process-steward-ProcedureVersions.IsBlockedOnPendingDecision",
    "Principal": "principal-process-steward",
    "TargetField": "ProcedureVersions.IsBlockedOnPendingDecision",
    "CanRead": true,
    "CanWrite": false,
    "MaskStrategy": "plain",
    "SemanticTypeIri": "urn:effortless:pko-extension#FieldGrant",
    "Name": "principal-process-steward -&gt; ProcedureVersions.IsBlockedOnPendingDecision",
    "FieldTable": "ProcedureVersions",
    "FieldName": "IsBlockedOnPendingDecision",
    "FieldIsDerived": true,
    "IsWritableDerivedField": false,
    "IsMasked": false,
    "GrantKeyWhenReadable": "principal-process-steward|ProcedureVersions"
   },
   {
    "FieldGrantId": "fg-process-steward-ProcedureVersions.UnexercisedHumanGateCount",
    "Principal": "principal-process-steward",
    "TargetField": "ProcedureVersions.UnexercisedHumanGateCount",
    "CanRead": true,
    "CanWrite": false,
    "MaskStrategy": "plain",
    "SemanticTypeIri": "urn:effortless:pko-extension#FieldGrant",
    "Name": "principal-process-steward -&gt; ProcedureVersions.UnexercisedHumanGateCount",
    "FieldTable": "ProcedureVersions",
    "FieldName": "UnexercisedHumanGateCount",
    "FieldIsDerived": true,
    "IsWritableDerivedField": false,
    "IsMasked": false,
    "GrantKeyWhenReadable": "principal-process-steward|ProcedureVersions"
   },
   {
    "FieldGrantId": "fg-process-steward-ProcedureVersions.AiBoundaryIsUnevidenced",
    "Principal": "principal-process-steward",
    "TargetField": "ProcedureVersions.AiBoundaryIsUnevidenced",
    "CanRead": true,
    "CanWrite": false,
    "MaskStrategy": "plain",
    "SemanticTypeIri": "urn:effortless:pko-extension#FieldGrant",
    "Name": "principal-process-steward -&gt; ProcedureVersions.AiBoundaryIsUnevidenced",
    "FieldTable": "ProcedureVersions",
    "FieldName": "AiBoundaryIsUnevidenced",
    "FieldIsDerived": true,
    "IsWritableDerivedField": false,
    "IsMasked": false,
    "GrantKeyWhenReadable": "principal-process-steward|ProcedureVersions"
   },
   {
    "FieldGrantId": "fg-process-steward-ProcedureVersions.LoadBearingUnapprovedCount",
    "Principal": "principal-process-steward",
    "TargetField": "ProcedureVersions.LoadBearingUnapprovedCount",
    "CanRead": true,
    "CanWrite": false,
    "MaskStrategy": "plain",
    "SemanticTypeIri": "urn:effortless:pko-extension#FieldGrant",
    "Name": "principal-process-steward -&gt; ProcedureVersions.LoadBearingUnapprovedCount",
    "FieldTable": "ProcedureVersions",
    "FieldName": "LoadBearingUnapprovedCount",
    "FieldIsDerived": true,
    "IsWritableDerivedField": false,
    "IsMasked": false,
    "GrantKeyWhenReadable": "principal-process-steward|ProcedureVersions"
   },
   {
    "FieldGrantId": "fg-process-steward-ProcedureVersions.UnlandedDecisionCount",
    "Principal": "principal-process-steward",
    "TargetField": "ProcedureVersions.UnlandedDecisionCount",
    "CanRead": true,
    "CanWrite": false,
    "MaskStrategy": "plain",
    "SemanticTypeIri": "urn:effortless:pko-extension#FieldGrant",
    "Name": "principal-process-steward -&gt; ProcedureVersions.UnlandedDecisionCount",
    "FieldTable": "ProcedureVersions",
    "FieldName": "UnlandedDecisionCount",
    "FieldIsDerived": true,
    "IsWritableDerivedField": false,
    "IsMasked": false,
    "GrantKeyWhenReadable": "principal-process-steward|ProcedureVersions"
   },
   {
    "FieldGrantId": "fg-process-steward-ProcedureVersions.UnrehearsedControlEntryCount",
    "Principal": "principal-process-steward",
    "TargetField": "ProcedureVersions.UnrehearsedControlEntryCount",
    "CanRead": true,
    "CanWrite": false,
    "MaskStrategy": "plain",
    "SemanticTypeIri": "urn:effortless:pko-extension#FieldGrant",
    "Name": "principal-process-steward -&gt; ProcedureVersions.UnrehearsedControlEntryCount",
    "FieldTable": "ProcedureVersions",
    "FieldName": "UnrehearsedControlEntryCount",
    "FieldIsDerived": true,
    "IsWritableDerivedField": false,
    "IsMasked": false,
    "GrantKeyWhenReadable": "principal-process-steward|ProcedureVersions"
   },
   {
    "FieldGrantId": "fg-process-steward-ProcedureVersions.HasUnrehearsedControlEntry",
    "Principal": "principal-process-steward",
    "TargetField": "ProcedureVersions.HasUnrehearsedControlEntry",
    "CanRead": true,
    "CanWrite": false,
    "MaskStrategy": "plain",
    "SemanticTypeIri": "urn:effortless:pko-extension#FieldGrant",
    "Name": "principal-process-steward -&gt; ProcedureVersions.HasUnrehearsedControlEntry",
    "FieldTable": "ProcedureVersions",
    "FieldName": "HasUnrehearsedControlEntry",
    "FieldIsDerived": true,
    "IsWritableDerivedField": false,
    "IsMasked": false,
    "GrantKeyWhenReadable": "principal-process-steward|ProcedureVersions"
   },
   {
    "FieldGrantId": "fg-process-steward-ProcedureVersions.IsLiveWithUnrehearsedControl",
    "Principal": "principal-process-steward",
    "TargetField": "ProcedureVersions.IsLiveWithUnrehearsedControl",
    "CanRead": true,
    "CanWrite": false,
    "MaskStrategy": "plain",
    "SemanticTypeIri": "urn:effortless:pko-extension#FieldGrant",
    "Name": "principal-process-steward -&gt; ProcedureVersions.IsLiveWithUnrehearsedControl",
    "FieldTable": "ProcedureVersions",
    "FieldName": "IsLiveWithUnrehearsedControl",
    "FieldIsDerived": true,
    "IsWritableDerivedField": false,
    "IsMasked": false,
    "GrantKeyWhenReadable": "principal-process-steward|ProcedureVersions"
   },
   {
    "FieldGrantId": "fg-process-steward-ProcedureVersions.CadenceBreachCount",
    "Principal": "principal-process-steward",
    "TargetField": "ProcedureVersions.CadenceBreachCount",
    "CanRead": true,
    "CanWrite": false,
    "MaskStrategy": "plain",
    "SemanticTypeIri": "urn:effortless:pko-extension#FieldGrant",
    "Name": "principal-process-steward -&gt; ProcedureVersions.CadenceBreachCount",
    "FieldTable": "ProcedureVersions",
    "FieldName": "CadenceBreachCount",
    "FieldIsDerived": true,
    "IsWritableDerivedField": false,
    "IsMasked": false,
    "GrantKeyWhenReadable": "principal-process-steward|ProcedureVersions"
   },
   {
    "FieldGrantId": "fg-process-steward-ProcedureVersions.IsInCadenceBreach",
    "Principal": "principal-process-steward",
    "TargetField": "ProcedureVersions.IsInCadenceBreach",
    "CanRead": true,
    "CanWrite": false,
    "MaskStrategy": "plain",
    "SemanticTypeIri": "urn:effortless:pko-extension#FieldGrant",
    "Name": "principal-process-steward -&gt; ProcedureVersions.IsInCadenceBreach",
    "FieldTable": "ProcedureVersions",
    "FieldName": "IsInCadenceBreach",
    "FieldIsDerived": true,
    "IsWritableDerivedField": false,
    "IsMasked": false,
    "GrantKeyWhenReadable": "principal-process-steward|ProcedureVersions"
   },
   {
    "FieldGrantId": "fg-process-steward-ProcedureVersions.HasDecisionInFlight",
    "Principal": "principal-process-steward",
    "TargetField": "ProcedureVersions.HasDecisionInFlight",
    "CanRead": true,
    "CanWrite": false,
    "MaskStrategy": "plain",
    "SemanticTypeIri": "urn:effortless:pko-extension#FieldGrant",
    "Name": "principal-process-steward -&gt; ProcedureVersions.HasDecisionInFlight",
    "FieldTable": "ProcedureVersions",
    "FieldName": "HasDecisionInFlight",
    "FieldIsDerived": true,
    "IsWritableDerivedField": false,
    "IsMasked": false,
    "GrantKeyWhenReadable": "principal-process-steward|ProcedureVersions"
   },
   {
    "FieldGrantId": "fg-process-steward-ProcedureVersions.IsUnremediatedCadenceBreach",
    "Principal": "principal-process-steward",
    "TargetField": "ProcedureVersions.IsUnremediatedCadenceBreach",
    "CanRead": true,
    "CanWrite": false,
    "MaskStrategy": "plain",
    "SemanticTypeIri": "urn:effortless:pko-extension#FieldGrant",
    "Name": "principal-process-steward -&gt; ProcedureVersions.IsUnremediatedCadenceBreach",
    "FieldTable": "ProcedureVersions",
    "FieldName": "IsUnremediatedCadenceBreach",
    "FieldIsDerived": true,
    "IsWritableDerivedField": false,
    "IsMasked": false,
    "GrantKeyWhenReadable": "principal-process-steward|ProcedureVersions"
   },
   {
    "FieldGrantId": "fg-process-steward-ProcedureVersions.IsManagedCadenceBreach",
    "Principal": "principal-process-steward",
    "TargetField": "ProcedureVersions.IsManagedCadenceBreach",
    "CanRead": true,
    "CanWrite": false,
    "MaskStrategy": "plain",
    "SemanticTypeIri": "urn:effortless:pko-extension#FieldGrant",
    "Name": "principal-process-steward -&gt; ProcedureVersions.IsManagedCadenceBreach",
    "FieldTable": "ProcedureVersions",
    "FieldName": "IsManagedCadenceBreach",
    "FieldIsDerived": true,
    "IsWritableDerivedField": false,
    "IsMasked": false,
    "GrantKeyWhenReadable": "principal-process-steward|ProcedureVersions"
   },
   {
    "FieldGrantId": "fg-process-steward-ProcedureVersions.GovernanceIsSilent",
    "Principal": "principal-process-steward",
    "TargetField": "ProcedureVersions.GovernanceIsSilent",
    "CanRead": true,
    "CanWrite": false,
    "MaskStrateg</t>
  </si>
  <si>
    <t xml:space="preserve">y": "plain",
    "SemanticTypeIri": "urn:effortless:pko-extension#FieldGrant",
    "Name": "principal-process-steward -&gt; ProcedureVersions.GovernanceIsSilent",
    "FieldTable": "ProcedureVersions",
    "FieldName": "GovernanceIsSilent",
    "FieldIsDerived": true,
    "IsWritableDerivedField": false,
    "IsMasked": false,
    "GrantKeyWhenReadable": "principal-process-steward|ProcedureVersions"
   },
   {
    "FieldGrantId": "fg-process-steward-ProcedureVersions.ValidFragmentCount",
    "Principal": "principal-process-steward",
    "TargetField": "ProcedureVersions.ValidFragmentCount",
    "CanRead": true,
    "CanWrite": false,
    "MaskStrategy": "plain",
    "SemanticTypeIri": "urn:effortless:pko-extension#FieldGrant",
    "Name": "principal-process-steward -&gt; ProcedureVersions.ValidFragmentCount",
    "FieldTable": "ProcedureVersions",
    "FieldName": "ValidFragmentCount",
    "FieldIsDerived": true,
    "IsWritableDerivedField": false,
    "IsMasked": false,
    "GrantKeyWhenReadable": "principal-process-steward|ProcedureVersions"
   },
   {
    "FieldGrantId": "fg-process-steward-ProcedureVersions.StillOwnsValidKnowledge",
    "Principal": "principal-process-steward",
    "TargetField": "ProcedureVersions.StillOwnsValidKnowledge",
    "CanRead": true,
    "CanWrite": false,
    "MaskStrategy": "plain",
    "SemanticTypeIri": "urn:effortless:pko-extension#FieldGrant",
    "Name": "principal-process-steward -&gt; ProcedureVersions.StillOwnsValidKnowledge",
    "FieldTable": "ProcedureVersions",
    "FieldName": "StillOwnsValidKnowledge",
    "FieldIsDerived": true,
    "IsWritableDerivedField": false,
    "IsMasked": false,
    "GrantKeyWhenReadable": "principal-process-steward|ProcedureVersions"
   },
   {
    "FieldGrantId": "fg-process-steward-ProcedureVersions.IncomingSupersessionCount",
    "Principal": "principal-process-steward",
    "TargetField": "ProcedureVersions.IncomingSupersessionCount",
    "CanRead": true,
    "CanWrite": false,
    "MaskStrategy": "plain",
    "SemanticTypeIri": "urn:effortless:pko-extension#FieldGrant",
    "Name": "principal-process-steward -&gt; ProcedureVersions.IncomingSupersessionCount",
    "FieldTable": "ProcedureVersions",
    "FieldName": "IncomingSupersessionCount",
    "FieldIsDerived": true,
    "IsWritableDerivedField": false,
    "IsMasked": false,
    "GrantKeyWhenReadable": "principal-process-steward|ProcedureVersions"
   },
   {
    "FieldGrantId": "fg-process-steward-ProcedureVersions.IsStillReferenced",
    "Principal": "principal-process-steward",
    "TargetField": "ProcedureVersions.IsStillReferenced",
    "CanRead": true,
    "CanWrite": false,
    "MaskStrategy": "plain",
    "SemanticTypeIri": "urn:effortless:pko-extension#FieldGrant",
    "Name": "principal-process-steward -&gt; ProcedureVersions.IsStillReferenced",
    "FieldTable": "ProcedureVersions",
    "FieldName": "IsStillReferenced",
    "FieldIsDerived": true,
    "IsWritableDerivedField": false,
    "IsMasked": false,
    "GrantKeyWhenReadable": "principal-process-steward|ProcedureVersions"
   },
   {
    "FieldGrantId": "fg-process-steward-ProcedureVersions.IsLoadBearingOrphan",
    "Principal": "principal-process-steward",
    "TargetField": "ProcedureVersions.IsLoadBearingOrphan",
    "CanRead": true,
    "CanWrite": false,
    "MaskStrategy": "plain",
    "SemanticTypeIri": "urn:effortless:pko-extension#FieldGrant",
    "Name": "principal-process-steward -&gt; ProcedureVersions.IsLoadBearingOrphan",
    "FieldTable": "ProcedureVersions",
    "FieldName": "IsLoadBearingOrphan",
    "FieldIsDerived": true,
    "IsWritableDerivedField": false,
    "IsMasked": false,
    "GrantKeyWhenReadable": "principal-process-steward|ProcedureVersions"
   },
   {
    "FieldGrantId": "fg-process-steward-ProcedureVersions.IsCleanlyRetired",
    "Principal": "principal-process-steward",
    "TargetField": "ProcedureVersions.IsCleanlyRetired",
    "CanRead": true,
    "CanWrite": false,
    "MaskStrategy": "plain",
    "SemanticTypeIri": "urn:effortless:pko-extension#FieldGrant",
    "Name": "principal-process-steward -&gt; ProcedureVersions.IsCleanlyRetired",
    "FieldTable": "ProcedureVersions",
    "FieldName": "IsCleanlyRetired",
    "FieldIsDerived": true,
    "IsWritableDerivedField": false,
    "IsMasked": false,
    "GrantKeyWhenReadable": "principal-process-steward|ProcedureVersions"
   },
   {
    "FieldGrantId": "fg-process-steward-ProcedureVersions.StalledImplementationCount",
    "Principal": "principal-process-steward",
    "TargetField": "ProcedureVersions.StalledImplementationCount",
    "CanRead": true,
    "CanWrite": false,
    "MaskStrategy": "plain",
    "SemanticTypeIri": "urn:effortless:pko-extension#FieldGrant",
    "Name": "principal-process-steward -&gt; ProcedureVersions.StalledImplementationCount",
    "FieldTable": "ProcedureVersions",
    "FieldName": "StalledImplementationCount",
    "FieldIsDerived": true,
    "IsWritableDerivedField": false,
    "IsMasked": false,
    "GrantKeyWhenReadable": "principal-process-steward|ProcedureVersions"
   },
   {
    "FieldGrantId": "fg-process-steward-ProcedureVersions.IsHeldUnfitByLandedDecisions",
    "Principal": "principal-process-steward",
    "TargetField": "ProcedureVersions.IsHeldUnfitByLandedDecisions",
    "CanRead": true,
    "CanWrite": false,
    "MaskStrategy": "plain",
    "SemanticTypeIri": "urn:effortless:pko-extension#FieldGrant",
    "Name": "principal-process-steward -&gt; ProcedureVersions.IsHeldUnfitByLandedDecisions",
    "FieldTable": "ProcedureVersions",
    "FieldName": "IsHeldUnfitByLandedDecisions",
    "FieldIsDerived": true,
    "IsWritableDerivedField": false,
    "IsMasked": false,
    "GrantKeyWhenReadable": "principal-process-steward|ProcedureVersions"
   },
   {
    "FieldGrantId": "fg-process-steward-ProcedureVersions.UndeclaredControlKindCount",
    "Principal": "principal-process-steward",
    "TargetField": "ProcedureVersions.UndeclaredControlKindCount",
    "CanRead": true,
    "CanWrite": false,
    "MaskStrategy": "plain",
    "SemanticTypeIri": "urn:effortless:pko-extension#FieldGrant",
    "Name": "principal-process-steward -&gt; ProcedureVersions.UndeclaredControlKindCount",
    "FieldTable": "ProcedureVersions",
    "FieldName": "UndeclaredControlKindCount",
    "FieldIsDerived": true,
    "IsWritableDerivedField": false,
    "IsMasked": false,
    "GrantKeyWhenReadable": "principal-process-steward|ProcedureVersions"
   },
   {
    "FieldGrantId": "fg-process-steward-ProcedureVersions.ControlTaxonomyIsIncomplete",
    "Principal": "principal-process-steward",
    "TargetField": "ProcedureVersions.ControlTaxonomyIsIncomplete",
    "CanRead": true,
    "CanWrite": false,
    "MaskStrategy": "plain",
    "SemanticTypeIri": "urn:effortless:pko-extension#FieldGrant",
    "Name": "principal-process-steward -&gt; ProcedureVersions.ControlTaxonomyIsIncomplete",
    "FieldTable": "ProcedureVersions",
    "FieldName": "ControlTaxonomyIsIncomplete",
    "FieldIsDerived": true,
    "IsWritableDerivedField": false,
    "IsMasked": false,
    "GrantKeyWhenReadable": "principal-process-steward|ProcedureVersions"
   },
   {
    "FieldGrantId": "fg-process-steward-ProcedureVersions.HasApprovedChangeRequest",
    "Principal": "principal-process-steward",
    "TargetField": "ProcedureVersions.HasApprovedChangeRequest",
    "CanRead": true,
    "CanWrite": false,
    "MaskStrategy": "plain",
    "SemanticTypeIri": "urn:effortless:pko-extension#FieldGrant",
    "Name": "principal-process-steward -&gt; ProcedureVersions.HasApprovedChangeRequest",
    "FieldTable": "ProcedureVersions",
    "FieldName": "HasApprovedChangeRequest",
    "FieldIsDerived": true,
    "IsWritableDerivedField": false,
    "IsMasked": false,
    "GrantKeyWhenReadable": "principal-process-steward|ProcedureVersions"
   },
   {
    "FieldGrantId": "fg-process-steward-ProcedureVersions.ApprovedChangeRequestCount",
    "Principal": "principal-process-steward",
    "TargetField": "ProcedureVersions.ApprovedChangeRequestCount",
    "CanRead": true,
    "CanWrite": false,
    "MaskStrategy": "plain",
    "SemanticTypeIri": "urn:effortless:pko-extension#FieldGrant",
    "Name": "principal-process-steward -&gt; ProcedureVersions.ApprovedChangeRequestCount",
    "FieldTable": "ProcedureVersions",
    "FieldName": "ApprovedChangeRequestCount",
    "FieldIsDerived": true,
    "IsWritableDerivedField": false,
    "IsMasked": false,
    "GrantKeyWhenReadable": "principal-process-steward|ProcedureVersions"
   },
   {
    "FieldGrantId": "fg-process-steward-ProcedureVersions.UnwatchedUnownedControlCount",
    "Principal": "principal-process-steward",
    "TargetField": "ProcedureVersions.UnwatchedUnownedControlCount",
    "CanRead": true,
    "CanWrite": false,
    "MaskStrategy": "plain",
    "SemanticTypeIri": "urn:effortless:pko-extension#FieldGrant",
    "Name": "principal-process-steward -&gt; ProcedureVersions.UnwatchedUnownedControlCount",
    "FieldTable": "ProcedureVersions",
    "FieldName": "UnwatchedUnownedControlCount",
    "FieldIsDerived": true,
    "IsWritableDerivedField": false,
    "IsMasked": false,
    "GrantKeyWhenReadable": "principal-process-steward|ProcedureVersions"
   },
   {
    "FieldGrantId": "fg-process-steward-ProcedureVersions.SemanticTypeIri",
    "Principal": "principal-process-steward",
    "TargetField": "ProcedureVersions.SemanticTypeIri",
    "CanRead": true,
    "CanWrite": false,
    "MaskStrategy": "plain",
    "SemanticTypeIri": "urn:effortless:pko-extension#FieldGrant",
    "Name": "principal-process-steward -&gt; ProcedureVersions.SemanticTypeIri",
    "FieldTable": "ProcedureVersions",
    "FieldName": "SemanticTypeIri",
    "FieldIsDerived": false,
    "IsWritableDerivedField": false,
    "IsMasked": false,
    "GrantKeyWhenReadable": "principal-process-steward|ProcedureVersions"
   },
   {
    "FieldGrantId": "fg-process-steward-Procedures.ProcedureId",
    "Principal": "principal-process-steward",
    "TargetField": "Procedures.ProcedureId",
    "CanRead": true,
    "CanWrite": false,
    "MaskStrategy": "plain",
    "SemanticTypeIri": "urn:effortless:pko-extension#FieldGrant",
    "Name": "principal-process-steward -&gt; Procedures.ProcedureId",
    "FieldTable": "Procedures",
    "FieldName": "ProcedureId",
    "FieldIsDerived": false,
    "IsWritableDerivedField": false,
    "IsMasked": false,
    "GrantKeyWhenReadable": "principal-process-steward|Procedures"
   },
   {
    "FieldGrantId": "fg-process-steward-Procedures.Name",
    "Principal": "principal-process-steward",
    "TargetField": "Procedures.Name",
    "CanRead": true,
    "CanWrite": false,
    "MaskStrategy": "plain",
    "SemanticTypeIri": "urn:effortless:pko-extension#FieldGrant",
    "Name": "principal-process-steward -&gt; Procedures.Name",
    "FieldTable": "Procedures",
    "FieldName": "Name",
    "FieldIsDerived": true,
    "IsWritableDerivedField": false,
    "IsMasked": false,
    "GrantKeyWhenReadable": "principal-process-steward|Procedures"
   },
   {
    "FieldGrantId": "fg-process-steward-Procedures.Title",
    "Principal": "principal-process-steward",
    "TargetField": "Procedures.Title",
    "CanRead": true,
    "CanWrite": false,
    "MaskStrategy": "plain",
    "SemanticTypeIri": "urn:effortless:pko-extension#FieldGrant",
    "Name": "principal-process-steward -&gt; Procedures.Title",
    "FieldTable": "Procedures",
    "FieldName": "Title",
    "FieldIsDerived": false,
    "IsWritableDerivedField": false,
    "IsMasked": false,
    "GrantKeyWhenReadable": "principal-process-steward|Procedures"
   },
   {
    "FieldGrantId": "fg-process-steward-Procedures.ProcedureType",
    "Principal": "principal-process-steward",
    "TargetField": "Procedures.ProcedureType",
    "CanRead": true,
    "CanWrite": false,
    "MaskStrategy": "plain",
    "SemanticTypeIri": "urn:effortless:pko-extension#FieldGrant",
    "Name": "principal-process-steward -&gt; Procedures.ProcedureType",
    "FieldTable": "Procedures",
    "FieldName": "ProcedureType",
    "FieldIsDerived": false,
    "IsWritableDerivedField": false,
    "IsMasked": false,
    "GrantKeyWhenReadable": "principal-process-steward|Procedures"
   },
   {
    "FieldGrantId": "fg-process-steward-Procedures.OwnerOrganization",
    "Principal": "principal-process-steward",
    "TargetField": "Procedures.OwnerOrganization",
    "CanRead": true,
    "CanWrite": false,
    "MaskStrategy": "plain",
    "SemanticTypeIri": "urn:effortless:pko-extension#FieldGrant",
    "Name": "principal-process-steward -&gt; Procedures.OwnerOrganization",
    "FieldTable": "Procedures",
    "FieldName": "OwnerOrganization",
    "FieldIsDerived": false,
    "IsWritableDerivedField": false,
    "IsMasked": false,
    "GrantKeyWhenReadable": "principal-process-steward|Procedures"
   },
   {
    "FieldGrantId": "fg-process-steward-Procedures.AdoptedByOrganization",
    "Principal": "principal-process-steward",
    "TargetField": "Procedures.AdoptedByOrganization",
    "CanRead": true,
    "CanWrite": false,
    "MaskStrategy": "plain",
    "SemanticTypeIri": "urn:effortless:pko-extension#FieldGrant",
    "Name": "principal-process-steward -&gt; Procedures.AdoptedByOrganization",
    "FieldTable": "Procedures",
    "FieldName": "AdoptedByOrganization",
    "FieldIsDerived": false,
    "IsWritableDerivedField": false,
    "IsMasked": false,
    "GrantKeyWhenReadable": "principal-process-steward|Procedures"
   },
   {
    "FieldGrantId": "fg-process-steward-Procedures.Purpose",
    "Principal": "principal-process-steward",
    "TargetField": "Procedures.Purpose",
    "CanRead": true,
    "CanWrite": false,
    "MaskStrategy": "plain",
    "SemanticTypeIri": "urn:effortless:pko-extension#FieldGrant",
    "Name": "principal-process-steward -&gt; Procedures.Purpose",
    "FieldTable": "Procedures",
    "FieldName": "Purpose",
    "FieldIsDerived": false,
    "IsWritableDerivedField": false,
    "IsMasked": false,
    "GrantKeyWhenReadable": "principal-process-steward|Procedures"
   },
   {
    "FieldGrantId": "fg-process-steward-Procedures.Target",
    "Principal": "principal-process-steward",
    "TargetField": "Procedures.Target",
    "CanRead": true,
    "CanWrite": false,
    "MaskStrategy": "plain",
    "SemanticTypeIri": "urn:effortless:pko-extension#FieldGrant",
    "Name": "principal-process-steward -&gt; Procedures.Target",
    "FieldTable": "Procedures",
    "FieldName": "Target",
    "FieldIsDerived": false,
    "IsWritableDerivedField": false,
    "IsMasked": false,
    "GrantKeyWhenReadable": "principal-process-steward|Procedures"
   },
   {
    "FieldGrantId": "fg-process-steward-Procedures.IsTemplate",
    "Principal": "principal-process-steward",
    "TargetField": "Procedures.IsTemplate",
    "CanRead": true,
    "CanWrite": false,
    "MaskStrategy": "plain",
    "SemanticTypeIri": "urn:effortless:pko-extension#FieldGrant",
    "Name": "principal-process-steward -&gt; Procedures.IsTemplate",
    "FieldTable": "Procedures",
    "FieldName": "IsTemplate",
    "FieldIsDerived": false,
    "IsWritableDerivedField": false,
    "IsMasked": false,
    "GrantKeyWhenReadable": "principal-process-steward|Procedures"
   },
   {
    "FieldGrantId": "fg-process-steward-Procedures.CurrentVersionKey",
    "Principal": "principal-process-steward",
    "TargetField": "Procedures.CurrentVersionKey",
    "CanRead": true,
    "CanWrite": false,
    "MaskStrategy": "plain",
    "SemanticTypeIri": "urn:effortless:pko-extension#FieldGrant",
    "Name": "principal-process-steward -&gt; Procedures.CurrentVersionKey",
    "FieldTable": "Procedures",
    "FieldName": "CurrentVersionKey",
    "FieldIsDerived": false,
    "IsWritableDerivedField": false,
    "IsMasked": false,
    "GrantKeyWhenReadable": "principal-process-steward|Procedures"
   },
   {
    "FieldGrantId": "fg-process-steward-Procedures.SemanticTypeIri",
    "Principal": "principal-process-steward",
    "TargetField": "Procedures.SemanticTypeIri",
    "CanRead": true,
    "CanWrite": false,
    "MaskStrategy": "plain",
    "SemanticTypeIri": "urn:effortless:pko-extension#FieldGrant",
    "Name": "principal-process-steward -&gt; Procedures.SemanticTypeIri",
    "FieldTable": "Procedures",
    "FieldName": "SemanticTypeIri",
    "FieldIsDerived": false,
    "IsWritableDerivedField": false,
    "IsMasked": false,
    "GrantKeyWhenReadable": "principal-process-steward|Procedures"
   },
   {
    "FieldGrantId": "fg-process-steward-Rationales.RationaleId",
    "Principal": "principal-process-steward",
    "TargetField": "Rationales.RationaleId",
    "CanRead": true,
    "CanWrite": false,
    "MaskStrategy": "plain",
    "SemanticTypeIri": "urn:effortless:pko-extension#FieldGrant",
    "Name": "principal-process-steward -&gt; Rationales.RationaleId",
    "FieldTable": "Rationales",
    "FieldName": "RationaleId",
    "FieldIsDerived": false,
    "IsWritableDerivedField": false,
    "IsMasked": false,
    "GrantKeyWhenReadable": "principal-process-steward|Rationales"
   },
   {
    "FieldGrantId": "fg-process-steward-Rationales.Name",
    "Principal": "principal-process-steward",
    "TargetField": "Rationales.Name",
    "CanRead": true,
    "CanWrite": false,
    "MaskStrategy": "plain",
    "SemanticTypeIri": "urn:effortless:pko-extension#FieldGrant",
    "Name": "principal-process-steward -&gt; Rationales.Name",
    "FieldTable": "Rationales",
    "FieldName": "Name",
    "FieldIsDerived": true,
    "IsWritableDerivedField": false,
    "IsMasked": false,
    "GrantKeyWhenReadable": "principal-process-steward|Rationales"
   },
   {
    "FieldGrantId": "fg-process-steward-Rationales.ProcedureVersion",
    "Principal": "principal-process-steward",
    "TargetField": "Rationales.ProcedureVersion",
    "CanRead": true,
    "CanWrite": false,
    "MaskStrategy": "plain",
    "SemanticTypeIri": "urn:effortless:pko-extension#FieldGrant",
    "Name": "principal-process-steward -&gt; Rationales.ProcedureVersion",
    "FieldTable": "Rationales",
    "FieldName": "ProcedureVersion",
    "FieldIsDerived": false,
    "IsWritableDerivedField": false,
    "IsMasked": false,
    "GrantKeyWhenReadable": "principal-process-steward|Rationales"
   },
   {
    "FieldGrantId": "fg-process-steward-Rationales.Step",
    "Principal": "principal-process-steward",
    "TargetField": "Rationales.Step",
    "CanRead": true,
    "CanWrite": false,
    "MaskStrategy": "plain",
    "SemanticTypeIri": "urn:effortless:pko-extension#FieldGrant",
    "Name": "principal-process-steward -&gt; Rationales.Step",
    "FieldTable": "Rationales",
    "FieldName": "Step",
    "FieldIsDerived": false,
    "IsWritableDerivedField": false,
    "IsMasked": false,
    "GrantKeyWhenReadable": "principal-process-steward|Rationales"
   },
   {
    "FieldGrantId": "fg-process-steward-Rationales.Title",
    "Principal": "principal-process-steward",
    "TargetField": "Rationales.Title",
    "CanRead": true,
    "CanWrite": false,
    "MaskStrategy": "plain",
    "SemanticTypeIri": "urn:effortless:pko-extension#FieldGrant",
    "Name": "principal-process-steward -&gt; Rationales.Title",
    "FieldTable": "Rationales",
    "FieldName": "Title",
    "FieldIsDerived": false,
    "IsWritableDerivedField": false,
    "IsMasked": false,
    "GrantKeyWhenReadable": "principal-process-steward|Rationales"
   },
   {
    "FieldGrantId": "fg-process-steward-Rationales.Statement",
    "Principal": "principal-process-steward",
    "TargetField": "Rationales.Statement",
    "CanRead": true,
    "CanWrite": false,
    "MaskStrategy": "plain",
    "SemanticTypeIri": "urn:effortless:pko-extension#FieldGrant",
    "Name": "principal-process-steward -&gt; Rationales.Statement",
    "FieldTable": "Rationales",
    "FieldName": "Statement",
    "FieldIsDerived": false,
    "IsWritableDerivedField": false,
    "IsMasked": false,
    "GrantKeyWhenReadable": "principal-process-steward|Rationales"
   },
   {
    "FieldGrantId": "fg-process-steward-Rationales.Status",
    "Principal": "principal-process-steward",
    "TargetField": "Rationales.Status",
    "CanRead": true,
    "CanWrite": false,
    "MaskStrategy": "plain",
    "SemanticTypeIri": "urn:effortless:pko-extension#FieldGrant",
    "Name": "principal-process-steward -&gt; Rationales.Status",
    "FieldTable": "Rationales",
    "FieldName": "Status",
    "FieldIsDerived": false,
    "IsWritableDerivedField": false,
    "IsMasked": false,
    "GrantKeyWhenReadable": "principal-process-steward|Rationales"
   },
   {
    "FieldGrantId": "fg-process-steward-Rationales.AuthorityRole",
    "Principal": "principal-process-steward",
    "TargetField": "Rationales.AuthorityRole",
    "CanRead": true,
    "CanWrite": false,
    "MaskStrategy": "plain",
    "SemanticTypeIri": "urn:effortless:pko-extension#FieldGrant",
    "Name": "principal-process-steward -&gt; Rationales.AuthorityRole",
    "FieldTable": "Rationales",
    "FieldName": "AuthorityRole",
    "FieldIsDerived": false,
    "IsWritableDerivedField": false,
    "IsMasked": false,
    "GrantKeyWhenReadable": "principal-process-steward|Rationales"
   },
   {
    "FieldGrantId": "fg-process-steward-Rationales.SemanticTypeIri",
    "Principal": "principal-process-steward",
    "TargetField": "Rationales.SemanticTypeIri",
    "CanRead": true,
    "CanWrite": false,
    "MaskStrategy": "plain",
    "SemanticTypeIri": "urn:effortless:pko-extension#FieldGrant",
    "Name": "principal-process-steward -&gt; Rationales.SemanticTypeIri",
    "FieldTable": "Rationales",
    "FieldName": "SemanticTypeIri",
    "FieldIsDerived": false,
    "IsWritableDerivedField": false,
    "IsMasked": false,
    "GrantKeyWhenReadable": "principal-process-steward|Rationales"
   },
   {
    "FieldGrantId": "fg-process-steward-Recipients.RecipientId",
    "Principal": "principal-process-steward",
    "TargetField": "Recipients.RecipientId",
    "CanRead": true,
    "CanWrite": false,
    "MaskStrategy": "plain",
    "SemanticTypeIri": "urn:effortless:pko-extension#FieldGrant",
    "Name": "principal-process-steward -&gt; Recipients.RecipientId",
    "FieldTable": "Recipients",
    "FieldName": "RecipientId",
    "FieldIsDerived": false,
    "IsWritableDerivedField": false,
    "IsMasked": false,
    "GrantKeyWhenReadable": "principal-process-steward|Recipients"
   },
   {
    "FieldGrantId": "fg-process-steward-Recipients.Name",
    "Principal": "principal-process-steward",
    "TargetField": "Recipients.Name",
    "CanRead": true,
    "CanWrite": false,
    "MaskStrategy": "plain",
    "SemanticTypeIri": "urn:effortless:pko-extension#FieldGrant",
    "Name": "principal-process-steward -&gt; Recipients.Name",
    "FieldTable": "Recipients",
    "FieldName": "Name",
    "FieldIsDerived": true,
    "IsWritableDerivedField": false,
    "IsMasked": false,
    "GrantKeyWhenReadable": "principal-process-steward|Recipients"
   },
   {
    "FieldGrantId": "fg-process-steward-Recipients.DisplayName",
    "Principal": "principal-process-steward",
    "TargetField": "Recipients.DisplayName",
    "CanRead": true,
    "CanWrite": false,
    "MaskStrategy": "plain",
    "SemanticTypeIri": "urn:effortless:pko-extension#FieldGrant",
    "Name": "principal-process-steward -&gt; Recipients.DisplayName",
    "FieldTable": "Recipients",
    "FieldName": "DisplayName",
    "FieldIsDerived": false,
    "IsWritableDerivedField": false,
    "IsMasked": false,
    "GrantKeyWhenReadable": "principal-process-steward|Recipients"
   },
   {
    "FieldGrantId": "fg-process-steward-Recipients.Organization",
    "Principal": "principal-process-steward",
    "TargetField": "Recipients.Organization",
    "CanRead": true,
    "CanWrite": false,
    "MaskStrategy": "plain",
    "SemanticTypeIri": "urn:effortless:pko-extension#FieldGrant",
    "Name": "principal-process-steward -&gt; Recipients.Organization",
    "FieldTable": "Recipients",
    "FieldName": "Organization",
    "FieldIsDerived": false,
    "IsWritableDerivedField": false,
    "IsMasked": false,
    "GrantKeyWhenReadable": "principal-process-steward|Recipients"
   },
   {
    "FieldGrantId": "fg-process-steward-Recipients.EmailAddress",
    "Principal": "principal-process-steward",
    "TargetField": "Recipients.EmailAddress",
    "CanRead": true,
    "CanWrite": false,
    "MaskStrategy": "plain",
    "SemanticTypeIri": "urn:effortless:pko-extension#FieldGrant",
    "Name": "principal-process-steward -&gt; Recipients.EmailAddress",
    "FieldTable": "Recipients",
    "FieldName": "EmailAddress",
    "FieldIsDerived": false,
    "IsWritableDerivedField": false,
    "IsMasked": false,
    "GrantKeyWhenReadable": "principal-process-steward|Recipients"
   },
   {
    "FieldGrantId": "fg-process-steward-Recipients.MobileNumber",
    "Principal": "principal-process-steward",
    "TargetField": "Recipients.MobileNumber",
    "CanRead": true,
    "CanWrite": false,
    "MaskStrategy": "plain",
    "SemanticTypeIri": "urn:effortless:pko-extension#FieldGrant",
    "Name": "principal-process-steward -&gt; Recipients.MobileNumber",
    "FieldTable": "Recipients",
    "FieldName": "MobileNumber",
    "FieldIsDerived": false,
    "IsWritableDerivedField": false,
    "IsMasked": false,
    "GrantKeyWhenReadable": "principal-process-steward|Recipients"
   },
   {
    "FieldGrantId": "fg-process-steward-Recipients.SmsConsentStatus",
    "Principal": "principal-process-steward",
    "TargetField": "Recipients.SmsConsentStatus",
    "CanRead": true,
    "CanWrite": false,
    "MaskStrategy": "plain",
    "SemanticTypeIri": "urn:effortless:pko-extension#FieldGrant",
    "Name": "principal-process-steward -&gt; Recipients.SmsConsentStatus",
    "FieldTable": "Recipients",
    "FieldName": "SmsConsentStatus",
    "FieldIsDerived": false,
    "IsWritableDerivedField": false,
    "IsMasked": false,
    "GrantKeyWhenReadable": "principal-process-steward|Recipients"
   },
   {
    "FieldGrantId": "fg-process-steward-Recipients.SmsConsentAt",
    "Principal": "principal-process-steward",
    "TargetField": "Recipients.SmsConsentAt",
    "CanRead": true,
    "CanWrite": false,
    "MaskStrategy": "plain",
    "SemanticTypeIri": "urn:effortless:pko-extension#FieldGrant",
    "Name": "principal-process-steward -&gt; Recipients.SmsConsentAt",
    "FieldTable": "Recipients",
    "FieldName": "SmsConsentAt",
    "FieldIsDerived": false,
    "IsWritableDerivedField": false,
    "IsMasked": false,
    "GrantKeyWhenReadable": "principal-process-steward|Recipients"
   },
   {
    "FieldGrantId": "fg-process-steward-Recipients.ConsentBinding",
    "Principal": "principal-process-steward",
    "TargetField": "Recipients.ConsentBinding",
    "CanRead": true,
    "CanWrite": false,
    "MaskStrategy": "plain",
    "SemanticTypeIri": "urn:effortless:pko-extension#FieldGrant",
    "Name": "principal-process-steward -&gt; Recipients.ConsentBinding",
    "FieldTable": "Recipients",
    "FieldName": "ConsentBinding",
    "FieldIsDerived": false,
    "IsWritableDerivedField": false,
    "IsMasked": false,
    "GrantKeyWhenReadable": "principal-process-steward|Recipients"
   },
   {
    "FieldGrantId": "fg-process-steward-Recipients.HasSmsConsent",
    "Principal": "principal-process-steward",
    "TargetField": "Recipients.HasSmsConsent",
    "CanRead": true,
    "CanWrite": false,
    "MaskStrategy": "plain",
    "SemanticTypeIri": "urn:effortless:pko-extension#FieldGrant",
    "Name": "principal-process-steward -&gt; Recipients.HasSmsConsent",
    "FieldTable": "Recipients",
    "FieldName": "HasSmsConsent",
    "FieldIsDerived": true,
    "IsWritableDerivedField": false,
    "IsMasked": false,
    "GrantKeyWhenReadable": "principal-process-steward|Recipients"
   },
   {
    "FieldGrantId": "fg-process-steward-Recipients.IsEmailReachable",
    "Principal": "principal-process-steward",
    "TargetField": "Recipients.IsEmailReachable",
    "CanRead": true,
    "CanWrite": false,
    "MaskStrategy": "plain",
    "SemanticTypeIri": "urn:effortless:pko-extension#FieldGrant",
    "Name": "principal-process-steward -&gt; Recipients.IsEmailReachable",
    "FieldTable": "Recipients",
    "FieldName": "IsEmailReachable",
    "FieldIsDerived": true,
    "IsWritableDerivedField": false,
    "IsMasked": false,
    "GrantKeyWhenReadable": "principal-process-steward|Recipients"
   },
   {
    "FieldGrantId": "fg-process-steward-Recipients.IsSmsReachable",
    "Principal": "principal-process-steward",
    "TargetField": "Recipients.IsSmsReachable",
    "CanRead": true,
    "CanWrite": false,
    "MaskStrategy": "plain",
    "SemanticTypeIri": "urn:effortless:pko-extension#FieldGrant",
    "Name": "principal-process-steward -&gt; Recipients.IsSmsReachable",
    "FieldTable": "Recipients",
    "FieldName": "IsSmsReachable",
    "FieldIsDerived": true,
    "IsWritableDerivedField": false,
    "IsMasked": false,
    "GrantKeyWhenReadable": "principal-process-steward|Recipients"
   },
   {
    "FieldGrantId": "fg-process-steward-Recipients.IsUnreachable",
    "Principal": "principal-process-steward",
    "TargetField": "Recipients.IsUnreachable",
    "CanRead": true,
    "CanWrite": false,
    "MaskStrategy": "plain",
    "SemanticTypeIri": "urn:effortless:pko-extension#FieldGrant",
    "Name": "principal-process-steward -&gt; Recipients.IsUnreachable",
    "FieldTable": "Recipients",
    "FieldName": "IsUnreachable",
    "FieldIsDerived": true,
    "IsWritableDerivedField": false,
    "IsMasked": false,
    "GrantKeyWhenReadable": "principal-process-steward|Recipients"
   },
   {
    "FieldGrantId": "fg-process-steward-Recipients.IsCommunicationallyStranded",
    "Principal": "principal-process-steward",
    "TargetField": "Recipients.IsCommunicationallyStranded",
    "CanRead": true,
    "CanWrite": false,
    "MaskStrategy": "plain",
    "SemanticTypeIri": "urn:effortless:pko-extension#FieldGrant",
    "Name": "principal-process-steward -&gt; Recipients.IsCommunicationallyStranded",
    "FieldTable": "Recipients",
    "FieldName": "IsCommunicationallyStranded",
    "FieldIsDerived": true,
    "IsWritableDerivedField": false,
    "IsMasked": false,
    "GrantKeyWhenReadable": "principal-process-steward|Recipients"
   },
   {
    "FieldGrantId": "fg-process-steward-Recipients.SemanticTypeIri",
    "Principal": "principal-process-steward",
    "TargetField": "Recipients.SemanticTypeIri",
    "CanRead": true,
    "CanWrite": false,
    "MaskStrategy": "plain",
    "SemanticTypeIri": "urn:effortless:pko-extension#FieldGrant",
    "Name": "principal-process-steward -&gt; Recipients.SemanticTypeIri",
    "FieldTable": "Recipients",
    "FieldName": "SemanticTypeIri",
    "FieldIsDerived": false,
    "IsWritableDerivedField": false,
    "IsMasked": false,
    "GrantKeyWhenReadable": "principal-process-steward|Recipients"
   },
   {
    "FieldGrantId": "fg-process-steward-RequirementSatisfactions.RequirementSatisfactionId",
    "Principal": "principal-process-steward",
    "TargetField": "RequirementSatisfactions.RequirementSatisfactionId",
    "CanRead": true,
    "CanWrite": false,
    "MaskStrategy": "plain",
    "SemanticTypeIri": "urn:effortless:pko-extension#FieldGrant",
    "Name": "principal-process-steward -&gt; RequirementSatisfactions.RequirementSatisfactionId",
    "FieldTable": "RequirementSatisfactions",
    "FieldName": "RequirementSatisfactionId",
    "FieldIsDerived": false,
    "IsWritableDerivedField": false,
    "IsMasked": false,
    "GrantKeyWhenReadable": "principal-process-steward|RequirementSatisfactions"
   },
   {
    "FieldGrantId": "fg-process-steward-RequirementSatisfactions.Name",
    "Principal": "principal-process-steward",
    "TargetField": "RequirementSatisfactions.Name",
    "CanRead": true,
    "CanWrite": false,
    "MaskStrategy": "plain",
    "SemanticTypeIri": "urn:effortless:pko-extension#FieldGrant",
    "Name": "principal-process-steward -&gt; RequirementSatisfactions.Name",
    "FieldTable": "RequirementSatisfactions",
    "FieldName": "Name",
    "FieldIsDerived": true,
    "IsWritableDerivedField": false,
    "IsMasked": false,
    "GrantKeyWhenReadable": "principal-process-steward|RequirementSatisfactions"
   },
   {
    "FieldGrantId": "fg-process-steward-RequirementSatisfactions.StepExecution",
    "Principal": "principal-process-steward",
    "TargetField": "RequirementSatisfactions.StepExecution",
    "CanRead": true,
    "CanWrite": false,
    "MaskStrategy": "plain",
    "SemanticTypeIri": "urn:effortless:pko-extension#FieldGrant",
    "Name": "principal-process-steward -&gt; RequirementSatisfactions.StepExecution",
    "FieldTable": "RequirementSatisfactions",
    "FieldName": "StepExecution",
    "FieldIsDerived": false,
    "IsWritableDerivedField": false,
    "IsMasked": false,
    "GrantKeyWhenReadable": "principal-process-steward|RequirementSatisfactions"
   },
   {
    "FieldGrantId": "fg-process-steward-Requir</t>
  </si>
  <si>
    <t xml:space="preserve">ementSatisfactions.Requirement",
    "Principal": "principal-process-steward",
    "TargetField": "RequirementSatisfactions.Requirement",
    "CanRead": true,
    "CanWrite": false,
    "MaskStrategy": "plain",
    "SemanticTypeIri": "urn:effortless:pko-extension#FieldGrant",
    "Name": "principal-process-steward -&gt; RequirementSatisfactions.Requirement",
    "FieldTable": "RequirementSatisfactions",
    "FieldName": "Requirement",
    "FieldIsDerived": false,
    "IsWritableDerivedField": false,
    "IsMasked": false,
    "GrantKeyWhenReadable": "principal-process-steward|RequirementSatisfactions"
   },
   {
    "FieldGrantId": "fg-process-steward-RequirementSatisfactions.SatisfactionLevel",
    "Principal": "principal-process-steward",
    "TargetField": "RequirementSatisfactions.SatisfactionLevel",
    "CanRead": true,
    "CanWrite": false,
    "MaskStrategy": "plain",
    "SemanticTypeIri": "urn:effortless:pko-extension#FieldGrant",
    "Name": "principal-process-steward -&gt; RequirementSatisfactions.SatisfactionLevel",
    "FieldTable": "RequirementSatisfactions",
    "FieldName": "SatisfactionLevel",
    "FieldIsDerived": false,
    "IsWritableDerivedField": false,
    "IsMasked": false,
    "GrantKeyWhenReadable": "principal-process-steward|RequirementSatisfactions"
   },
   {
    "FieldGrantId": "fg-process-steward-RequirementSatisfactions.Evidence",
    "Principal": "principal-process-steward",
    "TargetField": "RequirementSatisfactions.Evidence",
    "CanRead": true,
    "CanWrite": false,
    "MaskStrategy": "plain",
    "SemanticTypeIri": "urn:effortless:pko-extension#FieldGrant",
    "Name": "principal-process-steward -&gt; RequirementSatisfactions.Evidence",
    "FieldTable": "RequirementSatisfactions",
    "FieldName": "Evidence",
    "FieldIsDerived": false,
    "IsWritableDerivedField": false,
    "IsMasked": false,
    "GrantKeyWhenReadable": "principal-process-steward|RequirementSatisfactions"
   },
   {
    "FieldGrantId": "fg-process-steward-RequirementSatisfactions.EvaluatedByAgent",
    "Principal": "principal-process-steward",
    "TargetField": "RequirementSatisfactions.EvaluatedByAgent",
    "CanRead": true,
    "CanWrite": false,
    "MaskStrategy": "plain",
    "SemanticTypeIri": "urn:effortless:pko-extension#FieldGrant",
    "Name": "principal-process-steward -&gt; RequirementSatisfactions.EvaluatedByAgent",
    "FieldTable": "RequirementSatisfactions",
    "FieldName": "EvaluatedByAgent",
    "FieldIsDerived": false,
    "IsWritableDerivedField": false,
    "IsMasked": false,
    "GrantKeyWhenReadable": "principal-process-steward|RequirementSatisfactions"
   },
   {
    "FieldGrantId": "fg-process-steward-RequirementSatisfactions.EvaluatedAt",
    "Principal": "principal-process-steward",
    "TargetField": "RequirementSatisfactions.EvaluatedAt",
    "CanRead": true,
    "CanWrite": false,
    "MaskStrategy": "plain",
    "SemanticTypeIri": "urn:effortless:pko-extension#FieldGrant",
    "Name": "principal-process-steward -&gt; RequirementSatisfactions.EvaluatedAt",
    "FieldTable": "RequirementSatisfactions",
    "FieldName": "EvaluatedAt",
    "FieldIsDerived": false,
    "IsWritableDerivedField": false,
    "IsMasked": false,
    "GrantKeyWhenReadable": "principal-process-steward|RequirementSatisfactions"
   },
   {
    "FieldGrantId": "fg-process-steward-RequirementSatisfactions.RequirementIsBlocking",
    "Principal": "principal-process-steward",
    "TargetField": "RequirementSatisfactions.RequirementIsBlocking",
    "CanRead": true,
    "CanWrite": false,
    "MaskStrategy": "plain",
    "SemanticTypeIri": "urn:effortless:pko-extension#FieldGrant",
    "Name": "principal-process-steward -&gt; RequirementSatisfactions.RequirementIsBlocking",
    "FieldTable": "RequirementSatisfactions",
    "FieldName": "RequirementIsBlocking",
    "FieldIsDerived": true,
    "IsWritableDerivedField": false,
    "IsMasked": false,
    "GrantKeyWhenReadable": "principal-process-steward|RequirementSatisfactions"
   },
   {
    "FieldGrantId": "fg-process-steward-RequirementSatisfactions.IsFullySatisfied",
    "Principal": "principal-process-steward",
    "TargetField": "RequirementSatisfactions.IsFullySatisfied",
    "CanRead": true,
    "CanWrite": false,
    "MaskStrategy": "plain",
    "SemanticTypeIri": "urn:effortless:pko-extension#FieldGrant",
    "Name": "principal-process-steward -&gt; RequirementSatisfactions.IsFullySatisfied",
    "FieldTable": "RequirementSatisfactions",
    "FieldName": "IsFullySatisfied",
    "FieldIsDerived": true,
    "IsWritableDerivedField": false,
    "IsMasked": false,
    "GrantKeyWhenReadable": "principal-process-steward|RequirementSatisfactions"
   },
   {
    "FieldGrantId": "fg-process-steward-RequirementSatisfactions.IsBlockingAndUnmet",
    "Principal": "principal-process-steward",
    "TargetField": "RequirementSatisfactions.IsBlockingAndUnmet",
    "CanRead": true,
    "CanWrite": false,
    "MaskStrategy": "plain",
    "SemanticTypeIri": "urn:effortless:pko-extension#FieldGrant",
    "Name": "principal-process-steward -&gt; RequirementSatisfactions.IsBlockingAndUnmet",
    "FieldTable": "RequirementSatisfactions",
    "FieldName": "IsBlockingAndUnmet",
    "FieldIsDerived": true,
    "IsWritableDerivedField": false,
    "IsMasked": false,
    "GrantKeyWhenReadable": "principal-process-steward|RequirementSatisfactions"
   },
   {
    "FieldGrantId": "fg-process-steward-RequirementSatisfactions.BlockingUnmetStepKey",
    "Principal": "principal-process-steward",
    "TargetField": "RequirementSatisfactions.BlockingUnmetStepKey",
    "CanRead": true,
    "CanWrite": false,
    "MaskStrategy": "plain",
    "SemanticTypeIri": "urn:effortless:pko-extension#FieldGrant",
    "Name": "principal-process-steward -&gt; RequirementSatisfactions.BlockingUnmetStepKey",
    "FieldTable": "RequirementSatisfactions",
    "FieldName": "BlockingUnmetStepKey",
    "FieldIsDerived": true,
    "IsWritableDerivedField": false,
    "IsMasked": false,
    "GrantKeyWhenReadable": "principal-process-steward|RequirementSatisfactions"
   },
   {
    "FieldGrantId": "fg-process-steward-RequirementSatisfactions.BlockingSatisfactionStepKey",
    "Principal": "principal-process-steward",
    "TargetField": "RequirementSatisfactions.BlockingSatisfactionStepKey",
    "CanRead": true,
    "CanWrite": false,
    "MaskStrategy": "plain",
    "SemanticTypeIri": "urn:effortless:pko-extension#FieldGrant",
    "Name": "principal-process-steward -&gt; RequirementSatisfactions.BlockingSatisfactionStepKey",
    "FieldTable": "RequirementSatisfactions",
    "FieldName": "BlockingSatisfactionStepKey",
    "FieldIsDerived": true,
    "IsWritableDerivedField": false,
    "IsMasked": false,
    "GrantKeyWhenReadable": "principal-process-steward|RequirementSatisfactions"
   },
   {
    "FieldGrantId": "fg-process-steward-RequirementSatisfactions.NegativeOutcomeRequirementKey",
    "Principal": "principal-process-steward",
    "TargetField": "RequirementSatisfactions.NegativeOutcomeRequirementKey",
    "CanRead": true,
    "CanWrite": false,
    "MaskStrategy": "plain",
    "SemanticTypeIri": "urn:effortless:pko-extension#FieldGrant",
    "Name": "principal-process-steward -&gt; RequirementSatisfactions.NegativeOutcomeRequirementKey",
    "FieldTable": "RequirementSatisfactions",
    "FieldName": "NegativeOutcomeRequirementKey",
    "FieldIsDerived": true,
    "IsWritableDerivedField": false,
    "IsMasked": false,
    "GrantKeyWhenReadable": "principal-process-steward|RequirementSatisfactions"
   },
   {
    "FieldGrantId": "fg-process-steward-RequirementSatisfactions.EvaluatorAgentKind",
    "Principal": "principal-process-steward",
    "TargetField": "RequirementSatisfactions.EvaluatorAgentKind",
    "CanRead": true,
    "CanWrite": false,
    "MaskStrategy": "plain",
    "SemanticTypeIri": "urn:effortless:pko-extension#FieldGrant",
    "Name": "principal-process-steward -&gt; RequirementSatisfactions.EvaluatorAgentKind",
    "FieldTable": "RequirementSatisfactions",
    "FieldName": "EvaluatorAgentKind",
    "FieldIsDerived": true,
    "IsWritableDerivedField": false,
    "IsMasked": false,
    "GrantKeyWhenReadable": "principal-process-steward|RequirementSatisfactions"
   },
   {
    "FieldGrantId": "fg-process-steward-RequirementSatisfactions.NonHumanEvaluatedHumanControl",
    "Principal": "principal-process-steward",
    "TargetField": "RequirementSatisfactions.NonHumanEvaluatedHumanControl",
    "CanRead": true,
    "CanWrite": false,
    "MaskStrategy": "plain",
    "SemanticTypeIri": "urn:effortless:pko-extension#FieldGrant",
    "Name": "principal-process-steward -&gt; RequirementSatisfactions.NonHumanEvaluatedHumanControl",
    "FieldTable": "RequirementSatisfactions",
    "FieldName": "NonHumanEvaluatedHumanControl",
    "FieldIsDerived": true,
    "IsWritableDerivedField": false,
    "IsMasked": false,
    "GrantKeyWhenReadable": "principal-process-steward|RequirementSatisfactions"
   },
   {
    "FieldGrantId": "fg-process-steward-RequirementSatisfactions.RequirementHasComputedWitness",
    "Principal": "principal-process-steward",
    "TargetField": "RequirementSatisfactions.RequirementHasComputedWitness",
    "CanRead": true,
    "CanWrite": false,
    "MaskStrategy": "plain",
    "SemanticTypeIri": "urn:effortless:pko-extension#FieldGrant",
    "Name": "principal-process-steward -&gt; RequirementSatisfactions.RequirementHasComputedWitness",
    "FieldTable": "RequirementSatisfactions",
    "FieldName": "RequirementHasComputedWitness",
    "FieldIsDerived": true,
    "IsWritableDerivedField": false,
    "IsMasked": false,
    "GrantKeyWhenReadable": "principal-process-steward|RequirementSatisfactions"
   },
   {
    "FieldGrantId": "fg-process-steward-RequirementSatisfactions.IsAssertedOnly",
    "Principal": "principal-process-steward",
    "TargetField": "RequirementSatisfactions.IsAssertedOnly",
    "CanRead": true,
    "CanWrite": false,
    "MaskStrategy": "plain",
    "SemanticTypeIri": "urn:effortless:pko-extension#FieldGrant",
    "Name": "principal-process-steward -&gt; RequirementSatisfactions.IsAssertedOnly",
    "FieldTable": "RequirementSatisfactions",
    "FieldName": "IsAssertedOnly",
    "FieldIsDerived": true,
    "IsWritableDerivedField": false,
    "IsMasked": false,
    "GrantKeyWhenReadable": "principal-process-steward|RequirementSatisfactions"
   },
   {
    "FieldGrantId": "fg-process-steward-RequirementSatisfactions.AssertedOnlyExecutionKey",
    "Principal": "principal-process-steward",
    "TargetField": "RequirementSatisfactions.AssertedOnlyExecutionKey",
    "CanRead": true,
    "CanWrite": false,
    "MaskStrategy": "plain",
    "SemanticTypeIri": "urn:effortless:pko-extension#FieldGrant",
    "Name": "principal-process-steward -&gt; RequirementSatisfactions.AssertedOnlyExecutionKey",
    "FieldTable": "RequirementSatisfactions",
    "FieldName": "AssertedOnlyExecutionKey",
    "FieldIsDerived": true,
    "IsWritableDerivedField": false,
    "IsMasked": false,
    "GrantKeyWhenReadable": "principal-process-steward|RequirementSatisfactions"
   },
   {
    "FieldGrantId": "fg-process-steward-RequirementSatisfactions.ParentProcedureExecution",
    "Principal": "principal-process-steward",
    "TargetField": "RequirementSatisfactions.ParentProcedureExecution",
    "CanRead": true,
    "CanWrite": false,
    "MaskStrategy": "plain",
    "SemanticTypeIri": "urn:effortless:pko-extension#FieldGrant",
    "Name": "principal-process-steward -&gt; RequirementSatisfactions.ParentProcedureExecution",
    "FieldTable": "RequirementSatisfactions",
    "FieldName": "ParentProcedureExecution",
    "FieldIsDerived": true,
    "IsWritableDerivedField": false,
    "IsMasked": false,
    "GrantKeyWhenReadable": "principal-process-steward|RequirementSatisfactions"
   },
   {
    "FieldGrantId": "fg-process-steward-RequirementSatisfactions.StepExecutionWhenScored",
    "Principal": "principal-process-steward",
    "TargetField": "RequirementSatisfactions.StepExecutionWhenScored",
    "CanRead": true,
    "CanWrite": false,
    "MaskStrategy": "plain",
    "SemanticTypeIri": "urn:effortless:pko-extension#FieldGrant",
    "Name": "principal-process-steward -&gt; RequirementSatisfactions.StepExecutionWhenScored",
    "FieldTable": "RequirementSatisfactions",
    "FieldName": "StepExecutionWhenScored",
    "FieldIsDerived": true,
    "IsWritableDerivedField": false,
    "IsMasked": false,
    "GrantKeyWhenReadable": "principal-process-steward|RequirementSatisfactions"
   },
   {
    "FieldGrantId": "fg-process-steward-RequirementSatisfactions.IsHumanEvaluated",
    "Principal": "principal-process-steward",
    "TargetField": "RequirementSatisfactions.IsHumanEvaluated",
    "CanRead": true,
    "CanWrite": false,
    "MaskStrategy": "plain",
    "SemanticTypeIri": "urn:effortless:pko-extension#FieldGrant",
    "Name": "principal-process-steward -&gt; RequirementSatisfactions.IsHumanEvaluated",
    "FieldTable": "RequirementSatisfactions",
    "FieldName": "IsHumanEvaluated",
    "FieldIsDerived": true,
    "IsWritableDerivedField": false,
    "IsMasked": false,
    "GrantKeyWhenReadable": "principal-process-steward|RequirementSatisfactions"
   },
   {
    "FieldGrantId": "fg-process-steward-RequirementSatisfactions.RequirementIsApprovalType",
    "Principal": "principal-process-steward",
    "TargetField": "RequirementSatisfactions.RequirementIsApprovalType",
    "CanRead": true,
    "CanWrite": false,
    "MaskStrategy": "plain",
    "SemanticTypeIri": "urn:effortless:pko-extension#FieldGrant",
    "Name": "principal-process-steward -&gt; RequirementSatisfactions.RequirementIsApprovalType",
    "FieldTable": "RequirementSatisfactions",
    "FieldName": "RequirementIsApprovalType",
    "FieldIsDerived": true,
    "IsWritableDerivedField": false,
    "IsMasked": false,
    "GrantKeyWhenReadable": "principal-process-steward|RequirementSatisfactions"
   },
   {
    "FieldGrantId": "fg-process-steward-RequirementSatisfactions.IsInvalidApproval",
    "Principal": "principal-process-steward",
    "TargetField": "RequirementSatisfactions.IsInvalidApproval",
    "CanRead": true,
    "CanWrite": false,
    "MaskStrategy": "plain",
    "SemanticTypeIri": "urn:effortless:pko-extension#FieldGrant",
    "Name": "principal-process-steward -&gt; RequirementSatisfactions.IsInvalidApproval",
    "FieldTable": "RequirementSatisfactions",
    "FieldName": "IsInvalidApproval",
    "FieldIsDerived": true,
    "IsWritableDerivedField": false,
    "IsMasked": false,
    "GrantKeyWhenReadable": "principal-process-steward|RequirementSatisfactions"
   },
   {
    "FieldGrantId": "fg-process-steward-RequirementSatisfactions.ProcedureExecutionOfSatisfaction",
    "Principal": "principal-process-steward",
    "TargetField": "RequirementSatisfactions.ProcedureExecutionOfSatisfaction",
    "CanRead": true,
    "CanWrite": false,
    "MaskStrategy": "plain",
    "SemanticTypeIri": "urn:effortless:pko-extension#FieldGrant",
    "Name": "principal-process-steward -&gt; RequirementSatisfactions.ProcedureExecutionOfSatisfaction",
    "FieldTable": "RequirementSatisfactions",
    "FieldName": "ProcedureExecutionOfSatisfaction",
    "FieldIsDerived": true,
    "IsWritableDerivedField": false,
    "IsMasked": false,
    "GrantKeyWhenReadable": "principal-process-steward|RequirementSatisfactions"
   },
   {
    "FieldGrantId": "fg-process-steward-RequirementSatisfactions.RunWhenInvalidApproval",
    "Principal": "principal-process-steward",
    "TargetField": "RequirementSatisfactions.RunWhenInvalidApproval",
    "CanRead": true,
    "CanWrite": false,
    "MaskStrategy": "plain",
    "SemanticTypeIri": "urn:effortless:pko-extension#FieldGrant",
    "Name": "principal-process-steward -&gt; RequirementSatisfactions.RunWhenInvalidApproval",
    "FieldTable": "RequirementSatisfactions",
    "FieldName": "RunWhenInvalidApproval",
    "FieldIsDerived": true,
    "IsWritableDerivedField": false,
    "IsMasked": false,
    "GrantKeyWhenReadable": "principal-process-steward|RequirementSatisfactions"
   },
   {
    "FieldGrantId": "fg-process-steward-RequirementSatisfactions.RequirementIsUnfalsified",
    "Principal": "principal-process-steward",
    "TargetField": "RequirementSatisfactions.RequirementIsUnfalsified",
    "CanRead": true,
    "CanWrite": false,
    "MaskStrategy": "plain",
    "SemanticTypeIri": "urn:effortless:pko-extension#FieldGrant",
    "Name": "principal-process-steward -&gt; RequirementSatisfactions.RequirementIsUnfalsified",
    "FieldTable": "RequirementSatisfactions",
    "FieldName": "RequirementIsUnfalsified",
    "FieldIsDerived": true,
    "IsWritableDerivedField": false,
    "IsMasked": false,
    "GrantKeyWhenReadable": "principal-process-steward|RequirementSatisfactions"
   },
   {
    "FieldGrantId": "fg-process-steward-RequirementSatisfactions.IsClearanceByUnfalsifiedControl",
    "Principal": "principal-process-steward",
    "TargetField": "RequirementSatisfactions.IsClearanceByUnfalsifiedControl",
    "CanRead": true,
    "CanWrite": false,
    "MaskStrategy": "plain",
    "SemanticTypeIri": "urn:effortless:pko-extension#FieldGrant",
    "Name": "principal-process-steward -&gt; RequirementSatisfactions.IsClearanceByUnfalsifiedControl",
    "FieldTable": "RequirementSatisfactions",
    "FieldName": "IsClearanceByUnfalsifiedControl",
    "FieldIsDerived": true,
    "IsWritableDerivedField": false,
    "IsMasked": false,
    "GrantKeyWhenReadable": "principal-process-steward|RequirementSatisfactions"
   },
   {
    "FieldGrantId": "fg-process-steward-RequirementSatisfactions.UnfalsifiedClearanceStepKey",
    "Principal": "principal-process-steward",
    "TargetField": "RequirementSatisfactions.UnfalsifiedClearanceStepKey",
    "CanRead": true,
    "CanWrite": false,
    "MaskStrategy": "plain",
    "SemanticTypeIri": "urn:effortless:pko-extension#FieldGrant",
    "Name": "principal-process-steward -&gt; RequirementSatisfactions.UnfalsifiedClearanceStepKey",
    "FieldTable": "RequirementSatisfactions",
    "FieldName": "UnfalsifiedClearanceStepKey",
    "FieldIsDerived": true,
    "IsWritableDerivedField": false,
    "IsMasked": false,
    "GrantKeyWhenReadable": "principal-process-steward|RequirementSatisfactions"
   },
   {
    "FieldGrantId": "fg-process-steward-RequirementSatisfactions.SpecStepOfExecution",
    "Principal": "principal-process-steward",
    "TargetField": "RequirementSatisfactions.SpecStepOfExecution",
    "CanRead": true,
    "CanWrite": false,
    "MaskStrategy": "plain",
    "SemanticTypeIri": "urn:effortless:pko-extension#FieldGrant",
    "Name": "principal-process-steward -&gt; RequirementSatisfactions.SpecStepOfExecution",
    "FieldTable": "RequirementSatisfactions",
    "FieldName": "SpecStepOfExecution",
    "FieldIsDerived": true,
    "IsWritableDerivedField": false,
    "IsMasked": false,
    "GrantKeyWhenReadable": "principal-process-steward|RequirementSatisfactions"
   },
   {
    "FieldGrantId": "fg-process-steward-RequirementSatisfactions.BindingKey",
    "Principal": "principal-process-steward",
    "TargetField": "RequirementSatisfactions.BindingKey",
    "CanRead": true,
    "CanWrite": false,
    "MaskStrategy": "plain",
    "SemanticTypeIri": "urn:effortless:pko-extension#FieldGrant",
    "Name": "principal-process-steward -&gt; RequirementSatisfactions.BindingKey",
    "FieldTable": "RequirementSatisfactions",
    "FieldName": "BindingKey",
    "FieldIsDerived": true,
    "IsWritableDerivedField": false,
    "IsMasked": false,
    "GrantKeyWhenReadable": "principal-process-steward|RequirementSatisfactions"
   },
   {
    "FieldGrantId": "fg-process-steward-RequirementSatisfactions.ScoredStepExecutorAgent",
    "Principal": "principal-process-steward",
    "TargetField": "RequirementSatisfactions.ScoredStepExecutorAgent",
    "CanRead": true,
    "CanWrite": false,
    "MaskStrategy": "plain",
    "SemanticTypeIri": "urn:effortless:pko-extension#FieldGrant",
    "Name": "principal-process-steward -&gt; RequirementSatisfactions.ScoredStepExecutorAgent",
    "FieldTable": "RequirementSatisfactions",
    "FieldName": "ScoredStepExecutorAgent",
    "FieldIsDerived": true,
    "IsWritableDerivedField": false,
    "IsMasked": false,
    "GrantKeyWhenReadable": "principal-process-steward|RequirementSatisfactions"
   },
   {
    "FieldGrantId": "fg-process-steward-RequirementSatisfactions.EvaluatorIsStepExecutor",
    "Principal": "principal-process-steward",
    "TargetField": "RequirementSatisfactions.EvaluatorIsStepExecutor",
    "CanRead": true,
    "CanWrite": false,
    "MaskStrategy": "plain",
    "SemanticTypeIri": "urn:effortless:pko-extension#FieldGrant",
    "Name": "principal-process-steward -&gt; RequirementSatisfactions.EvaluatorIsStepExecutor",
    "FieldTable": "RequirementSatisfactions",
    "FieldName": "EvaluatorIsStepExecutor",
    "FieldIsDerived": true,
    "IsWritableDerivedField": false,
    "IsMasked": false,
    "GrantKeyWhenReadable": "principal-process-steward|RequirementSatisfactions"
   },
   {
    "FieldGrantId": "fg-process-steward-RequirementSatisfactions.RunOwnerAgent",
    "Principal": "principal-process-steward",
    "TargetField": "RequirementSatisfactions.RunOwnerAgent",
    "CanRead": true,
    "CanWrite": false,
    "MaskStrategy": "plain",
    "SemanticTypeIri": "urn:effortless:pko-extension#FieldGrant",
    "Name": "principal-process-steward -&gt; RequirementSatisfactions.RunOwnerAgent",
    "FieldTable": "RequirementSatisfactions",
    "FieldName": "RunOwnerAgent",
    "FieldIsDerived": true,
    "IsWritableDerivedField": false,
    "IsMasked": false,
    "GrantKeyWhenReadable": "principal-process-steward|RequirementSatisfactions"
   },
   {
    "FieldGrantId": "fg-process-steward-RequirementSatisfactions.EvaluatorOwnsTheRun",
    "Principal": "principal-process-steward",
    "TargetField": "RequirementSatisfactions.EvaluatorOwnsTheRun",
    "CanRead": true,
    "CanWrite": false,
    "MaskStrategy": "plain",
    "SemanticTypeIri": "urn:effortless:pko-extension#FieldGrant",
    "Name": "principal-process-steward -&gt; RequirementSatisfactions.EvaluatorOwnsTheRun",
    "FieldTable": "RequirementSatisfactions",
    "FieldName": "EvaluatorOwnsTheRun",
    "FieldIsDerived": true,
    "IsWritableDerivedField": false,
    "IsMasked": false,
    "GrantKeyWhenReadable": "principal-process-steward|RequirementSatisfactions"
   },
   {
    "FieldGrantId": "fg-process-steward-RequirementSatisfactions.IsInterestedPartyAssertion",
    "Principal": "principal-process-steward",
    "TargetField": "RequirementSatisfactions.IsInterestedPartyAssertion",
    "CanRead": true,
    "CanWrite": false,
    "MaskStrategy": "plain",
    "SemanticTypeIri": "urn:effortless:pko-extension#FieldGrant",
    "Name": "principal-process-steward -&gt; RequirementSatisfactions.IsInterestedPartyAssertion",
    "FieldTable": "RequirementSatisfactions",
    "FieldName": "IsInterestedPartyAssertion",
    "FieldIsDerived": true,
    "IsWritableDerivedField": false,
    "IsMasked": false,
    "GrantKeyWhenReadable": "principal-process-steward|RequirementSatisfactions"
   },
   {
    "FieldGrantId": "fg-process-steward-RequirementSatisfactions.HasWrittenEvidence",
    "Principal": "principal-process-steward",
    "TargetField": "RequirementSatisfactions.HasWrittenEvidence",
    "CanRead": true,
    "CanWrite": false,
    "MaskStrategy": "plain",
    "SemanticTypeIri": "urn:effortless:pko-extension#FieldGrant",
    "Name": "principal-process-steward -&gt; RequirementSatisfactions.HasWrittenEvidence",
    "FieldTable": "RequirementSatisfactions",
    "FieldName": "HasWrittenEvidence",
    "FieldIsDerived": true,
    "IsWritableDerivedField": false,
    "IsMasked": false,
    "GrantKeyWhenReadable": "principal-process-steward|RequirementSatisfactions"
   },
   {
    "FieldGrantId": "fg-process-steward-RequirementSatisfactions.IsBareAssertion",
    "Principal": "principal-process-steward",
    "TargetField": "RequirementSatisfactions.IsBareAssertion",
    "CanRead": true,
    "CanWrite": false,
    "MaskStrategy": "plain",
    "SemanticTypeIri": "urn:effortless:pko-extension#FieldGrant",
    "Name": "principal-process-steward -&gt; RequirementSatisfactions.IsBareAssertion",
    "FieldTable": "RequirementSatisfactions",
    "FieldName": "IsBareAssertion",
    "FieldIsDerived": true,
    "IsWritableDerivedField": false,
    "IsMasked": false,
    "GrantKeyWhenReadable": "principal-process-steward|RequirementSatisfactions"
   },
   {
    "FieldGrantId": "fg-process-steward-RequirementSatisfactions.InterestedAssertionExecutionKey",
    "Principal": "principal-process-steward",
    "TargetField": "RequirementSatisfactions.InterestedAssertionExecutionKey",
    "CanRead": true,
    "CanWrite": false,
    "MaskStrategy": "plain",
    "SemanticTypeIri": "urn:effortless:pko-extension#FieldGrant",
    "Name": "principal-process-steward -&gt; RequirementSatisfactions.InterestedAssertionExecutionKey",
    "FieldTable": "RequirementSatisfactions",
    "FieldName": "InterestedAssertionExecutionKey",
    "FieldIsDerived": true,
    "IsWritableDerivedField": false,
    "IsMasked": false,
    "GrantKeyWhenReadable": "principal-process-steward|RequirementSatisfactions"
   },
   {
    "FieldGrantId": "fg-process-steward-RequirementSatisfactions.IsComputedlyWitnessed",
    "Principal": "principal-process-steward",
    "TargetField": "RequirementSatisfactions.IsComputedlyWitnessed",
    "CanRead": true,
    "CanWrite": false,
    "MaskStrategy": "plain",
    "SemanticTypeIri": "urn:effortless:pko-extension#FieldGrant",
    "Name": "principal-process-steward -&gt; RequirementSatisfactions.IsComputedlyWitnessed",
    "FieldTable": "RequirementSatisfactions",
    "FieldName": "IsComputedlyWitnessed",
    "FieldIsDerived": true,
    "IsWritableDerivedField": false,
    "IsMasked": false,
    "GrantKeyWhenReadable": "principal-process-steward|RequirementSatisfactions"
   },
   {
    "FieldGrantId": "fg-process-steward-RequirementSatisfactions.ComputedWitnessExecutionKey",
    "Principal": "principal-process-steward",
    "TargetField": "RequirementSatisfactions.ComputedWitnessExecutionKey",
    "CanRead": true,
    "CanWrite": false,
    "MaskStrategy": "plain",
    "SemanticTypeIri": "urn:effortless:pko-extension#FieldGrant",
    "Name": "principal-process-steward -&gt; RequirementSatisfactions.ComputedWitnessExecutionKey",
    "FieldTable": "RequirementSatisfactions",
    "FieldName": "ComputedWitnessExecutionKey",
    "FieldIsDerived": true,
    "IsWritableDerivedField": false,
    "IsMasked": false,
    "GrantKeyWhenReadable": "principal-process-steward|RequirementSatisfactions"
   },
   {
    "FieldGrantId": "fg-process-steward-RequirementSatisfactions.StepExecutorAgent",
    "Principal": "principal-process-steward",
    "TargetField": "RequirementSatisfactions.StepExecutorAgent",
    "CanRead": true,
    "CanWrite": false,
    "MaskStrategy": "plain",
    "SemanticTypeIri": "urn:effortless:pko-extension#FieldGrant",
    "Name": "principal-process-steward -&gt; RequirementSatisfactions.StepExecutorAgent",
    "FieldTable": "RequirementSatisfactions",
    "FieldName": "StepExecutorAgent",
    "FieldIsDerived": true,
    "IsWritableDerivedField": false,
    "IsMasked": false,
    "GrantKeyWhenReadable": "principal-process-steward|RequirementSatisfactions"
   },
   {
    "FieldGrantId": "fg-process-steward-RequirementSatisfactions.WasScoredAfterAttestation",
    "Principal": "principal-process-steward",
    "TargetField": "RequirementSatisfactions.WasScoredAfterAttestation",
    "CanRead": true,
    "CanWrite": false,
    "MaskStrategy": "plain",
    "SemanticTypeIri": "urn:effortless:pko-extension#FieldGrant",
    "Name": "principal-process-steward -&gt; RequirementSatisfactions.WasScoredAfterAttestation",
    "FieldTable": "RequirementSatisfactions",
    "FieldName": "WasScoredAfterAttestation",
    "FieldIsDerived": true,
    "IsWritableDerivedField": false,
    "IsMasked": false,
    "GrantKeyWhenReadable": "principal-process-steward|RequirementSatisfactions"
   },
   {
    "FieldGrantId": "fg-process-steward-RequirementSatisfactions.AttestationInstantForRun",
    "Principal": "principal-process-steward",
    "TargetField": "RequirementSatisfactions.AttestationInstantForRun",
    "CanRead": true,
    "CanWrite": false,
    "MaskStrategy": "plain",
    "SemanticTypeIri": "urn:effortless:pko-extension#FieldGrant",
    "Name": "principal-process-steward -&gt; RequirementSatisfactions.AttestationInstantForRun",
    "FieldTable": "RequirementSatisfactions",
    "FieldName": "AttestationInstantForRun",
    "FieldIsDerived": true,
    "IsWritableDerivedField": false,
    "IsMasked": false,
    "GrantKeyWhenReadable": "principal-process-steward|RequirementSatisfactions"
   },
   {
    "FieldGrantId": "fg-process-steward-RequirementSatisfactions.PostAttestationScoreExecutionKey",
    "Principal": "principal-process-steward",
    "TargetField": "RequirementSatisfactions.PostAttestationScoreExecutionKey",
    "CanRead": true,
    "CanWrite": false,
    "MaskStrategy": "plain",
    "SemanticTypeIri": "urn:effortless:pko-extension#FieldGrant",
    "Name": "principal-process-steward -&gt; RequirementSatisfactions.PostAttestationScoreExecutionKey",
    "FieldTable": "RequirementSatisfactions",
    "FieldName": "PostAttestationScoreExecutionKey",
    "FieldIsDerived": true,
    "IsWritableDerivedField": false,
    "IsMasked": false,
    "GrantKeyWhenReadable": "principal-process-steward|RequirementSatisfactions"
   },
   {
    "FieldGrantId": "fg-process-steward-RequirementSatisfactions.SemanticTypeIri",
    "Principal": "principal-process-steward",
    "TargetField": "RequirementSatisfactions.SemanticTypeIri",
    "CanRead": true,
    "CanWrite": false,
    "MaskStrategy": "plain",
    "SemanticTypeIri": "urn:effortless:pko-extension#FieldGrant",
    "Name": "principal-process-steward -&gt; RequirementSatisfactions.SemanticTypeIri",
    "FieldTable": "RequirementSatisfactions",
    "FieldName": "SemanticTypeIri",
    "FieldIsDerived": false,
    "IsWritableDerivedField": false,
    "IsMasked": false,
    "GrantKeyWhenReadable": "principal-process-steward|RequirementSatisfactions"
   },
   {
    "FieldGrantId": "fg-process-steward-Requirements.RequirementId",
    "Principal": "principal-process-steward",
    "TargetField": "Requirements.RequirementId",
    "CanRead": true,
    "CanWrite": false,
    "MaskStrategy": "plain",
    "SemanticTypeIri": "urn:effortless:pko-extension#FieldGrant",
    "Name": "principal-process-steward -&gt; Requirements.RequirementId",
    "FieldTable": "Requirements",
    "FieldName": "RequirementId",
    "FieldIsDerived": false,
    "IsWritableDerivedField": false,
    "IsMasked": false,
    "GrantKeyWhenReadable": "principal-process-steward|Requirements"
   },
   {
    "FieldGrantId": "fg-process-steward-Requirements.Name",
    "Principal": "principal-process-steward",
    "TargetField": "Requirements.Name",
    "CanRead": true,
    "CanWrite": false,
    "MaskStrategy": "plain",
    "SemanticTypeIri": "urn:effortless:pko-extension#FieldGrant",
    "Name": "principal-process-steward -&gt; Requirements.Name",
    "FieldTable": "Requirements",
    "FieldName": "Name",
    "FieldIsDerived": true,
    "IsWritableDerivedField": false,
    "IsMasked": false,
    "GrantKeyWhenReadable": "principal-process-steward|Requirements"
   },
   {
    "FieldGrantId": "fg-process-steward-Requirements.Label",
    "Principal": "principal-process-steward",
    "TargetField": "Requirements.Label",
    "CanRead": true,
    "CanWrite": false,
    "MaskStrategy": "plain",
    "SemanticTypeIri": "urn:effortless:pko-extension#FieldGrant",
    "Name": "principal-process-steward -&gt; Requirements.Label",
    "FieldTable": "Requirements",
    "FieldName": "Label",
    "FieldIsDerived": false,
    "IsWritableDerivedField": false,
    "IsMasked": false,
    "GrantKeyWhenReadable": "principal-process-steward|Requirements"
   },
   {
    "FieldGrantId": "fg-process-steward-Requirements.RequirementType",
    "Principal": "principal-process-steward",
    "TargetField": "Requirements.RequirementType",
    "CanRead": true,
    "CanWrite": false,
    "MaskStrategy": "plain",
    "SemanticTypeIri": "urn:effortless:pko-extension#FieldGrant",
    "Name": "principal-process-steward -&gt; Requirements.RequirementType",
    "FieldTable": "Requirements",
    "FieldName": "RequirementType",
    "FieldIsDerived": false,
    "IsWritableDerivedField": false,
    "IsMasked": false,
    "GrantKeyWhenReadable": "principal-process-steward|Requirements"
   },
   {
    "FieldGrantId": "fg-process-steward-Requirements.Statement",
    "Principal": "principal-process-steward",
    "TargetField": "Requirements.Statement",
    "CanRead": true,
    "CanWrite": false,
    "MaskStrategy": "p</t>
  </si>
  <si>
    <t xml:space="preserve">lain",
    "SemanticTypeIri": "urn:effortless:pko-extension#FieldGrant",
    "Name": "principal-process-steward -&gt; Requirements.Statement",
    "FieldTable": "Requirements",
    "FieldName": "Statement",
    "FieldIsDerived": false,
    "IsWritableDerivedField": false,
    "IsMasked": false,
    "GrantKeyWhenReadable": "principal-process-steward|Requirements"
   },
   {
    "FieldGrantId": "fg-process-steward-Requirements.Rationale",
    "Principal": "principal-process-steward",
    "TargetField": "Requirements.Rationale",
    "CanRead": true,
    "CanWrite": false,
    "MaskStrategy": "plain",
    "SemanticTypeIri": "urn:effortless:pko-extension#FieldGrant",
    "Name": "principal-process-steward -&gt; Requirements.Rationale",
    "FieldTable": "Requirements",
    "FieldName": "Rationale",
    "FieldIsDerived": false,
    "IsWritableDerivedField": false,
    "IsMasked": false,
    "GrantKeyWhenReadable": "principal-process-steward|Requirements"
   },
   {
    "FieldGrantId": "fg-process-steward-Requirements.IsBlocking",
    "Principal": "principal-process-steward",
    "TargetField": "Requirements.IsBlocking",
    "CanRead": true,
    "CanWrite": false,
    "MaskStrategy": "plain",
    "SemanticTypeIri": "urn:effortless:pko-extension#FieldGrant",
    "Name": "principal-process-steward -&gt; Requirements.IsBlocking",
    "FieldTable": "Requirements",
    "FieldName": "IsBlocking",
    "FieldIsDerived": false,
    "IsWritableDerivedField": false,
    "IsMasked": false,
    "GrantKeyWhenReadable": "principal-process-steward|Requirements"
   },
   {
    "FieldGrantId": "fg-process-steward-Requirements.SatisfactionRecordCount",
    "Principal": "principal-process-steward",
    "TargetField": "Requirements.SatisfactionRecordCount",
    "CanRead": true,
    "CanWrite": false,
    "MaskStrategy": "plain",
    "SemanticTypeIri": "urn:effortless:pko-extension#FieldGrant",
    "Name": "principal-process-steward -&gt; Requirements.SatisfactionRecordCount",
    "FieldTable": "Requirements",
    "FieldName": "SatisfactionRecordCount",
    "FieldIsDerived": true,
    "IsWritableDerivedField": false,
    "IsMasked": false,
    "GrantKeyWhenReadable": "principal-process-steward|Requirements"
   },
   {
    "FieldGrantId": "fg-process-steward-Requirements.StepBindingCount",
    "Principal": "principal-process-steward",
    "TargetField": "Requirements.StepBindingCount",
    "CanRead": true,
    "CanWrite": false,
    "MaskStrategy": "plain",
    "SemanticTypeIri": "urn:effortless:pko-extension#FieldGrant",
    "Name": "principal-process-steward -&gt; Requirements.StepBindingCount",
    "FieldTable": "Requirements",
    "FieldName": "StepBindingCount",
    "FieldIsDerived": true,
    "IsWritableDerivedField": false,
    "IsMasked": false,
    "GrantKeyWhenReadable": "principal-process-steward|Requirements"
   },
   {
    "FieldGrantId": "fg-process-steward-Requirements.IsBoundToAnyStep",
    "Principal": "principal-process-steward",
    "TargetField": "Requirements.IsBoundToAnyStep",
    "CanRead": true,
    "CanWrite": false,
    "MaskStrategy": "plain",
    "SemanticTypeIri": "urn:effortless:pko-extension#FieldGrant",
    "Name": "principal-process-steward -&gt; Requirements.IsBoundToAnyStep",
    "FieldTable": "Requirements",
    "FieldName": "IsBoundToAnyStep",
    "FieldIsDerived": true,
    "IsWritableDerivedField": false,
    "IsMasked": false,
    "GrantKeyWhenReadable": "principal-process-steward|Requirements"
   },
   {
    "FieldGrantId": "fg-process-steward-Requirements.HasEverBeenEvaluated",
    "Principal": "principal-process-steward",
    "TargetField": "Requirements.HasEverBeenEvaluated",
    "CanRead": true,
    "CanWrite": false,
    "MaskStrategy": "plain",
    "SemanticTypeIri": "urn:effortless:pko-extension#FieldGrant",
    "Name": "principal-process-steward -&gt; Requirements.HasEverBeenEvaluated",
    "FieldTable": "Requirements",
    "FieldName": "HasEverBeenEvaluated",
    "FieldIsDerived": true,
    "IsWritableDerivedField": false,
    "IsMasked": false,
    "GrantKeyWhenReadable": "principal-process-steward|Requirements"
   },
   {
    "FieldGrantId": "fg-process-steward-Requirements.NegativeOutcomeCount",
    "Principal": "principal-process-steward",
    "TargetField": "Requirements.NegativeOutcomeCount",
    "CanRead": true,
    "CanWrite": false,
    "MaskStrategy": "plain",
    "SemanticTypeIri": "urn:effortless:pko-extension#FieldGrant",
    "Name": "principal-process-steward -&gt; Requirements.NegativeOutcomeCount",
    "FieldTable": "Requirements",
    "FieldName": "NegativeOutcomeCount",
    "FieldIsDerived": true,
    "IsWritableDerivedField": false,
    "IsMasked": false,
    "GrantKeyWhenReadable": "principal-process-steward|Requirements"
   },
   {
    "FieldGrantId": "fg-process-steward-Requirements.IsInoperativeControl",
    "Principal": "principal-process-steward",
    "TargetField": "Requirements.IsInoperativeControl",
    "CanRead": true,
    "CanWrite": false,
    "MaskStrategy": "plain",
    "SemanticTypeIri": "urn:effortless:pko-extension#FieldGrant",
    "Name": "principal-process-steward -&gt; Requirements.IsInoperativeControl",
    "FieldTable": "Requirements",
    "FieldName": "IsInoperativeControl",
    "FieldIsDerived": true,
    "IsWritableDerivedField": false,
    "IsMasked": false,
    "GrantKeyWhenReadable": "principal-process-steward|Requirements"
   },
   {
    "FieldGrantId": "fg-process-steward-Requirements.IsDecorativeControl",
    "Principal": "principal-process-steward",
    "TargetField": "Requirements.IsDecorativeControl",
    "CanRead": true,
    "CanWrite": false,
    "MaskStrategy": "plain",
    "SemanticTypeIri": "urn:effortless:pko-extension#FieldGrant",
    "Name": "principal-process-steward -&gt; Requirements.IsDecorativeControl",
    "FieldTable": "Requirements",
    "FieldName": "IsDecorativeControl",
    "FieldIsDerived": true,
    "IsWritableDerivedField": false,
    "IsMasked": false,
    "GrantKeyWhenReadable": "principal-process-steward|Requirements"
   },
   {
    "FieldGrantId": "fg-process-steward-Requirements.HasComputedWitness",
    "Principal": "principal-process-steward",
    "TargetField": "Requirements.HasComputedWitness",
    "CanRead": true,
    "CanWrite": false,
    "MaskStrategy": "plain",
    "SemanticTypeIri": "urn:effortless:pko-extension#FieldGrant",
    "Name": "principal-process-steward -&gt; Requirements.HasComputedWitness",
    "FieldTable": "Requirements",
    "FieldName": "HasComputedWitness",
    "FieldIsDerived": false,
    "IsWritableDerivedField": false,
    "IsMasked": false,
    "GrantKeyWhenReadable": "principal-process-steward|Requirements"
   },
   {
    "FieldGrantId": "fg-process-steward-Requirements.WitnessFieldName",
    "Principal": "principal-process-steward",
    "TargetField": "Requirements.WitnessFieldName",
    "CanRead": true,
    "CanWrite": false,
    "MaskStrategy": "plain",
    "SemanticTypeIri": "urn:effortless:pko-extension#FieldGrant",
    "Name": "principal-process-steward -&gt; Requirements.WitnessFieldName",
    "FieldTable": "Requirements",
    "FieldName": "WitnessFieldName",
    "FieldIsDerived": false,
    "IsWritableDerivedField": false,
    "IsMasked": false,
    "GrantKeyWhenReadable": "principal-process-steward|Requirements"
   },
   {
    "FieldGrantId": "fg-process-steward-Requirements.HasEverProducedNegative",
    "Principal": "principal-process-steward",
    "TargetField": "Requirements.HasEverProducedNegative",
    "CanRead": true,
    "CanWrite": false,
    "MaskStrategy": "plain",
    "SemanticTypeIri": "urn:effortless:pko-extension#FieldGrant",
    "Name": "principal-process-steward -&gt; Requirements.HasEverProducedNegative",
    "FieldTable": "Requirements",
    "FieldName": "HasEverProducedNegative",
    "FieldIsDerived": true,
    "IsWritableDerivedField": false,
    "IsMasked": false,
    "GrantKeyWhenReadable": "principal-process-steward|Requirements"
   },
   {
    "FieldGrantId": "fg-process-steward-Requirements.IsUnfalsifiedControl",
    "Principal": "principal-process-steward",
    "TargetField": "Requirements.IsUnfalsifiedControl",
    "CanRead": true,
    "CanWrite": false,
    "MaskStrategy": "plain",
    "SemanticTypeIri": "urn:effortless:pko-extension#FieldGrant",
    "Name": "principal-process-steward -&gt; Requirements.IsUnfalsifiedControl",
    "FieldTable": "Requirements",
    "FieldName": "IsUnfalsifiedControl",
    "FieldIsDerived": true,
    "IsWritableDerivedField": false,
    "IsMasked": false,
    "GrantKeyWhenReadable": "principal-process-steward|Requirements"
   },
   {
    "FieldGrantId": "fg-process-steward-Requirements.ClaimsAWitnessField",
    "Principal": "principal-process-steward",
    "TargetField": "Requirements.ClaimsAWitnessField",
    "CanRead": true,
    "CanWrite": false,
    "MaskStrategy": "plain",
    "SemanticTypeIri": "urn:effortless:pko-extension#FieldGrant",
    "Name": "principal-process-steward -&gt; Requirements.ClaimsAWitnessField",
    "FieldTable": "Requirements",
    "FieldName": "ClaimsAWitnessField",
    "FieldIsDerived": true,
    "IsWritableDerivedField": false,
    "IsMasked": false,
    "GrantKeyWhenReadable": "principal-process-steward|Requirements"
   },
   {
    "FieldGrantId": "fg-process-steward-Requirements.NamedWitnessFieldExists",
    "Principal": "principal-process-steward",
    "TargetField": "Requirements.NamedWitnessFieldExists",
    "CanRead": true,
    "CanWrite": false,
    "MaskStrategy": "plain",
    "SemanticTypeIri": "urn:effortless:pko-extension#FieldGrant",
    "Name": "principal-process-steward -&gt; Requirements.NamedWitnessFieldExists",
    "FieldTable": "Requirements",
    "FieldName": "NamedWitnessFieldExists",
    "FieldIsDerived": true,
    "IsWritableDerivedField": false,
    "IsMasked": false,
    "GrantKeyWhenReadable": "principal-process-steward|Requirements"
   },
   {
    "FieldGrantId": "fg-process-steward-Requirements.DerivedHasComputedWitness",
    "Principal": "principal-process-steward",
    "TargetField": "Requirements.DerivedHasComputedWitness",
    "CanRead": true,
    "CanWrite": false,
    "MaskStrategy": "plain",
    "SemanticTypeIri": "urn:effortless:pko-extension#FieldGrant",
    "Name": "principal-process-steward -&gt; Requirements.DerivedHasComputedWitness",
    "FieldTable": "Requirements",
    "FieldName": "DerivedHasComputedWitness",
    "FieldIsDerived": true,
    "IsWritableDerivedField": false,
    "IsMasked": false,
    "GrantKeyWhenReadable": "principal-process-steward|Requirements"
   },
   {
    "FieldGrantId": "fg-process-steward-Requirements.WitnessClaimIsUnverified",
    "Principal": "principal-process-steward",
    "TargetField": "Requirements.WitnessClaimIsUnverified",
    "CanRead": true,
    "CanWrite": false,
    "MaskStrategy": "plain",
    "SemanticTypeIri": "urn:effortless:pko-extension#FieldGrant",
    "Name": "principal-process-steward -&gt; Requirements.WitnessClaimIsUnverified",
    "FieldTable": "Requirements",
    "FieldName": "WitnessClaimIsUnverified",
    "FieldIsDerived": true,
    "IsWritableDerivedField": false,
    "IsMasked": false,
    "GrantKeyWhenReadable": "principal-process-steward|Requirements"
   },
   {
    "FieldGrantId": "fg-process-steward-Requirements.IsUnwitnessedBlockingControl",
    "Principal": "principal-process-steward",
    "TargetField": "Requirements.IsUnwitnessedBlockingControl",
    "CanRead": true,
    "CanWrite": false,
    "MaskStrategy": "plain",
    "SemanticTypeIri": "urn:effortless:pko-extension#FieldGrant",
    "Name": "principal-process-steward -&gt; Requirements.IsUnwitnessedBlockingControl",
    "FieldTable": "Requirements",
    "FieldName": "IsUnwitnessedBlockingControl",
    "FieldIsDerived": true,
    "IsWritableDerivedField": false,
    "IsMasked": false,
    "GrantKeyWhenReadable": "principal-process-steward|Requirements"
   },
   {
    "FieldGrantId": "fg-process-steward-Requirements.WitnessFireCount",
    "Principal": "principal-process-steward",
    "TargetField": "Requirements.WitnessFireCount",
    "CanRead": true,
    "CanWrite": false,
    "MaskStrategy": "plain",
    "SemanticTypeIri": "urn:effortless:pko-extension#FieldGrant",
    "Name": "principal-process-steward -&gt; Requirements.WitnessFireCount",
    "FieldTable": "Requirements",
    "FieldName": "WitnessFireCount",
    "FieldIsDerived": true,
    "IsWritableDerivedField": false,
    "IsMasked": false,
    "GrantKeyWhenReadable": "principal-process-steward|Requirements"
   },
   {
    "FieldGrantId": "fg-process-steward-Requirements.WitnessHasNeverFired",
    "Principal": "principal-process-steward",
    "TargetField": "Requirements.WitnessHasNeverFired",
    "CanRead": true,
    "CanWrite": false,
    "MaskStrategy": "plain",
    "SemanticTypeIri": "urn:effortless:pko-extension#FieldGrant",
    "Name": "principal-process-steward -&gt; Requirements.WitnessHasNeverFired",
    "FieldTable": "Requirements",
    "FieldName": "WitnessHasNeverFired",
    "FieldIsDerived": true,
    "IsWritableDerivedField": false,
    "IsMasked": false,
    "GrantKeyWhenReadable": "principal-process-steward|Requirements"
   },
   {
    "FieldGrantId": "fg-process-steward-Requirements.EvaluationSampleSize",
    "Principal": "principal-process-steward",
    "TargetField": "Requirements.EvaluationSampleSize",
    "CanRead": true,
    "CanWrite": false,
    "MaskStrategy": "plain",
    "SemanticTypeIri": "urn:effortless:pko-extension#FieldGrant",
    "Name": "principal-process-steward -&gt; Requirements.EvaluationSampleSize",
    "FieldTable": "Requirements",
    "FieldName": "EvaluationSampleSize",
    "FieldIsDerived": true,
    "IsWritableDerivedField": false,
    "IsMasked": false,
    "GrantKeyWhenReadable": "principal-process-steward|Requirements"
   },
   {
    "FieldGrantId": "fg-process-steward-Requirements.HasMeaningfulSample",
    "Principal": "principal-process-steward",
    "TargetField": "Requirements.HasMeaningfulSample",
    "CanRead": true,
    "CanWrite": false,
    "MaskStrategy": "plain",
    "SemanticTypeIri": "urn:effortless:pko-extension#FieldGrant",
    "Name": "principal-process-steward -&gt; Requirements.HasMeaningfulSample",
    "FieldTable": "Requirements",
    "FieldName": "HasMeaningfulSample",
    "FieldIsDerived": true,
    "IsWritableDerivedField": false,
    "IsMasked": false,
    "GrantKeyWhenReadable": "principal-process-steward|Requirements"
   },
   {
    "FieldGrantId": "fg-process-steward-Requirements.MinimumSampleForAssurance",
    "Principal": "principal-process-steward",
    "TargetField": "Requirements.MinimumSampleForAssurance",
    "CanRead": true,
    "CanWrite": false,
    "MaskStrategy": "plain",
    "SemanticTypeIri": "urn:effortless:pko-extension#FieldGrant",
    "Name": "principal-process-steward -&gt; Requirements.MinimumSampleForAssurance",
    "FieldTable": "Requirements",
    "FieldName": "MinimumSampleForAssurance",
    "FieldIsDerived": false,
    "IsWritableDerivedField": false,
    "IsMasked": false,
    "GrantKeyWhenReadable": "principal-process-steward|Requirements"
   },
   {
    "FieldGrantId": "fg-process-steward-Requirements.IsUntestedWitness",
    "Principal": "principal-process-steward",
    "TargetField": "Requirements.IsUntestedWitness",
    "CanRead": true,
    "CanWrite": false,
    "MaskStrategy": "plain",
    "SemanticTypeIri": "urn:effortless:pko-extension#FieldGrant",
    "Name": "principal-process-steward -&gt; Requirements.IsUntestedWitness",
    "FieldTable": "Requirements",
    "FieldName": "IsUntestedWitness",
    "FieldIsDerived": true,
    "IsWritableDerivedField": false,
    "IsMasked": false,
    "GrantKeyWhenReadable": "principal-process-steward|Requirements"
   },
   {
    "FieldGrantId": "fg-process-steward-Requirements.IsEvidencedHoldingControl",
    "Principal": "principal-process-steward",
    "TargetField": "Requirements.IsEvidencedHoldingControl",
    "CanRead": true,
    "CanWrite": false,
    "MaskStrategy": "plain",
    "SemanticTypeIri": "urn:effortless:pko-extension#FieldGrant",
    "Name": "principal-process-steward -&gt; Requirements.IsEvidencedHoldingControl",
    "FieldTable": "Requirements",
    "FieldName": "IsEvidencedHoldingControl",
    "FieldIsDerived": true,
    "IsWritableDerivedField": false,
    "IsMasked": false,
    "GrantKeyWhenReadable": "principal-process-steward|Requirements"
   },
   {
    "FieldGrantId": "fg-process-steward-Requirements.ControlAssuranceState",
    "Principal": "principal-process-steward",
    "TargetField": "Requirements.ControlAssuranceState",
    "CanRead": true,
    "CanWrite": false,
    "MaskStrategy": "plain",
    "SemanticTypeIri": "urn:effortless:pko-extension#FieldGrant",
    "Name": "principal-process-steward -&gt; Requirements.ControlAssuranceState",
    "FieldTable": "Requirements",
    "FieldName": "ControlAssuranceState",
    "FieldIsDerived": true,
    "IsWritableDerivedField": false,
    "IsMasked": false,
    "GrantKeyWhenReadable": "principal-process-steward|Requirements"
   },
   {
    "FieldGrantId": "fg-process-steward-Requirements.UnexercisedBindingCount",
    "Principal": "principal-process-steward",
    "TargetField": "Requirements.UnexercisedBindingCount",
    "CanRead": true,
    "CanWrite": false,
    "MaskStrategy": "plain",
    "SemanticTypeIri": "urn:effortless:pko-extension#FieldGrant",
    "Name": "principal-process-steward -&gt; Requirements.UnexercisedBindingCount",
    "FieldTable": "Requirements",
    "FieldName": "UnexercisedBindingCount",
    "FieldIsDerived": true,
    "IsWritableDerivedField": false,
    "IsMasked": false,
    "GrantKeyWhenReadable": "principal-process-steward|Requirements"
   },
   {
    "FieldGrantId": "fg-process-steward-Requirements.WitnessIsPartiallyScoped",
    "Principal": "principal-process-steward",
    "TargetField": "Requirements.WitnessIsPartiallyScoped",
    "CanRead": true,
    "CanWrite": false,
    "MaskStrategy": "plain",
    "SemanticTypeIri": "urn:effortless:pko-extension#FieldGrant",
    "Name": "principal-process-steward -&gt; Requirements.WitnessIsPartiallyScoped",
    "FieldTable": "Requirements",
    "FieldName": "WitnessIsPartiallyScoped",
    "FieldIsDerived": true,
    "IsWritableDerivedField": false,
    "IsMasked": false,
    "GrantKeyWhenReadable": "principal-process-steward|Requirements"
   },
   {
    "FieldGrantId": "fg-process-steward-Requirements.AccountableRole",
    "Principal": "principal-process-steward",
    "TargetField": "Requirements.AccountableRole",
    "CanRead": true,
    "CanWrite": false,
    "MaskStrategy": "plain",
    "SemanticTypeIri": "urn:effortless:pko-extension#FieldGrant",
    "Name": "principal-process-steward -&gt; Requirements.AccountableRole",
    "FieldTable": "Requirements",
    "FieldName": "AccountableRole",
    "FieldIsDerived": false,
    "IsWritableDerivedField": false,
    "IsMasked": false,
    "GrantKeyWhenReadable": "principal-process-steward|Requirements"
   },
   {
    "FieldGrantId": "fg-process-steward-Requirements.AccountableAgent",
    "Principal": "principal-process-steward",
    "TargetField": "Requirements.AccountableAgent",
    "CanRead": true,
    "CanWrite": false,
    "MaskStrategy": "plain",
    "SemanticTypeIri": "urn:effortless:pko-extension#FieldGrant",
    "Name": "principal-process-steward -&gt; Requirements.AccountableAgent",
    "FieldTable": "Requirements",
    "FieldName": "AccountableAgent",
    "FieldIsDerived": true,
    "IsWritableDerivedField": false,
    "IsMasked": false,
    "GrantKeyWhenReadable": "principal-process-steward|Requirements"
   },
   {
    "FieldGrantId": "fg-process-steward-Requirements.HasNamedOwner",
    "Principal": "principal-process-steward",
    "TargetField": "Requirements.HasNamedOwner",
    "CanRead": true,
    "CanWrite": false,
    "MaskStrategy": "plain",
    "SemanticTypeIri": "urn:effortless:pko-extension#FieldGrant",
    "Name": "principal-process-steward -&gt; Requirements.HasNamedOwner",
    "FieldTable": "Requirements",
    "FieldName": "HasNamedOwner",
    "FieldIsDerived": true,
    "IsWritableDerivedField": false,
    "IsMasked": false,
    "GrantKeyWhenReadable": "principal-process-steward|Requirements"
   },
   {
    "FieldGrantId": "fg-process-steward-Requirements.IsOrphanedBlockingControl",
    "Principal": "principal-process-steward",
    "TargetField": "Requirements.IsOrphanedBlockingControl",
    "CanRead": true,
    "CanWrite": false,
    "MaskStrategy": "plain",
    "SemanticTypeIri": "urn:effortless:pko-extension#FieldGrant",
    "Name": "principal-process-steward -&gt; Requirements.IsOrphanedBlockingControl",
    "FieldTable": "Requirements",
    "FieldName": "IsOrphanedBlockingControl",
    "FieldIsDerived": true,
    "IsWritableDerivedField": false,
    "IsMasked": false,
    "GrantKeyWhenReadable": "principal-process-steward|Requirements"
   },
   {
    "FieldGrantId": "fg-process-steward-Requirements.IsUnwatchedAndUnowned",
    "Principal": "principal-process-steward",
    "TargetField": "Requirements.IsUnwatchedAndUnowned",
    "CanRead": true,
    "CanWrite": false,
    "MaskStrategy": "plain",
    "SemanticTypeIri": "urn:effortless:pko-extension#FieldGrant",
    "Name": "principal-process-steward -&gt; Requirements.IsUnwatchedAndUnowned",
    "FieldTable": "Requirements",
    "FieldName": "IsUnwatchedAndUnowned",
    "FieldIsDerived": true,
    "IsWritableDerivedField": false,
    "IsMasked": false,
    "GrantKeyWhenReadable": "principal-process-steward|Requirements"
   },
   {
    "FieldGrantId": "fg-process-steward-Requirements.AttestationExposureNote",
    "Principal": "principal-process-steward",
    "TargetField": "Requirements.AttestationExposureNote",
    "CanRead": true,
    "CanWrite": false,
    "MaskStrategy": "plain",
    "SemanticTypeIri": "urn:effortless:pko-extension#FieldGrant",
    "Name": "principal-process-steward -&gt; Requirements.AttestationExposureNote",
    "FieldTable": "Requirements",
    "FieldName": "AttestationExposureNote",
    "FieldIsDerived": true,
    "IsWritableDerivedField": false,
    "IsMasked": false,
    "GrantKeyWhenReadable": "principal-process-steward|Requirements"
   },
   {
    "FieldGrantId": "fg-process-steward-Requirements.UnwatchedUnownedFlag",
    "Principal": "principal-process-steward",
    "TargetField": "Requirements.UnwatchedUnownedFlag",
    "CanRead": true,
    "CanWrite": false,
    "MaskStrategy": "plain",
    "SemanticTypeIri": "urn:effortless:pko-extension#FieldGrant",
    "Name": "principal-process-steward -&gt; Requirements.UnwatchedUnownedFlag",
    "FieldTable": "Requirements",
    "FieldName": "UnwatchedUnownedFlag",
    "FieldIsDerived": true,
    "IsWritableDerivedField": false,
    "IsMasked": false,
    "GrantKeyWhenReadable": "principal-process-steward|Requirements"
   },
   {
    "FieldGrantId": "fg-process-steward-Requirements.SemanticTypeIri",
    "Principal": "principal-process-steward",
    "TargetField": "Requirements.SemanticTypeIri",
    "CanRead": true,
    "CanWrite": false,
    "MaskStrategy": "plain",
    "SemanticTypeIri": "urn:effortless:pko-extension#FieldGrant",
    "Name": "principal-process-steward -&gt; Requirements.SemanticTypeIri",
    "FieldTable": "Requirements",
    "FieldName": "SemanticTypeIri",
    "FieldIsDerived": false,
    "IsWritableDerivedField": false,
    "IsMasked": false,
    "GrantKeyWhenReadable": "principal-process-steward|Requirements"
   },
   {
    "FieldGrantId": "fg-process-steward-Resources.ResourceId",
    "Principal": "principal-process-steward",
    "TargetField": "Resources.ResourceId",
    "CanRead": true,
    "CanWrite": false,
    "MaskStrategy": "plain",
    "SemanticTypeIri": "urn:effortless:pko-extension#FieldGrant",
    "Name": "principal-process-steward -&gt; Resources.ResourceId",
    "FieldTable": "Resources",
    "FieldName": "ResourceId",
    "FieldIsDerived": false,
    "IsWritableDerivedField": false,
    "IsMasked": false,
    "GrantKeyWhenReadable": "principal-process-steward|Resources"
   },
   {
    "FieldGrantId": "fg-process-steward-Resources.Name",
    "Principal": "principal-process-steward",
    "TargetField": "Resources.Name",
    "CanRead": true,
    "CanWrite": false,
    "MaskStrategy": "plain",
    "SemanticTypeIri": "urn:effortless:pko-extension#FieldGrant",
    "Name": "principal-process-steward -&gt; Resources.Name",
    "FieldTable": "Resources",
    "FieldName": "Name",
    "FieldIsDerived": true,
    "IsWritableDerivedField": false,
    "IsMasked": false,
    "GrantKeyWhenReadable": "principal-process-steward|Resources"
   },
   {
    "FieldGrantId": "fg-process-steward-Resources.Title",
    "Principal": "principal-process-steward",
    "TargetField": "Resources.Title",
    "CanRead": true,
    "CanWrite": false,
    "MaskStrategy": "plain",
    "SemanticTypeIri": "urn:effortless:pko-extension#FieldGrant",
    "Name": "principal-process-steward -&gt; Resources.Title",
    "FieldTable": "Resources",
    "FieldName": "Title",
    "FieldIsDerived": false,
    "IsWritableDerivedField": false,
    "IsMasked": false,
    "GrantKeyWhenReadable": "principal-process-steward|Resources"
   },
   {
    "FieldGrantId": "fg-process-steward-Resources.ResourceKind",
    "Principal": "principal-process-steward",
    "TargetField": "Resources.ResourceKind",
    "CanRead": true,
    "CanWrite": false,
    "MaskStrategy": "plain",
    "SemanticTypeIri": "urn:effortless:pko-extension#FieldGrant",
    "Name": "principal-process-steward -&gt; Resources.ResourceKind",
    "FieldTable": "Resources",
    "FieldName": "ResourceKind",
    "FieldIsDerived": false,
    "IsWritableDerivedField": false,
    "IsMasked": false,
    "GrantKeyWhenReadable": "principal-process-steward|Resources"
   },
   {
    "FieldGrantId": "fg-process-steward-Resources.ExternalUri",
    "Principal": "principal-process-steward",
    "TargetField": "Resources.ExternalUri",
    "CanRead": true,
    "CanWrite": false,
    "MaskStrategy": "plain",
    "SemanticTypeIri": "urn:effortless:pko-extension#FieldGrant",
    "Name": "principal-process-steward -&gt; Resources.ExternalUri",
    "FieldTable": "Resources",
    "FieldName": "ExternalUri",
    "FieldIsDerived": false,
    "IsWritableDerivedField": false,
    "IsMasked": false,
    "GrantKeyWhenReadable": "principal-process-steward|Resources"
   },
   {
    "FieldGrantId": "fg-process-steward-Resources.CreatedAt",
    "Principal": "principal-process-steward",
    "TargetField": "Resources.CreatedAt",
    "CanRead": true,
    "CanWrite": false,
    "MaskStrategy": "plain",
    "SemanticTypeIri": "urn:effortless:pko-extension#FieldGrant",
    "Name": "principal-process-steward -&gt; Resources.CreatedAt",
    "FieldTable": "Resources",
    "FieldName": "CreatedAt",
    "FieldIsDerived": false,
    "IsWritableDerivedField": false,
    "IsMasked": false,
    "GrantKeyWhenReadable": "principal-process-steward|Resources"
   },
   {
    "FieldGrantId": "fg-process-steward-Resources.ModifiedAt",
    "Principal": "principal-process-steward",
    "TargetField": "Resources.ModifiedAt",
    "CanRead": true,
    "CanWrite": false,
    "MaskStrategy": "plain",
    "SemanticTypeIri": "urn:effortless:pko-extension#FieldGrant",
    "Name": "principal-process-steward -&gt; Resources.ModifiedAt",
    "FieldTable": "Resources",
    "FieldName": "ModifiedAt",
    "FieldIsDerived": false,
    "IsWritableDerivedField": false,
    "IsMasked": false,
    "GrantKeyWhenReadable": "principal-process-steward|Resources"
   },
   {
    "FieldGrantId": "fg-process-steward-Resources.Description",
    "Principal": "principal-process-steward",
    "TargetField": "Resources.Description",
    "CanRead": true,
    "CanWrite": false,
    "MaskStrategy": "plain",
    "SemanticTypeIri": "urn:effortless:pko-extension#FieldGrant",
    "Name": "principal-process-steward -&gt; Resources.Description",
    "FieldTable": "Resources",
    "FieldName": "Description",
    "FieldIsDerived": false,
    "IsWritableDerivedField": false,
    "IsMasked": false,
    "GrantKeyWhenReadable": "principal-process-steward|Resources"
   },
   {
    "FieldGrantId": "fg-process-steward-Resources.ApprovalStatus",
    "Principal": "principal-process-steward",
    "TargetField": "Resources.ApprovalStatus",
    "CanRead": true,
    "CanWrite": false,
    "MaskStrategy": "plain",
    "SemanticTypeIri": "urn:effortless:pko-extension#FieldGrant",
    "Name": "principal-process-steward -&gt; Resources.ApprovalStatus",
    "FieldTable": "Resources",
    "FieldName": "ApprovalStatus",
    "FieldIsDerived": false,
    "IsWritableDerivedField": false,
    "IsMasked": false,
    "GrantKeyWhenReadable": "principal-process-steward|Resources"
   },
   {
    "FieldGrantId": "fg-process-steward-Resources.IsApprovedSource",
    "Principal": "principal-process-steward",
    "TargetField": "Resources.IsApprovedSource",
    "CanRead": true,
    "CanWrite": false,
    "MaskStrategy": "plain",
    "SemanticTypeIri": "urn:effortless:pko-extension#FieldGrant",
    "Name": "principal-process-steward -&gt; Resources.IsApprovedSource",
    "FieldTable": "Resources",
    "FieldName": "IsApprovedSource",
    "FieldIsDerived": true,
    "IsWritableDerivedField": false,
    "IsMasked": false,
    "GrantKeyWhenReadable": "principal-process-steward|Resources"
   },
   {
    "FieldGrantId": "fg-process-steward-Resources.SemanticTypeIri",
    "Principal": "principal-process-steward",
    "TargetField": "Resources.SemanticTypeIri",
    "CanRead": true,
    "CanWrite": false,
    "MaskStrategy": "plain",
    "SemanticTypeIri": "urn:effortless:pko-extension#FieldGrant",
    "Name": "principal-process-steward -&gt; Resources.SemanticTypeIri",
    "FieldTable": "Resources",
    "FieldName": "SemanticTypeIri",
    "FieldIsDerived": false,
    "IsWritableDerivedField": false,
    "IsMasked": false,
    "GrantKeyWhenReadable": "principal-process-steward|Resources"
   },
   {
    "FieldGrantId": "fg-process-steward-ReviewEvents.ReviewEventId",
    "Principal": "principal-process-steward",
    "TargetField": "ReviewEvents.ReviewEventId",
    "CanRead": true,
    "CanWrite": false,
    "MaskStrategy": "plain",
    "SemanticTypeIri": "urn:effortless:pko-extension#FieldGrant",
    "Name": "principal-process-steward -&gt; ReviewEvents.ReviewEventId",
    "FieldTable": "ReviewEvents",
    "FieldName": "ReviewEventId",
    "FieldIsDerived": false,
    "IsWritableDerivedField": false,
    "IsMasked": false,
    "GrantKeyWhenReadable": "principal-process-steward|ReviewEvents"
   },
   {
    "FieldGrantId": "fg-process-steward-ReviewEvents.Name",
    "Principal": "principal-process-steward",
    "TargetField": "ReviewEvents.Name",
    "CanRead": true,
    "CanWrite": false,
    "MaskStrategy": "plain",
    "SemanticTypeIri": "urn:effortless:pko-extension#FieldGrant",
    "Name": "principal-process-steward -&gt; ReviewEvents.Name",
    "FieldTable": "ReviewEvents",
    "FieldName": "Name",
    "FieldIsDerived": true,
    "IsWritableDerivedField": false,
    "IsMasked": false,
    "GrantKeyWhenReadable": "principal-process-steward|ReviewEvents"
   },
   {
    "FieldGrantId": "fg-process-steward-ReviewEvents.ProcedureVersion",
    "Principal": "principal-process-steward",
    "TargetField": "ReviewEvents.ProcedureVersion",
    "CanRead": true,
    "CanWrite": false,
    "MaskStrategy": "plain",
    "SemanticTypeIri": "urn:effortless:pko-extension#FieldGrant",
    "Name": "principal-process-steward -&gt; ReviewEvents.ProcedureVersion",
    "FieldTable": "ReviewEvents",
    "FieldName": "ProcedureVersion",
    "FieldIsDerived": false,
    "IsWritableDerivedField": false,
    "IsMasked": false,
    "GrantKeyWhenReadable": "principal-process-steward|ReviewEvents"
   },
   {
    "FieldGrantId": "fg-process-steward-ReviewEvents.ReviewKind",
    "Principal": "principal-process-steward",
    "TargetField": "ReviewEvents.ReviewKind",
    "CanRead": true,
    "CanWrite": false,
    "MaskStrategy": "plain",
    "SemanticTypeIri": "urn:effortless:pko-extension#FieldGrant",
    "Name": "principal-process-steward -&gt; ReviewEvents.ReviewKind",
    "FieldTable": "ReviewEvents",
    "FieldName": "ReviewKind",
    "FieldIsDerived": false,
    "IsWritableDerivedField": false,
    "IsMasked": false,
    "GrantKeyWhenReadable": "principal-process-steward|ReviewEvents"
   },
   {
    "FieldGrantId": "fg-process-steward-ReviewEvents.ReviewedAt",
    "Principal": "principal-process-steward",
    "TargetField": "ReviewEvents.ReviewedAt",
    "CanRead": true,
    "CanWrite": false,
    "MaskStrategy": "plain",
    "SemanticTypeIri": "urn:effortless:pko-extension#FieldGrant",
    "Name": "principal-process-steward -&gt; ReviewEvents.ReviewedAt",
    "FieldTable": "ReviewEvents",
    "FieldName": "ReviewedAt",
    "FieldIsDerived": false,
    "IsWritableDerivedField": false,
    "IsMasked": false,
    "GrantKeyWhenReadable": "principal-process-steward|ReviewEvents"
   },
   {
    "FieldGrant</t>
  </si>
  <si>
    <t xml:space="preserve">Id": "fg-process-steward-ReviewEvents.ReviewedByAgent",
    "Principal": "principal-process-steward",
    "TargetField": "ReviewEvents.ReviewedByAgent",
    "CanRead": true,
    "CanWrite": false,
    "MaskStrategy": "plain",
    "SemanticTypeIri": "urn:effortless:pko-extension#FieldGrant",
    "Name": "principal-process-steward -&gt; ReviewEvents.ReviewedByAgent",
    "FieldTable": "ReviewEvents",
    "FieldName": "ReviewedByAgent",
    "FieldIsDerived": false,
    "IsWritableDerivedField": false,
    "IsMasked": false,
    "GrantKeyWhenReadable": "principal-process-steward|ReviewEvents"
   },
   {
    "FieldGrantId": "fg-process-steward-ReviewEvents.Outcome",
    "Principal": "principal-process-steward",
    "TargetField": "ReviewEvents.Outcome",
    "CanRead": true,
    "CanWrite": false,
    "MaskStrategy": "plain",
    "SemanticTypeIri": "urn:effortless:pko-extension#FieldGrant",
    "Name": "principal-process-steward -&gt; ReviewEvents.Outcome",
    "FieldTable": "ReviewEvents",
    "FieldName": "Outcome",
    "FieldIsDerived": false,
    "IsWritableDerivedField": false,
    "IsMasked": false,
    "GrantKeyWhenReadable": "principal-process-steward|ReviewEvents"
   },
   {
    "FieldGrantId": "fg-process-steward-ReviewEvents.RelatedChangeRequest",
    "Principal": "principal-process-steward",
    "TargetField": "ReviewEvents.RelatedChangeRequest",
    "CanRead": true,
    "CanWrite": false,
    "MaskStrategy": "plain",
    "SemanticTypeIri": "urn:effortless:pko-extension#FieldGrant",
    "Name": "principal-process-steward -&gt; ReviewEvents.RelatedChangeRequest",
    "FieldTable": "ReviewEvents",
    "FieldName": "RelatedChangeRequest",
    "FieldIsDerived": false,
    "IsWritableDerivedField": false,
    "IsMasked": false,
    "GrantKeyWhenReadable": "principal-process-steward|ReviewEvents"
   },
   {
    "FieldGrantId": "fg-process-steward-ReviewEvents.NextReviewDue",
    "Principal": "principal-process-steward",
    "TargetField": "ReviewEvents.NextReviewDue",
    "CanRead": true,
    "CanWrite": false,
    "MaskStrategy": "plain",
    "SemanticTypeIri": "urn:effortless:pko-extension#FieldGrant",
    "Name": "principal-process-steward -&gt; ReviewEvents.NextReviewDue",
    "FieldTable": "ReviewEvents",
    "FieldName": "NextReviewDue",
    "FieldIsDerived": false,
    "IsWritableDerivedField": false,
    "IsMasked": false,
    "GrantKeyWhenReadable": "principal-process-steward|ReviewEvents"
   },
   {
    "FieldGrantId": "fg-process-steward-ReviewEvents.EvaluationContext",
    "Principal": "principal-process-steward",
    "TargetField": "ReviewEvents.EvaluationContext",
    "CanRead": true,
    "CanWrite": false,
    "MaskStrategy": "plain",
    "SemanticTypeIri": "urn:effortless:pko-extension#FieldGrant",
    "Name": "principal-process-steward -&gt; ReviewEvents.EvaluationContext",
    "FieldTable": "ReviewEvents",
    "FieldName": "EvaluationContext",
    "FieldIsDerived": false,
    "IsWritableDerivedField": false,
    "IsMasked": false,
    "GrantKeyWhenReadable": "principal-process-steward|ReviewEvents"
   },
   {
    "FieldGrantId": "fg-process-steward-ReviewEvents.AsOfInstant",
    "Principal": "principal-process-steward",
    "TargetField": "ReviewEvents.AsOfInstant",
    "CanRead": true,
    "CanWrite": false,
    "MaskStrategy": "plain",
    "SemanticTypeIri": "urn:effortless:pko-extension#FieldGrant",
    "Name": "principal-process-steward -&gt; ReviewEvents.AsOfInstant",
    "FieldTable": "ReviewEvents",
    "FieldName": "AsOfInstant",
    "FieldIsDerived": true,
    "IsWritableDerivedField": false,
    "IsMasked": false,
    "GrantKeyWhenReadable": "principal-process-steward|ReviewEvents"
   },
   {
    "FieldGrantId": "fg-process-steward-ReviewEvents.IsOverdue",
    "Principal": "principal-process-steward",
    "TargetField": "ReviewEvents.IsOverdue",
    "CanRead": true,
    "CanWrite": false,
    "MaskStrategy": "plain",
    "SemanticTypeIri": "urn:effortless:pko-extension#FieldGrant",
    "Name": "principal-process-steward -&gt; ReviewEvents.IsOverdue",
    "FieldTable": "ReviewEvents",
    "FieldName": "IsOverdue",
    "FieldIsDerived": true,
    "IsWritableDerivedField": false,
    "IsMasked": false,
    "GrantKeyWhenReadable": "principal-process-steward|ReviewEvents"
   },
   {
    "FieldGrantId": "fg-process-steward-ReviewEvents.OverdueVersionKey",
    "Principal": "principal-process-steward",
    "TargetField": "ReviewEvents.OverdueVersionKey",
    "CanRead": true,
    "CanWrite": false,
    "MaskStrategy": "plain",
    "SemanticTypeIri": "urn:effortless:pko-extension#FieldGrant",
    "Name": "principal-process-steward -&gt; ReviewEvents.OverdueVersionKey",
    "FieldTable": "ReviewEvents",
    "FieldName": "OverdueVersionKey",
    "FieldIsDerived": true,
    "IsWritableDerivedField": false,
    "IsMasked": false,
    "GrantKeyWhenReadable": "principal-process-steward|ReviewEvents"
   },
   {
    "FieldGrantId": "fg-process-steward-ReviewEvents.PromisedCadenceDays",
    "Principal": "principal-process-steward",
    "TargetField": "ReviewEvents.PromisedCadenceDays",
    "CanRead": true,
    "CanWrite": false,
    "MaskStrategy": "plain",
    "SemanticTypeIri": "urn:effortless:pko-extension#FieldGrant",
    "Name": "principal-process-steward -&gt; ReviewEvents.PromisedCadenceDays",
    "FieldTable": "ReviewEvents",
    "FieldName": "PromisedCadenceDays",
    "FieldIsDerived": true,
    "IsWritableDerivedField": false,
    "IsMasked": false,
    "GrantKeyWhenReadable": "principal-process-steward|ReviewEvents"
   },
   {
    "FieldGrantId": "fg-process-steward-ReviewEvents.DaysSinceReviewed",
    "Principal": "principal-process-steward",
    "TargetField": "ReviewEvents.DaysSinceReviewed",
    "CanRead": true,
    "CanWrite": false,
    "MaskStrategy": "plain",
    "SemanticTypeIri": "urn:effortless:pko-extension#FieldGrant",
    "Name": "principal-process-steward -&gt; ReviewEvents.DaysSinceReviewed",
    "FieldTable": "ReviewEvents",
    "FieldName": "DaysSinceReviewed",
    "FieldIsDerived": true,
    "IsWritableDerivedField": false,
    "IsMasked": false,
    "GrantKeyWhenReadable": "principal-process-steward|ReviewEvents"
   },
   {
    "FieldGrantId": "fg-process-steward-ReviewEvents.ExceedsPromisedCadence",
    "Principal": "principal-process-steward",
    "TargetField": "ReviewEvents.ExceedsPromisedCadence",
    "CanRead": true,
    "CanWrite": false,
    "MaskStrategy": "plain",
    "SemanticTypeIri": "urn:effortless:pko-extension#FieldGrant",
    "Name": "principal-process-steward -&gt; ReviewEvents.ExceedsPromisedCadence",
    "FieldTable": "ReviewEvents",
    "FieldName": "ExceedsPromisedCadence",
    "FieldIsDerived": true,
    "IsWritableDerivedField": false,
    "IsMasked": false,
    "GrantKeyWhenReadable": "principal-process-steward|ReviewEvents"
   },
   {
    "FieldGrantId": "fg-process-steward-ReviewEvents.CadenceDriftDays",
    "Principal": "principal-process-steward",
    "TargetField": "ReviewEvents.CadenceDriftDays",
    "CanRead": true,
    "CanWrite": false,
    "MaskStrategy": "plain",
    "SemanticTypeIri": "urn:effortless:pko-extension#FieldGrant",
    "Name": "principal-process-steward -&gt; ReviewEvents.CadenceDriftDays",
    "FieldTable": "ReviewEvents",
    "FieldName": "CadenceDriftDays",
    "FieldIsDerived": true,
    "IsWritableDerivedField": false,
    "IsMasked": false,
    "GrantKeyWhenReadable": "principal-process-steward|ReviewEvents"
   },
   {
    "FieldGrantId": "fg-process-steward-ReviewEvents.PromiseAndBehaviorDisagree",
    "Principal": "principal-process-steward",
    "TargetField": "ReviewEvents.PromiseAndBehaviorDisagree",
    "CanRead": true,
    "CanWrite": false,
    "MaskStrategy": "plain",
    "SemanticTypeIri": "urn:effortless:pko-extension#FieldGrant",
    "Name": "principal-process-steward -&gt; ReviewEvents.PromiseAndBehaviorDisagree",
    "FieldTable": "ReviewEvents",
    "FieldName": "PromiseAndBehaviorDisagree",
    "FieldIsDerived": true,
    "IsWritableDerivedField": false,
    "IsMasked": false,
    "GrantKeyWhenReadable": "principal-process-steward|ReviewEvents"
   },
   {
    "FieldGrantId": "fg-process-steward-ReviewEvents.CadenceBreachVersionKey",
    "Principal": "principal-process-steward",
    "TargetField": "ReviewEvents.CadenceBreachVersionKey",
    "CanRead": true,
    "CanWrite": false,
    "MaskStrategy": "plain",
    "SemanticTypeIri": "urn:effortless:pko-extension#FieldGrant",
    "Name": "principal-process-steward -&gt; ReviewEvents.CadenceBreachVersionKey",
    "FieldTable": "ReviewEvents",
    "FieldName": "CadenceBreachVersionKey",
    "FieldIsDerived": true,
    "IsWritableDerivedField": false,
    "IsMasked": false,
    "GrantKeyWhenReadable": "principal-process-steward|ReviewEvents"
   },
   {
    "FieldGrantId": "fg-process-steward-ReviewEvents.SemanticTypeIri",
    "Principal": "principal-process-steward",
    "TargetField": "ReviewEvents.SemanticTypeIri",
    "CanRead": true,
    "CanWrite": false,
    "MaskStrategy": "plain",
    "SemanticTypeIri": "urn:effortless:pko-extension#FieldGrant",
    "Name": "principal-process-steward -&gt; ReviewEvents.SemanticTypeIri",
    "FieldTable": "ReviewEvents",
    "FieldName": "SemanticTypeIri",
    "FieldIsDerived": false,
    "IsWritableDerivedField": false,
    "IsMasked": false,
    "GrantKeyWhenReadable": "principal-process-steward|ReviewEvents"
   },
   {
    "FieldGrantId": "fg-process-steward-RoleAssignments.RoleAssignmentId",
    "Principal": "principal-process-steward",
    "TargetField": "RoleAssignments.RoleAssignmentId",
    "CanRead": true,
    "CanWrite": false,
    "MaskStrategy": "plain",
    "SemanticTypeIri": "urn:effortless:pko-extension#FieldGrant",
    "Name": "principal-process-steward -&gt; RoleAssignments.RoleAssignmentId",
    "FieldTable": "RoleAssignments",
    "FieldName": "RoleAssignmentId",
    "FieldIsDerived": false,
    "IsWritableDerivedField": false,
    "IsMasked": false,
    "GrantKeyWhenReadable": "principal-process-steward|RoleAssignments"
   },
   {
    "FieldGrantId": "fg-process-steward-RoleAssignments.Name",
    "Principal": "principal-process-steward",
    "TargetField": "RoleAssignments.Name",
    "CanRead": true,
    "CanWrite": false,
    "MaskStrategy": "plain",
    "SemanticTypeIri": "urn:effortless:pko-extension#FieldGrant",
    "Name": "principal-process-steward -&gt; RoleAssignments.Name",
    "FieldTable": "RoleAssignments",
    "FieldName": "Name",
    "FieldIsDerived": true,
    "IsWritableDerivedField": false,
    "IsMasked": false,
    "GrantKeyWhenReadable": "principal-process-steward|RoleAssignments"
   },
   {
    "FieldGrantId": "fg-process-steward-RoleAssignments.Role",
    "Principal": "principal-process-steward",
    "TargetField": "RoleAssignments.Role",
    "CanRead": true,
    "CanWrite": false,
    "MaskStrategy": "plain",
    "SemanticTypeIri": "urn:effortless:pko-extension#FieldGrant",
    "Name": "principal-process-steward -&gt; RoleAssignments.Role",
    "FieldTable": "RoleAssignments",
    "FieldName": "Role",
    "FieldIsDerived": false,
    "IsWritableDerivedField": false,
    "IsMasked": false,
    "GrantKeyWhenReadable": "principal-process-steward|RoleAssignments"
   },
   {
    "FieldGrantId": "fg-process-steward-RoleAssignments.Agent",
    "Principal": "principal-process-steward",
    "TargetField": "RoleAssignments.Agent",
    "CanRead": true,
    "CanWrite": false,
    "MaskStrategy": "plain",
    "SemanticTypeIri": "urn:effortless:pko-extension#FieldGrant",
    "Name": "principal-process-steward -&gt; RoleAssignments.Agent",
    "FieldTable": "RoleAssignments",
    "FieldName": "Agent",
    "FieldIsDerived": false,
    "IsWritableDerivedField": false,
    "IsMasked": false,
    "GrantKeyWhenReadable": "principal-process-steward|RoleAssignments"
   },
   {
    "FieldGrantId": "fg-process-steward-RoleAssignments.ValidFrom",
    "Principal": "principal-process-steward",
    "TargetField": "RoleAssignments.ValidFrom",
    "CanRead": true,
    "CanWrite": false,
    "MaskStrategy": "plain",
    "SemanticTypeIri": "urn:effortless:pko-extension#FieldGrant",
    "Name": "principal-process-steward -&gt; RoleAssignments.ValidFrom",
    "FieldTable": "RoleAssignments",
    "FieldName": "ValidFrom",
    "FieldIsDerived": false,
    "IsWritableDerivedField": false,
    "IsMasked": false,
    "GrantKeyWhenReadable": "principal-process-steward|RoleAssignments"
   },
   {
    "FieldGrantId": "fg-process-steward-RoleAssignments.ValidTo",
    "Principal": "principal-process-steward",
    "TargetField": "RoleAssignments.ValidTo",
    "CanRead": true,
    "CanWrite": false,
    "MaskStrategy": "plain",
    "SemanticTypeIri": "urn:effortless:pko-extension#FieldGrant",
    "Name": "principal-process-steward -&gt; RoleAssignments.ValidTo",
    "FieldTable": "RoleAssignments",
    "FieldName": "ValidTo",
    "FieldIsDerived": false,
    "IsWritableDerivedField": false,
    "IsMasked": false,
    "GrantKeyWhenReadable": "principal-process-steward|RoleAssignments"
   },
   {
    "FieldGrantId": "fg-process-steward-RoleAssignments.Reason",
    "Principal": "principal-process-steward",
    "TargetField": "RoleAssignments.Reason",
    "CanRead": true,
    "CanWrite": false,
    "MaskStrategy": "plain",
    "SemanticTypeIri": "urn:effortless:pko-extension#FieldGrant",
    "Name": "principal-process-steward -&gt; RoleAssignments.Reason",
    "FieldTable": "RoleAssignments",
    "FieldName": "Reason",
    "FieldIsDerived": false,
    "IsWritableDerivedField": false,
    "IsMasked": false,
    "GrantKeyWhenReadable": "principal-process-steward|RoleAssignments"
   },
   {
    "FieldGrantId": "fg-process-steward-RoleAssignments.Status",
    "Principal": "principal-process-steward",
    "TargetField": "RoleAssignments.Status",
    "CanRead": true,
    "CanWrite": false,
    "MaskStrategy": "plain",
    "SemanticTypeIri": "urn:effortless:pko-extension#FieldGrant",
    "Name": "principal-process-steward -&gt; RoleAssignments.Status",
    "FieldTable": "RoleAssignments",
    "FieldName": "Status",
    "FieldIsDerived": false,
    "IsWritableDerivedField": false,
    "IsMasked": false,
    "GrantKeyWhenReadable": "principal-process-steward|RoleAssignments"
   },
   {
    "FieldGrantId": "fg-process-steward-RoleAssignments.EvaluationContext",
    "Principal": "principal-process-steward",
    "TargetField": "RoleAssignments.EvaluationContext",
    "CanRead": true,
    "CanWrite": false,
    "MaskStrategy": "plain",
    "SemanticTypeIri": "urn:effortless:pko-extension#FieldGrant",
    "Name": "principal-process-steward -&gt; RoleAssignments.EvaluationContext",
    "FieldTable": "RoleAssignments",
    "FieldName": "EvaluationContext",
    "FieldIsDerived": false,
    "IsWritableDerivedField": false,
    "IsMasked": false,
    "GrantKeyWhenReadable": "principal-process-steward|RoleAssignments"
   },
   {
    "FieldGrantId": "fg-process-steward-RoleAssignments.AsOfInstant",
    "Principal": "principal-process-steward",
    "TargetField": "RoleAssignments.AsOfInstant",
    "CanRead": true,
    "CanWrite": false,
    "MaskStrategy": "plain",
    "SemanticTypeIri": "urn:effortless:pko-extension#FieldGrant",
    "Name": "principal-process-steward -&gt; RoleAssignments.AsOfInstant",
    "FieldTable": "RoleAssignments",
    "FieldName": "AsOfInstant",
    "FieldIsDerived": true,
    "IsWritableDerivedField": false,
    "IsMasked": false,
    "GrantKeyWhenReadable": "principal-process-steward|RoleAssignments"
   },
   {
    "FieldGrantId": "fg-process-steward-RoleAssignments.IsCurrent",
    "Principal": "principal-process-steward",
    "TargetField": "RoleAssignments.IsCurrent",
    "CanRead": true,
    "CanWrite": false,
    "MaskStrategy": "plain",
    "SemanticTypeIri": "urn:effortless:pko-extension#FieldGrant",
    "Name": "principal-process-steward -&gt; RoleAssignments.IsCurrent",
    "FieldTable": "RoleAssignments",
    "FieldName": "IsCurrent",
    "FieldIsDerived": true,
    "IsWritableDerivedField": false,
    "IsMasked": false,
    "GrantKeyWhenReadable": "principal-process-steward|RoleAssignments"
   },
   {
    "FieldGrantId": "fg-process-steward-RoleAssignments.CurrentAgentKey",
    "Principal": "principal-process-steward",
    "TargetField": "RoleAssignments.CurrentAgentKey",
    "CanRead": true,
    "CanWrite": false,
    "MaskStrategy": "plain",
    "SemanticTypeIri": "urn:effortless:pko-extension#FieldGrant",
    "Name": "principal-process-steward -&gt; RoleAssignments.CurrentAgentKey",
    "FieldTable": "RoleAssignments",
    "FieldName": "CurrentAgentKey",
    "FieldIsDerived": true,
    "IsWritableDerivedField": false,
    "IsMasked": false,
    "GrantKeyWhenReadable": "principal-process-steward|RoleAssignments"
   },
   {
    "FieldGrantId": "fg-process-steward-RoleAssignments.IsCurrentlyValid",
    "Principal": "principal-process-steward",
    "TargetField": "RoleAssignments.IsCurrentlyValid",
    "CanRead": true,
    "CanWrite": false,
    "MaskStrategy": "plain",
    "SemanticTypeIri": "urn:effortless:pko-extension#FieldGrant",
    "Name": "principal-process-steward -&gt; RoleAssignments.IsCurrentlyValid",
    "FieldTable": "RoleAssignments",
    "FieldName": "IsCurrentlyValid",
    "FieldIsDerived": true,
    "IsWritableDerivedField": false,
    "IsMasked": false,
    "GrantKeyWhenReadable": "principal-process-steward|RoleAssignments"
   },
   {
    "FieldGrantId": "fg-process-steward-RoleAssignments.AgentRoleKey",
    "Principal": "principal-process-steward",
    "TargetField": "RoleAssignments.AgentRoleKey",
    "CanRead": true,
    "CanWrite": false,
    "MaskStrategy": "plain",
    "SemanticTypeIri": "urn:effortless:pko-extension#FieldGrant",
    "Name": "principal-process-steward -&gt; RoleAssignments.AgentRoleKey",
    "FieldTable": "RoleAssignments",
    "FieldName": "AgentRoleKey",
    "FieldIsDerived": true,
    "IsWritableDerivedField": false,
    "IsMasked": false,
    "GrantKeyWhenReadable": "principal-process-steward|RoleAssignments"
   },
   {
    "FieldGrantId": "fg-process-steward-RoleAssignments.HasDeparted",
    "Principal": "principal-process-steward",
    "TargetField": "RoleAssignments.HasDeparted",
    "CanRead": true,
    "CanWrite": false,
    "MaskStrategy": "plain",
    "SemanticTypeIri": "urn:effortless:pko-extension#FieldGrant",
    "Name": "principal-process-steward -&gt; RoleAssignments.HasDeparted",
    "FieldTable": "RoleAssignments",
    "FieldName": "HasDeparted",
    "FieldIsDerived": true,
    "IsWritableDerivedField": false,
    "IsMasked": false,
    "GrantKeyWhenReadable": "principal-process-steward|RoleAssignments"
   },
   {
    "FieldGrantId": "fg-process-steward-RoleAssignments.CoversNow",
    "Principal": "principal-process-steward",
    "TargetField": "RoleAssignments.CoversNow",
    "CanRead": true,
    "CanWrite": false,
    "MaskStrategy": "plain",
    "SemanticTypeIri": "urn:effortless:pko-extension#FieldGrant",
    "Name": "principal-process-steward -&gt; RoleAssignments.CoversNow",
    "FieldTable": "RoleAssignments",
    "FieldName": "CoversNow",
    "FieldIsDerived": true,
    "IsWritableDerivedField": false,
    "IsMasked": false,
    "GrantKeyWhenReadable": "principal-process-steward|RoleAssignments"
   },
   {
    "FieldGrantId": "fg-process-steward-RoleAssignments.RoleWhenCovering",
    "Principal": "principal-process-steward",
    "TargetField": "RoleAssignments.RoleWhenCovering",
    "CanRead": true,
    "CanWrite": false,
    "MaskStrategy": "plain",
    "SemanticTypeIri": "urn:effortless:pko-extension#FieldGrant",
    "Name": "principal-process-steward -&gt; RoleAssignments.RoleWhenCovering",
    "FieldTable": "RoleAssignments",
    "FieldName": "RoleWhenCovering",
    "FieldIsDerived": true,
    "IsWritableDerivedField": false,
    "IsMasked": false,
    "GrantKeyWhenReadable": "principal-process-steward|RoleAssignments"
   },
   {
    "FieldGrantId": "fg-process-steward-RoleAssignments.AgentKind",
    "Principal": "principal-process-steward",
    "TargetField": "RoleAssignments.AgentKind",
    "CanRead": true,
    "CanWrite": false,
    "MaskStrategy": "plain",
    "SemanticTypeIri": "urn:effortless:pko-extension#FieldGrant",
    "Name": "principal-process-steward -&gt; RoleAssignments.AgentKind",
    "FieldTable": "RoleAssignments",
    "FieldName": "AgentKind",
    "FieldIsDerived": true,
    "IsWritableDerivedField": false,
    "IsMasked": false,
    "GrantKeyWhenReadable": "principal-process-steward|RoleAssignments"
   },
   {
    "FieldGrantId": "fg-process-steward-RoleAssignments.IsNonHumanAssignment",
    "Principal": "principal-process-steward",
    "TargetField": "RoleAssignments.IsNonHumanAssignment",
    "CanRead": true,
    "CanWrite": false,
    "MaskStrategy": "plain",
    "SemanticTypeIri": "urn:effortless:pko-extension#FieldGrant",
    "Name": "principal-process-steward -&gt; RoleAssignments.IsNonHumanAssignment",
    "FieldTable": "RoleAssignments",
    "FieldName": "IsNonHumanAssignment",
    "FieldIsDerived": true,
    "IsWritableDerivedField": false,
    "IsMasked": false,
    "GrantKeyWhenReadable": "principal-process-steward|RoleAssignments"
   },
   {
    "FieldGrantId": "fg-process-steward-RoleAssignments.SupersedesAssignment",
    "Principal": "principal-process-steward",
    "TargetField": "RoleAssignments.SupersedesAssignment",
    "CanRead": true,
    "CanWrite": false,
    "MaskStrategy": "plain",
    "SemanticTypeIri": "urn:effortless:pko-extension#FieldGrant",
    "Name": "principal-process-steward -&gt; RoleAssignments.SupersedesAssignment",
    "FieldTable": "RoleAssignments",
    "FieldName": "SupersedesAssignment",
    "FieldIsDerived": false,
    "IsWritableDerivedField": false,
    "IsMasked": false,
    "GrantKeyWhenReadable": "principal-process-steward|RoleAssignments"
   },
   {
    "FieldGrantId": "fg-process-steward-RoleAssignments.PredecessorAgentKind",
    "Principal": "principal-process-steward",
    "TargetField": "RoleAssignments.PredecessorAgentKind",
    "CanRead": true,
    "CanWrite": false,
    "MaskStrategy": "plain",
    "SemanticTypeIri": "urn:effortless:pko-extension#FieldGrant",
    "Name": "principal-process-steward -&gt; RoleAssignments.PredecessorAgentKind",
    "FieldTable": "RoleAssignments",
    "FieldName": "PredecessorAgentKind",
    "FieldIsDerived": true,
    "IsWritableDerivedField": false,
    "IsMasked": false,
    "GrantKeyWhenReadable": "principal-process-steward|RoleAssignments"
   },
   {
    "FieldGrantId": "fg-process-steward-RoleAssignments.IsHumanToNonHumanHandover",
    "Principal": "principal-process-steward",
    "TargetField": "RoleAssignments.IsHumanToNonHumanHandover",
    "CanRead": true,
    "CanWrite": false,
    "MaskStrategy": "plain",
    "SemanticTypeIri": "urn:effortless:pko-extension#FieldGrant",
    "Name": "principal-process-steward -&gt; RoleAssignments.IsHumanToNonHumanHandover",
    "FieldTable": "RoleAssignments",
    "FieldName": "IsHumanToNonHumanHandover",
    "FieldIsDerived": true,
    "IsWritableDerivedField": false,
    "IsMasked": false,
    "GrantKeyWhenReadable": "principal-process-steward|RoleAssignments"
   },
   {
    "FieldGrantId": "fg-process-steward-RoleAssignments.ApprovingAuthorityRole",
    "Principal": "principal-process-steward",
    "TargetField": "RoleAssignments.ApprovingAuthorityRole",
    "CanRead": true,
    "CanWrite": false,
    "MaskStrategy": "plain",
    "SemanticTypeIri": "urn:effortless:pko-extension#FieldGrant",
    "Name": "principal-process-steward -&gt; RoleAssignments.ApprovingAuthorityRole",
    "FieldTable": "RoleAssignments",
    "FieldName": "ApprovingAuthorityRole",
    "FieldIsDerived": false,
    "IsWritableDerivedField": false,
    "IsMasked": false,
    "GrantKeyWhenReadable": "principal-process-steward|RoleAssignments"
   },
   {
    "FieldGrantId": "fg-process-steward-RoleAssignments.AuthorizingChangeRequest",
    "Principal": "principal-process-steward",
    "TargetField": "RoleAssignments.AuthorizingChangeRequest",
    "CanRead": true,
    "CanWrite": false,
    "MaskStrategy": "plain",
    "SemanticTypeIri": "urn:effortless:pko-extension#FieldGrant",
    "Name": "principal-process-steward -&gt; RoleAssignments.AuthorizingChangeRequest",
    "FieldTable": "RoleAssignments",
    "FieldName": "AuthorizingChangeRequest",
    "FieldIsDerived": false,
    "IsWritableDerivedField": false,
    "IsMasked": false,
    "GrantKeyWhenReadable": "principal-process-steward|RoleAssignments"
   },
   {
    "FieldGrantId": "fg-process-steward-RoleAssignments.IsUnauthorizedNonHumanAssignment",
    "Principal": "principal-process-steward",
    "TargetField": "RoleAssignments.IsUnauthorizedNonHumanAssignment",
    "CanRead": true,
    "CanWrite": false,
    "MaskStrategy": "plain",
    "SemanticTypeIri": "urn:effortless:pko-extension#FieldGrant",
    "Name": "principal-process-steward -&gt; RoleAssignments.IsUnauthorizedNonHumanAssignment",
    "FieldTable": "RoleAssignments",
    "FieldName": "IsUnauthorizedNonHumanAssignment",
    "FieldIsDerived": true,
    "IsWritableDerivedField": false,
    "IsMasked": false,
    "GrantKeyWhenReadable": "principal-process-steward|RoleAssignments"
   },
   {
    "FieldGrantId": "fg-process-steward-RoleAssignments.WasAuthorizedByChangeRequest",
    "Principal": "principal-process-steward",
    "TargetField": "RoleAssignments.WasAuthorizedByChangeRequest",
    "CanRead": true,
    "CanWrite": false,
    "MaskStrategy": "plain",
    "SemanticTypeIri": "urn:effortless:pko-extension#FieldGrant",
    "Name": "principal-process-steward -&gt; RoleAssignments.WasAuthorizedByChangeRequest",
    "FieldTable": "RoleAssignments",
    "FieldName": "WasAuthorizedByChangeRequest",
    "FieldIsDerived": true,
    "IsWritableDerivedField": false,
    "IsMasked": false,
    "GrantKeyWhenReadable": "principal-process-steward|RoleAssignments"
   },
   {
    "FieldGrantId": "fg-process-steward-RoleAssignments.DecisionCount",
    "Principal": "principal-process-steward",
    "TargetField": "RoleAssignments.DecisionCount",
    "CanRead": true,
    "CanWrite": false,
    "MaskStrategy": "plain",
    "SemanticTypeIri": "urn:effortless:pko-extension#FieldGrant",
    "Name": "principal-process-steward -&gt; RoleAssignments.DecisionCount",
    "FieldTable": "RoleAssignments",
    "FieldName": "DecisionCount",
    "FieldIsDerived": true,
    "IsWritableDerivedField": false,
    "IsMasked": false,
    "GrantKeyWhenReadable": "principal-process-steward|RoleAssignments"
   },
   {
    "FieldGrantId": "fg-process-steward-RoleAssignments.OverriddenDecisionCount",
    "Principal": "principal-process-steward",
    "TargetField": "RoleAssignments.OverriddenDecisionCount",
    "CanRead": true,
    "CanWrite": false,
    "MaskStrategy": "plain",
    "SemanticTypeIri": "urn:effortless:pko-extension#FieldGrant",
    "Name": "principal-process-steward -&gt; RoleAssignments.OverriddenDecisionCount",
    "FieldTable": "RoleAssignments",
    "FieldName": "OverriddenDecisionCount",
    "FieldIsDerived": true,
    "IsWritableDerivedField": false,
    "IsMasked": false,
    "GrantKeyWhenReadable": "principal-process-steward|RoleAssignments"
   },
   {
    "FieldGrantId": "fg-process-steward-RoleAssignments.OverrideRatePercent",
    "Principal": "principal-process-steward",
    "TargetField": "RoleAssignments.OverrideRatePercent",
    "CanRead": true,
    "CanWrite": false,
    "MaskStrategy": "plain",
    "SemanticTypeIri": "urn:effortless:pko-extension#FieldGrant",
    "Name": "principal-process-steward -&gt; RoleAssignments.OverrideRatePercent",
    "FieldTable": "RoleAssignments",
    "FieldName": "OverrideRatePercent",
    "FieldIsDerived": true,
    "IsWritableDerivedField": false,
    "IsMasked": false,
    "GrantKeyWhenReadable": "principal-process-steward|RoleAssignments"
   },
   {
    "FieldGrantId": "fg-process-steward-RoleAssignments.PredecessorOverrideRatePercent",
    "Principal": "principal-process-steward",
    "TargetField": "RoleAssignments.PredecessorOverrideRatePercent",
    "CanRead": true,
    "CanWrite": false,
    "MaskStrategy": "plain",
    "SemanticTypeIri": "urn:effortless:pko-extension#FieldGrant",
    "Name": "principal-process-steward -&gt; RoleAssignments.PredecessorOverrideRatePercent",
    "FieldTable": "RoleAssignments",
    "FieldName": "PredecessorOverrideRatePercent",
    "FieldIsDerived": true,
    "IsWritableDerivedField": false,
    "IsMasked": false,
    "GrantKeyWhenReadable": "principal-process-steward|RoleAssignments"
   },
   {
    "FieldGrantId": "fg-process-steward-RoleAssignments.QualityRegressedVsPredecessor",
    "Principal": "principal-process-steward",
    "TargetField": "RoleAssignments.QualityRegressedVsPredecessor",
    "CanRead": true,
    "CanWrite": false,
    "MaskStrategy": "plain",
    "SemanticTypeIri": "urn:effortless:pko-extension#FieldGrant",
    "Name": "principal-process-steward -&gt; RoleAssignments.QualityRegressedVsPredecessor",
    "FieldTable": "RoleAssignments",
    "FieldName": "QualityRegressedVsPredecessor",
    "FieldIsDerived": true,
    "IsWritableDerivedField": false,
    "IsMasked": false,
    "GrantKeyWhenReadable": "principal-process-steward|RoleAssignments"
   },
   {
    "FieldGrantId": "fg-process-steward-RoleAssignments.DepartedRoleKey",
    "Principal": "principal-process-steward",
    "TargetField": "RoleAssignments.DepartedRoleKey",
    "CanRead": true,
    "CanWrite": false,
    "MaskStrategy": "plain",
    "SemanticTypeIri": "urn:effortless:pko-extension#FieldGrant",
    "Name": "principal-process-steward -&gt; RoleAssignments.DepartedRoleKey",
    "FieldTable": "RoleAssignments",
    "FieldName": "DepartedRoleKey",
    "FieldIsDerived": true,
    "IsWritableDerivedField": false,
    "IsMasked": false,
    "GrantKeyWhenReadable": "principal-process-steward|RoleAssignments"
   },
   {
    "FieldGrantId": "fg-process-steward-RoleAssignments.MinimumDecisionsForComparison",
    "Principal": "principal-process-steward",
    "TargetField": "RoleAssignments.MinimumDecisionsForComparison",
    "CanRead": true,
    "CanWrite": false,
    "MaskStrategy": "plain",
    "SemanticTypeIri": "urn:effortless:pko-extension#FieldGrant",
    "Name": "principal-process-steward -&gt; RoleAssignments.MinimumDecisionsForComparison",
    "FieldTable": "RoleAssignments",
    "FieldName": "MinimumDecisionsForComparison",
    "FieldIsDerived": false,
    "IsWritableDerivedField": false,
    "IsMasked": false,
    "GrantKeyWhenReadable": "principal-process-steward|RoleAssignments"
   },
   {
    "FieldGrantId": "fg-process-steward-RoleAssignments.PredecessorDecisionCount",
    "Principal": "principal-process-steward",
    "TargetField": "RoleAssignments.PredecessorDecisionCount",
    "CanRead": true,
    "CanWrite": false,
    "MaskStrategy": "plain",
    "SemanticTypeIri": "urn:effortless:pko-extension#FieldGrant",
    "Name": "principal-process-steward -&gt; RoleAssignments.PredecessorDecisionCount",
    "FieldTable": "RoleAssignments",
    "FieldName": "PredecessorDecisionCount",
    "FieldIsDerived": true,
    "IsWritableDerivedField": false,
    "IsMasked": false,
    "GrantKeyWhenReadable": "principal-process-steward|RoleAssignments"
   },
   {
    "FieldGrantId": "fg-process-steward-RoleAssignments.HasSufficientSample",
    "Principal": "principal-process-steward",
    "TargetField": "RoleAssignments.HasSufficientSample",
    "CanRead": true,
    "CanWrite": false,
    "MaskStrategy": "plain",
    "SemanticTypeIri": "urn:effortless:pko-extension#FieldGrant",
    "Name": "principal-process-steward -&gt; RoleAssignments.HasSufficientSample",
    "FieldTable": "RoleAssignments",
    "FieldName": "HasSufficientSample",
    "FieldIsDerived": true,
    "IsWritableDerivedField": false,
    "IsMasked": false,
    "GrantKeyWhenReadable": "principal-process-steward|RoleAssignments"
   },
   {
    "FieldGrantId": "fg-process-steward-RoleAssignments.PredecessorHasSufficientSample",
    "Principal": "principal-process-steward",
    "TargetField": "RoleAssignments.PredecessorHasSufficientSample",
    "CanRead": true,
    "CanWrite": false,
    "MaskStrategy": "plain",
    "SemanticTypeIri": "urn:effortless:pko-extension#FieldGrant",
    "Name": "principal-process-steward -&gt; RoleAssignments.PredecessorHasSufficientSample",
    "FieldTable": "RoleAssignments",
    "FieldName": "PredecessorHasSufficientSample",
    "FieldIsDerived": true,
    "IsWritableDerivedField": false,
    "IsMasked": false,
    "GrantKeyWhenReadable": "principal-process-steward|RoleAssignments"
   },
   {
    "FieldGrantId": "fg-process-steward-RoleAssignments.ComparisonIsEvidentiallySound",
    "Principal": "principal-process-steward",
    "TargetField": "RoleAssignments.ComparisonIsEvidentiallySound",
    "CanRead": true,
    "CanWrite": false,
    "MaskStrategy": "plain",
    "SemanticTypeIri": "urn:effortless:pko-extension#FieldGrant",
    "Name": "principa</t>
  </si>
  <si>
    <t xml:space="preserve">l-process-steward -&gt; RoleAssignments.ComparisonIsEvidentiallySound",
    "FieldTable": "RoleAssignments",
    "FieldName": "ComparisonIsEvidentiallySound",
    "FieldIsDerived": true,
    "IsWritableDerivedField": false,
    "IsMasked": false,
    "GrantKeyWhenReadable": "principal-process-steward|RoleAssignments"
   },
   {
    "FieldGrantId": "fg-process-steward-RoleAssignments.SingleOverrideSwingPercent",
    "Principal": "principal-process-steward",
    "TargetField": "RoleAssignments.SingleOverrideSwingPercent",
    "CanRead": true,
    "CanWrite": false,
    "MaskStrategy": "plain",
    "SemanticTypeIri": "urn:effortless:pko-extension#FieldGrant",
    "Name": "principal-process-steward -&gt; RoleAssignments.SingleOverrideSwingPercent",
    "FieldTable": "RoleAssignments",
    "FieldName": "SingleOverrideSwingPercent",
    "FieldIsDerived": true,
    "IsWritableDerivedField": false,
    "IsMasked": false,
    "GrantKeyWhenReadable": "principal-process-steward|RoleAssignments"
   },
   {
    "FieldGrantId": "fg-process-steward-RoleAssignments.QualityVerdictIsUnsupported",
    "Principal": "principal-process-steward",
    "TargetField": "RoleAssignments.QualityVerdictIsUnsupported",
    "CanRead": true,
    "CanWrite": false,
    "MaskStrategy": "plain",
    "SemanticTypeIri": "urn:effortless:pko-extension#FieldGrant",
    "Name": "principal-process-steward -&gt; RoleAssignments.QualityVerdictIsUnsupported",
    "FieldTable": "RoleAssignments",
    "FieldName": "QualityVerdictIsUnsupported",
    "FieldIsDerived": true,
    "IsWritableDerivedField": false,
    "IsMasked": false,
    "GrantKeyWhenReadable": "principal-process-steward|RoleAssignments"
   },
   {
    "FieldGrantId": "fg-process-steward-RoleAssignments.IsUnmeasuredAutomationHandover",
    "Principal": "principal-process-steward",
    "TargetField": "RoleAssignments.IsUnmeasuredAutomationHandover",
    "CanRead": true,
    "CanWrite": false,
    "MaskStrategy": "plain",
    "SemanticTypeIri": "urn:effortless:pko-extension#FieldGrant",
    "Name": "principal-process-steward -&gt; RoleAssignments.IsUnmeasuredAutomationHandover",
    "FieldTable": "RoleAssignments",
    "FieldName": "IsUnmeasuredAutomationHandover",
    "FieldIsDerived": true,
    "IsWritableDerivedField": false,
    "IsMasked": false,
    "GrantKeyWhenReadable": "principal-process-steward|RoleAssignments"
   },
   {
    "FieldGrantId": "fg-process-steward-RoleAssignments.ErrorCorrectionCount",
    "Principal": "principal-process-steward",
    "TargetField": "RoleAssignments.ErrorCorrectionCount",
    "CanRead": true,
    "CanWrite": false,
    "MaskStrategy": "plain",
    "SemanticTypeIri": "urn:effortless:pko-extension#FieldGrant",
    "Name": "principal-process-steward -&gt; RoleAssignments.ErrorCorrectionCount",
    "FieldTable": "RoleAssignments",
    "FieldName": "ErrorCorrectionCount",
    "FieldIsDerived": true,
    "IsWritableDerivedField": false,
    "IsMasked": false,
    "GrantKeyWhenReadable": "principal-process-steward|RoleAssignments"
   },
   {
    "FieldGrantId": "fg-process-steward-RoleAssignments.ErrorRatePercent",
    "Principal": "principal-process-steward",
    "TargetField": "RoleAssignments.ErrorRatePercent",
    "CanRead": true,
    "CanWrite": false,
    "MaskStrategy": "plain",
    "SemanticTypeIri": "urn:effortless:pko-extension#FieldGrant",
    "Name": "principal-process-steward -&gt; RoleAssignments.ErrorRatePercent",
    "FieldTable": "RoleAssignments",
    "FieldName": "ErrorRatePercent",
    "FieldIsDerived": true,
    "IsWritableDerivedField": false,
    "IsMasked": false,
    "GrantKeyWhenReadable": "principal-process-steward|RoleAssignments"
   },
   {
    "FieldGrantId": "fg-process-steward-RoleAssignments.AuthorizationDecidedAt",
    "Principal": "principal-process-steward",
    "TargetField": "RoleAssignments.AuthorizationDecidedAt",
    "CanRead": true,
    "CanWrite": false,
    "MaskStrategy": "plain",
    "SemanticTypeIri": "urn:effortless:pko-extension#FieldGrant",
    "Name": "principal-process-steward -&gt; RoleAssignments.AuthorizationDecidedAt",
    "FieldTable": "RoleAssignments",
    "FieldName": "AuthorizationDecidedAt",
    "FieldIsDerived": false,
    "IsWritableDerivedField": false,
    "IsMasked": false,
    "GrantKeyWhenReadable": "principal-process-steward|RoleAssignments"
   },
   {
    "FieldGrantId": "fg-process-steward-RoleAssignments.AuthorizationReviewedAt",
    "Principal": "principal-process-steward",
    "TargetField": "RoleAssignments.AuthorizationReviewedAt",
    "CanRead": true,
    "CanWrite": false,
    "MaskStrategy": "plain",
    "SemanticTypeIri": "urn:effortless:pko-extension#FieldGrant",
    "Name": "principal-process-steward -&gt; RoleAssignments.AuthorizationReviewedAt",
    "FieldTable": "RoleAssignments",
    "FieldName": "AuthorizationReviewedAt",
    "FieldIsDerived": false,
    "IsWritableDerivedField": false,
    "IsMasked": false,
    "GrantKeyWhenReadable": "principal-process-steward|RoleAssignments"
   },
   {
    "FieldGrantId": "fg-process-steward-RoleAssignments.AuthorizationReviewCadenceDays",
    "Principal": "principal-process-steward",
    "TargetField": "RoleAssignments.AuthorizationReviewCadenceDays",
    "CanRead": true,
    "CanWrite": false,
    "MaskStrategy": "plain",
    "SemanticTypeIri": "urn:effortless:pko-extension#FieldGrant",
    "Name": "principal-process-steward -&gt; RoleAssignments.AuthorizationReviewCadenceDays",
    "FieldTable": "RoleAssignments",
    "FieldName": "AuthorizationReviewCadenceDays",
    "FieldIsDerived": false,
    "IsWritableDerivedField": false,
    "IsMasked": false,
    "GrantKeyWhenReadable": "principal-process-steward|RoleAssignments"
   },
   {
    "FieldGrantId": "fg-process-steward-RoleAssignments.HasDatedAuthorization",
    "Principal": "principal-process-steward",
    "TargetField": "RoleAssignments.HasDatedAuthorization",
    "CanRead": true,
    "CanWrite": false,
    "MaskStrategy": "plain",
    "SemanticTypeIri": "urn:effortless:pko-extension#FieldGrant",
    "Name": "principal-process-steward -&gt; RoleAssignments.HasDatedAuthorization",
    "FieldTable": "RoleAssignments",
    "FieldName": "HasDatedAuthorization",
    "FieldIsDerived": true,
    "IsWritableDerivedField": false,
    "IsMasked": false,
    "GrantKeyWhenReadable": "principal-process-steward|RoleAssignments"
   },
   {
    "FieldGrantId": "fg-process-steward-RoleAssignments.DaysSinceAuthorizationReview",
    "Principal": "principal-process-steward",
    "TargetField": "RoleAssignments.DaysSinceAuthorizationReview",
    "CanRead": true,
    "CanWrite": false,
    "MaskStrategy": "plain",
    "SemanticTypeIri": "urn:effortless:pko-extension#FieldGrant",
    "Name": "principal-process-steward -&gt; RoleAssignments.DaysSinceAuthorizationReview",
    "FieldTable": "RoleAssignments",
    "FieldName": "DaysSinceAuthorizationReview",
    "FieldIsDerived": true,
    "IsWritableDerivedField": false,
    "IsMasked": false,
    "GrantKeyWhenReadable": "principal-process-steward|RoleAssignments"
   },
   {
    "FieldGrantId": "fg-process-steward-RoleAssignments.AuthorizationIsOverdueForReview",
    "Principal": "principal-process-steward",
    "TargetField": "RoleAssignments.AuthorizationIsOverdueForReview",
    "CanRead": true,
    "CanWrite": false,
    "MaskStrategy": "plain",
    "SemanticTypeIri": "urn:effortless:pko-extension#FieldGrant",
    "Name": "principal-process-steward -&gt; RoleAssignments.AuthorizationIsOverdueForReview",
    "FieldTable": "RoleAssignments",
    "FieldName": "AuthorizationIsOverdueForReview",
    "FieldIsDerived": true,
    "IsWritableDerivedField": false,
    "IsMasked": false,
    "GrantKeyWhenReadable": "principal-process-steward|RoleAssignments"
   },
   {
    "FieldGrantId": "fg-process-steward-RoleAssignments.IsStandingUnreviewedAutomation",
    "Principal": "principal-process-steward",
    "TargetField": "RoleAssignments.IsStandingUnreviewedAutomation",
    "CanRead": true,
    "CanWrite": false,
    "MaskStrategy": "plain",
    "SemanticTypeIri": "urn:effortless:pko-extension#FieldGrant",
    "Name": "principal-process-steward -&gt; RoleAssignments.IsStandingUnreviewedAutomation",
    "FieldTable": "RoleAssignments",
    "FieldName": "IsStandingUnreviewedAutomation",
    "FieldIsDerived": true,
    "IsWritableDerivedField": false,
    "IsMasked": false,
    "GrantKeyWhenReadable": "principal-process-steward|RoleAssignments"
   },
   {
    "FieldGrantId": "fg-process-steward-RoleAssignments.IsUnconditionedAutomationHandover",
    "Principal": "principal-process-steward",
    "TargetField": "RoleAssignments.IsUnconditionedAutomationHandover",
    "CanRead": true,
    "CanWrite": false,
    "MaskStrategy": "plain",
    "SemanticTypeIri": "urn:effortless:pko-extension#FieldGrant",
    "Name": "principal-process-steward -&gt; RoleAssignments.IsUnconditionedAutomationHandover",
    "FieldTable": "RoleAssignments",
    "FieldName": "IsUnconditionedAutomationHandover",
    "FieldIsDerived": true,
    "IsWritableDerivedField": false,
    "IsMasked": false,
    "GrantKeyWhenReadable": "principal-process-steward|RoleAssignments"
   },
   {
    "FieldGrantId": "fg-process-steward-RoleAssignments.MaxTolerableErrorRatePercent",
    "Principal": "principal-process-steward",
    "TargetField": "RoleAssignments.MaxTolerableErrorRatePercent",
    "CanRead": true,
    "CanWrite": false,
    "MaskStrategy": "plain",
    "SemanticTypeIri": "urn:effortless:pko-extension#FieldGrant",
    "Name": "principal-process-steward -&gt; RoleAssignments.MaxTolerableErrorRatePercent",
    "FieldTable": "RoleAssignments",
    "FieldName": "MaxTolerableErrorRatePercent",
    "FieldIsDerived": false,
    "IsWritableDerivedField": false,
    "IsMasked": false,
    "GrantKeyWhenReadable": "principal-process-steward|RoleAssignments"
   },
   {
    "FieldGrantId": "fg-process-steward-RoleAssignments.ExceedsTolerableErrorRate",
    "Principal": "principal-process-steward",
    "TargetField": "RoleAssignments.ExceedsTolerableErrorRate",
    "CanRead": true,
    "CanWrite": false,
    "MaskStrategy": "plain",
    "SemanticTypeIri": "urn:effortless:pko-extension#FieldGrant",
    "Name": "principal-process-steward -&gt; RoleAssignments.ExceedsTolerableErrorRate",
    "FieldTable": "RoleAssignments",
    "FieldName": "ExceedsTolerableErrorRate",
    "FieldIsDerived": true,
    "IsWritableDerivedField": false,
    "IsMasked": false,
    "GrantKeyWhenReadable": "principal-process-steward|RoleAssignments"
   },
   {
    "FieldGrantId": "fg-process-steward-RoleAssignments.BoundaryViolationCountForAssignment",
    "Principal": "principal-process-steward",
    "TargetField": "RoleAssignments.BoundaryViolationCountForAssignment",
    "CanRead": true,
    "CanWrite": false,
    "MaskStrategy": "plain",
    "SemanticTypeIri": "urn:effortless:pko-extension#FieldGrant",
    "Name": "principal-process-steward -&gt; RoleAssignments.BoundaryViolationCountForAssignment",
    "FieldTable": "RoleAssignments",
    "FieldName": "BoundaryViolationCountForAssignment",
    "FieldIsDerived": true,
    "IsWritableDerivedField": false,
    "IsMasked": false,
    "GrantKeyWhenReadable": "principal-process-steward|RoleAssignments"
   },
   {
    "FieldGrantId": "fg-process-steward-RoleAssignments.HasAnyBoundaryViolation",
    "Principal": "principal-process-steward",
    "TargetField": "RoleAssignments.HasAnyBoundaryViolation",
    "CanRead": true,
    "CanWrite": false,
    "MaskStrategy": "plain",
    "SemanticTypeIri": "urn:effortless:pko-extension#FieldGrant",
    "Name": "principal-process-steward -&gt; RoleAssignments.HasAnyBoundaryViolation",
    "FieldTable": "RoleAssignments",
    "FieldName": "HasAnyBoundaryViolation",
    "FieldIsDerived": true,
    "IsWritableDerivedField": false,
    "IsMasked": false,
    "GrantKeyWhenReadable": "principal-process-steward|RoleAssignments"
   },
   {
    "FieldGrantId": "fg-process-steward-RoleAssignments.HasUngroundedGoverningBoundary",
    "Principal": "principal-process-steward",
    "TargetField": "RoleAssignments.HasUngroundedGoverningBoundary",
    "CanRead": true,
    "CanWrite": false,
    "MaskStrategy": "plain",
    "SemanticTypeIri": "urn:effortless:pko-extension#FieldGrant",
    "Name": "principal-process-steward -&gt; RoleAssignments.HasUngroundedGoverningBoundary",
    "FieldTable": "RoleAssignments",
    "FieldName": "HasUngroundedGoverningBoundary",
    "FieldIsDerived": true,
    "IsWritableDerivedField": false,
    "IsMasked": false,
    "GrantKeyWhenReadable": "principal-process-steward|RoleAssignments"
   },
   {
    "FieldGrantId": "fg-process-steward-RoleAssignments.SuspensionConditionMet",
    "Principal": "principal-process-steward",
    "TargetField": "RoleAssignments.SuspensionConditionMet",
    "CanRead": true,
    "CanWrite": false,
    "MaskStrategy": "plain",
    "SemanticTypeIri": "urn:effortless:pko-extension#FieldGrant",
    "Name": "principal-process-steward -&gt; RoleAssignments.SuspensionConditionMet",
    "FieldTable": "RoleAssignments",
    "FieldName": "SuspensionConditionMet",
    "FieldIsDerived": true,
    "IsWritableDerivedField": false,
    "IsMasked": false,
    "GrantKeyWhenReadable": "principal-process-steward|RoleAssignments"
   },
   {
    "FieldGrantId": "fg-process-steward-RoleAssignments.IsOperatingUnderMetSuspensionCondition",
    "Principal": "principal-process-steward",
    "TargetField": "RoleAssignments.IsOperatingUnderMetSuspensionCondition",
    "CanRead": true,
    "CanWrite": false,
    "MaskStrategy": "plain",
    "SemanticTypeIri": "urn:effortless:pko-extension#FieldGrant",
    "Name": "principal-process-steward -&gt; RoleAssignments.IsOperatingUnderMetSuspensionCondition",
    "FieldTable": "RoleAssignments",
    "FieldName": "IsOperatingUnderMetSuspensionCondition",
    "FieldIsDerived": true,
    "IsWritableDerivedField": false,
    "IsMasked": false,
    "GrantKeyWhenReadable": "principal-process-steward|RoleAssignments"
   },
   {
    "FieldGrantId": "fg-process-steward-RoleAssignments.HasDeclaredSuspensionCondition",
    "Principal": "principal-process-steward",
    "TargetField": "RoleAssignments.HasDeclaredSuspensionCondition",
    "CanRead": true,
    "CanWrite": false,
    "MaskStrategy": "plain",
    "SemanticTypeIri": "urn:effortless:pko-extension#FieldGrant",
    "Name": "principal-process-steward -&gt; RoleAssignments.HasDeclaredSuspensionCondition",
    "FieldTable": "RoleAssignments",
    "FieldName": "HasDeclaredSuspensionCondition",
    "FieldIsDerived": true,
    "IsWritableDerivedField": false,
    "IsMasked": false,
    "GrantKeyWhenReadable": "principal-process-steward|RoleAssignments"
   },
   {
    "FieldGrantId": "fg-process-steward-RoleAssignments.HasApprovingAuthority",
    "Principal": "principal-process-steward",
    "TargetField": "RoleAssignments.HasApprovingAuthority",
    "CanRead": true,
    "CanWrite": false,
    "MaskStrategy": "plain",
    "SemanticTypeIri": "urn:effortless:pko-extension#FieldGrant",
    "Name": "principal-process-steward -&gt; RoleAssignments.HasApprovingAuthority",
    "FieldTable": "RoleAssignments",
    "FieldName": "HasApprovingAuthority",
    "FieldIsDerived": true,
    "IsWritableDerivedField": false,
    "IsMasked": false,
    "GrantKeyWhenReadable": "principal-process-steward|RoleAssignments"
   },
   {
    "FieldGrantId": "fg-process-steward-RoleAssignments.HasAuthorizingChangeRequest",
    "Principal": "principal-process-steward",
    "TargetField": "RoleAssignments.HasAuthorizingChangeRequest",
    "CanRead": true,
    "CanWrite": false,
    "MaskStrategy": "plain",
    "SemanticTypeIri": "urn:effortless:pko-extension#FieldGrant",
    "Name": "principal-process-steward -&gt; RoleAssignments.HasAuthorizingChangeRequest",
    "FieldTable": "RoleAssignments",
    "FieldName": "HasAuthorizingChangeRequest",
    "FieldIsDerived": true,
    "IsWritableDerivedField": false,
    "IsMasked": false,
    "GrantKeyWhenReadable": "principal-process-steward|RoleAssignments"
   },
   {
    "FieldGrantId": "fg-process-steward-RoleAssignments.IsEnforcementRole",
    "Principal": "principal-process-steward",
    "TargetField": "RoleAssignments.IsEnforcementRole",
    "CanRead": true,
    "CanWrite": false,
    "MaskStrategy": "plain",
    "SemanticTypeIri": "urn:effortless:pko-extension#FieldGrant",
    "Name": "principal-process-steward -&gt; RoleAssignments.IsEnforcementRole",
    "FieldTable": "RoleAssignments",
    "FieldName": "IsEnforcementRole",
    "FieldIsDerived": false,
    "IsWritableDerivedField": false,
    "IsMasked": false,
    "GrantKeyWhenReadable": "principal-process-steward|RoleAssignments"
   },
   {
    "FieldGrantId": "fg-process-steward-RoleAssignments.IsUnauthorizedEnforcementAgent",
    "Principal": "principal-process-steward",
    "TargetField": "RoleAssignments.IsUnauthorizedEnforcementAgent",
    "CanRead": true,
    "CanWrite": false,
    "MaskStrategy": "plain",
    "SemanticTypeIri": "urn:effortless:pko-extension#FieldGrant",
    "Name": "principal-process-steward -&gt; RoleAssignments.IsUnauthorizedEnforcementAgent",
    "FieldTable": "RoleAssignments",
    "FieldName": "IsUnauthorizedEnforcementAgent",
    "FieldIsDerived": true,
    "IsWritableDerivedField": false,
    "IsMasked": false,
    "GrantKeyWhenReadable": "principal-process-steward|RoleAssignments"
   },
   {
    "FieldGrantId": "fg-process-steward-RoleAssignments.GovernanceEvidenceCount",
    "Principal": "principal-process-steward",
    "TargetField": "RoleAssignments.GovernanceEvidenceCount",
    "CanRead": true,
    "CanWrite": false,
    "MaskStrategy": "plain",
    "SemanticTypeIri": "urn:effortless:pko-extension#FieldGrant",
    "Name": "principal-process-steward -&gt; RoleAssignments.GovernanceEvidenceCount",
    "FieldTable": "RoleAssignments",
    "FieldName": "GovernanceEvidenceCount",
    "FieldIsDerived": true,
    "IsWritableDerivedField": false,
    "IsMasked": false,
    "GrantKeyWhenReadable": "principal-process-steward|RoleAssignments"
   },
   {
    "FieldGrantId": "fg-process-steward-RoleAssignments.UnauthorizedEnforcementRoleKey",
    "Principal": "principal-process-steward",
    "TargetField": "RoleAssignments.UnauthorizedEnforcementRoleKey",
    "CanRead": true,
    "CanWrite": false,
    "MaskStrategy": "plain",
    "SemanticTypeIri": "urn:effortless:pko-extension#FieldGrant",
    "Name": "principal-process-steward -&gt; RoleAssignments.UnauthorizedEnforcementRoleKey",
    "FieldTable": "RoleAssignments",
    "FieldName": "UnauthorizedEnforcementRoleKey",
    "FieldIsDerived": true,
    "IsWritableDerivedField": false,
    "IsMasked": false,
    "GrantKeyWhenReadable": "principal-process-steward|RoleAssignments"
   },
   {
    "FieldGrantId": "fg-process-steward-RoleAssignments.SemanticTypeIri",
    "Principal": "principal-process-steward",
    "TargetField": "RoleAssignments.SemanticTypeIri",
    "CanRead": true,
    "CanWrite": false,
    "MaskStrategy": "plain",
    "SemanticTypeIri": "urn:effortless:pko-extension#FieldGrant",
    "Name": "principal-process-steward -&gt; RoleAssignments.SemanticTypeIri",
    "FieldTable": "RoleAssignments",
    "FieldName": "SemanticTypeIri",
    "FieldIsDerived": false,
    "IsWritableDerivedField": false,
    "IsMasked": false,
    "GrantKeyWhenReadable": "principal-process-steward|RoleAssignments"
   },
   {
    "FieldGrantId": "fg-process-steward-RoleQuestions.RoleQuestionId",
    "Principal": "principal-process-steward",
    "TargetField": "RoleQuestions.RoleQuestionId",
    "CanRead": true,
    "CanWrite": false,
    "MaskStrategy": "plain",
    "SemanticTypeIri": "urn:effortless:pko-extension#FieldGrant",
    "Name": "principal-process-steward -&gt; RoleQuestions.RoleQuestionId",
    "FieldTable": "RoleQuestions",
    "FieldName": "RoleQuestionId",
    "FieldIsDerived": false,
    "IsWritableDerivedField": false,
    "IsMasked": false,
    "GrantKeyWhenReadable": "principal-process-steward|RoleQuestions"
   },
   {
    "FieldGrantId": "fg-process-steward-RoleQuestions.Name",
    "Principal": "principal-process-steward",
    "TargetField": "RoleQuestions.Name",
    "CanRead": true,
    "CanWrite": false,
    "MaskStrategy": "plain",
    "SemanticTypeIri": "urn:effortless:pko-extension#FieldGrant",
    "Name": "principal-process-steward -&gt; RoleQuestions.Name",
    "FieldTable": "RoleQuestions",
    "FieldName": "Name",
    "FieldIsDerived": true,
    "IsWritableDerivedField": false,
    "IsMasked": false,
    "GrantKeyWhenReadable": "principal-process-steward|RoleQuestions"
   },
   {
    "FieldGrantId": "fg-process-steward-RoleQuestions.AskingRole",
    "Principal": "principal-process-steward",
    "TargetField": "RoleQuestions.AskingRole",
    "CanRead": true,
    "CanWrite": false,
    "MaskStrategy": "plain",
    "SemanticTypeIri": "urn:effortless:pko-extension#FieldGrant",
    "Name": "principal-process-steward -&gt; RoleQuestions.AskingRole",
    "FieldTable": "RoleQuestions",
    "FieldName": "AskingRole",
    "FieldIsDerived": false,
    "IsWritableDerivedField": false,
    "IsMasked": false,
    "GrantKeyWhenReadable": "principal-process-steward|RoleQuestions"
   },
   {
    "FieldGrantId": "fg-process-steward-RoleQuestions.WitnessLoop",
    "Principal": "principal-process-steward",
    "TargetField": "RoleQuestions.WitnessLoop",
    "CanRead": true,
    "CanWrite": false,
    "MaskStrategy": "plain",
    "SemanticTypeIri": "urn:effortless:pko-extension#FieldGrant",
    "Name": "principal-process-steward -&gt; RoleQuestions.WitnessLoop",
    "FieldTable": "RoleQuestions",
    "FieldName": "WitnessLoop",
    "FieldIsDerived": false,
    "IsWritableDerivedField": false,
    "IsMasked": false,
    "GrantKeyWhenReadable": "principal-process-steward|RoleQuestions"
   },
   {
    "FieldGrantId": "fg-process-steward-RoleQuestions.QuestionText",
    "Principal": "principal-process-steward",
    "TargetField": "RoleQuestions.QuestionText",
    "CanRead": true,
    "CanWrite": false,
    "MaskStrategy": "plain",
    "SemanticTypeIri": "urn:effortless:pko-extension#FieldGrant",
    "Name": "principal-process-steward -&gt; RoleQuestions.QuestionText",
    "FieldTable": "RoleQuestions",
    "FieldName": "QuestionText",
    "FieldIsDerived": false,
    "IsWritableDerivedField": false,
    "IsMasked": false,
    "GrantKeyWhenReadable": "principal-process-steward|RoleQuestions"
   },
   {
    "FieldGrantId": "fg-process-steward-RoleQuestions.WhyItMatters",
    "Principal": "principal-process-steward",
    "TargetField": "RoleQuestions.WhyItMatters",
    "CanRead": true,
    "CanWrite": false,
    "MaskStrategy": "plain",
    "SemanticTypeIri": "urn:effortless:pko-extension#FieldGrant",
    "Name": "principal-process-steward -&gt; RoleQuestions.WhyItMatters",
    "FieldTable": "RoleQuestions",
    "FieldName": "WhyItMatters",
    "FieldIsDerived": false,
    "IsWritableDerivedField": false,
    "IsMasked": false,
    "GrantKeyWhenReadable": "principal-process-steward|RoleQuestions"
   },
   {
    "FieldGrantId": "fg-process-steward-RoleQuestions.AnswerableBefore",
    "Principal": "principal-process-steward",
    "TargetField": "RoleQuestions.AnswerableBefore",
    "CanRead": true,
    "CanWrite": false,
    "MaskStrategy": "plain",
    "SemanticTypeIri": "urn:effortless:pko-extension#FieldGrant",
    "Name": "principal-process-steward -&gt; RoleQuestions.AnswerableBefore",
    "FieldTable": "RoleQuestions",
    "FieldName": "AnswerableBefore",
    "FieldIsDerived": false,
    "IsWritableDerivedField": false,
    "IsMasked": false,
    "GrantKeyWhenReadable": "principal-process-steward|RoleQuestions"
   },
   {
    "FieldGrantId": "fg-process-steward-RoleQuestions.PredicateCount",
    "Principal": "principal-process-steward",
    "TargetField": "RoleQuestions.PredicateCount",
    "CanRead": true,
    "CanWrite": false,
    "MaskStrategy": "plain",
    "SemanticTypeIri": "urn:effortless:pko-extension#FieldGrant",
    "Name": "principal-process-steward -&gt; RoleQuestions.PredicateCount",
    "FieldTable": "RoleQuestions",
    "FieldName": "PredicateCount",
    "FieldIsDerived": true,
    "IsWritableDerivedField": false,
    "IsMasked": false,
    "GrantKeyWhenReadable": "principal-process-steward|RoleQuestions"
   },
   {
    "FieldGrantId": "fg-process-steward-RoleQuestions.IsAnswered",
    "Principal": "principal-process-steward",
    "TargetField": "RoleQuestions.IsAnswered",
    "CanRead": true,
    "CanWrite": false,
    "MaskStrategy": "plain",
    "SemanticTypeIri": "urn:effortless:pko-extension#FieldGrant",
    "Name": "principal-process-steward -&gt; RoleQuestions.IsAnswered",
    "FieldTable": "RoleQuestions",
    "FieldName": "IsAnswered",
    "FieldIsDerived": true,
    "IsWritableDerivedField": false,
    "IsMasked": false,
    "GrantKeyWhenReadable": "principal-process-steward|RoleQuestions"
   },
   {
    "FieldGrantId": "fg-process-steward-RoleQuestions.WitnessedAnswer",
    "Principal": "principal-process-steward",
    "TargetField": "RoleQuestions.WitnessedAnswer",
    "CanRead": true,
    "CanWrite": false,
    "MaskStrategy": "plain",
    "SemanticTypeIri": "urn:effortless:pko-extension#FieldGrant",
    "Name": "principal-process-steward -&gt; RoleQuestions.WitnessedAnswer",
    "FieldTable": "RoleQuestions",
    "FieldName": "WitnessedAnswer",
    "FieldIsDerived": false,
    "IsWritableDerivedField": false,
    "IsMasked": false,
    "GrantKeyWhenReadable": "principal-process-steward|RoleQuestions"
   },
   {
    "FieldGrantId": "fg-process-steward-RoleQuestions.SemanticTypeIri",
    "Principal": "principal-process-steward",
    "TargetField": "RoleQuestions.SemanticTypeIri",
    "CanRead": true,
    "CanWrite": false,
    "MaskStrategy": "plain",
    "SemanticTypeIri": "urn:effortless:pko-extension#FieldGrant",
    "Name": "principal-process-steward -&gt; RoleQuestions.SemanticTypeIri",
    "FieldTable": "RoleQuestions",
    "FieldName": "SemanticTypeIri",
    "FieldIsDerived": false,
    "IsWritableDerivedField": false,
    "IsMasked": false,
    "GrantKeyWhenReadable": "principal-process-steward|RoleQuestions"
   },
   {
    "FieldGrantId": "fg-process-steward-Roles.RoleId",
    "Principal": "principal-process-steward",
    "TargetField": "Roles.RoleId",
    "CanRead": true,
    "CanWrite": false,
    "MaskStrategy": "plain",
    "SemanticTypeIri": "urn:effortless:pko-extension#FieldGrant",
    "Name": "principal-process-steward -&gt; Roles.RoleId",
    "FieldTable": "Roles",
    "FieldName": "RoleId",
    "FieldIsDerived": false,
    "IsWritableDerivedField": false,
    "IsMasked": false,
    "GrantKeyWhenReadable": "principal-process-steward|Roles"
   },
   {
    "FieldGrantId": "fg-process-steward-Roles.Name",
    "Principal": "principal-process-steward",
    "TargetField": "Roles.Name",
    "CanRead": true,
    "CanWrite": false,
    "MaskStrategy": "plain",
    "SemanticTypeIri": "urn:effortless:pko-extension#FieldGrant",
    "Name": "principal-process-steward -&gt; Roles.Name",
    "FieldTable": "Roles",
    "FieldName": "Name",
    "FieldIsDerived": true,
    "IsWritableDerivedField": false,
    "IsMasked": false,
    "GrantKeyWhenReadable": "principal-process-steward|Roles"
   },
   {
    "FieldGrantId": "fg-process-steward-Roles.Label",
    "Principal": "principal-process-steward",
    "TargetField": "Roles.Label",
    "CanRead": true,
    "CanWrite": false,
    "MaskStrategy": "plain",
    "SemanticTypeIri": "urn:effortless:pko-extension#FieldGrant",
    "Name": "principal-process-steward -&gt; Roles.Label",
    "FieldTable": "Roles",
    "FieldName": "Label",
    "FieldIsDerived": false,
    "IsWritableDerivedField": false,
    "IsMasked": false,
    "GrantKeyWhenReadable": "principal-process-steward|Roles"
   },
   {
    "FieldGrantId": "fg-process-steward-Roles.Organization",
    "Principal": "principal-process-steward",
    "TargetField": "Roles.Organization",
    "CanRead": true,
    "CanWrite": false,
    "MaskStrategy": "plain",
    "SemanticTypeIri": "urn:effortless:pko-extension#FieldGrant",
    "Name": "principal-process-steward -&gt; Roles.Organization",
    "FieldTable": "Roles",
    "FieldName": "Organization",
    "FieldIsDerived": false,
    "IsWritableDerivedField": false,
    "IsMasked": false,
    "GrantKeyWhenReadable": "principal-process-steward|Roles"
   },
   {
    "FieldGrantId": "fg-process-steward-Roles.CurrentAgent",
    "Principal": "principal-process-steward",
    "TargetField": "Roles.CurrentAgent",
    "CanRead": true,
    "CanWrite": false,
    "MaskStrategy": "plain",
    "SemanticTypeIri": "urn:effortless:pko-extension#FieldGrant",
    "Name": "principal-process-steward -&gt; Roles.CurrentAgent",
    "FieldTable": "Roles",
    "FieldName": "CurrentAgent",
    "FieldIsDerived": false,
    "IsWritableDerivedField": false,
    "IsMasked": false,
    "GrantKeyWhenReadable": "principal-process-steward|Roles"
   },
   {
    "FieldGrantId": "fg-process-steward-Roles.CurrentAgentKind",
    "Principal": "principal-process-steward",
    "TargetField": "Roles.CurrentAgentKind",
    "CanRead": true,
    "CanWrite": false,
    "MaskStrategy": "plain",
    "SemanticTypeIri": "urn:effortless:pko-extension#FieldGrant",
    "Name": "principal-process-steward -&gt; Roles.CurrentAgentKind",
    "FieldTable": "Roles",
    "FieldName": "CurrentAgentKind",
    "FieldIsDerived": true,
    "IsWritableDerivedField": false,
    "IsMasked": false,
    "GrantKeyWhenReadable": "principal-process-steward|Roles"
   },
   {
    "FieldGrantId": "fg-process-steward-Roles.Responsibility",
    "Principal": "principal-process-steward",
    "TargetField": "Roles.Responsibility",
    "CanRead": true,
    "CanWrite": false,
    "MaskStrategy": "plain",
    "SemanticTypeIri": "urn:effortless:pko-extension#FieldGrant",
    "Name": "principal-process-steward -&gt; Roles.Responsibility",
    "FieldTable": "Roles",
    "FieldName": "Responsibility",
    "FieldIsDerived": false,
    "IsWritableDerivedField": false,
    "IsMasked": false,
    "GrantKeyWhenReadable": "principal-process-steward|Roles"
   },
   {
    "FieldGrantId": "fg-process-steward-Roles.ActiveAssignmentCount",
    "Principal": "principal-process-steward",
    "TargetField": "Roles.ActiveAssignmentCount",
    "CanRead": true,
    "CanWrite": false,
    "MaskStrategy": "plain",
    "SemanticTypeIri": "urn:effortless:pko-extension#FieldGrant",
    "Name": "principal-process-steward -&gt; Roles.ActiveAssignmentCount",
    "FieldTable": "Roles",
    "FieldName": "ActiveAssignmentCount",
    "FieldIsDerived": true,
    "IsWritableDerivedField": false,
    "IsMasked": false,
    "GrantKeyWhenReadable": "principal-process-steward|Roles"
   },
   {
    "FieldGrantId": "fg-process-steward-Roles.CurrentlyCoveredAssignmentCount",
    "Principal": "principal-process-steward",
    "TargetField": "Roles.CurrentlyCoveredAssignmentCount",
    "CanRead": true,
    "CanWrite": false,
    "MaskStrategy": "plain",
    "SemanticTypeIri": "urn:effortless:pko-extension#FieldGrant",
    "Name": "principal-process-steward -&gt; Roles.CurrentlyCoveredAssignmentCount",
    "FieldTable": "Roles",
    "FieldName": "CurrentlyCoveredAssignmentCount",
    "FieldIsDerived": true,
    "IsWritableDerivedField": false,
    "IsMasked": false,
    "GrantKeyWhenReadable": "principal-process-steward|Roles"
   },
   {
    "FieldGrantId": "fg-process-steward-Roles.HasNoCurrentHolder",
    "Principal": "principal-process-steward",
    "TargetField": "Roles.HasNoCurrentHolder",
    "CanRead": true,
    "CanWrite": false,
    "MaskStrategy": "plain",
    "SemanticTypeIri": "urn:effortless:pko-extension#FieldGrant",
    "Name": "principal-process-steward -&gt; Roles.HasNoCurrentHolder",
    "FieldTable": "Roles",
    "FieldName": "HasNoCurrentHolder",
    "FieldIsDerived": true,
    "IsWritableDerivedField": false,
    "IsMasked": false,
    "GrantKeyWhenReadable": "principal-process-steward|Roles"
   },
   {
    "FieldGrantId": "fg-process-steward-Roles.CountOfAwaitedDecisions",
    "Principal": "principal-process-steward",
    "TargetField": "Roles.CountOfAwaitedDecisions",
    "CanRead": true,
    "CanWrite": false,
    "MaskStrategy": "plain",
    "SemanticTypeIri": "urn:effortless:pko-extension#FieldGrant",
    "Name": "principal-process-steward -&gt; Roles.CountOfAwaitedDecisions",
    "FieldTable": "Roles",
    "FieldName": "CountOfAwaitedDecisions",
    "FieldIsDerived": true,
    "IsWritableDerivedField": false,
    "IsMasked": false,
    "GrantKeyWhenReadable": "principal-process-steward|Roles"
   },
   {
    "FieldGrantId": "fg-process-steward-Roles.CurrentAssignment",
    "Principal": "principal-process-steward",
    "TargetField": "Roles.CurrentAssignment",
    "CanRead": true,
    "CanWrite": false,
    "MaskStrategy": "plain",
    "SemanticTypeIri": "urn:effortless:pko-extension#FieldGrant",
    "Name": "principal-process</t>
  </si>
  <si>
    <t xml:space="preserve">-steward -&gt; Roles.CurrentAssignment",
    "FieldTable": "Roles",
    "FieldName": "CurrentAssignment",
    "FieldIsDerived": false,
    "IsWritableDerivedField": false,
    "IsMasked": false,
    "GrantKeyWhenReadable": "principal-process-steward|Roles"
   },
   {
    "FieldGrantId": "fg-process-steward-Roles.CurrentAssignmentValidFrom",
    "Principal": "principal-process-steward",
    "TargetField": "Roles.CurrentAssignmentValidFrom",
    "CanRead": true,
    "CanWrite": false,
    "MaskStrategy": "plain",
    "SemanticTypeIri": "urn:effortless:pko-extension#FieldGrant",
    "Name": "principal-process-steward -&gt; Roles.CurrentAssignmentValidFrom",
    "FieldTable": "Roles",
    "FieldName": "CurrentAssignmentValidFrom",
    "FieldIsDerived": true,
    "IsWritableDerivedField": false,
    "IsMasked": false,
    "GrantKeyWhenReadable": "principal-process-steward|Roles"
   },
   {
    "FieldGrantId": "fg-process-steward-Roles.IsNonHumanHeld",
    "Principal": "principal-process-steward",
    "TargetField": "Roles.IsNonHumanHeld",
    "CanRead": true,
    "CanWrite": false,
    "MaskStrategy": "plain",
    "SemanticTypeIri": "urn:effortless:pko-extension#FieldGrant",
    "Name": "principal-process-steward -&gt; Roles.IsNonHumanHeld",
    "FieldTable": "Roles",
    "FieldName": "IsNonHumanHeld",
    "FieldIsDerived": true,
    "IsWritableDerivedField": false,
    "IsMasked": false,
    "GrantKeyWhenReadable": "principal-process-steward|Roles"
   },
   {
    "FieldGrantId": "fg-process-steward-Roles.IsUngovernedNonHumanRole",
    "Principal": "principal-process-steward",
    "TargetField": "Roles.IsUngovernedNonHumanRole",
    "CanRead": true,
    "CanWrite": false,
    "MaskStrategy": "plain",
    "SemanticTypeIri": "urn:effortless:pko-extension#FieldGrant",
    "Name": "principal-process-steward -&gt; Roles.IsUngovernedNonHumanRole",
    "FieldTable": "Roles",
    "FieldName": "IsUngovernedNonHumanRole",
    "FieldIsDerived": true,
    "IsWritableDerivedField": false,
    "IsMasked": false,
    "GrantKeyWhenReadable": "principal-process-steward|Roles"
   },
   {
    "FieldGrantId": "fg-process-steward-Roles.DepartedAssignmentCount",
    "Principal": "principal-process-steward",
    "TargetField": "Roles.DepartedAssignmentCount",
    "CanRead": true,
    "CanWrite": false,
    "MaskStrategy": "plain",
    "SemanticTypeIri": "urn:effortless:pko-extension#FieldGrant",
    "Name": "principal-process-steward -&gt; Roles.DepartedAssignmentCount",
    "FieldTable": "Roles",
    "FieldName": "DepartedAssignmentCount",
    "FieldIsDerived": true,
    "IsWritableDerivedField": false,
    "IsMasked": false,
    "GrantKeyWhenReadable": "principal-process-steward|Roles"
   },
   {
    "FieldGrantId": "fg-process-steward-Roles.HasLostAHolder",
    "Principal": "principal-process-steward",
    "TargetField": "Roles.HasLostAHolder",
    "CanRead": true,
    "CanWrite": false,
    "MaskStrategy": "plain",
    "SemanticTypeIri": "urn:effortless:pko-extension#FieldGrant",
    "Name": "principal-process-steward -&gt; Roles.HasLostAHolder",
    "FieldTable": "Roles",
    "FieldName": "HasLostAHolder",
    "FieldIsDerived": true,
    "IsWritableDerivedField": false,
    "IsMasked": false,
    "GrantKeyWhenReadable": "principal-process-steward|Roles"
   },
   {
    "FieldGrantId": "fg-process-steward-Roles.IsVacatedRole",
    "Principal": "principal-process-steward",
    "TargetField": "Roles.IsVacatedRole",
    "CanRead": true,
    "CanWrite": false,
    "MaskStrategy": "plain",
    "SemanticTypeIri": "urn:effortless:pko-extension#FieldGrant",
    "Name": "principal-process-steward -&gt; Roles.IsVacatedRole",
    "FieldTable": "Roles",
    "FieldName": "IsVacatedRole",
    "FieldIsDerived": true,
    "IsWritableDerivedField": false,
    "IsMasked": false,
    "GrantKeyWhenReadable": "principal-process-steward|Roles"
   },
   {
    "FieldGrantId": "fg-process-steward-Roles.UngroundedBoundaryCount",
    "Principal": "principal-process-steward",
    "TargetField": "Roles.UngroundedBoundaryCount",
    "CanRead": true,
    "CanWrite": false,
    "MaskStrategy": "plain",
    "SemanticTypeIri": "urn:effortless:pko-extension#FieldGrant",
    "Name": "principal-process-steward -&gt; Roles.UngroundedBoundaryCount",
    "FieldTable": "Roles",
    "FieldName": "UngroundedBoundaryCount",
    "FieldIsDerived": true,
    "IsWritableDerivedField": false,
    "IsMasked": false,
    "GrantKeyWhenReadable": "principal-process-steward|Roles"
   },
   {
    "FieldGrantId": "fg-process-steward-Roles.IsGovernedByLapsedAuthority",
    "Principal": "principal-process-steward",
    "TargetField": "Roles.IsGovernedByLapsedAuthority",
    "CanRead": true,
    "CanWrite": false,
    "MaskStrategy": "plain",
    "SemanticTypeIri": "urn:effortless:pko-extension#FieldGrant",
    "Name": "principal-process-steward -&gt; Roles.IsGovernedByLapsedAuthority",
    "FieldTable": "Roles",
    "FieldName": "IsGovernedByLapsedAuthority",
    "FieldIsDerived": true,
    "IsWritableDerivedField": false,
    "IsMasked": false,
    "GrantKeyWhenReadable": "principal-process-steward|Roles"
   },
   {
    "FieldGrantId": "fg-process-steward-Roles.UnescalatedRefusalCount",
    "Principal": "principal-process-steward",
    "TargetField": "Roles.UnescalatedRefusalCount",
    "CanRead": true,
    "CanWrite": false,
    "MaskStrategy": "plain",
    "SemanticTypeIri": "urn:effortless:pko-extension#FieldGrant",
    "Name": "principal-process-steward -&gt; Roles.UnescalatedRefusalCount",
    "FieldTable": "Roles",
    "FieldName": "UnescalatedRefusalCount",
    "FieldIsDerived": true,
    "IsWritableDerivedField": false,
    "IsMasked": false,
    "GrantKeyWhenReadable": "principal-process-steward|Roles"
   },
   {
    "FieldGrantId": "fg-process-steward-Roles.UnauthorizedEnforcementAssignmentCount",
    "Principal": "principal-process-steward",
    "TargetField": "Roles.UnauthorizedEnforcementAssignmentCount",
    "CanRead": true,
    "CanWrite": false,
    "MaskStrategy": "plain",
    "SemanticTypeIri": "urn:effortless:pko-extension#FieldGrant",
    "Name": "principal-process-steward -&gt; Roles.UnauthorizedEnforcementAssignmentCount",
    "FieldTable": "Roles",
    "FieldName": "UnauthorizedEnforcementAssignmentCount",
    "FieldIsDerived": true,
    "IsWritableDerivedField": false,
    "IsMasked": false,
    "GrantKeyWhenReadable": "principal-process-steward|Roles"
   },
   {
    "FieldGrantId": "fg-process-steward-Roles.IsUngovernedEnforcementRole",
    "Principal": "principal-process-steward",
    "TargetField": "Roles.IsUngovernedEnforcementRole",
    "CanRead": true,
    "CanWrite": false,
    "MaskStrategy": "plain",
    "SemanticTypeIri": "urn:effortless:pko-extension#FieldGrant",
    "Name": "principal-process-steward -&gt; Roles.IsUngovernedEnforcementRole",
    "FieldTable": "Roles",
    "FieldName": "IsUngovernedEnforcementRole",
    "FieldIsDerived": true,
    "IsWritableDerivedField": false,
    "IsMasked": false,
    "GrantKeyWhenReadable": "principal-process-steward|Roles"
   },
   {
    "FieldGrantId": "fg-process-steward-Roles.SemanticTypeIri",
    "Principal": "principal-process-steward",
    "TargetField": "Roles.SemanticTypeIri",
    "CanRead": true,
    "CanWrite": false,
    "MaskStrategy": "plain",
    "SemanticTypeIri": "urn:effortless:pko-extension#FieldGrant",
    "Name": "principal-process-steward -&gt; Roles.SemanticTypeIri",
    "FieldTable": "Roles",
    "FieldName": "SemanticTypeIri",
    "FieldIsDerived": false,
    "IsWritableDerivedField": false,
    "IsMasked": false,
    "GrantKeyWhenReadable": "principal-process-steward|Roles"
   },
   {
    "FieldGrantId": "fg-process-steward-RulebookFields.RulebookFieldId",
    "Principal": "principal-process-steward",
    "TargetField": "RulebookFields.RulebookFieldId",
    "CanRead": true,
    "CanWrite": false,
    "MaskStrategy": "plain",
    "SemanticTypeIri": "urn:effortless:pko-extension#FieldGrant",
    "Name": "principal-process-steward -&gt; RulebookFields.RulebookFieldId",
    "FieldTable": "RulebookFields",
    "FieldName": "RulebookFieldId",
    "FieldIsDerived": false,
    "IsWritableDerivedField": false,
    "IsMasked": false,
    "GrantKeyWhenReadable": "principal-process-steward|RulebookFields"
   },
   {
    "FieldGrantId": "fg-process-steward-RulebookFields.Name",
    "Principal": "principal-process-steward",
    "TargetField": "RulebookFields.Name",
    "CanRead": true,
    "CanWrite": false,
    "MaskStrategy": "plain",
    "SemanticTypeIri": "urn:effortless:pko-extension#FieldGrant",
    "Name": "principal-process-steward -&gt; RulebookFields.Name",
    "FieldTable": "RulebookFields",
    "FieldName": "Name",
    "FieldIsDerived": true,
    "IsWritableDerivedField": false,
    "IsMasked": false,
    "GrantKeyWhenReadable": "principal-process-steward|RulebookFields"
   },
   {
    "FieldGrantId": "fg-process-steward-RulebookFields.TargetTable",
    "Principal": "principal-process-steward",
    "TargetField": "RulebookFields.TargetTable",
    "CanRead": true,
    "CanWrite": false,
    "MaskStrategy": "plain",
    "SemanticTypeIri": "urn:effortless:pko-extension#FieldGrant",
    "Name": "principal-process-steward -&gt; RulebookFields.TargetTable",
    "FieldTable": "RulebookFields",
    "FieldName": "TargetTable",
    "FieldIsDerived": false,
    "IsWritableDerivedField": false,
    "IsMasked": false,
    "GrantKeyWhenReadable": "principal-process-steward|RulebookFields"
   },
   {
    "FieldGrantId": "fg-process-steward-RulebookFields.FieldName",
    "Principal": "principal-process-steward",
    "TargetField": "RulebookFields.FieldName",
    "CanRead": true,
    "CanWrite": false,
    "MaskStrategy": "plain",
    "SemanticTypeIri": "urn:effortless:pko-extension#FieldGrant",
    "Name": "principal-process-steward -&gt; RulebookFields.FieldName",
    "FieldTable": "RulebookFields",
    "FieldName": "FieldName",
    "FieldIsDerived": false,
    "IsWritableDerivedField": false,
    "IsMasked": false,
    "GrantKeyWhenReadable": "principal-process-steward|RulebookFields"
   },
   {
    "FieldGrantId": "fg-process-steward-RulebookFields.FieldType",
    "Principal": "principal-process-steward",
    "TargetField": "RulebookFields.FieldType",
    "CanRead": true,
    "CanWrite": false,
    "MaskStrategy": "plain",
    "SemanticTypeIri": "urn:effortless:pko-extension#FieldGrant",
    "Name": "principal-process-steward -&gt; RulebookFields.FieldType",
    "FieldTable": "RulebookFields",
    "FieldName": "FieldType",
    "FieldIsDerived": false,
    "IsWritableDerivedField": false,
    "IsMasked": false,
    "GrantKeyWhenReadable": "principal-process-steward|RulebookFields"
   },
   {
    "FieldGrantId": "fg-process-steward-RulebookFields.Datatype",
    "Principal": "principal-process-steward",
    "TargetField": "RulebookFields.Datatype",
    "CanRead": true,
    "CanWrite": false,
    "MaskStrategy": "plain",
    "SemanticTypeIri": "urn:effortless:pko-extension#FieldGrant",
    "Name": "principal-process-steward -&gt; RulebookFields.Datatype",
    "FieldTable": "RulebookFields",
    "FieldName": "Datatype",
    "FieldIsDerived": false,
    "IsWritableDerivedField": false,
    "IsMasked": false,
    "GrantKeyWhenReadable": "principal-process-steward|RulebookFields"
   },
   {
    "FieldGrantId": "fg-process-steward-RulebookFields.Formula",
    "Principal": "principal-process-steward",
    "TargetField": "RulebookFields.Formula",
    "CanRead": true,
    "CanWrite": false,
    "MaskStrategy": "plain",
    "SemanticTypeIri": "urn:effortless:pko-extension#FieldGrant",
    "Name": "principal-process-steward -&gt; RulebookFields.Formula",
    "FieldTable": "RulebookFields",
    "FieldName": "Formula",
    "FieldIsDerived": false,
    "IsWritableDerivedField": false,
    "IsMasked": false,
    "GrantKeyWhenReadable": "principal-process-steward|RulebookFields"
   },
   {
    "FieldGrantId": "fg-process-steward-RulebookFields.InventedForQuestion",
    "Principal": "principal-process-steward",
    "TargetField": "RulebookFields.InventedForQuestion",
    "CanRead": true,
    "CanWrite": false,
    "MaskStrategy": "plain",
    "SemanticTypeIri": "urn:effortless:pko-extension#FieldGrant",
    "Name": "principal-process-steward -&gt; RulebookFields.InventedForQuestion",
    "FieldTable": "RulebookFields",
    "FieldName": "InventedForQuestion",
    "FieldIsDerived": false,
    "IsWritableDerivedField": false,
    "IsMasked": false,
    "GrantKeyWhenReadable": "principal-process-steward|RulebookFields"
   },
   {
    "FieldGrantId": "fg-process-steward-RulebookFields.IsDerived",
    "Principal": "principal-process-steward",
    "TargetField": "RulebookFields.IsDerived",
    "CanRead": true,
    "CanWrite": false,
    "MaskStrategy": "plain",
    "SemanticTypeIri": "urn:effortless:pko-extension#FieldGrant",
    "Name": "principal-process-steward -&gt; RulebookFields.IsDerived",
    "FieldTable": "RulebookFields",
    "FieldName": "IsDerived",
    "FieldIsDerived": true,
    "IsWritableDerivedField": false,
    "IsMasked": false,
    "GrantKeyWhenReadable": "principal-process-steward|RulebookFields"
   },
   {
    "FieldGrantId": "fg-process-steward-RulebookFields.IsWitness",
    "Principal": "principal-process-steward",
    "TargetField": "RulebookFields.IsWitness",
    "CanRead": true,
    "CanWrite": false,
    "MaskStrategy": "plain",
    "SemanticTypeIri": "urn:effortless:pko-extension#FieldGrant",
    "Name": "principal-process-steward -&gt; RulebookFields.IsWitness",
    "FieldTable": "RulebookFields",
    "FieldName": "IsWitness",
    "FieldIsDerived": true,
    "IsWritableDerivedField": false,
    "IsMasked": false,
    "GrantKeyWhenReadable": "principal-process-steward|RulebookFields"
   },
   {
    "FieldGrantId": "fg-process-steward-RulebookFields.SemanticTypeIri",
    "Principal": "principal-process-steward",
    "TargetField": "RulebookFields.SemanticTypeIri",
    "CanRead": true,
    "CanWrite": false,
    "MaskStrategy": "plain",
    "SemanticTypeIri": "urn:effortless:pko-extension#FieldGrant",
    "Name": "principal-process-steward -&gt; RulebookFields.SemanticTypeIri",
    "FieldTable": "RulebookFields",
    "FieldName": "SemanticTypeIri",
    "FieldIsDerived": false,
    "IsWritableDerivedField": false,
    "IsMasked": false,
    "GrantKeyWhenReadable": "principal-process-steward|RulebookFields"
   },
   {
    "FieldGrantId": "fg-process-steward-RulebookReleases.RulebookReleaseId",
    "Principal": "principal-process-steward",
    "TargetField": "RulebookReleases.RulebookReleaseId",
    "CanRead": true,
    "CanWrite": false,
    "MaskStrategy": "plain",
    "SemanticTypeIri": "urn:effortless:pko-extension#FieldGrant",
    "Name": "principal-process-steward -&gt; RulebookReleases.RulebookReleaseId",
    "FieldTable": "RulebookReleases",
    "FieldName": "RulebookReleaseId",
    "FieldIsDerived": false,
    "IsWritableDerivedField": false,
    "IsMasked": false,
    "GrantKeyWhenReadable": "principal-process-steward|RulebookReleases"
   },
   {
    "FieldGrantId": "fg-process-steward-RulebookReleases.Name",
    "Principal": "principal-process-steward",
    "TargetField": "RulebookReleases.Name",
    "CanRead": true,
    "CanWrite": false,
    "MaskStrategy": "plain",
    "SemanticTypeIri": "urn:effortless:pko-extension#FieldGrant",
    "Name": "principal-process-steward -&gt; RulebookReleases.Name",
    "FieldTable": "RulebookReleases",
    "FieldName": "Name",
    "FieldIsDerived": true,
    "IsWritableDerivedField": false,
    "IsMasked": false,
    "GrantKeyWhenReadable": "principal-process-steward|RulebookReleases"
   },
   {
    "FieldGrantId": "fg-process-steward-RulebookReleases.RulebookVersion",
    "Principal": "principal-process-steward",
    "TargetField": "RulebookReleases.RulebookVersion",
    "CanRead": true,
    "CanWrite": false,
    "MaskStrategy": "plain",
    "SemanticTypeIri": "urn:effortless:pko-extension#FieldGrant",
    "Name": "principal-process-steward -&gt; RulebookReleases.RulebookVersion",
    "FieldTable": "RulebookReleases",
    "FieldName": "RulebookVersion",
    "FieldIsDerived": false,
    "IsWritableDerivedField": false,
    "IsMasked": false,
    "GrantKeyWhenReadable": "principal-process-steward|RulebookReleases"
   },
   {
    "FieldGrantId": "fg-process-steward-RulebookReleases.ProfileVersion",
    "Principal": "principal-process-steward",
    "TargetField": "RulebookReleases.ProfileVersion",
    "CanRead": true,
    "CanWrite": false,
    "MaskStrategy": "plain",
    "SemanticTypeIri": "urn:effortless:pko-extension#FieldGrant",
    "Name": "principal-process-steward -&gt; RulebookReleases.ProfileVersion",
    "FieldTable": "RulebookReleases",
    "FieldName": "ProfileVersion",
    "FieldIsDerived": false,
    "IsWritableDerivedField": false,
    "IsMasked": false,
    "GrantKeyWhenReadable": "principal-process-steward|RulebookReleases"
   },
   {
    "FieldGrantId": "fg-process-steward-RulebookReleases.ProfileSchemaPath",
    "Principal": "principal-process-steward",
    "TargetField": "RulebookReleases.ProfileSchemaPath",
    "CanRead": true,
    "CanWrite": false,
    "MaskStrategy": "plain",
    "SemanticTypeIri": "urn:effortless:pko-extension#FieldGrant",
    "Name": "principal-process-steward -&gt; RulebookReleases.ProfileSchemaPath",
    "FieldTable": "RulebookReleases",
    "FieldName": "ProfileSchemaPath",
    "FieldIsDerived": false,
    "IsWritableDerivedField": false,
    "IsMasked": false,
    "GrantKeyWhenReadable": "principal-process-steward|RulebookReleases"
   },
   {
    "FieldGrantId": "fg-process-steward-RulebookReleases.PkoCoreVersionIri",
    "Principal": "principal-process-steward",
    "TargetField": "RulebookReleases.PkoCoreVersionIri",
    "CanRead": true,
    "CanWrite": false,
    "MaskStrategy": "plain",
    "SemanticTypeIri": "urn:effortless:pko-extension#FieldGrant",
    "Name": "principal-process-steward -&gt; RulebookReleases.PkoCoreVersionIri",
    "FieldTable": "RulebookReleases",
    "FieldName": "PkoCoreVersionIri",
    "FieldIsDerived": false,
    "IsWritableDerivedField": false,
    "IsMasked": false,
    "GrantKeyWhenReadable": "principal-process-steward|RulebookReleases"
   },
   {
    "FieldGrantId": "fg-process-steward-RulebookReleases.PkoIndustryVersionIri",
    "Principal": "principal-process-steward",
    "TargetField": "RulebookReleases.PkoIndustryVersionIri",
    "CanRead": true,
    "CanWrite": false,
    "MaskStrategy": "plain",
    "SemanticTypeIri": "urn:effortless:pko-extension#FieldGrant",
    "Name": "principal-process-steward -&gt; RulebookReleases.PkoIndustryVersionIri",
    "FieldTable": "RulebookReleases",
    "FieldName": "PkoIndustryVersionIri",
    "FieldIsDerived": false,
    "IsWritableDerivedField": false,
    "IsMasked": false,
    "GrantKeyWhenReadable": "principal-process-steward|RulebookReleases"
   },
   {
    "FieldGrantId": "fg-process-steward-RulebookReleases.IssuedAt",
    "Principal": "principal-process-steward",
    "TargetField": "RulebookReleases.IssuedAt",
    "CanRead": true,
    "CanWrite": false,
    "MaskStrategy": "plain",
    "SemanticTypeIri": "urn:effortless:pko-extension#FieldGrant",
    "Name": "principal-process-steward -&gt; RulebookReleases.IssuedAt",
    "FieldTable": "RulebookReleases",
    "FieldName": "IssuedAt",
    "FieldIsDerived": false,
    "IsWritableDerivedField": false,
    "IsMasked": false,
    "GrantKeyWhenReadable": "principal-process-steward|RulebookReleases"
   },
   {
    "FieldGrantId": "fg-process-steward-RulebookReleases.Status",
    "Principal": "principal-process-steward",
    "TargetField": "RulebookReleases.Status",
    "CanRead": true,
    "CanWrite": false,
    "MaskStrategy": "plain",
    "SemanticTypeIri": "urn:effortless:pko-extension#FieldGrant",
    "Name": "principal-process-steward -&gt; RulebookReleases.Status",
    "FieldTable": "RulebookReleases",
    "FieldName": "Status",
    "FieldIsDerived": false,
    "IsWritableDerivedField": false,
    "IsMasked": false,
    "GrantKeyWhenReadable": "principal-process-steward|RulebookReleases"
   },
   {
    "FieldGrantId": "fg-process-steward-RulebookReleases.Changelog",
    "Principal": "principal-process-steward",
    "TargetField": "RulebookReleases.Changelog",
    "CanRead": true,
    "CanWrite": false,
    "MaskStrategy": "plain",
    "SemanticTypeIri": "urn:effortless:pko-extension#FieldGrant",
    "Name": "principal-process-steward -&gt; RulebookReleases.Changelog",
    "FieldTable": "RulebookReleases",
    "FieldName": "Changelog",
    "FieldIsDerived": false,
    "IsWritableDerivedField": false,
    "IsMasked": false,
    "GrantKeyWhenReadable": "principal-process-steward|RulebookReleases"
   },
   {
    "FieldGrantId": "fg-process-steward-RulebookReleases.IsCurrent",
    "Principal": "principal-process-steward",
    "TargetField": "RulebookReleases.IsCurrent",
    "CanRead": true,
    "CanWrite": false,
    "MaskStrategy": "plain",
    "SemanticTypeIri": "urn:effortless:pko-extension#FieldGrant",
    "Name": "principal-process-steward -&gt; RulebookReleases.IsCurrent",
    "FieldTable": "RulebookReleases",
    "FieldName": "IsCurrent",
    "FieldIsDerived": false,
    "IsWritableDerivedField": false,
    "IsMasked": false,
    "GrantKeyWhenReadable": "principal-process-steward|RulebookReleases"
   },
   {
    "FieldGrantId": "fg-process-steward-SemanticMappings.SemanticMappingId",
    "Principal": "principal-process-steward",
    "TargetField": "SemanticMappings.SemanticMappingId",
    "CanRead": true,
    "CanWrite": false,
    "MaskStrategy": "plain",
    "SemanticTypeIri": "urn:effortless:pko-extension#FieldGrant",
    "Name": "principal-process-steward -&gt; SemanticMappings.SemanticMappingId",
    "FieldTable": "SemanticMappings",
    "FieldName": "SemanticMappingId",
    "FieldIsDerived": false,
    "IsWritableDerivedField": false,
    "IsMasked": false,
    "GrantKeyWhenReadable": "principal-process-steward|SemanticMappings"
   },
   {
    "FieldGrantId": "fg-process-steward-SemanticMappings.Name",
    "Principal": "principal-process-steward",
    "TargetField": "SemanticMappings.Name",
    "CanRead": true,
    "CanWrite": false,
    "MaskStrategy": "plain",
    "SemanticTypeIri": "urn:effortless:pko-extension#FieldGrant",
    "Name": "principal-process-steward -&gt; SemanticMappings.Name",
    "FieldTable": "SemanticMappings",
    "FieldName": "Name",
    "FieldIsDerived": true,
    "IsWritableDerivedField": false,
    "IsMasked": false,
    "GrantKeyWhenReadable": "principal-process-steward|SemanticMappings"
   },
   {
    "FieldGrantId": "fg-process-steward-SemanticMappings.SourcePath",
    "Principal": "principal-process-steward",
    "TargetField": "SemanticMappings.SourcePath",
    "CanRead": true,
    "CanWrite": false,
    "MaskStrategy": "plain",
    "SemanticTypeIri": "urn:effortless:pko-extension#FieldGrant",
    "Name": "principal-process-steward -&gt; SemanticMappings.SourcePath",
    "FieldTable": "SemanticMappings",
    "FieldName": "SourcePath",
    "FieldIsDerived": false,
    "IsWritableDerivedField": false,
    "IsMasked": false,
    "GrantKeyWhenReadable": "principal-process-steward|SemanticMappings"
   },
   {
    "FieldGrantId": "fg-process-steward-SemanticMappings.MappingKind",
    "Principal": "principal-process-steward",
    "TargetField": "SemanticMappings.MappingKind",
    "CanRead": true,
    "CanWrite": false,
    "MaskStrategy": "plain",
    "SemanticTypeIri": "urn:effortless:pko-extension#FieldGrant",
    "Name": "principal-process-steward -&gt; SemanticMappings.MappingKind",
    "FieldTable": "SemanticMappings",
    "FieldName": "MappingKind",
    "FieldIsDerived": false,
    "IsWritableDerivedField": false,
    "IsMasked": false,
    "GrantKeyWhenReadable": "principal-process-steward|SemanticMappings"
   },
   {
    "FieldGrantId": "fg-process-steward-SemanticMappings.TargetIri",
    "Principal": "principal-process-steward",
    "TargetField": "SemanticMappings.TargetIri",
    "CanRead": true,
    "CanWrite": false,
    "MaskStrategy": "plain",
    "SemanticTypeIri": "urn:effortless:pko-extension#FieldGrant",
    "Name": "principal-process-steward -&gt; SemanticMappings.TargetIri",
    "FieldTable": "SemanticMappings",
    "FieldName": "TargetIri",
    "FieldIsDerived": false,
    "IsWritableDerivedField": false,
    "IsMasked": false,
    "GrantKeyWhenReadable": "principal-process-steward|SemanticMappings"
   },
   {
    "FieldGrantId": "fg-process-steward-SemanticMappings.MappingRelation",
    "Principal": "principal-process-steward",
    "TargetField": "SemanticMappings.MappingRelation",
    "CanRead": true,
    "CanWrite": false,
    "MaskStrategy": "plain",
    "SemanticTypeIri": "urn:effortless:pko-extension#FieldGrant",
    "Name": "principal-process-steward -&gt; SemanticMappings.MappingRelation",
    "FieldTable": "SemanticMappings",
    "FieldName": "MappingRelation",
    "FieldIsDerived": false,
    "IsWritableDerivedField": false,
    "IsMasked": false,
    "GrantKeyWhenReadable": "principal-process-steward|SemanticMappings"
   },
   {
    "FieldGrantId": "fg-process-steward-SemanticMappings.OntologyProfile",
    "Principal": "principal-process-steward",
    "TargetField": "SemanticMappings.OntologyProfile",
    "CanRead": true,
    "CanWrite": false,
    "MaskStrategy": "plain",
    "SemanticTypeIri": "urn:effortless:pko-extension#FieldGrant",
    "Name": "principal-process-steward -&gt; SemanticMappings.OntologyProfile",
    "FieldTable": "SemanticMappings",
    "FieldName": "OntologyProfile",
    "FieldIsDerived": false,
    "IsWritableDerivedField": false,
    "IsMasked": false,
    "GrantKeyWhenReadable": "principal-process-steward|SemanticMappings"
   },
   {
    "FieldGrantId": "fg-process-steward-SemanticMappings.Notes",
    "Principal": "principal-process-steward",
    "TargetField": "SemanticMappings.Notes",
    "CanRead": true,
    "CanWrite": false,
    "MaskStrategy": "plain",
    "SemanticTypeIri": "urn:effortless:pko-extension#FieldGrant",
    "Name": "principal-process-steward -&gt; SemanticMappings.Notes",
    "FieldTable": "SemanticMappings",
    "FieldName": "Notes",
    "FieldIsDerived": false,
    "IsWritableDerivedField": false,
    "IsMasked": false,
    "GrantKeyWhenReadable": "principal-process-steward|SemanticMappings"
   },
   {
    "FieldGrantId": "fg-process-steward-SendIntents.SendIntentId",
    "Principal": "principal-process-steward",
    "TargetField": "SendIntents.SendIntentId",
    "CanRead": true,
    "CanWrite": false,
    "MaskStrategy": "plain",
    "SemanticTypeIri": "urn:effortless:pko-extension#FieldGrant",
    "Name": "principal-process-steward -&gt; SendIntents.SendIntentId",
    "FieldTable": "SendIntents",
    "FieldName": "SendIntentId",
    "FieldIsDerived": false,
    "IsWritableDerivedField": false,
    "IsMasked": false,
    "GrantKeyWhenReadable": "principal-process-steward|SendIntents"
   },
   {
    "FieldGrantId": "fg-process-steward-SendIntents.Name",
    "Principal": "principal-process-steward",
    "TargetField": "SendIntents.Name",
    "CanRead": true,
    "CanWrite": false,
    "MaskStrategy": "plain",
    "SemanticTypeIri": "urn:effortless:pko-extension#FieldGrant",
    "Name": "principal-process-steward -&gt; SendIntents.Name",
    "FieldTable": "SendIntents",
    "FieldName": "Name",
    "FieldIsDerived": true,
    "IsWritableDerivedField": false,
    "IsMasked": false,
    "GrantKeyWhenReadable": "principal-process-steward|SendIntents"
   },
   {
    "FieldGrantId": "fg-process-steward-SendIntents.ProcedureExecution",
    "Principal": "principal-process-steward",
    "TargetField": "SendIntents.ProcedureExecution",
    "CanRead": true,
    "CanWrite": false,
    "MaskStrategy": "plain",
    "SemanticTypeIri": "urn:effortless:pko-extension#FieldGrant",
    "Name": "principal-process-steward -&gt; SendIntents.ProcedureExecution",
    "FieldTable": "SendIntents",
    "FieldName": "ProcedureExecution",
    "FieldIsDerived": false,
    "IsWritableDerivedField": false,
    "IsMasked": false,
    "GrantKeyWhenReadable": "principal-process-steward|SendIntents"
   },
   {
    "FieldGrantId": "fg-process-steward-SendIntents.StepExecution",
    "Principal": "principal-process-steward",
    "TargetField": "SendIntents.StepExecution",
    "CanRead": true,
    "CanWrite": false,
    "MaskStrategy": "plain",
    "SemanticTypeIri": "urn:effortless:pko-extension#FieldGrant",
    "Name": "principal-process-steward -&gt; SendIntents.StepExecution",
    "FieldTable": "SendIntents",
    "FieldName": "StepExecution",
    "FieldIsDerived": false,
    "IsWritableDerivedField": false,
    "IsMasked": false,
    "GrantKeyWhenReadable": "principal-process-steward|SendIntents"
   },
   {
    "FieldGrantId": "fg-process-steward-SendIntents.Recipient",
    "Principal": "principal-process-steward",
    "TargetField": "SendIntents.Recipient",
    "CanRead": true,
    "CanWrite": false,
    "MaskStrategy": "plain",
    "SemanticTypeIri": "urn:effortless:pko-extension#FieldGrant",
    "Name": "principal-process-steward -&gt; SendIntents.Recipient",
    "FieldTable": "SendIntents",
    "FieldName": "Recipient",
    "FieldIsDerived": false,
    "IsWritableDerivedField": false,
    "IsMasked": false,
    "GrantKeyWhenReadable": "principal-process-steward|SendIntents"
   },
   {
    "FieldGrantId": "fg-process-steward-SendIntents.MessageTemplate",
    "Principal": "principal-process-steward",
    "TargetField": "SendIntents.MessageTemplate",
    "CanRead": true,
    "CanWrite": false,
    "MaskStrategy": "plain",
    "SemanticTypeIri": "urn:effortless:pko-extension#FieldGrant",
    "Name": "principal-process-steward -&gt; SendIntents.MessageTemplate",
    "FieldTable": "SendIntents",
    "FieldName": "MessageTemplate",
    "FieldIsDerived": false,
    "IsWritableDerivedField": false,
    "IsMasked": false,
    "GrantKeyWhenReadable": "principal-process-steward|SendIntents"
   },
   {
    "FieldGrantId": "fg-process-steward-SendIntents.ProposedBody",
    "Principal": "principal-process-steward",
    "TargetField": "SendIntents.ProposedBody",
    "CanRead": true,
    "CanWrite": false,
    "MaskStrategy": "plain",
    "SemanticTypeIri": "urn:effortless:pko-extension#FieldGrant",
    "Name": "principal-process-steward -&gt; SendIntents.ProposedBody",
    "FieldTable": "SendIntents",
    "FieldName": "ProposedBody",
    "FieldIsDerived": false,
    "IsWritableDerivedField": false,
    "IsMasked": false,
    "GrantKeyWhenReadable": "principal-process-steward|SendIntents"
   },
   {
    "FieldGrantId": "fg-process-steward-SendIntents.ProposedSendAtLocalHour",
    "Principal": "principal-process-steward",
    "TargetField": "SendIntents.ProposedSendAtLocalHour",
    "CanRead": true,
    "CanWrite": false,
    "MaskStrategy": "plain",
    "SemanticTypeIri": "urn:effortless:pko-extension#FieldGrant",
    "Name": "principal-process-steward -&gt; SendIntents.ProposedSendAtLocalHour",
    "FieldTable": "SendIntents",
    "FieldName": "ProposedSendAtLocalHour",
    "FieldIsDerived": false,
    "IsWritableDerivedField": false,
    "IsMasked": false,
    "GrantKeyWhenReadable": "principal-process-steward|SendIntents"
   },
   {
    "FieldGrantId": "fg-process-steward-SendIntents.EvaluatedAt",
    "Principal": "principal-process-steward",
    "TargetField": "SendIntents.EvaluatedAt",
    "CanRead": true,
    "CanWrite": false,
    "MaskStrategy": "plain",
    "SemanticTypeIri": "urn:effortless:pko-extension#FieldGrant",
    "Name": "principal-process-steward -&gt; SendIntents.EvaluatedAt",
    "FieldTable": "SendIntents",
    "FieldName": "EvaluatedAt",
    "FieldIsDerived": false,
    "IsWritableDerivedField": false,
    "IsMasked": false,
    "GrantKeyWhenReadable": "principal-process-steward|SendIntents"
   },
   {
    "FieldGrantId": "fg-process-steward-SendIntents.ResultingDelivery",
    "Principal": "principal-process-steward",
    "TargetField": "SendIntents.ResultingDelivery",
    "CanRead": true,
    "CanWrite": false,
    "MaskStrategy": "plain",
    "SemanticTypeIri": "urn:effortless:pko-extension#FieldGrant",
    "Name": "principal-process-steward -&gt; SendIntents.ResultingDelivery",
    "FieldTable": "SendIntents",
    "FieldName": "ResultingDelivery",
    "FieldIsDerived": false,
    "IsWritableDerivedField": false,
    "IsMasked": false,
    "GrantKeyWhenReadable": "principal-process-steward|SendIntents"
   },
   {
    "FieldGrantId": "fg-process-steward-SendIntents.IntentPolicy",
    "Principal": "principal-process-steward",
    "TargetField": "SendIntents.IntentPolicy",
    "CanRead": true,
    "CanWrite": false,
    "MaskStrategy": "plain",
    "SemanticTypeIri": "urn:effortless:pko-extension#FieldGrant",
    "Name": "principal-process-steward -&gt; SendIntents.IntentPolicy",
    "FieldTable": "SendIntents",
    "FieldName": "IntentPolicy",
    "FieldIsDerived": true,
    "IsWritab</t>
  </si>
  <si>
    <t xml:space="preserve">leDerivedField": false,
    "IsMasked": false,
    "GrantKeyWhenReadable": "principal-process-steward|SendIntents"
   },
   {
    "FieldGrantId": "fg-process-steward-SendIntents.IntentChannel",
    "Principal": "principal-process-steward",
    "TargetField": "SendIntents.IntentChannel",
    "CanRead": true,
    "CanWrite": false,
    "MaskStrategy": "plain",
    "SemanticTypeIri": "urn:effortless:pko-extension#FieldGrant",
    "Name": "principal-process-steward -&gt; SendIntents.IntentChannel",
    "FieldTable": "SendIntents",
    "FieldName": "IntentChannel",
    "FieldIsDerived": true,
    "IsWritableDerivedField": false,
    "IsMasked": false,
    "GrantKeyWhenReadable": "principal-process-steward|SendIntents"
   },
   {
    "FieldGrantId": "fg-process-steward-SendIntents.PolicyIsActive",
    "Principal": "principal-process-steward",
    "TargetField": "SendIntents.PolicyIsActive",
    "CanRead": true,
    "CanWrite": false,
    "MaskStrategy": "plain",
    "SemanticTypeIri": "urn:effortless:pko-extension#FieldGrant",
    "Name": "principal-process-steward -&gt; SendIntents.PolicyIsActive",
    "FieldTable": "SendIntents",
    "FieldName": "PolicyIsActive",
    "FieldIsDerived": true,
    "IsWritableDerivedField": false,
    "IsMasked": false,
    "GrantKeyWhenReadable": "principal-process-steward|SendIntents"
   },
   {
    "FieldGrantId": "fg-process-steward-SendIntents.IntentRequiresConsent",
    "Principal": "principal-process-steward",
    "TargetField": "SendIntents.IntentRequiresConsent",
    "CanRead": true,
    "CanWrite": false,
    "MaskStrategy": "plain",
    "SemanticTypeIri": "urn:effortless:pko-extension#FieldGrant",
    "Name": "principal-process-steward -&gt; SendIntents.IntentRequiresConsent",
    "FieldTable": "SendIntents",
    "FieldName": "IntentRequiresConsent",
    "FieldIsDerived": true,
    "IsWritableDerivedField": false,
    "IsMasked": false,
    "GrantKeyWhenReadable": "principal-process-steward|SendIntents"
   },
   {
    "FieldGrantId": "fg-process-steward-SendIntents.RecipientHasChannelConsent",
    "Principal": "principal-process-steward",
    "TargetField": "SendIntents.RecipientHasChannelConsent",
    "CanRead": true,
    "CanWrite": false,
    "MaskStrategy": "plain",
    "SemanticTypeIri": "urn:effortless:pko-extension#FieldGrant",
    "Name": "principal-process-steward -&gt; SendIntents.RecipientHasChannelConsent",
    "FieldTable": "SendIntents",
    "FieldName": "RecipientHasChannelConsent",
    "FieldIsDerived": true,
    "IsWritableDerivedField": false,
    "IsMasked": false,
    "GrantKeyWhenReadable": "principal-process-steward|SendIntents"
   },
   {
    "FieldGrantId": "fg-process-steward-SendIntents.ConsentGatePassed",
    "Principal": "principal-process-steward",
    "TargetField": "SendIntents.ConsentGatePassed",
    "CanRead": true,
    "CanWrite": false,
    "MaskStrategy": "plain",
    "SemanticTypeIri": "urn:effortless:pko-extension#FieldGrant",
    "Name": "principal-process-steward -&gt; SendIntents.ConsentGatePassed",
    "FieldTable": "SendIntents",
    "FieldName": "ConsentGatePassed",
    "FieldIsDerived": true,
    "IsWritableDerivedField": false,
    "IsMasked": false,
    "GrantKeyWhenReadable": "principal-process-steward|SendIntents"
   },
   {
    "FieldGrantId": "fg-process-steward-SendIntents.RecipientIsSmsReachable",
    "Principal": "principal-process-steward",
    "TargetField": "SendIntents.RecipientIsSmsReachable",
    "CanRead": true,
    "CanWrite": false,
    "MaskStrategy": "plain",
    "SemanticTypeIri": "urn:effortless:pko-extension#FieldGrant",
    "Name": "principal-process-steward -&gt; SendIntents.RecipientIsSmsReachable",
    "FieldTable": "SendIntents",
    "FieldName": "RecipientIsSmsReachable",
    "FieldIsDerived": true,
    "IsWritableDerivedField": false,
    "IsMasked": false,
    "GrantKeyWhenReadable": "principal-process-steward|SendIntents"
   },
   {
    "FieldGrantId": "fg-process-steward-SendIntents.RecipientIsEmailReachable",
    "Principal": "principal-process-steward",
    "TargetField": "SendIntents.RecipientIsEmailReachable",
    "CanRead": true,
    "CanWrite": false,
    "MaskStrategy": "plain",
    "SemanticTypeIri": "urn:effortless:pko-extension#FieldGrant",
    "Name": "principal-process-steward -&gt; SendIntents.RecipientIsEmailReachable",
    "FieldTable": "SendIntents",
    "FieldName": "RecipientIsEmailReachable",
    "FieldIsDerived": true,
    "IsWritableDerivedField": false,
    "IsMasked": false,
    "GrantKeyWhenReadable": "principal-process-steward|SendIntents"
   },
   {
    "FieldGrantId": "fg-process-steward-SendIntents.ReachabilityGatePassed",
    "Principal": "principal-process-steward",
    "TargetField": "SendIntents.ReachabilityGatePassed",
    "CanRead": true,
    "CanWrite": false,
    "MaskStrategy": "plain",
    "SemanticTypeIri": "urn:effortless:pko-extension#FieldGrant",
    "Name": "principal-process-steward -&gt; SendIntents.ReachabilityGatePassed",
    "FieldTable": "SendIntents",
    "FieldName": "ReachabilityGatePassed",
    "FieldIsDerived": true,
    "IsWritableDerivedField": false,
    "IsMasked": false,
    "GrantKeyWhenReadable": "principal-process-steward|SendIntents"
   },
   {
    "FieldGrantId": "fg-process-steward-SendIntents.PermissionGatePassed",
    "Principal": "principal-process-steward",
    "TargetField": "SendIntents.PermissionGatePassed",
    "CanRead": true,
    "CanWrite": false,
    "MaskStrategy": "plain",
    "SemanticTypeIri": "urn:effortless:pko-extension#FieldGrant",
    "Name": "principal-process-steward -&gt; SendIntents.PermissionGatePassed",
    "FieldTable": "SendIntents",
    "FieldName": "PermissionGatePassed",
    "FieldIsDerived": true,
    "IsWritableDerivedField": false,
    "IsMasked": false,
    "GrantKeyWhenReadable": "principal-process-steward|SendIntents"
   },
   {
    "FieldGrantId": "fg-process-steward-SendIntents.IntentQuietStartHour",
    "Principal": "principal-process-steward",
    "TargetField": "SendIntents.IntentQuietStartHour",
    "CanRead": true,
    "CanWrite": false,
    "MaskStrategy": "plain",
    "SemanticTypeIri": "urn:effortless:pko-extension#FieldGrant",
    "Name": "principal-process-steward -&gt; SendIntents.IntentQuietStartHour",
    "FieldTable": "SendIntents",
    "FieldName": "IntentQuietStartHour",
    "FieldIsDerived": true,
    "IsWritableDerivedField": false,
    "IsMasked": false,
    "GrantKeyWhenReadable": "principal-process-steward|SendIntents"
   },
   {
    "FieldGrantId": "fg-process-steward-SendIntents.IntentQuietEndHour",
    "Principal": "principal-process-steward",
    "TargetField": "SendIntents.IntentQuietEndHour",
    "CanRead": true,
    "CanWrite": false,
    "MaskStrategy": "plain",
    "SemanticTypeIri": "urn:effortless:pko-extension#FieldGrant",
    "Name": "principal-process-steward -&gt; SendIntents.IntentQuietEndHour",
    "FieldTable": "SendIntents",
    "FieldName": "IntentQuietEndHour",
    "FieldIsDerived": true,
    "IsWritableDerivedField": false,
    "IsMasked": false,
    "GrantKeyWhenReadable": "principal-process-steward|SendIntents"
   },
   {
    "FieldGrantId": "fg-process-steward-SendIntents.IntentPolicyHasQuietHours",
    "Principal": "principal-process-steward",
    "TargetField": "SendIntents.IntentPolicyHasQuietHours",
    "CanRead": true,
    "CanWrite": false,
    "MaskStrategy": "plain",
    "SemanticTypeIri": "urn:effortless:pko-extension#FieldGrant",
    "Name": "principal-process-steward -&gt; SendIntents.IntentPolicyHasQuietHours",
    "FieldTable": "SendIntents",
    "FieldName": "IntentPolicyHasQuietHours",
    "FieldIsDerived": true,
    "IsWritableDerivedField": false,
    "IsMasked": false,
    "GrantKeyWhenReadable": "principal-process-steward|SendIntents"
   },
   {
    "FieldGrantId": "fg-process-steward-SendIntents.IntentQuietWindowWraps",
    "Principal": "principal-process-steward",
    "TargetField": "SendIntents.IntentQuietWindowWraps",
    "CanRead": true,
    "CanWrite": false,
    "MaskStrategy": "plain",
    "SemanticTypeIri": "urn:effortless:pko-extension#FieldGrant",
    "Name": "principal-process-steward -&gt; SendIntents.IntentQuietWindowWraps",
    "FieldTable": "SendIntents",
    "FieldName": "IntentQuietWindowWraps",
    "FieldIsDerived": true,
    "IsWritableDerivedField": false,
    "IsMasked": false,
    "GrantKeyWhenReadable": "principal-process-steward|SendIntents"
   },
   {
    "FieldGrantId": "fg-process-steward-SendIntents.IntentIsInsideQuietWindow",
    "Principal": "principal-process-steward",
    "TargetField": "SendIntents.IntentIsInsideQuietWindow",
    "CanRead": true,
    "CanWrite": false,
    "MaskStrategy": "plain",
    "SemanticTypeIri": "urn:effortless:pko-extension#FieldGrant",
    "Name": "principal-process-steward -&gt; SendIntents.IntentIsInsideQuietWindow",
    "FieldTable": "SendIntents",
    "FieldName": "IntentIsInsideQuietWindow",
    "FieldIsDerived": true,
    "IsWritableDerivedField": false,
    "IsMasked": false,
    "GrantKeyWhenReadable": "principal-process-steward|SendIntents"
   },
   {
    "FieldGrantId": "fg-process-steward-SendIntents.TimingGatePassed",
    "Principal": "principal-process-steward",
    "TargetField": "SendIntents.TimingGatePassed",
    "CanRead": true,
    "CanWrite": false,
    "MaskStrategy": "plain",
    "SemanticTypeIri": "urn:effortless:pko-extension#FieldGrant",
    "Name": "principal-process-steward -&gt; SendIntents.TimingGatePassed",
    "FieldTable": "SendIntents",
    "FieldName": "TimingGatePassed",
    "FieldIsDerived": true,
    "IsWritableDerivedField": false,
    "IsMasked": false,
    "GrantKeyWhenReadable": "principal-process-steward|SendIntents"
   },
   {
    "FieldGrantId": "fg-process-steward-SendIntents.HoursUntilWindowOpens",
    "Principal": "principal-process-steward",
    "TargetField": "SendIntents.HoursUntilWindowOpens",
    "CanRead": true,
    "CanWrite": false,
    "MaskStrategy": "plain",
    "SemanticTypeIri": "urn:effortless:pko-extension#FieldGrant",
    "Name": "principal-process-steward -&gt; SendIntents.HoursUntilWindowOpens",
    "FieldTable": "SendIntents",
    "FieldName": "HoursUntilWindowOpens",
    "FieldIsDerived": true,
    "IsWritableDerivedField": false,
    "IsMasked": false,
    "GrantKeyWhenReadable": "principal-process-steward|SendIntents"
   },
   {
    "FieldGrantId": "fg-process-steward-SendIntents.IntentMaxMessageLength",
    "Principal": "principal-process-steward",
    "TargetField": "SendIntents.IntentMaxMessageLength",
    "CanRead": true,
    "CanWrite": false,
    "MaskStrategy": "plain",
    "SemanticTypeIri": "urn:effortless:pko-extension#FieldGrant",
    "Name": "principal-process-steward -&gt; SendIntents.IntentMaxMessageLength",
    "FieldTable": "SendIntents",
    "FieldName": "IntentMaxMessageLength",
    "FieldIsDerived": true,
    "IsWritableDerivedField": false,
    "IsMasked": false,
    "GrantKeyWhenReadable": "principal-process-steward|SendIntents"
   },
   {
    "FieldGrantId": "fg-process-steward-SendIntents.IntentMaxSegments",
    "Principal": "principal-process-steward",
    "TargetField": "SendIntents.IntentMaxSegments",
    "CanRead": true,
    "CanWrite": false,
    "MaskStrategy": "plain",
    "SemanticTypeIri": "urn:effortless:pko-extension#FieldGrant",
    "Name": "principal-process-steward -&gt; SendIntents.IntentMaxSegments",
    "FieldTable": "SendIntents",
    "FieldName": "IntentMaxSegments",
    "FieldIsDerived": true,
    "IsWritableDerivedField": false,
    "IsMasked": false,
    "GrantKeyWhenReadable": "principal-process-steward|SendIntents"
   },
   {
    "FieldGrantId": "fg-process-steward-SendIntents.ProposedBodyLength",
    "Principal": "principal-process-steward",
    "TargetField": "SendIntents.ProposedBodyLength",
    "CanRead": true,
    "CanWrite": false,
    "MaskStrategy": "plain",
    "SemanticTypeIri": "urn:effortless:pko-extension#FieldGrant",
    "Name": "principal-process-steward -&gt; SendIntents.ProposedBodyLength",
    "FieldTable": "SendIntents",
    "FieldName": "ProposedBodyLength",
    "FieldIsDerived": false,
    "IsWritableDerivedField": false,
    "IsMasked": false,
    "GrantKeyWhenReadable": "principal-process-steward|SendIntents"
   },
   {
    "FieldGrantId": "fg-process-steward-SendIntents.ProposedSegmentCount",
    "Principal": "principal-process-steward",
    "TargetField": "SendIntents.ProposedSegmentCount",
    "CanRead": true,
    "CanWrite": false,
    "MaskStrategy": "plain",
    "SemanticTypeIri": "urn:effortless:pko-extension#FieldGrant",
    "Name": "principal-process-steward -&gt; SendIntents.ProposedSegmentCount",
    "FieldTable": "SendIntents",
    "FieldName": "ProposedSegmentCount",
    "FieldIsDerived": false,
    "IsWritableDerivedField": false,
    "IsMasked": false,
    "GrantKeyWhenReadable": "principal-process-steward|SendIntents"
   },
   {
    "FieldGrantId": "fg-process-steward-SendIntents.LengthGatePassed",
    "Principal": "principal-process-steward",
    "TargetField": "SendIntents.LengthGatePassed",
    "CanRead": true,
    "CanWrite": false,
    "MaskStrategy": "plain",
    "SemanticTypeIri": "urn:effortless:pko-extension#FieldGrant",
    "Name": "principal-process-steward -&gt; SendIntents.LengthGatePassed",
    "FieldTable": "SendIntents",
    "FieldName": "LengthGatePassed",
    "FieldIsDerived": true,
    "IsWritableDerivedField": false,
    "IsMasked": false,
    "GrantKeyWhenReadable": "principal-process-steward|SendIntents"
   },
   {
    "FieldGrantId": "fg-process-steward-SendIntents.IntentRequiredOptOutPhrase",
    "Principal": "principal-process-steward",
    "TargetField": "SendIntents.IntentRequiredOptOutPhrase",
    "CanRead": true,
    "CanWrite": false,
    "MaskStrategy": "plain",
    "SemanticTypeIri": "urn:effortless:pko-extension#FieldGrant",
    "Name": "principal-process-steward -&gt; SendIntents.IntentRequiredOptOutPhrase",
    "FieldTable": "SendIntents",
    "FieldName": "IntentRequiredOptOutPhrase",
    "FieldIsDerived": true,
    "IsWritableDerivedField": false,
    "IsMasked": false,
    "GrantKeyWhenReadable": "principal-process-steward|SendIntents"
   },
   {
    "FieldGrantId": "fg-process-steward-SendIntents.ProposedOptOutPosition",
    "Principal": "principal-process-steward",
    "TargetField": "SendIntents.ProposedOptOutPosition",
    "CanRead": true,
    "CanWrite": false,
    "MaskStrategy": "plain",
    "SemanticTypeIri": "urn:effortless:pko-extension#FieldGrant",
    "Name": "principal-process-steward -&gt; SendIntents.ProposedOptOutPosition",
    "FieldTable": "SendIntents",
    "FieldName": "ProposedOptOutPosition",
    "FieldIsDerived": false,
    "IsWritableDerivedField": false,
    "IsMasked": false,
    "GrantKeyWhenReadable": "principal-process-steward|SendIntents"
   },
   {
    "FieldGrantId": "fg-process-steward-SendIntents.OptOutGatePassed",
    "Principal": "principal-process-steward",
    "TargetField": "SendIntents.OptOutGatePassed",
    "CanRead": true,
    "CanWrite": false,
    "MaskStrategy": "plain",
    "SemanticTypeIri": "urn:effortless:pko-extension#FieldGrant",
    "Name": "principal-process-steward -&gt; SendIntents.OptOutGatePassed",
    "FieldTable": "SendIntents",
    "FieldName": "OptOutGatePassed",
    "FieldIsDerived": true,
    "IsWritableDerivedField": false,
    "IsMasked": false,
    "GrantKeyWhenReadable": "principal-process-steward|SendIntents"
   },
   {
    "FieldGrantId": "fg-process-steward-SendIntents.ContentGatePassed",
    "Principal": "principal-process-steward",
    "TargetField": "SendIntents.ContentGatePassed",
    "CanRead": true,
    "CanWrite": false,
    "MaskStrategy": "plain",
    "SemanticTypeIri": "urn:effortless:pko-extension#FieldGrant",
    "Name": "principal-process-steward -&gt; SendIntents.ContentGatePassed",
    "FieldTable": "SendIntents",
    "FieldName": "ContentGatePassed",
    "FieldIsDerived": true,
    "IsWritableDerivedField": false,
    "IsMasked": false,
    "GrantKeyWhenReadable": "principal-process-steward|SendIntents"
   },
   {
    "FieldGrantId": "fg-process-steward-SendIntents.TemplateIsSendable",
    "Principal": "principal-process-steward",
    "TargetField": "SendIntents.TemplateIsSendable",
    "CanRead": true,
    "CanWrite": false,
    "MaskStrategy": "plain",
    "SemanticTypeIri": "urn:effortless:pko-extension#FieldGrant",
    "Name": "principal-process-steward -&gt; SendIntents.TemplateIsSendable",
    "FieldTable": "SendIntents",
    "FieldName": "TemplateIsSendable",
    "FieldIsDerived": true,
    "IsWritableDerivedField": false,
    "IsMasked": false,
    "GrantKeyWhenReadable": "principal-process-steward|SendIntents"
   },
   {
    "FieldGrantId": "fg-process-steward-SendIntents.ExecutionHasLegalClearance",
    "Principal": "principal-process-steward",
    "TargetField": "SendIntents.ExecutionHasLegalClearance",
    "CanRead": true,
    "CanWrite": false,
    "MaskStrategy": "plain",
    "SemanticTypeIri": "urn:effortless:pko-extension#FieldGrant",
    "Name": "principal-process-steward -&gt; SendIntents.ExecutionHasLegalClearance",
    "FieldTable": "SendIntents",
    "FieldName": "ExecutionHasLegalClearance",
    "FieldIsDerived": true,
    "IsWritableDerivedField": false,
    "IsMasked": false,
    "GrantKeyWhenReadable": "principal-process-steward|SendIntents"
   },
   {
    "FieldGrantId": "fg-process-steward-SendIntents.IntentApprovalRole",
    "Principal": "principal-process-steward",
    "TargetField": "SendIntents.IntentApprovalRole",
    "CanRead": true,
    "CanWrite": false,
    "MaskStrategy": "plain",
    "SemanticTypeIri": "urn:effortless:pko-extension#FieldGrant",
    "Name": "principal-process-steward -&gt; SendIntents.IntentApprovalRole",
    "FieldTable": "SendIntents",
    "FieldName": "IntentApprovalRole",
    "FieldIsDerived": true,
    "IsWritableDerivedField": false,
    "IsMasked": false,
    "GrantKeyWhenReadable": "principal-process-steward|SendIntents"
   },
   {
    "FieldGrantId": "fg-process-steward-SendIntents.ApprovalRoleAgentKind",
    "Principal": "principal-process-steward",
    "TargetField": "SendIntents.ApprovalRoleAgentKind",
    "CanRead": true,
    "CanWrite": false,
    "MaskStrategy": "plain",
    "SemanticTypeIri": "urn:effortless:pko-extension#FieldGrant",
    "Name": "principal-process-steward -&gt; SendIntents.ApprovalRoleAgentKind",
    "FieldTable": "SendIntents",
    "FieldName": "ApprovalRoleAgentKind",
    "FieldIsDerived": true,
    "IsWritableDerivedField": false,
    "IsMasked": false,
    "GrantKeyWhenReadable": "principal-process-steward|SendIntents"
   },
   {
    "FieldGrantId": "fg-process-steward-SendIntents.ApprovalIsHuman",
    "Principal": "principal-process-steward",
    "TargetField": "SendIntents.ApprovalIsHuman",
    "CanRead": true,
    "CanWrite": false,
    "MaskStrategy": "plain",
    "SemanticTypeIri": "urn:effortless:pko-extension#FieldGrant",
    "Name": "principal-process-steward -&gt; SendIntents.ApprovalIsHuman",
    "FieldTable": "SendIntents",
    "FieldName": "ApprovalIsHuman",
    "FieldIsDerived": true,
    "IsWritableDerivedField": false,
    "IsMasked": false,
    "GrantKeyWhenReadable": "principal-process-steward|SendIntents"
   },
   {
    "FieldGrantId": "fg-process-steward-SendIntents.AuthorizationGatePassed",
    "Principal": "principal-process-steward",
    "TargetField": "SendIntents.AuthorizationGatePassed",
    "CanRead": true,
    "CanWrite": false,
    "MaskStrategy": "plain",
    "SemanticTypeIri": "urn:effortless:pko-extension#FieldGrant",
    "Name": "principal-process-steward -&gt; SendIntents.AuthorizationGatePassed",
    "FieldTable": "SendIntents",
    "FieldName": "AuthorizationGatePassed",
    "FieldIsDerived": true,
    "IsWritableDerivedField": false,
    "IsMasked": false,
    "GrantKeyWhenReadable": "principal-process-steward|SendIntents"
   },
   {
    "FieldGrantId": "fg-process-steward-SendIntents.IsClearedToSend",
    "Principal": "principal-process-steward",
    "TargetField": "SendIntents.IsClearedToSend",
    "CanRead": true,
    "CanWrite": false,
    "MaskStrategy": "plain",
    "SemanticTypeIri": "urn:effortless:pko-extension#FieldGrant",
    "Name": "principal-process-steward -&gt; SendIntents.IsClearedToSend",
    "FieldTable": "SendIntents",
    "FieldName": "IsClearedToSend",
    "FieldIsDerived": true,
    "IsWritableDerivedField": false,
    "IsMasked": false,
    "GrantKeyWhenReadable": "principal-process-steward|SendIntents"
   },
   {
    "FieldGrantId": "fg-process-steward-SendIntents.BlockingGateName",
    "Principal": "principal-process-steward",
    "TargetField": "SendIntents.BlockingGateName",
    "CanRead": true,
    "CanWrite": false,
    "MaskStrategy": "plain",
    "SemanticTypeIri": "urn:effortless:pko-extension#FieldGrant",
    "Name": "principal-process-steward -&gt; SendIntents.BlockingGateName",
    "FieldTable": "SendIntents",
    "FieldName": "BlockingGateName",
    "FieldIsDerived": true,
    "IsWritableDerivedField": false,
    "IsMasked": false,
    "GrantKeyWhenReadable": "principal-process-steward|SendIntents"
   },
   {
    "FieldGrantId": "fg-process-steward-SendIntents.HasResultingDelivery",
    "Principal": "principal-process-steward",
    "TargetField": "SendIntents.HasResultingDelivery",
    "CanRead": true,
    "CanWrite": false,
    "MaskStrategy": "plain",
    "SemanticTypeIri": "urn:effortless:pko-extension#FieldGrant",
    "Name": "principal-process-steward -&gt; SendIntents.HasResultingDelivery",
    "FieldTable": "SendIntents",
    "FieldName": "HasResultingDelivery",
    "FieldIsDerived": true,
    "IsWritableDerivedField": false,
    "IsMasked": false,
    "GrantKeyWhenReadable": "principal-process-steward|SendIntents"
   },
   {
    "FieldGrantId": "fg-process-steward-SendIntents.ResultingDeliveryWasTransmitted",
    "Principal": "principal-process-steward",
    "TargetField": "SendIntents.ResultingDeliveryWasTransmitted",
    "CanRead": true,
    "CanWrite": false,
    "MaskStrategy": "plain",
    "SemanticTypeIri": "urn:effortless:pko-extension#FieldGrant",
    "Name": "principal-process-steward -&gt; SendIntents.ResultingDeliveryWasTransmitted",
    "FieldTable": "SendIntents",
    "FieldName": "ResultingDeliveryWasTransmitted",
    "FieldIsDerived": true,
    "IsWritableDerivedField": false,
    "IsMasked": false,
    "GrantKeyWhenReadable": "principal-process-steward|SendIntents"
   },
   {
    "FieldGrantId": "fg-process-steward-SendIntents.IsOverriddenRefusal",
    "Principal": "principal-process-steward",
    "TargetField": "SendIntents.IsOverriddenRefusal",
    "CanRead": true,
    "CanWrite": false,
    "MaskStrategy": "plain",
    "SemanticTypeIri": "urn:effortless:pko-extension#FieldGrant",
    "Name": "principal-process-steward -&gt; SendIntents.IsOverriddenRefusal",
    "FieldTable": "SendIntents",
    "FieldName": "IsOverriddenRefusal",
    "FieldIsDerived": true,
    "IsWritableDerivedField": false,
    "IsMasked": false,
    "GrantKeyWhenReadable": "principal-process-steward|SendIntents"
   },
   {
    "FieldGrantId": "fg-process-steward-SendIntents.IsSilentlyDropped",
    "Principal": "principal-process-steward",
    "TargetField": "SendIntents.IsSilentlyDropped",
    "CanRead": true,
    "CanWrite": false,
    "MaskStrategy": "plain",
    "SemanticTypeIri": "urn:effortless:pko-extension#FieldGrant",
    "Name": "principal-process-steward -&gt; SendIntents.IsSilentlyDropped",
    "FieldTable": "SendIntents",
    "FieldName": "IsSilentlyDropped",
    "FieldIsDerived": true,
    "IsWritableDerivedField": false,
    "IsMasked": false,
    "GrantKeyWhenReadable": "principal-process-steward|SendIntents"
   },
   {
    "FieldGrantId": "fg-process-steward-SendIntents.ResultingDeliveryException",
    "Principal": "principal-process-steward",
    "TargetField": "SendIntents.ResultingDeliveryException",
    "CanRead": true,
    "CanWrite": false,
    "MaskStrategy": "plain",
    "SemanticTypeIri": "urn:effortless:pko-extension#FieldGrant",
    "Name": "principal-process-steward -&gt; SendIntents.ResultingDeliveryException",
    "FieldTable": "SendIntents",
    "FieldName": "ResultingDeliveryException",
    "FieldIsDerived": true,
    "IsWritableDerivedField": false,
    "IsMasked": false,
    "GrantKeyWhenReadable": "principal-process-steward|SendIntents"
   },
   {
    "FieldGrantId": "fg-process-steward-SendIntents.RefusalCitedAnException",
    "Principal": "principal-process-steward",
    "TargetField": "SendIntents.RefusalCitedAnException",
    "CanRead": true,
    "CanWrite": false,
    "MaskStrategy": "plain",
    "SemanticTypeIri": "urn:effortless:pko-extension#FieldGrant",
    "Name": "principal-process-steward -&gt; SendIntents.RefusalCitedAnException",
    "FieldTable": "SendIntents",
    "FieldName": "RefusalCitedAnException",
    "FieldIsDerived": true,
    "IsWritableDerivedField": false,
    "IsMasked": false,
    "GrantKeyWhenReadable": "principal-process-steward|SendIntents"
   },
   {
    "FieldGrantId": "fg-process-steward-SendIntents.IsProperlyHandledRefusal",
    "Principal": "principal-process-steward",
    "TargetField": "SendIntents.IsProperlyHandledRefusal",
    "CanRead": true,
    "CanWrite": false,
    "MaskStrategy": "plain",
    "SemanticTypeIri": "urn:effortless:pko-extension#FieldGrant",
    "Name": "principal-process-steward -&gt; SendIntents.IsProperlyHandledRefusal",
    "FieldTable": "SendIntents",
    "FieldName": "IsProperlyHandledRefusal",
    "FieldIsDerived": true,
    "IsWritableDerivedField": false,
    "IsMasked": false,
    "GrantKeyWhenReadable": "principal-process-steward|SendIntents"
   },
   {
    "FieldGrantId": "fg-process-steward-SendIntents.RefusalFailureExecutionKey",
    "Principal": "principal-process-steward",
    "TargetField": "SendIntents.RefusalFailureExecutionKey",
    "CanRead": true,
    "CanWrite": false,
    "MaskStrategy": "plain",
    "SemanticTypeIri": "urn:effortless:pko-extension#FieldGrant",
    "Name": "principal-process-steward -&gt; SendIntents.RefusalFailureExecutionKey",
    "FieldTable": "SendIntents",
    "FieldName": "RefusalFailureExecutionKey",
    "FieldIsDerived": true,
    "IsWritableDerivedField": false,
    "IsMasked": false,
    "GrantKeyWhenReadable": "principal-process-steward|SendIntents"
   },
   {
    "FieldGrantId": "fg-process-steward-SendIntents.IntentExecutionKey",
    "Principal": "principal-process-steward",
    "TargetField": "SendIntents.IntentExecutionKey",
    "CanRead": true,
    "CanWrite": false,
    "MaskStrategy": "plain",
    "SemanticTypeIri": "urn:effortless:pko-extension#FieldGrant",
    "Name": "principal-process-steward -&gt; SendIntents.IntentExecutionKey",
    "FieldTable": "SendIntents",
    "FieldName": "IntentExecutionKey",
    "FieldIsDerived": true,
    "IsWritableDerivedField": false,
    "IsMasked": false,
    "GrantKeyWhenReadable": "principal-process-steward|SendIntents"
   },
   {
    "FieldGrantId": "fg-process-steward-SendIntents.DeliveredIntentExecutionKey",
    "Principal": "principal-process-steward",
    "TargetField": "SendIntents.DeliveredIntentExecutionKey",
    "CanRead": true,
    "CanWrite": false,
    "MaskStrategy": "plain",
    "SemanticTypeIri": "urn:effortless:pko-extension#FieldGrant",
    "Name": "principal-process-steward -&gt; SendIntents.DeliveredIntentExecutionKey",
    "FieldTable": "SendIntents",
    "FieldName": "DeliveredIntentExecutionKey",
    "FieldIsDerived": true,
    "IsWritableDerivedField": false,
    "IsMasked": false,
    "GrantKeyWhenReadable": "principal-process-steward|SendIntents"
   },
   {
    "FieldGrantId": "fg-process-steward-SendIntents.DroppedIntentExecutionKey",
    "Principal": "principal-process-steward",
    "TargetField": "SendIntents.DroppedIntentExecutionKey",
    "CanRead": true,
    "CanWrite": false,
    "MaskStrategy": "plain",
    "SemanticTypeIri": "urn:effortless:pko-extension#FieldGrant",
    "Name": "principal-process-steward -&gt; SendIntents.DroppedIntentExecutionKey",
    "FieldTable": "SendIntents",
    "FieldName": "DroppedIntentExecutionKey",
    "FieldIsDerived": true,
    "IsWritableDerivedField": false,
    "IsMasked": false,
    "GrantKeyWhenReadable": "principal-process-steward|SendIntents"
   },
   {
    "FieldGrantId": "fg-process-steward-SendIntents.MyApprovalWasInForce",
    "Principal": "principal-process-steward",
    "TargetField": "SendIntents.MyApprovalWasInForce",
    "CanRead": true,
    "CanWrite": false,
    "MaskStrategy": "plain",
    "SemanticTypeIri": "urn:effortless:pko-extension#FieldGrant",
    "Name": "principal-process-steward -&gt; SendIntents.MyApprovalWasInForce",
    "FieldTable": "SendIntents",
    "FieldName": "MyApprovalWasInForce",
    "FieldIsDerived": true,
    "IsWritableDerivedField": false,
    "IsMasked": false,
    "GrantKeyWhenReadable": "principal-process-steward|SendIntents"
   },
   {
    "FieldGrantId": "fg-process-steward-SendIntents.RefusedOnApprovedContent",
    "Principal": "principal-process-steward",
    "TargetField": "SendIntents.RefusedOnApprovedContent",
    "CanRead": true,
    "CanWrite": false,
    "MaskStrategy": "plain",
    "SemanticTypeIri": "urn:effortless:pko-extension#FieldGrant",
    "Name": "principal-process-steward -&gt; SendIntents.RefusedOnApprovedContent",
    "FieldTable": "SendIntents",
    "FieldName": "RefusedOnApprovedContent",
    "FieldIsDerived": true,
    "IsWritableDerivedField": false,
    "IsMasked": false,
    "GrantKeyWhenReadable": "principal-process-steward|SendIntents"
   },
   {
    "FieldGrantId": "fg-process-steward-SendIntents.RefusedOnOptOutOnly",
    "Principal": "principal-process-steward",
    "TargetField": "SendIntents.RefusedOnOptOutOnly",
    "CanRead": true,
    "CanWrite": false,
    "MaskStrategy": "plain",
    "SemanticTypeIri": "urn:effortless:pko-extension#FieldGrant",
    "Name": "principal-process-steward -&gt; SendIntents.RefusedOnOptOutOnly",
    "FieldTable": "SendIntents",
    "FieldName": "RefusedOnOptOutOnly",
    "FieldIsDerived": true,
    "IsWritableDerivedField": false,
    "IsMasked": false,
    "GrantKeyWhenReadable": "principal-process-steward|SendIntents"
   },
   {
    "FieldGrantId": "fg-process-steward-SendIntents.RefusalWasOnMyRules",
    "Principal": "principal-process-steward",
    "TargetField": "SendIntents.RefusalWasOnMyRules",
    "CanRead": true,
    "CanWrite": false,
    "MaskStrategy": "plain",
    "SemanticTypeIri": "urn:effortless:pko-extension#FieldGrant",
    "Name": "principal-process-steward -&gt; SendIntents.RefusalWasOnMyRules",
    "FieldTable": "SendIntents",
    "FieldName": "RefusalWasOnMyRules",
    "FieldIsDerived": true,
    "IsWritableDerivedField": false,
    "IsMasked": false,
    "GrantKeyWhenReadable": "principal-process-steward|SendIntents"
   },
   {
    "FieldGrantId": "fg-process-steward-SendIntents.RefusalWasOutsideMyControl",
    "Principal": "principal-process-steward",
    "TargetField": "SendIntents.RefusalWasOutsideMyControl",
    "CanRead": true,
    "CanWrite": false,
    "MaskStrategy": "plain",
    "SemanticTypeIri": "urn:effortless:pko-extension#FieldGrant",
    "Name": "principal-process-steward -&gt; SendIntents.RefusalWasOutsideMyControl",
    "FieldTable": "SendIntents",
    "FieldName": "RefusalWasOutsideMyControl",
    "FieldIsDerived": true,
    "IsWritableDerivedField": false,
    "IsMasked": false,
    "GrantKeyWhenReadable": "principal-process-steward|SendIntents"
   },
   {
    "FieldGrantId": "fg-process-steward-SendIntents.ApproverWasNotified",
    "Principal": "principal-process-steward",
    "TargetField": "SendIntents.ApproverWasNotified",
    "CanRead": true,
    "CanWrite": false,
    "MaskStrategy": "plain",
    "SemanticTypeIri": "urn:effortless:pko-extension#FieldGrant",
    "Name": "principal-process-steward -&gt; SendIntents.ApproverWasNotified",
    "FieldTable": "SendIntents",
    "FieldName": "ApproverWasNotified",
    "FieldIsDerived": false,
    "IsWritableDerivedField": false,
    "IsMasked": false,
    "GrantKeyWhenReadable": "principal-process-steward|SendIntents"
   },
   {
    "FieldGrantId": "fg-process-steward-SendIntents.IsUnreportedRefusalOnMyRules",
    "Principal": "principal-process-steward",
    "TargetField": "SendIntents.IsUnreportedRefusalOnMyRules",
    "CanRead": true,
    "CanWrite": false,
    "MaskStrategy": "plain",
    "SemanticTypeIri": "urn:effortless:pko-extension#FieldGrant",
    "Name": "principal-process-steward -&gt; SendIntents.IsUnreportedRefusalOnMyRules",
    "FieldTable": "SendIntents",
    "FieldName": "IsUnreportedRefusalOnMyRules",
    "FieldIsDerived": true,
    "IsWritableDerivedField": false,
    "IsMasked": false,
    "GrantKeyWhenReadable": "principal-process-steward|SendIntents"
   },
   {
    "FieldGrantId": "fg-process-steward-SendIntents.IsApprovalOverriddenSilently",
    "Principal": "principal-process-steward",
    "TargetField": "SendIntents.IsApprovalOve</t>
  </si>
  <si>
    <t xml:space="preserve">rriddenSilently",
    "CanRead": true,
    "CanWrite": false,
    "MaskStrategy": "plain",
    "SemanticTypeIri": "urn:effortless:pko-extension#FieldGrant",
    "Name": "principal-process-steward -&gt; SendIntents.IsApprovalOverriddenSilently",
    "FieldTable": "SendIntents",
    "FieldName": "IsApprovalOverriddenSilently",
    "FieldIsDerived": true,
    "IsWritableDerivedField": false,
    "IsMasked": false,
    "GrantKeyWhenReadable": "principal-process-steward|SendIntents"
   },
   {
    "FieldGrantId": "fg-process-steward-SendIntents.AlternateChannelIntent",
    "Principal": "principal-process-steward",
    "TargetField": "SendIntents.AlternateChannelIntent",
    "CanRead": true,
    "CanWrite": false,
    "MaskStrategy": "plain",
    "SemanticTypeIri": "urn:effortless:pko-extension#FieldGrant",
    "Name": "principal-process-steward -&gt; SendIntents.AlternateChannelIntent",
    "FieldTable": "SendIntents",
    "FieldName": "AlternateChannelIntent",
    "FieldIsDerived": false,
    "IsWritableDerivedField": false,
    "IsMasked": false,
    "GrantKeyWhenReadable": "principal-process-steward|SendIntents"
   },
   {
    "FieldGrantId": "fg-process-steward-SendIntents.HasAlternateChannelAttempt",
    "Principal": "principal-process-steward",
    "TargetField": "SendIntents.HasAlternateChannelAttempt",
    "CanRead": true,
    "CanWrite": false,
    "MaskStrategy": "plain",
    "SemanticTypeIri": "urn:effortless:pko-extension#FieldGrant",
    "Name": "principal-process-steward -&gt; SendIntents.HasAlternateChannelAttempt",
    "FieldTable": "SendIntents",
    "FieldName": "HasAlternateChannelAttempt",
    "FieldIsDerived": true,
    "IsWritableDerivedField": false,
    "IsMasked": false,
    "GrantKeyWhenReadable": "principal-process-steward|SendIntents"
   },
   {
    "FieldGrantId": "fg-process-steward-SendIntents.AlternateAttemptWasCleared",
    "Principal": "principal-process-steward",
    "TargetField": "SendIntents.AlternateAttemptWasCleared",
    "CanRead": true,
    "CanWrite": false,
    "MaskStrategy": "plain",
    "SemanticTypeIri": "urn:effortless:pko-extension#FieldGrant",
    "Name": "principal-process-steward -&gt; SendIntents.AlternateAttemptWasCleared",
    "FieldTable": "SendIntents",
    "FieldName": "AlternateAttemptWasCleared",
    "FieldIsDerived": true,
    "IsWritableDerivedField": false,
    "IsMasked": false,
    "GrantKeyWhenReadable": "principal-process-steward|SendIntents"
   },
   {
    "FieldGrantId": "fg-process-steward-SendIntents.IsRefusedWithNoAlternative",
    "Principal": "principal-process-steward",
    "TargetField": "SendIntents.IsRefusedWithNoAlternative",
    "CanRead": true,
    "CanWrite": false,
    "MaskStrategy": "plain",
    "SemanticTypeIri": "urn:effortless:pko-extension#FieldGrant",
    "Name": "principal-process-steward -&gt; SendIntents.IsRefusedWithNoAlternative",
    "FieldTable": "SendIntents",
    "FieldName": "IsRefusedWithNoAlternative",
    "FieldIsDerived": true,
    "IsWritableDerivedField": false,
    "IsMasked": false,
    "GrantKeyWhenReadable": "principal-process-steward|SendIntents"
   },
   {
    "FieldGrantId": "fg-process-steward-SendIntents.ExceptionPrescribedAnAlternative",
    "Principal": "principal-process-steward",
    "TargetField": "SendIntents.ExceptionPrescribedAnAlternative",
    "CanRead": true,
    "CanWrite": false,
    "MaskStrategy": "plain",
    "SemanticTypeIri": "urn:effortless:pko-extension#FieldGrant",
    "Name": "principal-process-steward -&gt; SendIntents.ExceptionPrescribedAnAlternative",
    "FieldTable": "SendIntents",
    "FieldName": "ExceptionPrescribedAnAlternative",
    "FieldIsDerived": true,
    "IsWritableDerivedField": false,
    "IsMasked": false,
    "GrantKeyWhenReadable": "principal-process-steward|SendIntents"
   },
   {
    "FieldGrantId": "fg-process-steward-SendIntents.PrescribedHandlingWasPerformed",
    "Principal": "principal-process-steward",
    "TargetField": "SendIntents.PrescribedHandlingWasPerformed",
    "CanRead": true,
    "CanWrite": false,
    "MaskStrategy": "plain",
    "SemanticTypeIri": "urn:effortless:pko-extension#FieldGrant",
    "Name": "principal-process-steward -&gt; SendIntents.PrescribedHandlingWasPerformed",
    "FieldTable": "SendIntents",
    "FieldName": "PrescribedHandlingWasPerformed",
    "FieldIsDerived": true,
    "IsWritableDerivedField": false,
    "IsMasked": false,
    "GrantKeyWhenReadable": "principal-process-steward|SendIntents"
   },
   {
    "FieldGrantId": "fg-process-steward-SendIntents.IsSuppressionWithoutRemedy",
    "Principal": "principal-process-steward",
    "TargetField": "SendIntents.IsSuppressionWithoutRemedy",
    "CanRead": true,
    "CanWrite": false,
    "MaskStrategy": "plain",
    "SemanticTypeIri": "urn:effortless:pko-extension#FieldGrant",
    "Name": "principal-process-steward -&gt; SendIntents.IsSuppressionWithoutRemedy",
    "FieldTable": "SendIntents",
    "FieldName": "IsSuppressionWithoutRemedy",
    "FieldIsDerived": true,
    "IsWritableDerivedField": false,
    "IsMasked": false,
    "GrantKeyWhenReadable": "principal-process-steward|SendIntents"
   },
   {
    "FieldGrantId": "fg-process-steward-SendIntents.RefusalRecordedAt",
    "Principal": "principal-process-steward",
    "TargetField": "SendIntents.RefusalRecordedAt",
    "CanRead": true,
    "CanWrite": false,
    "MaskStrategy": "plain",
    "SemanticTypeIri": "urn:effortless:pko-extension#FieldGrant",
    "Name": "principal-process-steward -&gt; SendIntents.RefusalRecordedAt",
    "FieldTable": "SendIntents",
    "FieldName": "RefusalRecordedAt",
    "FieldIsDerived": false,
    "IsWritableDerivedField": false,
    "IsMasked": false,
    "GrantKeyWhenReadable": "principal-process-steward|SendIntents"
   },
   {
    "FieldGrantId": "fg-process-steward-SendIntents.RefusalNotifiedRole",
    "Principal": "principal-process-steward",
    "TargetField": "SendIntents.RefusalNotifiedRole",
    "CanRead": true,
    "CanWrite": false,
    "MaskStrategy": "plain",
    "SemanticTypeIri": "urn:effortless:pko-extension#FieldGrant",
    "Name": "principal-process-steward -&gt; SendIntents.RefusalNotifiedRole",
    "FieldTable": "SendIntents",
    "FieldName": "RefusalNotifiedRole",
    "FieldIsDerived": false,
    "IsWritableDerivedField": false,
    "IsMasked": false,
    "GrantKeyWhenReadable": "principal-process-steward|SendIntents"
   },
   {
    "FieldGrantId": "fg-process-steward-SendIntents.HasDurableRefusalRecord",
    "Principal": "principal-process-steward",
    "TargetField": "SendIntents.HasDurableRefusalRecord",
    "CanRead": true,
    "CanWrite": false,
    "MaskStrategy": "plain",
    "SemanticTypeIri": "urn:effortless:pko-extension#FieldGrant",
    "Name": "principal-process-steward -&gt; SendIntents.HasDurableRefusalRecord",
    "FieldTable": "SendIntents",
    "FieldName": "HasDurableRefusalRecord",
    "FieldIsDerived": true,
    "IsWritableDerivedField": false,
    "IsMasked": false,
    "GrantKeyWhenReadable": "principal-process-steward|SendIntents"
   },
   {
    "FieldGrantId": "fg-process-steward-SendIntents.RefusalWasEscalated",
    "Principal": "principal-process-steward",
    "TargetField": "SendIntents.RefusalWasEscalated",
    "CanRead": true,
    "CanWrite": false,
    "MaskStrategy": "plain",
    "SemanticTypeIri": "urn:effortless:pko-extension#FieldGrant",
    "Name": "principal-process-steward -&gt; SendIntents.RefusalWasEscalated",
    "FieldTable": "SendIntents",
    "FieldName": "RefusalWasEscalated",
    "FieldIsDerived": true,
    "IsWritableDerivedField": false,
    "IsMasked": false,
    "GrantKeyWhenReadable": "principal-process-steward|SendIntents"
   },
   {
    "FieldGrantId": "fg-process-steward-SendIntents.IsUnrecordedRefusal",
    "Principal": "principal-process-steward",
    "TargetField": "SendIntents.IsUnrecordedRefusal",
    "CanRead": true,
    "CanWrite": false,
    "MaskStrategy": "plain",
    "SemanticTypeIri": "urn:effortless:pko-extension#FieldGrant",
    "Name": "principal-process-steward -&gt; SendIntents.IsUnrecordedRefusal",
    "FieldTable": "SendIntents",
    "FieldName": "IsUnrecordedRefusal",
    "FieldIsDerived": true,
    "IsWritableDerivedField": false,
    "IsMasked": false,
    "GrantKeyWhenReadable": "principal-process-steward|SendIntents"
   },
   {
    "FieldGrantId": "fg-process-steward-SendIntents.IsUnescalatedRefusal",
    "Principal": "principal-process-steward",
    "TargetField": "SendIntents.IsUnescalatedRefusal",
    "CanRead": true,
    "CanWrite": false,
    "MaskStrategy": "plain",
    "SemanticTypeIri": "urn:effortless:pko-extension#FieldGrant",
    "Name": "principal-process-steward -&gt; SendIntents.IsUnescalatedRefusal",
    "FieldTable": "SendIntents",
    "FieldName": "IsUnescalatedRefusal",
    "FieldIsDerived": true,
    "IsWritableDerivedField": false,
    "IsMasked": false,
    "GrantKeyWhenReadable": "principal-process-steward|SendIntents"
   },
   {
    "FieldGrantId": "fg-process-steward-SendIntents.UnescalatedRefusalRoleKey",
    "Principal": "principal-process-steward",
    "TargetField": "SendIntents.UnescalatedRefusalRoleKey",
    "CanRead": true,
    "CanWrite": false,
    "MaskStrategy": "plain",
    "SemanticTypeIri": "urn:effortless:pko-extension#FieldGrant",
    "Name": "principal-process-steward -&gt; SendIntents.UnescalatedRefusalRoleKey",
    "FieldTable": "SendIntents",
    "FieldName": "UnescalatedRefusalRoleKey",
    "FieldIsDerived": true,
    "IsWritableDerivedField": false,
    "IsMasked": false,
    "GrantKeyWhenReadable": "principal-process-steward|SendIntents"
   },
   {
    "FieldGrantId": "fg-process-steward-SendIntents.UnrecordedRefusalExecutionKey",
    "Principal": "principal-process-steward",
    "TargetField": "SendIntents.UnrecordedRefusalExecutionKey",
    "CanRead": true,
    "CanWrite": false,
    "MaskStrategy": "plain",
    "SemanticTypeIri": "urn:effortless:pko-extension#FieldGrant",
    "Name": "principal-process-steward -&gt; SendIntents.UnrecordedRefusalExecutionKey",
    "FieldTable": "SendIntents",
    "FieldName": "UnrecordedRefusalExecutionKey",
    "FieldIsDerived": true,
    "IsWritableDerivedField": false,
    "IsMasked": false,
    "GrantKeyWhenReadable": "principal-process-steward|SendIntents"
   },
   {
    "FieldGrantId": "fg-process-steward-SendIntents.RetryIntent",
    "Principal": "principal-process-steward",
    "TargetField": "SendIntents.RetryIntent",
    "CanRead": true,
    "CanWrite": false,
    "MaskStrategy": "plain",
    "SemanticTypeIri": "urn:effortless:pko-extension#FieldGrant",
    "Name": "principal-process-steward -&gt; SendIntents.RetryIntent",
    "FieldTable": "SendIntents",
    "FieldName": "RetryIntent",
    "FieldIsDerived": false,
    "IsWritableDerivedField": false,
    "IsMasked": false,
    "GrantKeyWhenReadable": "principal-process-steward|SendIntents"
   },
   {
    "FieldGrantId": "fg-process-steward-SendIntents.WasDeferredOnTiming",
    "Principal": "principal-process-steward",
    "TargetField": "SendIntents.WasDeferredOnTiming",
    "CanRead": true,
    "CanWrite": false,
    "MaskStrategy": "plain",
    "SemanticTypeIri": "urn:effortless:pko-extension#FieldGrant",
    "Name": "principal-process-steward -&gt; SendIntents.WasDeferredOnTiming",
    "FieldTable": "SendIntents",
    "FieldName": "WasDeferredOnTiming",
    "FieldIsDerived": true,
    "IsWritableDerivedField": false,
    "IsMasked": false,
    "GrantKeyWhenReadable": "principal-process-steward|SendIntents"
   },
   {
    "FieldGrantId": "fg-process-steward-SendIntents.EvaluationContext",
    "Principal": "principal-process-steward",
    "TargetField": "SendIntents.EvaluationContext",
    "CanRead": true,
    "CanWrite": false,
    "MaskStrategy": "plain",
    "SemanticTypeIri": "urn:effortless:pko-extension#FieldGrant",
    "Name": "principal-process-steward -&gt; SendIntents.EvaluationContext",
    "FieldTable": "SendIntents",
    "FieldName": "EvaluationContext",
    "FieldIsDerived": false,
    "IsWritableDerivedField": false,
    "IsMasked": false,
    "GrantKeyWhenReadable": "principal-process-steward|SendIntents"
   },
   {
    "FieldGrantId": "fg-process-steward-SendIntents.AsOfInstant",
    "Principal": "principal-process-steward",
    "TargetField": "SendIntents.AsOfInstant",
    "CanRead": true,
    "CanWrite": false,
    "MaskStrategy": "plain",
    "SemanticTypeIri": "urn:effortless:pko-extension#FieldGrant",
    "Name": "principal-process-steward -&gt; SendIntents.AsOfInstant",
    "FieldTable": "SendIntents",
    "FieldName": "AsOfInstant",
    "FieldIsDerived": true,
    "IsWritableDerivedField": false,
    "IsMasked": false,
    "GrantKeyWhenReadable": "principal-process-steward|SendIntents"
   },
   {
    "FieldGrantId": "fg-process-steward-SendIntents.WindowHasSinceReopened",
    "Principal": "principal-process-steward",
    "TargetField": "SendIntents.WindowHasSinceReopened",
    "CanRead": true,
    "CanWrite": false,
    "MaskStrategy": "plain",
    "SemanticTypeIri": "urn:effortless:pko-extension#FieldGrant",
    "Name": "principal-process-steward -&gt; SendIntents.WindowHasSinceReopened",
    "FieldTable": "SendIntents",
    "FieldName": "WindowHasSinceReopened",
    "FieldIsDerived": true,
    "IsWritableDerivedField": false,
    "IsMasked": false,
    "GrantKeyWhenReadable": "principal-process-steward|SendIntents"
   },
   {
    "FieldGrantId": "fg-process-steward-SendIntents.HasRetryAttempt",
    "Principal": "principal-process-steward",
    "TargetField": "SendIntents.HasRetryAttempt",
    "CanRead": true,
    "CanWrite": false,
    "MaskStrategy": "plain",
    "SemanticTypeIri": "urn:effortless:pko-extension#FieldGrant",
    "Name": "principal-process-steward -&gt; SendIntents.HasRetryAttempt",
    "FieldTable": "SendIntents",
    "FieldName": "HasRetryAttempt",
    "FieldIsDerived": true,
    "IsWritableDerivedField": false,
    "IsMasked": false,
    "GrantKeyWhenReadable": "principal-process-steward|SendIntents"
   },
   {
    "FieldGrantId": "fg-process-steward-SendIntents.RetryWasCleared",
    "Principal": "principal-process-steward",
    "TargetField": "SendIntents.RetryWasCleared",
    "CanRead": true,
    "CanWrite": false,
    "MaskStrategy": "plain",
    "SemanticTypeIri": "urn:effortless:pko-extension#FieldGrant",
    "Name": "principal-process-steward -&gt; SendIntents.RetryWasCleared",
    "FieldTable": "SendIntents",
    "FieldName": "RetryWasCleared",
    "FieldIsDerived": true,
    "IsWritableDerivedField": false,
    "IsMasked": false,
    "GrantKeyWhenReadable": "principal-process-steward|SendIntents"
   },
   {
    "FieldGrantId": "fg-process-steward-SendIntents.IsAbandonedDeferral",
    "Principal": "principal-process-steward",
    "TargetField": "SendIntents.IsAbandonedDeferral",
    "CanRead": true,
    "CanWrite": false,
    "MaskStrategy": "plain",
    "SemanticTypeIri": "urn:effortless:pko-extension#FieldGrant",
    "Name": "principal-process-steward -&gt; SendIntents.IsAbandonedDeferral",
    "FieldTable": "SendIntents",
    "FieldName": "IsAbandonedDeferral",
    "FieldIsDerived": true,
    "IsWritableDerivedField": false,
    "IsMasked": false,
    "GrantKeyWhenReadable": "principal-process-steward|SendIntents"
   },
   {
    "FieldGrantId": "fg-process-steward-SendIntents.DeferralAgeHours",
    "Principal": "principal-process-steward",
    "TargetField": "SendIntents.DeferralAgeHours",
    "CanRead": true,
    "CanWrite": false,
    "MaskStrategy": "plain",
    "SemanticTypeIri": "urn:effortless:pko-extension#FieldGrant",
    "Name": "principal-process-steward -&gt; SendIntents.DeferralAgeHours",
    "FieldTable": "SendIntents",
    "FieldName": "DeferralAgeHours",
    "FieldIsDerived": true,
    "IsWritableDerivedField": false,
    "IsMasked": false,
    "GrantKeyWhenReadable": "principal-process-steward|SendIntents"
   },
   {
    "FieldGrantId": "fg-process-steward-SendIntents.IsStaleDeferral",
    "Principal": "principal-process-steward",
    "TargetField": "SendIntents.IsStaleDeferral",
    "CanRead": true,
    "CanWrite": false,
    "MaskStrategy": "plain",
    "SemanticTypeIri": "urn:effortless:pko-extension#FieldGrant",
    "Name": "principal-process-steward -&gt; SendIntents.IsStaleDeferral",
    "FieldTable": "SendIntents",
    "FieldName": "IsStaleDeferral",
    "FieldIsDerived": true,
    "IsWritableDerivedField": false,
    "IsMasked": false,
    "GrantKeyWhenReadable": "principal-process-steward|SendIntents"
   },
   {
    "FieldGrantId": "fg-process-steward-SendIntents.EvaluatingRoleAssignment",
    "Principal": "principal-process-steward",
    "TargetField": "SendIntents.EvaluatingRoleAssignment",
    "CanRead": true,
    "CanWrite": false,
    "MaskStrategy": "plain",
    "SemanticTypeIri": "urn:effortless:pko-extension#FieldGrant",
    "Name": "principal-process-steward -&gt; SendIntents.EvaluatingRoleAssignment",
    "FieldTable": "SendIntents",
    "FieldName": "EvaluatingRoleAssignment",
    "FieldIsDerived": false,
    "IsWritableDerivedField": false,
    "IsMasked": false,
    "GrantKeyWhenReadable": "principal-process-steward|SendIntents"
   },
   {
    "FieldGrantId": "fg-process-steward-SendIntents.EnforcedByUnauthorizedAgent",
    "Principal": "principal-process-steward",
    "TargetField": "SendIntents.EnforcedByUnauthorizedAgent",
    "CanRead": true,
    "CanWrite": false,
    "MaskStrategy": "plain",
    "SemanticTypeIri": "urn:effortless:pko-extension#FieldGrant",
    "Name": "principal-process-steward -&gt; SendIntents.EnforcedByUnauthorizedAgent",
    "FieldTable": "SendIntents",
    "FieldName": "EnforcedByUnauthorizedAgent",
    "FieldIsDerived": true,
    "IsWritableDerivedField": false,
    "IsMasked": false,
    "GrantKeyWhenReadable": "principal-process-steward|SendIntents"
   },
   {
    "FieldGrantId": "fg-process-steward-SendIntents.ConsentInputWasResolvable",
    "Principal": "principal-process-steward",
    "TargetField": "SendIntents.ConsentInputWasResolvable",
    "CanRead": true,
    "CanWrite": false,
    "MaskStrategy": "plain",
    "SemanticTypeIri": "urn:effortless:pko-extension#FieldGrant",
    "Name": "principal-process-steward -&gt; SendIntents.ConsentInputWasResolvable",
    "FieldTable": "SendIntents",
    "FieldName": "ConsentInputWasResolvable",
    "FieldIsDerived": true,
    "IsWritableDerivedField": false,
    "IsMasked": false,
    "GrantKeyWhenReadable": "principal-process-steward|SendIntents"
   },
   {
    "FieldGrantId": "fg-process-steward-SendIntents.RecipientConsentStatusRaw",
    "Principal": "principal-process-steward",
    "TargetField": "SendIntents.RecipientConsentStatusRaw",
    "CanRead": true,
    "CanWrite": false,
    "MaskStrategy": "plain",
    "SemanticTypeIri": "urn:effortless:pko-extension#FieldGrant",
    "Name": "principal-process-steward -&gt; SendIntents.RecipientConsentStatusRaw",
    "FieldTable": "SendIntents",
    "FieldName": "RecipientConsentStatusRaw",
    "FieldIsDerived": true,
    "IsWritableDerivedField": false,
    "IsMasked": false,
    "GrantKeyWhenReadable": "principal-process-steward|SendIntents"
   },
   {
    "FieldGrantId": "fg-process-steward-SendIntents.PolicyInputWasResolvable",
    "Principal": "principal-process-steward",
    "TargetField": "SendIntents.PolicyInputWasResolvable",
    "CanRead": true,
    "CanWrite": false,
    "MaskStrategy": "plain",
    "SemanticTypeIri": "urn:effortless:pko-extension#FieldGrant",
    "Name": "principal-process-steward -&gt; SendIntents.PolicyInputWasResolvable",
    "FieldTable": "SendIntents",
    "FieldName": "PolicyInputWasResolvable",
    "FieldIsDerived": true,
    "IsWritableDerivedField": false,
    "IsMasked": false,
    "GrantKeyWhenReadable": "principal-process-steward|SendIntents"
   },
   {
    "FieldGrantId": "fg-process-steward-SendIntents.AllGateInputsResolved",
    "Principal": "principal-process-steward",
    "TargetField": "SendIntents.AllGateInputsResolved",
    "CanRead": true,
    "CanWrite": false,
    "MaskStrategy": "plain",
    "SemanticTypeIri": "urn:effortless:pko-extension#FieldGrant",
    "Name": "principal-process-steward -&gt; SendIntents.AllGateInputsResolved",
    "FieldTable": "SendIntents",
    "FieldName": "AllGateInputsResolved",
    "FieldIsDerived": true,
    "IsWritableDerivedField": false,
    "IsMasked": false,
    "GrantKeyWhenReadable": "principal-process-steward|SendIntents"
   },
   {
    "FieldGrantId": "fg-process-steward-SendIntents.IsUnevaluableRefusal",
    "Principal": "principal-process-steward",
    "TargetField": "SendIntents.IsUnevaluableRefusal",
    "CanRead": true,
    "CanWrite": false,
    "MaskStrategy": "plain",
    "SemanticTypeIri": "urn:effortless:pko-extension#FieldGrant",
    "Name": "principal-process-steward -&gt; SendIntents.IsUnevaluableRefusal",
    "FieldTable": "SendIntents",
    "FieldName": "IsUnevaluableRefusal",
    "FieldIsDerived": true,
    "IsWritableDerivedField": false,
    "IsMasked": false,
    "GrantKeyWhenReadable": "principal-process-steward|SendIntents"
   },
   {
    "FieldGrantId": "fg-process-steward-SendIntents.GateResultWasIndependentlyConfirmed",
    "Principal": "principal-process-steward",
    "TargetField": "SendIntents.GateResultWasIndependentlyConfirmed",
    "CanRead": true,
    "CanWrite": false,
    "MaskStrategy": "plain",
    "SemanticTypeIri": "urn:effortless:pko-extension#FieldGrant",
    "Name": "principal-process-steward -&gt; SendIntents.GateResultWasIndependentlyConfirmed",
    "FieldTable": "SendIntents",
    "FieldName": "GateResultWasIndependentlyConfirmed",
    "FieldIsDerived": false,
    "IsWritableDerivedField": false,
    "IsMasked": false,
    "GrantKeyWhenReadable": "principal-process-steward|SendIntents"
   },
   {
    "FieldGrantId": "fg-process-steward-SendIntents.IsSelfWitnessedDecision",
    "Principal": "principal-process-steward",
    "TargetField": "SendIntents.IsSelfWitnessedDecision",
    "CanRead": true,
    "CanWrite": false,
    "MaskStrategy": "plain",
    "SemanticTypeIri": "urn:effortless:pko-extension#FieldGrant",
    "Name": "principal-process-steward -&gt; SendIntents.IsSelfWitnessedDecision",
    "FieldTable": "SendIntents",
    "FieldName": "IsSelfWitnessedDecision",
    "FieldIsDerived": true,
    "IsWritableDerivedField": false,
    "IsMasked": false,
    "GrantKeyWhenReadable": "principal-process-steward|SendIntents"
   },
   {
    "FieldGrantId": "fg-process-steward-SendIntents.IsIndependentlyConfirmed",
    "Principal": "principal-process-steward",
    "TargetField": "SendIntents.IsIndependentlyConfirmed",
    "CanRead": true,
    "CanWrite": false,
    "MaskStrategy": "plain",
    "SemanticTypeIri": "urn:effortless:pko-extension#FieldGrant",
    "Name": "principal-process-steward -&gt; SendIntents.IsIndependentlyConfirmed",
    "FieldTable": "SendIntents",
    "FieldName": "IsIndependentlyConfirmed",
    "FieldIsDerived": true,
    "IsWritableDerivedField": false,
    "IsMasked": false,
    "GrantKeyWhenReadable": "principal-process-steward|SendIntents"
   },
   {
    "FieldGrantId": "fg-process-steward-SendIntents.IndependentlyConfirmedExecutionKey",
    "Principal": "principal-process-steward",
    "TargetField": "SendIntents.IndependentlyConfirmedExecutionKey",
    "CanRead": true,
    "CanWrite": false,
    "MaskStrategy": "plain",
    "SemanticTypeIri": "urn:effortless:pko-extension#FieldGrant",
    "Name": "principal-process-steward -&gt; SendIntents.IndependentlyConfirmedExecutionKey",
    "FieldTable": "SendIntents",
    "FieldName": "IndependentlyConfirmedExecutionKey",
    "FieldIsDerived": true,
    "IsWritableDerivedField": false,
    "IsMasked": false,
    "GrantKeyWhenReadable": "principal-process-steward|SendIntents"
   },
   {
    "FieldGrantId": "fg-process-steward-SendIntents.SemanticTypeIri",
    "Principal": "principal-process-steward",
    "TargetField": "SendIntents.SemanticTypeIri",
    "CanRead": true,
    "CanWrite": false,
    "MaskStrategy": "plain",
    "SemanticTypeIri": "urn:effortless:pko-extension#FieldGrant",
    "Name": "principal-process-steward -&gt; SendIntents.SemanticTypeIri",
    "FieldTable": "SendIntents",
    "FieldName": "SemanticTypeIri",
    "FieldIsDerived": false,
    "IsWritableDerivedField": false,
    "IsMasked": false,
    "GrantKeyWhenReadable": "principal-process-steward|SendIntents"
   },
   {
    "FieldGrantId": "fg-process-steward-StepActions.StepActionId",
    "Principal": "principal-process-steward",
    "TargetField": "StepActions.StepActionId",
    "CanRead": true,
    "CanWrite": false,
    "MaskStrategy": "plain",
    "SemanticTypeIri": "urn:effortless:pko-extension#FieldGrant",
    "Name": "principal-process-steward -&gt; StepActions.StepActionId",
    "FieldTable": "StepActions",
    "FieldName": "StepActionId",
    "FieldIsDerived": false,
    "IsWritableDerivedField": false,
    "IsMasked": false,
    "GrantKeyWhenReadable": "principal-process-steward|StepActions"
   },
   {
    "FieldGrantId": "fg-process-steward-StepActions.Name",
    "Principal": "principal-process-steward",
    "TargetField": "StepActions.Name",
    "CanRead": true,
    "CanWrite": false,
    "MaskStrategy": "plain",
    "SemanticTypeIri": "urn:effortless:pko-extension#FieldGrant",
    "Name": "principal-process-steward -&gt; StepActions.Name",
    "FieldTable": "StepActions",
    "FieldName": "Name",
    "FieldIsDerived": true,
    "IsWritableDerivedField": false,
    "IsMasked": false,
    "GrantKeyWhenReadable": "principal-process-steward|StepActions"
   },
   {
    "FieldGrantId": "fg-process-steward-StepActions.Step",
    "Principal": "principal-process-steward",
    "TargetField": "StepActions.Step",
    "CanRead": true,
    "CanWrite": false,
    "MaskStrategy": "plain",
    "SemanticTypeIri": "urn:effortless:pko-extension#FieldGrant",
    "Name": "principal-process-steward -&gt; StepActions.Step",
    "FieldTable": "StepActions",
    "FieldName": "Step",
    "FieldIsDerived": false,
    "IsWritableDerivedField": false,
    "IsMasked": false,
    "GrantKeyWhenReadable": "principal-process-steward|StepActions"
   },
   {
    "FieldGrantId": "fg-process-steward-StepActions.Action",
    "Principal": "principal-process-steward",
    "TargetField": "StepActions.Action",
    "CanRead": true,
    "CanWrite": false,
    "MaskStrategy": "plain",
    "SemanticTypeIri": "urn:effortless:pko-extension#FieldGrant",
    "Name": "principal-process-steward -&gt; StepActions.Action",
    "FieldTable": "StepActions",
    "FieldName": "Action",
    "FieldIsDerived": false,
    "IsWritableDerivedField": false,
    "IsMasked": false,
    "GrantKeyWhenReadable": "principal-process-steward|StepActions"
   },
   {
    "FieldGrantId": "fg-process-steward-StepExecutions.StepExecutionId",
    "Principal": "principal-process-steward",
    "TargetField": "StepExecutions.StepExecutionId",
    "CanRead": true,
    "CanWrite": false,
    "MaskStrategy": "plain",
    "SemanticTypeIri": "urn:effortless:pko-extension#FieldGrant",
    "Name": "principal-process-steward -&gt; StepExecutions.StepExecutionId",
    "FieldTable": "StepExecutions",
    "FieldName": "StepExecutionId",
    "FieldIsDerived": false,
    "IsWritableDerivedField": false,
    "IsMasked": false,
    "GrantKeyWhenReadable": "principal-process-steward|StepExecutions"
   },
   {
    "FieldGrantId": "fg-process-steward-StepExecutions.Name",
    "Principal": "principal-process-steward",
    "TargetField": "StepExecutions.Name",
    "CanRead": true,
    "CanWrite": false,
    "MaskStrategy": "plain",
    "SemanticTypeIri": "urn:effortless:pko-extension#FieldGrant",
    "Name": "principal-process-steward -&gt; StepExecutions.Name",
    "FieldTable": "StepExecutions",
    "FieldName": "Name",
    "FieldIsDerived": true,
    "IsWritableDerivedField": false,
    "IsMasked": false,
    "GrantKeyWhenReadable": "principal-process-steward|StepExecutions"
   },
   {
    "FieldGrantId": "fg-process-steward-StepExecutions.ProcedureExecution",
    "Principal": "principal-process-steward",
    "TargetField": "StepExecutions.ProcedureExecution",
    "CanRead": true,
    "CanWrite": false,
    "MaskStrategy": "plain",
    "SemanticTypeIri": "urn:effortless:pko-extension#FieldGrant",
    "Name": "principal-process-steward -&gt; StepExecutions.ProcedureExecution",
    "FieldTable": "StepExecutions",
    "FieldName": "ProcedureExecution",
    "FieldIsDerived": false,
    "IsWritableDerivedField": false,
    "IsMasked": false,
    "GrantKeyWhenReadable": "principal-process-steward|StepExecutions"
   },
   {
    "FieldGrantId": "fg-process-steward-StepExecutions.Step",
    "Principal": "principal-process-steward",
    "TargetField": "StepExecutions.Step",
    "CanRead": true,
    "CanWrite": false,
    "MaskStrategy": "plain",
    "SemanticTypeIri": "urn:effortless:pko-extension#FieldGrant",
    "Name": "principal-process-steward -&gt; StepExecutions.Step",
    "FieldTable": "StepExecutions",
    "FieldName": "Step",
    "FieldIsDerived": false,
    "IsWritableDerivedField": false,
    "IsMasked": false,
    "GrantKeyWhenReadable": "principal-process-steward|StepExecutions"
   },
   {
    "FieldGrantId": "fg-process-steward-StepExecutions.ExecutedByAgent",
    "Principal": "principal-process-steward",
    "TargetField": "StepExecutions.ExecutedByAgent",
    "CanRead": true,
    "CanWrite": false,
    "MaskStrategy": "plain",
    "SemanticTypeIri": "urn:effortless:pko-extension#FieldGrant",
    "Name": "principal-process-steward -&gt; StepExecutions.ExecutedByAgent",
    "FieldTable": "StepExecutions",
    "FieldName": "ExecutedByAgent",
    "FieldIsDerived": false,
    "IsWritableDerivedField": false,
    "IsMasked": false,
    "GrantKeyWhenReadable": "principal-process-steward|StepExecutions"
   },
   {
    "FieldGrantId": "fg-process-steward-StepExecutions.ExecutionStatus",
    "Principal": "principal-process-steward",
    "TargetField": "StepExecutions.ExecutionStatus",
    "CanRead": true,
    "CanWrite": false,
    "MaskStrategy": "plain",
    "SemanticTypeIri": "urn:effortless:pko-extension#FieldGrant",
    "Name": "principal-process-steward -&gt; StepExecutions.ExecutionStatus",
    "FieldTable": "StepExecutions",
    "FieldName": "ExecutionStatus",
    "FieldIsDerived": false,
    "IsWritableDerivedField": false,
    "IsMasked": false,
    "GrantKeyWhenReadable": "principal-process-steward|StepExecutions"
   },
   {
    "FieldGrantId": "fg-process-steward-StepExecutions.StartedAt",
    "Principal": "principal-process-steward",
    "TargetField": "StepExecutions.StartedAt",
    "CanRead": true,
    "CanWrite": false,
    "MaskStrategy": "plain",
    "SemanticTypeIri": "urn:effortless:pko-extension#FieldGrant",
    "Name": "principal-process-steward -&gt; StepExecutions.StartedAt",
    "FieldTable": "StepExecutions",
    "FieldName": "StartedAt",
    "FieldIsDerived": false,
    "IsWritableDerivedField": false,
    "IsMasked": false,
    "GrantKeyWhenReadable": "principal-process-steward|StepExecutions"
   },
   {
    "FieldGrantId": "fg-process-steward-StepExecutions.EndedAt",
    "Principal": "principal-process-steward",
    "TargetField": "StepExecutions.EndedAt",
    "CanRead": true,
    "CanWrite": false,
    "MaskStrategy": "plain",
    "SemanticTypeIri": "urn:effortless:pko-extension#FieldGrant",
    "Name": "principal-process-steward -&gt; StepExecutions.EndedAt",
    "FieldTable": "StepExecutions",
    "FieldName": "EndedAt",
    "FieldIsDerived": false,
    "IsWritableDerivedField": false,
    "IsMasked": false,
    "GrantKeyWhenReadable": "principal-process-steward|StepExecutions"
   },
   {
    "FieldGrantId": "fg-process-steward-StepExecutions.VerificationResult",
    "Principal": "principal-process-steward",
    "TargetField": "StepExecutions.VerificationResult",
    "CanRead": true,
    "CanWrite": false,
    "MaskStrategy": "plain",
    "SemanticTypeIri": "urn:effortless:pko-extension#FieldGrant",
    "Name": "principal-process-steward -&gt; StepExecutions.VerificationResult",
    "FieldTable": "StepExecutions",
    "FieldName": "VerificationResult",
    "FieldIsDerived": false,
    "IsWritableDerivedField": false,
    "IsMasked": false,
    "GrantKeyWhenReadable": "principal-process-steward|StepExecutions"
   },
   {
    "FieldGrantId": "fg-process-steward-StepExecutions.Deviation",
    "Principal": "principal-process-steward",
    "TargetField": "StepExecutions.Deviation",
    "CanRead": true,
    "CanWrite": false,
    "MaskStrategy": "plain",
    "SemanticTypeIri": "urn:effortless:pko-extension#FieldGrant",
    "Name": "principal-process-steward -&gt; StepExecutions.Deviation",
    "FieldTable": "StepExecutions",
    "FieldName": "Deviation",
    "FieldIsDerived": false,
    "IsWritableDerivedField": false,
    "IsMasked": false,
    "GrantKeyWhenReadable": "principal-process-steward|StepExecutions"
   },
   {
    "FieldGrantId": "fg-process-steward-StepExecutions.ActualDurationMinutes",
</t>
  </si>
  <si>
    <t xml:space="preserve">    "Principal": "principal-process-steward",
    "TargetField": "StepExecutions.ActualDurationMinutes",
    "CanRead": true,
    "CanWrite": false,
    "MaskStrategy": "plain",
    "SemanticTypeIri": "urn:effortless:pko-extension#FieldGrant",
    "Name": "principal-process-steward -&gt; StepExecutions.ActualDurationMinutes",
    "FieldTable": "StepExecutions",
    "FieldName": "ActualDurationMinutes",
    "FieldIsDerived": true,
    "IsWritableDerivedField": false,
    "IsMasked": false,
    "GrantKeyWhenReadable": "principal-process-steward|StepExecutions"
   },
   {
    "FieldGrantId": "fg-process-steward-StepExecutions.ExpectedDurationMinutes",
    "Principal": "principal-process-steward",
    "TargetField": "StepExecutions.ExpectedDurationMinutes",
    "CanRead": true,
    "CanWrite": false,
    "MaskStrategy": "plain",
    "SemanticTypeIri": "urn:effortless:pko-extension#FieldGrant",
    "Name": "principal-process-steward -&gt; StepExecutions.ExpectedDurationMinutes",
    "FieldTable": "StepExecutions",
    "FieldName": "ExpectedDurationMinutes",
    "FieldIsDerived": true,
    "IsWritableDerivedField": false,
    "IsMasked": false,
    "GrantKeyWhenReadable": "principal-process-steward|StepExecutions"
   },
   {
    "FieldGrantId": "fg-process-steward-StepExecutions.IsLate",
    "Principal": "principal-process-steward",
    "TargetField": "StepExecutions.IsLate",
    "CanRead": true,
    "CanWrite": false,
    "MaskStrategy": "plain",
    "SemanticTypeIri": "urn:effortless:pko-extension#FieldGrant",
    "Name": "principal-process-steward -&gt; StepExecutions.IsLate",
    "FieldTable": "StepExecutions",
    "FieldName": "IsLate",
    "FieldIsDerived": true,
    "IsWritableDerivedField": false,
    "IsMasked": false,
    "GrantKeyWhenReadable": "principal-process-steward|StepExecutions"
   },
   {
    "FieldGrantId": "fg-process-steward-StepExecutions.BlockingUnmetCount",
    "Principal": "principal-process-steward",
    "TargetField": "StepExecutions.BlockingUnmetCount",
    "CanRead": true,
    "CanWrite": false,
    "MaskStrategy": "plain",
    "SemanticTypeIri": "urn:effortless:pko-extension#FieldGrant",
    "Name": "principal-process-steward -&gt; StepExecutions.BlockingUnmetCount",
    "FieldTable": "StepExecutions",
    "FieldName": "BlockingUnmetCount",
    "FieldIsDerived": true,
    "IsWritableDerivedField": false,
    "IsMasked": false,
    "GrantKeyWhenReadable": "principal-process-steward|StepExecutions"
   },
   {
    "FieldGrantId": "fg-process-steward-StepExecutions.BlockingUnmetCountSafe",
    "Principal": "principal-process-steward",
    "TargetField": "StepExecutions.BlockingUnmetCountSafe",
    "CanRead": true,
    "CanWrite": false,
    "MaskStrategy": "plain",
    "SemanticTypeIri": "urn:effortless:pko-extension#FieldGrant",
    "Name": "principal-process-steward -&gt; StepExecutions.BlockingUnmetCountSafe",
    "FieldTable": "StepExecutions",
    "FieldName": "BlockingUnmetCountSafe",
    "FieldIsDerived": true,
    "IsWritableDerivedField": false,
    "IsMasked": false,
    "GrantKeyWhenReadable": "principal-process-steward|StepExecutions"
   },
   {
    "FieldGrantId": "fg-process-steward-StepExecutions.ProceededPastBlockingControl",
    "Principal": "principal-process-steward",
    "TargetField": "StepExecutions.ProceededPastBlockingControl",
    "CanRead": true,
    "CanWrite": false,
    "MaskStrategy": "plain",
    "SemanticTypeIri": "urn:effortless:pko-extension#FieldGrant",
    "Name": "principal-process-steward -&gt; StepExecutions.ProceededPastBlockingControl",
    "FieldTable": "StepExecutions",
    "FieldName": "ProceededPastBlockingControl",
    "FieldIsDerived": true,
    "IsWritableDerivedField": false,
    "IsMasked": false,
    "GrantKeyWhenReadable": "principal-process-steward|StepExecutions"
   },
   {
    "FieldGrantId": "fg-process-steward-StepExecutions.ExpectedBlockingCount",
    "Principal": "principal-process-steward",
    "TargetField": "StepExecutions.ExpectedBlockingCount",
    "CanRead": true,
    "CanWrite": false,
    "MaskStrategy": "plain",
    "SemanticTypeIri": "urn:effortless:pko-extension#FieldGrant",
    "Name": "principal-process-steward -&gt; StepExecutions.ExpectedBlockingCount",
    "FieldTable": "StepExecutions",
    "FieldName": "ExpectedBlockingCount",
    "FieldIsDerived": true,
    "IsWritableDerivedField": false,
    "IsMasked": false,
    "GrantKeyWhenReadable": "principal-process-steward|StepExecutions"
   },
   {
    "FieldGrantId": "fg-process-steward-StepExecutions.EvaluatedBlockingCount",
    "Principal": "principal-process-steward",
    "TargetField": "StepExecutions.EvaluatedBlockingCount",
    "CanRead": true,
    "CanWrite": false,
    "MaskStrategy": "plain",
    "SemanticTypeIri": "urn:effortless:pko-extension#FieldGrant",
    "Name": "principal-process-steward -&gt; StepExecutions.EvaluatedBlockingCount",
    "FieldTable": "StepExecutions",
    "FieldName": "EvaluatedBlockingCount",
    "FieldIsDerived": true,
    "IsWritableDerivedField": false,
    "IsMasked": false,
    "GrantKeyWhenReadable": "principal-process-steward|StepExecutions"
   },
   {
    "FieldGrantId": "fg-process-steward-StepExecutions.UnevaluatedBlockingCount",
    "Principal": "principal-process-steward",
    "TargetField": "StepExecutions.UnevaluatedBlockingCount",
    "CanRead": true,
    "CanWrite": false,
    "MaskStrategy": "plain",
    "SemanticTypeIri": "urn:effortless:pko-extension#FieldGrant",
    "Name": "principal-process-steward -&gt; StepExecutions.UnevaluatedBlockingCount",
    "FieldTable": "StepExecutions",
    "FieldName": "UnevaluatedBlockingCount",
    "FieldIsDerived": true,
    "IsWritableDerivedField": false,
    "IsMasked": false,
    "GrantKeyWhenReadable": "principal-process-steward|StepExecutions"
   },
   {
    "FieldGrantId": "fg-process-steward-StepExecutions.HasUnevaluatedBlockingControl",
    "Principal": "principal-process-steward",
    "TargetField": "StepExecutions.HasUnevaluatedBlockingControl",
    "CanRead": true,
    "CanWrite": false,
    "MaskStrategy": "plain",
    "SemanticTypeIri": "urn:effortless:pko-extension#FieldGrant",
    "Name": "principal-process-steward -&gt; StepExecutions.HasUnevaluatedBlockingControl",
    "FieldTable": "StepExecutions",
    "FieldName": "HasUnevaluatedBlockingControl",
    "FieldIsDerived": true,
    "IsWritableDerivedField": false,
    "IsMasked": false,
    "GrantKeyWhenReadable": "principal-process-steward|StepExecutions"
   },
   {
    "FieldGrantId": "fg-process-steward-StepExecutions.StaleAuthoritativeSourceCount",
    "Principal": "principal-process-steward",
    "TargetField": "StepExecutions.StaleAuthoritativeSourceCount",
    "CanRead": true,
    "CanWrite": false,
    "MaskStrategy": "plain",
    "SemanticTypeIri": "urn:effortless:pko-extension#FieldGrant",
    "Name": "principal-process-steward -&gt; StepExecutions.StaleAuthoritativeSourceCount",
    "FieldTable": "StepExecutions",
    "FieldName": "StaleAuthoritativeSourceCount",
    "FieldIsDerived": true,
    "IsWritableDerivedField": false,
    "IsMasked": false,
    "GrantKeyWhenReadable": "principal-process-steward|StepExecutions"
   },
   {
    "FieldGrantId": "fg-process-steward-StepExecutions.RanOnStaleAuthoritativeSource",
    "Principal": "principal-process-steward",
    "TargetField": "StepExecutions.RanOnStaleAuthoritativeSource",
    "CanRead": true,
    "CanWrite": false,
    "MaskStrategy": "plain",
    "SemanticTypeIri": "urn:effortless:pko-extension#FieldGrant",
    "Name": "principal-process-steward -&gt; StepExecutions.RanOnStaleAuthoritativeSource",
    "FieldTable": "StepExecutions",
    "FieldName": "RanOnStaleAuthoritativeSource",
    "FieldIsDerived": true,
    "IsWritableDerivedField": false,
    "IsMasked": false,
    "GrantKeyWhenReadable": "principal-process-steward|StepExecutions"
   },
   {
    "FieldGrantId": "fg-process-steward-StepExecutions.HasDeviationNote",
    "Principal": "principal-process-steward",
    "TargetField": "StepExecutions.HasDeviationNote",
    "CanRead": true,
    "CanWrite": false,
    "MaskStrategy": "plain",
    "SemanticTypeIri": "urn:effortless:pko-extension#FieldGrant",
    "Name": "principal-process-steward -&gt; StepExecutions.HasDeviationNote",
    "FieldTable": "StepExecutions",
    "FieldName": "HasDeviationNote",
    "FieldIsDerived": true,
    "IsWritableDerivedField": false,
    "IsMasked": false,
    "GrantKeyWhenReadable": "principal-process-steward|StepExecutions"
   },
   {
    "FieldGrantId": "fg-process-steward-StepExecutions.IsLateAndUnexplained",
    "Principal": "principal-process-steward",
    "TargetField": "StepExecutions.IsLateAndUnexplained",
    "CanRead": true,
    "CanWrite": false,
    "MaskStrategy": "plain",
    "SemanticTypeIri": "urn:effortless:pko-extension#FieldGrant",
    "Name": "principal-process-steward -&gt; StepExecutions.IsLateAndUnexplained",
    "FieldTable": "StepExecutions",
    "FieldName": "IsLateAndUnexplained",
    "FieldIsDerived": true,
    "IsWritableDerivedField": false,
    "IsMasked": false,
    "GrantKeyWhenReadable": "principal-process-steward|StepExecutions"
   },
   {
    "FieldGrantId": "fg-process-steward-StepExecutions.AvailableExceptionCountForStep",
    "Principal": "principal-process-steward",
    "TargetField": "StepExecutions.AvailableExceptionCountForStep",
    "CanRead": true,
    "CanWrite": false,
    "MaskStrategy": "plain",
    "SemanticTypeIri": "urn:effortless:pko-extension#FieldGrant",
    "Name": "principal-process-steward -&gt; StepExecutions.AvailableExceptionCountForStep",
    "FieldTable": "StepExecutions",
    "FieldName": "AvailableExceptionCountForStep",
    "FieldIsDerived": true,
    "IsWritableDerivedField": false,
    "IsMasked": false,
    "GrantKeyWhenReadable": "principal-process-steward|StepExecutions"
   },
   {
    "FieldGrantId": "fg-process-steward-StepExecutions.HadUninvokedExceptionAvailable",
    "Principal": "principal-process-steward",
    "TargetField": "StepExecutions.HadUninvokedExceptionAvailable",
    "CanRead": true,
    "CanWrite": false,
    "MaskStrategy": "plain",
    "SemanticTypeIri": "urn:effortless:pko-extension#FieldGrant",
    "Name": "principal-process-steward -&gt; StepExecutions.HadUninvokedExceptionAvailable",
    "FieldTable": "StepExecutions",
    "FieldName": "HadUninvokedExceptionAvailable",
    "FieldIsDerived": true,
    "IsWritableDerivedField": false,
    "IsMasked": false,
    "GrantKeyWhenReadable": "principal-process-steward|StepExecutions"
   },
   {
    "FieldGrantId": "fg-process-steward-StepExecutions.ExpectedVerificationCount",
    "Principal": "principal-process-steward",
    "TargetField": "StepExecutions.ExpectedVerificationCount",
    "CanRead": true,
    "CanWrite": false,
    "MaskStrategy": "plain",
    "SemanticTypeIri": "urn:effortless:pko-extension#FieldGrant",
    "Name": "principal-process-steward -&gt; StepExecutions.ExpectedVerificationCount",
    "FieldTable": "StepExecutions",
    "FieldName": "ExpectedVerificationCount",
    "FieldIsDerived": true,
    "IsWritableDerivedField": false,
    "IsMasked": false,
    "GrantKeyWhenReadable": "principal-process-steward|StepExecutions"
   },
   {
    "FieldGrantId": "fg-process-steward-StepExecutions.PerformedVerificationCount",
    "Principal": "principal-process-steward",
    "TargetField": "StepExecutions.PerformedVerificationCount",
    "CanRead": true,
    "CanWrite": false,
    "MaskStrategy": "plain",
    "SemanticTypeIri": "urn:effortless:pko-extension#FieldGrant",
    "Name": "principal-process-steward -&gt; StepExecutions.PerformedVerificationCount",
    "FieldTable": "StepExecutions",
    "FieldName": "PerformedVerificationCount",
    "FieldIsDerived": true,
    "IsWritableDerivedField": false,
    "IsMasked": false,
    "GrantKeyWhenReadable": "principal-process-steward|StepExecutions"
   },
   {
    "FieldGrantId": "fg-process-steward-StepExecutions.SkippedVerificationCount",
    "Principal": "principal-process-steward",
    "TargetField": "StepExecutions.SkippedVerificationCount",
    "CanRead": true,
    "CanWrite": false,
    "MaskStrategy": "plain",
    "SemanticTypeIri": "urn:effortless:pko-extension#FieldGrant",
    "Name": "principal-process-steward -&gt; StepExecutions.SkippedVerificationCount",
    "FieldTable": "StepExecutions",
    "FieldName": "SkippedVerificationCount",
    "FieldIsDerived": true,
    "IsWritableDerivedField": false,
    "IsMasked": false,
    "GrantKeyWhenReadable": "principal-process-steward|StepExecutions"
   },
   {
    "FieldGrantId": "fg-process-steward-StepExecutions.HasSkippedVerification",
    "Principal": "principal-process-steward",
    "TargetField": "StepExecutions.HasSkippedVerification",
    "CanRead": true,
    "CanWrite": false,
    "MaskStrategy": "plain",
    "SemanticTypeIri": "urn:effortless:pko-extension#FieldGrant",
    "Name": "principal-process-steward -&gt; StepExecutions.HasSkippedVerification",
    "FieldTable": "StepExecutions",
    "FieldName": "HasSkippedVerification",
    "FieldIsDerived": true,
    "IsWritableDerivedField": false,
    "IsMasked": false,
    "GrantKeyWhenReadable": "principal-process-steward|StepExecutions"
   },
   {
    "FieldGrantId": "fg-process-steward-StepExecutions.ClaimsPassWithoutEvidence",
    "Principal": "principal-process-steward",
    "TargetField": "StepExecutions.ClaimsPassWithoutEvidence",
    "CanRead": true,
    "CanWrite": false,
    "MaskStrategy": "plain",
    "SemanticTypeIri": "urn:effortless:pko-extension#FieldGrant",
    "Name": "principal-process-steward -&gt; StepExecutions.ClaimsPassWithoutEvidence",
    "FieldTable": "StepExecutions",
    "FieldName": "ClaimsPassWithoutEvidence",
    "FieldIsDerived": true,
    "IsWritableDerivedField": false,
    "IsMasked": false,
    "GrantKeyWhenReadable": "principal-process-steward|StepExecutions"
   },
   {
    "FieldGrantId": "fg-process-steward-StepExecutions.StepIsPreparation",
    "Principal": "principal-process-steward",
    "TargetField": "StepExecutions.StepIsPreparation",
    "CanRead": true,
    "CanWrite": false,
    "MaskStrategy": "plain",
    "SemanticTypeIri": "urn:effortless:pko-extension#FieldGrant",
    "Name": "principal-process-steward -&gt; StepExecutions.StepIsPreparation",
    "FieldTable": "StepExecutions",
    "FieldName": "StepIsPreparation",
    "FieldIsDerived": true,
    "IsWritableDerivedField": false,
    "IsMasked": false,
    "GrantKeyWhenReadable": "principal-process-steward|StepExecutions"
   },
   {
    "FieldGrantId": "fg-process-steward-StepExecutions.StepIsApproval",
    "Principal": "principal-process-steward",
    "TargetField": "StepExecutions.StepIsApproval",
    "CanRead": true,
    "CanWrite": false,
    "MaskStrategy": "plain",
    "SemanticTypeIri": "urn:effortless:pko-extension#FieldGrant",
    "Name": "principal-process-steward -&gt; StepExecutions.StepIsApproval",
    "FieldTable": "StepExecutions",
    "FieldName": "StepIsApproval",
    "FieldIsDerived": true,
    "IsWritableDerivedField": false,
    "IsMasked": false,
    "GrantKeyWhenReadable": "principal-process-steward|StepExecutions"
   },
   {
    "FieldGrantId": "fg-process-steward-StepExecutions.PreparerAgentKey",
    "Principal": "principal-process-steward",
    "TargetField": "StepExecutions.PreparerAgentKey",
    "CanRead": true,
    "CanWrite": false,
    "MaskStrategy": "plain",
    "SemanticTypeIri": "urn:effortless:pko-extension#FieldGrant",
    "Name": "principal-process-steward -&gt; StepExecutions.PreparerAgentKey",
    "FieldTable": "StepExecutions",
    "FieldName": "PreparerAgentKey",
    "FieldIsDerived": true,
    "IsWritableDerivedField": false,
    "IsMasked": false,
    "GrantKeyWhenReadable": "principal-process-steward|StepExecutions"
   },
   {
    "FieldGrantId": "fg-process-steward-StepExecutions.ApproverAgentKey",
    "Principal": "principal-process-steward",
    "TargetField": "StepExecutions.ApproverAgentKey",
    "CanRead": true,
    "CanWrite": false,
    "MaskStrategy": "plain",
    "SemanticTypeIri": "urn:effortless:pko-extension#FieldGrant",
    "Name": "principal-process-steward -&gt; StepExecutions.ApproverAgentKey",
    "FieldTable": "StepExecutions",
    "FieldName": "ApproverAgentKey",
    "FieldIsDerived": true,
    "IsWritableDerivedField": false,
    "IsMasked": false,
    "GrantKeyWhenReadable": "principal-process-steward|StepExecutions"
   },
   {
    "FieldGrantId": "fg-process-steward-StepExecutions.PreparedByThisAgentCount",
    "Principal": "principal-process-steward",
    "TargetField": "StepExecutions.PreparedByThisAgentCount",
    "CanRead": true,
    "CanWrite": false,
    "MaskStrategy": "plain",
    "SemanticTypeIri": "urn:effortless:pko-extension#FieldGrant",
    "Name": "principal-process-steward -&gt; StepExecutions.PreparedByThisAgentCount",
    "FieldTable": "StepExecutions",
    "FieldName": "PreparedByThisAgentCount",
    "FieldIsDerived": true,
    "IsWritableDerivedField": false,
    "IsMasked": false,
    "GrantKeyWhenReadable": "principal-process-steward|StepExecutions"
   },
   {
    "FieldGrantId": "fg-process-steward-StepExecutions.ViolatesSeparationOfDuties",
    "Principal": "principal-process-steward",
    "TargetField": "StepExecutions.ViolatesSeparationOfDuties",
    "CanRead": true,
    "CanWrite": false,
    "MaskStrategy": "plain",
    "SemanticTypeIri": "urn:effortless:pko-extension#FieldGrant",
    "Name": "principal-process-steward -&gt; StepExecutions.ViolatesSeparationOfDuties",
    "FieldTable": "StepExecutions",
    "FieldName": "ViolatesSeparationOfDuties",
    "FieldIsDerived": true,
    "IsWritableDerivedField": false,
    "IsMasked": false,
    "GrantKeyWhenReadable": "principal-process-steward|StepExecutions"
   },
   {
    "FieldGrantId": "fg-process-steward-StepExecutions.RequiredRoleForStep",
    "Principal": "principal-process-steward",
    "TargetField": "StepExecutions.RequiredRoleForStep",
    "CanRead": true,
    "CanWrite": false,
    "MaskStrategy": "plain",
    "SemanticTypeIri": "urn:effortless:pko-extension#FieldGrant",
    "Name": "principal-process-steward -&gt; StepExecutions.RequiredRoleForStep",
    "FieldTable": "StepExecutions",
    "FieldName": "RequiredRoleForStep",
    "FieldIsDerived": true,
    "IsWritableDerivedField": false,
    "IsMasked": false,
    "GrantKeyWhenReadable": "principal-process-steward|StepExecutions"
   },
   {
    "FieldGrantId": "fg-process-steward-StepExecutions.ExecutorRoleKey",
    "Principal": "principal-process-steward",
    "TargetField": "StepExecutions.ExecutorRoleKey",
    "CanRead": true,
    "CanWrite": false,
    "MaskStrategy": "plain",
    "SemanticTypeIri": "urn:effortless:pko-extension#FieldGrant",
    "Name": "principal-process-steward -&gt; StepExecutions.ExecutorRoleKey",
    "FieldTable": "StepExecutions",
    "FieldName": "ExecutorRoleKey",
    "FieldIsDerived": true,
    "IsWritableDerivedField": false,
    "IsMasked": false,
    "GrantKeyWhenReadable": "principal-process-steward|StepExecutions"
   },
   {
    "FieldGrantId": "fg-process-steward-StepExecutions.ExecutorAuthorityCount",
    "Principal": "principal-process-steward",
    "TargetField": "StepExecutions.ExecutorAuthorityCount",
    "CanRead": true,
    "CanWrite": false,
    "MaskStrategy": "plain",
    "SemanticTypeIri": "urn:effortless:pko-extension#FieldGrant",
    "Name": "principal-process-steward -&gt; StepExecutions.ExecutorAuthorityCount",
    "FieldTable": "StepExecutions",
    "FieldName": "ExecutorAuthorityCount",
    "FieldIsDerived": true,
    "IsWritableDerivedField": false,
    "IsMasked": false,
    "GrantKeyWhenReadable": "principal-process-steward|StepExecutions"
   },
   {
    "FieldGrantId": "fg-process-steward-StepExecutions.ExecutorHeldRequiredRole",
    "Principal": "principal-process-steward",
    "TargetField": "StepExecutions.ExecutorHeldRequiredRole",
    "CanRead": true,
    "CanWrite": false,
    "MaskStrategy": "plain",
    "SemanticTypeIri": "urn:effortless:pko-extension#FieldGrant",
    "Name": "principal-process-steward -&gt; StepExecutions.ExecutorHeldRequiredRole",
    "FieldTable": "StepExecutions",
    "FieldName": "ExecutorHeldRequiredRole",
    "FieldIsDerived": true,
    "IsWritableDerivedField": false,
    "IsMasked": false,
    "GrantKeyWhenReadable": "principal-process-steward|StepExecutions"
   },
   {
    "FieldGrantId": "fg-process-steward-StepExecutions.IsUnauthorizedApproval",
    "Principal": "principal-process-steward",
    "TargetField": "StepExecutions.IsUnauthorizedApproval",
    "CanRead": true,
    "CanWrite": false,
    "MaskStrategy": "plain",
    "SemanticTypeIri": "urn:effortless:pko-extension#FieldGrant",
    "Name": "principal-process-steward -&gt; StepExecutions.IsUnauthorizedApproval",
    "FieldTable": "StepExecutions",
    "FieldName": "IsUnauthorizedApproval",
    "FieldIsDerived": true,
    "IsWritableDerivedField": false,
    "IsMasked": false,
    "GrantKeyWhenReadable": "principal-process-steward|StepExecutions"
   },
   {
    "FieldGrantId": "fg-process-steward-StepExecutions.CompletedExecutionKey",
    "Principal": "principal-process-steward",
    "TargetField": "StepExecutions.CompletedExecutionKey",
    "CanRead": true,
    "CanWrite": false,
    "MaskStrategy": "plain",
    "SemanticTypeIri": "urn:effortless:pko-extension#FieldGrant",
    "Name": "principal-process-steward -&gt; StepExecutions.CompletedExecutionKey",
    "FieldTable": "StepExecutions",
    "FieldName": "CompletedExecutionKey",
    "FieldIsDerived": true,
    "IsWritableDerivedField": false,
    "IsMasked": false,
    "GrantKeyWhenReadable": "principal-process-steward|StepExecutions"
   },
   {
    "FieldGrantId": "fg-process-steward-StepExecutions.ControlBreachExecutionKey",
    "Principal": "principal-process-steward",
    "TargetField": "StepExecutions.ControlBreachExecutionKey",
    "CanRead": true,
    "CanWrite": false,
    "MaskStrategy": "plain",
    "SemanticTypeIri": "urn:effortless:pko-extension#FieldGrant",
    "Name": "principal-process-steward -&gt; StepExecutions.ControlBreachExecutionKey",
    "FieldTable": "StepExecutions",
    "FieldName": "ControlBreachExecutionKey",
    "FieldIsDerived": true,
    "IsWritableDerivedField": false,
    "IsMasked": false,
    "GrantKeyWhenReadable": "principal-process-steward|StepExecutions"
   },
   {
    "FieldGrantId": "fg-process-steward-StepExecutions.LateExecutionKey",
    "Principal": "principal-process-steward",
    "TargetField": "StepExecutions.LateExecutionKey",
    "CanRead": true,
    "CanWrite": false,
    "MaskStrategy": "plain",
    "SemanticTypeIri": "urn:effortless:pko-extension#FieldGrant",
    "Name": "principal-process-steward -&gt; StepExecutions.LateExecutionKey",
    "FieldTable": "StepExecutions",
    "FieldName": "LateExecutionKey",
    "FieldIsDerived": true,
    "IsWritableDerivedField": false,
    "IsMasked": false,
    "GrantKeyWhenReadable": "principal-process-steward|StepExecutions"
   },
   {
    "FieldGrantId": "fg-process-steward-StepExecutions.ExecutorAgentKind",
    "Principal": "principal-process-steward",
    "TargetField": "StepExecutions.ExecutorAgentKind",
    "CanRead": true,
    "CanWrite": false,
    "MaskStrategy": "plain",
    "SemanticTypeIri": "urn:effortless:pko-extension#FieldGrant",
    "Name": "principal-process-steward -&gt; StepExecutions.ExecutorAgentKind",
    "FieldTable": "StepExecutions",
    "FieldName": "ExecutorAgentKind",
    "FieldIsDerived": true,
    "IsWritableDerivedField": false,
    "IsMasked": false,
    "GrantKeyWhenReadable": "principal-process-steward|StepExecutions"
   },
   {
    "FieldGrantId": "fg-process-steward-StepExecutions.ExecutorIsHuman",
    "Principal": "principal-process-steward",
    "TargetField": "StepExecutions.ExecutorIsHuman",
    "CanRead": true,
    "CanWrite": false,
    "MaskStrategy": "plain",
    "SemanticTypeIri": "urn:effortless:pko-extension#FieldGrant",
    "Name": "principal-process-steward -&gt; StepExecutions.ExecutorIsHuman",
    "FieldTable": "StepExecutions",
    "FieldName": "ExecutorIsHuman",
    "FieldIsDerived": true,
    "IsWritableDerivedField": false,
    "IsMasked": false,
    "GrantKeyWhenReadable": "principal-process-steward|StepExecutions"
   },
   {
    "FieldGrantId": "fg-process-steward-StepExecutions.StepRequiresHumanConfirmation",
    "Principal": "principal-process-steward",
    "TargetField": "StepExecutions.StepRequiresHumanConfirmation",
    "CanRead": true,
    "CanWrite": false,
    "MaskStrategy": "plain",
    "SemanticTypeIri": "urn:effortless:pko-extension#FieldGrant",
    "Name": "principal-process-steward -&gt; StepExecutions.StepRequiresHumanConfirmation",
    "FieldTable": "StepExecutions",
    "FieldName": "StepRequiresHumanConfirmation",
    "FieldIsDerived": true,
    "IsWritableDerivedField": false,
    "IsMasked": false,
    "GrantKeyWhenReadable": "principal-process-steward|StepExecutions"
   },
   {
    "FieldGrantId": "fg-process-steward-StepExecutions.NonHumanRanHumanStep",
    "Principal": "principal-process-steward",
    "TargetField": "StepExecutions.NonHumanRanHumanStep",
    "CanRead": true,
    "CanWrite": false,
    "MaskStrategy": "plain",
    "SemanticTypeIri": "urn:effortless:pko-extension#FieldGrant",
    "Name": "principal-process-steward -&gt; StepExecutions.NonHumanRanHumanStep",
    "FieldTable": "StepExecutions",
    "FieldName": "NonHumanRanHumanStep",
    "FieldIsDerived": true,
    "IsWritableDerivedField": false,
    "IsMasked": false,
    "GrantKeyWhenReadable": "principal-process-steward|StepExecutions"
   },
   {
    "FieldGrantId": "fg-process-steward-StepExecutions.NonHumanApproval",
    "Principal": "principal-process-steward",
    "TargetField": "StepExecutions.NonHumanApproval",
    "CanRead": true,
    "CanWrite": false,
    "MaskStrategy": "plain",
    "SemanticTypeIri": "urn:effortless:pko-extension#FieldGrant",
    "Name": "principal-process-steward -&gt; StepExecutions.NonHumanApproval",
    "FieldTable": "StepExecutions",
    "FieldName": "NonHumanApproval",
    "FieldIsDerived": true,
    "IsWritableDerivedField": false,
    "IsMasked": false,
    "GrantKeyWhenReadable": "principal-process-steward|StepExecutions"
   },
   {
    "FieldGrantId": "fg-process-steward-StepExecutions.UnevaluatedBlockingExecutionKey",
    "Principal": "principal-process-steward",
    "TargetField": "StepExecutions.UnevaluatedBlockingExecutionKey",
    "CanRead": true,
    "CanWrite": false,
    "MaskStrategy": "plain",
    "SemanticTypeIri": "urn:effortless:pko-extension#FieldGrant",
    "Name": "principal-process-steward -&gt; StepExecutions.UnevaluatedBlockingExecutionKey",
    "FieldTable": "StepExecutions",
    "FieldName": "UnevaluatedBlockingExecutionKey",
    "FieldIsDerived": true,
    "IsWritableDerivedField": false,
    "IsMasked": false,
    "GrantKeyWhenReadable": "principal-process-steward|StepExecutions"
   },
   {
    "FieldGrantId": "fg-process-steward-StepExecutions.SeparationViolationExecutionKey",
    "Principal": "principal-process-steward",
    "TargetField": "StepExecutions.SeparationViolationExecutionKey",
    "CanRead": true,
    "CanWrite": false,
    "MaskStrategy": "plain",
    "SemanticTypeIri": "urn:effortless:pko-extension#FieldGrant",
    "Name": "principal-process-steward -&gt; StepExecutions.SeparationViolationExecutionKey",
    "FieldTable": "StepExecutions",
    "FieldName": "SeparationViolationExecutionKey",
    "FieldIsDerived": true,
    "IsWritableDerivedField": false,
    "IsMasked": false,
    "GrantKeyWhenReadable": "principal-process-steward|StepExecutions"
   },
   {
    "FieldGrantId": "fg-process-steward-StepExecutions.SelfWitnessedVerificationCount",
    "Principal": "principal-process-steward",
    "TargetField": "StepExecutions.SelfWitnessedVerificationCount",
    "CanRead": true,
    "CanWrite": false,
    "MaskStrategy": "plain",
    "SemanticTypeIri": "urn:effortless:pko-extension#FieldGrant",
    "Name": "principal-process-steward -&gt; StepExecutions.SelfWitnessedVerificationCount",
    "FieldTable": "StepExecutions",
    "FieldName": "SelfWitnessedVerificationCount",
    "FieldIsDerived": true,
    "IsWritableDerivedField": false,
    "IsMasked": false,
    "GrantKeyWhenReadable": "principal-process-steward|StepExecutions"
   },
   {
    "FieldGrantId": "fg-process-steward-StepExecutions.UnbackedVerificationCount",
    "Principal": "principal-process-steward",
    "TargetField": "StepExecutions.UnbackedVerificationCount",
    "CanRead": true,
    "CanWrite": false,
    "MaskStrategy": "plain",
    "SemanticTypeIri": "urn:effortless:pko-extension#FieldGrant",
    "Name": "principal-process-steward -&gt; StepExecutions.UnbackedVerificationCount",
    "FieldTable": "StepExecutions",
    "FieldName": "UnbackedVerificationCount",
    "FieldIsDerived": true,
    "IsWritableDerivedField": false,
    "IsMasked": false,
    "GrantKeyWhenReadable": "principal-process-steward|StepExecutions"
   },
   {
    "FieldGrantId": "fg-process-steward-StepExecutions.ApprovalRestsOnSelfAttestation",
    "Principal": "principal-process-steward",
    "TargetField": "StepExecutions.ApprovalRestsOnSelfAttestation",
    "CanRead": true,
    "CanWrite": false,
    "MaskStrategy": "plain",
    "SemanticTypeIri": "urn:effortless:pko-extension#FieldGrant",
    "Name": "principal-process-steward -&gt; StepExecutions.ApprovalRestsOnSelfAttestation",
    "FieldTable": "StepExecutions",
    "FieldName": "ApprovalRestsOnSelfAttestation",
    "FieldIsDerived": true,
    "IsWritableDerivedField": false,
    "IsMasked": false,
    "GrantKeyWhenReadable": "principal-process-steward|StepExecutions"
   },
   {
    "FieldGrantId": "fg-process-steward-StepExecutions.ExceptionInvocationCount",
    "Principal": "principal-process-steward",
    "TargetField": "StepExecutions.ExceptionInvocationCount",
    "CanRead": true,
    "CanWrite": false,
    "MaskStrategy": "plain",
    "SemanticTypeIri": "urn:effortless:pko-extension#FieldGrant",
    "Name": "principal-process-steward -&gt; StepExecutions.ExceptionInvocationCount",
    "FieldTable": "StepExecutions",
    "FieldName": "ExceptionInvocationCount",
    "FieldIsDerived": true,
    "IsWritableDerivedField": false,
    "IsMasked": false,
    "GrantKeyWhenReadable": "principal-process-steward|StepExecutions"
   },
   {
    "FieldGrantId": "fg-process-steward-StepExecutions.RanUnderException",
    "Principal": "principal-process-steward",
    "TargetField": "StepExecutions.RanUnderException",
    "CanRead": true,
    "CanWrite": false,
    "MaskStrategy": "plain",
    "SemanticTypeIri": "urn:effortless:pko-extension#FieldGrant",
    "Name": "principal-process-steward -&gt; StepExecutions.RanUnderException",
    "FieldTable": "StepExecutions",
    "FieldName": "RanUnderException",
    "FieldIsDerived": true,
    "IsWritableDerivedField": false,
    "IsMasked": false,
    "GrantKeyWhenReadable": "principal-process-steward|StepExecutions"
   },
   {
    "FieldGrantId": "fg-process-steward-StepExecutions.IsCompleted",
    "Principal": "principal-process-steward",
    "TargetField": "StepExecutions.IsCompleted",
    "CanRead": true,
    "CanWrite": false,
    "MaskStrategy": "plain",
    "SemanticTypeIri": "urn:effortless:pko-extension#FieldGrant",
    "Name": "principal-process-steward -&gt; StepExecutions.IsCompleted",
    "FieldTable": "StepExecutions",
    "FieldName": "IsCompleted",
    "FieldIsDerived": true,
    "IsWritableDerivedField": false,
    "IsMasked": false,
    "GrantKeyWhenReadable": "principal-process-steward|StepExecutions"
   },
   {
    "FieldGrantId": "fg-process-steward-StepExecutions.IsVerificationPassed",
    "Principal": "principal-process-steward",
    "TargetField": "StepExecutions.IsVerificationPassed",
    "CanRead": true,
    "CanWrite": false,
    "MaskStrategy": "plain",
    "SemanticTypeIri": "urn:effortless:pko-extension#FieldGrant",
    "Name": "principal-process-steward -&gt; StepExecutions.IsVerificationPassed",
    "FieldTable": "StepExecutions",
    "FieldName": "IsVerificationPassed",
    "FieldIsDerived": true,
    "IsWritableDerivedField": false,
    "IsMasked": false,
    "GrantKeyWhenReadable": "principal-process-steward|StepExecutions"
   },
   {
    "FieldGrantId": "fg-process-steward-StepExecutions.IsLegalReviewStep",
    "Principal": "principal-process-steward",
    "TargetField": "StepExecutions.IsLegalReviewStep",
    "CanRead": true,
    "CanWrite": false,
    "MaskStrategy": "plain",
    "SemanticTypeIri": "urn:effortless:pko-extension#FieldGrant",
    "Name": "principal-process-steward -&gt; StepExecutions.IsLegalReviewStep",
    "FieldTable": "StepExecutions",
    "FieldName": "IsLegalReviewStep",
    "FieldIsDerived": true,
    "IsWritableDerivedField": false,
    "IsMasked": false,
    "GrantKeyWhenReadable": "principal-process-steward|StepExecutions"
   },
   {
    "FieldGrantId": "fg-process-steward-StepEx</t>
  </si>
  <si>
    <t xml:space="preserve">ecutions.ClearedLegalReviewKey",
    "Principal": "principal-process-steward",
    "TargetField": "StepExecutions.ClearedLegalReviewKey",
    "CanRead": true,
    "CanWrite": false,
    "MaskStrategy": "plain",
    "SemanticTypeIri": "urn:effortless:pko-extension#FieldGrant",
    "Name": "principal-process-steward -&gt; StepExecutions.ClearedLegalReviewKey",
    "FieldTable": "StepExecutions",
    "FieldName": "ClearedLegalReviewKey",
    "FieldIsDerived": true,
    "IsWritableDerivedField": false,
    "IsMasked": false,
    "GrantKeyWhenReadable": "principal-process-steward|StepExecutions"
   },
   {
    "FieldGrantId": "fg-process-steward-StepExecutions.AssignedRole",
    "Principal": "principal-process-steward",
    "TargetField": "StepExecutions.AssignedRole",
    "CanRead": true,
    "CanWrite": false,
    "MaskStrategy": "plain",
    "SemanticTypeIri": "urn:effortless:pko-extension#FieldGrant",
    "Name": "principal-process-steward -&gt; StepExecutions.AssignedRole",
    "FieldTable": "StepExecutions",
    "FieldName": "AssignedRole",
    "FieldIsDerived": true,
    "IsWritableDerivedField": false,
    "IsMasked": false,
    "GrantKeyWhenReadable": "principal-process-steward|StepExecutions"
   },
   {
    "FieldGrantId": "fg-process-steward-StepExecutions.RoleCurrentAgent",
    "Principal": "principal-process-steward",
    "TargetField": "StepExecutions.RoleCurrentAgent",
    "CanRead": true,
    "CanWrite": false,
    "MaskStrategy": "plain",
    "SemanticTypeIri": "urn:effortless:pko-extension#FieldGrant",
    "Name": "principal-process-steward -&gt; StepExecutions.RoleCurrentAgent",
    "FieldTable": "StepExecutions",
    "FieldName": "RoleCurrentAgent",
    "FieldIsDerived": true,
    "IsWritableDerivedField": false,
    "IsMasked": false,
    "GrantKeyWhenReadable": "principal-process-steward|StepExecutions"
   },
   {
    "FieldGrantId": "fg-process-steward-StepExecutions.ExecutorIsDesignatedAgent",
    "Principal": "principal-process-steward",
    "TargetField": "StepExecutions.ExecutorIsDesignatedAgent",
    "CanRead": true,
    "CanWrite": false,
    "MaskStrategy": "plain",
    "SemanticTypeIri": "urn:effortless:pko-extension#FieldGrant",
    "Name": "principal-process-steward -&gt; StepExecutions.ExecutorIsDesignatedAgent",
    "FieldTable": "StepExecutions",
    "FieldName": "ExecutorIsDesignatedAgent",
    "FieldIsDerived": true,
    "IsWritableDerivedField": false,
    "IsMasked": false,
    "GrantKeyWhenReadable": "principal-process-steward|StepExecutions"
   },
   {
    "FieldGrantId": "fg-process-steward-StepExecutions.InputsWereFreshAtRun",
    "Principal": "principal-process-steward",
    "TargetField": "StepExecutions.InputsWereFreshAtRun",
    "CanRead": true,
    "CanWrite": false,
    "MaskStrategy": "plain",
    "SemanticTypeIri": "urn:effortless:pko-extension#FieldGrant",
    "Name": "principal-process-steward -&gt; StepExecutions.InputsWereFreshAtRun",
    "FieldTable": "StepExecutions",
    "FieldName": "InputsWereFreshAtRun",
    "FieldIsDerived": true,
    "IsWritableDerivedField": false,
    "IsMasked": false,
    "GrantKeyWhenReadable": "principal-process-steward|StepExecutions"
   },
   {
    "FieldGrantId": "fg-process-steward-StepExecutions.RanOnStaleInputs",
    "Principal": "principal-process-steward",
    "TargetField": "StepExecutions.RanOnStaleInputs",
    "CanRead": true,
    "CanWrite": false,
    "MaskStrategy": "plain",
    "SemanticTypeIri": "urn:effortless:pko-extension#FieldGrant",
    "Name": "principal-process-steward -&gt; StepExecutions.RanOnStaleInputs",
    "FieldTable": "StepExecutions",
    "FieldName": "RanOnStaleInputs",
    "FieldIsDerived": true,
    "IsWritableDerivedField": false,
    "IsMasked": false,
    "GrantKeyWhenReadable": "principal-process-steward|StepExecutions"
   },
   {
    "FieldGrantId": "fg-process-steward-StepExecutions.UnresolvedIssueCount",
    "Principal": "principal-process-steward",
    "TargetField": "StepExecutions.UnresolvedIssueCount",
    "CanRead": true,
    "CanWrite": false,
    "MaskStrategy": "plain",
    "SemanticTypeIri": "urn:effortless:pko-extension#FieldGrant",
    "Name": "principal-process-steward -&gt; StepExecutions.UnresolvedIssueCount",
    "FieldTable": "StepExecutions",
    "FieldName": "UnresolvedIssueCount",
    "FieldIsDerived": true,
    "IsWritableDerivedField": false,
    "IsMasked": false,
    "GrantKeyWhenReadable": "principal-process-steward|StepExecutions"
   },
   {
    "FieldGrantId": "fg-process-steward-StepExecutions.HasDeviation",
    "Principal": "principal-process-steward",
    "TargetField": "StepExecutions.HasDeviation",
    "CanRead": true,
    "CanWrite": false,
    "MaskStrategy": "plain",
    "SemanticTypeIri": "urn:effortless:pko-extension#FieldGrant",
    "Name": "principal-process-steward -&gt; StepExecutions.HasDeviation",
    "FieldTable": "StepExecutions",
    "FieldName": "HasDeviation",
    "FieldIsDerived": true,
    "IsWritableDerivedField": false,
    "IsMasked": false,
    "GrantKeyWhenReadable": "principal-process-steward|StepExecutions"
   },
   {
    "FieldGrantId": "fg-process-steward-StepExecutions.IsClean",
    "Principal": "principal-process-steward",
    "TargetField": "StepExecutions.IsClean",
    "CanRead": true,
    "CanWrite": false,
    "MaskStrategy": "plain",
    "SemanticTypeIri": "urn:effortless:pko-extension#FieldGrant",
    "Name": "principal-process-steward -&gt; StepExecutions.IsClean",
    "FieldTable": "StepExecutions",
    "FieldName": "IsClean",
    "FieldIsDerived": true,
    "IsWritableDerivedField": false,
    "IsMasked": false,
    "GrantKeyWhenReadable": "principal-process-steward|StepExecutions"
   },
   {
    "FieldGrantId": "fg-process-steward-StepExecutions.ProcedureExecutionWhenUnclean",
    "Principal": "principal-process-steward",
    "TargetField": "StepExecutions.ProcedureExecutionWhenUnclean",
    "CanRead": true,
    "CanWrite": false,
    "MaskStrategy": "plain",
    "SemanticTypeIri": "urn:effortless:pko-extension#FieldGrant",
    "Name": "principal-process-steward -&gt; StepExecutions.ProcedureExecutionWhenUnclean",
    "FieldTable": "StepExecutions",
    "FieldName": "ProcedureExecutionWhenUnclean",
    "FieldIsDerived": true,
    "IsWritableDerivedField": false,
    "IsMasked": false,
    "GrantKeyWhenReadable": "principal-process-steward|StepExecutions"
   },
   {
    "FieldGrantId": "fg-process-steward-StepExecutions.EvaluatedRequirementCount",
    "Principal": "principal-process-steward",
    "TargetField": "StepExecutions.EvaluatedRequirementCount",
    "CanRead": true,
    "CanWrite": false,
    "MaskStrategy": "plain",
    "SemanticTypeIri": "urn:effortless:pko-extension#FieldGrant",
    "Name": "principal-process-steward -&gt; StepExecutions.EvaluatedRequirementCount",
    "FieldTable": "StepExecutions",
    "FieldName": "EvaluatedRequirementCount",
    "FieldIsDerived": true,
    "IsWritableDerivedField": false,
    "IsMasked": false,
    "GrantKeyWhenReadable": "principal-process-steward|StepExecutions"
   },
   {
    "FieldGrantId": "fg-process-steward-StepExecutions.RequiredBlockingCount",
    "Principal": "principal-process-steward",
    "TargetField": "StepExecutions.RequiredBlockingCount",
    "CanRead": true,
    "CanWrite": false,
    "MaskStrategy": "plain",
    "SemanticTypeIri": "urn:effortless:pko-extension#FieldGrant",
    "Name": "principal-process-steward -&gt; StepExecutions.RequiredBlockingCount",
    "FieldTable": "StepExecutions",
    "FieldName": "RequiredBlockingCount",
    "FieldIsDerived": true,
    "IsWritableDerivedField": false,
    "IsMasked": false,
    "GrantKeyWhenReadable": "principal-process-steward|StepExecutions"
   },
   {
    "FieldGrantId": "fg-process-steward-StepExecutions.HasUnevaluatedBlockingRequirement",
    "Principal": "principal-process-steward",
    "TargetField": "StepExecutions.HasUnevaluatedBlockingRequirement",
    "CanRead": true,
    "CanWrite": false,
    "MaskStrategy": "plain",
    "SemanticTypeIri": "urn:effortless:pko-extension#FieldGrant",
    "Name": "principal-process-steward -&gt; StepExecutions.HasUnevaluatedBlockingRequirement",
    "FieldTable": "StepExecutions",
    "FieldName": "HasUnevaluatedBlockingRequirement",
    "FieldIsDerived": true,
    "IsWritableDerivedField": false,
    "IsMasked": false,
    "GrantKeyWhenReadable": "principal-process-steward|StepExecutions"
   },
   {
    "FieldGrantId": "fg-process-steward-StepExecutions.ExecutingAgentKind",
    "Principal": "principal-process-steward",
    "TargetField": "StepExecutions.ExecutingAgentKind",
    "CanRead": true,
    "CanWrite": false,
    "MaskStrategy": "plain",
    "SemanticTypeIri": "urn:effortless:pko-extension#FieldGrant",
    "Name": "principal-process-steward -&gt; StepExecutions.ExecutingAgentKind",
    "FieldTable": "StepExecutions",
    "FieldName": "ExecutingAgentKind",
    "FieldIsDerived": true,
    "IsWritableDerivedField": false,
    "IsMasked": false,
    "GrantKeyWhenReadable": "principal-process-steward|StepExecutions"
   },
   {
    "FieldGrantId": "fg-process-steward-StepExecutions.WasExecutedBySoftware",
    "Principal": "principal-process-steward",
    "TargetField": "StepExecutions.WasExecutedBySoftware",
    "CanRead": true,
    "CanWrite": false,
    "MaskStrategy": "plain",
    "SemanticTypeIri": "urn:effortless:pko-extension#FieldGrant",
    "Name": "principal-process-steward -&gt; StepExecutions.WasExecutedBySoftware",
    "FieldTable": "StepExecutions",
    "FieldName": "WasExecutedBySoftware",
    "FieldIsDerived": true,
    "IsWritableDerivedField": false,
    "IsMasked": false,
    "GrantKeyWhenReadable": "principal-process-steward|StepExecutions"
   },
   {
    "FieldGrantId": "fg-process-steward-StepExecutions.StepIsSoftwareAssigned",
    "Principal": "principal-process-steward",
    "TargetField": "StepExecutions.StepIsSoftwareAssigned",
    "CanRead": true,
    "CanWrite": false,
    "MaskStrategy": "plain",
    "SemanticTypeIri": "urn:effortless:pko-extension#FieldGrant",
    "Name": "principal-process-steward -&gt; StepExecutions.StepIsSoftwareAssigned",
    "FieldTable": "StepExecutions",
    "FieldName": "StepIsSoftwareAssigned",
    "FieldIsDerived": true,
    "IsWritableDerivedField": false,
    "IsMasked": false,
    "GrantKeyWhenReadable": "principal-process-steward|StepExecutions"
   },
   {
    "FieldGrantId": "fg-process-steward-StepExecutions.SoftwareDidHumanWork",
    "Principal": "principal-process-steward",
    "TargetField": "StepExecutions.SoftwareDidHumanWork",
    "CanRead": true,
    "CanWrite": false,
    "MaskStrategy": "plain",
    "SemanticTypeIri": "urn:effortless:pko-extension#FieldGrant",
    "Name": "principal-process-steward -&gt; StepExecutions.SoftwareDidHumanWork",
    "FieldTable": "StepExecutions",
    "FieldName": "SoftwareDidHumanWork",
    "FieldIsDerived": true,
    "IsWritableDerivedField": false,
    "IsMasked": false,
    "GrantKeyWhenReadable": "principal-process-steward|StepExecutions"
   },
   {
    "FieldGrantId": "fg-process-steward-StepExecutions.IsApprovalExecution",
    "Principal": "principal-process-steward",
    "TargetField": "StepExecutions.IsApprovalExecution",
    "CanRead": true,
    "CanWrite": false,
    "MaskStrategy": "plain",
    "SemanticTypeIri": "urn:effortless:pko-extension#FieldGrant",
    "Name": "principal-process-steward -&gt; StepExecutions.IsApprovalExecution",
    "FieldTable": "StepExecutions",
    "FieldName": "IsApprovalExecution",
    "FieldIsDerived": true,
    "IsWritableDerivedField": false,
    "IsMasked": false,
    "GrantKeyWhenReadable": "principal-process-steward|StepExecutions"
   },
   {
    "FieldGrantId": "fg-process-steward-StepExecutions.IsVerified",
    "Principal": "principal-process-steward",
    "TargetField": "StepExecutions.IsVerified",
    "CanRead": true,
    "CanWrite": false,
    "MaskStrategy": "plain",
    "SemanticTypeIri": "urn:effortless:pko-extension#FieldGrant",
    "Name": "principal-process-steward -&gt; StepExecutions.IsVerified",
    "FieldTable": "StepExecutions",
    "FieldName": "IsVerified",
    "FieldIsDerived": true,
    "IsWritableDerivedField": false,
    "IsMasked": false,
    "GrantKeyWhenReadable": "principal-process-steward|StepExecutions"
   },
   {
    "FieldGrantId": "fg-process-steward-StepExecutions.UnconfirmedNonHumanDecisionCount",
    "Principal": "principal-process-steward",
    "TargetField": "StepExecutions.UnconfirmedNonHumanDecisionCount",
    "CanRead": true,
    "CanWrite": false,
    "MaskStrategy": "plain",
    "SemanticTypeIri": "urn:effortless:pko-extension#FieldGrant",
    "Name": "principal-process-steward -&gt; StepExecutions.UnconfirmedNonHumanDecisionCount",
    "FieldTable": "StepExecutions",
    "FieldName": "UnconfirmedNonHumanDecisionCount",
    "FieldIsDerived": true,
    "IsWritableDerivedField": false,
    "IsMasked": false,
    "GrantKeyWhenReadable": "principal-process-steward|StepExecutions"
   },
   {
    "FieldGrantId": "fg-process-steward-StepExecutions.RequiresHumanConfirmation",
    "Principal": "principal-process-steward",
    "TargetField": "StepExecutions.RequiresHumanConfirmation",
    "CanRead": true,
    "CanWrite": false,
    "MaskStrategy": "plain",
    "SemanticTypeIri": "urn:effortless:pko-extension#FieldGrant",
    "Name": "principal-process-steward -&gt; StepExecutions.RequiresHumanConfirmation",
    "FieldTable": "StepExecutions",
    "FieldName": "RequiresHumanConfirmation",
    "FieldIsDerived": true,
    "IsWritableDerivedField": false,
    "IsMasked": false,
    "GrantKeyWhenReadable": "principal-process-steward|StepExecutions"
   },
   {
    "FieldGrantId": "fg-process-steward-StepExecutions.HumanConfirmationMissing",
    "Principal": "principal-process-steward",
    "TargetField": "StepExecutions.HumanConfirmationMissing",
    "CanRead": true,
    "CanWrite": false,
    "MaskStrategy": "plain",
    "SemanticTypeIri": "urn:effortless:pko-extension#FieldGrant",
    "Name": "principal-process-steward -&gt; StepExecutions.HumanConfirmationMissing",
    "FieldTable": "StepExecutions",
    "FieldName": "HumanConfirmationMissing",
    "FieldIsDerived": true,
    "IsWritableDerivedField": false,
    "IsMasked": false,
    "GrantKeyWhenReadable": "principal-process-steward|StepExecutions"
   },
   {
    "FieldGrantId": "fg-process-steward-StepExecutions.DraftedFromUnusableSource",
    "Principal": "principal-process-steward",
    "TargetField": "StepExecutions.DraftedFromUnusableSource",
    "CanRead": true,
    "CanWrite": false,
    "MaskStrategy": "plain",
    "SemanticTypeIri": "urn:effortless:pko-extension#FieldGrant",
    "Name": "principal-process-steward -&gt; StepExecutions.DraftedFromUnusableSource",
    "FieldTable": "StepExecutions",
    "FieldName": "DraftedFromUnusableSource",
    "FieldIsDerived": true,
    "IsWritableDerivedField": false,
    "IsMasked": false,
    "GrantKeyWhenReadable": "principal-process-steward|StepExecutions"
   },
   {
    "FieldGrantId": "fg-process-steward-StepExecutions.InputsWereUsable",
    "Principal": "principal-process-steward",
    "TargetField": "StepExecutions.InputsWereUsable",
    "CanRead": true,
    "CanWrite": false,
    "MaskStrategy": "plain",
    "SemanticTypeIri": "urn:effortless:pko-extension#FieldGrant",
    "Name": "principal-process-steward -&gt; StepExecutions.InputsWereUsable",
    "FieldTable": "StepExecutions",
    "FieldName": "InputsWereUsable",
    "FieldIsDerived": true,
    "IsWritableDerivedField": false,
    "IsMasked": false,
    "GrantKeyWhenReadable": "principal-process-steward|StepExecutions"
   },
   {
    "FieldGrantId": "fg-process-steward-StepExecutions.SoftwareExecutionStepKey",
    "Principal": "principal-process-steward",
    "TargetField": "StepExecutions.SoftwareExecutionStepKey",
    "CanRead": true,
    "CanWrite": false,
    "MaskStrategy": "plain",
    "SemanticTypeIri": "urn:effortless:pko-extension#FieldGrant",
    "Name": "principal-process-steward -&gt; StepExecutions.SoftwareExecutionStepKey",
    "FieldTable": "StepExecutions",
    "FieldName": "SoftwareExecutionStepKey",
    "FieldIsDerived": true,
    "IsWritableDerivedField": false,
    "IsMasked": false,
    "GrantKeyWhenReadable": "principal-process-steward|StepExecutions"
   },
   {
    "FieldGrantId": "fg-process-steward-StepExecutions.StepControlKind",
    "Principal": "principal-process-steward",
    "TargetField": "StepExecutions.StepControlKind",
    "CanRead": true,
    "CanWrite": false,
    "MaskStrategy": "plain",
    "SemanticTypeIri": "urn:effortless:pko-extension#FieldGrant",
    "Name": "principal-process-steward -&gt; StepExecutions.StepControlKind",
    "FieldTable": "StepExecutions",
    "FieldName": "StepControlKind",
    "FieldIsDerived": true,
    "IsWritableDerivedField": false,
    "IsMasked": false,
    "GrantKeyWhenReadable": "principal-process-steward|StepExecutions"
   },
   {
    "FieldGrantId": "fg-process-steward-StepExecutions.UnfalsifiedClearanceCount",
    "Principal": "principal-process-steward",
    "TargetField": "StepExecutions.UnfalsifiedClearanceCount",
    "CanRead": true,
    "CanWrite": false,
    "MaskStrategy": "plain",
    "SemanticTypeIri": "urn:effortless:pko-extension#FieldGrant",
    "Name": "principal-process-steward -&gt; StepExecutions.UnfalsifiedClearanceCount",
    "FieldTable": "StepExecutions",
    "FieldName": "UnfalsifiedClearanceCount",
    "FieldIsDerived": true,
    "IsWritableDerivedField": false,
    "IsMasked": false,
    "GrantKeyWhenReadable": "principal-process-steward|StepExecutions"
   },
   {
    "FieldGrantId": "fg-process-steward-StepExecutions.AllClearancesAreUnfalsified",
    "Principal": "principal-process-steward",
    "TargetField": "StepExecutions.AllClearancesAreUnfalsified",
    "CanRead": true,
    "CanWrite": false,
    "MaskStrategy": "plain",
    "SemanticTypeIri": "urn:effortless:pko-extension#FieldGrant",
    "Name": "principal-process-steward -&gt; StepExecutions.AllClearancesAreUnfalsified",
    "FieldTable": "StepExecutions",
    "FieldName": "AllClearancesAreUnfalsified",
    "FieldIsDerived": true,
    "IsWritableDerivedField": false,
    "IsMasked": false,
    "GrantKeyWhenReadable": "principal-process-steward|StepExecutions"
   },
   {
    "FieldGrantId": "fg-process-steward-StepExecutions.StaleAtRunCount",
    "Principal": "principal-process-steward",
    "TargetField": "StepExecutions.StaleAtRunCount",
    "CanRead": true,
    "CanWrite": false,
    "MaskStrategy": "plain",
    "SemanticTypeIri": "urn:effortless:pko-extension#FieldGrant",
    "Name": "principal-process-steward -&gt; StepExecutions.StaleAtRunCount",
    "FieldTable": "StepExecutions",
    "FieldName": "StaleAtRunCount",
    "FieldIsDerived": true,
    "IsWritableDerivedField": false,
    "IsMasked": false,
    "GrantKeyWhenReadable": "principal-process-steward|StepExecutions"
   },
   {
    "FieldGrantId": "fg-process-steward-StepExecutions.WasStaleWhenIRanIt",
    "Principal": "principal-process-steward",
    "TargetField": "StepExecutions.WasStaleWhenIRanIt",
    "CanRead": true,
    "CanWrite": false,
    "MaskStrategy": "plain",
    "SemanticTypeIri": "urn:effortless:pko-extension#FieldGrant",
    "Name": "principal-process-steward -&gt; StepExecutions.WasStaleWhenIRanIt",
    "FieldTable": "StepExecutions",
    "FieldName": "WasStaleWhenIRanIt",
    "FieldIsDerived": true,
    "IsWritableDerivedField": false,
    "IsMasked": false,
    "GrantKeyWhenReadable": "principal-process-steward|StepExecutions"
   },
   {
    "FieldGrantId": "fg-process-steward-StepExecutions.StalenessAnswerIsTenseDependent",
    "Principal": "principal-process-steward",
    "TargetField": "StepExecutions.StalenessAnswerIsTenseDependent",
    "CanRead": true,
    "CanWrite": false,
    "MaskStrategy": "plain",
    "SemanticTypeIri": "urn:effortless:pko-extension#FieldGrant",
    "Name": "principal-process-steward -&gt; StepExecutions.StalenessAnswerIsTenseDependent",
    "FieldTable": "StepExecutions",
    "FieldName": "StalenessAnswerIsTenseDependent",
    "FieldIsDerived": true,
    "IsWritableDerivedField": false,
    "IsMasked": false,
    "GrantKeyWhenReadable": "principal-process-steward|StepExecutions"
   },
   {
    "FieldGrantId": "fg-process-steward-StepExecutions.HasAnyDeclaredCheck",
    "Principal": "principal-process-steward",
    "TargetField": "StepExecutions.HasAnyDeclaredCheck",
    "CanRead": true,
    "CanWrite": false,
    "MaskStrategy": "plain",
    "SemanticTypeIri": "urn:effortless:pko-extension#FieldGrant",
    "Name": "principal-process-steward -&gt; StepExecutions.HasAnyDeclaredCheck",
    "FieldTable": "StepExecutions",
    "FieldName": "HasAnyDeclaredCheck",
    "FieldIsDerived": true,
    "IsWritableDerivedField": false,
    "IsMasked": false,
    "GrantKeyWhenReadable": "principal-process-steward|StepExecutions"
   },
   {
    "FieldGrantId": "fg-process-steward-StepExecutions.PerformedCheckCount",
    "Principal": "principal-process-steward",
    "TargetField": "StepExecutions.PerformedCheckCount",
    "CanRead": true,
    "CanWrite": false,
    "MaskStrategy": "plain",
    "SemanticTypeIri": "urn:effortless:pko-extension#FieldGrant",
    "Name": "principal-process-steward -&gt; StepExecutions.PerformedCheckCount",
    "FieldTable": "StepExecutions",
    "FieldName": "PerformedCheckCount",
    "FieldIsDerived": true,
    "IsWritableDerivedField": false,
    "IsMasked": false,
    "GrantKeyWhenReadable": "principal-process-steward|StepExecutions"
   },
   {
    "FieldGrantId": "fg-process-steward-StepExecutions.DeclaredCheckCount",
    "Principal": "principal-process-steward",
    "TargetField": "StepExecutions.DeclaredCheckCount",
    "CanRead": true,
    "CanWrite": false,
    "MaskStrategy": "plain",
    "SemanticTypeIri": "urn:effortless:pko-extension#FieldGrant",
    "Name": "principal-process-steward -&gt; StepExecutions.DeclaredCheckCount",
    "FieldTable": "StepExecutions",
    "FieldName": "DeclaredCheckCount",
    "FieldIsDerived": true,
    "IsWritableDerivedField": false,
    "IsMasked": false,
    "GrantKeyWhenReadable": "principal-process-steward|StepExecutions"
   },
   {
    "FieldGrantId": "fg-process-steward-StepExecutions.IsUncheckedByDesign",
    "Principal": "principal-process-steward",
    "TargetField": "StepExecutions.IsUncheckedByDesign",
    "CanRead": true,
    "CanWrite": false,
    "MaskStrategy": "plain",
    "SemanticTypeIri": "urn:effortless:pko-extension#FieldGrant",
    "Name": "principal-process-steward -&gt; StepExecutions.IsUncheckedByDesign",
    "FieldTable": "StepExecutions",
    "FieldName": "IsUncheckedByDesign",
    "FieldIsDerived": true,
    "IsWritableDerivedField": false,
    "IsMasked": false,
    "GrantKeyWhenReadable": "principal-process-steward|StepExecutions"
   },
   {
    "FieldGrantId": "fg-process-steward-StepExecutions.IsVacuouslyClean",
    "Principal": "principal-process-steward",
    "TargetField": "StepExecutions.IsVacuouslyClean",
    "CanRead": true,
    "CanWrite": false,
    "MaskStrategy": "plain",
    "SemanticTypeIri": "urn:effortless:pko-extension#FieldGrant",
    "Name": "principal-process-steward -&gt; StepExecutions.IsVacuouslyClean",
    "FieldTable": "StepExecutions",
    "FieldName": "IsVacuouslyClean",
    "FieldIsDerived": true,
    "IsWritableDerivedField": false,
    "IsMasked": false,
    "GrantKeyWhenReadable": "principal-process-steward|StepExecutions"
   },
   {
    "FieldGrantId": "fg-process-steward-StepExecutions.IsSubstantivelyClean",
    "Principal": "principal-process-steward",
    "TargetField": "StepExecutions.IsSubstantivelyClean",
    "CanRead": true,
    "CanWrite": false,
    "MaskStrategy": "plain",
    "SemanticTypeIri": "urn:effortless:pko-extension#FieldGrant",
    "Name": "principal-process-steward -&gt; StepExecutions.IsSubstantivelyClean",
    "FieldTable": "StepExecutions",
    "FieldName": "IsSubstantivelyClean",
    "FieldIsDerived": true,
    "IsWritableDerivedField": false,
    "IsMasked": false,
    "GrantKeyWhenReadable": "principal-process-steward|StepExecutions"
   },
   {
    "FieldGrantId": "fg-process-steward-StepExecutions.VacuouslyCleanExecutionKey",
    "Principal": "principal-process-steward",
    "TargetField": "StepExecutions.VacuouslyCleanExecutionKey",
    "CanRead": true,
    "CanWrite": false,
    "MaskStrategy": "plain",
    "SemanticTypeIri": "urn:effortless:pko-extension#FieldGrant",
    "Name": "principal-process-steward -&gt; StepExecutions.VacuouslyCleanExecutionKey",
    "FieldTable": "StepExecutions",
    "FieldName": "VacuouslyCleanExecutionKey",
    "FieldIsDerived": true,
    "IsWritableDerivedField": false,
    "IsMasked": false,
    "GrantKeyWhenReadable": "principal-process-steward|StepExecutions"
   },
   {
    "FieldGrantId": "fg-process-steward-StepExecutions.UncorroboratedPassCount",
    "Principal": "principal-process-steward",
    "TargetField": "StepExecutions.UncorroboratedPassCount",
    "CanRead": true,
    "CanWrite": false,
    "MaskStrategy": "plain",
    "SemanticTypeIri": "urn:effortless:pko-extension#FieldGrant",
    "Name": "principal-process-steward -&gt; StepExecutions.UncorroboratedPassCount",
    "FieldTable": "StepExecutions",
    "FieldName": "UncorroboratedPassCount",
    "FieldIsDerived": true,
    "IsWritableDerivedField": false,
    "IsMasked": false,
    "GrantKeyWhenReadable": "principal-process-steward|StepExecutions"
   },
   {
    "FieldGrantId": "fg-process-steward-StepExecutions.EvidencePositionIsWeak",
    "Principal": "principal-process-steward",
    "TargetField": "StepExecutions.EvidencePositionIsWeak",
    "CanRead": true,
    "CanWrite": false,
    "MaskStrategy": "plain",
    "SemanticTypeIri": "urn:effortless:pko-extension#FieldGrant",
    "Name": "principal-process-steward -&gt; StepExecutions.EvidencePositionIsWeak",
    "FieldTable": "StepExecutions",
    "FieldName": "EvidencePositionIsWeak",
    "FieldIsDerived": true,
    "IsWritableDerivedField": false,
    "IsMasked": false,
    "GrantKeyWhenReadable": "principal-process-steward|StepExecutions"
   },
   {
    "FieldGrantId": "fg-process-steward-StepExecutions.PreparationExecutionKey",
    "Principal": "principal-process-steward",
    "TargetField": "StepExecutions.PreparationExecutionKey",
    "CanRead": true,
    "CanWrite": false,
    "MaskStrategy": "plain",
    "SemanticTypeIri": "urn:effortless:pko-extension#FieldGrant",
    "Name": "principal-process-steward -&gt; StepExecutions.PreparationExecutionKey",
    "FieldTable": "StepExecutions",
    "FieldName": "PreparationExecutionKey",
    "FieldIsDerived": true,
    "IsWritableDerivedField": false,
    "IsMasked": false,
    "GrantKeyWhenReadable": "principal-process-steward|StepExecutions"
   },
   {
    "FieldGrantId": "fg-process-steward-StepExecutions.ApprovalExecutionKey",
    "Principal": "principal-process-steward",
    "TargetField": "StepExecutions.ApprovalExecutionKey",
    "CanRead": true,
    "CanWrite": false,
    "MaskStrategy": "plain",
    "SemanticTypeIri": "urn:effortless:pko-extension#FieldGrant",
    "Name": "principal-process-steward -&gt; StepExecutions.ApprovalExecutionKey",
    "FieldTable": "StepExecutions",
    "FieldName": "ApprovalExecutionKey",
    "FieldIsDerived": true,
    "IsWritableDerivedField": false,
    "IsMasked": false,
    "GrantKeyWhenReadable": "principal-process-steward|StepExecutions"
   },
   {
    "FieldGrantId": "fg-process-steward-StepExecutions.HasGoverningInstrument",
    "Principal": "principal-process-steward",
    "TargetField": "StepExecutions.HasGoverningInstrument",
    "CanRead": true,
    "CanWrite": false,
    "MaskStrategy": "plain",
    "SemanticTypeIri": "urn:effortless:pko-extension#FieldGrant",
    "Name": "principal-process-steward -&gt; StepExecutions.HasGoverningInstrument",
    "FieldTable": "StepExecutions",
    "FieldName": "HasGoverningInstrument",
    "FieldIsDerived": true,
    "IsWritableDerivedField": false,
    "IsMasked": false,
    "GrantKeyWhenReadable": "principal-process-steward|StepExecutions"
   },
   {
    "FieldGrantId": "fg-process-steward-StepExecutions.HasApprovedChangeCoverage",
    "Principal": "principal-process-steward",
    "TargetField": "StepExecutions.HasApprovedChangeCoverage",
    "CanRead": true,
    "CanWrite": false,
    "MaskStrategy": "plain",
    "SemanticTypeIri": "urn:effortless:pko-extension#FieldGrant",
    "Name": "principal-process-steward -&gt; StepExecutions.HasApprovedChangeCoverage",
    "FieldTable": "StepExecutions",
    "FieldName": "HasApprovedChangeCoverage",
    "FieldIsDerived": true,
    "IsWritableDerivedField": false,
    "IsMasked": false,
    "GrantKeyWhenReadable": "principal-process-steward|StepExecutions"
   },
   {
    "FieldGrantId": "fg-process-steward-StepExecutions.VersionOfStep",
    "Principal": "principal-process-steward",
    "TargetField": "StepExecutions.VersionOfStep",
    "CanRead": true,
    "CanWrite": false,
    "MaskStrategy": "plain",
    "SemanticTypeIri": "urn:effortless:pko-extension#FieldGrant",
    "Name": "principal-process-steward -&gt; StepExecutions.VersionOfStep",
    "FieldTable": "StepExecutions",
    "FieldName": "VersionOfStep",
    "FieldIsDerived": true,
    "IsWritableDerivedField": false,
    "IsMasked": false,
    "GrantKeyWhenReadable": "principal-process-steward|StepExecutions"
   },
   {
    "FieldGrantId": "fg-process-steward-StepExecutions.IsUngovernedDivergence",
    "Principal": "principal-process-steward",
    "TargetField": "StepExecutions.IsUngovernedDivergence",
    "CanRead": true,
    "CanWrite": false,
    "MaskStrategy": "plain",
    "SemanticTypeIri": "urn:effortless:pko-extension#FieldGrant",
    "Name": "principal-process-steward -&gt; StepExecutions.IsUngovernedDivergence",
    "FieldTable": "StepExecutions",
    "FieldName": "IsUngovernedDivergence",
    "FieldIsDerived": true,
    "IsWritableDerivedField": false,
    "IsMasked": false,
    "GrantKeyWhenReadable": "principal-process-steward|StepExecutions"
   },
   {
    "FieldGrantId": "fg-process-steward-StepExecutions.UngovernedDivergenceExecutionKey",
    "Principal": "principal-process-steward",
    "TargetField": "StepExecutions.UngovernedDivergenceExecutionKey",
    "CanRead": true,
    "CanWrite": false,
    "MaskStrategy": "plain",
    "SemanticTypeIri": "urn:effortless:pko-extension#FieldGrant",
    "Name": "principal-process-steward -&gt; StepExecutions.UngovernedDivergenceExecutionKey",
    "FieldTable": "StepExecutions",
    "FieldName": "UngovernedDivergenceExecutionKey",
    "FieldIsDerived": true,
    "IsWritableDerivedField": false,
    "IsMasked": false,
    "GrantKeyWhenReadable": "principal-process-steward|StepExecutions"
   },
   {
    "FieldGrantId": "fg-process-steward-StepExecutions.SelfAttestedApprovalExecutionKey",
    "Principal": "principal-process-steward",
    "TargetField": "StepExecutions.SelfAttestedApprovalExecutionKey",
    "CanRead": true,
    "CanWrite": false,
    "MaskStrategy": "plain",
    "SemanticTypeIri": "urn:effortless:pko-extension#FieldGrant",
    "Name": "principal-process-steward -&gt; StepExecutions.SelfAttestedApprovalExecutionKey",
    "FieldTable": "StepExecutions",
    "FieldName": "SelfAttestedApprovalExecutionKey",
    "FieldIsDerived": true,
    "IsWritableDerivedField": false,
    "IsMasked": false,
    "GrantKeyWhenReadable": "principal-process-steward|StepExecutions"
   },
   {
    "FieldGrantId": "fg-process-steward-StepExecutions.SemanticTypeIri",
    "Principal": "principal-process-steward",
    "TargetField": "StepExecutions.SemanticTypeIri",
    "CanRead": true,
    "CanWrite": false,
    "MaskStrategy": "plain",
    "SemanticTypeIri": "urn:effortless:pko-extension#FieldGrant",
    "Name": "principal-process-steward -&gt; StepExecutions.SemanticTypeIri",
    "FieldTable": "StepExecutions",
    "FieldName": "SemanticTypeIri",
    "FieldIsDerived": false,
    "IsWritableDerivedField": false,
    "IsMasked": false,
    "GrantKeyWhenReadable": "principal-process-steward|StepExecutions"
   },
   {
    "FieldGrantId": "fg-process-steward-StepFunctions.StepFunctionId",
    "Principal": "principal-process-steward",
    "TargetField": "StepFunctions.StepFunctionId",
    "CanRead": true,
    "CanWrite": false,
    "MaskStrategy": "plain",
    "SemanticTypeIri": "urn:effortless:pko-extension#FieldGrant",
    "Name": "principal-process-steward -&gt; StepFunctions.StepFunctionId",
    "FieldTable": "StepFunctions",
    "FieldName": "StepFunctionId",
    "FieldIsDerived": false,
    "IsWritableDerivedField": false,
    "IsMasked": false,
    "GrantKeyWhenReadable": "principal-process-steward|StepFunctions"
   },
   {
    "FieldGrantId": "fg-process-steward-StepFunctions.Name",
    "Principal": "principal-process-steward",
    "TargetField": "StepFunctions.Name",
    "CanRead": true,
    "CanWrite": false,
    "MaskStrategy": "plain",
    "SemanticTypeIr</t>
  </si>
  <si>
    <t xml:space="preserve">i": "urn:effortless:pko-extension#FieldGrant",
    "Name": "principal-process-steward -&gt; StepFunctions.Name",
    "FieldTable": "StepFunctions",
    "FieldName": "Name",
    "FieldIsDerived": true,
    "IsWritableDerivedField": false,
    "IsMasked": false,
    "GrantKeyWhenReadable": "principal-process-steward|StepFunctions"
   },
   {
    "FieldGrantId": "fg-process-steward-StepFunctions.Step",
    "Principal": "principal-process-steward",
    "TargetField": "StepFunctions.Step",
    "CanRead": true,
    "CanWrite": false,
    "MaskStrategy": "plain",
    "SemanticTypeIri": "urn:effortless:pko-extension#FieldGrant",
    "Name": "principal-process-steward -&gt; StepFunctions.Step",
    "FieldTable": "StepFunctions",
    "FieldName": "Step",
    "FieldIsDerived": false,
    "IsWritableDerivedField": false,
    "IsMasked": false,
    "GrantKeyWhenReadable": "principal-process-steward|StepFunctions"
   },
   {
    "FieldGrantId": "fg-process-steward-StepFunctions.Function",
    "Principal": "principal-process-steward",
    "TargetField": "StepFunctions.Function",
    "CanRead": true,
    "CanWrite": false,
    "MaskStrategy": "plain",
    "SemanticTypeIri": "urn:effortless:pko-extension#FieldGrant",
    "Name": "principal-process-steward -&gt; StepFunctions.Function",
    "FieldTable": "StepFunctions",
    "FieldName": "Function",
    "FieldIsDerived": false,
    "IsWritableDerivedField": false,
    "IsMasked": false,
    "GrantKeyWhenReadable": "principal-process-steward|StepFunctions"
   },
   {
    "FieldGrantId": "fg-process-steward-StepRequirements.StepRequirementId",
    "Principal": "principal-process-steward",
    "TargetField": "StepRequirements.StepRequirementId",
    "CanRead": true,
    "CanWrite": false,
    "MaskStrategy": "plain",
    "SemanticTypeIri": "urn:effortless:pko-extension#FieldGrant",
    "Name": "principal-process-steward -&gt; StepRequirements.StepRequirementId",
    "FieldTable": "StepRequirements",
    "FieldName": "StepRequirementId",
    "FieldIsDerived": false,
    "IsWritableDerivedField": false,
    "IsMasked": false,
    "GrantKeyWhenReadable": "principal-process-steward|StepRequirements"
   },
   {
    "FieldGrantId": "fg-process-steward-StepRequirements.Name",
    "Principal": "principal-process-steward",
    "TargetField": "StepRequirements.Name",
    "CanRead": true,
    "CanWrite": false,
    "MaskStrategy": "plain",
    "SemanticTypeIri": "urn:effortless:pko-extension#FieldGrant",
    "Name": "principal-process-steward -&gt; StepRequirements.Name",
    "FieldTable": "StepRequirements",
    "FieldName": "Name",
    "FieldIsDerived": true,
    "IsWritableDerivedField": false,
    "IsMasked": false,
    "GrantKeyWhenReadable": "principal-process-steward|StepRequirements"
   },
   {
    "FieldGrantId": "fg-process-steward-StepRequirements.Step",
    "Principal": "principal-process-steward",
    "TargetField": "StepRequirements.Step",
    "CanRead": true,
    "CanWrite": false,
    "MaskStrategy": "plain",
    "SemanticTypeIri": "urn:effortless:pko-extension#FieldGrant",
    "Name": "principal-process-steward -&gt; StepRequirements.Step",
    "FieldTable": "StepRequirements",
    "FieldName": "Step",
    "FieldIsDerived": false,
    "IsWritableDerivedField": false,
    "IsMasked": false,
    "GrantKeyWhenReadable": "principal-process-steward|StepRequirements"
   },
   {
    "FieldGrantId": "fg-process-steward-StepRequirements.Requirement",
    "Principal": "principal-process-steward",
    "TargetField": "StepRequirements.Requirement",
    "CanRead": true,
    "CanWrite": false,
    "MaskStrategy": "plain",
    "SemanticTypeIri": "urn:effortless:pko-extension#FieldGrant",
    "Name": "principal-process-steward -&gt; StepRequirements.Requirement",
    "FieldTable": "StepRequirements",
    "FieldName": "Requirement",
    "FieldIsDerived": false,
    "IsWritableDerivedField": false,
    "IsMasked": false,
    "GrantKeyWhenReadable": "principal-process-steward|StepRequirements"
   },
   {
    "FieldGrantId": "fg-process-steward-StepRequirements.RequirementIsBlocking",
    "Principal": "principal-process-steward",
    "TargetField": "StepRequirements.RequirementIsBlocking",
    "CanRead": true,
    "CanWrite": false,
    "MaskStrategy": "plain",
    "SemanticTypeIri": "urn:effortless:pko-extension#FieldGrant",
    "Name": "principal-process-steward -&gt; StepRequirements.RequirementIsBlocking",
    "FieldTable": "StepRequirements",
    "FieldName": "RequirementIsBlocking",
    "FieldIsDerived": true,
    "IsWritableDerivedField": false,
    "IsMasked": false,
    "GrantKeyWhenReadable": "principal-process-steward|StepRequirements"
   },
   {
    "FieldGrantId": "fg-process-steward-StepRequirements.BlockingStepKey",
    "Principal": "principal-process-steward",
    "TargetField": "StepRequirements.BlockingStepKey",
    "CanRead": true,
    "CanWrite": false,
    "MaskStrategy": "plain",
    "SemanticTypeIri": "urn:effortless:pko-extension#FieldGrant",
    "Name": "principal-process-steward -&gt; StepRequirements.BlockingStepKey",
    "FieldTable": "StepRequirements",
    "FieldName": "BlockingStepKey",
    "FieldIsDerived": true,
    "IsWritableDerivedField": false,
    "IsMasked": false,
    "GrantKeyWhenReadable": "principal-process-steward|StepRequirements"
   },
   {
    "FieldGrantId": "fg-process-steward-StepRequirements.StepWhenBlocking",
    "Principal": "principal-process-steward",
    "TargetField": "StepRequirements.StepWhenBlocking",
    "CanRead": true,
    "CanWrite": false,
    "MaskStrategy": "plain",
    "SemanticTypeIri": "urn:effortless:pko-extension#FieldGrant",
    "Name": "principal-process-steward -&gt; StepRequirements.StepWhenBlocking",
    "FieldTable": "StepRequirements",
    "FieldName": "StepWhenBlocking",
    "FieldIsDerived": true,
    "IsWritableDerivedField": false,
    "IsMasked": false,
    "GrantKeyWhenReadable": "principal-process-steward|StepRequirements"
   },
   {
    "FieldGrantId": "fg-process-steward-StepRequirements.RequirementLacksWitness",
    "Principal": "principal-process-steward",
    "TargetField": "StepRequirements.RequirementLacksWitness",
    "CanRead": true,
    "CanWrite": false,
    "MaskStrategy": "plain",
    "SemanticTypeIri": "urn:effortless:pko-extension#FieldGrant",
    "Name": "principal-process-steward -&gt; StepRequirements.RequirementLacksWitness",
    "FieldTable": "StepRequirements",
    "FieldName": "RequirementLacksWitness",
    "FieldIsDerived": true,
    "IsWritableDerivedField": false,
    "IsMasked": false,
    "GrantKeyWhenReadable": "principal-process-steward|StepRequirements"
   },
   {
    "FieldGrantId": "fg-process-steward-StepRequirements.UnwitnessedStepKey",
    "Principal": "principal-process-steward",
    "TargetField": "StepRequirements.UnwitnessedStepKey",
    "CanRead": true,
    "CanWrite": false,
    "MaskStrategy": "plain",
    "SemanticTypeIri": "urn:effortless:pko-extension#FieldGrant",
    "Name": "principal-process-steward -&gt; StepRequirements.UnwitnessedStepKey",
    "FieldTable": "StepRequirements",
    "FieldName": "UnwitnessedStepKey",
    "FieldIsDerived": true,
    "IsWritableDerivedField": false,
    "IsMasked": false,
    "GrantKeyWhenReadable": "principal-process-steward|StepRequirements"
   },
   {
    "FieldGrantId": "fg-process-steward-StepRequirements.SatisfactionCountForBinding",
    "Principal": "principal-process-steward",
    "TargetField": "StepRequirements.SatisfactionCountForBinding",
    "CanRead": true,
    "CanWrite": false,
    "MaskStrategy": "plain",
    "SemanticTypeIri": "urn:effortless:pko-extension#FieldGrant",
    "Name": "principal-process-steward -&gt; StepRequirements.SatisfactionCountForBinding",
    "FieldTable": "StepRequirements",
    "FieldName": "SatisfactionCountForBinding",
    "FieldIsDerived": true,
    "IsWritableDerivedField": false,
    "IsMasked": false,
    "GrantKeyWhenReadable": "principal-process-steward|StepRequirements"
   },
   {
    "FieldGrantId": "fg-process-steward-StepRequirements.BindingWasEverExercised",
    "Principal": "principal-process-steward",
    "TargetField": "StepRequirements.BindingWasEverExercised",
    "CanRead": true,
    "CanWrite": false,
    "MaskStrategy": "plain",
    "SemanticTypeIri": "urn:effortless:pko-extension#FieldGrant",
    "Name": "principal-process-steward -&gt; StepRequirements.BindingWasEverExercised",
    "FieldTable": "StepRequirements",
    "FieldName": "BindingWasEverExercised",
    "FieldIsDerived": true,
    "IsWritableDerivedField": false,
    "IsMasked": false,
    "GrantKeyWhenReadable": "principal-process-steward|StepRequirements"
   },
   {
    "FieldGrantId": "fg-process-steward-StepRequirements.IsUnexercisedBlockingBinding",
    "Principal": "principal-process-steward",
    "TargetField": "StepRequirements.IsUnexercisedBlockingBinding",
    "CanRead": true,
    "CanWrite": false,
    "MaskStrategy": "plain",
    "SemanticTypeIri": "urn:effortless:pko-extension#FieldGrant",
    "Name": "principal-process-steward -&gt; StepRequirements.IsUnexercisedBlockingBinding",
    "FieldTable": "StepRequirements",
    "FieldName": "IsUnexercisedBlockingBinding",
    "FieldIsDerived": true,
    "IsWritableDerivedField": false,
    "IsMasked": false,
    "GrantKeyWhenReadable": "principal-process-steward|StepRequirements"
   },
   {
    "FieldGrantId": "fg-process-steward-StepRequirements.UnexercisedBindingRequirementKey",
    "Principal": "principal-process-steward",
    "TargetField": "StepRequirements.UnexercisedBindingRequirementKey",
    "CanRead": true,
    "CanWrite": false,
    "MaskStrategy": "plain",
    "SemanticTypeIri": "urn:effortless:pko-extension#FieldGrant",
    "Name": "principal-process-steward -&gt; StepRequirements.UnexercisedBindingRequirementKey",
    "FieldTable": "StepRequirements",
    "FieldName": "UnexercisedBindingRequirementKey",
    "FieldIsDerived": true,
    "IsWritableDerivedField": false,
    "IsMasked": false,
    "GrantKeyWhenReadable": "principal-process-steward|StepRequirements"
   },
   {
    "FieldGrantId": "fg-process-steward-StepTools.StepToolId",
    "Principal": "principal-process-steward",
    "TargetField": "StepTools.StepToolId",
    "CanRead": true,
    "CanWrite": false,
    "MaskStrategy": "plain",
    "SemanticTypeIri": "urn:effortless:pko-extension#FieldGrant",
    "Name": "principal-process-steward -&gt; StepTools.StepToolId",
    "FieldTable": "StepTools",
    "FieldName": "StepToolId",
    "FieldIsDerived": false,
    "IsWritableDerivedField": false,
    "IsMasked": false,
    "GrantKeyWhenReadable": "principal-process-steward|StepTools"
   },
   {
    "FieldGrantId": "fg-process-steward-StepTools.Name",
    "Principal": "principal-process-steward",
    "TargetField": "StepTools.Name",
    "CanRead": true,
    "CanWrite": false,
    "MaskStrategy": "plain",
    "SemanticTypeIri": "urn:effortless:pko-extension#FieldGrant",
    "Name": "principal-process-steward -&gt; StepTools.Name",
    "FieldTable": "StepTools",
    "FieldName": "Name",
    "FieldIsDerived": true,
    "IsWritableDerivedField": false,
    "IsMasked": false,
    "GrantKeyWhenReadable": "principal-process-steward|StepTools"
   },
   {
    "FieldGrantId": "fg-process-steward-StepTools.Step",
    "Principal": "principal-process-steward",
    "TargetField": "StepTools.Step",
    "CanRead": true,
    "CanWrite": false,
    "MaskStrategy": "plain",
    "SemanticTypeIri": "urn:effortless:pko-extension#FieldGrant",
    "Name": "principal-process-steward -&gt; StepTools.Step",
    "FieldTable": "StepTools",
    "FieldName": "Step",
    "FieldIsDerived": false,
    "IsWritableDerivedField": false,
    "IsMasked": false,
    "GrantKeyWhenReadable": "principal-process-steward|StepTools"
   },
   {
    "FieldGrantId": "fg-process-steward-StepTools.Tool",
    "Principal": "principal-process-steward",
    "TargetField": "StepTools.Tool",
    "CanRead": true,
    "CanWrite": false,
    "MaskStrategy": "plain",
    "SemanticTypeIri": "urn:effortless:pko-extension#FieldGrant",
    "Name": "principal-process-steward -&gt; StepTools.Tool",
    "FieldTable": "StepTools",
    "FieldName": "Tool",
    "FieldIsDerived": false,
    "IsWritableDerivedField": false,
    "IsMasked": false,
    "GrantKeyWhenReadable": "principal-process-steward|StepTools"
   },
   {
    "FieldGrantId": "fg-process-steward-StepTransitions.StepTransitionId",
    "Principal": "principal-process-steward",
    "TargetField": "StepTransitions.StepTransitionId",
    "CanRead": true,
    "CanWrite": false,
    "MaskStrategy": "plain",
    "SemanticTypeIri": "urn:effortless:pko-extension#FieldGrant",
    "Name": "principal-process-steward -&gt; StepTransitions.StepTransitionId",
    "FieldTable": "StepTransitions",
    "FieldName": "StepTransitionId",
    "FieldIsDerived": false,
    "IsWritableDerivedField": false,
    "IsMasked": false,
    "GrantKeyWhenReadable": "principal-process-steward|StepTransitions"
   },
   {
    "FieldGrantId": "fg-process-steward-StepTransitions.Name",
    "Principal": "principal-process-steward",
    "TargetField": "StepTransitions.Name",
    "CanRead": true,
    "CanWrite": false,
    "MaskStrategy": "plain",
    "SemanticTypeIri": "urn:effortless:pko-extension#FieldGrant",
    "Name": "principal-process-steward -&gt; StepTransitions.Name",
    "FieldTable": "StepTransitions",
    "FieldName": "Name",
    "FieldIsDerived": true,
    "IsWritableDerivedField": false,
    "IsMasked": false,
    "GrantKeyWhenReadable": "principal-process-steward|StepTransitions"
   },
   {
    "FieldGrantId": "fg-process-steward-StepTransitions.ProcedureVersion",
    "Principal": "principal-process-steward",
    "TargetField": "StepTransitions.ProcedureVersion",
    "CanRead": true,
    "CanWrite": false,
    "MaskStrategy": "plain",
    "SemanticTypeIri": "urn:effortless:pko-extension#FieldGrant",
    "Name": "principal-process-steward -&gt; StepTransitions.ProcedureVersion",
    "FieldTable": "StepTransitions",
    "FieldName": "ProcedureVersion",
    "FieldIsDerived": false,
    "IsWritableDerivedField": false,
    "IsMasked": false,
    "GrantKeyWhenReadable": "principal-process-steward|StepTransitions"
   },
   {
    "FieldGrantId": "fg-process-steward-StepTransitions.FromStep",
    "Principal": "principal-process-steward",
    "TargetField": "StepTransitions.FromStep",
    "CanRead": true,
    "CanWrite": false,
    "MaskStrategy": "plain",
    "SemanticTypeIri": "urn:effortless:pko-extension#FieldGrant",
    "Name": "principal-process-steward -&gt; StepTransitions.FromStep",
    "FieldTable": "StepTransitions",
    "FieldName": "FromStep",
    "FieldIsDerived": false,
    "IsWritableDerivedField": false,
    "IsMasked": false,
    "GrantKeyWhenReadable": "principal-process-steward|StepTransitions"
   },
   {
    "FieldGrantId": "fg-process-steward-StepTransitions.ToStep",
    "Principal": "principal-process-steward",
    "TargetField": "StepTransitions.ToStep",
    "CanRead": true,
    "CanWrite": false,
    "MaskStrategy": "plain",
    "SemanticTypeIri": "urn:effortless:pko-extension#FieldGrant",
    "Name": "principal-process-steward -&gt; StepTransitions.ToStep",
    "FieldTable": "StepTransitions",
    "FieldName": "ToStep",
    "FieldIsDerived": false,
    "IsWritableDerivedField": false,
    "IsMasked": false,
    "GrantKeyWhenReadable": "principal-process-steward|StepTransitions"
   },
   {
    "FieldGrantId": "fg-process-steward-StepTransitions.TransitionKind",
    "Principal": "principal-process-steward",
    "TargetField": "StepTransitions.TransitionKind",
    "CanRead": true,
    "CanWrite": false,
    "MaskStrategy": "plain",
    "SemanticTypeIri": "urn:effortless:pko-extension#FieldGrant",
    "Name": "principal-process-steward -&gt; StepTransitions.TransitionKind",
    "FieldTable": "StepTransitions",
    "FieldName": "TransitionKind",
    "FieldIsDerived": false,
    "IsWritableDerivedField": false,
    "IsMasked": false,
    "GrantKeyWhenReadable": "principal-process-steward|StepTransitions"
   },
   {
    "FieldGrantId": "fg-process-steward-StepTransitions.Condition",
    "Principal": "principal-process-steward",
    "TargetField": "StepTransitions.Condition",
    "CanRead": true,
    "CanWrite": false,
    "MaskStrategy": "plain",
    "SemanticTypeIri": "urn:effortless:pko-extension#FieldGrant",
    "Name": "principal-process-steward -&gt; StepTransitions.Condition",
    "FieldTable": "StepTransitions",
    "FieldName": "Condition",
    "FieldIsDerived": false,
    "IsWritableDerivedField": false,
    "IsMasked": false,
    "GrantKeyWhenReadable": "principal-process-steward|StepTransitions"
   },
   {
    "FieldGrantId": "fg-process-steward-StepTransitions.Priority",
    "Principal": "principal-process-steward",
    "TargetField": "StepTransitions.Priority",
    "CanRead": true,
    "CanWrite": false,
    "MaskStrategy": "plain",
    "SemanticTypeIri": "urn:effortless:pko-extension#FieldGrant",
    "Name": "principal-process-steward -&gt; StepTransitions.Priority",
    "FieldTable": "StepTransitions",
    "FieldName": "Priority",
    "FieldIsDerived": false,
    "IsWritableDerivedField": false,
    "IsMasked": false,
    "GrantKeyWhenReadable": "principal-process-steward|StepTransitions"
   },
   {
    "FieldGrantId": "fg-process-steward-StepTransitions.IsRecoveryPath",
    "Principal": "principal-process-steward",
    "TargetField": "StepTransitions.IsRecoveryPath",
    "CanRead": true,
    "CanWrite": false,
    "MaskStrategy": "plain",
    "SemanticTypeIri": "urn:effortless:pko-extension#FieldGrant",
    "Name": "principal-process-steward -&gt; StepTransitions.IsRecoveryPath",
    "FieldTable": "StepTransitions",
    "FieldName": "IsRecoveryPath",
    "FieldIsDerived": true,
    "IsWritableDerivedField": false,
    "IsMasked": false,
    "GrantKeyWhenReadable": "principal-process-steward|StepTransitions"
   },
   {
    "FieldGrantId": "fg-process-steward-StepTransitions.CountOfFromStepExecutions",
    "Principal": "principal-process-steward",
    "TargetField": "StepTransitions.CountOfFromStepExecutions",
    "CanRead": true,
    "CanWrite": false,
    "MaskStrategy": "plain",
    "SemanticTypeIri": "urn:effortless:pko-extension#FieldGrant",
    "Name": "principal-process-steward -&gt; StepTransitions.CountOfFromStepExecutions",
    "FieldTable": "StepTransitions",
    "FieldName": "CountOfFromStepExecutions",
    "FieldIsDerived": true,
    "IsWritableDerivedField": false,
    "IsMasked": false,
    "GrantKeyWhenReadable": "principal-process-steward|StepTransitions"
   },
   {
    "FieldGrantId": "fg-process-steward-StepTransitions.CountOfToStepExecutions",
    "Principal": "principal-process-steward",
    "TargetField": "StepTransitions.CountOfToStepExecutions",
    "CanRead": true,
    "CanWrite": false,
    "MaskStrategy": "plain",
    "SemanticTypeIri": "urn:effortless:pko-extension#FieldGrant",
    "Name": "principal-process-steward -&gt; StepTransitions.CountOfToStepExecutions",
    "FieldTable": "StepTransitions",
    "FieldName": "CountOfToStepExecutions",
    "FieldIsDerived": true,
    "IsWritableDerivedField": false,
    "IsMasked": false,
    "GrantKeyWhenReadable": "principal-process-steward|StepTransitions"
   },
   {
    "FieldGrantId": "fg-process-steward-StepTransitions.HasReachableOrigin",
    "Principal": "principal-process-steward",
    "TargetField": "StepTransitions.HasReachableOrigin",
    "CanRead": true,
    "CanWrite": false,
    "MaskStrategy": "plain",
    "SemanticTypeIri": "urn:effortless:pko-extension#FieldGrant",
    "Name": "principal-process-steward -&gt; StepTransitions.HasReachableOrigin",
    "FieldTable": "StepTransitions",
    "FieldName": "HasReachableOrigin",
    "FieldIsDerived": true,
    "IsWritableDerivedField": false,
    "IsMasked": false,
    "GrantKeyWhenReadable": "principal-process-steward|StepTransitions"
   },
   {
    "FieldGrantId": "fg-process-steward-StepTransitions.HasReachableTarget",
    "Principal": "principal-process-steward",
    "TargetField": "StepTransitions.HasReachableTarget",
    "CanRead": true,
    "CanWrite": false,
    "MaskStrategy": "plain",
    "SemanticTypeIri": "urn:effortless:pko-extension#FieldGrant",
    "Name": "principal-process-steward -&gt; StepTransitions.HasReachableTarget",
    "FieldTable": "StepTransitions",
    "FieldName": "HasReachableTarget",
    "FieldIsDerived": true,
    "IsWritableDerivedField": false,
    "IsMasked": false,
    "GrantKeyWhenReadable": "principal-process-steward|StepTransitions"
   },
   {
    "FieldGrantId": "fg-process-steward-StepTransitions.IsNeverExercised",
    "Principal": "principal-process-steward",
    "TargetField": "StepTransitions.IsNeverExercised",
    "CanRead": true,
    "CanWrite": false,
    "MaskStrategy": "plain",
    "SemanticTypeIri": "urn:effortless:pko-extension#FieldGrant",
    "Name": "principal-process-steward -&gt; StepTransitions.IsNeverExercised",
    "FieldTable": "StepTransitions",
    "FieldName": "IsNeverExercised",
    "FieldIsDerived": true,
    "IsWritableDerivedField": false,
    "IsMasked": false,
    "GrantKeyWhenReadable": "principal-process-steward|StepTransitions"
   },
   {
    "FieldGrantId": "fg-process-steward-StepTransitions.IsUntestedRecoveryPath",
    "Principal": "principal-process-steward",
    "TargetField": "StepTransitions.IsUntestedRecoveryPath",
    "CanRead": true,
    "CanWrite": false,
    "MaskStrategy": "plain",
    "SemanticTypeIri": "urn:effortless:pko-extension#FieldGrant",
    "Name": "principal-process-steward -&gt; StepTransitions.IsUntestedRecoveryPath",
    "FieldTable": "StepTransitions",
    "FieldName": "IsUntestedRecoveryPath",
    "FieldIsDerived": true,
    "IsWritableDerivedField": false,
    "IsMasked": false,
    "GrantKeyWhenReadable": "principal-process-steward|StepTransitions"
   },
   {
    "FieldGrantId": "fg-process-steward-StepTransitions.CountOfObservedTraversals",
    "Principal": "principal-process-steward",
    "TargetField": "StepTransitions.CountOfObservedTraversals",
    "CanRead": true,
    "CanWrite": false,
    "MaskStrategy": "plain",
    "SemanticTypeIri": "urn:effortless:pko-extension#FieldGrant",
    "Name": "principal-process-steward -&gt; StepTransitions.CountOfObservedTraversals",
    "FieldTable": "StepTransitions",
    "FieldName": "CountOfObservedTraversals",
    "FieldIsDerived": true,
    "IsWritableDerivedField": false,
    "IsMasked": false,
    "GrantKeyWhenReadable": "principal-process-steward|StepTransitions"
   },
   {
    "FieldGrantId": "fg-process-steward-StepTransitions.HasBeenTraversed",
    "Principal": "principal-process-steward",
    "TargetField": "StepTransitions.HasBeenTraversed",
    "CanRead": true,
    "CanWrite": false,
    "MaskStrategy": "plain",
    "SemanticTypeIri": "urn:effortless:pko-extension#FieldGrant",
    "Name": "principal-process-steward -&gt; StepTransitions.HasBeenTraversed",
    "FieldTable": "StepTransitions",
    "FieldName": "HasBeenTraversed",
    "FieldIsDerived": true,
    "IsWritableDerivedField": false,
    "IsMasked": false,
    "GrantKeyWhenReadable": "principal-process-steward|StepTransitions"
   },
   {
    "FieldGrantId": "fg-process-steward-StepTransitions.IsUnwalkedRecoveryPath",
    "Principal": "principal-process-steward",
    "TargetField": "StepTransitions.IsUnwalkedRecoveryPath",
    "CanRead": true,
    "CanWrite": false,
    "MaskStrategy": "plain",
    "SemanticTypeIri": "urn:effortless:pko-extension#FieldGrant",
    "Name": "principal-process-steward -&gt; StepTransitions.IsUnwalkedRecoveryPath",
    "FieldTable": "StepTransitions",
    "FieldName": "IsUnwalkedRecoveryPath",
    "FieldIsDerived": true,
    "IsWritableDerivedField": false,
    "IsMasked": false,
    "GrantKeyWhenReadable": "principal-process-steward|StepTransitions"
   },
   {
    "FieldGrantId": "fg-process-steward-StepTransitions.TargetBlockingRequirementCount",
    "Principal": "principal-process-steward",
    "TargetField": "StepTransitions.TargetBlockingRequirementCount",
    "CanRead": true,
    "CanWrite": false,
    "MaskStrategy": "plain",
    "SemanticTypeIri": "urn:effortless:pko-extension#FieldGrant",
    "Name": "principal-process-steward -&gt; StepTransitions.TargetBlockingRequirementCount",
    "FieldTable": "StepTransitions",
    "FieldName": "TargetBlockingRequirementCount",
    "FieldIsDerived": true,
    "IsWritableDerivedField": false,
    "IsMasked": false,
    "GrantKeyWhenReadable": "principal-process-steward|StepTransitions"
   },
   {
    "FieldGrantId": "fg-process-steward-StepTransitions.TargetCarriesBlockingControl",
    "Principal": "principal-process-steward",
    "TargetField": "StepTransitions.TargetCarriesBlockingControl",
    "CanRead": true,
    "CanWrite": false,
    "MaskStrategy": "plain",
    "SemanticTypeIri": "urn:effortless:pko-extension#FieldGrant",
    "Name": "principal-process-steward -&gt; StepTransitions.TargetCarriesBlockingControl",
    "FieldTable": "StepTransitions",
    "FieldName": "TargetCarriesBlockingControl",
    "FieldIsDerived": true,
    "IsWritableDerivedField": false,
    "IsMasked": false,
    "GrantKeyWhenReadable": "principal-process-steward|StepTransitions"
   },
   {
    "FieldGrantId": "fg-process-steward-StepTransitions.IsUnrehearsedControlEntry",
    "Principal": "principal-process-steward",
    "TargetField": "StepTransitions.IsUnrehearsedControlEntry",
    "CanRead": true,
    "CanWrite": false,
    "MaskStrategy": "plain",
    "SemanticTypeIri": "urn:effortless:pko-extension#FieldGrant",
    "Name": "principal-process-steward -&gt; StepTransitions.IsUnrehearsedControlEntry",
    "FieldTable": "StepTransitions",
    "FieldName": "IsUnrehearsedControlEntry",
    "FieldIsDerived": true,
    "IsWritableDerivedField": false,
    "IsMasked": false,
    "GrantKeyWhenReadable": "principal-process-steward|StepTransitions"
   },
   {
    "FieldGrantId": "fg-process-steward-StepTransitions.UnrehearsedControlVersionKey",
    "Principal": "principal-process-steward",
    "TargetField": "StepTransitions.UnrehearsedControlVersionKey",
    "CanRead": true,
    "CanWrite": false,
    "MaskStrategy": "plain",
    "SemanticTypeIri": "urn:effortless:pko-extension#FieldGrant",
    "Name": "principal-process-steward -&gt; StepTransitions.UnrehearsedControlVersionKey",
    "FieldTable": "StepTransitions",
    "FieldName": "UnrehearsedControlVersionKey",
    "FieldIsDerived": true,
    "IsWritableDerivedField": false,
    "IsMasked": false,
    "GrantKeyWhenReadable": "principal-process-steward|StepTransitions"
   },
   {
    "FieldGrantId": "fg-process-steward-StepTransitions.SemanticTypeIri",
    "Principal": "principal-process-steward",
    "TargetField": "StepTransitions.SemanticTypeIri",
    "CanRead": true,
    "CanWrite": false,
    "MaskStrategy": "plain",
    "SemanticTypeIri": "urn:effortless:pko-extension#FieldGrant",
    "Name": "principal-process-steward -&gt; StepTransitions.SemanticTypeIri",
    "FieldTable": "StepTransitions",
    "FieldName": "SemanticTypeIri",
    "FieldIsDerived": false,
    "IsWritableDerivedField": false,
    "IsMasked": false,
    "GrantKeyWhenReadable": "principal-process-steward|StepTransitions"
   },
   {
    "FieldGrantId": "fg-process-steward-StepVerifications.StepVerificationId",
    "Principal": "principal-process-steward",
    "TargetField": "StepVerifications.StepVerificationId",
    "CanRead": true,
    "CanWrite": false,
    "MaskStrategy": "plain",
    "SemanticTypeIri": "urn:effortless:pko-extension#FieldGrant",
    "Name": "principal-process-steward -&gt; StepVerifications.StepVerificationId",
    "FieldTable": "StepVerifications",
    "FieldName": "StepVerificationId",
    "FieldIsDerived": false,
    "IsWritableDerivedField": false,
    "IsMasked": false,
    "GrantKeyWhenReadable": "principal-process-steward|StepVerifications"
   },
   {
    "FieldGrantId": "fg-process-steward-StepVerifications.Name",
    "Principal": "principal-process-steward",
    "TargetField": "StepVerifications.Name",
    "CanRead": true,
    "CanWrite": false,
    "MaskStrategy": "plain",
    "SemanticTypeIri": "urn:effortless:pko-extension#FieldGrant",
    "Name": "principal-process-steward -&gt; StepVerifications.Name",
    "FieldTable": "StepVerifications",
    "FieldName": "Name",
    "FieldIsDerived": true,
    "IsWritableDerivedField": false,
    "IsMasked": false,
    "GrantKeyWhenReadable": "principal-process-steward|StepVerifications"
   },
   {
    "FieldGrantId": "fg-process-steward-StepVerifications.Step",
    "Principal": "principal-process-steward",
    "TargetField": "StepVerifications.Step",
    "CanRead": true,
    "CanWrite": false,
    "MaskStrategy": "plain",
    "SemanticTypeIri": "urn:effortless:pko-extension#FieldGrant",
    "Name": "principal-process-steward -&gt; StepVerifications.Step",
    "FieldTable": "StepVerifications",
    "FieldName": "Step",
    "FieldIsDerived": false,
    "IsWritableDerivedField": false,
    "IsMasked": false,
    "GrantKeyWhenReadable": "principal-process-steward|StepVerifications"
   },
   {
    "FieldGrantId": "fg-process-steward-StepVerifications.VerificationKind",
    "Principal": "principal-process-steward",
    "TargetField": "StepVerifications.VerificationKind",
    "CanRead": true,
    "CanWrite": false,
    "MaskStrategy": "plain",
    "SemanticTypeIri": "urn:effortless:pko-extension#FieldGrant",
    "Name": "principal-process-steward -&gt; StepVerifications.VerificationKind",
    "FieldTable": "StepVerifications",
    "FieldName": "VerificationKind",
    "FieldIsDerived": false,
    "IsWritableDerivedField": false,
    "IsMasked": false,
    "GrantKeyWhenReadable": "principal-process-steward|StepVerifications"
   },
   {
    "FieldGrantId": "fg-process-steward-StepVerifications.SignalIdentifier",
    "Principal": "principal-process-steward",
    "TargetField": "StepVerifications.SignalIdentifier",
    "CanRead": true,
    "CanWrite": false,
    "MaskStrategy": "plain",
    "SemanticTypeIri": "urn:effortless:pko-extension#FieldGrant",
    "Name": "principal-process-steward -&gt; StepVerifications.SignalIdentifier",
    "FieldTable": "StepVerifications",
    "FieldName": "SignalIdentifier",
    "FieldIsDerived": false,
    "IsWritableDerivedField": false,
    "IsMasked": false,
    "GrantKeyWhenReadable": "principal-process-steward|StepVerifications"
   },
   {
    "FieldGrantId": "fg-process-steward-StepVerifications.ExpectedSignalValue",
    "Principal": "principal-process-steward",
    "TargetField": "StepVerifications.ExpectedSignalValue",
    "CanRead": true,
    "CanWrite": false,
    "MaskStrategy": "plain",
    "SemanticTypeIri": "urn:effortless:pko-extension#FieldGrant",
    "Name": "principal-process-steward -&gt; StepVerifications.ExpectedSignalValue",
    "FieldTable": "StepVerifications",
    "FieldName": "ExpectedSignalValue",
    "FieldIsDerived": false,
    "IsWritableDerivedField": false,
    "IsMasked": false,
    "GrantKeyWhenReadable": "principal-process-steward|StepVerifications"
   },
   {
    "FieldGrantId": "fg-process-steward-StepVerifications.Instruction",
    "Principal": "principal-process-steward",
    "TargetField": "StepVerifications.Instruction",
    "CanRead": true,
    "CanWrite": false,
    "MaskStrategy": "plain",
    "SemanticTypeIri": "urn:effortless:pko-extension#FieldGrant",
    "Name": "principal-process-steward -&gt; StepVerifications.Instruction",
    "FieldTable": "StepVerifications",
    "FieldName": "Instruction",
    "FieldIsDerived": false,
    "IsWritableDerivedField": false,
    "IsMasked": false,
    "GrantKeyWhenReadable": "principal-process-steward|StepVerifications"
   },
   {
    "FieldGrantId": "fg-process-steward-StepVerifications.SemanticTypeIri",
    "Principal": "principal-process-steward",
    "TargetField": "StepVerifications.SemanticTypeIri",
    "CanRead": true,
    "CanWrite": false,
    "MaskStrategy": "plain",
    "SemanticTypeIri": "urn:effortless:pko-extension#FieldGrant",
    "Name": "principal-process-steward -&gt; StepVerifications.SemanticTypeIri",
    "FieldTable": "StepVerifications",
    "FieldName": "SemanticTypeIri",
    "FieldIsDerived": false,
    "IsWritableDerivedField": false,
    "IsMasked": false,
    "GrantKeyWhenReadable": "principal-process-steward|StepVerifications"
   },
   {
    "FieldGrantId": "fg-process-steward-Steps.StepId",
    "Principal": "principal-process-steward",
    "TargetField": "Steps.StepId",
    "CanRead": true,
    "CanWrite": false,
    "MaskStrategy": "plain",
    "SemanticTypeIri": "urn:effortless:pko-extension#FieldGrant",
    "Name": "principal-process-steward -&gt; Steps.StepId",
    "FieldTable": "Steps",
    "FieldName": "StepId",
    "FieldIsDerived": false,
    "IsWritableDerivedField": false,
    "IsMasked": false,
    "GrantKeyWhenReadable": "principal-process-steward|Steps"
   },
   {
    "FieldGrantId": "fg-process-steward-Steps.Name",
    "Principal": "pri</t>
  </si>
  <si>
    <t xml:space="preserve">ncipal-process-steward",
    "TargetField": "Steps.Name",
    "CanRead": true,
    "CanWrite": false,
    "MaskStrategy": "plain",
    "SemanticTypeIri": "urn:effortless:pko-extension#FieldGrant",
    "Name": "principal-process-steward -&gt; Steps.Name",
    "FieldTable": "Steps",
    "FieldName": "Name",
    "FieldIsDerived": true,
    "IsWritableDerivedField": false,
    "IsMasked": false,
    "GrantKeyWhenReadable": "principal-process-steward|Steps"
   },
   {
    "FieldGrantId": "fg-process-steward-Steps.ProcedureVersion",
    "Principal": "principal-process-steward",
    "TargetField": "Steps.ProcedureVersion",
    "CanRead": true,
    "CanWrite": false,
    "MaskStrategy": "plain",
    "SemanticTypeIri": "urn:effortless:pko-extension#FieldGrant",
    "Name": "principal-process-steward -&gt; Steps.ProcedureVersion",
    "FieldTable": "Steps",
    "FieldName": "ProcedureVersion",
    "FieldIsDerived": false,
    "IsWritableDerivedField": false,
    "IsMasked": false,
    "GrantKeyWhenReadable": "principal-process-steward|Steps"
   },
   {
    "FieldGrantId": "fg-process-steward-Steps.StepNumber",
    "Principal": "principal-process-steward",
    "TargetField": "Steps.StepNumber",
    "CanRead": true,
    "CanWrite": false,
    "MaskStrategy": "plain",
    "SemanticTypeIri": "urn:effortless:pko-extension#FieldGrant",
    "Name": "principal-process-steward -&gt; Steps.StepNumber",
    "FieldTable": "Steps",
    "FieldName": "StepNumber",
    "FieldIsDerived": false,
    "IsWritableDerivedField": false,
    "IsMasked": false,
    "GrantKeyWhenReadable": "principal-process-steward|Steps"
   },
   {
    "FieldGrantId": "fg-process-steward-Steps.Title",
    "Principal": "principal-process-steward",
    "TargetField": "Steps.Title",
    "CanRead": true,
    "CanWrite": false,
    "MaskStrategy": "plain",
    "SemanticTypeIri": "urn:effortless:pko-extension#FieldGrant",
    "Name": "principal-process-steward -&gt; Steps.Title",
    "FieldTable": "Steps",
    "FieldName": "Title",
    "FieldIsDerived": false,
    "IsWritableDerivedField": false,
    "IsMasked": false,
    "GrantKeyWhenReadable": "principal-process-steward|Steps"
   },
   {
    "FieldGrantId": "fg-process-steward-Steps.StepKind",
    "Principal": "principal-process-steward",
    "TargetField": "Steps.StepKind",
    "CanRead": true,
    "CanWrite": false,
    "MaskStrategy": "plain",
    "SemanticTypeIri": "urn:effortless:pko-extension#FieldGrant",
    "Name": "principal-process-steward -&gt; Steps.StepKind",
    "FieldTable": "Steps",
    "FieldName": "StepKind",
    "FieldIsDerived": false,
    "IsWritableDerivedField": false,
    "IsMasked": false,
    "GrantKeyWhenReadable": "principal-process-steward|Steps"
   },
   {
    "FieldGrantId": "fg-process-steward-Steps.AssignedRole",
    "Principal": "principal-process-steward",
    "TargetField": "Steps.AssignedRole",
    "CanRead": true,
    "CanWrite": false,
    "MaskStrategy": "plain",
    "SemanticTypeIri": "urn:effortless:pko-extension#FieldGrant",
    "Name": "principal-process-steward -&gt; Steps.AssignedRole",
    "FieldTable": "Steps",
    "FieldName": "AssignedRole",
    "FieldIsDerived": false,
    "IsWritableDerivedField": false,
    "IsMasked": false,
    "GrantKeyWhenReadable": "principal-process-steward|Steps"
   },
   {
    "FieldGrantId": "fg-process-steward-Steps.AssignedRoleLabel",
    "Principal": "principal-process-steward",
    "TargetField": "Steps.AssignedRoleLabel",
    "CanRead": true,
    "CanWrite": false,
    "MaskStrategy": "plain",
    "SemanticTypeIri": "urn:effortless:pko-extension#FieldGrant",
    "Name": "principal-process-steward -&gt; Steps.AssignedRoleLabel",
    "FieldTable": "Steps",
    "FieldName": "AssignedRoleLabel",
    "FieldIsDerived": true,
    "IsWritableDerivedField": false,
    "IsMasked": false,
    "GrantKeyWhenReadable": "principal-process-steward|Steps"
   },
   {
    "FieldGrantId": "fg-process-steward-Steps.AssignedAgentKind",
    "Principal": "principal-process-steward",
    "TargetField": "Steps.AssignedAgentKind",
    "CanRead": true,
    "CanWrite": false,
    "MaskStrategy": "plain",
    "SemanticTypeIri": "urn:effortless:pko-extension#FieldGrant",
    "Name": "principal-process-steward -&gt; Steps.AssignedAgentKind",
    "FieldTable": "Steps",
    "FieldName": "AssignedAgentKind",
    "FieldIsDerived": true,
    "IsWritableDerivedField": false,
    "IsMasked": false,
    "GrantKeyWhenReadable": "principal-process-steward|Steps"
   },
   {
    "FieldGrantId": "fg-process-steward-Steps.Instruction",
    "Principal": "principal-process-steward",
    "TargetField": "Steps.Instruction",
    "CanRead": true,
    "CanWrite": false,
    "MaskStrategy": "plain",
    "SemanticTypeIri": "urn:effortless:pko-extension#FieldGrant",
    "Name": "principal-process-steward -&gt; Steps.Instruction",
    "FieldTable": "Steps",
    "FieldName": "Instruction",
    "FieldIsDerived": false,
    "IsWritableDerivedField": false,
    "IsMasked": false,
    "GrantKeyWhenReadable": "principal-process-steward|Steps"
   },
   {
    "FieldGrantId": "fg-process-steward-Steps.ExpectedDurationMinutes",
    "Principal": "principal-process-steward",
    "TargetField": "Steps.ExpectedDurationMinutes",
    "CanRead": true,
    "CanWrite": false,
    "MaskStrategy": "plain",
    "SemanticTypeIri": "urn:effortless:pko-extension#FieldGrant",
    "Name": "principal-process-steward -&gt; Steps.ExpectedDurationMinutes",
    "FieldTable": "Steps",
    "FieldName": "ExpectedDurationMinutes",
    "FieldIsDerived": false,
    "IsWritableDerivedField": false,
    "IsMasked": false,
    "GrantKeyWhenReadable": "principal-process-steward|Steps"
   },
   {
    "FieldGrantId": "fg-process-steward-Steps.ExpertiseLevel",
    "Principal": "principal-process-steward",
    "TargetField": "Steps.ExpertiseLevel",
    "CanRead": true,
    "CanWrite": false,
    "MaskStrategy": "plain",
    "SemanticTypeIri": "urn:effortless:pko-extension#FieldGrant",
    "Name": "principal-process-steward -&gt; Steps.ExpertiseLevel",
    "FieldTable": "Steps",
    "FieldName": "ExpertiseLevel",
    "FieldIsDerived": false,
    "IsWritableDerivedField": false,
    "IsMasked": false,
    "GrantKeyWhenReadable": "principal-process-steward|Steps"
   },
   {
    "FieldGrantId": "fg-process-steward-Steps.RequiresHumanConfirmation",
    "Principal": "principal-process-steward",
    "TargetField": "Steps.RequiresHumanConfirmation",
    "CanRead": true,
    "CanWrite": false,
    "MaskStrategy": "plain",
    "SemanticTypeIri": "urn:effortless:pko-extension#FieldGrant",
    "Name": "principal-process-steward -&gt; Steps.RequiresHumanConfirmation",
    "FieldTable": "Steps",
    "FieldName": "RequiresHumanConfirmation",
    "FieldIsDerived": false,
    "IsWritableDerivedField": false,
    "IsMasked": false,
    "GrantKeyWhenReadable": "principal-process-steward|Steps"
   },
   {
    "FieldGrantId": "fg-process-steward-Steps.BlockingRequirementCount",
    "Principal": "principal-process-steward",
    "TargetField": "Steps.BlockingRequirementCount",
    "CanRead": true,
    "CanWrite": false,
    "MaskStrategy": "plain",
    "SemanticTypeIri": "urn:effortless:pko-extension#FieldGrant",
    "Name": "principal-process-steward -&gt; Steps.BlockingRequirementCount",
    "FieldTable": "Steps",
    "FieldName": "BlockingRequirementCount",
    "FieldIsDerived": true,
    "IsWritableDerivedField": false,
    "IsMasked": false,
    "GrantKeyWhenReadable": "principal-process-steward|Steps"
   },
   {
    "FieldGrantId": "fg-process-steward-Steps.StaleBindingCount",
    "Principal": "principal-process-steward",
    "TargetField": "Steps.StaleBindingCount",
    "CanRead": true,
    "CanWrite": false,
    "MaskStrategy": "plain",
    "SemanticTypeIri": "urn:effortless:pko-extension#FieldGrant",
    "Name": "principal-process-steward -&gt; Steps.StaleBindingCount",
    "FieldTable": "Steps",
    "FieldName": "StaleBindingCount",
    "FieldIsDerived": true,
    "IsWritableDerivedField": false,
    "IsMasked": false,
    "GrantKeyWhenReadable": "principal-process-steward|Steps"
   },
   {
    "FieldGrantId": "fg-process-steward-Steps.AuthoritativeStaleCount",
    "Principal": "principal-process-steward",
    "TargetField": "Steps.AuthoritativeStaleCount",
    "CanRead": true,
    "CanWrite": false,
    "MaskStrategy": "plain",
    "SemanticTypeIri": "urn:effortless:pko-extension#FieldGrant",
    "Name": "principal-process-steward -&gt; Steps.AuthoritativeStaleCount",
    "FieldTable": "Steps",
    "FieldName": "AuthoritativeStaleCount",
    "FieldIsDerived": true,
    "IsWritableDerivedField": false,
    "IsMasked": false,
    "GrantKeyWhenReadable": "principal-process-steward|Steps"
   },
   {
    "FieldGrantId": "fg-process-steward-Steps.AvailableExceptionCount",
    "Principal": "principal-process-steward",
    "TargetField": "Steps.AvailableExceptionCount",
    "CanRead": true,
    "CanWrite": false,
    "MaskStrategy": "plain",
    "SemanticTypeIri": "urn:effortless:pko-extension#FieldGrant",
    "Name": "principal-process-steward -&gt; Steps.AvailableExceptionCount",
    "FieldTable": "Steps",
    "FieldName": "AvailableExceptionCount",
    "FieldIsDerived": true,
    "IsWritableDerivedField": false,
    "IsMasked": false,
    "GrantKeyWhenReadable": "principal-process-steward|Steps"
   },
   {
    "FieldGrantId": "fg-process-steward-Steps.DeclaredVerificationCount",
    "Principal": "principal-process-steward",
    "TargetField": "Steps.DeclaredVerificationCount",
    "CanRead": true,
    "CanWrite": false,
    "MaskStrategy": "plain",
    "SemanticTypeIri": "urn:effortless:pko-extension#FieldGrant",
    "Name": "principal-process-steward -&gt; Steps.DeclaredVerificationCount",
    "FieldTable": "Steps",
    "FieldName": "DeclaredVerificationCount",
    "FieldIsDerived": true,
    "IsWritableDerivedField": false,
    "IsMasked": false,
    "GrantKeyWhenReadable": "principal-process-steward|Steps"
   },
   {
    "FieldGrantId": "fg-process-steward-Steps.IsPreparationStep",
    "Principal": "principal-process-steward",
    "TargetField": "Steps.IsPreparationStep",
    "CanRead": true,
    "CanWrite": false,
    "MaskStrategy": "plain",
    "SemanticTypeIri": "urn:effortless:pko-extension#FieldGrant",
    "Name": "principal-process-steward -&gt; Steps.IsPreparationStep",
    "FieldTable": "Steps",
    "FieldName": "IsPreparationStep",
    "FieldIsDerived": true,
    "IsWritableDerivedField": false,
    "IsMasked": false,
    "GrantKeyWhenReadable": "principal-process-steward|Steps"
   },
   {
    "FieldGrantId": "fg-process-steward-Steps.IsApprovalStep",
    "Principal": "principal-process-steward",
    "TargetField": "Steps.IsApprovalStep",
    "CanRead": true,
    "CanWrite": false,
    "MaskStrategy": "plain",
    "SemanticTypeIri": "urn:effortless:pko-extension#FieldGrant",
    "Name": "principal-process-steward -&gt; Steps.IsApprovalStep",
    "FieldTable": "Steps",
    "FieldName": "IsApprovalStep",
    "FieldIsDerived": true,
    "IsWritableDerivedField": false,
    "IsMasked": false,
    "GrantKeyWhenReadable": "principal-process-steward|Steps"
   },
   {
    "FieldGrantId": "fg-process-steward-Steps.StaleAuthoritativeBindingCount",
    "Principal": "principal-process-steward",
    "TargetField": "Steps.StaleAuthoritativeBindingCount",
    "CanRead": true,
    "CanWrite": false,
    "MaskStrategy": "plain",
    "SemanticTypeIri": "urn:effortless:pko-extension#FieldGrant",
    "Name": "principal-process-steward -&gt; Steps.StaleAuthoritativeBindingCount",
    "FieldTable": "Steps",
    "FieldName": "StaleAuthoritativeBindingCount",
    "FieldIsDerived": true,
    "IsWritableDerivedField": false,
    "IsMasked": false,
    "GrantKeyWhenReadable": "principal-process-steward|Steps"
   },
   {
    "FieldGrantId": "fg-process-steward-Steps.InputsAreFresh",
    "Principal": "principal-process-steward",
    "TargetField": "Steps.InputsAreFresh",
    "CanRead": true,
    "CanWrite": false,
    "MaskStrategy": "plain",
    "SemanticTypeIri": "urn:effortless:pko-extension#FieldGrant",
    "Name": "principal-process-steward -&gt; Steps.InputsAreFresh",
    "FieldTable": "Steps",
    "FieldName": "InputsAreFresh",
    "FieldIsDerived": true,
    "IsWritableDerivedField": false,
    "IsMasked": false,
    "GrantKeyWhenReadable": "principal-process-steward|Steps"
   },
   {
    "FieldGrantId": "fg-process-steward-Steps.IsSoftwareAssigned",
    "Principal": "principal-process-steward",
    "TargetField": "Steps.IsSoftwareAssigned",
    "CanRead": true,
    "CanWrite": false,
    "MaskStrategy": "plain",
    "SemanticTypeIri": "urn:effortless:pko-extension#FieldGrant",
    "Name": "principal-process-steward -&gt; Steps.IsSoftwareAssigned",
    "FieldTable": "Steps",
    "FieldName": "IsSoftwareAssigned",
    "FieldIsDerived": true,
    "IsWritableDerivedField": false,
    "IsMasked": false,
    "GrantKeyWhenReadable": "principal-process-steward|Steps"
   },
   {
    "FieldGrantId": "fg-process-steward-Steps.IsHumanApprovalGate",
    "Principal": "principal-process-steward",
    "TargetField": "Steps.IsHumanApprovalGate",
    "CanRead": true,
    "CanWrite": false,
    "MaskStrategy": "plain",
    "SemanticTypeIri": "urn:effortless:pko-extension#FieldGrant",
    "Name": "principal-process-steward -&gt; Steps.IsHumanApprovalGate",
    "FieldTable": "Steps",
    "FieldName": "IsHumanApprovalGate",
    "FieldIsDerived": true,
    "IsWritableDerivedField": false,
    "IsMasked": false,
    "GrantKeyWhenReadable": "principal-process-steward|Steps"
   },
   {
    "FieldGrantId": "fg-process-steward-Steps.GateHeldByHuman",
    "Principal": "principal-process-steward",
    "TargetField": "Steps.GateHeldByHuman",
    "CanRead": true,
    "CanWrite": false,
    "MaskStrategy": "plain",
    "SemanticTypeIri": "urn:effortless:pko-extension#FieldGrant",
    "Name": "principal-process-steward -&gt; Steps.GateHeldByHuman",
    "FieldTable": "Steps",
    "FieldName": "GateHeldByHuman",
    "FieldIsDerived": true,
    "IsWritableDerivedField": false,
    "IsMasked": false,
    "GrantKeyWhenReadable": "principal-process-steward|Steps"
   },
   {
    "FieldGrantId": "fg-process-steward-Steps.BindingBoundaryCount",
    "Principal": "principal-process-steward",
    "TargetField": "Steps.BindingBoundaryCount",
    "CanRead": true,
    "CanWrite": false,
    "MaskStrategy": "plain",
    "SemanticTypeIri": "urn:effortless:pko-extension#FieldGrant",
    "Name": "principal-process-steward -&gt; Steps.BindingBoundaryCount",
    "FieldTable": "Steps",
    "FieldName": "BindingBoundaryCount",
    "FieldIsDerived": true,
    "IsWritableDerivedField": false,
    "IsMasked": false,
    "GrantKeyWhenReadable": "principal-process-steward|Steps"
   },
   {
    "FieldGrantId": "fg-process-steward-Steps.AssignedRoleIsUngoverned",
    "Principal": "principal-process-steward",
    "TargetField": "Steps.AssignedRoleIsUngoverned",
    "CanRead": true,
    "CanWrite": false,
    "MaskStrategy": "plain",
    "SemanticTypeIri": "urn:effortless:pko-extension#FieldGrant",
    "Name": "principal-process-steward -&gt; Steps.AssignedRoleIsUngoverned",
    "FieldTable": "Steps",
    "FieldName": "AssignedRoleIsUngoverned",
    "FieldIsDerived": true,
    "IsWritableDerivedField": false,
    "IsMasked": false,
    "GrantKeyWhenReadable": "principal-process-steward|Steps"
   },
   {
    "FieldGrantId": "fg-process-steward-Steps.UnusableBindingCount",
    "Principal": "principal-process-steward",
    "TargetField": "Steps.UnusableBindingCount",
    "CanRead": true,
    "CanWrite": false,
    "MaskStrategy": "plain",
    "SemanticTypeIri": "urn:effortless:pko-extension#FieldGrant",
    "Name": "principal-process-steward -&gt; Steps.UnusableBindingCount",
    "FieldTable": "Steps",
    "FieldName": "UnusableBindingCount",
    "FieldIsDerived": true,
    "IsWritableDerivedField": false,
    "IsMasked": false,
    "GrantKeyWhenReadable": "principal-process-steward|Steps"
   },
   {
    "FieldGrantId": "fg-process-steward-Steps.AllSourcesUsable",
    "Principal": "principal-process-steward",
    "TargetField": "Steps.AllSourcesUsable",
    "CanRead": true,
    "CanWrite": false,
    "MaskStrategy": "plain",
    "SemanticTypeIri": "urn:effortless:pko-extension#FieldGrant",
    "Name": "principal-process-steward -&gt; Steps.AllSourcesUsable",
    "FieldTable": "Steps",
    "FieldName": "AllSourcesUsable",
    "FieldIsDerived": true,
    "IsWritableDerivedField": false,
    "IsMasked": false,
    "GrantKeyWhenReadable": "principal-process-steward|Steps"
   },
   {
    "FieldGrantId": "fg-process-steward-Steps.ControlKind",
    "Principal": "principal-process-steward",
    "TargetField": "Steps.ControlKind",
    "CanRead": true,
    "CanWrite": false,
    "MaskStrategy": "plain",
    "SemanticTypeIri": "urn:effortless:pko-extension#FieldGrant",
    "Name": "principal-process-steward -&gt; Steps.ControlKind",
    "FieldTable": "Steps",
    "FieldName": "ControlKind",
    "FieldIsDerived": false,
    "IsWritableDerivedField": false,
    "IsMasked": false,
    "GrantKeyWhenReadable": "principal-process-steward|Steps"
   },
   {
    "FieldGrantId": "fg-process-steward-Steps.UnwarrantedBoundaryCount",
    "Principal": "principal-process-steward",
    "TargetField": "Steps.UnwarrantedBoundaryCount",
    "CanRead": true,
    "CanWrite": false,
    "MaskStrategy": "plain",
    "SemanticTypeIri": "urn:effortless:pko-extension#FieldGrant",
    "Name": "principal-process-steward -&gt; Steps.UnwarrantedBoundaryCount",
    "FieldTable": "Steps",
    "FieldName": "UnwarrantedBoundaryCount",
    "FieldIsDerived": true,
    "IsWritableDerivedField": false,
    "IsMasked": false,
    "GrantKeyWhenReadable": "principal-process-steward|Steps"
   },
   {
    "FieldGrantId": "fg-process-steward-Steps.IsGovernedByUnwarrantedBoundary",
    "Principal": "principal-process-steward",
    "TargetField": "Steps.IsGovernedByUnwarrantedBoundary",
    "CanRead": true,
    "CanWrite": false,
    "MaskStrategy": "plain",
    "SemanticTypeIri": "urn:effortless:pko-extension#FieldGrant",
    "Name": "principal-process-steward -&gt; Steps.IsGovernedByUnwarrantedBoundary",
    "FieldTable": "Steps",
    "FieldName": "IsGovernedByUnwarrantedBoundary",
    "FieldIsDerived": true,
    "IsWritableDerivedField": false,
    "IsMasked": false,
    "GrantKeyWhenReadable": "principal-process-steward|Steps"
   },
   {
    "FieldGrantId": "fg-process-steward-Steps.SoftwareExecutionCount",
    "Principal": "principal-process-steward",
    "TargetField": "Steps.SoftwareExecutionCount",
    "CanRead": true,
    "CanWrite": false,
    "MaskStrategy": "plain",
    "SemanticTypeIri": "urn:effortless:pko-extension#FieldGrant",
    "Name": "principal-process-steward -&gt; Steps.SoftwareExecutionCount",
    "FieldTable": "Steps",
    "FieldName": "SoftwareExecutionCount",
    "FieldIsDerived": true,
    "IsWritableDerivedField": false,
    "IsMasked": false,
    "GrantKeyWhenReadable": "principal-process-steward|Steps"
   },
   {
    "FieldGrantId": "fg-process-steward-Steps.HasBeenApproachedBySoftware",
    "Principal": "principal-process-steward",
    "TargetField": "Steps.HasBeenApproachedBySoftware",
    "CanRead": true,
    "CanWrite": false,
    "MaskStrategy": "plain",
    "SemanticTypeIri": "urn:effortless:pko-extension#FieldGrant",
    "Name": "principal-process-steward -&gt; Steps.HasBeenApproachedBySoftware",
    "FieldTable": "Steps",
    "FieldName": "HasBeenApproachedBySoftware",
    "FieldIsDerived": true,
    "IsWritableDerivedField": false,
    "IsMasked": false,
    "GrantKeyWhenReadable": "principal-process-steward|Steps"
   },
   {
    "FieldGrantId": "fg-process-steward-Steps.IsUnexercisedHumanGate",
    "Principal": "principal-process-steward",
    "TargetField": "Steps.IsUnexercisedHumanGate",
    "CanRead": true,
    "CanWrite": false,
    "MaskStrategy": "plain",
    "SemanticTypeIri": "urn:effortless:pko-extension#FieldGrant",
    "Name": "principal-process-steward -&gt; Steps.IsUnexercisedHumanGate",
    "FieldTable": "Steps",
    "FieldName": "IsUnexercisedHumanGate",
    "FieldIsDerived": true,
    "IsWritableDerivedField": false,
    "IsMasked": false,
    "GrantKeyWhenReadable": "principal-process-steward|Steps"
   },
   {
    "FieldGrantId": "fg-process-steward-Steps.IsDemonstratedHumanGate",
    "Principal": "principal-process-steward",
    "TargetField": "Steps.IsDemonstratedHumanGate",
    "CanRead": true,
    "CanWrite": false,
    "MaskStrategy": "plain",
    "SemanticTypeIri": "urn:effortless:pko-extension#FieldGrant",
    "Name": "principal-process-steward -&gt; Steps.IsDemonstratedHumanGate",
    "FieldTable": "Steps",
    "FieldName": "IsDemonstratedHumanGate",
    "FieldIsDerived": true,
    "IsWritableDerivedField": false,
    "IsMasked": false,
    "GrantKeyWhenReadable": "principal-process-steward|Steps"
   },
   {
    "FieldGrantId": "fg-process-steward-Steps.UnexercisedGateVersionKey",
    "Principal": "principal-process-steward",
    "TargetField": "Steps.UnexercisedGateVersionKey",
    "CanRead": true,
    "CanWrite": false,
    "MaskStrategy": "plain",
    "SemanticTypeIri": "urn:effortless:pko-extension#FieldGrant",
    "Name": "principal-process-steward -&gt; Steps.UnexercisedGateVersionKey",
    "FieldTable": "Steps",
    "FieldName": "UnexercisedGateVersionKey",
    "FieldIsDerived": true,
    "IsWritableDerivedField": false,
    "IsMasked": false,
    "GrantKeyWhenReadable": "principal-process-steward|Steps"
   },
   {
    "FieldGrantId": "fg-process-steward-Steps.HasDeclaredControlKind",
    "Principal": "principal-process-steward",
    "TargetField": "Steps.HasDeclaredControlKind",
    "CanRead": true,
    "CanWrite": false,
    "MaskStrategy": "plain",
    "SemanticTypeIri": "urn:effortless:pko-extension#FieldGrant",
    "Name": "principal-process-steward -&gt; Steps.HasDeclaredControlKind",
    "FieldTable": "Steps",
    "FieldName": "HasDeclaredControlKind",
    "FieldIsDerived": true,
    "IsWritableDerivedField": false,
    "IsMasked": false,
    "GrantKeyWhenReadable": "principal-process-steward|Steps"
   },
   {
    "FieldGrantId": "fg-process-steward-Steps.UndeclaredControlVersionKey",
    "Principal": "principal-process-steward",
    "TargetField": "Steps.UndeclaredControlVersionKey",
    "CanRead": true,
    "CanWrite": false,
    "MaskStrategy": "plain",
    "SemanticTypeIri": "urn:effortless:pko-extension#FieldGrant",
    "Name": "principal-process-steward -&gt; Steps.UndeclaredControlVersionKey",
    "FieldTable": "Steps",
    "FieldName": "UndeclaredControlVersionKey",
    "FieldIsDerived": true,
    "IsWritableDerivedField": false,
    "IsMasked": false,
    "GrantKeyWhenReadable": "principal-process-steward|Steps"
   },
   {
    "FieldGrantId": "fg-process-steward-Steps.ApprovalStepIsSoftwareAssigned",
    "Principal": "principal-process-steward",
    "TargetField": "Steps.ApprovalStepIsSoftwareAssigned",
    "CanRead": true,
    "CanWrite": false,
    "MaskStrategy": "plain",
    "SemanticTypeIri": "urn:effortless:pko-extension#FieldGrant",
    "Name": "principal-process-steward -&gt; Steps.ApprovalStepIsSoftwareAssigned",
    "FieldTable": "Steps",
    "FieldName": "ApprovalStepIsSoftwareAssigned",
    "FieldIsDerived": true,
    "IsWritableDerivedField": false,
    "IsMasked": false,
    "GrantKeyWhenReadable": "principal-process-steward|Steps"
   },
   {
    "FieldGrantId": "fg-process-steward-Steps.UnwitnessedBlockingCount",
    "Principal": "principal-process-steward",
    "TargetField": "Steps.UnwitnessedBlockingCount",
    "CanRead": true,
    "CanWrite": false,
    "MaskStrategy": "plain",
    "SemanticTypeIri": "urn:effortless:pko-extension#FieldGrant",
    "Name": "principal-process-steward -&gt; Steps.UnwitnessedBlockingCount",
    "FieldTable": "Steps",
    "FieldName": "UnwitnessedBlockingCount",
    "FieldIsDerived": true,
    "IsWritableDerivedField": false,
    "IsMasked": false,
    "GrantKeyWhenReadable": "principal-process-steward|Steps"
   },
   {
    "FieldGrantId": "fg-process-steward-Steps.SemanticTypeIri",
    "Principal": "principal-process-steward",
    "TargetField": "Steps.SemanticTypeIri",
    "CanRead": true,
    "CanWrite": false,
    "MaskStrategy": "plain",
    "SemanticTypeIri": "urn:effortless:pko-extension#FieldGrant",
    "Name": "principal-process-steward -&gt; Steps.SemanticTypeIri",
    "FieldTable": "Steps",
    "FieldName": "SemanticTypeIri",
    "FieldIsDerived": false,
    "IsWritableDerivedField": false,
    "IsMasked": false,
    "GrantKeyWhenReadable": "principal-process-steward|Steps"
   },
   {
    "FieldGrantId": "fg-process-steward-StewardshipAssignments.StewardshipAssignmentId",
    "Principal": "principal-process-steward",
    "TargetField": "StewardshipAssignments.StewardshipAssignmentId",
    "CanRead": true,
    "CanWrite": false,
    "MaskStrategy": "plain",
    "SemanticTypeIri": "urn:effortless:pko-extension#FieldGrant",
    "Name": "principal-process-steward -&gt; StewardshipAssignments.StewardshipAssignmentId",
    "FieldTable": "StewardshipAssignments",
    "FieldName": "StewardshipAssignmentId",
    "FieldIsDerived": false,
    "IsWritableDerivedField": false,
    "IsMasked": false,
    "GrantKeyWhenReadable": "principal-process-steward|StewardshipAssignments"
   },
   {
    "FieldGrantId": "fg-process-steward-StewardshipAssignments.Name",
    "Principal": "principal-process-steward",
    "TargetField": "StewardshipAssignments.Name",
    "CanRead": true,
    "CanWrite": false,
    "MaskStrategy": "plain",
    "SemanticTypeIri": "urn:effortless:pko-extension#FieldGrant",
    "Name": "principal-process-steward -&gt; StewardshipAssignments.Name",
    "FieldTable": "StewardshipAssignments",
    "FieldName": "Name",
    "FieldIsDerived": true,
    "IsWritableDerivedField": false,
    "IsMasked": false,
    "GrantKeyWhenReadable": "principal-process-steward|StewardshipAssignments"
   },
   {
    "FieldGrantId": "fg-process-steward-StewardshipAssignments.ProcedureVersion",
    "Principal": "principal-process-steward",
    "TargetField": "StewardshipAssignments.ProcedureVersion",
    "CanRead": true,
    "CanWrite": false,
    "MaskStrategy": "plain",
    "SemanticTypeIri": "urn:effortless:pko-extension#FieldGrant",
    "Name": "principal-process-steward -&gt; StewardshipAssignments.ProcedureVersion",
    "FieldTable": "StewardshipAssignments",
    "FieldName": "ProcedureVersion",
    "FieldIsDerived": false,
    "IsWritableDerivedField": false,
    "IsMasked": false,
    "GrantKeyWhenReadable": "principal-process-steward|StewardshipAssignments"
   },
   {
    "FieldGrantId": "fg-process-steward-StewardshipAssignments.StewardRole",
    "Principal": "principal-process-steward",
    "TargetField": "StewardshipAssignments.StewardRole",
    "CanRead": true,
    "CanWrite": false,
    "MaskStrategy": "plain",
    "SemanticTypeIri": "urn:effortless:pko-extension#FieldGrant",
    "Name": "principal-process-steward -&gt; StewardshipAssignments.StewardRole",
    "FieldTable": "StewardshipAssignments",
    "FieldName": "StewardRole",
    "FieldIsDerived": false,
    "IsWritableDerivedField": false,
    "IsMasked": false,
    "GrantKeyWhenReadable": "principal-process-steward|StewardshipAssignments"
   },
   {
    "FieldGrantId": "fg-process-steward-StewardshipAssignments.AuthorityRole",
    "Principal": "principal-process-steward",
    "TargetField": "StewardshipAssignments.AuthorityRole",
    "CanRead": true,
    "CanWrite": false,
    "MaskStrategy": "plain",
    "SemanticTypeIri": "urn:effortless:pko-extension#FieldGrant",
    "Name": "principal-process-steward -&gt; StewardshipAssignments.AuthorityRole",
    "FieldTable": "StewardshipAssignments",
    "FieldName": "AuthorityRole",
    "FieldIsDerived": false,
    "IsWritableDerivedField": false,
    "IsMasked": false,
    "GrantKeyWhenReadable": "principal-process-steward|StewardshipAssignments"
   },
   {
    "FieldGrantId": "fg-process-steward-StewardshipAssignments.ValidFrom",
    "Principal": "principal-process-steward",
    "TargetField": "StewardshipAssignments.ValidFrom",
    "CanRead": true,
    "CanWrite": false,
    "MaskStrategy": "plain",
    "SemanticTypeIri": "urn:effortless:pko-extension#FieldGrant",
    "Name": "principal-process-steward -&gt; StewardshipAssignments.ValidFrom",
    "FieldTable": "StewardshipAssignments",
    "FieldName": "ValidFrom",
    "FieldIsDerived": false,
    "IsWritableDerivedField": false,
    "IsMasked": false,
    "GrantKeyWhenReadable": "principal-process-steward|StewardshipAssignments"
   },
   {
    "FieldGrantId": "fg-process-steward-StewardshipAssignments.ValidTo",
    "Principal": "principal-process-steward",
    "TargetField": "StewardshipAssignments.ValidTo",
    "CanRead": true,
    "CanWrite": false,
    "MaskStrategy": "plain",
    "SemanticTypeIri": "urn:effortless:pko-extension#FieldGrant",
    "Name": "principal-process-steward -&gt; StewardshipAssignments.ValidTo",
    "FieldTable": "StewardshipAssignments",
    "FieldName": "ValidTo",
    "FieldIsDerived": false,
    "IsWritableDerivedField": false,
    "IsMasked": false,
    "GrantKeyWhenReadable": "principal-process-steward|StewardshipAssignments"
   },
   {
    "FieldGrantId": "fg-process-steward-StewardshipAssignments.ReviewCadenceDays",
    "Principal": "principal-process-steward",
    "TargetField": "StewardshipAssignments.ReviewCadenceDays",
    "CanRead": true,
    "CanWrite": false,
    "MaskStrategy": "plain",
    "SemanticTypeIri": "urn:effortless:pko-extension#FieldGrant",
    "Name": "principal-process-steward -&gt; StewardshipAssignments.ReviewCadenceDays",
    "FieldTable": "StewardshipAssignments",
    "FieldName": "ReviewCadenceDays",
    "FieldIsDerived": false,
    "IsWritableDerivedField": false,
    "IsMasked": false,
    "GrantKeyWhenReadable": "principal-process-steward|StewardshipAssignments"
   },
   {
    "FieldGrantId": "fg-process-steward-StewardshipAssignments.CountOfReviewEvents",
    "Principal": "principal-process-steward",
    "TargetField": "StewardshipAssignments.CountOfReviewEvents",
    "CanRead": true,
    "CanWrite": false,
    "MaskStrategy": "plain",
    "SemanticTypeIri": "urn:effortless:pko-extension#FieldGrant",
    "Name": "principal-process-steward -&gt; StewardshipAssignments.CountOfReviewEvents",
    "FieldTable": "StewardshipAssignments",
    "FieldName": "CountOfReviewEvents",
    "FieldIsDerived": true,
    "IsWritableDerivedField": false,
    "IsMasked": false,
    "GrantKeyWhenReadable": "principal-process-steward|StewardshipAssignments"
   },
   {
    "FieldGrantId": "fg-process-steward-StewardshipAssignments.HasEverBeenReviewed",
    "Principal": "principal-process-steward",
    "TargetField": "StewardshipAssignments.HasEverBeenReviewed",
    "CanRead": true,
    "CanWrite": false,
    "MaskStrategy": "plain",
    "SemanticTypeIri": "urn:effortless:pko-extension#FieldGrant",
    "Name": "principal-process-steward -&gt; StewardshipAssignments.HasEverBeenReviewed",
    "FieldTable": "StewardshipAssignments",
    "FieldName": "HasEverBeenReviewed",
    "FieldIsDerived": true,
    "IsWritableDerivedField": false,
    "IsMasked": false,
    "GrantKeyWhenReadable": "principal-process-steward|StewardshipAssignments"
   },
   {
    "FieldGrantId": "fg-process-steward-StewardshipAssignments.EvaluationContext",
    "Principal": "principal-process-steward",
    "TargetField": "StewardshipAssignments.EvaluationContext",
    "CanRead": true,
    "CanWrite": false,
    "MaskStrategy": "plain",
    "SemanticTypeIri": "urn:effortless:pko-extension#FieldGrant",
    "Name": "principal-process-steward -&gt; StewardshipAssignments.EvaluationContext",
    "FieldTable": "StewardshipAssignments",
    "FieldName": "EvaluationContext",
    "FieldIsDerived": false,
    "IsWritableDerivedField": false,
    "IsMasked": false,
    "GrantKeyWhenReadable": "principal-process-steward|StewardshipAssignments"
   },
   {
    "FieldGrantId": "fg-process-steward-StewardshipAssignments.AsOfInstant",
    "Principal": "principal-process-steward",
    "TargetField": "StewardshipAssignments.AsOfInstant",
    "CanRead": true,
    "CanWrite": false,
    "MaskStrategy": "plain",
    "SemanticTypeIri": "urn:effortless:pko-extension#FieldGrant",
    "Name": "principal-process-steward -&gt; StewardshipAssignments.AsOfInstant",
    "FieldTable": "StewardshipAssignments",
    "FieldName": "AsOfInstant",
    "FieldIsDerived": true,
    "IsWritableDerivedField": false,
    "IsMasked": false,
    "GrantKeyWhenReadable": "principal-process-steward|StewardshipAssignments"
   },
   {
    "FieldGrantId": "fg-process-steward-StewardshipAssignments.IsCurrentAssignment",
    "Principal": "principal-process-steward",
    "TargetField": "StewardshipAssignments.IsCurrentAssignment",
    "CanRead": true,
    "CanWrite": false,
    "MaskStrategy": "plain",
    "SemanticT</t>
  </si>
  <si>
    <t xml:space="preserve">ypeIri": "urn:effortless:pko-extension#FieldGrant",
    "Name": "principal-process-steward -&gt; StewardshipAssignments.IsCurrentAssignment",
    "FieldTable": "StewardshipAssignments",
    "FieldName": "IsCurrentAssignment",
    "FieldIsDerived": true,
    "IsWritableDerivedField": false,
    "IsMasked": false,
    "GrantKeyWhenReadable": "principal-process-steward|StewardshipAssignments"
   },
   {
    "FieldGrantId": "fg-process-steward-StewardshipAssignments.SemanticTypeIri",
    "Principal": "principal-process-steward",
    "TargetField": "StewardshipAssignments.SemanticTypeIri",
    "CanRead": true,
    "CanWrite": false,
    "MaskStrategy": "plain",
    "SemanticTypeIri": "urn:effortless:pko-extension#FieldGrant",
    "Name": "principal-process-steward -&gt; StewardshipAssignments.SemanticTypeIri",
    "FieldTable": "StewardshipAssignments",
    "FieldName": "SemanticTypeIri",
    "FieldIsDerived": false,
    "IsWritableDerivedField": false,
    "IsMasked": false,
    "GrantKeyWhenReadable": "principal-process-steward|StewardshipAssignments"
   },
   {
    "FieldGrantId": "fg-process-steward-TemplateApprovals.TemplateApprovalId",
    "Principal": "principal-process-steward",
    "TargetField": "TemplateApprovals.TemplateApprovalId",
    "CanRead": true,
    "CanWrite": false,
    "MaskStrategy": "plain",
    "SemanticTypeIri": "urn:effortless:pko-extension#FieldGrant",
    "Name": "principal-process-steward -&gt; TemplateApprovals.TemplateApprovalId",
    "FieldTable": "TemplateApprovals",
    "FieldName": "TemplateApprovalId",
    "FieldIsDerived": false,
    "IsWritableDerivedField": false,
    "IsMasked": false,
    "GrantKeyWhenReadable": "principal-process-steward|TemplateApprovals"
   },
   {
    "FieldGrantId": "fg-process-steward-TemplateApprovals.Name",
    "Principal": "principal-process-steward",
    "TargetField": "TemplateApprovals.Name",
    "CanRead": true,
    "CanWrite": false,
    "MaskStrategy": "plain",
    "SemanticTypeIri": "urn:effortless:pko-extension#FieldGrant",
    "Name": "principal-process-steward -&gt; TemplateApprovals.Name",
    "FieldTable": "TemplateApprovals",
    "FieldName": "Name",
    "FieldIsDerived": true,
    "IsWritableDerivedField": false,
    "IsMasked": false,
    "GrantKeyWhenReadable": "principal-process-steward|TemplateApprovals"
   },
   {
    "FieldGrantId": "fg-process-steward-TemplateApprovals.MessageTemplate",
    "Principal": "principal-process-steward",
    "TargetField": "TemplateApprovals.MessageTemplate",
    "CanRead": true,
    "CanWrite": false,
    "MaskStrategy": "plain",
    "SemanticTypeIri": "urn:effortless:pko-extension#FieldGrant",
    "Name": "principal-process-steward -&gt; TemplateApprovals.MessageTemplate",
    "FieldTable": "TemplateApprovals",
    "FieldName": "MessageTemplate",
    "FieldIsDerived": false,
    "IsWritableDerivedField": false,
    "IsMasked": false,
    "GrantKeyWhenReadable": "principal-process-steward|TemplateApprovals"
   },
   {
    "FieldGrantId": "fg-process-steward-TemplateApprovals.DecidedByAgent",
    "Principal": "principal-process-steward",
    "TargetField": "TemplateApprovals.DecidedByAgent",
    "CanRead": true,
    "CanWrite": false,
    "MaskStrategy": "plain",
    "SemanticTypeIri": "urn:effortless:pko-extension#FieldGrant",
    "Name": "principal-process-steward -&gt; TemplateApprovals.DecidedByAgent",
    "FieldTable": "TemplateApprovals",
    "FieldName": "DecidedByAgent",
    "FieldIsDerived": false,
    "IsWritableDerivedField": false,
    "IsMasked": false,
    "GrantKeyWhenReadable": "principal-process-steward|TemplateApprovals"
   },
   {
    "FieldGrantId": "fg-process-steward-TemplateApprovals.DecidedInRole",
    "Principal": "principal-process-steward",
    "TargetField": "TemplateApprovals.DecidedInRole",
    "CanRead": true,
    "CanWrite": false,
    "MaskStrategy": "plain",
    "SemanticTypeIri": "urn:effortless:pko-extension#FieldGrant",
    "Name": "principal-process-steward -&gt; TemplateApprovals.DecidedInRole",
    "FieldTable": "TemplateApprovals",
    "FieldName": "DecidedInRole",
    "FieldIsDerived": false,
    "IsWritableDerivedField": false,
    "IsMasked": false,
    "GrantKeyWhenReadable": "principal-process-steward|TemplateApprovals"
   },
   {
    "FieldGrantId": "fg-process-steward-TemplateApprovals.Decision",
    "Principal": "principal-process-steward",
    "TargetField": "TemplateApprovals.Decision",
    "CanRead": true,
    "CanWrite": false,
    "MaskStrategy": "plain",
    "SemanticTypeIri": "urn:effortless:pko-extension#FieldGrant",
    "Name": "principal-process-steward -&gt; TemplateApprovals.Decision",
    "FieldTable": "TemplateApprovals",
    "FieldName": "Decision",
    "FieldIsDerived": false,
    "IsWritableDerivedField": false,
    "IsMasked": false,
    "GrantKeyWhenReadable": "principal-process-steward|TemplateApprovals"
   },
   {
    "FieldGrantId": "fg-process-steward-TemplateApprovals.DecidedAt",
    "Principal": "principal-process-steward",
    "TargetField": "TemplateApprovals.DecidedAt",
    "CanRead": true,
    "CanWrite": false,
    "MaskStrategy": "plain",
    "SemanticTypeIri": "urn:effortless:pko-extension#FieldGrant",
    "Name": "principal-process-steward -&gt; TemplateApprovals.DecidedAt",
    "FieldTable": "TemplateApprovals",
    "FieldName": "DecidedAt",
    "FieldIsDerived": false,
    "IsWritableDerivedField": false,
    "IsMasked": false,
    "GrantKeyWhenReadable": "principal-process-steward|TemplateApprovals"
   },
   {
    "FieldGrantId": "fg-process-steward-TemplateApprovals.ApprovedBodyHash",
    "Principal": "principal-process-steward",
    "TargetField": "TemplateApprovals.ApprovedBodyHash",
    "CanRead": true,
    "CanWrite": false,
    "MaskStrategy": "plain",
    "SemanticTypeIri": "urn:effortless:pko-extension#FieldGrant",
    "Name": "principal-process-steward -&gt; TemplateApprovals.ApprovedBodyHash",
    "FieldTable": "TemplateApprovals",
    "FieldName": "ApprovedBodyHash",
    "FieldIsDerived": false,
    "IsWritableDerivedField": false,
    "IsMasked": false,
    "GrantKeyWhenReadable": "principal-process-steward|TemplateApprovals"
   },
   {
    "FieldGrantId": "fg-process-steward-TemplateApprovals.Notes",
    "Principal": "principal-process-steward",
    "TargetField": "TemplateApprovals.Notes",
    "CanRead": true,
    "CanWrite": false,
    "MaskStrategy": "plain",
    "SemanticTypeIri": "urn:effortless:pko-extension#FieldGrant",
    "Name": "principal-process-steward -&gt; TemplateApprovals.Notes",
    "FieldTable": "TemplateApprovals",
    "FieldName": "Notes",
    "FieldIsDerived": false,
    "IsWritableDerivedField": false,
    "IsMasked": false,
    "GrantKeyWhenReadable": "principal-process-steward|TemplateApprovals"
   },
   {
    "FieldGrantId": "fg-process-steward-TemplateApprovals.IsApprovalDecision",
    "Principal": "principal-process-steward",
    "TargetField": "TemplateApprovals.IsApprovalDecision",
    "CanRead": true,
    "CanWrite": false,
    "MaskStrategy": "plain",
    "SemanticTypeIri": "urn:effortless:pko-extension#FieldGrant",
    "Name": "principal-process-steward -&gt; TemplateApprovals.IsApprovalDecision",
    "FieldTable": "TemplateApprovals",
    "FieldName": "IsApprovalDecision",
    "FieldIsDerived": true,
    "IsWritableDerivedField": false,
    "IsMasked": false,
    "GrantKeyWhenReadable": "principal-process-steward|TemplateApprovals"
   },
   {
    "FieldGrantId": "fg-process-steward-TemplateApprovals.TemplatePolicy",
    "Principal": "principal-process-steward",
    "TargetField": "TemplateApprovals.TemplatePolicy",
    "CanRead": true,
    "CanWrite": false,
    "MaskStrategy": "plain",
    "SemanticTypeIri": "urn:effortless:pko-extension#FieldGrant",
    "Name": "principal-process-steward -&gt; TemplateApprovals.TemplatePolicy",
    "FieldTable": "TemplateApprovals",
    "FieldName": "TemplatePolicy",
    "FieldIsDerived": true,
    "IsWritableDerivedField": false,
    "IsMasked": false,
    "GrantKeyWhenReadable": "principal-process-steward|TemplateApprovals"
   },
   {
    "FieldGrantId": "fg-process-steward-TemplateApprovals.RequiredApprovalRole",
    "Principal": "principal-process-steward",
    "TargetField": "TemplateApprovals.RequiredApprovalRole",
    "CanRead": true,
    "CanWrite": false,
    "MaskStrategy": "plain",
    "SemanticTypeIri": "urn:effortless:pko-extension#FieldGrant",
    "Name": "principal-process-steward -&gt; TemplateApprovals.RequiredApprovalRole",
    "FieldTable": "TemplateApprovals",
    "FieldName": "RequiredApprovalRole",
    "FieldIsDerived": true,
    "IsWritableDerivedField": false,
    "IsMasked": false,
    "GrantKeyWhenReadable": "principal-process-steward|TemplateApprovals"
   },
   {
    "FieldGrantId": "fg-process-steward-TemplateApprovals.IsDecidedByRequiredRole",
    "Principal": "principal-process-steward",
    "TargetField": "TemplateApprovals.IsDecidedByRequiredRole",
    "CanRead": true,
    "CanWrite": false,
    "MaskStrategy": "plain",
    "SemanticTypeIri": "urn:effortless:pko-extension#FieldGrant",
    "Name": "principal-process-steward -&gt; TemplateApprovals.IsDecidedByRequiredRole",
    "FieldTable": "TemplateApprovals",
    "FieldName": "IsDecidedByRequiredRole",
    "FieldIsDerived": true,
    "IsWritableDerivedField": false,
    "IsMasked": false,
    "GrantKeyWhenReadable": "principal-process-steward|TemplateApprovals"
   },
   {
    "FieldGrantId": "fg-process-steward-TemplateApprovals.ValidApprovalTemplateKey",
    "Principal": "principal-process-steward",
    "TargetField": "TemplateApprovals.ValidApprovalTemplateKey",
    "CanRead": true,
    "CanWrite": false,
    "MaskStrategy": "plain",
    "SemanticTypeIri": "urn:effortless:pko-extension#FieldGrant",
    "Name": "principal-process-steward -&gt; TemplateApprovals.ValidApprovalTemplateKey",
    "FieldTable": "TemplateApprovals",
    "FieldName": "ValidApprovalTemplateKey",
    "FieldIsDerived": true,
    "IsWritableDerivedField": false,
    "IsMasked": false,
    "GrantKeyWhenReadable": "principal-process-steward|TemplateApprovals"
   },
   {
    "FieldGrantId": "fg-process-steward-TemplateApprovals.SemanticTypeIri",
    "Principal": "principal-process-steward",
    "TargetField": "TemplateApprovals.SemanticTypeIri",
    "CanRead": true,
    "CanWrite": false,
    "MaskStrategy": "plain",
    "SemanticTypeIri": "urn:effortless:pko-extension#FieldGrant",
    "Name": "principal-process-steward -&gt; TemplateApprovals.SemanticTypeIri",
    "FieldTable": "TemplateApprovals",
    "FieldName": "SemanticTypeIri",
    "FieldIsDerived": false,
    "IsWritableDerivedField": false,
    "IsMasked": false,
    "GrantKeyWhenReadable": "principal-process-steward|TemplateApprovals"
   },
   {
    "FieldGrantId": "fg-process-steward-TestCases.TestCaseId",
    "Principal": "principal-process-steward",
    "TargetField": "TestCases.TestCaseId",
    "CanRead": true,
    "CanWrite": false,
    "MaskStrategy": "plain",
    "SemanticTypeIri": "urn:effortless:pko-extension#FieldGrant",
    "Name": "principal-process-steward -&gt; TestCases.TestCaseId",
    "FieldTable": "TestCases",
    "FieldName": "TestCaseId",
    "FieldIsDerived": false,
    "IsWritableDerivedField": false,
    "IsMasked": false,
    "GrantKeyWhenReadable": "principal-process-steward|TestCases"
   },
   {
    "FieldGrantId": "fg-process-steward-TestCases.Name",
    "Principal": "principal-process-steward",
    "TargetField": "TestCases.Name",
    "CanRead": true,
    "CanWrite": false,
    "MaskStrategy": "plain",
    "SemanticTypeIri": "urn:effortless:pko-extension#FieldGrant",
    "Name": "principal-process-steward -&gt; TestCases.Name",
    "FieldTable": "TestCases",
    "FieldName": "Name",
    "FieldIsDerived": true,
    "IsWritableDerivedField": false,
    "IsMasked": false,
    "GrantKeyWhenReadable": "principal-process-steward|TestCases"
   },
   {
    "FieldGrantId": "fg-process-steward-TestCases.TestKind",
    "Principal": "principal-process-steward",
    "TargetField": "TestCases.TestKind",
    "CanRead": true,
    "CanWrite": false,
    "MaskStrategy": "plain",
    "SemanticTypeIri": "urn:effortless:pko-extension#FieldGrant",
    "Name": "principal-process-steward -&gt; TestCases.TestKind",
    "FieldTable": "TestCases",
    "FieldName": "TestKind",
    "FieldIsDerived": false,
    "IsWritableDerivedField": false,
    "IsMasked": false,
    "GrantKeyWhenReadable": "principal-process-steward|TestCases"
   },
   {
    "FieldGrantId": "fg-process-steward-TestCases.Subject",
    "Principal": "principal-process-steward",
    "TargetField": "TestCases.Subject",
    "CanRead": true,
    "CanWrite": false,
    "MaskStrategy": "plain",
    "SemanticTypeIri": "urn:effortless:pko-extension#FieldGrant",
    "Name": "principal-process-steward -&gt; TestCases.Subject",
    "FieldTable": "TestCases",
    "FieldName": "Subject",
    "FieldIsDerived": false,
    "IsWritableDerivedField": false,
    "IsMasked": false,
    "GrantKeyWhenReadable": "principal-process-steward|TestCases"
   },
   {
    "FieldGrantId": "fg-process-steward-TestCases.TargetTable",
    "Principal": "principal-process-steward",
    "TargetField": "TestCases.TargetTable",
    "CanRead": true,
    "CanWrite": false,
    "MaskStrategy": "plain",
    "SemanticTypeIri": "urn:effortless:pko-extension#FieldGrant",
    "Name": "principal-process-steward -&gt; TestCases.TargetTable",
    "FieldTable": "TestCases",
    "FieldName": "TargetTable",
    "FieldIsDerived": false,
    "IsWritableDerivedField": false,
    "IsMasked": false,
    "GrantKeyWhenReadable": "principal-process-steward|TestCases"
   },
   {
    "FieldGrantId": "fg-process-steward-TestCases.TargetField",
    "Principal": "principal-process-steward",
    "TargetField": "TestCases.TargetField",
    "CanRead": true,
    "CanWrite": false,
    "MaskStrategy": "plain",
    "SemanticTypeIri": "urn:effortless:pko-extension#FieldGrant",
    "Name": "principal-process-steward -&gt; TestCases.TargetField",
    "FieldTable": "TestCases",
    "FieldName": "TargetField",
    "FieldIsDerived": false,
    "IsWritableDerivedField": false,
    "IsMasked": false,
    "GrantKeyWhenReadable": "principal-process-steward|TestCases"
   },
   {
    "FieldGrantId": "fg-process-steward-TestCases.Assertion",
    "Principal": "principal-process-steward",
    "TargetField": "TestCases.Assertion",
    "CanRead": true,
    "CanWrite": false,
    "MaskStrategy": "plain",
    "SemanticTypeIri": "urn:effortless:pko-extension#FieldGrant",
    "Name": "principal-process-steward -&gt; TestCases.Assertion",
    "FieldTable": "TestCases",
    "FieldName": "Assertion",
    "FieldIsDerived": false,
    "IsWritableDerivedField": false,
    "IsMasked": false,
    "GrantKeyWhenReadable": "principal-process-steward|TestCases"
   },
   {
    "FieldGrantId": "fg-process-steward-TestCases.DefendsQuestion",
    "Principal": "principal-process-steward",
    "TargetField": "TestCases.DefendsQuestion",
    "CanRead": true,
    "CanWrite": false,
    "MaskStrategy": "plain",
    "SemanticTypeIri": "urn:effortless:pko-extension#FieldGrant",
    "Name": "principal-process-steward -&gt; TestCases.DefendsQuestion",
    "FieldTable": "TestCases",
    "FieldName": "DefendsQuestion",
    "FieldIsDerived": false,
    "IsWritableDerivedField": false,
    "IsMasked": false,
    "GrantKeyWhenReadable": "principal-process-steward|TestCases"
   },
   {
    "FieldGrantId": "fg-process-steward-TestCases.Suite",
    "Principal": "principal-process-steward",
    "TargetField": "TestCases.Suite",
    "CanRead": true,
    "CanWrite": false,
    "MaskStrategy": "plain",
    "SemanticTypeIri": "urn:effortless:pko-extension#FieldGrant",
    "Name": "principal-process-steward -&gt; TestCases.Suite",
    "FieldTable": "TestCases",
    "FieldName": "Suite",
    "FieldIsDerived": false,
    "IsWritableDerivedField": false,
    "IsMasked": false,
    "GrantKeyWhenReadable": "principal-process-steward|TestCases"
   },
   {
    "FieldGrantId": "fg-process-steward-TestCases.Severity",
    "Principal": "principal-process-steward",
    "TargetField": "TestCases.Severity",
    "CanRead": true,
    "CanWrite": false,
    "MaskStrategy": "plain",
    "SemanticTypeIri": "urn:effortless:pko-extension#FieldGrant",
    "Name": "principal-process-steward -&gt; TestCases.Severity",
    "FieldTable": "TestCases",
    "FieldName": "Severity",
    "FieldIsDerived": false,
    "IsWritableDerivedField": false,
    "IsMasked": false,
    "GrantKeyWhenReadable": "principal-process-steward|TestCases"
   },
   {
    "FieldGrantId": "fg-process-steward-TestCases.IsBlocking",
    "Principal": "principal-process-steward",
    "TargetField": "TestCases.IsBlocking",
    "CanRead": true,
    "CanWrite": false,
    "MaskStrategy": "plain",
    "SemanticTypeIri": "urn:effortless:pko-extension#FieldGrant",
    "Name": "principal-process-steward -&gt; TestCases.IsBlocking",
    "FieldTable": "TestCases",
    "FieldName": "IsBlocking",
    "FieldIsDerived": true,
    "IsWritableDerivedField": false,
    "IsMasked": false,
    "GrantKeyWhenReadable": "principal-process-steward|TestCases"
   },
   {
    "FieldGrantId": "fg-process-steward-TestCases.LastOutcome",
    "Principal": "principal-process-steward",
    "TargetField": "TestCases.LastOutcome",
    "CanRead": true,
    "CanWrite": false,
    "MaskStrategy": "plain",
    "SemanticTypeIri": "urn:effortless:pko-extension#FieldGrant",
    "Name": "principal-process-steward -&gt; TestCases.LastOutcome",
    "FieldTable": "TestCases",
    "FieldName": "LastOutcome",
    "FieldIsDerived": false,
    "IsWritableDerivedField": false,
    "IsMasked": false,
    "GrantKeyWhenReadable": "principal-process-steward|TestCases"
   },
   {
    "FieldGrantId": "fg-process-steward-TestCases.LastDetail",
    "Principal": "principal-process-steward",
    "TargetField": "TestCases.LastDetail",
    "CanRead": true,
    "CanWrite": false,
    "MaskStrategy": "plain",
    "SemanticTypeIri": "urn:effortless:pko-extension#FieldGrant",
    "Name": "principal-process-steward -&gt; TestCases.LastDetail",
    "FieldTable": "TestCases",
    "FieldName": "LastDetail",
    "FieldIsDerived": false,
    "IsWritableDerivedField": false,
    "IsMasked": false,
    "GrantKeyWhenReadable": "principal-process-steward|TestCases"
   },
   {
    "FieldGrantId": "fg-process-steward-TestCases.LastRunAt",
    "Principal": "principal-process-steward",
    "TargetField": "TestCases.LastRunAt",
    "CanRead": true,
    "CanWrite": false,
    "MaskStrategy": "plain",
    "SemanticTypeIri": "urn:effortless:pko-extension#FieldGrant",
    "Name": "principal-process-steward -&gt; TestCases.LastRunAt",
    "FieldTable": "TestCases",
    "FieldName": "LastRunAt",
    "FieldIsDerived": false,
    "IsWritableDerivedField": false,
    "IsMasked": false,
    "GrantKeyWhenReadable": "principal-process-steward|TestCases"
   },
   {
    "FieldGrantId": "fg-process-steward-TestCases.IsPassing",
    "Principal": "principal-process-steward",
    "TargetField": "TestCases.IsPassing",
    "CanRead": true,
    "CanWrite": false,
    "MaskStrategy": "plain",
    "SemanticTypeIri": "urn:effortless:pko-extension#FieldGrant",
    "Name": "principal-process-steward -&gt; TestCases.IsPassing",
    "FieldTable": "TestCases",
    "FieldName": "IsPassing",
    "FieldIsDerived": true,
    "IsWritableDerivedField": false,
    "IsMasked": false,
    "GrantKeyWhenReadable": "principal-process-steward|TestCases"
   },
   {
    "FieldGrantId": "fg-process-steward-TestCases.IsFailing",
    "Principal": "principal-process-steward",
    "TargetField": "TestCases.IsFailing",
    "CanRead": true,
    "CanWrite": false,
    "MaskStrategy": "plain",
    "SemanticTypeIri": "urn:effortless:pko-extension#FieldGrant",
    "Name": "principal-process-steward -&gt; TestCases.IsFailing",
    "FieldTable": "TestCases",
    "FieldName": "IsFailing",
    "FieldIsDerived": true,
    "IsWritableDerivedField": false,
    "IsMasked": false,
    "GrantKeyWhenReadable": "principal-process-steward|TestCases"
   },
   {
    "FieldGrantId": "fg-process-steward-TestCases.NeedsAttention",
    "Principal": "principal-process-steward",
    "TargetField": "TestCases.NeedsAttention",
    "CanRead": true,
    "CanWrite": false,
    "MaskStrategy": "plain",
    "SemanticTypeIri": "urn:effortless:pko-extension#FieldGrant",
    "Name": "principal-process-steward -&gt; TestCases.NeedsAttention",
    "FieldTable": "TestCases",
    "FieldName": "NeedsAttention",
    "FieldIsDerived": true,
    "IsWritableDerivedField": false,
    "IsMasked": false,
    "GrantKeyWhenReadable": "principal-process-steward|TestCases"
   },
   {
    "FieldGrantId": "fg-process-steward-TestCases.PassingSuiteKey",
    "Principal": "principal-process-steward",
    "TargetField": "TestCases.PassingSuiteKey",
    "CanRead": true,
    "CanWrite": false,
    "MaskStrategy": "plain",
    "SemanticTypeIri": "urn:effortless:pko-extension#FieldGrant",
    "Name": "principal-process-steward -&gt; TestCases.PassingSuiteKey",
    "FieldTable": "TestCases",
    "FieldName": "PassingSuiteKey",
    "FieldIsDerived": true,
    "IsWritableDerivedField": false,
    "IsMasked": false,
    "GrantKeyWhenReadable": "principal-process-steward|TestCases"
   },
   {
    "FieldGrantId": "fg-process-steward-TestCases.NeedsAttentionSuiteKey",
    "Principal": "principal-process-steward",
    "TargetField": "TestCases.NeedsAttentionSuiteKey",
    "CanRead": true,
    "CanWrite": false,
    "MaskStrategy": "plain",
    "SemanticTypeIri": "urn:effortless:pko-extension#FieldGrant",
    "Name": "principal-process-steward -&gt; TestCases.NeedsAttentionSuiteKey",
    "FieldTable": "TestCases",
    "FieldName": "NeedsAttentionSuiteKey",
    "FieldIsDerived": true,
    "IsWritableDerivedField": false,
    "IsMasked": false,
    "GrantKeyWhenReadable": "principal-process-steward|TestCases"
   },
   {
    "FieldGrantId": "fg-process-steward-TestCases.SemanticTypeIri",
    "Principal": "principal-process-steward",
    "TargetField": "TestCases.SemanticTypeIri",
    "CanRead": true,
    "CanWrite": false,
    "MaskStrategy": "plain",
    "SemanticTypeIri": "urn:effortless:pko-extension#FieldGrant",
    "Name": "principal-process-steward -&gt; TestCases.SemanticTypeIri",
    "FieldTable": "TestCases",
    "FieldName": "SemanticTypeIri",
    "FieldIsDerived": false,
    "IsWritableDerivedField": false,
    "IsMasked": false,
    "GrantKeyWhenReadable": "principal-process-steward|TestCases"
   },
   {
    "FieldGrantId": "fg-process-steward-TestSuites.TestSuiteId",
    "Principal": "principal-process-steward",
    "TargetField": "TestSuites.TestSuiteId",
    "CanRead": true,
    "CanWrite": false,
    "MaskStrategy": "plain",
    "SemanticTypeIri": "urn:effortless:pko-extension#FieldGrant",
    "Name": "principal-process-steward -&gt; TestSuites.TestSuiteId",
    "FieldTable": "TestSuites",
    "FieldName": "TestSuiteId",
    "FieldIsDerived": false,
    "IsWritableDerivedField": false,
    "IsMasked": false,
    "GrantKeyWhenReadable": "principal-process-steward|TestSuites"
   },
   {
    "FieldGrantId": "fg-process-steward-TestSuites.Name",
    "Principal": "principal-process-steward",
    "TargetField": "TestSuites.Name",
    "CanRead": true,
    "CanWrite": false,
    "MaskStrategy": "plain",
    "SemanticTypeIri": "urn:effortless:pko-extension#FieldGrant",
    "Name": "principal-process-steward -&gt; TestSuites.Name",
    "FieldTable": "TestSuites",
    "FieldName": "Name",
    "FieldIsDerived": true,
    "IsWritableDerivedField": false,
    "IsMasked": false,
    "GrantKeyWhenReadable": "principal-process-steward|TestSuites"
   },
   {
    "FieldGrantId": "fg-process-steward-TestSuites.Label",
    "Principal": "principal-process-steward",
    "TargetField": "TestSuites.Label",
    "CanRead": true,
    "CanWrite": false,
    "MaskStrategy": "plain",
    "SemanticTypeIri": "urn:effortless:pko-extension#FieldGrant",
    "Name": "principal-process-steward -&gt; TestSuites.Label",
    "FieldTable": "TestSuites",
    "FieldName": "Label",
    "FieldIsDerived": false,
    "IsWritableDerivedField": false,
    "IsMasked": false,
    "GrantKeyWhenReadable": "principal-process-steward|TestSuites"
   },
   {
    "FieldGrantId": "fg-process-steward-TestSuites.TestCount",
    "Principal": "principal-process-steward",
    "TargetField": "TestSuites.TestCount",
    "CanRead": true,
    "CanWrite": false,
    "MaskStrategy": "plain",
    "SemanticTypeIri": "urn:effortless:pko-extension#FieldGrant",
    "Name": "principal-process-steward -&gt; TestSuites.TestCount",
    "FieldTable": "TestSuites",
    "FieldName": "TestCount",
    "FieldIsDerived": true,
    "IsWritableDerivedField": false,
    "IsMasked": false,
    "GrantKeyWhenReadable": "principal-process-steward|TestSuites"
   },
   {
    "FieldGrantId": "fg-process-steward-TestSuites.PassCount",
    "Principal": "principal-process-steward",
    "TargetField": "TestSuites.PassCount",
    "CanRead": true,
    "CanWrite": false,
    "MaskStrategy": "plain",
    "SemanticTypeIri": "urn:effortless:pko-extension#FieldGrant",
    "Name": "principal-process-steward -&gt; TestSuites.PassCount",
    "FieldTable": "TestSuites",
    "FieldName": "PassCount",
    "FieldIsDerived": true,
    "IsWritableDerivedField": false,
    "IsMasked": false,
    "GrantKeyWhenReadable": "principal-process-steward|TestSuites"
   },
   {
    "FieldGrantId": "fg-process-steward-TestSuites.BlockingFailCount",
    "Principal": "principal-process-steward",
    "TargetField": "TestSuites.BlockingFailCount",
    "CanRead": true,
    "CanWrite": false,
    "MaskStrategy": "plain",
    "SemanticTypeIri": "urn:effortless:pko-extension#FieldGrant",
    "Name": "principal-process-steward -&gt; TestSuites.BlockingFailCount",
    "FieldTable": "TestSuites",
    "FieldName": "BlockingFailCount",
    "FieldIsDerived": true,
    "IsWritableDerivedField": false,
    "IsMasked": false,
    "GrantKeyWhenReadable": "principal-process-steward|TestSuites"
   },
   {
    "FieldGrantId": "fg-process-steward-TestSuites.IsGreen",
    "Principal": "principal-process-steward",
    "TargetField": "TestSuites.IsGreen",
    "CanRead": true,
    "CanWrite": false,
    "MaskStrategy": "plain",
    "SemanticTypeIri": "urn:effortless:pko-extension#FieldGrant",
    "Name": "principal-process-steward -&gt; TestSuites.IsGreen",
    "FieldTable": "TestSuites",
    "FieldName": "IsGreen",
    "FieldIsDerived": true,
    "IsWritableDerivedField": false,
    "IsMasked": false,
    "GrantKeyWhenReadable": "principal-process-steward|TestSuites"
   },
   {
    "FieldGrantId": "fg-process-steward-TestSuites.SemanticTypeIri",
    "Principal": "principal-process-steward",
    "TargetField": "TestSuites.SemanticTypeIri",
    "CanRead": true,
    "CanWrite": false,
    "MaskStrategy": "plain",
    "SemanticTypeIri": "urn:effortless:pko-extension#FieldGrant",
    "Name": "principal-process-steward -&gt; TestSuites.SemanticTypeIri",
    "FieldTable": "TestSuites",
    "FieldName": "SemanticTypeIri",
    "FieldIsDerived": false,
    "IsWritableDerivedField": false,
    "IsMasked": false,
    "GrantKeyWhenReadable": "principal-process-steward|TestSuites"
   },
   {
    "FieldGrantId": "fg-process-steward-Tools.ToolId",
    "Principal": "principal-process-steward",
    "TargetField": "Tools.ToolId",
    "CanRead": true,
    "CanWrite": false,
    "MaskStrategy": "plain",
    "SemanticTypeIri": "urn:effortless:pko-extension#FieldGrant",
    "Name": "principal-process-steward -&gt; Tools.ToolId",
    "FieldTable": "Tools",
    "FieldName": "ToolId",
    "FieldIsDerived": false,
    "IsWritableDerivedField": false,
    "IsMasked": false,
    "GrantKeyWhenReadable": "principal-process-steward|Tools"
   },
   {
    "FieldGrantId": "fg-process-steward-Tools.Name",
    "Principal": "principal-process-steward",
    "TargetField": "Tools.Name",
    "CanRead": true,
    "CanWrite": false,
    "MaskStrategy": "plain",
    "SemanticTypeIri": "urn:effortless:pko-extension#FieldGrant",
    "Name": "principal-process-steward -&gt; Tools.Name",
    "FieldTable": "Tools",
    "FieldName": "Name",
    "FieldIsDerived": true,
    "IsWritableDerivedField": false,
    "IsMasked": false,
    "GrantKeyWhenReadable": "principal-process-steward|Tools"
   },
   {
    "FieldGrantId": "fg-process-steward-Tools.Label",
    "Principal": "principal-process-steward",
    "TargetField": "Tools.Label",
    "CanRead": true,
    "CanWrite": false,
    "MaskStrategy": "plain",
    "SemanticTypeIri": "urn:effortless:pko-extension#FieldGrant",
    "Name": "principal-process-steward -&gt; Tools.Label",
    "FieldTable": "Tools",
    "FieldName": "Label",
    "FieldIsDerived": false,
    "IsWritableDerivedField": false,
    "IsMasked": false,
    "GrantKeyWhenReadable": "principal-process-steward|Tools"
   },
   {
    "FieldGrantId": "fg-process-steward-Tools.Purpose",
    "Principal": "principal-process-steward",
    "TargetField": "Tools.Purpose",
    "CanRead": true,
    "CanWrite": false,
    "MaskStrategy": "plain",
    "SemanticTypeIri": "urn:effortless:pko-extension#FieldGrant",
    "Name": "principal-process-steward -&gt; Tools.Purpose",
    "FieldTable": "Tools",
    "FieldName": "Purpose",
    "FieldIsDerived": false,
    "IsWritableDerivedField": false,
    "IsMasked": false,
    "GrantKeyWhenReadable": "principal-process-steward|Tools"
   },
   {
    "FieldGrantId": "fg-process-steward-Tools.SemanticTypeIri",
    "Principal": "principal-process-steward",
    "TargetField": "Tools.SemanticTypeIri",
    "CanRead": true,
    "CanWrite": false,
    "MaskStrategy": "plain",
    "SemanticTypeIri": "urn:effortless:pko-extension#FieldGrant",
    "Name": "principal-process-steward -&gt; Tools.SemanticTypeIri",
    "FieldTable": "Tools",
    "FieldName": "SemanticTypeIri",
    "FieldIsDerived": false,
    "IsWritableDerivedField": false,
    "IsMasked": false,
    "GrantKeyWhenReadable": "principal-process-steward|Tools"
   },
   {
    "FieldGrantId": "fg-process-steward-UserFeedback.UserFeedbackId",
    "Principal": "principal-process-steward",
    "TargetField": "UserFeedback.UserFeedbackId",
    "CanRead": true,
    "CanWrite": false,
    "MaskStrategy": "plain",
    "SemanticTypeIri": "urn:effortless:pko-extension#FieldGrant",
    "Name": "principal-process-steward -&gt; UserFeedback.UserFeedbackId",
    "FieldTable": "UserFeedback",
    "FieldName": "UserFeedbackId",
    "FieldIsDerived": false,
    "IsWritableDerivedField": false,
    "IsMasked": false,
    "GrantKeyWhenReadable": "principal-process-steward|UserFeedback"
   },
   {
    "FieldGrantId": "fg-process-steward-UserFeedback.Name",
    "Principal": "principal-process-steward",
    "TargetField": "UserFeedback.Name",
    "CanRead": true,
    "CanWrite": false,
    "MaskStrategy": "plain",
    "SemanticTypeIri": "urn:effortless:pko-extension#FieldGrant",
    "Name": "principal-process-steward -&gt; UserFeedback.Name",
    "FieldTable": "UserFeedback",
    "FieldName": "Name",
    "FieldIsDerived": true,
    "IsWritableDerivedField": false,
    "IsMasked": false,
    "GrantKeyWhenReadable": "principal-process-steward|UserFeedback"
   },
   {
    "FieldGrantId": "fg-process-steward-UserFeedback.ProcedureExecution",
    "Principal": "principal-process-steward",
    "TargetField": "UserFeedback.ProcedureExecution",
    "CanRead": true,
    "CanWrite": false,
    "MaskStrategy": "plain",
    "SemanticTypeIri": "urn:effortless:pko-extension#FieldGrant",
    "Name": "principal-process-steward -&gt; UserFeedback.ProcedureExecution",
    "FieldTable": "UserFeedback",
    "FieldName": "ProcedureExecution",
    "FieldIsDerived": false,
    "IsWritableDerivedField": false,
    "IsMasked": false,
    "GrantKeyWhenReadable": "principal-process-steward|UserFeedback"
   },
   {
    "FieldGrantId": "fg-process-steward-UserFeedback.ProvidedByAgent",
    "Principal": "principal-process-steward",
    "TargetField": "UserFeedback.ProvidedByAgent",
    "CanRead": true,
    "CanWrite": false,
    "MaskStrategy": "plain",
    "SemanticTypeIri": "urn:effortless:pko-extension#FieldGrant",
    "Name": "principal-process-steward -&gt; UserFeedback.ProvidedByAgent",
    "FieldTable": "UserFeedback",
    "FieldName": "ProvidedByAgent",
    "FieldIsDerived": false,
    "IsWritableDerivedField": false,
    "IsMasked": false,
    "GrantKeyWhenReadable": "principal-process-steward|UserFeedback"
   },
   {
    "FieldGrantId": "fg-process-steward-UserFeedback.ProvidedAt",
    "Principal": "principal-process-steward",
    "TargetField": "UserFeedback.ProvidedAt",
    "CanRead": true,
    "CanWrite": false,
    "MaskStrategy": "plain",
    "SemanticTypeIri": "urn:effortless:pko-extension#FieldGrant",
    "Name": "principal-process-steward -&gt; UserFeedback.ProvidedAt",
    "FieldTable": "UserFeedback",
    "FieldName": "ProvidedAt",
    "FieldIsDerived": false</t>
  </si>
  <si>
    <t xml:space="preserve">,
    "IsWritableDerivedField": false,
    "IsMasked": false,
    "GrantKeyWhenReadable": "principal-process-steward|UserFeedback"
   },
   {
    "FieldGrantId": "fg-process-steward-UserFeedback.FeedbackText",
    "Principal": "principal-process-steward",
    "TargetField": "UserFeedback.FeedbackText",
    "CanRead": true,
    "CanWrite": false,
    "MaskStrategy": "plain",
    "SemanticTypeIri": "urn:effortless:pko-extension#FieldGrant",
    "Name": "principal-process-steward -&gt; UserFeedback.FeedbackText",
    "FieldTable": "UserFeedback",
    "FieldName": "FeedbackText",
    "FieldIsDerived": false,
    "IsWritableDerivedField": false,
    "IsMasked": false,
    "GrantKeyWhenReadable": "principal-process-steward|UserFeedback"
   },
   {
    "FieldGrantId": "fg-process-steward-UserFeedback.Disposition",
    "Principal": "principal-process-steward",
    "TargetField": "UserFeedback.Disposition",
    "CanRead": true,
    "CanWrite": false,
    "MaskStrategy": "plain",
    "SemanticTypeIri": "urn:effortless:pko-extension#FieldGrant",
    "Name": "principal-process-steward -&gt; UserFeedback.Disposition",
    "FieldTable": "UserFeedback",
    "FieldName": "Disposition",
    "FieldIsDerived": false,
    "IsWritableDerivedField": false,
    "IsMasked": false,
    "GrantKeyWhenReadable": "principal-process-steward|UserFeedback"
   },
   {
    "FieldGrantId": "fg-process-steward-UserFeedback.ChangeRequestKey",
    "Principal": "principal-process-steward",
    "TargetField": "UserFeedback.ChangeRequestKey",
    "CanRead": true,
    "CanWrite": false,
    "MaskStrategy": "plain",
    "SemanticTypeIri": "urn:effortless:pko-extension#FieldGrant",
    "Name": "principal-process-steward -&gt; UserFeedback.ChangeRequestKey",
    "FieldTable": "UserFeedback",
    "FieldName": "ChangeRequestKey",
    "FieldIsDerived": false,
    "IsWritableDerivedField": false,
    "IsMasked": false,
    "GrantKeyWhenReadable": "principal-process-steward|UserFeedback"
   },
   {
    "FieldGrantId": "fg-process-steward-UserFeedback.SemanticTypeIri",
    "Principal": "principal-process-steward",
    "TargetField": "UserFeedback.SemanticTypeIri",
    "CanRead": true,
    "CanWrite": false,
    "MaskStrategy": "plain",
    "SemanticTypeIri": "urn:effortless:pko-extension#FieldGrant",
    "Name": "principal-process-steward -&gt; UserFeedback.SemanticTypeIri",
    "FieldTable": "UserFeedback",
    "FieldName": "SemanticTypeIri",
    "FieldIsDerived": false,
    "IsWritableDerivedField": false,
    "IsMasked": false,
    "GrantKeyWhenReadable": "principal-process-steward|UserFeedback"
   },
   {
    "FieldGrantId": "fg-process-steward-UserQuestions.UserQuestionId",
    "Principal": "principal-process-steward",
    "TargetField": "UserQuestions.UserQuestionId",
    "CanRead": true,
    "CanWrite": false,
    "MaskStrategy": "plain",
    "SemanticTypeIri": "urn:effortless:pko-extension#FieldGrant",
    "Name": "principal-process-steward -&gt; UserQuestions.UserQuestionId",
    "FieldTable": "UserQuestions",
    "FieldName": "UserQuestionId",
    "FieldIsDerived": false,
    "IsWritableDerivedField": false,
    "IsMasked": false,
    "GrantKeyWhenReadable": "principal-process-steward|UserQuestions"
   },
   {
    "FieldGrantId": "fg-process-steward-UserQuestions.Name",
    "Principal": "principal-process-steward",
    "TargetField": "UserQuestions.Name",
    "CanRead": true,
    "CanWrite": false,
    "MaskStrategy": "plain",
    "SemanticTypeIri": "urn:effortless:pko-extension#FieldGrant",
    "Name": "principal-process-steward -&gt; UserQuestions.Name",
    "FieldTable": "UserQuestions",
    "FieldName": "Name",
    "FieldIsDerived": true,
    "IsWritableDerivedField": false,
    "IsMasked": false,
    "GrantKeyWhenReadable": "principal-process-steward|UserQuestions"
   },
   {
    "FieldGrantId": "fg-process-steward-UserQuestions.StepExecution",
    "Principal": "principal-process-steward",
    "TargetField": "UserQuestions.StepExecution",
    "CanRead": true,
    "CanWrite": false,
    "MaskStrategy": "plain",
    "SemanticTypeIri": "urn:effortless:pko-extension#FieldGrant",
    "Name": "principal-process-steward -&gt; UserQuestions.StepExecution",
    "FieldTable": "UserQuestions",
    "FieldName": "StepExecution",
    "FieldIsDerived": false,
    "IsWritableDerivedField": false,
    "IsMasked": false,
    "GrantKeyWhenReadable": "principal-process-steward|UserQuestions"
   },
   {
    "FieldGrantId": "fg-process-steward-UserQuestions.AskedByAgent",
    "Principal": "principal-process-steward",
    "TargetField": "UserQuestions.AskedByAgent",
    "CanRead": true,
    "CanWrite": false,
    "MaskStrategy": "plain",
    "SemanticTypeIri": "urn:effortless:pko-extension#FieldGrant",
    "Name": "principal-process-steward -&gt; UserQuestions.AskedByAgent",
    "FieldTable": "UserQuestions",
    "FieldName": "AskedByAgent",
    "FieldIsDerived": false,
    "IsWritableDerivedField": false,
    "IsMasked": false,
    "GrantKeyWhenReadable": "principal-process-steward|UserQuestions"
   },
   {
    "FieldGrantId": "fg-process-steward-UserQuestions.AskedAt",
    "Principal": "principal-process-steward",
    "TargetField": "UserQuestions.AskedAt",
    "CanRead": true,
    "CanWrite": false,
    "MaskStrategy": "plain",
    "SemanticTypeIri": "urn:effortless:pko-extension#FieldGrant",
    "Name": "principal-process-steward -&gt; UserQuestions.AskedAt",
    "FieldTable": "UserQuestions",
    "FieldName": "AskedAt",
    "FieldIsDerived": false,
    "IsWritableDerivedField": false,
    "IsMasked": false,
    "GrantKeyWhenReadable": "principal-process-steward|UserQuestions"
   },
   {
    "FieldGrantId": "fg-process-steward-UserQuestions.QuestionText",
    "Principal": "principal-process-steward",
    "TargetField": "UserQuestions.QuestionText",
    "CanRead": true,
    "CanWrite": false,
    "MaskStrategy": "plain",
    "SemanticTypeIri": "urn:effortless:pko-extension#FieldGrant",
    "Name": "principal-process-steward -&gt; UserQuestions.QuestionText",
    "FieldTable": "UserQuestions",
    "FieldName": "QuestionText",
    "FieldIsDerived": false,
    "IsWritableDerivedField": false,
    "IsMasked": false,
    "GrantKeyWhenReadable": "principal-process-steward|UserQuestions"
   },
   {
    "FieldGrantId": "fg-process-steward-UserQuestions.ResolvedByFaq",
    "Principal": "principal-process-steward",
    "TargetField": "UserQuestions.ResolvedByFaq",
    "CanRead": true,
    "CanWrite": false,
    "MaskStrategy": "plain",
    "SemanticTypeIri": "urn:effortless:pko-extension#FieldGrant",
    "Name": "principal-process-steward -&gt; UserQuestions.ResolvedByFaq",
    "FieldTable": "UserQuestions",
    "FieldName": "ResolvedByFaq",
    "FieldIsDerived": false,
    "IsWritableDerivedField": false,
    "IsMasked": false,
    "GrantKeyWhenReadable": "principal-process-steward|UserQuestions"
   },
   {
    "FieldGrantId": "fg-process-steward-UserQuestions.AddressedByResource",
    "Principal": "principal-process-steward",
    "TargetField": "UserQuestions.AddressedByResource",
    "CanRead": true,
    "CanWrite": false,
    "MaskStrategy": "plain",
    "SemanticTypeIri": "urn:effortless:pko-extension#FieldGrant",
    "Name": "principal-process-steward -&gt; UserQuestions.AddressedByResource",
    "FieldTable": "UserQuestions",
    "FieldName": "AddressedByResource",
    "FieldIsDerived": false,
    "IsWritableDerivedField": false,
    "IsMasked": false,
    "GrantKeyWhenReadable": "principal-process-steward|UserQuestions"
   },
   {
    "FieldGrantId": "fg-process-steward-UserQuestions.Status",
    "Principal": "principal-process-steward",
    "TargetField": "UserQuestions.Status",
    "CanRead": true,
    "CanWrite": false,
    "MaskStrategy": "plain",
    "SemanticTypeIri": "urn:effortless:pko-extension#FieldGrant",
    "Name": "principal-process-steward -&gt; UserQuestions.Status",
    "FieldTable": "UserQuestions",
    "FieldName": "Status",
    "FieldIsDerived": false,
    "IsWritableDerivedField": false,
    "IsMasked": false,
    "GrantKeyWhenReadable": "principal-process-steward|UserQuestions"
   },
   {
    "FieldGrantId": "fg-process-steward-UserQuestions.SemanticTypeIri",
    "Principal": "principal-process-steward",
    "TargetField": "UserQuestions.SemanticTypeIri",
    "CanRead": true,
    "CanWrite": false,
    "MaskStrategy": "plain",
    "SemanticTypeIri": "urn:effortless:pko-extension#FieldGrant",
    "Name": "principal-process-steward -&gt; UserQuestions.SemanticTypeIri",
    "FieldTable": "UserQuestions",
    "FieldName": "SemanticTypeIri",
    "FieldIsDerived": false,
    "IsWritableDerivedField": false,
    "IsMasked": false,
    "GrantKeyWhenReadable": "principal-process-steward|UserQuestions"
   },
   {
    "FieldGrantId": "fg-process-steward-VerificationOutcomes.VerificationOutcomeId",
    "Principal": "principal-process-steward",
    "TargetField": "VerificationOutcomes.VerificationOutcomeId",
    "CanRead": true,
    "CanWrite": false,
    "MaskStrategy": "plain",
    "SemanticTypeIri": "urn:effortless:pko-extension#FieldGrant",
    "Name": "principal-process-steward -&gt; VerificationOutcomes.VerificationOutcomeId",
    "FieldTable": "VerificationOutcomes",
    "FieldName": "VerificationOutcomeId",
    "FieldIsDerived": false,
    "IsWritableDerivedField": false,
    "IsMasked": false,
    "GrantKeyWhenReadable": "principal-process-steward|VerificationOutcomes"
   },
   {
    "FieldGrantId": "fg-process-steward-VerificationOutcomes.Name",
    "Principal": "principal-process-steward",
    "TargetField": "VerificationOutcomes.Name",
    "CanRead": true,
    "CanWrite": false,
    "MaskStrategy": "plain",
    "SemanticTypeIri": "urn:effortless:pko-extension#FieldGrant",
    "Name": "principal-process-steward -&gt; VerificationOutcomes.Name",
    "FieldTable": "VerificationOutcomes",
    "FieldName": "Name",
    "FieldIsDerived": true,
    "IsWritableDerivedField": false,
    "IsMasked": false,
    "GrantKeyWhenReadable": "principal-process-steward|VerificationOutcomes"
   },
   {
    "FieldGrantId": "fg-process-steward-VerificationOutcomes.StepExecution",
    "Principal": "principal-process-steward",
    "TargetField": "VerificationOutcomes.StepExecution",
    "CanRead": true,
    "CanWrite": false,
    "MaskStrategy": "plain",
    "SemanticTypeIri": "urn:effortless:pko-extension#FieldGrant",
    "Name": "principal-process-steward -&gt; VerificationOutcomes.StepExecution",
    "FieldTable": "VerificationOutcomes",
    "FieldName": "StepExecution",
    "FieldIsDerived": false,
    "IsWritableDerivedField": false,
    "IsMasked": false,
    "GrantKeyWhenReadable": "principal-process-steward|VerificationOutcomes"
   },
   {
    "FieldGrantId": "fg-process-steward-VerificationOutcomes.StepVerification",
    "Principal": "principal-process-steward",
    "TargetField": "VerificationOutcomes.StepVerification",
    "CanRead": true,
    "CanWrite": false,
    "MaskStrategy": "plain",
    "SemanticTypeIri": "urn:effortless:pko-extension#FieldGrant",
    "Name": "principal-process-steward -&gt; VerificationOutcomes.StepVerification",
    "FieldTable": "VerificationOutcomes",
    "FieldName": "StepVerification",
    "FieldIsDerived": false,
    "IsWritableDerivedField": false,
    "IsMasked": false,
    "GrantKeyWhenReadable": "principal-process-steward|VerificationOutcomes"
   },
   {
    "FieldGrantId": "fg-process-steward-VerificationOutcomes.ObservedSignalValue",
    "Principal": "principal-process-steward",
    "TargetField": "VerificationOutcomes.ObservedSignalValue",
    "CanRead": true,
    "CanWrite": false,
    "MaskStrategy": "plain",
    "SemanticTypeIri": "urn:effortless:pko-extension#FieldGrant",
    "Name": "principal-process-steward -&gt; VerificationOutcomes.ObservedSignalValue",
    "FieldTable": "VerificationOutcomes",
    "FieldName": "ObservedSignalValue",
    "FieldIsDerived": false,
    "IsWritableDerivedField": false,
    "IsMasked": false,
    "GrantKeyWhenReadable": "principal-process-steward|VerificationOutcomes"
   },
   {
    "FieldGrantId": "fg-process-steward-VerificationOutcomes.ObservedByAgent",
    "Principal": "principal-process-steward",
    "TargetField": "VerificationOutcomes.ObservedByAgent",
    "CanRead": true,
    "CanWrite": false,
    "MaskStrategy": "plain",
    "SemanticTypeIri": "urn:effortless:pko-extension#FieldGrant",
    "Name": "principal-process-steward -&gt; VerificationOutcomes.ObservedByAgent",
    "FieldTable": "VerificationOutcomes",
    "FieldName": "ObservedByAgent",
    "FieldIsDerived": false,
    "IsWritableDerivedField": false,
    "IsMasked": false,
    "GrantKeyWhenReadable": "principal-process-steward|VerificationOutcomes"
   },
   {
    "FieldGrantId": "fg-process-steward-VerificationOutcomes.ObservedAt",
    "Principal": "principal-process-steward",
    "TargetField": "VerificationOutcomes.ObservedAt",
    "CanRead": true,
    "CanWrite": false,
    "MaskStrategy": "plain",
    "SemanticTypeIri": "urn:effortless:pko-extension#FieldGrant",
    "Name": "principal-process-steward -&gt; VerificationOutcomes.ObservedAt",
    "FieldTable": "VerificationOutcomes",
    "FieldName": "ObservedAt",
    "FieldIsDerived": false,
    "IsWritableDerivedField": false,
    "IsMasked": false,
    "GrantKeyWhenReadable": "principal-process-steward|VerificationOutcomes"
   },
   {
    "FieldGrantId": "fg-process-steward-VerificationOutcomes.EvidenceUri",
    "Principal": "principal-process-steward",
    "TargetField": "VerificationOutcomes.EvidenceUri",
    "CanRead": true,
    "CanWrite": false,
    "MaskStrategy": "plain",
    "SemanticTypeIri": "urn:effortless:pko-extension#FieldGrant",
    "Name": "principal-process-steward -&gt; VerificationOutcomes.EvidenceUri",
    "FieldTable": "VerificationOutcomes",
    "FieldName": "EvidenceUri",
    "FieldIsDerived": false,
    "IsWritableDerivedField": false,
    "IsMasked": false,
    "GrantKeyWhenReadable": "principal-process-steward|VerificationOutcomes"
   },
   {
    "FieldGrantId": "fg-process-steward-VerificationOutcomes.ExpectedSignalValue",
    "Principal": "principal-process-steward",
    "TargetField": "VerificationOutcomes.ExpectedSignalValue",
    "CanRead": true,
    "CanWrite": false,
    "MaskStrategy": "plain",
    "SemanticTypeIri": "urn:effortless:pko-extension#FieldGrant",
    "Name": "principal-process-steward -&gt; VerificationOutcomes.ExpectedSignalValue",
    "FieldTable": "VerificationOutcomes",
    "FieldName": "ExpectedSignalValue",
    "FieldIsDerived": true,
    "IsWritableDerivedField": false,
    "IsMasked": false,
    "GrantKeyWhenReadable": "principal-process-steward|VerificationOutcomes"
   },
   {
    "FieldGrantId": "fg-process-steward-VerificationOutcomes.SignalIdentifier",
    "Principal": "principal-process-steward",
    "TargetField": "VerificationOutcomes.SignalIdentifier",
    "CanRead": true,
    "CanWrite": false,
    "MaskStrategy": "plain",
    "SemanticTypeIri": "urn:effortless:pko-extension#FieldGrant",
    "Name": "principal-process-steward -&gt; VerificationOutcomes.SignalIdentifier",
    "FieldTable": "VerificationOutcomes",
    "FieldName": "SignalIdentifier",
    "FieldIsDerived": true,
    "IsWritableDerivedField": false,
    "IsMasked": false,
    "GrantKeyWhenReadable": "principal-process-steward|VerificationOutcomes"
   },
   {
    "FieldGrantId": "fg-process-steward-VerificationOutcomes.SignalMatchesExpected",
    "Principal": "principal-process-steward",
    "TargetField": "VerificationOutcomes.SignalMatchesExpected",
    "CanRead": true,
    "CanWrite": false,
    "MaskStrategy": "plain",
    "SemanticTypeIri": "urn:effortless:pko-extension#FieldGrant",
    "Name": "principal-process-steward -&gt; VerificationOutcomes.SignalMatchesExpected",
    "FieldTable": "VerificationOutcomes",
    "FieldName": "SignalMatchesExpected",
    "FieldIsDerived": true,
    "IsWritableDerivedField": false,
    "IsMasked": false,
    "GrantKeyWhenReadable": "principal-process-steward|VerificationOutcomes"
   },
   {
    "FieldGrantId": "fg-process-steward-VerificationOutcomes.HasEvidence",
    "Principal": "principal-process-steward",
    "TargetField": "VerificationOutcomes.HasEvidence",
    "CanRead": true,
    "CanWrite": false,
    "MaskStrategy": "plain",
    "SemanticTypeIri": "urn:effortless:pko-extension#FieldGrant",
    "Name": "principal-process-steward -&gt; VerificationOutcomes.HasEvidence",
    "FieldTable": "VerificationOutcomes",
    "FieldName": "HasEvidence",
    "FieldIsDerived": true,
    "IsWritableDerivedField": false,
    "IsMasked": false,
    "GrantKeyWhenReadable": "principal-process-steward|VerificationOutcomes"
   },
   {
    "FieldGrantId": "fg-process-steward-VerificationOutcomes.IsUnbackedObservation",
    "Principal": "principal-process-steward",
    "TargetField": "VerificationOutcomes.IsUnbackedObservation",
    "CanRead": true,
    "CanWrite": false,
    "MaskStrategy": "plain",
    "SemanticTypeIri": "urn:effortless:pko-extension#FieldGrant",
    "Name": "principal-process-steward -&gt; VerificationOutcomes.IsUnbackedObservation",
    "FieldTable": "VerificationOutcomes",
    "FieldName": "IsUnbackedObservation",
    "FieldIsDerived": true,
    "IsWritableDerivedField": false,
    "IsMasked": false,
    "GrantKeyWhenReadable": "principal-process-steward|VerificationOutcomes"
   },
   {
    "FieldGrantId": "fg-process-steward-VerificationOutcomes.IsSelfWitnessed",
    "Principal": "principal-process-steward",
    "TargetField": "VerificationOutcomes.IsSelfWitnessed",
    "CanRead": true,
    "CanWrite": false,
    "MaskStrategy": "plain",
    "SemanticTypeIri": "urn:effortless:pko-extension#FieldGrant",
    "Name": "principal-process-steward -&gt; VerificationOutcomes.IsSelfWitnessed",
    "FieldTable": "VerificationOutcomes",
    "FieldName": "IsSelfWitnessed",
    "FieldIsDerived": true,
    "IsWritableDerivedField": false,
    "IsMasked": false,
    "GrantKeyWhenReadable": "principal-process-steward|VerificationOutcomes"
   },
   {
    "FieldGrantId": "fg-process-steward-VerificationOutcomes.StepExecutorAgent",
    "Principal": "principal-process-steward",
    "TargetField": "VerificationOutcomes.StepExecutorAgent",
    "CanRead": true,
    "CanWrite": false,
    "MaskStrategy": "plain",
    "SemanticTypeIri": "urn:effortless:pko-extension#FieldGrant",
    "Name": "principal-process-steward -&gt; VerificationOutcomes.StepExecutorAgent",
    "FieldTable": "VerificationOutcomes",
    "FieldName": "StepExecutorAgent",
    "FieldIsDerived": true,
    "IsWritableDerivedField": false,
    "IsMasked": false,
    "GrantKeyWhenReadable": "principal-process-steward|VerificationOutcomes"
   },
   {
    "FieldGrantId": "fg-process-steward-VerificationOutcomes.SelfWitnessedStepKey",
    "Principal": "principal-process-steward",
    "TargetField": "VerificationOutcomes.SelfWitnessedStepKey",
    "CanRead": true,
    "CanWrite": false,
    "MaskStrategy": "plain",
    "SemanticTypeIri": "urn:effortless:pko-extension#FieldGrant",
    "Name": "principal-process-steward -&gt; VerificationOutcomes.SelfWitnessedStepKey",
    "FieldTable": "VerificationOutcomes",
    "FieldName": "SelfWitnessedStepKey",
    "FieldIsDerived": true,
    "IsWritableDerivedField": false,
    "IsMasked": false,
    "GrantKeyWhenReadable": "principal-process-steward|VerificationOutcomes"
   },
   {
    "FieldGrantId": "fg-process-steward-VerificationOutcomes.UnbackedStepKey",
    "Principal": "principal-process-steward",
    "TargetField": "VerificationOutcomes.UnbackedStepKey",
    "CanRead": true,
    "CanWrite": false,
    "MaskStrategy": "plain",
    "SemanticTypeIri": "urn:effortless:pko-extension#FieldGrant",
    "Name": "principal-process-steward -&gt; VerificationOutcomes.UnbackedStepKey",
    "FieldTable": "VerificationOutcomes",
    "FieldName": "UnbackedStepKey",
    "FieldIsDerived": true,
    "IsWritableDerivedField": false,
    "IsMasked": false,
    "GrantKeyWhenReadable": "principal-process-steward|VerificationOutcomes"
   },
   {
    "FieldGrantId": "fg-process-steward-VerificationOutcomes.IsSelfWitnessedAndUnbacked",
    "Principal": "principal-process-steward",
    "TargetField": "VerificationOutcomes.IsSelfWitnessedAndUnbacked",
    "CanRead": true,
    "CanWrite": false,
    "MaskStrategy": "plain",
    "SemanticTypeIri": "urn:effortless:pko-extension#FieldGrant",
    "Name": "principal-process-steward -&gt; VerificationOutcomes.IsSelfWitnessedAndUnbacked",
    "FieldTable": "VerificationOutcomes",
    "FieldName": "IsSelfWitnessedAndUnbacked",
    "FieldIsDerived": true,
    "IsWritableDerivedField": false,
    "IsMasked": false,
    "GrantKeyWhenReadable": "principal-process-steward|VerificationOutcomes"
   },
   {
    "FieldGrantId": "fg-process-steward-VerificationOutcomes.IsUncorroboratedPass",
    "Principal": "principal-process-steward",
    "TargetField": "VerificationOutcomes.IsUncorroboratedPass",
    "CanRead": true,
    "CanWrite": false,
    "MaskStrategy": "plain",
    "SemanticTypeIri": "urn:effortless:pko-extension#FieldGrant",
    "Name": "principal-process-steward -&gt; VerificationOutcomes.IsUncorroboratedPass",
    "FieldTable": "VerificationOutcomes",
    "FieldName": "IsUncorroboratedPass",
    "FieldIsDerived": true,
    "IsWritableDerivedField": false,
    "IsMasked": false,
    "GrantKeyWhenReadable": "principal-process-steward|VerificationOutcomes"
   },
   {
    "FieldGrantId": "fg-process-steward-VerificationOutcomes.UncorroboratedPassStepKey",
    "Principal": "principal-process-steward",
    "TargetField": "VerificationOutcomes.UncorroboratedPassStepKey",
    "CanRead": true,
    "CanWrite": false,
    "MaskStrategy": "plain",
    "SemanticTypeIri": "urn:effortless:pko-extension#FieldGrant",
    "Name": "principal-process-steward -&gt; VerificationOutcomes.UncorroboratedPassStepKey",
    "FieldTable": "VerificationOutcomes",
    "FieldName": "UncorroboratedPassStepKey",
    "FieldIsDerived": true,
    "IsWritableDerivedField": false,
    "IsMasked": false,
    "GrantKeyWhenReadable": "principal-process-steward|VerificationOutcomes"
   },
   {
    "FieldGrantId": "fg-process-steward-VerificationOutcomes.ObserverIsNonHuman",
    "Principal": "principal-process-steward",
    "TargetField": "VerificationOutcomes.ObserverIsNonHuman",
    "CanRead": true,
    "CanWrite": false,
    "MaskStrategy": "plain",
    "SemanticTypeIri": "urn:effortless:pko-extension#FieldGrant",
    "Name": "principal-process-steward -&gt; VerificationOutcomes.ObserverIsNonHuman",
    "FieldTable": "VerificationOutcomes",
    "FieldName": "ObserverIsNonHuman",
    "FieldIsDerived": true,
    "IsWritableDerivedField": false,
    "IsMasked": false,
    "GrantKeyWhenReadable": "principal-process-steward|VerificationOutcomes"
   },
   {
    "FieldGrantId": "fg-process-steward-VerificationOutcomes.ObserverIsIndependentOfExecutor",
    "Principal": "principal-process-steward",
    "TargetField": "VerificationOutcomes.ObserverIsIndependentOfExecutor",
    "CanRead": true,
    "CanWrite": false,
    "MaskStrategy": "plain",
    "SemanticTypeIri": "urn:effortless:pko-extension#FieldGrant",
    "Name": "principal-process-steward -&gt; VerificationOutcomes.ObserverIsIndependentOfExecutor",
    "FieldTable": "VerificationOutcomes",
    "FieldName": "ObserverIsIndependentOfExecutor",
    "FieldIsDerived": true,
    "IsWritableDerivedField": false,
    "IsMasked": false,
    "GrantKeyWhenReadable": "principal-process-steward|VerificationOutcomes"
   },
   {
    "FieldGrantId": "fg-process-steward-VerificationOutcomes.IsIndependentHumanObservation",
    "Principal": "principal-process-steward",
    "TargetField": "VerificationOutcomes.IsIndependentHumanObservation",
    "CanRead": true,
    "CanWrite": false,
    "MaskStrategy": "plain",
    "SemanticTypeIri": "urn:effortless:pko-extension#FieldGrant",
    "Name": "principal-process-steward -&gt; VerificationOutcomes.IsIndependentHumanObservation",
    "FieldTable": "VerificationOutcomes",
    "FieldName": "IsIndependentHumanObservation",
    "FieldIsDerived": true,
    "IsWritableDerivedField": false,
    "IsMasked": false,
    "GrantKeyWhenReadable": "principal-process-steward|VerificationOutcomes"
   },
   {
    "FieldGrantId": "fg-process-steward-VerificationOutcomes.IndependentObservationExecutionKey",
    "Principal": "principal-process-steward",
    "TargetField": "VerificationOutcomes.IndependentObservationExecutionKey",
    "CanRead": true,
    "CanWrite": false,
    "MaskStrategy": "plain",
    "SemanticTypeIri": "urn:effortless:pko-extension#FieldGrant",
    "Name": "principal-process-steward -&gt; VerificationOutcomes.IndependentObservationExecutionKey",
    "FieldTable": "VerificationOutcomes",
    "FieldName": "IndependentObservationExecutionKey",
    "FieldIsDerived": true,
    "IsWritableDerivedField": false,
    "IsMasked": false,
    "GrantKeyWhenReadable": "principal-process-steward|VerificationOutcomes"
   },
   {
    "FieldGrantId": "fg-process-steward-VerificationOutcomes.ParentProcedureExecutionOfOutcome",
    "Principal": "principal-process-steward",
    "TargetField": "VerificationOutcomes.ParentProcedureExecutionOfOutcome",
    "CanRead": true,
    "CanWrite": false,
    "MaskStrategy": "plain",
    "SemanticTypeIri": "urn:effortless:pko-extension#FieldGrant",
    "Name": "principal-process-steward -&gt; VerificationOutcomes.ParentProcedureExecutionOfOutcome",
    "FieldTable": "VerificationOutcomes",
    "FieldName": "ParentProcedureExecutionOfOutcome",
    "FieldIsDerived": true,
    "IsWritableDerivedField": false,
    "IsMasked": false,
    "GrantKeyWhenReadable": "principal-process-steward|VerificationOutcomes"
   },
   {
    "FieldGrantId": "fg-process-steward-VerificationOutcomes.SemanticTypeIri",
    "Principal": "principal-process-steward",
    "TargetField": "VerificationOutcomes.SemanticTypeIri",
    "CanRead": true,
    "CanWrite": false,
    "MaskStrategy": "plain",
    "SemanticTypeIri": "urn:effortless:pko-extension#FieldGrant",
    "Name": "principal-process-steward -&gt; VerificationOutcomes.SemanticTypeIri",
    "FieldTable": "VerificationOutcomes",
    "FieldName": "SemanticTypeIri",
    "FieldIsDerived": false,
    "IsWritableDerivedField": false,
    "IsMasked": false,
    "GrantKeyWhenReadable": "principal-process-steward|VerificationOutcomes"
   },
   {
    "FieldGrantId": "fg-process-steward-WitnessLoops.WitnessLoopId",
    "Principal": "principal-process-steward",
    "TargetField": "WitnessLoops.WitnessLoopId",
    "CanRead": true,
    "CanWrite": false,
    "MaskStrategy": "plain",
    "SemanticTypeIri": "urn:effortless:pko-extension#FieldGrant",
    "Name": "principal-process-steward -&gt; WitnessLoops.WitnessLoopId",
    "FieldTable": "WitnessLoops",
    "FieldName": "WitnessLoopId",
    "FieldIsDerived": false,
    "IsWritableDerivedField": false,
    "IsMasked": false,
    "GrantKeyWhenReadable": "principal-process-steward|WitnessLoops"
   },
   {
    "FieldGrantId": "fg-process-steward-WitnessLoops.Name",
    "Principal": "principal-process-steward",
    "TargetField": "WitnessLoops.Name",
    "CanRead": true,
    "CanWrite": false,
    "MaskStrategy": "plain",
    "SemanticTypeIri": "urn:effortless:pko-extension#FieldGrant",
    "Name": "principal-process-steward -&gt; WitnessLoops.Name",
    "FieldTable": "WitnessLoops",
    "FieldName": "Name",
    "FieldIsDerived": true,
    "IsWritableDerivedField": false,
    "IsMasked": false,
    "GrantKeyWhenReadable": "principal-process-steward|WitnessLoops"
   },
   {
    "FieldGrantId": "fg-process-steward-WitnessLoops.LoopNumber",
    "Principal": "principal-process-steward",
    "TargetField": "WitnessLoops.LoopNumber",
    "CanRead": true,
    "CanWrite": false,
    "MaskStrategy": "plain",
    "SemanticTypeIri": "urn:effortless:pko-extension#FieldGrant",
    "Name": "principal-process-steward -&gt; WitnessLoops.LoopNumber",
    "FieldTable": "WitnessLoops",
    "FieldName": "LoopNumber",
    "FieldIsDerived": false,
    "IsWritableDerivedField": false,
    "IsMasked": false,
    "GrantKeyWhenReadable": "principal-process-steward|WitnessLoops"
   },
   {
    "FieldGrantId": "fg-process-steward-WitnessLoops.Title",
    "Principal": "principal-process-steward",
    "TargetField": "WitnessLoops.Title",
    "CanRead": true,
    "CanWrite": false,
    "MaskStrategy": "plain",
    "SemanticTypeIri": "urn:effortless:pko-extension#FieldGrant",
    "Name": "principal-process-steward -&gt; WitnessLoops.Title",
    "FieldTable": "WitnessLoops",
    "FieldName": "Title",
    "FieldIsDerived": false,
    "IsWritableDerivedField": false,
    "IsMasked": false,
    "GrantKeyWhenReadable": "principal-process-steward|WitnessLoops"
   },
   {
    "FieldGrantId": "fg-process-steward-WitnessLoops.Premise",
    "Principal": "principal-process-steward",
    "TargetField": "WitnessLoops.Premise",
    "CanRead": true,
    "CanWrite": false,
    "MaskStrategy": "plain",
    "SemanticTypeIri": "urn:effortless:pko-extension#FieldGrant",
    "Name": "principal-process-steward -&gt; WitnessLoops.Premise",
    "FieldTable": "WitnessLoops",
    "FieldName": "Premise",
    "FieldIsDerived": false,
    "IsWritableDerivedField": false,
    "IsMasked": false,
    "GrantKeyWhenReadable": "principal-process-steward|WitnessLoops"
   },
   {
    "FieldGrantId": "fg-process-steward-WitnessLoops.StartedAt",
    "Principal": "principal-process-steward",
    "TargetField": "WitnessLoops.StartedAt",
    "CanRead": true,
    "CanWrite": false,
    "MaskStrategy": "plain",
    "SemanticTypeIri": "urn:effortless:pko-extension#FieldGrant",
    "Name": "principal-process-steward -&gt; WitnessLoops.StartedAt",
    "FieldTable": "WitnessLoops",
    "FieldName": "StartedAt",
    "FieldIsDerived": false,
    "IsWritableDerivedField": false,
    "IsMasked": false,
    "GrantKeyWhenReadable": "principal-process-steward|WitnessLoops"
   },
   {
    "FieldGrantId": "fg-process-steward-WitnessLoops.CompletedAt",
    "Principal": "principal-process-steward",
    "TargetField": "WitnessLoops.CompletedAt",
    "CanRead": true,
    "CanWrite": false,
    "MaskStrategy": "plain",
    "SemanticTypeIri": "urn:effortless:pko-extension#FieldGrant",
    "Name": "principal-process-steward -&gt; WitnessLoops.CompletedAt",
    "FieldTable": "WitnessLoops",
    "FieldName": "CompletedAt",
    "FieldIsDerived": false,
    "IsWritableDerivedField": false,
    "IsMasked": false,
    "GrantKeyWhenReadable": "principal-process-steward|WitnessLoops"
   },
   {
    "FieldGrantId": "fg-process-steward-WitnessLoops.QuestionCount",
    "Principal": "principal-process-steward",
    "TargetField": "WitnessLoops.QuestionCount",
    "CanRead": true,
    "CanWrite": false,
    "MaskStrategy": "plain",
    "SemanticTypeIri": "urn:effortless:pko-extension#FieldGrant",
    "Name": "principal-process-steward -&gt; WitnessLoops.QuestionCount",
    "FieldTable": "WitnessLoops",
    "FieldName": "QuestionCount",
    "FieldIsDerived": true,
    "IsWritableDerivedField": false,
    "IsMasked": false,
    "GrantKeyWhenReadable": "principal-process-steward|WitnessLoops"
   },
   {
    "FieldGrantId": "fg-process-steward-WitnessLoops.IsComplete",
    "Principal": "principal-process-steward",
    "TargetField": "WitnessLoops.IsComplete",
    "CanRead": true,
    "CanWrite": false,
    "MaskStrategy": "plain",
    "SemanticTypeIri": "urn:effortless:pko-extension#FieldGrant",
    "Name": "principal-process-steward -&gt; WitnessLoops.IsComplete",
    "FieldTable": "WitnessLoops",
    "FieldName": "IsComplete",
    "FieldIsDerived": true,
    "IsWritableDerivedField": false,
    "IsMasked": false,
    "GrantKeyWhenReadable": "principal-process-steward|WitnessLoops"
   },
   {
    "FieldGrantId": "fg-process-steward-WitnessLoops.FieldsAfter",
    "Principal": "principal-process-steward",
    "TargetField": "WitnessLoops.FieldsAfter",
    "CanRead": true,
    "CanWrite": false,
    "MaskStrategy": "plain",
    "SemanticTypeIri": "urn:effortless:pko-extension#FieldGrant",
    "Name": "principal-process-steward -&gt; WitnessLoops.FieldsAfter",
    "FieldTable": "WitnessLoops",
    "FieldName": "FieldsAfter",
    "FieldIsDerived": false,
    "IsWritableDerivedField": false,
    "IsMasked": false,
    "GrantKeyWhenReadable": "principal-process-steward|WitnessLoops"
   },
   {
    "FieldGrantId": "fg-process-steward-WitnessLoops.DerivedAfter",
    "Principal": "principal-process-steward",
    "TargetField": "WitnessLoops.DerivedAfter",
    "CanRead": true,
    "CanWrite": false,
    "MaskStrategy": "plain",
    "SemanticTypeIri": "urn:effortless:pko-extension#FieldGrant",
    "Name": "principal-process-steward -&gt; WitnessLoops.DerivedAfter",
    "FieldTable": "WitnessLoops",
    "FieldName": "DerivedAfter",
    "FieldIsDerived": false,
    "IsWritableDerivedField": false,
    "IsMasked": false,
    "GrantKeyWhenReadable": "principal-process-stewa</t>
  </si>
  <si>
    <t xml:space="preserve">rd|WitnessLoops"
   },
   {
    "FieldGrantId": "fg-process-steward-WitnessLoops.WitnessedAfter",
    "Principal": "principal-process-steward",
    "TargetField": "WitnessLoops.WitnessedAfter",
    "CanRead": true,
    "CanWrite": false,
    "MaskStrategy": "plain",
    "SemanticTypeIri": "urn:effortless:pko-extension#FieldGrant",
    "Name": "principal-process-steward -&gt; WitnessLoops.WitnessedAfter",
    "FieldTable": "WitnessLoops",
    "FieldName": "WitnessedAfter",
    "FieldIsDerived": false,
    "IsWritableDerivedField": false,
    "IsMasked": false,
    "GrantKeyWhenReadable": "principal-process-steward|WitnessLoops"
   },
   {
    "FieldGrantId": "fg-process-steward-WitnessLoops.SemanticTypeIri",
    "Principal": "principal-process-steward",
    "TargetField": "WitnessLoops.SemanticTypeIri",
    "CanRead": true,
    "CanWrite": false,
    "MaskStrategy": "plain",
    "SemanticTypeIri": "urn:effortless:pko-extension#FieldGrant",
    "Name": "principal-process-steward -&gt; WitnessLoops.SemanticTypeIri",
    "FieldTable": "WitnessLoops",
    "FieldName": "SemanticTypeIri",
    "FieldIsDerived": false,
    "IsWritableDerivedField": false,
    "IsMasked": false,
    "GrantKeyWhenReadable": "principal-process-steward|WitnessLoops"
   },
   {
    "FieldGrantId": "fg-knowledge-authority-Actions.ActionId",
    "Principal": "principal-knowledge-authority",
    "TargetField": "Actions.ActionId",
    "CanRead": true,
    "CanWrite": false,
    "MaskStrategy": "plain",
    "SemanticTypeIri": "urn:effortless:pko-extension#FieldGrant",
    "Name": "principal-knowledge-authority -&gt; Actions.ActionId",
    "FieldTable": "Actions",
    "FieldName": "ActionId",
    "FieldIsDerived": false,
    "IsWritableDerivedField": false,
    "IsMasked": false,
    "GrantKeyWhenReadable": "principal-knowledge-authority|Actions"
   },
   {
    "FieldGrantId": "fg-knowledge-authority-Actions.Name",
    "Principal": "principal-knowledge-authority",
    "TargetField": "Actions.Name",
    "CanRead": true,
    "CanWrite": false,
    "MaskStrategy": "plain",
    "SemanticTypeIri": "urn:effortless:pko-extension#FieldGrant",
    "Name": "principal-knowledge-authority -&gt; Actions.Name",
    "FieldTable": "Actions",
    "FieldName": "Name",
    "FieldIsDerived": true,
    "IsWritableDerivedField": false,
    "IsMasked": false,
    "GrantKeyWhenReadable": "principal-knowledge-authority|Actions"
   },
   {
    "FieldGrantId": "fg-knowledge-authority-Actions.Label",
    "Principal": "principal-knowledge-authority",
    "TargetField": "Actions.Label",
    "CanRead": true,
    "CanWrite": false,
    "MaskStrategy": "plain",
    "SemanticTypeIri": "urn:effortless:pko-extension#FieldGrant",
    "Name": "principal-knowledge-authority -&gt; Actions.Label",
    "FieldTable": "Actions",
    "FieldName": "Label",
    "FieldIsDerived": false,
    "IsWritableDerivedField": false,
    "IsMasked": false,
    "GrantKeyWhenReadable": "principal-knowledge-authority|Actions"
   },
   {
    "FieldGrantId": "fg-knowledge-authority-Actions.Definition",
    "Principal": "principal-knowledge-authority",
    "TargetField": "Actions.Definition",
    "CanRead": true,
    "CanWrite": false,
    "MaskStrategy": "plain",
    "SemanticTypeIri": "urn:effortless:pko-extension#FieldGrant",
    "Name": "principal-knowledge-authority -&gt; Actions.Definition",
    "FieldTable": "Actions",
    "FieldName": "Definition",
    "FieldIsDerived": false,
    "IsWritableDerivedField": false,
    "IsMasked": false,
    "GrantKeyWhenReadable": "principal-knowledge-authority|Actions"
   },
   {
    "FieldGrantId": "fg-knowledge-authority-Actions.SemanticTypeIri",
    "Principal": "principal-knowledge-authority",
    "TargetField": "Actions.SemanticTypeIri",
    "CanRead": true,
    "CanWrite": false,
    "MaskStrategy": "plain",
    "SemanticTypeIri": "urn:effortless:pko-extension#FieldGrant",
    "Name": "principal-knowledge-authority -&gt; Actions.SemanticTypeIri",
    "FieldTable": "Actions",
    "FieldName": "SemanticTypeIri",
    "FieldIsDerived": false,
    "IsWritableDerivedField": false,
    "IsMasked": false,
    "GrantKeyWhenReadable": "principal-knowledge-authority|Actions"
   },
   {
    "FieldGrantId": "fg-knowledge-authority-AgentDecisionRecords.AgentDecisionRecordId",
    "Principal": "principal-knowledge-authority",
    "TargetField": "AgentDecisionRecords.AgentDecisionRecordId",
    "CanRead": true,
    "CanWrite": false,
    "MaskStrategy": "plain",
    "SemanticTypeIri": "urn:effortless:pko-extension#FieldGrant",
    "Name": "principal-knowledge-authority -&gt; AgentDecisionRecords.AgentDecisionRecordId",
    "FieldTable": "AgentDecisionRecords",
    "FieldName": "AgentDecisionRecordId",
    "FieldIsDerived": false,
    "IsWritableDerivedField": false,
    "IsMasked": false,
    "GrantKeyWhenReadable": "principal-knowledge-authority|AgentDecisionRecords"
   },
   {
    "FieldGrantId": "fg-knowledge-authority-AgentDecisionRecords.Name",
    "Principal": "principal-knowledge-authority",
    "TargetField": "AgentDecisionRecords.Name",
    "CanRead": true,
    "CanWrite": false,
    "MaskStrategy": "plain",
    "SemanticTypeIri": "urn:effortless:pko-extension#FieldGrant",
    "Name": "principal-knowledge-authority -&gt; AgentDecisionRecords.Name",
    "FieldTable": "AgentDecisionRecords",
    "FieldName": "Name",
    "FieldIsDerived": true,
    "IsWritableDerivedField": false,
    "IsMasked": false,
    "GrantKeyWhenReadable": "principal-knowledge-authority|AgentDecisionRecords"
   },
   {
    "FieldGrantId": "fg-knowledge-authority-AgentDecisionRecords.StepExecution",
    "Principal": "principal-knowledge-authority",
    "TargetField": "AgentDecisionRecords.StepExecution",
    "CanRead": true,
    "CanWrite": false,
    "MaskStrategy": "plain",
    "SemanticTypeIri": "urn:effortless:pko-extension#FieldGrant",
    "Name": "principal-knowledge-authority -&gt; AgentDecisionRecords.StepExecution",
    "FieldTable": "AgentDecisionRecords",
    "FieldName": "StepExecution",
    "FieldIsDerived": false,
    "IsWritableDerivedField": false,
    "IsMasked": false,
    "GrantKeyWhenReadable": "principal-knowledge-authority|AgentDecisionRecords"
   },
   {
    "FieldGrantId": "fg-knowledge-authority-AgentDecisionRecords.DecidingAgent",
    "Principal": "principal-knowledge-authority",
    "TargetField": "AgentDecisionRecords.DecidingAgent",
    "CanRead": true,
    "CanWrite": false,
    "MaskStrategy": "plain",
    "SemanticTypeIri": "urn:effortless:pko-extension#FieldGrant",
    "Name": "principal-knowledge-authority -&gt; AgentDecisionRecords.DecidingAgent",
    "FieldTable": "AgentDecisionRecords",
    "FieldName": "DecidingAgent",
    "FieldIsDerived": false,
    "IsWritableDerivedField": false,
    "IsMasked": false,
    "GrantKeyWhenReadable": "principal-knowledge-authority|AgentDecisionRecords"
   },
   {
    "FieldGrantId": "fg-knowledge-authority-AgentDecisionRecords.DecisionKind",
    "Principal": "principal-knowledge-authority",
    "TargetField": "AgentDecisionRecords.DecisionKind",
    "CanRead": true,
    "CanWrite": false,
    "MaskStrategy": "plain",
    "SemanticTypeIri": "urn:effortless:pko-extension#FieldGrant",
    "Name": "principal-knowledge-authority -&gt; AgentDecisionRecords.DecisionKind",
    "FieldTable": "AgentDecisionRecords",
    "FieldName": "DecisionKind",
    "FieldIsDerived": false,
    "IsWritableDerivedField": false,
    "IsMasked": false,
    "GrantKeyWhenReadable": "principal-knowledge-authority|AgentDecisionRecords"
   },
   {
    "FieldGrantId": "fg-knowledge-authority-AgentDecisionRecords.DecisionSummary",
    "Principal": "principal-knowledge-authority",
    "TargetField": "AgentDecisionRecords.DecisionSummary",
    "CanRead": true,
    "CanWrite": false,
    "MaskStrategy": "plain",
    "SemanticTypeIri": "urn:effortless:pko-extension#FieldGrant",
    "Name": "principal-knowledge-authority -&gt; AgentDecisionRecords.DecisionSummary",
    "FieldTable": "AgentDecisionRecords",
    "FieldName": "DecisionSummary",
    "FieldIsDerived": false,
    "IsWritableDerivedField": false,
    "IsMasked": false,
    "GrantKeyWhenReadable": "principal-knowledge-authority|AgentDecisionRecords"
   },
   {
    "FieldGrantId": "fg-knowledge-authority-AgentDecisionRecords.DecidedAt",
    "Principal": "principal-knowledge-authority",
    "TargetField": "AgentDecisionRecords.DecidedAt",
    "CanRead": true,
    "CanWrite": false,
    "MaskStrategy": "plain",
    "SemanticTypeIri": "urn:effortless:pko-extension#FieldGrant",
    "Name": "principal-knowledge-authority -&gt; AgentDecisionRecords.DecidedAt",
    "FieldTable": "AgentDecisionRecords",
    "FieldName": "DecidedAt",
    "FieldIsDerived": false,
    "IsWritableDerivedField": false,
    "IsMasked": false,
    "GrantKeyWhenReadable": "principal-knowledge-authority|AgentDecisionRecords"
   },
   {
    "FieldGrantId": "fg-knowledge-authority-AgentDecisionRecords.MaterialityBand",
    "Principal": "principal-knowledge-authority",
    "TargetField": "AgentDecisionRecords.MaterialityBand",
    "CanRead": true,
    "CanWrite": false,
    "MaskStrategy": "plain",
    "SemanticTypeIri": "urn:effortless:pko-extension#FieldGrant",
    "Name": "principal-knowledge-authority -&gt; AgentDecisionRecords.MaterialityBand",
    "FieldTable": "AgentDecisionRecords",
    "FieldName": "MaterialityBand",
    "FieldIsDerived": false,
    "IsWritableDerivedField": false,
    "IsMasked": false,
    "GrantKeyWhenReadable": "principal-knowledge-authority|AgentDecisionRecords"
   },
   {
    "FieldGrantId": "fg-knowledge-authority-AgentDecisionRecords.HumanDisposition",
    "Principal": "principal-knowledge-authority",
    "TargetField": "AgentDecisionRecords.HumanDisposition",
    "CanRead": true,
    "CanWrite": false,
    "MaskStrategy": "plain",
    "SemanticTypeIri": "urn:effortless:pko-extension#FieldGrant",
    "Name": "principal-knowledge-authority -&gt; AgentDecisionRecords.HumanDisposition",
    "FieldTable": "AgentDecisionRecords",
    "FieldName": "HumanDisposition",
    "FieldIsDerived": false,
    "IsWritableDerivedField": false,
    "IsMasked": false,
    "GrantKeyWhenReadable": "principal-knowledge-authority|AgentDecisionRecords"
   },
   {
    "FieldGrantId": "fg-knowledge-authority-AgentDecisionRecords.ReviewedByAgent",
    "Principal": "principal-knowledge-authority",
    "TargetField": "AgentDecisionRecords.ReviewedByAgent",
    "CanRead": true,
    "CanWrite": false,
    "MaskStrategy": "plain",
    "SemanticTypeIri": "urn:effortless:pko-extension#FieldGrant",
    "Name": "principal-knowledge-authority -&gt; AgentDecisionRecords.ReviewedByAgent",
    "FieldTable": "AgentDecisionRecords",
    "FieldName": "ReviewedByAgent",
    "FieldIsDerived": false,
    "IsWritableDerivedField": false,
    "IsMasked": false,
    "GrantKeyWhenReadable": "principal-knowledge-authority|AgentDecisionRecords"
   },
   {
    "FieldGrantId": "fg-knowledge-authority-AgentDecisionRecords.ReviewedAt",
    "Principal": "principal-knowledge-authority",
    "TargetField": "AgentDecisionRecords.ReviewedAt",
    "CanRead": true,
    "CanWrite": false,
    "MaskStrategy": "plain",
    "SemanticTypeIri": "urn:effortless:pko-extension#FieldGrant",
    "Name": "principal-knowledge-authority -&gt; AgentDecisionRecords.ReviewedAt",
    "FieldTable": "AgentDecisionRecords",
    "FieldName": "ReviewedAt",
    "FieldIsDerived": false,
    "IsWritableDerivedField": false,
    "IsMasked": false,
    "GrantKeyWhenReadable": "principal-knowledge-authority|AgentDecisionRecords"
   },
   {
    "FieldGrantId": "fg-knowledge-authority-AgentDecisionRecords.WasOverridden",
    "Principal": "principal-knowledge-authority",
    "TargetField": "AgentDecisionRecords.WasOverridden",
    "CanRead": true,
    "CanWrite": false,
    "MaskStrategy": "plain",
    "SemanticTypeIri": "urn:effortless:pko-extension#FieldGrant",
    "Name": "principal-knowledge-authority -&gt; AgentDecisionRecords.WasOverridden",
    "FieldTable": "AgentDecisionRecords",
    "FieldName": "WasOverridden",
    "FieldIsDerived": true,
    "IsWritableDerivedField": false,
    "IsMasked": false,
    "GrantKeyWhenReadable": "principal-knowledge-authority|AgentDecisionRecords"
   },
   {
    "FieldGrantId": "fg-knowledge-authority-AgentDecisionRecords.WasReviewed",
    "Principal": "principal-knowledge-authority",
    "TargetField": "AgentDecisionRecords.WasReviewed",
    "CanRead": true,
    "CanWrite": false,
    "MaskStrategy": "plain",
    "SemanticTypeIri": "urn:effortless:pko-extension#FieldGrant",
    "Name": "principal-knowledge-authority -&gt; AgentDecisionRecords.WasReviewed",
    "FieldTable": "AgentDecisionRecords",
    "FieldName": "WasReviewed",
    "FieldIsDerived": true,
    "IsWritableDerivedField": false,
    "IsMasked": false,
    "GrantKeyWhenReadable": "principal-knowledge-authority|AgentDecisionRecords"
   },
   {
    "FieldGrantId": "fg-knowledge-authority-AgentDecisionRecords.DecidingAgentKind",
    "Principal": "principal-knowledge-authority",
    "TargetField": "AgentDecisionRecords.DecidingAgentKind",
    "CanRead": true,
    "CanWrite": false,
    "MaskStrategy": "plain",
    "SemanticTypeIri": "urn:effortless:pko-extension#FieldGrant",
    "Name": "principal-knowledge-authority -&gt; AgentDecisionRecords.DecidingAgentKind",
    "FieldTable": "AgentDecisionRecords",
    "FieldName": "DecidingAgentKind",
    "FieldIsDerived": true,
    "IsWritableDerivedField": false,
    "IsMasked": false,
    "GrantKeyWhenReadable": "principal-knowledge-authority|AgentDecisionRecords"
   },
   {
    "FieldGrantId": "fg-knowledge-authority-AgentDecisionRecords.DecidingAgentWhenOverridden",
    "Principal": "principal-knowledge-authority",
    "TargetField": "AgentDecisionRecords.DecidingAgentWhenOverridden",
    "CanRead": true,
    "CanWrite": false,
    "MaskStrategy": "plain",
    "SemanticTypeIri": "urn:effortless:pko-extension#FieldGrant",
    "Name": "principal-knowledge-authority -&gt; AgentDecisionRecords.DecidingAgentWhenOverridden",
    "FieldTable": "AgentDecisionRecords",
    "FieldName": "DecidingAgentWhenOverridden",
    "FieldIsDerived": true,
    "IsWritableDerivedField": false,
    "IsMasked": false,
    "GrantKeyWhenReadable": "principal-knowledge-authority|AgentDecisionRecords"
   },
   {
    "FieldGrantId": "fg-knowledge-authority-AgentDecisionRecords.UnderRoleAssignment",
    "Principal": "principal-knowledge-authority",
    "TargetField": "AgentDecisionRecords.UnderRoleAssignment",
    "CanRead": true,
    "CanWrite": false,
    "MaskStrategy": "plain",
    "SemanticTypeIri": "urn:effortless:pko-extension#FieldGrant",
    "Name": "principal-knowledge-authority -&gt; AgentDecisionRecords.UnderRoleAssignment",
    "FieldTable": "AgentDecisionRecords",
    "FieldName": "UnderRoleAssignment",
    "FieldIsDerived": false,
    "IsWritableDerivedField": false,
    "IsMasked": false,
    "GrantKeyWhenReadable": "principal-knowledge-authority|AgentDecisionRecords"
   },
   {
    "FieldGrantId": "fg-knowledge-authority-AgentDecisionRecords.RoleAssignmentWhenScored",
    "Principal": "principal-knowledge-authority",
    "TargetField": "AgentDecisionRecords.RoleAssignmentWhenScored",
    "CanRead": true,
    "CanWrite": false,
    "MaskStrategy": "plain",
    "SemanticTypeIri": "urn:effortless:pko-extension#FieldGrant",
    "Name": "principal-knowledge-authority -&gt; AgentDecisionRecords.RoleAssignmentWhenScored",
    "FieldTable": "AgentDecisionRecords",
    "FieldName": "RoleAssignmentWhenScored",
    "FieldIsDerived": true,
    "IsWritableDerivedField": false,
    "IsMasked": false,
    "GrantKeyWhenReadable": "principal-knowledge-authority|AgentDecisionRecords"
   },
   {
    "FieldGrantId": "fg-knowledge-authority-AgentDecisionRecords.RoleAssignmentWhenOverridden",
    "Principal": "principal-knowledge-authority",
    "TargetField": "AgentDecisionRecords.RoleAssignmentWhenOverridden",
    "CanRead": true,
    "CanWrite": false,
    "MaskStrategy": "plain",
    "SemanticTypeIri": "urn:effortless:pko-extension#FieldGrant",
    "Name": "principal-knowledge-authority -&gt; AgentDecisionRecords.RoleAssignmentWhenOverridden",
    "FieldTable": "AgentDecisionRecords",
    "FieldName": "RoleAssignmentWhenOverridden",
    "FieldIsDerived": true,
    "IsWritableDerivedField": false,
    "IsMasked": false,
    "GrantKeyWhenReadable": "principal-knowledge-authority|AgentDecisionRecords"
   },
   {
    "FieldGrantId": "fg-knowledge-authority-AgentDecisionRecords.StepOfDecision",
    "Principal": "principal-knowledge-authority",
    "TargetField": "AgentDecisionRecords.StepOfDecision",
    "CanRead": true,
    "CanWrite": false,
    "MaskStrategy": "plain",
    "SemanticTypeIri": "urn:effortless:pko-extension#FieldGrant",
    "Name": "principal-knowledge-authority -&gt; AgentDecisionRecords.StepOfDecision",
    "FieldTable": "AgentDecisionRecords",
    "FieldName": "StepOfDecision",
    "FieldIsDerived": true,
    "IsWritableDerivedField": false,
    "IsMasked": false,
    "GrantKeyWhenReadable": "principal-knowledge-authority|AgentDecisionRecords"
   },
   {
    "FieldGrantId": "fg-knowledge-authority-AgentDecisionRecords.BoundaryMatchKey",
    "Principal": "principal-knowledge-authority",
    "TargetField": "AgentDecisionRecords.BoundaryMatchKey",
    "CanRead": true,
    "CanWrite": false,
    "MaskStrategy": "plain",
    "SemanticTypeIri": "urn:effortless:pko-extension#FieldGrant",
    "Name": "principal-knowledge-authority -&gt; AgentDecisionRecords.BoundaryMatchKey",
    "FieldTable": "AgentDecisionRecords",
    "FieldName": "BoundaryMatchKey",
    "FieldIsDerived": true,
    "IsWritableDerivedField": false,
    "IsMasked": false,
    "GrantKeyWhenReadable": "principal-knowledge-authority|AgentDecisionRecords"
   },
   {
    "FieldGrantId": "fg-knowledge-authority-AgentDecisionRecords.MatchingBoundaryCount",
    "Principal": "principal-knowledge-authority",
    "TargetField": "AgentDecisionRecords.MatchingBoundaryCount",
    "CanRead": true,
    "CanWrite": false,
    "MaskStrategy": "plain",
    "SemanticTypeIri": "urn:effortless:pko-extension#FieldGrant",
    "Name": "principal-knowledge-authority -&gt; AgentDecisionRecords.MatchingBoundaryCount",
    "FieldTable": "AgentDecisionRecords",
    "FieldName": "MatchingBoundaryCount",
    "FieldIsDerived": true,
    "IsWritableDerivedField": false,
    "IsMasked": false,
    "GrantKeyWhenReadable": "principal-knowledge-authority|AgentDecisionRecords"
   },
   {
    "FieldGrantId": "fg-knowledge-authority-AgentDecisionRecords.ViolatedAuthorityBoundary",
    "Principal": "principal-knowledge-authority",
    "TargetField": "AgentDecisionRecords.ViolatedAuthorityBoundary",
    "CanRead": true,
    "CanWrite": false,
    "MaskStrategy": "plain",
    "SemanticTypeIri": "urn:effortless:pko-extension#FieldGrant",
    "Name": "principal-knowledge-authority -&gt; AgentDecisionRecords.ViolatedAuthorityBoundary",
    "FieldTable": "AgentDecisionRecords",
    "FieldName": "ViolatedAuthorityBoundary",
    "FieldIsDerived": true,
    "IsWritableDerivedField": false,
    "IsMasked": false,
    "GrantKeyWhenReadable": "principal-knowledge-authority|AgentDecisionRecords"
   },
   {
    "FieldGrantId": "fg-knowledge-authority-AgentDecisionRecords.ReviewerAgentKind",
    "Principal": "principal-knowledge-authority",
    "TargetField": "AgentDecisionRecords.ReviewerAgentKind",
    "CanRead": true,
    "CanWrite": false,
    "MaskStrategy": "plain",
    "SemanticTypeIri": "urn:effortless:pko-extension#FieldGrant",
    "Name": "principal-knowledge-authority -&gt; AgentDecisionRecords.ReviewerAgentKind",
    "FieldTable": "AgentDecisionRecords",
    "FieldName": "ReviewerAgentKind",
    "FieldIsDerived": true,
    "IsWritableDerivedField": false,
    "IsMasked": false,
    "GrantKeyWhenReadable": "principal-knowledge-authority|AgentDecisionRecords"
   },
   {
    "FieldGrantId": "fg-knowledge-authority-AgentDecisionRecords.HasHumanConfirmation",
    "Principal": "principal-knowledge-authority",
    "TargetField": "AgentDecisionRecords.HasHumanConfirmation",
    "CanRead": true,
    "CanWrite": false,
    "MaskStrategy": "plain",
    "SemanticTypeIri": "urn:effortless:pko-extension#FieldGrant",
    "Name": "principal-knowledge-authority -&gt; AgentDecisionRecords.HasHumanConfirmation",
    "FieldTable": "AgentDecisionRecords",
    "FieldName": "HasHumanConfirmation",
    "FieldIsDerived": true,
    "IsWritableDerivedField": false,
    "IsMasked": false,
    "GrantKeyWhenReadable": "principal-knowledge-authority|AgentDecisionRecords"
   },
   {
    "FieldGrantId": "fg-knowledge-authority-AgentDecisionRecords.NeedsHumanConfirmation",
    "Principal": "principal-knowledge-authority",
    "TargetField": "AgentDecisionRecords.NeedsHumanConfirmation",
    "CanRead": true,
    "CanWrite": false,
    "MaskStrategy": "plain",
    "SemanticTypeIri": "urn:effortless:pko-extension#FieldGrant",
    "Name": "principal-knowledge-authority -&gt; AgentDecisionRecords.NeedsHumanConfirmation",
    "FieldTable": "AgentDecisionRecords",
    "FieldName": "NeedsHumanConfirmation",
    "FieldIsDerived": true,
    "IsWritableDerivedField": false,
    "IsMasked": false,
    "GrantKeyWhenReadable": "principal-knowledge-authority|AgentDecisionRecords"
   },
   {
    "FieldGrantId": "fg-knowledge-authority-AgentDecisionRecords.IsUnconfirmedNonHumanDecision",
    "Principal": "principal-knowledge-authority",
    "TargetField": "AgentDecisionRecords.IsUnconfirmedNonHumanDecision",
    "CanRead": true,
    "CanWrite": false,
    "MaskStrategy": "plain",
    "SemanticTypeIri": "urn:effortless:pko-extension#FieldGrant",
    "Name": "principal-knowledge-authority -&gt; AgentDecisionRecords.IsUnconfirmedNonHumanDecision",
    "FieldTable": "AgentDecisionRecords",
    "FieldName": "IsUnconfirmedNonHumanDecision",
    "FieldIsDerived": true,
    "IsWritableDerivedField": false,
    "IsMasked": false,
    "GrantKeyWhenReadable": "principal-knowledge-authority|AgentDecisionRecords"
   },
   {
    "FieldGrantId": "fg-knowledge-authority-AgentDecisionRecords.StepExecutionWhenUnconfirmed",
    "Principal": "principal-knowledge-authority",
    "TargetField": "AgentDecisionRecords.StepExecutionWhenUnconfirmed",
    "CanRead": true,
    "CanWrite": false,
    "MaskStrategy": "plain",
    "SemanticTypeIri": "urn:effortless:pko-extension#FieldGrant",
    "Name": "principal-knowledge-authority -&gt; AgentDecisionRecords.StepExecutionWhenUnconfirmed",
    "FieldTable": "AgentDecisionRecords",
    "FieldName": "StepExecutionWhenUnconfirmed",
    "FieldIsDerived": true,
    "IsWritableDerivedField": false,
    "IsMasked": false,
    "GrantKeyWhenReadable": "principal-knowledge-authority|AgentDecisionRecords"
   },
   {
    "FieldGrantId": "fg-knowledge-authority-AgentDecisionRecords.AgentWhenBoundaryViolated",
    "Principal": "principal-knowledge-authority",
    "TargetField": "AgentDecisionRecords.AgentWhenBoundaryViolated",
    "CanRead": true,
    "CanWrite": false,
    "MaskStrategy": "plain",
    "SemanticTypeIri": "urn:effortless:pko-extension#FieldGrant",
    "Name": "principal-knowledge-authority -&gt; AgentDecisionRecords.AgentWhenBoundaryViolated",
    "FieldTable": "AgentDecisionRecords",
    "FieldName": "AgentWhenBoundaryViolated",
    "FieldIsDerived": true,
    "IsWritableDerivedField": false,
    "IsMasked": false,
    "GrantKeyWhenReadable": "principal-knowledge-authority|AgentDecisionRecords"
   },
   {
    "FieldGrantId": "fg-knowledge-authority-AgentDecisionRecords.ReviewLatencyMinutes",
    "Principal": "principal-knowledge-authority",
    "TargetField": "AgentDecisionRecords.ReviewLatencyMinutes",
    "CanRead": true,
    "CanWrite": false,
    "MaskStrategy": "plain",
    "SemanticTypeIri": "urn:effortless:pko-extension#FieldGrant",
    "Name": "principal-knowledge-authority -&gt; AgentDecisionRecords.ReviewLatencyMinutes",
    "FieldTable": "AgentDecisionRecords",
    "FieldName": "ReviewLatencyMinutes",
    "FieldIsDerived": true,
    "IsWritableDerivedField": false,
    "IsMasked": false,
    "GrantKeyWhenReadable": "principal-knowledge-authority|AgentDecisionRecords"
   },
   {
    "FieldGrantId": "fg-knowledge-authority-AgentDecisionRecords.IsDraftKind",
    "Principal": "principal-knowledge-authority",
    "TargetField": "AgentDecisionRecords.IsDraftKind",
    "CanRead": true,
    "CanWrite": false,
    "MaskStrategy": "plain",
    "SemanticTypeIri": "urn:effortless:pko-extension#FieldGrant",
    "Name": "principal-knowledge-authority -&gt; AgentDecisionRecords.IsDraftKind",
    "FieldTable": "AgentDecisionRecords",
    "FieldName": "IsDraftKind",
    "FieldIsDerived": true,
    "IsWritableDerivedField": false,
    "IsMasked": false,
    "GrantKeyWhenReadable": "principal-knowledge-authority|AgentDecisionRecords"
   },
   {
    "FieldGrantId": "fg-knowledge-authority-AgentDecisionRecords.AgentWhenDraftOverridden",
    "Principal": "principal-knowledge-authority",
    "TargetField": "AgentDecisionRecords.AgentWhenDraftOverridden",
    "CanRead": true,
    "CanWrite": false,
    "MaskStrategy": "plain",
    "SemanticTypeIri": "urn:effortless:pko-extension#FieldGrant",
    "Name": "principal-knowledge-authority -&gt; AgentDecisionRecords.AgentWhenDraftOverridden",
    "FieldTable": "AgentDecisionRecords",
    "FieldName": "AgentWhenDraftOverridden",
    "FieldIsDerived": true,
    "IsWritableDerivedField": false,
    "IsMasked": false,
    "GrantKeyWhenReadable": "principal-knowledge-authority|AgentDecisionRecords"
   },
   {
    "FieldGrantId": "fg-knowledge-authority-AgentDecisionRecords.AgentWhenDraft",
    "Principal": "principal-knowledge-authority",
    "TargetField": "AgentDecisionRecords.AgentWhenDraft",
    "CanRead": true,
    "CanWrite": false,
    "MaskStrategy": "plain",
    "SemanticTypeIri": "urn:effortless:pko-extension#FieldGrant",
    "Name": "principal-knowledge-authority -&gt; AgentDecisionRecords.AgentWhenDraft",
    "FieldTable": "AgentDecisionRecords",
    "FieldName": "AgentWhenDraft",
    "FieldIsDerived": true,
    "IsWritableDerivedField": false,
    "IsMasked": false,
    "GrantKeyWhenReadable": "principal-knowledge-authority|AgentDecisionRecords"
   },
   {
    "FieldGrantId": "fg-knowledge-authority-AgentDecisionRecords.OverrideReasonKind",
    "Principal": "principal-knowledge-authority",
    "TargetField": "AgentDecisionRecords.OverrideReasonKind",
    "CanRead": true,
    "CanWrite": false,
    "MaskStrategy": "plain",
    "SemanticTypeIri": "urn:effortless:pko-extension#FieldGrant",
    "Name": "principal-knowledge-authority -&gt; AgentDecisionRecords.OverrideReasonKind",
    "FieldTable": "AgentDecisionRecords",
    "FieldName": "OverrideReasonKind",
    "FieldIsDerived": false,
    "IsWritableDerivedField": false,
    "IsMasked": false,
    "GrantKeyWhenReadable": "principal-knowledge-authority|AgentDecisionRecords"
   },
   {
    "FieldGrantId": "fg-knowledge-authority-AgentDecisionRecords.IsErrorCorrection",
    "Principal": "principal-knowledge-authority",
    "TargetField": "AgentDecisionRecords.IsErrorCorrection",
    "CanRead": true,
    "CanWrite": false,
    "MaskStrategy": "plain",
    "SemanticTypeIri": "urn:effortless:pko-extension#FieldGrant",
    "Name": "principal-knowledge-authority -&gt; AgentDecisionRecords.IsErrorCorrection",
    "FieldTable": "AgentDecisionRecords",
    "FieldName": "IsErrorCorrection",
    "FieldIsDerived": true,
    "IsWritableDerivedField": false,
    "IsMasked": false,
    "GrantKeyWhenReadable": "principal-knowledge-authority|AgentDecisionRecords"
   },
   {
    "FieldGrantId": "fg-knowledge-authority-AgentDecisionRecords.IsReservedJudgmentOverride",
    "Principal": "principal-knowledge-authority",
    "TargetField": "AgentDecisionRecords.IsReservedJudgmentOverride",
    "CanRead": true,
    "CanWrite": false,
    "MaskStrategy": "plain",
    "SemanticTypeIri": "urn:effortless:pko-extension#FieldGrant",
    "Name": "principal-knowledge-authority -&gt; AgentDecisionRecords.IsReservedJudgmentOverride",
    "FieldTable": "AgentDecisionRecords",
    "FieldName": "IsReservedJudgmentOverride",
    "FieldIsDerived": true,
    "IsWritableDerivedField": false,
    "IsMasked": false,
    "GrantKeyWhenReadable": "principal-knowledge-authority|AgentDecisionRecords"
   },
   {
    "FieldGrantId": "fg-knowledge-authority-AgentDecisionRecords.OverrideReasonIsRecorded",
    "Principal": "principal-knowledge-authority",
    "TargetField": "AgentDecisionRecords.OverrideReasonIsRecorded",
    "CanRead": true,
    "CanWrite": false,
    "MaskStrategy": "plain",
    "SemanticTypeIri": "urn:effortless:pko-extension#FieldGrant",
    "Name": "principal-knowledge-authority -&gt; AgentDecisionRecords.OverrideReasonIsRecorded",
    "FieldTable": "AgentDecisionRecords",
    "FieldName": "OverrideReasonIsRecorded",
    "FieldIsDerived": true,
    "IsWritableDerivedField": false,
    "IsMasked": false,
    "GrantKeyWhenReadable": "principal-knowledge-authority|AgentDecisionRecords"
   },
   {
    "FieldGrantId": "fg-knowledge-authority-AgentDecisionRecords.IsUnexplainedOverride",
    "Principal": "principal-knowledge-authority",
    "TargetField": "AgentDecisionRecords.IsUnexplainedOverride",
    "CanRead": true,
    "CanWrite": false,
    "MaskStrategy": "plain",
    "SemanticTypeIri": "urn:effortless:pko-extension#FieldGrant",
    "Name": "principal-knowledge-authority -&gt; AgentDecisionRecords.IsUnexplainedOverride",
    "FieldTable": "AgentDecisionRecords",
    "FieldName": "IsUnexplainedOverride",
    "FieldIsDerived": true,
    "IsWritableDerivedField": false,
    "IsMasked": false,
    "GrantKeyWhenReadable": "principal-knowledge-authority|AgentDecisionRecords"
   },
   {
    "FieldGrantId": "fg-knowledge-authority-AgentDecisionRecords.ErrorCorrectionRoleAssignmentKey",
    "Principal": "principal-knowledge-authority",
    "TargetField": "AgentDecisionRecords.ErrorCorrectionRoleAssignmentKey",
    "CanRead": true,
    "CanWrite": false,
    "MaskStrategy": "plain",
    "SemanticTypeIri": "urn:effortless:pko-extension#FieldGrant",
    "Name": "principal-knowledge-authority -&gt; AgentDecisionRecords.ErrorCorrectionRoleAssignmentKey",
    "FieldTable": "AgentDecisionRecords",
    "FieldName": "ErrorCorrectionRoleAssignmentKey",
    "FieldIsDerived": true,
    "IsWritableDerivedField": false,
    "IsMasked": false,
    "GrantKeyWhenReadable": "principal-knowledge-authority|AgentDecisionRecords"
   },
   {
    "FieldGrantId": "fg-knowledge-authority-AgentDecisionRecords.BoundaryViolationRoleAssignmentKey",
    "Principal": "principal-knowledge-authority",
    "TargetField": "AgentDecisionRecords.BoundaryViolationRoleAssignmentKey",
    "CanRead": true,
    "CanWrite": false,
    "MaskStrategy": "plain",
    "SemanticTypeIri": "urn:effortless:pko-extension#FieldGrant",
    "Name": "principal-knowledge-authority -&gt; AgentDecisionRecords.BoundaryViolationRoleAssignmentKey",
    "FieldTable": "AgentDecisionRecords",
    "FieldName": "BoundaryViolationRoleAssignmentKey",
    "FieldIsDerived": true,
    "IsWritableDerivedField": false,
    "IsMasked": false,
    "GrantKeyWhenReadable": "principal-knowledge-authority|AgentDecisionRecords"
   },
   {
    "FieldGrantId": "fg-knowledge-authority-AgentDecisionRecords.SemanticTypeIri",
    "Principal": "principal-knowledge-authority",
    "TargetField": "AgentDecisionRecords.SemanticTypeIri",
    "CanRead": true,
    "CanWrite": false,
    "MaskStrategy": "plain",
    "SemanticTypeIri": "urn:effortless:pko-extension#FieldGrant",
    "Name": "principal-knowledge-authority -&gt; AgentDecisionRecords.SemanticTypeIri",
    "FieldTable": "AgentDecisionRecords",
    "FieldName": "SemanticTypeIri",
    "FieldIsDerived": false,
    "IsWritableDerivedField": false,
    "IsMasked": false,
    "GrantKeyWhenReadable": "principal-knowledge-authority|AgentDecisionRecords"
   },
   {
    "FieldGrantId": "fg-knowledge-authority-Agents.AgentId",
    "Principal": "principal-knowledge-authority",
    "TargetField": "Agents.AgentId",
    "CanRead": true,
    "CanWrite": false,
    "MaskStrategy": "plain",
    "SemanticTypeIri": "urn:effortless:pko-extension#FieldGrant",
    "Name": "principal-knowledge-authority -&gt; Agents.AgentId",
    "FieldTable": "Agents",
    "FieldName": "AgentId",
    "FieldIsDerived": false,
    "IsWritableDerivedField": false,
    "IsMasked": false,
    "GrantKeyWhenReadable": "principal-knowledge-authority|Agents"
   },
   {
    "FieldGrantId": "fg-knowledge-authority-Agents.Name",
    "Principal": "principal-knowledge-authority",
    "TargetField": "Agents.Name",
    "CanRead": true,
    "CanWrite": false,
    "MaskStrategy": "plain",
    "SemanticTypeIri": "urn:effortless:pko-extension#FieldGrant",
    "Name": "principal-knowledge-authority -&gt; Agents.Name",
    "FieldTable": "Agents",
    "FieldName": "Name",
    "FieldIsDerived": true,
</t>
  </si>
  <si>
    <t xml:space="preserve">    "IsWritableDerivedField": false,
    "IsMasked": false,
    "GrantKeyWhenReadable": "principal-knowledge-authority|Agents"
   },
   {
    "FieldGrantId": "fg-knowledge-authority-Agents.DisplayName",
    "Principal": "principal-knowledge-authority",
    "TargetField": "Agents.DisplayName",
    "CanRead": true,
    "CanWrite": false,
    "MaskStrategy": "plain",
    "SemanticTypeIri": "urn:effortless:pko-extension#FieldGrant",
    "Name": "principal-knowledge-authority -&gt; Agents.DisplayName",
    "FieldTable": "Agents",
    "FieldName": "DisplayName",
    "FieldIsDerived": false,
    "IsWritableDerivedField": false,
    "IsMasked": false,
    "GrantKeyWhenReadable": "principal-knowledge-authority|Agents"
   },
   {
    "FieldGrantId": "fg-knowledge-authority-Agents.AgentKind",
    "Principal": "principal-knowledge-authority",
    "TargetField": "Agents.AgentKind",
    "CanRead": true,
    "CanWrite": false,
    "MaskStrategy": "plain",
    "SemanticTypeIri": "urn:effortless:pko-extension#FieldGrant",
    "Name": "principal-knowledge-authority -&gt; Agents.AgentKind",
    "FieldTable": "Agents",
    "FieldName": "AgentKind",
    "FieldIsDerived": false,
    "IsWritableDerivedField": false,
    "IsMasked": false,
    "GrantKeyWhenReadable": "principal-knowledge-authority|Agents"
   },
   {
    "FieldGrantId": "fg-knowledge-authority-Agents.Organization",
    "Principal": "principal-knowledge-authority",
    "TargetField": "Agents.Organization",
    "CanRead": true,
    "CanWrite": false,
    "MaskStrategy": "plain",
    "SemanticTypeIri": "urn:effortless:pko-extension#FieldGrant",
    "Name": "principal-knowledge-authority -&gt; Agents.Organization",
    "FieldTable": "Agents",
    "FieldName": "Organization",
    "FieldIsDerived": false,
    "IsWritableDerivedField": false,
    "IsMasked": false,
    "GrantKeyWhenReadable": "principal-knowledge-authority|Agents"
   },
   {
    "FieldGrantId": "fg-knowledge-authority-Agents.ContactAddress",
    "Principal": "principal-knowledge-authority",
    "TargetField": "Agents.ContactAddress",
    "CanRead": true,
    "CanWrite": false,
    "MaskStrategy": "plain",
    "SemanticTypeIri": "urn:effortless:pko-extension#FieldGrant",
    "Name": "principal-knowledge-authority -&gt; Agents.ContactAddress",
    "FieldTable": "Agents",
    "FieldName": "ContactAddress",
    "FieldIsDerived": false,
    "IsWritableDerivedField": false,
    "IsMasked": false,
    "GrantKeyWhenReadable": "principal-knowledge-authority|Agents"
   },
   {
    "FieldGrantId": "fg-knowledge-authority-Agents.VersionOrEmploymentKey",
    "Principal": "principal-knowledge-authority",
    "TargetField": "Agents.VersionOrEmploymentKey",
    "CanRead": true,
    "CanWrite": false,
    "MaskStrategy": "plain",
    "SemanticTypeIri": "urn:effortless:pko-extension#FieldGrant",
    "Name": "principal-knowledge-authority -&gt; Agents.VersionOrEmploymentKey",
    "FieldTable": "Agents",
    "FieldName": "VersionOrEmploymentKey",
    "FieldIsDerived": false,
    "IsWritableDerivedField": false,
    "IsMasked": false,
    "GrantKeyWhenReadable": "principal-knowledge-authority|Agents"
   },
   {
    "FieldGrantId": "fg-knowledge-authority-Agents.CountOfCurrentRoleAssignments",
    "Principal": "principal-knowledge-authority",
    "TargetField": "Agents.CountOfCurrentRoleAssignments",
    "CanRead": true,
    "CanWrite": false,
    "MaskStrategy": "plain",
    "SemanticTypeIri": "urn:effortless:pko-extension#FieldGrant",
    "Name": "principal-knowledge-authority -&gt; Agents.CountOfCurrentRoleAssignments",
    "FieldTable": "Agents",
    "FieldName": "CountOfCurrentRoleAssignments",
    "FieldIsDerived": true,
    "IsWritableDerivedField": false,
    "IsMasked": false,
    "GrantKeyWhenReadable": "principal-knowledge-authority|Agents"
   },
   {
    "FieldGrantId": "fg-knowledge-authority-Agents.IsStillEngaged",
    "Principal": "principal-knowledge-authority",
    "TargetField": "Agents.IsStillEngaged",
    "CanRead": true,
    "CanWrite": false,
    "MaskStrategy": "plain",
    "SemanticTypeIri": "urn:effortless:pko-extension#FieldGrant",
    "Name": "principal-knowledge-authority -&gt; Agents.IsStillEngaged",
    "FieldTable": "Agents",
    "FieldName": "IsStillEngaged",
    "FieldIsDerived": true,
    "IsWritableDerivedField": false,
    "IsMasked": false,
    "GrantKeyWhenReadable": "principal-knowledge-authority|Agents"
   },
   {
    "FieldGrantId": "fg-knowledge-authority-Agents.DecisionCount",
    "Principal": "principal-knowledge-authority",
    "TargetField": "Agents.DecisionCount",
    "CanRead": true,
    "CanWrite": false,
    "MaskStrategy": "plain",
    "SemanticTypeIri": "urn:effortless:pko-extension#FieldGrant",
    "Name": "principal-knowledge-authority -&gt; Agents.DecisionCount",
    "FieldTable": "Agents",
    "FieldName": "DecisionCount",
    "FieldIsDerived": true,
    "IsWritableDerivedField": false,
    "IsMasked": false,
    "GrantKeyWhenReadable": "principal-knowledge-authority|Agents"
   },
   {
    "FieldGrantId": "fg-knowledge-authority-Agents.OverriddenDecisionCount",
    "Principal": "principal-knowledge-authority",
    "TargetField": "Agents.OverriddenDecisionCount",
    "CanRead": true,
    "CanWrite": false,
    "MaskStrategy": "plain",
    "SemanticTypeIri": "urn:effortless:pko-extension#FieldGrant",
    "Name": "principal-knowledge-authority -&gt; Agents.OverriddenDecisionCount",
    "FieldTable": "Agents",
    "FieldName": "OverriddenDecisionCount",
    "FieldIsDerived": true,
    "IsWritableDerivedField": false,
    "IsMasked": false,
    "GrantKeyWhenReadable": "principal-knowledge-authority|Agents"
   },
   {
    "FieldGrantId": "fg-knowledge-authority-Agents.OverrideRatePercent",
    "Principal": "principal-knowledge-authority",
    "TargetField": "Agents.OverrideRatePercent",
    "CanRead": true,
    "CanWrite": false,
    "MaskStrategy": "plain",
    "SemanticTypeIri": "urn:effortless:pko-extension#FieldGrant",
    "Name": "principal-knowledge-authority -&gt; Agents.OverrideRatePercent",
    "FieldTable": "Agents",
    "FieldName": "OverrideRatePercent",
    "FieldIsDerived": true,
    "IsWritableDerivedField": false,
    "IsMasked": false,
    "GrantKeyWhenReadable": "principal-knowledge-authority|Agents"
   },
   {
    "FieldGrantId": "fg-knowledge-authority-Agents.IsNonHuman",
    "Principal": "principal-knowledge-authority",
    "TargetField": "Agents.IsNonHuman",
    "CanRead": true,
    "CanWrite": false,
    "MaskStrategy": "plain",
    "SemanticTypeIri": "urn:effortless:pko-extension#FieldGrant",
    "Name": "principal-knowledge-authority -&gt; Agents.IsNonHuman",
    "FieldTable": "Agents",
    "FieldName": "IsNonHuman",
    "FieldIsDerived": true,
    "IsWritableDerivedField": false,
    "IsMasked": false,
    "GrantKeyWhenReadable": "principal-knowledge-authority|Agents"
   },
   {
    "FieldGrantId": "fg-knowledge-authority-Agents.BoundaryViolationCount",
    "Principal": "principal-knowledge-authority",
    "TargetField": "Agents.BoundaryViolationCount",
    "CanRead": true,
    "CanWrite": false,
    "MaskStrategy": "plain",
    "SemanticTypeIri": "urn:effortless:pko-extension#FieldGrant",
    "Name": "principal-knowledge-authority -&gt; Agents.BoundaryViolationCount",
    "FieldTable": "Agents",
    "FieldName": "BoundaryViolationCount",
    "FieldIsDerived": true,
    "IsWritableDerivedField": false,
    "IsMasked": false,
    "GrantKeyWhenReadable": "principal-knowledge-authority|Agents"
   },
   {
    "FieldGrantId": "fg-knowledge-authority-Agents.IsOperatingOutsideBoundary",
    "Principal": "principal-knowledge-authority",
    "TargetField": "Agents.IsOperatingOutsideBoundary",
    "CanRead": true,
    "CanWrite": false,
    "MaskStrategy": "plain",
    "SemanticTypeIri": "urn:effortless:pko-extension#FieldGrant",
    "Name": "principal-knowledge-authority -&gt; Agents.IsOperatingOutsideBoundary",
    "FieldTable": "Agents",
    "FieldName": "IsOperatingOutsideBoundary",
    "FieldIsDerived": true,
    "IsWritableDerivedField": false,
    "IsMasked": false,
    "GrantKeyWhenReadable": "principal-knowledge-authority|Agents"
   },
   {
    "FieldGrantId": "fg-knowledge-authority-Agents.DraftDecisionCount",
    "Principal": "principal-knowledge-authority",
    "TargetField": "Agents.DraftDecisionCount",
    "CanRead": true,
    "CanWrite": false,
    "MaskStrategy": "plain",
    "SemanticTypeIri": "urn:effortless:pko-extension#FieldGrant",
    "Name": "principal-knowledge-authority -&gt; Agents.DraftDecisionCount",
    "FieldTable": "Agents",
    "FieldName": "DraftDecisionCount",
    "FieldIsDerived": true,
    "IsWritableDerivedField": false,
    "IsMasked": false,
    "GrantKeyWhenReadable": "principal-knowledge-authority|Agents"
   },
   {
    "FieldGrantId": "fg-knowledge-authority-Agents.OverriddenDraftCount",
    "Principal": "principal-knowledge-authority",
    "TargetField": "Agents.OverriddenDraftCount",
    "CanRead": true,
    "CanWrite": false,
    "MaskStrategy": "plain",
    "SemanticTypeIri": "urn:effortless:pko-extension#FieldGrant",
    "Name": "principal-knowledge-authority -&gt; Agents.OverriddenDraftCount",
    "FieldTable": "Agents",
    "FieldName": "OverriddenDraftCount",
    "FieldIsDerived": true,
    "IsWritableDerivedField": false,
    "IsMasked": false,
    "GrantKeyWhenReadable": "principal-knowledge-authority|Agents"
   },
   {
    "FieldGrantId": "fg-knowledge-authority-Agents.DraftRewriteRatePercent",
    "Principal": "principal-knowledge-authority",
    "TargetField": "Agents.DraftRewriteRatePercent",
    "CanRead": true,
    "CanWrite": false,
    "MaskStrategy": "plain",
    "SemanticTypeIri": "urn:effortless:pko-extension#FieldGrant",
    "Name": "principal-knowledge-authority -&gt; Agents.DraftRewriteRatePercent",
    "FieldTable": "Agents",
    "FieldName": "DraftRewriteRatePercent",
    "FieldIsDerived": true,
    "IsWritableDerivedField": false,
    "IsMasked": false,
    "GrantKeyWhenReadable": "principal-knowledge-authority|Agents"
   },
   {
    "FieldGrantId": "fg-knowledge-authority-Agents.SemanticTypeIri",
    "Principal": "principal-knowledge-authority",
    "TargetField": "Agents.SemanticTypeIri",
    "CanRead": true,
    "CanWrite": false,
    "MaskStrategy": "plain",
    "SemanticTypeIri": "urn:effortless:pko-extension#FieldGrant",
    "Name": "principal-knowledge-authority -&gt; Agents.SemanticTypeIri",
    "FieldTable": "Agents",
    "FieldName": "SemanticTypeIri",
    "FieldIsDerived": false,
    "IsWritableDerivedField": false,
    "IsMasked": false,
    "GrantKeyWhenReadable": "principal-knowledge-authority|Agents"
   },
   {
    "FieldGrantId": "fg-knowledge-authority-AppNavGroups.AppNavGroupId",
    "Principal": "principal-knowledge-authority",
    "TargetField": "AppNavGroups.AppNavGroupId",
    "CanRead": true,
    "CanWrite": false,
    "MaskStrategy": "plain",
    "SemanticTypeIri": "urn:effortless:pko-extension#FieldGrant",
    "Name": "principal-knowledge-authority -&gt; AppNavGroups.AppNavGroupId",
    "FieldTable": "AppNavGroups",
    "FieldName": "AppNavGroupId",
    "FieldIsDerived": false,
    "IsWritableDerivedField": false,
    "IsMasked": false,
    "GrantKeyWhenReadable": "principal-knowledge-authority|AppNavGroups"
   },
   {
    "FieldGrantId": "fg-knowledge-authority-AppNavGroups.Name",
    "Principal": "principal-knowledge-authority",
    "TargetField": "AppNavGroups.Name",
    "CanRead": true,
    "CanWrite": false,
    "MaskStrategy": "plain",
    "SemanticTypeIri": "urn:effortless:pko-extension#FieldGrant",
    "Name": "principal-knowledge-authority -&gt; AppNavGroups.Name",
    "FieldTable": "AppNavGroups",
    "FieldName": "Name",
    "FieldIsDerived": true,
    "IsWritableDerivedField": false,
    "IsMasked": false,
    "GrantKeyWhenReadable": "principal-knowledge-authority|AppNavGroups"
   },
   {
    "FieldGrantId": "fg-knowledge-authority-AppNavGroups.GroupLabel",
    "Principal": "principal-knowledge-authority",
    "TargetField": "AppNavGroups.GroupLabel",
    "CanRead": true,
    "CanWrite": false,
    "MaskStrategy": "plain",
    "SemanticTypeIri": "urn:effortless:pko-extension#FieldGrant",
    "Name": "principal-knowledge-authority -&gt; AppNavGroups.GroupLabel",
    "FieldTable": "AppNavGroups",
    "FieldName": "GroupLabel",
    "FieldIsDerived": false,
    "IsWritableDerivedField": false,
    "IsMasked": false,
    "GrantKeyWhenReadable": "principal-knowledge-authority|AppNavGroups"
   },
   {
    "FieldGrantId": "fg-knowledge-authority-AppNavGroups.RouteCount",
    "Principal": "principal-knowledge-authority",
    "TargetField": "AppNavGroups.RouteCount",
    "CanRead": true,
    "CanWrite": false,
    "MaskStrategy": "plain",
    "SemanticTypeIri": "urn:effortless:pko-extension#FieldGrant",
    "Name": "principal-knowledge-authority -&gt; AppNavGroups.RouteCount",
    "FieldTable": "AppNavGroups",
    "FieldName": "RouteCount",
    "FieldIsDerived": true,
    "IsWritableDerivedField": false,
    "IsMasked": false,
    "GrantKeyWhenReadable": "principal-knowledge-authority|AppNavGroups"
   },
   {
    "FieldGrantId": "fg-knowledge-authority-AppNavGroups.SemanticTypeIri",
    "Principal": "principal-knowledge-authority",
    "TargetField": "AppNavGroups.SemanticTypeIri",
    "CanRead": true,
    "CanWrite": false,
    "MaskStrategy": "plain",
    "SemanticTypeIri": "urn:effortless:pko-extension#FieldGrant",
    "Name": "principal-knowledge-authority -&gt; AppNavGroups.SemanticTypeIri",
    "FieldTable": "AppNavGroups",
    "FieldName": "SemanticTypeIri",
    "FieldIsDerived": false,
    "IsWritableDerivedField": false,
    "IsMasked": false,
    "GrantKeyWhenReadable": "principal-knowledge-authority|AppNavGroups"
   },
   {
    "FieldGrantId": "fg-knowledge-authority-AppRoleProfiles.AppRoleProfileId",
    "Principal": "principal-knowledge-authority",
    "TargetField": "AppRoleProfiles.AppRoleProfileId",
    "CanRead": true,
    "CanWrite": false,
    "MaskStrategy": "plain",
    "SemanticTypeIri": "urn:effortless:pko-extension#FieldGrant",
    "Name": "principal-knowledge-authority -&gt; AppRoleProfiles.AppRoleProfileId",
    "FieldTable": "AppRoleProfiles",
    "FieldName": "AppRoleProfileId",
    "FieldIsDerived": false,
    "IsWritableDerivedField": false,
    "IsMasked": false,
    "GrantKeyWhenReadable": "principal-knowledge-authority|AppRoleProfiles"
   },
   {
    "FieldGrantId": "fg-knowledge-authority-AppRoleProfiles.Name",
    "Principal": "principal-knowledge-authority",
    "TargetField": "AppRoleProfiles.Name",
    "CanRead": true,
    "CanWrite": false,
    "MaskStrategy": "plain",
    "SemanticTypeIri": "urn:effortless:pko-extension#FieldGrant",
    "Name": "principal-knowledge-authority -&gt; AppRoleProfiles.Name",
    "FieldTable": "AppRoleProfiles",
    "FieldName": "Name",
    "FieldIsDerived": true,
    "IsWritableDerivedField": false,
    "IsMasked": false,
    "GrantKeyWhenReadable": "principal-knowledge-authority|AppRoleProfiles"
   },
   {
    "FieldGrantId": "fg-knowledge-authority-AppRoleProfiles.Role",
    "Principal": "principal-knowledge-authority",
    "TargetField": "AppRoleProfiles.Role",
    "CanRead": true,
    "CanWrite": false,
    "MaskStrategy": "plain",
    "SemanticTypeIri": "urn:effortless:pko-extension#FieldGrant",
    "Name": "principal-knowledge-authority -&gt; AppRoleProfiles.Role",
    "FieldTable": "AppRoleProfiles",
    "FieldName": "Role",
    "FieldIsDerived": false,
    "IsWritableDerivedField": false,
    "IsMasked": false,
    "GrantKeyWhenReadable": "principal-knowledge-authority|AppRoleProfiles"
   },
   {
    "FieldGrantId": "fg-knowledge-authority-AppRoleProfiles.DisplayLabel",
    "Principal": "principal-knowledge-authority",
    "TargetField": "AppRoleProfiles.DisplayLabel",
    "CanRead": true,
    "CanWrite": false,
    "MaskStrategy": "plain",
    "SemanticTypeIri": "urn:effortless:pko-extension#FieldGrant",
    "Name": "principal-knowledge-authority -&gt; AppRoleProfiles.DisplayLabel",
    "FieldTable": "AppRoleProfiles",
    "FieldName": "DisplayLabel",
    "FieldIsDerived": false,
    "IsWritableDerivedField": false,
    "IsMasked": false,
    "GrantKeyWhenReadable": "principal-knowledge-authority|AppRoleProfiles"
   },
   {
    "FieldGrantId": "fg-knowledge-authority-AppRoleProfiles.RoleKind",
    "Principal": "principal-knowledge-authority",
    "TargetField": "AppRoleProfiles.RoleKind",
    "CanRead": true,
    "CanWrite": false,
    "MaskStrategy": "plain",
    "SemanticTypeIri": "urn:effortless:pko-extension#FieldGrant",
    "Name": "principal-knowledge-authority -&gt; AppRoleProfiles.RoleKind",
    "FieldTable": "AppRoleProfiles",
    "FieldName": "RoleKind",
    "FieldIsDerived": false,
    "IsWritableDerivedField": false,
    "IsMasked": false,
    "GrantKeyWhenReadable": "principal-knowledge-authority|AppRoleProfiles"
   },
   {
    "FieldGrantId": "fg-knowledge-authority-AppRoleProfiles.AccentColor",
    "Principal": "principal-knowledge-authority",
    "TargetField": "AppRoleProfiles.AccentColor",
    "CanRead": true,
    "CanWrite": false,
    "MaskStrategy": "plain",
    "SemanticTypeIri": "urn:effortless:pko-extension#FieldGrant",
    "Name": "principal-knowledge-authority -&gt; AppRoleProfiles.AccentColor",
    "FieldTable": "AppRoleProfiles",
    "FieldName": "AccentColor",
    "FieldIsDerived": false,
    "IsWritableDerivedField": false,
    "IsMasked": false,
    "GrantKeyWhenReadable": "principal-knowledge-authority|AppRoleProfiles"
   },
   {
    "FieldGrantId": "fg-knowledge-authority-AppRoleProfiles.IconMark",
    "Principal": "principal-knowledge-authority",
    "TargetField": "AppRoleProfiles.IconMark",
    "CanRead": true,
    "CanWrite": false,
    "MaskStrategy": "plain",
    "SemanticTypeIri": "urn:effortless:pko-extension#FieldGrant",
    "Name": "principal-knowledge-authority -&gt; AppRoleProfiles.IconMark",
    "FieldTable": "AppRoleProfiles",
    "FieldName": "IconMark",
    "FieldIsDerived": false,
    "IsWritableDerivedField": false,
    "IsMasked": false,
    "GrantKeyWhenReadable": "principal-knowledge-authority|AppRoleProfiles"
   },
   {
    "FieldGrantId": "fg-knowledge-authority-AppRoleProfiles.IconPngBase64",
    "Principal": "principal-knowledge-authority",
    "TargetField": "AppRoleProfiles.IconPngBase64",
    "CanRead": true,
    "CanWrite": false,
    "MaskStrategy": "plain",
    "SemanticTypeIri": "urn:effortless:pko-extension#FieldGrant",
    "Name": "principal-knowledge-authority -&gt; AppRoleProfiles.IconPngBase64",
    "FieldTable": "AppRoleProfiles",
    "FieldName": "IconPngBase64",
    "FieldIsDerived": false,
    "IsWritableDerivedField": false,
    "IsMasked": false,
    "GrantKeyWhenReadable": "principal-knowledge-authority|AppRoleProfiles"
   },
   {
    "FieldGrantId": "fg-knowledge-authority-AppRoleProfiles.Pitch",
    "Principal": "principal-knowledge-authority",
    "TargetField": "AppRoleProfiles.Pitch",
    "CanRead": true,
    "CanWrite": false,
    "MaskStrategy": "plain",
    "SemanticTypeIri": "urn:effortless:pko-extension#FieldGrant",
    "Name": "principal-knowledge-authority -&gt; AppRoleProfiles.Pitch",
    "FieldTable": "AppRoleProfiles",
    "FieldName": "Pitch",
    "FieldIsDerived": false,
    "IsWritableDerivedField": false,
    "IsMasked": false,
    "GrantKeyWhenReadable": "principal-knowledge-authority|AppRoleProfiles"
   },
   {
    "FieldGrantId": "fg-knowledge-authority-AppRoleProfiles.SortOrder",
    "Principal": "principal-knowledge-authority",
    "TargetField": "AppRoleProfiles.SortOrder",
    "CanRead": true,
    "CanWrite": false,
    "MaskStrategy": "plain",
    "SemanticTypeIri": "urn:effortless:pko-extension#FieldGrant",
    "Name": "principal-knowledge-authority -&gt; AppRoleProfiles.SortOrder",
    "FieldTable": "AppRoleProfiles",
    "FieldName": "SortOrder",
    "FieldIsDerived": false,
    "IsWritableDerivedField": false,
    "IsMasked": false,
    "GrantKeyWhenReadable": "principal-knowledge-authority|AppRoleProfiles"
   },
   {
    "FieldGrantId": "fg-knowledge-authority-AppRoleProfiles.RouteCount",
    "Principal": "principal-knowledge-authority",
    "TargetField": "AppRoleProfiles.RouteCount",
    "CanRead": true,
    "CanWrite": false,
    "MaskStrategy": "plain",
    "SemanticTypeIri": "urn:effortless:pko-extension#FieldGrant",
    "Name": "principal-knowledge-authority -&gt; AppRoleProfiles.RouteCount",
    "FieldTable": "AppRoleProfiles",
    "FieldName": "RouteCount",
    "FieldIsDerived": true,
    "IsWritableDerivedField": false,
    "IsMasked": false,
    "GrantKeyWhenReadable": "principal-knowledge-authority|AppRoleProfiles"
   },
   {
    "FieldGrantId": "fg-knowledge-authority-AppRoleProfiles.SemanticTypeIri",
    "Principal": "principal-knowledge-authority",
    "TargetField": "AppRoleProfiles.SemanticTypeIri",
    "CanRead": true,
    "CanWrite": false,
    "MaskStrategy": "plain",
    "SemanticTypeIri": "urn:effortless:pko-extension#FieldGrant",
    "Name": "principal-knowledge-authority -&gt; AppRoleProfiles.SemanticTypeIri",
    "FieldTable": "AppRoleProfiles",
    "FieldName": "SemanticTypeIri",
    "FieldIsDerived": false,
    "IsWritableDerivedField": false,
    "IsMasked": false,
    "GrantKeyWhenReadable": "principal-knowledge-authority|AppRoleProfiles"
   },
   {
    "FieldGrantId": "fg-knowledge-authority-AppRouteQuestions.AppRouteQuestionId",
    "Principal": "principal-knowledge-authority",
    "TargetField": "AppRouteQuestions.AppRouteQuestionId",
    "CanRead": true,
    "CanWrite": false,
    "MaskStrategy": "plain",
    "SemanticTypeIri": "urn:effortless:pko-extension#FieldGrant",
    "Name": "principal-knowledge-authority -&gt; AppRouteQuestions.AppRouteQuestionId",
    "FieldTable": "AppRouteQuestions",
    "FieldName": "AppRouteQuestionId",
    "FieldIsDerived": false,
    "IsWritableDerivedField": false,
    "IsMasked": false,
    "GrantKeyWhenReadable": "principal-knowledge-authority|AppRouteQuestions"
   },
   {
    "FieldGrantId": "fg-knowledge-authority-AppRouteQuestions.Name",
    "Principal": "principal-knowledge-authority",
    "TargetField": "AppRouteQuestions.Name",
    "CanRead": true,
    "CanWrite": false,
    "MaskStrategy": "plain",
    "SemanticTypeIri": "urn:effortless:pko-extension#FieldGrant",
    "Name": "principal-knowledge-authority -&gt; AppRouteQuestions.Name",
    "FieldTable": "AppRouteQuestions",
    "FieldName": "Name",
    "FieldIsDerived": true,
    "IsWritableDerivedField": false,
    "IsMasked": false,
    "GrantKeyWhenReadable": "principal-knowledge-authority|AppRouteQuestions"
   },
   {
    "FieldGrantId": "fg-knowledge-authority-AppRouteQuestions.Route",
    "Principal": "principal-knowledge-authority",
    "TargetField": "AppRouteQuestions.Route",
    "CanRead": true,
    "CanWrite": false,
    "MaskStrategy": "plain",
    "SemanticTypeIri": "urn:effortless:pko-extension#FieldGrant",
    "Name": "principal-knowledge-authority -&gt; AppRouteQuestions.Route",
    "FieldTable": "AppRouteQuestions",
    "FieldName": "Route",
    "FieldIsDerived": false,
    "IsWritableDerivedField": false,
    "IsMasked": false,
    "GrantKeyWhenReadable": "principal-knowledge-authority|AppRouteQuestions"
   },
   {
    "FieldGrantId": "fg-knowledge-authority-AppRouteQuestions.Question",
    "Principal": "principal-knowledge-authority",
    "TargetField": "AppRouteQuestions.Question",
    "CanRead": true,
    "CanWrite": false,
    "MaskStrategy": "plain",
    "SemanticTypeIri": "urn:effortless:pko-extension#FieldGrant",
    "Name": "principal-knowledge-authority -&gt; AppRouteQuestions.Question",
    "FieldTable": "AppRouteQuestions",
    "FieldName": "Question",
    "FieldIsDerived": false,
    "IsWritableDerivedField": false,
    "IsMasked": false,
    "GrantKeyWhenReadable": "principal-knowledge-authority|AppRouteQuestions"
   },
   {
    "FieldGrantId": "fg-knowledge-authority-AppRouteQuestions.SemanticTypeIri",
    "Principal": "principal-knowledge-authority",
    "TargetField": "AppRouteQuestions.SemanticTypeIri",
    "CanRead": true,
    "CanWrite": false,
    "MaskStrategy": "plain",
    "SemanticTypeIri": "urn:effortless:pko-extension#FieldGrant",
    "Name": "principal-knowledge-authority -&gt; AppRouteQuestions.SemanticTypeIri",
    "FieldTable": "AppRouteQuestions",
    "FieldName": "SemanticTypeIri",
    "FieldIsDerived": false,
    "IsWritableDerivedField": false,
    "IsMasked": false,
    "GrantKeyWhenReadable": "principal-knowledge-authority|AppRouteQuestions"
   },
   {
    "FieldGrantId": "fg-knowledge-authority-AppRouteReferences.AppRouteReferenceId",
    "Principal": "principal-knowledge-authority",
    "TargetField": "AppRouteReferences.AppRouteReferenceId",
    "CanRead": true,
    "CanWrite": false,
    "MaskStrategy": "plain",
    "SemanticTypeIri": "urn:effortless:pko-extension#FieldGrant",
    "Name": "principal-knowledge-authority -&gt; AppRouteReferences.AppRouteReferenceId",
    "FieldTable": "AppRouteReferences",
    "FieldName": "AppRouteReferenceId",
    "FieldIsDerived": false,
    "IsWritableDerivedField": false,
    "IsMasked": false,
    "GrantKeyWhenReadable": "principal-knowledge-authority|AppRouteReferences"
   },
   {
    "FieldGrantId": "fg-knowledge-authority-AppRouteReferences.Name",
    "Principal": "principal-knowledge-authority",
    "TargetField": "AppRouteReferences.Name",
    "CanRead": true,
    "CanWrite": false,
    "MaskStrategy": "plain",
    "SemanticTypeIri": "urn:effortless:pko-extension#FieldGrant",
    "Name": "principal-knowledge-authority -&gt; AppRouteReferences.Name",
    "FieldTable": "AppRouteReferences",
    "FieldName": "Name",
    "FieldIsDerived": true,
    "IsWritableDerivedField": false,
    "IsMasked": false,
    "GrantKeyWhenReadable": "principal-knowledge-authority|AppRouteReferences"
   },
   {
    "FieldGrantId": "fg-knowledge-authority-AppRouteReferences.FromRoute",
    "Principal": "principal-knowledge-authority",
    "TargetField": "AppRouteReferences.FromRoute",
    "CanRead": true,
    "CanWrite": false,
    "MaskStrategy": "plain",
    "SemanticTypeIri": "urn:effortless:pko-extension#FieldGrant",
    "Name": "principal-knowledge-authority -&gt; AppRouteReferences.FromRoute",
    "FieldTable": "AppRouteReferences",
    "FieldName": "FromRoute",
    "FieldIsDerived": false,
    "IsWritableDerivedField": false,
    "IsMasked": false,
    "GrantKeyWhenReadable": "principal-knowledge-authority|AppRouteReferences"
   },
   {
    "FieldGrantId": "fg-knowledge-authority-AppRouteReferences.ToRoute",
    "Principal": "principal-knowledge-authority",
    "TargetField": "AppRouteReferences.ToRoute",
    "CanRead": true,
    "CanWrite": false,
    "MaskStrategy": "plain",
    "SemanticTypeIri": "urn:effortless:pko-extension#FieldGrant",
    "Name": "principal-knowledge-authority -&gt; AppRouteReferences.ToRoute",
    "FieldTable": "AppRouteReferences",
    "FieldName": "ToRoute",
    "FieldIsDerived": false,
    "IsWritableDerivedField": false,
    "IsMasked": false,
    "GrantKeyWhenReadable": "principal-knowledge-authority|AppRouteReferences"
   },
   {
    "FieldGrantId": "fg-knowledge-authority-AppRouteReferences.SemanticTypeIri",
    "Principal": "principal-knowledge-authority",
    "TargetField": "AppRouteReferences.SemanticTypeIri",
    "CanRead": true,
    "CanWrite": false,
    "MaskStrategy": "plain",
    "SemanticTypeIri": "urn:effortless:pko-extension#FieldGrant",
    "Name": "principal-knowledge-authority -&gt; AppRouteReferences.SemanticTypeIri",
    "FieldTable": "AppRouteReferences",
    "FieldName": "SemanticTypeIri",
    "FieldIsDerived": false,
    "IsWritableDerivedField": false,
    "IsMasked": false,
    "GrantKeyWhenReadable": "principal-knowledge-authority|AppRouteReferences"
   },
   {
    "FieldGrantId": "fg-knowledge-authority-AppRoutes.AppRouteId",
    "Principal": "principal-knowledge-authority",
    "TargetField": "AppRoutes.AppRouteId",
    "CanRead": true,
    "CanWrite": false,
    "MaskStrategy": "plain",
    "SemanticTypeIri": "urn:effortless:pko-extension#FieldGrant",
    "Name": "principal-knowledge-authority -&gt; AppRoutes.AppRouteId",
    "FieldTable": "AppRoutes",
    "FieldName": "AppRouteId",
    "FieldIsDerived": false,
    "IsWritableDerivedField": false,
    "IsMasked": false,
    "GrantKeyWhenReadable": "principal-knowledge-authority|AppRoutes"
   },
   {
    "FieldGrantId": "fg-knowledge-authority-AppRoutes.Name",
    "Principal": "principal-knowledge-authority",
    "TargetField": "AppRoutes.Name",
    "CanRead": true,
    "CanWrite": false,
    "MaskStrategy": "plain",
    "SemanticTypeIri": "urn:effortless:pko-extension#FieldGrant",
    "Name": "principal-knowledge-authority -&gt; AppRoutes.Name",
    "FieldTable": "AppRoutes",
    "FieldName": "Name",
    "FieldIsDerived": true,
    "IsWritableDerivedField": false,
    "IsMasked": false,
    "GrantKeyWhenReadable": "principal-knowledge-authority|AppRoutes"
   },
   {
    "FieldGrantId": "fg-knowledge-authority-AppRoutes.RoutePath",
    "Principal": "principal-knowledge-authority",
    "TargetField": "AppRoutes.RoutePath",
    "CanRead": true,
    "CanWrite": false,
    "MaskStrategy": "plain",
    "SemanticTypeIri": "urn:effortless:pko-extension#FieldGrant",
    "Name": "principal-knowledge-authority -&gt; AppRoutes.RoutePath",
    "FieldTable": "AppRoutes",
    "FieldName": "RoutePath",
    "FieldIsDerived": false,
    "IsWritableDerivedField": false,
    "IsMasked": false,
    "GrantKeyWhenReadable": "principal-knowledge-authority|AppRoutes"
   },
   {
    "FieldGrantId": "fg-knowledge-authority-AppRoutes.RouteName",
    "Principal": "principal-knowledge-authority",
    "TargetField": "AppRoutes.RouteName",
    "CanRead": true,
    "CanWrite": false,
    "MaskStrategy": "plain",
    "SemanticTypeIri": "urn:effortless:pko-extension#FieldGrant",
    "Name": "principal-knowledge-authority -&gt; AppRoutes.RouteName",
    "FieldTable": "AppRoutes",
    "FieldName": "RouteName",
    "FieldIsDerived": false,
    "IsWritableDerivedField": false,
    "IsMasked": false,
    "GrantKeyWhenReadable": "principal-knowledge-authority|AppRoutes"
   },
   {
    "FieldGrantId": "fg-knowledge-authority-AppRoutes.Surface",
    "Principal": "principal-knowledge-authority",
    "TargetField": "AppRoutes.Surface",
    "CanRead": true,
    "CanWrite": false,
    "MaskStrategy": "plain",
    "SemanticTypeIri": "urn:effortless:pko-extension#FieldGrant",
    "Name": "principal-knowledge-authority -&gt; AppRoutes.Surface",
    "FieldTable": "AppRoutes",
    "FieldName": "Surface",
    "FieldIsDerived": false,
    "IsWritableDerivedField": false,
    "IsMasked": false,
    "GrantKeyWhenReadable": "principal-knowledge-authority|AppRoutes"
   },
   {
    "FieldGrantId": "fg-knowledge-authority-AppRoutes.OwningRole",
    "Principal": "principal-knowledge-authority",
    "TargetField": "AppRoutes.OwningRole",
    "CanRead": true,
    "CanWrite": false,
    "MaskStrategy": "plain",
    "SemanticTypeIri": "urn:effortless:pko-extension#FieldGrant",
    "Name": "principal-knowledge-authority -&gt; AppRoutes.OwningRole",
    "FieldTable": "AppRoutes",
    "FieldName": "OwningRole",
    "FieldIsDerived": false,
    "IsWritableDerivedField": false,
    "IsMasked": false,
    "GrantKeyWhenReadable": "principal-knowledge-authority|AppRoutes"
   },
   {
    "FieldGrantId": "fg-knowledge-authority-AppRoutes.NavGroup",
    "Principal": "principal-knowledge-authority",
    "TargetField": "AppRoutes.NavGroup",
    "CanRead": true,
    "CanWrite": false,
    "MaskStrategy": "plain",
    "SemanticTypeIri": "urn:effortless:pko-extension#FieldGrant",
    "Name": "principal-knowledge-authority -&gt; AppRoutes.NavGroup",
    "FieldTable": "AppRoutes",
    "FieldName": "NavGroup",
    "FieldIsDerived": false,
    "IsWritableDerivedField": false,
    "IsMasked": false,
    "GrantKeyWhenReadable": "principal-knowledge-authority|AppRoutes"
   },
   {
    "FieldGrantId": "fg-knowledge-authority-AppRoutes.NavOrder",
    "Principal": "principal-knowledge-authority",
    "TargetField": "AppRoutes.NavOrder",
    "CanRead": true,
    "CanWrite": false,
    "MaskStrategy": "plain",
    "SemanticTypeIri": "urn:effortless:pko-extension#FieldGrant",
    "Name": "principal-knowledge-authority -&gt; AppRoutes.NavOrder",
    "FieldTable": "AppRoutes",
    "FieldName": "NavOrder",
    "FieldIsDerived": false,
    "IsWritableDerivedField": false,
    "IsMasked": false,
    "GrantKeyWhenReadable": "principal-knowledge-authority|AppRoutes"
   },
   {
    "FieldGrantId": "fg-knowledge-authority-AppRoutes.RouteKind",
    "Principal": "principal-knowledge-authority",
    "TargetField": "AppRoutes.RouteKind",
    "CanRead": true,
    "CanWrite": false,
    "MaskStrategy": "plain",
    "SemanticTypeIri": "urn:effortless:pko-extension#FieldGrant",
    "Name": "principal-knowledge-authority -&gt; AppRoutes.RouteKind",
    "FieldTab</t>
  </si>
  <si>
    <t xml:space="preserve">le": "AppRoutes",
    "FieldName": "RouteKind",
    "FieldIsDerived": false,
    "IsWritableDerivedField": false,
    "IsMasked": false,
    "GrantKeyWhenReadable": "principal-knowledge-authority|AppRoutes"
   },
   {
    "FieldGrantId": "fg-knowledge-authority-AppRoutes.Purpose",
    "Principal": "principal-knowledge-authority",
    "TargetField": "AppRoutes.Purpose",
    "CanRead": true,
    "CanWrite": false,
    "MaskStrategy": "plain",
    "SemanticTypeIri": "urn:effortless:pko-extension#FieldGrant",
    "Name": "principal-knowledge-authority -&gt; AppRoutes.Purpose",
    "FieldTable": "AppRoutes",
    "FieldName": "Purpose",
    "FieldIsDerived": false,
    "IsWritableDerivedField": false,
    "IsMasked": false,
    "GrantKeyWhenReadable": "principal-knowledge-authority|AppRoutes"
   },
   {
    "FieldGrantId": "fg-knowledge-authority-AppRoutes.LayoutHints",
    "Principal": "principal-knowledge-authority",
    "TargetField": "AppRoutes.LayoutHints",
    "CanRead": true,
    "CanWrite": false,
    "MaskStrategy": "plain",
    "SemanticTypeIri": "urn:effortless:pko-extension#FieldGrant",
    "Name": "principal-knowledge-authority -&gt; AppRoutes.LayoutHints",
    "FieldTable": "AppRoutes",
    "FieldName": "LayoutHints",
    "FieldIsDerived": false,
    "IsWritableDerivedField": false,
    "IsMasked": false,
    "GrantKeyWhenReadable": "principal-knowledge-authority|AppRoutes"
   },
   {
    "FieldGrantId": "fg-knowledge-authority-AppRoutes.IsInNav",
    "Principal": "principal-knowledge-authority",
    "TargetField": "AppRoutes.IsInNav",
    "CanRead": true,
    "CanWrite": false,
    "MaskStrategy": "plain",
    "SemanticTypeIri": "urn:effortless:pko-extension#FieldGrant",
    "Name": "principal-knowledge-authority -&gt; AppRoutes.IsInNav",
    "FieldTable": "AppRoutes",
    "FieldName": "IsInNav",
    "FieldIsDerived": true,
    "IsWritableDerivedField": false,
    "IsMasked": false,
    "GrantKeyWhenReadable": "principal-knowledge-authority|AppRoutes"
   },
   {
    "FieldGrantId": "fg-knowledge-authority-AppRoutes.IsShared",
    "Principal": "principal-knowledge-authority",
    "TargetField": "AppRoutes.IsShared",
    "CanRead": true,
    "CanWrite": false,
    "MaskStrategy": "plain",
    "SemanticTypeIri": "urn:effortless:pko-extension#FieldGrant",
    "Name": "principal-knowledge-authority -&gt; AppRoutes.IsShared",
    "FieldTable": "AppRoutes",
    "FieldName": "IsShared",
    "FieldIsDerived": true,
    "IsWritableDerivedField": false,
    "IsMasked": false,
    "GrantKeyWhenReadable": "principal-knowledge-authority|AppRoutes"
   },
   {
    "FieldGrantId": "fg-knowledge-authority-AppRoutes.IsMaintainer",
    "Principal": "principal-knowledge-authority",
    "TargetField": "AppRoutes.IsMaintainer",
    "CanRead": true,
    "CanWrite": false,
    "MaskStrategy": "plain",
    "SemanticTypeIri": "urn:effortless:pko-extension#FieldGrant",
    "Name": "principal-knowledge-authority -&gt; AppRoutes.IsMaintainer",
    "FieldTable": "AppRoutes",
    "FieldName": "IsMaintainer",
    "FieldIsDerived": true,
    "IsWritableDerivedField": false,
    "IsMasked": false,
    "GrantKeyWhenReadable": "principal-knowledge-authority|AppRoutes"
   },
   {
    "FieldGrantId": "fg-knowledge-authority-AppRoutes.QuestionCount",
    "Principal": "principal-knowledge-authority",
    "TargetField": "AppRoutes.QuestionCount",
    "CanRead": true,
    "CanWrite": false,
    "MaskStrategy": "plain",
    "SemanticTypeIri": "urn:effortless:pko-extension#FieldGrant",
    "Name": "principal-knowledge-authority -&gt; AppRoutes.QuestionCount",
    "FieldTable": "AppRoutes",
    "FieldName": "QuestionCount",
    "FieldIsDerived": true,
    "IsWritableDerivedField": false,
    "IsMasked": false,
    "GrantKeyWhenReadable": "principal-knowledge-authority|AppRoutes"
   },
   {
    "FieldGrantId": "fg-knowledge-authority-AppRoutes.ReferenceCount",
    "Principal": "principal-knowledge-authority",
    "TargetField": "AppRoutes.ReferenceCount",
    "CanRead": true,
    "CanWrite": false,
    "MaskStrategy": "plain",
    "SemanticTypeIri": "urn:effortless:pko-extension#FieldGrant",
    "Name": "principal-knowledge-authority -&gt; AppRoutes.ReferenceCount",
    "FieldTable": "AppRoutes",
    "FieldName": "ReferenceCount",
    "FieldIsDerived": true,
    "IsWritableDerivedField": false,
    "IsMasked": false,
    "GrantKeyWhenReadable": "principal-knowledge-authority|AppRoutes"
   },
   {
    "FieldGrantId": "fg-knowledge-authority-AppRoutes.AnswersNoQuestion",
    "Principal": "principal-knowledge-authority",
    "TargetField": "AppRoutes.AnswersNoQuestion",
    "CanRead": true,
    "CanWrite": false,
    "MaskStrategy": "plain",
    "SemanticTypeIri": "urn:effortless:pko-extension#FieldGrant",
    "Name": "principal-knowledge-authority -&gt; AppRoutes.AnswersNoQuestion",
    "FieldTable": "AppRoutes",
    "FieldName": "AnswersNoQuestion",
    "FieldIsDerived": true,
    "IsWritableDerivedField": false,
    "IsMasked": false,
    "GrantKeyWhenReadable": "principal-knowledge-authority|AppRoutes"
   },
   {
    "FieldGrantId": "fg-knowledge-authority-AppRoutes.SemanticTypeIri",
    "Principal": "principal-knowledge-authority",
    "TargetField": "AppRoutes.SemanticTypeIri",
    "CanRead": true,
    "CanWrite": false,
    "MaskStrategy": "plain",
    "SemanticTypeIri": "urn:effortless:pko-extension#FieldGrant",
    "Name": "principal-knowledge-authority -&gt; AppRoutes.SemanticTypeIri",
    "FieldTable": "AppRoutes",
    "FieldName": "SemanticTypeIri",
    "FieldIsDerived": false,
    "IsWritableDerivedField": false,
    "IsMasked": false,
    "GrantKeyWhenReadable": "principal-knowledge-authority|AppRoutes"
   },
   {
    "FieldGrantId": "fg-knowledge-authority-Attestations.AttestationId",
    "Principal": "principal-knowledge-authority",
    "TargetField": "Attestations.AttestationId",
    "CanRead": true,
    "CanWrite": false,
    "MaskStrategy": "plain",
    "SemanticTypeIri": "urn:effortless:pko-extension#FieldGrant",
    "Name": "principal-knowledge-authority -&gt; Attestations.AttestationId",
    "FieldTable": "Attestations",
    "FieldName": "AttestationId",
    "FieldIsDerived": false,
    "IsWritableDerivedField": false,
    "IsMasked": false,
    "GrantKeyWhenReadable": "principal-knowledge-authority|Attestations"
   },
   {
    "FieldGrantId": "fg-knowledge-authority-Attestations.Name",
    "Principal": "principal-knowledge-authority",
    "TargetField": "Attestations.Name",
    "CanRead": true,
    "CanWrite": false,
    "MaskStrategy": "plain",
    "SemanticTypeIri": "urn:effortless:pko-extension#FieldGrant",
    "Name": "principal-knowledge-authority -&gt; Attestations.Name",
    "FieldTable": "Attestations",
    "FieldName": "Name",
    "FieldIsDerived": true,
    "IsWritableDerivedField": false,
    "IsMasked": false,
    "GrantKeyWhenReadable": "principal-knowledge-authority|Attestations"
   },
   {
    "FieldGrantId": "fg-knowledge-authority-Attestations.ProcedureExecution",
    "Principal": "principal-knowledge-authority",
    "TargetField": "Attestations.ProcedureExecution",
    "CanRead": true,
    "CanWrite": false,
    "MaskStrategy": "plain",
    "SemanticTypeIri": "urn:effortless:pko-extension#FieldGrant",
    "Name": "principal-knowledge-authority -&gt; Attestations.ProcedureExecution",
    "FieldTable": "Attestations",
    "FieldName": "ProcedureExecution",
    "FieldIsDerived": false,
    "IsWritableDerivedField": false,
    "IsMasked": false,
    "GrantKeyWhenReadable": "principal-knowledge-authority|Attestations"
   },
   {
    "FieldGrantId": "fg-knowledge-authority-Attestations.SignedByAgent",
    "Principal": "principal-knowledge-authority",
    "TargetField": "Attestations.SignedByAgent",
    "CanRead": true,
    "CanWrite": false,
    "MaskStrategy": "plain",
    "SemanticTypeIri": "urn:effortless:pko-extension#FieldGrant",
    "Name": "principal-knowledge-authority -&gt; Attestations.SignedByAgent",
    "FieldTable": "Attestations",
    "FieldName": "SignedByAgent",
    "FieldIsDerived": false,
    "IsWritableDerivedField": false,
    "IsMasked": false,
    "GrantKeyWhenReadable": "principal-knowledge-authority|Attestations"
   },
   {
    "FieldGrantId": "fg-knowledge-authority-Attestations.SignedAt",
    "Principal": "principal-knowledge-authority",
    "TargetField": "Attestations.SignedAt",
    "CanRead": true,
    "CanWrite": false,
    "MaskStrategy": "plain",
    "SemanticTypeIri": "urn:effortless:pko-extension#FieldGrant",
    "Name": "principal-knowledge-authority -&gt; Attestations.SignedAt",
    "FieldTable": "Attestations",
    "FieldName": "SignedAt",
    "FieldIsDerived": false,
    "IsWritableDerivedField": false,
    "IsMasked": false,
    "GrantKeyWhenReadable": "principal-knowledge-authority|Attestations"
   },
   {
    "FieldGrantId": "fg-knowledge-authority-Attestations.AssuranceGradeAtSigning",
    "Principal": "principal-knowledge-authority",
    "TargetField": "Attestations.AssuranceGradeAtSigning",
    "CanRead": true,
    "CanWrite": false,
    "MaskStrategy": "plain",
    "SemanticTypeIri": "urn:effortless:pko-extension#FieldGrant",
    "Name": "principal-knowledge-authority -&gt; Attestations.AssuranceGradeAtSigning",
    "FieldTable": "Attestations",
    "FieldName": "AssuranceGradeAtSigning",
    "FieldIsDerived": false,
    "IsWritableDerivedField": false,
    "IsMasked": false,
    "GrantKeyWhenReadable": "principal-knowledge-authority|Attestations"
   },
   {
    "FieldGrantId": "fg-knowledge-authority-Attestations.VersionWasFitAtSigning",
    "Principal": "principal-knowledge-authority",
    "TargetField": "Attestations.VersionWasFitAtSigning",
    "CanRead": true,
    "CanWrite": false,
    "MaskStrategy": "plain",
    "SemanticTypeIri": "urn:effortless:pko-extension#FieldGrant",
    "Name": "principal-knowledge-authority -&gt; Attestations.VersionWasFitAtSigning",
    "FieldTable": "Attestations",
    "FieldName": "VersionWasFitAtSigning",
    "FieldIsDerived": false,
    "IsWritableDerivedField": false,
    "IsMasked": false,
    "GrantKeyWhenReadable": "principal-knowledge-authority|Attestations"
   },
   {
    "FieldGrantId": "fg-knowledge-authority-Attestations.VersionIsFitNow",
    "Principal": "principal-knowledge-authority",
    "TargetField": "Attestations.VersionIsFitNow",
    "CanRead": true,
    "CanWrite": false,
    "MaskStrategy": "plain",
    "SemanticTypeIri": "urn:effortless:pko-extension#FieldGrant",
    "Name": "principal-knowledge-authority -&gt; Attestations.VersionIsFitNow",
    "FieldTable": "Attestations",
    "FieldName": "VersionIsFitNow",
    "FieldIsDerived": true,
    "IsWritableDerivedField": false,
    "IsMasked": false,
    "GrantKeyWhenReadable": "principal-knowledge-authority|Attestations"
   },
   {
    "FieldGrantId": "fg-knowledge-authority-Attestations.FitnessVerdictHasDrifted",
    "Principal": "principal-knowledge-authority",
    "TargetField": "Attestations.FitnessVerdictHasDrifted",
    "CanRead": true,
    "CanWrite": false,
    "MaskStrategy": "plain",
    "SemanticTypeIri": "urn:effortless:pko-extension#FieldGrant",
    "Name": "principal-knowledge-authority -&gt; Attestations.FitnessVerdictHasDrifted",
    "FieldTable": "Attestations",
    "FieldName": "FitnessVerdictHasDrifted",
    "FieldIsDerived": true,
    "IsWritableDerivedField": false,
    "IsMasked": false,
    "GrantKeyWhenReadable": "principal-knowledge-authority|Attestations"
   },
   {
    "FieldGrantId": "fg-knowledge-authority-Attestations.AssuranceGradeNow",
    "Principal": "principal-knowledge-authority",
    "TargetField": "Attestations.AssuranceGradeNow",
    "CanRead": true,
    "CanWrite": false,
    "MaskStrategy": "plain",
    "SemanticTypeIri": "urn:effortless:pko-extension#FieldGrant",
    "Name": "principal-knowledge-authority -&gt; Attestations.AssuranceGradeNow",
    "FieldTable": "Attestations",
    "FieldName": "AssuranceGradeNow",
    "FieldIsDerived": true,
    "IsWritableDerivedField": false,
    "IsMasked": false,
    "GrantKeyWhenReadable": "principal-knowledge-authority|Attestations"
   },
   {
    "FieldGrantId": "fg-knowledge-authority-Attestations.AssuranceGradeHasDrifted",
    "Principal": "principal-knowledge-authority",
    "TargetField": "Attestations.AssuranceGradeHasDrifted",
    "CanRead": true,
    "CanWrite": false,
    "MaskStrategy": "plain",
    "SemanticTypeIri": "urn:effortless:pko-extension#FieldGrant",
    "Name": "principal-knowledge-authority -&gt; Attestations.AssuranceGradeHasDrifted",
    "FieldTable": "Attestations",
    "FieldName": "AssuranceGradeHasDrifted",
    "FieldIsDerived": true,
    "IsWritableDerivedField": false,
    "IsMasked": false,
    "GrantKeyWhenReadable": "principal-knowledge-authority|Attestations"
   },
   {
    "FieldGrantId": "fg-knowledge-authority-Attestations.WouldNotSurviveRestatement",
    "Principal": "principal-knowledge-authority",
    "TargetField": "Attestations.WouldNotSurviveRestatement",
    "CanRead": true,
    "CanWrite": false,
    "MaskStrategy": "plain",
    "SemanticTypeIri": "urn:effortless:pko-extension#FieldGrant",
    "Name": "principal-knowledge-authority -&gt; Attestations.WouldNotSurviveRestatement",
    "FieldTable": "Attestations",
    "FieldName": "WouldNotSurviveRestatement",
    "FieldIsDerived": true,
    "IsWritableDerivedField": false,
    "IsMasked": false,
    "GrantKeyWhenReadable": "principal-knowledge-authority|Attestations"
   },
   {
    "FieldGrantId": "fg-knowledge-authority-AuthorityBoundaries.AuthorityBoundaryId",
    "Principal": "principal-knowledge-authority",
    "TargetField": "AuthorityBoundaries.AuthorityBoundaryId",
    "CanRead": true,
    "CanWrite": false,
    "MaskStrategy": "plain",
    "SemanticTypeIri": "urn:effortless:pko-extension#FieldGrant",
    "Name": "principal-knowledge-authority -&gt; AuthorityBoundaries.AuthorityBoundaryId",
    "FieldTable": "AuthorityBoundaries",
    "FieldName": "AuthorityBoundaryId",
    "FieldIsDerived": false,
    "IsWritableDerivedField": false,
    "IsMasked": false,
    "GrantKeyWhenReadable": "principal-knowledge-authority|AuthorityBoundaries"
   },
   {
    "FieldGrantId": "fg-knowledge-authority-AuthorityBoundaries.Name",
    "Principal": "principal-knowledge-authority",
    "TargetField": "AuthorityBoundaries.Name",
    "CanRead": true,
    "CanWrite": false,
    "MaskStrategy": "plain",
    "SemanticTypeIri": "urn:effortless:pko-extension#FieldGrant",
    "Name": "principal-knowledge-authority -&gt; AuthorityBoundaries.Name",
    "FieldTable": "AuthorityBoundaries",
    "FieldName": "Name",
    "FieldIsDerived": true,
    "IsWritableDerivedField": false,
    "IsMasked": false,
    "GrantKeyWhenReadable": "principal-knowledge-authority|AuthorityBoundaries"
   },
   {
    "FieldGrantId": "fg-knowledge-authority-AuthorityBoundaries.Step",
    "Principal": "principal-knowledge-authority",
    "TargetField": "AuthorityBoundaries.Step",
    "CanRead": true,
    "CanWrite": false,
    "MaskStrategy": "plain",
    "SemanticTypeIri": "urn:effortless:pko-extension#FieldGrant",
    "Name": "principal-knowledge-authority -&gt; AuthorityBoundaries.Step",
    "FieldTable": "AuthorityBoundaries",
    "FieldName": "Step",
    "FieldIsDerived": false,
    "IsWritableDerivedField": false,
    "IsMasked": false,
    "GrantKeyWhenReadable": "principal-knowledge-authority|AuthorityBoundaries"
   },
   {
    "FieldGrantId": "fg-knowledge-authority-AuthorityBoundaries.ForbiddenAgentKind",
    "Principal": "principal-knowledge-authority",
    "TargetField": "AuthorityBoundaries.ForbiddenAgentKind",
    "CanRead": true,
    "CanWrite": false,
    "MaskStrategy": "plain",
    "SemanticTypeIri": "urn:effortless:pko-extension#FieldGrant",
    "Name": "principal-knowledge-authority -&gt; AuthorityBoundaries.ForbiddenAgentKind",
    "FieldTable": "AuthorityBoundaries",
    "FieldName": "ForbiddenAgentKind",
    "FieldIsDerived": false,
    "IsWritableDerivedField": false,
    "IsMasked": false,
    "GrantKeyWhenReadable": "principal-knowledge-authority|AuthorityBoundaries"
   },
   {
    "FieldGrantId": "fg-knowledge-authority-AuthorityBoundaries.ForbiddenDecisionKind",
    "Principal": "principal-knowledge-authority",
    "TargetField": "AuthorityBoundaries.ForbiddenDecisionKind",
    "CanRead": true,
    "CanWrite": false,
    "MaskStrategy": "plain",
    "SemanticTypeIri": "urn:effortless:pko-extension#FieldGrant",
    "Name": "principal-knowledge-authority -&gt; AuthorityBoundaries.ForbiddenDecisionKind",
    "FieldTable": "AuthorityBoundaries",
    "FieldName": "ForbiddenDecisionKind",
    "FieldIsDerived": false,
    "IsWritableDerivedField": false,
    "IsMasked": false,
    "GrantKeyWhenReadable": "principal-knowledge-authority|AuthorityBoundaries"
   },
   {
    "FieldGrantId": "fg-knowledge-authority-AuthorityBoundaries.RatifiedByKnowledgeFragment",
    "Principal": "principal-knowledge-authority",
    "TargetField": "AuthorityBoundaries.RatifiedByKnowledgeFragment",
    "CanRead": true,
    "CanWrite": false,
    "MaskStrategy": "plain",
    "SemanticTypeIri": "urn:effortless:pko-extension#FieldGrant",
    "Name": "principal-knowledge-authority -&gt; AuthorityBoundaries.RatifiedByKnowledgeFragment",
    "FieldTable": "AuthorityBoundaries",
    "FieldName": "RatifiedByKnowledgeFragment",
    "FieldIsDerived": false,
    "IsWritableDerivedField": false,
    "IsMasked": false,
    "GrantKeyWhenReadable": "principal-knowledge-authority|AuthorityBoundaries"
   },
   {
    "FieldGrantId": "fg-knowledge-authority-AuthorityBoundaries.EnforcingRequirement",
    "Principal": "principal-knowledge-authority",
    "TargetField": "AuthorityBoundaries.EnforcingRequirement",
    "CanRead": true,
    "CanWrite": false,
    "MaskStrategy": "plain",
    "SemanticTypeIri": "urn:effortless:pko-extension#FieldGrant",
    "Name": "principal-knowledge-authority -&gt; AuthorityBoundaries.EnforcingRequirement",
    "FieldTable": "AuthorityBoundaries",
    "FieldName": "EnforcingRequirement",
    "FieldIsDerived": false,
    "IsWritableDerivedField": false,
    "IsMasked": false,
    "GrantKeyWhenReadable": "principal-knowledge-authority|AuthorityBoundaries"
   },
   {
    "FieldGrantId": "fg-knowledge-authority-AuthorityBoundaries.AuthorityRole",
    "Principal": "principal-knowledge-authority",
    "TargetField": "AuthorityBoundaries.AuthorityRole",
    "CanRead": true,
    "CanWrite": false,
    "MaskStrategy": "plain",
    "SemanticTypeIri": "urn:effortless:pko-extension#FieldGrant",
    "Name": "principal-knowledge-authority -&gt; AuthorityBoundaries.AuthorityRole",
    "FieldTable": "AuthorityBoundaries",
    "FieldName": "AuthorityRole",
    "FieldIsDerived": false,
    "IsWritableDerivedField": false,
    "IsMasked": false,
    "GrantKeyWhenReadable": "principal-knowledge-authority|AuthorityBoundaries"
   },
   {
    "FieldGrantId": "fg-knowledge-authority-AuthorityBoundaries.ValidFrom",
    "Principal": "principal-knowledge-authority",
    "TargetField": "AuthorityBoundaries.ValidFrom",
    "CanRead": true,
    "CanWrite": false,
    "MaskStrategy": "plain",
    "SemanticTypeIri": "urn:effortless:pko-extension#FieldGrant",
    "Name": "principal-knowledge-authority -&gt; AuthorityBoundaries.ValidFrom",
    "FieldTable": "AuthorityBoundaries",
    "FieldName": "ValidFrom",
    "FieldIsDerived": false,
    "IsWritableDerivedField": false,
    "IsMasked": false,
    "GrantKeyWhenReadable": "principal-knowledge-authority|AuthorityBoundaries"
   },
   {
    "FieldGrantId": "fg-knowledge-authority-AuthorityBoundaries.ValidTo",
    "Principal": "principal-knowledge-authority",
    "TargetField": "AuthorityBoundaries.ValidTo",
    "CanRead": true,
    "CanWrite": false,
    "MaskStrategy": "plain",
    "SemanticTypeIri": "urn:effortless:pko-extension#FieldGrant",
    "Name": "principal-knowledge-authority -&gt; AuthorityBoundaries.ValidTo",
    "FieldTable": "AuthorityBoundaries",
    "FieldName": "ValidTo",
    "FieldIsDerived": false,
    "IsWritableDerivedField": false,
    "IsMasked": false,
    "GrantKeyWhenReadable": "principal-knowledge-authority|AuthorityBoundaries"
   },
   {
    "FieldGrantId": "fg-knowledge-authority-AuthorityBoundaries.Status",
    "Principal": "principal-knowledge-authority",
    "TargetField": "AuthorityBoundaries.Status",
    "CanRead": true,
    "CanWrite": false,
    "MaskStrategy": "plain",
    "SemanticTypeIri": "urn:effortless:pko-extension#FieldGrant",
    "Name": "principal-knowledge-authority -&gt; AuthorityBoundaries.Status",
    "FieldTable": "AuthorityBoundaries",
    "FieldName": "Status",
    "FieldIsDerived": false,
    "IsWritableDerivedField": false,
    "IsMasked": false,
    "GrantKeyWhenReadable": "principal-knowledge-authority|AuthorityBoundaries"
   },
   {
    "FieldGrantId": "fg-knowledge-authority-AuthorityBoundaries.EvaluationContext",
    "Principal": "principal-knowledge-authority",
    "TargetField": "AuthorityBoundaries.EvaluationContext",
    "CanRead": true,
    "CanWrite": false,
    "MaskStrategy": "plain",
    "SemanticTypeIri": "urn:effortless:pko-extension#FieldGrant",
    "Name": "principal-knowledge-authority -&gt; AuthorityBoundaries.EvaluationContext",
    "FieldTable": "AuthorityBoundaries",
    "FieldName": "EvaluationContext",
    "FieldIsDerived": false,
    "IsWritableDerivedField": false,
    "IsMasked": false,
    "GrantKeyWhenReadable": "principal-knowledge-authority|AuthorityBoundaries"
   },
   {
    "FieldGrantId": "fg-knowledge-authority-AuthorityBoundaries.AsOfInstant",
    "Principal": "principal-knowledge-authority",
    "TargetField": "AuthorityBoundaries.AsOfInstant",
    "CanRead": true,
    "CanWrite": false,
    "MaskStrategy": "plain",
    "SemanticTypeIri": "urn:effortless:pko-extension#FieldGrant",
    "Name": "principal-knowledge-authority -&gt; AuthorityBoundaries.AsOfInstant",
    "FieldTable": "AuthorityBoundaries",
    "FieldName": "AsOfInstant",
    "FieldIsDerived": true,
    "IsWritableDerivedField": false,
    "IsMasked": false,
    "GrantKeyWhenReadable": "principal-knowledge-authority|AuthorityBoundaries"
   },
   {
    "FieldGrantId": "fg-knowledge-authority-AuthorityBoundaries.IsCurrentlyBinding",
    "Principal": "principal-knowledge-authority",
    "TargetField": "AuthorityBoundaries.IsCurrentlyBinding",
    "CanRead": true,
    "CanWrite": false,
    "MaskStrategy": "plain",
    "SemanticTypeIri": "urn:effortless:pko-extension#FieldGrant",
    "Name": "principal-knowledge-authority -&gt; AuthorityBoundaries.IsCurrentlyBinding",
    "FieldTable": "AuthorityBoundaries",
    "FieldName": "IsCurrentlyBinding",
    "FieldIsDerived": true,
    "IsWritableDerivedField": false,
    "IsMasked": false,
    "GrantKeyWhenReadable": "principal-knowledge-authority|AuthorityBoundaries"
   },
   {
    "FieldGrantId": "fg-knowledge-authority-AuthorityBoundaries.RatifyingFragmentIsValid",
    "Principal": "principal-knowledge-authority",
    "TargetField": "AuthorityBoundaries.RatifyingFragmentIsValid",
    "CanRead": true,
    "CanWrite": false,
    "MaskStrategy": "plain",
    "SemanticTypeIri": "urn:effortless:pko-extension#FieldGrant",
    "Name": "principal-knowledge-authority -&gt; AuthorityBoundaries.RatifyingFragmentIsValid",
    "FieldTable": "AuthorityBoundaries",
    "FieldName": "RatifyingFragmentIsValid",
    "FieldIsDerived": true,
    "IsWritableDerivedField": false,
    "IsMasked": false,
    "GrantKeyWhenReadable": "principal-knowledge-authority|AuthorityBoundaries"
   },
   {
    "FieldGrantId": "fg-knowledge-authority-AuthorityBoundaries.StepWhenBinding",
    "Principal": "principal-knowledge-authority",
    "TargetField": "AuthorityBoundaries.StepWhenBinding",
    "CanRead": true,
    "CanWrite": false,
    "MaskStrategy": "plain",
    "SemanticTypeIri": "urn:effortless:pko-extension#FieldGrant",
    "Name": "principal-knowledge-authority -&gt; AuthorityBoundaries.StepWhenBinding",
    "FieldTable": "AuthorityBoundaries",
    "FieldName": "StepWhenBinding",
    "FieldIsDerived": true,
    "IsWritableDerivedField": false,
    "IsMasked": false,
    "GrantKeyWhenReadable": "principal-knowledge-authority|AuthorityBoundaries"
   },
   {
    "FieldGrantId": "fg-knowledge-authority-AuthorityBoundaries.BoundaryMatchKey",
    "Principal": "principal-knowledge-authority",
    "TargetField": "AuthorityBoundaries.BoundaryMatchKey",
    "CanRead": true,
    "CanWrite": false,
    "MaskStrategy": "plain",
    "SemanticTypeIri": "urn:effortless:pko-extension#FieldGrant",
    "Name": "principal-knowledge-authority -&gt; AuthorityBoundaries.BoundaryMatchKey",
    "FieldTable": "AuthorityBoundaries",
    "FieldName": "BoundaryMatchKey",
    "FieldIsDerived": true,
    "IsWritableDerivedField": false,
    "IsMasked": false,
    "GrantKeyWhenReadable": "principal-knowledge-authority|AuthorityBoundaries"
   },
   {
    "FieldGrantId": "fg-knowledge-authority-AuthorityBoundaries.ViolationCount",
    "Principal": "principal-knowledge-authority",
    "TargetField": "AuthorityBoundaries.ViolationCount",
    "CanRead": true,
    "CanWrite": false,
    "MaskStrategy": "plain",
    "SemanticTypeIri": "urn:effortless:pko-extension#FieldGrant",
    "Name": "principal-knowledge-authority -&gt; AuthorityBoundaries.ViolationCount",
    "FieldTable": "AuthorityBoundaries",
    "FieldName": "ViolationCount",
    "FieldIsDerived": true,
    "IsWritableDerivedField": false,
    "IsMasked": false,
    "GrantKeyWhenReadable": "principal-knowledge-authority|AuthorityBoundaries"
   },
   {
    "FieldGrantId": "fg-knowledge-authority-AuthorityBoundaries.IsUntested",
    "Principal": "principal-knowledge-authority",
    "TargetField": "AuthorityBoundaries.IsUntested",
    "CanRead": true,
    "CanWrite": false,
    "MaskStrategy": "plain",
    "SemanticTypeIri": "urn:effortless:pko-extension#FieldGrant",
    "Name": "principal-knowledge-authority -&gt; AuthorityBoundaries.IsUntested",
    "FieldTable": "AuthorityBoundaries",
    "FieldName": "IsUntested",
    "FieldIsDerived": true,
    "IsWritableDerivedField": false,
    "IsMasked": false,
    "GrantKeyWhenReadable": "principal-knowledge-authority|AuthorityBoundaries"
   },
   {
    "FieldGrantId": "fg-knowledge-authority-AuthorityBoundaries.HasRatifyingFragment",
    "Principal": "principal-knowledge-authority",
    "TargetField": "AuthorityBoundaries.HasRatifyingFragment",
    "CanRead": true,
    "CanWrite": false,
    "MaskStrategy": "plain",
    "SemanticTypeIri": "urn:effortless:pko-extension#FieldGrant",
    "Name": "principal-knowledge-authority -&gt; AuthorityBoundaries.HasRatifyingFragment",
    "FieldTable": "AuthorityBoundaries",
    "FieldName": "HasRatifyingFragment",
    "FieldIsDerived": true,
    "IsWritableDerivedField": false,
    "IsMasked": false,
    "GrantKeyWhenReadable": "principal-knowledge-authority|AuthorityBoundaries"
   },
   {
    "FieldGrantId": "fg-knowledge-authority-AuthorityBoundaries.IsUnwarranted",
    "Principal": "principal-knowledge-authority",
    "TargetField": "AuthorityBoundaries.IsUnwarranted",
    "CanRead": true,
    "CanWrite": false,
    "MaskStrategy": "plain",
    "SemanticTypeIri": "urn:effortless:pko-extension#FieldGrant",
    "Name": "principal-knowledge-authority -&gt; AuthorityBoundaries.IsUnwarranted",
    "FieldTable": "AuthorityBoundaries",
    "FieldName": "IsUnwarranted",
    "FieldIsDerived": true,
    "IsWritableDerivedField": false,
    "IsMasked": false,
    "GrantKeyWhenReadable": "principal-knowledge-authority|AuthorityBoundaries"
   },
   {
    "FieldGrantId": "fg-knowledge-authority-AuthorityBoundaries.RatifyingFragmentIsOverdue",
    "Principal": "principal-knowledge-authority",
    "TargetField": "AuthorityBoundaries.RatifyingFragmentIsOverdue",
    "CanRead": true,
    "CanWrite": false,
    "MaskStrategy": "plain",
    "SemanticTypeIri": "urn:effortless:pko-extension#FieldGrant",
    "Name": "principal-knowledge-authority -&gt; AuthorityBoundaries.RatifyingFragmentIsOverdue",
    "FieldTable": "AuthorityBoundaries",
    "FieldName": "RatifyingFragmentIsOverdue",
    "FieldIsDerived": true,
    "IsWritableDerivedField": false,
    "IsMasked": false,
    "GrantKeyWhenReadable": "principal-knowledge-authority|AuthorityBoundaries"
   },
   {
    "FieldGrantId": "fg-knowledge-authority-AuthorityBoundaries.RatifyingFragmentIsSingleWitness",
    "Principal": "principal-knowledge-authority",
    "TargetField": "AuthorityBoundaries.RatifyingFragmentIsSingleWitness",
    "CanRead": true,
    "CanWrite": false,
    "MaskStrategy": "plain",
    "SemanticTypeIri": "urn:effortless:pko-extension#FieldGrant",
    "Name": "principal-knowledge-authority -&gt; AuthorityBoundaries.RatifyingFragmentIsSingleWitness",
    "FieldTable": "AuthorityBoundaries",
    "FieldName": "RatifyingFragmentIsSingleWitness",
    "FieldIsDerived": true,
    "IsWritableDerivedField": false,
    "IsMasked": false,
    "GrantKeyWhenReadable": "principal-knowledge-authority|AuthorityBoundaries"
   },
   {
    "FieldGrantId": "fg-knowledge-authority-AuthorityBoundaries.WarrantIsThin",
    "Principal": "principal-knowledge-authority",
    "TargetField": "AuthorityBoundaries.WarrantIsThin",
    "CanRead": true,
    "CanWrite": false,
    "MaskStrategy": "plain",
    "SemanticTypeIri": "urn:effortless:pko-extension#FieldGrant",
    "Name": "principal-knowledge-authority -&gt; AuthorityBoundaries.WarrantIsThin",
    "FieldTable": "AuthorityBoundaries",
    "FieldName": "WarrantIsThin",
    "FieldIsDerived": true,
    "IsWritableDerivedField": false,
    "IsMasked": false,
    "GrantKeyWhenReadable": "principal-knowledge-authority|AuthorityBoundaries"
   },
   {
    "FieldGrantId": "fg-knowledge-authority-AuthorityBoundaries.IsUnwarrantedAndUntested",
    "Principal": "principal-knowledge-authority",
    "TargetField": "AuthorityBoundaries.IsUnwarrantedAndUntested",
    "CanRead": true,
    "CanWrite": false,
    "MaskStrategy": "plain",
    "SemanticTypeIri": "urn:effortless:pko-extension#FieldGrant",
    "Name": "principal-knowledge-authority -&gt; AuthorityBoundaries.IsUnwarrantedAndUntested",
    "FieldTable": "AuthorityBoundaries",
    "FieldName": "IsUnwarrantedAndUntested",
    "FieldIsDerived": true,
    "IsWritableDerivedField": false,
    "IsMasked": false,
    "GrantKeyWhenReadable": "principal-knowledge-authority|AuthorityBoundaries"
   },
   {
    "FieldGrantId": "fg-knowledge-authority-AuthorityBoundaries.UnwarrantedBoundaryStepKey",
    "Principal": "principal-knowledge-authority",
    "TargetField": "AuthorityBoundaries.UnwarrantedBoundaryStepKey",
    "CanRead": true,
    "CanWrite": false,
    "MaskStrategy": "plain",
    "SemanticTypeIri": "urn:effortless:pko-extension#FieldGrant",
    "Name": "principal-knowledge-authority -&gt; AuthorityBoundaries.UnwarrantedBoundaryStepKey",
    "FieldTable": "AuthorityBoundaries",
    "FieldName": "UnwarrantedBoundaryStepKey",
    "FieldIsDerived": true,
    "IsWritableDerivedField": false,
    "IsMasked": false,
    "GrantKeyWhenReadable": "principal-knowledge-authority|AuthorityBoundaries"
   },
   {
    "FieldGrantId": "fg-knowledge-authority-AuthorityBoundaries.RatifyingFragmentKey",
    "Principal": "principal-knowledge-authority",
    "TargetField": "AuthorityBoundaries.RatifyingFragmentKey",
    "CanRead": true,
    "CanWrite": false,
    "MaskStrategy": "plain",
    "SemanticTypeIri": "urn:effortless:pko-extension#FieldGrant",
    "Name": "principal-knowledge-authority -&gt; AuthorityBoundaries.RatifyingFragmentKey",
    "FieldTable": "AuthorityBoundaries",
    "FieldName": "RatifyingFragmentKey",
    "FieldIsDerived": true,
    "IsWritableDerivedField": false,
    "IsMasked": false,
    "GrantKeyWhenReadable": "principal-knowledge-authority|AuthorityBoundaries"
   },
   {
    "FieldGrantId": "fg-knowledge-authority-AuthorityBoundaries.RatifyingFragmentStatus",
    "Principal": "principal-knowledge-authority",
    "TargetField": "AuthorityBoundaries.RatifyingFragmentStatus",
    "CanRead": true,
    "CanWrite": false,
    "MaskStrategy": "plain",
    "SemanticTypeIri": "urn:effortless:pko-extension#FieldGrant",
    "Name": "principal-knowledge-authority -&gt; AuthorityBoundaries.RatifyingFragmentStatus",
    "FieldTable": "AuthorityBoundaries",
    "FieldName": "RatifyingFragmentStatus",
    "FieldIsDerived": true,
    "IsWritableDerivedField": false,
    "IsMasked": false,
    "GrantKeyWhenReadable": "principal-knowledge-authority|AuthorityBoundaries"
   },
   {
    "FieldGrantId": "fg-knowledge-authority-AuthorityBoundaries.RatificationLapsed",
    "Principal": "principal-knowledge-authority",
    "TargetField": "AuthorityBoundaries.RatificationLapsed",
    "CanRead": true,
    "CanWrite": false,
    "MaskStrategy": "plain",
    "SemanticTypeIri": "urn:effortless:pko-extension#FieldGrant",
    "Name": "principal-knowledge-authority -&gt; AuthorityBoundaries.RatificationLapsed",
    "FieldTa</t>
  </si>
  <si>
    <t xml:space="preserve">ble": "AuthorityBoundaries",
    "FieldName": "RatificationLapsed",
    "FieldIsDerived": true,
    "IsWritableDerivedField": false,
    "IsMasked": false,
    "GrantKeyWhenReadable": "principal-knowledge-authority|AuthorityBoundaries"
   },
   {
    "FieldGrantId": "fg-knowledge-authority-AuthorityBoundaries.BindsDespiteLapsedRatification",
    "Principal": "principal-knowledge-authority",
    "TargetField": "AuthorityBoundaries.BindsDespiteLapsedRatification",
    "CanRead": true,
    "CanWrite": false,
    "MaskStrategy": "plain",
    "SemanticTypeIri": "urn:effortless:pko-extension#FieldGrant",
    "Name": "principal-knowledge-authority -&gt; AuthorityBoundaries.BindsDespiteLapsedRatification",
    "FieldTable": "AuthorityBoundaries",
    "FieldName": "BindsDespiteLapsedRatification",
    "FieldIsDerived": true,
    "IsWritableDerivedField": false,
    "IsMasked": false,
    "GrantKeyWhenReadable": "principal-knowledge-authority|AuthorityBoundaries"
   },
   {
    "FieldGrantId": "fg-knowledge-authority-AuthorityBoundaries.IsUngroundedAndUntested",
    "Principal": "principal-knowledge-authority",
    "TargetField": "AuthorityBoundaries.IsUngroundedAndUntested",
    "CanRead": true,
    "CanWrite": false,
    "MaskStrategy": "plain",
    "SemanticTypeIri": "urn:effortless:pko-extension#FieldGrant",
    "Name": "principal-knowledge-authority -&gt; AuthorityBoundaries.IsUngroundedAndUntested",
    "FieldTable": "AuthorityBoundaries",
    "FieldName": "IsUngroundedAndUntested",
    "FieldIsDerived": true,
    "IsWritableDerivedField": false,
    "IsMasked": false,
    "GrantKeyWhenReadable": "principal-knowledge-authority|AuthorityBoundaries"
   },
   {
    "FieldGrantId": "fg-knowledge-authority-AuthorityBoundaries.ConstrainedRoleAssignmentKey",
    "Principal": "principal-knowledge-authority",
    "TargetField": "AuthorityBoundaries.ConstrainedRoleAssignmentKey",
    "CanRead": true,
    "CanWrite": false,
    "MaskStrategy": "plain",
    "SemanticTypeIri": "urn:effortless:pko-extension#FieldGrant",
    "Name": "principal-knowledge-authority -&gt; AuthorityBoundaries.ConstrainedRoleAssignmentKey",
    "FieldTable": "AuthorityBoundaries",
    "FieldName": "ConstrainedRoleAssignmentKey",
    "FieldIsDerived": true,
    "IsWritableDerivedField": false,
    "IsMasked": false,
    "GrantKeyWhenReadable": "principal-knowledge-authority|AuthorityBoundaries"
   },
   {
    "FieldGrantId": "fg-knowledge-authority-AuthorityBoundaries.SemanticTypeIri",
    "Principal": "principal-knowledge-authority",
    "TargetField": "AuthorityBoundaries.SemanticTypeIri",
    "CanRead": true,
    "CanWrite": false,
    "MaskStrategy": "plain",
    "SemanticTypeIri": "urn:effortless:pko-extension#FieldGrant",
    "Name": "principal-knowledge-authority -&gt; AuthorityBoundaries.SemanticTypeIri",
    "FieldTable": "AuthorityBoundaries",
    "FieldName": "SemanticTypeIri",
    "FieldIsDerived": false,
    "IsWritableDerivedField": false,
    "IsMasked": false,
    "GrantKeyWhenReadable": "principal-knowledge-authority|AuthorityBoundaries"
   },
   {
    "FieldGrantId": "fg-knowledge-authority-BindingObservations.BindingObservationId",
    "Principal": "principal-knowledge-authority",
    "TargetField": "BindingObservations.BindingObservationId",
    "CanRead": true,
    "CanWrite": false,
    "MaskStrategy": "plain",
    "SemanticTypeIri": "urn:effortless:pko-extension#FieldGrant",
    "Name": "principal-knowledge-authority -&gt; BindingObservations.BindingObservationId",
    "FieldTable": "BindingObservations",
    "FieldName": "BindingObservationId",
    "FieldIsDerived": false,
    "IsWritableDerivedField": false,
    "IsMasked": false,
    "GrantKeyWhenReadable": "principal-knowledge-authority|BindingObservations"
   },
   {
    "FieldGrantId": "fg-knowledge-authority-BindingObservations.Name",
    "Principal": "principal-knowledge-authority",
    "TargetField": "BindingObservations.Name",
    "CanRead": true,
    "CanWrite": false,
    "MaskStrategy": "plain",
    "SemanticTypeIri": "urn:effortless:pko-extension#FieldGrant",
    "Name": "principal-knowledge-authority -&gt; BindingObservations.Name",
    "FieldTable": "BindingObservations",
    "FieldName": "Name",
    "FieldIsDerived": true,
    "IsWritableDerivedField": false,
    "IsMasked": false,
    "GrantKeyWhenReadable": "principal-knowledge-authority|BindingObservations"
   },
   {
    "FieldGrantId": "fg-knowledge-authority-BindingObservations.StepExecution",
    "Principal": "principal-knowledge-authority",
    "TargetField": "BindingObservations.StepExecution",
    "CanRead": true,
    "CanWrite": false,
    "MaskStrategy": "plain",
    "SemanticTypeIri": "urn:effortless:pko-extension#FieldGrant",
    "Name": "principal-knowledge-authority -&gt; BindingObservations.StepExecution",
    "FieldTable": "BindingObservations",
    "FieldName": "StepExecution",
    "FieldIsDerived": false,
    "IsWritableDerivedField": false,
    "IsMasked": false,
    "GrantKeyWhenReadable": "principal-knowledge-authority|BindingObservations"
   },
   {
    "FieldGrantId": "fg-knowledge-authority-BindingObservations.OperationalBinding",
    "Principal": "principal-knowledge-authority",
    "TargetField": "BindingObservations.OperationalBinding",
    "CanRead": true,
    "CanWrite": false,
    "MaskStrategy": "plain",
    "SemanticTypeIri": "urn:effortless:pko-extension#FieldGrant",
    "Name": "principal-knowledge-authority -&gt; BindingObservations.OperationalBinding",
    "FieldTable": "BindingObservations",
    "FieldName": "OperationalBinding",
    "FieldIsDerived": false,
    "IsWritableDerivedField": false,
    "IsMasked": false,
    "GrantKeyWhenReadable": "principal-knowledge-authority|BindingObservations"
   },
   {
    "FieldGrantId": "fg-knowledge-authority-BindingObservations.ObservedSourceTimestamp",
    "Principal": "principal-knowledge-authority",
    "TargetField": "BindingObservations.ObservedSourceTimestamp",
    "CanRead": true,
    "CanWrite": false,
    "MaskStrategy": "plain",
    "SemanticTypeIri": "urn:effortless:pko-extension#FieldGrant",
    "Name": "principal-knowledge-authority -&gt; BindingObservations.ObservedSourceTimestamp",
    "FieldTable": "BindingObservations",
    "FieldName": "ObservedSourceTimestamp",
    "FieldIsDerived": false,
    "IsWritableDerivedField": false,
    "IsMasked": false,
    "GrantKeyWhenReadable": "principal-knowledge-authority|BindingObservations"
   },
   {
    "FieldGrantId": "fg-knowledge-authority-BindingObservations.ReadAt",
    "Principal": "principal-knowledge-authority",
    "TargetField": "BindingObservations.ReadAt",
    "CanRead": true,
    "CanWrite": false,
    "MaskStrategy": "plain",
    "SemanticTypeIri": "urn:effortless:pko-extension#FieldGrant",
    "Name": "principal-knowledge-authority -&gt; BindingObservations.ReadAt",
    "FieldTable": "BindingObservations",
    "FieldName": "ReadAt",
    "FieldIsDerived": false,
    "IsWritableDerivedField": false,
    "IsMasked": false,
    "GrantKeyWhenReadable": "principal-knowledge-authority|BindingObservations"
   },
   {
    "FieldGrantId": "fg-knowledge-authority-BindingObservations.SlaMinutesAtRun",
    "Principal": "principal-knowledge-authority",
    "TargetField": "BindingObservations.SlaMinutesAtRun",
    "CanRead": true,
    "CanWrite": false,
    "MaskStrategy": "plain",
    "SemanticTypeIri": "urn:effortless:pko-extension#FieldGrant",
    "Name": "principal-knowledge-authority -&gt; BindingObservations.SlaMinutesAtRun",
    "FieldTable": "BindingObservations",
    "FieldName": "SlaMinutesAtRun",
    "FieldIsDerived": true,
    "IsWritableDerivedField": false,
    "IsMasked": false,
    "GrantKeyWhenReadable": "principal-knowledge-authority|BindingObservations"
   },
   {
    "FieldGrantId": "fg-knowledge-authority-BindingObservations.AgeAtRunMinutes",
    "Principal": "principal-knowledge-authority",
    "TargetField": "BindingObservations.AgeAtRunMinutes",
    "CanRead": true,
    "CanWrite": false,
    "MaskStrategy": "plain",
    "SemanticTypeIri": "urn:effortless:pko-extension#FieldGrant",
    "Name": "principal-knowledge-authority -&gt; BindingObservations.AgeAtRunMinutes",
    "FieldTable": "BindingObservations",
    "FieldName": "AgeAtRunMinutes",
    "FieldIsDerived": true,
    "IsWritableDerivedField": false,
    "IsMasked": false,
    "GrantKeyWhenReadable": "principal-knowledge-authority|BindingObservations"
   },
   {
    "FieldGrantId": "fg-knowledge-authority-BindingObservations.WasStaleAtRun",
    "Principal": "principal-knowledge-authority",
    "TargetField": "BindingObservations.WasStaleAtRun",
    "CanRead": true,
    "CanWrite": false,
    "MaskStrategy": "plain",
    "SemanticTypeIri": "urn:effortless:pko-extension#FieldGrant",
    "Name": "principal-knowledge-authority -&gt; BindingObservations.WasStaleAtRun",
    "FieldTable": "BindingObservations",
    "FieldName": "WasStaleAtRun",
    "FieldIsDerived": true,
    "IsWritableDerivedField": false,
    "IsMasked": false,
    "GrantKeyWhenReadable": "principal-knowledge-authority|BindingObservations"
   },
   {
    "FieldGrantId": "fg-knowledge-authority-BindingObservations.IsAuthoritativeBinding",
    "Principal": "principal-knowledge-authority",
    "TargetField": "BindingObservations.IsAuthoritativeBinding",
    "CanRead": true,
    "CanWrite": false,
    "MaskStrategy": "plain",
    "SemanticTypeIri": "urn:effortless:pko-extension#FieldGrant",
    "Name": "principal-knowledge-authority -&gt; BindingObservations.IsAuthoritativeBinding",
    "FieldTable": "BindingObservations",
    "FieldName": "IsAuthoritativeBinding",
    "FieldIsDerived": true,
    "IsWritableDerivedField": false,
    "IsMasked": false,
    "GrantKeyWhenReadable": "principal-knowledge-authority|BindingObservations"
   },
   {
    "FieldGrantId": "fg-knowledge-authority-BindingObservations.StaleAtRunStepKey",
    "Principal": "principal-knowledge-authority",
    "TargetField": "BindingObservations.StaleAtRunStepKey",
    "CanRead": true,
    "CanWrite": false,
    "MaskStrategy": "plain",
    "SemanticTypeIri": "urn:effortless:pko-extension#FieldGrant",
    "Name": "principal-knowledge-authority -&gt; BindingObservations.StaleAtRunStepKey",
    "FieldTable": "BindingObservations",
    "FieldName": "StaleAtRunStepKey",
    "FieldIsDerived": true,
    "IsWritableDerivedField": false,
    "IsMasked": false,
    "GrantKeyWhenReadable": "principal-knowledge-authority|BindingObservations"
   },
   {
    "FieldGrantId": "fg-knowledge-authority-ChangeRequests.ChangeRequestId",
    "Principal": "principal-knowledge-authority",
    "TargetField": "ChangeRequests.ChangeRequestId",
    "CanRead": true,
    "CanWrite": false,
    "MaskStrategy": "plain",
    "SemanticTypeIri": "urn:effortless:pko-extension#FieldGrant",
    "Name": "principal-knowledge-authority -&gt; ChangeRequests.ChangeRequestId",
    "FieldTable": "ChangeRequests",
    "FieldName": "ChangeRequestId",
    "FieldIsDerived": false,
    "IsWritableDerivedField": false,
    "IsMasked": false,
    "GrantKeyWhenReadable": "principal-knowledge-authority|ChangeRequests"
   },
   {
    "FieldGrantId": "fg-knowledge-authority-ChangeRequests.Name",
    "Principal": "principal-knowledge-authority",
    "TargetField": "ChangeRequests.Name",
    "CanRead": true,
    "CanWrite": false,
    "MaskStrategy": "plain",
    "SemanticTypeIri": "urn:effortless:pko-extension#FieldGrant",
    "Name": "principal-knowledge-authority -&gt; ChangeRequests.Name",
    "FieldTable": "ChangeRequests",
    "FieldName": "Name",
    "FieldIsDerived": true,
    "IsWritableDerivedField": false,
    "IsMasked": false,
    "GrantKeyWhenReadable": "principal-knowledge-authority|ChangeRequests"
   },
   {
    "FieldGrantId": "fg-knowledge-authority-ChangeRequests.ProcedureVersion",
    "Principal": "principal-knowledge-authority",
    "TargetField": "ChangeRequests.ProcedureVersion",
    "CanRead": true,
    "CanWrite": false,
    "MaskStrategy": "plain",
    "SemanticTypeIri": "urn:effortless:pko-extension#FieldGrant",
    "Name": "principal-knowledge-authority -&gt; ChangeRequests.ProcedureVersion",
    "FieldTable": "ChangeRequests",
    "FieldName": "ProcedureVersion",
    "FieldIsDerived": false,
    "IsWritableDerivedField": false,
    "IsMasked": false,
    "GrantKeyWhenReadable": "principal-knowledge-authority|ChangeRequests"
   },
   {
    "FieldGrantId": "fg-knowledge-authority-ChangeRequests.Title",
    "Principal": "principal-knowledge-authority",
    "TargetField": "ChangeRequests.Title",
    "CanRead": true,
    "CanWrite": false,
    "MaskStrategy": "plain",
    "SemanticTypeIri": "urn:effortless:pko-extension#FieldGrant",
    "Name": "principal-knowledge-authority -&gt; ChangeRequests.Title",
    "FieldTable": "ChangeRequests",
    "FieldName": "Title",
    "FieldIsDerived": false,
    "IsWritableDerivedField": false,
    "IsMasked": false,
    "GrantKeyWhenReadable": "principal-knowledge-authority|ChangeRequests"
   },
   {
    "FieldGrantId": "fg-knowledge-authority-ChangeRequests.ChangeKind",
    "Principal": "principal-knowledge-authority",
    "TargetField": "ChangeRequests.ChangeKind",
    "CanRead": true,
    "CanWrite": false,
    "MaskStrategy": "plain",
    "SemanticTypeIri": "urn:effortless:pko-extension#FieldGrant",
    "Name": "principal-knowledge-authority -&gt; ChangeRequests.ChangeKind",
    "FieldTable": "ChangeRequests",
    "FieldName": "ChangeKind",
    "FieldIsDerived": false,
    "IsWritableDerivedField": false,
    "IsMasked": false,
    "GrantKeyWhenReadable": "principal-knowledge-authority|ChangeRequests"
   },
   {
    "FieldGrantId": "fg-knowledge-authority-ChangeRequests.Status",
    "Principal": "principal-knowledge-authority",
    "TargetField": "ChangeRequests.Status",
    "CanRead": true,
    "CanWrite": false,
    "MaskStrategy": "plain",
    "SemanticTypeIri": "urn:effortless:pko-extension#FieldGrant",
    "Name": "principal-knowledge-authority -&gt; ChangeRequests.Status",
    "FieldTable": "ChangeRequests",
    "FieldName": "Status",
    "FieldIsDerived": false,
    "IsWritableDerivedField": false,
    "IsMasked": false,
    "GrantKeyWhenReadable": "principal-knowledge-authority|ChangeRequests"
   },
   {
    "FieldGrantId": "fg-knowledge-authority-ChangeRequests.RequestedByAgent",
    "Principal": "principal-knowledge-authority",
    "TargetField": "ChangeRequests.RequestedByAgent",
    "CanRead": true,
    "CanWrite": false,
    "MaskStrategy": "plain",
    "SemanticTypeIri": "urn:effortless:pko-extension#FieldGrant",
    "Name": "principal-knowledge-authority -&gt; ChangeRequests.RequestedByAgent",
    "FieldTable": "ChangeRequests",
    "FieldName": "RequestedByAgent",
    "FieldIsDerived": false,
    "IsWritableDerivedField": false,
    "IsMasked": false,
    "GrantKeyWhenReadable": "principal-knowledge-authority|ChangeRequests"
   },
   {
    "FieldGrantId": "fg-knowledge-authority-ChangeRequests.AuthorityRole",
    "Principal": "principal-knowledge-authority",
    "TargetField": "ChangeRequests.AuthorityRole",
    "CanRead": true,
    "CanWrite": false,
    "MaskStrategy": "plain",
    "SemanticTypeIri": "urn:effortless:pko-extension#FieldGrant",
    "Name": "principal-knowledge-authority -&gt; ChangeRequests.AuthorityRole",
    "FieldTable": "ChangeRequests",
    "FieldName": "AuthorityRole",
    "FieldIsDerived": false,
    "IsWritableDerivedField": false,
    "IsMasked": false,
    "GrantKeyWhenReadable": "principal-knowledge-authority|ChangeRequests"
   },
   {
    "FieldGrantId": "fg-knowledge-authority-ChangeRequests.RequestedAt",
    "Principal": "principal-knowledge-authority",
    "TargetField": "ChangeRequests.RequestedAt",
    "CanRead": true,
    "CanWrite": false,
    "MaskStrategy": "plain",
    "SemanticTypeIri": "urn:effortless:pko-extension#FieldGrant",
    "Name": "principal-knowledge-authority -&gt; ChangeRequests.RequestedAt",
    "FieldTable": "ChangeRequests",
    "FieldName": "RequestedAt",
    "FieldIsDerived": false,
    "IsWritableDerivedField": false,
    "IsMasked": false,
    "GrantKeyWhenReadable": "principal-knowledge-authority|ChangeRequests"
   },
   {
    "FieldGrantId": "fg-knowledge-authority-ChangeRequests.DecidedAt",
    "Principal": "principal-knowledge-authority",
    "TargetField": "ChangeRequests.DecidedAt",
    "CanRead": true,
    "CanWrite": false,
    "MaskStrategy": "plain",
    "SemanticTypeIri": "urn:effortless:pko-extension#FieldGrant",
    "Name": "principal-knowledge-authority -&gt; ChangeRequests.DecidedAt",
    "FieldTable": "ChangeRequests",
    "FieldName": "DecidedAt",
    "FieldIsDerived": false,
    "IsWritableDerivedField": false,
    "IsMasked": false,
    "GrantKeyWhenReadable": "principal-knowledge-authority|ChangeRequests"
   },
   {
    "FieldGrantId": "fg-knowledge-authority-ChangeRequests.ImpactAssessment",
    "Principal": "principal-knowledge-authority",
    "TargetField": "ChangeRequests.ImpactAssessment",
    "CanRead": true,
    "CanWrite": false,
    "MaskStrategy": "plain",
    "SemanticTypeIri": "urn:effortless:pko-extension#FieldGrant",
    "Name": "principal-knowledge-authority -&gt; ChangeRequests.ImpactAssessment",
    "FieldTable": "ChangeRequests",
    "FieldName": "ImpactAssessment",
    "FieldIsDerived": false,
    "IsWritableDerivedField": false,
    "IsMasked": false,
    "GrantKeyWhenReadable": "principal-knowledge-authority|ChangeRequests"
   },
   {
    "FieldGrantId": "fg-knowledge-authority-ChangeRequests.IsOpen",
    "Principal": "principal-knowledge-authority",
    "TargetField": "ChangeRequests.IsOpen",
    "CanRead": true,
    "CanWrite": false,
    "MaskStrategy": "plain",
    "SemanticTypeIri": "urn:effortless:pko-extension#FieldGrant",
    "Name": "principal-knowledge-authority -&gt; ChangeRequests.IsOpen",
    "FieldTable": "ChangeRequests",
    "FieldName": "IsOpen",
    "FieldIsDerived": true,
    "IsWritableDerivedField": false,
    "IsMasked": false,
    "GrantKeyWhenReadable": "principal-knowledge-authority|ChangeRequests"
   },
   {
    "FieldGrantId": "fg-knowledge-authority-ChangeRequests.OpenChangeVersionKey",
    "Principal": "principal-knowledge-authority",
    "TargetField": "ChangeRequests.OpenChangeVersionKey",
    "CanRead": true,
    "CanWrite": false,
    "MaskStrategy": "plain",
    "SemanticTypeIri": "urn:effortless:pko-extension#FieldGrant",
    "Name": "principal-knowledge-authority -&gt; ChangeRequests.OpenChangeVersionKey",
    "FieldTable": "ChangeRequests",
    "FieldName": "OpenChangeVersionKey",
    "FieldIsDerived": true,
    "IsWritableDerivedField": false,
    "IsMasked": false,
    "GrantKeyWhenReadable": "principal-knowledge-authority|ChangeRequests"
   },
   {
    "FieldGrantId": "fg-knowledge-authority-ChangeRequests.IsDecided",
    "Principal": "principal-knowledge-authority",
    "TargetField": "ChangeRequests.IsDecided",
    "CanRead": true,
    "CanWrite": false,
    "MaskStrategy": "plain",
    "SemanticTypeIri": "urn:effortless:pko-extension#FieldGrant",
    "Name": "principal-knowledge-authority -&gt; ChangeRequests.IsDecided",
    "FieldTable": "ChangeRequests",
    "FieldName": "IsDecided",
    "FieldIsDerived": true,
    "IsWritableDerivedField": false,
    "IsMasked": false,
    "GrantKeyWhenReadable": "principal-knowledge-authority|ChangeRequests"
   },
   {
    "FieldGrantId": "fg-knowledge-authority-ChangeRequests.EvaluationContext",
    "Principal": "principal-knowledge-authority",
    "TargetField": "ChangeRequests.EvaluationContext",
    "CanRead": true,
    "CanWrite": false,
    "MaskStrategy": "plain",
    "SemanticTypeIri": "urn:effortless:pko-extension#FieldGrant",
    "Name": "principal-knowledge-authority -&gt; ChangeRequests.EvaluationContext",
    "FieldTable": "ChangeRequests",
    "FieldName": "EvaluationContext",
    "FieldIsDerived": false,
    "IsWritableDerivedField": false,
    "IsMasked": false,
    "GrantKeyWhenReadable": "principal-knowledge-authority|ChangeRequests"
   },
   {
    "FieldGrantId": "fg-knowledge-authority-ChangeRequests.AsOfInstant",
    "Principal": "principal-knowledge-authority",
    "TargetField": "ChangeRequests.AsOfInstant",
    "CanRead": true,
    "CanWrite": false,
    "MaskStrategy": "plain",
    "SemanticTypeIri": "urn:effortless:pko-extension#FieldGrant",
    "Name": "principal-knowledge-authority -&gt; ChangeRequests.AsOfInstant",
    "FieldTable": "ChangeRequests",
    "FieldName": "AsOfInstant",
    "FieldIsDerived": true,
    "IsWritableDerivedField": false,
    "IsMasked": false,
    "GrantKeyWhenReadable": "principal-knowledge-authority|ChangeRequests"
   },
   {
    "FieldGrantId": "fg-knowledge-authority-ChangeRequests.DaysPending",
    "Principal": "principal-knowledge-authority",
    "TargetField": "ChangeRequests.DaysPending",
    "CanRead": true,
    "CanWrite": false,
    "MaskStrategy": "plain",
    "SemanticTypeIri": "urn:effortless:pko-extension#FieldGrant",
    "Name": "principal-knowledge-authority -&gt; ChangeRequests.DaysPending",
    "FieldTable": "ChangeRequests",
    "FieldName": "DaysPending",
    "FieldIsDerived": true,
    "IsWritableDerivedField": false,
    "IsMasked": false,
    "GrantKeyWhenReadable": "principal-knowledge-authority|ChangeRequests"
   },
   {
    "FieldGrantId": "fg-knowledge-authority-ChangeRequests.IsStillPending",
    "Principal": "principal-knowledge-authority",
    "TargetField": "ChangeRequests.IsStillPending",
    "CanRead": true,
    "CanWrite": false,
    "MaskStrategy": "plain",
    "SemanticTypeIri": "urn:effortless:pko-extension#FieldGrant",
    "Name": "principal-knowledge-authority -&gt; ChangeRequests.IsStillPending",
    "FieldTable": "ChangeRequests",
    "FieldName": "IsStillPending",
    "FieldIsDerived": true,
    "IsWritableDerivedField": false,
    "IsMasked": false,
    "GrantKeyWhenReadable": "principal-knowledge-authority|ChangeRequests"
   },
   {
    "FieldGrantId": "fg-knowledge-authority-ChangeRequests.IsStalled",
    "Principal": "principal-knowledge-authority",
    "TargetField": "ChangeRequests.IsStalled",
    "CanRead": true,
    "CanWrite": false,
    "MaskStrategy": "plain",
    "SemanticTypeIri": "urn:effortless:pko-extension#FieldGrant",
    "Name": "principal-knowledge-authority -&gt; ChangeRequests.IsStalled",
    "FieldTable": "ChangeRequests",
    "FieldName": "IsStalled",
    "FieldIsDerived": true,
    "IsWritableDerivedField": false,
    "IsMasked": false,
    "GrantKeyWhenReadable": "principal-knowledge-authority|ChangeRequests"
   },
   {
    "FieldGrantId": "fg-knowledge-authority-ChangeRequests.AuthorityAgent",
    "Principal": "principal-knowledge-authority",
    "TargetField": "ChangeRequests.AuthorityAgent",
    "CanRead": true,
    "CanWrite": false,
    "MaskStrategy": "plain",
    "SemanticTypeIri": "urn:effortless:pko-extension#FieldGrant",
    "Name": "principal-knowledge-authority -&gt; ChangeRequests.AuthorityAgent",
    "FieldTable": "ChangeRequests",
    "FieldName": "AuthorityAgent",
    "FieldIsDerived": true,
    "IsWritableDerivedField": false,
    "IsMasked": false,
    "GrantKeyWhenReadable": "principal-knowledge-authority|ChangeRequests"
   },
   {
    "FieldGrantId": "fg-knowledge-authority-ChangeRequests.RequesterIsAuthority",
    "Principal": "principal-knowledge-authority",
    "TargetField": "ChangeRequests.RequesterIsAuthority",
    "CanRead": true,
    "CanWrite": false,
    "MaskStrategy": "plain",
    "SemanticTypeIri": "urn:effortless:pko-extension#FieldGrant",
    "Name": "principal-knowledge-authority -&gt; ChangeRequests.RequesterIsAuthority",
    "FieldTable": "ChangeRequests",
    "FieldName": "RequesterIsAuthority",
    "FieldIsDerived": true,
    "IsWritableDerivedField": false,
    "IsMasked": false,
    "GrantKeyWhenReadable": "principal-knowledge-authority|ChangeRequests"
   },
   {
    "FieldGrantId": "fg-knowledge-authority-ChangeRequests.AwaitsAuthorityDecision",
    "Principal": "principal-knowledge-authority",
    "TargetField": "ChangeRequests.AwaitsAuthorityDecision",
    "CanRead": true,
    "CanWrite": false,
    "MaskStrategy": "plain",
    "SemanticTypeIri": "urn:effortless:pko-extension#FieldGrant",
    "Name": "principal-knowledge-authority -&gt; ChangeRequests.AwaitsAuthorityDecision",
    "FieldTable": "ChangeRequests",
    "FieldName": "AwaitsAuthorityDecision",
    "FieldIsDerived": true,
    "IsWritableDerivedField": false,
    "IsMasked": false,
    "GrantKeyWhenReadable": "principal-knowledge-authority|ChangeRequests"
   },
   {
    "FieldGrantId": "fg-knowledge-authority-ChangeRequests.AuthorityRoleLabel",
    "Principal": "principal-knowledge-authority",
    "TargetField": "ChangeRequests.AuthorityRoleLabel",
    "CanRead": true,
    "CanWrite": false,
    "MaskStrategy": "plain",
    "SemanticTypeIri": "urn:effortless:pko-extension#FieldGrant",
    "Name": "principal-knowledge-authority -&gt; ChangeRequests.AuthorityRoleLabel",
    "FieldTable": "ChangeRequests",
    "FieldName": "AuthorityRoleLabel",
    "FieldIsDerived": true,
    "IsWritableDerivedField": false,
    "IsMasked": false,
    "GrantKeyWhenReadable": "principal-knowledge-authority|ChangeRequests"
   },
   {
    "FieldGrantId": "fg-knowledge-authority-ChangeRequests.TouchesLiveVersion",
    "Principal": "principal-knowledge-authority",
    "TargetField": "ChangeRequests.TouchesLiveVersion",
    "CanRead": true,
    "CanWrite": false,
    "MaskStrategy": "plain",
    "SemanticTypeIri": "urn:effortless:pko-extension#FieldGrant",
    "Name": "principal-knowledge-authority -&gt; ChangeRequests.TouchesLiveVersion",
    "FieldTable": "ChangeRequests",
    "FieldName": "TouchesLiveVersion",
    "FieldIsDerived": true,
    "IsWritableDerivedField": false,
    "IsMasked": false,
    "GrantKeyWhenReadable": "principal-knowledge-authority|ChangeRequests"
   },
   {
    "FieldGrantId": "fg-knowledge-authority-ChangeRequests.IsLiveDecisionBacklog",
    "Principal": "principal-knowledge-authority",
    "TargetField": "ChangeRequests.IsLiveDecisionBacklog",
    "CanRead": true,
    "CanWrite": false,
    "MaskStrategy": "plain",
    "SemanticTypeIri": "urn:effortless:pko-extension#FieldGrant",
    "Name": "principal-knowledge-authority -&gt; ChangeRequests.IsLiveDecisionBacklog",
    "FieldTable": "ChangeRequests",
    "FieldName": "IsLiveDecisionBacklog",
    "FieldIsDerived": true,
    "IsWritableDerivedField": false,
    "IsMasked": false,
    "GrantKeyWhenReadable": "principal-knowledge-authority|ChangeRequests"
   },
   {
    "FieldGrantId": "fg-knowledge-authority-ChangeRequests.BlocksAnOpenGap",
    "Principal": "principal-knowledge-authority",
    "TargetField": "ChangeRequests.BlocksAnOpenGap",
    "CanRead": true,
    "CanWrite": false,
    "MaskStrategy": "plain",
    "SemanticTypeIri": "urn:effortless:pko-extension#FieldGrant",
    "Name": "principal-knowledge-authority -&gt; ChangeRequests.BlocksAnOpenGap",
    "FieldTable": "ChangeRequests",
    "FieldName": "BlocksAnOpenGap",
    "FieldIsDerived": true,
    "IsWritableDerivedField": false,
    "IsMasked": false,
    "GrantKeyWhenReadable": "principal-knowledge-authority|ChangeRequests"
   },
   {
    "FieldGrantId": "fg-knowledge-authority-ChangeRequests.ImplementedAt",
    "Principal": "principal-knowledge-authority",
    "TargetField": "ChangeRequests.ImplementedAt",
    "CanRead": true,
    "CanWrite": false,
    "MaskStrategy": "plain",
    "SemanticTypeIri": "urn:effortless:pko-extension#FieldGrant",
    "Name": "principal-knowledge-authority -&gt; ChangeRequests.ImplementedAt",
    "FieldTable": "ChangeRequests",
    "FieldName": "ImplementedAt",
    "FieldIsDerived": false,
    "IsWritableDerivedField": false,
    "IsMasked": false,
    "GrantKeyWhenReadable": "principal-knowledge-authority|ChangeRequests"
   },
   {
    "FieldGrantId": "fg-knowledge-authority-ChangeRequests.BacklogVersionKey",
    "Principal": "principal-knowledge-authority",
    "TargetField": "ChangeRequests.BacklogVersionKey",
    "CanRead": true,
    "CanWrite": false,
    "MaskStrategy": "plain",
    "SemanticTypeIri": "urn:effortless:pko-extension#FieldGrant",
    "Name": "principal-knowledge-authority -&gt; ChangeRequests.BacklogVersionKey",
    "FieldTable": "ChangeRequests",
    "FieldName": "BacklogVersionKey",
    "FieldIsDerived": true,
    "IsWritableDerivedField": false,
    "IsMasked": false,
    "GrantKeyWhenReadable": "principal-knowledge-authority|ChangeRequests"
   },
   {
    "FieldGrantId": "fg-knowledge-authority-ChangeRequests.IsMyPendingDecision",
    "Principal": "principal-knowledge-authority",
    "TargetField": "ChangeRequests.IsMyPendingDecision",
    "CanRead": true,
    "CanWrite": false,
    "MaskStrategy": "plain",
    "SemanticTypeIri": "urn:effortless:pko-extension#FieldGrant",
    "Name": "principal-knowledge-authority -&gt; ChangeRequests.IsMyPendingDecision",
    "FieldTable": "ChangeRequests",
    "FieldName": "IsMyPendingDecision",
    "FieldIsDerived": true,
    "IsWritableDerivedField": false,
    "IsMasked": false,
    "GrantKeyWhenReadable": "principal-knowledge-authority|ChangeRequests"
   },
   {
    "FieldGrantId": "fg-knowledge-authority-ChangeRequests.IsMyBlockingBacklog",
    "Principal": "principal-knowledge-authority",
    "TargetField": "ChangeRequests.IsMyBlockingBacklog",
    "CanRead": true,
    "CanWrite": false,
    "MaskStrategy": "plain",
    "SemanticTypeIri": "urn:effortless:pko-extension#FieldGrant",
    "Name": "principal-knowledge-authority -&gt; ChangeRequests.IsMyBlockingBacklog",
    "FieldTable": "ChangeRequests",
    "FieldName": "IsMyBlockingBacklog",
    "FieldIsDerived": true,
    "IsWritableDerivedField": false,
    "IsMasked": false,
    "GrantKeyWhenReadable": "principal-knowledge-authority|ChangeRequests"
   },
   {
    "FieldGrantId": "fg-knowledge-authority-ChangeRequests.IsMyOverdueBacklog",
    "Principal": "principal-knowledge-authority",
    "TargetField": "ChangeRequests.IsMyOverdueBacklog",
    "CanRead": true,
    "CanWrite": false,
    "MaskStrategy": "plain",
    "SemanticTypeIri": "urn:effortless:pko-extension#FieldGrant",
    "Name": "principal-knowledge-authority -&gt; ChangeRequests.IsMyOverdueBacklog",
    "FieldTable": "ChangeRequests",
    "FieldName": "IsMyOverdueBacklog",
    "FieldIsDerived": true,
    "IsWritableDerivedField": false,
    "IsMasked": false,
    "GrantKeyWhenReadable": "principal-knowledge-authority|ChangeRequests"
   },
   {
    "FieldGrantId": "fg-knowledge-authority-ChangeRequests.IsImplemented",
    "Principal": "principal-knowledge-authority",
    "TargetField": "ChangeRequests.IsImplemented",
    "CanRead": true,
    "CanWrite": false,
    "MaskStrategy": "plain",
    "SemanticTypeIri": "urn:effortless:pko-extension#FieldGrant",
    "Name": "principal-knowledge-authority -&gt; ChangeRequests.IsImplemented",
    "FieldTable": "ChangeRequests",
    "FieldName": "IsImplemented",
    "FieldIsDerived": true,
    "IsWritableDerivedField": false,
    "IsMasked": false,
    "GrantKeyWhenReadable": "principal-knowledge-authority|ChangeRequests"
   },
   {
    "FieldGrantId": "fg-knowledge-authority-ChangeRequests.IsMyDecidedRequest",
    "Principal": "principal-knowledge-authority",
    "TargetField": "ChangeRequests.IsMyDecidedRequest",
    "CanRead": true,
    "CanWrite": false,
    "MaskStrategy": "plain",
    "SemanticTypeIri": "urn:effortless:pko-extension#FieldGrant",
    "Name": "principal-knowledge-authority -&gt; ChangeRequests.IsMyDecidedRequest",
    "FieldTable": "ChangeRequests",
    "FieldName": "IsMyDecidedRequest",
    "FieldIsDerived": true,
    "IsWritableDerivedField": false,
    "IsMasked": false,
    "GrantKeyWhenReadable": "principal-knowledge-authority|ChangeRequests"
   },
   {
    "FieldGrantId": "fg-knowledge-authority-ChangeRequests.IsMyDecidedButUnlanded",
    "Principal": "principal-knowledge-authority",
    "TargetField": "ChangeRequests.IsMyDecidedButUnlanded",
    "CanRead": true,
    "CanWrite": false,
    "MaskStrategy": "plain",
    "SemanticTypeIri": "urn:effortless:pko-extension#FieldGrant",
    "Name": "principal-knowledge-authority -&gt; ChangeRequests.IsMyDecidedButUnlanded",
    "FieldTable": "ChangeRequests",
    "FieldName": "IsMyDecidedButUnlanded",
    "FieldIsDerived": true,
    "IsWritableDerivedField": false,
    "IsMasked": false,
    "GrantKeyWhenReadable": "principal-knowledge-authority|ChangeRequests"
   },
   {
    "FieldGrantId": "fg-knowledge-authority-ChangeRequests.DecisionLatencyDays",
    "Principal": "principal-knowledge-authority",
    "TargetField": "ChangeRequests.DecisionLatencyDays",
    "CanRead": true,
    "CanWrite": false,
    "MaskStrategy": "plain",
    "SemanticTypeIri": "urn:effortless:pko-extension#FieldGrant",
    "Name": "principal-knowledge-authority -&gt; ChangeRequests.DecisionLatencyDays",
    "FieldTable": "ChangeRequests",
    "FieldName": "DecisionLatencyDays",
    "FieldIsDerived": true,
    "</t>
  </si>
  <si>
    <t xml:space="preserve">IsWritableDerivedField": false,
    "IsMasked": false,
    "GrantKeyWhenReadable": "principal-knowledge-authority|ChangeRequests"
   },
   {
    "FieldGrantId": "fg-knowledge-authority-ChangeRequests.ImplementationLatencyDays",
    "Principal": "principal-knowledge-authority",
    "TargetField": "ChangeRequests.ImplementationLatencyDays",
    "CanRead": true,
    "CanWrite": false,
    "MaskStrategy": "plain",
    "SemanticTypeIri": "urn:effortless:pko-extension#FieldGrant",
    "Name": "principal-knowledge-authority -&gt; ChangeRequests.ImplementationLatencyDays",
    "FieldTable": "ChangeRequests",
    "FieldName": "ImplementationLatencyDays",
    "FieldIsDerived": true,
    "IsWritableDerivedField": false,
    "IsMasked": false,
    "GrantKeyWhenReadable": "principal-knowledge-authority|ChangeRequests"
   },
   {
    "FieldGrantId": "fg-knowledge-authority-ChangeRequests.DelayIsDownstreamOfMe",
    "Principal": "principal-knowledge-authority",
    "TargetField": "ChangeRequests.DelayIsDownstreamOfMe",
    "CanRead": true,
    "CanWrite": false,
    "MaskStrategy": "plain",
    "SemanticTypeIri": "urn:effortless:pko-extension#FieldGrant",
    "Name": "principal-knowledge-authority -&gt; ChangeRequests.DelayIsDownstreamOfMe",
    "FieldTable": "ChangeRequests",
    "FieldName": "DelayIsDownstreamOfMe",
    "FieldIsDerived": true,
    "IsWritableDerivedField": false,
    "IsMasked": false,
    "GrantKeyWhenReadable": "principal-knowledge-authority|ChangeRequests"
   },
   {
    "FieldGrantId": "fg-knowledge-authority-ChangeRequests.UnlandedVersionKey",
    "Principal": "principal-knowledge-authority",
    "TargetField": "ChangeRequests.UnlandedVersionKey",
    "CanRead": true,
    "CanWrite": false,
    "MaskStrategy": "plain",
    "SemanticTypeIri": "urn:effortless:pko-extension#FieldGrant",
    "Name": "principal-knowledge-authority -&gt; ChangeRequests.UnlandedVersionKey",
    "FieldTable": "ChangeRequests",
    "FieldName": "UnlandedVersionKey",
    "FieldIsDerived": true,
    "IsWritableDerivedField": false,
    "IsMasked": false,
    "GrantKeyWhenReadable": "principal-knowledge-authority|ChangeRequests"
   },
   {
    "FieldGrantId": "fg-knowledge-authority-ChangeRequests.IsApprovedNotImplemented",
    "Principal": "principal-knowledge-authority",
    "TargetField": "ChangeRequests.IsApprovedNotImplemented",
    "CanRead": true,
    "CanWrite": false,
    "MaskStrategy": "plain",
    "SemanticTypeIri": "urn:effortless:pko-extension#FieldGrant",
    "Name": "principal-knowledge-authority -&gt; ChangeRequests.IsApprovedNotImplemented",
    "FieldTable": "ChangeRequests",
    "FieldName": "IsApprovedNotImplemented",
    "FieldIsDerived": true,
    "IsWritableDerivedField": false,
    "IsMasked": false,
    "GrantKeyWhenReadable": "principal-knowledge-authority|ChangeRequests"
   },
   {
    "FieldGrantId": "fg-knowledge-authority-ChangeRequests.DaysSinceApproval",
    "Principal": "principal-knowledge-authority",
    "TargetField": "ChangeRequests.DaysSinceApproval",
    "CanRead": true,
    "CanWrite": false,
    "MaskStrategy": "plain",
    "SemanticTypeIri": "urn:effortless:pko-extension#FieldGrant",
    "Name": "principal-knowledge-authority -&gt; ChangeRequests.DaysSinceApproval",
    "FieldTable": "ChangeRequests",
    "FieldName": "DaysSinceApproval",
    "FieldIsDerived": true,
    "IsWritableDerivedField": false,
    "IsMasked": false,
    "GrantKeyWhenReadable": "principal-knowledge-authority|ChangeRequests"
   },
   {
    "FieldGrantId": "fg-knowledge-authority-ChangeRequests.IsStalledImplementation",
    "Principal": "principal-knowledge-authority",
    "TargetField": "ChangeRequests.IsStalledImplementation",
    "CanRead": true,
    "CanWrite": false,
    "MaskStrategy": "plain",
    "SemanticTypeIri": "urn:effortless:pko-extension#FieldGrant",
    "Name": "principal-knowledge-authority -&gt; ChangeRequests.IsStalledImplementation",
    "FieldTable": "ChangeRequests",
    "FieldName": "IsStalledImplementation",
    "FieldIsDerived": true,
    "IsWritableDerivedField": false,
    "IsMasked": false,
    "GrantKeyWhenReadable": "principal-knowledge-authority|ChangeRequests"
   },
   {
    "FieldGrantId": "fg-knowledge-authority-ChangeRequests.StalledImplementationVersionKey",
    "Principal": "principal-knowledge-authority",
    "TargetField": "ChangeRequests.StalledImplementationVersionKey",
    "CanRead": true,
    "CanWrite": false,
    "MaskStrategy": "plain",
    "SemanticTypeIri": "urn:effortless:pko-extension#FieldGrant",
    "Name": "principal-knowledge-authority -&gt; ChangeRequests.StalledImplementationVersionKey",
    "FieldTable": "ChangeRequests",
    "FieldName": "StalledImplementationVersionKey",
    "FieldIsDerived": true,
    "IsWritableDerivedField": false,
    "IsMasked": false,
    "GrantKeyWhenReadable": "principal-knowledge-authority|ChangeRequests"
   },
   {
    "FieldGrantId": "fg-knowledge-authority-ChangeRequests.ApprovedVersionKey",
    "Principal": "principal-knowledge-authority",
    "TargetField": "ChangeRequests.ApprovedVersionKey",
    "CanRead": true,
    "CanWrite": false,
    "MaskStrategy": "plain",
    "SemanticTypeIri": "urn:effortless:pko-extension#FieldGrant",
    "Name": "principal-knowledge-authority -&gt; ChangeRequests.ApprovedVersionKey",
    "FieldTable": "ChangeRequests",
    "FieldName": "ApprovedVersionKey",
    "FieldIsDerived": true,
    "IsWritableDerivedField": false,
    "IsMasked": false,
    "GrantKeyWhenReadable": "principal-knowledge-authority|ChangeRequests"
   },
   {
    "FieldGrantId": "fg-knowledge-authority-ChangeRequests.IsApprovedDecision",
    "Principal": "principal-knowledge-authority",
    "TargetField": "ChangeRequests.IsApprovedDecision",
    "CanRead": true,
    "CanWrite": false,
    "MaskStrategy": "plain",
    "SemanticTypeIri": "urn:effortless:pko-extension#FieldGrant",
    "Name": "principal-knowledge-authority -&gt; ChangeRequests.IsApprovedDecision",
    "FieldTable": "ChangeRequests",
    "FieldName": "IsApprovedDecision",
    "FieldIsDerived": true,
    "IsWritableDerivedField": false,
    "IsMasked": false,
    "GrantKeyWhenReadable": "principal-knowledge-authority|ChangeRequests"
   },
   {
    "FieldGrantId": "fg-knowledge-authority-ChangeRequests.SemanticTypeIri",
    "Principal": "principal-knowledge-authority",
    "TargetField": "ChangeRequests.SemanticTypeIri",
    "CanRead": true,
    "CanWrite": false,
    "MaskStrategy": "plain",
    "SemanticTypeIri": "urn:effortless:pko-extension#FieldGrant",
    "Name": "principal-knowledge-authority -&gt; ChangeRequests.SemanticTypeIri",
    "FieldTable": "ChangeRequests",
    "FieldName": "SemanticTypeIri",
    "FieldIsDerived": false,
    "IsWritableDerivedField": false,
    "IsMasked": false,
    "GrantKeyWhenReadable": "principal-knowledge-authority|ChangeRequests"
   },
   {
    "FieldGrantId": "fg-knowledge-authority-CommunicationPolicies.CommunicationPolicyId",
    "Principal": "principal-knowledge-authority",
    "TargetField": "CommunicationPolicies.CommunicationPolicyId",
    "CanRead": true,
    "CanWrite": false,
    "MaskStrategy": "plain",
    "SemanticTypeIri": "urn:effortless:pko-extension#FieldGrant",
    "Name": "principal-knowledge-authority -&gt; CommunicationPolicies.CommunicationPolicyId",
    "FieldTable": "CommunicationPolicies",
    "FieldName": "CommunicationPolicyId",
    "FieldIsDerived": false,
    "IsWritableDerivedField": false,
    "IsMasked": false,
    "GrantKeyWhenReadable": "principal-knowledge-authority|CommunicationPolicies"
   },
   {
    "FieldGrantId": "fg-knowledge-authority-CommunicationPolicies.Name",
    "Principal": "principal-knowledge-authority",
    "TargetField": "CommunicationPolicies.Name",
    "CanRead": true,
    "CanWrite": false,
    "MaskStrategy": "plain",
    "SemanticTypeIri": "urn:effortless:pko-extension#FieldGrant",
    "Name": "principal-knowledge-authority -&gt; CommunicationPolicies.Name",
    "FieldTable": "CommunicationPolicies",
    "FieldName": "Name",
    "FieldIsDerived": true,
    "IsWritableDerivedField": false,
    "IsMasked": false,
    "GrantKeyWhenReadable": "principal-knowledge-authority|CommunicationPolicies"
   },
   {
    "FieldGrantId": "fg-knowledge-authority-CommunicationPolicies.ProcedureVersion",
    "Principal": "principal-knowledge-authority",
    "TargetField": "CommunicationPolicies.ProcedureVersion",
    "CanRead": true,
    "CanWrite": false,
    "MaskStrategy": "plain",
    "SemanticTypeIri": "urn:effortless:pko-extension#FieldGrant",
    "Name": "principal-knowledge-authority -&gt; CommunicationPolicies.ProcedureVersion",
    "FieldTable": "CommunicationPolicies",
    "FieldName": "ProcedureVersion",
    "FieldIsDerived": false,
    "IsWritableDerivedField": false,
    "IsMasked": false,
    "GrantKeyWhenReadable": "principal-knowledge-authority|CommunicationPolicies"
   },
   {
    "FieldGrantId": "fg-knowledge-authority-CommunicationPolicies.Channel",
    "Principal": "principal-knowledge-authority",
    "TargetField": "CommunicationPolicies.Channel",
    "CanRead": true,
    "CanWrite": false,
    "MaskStrategy": "plain",
    "SemanticTypeIri": "urn:effortless:pko-extension#FieldGrant",
    "Name": "principal-knowledge-authority -&gt; CommunicationPolicies.Channel",
    "FieldTable": "CommunicationPolicies",
    "FieldName": "Channel",
    "FieldIsDerived": false,
    "IsWritableDerivedField": false,
    "IsMasked": false,
    "GrantKeyWhenReadable": "principal-knowledge-authority|CommunicationPolicies"
   },
   {
    "FieldGrantId": "fg-knowledge-authority-CommunicationPolicies.AudienceRule",
    "Principal": "principal-knowledge-authority",
    "TargetField": "CommunicationPolicies.AudienceRule",
    "CanRead": true,
    "CanWrite": false,
    "MaskStrategy": "plain",
    "SemanticTypeIri": "urn:effortless:pko-extension#FieldGrant",
    "Name": "principal-knowledge-authority -&gt; CommunicationPolicies.AudienceRule",
    "FieldTable": "CommunicationPolicies",
    "FieldName": "AudienceRule",
    "FieldIsDerived": false,
    "IsWritableDerivedField": false,
    "IsMasked": false,
    "GrantKeyWhenReadable": "principal-knowledge-authority|CommunicationPolicies"
   },
   {
    "FieldGrantId": "fg-knowledge-authority-CommunicationPolicies.ConsentRequired",
    "Principal": "principal-knowledge-authority",
    "TargetField": "CommunicationPolicies.ConsentRequired",
    "CanRead": true,
    "CanWrite": false,
    "MaskStrategy": "plain",
    "SemanticTypeIri": "urn:effortless:pko-extension#FieldGrant",
    "Name": "principal-knowledge-authority -&gt; CommunicationPolicies.ConsentRequired",
    "FieldTable": "CommunicationPolicies",
    "FieldName": "ConsentRequired",
    "FieldIsDerived": false,
    "IsWritableDerivedField": false,
    "IsMasked": false,
    "GrantKeyWhenReadable": "principal-knowledge-authority|CommunicationPolicies"
   },
   {
    "FieldGrantId": "fg-knowledge-authority-CommunicationPolicies.QuietHoursStart",
    "Principal": "principal-knowledge-authority",
    "TargetField": "CommunicationPolicies.QuietHoursStart",
    "CanRead": true,
    "CanWrite": false,
    "MaskStrategy": "plain",
    "SemanticTypeIri": "urn:effortless:pko-extension#FieldGrant",
    "Name": "principal-knowledge-authority -&gt; CommunicationPolicies.QuietHoursStart",
    "FieldTable": "CommunicationPolicies",
    "FieldName": "QuietHoursStart",
    "FieldIsDerived": false,
    "IsWritableDerivedField": false,
    "IsMasked": false,
    "GrantKeyWhenReadable": "principal-knowledge-authority|CommunicationPolicies"
   },
   {
    "FieldGrantId": "fg-knowledge-authority-CommunicationPolicies.QuietHoursEnd",
    "Principal": "principal-knowledge-authority",
    "TargetField": "CommunicationPolicies.QuietHoursEnd",
    "CanRead": true,
    "CanWrite": false,
    "MaskStrategy": "plain",
    "SemanticTypeIri": "urn:effortless:pko-extension#FieldGrant",
    "Name": "principal-knowledge-authority -&gt; CommunicationPolicies.QuietHoursEnd",
    "FieldTable": "CommunicationPolicies",
    "FieldName": "QuietHoursEnd",
    "FieldIsDerived": false,
    "IsWritableDerivedField": false,
    "IsMasked": false,
    "GrantKeyWhenReadable": "principal-knowledge-authority|CommunicationPolicies"
   },
   {
    "FieldGrantId": "fg-knowledge-authority-CommunicationPolicies.MaxMessageLength",
    "Principal": "principal-knowledge-authority",
    "TargetField": "CommunicationPolicies.MaxMessageLength",
    "CanRead": true,
    "CanWrite": false,
    "MaskStrategy": "plain",
    "SemanticTypeIri": "urn:effortless:pko-extension#FieldGrant",
    "Name": "principal-knowledge-authority -&gt; CommunicationPolicies.MaxMessageLength",
    "FieldTable": "CommunicationPolicies",
    "FieldName": "MaxMessageLength",
    "FieldIsDerived": false,
    "IsWritableDerivedField": false,
    "IsMasked": false,
    "GrantKeyWhenReadable": "principal-knowledge-authority|CommunicationPolicies"
   },
   {
    "FieldGrantId": "fg-knowledge-authority-CommunicationPolicies.MaxSegments",
    "Principal": "principal-knowledge-authority",
    "TargetField": "CommunicationPolicies.MaxSegments",
    "CanRead": true,
    "CanWrite": false,
    "MaskStrategy": "plain",
    "SemanticTypeIri": "urn:effortless:pko-extension#FieldGrant",
    "Name": "principal-knowledge-authority -&gt; CommunicationPolicies.MaxSegments",
    "FieldTable": "CommunicationPolicies",
    "FieldName": "MaxSegments",
    "FieldIsDerived": false,
    "IsWritableDerivedField": false,
    "IsMasked": false,
    "GrantKeyWhenReadable": "principal-knowledge-authority|CommunicationPolicies"
   },
   {
    "FieldGrantId": "fg-knowledge-authority-CommunicationPolicies.RetentionDays",
    "Principal": "principal-knowledge-authority",
    "TargetField": "CommunicationPolicies.RetentionDays",
    "CanRead": true,
    "CanWrite": false,
    "MaskStrategy": "plain",
    "SemanticTypeIri": "urn:effortless:pko-extension#FieldGrant",
    "Name": "principal-knowledge-authority -&gt; CommunicationPolicies.RetentionDays",
    "FieldTable": "CommunicationPolicies",
    "FieldName": "RetentionDays",
    "FieldIsDerived": false,
    "IsWritableDerivedField": false,
    "IsMasked": false,
    "GrantKeyWhenReadable": "principal-knowledge-authority|CommunicationPolicies"
   },
   {
    "FieldGrantId": "fg-knowledge-authority-CommunicationPolicies.ApprovalRole",
    "Principal": "principal-knowledge-authority",
    "TargetField": "CommunicationPolicies.ApprovalRole",
    "CanRead": true,
    "CanWrite": false,
    "MaskStrategy": "plain",
    "SemanticTypeIri": "urn:effortless:pko-extension#FieldGrant",
    "Name": "principal-knowledge-authority -&gt; CommunicationPolicies.ApprovalRole",
    "FieldTable": "CommunicationPolicies",
    "FieldName": "ApprovalRole",
    "FieldIsDerived": false,
    "IsWritableDerivedField": false,
    "IsMasked": false,
    "GrantKeyWhenReadable": "principal-knowledge-authority|CommunicationPolicies"
   },
   {
    "FieldGrantId": "fg-knowledge-authority-CommunicationPolicies.RequiredContent",
    "Principal": "principal-knowledge-authority",
    "TargetField": "CommunicationPolicies.RequiredContent",
    "CanRead": true,
    "CanWrite": false,
    "MaskStrategy": "plain",
    "SemanticTypeIri": "urn:effortless:pko-extension#FieldGrant",
    "Name": "principal-knowledge-authority -&gt; CommunicationPolicies.RequiredContent",
    "FieldTable": "CommunicationPolicies",
    "FieldName": "RequiredContent",
    "FieldIsDerived": false,
    "IsWritableDerivedField": false,
    "IsMasked": false,
    "GrantKeyWhenReadable": "principal-knowledge-authority|CommunicationPolicies"
   },
   {
    "FieldGrantId": "fg-knowledge-authority-CommunicationPolicies.AuthorityStatement",
    "Principal": "principal-knowledge-authority",
    "TargetField": "CommunicationPolicies.AuthorityStatement",
    "CanRead": true,
    "CanWrite": false,
    "MaskStrategy": "plain",
    "SemanticTypeIri": "urn:effortless:pko-extension#FieldGrant",
    "Name": "principal-knowledge-authority -&gt; CommunicationPolicies.AuthorityStatement",
    "FieldTable": "CommunicationPolicies",
    "FieldName": "AuthorityStatement",
    "FieldIsDerived": false,
    "IsWritableDerivedField": false,
    "IsMasked": false,
    "GrantKeyWhenReadable": "principal-knowledge-authority|CommunicationPolicies"
   },
   {
    "FieldGrantId": "fg-knowledge-authority-CommunicationPolicies.Status",
    "Principal": "principal-knowledge-authority",
    "TargetField": "CommunicationPolicies.Status",
    "CanRead": true,
    "CanWrite": false,
    "MaskStrategy": "plain",
    "SemanticTypeIri": "urn:effortless:pko-extension#FieldGrant",
    "Name": "principal-knowledge-authority -&gt; CommunicationPolicies.Status",
    "FieldTable": "CommunicationPolicies",
    "FieldName": "Status",
    "FieldIsDerived": false,
    "IsWritableDerivedField": false,
    "IsMasked": false,
    "GrantKeyWhenReadable": "principal-knowledge-authority|CommunicationPolicies"
   },
   {
    "FieldGrantId": "fg-knowledge-authority-CommunicationPolicies.ConsentViolationCount",
    "Principal": "principal-knowledge-authority",
    "TargetField": "CommunicationPolicies.ConsentViolationCount",
    "CanRead": true,
    "CanWrite": false,
    "MaskStrategy": "plain",
    "SemanticTypeIri": "urn:effortless:pko-extension#FieldGrant",
    "Name": "principal-knowledge-authority -&gt; CommunicationPolicies.ConsentViolationCount",
    "FieldTable": "CommunicationPolicies",
    "FieldName": "ConsentViolationCount",
    "FieldIsDerived": true,
    "IsWritableDerivedField": false,
    "IsMasked": false,
    "GrantKeyWhenReadable": "principal-knowledge-authority|CommunicationPolicies"
   },
   {
    "FieldGrantId": "fg-knowledge-authority-CommunicationPolicies.QuietHoursStartHour",
    "Principal": "principal-knowledge-authority",
    "TargetField": "CommunicationPolicies.QuietHoursStartHour",
    "CanRead": true,
    "CanWrite": false,
    "MaskStrategy": "plain",
    "SemanticTypeIri": "urn:effortless:pko-extension#FieldGrant",
    "Name": "principal-knowledge-authority -&gt; CommunicationPolicies.QuietHoursStartHour",
    "FieldTable": "CommunicationPolicies",
    "FieldName": "QuietHoursStartHour",
    "FieldIsDerived": false,
    "IsWritableDerivedField": false,
    "IsMasked": false,
    "GrantKeyWhenReadable": "principal-knowledge-authority|CommunicationPolicies"
   },
   {
    "FieldGrantId": "fg-knowledge-authority-CommunicationPolicies.QuietHoursEndHour",
    "Principal": "principal-knowledge-authority",
    "TargetField": "CommunicationPolicies.QuietHoursEndHour",
    "CanRead": true,
    "CanWrite": false,
    "MaskStrategy": "plain",
    "SemanticTypeIri": "urn:effortless:pko-extension#FieldGrant",
    "Name": "principal-knowledge-authority -&gt; CommunicationPolicies.QuietHoursEndHour",
    "FieldTable": "CommunicationPolicies",
    "FieldName": "QuietHoursEndHour",
    "FieldIsDerived": false,
    "IsWritableDerivedField": false,
    "IsMasked": false,
    "GrantKeyWhenReadable": "principal-knowledge-authority|CommunicationPolicies"
   },
   {
    "FieldGrantId": "fg-knowledge-authority-CommunicationPolicies.QuietHoursViolationCount",
    "Principal": "principal-knowledge-authority",
    "TargetField": "CommunicationPolicies.QuietHoursViolationCount",
    "CanRead": true,
    "CanWrite": false,
    "MaskStrategy": "plain",
    "SemanticTypeIri": "urn:effortless:pko-extension#FieldGrant",
    "Name": "principal-knowledge-authority -&gt; CommunicationPolicies.QuietHoursViolationCount",
    "FieldTable": "CommunicationPolicies",
    "FieldName": "QuietHoursViolationCount",
    "FieldIsDerived": true,
    "IsWritableDerivedField": false,
    "IsMasked": false,
    "GrantKeyWhenReadable": "principal-knowledge-authority|CommunicationPolicies"
   },
   {
    "FieldGrantId": "fg-knowledge-authority-CommunicationPolicies.RequiredOptOutPhrase",
    "Principal": "principal-knowledge-authority",
    "TargetField": "CommunicationPolicies.RequiredOptOutPhrase",
    "CanRead": true,
    "CanWrite": false,
    "MaskStrategy": "plain",
    "SemanticTypeIri": "urn:effortless:pko-extension#FieldGrant",
    "Name": "principal-knowledge-authority -&gt; CommunicationPolicies.RequiredOptOutPhrase",
    "FieldTable": "CommunicationPolicies",
    "FieldName": "RequiredOptOutPhrase",
    "FieldIsDerived": false,
    "IsWritableDerivedField": false,
    "IsMasked": false,
    "GrantKeyWhenReadable": "principal-knowledge-authority|CommunicationPolicies"
   },
   {
    "FieldGrantId": "fg-knowledge-authority-CommunicationPolicies.IsActivePolicy",
    "Principal": "principal-knowledge-authority",
    "TargetField": "CommunicationPolicies.IsActivePolicy",
    "CanRead": true,
    "CanWrite": false,
    "MaskStrategy": "plain",
    "SemanticTypeIri": "urn:effortless:pko-extension#FieldGrant",
    "Name": "principal-knowledge-authority -&gt; CommunicationPolicies.IsActivePolicy",
    "FieldTable": "CommunicationPolicies",
    "FieldName": "IsActivePolicy",
    "FieldIsDerived": true,
    "IsWritableDerivedField": false,
    "IsMasked": false,
    "GrantKeyWhenReadable": "principal-knowledge-authority|CommunicationPolicies"
   },
   {
    "FieldGrantId": "fg-knowledge-authority-CommunicationPolicies.SemanticTypeIri",
    "Principal": "principal-knowledge-authority",
    "TargetField": "CommunicationPolicies.SemanticTypeIri",
    "CanRead": true,
    "CanWrite": false,
    "MaskStrategy": "plain",
    "SemanticTypeIri": "urn:effortless:pko-extension#FieldGrant",
    "Name": "principal-knowledge-authority -&gt; CommunicationPolicies.SemanticTypeIri",
    "FieldTable": "CommunicationPolicies",
    "FieldName": "SemanticTypeIri",
    "FieldIsDerived": false,
    "IsWritableDerivedField": false,
    "IsMasked": false,
    "GrantKeyWhenReadable": "principal-knowledge-authority|CommunicationPolicies"
   },
   {
    "FieldGrantId": "fg-knowledge-authority-CommunitiesOfPractice.CommunityOfPracticeId",
    "Principal": "principal-knowledge-authority",
    "TargetField": "CommunitiesOfPractice.CommunityOfPracticeId",
    "CanRead": true,
    "CanWrite": false,
    "MaskStrategy": "plain",
    "SemanticTypeIri": "urn:effortless:pko-extension#FieldGrant",
    "Name": "principal-knowledge-authority -&gt; CommunitiesOfPractice.CommunityOfPracticeId",
    "FieldTable": "CommunitiesOfPractice",
    "FieldName": "CommunityOfPracticeId",
    "FieldIsDerived": false,
    "IsWritableDerivedField": false,
    "IsMasked": false,
    "GrantKeyWhenReadable": "principal-knowledge-authority|CommunitiesOfPractice"
   },
   {
    "FieldGrantId": "fg-knowledge-authority-CommunitiesOfPractice.Name",
    "Principal": "principal-knowledge-authority",
    "TargetField": "CommunitiesOfPractice.Name",
    "CanRead": true,
    "CanWrite": false,
    "MaskStrategy": "plain",
    "SemanticTypeIri": "urn:effortless:pko-extension#FieldGrant",
    "Name": "principal-knowledge-authority -&gt; CommunitiesOfPractice.Name",
    "FieldTable": "CommunitiesOfPractice",
    "FieldName": "Name",
    "FieldIsDerived": true,
    "IsWritableDerivedField": false,
    "IsMasked": false,
    "GrantKeyWhenReadable": "principal-knowledge-authority|CommunitiesOfPractice"
   },
   {
    "FieldGrantId": "fg-knowledge-authority-CommunitiesOfPractice.Label",
    "Principal": "principal-knowledge-authority",
    "TargetField": "CommunitiesOfPractice.Label",
    "CanRead": true,
    "CanWrite": false,
    "MaskStrategy": "plain",
    "SemanticTypeIri": "urn:effortless:pko-extension#FieldGrant",
    "Name": "principal-knowledge-authority -&gt; CommunitiesOfPractice.Label",
    "FieldTable": "CommunitiesOfPractice",
    "FieldName": "Label",
    "FieldIsDerived": false,
    "IsWritableDerivedField": false,
    "IsMasked": false,
    "GrantKeyWhenReadable": "principal-knowledge-authority|CommunitiesOfPractice"
   },
   {
    "FieldGrantId": "fg-knowledge-authority-CommunitiesOfPractice.Organization",
    "Principal": "principal-knowledge-authority",
    "TargetField": "CommunitiesOfPractice.Organization",
    "CanRead": true,
    "CanWrite": false,
    "MaskStrategy": "plain",
    "SemanticTypeIri": "urn:effortless:pko-extension#FieldGrant",
    "Name": "principal-knowledge-authority -&gt; CommunitiesOfPractice.Organization",
    "FieldTable": "CommunitiesOfPractice",
    "FieldName": "Organization",
    "FieldIsDerived": false,
    "IsWritableDerivedField": false,
    "IsMasked": false,
    "GrantKeyWhenReadable": "principal-knowledge-authority|CommunitiesOfPractice"
   },
   {
    "FieldGrantId": "fg-knowledge-authority-CommunitiesOfPractice.StewardRole",
    "Principal": "principal-knowledge-authority",
    "TargetField": "CommunitiesOfPractice.StewardRole",
    "CanRead": true,
    "CanWrite": false,
    "MaskStrategy": "plain",
    "SemanticTypeIri": "urn:effortless:pko-extension#FieldGrant",
    "Name": "principal-knowledge-authority -&gt; CommunitiesOfPractice.StewardRole",
    "FieldTable": "CommunitiesOfPractice",
    "FieldName": "StewardRole",
    "FieldIsDerived": false,
    "IsWritableDerivedField": false,
    "IsMasked": false,
    "GrantKeyWhenReadable": "principal-knowledge-authority|CommunitiesOfPractice"
   },
   {
    "FieldGrantId": "fg-knowledge-authority-CommunitiesOfPractice.Purpose",
    "Principal": "principal-knowledge-authority",
    "TargetField": "CommunitiesOfPractice.Purpose",
    "CanRead": true,
    "CanWrite": false,
    "MaskStrategy": "plain",
    "SemanticTypeIri": "urn:effortless:pko-extension#FieldGrant",
    "Name": "principal-knowledge-authority -&gt; CommunitiesOfPractice.Purpose",
    "FieldTable": "CommunitiesOfPractice",
    "FieldName": "Purpose",
    "FieldIsDerived": false,
    "IsWritableDerivedField": false,
    "IsMasked": false,
    "GrantKeyWhenReadable": "principal-knowledge-authority|CommunitiesOfPractice"
   },
   {
    "FieldGrantId": "fg-knowledge-authority-CommunitiesOfPractice.Cadence",
    "Principal": "principal-knowledge-authority",
    "TargetField": "CommunitiesOfPractice.Cadence",
    "CanRead": true,
    "CanWrite": false,
    "MaskStrategy": "plain",
    "SemanticTypeIri": "urn:effortless:pko-extension#FieldGrant",
    "Name": "principal-knowledge-authority -&gt; CommunitiesOfPractice.Cadence",
    "FieldTable": "CommunitiesOfPractice",
    "FieldName": "Cadence",
    "FieldIsDerived": false,
    "IsWritableDerivedField": false,
    "IsMasked": false,
    "GrantKeyWhenReadable": "principal-knowledge-authority|CommunitiesOfPractice"
   },
   {
    "FieldGrantId": "fg-knowledge-authority-CommunitiesOfPractice.SemanticTypeIri",
    "Principal": "principal-knowledge-authority",
    "TargetField": "CommunitiesOfPractice.SemanticTypeIri",
    "CanRead": true,
    "CanWrite": false,
    "MaskStrategy": "plain",
    "SemanticTypeIri": "urn:effortless:pko-extension#FieldGrant",
    "Name": "principal-knowledge-authority -&gt; CommunitiesOfPractice.SemanticTypeIri",
    "FieldTable": "CommunitiesOfPractice",
    "FieldName": "SemanticTypeIri",
    "FieldIsDerived": false,
    "IsWritableDerivedField": false,
    "IsMasked": false,
    "GrantKeyWhenReadable": "principal-knowledge-authority|CommunitiesOfPractice"
   },
   {
    "FieldGrantId": "fg-knowledge-authority-DeliveredCommunications.DeliveredCommunicationId",
    "Principal": "principal-knowledge-authority",
    "TargetField": "DeliveredCommunications.DeliveredCommunicationId",
    "CanRead": true,
    "CanWrite": false,
    "MaskStrategy": "plain",
    "SemanticTypeIri": "urn:effortless:pko-extension#FieldGrant",
    "Name": "principal-knowledge-authority -&gt; DeliveredCommunications.DeliveredCommunicationId",
    "FieldTable": "DeliveredCommunications",
    "FieldName": "DeliveredCommunicationId",
    "FieldIsDerived": false,
    "IsWritableDerivedField": false,
    "IsMasked": false,
    "GrantKeyWhenReadable": "principal-knowledge-authority|DeliveredCommunications"
   },
   {
    "FieldGrantId": "fg-knowledge-authority-DeliveredCommunications.Name",
    "Principal": "principal-knowledge-authority",
    "TargetField": "DeliveredCommunications.Name",
    "CanRead": true,
    "CanWrite": false,
    "MaskStrategy": "plain",
    "SemanticTypeIri": "urn:effortless:pko-extension#FieldGrant",
    "Name": "principal-knowledge-authority -&gt; DeliveredCommunications.Name",
    "FieldTable": "DeliveredCommunications",
    "FieldName": "Name",
    "FieldIsDerived": true,
    "IsWritableDerivedField": false,
    "IsMasked": false,
    "GrantKeyWhenReadable": "principal-knowledge-authority|DeliveredCommunications"
   },
   {
    "FieldGrantId": "fg-knowledge-authority-DeliveredCommunications.ProcedureExecution",
    "Principal": "principal-knowledge-authority",
    "TargetField": "DeliveredCommunications.ProcedureExecution",
    "CanRead": true,
    "CanWrite": false,
    "MaskStrategy": "plain",
    "SemanticTypeIri": "urn:effortless:pko-extension#FieldGrant",
    "Name": "principal-knowledge-authority -&gt; DeliveredCommunications.ProcedureExecution",
    "FieldTable": "DeliveredCommunications",
    "FieldName": "ProcedureExecution",
    "FieldIsDerived": false,
    "IsWritableDerivedField": false,
    "IsMasked": false,
    "GrantKeyWhenReadable": "principal-knowledge-authority|DeliveredCommunications"
   },
   {
    "FieldGrantId": "fg-knowledge-authority-DeliveredCommunications.SendingStepExecution",
    "Principal": "principal-knowledge-authority",
    "TargetField": "DeliveredCommunications.SendingStepExecution",
    "CanRead": true,
    "CanWrite": false,
    "MaskStrategy": "plain",
    "SemanticTypeIri": "urn:effortless:pko-extension#FieldGrant",
    "Name": "principal-knowledge-authority -&gt; DeliveredCommunications.SendingStepExecution",
    "FieldTable": "DeliveredCommunications",
    "FieldName": "SendingStepExecution",
    "FieldIsDerived": false,
    "IsWritableDerivedField": false,
    "IsMasked": false,
    "GrantKeyWhenReadable": "principal-knowledge-authority|DeliveredCommunications"
   },
   {
    "FieldGrantId": "fg-knowledge-authority-DeliveredCommunications.AuthorizingStepExecution",
    "Principal": "principal-knowledge-authority",
    "TargetField": "DeliveredCommunications.AuthorizingStepExecution",
    "CanRead": true,
    "CanWrite": false,
    "MaskStrategy": "plain",
    "SemanticTypeIri": "urn:effortless:pko-extension#FieldGrant",
    "Name": "principal-knowledge-authority -&gt; DeliveredCommunications.AuthorizingStepExecution",
    "FieldTable": "DeliveredCommunications",
    "FieldName": "AuthorizingStepExecution",
    "FieldIsDerived": false,
    "IsWritableDerivedField": false,
    "IsMasked": false,
    "GrantKeyWhenReadable": "principal-knowledge-authority|DeliveredCommunications"
   },
   {
    "FieldGrantId": "fg-knowledge-authority-DeliveredCommunications.MessageTemplate",
    "Principal": "principal-knowledge-authority",
    "TargetField": "DeliveredCommunications.MessageTemplate",
    "CanRead": true,
    "CanWrite": false,
    "MaskStrategy": "plain",
    "SemanticTypeIri": "urn:effortless:pko-extension#FieldGrant",
    "Name": "principal-knowledge-authority -&gt; DeliveredCommunications.MessageTemplate",
    "FieldTable": "DeliveredCommunications",
    "FieldName": "MessageTemplate",
    "FieldIsDerived": false,
    "IsWritableDerivedField": false,
    "IsMasked": false,
    "GrantKeyWhenReadable": "principal-knowledge-authority|DeliveredCommunications"
   },
   {
    "FieldGrantId": "fg-knowledge-authority-DeliveredCommunications.Channel",
    "Principal": "principal-knowledge-authority",
    "TargetField": "DeliveredCommunications.Channel",
    "CanRead": true,
    "CanWrite": false,
    "MaskStrategy": "plain",
    "SemanticTypeIri": "urn:effortless:pko-extension#FieldGrant",
    "Name": "principal-knowledge-authority -&gt; DeliveredCommunications.Channel",
    "FieldTable": "DeliveredCommunications",
    "FieldName": "Channel",
    "FieldIsDerived": false,
    "IsWritableDerivedField": false,
    "IsMasked": false,
    "GrantKeyWhenReadable": "principal-knowledge-authority|DeliveredCommunications"
   },
   {
    "FieldGrantId": "fg-knowledge-authority-DeliveredCommunications.RecipientKey",
    "Principal": "principal-knowledge-authority",
    "TargetField": "DeliveredCommunications.RecipientKey",
    "CanRead": true,
    "CanWrite": false,
    "MaskStrategy": "plain",
    "SemanticTypeIri": "urn:effortless:pko-extension#FieldGrant",
    "Name": "principal-knowledge-authority -&gt; DeliveredCommunications.RecipientKey",
    "FieldTable": "DeliveredCommunications",
    "FieldName": "RecipientKey",
    "FieldIsDerived": false,
    "IsWritableDerivedField": false,
    "IsMasked": false,
    "GrantKeyWhenReadable": "principal-knowledge-authority|DeliveredCommunications"
   },
   {
    "FieldGrantId": "fg-knowledge-authority-DeliveredCommunications.SentAt",
    "Principal": "principal-knowledge-authority",
    "TargetField": "DeliveredCommunications.SentAt",
    "CanRea</t>
  </si>
  <si>
    <t xml:space="preserve">d": true,
    "CanWrite": false,
    "MaskStrategy": "plain",
    "SemanticTypeIri": "urn:effortless:pko-extension#FieldGrant",
    "Name": "principal-knowledge-authority -&gt; DeliveredCommunications.SentAt",
    "FieldTable": "DeliveredCommunications",
    "FieldName": "SentAt",
    "FieldIsDerived": false,
    "IsWritableDerivedField": false,
    "IsMasked": false,
    "GrantKeyWhenReadable": "principal-knowledge-authority|DeliveredCommunications"
   },
   {
    "FieldGrantId": "fg-knowledge-authority-DeliveredCommunications.RenderedContentHash",
    "Principal": "principal-knowledge-authority",
    "TargetField": "DeliveredCommunications.RenderedContentHash",
    "CanRead": true,
    "CanWrite": false,
    "MaskStrategy": "plain",
    "SemanticTypeIri": "urn:effortless:pko-extension#FieldGrant",
    "Name": "principal-knowledge-authority -&gt; DeliveredCommunications.RenderedContentHash",
    "FieldTable": "DeliveredCommunications",
    "FieldName": "RenderedContentHash",
    "FieldIsDerived": false,
    "IsWritableDerivedField": false,
    "IsMasked": false,
    "GrantKeyWhenReadable": "principal-knowledge-authority|DeliveredCommunications"
   },
   {
    "FieldGrantId": "fg-knowledge-authority-DeliveredCommunications.ApprovedContentHash",
    "Principal": "principal-knowledge-authority",
    "TargetField": "DeliveredCommunications.ApprovedContentHash",
    "CanRead": true,
    "CanWrite": false,
    "MaskStrategy": "plain",
    "SemanticTypeIri": "urn:effortless:pko-extension#FieldGrant",
    "Name": "principal-knowledge-authority -&gt; DeliveredCommunications.ApprovedContentHash",
    "FieldTable": "DeliveredCommunications",
    "FieldName": "ApprovedContentHash",
    "FieldIsDerived": false,
    "IsWritableDerivedField": false,
    "IsMasked": false,
    "GrantKeyWhenReadable": "principal-knowledge-authority|DeliveredCommunications"
   },
   {
    "FieldGrantId": "fg-knowledge-authority-DeliveredCommunications.DeliveryStatus",
    "Principal": "principal-knowledge-authority",
    "TargetField": "DeliveredCommunications.DeliveryStatus",
    "CanRead": true,
    "CanWrite": false,
    "MaskStrategy": "plain",
    "SemanticTypeIri": "urn:effortless:pko-extension#FieldGrant",
    "Name": "principal-knowledge-authority -&gt; DeliveredCommunications.DeliveryStatus",
    "FieldTable": "DeliveredCommunications",
    "FieldName": "DeliveryStatus",
    "FieldIsDerived": false,
    "IsWritableDerivedField": false,
    "IsMasked": false,
    "GrantKeyWhenReadable": "principal-knowledge-authority|DeliveredCommunications"
   },
   {
    "FieldGrantId": "fg-knowledge-authority-DeliveredCommunications.SemanticTypeIri",
    "Principal": "principal-knowledge-authority",
    "TargetField": "DeliveredCommunications.SemanticTypeIri",
    "CanRead": true,
    "CanWrite": false,
    "MaskStrategy": "plain",
    "SemanticTypeIri": "urn:effortless:pko-extension#FieldGrant",
    "Name": "principal-knowledge-authority -&gt; DeliveredCommunications.SemanticTypeIri",
    "FieldTable": "DeliveredCommunications",
    "FieldName": "SemanticTypeIri",
    "FieldIsDerived": false,
    "IsWritableDerivedField": false,
    "IsMasked": false,
    "GrantKeyWhenReadable": "principal-knowledge-authority|DeliveredCommunications"
   },
   {
    "FieldGrantId": "fg-knowledge-authority-DeliveredCommunications.HasAuthorization",
    "Principal": "principal-knowledge-authority",
    "TargetField": "DeliveredCommunications.HasAuthorization",
    "CanRead": true,
    "CanWrite": false,
    "MaskStrategy": "plain",
    "SemanticTypeIri": "urn:effortless:pko-extension#FieldGrant",
    "Name": "principal-knowledge-authority -&gt; DeliveredCommunications.HasAuthorization",
    "FieldTable": "DeliveredCommunications",
    "FieldName": "HasAuthorization",
    "FieldIsDerived": true,
    "IsWritableDerivedField": false,
    "IsMasked": false,
    "GrantKeyWhenReadable": "principal-knowledge-authority|DeliveredCommunications"
   },
   {
    "FieldGrantId": "fg-knowledge-authority-DeliveredCommunications.ContentMatchesApproval",
    "Principal": "principal-knowledge-authority",
    "TargetField": "DeliveredCommunications.ContentMatchesApproval",
    "CanRead": true,
    "CanWrite": false,
    "MaskStrategy": "plain",
    "SemanticTypeIri": "urn:effortless:pko-extension#FieldGrant",
    "Name": "principal-knowledge-authority -&gt; DeliveredCommunications.ContentMatchesApproval",
    "FieldTable": "DeliveredCommunications",
    "FieldName": "ContentMatchesApproval",
    "FieldIsDerived": true,
    "IsWritableDerivedField": false,
    "IsMasked": false,
    "GrantKeyWhenReadable": "principal-knowledge-authority|DeliveredCommunications"
   },
   {
    "FieldGrantId": "fg-knowledge-authority-DeliveredCommunications.AuthorizedAt",
    "Principal": "principal-knowledge-authority",
    "TargetField": "DeliveredCommunications.AuthorizedAt",
    "CanRead": true,
    "CanWrite": false,
    "MaskStrategy": "plain",
    "SemanticTypeIri": "urn:effortless:pko-extension#FieldGrant",
    "Name": "principal-knowledge-authority -&gt; DeliveredCommunications.AuthorizedAt",
    "FieldTable": "DeliveredCommunications",
    "FieldName": "AuthorizedAt",
    "FieldIsDerived": true,
    "IsWritableDerivedField": false,
    "IsMasked": false,
    "GrantKeyWhenReadable": "principal-knowledge-authority|DeliveredCommunications"
   },
   {
    "FieldGrantId": "fg-knowledge-authority-DeliveredCommunications.WasApprovedBeforeSending",
    "Principal": "principal-knowledge-authority",
    "TargetField": "DeliveredCommunications.WasApprovedBeforeSending",
    "CanRead": true,
    "CanWrite": false,
    "MaskStrategy": "plain",
    "SemanticTypeIri": "urn:effortless:pko-extension#FieldGrant",
    "Name": "principal-knowledge-authority -&gt; DeliveredCommunications.WasApprovedBeforeSending",
    "FieldTable": "DeliveredCommunications",
    "FieldName": "WasApprovedBeforeSending",
    "FieldIsDerived": true,
    "IsWritableDerivedField": false,
    "IsMasked": false,
    "GrantKeyWhenReadable": "principal-knowledge-authority|DeliveredCommunications"
   },
   {
    "FieldGrantId": "fg-knowledge-authority-DeliveredCommunications.IsDefensible",
    "Principal": "principal-knowledge-authority",
    "TargetField": "DeliveredCommunications.IsDefensible",
    "CanRead": true,
    "CanWrite": false,
    "MaskStrategy": "plain",
    "SemanticTypeIri": "urn:effortless:pko-extension#FieldGrant",
    "Name": "principal-knowledge-authority -&gt; DeliveredCommunications.IsDefensible",
    "FieldTable": "DeliveredCommunications",
    "FieldName": "IsDefensible",
    "FieldIsDerived": true,
    "IsWritableDerivedField": false,
    "IsMasked": false,
    "GrantKeyWhenReadable": "principal-knowledge-authority|DeliveredCommunications"
   },
   {
    "FieldGrantId": "fg-knowledge-authority-ElicitationSessions.ElicitationSessionId",
    "Principal": "principal-knowledge-authority",
    "TargetField": "ElicitationSessions.ElicitationSessionId",
    "CanRead": true,
    "CanWrite": false,
    "MaskStrategy": "plain",
    "SemanticTypeIri": "urn:effortless:pko-extension#FieldGrant",
    "Name": "principal-knowledge-authority -&gt; ElicitationSessions.ElicitationSessionId",
    "FieldTable": "ElicitationSessions",
    "FieldName": "ElicitationSessionId",
    "FieldIsDerived": false,
    "IsWritableDerivedField": false,
    "IsMasked": false,
    "GrantKeyWhenReadable": "principal-knowledge-authority|ElicitationSessions"
   },
   {
    "FieldGrantId": "fg-knowledge-authority-ElicitationSessions.Name",
    "Principal": "principal-knowledge-authority",
    "TargetField": "ElicitationSessions.Name",
    "CanRead": true,
    "CanWrite": false,
    "MaskStrategy": "plain",
    "SemanticTypeIri": "urn:effortless:pko-extension#FieldGrant",
    "Name": "principal-knowledge-authority -&gt; ElicitationSessions.Name",
    "FieldTable": "ElicitationSessions",
    "FieldName": "Name",
    "FieldIsDerived": true,
    "IsWritableDerivedField": false,
    "IsMasked": false,
    "GrantKeyWhenReadable": "principal-knowledge-authority|ElicitationSessions"
   },
   {
    "FieldGrantId": "fg-knowledge-authority-ElicitationSessions.ProcedureVersion",
    "Principal": "principal-knowledge-authority",
    "TargetField": "ElicitationSessions.ProcedureVersion",
    "CanRead": true,
    "CanWrite": false,
    "MaskStrategy": "plain",
    "SemanticTypeIri": "urn:effortless:pko-extension#FieldGrant",
    "Name": "principal-knowledge-authority -&gt; ElicitationSessions.ProcedureVersion",
    "FieldTable": "ElicitationSessions",
    "FieldName": "ProcedureVersion",
    "FieldIsDerived": false,
    "IsWritableDerivedField": false,
    "IsMasked": false,
    "GrantKeyWhenReadable": "principal-knowledge-authority|ElicitationSessions"
   },
   {
    "FieldGrantId": "fg-knowledge-authority-ElicitationSessions.Method",
    "Principal": "principal-knowledge-authority",
    "TargetField": "ElicitationSessions.Method",
    "CanRead": true,
    "CanWrite": false,
    "MaskStrategy": "plain",
    "SemanticTypeIri": "urn:effortless:pko-extension#FieldGrant",
    "Name": "principal-knowledge-authority -&gt; ElicitationSessions.Method",
    "FieldTable": "ElicitationSessions",
    "FieldName": "Method",
    "FieldIsDerived": false,
    "IsWritableDerivedField": false,
    "IsMasked": false,
    "GrantKeyWhenReadable": "principal-knowledge-authority|ElicitationSessions"
   },
   {
    "FieldGrantId": "fg-knowledge-authority-ElicitationSessions.StartedAt",
    "Principal": "principal-knowledge-authority",
    "TargetField": "ElicitationSessions.StartedAt",
    "CanRead": true,
    "CanWrite": false,
    "MaskStrategy": "plain",
    "SemanticTypeIri": "urn:effortless:pko-extension#FieldGrant",
    "Name": "principal-knowledge-authority -&gt; ElicitationSessions.StartedAt",
    "FieldTable": "ElicitationSessions",
    "FieldName": "StartedAt",
    "FieldIsDerived": false,
    "IsWritableDerivedField": false,
    "IsMasked": false,
    "GrantKeyWhenReadable": "principal-knowledge-authority|ElicitationSessions"
   },
   {
    "FieldGrantId": "fg-knowledge-authority-ElicitationSessions.EndedAt",
    "Principal": "principal-knowledge-authority",
    "TargetField": "ElicitationSessions.EndedAt",
    "CanRead": true,
    "CanWrite": false,
    "MaskStrategy": "plain",
    "SemanticTypeIri": "urn:effortless:pko-extension#FieldGrant",
    "Name": "principal-knowledge-authority -&gt; ElicitationSessions.EndedAt",
    "FieldTable": "ElicitationSessions",
    "FieldName": "EndedAt",
    "FieldIsDerived": false,
    "IsWritableDerivedField": false,
    "IsMasked": false,
    "GrantKeyWhenReadable": "principal-knowledge-authority|ElicitationSessions"
   },
   {
    "FieldGrantId": "fg-knowledge-authority-ElicitationSessions.PractitionerAgent",
    "Principal": "principal-knowledge-authority",
    "TargetField": "ElicitationSessions.PractitionerAgent",
    "CanRead": true,
    "CanWrite": false,
    "MaskStrategy": "plain",
    "SemanticTypeIri": "urn:effortless:pko-extension#FieldGrant",
    "Name": "principal-knowledge-authority -&gt; ElicitationSessions.PractitionerAgent",
    "FieldTable": "ElicitationSessions",
    "FieldName": "PractitionerAgent",
    "FieldIsDerived": false,
    "IsWritableDerivedField": false,
    "IsMasked": false,
    "GrantKeyWhenReadable": "principal-knowledge-authority|ElicitationSessions"
   },
   {
    "FieldGrantId": "fg-knowledge-authority-ElicitationSessions.FacilitatorAgent",
    "Principal": "principal-knowledge-authority",
    "TargetField": "ElicitationSessions.FacilitatorAgent",
    "CanRead": true,
    "CanWrite": false,
    "MaskStrategy": "plain",
    "SemanticTypeIri": "urn:effortless:pko-extension#FieldGrant",
    "Name": "principal-knowledge-authority -&gt; ElicitationSessions.FacilitatorAgent",
    "FieldTable": "ElicitationSessions",
    "FieldName": "FacilitatorAgent",
    "FieldIsDerived": false,
    "IsWritableDerivedField": false,
    "IsMasked": false,
    "GrantKeyWhenReadable": "principal-knowledge-authority|ElicitationSessions"
   },
   {
    "FieldGrantId": "fg-knowledge-authority-ElicitationSessions.Summary",
    "Principal": "principal-knowledge-authority",
    "TargetField": "ElicitationSessions.Summary",
    "CanRead": true,
    "CanWrite": false,
    "MaskStrategy": "plain",
    "SemanticTypeIri": "urn:effortless:pko-extension#FieldGrant",
    "Name": "principal-knowledge-authority -&gt; ElicitationSessions.Summary",
    "FieldTable": "ElicitationSessions",
    "FieldName": "Summary",
    "FieldIsDerived": false,
    "IsWritableDerivedField": false,
    "IsMasked": false,
    "GrantKeyWhenReadable": "principal-knowledge-authority|ElicitationSessions"
   },
   {
    "FieldGrantId": "fg-knowledge-authority-ElicitationSessions.Status",
    "Principal": "principal-knowledge-authority",
    "TargetField": "ElicitationSessions.Status",
    "CanRead": true,
    "CanWrite": false,
    "MaskStrategy": "plain",
    "SemanticTypeIri": "urn:effortless:pko-extension#FieldGrant",
    "Name": "principal-knowledge-authority -&gt; ElicitationSessions.Status",
    "FieldTable": "ElicitationSessions",
    "FieldName": "Status",
    "FieldIsDerived": false,
    "IsWritableDerivedField": false,
    "IsMasked": false,
    "GrantKeyWhenReadable": "principal-knowledge-authority|ElicitationSessions"
   },
   {
    "FieldGrantId": "fg-knowledge-authority-ElicitationSessions.EvaluationContext",
    "Principal": "principal-knowledge-authority",
    "TargetField": "ElicitationSessions.EvaluationContext",
    "CanRead": true,
    "CanWrite": false,
    "MaskStrategy": "plain",
    "SemanticTypeIri": "urn:effortless:pko-extension#FieldGrant",
    "Name": "principal-knowledge-authority -&gt; ElicitationSessions.EvaluationContext",
    "FieldTable": "ElicitationSessions",
    "FieldName": "EvaluationContext",
    "FieldIsDerived": false,
    "IsWritableDerivedField": false,
    "IsMasked": false,
    "GrantKeyWhenReadable": "principal-knowledge-authority|ElicitationSessions"
   },
   {
    "FieldGrantId": "fg-knowledge-authority-ElicitationSessions.AsOfInstant",
    "Principal": "principal-knowledge-authority",
    "TargetField": "ElicitationSessions.AsOfInstant",
    "CanRead": true,
    "CanWrite": false,
    "MaskStrategy": "plain",
    "SemanticTypeIri": "urn:effortless:pko-extension#FieldGrant",
    "Name": "principal-knowledge-authority -&gt; ElicitationSessions.AsOfInstant",
    "FieldTable": "ElicitationSessions",
    "FieldName": "AsOfInstant",
    "FieldIsDerived": true,
    "IsWritableDerivedField": false,
    "IsMasked": false,
    "GrantKeyWhenReadable": "principal-knowledge-authority|ElicitationSessions"
   },
   {
    "FieldGrantId": "fg-knowledge-authority-ElicitationSessions.DaysSinceElicited",
    "Principal": "principal-knowledge-authority",
    "TargetField": "ElicitationSessions.DaysSinceElicited",
    "CanRead": true,
    "CanWrite": false,
    "MaskStrategy": "plain",
    "SemanticTypeIri": "urn:effortless:pko-extension#FieldGrant",
    "Name": "principal-knowledge-authority -&gt; ElicitationSessions.DaysSinceElicited",
    "FieldTable": "ElicitationSessions",
    "FieldName": "DaysSinceElicited",
    "FieldIsDerived": true,
    "IsWritableDerivedField": false,
    "IsMasked": false,
    "GrantKeyWhenReadable": "principal-knowledge-authority|ElicitationSessions"
   },
   {
    "FieldGrantId": "fg-knowledge-authority-ElicitationSessions.IsSingleWitnessMethod",
    "Principal": "principal-knowledge-authority",
    "TargetField": "ElicitationSessions.IsSingleWitnessMethod",
    "CanRead": true,
    "CanWrite": false,
    "MaskStrategy": "plain",
    "SemanticTypeIri": "urn:effortless:pko-extension#FieldGrant",
    "Name": "principal-knowledge-authority -&gt; ElicitationSessions.IsSingleWitnessMethod",
    "FieldTable": "ElicitationSessions",
    "FieldName": "IsSingleWitnessMethod",
    "FieldIsDerived": true,
    "IsWritableDerivedField": false,
    "IsMasked": false,
    "GrantKeyWhenReadable": "principal-knowledge-authority|ElicitationSessions"
   },
   {
    "FieldGrantId": "fg-knowledge-authority-ElicitationSessions.PractitionerIsStillEngaged",
    "Principal": "principal-knowledge-authority",
    "TargetField": "ElicitationSessions.PractitionerIsStillEngaged",
    "CanRead": true,
    "CanWrite": false,
    "MaskStrategy": "plain",
    "SemanticTypeIri": "urn:effortless:pko-extension#FieldGrant",
    "Name": "principal-knowledge-authority -&gt; ElicitationSessions.PractitionerIsStillEngaged",
    "FieldTable": "ElicitationSessions",
    "FieldName": "PractitionerIsStillEngaged",
    "FieldIsDerived": true,
    "IsWritableDerivedField": false,
    "IsMasked": false,
    "GrantKeyWhenReadable": "principal-knowledge-authority|ElicitationSessions"
   },
   {
    "FieldGrantId": "fg-knowledge-authority-ElicitationSessions.ValidFragmentsProduced",
    "Principal": "principal-knowledge-authority",
    "TargetField": "ElicitationSessions.ValidFragmentsProduced",
    "CanRead": true,
    "CanWrite": false,
    "MaskStrategy": "plain",
    "SemanticTypeIri": "urn:effortless:pko-extension#FieldGrant",
    "Name": "principal-knowledge-authority -&gt; ElicitationSessions.ValidFragmentsProduced",
    "FieldTable": "ElicitationSessions",
    "FieldName": "ValidFragmentsProduced",
    "FieldIsDerived": true,
    "IsWritableDerivedField": false,
    "IsMasked": false,
    "GrantKeyWhenReadable": "principal-knowledge-authority|ElicitationSessions"
   },
   {
    "FieldGrantId": "fg-knowledge-authority-ElicitationSessions.IsHighYieldSession",
    "Principal": "principal-knowledge-authority",
    "TargetField": "ElicitationSessions.IsHighYieldSession",
    "CanRead": true,
    "CanWrite": false,
    "MaskStrategy": "plain",
    "SemanticTypeIri": "urn:effortless:pko-extension#FieldGrant",
    "Name": "principal-knowledge-authority -&gt; ElicitationSessions.IsHighYieldSession",
    "FieldTable": "ElicitationSessions",
    "FieldName": "IsHighYieldSession",
    "FieldIsDerived": true,
    "IsWritableDerivedField": false,
    "IsMasked": false,
    "GrantKeyWhenReadable": "principal-knowledge-authority|ElicitationSessions"
   },
   {
    "FieldGrantId": "fg-knowledge-authority-ElicitationSessions.IsConcentratedSingleWitness",
    "Principal": "principal-knowledge-authority",
    "TargetField": "ElicitationSessions.IsConcentratedSingleWitness",
    "CanRead": true,
    "CanWrite": false,
    "MaskStrategy": "plain",
    "SemanticTypeIri": "urn:effortless:pko-extension#FieldGrant",
    "Name": "principal-knowledge-authority -&gt; ElicitationSessions.IsConcentratedSingleWitness",
    "FieldTable": "ElicitationSessions",
    "FieldName": "IsConcentratedSingleWitness",
    "FieldIsDerived": true,
    "IsWritableDerivedField": false,
    "IsMasked": false,
    "GrantKeyWhenReadable": "principal-knowledge-authority|ElicitationSessions"
   },
   {
    "FieldGrantId": "fg-knowledge-authority-ElicitationSessions.IsStaleConcentratedWitness",
    "Principal": "principal-knowledge-authority",
    "TargetField": "ElicitationSessions.IsStaleConcentratedWitness",
    "CanRead": true,
    "CanWrite": false,
    "MaskStrategy": "plain",
    "SemanticTypeIri": "urn:effortless:pko-extension#FieldGrant",
    "Name": "principal-knowledge-authority -&gt; ElicitationSessions.IsStaleConcentratedWitness",
    "FieldTable": "ElicitationSessions",
    "FieldName": "IsStaleConcentratedWitness",
    "FieldIsDerived": true,
    "IsWritableDerivedField": false,
    "IsMasked": false,
    "GrantKeyWhenReadable": "principal-knowledge-authority|ElicitationSessions"
   },
   {
    "FieldGrantId": "fg-knowledge-authority-ElicitationSessions.ConcentratedSessionVersionKey",
    "Principal": "principal-knowledge-authority",
    "TargetField": "ElicitationSessions.ConcentratedSessionVersionKey",
    "CanRead": true,
    "CanWrite": false,
    "MaskStrategy": "plain",
    "SemanticTypeIri": "urn:effortless:pko-extension#FieldGrant",
    "Name": "principal-knowledge-authority -&gt; ElicitationSessions.ConcentratedSessionVersionKey",
    "FieldTable": "ElicitationSessions",
    "FieldName": "ConcentratedSessionVersionKey",
    "FieldIsDerived": true,
    "IsWritableDerivedField": false,
    "IsMasked": false,
    "GrantKeyWhenReadable": "principal-knowledge-authority|ElicitationSessions"
   },
   {
    "FieldGrantId": "fg-knowledge-authority-ElicitationSessions.SemanticTypeIri",
    "Principal": "principal-knowledge-authority",
    "TargetField": "ElicitationSessions.SemanticTypeIri",
    "CanRead": true,
    "CanWrite": false,
    "MaskStrategy": "plain",
    "SemanticTypeIri": "urn:effortless:pko-extension#FieldGrant",
    "Name": "principal-knowledge-authority -&gt; ElicitationSessions.SemanticTypeIri",
    "FieldTable": "ElicitationSessions",
    "FieldName": "SemanticTypeIri",
    "FieldIsDerived": false,
    "IsWritableDerivedField": false,
    "IsMasked": false,
    "GrantKeyWhenReadable": "principal-knowledge-authority|ElicitationSessions"
   },
   {
    "FieldGrantId": "fg-knowledge-authority-Errors.ErrorId",
    "Principal": "principal-knowledge-authority",
    "TargetField": "Errors.ErrorId",
    "CanRead": true,
    "CanWrite": false,
    "MaskStrategy": "plain",
    "SemanticTypeIri": "urn:effortless:pko-extension#FieldGrant",
    "Name": "principal-knowledge-authority -&gt; Errors.ErrorId",
    "FieldTable": "Errors",
    "FieldName": "ErrorId",
    "FieldIsDerived": false,
    "IsWritableDerivedField": false,
    "IsMasked": false,
    "GrantKeyWhenReadable": "principal-knowledge-authority|Errors"
   },
   {
    "FieldGrantId": "fg-knowledge-authority-Errors.Name",
    "Principal": "principal-knowledge-authority",
    "TargetField": "Errors.Name",
    "CanRead": true,
    "CanWrite": false,
    "MaskStrategy": "plain",
    "SemanticTypeIri": "urn:effortless:pko-extension#FieldGrant",
    "Name": "principal-knowledge-authority -&gt; Errors.Name",
    "FieldTable": "Errors",
    "FieldName": "Name",
    "FieldIsDerived": true,
    "IsWritableDerivedField": false,
    "IsMasked": false,
    "GrantKeyWhenReadable": "principal-knowledge-authority|Errors"
   },
   {
    "FieldGrantId": "fg-knowledge-authority-Errors.Label",
    "Principal": "principal-knowledge-authority",
    "TargetField": "Errors.Label",
    "CanRead": true,
    "CanWrite": false,
    "MaskStrategy": "plain",
    "SemanticTypeIri": "urn:effortless:pko-extension#FieldGrant",
    "Name": "principal-knowledge-authority -&gt; Errors.Label",
    "FieldTable": "Errors",
    "FieldName": "Label",
    "FieldIsDerived": false,
    "IsWritableDerivedField": false,
    "IsMasked": false,
    "GrantKeyWhenReadable": "principal-knowledge-authority|Errors"
   },
   {
    "FieldGrantId": "fg-knowledge-authority-Errors.ErrorCode",
    "Principal": "principal-knowledge-authority",
    "TargetField": "Errors.ErrorCode",
    "CanRead": true,
    "CanWrite": false,
    "MaskStrategy": "plain",
    "SemanticTypeIri": "urn:effortless:pko-extension#FieldGrant",
    "Name": "principal-knowledge-authority -&gt; Errors.ErrorCode",
    "FieldTable": "Errors",
    "FieldName": "ErrorCode",
    "FieldIsDerived": false,
    "IsWritableDerivedField": false,
    "IsMasked": false,
    "GrantKeyWhenReadable": "principal-knowledge-authority|Errors"
   },
   {
    "FieldGrantId": "fg-knowledge-authority-Errors.ErrorCause",
    "Principal": "principal-knowledge-authority",
    "TargetField": "Errors.ErrorCause",
    "CanRead": true,
    "CanWrite": false,
    "MaskStrategy": "plain",
    "SemanticTypeIri": "urn:effortless:pko-extension#FieldGrant",
    "Name": "principal-knowledge-authority -&gt; Errors.ErrorCause",
    "FieldTable": "Errors",
    "FieldName": "ErrorCause",
    "FieldIsDerived": false,
    "IsWritableDerivedField": false,
    "IsMasked": false,
    "GrantKeyWhenReadable": "principal-knowledge-authority|Errors"
   },
   {
    "FieldGrantId": "fg-knowledge-authority-Errors.SemanticTypeIri",
    "Principal": "principal-knowledge-authority",
    "TargetField": "Errors.SemanticTypeIri",
    "CanRead": true,
    "CanWrite": false,
    "MaskStrategy": "plain",
    "SemanticTypeIri": "urn:effortless:pko-extension#FieldGrant",
    "Name": "principal-knowledge-authority -&gt; Errors.SemanticTypeIri",
    "FieldTable": "Errors",
    "FieldName": "SemanticTypeIri",
    "FieldIsDerived": false,
    "IsWritableDerivedField": false,
    "IsMasked": false,
    "GrantKeyWhenReadable": "principal-knowledge-authority|Errors"
   },
   {
    "FieldGrantId": "fg-knowledge-authority-EvaluationContexts.EvaluationContextId",
    "Principal": "principal-knowledge-authority",
    "TargetField": "EvaluationContexts.EvaluationContextId",
    "CanRead": true,
    "CanWrite": false,
    "MaskStrategy": "plain",
    "SemanticTypeIri": "urn:effortless:pko-extension#FieldGrant",
    "Name": "principal-knowledge-authority -&gt; EvaluationContexts.EvaluationContextId",
    "FieldTable": "EvaluationContexts",
    "FieldName": "EvaluationContextId",
    "FieldIsDerived": false,
    "IsWritableDerivedField": false,
    "IsMasked": false,
    "GrantKeyWhenReadable": "principal-knowledge-authority|EvaluationContexts"
   },
   {
    "FieldGrantId": "fg-knowledge-authority-EvaluationContexts.Name",
    "Principal": "principal-knowledge-authority",
    "TargetField": "EvaluationContexts.Name",
    "CanRead": true,
    "CanWrite": false,
    "MaskStrategy": "plain",
    "SemanticTypeIri": "urn:effortless:pko-extension#FieldGrant",
    "Name": "principal-knowledge-authority -&gt; EvaluationContexts.Name",
    "FieldTable": "EvaluationContexts",
    "FieldName": "Name",
    "FieldIsDerived": true,
    "IsWritableDerivedField": false,
    "IsMasked": false,
    "GrantKeyWhenReadable": "principal-knowledge-authority|EvaluationContexts"
   },
   {
    "FieldGrantId": "fg-knowledge-authority-EvaluationContexts.Label",
    "Principal": "principal-knowledge-authority",
    "TargetField": "EvaluationContexts.Label",
    "CanRead": true,
    "CanWrite": false,
    "MaskStrategy": "plain",
    "SemanticTypeIri": "urn:effortless:pko-extension#FieldGrant",
    "Name": "principal-knowledge-authority -&gt; EvaluationContexts.Label",
    "FieldTable": "EvaluationContexts",
    "FieldName": "Label",
    "FieldIsDerived": false,
    "IsWritableDerivedField": false,
    "IsMasked": false,
    "GrantKeyWhenReadable": "principal-knowledge-authority|EvaluationContexts"
   },
   {
    "FieldGrantId": "fg-knowledge-authority-EvaluationContexts.AsOfInstant",
    "Principal": "principal-knowledge-authority",
    "TargetField": "EvaluationContexts.AsOfInstant",
    "CanRead": true,
    "CanWrite": false,
    "MaskStrategy": "plain",
    "SemanticTypeIri": "urn:effortless:pko-extension#FieldGrant",
    "Name": "principal-knowledge-authority -&gt; EvaluationContexts.AsOfInstant",
    "FieldTable": "EvaluationContexts",
    "FieldName": "AsOfInstant",
    "FieldIsDerived": false,
    "IsWritableDerivedField": false,
    "IsMasked": false,
    "GrantKeyWhenReadable": "principal-knowledge-authority|EvaluationContexts"
   },
   {
    "FieldGrantId": "fg-knowledge-authority-EvaluationContexts.IsCurrent",
    "Principal": "principal-knowledge-authority",
    "TargetField": "EvaluationContexts.IsCurrent",
    "CanRead": true,
    "CanWrite": false,
    "MaskStrategy": "plain",
    "SemanticTypeIri": "urn:effortless:pko-extension#FieldGrant",
    "Name": "principal-knowledge-authority -&gt; EvaluationContexts.IsCurrent",
    "FieldTable": "EvaluationContexts",
    "FieldName": "IsCurrent",
    "FieldIsDerived": false,
    "IsWritableDerivedField": false,
    "IsMasked": false,
    "GrantKeyWhenReadable": "principal-knowledge-authority|EvaluationContexts"
   },
   {
    "FieldGrantId": "fg-knowledge-authority-EvaluationContexts.Rationale",
    "Principal": "principal-knowledge-authority",
    "TargetField": "EvaluationContexts.Rationale",
    "CanRead": true,
    "CanWrite": false,
    "MaskStrategy": "plain",
    "SemanticTypeIri": "urn:effortless:pko-extension#FieldGrant",
    "Name": "principal-knowledge-authority -&gt; EvaluationContexts.Rationale",
    "FieldTable": "EvaluationContexts",
    "FieldName": "Rationale",
    "FieldIsDerived": false,
    "IsWritableDerivedField": false,
    "IsMasked": false,
    "GrantKeyWhenReadable": "principal-knowledge-authority|EvaluationContexts"
   },
   {
    "FieldGrantId": "fg-knowledge-authority-EvaluationContexts.SemanticTypeIri",
    "Principal": "principal-knowledge-authority",
    "TargetField": "EvaluationContexts.SemanticTypeIri",
    "CanRead": true,
    "CanWrite": false,
    "MaskStrategy": "plain",
    "SemanticTypeIri": "urn:effortless:pko-extension#FieldGrant",
    "Name": "principal-knowledge-authority -&gt; EvaluationContexts.SemanticTypeIri",
    "FieldTable": "EvaluationContexts",
    "FieldName": "SemanticTypeIri",
    "FieldIsDerived": false,
    "IsWritableDerivedField": false,
    "IsMasked": false,
    "GrantKeyWhenReadable": "principal-knowledge-authority|EvaluationContexts"
   },
   {
    "FieldGrantId": "fg-knowledge-authority-ExceptionInvocations.ExceptionInvocationId",
    "Principal": "principal-knowledge-authority",
    "TargetField": "ExceptionInvocations.ExceptionInvocationId",
    "CanRead": true,
    "CanWrite": false,
    "MaskStrategy": "plain",
    "SemanticTypeIri": "urn:effortless:pko-extension#FieldGrant",
    "Name": "principal-knowledge-authority -&gt; ExceptionInvocations.ExceptionInvocationId",
    "FieldTable": "ExceptionInvocations",
    "FieldName": "ExceptionInvocationId",
    "FieldIsDerived": false,
    "IsWritableDerivedField": false,
    "IsMasked": false,
    "GrantKeyWhenReadable": "principal-knowledge-authority|ExceptionInvocations"
   },
   {
    "FieldGrantId": "fg-knowledge-authority-ExceptionInvocations.Name",
    "Principal": "principal-knowledge-authority",
    "TargetField": "ExceptionInvocations.Name",
    "CanRead": true,
    "CanWrite": false,
    "MaskStrategy": "plain",
    "SemanticTypeIri": "urn:effortless:pko-extension#FieldGrant",
    "Name": "principal-knowledge-authority -&gt; ExceptionInvocations.Name",
    "FieldTable": "ExceptionInvocations",
    "FieldName": "Name",
    "FieldIsDerived": true,
    "IsWritableDerivedField": false,
    "IsMasked": false,
    "GrantKeyWhenReadable": "principal-knowledge-authority|ExceptionInvocations"
   },
   {
    "FieldGrantId": "fg-knowledge-authority-ExceptionInvocations.StepExecution",
    "Principal": "principal-knowledge-authority",
    "TargetField": "ExceptionInvocations.StepExecution",
    "CanRead": true,
    "CanWrite": false,
    "MaskStrategy": "plain",
    "SemanticTypeIri": "urn:effortless:pko-extension#FieldGrant",
    "Name": "principal-knowledge-authority -&gt; ExceptionInvocations.StepExecution",
    "FieldTable": "ExceptionInvocations",
    "FieldName": "StepExecution",
    "FieldIsDerived": false,
    "IsWritableDerivedField": false,
    "IsMasked": false,
    "GrantKeyWhenReadable": "principal-knowledge-authority|ExceptionInvocations"
   },
   {
    "FieldGrantId": "fg-knowledge-authority-ExceptionInvocations.Exception",
    "Principal": "principal-knowledge-authority",
    "TargetField": "ExceptionInvocations.Exception",
    "CanRead": true,
    "CanWrite": false,
    "MaskStrategy": "plain",
    "SemanticTypeIri": "urn:effortless:pko-extension#FieldGrant",
    "Name": "principal-knowledge-authority -&gt; ExceptionInvocations.Exception",
    "FieldTable": "ExceptionInvocations",
    "FieldName": "Exception",
    "FieldIsDerived": false,
    "IsWritableDerivedField": false,
    "IsMasked": false,
    "GrantKeyWhenReadable": "principal-knowledge-authority|ExceptionInvocations"
   },
   {
    "FieldGrantId": "fg-knowledge-authority-ExceptionInvocations.InvokedByAgent",
    "Principal": "principal-knowledge-authority",
    "TargetField": "ExceptionInvocations.InvokedByAgent",
    "CanRead": true,
    "CanWrite": false,
    "MaskStrategy": "plain",
    "SemanticTypeIri": "urn:effortless:pko-extension#FieldGrant",
    "Name": "principal-knowledge-authority -&gt; ExceptionInvocations.InvokedByAgent",
    "FieldTable": "ExceptionInvocations",
    "FieldName": "InvokedByAgent",
    "FieldIsDerived": false,
    "IsWritableDerivedField": false,
    "IsMasked": false,
    "GrantKeyWhenReadable": "principal-knowledge-authority|ExceptionInvocations"
   },
   {
    "FieldGrantId": "fg-knowledge-authority-ExceptionInvocations.ApprovedByAgent",
    "Principal": "principal-knowledge-authority",
    "TargetField": "ExceptionInvocations.ApprovedByAgent",
    "CanRead": true,
    "CanWrite": false,
    "MaskStrategy": "plain",
    "SemanticTypeIri": "urn:effortless:pko-extension#FieldGrant",
    "Name": "principal-knowledge-authority -&gt; ExceptionInvocations.ApprovedByAgent",
    "FieldTable": "ExceptionInvocations",
    "FieldName": "ApprovedByAgent",
    "FieldIsDerived": false,
    "IsWritableDerivedField": false,
    "IsMas</t>
  </si>
  <si>
    <t xml:space="preserve">ked": false,
    "GrantKeyWhenReadable": "principal-knowledge-authority|ExceptionInvocations"
   },
   {
    "FieldGrantId": "fg-knowledge-authority-ExceptionInvocations.InvokedAt",
    "Principal": "principal-knowledge-authority",
    "TargetField": "ExceptionInvocations.InvokedAt",
    "CanRead": true,
    "CanWrite": false,
    "MaskStrategy": "plain",
    "SemanticTypeIri": "urn:effortless:pko-extension#FieldGrant",
    "Name": "principal-knowledge-authority -&gt; ExceptionInvocations.InvokedAt",
    "FieldTable": "ExceptionInvocations",
    "FieldName": "InvokedAt",
    "FieldIsDerived": false,
    "IsWritableDerivedField": false,
    "IsMasked": false,
    "GrantKeyWhenReadable": "principal-knowledge-authority|ExceptionInvocations"
   },
   {
    "FieldGrantId": "fg-knowledge-authority-ExceptionInvocations.HandlingApplied",
    "Principal": "principal-knowledge-authority",
    "TargetField": "ExceptionInvocations.HandlingApplied",
    "CanRead": true,
    "CanWrite": false,
    "MaskStrategy": "plain",
    "SemanticTypeIri": "urn:effortless:pko-extension#FieldGrant",
    "Name": "principal-knowledge-authority -&gt; ExceptionInvocations.HandlingApplied",
    "FieldTable": "ExceptionInvocations",
    "FieldName": "HandlingApplied",
    "FieldIsDerived": false,
    "IsWritableDerivedField": false,
    "IsMasked": false,
    "GrantKeyWhenReadable": "principal-knowledge-authority|ExceptionInvocations"
   },
   {
    "FieldGrantId": "fg-knowledge-authority-ExceptionInvocations.ExpectedHandling",
    "Principal": "principal-knowledge-authority",
    "TargetField": "ExceptionInvocations.ExpectedHandling",
    "CanRead": true,
    "CanWrite": false,
    "MaskStrategy": "plain",
    "SemanticTypeIri": "urn:effortless:pko-extension#FieldGrant",
    "Name": "principal-knowledge-authority -&gt; ExceptionInvocations.ExpectedHandling",
    "FieldTable": "ExceptionInvocations",
    "FieldName": "ExpectedHandling",
    "FieldIsDerived": true,
    "IsWritableDerivedField": false,
    "IsMasked": false,
    "GrantKeyWhenReadable": "principal-knowledge-authority|ExceptionInvocations"
   },
   {
    "FieldGrantId": "fg-knowledge-authority-ExceptionInvocations.RequiredApprovalRole",
    "Principal": "principal-knowledge-authority",
    "TargetField": "ExceptionInvocations.RequiredApprovalRole",
    "CanRead": true,
    "CanWrite": false,
    "MaskStrategy": "plain",
    "SemanticTypeIri": "urn:effortless:pko-extension#FieldGrant",
    "Name": "principal-knowledge-authority -&gt; ExceptionInvocations.RequiredApprovalRole",
    "FieldTable": "ExceptionInvocations",
    "FieldName": "RequiredApprovalRole",
    "FieldIsDerived": true,
    "IsWritableDerivedField": false,
    "IsMasked": false,
    "GrantKeyWhenReadable": "principal-knowledge-authority|ExceptionInvocations"
   },
   {
    "FieldGrantId": "fg-knowledge-authority-ExceptionInvocations.RequiredApprovalRoleHolder",
    "Principal": "principal-knowledge-authority",
    "TargetField": "ExceptionInvocations.RequiredApprovalRoleHolder",
    "CanRead": true,
    "CanWrite": false,
    "MaskStrategy": "plain",
    "SemanticTypeIri": "urn:effortless:pko-extension#FieldGrant",
    "Name": "principal-knowledge-authority -&gt; ExceptionInvocations.RequiredApprovalRoleHolder",
    "FieldTable": "ExceptionInvocations",
    "FieldName": "RequiredApprovalRoleHolder",
    "FieldIsDerived": true,
    "IsWritableDerivedField": false,
    "IsMasked": false,
    "GrantKeyWhenReadable": "principal-knowledge-authority|ExceptionInvocations"
   },
   {
    "FieldGrantId": "fg-knowledge-authority-ExceptionInvocations.ApprovalRoleMatches",
    "Principal": "principal-knowledge-authority",
    "TargetField": "ExceptionInvocations.ApprovalRoleMatches",
    "CanRead": true,
    "CanWrite": false,
    "MaskStrategy": "plain",
    "SemanticTypeIri": "urn:effortless:pko-extension#FieldGrant",
    "Name": "principal-knowledge-authority -&gt; ExceptionInvocations.ApprovalRoleMatches",
    "FieldTable": "ExceptionInvocations",
    "FieldName": "ApprovalRoleMatches",
    "FieldIsDerived": true,
    "IsWritableDerivedField": false,
    "IsMasked": false,
    "GrantKeyWhenReadable": "principal-knowledge-authority|ExceptionInvocations"
   },
   {
    "FieldGrantId": "fg-knowledge-authority-ExceptionInvocations.IsApproved",
    "Principal": "principal-knowledge-authority",
    "TargetField": "ExceptionInvocations.IsApproved",
    "CanRead": true,
    "CanWrite": false,
    "MaskStrategy": "plain",
    "SemanticTypeIri": "urn:effortless:pko-extension#FieldGrant",
    "Name": "principal-knowledge-authority -&gt; ExceptionInvocations.IsApproved",
    "FieldTable": "ExceptionInvocations",
    "FieldName": "IsApproved",
    "FieldIsDerived": true,
    "IsWritableDerivedField": false,
    "IsMasked": false,
    "GrantKeyWhenReadable": "principal-knowledge-authority|ExceptionInvocations"
   },
   {
    "FieldGrantId": "fg-knowledge-authority-ExceptionInvocations.IsImproperlyApproved",
    "Principal": "principal-knowledge-authority",
    "TargetField": "ExceptionInvocations.IsImproperlyApproved",
    "CanRead": true,
    "CanWrite": false,
    "MaskStrategy": "plain",
    "SemanticTypeIri": "urn:effortless:pko-extension#FieldGrant",
    "Name": "principal-knowledge-authority -&gt; ExceptionInvocations.IsImproperlyApproved",
    "FieldTable": "ExceptionInvocations",
    "FieldName": "IsImproperlyApproved",
    "FieldIsDerived": true,
    "IsWritableDerivedField": false,
    "IsMasked": false,
    "GrantKeyWhenReadable": "principal-knowledge-authority|ExceptionInvocations"
   },
   {
    "FieldGrantId": "fg-knowledge-authority-ExceptionInvocations.InvokerAgentKind",
    "Principal": "principal-knowledge-authority",
    "TargetField": "ExceptionInvocations.InvokerAgentKind",
    "CanRead": true,
    "CanWrite": false,
    "MaskStrategy": "plain",
    "SemanticTypeIri": "urn:effortless:pko-extension#FieldGrant",
    "Name": "principal-knowledge-authority -&gt; ExceptionInvocations.InvokerAgentKind",
    "FieldTable": "ExceptionInvocations",
    "FieldName": "InvokerAgentKind",
    "FieldIsDerived": true,
    "IsWritableDerivedField": false,
    "IsMasked": false,
    "GrantKeyWhenReadable": "principal-knowledge-authority|ExceptionInvocations"
   },
   {
    "FieldGrantId": "fg-knowledge-authority-ExceptionInvocations.InvokerAlsoPreparedKey",
    "Principal": "principal-knowledge-authority",
    "TargetField": "ExceptionInvocations.InvokerAlsoPreparedKey",
    "CanRead": true,
    "CanWrite": false,
    "MaskStrategy": "plain",
    "SemanticTypeIri": "urn:effortless:pko-extension#FieldGrant",
    "Name": "principal-knowledge-authority -&gt; ExceptionInvocations.InvokerAlsoPreparedKey",
    "FieldTable": "ExceptionInvocations",
    "FieldName": "InvokerAlsoPreparedKey",
    "FieldIsDerived": true,
    "IsWritableDerivedField": false,
    "IsMasked": false,
    "GrantKeyWhenReadable": "principal-knowledge-authority|ExceptionInvocations"
   },
   {
    "FieldGrantId": "fg-knowledge-authority-ExceptionInvocations.ParentProcedureExecution",
    "Principal": "principal-knowledge-authority",
    "TargetField": "ExceptionInvocations.ParentProcedureExecution",
    "CanRead": true,
    "CanWrite": false,
    "MaskStrategy": "plain",
    "SemanticTypeIri": "urn:effortless:pko-extension#FieldGrant",
    "Name": "principal-knowledge-authority -&gt; ExceptionInvocations.ParentProcedureExecution",
    "FieldTable": "ExceptionInvocations",
    "FieldName": "ParentProcedureExecution",
    "FieldIsDerived": true,
    "IsWritableDerivedField": false,
    "IsMasked": false,
    "GrantKeyWhenReadable": "principal-knowledge-authority|ExceptionInvocations"
   },
   {
    "FieldGrantId": "fg-knowledge-authority-ExceptionInvocations.ApproverPreparedCount",
    "Principal": "principal-knowledge-authority",
    "TargetField": "ExceptionInvocations.ApproverPreparedCount",
    "CanRead": true,
    "CanWrite": false,
    "MaskStrategy": "plain",
    "SemanticTypeIri": "urn:effortless:pko-extension#FieldGrant",
    "Name": "principal-knowledge-authority -&gt; ExceptionInvocations.ApproverPreparedCount",
    "FieldTable": "ExceptionInvocations",
    "FieldName": "ApproverPreparedCount",
    "FieldIsDerived": true,
    "IsWritableDerivedField": false,
    "IsMasked": false,
    "GrantKeyWhenReadable": "principal-knowledge-authority|ExceptionInvocations"
   },
   {
    "FieldGrantId": "fg-knowledge-authority-ExceptionInvocations.DelegatedToPreparer",
    "Principal": "principal-knowledge-authority",
    "TargetField": "ExceptionInvocations.DelegatedToPreparer",
    "CanRead": true,
    "CanWrite": false,
    "MaskStrategy": "plain",
    "SemanticTypeIri": "urn:effortless:pko-extension#FieldGrant",
    "Name": "principal-knowledge-authority -&gt; ExceptionInvocations.DelegatedToPreparer",
    "FieldTable": "ExceptionInvocations",
    "FieldName": "DelegatedToPreparer",
    "FieldIsDerived": true,
    "IsWritableDerivedField": false,
    "IsMasked": false,
    "GrantKeyWhenReadable": "principal-knowledge-authority|ExceptionInvocations"
   },
   {
    "FieldGrantId": "fg-knowledge-authority-ExceptionInvocations.IsUngovernedInvocation",
    "Principal": "principal-knowledge-authority",
    "TargetField": "ExceptionInvocations.IsUngovernedInvocation",
    "CanRead": true,
    "CanWrite": false,
    "MaskStrategy": "plain",
    "SemanticTypeIri": "urn:effortless:pko-extension#FieldGrant",
    "Name": "principal-knowledge-authority -&gt; ExceptionInvocations.IsUngovernedInvocation",
    "FieldTable": "ExceptionInvocations",
    "FieldName": "IsUngovernedInvocation",
    "FieldIsDerived": true,
    "IsWritableDerivedField": false,
    "IsMasked": false,
    "GrantKeyWhenReadable": "principal-knowledge-authority|ExceptionInvocations"
   },
   {
    "FieldGrantId": "fg-knowledge-authority-ExceptionInvocations.SemanticTypeIri",
    "Principal": "principal-knowledge-authority",
    "TargetField": "ExceptionInvocations.SemanticTypeIri",
    "CanRead": true,
    "CanWrite": false,
    "MaskStrategy": "plain",
    "SemanticTypeIri": "urn:effortless:pko-extension#FieldGrant",
    "Name": "principal-knowledge-authority -&gt; ExceptionInvocations.SemanticTypeIri",
    "FieldTable": "ExceptionInvocations",
    "FieldName": "SemanticTypeIri",
    "FieldIsDerived": false,
    "IsWritableDerivedField": false,
    "IsMasked": false,
    "GrantKeyWhenReadable": "principal-knowledge-authority|ExceptionInvocations"
   },
   {
    "FieldGrantId": "fg-knowledge-authority-Exceptions.ExceptionId",
    "Principal": "principal-knowledge-authority",
    "TargetField": "Exceptions.ExceptionId",
    "CanRead": true,
    "CanWrite": false,
    "MaskStrategy": "plain",
    "SemanticTypeIri": "urn:effortless:pko-extension#FieldGrant",
    "Name": "principal-knowledge-authority -&gt; Exceptions.ExceptionId",
    "FieldTable": "Exceptions",
    "FieldName": "ExceptionId",
    "FieldIsDerived": false,
    "IsWritableDerivedField": false,
    "IsMasked": false,
    "GrantKeyWhenReadable": "principal-knowledge-authority|Exceptions"
   },
   {
    "FieldGrantId": "fg-knowledge-authority-Exceptions.Name",
    "Principal": "principal-knowledge-authority",
    "TargetField": "Exceptions.Name",
    "CanRead": true,
    "CanWrite": false,
    "MaskStrategy": "plain",
    "SemanticTypeIri": "urn:effortless:pko-extension#FieldGrant",
    "Name": "principal-knowledge-authority -&gt; Exceptions.Name",
    "FieldTable": "Exceptions",
    "FieldName": "Name",
    "FieldIsDerived": true,
    "IsWritableDerivedField": false,
    "IsMasked": false,
    "GrantKeyWhenReadable": "principal-knowledge-authority|Exceptions"
   },
   {
    "FieldGrantId": "fg-knowledge-authority-Exceptions.ProcedureVersion",
    "Principal": "principal-knowledge-authority",
    "TargetField": "Exceptions.ProcedureVersion",
    "CanRead": true,
    "CanWrite": false,
    "MaskStrategy": "plain",
    "SemanticTypeIri": "urn:effortless:pko-extension#FieldGrant",
    "Name": "principal-knowledge-authority -&gt; Exceptions.ProcedureVersion",
    "FieldTable": "Exceptions",
    "FieldName": "ProcedureVersion",
    "FieldIsDerived": false,
    "IsWritableDerivedField": false,
    "IsMasked": false,
    "GrantKeyWhenReadable": "principal-knowledge-authority|Exceptions"
   },
   {
    "FieldGrantId": "fg-knowledge-authority-Exceptions.TriggerStep",
    "Principal": "principal-knowledge-authority",
    "TargetField": "Exceptions.TriggerStep",
    "CanRead": true,
    "CanWrite": false,
    "MaskStrategy": "plain",
    "SemanticTypeIri": "urn:effortless:pko-extension#FieldGrant",
    "Name": "principal-knowledge-authority -&gt; Exceptions.TriggerStep",
    "FieldTable": "Exceptions",
    "FieldName": "TriggerStep",
    "FieldIsDerived": false,
    "IsWritableDerivedField": false,
    "IsMasked": false,
    "GrantKeyWhenReadable": "principal-knowledge-authority|Exceptions"
   },
   {
    "FieldGrantId": "fg-knowledge-authority-Exceptions.Condition",
    "Principal": "principal-knowledge-authority",
    "TargetField": "Exceptions.Condition",
    "CanRead": true,
    "CanWrite": false,
    "MaskStrategy": "plain",
    "SemanticTypeIri": "urn:effortless:pko-extension#FieldGrant",
    "Name": "principal-knowledge-authority -&gt; Exceptions.Condition",
    "FieldTable": "Exceptions",
    "FieldName": "Condition",
    "FieldIsDerived": false,
    "IsWritableDerivedField": false,
    "IsMasked": false,
    "GrantKeyWhenReadable": "principal-knowledge-authority|Exceptions"
   },
   {
    "FieldGrantId": "fg-knowledge-authority-Exceptions.Handling",
    "Principal": "principal-knowledge-authority",
    "TargetField": "Exceptions.Handling",
    "CanRead": true,
    "CanWrite": false,
    "MaskStrategy": "plain",
    "SemanticTypeIri": "urn:effortless:pko-extension#FieldGrant",
    "Name": "principal-knowledge-authority -&gt; Exceptions.Handling",
    "FieldTable": "Exceptions",
    "FieldName": "Handling",
    "FieldIsDerived": false,
    "IsWritableDerivedField": false,
    "IsMasked": false,
    "GrantKeyWhenReadable": "principal-knowledge-authority|Exceptions"
   },
   {
    "FieldGrantId": "fg-knowledge-authority-Exceptions.ApprovalRole",
    "Principal": "principal-knowledge-authority",
    "TargetField": "Exceptions.ApprovalRole",
    "CanRead": true,
    "CanWrite": false,
    "MaskStrategy": "plain",
    "SemanticTypeIri": "urn:effortless:pko-extension#FieldGrant",
    "Name": "principal-knowledge-authority -&gt; Exceptions.ApprovalRole",
    "FieldTable": "Exceptions",
    "FieldName": "ApprovalRole",
    "FieldIsDerived": false,
    "IsWritableDerivedField": false,
    "IsMasked": false,
    "GrantKeyWhenReadable": "principal-knowledge-authority|Exceptions"
   },
   {
    "FieldGrantId": "fg-knowledge-authority-Exceptions.FallbackRole",
    "Principal": "principal-knowledge-authority",
    "TargetField": "Exceptions.FallbackRole",
    "CanRead": true,
    "CanWrite": false,
    "MaskStrategy": "plain",
    "SemanticTypeIri": "urn:effortless:pko-extension#FieldGrant",
    "Name": "principal-knowledge-authority -&gt; Exceptions.FallbackRole",
    "FieldTable": "Exceptions",
    "FieldName": "FallbackRole",
    "FieldIsDerived": false,
    "IsWritableDerivedField": false,
    "IsMasked": false,
    "GrantKeyWhenReadable": "principal-knowledge-authority|Exceptions"
   },
   {
    "FieldGrantId": "fg-knowledge-authority-Exceptions.Status",
    "Principal": "principal-knowledge-authority",
    "TargetField": "Exceptions.Status",
    "CanRead": true,
    "CanWrite": false,
    "MaskStrategy": "plain",
    "SemanticTypeIri": "urn:effortless:pko-extension#FieldGrant",
    "Name": "principal-knowledge-authority -&gt; Exceptions.Status",
    "FieldTable": "Exceptions",
    "FieldName": "Status",
    "FieldIsDerived": false,
    "IsWritableDerivedField": false,
    "IsMasked": false,
    "GrantKeyWhenReadable": "principal-knowledge-authority|Exceptions"
   },
   {
    "FieldGrantId": "fg-knowledge-authority-Exceptions.ActiveExceptionStepKey",
    "Principal": "principal-knowledge-authority",
    "TargetField": "Exceptions.ActiveExceptionStepKey",
    "CanRead": true,
    "CanWrite": false,
    "MaskStrategy": "plain",
    "SemanticTypeIri": "urn:effortless:pko-extension#FieldGrant",
    "Name": "principal-knowledge-authority -&gt; Exceptions.ActiveExceptionStepKey",
    "FieldTable": "Exceptions",
    "FieldName": "ActiveExceptionStepKey",
    "FieldIsDerived": true,
    "IsWritableDerivedField": false,
    "IsMasked": false,
    "GrantKeyWhenReadable": "principal-knowledge-authority|Exceptions"
   },
   {
    "FieldGrantId": "fg-knowledge-authority-Exceptions.SemanticTypeIri",
    "Principal": "principal-knowledge-authority",
    "TargetField": "Exceptions.SemanticTypeIri",
    "CanRead": true,
    "CanWrite": false,
    "MaskStrategy": "plain",
    "SemanticTypeIri": "urn:effortless:pko-extension#FieldGrant",
    "Name": "principal-knowledge-authority -&gt; Exceptions.SemanticTypeIri",
    "FieldTable": "Exceptions",
    "FieldName": "SemanticTypeIri",
    "FieldIsDerived": false,
    "IsWritableDerivedField": false,
    "IsMasked": false,
    "GrantKeyWhenReadable": "principal-knowledge-authority|Exceptions"
   },
   {
    "FieldGrantId": "fg-knowledge-authority-Explanations.ExplanationId",
    "Principal": "principal-knowledge-authority",
    "TargetField": "Explanations.ExplanationId",
    "CanRead": true,
    "CanWrite": false,
    "MaskStrategy": "plain",
    "SemanticTypeIri": "urn:effortless:pko-extension#FieldGrant",
    "Name": "principal-knowledge-authority -&gt; Explanations.ExplanationId",
    "FieldTable": "Explanations",
    "FieldName": "ExplanationId",
    "FieldIsDerived": false,
    "IsWritableDerivedField": false,
    "IsMasked": false,
    "GrantKeyWhenReadable": "principal-knowledge-authority|Explanations"
   },
   {
    "FieldGrantId": "fg-knowledge-authority-Explanations.Name",
    "Principal": "principal-knowledge-authority",
    "TargetField": "Explanations.Name",
    "CanRead": true,
    "CanWrite": false,
    "MaskStrategy": "plain",
    "SemanticTypeIri": "urn:effortless:pko-extension#FieldGrant",
    "Name": "principal-knowledge-authority -&gt; Explanations.Name",
    "FieldTable": "Explanations",
    "FieldName": "Name",
    "FieldIsDerived": true,
    "IsWritableDerivedField": false,
    "IsMasked": false,
    "GrantKeyWhenReadable": "principal-knowledge-authority|Explanations"
   },
   {
    "FieldGrantId": "fg-knowledge-authority-Explanations.ProcedureVersion",
    "Principal": "principal-knowledge-authority",
    "TargetField": "Explanations.ProcedureVersion",
    "CanRead": true,
    "CanWrite": false,
    "MaskStrategy": "plain",
    "SemanticTypeIri": "urn:effortless:pko-extension#FieldGrant",
    "Name": "principal-knowledge-authority -&gt; Explanations.ProcedureVersion",
    "FieldTable": "Explanations",
    "FieldName": "ProcedureVersion",
    "FieldIsDerived": false,
    "IsWritableDerivedField": false,
    "IsMasked": false,
    "GrantKeyWhenReadable": "principal-knowledge-authority|Explanations"
   },
   {
    "FieldGrantId": "fg-knowledge-authority-Explanations.Step",
    "Principal": "principal-knowledge-authority",
    "TargetField": "Explanations.Step",
    "CanRead": true,
    "CanWrite": false,
    "MaskStrategy": "plain",
    "SemanticTypeIri": "urn:effortless:pko-extension#FieldGrant",
    "Name": "principal-knowledge-authority -&gt; Explanations.Step",
    "FieldTable": "Explanations",
    "FieldName": "Step",
    "FieldIsDerived": false,
    "IsWritableDerivedField": false,
    "IsMasked": false,
    "GrantKeyWhenReadable": "principal-knowledge-authority|Explanations"
   },
   {
    "FieldGrantId": "fg-knowledge-authority-Explanations.Title",
    "Principal": "principal-knowledge-authority",
    "TargetField": "Explanations.Title",
    "CanRead": true,
    "CanWrite": false,
    "MaskStrategy": "plain",
    "SemanticTypeIri": "urn:effortless:pko-extension#FieldGrant",
    "Name": "principal-knowledge-authority -&gt; Explanations.Title",
    "FieldTable": "Explanations",
    "FieldName": "Title",
    "FieldIsDerived": false,
    "IsWritableDerivedField": false,
    "IsMasked": false,
    "GrantKeyWhenReadable": "principal-knowledge-authority|Explanations"
   },
   {
    "FieldGrantId": "fg-knowledge-authority-Explanations.Description",
    "Principal": "principal-knowledge-authority",
    "TargetField": "Explanations.Description",
    "CanRead": true,
    "CanWrite": false,
    "MaskStrategy": "plain",
    "SemanticTypeIri": "urn:effortless:pko-extension#FieldGrant",
    "Name": "principal-knowledge-authority -&gt; Explanations.Description",
    "FieldTable": "Explanations",
    "FieldName": "Description",
    "FieldIsDerived": false,
    "IsWritableDerivedField": false,
    "IsMasked": false,
    "GrantKeyWhenReadable": "principal-knowledge-authority|Explanations"
   },
   {
    "FieldGrantId": "fg-knowledge-authority-Explanations.SemanticTypeIri",
    "Principal": "principal-knowledge-authority",
    "TargetField": "Explanations.SemanticTypeIri",
    "CanRead": true,
    "CanWrite": false,
    "MaskStrategy": "plain",
    "SemanticTypeIri": "urn:effortless:pko-extension#FieldGrant",
    "Name": "principal-knowledge-authority -&gt; Explanations.SemanticTypeIri",
    "FieldTable": "Explanations",
    "FieldName": "SemanticTypeIri",
    "FieldIsDerived": false,
    "IsWritableDerivedField": false,
    "IsMasked": false,
    "GrantKeyWhenReadable": "principal-knowledge-authority|Explanations"
   },
   {
    "FieldGrantId": "fg-knowledge-authority-Functions.FunctionId",
    "Principal": "principal-knowledge-authority",
    "TargetField": "Functions.FunctionId",
    "CanRead": true,
    "CanWrite": false,
    "MaskStrategy": "plain",
    "SemanticTypeIri": "urn:effortless:pko-extension#FieldGrant",
    "Name": "principal-knowledge-authority -&gt; Functions.FunctionId",
    "FieldTable": "Functions",
    "FieldName": "FunctionId",
    "FieldIsDerived": false,
    "IsWritableDerivedField": false,
    "IsMasked": false,
    "GrantKeyWhenReadable": "principal-knowledge-authority|Functions"
   },
   {
    "FieldGrantId": "fg-knowledge-authority-Functions.Name",
    "Principal": "principal-knowledge-authority",
    "TargetField": "Functions.Name",
    "CanRead": true,
    "CanWrite": false,
    "MaskStrategy": "plain",
    "SemanticTypeIri": "urn:effortless:pko-extension#FieldGrant",
    "Name": "principal-knowledge-authority -&gt; Functions.Name",
    "FieldTable": "Functions",
    "FieldName": "Name",
    "FieldIsDerived": true,
    "IsWritableDerivedField": false,
    "IsMasked": false,
    "GrantKeyWhenReadable": "principal-knowledge-authority|Functions"
   },
   {
    "FieldGrantId": "fg-knowledge-authority-Functions.Label",
    "Principal": "principal-knowledge-authority",
    "TargetField": "Functions.Label",
    "CanRead": true,
    "CanWrite": false,
    "MaskStrategy": "plain",
    "SemanticTypeIri": "urn:effortless:pko-extension#FieldGrant",
    "Name": "principal-knowledge-authority -&gt; Functions.Label",
    "FieldTable": "Functions",
    "FieldName": "Label",
    "FieldIsDerived": false,
    "IsWritableDerivedField": false,
    "IsMasked": false,
    "GrantKeyWhenReadable": "principal-knowledge-authority|Functions"
   },
   {
    "FieldGrantId": "fg-knowledge-authority-Functions.Definition",
    "Principal": "principal-knowledge-authority",
    "TargetField": "Functions.Definition",
    "CanRead": true,
    "CanWrite": false,
    "MaskStrategy": "plain",
    "SemanticTypeIri": "urn:effortless:pko-extension#FieldGrant",
    "Name": "principal-knowledge-authority -&gt; Functions.Definition",
    "FieldTable": "Functions",
    "FieldName": "Definition",
    "FieldIsDerived": false,
    "IsWritableDerivedField": false,
    "IsMasked": false,
    "GrantKeyWhenReadable": "principal-knowledge-authority|Functions"
   },
   {
    "FieldGrantId": "fg-knowledge-authority-Functions.ImplementationKey",
    "Principal": "principal-knowledge-authority",
    "TargetField": "Functions.ImplementationKey",
    "CanRead": true,
    "CanWrite": false,
    "MaskStrategy": "plain",
    "SemanticTypeIri": "urn:effortless:pko-extension#FieldGrant",
    "Name": "principal-knowledge-authority -&gt; Functions.ImplementationKey",
    "FieldTable": "Functions",
    "FieldName": "ImplementationKey",
    "FieldIsDerived": false,
    "IsWritableDerivedField": false,
    "IsMasked": false,
    "GrantKeyWhenReadable": "principal-knowledge-authority|Functions"
   },
   {
    "FieldGrantId": "fg-knowledge-authority-Functions.SemanticTypeIri",
    "Principal": "principal-knowledge-authority",
    "TargetField": "Functions.SemanticTypeIri",
    "CanRead": true,
    "CanWrite": false,
    "MaskStrategy": "plain",
    "SemanticTypeIri": "urn:effortless:pko-extension#FieldGrant",
    "Name": "principal-knowledge-authority -&gt; Functions.SemanticTypeIri",
    "FieldTable": "Functions",
    "FieldName": "SemanticTypeIri",
    "FieldIsDerived": false,
    "IsWritableDerivedField": false,
    "IsMasked": false,
    "GrantKeyWhenReadable": "principal-knowledge-authority|Functions"
   },
   {
    "FieldGrantId": "fg-knowledge-authority-IssueOccurrences.IssueOccurrenceId",
    "Principal": "principal-knowledge-authority",
    "TargetField": "IssueOccurrences.IssueOccurrenceId",
    "CanRead": true,
    "CanWrite": false,
    "MaskStrategy": "plain",
    "SemanticTypeIri": "urn:effortless:pko-extension#FieldGrant",
    "Name": "principal-knowledge-authority -&gt; IssueOccurrences.IssueOccurrenceId",
    "FieldTable": "IssueOccurrences",
    "FieldName": "IssueOccurrenceId",
    "FieldIsDerived": false,
    "IsWritableDerivedField": false,
    "IsMasked": false,
    "GrantKeyWhenReadable": "principal-knowledge-authority|IssueOccurrences"
   },
   {
    "FieldGrantId": "fg-knowledge-authority-IssueOccurrences.Name",
    "Principal": "principal-knowledge-authority",
    "TargetField": "IssueOccurrences.Name",
    "CanRead": true,
    "CanWrite": false,
    "MaskStrategy": "plain",
    "SemanticTypeIri": "urn:effortless:pko-extension#FieldGrant",
    "Name": "principal-knowledge-authority -&gt; IssueOccurrences.Name",
    "FieldTable": "IssueOccurrences",
    "FieldName": "Name",
    "FieldIsDerived": true,
    "IsWritableDerivedField": false,
    "IsMasked": false,
    "GrantKeyWhenReadable": "principal-knowledge-authority|IssueOccurrences"
   },
   {
    "FieldGrantId": "fg-knowledge-authority-IssueOccurrences.StepExecution",
    "Principal": "principal-knowledge-authority",
    "TargetField": "IssueOccurrences.StepExecution",
    "CanRead": true,
    "CanWrite": false,
    "MaskStrategy": "plain",
    "SemanticTypeIri": "urn:effortless:pko-extension#FieldGrant",
    "Name": "principal-knowledge-authority -&gt; IssueOccurrences.StepExecution",
    "FieldTable": "IssueOccurrences",
    "FieldName": "StepExecution",
    "FieldIsDerived": false,
    "IsWritableDerivedField": false,
    "IsMasked": false,
    "GrantKeyWhenReadable": "principal-knowledge-authority|IssueOccurrences"
   },
   {
    "FieldGrantId": "fg-knowledge-authority-IssueOccurrences.Error",
    "Principal": "principal-knowledge-authority",
    "TargetField": "IssueOccurrences.Error",
    "CanRead": true,
    "CanWrite": false,
    "MaskStrategy": "plain",
    "SemanticTypeIri": "urn:effortless:pko-extension#FieldGrant",
    "Name": "principal-knowledge-authority -&gt; IssueOccurrences.Error",
    "FieldTable": "IssueOccurrences",
    "FieldName": "Error",
    "FieldIsDerived": false,
    "IsWritableDerivedField": false,
    "IsMasked": false,
    "GrantKeyWhenReadable": "principal-knowledge-authority|IssueOccurrences"
   },
   {
    "FieldGrantId": "fg-knowledge-authority-IssueOccurrences.EncounteredByAgent",
    "Principal": "principal-knowledge-authority",
    "TargetField": "IssueOccurrences.EncounteredByAgent",
    "CanRead": true,
    "CanWrite": false,
    "MaskStrategy": "plain",
    "SemanticTypeIri": "urn:effortless:pko-extension#FieldGrant",
    "Name": "principal-knowledge-authority -&gt; IssueOccurrences.EncounteredByAgent",
    "FieldTable": "IssueOccurrences",
    "FieldName": "EncounteredByAgent",
    "FieldIsDerived": false,
    "IsWritableDerivedField": false,
    "IsMasked": false,
    "GrantKeyWhenReadable": "principal-knowledge-authority|IssueOccurrences"
   },
   {
    "FieldGrantId": "fg-knowledge-authority-IssueOccurrences.OccurredAt",
    "Principal": "principal-knowledge-authority",
    "TargetField": "IssueOccurrences.OccurredAt",
    "CanRead": true,
    "CanWrite": false,
    "MaskStrategy": "plain",
    "SemanticTypeIri": "urn:effortless:pko-extension#FieldGrant",
    "Name": "principal-knowledge-authority -&gt; IssueOccurrences.OccurredAt",
    "FieldTable": "IssueOccurrences",
    "FieldName": "OccurredAt",
    "FieldIsDerived": false,
    "IsWritableDerivedField": false,
    "IsMasked": false,
    "GrantKeyWhenReadable": "principal-knowledge-authority|IssueOccurrences"
   },
   {
    "FieldGrantId": "fg-knowledge-authority-IssueOccurrences.IssueCause",
    "Principal": "principal-knowledge-authority",
    "TargetField": "IssueOccurrences.IssueCause",
    "CanRead": true,
    "CanWrite": false,
    "MaskStrategy": "plain",
    "SemanticTypeIri": "urn:effortless:pko-extension#FieldGrant",
    "Name": "principal-knowledge-authority -&gt; IssueOccurrences.IssueCause",
    "FieldTable": "IssueOccurrences",
    "FieldName": "IssueCause",
    "FieldIsDerived": false,
    "IsWritableDerivedField": false,
    "IsMasked": false,
    "GrantKeyWhenReadable": "principal-knowledge-authority|IssueOccurrences"
   },
   {
    "FieldGrantId": "fg-knowledge-authority-IssueOccurrences.IssueSolution",
    "Principal": "principal-knowledge-authority",
    "TargetField": "IssueOccurrences.IssueSolution",
    "CanRead": true,
    "CanWrite": false,
    "MaskStrategy": "plain",
    "SemanticTypeIri": "urn:effortless:pko-extension#FieldGrant",
    "Name": "principal-knowledge-authority -&gt; IssueOccurrences.IssueSolution",
    "FieldTable": "IssueOccurrences",
    "FieldName": "IssueSolution",
    "FieldIsDerived": false,
    "IsWritableDerivedField": false,
    "IsMasked": false,
    "GrantKeyWhenReadable": "principal-knowledge-authority|IssueOccurrences"
   },
   {
    "FieldGrantId": "fg-knowledge-authority-IssueOccurrences.Status",
    "Principal": "principal-knowledge-authority",
    "TargetField": "IssueOccurrences.Status",
    "CanRead": true,
    "CanWrite": false,
    "MaskStrategy": "plain",
    "SemanticTypeIri": "urn:effortless:pko-extension#FieldGrant",
    "Name": "principal-knowledge-authority -&gt; IssueOccurrences.Status",
    "FieldTable": "IssueOccurrences",
    "FieldName": "Status",
    "FieldIsDerived": false,
    "IsWritableDerivedField": false,
    "IsMasked": false,
    "GrantKeyWhenReadable": "principal-knowledge-authority|IssueOccurrences"
   },
   {
    "FieldGrantId": "fg-knowledge-authority-IssueOccurrences.IsUnresolved",
    "Principal": "principal-knowledge-authority",
    "TargetField": "IssueOccurrences.IsUnresolved",
    "CanRead": true,
    "CanWrite": false,
    "MaskStrategy": "plain",
    "SemanticTypeIri": "urn:effortless:pko-extension#FieldGrant",
    "Name": "principal-knowledge-authority -&gt; IssueOccurrences.IsUnresolved",
    "FieldTable": "IssueOccurrences",
    "FieldName": "IsUnresolved",
    "FieldIsDerived": true,
    "IsWritableDerivedField": false,
    "IsMasked": false,
    "GrantKeyWhenReadable": "principal-knowledge-authority|IssueOccurrences"
   },
   {
    "FieldGrantId": "fg-knowledge-authority-IssueOccurrences.StepExecutionWhenUnresolved",
    "Principal": "principal-knowledge-authority",
    "TargetField": "IssueOccurrences.StepExecutionWhenUnresolved",
    "CanRead": true,
    "CanWrite": false,
    "MaskStrategy": "plain",
    "SemanticTypeIri": "urn:effortless:pko-extension#FieldGrant",
    "Name": "principal-knowledge-authority -&gt; IssueOccurrences.StepExecutionWhenUnresolved",
    "FieldTable": "IssueOccurrences",
    "FieldName": "StepExecutionWhenUnresolved",
    "FieldIsDerived": true,
    "IsWritableDerivedField": false,
    "IsMasked": false,
    "GrantKeyWhenReadable": "principal-knowledge-authority|IssueOccurrences"
   },
   {
    "FieldGrantId": "fg-knowledge-authority-IssueOccurrences.SemanticTypeIri",
    "Principal": "principal-knowledge-authority",
    "TargetField": "IssueOccurrences.SemanticTypeIri",
    "CanRead": true,
    "CanWrite": false,
    "MaskStrategy": "plain",
    "SemanticTypeIri": "urn:effortless:pko-extension#FieldGrant",
    "Name": "principal-knowledge-authority -&gt; IssueOccurrences.SemanticTypeIri",
    "FieldTable": "IssueOccurrences",
    "FieldName": "SemanticTypeIri",
    "FieldIsDerived": false,
    "IsWritableDerivedField": false,
    "IsMasked": false,
    "GrantKeyWhenReadable": "principal-knowledge-authority|IssueOccurrences"
   },
   {
</t>
  </si>
  <si>
    <t xml:space="preserve">    "FieldGrantId": "fg-knowledge-authority-KnowledgeFragments.KnowledgeFragmentId",
    "Principal": "principal-knowledge-authority",
    "TargetField": "KnowledgeFragments.KnowledgeFragmentId",
    "CanRead": true,
    "CanWrite": false,
    "MaskStrategy": "plain",
    "SemanticTypeIri": "urn:effortless:pko-extension#FieldGrant",
    "Name": "principal-knowledge-authority -&gt; KnowledgeFragments.KnowledgeFragmentId",
    "FieldTable": "KnowledgeFragments",
    "FieldName": "KnowledgeFragmentId",
    "FieldIsDerived": false,
    "IsWritableDerivedField": false,
    "IsMasked": false,
    "GrantKeyWhenReadable": "principal-knowledge-authority|KnowledgeFragments"
   },
   {
    "FieldGrantId": "fg-knowledge-authority-KnowledgeFragments.Name",
    "Principal": "principal-knowledge-authority",
    "TargetField": "KnowledgeFragments.Name",
    "CanRead": true,
    "CanWrite": false,
    "MaskStrategy": "plain",
    "SemanticTypeIri": "urn:effortless:pko-extension#FieldGrant",
    "Name": "principal-knowledge-authority -&gt; KnowledgeFragments.Name",
    "FieldTable": "KnowledgeFragments",
    "FieldName": "Name",
    "FieldIsDerived": true,
    "IsWritableDerivedField": false,
    "IsMasked": false,
    "GrantKeyWhenReadable": "principal-knowledge-authority|KnowledgeFragments"
   },
   {
    "FieldGrantId": "fg-knowledge-authority-KnowledgeFragments.ProcedureVersion",
    "Principal": "principal-knowledge-authority",
    "TargetField": "KnowledgeFragments.ProcedureVersion",
    "CanRead": true,
    "CanWrite": false,
    "MaskStrategy": "plain",
    "SemanticTypeIri": "urn:effortless:pko-extension#FieldGrant",
    "Name": "principal-knowledge-authority -&gt; KnowledgeFragments.ProcedureVersion",
    "FieldTable": "KnowledgeFragments",
    "FieldName": "ProcedureVersion",
    "FieldIsDerived": false,
    "IsWritableDerivedField": false,
    "IsMasked": false,
    "GrantKeyWhenReadable": "principal-knowledge-authority|KnowledgeFragments"
   },
   {
    "FieldGrantId": "fg-knowledge-authority-KnowledgeFragments.Step",
    "Principal": "principal-knowledge-authority",
    "TargetField": "KnowledgeFragments.Step",
    "CanRead": true,
    "CanWrite": false,
    "MaskStrategy": "plain",
    "SemanticTypeIri": "urn:effortless:pko-extension#FieldGrant",
    "Name": "principal-knowledge-authority -&gt; KnowledgeFragments.Step",
    "FieldTable": "KnowledgeFragments",
    "FieldName": "Step",
    "FieldIsDerived": false,
    "IsWritableDerivedField": false,
    "IsMasked": false,
    "GrantKeyWhenReadable": "principal-knowledge-authority|KnowledgeFragments"
   },
   {
    "FieldGrantId": "fg-knowledge-authority-KnowledgeFragments.KnowledgeForm",
    "Principal": "principal-knowledge-authority",
    "TargetField": "KnowledgeFragments.KnowledgeForm",
    "CanRead": true,
    "CanWrite": false,
    "MaskStrategy": "plain",
    "SemanticTypeIri": "urn:effortless:pko-extension#FieldGrant",
    "Name": "principal-knowledge-authority -&gt; KnowledgeFragments.KnowledgeForm",
    "FieldTable": "KnowledgeFragments",
    "FieldName": "KnowledgeForm",
    "FieldIsDerived": false,
    "IsWritableDerivedField": false,
    "IsMasked": false,
    "GrantKeyWhenReadable": "principal-knowledge-authority|KnowledgeFragments"
   },
   {
    "FieldGrantId": "fg-knowledge-authority-KnowledgeFragments.Statement",
    "Principal": "principal-knowledge-authority",
    "TargetField": "KnowledgeFragments.Statement",
    "CanRead": true,
    "CanWrite": false,
    "MaskStrategy": "plain",
    "SemanticTypeIri": "urn:effortless:pko-extension#FieldGrant",
    "Name": "principal-knowledge-authority -&gt; KnowledgeFragments.Statement",
    "FieldTable": "KnowledgeFragments",
    "FieldName": "Statement",
    "FieldIsDerived": false,
    "IsWritableDerivedField": false,
    "IsMasked": false,
    "GrantKeyWhenReadable": "principal-knowledge-authority|KnowledgeFragments"
   },
   {
    "FieldGrantId": "fg-knowledge-authority-KnowledgeFragments.ElicitationSession",
    "Principal": "principal-knowledge-authority",
    "TargetField": "KnowledgeFragments.ElicitationSession",
    "CanRead": true,
    "CanWrite": false,
    "MaskStrategy": "plain",
    "SemanticTypeIri": "urn:effortless:pko-extension#FieldGrant",
    "Name": "principal-knowledge-authority -&gt; KnowledgeFragments.ElicitationSession",
    "FieldTable": "KnowledgeFragments",
    "FieldName": "ElicitationSession",
    "FieldIsDerived": false,
    "IsWritableDerivedField": false,
    "IsMasked": false,
    "GrantKeyWhenReadable": "principal-knowledge-authority|KnowledgeFragments"
   },
   {
    "FieldGrantId": "fg-knowledge-authority-KnowledgeFragments.SourceAgent",
    "Principal": "principal-knowledge-authority",
    "TargetField": "KnowledgeFragments.SourceAgent",
    "CanRead": true,
    "CanWrite": false,
    "MaskStrategy": "plain",
    "SemanticTypeIri": "urn:effortless:pko-extension#FieldGrant",
    "Name": "principal-knowledge-authority -&gt; KnowledgeFragments.SourceAgent",
    "FieldTable": "KnowledgeFragments",
    "FieldName": "SourceAgent",
    "FieldIsDerived": false,
    "IsWritableDerivedField": false,
    "IsMasked": false,
    "GrantKeyWhenReadable": "principal-knowledge-authority|KnowledgeFragments"
   },
   {
    "FieldGrantId": "fg-knowledge-authority-KnowledgeFragments.Confidence",
    "Principal": "principal-knowledge-authority",
    "TargetField": "KnowledgeFragments.Confidence",
    "CanRead": true,
    "CanWrite": false,
    "MaskStrategy": "plain",
    "SemanticTypeIri": "urn:effortless:pko-extension#FieldGrant",
    "Name": "principal-knowledge-authority -&gt; KnowledgeFragments.Confidence",
    "FieldTable": "KnowledgeFragments",
    "FieldName": "Confidence",
    "FieldIsDerived": false,
    "IsWritableDerivedField": false,
    "IsMasked": false,
    "GrantKeyWhenReadable": "principal-knowledge-authority|KnowledgeFragments"
   },
   {
    "FieldGrantId": "fg-knowledge-authority-KnowledgeFragments.ValidFrom",
    "Principal": "principal-knowledge-authority",
    "TargetField": "KnowledgeFragments.ValidFrom",
    "CanRead": true,
    "CanWrite": false,
    "MaskStrategy": "plain",
    "SemanticTypeIri": "urn:effortless:pko-extension#FieldGrant",
    "Name": "principal-knowledge-authority -&gt; KnowledgeFragments.ValidFrom",
    "FieldTable": "KnowledgeFragments",
    "FieldName": "ValidFrom",
    "FieldIsDerived": false,
    "IsWritableDerivedField": false,
    "IsMasked": false,
    "GrantKeyWhenReadable": "principal-knowledge-authority|KnowledgeFragments"
   },
   {
    "FieldGrantId": "fg-knowledge-authority-KnowledgeFragments.ValidTo",
    "Principal": "principal-knowledge-authority",
    "TargetField": "KnowledgeFragments.ValidTo",
    "CanRead": true,
    "CanWrite": false,
    "MaskStrategy": "plain",
    "SemanticTypeIri": "urn:effortless:pko-extension#FieldGrant",
    "Name": "principal-knowledge-authority -&gt; KnowledgeFragments.ValidTo",
    "FieldTable": "KnowledgeFragments",
    "FieldName": "ValidTo",
    "FieldIsDerived": false,
    "IsWritableDerivedField": false,
    "IsMasked": false,
    "GrantKeyWhenReadable": "principal-knowledge-authority|KnowledgeFragments"
   },
   {
    "FieldGrantId": "fg-knowledge-authority-KnowledgeFragments.Status",
    "Principal": "principal-knowledge-authority",
    "TargetField": "KnowledgeFragments.Status",
    "CanRead": true,
    "CanWrite": false,
    "MaskStrategy": "plain",
    "SemanticTypeIri": "urn:effortless:pko-extension#FieldGrant",
    "Name": "principal-knowledge-authority -&gt; KnowledgeFragments.Status",
    "FieldTable": "KnowledgeFragments",
    "FieldName": "Status",
    "FieldIsDerived": false,
    "IsWritableDerivedField": false,
    "IsMasked": false,
    "GrantKeyWhenReadable": "principal-knowledge-authority|KnowledgeFragments"
   },
   {
    "FieldGrantId": "fg-knowledge-authority-KnowledgeFragments.OwnerRole",
    "Principal": "principal-knowledge-authority",
    "TargetField": "KnowledgeFragments.OwnerRole",
    "CanRead": true,
    "CanWrite": false,
    "MaskStrategy": "plain",
    "SemanticTypeIri": "urn:effortless:pko-extension#FieldGrant",
    "Name": "principal-knowledge-authority -&gt; KnowledgeFragments.OwnerRole",
    "FieldTable": "KnowledgeFragments",
    "FieldName": "OwnerRole",
    "FieldIsDerived": false,
    "IsWritableDerivedField": false,
    "IsMasked": false,
    "GrantKeyWhenReadable": "principal-knowledge-authority|KnowledgeFragments"
   },
   {
    "FieldGrantId": "fg-knowledge-authority-KnowledgeFragments.EvaluationContext",
    "Principal": "principal-knowledge-authority",
    "TargetField": "KnowledgeFragments.EvaluationContext",
    "CanRead": true,
    "CanWrite": false,
    "MaskStrategy": "plain",
    "SemanticTypeIri": "urn:effortless:pko-extension#FieldGrant",
    "Name": "principal-knowledge-authority -&gt; KnowledgeFragments.EvaluationContext",
    "FieldTable": "KnowledgeFragments",
    "FieldName": "EvaluationContext",
    "FieldIsDerived": false,
    "IsWritableDerivedField": false,
    "IsMasked": false,
    "GrantKeyWhenReadable": "principal-knowledge-authority|KnowledgeFragments"
   },
   {
    "FieldGrantId": "fg-knowledge-authority-KnowledgeFragments.AsOfInstant",
    "Principal": "principal-knowledge-authority",
    "TargetField": "KnowledgeFragments.AsOfInstant",
    "CanRead": true,
    "CanWrite": false,
    "MaskStrategy": "plain",
    "SemanticTypeIri": "urn:effortless:pko-extension#FieldGrant",
    "Name": "principal-knowledge-authority -&gt; KnowledgeFragments.AsOfInstant",
    "FieldTable": "KnowledgeFragments",
    "FieldName": "AsOfInstant",
    "FieldIsDerived": true,
    "IsWritableDerivedField": false,
    "IsMasked": false,
    "GrantKeyWhenReadable": "principal-knowledge-authority|KnowledgeFragments"
   },
   {
    "FieldGrantId": "fg-knowledge-authority-KnowledgeFragments.IsCurrentlyValid",
    "Principal": "principal-knowledge-authority",
    "TargetField": "KnowledgeFragments.IsCurrentlyValid",
    "CanRead": true,
    "CanWrite": false,
    "MaskStrategy": "plain",
    "SemanticTypeIri": "urn:effortless:pko-extension#FieldGrant",
    "Name": "principal-knowledge-authority -&gt; KnowledgeFragments.IsCurrentlyValid",
    "FieldTable": "KnowledgeFragments",
    "FieldName": "IsCurrentlyValid",
    "FieldIsDerived": true,
    "IsWritableDerivedField": false,
    "IsMasked": false,
    "GrantKeyWhenReadable": "principal-knowledge-authority|KnowledgeFragments"
   },
   {
    "FieldGrantId": "fg-knowledge-authority-KnowledgeFragments.SourceAgentIsStillEngaged",
    "Principal": "principal-knowledge-authority",
    "TargetField": "KnowledgeFragments.SourceAgentIsStillEngaged",
    "CanRead": true,
    "CanWrite": false,
    "MaskStrategy": "plain",
    "SemanticTypeIri": "urn:effortless:pko-extension#FieldGrant",
    "Name": "principal-knowledge-authority -&gt; KnowledgeFragments.SourceAgentIsStillEngaged",
    "FieldTable": "KnowledgeFragments",
    "FieldName": "SourceAgentIsStillEngaged",
    "FieldIsDerived": true,
    "IsWritableDerivedField": false,
    "IsMasked": false,
    "GrantKeyWhenReadable": "principal-knowledge-authority|KnowledgeFragments"
   },
   {
    "FieldGrantId": "fg-knowledge-authority-KnowledgeFragments.SourceAgentKind",
    "Principal": "principal-knowledge-authority",
    "TargetField": "KnowledgeFragments.SourceAgentKind",
    "CanRead": true,
    "CanWrite": false,
    "MaskStrategy": "plain",
    "SemanticTypeIri": "urn:effortless:pko-extension#FieldGrant",
    "Name": "principal-knowledge-authority -&gt; KnowledgeFragments.SourceAgentKind",
    "FieldTable": "KnowledgeFragments",
    "FieldName": "SourceAgentKind",
    "FieldIsDerived": true,
    "IsWritableDerivedField": false,
    "IsMasked": false,
    "GrantKeyWhenReadable": "principal-knowledge-authority|KnowledgeFragments"
   },
   {
    "FieldGrantId": "fg-knowledge-authority-KnowledgeFragments.HasHumanSource",
    "Principal": "principal-knowledge-authority",
    "TargetField": "KnowledgeFragments.HasHumanSource",
    "CanRead": true,
    "CanWrite": false,
    "MaskStrategy": "plain",
    "SemanticTypeIri": "urn:effortless:pko-extension#FieldGrant",
    "Name": "principal-knowledge-authority -&gt; KnowledgeFragments.HasHumanSource",
    "FieldTable": "KnowledgeFragments",
    "FieldName": "HasHumanSource",
    "FieldIsDerived": true,
    "IsWritableDerivedField": false,
    "IsMasked": false,
    "GrantKeyWhenReadable": "principal-knowledge-authority|KnowledgeFragments"
   },
   {
    "FieldGrantId": "fg-knowledge-authority-KnowledgeFragments.HasOrphanedProvenance",
    "Principal": "principal-knowledge-authority",
    "TargetField": "KnowledgeFragments.HasOrphanedProvenance",
    "CanRead": true,
    "CanWrite": false,
    "MaskStrategy": "plain",
    "SemanticTypeIri": "urn:effortless:pko-extension#FieldGrant",
    "Name": "principal-knowledge-authority -&gt; KnowledgeFragments.HasOrphanedProvenance",
    "FieldTable": "KnowledgeFragments",
    "FieldName": "HasOrphanedProvenance",
    "FieldIsDerived": true,
    "IsWritableDerivedField": false,
    "IsMasked": false,
    "GrantKeyWhenReadable": "principal-knowledge-authority|KnowledgeFragments"
   },
   {
    "FieldGrantId": "fg-knowledge-authority-KnowledgeFragments.IsUndefendableTacitClaim",
    "Principal": "principal-knowledge-authority",
    "TargetField": "KnowledgeFragments.IsUndefendableTacitClaim",
    "CanRead": true,
    "CanWrite": false,
    "MaskStrategy": "plain",
    "SemanticTypeIri": "urn:effortless:pko-extension#FieldGrant",
    "Name": "principal-knowledge-authority -&gt; KnowledgeFragments.IsUndefendableTacitClaim",
    "FieldTable": "KnowledgeFragments",
    "FieldName": "IsUndefendableTacitClaim",
    "FieldIsDerived": true,
    "IsWritableDerivedField": false,
    "IsMasked": false,
    "GrantKeyWhenReadable": "principal-knowledge-authority|KnowledgeFragments"
   },
   {
    "FieldGrantId": "fg-knowledge-authority-KnowledgeFragments.IsApproved",
    "Principal": "principal-knowledge-authority",
    "TargetField": "KnowledgeFragments.IsApproved",
    "CanRead": true,
    "CanWrite": false,
    "MaskStrategy": "plain",
    "SemanticTypeIri": "urn:effortless:pko-extension#FieldGrant",
    "Name": "principal-knowledge-authority -&gt; KnowledgeFragments.IsApproved",
    "FieldTable": "KnowledgeFragments",
    "FieldName": "IsApproved",
    "FieldIsDerived": true,
    "IsWritableDerivedField": false,
    "IsMasked": false,
    "GrantKeyWhenReadable": "principal-knowledge-authority|KnowledgeFragments"
   },
   {
    "FieldGrantId": "fg-knowledge-authority-KnowledgeFragments.IsWithinValidityWindow",
    "Principal": "principal-knowledge-authority",
    "TargetField": "KnowledgeFragments.IsWithinValidityWindow",
    "CanRead": true,
    "CanWrite": false,
    "MaskStrategy": "plain",
    "SemanticTypeIri": "urn:effortless:pko-extension#FieldGrant",
    "Name": "principal-knowledge-authority -&gt; KnowledgeFragments.IsWithinValidityWindow",
    "FieldTable": "KnowledgeFragments",
    "FieldName": "IsWithinValidityWindow",
    "FieldIsDerived": true,
    "IsWritableDerivedField": false,
    "IsMasked": false,
    "GrantKeyWhenReadable": "principal-knowledge-authority|KnowledgeFragments"
   },
   {
    "FieldGrantId": "fg-knowledge-authority-KnowledgeFragments.IsReliedUpon",
    "Principal": "principal-knowledge-authority",
    "TargetField": "KnowledgeFragments.IsReliedUpon",
    "CanRead": true,
    "CanWrite": false,
    "MaskStrategy": "plain",
    "SemanticTypeIri": "urn:effortless:pko-extension#FieldGrant",
    "Name": "principal-knowledge-authority -&gt; KnowledgeFragments.IsReliedUpon",
    "FieldTable": "KnowledgeFragments",
    "FieldName": "IsReliedUpon",
    "FieldIsDerived": true,
    "IsWritableDerivedField": false,
    "IsMasked": false,
    "GrantKeyWhenReadable": "principal-knowledge-authority|KnowledgeFragments"
   },
   {
    "FieldGrantId": "fg-knowledge-authority-KnowledgeFragments.StepProcedureVersionStatus",
    "Principal": "principal-knowledge-authority",
    "TargetField": "KnowledgeFragments.StepProcedureVersionStatus",
    "CanRead": true,
    "CanWrite": false,
    "MaskStrategy": "plain",
    "SemanticTypeIri": "urn:effortless:pko-extension#FieldGrant",
    "Name": "principal-knowledge-authority -&gt; KnowledgeFragments.StepProcedureVersionStatus",
    "FieldTable": "KnowledgeFragments",
    "FieldName": "StepProcedureVersionStatus",
    "FieldIsDerived": true,
    "IsWritableDerivedField": false,
    "IsMasked": false,
    "GrantKeyWhenReadable": "principal-knowledge-authority|KnowledgeFragments"
   },
   {
    "FieldGrantId": "fg-knowledge-authority-KnowledgeFragments.IsAttachedToLiveVersion",
    "Principal": "principal-knowledge-authority",
    "TargetField": "KnowledgeFragments.IsAttachedToLiveVersion",
    "CanRead": true,
    "CanWrite": false,
    "MaskStrategy": "plain",
    "SemanticTypeIri": "urn:effortless:pko-extension#FieldGrant",
    "Name": "principal-knowledge-authority -&gt; KnowledgeFragments.IsAttachedToLiveVersion",
    "FieldTable": "KnowledgeFragments",
    "FieldName": "IsAttachedToLiveVersion",
    "FieldIsDerived": true,
    "IsWritableDerivedField": false,
    "IsMasked": false,
    "GrantKeyWhenReadable": "principal-knowledge-authority|KnowledgeFragments"
   },
   {
    "FieldGrantId": "fg-knowledge-authority-KnowledgeFragments.IsUnapprovedButReliedOn",
    "Principal": "principal-knowledge-authority",
    "TargetField": "KnowledgeFragments.IsUnapprovedButReliedOn",
    "CanRead": true,
    "CanWrite": false,
    "MaskStrategy": "plain",
    "SemanticTypeIri": "urn:effortless:pko-extension#FieldGrant",
    "Name": "principal-knowledge-authority -&gt; KnowledgeFragments.IsUnapprovedButReliedOn",
    "FieldTable": "KnowledgeFragments",
    "FieldName": "IsUnapprovedButReliedOn",
    "FieldIsDerived": true,
    "IsWritableDerivedField": false,
    "IsMasked": false,
    "GrantKeyWhenReadable": "principal-knowledge-authority|KnowledgeFragments"
   },
   {
    "FieldGrantId": "fg-knowledge-authority-KnowledgeFragments.EvidenceAgeDays",
    "Principal": "principal-knowledge-authority",
    "TargetField": "KnowledgeFragments.EvidenceAgeDays",
    "CanRead": true,
    "CanWrite": false,
    "MaskStrategy": "plain",
    "SemanticTypeIri": "urn:effortless:pko-extension#FieldGrant",
    "Name": "principal-knowledge-authority -&gt; KnowledgeFragments.EvidenceAgeDays",
    "FieldTable": "KnowledgeFragments",
    "FieldName": "EvidenceAgeDays",
    "FieldIsDerived": true,
    "IsWritableDerivedField": false,
    "IsMasked": false,
    "GrantKeyWhenReadable": "principal-knowledge-authority|KnowledgeFragments"
   },
   {
    "FieldGrantId": "fg-knowledge-authority-KnowledgeFragments.HasRecordedElicitation",
    "Principal": "principal-knowledge-authority",
    "TargetField": "KnowledgeFragments.HasRecordedElicitation",
    "CanRead": true,
    "CanWrite": false,
    "MaskStrategy": "plain",
    "SemanticTypeIri": "urn:effortless:pko-extension#FieldGrant",
    "Name": "principal-knowledge-authority -&gt; KnowledgeFragments.HasRecordedElicitation",
    "FieldTable": "KnowledgeFragments",
    "FieldName": "HasRecordedElicitation",
    "FieldIsDerived": true,
    "IsWritableDerivedField": false,
    "IsMasked": false,
    "GrantKeyWhenReadable": "principal-knowledge-authority|KnowledgeFragments"
   },
   {
    "FieldGrantId": "fg-knowledge-authority-KnowledgeFragments.IsFromSingleWitness",
    "Principal": "principal-knowledge-authority",
    "TargetField": "KnowledgeFragments.IsFromSingleWitness",
    "CanRead": true,
    "CanWrite": false,
    "MaskStrategy": "plain",
    "SemanticTypeIri": "urn:effortless:pko-extension#FieldGrant",
    "Name": "principal-knowledge-authority -&gt; KnowledgeFragments.IsFromSingleWitness",
    "FieldTable": "KnowledgeFragments",
    "FieldName": "IsFromSingleWitness",
    "FieldIsDerived": true,
    "IsWritableDerivedField": false,
    "IsMasked": false,
    "GrantKeyWhenReadable": "principal-knowledge-authority|KnowledgeFragments"
   },
   {
    "FieldGrantId": "fg-knowledge-authority-KnowledgeFragments.EvidenceExpiryDays",
    "Principal": "principal-knowledge-authority",
    "TargetField": "KnowledgeFragments.EvidenceExpiryDays",
    "CanRead": true,
    "CanWrite": false,
    "MaskStrategy": "plain",
    "SemanticTypeIri": "urn:effortless:pko-extension#FieldGrant",
    "Name": "principal-knowledge-authority -&gt; KnowledgeFragments.EvidenceExpiryDays",
    "FieldTable": "KnowledgeFragments",
    "FieldName": "EvidenceExpiryDays",
    "FieldIsDerived": true,
    "IsWritableDerivedField": false,
    "IsMasked": false,
    "GrantKeyWhenReadable": "principal-knowledge-authority|KnowledgeFragments"
   },
   {
    "FieldGrantId": "fg-knowledge-authority-KnowledgeFragments.EvidenceHasExpired",
    "Principal": "principal-knowledge-authority",
    "TargetField": "KnowledgeFragments.EvidenceHasExpired",
    "CanRead": true,
    "CanWrite": false,
    "MaskStrategy": "plain",
    "SemanticTypeIri": "urn:effortless:pko-extension#FieldGrant",
    "Name": "principal-knowledge-authority -&gt; KnowledgeFragments.EvidenceHasExpired",
    "FieldTable": "KnowledgeFragments",
    "FieldName": "EvidenceHasExpired",
    "FieldIsDerived": true,
    "IsWritableDerivedField": false,
    "IsMasked": false,
    "GrantKeyWhenReadable": "principal-knowledge-authority|KnowledgeFragments"
   },
   {
    "FieldGrantId": "fg-knowledge-authority-KnowledgeFragments.OwnerAgent",
    "Principal": "principal-knowledge-authority",
    "TargetField": "KnowledgeFragments.OwnerAgent",
    "CanRead": true,
    "CanWrite": false,
    "MaskStrategy": "plain",
    "SemanticTypeIri": "urn:effortless:pko-extension#FieldGrant",
    "Name": "principal-knowledge-authority -&gt; KnowledgeFragments.OwnerAgent",
    "FieldTable": "KnowledgeFragments",
    "FieldName": "OwnerAgent",
    "FieldIsDerived": true,
    "IsWritableDerivedField": false,
    "IsMasked": false,
    "GrantKeyWhenReadable": "principal-knowledge-authority|KnowledgeFragments"
   },
   {
    "FieldGrantId": "fg-knowledge-authority-KnowledgeFragments.IsAwaitingApproval",
    "Principal": "principal-knowledge-authority",
    "TargetField": "KnowledgeFragments.IsAwaitingApproval",
    "CanRead": true,
    "CanWrite": false,
    "MaskStrategy": "plain",
    "SemanticTypeIri": "urn:effortless:pko-extension#FieldGrant",
    "Name": "principal-knowledge-authority -&gt; KnowledgeFragments.IsAwaitingApproval",
    "FieldTable": "KnowledgeFragments",
    "FieldName": "IsAwaitingApproval",
    "FieldIsDerived": true,
    "IsWritableDerivedField": false,
    "IsMasked": false,
    "GrantKeyWhenReadable": "principal-knowledge-authority|KnowledgeFragments"
   },
   {
    "FieldGrantId": "fg-knowledge-authority-KnowledgeFragments.OwnerIsMe",
    "Principal": "principal-knowledge-authority",
    "TargetField": "KnowledgeFragments.OwnerIsMe",
    "CanRead": true,
    "CanWrite": false,
    "MaskStrategy": "plain",
    "SemanticTypeIri": "urn:effortless:pko-extension#FieldGrant",
    "Name": "principal-knowledge-authority -&gt; KnowledgeFragments.OwnerIsMe",
    "FieldTable": "KnowledgeFragments",
    "FieldName": "OwnerIsMe",
    "FieldIsDerived": true,
    "IsWritableDerivedField": false,
    "IsMasked": false,
    "GrantKeyWhenReadable": "principal-knowledge-authority|KnowledgeFragments"
   },
   {
    "FieldGrantId": "fg-knowledge-authority-KnowledgeFragments.IsMyUnfinishedApproval",
    "Principal": "principal-knowledge-authority",
    "TargetField": "KnowledgeFragments.IsMyUnfinishedApproval",
    "CanRead": true,
    "CanWrite": false,
    "MaskStrategy": "plain",
    "SemanticTypeIri": "urn:effortless:pko-extension#FieldGrant",
    "Name": "principal-knowledge-authority -&gt; KnowledgeFragments.IsMyUnfinishedApproval",
    "FieldTable": "KnowledgeFragments",
    "FieldName": "IsMyUnfinishedApproval",
    "FieldIsDerived": true,
    "IsWritableDerivedField": false,
    "IsMasked": false,
    "GrantKeyWhenReadable": "principal-knowledge-authority|KnowledgeFragments"
   },
   {
    "FieldGrantId": "fg-knowledge-authority-KnowledgeFragments.IsInvokedByAnException",
    "Principal": "principal-knowledge-authority",
    "TargetField": "KnowledgeFragments.IsInvokedByAnException",
    "CanRead": true,
    "CanWrite": false,
    "MaskStrategy": "plain",
    "SemanticTypeIri": "urn:effortless:pko-extension#FieldGrant",
    "Name": "principal-knowledge-authority -&gt; KnowledgeFragments.IsInvokedByAnException",
    "FieldTable": "KnowledgeFragments",
    "FieldName": "IsInvokedByAnException",
    "FieldIsDerived": true,
    "IsWritableDerivedField": false,
    "IsMasked": false,
    "GrantKeyWhenReadable": "principal-knowledge-authority|KnowledgeFragments"
   },
   {
    "FieldGrantId": "fg-knowledge-authority-KnowledgeFragments.HasOperationalReliance",
    "Principal": "principal-knowledge-authority",
    "TargetField": "KnowledgeFragments.HasOperationalReliance",
    "CanRead": true,
    "CanWrite": false,
    "MaskStrategy": "plain",
    "SemanticTypeIri": "urn:effortless:pko-extension#FieldGrant",
    "Name": "principal-knowledge-authority -&gt; KnowledgeFragments.HasOperationalReliance",
    "FieldTable": "KnowledgeFragments",
    "FieldName": "HasOperationalReliance",
    "FieldIsDerived": true,
    "IsWritableDerivedField": false,
    "IsMasked": false,
    "GrantKeyWhenReadable": "principal-knowledge-authority|KnowledgeFragments"
   },
   {
    "FieldGrantId": "fg-knowledge-authority-KnowledgeFragments.IsUnapprovedAndOperationallyLive",
    "Principal": "principal-knowledge-authority",
    "TargetField": "KnowledgeFragments.IsUnapprovedAndOperationallyLive",
    "CanRead": true,
    "CanWrite": false,
    "MaskStrategy": "plain",
    "SemanticTypeIri": "urn:effortless:pko-extension#FieldGrant",
    "Name": "principal-knowledge-authority -&gt; KnowledgeFragments.IsUnapprovedAndOperationallyLive",
    "FieldTable": "KnowledgeFragments",
    "FieldName": "IsUnapprovedAndOperationallyLive",
    "FieldIsDerived": true,
    "IsWritableDerivedField": false,
    "IsMasked": false,
    "GrantKeyWhenReadable": "principal-knowledge-authority|KnowledgeFragments"
   },
   {
    "FieldGrantId": "fg-knowledge-authority-KnowledgeFragments.AgeDays",
    "Principal": "principal-knowledge-authority",
    "TargetField": "KnowledgeFragments.AgeDays",
    "CanRead": true,
    "CanWrite": false,
    "MaskStrategy": "plain",
    "SemanticTypeIri": "urn:effortless:pko-extension#FieldGrant",
    "Name": "principal-knowledge-authority -&gt; KnowledgeFragments.AgeDays",
    "FieldTable": "KnowledgeFragments",
    "FieldName": "AgeDays",
    "FieldIsDerived": true,
    "IsWritableDerivedField": false,
    "IsMasked": false,
    "GrantKeyWhenReadable": "principal-knowledge-authority|KnowledgeFragments"
   },
   {
    "FieldGrantId": "fg-knowledge-authority-KnowledgeFragments.IsLowConfidence",
    "Principal": "principal-knowledge-authority",
    "TargetField": "KnowledgeFragments.IsLowConfidence",
    "CanRead": true,
    "CanWrite": false,
    "MaskStrategy": "plain",
    "SemanticTypeIri": "urn:effortless:pko-extension#FieldGrant",
    "Name": "principal-knowledge-authority -&gt; KnowledgeFragments.IsLowConfidence",
    "FieldTable": "KnowledgeFragments",
    "FieldName": "IsLowConfidence",
    "FieldIsDerived": true,
    "IsWritableDerivedField": false,
    "IsMasked": false,
    "GrantKeyWhenReadable": "principal-knowledge-authority|KnowledgeFragments"
   },
   {
    "FieldGrantId": "fg-knowledge-authority-KnowledgeFragments.OwningVersionCadenceDays",
    "Principal": "principal-knowledge-authority",
    "TargetField": "KnowledgeFragments.OwningVersionCadenceDays",
    "CanRead": true,
    "CanWrite": false,
    "MaskStrategy": "plain",
    "SemanticTypeIri": "urn:effortless:pko-extension#FieldGrant",
    "Name": "principal-knowledge-authority -&gt; KnowledgeFragments.OwningVersionCadenceDays",
    "FieldTable": "KnowledgeFragments",
    "FieldName": "OwningVersionCadenceDays",
    "FieldIsDerived": true,
    "IsWritableDerivedField": false,
    "IsMasked": false,
    "GrantKeyWhenReadable": "principal-knowledge-authority|KnowledgeFragments"
   },
   {
    "FieldGrantId": "fg-knowledge-authority-KnowledgeFragments.ExceedsOwningCadence",
    "Principal": "principal-knowledge-authority",
    "TargetField": "KnowledgeFragments.ExceedsOwningCadence",
    "CanRead": true,
    "CanWrite": false,
    "MaskStrategy": "plain",
    "SemanticTypeIri": "urn:effortless:pko-extension#FieldGrant",
    "Name": "principal-knowledge-authority -&gt; KnowledgeFragments.ExceedsOwningCadence",
    "FieldTable": "KnowledgeFragments",
    "FieldName": "ExceedsOwningCadence",
    "FieldIsDerived": true,
    "IsWritableDerivedField": false,
    "IsMasked": false,
    "GrantKeyWhenReadable": "principal-knowledge-authority|KnowledgeFragments"
   },
   {
    "FieldGrantId": "fg-knowledge-authority-KnowledgeFragments.IsAgingLowConfidenceClaim",
    "Principal": "principal-knowledge-authority",
    "TargetField": "KnowledgeFragments.IsAgingLowConfidenceClaim",
    "CanRead": true,
    "CanWrite": false,
    "MaskStrategy": "plain",
    "SemanticTypeIri": "urn:effortless:pko-extension#FieldGrant",
    "Name": "principal-knowledge-authority -&gt; KnowledgeFragments.IsAgingLowConfidenceClaim",
    "FieldTable": "KnowledgeFragments",
    "FieldName": "IsAgingLowConfidenceClaim",
    "FieldIsDerived": true,
    "IsWritableDerivedField": false,
    "IsMasked": false,
    "GrantKeyWhenReadable": "principal-knowledge-authority|KnowledgeFragments"
   },
   {
    "FieldGrantId": "fg-knowledge-authority-KnowledgeFragments.OwnerRoleAgentKind",
    "Principal": "principal-knowledge-authority",
    "TargetField": "KnowledgeFragments.OwnerRoleAgentKind",
    "CanRead": true,
    "CanWrite": false,
    "MaskStrategy": "plain",
    "SemanticTypeIri": "urn:effortless:pko-extension#FieldGrant",
    "Name": "principal-knowledge-authority -&gt; KnowledgeFragments.OwnerRoleAgentKind",
    "FieldTable": "KnowledgeFragments",
    "FieldName": "OwnerRoleAgentKind",
    "FieldIsDerived": true,
    "IsWritableDerivedField": false,
    "IsMasked": false,
    "GrantKeyWhenReadable": "principal-knowledge-authority|KnowledgeFragments"
   },
   {
    "FieldGrantId": "fg-knowledge-authority-KnowledgeFragments.IsHumanOwned",
    "Principal": "principal-knowledge-authority",
    "TargetField": "KnowledgeFragments.IsHumanOwned",
    "CanRead": true,
    "CanWrite": false,
    "MaskStrategy": "plain",
    "SemanticTypeIri": "urn:effortless:pko-extension#FieldGrant",
    "Name": "principal-knowledge-authority -&gt; KnowledgeFragments.IsHumanOwned",
    "FieldTable": "KnowledgeFragments",
    "FieldName": "IsHumanOwned",
    "FieldIsDerived": true,
    "IsWritableDerivedField": false,
    "IsMasked": false,
    "GrantKeyWhenReadable": "principal-knowledge-authority|KnowledgeFragments"
   },
   {
    "FieldGrantId": "fg-knowledge-authority-KnowledgeFragments.IsAiValidatedByAi",
    "Principal": "principal-knowledge-authority",
    "TargetField": "KnowledgeFragments.IsAiValidatedByAi",
    "CanRead": true,
    "CanWrite": false,
    "MaskStrategy": "plain",
    "SemanticTypeIri": "urn:effortless:pko-extension#FieldGrant",
    "Name": "principal-knowledge-authority -&gt; KnowledgeFragments.IsAiValidatedByAi",
    "FieldTable": "KnowledgeFragments",
    "FieldName": "IsAiValidatedByAi",
    "FieldIsDerived": true,
    "IsWritableDerivedField": false,
    "IsMasked": false,
    "GrantKeyWhenReadable": "principal-knowledge-authority|KnowledgeFragments"
   },
   {
    "FieldGrantId": "fg-knowledge-authority-KnowledgeFragments.ReviewCadenceDays",
    "Principal": "principal-knowledge-authority",
    "TargetField": "KnowledgeFragments.ReviewCadenceDays",
    "CanRead": true,
    "CanWrite": false,
    "MaskStrategy": "plain",
    "SemanticTypeIri": "urn:effortless:pko-extension#FieldGrant",
    "Name": "principal-knowledge-authority -&gt; KnowledgeFragments.ReviewCadenceDays",
    "FieldTable": "KnowledgeFragments",
    "FieldName": "ReviewCadenceDays",
    "FieldIsDerived": true,
    "IsWritableDerivedField": false,
    "IsMasked": false,
    "GrantKeyWhenReadable": "principal-knowledge-authority|KnowledgeFragments"
   },
   {
    "FieldGrantId": "fg-knowledge-authority-KnowledgeFragments.IsOverdueForReview",
    "Principal": "principal-knowledge-authority",
    "TargetField": "KnowledgeFragments.IsOverdueForReview",
    "CanRead": true,
    "CanWrite": false,
    "MaskStrategy": "plain",
    "SemanticTypeIri": "urn:effortless:pko-extension#FieldGrant",
    "Name": "principal-knowledge-authority -&gt; KnowledgeFragments.IsOverdueForReview",
    "FieldTable": "KnowledgeFragments",
    "FieldName": "IsOverdueForReview",
    "FieldIsDerived": true,
    "IsWritableDerivedField": false,
    "IsMasked": false,
    "GrantKeyWhenReadable": "principal-knowledge-authority|KnowledgeFrag</t>
  </si>
  <si>
    <t xml:space="preserve">ments"
   },
   {
    "FieldGrantId": "fg-knowledge-authority-KnowledgeFragments.PredatesCurrentRoleHolder",
    "Principal": "principal-knowledge-authority",
    "TargetField": "KnowledgeFragments.PredatesCurrentRoleHolder",
    "CanRead": true,
    "CanWrite": false,
    "MaskStrategy": "plain",
    "SemanticTypeIri": "urn:effortless:pko-extension#FieldGrant",
    "Name": "principal-knowledge-authority -&gt; KnowledgeFragments.PredatesCurrentRoleHolder",
    "FieldTable": "KnowledgeFragments",
    "FieldName": "PredatesCurrentRoleHolder",
    "FieldIsDerived": true,
    "IsWritableDerivedField": false,
    "IsMasked": false,
    "GrantKeyWhenReadable": "principal-knowledge-authority|KnowledgeFragments"
   },
   {
    "FieldGrantId": "fg-knowledge-authority-KnowledgeFragments.OwnerRoleAssignmentValidFrom",
    "Principal": "principal-knowledge-authority",
    "TargetField": "KnowledgeFragments.OwnerRoleAssignmentValidFrom",
    "CanRead": true,
    "CanWrite": false,
    "MaskStrategy": "plain",
    "SemanticTypeIri": "urn:effortless:pko-extension#FieldGrant",
    "Name": "principal-knowledge-authority -&gt; KnowledgeFragments.OwnerRoleAssignmentValidFrom",
    "FieldTable": "KnowledgeFragments",
    "FieldName": "OwnerRoleAssignmentValidFrom",
    "FieldIsDerived": true,
    "IsWritableDerivedField": false,
    "IsMasked": false,
    "GrantKeyWhenReadable": "principal-knowledge-authority|KnowledgeFragments"
   },
   {
    "FieldGrantId": "fg-knowledge-authority-KnowledgeFragments.LastReviewedAt",
    "Principal": "principal-knowledge-authority",
    "TargetField": "KnowledgeFragments.LastReviewedAt",
    "CanRead": true,
    "CanWrite": false,
    "MaskStrategy": "plain",
    "SemanticTypeIri": "urn:effortless:pko-extension#FieldGrant",
    "Name": "principal-knowledge-authority -&gt; KnowledgeFragments.LastReviewedAt",
    "FieldTable": "KnowledgeFragments",
    "FieldName": "LastReviewedAt",
    "FieldIsDerived": false,
    "IsWritableDerivedField": false,
    "IsMasked": false,
    "GrantKeyWhenReadable": "principal-knowledge-authority|KnowledgeFragments"
   },
   {
    "FieldGrantId": "fg-knowledge-authority-KnowledgeFragments.FragilitySignalCount",
    "Principal": "principal-knowledge-authority",
    "TargetField": "KnowledgeFragments.FragilitySignalCount",
    "CanRead": true,
    "CanWrite": false,
    "MaskStrategy": "plain",
    "SemanticTypeIri": "urn:effortless:pko-extension#FieldGrant",
    "Name": "principal-knowledge-authority -&gt; KnowledgeFragments.FragilitySignalCount",
    "FieldTable": "KnowledgeFragments",
    "FieldName": "FragilitySignalCount",
    "FieldIsDerived": true,
    "IsWritableDerivedField": false,
    "IsMasked": false,
    "GrantKeyWhenReadable": "principal-knowledge-authority|KnowledgeFragments"
   },
   {
    "FieldGrantId": "fg-knowledge-authority-KnowledgeFragments.IsCompoundFragile",
    "Principal": "principal-knowledge-authority",
    "TargetField": "KnowledgeFragments.IsCompoundFragile",
    "CanRead": true,
    "CanWrite": false,
    "MaskStrategy": "plain",
    "SemanticTypeIri": "urn:effortless:pko-extension#FieldGrant",
    "Name": "principal-knowledge-authority -&gt; KnowledgeFragments.IsCompoundFragile",
    "FieldTable": "KnowledgeFragments",
    "FieldName": "IsCompoundFragile",
    "FieldIsDerived": true,
    "IsWritableDerivedField": false,
    "IsMasked": false,
    "GrantKeyWhenReadable": "principal-knowledge-authority|KnowledgeFragments"
   },
   {
    "FieldGrantId": "fg-knowledge-authority-KnowledgeFragments.IsSinglePointOfFailure",
    "Principal": "principal-knowledge-authority",
    "TargetField": "KnowledgeFragments.IsSinglePointOfFailure",
    "CanRead": true,
    "CanWrite": false,
    "MaskStrategy": "plain",
    "SemanticTypeIri": "urn:effortless:pko-extension#FieldGrant",
    "Name": "principal-knowledge-authority -&gt; KnowledgeFragments.IsSinglePointOfFailure",
    "FieldTable": "KnowledgeFragments",
    "FieldName": "IsSinglePointOfFailure",
    "FieldIsDerived": true,
    "IsWritableDerivedField": false,
    "IsMasked": false,
    "GrantKeyWhenReadable": "principal-knowledge-authority|KnowledgeFragments"
   },
   {
    "FieldGrantId": "fg-knowledge-authority-KnowledgeFragments.IsExpiringSinglePointOfFailure",
    "Principal": "principal-knowledge-authority",
    "TargetField": "KnowledgeFragments.IsExpiringSinglePointOfFailure",
    "CanRead": true,
    "CanWrite": false,
    "MaskStrategy": "plain",
    "SemanticTypeIri": "urn:effortless:pko-extension#FieldGrant",
    "Name": "principal-knowledge-authority -&gt; KnowledgeFragments.IsExpiringSinglePointOfFailure",
    "FieldTable": "KnowledgeFragments",
    "FieldName": "IsExpiringSinglePointOfFailure",
    "FieldIsDerived": true,
    "IsWritableDerivedField": false,
    "IsMasked": false,
    "GrantKeyWhenReadable": "principal-knowledge-authority|KnowledgeFragments"
   },
   {
    "FieldGrantId": "fg-knowledge-authority-KnowledgeFragments.CompoundFragileVersionKey",
    "Principal": "principal-knowledge-authority",
    "TargetField": "KnowledgeFragments.CompoundFragileVersionKey",
    "CanRead": true,
    "CanWrite": false,
    "MaskStrategy": "plain",
    "SemanticTypeIri": "urn:effortless:pko-extension#FieldGrant",
    "Name": "principal-knowledge-authority -&gt; KnowledgeFragments.CompoundFragileVersionKey",
    "FieldTable": "KnowledgeFragments",
    "FieldName": "CompoundFragileVersionKey",
    "FieldIsDerived": true,
    "IsWritableDerivedField": false,
    "IsMasked": false,
    "GrantKeyWhenReadable": "principal-knowledge-authority|KnowledgeFragments"
   },
   {
    "FieldGrantId": "fg-knowledge-authority-KnowledgeFragments.ValidFragmentSessionKey",
    "Principal": "principal-knowledge-authority",
    "TargetField": "KnowledgeFragments.ValidFragmentSessionKey",
    "CanRead": true,
    "CanWrite": false,
    "MaskStrategy": "plain",
    "SemanticTypeIri": "urn:effortless:pko-extension#FieldGrant",
    "Name": "principal-knowledge-authority -&gt; KnowledgeFragments.ValidFragmentSessionKey",
    "FieldTable": "KnowledgeFragments",
    "FieldName": "ValidFragmentSessionKey",
    "FieldIsDerived": true,
    "IsWritableDerivedField": false,
    "IsMasked": false,
    "GrantKeyWhenReadable": "principal-knowledge-authority|KnowledgeFragments"
   },
   {
    "FieldGrantId": "fg-knowledge-authority-KnowledgeFragments.ConsumingStepIsSoftwareAssigned",
    "Principal": "principal-knowledge-authority",
    "TargetField": "KnowledgeFragments.ConsumingStepIsSoftwareAssigned",
    "CanRead": true,
    "CanWrite": false,
    "MaskStrategy": "plain",
    "SemanticTypeIri": "urn:effortless:pko-extension#FieldGrant",
    "Name": "principal-knowledge-authority -&gt; KnowledgeFragments.ConsumingStepIsSoftwareAssigned",
    "FieldTable": "KnowledgeFragments",
    "FieldName": "ConsumingStepIsSoftwareAssigned",
    "FieldIsDerived": true,
    "IsWritableDerivedField": false,
    "IsMasked": false,
    "GrantKeyWhenReadable": "principal-knowledge-authority|KnowledgeFragments"
   },
   {
    "FieldGrantId": "fg-knowledge-authority-KnowledgeFragments.ConsumingStepAgentKind",
    "Principal": "principal-knowledge-authority",
    "TargetField": "KnowledgeFragments.ConsumingStepAgentKind",
    "CanRead": true,
    "CanWrite": false,
    "MaskStrategy": "plain",
    "SemanticTypeIri": "urn:effortless:pko-extension#FieldGrant",
    "Name": "principal-knowledge-authority -&gt; KnowledgeFragments.ConsumingStepAgentKind",
    "FieldTable": "KnowledgeFragments",
    "FieldName": "ConsumingStepAgentKind",
    "FieldIsDerived": true,
    "IsWritableDerivedField": false,
    "IsMasked": false,
    "GrantKeyWhenReadable": "principal-knowledge-authority|KnowledgeFragments"
   },
   {
    "FieldGrantId": "fg-knowledge-authority-KnowledgeFragments.IsUnapprovedAndMachineConsumed",
    "Principal": "principal-knowledge-authority",
    "TargetField": "KnowledgeFragments.IsUnapprovedAndMachineConsumed",
    "CanRead": true,
    "CanWrite": false,
    "MaskStrategy": "plain",
    "SemanticTypeIri": "urn:effortless:pko-extension#FieldGrant",
    "Name": "principal-knowledge-authority -&gt; KnowledgeFragments.IsUnapprovedAndMachineConsumed",
    "FieldTable": "KnowledgeFragments",
    "FieldName": "IsUnapprovedAndMachineConsumed",
    "FieldIsDerived": true,
    "IsWritableDerivedField": false,
    "IsMasked": false,
    "GrantKeyWhenReadable": "principal-knowledge-authority|KnowledgeFragments"
   },
   {
    "FieldGrantId": "fg-knowledge-authority-KnowledgeFragments.IsUnapprovedAndHumanConsumed",
    "Principal": "principal-knowledge-authority",
    "TargetField": "KnowledgeFragments.IsUnapprovedAndHumanConsumed",
    "CanRead": true,
    "CanWrite": false,
    "MaskStrategy": "plain",
    "SemanticTypeIri": "urn:effortless:pko-extension#FieldGrant",
    "Name": "principal-knowledge-authority -&gt; KnowledgeFragments.IsUnapprovedAndHumanConsumed",
    "FieldTable": "KnowledgeFragments",
    "FieldName": "IsUnapprovedAndHumanConsumed",
    "FieldIsDerived": true,
    "IsWritableDerivedField": false,
    "IsMasked": false,
    "GrantKeyWhenReadable": "principal-knowledge-authority|KnowledgeFragments"
   },
   {
    "FieldGrantId": "fg-knowledge-authority-KnowledgeFragments.MachineConsumedUnapprovedVersionKey",
    "Principal": "principal-knowledge-authority",
    "TargetField": "KnowledgeFragments.MachineConsumedUnapprovedVersionKey",
    "CanRead": true,
    "CanWrite": false,
    "MaskStrategy": "plain",
    "SemanticTypeIri": "urn:effortless:pko-extension#FieldGrant",
    "Name": "principal-knowledge-authority -&gt; KnowledgeFragments.MachineConsumedUnapprovedVersionKey",
    "FieldTable": "KnowledgeFragments",
    "FieldName": "MachineConsumedUnapprovedVersionKey",
    "FieldIsDerived": true,
    "IsWritableDerivedField": false,
    "IsMasked": false,
    "GrantKeyWhenReadable": "principal-knowledge-authority|KnowledgeFragments"
   },
   {
    "FieldGrantId": "fg-knowledge-authority-KnowledgeFragments.HasReviewRecord",
    "Principal": "principal-knowledge-authority",
    "TargetField": "KnowledgeFragments.HasReviewRecord",
    "CanRead": true,
    "CanWrite": false,
    "MaskStrategy": "plain",
    "SemanticTypeIri": "urn:effortless:pko-extension#FieldGrant",
    "Name": "principal-knowledge-authority -&gt; KnowledgeFragments.HasReviewRecord",
    "FieldTable": "KnowledgeFragments",
    "FieldName": "HasReviewRecord",
    "FieldIsDerived": true,
    "IsWritableDerivedField": false,
    "IsMasked": false,
    "GrantKeyWhenReadable": "principal-knowledge-authority|KnowledgeFragments"
   },
   {
    "FieldGrantId": "fg-knowledge-authority-KnowledgeFragments.DaysSinceActualReview",
    "Principal": "principal-knowledge-authority",
    "TargetField": "KnowledgeFragments.DaysSinceActualReview",
    "CanRead": true,
    "CanWrite": false,
    "MaskStrategy": "plain",
    "SemanticTypeIri": "urn:effortless:pko-extension#FieldGrant",
    "Name": "principal-knowledge-authority -&gt; KnowledgeFragments.DaysSinceActualReview",
    "FieldTable": "KnowledgeFragments",
    "FieldName": "DaysSinceActualReview",
    "FieldIsDerived": true,
    "IsWritableDerivedField": false,
    "IsMasked": false,
    "GrantKeyWhenReadable": "principal-knowledge-authority|KnowledgeFragments"
   },
   {
    "FieldGrantId": "fg-knowledge-authority-KnowledgeFragments.IsUnreviewedSinceAuthoring",
    "Principal": "principal-knowledge-authority",
    "TargetField": "KnowledgeFragments.IsUnreviewedSinceAuthoring",
    "CanRead": true,
    "CanWrite": false,
    "MaskStrategy": "plain",
    "SemanticTypeIri": "urn:effortless:pko-extension#FieldGrant",
    "Name": "principal-knowledge-authority -&gt; KnowledgeFragments.IsUnreviewedSinceAuthoring",
    "FieldTable": "KnowledgeFragments",
    "FieldName": "IsUnreviewedSinceAuthoring",
    "FieldIsDerived": true,
    "IsWritableDerivedField": false,
    "IsMasked": false,
    "GrantKeyWhenReadable": "principal-knowledge-authority|KnowledgeFragments"
   },
   {
    "FieldGrantId": "fg-knowledge-authority-KnowledgeFragments.IsGenuinelyOverdue",
    "Principal": "principal-knowledge-authority",
    "TargetField": "KnowledgeFragments.IsGenuinelyOverdue",
    "CanRead": true,
    "CanWrite": false,
    "MaskStrategy": "plain",
    "SemanticTypeIri": "urn:effortless:pko-extension#FieldGrant",
    "Name": "principal-knowledge-authority -&gt; KnowledgeFragments.IsGenuinelyOverdue",
    "FieldTable": "KnowledgeFragments",
    "FieldName": "IsGenuinelyOverdue",
    "FieldIsDerived": true,
    "IsWritableDerivedField": false,
    "IsMasked": false,
    "GrantKeyWhenReadable": "principal-knowledge-authority|KnowledgeFragments"
   },
   {
    "FieldGrantId": "fg-knowledge-authority-KnowledgeFragments.ReviewRecencyIsInferred",
    "Principal": "principal-knowledge-authority",
    "TargetField": "KnowledgeFragments.ReviewRecencyIsInferred",
    "CanRead": true,
    "CanWrite": false,
    "MaskStrategy": "plain",
    "SemanticTypeIri": "urn:effortless:pko-extension#FieldGrant",
    "Name": "principal-knowledge-authority -&gt; KnowledgeFragments.ReviewRecencyIsInferred",
    "FieldTable": "KnowledgeFragments",
    "FieldName": "ReviewRecencyIsInferred",
    "FieldIsDerived": true,
    "IsWritableDerivedField": false,
    "IsMasked": false,
    "GrantKeyWhenReadable": "principal-knowledge-authority|KnowledgeFragments"
   },
   {
    "FieldGrantId": "fg-knowledge-authority-KnowledgeFragments.InferenceDisagreesWithRecord",
    "Principal": "principal-knowledge-authority",
    "TargetField": "KnowledgeFragments.InferenceDisagreesWithRecord",
    "CanRead": true,
    "CanWrite": false,
    "MaskStrategy": "plain",
    "SemanticTypeIri": "urn:effortless:pko-extension#FieldGrant",
    "Name": "principal-knowledge-authority -&gt; KnowledgeFragments.InferenceDisagreesWithRecord",
    "FieldTable": "KnowledgeFragments",
    "FieldName": "InferenceDisagreesWithRecord",
    "FieldIsDerived": true,
    "IsWritableDerivedField": false,
    "IsMasked": false,
    "GrantKeyWhenReadable": "principal-knowledge-authority|KnowledgeFragments"
   },
   {
    "FieldGrantId": "fg-knowledge-authority-KnowledgeFragments.GenuinelyOverdueVersionKey",
    "Principal": "principal-knowledge-authority",
    "TargetField": "KnowledgeFragments.GenuinelyOverdueVersionKey",
    "CanRead": true,
    "CanWrite": false,
    "MaskStrategy": "plain",
    "SemanticTypeIri": "urn:effortless:pko-extension#FieldGrant",
    "Name": "principal-knowledge-authority -&gt; KnowledgeFragments.GenuinelyOverdueVersionKey",
    "FieldTable": "KnowledgeFragments",
    "FieldName": "GenuinelyOverdueVersionKey",
    "FieldIsDerived": true,
    "IsWritableDerivedField": false,
    "IsMasked": false,
    "GrantKeyWhenReadable": "principal-knowledge-authority|KnowledgeFragments"
   },
   {
    "FieldGrantId": "fg-knowledge-authority-KnowledgeFragments.RatifiedBoundaryCount",
    "Principal": "principal-knowledge-authority",
    "TargetField": "KnowledgeFragments.RatifiedBoundaryCount",
    "CanRead": true,
    "CanWrite": false,
    "MaskStrategy": "plain",
    "SemanticTypeIri": "urn:effortless:pko-extension#FieldGrant",
    "Name": "principal-knowledge-authority -&gt; KnowledgeFragments.RatifiedBoundaryCount",
    "FieldTable": "KnowledgeFragments",
    "FieldName": "RatifiedBoundaryCount",
    "FieldIsDerived": true,
    "IsWritableDerivedField": false,
    "IsMasked": false,
    "GrantKeyWhenReadable": "principal-knowledge-authority|KnowledgeFragments"
   },
   {
    "FieldGrantId": "fg-knowledge-authority-KnowledgeFragments.RelianceSurfaceCount",
    "Principal": "principal-knowledge-authority",
    "TargetField": "KnowledgeFragments.RelianceSurfaceCount",
    "CanRead": true,
    "CanWrite": false,
    "MaskStrategy": "plain",
    "SemanticTypeIri": "urn:effortless:pko-extension#FieldGrant",
    "Name": "principal-knowledge-authority -&gt; KnowledgeFragments.RelianceSurfaceCount",
    "FieldTable": "KnowledgeFragments",
    "FieldName": "RelianceSurfaceCount",
    "FieldIsDerived": true,
    "IsWritableDerivedField": false,
    "IsMasked": false,
    "GrantKeyWhenReadable": "principal-knowledge-authority|KnowledgeFragments"
   },
   {
    "FieldGrantId": "fg-knowledge-authority-KnowledgeFragments.DaysAwaitingMyApproval",
    "Principal": "principal-knowledge-authority",
    "TargetField": "KnowledgeFragments.DaysAwaitingMyApproval",
    "CanRead": true,
    "CanWrite": false,
    "MaskStrategy": "plain",
    "SemanticTypeIri": "urn:effortless:pko-extension#FieldGrant",
    "Name": "principal-knowledge-authority -&gt; KnowledgeFragments.DaysAwaitingMyApproval",
    "FieldTable": "KnowledgeFragments",
    "FieldName": "DaysAwaitingMyApproval",
    "FieldIsDerived": true,
    "IsWritableDerivedField": false,
    "IsMasked": false,
    "GrantKeyWhenReadable": "principal-knowledge-authority|KnowledgeFragments"
   },
   {
    "FieldGrantId": "fg-knowledge-authority-KnowledgeFragments.IsHighBlastRadiusUnapproved",
    "Principal": "principal-knowledge-authority",
    "TargetField": "KnowledgeFragments.IsHighBlastRadiusUnapproved",
    "CanRead": true,
    "CanWrite": false,
    "MaskStrategy": "plain",
    "SemanticTypeIri": "urn:effortless:pko-extension#FieldGrant",
    "Name": "principal-knowledge-authority -&gt; KnowledgeFragments.IsHighBlastRadiusUnapproved",
    "FieldTable": "KnowledgeFragments",
    "FieldName": "IsHighBlastRadiusUnapproved",
    "FieldIsDerived": true,
    "IsWritableDerivedField": false,
    "IsMasked": false,
    "GrantKeyWhenReadable": "principal-knowledge-authority|KnowledgeFragments"
   },
   {
    "FieldGrantId": "fg-knowledge-authority-KnowledgeFragments.IsLongUnapproved",
    "Principal": "principal-knowledge-authority",
    "TargetField": "KnowledgeFragments.IsLongUnapproved",
    "CanRead": true,
    "CanWrite": false,
    "MaskStrategy": "plain",
    "SemanticTypeIri": "urn:effortless:pko-extension#FieldGrant",
    "Name": "principal-knowledge-authority -&gt; KnowledgeFragments.IsLongUnapproved",
    "FieldTable": "KnowledgeFragments",
    "FieldName": "IsLongUnapproved",
    "FieldIsDerived": true,
    "IsWritableDerivedField": false,
    "IsMasked": false,
    "GrantKeyWhenReadable": "principal-knowledge-authority|KnowledgeFragments"
   },
   {
    "FieldGrantId": "fg-knowledge-authority-KnowledgeFragments.UnapprovedLoadBearingVersionKey",
    "Principal": "principal-knowledge-authority",
    "TargetField": "KnowledgeFragments.UnapprovedLoadBearingVersionKey",
    "CanRead": true,
    "CanWrite": false,
    "MaskStrategy": "plain",
    "SemanticTypeIri": "urn:effortless:pko-extension#FieldGrant",
    "Name": "principal-knowledge-authority -&gt; KnowledgeFragments.UnapprovedLoadBearingVersionKey",
    "FieldTable": "KnowledgeFragments",
    "FieldName": "UnapprovedLoadBearingVersionKey",
    "FieldIsDerived": true,
    "IsWritableDerivedField": false,
    "IsMasked": false,
    "GrantKeyWhenReadable": "principal-knowledge-authority|KnowledgeFragments"
   },
   {
    "FieldGrantId": "fg-knowledge-authority-KnowledgeFragments.OwnerRoleIsVacated",
    "Principal": "principal-knowledge-authority",
    "TargetField": "KnowledgeFragments.OwnerRoleIsVacated",
    "CanRead": true,
    "CanWrite": false,
    "MaskStrategy": "plain",
    "SemanticTypeIri": "urn:effortless:pko-extension#FieldGrant",
    "Name": "principal-knowledge-authority -&gt; KnowledgeFragments.OwnerRoleIsVacated",
    "FieldTable": "KnowledgeFragments",
    "FieldName": "OwnerRoleIsVacated",
    "FieldIsDerived": true,
    "IsWritableDerivedField": false,
    "IsMasked": false,
    "GrantKeyWhenReadable": "principal-knowledge-authority|KnowledgeFragments"
   },
   {
    "FieldGrantId": "fg-knowledge-authority-KnowledgeFragments.IsOrphanedByRole",
    "Principal": "principal-knowledge-authority",
    "TargetField": "KnowledgeFragments.IsOrphanedByRole",
    "CanRead": true,
    "CanWrite": false,
    "MaskStrategy": "plain",
    "SemanticTypeIri": "urn:effortless:pko-extension#FieldGrant",
    "Name": "principal-knowledge-authority -&gt; KnowledgeFragments.IsOrphanedByRole",
    "FieldTable": "KnowledgeFragments",
    "FieldName": "IsOrphanedByRole",
    "FieldIsDerived": true,
    "IsWritableDerivedField": false,
    "IsMasked": false,
    "GrantKeyWhenReadable": "principal-knowledge-authority|KnowledgeFragments"
   },
   {
    "FieldGrantId": "fg-knowledge-authority-KnowledgeFragments.ValidFragmentVersionKey",
    "Principal": "principal-knowledge-authority",
    "TargetField": "KnowledgeFragments.ValidFragmentVersionKey",
    "CanRead": true,
    "CanWrite": false,
    "MaskStrategy": "plain",
    "SemanticTypeIri": "urn:effortless:pko-extension#FieldGrant",
    "Name": "principal-knowledge-authority -&gt; KnowledgeFragments.ValidFragmentVersionKey",
    "FieldTable": "KnowledgeFragments",
    "FieldName": "ValidFragmentVersionKey",
    "FieldIsDerived": true,
    "IsWritableDerivedField": false,
    "IsMasked": false,
    "GrantKeyWhenReadable": "principal-knowledge-authority|KnowledgeFragments"
   },
   {
    "FieldGrantId": "fg-knowledge-authority-KnowledgeFragments.SemanticTypeIri",
    "Principal": "principal-knowledge-authority",
    "TargetField": "KnowledgeFragments.SemanticTypeIri",
    "CanRead": true,
    "CanWrite": false,
    "MaskStrategy": "plain",
    "SemanticTypeIri": "urn:effortless:pko-extension#FieldGrant",
    "Name": "principal-knowledge-authority -&gt; KnowledgeFragments.SemanticTypeIri",
    "FieldTable": "KnowledgeFragments",
    "FieldName": "SemanticTypeIri",
    "FieldIsDerived": false,
    "IsWritableDerivedField": false,
    "IsMasked": false,
    "GrantKeyWhenReadable": "principal-knowledge-authority|KnowledgeFragments"
   },
   {
    "FieldGrantId": "fg-knowledge-authority-KnowledgeGaps.KnowledgeGapId",
    "Principal": "principal-knowledge-authority",
    "TargetField": "KnowledgeGaps.KnowledgeGapId",
    "CanRead": true,
    "CanWrite": false,
    "MaskStrategy": "plain",
    "SemanticTypeIri": "urn:effortless:pko-extension#FieldGrant",
    "Name": "principal-knowledge-authority -&gt; KnowledgeGaps.KnowledgeGapId",
    "FieldTable": "KnowledgeGaps",
    "FieldName": "KnowledgeGapId",
    "FieldIsDerived": false,
    "IsWritableDerivedField": false,
    "IsMasked": false,
    "GrantKeyWhenReadable": "principal-knowledge-authority|KnowledgeGaps"
   },
   {
    "FieldGrantId": "fg-knowledge-authority-KnowledgeGaps.Name",
    "Principal": "principal-knowledge-authority",
    "TargetField": "KnowledgeGaps.Name",
    "CanRead": true,
    "CanWrite": false,
    "MaskStrategy": "plain",
    "SemanticTypeIri": "urn:effortless:pko-extension#FieldGrant",
    "Name": "principal-knowledge-authority -&gt; KnowledgeGaps.Name",
    "FieldTable": "KnowledgeGaps",
    "FieldName": "Name",
    "FieldIsDerived": true,
    "IsWritableDerivedField": false,
    "IsMasked": false,
    "GrantKeyWhenReadable": "principal-knowledge-authority|KnowledgeGaps"
   },
   {
    "FieldGrantId": "fg-knowledge-authority-KnowledgeGaps.ProcedureVersion",
    "Principal": "principal-knowledge-authority",
    "TargetField": "KnowledgeGaps.ProcedureVersion",
    "CanRead": true,
    "CanWrite": false,
    "MaskStrategy": "plain",
    "SemanticTypeIri": "urn:effortless:pko-extension#FieldGrant",
    "Name": "principal-knowledge-authority -&gt; KnowledgeGaps.ProcedureVersion",
    "FieldTable": "KnowledgeGaps",
    "FieldName": "ProcedureVersion",
    "FieldIsDerived": false,
    "IsWritableDerivedField": false,
    "IsMasked": false,
    "GrantKeyWhenReadable": "principal-knowledge-authority|KnowledgeGaps"
   },
   {
    "FieldGrantId": "fg-knowledge-authority-KnowledgeGaps.Step",
    "Principal": "principal-knowledge-authority",
    "TargetField": "KnowledgeGaps.Step",
    "CanRead": true,
    "CanWrite": false,
    "MaskStrategy": "plain",
    "SemanticTypeIri": "urn:effortless:pko-extension#FieldGrant",
    "Name": "principal-knowledge-authority -&gt; KnowledgeGaps.Step",
    "FieldTable": "KnowledgeGaps",
    "FieldName": "Step",
    "FieldIsDerived": false,
    "IsWritableDerivedField": false,
    "IsMasked": false,
    "GrantKeyWhenReadable": "principal-knowledge-authority|KnowledgeGaps"
   },
   {
    "FieldGrantId": "fg-knowledge-authority-KnowledgeGaps.Statement",
    "Principal": "principal-knowledge-authority",
    "TargetField": "KnowledgeGaps.Statement",
    "CanRead": true,
    "CanWrite": false,
    "MaskStrategy": "plain",
    "SemanticTypeIri": "urn:effortless:pko-extension#FieldGrant",
    "Name": "principal-knowledge-authority -&gt; KnowledgeGaps.Statement",
    "FieldTable": "KnowledgeGaps",
    "FieldName": "Statement",
    "FieldIsDerived": false,
    "IsWritableDerivedField": false,
    "IsMasked": false,
    "GrantKeyWhenReadable": "principal-knowledge-authority|KnowledgeGaps"
   },
   {
    "FieldGrantId": "fg-knowledge-authority-KnowledgeGaps.Severity",
    "Principal": "principal-knowledge-authority",
    "TargetField": "KnowledgeGaps.Severity",
    "CanRead": true,
    "CanWrite": false,
    "MaskStrategy": "plain",
    "SemanticTypeIri": "urn:effortless:pko-extension#FieldGrant",
    "Name": "principal-knowledge-authority -&gt; KnowledgeGaps.Severity",
    "FieldTable": "KnowledgeGaps",
    "FieldName": "Severity",
    "FieldIsDerived": false,
    "IsWritableDerivedField": false,
    "IsMasked": false,
    "GrantKeyWhenReadable": "principal-knowledge-authority|KnowledgeGaps"
   },
   {
    "FieldGrantId": "fg-knowledge-authority-KnowledgeGaps.BlockingKind",
    "Principal": "principal-knowledge-authority",
    "TargetField": "KnowledgeGaps.BlockingKind",
    "CanRead": true,
    "CanWrite": false,
    "MaskStrategy": "plain",
    "SemanticTypeIri": "urn:effortless:pko-extension#FieldGrant",
    "Name": "principal-knowledge-authority -&gt; KnowledgeGaps.BlockingKind",
    "FieldTable": "KnowledgeGaps",
    "FieldName": "BlockingKind",
    "FieldIsDerived": false,
    "IsWritableDerivedField": false,
    "IsMasked": false,
    "GrantKeyWhenReadable": "principal-knowledge-authority|KnowledgeGaps"
   },
   {
    "FieldGrantId": "fg-knowledge-authority-KnowledgeGaps.Status",
    "Principal": "principal-knowledge-authority",
    "TargetField": "KnowledgeGaps.Status",
    "CanRead": true,
    "CanWrite": false,
    "MaskStrategy": "plain",
    "SemanticTypeIri": "urn:effortless:pko-extension#FieldGrant",
    "Name": "principal-knowledge-authority -&gt; KnowledgeGaps.Status",
    "FieldTable": "KnowledgeGaps",
    "FieldName": "Status",
    "FieldIsDerived": false,
    "IsWritableDerivedField": false,
    "IsMasked": false,
    "GrantKeyWhenReadable": "principal-knowledge-authority|KnowledgeGaps"
   },
   {
    "FieldGrantId": "fg-knowledge-authority-KnowledgeGaps.OwnerRole",
    "Principal": "principal-knowledge-authority",
    "TargetField": "KnowledgeGaps.OwnerRole",
    "CanRead": true,
    "CanWrite": false,
    "MaskStrategy": "plain",
    "SemanticTypeIri": "urn:effortless:pko-extension#FieldGrant",
    "Name": "principal-knowledge-authority -&gt; KnowledgeGaps.OwnerRole",
    "FieldTable": "KnowledgeGaps",
    "FieldName": "OwnerRole",
    "FieldIsDerived": false,
    "IsWritableDerivedField": false,
    "IsMasked": false,
    "GrantKeyWhenReadable": "principal-knowledge-authority|KnowledgeGaps"
   },
   {
    "FieldGrantId": "fg-knowledge-authority-KnowledgeGaps.IdentifiedAt",
    "Principal": "principal-knowledge-authority",
    "TargetField": "KnowledgeGaps.IdentifiedAt",
    "CanRead": true,
    "CanWrite": false,
    "MaskStrategy": "plain",
    "SemanticTypeIri": "urn:effortless:pko-extension#FieldGrant",
    "Name": "principal-knowledge-authority -&gt; KnowledgeGaps.IdentifiedAt",
    "FieldTable": "KnowledgeGaps",
    "FieldName": "IdentifiedAt",
    "FieldIsDerived": false,
    "IsWritableDerivedField": false,
    "IsMasked": false,
    "GrantKeyWhenReadable": "principal-knowledge-authority|KnowledgeGaps"
   },
   {
    "FieldGrantId": "fg-knowledge-authority-KnowledgeGaps.ResolutionPlan",
    "Principal": "principal-knowledge-authority",
    "TargetField": "KnowledgeGaps.ResolutionPlan",
    "CanRead": true,
    "CanWrite": false,
    "MaskStrategy": "plain",
    "SemanticTypeIri": "urn:effortless:pko-extension#FieldGrant",
    "Name": "principal-knowledge-authority -&gt; KnowledgeGaps.ResolutionPlan",
    "FieldTable": "KnowledgeGaps",
    "FieldName": "ResolutionPlan",
    "FieldIsDerived": false,
    "IsWritableDerivedField": false,
    "IsMasked": false,
    "GrantKeyWhenReadable": "principal-knowledge-authority|KnowledgeGaps"
   },
   {
    "FieldGrantId": "fg-knowledge-authority-KnowledgeGaps.IsOpen",
    "Principal": "principal-knowledge-authority",
    "TargetField": "KnowledgeGaps.IsOpen",
    "CanRead": true,
    "CanWrite": false,
    "MaskStrategy": "plain",
    "SemanticTypeIri": "urn:effortless:pko-extension#FieldGrant",
    "Name": "principal-knowledge-authority -&gt; KnowledgeGaps.IsOpen",
    "FieldTable": "KnowledgeGaps",
    "FieldName": "IsOpen",
    "FieldIsDerived": true,
    "IsWritableDerivedField": false,
    "IsMasked": false,
    "GrantKeyWhenReadable": "principal-knowledge-authority|KnowledgeGaps"
   },
   {
    "FieldGrantId": "fg-knowledge-authority-KnowledgeGaps.OpenGapVersionKey",
    "Principal": "principal-knowledge-authority",
    "TargetField": "KnowledgeGaps.OpenGapVersionKey",
    "CanRead": true,
    "CanWrite": false,
    "MaskStrategy": "plain",
    "SemanticTypeIri": "urn:effortless:pko-extension#FieldGrant",
    "Name": "principal-knowledge-authority -&gt; KnowledgeGaps.OpenGapVersionKey",
    "FieldTable": "KnowledgeGaps",
    "FieldName": "OpenGapVersionKey",
    "FieldIsDerived": true,
    "IsWritableDerivedField": false,
    "IsMasked": false,
    "GrantKeyWhenReadable": "principal-knowledge-authority|KnowledgeGaps"
   },
   {
    "FieldGrantId": "fg-knowledge-authority-KnowledgeGaps.IsBlocking",
    "Principal": "principal-knowledge-authority",
    "TargetField": "KnowledgeGaps.IsBlocking",
    "CanRead": true,
    "CanWrite": false,
    "MaskStrategy": "plain",
    "SemanticTypeIri": "urn:effortless:pko-extension#FieldGrant",
    "Name": "principal-knowledge-authority -&gt; KnowledgeGaps.IsBlocking",
    "FieldTable": "KnowledgeGaps",
    "FieldName": "IsBlocking",
    "FieldIsDerived": true,
    "IsWritableDerivedField": false,
    "IsMasked": false,
    "GrantKeyWhenReadable": "principal-knowledge-authority|KnowledgeGaps"
   },
   {
    "FieldGrantId": "fg-knowledge-authority-KnowledgeGaps.IsOpenAndBlocking",
    "Principal": "principal-knowledge-authority",
    "TargetField": "KnowledgeGaps.IsOpenAndBlocking",
    "CanRead": true,
    "CanWrite": false,
    "MaskStrategy": "plain",
    "SemanticTypeIri": "urn:effortless:pko-extension#FieldGrant",
    "Name": "principal-knowledge-authority -&gt; KnowledgeGaps.IsOpenAndBlocking",
    "FieldTable": "KnowledgeGaps",
    "FieldName": "IsOpenAndBlocking",
    "FieldIsDerived": true,
    "IsWritableDerivedField": false,
    "IsMasked": false,
    "GrantKeyWhenReadable": "principal-knowledge-authority|KnowledgeGaps"
   },
   {
    "FieldGrantId": "fg-knowledge-authority-KnowledgeGaps.EvaluationContext",
    "Principal": "principal-knowledge-authority",
    "TargetField": "KnowledgeGaps.EvaluationContext",
    "CanRead": true,
    "CanWrite": false,
    "MaskStrategy": "plain",
    "SemanticTypeIri": "urn:effortless:pko-extension#FieldGrant",
    "Name": "principal-knowledge-authority -&gt; KnowledgeGaps.EvaluationContext",
    "FieldTable": "KnowledgeGaps",
    "FieldName": "EvaluationContext",
    "FieldIsDerived": false,
    "IsWritableDerivedField": false,
    "IsMasked": false,
    "GrantKeyWhenReadable": "principal-knowledge-authority|KnowledgeGaps"
   },
   {
    "FieldGrantId": "fg-knowledge-authority-KnowledgeGaps.AsOfInstant",
    "Principal": "principal-knowledge-authority",
    "TargetField": "KnowledgeGaps.AsOfInstant",
    "CanRead": true,
    "CanWrite": false,
    "MaskStrategy": "plain",
    "SemanticTypeIri": "urn:effortless:pko-extension#FieldGrant",
    "Name": "principal-knowledge-authority -&gt; KnowledgeGaps.AsOfInstant",
    "FieldTable": "KnowledgeGaps",
    "FieldName": "AsOfInstant",
    "FieldIsDerived": true,
    "IsWritableDerivedField": false,
    "IsMasked": false,
    "GrantKeyWhenReadable": "principal-knowledge-authority|KnowledgeGaps"
   },
   {
    "FieldGrantId": "fg-knowledge-authority-KnowledgeGaps.DaysOpen",
    "Principal": "principal-knowledge-authority",
    "TargetField": "KnowledgeGaps.DaysOpen",
    "CanRead": true,
    "CanWrite": false,
    "MaskStrategy": "plain",
    "SemanticTypeIri": "urn:effortless:pko-extension#FieldGrant",
    "Name": "principal-knowledge-authority -&gt; KnowledgeGaps.DaysOpen",
    "FieldTable": "KnowledgeGaps",
    "FieldName": "DaysOpen",
    "FieldIsDerived": true,
    "IsWritableDerivedField": false,
    "IsMasked": false,
    "GrantKeyWhenReadable": "princi</t>
  </si>
  <si>
    <t xml:space="preserve">pal-knowledge-authority|KnowledgeGaps"
   },
   {
    "FieldGrantId": "fg-knowledge-authority-KnowledgeGaps.ToleranceDays",
    "Principal": "principal-knowledge-authority",
    "TargetField": "KnowledgeGaps.ToleranceDays",
    "CanRead": true,
    "CanWrite": false,
    "MaskStrategy": "plain",
    "SemanticTypeIri": "urn:effortless:pko-extension#FieldGrant",
    "Name": "principal-knowledge-authority -&gt; KnowledgeGaps.ToleranceDays",
    "FieldTable": "KnowledgeGaps",
    "FieldName": "ToleranceDays",
    "FieldIsDerived": true,
    "IsWritableDerivedField": false,
    "IsMasked": false,
    "GrantKeyWhenReadable": "principal-knowledge-authority|KnowledgeGaps"
   },
   {
    "FieldGrantId": "fg-knowledge-authority-KnowledgeGaps.IsOverdueGap",
    "Principal": "principal-knowledge-authority",
    "TargetField": "KnowledgeGaps.IsOverdueGap",
    "CanRead": true,
    "CanWrite": false,
    "MaskStrategy": "plain",
    "SemanticTypeIri": "urn:effortless:pko-extension#FieldGrant",
    "Name": "principal-knowledge-authority -&gt; KnowledgeGaps.IsOverdueGap",
    "FieldTable": "KnowledgeGaps",
    "FieldName": "IsOverdueGap",
    "FieldIsDerived": true,
    "IsWritableDerivedField": false,
    "IsMasked": false,
    "GrantKeyWhenReadable": "principal-knowledge-authority|KnowledgeGaps"
   },
   {
    "FieldGrantId": "fg-knowledge-authority-KnowledgeGaps.OwnerAgent",
    "Principal": "principal-knowledge-authority",
    "TargetField": "KnowledgeGaps.OwnerAgent",
    "CanRead": true,
    "CanWrite": false,
    "MaskStrategy": "plain",
    "SemanticTypeIri": "urn:effortless:pko-extension#FieldGrant",
    "Name": "principal-knowledge-authority -&gt; KnowledgeGaps.OwnerAgent",
    "FieldTable": "KnowledgeGaps",
    "FieldName": "OwnerAgent",
    "FieldIsDerived": true,
    "IsWritableDerivedField": false,
    "IsMasked": false,
    "GrantKeyWhenReadable": "principal-knowledge-authority|KnowledgeGaps"
   },
   {
    "FieldGrantId": "fg-knowledge-authority-KnowledgeGaps.OwnerIsStillEngaged",
    "Principal": "principal-knowledge-authority",
    "TargetField": "KnowledgeGaps.OwnerIsStillEngaged",
    "CanRead": true,
    "CanWrite": false,
    "MaskStrategy": "plain",
    "SemanticTypeIri": "urn:effortless:pko-extension#FieldGrant",
    "Name": "principal-knowledge-authority -&gt; KnowledgeGaps.OwnerIsStillEngaged",
    "FieldTable": "KnowledgeGaps",
    "FieldName": "OwnerIsStillEngaged",
    "FieldIsDerived": true,
    "IsWritableDerivedField": false,
    "IsMasked": false,
    "GrantKeyWhenReadable": "principal-knowledge-authority|KnowledgeGaps"
   },
   {
    "FieldGrantId": "fg-knowledge-authority-KnowledgeGaps.HasResolutionPlan",
    "Principal": "principal-knowledge-authority",
    "TargetField": "KnowledgeGaps.HasResolutionPlan",
    "CanRead": true,
    "CanWrite": false,
    "MaskStrategy": "plain",
    "SemanticTypeIri": "urn:effortless:pko-extension#FieldGrant",
    "Name": "principal-knowledge-authority -&gt; KnowledgeGaps.HasResolutionPlan",
    "FieldTable": "KnowledgeGaps",
    "FieldName": "HasResolutionPlan",
    "FieldIsDerived": true,
    "IsWritableDerivedField": false,
    "IsMasked": false,
    "GrantKeyWhenReadable": "principal-knowledge-authority|KnowledgeGaps"
   },
   {
    "FieldGrantId": "fg-knowledge-authority-KnowledgeGaps.IsAbandonedUnknown",
    "Principal": "principal-knowledge-authority",
    "TargetField": "KnowledgeGaps.IsAbandonedUnknown",
    "CanRead": true,
    "CanWrite": false,
    "MaskStrategy": "plain",
    "SemanticTypeIri": "urn:effortless:pko-extension#FieldGrant",
    "Name": "principal-knowledge-authority -&gt; KnowledgeGaps.IsAbandonedUnknown",
    "FieldTable": "KnowledgeGaps",
    "FieldName": "IsAbandonedUnknown",
    "FieldIsDerived": true,
    "IsWritableDerivedField": false,
    "IsMasked": false,
    "GrantKeyWhenReadable": "principal-knowledge-authority|KnowledgeGaps"
   },
   {
    "FieldGrantId": "fg-knowledge-authority-KnowledgeGaps.OpenBlockingGapVersionKey",
    "Principal": "principal-knowledge-authority",
    "TargetField": "KnowledgeGaps.OpenBlockingGapVersionKey",
    "CanRead": true,
    "CanWrite": false,
    "MaskStrategy": "plain",
    "SemanticTypeIri": "urn:effortless:pko-extension#FieldGrant",
    "Name": "principal-knowledge-authority -&gt; KnowledgeGaps.OpenBlockingGapVersionKey",
    "FieldTable": "KnowledgeGaps",
    "FieldName": "OpenBlockingGapVersionKey",
    "FieldIsDerived": true,
    "IsWritableDerivedField": false,
    "IsMasked": false,
    "GrantKeyWhenReadable": "principal-knowledge-authority|KnowledgeGaps"
   },
   {
    "FieldGrantId": "fg-knowledge-authority-KnowledgeGaps.OwnerRoleIsVacated",
    "Principal": "principal-knowledge-authority",
    "TargetField": "KnowledgeGaps.OwnerRoleIsVacated",
    "CanRead": true,
    "CanWrite": false,
    "MaskStrategy": "plain",
    "SemanticTypeIri": "urn:effortless:pko-extension#FieldGrant",
    "Name": "principal-knowledge-authority -&gt; KnowledgeGaps.OwnerRoleIsVacated",
    "FieldTable": "KnowledgeGaps",
    "FieldName": "OwnerRoleIsVacated",
    "FieldIsDerived": true,
    "IsWritableDerivedField": false,
    "IsMasked": false,
    "GrantKeyWhenReadable": "principal-knowledge-authority|KnowledgeGaps"
   },
   {
    "FieldGrantId": "fg-knowledge-authority-KnowledgeGaps.IsOwnerlessOpenGap",
    "Principal": "principal-knowledge-authority",
    "TargetField": "KnowledgeGaps.IsOwnerlessOpenGap",
    "CanRead": true,
    "CanWrite": false,
    "MaskStrategy": "plain",
    "SemanticTypeIri": "urn:effortless:pko-extension#FieldGrant",
    "Name": "principal-knowledge-authority -&gt; KnowledgeGaps.IsOwnerlessOpenGap",
    "FieldTable": "KnowledgeGaps",
    "FieldName": "IsOwnerlessOpenGap",
    "FieldIsDerived": true,
    "IsWritableDerivedField": false,
    "IsMasked": false,
    "GrantKeyWhenReadable": "principal-knowledge-authority|KnowledgeGaps"
   },
   {
    "FieldGrantId": "fg-knowledge-authority-KnowledgeGaps.SemanticTypeIri",
    "Principal": "principal-knowledge-authority",
    "TargetField": "KnowledgeGaps.SemanticTypeIri",
    "CanRead": true,
    "CanWrite": false,
    "MaskStrategy": "plain",
    "SemanticTypeIri": "urn:effortless:pko-extension#FieldGrant",
    "Name": "principal-knowledge-authority -&gt; KnowledgeGaps.SemanticTypeIri",
    "FieldTable": "KnowledgeGaps",
    "FieldName": "SemanticTypeIri",
    "FieldIsDerived": false,
    "IsWritableDerivedField": false,
    "IsMasked": false,
    "GrantKeyWhenReadable": "principal-knowledge-authority|KnowledgeGaps"
   },
   {
    "FieldGrantId": "fg-knowledge-authority-LearningActivities.LearningActivityId",
    "Principal": "principal-knowledge-authority",
    "TargetField": "LearningActivities.LearningActivityId",
    "CanRead": true,
    "CanWrite": false,
    "MaskStrategy": "plain",
    "SemanticTypeIri": "urn:effortless:pko-extension#FieldGrant",
    "Name": "principal-knowledge-authority -&gt; LearningActivities.LearningActivityId",
    "FieldTable": "LearningActivities",
    "FieldName": "LearningActivityId",
    "FieldIsDerived": false,
    "IsWritableDerivedField": false,
    "IsMasked": false,
    "GrantKeyWhenReadable": "principal-knowledge-authority|LearningActivities"
   },
   {
    "FieldGrantId": "fg-knowledge-authority-LearningActivities.Name",
    "Principal": "principal-knowledge-authority",
    "TargetField": "LearningActivities.Name",
    "CanRead": true,
    "CanWrite": false,
    "MaskStrategy": "plain",
    "SemanticTypeIri": "urn:effortless:pko-extension#FieldGrant",
    "Name": "principal-knowledge-authority -&gt; LearningActivities.Name",
    "FieldTable": "LearningActivities",
    "FieldName": "Name",
    "FieldIsDerived": true,
    "IsWritableDerivedField": false,
    "IsMasked": false,
    "GrantKeyWhenReadable": "principal-knowledge-authority|LearningActivities"
   },
   {
    "FieldGrantId": "fg-knowledge-authority-LearningActivities.CommunityOfPractice",
    "Principal": "principal-knowledge-authority",
    "TargetField": "LearningActivities.CommunityOfPractice",
    "CanRead": true,
    "CanWrite": false,
    "MaskStrategy": "plain",
    "SemanticTypeIri": "urn:effortless:pko-extension#FieldGrant",
    "Name": "principal-knowledge-authority -&gt; LearningActivities.CommunityOfPractice",
    "FieldTable": "LearningActivities",
    "FieldName": "CommunityOfPractice",
    "FieldIsDerived": false,
    "IsWritableDerivedField": false,
    "IsMasked": false,
    "GrantKeyWhenReadable": "principal-knowledge-authority|LearningActivities"
   },
   {
    "FieldGrantId": "fg-knowledge-authority-LearningActivities.ProcedureVersion",
    "Principal": "principal-knowledge-authority",
    "TargetField": "LearningActivities.ProcedureVersion",
    "CanRead": true,
    "CanWrite": false,
    "MaskStrategy": "plain",
    "SemanticTypeIri": "urn:effortless:pko-extension#FieldGrant",
    "Name": "principal-knowledge-authority -&gt; LearningActivities.ProcedureVersion",
    "FieldTable": "LearningActivities",
    "FieldName": "ProcedureVersion",
    "FieldIsDerived": false,
    "IsWritableDerivedField": false,
    "IsMasked": false,
    "GrantKeyWhenReadable": "principal-knowledge-authority|LearningActivities"
   },
   {
    "FieldGrantId": "fg-knowledge-authority-LearningActivities.ActivityKind",
    "Principal": "principal-knowledge-authority",
    "TargetField": "LearningActivities.ActivityKind",
    "CanRead": true,
    "CanWrite": false,
    "MaskStrategy": "plain",
    "SemanticTypeIri": "urn:effortless:pko-extension#FieldGrant",
    "Name": "principal-knowledge-authority -&gt; LearningActivities.ActivityKind",
    "FieldTable": "LearningActivities",
    "FieldName": "ActivityKind",
    "FieldIsDerived": false,
    "IsWritableDerivedField": false,
    "IsMasked": false,
    "GrantKeyWhenReadable": "principal-knowledge-authority|LearningActivities"
   },
   {
    "FieldGrantId": "fg-knowledge-authority-LearningActivities.OccurredAt",
    "Principal": "principal-knowledge-authority",
    "TargetField": "LearningActivities.OccurredAt",
    "CanRead": true,
    "CanWrite": false,
    "MaskStrategy": "plain",
    "SemanticTypeIri": "urn:effortless:pko-extension#FieldGrant",
    "Name": "principal-knowledge-authority -&gt; LearningActivities.OccurredAt",
    "FieldTable": "LearningActivities",
    "FieldName": "OccurredAt",
    "FieldIsDerived": false,
    "IsWritableDerivedField": false,
    "IsMasked": false,
    "GrantKeyWhenReadable": "principal-knowledge-authority|LearningActivities"
   },
   {
    "FieldGrantId": "fg-knowledge-authority-LearningActivities.FacilitatorAgent",
    "Principal": "principal-knowledge-authority",
    "TargetField": "LearningActivities.FacilitatorAgent",
    "CanRead": true,
    "CanWrite": false,
    "MaskStrategy": "plain",
    "SemanticTypeIri": "urn:effortless:pko-extension#FieldGrant",
    "Name": "principal-knowledge-authority -&gt; LearningActivities.FacilitatorAgent",
    "FieldTable": "LearningActivities",
    "FieldName": "FacilitatorAgent",
    "FieldIsDerived": false,
    "IsWritableDerivedField": false,
    "IsMasked": false,
    "GrantKeyWhenReadable": "principal-knowledge-authority|LearningActivities"
   },
   {
    "FieldGrantId": "fg-knowledge-authority-LearningActivities.Outcome",
    "Principal": "principal-knowledge-authority",
    "TargetField": "LearningActivities.Outcome",
    "CanRead": true,
    "CanWrite": false,
    "MaskStrategy": "plain",
    "SemanticTypeIri": "urn:effortless:pko-extension#FieldGrant",
    "Name": "principal-knowledge-authority -&gt; LearningActivities.Outcome",
    "FieldTable": "LearningActivities",
    "FieldName": "Outcome",
    "FieldIsDerived": false,
    "IsWritableDerivedField": false,
    "IsMasked": false,
    "GrantKeyWhenReadable": "principal-knowledge-authority|LearningActivities"
   },
   {
    "FieldGrantId": "fg-knowledge-authority-LearningActivities.EvidenceResource",
    "Principal": "principal-knowledge-authority",
    "TargetField": "LearningActivities.EvidenceResource",
    "CanRead": true,
    "CanWrite": false,
    "MaskStrategy": "plain",
    "SemanticTypeIri": "urn:effortless:pko-extension#FieldGrant",
    "Name": "principal-knowledge-authority -&gt; LearningActivities.EvidenceResource",
    "FieldTable": "LearningActivities",
    "FieldName": "EvidenceResource",
    "FieldIsDerived": false,
    "IsWritableDerivedField": false,
    "IsMasked": false,
    "GrantKeyWhenReadable": "principal-knowledge-authority|LearningActivities"
   },
   {
    "FieldGrantId": "fg-knowledge-authority-LearningActivities.SemanticTypeIri",
    "Principal": "principal-knowledge-authority",
    "TargetField": "LearningActivities.SemanticTypeIri",
    "CanRead": true,
    "CanWrite": false,
    "MaskStrategy": "plain",
    "SemanticTypeIri": "urn:effortless:pko-extension#FieldGrant",
    "Name": "principal-knowledge-authority -&gt; LearningActivities.SemanticTypeIri",
    "FieldTable": "LearningActivities",
    "FieldName": "SemanticTypeIri",
    "FieldIsDerived": false,
    "IsWritableDerivedField": false,
    "IsMasked": false,
    "GrantKeyWhenReadable": "principal-knowledge-authority|LearningActivities"
   },
   {
    "FieldGrantId": "fg-knowledge-authority-Mentorships.MentorshipId",
    "Principal": "principal-knowledge-authority",
    "TargetField": "Mentorships.MentorshipId",
    "CanRead": true,
    "CanWrite": false,
    "MaskStrategy": "plain",
    "SemanticTypeIri": "urn:effortless:pko-extension#FieldGrant",
    "Name": "principal-knowledge-authority -&gt; Mentorships.MentorshipId",
    "FieldTable": "Mentorships",
    "FieldName": "MentorshipId",
    "FieldIsDerived": false,
    "IsWritableDerivedField": false,
    "IsMasked": false,
    "GrantKeyWhenReadable": "principal-knowledge-authority|Mentorships"
   },
   {
    "FieldGrantId": "fg-knowledge-authority-Mentorships.Name",
    "Principal": "principal-knowledge-authority",
    "TargetField": "Mentorships.Name",
    "CanRead": true,
    "CanWrite": false,
    "MaskStrategy": "plain",
    "SemanticTypeIri": "urn:effortless:pko-extension#FieldGrant",
    "Name": "principal-knowledge-authority -&gt; Mentorships.Name",
    "FieldTable": "Mentorships",
    "FieldName": "Name",
    "FieldIsDerived": true,
    "IsWritableDerivedField": false,
    "IsMasked": false,
    "GrantKeyWhenReadable": "principal-knowledge-authority|Mentorships"
   },
   {
    "FieldGrantId": "fg-knowledge-authority-Mentorships.CommunityOfPractice",
    "Principal": "principal-knowledge-authority",
    "TargetField": "Mentorships.CommunityOfPractice",
    "CanRead": true,
    "CanWrite": false,
    "MaskStrategy": "plain",
    "SemanticTypeIri": "urn:effortless:pko-extension#FieldGrant",
    "Name": "principal-knowledge-authority -&gt; Mentorships.CommunityOfPractice",
    "FieldTable": "Mentorships",
    "FieldName": "CommunityOfPractice",
    "FieldIsDerived": false,
    "IsWritableDerivedField": false,
    "IsMasked": false,
    "GrantKeyWhenReadable": "principal-knowledge-authority|Mentorships"
   },
   {
    "FieldGrantId": "fg-knowledge-authority-Mentorships.MentorAgent",
    "Principal": "principal-knowledge-authority",
    "TargetField": "Mentorships.MentorAgent",
    "CanRead": true,
    "CanWrite": false,
    "MaskStrategy": "plain",
    "SemanticTypeIri": "urn:effortless:pko-extension#FieldGrant",
    "Name": "principal-knowledge-authority -&gt; Mentorships.MentorAgent",
    "FieldTable": "Mentorships",
    "FieldName": "MentorAgent",
    "FieldIsDerived": false,
    "IsWritableDerivedField": false,
    "IsMasked": false,
    "GrantKeyWhenReadable": "principal-knowledge-authority|Mentorships"
   },
   {
    "FieldGrantId": "fg-knowledge-authority-Mentorships.LearnerAgent",
    "Principal": "principal-knowledge-authority",
    "TargetField": "Mentorships.LearnerAgent",
    "CanRead": true,
    "CanWrite": false,
    "MaskStrategy": "plain",
    "SemanticTypeIri": "urn:effortless:pko-extension#FieldGrant",
    "Name": "principal-knowledge-authority -&gt; Mentorships.LearnerAgent",
    "FieldTable": "Mentorships",
    "FieldName": "LearnerAgent",
    "FieldIsDerived": false,
    "IsWritableDerivedField": false,
    "IsMasked": false,
    "GrantKeyWhenReadable": "principal-knowledge-authority|Mentorships"
   },
   {
    "FieldGrantId": "fg-knowledge-authority-Mentorships.ValidFrom",
    "Principal": "principal-knowledge-authority",
    "TargetField": "Mentorships.ValidFrom",
    "CanRead": true,
    "CanWrite": false,
    "MaskStrategy": "plain",
    "SemanticTypeIri": "urn:effortless:pko-extension#FieldGrant",
    "Name": "principal-knowledge-authority -&gt; Mentorships.ValidFrom",
    "FieldTable": "Mentorships",
    "FieldName": "ValidFrom",
    "FieldIsDerived": false,
    "IsWritableDerivedField": false,
    "IsMasked": false,
    "GrantKeyWhenReadable": "principal-knowledge-authority|Mentorships"
   },
   {
    "FieldGrantId": "fg-knowledge-authority-Mentorships.ValidTo",
    "Principal": "principal-knowledge-authority",
    "TargetField": "Mentorships.ValidTo",
    "CanRead": true,
    "CanWrite": false,
    "MaskStrategy": "plain",
    "SemanticTypeIri": "urn:effortless:pko-extension#FieldGrant",
    "Name": "principal-knowledge-authority -&gt; Mentorships.ValidTo",
    "FieldTable": "Mentorships",
    "FieldName": "ValidTo",
    "FieldIsDerived": false,
    "IsWritableDerivedField": false,
    "IsMasked": false,
    "GrantKeyWhenReadable": "principal-knowledge-authority|Mentorships"
   },
   {
    "FieldGrantId": "fg-knowledge-authority-Mentorships.LearningObjective",
    "Principal": "principal-knowledge-authority",
    "TargetField": "Mentorships.LearningObjective",
    "CanRead": true,
    "CanWrite": false,
    "MaskStrategy": "plain",
    "SemanticTypeIri": "urn:effortless:pko-extension#FieldGrant",
    "Name": "principal-knowledge-authority -&gt; Mentorships.LearningObjective",
    "FieldTable": "Mentorships",
    "FieldName": "LearningObjective",
    "FieldIsDerived": false,
    "IsWritableDerivedField": false,
    "IsMasked": false,
    "GrantKeyWhenReadable": "principal-knowledge-authority|Mentorships"
   },
   {
    "FieldGrantId": "fg-knowledge-authority-Mentorships.EvidenceOfCompletion",
    "Principal": "principal-knowledge-authority",
    "TargetField": "Mentorships.EvidenceOfCompletion",
    "CanRead": true,
    "CanWrite": false,
    "MaskStrategy": "plain",
    "SemanticTypeIri": "urn:effortless:pko-extension#FieldGrant",
    "Name": "principal-knowledge-authority -&gt; Mentorships.EvidenceOfCompletion",
    "FieldTable": "Mentorships",
    "FieldName": "EvidenceOfCompletion",
    "FieldIsDerived": false,
    "IsWritableDerivedField": false,
    "IsMasked": false,
    "GrantKeyWhenReadable": "principal-knowledge-authority|Mentorships"
   },
   {
    "FieldGrantId": "fg-knowledge-authority-Mentorships.SemanticTypeIri",
    "Principal": "principal-knowledge-authority",
    "TargetField": "Mentorships.SemanticTypeIri",
    "CanRead": true,
    "CanWrite": false,
    "MaskStrategy": "plain",
    "SemanticTypeIri": "urn:effortless:pko-extension#FieldGrant",
    "Name": "principal-knowledge-authority -&gt; Mentorships.SemanticTypeIri",
    "FieldTable": "Mentorships",
    "FieldName": "SemanticTypeIri",
    "FieldIsDerived": false,
    "IsWritableDerivedField": false,
    "IsMasked": false,
    "GrantKeyWhenReadable": "principal-knowledge-authority|Mentorships"
   },
   {
    "FieldGrantId": "fg-knowledge-authority-MessageDeliveries.MessageDeliveryId",
    "Principal": "principal-knowledge-authority",
    "TargetField": "MessageDeliveries.MessageDeliveryId",
    "CanRead": true,
    "CanWrite": false,
    "MaskStrategy": "plain",
    "SemanticTypeIri": "urn:effortless:pko-extension#FieldGrant",
    "Name": "principal-knowledge-authority -&gt; MessageDeliveries.MessageDeliveryId",
    "FieldTable": "MessageDeliveries",
    "FieldName": "MessageDeliveryId",
    "FieldIsDerived": false,
    "IsWritableDerivedField": false,
    "IsMasked": false,
    "GrantKeyWhenReadable": "principal-knowledge-authority|MessageDeliveries"
   },
   {
    "FieldGrantId": "fg-knowledge-authority-MessageDeliveries.Name",
    "Principal": "principal-knowledge-authority",
    "TargetField": "MessageDeliveries.Name",
    "CanRead": true,
    "CanWrite": false,
    "MaskStrategy": "plain",
    "SemanticTypeIri": "urn:effortless:pko-extension#FieldGrant",
    "Name": "principal-knowledge-authority -&gt; MessageDeliveries.Name",
    "FieldTable": "MessageDeliveries",
    "FieldName": "Name",
    "FieldIsDerived": true,
    "IsWritableDerivedField": false,
    "IsMasked": false,
    "GrantKeyWhenReadable": "principal-knowledge-authority|MessageDeliveries"
   },
   {
    "FieldGrantId": "fg-knowledge-authority-MessageDeliveries.ProcedureExecution",
    "Principal": "principal-knowledge-authority",
    "TargetField": "MessageDeliveries.ProcedureExecution",
    "CanRead": true,
    "CanWrite": false,
    "MaskStrategy": "plain",
    "SemanticTypeIri": "urn:effortless:pko-extension#FieldGrant",
    "Name": "principal-knowledge-authority -&gt; MessageDeliveries.ProcedureExecution",
    "FieldTable": "MessageDeliveries",
    "FieldName": "ProcedureExecution",
    "FieldIsDerived": false,
    "IsWritableDerivedField": false,
    "IsMasked": false,
    "GrantKeyWhenReadable": "principal-knowledge-authority|MessageDeliveries"
   },
   {
    "FieldGrantId": "fg-knowledge-authority-MessageDeliveries.StepExecution",
    "Principal": "principal-knowledge-authority",
    "TargetField": "MessageDeliveries.StepExecution",
    "CanRead": true,
    "CanWrite": false,
    "MaskStrategy": "plain",
    "SemanticTypeIri": "urn:effortless:pko-extension#FieldGrant",
    "Name": "principal-knowledge-authority -&gt; MessageDeliveries.StepExecution",
    "FieldTable": "MessageDeliveries",
    "FieldName": "StepExecution",
    "FieldIsDerived": false,
    "IsWritableDerivedField": false,
    "IsMasked": false,
    "GrantKeyWhenReadable": "principal-knowledge-authority|MessageDeliveries"
   },
   {
    "FieldGrantId": "fg-knowledge-authority-MessageDeliveries.Recipient",
    "Principal": "principal-knowledge-authority",
    "TargetField": "MessageDeliveries.Recipient",
    "CanRead": true,
    "CanWrite": false,
    "MaskStrategy": "plain",
    "SemanticTypeIri": "urn:effortless:pko-extension#FieldGrant",
    "Name": "principal-knowledge-authority -&gt; MessageDeliveries.Recipient",
    "FieldTable": "MessageDeliveries",
    "FieldName": "Recipient",
    "FieldIsDerived": false,
    "IsWritableDerivedField": false,
    "IsMasked": false,
    "GrantKeyWhenReadable": "principal-knowledge-authority|MessageDeliveries"
   },
   {
    "FieldGrantId": "fg-knowledge-authority-MessageDeliveries.MessageTemplate",
    "Principal": "principal-knowledge-authority",
    "TargetField": "MessageDeliveries.MessageTemplate",
    "CanRead": true,
    "CanWrite": false,
    "MaskStrategy": "plain",
    "SemanticTypeIri": "urn:effortless:pko-extension#FieldGrant",
    "Name": "principal-knowledge-authority -&gt; MessageDeliveries.MessageTemplate",
    "FieldTable": "MessageDeliveries",
    "FieldName": "MessageTemplate",
    "FieldIsDerived": false,
    "IsWritableDerivedField": false,
    "IsMasked": false,
    "GrantKeyWhenReadable": "principal-knowledge-authority|MessageDeliveries"
   },
   {
    "FieldGrantId": "fg-knowledge-authority-MessageDeliveries.SentByAgent",
    "Principal": "principal-knowledge-authority",
    "TargetField": "MessageDeliveries.SentByAgent",
    "CanRead": true,
    "CanWrite": false,
    "MaskStrategy": "plain",
    "SemanticTypeIri": "urn:effortless:pko-extension#FieldGrant",
    "Name": "principal-knowledge-authority -&gt; MessageDeliveries.SentByAgent",
    "FieldTable": "MessageDeliveries",
    "FieldName": "SentByAgent",
    "FieldIsDerived": false,
    "IsWritableDerivedField": false,
    "IsMasked": false,
    "GrantKeyWhenReadable": "principal-knowledge-authority|MessageDeliveries"
   },
   {
    "FieldGrantId": "fg-knowledge-authority-MessageDeliveries.RenderedBody",
    "Principal": "principal-knowledge-authority",
    "TargetField": "MessageDeliveries.RenderedBody",
    "CanRead": true,
    "CanWrite": false,
    "MaskStrategy": "plain",
    "SemanticTypeIri": "urn:effortless:pko-extension#FieldGrant",
    "Name": "principal-knowledge-authority -&gt; MessageDeliveries.RenderedBody",
    "FieldTable": "MessageDeliveries",
    "FieldName": "RenderedBody",
    "FieldIsDerived": false,
    "IsWritableDerivedField": false,
    "IsMasked": false,
    "GrantKeyWhenReadable": "principal-knowledge-authority|MessageDeliveries"
   },
   {
    "FieldGrantId": "fg-knowledge-authority-MessageDeliveries.SentAt",
    "Principal": "principal-knowledge-authority",
    "TargetField": "MessageDeliveries.SentAt",
    "CanRead": true,
    "CanWrite": false,
    "MaskStrategy": "plain",
    "SemanticTypeIri": "urn:effortless:pko-extension#FieldGrant",
    "Name": "principal-knowledge-authority -&gt; MessageDeliveries.SentAt",
    "FieldTable": "MessageDeliveries",
    "FieldName": "SentAt",
    "FieldIsDerived": false,
    "IsWritableDerivedField": false,
    "IsMasked": false,
    "GrantKeyWhenReadable": "principal-knowledge-authority|MessageDeliveries"
   },
   {
    "FieldGrantId": "fg-knowledge-authority-MessageDeliveries.SentAtLocalHour",
    "Principal": "principal-knowledge-authority",
    "TargetField": "MessageDeliveries.SentAtLocalHour",
    "CanRead": true,
    "CanWrite": false,
    "MaskStrategy": "plain",
    "SemanticTypeIri": "urn:effortless:pko-extension#FieldGrant",
    "Name": "principal-knowledge-authority -&gt; MessageDeliveries.SentAtLocalHour",
    "FieldTable": "MessageDeliveries",
    "FieldName": "SentAtLocalHour",
    "FieldIsDerived": false,
    "IsWritableDerivedField": false,
    "IsMasked": false,
    "GrantKeyWhenReadable": "principal-knowledge-authority|MessageDeliveries"
   },
   {
    "FieldGrantId": "fg-knowledge-authority-MessageDeliveries.DeliveryStatus",
    "Principal": "principal-knowledge-authority",
    "TargetField": "MessageDeliveries.DeliveryStatus",
    "CanRead": true,
    "CanWrite": false,
    "MaskStrategy": "plain",
    "SemanticTypeIri": "urn:effortless:pko-extension#FieldGrant",
    "Name": "principal-knowledge-authority -&gt; MessageDeliveries.DeliveryStatus",
    "FieldTable": "MessageDeliveries",
    "FieldName": "DeliveryStatus",
    "FieldIsDerived": false,
    "IsWritableDerivedField": false,
    "IsMasked": false,
    "GrantKeyWhenReadable": "principal-knowledge-authority|MessageDeliveries"
   },
   {
    "FieldGrantId": "fg-knowledge-authority-MessageDeliveries.SuppressionReason",
    "Principal": "principal-knowledge-authority",
    "TargetField": "MessageDeliveries.SuppressionReason",
    "CanRead": true,
    "CanWrite": false,
    "MaskStrategy": "plain",
    "SemanticTypeIri": "urn:effortless:pko-extension#FieldGrant",
    "Name": "principal-knowledge-authority -&gt; MessageDeliveries.SuppressionReason",
    "FieldTable": "MessageDeliveries",
    "FieldName": "SuppressionReason",
    "FieldIsDerived": false,
    "IsWritableDerivedField": false,
    "IsMasked": false,
    "GrantKeyWhenReadable": "principal-knowledge-authority|MessageDeliveries"
   },
   {
    "FieldGrantId": "fg-knowledge-authority-MessageDeliveries.InvokedException",
    "Principal": "principal-knowledge-authority",
    "TargetField": "MessageDeliveries.InvokedException",
    "CanRead": true,
    "CanWrite": false,
    "MaskStrategy": "plain",
    "SemanticTypeIri": "urn:effortless:pko-extension#FieldGrant",
    "Name": "principal-knowledge-authority -&gt; MessageDeliveries.InvokedException",
    "FieldTable": "MessageDeliveries",
    "FieldName": "InvokedException",
    "FieldIsDerived": false,
    "IsWritableDerivedField": false,
    "IsMasked": false,
    "GrantKeyWhenReadable": "principal-knowledge-authority|MessageDeliveries"
   },
   {
    "FieldGrantId": "fg-knowledge-authority-MessageDeliveries.AcknowledgedAt",
    "Principal": "principal-knowledge-authority",
    "TargetField": "MessageDeliveries.AcknowledgedAt",
    "CanRead": true,
    "CanWrite": false,
    "MaskStrategy": "plain",
    "SemanticTypeIri": "urn:effortless:pko-extension#FieldGrant",
    "Name": "principal-knowledge-authority -&gt; MessageDeliveries.AcknowledgedAt",
    "FieldTable": "MessageDeliveries",
    "FieldName": "AcknowledgedAt",
    "FieldIsDerived": false,
    "IsWritableDerivedField": false,
    "IsMasked": false,
    "GrantKeyWhenReadable": "principal-knowledge-authority|MessageDeliveries"
   },
   {
    "FieldGrantId": "fg-knowledge-authority-MessageDeliveries.PolicyChannel",
    "Principal": "principal-knowledge-authority",
    "TargetField": "MessageDeliveries.PolicyChannel",
    "CanRead": true,
    "CanWrite": false,
    "MaskStrategy": "plain",
    "SemanticTypeIri": "urn:effortless:pko-extension#FieldGrant",
    "Name": "principal-knowledge-authority -&gt; MessageDeliveries.PolicyChannel",
    "FieldTable": "MessageDeliveries",
    "FieldName": "PolicyChannel",
    "FieldIsDerived": true,
    "IsWritableDerivedField": false,
    "IsMasked": false,
    "GrantKeyWhenReadable": "principal-knowledge-authority|MessageDeliveries"
   },
   {
    "FieldGrantId": "fg-knowledge-authority-MessageDeliveries.ChannelName",
    "Principal": "principal-knowledge-authority",
    "TargetField": "MessageDeliveries.ChannelName",
    "CanRead": true,
    "CanWrite": false,
    "MaskStrategy": "plain",
    "SemanticTypeIri": "urn:effortless:pko-extension#FieldGrant",
    "Name": "principal-knowledge-authority -&gt; MessageDeliveries.ChannelName",
    "FieldTable": "MessageDeliveries",
    "FieldName": "ChannelName",
    "FieldIsDerived": true,
    "IsWritableDerivedField": false,
    "IsMasked": false,
    "GrantKeyWhenReadable": "principal-knowledge-authority|MessageDeliveries"
   },
   {
    "FieldGrantId": "fg-knowledge-authority-MessageDeliveries.PolicyRequiresConsent",
    "Principal": "principal-knowledge-authority",
    "TargetField": "MessageDeliveries.PolicyRequiresConsent",
    "CanRead": true,
    "CanWrite": false,
    "MaskStrategy": "plain",
    "SemanticTypeIri": "urn:effortless:pko-extension#FieldGrant",
    "Name": "principal-knowledge-authority -&gt; MessageDeliveries.PolicyRequiresConsent",
    "FieldTable": "MessageDeliveries",
    "FieldName": "PolicyRequiresConsent",
    "FieldIsDerived": true,
    "IsWritableDerivedField": false,
    "IsMasked": false,
    "GrantKeyWhenReadable": "principal-knowledge-authority|MessageDeliveries"
   },
   {
    "FieldGrantId": "fg-knowledge-authority-MessageDeliveries.RecipientHasSmsConsent",
    "Principal": "principal-knowledge-authority",
    "TargetField": "MessageDeliveries.RecipientHasSmsConsent",
    "CanRead": true,
    "CanWrite": false,
    "MaskStrategy": "plain",
    "SemanticTypeIri": "urn:effortless:pko-extension#FieldGrant",
    "Name": "principal-knowledge-authority -&gt; MessageDeliveries.RecipientHasSmsConsent",
    "FieldTable": "MessageDeliveries",
    "FieldName": "RecipientHasSmsConsent",
    "FieldIsDerived": true,
    "IsWritableDerivedField": false,
    "IsMasked": false,
    "GrantKeyWhenReadable": "principal-knowledge-authority|MessageDeliveries"
   },
   {
    "FieldGrantId": "fg-knowledge-authority-MessageDeliveries.WasActuallyTransmitted",
    "Principal": "principal-knowledge-authority",
    "TargetField": "MessageDeliveries.WasActuallyTransmitted",
    "CanRead": true,
    "CanWrite": false,
    "MaskStrategy": "plain",
    "SemanticTypeIri": "urn:effortless:pko-extension#FieldGrant",
    "Name": "principal-knowledge-authority -&gt; MessageDeliveries.WasActuallyTransmitted",
    "FieldTable": "MessageDeliveries",
    "FieldName": "WasActuallyTransmitted",
    "FieldIsDerived": true,
    "IsWritableDerivedField": false,
    "IsMasked": false,
    "GrantKeyWhenReadable": "principal-knowledge-authority|MessageDeliveries"
   },
   {
    "FieldGrantId": "fg-knowledge-authority-MessageDeliveries.IsConsentViolation",
    "Principal": "principal-knowledge-authority",
    "TargetField": "MessageDeliveries.IsConsentViolation",
    "CanRead": true,
    "CanWrite": false,
    "MaskStrategy": "plain",
    "SemanticTypeIri": "urn:effortless:pko-extension#FieldGrant",
    "Name": "principal-knowledge-authority -&gt; MessageDeliveries.IsConsentViolation",
    "FieldTable": "MessageDeliveries",
    "FieldName": "IsConsentViolation",
    "FieldIsDerived": true,
    "IsWritableDerivedField": false,
    "IsMasked": false,
    "GrantKeyWhenReadable": "principal-knowledge-authority|MessageDeliveries"
   },
   {
    "FieldGrantId": "fg-knowledge-authority-MessageDeliveries.ConsentViolationPolicyKey",
    "Principal": "principal-knowledge-authority",
    "TargetField": "MessageDeliveries.ConsentViolationPolicyKey",
    "CanRead": true,
    "CanWrite": false,
    "MaskStrategy": "plain",
    "SemanticTypeIri": "urn:effortless:pko-extension#Field</t>
  </si>
  <si>
    <t xml:space="preserve">Grant",
    "Name": "principal-knowledge-authority -&gt; MessageDeliveries.ConsentViolationPolicyKey",
    "FieldTable": "MessageDeliveries",
    "FieldName": "ConsentViolationPolicyKey",
    "FieldIsDerived": true,
    "IsWritableDerivedField": false,
    "IsMasked": false,
    "GrantKeyWhenReadable": "principal-knowledge-authority|MessageDeliveries"
   },
   {
    "FieldGrantId": "fg-knowledge-authority-MessageDeliveries.PolicyQuietHoursStartHour",
    "Principal": "principal-knowledge-authority",
    "TargetField": "MessageDeliveries.PolicyQuietHoursStartHour",
    "CanRead": true,
    "CanWrite": false,
    "MaskStrategy": "plain",
    "SemanticTypeIri": "urn:effortless:pko-extension#FieldGrant",
    "Name": "principal-knowledge-authority -&gt; MessageDeliveries.PolicyQuietHoursStartHour",
    "FieldTable": "MessageDeliveries",
    "FieldName": "PolicyQuietHoursStartHour",
    "FieldIsDerived": true,
    "IsWritableDerivedField": false,
    "IsMasked": false,
    "GrantKeyWhenReadable": "principal-knowledge-authority|MessageDeliveries"
   },
   {
    "FieldGrantId": "fg-knowledge-authority-MessageDeliveries.PolicyQuietHoursEndHour",
    "Principal": "principal-knowledge-authority",
    "TargetField": "MessageDeliveries.PolicyQuietHoursEndHour",
    "CanRead": true,
    "CanWrite": false,
    "MaskStrategy": "plain",
    "SemanticTypeIri": "urn:effortless:pko-extension#FieldGrant",
    "Name": "principal-knowledge-authority -&gt; MessageDeliveries.PolicyQuietHoursEndHour",
    "FieldTable": "MessageDeliveries",
    "FieldName": "PolicyQuietHoursEndHour",
    "FieldIsDerived": true,
    "IsWritableDerivedField": false,
    "IsMasked": false,
    "GrantKeyWhenReadable": "principal-knowledge-authority|MessageDeliveries"
   },
   {
    "FieldGrantId": "fg-knowledge-authority-MessageDeliveries.PolicyHasQuietHours",
    "Principal": "principal-knowledge-authority",
    "TargetField": "MessageDeliveries.PolicyHasQuietHours",
    "CanRead": true,
    "CanWrite": false,
    "MaskStrategy": "plain",
    "SemanticTypeIri": "urn:effortless:pko-extension#FieldGrant",
    "Name": "principal-knowledge-authority -&gt; MessageDeliveries.PolicyHasQuietHours",
    "FieldTable": "MessageDeliveries",
    "FieldName": "PolicyHasQuietHours",
    "FieldIsDerived": true,
    "IsWritableDerivedField": false,
    "IsMasked": false,
    "GrantKeyWhenReadable": "principal-knowledge-authority|MessageDeliveries"
   },
   {
    "FieldGrantId": "fg-knowledge-authority-MessageDeliveries.QuietWindowWrapsMidnight",
    "Principal": "principal-knowledge-authority",
    "TargetField": "MessageDeliveries.QuietWindowWrapsMidnight",
    "CanRead": true,
    "CanWrite": false,
    "MaskStrategy": "plain",
    "SemanticTypeIri": "urn:effortless:pko-extension#FieldGrant",
    "Name": "principal-knowledge-authority -&gt; MessageDeliveries.QuietWindowWrapsMidnight",
    "FieldTable": "MessageDeliveries",
    "FieldName": "QuietWindowWrapsMidnight",
    "FieldIsDerived": true,
    "IsWritableDerivedField": false,
    "IsMasked": false,
    "GrantKeyWhenReadable": "principal-knowledge-authority|MessageDeliveries"
   },
   {
    "FieldGrantId": "fg-knowledge-authority-MessageDeliveries.IsInsideQuietWindow",
    "Principal": "principal-knowledge-authority",
    "TargetField": "MessageDeliveries.IsInsideQuietWindow",
    "CanRead": true,
    "CanWrite": false,
    "MaskStrategy": "plain",
    "SemanticTypeIri": "urn:effortless:pko-extension#FieldGrant",
    "Name": "principal-knowledge-authority -&gt; MessageDeliveries.IsInsideQuietWindow",
    "FieldTable": "MessageDeliveries",
    "FieldName": "IsInsideQuietWindow",
    "FieldIsDerived": true,
    "IsWritableDerivedField": false,
    "IsMasked": false,
    "GrantKeyWhenReadable": "principal-knowledge-authority|MessageDeliveries"
   },
   {
    "FieldGrantId": "fg-knowledge-authority-MessageDeliveries.IsQuietHoursViolation",
    "Principal": "principal-knowledge-authority",
    "TargetField": "MessageDeliveries.IsQuietHoursViolation",
    "CanRead": true,
    "CanWrite": false,
    "MaskStrategy": "plain",
    "SemanticTypeIri": "urn:effortless:pko-extension#FieldGrant",
    "Name": "principal-knowledge-authority -&gt; MessageDeliveries.IsQuietHoursViolation",
    "FieldTable": "MessageDeliveries",
    "FieldName": "IsQuietHoursViolation",
    "FieldIsDerived": true,
    "IsWritableDerivedField": false,
    "IsMasked": false,
    "GrantKeyWhenReadable": "principal-knowledge-authority|MessageDeliveries"
   },
   {
    "FieldGrantId": "fg-knowledge-authority-MessageDeliveries.QuietHoursViolationPolicyKey",
    "Principal": "principal-knowledge-authority",
    "TargetField": "MessageDeliveries.QuietHoursViolationPolicyKey",
    "CanRead": true,
    "CanWrite": false,
    "MaskStrategy": "plain",
    "SemanticTypeIri": "urn:effortless:pko-extension#FieldGrant",
    "Name": "principal-knowledge-authority -&gt; MessageDeliveries.QuietHoursViolationPolicyKey",
    "FieldTable": "MessageDeliveries",
    "FieldName": "QuietHoursViolationPolicyKey",
    "FieldIsDerived": true,
    "IsWritableDerivedField": false,
    "IsMasked": false,
    "GrantKeyWhenReadable": "principal-knowledge-authority|MessageDeliveries"
   },
   {
    "FieldGrantId": "fg-knowledge-authority-MessageDeliveries.RecipientIsUnreachable",
    "Principal": "principal-knowledge-authority",
    "TargetField": "MessageDeliveries.RecipientIsUnreachable",
    "CanRead": true,
    "CanWrite": false,
    "MaskStrategy": "plain",
    "SemanticTypeIri": "urn:effortless:pko-extension#FieldGrant",
    "Name": "principal-knowledge-authority -&gt; MessageDeliveries.RecipientIsUnreachable",
    "FieldTable": "MessageDeliveries",
    "FieldName": "RecipientIsUnreachable",
    "FieldIsDerived": true,
    "IsWritableDerivedField": false,
    "IsMasked": false,
    "GrantKeyWhenReadable": "principal-knowledge-authority|MessageDeliveries"
   },
   {
    "FieldGrantId": "fg-knowledge-authority-MessageDeliveries.IsAcknowledged",
    "Principal": "principal-knowledge-authority",
    "TargetField": "MessageDeliveries.IsAcknowledged",
    "CanRead": true,
    "CanWrite": false,
    "MaskStrategy": "plain",
    "SemanticTypeIri": "urn:effortless:pko-extension#FieldGrant",
    "Name": "principal-knowledge-authority -&gt; MessageDeliveries.IsAcknowledged",
    "FieldTable": "MessageDeliveries",
    "FieldName": "IsAcknowledged",
    "FieldIsDerived": true,
    "IsWritableDerivedField": false,
    "IsMasked": false,
    "GrantKeyWhenReadable": "principal-knowledge-authority|MessageDeliveries"
   },
   {
    "FieldGrantId": "fg-knowledge-authority-MessageDeliveries.InvokedExceptionCondition",
    "Principal": "principal-knowledge-authority",
    "TargetField": "MessageDeliveries.InvokedExceptionCondition",
    "CanRead": true,
    "CanWrite": false,
    "MaskStrategy": "plain",
    "SemanticTypeIri": "urn:effortless:pko-extension#FieldGrant",
    "Name": "principal-knowledge-authority -&gt; MessageDeliveries.InvokedExceptionCondition",
    "FieldTable": "MessageDeliveries",
    "FieldName": "InvokedExceptionCondition",
    "FieldIsDerived": true,
    "IsWritableDerivedField": false,
    "IsMasked": false,
    "GrantKeyWhenReadable": "principal-knowledge-authority|MessageDeliveries"
   },
   {
    "FieldGrantId": "fg-knowledge-authority-MessageDeliveries.HasUnreachableExceptionInvoked",
    "Principal": "principal-knowledge-authority",
    "TargetField": "MessageDeliveries.HasUnreachableExceptionInvoked",
    "CanRead": true,
    "CanWrite": false,
    "MaskStrategy": "plain",
    "SemanticTypeIri": "urn:effortless:pko-extension#FieldGrant",
    "Name": "principal-knowledge-authority -&gt; MessageDeliveries.HasUnreachableExceptionInvoked",
    "FieldTable": "MessageDeliveries",
    "FieldName": "HasUnreachableExceptionInvoked",
    "FieldIsDerived": true,
    "IsWritableDerivedField": false,
    "IsMasked": false,
    "GrantKeyWhenReadable": "principal-knowledge-authority|MessageDeliveries"
   },
   {
    "FieldGrantId": "fg-knowledge-authority-MessageDeliveries.IsFabricatedAcknowledgement",
    "Principal": "principal-knowledge-authority",
    "TargetField": "MessageDeliveries.IsFabricatedAcknowledgement",
    "CanRead": true,
    "CanWrite": false,
    "MaskStrategy": "plain",
    "SemanticTypeIri": "urn:effortless:pko-extension#FieldGrant",
    "Name": "principal-knowledge-authority -&gt; MessageDeliveries.IsFabricatedAcknowledgement",
    "FieldTable": "MessageDeliveries",
    "FieldName": "IsFabricatedAcknowledgement",
    "FieldIsDerived": true,
    "IsWritableDerivedField": false,
    "IsMasked": false,
    "GrantKeyWhenReadable": "principal-knowledge-authority|MessageDeliveries"
   },
   {
    "FieldGrantId": "fg-knowledge-authority-MessageDeliveries.IsUnhandledUnreachable",
    "Principal": "principal-knowledge-authority",
    "TargetField": "MessageDeliveries.IsUnhandledUnreachable",
    "CanRead": true,
    "CanWrite": false,
    "MaskStrategy": "plain",
    "SemanticTypeIri": "urn:effortless:pko-extension#FieldGrant",
    "Name": "principal-knowledge-authority -&gt; MessageDeliveries.IsUnhandledUnreachable",
    "FieldTable": "MessageDeliveries",
    "FieldName": "IsUnhandledUnreachable",
    "FieldIsDerived": true,
    "IsWritableDerivedField": false,
    "IsMasked": false,
    "GrantKeyWhenReadable": "principal-knowledge-authority|MessageDeliveries"
   },
   {
    "FieldGrantId": "fg-knowledge-authority-MessageDeliveries.UnreachableFailureKey",
    "Principal": "principal-knowledge-authority",
    "TargetField": "MessageDeliveries.UnreachableFailureKey",
    "CanRead": true,
    "CanWrite": false,
    "MaskStrategy": "plain",
    "SemanticTypeIri": "urn:effortless:pko-extension#FieldGrant",
    "Name": "principal-knowledge-authority -&gt; MessageDeliveries.UnreachableFailureKey",
    "FieldTable": "MessageDeliveries",
    "FieldName": "UnreachableFailureKey",
    "FieldIsDerived": true,
    "IsWritableDerivedField": false,
    "IsMasked": false,
    "GrantKeyWhenReadable": "principal-knowledge-authority|MessageDeliveries"
   },
   {
    "FieldGrantId": "fg-knowledge-authority-MessageDeliveries.PolicyRetentionDays",
    "Principal": "principal-knowledge-authority",
    "TargetField": "MessageDeliveries.PolicyRetentionDays",
    "CanRead": true,
    "CanWrite": false,
    "MaskStrategy": "plain",
    "SemanticTypeIri": "urn:effortless:pko-extension#FieldGrant",
    "Name": "principal-knowledge-authority -&gt; MessageDeliveries.PolicyRetentionDays",
    "FieldTable": "MessageDeliveries",
    "FieldName": "PolicyRetentionDays",
    "FieldIsDerived": true,
    "IsWritableDerivedField": false,
    "IsMasked": false,
    "GrantKeyWhenReadable": "principal-knowledge-authority|MessageDeliveries"
   },
   {
    "FieldGrantId": "fg-knowledge-authority-MessageDeliveries.EvaluationContext",
    "Principal": "principal-knowledge-authority",
    "TargetField": "MessageDeliveries.EvaluationContext",
    "CanRead": true,
    "CanWrite": false,
    "MaskStrategy": "plain",
    "SemanticTypeIri": "urn:effortless:pko-extension#FieldGrant",
    "Name": "principal-knowledge-authority -&gt; MessageDeliveries.EvaluationContext",
    "FieldTable": "MessageDeliveries",
    "FieldName": "EvaluationContext",
    "FieldIsDerived": false,
    "IsWritableDerivedField": false,
    "IsMasked": false,
    "GrantKeyWhenReadable": "principal-knowledge-authority|MessageDeliveries"
   },
   {
    "FieldGrantId": "fg-knowledge-authority-MessageDeliveries.AsOfInstant",
    "Principal": "principal-knowledge-authority",
    "TargetField": "MessageDeliveries.AsOfInstant",
    "CanRead": true,
    "CanWrite": false,
    "MaskStrategy": "plain",
    "SemanticTypeIri": "urn:effortless:pko-extension#FieldGrant",
    "Name": "principal-knowledge-authority -&gt; MessageDeliveries.AsOfInstant",
    "FieldTable": "MessageDeliveries",
    "FieldName": "AsOfInstant",
    "FieldIsDerived": true,
    "IsWritableDerivedField": false,
    "IsMasked": false,
    "GrantKeyWhenReadable": "principal-knowledge-authority|MessageDeliveries"
   },
   {
    "FieldGrantId": "fg-knowledge-authority-MessageDeliveries.AgeDays",
    "Principal": "principal-knowledge-authority",
    "TargetField": "MessageDeliveries.AgeDays",
    "CanRead": true,
    "CanWrite": false,
    "MaskStrategy": "plain",
    "SemanticTypeIri": "urn:effortless:pko-extension#FieldGrant",
    "Name": "principal-knowledge-authority -&gt; MessageDeliveries.AgeDays",
    "FieldTable": "MessageDeliveries",
    "FieldName": "AgeDays",
    "FieldIsDerived": true,
    "IsWritableDerivedField": false,
    "IsMasked": false,
    "GrantKeyWhenReadable": "principal-knowledge-authority|MessageDeliveries"
   },
   {
    "FieldGrantId": "fg-knowledge-authority-MessageDeliveries.IsWithinRetentionWindow",
    "Principal": "principal-knowledge-authority",
    "TargetField": "MessageDeliveries.IsWithinRetentionWindow",
    "CanRead": true,
    "CanWrite": false,
    "MaskStrategy": "plain",
    "SemanticTypeIri": "urn:effortless:pko-extension#FieldGrant",
    "Name": "principal-knowledge-authority -&gt; MessageDeliveries.IsWithinRetentionWindow",
    "FieldTable": "MessageDeliveries",
    "FieldName": "IsWithinRetentionWindow",
    "FieldIsDerived": true,
    "IsWritableDerivedField": false,
    "IsMasked": false,
    "GrantKeyWhenReadable": "principal-knowledge-authority|MessageDeliveries"
   },
   {
    "FieldGrantId": "fg-knowledge-authority-MessageDeliveries.HasRenderedBody",
    "Principal": "principal-knowledge-authority",
    "TargetField": "MessageDeliveries.HasRenderedBody",
    "CanRead": true,
    "CanWrite": false,
    "MaskStrategy": "plain",
    "SemanticTypeIri": "urn:effortless:pko-extension#FieldGrant",
    "Name": "principal-knowledge-authority -&gt; MessageDeliveries.HasRenderedBody",
    "FieldTable": "MessageDeliveries",
    "FieldName": "HasRenderedBody",
    "FieldIsDerived": true,
    "IsWritableDerivedField": false,
    "IsMasked": false,
    "GrantKeyWhenReadable": "principal-knowledge-authority|MessageDeliveries"
   },
   {
    "FieldGrantId": "fg-knowledge-authority-MessageDeliveries.IsEvidenceRequired",
    "Principal": "principal-knowledge-authority",
    "TargetField": "MessageDeliveries.IsEvidenceRequired",
    "CanRead": true,
    "CanWrite": false,
    "MaskStrategy": "plain",
    "SemanticTypeIri": "urn:effortless:pko-extension#FieldGrant",
    "Name": "principal-knowledge-authority -&gt; MessageDeliveries.IsEvidenceRequired",
    "FieldTable": "MessageDeliveries",
    "FieldName": "IsEvidenceRequired",
    "FieldIsDerived": true,
    "IsWritableDerivedField": false,
    "IsMasked": false,
    "GrantKeyWhenReadable": "principal-knowledge-authority|MessageDeliveries"
   },
   {
    "FieldGrantId": "fg-knowledge-authority-MessageDeliveries.IsRetentionBreach",
    "Principal": "principal-knowledge-authority",
    "TargetField": "MessageDeliveries.IsRetentionBreach",
    "CanRead": true,
    "CanWrite": false,
    "MaskStrategy": "plain",
    "SemanticTypeIri": "urn:effortless:pko-extension#FieldGrant",
    "Name": "principal-knowledge-authority -&gt; MessageDeliveries.IsRetentionBreach",
    "FieldTable": "MessageDeliveries",
    "FieldName": "IsRetentionBreach",
    "FieldIsDerived": true,
    "IsWritableDerivedField": false,
    "IsMasked": false,
    "GrantKeyWhenReadable": "principal-knowledge-authority|MessageDeliveries"
   },
   {
    "FieldGrantId": "fg-knowledge-authority-MessageDeliveries.RetentionBreachExecutionKey",
    "Principal": "principal-knowledge-authority",
    "TargetField": "MessageDeliveries.RetentionBreachExecutionKey",
    "CanRead": true,
    "CanWrite": false,
    "MaskStrategy": "plain",
    "SemanticTypeIri": "urn:effortless:pko-extension#FieldGrant",
    "Name": "principal-knowledge-authority -&gt; MessageDeliveries.RetentionBreachExecutionKey",
    "FieldTable": "MessageDeliveries",
    "FieldName": "RetentionBreachExecutionKey",
    "FieldIsDerived": true,
    "IsWritableDerivedField": false,
    "IsMasked": false,
    "GrantKeyWhenReadable": "principal-knowledge-authority|MessageDeliveries"
   },
   {
    "FieldGrantId": "fg-knowledge-authority-MessageDeliveries.SendingStepExecutionStep",
    "Principal": "principal-knowledge-authority",
    "TargetField": "MessageDeliveries.SendingStepExecutionStep",
    "CanRead": true,
    "CanWrite": false,
    "MaskStrategy": "plain",
    "SemanticTypeIri": "urn:effortless:pko-extension#FieldGrant",
    "Name": "principal-knowledge-authority -&gt; MessageDeliveries.SendingStepExecutionStep",
    "FieldTable": "MessageDeliveries",
    "FieldName": "SendingStepExecutionStep",
    "FieldIsDerived": true,
    "IsWritableDerivedField": false,
    "IsMasked": false,
    "GrantKeyWhenReadable": "principal-knowledge-authority|MessageDeliveries"
   },
   {
    "FieldGrantId": "fg-knowledge-authority-MessageDeliveries.ExecutionHasClearedLegalReview",
    "Principal": "principal-knowledge-authority",
    "TargetField": "MessageDeliveries.ExecutionHasClearedLegalReview",
    "CanRead": true,
    "CanWrite": false,
    "MaskStrategy": "plain",
    "SemanticTypeIri": "urn:effortless:pko-extension#FieldGrant",
    "Name": "principal-knowledge-authority -&gt; MessageDeliveries.ExecutionHasClearedLegalReview",
    "FieldTable": "MessageDeliveries",
    "FieldName": "ExecutionHasClearedLegalReview",
    "FieldIsDerived": true,
    "IsWritableDerivedField": false,
    "IsMasked": false,
    "GrantKeyWhenReadable": "principal-knowledge-authority|MessageDeliveries"
   },
   {
    "FieldGrantId": "fg-knowledge-authority-MessageDeliveries.IsUnreviewedSend",
    "Principal": "principal-knowledge-authority",
    "TargetField": "MessageDeliveries.IsUnreviewedSend",
    "CanRead": true,
    "CanWrite": false,
    "MaskStrategy": "plain",
    "SemanticTypeIri": "urn:effortless:pko-extension#FieldGrant",
    "Name": "principal-knowledge-authority -&gt; MessageDeliveries.IsUnreviewedSend",
    "FieldTable": "MessageDeliveries",
    "FieldName": "IsUnreviewedSend",
    "FieldIsDerived": true,
    "IsWritableDerivedField": false,
    "IsMasked": false,
    "GrantKeyWhenReadable": "principal-knowledge-authority|MessageDeliveries"
   },
   {
    "FieldGrantId": "fg-knowledge-authority-MessageDeliveries.RenderedBodyLength",
    "Principal": "principal-knowledge-authority",
    "TargetField": "MessageDeliveries.RenderedBodyLength",
    "CanRead": true,
    "CanWrite": false,
    "MaskStrategy": "plain",
    "SemanticTypeIri": "urn:effortless:pko-extension#FieldGrant",
    "Name": "principal-knowledge-authority -&gt; MessageDeliveries.RenderedBodyLength",
    "FieldTable": "MessageDeliveries",
    "FieldName": "RenderedBodyLength",
    "FieldIsDerived": true,
    "IsWritableDerivedField": false,
    "IsMasked": false,
    "GrantKeyWhenReadable": "principal-knowledge-authority|MessageDeliveries"
   },
   {
    "FieldGrantId": "fg-knowledge-authority-MessageDeliveries.PolicyMaxMessageLengthAtSend",
    "Principal": "principal-knowledge-authority",
    "TargetField": "MessageDeliveries.PolicyMaxMessageLengthAtSend",
    "CanRead": true,
    "CanWrite": false,
    "MaskStrategy": "plain",
    "SemanticTypeIri": "urn:effortless:pko-extension#FieldGrant",
    "Name": "principal-knowledge-authority -&gt; MessageDeliveries.PolicyMaxMessageLengthAtSend",
    "FieldTable": "MessageDeliveries",
    "FieldName": "PolicyMaxMessageLengthAtSend",
    "FieldIsDerived": true,
    "IsWritableDerivedField": false,
    "IsMasked": false,
    "GrantKeyWhenReadable": "principal-knowledge-authority|MessageDeliveries"
   },
   {
    "FieldGrantId": "fg-knowledge-authority-MessageDeliveries.SegmentCount",
    "Principal": "principal-knowledge-authority",
    "TargetField": "MessageDeliveries.SegmentCount",
    "CanRead": true,
    "CanWrite": false,
    "MaskStrategy": "plain",
    "SemanticTypeIri": "urn:effortless:pko-extension#FieldGrant",
    "Name": "principal-knowledge-authority -&gt; MessageDeliveries.SegmentCount",
    "FieldTable": "MessageDeliveries",
    "FieldName": "SegmentCount",
    "FieldIsDerived": true,
    "IsWritableDerivedField": false,
    "IsMasked": false,
    "GrantKeyWhenReadable": "principal-knowledge-authority|MessageDeliveries"
   },
   {
    "FieldGrantId": "fg-knowledge-authority-MessageDeliveries.PolicyMaxSegmentsAtSend",
    "Principal": "principal-knowledge-authority",
    "TargetField": "MessageDeliveries.PolicyMaxSegmentsAtSend",
    "CanRead": true,
    "CanWrite": false,
    "MaskStrategy": "plain",
    "SemanticTypeIri": "urn:effortless:pko-extension#FieldGrant",
    "Name": "principal-knowledge-authority -&gt; MessageDeliveries.PolicyMaxSegmentsAtSend",
    "FieldTable": "MessageDeliveries",
    "FieldName": "PolicyMaxSegmentsAtSend",
    "FieldIsDerived": true,
    "IsWritableDerivedField": false,
    "IsMasked": false,
    "GrantKeyWhenReadable": "principal-knowledge-authority|MessageDeliveries"
   },
   {
    "FieldGrantId": "fg-knowledge-authority-MessageDeliveries.IsOverSegmentLimit",
    "Principal": "principal-knowledge-authority",
    "TargetField": "MessageDeliveries.IsOverSegmentLimit",
    "CanRead": true,
    "CanWrite": false,
    "MaskStrategy": "plain",
    "SemanticTypeIri": "urn:effortless:pko-extension#FieldGrant",
    "Name": "principal-knowledge-authority -&gt; MessageDeliveries.IsOverSegmentLimit",
    "FieldTable": "MessageDeliveries",
    "FieldName": "IsOverSegmentLimit",
    "FieldIsDerived": true,
    "IsWritableDerivedField": false,
    "IsMasked": false,
    "GrantKeyWhenReadable": "principal-knowledge-authority|MessageDeliveries"
   },
   {
    "FieldGrantId": "fg-knowledge-authority-MessageDeliveries.TemplateHasValidApproval",
    "Principal": "principal-knowledge-authority",
    "TargetField": "MessageDeliveries.TemplateHasValidApproval",
    "CanRead": true,
    "CanWrite": false,
    "MaskStrategy": "plain",
    "SemanticTypeIri": "urn:effortless:pko-extension#FieldGrant",
    "Name": "principal-knowledge-authority -&gt; MessageDeliveries.TemplateHasValidApproval",
    "FieldTable": "MessageDeliveries",
    "FieldName": "TemplateHasValidApproval",
    "FieldIsDerived": true,
    "IsWritableDerivedField": false,
    "IsMasked": false,
    "GrantKeyWhenReadable": "principal-knowledge-authority|MessageDeliveries"
   },
   {
    "FieldGrantId": "fg-knowledge-authority-MessageDeliveries.IsUnapprovedSend",
    "Principal": "principal-knowledge-authority",
    "TargetField": "MessageDeliveries.IsUnapprovedSend",
    "CanRead": true,
    "CanWrite": false,
    "MaskStrategy": "plain",
    "SemanticTypeIri": "urn:effortless:pko-extension#FieldGrant",
    "Name": "principal-knowledge-authority -&gt; MessageDeliveries.IsUnapprovedSend",
    "FieldTable": "MessageDeliveries",
    "FieldName": "IsUnapprovedSend",
    "FieldIsDerived": true,
    "IsWritableDerivedField": false,
    "IsMasked": false,
    "GrantKeyWhenReadable": "principal-knowledge-authority|MessageDeliveries"
   },
   {
    "FieldGrantId": "fg-knowledge-authority-MessageDeliveries.PolicyRequiredOptOutPhrase",
    "Principal": "principal-knowledge-authority",
    "TargetField": "MessageDeliveries.PolicyRequiredOptOutPhrase",
    "CanRead": true,
    "CanWrite": false,
    "MaskStrategy": "plain",
    "SemanticTypeIri": "urn:effortless:pko-extension#FieldGrant",
    "Name": "principal-knowledge-authority -&gt; MessageDeliveries.PolicyRequiredOptOutPhrase",
    "FieldTable": "MessageDeliveries",
    "FieldName": "PolicyRequiredOptOutPhrase",
    "FieldIsDerived": true,
    "IsWritableDerivedField": false,
    "IsMasked": false,
    "GrantKeyWhenReadable": "principal-knowledge-authority|MessageDeliveries"
   },
   {
    "FieldGrantId": "fg-knowledge-authority-MessageDeliveries.PolicyRequiresOptOut",
    "Principal": "principal-knowledge-authority",
    "TargetField": "MessageDeliveries.PolicyRequiresOptOut",
    "CanRead": true,
    "CanWrite": false,
    "MaskStrategy": "plain",
    "SemanticTypeIri": "urn:effortless:pko-extension#FieldGrant",
    "Name": "principal-knowledge-authority -&gt; MessageDeliveries.PolicyRequiresOptOut",
    "FieldTable": "MessageDeliveries",
    "FieldName": "PolicyRequiresOptOut",
    "FieldIsDerived": true,
    "IsWritableDerivedField": false,
    "IsMasked": false,
    "GrantKeyWhenReadable": "principal-knowledge-authority|MessageDeliveries"
   },
   {
    "FieldGrantId": "fg-knowledge-authority-MessageDeliveries.OptOutPhrasePosition",
    "Principal": "principal-knowledge-authority",
    "TargetField": "MessageDeliveries.OptOutPhrasePosition",
    "CanRead": true,
    "CanWrite": false,
    "MaskStrategy": "plain",
    "SemanticTypeIri": "urn:effortless:pko-extension#FieldGrant",
    "Name": "principal-knowledge-authority -&gt; MessageDeliveries.OptOutPhrasePosition",
    "FieldTable": "MessageDeliveries",
    "FieldName": "OptOutPhrasePosition",
    "FieldIsDerived": true,
    "IsWritableDerivedField": false,
    "IsMasked": false,
    "GrantKeyWhenReadable": "principal-knowledge-authority|MessageDeliveries"
   },
   {
    "FieldGrantId": "fg-knowledge-authority-MessageDeliveries.HasOptOutPhrase",
    "Principal": "principal-knowledge-authority",
    "TargetField": "MessageDeliveries.HasOptOutPhrase",
    "CanRead": true,
    "CanWrite": false,
    "MaskStrategy": "plain",
    "SemanticTypeIri": "urn:effortless:pko-extension#FieldGrant",
    "Name": "principal-knowledge-authority -&gt; MessageDeliveries.HasOptOutPhrase",
    "FieldTable": "MessageDeliveries",
    "FieldName": "HasOptOutPhrase",
    "FieldIsDerived": true,
    "IsWritableDerivedField": false,
    "IsMasked": false,
    "GrantKeyWhenReadable": "principal-knowledge-authority|MessageDeliveries"
   },
   {
    "FieldGrantId": "fg-knowledge-authority-MessageDeliveries.IsOptOutInFirstSegment",
    "Principal": "principal-knowledge-authority",
    "TargetField": "MessageDeliveries.IsOptOutInFirstSegment",
    "CanRead": true,
    "CanWrite": false,
    "MaskStrategy": "plain",
    "SemanticTypeIri": "urn:effortless:pko-extension#FieldGrant",
    "Name": "principal-knowledge-authority -&gt; MessageDeliveries.IsOptOutInFirstSegment",
    "FieldTable": "MessageDeliveries",
    "FieldName": "IsOptOutInFirstSegment",
    "FieldIsDerived": true,
    "IsWritableDerivedField": false,
    "IsMasked": false,
    "GrantKeyWhenReadable": "principal-knowledge-authority|MessageDeliveries"
   },
   {
    "FieldGrantId": "fg-knowledge-authority-MessageDeliveries.IsMissingRequiredOptOut",
    "Principal": "principal-knowledge-authority",
    "TargetField": "MessageDeliveries.IsMissingRequiredOptOut",
    "CanRead": true,
    "CanWrite": false,
    "MaskStrategy": "plain",
    "SemanticTypeIri": "urn:effortless:pko-extension#FieldGrant",
    "Name": "principal-knowledge-authority -&gt; MessageDeliveries.IsMissingRequiredOptOut",
    "FieldTable": "MessageDeliveries",
    "FieldName": "IsMissingRequiredOptOut",
    "FieldIsDerived": true,
    "IsWritableDerivedField": false,
    "IsMasked": false,
    "GrantKeyWhenReadable": "principal-knowledge-authority|MessageDeliveries"
   },
   {
    "FieldGrantId": "fg-knowledge-authority-MessageDeliveries.IsOptOutAtRiskOfTruncation",
    "Principal": "principal-knowledge-authority",
    "TargetField": "MessageDeliveries.IsOptOutAtRiskOfTruncation",
    "CanRead": true,
    "CanWrite": false,
    "MaskStrategy": "plain",
    "SemanticTypeIri": "urn:effortless:pko-extension#FieldGrant",
    "Name": "principal-knowledge-authority -&gt; MessageDeliveries.IsOptOutAtRiskOfTruncation",
    "FieldTable": "MessageDeliveries",
    "FieldName": "IsOptOutAtRiskOfTruncation",
    "FieldIsDerived": true,
    "IsWritableDerivedField": false,
    "IsMasked": false,
    "GrantKeyWhenReadable": "principal-knowledge-authority|MessageDeliveries"
   },
   {
    "FieldGrantId": "fg-knowledge-authority-MessageDeliveries.IsFailedDelivery",
    "Principal": "principal-knowledge-authority",
    "TargetField": "MessageDeliveries.IsFailedDelivery",
    "CanRead": true,
    "CanWrite": false,
    "MaskStrategy": "plain",
    "SemanticTypeIri": "urn:effortless:pko-extension#FieldGrant",
    "Name": "principal-knowledge-authority -&gt; MessageDeliveries.IsFailedDelivery",
    "FieldTable": "MessageDeliveries",
    "FieldName": "IsFailedDelivery",
    "FieldIsDerived": true,
    "IsWritableDerivedField": false,
    "IsMasked": false,
    "GrantKeyWhenReadable": "principal-knowledge-authority|MessageDeliveries"
   },
   {
    "FieldGrantId": "fg-knowledge-authority-MessageDeliveries.IsSuppressed",
    "Principal": "principal-knowledge-authority",
    "TargetField": "MessageDeliveries.IsSuppressed",
    "CanRead": true,
    "CanWrite": false,
    "MaskStrategy": "plain",
    "SemanticTypeIri": "urn:effortless:pko-extension#FieldGrant",
    "Name": "principal-knowledge-authority -&gt; MessageDeliveries.IsSuppressed",
    "FieldTable": "MessageDeliveries",
    "FieldName": "IsSuppressed",
    "FieldIsDerived": true,
    "IsWritableDerivedField": false,
    "IsMasked": false,
    "GrantKeyWhenReadable": "principal-knowledge-authority|MessageDeliveries"
   },
   {
    "FieldGrantId": "fg-knowledge-authority-MessageDeliveries.IsTriaged",
    "Principal": "principal-knowledge-authority",
    "TargetField": "MessageDeliveries.IsTriaged",
    "CanRead": true,
    "CanWrite": false,
    "MaskStrategy": "plain",
    "SemanticTypeIri": "urn:effortless:pko-extension#FieldGrant",
    "Name": "principal-knowledge-authority -&gt; MessageDeliveries.IsTriaged",
    "FieldTable": "MessageDeliveries",
    "FieldName": "IsTriaged",
    "FieldIsDerived": true,
    "IsWritableDerivedField": false,
    "IsMasked": false,
    "GrantKeyWhenReadable": "principal-knowledge-authority|MessageDeliveries"
   },
   {
    "FieldGrantId": "fg-knowledge-authority-MessageDeliveries.IsAbandonedFailure",
    "Principal": "principal-knowledge-authority",
    "TargetField": "MessageDeliveries.IsAbandonedFailure",
    "CanRead": true,
    "CanWrite": false,
    "MaskStrategy": "plain",
    "SemanticTypeIri": "urn:effortless:pko-extension#FieldGrant",
    "Name": "principal-knowledge-authority -&gt; MessageDeliveries.IsAbandonedFailure",
    "FieldTable": "MessageDeliveries",
    "FieldName": "IsAbandonedFailure",
    "FieldIsDerived": true,
    "IsWritableDerivedField": false,
    "IsMasked": false,
    "GrantKeyWhenReadable": "principal-knowledge-authority|MessageDeliveries"
   },
   {
    "FieldGrantId": "fg-knowledge-authority-MessageDeliveries.AbandonedFailureExecutionKey",
    "Principal": "principal-knowledge-authority",
    "TargetField": "MessageDeliveries.AbandonedFailureExecutionKey",
    "CanRead": true,
    "CanWrite": false,
    "MaskStrategy": "plain",
    "SemanticTypeIri": "urn:effortless:pko-extension#FieldGrant",
    "Name": "principal-knowledge-authority -&gt; MessageDeliveries.AbandonedFailureExecutionKey",
    "FieldTable": "MessageDeliveries",
    "FieldName": "AbandonedFailureExecutionKey",
    "FieldIsDerived": true,
    "IsWritableDerivedField": false,
    "IsMasked": false,
    "GrantKeyWhenReadable": "principal-knowledge-authority|MessageDeliveries"
   },
   {
    "FieldGrantId": "fg-knowledge-authority-MessageDeliveries.ReachedExecutionKey",
    "Principal": "principal-knowledge-authority",
    "TargetField": "MessageDeliveries.ReachedExecutionKey",
    "CanRead": true,
    "CanWrite": false,
    "MaskStrategy": "plain",
    "SemanticTypeIri": "urn:effortless:pko-extension#FieldGrant",
    "Name": "principal-knowledge-authority -&gt; MessageDeliveries.ReachedExecutionKey",
    "FieldTable": "MessageDeliveries",
    "FieldName": "ReachedExecutionKey",
    "FieldIsDerived": true,
    "IsWritableDerivedField": false,
    "IsMasked": false,
    "GrantKeyWhenReadable": "principal-knowledge-authority|MessageDeliveries"
   },
   {
    "FieldGrantId": "fg-knowledge-authority-MessageDeliveries.TemplateWasSendable",
    "Principal": "principal-knowledge-authority",
    "TargetField": "MessageDeliveries.TemplateWasSendable",
    "CanRead": true,
    "CanWrite": false,
    "MaskStrategy": "plain",
    "SemanticTypeIri": "urn:effortless:pko-extension#FieldGrant",
    "Name": "principal-knowledge-authority -&gt; MessageDeliveries.TemplateWasSendable",
    "FieldTable": "MessageDeliveries",
    "FieldName": "TemplateWasSendable",
    "FieldIsDerived": true,
    "IsWritableDerivedField": false,
    "IsMasked": false,
    "GrantKeyWhenReadable": "principal-knowledge-authority|MessageDeliveries"
   },
   {
    "FieldGrantId": "fg-knowledge-authority-MessageDeliveries.IsDriftedSend",
    "Principal": "principal-knowledge-authority",
    "TargetField": "MessageDeliveries.IsDriftedSend",
    "CanRead": true,
    "CanWrite": false,
    "MaskStrategy": "plain",
    "SemanticTypeIri": "urn:effortless:pko-extension#FieldGrant",
    "Name": "principal-knowledge-authority -&gt; MessageDeliveries.IsDriftedSend",
    "FieldTable": "Message</t>
  </si>
  <si>
    <t xml:space="preserve">Deliveries",
    "FieldName": "IsDriftedSend",
    "FieldIsDerived": true,
    "IsWritableDerivedField": false,
    "IsMasked": false,
    "GrantKeyWhenReadable": "principal-knowledge-authority|MessageDeliveries"
   },
   {
    "FieldGrantId": "fg-knowledge-authority-MessageDeliveries.DriftedSendTemplateKey",
    "Principal": "principal-knowledge-authority",
    "TargetField": "MessageDeliveries.DriftedSendTemplateKey",
    "CanRead": true,
    "CanWrite": false,
    "MaskStrategy": "plain",
    "SemanticTypeIri": "urn:effortless:pko-extension#FieldGrant",
    "Name": "principal-knowledge-authority -&gt; MessageDeliveries.DriftedSendTemplateKey",
    "FieldTable": "MessageDeliveries",
    "FieldName": "DriftedSendTemplateKey",
    "FieldIsDerived": true,
    "IsWritableDerivedField": false,
    "IsMasked": false,
    "GrantKeyWhenReadable": "principal-knowledge-authority|MessageDeliveries"
   },
   {
    "FieldGrantId": "fg-knowledge-authority-MessageDeliveries.WasSentOutsideBusinessHours",
    "Principal": "principal-knowledge-authority",
    "TargetField": "MessageDeliveries.WasSentOutsideBusinessHours",
    "CanRead": true,
    "CanWrite": false,
    "MaskStrategy": "plain",
    "SemanticTypeIri": "urn:effortless:pko-extension#FieldGrant",
    "Name": "principal-knowledge-authority -&gt; MessageDeliveries.WasSentOutsideBusinessHours",
    "FieldTable": "MessageDeliveries",
    "FieldName": "WasSentOutsideBusinessHours",
    "FieldIsDerived": true,
    "IsWritableDerivedField": false,
    "IsMasked": false,
    "GrantKeyWhenReadable": "principal-knowledge-authority|MessageDeliveries"
   },
   {
    "FieldGrantId": "fg-knowledge-authority-MessageDeliveries.WasDeliveredAndUnanswered",
    "Principal": "principal-knowledge-authority",
    "TargetField": "MessageDeliveries.WasDeliveredAndUnanswered",
    "CanRead": true,
    "CanWrite": false,
    "MaskStrategy": "plain",
    "SemanticTypeIri": "urn:effortless:pko-extension#FieldGrant",
    "Name": "principal-knowledge-authority -&gt; MessageDeliveries.WasDeliveredAndUnanswered",
    "FieldTable": "MessageDeliveries",
    "FieldName": "WasDeliveredAndUnanswered",
    "FieldIsDerived": true,
    "IsWritableDerivedField": false,
    "IsMasked": false,
    "GrantKeyWhenReadable": "principal-knowledge-authority|MessageDeliveries"
   },
   {
    "FieldGrantId": "fg-knowledge-authority-MessageDeliveries.IsPoorlyTimedUnanswered",
    "Principal": "principal-knowledge-authority",
    "TargetField": "MessageDeliveries.IsPoorlyTimedUnanswered",
    "CanRead": true,
    "CanWrite": false,
    "MaskStrategy": "plain",
    "SemanticTypeIri": "urn:effortless:pko-extension#FieldGrant",
    "Name": "principal-knowledge-authority -&gt; MessageDeliveries.IsPoorlyTimedUnanswered",
    "FieldTable": "MessageDeliveries",
    "FieldName": "IsPoorlyTimedUnanswered",
    "FieldIsDerived": true,
    "IsWritableDerivedField": false,
    "IsMasked": false,
    "GrantKeyWhenReadable": "principal-knowledge-authority|MessageDeliveries"
   },
   {
    "FieldGrantId": "fg-knowledge-authority-MessageDeliveries.IsWellTimedUnanswered",
    "Principal": "principal-knowledge-authority",
    "TargetField": "MessageDeliveries.IsWellTimedUnanswered",
    "CanRead": true,
    "CanWrite": false,
    "MaskStrategy": "plain",
    "SemanticTypeIri": "urn:effortless:pko-extension#FieldGrant",
    "Name": "principal-knowledge-authority -&gt; MessageDeliveries.IsWellTimedUnanswered",
    "FieldTable": "MessageDeliveries",
    "FieldName": "IsWellTimedUnanswered",
    "FieldIsDerived": true,
    "IsWritableDerivedField": false,
    "IsMasked": false,
    "GrantKeyWhenReadable": "principal-knowledge-authority|MessageDeliveries"
   },
   {
    "FieldGrantId": "fg-knowledge-authority-MessageDeliveries.UnansweredTemplateKey",
    "Principal": "principal-knowledge-authority",
    "TargetField": "MessageDeliveries.UnansweredTemplateKey",
    "CanRead": true,
    "CanWrite": false,
    "MaskStrategy": "plain",
    "SemanticTypeIri": "urn:effortless:pko-extension#FieldGrant",
    "Name": "principal-knowledge-authority -&gt; MessageDeliveries.UnansweredTemplateKey",
    "FieldTable": "MessageDeliveries",
    "FieldName": "UnansweredTemplateKey",
    "FieldIsDerived": true,
    "IsWritableDerivedField": false,
    "IsMasked": false,
    "GrantKeyWhenReadable": "principal-knowledge-authority|MessageDeliveries"
   },
   {
    "FieldGrantId": "fg-knowledge-authority-MessageDeliveries.TransmittedTemplateKey",
    "Principal": "principal-knowledge-authority",
    "TargetField": "MessageDeliveries.TransmittedTemplateKey",
    "CanRead": true,
    "CanWrite": false,
    "MaskStrategy": "plain",
    "SemanticTypeIri": "urn:effortless:pko-extension#FieldGrant",
    "Name": "principal-knowledge-authority -&gt; MessageDeliveries.TransmittedTemplateKey",
    "FieldTable": "MessageDeliveries",
    "FieldName": "TransmittedTemplateKey",
    "FieldIsDerived": true,
    "IsWritableDerivedField": false,
    "IsMasked": false,
    "GrantKeyWhenReadable": "principal-knowledge-authority|MessageDeliveries"
   },
   {
    "FieldGrantId": "fg-knowledge-authority-MessageDeliveries.ApprovingAgentAtSend",
    "Principal": "principal-knowledge-authority",
    "TargetField": "MessageDeliveries.ApprovingAgentAtSend",
    "CanRead": true,
    "CanWrite": false,
    "MaskStrategy": "plain",
    "SemanticTypeIri": "urn:effortless:pko-extension#FieldGrant",
    "Name": "principal-knowledge-authority -&gt; MessageDeliveries.ApprovingAgentAtSend",
    "FieldTable": "MessageDeliveries",
    "FieldName": "ApprovingAgentAtSend",
    "FieldIsDerived": false,
    "IsWritableDerivedField": false,
    "IsMasked": false,
    "GrantKeyWhenReadable": "principal-knowledge-authority|MessageDeliveries"
   },
   {
    "FieldGrantId": "fg-knowledge-authority-MessageDeliveries.ApprovingRoleAtSend",
    "Principal": "principal-knowledge-authority",
    "TargetField": "MessageDeliveries.ApprovingRoleAtSend",
    "CanRead": true,
    "CanWrite": false,
    "MaskStrategy": "plain",
    "SemanticTypeIri": "urn:effortless:pko-extension#FieldGrant",
    "Name": "principal-knowledge-authority -&gt; MessageDeliveries.ApprovingRoleAtSend",
    "FieldTable": "MessageDeliveries",
    "FieldName": "ApprovingRoleAtSend",
    "FieldIsDerived": false,
    "IsWritableDerivedField": false,
    "IsMasked": false,
    "GrantKeyWhenReadable": "principal-knowledge-authority|MessageDeliveries"
   },
   {
    "FieldGrantId": "fg-knowledge-authority-MessageDeliveries.ApprovalDecidedAtSend",
    "Principal": "principal-knowledge-authority",
    "TargetField": "MessageDeliveries.ApprovalDecidedAtSend",
    "CanRead": true,
    "CanWrite": false,
    "MaskStrategy": "plain",
    "SemanticTypeIri": "urn:effortless:pko-extension#FieldGrant",
    "Name": "principal-knowledge-authority -&gt; MessageDeliveries.ApprovalDecidedAtSend",
    "FieldTable": "MessageDeliveries",
    "FieldName": "ApprovalDecidedAtSend",
    "FieldIsDerived": false,
    "IsWritableDerivedField": false,
    "IsMasked": false,
    "GrantKeyWhenReadable": "principal-knowledge-authority|MessageDeliveries"
   },
   {
    "FieldGrantId": "fg-knowledge-authority-MessageDeliveries.ApprovalPrecededSend",
    "Principal": "principal-knowledge-authority",
    "TargetField": "MessageDeliveries.ApprovalPrecededSend",
    "CanRead": true,
    "CanWrite": false,
    "MaskStrategy": "plain",
    "SemanticTypeIri": "urn:effortless:pko-extension#FieldGrant",
    "Name": "principal-knowledge-authority -&gt; MessageDeliveries.ApprovalPrecededSend",
    "FieldTable": "MessageDeliveries",
    "FieldName": "ApprovalPrecededSend",
    "FieldIsDerived": true,
    "IsWritableDerivedField": false,
    "IsMasked": false,
    "GrantKeyWhenReadable": "principal-knowledge-authority|MessageDeliveries"
   },
   {
    "FieldGrantId": "fg-knowledge-authority-MessageDeliveries.HasFrozenApprovalEvidence",
    "Principal": "principal-knowledge-authority",
    "TargetField": "MessageDeliveries.HasFrozenApprovalEvidence",
    "CanRead": true,
    "CanWrite": false,
    "MaskStrategy": "plain",
    "SemanticTypeIri": "urn:effortless:pko-extension#FieldGrant",
    "Name": "principal-knowledge-authority -&gt; MessageDeliveries.HasFrozenApprovalEvidence",
    "FieldTable": "MessageDeliveries",
    "FieldName": "HasFrozenApprovalEvidence",
    "FieldIsDerived": true,
    "IsWritableDerivedField": false,
    "IsMasked": false,
    "GrantKeyWhenReadable": "principal-knowledge-authority|MessageDeliveries"
   },
   {
    "FieldGrantId": "fg-knowledge-authority-MessageDeliveries.ProvenanceIsLiveDerived",
    "Principal": "principal-knowledge-authority",
    "TargetField": "MessageDeliveries.ProvenanceIsLiveDerived",
    "CanRead": true,
    "CanWrite": false,
    "MaskStrategy": "plain",
    "SemanticTypeIri": "urn:effortless:pko-extension#FieldGrant",
    "Name": "principal-knowledge-authority -&gt; MessageDeliveries.ProvenanceIsLiveDerived",
    "FieldTable": "MessageDeliveries",
    "FieldName": "ProvenanceIsLiveDerived",
    "FieldIsDerived": true,
    "IsWritableDerivedField": false,
    "IsMasked": false,
    "GrantKeyWhenReadable": "principal-knowledge-authority|MessageDeliveries"
   },
   {
    "FieldGrantId": "fg-knowledge-authority-MessageDeliveries.CurrentLastApprovalAt",
    "Principal": "principal-knowledge-authority",
    "TargetField": "MessageDeliveries.CurrentLastApprovalAt",
    "CanRead": true,
    "CanWrite": false,
    "MaskStrategy": "plain",
    "SemanticTypeIri": "urn:effortless:pko-extension#FieldGrant",
    "Name": "principal-knowledge-authority -&gt; MessageDeliveries.CurrentLastApprovalAt",
    "FieldTable": "MessageDeliveries",
    "FieldName": "CurrentLastApprovalAt",
    "FieldIsDerived": true,
    "IsWritableDerivedField": false,
    "IsMasked": false,
    "GrantKeyWhenReadable": "principal-knowledge-authority|MessageDeliveries"
   },
   {
    "FieldGrantId": "fg-knowledge-authority-MessageDeliveries.TemplateReapprovedSinceSend",
    "Principal": "principal-knowledge-authority",
    "TargetField": "MessageDeliveries.TemplateReapprovedSinceSend",
    "CanRead": true,
    "CanWrite": false,
    "MaskStrategy": "plain",
    "SemanticTypeIri": "urn:effortless:pko-extension#FieldGrant",
    "Name": "principal-knowledge-authority -&gt; MessageDeliveries.TemplateReapprovedSinceSend",
    "FieldTable": "MessageDeliveries",
    "FieldName": "TemplateReapprovedSinceSend",
    "FieldIsDerived": true,
    "IsWritableDerivedField": false,
    "IsMasked": false,
    "GrantKeyWhenReadable": "principal-knowledge-authority|MessageDeliveries"
   },
   {
    "FieldGrantId": "fg-knowledge-authority-MessageDeliveries.IsUnprovableApprovalClaim",
    "Principal": "principal-knowledge-authority",
    "TargetField": "MessageDeliveries.IsUnprovableApprovalClaim",
    "CanRead": true,
    "CanWrite": false,
    "MaskStrategy": "plain",
    "SemanticTypeIri": "urn:effortless:pko-extension#FieldGrant",
    "Name": "principal-knowledge-authority -&gt; MessageDeliveries.IsUnprovableApprovalClaim",
    "FieldTable": "MessageDeliveries",
    "FieldName": "IsUnprovableApprovalClaim",
    "FieldIsDerived": true,
    "IsWritableDerivedField": false,
    "IsMasked": false,
    "GrantKeyWhenReadable": "principal-knowledge-authority|MessageDeliveries"
   },
   {
    "FieldGrantId": "fg-knowledge-authority-MessageDeliveries.ReminderSentAt",
    "Principal": "principal-knowledge-authority",
    "TargetField": "MessageDeliveries.ReminderSentAt",
    "CanRead": true,
    "CanWrite": false,
    "MaskStrategy": "plain",
    "SemanticTypeIri": "urn:effortless:pko-extension#FieldGrant",
    "Name": "principal-knowledge-authority -&gt; MessageDeliveries.ReminderSentAt",
    "FieldTable": "MessageDeliveries",
    "FieldName": "ReminderSentAt",
    "FieldIsDerived": false,
    "IsWritableDerivedField": false,
    "IsMasked": false,
    "GrantKeyWhenReadable": "principal-knowledge-authority|MessageDeliveries"
   },
   {
    "FieldGrantId": "fg-knowledge-authority-MessageDeliveries.ReminderCount",
    "Principal": "principal-knowledge-authority",
    "TargetField": "MessageDeliveries.ReminderCount",
    "CanRead": true,
    "CanWrite": false,
    "MaskStrategy": "plain",
    "SemanticTypeIri": "urn:effortless:pko-extension#FieldGrant",
    "Name": "principal-knowledge-authority -&gt; MessageDeliveries.ReminderCount",
    "FieldTable": "MessageDeliveries",
    "FieldName": "ReminderCount",
    "FieldIsDerived": false,
    "IsWritableDerivedField": false,
    "IsMasked": false,
    "GrantKeyWhenReadable": "principal-knowledge-authority|MessageDeliveries"
   },
   {
    "FieldGrantId": "fg-knowledge-authority-MessageDeliveries.HasSentReminder",
    "Principal": "principal-knowledge-authority",
    "TargetField": "MessageDeliveries.HasSentReminder",
    "CanRead": true,
    "CanWrite": false,
    "MaskStrategy": "plain",
    "SemanticTypeIri": "urn:effortless:pko-extension#FieldGrant",
    "Name": "principal-knowledge-authority -&gt; MessageDeliveries.HasSentReminder",
    "FieldTable": "MessageDeliveries",
    "FieldName": "HasSentReminder",
    "FieldIsDerived": true,
    "IsWritableDerivedField": false,
    "IsMasked": false,
    "GrantKeyWhenReadable": "principal-knowledge-authority|MessageDeliveries"
   },
   {
    "FieldGrantId": "fg-knowledge-authority-MessageDeliveries.AcknowledgementIsOutstanding",
    "Principal": "principal-knowledge-authority",
    "TargetField": "MessageDeliveries.AcknowledgementIsOutstanding",
    "CanRead": true,
    "CanWrite": false,
    "MaskStrategy": "plain",
    "SemanticTypeIri": "urn:effortless:pko-extension#FieldGrant",
    "Name": "principal-knowledge-authority -&gt; MessageDeliveries.AcknowledgementIsOutstanding",
    "FieldTable": "MessageDeliveries",
    "FieldName": "AcknowledgementIsOutstanding",
    "FieldIsDerived": true,
    "IsWritableDerivedField": false,
    "IsMasked": false,
    "GrantKeyWhenReadable": "principal-knowledge-authority|MessageDeliveries"
   },
   {
    "FieldGrantId": "fg-knowledge-authority-MessageDeliveries.OutstandingAgeDays",
    "Principal": "principal-knowledge-authority",
    "TargetField": "MessageDeliveries.OutstandingAgeDays",
    "CanRead": true,
    "CanWrite": false,
    "MaskStrategy": "plain",
    "SemanticTypeIri": "urn:effortless:pko-extension#FieldGrant",
    "Name": "principal-knowledge-authority -&gt; MessageDeliveries.OutstandingAgeDays",
    "FieldTable": "MessageDeliveries",
    "FieldName": "OutstandingAgeDays",
    "FieldIsDerived": true,
    "IsWritableDerivedField": false,
    "IsMasked": false,
    "GrantKeyWhenReadable": "principal-knowledge-authority|MessageDeliveries"
   },
   {
    "FieldGrantId": "fg-knowledge-authority-MessageDeliveries.IsUnchasedAcknowledgement",
    "Principal": "principal-knowledge-authority",
    "TargetField": "MessageDeliveries.IsUnchasedAcknowledgement",
    "CanRead": true,
    "CanWrite": false,
    "MaskStrategy": "plain",
    "SemanticTypeIri": "urn:effortless:pko-extension#FieldGrant",
    "Name": "principal-knowledge-authority -&gt; MessageDeliveries.IsUnchasedAcknowledgement",
    "FieldTable": "MessageDeliveries",
    "FieldName": "IsUnchasedAcknowledgement",
    "FieldIsDerived": true,
    "IsWritableDerivedField": false,
    "IsMasked": false,
    "GrantKeyWhenReadable": "principal-knowledge-authority|MessageDeliveries"
   },
   {
    "FieldGrantId": "fg-knowledge-authority-MessageDeliveries.IsExhaustedFollowUp",
    "Principal": "principal-knowledge-authority",
    "TargetField": "MessageDeliveries.IsExhaustedFollowUp",
    "CanRead": true,
    "CanWrite": false,
    "MaskStrategy": "plain",
    "SemanticTypeIri": "urn:effortless:pko-extension#FieldGrant",
    "Name": "principal-knowledge-authority -&gt; MessageDeliveries.IsExhaustedFollowUp",
    "FieldTable": "MessageDeliveries",
    "FieldName": "IsExhaustedFollowUp",
    "FieldIsDerived": true,
    "IsWritableDerivedField": false,
    "IsMasked": false,
    "GrantKeyWhenReadable": "principal-knowledge-authority|MessageDeliveries"
   },
   {
    "FieldGrantId": "fg-knowledge-authority-MessageDeliveries.NeedsHumanEscalation",
    "Principal": "principal-knowledge-authority",
    "TargetField": "MessageDeliveries.NeedsHumanEscalation",
    "CanRead": true,
    "CanWrite": false,
    "MaskStrategy": "plain",
    "SemanticTypeIri": "urn:effortless:pko-extension#FieldGrant",
    "Name": "principal-knowledge-authority -&gt; MessageDeliveries.NeedsHumanEscalation",
    "FieldTable": "MessageDeliveries",
    "FieldName": "NeedsHumanEscalation",
    "FieldIsDerived": true,
    "IsWritableDerivedField": false,
    "IsMasked": false,
    "GrantKeyWhenReadable": "principal-knowledge-authority|MessageDeliveries"
   },
   {
    "FieldGrantId": "fg-knowledge-authority-MessageDeliveries.SemanticTypeIri",
    "Principal": "principal-knowledge-authority",
    "TargetField": "MessageDeliveries.SemanticTypeIri",
    "CanRead": true,
    "CanWrite": false,
    "MaskStrategy": "plain",
    "SemanticTypeIri": "urn:effortless:pko-extension#FieldGrant",
    "Name": "principal-knowledge-authority -&gt; MessageDeliveries.SemanticTypeIri",
    "FieldTable": "MessageDeliveries",
    "FieldName": "SemanticTypeIri",
    "FieldIsDerived": false,
    "IsWritableDerivedField": false,
    "IsMasked": false,
    "GrantKeyWhenReadable": "principal-knowledge-authority|MessageDeliveries"
   },
   {
    "FieldGrantId": "fg-knowledge-authority-MessageTemplates.MessageTemplateId",
    "Principal": "principal-knowledge-authority",
    "TargetField": "MessageTemplates.MessageTemplateId",
    "CanRead": true,
    "CanWrite": false,
    "MaskStrategy": "plain",
    "SemanticTypeIri": "urn:effortless:pko-extension#FieldGrant",
    "Name": "principal-knowledge-authority -&gt; MessageTemplates.MessageTemplateId",
    "FieldTable": "MessageTemplates",
    "FieldName": "MessageTemplateId",
    "FieldIsDerived": false,
    "IsWritableDerivedField": false,
    "IsMasked": false,
    "GrantKeyWhenReadable": "principal-knowledge-authority|MessageTemplates"
   },
   {
    "FieldGrantId": "fg-knowledge-authority-MessageTemplates.Name",
    "Principal": "principal-knowledge-authority",
    "TargetField": "MessageTemplates.Name",
    "CanRead": true,
    "CanWrite": false,
    "MaskStrategy": "plain",
    "SemanticTypeIri": "urn:effortless:pko-extension#FieldGrant",
    "Name": "principal-knowledge-authority -&gt; MessageTemplates.Name",
    "FieldTable": "MessageTemplates",
    "FieldName": "Name",
    "FieldIsDerived": true,
    "IsWritableDerivedField": false,
    "IsMasked": false,
    "GrantKeyWhenReadable": "principal-knowledge-authority|MessageTemplates"
   },
   {
    "FieldGrantId": "fg-knowledge-authority-MessageTemplates.CommunicationPolicy",
    "Principal": "principal-knowledge-authority",
    "TargetField": "MessageTemplates.CommunicationPolicy",
    "CanRead": true,
    "CanWrite": false,
    "MaskStrategy": "plain",
    "SemanticTypeIri": "urn:effortless:pko-extension#FieldGrant",
    "Name": "principal-knowledge-authority -&gt; MessageTemplates.CommunicationPolicy",
    "FieldTable": "MessageTemplates",
    "FieldName": "CommunicationPolicy",
    "FieldIsDerived": false,
    "IsWritableDerivedField": false,
    "IsMasked": false,
    "GrantKeyWhenReadable": "principal-knowledge-authority|MessageTemplates"
   },
   {
    "FieldGrantId": "fg-knowledge-authority-MessageTemplates.Resource",
    "Principal": "principal-knowledge-authority",
    "TargetField": "MessageTemplates.Resource",
    "CanRead": true,
    "CanWrite": false,
    "MaskStrategy": "plain",
    "SemanticTypeIri": "urn:effortless:pko-extension#FieldGrant",
    "Name": "principal-knowledge-authority -&gt; MessageTemplates.Resource",
    "FieldTable": "MessageTemplates",
    "FieldName": "Resource",
    "FieldIsDerived": false,
    "IsWritableDerivedField": false,
    "IsMasked": false,
    "GrantKeyWhenReadable": "principal-knowledge-authority|MessageTemplates"
   },
   {
    "FieldGrantId": "fg-knowledge-authority-MessageTemplates.SubjectTemplate",
    "Principal": "principal-knowledge-authority",
    "TargetField": "MessageTemplates.SubjectTemplate",
    "CanRead": true,
    "CanWrite": false,
    "MaskStrategy": "plain",
    "SemanticTypeIri": "urn:effortless:pko-extension#FieldGrant",
    "Name": "principal-knowledge-authority -&gt; MessageTemplates.SubjectTemplate",
    "FieldTable": "MessageTemplates",
    "FieldName": "SubjectTemplate",
    "FieldIsDerived": false,
    "IsWritableDerivedField": false,
    "IsMasked": false,
    "GrantKeyWhenReadable": "principal-knowledge-authority|MessageTemplates"
   },
   {
    "FieldGrantId": "fg-knowledge-authority-MessageTemplates.BodyTemplate",
    "Principal": "principal-knowledge-authority",
    "TargetField": "MessageTemplates.BodyTemplate",
    "CanRead": true,
    "CanWrite": false,
    "MaskStrategy": "plain",
    "SemanticTypeIri": "urn:effortless:pko-extension#FieldGrant",
    "Name": "principal-knowledge-authority -&gt; MessageTemplates.BodyTemplate",
    "FieldTable": "MessageTemplates",
    "FieldName": "BodyTemplate",
    "FieldIsDerived": false,
    "IsWritableDerivedField": false,
    "IsMasked": false,
    "GrantKeyWhenReadable": "principal-knowledge-authority|MessageTemplates"
   },
   {
    "FieldGrantId": "fg-knowledge-authority-MessageTemplates.Locale",
    "Principal": "principal-knowledge-authority",
    "TargetField": "MessageTemplates.Locale",
    "CanRead": true,
    "CanWrite": false,
    "MaskStrategy": "plain",
    "SemanticTypeIri": "urn:effortless:pko-extension#FieldGrant",
    "Name": "principal-knowledge-authority -&gt; MessageTemplates.Locale",
    "FieldTable": "MessageTemplates",
    "FieldName": "Locale",
    "FieldIsDerived": false,
    "IsWritableDerivedField": false,
    "IsMasked": false,
    "GrantKeyWhenReadable": "principal-knowledge-authority|MessageTemplates"
   },
   {
    "FieldGrantId": "fg-knowledge-authority-MessageTemplates.Status",
    "Principal": "principal-knowledge-authority",
    "TargetField": "MessageTemplates.Status",
    "CanRead": true,
    "CanWrite": false,
    "MaskStrategy": "plain",
    "SemanticTypeIri": "urn:effortless:pko-extension#FieldGrant",
    "Name": "principal-knowledge-authority -&gt; MessageTemplates.Status",
    "FieldTable": "MessageTemplates",
    "FieldName": "Status",
    "FieldIsDerived": false,
    "IsWritableDerivedField": false,
    "IsMasked": false,
    "GrantKeyWhenReadable": "principal-knowledge-authority|MessageTemplates"
   },
   {
    "FieldGrantId": "fg-knowledge-authority-MessageTemplates.PolicyMaxMessageLength",
    "Principal": "principal-knowledge-authority",
    "TargetField": "MessageTemplates.PolicyMaxMessageLength",
    "CanRead": true,
    "CanWrite": false,
    "MaskStrategy": "plain",
    "SemanticTypeIri": "urn:effortless:pko-extension#FieldGrant",
    "Name": "principal-knowledge-authority -&gt; MessageTemplates.PolicyMaxMessageLength",
    "FieldTable": "MessageTemplates",
    "FieldName": "PolicyMaxMessageLength",
    "FieldIsDerived": true,
    "IsWritableDerivedField": false,
    "IsMasked": false,
    "GrantKeyWhenReadable": "principal-knowledge-authority|MessageTemplates"
   },
   {
    "FieldGrantId": "fg-knowledge-authority-MessageTemplates.PolicyMaxSegments",
    "Principal": "principal-knowledge-authority",
    "TargetField": "MessageTemplates.PolicyMaxSegments",
    "CanRead": true,
    "CanWrite": false,
    "MaskStrategy": "plain",
    "SemanticTypeIri": "urn:effortless:pko-extension#FieldGrant",
    "Name": "principal-knowledge-authority -&gt; MessageTemplates.PolicyMaxSegments",
    "FieldTable": "MessageTemplates",
    "FieldName": "PolicyMaxSegments",
    "FieldIsDerived": true,
    "IsWritableDerivedField": false,
    "IsMasked": false,
    "GrantKeyWhenReadable": "principal-knowledge-authority|MessageTemplates"
   },
   {
    "FieldGrantId": "fg-knowledge-authority-MessageTemplates.BodyTemplateLength",
    "Principal": "principal-knowledge-authority",
    "TargetField": "MessageTemplates.BodyTemplateLength",
    "CanRead": true,
    "CanWrite": false,
    "MaskStrategy": "plain",
    "SemanticTypeIri": "urn:effortless:pko-extension#FieldGrant",
    "Name": "principal-knowledge-authority -&gt; MessageTemplates.BodyTemplateLength",
    "FieldTable": "MessageTemplates",
    "FieldName": "BodyTemplateLength",
    "FieldIsDerived": true,
    "IsWritableDerivedField": false,
    "IsMasked": false,
    "GrantKeyWhenReadable": "principal-knowledge-authority|MessageTemplates"
   },
   {
    "FieldGrantId": "fg-knowledge-authority-MessageTemplates.IsTemplateOverLength",
    "Principal": "principal-knowledge-authority",
    "TargetField": "MessageTemplates.IsTemplateOverLength",
    "CanRead": true,
    "CanWrite": false,
    "MaskStrategy": "plain",
    "SemanticTypeIri": "urn:effortless:pko-extension#FieldGrant",
    "Name": "principal-knowledge-authority -&gt; MessageTemplates.IsTemplateOverLength",
    "FieldTable": "MessageTemplates",
    "FieldName": "IsTemplateOverLength",
    "FieldIsDerived": true,
    "IsWritableDerivedField": false,
    "IsMasked": false,
    "GrantKeyWhenReadable": "principal-knowledge-authority|MessageTemplates"
   },
   {
    "FieldGrantId": "fg-knowledge-authority-MessageTemplates.ValidApprovalCount",
    "Principal": "principal-knowledge-authority",
    "TargetField": "MessageTemplates.ValidApprovalCount",
    "CanRead": true,
    "CanWrite": false,
    "MaskStrategy": "plain",
    "SemanticTypeIri": "urn:effortless:pko-extension#FieldGrant",
    "Name": "principal-knowledge-authority -&gt; MessageTemplates.ValidApprovalCount",
    "FieldTable": "MessageTemplates",
    "FieldName": "ValidApprovalCount",
    "FieldIsDerived": true,
    "IsWritableDerivedField": false,
    "IsMasked": false,
    "GrantKeyWhenReadable": "principal-knowledge-authority|MessageTemplates"
   },
   {
    "FieldGrantId": "fg-knowledge-authority-MessageTemplates.HasValidApproval",
    "Principal": "principal-knowledge-authority",
    "TargetField": "MessageTemplates.HasValidApproval",
    "CanRead": true,
    "CanWrite": false,
    "MaskStrategy": "plain",
    "SemanticTypeIri": "urn:effortless:pko-extension#FieldGrant",
    "Name": "principal-knowledge-authority -&gt; MessageTemplates.HasValidApproval",
    "FieldTable": "MessageTemplates",
    "FieldName": "HasValidApproval",
    "FieldIsDerived": true,
    "IsWritableDerivedField": false,
    "IsMasked": false,
    "GrantKeyWhenReadable": "principal-knowledge-authority|MessageTemplates"
   },
   {
    "FieldGrantId": "fg-knowledge-authority-MessageTemplates.IsClaimingUnbackedApproval",
    "Principal": "principal-knowledge-authority",
    "TargetField": "MessageTemplates.IsClaimingUnbackedApproval",
    "CanRead": true,
    "CanWrite": false,
    "MaskStrategy": "plain",
    "SemanticTypeIri": "urn:effortless:pko-extension#FieldGrant",
    "Name": "principal-knowledge-authority -&gt; MessageTemplates.IsClaimingUnbackedApproval",
    "FieldTable": "MessageTemplates",
    "FieldName": "IsClaimingUnbackedApproval",
    "FieldIsDerived": true,
    "IsWritableDerivedField": false,
    "IsMasked": false,
    "GrantKeyWhenReadable": "principal-knowledge-authority|MessageTemplates"
   },
   {
    "FieldGrantId": "fg-knowledge-authority-MessageTemplates.CurrentBodyHash",
    "Principal": "principal-knowledge-authority",
    "TargetField": "MessageTemplates.CurrentBodyHash",
    "CanRead": true,
    "CanWrite": false,
    "MaskStrategy": "plain",
    "SemanticTypeIri": "urn:effortless:pko-extension#FieldGrant",
    "Name": "principal-knowledge-authority -&gt; MessageTemplates.CurrentBodyHash",
    "FieldTable": "MessageTemplates",
    "FieldName": "CurrentBodyHash",
    "FieldIsDerived": false,
    "IsWritableDerivedField": false,
    "IsMasked": false,
    "GrantKeyWhenReadable": "principal-knowledge-authority|MessageTemplates"
   },
   {
    "FieldGrantId": "fg-knowledge-authority-MessageTemplates.LastApprovedBodyHash",
    "Principal": "principal-knowledge-authority",
    "TargetField": "MessageTemplates.LastApprovedBodyHash",
    "CanRead": true,
    "CanWrite": false,
    "MaskStrategy": "plain",
    "SemanticTypeIri": "urn:effortless:pko-extension#FieldGrant",
    "Name": "principal-knowledge-authority -&gt; MessageTemplates.LastApprovedBodyHash",
    "FieldTable": "MessageTemplates",
    "FieldName": "LastApprovedBodyHash",
    "FieldIsDerived": true,
    "IsWritableDerivedField": false,
    "IsMasked": false,
    "GrantKeyWhenReadable": "principal-knowledge-authority|MessageTemplates"
   },
   {
    "FieldGrantId": "fg-knowledge-authority-MessageTemplates.LastValidApproval",
    "Principal": "principal-knowledge-authority",
    "TargetField": "MessageTemplates.LastValidApproval",
    "CanRead": true,
    "CanWrite": false,
    "MaskStrategy": "plain",
    "SemanticTypeIri": "urn:effortless:pko-extension#FieldGrant",
    "Name": "principal-knowledge-authority -&gt; MessageTemplates.LastValidApproval",
    "FieldTable": "MessageTemplates",
    "FieldName": "LastValidApproval",
    "FieldIsDerived": false,
    "IsWritableDerivedField": false,
    "IsMasked": false,
    "GrantKeyWhenReadable": "principal-knowledge-authority|MessageTemplates"
   },
   {
    "FieldGrantId": "fg-knowledge-authority-MessageTemplates.HasBodyDrifted",
    "Principal": "principal-knowledge-authority",
    "TargetField": "MessageTemplates.HasBodyDrifted",
    "CanRead": true,
    "CanWrite": false,
    "MaskStrategy": "plain",
    "SemanticTypeIri": "urn:effortless:pko-extension#FieldGrant",
    "Name": "principal-knowledge-authority -&gt; MessageTemplates.HasBodyDrifted",
    "FieldTable": "MessageTemplates",
    "FieldName": "HasBodyDrifted",
    "FieldIsDerived": true,
    "IsWritableDerivedField": false,
    "IsMasked": false,
    "GrantKeyWhenReadable": "principal-knowledge-authority|MessageTemplates"
   },
   {
    "FieldGrantId": "fg-knowledge-authority-MessageTemplates.IsSendableUnderApproval",
    "Principal": "principal-knowledge-authority",
    "TargetField": "MessageTemplates.IsSendableUnderApproval",
    "CanRead": true,
    "CanWrite": false,
    "MaskStrategy": "plain",
    "SemanticTypeIri": "urn:effortless:pko-extension#FieldGrant",
    "Name": "principal-knowledge-authority -&gt; MessageTemplates.IsSendableUnderApproval",
    "FieldTable": "MessageTemplates",
    "FieldName": "IsSendableUnderApproval",
    "FieldIsDerived": true,
    "IsWritableDerivedField": false,
    "IsMasked": false,
    "GrantKeyWhenReadable": "principal-knowledge-authority|MessageTemplates"
   },
   {
    "FieldGrantId": "fg-knowledge-authority-MessageTemplates.DriftedSendCount",
    "Principal": "principal-knowledge-authority",
    "TargetField": "MessageTemplates.DriftedSendCount",
    "CanRead": true,
    "CanWrite": false,
    "MaskStrategy": "plain",
    "SemanticTypeIri": "urn:effortless:pko-extension#FieldGrant",
    "Name": "principal-knowledge-authority -&gt; MessageTemplates.DriftedSendCount",
    "FieldTable": "MessageTemplates",
    "FieldName": "DriftedSendCount",
    "FieldIsDerived": true,
    "IsWritableDerivedField": false,
    "IsMasked": false,
    "GrantKeyWhenReadable": "principal-knowledge-authority|MessageTemplates"
   },
   {
    "FieldGrantId": "fg-knowledge-authority-MessageTemplates.UnansweredDeliveryCount",
    "Principal": "principal-knowledge-authority",
    "TargetField": "MessageTemplates.UnansweredDeliveryCount",
    "CanRead": true,
    "CanWrite": false,
    "MaskStrategy": "plain",
    "SemanticTypeIri": "urn:effortless:pko-extension#FieldGrant",
    "Name": "principal-knowledge-authority -&gt; MessageTemplates.UnansweredDeliveryCount",
    "FieldTable": "MessageTemplates",
    "FieldName": "UnansweredDeliveryCount",
    "FieldIsDerived": true,
    "IsWritableDerivedField": false,
    "IsMasked": false,
    "GrantKeyWhenReadable": "principal-knowledge-authority|MessageTemplates"
   },
   {
    "FieldGrantId": "fg-knowledge-authority-MessageTemplates.TransmittedDeliveryCount",
    "Principal": "principal-knowledge-authority",
    "TargetField": "MessageTemplates.TransmittedDeliveryCount",
    "CanRead": true,
    "CanWrite": false,
    "MaskStrategy": "plain",
    "SemanticTypeIri": "urn:effortless:pko-extension#FieldGrant",
    "Name": "principal-knowledge-authority -&gt; MessageTemplates.TransmittedDeliveryCount",
    "FieldTable": "MessageTemplates",
    "FieldName": "TransmittedDeliveryCount",
    "FieldIsDerived": true,
    "IsWritableDerivedField": false,
    "IsMasked": false,
    "GrantKeyWhenReadable": "principal-knowledge-authority|MessageTemplates"
   },
   {
    "FieldGrantId": "fg-knowledge-authority-MessageTemplates.TemplateDrawsNoResponse",
    "Principal": "principal-knowledge-authority",
    "TargetField": "MessageTemplates.TemplateDrawsNoResponse",
    "CanRead": true,
    "CanWrite": false,
    "MaskStrategy": "plain"</t>
  </si>
  <si>
    <t xml:space="preserve">,
    "SemanticTypeIri": "urn:effortless:pko-extension#FieldGrant",
    "Name": "principal-knowledge-authority -&gt; MessageTemplates.TemplateDrawsNoResponse",
    "FieldTable": "MessageTemplates",
    "FieldName": "TemplateDrawsNoResponse",
    "FieldIsDerived": true,
    "IsWritableDerivedField": false,
    "IsMasked": false,
    "GrantKeyWhenReadable": "principal-knowledge-authority|MessageTemplates"
   },
   {
    "FieldGrantId": "fg-knowledge-authority-MessageTemplates.LastApprovalAt",
    "Principal": "principal-knowledge-authority",
    "TargetField": "MessageTemplates.LastApprovalAt",
    "CanRead": true,
    "CanWrite": false,
    "MaskStrategy": "plain",
    "SemanticTypeIri": "urn:effortless:pko-extension#FieldGrant",
    "Name": "principal-knowledge-authority -&gt; MessageTemplates.LastApprovalAt",
    "FieldTable": "MessageTemplates",
    "FieldName": "LastApprovalAt",
    "FieldIsDerived": true,
    "IsWritableDerivedField": false,
    "IsMasked": false,
    "GrantKeyWhenReadable": "principal-knowledge-authority|MessageTemplates"
   },
   {
    "FieldGrantId": "fg-knowledge-authority-MessageTemplates.SemanticTypeIri",
    "Principal": "principal-knowledge-authority",
    "TargetField": "MessageTemplates.SemanticTypeIri",
    "CanRead": true,
    "CanWrite": false,
    "MaskStrategy": "plain",
    "SemanticTypeIri": "urn:effortless:pko-extension#FieldGrant",
    "Name": "principal-knowledge-authority -&gt; MessageTemplates.SemanticTypeIri",
    "FieldTable": "MessageTemplates",
    "FieldName": "SemanticTypeIri",
    "FieldIsDerived": false,
    "IsWritableDerivedField": false,
    "IsMasked": false,
    "GrantKeyWhenReadable": "principal-knowledge-authority|MessageTemplates"
   },
   {
    "FieldGrantId": "fg-knowledge-authority-ObservedTransitions.ObservedTransitionId",
    "Principal": "principal-knowledge-authority",
    "TargetField": "ObservedTransitions.ObservedTransitionId",
    "CanRead": true,
    "CanWrite": false,
    "MaskStrategy": "plain",
    "SemanticTypeIri": "urn:effortless:pko-extension#FieldGrant",
    "Name": "principal-knowledge-authority -&gt; ObservedTransitions.ObservedTransitionId",
    "FieldTable": "ObservedTransitions",
    "FieldName": "ObservedTransitionId",
    "FieldIsDerived": false,
    "IsWritableDerivedField": false,
    "IsMasked": false,
    "GrantKeyWhenReadable": "principal-knowledge-authority|ObservedTransitions"
   },
   {
    "FieldGrantId": "fg-knowledge-authority-ObservedTransitions.Name",
    "Principal": "principal-knowledge-authority",
    "TargetField": "ObservedTransitions.Name",
    "CanRead": true,
    "CanWrite": false,
    "MaskStrategy": "plain",
    "SemanticTypeIri": "urn:effortless:pko-extension#FieldGrant",
    "Name": "principal-knowledge-authority -&gt; ObservedTransitions.Name",
    "FieldTable": "ObservedTransitions",
    "FieldName": "Name",
    "FieldIsDerived": true,
    "IsWritableDerivedField": false,
    "IsMasked": false,
    "GrantKeyWhenReadable": "principal-knowledge-authority|ObservedTransitions"
   },
   {
    "FieldGrantId": "fg-knowledge-authority-ObservedTransitions.ProcedureExecution",
    "Principal": "principal-knowledge-authority",
    "TargetField": "ObservedTransitions.ProcedureExecution",
    "CanRead": true,
    "CanWrite": false,
    "MaskStrategy": "plain",
    "SemanticTypeIri": "urn:effortless:pko-extension#FieldGrant",
    "Name": "principal-knowledge-authority -&gt; ObservedTransitions.ProcedureExecution",
    "FieldTable": "ObservedTransitions",
    "FieldName": "ProcedureExecution",
    "FieldIsDerived": false,
    "IsWritableDerivedField": false,
    "IsMasked": false,
    "GrantKeyWhenReadable": "principal-knowledge-authority|ObservedTransitions"
   },
   {
    "FieldGrantId": "fg-knowledge-authority-ObservedTransitions.StepTransition",
    "Principal": "principal-knowledge-authority",
    "TargetField": "ObservedTransitions.StepTransition",
    "CanRead": true,
    "CanWrite": false,
    "MaskStrategy": "plain",
    "SemanticTypeIri": "urn:effortless:pko-extension#FieldGrant",
    "Name": "principal-knowledge-authority -&gt; ObservedTransitions.StepTransition",
    "FieldTable": "ObservedTransitions",
    "FieldName": "StepTransition",
    "FieldIsDerived": false,
    "IsWritableDerivedField": false,
    "IsMasked": false,
    "GrantKeyWhenReadable": "principal-knowledge-authority|ObservedTransitions"
   },
   {
    "FieldGrantId": "fg-knowledge-authority-ObservedTransitions.ArrivingStepExecution",
    "Principal": "principal-knowledge-authority",
    "TargetField": "ObservedTransitions.ArrivingStepExecution",
    "CanRead": true,
    "CanWrite": false,
    "MaskStrategy": "plain",
    "SemanticTypeIri": "urn:effortless:pko-extension#FieldGrant",
    "Name": "principal-knowledge-authority -&gt; ObservedTransitions.ArrivingStepExecution",
    "FieldTable": "ObservedTransitions",
    "FieldName": "ArrivingStepExecution",
    "FieldIsDerived": false,
    "IsWritableDerivedField": false,
    "IsMasked": false,
    "GrantKeyWhenReadable": "principal-knowledge-authority|ObservedTransitions"
   },
   {
    "FieldGrantId": "fg-knowledge-authority-ObservedTransitions.ObservedAt",
    "Principal": "principal-knowledge-authority",
    "TargetField": "ObservedTransitions.ObservedAt",
    "CanRead": true,
    "CanWrite": false,
    "MaskStrategy": "plain",
    "SemanticTypeIri": "urn:effortless:pko-extension#FieldGrant",
    "Name": "principal-knowledge-authority -&gt; ObservedTransitions.ObservedAt",
    "FieldTable": "ObservedTransitions",
    "FieldName": "ObservedAt",
    "FieldIsDerived": false,
    "IsWritableDerivedField": false,
    "IsMasked": false,
    "GrantKeyWhenReadable": "principal-knowledge-authority|ObservedTransitions"
   },
   {
    "FieldGrantId": "fg-knowledge-authority-ObservedTransitions.TriggerReason",
    "Principal": "principal-knowledge-authority",
    "TargetField": "ObservedTransitions.TriggerReason",
    "CanRead": true,
    "CanWrite": false,
    "MaskStrategy": "plain",
    "SemanticTypeIri": "urn:effortless:pko-extension#FieldGrant",
    "Name": "principal-knowledge-authority -&gt; ObservedTransitions.TriggerReason",
    "FieldTable": "ObservedTransitions",
    "FieldName": "TriggerReason",
    "FieldIsDerived": false,
    "IsWritableDerivedField": false,
    "IsMasked": false,
    "GrantKeyWhenReadable": "principal-knowledge-authority|ObservedTransitions"
   },
   {
    "FieldGrantId": "fg-knowledge-authority-ObservedTransitions.SemanticTypeIri",
    "Principal": "principal-knowledge-authority",
    "TargetField": "ObservedTransitions.SemanticTypeIri",
    "CanRead": true,
    "CanWrite": false,
    "MaskStrategy": "plain",
    "SemanticTypeIri": "urn:effortless:pko-extension#FieldGrant",
    "Name": "principal-knowledge-authority -&gt; ObservedTransitions.SemanticTypeIri",
    "FieldTable": "ObservedTransitions",
    "FieldName": "SemanticTypeIri",
    "FieldIsDerived": false,
    "IsWritableDerivedField": false,
    "IsMasked": false,
    "GrantKeyWhenReadable": "principal-knowledge-authority|ObservedTransitions"
   },
   {
    "FieldGrantId": "fg-knowledge-authority-OntologyProfiles.OntologyProfileId",
    "Principal": "principal-knowledge-authority",
    "TargetField": "OntologyProfiles.OntologyProfileId",
    "CanRead": true,
    "CanWrite": false,
    "MaskStrategy": "plain",
    "SemanticTypeIri": "urn:effortless:pko-extension#FieldGrant",
    "Name": "principal-knowledge-authority -&gt; OntologyProfiles.OntologyProfileId",
    "FieldTable": "OntologyProfiles",
    "FieldName": "OntologyProfileId",
    "FieldIsDerived": false,
    "IsWritableDerivedField": false,
    "IsMasked": false,
    "GrantKeyWhenReadable": "principal-knowledge-authority|OntologyProfiles"
   },
   {
    "FieldGrantId": "fg-knowledge-authority-OntologyProfiles.Name",
    "Principal": "principal-knowledge-authority",
    "TargetField": "OntologyProfiles.Name",
    "CanRead": true,
    "CanWrite": false,
    "MaskStrategy": "plain",
    "SemanticTypeIri": "urn:effortless:pko-extension#FieldGrant",
    "Name": "principal-knowledge-authority -&gt; OntologyProfiles.Name",
    "FieldTable": "OntologyProfiles",
    "FieldName": "Name",
    "FieldIsDerived": true,
    "IsWritableDerivedField": false,
    "IsMasked": false,
    "GrantKeyWhenReadable": "principal-knowledge-authority|OntologyProfiles"
   },
   {
    "FieldGrantId": "fg-knowledge-authority-OntologyProfiles.Label",
    "Principal": "principal-knowledge-authority",
    "TargetField": "OntologyProfiles.Label",
    "CanRead": true,
    "CanWrite": false,
    "MaskStrategy": "plain",
    "SemanticTypeIri": "urn:effortless:pko-extension#FieldGrant",
    "Name": "principal-knowledge-authority -&gt; OntologyProfiles.Label",
    "FieldTable": "OntologyProfiles",
    "FieldName": "Label",
    "FieldIsDerived": false,
    "IsWritableDerivedField": false,
    "IsMasked": false,
    "GrantKeyWhenReadable": "principal-knowledge-authority|OntologyProfiles"
   },
   {
    "FieldGrantId": "fg-knowledge-authority-OntologyProfiles.Version",
    "Principal": "principal-knowledge-authority",
    "TargetField": "OntologyProfiles.Version",
    "CanRead": true,
    "CanWrite": false,
    "MaskStrategy": "plain",
    "SemanticTypeIri": "urn:effortless:pko-extension#FieldGrant",
    "Name": "principal-knowledge-authority -&gt; OntologyProfiles.Version",
    "FieldTable": "OntologyProfiles",
    "FieldName": "Version",
    "FieldIsDerived": false,
    "IsWritableDerivedField": false,
    "IsMasked": false,
    "GrantKeyWhenReadable": "principal-knowledge-authority|OntologyProfiles"
   },
   {
    "FieldGrantId": "fg-knowledge-authority-OntologyProfiles.VersionIri",
    "Principal": "principal-knowledge-authority",
    "TargetField": "OntologyProfiles.VersionIri",
    "CanRead": true,
    "CanWrite": false,
    "MaskStrategy": "plain",
    "SemanticTypeIri": "urn:effortless:pko-extension#FieldGrant",
    "Name": "principal-knowledge-authority -&gt; OntologyProfiles.VersionIri",
    "FieldTable": "OntologyProfiles",
    "FieldName": "VersionIri",
    "FieldIsDerived": false,
    "IsWritableDerivedField": false,
    "IsMasked": false,
    "GrantKeyWhenReadable": "principal-knowledge-authority|OntologyProfiles"
   },
   {
    "FieldGrantId": "fg-knowledge-authority-OntologyProfiles.NamespaceIri",
    "Principal": "principal-knowledge-authority",
    "TargetField": "OntologyProfiles.NamespaceIri",
    "CanRead": true,
    "CanWrite": false,
    "MaskStrategy": "plain",
    "SemanticTypeIri": "urn:effortless:pko-extension#FieldGrant",
    "Name": "principal-knowledge-authority -&gt; OntologyProfiles.NamespaceIri",
    "FieldTable": "OntologyProfiles",
    "FieldName": "NamespaceIri",
    "FieldIsDerived": false,
    "IsWritableDerivedField": false,
    "IsMasked": false,
    "GrantKeyWhenReadable": "principal-knowledge-authority|OntologyProfiles"
   },
   {
    "FieldGrantId": "fg-knowledge-authority-OntologyProfiles.License",
    "Principal": "principal-knowledge-authority",
    "TargetField": "OntologyProfiles.License",
    "CanRead": true,
    "CanWrite": false,
    "MaskStrategy": "plain",
    "SemanticTypeIri": "urn:effortless:pko-extension#FieldGrant",
    "Name": "principal-knowledge-authority -&gt; OntologyProfiles.License",
    "FieldTable": "OntologyProfiles",
    "FieldName": "License",
    "FieldIsDerived": false,
    "IsWritableDerivedField": false,
    "IsMasked": false,
    "GrantKeyWhenReadable": "principal-knowledge-authority|OntologyProfiles"
   },
   {
    "FieldGrantId": "fg-knowledge-authority-OntologyProfiles.Scope",
    "Principal": "principal-knowledge-authority",
    "TargetField": "OntologyProfiles.Scope",
    "CanRead": true,
    "CanWrite": false,
    "MaskStrategy": "plain",
    "SemanticTypeIri": "urn:effortless:pko-extension#FieldGrant",
    "Name": "principal-knowledge-authority -&gt; OntologyProfiles.Scope",
    "FieldTable": "OntologyProfiles",
    "FieldName": "Scope",
    "FieldIsDerived": false,
    "IsWritableDerivedField": false,
    "IsMasked": false,
    "GrantKeyWhenReadable": "principal-knowledge-authority|OntologyProfiles"
   },
   {
    "FieldGrantId": "fg-knowledge-authority-OperationalBindings.OperationalBindingId",
    "Principal": "principal-knowledge-authority",
    "TargetField": "OperationalBindings.OperationalBindingId",
    "CanRead": true,
    "CanWrite": false,
    "MaskStrategy": "plain",
    "SemanticTypeIri": "urn:effortless:pko-extension#FieldGrant",
    "Name": "principal-knowledge-authority -&gt; OperationalBindings.OperationalBindingId",
    "FieldTable": "OperationalBindings",
    "FieldName": "OperationalBindingId",
    "FieldIsDerived": false,
    "IsWritableDerivedField": false,
    "IsMasked": false,
    "GrantKeyWhenReadable": "principal-knowledge-authority|OperationalBindings"
   },
   {
    "FieldGrantId": "fg-knowledge-authority-OperationalBindings.Name",
    "Principal": "principal-knowledge-authority",
    "TargetField": "OperationalBindings.Name",
    "CanRead": true,
    "CanWrite": false,
    "MaskStrategy": "plain",
    "SemanticTypeIri": "urn:effortless:pko-extension#FieldGrant",
    "Name": "principal-knowledge-authority -&gt; OperationalBindings.Name",
    "FieldTable": "OperationalBindings",
    "FieldName": "Name",
    "FieldIsDerived": true,
    "IsWritableDerivedField": false,
    "IsMasked": false,
    "GrantKeyWhenReadable": "principal-knowledge-authority|OperationalBindings"
   },
   {
    "FieldGrantId": "fg-knowledge-authority-OperationalBindings.ProcedureVersion",
    "Principal": "principal-knowledge-authority",
    "TargetField": "OperationalBindings.ProcedureVersion",
    "CanRead": true,
    "CanWrite": false,
    "MaskStrategy": "plain",
    "SemanticTypeIri": "urn:effortless:pko-extension#FieldGrant",
    "Name": "principal-knowledge-authority -&gt; OperationalBindings.ProcedureVersion",
    "FieldTable": "OperationalBindings",
    "FieldName": "ProcedureVersion",
    "FieldIsDerived": false,
    "IsWritableDerivedField": false,
    "IsMasked": false,
    "GrantKeyWhenReadable": "principal-knowledge-authority|OperationalBindings"
   },
   {
    "FieldGrantId": "fg-knowledge-authority-OperationalBindings.Step",
    "Principal": "principal-knowledge-authority",
    "TargetField": "OperationalBindings.Step",
    "CanRead": true,
    "CanWrite": false,
    "MaskStrategy": "plain",
    "SemanticTypeIri": "urn:effortless:pko-extension#FieldGrant",
    "Name": "principal-knowledge-authority -&gt; OperationalBindings.Step",
    "FieldTable": "OperationalBindings",
    "FieldName": "Step",
    "FieldIsDerived": false,
    "IsWritableDerivedField": false,
    "IsMasked": false,
    "GrantKeyWhenReadable": "principal-knowledge-authority|OperationalBindings"
   },
   {
    "FieldGrantId": "fg-knowledge-authority-OperationalBindings.Resource",
    "Principal": "principal-knowledge-authority",
    "TargetField": "OperationalBindings.Resource",
    "CanRead": true,
    "CanWrite": false,
    "MaskStrategy": "plain",
    "SemanticTypeIri": "urn:effortless:pko-extension#FieldGrant",
    "Name": "principal-knowledge-authority -&gt; OperationalBindings.Resource",
    "FieldTable": "OperationalBindings",
    "FieldName": "Resource",
    "FieldIsDerived": false,
    "IsWritableDerivedField": false,
    "IsMasked": false,
    "GrantKeyWhenReadable": "principal-knowledge-authority|OperationalBindings"
   },
   {
    "FieldGrantId": "fg-knowledge-authority-OperationalBindings.AccessMode",
    "Principal": "principal-knowledge-authority",
    "TargetField": "OperationalBindings.AccessMode",
    "CanRead": true,
    "CanWrite": false,
    "MaskStrategy": "plain",
    "SemanticTypeIri": "urn:effortless:pko-extension#FieldGrant",
    "Name": "principal-knowledge-authority -&gt; OperationalBindings.AccessMode",
    "FieldTable": "OperationalBindings",
    "FieldName": "AccessMode",
    "FieldIsDerived": false,
    "IsWritableDerivedField": false,
    "IsMasked": false,
    "GrantKeyWhenReadable": "principal-knowledge-authority|OperationalBindings"
   },
   {
    "FieldGrantId": "fg-knowledge-authority-OperationalBindings.RecordOrSchemaKey",
    "Principal": "principal-knowledge-authority",
    "TargetField": "OperationalBindings.RecordOrSchemaKey",
    "CanRead": true,
    "CanWrite": false,
    "MaskStrategy": "plain",
    "SemanticTypeIri": "urn:effortless:pko-extension#FieldGrant",
    "Name": "principal-knowledge-authority -&gt; OperationalBindings.RecordOrSchemaKey",
    "FieldTable": "OperationalBindings",
    "FieldName": "RecordOrSchemaKey",
    "FieldIsDerived": false,
    "IsWritableDerivedField": false,
    "IsMasked": false,
    "GrantKeyWhenReadable": "principal-knowledge-authority|OperationalBindings"
   },
   {
    "FieldGrantId": "fg-knowledge-authority-OperationalBindings.LastObservedAt",
    "Principal": "principal-knowledge-authority",
    "TargetField": "OperationalBindings.LastObservedAt",
    "CanRead": true,
    "CanWrite": false,
    "MaskStrategy": "plain",
    "SemanticTypeIri": "urn:effortless:pko-extension#FieldGrant",
    "Name": "principal-knowledge-authority -&gt; OperationalBindings.LastObservedAt",
    "FieldTable": "OperationalBindings",
    "FieldName": "LastObservedAt",
    "FieldIsDerived": false,
    "IsWritableDerivedField": false,
    "IsMasked": false,
    "GrantKeyWhenReadable": "principal-knowledge-authority|OperationalBindings"
   },
   {
    "FieldGrantId": "fg-knowledge-authority-OperationalBindings.FreshnessSlaMinutes",
    "Principal": "principal-knowledge-authority",
    "TargetField": "OperationalBindings.FreshnessSlaMinutes",
    "CanRead": true,
    "CanWrite": false,
    "MaskStrategy": "plain",
    "SemanticTypeIri": "urn:effortless:pko-extension#FieldGrant",
    "Name": "principal-knowledge-authority -&gt; OperationalBindings.FreshnessSlaMinutes",
    "FieldTable": "OperationalBindings",
    "FieldName": "FreshnessSlaMinutes",
    "FieldIsDerived": false,
    "IsWritableDerivedField": false,
    "IsMasked": false,
    "GrantKeyWhenReadable": "principal-knowledge-authority|OperationalBindings"
   },
   {
    "FieldGrantId": "fg-knowledge-authority-OperationalBindings.IsAuthoritative",
    "Principal": "principal-knowledge-authority",
    "TargetField": "OperationalBindings.IsAuthoritative",
    "CanRead": true,
    "CanWrite": false,
    "MaskStrategy": "plain",
    "SemanticTypeIri": "urn:effortless:pko-extension#FieldGrant",
    "Name": "principal-knowledge-authority -&gt; OperationalBindings.IsAuthoritative",
    "FieldTable": "OperationalBindings",
    "FieldName": "IsAuthoritative",
    "FieldIsDerived": false,
    "IsWritableDerivedField": false,
    "IsMasked": false,
    "GrantKeyWhenReadable": "principal-knowledge-authority|OperationalBindings"
   },
   {
    "FieldGrantId": "fg-knowledge-authority-OperationalBindings.EvaluationContext",
    "Principal": "principal-knowledge-authority",
    "TargetField": "OperationalBindings.EvaluationContext",
    "CanRead": true,
    "CanWrite": false,
    "MaskStrategy": "plain",
    "SemanticTypeIri": "urn:effortless:pko-extension#FieldGrant",
    "Name": "principal-knowledge-authority -&gt; OperationalBindings.EvaluationContext",
    "FieldTable": "OperationalBindings",
    "FieldName": "EvaluationContext",
    "FieldIsDerived": false,
    "IsWritableDerivedField": false,
    "IsMasked": false,
    "GrantKeyWhenReadable": "principal-knowledge-authority|OperationalBindings"
   },
   {
    "FieldGrantId": "fg-knowledge-authority-OperationalBindings.AsOfInstant",
    "Principal": "principal-knowledge-authority",
    "TargetField": "OperationalBindings.AsOfInstant",
    "CanRead": true,
    "CanWrite": false,
    "MaskStrategy": "plain",
    "SemanticTypeIri": "urn:effortless:pko-extension#FieldGrant",
    "Name": "principal-knowledge-authority -&gt; OperationalBindings.AsOfInstant",
    "FieldTable": "OperationalBindings",
    "FieldName": "AsOfInstant",
    "FieldIsDerived": true,
    "IsWritableDerivedField": false,
    "IsMasked": false,
    "GrantKeyWhenReadable": "principal-knowledge-authority|OperationalBindings"
   },
   {
    "FieldGrantId": "fg-knowledge-authority-OperationalBindings.AgeMinutes",
    "Principal": "principal-knowledge-authority",
    "TargetField": "OperationalBindings.AgeMinutes",
    "CanRead": true,
    "CanWrite": false,
    "MaskStrategy": "plain",
    "SemanticTypeIri": "urn:effortless:pko-extension#FieldGrant",
    "Name": "principal-knowledge-authority -&gt; OperationalBindings.AgeMinutes",
    "FieldTable": "OperationalBindings",
    "FieldName": "AgeMinutes",
    "FieldIsDerived": true,
    "IsWritableDerivedField": false,
    "IsMasked": false,
    "GrantKeyWhenReadable": "principal-knowledge-authority|OperationalBindings"
   },
   {
    "FieldGrantId": "fg-knowledge-authority-OperationalBindings.IsFresh",
    "Principal": "principal-knowledge-authority",
    "TargetField": "OperationalBindings.IsFresh",
    "CanRead": true,
    "CanWrite": false,
    "MaskStrategy": "plain",
    "SemanticTypeIri": "urn:effortless:pko-extension#FieldGrant",
    "Name": "principal-knowledge-authority -&gt; OperationalBindings.IsFresh",
    "FieldTable": "OperationalBindings",
    "FieldName": "IsFresh",
    "FieldIsDerived": true,
    "IsWritableDerivedField": false,
    "IsMasked": false,
    "GrantKeyWhenReadable": "principal-knowledge-authority|OperationalBindings"
   },
   {
    "FieldGrantId": "fg-knowledge-authority-OperationalBindings.StaleBindingStepKey",
    "Principal": "principal-knowledge-authority",
    "TargetField": "OperationalBindings.StaleBindingStepKey",
    "CanRead": true,
    "CanWrite": false,
    "MaskStrategy": "plain",
    "SemanticTypeIri": "urn:effortless:pko-extension#FieldGrant",
    "Name": "principal-knowledge-authority -&gt; OperationalBindings.StaleBindingStepKey",
    "FieldTable": "OperationalBindings",
    "FieldName": "StaleBindingStepKey",
    "FieldIsDerived": true,
    "IsWritableDerivedField": false,
    "IsMasked": false,
    "GrantKeyWhenReadable": "principal-knowledge-authority|OperationalBindings"
   },
   {
    "FieldGrantId": "fg-knowledge-authority-OperationalBindings.AuthoritativeStaleStepKey",
    "Principal": "principal-knowledge-authority",
    "TargetField": "OperationalBindings.AuthoritativeStaleStepKey",
    "CanRead": true,
    "CanWrite": false,
    "MaskStrategy": "plain",
    "SemanticTypeIri": "urn:effortless:pko-extension#FieldGrant",
    "Name": "principal-knowledge-authority -&gt; OperationalBindings.AuthoritativeStaleStepKey",
    "FieldTable": "OperationalBindings",
    "FieldName": "AuthoritativeStaleStepKey",
    "FieldIsDerived": true,
    "IsWritableDerivedField": false,
    "IsMasked": false,
    "GrantKeyWhenReadable": "principal-knowledge-authority|OperationalBindings"
   },
   {
    "FieldGrantId": "fg-knowledge-authority-OperationalBindings.IsStaleAndAuthoritative",
    "Principal": "principal-knowledge-authority",
    "TargetField": "OperationalBindings.IsStaleAndAuthoritative",
    "CanRead": true,
    "CanWrite": false,
    "MaskStrategy": "plain",
    "SemanticTypeIri": "urn:effortless:pko-extension#FieldGrant",
    "Name": "principal-knowledge-authority -&gt; OperationalBindings.IsStaleAndAuthoritative",
    "FieldTable": "OperationalBindings",
    "FieldName": "IsStaleAndAuthoritative",
    "FieldIsDerived": true,
    "IsWritableDerivedField": false,
    "IsMasked": false,
    "GrantKeyWhenReadable": "principal-knowledge-authority|OperationalBindings"
   },
   {
    "FieldGrantId": "fg-knowledge-authority-OperationalBindings.StepWhenStale",
    "Principal": "principal-knowledge-authority",
    "TargetField": "OperationalBindings.StepWhenStale",
    "CanRead": true,
    "CanWrite": false,
    "MaskStrategy": "plain",
    "SemanticTypeIri": "urn:effortless:pko-extension#FieldGrant",
    "Name": "principal-knowledge-authority -&gt; OperationalBindings.StepWhenStale",
    "FieldTable": "OperationalBindings",
    "FieldName": "StepWhenStale",
    "FieldIsDerived": true,
    "IsWritableDerivedField": false,
    "IsMasked": false,
    "GrantKeyWhenReadable": "principal-knowledge-authority|OperationalBindings"
   },
   {
    "FieldGrantId": "fg-knowledge-authority-OperationalBindings.ResourceIsApproved",
    "Principal": "principal-knowledge-authority",
    "TargetField": "OperationalBindings.ResourceIsApproved",
    "CanRead": true,
    "CanWrite": false,
    "MaskStrategy": "plain",
    "SemanticTypeIri": "urn:effortless:pko-extension#FieldGrant",
    "Name": "principal-knowledge-authority -&gt; OperationalBindings.ResourceIsApproved",
    "FieldTable": "OperationalBindings",
    "FieldName": "ResourceIsApproved",
    "FieldIsDerived": true,
    "IsWritableDerivedField": false,
    "IsMasked": false,
    "GrantKeyWhenReadable": "principal-knowledge-authority|OperationalBindings"
   },
   {
    "FieldGrantId": "fg-knowledge-authority-OperationalBindings.IsUsableForDrafting",
    "Principal": "principal-knowledge-authority",
    "TargetField": "OperationalBindings.IsUsableForDrafting",
    "CanRead": true,
    "CanWrite": false,
    "MaskStrategy": "plain",
    "SemanticTypeIri": "urn:effortless:pko-extension#FieldGrant",
    "Name": "principal-knowledge-authority -&gt; OperationalBindings.IsUsableForDrafting",
    "FieldTable": "OperationalBindings",
    "FieldName": "IsUsableForDrafting",
    "FieldIsDerived": true,
    "IsWritableDerivedField": false,
    "IsMasked": false,
    "GrantKeyWhenReadable": "principal-knowledge-authority|OperationalBindings"
   },
   {
    "FieldGrantId": "fg-knowledge-authority-OperationalBindings.StepWhenUnusable",
    "Principal": "principal-knowledge-authority",
    "TargetField": "OperationalBindings.StepWhenUnusable",
    "CanRead": true,
    "CanWrite": false,
    "MaskStrategy": "plain",
    "SemanticTypeIri": "urn:effortless:pko-extension#FieldGrant",
    "Name": "principal-knowledge-authority -&gt; OperationalBindings.StepWhenUnusable",
    "FieldTable": "OperationalBindings",
    "FieldName": "StepWhenUnusable",
    "FieldIsDerived": true,
    "IsWritableDerivedField": false,
    "IsMasked": false,
    "GrantKeyWhenReadable": "principal-knowledge-authority|OperationalBindings"
   },
   {
    "FieldGrantId": "fg-knowledge-authority-OperationalBindings.SemanticTypeIri",
    "Principal": "principal-knowledge-authority",
    "TargetField": "OperationalBindings.SemanticTypeIri",
    "CanRead": true,
    "CanWrite": false,
    "MaskStrategy": "plain",
    "SemanticTypeIri": "urn:effortless:pko-extension#FieldGrant",
    "Name": "principal-knowledge-authority -&gt; OperationalBindings.SemanticTypeIri",
    "FieldTable": "OperationalBindings",
    "FieldName": "SemanticTypeIri",
    "FieldIsDerived": false,
    "IsWritableDerivedField": false,
    "IsMasked": false,
    "GrantKeyWhenReadable": "principal-knowledge-authority|OperationalBindings"
   },
   {
    "FieldGrantId": "fg-knowledge-authority-Organizations.OrganizationId",
    "Principal": "principal-knowledge-authority",
    "TargetField": "Organizations.OrganizationId",
    "CanRead": true,
    "CanWrite": false,
    "MaskStrategy": "plain",
    "SemanticTypeIri": "urn:effortless:pko-extension#FieldGrant",
    "Name": "principal-knowledge-authority -&gt; Organizations.OrganizationId",
    "FieldTable": "Organizations",
    "FieldName": "OrganizationId",
    "FieldIsDerived": false,
    "IsWritableDerivedField": false,
    "IsMasked": false,
    "GrantKeyWhenReadable": "principal-knowledge-authority|Organizations"
   },
   {
    "FieldGrantId": "fg-knowledge-authority-Organizations.Name",
    "Principal": "principal-knowledge-authority",
    "TargetField": "Organizations.Name",
    "CanRead": true,
    "CanWrite": false,
    "MaskStrategy": "plain",
    "SemanticTypeIri": "urn:effortless:pko-extension#FieldGrant",
    "Name": "principal-knowledge-authority -&gt; Organizations.Name",
    "FieldTable": "Organizations",
    "FieldName": "Name",
    "FieldIsDerived": true,
    "IsWritableDerivedField": false,
    "IsMasked": false,
    "GrantKeyWhenReadable": "principal-knowledge-authority|Organizations"
   },
   {
    "FieldGrantId": "fg-knowledge-authority-Organizations.DisplayName",
    "Principal": "principal-knowledge-authority",
    "TargetField": "Organizations.DisplayName",
    "CanRead": true,
    "CanWrite": false,
    "MaskStrategy": "plain",
    "SemanticTypeIri": "urn:effortless:pko-extension#FieldGrant",
    "Name": "principal-knowledge-authority -&gt; Organizations.DisplayName",
    "FieldTable": "Organizations",
    "FieldName": "DisplayName",
    "FieldIsDerived": false,
    "IsWritableDerivedField": false,
    "IsMasked": false,
    "GrantKeyWhenReadable": "principal-knowledge-authority|Organizations"
   },
   {
    "FieldGrantId": "fg-knowledge-authority-Organizations.OrganizationType",
    "Principal": "principal-knowledge-authority",
    "TargetField": "Organizations.OrganizationType",
    "CanRead": true,
    "CanWrite": false,
    "MaskStrategy": "plain",
    "SemanticTypeIri": "urn:effortless:pko-extension#FieldGrant",
    "Name": "principal-knowledge-authority -&gt; Organizations.OrganizationType",
    "FieldTable": "Organizations",
    "FieldName": "OrganizationType",
    "FieldIsDerived": false,
    "IsWritableDerivedField": false,
    "IsMasked": false,
    "GrantKeyWhenReadable": "principal-knowledge-authority|Organizations"
   },
   {
    "FieldGrantId": "fg-knowledge-authority-Organizations.ExternalIdentifier",
    "Principal": "principal-knowledge-authority",
    "TargetField": "Organizations.ExternalIdentifier",
    "CanRead": true,
    "CanWrite": false,
    "MaskStrategy": "plain",
    "SemanticTypeIri": "urn:effortless:pko-extension#FieldGrant",
    "Name": "principal-knowledge-authority -&gt; Organizations.ExternalIdentifier",
    "FieldTable": "Organizations",
    "FieldName": "ExternalIdentifier",
    "FieldIsDerived": false,
    "IsWritableDerivedField": false,
    "IsMasked": false,
    "GrantKeyWhenReadable": "principal-knowledge-authority|Organizations"
   },
   {
    "FieldGrantId": "fg-knowledge-authority-Organizations.SemanticTypeIri",
    "Principal": "principal-knowledge-authority",
    "TargetField": "Organizations.SemanticTypeIri",
    "CanRead": true,
    "CanWrite": false,
    "MaskStrategy": "plain",
    "SemanticTypeIri": "urn:effortless:pko-extension#FieldGrant",
    "Name": "principal-knowledge-authority -&gt; Organizations.SemanticTypeIri",
    "FieldTable": "Organizations",
    "FieldName": "SemanticTypeIri",
    "FieldIsDerived": false,
    "IsWritableDerivedField": false,
    "IsMasked": false,
    "GrantKeyWhenReadable": "principal-knowledge-authority|Organizations"
   },
   {
    "FieldGrantId": "fg-knowledge-authority-ProcedureExecutions.ProcedureExecutionId",
    "Principal": "principal-knowledge-authority",
    "TargetField": "ProcedureExecutions.ProcedureExecutionId",
    "CanRead": true,
    "CanWrite": false,
    "MaskStrategy": "plain",
    "SemanticTypeIri": "urn:effortless:pko-extension#FieldGrant",
    "Name": "principal-knowledge-authority -&gt; ProcedureExecutions.ProcedureExecutionId",
    "FieldTable": "ProcedureExecutions",
    "FieldName": "ProcedureExecutionId",
    "FieldIsDerived": false,
    "IsWritableDerivedField": false,
    "IsMasked": false,
    "GrantKeyWhenReadable": "principal-knowledge-authority|ProcedureExecutions"
   },
   {
    "FieldGrantId": "fg-knowledge-authority-ProcedureExecutions.Name",
    "Principal": "principal-knowledge-authority",
    "TargetField": "ProcedureExecutions.Name",
    "CanRead": true,
    "CanWrite": false,
    "MaskStrategy": "plain",
    "SemanticTypeIri": "urn:effortless:pko-extension#FieldGrant",
    "Name": "principal-knowledge-authority -&gt; ProcedureExecutions.Name",
    "FieldTable": "ProcedureExecutions",
    "FieldName": "Name",
    "FieldIsDerived": true,
    "IsWritableDerivedField": false,
    "IsMasked": false,
    "GrantKeyWhenReadable": "principal-knowledge-authority|ProcedureExecutions"
   },
   {
    "FieldGrantId": "fg-knowledge-authority-ProcedureExecutions.ProcedureVersion",
    "Principal": "principal-knowledge-authority",
    "TargetField": "ProcedureExecutions.ProcedureVersion",
    "CanRead": true,
    "CanWrite": false,
    "MaskStrategy": "plain",
    "SemanticTypeIri": "urn:effortless:pko-extension#FieldGrant",
    "Name": "principal-knowledge-authority -&gt; ProcedureExecutions.ProcedureVersion",
    "FieldTable": "ProcedureExecutions",
    "FieldName": "ProcedureVersion",
    "FieldIsDerived": false,
    "IsWritableDerivedField": false,
    "IsMasked": false,
    "GrantKeyWhenReadable": "principal-knowledge-authority|ProcedureExecutions"
   },
   {
    "FieldGrantId": "fg-knowledge-authority-ProcedureExecutions.ExecutionStatus",
    "Principal": "principal-knowledge-authority",
    "TargetField": "ProcedureExecutions.ExecutionStatus",
    "CanRead": true,
 </t>
  </si>
  <si>
    <t xml:space="preserve">   "CanWrite": false,
    "MaskStrategy": "plain",
    "SemanticTypeIri": "urn:effortless:pko-extension#FieldGrant",
    "Name": "principal-knowledge-authority -&gt; ProcedureExecutions.ExecutionStatus",
    "FieldTable": "ProcedureExecutions",
    "FieldName": "ExecutionStatus",
    "FieldIsDerived": false,
    "IsWritableDerivedField": false,
    "IsMasked": false,
    "GrantKeyWhenReadable": "principal-knowledge-authority|ProcedureExecutions"
   },
   {
    "FieldGrantId": "fg-knowledge-authority-ProcedureExecutions.StartedAt",
    "Principal": "principal-knowledge-authority",
    "TargetField": "ProcedureExecutions.StartedAt",
    "CanRead": true,
    "CanWrite": false,
    "MaskStrategy": "plain",
    "SemanticTypeIri": "urn:effortless:pko-extension#FieldGrant",
    "Name": "principal-knowledge-authority -&gt; ProcedureExecutions.StartedAt",
    "FieldTable": "ProcedureExecutions",
    "FieldName": "StartedAt",
    "FieldIsDerived": false,
    "IsWritableDerivedField": false,
    "IsMasked": false,
    "GrantKeyWhenReadable": "principal-knowledge-authority|ProcedureExecutions"
   },
   {
    "FieldGrantId": "fg-knowledge-authority-ProcedureExecutions.EndedAt",
    "Principal": "principal-knowledge-authority",
    "TargetField": "ProcedureExecutions.EndedAt",
    "CanRead": true,
    "CanWrite": false,
    "MaskStrategy": "plain",
    "SemanticTypeIri": "urn:effortless:pko-extension#FieldGrant",
    "Name": "principal-knowledge-authority -&gt; ProcedureExecutions.EndedAt",
    "FieldTable": "ProcedureExecutions",
    "FieldName": "EndedAt",
    "FieldIsDerived": false,
    "IsWritableDerivedField": false,
    "IsMasked": false,
    "GrantKeyWhenReadable": "principal-knowledge-authority|ProcedureExecutions"
   },
   {
    "FieldGrantId": "fg-knowledge-authority-ProcedureExecutions.ExecutedByAgent",
    "Principal": "principal-knowledge-authority",
    "TargetField": "ProcedureExecutions.ExecutedByAgent",
    "CanRead": true,
    "CanWrite": false,
    "MaskStrategy": "plain",
    "SemanticTypeIri": "urn:effortless:pko-extension#FieldGrant",
    "Name": "principal-knowledge-authority -&gt; ProcedureExecutions.ExecutedByAgent",
    "FieldTable": "ProcedureExecutions",
    "FieldName": "ExecutedByAgent",
    "FieldIsDerived": false,
    "IsWritableDerivedField": false,
    "IsMasked": false,
    "GrantKeyWhenReadable": "principal-knowledge-authority|ProcedureExecutions"
   },
   {
    "FieldGrantId": "fg-knowledge-authority-ProcedureExecutions.Context",
    "Principal": "principal-knowledge-authority",
    "TargetField": "ProcedureExecutions.Context",
    "CanRead": true,
    "CanWrite": false,
    "MaskStrategy": "plain",
    "SemanticTypeIri": "urn:effortless:pko-extension#FieldGrant",
    "Name": "principal-knowledge-authority -&gt; ProcedureExecutions.Context",
    "FieldTable": "ProcedureExecutions",
    "FieldName": "Context",
    "FieldIsDerived": false,
    "IsWritableDerivedField": false,
    "IsMasked": false,
    "GrantKeyWhenReadable": "principal-knowledge-authority|ProcedureExecutions"
   },
   {
    "FieldGrantId": "fg-knowledge-authority-ProcedureExecutions.OperationalRecordUri",
    "Principal": "principal-knowledge-authority",
    "TargetField": "ProcedureExecutions.OperationalRecordUri",
    "CanRead": true,
    "CanWrite": false,
    "MaskStrategy": "plain",
    "SemanticTypeIri": "urn:effortless:pko-extension#FieldGrant",
    "Name": "principal-knowledge-authority -&gt; ProcedureExecutions.OperationalRecordUri",
    "FieldTable": "ProcedureExecutions",
    "FieldName": "OperationalRecordUri",
    "FieldIsDerived": false,
    "IsWritableDerivedField": false,
    "IsMasked": false,
    "GrantKeyWhenReadable": "principal-knowledge-authority|ProcedureExecutions"
   },
   {
    "FieldGrantId": "fg-knowledge-authority-ProcedureExecutions.ExpectedStepCount",
    "Principal": "principal-knowledge-authority",
    "TargetField": "ProcedureExecutions.ExpectedStepCount",
    "CanRead": true,
    "CanWrite": false,
    "MaskStrategy": "plain",
    "SemanticTypeIri": "urn:effortless:pko-extension#FieldGrant",
    "Name": "principal-knowledge-authority -&gt; ProcedureExecutions.ExpectedStepCount",
    "FieldTable": "ProcedureExecutions",
    "FieldName": "ExpectedStepCount",
    "FieldIsDerived": true,
    "IsWritableDerivedField": false,
    "IsMasked": false,
    "GrantKeyWhenReadable": "principal-knowledge-authority|ProcedureExecutions"
   },
   {
    "FieldGrantId": "fg-knowledge-authority-ProcedureExecutions.CompletedStepCount",
    "Principal": "principal-knowledge-authority",
    "TargetField": "ProcedureExecutions.CompletedStepCount",
    "CanRead": true,
    "CanWrite": false,
    "MaskStrategy": "plain",
    "SemanticTypeIri": "urn:effortless:pko-extension#FieldGrant",
    "Name": "principal-knowledge-authority -&gt; ProcedureExecutions.CompletedStepCount",
    "FieldTable": "ProcedureExecutions",
    "FieldName": "CompletedStepCount",
    "FieldIsDerived": true,
    "IsWritableDerivedField": false,
    "IsMasked": false,
    "GrantKeyWhenReadable": "principal-knowledge-authority|ProcedureExecutions"
   },
   {
    "FieldGrantId": "fg-knowledge-authority-ProcedureExecutions.ControlBreachCount",
    "Principal": "principal-knowledge-authority",
    "TargetField": "ProcedureExecutions.ControlBreachCount",
    "CanRead": true,
    "CanWrite": false,
    "MaskStrategy": "plain",
    "SemanticTypeIri": "urn:effortless:pko-extension#FieldGrant",
    "Name": "principal-knowledge-authority -&gt; ProcedureExecutions.ControlBreachCount",
    "FieldTable": "ProcedureExecutions",
    "FieldName": "ControlBreachCount",
    "FieldIsDerived": true,
    "IsWritableDerivedField": false,
    "IsMasked": false,
    "GrantKeyWhenReadable": "principal-knowledge-authority|ProcedureExecutions"
   },
   {
    "FieldGrantId": "fg-knowledge-authority-ProcedureExecutions.LateStepCount",
    "Principal": "principal-knowledge-authority",
    "TargetField": "ProcedureExecutions.LateStepCount",
    "CanRead": true,
    "CanWrite": false,
    "MaskStrategy": "plain",
    "SemanticTypeIri": "urn:effortless:pko-extension#FieldGrant",
    "Name": "principal-knowledge-authority -&gt; ProcedureExecutions.LateStepCount",
    "FieldTable": "ProcedureExecutions",
    "FieldName": "LateStepCount",
    "FieldIsDerived": true,
    "IsWritableDerivedField": false,
    "IsMasked": false,
    "GrantKeyWhenReadable": "principal-knowledge-authority|ProcedureExecutions"
   },
   {
    "FieldGrantId": "fg-knowledge-authority-ProcedureExecutions.IsStructurallyComplete",
    "Principal": "principal-knowledge-authority",
    "TargetField": "ProcedureExecutions.IsStructurallyComplete",
    "CanRead": true,
    "CanWrite": false,
    "MaskStrategy": "plain",
    "SemanticTypeIri": "urn:effortless:pko-extension#FieldGrant",
    "Name": "principal-knowledge-authority -&gt; ProcedureExecutions.IsStructurallyComplete",
    "FieldTable": "ProcedureExecutions",
    "FieldName": "IsStructurallyComplete",
    "FieldIsDerived": true,
    "IsWritableDerivedField": false,
    "IsMasked": false,
    "GrantKeyWhenReadable": "principal-knowledge-authority|ProcedureExecutions"
   },
   {
    "FieldGrantId": "fg-knowledge-authority-ProcedureExecutions.DivergedFromSpecification",
    "Principal": "principal-knowledge-authority",
    "TargetField": "ProcedureExecutions.DivergedFromSpecification",
    "CanRead": true,
    "CanWrite": false,
    "MaskStrategy": "plain",
    "SemanticTypeIri": "urn:effortless:pko-extension#FieldGrant",
    "Name": "principal-knowledge-authority -&gt; ProcedureExecutions.DivergedFromSpecification",
    "FieldTable": "ProcedureExecutions",
    "FieldName": "DivergedFromSpecification",
    "FieldIsDerived": true,
    "IsWritableDerivedField": false,
    "IsMasked": false,
    "GrantKeyWhenReadable": "principal-knowledge-authority|ProcedureExecutions"
   },
   {
    "FieldGrantId": "fg-knowledge-authority-ProcedureExecutions.AllBlockingControlsEvaluated",
    "Principal": "principal-knowledge-authority",
    "TargetField": "ProcedureExecutions.AllBlockingControlsEvaluated",
    "CanRead": true,
    "CanWrite": false,
    "MaskStrategy": "plain",
    "SemanticTypeIri": "urn:effortless:pko-extension#FieldGrant",
    "Name": "principal-knowledge-authority -&gt; ProcedureExecutions.AllBlockingControlsEvaluated",
    "FieldTable": "ProcedureExecutions",
    "FieldName": "AllBlockingControlsEvaluated",
    "FieldIsDerived": true,
    "IsWritableDerivedField": false,
    "IsMasked": false,
    "GrantKeyWhenReadable": "principal-knowledge-authority|ProcedureExecutions"
   },
   {
    "FieldGrantId": "fg-knowledge-authority-ProcedureExecutions.UnevaluatedBlockingTotal",
    "Principal": "principal-knowledge-authority",
    "TargetField": "ProcedureExecutions.UnevaluatedBlockingTotal",
    "CanRead": true,
    "CanWrite": false,
    "MaskStrategy": "plain",
    "SemanticTypeIri": "urn:effortless:pko-extension#FieldGrant",
    "Name": "principal-knowledge-authority -&gt; ProcedureExecutions.UnevaluatedBlockingTotal",
    "FieldTable": "ProcedureExecutions",
    "FieldName": "UnevaluatedBlockingTotal",
    "FieldIsDerived": true,
    "IsWritableDerivedField": false,
    "IsMasked": false,
    "GrantKeyWhenReadable": "principal-knowledge-authority|ProcedureExecutions"
   },
   {
    "FieldGrantId": "fg-knowledge-authority-ProcedureExecutions.SeparationOfDutiesHeld",
    "Principal": "principal-knowledge-authority",
    "TargetField": "ProcedureExecutions.SeparationOfDutiesHeld",
    "CanRead": true,
    "CanWrite": false,
    "MaskStrategy": "plain",
    "SemanticTypeIri": "urn:effortless:pko-extension#FieldGrant",
    "Name": "principal-knowledge-authority -&gt; ProcedureExecutions.SeparationOfDutiesHeld",
    "FieldTable": "ProcedureExecutions",
    "FieldName": "SeparationOfDutiesHeld",
    "FieldIsDerived": true,
    "IsWritableDerivedField": false,
    "IsMasked": false,
    "GrantKeyWhenReadable": "principal-knowledge-authority|ProcedureExecutions"
   },
   {
    "FieldGrantId": "fg-knowledge-authority-ProcedureExecutions.SeparationViolationCount",
    "Principal": "principal-knowledge-authority",
    "TargetField": "ProcedureExecutions.SeparationViolationCount",
    "CanRead": true,
    "CanWrite": false,
    "MaskStrategy": "plain",
    "SemanticTypeIri": "urn:effortless:pko-extension#FieldGrant",
    "Name": "principal-knowledge-authority -&gt; ProcedureExecutions.SeparationViolationCount",
    "FieldTable": "ProcedureExecutions",
    "FieldName": "SeparationViolationCount",
    "FieldIsDerived": true,
    "IsWritableDerivedField": false,
    "IsMasked": false,
    "GrantKeyWhenReadable": "principal-knowledge-authority|ProcedureExecutions"
   },
   {
    "FieldGrantId": "fg-knowledge-authority-ProcedureExecutions.IsAttestationReady",
    "Principal": "principal-knowledge-authority",
    "TargetField": "ProcedureExecutions.IsAttestationReady",
    "CanRead": true,
    "CanWrite": false,
    "MaskStrategy": "plain",
    "SemanticTypeIri": "urn:effortless:pko-extension#FieldGrant",
    "Name": "principal-knowledge-authority -&gt; ProcedureExecutions.IsAttestationReady",
    "FieldTable": "ProcedureExecutions",
    "FieldName": "IsAttestationReady",
    "FieldIsDerived": true,
    "IsWritableDerivedField": false,
    "IsMasked": false,
    "GrantKeyWhenReadable": "principal-knowledge-authority|ProcedureExecutions"
   },
   {
    "FieldGrantId": "fg-knowledge-authority-ProcedureExecutions.AttestationBlockerSummary",
    "Principal": "principal-knowledge-authority",
    "TargetField": "ProcedureExecutions.AttestationBlockerSummary",
    "CanRead": true,
    "CanWrite": false,
    "MaskStrategy": "plain",
    "SemanticTypeIri": "urn:effortless:pko-extension#FieldGrant",
    "Name": "principal-knowledge-authority -&gt; ProcedureExecutions.AttestationBlockerSummary",
    "FieldTable": "ProcedureExecutions",
    "FieldName": "AttestationBlockerSummary",
    "FieldIsDerived": true,
    "IsWritableDerivedField": false,
    "IsMasked": false,
    "GrantKeyWhenReadable": "principal-knowledge-authority|ProcedureExecutions"
   },
   {
    "FieldGrantId": "fg-knowledge-authority-ProcedureExecutions.ExecutedVersionIsFit",
    "Principal": "principal-knowledge-authority",
    "TargetField": "ProcedureExecutions.ExecutedVersionIsFit",
    "CanRead": true,
    "CanWrite": false,
    "MaskStrategy": "plain",
    "SemanticTypeIri": "urn:effortless:pko-extension#FieldGrant",
    "Name": "principal-knowledge-authority -&gt; ProcedureExecutions.ExecutedVersionIsFit",
    "FieldTable": "ProcedureExecutions",
    "FieldName": "ExecutedVersionIsFit",
    "FieldIsDerived": true,
    "IsWritableDerivedField": false,
    "IsMasked": false,
    "GrantKeyWhenReadable": "principal-knowledge-authority|ProcedureExecutions"
   },
   {
    "FieldGrantId": "fg-knowledge-authority-ProcedureExecutions.SignedAgainstUnfitVersion",
    "Principal": "principal-knowledge-authority",
    "TargetField": "ProcedureExecutions.SignedAgainstUnfitVersion",
    "CanRead": true,
    "CanWrite": false,
    "MaskStrategy": "plain",
    "SemanticTypeIri": "urn:effortless:pko-extension#FieldGrant",
    "Name": "principal-knowledge-authority -&gt; ProcedureExecutions.SignedAgainstUnfitVersion",
    "FieldTable": "ProcedureExecutions",
    "FieldName": "SignedAgainstUnfitVersion",
    "FieldIsDerived": true,
    "IsWritableDerivedField": false,
    "IsMasked": false,
    "GrantKeyWhenReadable": "principal-knowledge-authority|ProcedureExecutions"
   },
   {
    "FieldGrantId": "fg-knowledge-authority-ProcedureExecutions.AssertedOnlyControlCount",
    "Principal": "principal-knowledge-authority",
    "TargetField": "ProcedureExecutions.AssertedOnlyControlCount",
    "CanRead": true,
    "CanWrite": false,
    "MaskStrategy": "plain",
    "SemanticTypeIri": "urn:effortless:pko-extension#FieldGrant",
    "Name": "principal-knowledge-authority -&gt; ProcedureExecutions.AssertedOnlyControlCount",
    "FieldTable": "ProcedureExecutions",
    "FieldName": "AssertedOnlyControlCount",
    "FieldIsDerived": true,
    "IsWritableDerivedField": false,
    "IsMasked": false,
    "GrantKeyWhenReadable": "principal-knowledge-authority|ProcedureExecutions"
   },
   {
    "FieldGrantId": "fg-knowledge-authority-ProcedureExecutions.AssuranceIsMostlyAsserted",
    "Principal": "principal-knowledge-authority",
    "TargetField": "ProcedureExecutions.AssuranceIsMostlyAsserted",
    "CanRead": true,
    "CanWrite": false,
    "MaskStrategy": "plain",
    "SemanticTypeIri": "urn:effortless:pko-extension#FieldGrant",
    "Name": "principal-knowledge-authority -&gt; ProcedureExecutions.AssuranceIsMostlyAsserted",
    "FieldTable": "ProcedureExecutions",
    "FieldName": "AssuranceIsMostlyAsserted",
    "FieldIsDerived": true,
    "IsWritableDerivedField": false,
    "IsMasked": false,
    "GrantKeyWhenReadable": "principal-knowledge-authority|ProcedureExecutions"
   },
   {
    "FieldGrantId": "fg-knowledge-authority-ProcedureExecutions.UnreachableHandlingFailureCount",
    "Principal": "principal-knowledge-authority",
    "TargetField": "ProcedureExecutions.UnreachableHandlingFailureCount",
    "CanRead": true,
    "CanWrite": false,
    "MaskStrategy": "plain",
    "SemanticTypeIri": "urn:effortless:pko-extension#FieldGrant",
    "Name": "principal-knowledge-authority -&gt; ProcedureExecutions.UnreachableHandlingFailureCount",
    "FieldTable": "ProcedureExecutions",
    "FieldName": "UnreachableHandlingFailureCount",
    "FieldIsDerived": true,
    "IsWritableDerivedField": false,
    "IsMasked": false,
    "GrantKeyWhenReadable": "principal-knowledge-authority|ProcedureExecutions"
   },
   {
    "FieldGrantId": "fg-knowledge-authority-ProcedureExecutions.RetentionBreachCount",
    "Principal": "principal-knowledge-authority",
    "TargetField": "ProcedureExecutions.RetentionBreachCount",
    "CanRead": true,
    "CanWrite": false,
    "MaskStrategy": "plain",
    "SemanticTypeIri": "urn:effortless:pko-extension#FieldGrant",
    "Name": "principal-knowledge-authority -&gt; ProcedureExecutions.RetentionBreachCount",
    "FieldTable": "ProcedureExecutions",
    "FieldName": "RetentionBreachCount",
    "FieldIsDerived": true,
    "IsWritableDerivedField": false,
    "IsMasked": false,
    "GrantKeyWhenReadable": "principal-knowledge-authority|ProcedureExecutions"
   },
   {
    "FieldGrantId": "fg-knowledge-authority-ProcedureExecutions.ClearedLegalReviewCount",
    "Principal": "principal-knowledge-authority",
    "TargetField": "ProcedureExecutions.ClearedLegalReviewCount",
    "CanRead": true,
    "CanWrite": false,
    "MaskStrategy": "plain",
    "SemanticTypeIri": "urn:effortless:pko-extension#FieldGrant",
    "Name": "principal-knowledge-authority -&gt; ProcedureExecutions.ClearedLegalReviewCount",
    "FieldTable": "ProcedureExecutions",
    "FieldName": "ClearedLegalReviewCount",
    "FieldIsDerived": true,
    "IsWritableDerivedField": false,
    "IsMasked": false,
    "GrantKeyWhenReadable": "principal-knowledge-authority|ProcedureExecutions"
   },
   {
    "FieldGrantId": "fg-knowledge-authority-ProcedureExecutions.HasClearedLegalReview",
    "Principal": "principal-knowledge-authority",
    "TargetField": "ProcedureExecutions.HasClearedLegalReview",
    "CanRead": true,
    "CanWrite": false,
    "MaskStrategy": "plain",
    "SemanticTypeIri": "urn:effortless:pko-extension#FieldGrant",
    "Name": "principal-knowledge-authority -&gt; ProcedureExecutions.HasClearedLegalReview",
    "FieldTable": "ProcedureExecutions",
    "FieldName": "HasClearedLegalReview",
    "FieldIsDerived": true,
    "IsWritableDerivedField": false,
    "IsMasked": false,
    "GrantKeyWhenReadable": "principal-knowledge-authority|ProcedureExecutions"
   },
   {
    "FieldGrantId": "fg-knowledge-authority-ProcedureExecutions.AbandonedFailureCount",
    "Principal": "principal-knowledge-authority",
    "TargetField": "ProcedureExecutions.AbandonedFailureCount",
    "CanRead": true,
    "CanWrite": false,
    "MaskStrategy": "plain",
    "SemanticTypeIri": "urn:effortless:pko-extension#FieldGrant",
    "Name": "principal-knowledge-authority -&gt; ProcedureExecutions.AbandonedFailureCount",
    "FieldTable": "ProcedureExecutions",
    "FieldName": "AbandonedFailureCount",
    "FieldIsDerived": true,
    "IsWritableDerivedField": false,
    "IsMasked": false,
    "GrantKeyWhenReadable": "principal-knowledge-authority|ProcedureExecutions"
   },
   {
    "FieldGrantId": "fg-knowledge-authority-ProcedureExecutions.DeliveredCount",
    "Principal": "principal-knowledge-authority",
    "TargetField": "ProcedureExecutions.DeliveredCount",
    "CanRead": true,
    "CanWrite": false,
    "MaskStrategy": "plain",
    "SemanticTypeIri": "urn:effortless:pko-extension#FieldGrant",
    "Name": "principal-knowledge-authority -&gt; ProcedureExecutions.DeliveredCount",
    "FieldTable": "ProcedureExecutions",
    "FieldName": "DeliveredCount",
    "FieldIsDerived": true,
    "IsWritableDerivedField": false,
    "IsMasked": false,
    "GrantKeyWhenReadable": "principal-knowledge-authority|ProcedureExecutions"
   },
   {
    "FieldGrantId": "fg-knowledge-authority-ProcedureExecutions.TotalDeliveryAttemptCount",
    "Principal": "principal-knowledge-authority",
    "TargetField": "ProcedureExecutions.TotalDeliveryAttemptCount",
    "CanRead": true,
    "CanWrite": false,
    "MaskStrategy": "plain",
    "SemanticTypeIri": "urn:effortless:pko-extension#FieldGrant",
    "Name": "principal-knowledge-authority -&gt; ProcedureExecutions.TotalDeliveryAttemptCount",
    "FieldTable": "ProcedureExecutions",
    "FieldName": "TotalDeliveryAttemptCount",
    "FieldIsDerived": true,
    "IsWritableDerivedField": false,
    "IsMasked": false,
    "GrantKeyWhenReadable": "principal-knowledge-authority|ProcedureExecutions"
   },
   {
    "FieldGrantId": "fg-knowledge-authority-ProcedureExecutions.HasAbandonedFailures",
    "Principal": "principal-knowledge-authority",
    "TargetField": "ProcedureExecutions.HasAbandonedFailures",
    "CanRead": true,
    "CanWrite": false,
    "MaskStrategy": "plain",
    "SemanticTypeIri": "urn:effortless:pko-extension#FieldGrant",
    "Name": "principal-knowledge-authority -&gt; ProcedureExecutions.HasAbandonedFailures",
    "FieldTable": "ProcedureExecutions",
    "FieldName": "HasAbandonedFailures",
    "FieldIsDerived": true,
    "IsWritableDerivedField": false,
    "IsMasked": false,
    "GrantKeyWhenReadable": "principal-knowledge-authority|ProcedureExecutions"
   },
   {
    "FieldGrantId": "fg-knowledge-authority-ProcedureExecutions.MishandledRefusalCount",
    "Principal": "principal-knowledge-authority",
    "TargetField": "ProcedureExecutions.MishandledRefusalCount",
    "CanRead": true,
    "CanWrite": false,
    "MaskStrategy": "plain",
    "SemanticTypeIri": "urn:effortless:pko-extension#FieldGrant",
    "Name": "principal-knowledge-authority -&gt; ProcedureExecutions.MishandledRefusalCount",
    "FieldTable": "ProcedureExecutions",
    "FieldName": "MishandledRefusalCount",
    "FieldIsDerived": true,
    "IsWritableDerivedField": false,
    "IsMasked": false,
    "GrantKeyWhenReadable": "principal-knowledge-authority|ProcedureExecutions"
   },
   {
    "FieldGrantId": "fg-knowledge-authority-ProcedureExecutions.UncleanStepCount",
    "Principal": "principal-knowledge-authority",
    "TargetField": "ProcedureExecutions.UncleanStepCount",
    "CanRead": true,
    "CanWrite": false,
    "MaskStrategy": "plain",
    "SemanticTypeIri": "urn:effortless:pko-extension#FieldGrant",
    "Name": "principal-knowledge-authority -&gt; ProcedureExecutions.UncleanStepCount",
    "FieldTable": "ProcedureExecutions",
    "FieldName": "UncleanStepCount",
    "FieldIsDerived": true,
    "IsWritableDerivedField": false,
    "IsMasked": false,
    "GrantKeyWhenReadable": "principal-knowledge-authority|ProcedureExecutions"
   },
   {
    "FieldGrantId": "fg-knowledge-authority-ProcedureExecutions.RanClean",
    "Principal": "principal-knowledge-authority",
    "TargetField": "ProcedureExecutions.RanClean",
    "CanRead": true,
    "CanWrite": false,
    "MaskStrategy": "plain",
    "SemanticTypeIri": "urn:effortless:pko-extension#FieldGrant",
    "Name": "principal-knowledge-authority -&gt; ProcedureExecutions.RanClean",
    "FieldTable": "ProcedureExecutions",
    "FieldName": "RanClean",
    "FieldIsDerived": true,
    "IsWritableDerivedField": false,
    "IsMasked": false,
    "GrantKeyWhenReadable": "principal-knowledge-authority|ProcedureExecutions"
   },
   {
    "FieldGrantId": "fg-knowledge-authority-ProcedureExecutions.CountOfApprovalExecutions",
    "Principal": "principal-knowledge-authority",
    "TargetField": "ProcedureExecutions.CountOfApprovalExecutions",
    "CanRead": true,
    "CanWrite": false,
    "MaskStrategy": "plain",
    "SemanticTypeIri": "urn:effortless:pko-extension#FieldGrant",
    "Name": "principal-knowledge-authority -&gt; ProcedureExecutions.CountOfApprovalExecutions",
    "FieldTable": "ProcedureExecutions",
    "FieldName": "CountOfApprovalExecutions",
    "FieldIsDerived": true,
    "IsWritableDerivedField": false,
    "IsMasked": false,
    "GrantKeyWhenReadable": "principal-knowledge-authority|ProcedureExecutions"
   },
   {
    "FieldGrantId": "fg-knowledge-authority-ProcedureExecutions.HasHumanApproval",
    "Principal": "principal-knowledge-authority",
    "TargetField": "ProcedureExecutions.HasHumanApproval",
    "CanRead": true,
    "CanWrite": false,
    "MaskStrategy": "plain",
    "SemanticTypeIri": "urn:effortless:pko-extension#FieldGrant",
    "Name": "principal-knowledge-authority -&gt; ProcedureExecutions.HasHumanApproval",
    "FieldTable": "ProcedureExecutions",
    "FieldName": "HasHumanApproval",
    "FieldIsDerived": true,
    "IsWritableDerivedField": false,
    "IsMasked": false,
    "GrantKeyWhenReadable": "principal-knowledge-authority|ProcedureExecutions"
   },
   {
    "FieldGrantId": "fg-knowledge-authority-ProcedureExecutions.CountOfDeliveryExecutions",
    "Principal": "principal-knowledge-authority",
    "TargetField": "ProcedureExecutions.CountOfDeliveryExecutions",
    "CanRead": true,
    "CanWrite": false,
    "MaskStrategy": "plain",
    "SemanticTypeIri": "urn:effortless:pko-extension#FieldGrant",
    "Name": "principal-knowledge-authority -&gt; ProcedureExecutions.CountOfDeliveryExecutions",
    "FieldTable": "ProcedureExecutions",
    "FieldName": "CountOfDeliveryExecutions",
    "FieldIsDerived": true,
    "IsWritableDerivedField": false,
    "IsMasked": false,
    "GrantKeyWhenReadable": "principal-knowledge-authority|ProcedureExecutions"
   },
   {
    "FieldGrantId": "fg-knowledge-authority-ProcedureExecutions.HasDelivered",
    "Principal": "principal-knowledge-authority",
    "TargetField": "ProcedureExecutions.HasDelivered",
    "CanRead": true,
    "CanWrite": false,
    "MaskStrategy": "plain",
    "SemanticTypeIri": "urn:effortless:pko-extension#FieldGrant",
    "Name": "principal-knowledge-authority -&gt; ProcedureExecutions.HasDelivered",
    "FieldTable": "ProcedureExecutions",
    "FieldName": "HasDelivered",
    "FieldIsDerived": true,
    "IsWritableDerivedField": false,
    "IsMasked": false,
    "GrantKeyWhenReadable": "principal-knowledge-authority|ProcedureExecutions"
   },
   {
    "FieldGrantId": "fg-knowledge-authority-ProcedureExecutions.DeliveredWithoutApproval",
    "Principal": "principal-knowledge-authority",
    "TargetField": "ProcedureExecutions.DeliveredWithoutApproval",
    "CanRead": true,
    "CanWrite": false,
    "MaskStrategy": "plain",
    "SemanticTypeIri": "urn:effortless:pko-extension#FieldGrant",
    "Name": "principal-knowledge-authority -&gt; ProcedureExecutions.DeliveredWithoutApproval",
    "FieldTable": "ProcedureExecutions",
    "FieldName": "DeliveredWithoutApproval",
    "FieldIsDerived": true,
    "IsWritableDerivedField": false,
    "IsMasked": false,
    "GrantKeyWhenReadable": "principal-knowledge-authority|ProcedureExecutions"
   },
   {
    "FieldGrantId": "fg-knowledge-authority-ProcedureExecutions.InvalidApprovalCount",
    "Principal": "principal-knowledge-authority",
    "TargetField": "ProcedureExecutions.InvalidApprovalCount",
    "CanRead": true,
    "CanWrite": false,
    "MaskStrategy": "plain",
    "SemanticTypeIri": "urn:effortless:pko-extension#FieldGrant",
    "Name": "principal-knowledge-authority -&gt; ProcedureExecutions.InvalidApprovalCount",
    "FieldTable": "ProcedureExecutions",
    "FieldName": "InvalidApprovalCount",
    "FieldIsDerived": true,
    "IsWritableDerivedField": false,
    "IsMasked": false,
    "GrantKeyWhenReadable": "principal-knowledge-authority|ProcedureExecutions"
   },
   {
    "FieldGrantId": "fg-knowledge-authority-ProcedureExecutions.ApprovalChainIsComplete",
    "Principal": "principal-knowledge-authority",
    "TargetField": "ProcedureExecutions.ApprovalChainIsComplete",
    "CanRead": true,
    "CanWrite": false,
    "MaskStrategy": "plain",
    "SemanticTypeIri": "urn:effortless:pko-extension#FieldGrant",
    "Name": "principal-knowledge-authority -&gt; ProcedureExecutions.ApprovalChainIsComplete",
    "FieldTable": "ProcedureExecutions",
    "FieldName": "ApprovalChainIsComplete",
    "FieldIsDerived": true,
    "IsWritableDerivedField": false,
    "IsMasked": false,
    "GrantKeyWhenReadable": "principal-knowledge-authority|ProcedureExecutions"
   },
   {
    "FieldGrantId": "fg-knowledge-authority-ProcedureExecutions.VacuouslyCleanStepCount",
    "Principal": "principal-knowledge-authority",
    "TargetField": "ProcedureExecutions.VacuouslyCleanStepCount",
    "CanRead": true,
    "CanWrite": false,
    "MaskStrategy": "plain",
    "SemanticTypeIri": "urn:effortless:pko-extension#FieldGrant",
    "Name": "principal-knowledge-authority -&gt; ProcedureExecutions.VacuouslyCleanStepCount",
    "FieldTable": "ProcedureExecutions",
    "FieldName": "VacuouslyCleanStepCount",
    "FieldIsDerived": true,
    "IsWritableDerivedField": false,
    "IsMasked": false,
    "GrantKeyWhenReadable": "principal-knowledge-authority|ProcedureExecutions"
   },
   {
    "FieldGrantId": "fg-knowledge-authority-ProcedureExecutions.PreparationStepCount",
    "Principal": "principal-knowledge-authority",
    "TargetField": "ProcedureExecutions.PreparationStepCount",
    "CanRead": true,
    "CanWrite": false,
    "MaskStrategy": "plain",
    "SemanticTypeIri": "urn:effortless:pko-extension#FieldGrant",
    "Name": "principal-knowledge-authority -&gt; ProcedureExecutions.PreparationStepCount",
    "FieldTable": "ProcedureExecutions",
    "FieldName": "PreparationStepCount",
    "FieldIsDerived": true,
    "IsWritableDerivedField": false,
    "IsMasked": false,
    "GrantKeyWhenReadable": "principal-knowledge-authority|ProcedureExecutions"
   },
   {
    "FieldGrantId": "fg-knowledge-authority-ProcedureExecutions.ApprovalStepCount",
    "Principal": "principal-knowledge-authority",
    "TargetField": "ProcedureExecutions.ApprovalStepCount",
    "CanRead": true,
    "CanWrite": false,
    "MaskStrategy": "plain",
    "SemanticTypeIri": "urn:effortless:pko-extension#FieldGrant",
    "Name": "principal-knowledge-authority -&gt; ProcedureExecutions.ApprovalStepCount",
    "FieldTable": "ProcedureExecutions",
    "FieldName": "ApprovalStepCount",
    "FieldIsDerived": true,
    "IsWritableDerivedField": false,
    "IsMasked": false,
    "GrantKeyWhenReadable": "principal-knowledge-authority|ProcedureExecutions"
   },
   {
    "FieldGrantId": "fg-knowledge-authority-ProcedureExecutions.SeparationWasTestable",
    "Principal": "principal-knowledge-authority",
    "TargetField": "ProcedureExecutions.SeparationWasTestable",
    "CanRead": true,
    "CanWrite": false,
    "MaskStrategy": "plain",
    "SemanticTypeIri": "urn:effortless:pko-extension#FieldGrant",
    "Name": "principal-knowledge-authority -&gt; ProcedureExecutions.SeparationWasTestable",
    "FieldTable": "ProcedureExecutions",
    "FieldName": "SeparationWasTestable",
    "FieldIsDerived": true,
    "IsWritableDerivedField": false,
    "IsMasked": false,
    "GrantKeyWhenReadable": "principal-knowledge-authority|ProcedureExecutions"
   },
   {
    "FieldGrantId": "fg-knowledge-authority-ProcedureExecutions.SeparationHeldUnderTest",
    "Principal": "principal-knowledge-authority",
    "TargetField": "ProcedureExecutions.SeparationHeldUnderTest",
    "CanRead": true,
    "CanWrite": false,
    "MaskStrategy": "plain",
    "SemanticTypeIri": "urn:effortless:pko-extension#FieldGrant",
    "Name": "principal-knowledge-authority -&gt; ProcedureExecutions.SeparationHeldUnderTest",
    "FieldTable": "ProcedureExecutions",
    "FieldName": "SeparationHeldUnderTest",
    "FieldIsDerived": true,
    "IsWritableDerivedField": false,
    "IsMasked": false,
    "GrantKeyWhenReadable": "principal-knowledge-authority|ProcedureExecutions"
   },
   {
    "FieldGrantId": "fg-knowledge-authority-ProcedureExecutions.SeparationIsVacuouslyGreen",
    "Principal": "principal-knowledge-authority",
    "TargetField": "ProcedureExecutions.SeparationIsVacuouslyGreen",
    "CanRead": true,
    "CanWrite": false,
    "MaskStrategy": "plain",
    "SemanticTypeIri": "urn:effortless:pko-extension#FieldGrant",
    "Name": "principal-knowledge-authority -&gt; ProcedureExecutions.SeparationIsVacuouslyGreen",
    "FieldTable": "ProcedureExecutions",
    "FieldName": "SeparationIsVacuouslyGreen",
    "FieldIsDerived": true,
    "IsWritableDerivedField": false,
    "IsMasked": false,
    "GrantKeyWhenReadable": "principal-knowledge-authority|ProcedureExecutions"
   },
   {
    "FieldGrantId": "fg-knowledge-authority-ProcedureExecutions.SeparationAssuranceNote",
    "Principal": "principal-knowledge-authority",
    "TargetField": "ProcedureExecutions.SeparationAssuranceNote",
    "CanRead": true,
    "CanWrite": false,
    "MaskStrategy": "plain",
    "SemanticTypeIri": "urn:effortless:pko-extension#FieldGrant",
    "Name": "principal-knowledge-authority -&gt; ProcedureExecutions.SeparationAssuranceNote",
    "FieldTable": "ProcedureExecutions",
    "FieldName": "SeparationAssuranceNote",
    "FieldIsDerived": true,
    "IsWritableDerivedField": false,
    "IsMasked": false,
    "GrantKeyWhenReadable": "principal-knowledge-authority|ProcedureExecutions"
   },
   {
    "FieldGrantId": "fg-knowledge-authority-ProcedureExecutions.UngovernedDivergenceCount",
    "Principal": "principal-knowledge-authority",
    "TargetField": "ProcedureExecutions.UngovernedDivergenceCount",
    "CanRead": true,
    "CanWrite": false,
    "MaskStrategy": "plain",
    "SemanticTypeIri": "urn:effortless:pko-extension#FieldGrant",
    "Name": "principal-knowledge-authority -&gt; ProcedureExecutions.UngovernedDivergenceCount",
    "FieldTable": "ProcedureExecutions",
    "FieldName": "UngovernedDivergenceCount",
    "FieldIsDerived": true,
    "IsWritableDerivedField": fa</t>
  </si>
  <si>
    <t xml:space="preserve">lse,
    "IsMasked": false,
    "GrantKeyWhenReadable": "principal-knowledge-authority|ProcedureExecutions"
   },
   {
    "FieldGrantId": "fg-knowledge-authority-ProcedureExecutions.DivergenceWasFullyGoverned",
    "Principal": "principal-knowledge-authority",
    "TargetField": "ProcedureExecutions.DivergenceWasFullyGoverned",
    "CanRead": true,
    "CanWrite": false,
    "MaskStrategy": "plain",
    "SemanticTypeIri": "urn:effortless:pko-extension#FieldGrant",
    "Name": "principal-knowledge-authority -&gt; ProcedureExecutions.DivergenceWasFullyGoverned",
    "FieldTable": "ProcedureExecutions",
    "FieldName": "DivergenceWasFullyGoverned",
    "FieldIsDerived": true,
    "IsWritableDerivedField": false,
    "IsMasked": false,
    "GrantKeyWhenReadable": "principal-knowledge-authority|ProcedureExecutions"
   },
   {
    "FieldGrantId": "fg-knowledge-authority-ProcedureExecutions.ComputedlyWitnessedControlCount",
    "Principal": "principal-knowledge-authority",
    "TargetField": "ProcedureExecutions.ComputedlyWitnessedControlCount",
    "CanRead": true,
    "CanWrite": false,
    "MaskStrategy": "plain",
    "SemanticTypeIri": "urn:effortless:pko-extension#FieldGrant",
    "Name": "principal-knowledge-authority -&gt; ProcedureExecutions.ComputedlyWitnessedControlCount",
    "FieldTable": "ProcedureExecutions",
    "FieldName": "ComputedlyWitnessedControlCount",
    "FieldIsDerived": true,
    "IsWritableDerivedField": false,
    "IsMasked": false,
    "GrantKeyWhenReadable": "principal-knowledge-authority|ProcedureExecutions"
   },
   {
    "FieldGrantId": "fg-knowledge-authority-ProcedureExecutions.EvaluatedControlCount",
    "Principal": "principal-knowledge-authority",
    "TargetField": "ProcedureExecutions.EvaluatedControlCount",
    "CanRead": true,
    "CanWrite": false,
    "MaskStrategy": "plain",
    "SemanticTypeIri": "urn:effortless:pko-extension#FieldGrant",
    "Name": "principal-knowledge-authority -&gt; ProcedureExecutions.EvaluatedControlCount",
    "FieldTable": "ProcedureExecutions",
    "FieldName": "EvaluatedControlCount",
    "FieldIsDerived": true,
    "IsWritableDerivedField": false,
    "IsMasked": false,
    "GrantKeyWhenReadable": "principal-knowledge-authority|ProcedureExecutions"
   },
   {
    "FieldGrantId": "fg-knowledge-authority-ProcedureExecutions.ComputedAssuranceRatio",
    "Principal": "principal-knowledge-authority",
    "TargetField": "ProcedureExecutions.ComputedAssuranceRatio",
    "CanRead": true,
    "CanWrite": false,
    "MaskStrategy": "plain",
    "SemanticTypeIri": "urn:effortless:pko-extension#FieldGrant",
    "Name": "principal-knowledge-authority -&gt; ProcedureExecutions.ComputedAssuranceRatio",
    "FieldTable": "ProcedureExecutions",
    "FieldName": "ComputedAssuranceRatio",
    "FieldIsDerived": true,
    "IsWritableDerivedField": false,
    "IsMasked": false,
    "GrantKeyWhenReadable": "principal-knowledge-authority|ProcedureExecutions"
   },
   {
    "FieldGrantId": "fg-knowledge-authority-ProcedureExecutions.InterestedPartyAssertionCount",
    "Principal": "principal-knowledge-authority",
    "TargetField": "ProcedureExecutions.InterestedPartyAssertionCount",
    "CanRead": true,
    "CanWrite": false,
    "MaskStrategy": "plain",
    "SemanticTypeIri": "urn:effortless:pko-extension#FieldGrant",
    "Name": "principal-knowledge-authority -&gt; ProcedureExecutions.InterestedPartyAssertionCount",
    "FieldTable": "ProcedureExecutions",
    "FieldName": "InterestedPartyAssertionCount",
    "FieldIsDerived": true,
    "IsWritableDerivedField": false,
    "IsMasked": false,
    "GrantKeyWhenReadable": "principal-knowledge-authority|ProcedureExecutions"
   },
   {
    "FieldGrantId": "fg-knowledge-authority-ProcedureExecutions.AssuranceGrade",
    "Principal": "principal-knowledge-authority",
    "TargetField": "ProcedureExecutions.AssuranceGrade",
    "CanRead": true,
    "CanWrite": false,
    "MaskStrategy": "plain",
    "SemanticTypeIri": "urn:effortless:pko-extension#FieldGrant",
    "Name": "principal-knowledge-authority -&gt; ProcedureExecutions.AssuranceGrade",
    "FieldTable": "ProcedureExecutions",
    "FieldName": "AssuranceGrade",
    "FieldIsDerived": true,
    "IsWritableDerivedField": false,
    "IsMasked": false,
    "GrantKeyWhenReadable": "principal-knowledge-authority|ProcedureExecutions"
   },
   {
    "FieldGrantId": "fg-knowledge-authority-ProcedureExecutions.AttestationWouldBeWeaklyBased",
    "Principal": "principal-knowledge-authority",
    "TargetField": "ProcedureExecutions.AttestationWouldBeWeaklyBased",
    "CanRead": true,
    "CanWrite": false,
    "MaskStrategy": "plain",
    "SemanticTypeIri": "urn:effortless:pko-extension#FieldGrant",
    "Name": "principal-knowledge-authority -&gt; ProcedureExecutions.AttestationWouldBeWeaklyBased",
    "FieldTable": "ProcedureExecutions",
    "FieldName": "AttestationWouldBeWeaklyBased",
    "FieldIsDerived": true,
    "IsWritableDerivedField": false,
    "IsMasked": false,
    "GrantKeyWhenReadable": "principal-knowledge-authority|ProcedureExecutions"
   },
   {
    "FieldGrantId": "fg-knowledge-authority-ProcedureExecutions.IndependentHumanObservationCount",
    "Principal": "principal-knowledge-authority",
    "TargetField": "ProcedureExecutions.IndependentHumanObservationCount",
    "CanRead": true,
    "CanWrite": false,
    "MaskStrategy": "plain",
    "SemanticTypeIri": "urn:effortless:pko-extension#FieldGrant",
    "Name": "principal-knowledge-authority -&gt; ProcedureExecutions.IndependentHumanObservationCount",
    "FieldTable": "ProcedureExecutions",
    "FieldName": "IndependentHumanObservationCount",
    "FieldIsDerived": true,
    "IsWritableDerivedField": false,
    "IsMasked": false,
    "GrantKeyWhenReadable": "principal-knowledge-authority|ProcedureExecutions"
   },
   {
    "FieldGrantId": "fg-knowledge-authority-ProcedureExecutions.HasAnyIndependentObservation",
    "Principal": "principal-knowledge-authority",
    "TargetField": "ProcedureExecutions.HasAnyIndependentObservation",
    "CanRead": true,
    "CanWrite": false,
    "MaskStrategy": "plain",
    "SemanticTypeIri": "urn:effortless:pko-extension#FieldGrant",
    "Name": "principal-knowledge-authority -&gt; ProcedureExecutions.HasAnyIndependentObservation",
    "FieldTable": "ProcedureExecutions",
    "FieldName": "HasAnyIndependentObservation",
    "FieldIsDerived": true,
    "IsWritableDerivedField": false,
    "IsMasked": false,
    "GrantKeyWhenReadable": "principal-knowledge-authority|ProcedureExecutions"
   },
   {
    "FieldGrantId": "fg-knowledge-authority-ProcedureExecutions.SelfAttestedApprovalCount",
    "Principal": "principal-knowledge-authority",
    "TargetField": "ProcedureExecutions.SelfAttestedApprovalCount",
    "CanRead": true,
    "CanWrite": false,
    "MaskStrategy": "plain",
    "SemanticTypeIri": "urn:effortless:pko-extension#FieldGrant",
    "Name": "principal-knowledge-authority -&gt; ProcedureExecutions.SelfAttestedApprovalCount",
    "FieldTable": "ProcedureExecutions",
    "FieldName": "SelfAttestedApprovalCount",
    "FieldIsDerived": true,
    "IsWritableDerivedField": false,
    "IsMasked": false,
    "GrantKeyWhenReadable": "principal-knowledge-authority|ProcedureExecutions"
   },
   {
    "FieldGrantId": "fg-knowledge-authority-ProcedureExecutions.AssuranceChainIsCircular",
    "Principal": "principal-knowledge-authority",
    "TargetField": "ProcedureExecutions.AssuranceChainIsCircular",
    "CanRead": true,
    "CanWrite": false,
    "MaskStrategy": "plain",
    "SemanticTypeIri": "urn:effortless:pko-extension#FieldGrant",
    "Name": "principal-knowledge-authority -&gt; ProcedureExecutions.AssuranceChainIsCircular",
    "FieldTable": "ProcedureExecutions",
    "FieldName": "AssuranceChainIsCircular",
    "FieldIsDerived": true,
    "IsWritableDerivedField": false,
    "IsMasked": false,
    "GrantKeyWhenReadable": "principal-knowledge-authority|ProcedureExecutions"
   },
   {
    "FieldGrantId": "fg-knowledge-authority-ProcedureExecutions.LatestAttestationInstant",
    "Principal": "principal-knowledge-authority",
    "TargetField": "ProcedureExecutions.LatestAttestationInstant",
    "CanRead": true,
    "CanWrite": false,
    "MaskStrategy": "plain",
    "SemanticTypeIri": "urn:effortless:pko-extension#FieldGrant",
    "Name": "principal-knowledge-authority -&gt; ProcedureExecutions.LatestAttestationInstant",
    "FieldTable": "ProcedureExecutions",
    "FieldName": "LatestAttestationInstant",
    "FieldIsDerived": true,
    "IsWritableDerivedField": false,
    "IsMasked": false,
    "GrantKeyWhenReadable": "principal-knowledge-authority|ProcedureExecutions"
   },
   {
    "FieldGrantId": "fg-knowledge-authority-ProcedureExecutions.HasBeenAttested",
    "Principal": "principal-knowledge-authority",
    "TargetField": "ProcedureExecutions.HasBeenAttested",
    "CanRead": true,
    "CanWrite": false,
    "MaskStrategy": "plain",
    "SemanticTypeIri": "urn:effortless:pko-extension#FieldGrant",
    "Name": "principal-knowledge-authority -&gt; ProcedureExecutions.HasBeenAttested",
    "FieldTable": "ProcedureExecutions",
    "FieldName": "HasBeenAttested",
    "FieldIsDerived": true,
    "IsWritableDerivedField": false,
    "IsMasked": false,
    "GrantKeyWhenReadable": "principal-knowledge-authority|ProcedureExecutions"
   },
   {
    "FieldGrantId": "fg-knowledge-authority-ProcedureExecutions.AttestationCount",
    "Principal": "principal-knowledge-authority",
    "TargetField": "ProcedureExecutions.AttestationCount",
    "CanRead": true,
    "CanWrite": false,
    "MaskStrategy": "plain",
    "SemanticTypeIri": "urn:effortless:pko-extension#FieldGrant",
    "Name": "principal-knowledge-authority -&gt; ProcedureExecutions.AttestationCount",
    "FieldTable": "ProcedureExecutions",
    "FieldName": "AttestationCount",
    "FieldIsDerived": true,
    "IsWritableDerivedField": false,
    "IsMasked": false,
    "GrantKeyWhenReadable": "principal-knowledge-authority|ProcedureExecutions"
   },
   {
    "FieldGrantId": "fg-knowledge-authority-ProcedureExecutions.PostAttestationScoreCount",
    "Principal": "principal-knowledge-authority",
    "TargetField": "ProcedureExecutions.PostAttestationScoreCount",
    "CanRead": true,
    "CanWrite": false,
    "MaskStrategy": "plain",
    "SemanticTypeIri": "urn:effortless:pko-extension#FieldGrant",
    "Name": "principal-knowledge-authority -&gt; ProcedureExecutions.PostAttestationScoreCount",
    "FieldTable": "ProcedureExecutions",
    "FieldName": "PostAttestationScoreCount",
    "FieldIsDerived": true,
    "IsWritableDerivedField": false,
    "IsMasked": false,
    "GrantKeyWhenReadable": "principal-knowledge-authority|ProcedureExecutions"
   },
   {
    "FieldGrantId": "fg-knowledge-authority-ProcedureExecutions.BasisChangedAfterSignature",
    "Principal": "principal-knowledge-authority",
    "TargetField": "ProcedureExecutions.BasisChangedAfterSignature",
    "CanRead": true,
    "CanWrite": false,
    "MaskStrategy": "plain",
    "SemanticTypeIri": "urn:effortless:pko-extension#FieldGrant",
    "Name": "principal-knowledge-authority -&gt; ProcedureExecutions.BasisChangedAfterSignature",
    "FieldTable": "ProcedureExecutions",
    "FieldName": "BasisChangedAfterSignature",
    "FieldIsDerived": true,
    "IsWritableDerivedField": false,
    "IsMasked": false,
    "GrantKeyWhenReadable": "principal-knowledge-authority|ProcedureExecutions"
   },
   {
    "FieldGrantId": "fg-knowledge-authority-ProcedureExecutions.RequiresReAttestation",
    "Principal": "principal-knowledge-authority",
    "TargetField": "ProcedureExecutions.RequiresReAttestation",
    "CanRead": true,
    "CanWrite": false,
    "MaskStrategy": "plain",
    "SemanticTypeIri": "urn:effortless:pko-extension#FieldGrant",
    "Name": "principal-knowledge-authority -&gt; ProcedureExecutions.RequiresReAttestation",
    "FieldTable": "ProcedureExecutions",
    "FieldName": "RequiresReAttestation",
    "FieldIsDerived": true,
    "IsWritableDerivedField": false,
    "IsMasked": false,
    "GrantKeyWhenReadable": "principal-knowledge-authority|ProcedureExecutions"
   },
   {
    "FieldGrantId": "fg-knowledge-authority-ProcedureExecutions.IntendedRecipientCount",
    "Principal": "principal-knowledge-authority",
    "TargetField": "ProcedureExecutions.IntendedRecipientCount",
    "CanRead": true,
    "CanWrite": false,
    "MaskStrategy": "plain",
    "SemanticTypeIri": "urn:effortless:pko-extension#FieldGrant",
    "Name": "principal-knowledge-authority -&gt; ProcedureExecutions.IntendedRecipientCount",
    "FieldTable": "ProcedureExecutions",
    "FieldName": "IntendedRecipientCount",
    "FieldIsDerived": true,
    "IsWritableDerivedField": false,
    "IsMasked": false,
    "GrantKeyWhenReadable": "principal-knowledge-authority|ProcedureExecutions"
   },
   {
    "FieldGrantId": "fg-knowledge-authority-ProcedureExecutions.ReachedRecipientCount",
    "Principal": "principal-knowledge-authority",
    "TargetField": "ProcedureExecutions.ReachedRecipientCount",
    "CanRead": true,
    "CanWrite": false,
    "MaskStrategy": "plain",
    "SemanticTypeIri": "urn:effortless:pko-extension#FieldGrant",
    "Name": "principal-knowledge-authority -&gt; ProcedureExecutions.ReachedRecipientCount",
    "FieldTable": "ProcedureExecutions",
    "FieldName": "ReachedRecipientCount",
    "FieldIsDerived": true,
    "IsWritableDerivedField": false,
    "IsMasked": false,
    "GrantKeyWhenReadable": "principal-knowledge-authority|ProcedureExecutions"
   },
   {
    "FieldGrantId": "fg-knowledge-authority-ProcedureExecutions.SilentlyDroppedCount",
    "Principal": "principal-knowledge-authority",
    "TargetField": "ProcedureExecutions.SilentlyDroppedCount",
    "CanRead": true,
    "CanWrite": false,
    "MaskStrategy": "plain",
    "SemanticTypeIri": "urn:effortless:pko-extension#FieldGrant",
    "Name": "principal-knowledge-authority -&gt; ProcedureExecutions.SilentlyDroppedCount",
    "FieldTable": "ProcedureExecutions",
    "FieldName": "SilentlyDroppedCount",
    "FieldIsDerived": true,
    "IsWritableDerivedField": false,
    "IsMasked": false,
    "GrantKeyWhenReadable": "principal-knowledge-authority|ProcedureExecutions"
   },
   {
    "FieldGrantId": "fg-knowledge-authority-ProcedureExecutions.DeliveryYieldPercent",
    "Principal": "principal-knowledge-authority",
    "TargetField": "ProcedureExecutions.DeliveryYieldPercent",
    "CanRead": true,
    "CanWrite": false,
    "MaskStrategy": "plain",
    "SemanticTypeIri": "urn:effortless:pko-extension#FieldGrant",
    "Name": "principal-knowledge-authority -&gt; ProcedureExecutions.DeliveryYieldPercent",
    "FieldTable": "ProcedureExecutions",
    "FieldName": "DeliveryYieldPercent",
    "FieldIsDerived": true,
    "IsWritableDerivedField": false,
    "IsMasked": false,
    "GrantKeyWhenReadable": "principal-knowledge-authority|ProcedureExecutions"
   },
   {
    "FieldGrantId": "fg-knowledge-authority-ProcedureExecutions.CampaignSilentlyLostAudience",
    "Principal": "principal-knowledge-authority",
    "TargetField": "ProcedureExecutions.CampaignSilentlyLostAudience",
    "CanRead": true,
    "CanWrite": false,
    "MaskStrategy": "plain",
    "SemanticTypeIri": "urn:effortless:pko-extension#FieldGrant",
    "Name": "principal-knowledge-authority -&gt; ProcedureExecutions.CampaignSilentlyLostAudience",
    "FieldTable": "ProcedureExecutions",
    "FieldName": "CampaignSilentlyLostAudience",
    "FieldIsDerived": true,
    "IsWritableDerivedField": false,
    "IsMasked": false,
    "GrantKeyWhenReadable": "principal-knowledge-authority|ProcedureExecutions"
   },
   {
    "FieldGrantId": "fg-knowledge-authority-ProcedureExecutions.UnrecordedRefusalCount",
    "Principal": "principal-knowledge-authority",
    "TargetField": "ProcedureExecutions.UnrecordedRefusalCount",
    "CanRead": true,
    "CanWrite": false,
    "MaskStrategy": "plain",
    "SemanticTypeIri": "urn:effortless:pko-extension#FieldGrant",
    "Name": "principal-knowledge-authority -&gt; ProcedureExecutions.UnrecordedRefusalCount",
    "FieldTable": "ProcedureExecutions",
    "FieldName": "UnrecordedRefusalCount",
    "FieldIsDerived": true,
    "IsWritableDerivedField": false,
    "IsMasked": false,
    "GrantKeyWhenReadable": "principal-knowledge-authority|ProcedureExecutions"
   },
   {
    "FieldGrantId": "fg-knowledge-authority-ProcedureExecutions.HasUnrecordedRefusals",
    "Principal": "principal-knowledge-authority",
    "TargetField": "ProcedureExecutions.HasUnrecordedRefusals",
    "CanRead": true,
    "CanWrite": false,
    "MaskStrategy": "plain",
    "SemanticTypeIri": "urn:effortless:pko-extension#FieldGrant",
    "Name": "principal-knowledge-authority -&gt; ProcedureExecutions.HasUnrecordedRefusals",
    "FieldTable": "ProcedureExecutions",
    "FieldName": "HasUnrecordedRefusals",
    "FieldIsDerived": true,
    "IsWritableDerivedField": false,
    "IsMasked": false,
    "GrantKeyWhenReadable": "principal-knowledge-authority|ProcedureExecutions"
   },
   {
    "FieldGrantId": "fg-knowledge-authority-ProcedureExecutions.IndependentlyConfirmedIntentCount",
    "Principal": "principal-knowledge-authority",
    "TargetField": "ProcedureExecutions.IndependentlyConfirmedIntentCount",
    "CanRead": true,
    "CanWrite": false,
    "MaskStrategy": "plain",
    "SemanticTypeIri": "urn:effortless:pko-extension#FieldGrant",
    "Name": "principal-knowledge-authority -&gt; ProcedureExecutions.IndependentlyConfirmedIntentCount",
    "FieldTable": "ProcedureExecutions",
    "FieldName": "IndependentlyConfirmedIntentCount",
    "FieldIsDerived": true,
    "IsWritableDerivedField": false,
    "IsMasked": false,
    "GrantKeyWhenReadable": "principal-knowledge-authority|ProcedureExecutions"
   },
   {
    "FieldGrantId": "fg-knowledge-authority-ProcedureExecutions.SendDecisionsAreEntirelySelfWitnessed",
    "Principal": "principal-knowledge-authority",
    "TargetField": "ProcedureExecutions.SendDecisionsAreEntirelySelfWitnessed",
    "CanRead": true,
    "CanWrite": false,
    "MaskStrategy": "plain",
    "SemanticTypeIri": "urn:effortless:pko-extension#FieldGrant",
    "Name": "principal-knowledge-authority -&gt; ProcedureExecutions.SendDecisionsAreEntirelySelfWitnessed",
    "FieldTable": "ProcedureExecutions",
    "FieldName": "SendDecisionsAreEntirelySelfWitnessed",
    "FieldIsDerived": true,
    "IsWritableDerivedField": false,
    "IsMasked": false,
    "GrantKeyWhenReadable": "principal-knowledge-authority|ProcedureExecutions"
   },
   {
    "FieldGrantId": "fg-knowledge-authority-ProcedureExecutions.SemanticTypeIri",
    "Principal": "principal-knowledge-authority",
    "TargetField": "ProcedureExecutions.SemanticTypeIri",
    "CanRead": true,
    "CanWrite": false,
    "MaskStrategy": "plain",
    "SemanticTypeIri": "urn:effortless:pko-extension#FieldGrant",
    "Name": "principal-knowledge-authority -&gt; ProcedureExecutions.SemanticTypeIri",
    "FieldTable": "ProcedureExecutions",
    "FieldName": "SemanticTypeIri",
    "FieldIsDerived": false,
    "IsWritableDerivedField": false,
    "IsMasked": false,
    "GrantKeyWhenReadable": "principal-knowledge-authority|ProcedureExecutions"
   },
   {
    "FieldGrantId": "fg-knowledge-authority-ProcedureResources.ProcedureResourceId",
    "Principal": "principal-knowledge-authority",
    "TargetField": "ProcedureResources.ProcedureResourceId",
    "CanRead": true,
    "CanWrite": false,
    "MaskStrategy": "plain",
    "SemanticTypeIri": "urn:effortless:pko-extension#FieldGrant",
    "Name": "principal-knowledge-authority -&gt; ProcedureResources.ProcedureResourceId",
    "FieldTable": "ProcedureResources",
    "FieldName": "ProcedureResourceId",
    "FieldIsDerived": false,
    "IsWritableDerivedField": false,
    "IsMasked": false,
    "GrantKeyWhenReadable": "principal-knowledge-authority|ProcedureResources"
   },
   {
    "FieldGrantId": "fg-knowledge-authority-ProcedureResources.Name",
    "Principal": "principal-knowledge-authority",
    "TargetField": "ProcedureResources.Name",
    "CanRead": true,
    "CanWrite": false,
    "MaskStrategy": "plain",
    "SemanticTypeIri": "urn:effortless:pko-extension#FieldGrant",
    "Name": "principal-knowledge-authority -&gt; ProcedureResources.Name",
    "FieldTable": "ProcedureResources",
    "FieldName": "Name",
    "FieldIsDerived": true,
    "IsWritableDerivedField": false,
    "IsMasked": false,
    "GrantKeyWhenReadable": "principal-knowledge-authority|ProcedureResources"
   },
   {
    "FieldGrantId": "fg-knowledge-authority-ProcedureResources.ProcedureVersion",
    "Principal": "principal-knowledge-authority",
    "TargetField": "ProcedureResources.ProcedureVersion",
    "CanRead": true,
    "CanWrite": false,
    "MaskStrategy": "plain",
    "SemanticTypeIri": "urn:effortless:pko-extension#FieldGrant",
    "Name": "principal-knowledge-authority -&gt; ProcedureResources.ProcedureVersion",
    "FieldTable": "ProcedureResources",
    "FieldName": "ProcedureVersion",
    "FieldIsDerived": false,
    "IsWritableDerivedField": false,
    "IsMasked": false,
    "GrantKeyWhenReadable": "principal-knowledge-authority|ProcedureResources"
   },
   {
    "FieldGrantId": "fg-knowledge-authority-ProcedureResources.Resource",
    "Principal": "principal-knowledge-authority",
    "TargetField": "ProcedureResources.Resource",
    "CanRead": true,
    "CanWrite": false,
    "MaskStrategy": "plain",
    "SemanticTypeIri": "urn:effortless:pko-extension#FieldGrant",
    "Name": "principal-knowledge-authority -&gt; ProcedureResources.Resource",
    "FieldTable": "ProcedureResources",
    "FieldName": "Resource",
    "FieldIsDerived": false,
    "IsWritableDerivedField": false,
    "IsMasked": false,
    "GrantKeyWhenReadable": "principal-knowledge-authority|ProcedureResources"
   },
   {
    "FieldGrantId": "fg-knowledge-authority-ProcedureResources.Relation",
    "Principal": "principal-knowledge-authority",
    "TargetField": "ProcedureResources.Relation",
    "CanRead": true,
    "CanWrite": false,
    "MaskStrategy": "plain",
    "SemanticTypeIri": "urn:effortless:pko-extension#FieldGrant",
    "Name": "principal-knowledge-authority -&gt; ProcedureResources.Relation",
    "FieldTable": "ProcedureResources",
    "FieldName": "Relation",
    "FieldIsDerived": false,
    "IsWritableDerivedField": false,
    "IsMasked": false,
    "GrantKeyWhenReadable": "principal-knowledge-authority|ProcedureResources"
   },
   {
    "FieldGrantId": "fg-knowledge-authority-ProcedureResources.RelationIri",
    "Principal": "principal-knowledge-authority",
    "TargetField": "ProcedureResources.RelationIri",
    "CanRead": true,
    "CanWrite": false,
    "MaskStrategy": "plain",
    "SemanticTypeIri": "urn:effortless:pko-extension#FieldGrant",
    "Name": "principal-knowledge-authority -&gt; ProcedureResources.RelationIri",
    "FieldTable": "ProcedureResources",
    "FieldName": "RelationIri",
    "FieldIsDerived": true,
    "IsWritableDerivedField": false,
    "IsMasked": false,
    "GrantKeyWhenReadable": "principal-knowledge-authority|ProcedureResources"
   },
   {
    "FieldGrantId": "fg-knowledge-authority-ProcedureStatusChanges.ProcedureStatusChangeId",
    "Principal": "principal-knowledge-authority",
    "TargetField": "ProcedureStatusChanges.ProcedureStatusChangeId",
    "CanRead": true,
    "CanWrite": false,
    "MaskStrategy": "plain",
    "SemanticTypeIri": "urn:effortless:pko-extension#FieldGrant",
    "Name": "principal-knowledge-authority -&gt; ProcedureStatusChanges.ProcedureStatusChangeId",
    "FieldTable": "ProcedureStatusChanges",
    "FieldName": "ProcedureStatusChangeId",
    "FieldIsDerived": false,
    "IsWritableDerivedField": false,
    "IsMasked": false,
    "GrantKeyWhenReadable": "principal-knowledge-authority|ProcedureStatusChanges"
   },
   {
    "FieldGrantId": "fg-knowledge-authority-ProcedureStatusChanges.Name",
    "Principal": "principal-knowledge-authority",
    "TargetField": "ProcedureStatusChanges.Name",
    "CanRead": true,
    "CanWrite": false,
    "MaskStrategy": "plain",
    "SemanticTypeIri": "urn:effortless:pko-extension#FieldGrant",
    "Name": "principal-knowledge-authority -&gt; ProcedureStatusChanges.Name",
    "FieldTable": "ProcedureStatusChanges",
    "FieldName": "Name",
    "FieldIsDerived": true,
    "IsWritableDerivedField": false,
    "IsMasked": false,
    "GrantKeyWhenReadable": "principal-knowledge-authority|ProcedureStatusChanges"
   },
   {
    "FieldGrantId": "fg-knowledge-authority-ProcedureStatusChanges.ProcedureVersion",
    "Principal": "principal-knowledge-authority",
    "TargetField": "ProcedureStatusChanges.ProcedureVersion",
    "CanRead": true,
    "CanWrite": false,
    "MaskStrategy": "plain",
    "SemanticTypeIri": "urn:effortless:pko-extension#FieldGrant",
    "Name": "principal-knowledge-authority -&gt; ProcedureStatusChanges.ProcedureVersion",
    "FieldTable": "ProcedureStatusChanges",
    "FieldName": "ProcedureVersion",
    "FieldIsDerived": false,
    "IsWritableDerivedField": false,
    "IsMasked": false,
    "GrantKeyWhenReadable": "principal-knowledge-authority|ProcedureStatusChanges"
   },
   {
    "FieldGrantId": "fg-knowledge-authority-ProcedureStatusChanges.FromStatus",
    "Principal": "principal-knowledge-authority",
    "TargetField": "ProcedureStatusChanges.FromStatus",
    "CanRead": true,
    "CanWrite": false,
    "MaskStrategy": "plain",
    "SemanticTypeIri": "urn:effortless:pko-extension#FieldGrant",
    "Name": "principal-knowledge-authority -&gt; ProcedureStatusChanges.FromStatus",
    "FieldTable": "ProcedureStatusChanges",
    "FieldName": "FromStatus",
    "FieldIsDerived": false,
    "IsWritableDerivedField": false,
    "IsMasked": false,
    "GrantKeyWhenReadable": "principal-knowledge-authority|ProcedureStatusChanges"
   },
   {
    "FieldGrantId": "fg-knowledge-authority-ProcedureStatusChanges.ToStatus",
    "Principal": "principal-knowledge-authority",
    "TargetField": "ProcedureStatusChanges.ToStatus",
    "CanRead": true,
    "CanWrite": false,
    "MaskStrategy": "plain",
    "SemanticTypeIri": "urn:effortless:pko-extension#FieldGrant",
    "Name": "principal-knowledge-authority -&gt; ProcedureStatusChanges.ToStatus",
    "FieldTable": "ProcedureStatusChanges",
    "FieldName": "ToStatus",
    "FieldIsDerived": false,
    "IsWritableDerivedField": false,
    "IsMasked": false,
    "GrantKeyWhenReadable": "principal-knowledge-authority|ProcedureStatusChanges"
   },
   {
    "FieldGrantId": "fg-knowledge-authority-ProcedureStatusChanges.ChangedAt",
    "Principal": "principal-knowledge-authority",
    "TargetField": "ProcedureStatusChanges.ChangedAt",
    "CanRead": true,
    "CanWrite": false,
    "MaskStrategy": "plain",
    "SemanticTypeIri": "urn:effortless:pko-extension#FieldGrant",
    "Name": "principal-knowledge-authority -&gt; ProcedureStatusChanges.ChangedAt",
    "FieldTable": "ProcedureStatusChanges",
    "FieldName": "ChangedAt",
    "FieldIsDerived": false,
    "IsWritableDerivedField": false,
    "IsMasked": false,
    "GrantKeyWhenReadable": "principal-knowledge-authority|ProcedureStatusChanges"
   },
   {
    "FieldGrantId": "fg-knowledge-authority-ProcedureStatusChanges.ChangedByAgent",
    "Principal": "principal-knowledge-authority",
    "TargetField": "ProcedureStatusChanges.ChangedByAgent",
    "CanRead": true,
    "CanWrite": false,
    "MaskStrategy": "plain",
    "SemanticTypeIri": "urn:effortless:pko-extension#FieldGrant",
    "Name": "principal-knowledge-authority -&gt; ProcedureStatusChanges.ChangedByAgent",
    "FieldTable": "ProcedureStatusChanges",
    "FieldName": "ChangedByAgent",
    "FieldIsDerived": false,
    "IsWritableDerivedField": false,
    "IsMasked": false,
    "GrantKeyWhenReadable": "principal-knowledge-authority|ProcedureStatusChanges"
   },
   {
    "FieldGrantId": "fg-knowledge-authority-ProcedureStatusChanges.Motivation",
    "Principal": "principal-knowledge-authority",
    "TargetField": "ProcedureStatusChanges.Motivation",
    "CanRead": true,
    "CanWrite": false,
    "MaskStrategy": "plain",
    "SemanticTypeIri": "urn:effortless:pko-extension#FieldGrant",
    "Name": "principal-knowledge-authority -&gt; ProcedureStatusChanges.Motivation",
    "FieldTable": "ProcedureStatusChanges",
    "FieldName": "Motivation",
    "FieldIsDerived": false,
    "IsWritableDerivedField": false,
    "IsMasked": false,
    "GrantKeyWhenReadable": "principal-knowledge-authority|ProcedureStatusChanges"
   },
   {
    "FieldGrantId": "fg-knowledge-authority-ProcedureStatusChanges.SemanticTypeIri",
    "Principal": "principal-knowledge-authority",
    "TargetField": "ProcedureStatusChanges.SemanticTypeIri",
    "CanRead": true,
    "CanWrite": false,
    "MaskStrategy": "plain",
    "SemanticTypeIri": "urn:effortless:pko-extension#FieldGrant",
    "Name": "principal-knowledge-authority -&gt; ProcedureStatusChanges.SemanticTypeIri",
    "FieldTable": "ProcedureStatusChanges",
    "FieldName": "SemanticTypeIri",
    "FieldIsDerived": false,
    "IsWritableDerivedField": false,
    "IsMasked": false,
    "GrantKeyWhenReadable": "principal-knowledge-authority|ProcedureStatusChanges"
   },
   {
    "FieldGrantId": "fg-knowledge-authority-ProcedureTypes.ProcedureTypeId",
    "Principal": "principal-knowledge-authority",
    "TargetField": "ProcedureTypes.ProcedureTypeId",
    "CanRead": true,
    "CanWrite": false,
    "MaskStrategy": "plain",
    "SemanticTypeIri": "urn:effortless:pko-extension#FieldGrant",
    "Name": "principal-knowledge-authority -&gt; ProcedureTypes.ProcedureTypeId",
    "FieldTable": "ProcedureTypes",
    "FieldName": "ProcedureTypeId",
    "FieldIsDerived": false,
    "IsWritableDerivedField": false,
    "IsMasked": false,
    "GrantKeyWhenReadable": "principal-knowledge-authority|ProcedureTypes"
   },
   {
    "FieldGrantId": "fg-knowledge-authority-ProcedureTypes.Name",
    "Principal": "principal-knowledge-authority",
    "TargetField": "ProcedureTypes.Name",
    "CanRead": true,
    "CanWrite": false,
    "MaskStrategy": "plain",
    "SemanticTypeIri": "urn:effortless:pko-extension#FieldGrant",
    "Name": "principal-knowledge-authority -&gt; ProcedureTypes.Name",
    "FieldTable": "ProcedureTypes",
    "FieldName": "Name",
    "FieldIsDerived": true,
    "IsWritableDerivedField": false,
    "IsMasked": false,
    "GrantKeyWhenReadable": "principal-knowledge-authority|ProcedureTypes"
   },
   {
    "FieldGrantId": "fg-knowledge-authority-ProcedureTypes.Label",
    "Principal": "principal-knowledge-authority",
    "TargetField": "ProcedureTypes.Label",
    "CanRead": true,
    "CanWrite": false,
    "MaskStrategy": "plain",
    "SemanticTypeIri": "urn:effortless:pko-extension#FieldGrant",
    "Name": "principal-knowledge-authority -&gt; ProcedureTypes.Label",
    "FieldTable": "ProcedureTypes",
    "FieldName": "Label",
    "FieldIsDerived": false,
    "IsWritableDerivedField": false,
    "IsMasked": false,
    "GrantKeyWhenReadable": "principal-knowledge-authority|ProcedureTypes"
   },
   {
    "FieldGrantId": "fg-knowledge-authority-ProcedureTypes.Definition",
    "Principal": "principal-knowledge-authority",
    "TargetField": "ProcedureTypes.Definition",
    "CanRead": true,
    "CanWrite": false,
    "MaskStrategy": "plain",
    "SemanticTypeIri": "urn:effortless:pko-extension#FieldGrant",
    "Name": "principal-knowledge-authority -&gt; ProcedureTypes.Definition",
    "FieldTable": "ProcedureTypes",
    "FieldName": "Definition",
    "FieldIsDerived": false,
    "IsWritableDerivedField": false,
    "IsMasked": false,
    "GrantKeyWhenReadable": "principal-knowledge-authority|ProcedureTypes"
   },
   {
    "FieldGrantId": "fg-knowledge-authority-ProcedureTypes.SemanticTypeIri",
    "Principal": "principal-knowledge-authority",
    "TargetField": "ProcedureTypes.SemanticTypeIri",
    "CanRead": true,
    "CanWrite": false,
    "MaskStrategy": "plain",
    "SemanticTypeIri": "urn:effortless:pko-extension#FieldGrant",
    "Name": "principal-knowledge-authority -&gt; ProcedureTypes.SemanticTypeIri",
    "FieldTable": "ProcedureTypes",
    "FieldName": "SemanticTypeIri",
    "FieldIsDerived": false,
    "IsWritableDerivedField": false,
    "IsMasked": false,
    "GrantKeyWhenReadable": "principal-knowledge-authority|ProcedureTypes"
   },
   {
    "FieldGrantId": "fg-knowledge-authority-ProcedureVersionLinks.ProcedureVersionLinkId",
    "Principal": "principal-knowledge-authority",
    "TargetField": "ProcedureVersionLinks.ProcedureVersionLinkId",
    "CanRead": true,
    "CanWrite": false,
    "MaskStrategy": "plain",
    "SemanticTypeIri": "urn:effortless:pko-extension#FieldGrant",
    "Name": "principal-knowledge-authority -&gt; ProcedureVersionLinks.ProcedureVersionLinkId",
    "FieldTable": "ProcedureVersionLinks",
    "FieldName": "ProcedureVersionLinkId",
    "FieldIsDerive</t>
  </si>
  <si>
    <t xml:space="preserve">d": false,
    "IsWritableDerivedField": false,
    "IsMasked": false,
    "GrantKeyWhenReadable": "principal-knowledge-authority|ProcedureVersionLinks"
   },
   {
    "FieldGrantId": "fg-knowledge-authority-ProcedureVersionLinks.Name",
    "Principal": "principal-knowledge-authority",
    "TargetField": "ProcedureVersionLinks.Name",
    "CanRead": true,
    "CanWrite": false,
    "MaskStrategy": "plain",
    "SemanticTypeIri": "urn:effortless:pko-extension#FieldGrant",
    "Name": "principal-knowledge-authority -&gt; ProcedureVersionLinks.Name",
    "FieldTable": "ProcedureVersionLinks",
    "FieldName": "Name",
    "FieldIsDerived": true,
    "IsWritableDerivedField": false,
    "IsMasked": false,
    "GrantKeyWhenReadable": "principal-knowledge-authority|ProcedureVersionLinks"
   },
   {
    "FieldGrantId": "fg-knowledge-authority-ProcedureVersionLinks.PreviousProcedureVersion",
    "Principal": "principal-knowledge-authority",
    "TargetField": "ProcedureVersionLinks.PreviousProcedureVersion",
    "CanRead": true,
    "CanWrite": false,
    "MaskStrategy": "plain",
    "SemanticTypeIri": "urn:effortless:pko-extension#FieldGrant",
    "Name": "principal-knowledge-authority -&gt; ProcedureVersionLinks.PreviousProcedureVersion",
    "FieldTable": "ProcedureVersionLinks",
    "FieldName": "PreviousProcedureVersion",
    "FieldIsDerived": false,
    "IsWritableDerivedField": false,
    "IsMasked": false,
    "GrantKeyWhenReadable": "principal-knowledge-authority|ProcedureVersionLinks"
   },
   {
    "FieldGrantId": "fg-knowledge-authority-ProcedureVersionLinks.NextProcedureVersion",
    "Principal": "principal-knowledge-authority",
    "TargetField": "ProcedureVersionLinks.NextProcedureVersion",
    "CanRead": true,
    "CanWrite": false,
    "MaskStrategy": "plain",
    "SemanticTypeIri": "urn:effortless:pko-extension#FieldGrant",
    "Name": "principal-knowledge-authority -&gt; ProcedureVersionLinks.NextProcedureVersion",
    "FieldTable": "ProcedureVersionLinks",
    "FieldName": "NextProcedureVersion",
    "FieldIsDerived": false,
    "IsWritableDerivedField": false,
    "IsMasked": false,
    "GrantKeyWhenReadable": "principal-knowledge-authority|ProcedureVersionLinks"
   },
   {
    "FieldGrantId": "fg-knowledge-authority-ProcedureVersionLinks.RelationIri",
    "Principal": "principal-knowledge-authority",
    "TargetField": "ProcedureVersionLinks.RelationIri",
    "CanRead": true,
    "CanWrite": false,
    "MaskStrategy": "plain",
    "SemanticTypeIri": "urn:effortless:pko-extension#FieldGrant",
    "Name": "principal-knowledge-authority -&gt; ProcedureVersionLinks.RelationIri",
    "FieldTable": "ProcedureVersionLinks",
    "FieldName": "RelationIri",
    "FieldIsDerived": false,
    "IsWritableDerivedField": false,
    "IsMasked": false,
    "GrantKeyWhenReadable": "principal-knowledge-authority|ProcedureVersionLinks"
   },
   {
    "FieldGrantId": "fg-knowledge-authority-ProcedureVersionLinks.ChangeSummary",
    "Principal": "principal-knowledge-authority",
    "TargetField": "ProcedureVersionLinks.ChangeSummary",
    "CanRead": true,
    "CanWrite": false,
    "MaskStrategy": "plain",
    "SemanticTypeIri": "urn:effortless:pko-extension#FieldGrant",
    "Name": "principal-knowledge-authority -&gt; ProcedureVersionLinks.ChangeSummary",
    "FieldTable": "ProcedureVersionLinks",
    "FieldName": "ChangeSummary",
    "FieldIsDerived": false,
    "IsWritableDerivedField": false,
    "IsMasked": false,
    "GrantKeyWhenReadable": "principal-knowledge-authority|ProcedureVersionLinks"
   },
   {
    "FieldGrantId": "fg-knowledge-authority-ProcedureVersionLinks.SupersededVersionKey",
    "Principal": "principal-knowledge-authority",
    "TargetField": "ProcedureVersionLinks.SupersededVersionKey",
    "CanRead": true,
    "CanWrite": false,
    "MaskStrategy": "plain",
    "SemanticTypeIri": "urn:effortless:pko-extension#FieldGrant",
    "Name": "principal-knowledge-authority -&gt; ProcedureVersionLinks.SupersededVersionKey",
    "FieldTable": "ProcedureVersionLinks",
    "FieldName": "SupersededVersionKey",
    "FieldIsDerived": true,
    "IsWritableDerivedField": false,
    "IsMasked": false,
    "GrantKeyWhenReadable": "principal-knowledge-authority|ProcedureVersionLinks"
   },
   {
    "FieldGrantId": "fg-knowledge-authority-ProcedureVersions.ProcedureVersionId",
    "Principal": "principal-knowledge-authority",
    "TargetField": "ProcedureVersions.ProcedureVersionId",
    "CanRead": true,
    "CanWrite": false,
    "MaskStrategy": "plain",
    "SemanticTypeIri": "urn:effortless:pko-extension#FieldGrant",
    "Name": "principal-knowledge-authority -&gt; ProcedureVersions.ProcedureVersionId",
    "FieldTable": "ProcedureVersions",
    "FieldName": "ProcedureVersionId",
    "FieldIsDerived": false,
    "IsWritableDerivedField": false,
    "IsMasked": false,
    "GrantKeyWhenReadable": "principal-knowledge-authority|ProcedureVersions"
   },
   {
    "FieldGrantId": "fg-knowledge-authority-ProcedureVersions.Name",
    "Principal": "principal-knowledge-authority",
    "TargetField": "ProcedureVersions.Name",
    "CanRead": true,
    "CanWrite": false,
    "MaskStrategy": "plain",
    "SemanticTypeIri": "urn:effortless:pko-extension#FieldGrant",
    "Name": "principal-knowledge-authority -&gt; ProcedureVersions.Name",
    "FieldTable": "ProcedureVersions",
    "FieldName": "Name",
    "FieldIsDerived": true,
    "IsWritableDerivedField": false,
    "IsMasked": false,
    "GrantKeyWhenReadable": "principal-knowledge-authority|ProcedureVersions"
   },
   {
    "FieldGrantId": "fg-knowledge-authority-ProcedureVersions.Procedure",
    "Principal": "principal-knowledge-authority",
    "TargetField": "ProcedureVersions.Procedure",
    "CanRead": true,
    "CanWrite": false,
    "MaskStrategy": "plain",
    "SemanticTypeIri": "urn:effortless:pko-extension#FieldGrant",
    "Name": "principal-knowledge-authority -&gt; ProcedureVersions.Procedure",
    "FieldTable": "ProcedureVersions",
    "FieldName": "Procedure",
    "FieldIsDerived": false,
    "IsWritableDerivedField": false,
    "IsMasked": false,
    "GrantKeyWhenReadable": "principal-knowledge-authority|ProcedureVersions"
   },
   {
    "FieldGrantId": "fg-knowledge-authority-ProcedureVersions.VersionNumber",
    "Principal": "principal-knowledge-authority",
    "TargetField": "ProcedureVersions.VersionNumber",
    "CanRead": true,
    "CanWrite": false,
    "MaskStrategy": "plain",
    "SemanticTypeIri": "urn:effortless:pko-extension#FieldGrant",
    "Name": "principal-knowledge-authority -&gt; ProcedureVersions.VersionNumber",
    "FieldTable": "ProcedureVersions",
    "FieldName": "VersionNumber",
    "FieldIsDerived": false,
    "IsWritableDerivedField": false,
    "IsMasked": false,
    "GrantKeyWhenReadable": "principal-knowledge-authority|ProcedureVersions"
   },
   {
    "FieldGrantId": "fg-knowledge-authority-ProcedureVersions.Title",
    "Principal": "principal-knowledge-authority",
    "TargetField": "ProcedureVersions.Title",
    "CanRead": true,
    "CanWrite": false,
    "MaskStrategy": "plain",
    "SemanticTypeIri": "urn:effortless:pko-extension#FieldGrant",
    "Name": "principal-knowledge-authority -&gt; ProcedureVersions.Title",
    "FieldTable": "ProcedureVersions",
    "FieldName": "Title",
    "FieldIsDerived": false,
    "IsWritableDerivedField": false,
    "IsMasked": false,
    "GrantKeyWhenReadable": "principal-knowledge-authority|ProcedureVersions"
   },
   {
    "FieldGrantId": "fg-knowledge-authority-ProcedureVersions.Status",
    "Principal": "principal-knowledge-authority",
    "TargetField": "ProcedureVersions.Status",
    "CanRead": true,
    "CanWrite": false,
    "MaskStrategy": "plain",
    "SemanticTypeIri": "urn:effortless:pko-extension#FieldGrant",
    "Name": "principal-knowledge-authority -&gt; ProcedureVersions.Status",
    "FieldTable": "ProcedureVersions",
    "FieldName": "Status",
    "FieldIsDerived": false,
    "IsWritableDerivedField": false,
    "IsMasked": false,
    "GrantKeyWhenReadable": "principal-knowledge-authority|ProcedureVersions"
   },
   {
    "FieldGrantId": "fg-knowledge-authority-ProcedureVersions.IssuedAt",
    "Principal": "principal-knowledge-authority",
    "TargetField": "ProcedureVersions.IssuedAt",
    "CanRead": true,
    "CanWrite": false,
    "MaskStrategy": "plain",
    "SemanticTypeIri": "urn:effortless:pko-extension#FieldGrant",
    "Name": "principal-knowledge-authority -&gt; ProcedureVersions.IssuedAt",
    "FieldTable": "ProcedureVersions",
    "FieldName": "IssuedAt",
    "FieldIsDerived": false,
    "IsWritableDerivedField": false,
    "IsMasked": false,
    "GrantKeyWhenReadable": "principal-knowledge-authority|ProcedureVersions"
   },
   {
    "FieldGrantId": "fg-knowledge-authority-ProcedureVersions.ModifiedAt",
    "Principal": "principal-knowledge-authority",
    "TargetField": "ProcedureVersions.ModifiedAt",
    "CanRead": true,
    "CanWrite": false,
    "MaskStrategy": "plain",
    "SemanticTypeIri": "urn:effortless:pko-extension#FieldGrant",
    "Name": "principal-knowledge-authority -&gt; ProcedureVersions.ModifiedAt",
    "FieldTable": "ProcedureVersions",
    "FieldName": "ModifiedAt",
    "FieldIsDerived": false,
    "IsWritableDerivedField": false,
    "IsMasked": false,
    "GrantKeyWhenReadable": "principal-knowledge-authority|ProcedureVersions"
   },
   {
    "FieldGrantId": "fg-knowledge-authority-ProcedureVersions.CreatedByAgent",
    "Principal": "principal-knowledge-authority",
    "TargetField": "ProcedureVersions.CreatedByAgent",
    "CanRead": true,
    "CanWrite": false,
    "MaskStrategy": "plain",
    "SemanticTypeIri": "urn:effortless:pko-extension#FieldGrant",
    "Name": "principal-knowledge-authority -&gt; ProcedureVersions.CreatedByAgent",
    "FieldTable": "ProcedureVersions",
    "FieldName": "CreatedByAgent",
    "FieldIsDerived": false,
    "IsWritableDerivedField": false,
    "IsMasked": false,
    "GrantKeyWhenReadable": "principal-knowledge-authority|ProcedureVersions"
   },
   {
    "FieldGrantId": "fg-knowledge-authority-ProcedureVersions.ModifiedByAgent",
    "Principal": "principal-knowledge-authority",
    "TargetField": "ProcedureVersions.ModifiedByAgent",
    "CanRead": true,
    "CanWrite": false,
    "MaskStrategy": "plain",
    "SemanticTypeIri": "urn:effortless:pko-extension#FieldGrant",
    "Name": "principal-knowledge-authority -&gt; ProcedureVersions.ModifiedByAgent",
    "FieldTable": "ProcedureVersions",
    "FieldName": "ModifiedByAgent",
    "FieldIsDerived": false,
    "IsWritableDerivedField": false,
    "IsMasked": false,
    "GrantKeyWhenReadable": "principal-knowledge-authority|ProcedureVersions"
   },
   {
    "FieldGrantId": "fg-knowledge-authority-ProcedureVersions.NewVersionMotivation",
    "Principal": "principal-knowledge-authority",
    "TargetField": "ProcedureVersions.NewVersionMotivation",
    "CanRead": true,
    "CanWrite": false,
    "MaskStrategy": "plain",
    "SemanticTypeIri": "urn:effortless:pko-extension#FieldGrant",
    "Name": "principal-knowledge-authority -&gt; ProcedureVersions.NewVersionMotivation",
    "FieldTable": "ProcedureVersions",
    "FieldName": "NewVersionMotivation",
    "FieldIsDerived": false,
    "IsWritableDerivedField": false,
    "IsMasked": false,
    "GrantKeyWhenReadable": "principal-knowledge-authority|ProcedureVersions"
   },
   {
    "FieldGrantId": "fg-knowledge-authority-ProcedureVersions.ChangelogDescription",
    "Principal": "principal-knowledge-authority",
    "TargetField": "ProcedureVersions.ChangelogDescription",
    "CanRead": true,
    "CanWrite": false,
    "MaskStrategy": "plain",
    "SemanticTypeIri": "urn:effortless:pko-extension#FieldGrant",
    "Name": "principal-knowledge-authority -&gt; ProcedureVersions.ChangelogDescription",
    "FieldTable": "ProcedureVersions",
    "FieldName": "ChangelogDescription",
    "FieldIsDerived": false,
    "IsWritableDerivedField": false,
    "IsMasked": false,
    "GrantKeyWhenReadable": "principal-knowledge-authority|ProcedureVersions"
   },
   {
    "FieldGrantId": "fg-knowledge-authority-ProcedureVersions.IsCurrent",
    "Principal": "principal-knowledge-authority",
    "TargetField": "ProcedureVersions.IsCurrent",
    "CanRead": true,
    "CanWrite": false,
    "MaskStrategy": "plain",
    "SemanticTypeIri": "urn:effortless:pko-extension#FieldGrant",
    "Name": "principal-knowledge-authority -&gt; ProcedureVersions.IsCurrent",
    "FieldTable": "ProcedureVersions",
    "FieldName": "IsCurrent",
    "FieldIsDerived": false,
    "IsWritableDerivedField": false,
    "IsMasked": false,
    "GrantKeyWhenReadable": "principal-knowledge-authority|ProcedureVersions"
   },
   {
    "FieldGrantId": "fg-knowledge-authority-ProcedureVersions.CountOfSteps",
    "Principal": "principal-knowledge-authority",
    "TargetField": "ProcedureVersions.CountOfSteps",
    "CanRead": true,
    "CanWrite": false,
    "MaskStrategy": "plain",
    "SemanticTypeIri": "urn:effortless:pko-extension#FieldGrant",
    "Name": "principal-knowledge-authority -&gt; ProcedureVersions.CountOfSteps",
    "FieldTable": "ProcedureVersions",
    "FieldName": "CountOfSteps",
    "FieldIsDerived": true,
    "IsWritableDerivedField": false,
    "IsMasked": false,
    "GrantKeyWhenReadable": "principal-knowledge-authority|ProcedureVersions"
   },
   {
    "FieldGrantId": "fg-knowledge-authority-ProcedureVersions.CountOfOpenKnowledgeGaps",
    "Principal": "principal-knowledge-authority",
    "TargetField": "ProcedureVersions.CountOfOpenKnowledgeGaps",
    "CanRead": true,
    "CanWrite": false,
    "MaskStrategy": "plain",
    "SemanticTypeIri": "urn:effortless:pko-extension#FieldGrant",
    "Name": "principal-knowledge-authority -&gt; ProcedureVersions.CountOfOpenKnowledgeGaps",
    "FieldTable": "ProcedureVersions",
    "FieldName": "CountOfOpenKnowledgeGaps",
    "FieldIsDerived": true,
    "IsWritableDerivedField": false,
    "IsMasked": false,
    "GrantKeyWhenReadable": "principal-knowledge-authority|ProcedureVersions"
   },
   {
    "FieldGrantId": "fg-knowledge-authority-ProcedureVersions.IsReadyForExecution",
    "Principal": "principal-knowledge-authority",
    "TargetField": "ProcedureVersions.IsReadyForExecution",
    "CanRead": true,
    "CanWrite": false,
    "MaskStrategy": "plain",
    "SemanticTypeIri": "urn:effortless:pko-extension#FieldGrant",
    "Name": "principal-knowledge-authority -&gt; ProcedureVersions.IsReadyForExecution",
    "FieldTable": "ProcedureVersions",
    "FieldName": "IsReadyForExecution",
    "FieldIsDerived": true,
    "IsWritableDerivedField": false,
    "IsMasked": false,
    "GrantKeyWhenReadable": "principal-knowledge-authority|ProcedureVersions"
   },
   {
    "FieldGrantId": "fg-knowledge-authority-ProcedureVersions.SpecifiedStepCount",
    "Principal": "principal-knowledge-authority",
    "TargetField": "ProcedureVersions.SpecifiedStepCount",
    "CanRead": true,
    "CanWrite": false,
    "MaskStrategy": "plain",
    "SemanticTypeIri": "urn:effortless:pko-extension#FieldGrant",
    "Name": "principal-knowledge-authority -&gt; ProcedureVersions.SpecifiedStepCount",
    "FieldTable": "ProcedureVersions",
    "FieldName": "SpecifiedStepCount",
    "FieldIsDerived": true,
    "IsWritableDerivedField": false,
    "IsMasked": false,
    "GrantKeyWhenReadable": "principal-knowledge-authority|ProcedureVersions"
   },
   {
    "FieldGrantId": "fg-knowledge-authority-ProcedureVersions.OverdueReviewCount",
    "Principal": "principal-knowledge-authority",
    "TargetField": "ProcedureVersions.OverdueReviewCount",
    "CanRead": true,
    "CanWrite": false,
    "MaskStrategy": "plain",
    "SemanticTypeIri": "urn:effortless:pko-extension#FieldGrant",
    "Name": "principal-knowledge-authority -&gt; ProcedureVersions.OverdueReviewCount",
    "FieldTable": "ProcedureVersions",
    "FieldName": "OverdueReviewCount",
    "FieldIsDerived": true,
    "IsWritableDerivedField": false,
    "IsMasked": false,
    "GrantKeyWhenReadable": "principal-knowledge-authority|ProcedureVersions"
   },
   {
    "FieldGrantId": "fg-knowledge-authority-ProcedureVersions.OpenChangeRequestCount",
    "Principal": "principal-knowledge-authority",
    "TargetField": "ProcedureVersions.OpenChangeRequestCount",
    "CanRead": true,
    "CanWrite": false,
    "MaskStrategy": "plain",
    "SemanticTypeIri": "urn:effortless:pko-extension#FieldGrant",
    "Name": "principal-knowledge-authority -&gt; ProcedureVersions.OpenChangeRequestCount",
    "FieldTable": "ProcedureVersions",
    "FieldName": "OpenChangeRequestCount",
    "FieldIsDerived": true,
    "IsWritableDerivedField": false,
    "IsMasked": false,
    "GrantKeyWhenReadable": "principal-knowledge-authority|ProcedureVersions"
   },
   {
    "FieldGrantId": "fg-knowledge-authority-ProcedureVersions.OpenHighSeverityGapCount",
    "Principal": "principal-knowledge-authority",
    "TargetField": "ProcedureVersions.OpenHighSeverityGapCount",
    "CanRead": true,
    "CanWrite": false,
    "MaskStrategy": "plain",
    "SemanticTypeIri": "urn:effortless:pko-extension#FieldGrant",
    "Name": "principal-knowledge-authority -&gt; ProcedureVersions.OpenHighSeverityGapCount",
    "FieldTable": "ProcedureVersions",
    "FieldName": "OpenHighSeverityGapCount",
    "FieldIsDerived": true,
    "IsWritableDerivedField": false,
    "IsMasked": false,
    "GrantKeyWhenReadable": "principal-knowledge-authority|ProcedureVersions"
   },
   {
    "FieldGrantId": "fg-knowledge-authority-ProcedureVersions.IsFitToExecute",
    "Principal": "principal-knowledge-authority",
    "TargetField": "ProcedureVersions.IsFitToExecute",
    "CanRead": true,
    "CanWrite": false,
    "MaskStrategy": "plain",
    "SemanticTypeIri": "urn:effortless:pko-extension#FieldGrant",
    "Name": "principal-knowledge-authority -&gt; ProcedureVersions.IsFitToExecute",
    "FieldTable": "ProcedureVersions",
    "FieldName": "IsFitToExecute",
    "FieldIsDerived": true,
    "IsWritableDerivedField": false,
    "IsMasked": false,
    "GrantKeyWhenReadable": "principal-knowledge-authority|ProcedureVersions"
   },
   {
    "FieldGrantId": "fg-knowledge-authority-ProcedureVersions.StewardReviewCadenceDays",
    "Principal": "principal-knowledge-authority",
    "TargetField": "ProcedureVersions.StewardReviewCadenceDays",
    "CanRead": true,
    "CanWrite": false,
    "MaskStrategy": "plain",
    "SemanticTypeIri": "urn:effortless:pko-extension#FieldGrant",
    "Name": "principal-knowledge-authority -&gt; ProcedureVersions.StewardReviewCadenceDays",
    "FieldTable": "ProcedureVersions",
    "FieldName": "StewardReviewCadenceDays",
    "FieldIsDerived": true,
    "IsWritableDerivedField": false,
    "IsMasked": false,
    "GrantKeyWhenReadable": "principal-knowledge-authority|ProcedureVersions"
   },
   {
    "FieldGrantId": "fg-knowledge-authority-ProcedureVersions.CountOfStewardshipAssignments",
    "Principal": "principal-knowledge-authority",
    "TargetField": "ProcedureVersions.CountOfStewardshipAssignments",
    "CanRead": true,
    "CanWrite": false,
    "MaskStrategy": "plain",
    "SemanticTypeIri": "urn:effortless:pko-extension#FieldGrant",
    "Name": "principal-knowledge-authority -&gt; ProcedureVersions.CountOfStewardshipAssignments",
    "FieldTable": "ProcedureVersions",
    "FieldName": "CountOfStewardshipAssignments",
    "FieldIsDerived": true,
    "IsWritableDerivedField": false,
    "IsMasked": false,
    "GrantKeyWhenReadable": "principal-knowledge-authority|ProcedureVersions"
   },
   {
    "FieldGrantId": "fg-knowledge-authority-ProcedureVersions.HasAnySteward",
    "Principal": "principal-knowledge-authority",
    "TargetField": "ProcedureVersions.HasAnySteward",
    "CanRead": true,
    "CanWrite": false,
    "MaskStrategy": "plain",
    "SemanticTypeIri": "urn:effortless:pko-extension#FieldGrant",
    "Name": "principal-knowledge-authority -&gt; ProcedureVersions.HasAnySteward",
    "FieldTable": "ProcedureVersions",
    "FieldName": "HasAnySteward",
    "FieldIsDerived": true,
    "IsWritableDerivedField": false,
    "IsMasked": false,
    "GrantKeyWhenReadable": "principal-knowledge-authority|ProcedureVersions"
   },
   {
    "FieldGrantId": "fg-knowledge-authority-ProcedureVersions.IsLive",
    "Principal": "principal-knowledge-authority",
    "TargetField": "ProcedureVersions.IsLive",
    "CanRead": true,
    "CanWrite": false,
    "MaskStrategy": "plain",
    "SemanticTypeIri": "urn:effortless:pko-extension#FieldGrant",
    "Name": "principal-knowledge-authority -&gt; ProcedureVersions.IsLive",
    "FieldTable": "ProcedureVersions",
    "FieldName": "IsLive",
    "FieldIsDerived": true,
    "IsWritableDerivedField": false,
    "IsMasked": false,
    "GrantKeyWhenReadable": "principal-knowledge-authority|ProcedureVersions"
   },
   {
    "FieldGrantId": "fg-knowledge-authority-ProcedureVersions.IsUnstewarded",
    "Principal": "principal-knowledge-authority",
    "TargetField": "ProcedureVersions.IsUnstewarded",
    "CanRead": true,
    "CanWrite": false,
    "MaskStrategy": "plain",
    "SemanticTypeIri": "urn:effortless:pko-extension#FieldGrant",
    "Name": "principal-knowledge-authority -&gt; ProcedureVersions.IsUnstewarded",
    "FieldTable": "ProcedureVersions",
    "FieldName": "IsUnstewarded",
    "FieldIsDerived": true,
    "IsWritableDerivedField": false,
    "IsMasked": false,
    "GrantKeyWhenReadable": "principal-knowledge-authority|ProcedureVersions"
   },
   {
    "FieldGrantId": "fg-knowledge-authority-ProcedureVersions.IsLiveAndUnstewarded",
    "Principal": "principal-knowledge-authority",
    "TargetField": "ProcedureVersions.IsLiveAndUnstewarded",
    "CanRead": true,
    "CanWrite": false,
    "MaskStrategy": "plain",
    "SemanticTypeIri": "urn:effortless:pko-extension#FieldGrant",
    "Name": "principal-knowledge-authority -&gt; ProcedureVersions.IsLiveAndUnstewarded",
    "FieldTable": "ProcedureVersions",
    "FieldName": "IsLiveAndUnstewarded",
    "FieldIsDerived": true,
    "IsWritableDerivedField": false,
    "IsMasked": false,
    "GrantKeyWhenReadable": "principal-knowledge-authority|ProcedureVersions"
   },
   {
    "FieldGrantId": "fg-knowledge-authority-ProcedureVersions.CountOfOpenBlockingGaps",
    "Principal": "principal-knowledge-authority",
    "TargetField": "ProcedureVersions.CountOfOpenBlockingGaps",
    "CanRead": true,
    "CanWrite": false,
    "MaskStrategy": "plain",
    "SemanticTypeIri": "urn:effortless:pko-extension#FieldGrant",
    "Name": "principal-knowledge-authority -&gt; ProcedureVersions.CountOfOpenBlockingGaps",
    "FieldTable": "ProcedureVersions",
    "FieldName": "CountOfOpenBlockingGaps",
    "FieldIsDerived": true,
    "IsWritableDerivedField": false,
    "IsMasked": false,
    "GrantKeyWhenReadable": "principal-knowledge-authority|ProcedureVersions"
   },
   {
    "FieldGrantId": "fg-knowledge-authority-ProcedureVersions.HasOpenBlockingGap",
    "Principal": "principal-knowledge-authority",
    "TargetField": "ProcedureVersions.HasOpenBlockingGap",
    "CanRead": true,
    "CanWrite": false,
    "MaskStrategy": "plain",
    "SemanticTypeIri": "urn:effortless:pko-extension#FieldGrant",
    "Name": "principal-knowledge-authority -&gt; ProcedureVersions.HasOpenBlockingGap",
    "FieldTable": "ProcedureVersions",
    "FieldName": "HasOpenBlockingGap",
    "FieldIsDerived": true,
    "IsWritableDerivedField": false,
    "IsMasked": false,
    "GrantKeyWhenReadable": "principal-knowledge-authority|ProcedureVersions"
   },
   {
    "FieldGrantId": "fg-knowledge-authority-ProcedureVersions.IsLiveWithBlockingGap",
    "Principal": "principal-knowledge-authority",
    "TargetField": "ProcedureVersions.IsLiveWithBlockingGap",
    "CanRead": true,
    "CanWrite": false,
    "MaskStrategy": "plain",
    "SemanticTypeIri": "urn:effortless:pko-extension#FieldGrant",
    "Name": "principal-knowledge-authority -&gt; ProcedureVersions.IsLiveWithBlockingGap",
    "FieldTable": "ProcedureVersions",
    "FieldName": "IsLiveWithBlockingGap",
    "FieldIsDerived": true,
    "IsWritableDerivedField": false,
    "IsMasked": false,
    "GrantKeyWhenReadable": "principal-knowledge-authority|ProcedureVersions"
   },
   {
    "FieldGrantId": "fg-knowledge-authority-ProcedureVersions.ShouldNotBeExecutable",
    "Principal": "principal-knowledge-authority",
    "TargetField": "ProcedureVersions.ShouldNotBeExecutable",
    "CanRead": true,
    "CanWrite": false,
    "MaskStrategy": "plain",
    "SemanticTypeIri": "urn:effortless:pko-extension#FieldGrant",
    "Name": "principal-knowledge-authority -&gt; ProcedureVersions.ShouldNotBeExecutable",
    "FieldTable": "ProcedureVersions",
    "FieldName": "ShouldNotBeExecutable",
    "FieldIsDerived": true,
    "IsWritableDerivedField": false,
    "IsMasked": false,
    "GrantKeyWhenReadable": "principal-knowledge-authority|ProcedureVersions"
   },
   {
    "FieldGrantId": "fg-knowledge-authority-ProcedureVersions.CountOfUnapprovedRelianceFragments",
    "Principal": "principal-knowledge-authority",
    "TargetField": "ProcedureVersions.CountOfUnapprovedRelianceFragments",
    "CanRead": true,
    "CanWrite": false,
    "MaskStrategy": "plain",
    "SemanticTypeIri": "urn:effortless:pko-extension#FieldGrant",
    "Name": "principal-knowledge-authority -&gt; ProcedureVersions.CountOfUnapprovedRelianceFragments",
    "FieldTable": "ProcedureVersions",
    "FieldName": "CountOfUnapprovedRelianceFragments",
    "FieldIsDerived": true,
    "IsWritableDerivedField": false,
    "IsMasked": false,
    "GrantKeyWhenReadable": "principal-knowledge-authority|ProcedureVersions"
   },
   {
    "FieldGrantId": "fg-knowledge-authority-ProcedureVersions.RunsOnUnapprovedKnowledge",
    "Principal": "principal-knowledge-authority",
    "TargetField": "ProcedureVersions.RunsOnUnapprovedKnowledge",
    "CanRead": true,
    "CanWrite": false,
    "MaskStrategy": "plain",
    "SemanticTypeIri": "urn:effortless:pko-extension#FieldGrant",
    "Name": "principal-knowledge-authority -&gt; ProcedureVersions.RunsOnUnapprovedKnowledge",
    "FieldTable": "ProcedureVersions",
    "FieldName": "RunsOnUnapprovedKnowledge",
    "FieldIsDerived": true,
    "IsWritableDerivedField": false,
    "IsMasked": false,
    "GrantKeyWhenReadable": "principal-knowledge-authority|ProcedureVersions"
   },
   {
    "FieldGrantId": "fg-knowledge-authority-ProcedureVersions.CountOfOverdueGaps",
    "Principal": "principal-knowledge-authority",
    "TargetField": "ProcedureVersions.CountOfOverdueGaps",
    "CanRead": true,
    "CanWrite": false,
    "MaskStrategy": "plain",
    "SemanticTypeIri": "urn:effortless:pko-extension#FieldGrant",
    "Name": "principal-knowledge-authority -&gt; ProcedureVersions.CountOfOverdueGaps",
    "FieldTable": "ProcedureVersions",
    "FieldName": "CountOfOverdueGaps",
    "FieldIsDerived": true,
    "IsWritableDerivedField": false,
    "IsMasked": false,
    "GrantKeyWhenReadable": "principal-knowledge-authority|ProcedureVersions"
   },
   {
    "FieldGrantId": "fg-knowledge-authority-ProcedureVersions.CountOfChangeRequests",
    "Principal": "principal-knowledge-authority",
    "TargetField": "ProcedureVersions.CountOfChangeRequests",
    "CanRead": true,
    "CanWrite": false,
    "MaskStrategy": "plain",
    "SemanticTypeIri": "urn:effortless:pko-extension#FieldGrant",
    "Name": "principal-knowledge-authority -&gt; ProcedureVersions.CountOfChangeRequests",
    "FieldTable": "ProcedureVersions",
    "FieldName": "CountOfChangeRequests",
    "FieldIsDerived": true,
    "IsWritableDerivedField": false,
    "IsMasked": false,
    "GrantKeyWhenReadable": "principal-knowledge-authority|ProcedureVersions"
   },
   {
    "FieldGrantId": "fg-knowledge-authority-ProcedureVersions.CountOfReviewEvents",
    "Principal": "principal-knowledge-authority",
    "TargetField": "ProcedureVersions.CountOfReviewEvents",
    "CanRead": true,
    "CanWrite": false,
    "MaskStrategy": "plain",
    "SemanticTypeIri": "urn:effortless:pko-extension#FieldGrant",
    "Name": "principal-knowledge-authority -&gt; ProcedureVersions.CountOfReviewEvents",
    "FieldTable": "ProcedureVersions",
    "FieldName": "CountOfReviewEvents",
    "FieldIsDerived": true,
    "IsWritableDerivedField": false,
    "IsMasked": false,
    "GrantKeyWhenReadable": "principal-knowledge-authority|ProcedureVersions"
   },
   {
    "FieldGrantId": "fg-knowledge-authority-ProcedureVersions.HasGovernanceRecord",
    "Principal": "principal-knowledge-authority",
    "TargetField": "ProcedureVersions.HasGovernanceRecord",
    "CanRead": true,
    "CanWrite": false,
    "MaskStrategy": "plain",
    "SemanticTypeIri": "urn:effortless:pko-extension#FieldGrant",
    "Name": "principal-knowledge-authority -&gt; ProcedureVersions.HasGovernanceRecord",
    "FieldTable": "ProcedureVersions",
    "FieldName": "HasGovernanceRecord",
    "FieldIsDerived": true,
    "IsWritableDerivedField": false,
    "IsMasked": false,
    "GrantKeyWhenReadable": "principal-knowledge-authority|ProcedureVersions"
   },
   {
    "FieldGrantId": "fg-knowledge-authority-ProcedureVersions.EvaluationContext",
    "Principal": "principal-knowledge-authority",
    "TargetField": "ProcedureVersions.EvaluationContext",
    "CanRead": true,
    "CanWrite": false,
    "MaskStrategy": "plain",
    "SemanticTypeIri": "urn:effortless:pko-extension#FieldGrant",
    "Name": "principal-knowledge-authority -&gt; ProcedureVersions.EvaluationContext",
    "FieldTable": "ProcedureVersions",
    "FieldName": "EvaluationContext",
    "FieldIsDerived": false,
    "IsWritableDerivedField": false,
    "IsMasked": false,
    "GrantKeyWhenReadable": "principal-knowledge-authority|ProcedureVersions"
   },
   {
    "FieldGrantId": "fg-knowledge-authority-ProcedureVersions.AsOfInstant",
    "Principal": "principal-knowledge-authority",
    "TargetField": "ProcedureVersions.AsOfInstant",
    "CanRead": true,
    "CanWrite": false,
    "MaskStrategy": "plain",
    "SemanticTypeIri": "urn:effortless:pko-extension#FieldGrant",
    "Name": "principal-knowledge-authority -&gt; ProcedureVersions.AsOfInstant",
    "FieldTable": "ProcedureVersions",
    "FieldName": "AsOfInstant",
    "FieldIsDerived": true,
    "IsWritableDerivedField": false,
    "IsMasked": false,
    "GrantKeyWhenReadable": "principal-knowledge-authority|ProcedureVersions"
   },
   {
    "FieldGrantId": "fg-knowledge-authority-ProcedureVersions.DaysSinceModified",
    "Principal": "principal-knowledge-authority",
    "TargetField": "ProcedureVersions.DaysSinceModified",
    "CanRead": true,
    "CanWrite": false,
    "MaskStrategy": "plain",
    "SemanticTypeIri": "urn:effortless:pko-extension#FieldGrant",
    "Name": "principal-knowledge-authority -&gt; ProcedureVersions.DaysSinceModified",
    "FieldTable": "ProcedureVersions",
    "FieldName": "DaysSinceModified",
    "FieldIsDerived": true,
    "IsWritableDerivedField": false,
    "IsMasked": false,
    "GrantKeyWhenReadable": "principal-knowledge-authority|ProcedureVersions"
   },
   {
    "FieldGrantId": "fg-knowledge-authority-ProcedureVersions.DaysSinceLastReview",
    "Principal": "principal-knowledge-authority",
    "TargetField": "ProcedureVersions.DaysSinceLastReview",
    "CanRead": true,
    "CanWrite": false,
    "MaskStrategy": "plain",
    "SemanticTypeIri": "urn:effortless:pko-extension#FieldGrant",
    "Name": "principal-knowledge-authority -&gt; ProcedureVersions.DaysSinceLastReview",
    "FieldTable": "ProcedureVersions",
    "FieldName": "DaysSinceLastReview",
    "FieldIsDerived": true,
    "IsWritableDerivedField": false,
    "IsMasked": false,
    "GrantKeyWhenReadable": "principal-knowledge-authority|ProcedureVersions"
   },
   {
    "FieldGrantId": "fg-knowledge-authority-ProcedureVersions.WasModifiedSinceLastReview",
    "Principal": "principal-knowledge-authority",
    "TargetField": "ProcedureVersions.WasModifiedSinceLastReview",
    "CanRead": true,
    "CanWrite": false,
    "MaskStrategy": "plain",
    "SemanticTypeIri": "urn:effortless:pko-extension#FieldGrant",
    "Name": "principal-knowledge-authority -&gt; ProcedureVersions.WasModifiedSinceLastReview",
    "FieldTable": "ProcedureVersions",
    "FieldName": "WasModifiedSinceLastReview",
    "FieldIsDerived": true,
    "IsWritableDerivedField": false,
    "IsMasked": false,
    "GrantKeyWhenReadable": "principal-knowledge-authority|ProcedureVersions"
   },
   {
    "FieldGrantId": "fg-knowledge-authority-ProcedureVersions.ModifierIsAuthority",
    "Principal": "principal-knowledge-authority",
    "TargetField": "ProcedureVersions.ModifierIsAuthority",
    "CanRead": true,
    "CanWrite": false,
    "MaskStrategy": "plain",
    "SemanticTypeIri": "urn:effortless:pko-extension#FieldGrant",
    "Name": "principal-knowledge-authority -&gt; ProcedureVersions.ModifierIsAuthority",
    "FieldTable": "ProcedureVersions",
    "FieldName": "Modifi</t>
  </si>
  <si>
    <t xml:space="preserve">erIsAuthority",
    "FieldIsDerived": true,
    "IsWritableDerivedField": false,
    "IsMasked": false,
    "GrantKeyWhenReadable": "principal-knowledge-authority|ProcedureVersions"
   },
   {
    "FieldGrantId": "fg-knowledge-authority-ProcedureVersions.HasUnwitnessedChange",
    "Principal": "principal-knowledge-authority",
    "TargetField": "ProcedureVersions.HasUnwitnessedChange",
    "CanRead": true,
    "CanWrite": false,
    "MaskStrategy": "plain",
    "SemanticTypeIri": "urn:effortless:pko-extension#FieldGrant",
    "Name": "principal-knowledge-authority -&gt; ProcedureVersions.HasUnwitnessedChange",
    "FieldTable": "ProcedureVersions",
    "FieldName": "HasUnwitnessedChange",
    "FieldIsDerived": true,
    "IsWritableDerivedField": false,
    "IsMasked": false,
    "GrantKeyWhenReadable": "principal-knowledge-authority|ProcedureVersions"
   },
   {
    "FieldGrantId": "fg-knowledge-authority-ProcedureVersions.CountOfStaleFragments",
    "Principal": "principal-knowledge-authority",
    "TargetField": "ProcedureVersions.CountOfStaleFragments",
    "CanRead": true,
    "CanWrite": false,
    "MaskStrategy": "plain",
    "SemanticTypeIri": "urn:effortless:pko-extension#FieldGrant",
    "Name": "principal-knowledge-authority -&gt; ProcedureVersions.CountOfStaleFragments",
    "FieldTable": "ProcedureVersions",
    "FieldName": "CountOfStaleFragments",
    "FieldIsDerived": true,
    "IsWritableDerivedField": false,
    "IsMasked": false,
    "GrantKeyWhenReadable": "principal-knowledge-authority|ProcedureVersions"
   },
   {
    "FieldGrantId": "fg-knowledge-authority-ProcedureVersions.KnowledgeIsStalerThanCadence",
    "Principal": "principal-knowledge-authority",
    "TargetField": "ProcedureVersions.KnowledgeIsStalerThanCadence",
    "CanRead": true,
    "CanWrite": false,
    "MaskStrategy": "plain",
    "SemanticTypeIri": "urn:effortless:pko-extension#FieldGrant",
    "Name": "principal-knowledge-authority -&gt; ProcedureVersions.KnowledgeIsStalerThanCadence",
    "FieldTable": "ProcedureVersions",
    "FieldName": "KnowledgeIsStalerThanCadence",
    "FieldIsDerived": true,
    "IsWritableDerivedField": false,
    "IsMasked": false,
    "GrantKeyWhenReadable": "principal-knowledge-authority|ProcedureVersions"
   },
   {
    "FieldGrantId": "fg-knowledge-authority-ProcedureVersions.CompoundFragileFragmentCount",
    "Principal": "principal-knowledge-authority",
    "TargetField": "ProcedureVersions.CompoundFragileFragmentCount",
    "CanRead": true,
    "CanWrite": false,
    "MaskStrategy": "plain",
    "SemanticTypeIri": "urn:effortless:pko-extension#FieldGrant",
    "Name": "principal-knowledge-authority -&gt; ProcedureVersions.CompoundFragileFragmentCount",
    "FieldTable": "ProcedureVersions",
    "FieldName": "CompoundFragileFragmentCount",
    "FieldIsDerived": true,
    "IsWritableDerivedField": false,
    "IsMasked": false,
    "GrantKeyWhenReadable": "principal-knowledge-authority|ProcedureVersions"
   },
   {
    "FieldGrantId": "fg-knowledge-authority-ProcedureVersions.RestsOnCompoundFragileKnowledge",
    "Principal": "principal-knowledge-authority",
    "TargetField": "ProcedureVersions.RestsOnCompoundFragileKnowledge",
    "CanRead": true,
    "CanWrite": false,
    "MaskStrategy": "plain",
    "SemanticTypeIri": "urn:effortless:pko-extension#FieldGrant",
    "Name": "principal-knowledge-authority -&gt; ProcedureVersions.RestsOnCompoundFragileKnowledge",
    "FieldTable": "ProcedureVersions",
    "FieldName": "RestsOnCompoundFragileKnowledge",
    "FieldIsDerived": true,
    "IsWritableDerivedField": false,
    "IsMasked": false,
    "GrantKeyWhenReadable": "principal-knowledge-authority|ProcedureVersions"
   },
   {
    "FieldGrantId": "fg-knowledge-authority-ProcedureVersions.ConcentratedWitnessSessionCount",
    "Principal": "principal-knowledge-authority",
    "TargetField": "ProcedureVersions.ConcentratedWitnessSessionCount",
    "CanRead": true,
    "CanWrite": false,
    "MaskStrategy": "plain",
    "SemanticTypeIri": "urn:effortless:pko-extension#FieldGrant",
    "Name": "principal-knowledge-authority -&gt; ProcedureVersions.ConcentratedWitnessSessionCount",
    "FieldTable": "ProcedureVersions",
    "FieldName": "ConcentratedWitnessSessionCount",
    "FieldIsDerived": true,
    "IsWritableDerivedField": false,
    "IsMasked": false,
    "GrantKeyWhenReadable": "principal-knowledge-authority|ProcedureVersions"
   },
   {
    "FieldGrantId": "fg-knowledge-authority-ProcedureVersions.KnowledgeBaseIsConcentrated",
    "Principal": "principal-knowledge-authority",
    "TargetField": "ProcedureVersions.KnowledgeBaseIsConcentrated",
    "CanRead": true,
    "CanWrite": false,
    "MaskStrategy": "plain",
    "SemanticTypeIri": "urn:effortless:pko-extension#FieldGrant",
    "Name": "principal-knowledge-authority -&gt; ProcedureVersions.KnowledgeBaseIsConcentrated",
    "FieldTable": "ProcedureVersions",
    "FieldName": "KnowledgeBaseIsConcentrated",
    "FieldIsDerived": true,
    "IsWritableDerivedField": false,
    "IsMasked": false,
    "GrantKeyWhenReadable": "principal-knowledge-authority|ProcedureVersions"
   },
   {
    "FieldGrantId": "fg-knowledge-authority-ProcedureVersions.MachineConsumedUnapprovedCount",
    "Principal": "principal-knowledge-authority",
    "TargetField": "ProcedureVersions.MachineConsumedUnapprovedCount",
    "CanRead": true,
    "CanWrite": false,
    "MaskStrategy": "plain",
    "SemanticTypeIri": "urn:effortless:pko-extension#FieldGrant",
    "Name": "principal-knowledge-authority -&gt; ProcedureVersions.MachineConsumedUnapprovedCount",
    "FieldTable": "ProcedureVersions",
    "FieldName": "MachineConsumedUnapprovedCount",
    "FieldIsDerived": true,
    "IsWritableDerivedField": false,
    "IsMasked": false,
    "GrantKeyWhenReadable": "principal-knowledge-authority|ProcedureVersions"
   },
   {
    "FieldGrantId": "fg-knowledge-authority-ProcedureVersions.FeedsUnapprovedKnowledgeToMachines",
    "Principal": "principal-knowledge-authority",
    "TargetField": "ProcedureVersions.FeedsUnapprovedKnowledgeToMachines",
    "CanRead": true,
    "CanWrite": false,
    "MaskStrategy": "plain",
    "SemanticTypeIri": "urn:effortless:pko-extension#FieldGrant",
    "Name": "principal-knowledge-authority -&gt; ProcedureVersions.FeedsUnapprovedKnowledgeToMachines",
    "FieldTable": "ProcedureVersions",
    "FieldName": "FeedsUnapprovedKnowledgeToMachines",
    "FieldIsDerived": true,
    "IsWritableDerivedField": false,
    "IsMasked": false,
    "GrantKeyWhenReadable": "principal-knowledge-authority|ProcedureVersions"
   },
   {
    "FieldGrantId": "fg-knowledge-authority-ProcedureVersions.GenuinelyOverdueFragmentCount",
    "Principal": "principal-knowledge-authority",
    "TargetField": "ProcedureVersions.GenuinelyOverdueFragmentCount",
    "CanRead": true,
    "CanWrite": false,
    "MaskStrategy": "plain",
    "SemanticTypeIri": "urn:effortless:pko-extension#FieldGrant",
    "Name": "principal-knowledge-authority -&gt; ProcedureVersions.GenuinelyOverdueFragmentCount",
    "FieldTable": "ProcedureVersions",
    "FieldName": "GenuinelyOverdueFragmentCount",
    "FieldIsDerived": true,
    "IsWritableDerivedField": false,
    "IsMasked": false,
    "GrantKeyWhenReadable": "principal-knowledge-authority|ProcedureVersions"
   },
   {
    "FieldGrantId": "fg-knowledge-authority-ProcedureVersions.AwaitedDecisionCount",
    "Principal": "principal-knowledge-authority",
    "TargetField": "ProcedureVersions.AwaitedDecisionCount",
    "CanRead": true,
    "CanWrite": false,
    "MaskStrategy": "plain",
    "SemanticTypeIri": "urn:effortless:pko-extension#FieldGrant",
    "Name": "principal-knowledge-authority -&gt; ProcedureVersions.AwaitedDecisionCount",
    "FieldTable": "ProcedureVersions",
    "FieldName": "AwaitedDecisionCount",
    "FieldIsDerived": true,
    "IsWritableDerivedField": false,
    "IsMasked": false,
    "GrantKeyWhenReadable": "principal-knowledge-authority|ProcedureVersions"
   },
   {
    "FieldGrantId": "fg-knowledge-authority-ProcedureVersions.ScopedOpenBlockingGapCount",
    "Principal": "principal-knowledge-authority",
    "TargetField": "ProcedureVersions.ScopedOpenBlockingGapCount",
    "CanRead": true,
    "CanWrite": false,
    "MaskStrategy": "plain",
    "SemanticTypeIri": "urn:effortless:pko-extension#FieldGrant",
    "Name": "principal-knowledge-authority -&gt; ProcedureVersions.ScopedOpenBlockingGapCount",
    "FieldTable": "ProcedureVersions",
    "FieldName": "ScopedOpenBlockingGapCount",
    "FieldIsDerived": true,
    "IsWritableDerivedField": false,
    "IsMasked": false,
    "GrantKeyWhenReadable": "principal-knowledge-authority|ProcedureVersions"
   },
   {
    "FieldGrantId": "fg-knowledge-authority-ProcedureVersions.IsBlockedOnPendingDecision",
    "Principal": "principal-knowledge-authority",
    "TargetField": "ProcedureVersions.IsBlockedOnPendingDecision",
    "CanRead": true,
    "CanWrite": false,
    "MaskStrategy": "plain",
    "SemanticTypeIri": "urn:effortless:pko-extension#FieldGrant",
    "Name": "principal-knowledge-authority -&gt; ProcedureVersions.IsBlockedOnPendingDecision",
    "FieldTable": "ProcedureVersions",
    "FieldName": "IsBlockedOnPendingDecision",
    "FieldIsDerived": true,
    "IsWritableDerivedField": false,
    "IsMasked": false,
    "GrantKeyWhenReadable": "principal-knowledge-authority|ProcedureVersions"
   },
   {
    "FieldGrantId": "fg-knowledge-authority-ProcedureVersions.UnexercisedHumanGateCount",
    "Principal": "principal-knowledge-authority",
    "TargetField": "ProcedureVersions.UnexercisedHumanGateCount",
    "CanRead": true,
    "CanWrite": false,
    "MaskStrategy": "plain",
    "SemanticTypeIri": "urn:effortless:pko-extension#FieldGrant",
    "Name": "principal-knowledge-authority -&gt; ProcedureVersions.UnexercisedHumanGateCount",
    "FieldTable": "ProcedureVersions",
    "FieldName": "UnexercisedHumanGateCount",
    "FieldIsDerived": true,
    "IsWritableDerivedField": false,
    "IsMasked": false,
    "GrantKeyWhenReadable": "principal-knowledge-authority|ProcedureVersions"
   },
   {
    "FieldGrantId": "fg-knowledge-authority-ProcedureVersions.AiBoundaryIsUnevidenced",
    "Principal": "principal-knowledge-authority",
    "TargetField": "ProcedureVersions.AiBoundaryIsUnevidenced",
    "CanRead": true,
    "CanWrite": false,
    "MaskStrategy": "plain",
    "SemanticTypeIri": "urn:effortless:pko-extension#FieldGrant",
    "Name": "principal-knowledge-authority -&gt; ProcedureVersions.AiBoundaryIsUnevidenced",
    "FieldTable": "ProcedureVersions",
    "FieldName": "AiBoundaryIsUnevidenced",
    "FieldIsDerived": true,
    "IsWritableDerivedField": false,
    "IsMasked": false,
    "GrantKeyWhenReadable": "principal-knowledge-authority|ProcedureVersions"
   },
   {
    "FieldGrantId": "fg-knowledge-authority-ProcedureVersions.LoadBearingUnapprovedCount",
    "Principal": "principal-knowledge-authority",
    "TargetField": "ProcedureVersions.LoadBearingUnapprovedCount",
    "CanRead": true,
    "CanWrite": false,
    "MaskStrategy": "plain",
    "SemanticTypeIri": "urn:effortless:pko-extension#FieldGrant",
    "Name": "principal-knowledge-authority -&gt; ProcedureVersions.LoadBearingUnapprovedCount",
    "FieldTable": "ProcedureVersions",
    "FieldName": "LoadBearingUnapprovedCount",
    "FieldIsDerived": true,
    "IsWritableDerivedField": false,
    "IsMasked": false,
    "GrantKeyWhenReadable": "principal-knowledge-authority|ProcedureVersions"
   },
   {
    "FieldGrantId": "fg-knowledge-authority-ProcedureVersions.UnlandedDecisionCount",
    "Principal": "principal-knowledge-authority",
    "TargetField": "ProcedureVersions.UnlandedDecisionCount",
    "CanRead": true,
    "CanWrite": false,
    "MaskStrategy": "plain",
    "SemanticTypeIri": "urn:effortless:pko-extension#FieldGrant",
    "Name": "principal-knowledge-authority -&gt; ProcedureVersions.UnlandedDecisionCount",
    "FieldTable": "ProcedureVersions",
    "FieldName": "UnlandedDecisionCount",
    "FieldIsDerived": true,
    "IsWritableDerivedField": false,
    "IsMasked": false,
    "GrantKeyWhenReadable": "principal-knowledge-authority|ProcedureVersions"
   },
   {
    "FieldGrantId": "fg-knowledge-authority-ProcedureVersions.UnrehearsedControlEntryCount",
    "Principal": "principal-knowledge-authority",
    "TargetField": "ProcedureVersions.UnrehearsedControlEntryCount",
    "CanRead": true,
    "CanWrite": false,
    "MaskStrategy": "plain",
    "SemanticTypeIri": "urn:effortless:pko-extension#FieldGrant",
    "Name": "principal-knowledge-authority -&gt; ProcedureVersions.UnrehearsedControlEntryCount",
    "FieldTable": "ProcedureVersions",
    "FieldName": "UnrehearsedControlEntryCount",
    "FieldIsDerived": true,
    "IsWritableDerivedField": false,
    "IsMasked": false,
    "GrantKeyWhenReadable": "principal-knowledge-authority|ProcedureVersions"
   },
   {
    "FieldGrantId": "fg-knowledge-authority-ProcedureVersions.HasUnrehearsedControlEntry",
    "Principal": "principal-knowledge-authority",
    "TargetField": "ProcedureVersions.HasUnrehearsedControlEntry",
    "CanRead": true,
    "CanWrite": false,
    "MaskStrategy": "plain",
    "SemanticTypeIri": "urn:effortless:pko-extension#FieldGrant",
    "Name": "principal-knowledge-authority -&gt; ProcedureVersions.HasUnrehearsedControlEntry",
    "FieldTable": "ProcedureVersions",
    "FieldName": "HasUnrehearsedControlEntry",
    "FieldIsDerived": true,
    "IsWritableDerivedField": false,
    "IsMasked": false,
    "GrantKeyWhenReadable": "principal-knowledge-authority|ProcedureVersions"
   },
   {
    "FieldGrantId": "fg-knowledge-authority-ProcedureVersions.IsLiveWithUnrehearsedControl",
    "Principal": "principal-knowledge-authority",
    "TargetField": "ProcedureVersions.IsLiveWithUnrehearsedControl",
    "CanRead": true,
    "CanWrite": false,
    "MaskStrategy": "plain",
    "SemanticTypeIri": "urn:effortless:pko-extension#FieldGrant",
    "Name": "principal-knowledge-authority -&gt; ProcedureVersions.IsLiveWithUnrehearsedControl",
    "FieldTable": "ProcedureVersions",
    "FieldName": "IsLiveWithUnrehearsedControl",
    "FieldIsDerived": true,
    "IsWritableDerivedField": false,
    "IsMasked": false,
    "GrantKeyWhenReadable": "principal-knowledge-authority|ProcedureVersions"
   },
   {
    "FieldGrantId": "fg-knowledge-authority-ProcedureVersions.CadenceBreachCount",
    "Principal": "principal-knowledge-authority",
    "TargetField": "ProcedureVersions.CadenceBreachCount",
    "CanRead": true,
    "CanWrite": false,
    "MaskStrategy": "plain",
    "SemanticTypeIri": "urn:effortless:pko-extension#FieldGrant",
    "Name": "principal-knowledge-authority -&gt; ProcedureVersions.CadenceBreachCount",
    "FieldTable": "ProcedureVersions",
    "FieldName": "CadenceBreachCount",
    "FieldIsDerived": true,
    "IsWritableDerivedField": false,
    "IsMasked": false,
    "GrantKeyWhenReadable": "principal-knowledge-authority|ProcedureVersions"
   },
   {
    "FieldGrantId": "fg-knowledge-authority-ProcedureVersions.IsInCadenceBreach",
    "Principal": "principal-knowledge-authority",
    "TargetField": "ProcedureVersions.IsInCadenceBreach",
    "CanRead": true,
    "CanWrite": false,
    "MaskStrategy": "plain",
    "SemanticTypeIri": "urn:effortless:pko-extension#FieldGrant",
    "Name": "principal-knowledge-authority -&gt; ProcedureVersions.IsInCadenceBreach",
    "FieldTable": "ProcedureVersions",
    "FieldName": "IsInCadenceBreach",
    "FieldIsDerived": true,
    "IsWritableDerivedField": false,
    "IsMasked": false,
    "GrantKeyWhenReadable": "principal-knowledge-authority|ProcedureVersions"
   },
   {
    "FieldGrantId": "fg-knowledge-authority-ProcedureVersions.HasDecisionInFlight",
    "Principal": "principal-knowledge-authority",
    "TargetField": "ProcedureVersions.HasDecisionInFlight",
    "CanRead": true,
    "CanWrite": false,
    "MaskStrategy": "plain",
    "SemanticTypeIri": "urn:effortless:pko-extension#FieldGrant",
    "Name": "principal-knowledge-authority -&gt; ProcedureVersions.HasDecisionInFlight",
    "FieldTable": "ProcedureVersions",
    "FieldName": "HasDecisionInFlight",
    "FieldIsDerived": true,
    "IsWritableDerivedField": false,
    "IsMasked": false,
    "GrantKeyWhenReadable": "principal-knowledge-authority|ProcedureVersions"
   },
   {
    "FieldGrantId": "fg-knowledge-authority-ProcedureVersions.IsUnremediatedCadenceBreach",
    "Principal": "principal-knowledge-authority",
    "TargetField": "ProcedureVersions.IsUnremediatedCadenceBreach",
    "CanRead": true,
    "CanWrite": false,
    "MaskStrategy": "plain",
    "SemanticTypeIri": "urn:effortless:pko-extension#FieldGrant",
    "Name": "principal-knowledge-authority -&gt; ProcedureVersions.IsUnremediatedCadenceBreach",
    "FieldTable": "ProcedureVersions",
    "FieldName": "IsUnremediatedCadenceBreach",
    "FieldIsDerived": true,
    "IsWritableDerivedField": false,
    "IsMasked": false,
    "GrantKeyWhenReadable": "principal-knowledge-authority|ProcedureVersions"
   },
   {
    "FieldGrantId": "fg-knowledge-authority-ProcedureVersions.IsManagedCadenceBreach",
    "Principal": "principal-knowledge-authority",
    "TargetField": "ProcedureVersions.IsManagedCadenceBreach",
    "CanRead": true,
    "CanWrite": false,
    "MaskStrategy": "plain",
    "SemanticTypeIri": "urn:effortless:pko-extension#FieldGrant",
    "Name": "principal-knowledge-authority -&gt; ProcedureVersions.IsManagedCadenceBreach",
    "FieldTable": "ProcedureVersions",
    "FieldName": "IsManagedCadenceBreach",
    "FieldIsDerived": true,
    "IsWritableDerivedField": false,
    "IsMasked": false,
    "GrantKeyWhenReadable": "principal-knowledge-authority|ProcedureVersions"
   },
   {
    "FieldGrantId": "fg-knowledge-authority-ProcedureVersions.GovernanceIsSilent",
    "Principal": "principal-knowledge-authority",
    "TargetField": "ProcedureVersions.GovernanceIsSilent",
    "CanRead": true,
    "CanWrite": false,
    "MaskStrategy": "plain",
    "SemanticTypeIri": "urn:effortless:pko-extension#FieldGrant",
    "Name": "principal-knowledge-authority -&gt; ProcedureVersions.GovernanceIsSilent",
    "FieldTable": "ProcedureVersions",
    "FieldName": "GovernanceIsSilent",
    "FieldIsDerived": true,
    "IsWritableDerivedField": false,
    "IsMasked": false,
    "GrantKeyWhenReadable": "principal-knowledge-authority|ProcedureVersions"
   },
   {
    "FieldGrantId": "fg-knowledge-authority-ProcedureVersions.ValidFragmentCount",
    "Principal": "principal-knowledge-authority",
    "TargetField": "ProcedureVersions.ValidFragmentCount",
    "CanRead": true,
    "CanWrite": false,
    "MaskStrategy": "plain",
    "SemanticTypeIri": "urn:effortless:pko-extension#FieldGrant",
    "Name": "principal-knowledge-authority -&gt; ProcedureVersions.ValidFragmentCount",
    "FieldTable": "ProcedureVersions",
    "FieldName": "ValidFragmentCount",
    "FieldIsDerived": true,
    "IsWritableDerivedField": false,
    "IsMasked": false,
    "GrantKeyWhenReadable": "principal-knowledge-authority|ProcedureVersions"
   },
   {
    "FieldGrantId": "fg-knowledge-authority-ProcedureVersions.StillOwnsValidKnowledge",
    "Principal": "principal-knowledge-authority",
    "TargetField": "ProcedureVersions.StillOwnsValidKnowledge",
    "CanRead": true,
    "CanWrite": false,
    "MaskStrategy": "plain",
    "SemanticTypeIri": "urn:effortless:pko-extension#FieldGrant",
    "Name": "principal-knowledge-authority -&gt; ProcedureVersions.StillOwnsValidKnowledge",
    "FieldTable": "ProcedureVersions",
    "FieldName": "StillOwnsValidKnowledge",
    "FieldIsDerived": true,
    "IsWritableDerivedField": false,
    "IsMasked": false,
    "GrantKeyWhenReadable": "principal-knowledge-authority|ProcedureVersions"
   },
   {
    "FieldGrantId": "fg-knowledge-authority-ProcedureVersions.IncomingSupersessionCount",
    "Principal": "principal-knowledge-authority",
    "TargetField": "ProcedureVersions.IncomingSupersessionCount",
    "CanRead": true,
    "CanWrite": false,
    "MaskStrategy": "plain",
    "SemanticTypeIri": "urn:effortless:pko-extension#FieldGrant",
    "Name": "principal-knowledge-authority -&gt; ProcedureVersions.IncomingSupersessionCount",
    "FieldTable": "ProcedureVersions",
    "FieldName": "IncomingSupersessionCount",
    "FieldIsDerived": true,
    "IsWritableDerivedField": false,
    "IsMasked": false,
    "GrantKeyWhenReadable": "principal-knowledge-authority|ProcedureVersions"
   },
   {
    "FieldGrantId": "fg-knowledge-authority-ProcedureVersions.IsStillReferenced",
    "Principal": "principal-knowledge-authority",
    "TargetField": "ProcedureVersions.IsStillReferenced",
    "CanRead": true,
    "CanWrite": false,
    "MaskStrategy": "plain",
    "SemanticTypeIri": "urn:effortless:pko-extension#FieldGrant",
    "Name": "principal-knowledge-authority -&gt; ProcedureVersions.IsStillReferenced",
    "FieldTable": "ProcedureVersions",
    "FieldName": "IsStillReferenced",
    "FieldIsDerived": true,
    "IsWritableDerivedField": false,
    "IsMasked": false,
    "GrantKeyWhenReadable": "principal-knowledge-authority|ProcedureVersions"
   },
   {
    "FieldGrantId": "fg-knowledge-authority-ProcedureVersions.IsLoadBearingOrphan",
    "Principal": "principal-knowledge-authority",
    "TargetField": "ProcedureVersions.IsLoadBearingOrphan",
    "CanRead": true,
    "CanWrite": false,
    "MaskStrategy": "plain",
    "SemanticTypeIri": "urn:effortless:pko-extension#FieldGrant",
    "Name": "principal-knowledge-authority -&gt; ProcedureVersions.IsLoadBearingOrphan",
    "FieldTable": "ProcedureVersions",
    "FieldName": "IsLoadBearingOrphan",
    "FieldIsDerived": true,
    "IsWritableDerivedField": false,
    "IsMasked": false,
    "GrantKeyWhenReadable": "principal-knowledge-authority|ProcedureVersions"
   },
   {
    "FieldGrantId": "fg-knowledge-authority-ProcedureVersions.IsCleanlyRetired",
    "Principal": "principal-knowledge-authority",
    "TargetField": "ProcedureVersions.IsCleanlyRetired",
    "CanRead": true,
    "CanWrite": false,
    "MaskStrategy": "plain",
    "SemanticTypeIri": "urn:effortless:pko-extension#FieldGrant",
    "Name": "principal-knowledge-authority -&gt; ProcedureVersions.IsCleanlyRetired",
    "FieldTable": "ProcedureVersions",
    "FieldName": "IsCleanlyRetired",
    "FieldIsDerived": true,
    "IsWritableDerivedField": false,
    "IsMasked": false,
    "GrantKeyWhenReadable": "principal-knowledge-authority|ProcedureVersions"
   },
   {
    "FieldGrantId": "fg-knowledge-authority-ProcedureVersions.StalledImplementationCount",
    "Principal": "principal-knowledge-authority",
    "TargetField": "ProcedureVersions.StalledImplementationCount",
    "CanRead": true,
    "CanWrite": false,
    "MaskStrategy": "plain",
    "SemanticTypeIri": "urn:effortless:pko-extension#FieldGrant",
    "Name": "principal-knowledge-authority -&gt; ProcedureVersions.StalledImplementationCount",
    "FieldTable": "ProcedureVersions",
    "FieldName": "StalledImplementationCount",
    "FieldIsDerived": true,
    "IsWritableDerivedField": false,
    "IsMasked": false,
    "GrantKeyWhenReadable": "principal-knowledge-authority|ProcedureVersions"
   },
   {
    "FieldGrantId": "fg-knowledge-authority-ProcedureVersions.IsHeldUnfitByLandedDecisions",
    "Principal": "principal-knowledge-authority",
    "TargetField": "ProcedureVersions.IsHeldUnfitByLandedDecisions",
    "CanRead": true,
    "CanWrite": false,
    "MaskStrategy": "plain",
    "SemanticTypeIri": "urn:effortless:pko-extension#FieldGrant",
    "Name": "principal-knowledge-authority -&gt; ProcedureVersions.IsHeldUnfitByLandedDecisions",
    "FieldTable": "ProcedureVersions",
    "FieldName": "IsHeldUnfitByLandedDecisions",
    "FieldIsDerived": true,
    "IsWritableDerivedField": false,
    "IsMasked": false,
    "GrantKeyWhenReadable": "principal-knowledge-authority|ProcedureVersions"
   },
   {
    "FieldGrantId": "fg-knowledge-authority-ProcedureVersions.UndeclaredControlKindCount",
    "Principal": "principal-knowledge-authority",
    "TargetField": "ProcedureVersions.UndeclaredControlKindCount",
    "CanRead": true,
    "CanWrite": false,
    "MaskStrategy": "plain",
    "SemanticTypeIri": "urn:effortless:pko-extension#FieldGrant",
    "Name": "principal-knowledge-authority -&gt; ProcedureVersions.UndeclaredControlKindCount",
    "FieldTable": "ProcedureVersions",
    "FieldName": "UndeclaredControlKindCount",
    "FieldIsDerived": true,
    "IsWritableDerivedField": false,
    "IsMasked": false,
    "GrantKeyWhenReadable": "principal-knowledge-authority|ProcedureVersions"
   },
   {
    "FieldGrantId": "fg-knowledge-authority-ProcedureVersions.ControlTaxonomyIsIncomplete",
    "Principal": "principal-knowledge-authority",
    "TargetField": "ProcedureVersions.ControlTaxonomyIsIncomplete",
    "CanRead": true,
    "CanWrite": false,
    "MaskStrategy": "plain",
    "SemanticTypeIri": "urn:effortless:pko-extension#FieldGrant",
    "Name": "principal-knowledge-authority -&gt; ProcedureVersions.ControlTaxonomyIsIncomplete",
    "FieldTable": "ProcedureVersions",
    "FieldName": "ControlTaxonomyIsIncomplete",
    "FieldIsDerived": true,
    "IsWritableDerivedField": false,
    "IsMasked": false,
    "GrantKeyWhenReadable": "principal-knowledge-authority|ProcedureVersions"
   },
   {
    "FieldGrantId": "fg-knowledge-authority-ProcedureVersions.HasApprovedChangeRequest",
    "Principal": "principal-knowledge-authority",
    "TargetField": "ProcedureVersions.HasApprovedChangeRequest",
    "CanRead": true,
    "CanWrite": false,
    "MaskStrategy": "plain",
    "SemanticTypeIri": "urn:effortless:pko-extension#FieldGrant",
    "Name": "principal-knowledge-authority -&gt; ProcedureVersions.HasApprovedChangeRequest",
    "FieldTable": "ProcedureVersions",
    "FieldName": "HasApprovedChangeRequest",
    "FieldIsDerived": true,
    "IsWritableDerivedField": false,
    "IsMasked": false,
    "GrantKeyWhenReadable": "principal-knowledge-authority|ProcedureVersions"
   },
   {
    "FieldGrantId": "fg-knowledge-authority-ProcedureVersions.ApprovedChangeRequestCount",
    "Principal": "principal-knowledge-authority",
    "TargetField": "ProcedureVersions.ApprovedChangeRequestCount",
    "CanRead": true,
    "CanWrite": false,
    "MaskStrategy": "plain",
    "SemanticTypeIri": "urn:effortless:pko-extension#FieldGrant",
    "Name": "principal-knowledge-authority -&gt; ProcedureVersions.ApprovedChangeRequestCount",
    "FieldTable": "ProcedureVersions",
    "FieldName": "ApprovedChangeRequestCount",
    "FieldIsDerived": true,
    "IsWritableDerivedField": false,
    "IsMasked": false,
    "GrantKeyWhenReadable": "principal-knowledge-authority|ProcedureVersions"
   },
   {
    "FieldGrantId": "fg-knowledge-authority-ProcedureVersions.UnwatchedUnownedControlCount",
    "Principal": "principal-knowledge-authority",
    "TargetField": "ProcedureVersions.UnwatchedUnownedControlCount",
    "CanRead": true,
    "CanWrite": false,
    "MaskStrategy": "plain",
    "SemanticTypeIri": "urn:effortless:pko-extension#FieldGrant",
    "Name": "principal-knowledge-authority -&gt; ProcedureVersions.UnwatchedUnownedControlCount",
    "FieldTable": "ProcedureVersions",
    "FieldName": "UnwatchedUnownedControlCount",
    "FieldIsDerived": true,
    "IsWritableDerivedField": false,
    "IsMasked": false,
    "GrantKeyWhenReadable": "principal-knowledge-authority|ProcedureVersions"
   },
   {
    "FieldGrantId": "fg-knowledge-authority-ProcedureVersions.SemanticTypeIri",
    "Principal": "principal-knowledge-authority",
    "TargetField": "ProcedureVersions.SemanticTypeIri",
    "CanRead": true,
    "CanWrite": false,
    "MaskStrategy": "plain",
    "SemanticTypeIri": "urn:effortless:pko-extension#FieldGrant",
    "Name": "principal-knowledge-authority -&gt; ProcedureVersions.SemanticTypeIri",
    "FieldTable": "ProcedureVersions",
    "FieldName": "SemanticTypeIri",
    "FieldIsDerived": false,
    "IsWritableDerivedField": false,
    "IsMasked": false,
    "GrantKeyWhenReadable": "principal-knowledge-authority|ProcedureVersions"
   },
   {
    "FieldGrantId": "fg-knowledge-authority-Procedures.ProcedureId",
    "Principal": "principal-knowledge-authority",
    "TargetField": "Procedures.ProcedureId",
    "CanRead": true,
    "CanWrite": false,
    "MaskStrategy": "plain",
    "SemanticTypeIri": "urn:effortless:pko-extension#FieldGrant",
    "Name": "principal-knowledge-authority -&gt; Procedures.ProcedureId",
    "FieldTable": "Procedures",
    "FieldName": "ProcedureId",
    "FieldIsDerived": false,
    "IsWritableDerivedField": false,
    "IsMasked": false,
    "GrantKeyWhenReadable": "principal-knowledge-authority|Procedures"
   },
   {
    "FieldGrantId": "fg-knowledge-authority-Procedures.Name",
    "Principal": "principal-knowledge-authority",
    "TargetField": "Procedures.Name",
    "CanRead": true,
    "CanWrite": false,
    "MaskStrategy": "plain",
    "SemanticTypeIri": "urn:effortless:pko-extension#FieldGrant",
    "Name": "principal-knowledge-authority -&gt; Procedures.Name",
    "FieldTable": "Procedures",
    "FieldName": "Name",
    "FieldIsDerived": true,
    "IsWritableDerivedField": false,
    "IsMasked": false,
    "GrantKeyWhenReadable": "principal-knowledge-authority|Procedures"
   },
   {
    "FieldGrantId": "fg-knowledge-authority-Procedures.Title",
    "Principal": "principal-knowledge-authority",
    "TargetField": "Procedures.Title",
    "CanRead": true,
    "CanWrite": false,
    "MaskStrategy": "plain",
    "SemanticTypeIri": "urn:effortless:pko-extension#FieldGrant",
    "Name": "principal-knowledge-authority -&gt; Procedures.Title",
    "FieldTable": "Procedures",
    "FieldName": "Title",
    "FieldIsDerived": false,
    "IsWritableDerivedField": false,
    "IsMasked": false,
    "GrantKeyWhenReadable": "principal-knowledge-authority|Procedures"
   },
   {
    "FieldGrantId": "fg-knowledge-authority-Procedures.ProcedureType",
    "Principal": "principal-knowledge-authority",
    "TargetField": "Procedures.ProcedureType",
    "CanRead": true,
    "CanWrite": false,
    "MaskStrategy": "plain",
    "SemanticTypeIri": "urn:effortless:pko-extension#FieldGrant",
    "Name": "principal-knowledge-authority -&gt; Procedures.ProcedureType",
    "FieldTable": "Procedures",
    "FieldName": "ProcedureType",
    "FieldIsDerived": false,
    "IsWritableDerivedField": false,
    "IsMasked": false,
    "GrantKeyWhenReadable": "principal-knowledge-authority|Procedures"
   },
   {
    "FieldGrantId": "fg-knowledge-authority-Procedures.OwnerOrganization",
    "Principal": "principal-knowledge-authority",
    "TargetField": "Procedures.OwnerOrganization",
    "CanRead": true,
    "CanWrite": false,
    "MaskStrategy": "plain",
    "SemanticTypeIri": "urn:effortless:pko-extension#FieldGrant",
    "Name": "principal-knowledge-authority -&gt; Procedures.OwnerOrganization",
    "FieldTable": "Procedures",
    "FieldName": "OwnerOrganization",
    "FieldIsDerived": false,
    "IsWritableDerivedField": false,
    "IsMasked": false,
    "GrantKeyWhenReadable": "principal-knowledge-authority|Procedures"
   },
   {
    "FieldGrantId": "fg-knowledge-authority-Procedures.AdoptedByOrganization",
    "Principal": "principal-knowledge-authority",
    "TargetField": "Procedures.AdoptedByOrganization",
    "CanRead": true,
    "CanWrite": false,
    "MaskStrategy": "plain",
    "SemanticTypeIri": "urn:effortless:pko-extension#FieldGrant",
    "Name": "principal-knowledge-authority -&gt; Procedures.AdoptedByOrganization",
    "FieldTable": "Procedures",
    "FieldName": "AdoptedByOrganization",
    "FieldIsDerived": false,
    "IsWritableDerivedField": false,
    "IsMasked": false,
    "GrantKeyWhenReadable": "principal-knowledge-authority|Procedures"
   },
   {
    "FieldGrantId": "fg-knowledge-authority-Procedures.Purpose",
    "Principal": "principal-knowledge-authority",
    "TargetField": "Procedures.Purpose",
    "CanRead": true,
    "CanWrite": false,
    "MaskStrategy": "plain",
    "SemanticTypeIri": "urn:effortless:pko-extension#FieldGrant",
    "Name": "principal-knowledge-authority -&gt; Procedures.Purpose",
    "FieldTable": "Procedures",
    "FieldName": "Purpose",
    "FieldIsDerived": false,
    "IsWritableDerivedField": false,
    "IsMasked": false,
    "GrantKeyWhenReadable": "principal-knowledge-authority|Procedures"
   },
   {
    "FieldGrantId": "fg-knowledge-authority-Procedures.Target",
    "Principal": "principal-knowledge-authority",
    "TargetField": "Procedures.Target",
    "CanRead": true,
    "CanWrite": false,
    "MaskStrategy": "plain",
    "SemanticTypeIri": "urn:effortless:pko-extension#FieldGrant",
    "Name": "principal-knowledge-authority -&gt; Procedures.Target",
    "FieldTable": "Procedures",
    "FieldName": "Target",
    "FieldIsDerived": false,
    "IsWritableDerivedField": fa</t>
  </si>
  <si>
    <t xml:space="preserve">lse,
    "IsMasked": false,
    "GrantKeyWhenReadable": "principal-knowledge-authority|Procedures"
   },
   {
    "FieldGrantId": "fg-knowledge-authority-Procedures.IsTemplate",
    "Principal": "principal-knowledge-authority",
    "TargetField": "Procedures.IsTemplate",
    "CanRead": true,
    "CanWrite": false,
    "MaskStrategy": "plain",
    "SemanticTypeIri": "urn:effortless:pko-extension#FieldGrant",
    "Name": "principal-knowledge-authority -&gt; Procedures.IsTemplate",
    "FieldTable": "Procedures",
    "FieldName": "IsTemplate",
    "FieldIsDerived": false,
    "IsWritableDerivedField": false,
    "IsMasked": false,
    "GrantKeyWhenReadable": "principal-knowledge-authority|Procedures"
   },
   {
    "FieldGrantId": "fg-knowledge-authority-Procedures.CurrentVersionKey",
    "Principal": "principal-knowledge-authority",
    "TargetField": "Procedures.CurrentVersionKey",
    "CanRead": true,
    "CanWrite": false,
    "MaskStrategy": "plain",
    "SemanticTypeIri": "urn:effortless:pko-extension#FieldGrant",
    "Name": "principal-knowledge-authority -&gt; Procedures.CurrentVersionKey",
    "FieldTable": "Procedures",
    "FieldName": "CurrentVersionKey",
    "FieldIsDerived": false,
    "IsWritableDerivedField": false,
    "IsMasked": false,
    "GrantKeyWhenReadable": "principal-knowledge-authority|Procedures"
   },
   {
    "FieldGrantId": "fg-knowledge-authority-Procedures.SemanticTypeIri",
    "Principal": "principal-knowledge-authority",
    "TargetField": "Procedures.SemanticTypeIri",
    "CanRead": true,
    "CanWrite": false,
    "MaskStrategy": "plain",
    "SemanticTypeIri": "urn:effortless:pko-extension#FieldGrant",
    "Name": "principal-knowledge-authority -&gt; Procedures.SemanticTypeIri",
    "FieldTable": "Procedures",
    "FieldName": "SemanticTypeIri",
    "FieldIsDerived": false,
    "IsWritableDerivedField": false,
    "IsMasked": false,
    "GrantKeyWhenReadable": "principal-knowledge-authority|Procedures"
   },
   {
    "FieldGrantId": "fg-knowledge-authority-Rationales.RationaleId",
    "Principal": "principal-knowledge-authority",
    "TargetField": "Rationales.RationaleId",
    "CanRead": true,
    "CanWrite": false,
    "MaskStrategy": "plain",
    "SemanticTypeIri": "urn:effortless:pko-extension#FieldGrant",
    "Name": "principal-knowledge-authority -&gt; Rationales.RationaleId",
    "FieldTable": "Rationales",
    "FieldName": "RationaleId",
    "FieldIsDerived": false,
    "IsWritableDerivedField": false,
    "IsMasked": false,
    "GrantKeyWhenReadable": "principal-knowledge-authority|Rationales"
   },
   {
    "FieldGrantId": "fg-knowledge-authority-Rationales.Name",
    "Principal": "principal-knowledge-authority",
    "TargetField": "Rationales.Name",
    "CanRead": true,
    "CanWrite": false,
    "MaskStrategy": "plain",
    "SemanticTypeIri": "urn:effortless:pko-extension#FieldGrant",
    "Name": "principal-knowledge-authority -&gt; Rationales.Name",
    "FieldTable": "Rationales",
    "FieldName": "Name",
    "FieldIsDerived": true,
    "IsWritableDerivedField": false,
    "IsMasked": false,
    "GrantKeyWhenReadable": "principal-knowledge-authority|Rationales"
   },
   {
    "FieldGrantId": "fg-knowledge-authority-Rationales.ProcedureVersion",
    "Principal": "principal-knowledge-authority",
    "TargetField": "Rationales.ProcedureVersion",
    "CanRead": true,
    "CanWrite": false,
    "MaskStrategy": "plain",
    "SemanticTypeIri": "urn:effortless:pko-extension#FieldGrant",
    "Name": "principal-knowledge-authority -&gt; Rationales.ProcedureVersion",
    "FieldTable": "Rationales",
    "FieldName": "ProcedureVersion",
    "FieldIsDerived": false,
    "IsWritableDerivedField": false,
    "IsMasked": false,
    "GrantKeyWhenReadable": "principal-knowledge-authority|Rationales"
   },
   {
    "FieldGrantId": "fg-knowledge-authority-Rationales.Step",
    "Principal": "principal-knowledge-authority",
    "TargetField": "Rationales.Step",
    "CanRead": true,
    "CanWrite": false,
    "MaskStrategy": "plain",
    "SemanticTypeIri": "urn:effortless:pko-extension#FieldGrant",
    "Name": "principal-knowledge-authority -&gt; Rationales.Step",
    "FieldTable": "Rationales",
    "FieldName": "Step",
    "FieldIsDerived": false,
    "IsWritableDerivedField": false,
    "IsMasked": false,
    "GrantKeyWhenReadable": "principal-knowledge-authority|Rationales"
   },
   {
    "FieldGrantId": "fg-knowledge-authority-Rationales.Title",
    "Principal": "principal-knowledge-authority",
    "TargetField": "Rationales.Title",
    "CanRead": true,
    "CanWrite": false,
    "MaskStrategy": "plain",
    "SemanticTypeIri": "urn:effortless:pko-extension#FieldGrant",
    "Name": "principal-knowledge-authority -&gt; Rationales.Title",
    "FieldTable": "Rationales",
    "FieldName": "Title",
    "FieldIsDerived": false,
    "IsWritableDerivedField": false,
    "IsMasked": false,
    "GrantKeyWhenReadable": "principal-knowledge-authority|Rationales"
   },
   {
    "FieldGrantId": "fg-knowledge-authority-Rationales.Statement",
    "Principal": "principal-knowledge-authority",
    "TargetField": "Rationales.Statement",
    "CanRead": true,
    "CanWrite": false,
    "MaskStrategy": "plain",
    "SemanticTypeIri": "urn:effortless:pko-extension#FieldGrant",
    "Name": "principal-knowledge-authority -&gt; Rationales.Statement",
    "FieldTable": "Rationales",
    "FieldName": "Statement",
    "FieldIsDerived": false,
    "IsWritableDerivedField": false,
    "IsMasked": false,
    "GrantKeyWhenReadable": "principal-knowledge-authority|Rationales"
   },
   {
    "FieldGrantId": "fg-knowledge-authority-Rationales.Status",
    "Principal": "principal-knowledge-authority",
    "TargetField": "Rationales.Status",
    "CanRead": true,
    "CanWrite": false,
    "MaskStrategy": "plain",
    "SemanticTypeIri": "urn:effortless:pko-extension#FieldGrant",
    "Name": "principal-knowledge-authority -&gt; Rationales.Status",
    "FieldTable": "Rationales",
    "FieldName": "Status",
    "FieldIsDerived": false,
    "IsWritableDerivedField": false,
    "IsMasked": false,
    "GrantKeyWhenReadable": "principal-knowledge-authority|Rationales"
   },
   {
    "FieldGrantId": "fg-knowledge-authority-Rationales.AuthorityRole",
    "Principal": "principal-knowledge-authority",
    "TargetField": "Rationales.AuthorityRole",
    "CanRead": true,
    "CanWrite": false,
    "MaskStrategy": "plain",
    "SemanticTypeIri": "urn:effortless:pko-extension#FieldGrant",
    "Name": "principal-knowledge-authority -&gt; Rationales.AuthorityRole",
    "FieldTable": "Rationales",
    "FieldName": "AuthorityRole",
    "FieldIsDerived": false,
    "IsWritableDerivedField": false,
    "IsMasked": false,
    "GrantKeyWhenReadable": "principal-knowledge-authority|Rationales"
   },
   {
    "FieldGrantId": "fg-knowledge-authority-Rationales.SemanticTypeIri",
    "Principal": "principal-knowledge-authority",
    "TargetField": "Rationales.SemanticTypeIri",
    "CanRead": true,
    "CanWrite": false,
    "MaskStrategy": "plain",
    "SemanticTypeIri": "urn:effortless:pko-extension#FieldGrant",
    "Name": "principal-knowledge-authority -&gt; Rationales.SemanticTypeIri",
    "FieldTable": "Rationales",
    "FieldName": "SemanticTypeIri",
    "FieldIsDerived": false,
    "IsWritableDerivedField": false,
    "IsMasked": false,
    "GrantKeyWhenReadable": "principal-knowledge-authority|Rationales"
   },
   {
    "FieldGrantId": "fg-knowledge-authority-Recipients.RecipientId",
    "Principal": "principal-knowledge-authority",
    "TargetField": "Recipients.RecipientId",
    "CanRead": true,
    "CanWrite": false,
    "MaskStrategy": "plain",
    "SemanticTypeIri": "urn:effortless:pko-extension#FieldGrant",
    "Name": "principal-knowledge-authority -&gt; Recipients.RecipientId",
    "FieldTable": "Recipients",
    "FieldName": "RecipientId",
    "FieldIsDerived": false,
    "IsWritableDerivedField": false,
    "IsMasked": false,
    "GrantKeyWhenReadable": "principal-knowledge-authority|Recipients"
   },
   {
    "FieldGrantId": "fg-knowledge-authority-Recipients.Name",
    "Principal": "principal-knowledge-authority",
    "TargetField": "Recipients.Name",
    "CanRead": true,
    "CanWrite": false,
    "MaskStrategy": "plain",
    "SemanticTypeIri": "urn:effortless:pko-extension#FieldGrant",
    "Name": "principal-knowledge-authority -&gt; Recipients.Name",
    "FieldTable": "Recipients",
    "FieldName": "Name",
    "FieldIsDerived": true,
    "IsWritableDerivedField": false,
    "IsMasked": false,
    "GrantKeyWhenReadable": "principal-knowledge-authority|Recipients"
   },
   {
    "FieldGrantId": "fg-knowledge-authority-Recipients.DisplayName",
    "Principal": "principal-knowledge-authority",
    "TargetField": "Recipients.DisplayName",
    "CanRead": true,
    "CanWrite": false,
    "MaskStrategy": "plain",
    "SemanticTypeIri": "urn:effortless:pko-extension#FieldGrant",
    "Name": "principal-knowledge-authority -&gt; Recipients.DisplayName",
    "FieldTable": "Recipients",
    "FieldName": "DisplayName",
    "FieldIsDerived": false,
    "IsWritableDerivedField": false,
    "IsMasked": false,
    "GrantKeyWhenReadable": "principal-knowledge-authority|Recipients"
   },
   {
    "FieldGrantId": "fg-knowledge-authority-Recipients.Organization",
    "Principal": "principal-knowledge-authority",
    "TargetField": "Recipients.Organization",
    "CanRead": true,
    "CanWrite": false,
    "MaskStrategy": "plain",
    "SemanticTypeIri": "urn:effortless:pko-extension#FieldGrant",
    "Name": "principal-knowledge-authority -&gt; Recipients.Organization",
    "FieldTable": "Recipients",
    "FieldName": "Organization",
    "FieldIsDerived": false,
    "IsWritableDerivedField": false,
    "IsMasked": false,
    "GrantKeyWhenReadable": "principal-knowledge-authority|Recipients"
   },
   {
    "FieldGrantId": "fg-knowledge-authority-Recipients.EmailAddress",
    "Principal": "principal-knowledge-authority",
    "TargetField": "Recipients.EmailAddress",
    "CanRead": true,
    "CanWrite": false,
    "MaskStrategy": "plain",
    "SemanticTypeIri": "urn:effortless:pko-extension#FieldGrant",
    "Name": "principal-knowledge-authority -&gt; Recipients.EmailAddress",
    "FieldTable": "Recipients",
    "FieldName": "EmailAddress",
    "FieldIsDerived": false,
    "IsWritableDerivedField": false,
    "IsMasked": false,
    "GrantKeyWhenReadable": "principal-knowledge-authority|Recipients"
   },
   {
    "FieldGrantId": "fg-knowledge-authority-Recipients.MobileNumber",
    "Principal": "principal-knowledge-authority",
    "TargetField": "Recipients.MobileNumber",
    "CanRead": true,
    "CanWrite": false,
    "MaskStrategy": "plain",
    "SemanticTypeIri": "urn:effortless:pko-extension#FieldGrant",
    "Name": "principal-knowledge-authority -&gt; Recipients.MobileNumber",
    "FieldTable": "Recipients",
    "FieldName": "MobileNumber",
    "FieldIsDerived": false,
    "IsWritableDerivedField": false,
    "IsMasked": false,
    "GrantKeyWhenReadable": "principal-knowledge-authority|Recipients"
   },
   {
    "FieldGrantId": "fg-knowledge-authority-Recipients.SmsConsentStatus",
    "Principal": "principal-knowledge-authority",
    "TargetField": "Recipients.SmsConsentStatus",
    "CanRead": true,
    "CanWrite": false,
    "MaskStrategy": "plain",
    "SemanticTypeIri": "urn:effortless:pko-extension#FieldGrant",
    "Name": "principal-knowledge-authority -&gt; Recipients.SmsConsentStatus",
    "FieldTable": "Recipients",
    "FieldName": "SmsConsentStatus",
    "FieldIsDerived": false,
    "IsWritableDerivedField": false,
    "IsMasked": false,
    "GrantKeyWhenReadable": "principal-knowledge-authority|Recipients"
   },
   {
    "FieldGrantId": "fg-knowledge-authority-Recipients.SmsConsentAt",
    "Principal": "principal-knowledge-authority",
    "TargetField": "Recipients.SmsConsentAt",
    "CanRead": true,
    "CanWrite": false,
    "MaskStrategy": "plain",
    "SemanticTypeIri": "urn:effortless:pko-extension#FieldGrant",
    "Name": "principal-knowledge-authority -&gt; Recipients.SmsConsentAt",
    "FieldTable": "Recipients",
    "FieldName": "SmsConsentAt",
    "FieldIsDerived": false,
    "IsWritableDerivedField": false,
    "IsMasked": false,
    "GrantKeyWhenReadable": "principal-knowledge-authority|Recipients"
   },
   {
    "FieldGrantId": "fg-knowledge-authority-Recipients.ConsentBinding",
    "Principal": "principal-knowledge-authority",
    "TargetField": "Recipients.ConsentBinding",
    "CanRead": true,
    "CanWrite": false,
    "MaskStrategy": "plain",
    "SemanticTypeIri": "urn:effortless:pko-extension#FieldGrant",
    "Name": "principal-knowledge-authority -&gt; Recipients.ConsentBinding",
    "FieldTable": "Recipients",
    "FieldName": "ConsentBinding",
    "FieldIsDerived": false,
    "IsWritableDerivedField": false,
    "IsMasked": false,
    "GrantKeyWhenReadable": "principal-knowledge-authority|Recipients"
   },
   {
    "FieldGrantId": "fg-knowledge-authority-Recipients.HasSmsConsent",
    "Principal": "principal-knowledge-authority",
    "TargetField": "Recipients.HasSmsConsent",
    "CanRead": true,
    "CanWrite": false,
    "MaskStrategy": "plain",
    "SemanticTypeIri": "urn:effortless:pko-extension#FieldGrant",
    "Name": "principal-knowledge-authority -&gt; Recipients.HasSmsConsent",
    "FieldTable": "Recipients",
    "FieldName": "HasSmsConsent",
    "FieldIsDerived": true,
    "IsWritableDerivedField": false,
    "IsMasked": false,
    "GrantKeyWhenReadable": "principal-knowledge-authority|Recipients"
   },
   {
    "FieldGrantId": "fg-knowledge-authority-Recipients.IsEmailReachable",
    "Principal": "principal-knowledge-authority",
    "TargetField": "Recipients.IsEmailReachable",
    "CanRead": true,
    "CanWrite": false,
    "MaskStrategy": "plain",
    "SemanticTypeIri": "urn:effortless:pko-extension#FieldGrant",
    "Name": "principal-knowledge-authority -&gt; Recipients.IsEmailReachable",
    "FieldTable": "Recipients",
    "FieldName": "IsEmailReachable",
    "FieldIsDerived": true,
    "IsWritableDerivedField": false,
    "IsMasked": false,
    "GrantKeyWhenReadable": "principal-knowledge-authority|Recipients"
   },
   {
    "FieldGrantId": "fg-knowledge-authority-Recipients.IsSmsReachable",
    "Principal": "principal-knowledge-authority",
    "TargetField": "Recipients.IsSmsReachable",
    "CanRead": true,
    "CanWrite": false,
    "MaskStrategy": "plain",
    "SemanticTypeIri": "urn:effortless:pko-extension#FieldGrant",
    "Name": "principal-knowledge-authority -&gt; Recipients.IsSmsReachable",
    "FieldTable": "Recipients",
    "FieldName": "IsSmsReachable",
    "FieldIsDerived": true,
    "IsWritableDerivedField": false,
    "IsMasked": false,
    "GrantKeyWhenReadable": "principal-knowledge-authority|Recipients"
   },
   {
    "FieldGrantId": "fg-knowledge-authority-Recipients.IsUnreachable",
    "Principal": "principal-knowledge-authority",
    "TargetField": "Recipients.IsUnreachable",
    "CanRead": true,
    "CanWrite": false,
    "MaskStrategy": "plain",
    "SemanticTypeIri": "urn:effortless:pko-extension#FieldGrant",
    "Name": "principal-knowledge-authority -&gt; Recipients.IsUnreachable",
    "FieldTable": "Recipients",
    "FieldName": "IsUnreachable",
    "FieldIsDerived": true,
    "IsWritableDerivedField": false,
    "IsMasked": false,
    "GrantKeyWhenReadable": "principal-knowledge-authority|Recipients"
   },
   {
    "FieldGrantId": "fg-knowledge-authority-Recipients.IsCommunicationallyStranded",
    "Principal": "principal-knowledge-authority",
    "TargetField": "Recipients.IsCommunicationallyStranded",
    "CanRead": true,
    "CanWrite": false,
    "MaskStrategy": "plain",
    "SemanticTypeIri": "urn:effortless:pko-extension#FieldGrant",
    "Name": "principal-knowledge-authority -&gt; Recipients.IsCommunicationallyStranded",
    "FieldTable": "Recipients",
    "FieldName": "IsCommunicationallyStranded",
    "FieldIsDerived": true,
    "IsWritableDerivedField": false,
    "IsMasked": false,
    "GrantKeyWhenReadable": "principal-knowledge-authority|Recipients"
   },
   {
    "FieldGrantId": "fg-knowledge-authority-Recipients.SemanticTypeIri",
    "Principal": "principal-knowledge-authority",
    "TargetField": "Recipients.SemanticTypeIri",
    "CanRead": true,
    "CanWrite": false,
    "MaskStrategy": "plain",
    "SemanticTypeIri": "urn:effortless:pko-extension#FieldGrant",
    "Name": "principal-knowledge-authority -&gt; Recipients.SemanticTypeIri",
    "FieldTable": "Recipients",
    "FieldName": "SemanticTypeIri",
    "FieldIsDerived": false,
    "IsWritableDerivedField": false,
    "IsMasked": false,
    "GrantKeyWhenReadable": "principal-knowledge-authority|Recipients"
   },
   {
    "FieldGrantId": "fg-knowledge-authority-RequirementSatisfactions.RequirementSatisfactionId",
    "Principal": "principal-knowledge-authority",
    "TargetField": "RequirementSatisfactions.RequirementSatisfactionId",
    "CanRead": true,
    "CanWrite": false,
    "MaskStrategy": "plain",
    "SemanticTypeIri": "urn:effortless:pko-extension#FieldGrant",
    "Name": "principal-knowledge-authority -&gt; RequirementSatisfactions.RequirementSatisfactionId",
    "FieldTable": "RequirementSatisfactions",
    "FieldName": "RequirementSatisfactionId",
    "FieldIsDerived": false,
    "IsWritableDerivedField": false,
    "IsMasked": false,
    "GrantKeyWhenReadable": "principal-knowledge-authority|RequirementSatisfactions"
   },
   {
    "FieldGrantId": "fg-knowledge-authority-RequirementSatisfactions.Name",
    "Principal": "principal-knowledge-authority",
    "TargetField": "RequirementSatisfactions.Name",
    "CanRead": true,
    "CanWrite": false,
    "MaskStrategy": "plain",
    "SemanticTypeIri": "urn:effortless:pko-extension#FieldGrant",
    "Name": "principal-knowledge-authority -&gt; RequirementSatisfactions.Name",
    "FieldTable": "RequirementSatisfactions",
    "FieldName": "Name",
    "FieldIsDerived": true,
    "IsWritableDerivedField": false,
    "IsMasked": false,
    "GrantKeyWhenReadable": "principal-knowledge-authority|RequirementSatisfactions"
   },
   {
    "FieldGrantId": "fg-knowledge-authority-RequirementSatisfactions.StepExecution",
    "Principal": "principal-knowledge-authority",
    "TargetField": "RequirementSatisfactions.StepExecution",
    "CanRead": true,
    "CanWrite": false,
    "MaskStrategy": "plain",
    "SemanticTypeIri": "urn:effortless:pko-extension#FieldGrant",
    "Name": "principal-knowledge-authority -&gt; RequirementSatisfactions.StepExecution",
    "FieldTable": "RequirementSatisfactions",
    "FieldName": "StepExecution",
    "FieldIsDerived": false,
    "IsWritableDerivedField": false,
    "IsMasked": false,
    "GrantKeyWhenReadable": "principal-knowledge-authority|RequirementSatisfactions"
   },
   {
    "FieldGrantId": "fg-knowledge-authority-RequirementSatisfactions.Requirement",
    "Principal": "principal-knowledge-authority",
    "TargetField": "RequirementSatisfactions.Requirement",
    "CanRead": true,
    "CanWrite": false,
    "MaskStrategy": "plain",
    "SemanticTypeIri": "urn:effortless:pko-extension#FieldGrant",
    "Name": "principal-knowledge-authority -&gt; RequirementSatisfactions.Requirement",
    "FieldTable": "RequirementSatisfactions",
    "FieldName": "Requirement",
    "FieldIsDerived": false,
    "IsWritableDerivedField": false,
    "IsMasked": false,
    "GrantKeyWhenReadable": "principal-knowledge-authority|RequirementSatisfactions"
   },
   {
    "FieldGrantId": "fg-knowledge-authority-RequirementSatisfactions.SatisfactionLevel",
    "Principal": "principal-knowledge-authority",
    "TargetField": "RequirementSatisfactions.SatisfactionLevel",
    "CanRead": true,
    "CanWrite": false,
    "MaskStrategy": "plain",
    "SemanticTypeIri": "urn:effortless:pko-extension#FieldGrant",
    "Name": "principal-knowledge-authority -&gt; RequirementSatisfactions.SatisfactionLevel",
    "FieldTable": "RequirementSatisfactions",
    "FieldName": "SatisfactionLevel",
    "FieldIsDerived": false,
    "IsWritableDerivedField": false,
    "IsMasked": false,
    "GrantKeyWhenReadable": "principal-knowledge-authority|RequirementSatisfactions"
   },
   {
    "FieldGrantId": "fg-knowledge-authority-RequirementSatisfactions.Evidence",
    "Principal": "principal-knowledge-authority",
    "TargetField": "RequirementSatisfactions.Evidence",
    "CanRead": true,
    "CanWrite": false,
    "MaskStrategy": "plain",
    "SemanticTypeIri": "urn:effortless:pko-extension#FieldGrant",
    "Name": "principal-knowledge-authority -&gt; RequirementSatisfactions.Evidence",
    "FieldTable": "RequirementSatisfactions",
    "FieldName": "Evidence",
    "FieldIsDerived": false,
    "IsWritableDerivedField": false,
    "IsMasked": false,
    "GrantKeyWhenReadable": "principal-knowledge-authority|RequirementSatisfactions"
   },
   {
    "FieldGrantId": "fg-knowledge-authority-RequirementSatisfactions.EvaluatedByAgent",
    "Principal": "principal-knowledge-authority",
    "TargetField": "RequirementSatisfactions.EvaluatedByAgent",
    "CanRead": true,
    "CanWrite": false,
    "MaskStrategy": "plain",
    "SemanticTypeIri": "urn:effortless:pko-extension#FieldGrant",
    "Name": "principal-knowledge-authority -&gt; RequirementSatisfactions.EvaluatedByAgent",
    "FieldTable": "RequirementSatisfactions",
    "FieldName": "EvaluatedByAgent",
    "FieldIsDerived": false,
    "IsWritableDerivedField": false,
    "IsMasked": false,
    "GrantKeyWhenReadable": "principal-knowledge-authority|RequirementSatisfactions"
   },
   {
    "FieldGrantId": "fg-knowledge-authority-RequirementSatisfactions.EvaluatedAt",
    "Principal": "principal-knowledge-authority",
    "TargetField": "RequirementSatisfactions.EvaluatedAt",
    "CanRead": true,
    "CanWrite": false,
    "MaskStrategy": "plain",
    "SemanticTypeIri": "urn:effortless:pko-extension#FieldGrant",
    "Name": "principal-knowledge-authority -&gt; RequirementSatisfactions.EvaluatedAt",
    "FieldTable": "RequirementSatisfactions",
    "FieldName": "EvaluatedAt",
    "FieldIsDerived": false,
    "IsWritableDerivedField": false,
    "IsMasked": false,
    "GrantKeyWhenReadable": "principal-knowledge-authority|RequirementSatisfactions"
   },
   {
    "FieldGrantId": "fg-knowledge-authority-RequirementSatisfactions.RequirementIsBlocking",
    "Principal": "principal-knowledge-authority",
    "TargetField": "RequirementSatisfactions.RequirementIsBlocking",
    "CanRead": true,
    "CanWrite": false,
    "MaskStrategy": "plain",
    "SemanticTypeIri": "urn:effortless:pko-extension#FieldGrant",
    "Name": "principal-knowledge-authority -&gt; RequirementSatisfactions.RequirementIsBlocking",
    "FieldTable": "RequirementSatisfactions",
    "FieldName": "RequirementIsBlocking",
    "FieldIsDerived": true,
    "IsWritableDerivedField": false,
    "IsMasked": false,
    "GrantKeyWhenReadable": "principal-knowledge-authority|RequirementSatisfactions"
   },
   {
    "FieldGrantId": "fg-knowledge-authority-RequirementSatisfactions.IsFullySatisfied",
    "Principal": "principal-knowledge-authority",
    "TargetField": "RequirementSatisfactions.IsFullySatisfied",
    "CanRead": true,
    "CanWrite": false,
    "MaskStrategy": "plain",
    "SemanticTypeIri": "urn:effortless:pko-extension#FieldGrant",
    "Name": "principal-knowledge-authority -&gt; RequirementSatisfactions.IsFullySatisfied",
    "FieldTable": "RequirementSatisfactions",
    "FieldName": "IsFullySatisfied",
    "FieldIsDerived": true,
    "IsWritableDerivedField": false,
    "IsMasked": false,
    "GrantKeyWhenReadable": "principal-knowledge-authority|RequirementSatisfactions"
   },
   {
    "FieldGrantId": "fg-knowledge-authority-RequirementSatisfactions.IsBlockingAndUnmet",
    "Principal": "principal-knowledge-authority",
    "TargetField": "RequirementSatisfactions.IsBlockingAndUnmet",
    "CanRead": true,
    "CanWrite": false,
    "MaskStrategy": "plain",
    "SemanticTypeIri": "urn:effortless:pko-extension#FieldGrant",
    "Name": "principal-knowledge-authority -&gt; RequirementSatisfactions.IsBlockingAndUnmet",
    "FieldTable": "RequirementSatisfactions",
    "FieldName": "IsBlockingAndUnmet",
    "FieldIsDerived": true,
    "IsWritableDerivedField": false,
    "IsMasked": false,
    "GrantKeyWhenReadable": "principal-knowledge-authority|RequirementSatisfactions"
   },
   {
    "FieldGrantId": "fg-knowledge-authority-RequirementSatisfactions.BlockingUnmetStepKey",
    "Principal": "principal-knowledge-authority",
    "TargetField": "RequirementSatisfactions.BlockingUnmetStepKey",
    "CanRead": true,
    "CanWrite": false,
    "MaskStrategy": "plain",
    "SemanticTypeIri": "urn:effortless:pko-extension#FieldGrant",
    "Name": "principal-knowledge-authority -&gt; RequirementSatisfactions.BlockingUnmetStepKey",
    "FieldTable": "RequirementSatisfactions",
    "FieldName": "BlockingUnmetStepKey",
    "FieldIsDerived": true,
    "IsWritableDerivedField": false,
    "IsMasked": false,
    "GrantKeyWhenReadable": "principal-knowledge-authority|RequirementSatisfactions"
   },
   {
    "FieldGrantId": "fg-knowledge-authority-RequirementSatisfactions.BlockingSatisfactionStepKey",
    "Principal": "principal-knowledge-authority",
    "TargetField": "RequirementSatisfactions.BlockingSatisfactionStepKey",
    "CanRead": true,
    "CanWrite": false,
    "MaskStrategy": "plain",
    "SemanticTypeIri": "urn:effortless:pko-extension#FieldGrant",
    "Name": "principal-knowledge-authority -&gt; RequirementSatisfactions.BlockingSatisfactionStepKey",
    "FieldTable": "RequirementSatisfactions",
    "FieldName": "BlockingSatisfactionStepKey",
    "FieldIsDerived": true,
    "IsWritableDerivedField": false,
    "IsMasked": false,
    "GrantKeyWhenReadable": "principal-knowledge-authority|RequirementSatisfactions"
   },
   {
    "FieldGrantId": "fg-knowledge-authority-RequirementSatisfactions.NegativeOutcomeRequirementKey",
    "Principal": "principal-knowledge-authority",
    "TargetField": "RequirementSatisfactions.NegativeOutcomeRequirementKey",
    "CanRead": true,
    "CanWrite": false,
    "MaskStrategy": "plain",
    "SemanticTypeIri": "urn:effortless:pko-extension#FieldGrant",
    "Name": "principal-knowledge-authority -&gt; RequirementSatisfactions.NegativeOutcomeRequirementKey",
    "FieldTable": "RequirementSatisfactions",
    "FieldName": "NegativeOutcomeRequirementKey",
    "FieldIsDerived": true,
    "IsWritableDerivedField": false,
    "IsMasked": false,
    "GrantKeyWhenReadable": "principal-knowledge-authority|RequirementSatisfactions"
   },
   {
    "FieldGrantId": "fg-knowledge-authority-RequirementSatisfactions.EvaluatorAgentKind",
    "Principal": "principal-knowledge-authority",
    "TargetField": "RequirementSatisfactions.EvaluatorAgentKind",
    "CanRead": true,
    "CanWrite": false,
    "MaskStrategy": "plain",
    "SemanticTypeIri": "urn:effortless:pko-extension#FieldGrant",
    "Name": "principal-knowledge-authority -&gt; RequirementSatisfactions.EvaluatorAgentKind",
    "FieldTable": "RequirementSatisfactions",
    "FieldName": "EvaluatorAgentKind",
    "FieldIsDerived": true,
    "IsWritableDerivedField": false,
    "IsMasked": false,
    "GrantKeyWhenReadable": "principal-knowledge-authority|RequirementSatisfactions"
   },
   {
    "FieldGrantId": "fg-knowledge-authority-RequirementSatisfactions.NonHumanEvaluatedHumanControl",
    "Principal": "principal-knowledge-authority",
    "TargetField": "RequirementSatisfactions.NonHumanEvaluatedHumanControl",
    "CanRead": true,
    "CanWrite": false,
    "MaskStrategy": "plain",
    "SemanticTypeIri": "urn:effortless:pko-extension#FieldGrant",
    "Name": "principal-knowledge-authority -&gt; RequirementSatisfactions.NonHumanEvaluatedHumanControl",
    "FieldTable": "RequirementSatisfactions",
    "FieldName": "NonHumanEvaluatedHumanControl",
    "FieldIsDerived": true,
    "IsWritableDerivedField": false,
    "IsMasked": false,
    "GrantKeyWhenReadable": "principal-knowledge-authority|RequirementSatisfactions"
   },
   {
    "FieldGrantId": "fg-knowledge-authority-RequirementSatisfactions.RequirementHasComputedWitness",
    "Principal": "principal-knowledge-authority",
    "TargetField": "RequirementSatisfactions.RequirementHasComputedWitness",
    "CanRead": true,
    "CanWrite": false,
    "MaskStrategy": "plain",
    "SemanticTypeIri": "urn:effortless:pko-extension#FieldGrant",
    "Name": "principal-knowledge-authority -&gt; RequirementSatisfactions.RequirementHasComputedWitness",
    "FieldTable": "RequirementSatisfactions",
    "FieldName": "RequirementHasComputedWitness",
    "FieldIsDerived": true,
    "IsWritableDerivedField": false,
    "IsMasked": false,
    "GrantKeyWhenReadable": "principal-knowledge-authority|RequirementSatisfactions"
   },
   {
    "FieldGrantId": "fg-knowledge-authority-RequirementSatisfactions.IsAssertedOnly",
    "Principal": "principal-knowledge-authority",
    "TargetField": "RequirementSatisfactions.IsAssertedOnly",
    "CanRead": true,
    "CanWrite": false,
    "MaskStrategy": "plain",
    "SemanticTypeIri": "urn:effortless:pko-extension#FieldGrant",
    "Name": "principal-knowledge-authority -&gt; RequirementSatisfactions.IsAssertedOnly",
    "FieldTable": "RequirementSatisfactions",
    "FieldName": "IsAssertedOnly",
    "FieldIsDerived": true,
    "IsWritableDerivedField": false,
    "IsMasked": false,
    "GrantKeyWhenReadable": "principal-knowledge-authority|RequirementSatisfactions"
   },
   {
    "FieldGrantId": "fg-knowledge-authority-RequirementSatisfactions.AssertedOnlyExecutionKey",
    "Principal": "principal-knowledge-authority",
    "TargetField": "RequirementSatisfactions.AssertedOnlyExecutionKey",
    "CanRead": true,
    "CanWrite": false,
    "MaskStrategy": "plain",
    "SemanticTypeIri": "urn:effortless:pko-extension#FieldGrant",
    "Name": "principal-knowledge-authority -&gt; RequirementSatisfactions.AssertedOnlyExecutionKey",
    "FieldTable": "RequirementSatisfactions",
    "FieldName": "AssertedOnlyExecutionKey",
    "FieldIsDerived": true,
    "IsWritableDerivedField": false,
    "IsMasked": false,
    "GrantKeyWhenReadable": "principal-knowledge-authority|RequirementSatisfactions"
   },
   {
    "FieldGrantId": "fg-knowledge-authority-RequirementSatisfactions.ParentProcedureExecution",
    "Principal": "principal-knowledge-authority",
    "TargetField": "RequirementSatisfactions.ParentProcedureExecution",
    "CanRead": true,
    "CanWrite": false,
    "MaskStrategy": "plain",
    "SemanticTypeIri": "urn:effortless:pko-extension#FieldGrant",
    "Name": "principal-knowledge-authority -&gt; RequirementSatisfactions.ParentProcedureExecution",
    "FieldTable": "RequirementSatisfactions",
    "FieldName": "ParentProcedureExecution",
    "FieldIsDerived": true,
    "IsWritableDerivedField": false,
    "IsMasked": false,
    "GrantKeyWhenReadable": "principal-knowledge-authority|RequirementSatisfactions"
   },
   {
    "FieldGrantId": "fg-knowledge-authority-RequirementSatisfactions.StepExecutionWhenScored",
    "Principal": "principal-knowledge-authority",
    "TargetField": "RequirementSatisfactions.StepExecutionWhenScored",
    "CanRead": true,
    "CanWrite": false,
    "MaskStrategy": "plain",
    "SemanticTypeIri": "urn:effortless:pko-extension#FieldGrant",
    "Name": "principal-knowledge-authority -&gt; RequirementSatisfactions.StepExecutionWhenScored",
    "FieldTable": "RequirementSatisfactions",
    "FieldName": "StepExecutionWhenScored",
    "FieldIsDerived": true,
    "IsWritableDerivedField": false,
    "IsMasked": false,
    "GrantKeyWhenReadable": "principal-knowledge-authority|RequirementSatisfactions"
   },
   {
    "FieldGrantId": "fg-knowledge-authority-RequirementSatisfactions.IsHumanEvaluated",
    "Principal": "principal-knowledge-authority",
    "TargetField": "RequirementSatisfactions.IsHumanEvaluated",
    "CanRead": true,
    "CanWrite": false,
    "MaskStrategy": "plain",
    "SemanticTypeIri": "urn:effortless:pko-extension#FieldGrant",
    "Name": "principal-knowledge-authority -&gt; RequirementSatisfactions.IsHumanEvaluated",
    "FieldTable": "RequirementSatisfactions",
    "FieldName": "IsHumanEvaluated",
    "FieldIsDerived": true,
    "IsWritableDerivedField": false,
    "IsMasked": false,
    "GrantKeyWhenReadable": "principal-knowledge-authority|RequirementSatisfactions"
   },
   {
    "FieldGrantId": "fg-knowledge-authority-RequirementSatisfactions.RequirementIsApprovalType",
    "Principal": "principal-knowledge-authority",
    "TargetField": "RequirementSatisfactions.RequirementIsApprovalType",
    "CanRead": true,
    "CanWrite": false,
    "MaskStrategy": "plain",
    "SemanticTypeIri": "urn:effortless:pko-extension#FieldGrant",
    "Name": "principal-knowledge-authority -&gt; RequirementSatisfactions.RequirementIsApprovalType",
    "FieldTable": "RequirementSatisf</t>
  </si>
  <si>
    <t xml:space="preserve">actions",
    "FieldName": "RequirementIsApprovalType",
    "FieldIsDerived": true,
    "IsWritableDerivedField": false,
    "IsMasked": false,
    "GrantKeyWhenReadable": "principal-knowledge-authority|RequirementSatisfactions"
   },
   {
    "FieldGrantId": "fg-knowledge-authority-RequirementSatisfactions.IsInvalidApproval",
    "Principal": "principal-knowledge-authority",
    "TargetField": "RequirementSatisfactions.IsInvalidApproval",
    "CanRead": true,
    "CanWrite": false,
    "MaskStrategy": "plain",
    "SemanticTypeIri": "urn:effortless:pko-extension#FieldGrant",
    "Name": "principal-knowledge-authority -&gt; RequirementSatisfactions.IsInvalidApproval",
    "FieldTable": "RequirementSatisfactions",
    "FieldName": "IsInvalidApproval",
    "FieldIsDerived": true,
    "IsWritableDerivedField": false,
    "IsMasked": false,
    "GrantKeyWhenReadable": "principal-knowledge-authority|RequirementSatisfactions"
   },
   {
    "FieldGrantId": "fg-knowledge-authority-RequirementSatisfactions.ProcedureExecutionOfSatisfaction",
    "Principal": "principal-knowledge-authority",
    "TargetField": "RequirementSatisfactions.ProcedureExecutionOfSatisfaction",
    "CanRead": true,
    "CanWrite": false,
    "MaskStrategy": "plain",
    "SemanticTypeIri": "urn:effortless:pko-extension#FieldGrant",
    "Name": "principal-knowledge-authority -&gt; RequirementSatisfactions.ProcedureExecutionOfSatisfaction",
    "FieldTable": "RequirementSatisfactions",
    "FieldName": "ProcedureExecutionOfSatisfaction",
    "FieldIsDerived": true,
    "IsWritableDerivedField": false,
    "IsMasked": false,
    "GrantKeyWhenReadable": "principal-knowledge-authority|RequirementSatisfactions"
   },
   {
    "FieldGrantId": "fg-knowledge-authority-RequirementSatisfactions.RunWhenInvalidApproval",
    "Principal": "principal-knowledge-authority",
    "TargetField": "RequirementSatisfactions.RunWhenInvalidApproval",
    "CanRead": true,
    "CanWrite": false,
    "MaskStrategy": "plain",
    "SemanticTypeIri": "urn:effortless:pko-extension#FieldGrant",
    "Name": "principal-knowledge-authority -&gt; RequirementSatisfactions.RunWhenInvalidApproval",
    "FieldTable": "RequirementSatisfactions",
    "FieldName": "RunWhenInvalidApproval",
    "FieldIsDerived": true,
    "IsWritableDerivedField": false,
    "IsMasked": false,
    "GrantKeyWhenReadable": "principal-knowledge-authority|RequirementSatisfactions"
   },
   {
    "FieldGrantId": "fg-knowledge-authority-RequirementSatisfactions.RequirementIsUnfalsified",
    "Principal": "principal-knowledge-authority",
    "TargetField": "RequirementSatisfactions.RequirementIsUnfalsified",
    "CanRead": true,
    "CanWrite": false,
    "MaskStrategy": "plain",
    "SemanticTypeIri": "urn:effortless:pko-extension#FieldGrant",
    "Name": "principal-knowledge-authority -&gt; RequirementSatisfactions.RequirementIsUnfalsified",
    "FieldTable": "RequirementSatisfactions",
    "FieldName": "RequirementIsUnfalsified",
    "FieldIsDerived": true,
    "IsWritableDerivedField": false,
    "IsMasked": false,
    "GrantKeyWhenReadable": "principal-knowledge-authority|RequirementSatisfactions"
   },
   {
    "FieldGrantId": "fg-knowledge-authority-RequirementSatisfactions.IsClearanceByUnfalsifiedControl",
    "Principal": "principal-knowledge-authority",
    "TargetField": "RequirementSatisfactions.IsClearanceByUnfalsifiedControl",
    "CanRead": true,
    "CanWrite": false,
    "MaskStrategy": "plain",
    "SemanticTypeIri": "urn:effortless:pko-extension#FieldGrant",
    "Name": "principal-knowledge-authority -&gt; RequirementSatisfactions.IsClearanceByUnfalsifiedControl",
    "FieldTable": "RequirementSatisfactions",
    "FieldName": "IsClearanceByUnfalsifiedControl",
    "FieldIsDerived": true,
    "IsWritableDerivedField": false,
    "IsMasked": false,
    "GrantKeyWhenReadable": "principal-knowledge-authority|RequirementSatisfactions"
   },
   {
    "FieldGrantId": "fg-knowledge-authority-RequirementSatisfactions.UnfalsifiedClearanceStepKey",
    "Principal": "principal-knowledge-authority",
    "TargetField": "RequirementSatisfactions.UnfalsifiedClearanceStepKey",
    "CanRead": true,
    "CanWrite": false,
    "MaskStrategy": "plain",
    "SemanticTypeIri": "urn:effortless:pko-extension#FieldGrant",
    "Name": "principal-knowledge-authority -&gt; RequirementSatisfactions.UnfalsifiedClearanceStepKey",
    "FieldTable": "RequirementSatisfactions",
    "FieldName": "UnfalsifiedClearanceStepKey",
    "FieldIsDerived": true,
    "IsWritableDerivedField": false,
    "IsMasked": false,
    "GrantKeyWhenReadable": "principal-knowledge-authority|RequirementSatisfactions"
   },
   {
    "FieldGrantId": "fg-knowledge-authority-RequirementSatisfactions.SpecStepOfExecution",
    "Principal": "principal-knowledge-authority",
    "TargetField": "RequirementSatisfactions.SpecStepOfExecution",
    "CanRead": true,
    "CanWrite": false,
    "MaskStrategy": "plain",
    "SemanticTypeIri": "urn:effortless:pko-extension#FieldGrant",
    "Name": "principal-knowledge-authority -&gt; RequirementSatisfactions.SpecStepOfExecution",
    "FieldTable": "RequirementSatisfactions",
    "FieldName": "SpecStepOfExecution",
    "FieldIsDerived": true,
    "IsWritableDerivedField": false,
    "IsMasked": false,
    "GrantKeyWhenReadable": "principal-knowledge-authority|RequirementSatisfactions"
   },
   {
    "FieldGrantId": "fg-knowledge-authority-RequirementSatisfactions.BindingKey",
    "Principal": "principal-knowledge-authority",
    "TargetField": "RequirementSatisfactions.BindingKey",
    "CanRead": true,
    "CanWrite": false,
    "MaskStrategy": "plain",
    "SemanticTypeIri": "urn:effortless:pko-extension#FieldGrant",
    "Name": "principal-knowledge-authority -&gt; RequirementSatisfactions.BindingKey",
    "FieldTable": "RequirementSatisfactions",
    "FieldName": "BindingKey",
    "FieldIsDerived": true,
    "IsWritableDerivedField": false,
    "IsMasked": false,
    "GrantKeyWhenReadable": "principal-knowledge-authority|RequirementSatisfactions"
   },
   {
    "FieldGrantId": "fg-knowledge-authority-RequirementSatisfactions.ScoredStepExecutorAgent",
    "Principal": "principal-knowledge-authority",
    "TargetField": "RequirementSatisfactions.ScoredStepExecutorAgent",
    "CanRead": true,
    "CanWrite": false,
    "MaskStrategy": "plain",
    "SemanticTypeIri": "urn:effortless:pko-extension#FieldGrant",
    "Name": "principal-knowledge-authority -&gt; RequirementSatisfactions.ScoredStepExecutorAgent",
    "FieldTable": "RequirementSatisfactions",
    "FieldName": "ScoredStepExecutorAgent",
    "FieldIsDerived": true,
    "IsWritableDerivedField": false,
    "IsMasked": false,
    "GrantKeyWhenReadable": "principal-knowledge-authority|RequirementSatisfactions"
   },
   {
    "FieldGrantId": "fg-knowledge-authority-RequirementSatisfactions.EvaluatorIsStepExecutor",
    "Principal": "principal-knowledge-authority",
    "TargetField": "RequirementSatisfactions.EvaluatorIsStepExecutor",
    "CanRead": true,
    "CanWrite": false,
    "MaskStrategy": "plain",
    "SemanticTypeIri": "urn:effortless:pko-extension#FieldGrant",
    "Name": "principal-knowledge-authority -&gt; RequirementSatisfactions.EvaluatorIsStepExecutor",
    "FieldTable": "RequirementSatisfactions",
    "FieldName": "EvaluatorIsStepExecutor",
    "FieldIsDerived": true,
    "IsWritableDerivedField": false,
    "IsMasked": false,
    "GrantKeyWhenReadable": "principal-knowledge-authority|RequirementSatisfactions"
   },
   {
    "FieldGrantId": "fg-knowledge-authority-RequirementSatisfactions.RunOwnerAgent",
    "Principal": "principal-knowledge-authority",
    "TargetField": "RequirementSatisfactions.RunOwnerAgent",
    "CanRead": true,
    "CanWrite": false,
    "MaskStrategy": "plain",
    "SemanticTypeIri": "urn:effortless:pko-extension#FieldGrant",
    "Name": "principal-knowledge-authority -&gt; RequirementSatisfactions.RunOwnerAgent",
    "FieldTable": "RequirementSatisfactions",
    "FieldName": "RunOwnerAgent",
    "FieldIsDerived": true,
    "IsWritableDerivedField": false,
    "IsMasked": false,
    "GrantKeyWhenReadable": "principal-knowledge-authority|RequirementSatisfactions"
   },
   {
    "FieldGrantId": "fg-knowledge-authority-RequirementSatisfactions.EvaluatorOwnsTheRun",
    "Principal": "principal-knowledge-authority",
    "TargetField": "RequirementSatisfactions.EvaluatorOwnsTheRun",
    "CanRead": true,
    "CanWrite": false,
    "MaskStrategy": "plain",
    "SemanticTypeIri": "urn:effortless:pko-extension#FieldGrant",
    "Name": "principal-knowledge-authority -&gt; RequirementSatisfactions.EvaluatorOwnsTheRun",
    "FieldTable": "RequirementSatisfactions",
    "FieldName": "EvaluatorOwnsTheRun",
    "FieldIsDerived": true,
    "IsWritableDerivedField": false,
    "IsMasked": false,
    "GrantKeyWhenReadable": "principal-knowledge-authority|RequirementSatisfactions"
   },
   {
    "FieldGrantId": "fg-knowledge-authority-RequirementSatisfactions.IsInterestedPartyAssertion",
    "Principal": "principal-knowledge-authority",
    "TargetField": "RequirementSatisfactions.IsInterestedPartyAssertion",
    "CanRead": true,
    "CanWrite": false,
    "MaskStrategy": "plain",
    "SemanticTypeIri": "urn:effortless:pko-extension#FieldGrant",
    "Name": "principal-knowledge-authority -&gt; RequirementSatisfactions.IsInterestedPartyAssertion",
    "FieldTable": "RequirementSatisfactions",
    "FieldName": "IsInterestedPartyAssertion",
    "FieldIsDerived": true,
    "IsWritableDerivedField": false,
    "IsMasked": false,
    "GrantKeyWhenReadable": "principal-knowledge-authority|RequirementSatisfactions"
   },
   {
    "FieldGrantId": "fg-knowledge-authority-RequirementSatisfactions.HasWrittenEvidence",
    "Principal": "principal-knowledge-authority",
    "TargetField": "RequirementSatisfactions.HasWrittenEvidence",
    "CanRead": true,
    "CanWrite": false,
    "MaskStrategy": "plain",
    "SemanticTypeIri": "urn:effortless:pko-extension#FieldGrant",
    "Name": "principal-knowledge-authority -&gt; RequirementSatisfactions.HasWrittenEvidence",
    "FieldTable": "RequirementSatisfactions",
    "FieldName": "HasWrittenEvidence",
    "FieldIsDerived": true,
    "IsWritableDerivedField": false,
    "IsMasked": false,
    "GrantKeyWhenReadable": "principal-knowledge-authority|RequirementSatisfactions"
   },
   {
    "FieldGrantId": "fg-knowledge-authority-RequirementSatisfactions.IsBareAssertion",
    "Principal": "principal-knowledge-authority",
    "TargetField": "RequirementSatisfactions.IsBareAssertion",
    "CanRead": true,
    "CanWrite": false,
    "MaskStrategy": "plain",
    "SemanticTypeIri": "urn:effortless:pko-extension#FieldGrant",
    "Name": "principal-knowledge-authority -&gt; RequirementSatisfactions.IsBareAssertion",
    "FieldTable": "RequirementSatisfactions",
    "FieldName": "IsBareAssertion",
    "FieldIsDerived": true,
    "IsWritableDerivedField": false,
    "IsMasked": false,
    "GrantKeyWhenReadable": "principal-knowledge-authority|RequirementSatisfactions"
   },
   {
    "FieldGrantId": "fg-knowledge-authority-RequirementSatisfactions.InterestedAssertionExecutionKey",
    "Principal": "principal-knowledge-authority",
    "TargetField": "RequirementSatisfactions.InterestedAssertionExecutionKey",
    "CanRead": true,
    "CanWrite": false,
    "MaskStrategy": "plain",
    "SemanticTypeIri": "urn:effortless:pko-extension#FieldGrant",
    "Name": "principal-knowledge-authority -&gt; RequirementSatisfactions.InterestedAssertionExecutionKey",
    "FieldTable": "RequirementSatisfactions",
    "FieldName": "InterestedAssertionExecutionKey",
    "FieldIsDerived": true,
    "IsWritableDerivedField": false,
    "IsMasked": false,
    "GrantKeyWhenReadable": "principal-knowledge-authority|RequirementSatisfactions"
   },
   {
    "FieldGrantId": "fg-knowledge-authority-RequirementSatisfactions.IsComputedlyWitnessed",
    "Principal": "principal-knowledge-authority",
    "TargetField": "RequirementSatisfactions.IsComputedlyWitnessed",
    "CanRead": true,
    "CanWrite": false,
    "MaskStrategy": "plain",
    "SemanticTypeIri": "urn:effortless:pko-extension#FieldGrant",
    "Name": "principal-knowledge-authority -&gt; RequirementSatisfactions.IsComputedlyWitnessed",
    "FieldTable": "RequirementSatisfactions",
    "FieldName": "IsComputedlyWitnessed",
    "FieldIsDerived": true,
    "IsWritableDerivedField": false,
    "IsMasked": false,
    "GrantKeyWhenReadable": "principal-knowledge-authority|RequirementSatisfactions"
   },
   {
    "FieldGrantId": "fg-knowledge-authority-RequirementSatisfactions.ComputedWitnessExecutionKey",
    "Principal": "principal-knowledge-authority",
    "TargetField": "RequirementSatisfactions.ComputedWitnessExecutionKey",
    "CanRead": true,
    "CanWrite": false,
    "MaskStrategy": "plain",
    "SemanticTypeIri": "urn:effortless:pko-extension#FieldGrant",
    "Name": "principal-knowledge-authority -&gt; RequirementSatisfactions.ComputedWitnessExecutionKey",
    "FieldTable": "RequirementSatisfactions",
    "FieldName": "ComputedWitnessExecutionKey",
    "FieldIsDerived": true,
    "IsWritableDerivedField": false,
    "IsMasked": false,
    "GrantKeyWhenReadable": "principal-knowledge-authority|RequirementSatisfactions"
   },
   {
    "FieldGrantId": "fg-knowledge-authority-RequirementSatisfactions.StepExecutorAgent",
    "Principal": "principal-knowledge-authority",
    "TargetField": "RequirementSatisfactions.StepExecutorAgent",
    "CanRead": true,
    "CanWrite": false,
    "MaskStrategy": "plain",
    "SemanticTypeIri": "urn:effortless:pko-extension#FieldGrant",
    "Name": "principal-knowledge-authority -&gt; RequirementSatisfactions.StepExecutorAgent",
    "FieldTable": "RequirementSatisfactions",
    "FieldName": "StepExecutorAgent",
    "FieldIsDerived": true,
    "IsWritableDerivedField": false,
    "IsMasked": false,
    "GrantKeyWhenReadable": "principal-knowledge-authority|RequirementSatisfactions"
   },
   {
    "FieldGrantId": "fg-knowledge-authority-RequirementSatisfactions.WasScoredAfterAttestation",
    "Principal": "principal-knowledge-authority",
    "TargetField": "RequirementSatisfactions.WasScoredAfterAttestation",
    "CanRead": true,
    "CanWrite": false,
    "MaskStrategy": "plain",
    "SemanticTypeIri": "urn:effortless:pko-extension#FieldGrant",
    "Name": "principal-knowledge-authority -&gt; RequirementSatisfactions.WasScoredAfterAttestation",
    "FieldTable": "RequirementSatisfactions",
    "FieldName": "WasScoredAfterAttestation",
    "FieldIsDerived": true,
    "IsWritableDerivedField": false,
    "IsMasked": false,
    "GrantKeyWhenReadable": "principal-knowledge-authority|RequirementSatisfactions"
   },
   {
    "FieldGrantId": "fg-knowledge-authority-RequirementSatisfactions.AttestationInstantForRun",
    "Principal": "principal-knowledge-authority",
    "TargetField": "RequirementSatisfactions.AttestationInstantForRun",
    "CanRead": true,
    "CanWrite": false,
    "MaskStrategy": "plain",
    "SemanticTypeIri": "urn:effortless:pko-extension#FieldGrant",
    "Name": "principal-knowledge-authority -&gt; RequirementSatisfactions.AttestationInstantForRun",
    "FieldTable": "RequirementSatisfactions",
    "FieldName": "AttestationInstantForRun",
    "FieldIsDerived": true,
    "IsWritableDerivedField": false,
    "IsMasked": false,
    "GrantKeyWhenReadable": "principal-knowledge-authority|RequirementSatisfactions"
   },
   {
    "FieldGrantId": "fg-knowledge-authority-RequirementSatisfactions.PostAttestationScoreExecutionKey",
    "Principal": "principal-knowledge-authority",
    "TargetField": "RequirementSatisfactions.PostAttestationScoreExecutionKey",
    "CanRead": true,
    "CanWrite": false,
    "MaskStrategy": "plain",
    "SemanticTypeIri": "urn:effortless:pko-extension#FieldGrant",
    "Name": "principal-knowledge-authority -&gt; RequirementSatisfactions.PostAttestationScoreExecutionKey",
    "FieldTable": "RequirementSatisfactions",
    "FieldName": "PostAttestationScoreExecutionKey",
    "FieldIsDerived": true,
    "IsWritableDerivedField": false,
    "IsMasked": false,
    "GrantKeyWhenReadable": "principal-knowledge-authority|RequirementSatisfactions"
   },
   {
    "FieldGrantId": "fg-knowledge-authority-RequirementSatisfactions.SemanticTypeIri",
    "Principal": "principal-knowledge-authority",
    "TargetField": "RequirementSatisfactions.SemanticTypeIri",
    "CanRead": true,
    "CanWrite": false,
    "MaskStrategy": "plain",
    "SemanticTypeIri": "urn:effortless:pko-extension#FieldGrant",
    "Name": "principal-knowledge-authority -&gt; RequirementSatisfactions.SemanticTypeIri",
    "FieldTable": "RequirementSatisfactions",
    "FieldName": "SemanticTypeIri",
    "FieldIsDerived": false,
    "IsWritableDerivedField": false,
    "IsMasked": false,
    "GrantKeyWhenReadable": "principal-knowledge-authority|RequirementSatisfactions"
   },
   {
    "FieldGrantId": "fg-knowledge-authority-Requirements.RequirementId",
    "Principal": "principal-knowledge-authority",
    "TargetField": "Requirements.RequirementId",
    "CanRead": true,
    "CanWrite": false,
    "MaskStrategy": "plain",
    "SemanticTypeIri": "urn:effortless:pko-extension#FieldGrant",
    "Name": "principal-knowledge-authority -&gt; Requirements.RequirementId",
    "FieldTable": "Requirements",
    "FieldName": "RequirementId",
    "FieldIsDerived": false,
    "IsWritableDerivedField": false,
    "IsMasked": false,
    "GrantKeyWhenReadable": "principal-knowledge-authority|Requirements"
   },
   {
    "FieldGrantId": "fg-knowledge-authority-Requirements.Name",
    "Principal": "principal-knowledge-authority",
    "TargetField": "Requirements.Name",
    "CanRead": true,
    "CanWrite": false,
    "MaskStrategy": "plain",
    "SemanticTypeIri": "urn:effortless:pko-extension#FieldGrant",
    "Name": "principal-knowledge-authority -&gt; Requirements.Name",
    "FieldTable": "Requirements",
    "FieldName": "Name",
    "FieldIsDerived": true,
    "IsWritableDerivedField": false,
    "IsMasked": false,
    "GrantKeyWhenReadable": "principal-knowledge-authority|Requirements"
   },
   {
    "FieldGrantId": "fg-knowledge-authority-Requirements.Label",
    "Principal": "principal-knowledge-authority",
    "TargetField": "Requirements.Label",
    "CanRead": true,
    "CanWrite": false,
    "MaskStrategy": "plain",
    "SemanticTypeIri": "urn:effortless:pko-extension#FieldGrant",
    "Name": "principal-knowledge-authority -&gt; Requirements.Label",
    "FieldTable": "Requirements",
    "FieldName": "Label",
    "FieldIsDerived": false,
    "IsWritableDerivedField": false,
    "IsMasked": false,
    "GrantKeyWhenReadable": "principal-knowledge-authority|Requirements"
   },
   {
    "FieldGrantId": "fg-knowledge-authority-Requirements.RequirementType",
    "Principal": "principal-knowledge-authority",
    "TargetField": "Requirements.RequirementType",
    "CanRead": true,
    "CanWrite": false,
    "MaskStrategy": "plain",
    "SemanticTypeIri": "urn:effortless:pko-extension#FieldGrant",
    "Name": "principal-knowledge-authority -&gt; Requirements.RequirementType",
    "FieldTable": "Requirements",
    "FieldName": "RequirementType",
    "FieldIsDerived": false,
    "IsWritableDerivedField": false,
    "IsMasked": false,
    "GrantKeyWhenReadable": "principal-knowledge-authority|Requirements"
   },
   {
    "FieldGrantId": "fg-knowledge-authority-Requirements.Statement",
    "Principal": "principal-knowledge-authority",
    "TargetField": "Requirements.Statement",
    "CanRead": true,
    "CanWrite": false,
    "MaskStrategy": "plain",
    "SemanticTypeIri": "urn:effortless:pko-extension#FieldGrant",
    "Name": "principal-knowledge-authority -&gt; Requirements.Statement",
    "FieldTable": "Requirements",
    "FieldName": "Statement",
    "FieldIsDerived": false,
    "IsWritableDerivedField": false,
    "IsMasked": false,
    "GrantKeyWhenReadable": "principal-knowledge-authority|Requirements"
   },
   {
    "FieldGrantId": "fg-knowledge-authority-Requirements.Rationale",
    "Principal": "principal-knowledge-authority",
    "TargetField": "Requirements.Rationale",
    "CanRead": true,
    "CanWrite": false,
    "MaskStrategy": "plain",
    "SemanticTypeIri": "urn:effortless:pko-extension#FieldGrant",
    "Name": "principal-knowledge-authority -&gt; Requirements.Rationale",
    "FieldTable": "Requirements",
    "FieldName": "Rationale",
    "FieldIsDerived": false,
    "IsWritableDerivedField": false,
    "IsMasked": false,
    "GrantKeyWhenReadable": "principal-knowledge-authority|Requirements"
   },
   {
    "FieldGrantId": "fg-knowledge-authority-Requirements.IsBlocking",
    "Principal": "principal-knowledge-authority",
    "TargetField": "Requirements.IsBlocking",
    "CanRead": true,
    "CanWrite": false,
    "MaskStrategy": "plain",
    "SemanticTypeIri": "urn:effortless:pko-extension#FieldGrant",
    "Name": "principal-knowledge-authority -&gt; Requirements.IsBlocking",
    "FieldTable": "Requirements",
    "FieldName": "IsBlocking",
    "FieldIsDerived": false,
    "IsWritableDerivedField": false,
    "IsMasked": false,
    "GrantKeyWhenReadable": "principal-knowledge-authority|Requirements"
   },
   {
    "FieldGrantId": "fg-knowledge-authority-Requirements.SatisfactionRecordCount",
    "Principal": "principal-knowledge-authority",
    "TargetField": "Requirements.SatisfactionRecordCount",
    "CanRead": true,
    "CanWrite": false,
    "MaskStrategy": "plain",
    "SemanticTypeIri": "urn:effortless:pko-extension#FieldGrant",
    "Name": "principal-knowledge-authority -&gt; Requirements.SatisfactionRecordCount",
    "FieldTable": "Requirements",
    "FieldName": "SatisfactionRecordCount",
    "FieldIsDerived": true,
    "IsWritableDerivedField": false,
    "IsMasked": false,
    "GrantKeyWhenReadable": "principal-knowledge-authority|Requirements"
   },
   {
    "FieldGrantId": "fg-knowledge-authority-Requirements.StepBindingCount",
    "Principal": "principal-knowledge-authority",
    "TargetField": "Requirements.StepBindingCount",
    "CanRead": true,
    "CanWrite": false,
    "MaskStrategy": "plain",
    "SemanticTypeIri": "urn:effortless:pko-extension#FieldGrant",
    "Name": "principal-knowledge-authority -&gt; Requirements.StepBindingCount",
    "FieldTable": "Requirements",
    "FieldName": "StepBindingCount",
    "FieldIsDerived": true,
    "IsWritableDerivedField": false,
    "IsMasked": false,
    "GrantKeyWhenReadable": "principal-knowledge-authority|Requirements"
   },
   {
    "FieldGrantId": "fg-knowledge-authority-Requirements.IsBoundToAnyStep",
    "Principal": "principal-knowledge-authority",
    "TargetField": "Requirements.IsBoundToAnyStep",
    "CanRead": true,
    "CanWrite": false,
    "MaskStrategy": "plain",
    "SemanticTypeIri": "urn:effortless:pko-extension#FieldGrant",
    "Name": "principal-knowledge-authority -&gt; Requirements.IsBoundToAnyStep",
    "FieldTable": "Requirements",
    "FieldName": "IsBoundToAnyStep",
    "FieldIsDerived": true,
    "IsWritableDerivedField": false,
    "IsMasked": false,
    "GrantKeyWhenReadable": "principal-knowledge-authority|Requirements"
   },
   {
    "FieldGrantId": "fg-knowledge-authority-Requirements.HasEverBeenEvaluated",
    "Principal": "principal-knowledge-authority",
    "TargetField": "Requirements.HasEverBeenEvaluated",
    "CanRead": true,
    "CanWrite": false,
    "MaskStrategy": "plain",
    "SemanticTypeIri": "urn:effortless:pko-extension#FieldGrant",
    "Name": "principal-knowledge-authority -&gt; Requirements.HasEverBeenEvaluated",
    "FieldTable": "Requirements",
    "FieldName": "HasEverBeenEvaluated",
    "FieldIsDerived": true,
    "IsWritableDerivedField": false,
    "IsMasked": false,
    "GrantKeyWhenReadable": "principal-knowledge-authority|Requirements"
   },
   {
    "FieldGrantId": "fg-knowledge-authority-Requirements.NegativeOutcomeCount",
    "Principal": "principal-knowledge-authority",
    "TargetField": "Requirements.NegativeOutcomeCount",
    "CanRead": true,
    "CanWrite": false,
    "MaskStrategy": "plain",
    "SemanticTypeIri": "urn:effortless:pko-extension#FieldGrant",
    "Name": "principal-knowledge-authority -&gt; Requirements.NegativeOutcomeCount",
    "FieldTable": "Requirements",
    "FieldName": "NegativeOutcomeCount",
    "FieldIsDerived": true,
    "IsWritableDerivedField": false,
    "IsMasked": false,
    "GrantKeyWhenReadable": "principal-knowledge-authority|Requirements"
   },
   {
    "FieldGrantId": "fg-knowledge-authority-Requirements.IsInoperativeControl",
    "Principal": "principal-knowledge-authority",
    "TargetField": "Requirements.IsInoperativeControl",
    "CanRead": true,
    "CanWrite": false,
    "MaskStrategy": "plain",
    "SemanticTypeIri": "urn:effortless:pko-extension#FieldGrant",
    "Name": "principal-knowledge-authority -&gt; Requirements.IsInoperativeControl",
    "FieldTable": "Requirements",
    "FieldName": "IsInoperativeControl",
    "FieldIsDerived": true,
    "IsWritableDerivedField": false,
    "IsMasked": false,
    "GrantKeyWhenReadable": "principal-knowledge-authority|Requirements"
   },
   {
    "FieldGrantId": "fg-knowledge-authority-Requirements.IsDecorativeControl",
    "Principal": "principal-knowledge-authority",
    "TargetField": "Requirements.IsDecorativeControl",
    "CanRead": true,
    "CanWrite": false,
    "MaskStrategy": "plain",
    "SemanticTypeIri": "urn:effortless:pko-extension#FieldGrant",
    "Name": "principal-knowledge-authority -&gt; Requirements.IsDecorativeControl",
    "FieldTable": "Requirements",
    "FieldName": "IsDecorativeControl",
    "FieldIsDerived": true,
    "IsWritableDerivedField": false,
    "IsMasked": false,
    "GrantKeyWhenReadable": "principal-knowledge-authority|Requirements"
   },
   {
    "FieldGrantId": "fg-knowledge-authority-Requirements.HasComputedWitness",
    "Principal": "principal-knowledge-authority",
    "TargetField": "Requirements.HasComputedWitness",
    "CanRead": true,
    "CanWrite": false,
    "MaskStrategy": "plain",
    "SemanticTypeIri": "urn:effortless:pko-extension#FieldGrant",
    "Name": "principal-knowledge-authority -&gt; Requirements.HasComputedWitness",
    "FieldTable": "Requirements",
    "FieldName": "HasComputedWitness",
    "FieldIsDerived": false,
    "IsWritableDerivedField": false,
    "IsMasked": false,
    "GrantKeyWhenReadable": "principal-knowledge-authority|Requirements"
   },
   {
    "FieldGrantId": "fg-knowledge-authority-Requirements.WitnessFieldName",
    "Principal": "principal-knowledge-authority",
    "TargetField": "Requirements.WitnessFieldName",
    "CanRead": true,
    "CanWrite": false,
    "MaskStrategy": "plain",
    "SemanticTypeIri": "urn:effortless:pko-extension#FieldGrant",
    "Name": "principal-knowledge-authority -&gt; Requirements.WitnessFieldName",
    "FieldTable": "Requirements",
    "FieldName": "WitnessFieldName",
    "FieldIsDerived": false,
    "IsWritableDerivedField": false,
    "IsMasked": false,
    "GrantKeyWhenReadable": "principal-knowledge-authority|Requirements"
   },
   {
    "FieldGrantId": "fg-knowledge-authority-Requirements.HasEverProducedNegative",
    "Principal": "principal-knowledge-authority",
    "TargetField": "Requirements.HasEverProducedNegative",
    "CanRead": true,
    "CanWrite": false,
    "MaskStrategy": "plain",
    "SemanticTypeIri": "urn:effortless:pko-extension#FieldGrant",
    "Name": "principal-knowledge-authority -&gt; Requirements.HasEverProducedNegative",
    "FieldTable": "Requirements",
    "FieldName": "HasEverProducedNegative",
    "FieldIsDerived": true,
    "IsWritableDerivedField": false,
    "IsMasked": false,
    "GrantKeyWhenReadable": "principal-knowledge-authority|Requirements"
   },
   {
    "FieldGrantId": "fg-knowledge-authority-Requirements.IsUnfalsifiedControl",
    "Principal": "principal-knowledge-authority",
    "TargetField": "Requirements.IsUnfalsifiedControl",
    "CanRead": true,
    "CanWrite": false,
    "MaskStrategy": "plain",
    "SemanticTypeIri": "urn:effortless:pko-extension#FieldGrant",
    "Name": "principal-knowledge-authority -&gt; Requirements.IsUnfalsifiedControl",
    "FieldTable": "Requirements",
    "FieldName": "IsUnfalsifiedControl",
    "FieldIsDerived": true,
    "IsWritableDerivedField": false,
    "IsMasked": false,
    "GrantKeyWhenReadable": "principal-knowledge-authority|Requirements"
   },
   {
    "FieldGrantId": "fg-knowledge-authority-Requirements.ClaimsAWitnessField",
    "Principal": "principal-knowledge-authority",
    "TargetField": "Requirements.ClaimsAWitnessField",
    "CanRead": true,
    "CanWrite": false,
    "MaskStrategy": "plain",
    "SemanticTypeIri": "urn:effortless:pko-extension#FieldGrant",
    "Name": "principal-knowledge-authority -&gt; Requirements.ClaimsAWitnessField",
    "FieldTable": "Requirements",
    "FieldName": "ClaimsAWitnessField",
    "FieldIsDerived": true,
    "IsWritableDerivedField": false,
    "IsMasked": false,
    "GrantKeyWhenReadable": "principal-knowledge-authority|Requirements"
   },
   {
    "FieldGrantId": "fg-knowledge-authority-Requirements.NamedWitnessFieldExists",
    "Principal": "principal-knowledge-authority",
    "TargetField": "Requirements.NamedWitnessFieldExists",
    "CanRead": true,
    "CanWrite": false,
    "MaskStrategy": "plain",
    "SemanticTypeIri": "urn:effortless:pko-extension#FieldGrant",
    "Name": "principal-knowledge-authority -&gt; Requirements.NamedWitnessFieldExists",
    "FieldTable": "Requirements",
    "FieldName": "NamedWitnessFieldExists",
    "FieldIsDerived": true,
    "IsWritableDerivedField": false,
    "IsMasked": false,
    "GrantKeyWhenReadable": "principal-knowledge-authority|Requirements"
   },
   {
    "FieldGrantId": "fg-knowledge-authority-Requirements.DerivedHasComputedWitness",
    "Principal": "principal-knowledge-authority",
    "TargetField": "Requirements.DerivedHasComputedWitness",
    "CanRead": true,
    "CanWrite": false,
    "MaskStrategy": "plain",
    "SemanticTypeIri": "urn:effortless:pko-extension#FieldGrant",
    "Name": "principal-knowledge-authority -&gt; Requirements.DerivedHasComputedWitness",
    "FieldTable": "Requirements",
    "FieldName": "DerivedHasComputedWitness",
    "FieldIsDerived": true,
    "IsWritableDerivedField": false,
    "IsMasked": false,
    "GrantKeyWhenReadable": "principal-knowledge-authority|Requirements"
   },
   {
    "FieldGrantId": "fg-knowledge-authority-Requirements.WitnessClaimIsUnverified",
    "Principal": "principal-knowledge-authority",
    "TargetField": "Requirements.WitnessClaimIsUnverified",
    "CanRead": true,
    "CanWrite": false,
    "MaskStrategy": "plain",
    "SemanticTypeIri": "urn:effortless:pko-extension#FieldGrant",
    "Name": "principal-knowledge-authority -&gt; Requirements.WitnessClaimIsUnverified",
    "FieldTable": "Requirements",
    "FieldName": "WitnessClaimIsUnverified",
    "FieldIsDerived": true,
    "IsWritableDerivedField": false,
    "IsMasked": false,
    "GrantKeyWhenReadable": "principal-knowledge-authority|Requirements"
   },
   {
    "FieldGrantId": "fg-knowledge-authority-Requirements.IsUnwitnessedBlockingControl",
    "Principal": "principal-knowledge-authority",
    "TargetField": "Requirements.IsUnwitnessedBlockingControl",
    "CanRead": true,
    "CanWrite": false,
    "MaskStrategy": "plain",
    "SemanticTypeIri": "urn:effortless:pko-extension#FieldGrant",
    "Name": "principal-knowledge-authority -&gt; Requirements.IsUnwitnessedBlockingControl",
    "FieldTable": "Requirements",
    "FieldName": "IsUnwitnessedBlockingControl",
    "FieldIsDerived": true,
    "IsWritableDerivedField": false,
    "IsMasked": false,
    "GrantKeyWhenReadable": "principal-knowledge-authority|Requirements"
   },
   {
    "FieldGrantId": "fg-knowledge-authority-Requirements.WitnessFireCount",
    "Principal": "principal-knowledge-authority",
    "TargetField": "Requirements.WitnessFireCount",
    "CanRead": true,
    "CanWrite": false,
    "MaskStrategy": "plain",
    "SemanticTypeIri": "urn:effortless:pko-extension#FieldGrant",
    "Name": "principal-knowledge-authority -&gt; Requirements.WitnessFireCount",
    "FieldTable": "Requirements",
    "FieldName": "WitnessFireCount",
    "FieldIsDerived": true,
    "IsWritableDerivedField": false,
    "IsMasked": false,
    "GrantKeyWhenReadable": "principal-knowledge-authority|Requirements"
   },
   {
    "FieldGrantId": "fg-knowledge-authority-Requirements.WitnessHasNeverFired",
    "Principal": "principal-knowledge-authority",
    "TargetField": "Requirements.WitnessHasNeverFired",
    "CanRead": true,
    "CanWrite": false,
    "MaskStrategy": "plain",
    "SemanticTypeIri": "urn:effortless:pko-extension#FieldGrant",
    "Name": "principal-knowledge-authority -&gt; Requirements.WitnessHasNeverFired",
    "FieldTable": "Requirements",
    "FieldName": "WitnessHasNev</t>
  </si>
  <si>
    <t xml:space="preserve">erFired",
    "FieldIsDerived": true,
    "IsWritableDerivedField": false,
    "IsMasked": false,
    "GrantKeyWhenReadable": "principal-knowledge-authority|Requirements"
   },
   {
    "FieldGrantId": "fg-knowledge-authority-Requirements.EvaluationSampleSize",
    "Principal": "principal-knowledge-authority",
    "TargetField": "Requirements.EvaluationSampleSize",
    "CanRead": true,
    "CanWrite": false,
    "MaskStrategy": "plain",
    "SemanticTypeIri": "urn:effortless:pko-extension#FieldGrant",
    "Name": "principal-knowledge-authority -&gt; Requirements.EvaluationSampleSize",
    "FieldTable": "Requirements",
    "FieldName": "EvaluationSampleSize",
    "FieldIsDerived": true,
    "IsWritableDerivedField": false,
    "IsMasked": false,
    "GrantKeyWhenReadable": "principal-knowledge-authority|Requirements"
   },
   {
    "FieldGrantId": "fg-knowledge-authority-Requirements.HasMeaningfulSample",
    "Principal": "principal-knowledge-authority",
    "TargetField": "Requirements.HasMeaningfulSample",
    "CanRead": true,
    "CanWrite": false,
    "MaskStrategy": "plain",
    "SemanticTypeIri": "urn:effortless:pko-extension#FieldGrant",
    "Name": "principal-knowledge-authority -&gt; Requirements.HasMeaningfulSample",
    "FieldTable": "Requirements",
    "FieldName": "HasMeaningfulSample",
    "FieldIsDerived": true,
    "IsWritableDerivedField": false,
    "IsMasked": false,
    "GrantKeyWhenReadable": "principal-knowledge-authority|Requirements"
   },
   {
    "FieldGrantId": "fg-knowledge-authority-Requirements.MinimumSampleForAssurance",
    "Principal": "principal-knowledge-authority",
    "TargetField": "Requirements.MinimumSampleForAssurance",
    "CanRead": true,
    "CanWrite": false,
    "MaskStrategy": "plain",
    "SemanticTypeIri": "urn:effortless:pko-extension#FieldGrant",
    "Name": "principal-knowledge-authority -&gt; Requirements.MinimumSampleForAssurance",
    "FieldTable": "Requirements",
    "FieldName": "MinimumSampleForAssurance",
    "FieldIsDerived": false,
    "IsWritableDerivedField": false,
    "IsMasked": false,
    "GrantKeyWhenReadable": "principal-knowledge-authority|Requirements"
   },
   {
    "FieldGrantId": "fg-knowledge-authority-Requirements.IsUntestedWitness",
    "Principal": "principal-knowledge-authority",
    "TargetField": "Requirements.IsUntestedWitness",
    "CanRead": true,
    "CanWrite": false,
    "MaskStrategy": "plain",
    "SemanticTypeIri": "urn:effortless:pko-extension#FieldGrant",
    "Name": "principal-knowledge-authority -&gt; Requirements.IsUntestedWitness",
    "FieldTable": "Requirements",
    "FieldName": "IsUntestedWitness",
    "FieldIsDerived": true,
    "IsWritableDerivedField": false,
    "IsMasked": false,
    "GrantKeyWhenReadable": "principal-knowledge-authority|Requirements"
   },
   {
    "FieldGrantId": "fg-knowledge-authority-Requirements.IsEvidencedHoldingControl",
    "Principal": "principal-knowledge-authority",
    "TargetField": "Requirements.IsEvidencedHoldingControl",
    "CanRead": true,
    "CanWrite": false,
    "MaskStrategy": "plain",
    "SemanticTypeIri": "urn:effortless:pko-extension#FieldGrant",
    "Name": "principal-knowledge-authority -&gt; Requirements.IsEvidencedHoldingControl",
    "FieldTable": "Requirements",
    "FieldName": "IsEvidencedHoldingControl",
    "FieldIsDerived": true,
    "IsWritableDerivedField": false,
    "IsMasked": false,
    "GrantKeyWhenReadable": "principal-knowledge-authority|Requirements"
   },
   {
    "FieldGrantId": "fg-knowledge-authority-Requirements.ControlAssuranceState",
    "Principal": "principal-knowledge-authority",
    "TargetField": "Requirements.ControlAssuranceState",
    "CanRead": true,
    "CanWrite": false,
    "MaskStrategy": "plain",
    "SemanticTypeIri": "urn:effortless:pko-extension#FieldGrant",
    "Name": "principal-knowledge-authority -&gt; Requirements.ControlAssuranceState",
    "FieldTable": "Requirements",
    "FieldName": "ControlAssuranceState",
    "FieldIsDerived": true,
    "IsWritableDerivedField": false,
    "IsMasked": false,
    "GrantKeyWhenReadable": "principal-knowledge-authority|Requirements"
   },
   {
    "FieldGrantId": "fg-knowledge-authority-Requirements.UnexercisedBindingCount",
    "Principal": "principal-knowledge-authority",
    "TargetField": "Requirements.UnexercisedBindingCount",
    "CanRead": true,
    "CanWrite": false,
    "MaskStrategy": "plain",
    "SemanticTypeIri": "urn:effortless:pko-extension#FieldGrant",
    "Name": "principal-knowledge-authority -&gt; Requirements.UnexercisedBindingCount",
    "FieldTable": "Requirements",
    "FieldName": "UnexercisedBindingCount",
    "FieldIsDerived": true,
    "IsWritableDerivedField": false,
    "IsMasked": false,
    "GrantKeyWhenReadable": "principal-knowledge-authority|Requirements"
   },
   {
    "FieldGrantId": "fg-knowledge-authority-Requirements.WitnessIsPartiallyScoped",
    "Principal": "principal-knowledge-authority",
    "TargetField": "Requirements.WitnessIsPartiallyScoped",
    "CanRead": true,
    "CanWrite": false,
    "MaskStrategy": "plain",
    "SemanticTypeIri": "urn:effortless:pko-extension#FieldGrant",
    "Name": "principal-knowledge-authority -&gt; Requirements.WitnessIsPartiallyScoped",
    "FieldTable": "Requirements",
    "FieldName": "WitnessIsPartiallyScoped",
    "FieldIsDerived": true,
    "IsWritableDerivedField": false,
    "IsMasked": false,
    "GrantKeyWhenReadable": "principal-knowledge-authority|Requirements"
   },
   {
    "FieldGrantId": "fg-knowledge-authority-Requirements.AccountableRole",
    "Principal": "principal-knowledge-authority",
    "TargetField": "Requirements.AccountableRole",
    "CanRead": true,
    "CanWrite": false,
    "MaskStrategy": "plain",
    "SemanticTypeIri": "urn:effortless:pko-extension#FieldGrant",
    "Name": "principal-knowledge-authority -&gt; Requirements.AccountableRole",
    "FieldTable": "Requirements",
    "FieldName": "AccountableRole",
    "FieldIsDerived": false,
    "IsWritableDerivedField": false,
    "IsMasked": false,
    "GrantKeyWhenReadable": "principal-knowledge-authority|Requirements"
   },
   {
    "FieldGrantId": "fg-knowledge-authority-Requirements.AccountableAgent",
    "Principal": "principal-knowledge-authority",
    "TargetField": "Requirements.AccountableAgent",
    "CanRead": true,
    "CanWrite": false,
    "MaskStrategy": "plain",
    "SemanticTypeIri": "urn:effortless:pko-extension#FieldGrant",
    "Name": "principal-knowledge-authority -&gt; Requirements.AccountableAgent",
    "FieldTable": "Requirements",
    "FieldName": "AccountableAgent",
    "FieldIsDerived": true,
    "IsWritableDerivedField": false,
    "IsMasked": false,
    "GrantKeyWhenReadable": "principal-knowledge-authority|Requirements"
   },
   {
    "FieldGrantId": "fg-knowledge-authority-Requirements.HasNamedOwner",
    "Principal": "principal-knowledge-authority",
    "TargetField": "Requirements.HasNamedOwner",
    "CanRead": true,
    "CanWrite": false,
    "MaskStrategy": "plain",
    "SemanticTypeIri": "urn:effortless:pko-extension#FieldGrant",
    "Name": "principal-knowledge-authority -&gt; Requirements.HasNamedOwner",
    "FieldTable": "Requirements",
    "FieldName": "HasNamedOwner",
    "FieldIsDerived": true,
    "IsWritableDerivedField": false,
    "IsMasked": false,
    "GrantKeyWhenReadable": "principal-knowledge-authority|Requirements"
   },
   {
    "FieldGrantId": "fg-knowledge-authority-Requirements.IsOrphanedBlockingControl",
    "Principal": "principal-knowledge-authority",
    "TargetField": "Requirements.IsOrphanedBlockingControl",
    "CanRead": true,
    "CanWrite": false,
    "MaskStrategy": "plain",
    "SemanticTypeIri": "urn:effortless:pko-extension#FieldGrant",
    "Name": "principal-knowledge-authority -&gt; Requirements.IsOrphanedBlockingControl",
    "FieldTable": "Requirements",
    "FieldName": "IsOrphanedBlockingControl",
    "FieldIsDerived": true,
    "IsWritableDerivedField": false,
    "IsMasked": false,
    "GrantKeyWhenReadable": "principal-knowledge-authority|Requirements"
   },
   {
    "FieldGrantId": "fg-knowledge-authority-Requirements.IsUnwatchedAndUnowned",
    "Principal": "principal-knowledge-authority",
    "TargetField": "Requirements.IsUnwatchedAndUnowned",
    "CanRead": true,
    "CanWrite": false,
    "MaskStrategy": "plain",
    "SemanticTypeIri": "urn:effortless:pko-extension#FieldGrant",
    "Name": "principal-knowledge-authority -&gt; Requirements.IsUnwatchedAndUnowned",
    "FieldTable": "Requirements",
    "FieldName": "IsUnwatchedAndUnowned",
    "FieldIsDerived": true,
    "IsWritableDerivedField": false,
    "IsMasked": false,
    "GrantKeyWhenReadable": "principal-knowledge-authority|Requirements"
   },
   {
    "FieldGrantId": "fg-knowledge-authority-Requirements.AttestationExposureNote",
    "Principal": "principal-knowledge-authority",
    "TargetField": "Requirements.AttestationExposureNote",
    "CanRead": true,
    "CanWrite": false,
    "MaskStrategy": "plain",
    "SemanticTypeIri": "urn:effortless:pko-extension#FieldGrant",
    "Name": "principal-knowledge-authority -&gt; Requirements.AttestationExposureNote",
    "FieldTable": "Requirements",
    "FieldName": "AttestationExposureNote",
    "FieldIsDerived": true,
    "IsWritableDerivedField": false,
    "IsMasked": false,
    "GrantKeyWhenReadable": "principal-knowledge-authority|Requirements"
   },
   {
    "FieldGrantId": "fg-knowledge-authority-Requirements.UnwatchedUnownedFlag",
    "Principal": "principal-knowledge-authority",
    "TargetField": "Requirements.UnwatchedUnownedFlag",
    "CanRead": true,
    "CanWrite": false,
    "MaskStrategy": "plain",
    "SemanticTypeIri": "urn:effortless:pko-extension#FieldGrant",
    "Name": "principal-knowledge-authority -&gt; Requirements.UnwatchedUnownedFlag",
    "FieldTable": "Requirements",
    "FieldName": "UnwatchedUnownedFlag",
    "FieldIsDerived": true,
    "IsWritableDerivedField": false,
    "IsMasked": false,
    "GrantKeyWhenReadable": "principal-knowledge-authority|Requirements"
   },
   {
    "FieldGrantId": "fg-knowledge-authority-Requirements.SemanticTypeIri",
    "Principal": "principal-knowledge-authority",
    "TargetField": "Requirements.SemanticTypeIri",
    "CanRead": true,
    "CanWrite": false,
    "MaskStrategy": "plain",
    "SemanticTypeIri": "urn:effortless:pko-extension#FieldGrant",
    "Name": "principal-knowledge-authority -&gt; Requirements.SemanticTypeIri",
    "FieldTable": "Requirements",
    "FieldName": "SemanticTypeIri",
    "FieldIsDerived": false,
    "IsWritableDerivedField": false,
    "IsMasked": false,
    "GrantKeyWhenReadable": "principal-knowledge-authority|Requirements"
   },
   {
    "FieldGrantId": "fg-knowledge-authority-Resources.ResourceId",
    "Principal": "principal-knowledge-authority",
    "TargetField": "Resources.ResourceId",
    "CanRead": true,
    "CanWrite": false,
    "MaskStrategy": "plain",
    "SemanticTypeIri": "urn:effortless:pko-extension#FieldGrant",
    "Name": "principal-knowledge-authority -&gt; Resources.ResourceId",
    "FieldTable": "Resources",
    "FieldName": "ResourceId",
    "FieldIsDerived": false,
    "IsWritableDerivedField": false,
    "IsMasked": false,
    "GrantKeyWhenReadable": "principal-knowledge-authority|Resources"
   },
   {
    "FieldGrantId": "fg-knowledge-authority-Resources.Name",
    "Principal": "principal-knowledge-authority",
    "TargetField": "Resources.Name",
    "CanRead": true,
    "CanWrite": false,
    "MaskStrategy": "plain",
    "SemanticTypeIri": "urn:effortless:pko-extension#FieldGrant",
    "Name": "principal-knowledge-authority -&gt; Resources.Name",
    "FieldTable": "Resources",
    "FieldName": "Name",
    "FieldIsDerived": true,
    "IsWritableDerivedField": false,
    "IsMasked": false,
    "GrantKeyWhenReadable": "principal-knowledge-authority|Resources"
   },
   {
    "FieldGrantId": "fg-knowledge-authority-Resources.Title",
    "Principal": "principal-knowledge-authority",
    "TargetField": "Resources.Title",
    "CanRead": true,
    "CanWrite": false,
    "MaskStrategy": "plain",
    "SemanticTypeIri": "urn:effortless:pko-extension#FieldGrant",
    "Name": "principal-knowledge-authority -&gt; Resources.Title",
    "FieldTable": "Resources",
    "FieldName": "Title",
    "FieldIsDerived": false,
    "IsWritableDerivedField": false,
    "IsMasked": false,
    "GrantKeyWhenReadable": "principal-knowledge-authority|Resources"
   },
   {
    "FieldGrantId": "fg-knowledge-authority-Resources.ResourceKind",
    "Principal": "principal-knowledge-authority",
    "TargetField": "Resources.ResourceKind",
    "CanRead": true,
    "CanWrite": false,
    "MaskStrategy": "plain",
    "SemanticTypeIri": "urn:effortless:pko-extension#FieldGrant",
    "Name": "principal-knowledge-authority -&gt; Resources.ResourceKind",
    "FieldTable": "Resources",
    "FieldName": "ResourceKind",
    "FieldIsDerived": false,
    "IsWritableDerivedField": false,
    "IsMasked": false,
    "GrantKeyWhenReadable": "principal-knowledge-authority|Resources"
   },
   {
    "FieldGrantId": "fg-knowledge-authority-Resources.ExternalUri",
    "Principal": "principal-knowledge-authority",
    "TargetField": "Resources.ExternalUri",
    "CanRead": true,
    "CanWrite": false,
    "MaskStrategy": "plain",
    "SemanticTypeIri": "urn:effortless:pko-extension#FieldGrant",
    "Name": "principal-knowledge-authority -&gt; Resources.ExternalUri",
    "FieldTable": "Resources",
    "FieldName": "ExternalUri",
    "FieldIsDerived": false,
    "IsWritableDerivedField": false,
    "IsMasked": false,
    "GrantKeyWhenReadable": "principal-knowledge-authority|Resources"
   },
   {
    "FieldGrantId": "fg-knowledge-authority-Resources.CreatedAt",
    "Principal": "principal-knowledge-authority",
    "TargetField": "Resources.CreatedAt",
    "CanRead": true,
    "CanWrite": false,
    "MaskStrategy": "plain",
    "SemanticTypeIri": "urn:effortless:pko-extension#FieldGrant",
    "Name": "principal-knowledge-authority -&gt; Resources.CreatedAt",
    "FieldTable": "Resources",
    "FieldName": "CreatedAt",
    "FieldIsDerived": false,
    "IsWritableDerivedField": false,
    "IsMasked": false,
    "GrantKeyWhenReadable": "principal-knowledge-authority|Resources"
   },
   {
    "FieldGrantId": "fg-knowledge-authority-Resources.ModifiedAt",
    "Principal": "principal-knowledge-authority",
    "TargetField": "Resources.ModifiedAt",
    "CanRead": true,
    "CanWrite": false,
    "MaskStrategy": "plain",
    "SemanticTypeIri": "urn:effortless:pko-extension#FieldGrant",
    "Name": "principal-knowledge-authority -&gt; Resources.ModifiedAt",
    "FieldTable": "Resources",
    "FieldName": "ModifiedAt",
    "FieldIsDerived": false,
    "IsWritableDerivedField": false,
    "IsMasked": false,
    "GrantKeyWhenReadable": "principal-knowledge-authority|Resources"
   },
   {
    "FieldGrantId": "fg-knowledge-authority-Resources.Description",
    "Principal": "principal-knowledge-authority",
    "TargetField": "Resources.Description",
    "CanRead": true,
    "CanWrite": false,
    "MaskStrategy": "plain",
    "SemanticTypeIri": "urn:effortless:pko-extension#FieldGrant",
    "Name": "principal-knowledge-authority -&gt; Resources.Description",
    "FieldTable": "Resources",
    "FieldName": "Description",
    "FieldIsDerived": false,
    "IsWritableDerivedField": false,
    "IsMasked": false,
    "GrantKeyWhenReadable": "principal-knowledge-authority|Resources"
   },
   {
    "FieldGrantId": "fg-knowledge-authority-Resources.ApprovalStatus",
    "Principal": "principal-knowledge-authority",
    "TargetField": "Resources.ApprovalStatus",
    "CanRead": true,
    "CanWrite": false,
    "MaskStrategy": "plain",
    "SemanticTypeIri": "urn:effortless:pko-extension#FieldGrant",
    "Name": "principal-knowledge-authority -&gt; Resources.ApprovalStatus",
    "FieldTable": "Resources",
    "FieldName": "ApprovalStatus",
    "FieldIsDerived": false,
    "IsWritableDerivedField": false,
    "IsMasked": false,
    "GrantKeyWhenReadable": "principal-knowledge-authority|Resources"
   },
   {
    "FieldGrantId": "fg-knowledge-authority-Resources.IsApprovedSource",
    "Principal": "principal-knowledge-authority",
    "TargetField": "Resources.IsApprovedSource",
    "CanRead": true,
    "CanWrite": false,
    "MaskStrategy": "plain",
    "SemanticTypeIri": "urn:effortless:pko-extension#FieldGrant",
    "Name": "principal-knowledge-authority -&gt; Resources.IsApprovedSource",
    "FieldTable": "Resources",
    "FieldName": "IsApprovedSource",
    "FieldIsDerived": true,
    "IsWritableDerivedField": false,
    "IsMasked": false,
    "GrantKeyWhenReadable": "principal-knowledge-authority|Resources"
   },
   {
    "FieldGrantId": "fg-knowledge-authority-Resources.SemanticTypeIri",
    "Principal": "principal-knowledge-authority",
    "TargetField": "Resources.SemanticTypeIri",
    "CanRead": true,
    "CanWrite": false,
    "MaskStrategy": "plain",
    "SemanticTypeIri": "urn:effortless:pko-extension#FieldGrant",
    "Name": "principal-knowledge-authority -&gt; Resources.SemanticTypeIri",
    "FieldTable": "Resources",
    "FieldName": "SemanticTypeIri",
    "FieldIsDerived": false,
    "IsWritableDerivedField": false,
    "IsMasked": false,
    "GrantKeyWhenReadable": "principal-knowledge-authority|Resources"
   },
   {
    "FieldGrantId": "fg-knowledge-authority-ReviewEvents.ReviewEventId",
    "Principal": "principal-knowledge-authority",
    "TargetField": "ReviewEvents.ReviewEventId",
    "CanRead": true,
    "CanWrite": false,
    "MaskStrategy": "plain",
    "SemanticTypeIri": "urn:effortless:pko-extension#FieldGrant",
    "Name": "principal-knowledge-authority -&gt; ReviewEvents.ReviewEventId",
    "FieldTable": "ReviewEvents",
    "FieldName": "ReviewEventId",
    "FieldIsDerived": false,
    "IsWritableDerivedField": false,
    "IsMasked": false,
    "GrantKeyWhenReadable": "principal-knowledge-authority|ReviewEvents"
   },
   {
    "FieldGrantId": "fg-knowledge-authority-ReviewEvents.Name",
    "Principal": "principal-knowledge-authority",
    "TargetField": "ReviewEvents.Name",
    "CanRead": true,
    "CanWrite": false,
    "MaskStrategy": "plain",
    "SemanticTypeIri": "urn:effortless:pko-extension#FieldGrant",
    "Name": "principal-knowledge-authority -&gt; ReviewEvents.Name",
    "FieldTable": "ReviewEvents",
    "FieldName": "Name",
    "FieldIsDerived": true,
    "IsWritableDerivedField": false,
    "IsMasked": false,
    "GrantKeyWhenReadable": "principal-knowledge-authority|ReviewEvents"
   },
   {
    "FieldGrantId": "fg-knowledge-authority-ReviewEvents.ProcedureVersion",
    "Principal": "principal-knowledge-authority",
    "TargetField": "ReviewEvents.ProcedureVersion",
    "CanRead": true,
    "CanWrite": false,
    "MaskStrategy": "plain",
    "SemanticTypeIri": "urn:effortless:pko-extension#FieldGrant",
    "Name": "principal-knowledge-authority -&gt; ReviewEvents.ProcedureVersion",
    "FieldTable": "ReviewEvents",
    "FieldName": "ProcedureVersion",
    "FieldIsDerived": false,
    "IsWritableDerivedField": false,
    "IsMasked": false,
    "GrantKeyWhenReadable": "principal-knowledge-authority|ReviewEvents"
   },
   {
    "FieldGrantId": "fg-knowledge-authority-ReviewEvents.ReviewKind",
    "Principal": "principal-knowledge-authority",
    "TargetField": "ReviewEvents.ReviewKind",
    "CanRead": true,
    "CanWrite": false,
    "MaskStrategy": "plain",
    "SemanticTypeIri": "urn:effortless:pko-extension#FieldGrant",
    "Name": "principal-knowledge-authority -&gt; ReviewEvents.ReviewKind",
    "FieldTable": "ReviewEvents",
    "FieldName": "ReviewKind",
    "FieldIsDerived": false,
    "IsWritableDerivedField": false,
    "IsMasked": false,
    "GrantKeyWhenReadable": "principal-knowledge-authority|ReviewEvents"
   },
   {
    "FieldGrantId": "fg-knowledge-authority-ReviewEvents.ReviewedAt",
    "Principal": "principal-knowledge-authority",
    "TargetField": "ReviewEvents.ReviewedAt",
    "CanRead": true,
    "CanWrite": false,
    "MaskStrategy": "plain",
    "SemanticTypeIri": "urn:effortless:pko-extension#FieldGrant",
    "Name": "principal-knowledge-authority -&gt; ReviewEvents.ReviewedAt",
    "FieldTable": "ReviewEvents",
    "FieldName": "ReviewedAt",
    "FieldIsDerived": false,
    "IsWritableDerivedField": false,
    "IsMasked": false,
    "GrantKeyWhenReadable": "principal-knowledge-authority|ReviewEvents"
   },
   {
    "FieldGrantId": "fg-knowledge-authority-ReviewEvents.ReviewedByAgent",
    "Principal": "principal-knowledge-authority",
    "TargetField": "ReviewEvents.ReviewedByAgent",
    "CanRead": true,
    "CanWrite": false,
    "MaskStrategy": "plain",
    "SemanticTypeIri": "urn:effortless:pko-extension#FieldGrant",
    "Name": "principal-knowledge-authority -&gt; ReviewEvents.ReviewedByAgent",
    "FieldTable": "ReviewEvents",
    "FieldName": "ReviewedByAgent",
    "FieldIsDerived": false,
    "IsWritableDerivedField": false,
    "IsMasked": false,
    "GrantKeyWhenReadable": "principal-knowledge-authority|ReviewEvents"
   },
   {
    "FieldGrantId": "fg-knowledge-authority-ReviewEvents.Outcome",
    "Principal": "principal-knowledge-authority",
    "TargetField": "ReviewEvents.Outcome",
    "CanRead": true,
    "CanWrite": false,
    "MaskStrategy": "plain",
    "SemanticTypeIri": "urn:effortless:pko-extension#FieldGrant",
    "Name": "principal-knowledge-authority -&gt; ReviewEvents.Outcome",
    "FieldTable": "ReviewEvents",
    "FieldName": "Outcome",
    "FieldIsDerived": false,
    "IsWritableDerivedField": false,
    "IsMasked": false,
    "GrantKeyWhenReadable": "principal-knowledge-authority|ReviewEvents"
   },
   {
    "FieldGrantId": "fg-knowledge-authority-ReviewEvents.RelatedChangeRequest",
    "Principal": "principal-knowledge-authority",
    "TargetField": "ReviewEvents.RelatedChangeRequest",
    "CanRead": true,
    "CanWrite": false,
    "MaskStrategy": "plain",
    "SemanticTypeIri": "urn:effortless:pko-extension#FieldGrant",
    "Name": "principal-knowledge-authority -&gt; ReviewEvents.RelatedChangeRequest",
    "FieldTable": "ReviewEvents",
    "FieldName": "RelatedChangeRequest",
    "FieldIsDerived": false,
    "IsWritableDerivedField": false,
    "IsMasked": false,
    "GrantKeyWhenReadable": "principal-knowledge-authority|ReviewEvents"
   },
   {
    "FieldGrantId": "fg-knowledge-authority-ReviewEvents.NextReviewDue",
    "Principal": "principal-knowledge-authority",
    "TargetField": "ReviewEvents.NextReviewDue",
    "CanRead": true,
    "CanWrite": false,
    "MaskStrategy": "plain",
    "SemanticTypeIri": "urn:effortless:pko-extension#FieldGrant",
    "Name": "principal-knowledge-authority -&gt; ReviewEvents.NextReviewDue",
    "FieldTable": "ReviewEvents",
    "FieldName": "NextReviewDue",
    "FieldIsDerived": false,
    "IsWritableDerivedField": false,
    "IsMasked": false,
    "GrantKeyWhenReadable": "principal-knowledge-authority|ReviewEvents"
   },
   {
    "FieldGrantId": "fg-knowledge-authority-ReviewEvents.EvaluationContext",
    "Principal": "principal-knowledge-authority",
    "TargetField": "ReviewEvents.EvaluationContext",
    "CanRead": true,
    "CanWrite": false,
    "MaskStrategy": "plain",
    "SemanticTypeIri": "urn:effortless:pko-extension#FieldGrant",
    "Name": "principal-knowledge-authority -&gt; ReviewEvents.EvaluationContext",
    "FieldTable": "ReviewEvents",
    "FieldName": "EvaluationContext",
    "FieldIsDerived": false,
    "IsWritableDerivedField": false,
    "IsMasked": false,
    "GrantKeyWhenReadable": "principal-knowledge-authority|ReviewEvents"
   },
   {
    "FieldGrantId": "fg-knowledge-authority-ReviewEvents.AsOfInstant",
    "Principal": "principal-knowledge-authority",
    "TargetField": "ReviewEvents.AsOfInstant",
    "CanRead": true,
    "CanWrite": false,
    "MaskStrategy": "plain",
    "SemanticTypeIri": "urn:effortless:pko-extension#FieldGrant",
    "Name": "principal-knowledge-authority -&gt; ReviewEvents.AsOfInstant",
    "FieldTable": "ReviewEvents",
    "FieldName": "AsOfInstant",
    "FieldIsDerived": true,
    "IsWritableDerivedField": false,
    "IsMasked": false,
    "GrantKeyWhenReadable": "principal-knowledge-authority|ReviewEvents"
   },
   {
    "FieldGrantId": "fg-knowledge-authority-ReviewEvents.IsOverdue",
    "Principal": "principal-knowledge-authority",
    "TargetField": "ReviewEvents.IsOverdue",
    "CanRead": true,
    "CanWrite": false,
    "MaskStrategy": "plain",
    "SemanticTypeIri": "urn:effortless:pko-extension#FieldGrant",
    "Name": "principal-knowledge-authority -&gt; ReviewEvents.IsOverdue",
    "FieldTable": "ReviewEvents",
    "FieldName": "IsOverdue",
    "FieldIsDerived": true,
    "IsWritableDerivedField": false,
    "IsMasked": false,
    "GrantKeyWhenReadable": "principal-knowledge-authority|ReviewEvents"
   },
   {
    "FieldGrantId": "fg-knowledge-authority-ReviewEvents.OverdueVersionKey",
    "Principal": "principal-knowledge-authority",
    "TargetField": "ReviewEvents.OverdueVersionKey",
    "CanRead": true,
    "CanWrite": false,
    "MaskStrategy": "plain",
    "SemanticTypeIri": "urn:effortless:pko-extension#FieldGrant",
    "Name": "principal-knowledge-authority -&gt; ReviewEvents.OverdueVersionKey",
    "FieldTable": "ReviewEvents",
    "FieldName": "OverdueVersionKey",
    "FieldIsDerived": true,
    "IsWritableDerivedField": false,
    "IsMasked": false,
    "GrantKeyWhenReadable": "principal-knowledge-authority|ReviewEvents"
   },
   {
    "FieldGrantId": "fg-knowledge-authority-ReviewEvents.PromisedCadenceDays",
    "Principal": "principal-knowledge-authority",
    "TargetField": "ReviewEvents.PromisedCadenceDays",
    "CanRead": true,
    "CanWrite": false,
    "MaskStrategy": "plain",
    "SemanticTypeIri": "urn:effortless:pko-extension#FieldGrant",
    "Name": "principal-knowledge-authority -&gt; ReviewEvents.PromisedCadenceDays",
    "FieldTable": "ReviewEvents",
    "FieldName": "PromisedCadenceDays",
    "FieldIsDerived": true,
    "IsWritableDerivedField": false,
    "IsMasked": false,
    "GrantKeyWhenReadable": "principal-knowledge-authority|ReviewEvents"
   },
   {
    "FieldGrantId": "fg-knowledge-authority-ReviewEvents.DaysSinceReviewed",
    "Principal": "principal-knowledge-authority",
    "TargetField": "ReviewEvents.DaysSinceReviewed",
    "CanRead": true,
    "CanWrite": false,
    "MaskStrategy": "plain",
    "SemanticTypeIri": "urn:effortless:pko-extension#FieldGrant",
    "Name": "principal-knowledge-authority -&gt; ReviewEvents.DaysSinceReviewed",
    "FieldTable": "ReviewEvents",
    "FieldName": "DaysSinceReviewed",
    "FieldIsDerived": true,
    "IsWritableDerivedField": false,
    "IsMasked": false,
    "GrantKeyWhenReadable": "principal-knowledge-authority|ReviewEvents"
   },
   {
    "FieldGrantId": "fg-knowledge-authority-ReviewEvents.ExceedsPromisedCadence",
    "Principal": "principal-knowledge-authority",
    "TargetField": "ReviewEvents.ExceedsPromisedCadence",
    "CanRead": true,
    "CanWrite": false,
    "MaskStrategy": "plain",
    "SemanticTypeIri": "urn:effortless:pko-extension#FieldGrant",
    "Name": "principal-knowledge-authority -&gt; ReviewEvents.ExceedsPromisedCadence",
    "FieldTable": "ReviewEvents",
    "FieldName": "ExceedsPromisedCadence",
    "FieldIsDerived": true,
    "IsWritableDerivedField": false,
    "IsMasked": false,
    "GrantKeyWhenReadable": "principal-knowledge-authority|ReviewEvents"
   },
   {
    "FieldGrantId": "fg-knowledge-authority-ReviewEvents.CadenceDriftDays",
    "Principal": "principal-knowledge-authority",
    "TargetField": "ReviewEvents.CadenceDriftDays",
    "CanRead": true,
    "CanWrite": false,
    "MaskStrategy": "plain",
    "SemanticTypeIri": "urn:effortless:pko-extension#FieldGrant",
    "Name": "principal-knowledge-authority -&gt; ReviewEvents.CadenceDriftDays",
    "FieldTable": "ReviewEvents",
    "FieldName": "CadenceDriftDays",
    "FieldIsDerived": true,
    "IsWritableDerivedField": false,
    "IsMasked": false,
    "GrantKeyWhenReadable": "principal-knowledge-authority|ReviewEvents"
   },
   {
    "FieldGrantId": "fg-knowledge-authority-ReviewEvents.PromiseAndBehaviorDisagree",
    "Principal": "principal-knowledge-authority",
    "TargetField": "ReviewEvents.PromiseAndBehaviorDisagree",
    "CanRead": true,
    "CanWrite": false,
    "MaskStrategy": "plain",
    "SemanticTypeIri": "urn:effortless:pko-extension#FieldGrant",
    "Name": "principal-knowledge-authority -&gt; ReviewEvents.PromiseAndBehaviorDisagree",
    "FieldTable": "ReviewEvents",
    "FieldName": "PromiseAndBehaviorDisagree",
    "FieldIsDerived": true,
    "IsWritableDerivedField": false,
    "IsMasked": false,
    "GrantKeyWhenReadable": "principal-knowledge-authority|ReviewEvents"
   },
   {
    "FieldGrantId": "fg-knowledge-authority-ReviewEvents.CadenceBreachVersionKey",
    "Principal": "principal-knowledge-authority",
    "TargetField": "ReviewEvents.CadenceBreachVersionKey",
    "CanRead": true,
    "CanWrite": false,
    "MaskStrategy": "plain",
    "SemanticTypeIri": "urn:effortless:pko-extension#FieldGrant",
    "Name": "principal-knowledge-authority -&gt; ReviewEvents.CadenceBreachVersionKey",
    "FieldTable": "ReviewEvents",
    "FieldName": "CadenceBreachVersionKey",
    "FieldIsDerived": true,
    "IsWritableDerivedField": false,
    "IsMasked": false,
    "GrantKeyWhenReadable": "principal-knowledge-authority|ReviewEvents"
   },
   {
    "FieldGrantId": "fg-knowledge-authority-ReviewEvents.SemanticTypeIri",
    "Principal": "principal-knowledge-authority",
    "TargetField": "ReviewEvents.SemanticTypeIri",
    "CanRead": true,
    "CanWrite": false,
    "MaskStrategy": "plain",
    "SemanticTypeIri": "urn:effortless:pko-extension#FieldGrant",
    "Name": "principal-knowledge-authority -&gt; ReviewEvents.SemanticTypeIri",
    "FieldTable": "ReviewEvents",
    "FieldName": "SemanticTypeIri",
    "FieldIsDerived": false,
    "IsWritableDerivedField": false,
    "IsMasked": false,
    "GrantKeyWhenReadable": "principal-knowledge-authority|ReviewEvents"
   },
   {
    "FieldGrantId": "fg-knowledge-authority-RoleAssignments.RoleAssignmentId",
    "Principal": "principal-knowledge-authority",
    "TargetField": "RoleAssignments.RoleAssignmentId",
    "CanRead": true,
    "CanWrite": false,
    "MaskStrategy": "plain",
    "SemanticTypeIri": "urn:effortless:pko-extension#FieldGrant",
    "Name": "principal-knowledge-authority -&gt; RoleAssignments.RoleAssignmentId",
    "FieldTable": "RoleAssignments",
    "FieldName": "RoleAssignmentId",
    "FieldIsDerived": false,
    "IsWritableDerivedField": false,
    "IsMasked": false,
    "GrantKeyWhenReadable": "principal-knowledge-authority|RoleAssignments"
   },
   {
    "FieldGrantId": "fg-knowledge-authority-RoleAssignments.Name",
    "Principal": "principal-knowledge-authority",
    "TargetField": "RoleAssignments.Name",
    "CanRead": true,
    "CanWrite": false,
    "MaskStrategy": "plain",
    "SemanticTypeIri": "urn:effortless:pko-extension#FieldGrant",
    "Name": "principal-knowledge-authority -&gt; RoleAssignments.Name",
    "FieldTable": "RoleAssignments",
    "FieldName": "Name",
    "FieldIsDerived": true,
    "IsWritableDerivedField": false,
    "IsMasked": false,
    "GrantKeyWhenReadable": "principal-knowledge-authority|RoleAssignments"
   },
   {
    "FieldGrantId": "fg-knowledge-authority-RoleAssignments.Role",
    "Principal": "principal-knowledge-authority",
    "TargetField": "RoleAssignments.Role",
    "CanRead": true,
    "CanWrite": false,
    "MaskStrategy": "plain",
    "SemanticTypeIri": "urn:effortless:pko-extension#FieldGrant",
    "Name": "principal-knowledge-authority -&gt; RoleAssignments.Role",
    "FieldTable": "RoleAssignments",
    "FieldName": "Role",
    "FieldIsDerived": false,
    "IsWritableDerivedField": false,
    "IsMasked": false,
    "GrantKeyWhenReadable": "principal-knowledge-authority|RoleAssignments"
   },
   {
    "FieldGrantId": "fg-knowledge-authority-RoleAssignments.Agent",
    "Principal": "principal-knowledge-authority",
    "TargetField": "RoleAssignments.Agent",
    "CanRead": true,
    "CanWrite": false,
    "MaskStrategy": "plain",
    "SemanticTypeIri": "urn:effortless:pko-extension#FieldGrant",
    "Name": "principal-knowledge-authority -&gt; RoleAssignments.Agent",
    "FieldTable": "RoleAssignments",
    "FieldName": "Agent",
    "FieldIsDerived": false,
    "IsWritableDerivedField": false,
    "IsMasked": false,
    "GrantKeyWhenReadable": "principal-knowledge-authority|RoleAssignments"
   },
   {
    "FieldGrantId": "fg-knowledge-authority-RoleAssignments.ValidFrom",
    "Principal": "principal-knowledge-authority",
    "TargetField": "RoleAssignments.ValidFrom",
    "CanRead": true,
    "CanWrite": false,
    "MaskStrategy": "plain",
    "SemanticTypeIri": "urn:effortless:pko-extension#FieldGrant",
    "Name"</t>
  </si>
  <si>
    <t xml:space="preserve">: "principal-knowledge-authority -&gt; RoleAssignments.ValidFrom",
    "FieldTable": "RoleAssignments",
    "FieldName": "ValidFrom",
    "FieldIsDerived": false,
    "IsWritableDerivedField": false,
    "IsMasked": false,
    "GrantKeyWhenReadable": "principal-knowledge-authority|RoleAssignments"
   },
   {
    "FieldGrantId": "fg-knowledge-authority-RoleAssignments.ValidTo",
    "Principal": "principal-knowledge-authority",
    "TargetField": "RoleAssignments.ValidTo",
    "CanRead": true,
    "CanWrite": false,
    "MaskStrategy": "plain",
    "SemanticTypeIri": "urn:effortless:pko-extension#FieldGrant",
    "Name": "principal-knowledge-authority -&gt; RoleAssignments.ValidTo",
    "FieldTable": "RoleAssignments",
    "FieldName": "ValidTo",
    "FieldIsDerived": false,
    "IsWritableDerivedField": false,
    "IsMasked": false,
    "GrantKeyWhenReadable": "principal-knowledge-authority|RoleAssignments"
   },
   {
    "FieldGrantId": "fg-knowledge-authority-RoleAssignments.Reason",
    "Principal": "principal-knowledge-authority",
    "TargetField": "RoleAssignments.Reason",
    "CanRead": true,
    "CanWrite": false,
    "MaskStrategy": "plain",
    "SemanticTypeIri": "urn:effortless:pko-extension#FieldGrant",
    "Name": "principal-knowledge-authority -&gt; RoleAssignments.Reason",
    "FieldTable": "RoleAssignments",
    "FieldName": "Reason",
    "FieldIsDerived": false,
    "IsWritableDerivedField": false,
    "IsMasked": false,
    "GrantKeyWhenReadable": "principal-knowledge-authority|RoleAssignments"
   },
   {
    "FieldGrantId": "fg-knowledge-authority-RoleAssignments.Status",
    "Principal": "principal-knowledge-authority",
    "TargetField": "RoleAssignments.Status",
    "CanRead": true,
    "CanWrite": false,
    "MaskStrategy": "plain",
    "SemanticTypeIri": "urn:effortless:pko-extension#FieldGrant",
    "Name": "principal-knowledge-authority -&gt; RoleAssignments.Status",
    "FieldTable": "RoleAssignments",
    "FieldName": "Status",
    "FieldIsDerived": false,
    "IsWritableDerivedField": false,
    "IsMasked": false,
    "GrantKeyWhenReadable": "principal-knowledge-authority|RoleAssignments"
   },
   {
    "FieldGrantId": "fg-knowledge-authority-RoleAssignments.EvaluationContext",
    "Principal": "principal-knowledge-authority",
    "TargetField": "RoleAssignments.EvaluationContext",
    "CanRead": true,
    "CanWrite": false,
    "MaskStrategy": "plain",
    "SemanticTypeIri": "urn:effortless:pko-extension#FieldGrant",
    "Name": "principal-knowledge-authority -&gt; RoleAssignments.EvaluationContext",
    "FieldTable": "RoleAssignments",
    "FieldName": "EvaluationContext",
    "FieldIsDerived": false,
    "IsWritableDerivedField": false,
    "IsMasked": false,
    "GrantKeyWhenReadable": "principal-knowledge-authority|RoleAssignments"
   },
   {
    "FieldGrantId": "fg-knowledge-authority-RoleAssignments.AsOfInstant",
    "Principal": "principal-knowledge-authority",
    "TargetField": "RoleAssignments.AsOfInstant",
    "CanRead": true,
    "CanWrite": false,
    "MaskStrategy": "plain",
    "SemanticTypeIri": "urn:effortless:pko-extension#FieldGrant",
    "Name": "principal-knowledge-authority -&gt; RoleAssignments.AsOfInstant",
    "FieldTable": "RoleAssignments",
    "FieldName": "AsOfInstant",
    "FieldIsDerived": true,
    "IsWritableDerivedField": false,
    "IsMasked": false,
    "GrantKeyWhenReadable": "principal-knowledge-authority|RoleAssignments"
   },
   {
    "FieldGrantId": "fg-knowledge-authority-RoleAssignments.IsCurrent",
    "Principal": "principal-knowledge-authority",
    "TargetField": "RoleAssignments.IsCurrent",
    "CanRead": true,
    "CanWrite": false,
    "MaskStrategy": "plain",
    "SemanticTypeIri": "urn:effortless:pko-extension#FieldGrant",
    "Name": "principal-knowledge-authority -&gt; RoleAssignments.IsCurrent",
    "FieldTable": "RoleAssignments",
    "FieldName": "IsCurrent",
    "FieldIsDerived": true,
    "IsWritableDerivedField": false,
    "IsMasked": false,
    "GrantKeyWhenReadable": "principal-knowledge-authority|RoleAssignments"
   },
   {
    "FieldGrantId": "fg-knowledge-authority-RoleAssignments.CurrentAgentKey",
    "Principal": "principal-knowledge-authority",
    "TargetField": "RoleAssignments.CurrentAgentKey",
    "CanRead": true,
    "CanWrite": false,
    "MaskStrategy": "plain",
    "SemanticTypeIri": "urn:effortless:pko-extension#FieldGrant",
    "Name": "principal-knowledge-authority -&gt; RoleAssignments.CurrentAgentKey",
    "FieldTable": "RoleAssignments",
    "FieldName": "CurrentAgentKey",
    "FieldIsDerived": true,
    "IsWritableDerivedField": false,
    "IsMasked": false,
    "GrantKeyWhenReadable": "principal-knowledge-authority|RoleAssignments"
   },
   {
    "FieldGrantId": "fg-knowledge-authority-RoleAssignments.IsCurrentlyValid",
    "Principal": "principal-knowledge-authority",
    "TargetField": "RoleAssignments.IsCurrentlyValid",
    "CanRead": true,
    "CanWrite": false,
    "MaskStrategy": "plain",
    "SemanticTypeIri": "urn:effortless:pko-extension#FieldGrant",
    "Name": "principal-knowledge-authority -&gt; RoleAssignments.IsCurrentlyValid",
    "FieldTable": "RoleAssignments",
    "FieldName": "IsCurrentlyValid",
    "FieldIsDerived": true,
    "IsWritableDerivedField": false,
    "IsMasked": false,
    "GrantKeyWhenReadable": "principal-knowledge-authority|RoleAssignments"
   },
   {
    "FieldGrantId": "fg-knowledge-authority-RoleAssignments.AgentRoleKey",
    "Principal": "principal-knowledge-authority",
    "TargetField": "RoleAssignments.AgentRoleKey",
    "CanRead": true,
    "CanWrite": false,
    "MaskStrategy": "plain",
    "SemanticTypeIri": "urn:effortless:pko-extension#FieldGrant",
    "Name": "principal-knowledge-authority -&gt; RoleAssignments.AgentRoleKey",
    "FieldTable": "RoleAssignments",
    "FieldName": "AgentRoleKey",
    "FieldIsDerived": true,
    "IsWritableDerivedField": false,
    "IsMasked": false,
    "GrantKeyWhenReadable": "principal-knowledge-authority|RoleAssignments"
   },
   {
    "FieldGrantId": "fg-knowledge-authority-RoleAssignments.HasDeparted",
    "Principal": "principal-knowledge-authority",
    "TargetField": "RoleAssignments.HasDeparted",
    "CanRead": true,
    "CanWrite": false,
    "MaskStrategy": "plain",
    "SemanticTypeIri": "urn:effortless:pko-extension#FieldGrant",
    "Name": "principal-knowledge-authority -&gt; RoleAssignments.HasDeparted",
    "FieldTable": "RoleAssignments",
    "FieldName": "HasDeparted",
    "FieldIsDerived": true,
    "IsWritableDerivedField": false,
    "IsMasked": false,
    "GrantKeyWhenReadable": "principal-knowledge-authority|RoleAssignments"
   },
   {
    "FieldGrantId": "fg-knowledge-authority-RoleAssignments.CoversNow",
    "Principal": "principal-knowledge-authority",
    "TargetField": "RoleAssignments.CoversNow",
    "CanRead": true,
    "CanWrite": false,
    "MaskStrategy": "plain",
    "SemanticTypeIri": "urn:effortless:pko-extension#FieldGrant",
    "Name": "principal-knowledge-authority -&gt; RoleAssignments.CoversNow",
    "FieldTable": "RoleAssignments",
    "FieldName": "CoversNow",
    "FieldIsDerived": true,
    "IsWritableDerivedField": false,
    "IsMasked": false,
    "GrantKeyWhenReadable": "principal-knowledge-authority|RoleAssignments"
   },
   {
    "FieldGrantId": "fg-knowledge-authority-RoleAssignments.RoleWhenCovering",
    "Principal": "principal-knowledge-authority",
    "TargetField": "RoleAssignments.RoleWhenCovering",
    "CanRead": true,
    "CanWrite": false,
    "MaskStrategy": "plain",
    "SemanticTypeIri": "urn:effortless:pko-extension#FieldGrant",
    "Name": "principal-knowledge-authority -&gt; RoleAssignments.RoleWhenCovering",
    "FieldTable": "RoleAssignments",
    "FieldName": "RoleWhenCovering",
    "FieldIsDerived": true,
    "IsWritableDerivedField": false,
    "IsMasked": false,
    "GrantKeyWhenReadable": "principal-knowledge-authority|RoleAssignments"
   },
   {
    "FieldGrantId": "fg-knowledge-authority-RoleAssignments.AgentKind",
    "Principal": "principal-knowledge-authority",
    "TargetField": "RoleAssignments.AgentKind",
    "CanRead": true,
    "CanWrite": false,
    "MaskStrategy": "plain",
    "SemanticTypeIri": "urn:effortless:pko-extension#FieldGrant",
    "Name": "principal-knowledge-authority -&gt; RoleAssignments.AgentKind",
    "FieldTable": "RoleAssignments",
    "FieldName": "AgentKind",
    "FieldIsDerived": true,
    "IsWritableDerivedField": false,
    "IsMasked": false,
    "GrantKeyWhenReadable": "principal-knowledge-authority|RoleAssignments"
   },
   {
    "FieldGrantId": "fg-knowledge-authority-RoleAssignments.IsNonHumanAssignment",
    "Principal": "principal-knowledge-authority",
    "TargetField": "RoleAssignments.IsNonHumanAssignment",
    "CanRead": true,
    "CanWrite": false,
    "MaskStrategy": "plain",
    "SemanticTypeIri": "urn:effortless:pko-extension#FieldGrant",
    "Name": "principal-knowledge-authority -&gt; RoleAssignments.IsNonHumanAssignment",
    "FieldTable": "RoleAssignments",
    "FieldName": "IsNonHumanAssignment",
    "FieldIsDerived": true,
    "IsWritableDerivedField": false,
    "IsMasked": false,
    "GrantKeyWhenReadable": "principal-knowledge-authority|RoleAssignments"
   },
   {
    "FieldGrantId": "fg-knowledge-authority-RoleAssignments.SupersedesAssignment",
    "Principal": "principal-knowledge-authority",
    "TargetField": "RoleAssignments.SupersedesAssignment",
    "CanRead": true,
    "CanWrite": false,
    "MaskStrategy": "plain",
    "SemanticTypeIri": "urn:effortless:pko-extension#FieldGrant",
    "Name": "principal-knowledge-authority -&gt; RoleAssignments.SupersedesAssignment",
    "FieldTable": "RoleAssignments",
    "FieldName": "SupersedesAssignment",
    "FieldIsDerived": false,
    "IsWritableDerivedField": false,
    "IsMasked": false,
    "GrantKeyWhenReadable": "principal-knowledge-authority|RoleAssignments"
   },
   {
    "FieldGrantId": "fg-knowledge-authority-RoleAssignments.PredecessorAgentKind",
    "Principal": "principal-knowledge-authority",
    "TargetField": "RoleAssignments.PredecessorAgentKind",
    "CanRead": true,
    "CanWrite": false,
    "MaskStrategy": "plain",
    "SemanticTypeIri": "urn:effortless:pko-extension#FieldGrant",
    "Name": "principal-knowledge-authority -&gt; RoleAssignments.PredecessorAgentKind",
    "FieldTable": "RoleAssignments",
    "FieldName": "PredecessorAgentKind",
    "FieldIsDerived": true,
    "IsWritableDerivedField": false,
    "IsMasked": false,
    "GrantKeyWhenReadable": "principal-knowledge-authority|RoleAssignments"
   },
   {
    "FieldGrantId": "fg-knowledge-authority-RoleAssignments.IsHumanToNonHumanHandover",
    "Principal": "principal-knowledge-authority",
    "TargetField": "RoleAssignments.IsHumanToNonHumanHandover",
    "CanRead": true,
    "CanWrite": false,
    "MaskStrategy": "plain",
    "SemanticTypeIri": "urn:effortless:pko-extension#FieldGrant",
    "Name": "principal-knowledge-authority -&gt; RoleAssignments.IsHumanToNonHumanHandover",
    "FieldTable": "RoleAssignments",
    "FieldName": "IsHumanToNonHumanHandover",
    "FieldIsDerived": true,
    "IsWritableDerivedField": false,
    "IsMasked": false,
    "GrantKeyWhenReadable": "principal-knowledge-authority|RoleAssignments"
   },
   {
    "FieldGrantId": "fg-knowledge-authority-RoleAssignments.ApprovingAuthorityRole",
    "Principal": "principal-knowledge-authority",
    "TargetField": "RoleAssignments.ApprovingAuthorityRole",
    "CanRead": true,
    "CanWrite": false,
    "MaskStrategy": "plain",
    "SemanticTypeIri": "urn:effortless:pko-extension#FieldGrant",
    "Name": "principal-knowledge-authority -&gt; RoleAssignments.ApprovingAuthorityRole",
    "FieldTable": "RoleAssignments",
    "FieldName": "ApprovingAuthorityRole",
    "FieldIsDerived": false,
    "IsWritableDerivedField": false,
    "IsMasked": false,
    "GrantKeyWhenReadable": "principal-knowledge-authority|RoleAssignments"
   },
   {
    "FieldGrantId": "fg-knowledge-authority-RoleAssignments.AuthorizingChangeRequest",
    "Principal": "principal-knowledge-authority",
    "TargetField": "RoleAssignments.AuthorizingChangeRequest",
    "CanRead": true,
    "CanWrite": false,
    "MaskStrategy": "plain",
    "SemanticTypeIri": "urn:effortless:pko-extension#FieldGrant",
    "Name": "principal-knowledge-authority -&gt; RoleAssignments.AuthorizingChangeRequest",
    "FieldTable": "RoleAssignments",
    "FieldName": "AuthorizingChangeRequest",
    "FieldIsDerived": false,
    "IsWritableDerivedField": false,
    "IsMasked": false,
    "GrantKeyWhenReadable": "principal-knowledge-authority|RoleAssignments"
   },
   {
    "FieldGrantId": "fg-knowledge-authority-RoleAssignments.IsUnauthorizedNonHumanAssignment",
    "Principal": "principal-knowledge-authority",
    "TargetField": "RoleAssignments.IsUnauthorizedNonHumanAssignment",
    "CanRead": true,
    "CanWrite": false,
    "MaskStrategy": "plain",
    "SemanticTypeIri": "urn:effortless:pko-extension#FieldGrant",
    "Name": "principal-knowledge-authority -&gt; RoleAssignments.IsUnauthorizedNonHumanAssignment",
    "FieldTable": "RoleAssignments",
    "FieldName": "IsUnauthorizedNonHumanAssignment",
    "FieldIsDerived": true,
    "IsWritableDerivedField": false,
    "IsMasked": false,
    "GrantKeyWhenReadable": "principal-knowledge-authority|RoleAssignments"
   },
   {
    "FieldGrantId": "fg-knowledge-authority-RoleAssignments.WasAuthorizedByChangeRequest",
    "Principal": "principal-knowledge-authority",
    "TargetField": "RoleAssignments.WasAuthorizedByChangeRequest",
    "CanRead": true,
    "CanWrite": false,
    "MaskStrategy": "plain",
    "SemanticTypeIri": "urn:effortless:pko-extension#FieldGrant",
    "Name": "principal-knowledge-authority -&gt; RoleAssignments.WasAuthorizedByChangeRequest",
    "FieldTable": "RoleAssignments",
    "FieldName": "WasAuthorizedByChangeRequest",
    "FieldIsDerived": true,
    "IsWritableDerivedField": false,
    "IsMasked": false,
    "GrantKeyWhenReadable": "principal-knowledge-authority|RoleAssignments"
   },
   {
    "FieldGrantId": "fg-knowledge-authority-RoleAssignments.DecisionCount",
    "Principal": "principal-knowledge-authority",
    "TargetField": "RoleAssignments.DecisionCount",
    "CanRead": true,
    "CanWrite": false,
    "MaskStrategy": "plain",
    "SemanticTypeIri": "urn:effortless:pko-extension#FieldGrant",
    "Name": "principal-knowledge-authority -&gt; RoleAssignments.DecisionCount",
    "FieldTable": "RoleAssignments",
    "FieldName": "DecisionCount",
    "FieldIsDerived": true,
    "IsWritableDerivedField": false,
    "IsMasked": false,
    "GrantKeyWhenReadable": "principal-knowledge-authority|RoleAssignments"
   },
   {
    "FieldGrantId": "fg-knowledge-authority-RoleAssignments.OverriddenDecisionCount",
    "Principal": "principal-knowledge-authority",
    "TargetField": "RoleAssignments.OverriddenDecisionCount",
    "CanRead": true,
    "CanWrite": false,
    "MaskStrategy": "plain",
    "SemanticTypeIri": "urn:effortless:pko-extension#FieldGrant",
    "Name": "principal-knowledge-authority -&gt; RoleAssignments.OverriddenDecisionCount",
    "FieldTable": "RoleAssignments",
    "FieldName": "OverriddenDecisionCount",
    "FieldIsDerived": true,
    "IsWritableDerivedField": false,
    "IsMasked": false,
    "GrantKeyWhenReadable": "principal-knowledge-authority|RoleAssignments"
   },
   {
    "FieldGrantId": "fg-knowledge-authority-RoleAssignments.OverrideRatePercent",
    "Principal": "principal-knowledge-authority",
    "TargetField": "RoleAssignments.OverrideRatePercent",
    "CanRead": true,
    "CanWrite": false,
    "MaskStrategy": "plain",
    "SemanticTypeIri": "urn:effortless:pko-extension#FieldGrant",
    "Name": "principal-knowledge-authority -&gt; RoleAssignments.OverrideRatePercent",
    "FieldTable": "RoleAssignments",
    "FieldName": "OverrideRatePercent",
    "FieldIsDerived": true,
    "IsWritableDerivedField": false,
    "IsMasked": false,
    "GrantKeyWhenReadable": "principal-knowledge-authority|RoleAssignments"
   },
   {
    "FieldGrantId": "fg-knowledge-authority-RoleAssignments.PredecessorOverrideRatePercent",
    "Principal": "principal-knowledge-authority",
    "TargetField": "RoleAssignments.PredecessorOverrideRatePercent",
    "CanRead": true,
    "CanWrite": false,
    "MaskStrategy": "plain",
    "SemanticTypeIri": "urn:effortless:pko-extension#FieldGrant",
    "Name": "principal-knowledge-authority -&gt; RoleAssignments.PredecessorOverrideRatePercent",
    "FieldTable": "RoleAssignments",
    "FieldName": "PredecessorOverrideRatePercent",
    "FieldIsDerived": true,
    "IsWritableDerivedField": false,
    "IsMasked": false,
    "GrantKeyWhenReadable": "principal-knowledge-authority|RoleAssignments"
   },
   {
    "FieldGrantId": "fg-knowledge-authority-RoleAssignments.QualityRegressedVsPredecessor",
    "Principal": "principal-knowledge-authority",
    "TargetField": "RoleAssignments.QualityRegressedVsPredecessor",
    "CanRead": true,
    "CanWrite": false,
    "MaskStrategy": "plain",
    "SemanticTypeIri": "urn:effortless:pko-extension#FieldGrant",
    "Name": "principal-knowledge-authority -&gt; RoleAssignments.QualityRegressedVsPredecessor",
    "FieldTable": "RoleAssignments",
    "FieldName": "QualityRegressedVsPredecessor",
    "FieldIsDerived": true,
    "IsWritableDerivedField": false,
    "IsMasked": false,
    "GrantKeyWhenReadable": "principal-knowledge-authority|RoleAssignments"
   },
   {
    "FieldGrantId": "fg-knowledge-authority-RoleAssignments.DepartedRoleKey",
    "Principal": "principal-knowledge-authority",
    "TargetField": "RoleAssignments.DepartedRoleKey",
    "CanRead": true,
    "CanWrite": false,
    "MaskStrategy": "plain",
    "SemanticTypeIri": "urn:effortless:pko-extension#FieldGrant",
    "Name": "principal-knowledge-authority -&gt; RoleAssignments.DepartedRoleKey",
    "FieldTable": "RoleAssignments",
    "FieldName": "DepartedRoleKey",
    "FieldIsDerived": true,
    "IsWritableDerivedField": false,
    "IsMasked": false,
    "GrantKeyWhenReadable": "principal-knowledge-authority|RoleAssignments"
   },
   {
    "FieldGrantId": "fg-knowledge-authority-RoleAssignments.MinimumDecisionsForComparison",
    "Principal": "principal-knowledge-authority",
    "TargetField": "RoleAssignments.MinimumDecisionsForComparison",
    "CanRead": true,
    "CanWrite": false,
    "MaskStrategy": "plain",
    "SemanticTypeIri": "urn:effortless:pko-extension#FieldGrant",
    "Name": "principal-knowledge-authority -&gt; RoleAssignments.MinimumDecisionsForComparison",
    "FieldTable": "RoleAssignments",
    "FieldName": "MinimumDecisionsForComparison",
    "FieldIsDerived": false,
    "IsWritableDerivedField": false,
    "IsMasked": false,
    "GrantKeyWhenReadable": "principal-knowledge-authority|RoleAssignments"
   },
   {
    "FieldGrantId": "fg-knowledge-authority-RoleAssignments.PredecessorDecisionCount",
    "Principal": "principal-knowledge-authority",
    "TargetField": "RoleAssignments.PredecessorDecisionCount",
    "CanRead": true,
    "CanWrite": false,
    "MaskStrategy": "plain",
    "SemanticTypeIri": "urn:effortless:pko-extension#FieldGrant",
    "Name": "principal-knowledge-authority -&gt; RoleAssignments.PredecessorDecisionCount",
    "FieldTable": "RoleAssignments",
    "FieldName": "PredecessorDecisionCount",
    "FieldIsDerived": true,
    "IsWritableDerivedField": false,
    "IsMasked": false,
    "GrantKeyWhenReadable": "principal-knowledge-authority|RoleAssignments"
   },
   {
    "FieldGrantId": "fg-knowledge-authority-RoleAssignments.HasSufficientSample",
    "Principal": "principal-knowledge-authority",
    "TargetField": "RoleAssignments.HasSufficientSample",
    "CanRead": true,
    "CanWrite": false,
    "MaskStrategy": "plain",
    "SemanticTypeIri": "urn:effortless:pko-extension#FieldGrant",
    "Name": "principal-knowledge-authority -&gt; RoleAssignments.HasSufficientSample",
    "FieldTable": "RoleAssignments",
    "FieldName": "HasSufficientSample",
    "FieldIsDerived": true,
    "IsWritableDerivedField": false,
    "IsMasked": false,
    "GrantKeyWhenReadable": "principal-knowledge-authority|RoleAssignments"
   },
   {
    "FieldGrantId": "fg-knowledge-authority-RoleAssignments.PredecessorHasSufficientSample",
    "Principal": "principal-knowledge-authority",
    "TargetField": "RoleAssignments.PredecessorHasSufficientSample",
    "CanRead": true,
    "CanWrite": false,
    "MaskStrategy": "plain",
    "SemanticTypeIri": "urn:effortless:pko-extension#FieldGrant",
    "Name": "principal-knowledge-authority -&gt; RoleAssignments.PredecessorHasSufficientSample",
    "FieldTable": "RoleAssignments",
    "FieldName": "PredecessorHasSufficientSample",
    "FieldIsDerived": true,
    "IsWritableDerivedField": false,
    "IsMasked": false,
    "GrantKeyWhenReadable": "principal-knowledge-authority|RoleAssignments"
   },
   {
    "FieldGrantId": "fg-knowledge-authority-RoleAssignments.ComparisonIsEvidentiallySound",
    "Principal": "principal-knowledge-authority",
    "TargetField": "RoleAssignments.ComparisonIsEvidentiallySound",
    "CanRead": true,
    "CanWrite": false,
    "MaskStrategy": "plain",
    "SemanticTypeIri": "urn:effortless:pko-extension#FieldGrant",
    "Name": "principal-knowledge-authority -&gt; RoleAssignments.ComparisonIsEvidentiallySound",
    "FieldTable": "RoleAssignments",
    "FieldName": "ComparisonIsEvidentiallySound",
    "FieldIsDerived": true,
    "IsWritableDerivedField": false,
    "IsMasked": false,
    "GrantKeyWhenReadable": "principal-knowledge-authority|RoleAssignments"
   },
   {
    "FieldGrantId": "fg-knowledge-authority-RoleAssignments.SingleOverrideSwingPercent",
    "Principal": "principal-knowledge-authority",
    "TargetField": "RoleAssignments.SingleOverrideSwingPercent",
    "CanRead": true,
    "CanWrite": false,
    "MaskStrategy": "plain",
    "SemanticTypeIri": "urn:effortless:pko-extension#FieldGrant",
    "Name": "principal-knowledge-authority -&gt; RoleAssignments.SingleOverrideSwingPercent",
    "FieldTable": "RoleAssignments",
    "FieldName": "SingleOverrideSwingPercent",
    "FieldIsDerived": true,
    "IsWritableDerivedField": false,
    "IsMasked": false,
    "GrantKeyWhenReadable": "principal-knowledge-authority|RoleAssignments"
   },
   {
    "FieldGrantId": "fg-knowledge-authority-RoleAssignments.QualityVerdictIsUnsupported",
    "Principal": "principal-knowledge-authority",
    "TargetField": "RoleAssignments.QualityVerdictIsUnsupported",
    "CanRead": true,
    "CanWrite": false,
    "MaskStrategy": "plain",
    "SemanticTypeIri": "urn:effortless:pko-extension#FieldGrant",
    "Name": "principal-knowledge-authority -&gt; RoleAssignments.QualityVerdictIsUnsupported",
    "FieldTable": "RoleAssignments",
    "FieldName": "QualityVerdictIsUnsupported",
    "FieldIsDerived": true,
    "IsWritableDerivedField": false,
    "IsMasked": false,
    "GrantKeyWhenReadable": "principal-knowledge-authority|RoleAssignments"
   },
   {
    "FieldGrantId": "fg-knowledge-authority-RoleAssignments.IsUnmeasuredAutomationHandover",
    "Principal": "principal-knowledge-authority",
    "TargetField": "RoleAssignments.IsUnmeasuredAutomationHandover",
    "CanRead": true,
    "CanWrite": false,
    "MaskStrategy": "plain",
    "SemanticTypeIri": "urn:effortless:pko-extension#FieldGrant",
    "Name": "principal-knowledge-authority -&gt; RoleAssignments.IsUnmeasuredAutomationHandover",
    "FieldTable": "RoleAssignments",
    "FieldName": "IsUnmeasuredAutomationHandover",
    "FieldIsDerived": true,
    "IsWritableDerivedField": false,
    "IsMasked": false,
    "GrantKeyWhenReadable": "principal-knowledge-authority|RoleAssignments"
   },
   {
    "FieldGrantId": "fg-knowledge-authority-RoleAssignments.ErrorCorrectionCount",
    "Principal": "principal-knowledge-authority",
    "TargetField": "RoleAssignments.ErrorCorrectionCount",
    "CanRead": true,
    "CanWrite": false,
    "MaskStrategy": "plain",
    "SemanticTypeIri": "urn:effortless:pko-extension#FieldGrant",
    "Name": "principal-knowledge-authority -&gt; RoleAssignments.ErrorCorrectionCount",
    "FieldTable": "RoleAssignments",
    "FieldName": "ErrorCorrectionCount",
    "FieldIsDerived": true,
    "IsWritableDerivedField": false,
    "IsMasked": false,
    "GrantKeyWhenReadable": "principal-knowledge-authority|RoleAssignments"
   },
   {
    "FieldGrantId": "fg-knowledge-authority-RoleAssignments.ErrorRatePercent",
    "Principal": "principal-knowledge-authority",
    "TargetField": "RoleAssignments.ErrorRatePercent",
    "CanRead": true,
    "CanWrite": false,
    "MaskStrategy": "plain",
    "SemanticTypeIri": "urn:effortless:pko-extension#FieldGrant",
    "Name": "principal-knowledge-authority -&gt; RoleAssignments.ErrorRatePercent",
    "FieldTable": "RoleAssignments",
    "FieldName": "ErrorRatePercent",
    "FieldIsDerived": true,
    "IsWritableDerivedField": false,
    "IsMasked": false,
    "GrantKeyWhenReadable": "principal-knowledge-authority|RoleAssignments"
   },
   {
    "FieldGrantId": "fg-knowledge-authority-RoleAssignments.AuthorizationDecidedAt",
    "Principal": "principal-knowledge-authority",
    "TargetField": "RoleAssignments.AuthorizationDecidedAt",
    "CanRead": true,
    "CanWrite": false,
    "MaskStrategy": "plain",
    "SemanticTypeIri": "urn:effortless:pko-extension#FieldGrant",
    "Name": "principal-knowledge-authority -&gt; RoleAssignments.AuthorizationDecidedAt",
    "FieldTable": "RoleAssignments",
    "FieldName": "AuthorizationDecidedAt",
    "FieldIsDerived": false,
    "IsWritableDerivedField": false,
    "IsMasked": false,
    "GrantKeyWhenReadable": "principal-knowledge-authority|RoleAssignments"
   },
   {
    "FieldGrantId": "fg-knowledge-authority-RoleAssignments.AuthorizationReviewedAt",
    "Principal": "principal-knowledge-authority",
    "TargetField": "RoleAssignments.AuthorizationReviewedAt",
    "CanRead": true,
    "CanWrite": false,
    "MaskStrategy": "plain",
    "SemanticTypeIri": "urn:effortless:pko-extension#FieldGrant",
    "Name": "principal-knowledge-authority -&gt; RoleAssignments.AuthorizationReviewedAt",
    "FieldTable": "RoleAssignments",
    "FieldName": "AuthorizationReviewedAt",
    "FieldIsDerived": false,
    "IsWritableDerivedField": false,
    "IsMasked": false,
    "GrantKeyWhenReadable": "principal-knowledge-authority|RoleAssignments"
   },
   {
    "FieldGrantId": "fg-knowledge-authority-RoleAssignments.AuthorizationReviewCadenceDays",
    "Principal": "principal-knowledge-authority",
    "TargetField": "RoleAssignments.AuthorizationReviewCadenceDays",
    "CanRead": true,
    "CanWrite": false,
    "MaskStrategy": "plain",
    "SemanticTypeIri": "urn:effortless:pko-extension#FieldGrant",
    "Name": "principal-knowledge-authority -&gt; RoleAssignments.AuthorizationReviewCadenceDays",
    "FieldTable": "RoleAssignments",
    "FieldName": "AuthorizationReviewCadenceDays",
    "FieldIsDerived": false,
    "IsWritableDerivedField": false,
    "IsMasked": false,
    "GrantKeyWhenReadable": "principal-knowledge-authority|RoleAssignments"
   },
   {
    "FieldGrantId": "fg-knowledge-authority-RoleAssignments.HasDatedAuthorization",
    "Principal": "principal-knowledge-authority",
    "TargetField": "RoleAssignments.HasDatedAuthorization",
    "CanRead": true,
    "CanWrite": false,
    "MaskStrategy": "plain",
    "SemanticTypeIri": "urn:effortless:pko-extension#FieldGrant",
    "Name": "principal-knowledge-authority -&gt; RoleAssignments.HasDatedAuthorization",
    "FieldTable": "RoleAssignments",
    "FieldName": "HasDatedAuthorization",
    "FieldIsDerived": true,
    "IsWritableDerivedField": false,
    "IsMasked": false,
    "GrantKeyWhenReadable": "principal-knowledge-authority|RoleAssignments"
   },
   {
    "FieldGrantId": "fg-knowledge-authority-RoleAssignments.DaysSinceAuthorizationReview",
    "Principal": "principal-knowledge-authority",
    "TargetField": "RoleAssignments.DaysSinceAuthorizationReview",
    "CanRead": true,
    "CanWrite": false,
    "MaskStrategy": "plain",
    "SemanticTypeIri": "urn:effortless:pko-extension#FieldGrant",
    "Name": "principal-knowledge-authority -&gt; RoleAssignments.DaysSinceAuthorizationReview",
    "FieldTable": "RoleAssignments",
    "FieldName": "DaysSinceAuthorizationReview",
    "FieldIsDerived": true,
    "IsWritableDerivedField": false,
    "IsMasked": false,
    "GrantKeyWhenReadable": "principal-knowledge-authority|RoleAssignments"
   },
   {
    "FieldGrantId": "fg-knowledge-authority-RoleAssignments.AuthorizationIsOverdueForReview",
    "Principal": "principal-knowledge-authority",
    "TargetField": "RoleAssignments.AuthorizationIsOverdueForReview",
    "CanRead": true,
    "CanWrite": false,
    "MaskStrategy": "plain",
    "SemanticTypeIri": "urn:effortless:pko-extension#FieldGrant",
    "Name": "principal-knowledge-authority -&gt; RoleAssignments.AuthorizationIsOverdueForReview",
    "FieldTable": "RoleAssignments",
    "FieldName": "AuthorizationIsOverdueForReview",
    "FieldIsDerived": true,
    "IsWritableDerivedField": false,
    "IsMasked": false,
    "GrantKeyWhenReadable": "principal-knowledge-authority|RoleAssignments"
   },
   {
    "FieldGrantId": "fg-knowledge-authority-RoleAssignments.IsStandingUnreviewedAutomation",
    "Principal": "principal-knowledge-authority",
    "TargetField": "RoleAssignments.IsStandingUnreviewedAutomation",
    "CanRead": true,
    "CanWrite": false,
    "MaskStrategy": "plain",
    "SemanticTypeIri": "urn:effortless:pko-extension#FieldGrant",
    "Name": "principal-knowledge-authority -&gt; RoleAssignments.IsStandingUnreviewedAutomation",
    "FieldTable": "RoleAssignments",
    "FieldName": "IsStandingUnreviewedAutomation",
    "FieldIsDerived": true,
    "IsWritableDerivedField": false,
    "IsMasked": false,
    "GrantKeyWhenReadable": "principal-knowledge-authority|RoleAssignments"
   },
   {
    "FieldGrantId": "fg-knowledge-authority-RoleAssignments.IsUnconditionedAutomationHandover",
    "Principal": "principal-knowledge-authority",
    "TargetField": "RoleAssignments.IsUnconditionedAutomationHandover",
    "CanRead": true,
    "CanWrite": false,
    "MaskStrategy": "plain",
    "SemanticTypeIri": "urn:effortless:pko-extension#FieldGrant",
    "Name": "principal-knowledge-authority -&gt; RoleAssignments.IsUnconditionedAutomationHandover",
    "FieldTable": "RoleAssignments",
    "FieldName": "IsUnconditionedAutomationHandover",
    "FieldIsDerived": true,
    "IsWritableDerivedField": false,
    "IsMasked": false,
    "GrantKeyWhenReadable": "principal-knowledge-authority|RoleAssignments"
   },
   {
    "FieldGrantId": "fg-knowledge-authority-RoleAssignments.MaxTolerableErrorRatePercent",
    "Principal": "principal-knowledge-authority",
    "TargetField": "RoleAssignments.MaxTolerableErrorRatePercent",
    "CanRead": true,
    "CanWrite": false,
    "MaskStrategy": "plain",
    "SemanticTypeIri": "urn:effortless:pko-extension#FieldGrant",
    "Name": "principal-knowledge-authority -&gt; RoleAssignments.MaxTolerableErrorRatePercent",
    "FieldTable": "RoleAssignments",
    "FieldName": "MaxTolerableErrorRatePercent",
    "FieldIsDerived": false,
    "IsWritableDerivedField": false,
    "IsMasked": false,
    "GrantKeyWhenReadable": "principal-knowledge-authority|RoleAssignments"
   },
   {
    "FieldGrantId": "fg-knowledge-authority-RoleAssignments.ExceedsTolerableErrorRate",
    "Principal": "principal-knowledge-authority",
    "TargetField": "RoleAssignments.ExceedsTolerableErrorRate",
    "CanRead": true,
    "CanWrite": false,
    "MaskStrategy": "plain",
    "SemanticTypeIri": "urn:effortless:pko-extension#FieldGrant",
    "Name": "principal-knowledge-authority -&gt; RoleAssignments.ExceedsTolerableErrorRate",
    "FieldTable": "RoleAssignments",
    "FieldName": "ExceedsTolerableErrorRate",
    "FieldIsDerived": true,
    "IsWritableDerivedField": false,
    "IsMasked": false,
    "GrantKeyWhenReadable": "principal-knowledge-authority|RoleAssignments"
   },
   {
    "FieldGrantId": "fg-knowledge-authority-RoleAssignments.BoundaryViolationCountForAssignment",
    "Principal": "principal-knowledge-authority",
    "TargetField": "RoleAssignments.BoundaryViolationCountForAssignment",
    "CanRead": true,
    "CanWrite": false,
    "MaskStrategy": "plain",
    "SemanticTypeIri": "urn:effortless:pko-extension#FieldGrant",
    "Name": "principal-knowledge-authority -&gt; RoleAssignments.BoundaryViolationCountForAssignment",
    "FieldTable": "RoleAssignments",
    "FieldName": "BoundaryViolationCountForAssignment",
    "FieldIsDerived": true,
    "IsWritableDerivedField": false,
    "IsMasked": false,
    "GrantKeyWhenReadable": "principal-knowledge-authority|RoleAssignments"
   },
   {
    "FieldGrantId": "fg-knowledge-authority-RoleAssignments.HasAnyBoundaryViolation",
    "Princ</t>
  </si>
  <si>
    <t xml:space="preserve">ipal": "principal-knowledge-authority",
    "TargetField": "RoleAssignments.HasAnyBoundaryViolation",
    "CanRead": true,
    "CanWrite": false,
    "MaskStrategy": "plain",
    "SemanticTypeIri": "urn:effortless:pko-extension#FieldGrant",
    "Name": "principal-knowledge-authority -&gt; RoleAssignments.HasAnyBoundaryViolation",
    "FieldTable": "RoleAssignments",
    "FieldName": "HasAnyBoundaryViolation",
    "FieldIsDerived": true,
    "IsWritableDerivedField": false,
    "IsMasked": false,
    "GrantKeyWhenReadable": "principal-knowledge-authority|RoleAssignments"
   },
   {
    "FieldGrantId": "fg-knowledge-authority-RoleAssignments.HasUngroundedGoverningBoundary",
    "Principal": "principal-knowledge-authority",
    "TargetField": "RoleAssignments.HasUngroundedGoverningBoundary",
    "CanRead": true,
    "CanWrite": false,
    "MaskStrategy": "plain",
    "SemanticTypeIri": "urn:effortless:pko-extension#FieldGrant",
    "Name": "principal-knowledge-authority -&gt; RoleAssignments.HasUngroundedGoverningBoundary",
    "FieldTable": "RoleAssignments",
    "FieldName": "HasUngroundedGoverningBoundary",
    "FieldIsDerived": true,
    "IsWritableDerivedField": false,
    "IsMasked": false,
    "GrantKeyWhenReadable": "principal-knowledge-authority|RoleAssignments"
   },
   {
    "FieldGrantId": "fg-knowledge-authority-RoleAssignments.SuspensionConditionMet",
    "Principal": "principal-knowledge-authority",
    "TargetField": "RoleAssignments.SuspensionConditionMet",
    "CanRead": true,
    "CanWrite": false,
    "MaskStrategy": "plain",
    "SemanticTypeIri": "urn:effortless:pko-extension#FieldGrant",
    "Name": "principal-knowledge-authority -&gt; RoleAssignments.SuspensionConditionMet",
    "FieldTable": "RoleAssignments",
    "FieldName": "SuspensionConditionMet",
    "FieldIsDerived": true,
    "IsWritableDerivedField": false,
    "IsMasked": false,
    "GrantKeyWhenReadable": "principal-knowledge-authority|RoleAssignments"
   },
   {
    "FieldGrantId": "fg-knowledge-authority-RoleAssignments.IsOperatingUnderMetSuspensionCondition",
    "Principal": "principal-knowledge-authority",
    "TargetField": "RoleAssignments.IsOperatingUnderMetSuspensionCondition",
    "CanRead": true,
    "CanWrite": false,
    "MaskStrategy": "plain",
    "SemanticTypeIri": "urn:effortless:pko-extension#FieldGrant",
    "Name": "principal-knowledge-authority -&gt; RoleAssignments.IsOperatingUnderMetSuspensionCondition",
    "FieldTable": "RoleAssignments",
    "FieldName": "IsOperatingUnderMetSuspensionCondition",
    "FieldIsDerived": true,
    "IsWritableDerivedField": false,
    "IsMasked": false,
    "GrantKeyWhenReadable": "principal-knowledge-authority|RoleAssignments"
   },
   {
    "FieldGrantId": "fg-knowledge-authority-RoleAssignments.HasDeclaredSuspensionCondition",
    "Principal": "principal-knowledge-authority",
    "TargetField": "RoleAssignments.HasDeclaredSuspensionCondition",
    "CanRead": true,
    "CanWrite": false,
    "MaskStrategy": "plain",
    "SemanticTypeIri": "urn:effortless:pko-extension#FieldGrant",
    "Name": "principal-knowledge-authority -&gt; RoleAssignments.HasDeclaredSuspensionCondition",
    "FieldTable": "RoleAssignments",
    "FieldName": "HasDeclaredSuspensionCondition",
    "FieldIsDerived": true,
    "IsWritableDerivedField": false,
    "IsMasked": false,
    "GrantKeyWhenReadable": "principal-knowledge-authority|RoleAssignments"
   },
   {
    "FieldGrantId": "fg-knowledge-authority-RoleAssignments.HasApprovingAuthority",
    "Principal": "principal-knowledge-authority",
    "TargetField": "RoleAssignments.HasApprovingAuthority",
    "CanRead": true,
    "CanWrite": false,
    "MaskStrategy": "plain",
    "SemanticTypeIri": "urn:effortless:pko-extension#FieldGrant",
    "Name": "principal-knowledge-authority -&gt; RoleAssignments.HasApprovingAuthority",
    "FieldTable": "RoleAssignments",
    "FieldName": "HasApprovingAuthority",
    "FieldIsDerived": true,
    "IsWritableDerivedField": false,
    "IsMasked": false,
    "GrantKeyWhenReadable": "principal-knowledge-authority|RoleAssignments"
   },
   {
    "FieldGrantId": "fg-knowledge-authority-RoleAssignments.HasAuthorizingChangeRequest",
    "Principal": "principal-knowledge-authority",
    "TargetField": "RoleAssignments.HasAuthorizingChangeRequest",
    "CanRead": true,
    "CanWrite": false,
    "MaskStrategy": "plain",
    "SemanticTypeIri": "urn:effortless:pko-extension#FieldGrant",
    "Name": "principal-knowledge-authority -&gt; RoleAssignments.HasAuthorizingChangeRequest",
    "FieldTable": "RoleAssignments",
    "FieldName": "HasAuthorizingChangeRequest",
    "FieldIsDerived": true,
    "IsWritableDerivedField": false,
    "IsMasked": false,
    "GrantKeyWhenReadable": "principal-knowledge-authority|RoleAssignments"
   },
   {
    "FieldGrantId": "fg-knowledge-authority-RoleAssignments.IsEnforcementRole",
    "Principal": "principal-knowledge-authority",
    "TargetField": "RoleAssignments.IsEnforcementRole",
    "CanRead": true,
    "CanWrite": false,
    "MaskStrategy": "plain",
    "SemanticTypeIri": "urn:effortless:pko-extension#FieldGrant",
    "Name": "principal-knowledge-authority -&gt; RoleAssignments.IsEnforcementRole",
    "FieldTable": "RoleAssignments",
    "FieldName": "IsEnforcementRole",
    "FieldIsDerived": false,
    "IsWritableDerivedField": false,
    "IsMasked": false,
    "GrantKeyWhenReadable": "principal-knowledge-authority|RoleAssignments"
   },
   {
    "FieldGrantId": "fg-knowledge-authority-RoleAssignments.IsUnauthorizedEnforcementAgent",
    "Principal": "principal-knowledge-authority",
    "TargetField": "RoleAssignments.IsUnauthorizedEnforcementAgent",
    "CanRead": true,
    "CanWrite": false,
    "MaskStrategy": "plain",
    "SemanticTypeIri": "urn:effortless:pko-extension#FieldGrant",
    "Name": "principal-knowledge-authority -&gt; RoleAssignments.IsUnauthorizedEnforcementAgent",
    "FieldTable": "RoleAssignments",
    "FieldName": "IsUnauthorizedEnforcementAgent",
    "FieldIsDerived": true,
    "IsWritableDerivedField": false,
    "IsMasked": false,
    "GrantKeyWhenReadable": "principal-knowledge-authority|RoleAssignments"
   },
   {
    "FieldGrantId": "fg-knowledge-authority-RoleAssignments.GovernanceEvidenceCount",
    "Principal": "principal-knowledge-authority",
    "TargetField": "RoleAssignments.GovernanceEvidenceCount",
    "CanRead": true,
    "CanWrite": false,
    "MaskStrategy": "plain",
    "SemanticTypeIri": "urn:effortless:pko-extension#FieldGrant",
    "Name": "principal-knowledge-authority -&gt; RoleAssignments.GovernanceEvidenceCount",
    "FieldTable": "RoleAssignments",
    "FieldName": "GovernanceEvidenceCount",
    "FieldIsDerived": true,
    "IsWritableDerivedField": false,
    "IsMasked": false,
    "GrantKeyWhenReadable": "principal-knowledge-authority|RoleAssignments"
   },
   {
    "FieldGrantId": "fg-knowledge-authority-RoleAssignments.UnauthorizedEnforcementRoleKey",
    "Principal": "principal-knowledge-authority",
    "TargetField": "RoleAssignments.UnauthorizedEnforcementRoleKey",
    "CanRead": true,
    "CanWrite": false,
    "MaskStrategy": "plain",
    "SemanticTypeIri": "urn:effortless:pko-extension#FieldGrant",
    "Name": "principal-knowledge-authority -&gt; RoleAssignments.UnauthorizedEnforcementRoleKey",
    "FieldTable": "RoleAssignments",
    "FieldName": "UnauthorizedEnforcementRoleKey",
    "FieldIsDerived": true,
    "IsWritableDerivedField": false,
    "IsMasked": false,
    "GrantKeyWhenReadable": "principal-knowledge-authority|RoleAssignments"
   },
   {
    "FieldGrantId": "fg-knowledge-authority-RoleAssignments.SemanticTypeIri",
    "Principal": "principal-knowledge-authority",
    "TargetField": "RoleAssignments.SemanticTypeIri",
    "CanRead": true,
    "CanWrite": false,
    "MaskStrategy": "plain",
    "SemanticTypeIri": "urn:effortless:pko-extension#FieldGrant",
    "Name": "principal-knowledge-authority -&gt; RoleAssignments.SemanticTypeIri",
    "FieldTable": "RoleAssignments",
    "FieldName": "SemanticTypeIri",
    "FieldIsDerived": false,
    "IsWritableDerivedField": false,
    "IsMasked": false,
    "GrantKeyWhenReadable": "principal-knowledge-authority|RoleAssignments"
   },
   {
    "FieldGrantId": "fg-knowledge-authority-RoleQuestions.RoleQuestionId",
    "Principal": "principal-knowledge-authority",
    "TargetField": "RoleQuestions.RoleQuestionId",
    "CanRead": true,
    "CanWrite": false,
    "MaskStrategy": "plain",
    "SemanticTypeIri": "urn:effortless:pko-extension#FieldGrant",
    "Name": "principal-knowledge-authority -&gt; RoleQuestions.RoleQuestionId",
    "FieldTable": "RoleQuestions",
    "FieldName": "RoleQuestionId",
    "FieldIsDerived": false,
    "IsWritableDerivedField": false,
    "IsMasked": false,
    "GrantKeyWhenReadable": "principal-knowledge-authority|RoleQuestions"
   },
   {
    "FieldGrantId": "fg-knowledge-authority-RoleQuestions.Name",
    "Principal": "principal-knowledge-authority",
    "TargetField": "RoleQuestions.Name",
    "CanRead": true,
    "CanWrite": false,
    "MaskStrategy": "plain",
    "SemanticTypeIri": "urn:effortless:pko-extension#FieldGrant",
    "Name": "principal-knowledge-authority -&gt; RoleQuestions.Name",
    "FieldTable": "RoleQuestions",
    "FieldName": "Name",
    "FieldIsDerived": true,
    "IsWritableDerivedField": false,
    "IsMasked": false,
    "GrantKeyWhenReadable": "principal-knowledge-authority|RoleQuestions"
   },
   {
    "FieldGrantId": "fg-knowledge-authority-RoleQuestions.AskingRole",
    "Principal": "principal-knowledge-authority",
    "TargetField": "RoleQuestions.AskingRole",
    "CanRead": true,
    "CanWrite": false,
    "MaskStrategy": "plain",
    "SemanticTypeIri": "urn:effortless:pko-extension#FieldGrant",
    "Name": "principal-knowledge-authority -&gt; RoleQuestions.AskingRole",
    "FieldTable": "RoleQuestions",
    "FieldName": "AskingRole",
    "FieldIsDerived": false,
    "IsWritableDerivedField": false,
    "IsMasked": false,
    "GrantKeyWhenReadable": "principal-knowledge-authority|RoleQuestions"
   },
   {
    "FieldGrantId": "fg-knowledge-authority-RoleQuestions.WitnessLoop",
    "Principal": "principal-knowledge-authority",
    "TargetField": "RoleQuestions.WitnessLoop",
    "CanRead": true,
    "CanWrite": false,
    "MaskStrategy": "plain",
    "SemanticTypeIri": "urn:effortless:pko-extension#FieldGrant",
    "Name": "principal-knowledge-authority -&gt; RoleQuestions.WitnessLoop",
    "FieldTable": "RoleQuestions",
    "FieldName": "WitnessLoop",
    "FieldIsDerived": false,
    "IsWritableDerivedField": false,
    "IsMasked": false,
    "GrantKeyWhenReadable": "principal-knowledge-authority|RoleQuestions"
   },
   {
    "FieldGrantId": "fg-knowledge-authority-RoleQuestions.QuestionText",
    "Principal": "principal-knowledge-authority",
    "TargetField": "RoleQuestions.QuestionText",
    "CanRead": true,
    "CanWrite": false,
    "MaskStrategy": "plain",
    "SemanticTypeIri": "urn:effortless:pko-extension#FieldGrant",
    "Name": "principal-knowledge-authority -&gt; RoleQuestions.QuestionText",
    "FieldTable": "RoleQuestions",
    "FieldName": "QuestionText",
    "FieldIsDerived": false,
    "IsWritableDerivedField": false,
    "IsMasked": false,
    "GrantKeyWhenReadable": "principal-knowledge-authority|RoleQuestions"
   },
   {
    "FieldGrantId": "fg-knowledge-authority-RoleQuestions.WhyItMatters",
    "Principal": "principal-knowledge-authority",
    "TargetField": "RoleQuestions.WhyItMatters",
    "CanRead": true,
    "CanWrite": false,
    "MaskStrategy": "plain",
    "SemanticTypeIri": "urn:effortless:pko-extension#FieldGrant",
    "Name": "principal-knowledge-authority -&gt; RoleQuestions.WhyItMatters",
    "FieldTable": "RoleQuestions",
    "FieldName": "WhyItMatters",
    "FieldIsDerived": false,
    "IsWritableDerivedField": false,
    "IsMasked": false,
    "GrantKeyWhenReadable": "principal-knowledge-authority|RoleQuestions"
   },
   {
    "FieldGrantId": "fg-knowledge-authority-RoleQuestions.AnswerableBefore",
    "Principal": "principal-knowledge-authority",
    "TargetField": "RoleQuestions.AnswerableBefore",
    "CanRead": true,
    "CanWrite": false,
    "MaskStrategy": "plain",
    "SemanticTypeIri": "urn:effortless:pko-extension#FieldGrant",
    "Name": "principal-knowledge-authority -&gt; RoleQuestions.AnswerableBefore",
    "FieldTable": "RoleQuestions",
    "FieldName": "AnswerableBefore",
    "FieldIsDerived": false,
    "IsWritableDerivedField": false,
    "IsMasked": false,
    "GrantKeyWhenReadable": "principal-knowledge-authority|RoleQuestions"
   },
   {
    "FieldGrantId": "fg-knowledge-authority-RoleQuestions.PredicateCount",
    "Principal": "principal-knowledge-authority",
    "TargetField": "RoleQuestions.PredicateCount",
    "CanRead": true,
    "CanWrite": false,
    "MaskStrategy": "plain",
    "SemanticTypeIri": "urn:effortless:pko-extension#FieldGrant",
    "Name": "principal-knowledge-authority -&gt; RoleQuestions.PredicateCount",
    "FieldTable": "RoleQuestions",
    "FieldName": "PredicateCount",
    "FieldIsDerived": true,
    "IsWritableDerivedField": false,
    "IsMasked": false,
    "GrantKeyWhenReadable": "principal-knowledge-authority|RoleQuestions"
   },
   {
    "FieldGrantId": "fg-knowledge-authority-RoleQuestions.IsAnswered",
    "Principal": "principal-knowledge-authority",
    "TargetField": "RoleQuestions.IsAnswered",
    "CanRead": true,
    "CanWrite": false,
    "MaskStrategy": "plain",
    "SemanticTypeIri": "urn:effortless:pko-extension#FieldGrant",
    "Name": "principal-knowledge-authority -&gt; RoleQuestions.IsAnswered",
    "FieldTable": "RoleQuestions",
    "FieldName": "IsAnswered",
    "FieldIsDerived": true,
    "IsWritableDerivedField": false,
    "IsMasked": false,
    "GrantKeyWhenReadable": "principal-knowledge-authority|RoleQuestions"
   },
   {
    "FieldGrantId": "fg-knowledge-authority-RoleQuestions.WitnessedAnswer",
    "Principal": "principal-knowledge-authority",
    "TargetField": "RoleQuestions.WitnessedAnswer",
    "CanRead": true,
    "CanWrite": false,
    "MaskStrategy": "plain",
    "SemanticTypeIri": "urn:effortless:pko-extension#FieldGrant",
    "Name": "principal-knowledge-authority -&gt; RoleQuestions.WitnessedAnswer",
    "FieldTable": "RoleQuestions",
    "FieldName": "WitnessedAnswer",
    "FieldIsDerived": false,
    "IsWritableDerivedField": false,
    "IsMasked": false,
    "GrantKeyWhenReadable": "principal-knowledge-authority|RoleQuestions"
   },
   {
    "FieldGrantId": "fg-knowledge-authority-RoleQuestions.SemanticTypeIri",
    "Principal": "principal-knowledge-authority",
    "TargetField": "RoleQuestions.SemanticTypeIri",
    "CanRead": true,
    "CanWrite": false,
    "MaskStrategy": "plain",
    "SemanticTypeIri": "urn:effortless:pko-extension#FieldGrant",
    "Name": "principal-knowledge-authority -&gt; RoleQuestions.SemanticTypeIri",
    "FieldTable": "RoleQuestions",
    "FieldName": "SemanticTypeIri",
    "FieldIsDerived": false,
    "IsWritableDerivedField": false,
    "IsMasked": false,
    "GrantKeyWhenReadable": "principal-knowledge-authority|RoleQuestions"
   },
   {
    "FieldGrantId": "fg-knowledge-authority-Roles.RoleId",
    "Principal": "principal-knowledge-authority",
    "TargetField": "Roles.RoleId",
    "CanRead": true,
    "CanWrite": false,
    "MaskStrategy": "plain",
    "SemanticTypeIri": "urn:effortless:pko-extension#FieldGrant",
    "Name": "principal-knowledge-authority -&gt; Roles.RoleId",
    "FieldTable": "Roles",
    "FieldName": "RoleId",
    "FieldIsDerived": false,
    "IsWritableDerivedField": false,
    "IsMasked": false,
    "GrantKeyWhenReadable": "principal-knowledge-authority|Roles"
   },
   {
    "FieldGrantId": "fg-knowledge-authority-Roles.Name",
    "Principal": "principal-knowledge-authority",
    "TargetField": "Roles.Name",
    "CanRead": true,
    "CanWrite": false,
    "MaskStrategy": "plain",
    "SemanticTypeIri": "urn:effortless:pko-extension#FieldGrant",
    "Name": "principal-knowledge-authority -&gt; Roles.Name",
    "FieldTable": "Roles",
    "FieldName": "Name",
    "FieldIsDerived": true,
    "IsWritableDerivedField": false,
    "IsMasked": false,
    "GrantKeyWhenReadable": "principal-knowledge-authority|Roles"
   },
   {
    "FieldGrantId": "fg-knowledge-authority-Roles.Label",
    "Principal": "principal-knowledge-authority",
    "TargetField": "Roles.Label",
    "CanRead": true,
    "CanWrite": false,
    "MaskStrategy": "plain",
    "SemanticTypeIri": "urn:effortless:pko-extension#FieldGrant",
    "Name": "principal-knowledge-authority -&gt; Roles.Label",
    "FieldTable": "Roles",
    "FieldName": "Label",
    "FieldIsDerived": false,
    "IsWritableDerivedField": false,
    "IsMasked": false,
    "GrantKeyWhenReadable": "principal-knowledge-authority|Roles"
   },
   {
    "FieldGrantId": "fg-knowledge-authority-Roles.Organization",
    "Principal": "principal-knowledge-authority",
    "TargetField": "Roles.Organization",
    "CanRead": true,
    "CanWrite": false,
    "MaskStrategy": "plain",
    "SemanticTypeIri": "urn:effortless:pko-extension#FieldGrant",
    "Name": "principal-knowledge-authority -&gt; Roles.Organization",
    "FieldTable": "Roles",
    "FieldName": "Organization",
    "FieldIsDerived": false,
    "IsWritableDerivedField": false,
    "IsMasked": false,
    "GrantKeyWhenReadable": "principal-knowledge-authority|Roles"
   },
   {
    "FieldGrantId": "fg-knowledge-authority-Roles.CurrentAgent",
    "Principal": "principal-knowledge-authority",
    "TargetField": "Roles.CurrentAgent",
    "CanRead": true,
    "CanWrite": false,
    "MaskStrategy": "plain",
    "SemanticTypeIri": "urn:effortless:pko-extension#FieldGrant",
    "Name": "principal-knowledge-authority -&gt; Roles.CurrentAgent",
    "FieldTable": "Roles",
    "FieldName": "CurrentAgent",
    "FieldIsDerived": false,
    "IsWritableDerivedField": false,
    "IsMasked": false,
    "GrantKeyWhenReadable": "principal-knowledge-authority|Roles"
   },
   {
    "FieldGrantId": "fg-knowledge-authority-Roles.CurrentAgentKind",
    "Principal": "principal-knowledge-authority",
    "TargetField": "Roles.CurrentAgentKind",
    "CanRead": true,
    "CanWrite": false,
    "MaskStrategy": "plain",
    "SemanticTypeIri": "urn:effortless:pko-extension#FieldGrant",
    "Name": "principal-knowledge-authority -&gt; Roles.CurrentAgentKind",
    "FieldTable": "Roles",
    "FieldName": "CurrentAgentKind",
    "FieldIsDerived": true,
    "IsWritableDerivedField": false,
    "IsMasked": false,
    "GrantKeyWhenReadable": "principal-knowledge-authority|Roles"
   },
   {
    "FieldGrantId": "fg-knowledge-authority-Roles.Responsibility",
    "Principal": "principal-knowledge-authority",
    "TargetField": "Roles.Responsibility",
    "CanRead": true,
    "CanWrite": false,
    "MaskStrategy": "plain",
    "SemanticTypeIri": "urn:effortless:pko-extension#FieldGrant",
    "Name": "principal-knowledge-authority -&gt; Roles.Responsibility",
    "FieldTable": "Roles",
    "FieldName": "Responsibility",
    "FieldIsDerived": false,
    "IsWritableDerivedField": false,
    "IsMasked": false,
    "GrantKeyWhenReadable": "principal-knowledge-authority|Roles"
   },
   {
    "FieldGrantId": "fg-knowledge-authority-Roles.ActiveAssignmentCount",
    "Principal": "principal-knowledge-authority",
    "TargetField": "Roles.ActiveAssignmentCount",
    "CanRead": true,
    "CanWrite": false,
    "MaskStrategy": "plain",
    "SemanticTypeIri": "urn:effortless:pko-extension#FieldGrant",
    "Name": "principal-knowledge-authority -&gt; Roles.ActiveAssignmentCount",
    "FieldTable": "Roles",
    "FieldName": "ActiveAssignmentCount",
    "FieldIsDerived": true,
    "IsWritableDerivedField": false,
    "IsMasked": false,
    "GrantKeyWhenReadable": "principal-knowledge-authority|Roles"
   },
   {
    "FieldGrantId": "fg-knowledge-authority-Roles.CurrentlyCoveredAssignmentCount",
    "Principal": "principal-knowledge-authority",
    "TargetField": "Roles.CurrentlyCoveredAssignmentCount",
    "CanRead": true,
    "CanWrite": false,
    "MaskStrategy": "plain",
    "SemanticTypeIri": "urn:effortless:pko-extension#FieldGrant",
    "Name": "principal-knowledge-authority -&gt; Roles.CurrentlyCoveredAssignmentCount",
    "FieldTable": "Roles",
    "FieldName": "CurrentlyCoveredAssignmentCount",
    "FieldIsDerived": true,
    "IsWritableDerivedField": false,
    "IsMasked": false,
    "GrantKeyWhenReadable": "principal-knowledge-authority|Roles"
   },
   {
    "FieldGrantId": "fg-knowledge-authority-Roles.HasNoCurrentHolder",
    "Principal": "principal-knowledge-authority",
    "TargetField": "Roles.HasNoCurrentHolder",
    "CanRead": true,
    "CanWrite": false,
    "MaskStrategy": "plain",
    "SemanticTypeIri": "urn:effortless:pko-extension#FieldGrant",
    "Name": "principal-knowledge-authority -&gt; Roles.HasNoCurrentHolder",
    "FieldTable": "Roles",
    "FieldName": "HasNoCurrentHolder",
    "FieldIsDerived": true,
    "IsWritableDerivedField": false,
    "IsMasked": false,
    "GrantKeyWhenReadable": "principal-knowledge-authority|Roles"
   },
   {
    "FieldGrantId": "fg-knowledge-authority-Roles.CountOfAwaitedDecisions",
    "Principal": "principal-knowledge-authority",
    "TargetField": "Roles.CountOfAwaitedDecisions",
    "CanRead": true,
    "CanWrite": false,
    "MaskStrategy": "plain",
    "SemanticTypeIri": "urn:effortless:pko-extension#FieldGrant",
    "Name": "principal-knowledge-authority -&gt; Roles.CountOfAwaitedDecisions",
    "FieldTable": "Roles",
    "FieldName": "CountOfAwaitedDecisions",
    "FieldIsDerived": true,
    "IsWritableDerivedField": false,
    "IsMasked": false,
    "GrantKeyWhenReadable": "principal-knowledge-authority|Roles"
   },
   {
    "FieldGrantId": "fg-knowledge-authority-Roles.CurrentAssignment",
    "Principal": "principal-knowledge-authority",
    "TargetField": "Roles.CurrentAssignment",
    "CanRead": true,
    "CanWrite": false,
    "MaskStrategy": "plain",
    "SemanticTypeIri": "urn:effortless:pko-extension#FieldGrant",
    "Name": "principal-knowledge-authority -&gt; Roles.CurrentAssignment",
    "FieldTable": "Roles",
    "FieldName": "CurrentAssignment",
    "FieldIsDerived": false,
    "IsWritableDerivedField": false,
    "IsMasked": false,
    "GrantKeyWhenReadable": "principal-knowledge-authority|Roles"
   },
   {
    "FieldGrantId": "fg-knowledge-authority-Roles.CurrentAssignmentValidFrom",
    "Principal": "principal-knowledge-authority",
    "TargetField": "Roles.CurrentAssignmentValidFrom",
    "CanRead": true,
    "CanWrite": false,
    "MaskStrategy": "plain",
    "SemanticTypeIri": "urn:effortless:pko-extension#FieldGrant",
    "Name": "principal-knowledge-authority -&gt; Roles.CurrentAssignmentValidFrom",
    "FieldTable": "Roles",
    "FieldName": "CurrentAssignmentValidFrom",
    "FieldIsDerived": true,
    "IsWritableDerivedField": false,
    "IsMasked": false,
    "GrantKeyWhenReadable": "principal-knowledge-authority|Roles"
   },
   {
    "FieldGrantId": "fg-knowledge-authority-Roles.IsNonHumanHeld",
    "Principal": "principal-knowledge-authority",
    "TargetField": "Roles.IsNonHumanHeld",
    "CanRead": true,
    "CanWrite": false,
    "MaskStrategy": "plain",
    "SemanticTypeIri": "urn:effortless:pko-extension#FieldGrant",
    "Name": "principal-knowledge-authority -&gt; Roles.IsNonHumanHeld",
    "FieldTable": "Roles",
    "FieldName": "IsNonHumanHeld",
    "FieldIsDerived": true,
    "IsWritableDerivedField": false,
    "IsMasked": false,
    "GrantKeyWhenReadable": "principal-knowledge-authority|Roles"
   },
   {
    "FieldGrantId": "fg-knowledge-authority-Roles.IsUngovernedNonHumanRole",
    "Principal": "principal-knowledge-authority",
    "TargetField": "Roles.IsUngovernedNonHumanRole",
    "CanRead": true,
    "CanWrite": false,
    "MaskStrategy": "plain",
    "SemanticTypeIri": "urn:effortless:pko-extension#FieldGrant",
    "Name": "principal-knowledge-authority -&gt; Roles.IsUngovernedNonHumanRole",
    "FieldTable": "Roles",
    "FieldName": "IsUngovernedNonHumanRole",
    "FieldIsDerived": true,
    "IsWritableDerivedField": false,
    "IsMasked": false,
    "GrantKeyWhenReadable": "principal-knowledge-authority|Roles"
   },
   {
    "FieldGrantId": "fg-knowledge-authority-Roles.DepartedAssignmentCount",
    "Principal": "principal-knowledge-authority",
    "TargetField": "Roles.DepartedAssignmentCount",
    "CanRead": true,
    "CanWrite": false,
    "MaskStrategy": "plain",
    "SemanticTypeIri": "urn:effortless:pko-extension#FieldGrant",
    "Name": "principal-knowledge-authority -&gt; Roles.DepartedAssignmentCount",
    "FieldTable": "Roles",
    "FieldName": "DepartedAssignmentCount",
    "FieldIsDerived": true,
    "IsWritableDerivedField": false,
    "IsMasked": false,
    "GrantKeyWhenReadable": "principal-knowledge-authority|Roles"
   },
   {
    "FieldGrantId": "fg-knowledge-authority-Roles.HasLostAHolder",
    "Principal": "principal-knowledge-authority",
    "TargetField": "Roles.HasLostAHolder",
    "CanRead": true,
    "CanWrite": false,
    "MaskStrategy": "plain",
    "SemanticTypeIri": "urn:effortless:pko-extension#FieldGrant",
    "Name": "principal-knowledge-authority -&gt; Roles.HasLostAHolder",
    "FieldTable": "Roles",
    "FieldName": "HasLostAHolder",
    "FieldIsDerived": true,
    "IsWritableDerivedField": false,
    "IsMasked": false,
    "GrantKeyWhenReadable": "principal-knowledge-authority|Roles"
   },
   {
    "FieldGrantId": "fg-knowledge-authority-Roles.IsVacatedRole",
    "Principal": "principal-knowledge-authority",
    "TargetField": "Roles.IsVacatedRole",
    "CanRead": true,
    "CanWrite": false,
    "MaskStrategy": "plain",
    "SemanticTypeIri": "urn:effortless:pko-extension#FieldGrant",
    "Name": "principal-knowledge-authority -&gt; Roles.IsVacatedRole",
    "FieldTable": "Roles",
    "FieldName": "IsVacatedRole",
    "FieldIsDerived": true,
    "IsWritableDerivedField": false,
    "IsMasked": false,
    "GrantKeyWhenReadable": "principal-knowledge-authority|Roles"
   },
   {
    "FieldGrantId": "fg-knowledge-authority-Roles.UngroundedBoundaryCount",
    "Principal": "principal-knowledge-authority",
    "TargetField": "Roles.UngroundedBoundaryCount",
    "CanRead": true,
    "CanWrite": false,
    "MaskStrategy": "plain",
    "SemanticTypeIri": "urn:effortless:pko-extension#FieldGrant",
    "Name": "principal-knowledge-authority -&gt; Roles.UngroundedBoundaryCount",
    "FieldTable": "Roles",
    "FieldName": "UngroundedBoundaryCount",
    "FieldIsDerived": true,
    "IsWritableDerivedField": false,
    "IsMasked": false,
    "GrantKeyWhenReadable": "principal-knowledge-authority|Roles"
   },
   {
    "FieldGrantId": "fg-knowledge-authority-Roles.IsGovernedByLapsedAuthority",
    "Principal": "principal-knowledge-authority",
    "TargetField": "Roles.IsGovernedByLapsedAuthority",
    "CanRead": true,
    "CanWrite": false,
    "MaskStrategy": "plain",
    "SemanticTypeIri": "urn:effortless:pko-extension#FieldGrant",
    "Name": "principal-knowledge-authority -&gt; Roles.IsGovernedByLapsedAuthority",
    "FieldTable": "Roles",
    "FieldName": "IsGovernedByLapsedAuthority",
    "FieldIsDerived": true,
    "IsWritableDerivedField": false,
    "IsMasked": false,
    "GrantKeyWhenReadable": "principal-knowledge-authority|Roles"
   },
   {
    "FieldGrantId": "fg-knowledge-authority-Roles.UnescalatedRefusalCount",
    "Principal": "principal-knowledge-authority",
    "TargetField": "Roles.UnescalatedRefusalCount",
    "CanRead": true,
    "CanWrite": false,
    "MaskStrategy": "plain",
    "SemanticTypeIri": "urn:effortless:pko-extension#FieldGrant",
    "Name": "principal-knowledge-authority -&gt; Roles.UnescalatedRefusalCount",
    "FieldTable": "Roles",
    "FieldName": "UnescalatedRefusalCount",
    "FieldIsDerived": true,
    "IsWritableDerivedField": false,
    "IsMasked": false,
    "GrantKeyWhenReadable": "principal-knowledge-authority|Roles"
   },
   {
    "FieldGrantId": "fg-knowledge-authority-Roles.UnauthorizedEnforcementAssignmentCount",
    "Principal": "principal-knowledge-authority",
    "TargetField": "Roles.UnauthorizedEnforcementAssignmentCount",
    "CanRead": true,
    "CanWrite": false,
    "MaskStrategy": "plain",
    "SemanticTypeIri": "urn:effortless:pko-extension#FieldGrant",
    "Name": "principal-knowledge-authority -&gt; Roles.UnauthorizedEnforcementAssignmentCount",
    "FieldTable": "Roles",
    "FieldName": "UnauthorizedEnforcementAssignmentCount",
    "FieldIsDerived": true,
    "IsWritableDerivedField": false,
    "IsMasked": false,
    "GrantKeyWhenReadable": "principal-knowledge-authority|Roles"
   },
   {
    "FieldGrantId": "fg-knowledge-authority-Roles.IsUngovernedEnforcementRole",
    "Principal": "principal-knowledge-authority",
    "TargetField": "Roles.IsUngovernedEnforcementRole",
    "CanRead": true,
    "CanWrite": false,
    "MaskStrategy": "plain",
    "SemanticTypeIri": "urn:effortless:pko-extension#FieldGrant",
    "Name": "principal-knowledge-authority -&gt; Roles.IsUngovernedEnforcementRole",
    "FieldTable": "Roles",
    "FieldName": "IsUngovernedEnforcementRole",
    "FieldIsDerived": true,
    "IsWritableDerivedField": false,
    "IsMasked": false,
    "GrantKeyWhenReadable": "principal-knowledge-authority|Roles"
   },
   {
    "FieldGrantId": "fg-knowledge-authority-Roles.SemanticTypeIri",
    "Principal": "principal-knowledge-authority",
    "TargetField": "Roles.SemanticTypeIri",
    "CanRead": true,
    "CanWrite": false,
    "MaskStrategy": "plain",
    "SemanticTypeIri": "urn:effortless:pko-extension#FieldGrant",
    "Name": "principal-knowledge-authority -&gt; Roles.SemanticTypeIri",
    "FieldTable": "Roles",
    "FieldName": "SemanticTypeIri",
    "FieldIsDerived": false,
    "IsWritableDerivedField": false,
    "IsMasked": false,
    "GrantKeyWhenReadable": "principal-knowledge-authority|Roles"
   },
   {
    "FieldGrantId": "fg-knowledge-authority-RulebookFields.RulebookFieldId",
    "Principal": "principal-knowledge-authority",
    "TargetField": "RulebookFields.RulebookFieldId",
    "CanRead": true,
    "CanWrite": false,
    "MaskStrategy": "plain",
    "SemanticTypeIri": "urn:effortless:pko-extension#FieldGrant",
    "Name": "principal-knowledge-authority -&gt; RulebookFields.RulebookFieldId",
    "FieldTable": "RulebookFields",
    "FieldName": "RulebookFieldId",
    "FieldIsDerived": false,
    "IsWritableDerivedField": false,
    "IsMasked": false,
    "GrantKeyWhenReadable": "principal-knowledge-authority|RulebookFields"
   },
   {
    "FieldGrantId": "fg-knowledge-authority-RulebookFields.Name",
    "Principal": "principal-knowledge-authority",
    "TargetField": "RulebookFields.Name",
    "CanRead": true,
    "CanWrite": false,
    "MaskStrategy": "plain",
    "SemanticTypeIri": "urn:effortless:pko-extension#FieldGrant",
    "Name": "principal-knowledge-authority -&gt; RulebookFields.Name",
    "FieldTable": "RulebookFields",
    "FieldName": "Name",
    "FieldIsDerived": true,
    "IsWritableDerivedField": false,
    "IsMasked": false,
    "GrantKeyWhenReadable": "principal-knowledge-authority|RulebookFields"
   },
   {
    "FieldGrantId": "fg-knowledge-authority-RulebookFields.TargetTable",
    "Principal": "principal-knowledge-authority",
    "TargetField": "RulebookFields.TargetTable",
    "CanRead": true,
    "CanWrite": false,
    "MaskStrategy": "plain",
    "SemanticTypeIri": "urn:effortless:pko-extension#FieldGrant",
    "Name": "principal-knowledge-authority -&gt; RulebookFields.TargetTable",
    "FieldTable": "RulebookFields",
    "FieldName": "TargetTable",
    "FieldIsDerived": false,
    "IsWritableDerivedField": false,
    "IsMasked": false,
    "GrantKeyWhenReadable": "principal-knowledge-authority|RulebookFields"
   },
   {
    "FieldGrantId": "fg-knowledge-authority-RulebookFields.FieldName",
    "Principal": "principal-knowledge-authority",
    "TargetField": "RulebookFields.FieldName",
    "CanRead": true,
    "CanWrite": false,
    "MaskStrategy": "plain",
    "SemanticTypeIri": "urn:effortless:pko-extension#FieldGrant",
    "Name": "principal-knowledge-authority -&gt; RulebookFields.FieldName",
    "FieldTable": "RulebookFields",
    "FieldName": "FieldName",
    "FieldIsDerived": false,
    "IsWritableDerivedField": false,
    "IsMasked": false,
    "GrantKeyWhenReadable": "principal-knowledge-authority|RulebookFields"
   },
   {
    "FieldGrantId": "fg-knowledge-authority-RulebookFields.FieldType",
    "Principal": "principal-knowledge-authority",
    "TargetField": "RulebookFields.FieldType",
    "CanRead": true,
    "CanWrite": false,
    "MaskStrategy": "plain",
    "SemanticTypeIri": "urn:effortless:pko-extension#FieldGrant",
    "Name": "principal-knowledge-authority -&gt; RulebookFields.FieldType",
    "FieldTable": "RulebookFields",
    "FieldName": "Fiel</t>
  </si>
  <si>
    <t xml:space="preserve">dType",
    "FieldIsDerived": false,
    "IsWritableDerivedField": false,
    "IsMasked": false,
    "GrantKeyWhenReadable": "principal-knowledge-authority|RulebookFields"
   },
   {
    "FieldGrantId": "fg-knowledge-authority-RulebookFields.Datatype",
    "Principal": "principal-knowledge-authority",
    "TargetField": "RulebookFields.Datatype",
    "CanRead": true,
    "CanWrite": false,
    "MaskStrategy": "plain",
    "SemanticTypeIri": "urn:effortless:pko-extension#FieldGrant",
    "Name": "principal-knowledge-authority -&gt; RulebookFields.Datatype",
    "FieldTable": "RulebookFields",
    "FieldName": "Datatype",
    "FieldIsDerived": false,
    "IsWritableDerivedField": false,
    "IsMasked": false,
    "GrantKeyWhenReadable": "principal-knowledge-authority|RulebookFields"
   },
   {
    "FieldGrantId": "fg-knowledge-authority-RulebookFields.Formula",
    "Principal": "principal-knowledge-authority",
    "TargetField": "RulebookFields.Formula",
    "CanRead": true,
    "CanWrite": false,
    "MaskStrategy": "plain",
    "SemanticTypeIri": "urn:effortless:pko-extension#FieldGrant",
    "Name": "principal-knowledge-authority -&gt; RulebookFields.Formula",
    "FieldTable": "RulebookFields",
    "FieldName": "Formula",
    "FieldIsDerived": false,
    "IsWritableDerivedField": false,
    "IsMasked": false,
    "GrantKeyWhenReadable": "principal-knowledge-authority|RulebookFields"
   },
   {
    "FieldGrantId": "fg-knowledge-authority-RulebookFields.InventedForQuestion",
    "Principal": "principal-knowledge-authority",
    "TargetField": "RulebookFields.InventedForQuestion",
    "CanRead": true,
    "CanWrite": false,
    "MaskStrategy": "plain",
    "SemanticTypeIri": "urn:effortless:pko-extension#FieldGrant",
    "Name": "principal-knowledge-authority -&gt; RulebookFields.InventedForQuestion",
    "FieldTable": "RulebookFields",
    "FieldName": "InventedForQuestion",
    "FieldIsDerived": false,
    "IsWritableDerivedField": false,
    "IsMasked": false,
    "GrantKeyWhenReadable": "principal-knowledge-authority|RulebookFields"
   },
   {
    "FieldGrantId": "fg-knowledge-authority-RulebookFields.IsDerived",
    "Principal": "principal-knowledge-authority",
    "TargetField": "RulebookFields.IsDerived",
    "CanRead": true,
    "CanWrite": false,
    "MaskStrategy": "plain",
    "SemanticTypeIri": "urn:effortless:pko-extension#FieldGrant",
    "Name": "principal-knowledge-authority -&gt; RulebookFields.IsDerived",
    "FieldTable": "RulebookFields",
    "FieldName": "IsDerived",
    "FieldIsDerived": true,
    "IsWritableDerivedField": false,
    "IsMasked": false,
    "GrantKeyWhenReadable": "principal-knowledge-authority|RulebookFields"
   },
   {
    "FieldGrantId": "fg-knowledge-authority-RulebookFields.IsWitness",
    "Principal": "principal-knowledge-authority",
    "TargetField": "RulebookFields.IsWitness",
    "CanRead": true,
    "CanWrite": false,
    "MaskStrategy": "plain",
    "SemanticTypeIri": "urn:effortless:pko-extension#FieldGrant",
    "Name": "principal-knowledge-authority -&gt; RulebookFields.IsWitness",
    "FieldTable": "RulebookFields",
    "FieldName": "IsWitness",
    "FieldIsDerived": true,
    "IsWritableDerivedField": false,
    "IsMasked": false,
    "GrantKeyWhenReadable": "principal-knowledge-authority|RulebookFields"
   },
   {
    "FieldGrantId": "fg-knowledge-authority-RulebookFields.SemanticTypeIri",
    "Principal": "principal-knowledge-authority",
    "TargetField": "RulebookFields.SemanticTypeIri",
    "CanRead": true,
    "CanWrite": false,
    "MaskStrategy": "plain",
    "SemanticTypeIri": "urn:effortless:pko-extension#FieldGrant",
    "Name": "principal-knowledge-authority -&gt; RulebookFields.SemanticTypeIri",
    "FieldTable": "RulebookFields",
    "FieldName": "SemanticTypeIri",
    "FieldIsDerived": false,
    "IsWritableDerivedField": false,
    "IsMasked": false,
    "GrantKeyWhenReadable": "principal-knowledge-authority|RulebookFields"
   },
   {
    "FieldGrantId": "fg-knowledge-authority-RulebookReleases.RulebookReleaseId",
    "Principal": "principal-knowledge-authority",
    "TargetField": "RulebookReleases.RulebookReleaseId",
    "CanRead": true,
    "CanWrite": false,
    "MaskStrategy": "plain",
    "SemanticTypeIri": "urn:effortless:pko-extension#FieldGrant",
    "Name": "principal-knowledge-authority -&gt; RulebookReleases.RulebookReleaseId",
    "FieldTable": "RulebookReleases",
    "FieldName": "RulebookReleaseId",
    "FieldIsDerived": false,
    "IsWritableDerivedField": false,
    "IsMasked": false,
    "GrantKeyWhenReadable": "principal-knowledge-authority|RulebookReleases"
   },
   {
    "FieldGrantId": "fg-knowledge-authority-RulebookReleases.Name",
    "Principal": "principal-knowledge-authority",
    "TargetField": "RulebookReleases.Name",
    "CanRead": true,
    "CanWrite": false,
    "MaskStrategy": "plain",
    "SemanticTypeIri": "urn:effortless:pko-extension#FieldGrant",
    "Name": "principal-knowledge-authority -&gt; RulebookReleases.Name",
    "FieldTable": "RulebookReleases",
    "FieldName": "Name",
    "FieldIsDerived": true,
    "IsWritableDerivedField": false,
    "IsMasked": false,
    "GrantKeyWhenReadable": "principal-knowledge-authority|RulebookReleases"
   },
   {
    "FieldGrantId": "fg-knowledge-authority-RulebookReleases.RulebookVersion",
    "Principal": "principal-knowledge-authority",
    "TargetField": "RulebookReleases.RulebookVersion",
    "CanRead": true,
    "CanWrite": false,
    "MaskStrategy": "plain",
    "SemanticTypeIri": "urn:effortless:pko-extension#FieldGrant",
    "Name": "principal-knowledge-authority -&gt; RulebookReleases.RulebookVersion",
    "FieldTable": "RulebookReleases",
    "FieldName": "RulebookVersion",
    "FieldIsDerived": false,
    "IsWritableDerivedField": false,
    "IsMasked": false,
    "GrantKeyWhenReadable": "principal-knowledge-authority|RulebookReleases"
   },
   {
    "FieldGrantId": "fg-knowledge-authority-RulebookReleases.ProfileVersion",
    "Principal": "principal-knowledge-authority",
    "TargetField": "RulebookReleases.ProfileVersion",
    "CanRead": true,
    "CanWrite": false,
    "MaskStrategy": "plain",
    "SemanticTypeIri": "urn:effortless:pko-extension#FieldGrant",
    "Name": "principal-knowledge-authority -&gt; RulebookReleases.ProfileVersion",
    "FieldTable": "RulebookReleases",
    "FieldName": "ProfileVersion",
    "FieldIsDerived": false,
    "IsWritableDerivedField": false,
    "IsMasked": false,
    "GrantKeyWhenReadable": "principal-knowledge-authority|RulebookReleases"
   },
   {
    "FieldGrantId": "fg-knowledge-authority-RulebookReleases.ProfileSchemaPath",
    "Principal": "principal-knowledge-authority",
    "TargetField": "RulebookReleases.ProfileSchemaPath",
    "CanRead": true,
    "CanWrite": false,
    "MaskStrategy": "plain",
    "SemanticTypeIri": "urn:effortless:pko-extension#FieldGrant",
    "Name": "principal-knowledge-authority -&gt; RulebookReleases.ProfileSchemaPath",
    "FieldTable": "RulebookReleases",
    "FieldName": "ProfileSchemaPath",
    "FieldIsDerived": false,
    "IsWritableDerivedField": false,
    "IsMasked": false,
    "GrantKeyWhenReadable": "principal-knowledge-authority|RulebookReleases"
   },
   {
    "FieldGrantId": "fg-knowledge-authority-RulebookReleases.PkoCoreVersionIri",
    "Principal": "principal-knowledge-authority",
    "TargetField": "RulebookReleases.PkoCoreVersionIri",
    "CanRead": true,
    "CanWrite": false,
    "MaskStrategy": "plain",
    "SemanticTypeIri": "urn:effortless:pko-extension#FieldGrant",
    "Name": "principal-knowledge-authority -&gt; RulebookReleases.PkoCoreVersionIri",
    "FieldTable": "RulebookReleases",
    "FieldName": "PkoCoreVersionIri",
    "FieldIsDerived": false,
    "IsWritableDerivedField": false,
    "IsMasked": false,
    "GrantKeyWhenReadable": "principal-knowledge-authority|RulebookReleases"
   },
   {
    "FieldGrantId": "fg-knowledge-authority-RulebookReleases.PkoIndustryVersionIri",
    "Principal": "principal-knowledge-authority",
    "TargetField": "RulebookReleases.PkoIndustryVersionIri",
    "CanRead": true,
    "CanWrite": false,
    "MaskStrategy": "plain",
    "SemanticTypeIri": "urn:effortless:pko-extension#FieldGrant",
    "Name": "principal-knowledge-authority -&gt; RulebookReleases.PkoIndustryVersionIri",
    "FieldTable": "RulebookReleases",
    "FieldName": "PkoIndustryVersionIri",
    "FieldIsDerived": false,
    "IsWritableDerivedField": false,
    "IsMasked": false,
    "GrantKeyWhenReadable": "principal-knowledge-authority|RulebookReleases"
   },
   {
    "FieldGrantId": "fg-knowledge-authority-RulebookReleases.IssuedAt",
    "Principal": "principal-knowledge-authority",
    "TargetField": "RulebookReleases.IssuedAt",
    "CanRead": true,
    "CanWrite": false,
    "MaskStrategy": "plain",
    "SemanticTypeIri": "urn:effortless:pko-extension#FieldGrant",
    "Name": "principal-knowledge-authority -&gt; RulebookReleases.IssuedAt",
    "FieldTable": "RulebookReleases",
    "FieldName": "IssuedAt",
    "FieldIsDerived": false,
    "IsWritableDerivedField": false,
    "IsMasked": false,
    "GrantKeyWhenReadable": "principal-knowledge-authority|RulebookReleases"
   },
   {
    "FieldGrantId": "fg-knowledge-authority-RulebookReleases.Status",
    "Principal": "principal-knowledge-authority",
    "TargetField": "RulebookReleases.Status",
    "CanRead": true,
    "CanWrite": false,
    "MaskStrategy": "plain",
    "SemanticTypeIri": "urn:effortless:pko-extension#FieldGrant",
    "Name": "principal-knowledge-authority -&gt; RulebookReleases.Status",
    "FieldTable": "RulebookReleases",
    "FieldName": "Status",
    "FieldIsDerived": false,
    "IsWritableDerivedField": false,
    "IsMasked": false,
    "GrantKeyWhenReadable": "principal-knowledge-authority|RulebookReleases"
   },
   {
    "FieldGrantId": "fg-knowledge-authority-RulebookReleases.Changelog",
    "Principal": "principal-knowledge-authority",
    "TargetField": "RulebookReleases.Changelog",
    "CanRead": true,
    "CanWrite": false,
    "MaskStrategy": "plain",
    "SemanticTypeIri": "urn:effortless:pko-extension#FieldGrant",
    "Name": "principal-knowledge-authority -&gt; RulebookReleases.Changelog",
    "FieldTable": "RulebookReleases",
    "FieldName": "Changelog",
    "FieldIsDerived": false,
    "IsWritableDerivedField": false,
    "IsMasked": false,
    "GrantKeyWhenReadable": "principal-knowledge-authority|RulebookReleases"
   },
   {
    "FieldGrantId": "fg-knowledge-authority-RulebookReleases.IsCurrent",
    "Principal": "principal-knowledge-authority",
    "TargetField": "RulebookReleases.IsCurrent",
    "CanRead": true,
    "CanWrite": false,
    "MaskStrategy": "plain",
    "SemanticTypeIri": "urn:effortless:pko-extension#FieldGrant",
    "Name": "principal-knowledge-authority -&gt; RulebookReleases.IsCurrent",
    "FieldTable": "RulebookReleases",
    "FieldName": "IsCurrent",
    "FieldIsDerived": false,
    "IsWritableDerivedField": false,
    "IsMasked": false,
    "GrantKeyWhenReadable": "principal-knowledge-authority|RulebookReleases"
   },
   {
    "FieldGrantId": "fg-knowledge-authority-SemanticMappings.SemanticMappingId",
    "Principal": "principal-knowledge-authority",
    "TargetField": "SemanticMappings.SemanticMappingId",
    "CanRead": true,
    "CanWrite": false,
    "MaskStrategy": "plain",
    "SemanticTypeIri": "urn:effortless:pko-extension#FieldGrant",
    "Name": "principal-knowledge-authority -&gt; SemanticMappings.SemanticMappingId",
    "FieldTable": "SemanticMappings",
    "FieldName": "SemanticMappingId",
    "FieldIsDerived": false,
    "IsWritableDerivedField": false,
    "IsMasked": false,
    "GrantKeyWhenReadable": "principal-knowledge-authority|SemanticMappings"
   },
   {
    "FieldGrantId": "fg-knowledge-authority-SemanticMappings.Name",
    "Principal": "principal-knowledge-authority",
    "TargetField": "SemanticMappings.Name",
    "CanRead": true,
    "CanWrite": false,
    "MaskStrategy": "plain",
    "SemanticTypeIri": "urn:effortless:pko-extension#FieldGrant",
    "Name": "principal-knowledge-authority -&gt; SemanticMappings.Name",
    "FieldTable": "SemanticMappings",
    "FieldName": "Name",
    "FieldIsDerived": true,
    "IsWritableDerivedField": false,
    "IsMasked": false,
    "GrantKeyWhenReadable": "principal-knowledge-authority|SemanticMappings"
   },
   {
    "FieldGrantId": "fg-knowledge-authority-SemanticMappings.SourcePath",
    "Principal": "principal-knowledge-authority",
    "TargetField": "SemanticMappings.SourcePath",
    "CanRead": true,
    "CanWrite": false,
    "MaskStrategy": "plain",
    "SemanticTypeIri": "urn:effortless:pko-extension#FieldGrant",
    "Name": "principal-knowledge-authority -&gt; SemanticMappings.SourcePath",
    "FieldTable": "SemanticMappings",
    "FieldName": "SourcePath",
    "FieldIsDerived": false,
    "IsWritableDerivedField": false,
    "IsMasked": false,
    "GrantKeyWhenReadable": "principal-knowledge-authority|SemanticMappings"
   },
   {
    "FieldGrantId": "fg-knowledge-authority-SemanticMappings.MappingKind",
    "Principal": "principal-knowledge-authority",
    "TargetField": "SemanticMappings.MappingKind",
    "CanRead": true,
    "CanWrite": false,
    "MaskStrategy": "plain",
    "SemanticTypeIri": "urn:effortless:pko-extension#FieldGrant",
    "Name": "principal-knowledge-authority -&gt; SemanticMappings.MappingKind",
    "FieldTable": "SemanticMappings",
    "FieldName": "MappingKind",
    "FieldIsDerived": false,
    "IsWritableDerivedField": false,
    "IsMasked": false,
    "GrantKeyWhenReadable": "principal-knowledge-authority|SemanticMappings"
   },
   {
    "FieldGrantId": "fg-knowledge-authority-SemanticMappings.TargetIri",
    "Principal": "principal-knowledge-authority",
    "TargetField": "SemanticMappings.TargetIri",
    "CanRead": true,
    "CanWrite": false,
    "MaskStrategy": "plain",
    "SemanticTypeIri": "urn:effortless:pko-extension#FieldGrant",
    "Name": "principal-knowledge-authority -&gt; SemanticMappings.TargetIri",
    "FieldTable": "SemanticMappings",
    "FieldName": "TargetIri",
    "FieldIsDerived": false,
    "IsWritableDerivedField": false,
    "IsMasked": false,
    "GrantKeyWhenReadable": "principal-knowledge-authority|SemanticMappings"
   },
   {
    "FieldGrantId": "fg-knowledge-authority-SemanticMappings.MappingRelation",
    "Principal": "principal-knowledge-authority",
    "TargetField": "SemanticMappings.MappingRelation",
    "CanRead": true,
    "CanWrite": false,
    "MaskStrategy": "plain",
    "SemanticTypeIri": "urn:effortless:pko-extension#FieldGrant",
    "Name": "principal-knowledge-authority -&gt; SemanticMappings.MappingRelation",
    "FieldTable": "SemanticMappings",
    "FieldName": "MappingRelation",
    "FieldIsDerived": false,
    "IsWritableDerivedField": false,
    "IsMasked": false,
    "GrantKeyWhenReadable": "principal-knowledge-authority|SemanticMappings"
   },
   {
    "FieldGrantId": "fg-knowledge-authority-SemanticMappings.OntologyProfile",
    "Principal": "principal-knowledge-authority",
    "TargetField": "SemanticMappings.OntologyProfile",
    "CanRead": true,
    "CanWrite": false,
    "MaskStrategy": "plain",
    "SemanticTypeIri": "urn:effortless:pko-extension#FieldGrant",
    "Name": "principal-knowledge-authority -&gt; SemanticMappings.OntologyProfile",
    "FieldTable": "SemanticMappings",
    "FieldName": "OntologyProfile",
    "FieldIsDerived": false,
    "IsWritableDerivedField": false,
    "IsMasked": false,
    "GrantKeyWhenReadable": "principal-knowledge-authority|SemanticMappings"
   },
   {
    "FieldGrantId": "fg-knowledge-authority-SemanticMappings.Notes",
    "Principal": "principal-knowledge-authority",
    "TargetField": "SemanticMappings.Notes",
    "CanRead": true,
    "CanWrite": false,
    "MaskStrategy": "plain",
    "SemanticTypeIri": "urn:effortless:pko-extension#FieldGrant",
    "Name": "principal-knowledge-authority -&gt; SemanticMappings.Notes",
    "FieldTable": "SemanticMappings",
    "FieldName": "Notes",
    "FieldIsDerived": false,
    "IsWritableDerivedField": false,
    "IsMasked": false,
    "GrantKeyWhenReadable": "principal-knowledge-authority|SemanticMappings"
   },
   {
    "FieldGrantId": "fg-knowledge-authority-SendIntents.SendIntentId",
    "Principal": "principal-knowledge-authority",
    "TargetField": "SendIntents.SendIntentId",
    "CanRead": true,
    "CanWrite": false,
    "MaskStrategy": "plain",
    "SemanticTypeIri": "urn:effortless:pko-extension#FieldGrant",
    "Name": "principal-knowledge-authority -&gt; SendIntents.SendIntentId",
    "FieldTable": "SendIntents",
    "FieldName": "SendIntentId",
    "FieldIsDerived": false,
    "IsWritableDerivedField": false,
    "IsMasked": false,
    "GrantKeyWhenReadable": "principal-knowledge-authority|SendIntents"
   },
   {
    "FieldGrantId": "fg-knowledge-authority-SendIntents.Name",
    "Principal": "principal-knowledge-authority",
    "TargetField": "SendIntents.Name",
    "CanRead": true,
    "CanWrite": false,
    "MaskStrategy": "plain",
    "SemanticTypeIri": "urn:effortless:pko-extension#FieldGrant",
    "Name": "principal-knowledge-authority -&gt; SendIntents.Name",
    "FieldTable": "SendIntents",
    "FieldName": "Name",
    "FieldIsDerived": true,
    "IsWritableDerivedField": false,
    "IsMasked": false,
    "GrantKeyWhenReadable": "principal-knowledge-authority|SendIntents"
   },
   {
    "FieldGrantId": "fg-knowledge-authority-SendIntents.ProcedureExecution",
    "Principal": "principal-knowledge-authority",
    "TargetField": "SendIntents.ProcedureExecution",
    "CanRead": true,
    "CanWrite": false,
    "MaskStrategy": "plain",
    "SemanticTypeIri": "urn:effortless:pko-extension#FieldGrant",
    "Name": "principal-knowledge-authority -&gt; SendIntents.ProcedureExecution",
    "FieldTable": "SendIntents",
    "FieldName": "ProcedureExecution",
    "FieldIsDerived": false,
    "IsWritableDerivedField": false,
    "IsMasked": false,
    "GrantKeyWhenReadable": "principal-knowledge-authority|SendIntents"
   },
   {
    "FieldGrantId": "fg-knowledge-authority-SendIntents.StepExecution",
    "Principal": "principal-knowledge-authority",
    "TargetField": "SendIntents.StepExecution",
    "CanRead": true,
    "CanWrite": false,
    "MaskStrategy": "plain",
    "SemanticTypeIri": "urn:effortless:pko-extension#FieldGrant",
    "Name": "principal-knowledge-authority -&gt; SendIntents.StepExecution",
    "FieldTable": "SendIntents",
    "FieldName": "StepExecution",
    "FieldIsDerived": false,
    "IsWritableDerivedField": false,
    "IsMasked": false,
    "GrantKeyWhenReadable": "principal-knowledge-authority|SendIntents"
   },
   {
    "FieldGrantId": "fg-knowledge-authority-SendIntents.Recipient",
    "Principal": "principal-knowledge-authority",
    "TargetField": "SendIntents.Recipient",
    "CanRead": true,
    "CanWrite": false,
    "MaskStrategy": "plain",
    "SemanticTypeIri": "urn:effortless:pko-extension#FieldGrant",
    "Name": "principal-knowledge-authority -&gt; SendIntents.Recipient",
    "FieldTable": "SendIntents",
    "FieldName": "Recipient",
    "FieldIsDerived": false,
    "IsWritableDerivedField": false,
    "IsMasked": false,
    "GrantKeyWhenReadable": "principal-knowledge-authority|SendIntents"
   },
   {
    "FieldGrantId": "fg-knowledge-authority-SendIntents.MessageTemplate",
    "Principal": "principal-knowledge-authority",
    "TargetField": "SendIntents.MessageTemplate",
    "CanRead": true,
    "CanWrite": false,
    "MaskStrategy": "plain",
    "SemanticTypeIri": "urn:effortless:pko-extension#FieldGrant",
    "Name": "principal-knowledge-authority -&gt; SendIntents.MessageTemplate",
    "FieldTable": "SendIntents",
    "FieldName": "MessageTemplate",
    "FieldIsDerived": false,
    "IsWritableDerivedField": false,
    "IsMasked": false,
    "GrantKeyWhenReadable": "principal-knowledge-authority|SendIntents"
   },
   {
    "FieldGrantId": "fg-knowledge-authority-SendIntents.ProposedBody",
    "Principal": "principal-knowledge-authority",
    "TargetField": "SendIntents.ProposedBody",
    "CanRead": true,
    "CanWrite": false,
    "MaskStrategy": "plain",
    "SemanticTypeIri": "urn:effortless:pko-extension#FieldGrant",
    "Name": "principal-knowledge-authority -&gt; SendIntents.ProposedBody",
    "FieldTable": "SendIntents",
    "FieldName": "ProposedBody",
    "FieldIsDerived": false,
    "IsWritableDerivedField": false,
    "IsMasked": false,
    "GrantKeyWhenReadable": "principal-knowledge-authority|SendIntents"
   },
   {
    "FieldGrantId": "fg-knowledge-authority-SendIntents.ProposedSendAtLocalHour",
    "Principal": "principal-knowledge-authority",
    "TargetField": "SendIntents.ProposedSendAtLocalHour",
    "CanRead": true,
    "CanWrite": false,
    "MaskStrategy": "plain",
    "SemanticTypeIri": "urn:effortless:pko-extension#FieldGrant",
    "Name": "principal-knowledge-authority -&gt; SendIntents.ProposedSendAtLocalHour",
    "FieldTable": "SendIntents",
    "FieldName": "ProposedSendAtLocalHour",
    "FieldIsDerived": false,
    "IsWritableDerivedField": false,
    "IsMasked": false,
    "GrantKeyWhenReadable": "principal-knowledge-authority|SendIntents"
   },
   {
    "FieldGrantId": "fg-knowledge-authority-SendIntents.EvaluatedAt",
    "Principal": "principal-knowledge-authority",
    "TargetField": "SendIntents.EvaluatedAt",
    "CanRead": true,
    "CanWrite": false,
    "MaskStrategy": "plain",
    "SemanticTypeIri": "urn:effortless:pko-extension#FieldGrant",
    "Name": "principal-knowledge-authority -&gt; SendIntents.EvaluatedAt",
    "FieldTable": "SendIntents",
    "FieldName": "EvaluatedAt",
    "FieldIsDerived": false,
    "IsWritableDerivedField": false,
    "IsMasked": false,
    "GrantKeyWhenReadable": "principal-knowledge-authority|SendIntents"
   },
   {
    "FieldGrantId": "fg-knowledge-authority-SendIntents.ResultingDelivery",
    "Principal": "principal-knowledge-authority",
    "TargetField": "SendIntents.ResultingDelivery",
    "CanRead": true,
    "CanWrite": false,
    "MaskStrategy": "plain",
    "SemanticTypeIri": "urn:effortless:pko-extension#FieldGrant",
    "Name": "principal-knowledge-authority -&gt; SendIntents.ResultingDelivery",
    "FieldTable": "SendIntents",
    "FieldName": "ResultingDelivery",
    "FieldIsDerived": false,
    "IsWritableDerivedField": false,
    "IsMasked": false,
    "GrantKeyWhenReadable": "principal-knowledge-authority|SendIntents"
   },
   {
    "FieldGrantId": "fg-knowledge-authority-SendIntents.IntentPolicy",
    "Principal": "principal-knowledge-authority",
    "TargetField": "SendIntents.IntentPolicy",
    "CanRead": true,
    "CanWrite": false,
    "MaskStrategy": "plain",
    "SemanticTypeIri": "urn:effortless:pko-extension#FieldGrant",
    "Name": "principal-knowledge-authority -&gt; SendIntents.IntentPolicy",
    "FieldTable": "SendIntents",
    "FieldName": "IntentPolicy",
    "FieldIsDerived": true,
    "IsWritableDerivedField": false,
    "IsMasked": false,
    "GrantKeyWhenReadable": "principal-knowledge-authority|SendIntents"
   },
   {
    "FieldGrantId": "fg-knowledge-authority-SendIntents.IntentChannel",
    "Principal": "principal-knowledge-authority",
    "TargetField": "SendIntents.IntentChannel",
    "CanRead": true,
    "CanWrite": false,
    "MaskStrategy": "plain",
    "SemanticTypeIri": "urn:effortless:pko-extension#FieldGrant",
    "Name": "principal-knowledge-authority -&gt; SendIntents.IntentChannel",
    "FieldTable": "SendIntents",
    "FieldName": "IntentChannel",
    "FieldIsDerived": true,
    "IsWritableDerivedField": false,
    "IsMasked": false,
    "GrantKeyWhenReadable": "principal-knowledge-authority|SendIntents"
   },
   {
    "FieldGrantId": "fg-knowledge-authority-SendIntents.PolicyIsActive",
    "Principal": "principal-knowledge-authority",
    "TargetField": "SendIntents.PolicyIsActive",
    "CanRead": true,
    "CanWrite": false,
    "MaskStrategy": "plain",
    "SemanticTypeIri": "urn:effortless:pko-extension#FieldGrant",
    "Name": "principal-knowledge-authority -&gt; SendIntents.PolicyIsActive",
    "FieldTable": "SendIntents",
    "FieldName": "PolicyIsActive",
    "FieldIsDerived": true,
    "IsWritableDerivedField": false,
    "IsMasked": false,
    "GrantKeyWhenReadable": "principal-knowledge-authority|SendIntents"
   },
   {
    "FieldGrantId": "fg-knowledge-authority-SendIntents.IntentRequiresConsent",
    "Principal": "principal-knowledge-authority",
    "TargetField": "SendIntents.IntentRequiresConsent",
    "CanRead": true,
    "CanWrite": false,
    "MaskStrategy": "plain",
    "SemanticTypeIri": "urn:effortless:pko-extension#FieldGrant",
    "Name": "principal-knowledge-authority -&gt; SendIntents.IntentRequiresConsent",
    "FieldTable": "SendIntents",
    "FieldName": "IntentRequiresConsent",
    "FieldIsDerived": true,
    "IsWritableDerivedField": false,
    "IsMasked": false,
    "GrantKeyWhenReadable": "principal-knowledge-authority|SendIntents"
   },
   {
    "FieldGrantId": "fg-knowledge-authority-SendIntents.RecipientHasChannelConsent",
    "Principal": "principal-knowledge-authority",
    "TargetField": "SendIntents.RecipientHasChannelConsent",
    "CanRead": true,
    "CanWrite": false,
    "MaskStrategy": "plain",
    "SemanticTypeIri": "urn:effortless:pko-extension#FieldGrant",
    "Name": "principal-knowledge-authority -&gt; SendIntents.RecipientHasChannelConsent",
    "FieldTable": "SendIntents",
    "FieldName": "RecipientHasChannelConsent",
    "FieldIsDerived": true,
    "IsWritableDerivedField": false,
    "IsMasked": false,
    "GrantKeyWhenReadable": "principal-knowledge-authority|SendIntents"
   },
   {
    "FieldGrantId": "fg-knowledge-authority-SendIntents.ConsentGatePassed",
    "Principal": "principal-knowledge-authority",
    "TargetField": "SendIntents.ConsentGatePassed",
    "CanRead": true,
    "CanWrite": false,
    "MaskStrategy": "plain",
    "SemanticTypeIri": "urn:effortless:pko-extension#FieldGrant",
    "Name": "principal-knowledge-authority -&gt; SendIntents.ConsentGatePassed",
    "FieldTable": "SendIntents",
    "FieldName": "ConsentGatePassed",
    "FieldIsDerived": true,
    "IsWritableDerivedField": false,
    "IsMasked": false,
    "GrantKeyWhenReadable": "principal-knowledge-authority|SendIntents"
   },
   {
    "FieldGrantId": "fg-knowledge-authority-SendIntents.RecipientIsSmsReachable",
    "Principal": "principal-knowledge-authority",
    "TargetField": "SendIntents.RecipientIsSmsReachable",
    "CanRead": true,
    "CanWrite": false,
    "MaskStrategy": "plain",
    "SemanticTypeIri": "urn:effortless:pko-extension#FieldGrant",
    "Name": "principal-knowledge-authority -&gt; SendIntents.RecipientIsSmsReachable",
    "FieldTable": "SendIntents",
    "FieldName": "RecipientIsSmsReachable",
    "FieldIsDerived": true,
    "IsWritableDerivedField": false,
    "IsMasked": false,
    "GrantKeyWhenReadable": "principal-knowledge-authority|SendIntents"
   },
   {
    "FieldGrantId": "fg-knowledge-authority-SendIntents.RecipientIsEmailReachable",
    "Principal": "principal-knowledge-authority",
    "TargetField": "SendIntents.RecipientIsEmailReachable",
    "CanRead": true,
    "CanWrite": false,
    "MaskStrategy": "plain",
    "SemanticTypeIri": "urn:effortless:pko-extension#FieldGrant",
    "Name": "principal-knowledge-authority -&gt; SendIntents.RecipientIsEmailReachable",
    "FieldTable": "SendIntents",
    "FieldName": "RecipientIsEmailReachable",
    "FieldIsDerived": true,
    "IsWritableDerivedField": false,
    "IsMasked": false,
    "GrantKeyWhenReadable": "principal-knowledge-authority|SendIntents"
   },
   {
    "FieldGrantId": "fg-knowledge-authority-SendIntents.ReachabilityGatePassed",
    "Principal": "principal-knowledge-authority",
    "TargetField": "SendIntents.ReachabilityGatePassed",
    "CanRead": true,
    "CanWrite": false,
    "MaskStrategy": "plain",
    "SemanticTypeIri": "urn:effortless:pko-extension#FieldGrant",
    "Name": "principal-knowledge-authority -&gt; SendIntents.ReachabilityGatePassed",
    "FieldTable": "SendIntents",
    "FieldName": "ReachabilityGatePassed",
    "FieldIsDerived": true,
    "IsWritableDerivedField": false,
    "IsMasked": false,
    "GrantKeyWhenReadable": "principal-knowledge-authority|SendIntents"
   },
   {
    "FieldGrantId": "fg-knowledge-authority-SendIntents.PermissionGatePassed",
    "Principal": "principal-knowledge-authority",
    "TargetField": "SendIntents.PermissionGatePassed",
    "CanRead": true,
    "CanWrite": false,
    "MaskStrategy": "plain",
    "SemanticTypeIri": "urn:effortless:pko-extension#FieldGrant",
    "Name": "principal-knowledge-authority -&gt; SendIntents.PermissionGatePassed",
    "FieldTable": "SendIntents",
    "FieldName": "PermissionGatePassed",
    "FieldIsDerived": true,
    "IsWritableDerivedField": false,
    "IsMasked": false,
    "GrantKeyWhenReadable": "principal-knowledge-authority|SendIntents"
   },
   {
    "FieldGrantId": "fg-knowledge-authority-SendIntents.IntentQuietStartHour",
    "Principal": "principal-knowledge-authority",
    "TargetField": "SendIntents.IntentQuietStartHour",
    "CanRead": true,
    "CanWrite": false,
    "MaskStrategy": "plain",
    "SemanticTypeIri": "urn:effortless:pko-extension#FieldGrant",
    "Name": "principal-knowledge-authority -&gt; SendIntents.IntentQuietStartHour",
    "FieldTable": "SendIntents",
    "FieldName": "IntentQuietStartHour",
    "FieldIsDerived": true,
    "IsWritableDerivedField": false,
    "IsMasked": false,
    "GrantKeyWhenReadable": "principal-knowledge-authority|SendIntents"
   },
   {
    "FieldGrantId": "fg-knowledge-authority-SendIntents.IntentQuietEndHour",
    "Principal": "principal-knowledge-authority",
    "TargetField": "SendIntents.IntentQuietEndHour",
    "CanRead": true,
    "CanWrite": false,
    "MaskStrategy": "plain",
    "SemanticTypeIri": "urn:effortless:pko-extension#FieldGrant",
    "Name": "principal-knowledge-authority -&gt; SendIntents.IntentQuietEndHour",
    "FieldTable": "SendIntents",
    "FieldName": "IntentQuietEndHour",
    "FieldIsDerived": true,
    "IsWritableDerivedField": false,
    "IsMasked": false,
    "GrantKeyWhenReadable": "principal-knowledge-authority|SendIntents"
   },
   {
    "FieldGrantId": "fg-knowledge-authority-SendIntents.IntentPolicyHasQuietHours",
    "Principal": "principal-knowledge-authority",
    "TargetField": "SendIntents.IntentPolicyHasQuietHours",
    "CanRead": true,
    "CanWrite": false,
    "MaskStrategy": "plain",
    "SemanticTypeIri": "urn:effortless:pko-extension#FieldGrant",
    "Name": "principal-knowledge-authority -&gt; SendIntents.IntentPolicyHasQuietHours",
    "FieldTable": "SendIntents",
    "FieldName": "IntentPolicyHasQuietHours",
    "FieldIsDerived": true,
    "IsWritableDerivedField": false,
    "IsMasked": false,
    "GrantKeyWhenReadable": "principal-knowledge-authority|SendIntents"
   },
   {
    "FieldGrantId": "fg-knowledge-authority-SendIntents.IntentQuietWindowWraps",
    "Principal": "principal-knowledge-authority",
    "TargetField": "SendIntents.IntentQuietWindowWraps",
    "CanRead": true,
    "CanWrite": false,
    "MaskStrategy": "plain",
    "SemanticTypeIri": "urn:effortless:pko-extension#FieldGrant",
    "Name": "principal-knowledge-authority -&gt; SendIntents.IntentQuietWindowWraps",
    "FieldTable": "SendIntents",
    "FieldName": "IntentQuietWindowWraps",
    "FieldIsDerived": true,
    "IsWritableDerivedField": false,
    "IsMasked": false,
    "GrantKeyWhenReadable": "principal-knowledge-authority|SendIntents"
   },
   {
    "FieldGrantId": "fg-knowledge-authority-SendIntents.IntentIsInsideQuietWindow",
    "Principal": "principal-knowledge-authority",
    "TargetField": "SendIntents.IntentIsInsideQuietWindow",
    "CanRead": true,
    "CanWrite": false,
    "MaskStrategy": "plain",
    "SemanticTypeIri": "urn:effortless:pko-extension#FieldGrant",
    "Name": "principal-knowledge-authority -&gt; SendIntents.IntentIsInsideQuietWindow",
    "FieldTable": "SendIntents",
    "FieldName": "IntentIsInsideQuietWindow",
    "FieldIsDerived": true,
    "IsWritableDerivedField": false,
    "IsMasked": false,
    "GrantKeyWhenReadable": "principal-knowledge-authority|SendIntents"
   },
   {
    "FieldGrantId": "fg-knowledge-authority-SendIntents.TimingGatePassed",
    "Principal": "principal-knowledge-authority",
    "TargetField": "SendIntents.TimingGatePassed",
    "CanRead": true,
    "CanWrite": false,
    "MaskStrategy": "plain",
    "SemanticTypeIri": "urn:effortless:pko-extension#FieldGrant",
    "Name": "principal-knowledge-authority -&gt; SendIntents.TimingGatePassed",
    "FieldTable": "SendIntents",
    "FieldName": "TimingGatePassed",
    "FieldIsDerived": true,
    "IsWritableDerivedField": false,
    "IsMasked": false,
    "GrantKeyWhenReadable": "principal-knowledge-authority|SendIntents"
   },
   </t>
  </si>
  <si>
    <t xml:space="preserve">{
    "FieldGrantId": "fg-knowledge-authority-SendIntents.HoursUntilWindowOpens",
    "Principal": "principal-knowledge-authority",
    "TargetField": "SendIntents.HoursUntilWindowOpens",
    "CanRead": true,
    "CanWrite": false,
    "MaskStrategy": "plain",
    "SemanticTypeIri": "urn:effortless:pko-extension#FieldGrant",
    "Name": "principal-knowledge-authority -&gt; SendIntents.HoursUntilWindowOpens",
    "FieldTable": "SendIntents",
    "FieldName": "HoursUntilWindowOpens",
    "FieldIsDerived": true,
    "IsWritableDerivedField": false,
    "IsMasked": false,
    "GrantKeyWhenReadable": "principal-knowledge-authority|SendIntents"
   },
   {
    "FieldGrantId": "fg-knowledge-authority-SendIntents.IntentMaxMessageLength",
    "Principal": "principal-knowledge-authority",
    "TargetField": "SendIntents.IntentMaxMessageLength",
    "CanRead": true,
    "CanWrite": false,
    "MaskStrategy": "plain",
    "SemanticTypeIri": "urn:effortless:pko-extension#FieldGrant",
    "Name": "principal-knowledge-authority -&gt; SendIntents.IntentMaxMessageLength",
    "FieldTable": "SendIntents",
    "FieldName": "IntentMaxMessageLength",
    "FieldIsDerived": true,
    "IsWritableDerivedField": false,
    "IsMasked": false,
    "GrantKeyWhenReadable": "principal-knowledge-authority|SendIntents"
   },
   {
    "FieldGrantId": "fg-knowledge-authority-SendIntents.IntentMaxSegments",
    "Principal": "principal-knowledge-authority",
    "TargetField": "SendIntents.IntentMaxSegments",
    "CanRead": true,
    "CanWrite": false,
    "MaskStrategy": "plain",
    "SemanticTypeIri": "urn:effortless:pko-extension#FieldGrant",
    "Name": "principal-knowledge-authority -&gt; SendIntents.IntentMaxSegments",
    "FieldTable": "SendIntents",
    "FieldName": "IntentMaxSegments",
    "FieldIsDerived": true,
    "IsWritableDerivedField": false,
    "IsMasked": false,
    "GrantKeyWhenReadable": "principal-knowledge-authority|SendIntents"
   },
   {
    "FieldGrantId": "fg-knowledge-authority-SendIntents.ProposedBodyLength",
    "Principal": "principal-knowledge-authority",
    "TargetField": "SendIntents.ProposedBodyLength",
    "CanRead": true,
    "CanWrite": false,
    "MaskStrategy": "plain",
    "SemanticTypeIri": "urn:effortless:pko-extension#FieldGrant",
    "Name": "principal-knowledge-authority -&gt; SendIntents.ProposedBodyLength",
    "FieldTable": "SendIntents",
    "FieldName": "ProposedBodyLength",
    "FieldIsDerived": false,
    "IsWritableDerivedField": false,
    "IsMasked": false,
    "GrantKeyWhenReadable": "principal-knowledge-authority|SendIntents"
   },
   {
    "FieldGrantId": "fg-knowledge-authority-SendIntents.ProposedSegmentCount",
    "Principal": "principal-knowledge-authority",
    "TargetField": "SendIntents.ProposedSegmentCount",
    "CanRead": true,
    "CanWrite": false,
    "MaskStrategy": "plain",
    "SemanticTypeIri": "urn:effortless:pko-extension#FieldGrant",
    "Name": "principal-knowledge-authority -&gt; SendIntents.ProposedSegmentCount",
    "FieldTable": "SendIntents",
    "FieldName": "ProposedSegmentCount",
    "FieldIsDerived": false,
    "IsWritableDerivedField": false,
    "IsMasked": false,
    "GrantKeyWhenReadable": "principal-knowledge-authority|SendIntents"
   },
   {
    "FieldGrantId": "fg-knowledge-authority-SendIntents.LengthGatePassed",
    "Principal": "principal-knowledge-authority",
    "TargetField": "SendIntents.LengthGatePassed",
    "CanRead": true,
    "CanWrite": false,
    "MaskStrategy": "plain",
    "SemanticTypeIri": "urn:effortless:pko-extension#FieldGrant",
    "Name": "principal-knowledge-authority -&gt; SendIntents.LengthGatePassed",
    "FieldTable": "SendIntents",
    "FieldName": "LengthGatePassed",
    "FieldIsDerived": true,
    "IsWritableDerivedField": false,
    "IsMasked": false,
    "GrantKeyWhenReadable": "principal-knowledge-authority|SendIntents"
   },
   {
    "FieldGrantId": "fg-knowledge-authority-SendIntents.IntentRequiredOptOutPhrase",
    "Principal": "principal-knowledge-authority",
    "TargetField": "SendIntents.IntentRequiredOptOutPhrase",
    "CanRead": true,
    "CanWrite": false,
    "MaskStrategy": "plain",
    "SemanticTypeIri": "urn:effortless:pko-extension#FieldGrant",
    "Name": "principal-knowledge-authority -&gt; SendIntents.IntentRequiredOptOutPhrase",
    "FieldTable": "SendIntents",
    "FieldName": "IntentRequiredOptOutPhrase",
    "FieldIsDerived": true,
    "IsWritableDerivedField": false,
    "IsMasked": false,
    "GrantKeyWhenReadable": "principal-knowledge-authority|SendIntents"
   },
   {
    "FieldGrantId": "fg-knowledge-authority-SendIntents.ProposedOptOutPosition",
    "Principal": "principal-knowledge-authority",
    "TargetField": "SendIntents.ProposedOptOutPosition",
    "CanRead": true,
    "CanWrite": false,
    "MaskStrategy": "plain",
    "SemanticTypeIri": "urn:effortless:pko-extension#FieldGrant",
    "Name": "principal-knowledge-authority -&gt; SendIntents.ProposedOptOutPosition",
    "FieldTable": "SendIntents",
    "FieldName": "ProposedOptOutPosition",
    "FieldIsDerived": false,
    "IsWritableDerivedField": false,
    "IsMasked": false,
    "GrantKeyWhenReadable": "principal-knowledge-authority|SendIntents"
   },
   {
    "FieldGrantId": "fg-knowledge-authority-SendIntents.OptOutGatePassed",
    "Principal": "principal-knowledge-authority",
    "TargetField": "SendIntents.OptOutGatePassed",
    "CanRead": true,
    "CanWrite": false,
    "MaskStrategy": "plain",
    "SemanticTypeIri": "urn:effortless:pko-extension#FieldGrant",
    "Name": "principal-knowledge-authority -&gt; SendIntents.OptOutGatePassed",
    "FieldTable": "SendIntents",
    "FieldName": "OptOutGatePassed",
    "FieldIsDerived": true,
    "IsWritableDerivedField": false,
    "IsMasked": false,
    "GrantKeyWhenReadable": "principal-knowledge-authority|SendIntents"
   },
   {
    "FieldGrantId": "fg-knowledge-authority-SendIntents.ContentGatePassed",
    "Principal": "principal-knowledge-authority",
    "TargetField": "SendIntents.ContentGatePassed",
    "CanRead": true,
    "CanWrite": false,
    "MaskStrategy": "plain",
    "SemanticTypeIri": "urn:effortless:pko-extension#FieldGrant",
    "Name": "principal-knowledge-authority -&gt; SendIntents.ContentGatePassed",
    "FieldTable": "SendIntents",
    "FieldName": "ContentGatePassed",
    "FieldIsDerived": true,
    "IsWritableDerivedField": false,
    "IsMasked": false,
    "GrantKeyWhenReadable": "principal-knowledge-authority|SendIntents"
   },
   {
    "FieldGrantId": "fg-knowledge-authority-SendIntents.TemplateIsSendable",
    "Principal": "principal-knowledge-authority",
    "TargetField": "SendIntents.TemplateIsSendable",
    "CanRead": true,
    "CanWrite": false,
    "MaskStrategy": "plain",
    "SemanticTypeIri": "urn:effortless:pko-extension#FieldGrant",
    "Name": "principal-knowledge-authority -&gt; SendIntents.TemplateIsSendable",
    "FieldTable": "SendIntents",
    "FieldName": "TemplateIsSendable",
    "FieldIsDerived": true,
    "IsWritableDerivedField": false,
    "IsMasked": false,
    "GrantKeyWhenReadable": "principal-knowledge-authority|SendIntents"
   },
   {
    "FieldGrantId": "fg-knowledge-authority-SendIntents.ExecutionHasLegalClearance",
    "Principal": "principal-knowledge-authority",
    "TargetField": "SendIntents.ExecutionHasLegalClearance",
    "CanRead": true,
    "CanWrite": false,
    "MaskStrategy": "plain",
    "SemanticTypeIri": "urn:effortless:pko-extension#FieldGrant",
    "Name": "principal-knowledge-authority -&gt; SendIntents.ExecutionHasLegalClearance",
    "FieldTable": "SendIntents",
    "FieldName": "ExecutionHasLegalClearance",
    "FieldIsDerived": true,
    "IsWritableDerivedField": false,
    "IsMasked": false,
    "GrantKeyWhenReadable": "principal-knowledge-authority|SendIntents"
   },
   {
    "FieldGrantId": "fg-knowledge-authority-SendIntents.IntentApprovalRole",
    "Principal": "principal-knowledge-authority",
    "TargetField": "SendIntents.IntentApprovalRole",
    "CanRead": true,
    "CanWrite": false,
    "MaskStrategy": "plain",
    "SemanticTypeIri": "urn:effortless:pko-extension#FieldGrant",
    "Name": "principal-knowledge-authority -&gt; SendIntents.IntentApprovalRole",
    "FieldTable": "SendIntents",
    "FieldName": "IntentApprovalRole",
    "FieldIsDerived": true,
    "IsWritableDerivedField": false,
    "IsMasked": false,
    "GrantKeyWhenReadable": "principal-knowledge-authority|SendIntents"
   },
   {
    "FieldGrantId": "fg-knowledge-authority-SendIntents.ApprovalRoleAgentKind",
    "Principal": "principal-knowledge-authority",
    "TargetField": "SendIntents.ApprovalRoleAgentKind",
    "CanRead": true,
    "CanWrite": false,
    "MaskStrategy": "plain",
    "SemanticTypeIri": "urn:effortless:pko-extension#FieldGrant",
    "Name": "principal-knowledge-authority -&gt; SendIntents.ApprovalRoleAgentKind",
    "FieldTable": "SendIntents",
    "FieldName": "ApprovalRoleAgentKind",
    "FieldIsDerived": true,
    "IsWritableDerivedField": false,
    "IsMasked": false,
    "GrantKeyWhenReadable": "principal-knowledge-authority|SendIntents"
   },
   {
    "FieldGrantId": "fg-knowledge-authority-SendIntents.ApprovalIsHuman",
    "Principal": "principal-knowledge-authority",
    "TargetField": "SendIntents.ApprovalIsHuman",
    "CanRead": true,
    "CanWrite": false,
    "MaskStrategy": "plain",
    "SemanticTypeIri": "urn:effortless:pko-extension#FieldGrant",
    "Name": "principal-knowledge-authority -&gt; SendIntents.ApprovalIsHuman",
    "FieldTable": "SendIntents",
    "FieldName": "ApprovalIsHuman",
    "FieldIsDerived": true,
    "IsWritableDerivedField": false,
    "IsMasked": false,
    "GrantKeyWhenReadable": "principal-knowledge-authority|SendIntents"
   },
   {
    "FieldGrantId": "fg-knowledge-authority-SendIntents.AuthorizationGatePassed",
    "Principal": "principal-knowledge-authority",
    "TargetField": "SendIntents.AuthorizationGatePassed",
    "CanRead": true,
    "CanWrite": false,
    "MaskStrategy": "plain",
    "SemanticTypeIri": "urn:effortless:pko-extension#FieldGrant",
    "Name": "principal-knowledge-authority -&gt; SendIntents.AuthorizationGatePassed",
    "FieldTable": "SendIntents",
    "FieldName": "AuthorizationGatePassed",
    "FieldIsDerived": true,
    "IsWritableDerivedField": false,
    "IsMasked": false,
    "GrantKeyWhenReadable": "principal-knowledge-authority|SendIntents"
   },
   {
    "FieldGrantId": "fg-knowledge-authority-SendIntents.IsClearedToSend",
    "Principal": "principal-knowledge-authority",
    "TargetField": "SendIntents.IsClearedToSend",
    "CanRead": true,
    "CanWrite": false,
    "MaskStrategy": "plain",
    "SemanticTypeIri": "urn:effortless:pko-extension#FieldGrant",
    "Name": "principal-knowledge-authority -&gt; SendIntents.IsClearedToSend",
    "FieldTable": "SendIntents",
    "FieldName": "IsClearedToSend",
    "FieldIsDerived": true,
    "IsWritableDerivedField": false,
    "IsMasked": false,
    "GrantKeyWhenReadable": "principal-knowledge-authority|SendIntents"
   },
   {
    "FieldGrantId": "fg-knowledge-authority-SendIntents.BlockingGateName",
    "Principal": "principal-knowledge-authority",
    "TargetField": "SendIntents.BlockingGateName",
    "CanRead": true,
    "CanWrite": false,
    "MaskStrategy": "plain",
    "SemanticTypeIri": "urn:effortless:pko-extension#FieldGrant",
    "Name": "principal-knowledge-authority -&gt; SendIntents.BlockingGateName",
    "FieldTable": "SendIntents",
    "FieldName": "BlockingGateName",
    "FieldIsDerived": true,
    "IsWritableDerivedField": false,
    "IsMasked": false,
    "GrantKeyWhenReadable": "principal-knowledge-authority|SendIntents"
   },
   {
    "FieldGrantId": "fg-knowledge-authority-SendIntents.HasResultingDelivery",
    "Principal": "principal-knowledge-authority",
    "TargetField": "SendIntents.HasResultingDelivery",
    "CanRead": true,
    "CanWrite": false,
    "MaskStrategy": "plain",
    "SemanticTypeIri": "urn:effortless:pko-extension#FieldGrant",
    "Name": "principal-knowledge-authority -&gt; SendIntents.HasResultingDelivery",
    "FieldTable": "SendIntents",
    "FieldName": "HasResultingDelivery",
    "FieldIsDerived": true,
    "IsWritableDerivedField": false,
    "IsMasked": false,
    "GrantKeyWhenReadable": "principal-knowledge-authority|SendIntents"
   },
   {
    "FieldGrantId": "fg-knowledge-authority-SendIntents.ResultingDeliveryWasTransmitted",
    "Principal": "principal-knowledge-authority",
    "TargetField": "SendIntents.ResultingDeliveryWasTransmitted",
    "CanRead": true,
    "CanWrite": false,
    "MaskStrategy": "plain",
    "SemanticTypeIri": "urn:effortless:pko-extension#FieldGrant",
    "Name": "principal-knowledge-authority -&gt; SendIntents.ResultingDeliveryWasTransmitted",
    "FieldTable": "SendIntents",
    "FieldName": "ResultingDeliveryWasTransmitted",
    "FieldIsDerived": true,
    "IsWritableDerivedField": false,
    "IsMasked": false,
    "GrantKeyWhenReadable": "principal-knowledge-authority|SendIntents"
   },
   {
    "FieldGrantId": "fg-knowledge-authority-SendIntents.IsOverriddenRefusal",
    "Principal": "principal-knowledge-authority",
    "TargetField": "SendIntents.IsOverriddenRefusal",
    "CanRead": true,
    "CanWrite": false,
    "MaskStrategy": "plain",
    "SemanticTypeIri": "urn:effortless:pko-extension#FieldGrant",
    "Name": "principal-knowledge-authority -&gt; SendIntents.IsOverriddenRefusal",
    "FieldTable": "SendIntents",
    "FieldName": "IsOverriddenRefusal",
    "FieldIsDerived": true,
    "IsWritableDerivedField": false,
    "IsMasked": false,
    "GrantKeyWhenReadable": "principal-knowledge-authority|SendIntents"
   },
   {
    "FieldGrantId": "fg-knowledge-authority-SendIntents.IsSilentlyDropped",
    "Principal": "principal-knowledge-authority",
    "TargetField": "SendIntents.IsSilentlyDropped",
    "CanRead": true,
    "CanWrite": false,
    "MaskStrategy": "plain",
    "SemanticTypeIri": "urn:effortless:pko-extension#FieldGrant",
    "Name": "principal-knowledge-authority -&gt; SendIntents.IsSilentlyDropped",
    "FieldTable": "SendIntents",
    "FieldName": "IsSilentlyDropped",
    "FieldIsDerived": true,
    "IsWritableDerivedField": false,
    "IsMasked": false,
    "GrantKeyWhenReadable": "principal-knowledge-authority|SendIntents"
   },
   {
    "FieldGrantId": "fg-knowledge-authority-SendIntents.ResultingDeliveryException",
    "Principal": "principal-knowledge-authority",
    "TargetField": "SendIntents.ResultingDeliveryException",
    "CanRead": true,
    "CanWrite": false,
    "MaskStrategy": "plain",
    "SemanticTypeIri": "urn:effortless:pko-extension#FieldGrant",
    "Name": "principal-knowledge-authority -&gt; SendIntents.ResultingDeliveryException",
    "FieldTable": "SendIntents",
    "FieldName": "ResultingDeliveryException",
    "FieldIsDerived": true,
    "IsWritableDerivedField": false,
    "IsMasked": false,
    "GrantKeyWhenReadable": "principal-knowledge-authority|SendIntents"
   },
   {
    "FieldGrantId": "fg-knowledge-authority-SendIntents.RefusalCitedAnException",
    "Principal": "principal-knowledge-authority",
    "TargetField": "SendIntents.RefusalCitedAnException",
    "CanRead": true,
    "CanWrite": false,
    "MaskStrategy": "plain",
    "SemanticTypeIri": "urn:effortless:pko-extension#FieldGrant",
    "Name": "principal-knowledge-authority -&gt; SendIntents.RefusalCitedAnException",
    "FieldTable": "SendIntents",
    "FieldName": "RefusalCitedAnException",
    "FieldIsDerived": true,
    "IsWritableDerivedField": false,
    "IsMasked": false,
    "GrantKeyWhenReadable": "principal-knowledge-authority|SendIntents"
   },
   {
    "FieldGrantId": "fg-knowledge-authority-SendIntents.IsProperlyHandledRefusal",
    "Principal": "principal-knowledge-authority",
    "TargetField": "SendIntents.IsProperlyHandledRefusal",
    "CanRead": true,
    "CanWrite": false,
    "MaskStrategy": "plain",
    "SemanticTypeIri": "urn:effortless:pko-extension#FieldGrant",
    "Name": "principal-knowledge-authority -&gt; SendIntents.IsProperlyHandledRefusal",
    "FieldTable": "SendIntents",
    "FieldName": "IsProperlyHandledRefusal",
    "FieldIsDerived": true,
    "IsWritableDerivedField": false,
    "IsMasked": false,
    "GrantKeyWhenReadable": "principal-knowledge-authority|SendIntents"
   },
   {
    "FieldGrantId": "fg-knowledge-authority-SendIntents.RefusalFailureExecutionKey",
    "Principal": "principal-knowledge-authority",
    "TargetField": "SendIntents.RefusalFailureExecutionKey",
    "CanRead": true,
    "CanWrite": false,
    "MaskStrategy": "plain",
    "SemanticTypeIri": "urn:effortless:pko-extension#FieldGrant",
    "Name": "principal-knowledge-authority -&gt; SendIntents.RefusalFailureExecutionKey",
    "FieldTable": "SendIntents",
    "FieldName": "RefusalFailureExecutionKey",
    "FieldIsDerived": true,
    "IsWritableDerivedField": false,
    "IsMasked": false,
    "GrantKeyWhenReadable": "principal-knowledge-authority|SendIntents"
   },
   {
    "FieldGrantId": "fg-knowledge-authority-SendIntents.IntentExecutionKey",
    "Principal": "principal-knowledge-authority",
    "TargetField": "SendIntents.IntentExecutionKey",
    "CanRead": true,
    "CanWrite": false,
    "MaskStrategy": "plain",
    "SemanticTypeIri": "urn:effortless:pko-extension#FieldGrant",
    "Name": "principal-knowledge-authority -&gt; SendIntents.IntentExecutionKey",
    "FieldTable": "SendIntents",
    "FieldName": "IntentExecutionKey",
    "FieldIsDerived": true,
    "IsWritableDerivedField": false,
    "IsMasked": false,
    "GrantKeyWhenReadable": "principal-knowledge-authority|SendIntents"
   },
   {
    "FieldGrantId": "fg-knowledge-authority-SendIntents.DeliveredIntentExecutionKey",
    "Principal": "principal-knowledge-authority",
    "TargetField": "SendIntents.DeliveredIntentExecutionKey",
    "CanRead": true,
    "CanWrite": false,
    "MaskStrategy": "plain",
    "SemanticTypeIri": "urn:effortless:pko-extension#FieldGrant",
    "Name": "principal-knowledge-authority -&gt; SendIntents.DeliveredIntentExecutionKey",
    "FieldTable": "SendIntents",
    "FieldName": "DeliveredIntentExecutionKey",
    "FieldIsDerived": true,
    "IsWritableDerivedField": false,
    "IsMasked": false,
    "GrantKeyWhenReadable": "principal-knowledge-authority|SendIntents"
   },
   {
    "FieldGrantId": "fg-knowledge-authority-SendIntents.DroppedIntentExecutionKey",
    "Principal": "principal-knowledge-authority",
    "TargetField": "SendIntents.DroppedIntentExecutionKey",
    "CanRead": true,
    "CanWrite": false,
    "MaskStrategy": "plain",
    "SemanticTypeIri": "urn:effortless:pko-extension#FieldGrant",
    "Name": "principal-knowledge-authority -&gt; SendIntents.DroppedIntentExecutionKey",
    "FieldTable": "SendIntents",
    "FieldName": "DroppedIntentExecutionKey",
    "FieldIsDerived": true,
    "IsWritableDerivedField": false,
    "IsMasked": false,
    "GrantKeyWhenReadable": "principal-knowledge-authority|SendIntents"
   },
   {
    "FieldGrantId": "fg-knowledge-authority-SendIntents.MyApprovalWasInForce",
    "Principal": "principal-knowledge-authority",
    "TargetField": "SendIntents.MyApprovalWasInForce",
    "CanRead": true,
    "CanWrite": false,
    "MaskStrategy": "plain",
    "SemanticTypeIri": "urn:effortless:pko-extension#FieldGrant",
    "Name": "principal-knowledge-authority -&gt; SendIntents.MyApprovalWasInForce",
    "FieldTable": "SendIntents",
    "FieldName": "MyApprovalWasInForce",
    "FieldIsDerived": true,
    "IsWritableDerivedField": false,
    "IsMasked": false,
    "GrantKeyWhenReadable": "principal-knowledge-authority|SendIntents"
   },
   {
    "FieldGrantId": "fg-knowledge-authority-SendIntents.RefusedOnApprovedContent",
    "Principal": "principal-knowledge-authority",
    "TargetField": "SendIntents.RefusedOnApprovedContent",
    "CanRead": true,
    "CanWrite": false,
    "MaskStrategy": "plain",
    "SemanticTypeIri": "urn:effortless:pko-extension#FieldGrant",
    "Name": "principal-knowledge-authority -&gt; SendIntents.RefusedOnApprovedContent",
    "FieldTable": "SendIntents",
    "FieldName": "RefusedOnApprovedContent",
    "FieldIsDerived": true,
    "IsWritableDerivedField": false,
    "IsMasked": false,
    "GrantKeyWhenReadable": "principal-knowledge-authority|SendIntents"
   },
   {
    "FieldGrantId": "fg-knowledge-authority-SendIntents.RefusedOnOptOutOnly",
    "Principal": "principal-knowledge-authority",
    "TargetField": "SendIntents.RefusedOnOptOutOnly",
    "CanRead": true,
    "CanWrite": false,
    "MaskStrategy": "plain",
    "SemanticTypeIri": "urn:effortless:pko-extension#FieldGrant",
    "Name": "principal-knowledge-authority -&gt; SendIntents.RefusedOnOptOutOnly",
    "FieldTable": "SendIntents",
    "FieldName": "RefusedOnOptOutOnly",
    "FieldIsDerived": true,
    "IsWritableDerivedField": false,
    "IsMasked": false,
    "GrantKeyWhenReadable": "principal-knowledge-authority|SendIntents"
   },
   {
    "FieldGrantId": "fg-knowledge-authority-SendIntents.RefusalWasOnMyRules",
    "Principal": "principal-knowledge-authority",
    "TargetField": "SendIntents.RefusalWasOnMyRules",
    "CanRead": true,
    "CanWrite": false,
    "MaskStrategy": "plain",
    "SemanticTypeIri": "urn:effortless:pko-extension#FieldGrant",
    "Name": "principal-knowledge-authority -&gt; SendIntents.RefusalWasOnMyRules",
    "FieldTable": "SendIntents",
    "FieldName": "RefusalWasOnMyRules",
    "FieldIsDerived": true,
    "IsWritableDerivedField": false,
    "IsMasked": false,
    "GrantKeyWhenReadable": "principal-knowledge-authority|SendIntents"
   },
   {
    "FieldGrantId": "fg-knowledge-authority-SendIntents.RefusalWasOutsideMyControl",
    "Principal": "principal-knowledge-authority",
    "TargetField": "SendIntents.RefusalWasOutsideMyControl",
    "CanRead": true,
    "CanWrite": false,
    "MaskStrategy": "plain",
    "SemanticTypeIri": "urn:effortless:pko-extension#FieldGrant",
    "Name": "principal-knowledge-authority -&gt; SendIntents.RefusalWasOutsideMyControl",
    "FieldTable": "SendIntents",
    "FieldName": "RefusalWasOutsideMyControl",
    "FieldIsDerived": true,
    "IsWritableDerivedField": false,
    "IsMasked": false,
    "GrantKeyWhenReadable": "principal-knowledge-authority|SendIntents"
   },
   {
    "FieldGrantId": "fg-knowledge-authority-SendIntents.ApproverWasNotified",
    "Principal": "principal-knowledge-authority",
    "TargetField": "SendIntents.ApproverWasNotified",
    "CanRead": true,
    "CanWrite": false,
    "MaskStrategy": "plain",
    "SemanticTypeIri": "urn:effortless:pko-extension#FieldGrant",
    "Name": "principal-knowledge-authority -&gt; SendIntents.ApproverWasNotified",
    "FieldTable": "SendIntents",
    "FieldName": "ApproverWasNotified",
    "FieldIsDerived": false,
    "IsWritableDerivedField": false,
    "IsMasked": false,
    "GrantKeyWhenReadable": "principal-knowledge-authority|SendIntents"
   },
   {
    "FieldGrantId": "fg-knowledge-authority-SendIntents.IsUnreportedRefusalOnMyRules",
    "Principal": "principal-knowledge-authority",
    "TargetField": "SendIntents.IsUnreportedRefusalOnMyRules",
    "CanRead": true,
    "CanWrite": false,
    "MaskStrategy": "plain",
    "SemanticTypeIri": "urn:effortless:pko-extension#FieldGrant",
    "Name": "principal-knowledge-authority -&gt; SendIntents.IsUnreportedRefusalOnMyRules",
    "FieldTable": "SendIntents",
    "FieldName": "IsUnreportedRefusalOnMyRules",
    "FieldIsDerived": true,
    "IsWritableDerivedField": false,
    "IsMasked": false,
    "GrantKeyWhenReadable": "principal-knowledge-authority|SendIntents"
   },
   {
    "FieldGrantId": "fg-knowledge-authority-SendIntents.IsApprovalOverriddenSilently",
    "Principal": "principal-knowledge-authority",
    "TargetField": "SendIntents.IsApprovalOverriddenSilently",
    "CanRead": true,
    "CanWrite": false,
    "MaskStrategy": "plain",
    "SemanticTypeIri": "urn:effortless:pko-extension#FieldGrant",
    "Name": "principal-knowledge-authority -&gt; SendIntents.IsApprovalOverriddenSilently",
    "FieldTable": "SendIntents",
    "FieldName": "IsApprovalOverriddenSilently",
    "FieldIsDerived": true,
    "IsWritableDerivedField": false,
    "IsMasked": false,
    "GrantKeyWhenReadable": "principal-knowledge-authority|SendIntents"
   },
   {
    "FieldGrantId": "fg-knowledge-authority-SendIntents.AlternateChannelIntent",
    "Principal": "principal-knowledge-authority",
    "TargetField": "SendIntents.AlternateChannelIntent",
    "CanRead": true,
    "CanWrite": false,
    "MaskStrategy": "plain",
    "SemanticTypeIri": "urn:effortless:pko-extension#FieldGrant",
    "Name": "principal-knowledge-authority -&gt; SendIntents.AlternateChannelIntent",
    "FieldTable": "SendIntents",
    "FieldName": "AlternateChannelIntent",
    "FieldIsDerived": false,
    "IsWritableDerivedField": false,
    "IsMasked": false,
    "GrantKeyWhenReadable": "principal-knowledge-authority|SendIntents"
   },
   {
    "FieldGrantId": "fg-knowledge-authority-SendIntents.HasAlternateChannelAttempt",
    "Principal": "principal-knowledge-authority",
    "TargetField": "SendIntents.HasAlternateChannelAttempt",
    "CanRead": true,
    "CanWrite": false,
    "MaskStrategy": "plain",
    "SemanticTypeIri": "urn:effortless:pko-extension#FieldGrant",
    "Name": "principal-knowledge-authority -&gt; SendIntents.HasAlternateChannelAttempt",
    "FieldTable": "SendIntents",
    "FieldName": "HasAlternateChannelAttempt",
    "FieldIsDerived": true,
    "IsWritableDerivedField": false,
    "IsMasked": false,
    "GrantKeyWhenReadable": "principal-knowledge-authority|SendIntents"
   },
   {
    "FieldGrantId": "fg-knowledge-authority-SendIntents.AlternateAttemptWasCleared",
    "Principal": "principal-knowledge-authority",
    "TargetField": "SendIntents.AlternateAttemptWasCleared",
    "CanRead": true,
    "CanWrite": false,
    "MaskStrategy": "plain",
    "SemanticTypeIri": "urn:effortless:pko-extension#FieldGrant",
    "Name": "principal-knowledge-authority -&gt; SendIntents.AlternateAttemptWasCleared",
    "FieldTable": "SendIntents",
    "FieldName": "AlternateAttemptWasCleared",
    "FieldIsDerived": true,
    "IsWritableDerivedField": false,
    "IsMasked": false,
    "GrantKeyWhenReadable": "principal-knowledge-authority|SendIntents"
   },
   {
    "FieldGrantId": "fg-knowledge-authority-SendIntents.IsRefusedWithNoAlternative",
    "Principal": "principal-knowledge-authority",
    "TargetField": "SendIntents.IsRefusedWithNoAlternative",
    "CanRead": true,
    "CanWrite": false,
    "MaskStrategy": "plain",
    "SemanticTypeIri": "urn:effortless:pko-extension#FieldGrant",
    "Name": "principal-knowledge-authority -&gt; SendIntents.IsRefusedWithNoAlternative",
    "FieldTable": "SendIntents",
    "FieldName": "IsRefusedWithNoAlternative",
    "FieldIsDerived": true,
    "IsWritableDerivedField": false,
    "IsMasked": false,
    "GrantKeyWhenReadable": "principal-knowledge-authority|SendIntents"
   },
   {
    "FieldGrantId": "fg-knowledge-authority-SendIntents.ExceptionPrescribedAnAlternative",
    "Principal": "principal-knowledge-authority",
    "TargetField": "SendIntents.ExceptionPrescribedAnAlternative",
    "CanRead": true,
    "CanWrite": false,
    "MaskStrategy": "plain",
    "SemanticTypeIri": "urn:effortless:pko-extension#FieldGrant",
    "Name": "principal-knowledge-authority -&gt; SendIntents.ExceptionPrescribedAnAlternative",
    "FieldTable": "SendIntents",
    "FieldName": "ExceptionPrescribedAnAlternative",
    "FieldIsDerived": true,
    "IsWritableDerivedField": false,
    "IsMasked": false,
    "GrantKeyWhenReadable": "principal-knowledge-authority|SendIntents"
   },
   {
    "FieldGrantId": "fg-knowledge-authority-SendIntents.PrescribedHandlingWasPerformed",
    "Principal": "principal-knowledge-authority",
    "TargetField": "SendIntents.PrescribedHandlingWasPerformed",
    "CanRead": true,
    "CanWrite": false,
    "MaskStrategy": "plain",
    "SemanticTypeIri": "urn:effortless:pko-extension#FieldGrant",
    "Name": "principal-knowledge-authority -&gt; SendIntents.PrescribedHandlingWasPerformed",
    "FieldTable": "SendIntents",
    "FieldName": "PrescribedHandlingWasPerformed",
    "FieldIsDerived": true,
    "IsWritableDerivedField": false,
    "IsMasked": false,
    "GrantKeyWhenReadable": "principal-knowledge-authority|SendIntents"
   },
   {
    "FieldGrantId": "fg-knowledge-authority-SendIntents.IsSuppressionWithoutRemedy",
    "Principal": "principal-knowledge-authority",
    "TargetField": "SendIntents.IsSuppressionWithoutRemedy",
    "CanRead": true,
    "CanWrite": false,
    "MaskStrategy": "plain",
    "SemanticTypeIri": "urn:effortless:pko-extension#FieldGrant",
    "Name": "principal-knowledge-authority -&gt; SendIntents.IsSuppressionWithoutRemedy",
    "FieldTable": "SendIntents",
    "FieldName": "IsSuppressionWithoutRemedy",
    "FieldIsDerived": true,
    "IsWritableDerivedField": false,
    "IsMasked": false,
    "GrantKeyWhenReadable": "principal-knowledge-authority|SendIntents"
   },
   {
    "FieldGrantId": "fg-knowledge-authority-SendIntents.RefusalRecordedAt",
    "Principal": "principal-knowledge-authority",
    "TargetField": "SendIntents.RefusalRecordedAt",
    "CanRead": true,
    "CanWrite": false,
    "MaskStrategy": "plain",
    "SemanticTypeIri": "urn:effortless:pko-extension#FieldGrant",
    "Name": "principal-knowledge-authority -&gt; SendIntents.RefusalRecordedAt",
    "FieldTable": "SendIntents",
    "FieldName": "RefusalRecordedAt",
    "FieldIsDerived": false,
    "IsWritableDerivedField": false,
    "IsMasked": false,
    "GrantKeyWhenReadable": "principal-knowledge-authority|SendIntents"
   },
   {
    "FieldGrantId": "fg-knowledge-authority-SendIntents.RefusalNotifiedRole",
    "Principal": "principal-knowledge-authority",
    "TargetField": "SendIntents.RefusalNotifiedRole",
    "CanRead": true,
    "CanWrite": false,
    "MaskStrategy": "plain",
    "SemanticTypeIri": "urn:effortless:pko-extension#FieldGrant",
    "Name": "principal-knowledge-authority -&gt; SendIntents.RefusalNotifiedRole",
    "FieldTable": "SendIntents",
    "FieldName": "RefusalNotifiedRole",
    "FieldIsDerived": false,
    "IsWritableDerivedField": false,
    "IsMasked": false,
    "GrantKeyWhenReadable": "principal-knowledge-authority|SendIntents"
   },
   {
    "FieldGrantId": "fg-knowledge-authority-SendIntents.HasDurableRefusalRecord",
    "Principal": "principal-knowledge-authority",
    "TargetField": "SendIntents.HasDurableRefusalRecord",
    "CanRead": true,
    "CanWrite": false,
    "MaskStrategy": "plain",
    "SemanticTypeIri": "urn:effortless:pko-extension#FieldGrant",
    "Name": "principal-knowledge-authority -&gt; SendIntents.HasDurableRefusalRecord",
    "FieldTable": "SendIntents",
    "FieldName": "HasDurableRefusalRecord",
    "FieldIsDerived": true,
    "IsWritableDerivedField": false,
    "IsMasked": false,
    "GrantKeyWhenReadable": "principal-knowledge-authority|SendIntents"
   },
   {
    "FieldGrantId": "fg-knowledge-authority-SendIntents.RefusalWasEscalated",
    "Principal": "principal-knowledge-authority",
    "TargetField": "SendIntents.RefusalWasEscalated",
    "CanRead": true,
    "CanWrite": false,
    "MaskStrategy": "plain",
    "SemanticTypeIri": "urn:effortless:pko-extension#FieldGrant",
    "Name": "principal-knowledge-authority -&gt; SendIntents.RefusalWasEscalated",
    "FieldTable": "SendIntents",
    "FieldName": "RefusalWasEscalated",
    "FieldIsDerived": true,
    "IsWritableDerivedField": false,
    "IsMasked": false,
    "GrantKeyWhenReadable": "principal-knowledge-authority|SendIntents"
   },
   {
    "FieldGrantId": "fg-knowledge-authority-SendIntents.IsUnrecordedRefusal",
    "Principal": "principal-knowledge-authority",
    "TargetField": "SendIntents.IsUnrecordedRefusal",
    "CanRead": true,
    "CanWrite": false,
    "MaskStrategy": "plain",
    "SemanticTypeIri": "urn:effortless:pko-extension#FieldGrant",
    "Name": "principal-knowledge-authority -&gt; SendIntents.IsUnrecordedRefusal",
    "FieldTable": "SendIntents",
    "FieldName": "IsUnrecordedRefusal",
    "FieldIsDerived": true,
    "IsWritableDerivedField": false,
    "IsMasked": false,
    "GrantKeyWhenReadable": "principal-knowledge-authority|SendIntents"
   },
   {
    "FieldGrantId": "fg-knowledge-authority-SendIntents.IsUnescalatedRefusal",
    "Principal": "principal-knowledge-authority",
    "TargetField": "SendIntents.IsUnescalatedRefusal",
    "CanRead": true,
    "CanWrite": false,
    "MaskStrategy": "plain",
    "SemanticTypeIri": "urn:effortless:pko-extension#FieldGrant",
    "Name": "principal-knowledge-authority -&gt; SendIntents.IsUnescalatedRefusal",
    "FieldTable": "SendIntents",
    "FieldName": "IsUnescalatedRefusal",
    "FieldIsDerived": true,
    "IsWritableDerivedField": false,
    "IsMasked": false,
    "GrantKeyWhenReadable":</t>
  </si>
  <si>
    <t xml:space="preserve"> "principal-knowledge-authority|SendIntents"
   },
   {
    "FieldGrantId": "fg-knowledge-authority-SendIntents.UnescalatedRefusalRoleKey",
    "Principal": "principal-knowledge-authority",
    "TargetField": "SendIntents.UnescalatedRefusalRoleKey",
    "CanRead": true,
    "CanWrite": false,
    "MaskStrategy": "plain",
    "SemanticTypeIri": "urn:effortless:pko-extension#FieldGrant",
    "Name": "principal-knowledge-authority -&gt; SendIntents.UnescalatedRefusalRoleKey",
    "FieldTable": "SendIntents",
    "FieldName": "UnescalatedRefusalRoleKey",
    "FieldIsDerived": true,
    "IsWritableDerivedField": false,
    "IsMasked": false,
    "GrantKeyWhenReadable": "principal-knowledge-authority|SendIntents"
   },
   {
    "FieldGrantId": "fg-knowledge-authority-SendIntents.UnrecordedRefusalExecutionKey",
    "Principal": "principal-knowledge-authority",
    "TargetField": "SendIntents.UnrecordedRefusalExecutionKey",
    "CanRead": true,
    "CanWrite": false,
    "MaskStrategy": "plain",
    "SemanticTypeIri": "urn:effortless:pko-extension#FieldGrant",
    "Name": "principal-knowledge-authority -&gt; SendIntents.UnrecordedRefusalExecutionKey",
    "FieldTable": "SendIntents",
    "FieldName": "UnrecordedRefusalExecutionKey",
    "FieldIsDerived": true,
    "IsWritableDerivedField": false,
    "IsMasked": false,
    "GrantKeyWhenReadable": "principal-knowledge-authority|SendIntents"
   },
   {
    "FieldGrantId": "fg-knowledge-authority-SendIntents.RetryIntent",
    "Principal": "principal-knowledge-authority",
    "TargetField": "SendIntents.RetryIntent",
    "CanRead": true,
    "CanWrite": false,
    "MaskStrategy": "plain",
    "SemanticTypeIri": "urn:effortless:pko-extension#FieldGrant",
    "Name": "principal-knowledge-authority -&gt; SendIntents.RetryIntent",
    "FieldTable": "SendIntents",
    "FieldName": "RetryIntent",
    "FieldIsDerived": false,
    "IsWritableDerivedField": false,
    "IsMasked": false,
    "GrantKeyWhenReadable": "principal-knowledge-authority|SendIntents"
   },
   {
    "FieldGrantId": "fg-knowledge-authority-SendIntents.WasDeferredOnTiming",
    "Principal": "principal-knowledge-authority",
    "TargetField": "SendIntents.WasDeferredOnTiming",
    "CanRead": true,
    "CanWrite": false,
    "MaskStrategy": "plain",
    "SemanticTypeIri": "urn:effortless:pko-extension#FieldGrant",
    "Name": "principal-knowledge-authority -&gt; SendIntents.WasDeferredOnTiming",
    "FieldTable": "SendIntents",
    "FieldName": "WasDeferredOnTiming",
    "FieldIsDerived": true,
    "IsWritableDerivedField": false,
    "IsMasked": false,
    "GrantKeyWhenReadable": "principal-knowledge-authority|SendIntents"
   },
   {
    "FieldGrantId": "fg-knowledge-authority-SendIntents.EvaluationContext",
    "Principal": "principal-knowledge-authority",
    "TargetField": "SendIntents.EvaluationContext",
    "CanRead": true,
    "CanWrite": false,
    "MaskStrategy": "plain",
    "SemanticTypeIri": "urn:effortless:pko-extension#FieldGrant",
    "Name": "principal-knowledge-authority -&gt; SendIntents.EvaluationContext",
    "FieldTable": "SendIntents",
    "FieldName": "EvaluationContext",
    "FieldIsDerived": false,
    "IsWritableDerivedField": false,
    "IsMasked": false,
    "GrantKeyWhenReadable": "principal-knowledge-authority|SendIntents"
   },
   {
    "FieldGrantId": "fg-knowledge-authority-SendIntents.AsOfInstant",
    "Principal": "principal-knowledge-authority",
    "TargetField": "SendIntents.AsOfInstant",
    "CanRead": true,
    "CanWrite": false,
    "MaskStrategy": "plain",
    "SemanticTypeIri": "urn:effortless:pko-extension#FieldGrant",
    "Name": "principal-knowledge-authority -&gt; SendIntents.AsOfInstant",
    "FieldTable": "SendIntents",
    "FieldName": "AsOfInstant",
    "FieldIsDerived": true,
    "IsWritableDerivedField": false,
    "IsMasked": false,
    "GrantKeyWhenReadable": "principal-knowledge-authority|SendIntents"
   },
   {
    "FieldGrantId": "fg-knowledge-authority-SendIntents.WindowHasSinceReopened",
    "Principal": "principal-knowledge-authority",
    "TargetField": "SendIntents.WindowHasSinceReopened",
    "CanRead": true,
    "CanWrite": false,
    "MaskStrategy": "plain",
    "SemanticTypeIri": "urn:effortless:pko-extension#FieldGrant",
    "Name": "principal-knowledge-authority -&gt; SendIntents.WindowHasSinceReopened",
    "FieldTable": "SendIntents",
    "FieldName": "WindowHasSinceReopened",
    "FieldIsDerived": true,
    "IsWritableDerivedField": false,
    "IsMasked": false,
    "GrantKeyWhenReadable": "principal-knowledge-authority|SendIntents"
   },
   {
    "FieldGrantId": "fg-knowledge-authority-SendIntents.HasRetryAttempt",
    "Principal": "principal-knowledge-authority",
    "TargetField": "SendIntents.HasRetryAttempt",
    "CanRead": true,
    "CanWrite": false,
    "MaskStrategy": "plain",
    "SemanticTypeIri": "urn:effortless:pko-extension#FieldGrant",
    "Name": "principal-knowledge-authority -&gt; SendIntents.HasRetryAttempt",
    "FieldTable": "SendIntents",
    "FieldName": "HasRetryAttempt",
    "FieldIsDerived": true,
    "IsWritableDerivedField": false,
    "IsMasked": false,
    "GrantKeyWhenReadable": "principal-knowledge-authority|SendIntents"
   },
   {
    "FieldGrantId": "fg-knowledge-authority-SendIntents.RetryWasCleared",
    "Principal": "principal-knowledge-authority",
    "TargetField": "SendIntents.RetryWasCleared",
    "CanRead": true,
    "CanWrite": false,
    "MaskStrategy": "plain",
    "SemanticTypeIri": "urn:effortless:pko-extension#FieldGrant",
    "Name": "principal-knowledge-authority -&gt; SendIntents.RetryWasCleared",
    "FieldTable": "SendIntents",
    "FieldName": "RetryWasCleared",
    "FieldIsDerived": true,
    "IsWritableDerivedField": false,
    "IsMasked": false,
    "GrantKeyWhenReadable": "principal-knowledge-authority|SendIntents"
   },
   {
    "FieldGrantId": "fg-knowledge-authority-SendIntents.IsAbandonedDeferral",
    "Principal": "principal-knowledge-authority",
    "TargetField": "SendIntents.IsAbandonedDeferral",
    "CanRead": true,
    "CanWrite": false,
    "MaskStrategy": "plain",
    "SemanticTypeIri": "urn:effortless:pko-extension#FieldGrant",
    "Name": "principal-knowledge-authority -&gt; SendIntents.IsAbandonedDeferral",
    "FieldTable": "SendIntents",
    "FieldName": "IsAbandonedDeferral",
    "FieldIsDerived": true,
    "IsWritableDerivedField": false,
    "IsMasked": false,
    "GrantKeyWhenReadable": "principal-knowledge-authority|SendIntents"
   },
   {
    "FieldGrantId": "fg-knowledge-authority-SendIntents.DeferralAgeHours",
    "Principal": "principal-knowledge-authority",
    "TargetField": "SendIntents.DeferralAgeHours",
    "CanRead": true,
    "CanWrite": false,
    "MaskStrategy": "plain",
    "SemanticTypeIri": "urn:effortless:pko-extension#FieldGrant",
    "Name": "principal-knowledge-authority -&gt; SendIntents.DeferralAgeHours",
    "FieldTable": "SendIntents",
    "FieldName": "DeferralAgeHours",
    "FieldIsDerived": true,
    "IsWritableDerivedField": false,
    "IsMasked": false,
    "GrantKeyWhenReadable": "principal-knowledge-authority|SendIntents"
   },
   {
    "FieldGrantId": "fg-knowledge-authority-SendIntents.IsStaleDeferral",
    "Principal": "principal-knowledge-authority",
    "TargetField": "SendIntents.IsStaleDeferral",
    "CanRead": true,
    "CanWrite": false,
    "MaskStrategy": "plain",
    "SemanticTypeIri": "urn:effortless:pko-extension#FieldGrant",
    "Name": "principal-knowledge-authority -&gt; SendIntents.IsStaleDeferral",
    "FieldTable": "SendIntents",
    "FieldName": "IsStaleDeferral",
    "FieldIsDerived": true,
    "IsWritableDerivedField": false,
    "IsMasked": false,
    "GrantKeyWhenReadable": "principal-knowledge-authority|SendIntents"
   },
   {
    "FieldGrantId": "fg-knowledge-authority-SendIntents.EvaluatingRoleAssignment",
    "Principal": "principal-knowledge-authority",
    "TargetField": "SendIntents.EvaluatingRoleAssignment",
    "CanRead": true,
    "CanWrite": false,
    "MaskStrategy": "plain",
    "SemanticTypeIri": "urn:effortless:pko-extension#FieldGrant",
    "Name": "principal-knowledge-authority -&gt; SendIntents.EvaluatingRoleAssignment",
    "FieldTable": "SendIntents",
    "FieldName": "EvaluatingRoleAssignment",
    "FieldIsDerived": false,
    "IsWritableDerivedField": false,
    "IsMasked": false,
    "GrantKeyWhenReadable": "principal-knowledge-authority|SendIntents"
   },
   {
    "FieldGrantId": "fg-knowledge-authority-SendIntents.EnforcedByUnauthorizedAgent",
    "Principal": "principal-knowledge-authority",
    "TargetField": "SendIntents.EnforcedByUnauthorizedAgent",
    "CanRead": true,
    "CanWrite": false,
    "MaskStrategy": "plain",
    "SemanticTypeIri": "urn:effortless:pko-extension#FieldGrant",
    "Name": "principal-knowledge-authority -&gt; SendIntents.EnforcedByUnauthorizedAgent",
    "FieldTable": "SendIntents",
    "FieldName": "EnforcedByUnauthorizedAgent",
    "FieldIsDerived": true,
    "IsWritableDerivedField": false,
    "IsMasked": false,
    "GrantKeyWhenReadable": "principal-knowledge-authority|SendIntents"
   },
   {
    "FieldGrantId": "fg-knowledge-authority-SendIntents.ConsentInputWasResolvable",
    "Principal": "principal-knowledge-authority",
    "TargetField": "SendIntents.ConsentInputWasResolvable",
    "CanRead": true,
    "CanWrite": false,
    "MaskStrategy": "plain",
    "SemanticTypeIri": "urn:effortless:pko-extension#FieldGrant",
    "Name": "principal-knowledge-authority -&gt; SendIntents.ConsentInputWasResolvable",
    "FieldTable": "SendIntents",
    "FieldName": "ConsentInputWasResolvable",
    "FieldIsDerived": true,
    "IsWritableDerivedField": false,
    "IsMasked": false,
    "GrantKeyWhenReadable": "principal-knowledge-authority|SendIntents"
   },
   {
    "FieldGrantId": "fg-knowledge-authority-SendIntents.RecipientConsentStatusRaw",
    "Principal": "principal-knowledge-authority",
    "TargetField": "SendIntents.RecipientConsentStatusRaw",
    "CanRead": true,
    "CanWrite": false,
    "MaskStrategy": "plain",
    "SemanticTypeIri": "urn:effortless:pko-extension#FieldGrant",
    "Name": "principal-knowledge-authority -&gt; SendIntents.RecipientConsentStatusRaw",
    "FieldTable": "SendIntents",
    "FieldName": "RecipientConsentStatusRaw",
    "FieldIsDerived": true,
    "IsWritableDerivedField": false,
    "IsMasked": false,
    "GrantKeyWhenReadable": "principal-knowledge-authority|SendIntents"
   },
   {
    "FieldGrantId": "fg-knowledge-authority-SendIntents.PolicyInputWasResolvable",
    "Principal": "principal-knowledge-authority",
    "TargetField": "SendIntents.PolicyInputWasResolvable",
    "CanRead": true,
    "CanWrite": false,
    "MaskStrategy": "plain",
    "SemanticTypeIri": "urn:effortless:pko-extension#FieldGrant",
    "Name": "principal-knowledge-authority -&gt; SendIntents.PolicyInputWasResolvable",
    "FieldTable": "SendIntents",
    "FieldName": "PolicyInputWasResolvable",
    "FieldIsDerived": true,
    "IsWritableDerivedField": false,
    "IsMasked": false,
    "GrantKeyWhenReadable": "principal-knowledge-authority|SendIntents"
   },
   {
    "FieldGrantId": "fg-knowledge-authority-SendIntents.AllGateInputsResolved",
    "Principal": "principal-knowledge-authority",
    "TargetField": "SendIntents.AllGateInputsResolved",
    "CanRead": true,
    "CanWrite": false,
    "MaskStrategy": "plain",
    "SemanticTypeIri": "urn:effortless:pko-extension#FieldGrant",
    "Name": "principal-knowledge-authority -&gt; SendIntents.AllGateInputsResolved",
    "FieldTable": "SendIntents",
    "FieldName": "AllGateInputsResolved",
    "FieldIsDerived": true,
    "IsWritableDerivedField": false,
    "IsMasked": false,
    "GrantKeyWhenReadable": "principal-knowledge-authority|SendIntents"
   },
   {
    "FieldGrantId": "fg-knowledge-authority-SendIntents.IsUnevaluableRefusal",
    "Principal": "principal-knowledge-authority",
    "TargetField": "SendIntents.IsUnevaluableRefusal",
    "CanRead": true,
    "CanWrite": false,
    "MaskStrategy": "plain",
    "SemanticTypeIri": "urn:effortless:pko-extension#FieldGrant",
    "Name": "principal-knowledge-authority -&gt; SendIntents.IsUnevaluableRefusal",
    "FieldTable": "SendIntents",
    "FieldName": "IsUnevaluableRefusal",
    "FieldIsDerived": true,
    "IsWritableDerivedField": false,
    "IsMasked": false,
    "GrantKeyWhenReadable": "principal-knowledge-authority|SendIntents"
   },
   {
    "FieldGrantId": "fg-knowledge-authority-SendIntents.GateResultWasIndependentlyConfirmed",
    "Principal": "principal-knowledge-authority",
    "TargetField": "SendIntents.GateResultWasIndependentlyConfirmed",
    "CanRead": true,
    "CanWrite": false,
    "MaskStrategy": "plain",
    "SemanticTypeIri": "urn:effortless:pko-extension#FieldGrant",
    "Name": "principal-knowledge-authority -&gt; SendIntents.GateResultWasIndependentlyConfirmed",
    "FieldTable": "SendIntents",
    "FieldName": "GateResultWasIndependentlyConfirmed",
    "FieldIsDerived": false,
    "IsWritableDerivedField": false,
    "IsMasked": false,
    "GrantKeyWhenReadable": "principal-knowledge-authority|SendIntents"
   },
   {
    "FieldGrantId": "fg-knowledge-authority-SendIntents.IsSelfWitnessedDecision",
    "Principal": "principal-knowledge-authority",
    "TargetField": "SendIntents.IsSelfWitnessedDecision",
    "CanRead": true,
    "CanWrite": false,
    "MaskStrategy": "plain",
    "SemanticTypeIri": "urn:effortless:pko-extension#FieldGrant",
    "Name": "principal-knowledge-authority -&gt; SendIntents.IsSelfWitnessedDecision",
    "FieldTable": "SendIntents",
    "FieldName": "IsSelfWitnessedDecision",
    "FieldIsDerived": true,
    "IsWritableDerivedField": false,
    "IsMasked": false,
    "GrantKeyWhenReadable": "principal-knowledge-authority|SendIntents"
   },
   {
    "FieldGrantId": "fg-knowledge-authority-SendIntents.IsIndependentlyConfirmed",
    "Principal": "principal-knowledge-authority",
    "TargetField": "SendIntents.IsIndependentlyConfirmed",
    "CanRead": true,
    "CanWrite": false,
    "MaskStrategy": "plain",
    "SemanticTypeIri": "urn:effortless:pko-extension#FieldGrant",
    "Name": "principal-knowledge-authority -&gt; SendIntents.IsIndependentlyConfirmed",
    "FieldTable": "SendIntents",
    "FieldName": "IsIndependentlyConfirmed",
    "FieldIsDerived": true,
    "IsWritableDerivedField": false,
    "IsMasked": false,
    "GrantKeyWhenReadable": "principal-knowledge-authority|SendIntents"
   },
   {
    "FieldGrantId": "fg-knowledge-authority-SendIntents.IndependentlyConfirmedExecutionKey",
    "Principal": "principal-knowledge-authority",
    "TargetField": "SendIntents.IndependentlyConfirmedExecutionKey",
    "CanRead": true,
    "CanWrite": false,
    "MaskStrategy": "plain",
    "SemanticTypeIri": "urn:effortless:pko-extension#FieldGrant",
    "Name": "principal-knowledge-authority -&gt; SendIntents.IndependentlyConfirmedExecutionKey",
    "FieldTable": "SendIntents",
    "FieldName": "IndependentlyConfirmedExecutionKey",
    "FieldIsDerived": true,
    "IsWritableDerivedField": false,
    "IsMasked": false,
    "GrantKeyWhenReadable": "principal-knowledge-authority|SendIntents"
   },
   {
    "FieldGrantId": "fg-knowledge-authority-SendIntents.SemanticTypeIri",
    "Principal": "principal-knowledge-authority",
    "TargetField": "SendIntents.SemanticTypeIri",
    "CanRead": true,
    "CanWrite": false,
    "MaskStrategy": "plain",
    "SemanticTypeIri": "urn:effortless:pko-extension#FieldGrant",
    "Name": "principal-knowledge-authority -&gt; SendIntents.SemanticTypeIri",
    "FieldTable": "SendIntents",
    "FieldName": "SemanticTypeIri",
    "FieldIsDerived": false,
    "IsWritableDerivedField": false,
    "IsMasked": false,
    "GrantKeyWhenReadable": "principal-knowledge-authority|SendIntents"
   },
   {
    "FieldGrantId": "fg-knowledge-authority-StepActions.StepActionId",
    "Principal": "principal-knowledge-authority",
    "TargetField": "StepActions.StepActionId",
    "CanRead": true,
    "CanWrite": false,
    "MaskStrategy": "plain",
    "SemanticTypeIri": "urn:effortless:pko-extension#FieldGrant",
    "Name": "principal-knowledge-authority -&gt; StepActions.StepActionId",
    "FieldTable": "StepActions",
    "FieldName": "StepActionId",
    "FieldIsDerived": false,
    "IsWritableDerivedField": false,
    "IsMasked": false,
    "GrantKeyWhenReadable": "principal-knowledge-authority|StepActions"
   },
   {
    "FieldGrantId": "fg-knowledge-authority-StepActions.Name",
    "Principal": "principal-knowledge-authority",
    "TargetField": "StepActions.Name",
    "CanRead": true,
    "CanWrite": false,
    "MaskStrategy": "plain",
    "SemanticTypeIri": "urn:effortless:pko-extension#FieldGrant",
    "Name": "principal-knowledge-authority -&gt; StepActions.Name",
    "FieldTable": "StepActions",
    "FieldName": "Name",
    "FieldIsDerived": true,
    "IsWritableDerivedField": false,
    "IsMasked": false,
    "GrantKeyWhenReadable": "principal-knowledge-authority|StepActions"
   },
   {
    "FieldGrantId": "fg-knowledge-authority-StepActions.Step",
    "Principal": "principal-knowledge-authority",
    "TargetField": "StepActions.Step",
    "CanRead": true,
    "CanWrite": false,
    "MaskStrategy": "plain",
    "SemanticTypeIri": "urn:effortless:pko-extension#FieldGrant",
    "Name": "principal-knowledge-authority -&gt; StepActions.Step",
    "FieldTable": "StepActions",
    "FieldName": "Step",
    "FieldIsDerived": false,
    "IsWritableDerivedField": false,
    "IsMasked": false,
    "GrantKeyWhenReadable": "principal-knowledge-authority|StepActions"
   },
   {
    "FieldGrantId": "fg-knowledge-authority-StepActions.Action",
    "Principal": "principal-knowledge-authority",
    "TargetField": "StepActions.Action",
    "CanRead": true,
    "CanWrite": false,
    "MaskStrategy": "plain",
    "SemanticTypeIri": "urn:effortless:pko-extension#FieldGrant",
    "Name": "principal-knowledge-authority -&gt; StepActions.Action",
    "FieldTable": "StepActions",
    "FieldName": "Action",
    "FieldIsDerived": false,
    "IsWritableDerivedField": false,
    "IsMasked": false,
    "GrantKeyWhenReadable": "principal-knowledge-authority|StepActions"
   },
   {
    "FieldGrantId": "fg-knowledge-authority-StepExecutions.StepExecutionId",
    "Principal": "principal-knowledge-authority",
    "TargetField": "StepExecutions.StepExecutionId",
    "CanRead": true,
    "CanWrite": false,
    "MaskStrategy": "plain",
    "SemanticTypeIri": "urn:effortless:pko-extension#FieldGrant",
    "Name": "principal-knowledge-authority -&gt; StepExecutions.StepExecutionId",
    "FieldTable": "StepExecutions",
    "FieldName": "StepExecutionId",
    "FieldIsDerived": false,
    "IsWritableDerivedField": false,
    "IsMasked": false,
    "GrantKeyWhenReadable": "principal-knowledge-authority|StepExecutions"
   },
   {
    "FieldGrantId": "fg-knowledge-authority-StepExecutions.Name",
    "Principal": "principal-knowledge-authority",
    "TargetField": "StepExecutions.Name",
    "CanRead": true,
    "CanWrite": false,
    "MaskStrategy": "plain",
    "SemanticTypeIri": "urn:effortless:pko-extension#FieldGrant",
    "Name": "principal-knowledge-authority -&gt; StepExecutions.Name",
    "FieldTable": "StepExecutions",
    "FieldName": "Name",
    "FieldIsDerived": true,
    "IsWritableDerivedField": false,
    "IsMasked": false,
    "GrantKeyWhenReadable": "principal-knowledge-authority|StepExecutions"
   },
   {
    "FieldGrantId": "fg-knowledge-authority-StepExecutions.ProcedureExecution",
    "Principal": "principal-knowledge-authority",
    "TargetField": "StepExecutions.ProcedureExecution",
    "CanRead": true,
    "CanWrite": false,
    "MaskStrategy": "plain",
    "SemanticTypeIri": "urn:effortless:pko-extension#FieldGrant",
    "Name": "principal-knowledge-authority -&gt; StepExecutions.ProcedureExecution",
    "FieldTable": "StepExecutions",
    "FieldName": "ProcedureExecution",
    "FieldIsDerived": false,
    "IsWritableDerivedField": false,
    "IsMasked": false,
    "GrantKeyWhenReadable": "principal-knowledge-authority|StepExecutions"
   },
   {
    "FieldGrantId": "fg-knowledge-authority-StepExecutions.Step",
    "Principal": "principal-knowledge-authority",
    "TargetField": "StepExecutions.Step",
    "CanRead": true,
    "CanWrite": false,
    "MaskStrategy": "plain",
    "SemanticTypeIri": "urn:effortless:pko-extension#FieldGrant",
    "Name": "principal-knowledge-authority -&gt; StepExecutions.Step",
    "FieldTable": "StepExecutions",
    "FieldName": "Step",
    "FieldIsDerived": false,
    "IsWritableDerivedField": false,
    "IsMasked": false,
    "GrantKeyWhenReadable": "principal-knowledge-authority|StepExecutions"
   },
   {
    "FieldGrantId": "fg-knowledge-authority-StepExecutions.ExecutedByAgent",
    "Principal": "principal-knowledge-authority",
    "TargetField": "StepExecutions.ExecutedByAgent",
    "CanRead": true,
    "CanWrite": false,
    "MaskStrategy": "plain",
    "SemanticTypeIri": "urn:effortless:pko-extension#FieldGrant",
    "Name": "principal-knowledge-authority -&gt; StepExecutions.ExecutedByAgent",
    "FieldTable": "StepExecutions",
    "FieldName": "ExecutedByAgent",
    "FieldIsDerived": false,
    "IsWritableDerivedField": false,
    "IsMasked": false,
    "GrantKeyWhenReadable": "principal-knowledge-authority|StepExecutions"
   },
   {
    "FieldGrantId": "fg-knowledge-authority-StepExecutions.ExecutionStatus",
    "Principal": "principal-knowledge-authority",
    "TargetField": "StepExecutions.ExecutionStatus",
    "CanRead": true,
    "CanWrite": false,
    "MaskStrategy": "plain",
    "SemanticTypeIri": "urn:effortless:pko-extension#FieldGrant",
    "Name": "principal-knowledge-authority -&gt; StepExecutions.ExecutionStatus",
    "FieldTable": "StepExecutions",
    "FieldName": "ExecutionStatus",
    "FieldIsDerived": false,
    "IsWritableDerivedField": false,
    "IsMasked": false,
    "GrantKeyWhenReadable": "principal-knowledge-authority|StepExecutions"
   },
   {
    "FieldGrantId": "fg-knowledge-authority-StepExecutions.StartedAt",
    "Principal": "principal-knowledge-authority",
    "TargetField": "StepExecutions.StartedAt",
    "CanRead": true,
    "CanWrite": false,
    "MaskStrategy": "plain",
    "SemanticTypeIri": "urn:effortless:pko-extension#FieldGrant",
    "Name": "principal-knowledge-authority -&gt; StepExecutions.StartedAt",
    "FieldTable": "StepExecutions",
    "FieldName": "StartedAt",
    "FieldIsDerived": false,
    "IsWritableDerivedField": false,
    "IsMasked": false,
    "GrantKeyWhenReadable": "principal-knowledge-authority|StepExecutions"
   },
   {
    "FieldGrantId": "fg-knowledge-authority-StepExecutions.EndedAt",
    "Principal": "principal-knowledge-authority",
    "TargetField": "StepExecutions.EndedAt",
    "CanRead": true,
    "CanWrite": false,
    "MaskStrategy": "plain",
    "SemanticTypeIri": "urn:effortless:pko-extension#FieldGrant",
    "Name": "principal-knowledge-authority -&gt; StepExecutions.EndedAt",
    "FieldTable": "StepExecutions",
    "FieldName": "EndedAt",
    "FieldIsDerived": false,
    "IsWritableDerivedField": false,
    "IsMasked": false,
    "GrantKeyWhenReadable": "principal-knowledge-authority|StepExecutions"
   },
   {
    "FieldGrantId": "fg-knowledge-authority-StepExecutions.VerificationResult",
    "Principal": "principal-knowledge-authority",
    "TargetField": "StepExecutions.VerificationResult",
    "CanRead": true,
    "CanWrite": false,
    "MaskStrategy": "plain",
    "SemanticTypeIri": "urn:effortless:pko-extension#FieldGrant",
    "Name": "principal-knowledge-authority -&gt; StepExecutions.VerificationResult",
    "FieldTable": "StepExecutions",
    "FieldName": "VerificationResult",
    "FieldIsDerived": false,
    "IsWritableDerivedField": false,
    "IsMasked": false,
    "GrantKeyWhenReadable": "principal-knowledge-authority|StepExecutions"
   },
   {
    "FieldGrantId": "fg-knowledge-authority-StepExecutions.Deviation",
    "Principal": "principal-knowledge-authority",
    "TargetField": "StepExecutions.Deviation",
    "CanRead": true,
    "CanWrite": false,
    "MaskStrategy": "plain",
    "SemanticTypeIri": "urn:effortless:pko-extension#FieldGrant",
    "Name": "principal-knowledge-authority -&gt; StepExecutions.Deviation",
    "FieldTable": "StepExecutions",
    "FieldName": "Deviation",
    "FieldIsDerived": false,
    "IsWritableDerivedField": false,
    "IsMasked": false,
    "GrantKeyWhenReadable": "principal-knowledge-authority|StepExecutions"
   },
   {
    "FieldGrantId": "fg-knowledge-authority-StepExecutions.ActualDurationMinutes",
    "Principal": "principal-knowledge-authority",
    "TargetField": "StepExecutions.ActualDurationMinutes",
    "CanRead": true,
    "CanWrite": false,
    "MaskStrategy": "plain",
    "SemanticTypeIri": "urn:effortless:pko-extension#FieldGrant",
    "Name": "principal-knowledge-authority -&gt; StepExecutions.ActualDurationMinutes",
    "FieldTable": "StepExecutions",
    "FieldName": "ActualDurationMinutes",
    "FieldIsDerived": true,
    "IsWritableDerivedField": false,
    "IsMasked": false,
    "GrantKeyWhenReadable": "principal-knowledge-authority|StepExecutions"
   },
   {
    "FieldGrantId": "fg-knowledge-authority-StepExecutions.ExpectedDurationMinutes",
    "Principal": "principal-knowledge-authority",
    "TargetField": "StepExecutions.ExpectedDurationMinutes",
    "CanRead": true,
    "CanWrite": false,
    "MaskStrategy": "plain",
    "SemanticTypeIri": "urn:effortless:pko-extension#FieldGrant",
    "Name": "principal-knowledge-authority -&gt; StepExecutions.ExpectedDurationMinutes",
    "FieldTable": "StepExecutions",
    "FieldName": "ExpectedDurationMinutes",
    "FieldIsDerived": true,
    "IsWritableDerivedField": false,
    "IsMasked": false,
    "GrantKeyWhenReadable": "principal-knowledge-authority|StepExecutions"
   },
   {
    "FieldGrantId": "fg-knowledge-authority-StepExecutions.IsLate",
    "Principal": "principal-knowledge-authority",
    "TargetField": "StepExecutions.IsLate",
    "CanRead": true,
    "CanWrite": false,
    "MaskStrategy": "plain",
    "SemanticTypeIri": "urn:effortless:pko-extension#FieldGrant",
    "Name": "principal-knowledge-authority -&gt; StepExecutions.IsLate",
    "FieldTable": "StepExecutions",
    "FieldName": "IsLate",
    "FieldIsDerived": true,
    "IsWritableDerivedField": false,
    "IsMasked": false,
    "GrantKeyWhenReadable": "principal-knowledge-authority|StepExecutions"
   },
   {
    "FieldGrantId": "fg-knowledge-authority-StepExecutions.BlockingUnmetCount",
    "Principal": "principal-knowledge-authority",
    "TargetField": "StepExecutions.BlockingUnmetCount",
    "CanRead": true,
    "CanWrite": false,
    "MaskStrategy": "plain",
    "SemanticTypeIri": "urn:effortless:pko-extension#FieldGrant",
    "Name": "principal-knowledge-authority -&gt; StepExecutions.BlockingUnmetCount",
    "FieldTable": "StepExecutions",
    "FieldName": "BlockingUnmetCount",
    "FieldIsDerived": true,
    "IsWritableDerivedField": false,
    "IsMasked": false,
    "GrantKeyWhenReadable": "principal-knowledge-authority|StepExecutions"
   },
   {
    "FieldGrantId": "fg-knowledge-authority-StepExecutions.BlockingUnmetCountSafe",
    "Principal": "principal-knowledge-authority",
    "TargetField": "StepExecutions.BlockingUnmetCountSafe",
    "CanRead": true,
    "CanWrite": false,
    "MaskStrategy": "plain",
    "SemanticTypeIri": "urn:effortless:pko-extension#FieldGrant",
    "Name": "principal-knowledge-authority -&gt; StepExecutions.BlockingUnmetCountSafe",
    "FieldTable": "StepExecutions",
    "FieldName": "BlockingUnmetCountSafe",
    "FieldIsDerived": true,
    "IsWritableDerivedField": false,
    "IsMasked": false,
    "GrantKeyWhenReadable": "principal-knowledge-authority|StepExecutions"
   },
   {
    "FieldGrantId": "fg-knowledge-authority-StepExecutions.ProceededPastBlockingControl",
    "Principal": "principal-knowledge-authority",
    "TargetField": "StepExecutions.ProceededPastBlockingControl",
    "CanRead": true,
    "CanWrite": false,
    "MaskStrategy": "plain",
    "SemanticTypeIri": "urn:effortless:pko-extension#FieldGrant",
    "Name": "principal-knowledge-authority -&gt; StepExecutions.ProceededPastBlockingControl",
    "FieldTable": "StepExecutions",
    "FieldName": "ProceededPastBlockingControl",
    "FieldIsDerived": true,
    "IsWritableDerivedField": false,
    "IsMasked": false,
    "GrantKeyWhenReadable": "principal-knowledge-authority|StepExecutions"
   },
   {
    "FieldGrantId": "fg-knowledge-authority-StepExecutions.ExpectedBlockingCount",
    "Principal": "principal-knowledge-authority",
    "TargetField": "StepExecutions.ExpectedBlockingCount",
    "CanRead": true,
    "CanWrite": false,
    "MaskStrategy": "plain",
    "SemanticTypeIri": "urn:effortless:pko-extension#FieldGrant",
    "Name": "principal-knowledge-authority -&gt; StepExecutions.ExpectedBlockingCount",
    "FieldTable": "StepExecutions",
    "FieldName": "ExpectedBlockingCount",
    "FieldIsDerived": true,
    "IsWritableDerivedField": false,
    "IsMasked": false,
    "GrantKeyWhenReadable": "principal-knowledge-authority|StepExecutions"
   },
   {
    "FieldGrantId": "fg-knowledge-authority-StepExecutions.EvaluatedBlockingCount",
    "Principal": "principal-knowledge-authority",
    "TargetField": "StepExecutions.EvaluatedBlockingCount",
    "CanRead": true,
    "CanWrite": false,
    "MaskStrategy": "plain",
    "SemanticTypeIri": "urn:effortless:pko-extension#FieldGrant",
    "Name": "principal-knowledge-authority -&gt; StepExecutions.EvaluatedBlockingCount",
    "FieldTable": "StepExecutions",
    "FieldName": "EvaluatedBlockingCount",
    "FieldIsDerived": true,
    "IsWritableDerivedField": false,
    "IsMasked": false,
    "GrantKeyWhenReadable": "principal-knowledge-authority|StepExecutions"
   },
   {
    "FieldGrantId": "fg-knowledge-authority-StepExecutions.UnevaluatedBlockingCount",
    "Principal": "principal-knowledge-authority",
    "TargetField": "StepExecutions.UnevaluatedBlockingCount",
    "CanRead": true,
    "CanWrite": false,
    "MaskStrategy": "plain",
    "SemanticTypeIri": "urn:effortless:pko-extension#FieldGrant",
    "Name": "principal-knowledge-authority -&gt; StepExecutions.UnevaluatedBlockingCount",
    "FieldTable": "StepExecutions",
    "FieldName": "UnevaluatedBlockingCount",
    "FieldIsDerived": true,
    "IsWritableDerivedField": false,
    "IsMasked": false,
    "GrantKeyWhenReadable": "principal-knowledge-authority|StepExecutions"
   },
   {
    "FieldGrantId": "fg-knowledge-authority-StepExecutions.HasUnevaluatedBlockingControl",
    "Principal": "principal-knowledge-authority",
    "TargetField": "StepExecutions.HasUnevaluatedBlockingControl",
    "CanRead": true,
    "CanWrite": false,
    "MaskStrategy": "plain",
    "SemanticTypeIri": "urn:effortless:pko-extension#FieldGrant",
    "Name": "principal-knowledge-authority -&gt; StepExecutions.HasUnevaluatedBlockingControl",
    "FieldTable": "StepExecutions",
    "FieldName": "HasUnevaluatedBlockingControl",
    "FieldIsDerived": true,
    "IsWritableDerivedField": false,
    "IsMasked": false,
    "GrantKeyWhenReadable": "principal-knowledge-authority|StepExecutions"
   },
   {
    "FieldGrantId": "fg-knowledge-authority-StepExecutions.StaleAuthoritativeSourceCount",
    "Principal": "principal-knowledge-authority",
    "TargetField": "StepExecutions.StaleAuthoritativeSourceCount",
    "CanRead": true,
    "CanWrite": false,
    "MaskStrategy": "plain",
    "SemanticTypeIri": "urn:effortless:pko-extension#FieldGrant",
    "Name": "principal-knowledge-authority -&gt; StepExecutions.StaleAuthoritativeSourceCount",
    "FieldTable": "StepExecutions",
    "FieldName": "StaleAuthoritativeSourceCount",
    "FieldIsDerived": true,
    "IsWritableDerivedField": false,
    "IsMasked": false,
    "GrantKeyWhenReadable": "principal-knowledge-authority|StepExecutions"
   },
   {
    "FieldGrantId": "fg-knowledge-authority-StepExecutions.RanOnStaleAuthoritativeSource",
    "Principal": "principal-knowledge-authority",
    "TargetField": "StepExecutions.RanOnStaleAuthoritativeSource",
    "CanRead": true,
    "CanWrite": false,
    "MaskStrategy": "plain",
    "SemanticTypeIri": "urn:effortless:pko-extension#FieldGrant",
    "Name": "principal-knowledge-authority -&gt; StepExecutions.RanOnStaleAuthoritativeSource",
    "FieldTable": "StepExecutions",
    "FieldName": "RanOnStaleAuthoritativeSource",
    "FieldIsDerived": true,
    "IsWritableDerivedField": false,
    "IsMasked": false,
    "GrantKeyWhenReadable": "principal-knowledge-authority|StepExecutions"
   },
   {
    "FieldGrantId": "fg-knowledge-authority-StepExecutions.HasDeviationNote",
    "Principal": "principal-knowledge-authority",
    "TargetField": "StepExecutions.HasDeviationNote",
    "CanRead": true,
    "CanWrite": fal</t>
  </si>
  <si>
    <t xml:space="preserve">se,
    "MaskStrategy": "plain",
    "SemanticTypeIri": "urn:effortless:pko-extension#FieldGrant",
    "Name": "principal-knowledge-authority -&gt; StepExecutions.HasDeviationNote",
    "FieldTable": "StepExecutions",
    "FieldName": "HasDeviationNote",
    "FieldIsDerived": true,
    "IsWritableDerivedField": false,
    "IsMasked": false,
    "GrantKeyWhenReadable": "principal-knowledge-authority|StepExecutions"
   },
   {
    "FieldGrantId": "fg-knowledge-authority-StepExecutions.IsLateAndUnexplained",
    "Principal": "principal-knowledge-authority",
    "TargetField": "StepExecutions.IsLateAndUnexplained",
    "CanRead": true,
    "CanWrite": false,
    "MaskStrategy": "plain",
    "SemanticTypeIri": "urn:effortless:pko-extension#FieldGrant",
    "Name": "principal-knowledge-authority -&gt; StepExecutions.IsLateAndUnexplained",
    "FieldTable": "StepExecutions",
    "FieldName": "IsLateAndUnexplained",
    "FieldIsDerived": true,
    "IsWritableDerivedField": false,
    "IsMasked": false,
    "GrantKeyWhenReadable": "principal-knowledge-authority|StepExecutions"
   },
   {
    "FieldGrantId": "fg-knowledge-authority-StepExecutions.AvailableExceptionCountForStep",
    "Principal": "principal-knowledge-authority",
    "TargetField": "StepExecutions.AvailableExceptionCountForStep",
    "CanRead": true,
    "CanWrite": false,
    "MaskStrategy": "plain",
    "SemanticTypeIri": "urn:effortless:pko-extension#FieldGrant",
    "Name": "principal-knowledge-authority -&gt; StepExecutions.AvailableExceptionCountForStep",
    "FieldTable": "StepExecutions",
    "FieldName": "AvailableExceptionCountForStep",
    "FieldIsDerived": true,
    "IsWritableDerivedField": false,
    "IsMasked": false,
    "GrantKeyWhenReadable": "principal-knowledge-authority|StepExecutions"
   },
   {
    "FieldGrantId": "fg-knowledge-authority-StepExecutions.HadUninvokedExceptionAvailable",
    "Principal": "principal-knowledge-authority",
    "TargetField": "StepExecutions.HadUninvokedExceptionAvailable",
    "CanRead": true,
    "CanWrite": false,
    "MaskStrategy": "plain",
    "SemanticTypeIri": "urn:effortless:pko-extension#FieldGrant",
    "Name": "principal-knowledge-authority -&gt; StepExecutions.HadUninvokedExceptionAvailable",
    "FieldTable": "StepExecutions",
    "FieldName": "HadUninvokedExceptionAvailable",
    "FieldIsDerived": true,
    "IsWritableDerivedField": false,
    "IsMasked": false,
    "GrantKeyWhenReadable": "principal-knowledge-authority|StepExecutions"
   },
   {
    "FieldGrantId": "fg-knowledge-authority-StepExecutions.ExpectedVerificationCount",
    "Principal": "principal-knowledge-authority",
    "TargetField": "StepExecutions.ExpectedVerificationCount",
    "CanRead": true,
    "CanWrite": false,
    "MaskStrategy": "plain",
    "SemanticTypeIri": "urn:effortless:pko-extension#FieldGrant",
    "Name": "principal-knowledge-authority -&gt; StepExecutions.ExpectedVerificationCount",
    "FieldTable": "StepExecutions",
    "FieldName": "ExpectedVerificationCount",
    "FieldIsDerived": true,
    "IsWritableDerivedField": false,
    "IsMasked": false,
    "GrantKeyWhenReadable": "principal-knowledge-authority|StepExecutions"
   },
   {
    "FieldGrantId": "fg-knowledge-authority-StepExecutions.PerformedVerificationCount",
    "Principal": "principal-knowledge-authority",
    "TargetField": "StepExecutions.PerformedVerificationCount",
    "CanRead": true,
    "CanWrite": false,
    "MaskStrategy": "plain",
    "SemanticTypeIri": "urn:effortless:pko-extension#FieldGrant",
    "Name": "principal-knowledge-authority -&gt; StepExecutions.PerformedVerificationCount",
    "FieldTable": "StepExecutions",
    "FieldName": "PerformedVerificationCount",
    "FieldIsDerived": true,
    "IsWritableDerivedField": false,
    "IsMasked": false,
    "GrantKeyWhenReadable": "principal-knowledge-authority|StepExecutions"
   },
   {
    "FieldGrantId": "fg-knowledge-authority-StepExecutions.SkippedVerificationCount",
    "Principal": "principal-knowledge-authority",
    "TargetField": "StepExecutions.SkippedVerificationCount",
    "CanRead": true,
    "CanWrite": false,
    "MaskStrategy": "plain",
    "SemanticTypeIri": "urn:effortless:pko-extension#FieldGrant",
    "Name": "principal-knowledge-authority -&gt; StepExecutions.SkippedVerificationCount",
    "FieldTable": "StepExecutions",
    "FieldName": "SkippedVerificationCount",
    "FieldIsDerived": true,
    "IsWritableDerivedField": false,
    "IsMasked": false,
    "GrantKeyWhenReadable": "principal-knowledge-authority|StepExecutions"
   },
   {
    "FieldGrantId": "fg-knowledge-authority-StepExecutions.HasSkippedVerification",
    "Principal": "principal-knowledge-authority",
    "TargetField": "StepExecutions.HasSkippedVerification",
    "CanRead": true,
    "CanWrite": false,
    "MaskStrategy": "plain",
    "SemanticTypeIri": "urn:effortless:pko-extension#FieldGrant",
    "Name": "principal-knowledge-authority -&gt; StepExecutions.HasSkippedVerification",
    "FieldTable": "StepExecutions",
    "FieldName": "HasSkippedVerification",
    "FieldIsDerived": true,
    "IsWritableDerivedField": false,
    "IsMasked": false,
    "GrantKeyWhenReadable": "principal-knowledge-authority|StepExecutions"
   },
   {
    "FieldGrantId": "fg-knowledge-authority-StepExecutions.ClaimsPassWithoutEvidence",
    "Principal": "principal-knowledge-authority",
    "TargetField": "StepExecutions.ClaimsPassWithoutEvidence",
    "CanRead": true,
    "CanWrite": false,
    "MaskStrategy": "plain",
    "SemanticTypeIri": "urn:effortless:pko-extension#FieldGrant",
    "Name": "principal-knowledge-authority -&gt; StepExecutions.ClaimsPassWithoutEvidence",
    "FieldTable": "StepExecutions",
    "FieldName": "ClaimsPassWithoutEvidence",
    "FieldIsDerived": true,
    "IsWritableDerivedField": false,
    "IsMasked": false,
    "GrantKeyWhenReadable": "principal-knowledge-authority|StepExecutions"
   },
   {
    "FieldGrantId": "fg-knowledge-authority-StepExecutions.StepIsPreparation",
    "Principal": "principal-knowledge-authority",
    "TargetField": "StepExecutions.StepIsPreparation",
    "CanRead": true,
    "CanWrite": false,
    "MaskStrategy": "plain",
    "SemanticTypeIri": "urn:effortless:pko-extension#FieldGrant",
    "Name": "principal-knowledge-authority -&gt; StepExecutions.StepIsPreparation",
    "FieldTable": "StepExecutions",
    "FieldName": "StepIsPreparation",
    "FieldIsDerived": true,
    "IsWritableDerivedField": false,
    "IsMasked": false,
    "GrantKeyWhenReadable": "principal-knowledge-authority|StepExecutions"
   },
   {
    "FieldGrantId": "fg-knowledge-authority-StepExecutions.StepIsApproval",
    "Principal": "principal-knowledge-authority",
    "TargetField": "StepExecutions.StepIsApproval",
    "CanRead": true,
    "CanWrite": false,
    "MaskStrategy": "plain",
    "SemanticTypeIri": "urn:effortless:pko-extension#FieldGrant",
    "Name": "principal-knowledge-authority -&gt; StepExecutions.StepIsApproval",
    "FieldTable": "StepExecutions",
    "FieldName": "StepIsApproval",
    "FieldIsDerived": true,
    "IsWritableDerivedField": false,
    "IsMasked": false,
    "GrantKeyWhenReadable": "principal-knowledge-authority|StepExecutions"
   },
   {
    "FieldGrantId": "fg-knowledge-authority-StepExecutions.PreparerAgentKey",
    "Principal": "principal-knowledge-authority",
    "TargetField": "StepExecutions.PreparerAgentKey",
    "CanRead": true,
    "CanWrite": false,
    "MaskStrategy": "plain",
    "SemanticTypeIri": "urn:effortless:pko-extension#FieldGrant",
    "Name": "principal-knowledge-authority -&gt; StepExecutions.PreparerAgentKey",
    "FieldTable": "StepExecutions",
    "FieldName": "PreparerAgentKey",
    "FieldIsDerived": true,
    "IsWritableDerivedField": false,
    "IsMasked": false,
    "GrantKeyWhenReadable": "principal-knowledge-authority|StepExecutions"
   },
   {
    "FieldGrantId": "fg-knowledge-authority-StepExecutions.ApproverAgentKey",
    "Principal": "principal-knowledge-authority",
    "TargetField": "StepExecutions.ApproverAgentKey",
    "CanRead": true,
    "CanWrite": false,
    "MaskStrategy": "plain",
    "SemanticTypeIri": "urn:effortless:pko-extension#FieldGrant",
    "Name": "principal-knowledge-authority -&gt; StepExecutions.ApproverAgentKey",
    "FieldTable": "StepExecutions",
    "FieldName": "ApproverAgentKey",
    "FieldIsDerived": true,
    "IsWritableDerivedField": false,
    "IsMasked": false,
    "GrantKeyWhenReadable": "principal-knowledge-authority|StepExecutions"
   },
   {
    "FieldGrantId": "fg-knowledge-authority-StepExecutions.PreparedByThisAgentCount",
    "Principal": "principal-knowledge-authority",
    "TargetField": "StepExecutions.PreparedByThisAgentCount",
    "CanRead": true,
    "CanWrite": false,
    "MaskStrategy": "plain",
    "SemanticTypeIri": "urn:effortless:pko-extension#FieldGrant",
    "Name": "principal-knowledge-authority -&gt; StepExecutions.PreparedByThisAgentCount",
    "FieldTable": "StepExecutions",
    "FieldName": "PreparedByThisAgentCount",
    "FieldIsDerived": true,
    "IsWritableDerivedField": false,
    "IsMasked": false,
    "GrantKeyWhenReadable": "principal-knowledge-authority|StepExecutions"
   },
   {
    "FieldGrantId": "fg-knowledge-authority-StepExecutions.ViolatesSeparationOfDuties",
    "Principal": "principal-knowledge-authority",
    "TargetField": "StepExecutions.ViolatesSeparationOfDuties",
    "CanRead": true,
    "CanWrite": false,
    "MaskStrategy": "plain",
    "SemanticTypeIri": "urn:effortless:pko-extension#FieldGrant",
    "Name": "principal-knowledge-authority -&gt; StepExecutions.ViolatesSeparationOfDuties",
    "FieldTable": "StepExecutions",
    "FieldName": "ViolatesSeparationOfDuties",
    "FieldIsDerived": true,
    "IsWritableDerivedField": false,
    "IsMasked": false,
    "GrantKeyWhenReadable": "principal-knowledge-authority|StepExecutions"
   },
   {
    "FieldGrantId": "fg-knowledge-authority-StepExecutions.RequiredRoleForStep",
    "Principal": "principal-knowledge-authority",
    "TargetField": "StepExecutions.RequiredRoleForStep",
    "CanRead": true,
    "CanWrite": false,
    "MaskStrategy": "plain",
    "SemanticTypeIri": "urn:effortless:pko-extension#FieldGrant",
    "Name": "principal-knowledge-authority -&gt; StepExecutions.RequiredRoleForStep",
    "FieldTable": "StepExecutions",
    "FieldName": "RequiredRoleForStep",
    "FieldIsDerived": true,
    "IsWritableDerivedField": false,
    "IsMasked": false,
    "GrantKeyWhenReadable": "principal-knowledge-authority|StepExecutions"
   },
   {
    "FieldGrantId": "fg-knowledge-authority-StepExecutions.ExecutorRoleKey",
    "Principal": "principal-knowledge-authority",
    "TargetField": "StepExecutions.ExecutorRoleKey",
    "CanRead": true,
    "CanWrite": false,
    "MaskStrategy": "plain",
    "SemanticTypeIri": "urn:effortless:pko-extension#FieldGrant",
    "Name": "principal-knowledge-authority -&gt; StepExecutions.ExecutorRoleKey",
    "FieldTable": "StepExecutions",
    "FieldName": "ExecutorRoleKey",
    "FieldIsDerived": true,
    "IsWritableDerivedField": false,
    "IsMasked": false,
    "GrantKeyWhenReadable": "principal-knowledge-authority|StepExecutions"
   },
   {
    "FieldGrantId": "fg-knowledge-authority-StepExecutions.ExecutorAuthorityCount",
    "Principal": "principal-knowledge-authority",
    "TargetField": "StepExecutions.ExecutorAuthorityCount",
    "CanRead": true,
    "CanWrite": false,
    "MaskStrategy": "plain",
    "SemanticTypeIri": "urn:effortless:pko-extension#FieldGrant",
    "Name": "principal-knowledge-authority -&gt; StepExecutions.ExecutorAuthorityCount",
    "FieldTable": "StepExecutions",
    "FieldName": "ExecutorAuthorityCount",
    "FieldIsDerived": true,
    "IsWritableDerivedField": false,
    "IsMasked": false,
    "GrantKeyWhenReadable": "principal-knowledge-authority|StepExecutions"
   },
   {
    "FieldGrantId": "fg-knowledge-authority-StepExecutions.ExecutorHeldRequiredRole",
    "Principal": "principal-knowledge-authority",
    "TargetField": "StepExecutions.ExecutorHeldRequiredRole",
    "CanRead": true,
    "CanWrite": false,
    "MaskStrategy": "plain",
    "SemanticTypeIri": "urn:effortless:pko-extension#FieldGrant",
    "Name": "principal-knowledge-authority -&gt; StepExecutions.ExecutorHeldRequiredRole",
    "FieldTable": "StepExecutions",
    "FieldName": "ExecutorHeldRequiredRole",
    "FieldIsDerived": true,
    "IsWritableDerivedField": false,
    "IsMasked": false,
    "GrantKeyWhenReadable": "principal-knowledge-authority|StepExecutions"
   },
   {
    "FieldGrantId": "fg-knowledge-authority-StepExecutions.IsUnauthorizedApproval",
    "Principal": "principal-knowledge-authority",
    "TargetField": "StepExecutions.IsUnauthorizedApproval",
    "CanRead": true,
    "CanWrite": false,
    "MaskStrategy": "plain",
    "SemanticTypeIri": "urn:effortless:pko-extension#FieldGrant",
    "Name": "principal-knowledge-authority -&gt; StepExecutions.IsUnauthorizedApproval",
    "FieldTable": "StepExecutions",
    "FieldName": "IsUnauthorizedApproval",
    "FieldIsDerived": true,
    "IsWritableDerivedField": false,
    "IsMasked": false,
    "GrantKeyWhenReadable": "principal-knowledge-authority|StepExecutions"
   },
   {
    "FieldGrantId": "fg-knowledge-authority-StepExecutions.CompletedExecutionKey",
    "Principal": "principal-knowledge-authority",
    "TargetField": "StepExecutions.CompletedExecutionKey",
    "CanRead": true,
    "CanWrite": false,
    "MaskStrategy": "plain",
    "SemanticTypeIri": "urn:effortless:pko-extension#FieldGrant",
    "Name": "principal-knowledge-authority -&gt; StepExecutions.CompletedExecutionKey",
    "FieldTable": "StepExecutions",
    "FieldName": "CompletedExecutionKey",
    "FieldIsDerived": true,
    "IsWritableDerivedField": false,
    "IsMasked": false,
    "GrantKeyWhenReadable": "principal-knowledge-authority|StepExecutions"
   },
   {
    "FieldGrantId": "fg-knowledge-authority-StepExecutions.ControlBreachExecutionKey",
    "Principal": "principal-knowledge-authority",
    "TargetField": "StepExecutions.ControlBreachExecutionKey",
    "CanRead": true,
    "CanWrite": false,
    "MaskStrategy": "plain",
    "SemanticTypeIri": "urn:effortless:pko-extension#FieldGrant",
    "Name": "principal-knowledge-authority -&gt; StepExecutions.ControlBreachExecutionKey",
    "FieldTable": "StepExecutions",
    "FieldName": "ControlBreachExecutionKey",
    "FieldIsDerived": true,
    "IsWritableDerivedField": false,
    "IsMasked": false,
    "GrantKeyWhenReadable": "principal-knowledge-authority|StepExecutions"
   },
   {
    "FieldGrantId": "fg-knowledge-authority-StepExecutions.LateExecutionKey",
    "Principal": "principal-knowledge-authority",
    "TargetField": "StepExecutions.LateExecutionKey",
    "CanRead": true,
    "CanWrite": false,
    "MaskStrategy": "plain",
    "SemanticTypeIri": "urn:effortless:pko-extension#FieldGrant",
    "Name": "principal-knowledge-authority -&gt; StepExecutions.LateExecutionKey",
    "FieldTable": "StepExecutions",
    "FieldName": "LateExecutionKey",
    "FieldIsDerived": true,
    "IsWritableDerivedField": false,
    "IsMasked": false,
    "GrantKeyWhenReadable": "principal-knowledge-authority|StepExecutions"
   },
   {
    "FieldGrantId": "fg-knowledge-authority-StepExecutions.ExecutorAgentKind",
    "Principal": "principal-knowledge-authority",
    "TargetField": "StepExecutions.ExecutorAgentKind",
    "CanRead": true,
    "CanWrite": false,
    "MaskStrategy": "plain",
    "SemanticTypeIri": "urn:effortless:pko-extension#FieldGrant",
    "Name": "principal-knowledge-authority -&gt; StepExecutions.ExecutorAgentKind",
    "FieldTable": "StepExecutions",
    "FieldName": "ExecutorAgentKind",
    "FieldIsDerived": true,
    "IsWritableDerivedField": false,
    "IsMasked": false,
    "GrantKeyWhenReadable": "principal-knowledge-authority|StepExecutions"
   },
   {
    "FieldGrantId": "fg-knowledge-authority-StepExecutions.ExecutorIsHuman",
    "Principal": "principal-knowledge-authority",
    "TargetField": "StepExecutions.ExecutorIsHuman",
    "CanRead": true,
    "CanWrite": false,
    "MaskStrategy": "plain",
    "SemanticTypeIri": "urn:effortless:pko-extension#FieldGrant",
    "Name": "principal-knowledge-authority -&gt; StepExecutions.ExecutorIsHuman",
    "FieldTable": "StepExecutions",
    "FieldName": "ExecutorIsHuman",
    "FieldIsDerived": true,
    "IsWritableDerivedField": false,
    "IsMasked": false,
    "GrantKeyWhenReadable": "principal-knowledge-authority|StepExecutions"
   },
   {
    "FieldGrantId": "fg-knowledge-authority-StepExecutions.StepRequiresHumanConfirmation",
    "Principal": "principal-knowledge-authority",
    "TargetField": "StepExecutions.StepRequiresHumanConfirmation",
    "CanRead": true,
    "CanWrite": false,
    "MaskStrategy": "plain",
    "SemanticTypeIri": "urn:effortless:pko-extension#FieldGrant",
    "Name": "principal-knowledge-authority -&gt; StepExecutions.StepRequiresHumanConfirmation",
    "FieldTable": "StepExecutions",
    "FieldName": "StepRequiresHumanConfirmation",
    "FieldIsDerived": true,
    "IsWritableDerivedField": false,
    "IsMasked": false,
    "GrantKeyWhenReadable": "principal-knowledge-authority|StepExecutions"
   },
   {
    "FieldGrantId": "fg-knowledge-authority-StepExecutions.NonHumanRanHumanStep",
    "Principal": "principal-knowledge-authority",
    "TargetField": "StepExecutions.NonHumanRanHumanStep",
    "CanRead": true,
    "CanWrite": false,
    "MaskStrategy": "plain",
    "SemanticTypeIri": "urn:effortless:pko-extension#FieldGrant",
    "Name": "principal-knowledge-authority -&gt; StepExecutions.NonHumanRanHumanStep",
    "FieldTable": "StepExecutions",
    "FieldName": "NonHumanRanHumanStep",
    "FieldIsDerived": true,
    "IsWritableDerivedField": false,
    "IsMasked": false,
    "GrantKeyWhenReadable": "principal-knowledge-authority|StepExecutions"
   },
   {
    "FieldGrantId": "fg-knowledge-authority-StepExecutions.NonHumanApproval",
    "Principal": "principal-knowledge-authority",
    "TargetField": "StepExecutions.NonHumanApproval",
    "CanRead": true,
    "CanWrite": false,
    "MaskStrategy": "plain",
    "SemanticTypeIri": "urn:effortless:pko-extension#FieldGrant",
    "Name": "principal-knowledge-authority -&gt; StepExecutions.NonHumanApproval",
    "FieldTable": "StepExecutions",
    "FieldName": "NonHumanApproval",
    "FieldIsDerived": true,
    "IsWritableDerivedField": false,
    "IsMasked": false,
    "GrantKeyWhenReadable": "principal-knowledge-authority|StepExecutions"
   },
   {
    "FieldGrantId": "fg-knowledge-authority-StepExecutions.UnevaluatedBlockingExecutionKey",
    "Principal": "principal-knowledge-authority",
    "TargetField": "StepExecutions.UnevaluatedBlockingExecutionKey",
    "CanRead": true,
    "CanWrite": false,
    "MaskStrategy": "plain",
    "SemanticTypeIri": "urn:effortless:pko-extension#FieldGrant",
    "Name": "principal-knowledge-authority -&gt; StepExecutions.UnevaluatedBlockingExecutionKey",
    "FieldTable": "StepExecutions",
    "FieldName": "UnevaluatedBlockingExecutionKey",
    "FieldIsDerived": true,
    "IsWritableDerivedField": false,
    "IsMasked": false,
    "GrantKeyWhenReadable": "principal-knowledge-authority|StepExecutions"
   },
   {
    "FieldGrantId": "fg-knowledge-authority-StepExecutions.SeparationViolationExecutionKey",
    "Principal": "principal-knowledge-authority",
    "TargetField": "StepExecutions.SeparationViolationExecutionKey",
    "CanRead": true,
    "CanWrite": false,
    "MaskStrategy": "plain",
    "SemanticTypeIri": "urn:effortless:pko-extension#FieldGrant",
    "Name": "principal-knowledge-authority -&gt; StepExecutions.SeparationViolationExecutionKey",
    "FieldTable": "StepExecutions",
    "FieldName": "SeparationViolationExecutionKey",
    "FieldIsDerived": true,
    "IsWritableDerivedField": false,
    "IsMasked": false,
    "GrantKeyWhenReadable": "principal-knowledge-authority|StepExecutions"
   },
   {
    "FieldGrantId": "fg-knowledge-authority-StepExecutions.SelfWitnessedVerificationCount",
    "Principal": "principal-knowledge-authority",
    "TargetField": "StepExecutions.SelfWitnessedVerificationCount",
    "CanRead": true,
    "CanWrite": false,
    "MaskStrategy": "plain",
    "SemanticTypeIri": "urn:effortless:pko-extension#FieldGrant",
    "Name": "principal-knowledge-authority -&gt; StepExecutions.SelfWitnessedVerificationCount",
    "FieldTable": "StepExecutions",
    "FieldName": "SelfWitnessedVerificationCount",
    "FieldIsDerived": true,
    "IsWritableDerivedField": false,
    "IsMasked": false,
    "GrantKeyWhenReadable": "principal-knowledge-authority|StepExecutions"
   },
   {
    "FieldGrantId": "fg-knowledge-authority-StepExecutions.UnbackedVerificationCount",
    "Principal": "principal-knowledge-authority",
    "TargetField": "StepExecutions.UnbackedVerificationCount",
    "CanRead": true,
    "CanWrite": false,
    "MaskStrategy": "plain",
    "SemanticTypeIri": "urn:effortless:pko-extension#FieldGrant",
    "Name": "principal-knowledge-authority -&gt; StepExecutions.UnbackedVerificationCount",
    "FieldTable": "StepExecutions",
    "FieldName": "UnbackedVerificationCount",
    "FieldIsDerived": true,
    "IsWritableDerivedField": false,
    "IsMasked": false,
    "GrantKeyWhenReadable": "principal-knowledge-authority|StepExecutions"
   },
   {
    "FieldGrantId": "fg-knowledge-authority-StepExecutions.ApprovalRestsOnSelfAttestation",
    "Principal": "principal-knowledge-authority",
    "TargetField": "StepExecutions.ApprovalRestsOnSelfAttestation",
    "CanRead": true,
    "CanWrite": false,
    "MaskStrategy": "plain",
    "SemanticTypeIri": "urn:effortless:pko-extension#FieldGrant",
    "Name": "principal-knowledge-authority -&gt; StepExecutions.ApprovalRestsOnSelfAttestation",
    "FieldTable": "StepExecutions",
    "FieldName": "ApprovalRestsOnSelfAttestation",
    "FieldIsDerived": true,
    "IsWritableDerivedField": false,
    "IsMasked": false,
    "GrantKeyWhenReadable": "principal-knowledge-authority|StepExecutions"
   },
   {
    "FieldGrantId": "fg-knowledge-authority-StepExecutions.ExceptionInvocationCount",
    "Principal": "principal-knowledge-authority",
    "TargetField": "StepExecutions.ExceptionInvocationCount",
    "CanRead": true,
    "CanWrite": false,
    "MaskStrategy": "plain",
    "SemanticTypeIri": "urn:effortless:pko-extension#FieldGrant",
    "Name": "principal-knowledge-authority -&gt; StepExecutions.ExceptionInvocationCount",
    "FieldTable": "StepExecutions",
    "FieldName": "ExceptionInvocationCount",
    "FieldIsDerived": true,
    "IsWritableDerivedField": false,
    "IsMasked": false,
    "GrantKeyWhenReadable": "principal-knowledge-authority|StepExecutions"
   },
   {
    "FieldGrantId": "fg-knowledge-authority-StepExecutions.RanUnderException",
    "Principal": "principal-knowledge-authority",
    "TargetField": "StepExecutions.RanUnderException",
    "CanRead": true,
    "CanWrite": false,
    "MaskStrategy": "plain",
    "SemanticTypeIri": "urn:effortless:pko-extension#FieldGrant",
    "Name": "principal-knowledge-authority -&gt; StepExecutions.RanUnderException",
    "FieldTable": "StepExecutions",
    "FieldName": "RanUnderException",
    "FieldIsDerived": true,
    "IsWritableDerivedField": false,
    "IsMasked": false,
    "GrantKeyWhenReadable": "principal-knowledge-authority|StepExecutions"
   },
   {
    "FieldGrantId": "fg-knowledge-authority-StepExecutions.IsCompleted",
    "Principal": "principal-knowledge-authority",
    "TargetField": "StepExecutions.IsCompleted",
    "CanRead": true,
    "CanWrite": false,
    "MaskStrategy": "plain",
    "SemanticTypeIri": "urn:effortless:pko-extension#FieldGrant",
    "Name": "principal-knowledge-authority -&gt; StepExecutions.IsCompleted",
    "FieldTable": "StepExecutions",
    "FieldName": "IsCompleted",
    "FieldIsDerived": true,
    "IsWritableDerivedField": false,
    "IsMasked": false,
    "GrantKeyWhenReadable": "principal-knowledge-authority|StepExecutions"
   },
   {
    "FieldGrantId": "fg-knowledge-authority-StepExecutions.IsVerificationPassed",
    "Principal": "principal-knowledge-authority",
    "TargetField": "StepExecutions.IsVerificationPassed",
    "CanRead": true,
    "CanWrite": false,
    "MaskStrategy": "plain",
    "SemanticTypeIri": "urn:effortless:pko-extension#FieldGrant",
    "Name": "principal-knowledge-authority -&gt; StepExecutions.IsVerificationPassed",
    "FieldTable": "StepExecutions",
    "FieldName": "IsVerificationPassed",
    "FieldIsDerived": true,
    "IsWritableDerivedField": false,
    "IsMasked": false,
    "GrantKeyWhenReadable": "principal-knowledge-authority|StepExecutions"
   },
   {
    "FieldGrantId": "fg-knowledge-authority-StepExecutions.IsLegalReviewStep",
    "Principal": "principal-knowledge-authority",
    "TargetField": "StepExecutions.IsLegalReviewStep",
    "CanRead": true,
    "CanWrite": false,
    "MaskStrategy": "plain",
    "SemanticTypeIri": "urn:effortless:pko-extension#FieldGrant",
    "Name": "principal-knowledge-authority -&gt; StepExecutions.IsLegalReviewStep",
    "FieldTable": "StepExecutions",
    "FieldName": "IsLegalReviewStep",
    "FieldIsDerived": true,
    "IsWritableDerivedField": false,
    "IsMasked": false,
    "GrantKeyWhenReadable": "principal-knowledge-authority|StepExecutions"
   },
   {
    "FieldGrantId": "fg-knowledge-authority-StepExecutions.ClearedLegalReviewKey",
    "Principal": "principal-knowledge-authority",
    "TargetField": "StepExecutions.ClearedLegalReviewKey",
    "CanRead": true,
    "CanWrite": false,
    "MaskStrategy": "plain",
    "SemanticTypeIri": "urn:effortless:pko-extension#FieldGrant",
    "Name": "principal-knowledge-authority -&gt; StepExecutions.ClearedLegalReviewKey",
    "FieldTable": "StepExecutions",
    "FieldName": "ClearedLegalReviewKey",
    "FieldIsDerived": true,
    "IsWritableDerivedField": false,
    "IsMasked": false,
    "GrantKeyWhenReadable": "principal-knowledge-authority|StepExecutions"
   },
   {
    "FieldGrantId": "fg-knowledge-authority-StepExecutions.AssignedRole",
    "Principal": "principal-knowledge-authority",
    "TargetField": "StepExecutions.AssignedRole",
    "CanRead": true,
    "CanWrite": false,
    "MaskStrategy": "plain",
    "SemanticTypeIri": "urn:effortless:pko-extension#FieldGrant",
    "Name": "principal-knowledge-authority -&gt; StepExecutions.AssignedRole",
    "FieldTable": "StepExecutions",
    "FieldName": "AssignedRole",
    "FieldIsDerived": true,
    "IsWritableDerivedField": false,
    "IsMasked": false,
    "GrantKeyWhenReadable": "principal-knowledge-authority|StepExecutions"
   },
   {
    "FieldGrantId": "fg-knowledge-authority-StepExecutions.RoleCurrentAgent",
    "Principal": "principal-knowledge-authority",
    "TargetField": "StepExecutions.RoleCurrentAgent",
    "CanRead": true,
    "CanWrite": false,
    "MaskStrategy": "plain",
    "SemanticTypeIri": "urn:effortless:pko-extension#FieldGrant",
    "Name": "principal-knowledge-authority -&gt; StepExecutions.RoleCurrentAgent",
    "FieldTable": "StepExecutions",
    "FieldName": "RoleCurrentAgent",
    "FieldIsDerived": true,
    "IsWritableDerivedField": false,
    "IsMasked": false,
    "GrantKeyWhenReadable": "principal-knowledge-authority|StepExecutions"
   },
   {
    "FieldGrantId": "fg-knowledge-authority-StepExecutions.ExecutorIsDesignatedAgent",
    "Principal": "principal-knowledge-authority",
    "TargetField": "StepExecutions.ExecutorIsDesignatedAgent",
    "CanRead": true,
    "CanWrite": false,
    "MaskStrategy": "plain",
    "SemanticTypeIri": "urn:effortless:pko-extension#FieldGrant",
    "Name": "principal-knowledge-authority -&gt; StepExecutions.ExecutorIsDesignatedAgent",
    "FieldTable": "StepExecutions",
    "FieldName": "ExecutorIsDesignatedAgent",
    "FieldIsDerived": true,
    "IsWritableDerivedField": false,
    "IsMasked": false,
    "GrantKeyWhenReadable": "principal-knowledge-authority|StepExecutions"
   },
   {
    "FieldGrantId": "fg-knowledge-authority-StepExecutions.InputsWereFreshAtRun",
    "Principal": "principal-knowledge-authority",
    "TargetField": "StepExecutions.InputsWereFreshAtRun",
    "CanRead": true,
    "CanWrite": false,
    "MaskStrategy": "plain",
    "SemanticTypeIri": "urn:effortless:pko-extension#FieldGrant",
    "Name": "principal-knowledge-authority -&gt; StepExecutions.InputsWereFreshAtRun",
    "FieldTable": "StepExecutions",
    "FieldName": "InputsWereFreshAtRun",
    "FieldIsDerived": true,
    "IsWritableDerivedField": false,
    "IsMasked": false,
    "GrantKeyWhenReadable": "principal-knowledge-authority|StepExecutions"
   },
   {
    "FieldGrantId": "fg-knowledge-authority-StepExecutions.RanOnStaleInputs",
    "Principal": "principal-knowledge-authority",
    "TargetField": "StepExecutions.RanOnStaleInputs",
    "CanRead": true,
    "CanWrite": false,
    "MaskStrategy": "plain",
    "SemanticTypeIri": "urn:effortless:pko-extension#FieldGrant",
    "Name": "principal-knowledge-authority -&gt; StepExecutions.RanOnStaleInputs",
    "FieldTable": "StepExecutions",
    "FieldName": "RanOnStaleInputs",
    "FieldIsDerived": true,
    "IsWritableDerivedField": false,
    "IsMasked": false,
    "GrantKeyWhenReadable": "principal-knowledge-authority|StepExecutions"
   },
   {
    "FieldGrantId": "fg-knowledge-authority-StepExecutions.UnresolvedIssueCount",
    "Principal": "principal-knowledge-authority",
    "TargetField": "StepExecutions.UnresolvedIssueCount",
    "CanRead": true,
    "CanWrite": false,
    "MaskStrategy": "plain",
    "SemanticTypeIri": "urn:effortless:pko-extension#FieldGrant",
    "Name": "principal-knowledge-authority -&gt; StepExecutions.UnresolvedIssueCount",
    "FieldTable": "StepExecutions",
    "FieldName": "UnresolvedIssueCount",
    "FieldIsDerived": true,
    "IsWritableDerivedField": false,
    "IsMasked": false,
    "GrantKeyWhenReadable": "principal-knowledge-authority|StepExecutions"
   },
   {
    "FieldGrantId": "fg-knowledge-authority-StepExecutions.HasDeviation",
    "Principal": "principal-knowledge-authority",
    "TargetField": "StepExecutions.HasDeviation",
    "CanRead": true,
    "CanWrite": false,
    "MaskStrategy": "plain",
    "SemanticTypeIri": "urn:effortless:pko-extension#FieldGrant",
    "Name": "principal-knowledge-authority -&gt; StepExecutions.HasDeviation",
    "FieldTable": "StepExecutions",
    "FieldName": "HasDeviation",
    "FieldIsDerived": true,
    "IsWritableDerivedField": false,
    "IsMasked": false,
    "GrantKeyWhenReadable": "principal-knowledge-authority|StepExecutions"
   },
   {
    "FieldGrantId": "fg-knowledge-authority-StepExecutions.IsClean",
    "Principal": "principal-knowledge-authority",
    "TargetField": "StepExecutions.IsClean",
    "CanRead": true,
    "CanWrite": false,
    "MaskStrategy": "plain",
    "SemanticTypeIri": "urn:effortless:pko-extension#FieldGrant",
    "Name": "principal-knowledge-authority -&gt; StepExecutions.IsClean",
    "FieldTable": "StepExecutions",
    "FieldName": "IsClean",
    "FieldIsDerived": true,
    "IsWritableDerivedField": false,
    "IsMasked": false,
    "GrantKeyWhenReadable": "principal-knowledge-authority|StepExecutions"
   },
   {
    "FieldGrantId": "fg-knowledge-authority-StepExecutions.ProcedureExecutionWhenUnclean",
    "Principal": "principal-knowledge-authority",
    "TargetField": "StepExecutions.ProcedureExecutionWhenUnclean",
    "CanRead": true,
    "CanWrite": false,
    "MaskStrategy": "plain",
    "SemanticTypeIri": "urn:effortless:pko-extension#FieldGrant",
    "Name": "principal-knowledge-authority -&gt; StepExecutions.ProcedureExecutionWhenUnclean",
    "FieldTable": "StepExecutions",
    "FieldName": "ProcedureExecutionWhenUnclean",
    "FieldIsDerived": true,
    "IsWritableDerivedField": false,
    "IsMasked": false,
    "GrantKeyWhenReadable": "principal-knowledge-authority|StepExecutions"
   },
   {
    "FieldGrantId": "fg-knowledge-authority-StepExecutions.EvaluatedRequirementCount",
    "Principal": "principal-knowledge-authority",
    "TargetField": "StepExecutions.EvaluatedRequirementCount",
    "CanRead": true,
    "CanWrite": false,
    "MaskStrategy": "plain",
    "SemanticTypeIri": "urn:effortless:pko-extension#FieldGrant",
    "Name": "principal-knowledge-authority -&gt; StepExecutions.EvaluatedRequirementCount",
    "FieldTable": "StepExecutions",
    "FieldName": "EvaluatedRequirementCount",
    "FieldIsDerived": true,
    "IsWritableDerivedField": false,
    "IsMasked": false,
    "GrantKeyWhenReadable": "principal-knowledge-authority|StepExecutions"
   },
   {
    "FieldGrantId": "fg-knowledge-authority-StepExecutions.RequiredBlockingCount",
    "Principal": "principal-knowledge-authority",
    "TargetField": "StepExecutions.RequiredBlockingCount",
    "CanRead": true,
    "CanWrite": false,
    "MaskStra</t>
  </si>
  <si>
    <t xml:space="preserve">tegy": "plain",
    "SemanticTypeIri": "urn:effortless:pko-extension#FieldGrant",
    "Name": "principal-knowledge-authority -&gt; StepExecutions.RequiredBlockingCount",
    "FieldTable": "StepExecutions",
    "FieldName": "RequiredBlockingCount",
    "FieldIsDerived": true,
    "IsWritableDerivedField": false,
    "IsMasked": false,
    "GrantKeyWhenReadable": "principal-knowledge-authority|StepExecutions"
   },
   {
    "FieldGrantId": "fg-knowledge-authority-StepExecutions.HasUnevaluatedBlockingRequirement",
    "Principal": "principal-knowledge-authority",
    "TargetField": "StepExecutions.HasUnevaluatedBlockingRequirement",
    "CanRead": true,
    "CanWrite": false,
    "MaskStrategy": "plain",
    "SemanticTypeIri": "urn:effortless:pko-extension#FieldGrant",
    "Name": "principal-knowledge-authority -&gt; StepExecutions.HasUnevaluatedBlockingRequirement",
    "FieldTable": "StepExecutions",
    "FieldName": "HasUnevaluatedBlockingRequirement",
    "FieldIsDerived": true,
    "IsWritableDerivedField": false,
    "IsMasked": false,
    "GrantKeyWhenReadable": "principal-knowledge-authority|StepExecutions"
   },
   {
    "FieldGrantId": "fg-knowledge-authority-StepExecutions.ExecutingAgentKind",
    "Principal": "principal-knowledge-authority",
    "TargetField": "StepExecutions.ExecutingAgentKind",
    "CanRead": true,
    "CanWrite": false,
    "MaskStrategy": "plain",
    "SemanticTypeIri": "urn:effortless:pko-extension#FieldGrant",
    "Name": "principal-knowledge-authority -&gt; StepExecutions.ExecutingAgentKind",
    "FieldTable": "StepExecutions",
    "FieldName": "ExecutingAgentKind",
    "FieldIsDerived": true,
    "IsWritableDerivedField": false,
    "IsMasked": false,
    "GrantKeyWhenReadable": "principal-knowledge-authority|StepExecutions"
   },
   {
    "FieldGrantId": "fg-knowledge-authority-StepExecutions.WasExecutedBySoftware",
    "Principal": "principal-knowledge-authority",
    "TargetField": "StepExecutions.WasExecutedBySoftware",
    "CanRead": true,
    "CanWrite": false,
    "MaskStrategy": "plain",
    "SemanticTypeIri": "urn:effortless:pko-extension#FieldGrant",
    "Name": "principal-knowledge-authority -&gt; StepExecutions.WasExecutedBySoftware",
    "FieldTable": "StepExecutions",
    "FieldName": "WasExecutedBySoftware",
    "FieldIsDerived": true,
    "IsWritableDerivedField": false,
    "IsMasked": false,
    "GrantKeyWhenReadable": "principal-knowledge-authority|StepExecutions"
   },
   {
    "FieldGrantId": "fg-knowledge-authority-StepExecutions.StepIsSoftwareAssigned",
    "Principal": "principal-knowledge-authority",
    "TargetField": "StepExecutions.StepIsSoftwareAssigned",
    "CanRead": true,
    "CanWrite": false,
    "MaskStrategy": "plain",
    "SemanticTypeIri": "urn:effortless:pko-extension#FieldGrant",
    "Name": "principal-knowledge-authority -&gt; StepExecutions.StepIsSoftwareAssigned",
    "FieldTable": "StepExecutions",
    "FieldName": "StepIsSoftwareAssigned",
    "FieldIsDerived": true,
    "IsWritableDerivedField": false,
    "IsMasked": false,
    "GrantKeyWhenReadable": "principal-knowledge-authority|StepExecutions"
   },
   {
    "FieldGrantId": "fg-knowledge-authority-StepExecutions.SoftwareDidHumanWork",
    "Principal": "principal-knowledge-authority",
    "TargetField": "StepExecutions.SoftwareDidHumanWork",
    "CanRead": true,
    "CanWrite": false,
    "MaskStrategy": "plain",
    "SemanticTypeIri": "urn:effortless:pko-extension#FieldGrant",
    "Name": "principal-knowledge-authority -&gt; StepExecutions.SoftwareDidHumanWork",
    "FieldTable": "StepExecutions",
    "FieldName": "SoftwareDidHumanWork",
    "FieldIsDerived": true,
    "IsWritableDerivedField": false,
    "IsMasked": false,
    "GrantKeyWhenReadable": "principal-knowledge-authority|StepExecutions"
   },
   {
    "FieldGrantId": "fg-knowledge-authority-StepExecutions.IsApprovalExecution",
    "Principal": "principal-knowledge-authority",
    "TargetField": "StepExecutions.IsApprovalExecution",
    "CanRead": true,
    "CanWrite": false,
    "MaskStrategy": "plain",
    "SemanticTypeIri": "urn:effortless:pko-extension#FieldGrant",
    "Name": "principal-knowledge-authority -&gt; StepExecutions.IsApprovalExecution",
    "FieldTable": "StepExecutions",
    "FieldName": "IsApprovalExecution",
    "FieldIsDerived": true,
    "IsWritableDerivedField": false,
    "IsMasked": false,
    "GrantKeyWhenReadable": "principal-knowledge-authority|StepExecutions"
   },
   {
    "FieldGrantId": "fg-knowledge-authority-StepExecutions.IsVerified",
    "Principal": "principal-knowledge-authority",
    "TargetField": "StepExecutions.IsVerified",
    "CanRead": true,
    "CanWrite": false,
    "MaskStrategy": "plain",
    "SemanticTypeIri": "urn:effortless:pko-extension#FieldGrant",
    "Name": "principal-knowledge-authority -&gt; StepExecutions.IsVerified",
    "FieldTable": "StepExecutions",
    "FieldName": "IsVerified",
    "FieldIsDerived": true,
    "IsWritableDerivedField": false,
    "IsMasked": false,
    "GrantKeyWhenReadable": "principal-knowledge-authority|StepExecutions"
   },
   {
    "FieldGrantId": "fg-knowledge-authority-StepExecutions.UnconfirmedNonHumanDecisionCount",
    "Principal": "principal-knowledge-authority",
    "TargetField": "StepExecutions.UnconfirmedNonHumanDecisionCount",
    "CanRead": true,
    "CanWrite": false,
    "MaskStrategy": "plain",
    "SemanticTypeIri": "urn:effortless:pko-extension#FieldGrant",
    "Name": "principal-knowledge-authority -&gt; StepExecutions.UnconfirmedNonHumanDecisionCount",
    "FieldTable": "StepExecutions",
    "FieldName": "UnconfirmedNonHumanDecisionCount",
    "FieldIsDerived": true,
    "IsWritableDerivedField": false,
    "IsMasked": false,
    "GrantKeyWhenReadable": "principal-knowledge-authority|StepExecutions"
   },
   {
    "FieldGrantId": "fg-knowledge-authority-StepExecutions.RequiresHumanConfirmation",
    "Principal": "principal-knowledge-authority",
    "TargetField": "StepExecutions.RequiresHumanConfirmation",
    "CanRead": true,
    "CanWrite": false,
    "MaskStrategy": "plain",
    "SemanticTypeIri": "urn:effortless:pko-extension#FieldGrant",
    "Name": "principal-knowledge-authority -&gt; StepExecutions.RequiresHumanConfirmation",
    "FieldTable": "StepExecutions",
    "FieldName": "RequiresHumanConfirmation",
    "FieldIsDerived": true,
    "IsWritableDerivedField": false,
    "IsMasked": false,
    "GrantKeyWhenReadable": "principal-knowledge-authority|StepExecutions"
   },
   {
    "FieldGrantId": "fg-knowledge-authority-StepExecutions.HumanConfirmationMissing",
    "Principal": "principal-knowledge-authority",
    "TargetField": "StepExecutions.HumanConfirmationMissing",
    "CanRead": true,
    "CanWrite": false,
    "MaskStrategy": "plain",
    "SemanticTypeIri": "urn:effortless:pko-extension#FieldGrant",
    "Name": "principal-knowledge-authority -&gt; StepExecutions.HumanConfirmationMissing",
    "FieldTable": "StepExecutions",
    "FieldName": "HumanConfirmationMissing",
    "FieldIsDerived": true,
    "IsWritableDerivedField": false,
    "IsMasked": false,
    "GrantKeyWhenReadable": "principal-knowledge-authority|StepExecutions"
   },
   {
    "FieldGrantId": "fg-knowledge-authority-StepExecutions.DraftedFromUnusableSource",
    "Principal": "principal-knowledge-authority",
    "TargetField": "StepExecutions.DraftedFromUnusableSource",
    "CanRead": true,
    "CanWrite": false,
    "MaskStrategy": "plain",
    "SemanticTypeIri": "urn:effortless:pko-extension#FieldGrant",
    "Name": "principal-knowledge-authority -&gt; StepExecutions.DraftedFromUnusableSource",
    "FieldTable": "StepExecutions",
    "FieldName": "DraftedFromUnusableSource",
    "FieldIsDerived": true,
    "IsWritableDerivedField": false,
    "IsMasked": false,
    "GrantKeyWhenReadable": "principal-knowledge-authority|StepExecutions"
   },
   {
    "FieldGrantId": "fg-knowledge-authority-StepExecutions.InputsWereUsable",
    "Principal": "principal-knowledge-authority",
    "TargetField": "StepExecutions.InputsWereUsable",
    "CanRead": true,
    "CanWrite": false,
    "MaskStrategy": "plain",
    "SemanticTypeIri": "urn:effortless:pko-extension#FieldGrant",
    "Name": "principal-knowledge-authority -&gt; StepExecutions.InputsWereUsable",
    "FieldTable": "StepExecutions",
    "FieldName": "InputsWereUsable",
    "FieldIsDerived": true,
    "IsWritableDerivedField": false,
    "IsMasked": false,
    "GrantKeyWhenReadable": "principal-knowledge-authority|StepExecutions"
   },
   {
    "FieldGrantId": "fg-knowledge-authority-StepExecutions.SoftwareExecutionStepKey",
    "Principal": "principal-knowledge-authority",
    "TargetField": "StepExecutions.SoftwareExecutionStepKey",
    "CanRead": true,
    "CanWrite": false,
    "MaskStrategy": "plain",
    "SemanticTypeIri": "urn:effortless:pko-extension#FieldGrant",
    "Name": "principal-knowledge-authority -&gt; StepExecutions.SoftwareExecutionStepKey",
    "FieldTable": "StepExecutions",
    "FieldName": "SoftwareExecutionStepKey",
    "FieldIsDerived": true,
    "IsWritableDerivedField": false,
    "IsMasked": false,
    "GrantKeyWhenReadable": "principal-knowledge-authority|StepExecutions"
   },
   {
    "FieldGrantId": "fg-knowledge-authority-StepExecutions.StepControlKind",
    "Principal": "principal-knowledge-authority",
    "TargetField": "StepExecutions.StepControlKind",
    "CanRead": true,
    "CanWrite": false,
    "MaskStrategy": "plain",
    "SemanticTypeIri": "urn:effortless:pko-extension#FieldGrant",
    "Name": "principal-knowledge-authority -&gt; StepExecutions.StepControlKind",
    "FieldTable": "StepExecutions",
    "FieldName": "StepControlKind",
    "FieldIsDerived": true,
    "IsWritableDerivedField": false,
    "IsMasked": false,
    "GrantKeyWhenReadable": "principal-knowledge-authority|StepExecutions"
   },
   {
    "FieldGrantId": "fg-knowledge-authority-StepExecutions.UnfalsifiedClearanceCount",
    "Principal": "principal-knowledge-authority",
    "TargetField": "StepExecutions.UnfalsifiedClearanceCount",
    "CanRead": true,
    "CanWrite": false,
    "MaskStrategy": "plain",
    "SemanticTypeIri": "urn:effortless:pko-extension#FieldGrant",
    "Name": "principal-knowledge-authority -&gt; StepExecutions.UnfalsifiedClearanceCount",
    "FieldTable": "StepExecutions",
    "FieldName": "UnfalsifiedClearanceCount",
    "FieldIsDerived": true,
    "IsWritableDerivedField": false,
    "IsMasked": false,
    "GrantKeyWhenReadable": "principal-knowledge-authority|StepExecutions"
   },
   {
    "FieldGrantId": "fg-knowledge-authority-StepExecutions.AllClearancesAreUnfalsified",
    "Principal": "principal-knowledge-authority",
    "TargetField": "StepExecutions.AllClearancesAreUnfalsified",
    "CanRead": true,
    "CanWrite": false,
    "MaskStrategy": "plain",
    "SemanticTypeIri": "urn:effortless:pko-extension#FieldGrant",
    "Name": "principal-knowledge-authority -&gt; StepExecutions.AllClearancesAreUnfalsified",
    "FieldTable": "StepExecutions",
    "FieldName": "AllClearancesAreUnfalsified",
    "FieldIsDerived": true,
    "IsWritableDerivedField": false,
    "IsMasked": false,
    "GrantKeyWhenReadable": "principal-knowledge-authority|StepExecutions"
   },
   {
    "FieldGrantId": "fg-knowledge-authority-StepExecutions.StaleAtRunCount",
    "Principal": "principal-knowledge-authority",
    "TargetField": "StepExecutions.StaleAtRunCount",
    "CanRead": true,
    "CanWrite": false,
    "MaskStrategy": "plain",
    "SemanticTypeIri": "urn:effortless:pko-extension#FieldGrant",
    "Name": "principal-knowledge-authority -&gt; StepExecutions.StaleAtRunCount",
    "FieldTable": "StepExecutions",
    "FieldName": "StaleAtRunCount",
    "FieldIsDerived": true,
    "IsWritableDerivedField": false,
    "IsMasked": false,
    "GrantKeyWhenReadable": "principal-knowledge-authority|StepExecutions"
   },
   {
    "FieldGrantId": "fg-knowledge-authority-StepExecutions.WasStaleWhenIRanIt",
    "Principal": "principal-knowledge-authority",
    "TargetField": "StepExecutions.WasStaleWhenIRanIt",
    "CanRead": true,
    "CanWrite": false,
    "MaskStrategy": "plain",
    "SemanticTypeIri": "urn:effortless:pko-extension#FieldGrant",
    "Name": "principal-knowledge-authority -&gt; StepExecutions.WasStaleWhenIRanIt",
    "FieldTable": "StepExecutions",
    "FieldName": "WasStaleWhenIRanIt",
    "FieldIsDerived": true,
    "IsWritableDerivedField": false,
    "IsMasked": false,
    "GrantKeyWhenReadable": "principal-knowledge-authority|StepExecutions"
   },
   {
    "FieldGrantId": "fg-knowledge-authority-StepExecutions.StalenessAnswerIsTenseDependent",
    "Principal": "principal-knowledge-authority",
    "TargetField": "StepExecutions.StalenessAnswerIsTenseDependent",
    "CanRead": true,
    "CanWrite": false,
    "MaskStrategy": "plain",
    "SemanticTypeIri": "urn:effortless:pko-extension#FieldGrant",
    "Name": "principal-knowledge-authority -&gt; StepExecutions.StalenessAnswerIsTenseDependent",
    "FieldTable": "StepExecutions",
    "FieldName": "StalenessAnswerIsTenseDependent",
    "FieldIsDerived": true,
    "IsWritableDerivedField": false,
    "IsMasked": false,
    "GrantKeyWhenReadable": "principal-knowledge-authority|StepExecutions"
   },
   {
    "FieldGrantId": "fg-knowledge-authority-StepExecutions.HasAnyDeclaredCheck",
    "Principal": "principal-knowledge-authority",
    "TargetField": "StepExecutions.HasAnyDeclaredCheck",
    "CanRead": true,
    "CanWrite": false,
    "MaskStrategy": "plain",
    "SemanticTypeIri": "urn:effortless:pko-extension#FieldGrant",
    "Name": "principal-knowledge-authority -&gt; StepExecutions.HasAnyDeclaredCheck",
    "FieldTable": "StepExecutions",
    "FieldName": "HasAnyDeclaredCheck",
    "FieldIsDerived": true,
    "IsWritableDerivedField": false,
    "IsMasked": false,
    "GrantKeyWhenReadable": "principal-knowledge-authority|StepExecutions"
   },
   {
    "FieldGrantId": "fg-knowledge-authority-StepExecutions.PerformedCheckCount",
    "Principal": "principal-knowledge-authority",
    "TargetField": "StepExecutions.PerformedCheckCount",
    "CanRead": true,
    "CanWrite": false,
    "MaskStrategy": "plain",
    "SemanticTypeIri": "urn:effortless:pko-extension#FieldGrant",
    "Name": "principal-knowledge-authority -&gt; StepExecutions.PerformedCheckCount",
    "FieldTable": "StepExecutions",
    "FieldName": "PerformedCheckCount",
    "FieldIsDerived": true,
    "IsWritableDerivedField": false,
    "IsMasked": false,
    "GrantKeyWhenReadable": "principal-knowledge-authority|StepExecutions"
   },
   {
    "FieldGrantId": "fg-knowledge-authority-StepExecutions.DeclaredCheckCount",
    "Principal": "principal-knowledge-authority",
    "TargetField": "StepExecutions.DeclaredCheckCount",
    "CanRead": true,
    "CanWrite": false,
    "MaskStrategy": "plain",
    "SemanticTypeIri": "urn:effortless:pko-extension#FieldGrant",
    "Name": "principal-knowledge-authority -&gt; StepExecutions.DeclaredCheckCount",
    "FieldTable": "StepExecutions",
    "FieldName": "DeclaredCheckCount",
    "FieldIsDerived": true,
    "IsWritableDerivedField": false,
    "IsMasked": false,
    "GrantKeyWhenReadable": "principal-knowledge-authority|StepExecutions"
   },
   {
    "FieldGrantId": "fg-knowledge-authority-StepExecutions.IsUncheckedByDesign",
    "Principal": "principal-knowledge-authority",
    "TargetField": "StepExecutions.IsUncheckedByDesign",
    "CanRead": true,
    "CanWrite": false,
    "MaskStrategy": "plain",
    "SemanticTypeIri": "urn:effortless:pko-extension#FieldGrant",
    "Name": "principal-knowledge-authority -&gt; StepExecutions.IsUncheckedByDesign",
    "FieldTable": "StepExecutions",
    "FieldName": "IsUncheckedByDesign",
    "FieldIsDerived": true,
    "IsWritableDerivedField": false,
    "IsMasked": false,
    "GrantKeyWhenReadable": "principal-knowledge-authority|StepExecutions"
   },
   {
    "FieldGrantId": "fg-knowledge-authority-StepExecutions.IsVacuouslyClean",
    "Principal": "principal-knowledge-authority",
    "TargetField": "StepExecutions.IsVacuouslyClean",
    "CanRead": true,
    "CanWrite": false,
    "MaskStrategy": "plain",
    "SemanticTypeIri": "urn:effortless:pko-extension#FieldGrant",
    "Name": "principal-knowledge-authority -&gt; StepExecutions.IsVacuouslyClean",
    "FieldTable": "StepExecutions",
    "FieldName": "IsVacuouslyClean",
    "FieldIsDerived": true,
    "IsWritableDerivedField": false,
    "IsMasked": false,
    "GrantKeyWhenReadable": "principal-knowledge-authority|StepExecutions"
   },
   {
    "FieldGrantId": "fg-knowledge-authority-StepExecutions.IsSubstantivelyClean",
    "Principal": "principal-knowledge-authority",
    "TargetField": "StepExecutions.IsSubstantivelyClean",
    "CanRead": true,
    "CanWrite": false,
    "MaskStrategy": "plain",
    "SemanticTypeIri": "urn:effortless:pko-extension#FieldGrant",
    "Name": "principal-knowledge-authority -&gt; StepExecutions.IsSubstantivelyClean",
    "FieldTable": "StepExecutions",
    "FieldName": "IsSubstantivelyClean",
    "FieldIsDerived": true,
    "IsWritableDerivedField": false,
    "IsMasked": false,
    "GrantKeyWhenReadable": "principal-knowledge-authority|StepExecutions"
   },
   {
    "FieldGrantId": "fg-knowledge-authority-StepExecutions.VacuouslyCleanExecutionKey",
    "Principal": "principal-knowledge-authority",
    "TargetField": "StepExecutions.VacuouslyCleanExecutionKey",
    "CanRead": true,
    "CanWrite": false,
    "MaskStrategy": "plain",
    "SemanticTypeIri": "urn:effortless:pko-extension#FieldGrant",
    "Name": "principal-knowledge-authority -&gt; StepExecutions.VacuouslyCleanExecutionKey",
    "FieldTable": "StepExecutions",
    "FieldName": "VacuouslyCleanExecutionKey",
    "FieldIsDerived": true,
    "IsWritableDerivedField": false,
    "IsMasked": false,
    "GrantKeyWhenReadable": "principal-knowledge-authority|StepExecutions"
   },
   {
    "FieldGrantId": "fg-knowledge-authority-StepExecutions.UncorroboratedPassCount",
    "Principal": "principal-knowledge-authority",
    "TargetField": "StepExecutions.UncorroboratedPassCount",
    "CanRead": true,
    "CanWrite": false,
    "MaskStrategy": "plain",
    "SemanticTypeIri": "urn:effortless:pko-extension#FieldGrant",
    "Name": "principal-knowledge-authority -&gt; StepExecutions.UncorroboratedPassCount",
    "FieldTable": "StepExecutions",
    "FieldName": "UncorroboratedPassCount",
    "FieldIsDerived": true,
    "IsWritableDerivedField": false,
    "IsMasked": false,
    "GrantKeyWhenReadable": "principal-knowledge-authority|StepExecutions"
   },
   {
    "FieldGrantId": "fg-knowledge-authority-StepExecutions.EvidencePositionIsWeak",
    "Principal": "principal-knowledge-authority",
    "TargetField": "StepExecutions.EvidencePositionIsWeak",
    "CanRead": true,
    "CanWrite": false,
    "MaskStrategy": "plain",
    "SemanticTypeIri": "urn:effortless:pko-extension#FieldGrant",
    "Name": "principal-knowledge-authority -&gt; StepExecutions.EvidencePositionIsWeak",
    "FieldTable": "StepExecutions",
    "FieldName": "EvidencePositionIsWeak",
    "FieldIsDerived": true,
    "IsWritableDerivedField": false,
    "IsMasked": false,
    "GrantKeyWhenReadable": "principal-knowledge-authority|StepExecutions"
   },
   {
    "FieldGrantId": "fg-knowledge-authority-StepExecutions.PreparationExecutionKey",
    "Principal": "principal-knowledge-authority",
    "TargetField": "StepExecutions.PreparationExecutionKey",
    "CanRead": true,
    "CanWrite": false,
    "MaskStrategy": "plain",
    "SemanticTypeIri": "urn:effortless:pko-extension#FieldGrant",
    "Name": "principal-knowledge-authority -&gt; StepExecutions.PreparationExecutionKey",
    "FieldTable": "StepExecutions",
    "FieldName": "PreparationExecutionKey",
    "FieldIsDerived": true,
    "IsWritableDerivedField": false,
    "IsMasked": false,
    "GrantKeyWhenReadable": "principal-knowledge-authority|StepExecutions"
   },
   {
    "FieldGrantId": "fg-knowledge-authority-StepExecutions.ApprovalExecutionKey",
    "Principal": "principal-knowledge-authority",
    "TargetField": "StepExecutions.ApprovalExecutionKey",
    "CanRead": true,
    "CanWrite": false,
    "MaskStrategy": "plain",
    "SemanticTypeIri": "urn:effortless:pko-extension#FieldGrant",
    "Name": "principal-knowledge-authority -&gt; StepExecutions.ApprovalExecutionKey",
    "FieldTable": "StepExecutions",
    "FieldName": "ApprovalExecutionKey",
    "FieldIsDerived": true,
    "IsWritableDerivedField": false,
    "IsMasked": false,
    "GrantKeyWhenReadable": "principal-knowledge-authority|StepExecutions"
   },
   {
    "FieldGrantId": "fg-knowledge-authority-StepExecutions.HasGoverningInstrument",
    "Principal": "principal-knowledge-authority",
    "TargetField": "StepExecutions.HasGoverningInstrument",
    "CanRead": true,
    "CanWrite": false,
    "MaskStrategy": "plain",
    "SemanticTypeIri": "urn:effortless:pko-extension#FieldGrant",
    "Name": "principal-knowledge-authority -&gt; StepExecutions.HasGoverningInstrument",
    "FieldTable": "StepExecutions",
    "FieldName": "HasGoverningInstrument",
    "FieldIsDerived": true,
    "IsWritableDerivedField": false,
    "IsMasked": false,
    "GrantKeyWhenReadable": "principal-knowledge-authority|StepExecutions"
   },
   {
    "FieldGrantId": "fg-knowledge-authority-StepExecutions.HasApprovedChangeCoverage",
    "Principal": "principal-knowledge-authority",
    "TargetField": "StepExecutions.HasApprovedChangeCoverage",
    "CanRead": true,
    "CanWrite": false,
    "MaskStrategy": "plain",
    "SemanticTypeIri": "urn:effortless:pko-extension#FieldGrant",
    "Name": "principal-knowledge-authority -&gt; StepExecutions.HasApprovedChangeCoverage",
    "FieldTable": "StepExecutions",
    "FieldName": "HasApprovedChangeCoverage",
    "FieldIsDerived": true,
    "IsWritableDerivedField": false,
    "IsMasked": false,
    "GrantKeyWhenReadable": "principal-knowledge-authority|StepExecutions"
   },
   {
    "FieldGrantId": "fg-knowledge-authority-StepExecutions.VersionOfStep",
    "Principal": "principal-knowledge-authority",
    "TargetField": "StepExecutions.VersionOfStep",
    "CanRead": true,
    "CanWrite": false,
    "MaskStrategy": "plain",
    "SemanticTypeIri": "urn:effortless:pko-extension#FieldGrant",
    "Name": "principal-knowledge-authority -&gt; StepExecutions.VersionOfStep",
    "FieldTable": "StepExecutions",
    "FieldName": "VersionOfStep",
    "FieldIsDerived": true,
    "IsWritableDerivedField": false,
    "IsMasked": false,
    "GrantKeyWhenReadable": "principal-knowledge-authority|StepExecutions"
   },
   {
    "FieldGrantId": "fg-knowledge-authority-StepExecutions.IsUngovernedDivergence",
    "Principal": "principal-knowledge-authority",
    "TargetField": "StepExecutions.IsUngovernedDivergence",
    "CanRead": true,
    "CanWrite": false,
    "MaskStrategy": "plain",
    "SemanticTypeIri": "urn:effortless:pko-extension#FieldGrant",
    "Name": "principal-knowledge-authority -&gt; StepExecutions.IsUngovernedDivergence",
    "FieldTable": "StepExecutions",
    "FieldName": "IsUngovernedDivergence",
    "FieldIsDerived": true,
    "IsWritableDerivedField": false,
    "IsMasked": false,
    "GrantKeyWhenReadable": "principal-knowledge-authority|StepExecutions"
   },
   {
    "FieldGrantId": "fg-knowledge-authority-StepExecutions.UngovernedDivergenceExecutionKey",
    "Principal": "principal-knowledge-authority",
    "TargetField": "StepExecutions.UngovernedDivergenceExecutionKey",
    "CanRead": true,
    "CanWrite": false,
    "MaskStrategy": "plain",
    "SemanticTypeIri": "urn:effortless:pko-extension#FieldGrant",
    "Name": "principal-knowledge-authority -&gt; StepExecutions.UngovernedDivergenceExecutionKey",
    "FieldTable": "StepExecutions",
    "FieldName": "UngovernedDivergenceExecutionKey",
    "FieldIsDerived": true,
    "IsWritableDerivedField": false,
    "IsMasked": false,
    "GrantKeyWhenReadable": "principal-knowledge-authority|StepExecutions"
   },
   {
    "FieldGrantId": "fg-knowledge-authority-StepExecutions.SelfAttestedApprovalExecutionKey",
    "Principal": "principal-knowledge-authority",
    "TargetField": "StepExecutions.SelfAttestedApprovalExecutionKey",
    "CanRead": true,
    "CanWrite": false,
    "MaskStrategy": "plain",
    "SemanticTypeIri": "urn:effortless:pko-extension#FieldGrant",
    "Name": "principal-knowledge-authority -&gt; StepExecutions.SelfAttestedApprovalExecutionKey",
    "FieldTable": "StepExecutions",
    "FieldName": "SelfAttestedApprovalExecutionKey",
    "FieldIsDerived": true,
    "IsWritableDerivedField": false,
    "IsMasked": false,
    "GrantKeyWhenReadable": "principal-knowledge-authority|StepExecutions"
   },
   {
    "FieldGrantId": "fg-knowledge-authority-StepExecutions.SemanticTypeIri",
    "Principal": "principal-knowledge-authority",
    "TargetField": "StepExecutions.SemanticTypeIri",
    "CanRead": true,
    "CanWrite": false,
    "MaskStrategy": "plain",
    "SemanticTypeIri": "urn:effortless:pko-extension#FieldGrant",
    "Name": "principal-knowledge-authority -&gt; StepExecutions.SemanticTypeIri",
    "FieldTable": "StepExecutions",
    "FieldName": "SemanticTypeIri",
    "FieldIsDerived": false,
    "IsWritableDerivedField": false,
    "IsMasked": false,
    "GrantKeyWhenReadable": "principal-knowledge-authority|StepExecutions"
   },
   {
    "FieldGrantId": "fg-knowledge-authority-StepFunctions.StepFunctionId",
    "Principal": "principal-knowledge-authority",
    "TargetField": "StepFunctions.StepFunctionId",
    "CanRead": true,
    "CanWrite": false,
    "MaskStrategy": "plain",
    "SemanticTypeIri": "urn:effortless:pko-extension#FieldGrant",
    "Name": "principal-knowledge-authority -&gt; StepFunctions.StepFunctionId",
    "FieldTable": "StepFunctions",
    "FieldName": "StepFunctionId",
    "FieldIsDerived": false,
    "IsWritableDerivedField": false,
    "IsMasked": false,
    "GrantKeyWhenReadable": "principal-knowledge-authority|StepFunctions"
   },
   {
    "FieldGrantId": "fg-knowledge-authority-StepFunctions.Name",
    "Principal": "principal-knowledge-authority",
    "TargetField": "StepFunctions.Name",
    "CanRead": true,
    "CanWrite": false,
    "MaskStrategy": "plain",
    "SemanticTypeIri": "urn:effortless:pko-extension#FieldGrant",
    "Name": "principal-knowledge-authority -&gt; StepFunctions.Name",
    "FieldTable": "StepFunctions",
    "FieldName": "Name",
    "FieldIsDerived": true,
    "IsWritableDerivedField": false,
    "IsMasked": false,
    "GrantKeyWhenReadable": "principal-knowledge-authority|StepFunctions"
   },
   {
    "FieldGrantId": "fg-knowledge-authority-StepFunctions.Step",
    "Principal": "principal-knowledge-authority",
    "TargetField": "StepFunctions.Step",
    "CanRead": true,
    "CanWrite": false,
    "MaskStrategy": "plain",
    "SemanticTypeIri": "urn:effortless:pko-extension#FieldGrant",
    "Name": "principal-knowledge-authority -&gt; StepFunctions.Step",
    "FieldTable": "StepFunctions",
    "FieldName": "Step",
    "FieldIsDerived": false,
    "IsWritableDerivedField": false,
    "IsMasked": false,
    "GrantKeyWhenReadable": "principal-knowledge-authority|StepFunctions"
   },
   {
    "FieldGrantId": "fg-knowledge-authority-StepFunctions.Function",
    "Principal": "principal-knowledge-authority",
    "TargetField": "StepFunctions.Function",
    "CanRead": true,
    "CanWrite": false,
    "MaskStrategy": "plain",
    "SemanticTypeIri": "urn:effortless:pko-extension#FieldGrant",
    "Name": "principal-knowledge-authority -&gt; StepFunctions.Function",
    "FieldTable": "StepFunctions",
    "FieldName": "Function",
    "FieldIsDerived": false,
    "IsWritableDerivedField": false,
    "IsMasked": false,
    "GrantKeyWhenReadable": "principal-knowledge-authority|StepFunctions"
   },
   {
    "FieldGrantId": "fg-knowledge-authority-StepRequirements.StepRequirementId",
    "Principal": "principal-knowledge-authority",
    "TargetField": "StepRequirements.StepRequirementId",
    "CanRead": true,
    "CanWrite": false,
    "MaskStrategy": "plain",
    "SemanticTypeIri": "urn:effortless:pko-extension#FieldGrant",
    "Name": "principal-knowledge-authority -&gt; StepRequirements.StepRequirementId",
    "FieldTable": "StepRequirements",
    "FieldName": "StepRequirementId",
    "FieldIsDerived": false,
    "IsWritableDerivedField": false,
    "IsMasked": false,
    "GrantKeyWhenReadable": "principal-knowledge-authority|StepRequirements"
   },
   {
    "FieldGrantId": "fg-knowledge-authority-StepRequirements.Name",
    "Principal": "principal-knowledge-authority",
    "TargetField": "StepRequirements.Name",
    "CanRead": true,
    "CanWrite": false,
    "MaskStrategy": "plain",
    "SemanticTypeIri": "urn:effortless:pko-extension#FieldGrant",
    "Name": "principal-knowledge-authority -&gt; StepRequirements.Name",
    "FieldTable": "StepRequirements",
    "FieldName": "Name",
    "FieldIsDerived": true,
    "IsWritableDerivedField": false,
    "IsMasked": false,
    "GrantKeyWhenReadable": "principal-knowledge-authority|StepRequirements"
   },
   {
    "FieldGrantId": "fg-knowledge-authority-StepRequirements.Step",
    "Principal": "principal-knowledge-authority",
    "TargetField": "StepRequirements.Step",
    "CanRead": true,
    "CanWrite": false,
    "MaskStrategy": "plain",
    "SemanticTypeIri": "urn:effortless:pko-extension#FieldGrant",
    "Name": "principal-knowledge-authority -&gt; StepRequirements.Step",
    "FieldTable": "StepRequirements",
    "FieldName": "Step",
    "FieldIsDerived": false,
    "IsWritableDerivedField": false,
    "IsMasked": false,
    "GrantKeyWhenReadable": "principal-knowledge-authority|StepRequirements"
   },
   {
    "FieldGrantId": "fg-knowledge-authority-StepRequirements.Requirement",
    "Principal": "principal-knowledge-authority",
    "TargetField": "StepRequirements.Requirement",
    "CanRead": true,
    "CanWrite": false,
    "MaskStrategy": "plain",
    "SemanticTypeIri": "urn:effortless:pko-extension#FieldGrant",
    "Name": "principal-knowledge-authority -&gt; StepRequirements.Requirement",
    "FieldTable": "StepRequirements",
    "FieldName": "Requirement",
    "FieldIsDerived": false,
    "IsWritableDerivedField": false,
    "IsMasked": false,
    "GrantKeyWhenReadable": "principal-knowledge-authority|StepRequirements"
   },
   {
    "FieldGrantId": "fg-knowledge-authority-StepRequirements.RequirementIsBlocking",
    "Principal": "principal-knowledge-authority",
    "TargetField": "StepRequirements.RequirementIsBlocking",
    "CanRead": true,
    "CanWrite": false,
    "MaskStrategy": "plain",
    "SemanticTypeIri": "urn:effortless:pko-extension#FieldGrant",
    "Name": "principal-knowledge-authority -&gt; StepRequirements.RequirementIsBlocking",
    "FieldTable": "StepRequirements",
    "FieldName": "RequirementIsBlocking",
    "FieldIsDerived": true,
    "IsWritableDerivedField": false,
    "IsMasked": false,
    "GrantKeyWhenReadable": "principal-knowledge-authority|StepRequirements"
   },
   {
    "FieldGrantId": "fg-knowledge-authority-StepRequirements.BlockingStepKey",
    "Principal": "principal-knowledge-authority",
    "TargetField": "StepRequirements.BlockingStepKey",
    "CanRead": true,
    "CanWrite": false,
    "MaskStrategy": "plain",
    "SemanticTypeIri": "urn:effortless:pko-extension#FieldGrant",
    "Name": "principal-knowledge-authority -&gt; StepRequirements.BlockingStepKey",
    "FieldTable": "StepRequirements",
    "FieldName": "BlockingStepKey",
    "FieldIsDerived": true,
    "IsWritableDerivedField": false,
    "IsMasked": false,
    "GrantKeyWhenReadable": "principal-knowledge-authority|StepRequirements"
   },
   {
    "FieldGrantId": "fg-knowledge-authority-StepRequirements.StepWhenBlocking",
    "Principal": "principal-knowledge-authority",
    "TargetField": "StepRequirements.StepWhenBlocking",
    "CanRead": true,
    "CanWrite": false,
    "MaskStrategy": "plain",
    "SemanticTypeIri": "urn:effortless:pko-extension#FieldGrant",
    "Name": "principal-knowledge-authority -&gt; StepRequirements.StepWhenBlocking",
    "FieldTable": "StepRequirements",
    "FieldName": "StepWhenBlocking",
    "FieldIsDerived": true,
    "IsWritableDerivedField": false,
    "IsMasked": false,
    "GrantKeyWhenReadable": "principal-knowledge-authority|StepRequirements"
   },
   {
    "FieldGrantId": "fg-knowledge-authority-StepRequirements.RequirementLacksWitness",
    "Principal": "principal-knowledge-authority",
    "TargetField": "StepRequirements.RequirementLacksWitness",
    "CanRead": true,
    "CanWrite": false,
    "MaskStrategy": "plain",
    "SemanticTypeIri": "urn:effortless:pko-extension#FieldGrant",
    "Name": "principal-knowledge-authority -&gt; StepRequirements.RequirementLacksWitness",
    "FieldTable": "StepRequirements",
    "FieldName": "RequirementLacksWitness",
    "FieldIsDerived": true,
    "IsWritableDerivedFie</t>
  </si>
  <si>
    <t xml:space="preserve">ld": false,
    "IsMasked": false,
    "GrantKeyWhenReadable": "principal-knowledge-authority|StepRequirements"
   },
   {
    "FieldGrantId": "fg-knowledge-authority-StepRequirements.UnwitnessedStepKey",
    "Principal": "principal-knowledge-authority",
    "TargetField": "StepRequirements.UnwitnessedStepKey",
    "CanRead": true,
    "CanWrite": false,
    "MaskStrategy": "plain",
    "SemanticTypeIri": "urn:effortless:pko-extension#FieldGrant",
    "Name": "principal-knowledge-authority -&gt; StepRequirements.UnwitnessedStepKey",
    "FieldTable": "StepRequirements",
    "FieldName": "UnwitnessedStepKey",
    "FieldIsDerived": true,
    "IsWritableDerivedField": false,
    "IsMasked": false,
    "GrantKeyWhenReadable": "principal-knowledge-authority|StepRequirements"
   },
   {
    "FieldGrantId": "fg-knowledge-authority-StepRequirements.SatisfactionCountForBinding",
    "Principal": "principal-knowledge-authority",
    "TargetField": "StepRequirements.SatisfactionCountForBinding",
    "CanRead": true,
    "CanWrite": false,
    "MaskStrategy": "plain",
    "SemanticTypeIri": "urn:effortless:pko-extension#FieldGrant",
    "Name": "principal-knowledge-authority -&gt; StepRequirements.SatisfactionCountForBinding",
    "FieldTable": "StepRequirements",
    "FieldName": "SatisfactionCountForBinding",
    "FieldIsDerived": true,
    "IsWritableDerivedField": false,
    "IsMasked": false,
    "GrantKeyWhenReadable": "principal-knowledge-authority|StepRequirements"
   },
   {
    "FieldGrantId": "fg-knowledge-authority-StepRequirements.BindingWasEverExercised",
    "Principal": "principal-knowledge-authority",
    "TargetField": "StepRequirements.BindingWasEverExercised",
    "CanRead": true,
    "CanWrite": false,
    "MaskStrategy": "plain",
    "SemanticTypeIri": "urn:effortless:pko-extension#FieldGrant",
    "Name": "principal-knowledge-authority -&gt; StepRequirements.BindingWasEverExercised",
    "FieldTable": "StepRequirements",
    "FieldName": "BindingWasEverExercised",
    "FieldIsDerived": true,
    "IsWritableDerivedField": false,
    "IsMasked": false,
    "GrantKeyWhenReadable": "principal-knowledge-authority|StepRequirements"
   },
   {
    "FieldGrantId": "fg-knowledge-authority-StepRequirements.IsUnexercisedBlockingBinding",
    "Principal": "principal-knowledge-authority",
    "TargetField": "StepRequirements.IsUnexercisedBlockingBinding",
    "CanRead": true,
    "CanWrite": false,
    "MaskStrategy": "plain",
    "SemanticTypeIri": "urn:effortless:pko-extension#FieldGrant",
    "Name": "principal-knowledge-authority -&gt; StepRequirements.IsUnexercisedBlockingBinding",
    "FieldTable": "StepRequirements",
    "FieldName": "IsUnexercisedBlockingBinding",
    "FieldIsDerived": true,
    "IsWritableDerivedField": false,
    "IsMasked": false,
    "GrantKeyWhenReadable": "principal-knowledge-authority|StepRequirements"
   },
   {
    "FieldGrantId": "fg-knowledge-authority-StepRequirements.UnexercisedBindingRequirementKey",
    "Principal": "principal-knowledge-authority",
    "TargetField": "StepRequirements.UnexercisedBindingRequirementKey",
    "CanRead": true,
    "CanWrite": false,
    "MaskStrategy": "plain",
    "SemanticTypeIri": "urn:effortless:pko-extension#FieldGrant",
    "Name": "principal-knowledge-authority -&gt; StepRequirements.UnexercisedBindingRequirementKey",
    "FieldTable": "StepRequirements",
    "FieldName": "UnexercisedBindingRequirementKey",
    "FieldIsDerived": true,
    "IsWritableDerivedField": false,
    "IsMasked": false,
    "GrantKeyWhenReadable": "principal-knowledge-authority|StepRequirements"
   },
   {
    "FieldGrantId": "fg-knowledge-authority-StepTools.StepToolId",
    "Principal": "principal-knowledge-authority",
    "TargetField": "StepTools.StepToolId",
    "CanRead": true,
    "CanWrite": false,
    "MaskStrategy": "plain",
    "SemanticTypeIri": "urn:effortless:pko-extension#FieldGrant",
    "Name": "principal-knowledge-authority -&gt; StepTools.StepToolId",
    "FieldTable": "StepTools",
    "FieldName": "StepToolId",
    "FieldIsDerived": false,
    "IsWritableDerivedField": false,
    "IsMasked": false,
    "GrantKeyWhenReadable": "principal-knowledge-authority|StepTools"
   },
   {
    "FieldGrantId": "fg-knowledge-authority-StepTools.Name",
    "Principal": "principal-knowledge-authority",
    "TargetField": "StepTools.Name",
    "CanRead": true,
    "CanWrite": false,
    "MaskStrategy": "plain",
    "SemanticTypeIri": "urn:effortless:pko-extension#FieldGrant",
    "Name": "principal-knowledge-authority -&gt; StepTools.Name",
    "FieldTable": "StepTools",
    "FieldName": "Name",
    "FieldIsDerived": true,
    "IsWritableDerivedField": false,
    "IsMasked": false,
    "GrantKeyWhenReadable": "principal-knowledge-authority|StepTools"
   },
   {
    "FieldGrantId": "fg-knowledge-authority-StepTools.Step",
    "Principal": "principal-knowledge-authority",
    "TargetField": "StepTools.Step",
    "CanRead": true,
    "CanWrite": false,
    "MaskStrategy": "plain",
    "SemanticTypeIri": "urn:effortless:pko-extension#FieldGrant",
    "Name": "principal-knowledge-authority -&gt; StepTools.Step",
    "FieldTable": "StepTools",
    "FieldName": "Step",
    "FieldIsDerived": false,
    "IsWritableDerivedField": false,
    "IsMasked": false,
    "GrantKeyWhenReadable": "principal-knowledge-authority|StepTools"
   },
   {
    "FieldGrantId": "fg-knowledge-authority-StepTools.Tool",
    "Principal": "principal-knowledge-authority",
    "TargetField": "StepTools.Tool",
    "CanRead": true,
    "CanWrite": false,
    "MaskStrategy": "plain",
    "SemanticTypeIri": "urn:effortless:pko-extension#FieldGrant",
    "Name": "principal-knowledge-authority -&gt; StepTools.Tool",
    "FieldTable": "StepTools",
    "FieldName": "Tool",
    "FieldIsDerived": false,
    "IsWritableDerivedField": false,
    "IsMasked": false,
    "GrantKeyWhenReadable": "principal-knowledge-authority|StepTools"
   },
   {
    "FieldGrantId": "fg-knowledge-authority-StepTransitions.StepTransitionId",
    "Principal": "principal-knowledge-authority",
    "TargetField": "StepTransitions.StepTransitionId",
    "CanRead": true,
    "CanWrite": false,
    "MaskStrategy": "plain",
    "SemanticTypeIri": "urn:effortless:pko-extension#FieldGrant",
    "Name": "principal-knowledge-authority -&gt; StepTransitions.StepTransitionId",
    "FieldTable": "StepTransitions",
    "FieldName": "StepTransitionId",
    "FieldIsDerived": false,
    "IsWritableDerivedField": false,
    "IsMasked": false,
    "GrantKeyWhenReadable": "principal-knowledge-authority|StepTransitions"
   },
   {
    "FieldGrantId": "fg-knowledge-authority-StepTransitions.Name",
    "Principal": "principal-knowledge-authority",
    "TargetField": "StepTransitions.Name",
    "CanRead": true,
    "CanWrite": false,
    "MaskStrategy": "plain",
    "SemanticTypeIri": "urn:effortless:pko-extension#FieldGrant",
    "Name": "principal-knowledge-authority -&gt; StepTransitions.Name",
    "FieldTable": "StepTransitions",
    "FieldName": "Name",
    "FieldIsDerived": true,
    "IsWritableDerivedField": false,
    "IsMasked": false,
    "GrantKeyWhenReadable": "principal-knowledge-authority|StepTransitions"
   },
   {
    "FieldGrantId": "fg-knowledge-authority-StepTransitions.ProcedureVersion",
    "Principal": "principal-knowledge-authority",
    "TargetField": "StepTransitions.ProcedureVersion",
    "CanRead": true,
    "CanWrite": false,
    "MaskStrategy": "plain",
    "SemanticTypeIri": "urn:effortless:pko-extension#FieldGrant",
    "Name": "principal-knowledge-authority -&gt; StepTransitions.ProcedureVersion",
    "FieldTable": "StepTransitions",
    "FieldName": "ProcedureVersion",
    "FieldIsDerived": false,
    "IsWritableDerivedField": false,
    "IsMasked": false,
    "GrantKeyWhenReadable": "principal-knowledge-authority|StepTransitions"
   },
   {
    "FieldGrantId": "fg-knowledge-authority-StepTransitions.FromStep",
    "Principal": "principal-knowledge-authority",
    "TargetField": "StepTransitions.FromStep",
    "CanRead": true,
    "CanWrite": false,
    "MaskStrategy": "plain",
    "SemanticTypeIri": "urn:effortless:pko-extension#FieldGrant",
    "Name": "principal-knowledge-authority -&gt; StepTransitions.FromStep",
    "FieldTable": "StepTransitions",
    "FieldName": "FromStep",
    "FieldIsDerived": false,
    "IsWritableDerivedField": false,
    "IsMasked": false,
    "GrantKeyWhenReadable": "principal-knowledge-authority|StepTransitions"
   },
   {
    "FieldGrantId": "fg-knowledge-authority-StepTransitions.ToStep",
    "Principal": "principal-knowledge-authority",
    "TargetField": "StepTransitions.ToStep",
    "CanRead": true,
    "CanWrite": false,
    "MaskStrategy": "plain",
    "SemanticTypeIri": "urn:effortless:pko-extension#FieldGrant",
    "Name": "principal-knowledge-authority -&gt; StepTransitions.ToStep",
    "FieldTable": "StepTransitions",
    "FieldName": "ToStep",
    "FieldIsDerived": false,
    "IsWritableDerivedField": false,
    "IsMasked": false,
    "GrantKeyWhenReadable": "principal-knowledge-authority|StepTransitions"
   },
   {
    "FieldGrantId": "fg-knowledge-authority-StepTransitions.TransitionKind",
    "Principal": "principal-knowledge-authority",
    "TargetField": "StepTransitions.TransitionKind",
    "CanRead": true,
    "CanWrite": false,
    "MaskStrategy": "plain",
    "SemanticTypeIri": "urn:effortless:pko-extension#FieldGrant",
    "Name": "principal-knowledge-authority -&gt; StepTransitions.TransitionKind",
    "FieldTable": "StepTransitions",
    "FieldName": "TransitionKind",
    "FieldIsDerived": false,
    "IsWritableDerivedField": false,
    "IsMasked": false,
    "GrantKeyWhenReadable": "principal-knowledge-authority|StepTransitions"
   },
   {
    "FieldGrantId": "fg-knowledge-authority-StepTransitions.Condition",
    "Principal": "principal-knowledge-authority",
    "TargetField": "StepTransitions.Condition",
    "CanRead": true,
    "CanWrite": false,
    "MaskStrategy": "plain",
    "SemanticTypeIri": "urn:effortless:pko-extension#FieldGrant",
    "Name": "principal-knowledge-authority -&gt; StepTransitions.Condition",
    "FieldTable": "StepTransitions",
    "FieldName": "Condition",
    "FieldIsDerived": false,
    "IsWritableDerivedField": false,
    "IsMasked": false,
    "GrantKeyWhenReadable": "principal-knowledge-authority|StepTransitions"
   },
   {
    "FieldGrantId": "fg-knowledge-authority-StepTransitions.Priority",
    "Principal": "principal-knowledge-authority",
    "TargetField": "StepTransitions.Priority",
    "CanRead": true,
    "CanWrite": false,
    "MaskStrategy": "plain",
    "SemanticTypeIri": "urn:effortless:pko-extension#FieldGrant",
    "Name": "principal-knowledge-authority -&gt; StepTransitions.Priority",
    "FieldTable": "StepTransitions",
    "FieldName": "Priority",
    "FieldIsDerived": false,
    "IsWritableDerivedField": false,
    "IsMasked": false,
    "GrantKeyWhenReadable": "principal-knowledge-authority|StepTransitions"
   },
   {
    "FieldGrantId": "fg-knowledge-authority-StepTransitions.IsRecoveryPath",
    "Principal": "principal-knowledge-authority",
    "TargetField": "StepTransitions.IsRecoveryPath",
    "CanRead": true,
    "CanWrite": false,
    "MaskStrategy": "plain",
    "SemanticTypeIri": "urn:effortless:pko-extension#FieldGrant",
    "Name": "principal-knowledge-authority -&gt; StepTransitions.IsRecoveryPath",
    "FieldTable": "StepTransitions",
    "FieldName": "IsRecoveryPath",
    "FieldIsDerived": true,
    "IsWritableDerivedField": false,
    "IsMasked": false,
    "GrantKeyWhenReadable": "principal-knowledge-authority|StepTransitions"
   },
   {
    "FieldGrantId": "fg-knowledge-authority-StepTransitions.CountOfFromStepExecutions",
    "Principal": "principal-knowledge-authority",
    "TargetField": "StepTransitions.CountOfFromStepExecutions",
    "CanRead": true,
    "CanWrite": false,
    "MaskStrategy": "plain",
    "SemanticTypeIri": "urn:effortless:pko-extension#FieldGrant",
    "Name": "principal-knowledge-authority -&gt; StepTransitions.CountOfFromStepExecutions",
    "FieldTable": "StepTransitions",
    "FieldName": "CountOfFromStepExecutions",
    "FieldIsDerived": true,
    "IsWritableDerivedField": false,
    "IsMasked": false,
    "GrantKeyWhenReadable": "principal-knowledge-authority|StepTransitions"
   },
   {
    "FieldGrantId": "fg-knowledge-authority-StepTransitions.CountOfToStepExecutions",
    "Principal": "principal-knowledge-authority",
    "TargetField": "StepTransitions.CountOfToStepExecutions",
    "CanRead": true,
    "CanWrite": false,
    "MaskStrategy": "plain",
    "SemanticTypeIri": "urn:effortless:pko-extension#FieldGrant",
    "Name": "principal-knowledge-authority -&gt; StepTransitions.CountOfToStepExecutions",
    "FieldTable": "StepTransitions",
    "FieldName": "CountOfToStepExecutions",
    "FieldIsDerived": true,
    "IsWritableDerivedField": false,
    "IsMasked": false,
    "GrantKeyWhenReadable": "principal-knowledge-authority|StepTransitions"
   },
   {
    "FieldGrantId": "fg-knowledge-authority-StepTransitions.HasReachableOrigin",
    "Principal": "principal-knowledge-authority",
    "TargetField": "StepTransitions.HasReachableOrigin",
    "CanRead": true,
    "CanWrite": false,
    "MaskStrategy": "plain",
    "SemanticTypeIri": "urn:effortless:pko-extension#FieldGrant",
    "Name": "principal-knowledge-authority -&gt; StepTransitions.HasReachableOrigin",
    "FieldTable": "StepTransitions",
    "FieldName": "HasReachableOrigin",
    "FieldIsDerived": true,
    "IsWritableDerivedField": false,
    "IsMasked": false,
    "GrantKeyWhenReadable": "principal-knowledge-authority|StepTransitions"
   },
   {
    "FieldGrantId": "fg-knowledge-authority-StepTransitions.HasReachableTarget",
    "Principal": "principal-knowledge-authority",
    "TargetField": "StepTransitions.HasReachableTarget",
    "CanRead": true,
    "CanWrite": false,
    "MaskStrategy": "plain",
    "SemanticTypeIri": "urn:effortless:pko-extension#FieldGrant",
    "Name": "principal-knowledge-authority -&gt; StepTransitions.HasReachableTarget",
    "FieldTable": "StepTransitions",
    "FieldName": "HasReachableTarget",
    "FieldIsDerived": true,
    "IsWritableDerivedField": false,
    "IsMasked": false,
    "GrantKeyWhenReadable": "principal-knowledge-authority|StepTransitions"
   },
   {
    "FieldGrantId": "fg-knowledge-authority-StepTransitions.IsNeverExercised",
    "Principal": "principal-knowledge-authority",
    "TargetField": "StepTransitions.IsNeverExercised",
    "CanRead": true,
    "CanWrite": false,
    "MaskStrategy": "plain",
    "SemanticTypeIri": "urn:effortless:pko-extension#FieldGrant",
    "Name": "principal-knowledge-authority -&gt; StepTransitions.IsNeverExercised",
    "FieldTable": "StepTransitions",
    "FieldName": "IsNeverExercised",
    "FieldIsDerived": true,
    "IsWritableDerivedField": false,
    "IsMasked": false,
    "GrantKeyWhenReadable": "principal-knowledge-authority|StepTransitions"
   },
   {
    "FieldGrantId": "fg-knowledge-authority-StepTransitions.IsUntestedRecoveryPath",
    "Principal": "principal-knowledge-authority",
    "TargetField": "StepTransitions.IsUntestedRecoveryPath",
    "CanRead": true,
    "CanWrite": false,
    "MaskStrategy": "plain",
    "SemanticTypeIri": "urn:effortless:pko-extension#FieldGrant",
    "Name": "principal-knowledge-authority -&gt; StepTransitions.IsUntestedRecoveryPath",
    "FieldTable": "StepTransitions",
    "FieldName": "IsUntestedRecoveryPath",
    "FieldIsDerived": true,
    "IsWritableDerivedField": false,
    "IsMasked": false,
    "GrantKeyWhenReadable": "principal-knowledge-authority|StepTransitions"
   },
   {
    "FieldGrantId": "fg-knowledge-authority-StepTransitions.CountOfObservedTraversals",
    "Principal": "principal-knowledge-authority",
    "TargetField": "StepTransitions.CountOfObservedTraversals",
    "CanRead": true,
    "CanWrite": false,
    "MaskStrategy": "plain",
    "SemanticTypeIri": "urn:effortless:pko-extension#FieldGrant",
    "Name": "principal-knowledge-authority -&gt; StepTransitions.CountOfObservedTraversals",
    "FieldTable": "StepTransitions",
    "FieldName": "CountOfObservedTraversals",
    "FieldIsDerived": true,
    "IsWritableDerivedField": false,
    "IsMasked": false,
    "GrantKeyWhenReadable": "principal-knowledge-authority|StepTransitions"
   },
   {
    "FieldGrantId": "fg-knowledge-authority-StepTransitions.HasBeenTraversed",
    "Principal": "principal-knowledge-authority",
    "TargetField": "StepTransitions.HasBeenTraversed",
    "CanRead": true,
    "CanWrite": false,
    "MaskStrategy": "plain",
    "SemanticTypeIri": "urn:effortless:pko-extension#FieldGrant",
    "Name": "principal-knowledge-authority -&gt; StepTransitions.HasBeenTraversed",
    "FieldTable": "StepTransitions",
    "FieldName": "HasBeenTraversed",
    "FieldIsDerived": true,
    "IsWritableDerivedField": false,
    "IsMasked": false,
    "GrantKeyWhenReadable": "principal-knowledge-authority|StepTransitions"
   },
   {
    "FieldGrantId": "fg-knowledge-authority-StepTransitions.IsUnwalkedRecoveryPath",
    "Principal": "principal-knowledge-authority",
    "TargetField": "StepTransitions.IsUnwalkedRecoveryPath",
    "CanRead": true,
    "CanWrite": false,
    "MaskStrategy": "plain",
    "SemanticTypeIri": "urn:effortless:pko-extension#FieldGrant",
    "Name": "principal-knowledge-authority -&gt; StepTransitions.IsUnwalkedRecoveryPath",
    "FieldTable": "StepTransitions",
    "FieldName": "IsUnwalkedRecoveryPath",
    "FieldIsDerived": true,
    "IsWritableDerivedField": false,
    "IsMasked": false,
    "GrantKeyWhenReadable": "principal-knowledge-authority|StepTransitions"
   },
   {
    "FieldGrantId": "fg-knowledge-authority-StepTransitions.TargetBlockingRequirementCount",
    "Principal": "principal-knowledge-authority",
    "TargetField": "StepTransitions.TargetBlockingRequirementCount",
    "CanRead": true,
    "CanWrite": false,
    "MaskStrategy": "plain",
    "SemanticTypeIri": "urn:effortless:pko-extension#FieldGrant",
    "Name": "principal-knowledge-authority -&gt; StepTransitions.TargetBlockingRequirementCount",
    "FieldTable": "StepTransitions",
    "FieldName": "TargetBlockingRequirementCount",
    "FieldIsDerived": true,
    "IsWritableDerivedField": false,
    "IsMasked": false,
    "GrantKeyWhenReadable": "principal-knowledge-authority|StepTransitions"
   },
   {
    "FieldGrantId": "fg-knowledge-authority-StepTransitions.TargetCarriesBlockingControl",
    "Principal": "principal-knowledge-authority",
    "TargetField": "StepTransitions.TargetCarriesBlockingControl",
    "CanRead": true,
    "CanWrite": false,
    "MaskStrategy": "plain",
    "SemanticTypeIri": "urn:effortless:pko-extension#FieldGrant",
    "Name": "principal-knowledge-authority -&gt; StepTransitions.TargetCarriesBlockingControl",
    "FieldTable": "StepTransitions",
    "FieldName": "TargetCarriesBlockingControl",
    "FieldIsDerived": true,
    "IsWritableDerivedField": false,
    "IsMasked": false,
    "GrantKeyWhenReadable": "principal-knowledge-authority|StepTransitions"
   },
   {
    "FieldGrantId": "fg-knowledge-authority-StepTransitions.IsUnrehearsedControlEntry",
    "Principal": "principal-knowledge-authority",
    "TargetField": "StepTransitions.IsUnrehearsedControlEntry",
    "CanRead": true,
    "CanWrite": false,
    "MaskStrategy": "plain",
    "SemanticTypeIri": "urn:effortless:pko-extension#FieldGrant",
    "Name": "principal-knowledge-authority -&gt; StepTransitions.IsUnrehearsedControlEntry",
    "FieldTable": "StepTransitions",
    "FieldName": "IsUnrehearsedControlEntry",
    "FieldIsDerived": true,
    "IsWritableDerivedField": false,
    "IsMasked": false,
    "GrantKeyWhenReadable": "principal-knowledge-authority|StepTransitions"
   },
   {
    "FieldGrantId": "fg-knowledge-authority-StepTransitions.UnrehearsedControlVersionKey",
    "Principal": "principal-knowledge-authority",
    "TargetField": "StepTransitions.UnrehearsedControlVersionKey",
    "CanRead": true,
    "CanWrite": false,
    "MaskStrategy": "plain",
    "SemanticTypeIri": "urn:effortless:pko-extension#FieldGrant",
    "Name": "principal-knowledge-authority -&gt; StepTransitions.UnrehearsedControlVersionKey",
    "FieldTable": "StepTransitions",
    "FieldName": "UnrehearsedControlVersionKey",
    "FieldIsDerived": true,
    "IsWritableDerivedField": false,
    "IsMasked": false,
    "GrantKeyWhenReadable": "principal-knowledge-authority|StepTransitions"
   },
   {
    "FieldGrantId": "fg-knowledge-authority-StepTransitions.SemanticTypeIri",
    "Principal": "principal-knowledge-authority",
    "TargetField": "StepTransitions.SemanticTypeIri",
    "CanRead": true,
    "CanWrite": false,
    "MaskStrategy": "plain",
    "SemanticTypeIri": "urn:effortless:pko-extension#FieldGrant",
    "Name": "principal-knowledge-authority -&gt; StepTransitions.SemanticTypeIri",
    "FieldTable": "StepTransitions",
    "FieldName": "SemanticTypeIri",
    "FieldIsDerived": false,
    "IsWritableDerivedField": false,
    "IsMasked": false,
    "GrantKeyWhenReadable": "principal-knowledge-authority|StepTransitions"
   },
   {
    "FieldGrantId": "fg-knowledge-authority-StepVerifications.StepVerificationId",
    "Principal": "principal-knowledge-authority",
    "TargetField": "StepVerifications.StepVerificationId",
    "CanRead": true,
    "CanWrite": false,
    "MaskStrategy": "plain",
    "SemanticTypeIri": "urn:effortless:pko-extension#FieldGrant",
    "Name": "principal-knowledge-authority -&gt; StepVerifications.StepVerificationId",
    "FieldTable": "StepVerifications",
    "FieldName": "StepVerificationId",
    "FieldIsDerived": false,
    "IsWritableDerivedField": false,
    "IsMasked": false,
    "GrantKeyWhenReadable": "principal-knowledge-authority|StepVerifications"
   },
   {
    "FieldGrantId": "fg-knowledge-authority-StepVerifications.Name",
    "Principal": "principal-knowledge-authority",
    "TargetField": "StepVerifications.Name",
    "CanRead": true,
    "CanWrite": false,
    "MaskStrategy": "plain",
    "SemanticTypeIri": "urn:effortless:pko-extension#FieldGrant",
    "Name": "principal-knowledge-authority -&gt; StepVerifications.Name",
    "FieldTable": "StepVerifications",
    "FieldName": "Name",
    "FieldIsDerived": true,
    "IsWritableDerivedField": false,
    "IsMasked": false,
    "GrantKeyWhenReadable": "principal-knowledge-authority|StepVerifications"
   },
   {
    "FieldGrantId": "fg-knowledge-authority-StepVerifications.Step",
    "Principal": "principal-knowledge-authority",
    "TargetField": "StepVerifications.Step",
    "CanRead": true,
    "CanWrite": false,
    "MaskStrategy": "plain",
    "SemanticTypeIri": "urn:effortless:pko-extension#FieldGrant",
    "Name": "principal-knowledge-authority -&gt; StepVerifications.Step",
    "FieldTable": "StepVerifications",
    "FieldName": "Step",
    "FieldIsDerived": false,
    "IsWritableDerivedField": false,
    "IsMasked": false,
    "GrantKeyWhenReadable": "principal-knowledge-authority|StepVerifications"
   },
   {
    "FieldGrantId": "fg-knowledge-authority-StepVerifications.VerificationKind",
    "Principal": "principal-knowledge-authority",
    "TargetField": "StepVerifications.VerificationKind",
    "CanRead": true,
    "CanWrite": false,
    "MaskStrategy": "plain",
    "SemanticTypeIri": "urn:effortless:pko-extension#FieldGrant",
    "Name": "principal-knowledge-authority -&gt; StepVerifications.VerificationKind",
    "FieldTable": "StepVerifications",
    "FieldName": "VerificationKind",
    "FieldIsDerived": false,
    "IsWritableDerivedField": false,
    "IsMasked": false,
    "GrantKeyWhenReadable": "principal-knowledge-authority|StepVerifications"
   },
   {
    "FieldGrantId": "fg-knowledge-authority-StepVerifications.SignalIdentifier",
    "Principal": "principal-knowledge-authority",
    "TargetField": "StepVerifications.SignalIdentifier",
    "CanRead": true,
    "CanWrite": false,
    "MaskStrategy": "plain",
    "SemanticTypeIri": "urn:effortless:pko-extension#FieldGrant",
    "Name": "principal-knowledge-authority -&gt; StepVerifications.SignalIdentifier",
    "FieldTable": "StepVerifications",
    "FieldName": "SignalIdentifier",
    "FieldIsDerived": false,
    "IsWritableDerivedField": false,
    "IsMasked": false,
    "GrantKeyWhenReadable": "principal-knowledge-authority|StepVerifications"
   },
   {
    "FieldGrantId": "fg-knowledge-authority-StepVerifications.ExpectedSignalValue",
    "Principal": "principal-knowledge-authority",
    "TargetField": "StepVerifications.ExpectedSignalValue",
    "CanRead": true,
    "CanWrite": false,
    "MaskStrategy": "plain",
    "SemanticTypeIri": "urn:effortless:pko-extension#FieldGrant",
    "Name": "principal-knowledge-authority -&gt; StepVerifications.ExpectedSignalValue",
    "FieldTable": "StepVerifications",
    "FieldName": "ExpectedSignalValue",
    "FieldIsDerived": false,
    "IsWritableDerivedField": false,
    "IsMasked": false,
    "GrantKeyWhenReadable": "principal-knowledge-authority|StepVerifications"
   },
   {
    "FieldGrantId": "fg-knowledge-authority-StepVerifications.Instruction",
    "Principal": "principal-knowledge-authority",
    "TargetField": "StepVerifications.Instruction",
    "CanRead": true,
    "CanWrite": false,
    "MaskStrategy": "plain",
    "SemanticTypeIri": "urn:effortless:pko-extension#FieldGrant",
    "Name": "principal-knowledge-authority -&gt; StepVerifications.Instruction",
    "FieldTable": "StepVerifications",
    "FieldName": "Instruction",
    "FieldIsDerived": false,
    "IsWritableDerivedField": false,
    "IsMasked": false,
    "GrantKeyWhenReadable": "principal-knowledge-authority|StepVerifications"
   },
   {
    "FieldGrantId": "fg-knowledge-authority-StepVerifications.SemanticTypeIri",
    "Principal": "principal-knowledge-authority",
    "TargetField": "StepVerifications.SemanticTypeIri",
    "CanRead": true,
    "CanWrite": false,
    "MaskStrategy": "plain",
    "SemanticTypeIri": "urn:effortless:pko-extension#FieldGrant",
    "Name": "principal-knowledge-authority -&gt; StepVerifications.SemanticTypeIri",
    "FieldTable": "StepVerifications",
    "FieldName": "SemanticTypeIri",
    "FieldIsDerived": false,
    "IsWritableDerivedField": false,
    "IsMasked": false,
    "GrantKeyWhenReadable": "principal-knowledge-authority|StepVerifications"
   },
   {
    "FieldGrantId": "fg-knowledge-authority-Steps.StepId",
    "Principal": "principal-knowledge-authority",
    "TargetField": "Steps.StepId",
    "CanRead": true,
    "CanWrite": false,
    "MaskStrategy": "plain",
    "SemanticTypeIri": "urn:effortless:pko-extension#FieldGrant",
    "Name": "principal-knowledge-authority -&gt; Steps.StepId",
    "FieldTable": "Steps",
    "FieldName": "StepId",
    "FieldIsDerived": false,
    "IsWritableDerivedField": false,
    "IsMasked": false,
    "GrantKeyWhenReadable": "principal-knowledge-authority|Steps"
   },
   {
    "FieldGrantId": "fg-knowledge-authority-Steps.Name",
    "Principal": "principal-knowledge-authority",
    "TargetField": "Steps.Name",
    "CanRead": true,
    "CanWrite": false,
    "MaskStrategy": "plain",
    "SemanticTypeIri": "urn:effortless:pko-extension#FieldGrant",
    "Name": "principal-knowledge-authority -&gt; Steps.Name",
    "FieldTable": "Steps",
    "FieldName": "Name",
    "FieldIsDerived": true,
    "IsWritableDerivedField": false,
    "IsMasked": false,
    "GrantKeyWhenReadable": "principal-knowledge-authority|Steps"
   },
   {
    "FieldGrantId": "fg-knowledge-authority-Steps.ProcedureVersion",
    "Principal": "principal-knowledge-authority",
    "TargetField": "Steps.ProcedureVersion",
    "CanRead": true,
    "CanWrite": false,
    "MaskStrategy": "plain",
    "SemanticTypeIri": "urn:effortless:pko-extension#FieldGrant",
    "Name": "principal-knowledge-authority -&gt; Steps.ProcedureVersion",
    "FieldTable": "Steps",
    "FieldName": "ProcedureVersion",
    "FieldIsDerived": false,
    "IsWritableDerivedField": false,
    "IsMasked": false,
    "GrantKeyWhenReadable": "principal-knowledge-authority|Steps"
   },
   {
    "FieldGrantId": "fg-knowledge-authority-Steps.StepNumber",
    "Principal": "principal-knowledge-authority",
    "TargetField": "Steps.StepNumber",
    "CanRead": true,
    "CanWrite": false,
    "MaskStrategy": "plain",
    "SemanticTypeIri": "urn:effortless:pko-extension#FieldGrant",
    "Name": "principal-knowledge-authority -&gt; Steps.StepNumber",
    "FieldTable": "Steps",
    "FieldName": "StepNumber",
    "FieldIsDerived": false,
    "IsWritableDerivedField": false,
    "IsMasked": false,
    "GrantKeyWhenReadable": "principal-knowledge-authority|Steps"
   },
   {
    "FieldGrantId": "fg-knowledge-authority-Steps.Title",
    "Principal": "principal-knowledge-authority",
    "TargetField": "Steps.Title",
    "CanRead": true,
    "CanWrite": false,
    "MaskStrategy": "plain",
    "SemanticTypeIri": "urn:effortless:pko-extension#FieldGrant",
    "Name": "principal-knowledge-authority -&gt; Steps.Title",
    "FieldTable": "Steps",
    "FieldName": "Title",
    "FieldIsDerived": false,
    "IsWritableDerivedField": false,
    "IsMasked": false,
    "GrantKeyWhenReadable": "principal-knowledge-authority|Steps"
   },
   {
    "FieldGrantId": "fg-knowledge-authority-Steps.StepKind",
    "Principal": "principal-knowledge-authority",
    "TargetField": "Steps.StepKind",
    "CanRead": true,
    "CanWrite": false,
    "MaskStrategy": "plain",
    "SemanticTypeIri": "urn:effortless:pko-extension#FieldGrant",
    "Name": "principal-knowledge-authority -&gt; Steps.StepKind",
    "FieldTable": "Steps",
    "FieldName": "StepKind",
    "FieldIsDerived": false,
    "IsWritableDerivedField": false,
    "IsMasked": false,
    "GrantKeyWhenReadable": "principal-knowledge-authority|Steps"
   },
   {
    "FieldGrantId": "fg-knowledge-authority-Steps.AssignedRole",
    "Principal": "principal-knowledge-authority",
    "TargetField": "Steps.AssignedRole",
    "CanRead": true,
    "CanWrite": false,
    "MaskStrategy": "plain",
    "SemanticTypeIri": "urn:effortless:pko-extension#FieldGrant",
    "Name": "principal-knowledge-authority -&gt; Steps.AssignedRole",
    "FieldTable": "Steps",
    "FieldName": "AssignedRole",
    "FieldIsDerived": false,
    "IsWritableDerivedField": false,
    "IsMasked": false,
    "GrantKeyWhenReadable": "principal-knowledge-authority|Steps"
   },
   {
    "FieldGrantId": "fg-knowledge-authority-Steps.AssignedRoleLabel",
    "Principal": "principal-knowledge-authority",
    "TargetField": "Steps.AssignedRoleLabel",
    "CanRead": true,
    "CanWrite": false,
    "MaskStrategy": "plain",
    "SemanticTypeIri": "urn:effortless:pko-extension#FieldGrant",
    "Name": "principal-knowledge-authority -&gt; Steps.AssignedRoleLabel",
    "FieldTable": "Steps",
    "FieldName": "AssignedRoleLabel",
    "FieldIsDerived": true,
    "IsWritableDerivedField": false,
    "IsMasked": false,
    "GrantKeyWhenReadable": "principal-knowledge-authority|Steps"
   },
   {
    "FieldGrantId": "fg-knowledge-authority-Steps.AssignedAgentKind",
    "Principal": "principal-knowledge-authority",
    "TargetField": "Steps.AssignedAgentKind",
    "CanRead": true,
    "CanWrite": false,
    "MaskStrategy": "plain",
    "SemanticTypeIri": "urn:effortless:pko-extension#FieldGrant",
    "Name": "principal-knowledge-authority -&gt; Steps.AssignedAgentKind",
    "FieldTable": "Steps",
    "FieldName": "AssignedAgentKind",
    "FieldIsDerived": true,
    "IsWritableDerivedField": false,
    "IsMasked": false,
    "GrantKeyWhenReadable": "principal-knowledge-authority|Steps"
   },
   {
    "FieldGrantId": "fg-knowledge-authority-Steps.Instruction",
    "Principal": "principal-knowledge-authority",
    "TargetField": "Steps.Instruction",
    "CanRead": true,
    "CanWrite": false,
    "MaskStrategy": "plain",
    "SemanticTypeIri": "urn:effortless:pko-extension#FieldGrant",
    "Name": "principal-knowledge-authority -&gt; Steps.Instruction",
    "FieldTable": "Steps",
    "FieldName": "Instruction",
    "FieldIsDerived": false,
    "IsWritableDerivedField": false,
    "IsMasked": false,
    "GrantKeyWhenReadable": "principal-knowledge-authority|Steps"
   },
   {
    "FieldGrantId": "fg-knowledge-authority-Steps.ExpectedDurationMinutes",
    "Principal": "principal-knowledge-authority",
    "TargetField": "Steps.ExpectedDurationMinutes",
    "CanRead": true,
    "CanWrite": false,
    "MaskStrategy": "plain",
    "SemanticTypeIri": "urn:effortless:pko-extension#FieldGrant",
    "Name": "principal-knowledge-authority -&gt; Steps.ExpectedDurationMinutes",
    "FieldTable": "Steps",
    "FieldName": "ExpectedDurationMinutes",
    "FieldIsDerived": false,
    "IsWritableDerivedField": false,
    "IsMasked": false,
    "GrantKeyWhenReadable": "principal-knowledge-authority|Steps"
   </t>
  </si>
  <si>
    <t xml:space="preserve">},
   {
    "FieldGrantId": "fg-knowledge-authority-Steps.ExpertiseLevel",
    "Principal": "principal-knowledge-authority",
    "TargetField": "Steps.ExpertiseLevel",
    "CanRead": true,
    "CanWrite": false,
    "MaskStrategy": "plain",
    "SemanticTypeIri": "urn:effortless:pko-extension#FieldGrant",
    "Name": "principal-knowledge-authority -&gt; Steps.ExpertiseLevel",
    "FieldTable": "Steps",
    "FieldName": "ExpertiseLevel",
    "FieldIsDerived": false,
    "IsWritableDerivedField": false,
    "IsMasked": false,
    "GrantKeyWhenReadable": "principal-knowledge-authority|Steps"
   },
   {
    "FieldGrantId": "fg-knowledge-authority-Steps.RequiresHumanConfirmation",
    "Principal": "principal-knowledge-authority",
    "TargetField": "Steps.RequiresHumanConfirmation",
    "CanRead": true,
    "CanWrite": false,
    "MaskStrategy": "plain",
    "SemanticTypeIri": "urn:effortless:pko-extension#FieldGrant",
    "Name": "principal-knowledge-authority -&gt; Steps.RequiresHumanConfirmation",
    "FieldTable": "Steps",
    "FieldName": "RequiresHumanConfirmation",
    "FieldIsDerived": false,
    "IsWritableDerivedField": false,
    "IsMasked": false,
    "GrantKeyWhenReadable": "principal-knowledge-authority|Steps"
   },
   {
    "FieldGrantId": "fg-knowledge-authority-Steps.BlockingRequirementCount",
    "Principal": "principal-knowledge-authority",
    "TargetField": "Steps.BlockingRequirementCount",
    "CanRead": true,
    "CanWrite": false,
    "MaskStrategy": "plain",
    "SemanticTypeIri": "urn:effortless:pko-extension#FieldGrant",
    "Name": "principal-knowledge-authority -&gt; Steps.BlockingRequirementCount",
    "FieldTable": "Steps",
    "FieldName": "BlockingRequirementCount",
    "FieldIsDerived": true,
    "IsWritableDerivedField": false,
    "IsMasked": false,
    "GrantKeyWhenReadable": "principal-knowledge-authority|Steps"
   },
   {
    "FieldGrantId": "fg-knowledge-authority-Steps.StaleBindingCount",
    "Principal": "principal-knowledge-authority",
    "TargetField": "Steps.StaleBindingCount",
    "CanRead": true,
    "CanWrite": false,
    "MaskStrategy": "plain",
    "SemanticTypeIri": "urn:effortless:pko-extension#FieldGrant",
    "Name": "principal-knowledge-authority -&gt; Steps.StaleBindingCount",
    "FieldTable": "Steps",
    "FieldName": "StaleBindingCount",
    "FieldIsDerived": true,
    "IsWritableDerivedField": false,
    "IsMasked": false,
    "GrantKeyWhenReadable": "principal-knowledge-authority|Steps"
   },
   {
    "FieldGrantId": "fg-knowledge-authority-Steps.AuthoritativeStaleCount",
    "Principal": "principal-knowledge-authority",
    "TargetField": "Steps.AuthoritativeStaleCount",
    "CanRead": true,
    "CanWrite": false,
    "MaskStrategy": "plain",
    "SemanticTypeIri": "urn:effortless:pko-extension#FieldGrant",
    "Name": "principal-knowledge-authority -&gt; Steps.AuthoritativeStaleCount",
    "FieldTable": "Steps",
    "FieldName": "AuthoritativeStaleCount",
    "FieldIsDerived": true,
    "IsWritableDerivedField": false,
    "IsMasked": false,
    "GrantKeyWhenReadable": "principal-knowledge-authority|Steps"
   },
   {
    "FieldGrantId": "fg-knowledge-authority-Steps.AvailableExceptionCount",
    "Principal": "principal-knowledge-authority",
    "TargetField": "Steps.AvailableExceptionCount",
    "CanRead": true,
    "CanWrite": false,
    "MaskStrategy": "plain",
    "SemanticTypeIri": "urn:effortless:pko-extension#FieldGrant",
    "Name": "principal-knowledge-authority -&gt; Steps.AvailableExceptionCount",
    "FieldTable": "Steps",
    "FieldName": "AvailableExceptionCount",
    "FieldIsDerived": true,
    "IsWritableDerivedField": false,
    "IsMasked": false,
    "GrantKeyWhenReadable": "principal-knowledge-authority|Steps"
   },
   {
    "FieldGrantId": "fg-knowledge-authority-Steps.DeclaredVerificationCount",
    "Principal": "principal-knowledge-authority",
    "TargetField": "Steps.DeclaredVerificationCount",
    "CanRead": true,
    "CanWrite": false,
    "MaskStrategy": "plain",
    "SemanticTypeIri": "urn:effortless:pko-extension#FieldGrant",
    "Name": "principal-knowledge-authority -&gt; Steps.DeclaredVerificationCount",
    "FieldTable": "Steps",
    "FieldName": "DeclaredVerificationCount",
    "FieldIsDerived": true,
    "IsWritableDerivedField": false,
    "IsMasked": false,
    "GrantKeyWhenReadable": "principal-knowledge-authority|Steps"
   },
   {
    "FieldGrantId": "fg-knowledge-authority-Steps.IsPreparationStep",
    "Principal": "principal-knowledge-authority",
    "TargetField": "Steps.IsPreparationStep",
    "CanRead": true,
    "CanWrite": false,
    "MaskStrategy": "plain",
    "SemanticTypeIri": "urn:effortless:pko-extension#FieldGrant",
    "Name": "principal-knowledge-authority -&gt; Steps.IsPreparationStep",
    "FieldTable": "Steps",
    "FieldName": "IsPreparationStep",
    "FieldIsDerived": true,
    "IsWritableDerivedField": false,
    "IsMasked": false,
    "GrantKeyWhenReadable": "principal-knowledge-authority|Steps"
   },
   {
    "FieldGrantId": "fg-knowledge-authority-Steps.IsApprovalStep",
    "Principal": "principal-knowledge-authority",
    "TargetField": "Steps.IsApprovalStep",
    "CanRead": true,
    "CanWrite": false,
    "MaskStrategy": "plain",
    "SemanticTypeIri": "urn:effortless:pko-extension#FieldGrant",
    "Name": "principal-knowledge-authority -&gt; Steps.IsApprovalStep",
    "FieldTable": "Steps",
    "FieldName": "IsApprovalStep",
    "FieldIsDerived": true,
    "IsWritableDerivedField": false,
    "IsMasked": false,
    "GrantKeyWhenReadable": "principal-knowledge-authority|Steps"
   },
   {
    "FieldGrantId": "fg-knowledge-authority-Steps.StaleAuthoritativeBindingCount",
    "Principal": "principal-knowledge-authority",
    "TargetField": "Steps.StaleAuthoritativeBindingCount",
    "CanRead": true,
    "CanWrite": false,
    "MaskStrategy": "plain",
    "SemanticTypeIri": "urn:effortless:pko-extension#FieldGrant",
    "Name": "principal-knowledge-authority -&gt; Steps.StaleAuthoritativeBindingCount",
    "FieldTable": "Steps",
    "FieldName": "StaleAuthoritativeBindingCount",
    "FieldIsDerived": true,
    "IsWritableDerivedField": false,
    "IsMasked": false,
    "GrantKeyWhenReadable": "principal-knowledge-authority|Steps"
   },
   {
    "FieldGrantId": "fg-knowledge-authority-Steps.InputsAreFresh",
    "Principal": "principal-knowledge-authority",
    "TargetField": "Steps.InputsAreFresh",
    "CanRead": true,
    "CanWrite": false,
    "MaskStrategy": "plain",
    "SemanticTypeIri": "urn:effortless:pko-extension#FieldGrant",
    "Name": "principal-knowledge-authority -&gt; Steps.InputsAreFresh",
    "FieldTable": "Steps",
    "FieldName": "InputsAreFresh",
    "FieldIsDerived": true,
    "IsWritableDerivedField": false,
    "IsMasked": false,
    "GrantKeyWhenReadable": "principal-knowledge-authority|Steps"
   },
   {
    "FieldGrantId": "fg-knowledge-authority-Steps.IsSoftwareAssigned",
    "Principal": "principal-knowledge-authority",
    "TargetField": "Steps.IsSoftwareAssigned",
    "CanRead": true,
    "CanWrite": false,
    "MaskStrategy": "plain",
    "SemanticTypeIri": "urn:effortless:pko-extension#FieldGrant",
    "Name": "principal-knowledge-authority -&gt; Steps.IsSoftwareAssigned",
    "FieldTable": "Steps",
    "FieldName": "IsSoftwareAssigned",
    "FieldIsDerived": true,
    "IsWritableDerivedField": false,
    "IsMasked": false,
    "GrantKeyWhenReadable": "principal-knowledge-authority|Steps"
   },
   {
    "FieldGrantId": "fg-knowledge-authority-Steps.IsHumanApprovalGate",
    "Principal": "principal-knowledge-authority",
    "TargetField": "Steps.IsHumanApprovalGate",
    "CanRead": true,
    "CanWrite": false,
    "MaskStrategy": "plain",
    "SemanticTypeIri": "urn:effortless:pko-extension#FieldGrant",
    "Name": "principal-knowledge-authority -&gt; Steps.IsHumanApprovalGate",
    "FieldTable": "Steps",
    "FieldName": "IsHumanApprovalGate",
    "FieldIsDerived": true,
    "IsWritableDerivedField": false,
    "IsMasked": false,
    "GrantKeyWhenReadable": "principal-knowledge-authority|Steps"
   },
   {
    "FieldGrantId": "fg-knowledge-authority-Steps.GateHeldByHuman",
    "Principal": "principal-knowledge-authority",
    "TargetField": "Steps.GateHeldByHuman",
    "CanRead": true,
    "CanWrite": false,
    "MaskStrategy": "plain",
    "SemanticTypeIri": "urn:effortless:pko-extension#FieldGrant",
    "Name": "principal-knowledge-authority -&gt; Steps.GateHeldByHuman",
    "FieldTable": "Steps",
    "FieldName": "GateHeldByHuman",
    "FieldIsDerived": true,
    "IsWritableDerivedField": false,
    "IsMasked": false,
    "GrantKeyWhenReadable": "principal-knowledge-authority|Steps"
   },
   {
    "FieldGrantId": "fg-knowledge-authority-Steps.BindingBoundaryCount",
    "Principal": "principal-knowledge-authority",
    "TargetField": "Steps.BindingBoundaryCount",
    "CanRead": true,
    "CanWrite": false,
    "MaskStrategy": "plain",
    "SemanticTypeIri": "urn:effortless:pko-extension#FieldGrant",
    "Name": "principal-knowledge-authority -&gt; Steps.BindingBoundaryCount",
    "FieldTable": "Steps",
    "FieldName": "BindingBoundaryCount",
    "FieldIsDerived": true,
    "IsWritableDerivedField": false,
    "IsMasked": false,
    "GrantKeyWhenReadable": "principal-knowledge-authority|Steps"
   },
   {
    "FieldGrantId": "fg-knowledge-authority-Steps.AssignedRoleIsUngoverned",
    "Principal": "principal-knowledge-authority",
    "TargetField": "Steps.AssignedRoleIsUngoverned",
    "CanRead": true,
    "CanWrite": false,
    "MaskStrategy": "plain",
    "SemanticTypeIri": "urn:effortless:pko-extension#FieldGrant",
    "Name": "principal-knowledge-authority -&gt; Steps.AssignedRoleIsUngoverned",
    "FieldTable": "Steps",
    "FieldName": "AssignedRoleIsUngoverned",
    "FieldIsDerived": true,
    "IsWritableDerivedField": false,
    "IsMasked": false,
    "GrantKeyWhenReadable": "principal-knowledge-authority|Steps"
   },
   {
    "FieldGrantId": "fg-knowledge-authority-Steps.UnusableBindingCount",
    "Principal": "principal-knowledge-authority",
    "TargetField": "Steps.UnusableBindingCount",
    "CanRead": true,
    "CanWrite": false,
    "MaskStrategy": "plain",
    "SemanticTypeIri": "urn:effortless:pko-extension#FieldGrant",
    "Name": "principal-knowledge-authority -&gt; Steps.UnusableBindingCount",
    "FieldTable": "Steps",
    "FieldName": "UnusableBindingCount",
    "FieldIsDerived": true,
    "IsWritableDerivedField": false,
    "IsMasked": false,
    "GrantKeyWhenReadable": "principal-knowledge-authority|Steps"
   },
   {
    "FieldGrantId": "fg-knowledge-authority-Steps.AllSourcesUsable",
    "Principal": "principal-knowledge-authority",
    "TargetField": "Steps.AllSourcesUsable",
    "CanRead": true,
    "CanWrite": false,
    "MaskStrategy": "plain",
    "SemanticTypeIri": "urn:effortless:pko-extension#FieldGrant",
    "Name": "principal-knowledge-authority -&gt; Steps.AllSourcesUsable",
    "FieldTable": "Steps",
    "FieldName": "AllSourcesUsable",
    "FieldIsDerived": true,
    "IsWritableDerivedField": false,
    "IsMasked": false,
    "GrantKeyWhenReadable": "principal-knowledge-authority|Steps"
   },
   {
    "FieldGrantId": "fg-knowledge-authority-Steps.ControlKind",
    "Principal": "principal-knowledge-authority",
    "TargetField": "Steps.ControlKind",
    "CanRead": true,
    "CanWrite": false,
    "MaskStrategy": "plain",
    "SemanticTypeIri": "urn:effortless:pko-extension#FieldGrant",
    "Name": "principal-knowledge-authority -&gt; Steps.ControlKind",
    "FieldTable": "Steps",
    "FieldName": "ControlKind",
    "FieldIsDerived": false,
    "IsWritableDerivedField": false,
    "IsMasked": false,
    "GrantKeyWhenReadable": "principal-knowledge-authority|Steps"
   },
   {
    "FieldGrantId": "fg-knowledge-authority-Steps.UnwarrantedBoundaryCount",
    "Principal": "principal-knowledge-authority",
    "TargetField": "Steps.UnwarrantedBoundaryCount",
    "CanRead": true,
    "CanWrite": false,
    "MaskStrategy": "plain",
    "SemanticTypeIri": "urn:effortless:pko-extension#FieldGrant",
    "Name": "principal-knowledge-authority -&gt; Steps.UnwarrantedBoundaryCount",
    "FieldTable": "Steps",
    "FieldName": "UnwarrantedBoundaryCount",
    "FieldIsDerived": true,
    "IsWritableDerivedField": false,
    "IsMasked": false,
    "GrantKeyWhenReadable": "principal-knowledge-authority|Steps"
   },
   {
    "FieldGrantId": "fg-knowledge-authority-Steps.IsGovernedByUnwarrantedBoundary",
    "Principal": "principal-knowledge-authority",
    "TargetField": "Steps.IsGovernedByUnwarrantedBoundary",
    "CanRead": true,
    "CanWrite": false,
    "MaskStrategy": "plain",
    "SemanticTypeIri": "urn:effortless:pko-extension#FieldGrant",
    "Name": "principal-knowledge-authority -&gt; Steps.IsGovernedByUnwarrantedBoundary",
    "FieldTable": "Steps",
    "FieldName": "IsGovernedByUnwarrantedBoundary",
    "FieldIsDerived": true,
    "IsWritableDerivedField": false,
    "IsMasked": false,
    "GrantKeyWhenReadable": "principal-knowledge-authority|Steps"
   },
   {
    "FieldGrantId": "fg-knowledge-authority-Steps.SoftwareExecutionCount",
    "Principal": "principal-knowledge-authority",
    "TargetField": "Steps.SoftwareExecutionCount",
    "CanRead": true,
    "CanWrite": false,
    "MaskStrategy": "plain",
    "SemanticTypeIri": "urn:effortless:pko-extension#FieldGrant",
    "Name": "principal-knowledge-authority -&gt; Steps.SoftwareExecutionCount",
    "FieldTable": "Steps",
    "FieldName": "SoftwareExecutionCount",
    "FieldIsDerived": true,
    "IsWritableDerivedField": false,
    "IsMasked": false,
    "GrantKeyWhenReadable": "principal-knowledge-authority|Steps"
   },
   {
    "FieldGrantId": "fg-knowledge-authority-Steps.HasBeenApproachedBySoftware",
    "Principal": "principal-knowledge-authority",
    "TargetField": "Steps.HasBeenApproachedBySoftware",
    "CanRead": true,
    "CanWrite": false,
    "MaskStrategy": "plain",
    "SemanticTypeIri": "urn:effortless:pko-extension#FieldGrant",
    "Name": "principal-knowledge-authority -&gt; Steps.HasBeenApproachedBySoftware",
    "FieldTable": "Steps",
    "FieldName": "HasBeenApproachedBySoftware",
    "FieldIsDerived": true,
    "IsWritableDerivedField": false,
    "IsMasked": false,
    "GrantKeyWhenReadable": "principal-knowledge-authority|Steps"
   },
   {
    "FieldGrantId": "fg-knowledge-authority-Steps.IsUnexercisedHumanGate",
    "Principal": "principal-knowledge-authority",
    "TargetField": "Steps.IsUnexercisedHumanGate",
    "CanRead": true,
    "CanWrite": false,
    "MaskStrategy": "plain",
    "SemanticTypeIri": "urn:effortless:pko-extension#FieldGrant",
    "Name": "principal-knowledge-authority -&gt; Steps.IsUnexercisedHumanGate",
    "FieldTable": "Steps",
    "FieldName": "IsUnexercisedHumanGate",
    "FieldIsDerived": true,
    "IsWritableDerivedField": false,
    "IsMasked": false,
    "GrantKeyWhenReadable": "principal-knowledge-authority|Steps"
   },
   {
    "FieldGrantId": "fg-knowledge-authority-Steps.IsDemonstratedHumanGate",
    "Principal": "principal-knowledge-authority",
    "TargetField": "Steps.IsDemonstratedHumanGate",
    "CanRead": true,
    "CanWrite": false,
    "MaskStrategy": "plain",
    "SemanticTypeIri": "urn:effortless:pko-extension#FieldGrant",
    "Name": "principal-knowledge-authority -&gt; Steps.IsDemonstratedHumanGate",
    "FieldTable": "Steps",
    "FieldName": "IsDemonstratedHumanGate",
    "FieldIsDerived": true,
    "IsWritableDerivedField": false,
    "IsMasked": false,
    "GrantKeyWhenReadable": "principal-knowledge-authority|Steps"
   },
   {
    "FieldGrantId": "fg-knowledge-authority-Steps.UnexercisedGateVersionKey",
    "Principal": "principal-knowledge-authority",
    "TargetField": "Steps.UnexercisedGateVersionKey",
    "CanRead": true,
    "CanWrite": false,
    "MaskStrategy": "plain",
    "SemanticTypeIri": "urn:effortless:pko-extension#FieldGrant",
    "Name": "principal-knowledge-authority -&gt; Steps.UnexercisedGateVersionKey",
    "FieldTable": "Steps",
    "FieldName": "UnexercisedGateVersionKey",
    "FieldIsDerived": true,
    "IsWritableDerivedField": false,
    "IsMasked": false,
    "GrantKeyWhenReadable": "principal-knowledge-authority|Steps"
   },
   {
    "FieldGrantId": "fg-knowledge-authority-Steps.HasDeclaredControlKind",
    "Principal": "principal-knowledge-authority",
    "TargetField": "Steps.HasDeclaredControlKind",
    "CanRead": true,
    "CanWrite": false,
    "MaskStrategy": "plain",
    "SemanticTypeIri": "urn:effortless:pko-extension#FieldGrant",
    "Name": "principal-knowledge-authority -&gt; Steps.HasDeclaredControlKind",
    "FieldTable": "Steps",
    "FieldName": "HasDeclaredControlKind",
    "FieldIsDerived": true,
    "IsWritableDerivedField": false,
    "IsMasked": false,
    "GrantKeyWhenReadable": "principal-knowledge-authority|Steps"
   },
   {
    "FieldGrantId": "fg-knowledge-authority-Steps.UndeclaredControlVersionKey",
    "Principal": "principal-knowledge-authority",
    "TargetField": "Steps.UndeclaredControlVersionKey",
    "CanRead": true,
    "CanWrite": false,
    "MaskStrategy": "plain",
    "SemanticTypeIri": "urn:effortless:pko-extension#FieldGrant",
    "Name": "principal-knowledge-authority -&gt; Steps.UndeclaredControlVersionKey",
    "FieldTable": "Steps",
    "FieldName": "UndeclaredControlVersionKey",
    "FieldIsDerived": true,
    "IsWritableDerivedField": false,
    "IsMasked": false,
    "GrantKeyWhenReadable": "principal-knowledge-authority|Steps"
   },
   {
    "FieldGrantId": "fg-knowledge-authority-Steps.ApprovalStepIsSoftwareAssigned",
    "Principal": "principal-knowledge-authority",
    "TargetField": "Steps.ApprovalStepIsSoftwareAssigned",
    "CanRead": true,
    "CanWrite": false,
    "MaskStrategy": "plain",
    "SemanticTypeIri": "urn:effortless:pko-extension#FieldGrant",
    "Name": "principal-knowledge-authority -&gt; Steps.ApprovalStepIsSoftwareAssigned",
    "FieldTable": "Steps",
    "FieldName": "ApprovalStepIsSoftwareAssigned",
    "FieldIsDerived": true,
    "IsWritableDerivedField": false,
    "IsMasked": false,
    "GrantKeyWhenReadable": "principal-knowledge-authority|Steps"
   },
   {
    "FieldGrantId": "fg-knowledge-authority-Steps.UnwitnessedBlockingCount",
    "Principal": "principal-knowledge-authority",
    "TargetField": "Steps.UnwitnessedBlockingCount",
    "CanRead": true,
    "CanWrite": false,
    "MaskStrategy": "plain",
    "SemanticTypeIri": "urn:effortless:pko-extension#FieldGrant",
    "Name": "principal-knowledge-authority -&gt; Steps.UnwitnessedBlockingCount",
    "FieldTable": "Steps",
    "FieldName": "UnwitnessedBlockingCount",
    "FieldIsDerived": true,
    "IsWritableDerivedField": false,
    "IsMasked": false,
    "GrantKeyWhenReadable": "principal-knowledge-authority|Steps"
   },
   {
    "FieldGrantId": "fg-knowledge-authority-Steps.SemanticTypeIri",
    "Principal": "principal-knowledge-authority",
    "TargetField": "Steps.SemanticTypeIri",
    "CanRead": true,
    "CanWrite": false,
    "MaskStrategy": "plain",
    "SemanticTypeIri": "urn:effortless:pko-extension#FieldGrant",
    "Name": "principal-knowledge-authority -&gt; Steps.SemanticTypeIri",
    "FieldTable": "Steps",
    "FieldName": "SemanticTypeIri",
    "FieldIsDerived": false,
    "IsWritableDerivedField": false,
    "IsMasked": false,
    "GrantKeyWhenReadable": "principal-knowledge-authority|Steps"
   },
   {
    "FieldGrantId": "fg-knowledge-authority-StewardshipAssignments.StewardshipAssignmentId",
    "Principal": "principal-knowledge-authority",
    "TargetField": "StewardshipAssignments.StewardshipAssignmentId",
    "CanRead": true,
    "CanWrite": false,
    "MaskStrategy": "plain",
    "SemanticTypeIri": "urn:effortless:pko-extension#FieldGrant",
    "Name": "principal-knowledge-authority -&gt; StewardshipAssignments.StewardshipAssignmentId",
    "FieldTable": "StewardshipAssignments",
    "FieldName": "StewardshipAssignmentId",
    "FieldIsDerived": false,
    "IsWritableDerivedField": false,
    "IsMasked": false,
    "GrantKeyWhenReadable": "principal-knowledge-authority|StewardshipAssignments"
   },
   {
    "FieldGrantId": "fg-knowledge-authority-StewardshipAssignments.Name",
    "Principal": "principal-knowledge-authority",
    "TargetField": "StewardshipAssignments.Name",
    "CanRead": true,
    "CanWrite": false,
    "MaskStrategy": "plain",
    "SemanticTypeIri": "urn:effortless:pko-extension#FieldGrant",
    "Name": "principal-knowledge-authority -&gt; StewardshipAssignments.Name",
    "FieldTable": "StewardshipAssignments",
    "FieldName": "Name",
    "FieldIsDerived": true,
    "IsWritableDerivedField": false,
    "IsMasked": false,
    "GrantKeyWhenReadable": "principal-knowledge-authority|StewardshipAssignments"
   },
   {
    "FieldGrantId": "fg-knowledge-authority-StewardshipAssignments.ProcedureVersion",
    "Principal": "principal-knowledge-authority",
    "TargetField": "StewardshipAssignments.ProcedureVersion",
    "CanRead": true,
    "CanWrite": false,
    "MaskStrategy": "plain",
    "SemanticTypeIri": "urn:effortless:pko-extension#FieldGrant",
    "Name": "principal-knowledge-authority -&gt; StewardshipAssignments.ProcedureVersion",
    "FieldTable": "StewardshipAssignments",
    "FieldName": "ProcedureVersion",
    "FieldIsDerived": false,
    "IsWritableDerivedField": false,
    "IsMasked": false,
    "GrantKeyWhenReadable": "principal-knowledge-authority|StewardshipAssignments"
   },
   {
    "FieldGrantId": "fg-knowledge-authority-StewardshipAssignments.StewardRole",
    "Principal": "principal-knowledge-authority",
    "TargetField": "StewardshipAssignments.StewardRole",
    "CanRead": true,
    "CanWrite": false,
    "MaskStrategy": "plain",
    "SemanticTypeIri": "urn:effortless:pko-extension#FieldGrant",
    "Name": "principal-knowledge-authority -&gt; StewardshipAssignments.StewardRole",
    "FieldTable": "StewardshipAssignments",
    "FieldName": "StewardRole",
    "FieldIsDerived": false,
    "IsWritableDerivedField": false,
    "IsMasked": false,
    "GrantKeyWhenReadable": "principal-knowledge-authority|StewardshipAssignments"
   },
   {
    "FieldGrantId": "fg-knowledge-authority-StewardshipAssignments.AuthorityRole",
    "Principal": "principal-knowledge-authority",
    "TargetField": "StewardshipAssignments.AuthorityRole",
    "CanRead": true,
    "CanWrite": false,
    "MaskStrategy": "plain",
    "SemanticTypeIri": "urn:effortless:pko-extension#FieldGrant",
    "Name": "principal-knowledge-authority -&gt; StewardshipAssignments.AuthorityRole",
    "FieldTable": "StewardshipAssignments",
    "FieldName": "AuthorityRole",
    "FieldIsDerived": false,
    "IsWritableDerivedField": false,
    "IsMasked": false,
    "GrantKeyWhenReadable": "principal-knowledge-authority|StewardshipAssignments"
   },
   {
    "FieldGrantId": "fg-knowledge-authority-StewardshipAssignments.ValidFrom",
    "Principal": "principal-knowledge-authority",
    "TargetField": "StewardshipAssignments.ValidFrom",
    "CanRead": true,
    "CanWrite": false,
    "MaskStrategy": "plain",
    "SemanticTypeIri": "urn:effortless:pko-extension#FieldGrant",
    "Name": "principal-knowledge-authority -&gt; StewardshipAssignments.ValidFrom",
    "FieldTable": "StewardshipAssignments",
    "FieldName": "ValidFrom",
    "FieldIsDerived": false,
    "IsWritableDerivedField": false,
    "IsMasked": false,
    "GrantKeyWhenReadable": "principal-knowledge-authority|StewardshipAssignments"
   },
   {
    "FieldGrantId": "fg-knowledge-authority-StewardshipAssignments.ValidTo",
    "Principal": "principal-knowledge-authority",
    "TargetField": "StewardshipAssignments.ValidTo",
    "CanRead": true,
    "CanWrite": false,
    "MaskStrategy": "plain",
    "SemanticTypeIri": "urn:effortless:pko-extension#FieldGrant",
    "Name": "principal-knowledge-authority -&gt; StewardshipAssignments.ValidTo",
    "FieldTable": "StewardshipAssignments",
    "FieldName": "ValidTo",
    "FieldIsDerived": false,
    "IsWritableDerivedField": false,
    "IsMasked": false,
    "GrantKeyWhenReadable": "principal-knowledge-authority|StewardshipAssignments"
   },
   {
    "FieldGrantId": "fg-knowledge-authority-StewardshipAssignments.ReviewCadenceDays",
    "Principal": "principal-knowledge-authority",
    "TargetField": "StewardshipAssignments.ReviewCadenceDays",
    "CanRead": true,
    "CanWrite": false,
    "MaskStrategy": "plain",
    "SemanticTypeIri": "urn:effortless:pko-extension#FieldGrant",
    "Name": "principal-knowledge-authority -&gt; StewardshipAssignments.ReviewCadenceDays",
    "FieldTable": "StewardshipAssignments",
    "FieldName": "ReviewCadenceDays",
    "FieldIsDerived": false,
    "IsWritableDerivedField": false,
    "IsMasked": false,
    "GrantKeyWhenReadable": "principal-knowledge-authority|StewardshipAssignments"
   },
   {
    "FieldGrantId": "fg-knowledge-authority-StewardshipAssignments.CountOfReviewEvents",
    "Principal": "principal-knowledge-authority",
    "TargetField": "StewardshipAssignments.CountOfReviewEvents",
    "CanRead": true,
    "CanWrite": false,
    "MaskStrategy": "plain",
    "SemanticTypeIri": "urn:effortless:pko-extension#FieldGrant",
    "Name": "principal-knowledge-authority -&gt; StewardshipAssignments.CountOfReviewEvents",
    "FieldTable": "StewardshipAssignments",
    "FieldName": "CountOfReviewEvents",
    "FieldIsDerived": true,
    "IsWritableDerivedField": false,
    "IsMasked": false,
    "GrantKeyWhenReadable": "principal-knowledge-authority|StewardshipAssignments"
   },
   {
    "FieldGrantId": "fg-knowledge-authority-StewardshipAssignments.HasEverBeenReviewed",
    "Principal": "principal-knowledge-authority",
    "TargetField": "StewardshipAssignments.HasEverBeenReviewed",
    "CanRead": true,
    "CanWrite": false,
    "MaskStrategy": "plain",
    "SemanticTypeIri": "urn:effortless:pko-extension#FieldGrant",
    "Name": "principal-knowledge-authority -&gt; StewardshipAssignments.HasEverBeenReviewed",
    "FieldTable": "StewardshipAssignments",
    "FieldName": "HasEverBeenReviewed",
    "FieldIsDerived": true,
    "IsWritableDerivedField": false,
    "IsMasked": false,
    "GrantKeyWhenReadable": "principal-knowledge-authority|StewardshipAssignments"
   },
   {
    "FieldGrantId": "fg-knowledge-authority-StewardshipAssignments.EvaluationContext",
    "Principal": "principal-knowledge-authority",
    "TargetField": "StewardshipAssignments.EvaluationContext",
    "CanRead": true,
    "CanWrite": false,
    "MaskStrategy": "plain",
    "SemanticTypeIri": "urn:effortless:pko-extension#FieldGrant",
    "Name": "principal-knowledge-authority -&gt; StewardshipAssignments.EvaluationContext",
    "FieldTable": "StewardshipAssignments",
    "FieldName": "EvaluationContext",
    "FieldIsDerived": false,
    "IsWritableDerivedField": false,
    "IsMasked": false,
    "GrantKeyWhenReadable": "principal-knowledge-authority|StewardshipAssignments"
   },
   {
    "FieldGrantId": "fg-knowledge-authority-StewardshipAssignments.AsOfInstant",
    "Principal": "principal-knowledge-authority",
    "TargetField": "StewardshipAssignments.AsOfInstant",
    "CanRead": true,
    "CanWrite": false,
    "MaskStrategy": "plain",
    "SemanticTypeIri": "urn:effortless:pko-extension#FieldGrant",
    "Name": "principal-knowledge-authority -&gt; StewardshipAssignments.AsOfInstant",
    "FieldTable": "StewardshipAssignments",
    "FieldName": "AsOfInstant",
    "FieldIsDerived": true,
    "IsWritableDerivedField": false,
    "IsMasked": false,
    "GrantKeyWhenReadable": "principal-knowledge-authority|StewardshipAssignments"
   },
   {
    "FieldGrantId": "fg-knowledge-authority-StewardshipAssignments.IsCurrentAssignment",
    "Principal": "principal-knowledge-authority",
    "TargetField": "StewardshipAssignments.IsCurrentAssignment",
    "CanRead": true,
    "CanWrite": false,
    "MaskStrategy": "plain",
    "SemanticTypeIri": "urn:effortless:pko-extension#FieldGrant",
    "Name": "principal-knowledge-authority -&gt; StewardshipAssignments.IsCurrentAssignment",
    "FieldTable": "StewardshipAssignments",
    "FieldName": "IsCurrentAssignment",
    "FieldIsDerived": true,
    "IsWritableDerivedField": false,
    "IsMasked": false,
    "GrantKeyWhenReadable": "principal-knowledge-authority|StewardshipAssignments"
   },
   {
    "FieldGrantId": "fg-knowledge-authority-StewardshipAssignments.SemanticTypeIri",
    "Principal": "principal-knowledge-authority",
    "TargetField": "StewardshipAssignments.SemanticTypeIri",
    "CanRead": true,
    "CanWrite": false,
    "MaskStrategy": "plain",
    "SemanticTypeIri": "urn:effortless:pko-extension#FieldGrant",
    "Name": "principal-knowledge-authority -&gt; StewardshipAssignments.SemanticTypeIri",
    "FieldTable": "StewardshipAssignments",
    "FieldName": "SemanticTypeIri",
    "FieldIsDerived": false,
    "IsWritableDerivedField": false,
    "IsMasked": false,
    "GrantKeyWhenReadable": "principal-knowledge-authority|StewardshipAssignments"
   },
   {
    "FieldGrantId": "fg-knowledge-authority-TemplateApprovals.TemplateApprovalId",
    "Principal": "principal-knowledge-authority",
    "TargetField": "TemplateApprovals.TemplateApprovalId",
    "CanRead": true,
    "CanWrite": false,
    "MaskStrategy": "plain",
    "SemanticTypeIri": "urn:effortless:pko-extension#FieldGrant",
    "Name": "principal-knowledge-authority -&gt; TemplateApprovals.TemplateApprovalId",
    "FieldTable": "TemplateApprovals",
    "FieldName": "TemplateApprovalId",
    "FieldIsDerived": false,
    "IsWritableDerivedField": false,
    "IsMasked": false,
    "GrantKeyWhenReadable": "principal-knowledge-authority|TemplateApprovals"
   },
   {
    "FieldGrantId": "fg-knowledge-authority-TemplateApprovals.Name",
    "Principal": "principal-knowledge-authority",
    "TargetField": "TemplateApprovals.Name",
    "CanRead": true,
    "CanWrite": false,
    "MaskStrategy": "plain",
    "SemanticTypeIri": "urn:effortless:pko-extension#FieldGrant",
    "Name": "principal-knowledge-authority -&gt; TemplateApprovals.Name",
    "FieldTable": "TemplateApprovals",
    "FieldName": "Name",
    "FieldIsDerived": true,
    "IsWritableDerivedField": false,
    "IsMasked": false,
    "GrantKeyWhenReadable": "principal-knowledge-authority|TemplateApprovals"
   },
   {
    "FieldGrantId": "fg-knowledge-authority-TemplateApprovals.MessageTemplate",
    "Principal": "principal-knowledge-authority",
    "TargetField": "TemplateApprovals.MessageTemplate",
    "CanRead": true,
    "CanWrite": false,
    "MaskStrategy": "plain",
    "SemanticTypeIri": "urn:effortless:pko-extension#FieldGrant",
    "Name": "principal-knowledge-authority -&gt; TemplateApprovals.MessageTemplate",
    "FieldTable": "TemplateApprovals",
    "FieldName": "MessageTemplate",
    "FieldIsDerived": false,
    "IsWritableDerivedField": false,
    "IsMasked": false,
    "GrantKeyWhenReadable": "principal-knowledge-authority|TemplateApprovals"
   },
   {
    "FieldGrantId": "fg-knowledge-authority-TemplateApprovals.DecidedByAgent",
    "Principal": "principal-knowledge-authority",
    "TargetField": "TemplateApprovals.DecidedByAgent",
    "CanRead": true,
    "CanWrite": false,
    "MaskStrategy": "plain",
    "SemanticTypeIri": "urn:effortless:pko-extension#FieldGrant",
    "Name": "principal-knowledge-authority -&gt; TemplateApprovals.DecidedByAgent",
    "FieldTable": "TemplateApprovals",
    "FieldName": "DecidedByAgent",
    "FieldIsDerived": false,
    "IsWritableDerivedField": false,
    "IsMasked": false,
    "GrantKeyWhenReadable": "principal-knowledge-authority|TemplateApprovals"
   },
   {
    "FieldGrantId": "fg-knowledge-authority-TemplateApprovals.DecidedInRole",
    "Principal": "principal-knowledge-authority",
    "TargetField": "TemplateApprovals.DecidedInRole",
    "CanRead": true,
    "CanWrite": false,
    "MaskStrategy": "plain",
    "SemanticTypeIri": "urn:effortless:pko-extension#FieldGrant",
    "Name": "principal-knowledge-authority -&gt; TemplateApprovals.DecidedInRole",
    "FieldTable": "TemplateApprovals",
    "FieldName": "DecidedInRole",
    "FieldIsDerived": false,
    "IsWritableDerivedField": false,
    "IsMasked": false,
    "GrantKeyWhenReadable": "principal-knowledge-authority|TemplateApprovals"
   },
   {
    "FieldGrantId": "fg-knowledge-authority-TemplateApprovals.Decision",
    "Principal": "principal-knowledge-authority",
    "TargetField": "TemplateApprovals.Decision",
    "CanRead": true,
    "CanWrite": false,
    "MaskStrategy": "plain",
    "SemanticTypeIri": "urn:effortless:pko-extension#FieldGrant",
    "Name": "principal-knowledge-authority -&gt; TemplateApprovals.Decision",
    "FieldTable": "TemplateApprovals",
    "FieldName": "Decision",
    "FieldIsDerived": false,
    "IsWritableDerivedField": false,
    "IsMasked": false,
    "GrantKeyWhenReadable": "principal-knowledge-authority|</t>
  </si>
  <si>
    <t xml:space="preserve">TemplateApprovals"
   },
   {
    "FieldGrantId": "fg-knowledge-authority-TemplateApprovals.DecidedAt",
    "Principal": "principal-knowledge-authority",
    "TargetField": "TemplateApprovals.DecidedAt",
    "CanRead": true,
    "CanWrite": false,
    "MaskStrategy": "plain",
    "SemanticTypeIri": "urn:effortless:pko-extension#FieldGrant",
    "Name": "principal-knowledge-authority -&gt; TemplateApprovals.DecidedAt",
    "FieldTable": "TemplateApprovals",
    "FieldName": "DecidedAt",
    "FieldIsDerived": false,
    "IsWritableDerivedField": false,
    "IsMasked": false,
    "GrantKeyWhenReadable": "principal-knowledge-authority|TemplateApprovals"
   },
   {
    "FieldGrantId": "fg-knowledge-authority-TemplateApprovals.ApprovedBodyHash",
    "Principal": "principal-knowledge-authority",
    "TargetField": "TemplateApprovals.ApprovedBodyHash",
    "CanRead": true,
    "CanWrite": false,
    "MaskStrategy": "plain",
    "SemanticTypeIri": "urn:effortless:pko-extension#FieldGrant",
    "Name": "principal-knowledge-authority -&gt; TemplateApprovals.ApprovedBodyHash",
    "FieldTable": "TemplateApprovals",
    "FieldName": "ApprovedBodyHash",
    "FieldIsDerived": false,
    "IsWritableDerivedField": false,
    "IsMasked": false,
    "GrantKeyWhenReadable": "principal-knowledge-authority|TemplateApprovals"
   },
   {
    "FieldGrantId": "fg-knowledge-authority-TemplateApprovals.Notes",
    "Principal": "principal-knowledge-authority",
    "TargetField": "TemplateApprovals.Notes",
    "CanRead": true,
    "CanWrite": false,
    "MaskStrategy": "plain",
    "SemanticTypeIri": "urn:effortless:pko-extension#FieldGrant",
    "Name": "principal-knowledge-authority -&gt; TemplateApprovals.Notes",
    "FieldTable": "TemplateApprovals",
    "FieldName": "Notes",
    "FieldIsDerived": false,
    "IsWritableDerivedField": false,
    "IsMasked": false,
    "GrantKeyWhenReadable": "principal-knowledge-authority|TemplateApprovals"
   },
   {
    "FieldGrantId": "fg-knowledge-authority-TemplateApprovals.IsApprovalDecision",
    "Principal": "principal-knowledge-authority",
    "TargetField": "TemplateApprovals.IsApprovalDecision",
    "CanRead": true,
    "CanWrite": false,
    "MaskStrategy": "plain",
    "SemanticTypeIri": "urn:effortless:pko-extension#FieldGrant",
    "Name": "principal-knowledge-authority -&gt; TemplateApprovals.IsApprovalDecision",
    "FieldTable": "TemplateApprovals",
    "FieldName": "IsApprovalDecision",
    "FieldIsDerived": true,
    "IsWritableDerivedField": false,
    "IsMasked": false,
    "GrantKeyWhenReadable": "principal-knowledge-authority|TemplateApprovals"
   },
   {
    "FieldGrantId": "fg-knowledge-authority-TemplateApprovals.TemplatePolicy",
    "Principal": "principal-knowledge-authority",
    "TargetField": "TemplateApprovals.TemplatePolicy",
    "CanRead": true,
    "CanWrite": false,
    "MaskStrategy": "plain",
    "SemanticTypeIri": "urn:effortless:pko-extension#FieldGrant",
    "Name": "principal-knowledge-authority -&gt; TemplateApprovals.TemplatePolicy",
    "FieldTable": "TemplateApprovals",
    "FieldName": "TemplatePolicy",
    "FieldIsDerived": true,
    "IsWritableDerivedField": false,
    "IsMasked": false,
    "GrantKeyWhenReadable": "principal-knowledge-authority|TemplateApprovals"
   },
   {
    "FieldGrantId": "fg-knowledge-authority-TemplateApprovals.RequiredApprovalRole",
    "Principal": "principal-knowledge-authority",
    "TargetField": "TemplateApprovals.RequiredApprovalRole",
    "CanRead": true,
    "CanWrite": false,
    "MaskStrategy": "plain",
    "SemanticTypeIri": "urn:effortless:pko-extension#FieldGrant",
    "Name": "principal-knowledge-authority -&gt; TemplateApprovals.RequiredApprovalRole",
    "FieldTable": "TemplateApprovals",
    "FieldName": "RequiredApprovalRole",
    "FieldIsDerived": true,
    "IsWritableDerivedField": false,
    "IsMasked": false,
    "GrantKeyWhenReadable": "principal-knowledge-authority|TemplateApprovals"
   },
   {
    "FieldGrantId": "fg-knowledge-authority-TemplateApprovals.IsDecidedByRequiredRole",
    "Principal": "principal-knowledge-authority",
    "TargetField": "TemplateApprovals.IsDecidedByRequiredRole",
    "CanRead": true,
    "CanWrite": false,
    "MaskStrategy": "plain",
    "SemanticTypeIri": "urn:effortless:pko-extension#FieldGrant",
    "Name": "principal-knowledge-authority -&gt; TemplateApprovals.IsDecidedByRequiredRole",
    "FieldTable": "TemplateApprovals",
    "FieldName": "IsDecidedByRequiredRole",
    "FieldIsDerived": true,
    "IsWritableDerivedField": false,
    "IsMasked": false,
    "GrantKeyWhenReadable": "principal-knowledge-authority|TemplateApprovals"
   },
   {
    "FieldGrantId": "fg-knowledge-authority-TemplateApprovals.ValidApprovalTemplateKey",
    "Principal": "principal-knowledge-authority",
    "TargetField": "TemplateApprovals.ValidApprovalTemplateKey",
    "CanRead": true,
    "CanWrite": false,
    "MaskStrategy": "plain",
    "SemanticTypeIri": "urn:effortless:pko-extension#FieldGrant",
    "Name": "principal-knowledge-authority -&gt; TemplateApprovals.ValidApprovalTemplateKey",
    "FieldTable": "TemplateApprovals",
    "FieldName": "ValidApprovalTemplateKey",
    "FieldIsDerived": true,
    "IsWritableDerivedField": false,
    "IsMasked": false,
    "GrantKeyWhenReadable": "principal-knowledge-authority|TemplateApprovals"
   },
   {
    "FieldGrantId": "fg-knowledge-authority-TemplateApprovals.SemanticTypeIri",
    "Principal": "principal-knowledge-authority",
    "TargetField": "TemplateApprovals.SemanticTypeIri",
    "CanRead": true,
    "CanWrite": false,
    "MaskStrategy": "plain",
    "SemanticTypeIri": "urn:effortless:pko-extension#FieldGrant",
    "Name": "principal-knowledge-authority -&gt; TemplateApprovals.SemanticTypeIri",
    "FieldTable": "TemplateApprovals",
    "FieldName": "SemanticTypeIri",
    "FieldIsDerived": false,
    "IsWritableDerivedField": false,
    "IsMasked": false,
    "GrantKeyWhenReadable": "principal-knowledge-authority|TemplateApprovals"
   },
   {
    "FieldGrantId": "fg-knowledge-authority-TestCases.TestCaseId",
    "Principal": "principal-knowledge-authority",
    "TargetField": "TestCases.TestCaseId",
    "CanRead": true,
    "CanWrite": false,
    "MaskStrategy": "plain",
    "SemanticTypeIri": "urn:effortless:pko-extension#FieldGrant",
    "Name": "principal-knowledge-authority -&gt; TestCases.TestCaseId",
    "FieldTable": "TestCases",
    "FieldName": "TestCaseId",
    "FieldIsDerived": false,
    "IsWritableDerivedField": false,
    "IsMasked": false,
    "GrantKeyWhenReadable": "principal-knowledge-authority|TestCases"
   },
   {
    "FieldGrantId": "fg-knowledge-authority-TestCases.Name",
    "Principal": "principal-knowledge-authority",
    "TargetField": "TestCases.Name",
    "CanRead": true,
    "CanWrite": false,
    "MaskStrategy": "plain",
    "SemanticTypeIri": "urn:effortless:pko-extension#FieldGrant",
    "Name": "principal-knowledge-authority -&gt; TestCases.Name",
    "FieldTable": "TestCases",
    "FieldName": "Name",
    "FieldIsDerived": true,
    "IsWritableDerivedField": false,
    "IsMasked": false,
    "GrantKeyWhenReadable": "principal-knowledge-authority|TestCases"
   },
   {
    "FieldGrantId": "fg-knowledge-authority-TestCases.TestKind",
    "Principal": "principal-knowledge-authority",
    "TargetField": "TestCases.TestKind",
    "CanRead": true,
    "CanWrite": false,
    "MaskStrategy": "plain",
    "SemanticTypeIri": "urn:effortless:pko-extension#FieldGrant",
    "Name": "principal-knowledge-authority -&gt; TestCases.TestKind",
    "FieldTable": "TestCases",
    "FieldName": "TestKind",
    "FieldIsDerived": false,
    "IsWritableDerivedField": false,
    "IsMasked": false,
    "GrantKeyWhenReadable": "principal-knowledge-authority|TestCases"
   },
   {
    "FieldGrantId": "fg-knowledge-authority-TestCases.Subject",
    "Principal": "principal-knowledge-authority",
    "TargetField": "TestCases.Subject",
    "CanRead": true,
    "CanWrite": false,
    "MaskStrategy": "plain",
    "SemanticTypeIri": "urn:effortless:pko-extension#FieldGrant",
    "Name": "principal-knowledge-authority -&gt; TestCases.Subject",
    "FieldTable": "TestCases",
    "FieldName": "Subject",
    "FieldIsDerived": false,
    "IsWritableDerivedField": false,
    "IsMasked": false,
    "GrantKeyWhenReadable": "principal-knowledge-authority|TestCases"
   },
   {
    "FieldGrantId": "fg-knowledge-authority-TestCases.TargetTable",
    "Principal": "principal-knowledge-authority",
    "TargetField": "TestCases.TargetTable",
    "CanRead": true,
    "CanWrite": false,
    "MaskStrategy": "plain",
    "SemanticTypeIri": "urn:effortless:pko-extension#FieldGrant",
    "Name": "principal-knowledge-authority -&gt; TestCases.TargetTable",
    "FieldTable": "TestCases",
    "FieldName": "TargetTable",
    "FieldIsDerived": false,
    "IsWritableDerivedField": false,
    "IsMasked": false,
    "GrantKeyWhenReadable": "principal-knowledge-authority|TestCases"
   },
   {
    "FieldGrantId": "fg-knowledge-authority-TestCases.TargetField",
    "Principal": "principal-knowledge-authority",
    "TargetField": "TestCases.TargetField",
    "CanRead": true,
    "CanWrite": false,
    "MaskStrategy": "plain",
    "SemanticTypeIri": "urn:effortless:pko-extension#FieldGrant",
    "Name": "principal-knowledge-authority -&gt; TestCases.TargetField",
    "FieldTable": "TestCases",
    "FieldName": "TargetField",
    "FieldIsDerived": false,
    "IsWritableDerivedField": false,
    "IsMasked": false,
    "GrantKeyWhenReadable": "principal-knowledge-authority|TestCases"
   },
   {
    "FieldGrantId": "fg-knowledge-authority-TestCases.Assertion",
    "Principal": "principal-knowledge-authority",
    "TargetField": "TestCases.Assertion",
    "CanRead": true,
    "CanWrite": false,
    "MaskStrategy": "plain",
    "SemanticTypeIri": "urn:effortless:pko-extension#FieldGrant",
    "Name": "principal-knowledge-authority -&gt; TestCases.Assertion",
    "FieldTable": "TestCases",
    "FieldName": "Assertion",
    "FieldIsDerived": false,
    "IsWritableDerivedField": false,
    "IsMasked": false,
    "GrantKeyWhenReadable": "principal-knowledge-authority|TestCases"
   },
   {
    "FieldGrantId": "fg-knowledge-authority-TestCases.DefendsQuestion",
    "Principal": "principal-knowledge-authority",
    "TargetField": "TestCases.DefendsQuestion",
    "CanRead": true,
    "CanWrite": false,
    "MaskStrategy": "plain",
    "SemanticTypeIri": "urn:effortless:pko-extension#FieldGrant",
    "Name": "principal-knowledge-authority -&gt; TestCases.DefendsQuestion",
    "FieldTable": "TestCases",
    "FieldName": "DefendsQuestion",
    "FieldIsDerived": false,
    "IsWritableDerivedField": false,
    "IsMasked": false,
    "GrantKeyWhenReadable": "principal-knowledge-authority|TestCases"
   },
   {
    "FieldGrantId": "fg-knowledge-authority-TestCases.Suite",
    "Principal": "principal-knowledge-authority",
    "TargetField": "TestCases.Suite",
    "CanRead": true,
    "CanWrite": false,
    "MaskStrategy": "plain",
    "SemanticTypeIri": "urn:effortless:pko-extension#FieldGrant",
    "Name": "principal-knowledge-authority -&gt; TestCases.Suite",
    "FieldTable": "TestCases",
    "FieldName": "Suite",
    "FieldIsDerived": false,
    "IsWritableDerivedField": false,
    "IsMasked": false,
    "GrantKeyWhenReadable": "principal-knowledge-authority|TestCases"
   },
   {
    "FieldGrantId": "fg-knowledge-authority-TestCases.Severity",
    "Principal": "principal-knowledge-authority",
    "TargetField": "TestCases.Severity",
    "CanRead": true,
    "CanWrite": false,
    "MaskStrategy": "plain",
    "SemanticTypeIri": "urn:effortless:pko-extension#FieldGrant",
    "Name": "principal-knowledge-authority -&gt; TestCases.Severity",
    "FieldTable": "TestCases",
    "FieldName": "Severity",
    "FieldIsDerived": false,
    "IsWritableDerivedField": false,
    "IsMasked": false,
    "GrantKeyWhenReadable": "principal-knowledge-authority|TestCases"
   },
   {
    "FieldGrantId": "fg-knowledge-authority-TestCases.IsBlocking",
    "Principal": "principal-knowledge-authority",
    "TargetField": "TestCases.IsBlocking",
    "CanRead": true,
    "CanWrite": false,
    "MaskStrategy": "plain",
    "SemanticTypeIri": "urn:effortless:pko-extension#FieldGrant",
    "Name": "principal-knowledge-authority -&gt; TestCases.IsBlocking",
    "FieldTable": "TestCases",
    "FieldName": "IsBlocking",
    "FieldIsDerived": true,
    "IsWritableDerivedField": false,
    "IsMasked": false,
    "GrantKeyWhenReadable": "principal-knowledge-authority|TestCases"
   },
   {
    "FieldGrantId": "fg-knowledge-authority-TestCases.LastOutcome",
    "Principal": "principal-knowledge-authority",
    "TargetField": "TestCases.LastOutcome",
    "CanRead": true,
    "CanWrite": false,
    "MaskStrategy": "plain",
    "SemanticTypeIri": "urn:effortless:pko-extension#FieldGrant",
    "Name": "principal-knowledge-authority -&gt; TestCases.LastOutcome",
    "FieldTable": "TestCases",
    "FieldName": "LastOutcome",
    "FieldIsDerived": false,
    "IsWritableDerivedField": false,
    "IsMasked": false,
    "GrantKeyWhenReadable": "principal-knowledge-authority|TestCases"
   },
   {
    "FieldGrantId": "fg-knowledge-authority-TestCases.LastDetail",
    "Principal": "principal-knowledge-authority",
    "TargetField": "TestCases.LastDetail",
    "CanRead": true,
    "CanWrite": false,
    "MaskStrategy": "plain",
    "SemanticTypeIri": "urn:effortless:pko-extension#FieldGrant",
    "Name": "principal-knowledge-authority -&gt; TestCases.LastDetail",
    "FieldTable": "TestCases",
    "FieldName": "LastDetail",
    "FieldIsDerived": false,
    "IsWritableDerivedField": false,
    "IsMasked": false,
    "GrantKeyWhenReadable": "principal-knowledge-authority|TestCases"
   },
   {
    "FieldGrantId": "fg-knowledge-authority-TestCases.LastRunAt",
    "Principal": "principal-knowledge-authority",
    "TargetField": "TestCases.LastRunAt",
    "CanRead": true,
    "CanWrite": false,
    "MaskStrategy": "plain",
    "SemanticTypeIri": "urn:effortless:pko-extension#FieldGrant",
    "Name": "principal-knowledge-authority -&gt; TestCases.LastRunAt",
    "FieldTable": "TestCases",
    "FieldName": "LastRunAt",
    "FieldIsDerived": false,
    "IsWritableDerivedField": false,
    "IsMasked": false,
    "GrantKeyWhenReadable": "principal-knowledge-authority|TestCases"
   },
   {
    "FieldGrantId": "fg-knowledge-authority-TestCases.IsPassing",
    "Principal": "principal-knowledge-authority",
    "TargetField": "TestCases.IsPassing",
    "CanRead": true,
    "CanWrite": false,
    "MaskStrategy": "plain",
    "SemanticTypeIri": "urn:effortless:pko-extension#FieldGrant",
    "Name": "principal-knowledge-authority -&gt; TestCases.IsPassing",
    "FieldTable": "TestCases",
    "FieldName": "IsPassing",
    "FieldIsDerived": true,
    "IsWritableDerivedField": false,
    "IsMasked": false,
    "GrantKeyWhenReadable": "principal-knowledge-authority|TestCases"
   },
   {
    "FieldGrantId": "fg-knowledge-authority-TestCases.IsFailing",
    "Principal": "principal-knowledge-authority",
    "TargetField": "TestCases.IsFailing",
    "CanRead": true,
    "CanWrite": false,
    "MaskStrategy": "plain",
    "SemanticTypeIri": "urn:effortless:pko-extension#FieldGrant",
    "Name": "principal-knowledge-authority -&gt; TestCases.IsFailing",
    "FieldTable": "TestCases",
    "FieldName": "IsFailing",
    "FieldIsDerived": true,
    "IsWritableDerivedField": false,
    "IsMasked": false,
    "GrantKeyWhenReadable": "principal-knowledge-authority|TestCases"
   },
   {
    "FieldGrantId": "fg-knowledge-authority-TestCases.NeedsAttention",
    "Principal": "principal-knowledge-authority",
    "TargetField": "TestCases.NeedsAttention",
    "CanRead": true,
    "CanWrite": false,
    "MaskStrategy": "plain",
    "SemanticTypeIri": "urn:effortless:pko-extension#FieldGrant",
    "Name": "principal-knowledge-authority -&gt; TestCases.NeedsAttention",
    "FieldTable": "TestCases",
    "FieldName": "NeedsAttention",
    "FieldIsDerived": true,
    "IsWritableDerivedField": false,
    "IsMasked": false,
    "GrantKeyWhenReadable": "principal-knowledge-authority|TestCases"
   },
   {
    "FieldGrantId": "fg-knowledge-authority-TestCases.PassingSuiteKey",
    "Principal": "principal-knowledge-authority",
    "TargetField": "TestCases.PassingSuiteKey",
    "CanRead": true,
    "CanWrite": false,
    "MaskStrategy": "plain",
    "SemanticTypeIri": "urn:effortless:pko-extension#FieldGrant",
    "Name": "principal-knowledge-authority -&gt; TestCases.PassingSuiteKey",
    "FieldTable": "TestCases",
    "FieldName": "PassingSuiteKey",
    "FieldIsDerived": true,
    "IsWritableDerivedField": false,
    "IsMasked": false,
    "GrantKeyWhenReadable": "principal-knowledge-authority|TestCases"
   },
   {
    "FieldGrantId": "fg-knowledge-authority-TestCases.NeedsAttentionSuiteKey",
    "Principal": "principal-knowledge-authority",
    "TargetField": "TestCases.NeedsAttentionSuiteKey",
    "CanRead": true,
    "CanWrite": false,
    "MaskStrategy": "plain",
    "SemanticTypeIri": "urn:effortless:pko-extension#FieldGrant",
    "Name": "principal-knowledge-authority -&gt; TestCases.NeedsAttentionSuiteKey",
    "FieldTable": "TestCases",
    "FieldName": "NeedsAttentionSuiteKey",
    "FieldIsDerived": true,
    "IsWritableDerivedField": false,
    "IsMasked": false,
    "GrantKeyWhenReadable": "principal-knowledge-authority|TestCases"
   },
   {
    "FieldGrantId": "fg-knowledge-authority-TestCases.SemanticTypeIri",
    "Principal": "principal-knowledge-authority",
    "TargetField": "TestCases.SemanticTypeIri",
    "CanRead": true,
    "CanWrite": false,
    "MaskStrategy": "plain",
    "SemanticTypeIri": "urn:effortless:pko-extension#FieldGrant",
    "Name": "principal-knowledge-authority -&gt; TestCases.SemanticTypeIri",
    "FieldTable": "TestCases",
    "FieldName": "SemanticTypeIri",
    "FieldIsDerived": false,
    "IsWritableDerivedField": false,
    "IsMasked": false,
    "GrantKeyWhenReadable": "principal-knowledge-authority|TestCases"
   },
   {
    "FieldGrantId": "fg-knowledge-authority-TestSuites.TestSuiteId",
    "Principal": "principal-knowledge-authority",
    "TargetField": "TestSuites.TestSuiteId",
    "CanRead": true,
    "CanWrite": false,
    "MaskStrategy": "plain",
    "SemanticTypeIri": "urn:effortless:pko-extension#FieldGrant",
    "Name": "principal-knowledge-authority -&gt; TestSuites.TestSuiteId",
    "FieldTable": "TestSuites",
    "FieldName": "TestSuiteId",
    "FieldIsDerived": false,
    "IsWritableDerivedField": false,
    "IsMasked": false,
    "GrantKeyWhenReadable": "principal-knowledge-authority|TestSuites"
   },
   {
    "FieldGrantId": "fg-knowledge-authority-TestSuites.Name",
    "Principal": "principal-knowledge-authority",
    "TargetField": "TestSuites.Name",
    "CanRead": true,
    "CanWrite": false,
    "MaskStrategy": "plain",
    "SemanticTypeIri": "urn:effortless:pko-extension#FieldGrant",
    "Name": "principal-knowledge-authority -&gt; TestSuites.Name",
    "FieldTable": "TestSuites",
    "FieldName": "Name",
    "FieldIsDerived": true,
    "IsWritableDerivedField": false,
    "IsMasked": false,
    "GrantKeyWhenReadable": "principal-knowledge-authority|TestSuites"
   },
   {
    "FieldGrantId": "fg-knowledge-authority-TestSuites.Label",
    "Principal": "principal-knowledge-authority",
    "TargetField": "TestSuites.Label",
    "CanRead": true,
    "CanWrite": false,
    "MaskStrategy": "plain",
    "SemanticTypeIri": "urn:effortless:pko-extension#FieldGrant",
    "Name": "principal-knowledge-authority -&gt; TestSuites.Label",
    "FieldTable": "TestSuites",
    "FieldName": "Label",
    "FieldIsDerived": false,
    "IsWritableDerivedField": false,
    "IsMasked": false,
    "GrantKeyWhenReadable": "principal-knowledge-authority|TestSuites"
   },
   {
    "FieldGrantId": "fg-knowledge-authority-TestSuites.TestCount",
    "Principal": "principal-knowledge-authority",
    "TargetField": "TestSuites.TestCount",
    "CanRead": true,
    "CanWrite": false,
    "MaskStrategy": "plain",
    "SemanticTypeIri": "urn:effortless:pko-extension#FieldGrant",
    "Name": "principal-knowledge-authority -&gt; TestSuites.TestCount",
    "FieldTable": "TestSuites",
    "FieldName": "TestCount",
    "FieldIsDerived": true,
    "IsWritableDerivedField": false,
    "IsMasked": false,
    "GrantKeyWhenReadable": "principal-knowledge-authority|TestSuites"
   },
   {
    "FieldGrantId": "fg-knowledge-authority-TestSuites.PassCount",
    "Principal": "principal-knowledge-authority",
    "TargetField": "TestSuites.PassCount",
    "CanRead": true,
    "CanWrite": false,
    "MaskStrategy": "plain",
    "SemanticTypeIri": "urn:effortless:pko-extension#FieldGrant",
    "Name": "principal-knowledge-authority -&gt; TestSuites.PassCount",
    "FieldTable": "TestSuites",
    "FieldName": "PassCount",
    "FieldIsDerived": true,
    "IsWritableDerivedField": false,
    "IsMasked": false,
    "GrantKeyWhenReadable": "principal-knowledge-authority|TestSuites"
   },
   {
    "FieldGrantId": "fg-knowledge-authority-TestSuites.BlockingFailCount",
    "Principal": "principal-knowledge-authority",
    "TargetField": "TestSuites.BlockingFailCount",
    "CanRead": true,
    "CanWrite": false,
    "MaskStrategy": "plain",
    "SemanticTypeIri": "urn:effortless:pko-extension#FieldGrant",
    "Name": "principal-knowledge-authority -&gt; TestSuites.BlockingFailCount",
    "FieldTable": "TestSuites",
    "FieldName": "BlockingFailCount",
    "FieldIsDerived": true,
    "IsWritableDerivedField": false,
    "IsMasked": false,
    "GrantKeyWhenReadable": "principal-knowledge-authority|TestSuites"
   },
   {
    "FieldGrantId": "fg-knowledge-authority-TestSuites.IsGreen",
    "Principal": "principal-knowledge-authority",
    "TargetField": "TestSuites.IsGreen",
    "CanRead": true,
    "CanWrite": false,
    "MaskStrategy": "plain",
    "SemanticTypeIri": "urn:effortless:pko-extension#FieldGrant",
    "Name": "principal-knowledge-authority -&gt; TestSuites.IsGreen",
    "FieldTable": "TestSuites",
    "FieldName": "IsGreen",
    "FieldIsDerived": true,
    "IsWritableDerivedField": false,
    "IsMasked": false,
    "GrantKeyWhenReadable": "principal-knowledge-authority|TestSuites"
   },
   {
    "FieldGrantId": "fg-knowledge-authority-TestSuites.SemanticTypeIri",
    "Principal": "principal-knowledge-authority",
    "TargetField": "TestSuites.SemanticTypeIri",
    "CanRead": true,
    "CanWrite": false,
    "MaskStrategy": "plain",
    "SemanticTypeIri": "urn:effortless:pko-extension#FieldGrant",
    "Name": "principal-knowledge-authority -&gt; TestSuites.SemanticTypeIri",
    "FieldTable": "TestSuites",
    "FieldName": "SemanticTypeIri",
    "FieldIsDerived": false,
    "IsWritableDerivedField": false,
    "IsMasked": false,
    "GrantKeyWhenReadable": "principal-knowledge-authority|TestSuites"
   },
   {
    "FieldGrantId": "fg-knowledge-authority-Tools.ToolId",
    "Principal": "principal-knowledge-authority",
    "TargetField": "Tools.ToolId",
    "CanRead": true,
    "CanWrite": false,
    "MaskStrategy": "plain",
    "SemanticTypeIri": "urn:effortless:pko-extension#FieldGrant",
    "Name": "principal-knowledge-authority -&gt; Tools.ToolId",
    "FieldTable": "Tools",
    "FieldName": "ToolId",
    "FieldIsDerived": false,
    "IsWritableDerivedField": false,
    "IsMasked": false,
    "GrantKeyWhenReadable": "principal-knowledge-authority|Tools"
   },
   {
    "FieldGrantId": "fg-knowledge-authority-Tools.Name",
    "Principal": "principal-knowledge-authority",
    "TargetField": "Tools.Name",
    "CanRead": true,
    "CanWrite": false,
    "MaskStrategy": "plain",
    "SemanticTypeIri": "urn:effortless:pko-extension#FieldGrant",
    "Name": "principal-knowledge-authority -&gt; Tools.Name",
    "FieldTable": "Tools",
    "FieldName": "Name",
    "FieldIsDerived": true,
    "IsWritableDerivedField": false,
    "IsMasked": false,
    "GrantKeyWhenReadable": "principal-knowledge-authority|Tools"
   },
   {
    "FieldGrantId": "fg-knowledge-authority-Tools.Label",
    "Principal": "principal-knowledge-authority",
    "TargetField": "Tools.Label",
    "CanRead": true,
    "CanWrite": false,
    "MaskStrategy": "plain",
    "SemanticTypeIri": "urn:effortless:pko-extension#FieldGrant",
    "Name": "principal-knowledge-authority -&gt; Tools.Label",
    "FieldTable": "Tools",
    "FieldName": "Label",
    "FieldIsDerived": false,
    "IsWritableDerivedField": false,
    "IsMasked": false,
    "GrantKeyWhenReadable": "principal-knowledge-authority|Tools"
   },
   {
    "FieldGrantId": "fg-knowledge-authority-Tools.Purpose",
    "Principal": "principal-knowledge-authority",
    "TargetField": "Tools.Purpose",
    "CanRead": true,
    "CanWrite": false,
    "MaskStrategy": "plain",
    "SemanticTypeIri": "urn:effortless:pko-extension#FieldGrant",
    "Name": "principal-knowledge-authority -&gt; Tools.Purpose",
    "FieldTable": "Tools",
    "FieldName": "Purpose",
    "FieldIsDerived": false,
    "IsWritableDerivedField": false,
    "IsMasked": false,
    "GrantKeyWhenReadable": "principal-knowledge-authority|Tools"
   },
   {
    "FieldGrantId": "fg-knowledge-authority-Tools.SemanticTypeIri",
    "Principal": "principal-knowledge-authority",
    "TargetField": "Tools.SemanticTypeIri",
    "CanRead": true,
    "CanWrite": false,
    "MaskStrategy": "plain",
    "SemanticTypeIri": "urn:effortless:pko-extension#FieldGrant",
    "Name": "principal-knowledge-authority -&gt; Tools.SemanticTypeIri",
    "FieldTable": "Tools",
    "FieldName": "SemanticTypeIri",
    "FieldIsDerived": false,
    "IsWritableDerivedField": false,
    "IsMasked": false,
    "GrantKeyWhenReadable": "principal-knowledge-authority|Tools"
   },
   {
    "FieldGrantId": "fg-knowledge-authority-UserFeedback.UserFeedbackId",
    "Principal": "principal-knowledge-authority",
    "TargetField": "UserFeedback.UserFeedbackId",
    "CanRead": true,
    "CanWrite": false,
    "MaskStrategy": "plain",
    "SemanticTypeIri": "urn:effortless:pko-extension#FieldGrant",
    "Name": "principal-knowledge-authority -&gt; UserFeedback.UserFeedbackId",
    "FieldTable": "UserFeedback",
    "FieldName": "UserFeedbackId",
    "FieldIsDerived": false,
    "IsWritableDerivedField": false,
    "IsMasked": false,
    "GrantKeyWhenReadable": "principal-knowledge-authority|UserFeedback"
   },
   {
    "FieldGrantId": "fg-knowledge-authority-UserFeedback.Name",
    "Principal": "principal-knowledge-authority",
    "TargetField": "UserFeedback.Name",
    "CanRead": true,
    "CanWrite": false,
    "MaskStrategy": "plain",
    "SemanticTypeIri": "urn:effortless:pko-extension#FieldGrant",
    "Name": "principal-knowledge-authority -&gt; UserFeedback.Name",
    "FieldTable": "UserFeedback",
    "FieldName": "Name",
    "FieldIsDerived": true,
    "IsWritableDerivedField": false,
    "IsMasked": false,
    "GrantKeyWhenReadable": "principal-knowledge-authority|UserFeedback"
   },
   {
    "FieldGrantId": "fg-knowledge-authority-UserFeedback.ProcedureExecution",
    "Principal": "principal-knowledge-authority",
    "TargetField": "UserFeedback.ProcedureExecution",
    "CanRead": true,
    "CanWrite": false,
    "MaskStrategy": "plain",
    "SemanticTypeIri": "urn:effortless:pko-extension#FieldGrant",
    "Name": "principal-knowledge-authority -&gt; UserFeedback.ProcedureExecution",
    "FieldTable": "UserFeedback",
    "FieldName": "ProcedureExecution",
    "FieldIsDerived": false,
    "IsWritableDerivedField": false,
    "IsMasked": false,
    "GrantKeyWhenReadable": "principal-knowledge-authority|UserFeedback"
   },
   {
    "FieldGrantId": "fg-knowledge-authority-UserFeedback.ProvidedByAgent",
    "Principal": "principal-knowledge-authority",
    "TargetField": "UserFeedback.ProvidedByAgent",
    "CanRead": true,
    "CanWrite": false,
    "MaskStrategy": "plain",
    "SemanticTypeIri": "urn:effortless:pko-extension#FieldGrant",
    "Name": "principal-knowledge-authority -&gt; UserFeedback.ProvidedByAgent",
    "FieldTable": "UserFeedback",
    "FieldName": "ProvidedByAgent",
    "FieldIsDerived": false,
    "IsWritableDerivedField": false,
    "IsMasked": false,
    "GrantKeyWhenReadable": "principal-knowledge-authority|UserFeedback"
   },
   {
    "FieldGrantId": "fg-knowledge-authority-UserFeedback.ProvidedAt",
    "Principal": "principal-knowledge-authority",
    "TargetField": "UserFeedback.ProvidedAt",
    "CanRead": true,
    "CanWrite": false,
    "MaskStrategy": "plain",
    "SemanticTypeIri": "urn:effortless:pko-extension#FieldGrant",
    "Name": "principal-knowledge-authority -&gt; UserFeedback.ProvidedAt",
    "FieldTable": "UserFeedback",
    "FieldName": "ProvidedAt",
    "FieldIsDerived": false,
    "IsWritableDerivedField": false,
    "IsMasked": false,
    "GrantKeyWhenReadable": "principal-knowledge-authority|UserFeedback"
   },
   {
    "FieldGrantId": "fg-knowledge-authority-UserFeedback.FeedbackText",
    "Principal": "principal-knowledge-authority",
    "TargetField": "UserFeedback.FeedbackText",
    "CanRead": true,
    "CanWrite": false,
    "MaskStrategy": "plain",
    "SemanticTypeIri": "urn:effortless:pko-extension#FieldGrant",
    "Name": "principal-knowledge-authority -&gt; UserFeedback.FeedbackText",
    "FieldTable": "UserFeedback",
    "FieldName": "FeedbackText",
    "FieldIsDerived": false,
    "IsWritableDerivedField": false,
    "IsMasked": false,
    "GrantKeyWhenReadable": "principal-knowledge-authority|UserFeedback"
   },
   {
    "FieldGrantId": "fg-knowledge-authority-UserFeedback.Disposition",
    "Principal": "principal-knowledge-authority",
    "TargetField": "UserFeedback.Disposition",
    "CanRead": true,
    "CanWrite": false,
    "MaskStrategy": "plain",
    "SemanticTypeIri": "urn:effortless:pko-extension#FieldGrant",
    "Name": "principal-knowledge-authority -&gt; UserFeedback.Disposition",
    "FieldTable": "UserFeedback",
    "FieldName": "Disposition",
    "FieldIsDerived": false,
    "IsWritableDerivedField": false,
    "IsMasked": false,
    "GrantKeyWhenReadable": "principal-knowledge-authority|UserFeedback"
   },
   {
    "FieldGrantId": "fg-knowledge-authority-UserFeedback.ChangeRequestKey",
    "Principal": "principal-knowledge-authority",
    "TargetField": "UserFeedback.ChangeRequestKey",
    "CanRead": true,
    "CanWrite": false,
    "MaskStrategy": "plain",
    "SemanticTypeIri": "urn:effortless:pko-extension#FieldGrant",
    "Name": "principal-knowledge-authority -&gt; UserFeedback.ChangeRequestKey",
    "FieldTable": "UserFeedback",
    "FieldName": "ChangeRequestKey",
    "FieldIsDerived": false,
    "IsWritableDerivedField": false,
    "IsMasked": false,
    "GrantKeyWhenReadable": "principal-knowledge-authority|UserFeedback"
   },
   {
    "FieldGrantId": "fg-knowledge-authority-UserFeedback.SemanticTypeIri",
    "Principal": "principal-knowledge-authority",
    "TargetField": "UserFeedback.SemanticTypeIri",
    "CanRead": true,
    "CanWrite": false,
    "MaskStrategy": "plain",
    "SemanticTypeIri": "urn:effortless:pko-extension#FieldGrant",
    "Name": "principal-knowledge-authority -&gt; UserFeedback.SemanticTypeIri",
    "FieldTable": "UserFeedback",
    "FieldName": "SemanticTypeIri",
    "FieldIsDerived": false,
    "IsWritableDerivedField": false,
    "IsMasked": false,
    "GrantKeyWhenReadable": "principal-knowledge-authority|UserFeedback"
   },
   {
    "FieldGrantId": "fg-knowledge-authority-UserQuestions.UserQuestionId",
    "Principal": "principal-knowledge-authority",
    "TargetField": "UserQuestions.UserQuestionId",
    "CanRead": true,
    "CanWrite": false,
    "MaskStrategy": "plain",
    "SemanticTypeIri": "urn:effortless:pko-extension#FieldGrant",
    "Name": "principal-knowledge-authority -&gt; UserQuestions.UserQuestionId",
    "FieldTable": "UserQuestions",
    "FieldName": "UserQuestionId",
    "FieldIsDerived": false,
    "IsWritableDerivedField": false,
    "IsMasked": false,
    "GrantKeyWhenReadable": "principal-knowledge-authority|UserQuestions"
   },
   {
    "FieldGrantId": "fg-knowledge-authority-UserQuestions.Name",
    "Principal": "principal-knowledge-authority",
    "TargetField": "UserQuestions.Name",
    "CanRead": true,
    "CanWrite": false,
    "MaskStrategy": "plain",
    "SemanticTypeIri": "urn:effortless:pko-extension#FieldGrant",
    "Name": "principal-knowledge-authority -&gt; UserQuestions.Name",
    "FieldTable": "UserQuestions",
    "FieldName": "Name",
    "FieldIsDerived": true,
    "IsWritableDerivedField": false,
    "IsMasked": false,
    "GrantKeyWhenReadable": "principal-knowledge-authority|UserQuestions"
   },
   {
    "FieldGrantId": "fg-knowledge-authority-UserQuestions.StepExecution",
    "Principal": "principal-knowledge-authority",
    "TargetField": "UserQuestions.StepExecution",
    "CanRead": t</t>
  </si>
  <si>
    <t xml:space="preserve">rue,
    "CanWrite": false,
    "MaskStrategy": "plain",
    "SemanticTypeIri": "urn:effortless:pko-extension#FieldGrant",
    "Name": "principal-knowledge-authority -&gt; UserQuestions.StepExecution",
    "FieldTable": "UserQuestions",
    "FieldName": "StepExecution",
    "FieldIsDerived": false,
    "IsWritableDerivedField": false,
    "IsMasked": false,
    "GrantKeyWhenReadable": "principal-knowledge-authority|UserQuestions"
   },
   {
    "FieldGrantId": "fg-knowledge-authority-UserQuestions.AskedByAgent",
    "Principal": "principal-knowledge-authority",
    "TargetField": "UserQuestions.AskedByAgent",
    "CanRead": true,
    "CanWrite": false,
    "MaskStrategy": "plain",
    "SemanticTypeIri": "urn:effortless:pko-extension#FieldGrant",
    "Name": "principal-knowledge-authority -&gt; UserQuestions.AskedByAgent",
    "FieldTable": "UserQuestions",
    "FieldName": "AskedByAgent",
    "FieldIsDerived": false,
    "IsWritableDerivedField": false,
    "IsMasked": false,
    "GrantKeyWhenReadable": "principal-knowledge-authority|UserQuestions"
   },
   {
    "FieldGrantId": "fg-knowledge-authority-UserQuestions.AskedAt",
    "Principal": "principal-knowledge-authority",
    "TargetField": "UserQuestions.AskedAt",
    "CanRead": true,
    "CanWrite": false,
    "MaskStrategy": "plain",
    "SemanticTypeIri": "urn:effortless:pko-extension#FieldGrant",
    "Name": "principal-knowledge-authority -&gt; UserQuestions.AskedAt",
    "FieldTable": "UserQuestions",
    "FieldName": "AskedAt",
    "FieldIsDerived": false,
    "IsWritableDerivedField": false,
    "IsMasked": false,
    "GrantKeyWhenReadable": "principal-knowledge-authority|UserQuestions"
   },
   {
    "FieldGrantId": "fg-knowledge-authority-UserQuestions.QuestionText",
    "Principal": "principal-knowledge-authority",
    "TargetField": "UserQuestions.QuestionText",
    "CanRead": true,
    "CanWrite": false,
    "MaskStrategy": "plain",
    "SemanticTypeIri": "urn:effortless:pko-extension#FieldGrant",
    "Name": "principal-knowledge-authority -&gt; UserQuestions.QuestionText",
    "FieldTable": "UserQuestions",
    "FieldName": "QuestionText",
    "FieldIsDerived": false,
    "IsWritableDerivedField": false,
    "IsMasked": false,
    "GrantKeyWhenReadable": "principal-knowledge-authority|UserQuestions"
   },
   {
    "FieldGrantId": "fg-knowledge-authority-UserQuestions.ResolvedByFaq",
    "Principal": "principal-knowledge-authority",
    "TargetField": "UserQuestions.ResolvedByFaq",
    "CanRead": true,
    "CanWrite": false,
    "MaskStrategy": "plain",
    "SemanticTypeIri": "urn:effortless:pko-extension#FieldGrant",
    "Name": "principal-knowledge-authority -&gt; UserQuestions.ResolvedByFaq",
    "FieldTable": "UserQuestions",
    "FieldName": "ResolvedByFaq",
    "FieldIsDerived": false,
    "IsWritableDerivedField": false,
    "IsMasked": false,
    "GrantKeyWhenReadable": "principal-knowledge-authority|UserQuestions"
   },
   {
    "FieldGrantId": "fg-knowledge-authority-UserQuestions.AddressedByResource",
    "Principal": "principal-knowledge-authority",
    "TargetField": "UserQuestions.AddressedByResource",
    "CanRead": true,
    "CanWrite": false,
    "MaskStrategy": "plain",
    "SemanticTypeIri": "urn:effortless:pko-extension#FieldGrant",
    "Name": "principal-knowledge-authority -&gt; UserQuestions.AddressedByResource",
    "FieldTable": "UserQuestions",
    "FieldName": "AddressedByResource",
    "FieldIsDerived": false,
    "IsWritableDerivedField": false,
    "IsMasked": false,
    "GrantKeyWhenReadable": "principal-knowledge-authority|UserQuestions"
   },
   {
    "FieldGrantId": "fg-knowledge-authority-UserQuestions.Status",
    "Principal": "principal-knowledge-authority",
    "TargetField": "UserQuestions.Status",
    "CanRead": true,
    "CanWrite": false,
    "MaskStrategy": "plain",
    "SemanticTypeIri": "urn:effortless:pko-extension#FieldGrant",
    "Name": "principal-knowledge-authority -&gt; UserQuestions.Status",
    "FieldTable": "UserQuestions",
    "FieldName": "Status",
    "FieldIsDerived": false,
    "IsWritableDerivedField": false,
    "IsMasked": false,
    "GrantKeyWhenReadable": "principal-knowledge-authority|UserQuestions"
   },
   {
    "FieldGrantId": "fg-knowledge-authority-UserQuestions.SemanticTypeIri",
    "Principal": "principal-knowledge-authority",
    "TargetField": "UserQuestions.SemanticTypeIri",
    "CanRead": true,
    "CanWrite": false,
    "MaskStrategy": "plain",
    "SemanticTypeIri": "urn:effortless:pko-extension#FieldGrant",
    "Name": "principal-knowledge-authority -&gt; UserQuestions.SemanticTypeIri",
    "FieldTable": "UserQuestions",
    "FieldName": "SemanticTypeIri",
    "FieldIsDerived": false,
    "IsWritableDerivedField": false,
    "IsMasked": false,
    "GrantKeyWhenReadable": "principal-knowledge-authority|UserQuestions"
   },
   {
    "FieldGrantId": "fg-knowledge-authority-VerificationOutcomes.VerificationOutcomeId",
    "Principal": "principal-knowledge-authority",
    "TargetField": "VerificationOutcomes.VerificationOutcomeId",
    "CanRead": true,
    "CanWrite": false,
    "MaskStrategy": "plain",
    "SemanticTypeIri": "urn:effortless:pko-extension#FieldGrant",
    "Name": "principal-knowledge-authority -&gt; VerificationOutcomes.VerificationOutcomeId",
    "FieldTable": "VerificationOutcomes",
    "FieldName": "VerificationOutcomeId",
    "FieldIsDerived": false,
    "IsWritableDerivedField": false,
    "IsMasked": false,
    "GrantKeyWhenReadable": "principal-knowledge-authority|VerificationOutcomes"
   },
   {
    "FieldGrantId": "fg-knowledge-authority-VerificationOutcomes.Name",
    "Principal": "principal-knowledge-authority",
    "TargetField": "VerificationOutcomes.Name",
    "CanRead": true,
    "CanWrite": false,
    "MaskStrategy": "plain",
    "SemanticTypeIri": "urn:effortless:pko-extension#FieldGrant",
    "Name": "principal-knowledge-authority -&gt; VerificationOutcomes.Name",
    "FieldTable": "VerificationOutcomes",
    "FieldName": "Name",
    "FieldIsDerived": true,
    "IsWritableDerivedField": false,
    "IsMasked": false,
    "GrantKeyWhenReadable": "principal-knowledge-authority|VerificationOutcomes"
   },
   {
    "FieldGrantId": "fg-knowledge-authority-VerificationOutcomes.StepExecution",
    "Principal": "principal-knowledge-authority",
    "TargetField": "VerificationOutcomes.StepExecution",
    "CanRead": true,
    "CanWrite": false,
    "MaskStrategy": "plain",
    "SemanticTypeIri": "urn:effortless:pko-extension#FieldGrant",
    "Name": "principal-knowledge-authority -&gt; VerificationOutcomes.StepExecution",
    "FieldTable": "VerificationOutcomes",
    "FieldName": "StepExecution",
    "FieldIsDerived": false,
    "IsWritableDerivedField": false,
    "IsMasked": false,
    "GrantKeyWhenReadable": "principal-knowledge-authority|VerificationOutcomes"
   },
   {
    "FieldGrantId": "fg-knowledge-authority-VerificationOutcomes.StepVerification",
    "Principal": "principal-knowledge-authority",
    "TargetField": "VerificationOutcomes.StepVerification",
    "CanRead": true,
    "CanWrite": false,
    "MaskStrategy": "plain",
    "SemanticTypeIri": "urn:effortless:pko-extension#FieldGrant",
    "Name": "principal-knowledge-authority -&gt; VerificationOutcomes.StepVerification",
    "FieldTable": "VerificationOutcomes",
    "FieldName": "StepVerification",
    "FieldIsDerived": false,
    "IsWritableDerivedField": false,
    "IsMasked": false,
    "GrantKeyWhenReadable": "principal-knowledge-authority|VerificationOutcomes"
   },
   {
    "FieldGrantId": "fg-knowledge-authority-VerificationOutcomes.ObservedSignalValue",
    "Principal": "principal-knowledge-authority",
    "TargetField": "VerificationOutcomes.ObservedSignalValue",
    "CanRead": true,
    "CanWrite": false,
    "MaskStrategy": "plain",
    "SemanticTypeIri": "urn:effortless:pko-extension#FieldGrant",
    "Name": "principal-knowledge-authority -&gt; VerificationOutcomes.ObservedSignalValue",
    "FieldTable": "VerificationOutcomes",
    "FieldName": "ObservedSignalValue",
    "FieldIsDerived": false,
    "IsWritableDerivedField": false,
    "IsMasked": false,
    "GrantKeyWhenReadable": "principal-knowledge-authority|VerificationOutcomes"
   },
   {
    "FieldGrantId": "fg-knowledge-authority-VerificationOutcomes.ObservedByAgent",
    "Principal": "principal-knowledge-authority",
    "TargetField": "VerificationOutcomes.ObservedByAgent",
    "CanRead": true,
    "CanWrite": false,
    "MaskStrategy": "plain",
    "SemanticTypeIri": "urn:effortless:pko-extension#FieldGrant",
    "Name": "principal-knowledge-authority -&gt; VerificationOutcomes.ObservedByAgent",
    "FieldTable": "VerificationOutcomes",
    "FieldName": "ObservedByAgent",
    "FieldIsDerived": false,
    "IsWritableDerivedField": false,
    "IsMasked": false,
    "GrantKeyWhenReadable": "principal-knowledge-authority|VerificationOutcomes"
   },
   {
    "FieldGrantId": "fg-knowledge-authority-VerificationOutcomes.ObservedAt",
    "Principal": "principal-knowledge-authority",
    "TargetField": "VerificationOutcomes.ObservedAt",
    "CanRead": true,
    "CanWrite": false,
    "MaskStrategy": "plain",
    "SemanticTypeIri": "urn:effortless:pko-extension#FieldGrant",
    "Name": "principal-knowledge-authority -&gt; VerificationOutcomes.ObservedAt",
    "FieldTable": "VerificationOutcomes",
    "FieldName": "ObservedAt",
    "FieldIsDerived": false,
    "IsWritableDerivedField": false,
    "IsMasked": false,
    "GrantKeyWhenReadable": "principal-knowledge-authority|VerificationOutcomes"
   },
   {
    "FieldGrantId": "fg-knowledge-authority-VerificationOutcomes.EvidenceUri",
    "Principal": "principal-knowledge-authority",
    "TargetField": "VerificationOutcomes.EvidenceUri",
    "CanRead": true,
    "CanWrite": false,
    "MaskStrategy": "plain",
    "SemanticTypeIri": "urn:effortless:pko-extension#FieldGrant",
    "Name": "principal-knowledge-authority -&gt; VerificationOutcomes.EvidenceUri",
    "FieldTable": "VerificationOutcomes",
    "FieldName": "EvidenceUri",
    "FieldIsDerived": false,
    "IsWritableDerivedField": false,
    "IsMasked": false,
    "GrantKeyWhenReadable": "principal-knowledge-authority|VerificationOutcomes"
   },
   {
    "FieldGrantId": "fg-knowledge-authority-VerificationOutcomes.ExpectedSignalValue",
    "Principal": "principal-knowledge-authority",
    "TargetField": "VerificationOutcomes.ExpectedSignalValue",
    "CanRead": true,
    "CanWrite": false,
    "MaskStrategy": "plain",
    "SemanticTypeIri": "urn:effortless:pko-extension#FieldGrant",
    "Name": "principal-knowledge-authority -&gt; VerificationOutcomes.ExpectedSignalValue",
    "FieldTable": "VerificationOutcomes",
    "FieldName": "ExpectedSignalValue",
    "FieldIsDerived": true,
    "IsWritableDerivedField": false,
    "IsMasked": false,
    "GrantKeyWhenReadable": "principal-knowledge-authority|VerificationOutcomes"
   },
   {
    "FieldGrantId": "fg-knowledge-authority-VerificationOutcomes.SignalIdentifier",
    "Principal": "principal-knowledge-authority",
    "TargetField": "VerificationOutcomes.SignalIdentifier",
    "CanRead": true,
    "CanWrite": false,
    "MaskStrategy": "plain",
    "SemanticTypeIri": "urn:effortless:pko-extension#FieldGrant",
    "Name": "principal-knowledge-authority -&gt; VerificationOutcomes.SignalIdentifier",
    "FieldTable": "VerificationOutcomes",
    "FieldName": "SignalIdentifier",
    "FieldIsDerived": true,
    "IsWritableDerivedField": false,
    "IsMasked": false,
    "GrantKeyWhenReadable": "principal-knowledge-authority|VerificationOutcomes"
   },
   {
    "FieldGrantId": "fg-knowledge-authority-VerificationOutcomes.SignalMatchesExpected",
    "Principal": "principal-knowledge-authority",
    "TargetField": "VerificationOutcomes.SignalMatchesExpected",
    "CanRead": true,
    "CanWrite": false,
    "MaskStrategy": "plain",
    "SemanticTypeIri": "urn:effortless:pko-extension#FieldGrant",
    "Name": "principal-knowledge-authority -&gt; VerificationOutcomes.SignalMatchesExpected",
    "FieldTable": "VerificationOutcomes",
    "FieldName": "SignalMatchesExpected",
    "FieldIsDerived": true,
    "IsWritableDerivedField": false,
    "IsMasked": false,
    "GrantKeyWhenReadable": "principal-knowledge-authority|VerificationOutcomes"
   },
   {
    "FieldGrantId": "fg-knowledge-authority-VerificationOutcomes.HasEvidence",
    "Principal": "principal-knowledge-authority",
    "TargetField": "VerificationOutcomes.HasEvidence",
    "CanRead": true,
    "CanWrite": false,
    "MaskStrategy": "plain",
    "SemanticTypeIri": "urn:effortless:pko-extension#FieldGrant",
    "Name": "principal-knowledge-authority -&gt; VerificationOutcomes.HasEvidence",
    "FieldTable": "VerificationOutcomes",
    "FieldName": "HasEvidence",
    "FieldIsDerived": true,
    "IsWritableDerivedField": false,
    "IsMasked": false,
    "GrantKeyWhenReadable": "principal-knowledge-authority|VerificationOutcomes"
   },
   {
    "FieldGrantId": "fg-knowledge-authority-VerificationOutcomes.IsUnbackedObservation",
    "Principal": "principal-knowledge-authority",
    "TargetField": "VerificationOutcomes.IsUnbackedObservation",
    "CanRead": true,
    "CanWrite": false,
    "MaskStrategy": "plain",
    "SemanticTypeIri": "urn:effortless:pko-extension#FieldGrant",
    "Name": "principal-knowledge-authority -&gt; VerificationOutcomes.IsUnbackedObservation",
    "FieldTable": "VerificationOutcomes",
    "FieldName": "IsUnbackedObservation",
    "FieldIsDerived": true,
    "IsWritableDerivedField": false,
    "IsMasked": false,
    "GrantKeyWhenReadable": "principal-knowledge-authority|VerificationOutcomes"
   },
   {
    "FieldGrantId": "fg-knowledge-authority-VerificationOutcomes.IsSelfWitnessed",
    "Principal": "principal-knowledge-authority",
    "TargetField": "VerificationOutcomes.IsSelfWitnessed",
    "CanRead": true,
    "CanWrite": false,
    "MaskStrategy": "plain",
    "SemanticTypeIri": "urn:effortless:pko-extension#FieldGrant",
    "Name": "principal-knowledge-authority -&gt; VerificationOutcomes.IsSelfWitnessed",
    "FieldTable": "VerificationOutcomes",
    "FieldName": "IsSelfWitnessed",
    "FieldIsDerived": true,
    "IsWritableDerivedField": false,
    "IsMasked": false,
    "GrantKeyWhenReadable": "principal-knowledge-authority|VerificationOutcomes"
   },
   {
    "FieldGrantId": "fg-knowledge-authority-VerificationOutcomes.StepExecutorAgent",
    "Principal": "principal-knowledge-authority",
    "TargetField": "VerificationOutcomes.StepExecutorAgent",
    "CanRead": true,
    "CanWrite": false,
    "MaskStrategy": "plain",
    "SemanticTypeIri": "urn:effortless:pko-extension#FieldGrant",
    "Name": "principal-knowledge-authority -&gt; VerificationOutcomes.StepExecutorAgent",
    "FieldTable": "VerificationOutcomes",
    "FieldName": "StepExecutorAgent",
    "FieldIsDerived": true,
    "IsWritableDerivedField": false,
    "IsMasked": false,
    "GrantKeyWhenReadable": "principal-knowledge-authority|VerificationOutcomes"
   },
   {
    "FieldGrantId": "fg-knowledge-authority-VerificationOutcomes.SelfWitnessedStepKey",
    "Principal": "principal-knowledge-authority",
    "TargetField": "VerificationOutcomes.SelfWitnessedStepKey",
    "CanRead": true,
    "CanWrite": false,
    "MaskStrategy": "plain",
    "SemanticTypeIri": "urn:effortless:pko-extension#FieldGrant",
    "Name": "principal-knowledge-authority -&gt; VerificationOutcomes.SelfWitnessedStepKey",
    "FieldTable": "VerificationOutcomes",
    "FieldName": "SelfWitnessedStepKey",
    "FieldIsDerived": true,
    "IsWritableDerivedField": false,
    "IsMasked": false,
    "GrantKeyWhenReadable": "principal-knowledge-authority|VerificationOutcomes"
   },
   {
    "FieldGrantId": "fg-knowledge-authority-VerificationOutcomes.UnbackedStepKey",
    "Principal": "principal-knowledge-authority",
    "TargetField": "VerificationOutcomes.UnbackedStepKey",
    "CanRead": true,
    "CanWrite": false,
    "MaskStrategy": "plain",
    "SemanticTypeIri": "urn:effortless:pko-extension#FieldGrant",
    "Name": "principal-knowledge-authority -&gt; VerificationOutcomes.UnbackedStepKey",
    "FieldTable": "VerificationOutcomes",
    "FieldName": "UnbackedStepKey",
    "FieldIsDerived": true,
    "IsWritableDerivedField": false,
    "IsMasked": false,
    "GrantKeyWhenReadable": "principal-knowledge-authority|VerificationOutcomes"
   },
   {
    "FieldGrantId": "fg-knowledge-authority-VerificationOutcomes.IsSelfWitnessedAndUnbacked",
    "Principal": "principal-knowledge-authority",
    "TargetField": "VerificationOutcomes.IsSelfWitnessedAndUnbacked",
    "CanRead": true,
    "CanWrite": false,
    "MaskStrategy": "plain",
    "SemanticTypeIri": "urn:effortless:pko-extension#FieldGrant",
    "Name": "principal-knowledge-authority -&gt; VerificationOutcomes.IsSelfWitnessedAndUnbacked",
    "FieldTable": "VerificationOutcomes",
    "FieldName": "IsSelfWitnessedAndUnbacked",
    "FieldIsDerived": true,
    "IsWritableDerivedField": false,
    "IsMasked": false,
    "GrantKeyWhenReadable": "principal-knowledge-authority|VerificationOutcomes"
   },
   {
    "FieldGrantId": "fg-knowledge-authority-VerificationOutcomes.IsUncorroboratedPass",
    "Principal": "principal-knowledge-authority",
    "TargetField": "VerificationOutcomes.IsUncorroboratedPass",
    "CanRead": true,
    "CanWrite": false,
    "MaskStrategy": "plain",
    "SemanticTypeIri": "urn:effortless:pko-extension#FieldGrant",
    "Name": "principal-knowledge-authority -&gt; VerificationOutcomes.IsUncorroboratedPass",
    "FieldTable": "VerificationOutcomes",
    "FieldName": "IsUncorroboratedPass",
    "FieldIsDerived": true,
    "IsWritableDerivedField": false,
    "IsMasked": false,
    "GrantKeyWhenReadable": "principal-knowledge-authority|VerificationOutcomes"
   },
   {
    "FieldGrantId": "fg-knowledge-authority-VerificationOutcomes.UncorroboratedPassStepKey",
    "Principal": "principal-knowledge-authority",
    "TargetField": "VerificationOutcomes.UncorroboratedPassStepKey",
    "CanRead": true,
    "CanWrite": false,
    "MaskStrategy": "plain",
    "SemanticTypeIri": "urn:effortless:pko-extension#FieldGrant",
    "Name": "principal-knowledge-authority -&gt; VerificationOutcomes.UncorroboratedPassStepKey",
    "FieldTable": "VerificationOutcomes",
    "FieldName": "UncorroboratedPassStepKey",
    "FieldIsDerived": true,
    "IsWritableDerivedField": false,
    "IsMasked": false,
    "GrantKeyWhenReadable": "principal-knowledge-authority|VerificationOutcomes"
   },
   {
    "FieldGrantId": "fg-knowledge-authority-VerificationOutcomes.ObserverIsNonHuman",
    "Principal": "principal-knowledge-authority",
    "TargetField": "VerificationOutcomes.ObserverIsNonHuman",
    "CanRead": true,
    "CanWrite": false,
    "MaskStrategy": "plain",
    "SemanticTypeIri": "urn:effortless:pko-extension#FieldGrant",
    "Name": "principal-knowledge-authority -&gt; VerificationOutcomes.ObserverIsNonHuman",
    "FieldTable": "VerificationOutcomes",
    "FieldName": "ObserverIsNonHuman",
    "FieldIsDerived": true,
    "IsWritableDerivedField": false,
    "IsMasked": false,
    "GrantKeyWhenReadable": "principal-knowledge-authority|VerificationOutcomes"
   },
   {
    "FieldGrantId": "fg-knowledge-authority-VerificationOutcomes.ObserverIsIndependentOfExecutor",
    "Principal": "principal-knowledge-authority",
    "TargetField": "VerificationOutcomes.ObserverIsIndependentOfExecutor",
    "CanRead": true,
    "CanWrite": false,
    "MaskStrategy": "plain",
    "SemanticTypeIri": "urn:effortless:pko-extension#FieldGrant",
    "Name": "principal-knowledge-authority -&gt; VerificationOutcomes.ObserverIsIndependentOfExecutor",
    "FieldTable": "VerificationOutcomes",
    "FieldName": "ObserverIsIndependentOfExecutor",
    "FieldIsDerived": true,
    "IsWritableDerivedField": false,
    "IsMasked": false,
    "GrantKeyWhenReadable": "principal-knowledge-authority|VerificationOutcomes"
   },
   {
    "FieldGrantId": "fg-knowledge-authority-VerificationOutcomes.IsIndependentHumanObservation",
    "Principal": "principal-knowledge-authority",
    "TargetField": "VerificationOutcomes.IsIndependentHumanObservation",
    "CanRead": true,
    "CanWrite": false,
    "MaskStrategy": "plain",
    "SemanticTypeIri": "urn:effortless:pko-extension#FieldGrant",
    "Name": "principal-knowledge-authority -&gt; VerificationOutcomes.IsIndependentHumanObservation",
    "FieldTable": "VerificationOutcomes",
    "FieldName": "IsIndependentHumanObservation",
    "FieldIsDerived": true,
    "IsWritableDerivedField": false,
    "IsMasked": false,
    "GrantKeyWhenReadable": "principal-knowledge-authority|VerificationOutcomes"
   },
   {
    "FieldGrantId": "fg-knowledge-authority-VerificationOutcomes.IndependentObservationExecutionKey",
    "Principal": "principal-knowledge-authority",
    "TargetField": "VerificationOutcomes.IndependentObservationExecutionKey",
    "CanRead": true,
    "CanWrite": false,
    "MaskStrategy": "plain",
    "SemanticTypeIri": "urn:effortless:pko-extension#FieldGrant",
    "Name": "principal-knowledge-authority -&gt; VerificationOutcomes.IndependentObservationExecutionKey",
    "FieldTable": "VerificationOutcomes",
    "FieldName": "IndependentObservationExecutionKey",
    "FieldIsDerived": true,
    "IsWritableDerivedField": false,
    "IsMasked": false,
    "GrantKeyWhenReadable": "principal-knowledge-authority|VerificationOutcomes"
   },
   {
    "FieldGrantId": "fg-knowledge-authority-VerificationOutcomes.ParentProcedureExecutionOfOutcome",
    "Principal": "principal-knowledge-authority",
    "TargetField": "VerificationOutcomes.ParentProcedureExecutionOfOutcome",
    "CanRead": true,
    "CanWrite": false,
    "MaskStrategy": "plain",
    "SemanticTypeIri": "urn:effortless:pko-extension#FieldGrant",
    "Name": "principal-knowledge-authority -&gt; VerificationOutcomes.ParentProcedureExecutionOfOutcome",
    "FieldTable": "VerificationOutcomes",
    "FieldName": "ParentProcedureExecutionOfOutcome",
    "FieldIsDerived": true,
    "IsWritableDerivedField": false,
    "IsMasked": false,
    "GrantKeyWhenReadable": "principal-knowledge-authority|VerificationOutcomes"
   },
   {
    "FieldGrantId": "fg-knowledge-authority-VerificationOutcomes.SemanticTypeIri",
    "Principal": "principal-knowledge-authority",
    "TargetField": "VerificationOutcomes.SemanticTypeIri",
    "CanRead": true,
    "CanWrite": false,
    "MaskStrategy": "plain",
    "SemanticTypeIri": "urn:effortless:pko-extension#FieldGrant",
    "Name": "principal-knowledge-authority -&gt; VerificationOutcomes.SemanticTypeIri",
    "FieldTable": "VerificationOutcomes",
    "FieldName": "SemanticTypeIri",
    "FieldIsDerived": false,
    "IsWritableDerivedField": false,
    "IsMasked": false,
    "GrantKeyWhenReadable": "principal-knowledge-authority|VerificationOutcomes"
   },
   {
    "FieldGrantId": "fg-knowledge-authority-WitnessLoops.WitnessLoopId",
    "Principal": "principal-knowledge-authority",
    "TargetField": "WitnessLoops.WitnessLoopId",
    "CanRead": true,
    "CanWrite": false,
    "MaskStrategy": "plain",
    "SemanticTypeIri": "urn:effortless:pko-extension#FieldGrant",
    "Name": "principal-knowledge-authority -&gt; WitnessLoops.WitnessLoopId",
    "FieldTable": "WitnessLoops",
    "FieldName": "WitnessLoopId",
    "FieldIsDerived": false,
    "IsWritableDerivedField": false,
    "IsMasked": false,
    "GrantKeyWhenReadable": "principal-knowledge-authority|WitnessLoops"
   },
   {
    "FieldGrantId": "fg-knowledge-authority-WitnessLoops.Name",
    "Principal": "principal-knowledge-authority",
    "TargetField": "WitnessLoops.Name",
    "CanRead": true,
    "CanWrite": false,
    "MaskStrategy": "plain",
    "SemanticTypeIri": "urn:effortless:pko-extension#FieldGrant",
    "Name": "principal-knowledge-authority -&gt; WitnessLoops.Name",
    "FieldTable": "WitnessLoops",
    "FieldName": "Name",
    "FieldIsDerived": true,
    "IsWritableDerivedField": false,
    "IsMasked": false,
    "GrantKeyWhenReadable": "principal-knowledge-authority|WitnessLoops"
   },
   {
    "FieldGrantId": "fg-knowledge-authority-WitnessLoops.LoopNumber",
    "Principal": "principal-knowledge-authority",
    "TargetField": "WitnessLoops.LoopNumber",
    "CanRead": true,
    "CanWrite": false,
    "MaskStrategy": "plain",
    "SemanticTypeIri": "urn:effortless:pko-extension#FieldGrant",
    "Name": "principal-knowledge-authority -&gt; WitnessLoops.LoopNumber",
    "FieldTable": "WitnessLoops",
    "FieldName": "LoopNumber",
    "FieldIsDerived": false,
    "IsWritableDerivedField": false,
    "IsMasked": false,
    "GrantKeyWhenReadable": "principal-knowledge-authority|WitnessLoops"
   },
   {
    "FieldGrantId": "fg-knowledge-authority-WitnessLoops.Title",
    "Principal": "principal-knowledge-authority",
    "TargetField": "WitnessLoops.Title",
    "CanRead": true,
    "CanWrite": false,
    "MaskStrategy": "plain",
    "SemanticTypeIri": "urn:effortless:pko-extension#FieldGrant",
    "Name": "principal-knowledge-authority -&gt; WitnessLoops.Title",
    "FieldTable": "WitnessLoops",
    "FieldName": "Title",
    "FieldIsDerived": false,
    "IsWritableDerivedField": false,
    "IsMasked": false,
    "GrantKeyWhenReadable": "principal-knowledge-authority|WitnessLoops"
   },
   {
    "FieldGrantId": "fg-knowledge-authority-WitnessLoops.Premise",
    "Principal": "principal-knowledge-authority",
    "TargetField": "WitnessLoops.Premise",
    "CanRead": true,
    "CanWrite": false,
    "MaskStrategy": "plain",
    "SemanticTypeIri": "urn:effortless:pko-extension#FieldGrant",
    "Name": "principal-knowledge-authority -&gt; WitnessLoops.Premise",
    "FieldTable": "WitnessLoops",
    "FieldName": "Premise",
    "FieldIsDerived": false,
    "IsWritableDerivedField": false,
    "IsMasked": false,
    "GrantKeyWhenReadable": "principal-knowledge-authority|WitnessLoops"
   },
   {
    "FieldGrantId": "fg-knowledge-authority-WitnessLoops.StartedAt",
    "Principal": "principal-knowledge-authority",
    "TargetField": "WitnessLoops.StartedAt",
    "CanRead": true,
    "CanWrite": false,
    "MaskStrategy": "plain",
    "SemanticTypeIri": "urn:effortless:pko-extension#FieldGrant",
    "Name": "principal-knowledge-authority -&gt; WitnessLoops.StartedAt",
    "FieldTable": "WitnessLoops",
    "FieldName": "StartedAt",
    "FieldIsDerived": false,
    "IsWritableDerivedField": false,
    "IsMasked": false,
    "GrantKeyWhenReadable": "principal-knowledge-authority|WitnessLoops"
   },
   {
    "FieldGrantId": "fg-knowledge-authority-WitnessLoops.CompletedAt",
    "Principal": "principal-knowledge-authority",
    "TargetField": "WitnessLoops.CompletedAt",
    "CanRead": true,
    "CanWrite": false,
    "MaskStrategy": "plain",
    "SemanticTypeIri": "urn:effortless:pko-extension#FieldGrant",
    "Name": "principal-knowledge-authority -&gt; WitnessLoops.CompletedAt",
    "FieldTable": "WitnessLoops",
    "FieldName": "CompletedAt",
    "FieldIsDerived": false,
    "IsWritableDerivedField": false,
    "IsMasked": false,
    "GrantKeyWhenReadable": "principal-knowledge-authority|WitnessLoops"
   },
   {
    "FieldGrantId": "fg-knowledge-authority-WitnessLoops.QuestionCount",
    "Principal": "principal-knowledge-authority",
    "TargetField": "WitnessLoops.QuestionCount",
    "CanRead": true,
    "CanWrite": false,
    "MaskStrategy": "plain",
    "SemanticTypeIri": "urn:effortless:pko-extension#FieldGrant",
    "Name": "principal-knowledge-authority -&gt; WitnessLoops.QuestionCount",
    "FieldTable": "WitnessLoops",
    "FieldName": "QuestionCount",
    "FieldIsDerived": true,
    "IsWritableDerivedField": false,
    "IsMasked": false,
    "GrantKeyWhenReadable": "principal-knowledge-authority|WitnessLoops"
   },
   {
    "FieldGrantId": "fg-knowledge-authority-WitnessLoops.IsComplete",
    "Principal": "principal-knowledge-authority",
    "TargetField": "WitnessLoops.IsComplete",
    "CanRead": true,
    "CanWrite": false,
    "MaskStrategy": "plain",
    "SemanticTypeIri": "urn:effortless:pko-extension#FieldGrant",
    "Name": "principal-knowledge-authority -&gt; WitnessLoops.IsComplete",
    "FieldTable": "WitnessLoops",
    "FieldName": "IsComplete",
    "FieldIsDerived": true,
    "IsWritableDerivedField": false,
    "IsMasked": false,
    "GrantKeyWhenReadable": "principal-knowledge-authority|WitnessLoops"
   },
   {
    "FieldGrantId": "fg-knowledge-authority-WitnessLoops.FieldsAfter",
    "Principal": "principal-knowledge-authority",
    "TargetField": "WitnessLoops.FieldsAfter",
    "CanRead": true,
    "CanWrite": false,
    "MaskStrategy": "plain",
    "SemanticTypeIri": "urn:effortless:pko-extension#FieldGrant",
    "Name": "principal-knowledge-authority -&gt; WitnessLoops.FieldsAfter",
    "FieldTable": "WitnessLoops",
    "FieldName": "FieldsAfter",
    "FieldIsDerived": false,
    "IsWritableDerivedField": false,
    "IsMasked": false,
    "GrantKeyWhenReadable": "principal-knowledge-authority|WitnessLoops"
   },
   {
    "FieldGrantId": "fg-knowledge-authority-WitnessLoops.DerivedAfter",
    "Principal": "principal-knowledge-authority",
    "TargetField": "WitnessLoops.DerivedAfter",
    "CanRead": true,
    "CanWrite": false,
    "MaskStrategy": "plain",
    "SemanticTypeIri": "urn:effortless:pko-extension#FieldGrant",
    "Name": "principal-knowledge-authority -&gt; WitnessLoops.DerivedAfter",
    "FieldTable": "WitnessLoops",
    "FieldName": "DerivedAfter",
    "FieldIsDerived": false,
    "IsWritableDerivedField": false,
    "IsMasked": false,
    "GrantKeyWhenReadable": "principal-knowledge-authority|WitnessLoops"
   },
   {
    "FieldGrantId": "fg-knowledge-authority-WitnessLoops.WitnessedAfter",
    "Principal": "principal-knowledge-authority",
    "TargetField": "WitnessLoops.WitnessedAfter",
    "CanRead": true,
    "CanWrite": false,
    "MaskStrategy": "plain",
    "SemanticTypeIri": "urn:effortless:pko-extension#FieldGrant",
    "Name": "principal-knowledge-authority -&gt; WitnessLoops.WitnessedAfter",
    "FieldTable": "WitnessLoops",
    "FieldName": "WitnessedAfter",
    "FieldIsDerived": false,
    "IsWritableDerivedField": false,
    "IsMasked": false,
    "GrantKeyWhenReadable": "principal-knowledge-authority|WitnessLoops"
   },
   {
    "FieldGrantId": "fg-knowledge-authority-WitnessLoops.SemanticTypeIri",
    "Principal": "principal-knowledge-authority",
    "TargetField": "WitnessLoops.SemanticTypeIri",
    "CanRead": true,
    "CanWrite": false,
    "MaskStrategy": "plain",
    "SemanticTypeIri": "urn:effortless:pko-extension#FieldGrant",
    "Name": "principal-knowledge-authority -&gt; WitnessLoops.SemanticTypeIri",
    "FieldTable": "WitnessLoops",
    "FieldName": "SemanticTypeIri",
    "FieldIsDerived": false,
    "IsWritableDerivedField": false,
    "IsMasked": false,
    "GrantKeyWhenReadable": "principal-knowledge-authority|WitnessLoops"
   },
   {
    "FieldGrantId": "fg-process-steward-ProcessMiningRuns.ProcessMiningRunId",
    "Principal": "principal-process-steward",
    "TargetField": "ProcessMiningRuns.ProcessMiningRunId",
    "CanRead": true,
    "CanWrite": false,
    "MaskStrategy": "plain",
    "SemanticTypeIri": "urn:effortless:pko-extension#FieldGrant",
    "Name": "principal-process-steward -&gt; ProcessMiningRuns.ProcessMiningRunId",
    "FieldTable": "ProcessMiningRuns",
    "FieldName": "ProcessMiningRunId",
    "FieldIsDerived": false,
    "IsWritableDerivedField": false,
    "IsMasked": false,
    "GrantKeyWhenReadable": "principal-process-steward|ProcessMiningRuns"
   },
   {
    "FieldGrantId": "fg-process-steward-ProcessMiningRuns.Name",
    "Principal": "principal-process-steward",
    "TargetField": "ProcessMiningRuns.Name",
    "CanRead": true,
    "CanWrite": false,
    "MaskStrategy": "plain",
    "SemanticTypeIri": "urn:effortless:pko-extension#FieldGrant",
    "Name": "principal-process-steward -&gt; ProcessMiningRuns.Name",
    "FieldTable": "ProcessMiningRuns",
    "FieldName": "Name",
    "FieldIsDerived": true,
    "IsWritableDerivedField": false,
    "IsMasked": false,
    "GrantKeyWhenReadable": "principal-process-steward|ProcessMiningRuns"
   },
   {
    "FieldGrantId": "fg-process-steward-ProcessMiningRuns.ProcedureVersion",
    "Principal": "principal-process-steward",
    "TargetField": "ProcessMiningRuns.ProcedureVersion",
    "CanRead": true,
    "CanWrite": false,
    "MaskStrategy": "plain",
    "SemanticTypeIri": "urn:effortless:pko-extension#FieldGrant",
    "Name": "principal-process-steward -&gt; ProcessMiningRuns.ProcedureVersion",
    "FieldTable": "ProcessMiningRuns",
    "FieldName": "ProcedureVersion",
    "FieldIsDerived": false,
    "IsWritableDerivedField": false,
    "IsMasked": false,
    "GrantKeyWhenReadable": "principal-process-steward|ProcessMiningRuns"
   },
   {
    "FieldGrantId": "fg-process-steward-ProcessMiningRuns.EventLog</t>
  </si>
  <si>
    <t xml:space="preserve">Source",
    "Principal": "principal-process-steward",
    "TargetField": "ProcessMiningRuns.EventLogSource",
    "CanRead": true,
    "CanWrite": false,
    "MaskStrategy": "plain",
    "SemanticTypeIri": "urn:effortless:pko-extension#FieldGrant",
    "Name": "principal-process-steward -&gt; ProcessMiningRuns.EventLogSource",
    "FieldTable": "ProcessMiningRuns",
    "FieldName": "EventLogSource",
    "FieldIsDerived": false,
    "IsWritableDerivedField": false,
    "IsMasked": false,
    "GrantKeyWhenReadable": "principal-process-steward|ProcessMiningRuns"
   },
   {
    "FieldGrantId": "fg-process-steward-ProcessMiningRuns.MinedAt",
    "Principal": "principal-process-steward",
    "TargetField": "ProcessMiningRuns.MinedAt",
    "CanRead": true,
    "CanWrite": false,
    "MaskStrategy": "plain",
    "SemanticTypeIri": "urn:effortless:pko-extension#FieldGrant",
    "Name": "principal-process-steward -&gt; ProcessMiningRuns.MinedAt",
    "FieldTable": "ProcessMiningRuns",
    "FieldName": "MinedAt",
    "FieldIsDerived": false,
    "IsWritableDerivedField": false,
    "IsMasked": false,
    "GrantKeyWhenReadable": "principal-process-steward|ProcessMiningRuns"
   },
   {
    "FieldGrantId": "fg-process-steward-ProcessMiningRuns.DiscoveredVariantCount",
    "Principal": "principal-process-steward",
    "TargetField": "ProcessMiningRuns.DiscoveredVariantCount",
    "CanRead": true,
    "CanWrite": false,
    "MaskStrategy": "plain",
    "SemanticTypeIri": "urn:effortless:pko-extension#FieldGrant",
    "Name": "principal-process-steward -&gt; ProcessMiningRuns.DiscoveredVariantCount",
    "FieldTable": "ProcessMiningRuns",
    "FieldName": "DiscoveredVariantCount",
    "FieldIsDerived": false,
    "IsWritableDerivedField": false,
    "IsMasked": false,
    "GrantKeyWhenReadable": "principal-process-steward|ProcessMiningRuns"
   },
   {
    "FieldGrantId": "fg-process-steward-ProcessMiningRuns.ConformingVariantCount",
    "Principal": "principal-process-steward",
    "TargetField": "ProcessMiningRuns.ConformingVariantCount",
    "CanRead": true,
    "CanWrite": false,
    "MaskStrategy": "plain",
    "SemanticTypeIri": "urn:effortless:pko-extension#FieldGrant",
    "Name": "principal-process-steward -&gt; ProcessMiningRuns.ConformingVariantCount",
    "FieldTable": "ProcessMiningRuns",
    "FieldName": "ConformingVariantCount",
    "FieldIsDerived": false,
    "IsWritableDerivedField": false,
    "IsMasked": false,
    "GrantKeyWhenReadable": "principal-process-steward|ProcessMiningRuns"
   },
   {
    "FieldGrantId": "fg-process-steward-ProcessMiningRuns.DeviationDescription",
    "Principal": "principal-process-steward",
    "TargetField": "ProcessMiningRuns.DeviationDescription",
    "CanRead": true,
    "CanWrite": false,
    "MaskStrategy": "plain",
    "SemanticTypeIri": "urn:effortless:pko-extension#FieldGrant",
    "Name": "principal-process-steward -&gt; ProcessMiningRuns.DeviationDescription",
    "FieldTable": "ProcessMiningRuns",
    "FieldName": "DeviationDescription",
    "FieldIsDerived": false,
    "IsWritableDerivedField": false,
    "IsMasked": false,
    "GrantKeyWhenReadable": "principal-process-steward|ProcessMiningRuns"
   },
   {
    "FieldGrantId": "fg-process-steward-ProcessMiningRuns.EvaluationContext",
    "Principal": "principal-process-steward",
    "TargetField": "ProcessMiningRuns.EvaluationContext",
    "CanRead": true,
    "CanWrite": false,
    "MaskStrategy": "plain",
    "SemanticTypeIri": "urn:effortless:pko-extension#FieldGrant",
    "Name": "principal-process-steward -&gt; ProcessMiningRuns.EvaluationContext",
    "FieldTable": "ProcessMiningRuns",
    "FieldName": "EvaluationContext",
    "FieldIsDerived": false,
    "IsWritableDerivedField": false,
    "IsMasked": false,
    "GrantKeyWhenReadable": "principal-process-steward|ProcessMiningRuns"
   },
   {
    "FieldGrantId": "fg-process-steward-ProcessMiningRuns.AsOfInstant",
    "Principal": "principal-process-steward",
    "TargetField": "ProcessMiningRuns.AsOfInstant",
    "CanRead": true,
    "CanWrite": false,
    "MaskStrategy": "plain",
    "SemanticTypeIri": "urn:effortless:pko-extension#FieldGrant",
    "Name": "principal-process-steward -&gt; ProcessMiningRuns.AsOfInstant",
    "FieldTable": "ProcessMiningRuns",
    "FieldName": "AsOfInstant",
    "FieldIsDerived": true,
    "IsWritableDerivedField": false,
    "IsMasked": false,
    "GrantKeyWhenReadable": "principal-process-steward|ProcessMiningRuns"
   },
   {
    "FieldGrantId": "fg-process-steward-ProcessMiningRuns.ConformanceRate",
    "Principal": "principal-process-steward",
    "TargetField": "ProcessMiningRuns.ConformanceRate",
    "CanRead": true,
    "CanWrite": false,
    "MaskStrategy": "plain",
    "SemanticTypeIri": "urn:effortless:pko-extension#FieldGrant",
    "Name": "principal-process-steward -&gt; ProcessMiningRuns.ConformanceRate",
    "FieldTable": "ProcessMiningRuns",
    "FieldName": "ConformanceRate",
    "FieldIsDerived": true,
    "IsWritableDerivedField": false,
    "IsMasked": false,
    "GrantKeyWhenReadable": "principal-process-steward|ProcessMiningRuns"
   },
   {
    "FieldGrantId": "fg-process-steward-ProcessMiningRuns.IsConformant",
    "Principal": "principal-process-steward",
    "TargetField": "ProcessMiningRuns.IsConformant",
    "CanRead": true,
    "CanWrite": false,
    "MaskStrategy": "plain",
    "SemanticTypeIri": "urn:effortless:pko-extension#FieldGrant",
    "Name": "principal-process-steward -&gt; ProcessMiningRuns.IsConformant",
    "FieldTable": "ProcessMiningRuns",
    "FieldName": "IsConformant",
    "FieldIsDerived": true,
    "IsWritableDerivedField": false,
    "IsMasked": false,
    "GrantKeyWhenReadable": "principal-process-steward|ProcessMiningRuns"
   },
   {
    "FieldGrantId": "fg-process-steward-ProcessMiningRuns.HasMajorDriftFromDocumentation",
    "Principal": "principal-process-steward",
    "TargetField": "ProcessMiningRuns.HasMajorDriftFromDocumentation",
    "CanRead": true,
    "CanWrite": false,
    "MaskStrategy": "plain",
    "SemanticTypeIri": "urn:effortless:pko-extension#FieldGrant",
    "Name": "principal-process-steward -&gt; ProcessMiningRuns.HasMajorDriftFromDocumentation",
    "FieldTable": "ProcessMiningRuns",
    "FieldName": "HasMajorDriftFromDocumentation",
    "FieldIsDerived": true,
    "IsWritableDerivedField": false,
    "IsMasked": false,
    "GrantKeyWhenReadable": "principal-process-steward|ProcessMiningRuns"
   },
   {
    "FieldGrantId": "fg-process-steward-ProcessMiningRuns.DaysSinceMined",
    "Principal": "principal-process-steward",
    "TargetField": "ProcessMiningRuns.DaysSinceMined",
    "CanRead": true,
    "CanWrite": false,
    "MaskStrategy": "plain",
    "SemanticTypeIri": "urn:effortless:pko-extension#FieldGrant",
    "Name": "principal-process-steward -&gt; ProcessMiningRuns.DaysSinceMined",
    "FieldTable": "ProcessMiningRuns",
    "FieldName": "DaysSinceMined",
    "FieldIsDerived": true,
    "IsWritableDerivedField": false,
    "IsMasked": false,
    "GrantKeyWhenReadable": "principal-process-steward|ProcessMiningRuns"
   },
   {
    "FieldGrantId": "fg-process-steward-ProcessMiningRuns.IsStaleMiningEvidence",
    "Principal": "principal-process-steward",
    "TargetField": "ProcessMiningRuns.IsStaleMiningEvidence",
    "CanRead": true,
    "CanWrite": false,
    "MaskStrategy": "plain",
    "SemanticTypeIri": "urn:effortless:pko-extension#FieldGrant",
    "Name": "principal-process-steward -&gt; ProcessMiningRuns.IsStaleMiningEvidence",
    "FieldTable": "ProcessMiningRuns",
    "FieldName": "IsStaleMiningEvidence",
    "FieldIsDerived": true,
    "IsWritableDerivedField": false,
    "IsMasked": false,
    "GrantKeyWhenReadable": "principal-process-steward|ProcessMiningRuns"
   },
   {
    "FieldGrantId": "fg-process-steward-ProcessMiningRuns.ProcedureVersionIsLive",
    "Principal": "principal-process-steward",
    "TargetField": "ProcessMiningRuns.ProcedureVersionIsLive",
    "CanRead": true,
    "CanWrite": false,
    "MaskStrategy": "plain",
    "SemanticTypeIri": "urn:effortless:pko-extension#FieldGrant",
    "Name": "principal-process-steward -&gt; ProcessMiningRuns.ProcedureVersionIsLive",
    "FieldTable": "ProcessMiningRuns",
    "FieldName": "ProcedureVersionIsLive",
    "FieldIsDerived": true,
    "IsWritableDerivedField": false,
    "IsMasked": false,
    "GrantKeyWhenReadable": "principal-process-steward|ProcessMiningRuns"
   },
   {
    "FieldGrantId": "fg-process-steward-ProcessMiningRuns.IsDriftOnLiveVersion",
    "Principal": "principal-process-steward",
    "TargetField": "ProcessMiningRuns.IsDriftOnLiveVersion",
    "CanRead": true,
    "CanWrite": false,
    "MaskStrategy": "plain",
    "SemanticTypeIri": "urn:effortless:pko-extension#FieldGrant",
    "Name": "principal-process-steward -&gt; ProcessMiningRuns.IsDriftOnLiveVersion",
    "FieldTable": "ProcessMiningRuns",
    "FieldName": "IsDriftOnLiveVersion",
    "FieldIsDerived": true,
    "IsWritableDerivedField": false,
    "IsMasked": false,
    "GrantKeyWhenReadable": "principal-process-steward|ProcessMiningRuns"
   },
   {
    "FieldGrantId": "fg-process-steward-ProcessMiningRuns.DriftedMiningRunKey",
    "Principal": "principal-process-steward",
    "TargetField": "ProcessMiningRuns.DriftedMiningRunKey",
    "CanRead": true,
    "CanWrite": false,
    "MaskStrategy": "plain",
    "SemanticTypeIri": "urn:effortless:pko-extension#FieldGrant",
    "Name": "principal-process-steward -&gt; ProcessMiningRuns.DriftedMiningRunKey",
    "FieldTable": "ProcessMiningRuns",
    "FieldName": "DriftedMiningRunKey",
    "FieldIsDerived": true,
    "IsWritableDerivedField": false,
    "IsMasked": false,
    "GrantKeyWhenReadable": "principal-process-steward|ProcessMiningRuns"
   },
   {
    "FieldGrantId": "fg-process-steward-ProcessMiningRuns.SemanticTypeIri",
    "Principal": "principal-process-steward",
    "TargetField": "ProcessMiningRuns.SemanticTypeIri",
    "CanRead": true,
    "CanWrite": false,
    "MaskStrategy": "plain",
    "SemanticTypeIri": "urn:effortless:pko-extension#FieldGrant",
    "Name": "principal-process-steward -&gt; ProcessMiningRuns.SemanticTypeIri",
    "FieldTable": "ProcessMiningRuns",
    "FieldName": "SemanticTypeIri",
    "FieldIsDerived": false,
    "IsWritableDerivedField": false,
    "IsMasked": false,
    "GrantKeyWhenReadable": "principal-process-steward|ProcessMiningRuns"
   },
   {
    "FieldGrantId": "fg-process-steward-Vocabularies.VocabularyId",
    "Principal": "principal-process-steward",
    "TargetField": "Vocabularies.VocabularyId",
    "CanRead": true,
    "CanWrite": false,
    "MaskStrategy": "plain",
    "SemanticTypeIri": "urn:effortless:pko-extension#FieldGrant",
    "Name": "principal-process-steward -&gt; Vocabularies.VocabularyId",
    "FieldTable": "Vocabularies",
    "FieldName": "VocabularyId",
    "FieldIsDerived": false,
    "IsWritableDerivedField": false,
    "IsMasked": false,
    "GrantKeyWhenReadable": "principal-process-steward|Vocabularies"
   },
   {
    "FieldGrantId": "fg-process-steward-Vocabularies.Name",
    "Principal": "principal-process-steward",
    "TargetField": "Vocabularies.Name",
    "CanRead": true,
    "CanWrite": false,
    "MaskStrategy": "plain",
    "SemanticTypeIri": "urn:effortless:pko-extension#FieldGrant",
    "Name": "principal-process-steward -&gt; Vocabularies.Name",
    "FieldTable": "Vocabularies",
    "FieldName": "Name",
    "FieldIsDerived": true,
    "IsWritableDerivedField": false,
    "IsMasked": false,
    "GrantKeyWhenReadable": "principal-process-steward|Vocabularies"
   },
   {
    "FieldGrantId": "fg-process-steward-Vocabularies.Title",
    "Principal": "principal-process-steward",
    "TargetField": "Vocabularies.Title",
    "CanRead": true,
    "CanWrite": false,
    "MaskStrategy": "plain",
    "SemanticTypeIri": "urn:effortless:pko-extension#FieldGrant",
    "Name": "principal-process-steward -&gt; Vocabularies.Title",
    "FieldTable": "Vocabularies",
    "FieldName": "Title",
    "FieldIsDerived": false,
    "IsWritableDerivedField": false,
    "IsMasked": false,
    "GrantKeyWhenReadable": "principal-process-steward|Vocabularies"
   },
   {
    "FieldGrantId": "fg-process-steward-Vocabularies.SchemeUri",
    "Principal": "principal-process-steward",
    "TargetField": "Vocabularies.SchemeUri",
    "CanRead": true,
    "CanWrite": false,
    "MaskStrategy": "plain",
    "SemanticTypeIri": "urn:effortless:pko-extension#FieldGrant",
    "Name": "principal-process-steward -&gt; Vocabularies.SchemeUri",
    "FieldTable": "Vocabularies",
    "FieldName": "SchemeUri",
    "FieldIsDerived": false,
    "IsWritableDerivedField": false,
    "IsMasked": false,
    "GrantKeyWhenReadable": "principal-process-steward|Vocabularies"
   },
   {
    "FieldGrantId": "fg-process-steward-Vocabularies.GoverningRole",
    "Principal": "principal-process-steward",
    "TargetField": "Vocabularies.GoverningRole",
    "CanRead": true,
    "CanWrite": false,
    "MaskStrategy": "plain",
    "SemanticTypeIri": "urn:effortless:pko-extension#FieldGrant",
    "Name": "principal-process-steward -&gt; Vocabularies.GoverningRole",
    "FieldTable": "Vocabularies",
    "FieldName": "GoverningRole",
    "FieldIsDerived": false,
    "IsWritableDerivedField": false,
    "IsMasked": false,
    "GrantKeyWhenReadable": "principal-process-steward|Vocabularies"
   },
   {
    "FieldGrantId": "fg-process-steward-Vocabularies.TermCount",
    "Principal": "principal-process-steward",
    "TargetField": "Vocabularies.TermCount",
    "CanRead": true,
    "CanWrite": false,
    "MaskStrategy": "plain",
    "SemanticTypeIri": "urn:effortless:pko-extension#FieldGrant",
    "Name": "principal-process-steward -&gt; Vocabularies.TermCount",
    "FieldTable": "Vocabularies",
    "FieldName": "TermCount",
    "FieldIsDerived": true,
    "IsWritableDerivedField": false,
    "IsMasked": false,
    "GrantKeyWhenReadable": "principal-process-steward|Vocabularies"
   },
   {
    "FieldGrantId": "fg-process-steward-Vocabularies.OrphanTermCount",
    "Principal": "principal-process-steward",
    "TargetField": "Vocabularies.OrphanTermCount",
    "CanRead": true,
    "CanWrite": false,
    "MaskStrategy": "plain",
    "SemanticTypeIri": "urn:effortless:pko-extension#FieldGrant",
    "Name": "principal-process-steward -&gt; Vocabularies.OrphanTermCount",
    "FieldTable": "Vocabularies",
    "FieldName": "OrphanTermCount",
    "FieldIsDerived": true,
    "IsWritableDerivedField": false,
    "IsMasked": false,
    "GrantKeyWhenReadable": "principal-process-steward|Vocabularies"
   },
   {
    "FieldGrantId": "fg-process-steward-Vocabularies.HasOrphanTerms",
    "Principal": "principal-process-steward",
    "TargetField": "Vocabularies.HasOrphanTerms",
    "CanRead": true,
    "CanWrite": false,
    "MaskStrategy": "plain",
    "SemanticTypeIri": "urn:effortless:pko-extension#FieldGrant",
    "Name": "principal-process-steward -&gt; Vocabularies.HasOrphanTerms",
    "FieldTable": "Vocabularies",
    "FieldName": "HasOrphanTerms",
    "FieldIsDerived": true,
    "IsWritableDerivedField": false,
    "IsMasked": false,
    "GrantKeyWhenReadable": "principal-process-steward|Vocabularies"
   },
   {
    "FieldGrantId": "fg-process-steward-Vocabularies.SemanticTypeIri",
    "Principal": "principal-process-steward",
    "TargetField": "Vocabularies.SemanticTypeIri",
    "CanRead": true,
    "CanWrite": false,
    "MaskStrategy": "plain",
    "SemanticTypeIri": "urn:effortless:pko-extension#FieldGrant",
    "Name": "principal-process-steward -&gt; Vocabularies.SemanticTypeIri",
    "FieldTable": "Vocabularies",
    "FieldName": "SemanticTypeIri",
    "FieldIsDerived": false,
    "IsWritableDerivedField": false,
    "IsMasked": false,
    "GrantKeyWhenReadable": "principal-process-steward|Vocabularies"
   },
   {
    "FieldGrantId": "fg-process-steward-VocabularyTerms.VocabularyTermId",
    "Principal": "principal-process-steward",
    "TargetField": "VocabularyTerms.VocabularyTermId",
    "CanRead": true,
    "CanWrite": false,
    "MaskStrategy": "plain",
    "SemanticTypeIri": "urn:effortless:pko-extension#FieldGrant",
    "Name": "principal-process-steward -&gt; VocabularyTerms.VocabularyTermId",
    "FieldTable": "VocabularyTerms",
    "FieldName": "VocabularyTermId",
    "FieldIsDerived": false,
    "IsWritableDerivedField": false,
    "IsMasked": false,
    "GrantKeyWhenReadable": "principal-process-steward|VocabularyTerms"
   },
   {
    "FieldGrantId": "fg-process-steward-VocabularyTerms.Name",
    "Principal": "principal-process-steward",
    "TargetField": "VocabularyTerms.Name",
    "CanRead": true,
    "CanWrite": false,
    "MaskStrategy": "plain",
    "SemanticTypeIri": "urn:effortless:pko-extension#FieldGrant",
    "Name": "principal-process-steward -&gt; VocabularyTerms.Name",
    "FieldTable": "VocabularyTerms",
    "FieldName": "Name",
    "FieldIsDerived": true,
    "IsWritableDerivedField": false,
    "IsMasked": false,
    "GrantKeyWhenReadable": "principal-process-steward|VocabularyTerms"
   },
   {
    "FieldGrantId": "fg-process-steward-VocabularyTerms.Vocabulary",
    "Principal": "principal-process-steward",
    "TargetField": "VocabularyTerms.Vocabulary",
    "CanRead": true,
    "CanWrite": false,
    "MaskStrategy": "plain",
    "SemanticTypeIri": "urn:effortless:pko-extension#FieldGrant",
    "Name": "principal-process-steward -&gt; VocabularyTerms.Vocabulary",
    "FieldTable": "VocabularyTerms",
    "FieldName": "Vocabulary",
    "FieldIsDerived": false,
    "IsWritableDerivedField": false,
    "IsMasked": false,
    "GrantKeyWhenReadable": "principal-process-steward|VocabularyTerms"
   },
   {
    "FieldGrantId": "fg-process-steward-VocabularyTerms.PrefLabel",
    "Principal": "principal-process-steward",
    "TargetField": "VocabularyTerms.PrefLabel",
    "CanRead": true,
    "CanWrite": false,
    "MaskStrategy": "plain",
    "SemanticTypeIri": "urn:effortless:pko-extension#FieldGrant",
    "Name": "principal-process-steward -&gt; VocabularyTerms.PrefLabel",
    "FieldTable": "VocabularyTerms",
    "FieldName": "PrefLabel",
    "FieldIsDerived": false,
    "IsWritableDerivedField": false,
    "IsMasked": false,
    "GrantKeyWhenReadable": "principal-process-steward|VocabularyTerms"
   },
   {
    "FieldGrantId": "fg-process-steward-VocabularyTerms.AltLabels",
    "Principal": "principal-process-steward",
    "TargetField": "VocabularyTerms.AltLabels",
    "CanRead": true,
    "CanWrite": false,
    "MaskStrategy": "plain",
    "SemanticTypeIri": "urn:effortless:pko-extension#FieldGrant",
    "Name": "principal-process-steward -&gt; VocabularyTerms.AltLabels",
    "FieldTable": "VocabularyTerms",
    "FieldName": "AltLabels",
    "FieldIsDerived": false,
    "IsWritableDerivedField": false,
    "IsMasked": false,
    "GrantKeyWhenReadable": "principal-process-steward|VocabularyTerms"
   },
   {
    "FieldGrantId": "fg-process-steward-VocabularyTerms.Definition",
    "Principal": "principal-process-steward",
    "TargetField": "VocabularyTerms.Definition",
    "CanRead": true,
    "CanWrite": false,
    "MaskStrategy": "plain",
    "SemanticTypeIri": "urn:effortless:pko-extension#FieldGrant",
    "Name": "principal-process-steward -&gt; VocabularyTerms.Definition",
    "FieldTable": "VocabularyTerms",
    "FieldName": "Definition",
    "FieldIsDerived": false,
    "IsWritableDerivedField": false,
    "IsMasked": false,
    "GrantKeyWhenReadable": "principal-process-steward|VocabularyTerms"
   },
   {
    "FieldGrantId": "fg-process-steward-VocabularyTerms.UsageCount",
    "Principal": "principal-process-steward",
    "TargetField": "VocabularyTerms.UsageCount",
    "CanRead": true,
    "CanWrite": false,
    "MaskStrategy": "plain",
    "SemanticTypeIri": "urn:effortless:pko-extension#FieldGrant",
    "Name": "principal-process-steward -&gt; VocabularyTerms.UsageCount",
    "FieldTable": "VocabularyTerms",
    "FieldName": "UsageCount",
    "FieldIsDerived": true,
    "IsWritableDerivedField": false,
    "IsMasked": false,
    "GrantKeyWhenReadable": "principal-process-steward|VocabularyTerms"
   },
   {
    "FieldGrantId": "fg-process-steward-VocabularyTerms.IsOrphanTerm",
    "Principal": "principal-process-steward",
    "TargetField": "VocabularyTerms.IsOrphanTerm",
    "CanRead": true,
    "CanWrite": false,
    "MaskStrategy": "plain",
    "SemanticTypeIri": "urn:effortless:pko-extension#FieldGrant",
    "Name": "principal-process-steward -&gt; VocabularyTerms.IsOrphanTerm",
    "FieldTable": "VocabularyTerms",
    "FieldName": "IsOrphanTerm",
    "FieldIsDerived": true,
    "IsWritableDerivedField": false,
    "IsMasked": false,
    "GrantKeyWhenReadable": "principal-process-steward|VocabularyTerms"
   },
   {
    "FieldGrantId": "fg-process-steward-VocabularyTerms.IsWidelyAdoptedTerm",
    "Principal": "principal-process-steward",
    "TargetField": "VocabularyTerms.IsWidelyAdoptedTerm",
    "CanRead": true,
    "CanWrite": false,
    "MaskStrategy": "plain",
    "SemanticTypeIri": "urn:effortless:pko-extension#FieldGrant",
    "Name": "principal-process-steward -&gt; VocabularyTerms.IsWidelyAdoptedTerm",
    "FieldTable": "VocabularyTerms",
    "FieldName": "IsWidelyAdoptedTerm",
    "FieldIsDerived": true,
    "IsWritableDerivedField": false,
    "IsMasked": false,
    "GrantKeyWhenReadable": "principal-process-steward|VocabularyTerms"
   },
   {
    "FieldGrantId": "fg-process-steward-VocabularyTerms.OrphanTermVocabularyKey",
    "Principal": "principal-process-steward",
    "TargetField": "VocabularyTerms.OrphanTermVocabularyKey",
    "CanRead": true,
    "CanWrite": false,
    "MaskStrategy": "plain",
    "SemanticTypeIri": "urn:effortless:pko-extension#FieldGrant",
    "Name": "principal-process-steward -&gt; VocabularyTerms.OrphanTermVocabularyKey",
    "FieldTable": "VocabularyTerms",
    "FieldName": "OrphanTermVocabularyKey",
    "FieldIsDerived": true,
    "IsWritableDerivedField": false,
    "IsMasked": false,
    "GrantKeyWhenReadable": "principal-process-steward|VocabularyTerms"
   },
   {
    "FieldGrantId": "fg-process-steward-VocabularyTerms.SemanticTypeIri",
    "Principal": "principal-process-steward",
    "TargetField": "VocabularyTerms.SemanticTypeIri",
    "CanRead": true,
    "CanWrite": false,
    "MaskStrategy": "plain",
    "SemanticTypeIri": "urn:effortless:pko-extension#FieldGrant",
    "Name": "principal-process-steward -&gt; VocabularyTerms.SemanticTypeIri",
    "FieldTable": "VocabularyTerms",
    "FieldName": "SemanticTypeIri",
    "FieldIsDerived": false,
    "IsWritableDerivedField": false,
    "IsMasked": false,
    "GrantKeyWhenReadable": "principal-process-steward|VocabularyTerms"
   },
   {
    "FieldGrantId": "fg-process-steward-KnowledgeBrokerLinks.KnowledgeBrokerLinkId",
    "Principal": "principal-process-steward",
    "TargetField": "KnowledgeBrokerLinks.KnowledgeBrokerLinkId",
    "CanRead": true,
    "CanWrite": false,
    "MaskStrategy": "plain",
    "SemanticTypeIri": "urn:effortless:pko-extension#FieldGrant",
    "Name": "principal-process-steward -&gt; KnowledgeBrokerLinks.KnowledgeBrokerLinkId",
    "FieldTable": "KnowledgeBrokerLinks",
    "FieldName": "KnowledgeBrokerLinkId",
    "FieldIsDerived": false,
    "IsWritableDerivedField": false,
    "IsMasked": false,
    "GrantKeyWhenReadable": "principal-process-steward|KnowledgeBrokerLinks"
   },
   {
    "FieldGrantId": "fg-process-steward-KnowledgeBrokerLinks.Name",
    "Principal": "principal-process-steward",
    "TargetField": "KnowledgeBrokerLinks.Name",
    "CanRead": true,
    "CanWrite": false,
    "MaskStrategy": "plain",
    "SemanticTypeIri": "urn:effortless:pko-extension#FieldGrant",
    "Name": "principal-process-steward -&gt; KnowledgeBrokerLinks.Name",
    "FieldTable": "KnowledgeBrokerLinks",
    "FieldName": "Name",
    "FieldIsDerived": true,
    "IsWritableDerivedField": false,
    "IsMasked": false,
    "GrantKeyWhenReadable": "principal-process-steward|KnowledgeBrokerLinks"
   },
   {
    "FieldGrantId": "fg-process-steward-KnowledgeBrokerLinks.Seeker",
    "Principal": "principal-process-steward",
    "TargetField": "KnowledgeBrokerLinks.Seeker",
    "CanRead": true,
    "CanWrite": false,
    "MaskStrategy": "plain",
    "SemanticTypeIri": "urn:effortless:pko-extension#FieldGrant",
    "Name": "principal-process-steward -&gt; KnowledgeBrokerLinks.Seeker",
    "FieldTable": "KnowledgeBrokerLinks",
    "FieldName": "Seeker",
    "FieldIsDerived": false,
    "IsWritableDerivedField": false,
    "IsMasked": false,
    "GrantKeyWhenReadable": "principal-process-steward|KnowledgeBrokerLinks"
   },
   {
    "FieldGrantId": "fg-process-steward-KnowledgeBrokerLinks.Broker",
    "Principal": "principal-process-steward",
    "TargetField": "KnowledgeBrokerLinks.Broker",
    "CanRead": true,
    "CanWrite": false,
    "MaskStrategy": "plain",
    "SemanticTypeIri": "urn:effortless:pko-extension#FieldGrant",
    "Name": "principal-process-steward -&gt; KnowledgeBrokerLinks.Broker",
    "FieldTable": "KnowledgeBrokerLinks",
    "FieldName": "Broker",
    "FieldIsDerived": false,
    "IsWritableDerivedField": false,
    "IsMasked": false,
    "GrantKeyWhenReadable": "principal-process-steward|KnowledgeBrokerLinks"
   },
   {
    "FieldGrantId": "fg-process-steward-KnowledgeBrokerLinks.Topic",
    "Principal": "principal-process-steward",
    "TargetField": "KnowledgeBrokerLinks.Topic",
    "CanRead": true,
    "CanWrite": false,
    "MaskStrategy": "plain",
    "SemanticTypeIri": "urn:effortless:pko-extension#FieldGrant",
    "Name": "principal-process-steward -&gt; KnowledgeBrokerLinks.Topic",
    "FieldTable": "KnowledgeBrokerLinks",
    "FieldName": "Topic",
    "FieldIsDerived": false,
    "IsWritableDerivedField": false,
    "IsMasked": false,
    "GrantKeyWhenReadable": "principal-process-steward|KnowledgeBrokerLinks"
   },
   {
    "FieldGrantId": "fg-process-steward-KnowledgeBrokerLinks.Frequency",
    "Principal": "principal-process-steward",
    "TargetField": "KnowledgeBrokerLinks.Frequency",
    "CanRead": true,
    "CanWrite": false,
    "MaskStrategy": "plain",
    "SemanticTypeIri": "urn:effortless:pko-extension#FieldGrant",
    "Name": "principal-process-steward -&gt; KnowledgeBrokerLinks.Frequency",
    "FieldTable": "KnowledgeBrokerLinks",
    "FieldName": "Frequency",
    "FieldIsDerived": false,
    "IsWritableDerivedField": false,
    "IsMasked": false,
    "GrantKeyWhenReadable": "principal-process-steward|KnowledgeBrokerLinks"
   },
   {
    "FieldGrantId": "fg-process-steward-KnowledgeBrokerLinks.LastConsultedAt",
    "Principal": "principal-process-steward",
    "TargetField": "KnowledgeBrokerLinks.LastConsultedAt",
    "CanRead": true,
    "CanWrite": false,
    "MaskStrategy": "plain",
    "SemanticTypeIri": "urn:effortless:pko-extension#FieldGrant",
    "Name": "principal-process-steward -&gt; KnowledgeBrokerLinks.LastConsultedAt",
    "FieldTable": "KnowledgeBrokerLinks",
    "FieldName": "LastConsultedAt",
    "FieldIsDerived": false,
    "IsWritableDerivedField": false,
    "IsMasked": false,
    "GrantKeyWhenReadable": "principal-process-steward|KnowledgeBrokerLinks"
   },
   {
    "FieldGrantId": "fg-process-steward-KnowledgeBrokerLinks.EvaluationContext",
    "Principal": "principal-process-steward",
    "TargetField": "KnowledgeBrokerLinks.EvaluationContext",
    "CanRead": true,
    "CanWrite": false,
    "MaskStrategy": "plain",
    "SemanticTypeIri": "urn:effortless:pko-extension#FieldGrant",
    "Name": "principal-process-steward -&gt; KnowledgeBrokerLinks.EvaluationContext",
    "FieldTable": "KnowledgeBrokerLinks",
    "FieldName": "EvaluationContext",
    "FieldIsDerived": false,
    "IsWritableDerivedField": false,
    "IsMasked": false,
    "GrantKeyWhenReadable": "principal-process-steward|KnowledgeBrokerLinks"
   },
   {
    "FieldGrantId": "fg-process-steward-KnowledgeBrokerLinks.AsOfInstant",
    "Principal": "principal-process-steward",
    "TargetField": "KnowledgeBrokerLinks.AsOfInstant",
    "CanRead": true,
    "CanWrite": false,
    "MaskStrategy": "plain",
    "SemanticTypeIri": "urn:effortless:pko-extension#FieldGrant",
    "Name": "principal-process-steward -&gt; KnowledgeBrokerLinks.AsOfInstant",
    "FieldTable": "KnowledgeBrokerLinks",
    "FieldName": "AsOfInstant",
    "FieldIsDerived": true,
    "IsWritableDerivedField": false,
    "IsMasked": false,
    "GrantKeyWhenReadable": "principal-process-steward|KnowledgeBrokerLinks"
   },
   {
    "FieldGrantId": "fg-process-steward-KnowledgeBrokerLinks.DaysSinceConsulted",
    "Principal": "principal-process-steward",
    "TargetField": "KnowledgeBrokerLinks.DaysSinceConsulted",
    "CanRead": true,
    "CanWrite": false,
    "MaskStrategy": "plain",
    "SemanticTypeIri": "urn:effortless:pko-extension#FieldGrant",
    "Name": "principal-process-steward -&gt; KnowledgeBrokerLinks.DaysSinceConsulted",
    "FieldTable": "KnowledgeBrokerLinks",
    "FieldName": "DaysSinceConsulted",
    "FieldIsDerived": true,
    "IsWritableDerivedField": false,
    "IsMasked": false,
    "GrantKeyWhenReadable": "principal-process-steward|KnowledgeBrokerLinks"
   },
   {
    "FieldGrantId": "fg-process-steward-KnowledgeBrokerLinks.IsActiveReliance",
    "Principal": "principal-process-steward",
    "TargetField": "KnowledgeBrokerLinks.IsActiveReliance",
    "CanRead": true,
    "CanWrite": false,
    "MaskStrategy": "plain",
    "SemanticTypeIri": "urn:effortless:pko-extension#FieldGrant",
    "Name": "principal-process-steward -&gt; KnowledgeBrokerLinks.IsActiveReliance",
    "FieldTable": "KnowledgeBrokerLinks",
    "FieldName": "IsActiveReliance",
    "FieldIsDerived": true,
    "IsWritableDerivedField": false,
    "IsMasked": false,
    "GrantKeyWhenReadable": "principal-process-steward|KnowledgeBrokerLinks"
   },
   {
    "FieldGrantId": "fg-process-steward-KnowledgeBrokerLinks.BrokerIsStillEngaged",
    "Principal": "principal-process-steward",
    "TargetField": "KnowledgeBrokerLinks.BrokerIsStillEngaged",
    "CanRead": true,
    "CanWrite": false,
    "MaskStrategy": "plain",
    "SemanticTypeIri": "urn:effortless:pko-extension#FieldGrant",
    "Name": "principal-process-steward -&gt; KnowledgeBrokerLinks.BrokerIsStillEngaged",
    "FieldTable": "KnowledgeBrokerLinks",
    "FieldName": "BrokerIsStillEngaged",
    "FieldIsDerived": true,
    "IsWritableDerivedField": false,
    "IsMasked": false,
    "GrantKeyWhenReadable": "principal-process-steward|KnowledgeBrokerLinks"
   },
   {
    "FieldGrantId": "fg-process-steward-KnowledgeBrokerLinks.IsAtRiskReliance",
    "Principal": "principal-process-steward",
    "TargetField": "KnowledgeBrokerLinks.IsAtRiskReliance",
    "CanRead": true,
    "CanWrite": false,
    "MaskStrategy": "plain",
    "SemanticTypeIri": "urn:effortless:pko-extension#FieldGrant",
    "Name": "principal-process-steward -&gt; KnowledgeBrokerLinks.IsAtRiskReliance",
    "FieldTable": "KnowledgeBrokerLinks",
    "FieldName": "IsAtRiskReliance",
    "FieldIsDerived": true,
    "IsWritableDerivedField": false,
    "IsMasked": false,
    "GrantKeyWhenReadable": "principal-process-steward|KnowledgeBrokerLinks"
   },
   {
    "FieldGrantId": "fg-process-steward-KnowledgeBrokerLinks.ActiveRelianceBrokerKey",
    "Principal": "principal-process-steward",
    "TargetField": "KnowledgeBrokerLinks.ActiveRelianceBrokerKey",
    "CanRead": true,
    "CanWrite": false,
    "MaskStrategy": "plain",
    "SemanticTypeIri": "urn:effortless:pko-extension#FieldGrant",
    "Name": "principal-process-steward -&gt; KnowledgeBrokerLinks.ActiveRelianceBrokerKey",
    "FieldTable": "KnowledgeBrokerLinks",
    "FieldName": "ActiveRelianceBrokerKey",
    "FieldIsDerived": true,
    "IsWritableDerivedField": false,
    "IsMasked": false,
    "GrantKeyWhenReadable": "principal-process-steward|KnowledgeBrokerLinks"
   },
   {
    "FieldGrantId": "fg-process-steward-KnowledgeBrokerLinks.AtRiskBrokerKey",
    "Principal": "principal-process-steward",
    "TargetField": "KnowledgeBrokerLinks.AtRiskBrokerKey",
    "CanRead": true,
    "CanWrite": false,
    "MaskStrategy": "plain",
    "SemanticTypeIri": "urn:effortless:pko-extension#FieldGrant",
    "Name": "principal-process-steward -&gt; KnowledgeBrokerLinks.AtRiskBrokerKey",
    "FieldTable": "KnowledgeBrokerLinks",
    "FieldName": "AtRiskBrokerKey",
    "FieldIsDerived": true,
    "IsWritableDerivedField": false,
    "IsMasked": false,
    "GrantKeyWhenReadable": "principal-process-steward|KnowledgeBrokerLinks"
   },
   {
    "FieldGrantId": "fg-process-steward-KnowledgeBrokerLinks.SemanticTypeIri",
    "Principal": "principal-process-steward",
    "TargetField": "KnowledgeBrokerLinks.SemanticTypeIri",
    "CanRead": true,
    "CanWrite": false,
    "MaskStrategy": "plain",
    "SemanticTypeIri": "urn:effortless:pko-extension#FieldGrant"</t>
  </si>
  <si>
    <t xml:space="preserve">,
    "Name": "principal-process-steward -&gt; KnowledgeBrokerLinks.SemanticTypeIri",
    "FieldTable": "KnowledgeBrokerLinks",
    "FieldName": "SemanticTypeIri",
    "FieldIsDerived": false,
    "IsWritableDerivedField": false,
    "IsMasked": false,
    "GrantKeyWhenReadable": "principal-process-steward|KnowledgeBrokerLinks"
   },
   {
    "FieldGrantId": "fg-process-steward-ProcedureVersions.MiningRunCount",
    "Principal": "principal-process-steward",
    "TargetField": "ProcedureVersions.MiningRunCount",
    "CanRead": true,
    "CanWrite": false,
    "MaskStrategy": "plain",
    "SemanticTypeIri": "urn:effortless:pko-extension#FieldGrant",
    "Name": "principal-process-steward -&gt; ProcedureVersions.MiningRunCount",
    "FieldTable": "ProcedureVersions",
    "FieldName": "MiningRunCount",
    "FieldIsDerived": true,
    "IsWritableDerivedField": false,
    "IsMasked": false,
    "GrantKeyWhenReadable": "principal-process-steward|ProcedureVersions"
   },
   {
    "FieldGrantId": "fg-process-steward-ProcedureVersions.DriftedMiningRunCount",
    "Principal": "principal-process-steward",
    "TargetField": "ProcedureVersions.DriftedMiningRunCount",
    "CanRead": true,
    "CanWrite": false,
    "MaskStrategy": "plain",
    "SemanticTypeIri": "urn:effortless:pko-extension#FieldGrant",
    "Name": "principal-process-steward -&gt; ProcedureVersions.DriftedMiningRunCount",
    "FieldTable": "ProcedureVersions",
    "FieldName": "DriftedMiningRunCount",
    "FieldIsDerived": true,
    "IsWritableDerivedField": false,
    "IsMasked": false,
    "GrantKeyWhenReadable": "principal-process-steward|ProcedureVersions"
   },
   {
    "FieldGrantId": "fg-process-steward-ProcedureVersions.HasUnresolvedMiningDrift",
    "Principal": "principal-process-steward",
    "TargetField": "ProcedureVersions.HasUnresolvedMiningDrift",
    "CanRead": true,
    "CanWrite": false,
    "MaskStrategy": "plain",
    "SemanticTypeIri": "urn:effortless:pko-extension#FieldGrant",
    "Name": "principal-process-steward -&gt; ProcedureVersions.HasUnresolvedMiningDrift",
    "FieldTable": "ProcedureVersions",
    "FieldName": "HasUnresolvedMiningDrift",
    "FieldIsDerived": true,
    "IsWritableDerivedField": false,
    "IsMasked": false,
    "GrantKeyWhenReadable": "principal-process-steward|ProcedureVersions"
   },
   {
    "FieldGrantId": "fg-process-steward-Requirements.ControlledTerm",
    "Principal": "principal-process-steward",
    "TargetField": "Requirements.ControlledTerm",
    "CanRead": true,
    "CanWrite": false,
    "MaskStrategy": "plain",
    "SemanticTypeIri": "urn:effortless:pko-extension#FieldGrant",
    "Name": "principal-process-steward -&gt; Requirements.ControlledTerm",
    "FieldTable": "Requirements",
    "FieldName": "ControlledTerm",
    "FieldIsDerived": false,
    "IsWritableDerivedField": false,
    "IsMasked": false,
    "GrantKeyWhenReadable": "principal-process-steward|Requirements"
   },
   {
    "FieldGrantId": "fg-process-steward-Requirements.UsesControlledVocabulary",
    "Principal": "principal-process-steward",
    "TargetField": "Requirements.UsesControlledVocabulary",
    "CanRead": true,
    "CanWrite": false,
    "MaskStrategy": "plain",
    "SemanticTypeIri": "urn:effortless:pko-extension#FieldGrant",
    "Name": "principal-process-steward -&gt; Requirements.UsesControlledVocabulary",
    "FieldTable": "Requirements",
    "FieldName": "UsesControlledVocabulary",
    "FieldIsDerived": true,
    "IsWritableDerivedField": false,
    "IsMasked": false,
    "GrantKeyWhenReadable": "principal-process-steward|Requirements"
   },
   {
    "FieldGrantId": "fg-process-steward-Agents.TimesNamedAsBroker",
    "Principal": "principal-process-steward",
    "TargetField": "Agents.TimesNamedAsBroker",
    "CanRead": true,
    "CanWrite": false,
    "MaskStrategy": "plain",
    "SemanticTypeIri": "urn:effortless:pko-extension#FieldGrant",
    "Name": "principal-process-steward -&gt; Agents.TimesNamedAsBroker",
    "FieldTable": "Agents",
    "FieldName": "TimesNamedAsBroker",
    "FieldIsDerived": true,
    "IsWritableDerivedField": false,
    "IsMasked": false,
    "GrantKeyWhenReadable": "principal-process-steward|Agents"
   },
   {
    "FieldGrantId": "fg-process-steward-Agents.IsRecognizedBroker",
    "Principal": "principal-process-steward",
    "TargetField": "Agents.IsRecognizedBroker",
    "CanRead": true,
    "CanWrite": false,
    "MaskStrategy": "plain",
    "SemanticTypeIri": "urn:effortless:pko-extension#FieldGrant",
    "Name": "principal-process-steward -&gt; Agents.IsRecognizedBroker",
    "FieldTable": "Agents",
    "FieldName": "IsRecognizedBroker",
    "FieldIsDerived": true,
    "IsWritableDerivedField": false,
    "IsMasked": false,
    "GrantKeyWhenReadable": "principal-process-steward|Agents"
   },
   {
    "FieldGrantId": "fg-process-steward-Agents.AtRiskRelianceCount",
    "Principal": "principal-process-steward",
    "TargetField": "Agents.AtRiskRelianceCount",
    "CanRead": true,
    "CanWrite": false,
    "MaskStrategy": "plain",
    "SemanticTypeIri": "urn:effortless:pko-extension#FieldGrant",
    "Name": "principal-process-steward -&gt; Agents.AtRiskRelianceCount",
    "FieldTable": "Agents",
    "FieldName": "AtRiskRelianceCount",
    "FieldIsDerived": true,
    "IsWritableDerivedField": false,
    "IsMasked": false,
    "GrantKeyWhenReadable": "principal-process-steward|Agents"
   },
   {
    "FieldGrantId": "fg-process-steward-Agents.HasAtRiskKnowledgeReliance",
    "Principal": "principal-process-steward",
    "TargetField": "Agents.HasAtRiskKnowledgeReliance",
    "CanRead": true,
    "CanWrite": false,
    "MaskStrategy": "plain",
    "SemanticTypeIri": "urn:effortless:pko-extension#FieldGrant",
    "Name": "principal-process-steward -&gt; Agents.HasAtRiskKnowledgeReliance",
    "FieldTable": "Agents",
    "FieldName": "HasAtRiskKnowledgeReliance",
    "FieldIsDerived": true,
    "IsWritableDerivedField": false,
    "IsMasked": false,
    "GrantKeyWhenReadable": "principal-process-steward|Agents"
   },
   {
    "FieldGrantId": "fg-knowledge-authority-ProcessMiningRuns.ProcessMiningRunId",
    "Principal": "principal-knowledge-authority",
    "TargetField": "ProcessMiningRuns.ProcessMiningRunId",
    "CanRead": true,
    "CanWrite": false,
    "MaskStrategy": "plain",
    "SemanticTypeIri": "urn:effortless:pko-extension#FieldGrant",
    "Name": "principal-knowledge-authority -&gt; ProcessMiningRuns.ProcessMiningRunId",
    "FieldTable": "ProcessMiningRuns",
    "FieldName": "ProcessMiningRunId",
    "FieldIsDerived": false,
    "IsWritableDerivedField": false,
    "IsMasked": false,
    "GrantKeyWhenReadable": "principal-knowledge-authority|ProcessMiningRuns"
   },
   {
    "FieldGrantId": "fg-knowledge-authority-ProcessMiningRuns.Name",
    "Principal": "principal-knowledge-authority",
    "TargetField": "ProcessMiningRuns.Name",
    "CanRead": true,
    "CanWrite": false,
    "MaskStrategy": "plain",
    "SemanticTypeIri": "urn:effortless:pko-extension#FieldGrant",
    "Name": "principal-knowledge-authority -&gt; ProcessMiningRuns.Name",
    "FieldTable": "ProcessMiningRuns",
    "FieldName": "Name",
    "FieldIsDerived": true,
    "IsWritableDerivedField": false,
    "IsMasked": false,
    "GrantKeyWhenReadable": "principal-knowledge-authority|ProcessMiningRuns"
   },
   {
    "FieldGrantId": "fg-knowledge-authority-ProcessMiningRuns.ProcedureVersion",
    "Principal": "principal-knowledge-authority",
    "TargetField": "ProcessMiningRuns.ProcedureVersion",
    "CanRead": true,
    "CanWrite": false,
    "MaskStrategy": "plain",
    "SemanticTypeIri": "urn:effortless:pko-extension#FieldGrant",
    "Name": "principal-knowledge-authority -&gt; ProcessMiningRuns.ProcedureVersion",
    "FieldTable": "ProcessMiningRuns",
    "FieldName": "ProcedureVersion",
    "FieldIsDerived": false,
    "IsWritableDerivedField": false,
    "IsMasked": false,
    "GrantKeyWhenReadable": "principal-knowledge-authority|ProcessMiningRuns"
   },
   {
    "FieldGrantId": "fg-knowledge-authority-ProcessMiningRuns.EventLogSource",
    "Principal": "principal-knowledge-authority",
    "TargetField": "ProcessMiningRuns.EventLogSource",
    "CanRead": true,
    "CanWrite": false,
    "MaskStrategy": "plain",
    "SemanticTypeIri": "urn:effortless:pko-extension#FieldGrant",
    "Name": "principal-knowledge-authority -&gt; ProcessMiningRuns.EventLogSource",
    "FieldTable": "ProcessMiningRuns",
    "FieldName": "EventLogSource",
    "FieldIsDerived": false,
    "IsWritableDerivedField": false,
    "IsMasked": false,
    "GrantKeyWhenReadable": "principal-knowledge-authority|ProcessMiningRuns"
   },
   {
    "FieldGrantId": "fg-knowledge-authority-ProcessMiningRuns.MinedAt",
    "Principal": "principal-knowledge-authority",
    "TargetField": "ProcessMiningRuns.MinedAt",
    "CanRead": true,
    "CanWrite": false,
    "MaskStrategy": "plain",
    "SemanticTypeIri": "urn:effortless:pko-extension#FieldGrant",
    "Name": "principal-knowledge-authority -&gt; ProcessMiningRuns.MinedAt",
    "FieldTable": "ProcessMiningRuns",
    "FieldName": "MinedAt",
    "FieldIsDerived": false,
    "IsWritableDerivedField": false,
    "IsMasked": false,
    "GrantKeyWhenReadable": "principal-knowledge-authority|ProcessMiningRuns"
   },
   {
    "FieldGrantId": "fg-knowledge-authority-ProcessMiningRuns.DiscoveredVariantCount",
    "Principal": "principal-knowledge-authority",
    "TargetField": "ProcessMiningRuns.DiscoveredVariantCount",
    "CanRead": true,
    "CanWrite": false,
    "MaskStrategy": "plain",
    "SemanticTypeIri": "urn:effortless:pko-extension#FieldGrant",
    "Name": "principal-knowledge-authority -&gt; ProcessMiningRuns.DiscoveredVariantCount",
    "FieldTable": "ProcessMiningRuns",
    "FieldName": "DiscoveredVariantCount",
    "FieldIsDerived": false,
    "IsWritableDerivedField": false,
    "IsMasked": false,
    "GrantKeyWhenReadable": "principal-knowledge-authority|ProcessMiningRuns"
   },
   {
    "FieldGrantId": "fg-knowledge-authority-ProcessMiningRuns.ConformingVariantCount",
    "Principal": "principal-knowledge-authority",
    "TargetField": "ProcessMiningRuns.ConformingVariantCount",
    "CanRead": true,
    "CanWrite": false,
    "MaskStrategy": "plain",
    "SemanticTypeIri": "urn:effortless:pko-extension#FieldGrant",
    "Name": "principal-knowledge-authority -&gt; ProcessMiningRuns.ConformingVariantCount",
    "FieldTable": "ProcessMiningRuns",
    "FieldName": "ConformingVariantCount",
    "FieldIsDerived": false,
    "IsWritableDerivedField": false,
    "IsMasked": false,
    "GrantKeyWhenReadable": "principal-knowledge-authority|ProcessMiningRuns"
   },
   {
    "FieldGrantId": "fg-knowledge-authority-ProcessMiningRuns.DeviationDescription",
    "Principal": "principal-knowledge-authority",
    "TargetField": "ProcessMiningRuns.DeviationDescription",
    "CanRead": true,
    "CanWrite": false,
    "MaskStrategy": "plain",
    "SemanticTypeIri": "urn:effortless:pko-extension#FieldGrant",
    "Name": "principal-knowledge-authority -&gt; ProcessMiningRuns.DeviationDescription",
    "FieldTable": "ProcessMiningRuns",
    "FieldName": "DeviationDescription",
    "FieldIsDerived": false,
    "IsWritableDerivedField": false,
    "IsMasked": false,
    "GrantKeyWhenReadable": "principal-knowledge-authority|ProcessMiningRuns"
   },
   {
    "FieldGrantId": "fg-knowledge-authority-ProcessMiningRuns.EvaluationContext",
    "Principal": "principal-knowledge-authority",
    "TargetField": "ProcessMiningRuns.EvaluationContext",
    "CanRead": true,
    "CanWrite": false,
    "MaskStrategy": "plain",
    "SemanticTypeIri": "urn:effortless:pko-extension#FieldGrant",
    "Name": "principal-knowledge-authority -&gt; ProcessMiningRuns.EvaluationContext",
    "FieldTable": "ProcessMiningRuns",
    "FieldName": "EvaluationContext",
    "FieldIsDerived": false,
    "IsWritableDerivedField": false,
    "IsMasked": false,
    "GrantKeyWhenReadable": "principal-knowledge-authority|ProcessMiningRuns"
   },
   {
    "FieldGrantId": "fg-knowledge-authority-ProcessMiningRuns.AsOfInstant",
    "Principal": "principal-knowledge-authority",
    "TargetField": "ProcessMiningRuns.AsOfInstant",
    "CanRead": true,
    "CanWrite": false,
    "MaskStrategy": "plain",
    "SemanticTypeIri": "urn:effortless:pko-extension#FieldGrant",
    "Name": "principal-knowledge-authority -&gt; ProcessMiningRuns.AsOfInstant",
    "FieldTable": "ProcessMiningRuns",
    "FieldName": "AsOfInstant",
    "FieldIsDerived": true,
    "IsWritableDerivedField": false,
    "IsMasked": false,
    "GrantKeyWhenReadable": "principal-knowledge-authority|ProcessMiningRuns"
   },
   {
    "FieldGrantId": "fg-knowledge-authority-ProcessMiningRuns.ConformanceRate",
    "Principal": "principal-knowledge-authority",
    "TargetField": "ProcessMiningRuns.ConformanceRate",
    "CanRead": true,
    "CanWrite": false,
    "MaskStrategy": "plain",
    "SemanticTypeIri": "urn:effortless:pko-extension#FieldGrant",
    "Name": "principal-knowledge-authority -&gt; ProcessMiningRuns.ConformanceRate",
    "FieldTable": "ProcessMiningRuns",
    "FieldName": "ConformanceRate",
    "FieldIsDerived": true,
    "IsWritableDerivedField": false,
    "IsMasked": false,
    "GrantKeyWhenReadable": "principal-knowledge-authority|ProcessMiningRuns"
   },
   {
    "FieldGrantId": "fg-knowledge-authority-ProcessMiningRuns.IsConformant",
    "Principal": "principal-knowledge-authority",
    "TargetField": "ProcessMiningRuns.IsConformant",
    "CanRead": true,
    "CanWrite": false,
    "MaskStrategy": "plain",
    "SemanticTypeIri": "urn:effortless:pko-extension#FieldGrant",
    "Name": "principal-knowledge-authority -&gt; ProcessMiningRuns.IsConformant",
    "FieldTable": "ProcessMiningRuns",
    "FieldName": "IsConformant",
    "FieldIsDerived": true,
    "IsWritableDerivedField": false,
    "IsMasked": false,
    "GrantKeyWhenReadable": "principal-knowledge-authority|ProcessMiningRuns"
   },
   {
    "FieldGrantId": "fg-knowledge-authority-ProcessMiningRuns.HasMajorDriftFromDocumentation",
    "Principal": "principal-knowledge-authority",
    "TargetField": "ProcessMiningRuns.HasMajorDriftFromDocumentation",
    "CanRead": true,
    "CanWrite": false,
    "MaskStrategy": "plain",
    "SemanticTypeIri": "urn:effortless:pko-extension#FieldGrant",
    "Name": "principal-knowledge-authority -&gt; ProcessMiningRuns.HasMajorDriftFromDocumentation",
    "FieldTable": "ProcessMiningRuns",
    "FieldName": "HasMajorDriftFromDocumentation",
    "FieldIsDerived": true,
    "IsWritableDerivedField": false,
    "IsMasked": false,
    "GrantKeyWhenReadable": "principal-knowledge-authority|ProcessMiningRuns"
   },
   {
    "FieldGrantId": "fg-knowledge-authority-ProcessMiningRuns.DaysSinceMined",
    "Principal": "principal-knowledge-authority",
    "TargetField": "ProcessMiningRuns.DaysSinceMined",
    "CanRead": true,
    "CanWrite": false,
    "MaskStrategy": "plain",
    "SemanticTypeIri": "urn:effortless:pko-extension#FieldGrant",
    "Name": "principal-knowledge-authority -&gt; ProcessMiningRuns.DaysSinceMined",
    "FieldTable": "ProcessMiningRuns",
    "FieldName": "DaysSinceMined",
    "FieldIsDerived": true,
    "IsWritableDerivedField": false,
    "IsMasked": false,
    "GrantKeyWhenReadable": "principal-knowledge-authority|ProcessMiningRuns"
   },
   {
    "FieldGrantId": "fg-knowledge-authority-ProcessMiningRuns.IsStaleMiningEvidence",
    "Principal": "principal-knowledge-authority",
    "TargetField": "ProcessMiningRuns.IsStaleMiningEvidence",
    "CanRead": true,
    "CanWrite": false,
    "MaskStrategy": "plain",
    "SemanticTypeIri": "urn:effortless:pko-extension#FieldGrant",
    "Name": "principal-knowledge-authority -&gt; ProcessMiningRuns.IsStaleMiningEvidence",
    "FieldTable": "ProcessMiningRuns",
    "FieldName": "IsStaleMiningEvidence",
    "FieldIsDerived": true,
    "IsWritableDerivedField": false,
    "IsMasked": false,
    "GrantKeyWhenReadable": "principal-knowledge-authority|ProcessMiningRuns"
   },
   {
    "FieldGrantId": "fg-knowledge-authority-ProcessMiningRuns.ProcedureVersionIsLive",
    "Principal": "principal-knowledge-authority",
    "TargetField": "ProcessMiningRuns.ProcedureVersionIsLive",
    "CanRead": true,
    "CanWrite": false,
    "MaskStrategy": "plain",
    "SemanticTypeIri": "urn:effortless:pko-extension#FieldGrant",
    "Name": "principal-knowledge-authority -&gt; ProcessMiningRuns.ProcedureVersionIsLive",
    "FieldTable": "ProcessMiningRuns",
    "FieldName": "ProcedureVersionIsLive",
    "FieldIsDerived": true,
    "IsWritableDerivedField": false,
    "IsMasked": false,
    "GrantKeyWhenReadable": "principal-knowledge-authority|ProcessMiningRuns"
   },
   {
    "FieldGrantId": "fg-knowledge-authority-ProcessMiningRuns.IsDriftOnLiveVersion",
    "Principal": "principal-knowledge-authority",
    "TargetField": "ProcessMiningRuns.IsDriftOnLiveVersion",
    "CanRead": true,
    "CanWrite": false,
    "MaskStrategy": "plain",
    "SemanticTypeIri": "urn:effortless:pko-extension#FieldGrant",
    "Name": "principal-knowledge-authority -&gt; ProcessMiningRuns.IsDriftOnLiveVersion",
    "FieldTable": "ProcessMiningRuns",
    "FieldName": "IsDriftOnLiveVersion",
    "FieldIsDerived": true,
    "IsWritableDerivedField": false,
    "IsMasked": false,
    "GrantKeyWhenReadable": "principal-knowledge-authority|ProcessMiningRuns"
   },
   {
    "FieldGrantId": "fg-knowledge-authority-ProcessMiningRuns.DriftedMiningRunKey",
    "Principal": "principal-knowledge-authority",
    "TargetField": "ProcessMiningRuns.DriftedMiningRunKey",
    "CanRead": true,
    "CanWrite": false,
    "MaskStrategy": "plain",
    "SemanticTypeIri": "urn:effortless:pko-extension#FieldGrant",
    "Name": "principal-knowledge-authority -&gt; ProcessMiningRuns.DriftedMiningRunKey",
    "FieldTable": "ProcessMiningRuns",
    "FieldName": "DriftedMiningRunKey",
    "FieldIsDerived": true,
    "IsWritableDerivedField": false,
    "IsMasked": false,
    "GrantKeyWhenReadable": "principal-knowledge-authority|ProcessMiningRuns"
   },
   {
    "FieldGrantId": "fg-knowledge-authority-ProcessMiningRuns.SemanticTypeIri",
    "Principal": "principal-knowledge-authority",
    "TargetField": "ProcessMiningRuns.SemanticTypeIri",
    "CanRead": true,
    "CanWrite": false,
    "MaskStrategy": "plain",
    "SemanticTypeIri": "urn:effortless:pko-extension#FieldGrant",
    "Name": "principal-knowledge-authority -&gt; ProcessMiningRuns.SemanticTypeIri",
    "FieldTable": "ProcessMiningRuns",
    "FieldName": "SemanticTypeIri",
    "FieldIsDerived": false,
    "IsWritableDerivedField": false,
    "IsMasked": false,
    "GrantKeyWhenReadable": "principal-knowledge-authority|ProcessMiningRuns"
   },
   {
    "FieldGrantId": "fg-knowledge-authority-Vocabularies.VocabularyId",
    "Principal": "principal-knowledge-authority",
    "TargetField": "Vocabularies.VocabularyId",
    "CanRead": true,
    "CanWrite": false,
    "MaskStrategy": "plain",
    "SemanticTypeIri": "urn:effortless:pko-extension#FieldGrant",
    "Name": "principal-knowledge-authority -&gt; Vocabularies.VocabularyId",
    "FieldTable": "Vocabularies",
    "FieldName": "VocabularyId",
    "FieldIsDerived": false,
    "IsWritableDerivedField": false,
    "IsMasked": false,
    "GrantKeyWhenReadable": "principal-knowledge-authority|Vocabularies"
   },
   {
    "FieldGrantId": "fg-knowledge-authority-Vocabularies.Name",
    "Principal": "principal-knowledge-authority",
    "TargetField": "Vocabularies.Name",
    "CanRead": true,
    "CanWrite": false,
    "MaskStrategy": "plain",
    "SemanticTypeIri": "urn:effortless:pko-extension#FieldGrant",
    "Name": "principal-knowledge-authority -&gt; Vocabularies.Name",
    "FieldTable": "Vocabularies",
    "FieldName": "Name",
    "FieldIsDerived": true,
    "IsWritableDerivedField": false,
    "IsMasked": false,
    "GrantKeyWhenReadable": "principal-knowledge-authority|Vocabularies"
   },
   {
    "FieldGrantId": "fg-knowledge-authority-Vocabularies.Title",
    "Principal": "principal-knowledge-authority",
    "TargetField": "Vocabularies.Title",
    "CanRead": true,
    "CanWrite": false,
    "MaskStrategy": "plain",
    "SemanticTypeIri": "urn:effortless:pko-extension#FieldGrant",
    "Name": "principal-knowledge-authority -&gt; Vocabularies.Title",
    "FieldTable": "Vocabularies",
    "FieldName": "Title",
    "FieldIsDerived": false,
    "IsWritableDerivedField": false,
    "IsMasked": false,
    "GrantKeyWhenReadable": "principal-knowledge-authority|Vocabularies"
   },
   {
    "FieldGrantId": "fg-knowledge-authority-Vocabularies.SchemeUri",
    "Principal": "principal-knowledge-authority",
    "TargetField": "Vocabularies.SchemeUri",
    "CanRead": true,
    "CanWrite": false,
    "MaskStrategy": "plain",
    "SemanticTypeIri": "urn:effortless:pko-extension#FieldGrant",
    "Name": "principal-knowledge-authority -&gt; Vocabularies.SchemeUri",
    "FieldTable": "Vocabularies",
    "FieldName": "SchemeUri",
    "FieldIsDerived": false,
    "IsWritableDerivedField": false,
    "IsMasked": false,
    "GrantKeyWhenReadable": "principal-knowledge-authority|Vocabularies"
   },
   {
    "FieldGrantId": "fg-knowledge-authority-Vocabularies.GoverningRole",
    "Principal": "principal-knowledge-authority",
    "TargetField": "Vocabularies.GoverningRole",
    "CanRead": true,
    "CanWrite": false,
    "MaskStrategy": "plain",
    "SemanticTypeIri": "urn:effortless:pko-extension#FieldGrant",
    "Name": "principal-knowledge-authority -&gt; Vocabularies.GoverningRole",
    "FieldTable": "Vocabularies",
    "FieldName": "GoverningRole",
    "FieldIsDerived": false,
    "IsWritableDerivedField": false,
    "IsMasked": false,
    "GrantKeyWhenReadable": "principal-knowledge-authority|Vocabularies"
   },
   {
    "FieldGrantId": "fg-knowledge-authority-Vocabularies.TermCount",
    "Principal": "principal-knowledge-authority",
    "TargetField": "Vocabularies.TermCount",
    "CanRead": true,
    "CanWrite": false,
    "MaskStrategy": "plain",
    "SemanticTypeIri": "urn:effortless:pko-extension#FieldGrant",
    "Name": "principal-knowledge-authority -&gt; Vocabularies.TermCount",
    "FieldTable": "Vocabularies",
    "FieldName": "TermCount",
    "FieldIsDerived": true,
    "IsWritableDerivedField": false,
    "IsMasked": false,
    "GrantKeyWhenReadable": "principal-knowledge-authority|Vocabularies"
   },
   {
    "FieldGrantId": "fg-knowledge-authority-Vocabularies.OrphanTermCount",
    "Principal": "principal-knowledge-authority",
    "TargetField": "Vocabularies.OrphanTermCount",
    "CanRead": true,
    "CanWrite": false,
    "MaskStrategy": "plain",
    "SemanticTypeIri": "urn:effortless:pko-extension#FieldGrant",
    "Name": "principal-knowledge-authority -&gt; Vocabularies.OrphanTermCount",
    "FieldTable": "Vocabularies",
    "FieldName": "OrphanTermCount",
    "FieldIsDerived": true,
    "IsWritableDerivedField": false,
    "IsMasked": false,
    "GrantKeyWhenReadable": "principal-knowledge-authority|Vocabularies"
   },
   {
    "FieldGrantId": "fg-knowledge-authority-Vocabularies.HasOrphanTerms",
    "Principal": "principal-knowledge-authority",
    "TargetField": "Vocabularies.HasOrphanTerms",
    "CanRead": true,
    "CanWrite": false,
    "MaskStrategy": "plain",
    "SemanticTypeIri": "urn:effortless:pko-extension#FieldGrant",
    "Name": "principal-knowledge-authority -&gt; Vocabularies.HasOrphanTerms",
    "FieldTable": "Vocabularies",
    "FieldName": "HasOrphanTerms",
    "FieldIsDerived": true,
    "IsWritableDerivedField": false,
    "IsMasked": false,
    "GrantKeyWhenReadable": "principal-knowledge-authority|Vocabularies"
   },
   {
    "FieldGrantId": "fg-knowledge-authority-Vocabularies.SemanticTypeIri",
    "Principal": "principal-knowledge-authority",
    "TargetField": "Vocabularies.SemanticTypeIri",
    "CanRead": true,
    "CanWrite": false,
    "MaskStrategy": "plain",
    "SemanticTypeIri": "urn:effortless:pko-extension#FieldGrant",
    "Name": "principal-knowledge-authority -&gt; Vocabularies.SemanticTypeIri",
    "FieldTable": "Vocabularies",
    "FieldName": "SemanticTypeIri",
    "FieldIsDerived": false,
    "IsWritableDerivedField": false,
    "IsMasked": false,
    "GrantKeyWhenReadable": "principal-knowledge-authority|Vocabularies"
   },
   {
    "FieldGrantId": "fg-knowledge-authority-VocabularyTerms.VocabularyTermId",
    "Principal": "principal-knowledge-authority",
    "TargetField": "VocabularyTerms.VocabularyTermId",
    "CanRead": true,
    "CanWrite": false,
    "MaskStrategy": "plain",
    "SemanticTypeIri": "urn:effortless:pko-extension#FieldGrant",
    "Name": "principal-knowledge-authority -&gt; VocabularyTerms.VocabularyTermId",
    "FieldTable": "VocabularyTerms",
    "FieldName": "VocabularyTermId",
    "FieldIsDerived": false,
    "IsWritableDerivedField": false,
    "IsMasked": false,
    "GrantKeyWhenReadable": "principal-knowledge-authority|VocabularyTerms"
   },
   {
    "FieldGrantId": "fg-knowledge-authority-VocabularyTerms.Name",
    "Principal": "principal-knowledge-authority",
    "TargetField": "VocabularyTerms.Name",
    "CanRead": true,
    "CanWrite": false,
    "MaskStrategy": "plain",
    "SemanticTypeIri": "urn:effortless:pko-extension#FieldGrant",
    "Name": "principal-knowledge-authority -&gt; VocabularyTerms.Name",
    "FieldTable": "VocabularyTerms",
    "FieldName": "Name",
    "FieldIsDerived": true,
    "IsWritableDerivedField": false,
    "IsMasked": false,
    "GrantKeyWhenReadable": "principal-knowledge-authority|VocabularyTerms"
   },
   {
    "FieldGrantId": "fg-knowledge-authority-VocabularyTerms.Vocabulary",
    "Principal": "principal-knowledge-authority",
    "TargetField": "VocabularyTerms.Vocabulary",
    "CanRead": true,
    "CanWrite": false,
    "MaskStrategy": "plain",
    "SemanticTypeIri": "urn:effortless:pko-extension#FieldGrant",
    "Name": "principal-knowledge-authority -&gt; VocabularyTerms.Vocabulary",
    "FieldTable": "VocabularyTerms",
    "FieldName": "Vocabulary",
    "FieldIsDerived": false,
    "IsWritableDerivedField": false,
    "IsMasked": false,
    "GrantKeyWhenReadable": "principal-knowledge-authority|VocabularyTerms"
   },
   {
    "FieldGrantId": "fg-knowledge-authority-VocabularyTerms.PrefLabel",
    "Principal": "principal-knowledge-authority",
    "TargetField": "VocabularyTerms.PrefLabel",
    "CanRead": true,
    "CanWrite": false,
    "MaskStrategy": "plain",
    "SemanticTypeIri": "urn:effortless:pko-extension#FieldGrant",
    "Name": "principal-knowledge-authority -&gt; VocabularyTerms.PrefLabel",
    "FieldTable": "VocabularyTerms",
    "FieldName": "PrefLabel",
    "FieldIsDerived": false,
    "IsWritableDerivedField": false,
    "IsMasked": false,
    "GrantKeyWhenReadable": "principal-knowledge-authority|VocabularyTerms"
   },
   {
    "FieldGrantId": "fg-knowledge-authority-VocabularyTerms.AltLabels",
    "Principal": "principal-knowledge-authority",
    "TargetField": "VocabularyTerms.AltLabels",
    "CanRead": true,
    "CanWrite": false,
    "MaskStrategy": "plain",
    "SemanticTypeIri": "urn:effortless:pko-extension#FieldGrant",
    "Name": "principal-knowledge-authority -&gt; VocabularyTerms.AltLabels",
    "FieldTable": "VocabularyTerms",
    "FieldName": "AltLabels",
    "FieldIsDerived": false,
    "IsWritableDerivedField": false,
    "IsMasked": false,
    "GrantKeyWhenReadable": "principal-knowledge-authority|VocabularyTerms"
   },
   {
    "FieldGrantId": "fg-knowledge-authority-VocabularyTerms.Definition",
    "Principal": "principal-knowledge-authority",
    "TargetField": "VocabularyTerms.Definition",
    "CanRead": true,
    "CanWrite": false,
    "MaskStrategy": "plain",
    "SemanticTypeIri": "urn:effortless:pko-extension#FieldGrant",
    "Name": "principal-knowledge-authority -&gt; VocabularyTerms.Definition",
    "FieldTable": "VocabularyTerms",
    "FieldName": "Definition",
    "FieldIsDerived": false,
    "IsWritableDerivedField": false,
    "IsMasked": false,
    "GrantKeyWhenReadable": "principal-knowledge-authority|VocabularyTerms"
   },
   {
    "FieldGrantId": "fg-knowledge-authority-VocabularyTerms.UsageCount",
    "Principal": "principal-knowledge-authority",
    "TargetField": "VocabularyTerms.UsageCount",
    "CanRead": true,
    "CanWrite": false,
    "MaskStrategy": "plain",
    "SemanticTypeIri": "urn:effortless:pko-extension#FieldGrant",
    "Name": "principal-knowledge-authority -&gt; VocabularyTerms.UsageCount",
    "FieldTable": "VocabularyTerms",
    "FieldName": "UsageCount",
    "FieldIsDerived": true,
    "IsWritableDerivedField": false,
    "IsMasked": false,
    "GrantKeyWhenReadable": "principal-knowledge-authority|VocabularyTerms"
   },
   {
    "FieldGrantId": "fg-knowledge-authority-VocabularyTerms.IsOrphanTerm",
    "Principal": "principal-knowledge-authority",
    "TargetField": "VocabularyTerms.IsOrphanTerm",
    "CanRead": true,
    "CanWrite": false,
    "MaskStrategy": "plain",
    "SemanticTypeIri": "urn:effortless:pko-extension#FieldGrant",
    "Name": "principal-knowledge-authority -&gt; VocabularyTerms.IsOrphanTerm",
    "FieldTable": "VocabularyTerms",
    "FieldName": "IsOrphanTerm",
    "FieldIsDerived": true,
    "IsWritableDerivedField": false,
    "IsMasked": false,
    "GrantKeyWhenReadable": "principal-knowledge-authority|VocabularyTerms"
   },
   {
    "FieldGrantId": "fg-knowledge-authority-VocabularyTerms.IsWidelyAdoptedTerm",
    "Principal": "principal-knowledge-authority",
    "TargetField": "VocabularyTerms.IsWidelyAdoptedTerm",
    "CanRead": true,
    "CanWrite": false,
    "MaskStrategy": "plain",
    "SemanticTypeIri": "urn:effortless:pko-extension#FieldGrant",
    "Name": "principal-knowledge-authority -&gt; VocabularyTerms.IsWidelyAdoptedTerm",
    "FieldTable": "VocabularyTerms",
    "FieldName": "IsWidelyAdoptedTerm",
    "FieldIsDerived": true,
    "IsWritableDerivedField": false,
    "IsMasked": false,
    "GrantKeyWhenReadable": "principal-knowledge-authority|VocabularyTerms"
   },
   {
    "FieldGrantId": "fg-knowledge-authority-VocabularyTerms.OrphanTermVocabularyKey",
    "Principal": "principal-knowledge-authority",
    "TargetField": "VocabularyTerms.OrphanTermVocabularyKey",
    "CanRead": true,
    "CanWrite": false,
    "MaskStrategy": "plain",
    "SemanticTypeIri": "urn:effortless:pko-extension#FieldGrant",
    "Name": "principal-knowledge-authority -&gt; VocabularyTerms.OrphanTermVocabularyKey",
    "FieldTable": "VocabularyTerms",
    "FieldName": "OrphanTermVocabularyKey",
    "FieldIsDerived": true,
    "IsWritableDerivedField": false,
    "IsMasked": false,
    "GrantKeyWhenReadable": "principal-knowledge-authority|VocabularyTerms"
   },
   {
    "FieldGrantId": "fg-knowledge-authority-VocabularyTerms.SemanticTypeIri",
    "Principal": "principal-knowledge-authority",
    "TargetField": "VocabularyTerms.SemanticTypeIri",
    "CanRead": true,
    "CanWrite": false,
    "MaskStrategy": "plain",
    "SemanticTypeIri": "urn:effortless:pko-extension#FieldGrant",
    "Name": "principal-knowledge-authority -&gt; VocabularyTerms.SemanticTypeIri",
    "FieldTable": "VocabularyTerms",
    "FieldName": "SemanticTypeIri",
    "FieldIsDerived": false,
    "IsWritableDerivedField": false,
    "IsMasked": false,
    "GrantKeyWhenReadable": "principal-knowledge-authority|VocabularyTerms"
   },
   {
    "FieldGrantId": "fg-knowledge-authority-KnowledgeBrokerLinks.KnowledgeBrokerLinkId",
    "Principal": "principal-knowledge-authority",
    "TargetField": "KnowledgeBrokerLinks.KnowledgeBrokerLinkId",
    "CanRead": true,
    "CanWrite": false,
    "MaskStrategy": "plain",
    "SemanticTypeIri": "urn:effortless:pko-extension#FieldGrant",
    "Name": "principal-knowledge-authority -&gt; KnowledgeBrokerLinks.KnowledgeBrokerLinkId",
    "FieldTable": "KnowledgeBrokerLinks",
    "FieldName": "KnowledgeBrokerLinkId",
    "FieldIsDerived": false,
    "IsWritableDerivedField": false,
    "IsMasked": false,
    "GrantKeyWhenReadable": "principal-knowledge-authority|KnowledgeBrokerLinks"
   },
   {
    "FieldGrantId": "fg-knowledge-authority-KnowledgeBrokerLinks.Name",
    "Principal": "principal-knowledge-authority",
    "TargetField": "KnowledgeBrokerLinks.Name",
    "CanRead": true,
    "CanWrite": false,
    "MaskStrategy": "plain",
    "SemanticTypeIri": "urn:effortless:pko-extension#FieldGrant",
    "Name": "principal-knowledge-authority -&gt; KnowledgeBrokerLinks.Name",
    "FieldTable": "KnowledgeBrokerLinks",
    "FieldName": "Name",
    "FieldIsDerived": true,
    "IsWritableDerivedField": false,
    "IsMasked": false,
    "GrantKeyWhenReadable": "principal-knowledge-authority|KnowledgeBrokerLinks"
   },
   {
    "FieldGrantId": "fg-knowledge-authority-KnowledgeBrokerLinks.Seeker",
    "Principal": "principal-knowledge-authority",
    "TargetField": "KnowledgeBro</t>
  </si>
  <si>
    <t xml:space="preserve">kerLinks.Seeker",
    "CanRead": true,
    "CanWrite": false,
    "MaskStrategy": "plain",
    "SemanticTypeIri": "urn:effortless:pko-extension#FieldGrant",
    "Name": "principal-knowledge-authority -&gt; KnowledgeBrokerLinks.Seeker",
    "FieldTable": "KnowledgeBrokerLinks",
    "FieldName": "Seeker",
    "FieldIsDerived": false,
    "IsWritableDerivedField": false,
    "IsMasked": false,
    "GrantKeyWhenReadable": "principal-knowledge-authority|KnowledgeBrokerLinks"
   },
   {
    "FieldGrantId": "fg-knowledge-authority-KnowledgeBrokerLinks.Broker",
    "Principal": "principal-knowledge-authority",
    "TargetField": "KnowledgeBrokerLinks.Broker",
    "CanRead": true,
    "CanWrite": false,
    "MaskStrategy": "plain",
    "SemanticTypeIri": "urn:effortless:pko-extension#FieldGrant",
    "Name": "principal-knowledge-authority -&gt; KnowledgeBrokerLinks.Broker",
    "FieldTable": "KnowledgeBrokerLinks",
    "FieldName": "Broker",
    "FieldIsDerived": false,
    "IsWritableDerivedField": false,
    "IsMasked": false,
    "GrantKeyWhenReadable": "principal-knowledge-authority|KnowledgeBrokerLinks"
   },
   {
    "FieldGrantId": "fg-knowledge-authority-KnowledgeBrokerLinks.Topic",
    "Principal": "principal-knowledge-authority",
    "TargetField": "KnowledgeBrokerLinks.Topic",
    "CanRead": true,
    "CanWrite": false,
    "MaskStrategy": "plain",
    "SemanticTypeIri": "urn:effortless:pko-extension#FieldGrant",
    "Name": "principal-knowledge-authority -&gt; KnowledgeBrokerLinks.Topic",
    "FieldTable": "KnowledgeBrokerLinks",
    "FieldName": "Topic",
    "FieldIsDerived": false,
    "IsWritableDerivedField": false,
    "IsMasked": false,
    "GrantKeyWhenReadable": "principal-knowledge-authority|KnowledgeBrokerLinks"
   },
   {
    "FieldGrantId": "fg-knowledge-authority-KnowledgeBrokerLinks.Frequency",
    "Principal": "principal-knowledge-authority",
    "TargetField": "KnowledgeBrokerLinks.Frequency",
    "CanRead": true,
    "CanWrite": false,
    "MaskStrategy": "plain",
    "SemanticTypeIri": "urn:effortless:pko-extension#FieldGrant",
    "Name": "principal-knowledge-authority -&gt; KnowledgeBrokerLinks.Frequency",
    "FieldTable": "KnowledgeBrokerLinks",
    "FieldName": "Frequency",
    "FieldIsDerived": false,
    "IsWritableDerivedField": false,
    "IsMasked": false,
    "GrantKeyWhenReadable": "principal-knowledge-authority|KnowledgeBrokerLinks"
   },
   {
    "FieldGrantId": "fg-knowledge-authority-KnowledgeBrokerLinks.LastConsultedAt",
    "Principal": "principal-knowledge-authority",
    "TargetField": "KnowledgeBrokerLinks.LastConsultedAt",
    "CanRead": true,
    "CanWrite": false,
    "MaskStrategy": "plain",
    "SemanticTypeIri": "urn:effortless:pko-extension#FieldGrant",
    "Name": "principal-knowledge-authority -&gt; KnowledgeBrokerLinks.LastConsultedAt",
    "FieldTable": "KnowledgeBrokerLinks",
    "FieldName": "LastConsultedAt",
    "FieldIsDerived": false,
    "IsWritableDerivedField": false,
    "IsMasked": false,
    "GrantKeyWhenReadable": "principal-knowledge-authority|KnowledgeBrokerLinks"
   },
   {
    "FieldGrantId": "fg-knowledge-authority-KnowledgeBrokerLinks.EvaluationContext",
    "Principal": "principal-knowledge-authority",
    "TargetField": "KnowledgeBrokerLinks.EvaluationContext",
    "CanRead": true,
    "CanWrite": false,
    "MaskStrategy": "plain",
    "SemanticTypeIri": "urn:effortless:pko-extension#FieldGrant",
    "Name": "principal-knowledge-authority -&gt; KnowledgeBrokerLinks.EvaluationContext",
    "FieldTable": "KnowledgeBrokerLinks",
    "FieldName": "EvaluationContext",
    "FieldIsDerived": false,
    "IsWritableDerivedField": false,
    "IsMasked": false,
    "GrantKeyWhenReadable": "principal-knowledge-authority|KnowledgeBrokerLinks"
   },
   {
    "FieldGrantId": "fg-knowledge-authority-KnowledgeBrokerLinks.AsOfInstant",
    "Principal": "principal-knowledge-authority",
    "TargetField": "KnowledgeBrokerLinks.AsOfInstant",
    "CanRead": true,
    "CanWrite": false,
    "MaskStrategy": "plain",
    "SemanticTypeIri": "urn:effortless:pko-extension#FieldGrant",
    "Name": "principal-knowledge-authority -&gt; KnowledgeBrokerLinks.AsOfInstant",
    "FieldTable": "KnowledgeBrokerLinks",
    "FieldName": "AsOfInstant",
    "FieldIsDerived": true,
    "IsWritableDerivedField": false,
    "IsMasked": false,
    "GrantKeyWhenReadable": "principal-knowledge-authority|KnowledgeBrokerLinks"
   },
   {
    "FieldGrantId": "fg-knowledge-authority-KnowledgeBrokerLinks.DaysSinceConsulted",
    "Principal": "principal-knowledge-authority",
    "TargetField": "KnowledgeBrokerLinks.DaysSinceConsulted",
    "CanRead": true,
    "CanWrite": false,
    "MaskStrategy": "plain",
    "SemanticTypeIri": "urn:effortless:pko-extension#FieldGrant",
    "Name": "principal-knowledge-authority -&gt; KnowledgeBrokerLinks.DaysSinceConsulted",
    "FieldTable": "KnowledgeBrokerLinks",
    "FieldName": "DaysSinceConsulted",
    "FieldIsDerived": true,
    "IsWritableDerivedField": false,
    "IsMasked": false,
    "GrantKeyWhenReadable": "principal-knowledge-authority|KnowledgeBrokerLinks"
   },
   {
    "FieldGrantId": "fg-knowledge-authority-KnowledgeBrokerLinks.IsActiveReliance",
    "Principal": "principal-knowledge-authority",
    "TargetField": "KnowledgeBrokerLinks.IsActiveReliance",
    "CanRead": true,
    "CanWrite": false,
    "MaskStrategy": "plain",
    "SemanticTypeIri": "urn:effortless:pko-extension#FieldGrant",
    "Name": "principal-knowledge-authority -&gt; KnowledgeBrokerLinks.IsActiveReliance",
    "FieldTable": "KnowledgeBrokerLinks",
    "FieldName": "IsActiveReliance",
    "FieldIsDerived": true,
    "IsWritableDerivedField": false,
    "IsMasked": false,
    "GrantKeyWhenReadable": "principal-knowledge-authority|KnowledgeBrokerLinks"
   },
   {
    "FieldGrantId": "fg-knowledge-authority-KnowledgeBrokerLinks.BrokerIsStillEngaged",
    "Principal": "principal-knowledge-authority",
    "TargetField": "KnowledgeBrokerLinks.BrokerIsStillEngaged",
    "CanRead": true,
    "CanWrite": false,
    "MaskStrategy": "plain",
    "SemanticTypeIri": "urn:effortless:pko-extension#FieldGrant",
    "Name": "principal-knowledge-authority -&gt; KnowledgeBrokerLinks.BrokerIsStillEngaged",
    "FieldTable": "KnowledgeBrokerLinks",
    "FieldName": "BrokerIsStillEngaged",
    "FieldIsDerived": true,
    "IsWritableDerivedField": false,
    "IsMasked": false,
    "GrantKeyWhenReadable": "principal-knowledge-authority|KnowledgeBrokerLinks"
   },
   {
    "FieldGrantId": "fg-knowledge-authority-KnowledgeBrokerLinks.IsAtRiskReliance",
    "Principal": "principal-knowledge-authority",
    "TargetField": "KnowledgeBrokerLinks.IsAtRiskReliance",
    "CanRead": true,
    "CanWrite": false,
    "MaskStrategy": "plain",
    "SemanticTypeIri": "urn:effortless:pko-extension#FieldGrant",
    "Name": "principal-knowledge-authority -&gt; KnowledgeBrokerLinks.IsAtRiskReliance",
    "FieldTable": "KnowledgeBrokerLinks",
    "FieldName": "IsAtRiskReliance",
    "FieldIsDerived": true,
    "IsWritableDerivedField": false,
    "IsMasked": false,
    "GrantKeyWhenReadable": "principal-knowledge-authority|KnowledgeBrokerLinks"
   },
   {
    "FieldGrantId": "fg-knowledge-authority-KnowledgeBrokerLinks.ActiveRelianceBrokerKey",
    "Principal": "principal-knowledge-authority",
    "TargetField": "KnowledgeBrokerLinks.ActiveRelianceBrokerKey",
    "CanRead": true,
    "CanWrite": false,
    "MaskStrategy": "plain",
    "SemanticTypeIri": "urn:effortless:pko-extension#FieldGrant",
    "Name": "principal-knowledge-authority -&gt; KnowledgeBrokerLinks.ActiveRelianceBrokerKey",
    "FieldTable": "KnowledgeBrokerLinks",
    "FieldName": "ActiveRelianceBrokerKey",
    "FieldIsDerived": true,
    "IsWritableDerivedField": false,
    "IsMasked": false,
    "GrantKeyWhenReadable": "principal-knowledge-authority|KnowledgeBrokerLinks"
   },
   {
    "FieldGrantId": "fg-knowledge-authority-KnowledgeBrokerLinks.AtRiskBrokerKey",
    "Principal": "principal-knowledge-authority",
    "TargetField": "KnowledgeBrokerLinks.AtRiskBrokerKey",
    "CanRead": true,
    "CanWrite": false,
    "MaskStrategy": "plain",
    "SemanticTypeIri": "urn:effortless:pko-extension#FieldGrant",
    "Name": "principal-knowledge-authority -&gt; KnowledgeBrokerLinks.AtRiskBrokerKey",
    "FieldTable": "KnowledgeBrokerLinks",
    "FieldName": "AtRiskBrokerKey",
    "FieldIsDerived": true,
    "IsWritableDerivedField": false,
    "IsMasked": false,
    "GrantKeyWhenReadable": "principal-knowledge-authority|KnowledgeBrokerLinks"
   },
   {
    "FieldGrantId": "fg-knowledge-authority-KnowledgeBrokerLinks.SemanticTypeIri",
    "Principal": "principal-knowledge-authority",
    "TargetField": "KnowledgeBrokerLinks.SemanticTypeIri",
    "CanRead": true,
    "CanWrite": false,
    "MaskStrategy": "plain",
    "SemanticTypeIri": "urn:effortless:pko-extension#FieldGrant",
    "Name": "principal-knowledge-authority -&gt; KnowledgeBrokerLinks.SemanticTypeIri",
    "FieldTable": "KnowledgeBrokerLinks",
    "FieldName": "SemanticTypeIri",
    "FieldIsDerived": false,
    "IsWritableDerivedField": false,
    "IsMasked": false,
    "GrantKeyWhenReadable": "principal-knowledge-authority|KnowledgeBrokerLinks"
   },
   {
    "FieldGrantId": "fg-knowledge-authority-ProcedureVersions.MiningRunCount",
    "Principal": "principal-knowledge-authority",
    "TargetField": "ProcedureVersions.MiningRunCount",
    "CanRead": true,
    "CanWrite": false,
    "MaskStrategy": "plain",
    "SemanticTypeIri": "urn:effortless:pko-extension#FieldGrant",
    "Name": "principal-knowledge-authority -&gt; ProcedureVersions.MiningRunCount",
    "FieldTable": "ProcedureVersions",
    "FieldName": "MiningRunCount",
    "FieldIsDerived": true,
    "IsWritableDerivedField": false,
    "IsMasked": false,
    "GrantKeyWhenReadable": "principal-knowledge-authority|ProcedureVersions"
   },
   {
    "FieldGrantId": "fg-knowledge-authority-ProcedureVersions.DriftedMiningRunCount",
    "Principal": "principal-knowledge-authority",
    "TargetField": "ProcedureVersions.DriftedMiningRunCount",
    "CanRead": true,
    "CanWrite": false,
    "MaskStrategy": "plain",
    "SemanticTypeIri": "urn:effortless:pko-extension#FieldGrant",
    "Name": "principal-knowledge-authority -&gt; ProcedureVersions.DriftedMiningRunCount",
    "FieldTable": "ProcedureVersions",
    "FieldName": "DriftedMiningRunCount",
    "FieldIsDerived": true,
    "IsWritableDerivedField": false,
    "IsMasked": false,
    "GrantKeyWhenReadable": "principal-knowledge-authority|ProcedureVersions"
   },
   {
    "FieldGrantId": "fg-knowledge-authority-ProcedureVersions.HasUnresolvedMiningDrift",
    "Principal": "principal-knowledge-authority",
    "TargetField": "ProcedureVersions.HasUnresolvedMiningDrift",
    "CanRead": true,
    "CanWrite": false,
    "MaskStrategy": "plain",
    "SemanticTypeIri": "urn:effortless:pko-extension#FieldGrant",
    "Name": "principal-knowledge-authority -&gt; ProcedureVersions.HasUnresolvedMiningDrift",
    "FieldTable": "ProcedureVersions",
    "FieldName": "HasUnresolvedMiningDrift",
    "FieldIsDerived": true,
    "IsWritableDerivedField": false,
    "IsMasked": false,
    "GrantKeyWhenReadable": "principal-knowledge-authority|ProcedureVersions"
   },
   {
    "FieldGrantId": "fg-knowledge-authority-Requirements.ControlledTerm",
    "Principal": "principal-knowledge-authority",
    "TargetField": "Requirements.ControlledTerm",
    "CanRead": true,
    "CanWrite": false,
    "MaskStrategy": "plain",
    "SemanticTypeIri": "urn:effortless:pko-extension#FieldGrant",
    "Name": "principal-knowledge-authority -&gt; Requirements.ControlledTerm",
    "FieldTable": "Requirements",
    "FieldName": "ControlledTerm",
    "FieldIsDerived": false,
    "IsWritableDerivedField": false,
    "IsMasked": false,
    "GrantKeyWhenReadable": "principal-knowledge-authority|Requirements"
   },
   {
    "FieldGrantId": "fg-knowledge-authority-Requirements.UsesControlledVocabulary",
    "Principal": "principal-knowledge-authority",
    "TargetField": "Requirements.UsesControlledVocabulary",
    "CanRead": true,
    "CanWrite": false,
    "MaskStrategy": "plain",
    "SemanticTypeIri": "urn:effortless:pko-extension#FieldGrant",
    "Name": "principal-knowledge-authority -&gt; Requirements.UsesControlledVocabulary",
    "FieldTable": "Requirements",
    "FieldName": "UsesControlledVocabulary",
    "FieldIsDerived": true,
    "IsWritableDerivedField": false,
    "IsMasked": false,
    "GrantKeyWhenReadable": "principal-knowledge-authority|Requirements"
   },
   {
    "FieldGrantId": "fg-knowledge-authority-Agents.TimesNamedAsBroker",
    "Principal": "principal-knowledge-authority",
    "TargetField": "Agents.TimesNamedAsBroker",
    "CanRead": true,
    "CanWrite": false,
    "MaskStrategy": "plain",
    "SemanticTypeIri": "urn:effortless:pko-extension#FieldGrant",
    "Name": "principal-knowledge-authority -&gt; Agents.TimesNamedAsBroker",
    "FieldTable": "Agents",
    "FieldName": "TimesNamedAsBroker",
    "FieldIsDerived": true,
    "IsWritableDerivedField": false,
    "IsMasked": false,
    "GrantKeyWhenReadable": "principal-knowledge-authority|Agents"
   },
   {
    "FieldGrantId": "fg-knowledge-authority-Agents.IsRecognizedBroker",
    "Principal": "principal-knowledge-authority",
    "TargetField": "Agents.IsRecognizedBroker",
    "CanRead": true,
    "CanWrite": false,
    "MaskStrategy": "plain",
    "SemanticTypeIri": "urn:effortless:pko-extension#FieldGrant",
    "Name": "principal-knowledge-authority -&gt; Agents.IsRecognizedBroker",
    "FieldTable": "Agents",
    "FieldName": "IsRecognizedBroker",
    "FieldIsDerived": true,
    "IsWritableDerivedField": false,
    "IsMasked": false,
    "GrantKeyWhenReadable": "principal-knowledge-authority|Agents"
   },
   {
    "FieldGrantId": "fg-knowledge-authority-Agents.AtRiskRelianceCount",
    "Principal": "principal-knowledge-authority",
    "TargetField": "Agents.AtRiskRelianceCount",
    "CanRead": true,
    "CanWrite": false,
    "MaskStrategy": "plain",
    "SemanticTypeIri": "urn:effortless:pko-extension#FieldGrant",
    "Name": "principal-knowledge-authority -&gt; Agents.AtRiskRelianceCount",
    "FieldTable": "Agents",
    "FieldName": "AtRiskRelianceCount",
    "FieldIsDerived": true,
    "IsWritableDerivedField": false,
    "IsMasked": false,
    "GrantKeyWhenReadable": "principal-knowledge-authority|Agents"
   },
   {
    "FieldGrantId": "fg-knowledge-authority-Agents.HasAtRiskKnowledgeReliance",
    "Principal": "principal-knowledge-authority",
    "TargetField": "Agents.HasAtRiskKnowledgeReliance",
    "CanRead": true,
    "CanWrite": false,
    "MaskStrategy": "plain",
    "SemanticTypeIri": "urn:effortless:pko-extension#FieldGrant",
    "Name": "principal-knowledge-authority -&gt; Agents.HasAtRiskKnowledgeReliance",
    "FieldTable": "Agents",
    "FieldName": "HasAtRiskKnowledgeReliance",
    "FieldIsDerived": true,
    "IsWritableDerivedField": false,
    "IsMasked": false,
    "GrantKeyWhenReadable": "principal-knowledge-authority|Agents"
   }
  ]
 },
 "RoleSchemas": {
  "Description": "One Postgres schema per principal -- the principal's entire visible world. The schema is the only entry on that principal's search_path, so a table absent from it cannot be named at all.",
  "important": true,
  "schema": [
   {
    "name": "RoleSchemaId",
    "datatype": "string",
    "type": "raw",
    "nullable": false,
    "Description": "Stored logical identifier, e.g. 'schema-controller'."
   },
   {
    "name": "Name",
    "datatype": "string",
    "type": "calculated",
    "nullable": true,
    "Description": "Human-readable calculated display alias.",
    "formula": "={{SchemaName}}"
   },
   {
    "name": "Principal",
    "datatype": "string",
    "type": "relationship",
    "nullable": true,
    "Description": "Principal that owns this schema.",
    "RelatedTo": "AccessPrincipals"
   },
   {
    "name": "SchemaName",
    "datatype": "string",
    "type": "raw",
    "nullable": true,
    "Description": "Postgres schema name, e.g. 'pko_controller'."
   },
   {
    "name": "SearchPath",
    "datatype": "string",
    "type": "calculated",
    "nullable": true,
    "Description": "search_path set for this principal's sessions. The principal's own schema only -- public is deliberately excluded so base tables cannot be named.",
    "formula": "={{SchemaName}}"
   },
   {
    "name": "IsSealed",
    "datatype": "boolean",
    "type": "raw",
    "nullable": true,
    "Description": "True when the principal may not create objects in its own schema."
   },
   {
    "name": "ViewCount",
    "datatype": "number",
    "type": "aggregation",
    "nullable": true,
    "Description": "Number of views exposed in this schema.",
    "formula": "=COUNTIFS(RoleSchemaViews!{{RoleSchema}}, {{RoleSchemaId}})"
   },
   {
    "name": "IsEmptySchema",
    "datatype": "boolean",
    "type": "calculated",
    "nullable": true,
    "Description": "True when the schema exposes no views, so the principal can read nothing at all.",
    "formula": "={{ViewCount}} = 0"
   },
   {
    "name": "SemanticTypeIri",
    "datatype": "string",
    "type": "raw",
    "nullable": true,
    "Description": "Semantic type IRI."
   }
  ],
  "data": [
   {
    "RoleSchemaId": "schema-finance-analyst",
    "Principal": "principal-finance-analyst",
    "SchemaName": "pko_finance_analyst",
    "IsSealed": true,
    "SemanticTypeIri": "urn:effortless:pko-extension#RoleSchema",
    "Name": "pko_finance_analyst",
    "SearchPath": "pko_finance_analyst",
    "ViewCount": 7,
    "IsEmptySchema": false
   },
   {
    "RoleSchemaId": "schema-controller",
    "Principal": "principal-controller",
    "SchemaName": "pko_controller",
    "IsSealed": true,
    "SemanticTypeIri": "urn:effortless:pko-extension#RoleSchema",
    "Name": "pko_controller",
    "SearchPath": "pko_controller",
    "ViewCount": 8,
    "IsEmptySchema": false
   },
   {
    "RoleSchemaId": "schema-cfo",
    "Principal": "principal-cfo",
    "SchemaName": "pko_cfo",
    "IsSealed": true,
    "SemanticTypeIri": "urn:effortless:pko-extension#RoleSchema",
    "Name": "pko_cfo",
    "SearchPath": "pko_cfo",
    "ViewCount": 5,
    "IsEmptySchema": false
   },
   {
    "RoleSchemaId": "schema-hr-policy-owner",
    "Principal": "principal-hr-policy-owner",
    "SchemaName": "pko_hr_policy_owner",
    "IsSealed": true,
    "SemanticTypeIri": "urn:effortless:pko-extension#RoleSchema",
    "Name": "pko_hr_policy_owner",
    "SearchPath": "pko_hr_policy_owner",
    "ViewCount": 6,
    "IsEmptySchema": false
   },
   {
    "RoleSchemaId": "schema-employment-counsel",
    "Principal": "principal-employment-counsel",
    "SchemaName": "pko_employment_counsel",
    "IsSealed": true,
    "SemanticTypeIri": "urn:effortless:pko-extension#RoleSchema",
    "Name": "pko_employment_counsel",
    "SearchPath": "pko_employment_counsel",
    "ViewCount": 5,
    "IsEmptySchema": false
   },
   {
    "RoleSchemaId": "schema-communications-manager",
    "Principal": "principal-communications-manager",
    "SchemaName": "pko_communications_manager",
    "IsSealed": true,
    "SemanticTypeIri": "urn:effortless:pko-extension#RoleSchema",
    "Name": "pko_communications_manager",
    "SearchPath": "pko_communications_manager",
    "ViewCount": 6,
    "IsEmptySchema": false
   },
   {
    "RoleSchemaId": "schema-close-automation",
    "Principal": "principal-close-automation",
    "SchemaName": "pko_close_automation",
    "IsSealed": true,
    "SemanticTypeIri": "urn:effortless:pko-extension#RoleSchema",
    "Name": "pko_close_automation",
    "SearchPath": "pko_close_automation",
    "ViewCount": 3,
    "IsEmptySchema": false
   },
   {
    "RoleSchemaId": "schema-variance-review-agent",
    "Principal": "principal-variance-review-agent",
    "SchemaName": "pko_variance_review_agent",
    "IsSealed": true,
    "SemanticTypeIri": "urn:effortless:pko-extension#RoleSchema",
    "Name": "pko_variance_review_agent",
    "SearchPath": "pko_variance_review_agent",
    "ViewCount": 5,
    "IsEmptySchema": false
   },
   {
    "RoleSchemaId": "schema-policy-drafting-agent",
    "Principal": "principal-policy-drafting-agent",
    "SchemaName": "pko_policy_drafting_agent",
    "IsSealed": true,
    "SemanticTypeIri": "urn:effortless:pko-extension#RoleSchema",
    "Name": "pko_policy_drafting_agent",
    "SearchPath": "pko_policy_drafting_agent",
    "ViewCount": 4,
    "IsEmptySchema": false
   },
   {
    "RoleSchemaId": "schema-notification-publisher",
    "Principal": "principal-notification-publisher",
    "SchemaName": "pko_notification_publisher",
    "IsSealed": true,
    "SemanticTypeIri": "urn:effortless:pko-extension#RoleSchema",
    "Name": "pko_notification_publisher",
    "SearchPath": "pko_notification_publisher",
    "ViewCount": 5,
    "IsEmptySchema": false
   },
   {
    "RoleSchemaId": "schema-process-steward",
    "Principal": "principal-process-steward",
    "SchemaName": "pko_process_steward",
    "IsSealed": true,
    "SemanticTypeIri": "urn:effortless:pko-extension#RoleSchema",
    "Name": "pko_process_steward",
    "SearchPath": "pko_process_steward",
    "ViewCount": 74,
    "IsEmptySchema": false
   },
   {
    "RoleSchemaId": "schema-knowledge-authority",
    "Principal": "principal-knowledge-authority",
    "SchemaName": "pko_knowledge_authority",
    "IsSealed": true,
    "SemanticTypeIri": "urn:effortless:pko-extension#RoleSchema",
    "Name": "pko_knowledge_authority",
    "SearchPath": "pko_knowledge_authority",
    "ViewCount": 74,
    "IsEmptySchema": false
   }
  ]
 },
 "RoleSchemaViews": {
  "Description": "The emitted views: one per principal x table. ColumnList is DERIVED from FieldGrants, so toggling a single grant changes the emitted DDL with no second edit anywhere. This is what makes an admin's save reshape the database without touching UI code.",
  "important": true,
  "schema": [
   {
    "name": "RoleSchemaViewId",
    "datatype": "string",
    "type": "raw",
    "nullable": false,
    "Description": "Stored logical identifier, e.g. 'rsv-controller-procedures'."
   },
   {
    "name": "Name",
    "datatype": "string",
    "type": "calculated",
    "nullable": true,
    "Description": "Human-readable calculated display alias.",
    "formula": "={{SchemaName}} &amp; \".\" &amp; {{ViewName}}"
   },
   {
    "name": "RoleSchema",
    "datatype": "string",
    "type": "relationship",
    "nullable": true,
    "Description": "Schema this view is emitted into.",
    "RelatedTo": "RoleSchemas"
   },
   {
    "name": "Principal",
    "datatype": "string",
    "type": "relationship",
    "nullable": true,
    "Description": "Principal that will read this view.",
    "RelatedTo": "AccessPrincipals"
   },
   {
    "name": "TargetTable",
    "datatype": "string",
    "type": "relationship",
    "nullable": true,
    "Description": "Rulebook table this view exposes.",
    "RelatedTo": "RulebookTables"
   },
   {
    "name": "ViewName",
    "datatype": "string",
    "type": "raw",
    "nullable": true,
    "Description": "Unqualified view name inside the principal's schema, e.g. 'procedures'."
   },
   {
    "name": "SchemaName",
    "datatype": "string",
    "type": "lookup",
    "nullable": true,
    "Description": "Schema name, from the owning RoleSchemas row.",
    "formula": "=INDEX(RoleSchemas!{{SchemaName}}, MATCH({{RoleSchema}}, RoleSchemas!{{RoleSchemaId}}, 0))"
   },
   {
    "name": "SourceView",
    "datatype": "string",
    "type": "lookup",
    "nullable": true,
    "Description": "Underlying computed view this narrows, e.g. 'vw_procedures'.",
    "formula": "=INDEX(RulebookTables!{{PhysicalView}}, MATCH({{TargetTable}}, RulebookTables!{{RulebookTableId}}, 0))"
   },
   {
    "name": "GrantKey",
    "datatype": "string",
    "type": "calculated",
    "nullable": true,
    "Description": "Composite key matching FieldGrants.GrantKeyWhenReadable, used to roll up this view's readable column count.",
    "formula": "={{Principal}} &amp; \"|\" &amp; {{TargetTable}}"
   },
   {
    "name": "ColumnCount",
    "datatype": "number",
    "type": "aggregation",
    "nullable": true,
    "Description": "Number of columns exposed, derived live from the principal's readable field grants. Change one grant and this view's shape changes.",
    "formula": "=COUNTIFS(FieldGrants!{{GrantKeyWhenReadable}}, {{GrantKey}})"
   },
   {
    "name": "TableFieldCount",
    "datatype": "number",
    "type": "lookup",
    "nullable": true,
    "Description": "Total catalogued fields on the target table.",
    "formula": "=INDEX(RulebookTables!{{FieldCount}}, MATCH({{TargetTable}}, RulebookTables!{{RulebookTableId}}, 0))"
   },
   {
    "name": "IsFullWidth",
    "datatype": "boolean",
    "type": "calculated",
    "nullable": true,
    "Description": "True when every field on the table is exposed, so the horizontal cut removes nothing.",
    "formula": "=AND({{ColumnCount}} &gt; 0, {{ColumnCount}} &gt;= {{TableFieldCount}})"
   },
   {
    "name": "IsDegenerateView",
    "datatype": "boolean",
    "type": "calculated",
    "nullable": true,
    "Description": "True when the view exposes zero columns -- an emitted view that cannot be selected from. A generator that emits this has produced invalid DDL.",
    "formula": "={{ColumnCount}} = 0"
   },
   {
    "name": "SemanticTypeIri",
    "datatype": "string",
    "type": "raw",
    "nullable": true,
    "Description": "Semantic type IRI."
   }
  ],
  "data": [
   {
    "RoleSchemaViewId": "rsv-finance-analyst-steps",
    "RoleSchema": "schema-finance-analyst",
    "Principal": "principal-finance-analyst",
    "TargetTable": "Steps",
    "ViewName": "steps",
    "SemanticTypeIri": "urn:effortless:pko-extension#RoleSchemaView",
    "Name": "pko_finance_analyst.steps",
    "SchemaName": "pko_finance_analyst",
    "SourceView": "vw_steps",
    "GrantKey": "principal-finance-analyst|Steps",
    "ColumnCount": 12,
    "TableFieldCount": 42,
    "IsFullWidth": false,
    "IsDegenerateView": false
   },
   {
    "RoleSchemaViewId": "rsv-finance-analyst-step_executions",
    "RoleSchema": "schema-finance-analyst",
    "Principal": "principal-finance-analyst",
    "TargetTable": "StepExecutions",
    "ViewName": "step_executions",
    "SemanticTypeIri": "urn:effortless:pko-extension#RoleSchemaView",
    "Name": "pko_finance_analyst.step_executions",
    "SchemaName": "pko_finance_analyst",
    "SourceView": "vw_step_executions",
    "GrantKey": "principal-finance-analyst|StepExecutions",
    "ColumnCount": 10,
    "TableFieldCount": 109,
    "IsFullWidth": false,
    "IsDegenerateView": false
   },
   {
    "RoleSchemaViewId": "rsv-finance-analyst-procedure_executions",
    "RoleSchema": "schema-finance-analyst",
    "Principal": "principal-finance-analyst",
    "TargetTable": "ProcedureExecutions",
    "ViewName": "procedure_executions",
    "SemanticTypeIri": "urn:effortless:pko-extension#RoleSchemaView",
    "Name": "pko_finance_analyst.procedure_executions",
    "SchemaName": "pko_finance_analyst",
    "SourceView": "vw_procedure_executions",
    "GrantKey": "principal-finance-analyst|ProcedureExecutions",
    "ColumnCount": 6,
    "TableFieldCount": 78,
    "IsFullWidth": false,
    "IsDegenerateView": false
   },
   {
    "RoleSchemaViewId": "rsv-finance-analyst-requirements",
    "RoleSchema": "schema-finance-analyst",
    "Principal": "principal-finance-analyst",
    "TargetTable": "Requirements",
    "ViewName": "requirements",
    "SemanticTypeIri": "urn:effortless:pko-extension#RoleSchemaView",
    "Name": "pko_finance_analyst.requirements",
    "SchemaName": "pko_finance_analyst",
    "SourceView": "vw_requirements",
    "GrantKey": "principal-finance-analyst|Requirements",
    "ColumnCount": 6,
    "TableFieldCount": 43,
    "IsFullWidth": false,
    "IsDegenerateView": false
   },
   {
    "RoleSchemaViewId": "rsv-finance-analyst-requirement_satisfactions",
    "RoleSchema": "schema-finance-analyst",
    "Principal": "principal-finance-analyst",
    "TargetTable": "RequirementSatisfactions",
    "ViewName": "requirement_satisfactions",
    "SemanticTypeIri": "urn:effortless:pko-extension#RoleSchemaView",
    "Name": "pko_finance_analyst.requirement_satisfactions",
    "SchemaName": "pko_finance_analyst",
    "SourceView": "vw_requirement_satisfactions",
    "GrantKey": "principal-finance-analyst|RequirementSatisfactions",
    "ColumnCount": 6,
    "TableFieldCount": 46,
    "IsFullWidth": false,
    "IsDegenerateView": false
   },
   {
    "RoleSchemaViewId": "rsv-finance-analyst-procedures",
    "RoleSchema": "schema-finance-analyst",
    "Principal": "principal-finance-analyst",
    "TargetTable": "Procedures",
    "ViewName": "procedures",
    "SemanticTypeIri": "urn:effortless:pko-extension#RoleSchemaView",
    "Name": "pko_finance_analyst.procedures",
    "SchemaName": "pko_finance_analyst",
    "SourceView": "vw_procedures",
    "GrantKey": "principal-finance-analyst|Procedures",
    "ColumnCount": 4,
    "TableFieldCount": 11,
    "IsFullWidth": false,
    "IsDegenerateView": false
   },
   {
    "RoleSchemaViewId": "rsv-finance-analyst-procedure_versions",
    "RoleSchema": "schema-finance-analyst",
    "Principal": "principal-finance-analyst",
    "TargetTable": "ProcedureVersions",
    "ViewName": "procedure_versions",
    "SemanticTypeIri": "urn:effortless:pko-extension#RoleSchemaView",
    "Name": "pko_finance_analyst.procedure_versions",
    "SchemaName": "pko_finance_analyst",
    "SourceView": "vw_procedure_versions",
    "GrantKey": "principal-finance-analyst|ProcedureVersions",
    "ColumnCount": 7,
    "TableFieldCount": 86,
    "IsFullWidth": false,
    "IsDegenerateView": false
   },
   {
    "RoleSchemaViewId": "rsv-controller-steps",
    "RoleSchema": "schema-controller",
    "Principal": "principal-controller",
    "TargetTable": "Steps",
    "ViewName": "steps",
    "SemanticTypeIri": "urn:effortless:pko-extension#RoleSchemaView",
    "Name": "pko_controller.steps",
    "SchemaName": "pko_controller",
    "SourceView": "vw_steps",
    "GrantKey": "principal-controller|Steps",
    "ColumnCount": 13,
    "TableFieldCount": 42,
    "IsFullWidth": false,
    "IsDegenerateView": false
   },
   {
    "RoleSchemaViewId": "rsv-controller-step_executions",
    "RoleSchema": "schema-controller",
    "Principal": "principal-controller",
    "TargetTable": "StepExecutions",
    "ViewName": "step_executions",
    "SemanticTypeIri": "urn:effortless:pko-extension#RoleSchemaView",
    "Name": "pko_controller.step_executions",
    "SchemaName": "pko_controller",
    "SourceView": "vw_step_executions",
    "GrantKey": "principal-controller|StepExecutions",
    "ColumnCount": 8,
    "TableFieldCount": 109,
    "IsFullWidth": false,
    "IsDegenerateView": false
   },
   {
    "RoleSchemaViewId": "rsv-controller-procedure_executions",
    "RoleSchema": "schema-controller",
    "Principal": "principal-controller",
    "TargetTable": "ProcedureExecutions",
    "ViewName": "procedure_executions",
    "SemanticTypeIri": "urn:effortless:pko-extension#RoleSchemaView",
    "Name": "pko_controller.procedure_executions",
    "SchemaName": "pko_controller",
    "SourceView": "vw_procedure_executions",
    "GrantKey": "principal-controller|ProcedureExecutions",
    "ColumnCount": 6,
    "TableFieldCount": 78,
    "IsFullWidth": false,
    "IsDegenerateView": false
   },
   {
    "RoleSchemaViewId": "rsv-controller-exceptions",
    "RoleSchema": "schema-controller",
    "Principal": "principal-controller",
    "TargetTable": "Exceptions",
    "ViewName": "exceptions",
    "SemanticTypeIri": "urn:effortless:pko-extension#RoleSchemaView",
    "Name": "pko_controller.exceptions",
    "SchemaName": "pko_controller",
    "SourceView": "vw_exceptions",
    "GrantKey": "principal-controller|Exceptions",
    "ColumnCount": 11,
    "TableFieldCount": 11,
    "IsFullWidth": true,
    "IsDegenerateView": false
   },
   {
    "RoleSchemaViewId": "rsv-controller-change_requests",
    "RoleSchema": "schema-controller",
    "Principal": "principal-controller",
    "TargetTable": "ChangeRequests",
    "ViewName": "change_requests",
    "SemanticTypeIri": "urn:effortless:pko-extension#RoleSchemaView",
    "Name": "pko_controller.change_requests",
    "SchemaName": "pko_controller",
    "SourceView": "vw_change_requests",
    "GrantKey": "principal-controller|ChangeRequests",
    "ColumnCount": 10,
    "TableFieldCount": 45,
    "IsFullWidth": false,
    "IsDegenerateView": false
   },
   {
    "RoleSchemaViewId": "rsv-controller-knowledge_fragments",
    "RoleSchema": "schema-controller",
    "Principal": "principal-controller",
    "TargetTable": "KnowledgeFragments",
    "ViewName": "knowledge_fragments",
    "SemanticTypeIri": "urn:effortle</t>
  </si>
  <si>
    <t xml:space="preserve">ss:pko-extension#RoleSchemaView",
    "Name": "pko_controller.knowledge_fragments",
    "SchemaName": "pko_controller",
    "SourceView": "vw_knowledge_fragments",
    "GrantKey": "principal-controller|KnowledgeFragments",
    "ColumnCount": 8,
    "TableFieldCount": 80,
    "IsFullWidth": false,
    "IsDegenerateView": false
   },
   {
    "RoleSchemaViewId": "rsv-controller-requirements",
    "RoleSchema": "schema-controller",
    "Principal": "principal-controller",
    "TargetTable": "Requirements",
    "ViewName": "requirements",
    "SemanticTypeIri": "urn:effortless:pko-extension#RoleSchemaView",
    "Name": "pko_controller.requirements",
    "SchemaName": "pko_controller",
    "SourceView": "vw_requirements",
    "GrantKey": "principal-controller|Requirements",
    "ColumnCount": 6,
    "TableFieldCount": 43,
    "IsFullWidth": false,
    "IsDegenerateView": false
   },
   {
    "RoleSchemaViewId": "rsv-controller-procedure_versions",
    "RoleSchema": "schema-controller",
    "Principal": "principal-controller",
    "TargetTable": "ProcedureVersions",
    "ViewName": "procedure_versions",
    "SemanticTypeIri": "urn:effortless:pko-extension#RoleSchemaView",
    "Name": "pko_controller.procedure_versions",
    "SchemaName": "pko_controller",
    "SourceView": "vw_procedure_versions",
    "GrantKey": "principal-controller|ProcedureVersions",
    "ColumnCount": 7,
    "TableFieldCount": 86,
    "IsFullWidth": false,
    "IsDegenerateView": false
   },
   {
    "RoleSchemaViewId": "rsv-cfo-procedure_executions",
    "RoleSchema": "schema-cfo",
    "Principal": "principal-cfo",
    "TargetTable": "ProcedureExecutions",
    "ViewName": "procedure_executions",
    "SemanticTypeIri": "urn:effortless:pko-extension#RoleSchemaView",
    "Name": "pko_cfo.procedure_executions",
    "SchemaName": "pko_cfo",
    "SourceView": "vw_procedure_executions",
    "GrantKey": "principal-cfo|ProcedureExecutions",
    "ColumnCount": 6,
    "TableFieldCount": 78,
    "IsFullWidth": false,
    "IsDegenerateView": false
   },
   {
    "RoleSchemaViewId": "rsv-cfo-exceptions",
    "RoleSchema": "schema-cfo",
    "Principal": "principal-cfo",
    "TargetTable": "Exceptions",
    "ViewName": "exceptions",
    "SemanticTypeIri": "urn:effortless:pko-extension#RoleSchemaView",
    "Name": "pko_cfo.exceptions",
    "SchemaName": "pko_cfo",
    "SourceView": "vw_exceptions",
    "GrantKey": "principal-cfo|Exceptions",
    "ColumnCount": 11,
    "TableFieldCount": 11,
    "IsFullWidth": true,
    "IsDegenerateView": false
   },
   {
    "RoleSchemaViewId": "rsv-cfo-change_requests",
    "RoleSchema": "schema-cfo",
    "Principal": "principal-cfo",
    "TargetTable": "ChangeRequests",
    "ViewName": "change_requests",
    "SemanticTypeIri": "urn:effortless:pko-extension#RoleSchemaView",
    "Name": "pko_cfo.change_requests",
    "SchemaName": "pko_cfo",
    "SourceView": "vw_change_requests",
    "GrantKey": "principal-cfo|ChangeRequests",
    "ColumnCount": 9,
    "TableFieldCount": 45,
    "IsFullWidth": false,
    "IsDegenerateView": false
   },
   {
    "RoleSchemaViewId": "rsv-cfo-authority_boundaries",
    "RoleSchema": "schema-cfo",
    "Principal": "principal-cfo",
    "TargetTable": "AuthorityBoundaries",
    "ViewName": "authority_boundaries",
    "SemanticTypeIri": "urn:effortless:pko-extension#RoleSchemaView",
    "Name": "pko_cfo.authority_boundaries",
    "SchemaName": "pko_cfo",
    "SourceView": "vw_authority_boundaries",
    "GrantKey": "principal-cfo|AuthorityBoundaries",
    "ColumnCount": 7,
    "TableFieldCount": 33,
    "IsFullWidth": false,
    "IsDegenerateView": false
   },
   {
    "RoleSchemaViewId": "rsv-cfo-procedures",
    "RoleSchema": "schema-cfo",
    "Principal": "principal-cfo",
    "TargetTable": "Procedures",
    "ViewName": "procedures",
    "SemanticTypeIri": "urn:effortless:pko-extension#RoleSchemaView",
    "Name": "pko_cfo.procedures",
    "SchemaName": "pko_cfo",
    "SourceView": "vw_procedures",
    "GrantKey": "principal-cfo|Procedures",
    "ColumnCount": 4,
    "TableFieldCount": 11,
    "IsFullWidth": false,
    "IsDegenerateView": false
   },
   {
    "RoleSchemaViewId": "rsv-hr-policy-owner-steps",
    "RoleSchema": "schema-hr-policy-owner",
    "Principal": "principal-hr-policy-owner",
    "TargetTable": "Steps",
    "ViewName": "steps",
    "SemanticTypeIri": "urn:effortless:pko-extension#RoleSchemaView",
    "Name": "pko_hr_policy_owner.steps",
    "SchemaName": "pko_hr_policy_owner",
    "SourceView": "vw_steps",
    "GrantKey": "principal-hr-policy-owner|Steps",
    "ColumnCount": 12,
    "TableFieldCount": 42,
    "IsFullWidth": false,
    "IsDegenerateView": false
   },
   {
    "RoleSchemaViewId": "rsv-hr-policy-owner-knowledge_fragments",
    "RoleSchema": "schema-hr-policy-owner",
    "Principal": "principal-hr-policy-owner",
    "TargetTable": "KnowledgeFragments",
    "ViewName": "knowledge_fragments",
    "SemanticTypeIri": "urn:effortless:pko-extension#RoleSchemaView",
    "Name": "pko_hr_policy_owner.knowledge_fragments",
    "SchemaName": "pko_hr_policy_owner",
    "SourceView": "vw_knowledge_fragments",
    "GrantKey": "principal-hr-policy-owner|KnowledgeFragments",
    "ColumnCount": 10,
    "TableFieldCount": 80,
    "IsFullWidth": false,
    "IsDegenerateView": false
   },
   {
    "RoleSchemaViewId": "rsv-hr-policy-owner-knowledge_gaps",
    "RoleSchema": "schema-hr-policy-owner",
    "Principal": "principal-hr-policy-owner",
    "TargetTable": "KnowledgeGaps",
    "ViewName": "knowledge_gaps",
    "SemanticTypeIri": "urn:effortless:pko-extension#RoleSchemaView",
    "Name": "pko_hr_policy_owner.knowledge_gaps",
    "SchemaName": "pko_hr_policy_owner",
    "SourceView": "vw_knowledge_gaps",
    "GrantKey": "principal-hr-policy-owner|KnowledgeGaps",
    "ColumnCount": 8,
    "TableFieldCount": 28,
    "IsFullWidth": false,
    "IsDegenerateView": false
   },
   {
    "RoleSchemaViewId": "rsv-hr-policy-owner-change_requests",
    "RoleSchema": "schema-hr-policy-owner",
    "Principal": "principal-hr-policy-owner",
    "TargetTable": "ChangeRequests",
    "ViewName": "change_requests",
    "SemanticTypeIri": "urn:effortless:pko-extension#RoleSchemaView",
    "Name": "pko_hr_policy_owner.change_requests",
    "SchemaName": "pko_hr_policy_owner",
    "SourceView": "vw_change_requests",
    "GrantKey": "principal-hr-policy-owner|ChangeRequests",
    "ColumnCount": 10,
    "TableFieldCount": 45,
    "IsFullWidth": false,
    "IsDegenerateView": false
   },
   {
    "RoleSchemaViewId": "rsv-hr-policy-owner-exceptions",
    "RoleSchema": "schema-hr-policy-owner",
    "Principal": "principal-hr-policy-owner",
    "TargetTable": "Exceptions",
    "ViewName": "exceptions",
    "SemanticTypeIri": "urn:effortless:pko-extension#RoleSchemaView",
    "Name": "pko_hr_policy_owner.exceptions",
    "SchemaName": "pko_hr_policy_owner",
    "SourceView": "vw_exceptions",
    "GrantKey": "principal-hr-policy-owner|Exceptions",
    "ColumnCount": 11,
    "TableFieldCount": 11,
    "IsFullWidth": true,
    "IsDegenerateView": false
   },
   {
    "RoleSchemaViewId": "rsv-hr-policy-owner-message_templates",
    "RoleSchema": "schema-hr-policy-owner",
    "Principal": "principal-hr-policy-owner",
    "TargetTable": "MessageTemplates",
    "ViewName": "message_templates",
    "SemanticTypeIri": "urn:effortless:pko-extension#RoleSchemaView",
    "Name": "pko_hr_policy_owner.message_templates",
    "SchemaName": "pko_hr_policy_owner",
    "SourceView": "vw_message_templates",
    "GrantKey": "principal-hr-policy-owner|MessageTemplates",
    "ColumnCount": 5,
    "TableFieldCount": 26,
    "IsFullWidth": false,
    "IsDegenerateView": false
   },
   {
    "RoleSchemaViewId": "rsv-employment-counsel-change_requests",
    "RoleSchema": "schema-employment-counsel",
    "Principal": "principal-employment-counsel",
    "TargetTable": "ChangeRequests",
    "ViewName": "change_requests",
    "SemanticTypeIri": "urn:effortless:pko-extension#RoleSchemaView",
    "Name": "pko_employment_counsel.change_requests",
    "SchemaName": "pko_employment_counsel",
    "SourceView": "vw_change_requests",
    "GrantKey": "principal-employment-counsel|ChangeRequests",
    "ColumnCount": 9,
    "TableFieldCount": 45,
    "IsFullWidth": false,
    "IsDegenerateView": false
   },
   {
    "RoleSchemaViewId": "rsv-employment-counsel-knowledge_fragments",
    "RoleSchema": "schema-employment-counsel",
    "Principal": "principal-employment-counsel",
    "TargetTable": "KnowledgeFragments",
    "ViewName": "knowledge_fragments",
    "SemanticTypeIri": "urn:effortless:pko-extension#RoleSchemaView",
    "Name": "pko_employment_counsel.knowledge_fragments",
    "SchemaName": "pko_employment_counsel",
    "SourceView": "vw_knowledge_fragments",
    "GrantKey": "principal-employment-counsel|KnowledgeFragments",
    "ColumnCount": 8,
    "TableFieldCount": 80,
    "IsFullWidth": false,
    "IsDegenerateView": false
   },
   {
    "RoleSchemaViewId": "rsv-employment-counsel-authority_boundaries",
    "RoleSchema": "schema-employment-counsel",
    "Principal": "principal-employment-counsel",
    "TargetTable": "AuthorityBoundaries",
    "ViewName": "authority_boundaries",
    "SemanticTypeIri": "urn:effortless:pko-extension#RoleSchemaView",
    "Name": "pko_employment_counsel.authority_boundaries",
    "SchemaName": "pko_employment_counsel",
    "SourceView": "vw_authority_boundaries",
    "GrantKey": "principal-employment-counsel|AuthorityBoundaries",
    "ColumnCount": 6,
    "TableFieldCount": 33,
    "IsFullWidth": false,
    "IsDegenerateView": false
   },
   {
    "RoleSchemaViewId": "rsv-employment-counsel-communication_policies",
    "RoleSchema": "schema-employment-counsel",
    "Principal": "principal-employment-counsel",
    "TargetTable": "CommunicationPolicies",
    "ViewName": "communication_policies",
    "SemanticTypeIri": "urn:effortless:pko-extension#RoleSchemaView",
    "Name": "pko_employment_counsel.communication_policies",
    "SchemaName": "pko_employment_counsel",
    "SourceView": "vw_communication_policies",
    "GrantKey": "principal-employment-counsel|CommunicationPolicies",
    "ColumnCount": 8,
    "TableFieldCount": 22,
    "IsFullWidth": false,
    "IsDegenerateView": false
   },
   {
    "RoleSchemaViewId": "rsv-employment-counsel-steps",
    "RoleSchema": "schema-employment-counsel",
    "Principal": "principal-employment-counsel",
    "TargetTable": "Steps",
    "ViewName": "steps",
    "SemanticTypeIri": "urn:effortless:pko-extension#RoleSchemaView",
    "Name": "pko_employment_counsel.steps",
    "SchemaName": "pko_employment_counsel",
    "SourceView": "vw_steps",
    "GrantKey": "principal-employment-counsel|Steps",
    "ColumnCount": 9,
    "TableFieldCount": 42,
    "IsFullWidth": false,
    "IsDegenerateView": false
   },
   {
    "RoleSchemaViewId": "rsv-communications-manager-communication_policies",
    "RoleSchema": "schema-communications-manager",
    "Principal": "principal-communications-manager",
    "TargetTable": "CommunicationPolicies",
    "ViewName": "communication_policies",
    "SemanticTypeIri": "urn:effortless:pko-extension#RoleSchemaView",
    "Name": "pko_communications_manager.communication_policies",
    "SchemaName": "pko_communications_manager",
    "SourceView": "vw_communication_policies",
    "GrantKey": "principal-communications-manager|CommunicationPolicies",
    "ColumnCount": 22,
    "TableFieldCount": 22,
    "IsFullWidth": true,
    "IsDegenerateView": false
   },
   {
    "RoleSchemaViewId": "rsv-communications-manager-message_templates",
    "RoleSchema": "schema-communications-manager",
    "Principal": "principal-communications-manager",
    "TargetTable": "MessageTemplates",
    "ViewName": "message_templates",
    "SemanticTypeIri": "urn:effortless:pko-extension#RoleSchemaView",
    "Name": "pko_communications_manager.message_templates",
    "SchemaName": "pko_communications_manager",
    "SourceView": "vw_message_templates",
    "GrantKey": "principal-communications-manager|MessageTemplates",
    "ColumnCount": 7,
    "TableFieldCount": 26,
    "IsFullWidth": false,
    "IsDegenerateView": false
   },
   {
    "RoleSchemaViewId": "rsv-communications-manager-send_intents",
    "RoleSchema": "schema-communications-manager",
    "Principal": "principal-communications-manager",
    "TargetTable": "SendIntents",
    "ViewName": "send_intents",
    "SemanticTypeIri": "urn:effortless:pko-extension#RoleSchemaView",
    "Name": "pko_communications_manager.send_intents",
    "SchemaName": "pko_communications_manager",
    "SourceView": "vw_send_intents",
    "GrantKey": "principal-communications-manager|SendIntents",
    "ColumnCount": 7,
    "TableFieldCount": 100,
    "IsFullWidth": false,
    "IsDegenerateView": false
   },
   {
    "RoleSchemaViewId": "rsv-communications-manager-message_deliveries",
    "RoleSchema": "schema-communications-manager",
    "Principal": "principal-communications-manager",
    "TargetTable": "MessageDeliveries",
    "ViewName": "message_deliveries",
    "SemanticTypeIri": "urn:effortless:pko-extension#RoleSchemaView",
    "Name": "pko_communications_manager.message_deliveries",
    "SchemaName": "pko_communications_manager",
    "SourceView": "vw_message_deliveries",
    "GrantKey": "principal-communications-manager|MessageDeliveries",
    "ColumnCount": 8,
    "TableFieldCount": 94,
    "IsFullWidth": false,
    "IsDegenerateView": false
   },
   {
    "RoleSchemaViewId": "rsv-communications-manager-recipients",
    "RoleSchema": "schema-communications-manager",
    "Principal": "principal-communications-manager",
    "TargetTable": "Recipients",
    "ViewName": "recipients",
    "SemanticTypeIri": "urn:effortless:pko-extension#RoleSchemaView",
    "Name": "pko_communications_manager.recipients",
    "SchemaName": "pko_communications_manager",
    "SourceView": "vw_recipients",
    "GrantKey": "principal-communications-manager|Recipients",
    "ColumnCount": 6,
    "TableFieldCount": 15,
    "IsFullWidth": false,
    "IsDegenerateView": false
   },
   {
    "RoleSchemaViewId": "rsv-communications-manager-knowledge_gaps",
    "RoleSchema": "schema-communications-manager",
    "Principal": "principal-communications-manager",
    "TargetTable": "KnowledgeGaps",
    "ViewName": "knowledge_gaps",
    "SemanticTypeIri": "urn:effortless:pko-extension#RoleSchemaView",
    "Name": "pko_communications_manager.knowledge_gaps",
    "SchemaName": "pko_communications_manager",
    "SourceView": "vw_knowledge_gaps",
    "GrantKey": "principal-communications-manager|KnowledgeGaps",
    "ColumnCount": 7,
    "TableFieldCount": 28,
    "IsFullWidth": false,
    "IsDegenerateView": false
   },
   {
    "RoleSchemaViewId": "rsv-close-automation-steps",
    "RoleSchema": "schema-close-automation",
    "Principal": "principal-close-automation",
    "TargetTable": "Steps",
    "ViewName": "steps",
    "SemanticTypeIri": "urn:effortless:pko-extension#RoleSchemaView",
    "Name": "pko_close_automation.steps",
    "SchemaName": "pko_close_automation",
    "SourceView": "vw_steps",
    "GrantKey": "principal-close-automation|Steps",
    "ColumnCount": 10,
    "TableFieldCount": 42,
    "IsFullWidth": false,
    "IsDegenerateView": false
   },
   {
    "RoleSchemaViewId": "rsv-close-automation-step_executions",
    "RoleSchema": "schema-close-automation",
    "Principal": "principal-close-automation",
    "TargetTable": "StepExecutions",
    "ViewName": "step_executions",
    "SemanticTypeIri": "urn:effortless:pko-extension#RoleSchemaView",
    "Name": "pko_close_automation.step_executions",
    "SchemaName": "pko_close_automation",
    "SourceView": "vw_step_executions",
    "GrantKey": "principal-close-automation|StepExecutions",
    "ColumnCount": 7,
    "TableFieldCount": 109,
    "IsFullWidth": false,
    "IsDegenerateView": false
   },
   {
    "RoleSchemaViewId": "rsv-close-automation-errors",
    "RoleSchema": "schema-close-automation",
    "Principal": "principal-close-automation",
    "TargetTable": "Errors",
    "ViewName": "errors",
    "SemanticTypeIri": "urn:effortless:pko-extension#RoleSchemaView",
    "Name": "pko_close_automation.errors",
    "SchemaName": "pko_close_automation",
    "SourceView": "vw_errors",
    "GrantKey": "principal-close-automation|Errors",
    "ColumnCount": 6,
    "TableFieldCount": 6,
    "IsFullWidth": true,
    "IsDegenerateView": false
   },
   {
    "RoleSchemaViewId": "rsv-variance-review-agent-steps",
    "RoleSchema": "schema-variance-review-agent",
    "Principal": "principal-variance-review-agent",
    "TargetTable": "Steps",
    "ViewName": "steps",
    "SemanticTypeIri": "urn:effortless:pko-extension#RoleSchemaView",
    "Name": "pko_variance_review_agent.steps",
    "SchemaName": "pko_variance_review_agent",
    "SourceView": "vw_steps",
    "GrantKey": "principal-variance-review-agent|Steps",
    "ColumnCount": 9,
    "TableFieldCount": 42,
    "IsFullWidth": false,
    "IsDegenerateView": false
   },
   {
    "RoleSchemaViewId": "rsv-variance-review-agent-step_executions",
    "RoleSchema": "schema-variance-review-agent",
    "Principal": "principal-variance-review-agent",
    "TargetTable": "StepExecutions",
    "ViewName": "step_executions",
    "SemanticTypeIri": "urn:effortless:pko-extension#RoleSchemaView",
    "Name": "pko_variance_review_agent.step_executions",
    "SchemaName": "pko_variance_review_agent",
    "SourceView": "vw_step_executions",
    "GrantKey": "principal-variance-review-agent|StepExecutions",
    "ColumnCount": 9,
    "TableFieldCount": 109,
    "IsFullWidth": false,
    "IsDegenerateView": false
   },
   {
    "RoleSchemaViewId": "rsv-variance-review-agent-requirements",
    "RoleSchema": "schema-variance-review-agent",
    "Principal": "principal-variance-review-agent",
    "TargetTable": "Requirements",
    "ViewName": "requirements",
    "SemanticTypeIri": "urn:effortless:pko-extension#RoleSchemaView",
    "Name": "pko_variance_review_agent.requirements",
    "SchemaName": "pko_variance_review_agent",
    "SourceView": "vw_requirements",
    "GrantKey": "principal-variance-review-agent|Requirements",
    "ColumnCount": 6,
    "TableFieldCount": 43,
    "IsFullWidth": false,
    "IsDegenerateView": false
   },
   {
    "RoleSchemaViewId": "rsv-variance-review-agent-requirement_satisfactions",
    "RoleSchema": "schema-variance-review-agent",
    "Principal": "principal-variance-review-agent",
    "TargetTable": "RequirementSatisfactions",
    "ViewName": "requirement_satisfactions",
    "SemanticTypeIri": "urn:effortless:pko-extension#RoleSchemaView",
    "Name": "pko_variance_review_agent.requirement_satisfactions",
    "SchemaName": "pko_variance_review_agent",
    "SourceView": "vw_requirement_satisfactions",
    "GrantKey": "principal-variance-review-agent|RequirementSatisfactions",
    "ColumnCount": 5,
    "TableFieldCount": 46,
    "IsFullWidth": false,
    "IsDegenerateView": false
   },
   {
    "RoleSchemaViewId": "rsv-variance-review-agent-errors",
    "RoleSchema": "schema-variance-review-agent",
    "Principal": "principal-variance-review-agent",
    "TargetTable": "Errors",
    "ViewName": "errors",
    "SemanticTypeIri": "urn:effortless:pko-extension#RoleSchemaView",
    "Name": "pko_variance_review_agent.errors",
    "SchemaName": "pko_variance_review_agent",
    "SourceView": "vw_errors",
    "GrantKey": "principal-variance-review-agent|Errors",
    "ColumnCount": 6,
    "TableFieldCount": 6,
    "IsFullWidth": true,
    "IsDegenerateView": false
   },
   {
    "RoleSchemaViewId": "rsv-policy-drafting-agent-message_templates",
    "RoleSchema": "schema-policy-drafting-agent",
    "Principal": "principal-policy-drafting-agent",
    "TargetTable": "MessageTemplates",
    "ViewName": "message_templates",
    "SemanticTypeIri": "urn:effortless:pko-extension#RoleSchemaView",
    "Name": "pko_policy_drafting_agent.message_templates",
    "SchemaName": "pko_policy_drafting_agent",
    "SourceView": "vw_message_templates",
    "GrantKey": "principal-policy-drafting-agent|MessageTemplates",
    "ColumnCount": 6,
    "TableFieldCount": 26,
    "IsFullWidth": false,
    "IsDegenerateView": false
   },
   {
    "RoleSchemaViewId": "rsv-policy-drafting-agent-communication_policies",
    "RoleSchema": "schema-policy-drafting-agent",
    "Principal": "principal-policy-drafting-agent",
    "TargetTable": "CommunicationPolicies",
    "ViewName": "communication_policies",
    "SemanticTypeIri": "urn:effortless:pko-extension#RoleSchemaView",
    "Name": "pko_policy_drafting_agent.communication_policies",
    "SchemaName": "pko_policy_drafting_agent",
    "SourceView": "vw_communication_policies",
    "GrantKey": "principal-policy-drafting-agent|CommunicationPolicies",
    "ColumnCount": 9,
    "TableFieldCount": 22,
    "IsFullWidth": false,
    "IsDegenerateView": false
   },
   {
    "RoleSchemaViewId": "rsv-policy-drafting-agent-knowledge_fragments",
    "RoleSchema": "schema-policy-drafting-agent",
    "Principal": "principal-policy-drafting-agent",
    "TargetTable": "KnowledgeFragments",
    "ViewName": "knowledge_fragments",
    "SemanticTypeIri": "urn:effortless:pko-extension#RoleSchemaView",
    "Name": "pko_policy_drafting_agent.knowledge_fragments",
    "SchemaName": "pko_policy_drafting_agent",
    "SourceView": "vw_knowledge_fragments",
    "GrantKey": "principal-policy-drafting-agent|KnowledgeFragments",
    "ColumnCount": 5,
    "TableFieldCount": 80,
    "IsFullWidth": false,
    "IsDegenerateView": false
   },
   {
    "RoleSchemaViewId": "rsv-policy-drafting-agent-steps",
    "RoleSchema": "schema-policy-drafting-agent",
    "Principal": "principal-policy-drafting-agent",
    "TargetTable": "Steps",
    "ViewName": "steps",
    "SemanticTypeIri": "urn:effortless:pko-extension#RoleSchemaView",
    "Name": "pko_policy_drafting_agent.steps",
    "SchemaName": "pko_policy_drafting_agent",
    "SourceView": "vw_steps",
    "GrantKey": "principal-policy-drafting-agent|Steps",
    "ColumnCount": 9,
    "TableFieldCount": 42,
    "IsFullWidth": false,
    "IsDegenerateView": false
   },
   {
    "RoleSchemaViewId": "rsv-notification-publisher-communication_policies",
    "RoleSchema": "schema-notification-publisher",
    "Principal": "principal-notification-publisher",
    "TargetTable": "CommunicationPolicies",
    "ViewName": "communication_policies",
    "SemanticTypeIri": "urn:effortless:pko-extension#RoleSchemaView",
    "Name": "pko_notification_publisher.communication_policies",
    "SchemaName": "pko_notification_publisher",
    "SourceView": "vw_communication_policies",
    "GrantKey": "principal-notification-publisher|CommunicationPolicies",
    "ColumnCount": 9,
    "TableFieldCount": 22,
    "IsFullWidth": false,
    "IsDegenerateView": false
   },
   {
    "RoleSchemaViewId": "rsv-notification-publisher-send_intents",
    "RoleSchema": "schema-notification-publisher",
    "Principal": "principal-notification-publisher",
    "TargetTable": "SendIntents",
    "ViewName": "send_intents",
    "SemanticTypeIri": "urn:effortless:pko-extension#RoleSchemaView",
    "Name": "pko_notification_publisher.send_intents",
    "SchemaName": "pko_notification_publisher",
    "SourceView": "vw_send_intents",
    "GrantKey": "principal-notification-publisher|SendIntents",
    "ColumnCount": 6,
    "TableFieldCount": 100,
    "IsFullWidth": false,
    "IsDegenerateView": false
   },
   {
    "RoleSchemaViewId": "rsv-notification-publisher-message_deliveries",
    "RoleSchema": "schema-notification-publisher",
    "Principal": "principal-notification-publisher",
    "TargetTable": "MessageDeliveries",
    "ViewName": "message_deliveries",
    "SemanticTypeIri": "urn:effortless:pko-extension#RoleSchemaView",
    "Name": "pko_notification_publisher.message_deliveries",
    "SchemaName": "pko_notification_publisher",
    "SourceView": "vw_message_deliveries",
    "GrantKey": "principal-notification-publisher|MessageDeliveries",
    "ColumnCount": 7,
    "TableFieldCount": 94,
    "IsFullWidth": false,
    "IsDegenerateView": false
   },
   {
    "RoleSchemaViewId": "rsv-notification-publisher-recipients",
    "RoleSchema": "schema-notification-publisher",
    "Principal": "principal-notification-publisher",
    "TargetTable": "Recipients",
    "ViewName": "recipients",
    "SemanticTypeIri": "urn:effortless:pko-extension#RoleSchemaView",
    "Name": "pko_notification_publisher.recipients",
    "SchemaName": "pko_notification_publisher",
    "SourceView": "vw_recipients",
    "GrantKey": "principal-notification-publisher|Recipients",
    "ColumnCount": 5,
    "TableFieldCount": 15,
    "IsFullWidth": false,
    "IsDegenerateView": false
   },
   {
    "RoleSchemaViewId": "rsv-notification-publisher-steps",
    "RoleSchema": "schema-notification-publisher",
    "Principal": "principal-notification-publisher",
    "TargetTable": "Steps",
    "ViewName": "steps",
    "SemanticTypeIri": "urn:effortless:pko-extension#RoleSchemaView",
    "Name": "pko_notification_publisher.steps",
    "SchemaName": "pko_notification_publisher",
    "SourceView": "vw_steps",
    "GrantKey": "principal-notification-publisher|Steps",
    "ColumnCount": 9,
    "TableFieldCount": 42,
    "IsFullWidth": false,
    "IsDegenerateView": false
   },
   {
    "RoleSchemaViewId": "rsv-process-steward-actions",
    "RoleSchema": "schema-process-steward",
    "Principal": "principal-process-steward",
    "TargetTable": "Actions",
    "ViewName": "actions",
    "SemanticTypeIri": "urn:effortless:pko-extension#RoleSchemaView",
    "Name": "pko_process_steward.actions",
    "SchemaName": "pko_process_steward",
    "SourceView": "vw_actions",
    "GrantKey": "principal-process-steward|Actions",
    "ColumnCount": 5,
    "TableFieldCount": 5,
    "IsFullWidth": true,
    "IsDegenerateView": false
   },
   {
    "RoleSchemaViewId": "rsv-process-steward-agent_decision_records",
    "RoleSchema": "schema-process-steward",
    "Principal": "principal-process-steward",
    "TargetTable": "AgentDecisionRecords",
    "ViewName": "agent_decision_records",
    "SemanticTypeIri": "urn:effortless:pko-extension#RoleSchemaView",
    "Name": "pko_process_steward.agent_decision_records",
    "SchemaName": "pko_process_steward",
    "SourceView": "vw_agent_decision_records",
    "GrantKey": "principal-process-steward|AgentDecisionRecords",
    "ColumnCount": 40,
    "TableFieldCount": 40,
    "IsFullWidth": true,
    "IsDegenerateView": false
   },
   {
    "RoleSchemaViewId": "rsv-process-steward-agents",
    "RoleSchema": "schema-process-steward",
    "Principal": "principal-process-steward",
    "TargetTable": "Agents",
    "ViewName": "agents",
    "SemanticTypeIri": "urn:effortless:pko-extension#RoleSchemaView",
    "Name": "pko_process_steward.agents",
    "SchemaName": "pko_process_steward",
    "SourceView": "vw_agents",
    "GrantKey": "principal-process-steward|Agents",
    "ColumnCount": 23,
    "TableFieldCount": 23,
    "IsFullWidth": true,
    "IsDegenerateView": false
   },
   {
    "RoleSchemaViewId": "rsv-process-steward-app_nav_groups",
    "RoleSchema": "schema-process-steward",
    "Principal": "principal-process-steward",
    "TargetTable": "AppNavGroups",
    "ViewName": "app_nav_groups",
    "SemanticTypeIri": "urn:effortless:pko-extension#RoleSchemaView",
    "Name": "pko_process_steward.app_nav_groups",
    "SchemaName": "pko_process_steward",
    "SourceView": "vw_app_nav_groups",
    "GrantKey": "principal-process-steward|AppNavGroups",
    "ColumnCount": 5,
    "TableFieldCount": 5,
    "IsFullWidth": true,
    "IsDegenerateView": false
   },
   {
    "RoleSchemaViewId": "rsv-process-steward-app_role_profiles",
    "RoleSchema": "schema-process-steward",
    "Principal": "principal-process-steward",
    "TargetTable": "AppRoleProfiles",
    "ViewName": "app_role_profiles",
    "SemanticTypeIri": "urn:effortless:pko-extension#RoleSchemaView",
    "Name": "pko_process_steward.app_role_profiles",
    "SchemaName": "pko_process_steward",
    "SourceView": "vw_app_role_profiles",
    "GrantKey": "principal-process-steward|AppRoleProfiles",
    "ColumnCount": 12,
    "TableFieldCount": 12,
    "IsFullWidth": true,
    "IsDegenerateView": false
   },
   {
    "RoleSchemaViewId": "rsv-process-steward-app_route_questions",
    "RoleSchema": "schema-process-steward",
    "Principal": "principal-process-steward",
    "TargetTable": "AppRouteQuestions",
    "ViewName": "app_route_questions",
    "SemanticTypeIri": "urn:effortless:pko-extension#RoleSchemaView",
    "Name": "pko_process_steward.app_route_questions",
    "SchemaName": "pko_process_steward",
    "SourceView": "vw_app_route_questions",
    "GrantKey": "principal-process-steward|AppRouteQuestions",
    "ColumnCount": 5,
    "TableFieldCount": 5,
    "IsFullWidth": true,
    "IsDegenerateView": false
   },
   {
    "RoleSchemaViewId": "rsv-process-steward-app_route_references",
    "RoleSchema": "schema-process-steward",
    "Principal": "principal-process-steward",
    "TargetTable": "AppRouteReferences",
    "ViewName": "app_route_references",
    "SemanticTypeIri": "urn:effortless:pko-extension#RoleSchemaView",
    "Name": "pko_process_steward.app_route_references",
    "SchemaName": "pko_process_steward",
    "SourceView": "vw_app_route_references",
    "GrantKey": "principal-process-steward|AppRouteReferences",
    "ColumnCount": 5,
    "TableFieldCount": 5,
    "IsFullWidth": true,
    "IsDegenerateView": false
   },
   {
    "RoleSchemaViewId": "rsv-process-steward-app_routes",
    "RoleSchema": "schema-process-steward",
    "Principal": "principal-process-steward",
    "TargetTable": "AppRoutes",
    "ViewName": "app_routes",
    "SemanticTypeIri": "urn:effortless:pko-extension#RoleSchemaView",
    "Name": "pko_process_steward.app_routes",
    "SchemaName": "pko_process_steward",
    "SourceView": "vw_app_routes",
    "GrantKey": "principal-process-steward|AppRoutes",
    "ColumnCount": 18,
    "TableFieldCount": 18,
    "IsFullWidth": true,
    "IsDegenerateView": false
   },
   {
    "RoleSchemaViewId": "rsv-process-steward-attestations",
    "RoleSchema": "schema-process-steward",
    "Principal": "principal-process-steward",
    "TargetTable": "Attestations",
    "ViewName": "attestations",
    "SemanticTypeIri": "urn:effortless:pko-extension#RoleSchemaView",
    "Name": "pko_process_steward.attestations",
    "SchemaName": "pko_process_steward",
    "SourceView": "vw_attestations",
    "GrantKey": "principal-process-steward|Attestations",
    "ColumnCount": 12,
    "TableFieldCount": 12,
    "IsFullWidth": true,
    "IsDegenerateView": false
   },
   {
    "RoleSchemaViewId": "rsv-process-steward-authority_boundaries",
    "RoleSchema": "schema-process-steward",
    "Principal": "principal-process-steward",
    "TargetTable": "AuthorityBoundaries",
    "ViewName": "authority_boundaries",
    "SemanticTypeIri": "urn:effortless:pko-extension#RoleSchemaView",
    "Name": "pko_process_steward.authority_boundaries",
    "SchemaName": "pko_process_steward",
    "SourceView": "vw_authority_boundaries",
    "GrantKey": "principal-process-steward|AuthorityBoundaries",
    "ColumnCount": 33,
    "TableFieldCount": 33,
    "IsFullWidth": true,
    "IsDegenerateView": false
   },
   {
    "RoleSchemaViewId": "rsv-process-steward-binding_observations",
    "RoleSchema": "schema-process-steward",
    "Principal": "principal-process-steward",
    "TargetTable": "BindingObservations",
    "ViewName": "binding_observations",
    "SemanticTypeIri": "urn:effortless:pko-extension#RoleSchemaView",
    "Name": "pko_process_steward.binding_observations",
    "SchemaName": "pko_process_steward",
    "SourceView": "vw_binding_observations",
    "GrantKey": "principal-process-steward|BindingObservations",
    "ColumnCount": 11,
    "TableFieldCount": 11,
    "IsFullWidth": true,
    "IsDegenerateView": false
   },
   {
    "RoleSchemaViewId": "rsv-process-steward-change_requests",
    "RoleSchema": "schema-process-steward",
    "Principal": "principal-process-steward",
    "TargetTable": "ChangeRequests",
    "ViewName": "change_requests",
    "SemanticTypeIri": "urn:effortless:pko-extension#RoleSchemaView",
    "Name": "pko_process_steward.change_requests",
    "SchemaName": "pko_process_steward",
    "SourceView": "vw_change_requests",
    "GrantKey": "principal-process-steward|ChangeRequests",
    "ColumnCount": 45,
    "TableFieldCount": 45,
    "IsFullWidth": true,
    "IsDegenerateView": false
   },
   {
    "RoleSchemaViewId": "rsv-process-steward-communication_policies",
    "RoleSchema": "schema-process-steward",
    "Principal": "principal-process-steward",
    "TargetTable": "Com</t>
  </si>
  <si>
    <t xml:space="preserve">municationPolicies",
    "ViewName": "communication_policies",
    "SemanticTypeIri": "urn:effortless:pko-extension#RoleSchemaView",
    "Name": "pko_process_steward.communication_policies",
    "SchemaName": "pko_process_steward",
    "SourceView": "vw_communication_policies",
    "GrantKey": "principal-process-steward|CommunicationPolicies",
    "ColumnCount": 22,
    "TableFieldCount": 22,
    "IsFullWidth": true,
    "IsDegenerateView": false
   },
   {
    "RoleSchemaViewId": "rsv-process-steward-communities_of_practice",
    "RoleSchema": "schema-process-steward",
    "Principal": "principal-process-steward",
    "TargetTable": "CommunitiesOfPractice",
    "ViewName": "communities_of_practice",
    "SemanticTypeIri": "urn:effortless:pko-extension#RoleSchemaView",
    "Name": "pko_process_steward.communities_of_practice",
    "SchemaName": "pko_process_steward",
    "SourceView": "vw_communities_of_practice",
    "GrantKey": "principal-process-steward|CommunitiesOfPractice",
    "ColumnCount": 8,
    "TableFieldCount": 8,
    "IsFullWidth": true,
    "IsDegenerateView": false
   },
   {
    "RoleSchemaViewId": "rsv-process-steward-delivered_communications",
    "RoleSchema": "schema-process-steward",
    "Principal": "principal-process-steward",
    "TargetTable": "DeliveredCommunications",
    "ViewName": "delivered_communications",
    "SemanticTypeIri": "urn:effortless:pko-extension#RoleSchemaView",
    "Name": "pko_process_steward.delivered_communications",
    "SchemaName": "pko_process_steward",
    "SourceView": "vw_delivered_communications",
    "GrantKey": "principal-process-steward|DeliveredCommunications",
    "ColumnCount": 18,
    "TableFieldCount": 18,
    "IsFullWidth": true,
    "IsDegenerateView": false
   },
   {
    "RoleSchemaViewId": "rsv-process-steward-elicitation_sessions",
    "RoleSchema": "schema-process-steward",
    "Principal": "principal-process-steward",
    "TargetTable": "ElicitationSessions",
    "ViewName": "elicitation_sessions",
    "SemanticTypeIri": "urn:effortless:pko-extension#RoleSchemaView",
    "Name": "pko_process_steward.elicitation_sessions",
    "SchemaName": "pko_process_steward",
    "SourceView": "vw_elicitation_sessions",
    "GrantKey": "principal-process-steward|ElicitationSessions",
    "ColumnCount": 21,
    "TableFieldCount": 21,
    "IsFullWidth": true,
    "IsDegenerateView": false
   },
   {
    "RoleSchemaViewId": "rsv-process-steward-errors",
    "RoleSchema": "schema-process-steward",
    "Principal": "principal-process-steward",
    "TargetTable": "Errors",
    "ViewName": "errors",
    "SemanticTypeIri": "urn:effortless:pko-extension#RoleSchemaView",
    "Name": "pko_process_steward.errors",
    "SchemaName": "pko_process_steward",
    "SourceView": "vw_errors",
    "GrantKey": "principal-process-steward|Errors",
    "ColumnCount": 6,
    "TableFieldCount": 6,
    "IsFullWidth": true,
    "IsDegenerateView": false
   },
   {
    "RoleSchemaViewId": "rsv-process-steward-evaluation_contexts",
    "RoleSchema": "schema-process-steward",
    "Principal": "principal-process-steward",
    "TargetTable": "EvaluationContexts",
    "ViewName": "evaluation_contexts",
    "SemanticTypeIri": "urn:effortless:pko-extension#RoleSchemaView",
    "Name": "pko_process_steward.evaluation_contexts",
    "SchemaName": "pko_process_steward",
    "SourceView": "vw_evaluation_contexts",
    "GrantKey": "principal-process-steward|EvaluationContexts",
    "ColumnCount": 7,
    "TableFieldCount": 7,
    "IsFullWidth": true,
    "IsDegenerateView": false
   },
   {
    "RoleSchemaViewId": "rsv-process-steward-exception_invocations",
    "RoleSchema": "schema-process-steward",
    "Principal": "principal-process-steward",
    "TargetTable": "ExceptionInvocations",
    "ViewName": "exception_invocations",
    "SemanticTypeIri": "urn:effortless:pko-extension#RoleSchemaView",
    "Name": "pko_process_steward.exception_invocations",
    "SchemaName": "pko_process_steward",
    "SourceView": "vw_exception_invocations",
    "GrantKey": "principal-process-steward|ExceptionInvocations",
    "ColumnCount": 21,
    "TableFieldCount": 21,
    "IsFullWidth": true,
    "IsDegenerateView": false
   },
   {
    "RoleSchemaViewId": "rsv-process-steward-exceptions",
    "RoleSchema": "schema-process-steward",
    "Principal": "principal-process-steward",
    "TargetTable": "Exceptions",
    "ViewName": "exceptions",
    "SemanticTypeIri": "urn:effortless:pko-extension#RoleSchemaView",
    "Name": "pko_process_steward.exceptions",
    "SchemaName": "pko_process_steward",
    "SourceView": "vw_exceptions",
    "GrantKey": "principal-process-steward|Exceptions",
    "ColumnCount": 11,
    "TableFieldCount": 11,
    "IsFullWidth": true,
    "IsDegenerateView": false
   },
   {
    "RoleSchemaViewId": "rsv-process-steward-explanations",
    "RoleSchema": "schema-process-steward",
    "Principal": "principal-process-steward",
    "TargetTable": "Explanations",
    "ViewName": "explanations",
    "SemanticTypeIri": "urn:effortless:pko-extension#RoleSchemaView",
    "Name": "pko_process_steward.explanations",
    "SchemaName": "pko_process_steward",
    "SourceView": "vw_explanations",
    "GrantKey": "principal-process-steward|Explanations",
    "ColumnCount": 7,
    "TableFieldCount": 7,
    "IsFullWidth": true,
    "IsDegenerateView": false
   },
   {
    "RoleSchemaViewId": "rsv-process-steward-functions",
    "RoleSchema": "schema-process-steward",
    "Principal": "principal-process-steward",
    "TargetTable": "Functions",
    "ViewName": "functions",
    "SemanticTypeIri": "urn:effortless:pko-extension#RoleSchemaView",
    "Name": "pko_process_steward.functions",
    "SchemaName": "pko_process_steward",
    "SourceView": "vw_functions",
    "GrantKey": "principal-process-steward|Functions",
    "ColumnCount": 6,
    "TableFieldCount": 6,
    "IsFullWidth": true,
    "IsDegenerateView": false
   },
   {
    "RoleSchemaViewId": "rsv-process-steward-issue_occurrences",
    "RoleSchema": "schema-process-steward",
    "Principal": "principal-process-steward",
    "TargetTable": "IssueOccurrences",
    "ViewName": "issue_occurrences",
    "SemanticTypeIri": "urn:effortless:pko-extension#RoleSchemaView",
    "Name": "pko_process_steward.issue_occurrences",
    "SchemaName": "pko_process_steward",
    "SourceView": "vw_issue_occurrences",
    "GrantKey": "principal-process-steward|IssueOccurrences",
    "ColumnCount": 12,
    "TableFieldCount": 12,
    "IsFullWidth": true,
    "IsDegenerateView": false
   },
   {
    "RoleSchemaViewId": "rsv-process-steward-knowledge_fragments",
    "RoleSchema": "schema-process-steward",
    "Principal": "principal-process-steward",
    "TargetTable": "KnowledgeFragments",
    "ViewName": "knowledge_fragments",
    "SemanticTypeIri": "urn:effortless:pko-extension#RoleSchemaView",
    "Name": "pko_process_steward.knowledge_fragments",
    "SchemaName": "pko_process_steward",
    "SourceView": "vw_knowledge_fragments",
    "GrantKey": "principal-process-steward|KnowledgeFragments",
    "ColumnCount": 80,
    "TableFieldCount": 80,
    "IsFullWidth": true,
    "IsDegenerateView": false
   },
   {
    "RoleSchemaViewId": "rsv-process-steward-knowledge_gaps",
    "RoleSchema": "schema-process-steward",
    "Principal": "principal-process-steward",
    "TargetTable": "KnowledgeGaps",
    "ViewName": "knowledge_gaps",
    "SemanticTypeIri": "urn:effortless:pko-extension#RoleSchemaView",
    "Name": "pko_process_steward.knowledge_gaps",
    "SchemaName": "pko_process_steward",
    "SourceView": "vw_knowledge_gaps",
    "GrantKey": "principal-process-steward|KnowledgeGaps",
    "ColumnCount": 28,
    "TableFieldCount": 28,
    "IsFullWidth": true,
    "IsDegenerateView": false
   },
   {
    "RoleSchemaViewId": "rsv-process-steward-learning_activities",
    "RoleSchema": "schema-process-steward",
    "Principal": "principal-process-steward",
    "TargetTable": "LearningActivities",
    "ViewName": "learning_activities",
    "SemanticTypeIri": "urn:effortless:pko-extension#RoleSchemaView",
    "Name": "pko_process_steward.learning_activities",
    "SchemaName": "pko_process_steward",
    "SourceView": "vw_learning_activities",
    "GrantKey": "principal-process-steward|LearningActivities",
    "ColumnCount": 10,
    "TableFieldCount": 10,
    "IsFullWidth": true,
    "IsDegenerateView": false
   },
   {
    "RoleSchemaViewId": "rsv-process-steward-mentorships",
    "RoleSchema": "schema-process-steward",
    "Principal": "principal-process-steward",
    "TargetTable": "Mentorships",
    "ViewName": "mentorships",
    "SemanticTypeIri": "urn:effortless:pko-extension#RoleSchemaView",
    "Name": "pko_process_steward.mentorships",
    "SchemaName": "pko_process_steward",
    "SourceView": "vw_mentorships",
    "GrantKey": "principal-process-steward|Mentorships",
    "ColumnCount": 10,
    "TableFieldCount": 10,
    "IsFullWidth": true,
    "IsDegenerateView": false
   },
   {
    "RoleSchemaViewId": "rsv-process-steward-message_deliveries",
    "RoleSchema": "schema-process-steward",
    "Principal": "principal-process-steward",
    "TargetTable": "MessageDeliveries",
    "ViewName": "message_deliveries",
    "SemanticTypeIri": "urn:effortless:pko-extension#RoleSchemaView",
    "Name": "pko_process_steward.message_deliveries",
    "SchemaName": "pko_process_steward",
    "SourceView": "vw_message_deliveries",
    "GrantKey": "principal-process-steward|MessageDeliveries",
    "ColumnCount": 94,
    "TableFieldCount": 94,
    "IsFullWidth": true,
    "IsDegenerateView": false
   },
   {
    "RoleSchemaViewId": "rsv-process-steward-message_templates",
    "RoleSchema": "schema-process-steward",
    "Principal": "principal-process-steward",
    "TargetTable": "MessageTemplates",
    "ViewName": "message_templates",
    "SemanticTypeIri": "urn:effortless:pko-extension#RoleSchemaView",
    "Name": "pko_process_steward.message_templates",
    "SchemaName": "pko_process_steward",
    "SourceView": "vw_message_templates",
    "GrantKey": "principal-process-steward|MessageTemplates",
    "ColumnCount": 26,
    "TableFieldCount": 26,
    "IsFullWidth": true,
    "IsDegenerateView": false
   },
   {
    "RoleSchemaViewId": "rsv-process-steward-observed_transitions",
    "RoleSchema": "schema-process-steward",
    "Principal": "principal-process-steward",
    "TargetTable": "ObservedTransitions",
    "ViewName": "observed_transitions",
    "SemanticTypeIri": "urn:effortless:pko-extension#RoleSchemaView",
    "Name": "pko_process_steward.observed_transitions",
    "SchemaName": "pko_process_steward",
    "SourceView": "vw_observed_transitions",
    "GrantKey": "principal-process-steward|ObservedTransitions",
    "ColumnCount": 8,
    "TableFieldCount": 8,
    "IsFullWidth": true,
    "IsDegenerateView": false
   },
   {
    "RoleSchemaViewId": "rsv-process-steward-ontology_profiles",
    "RoleSchema": "schema-process-steward",
    "Principal": "principal-process-steward",
    "TargetTable": "OntologyProfiles",
    "ViewName": "ontology_profiles",
    "SemanticTypeIri": "urn:effortless:pko-extension#RoleSchemaView",
    "Name": "pko_process_steward.ontology_profiles",
    "SchemaName": "pko_process_steward",
    "SourceView": "vw_ontology_profiles",
    "GrantKey": "principal-process-steward|OntologyProfiles",
    "ColumnCount": 8,
    "TableFieldCount": 8,
    "IsFullWidth": true,
    "IsDegenerateView": false
   },
   {
    "RoleSchemaViewId": "rsv-process-steward-operational_bindings",
    "RoleSchema": "schema-process-steward",
    "Principal": "principal-process-steward",
    "TargetTable": "OperationalBindings",
    "ViewName": "operational_bindings",
    "SemanticTypeIri": "urn:effortless:pko-extension#RoleSchemaView",
    "Name": "pko_process_steward.operational_bindings",
    "SchemaName": "pko_process_steward",
    "SourceView": "vw_operational_bindings",
    "GrantKey": "principal-process-steward|OperationalBindings",
    "ColumnCount": 22,
    "TableFieldCount": 22,
    "IsFullWidth": true,
    "IsDegenerateView": false
   },
   {
    "RoleSchemaViewId": "rsv-process-steward-organizations",
    "RoleSchema": "schema-process-steward",
    "Principal": "principal-process-steward",
    "TargetTable": "Organizations",
    "ViewName": "organizations",
    "SemanticTypeIri": "urn:effortless:pko-extension#RoleSchemaView",
    "Name": "pko_process_steward.organizations",
    "SchemaName": "pko_process_steward",
    "SourceView": "vw_organizations",
    "GrantKey": "principal-process-steward|Organizations",
    "ColumnCount": 6,
    "TableFieldCount": 6,
    "IsFullWidth": true,
    "IsDegenerateView": false
   },
   {
    "RoleSchemaViewId": "rsv-process-steward-procedure_executions",
    "RoleSchema": "schema-process-steward",
    "Principal": "principal-process-steward",
    "TargetTable": "ProcedureExecutions",
    "ViewName": "procedure_executions",
    "SemanticTypeIri": "urn:effortless:pko-extension#RoleSchemaView",
    "Name": "pko_process_steward.procedure_executions",
    "SchemaName": "pko_process_steward",
    "SourceView": "vw_procedure_executions",
    "GrantKey": "principal-process-steward|ProcedureExecutions",
    "ColumnCount": 78,
    "TableFieldCount": 78,
    "IsFullWidth": true,
    "IsDegenerateView": false
   },
   {
    "RoleSchemaViewId": "rsv-process-steward-procedure_resources",
    "RoleSchema": "schema-process-steward",
    "Principal": "principal-process-steward",
    "TargetTable": "ProcedureResources",
    "ViewName": "procedure_resources",
    "SemanticTypeIri": "urn:effortless:pko-extension#RoleSchemaView",
    "Name": "pko_process_steward.procedure_resources",
    "SchemaName": "pko_process_steward",
    "SourceView": "vw_procedure_resources",
    "GrantKey": "principal-process-steward|ProcedureResources",
    "ColumnCount": 6,
    "TableFieldCount": 6,
    "IsFullWidth": true,
    "IsDegenerateView": false
   },
   {
    "RoleSchemaViewId": "rsv-process-steward-procedure_status_changes",
    "RoleSchema": "schema-process-steward",
    "Principal": "principal-process-steward",
    "TargetTable": "ProcedureStatusChanges",
    "ViewName": "procedure_status_changes",
    "SemanticTypeIri": "urn:effortless:pko-extension#RoleSchemaView",
    "Name": "pko_process_steward.procedure_status_changes",
    "SchemaName": "pko_process_steward",
    "SourceView": "vw_procedure_status_changes",
    "GrantKey": "principal-process-steward|ProcedureStatusChanges",
    "ColumnCount": 9,
    "TableFieldCount": 9,
    "IsFullWidth": true,
    "IsDegenerateView": false
   },
   {
    "RoleSchemaViewId": "rsv-process-steward-procedure_types",
    "RoleSchema": "schema-process-steward",
    "Principal": "principal-process-steward",
    "TargetTable": "ProcedureTypes",
    "ViewName": "procedure_types",
    "SemanticTypeIri": "urn:effortless:pko-extension#RoleSchemaView",
    "Name": "pko_process_steward.procedure_types",
    "SchemaName": "pko_process_steward",
    "SourceView": "vw_procedure_types",
    "GrantKey": "principal-process-steward|ProcedureTypes",
    "ColumnCount": 5,
    "TableFieldCount": 5,
    "IsFullWidth": true,
    "IsDegenerateView": false
   },
   {
    "RoleSchemaViewId": "rsv-process-steward-procedure_version_links",
    "RoleSchema": "schema-process-steward",
    "Principal": "principal-process-steward",
    "TargetTable": "ProcedureVersionLinks",
    "ViewName": "procedure_version_links",
    "SemanticTypeIri": "urn:effortless:pko-extension#RoleSchemaView",
    "Name": "pko_process_steward.procedure_version_links",
    "SchemaName": "pko_process_steward",
    "SourceView": "vw_procedure_version_links",
    "GrantKey": "principal-process-steward|ProcedureVersionLinks",
    "ColumnCount": 7,
    "TableFieldCount": 7,
    "IsFullWidth": true,
    "IsDegenerateView": false
   },
   {
    "RoleSchemaViewId": "rsv-process-steward-procedure_versions",
    "RoleSchema": "schema-process-steward",
    "Principal": "principal-process-steward",
    "TargetTable": "ProcedureVersions",
    "ViewName": "procedure_versions",
    "SemanticTypeIri": "urn:effortless:pko-extension#RoleSchemaView",
    "Name": "pko_process_steward.procedure_versions",
    "SchemaName": "pko_process_steward",
    "SourceView": "vw_procedure_versions",
    "GrantKey": "principal-process-steward|ProcedureVersions",
    "ColumnCount": 86,
    "TableFieldCount": 86,
    "IsFullWidth": true,
    "IsDegenerateView": false
   },
   {
    "RoleSchemaViewId": "rsv-process-steward-procedures",
    "RoleSchema": "schema-process-steward",
    "Principal": "principal-process-steward",
    "TargetTable": "Procedures",
    "ViewName": "procedures",
    "SemanticTypeIri": "urn:effortless:pko-extension#RoleSchemaView",
    "Name": "pko_process_steward.procedures",
    "SchemaName": "pko_process_steward",
    "SourceView": "vw_procedures",
    "GrantKey": "principal-process-steward|Procedures",
    "ColumnCount": 11,
    "TableFieldCount": 11,
    "IsFullWidth": true,
    "IsDegenerateView": false
   },
   {
    "RoleSchemaViewId": "rsv-process-steward-rationales",
    "RoleSchema": "schema-process-steward",
    "Principal": "principal-process-steward",
    "TargetTable": "Rationales",
    "ViewName": "rationales",
    "SemanticTypeIri": "urn:effortless:pko-extension#RoleSchemaView",
    "Name": "pko_process_steward.rationales",
    "SchemaName": "pko_process_steward",
    "SourceView": "vw_rationales",
    "GrantKey": "principal-process-steward|Rationales",
    "ColumnCount": 9,
    "TableFieldCount": 9,
    "IsFullWidth": true,
    "IsDegenerateView": false
   },
   {
    "RoleSchemaViewId": "rsv-process-steward-recipients",
    "RoleSchema": "schema-process-steward",
    "Principal": "principal-process-steward",
    "TargetTable": "Recipients",
    "ViewName": "recipients",
    "SemanticTypeIri": "urn:effortless:pko-extension#RoleSchemaView",
    "Name": "pko_process_steward.recipients",
    "SchemaName": "pko_process_steward",
    "SourceView": "vw_recipients",
    "GrantKey": "principal-process-steward|Recipients",
    "ColumnCount": 15,
    "TableFieldCount": 15,
    "IsFullWidth": true,
    "IsDegenerateView": false
   },
   {
    "RoleSchemaViewId": "rsv-process-steward-requirement_satisfactions",
    "RoleSchema": "schema-process-steward",
    "Principal": "principal-process-steward",
    "TargetTable": "RequirementSatisfactions",
    "ViewName": "requirement_satisfactions",
    "SemanticTypeIri": "urn:effortless:pko-extension#RoleSchemaView",
    "Name": "pko_process_steward.requirement_satisfactions",
    "SchemaName": "pko_process_steward",
    "SourceView": "vw_requirement_satisfactions",
    "GrantKey": "principal-process-steward|RequirementSatisfactions",
    "ColumnCount": 46,
    "TableFieldCount": 46,
    "IsFullWidth": true,
    "IsDegenerateView": false
   },
   {
    "RoleSchemaViewId": "rsv-process-steward-requirements",
    "RoleSchema": "schema-process-steward",
    "Principal": "principal-process-steward",
    "TargetTable": "Requirements",
    "ViewName": "requirements",
    "SemanticTypeIri": "urn:effortless:pko-extension#RoleSchemaView",
    "Name": "pko_process_steward.requirements",
    "SchemaName": "pko_process_steward",
    "SourceView": "vw_requirements",
    "GrantKey": "principal-process-steward|Requirements",
    "ColumnCount": 43,
    "TableFieldCount": 43,
    "IsFullWidth": true,
    "IsDegenerateView": false
   },
   {
    "RoleSchemaViewId": "rsv-process-steward-resources",
    "RoleSchema": "schema-process-steward",
    "Principal": "principal-process-steward",
    "TargetTable": "Resources",
    "ViewName": "resources",
    "SemanticTypeIri": "urn:effortless:pko-extension#RoleSchemaView",
    "Name": "pko_process_steward.resources",
    "SchemaName": "pko_process_steward",
    "SourceView": "vw_resources",
    "GrantKey": "principal-process-steward|Resources",
    "ColumnCount": 11,
    "TableFieldCount": 11,
    "IsFullWidth": true,
    "IsDegenerateView": false
   },
   {
    "RoleSchemaViewId": "rsv-process-steward-review_events",
    "RoleSchema": "schema-process-steward",
    "Principal": "principal-process-steward",
    "TargetTable": "ReviewEvents",
    "ViewName": "review_events",
    "SemanticTypeIri": "urn:effortless:pko-extension#RoleSchemaView",
    "Name": "pko_process_steward.review_events",
    "SchemaName": "pko_process_steward",
    "SourceView": "vw_review_events",
    "GrantKey": "principal-process-steward|ReviewEvents",
    "ColumnCount": 20,
    "TableFieldCount": 20,
    "IsFullWidth": true,
    "IsDegenerateView": false
   },
   {
    "RoleSchemaViewId": "rsv-process-steward-role_assignments",
    "RoleSchema": "schema-process-steward",
    "Principal": "principal-process-steward",
    "TargetTable": "RoleAssignments",
    "ViewName": "role_assignments",
    "SemanticTypeIri": "urn:effortless:pko-extension#RoleSchemaView",
    "Name": "pko_process_steward.role_assignments",
    "SchemaName": "pko_process_steward",
    "SourceView": "vw_role_assignments",
    "GrantKey": "principal-process-steward|RoleAssignments",
    "ColumnCount": 65,
    "TableFieldCount": 65,
    "IsFullWidth": true,
    "IsDegenerateView": false
   },
   {
    "RoleSchemaViewId": "rsv-process-steward-role_questions",
    "RoleSchema": "schema-process-steward",
    "Principal": "principal-process-steward",
    "TargetTable": "RoleQuestions",
    "ViewName": "role_questions",
    "SemanticTypeIri": "urn:effortless:pko-extension#RoleSchemaView",
    "Name": "pko_process_steward.role_questions",
    "SchemaName": "pko_process_steward",
    "SourceView": "vw_role_questions",
    "GrantKey": "principal-process-steward|RoleQuestions",
    "ColumnCount": 11,
    "TableFieldCount": 11,
    "IsFullWidth": true,
    "IsDegenerateView": false
   },
   {
    "RoleSchemaViewId": "rsv-process-steward-roles",
    "RoleSchema": "schema-process-steward",
    "Principal": "principal-process-steward",
    "TargetTable": "Roles",
    "ViewName": "roles",
    "SemanticTypeIri": "urn:effortless:pko-extension#RoleSchemaView",
    "Name": "pko_process_steward.roles",
    "SchemaName": "pko_process_steward",
    "SourceView": "vw_roles",
    "GrantKey": "principal-process-steward|Roles",
    "ColumnCount": 24,
    "TableFieldCount": 24,
    "IsFullWidth": true,
    "IsDegenerateView": false
   },
   {
    "RoleSchemaViewId": "rsv-process-steward-rulebook_fields",
    "RoleSchema": "schema-process-steward",
    "Principal": "principal-process-steward",
    "TargetTable": "RulebookFields",
    "ViewName": "rulebook_fields",
    "SemanticTypeIri": "urn:effortless:pko-extension#RoleSchemaView",
    "Name": "pko_process_steward.rulebook_fields",
    "SchemaName": "pko_process_steward",
    "SourceView": "vw_rulebook_fields",
    "GrantKey": "principal-process-steward|RulebookFields",
    "ColumnCount": 11,
    "TableFieldCount": 13,
    "IsFullWidth": false,
    "IsDegenerateView": false
   },
   {
    "RoleSchemaViewId": "rsv-process-steward-rulebook_releases",
    "RoleSchema": "schema-process-steward",
    "Principal": "principal-process-steward",
    "TargetTable": "RulebookReleases",
    "ViewName": "rulebook_releases",
    "SemanticTypeIri": "urn:effortless:pko-extension#RoleSchemaView",
    "Name": "pko_process_steward.rulebook_releases",
    "SchemaName": "pko_process_steward",
    "SourceView": "vw_rulebook_releases",
    "GrantKey": "principal-process-steward|RulebookReleases",
    "ColumnCount": 11,
    "TableFieldCount": 11,
    "IsFullWidth": true,
    "IsDegenerateView": false
   },
   {
    "RoleSchemaViewId": "rsv-process-steward-semantic_mappings",
    "RoleSchema": "schema-process-steward",
    "Principal": "principal-process-steward",
    "TargetTable": "SemanticMappings",
    "ViewName": "semantic_mappings",
    "SemanticTypeIri": "urn:effortless:pko-extension#RoleSchemaView",
    "Name": "pko_process_steward.semantic_mappings",
    "SchemaName": "pko_process_steward",
    "SourceView": "vw_semantic_mappings",
    "GrantKey": "principal-process-steward|SemanticMappings",
    "ColumnCount": 8,
    "TableFieldCount": 8,
    "IsFullWidth": true,
    "IsDegenerateView": false
   },
   {
    "RoleSchemaViewId": "rsv-process-steward-send_intents",
    "RoleSchema": "schema-process-steward",
    "Principal": "principal-process-steward",
    "TargetTable": "SendIntents",
    "ViewName": "send_intents",
    "SemanticTypeIri": "urn:effortless:pko-extension#RoleSchemaView",
    "Name": "pko_process_steward.send_intents",
    "SchemaName": "pko_process_steward",
    "SourceView": "vw_send_intents",
    "GrantKey": "principal-process-steward|SendIntents",
    "ColumnCount": 100,
    "TableFieldCount": 100,
    "IsFullWidth": true,
    "IsDegenerateView": false
   },
   {
    "RoleSchemaViewId": "rsv-process-steward-step_actions",
    "RoleSchema": "schema-process-steward",
    "Principal": "principal-process-steward",
    "TargetTable": "StepActions",
    "ViewName": "step_actions",
    "SemanticTypeIri": "urn:effortless:pko-extension#RoleSchemaView",
    "Name": "pko_process_steward.step_actions",
    "SchemaName": "pko_process_steward",
    "SourceView": "vw_step_actions",
    "GrantKey": "principal-process-steward|StepActions",
    "ColumnCount": 4,
    "TableFieldCount": 4,
    "IsFullWidth": true,
    "IsDegenerateView": false
   },
   {
    "RoleSchemaViewId": "rsv-process-steward-step_executions",
    "RoleSchema": "schema-process-steward",
    "Principal": "principal-process-steward",
    "TargetTable": "StepExecutions",
    "ViewName": "step_executions",
    "SemanticTypeIri": "urn:effortless:pko-extension#RoleSchemaView",
    "Name": "pko_process_steward.step_executions",
    "SchemaName": "pko_process_steward",
    "SourceView": "vw_step_executions",
    "GrantKey": "principal-process-steward|StepExecutions",
    "ColumnCount": 109,
    "TableFieldCount": 109,
    "IsFullWidth": true,
    "IsDegenerateView": false
   },
   {
    "RoleSchemaViewId": "rsv-process-steward-step_functions",
    "RoleSchema": "schema-process-steward",
    "Principal": "principal-process-steward",
    "TargetTable": "StepFunctions",
    "ViewName": "step_functions",
    "SemanticTypeIri": "urn:effortless:pko-extension#RoleSchemaView",
    "Name": "pko_process_steward.step_functions",
    "SchemaName": "pko_process_steward",
    "SourceView": "vw_step_functions",
    "GrantKey": "principal-process-steward|StepFunctions",
    "ColumnCount": 4,
    "TableFieldCount": 4,
    "IsFullWidth": true,
    "IsDegenerateView": false
   },
   {
    "RoleSchemaViewId": "rsv-process-steward-step_requirements",
    "RoleSchema": "schema-process-steward",
    "Principal": "principal-process-steward",
    "TargetTable": "StepRequirements",
    "ViewName": "step_requirements",
    "SemanticTypeIri": "urn:effortless:pko-extension#RoleSchemaView",
    "Name": "pko_process_steward.step_requirements",
    "SchemaName": "pko_process_steward",
    "SourceView": "vw_step_requirements",
    "GrantKey": "principal-process-steward|StepRequirements",
    "ColumnCount": 13,
    "TableFieldCount": 13,
    "IsFullWidth": true,
    "IsDegenerateView": false
   },
   {
    "RoleSchemaViewId": "rsv-process-steward-step_tools",
    "RoleSchema": "schema-process-steward",
    "Principal": "principal-process-steward",
    "TargetTable": "StepTools",
    "ViewName": "step_tools",
    "SemanticTypeIri": "urn:effortless:pko-extension#RoleSchemaView",
    "Name": "pko_process_steward.step_tools",
    "SchemaName": "pko_process_steward",
    "SourceView": "vw_step_tools",
    "GrantKey": "principal-process-steward|StepTools",
    "ColumnCount": 4,
    "TableFieldCount": 4,
    "IsFullWidth": true,
    "IsDegenerateView": false
   },
   {
    "RoleSchemaViewId": "rsv-process-steward-step_transitions",
    "RoleSchema": "schema-process-steward",
    "Principal": "principal-process-steward",
    "TargetTable": "StepTransitions",
    "ViewName": "step_transitions",
    "SemanticTypeIri": "urn:effortless:pko-extension#RoleSchemaView",
    "Name": "pko_process_steward.step_transitions",
    "SchemaName": "pko_process_steward",
    "SourceView": "vw_step_transitions",
    "GrantKey": "principal-process-steward|StepTransitions",
    "ColumnCount": 23,
    "TableFieldCount": 23,
    "IsFullWidth": true,
    "IsDegenerateView": false
   },
   {
    "RoleSchemaViewId": "rsv-process-steward-step_verifications",
    "RoleSchema": "schema-process-steward",
    "Principal": "principal-process-steward",
    "TargetTable": "StepVerifications",
    "ViewName": "step_verifications",
    "SemanticTypeIri": "urn:effortless:pko-extension#RoleSchemaView",
    "Name": "pko_process_steward.step_verifications",
    "SchemaName": "pko_process_steward",
    "SourceView": "vw_step_verifications",
    "GrantKey": "principal-process-steward|StepVerifications",
    "ColumnCount": 8,
    "TableFieldCount": 8,
    "IsFullWidth": true,
    "IsDegenerateView": false
   },
   {
    "RoleSchemaViewId": "rsv-process-steward-steps",
    "RoleSchema": "schema-process-steward",
    "Principal": "principal-process-steward",
    "TargetTable": "Steps",
    "ViewName": "steps",
    "SemanticTypeIri": "urn:effortless:pko-extension#RoleSchemaView",
    "Name": "pko_process_steward.steps",
    "SchemaName": "pko_process_steward",
    "SourceView": "vw_steps",
    "GrantKey": "principal-process-steward|Steps",
    "ColumnCount": 42,
    "TableFieldCount": 42,
    "IsFullWidth": true,
    "IsDegenerateView": false
   },
   {
    "RoleSchemaViewId": "rsv-process-steward-stewardship_assignments",
    "RoleSchema": "schema-process-steward",
    "Principal": "principal-process-steward",
    "TargetTable": "StewardshipAssignments",
    "ViewName": "stewardship_assignments",
    "SemanticTypeIri": "urn:effortless:pko-extension#RoleSchemaView",
    "Name": "pko_process_steward.stewardship_assignments",
    "SchemaName": "pko_process_steward",
    "SourceView": "vw_stewardship_assignments",
    "GrantKey": "principal-process-steward|StewardshipAssignments",
    "ColumnCount": 14,
    "TableFieldCount": 14,
    "IsFullWidth": true,
    "IsDegenerateView": false
   },
   {
    "RoleSchemaViewId": "rsv-process-steward-template_approvals",
    "RoleSchema": "schema-process-steward",
    "Principal": "principal-process-steward",
    "TargetTable": "TemplateApprovals",
    "ViewName": "template_approvals",
    "SemanticTypeIri": "urn:effortless:pko-extension#RoleSchemaView",
    "Name": "pko_process_steward.template_approvals",
    "SchemaName": "pko_process_steward",
    "SourceView": "vw_template_approvals",
    "GrantKey": "principal-process-steward|TemplateApprovals",
    "ColumnCount": 15,
    "TableFieldCount": 15,
    "IsFullWidth": true,
    "IsDegenerateView": false
   },
   {
    "RoleSchemaViewId": "rsv-process-steward-test_cases",
    "RoleSchema": "schema-process-steward",
    "Principal": "principal-process-steward",
    "TargetTable": "TestCases",
    "ViewName": "test_cases",
    "SemanticTypeIri": "urn:effortless:pko-extension#RoleSchemaView",
    "Name": "pko_process_steward.test_cases",
    "SchemaName": "pko_process_steward",
    "SourceView": "vw_test_cases",
    "GrantKey": "principal-process-steward|TestCases",
    "ColumnCount": 20,
    "TableFieldCount": 20,
    "IsFullWidth": true,
    "IsDegenerateView": false
   },
   {
    "RoleSchemaViewId": "rsv-process-steward-test_suites",
    "RoleSchema": "schema-process-steward",
    "Principal": "principal-process-steward",
    "TargetTable": "TestSuites",
    "ViewName": "test_suites",
    "SemanticTypeIri": "urn:effortless:pko-extension#RoleSchemaView",
    "Name": "pko_process_steward.test_suites",
    "SchemaName": "pko_process_steward",
    "SourceView": "vw_test_suites",
    "GrantKey": "principal-process-steward|TestSuites",
    "ColumnCount": 8,
    "TableFieldCount": 8,
    "IsFullWidth": true,
    "IsDegenerateView": false
   },
   {
    "RoleSchemaViewId": "rsv-process-steward-tools",
    "RoleSchema": "schema-process-steward",
    "Principal": "principal-process-steward",
    "TargetTable": "Tools",
    "ViewName": "tools",
    "SemanticTypeIri": "urn:effortless:pko-extension#RoleSchemaView",
    "Name": "pko_process_steward.tools",
    "SchemaName": "pko_process_steward",
    "SourceView": "vw_tools",
    "GrantKey": "principal-process-steward|Tools",
    "ColumnCount": 5,
    "TableFieldCount": 5,
    "IsFullWidth": true,
    "IsDegenerateView": false
   },
   {
    "RoleSchemaViewId": "rsv-process-steward-user_feedback",
    "RoleSchema": "schema-process-steward",
    "Principal": "principal-process-steward",
    "TargetTable": "UserFeedback",
    "ViewName": "user_feedback",
    "SemanticTypeIri": "urn:effortless:pko-extension#RoleSchemaView"</t>
  </si>
  <si>
    <t xml:space="preserve">,
    "Name": "pko_process_steward.user_feedback",
    "SchemaName": "pko_process_steward",
    "SourceView": "vw_user_feedback",
    "GrantKey": "principal-process-steward|UserFeedback",
    "ColumnCount": 9,
    "TableFieldCount": 9,
    "IsFullWidth": true,
    "IsDegenerateView": false
   },
   {
    "RoleSchemaViewId": "rsv-process-steward-user_questions",
    "RoleSchema": "schema-process-steward",
    "Principal": "principal-process-steward",
    "TargetTable": "UserQuestions",
    "ViewName": "user_questions",
    "SemanticTypeIri": "urn:effortless:pko-extension#RoleSchemaView",
    "Name": "pko_process_steward.user_questions",
    "SchemaName": "pko_process_steward",
    "SourceView": "vw_user_questions",
    "GrantKey": "principal-process-steward|UserQuestions",
    "ColumnCount": 10,
    "TableFieldCount": 10,
    "IsFullWidth": true,
    "IsDegenerateView": false
   },
   {
    "RoleSchemaViewId": "rsv-process-steward-verification_outcomes",
    "RoleSchema": "schema-process-steward",
    "Principal": "principal-process-steward",
    "TargetTable": "VerificationOutcomes",
    "ViewName": "verification_outcomes",
    "SemanticTypeIri": "urn:effortless:pko-extension#RoleSchemaView",
    "Name": "pko_process_steward.verification_outcomes",
    "SchemaName": "pko_process_steward",
    "SourceView": "vw_verification_outcomes",
    "GrantKey": "principal-process-steward|VerificationOutcomes",
    "ColumnCount": 26,
    "TableFieldCount": 26,
    "IsFullWidth": true,
    "IsDegenerateView": false
   },
   {
    "RoleSchemaViewId": "rsv-process-steward-witness_loops",
    "RoleSchema": "schema-process-steward",
    "Principal": "principal-process-steward",
    "TargetTable": "WitnessLoops",
    "ViewName": "witness_loops",
    "SemanticTypeIri": "urn:effortless:pko-extension#RoleSchemaView",
    "Name": "pko_process_steward.witness_loops",
    "SchemaName": "pko_process_steward",
    "SourceView": "vw_witness_loops",
    "GrantKey": "principal-process-steward|WitnessLoops",
    "ColumnCount": 13,
    "TableFieldCount": 13,
    "IsFullWidth": true,
    "IsDegenerateView": false
   },
   {
    "RoleSchemaViewId": "rsv-knowledge-authority-actions",
    "RoleSchema": "schema-knowledge-authority",
    "Principal": "principal-knowledge-authority",
    "TargetTable": "Actions",
    "ViewName": "actions",
    "SemanticTypeIri": "urn:effortless:pko-extension#RoleSchemaView",
    "Name": "pko_knowledge_authority.actions",
    "SchemaName": "pko_knowledge_authority",
    "SourceView": "vw_actions",
    "GrantKey": "principal-knowledge-authority|Actions",
    "ColumnCount": 5,
    "TableFieldCount": 5,
    "IsFullWidth": true,
    "IsDegenerateView": false
   },
   {
    "RoleSchemaViewId": "rsv-knowledge-authority-agent_decision_records",
    "RoleSchema": "schema-knowledge-authority",
    "Principal": "principal-knowledge-authority",
    "TargetTable": "AgentDecisionRecords",
    "ViewName": "agent_decision_records",
    "SemanticTypeIri": "urn:effortless:pko-extension#RoleSchemaView",
    "Name": "pko_knowledge_authority.agent_decision_records",
    "SchemaName": "pko_knowledge_authority",
    "SourceView": "vw_agent_decision_records",
    "GrantKey": "principal-knowledge-authority|AgentDecisionRecords",
    "ColumnCount": 40,
    "TableFieldCount": 40,
    "IsFullWidth": true,
    "IsDegenerateView": false
   },
   {
    "RoleSchemaViewId": "rsv-knowledge-authority-agents",
    "RoleSchema": "schema-knowledge-authority",
    "Principal": "principal-knowledge-authority",
    "TargetTable": "Agents",
    "ViewName": "agents",
    "SemanticTypeIri": "urn:effortless:pko-extension#RoleSchemaView",
    "Name": "pko_knowledge_authority.agents",
    "SchemaName": "pko_knowledge_authority",
    "SourceView": "vw_agents",
    "GrantKey": "principal-knowledge-authority|Agents",
    "ColumnCount": 23,
    "TableFieldCount": 23,
    "IsFullWidth": true,
    "IsDegenerateView": false
   },
   {
    "RoleSchemaViewId": "rsv-knowledge-authority-app_nav_groups",
    "RoleSchema": "schema-knowledge-authority",
    "Principal": "principal-knowledge-authority",
    "TargetTable": "AppNavGroups",
    "ViewName": "app_nav_groups",
    "SemanticTypeIri": "urn:effortless:pko-extension#RoleSchemaView",
    "Name": "pko_knowledge_authority.app_nav_groups",
    "SchemaName": "pko_knowledge_authority",
    "SourceView": "vw_app_nav_groups",
    "GrantKey": "principal-knowledge-authority|AppNavGroups",
    "ColumnCount": 5,
    "TableFieldCount": 5,
    "IsFullWidth": true,
    "IsDegenerateView": false
   },
   {
    "RoleSchemaViewId": "rsv-knowledge-authority-app_role_profiles",
    "RoleSchema": "schema-knowledge-authority",
    "Principal": "principal-knowledge-authority",
    "TargetTable": "AppRoleProfiles",
    "ViewName": "app_role_profiles",
    "SemanticTypeIri": "urn:effortless:pko-extension#RoleSchemaView",
    "Name": "pko_knowledge_authority.app_role_profiles",
    "SchemaName": "pko_knowledge_authority",
    "SourceView": "vw_app_role_profiles",
    "GrantKey": "principal-knowledge-authority|AppRoleProfiles",
    "ColumnCount": 12,
    "TableFieldCount": 12,
    "IsFullWidth": true,
    "IsDegenerateView": false
   },
   {
    "RoleSchemaViewId": "rsv-knowledge-authority-app_route_questions",
    "RoleSchema": "schema-knowledge-authority",
    "Principal": "principal-knowledge-authority",
    "TargetTable": "AppRouteQuestions",
    "ViewName": "app_route_questions",
    "SemanticTypeIri": "urn:effortless:pko-extension#RoleSchemaView",
    "Name": "pko_knowledge_authority.app_route_questions",
    "SchemaName": "pko_knowledge_authority",
    "SourceView": "vw_app_route_questions",
    "GrantKey": "principal-knowledge-authority|AppRouteQuestions",
    "ColumnCount": 5,
    "TableFieldCount": 5,
    "IsFullWidth": true,
    "IsDegenerateView": false
   },
   {
    "RoleSchemaViewId": "rsv-knowledge-authority-app_route_references",
    "RoleSchema": "schema-knowledge-authority",
    "Principal": "principal-knowledge-authority",
    "TargetTable": "AppRouteReferences",
    "ViewName": "app_route_references",
    "SemanticTypeIri": "urn:effortless:pko-extension#RoleSchemaView",
    "Name": "pko_knowledge_authority.app_route_references",
    "SchemaName": "pko_knowledge_authority",
    "SourceView": "vw_app_route_references",
    "GrantKey": "principal-knowledge-authority|AppRouteReferences",
    "ColumnCount": 5,
    "TableFieldCount": 5,
    "IsFullWidth": true,
    "IsDegenerateView": false
   },
   {
    "RoleSchemaViewId": "rsv-knowledge-authority-app_routes",
    "RoleSchema": "schema-knowledge-authority",
    "Principal": "principal-knowledge-authority",
    "TargetTable": "AppRoutes",
    "ViewName": "app_routes",
    "SemanticTypeIri": "urn:effortless:pko-extension#RoleSchemaView",
    "Name": "pko_knowledge_authority.app_routes",
    "SchemaName": "pko_knowledge_authority",
    "SourceView": "vw_app_routes",
    "GrantKey": "principal-knowledge-authority|AppRoutes",
    "ColumnCount": 18,
    "TableFieldCount": 18,
    "IsFullWidth": true,
    "IsDegenerateView": false
   },
   {
    "RoleSchemaViewId": "rsv-knowledge-authority-attestations",
    "RoleSchema": "schema-knowledge-authority",
    "Principal": "principal-knowledge-authority",
    "TargetTable": "Attestations",
    "ViewName": "attestations",
    "SemanticTypeIri": "urn:effortless:pko-extension#RoleSchemaView",
    "Name": "pko_knowledge_authority.attestations",
    "SchemaName": "pko_knowledge_authority",
    "SourceView": "vw_attestations",
    "GrantKey": "principal-knowledge-authority|Attestations",
    "ColumnCount": 12,
    "TableFieldCount": 12,
    "IsFullWidth": true,
    "IsDegenerateView": false
   },
   {
    "RoleSchemaViewId": "rsv-knowledge-authority-authority_boundaries",
    "RoleSchema": "schema-knowledge-authority",
    "Principal": "principal-knowledge-authority",
    "TargetTable": "AuthorityBoundaries",
    "ViewName": "authority_boundaries",
    "SemanticTypeIri": "urn:effortless:pko-extension#RoleSchemaView",
    "Name": "pko_knowledge_authority.authority_boundaries",
    "SchemaName": "pko_knowledge_authority",
    "SourceView": "vw_authority_boundaries",
    "GrantKey": "principal-knowledge-authority|AuthorityBoundaries",
    "ColumnCount": 33,
    "TableFieldCount": 33,
    "IsFullWidth": true,
    "IsDegenerateView": false
   },
   {
    "RoleSchemaViewId": "rsv-knowledge-authority-binding_observations",
    "RoleSchema": "schema-knowledge-authority",
    "Principal": "principal-knowledge-authority",
    "TargetTable": "BindingObservations",
    "ViewName": "binding_observations",
    "SemanticTypeIri": "urn:effortless:pko-extension#RoleSchemaView",
    "Name": "pko_knowledge_authority.binding_observations",
    "SchemaName": "pko_knowledge_authority",
    "SourceView": "vw_binding_observations",
    "GrantKey": "principal-knowledge-authority|BindingObservations",
    "ColumnCount": 11,
    "TableFieldCount": 11,
    "IsFullWidth": true,
    "IsDegenerateView": false
   },
   {
    "RoleSchemaViewId": "rsv-knowledge-authority-change_requests",
    "RoleSchema": "schema-knowledge-authority",
    "Principal": "principal-knowledge-authority",
    "TargetTable": "ChangeRequests",
    "ViewName": "change_requests",
    "SemanticTypeIri": "urn:effortless:pko-extension#RoleSchemaView",
    "Name": "pko_knowledge_authority.change_requests",
    "SchemaName": "pko_knowledge_authority",
    "SourceView": "vw_change_requests",
    "GrantKey": "principal-knowledge-authority|ChangeRequests",
    "ColumnCount": 45,
    "TableFieldCount": 45,
    "IsFullWidth": true,
    "IsDegenerateView": false
   },
   {
    "RoleSchemaViewId": "rsv-knowledge-authority-communication_policies",
    "RoleSchema": "schema-knowledge-authority",
    "Principal": "principal-knowledge-authority",
    "TargetTable": "CommunicationPolicies",
    "ViewName": "communication_policies",
    "SemanticTypeIri": "urn:effortless:pko-extension#RoleSchemaView",
    "Name": "pko_knowledge_authority.communication_policies",
    "SchemaName": "pko_knowledge_authority",
    "SourceView": "vw_communication_policies",
    "GrantKey": "principal-knowledge-authority|CommunicationPolicies",
    "ColumnCount": 22,
    "TableFieldCount": 22,
    "IsFullWidth": true,
    "IsDegenerateView": false
   },
   {
    "RoleSchemaViewId": "rsv-knowledge-authority-communities_of_practice",
    "RoleSchema": "schema-knowledge-authority",
    "Principal": "principal-knowledge-authority",
    "TargetTable": "CommunitiesOfPractice",
    "ViewName": "communities_of_practice",
    "SemanticTypeIri": "urn:effortless:pko-extension#RoleSchemaView",
    "Name": "pko_knowledge_authority.communities_of_practice",
    "SchemaName": "pko_knowledge_authority",
    "SourceView": "vw_communities_of_practice",
    "GrantKey": "principal-knowledge-authority|CommunitiesOfPractice",
    "ColumnCount": 8,
    "TableFieldCount": 8,
    "IsFullWidth": true,
    "IsDegenerateView": false
   },
   {
    "RoleSchemaViewId": "rsv-knowledge-authority-delivered_communications",
    "RoleSchema": "schema-knowledge-authority",
    "Principal": "principal-knowledge-authority",
    "TargetTable": "DeliveredCommunications",
    "ViewName": "delivered_communications",
    "SemanticTypeIri": "urn:effortless:pko-extension#RoleSchemaView",
    "Name": "pko_knowledge_authority.delivered_communications",
    "SchemaName": "pko_knowledge_authority",
    "SourceView": "vw_delivered_communications",
    "GrantKey": "principal-knowledge-authority|DeliveredCommunications",
    "ColumnCount": 18,
    "TableFieldCount": 18,
    "IsFullWidth": true,
    "IsDegenerateView": false
   },
   {
    "RoleSchemaViewId": "rsv-knowledge-authority-elicitation_sessions",
    "RoleSchema": "schema-knowledge-authority",
    "Principal": "principal-knowledge-authority",
    "TargetTable": "ElicitationSessions",
    "ViewName": "elicitation_sessions",
    "SemanticTypeIri": "urn:effortless:pko-extension#RoleSchemaView",
    "Name": "pko_knowledge_authority.elicitation_sessions",
    "SchemaName": "pko_knowledge_authority",
    "SourceView": "vw_elicitation_sessions",
    "GrantKey": "principal-knowledge-authority|ElicitationSessions",
    "ColumnCount": 21,
    "TableFieldCount": 21,
    "IsFullWidth": true,
    "IsDegenerateView": false
   },
   {
    "RoleSchemaViewId": "rsv-knowledge-authority-errors",
    "RoleSchema": "schema-knowledge-authority",
    "Principal": "principal-knowledge-authority",
    "TargetTable": "Errors",
    "ViewName": "errors",
    "SemanticTypeIri": "urn:effortless:pko-extension#RoleSchemaView",
    "Name": "pko_knowledge_authority.errors",
    "SchemaName": "pko_knowledge_authority",
    "SourceView": "vw_errors",
    "GrantKey": "principal-knowledge-authority|Errors",
    "ColumnCount": 6,
    "TableFieldCount": 6,
    "IsFullWidth": true,
    "IsDegenerateView": false
   },
   {
    "RoleSchemaViewId": "rsv-knowledge-authority-evaluation_contexts",
    "RoleSchema": "schema-knowledge-authority",
    "Principal": "principal-knowledge-authority",
    "TargetTable": "EvaluationContexts",
    "ViewName": "evaluation_contexts",
    "SemanticTypeIri": "urn:effortless:pko-extension#RoleSchemaView",
    "Name": "pko_knowledge_authority.evaluation_contexts",
    "SchemaName": "pko_knowledge_authority",
    "SourceView": "vw_evaluation_contexts",
    "GrantKey": "principal-knowledge-authority|EvaluationContexts",
    "ColumnCount": 7,
    "TableFieldCount": 7,
    "IsFullWidth": true,
    "IsDegenerateView": false
   },
   {
    "RoleSchemaViewId": "rsv-knowledge-authority-exception_invocations",
    "RoleSchema": "schema-knowledge-authority",
    "Principal": "principal-knowledge-authority",
    "TargetTable": "ExceptionInvocations",
    "ViewName": "exception_invocations",
    "SemanticTypeIri": "urn:effortless:pko-extension#RoleSchemaView",
    "Name": "pko_knowledge_authority.exception_invocations",
    "SchemaName": "pko_knowledge_authority",
    "SourceView": "vw_exception_invocations",
    "GrantKey": "principal-knowledge-authority|ExceptionInvocations",
    "ColumnCount": 21,
    "TableFieldCount": 21,
    "IsFullWidth": true,
    "IsDegenerateView": false
   },
   {
    "RoleSchemaViewId": "rsv-knowledge-authority-exceptions",
    "RoleSchema": "schema-knowledge-authority",
    "Principal": "principal-knowledge-authority",
    "TargetTable": "Exceptions",
    "ViewName": "exceptions",
    "SemanticTypeIri": "urn:effortless:pko-extension#RoleSchemaView",
    "Name": "pko_knowledge_authority.exceptions",
    "SchemaName": "pko_knowledge_authority",
    "SourceView": "vw_exceptions",
    "GrantKey": "principal-knowledge-authority|Exceptions",
    "ColumnCount": 11,
    "TableFieldCount": 11,
    "IsFullWidth": true,
    "IsDegenerateView": false
   },
   {
    "RoleSchemaViewId": "rsv-knowledge-authority-explanations",
    "RoleSchema": "schema-knowledge-authority",
    "Principal": "principal-knowledge-authority",
    "TargetTable": "Explanations",
    "ViewName": "explanations",
    "SemanticTypeIri": "urn:effortless:pko-extension#RoleSchemaView",
    "Name": "pko_knowledge_authority.explanations",
    "SchemaName": "pko_knowledge_authority",
    "SourceView": "vw_explanations",
    "GrantKey": "principal-knowledge-authority|Explanations",
    "ColumnCount": 7,
    "TableFieldCount": 7,
    "IsFullWidth": true,
    "IsDegenerateView": false
   },
   {
    "RoleSchemaViewId": "rsv-knowledge-authority-functions",
    "RoleSchema": "schema-knowledge-authority",
    "Principal": "principal-knowledge-authority",
    "TargetTable": "Functions",
    "ViewName": "functions",
    "SemanticTypeIri": "urn:effortless:pko-extension#RoleSchemaView",
    "Name": "pko_knowledge_authority.functions",
    "SchemaName": "pko_knowledge_authority",
    "SourceView": "vw_functions",
    "GrantKey": "principal-knowledge-authority|Functions",
    "ColumnCount": 6,
    "TableFieldCount": 6,
    "IsFullWidth": true,
    "IsDegenerateView": false
   },
   {
    "RoleSchemaViewId": "rsv-knowledge-authority-issue_occurrences",
    "RoleSchema": "schema-knowledge-authority",
    "Principal": "principal-knowledge-authority",
    "TargetTable": "IssueOccurrences",
    "ViewName": "issue_occurrences",
    "SemanticTypeIri": "urn:effortless:pko-extension#RoleSchemaView",
    "Name": "pko_knowledge_authority.issue_occurrences",
    "SchemaName": "pko_knowledge_authority",
    "SourceView": "vw_issue_occurrences",
    "GrantKey": "principal-knowledge-authority|IssueOccurrences",
    "ColumnCount": 12,
    "TableFieldCount": 12,
    "IsFullWidth": true,
    "IsDegenerateView": false
   },
   {
    "RoleSchemaViewId": "rsv-knowledge-authority-knowledge_fragments",
    "RoleSchema": "schema-knowledge-authority",
    "Principal": "principal-knowledge-authority",
    "TargetTable": "KnowledgeFragments",
    "ViewName": "knowledge_fragments",
    "SemanticTypeIri": "urn:effortless:pko-extension#RoleSchemaView",
    "Name": "pko_knowledge_authority.knowledge_fragments",
    "SchemaName": "pko_knowledge_authority",
    "SourceView": "vw_knowledge_fragments",
    "GrantKey": "principal-knowledge-authority|KnowledgeFragments",
    "ColumnCount": 80,
    "TableFieldCount": 80,
    "IsFullWidth": true,
    "IsDegenerateView": false
   },
   {
    "RoleSchemaViewId": "rsv-knowledge-authority-knowledge_gaps",
    "RoleSchema": "schema-knowledge-authority",
    "Principal": "principal-knowledge-authority",
    "TargetTable": "KnowledgeGaps",
    "ViewName": "knowledge_gaps",
    "SemanticTypeIri": "urn:effortless:pko-extension#RoleSchemaView",
    "Name": "pko_knowledge_authority.knowledge_gaps",
    "SchemaName": "pko_knowledge_authority",
    "SourceView": "vw_knowledge_gaps",
    "GrantKey": "principal-knowledge-authority|KnowledgeGaps",
    "ColumnCount": 28,
    "TableFieldCount": 28,
    "IsFullWidth": true,
    "IsDegenerateView": false
   },
   {
    "RoleSchemaViewId": "rsv-knowledge-authority-learning_activities",
    "RoleSchema": "schema-knowledge-authority",
    "Principal": "principal-knowledge-authority",
    "TargetTable": "LearningActivities",
    "ViewName": "learning_activities",
    "SemanticTypeIri": "urn:effortless:pko-extension#RoleSchemaView",
    "Name": "pko_knowledge_authority.learning_activities",
    "SchemaName": "pko_knowledge_authority",
    "SourceView": "vw_learning_activities",
    "GrantKey": "principal-knowledge-authority|LearningActivities",
    "ColumnCount": 10,
    "TableFieldCount": 10,
    "IsFullWidth": true,
    "IsDegenerateView": false
   },
   {
    "RoleSchemaViewId": "rsv-knowledge-authority-mentorships",
    "RoleSchema": "schema-knowledge-authority",
    "Principal": "principal-knowledge-authority",
    "TargetTable": "Mentorships",
    "ViewName": "mentorships",
    "SemanticTypeIri": "urn:effortless:pko-extension#RoleSchemaView",
    "Name": "pko_knowledge_authority.mentorships",
    "SchemaName": "pko_knowledge_authority",
    "SourceView": "vw_mentorships",
    "GrantKey": "principal-knowledge-authority|Mentorships",
    "ColumnCount": 10,
    "TableFieldCount": 10,
    "IsFullWidth": true,
    "IsDegenerateView": false
   },
   {
    "RoleSchemaViewId": "rsv-knowledge-authority-message_deliveries",
    "RoleSchema": "schema-knowledge-authority",
    "Principal": "principal-knowledge-authority",
    "TargetTable": "MessageDeliveries",
    "ViewName": "message_deliveries",
    "SemanticTypeIri": "urn:effortless:pko-extension#RoleSchemaView",
    "Name": "pko_knowledge_authority.message_deliveries",
    "SchemaName": "pko_knowledge_authority",
    "SourceView": "vw_message_deliveries",
    "GrantKey": "principal-knowledge-authority|MessageDeliveries",
    "ColumnCount": 94,
    "TableFieldCount": 94,
    "IsFullWidth": true,
    "IsDegenerateView": false
   },
   {
    "RoleSchemaViewId": "rsv-knowledge-authority-message_templates",
    "RoleSchema": "schema-knowledge-authority",
    "Principal": "principal-knowledge-authority",
    "TargetTable": "MessageTemplates",
    "ViewName": "message_templates",
    "SemanticTypeIri": "urn:effortless:pko-extension#RoleSchemaView",
    "Name": "pko_knowledge_authority.message_templates",
    "SchemaName": "pko_knowledge_authority",
    "SourceView": "vw_message_templates",
    "GrantKey": "principal-knowledge-authority|MessageTemplates",
    "ColumnCount": 26,
    "TableFieldCount": 26,
    "IsFullWidth": true,
    "IsDegenerateView": false
   },
   {
    "RoleSchemaViewId": "rsv-knowledge-authority-observed_transitions",
    "RoleSchema": "schema-knowledge-authority",
    "Principal": "principal-knowledge-authority",
    "TargetTable": "ObservedTransitions",
    "ViewName": "observed_transitions",
    "SemanticTypeIri": "urn:effortless:pko-extension#RoleSchemaView",
    "Name": "pko_knowledge_authority.observed_transitions",
    "SchemaName": "pko_knowledge_authority",
    "SourceView": "vw_observed_transitions",
    "GrantKey": "principal-knowledge-authority|ObservedTransitions",
    "ColumnCount": 8,
    "TableFieldCount": 8,
    "IsFullWidth": true,
    "IsDegenerateView": false
   },
   {
    "RoleSchemaViewId": "rsv-knowledge-authority-ontology_profiles",
    "RoleSchema": "schema-knowledge-authority",
    "Principal": "principal-knowledge-authority",
    "TargetTable": "OntologyProfiles",
    "ViewName": "ontology_profiles",
    "SemanticTypeIri": "urn:effortless:pko-extension#RoleSchemaView",
    "Name": "pko_knowledge_authority.ontology_profiles",
    "SchemaName": "pko_knowledge_authority",
    "SourceView": "vw_ontology_profiles",
    "GrantKey": "principal-knowledge-authority|OntologyProfiles",
    "ColumnCount": 8,
    "TableFieldCount": 8,
    "IsFullWidth": true,
    "IsDegenerateView": false
   },
   {
    "RoleSchemaViewId": "rsv-knowledge-authority-operational_bindings",
    "RoleSchema": "schema-knowledge-authority",
    "Principal": "principal-knowledge-authority",
    "TargetTable": "OperationalBindings",
    "ViewName": "operational_bindings",
    "SemanticTypeIri": "urn:effortless:pko-extension#RoleSchemaView",
    "Name": "pko_knowledge_authority.operational_bindings",
    "SchemaName": "pko_knowledge_authority",
    "SourceView": "vw_operational_bindings",
    "GrantKey": "principal-knowledge-authority|OperationalBindings",
    "ColumnCount": 22,
    "TableFieldCount": 22,
    "IsFullWidth": true,
    "IsDegenerateView": false
   },
   {
    "RoleSchemaViewId": "rsv-knowledge-authority-organizations",
    "RoleSchema": "schema-knowledge-authority",
    "Principal": "principal-knowledge-authority",
    "TargetTable": "Organizations",
    "ViewName": "organizations",
    "SemanticTypeIri": "urn:effortless:pko-extension#RoleSchemaView",
    "Name": "pko_knowledge_authority.organizations",
    "SchemaName": "pko_knowledge_authority",
    "SourceView": "vw_organizations",
    "GrantKey": "principal-knowledge-authority|Organizations",
    "ColumnCount": 6,
    "TableFieldCount": 6,
    "IsFullWidth": true,
    "IsDegenerateView": false
   },
   {
    "RoleSchemaViewId": "rsv-knowledge-authority-procedure_executions",
    "RoleSchema": "schema-knowledge-authority",
    "Principal": "principal-knowledge-authority",
    "TargetTable": "ProcedureExecutions",
    "ViewName": "procedure_executions",
    "SemanticTypeIri": "urn:effortless:pko-extension#RoleSchemaView",
    "Name": "pko_knowledge_authority.procedure_executions",
    "SchemaName": "pko_knowledge_authority",
    "SourceView": "vw_procedure_executions",
    "GrantKey": "principal-knowledge-authority|ProcedureExecutions",
    "ColumnCount": 78,
    "TableFieldCount": 78,
    "IsFullWidth": true,
    "IsDegenerateView": false
   },
   {
    "RoleSchemaViewId": "rsv-knowledge-authority-procedure_resources",
    "RoleSchema": "schema-knowledge-authority",
    "Principal": "principal-knowledge-authority",
    "TargetTable": "ProcedureResources",
    "ViewName": "procedure_resources",
    "SemanticTypeIri": "urn:effortless:pko-extension#RoleSchemaView",
    "Name": "pko_knowledge_authority.procedure_resources",
    "SchemaName": "pko_knowledge_authority",
    "SourceView": "vw_procedure_resources",
    "GrantKey": "principal-knowledge-authority|ProcedureResources",
    "ColumnCount": 6,
    "TableFieldCount": 6,
    "IsFullWidth": true,
    "IsDegenerateView": false
   },
   {
    "RoleSchemaViewId": "rsv-knowledge-authority-procedure_status_changes",
    "RoleSchema": "schema-knowledge-authority",
    "Principal": "principal-knowledge-authority",
    "TargetTable": "ProcedureStatusChanges",
    "ViewName": "procedure_status_changes",
    "SemanticTypeIri": "urn:effortless:pko-extension#RoleSchemaView",
    "Name": "pko_knowledge_authority.procedure_status_changes",
    "SchemaName": "pko_knowledge_authority",
    "SourceView": "vw_procedure_status_changes",
    "GrantKey": "principal-knowledge-authority|ProcedureStatusChanges",
    "ColumnCount": 9,
    "TableFieldCount": 9,
    "IsFullWidth": true,
    "IsDegenerateView": false
   },
   {
    "RoleSchemaViewId": "rsv-knowledge-authority-procedure_types",
    "RoleSchema": "schema-knowledge-authority",
    "Principal": "principal-knowledge-authority",
    "TargetTable": "ProcedureTypes",
    "ViewName": "procedure_types",
    "SemanticTypeIri": "urn:effortless:pko-extension#RoleSchemaView",
    "Name": "pko_knowledge_authority.procedure_types",
    "SchemaName": "pko_knowledge_authority",
    "SourceView": "vw_procedure_types",
    "GrantKey": "principal-knowledge-authority|ProcedureTypes",
    "ColumnCount": 5,
    "TableFieldCount": 5,
    "IsFullWidth": true,
    "IsDegenerateView": false
   },
   {
    "RoleSchemaViewId": "rsv-knowledge-authority-procedure_version_links",
    "RoleSchema": "schema-knowledge-authority",
    "Principal": "principal-knowledge-authority",
    "TargetTable": "ProcedureVersionLinks",
    "ViewName": "procedure_version_links",
    "SemanticTypeIri": "urn:effortless:pko-extension#RoleSchemaView",
    "Name": "pko_knowledge_authority.procedure_version_links",
    "SchemaName": "pko_knowledge_authority",
    "SourceView": "vw_procedure_version_links",
    "GrantKey": "principal-knowledge-authority|ProcedureVersionLinks",
    "ColumnCount": 7,
    "TableFieldCount": 7,
    "IsFullWidth": true,
    "IsDegenerateView": false
   },
   {
    "RoleSchemaViewId": "rsv-knowledge-authority-procedure_versions",
    "RoleSchema": "schema-knowledge-authority",
    "Principal": "principal-knowledge-authority",
    "TargetTable": "ProcedureVersions",
    "ViewName": "procedure_versions",
    "SemanticTypeIri": "urn:effortless:pko-extension#RoleSchemaView",
    "Name": "pko_knowledge_authority.procedure_versions",
    "SchemaName": "pko_knowledge_authority",
    "SourceView": "vw_procedure_versions",
    "GrantKey": "principal-knowledge-authority|ProcedureVersions",
    "ColumnCount": 86,
    "TableFieldCount": 86,
    "IsFullWidth": true,
    "IsDegenerateView": false
   },
   {
    "RoleSchemaViewId": "rsv-knowledge-authority-procedures",
    "RoleSchema": "schema-knowledge-authority",
    "Principal": "principal-knowledge-authority",
    "TargetTable": "Procedures",
    "ViewName": "procedures",
    "SemanticTypeIri": "urn:effortless:pko-extension#RoleSchemaView",
    "Name": "pko_knowledge_authority.procedures",
    "SchemaName": "pko_knowledge_authority",
    "SourceView": "vw_procedures",
    "GrantKey": "principal-knowledge-authority|Procedures",
    "ColumnCount": 11,
    "TableFieldCount": 11,
    "IsFullWidth": true,
    "IsDegenerateView": false
   },
   {
    "RoleSchemaViewId": "rsv-knowledge-authority-rationales",
    "RoleSchema": "schema-knowledge-authority",
    "Principal": "principal-knowledge-authority",
    "TargetTable": "Rationales",
    "ViewName": "rationales",
    "SemanticTypeIri": "urn:effortless:pko-extension#RoleSchemaView",
    "Name": "pko_knowledge_authority.rationales",
    "SchemaName": "pko_knowledge_authority",
    "SourceView": "vw_rationales",
    "GrantKey": "principal-knowledge-authority|Rationales",
    "ColumnCount": 9,
    "TableFieldCount": 9,
    "IsFullWidth": true,
    "IsDegenerateView": false
   },
   {
    "RoleSchemaViewId": "rsv-knowledge-authority-recipients",
    "RoleSchema": "schema-knowledge-authority",
    "Principal": "principal-knowledge-authority",
    "TargetTable": "Recipients",
    "ViewName": "recipients",
    "SemanticTypeIri": "urn:effortless:pko-extension#RoleSchemaView",
    "Name": "pko_knowledge_authority.recipients",
    "SchemaName": "pko_knowledge_authority",
    "SourceView": "vw_recipients",
    "GrantKey": "principal-knowledge-authority|Recipients",
    "ColumnCount": 15,
    "TableFieldCount": 15,
    "IsFullWidth": true,
    "IsDegenerateView": false
   },
   {
    "RoleSchemaViewId": "rsv-knowledge-authority-requirement_satisfactions",
    "RoleSchema": "schema-knowledge-authority",
    "Principal": "principal-knowledge-authority",
    "TargetTable": "RequirementSatisfactions",
    "ViewName": "requirement_satisfactions",
    "SemanticTypeIri": "urn:effortless:pko-extension#RoleSchemaView",
    "Name": "pko_knowledge_authority.requirement_satisfactions",
    "SchemaName": "pko_knowledge_authority",
    "SourceView": "vw_requirement_satisfactions",
    "GrantKey": "principal-knowledge-authority|RequirementSatisfactions",
    "ColumnCount": 46,
    "TableFieldCount": 46,
    "IsFullWidth": true,
    "IsDegenerateView": false
   },
   {
    "RoleSchemaViewId": "rsv-knowledge-authority-requirements",
    "RoleSchema": "schema-knowledge-authority",
    "Principal": "principal-knowledge-authority",
    "TargetTable": "Requirements",
    "ViewName": "requirements",
    "SemanticTypeIri": "urn:effortless:pko-extension#RoleSchemaView",
    "Name": "pko_knowledge_authority.requirements",
    "SchemaName": "pko_knowledge_authority",
    "SourceView": "vw_requirements",
    "GrantKey": "principal-knowledge-authority|Requirements",
    "ColumnCount": 43,
    "TableFieldCount": 43,
    "IsFullWidth": true,
    "IsDegenerateView": false
   },
   {
    "RoleSchemaViewId": "rsv-knowledge-authority-resources",
    "RoleSchema": "schema-knowledge-authority",
    "Principal": "principal-knowledge-authority",
    "TargetTable": "Resources",
    "ViewName": "resources",
    "SemanticTypeIri": "urn:effortless:pko-extension#RoleSchemaView",
    "Name": "pko_knowledge_authority.resources",
    "SchemaName": "pko_knowledge_authority",
    "SourceView": "vw_resources",
    "GrantKey": "principal-knowledge-authority|Resources",
    "ColumnCount": 11,
    "TableFieldCount": 11,
    "IsFullWidth": true,
    "IsDegenerateView": false
   },
   {
    "RoleSchemaViewId": "rsv-knowledge-authority-review_events",
    "RoleSchema": "schema-knowledge-authority",
    "Principal": "principal-knowledge-authority",
    "TargetTable": "ReviewEvents",
    "ViewName": "review_events",
    "SemanticTypeIri": "urn:effortless:pko-extension#RoleSchemaView",
    "Name": "pko_knowledge_authority.review_events",
    "SchemaName": "pko_knowledge_authority",
    "SourceView": "vw_review_events",
    "GrantKey": "principal-knowledge-authority|ReviewEvents",
    "ColumnCount": 20,
    "TableFieldCount": 20,
    "IsFullWidth": true,
    "IsDegenerateView": false
   },
   {
    "RoleSchemaViewId": "rsv-knowledge-authority-role_assignments",
    "RoleSchema": "schema-knowledge-authority",
    "Principal": "principal-knowledge-authority",
    "TargetTable": "RoleAssignments",
    "ViewName": "role_assignments",
    "SemanticTypeIri": "urn:effortless:pko-extension#RoleSchemaView",
    "Name": "pko_knowledge_authority.role_assignments",
    "SchemaName": "pko_knowledge_authority",
    "SourceView": "vw_role_assignments",
    "GrantKey": "principal-knowledge-authority|RoleAssignments",
    "ColumnCount": 65,
    "TableFieldCount": 65,
    "IsFullWidth": true,
    "IsDegenerateView": false
   },
   {
    "RoleSchemaViewId": "rsv-knowledge-authority-role_questions",
    "RoleSchema": "schema-knowledge-authority",
    "Principal": "principal-knowledge-authority",
    "TargetTable": "RoleQuestions",
    "ViewName": "role_questions",
    "SemanticTypeIri": "urn:effortless:pko-extension#RoleSchemaView",
    "Name": "pko_knowledge_authority.role_questions",
    "SchemaName": "pko_knowledge_authority",
    "SourceView": "vw_role_questions",
    "GrantKey": "principal-knowledge-authority|RoleQuestions",
    "ColumnCount": 11,
    "TableFieldCount": 11,
    "IsFullWidth": true,
    "IsDegenerateView": false
   },
   {
    "RoleSchemaViewId": "rsv-knowledge-authority-roles",
    "RoleSchema": "schema-knowledge-authority",
    "Principal": "principal-knowledge-authority",
    "TargetTable": "Roles",
    "ViewName": "roles",
    "SemanticTypeIri": "urn:effortless:pko-extensi</t>
  </si>
  <si>
    <t xml:space="preserve">on#RoleSchemaView",
    "Name": "pko_knowledge_authority.roles",
    "SchemaName": "pko_knowledge_authority",
    "SourceView": "vw_roles",
    "GrantKey": "principal-knowledge-authority|Roles",
    "ColumnCount": 24,
    "TableFieldCount": 24,
    "IsFullWidth": true,
    "IsDegenerateView": false
   },
   {
    "RoleSchemaViewId": "rsv-knowledge-authority-rulebook_fields",
    "RoleSchema": "schema-knowledge-authority",
    "Principal": "principal-knowledge-authority",
    "TargetTable": "RulebookFields",
    "ViewName": "rulebook_fields",
    "SemanticTypeIri": "urn:effortless:pko-extension#RoleSchemaView",
    "Name": "pko_knowledge_authority.rulebook_fields",
    "SchemaName": "pko_knowledge_authority",
    "SourceView": "vw_rulebook_fields",
    "GrantKey": "principal-knowledge-authority|RulebookFields",
    "ColumnCount": 11,
    "TableFieldCount": 13,
    "IsFullWidth": false,
    "IsDegenerateView": false
   },
   {
    "RoleSchemaViewId": "rsv-knowledge-authority-rulebook_releases",
    "RoleSchema": "schema-knowledge-authority",
    "Principal": "principal-knowledge-authority",
    "TargetTable": "RulebookReleases",
    "ViewName": "rulebook_releases",
    "SemanticTypeIri": "urn:effortless:pko-extension#RoleSchemaView",
    "Name": "pko_knowledge_authority.rulebook_releases",
    "SchemaName": "pko_knowledge_authority",
    "SourceView": "vw_rulebook_releases",
    "GrantKey": "principal-knowledge-authority|RulebookReleases",
    "ColumnCount": 11,
    "TableFieldCount": 11,
    "IsFullWidth": true,
    "IsDegenerateView": false
   },
   {
    "RoleSchemaViewId": "rsv-knowledge-authority-semantic_mappings",
    "RoleSchema": "schema-knowledge-authority",
    "Principal": "principal-knowledge-authority",
    "TargetTable": "SemanticMappings",
    "ViewName": "semantic_mappings",
    "SemanticTypeIri": "urn:effortless:pko-extension#RoleSchemaView",
    "Name": "pko_knowledge_authority.semantic_mappings",
    "SchemaName": "pko_knowledge_authority",
    "SourceView": "vw_semantic_mappings",
    "GrantKey": "principal-knowledge-authority|SemanticMappings",
    "ColumnCount": 8,
    "TableFieldCount": 8,
    "IsFullWidth": true,
    "IsDegenerateView": false
   },
   {
    "RoleSchemaViewId": "rsv-knowledge-authority-send_intents",
    "RoleSchema": "schema-knowledge-authority",
    "Principal": "principal-knowledge-authority",
    "TargetTable": "SendIntents",
    "ViewName": "send_intents",
    "SemanticTypeIri": "urn:effortless:pko-extension#RoleSchemaView",
    "Name": "pko_knowledge_authority.send_intents",
    "SchemaName": "pko_knowledge_authority",
    "SourceView": "vw_send_intents",
    "GrantKey": "principal-knowledge-authority|SendIntents",
    "ColumnCount": 100,
    "TableFieldCount": 100,
    "IsFullWidth": true,
    "IsDegenerateView": false
   },
   {
    "RoleSchemaViewId": "rsv-knowledge-authority-step_actions",
    "RoleSchema": "schema-knowledge-authority",
    "Principal": "principal-knowledge-authority",
    "TargetTable": "StepActions",
    "ViewName": "step_actions",
    "SemanticTypeIri": "urn:effortless:pko-extension#RoleSchemaView",
    "Name": "pko_knowledge_authority.step_actions",
    "SchemaName": "pko_knowledge_authority",
    "SourceView": "vw_step_actions",
    "GrantKey": "principal-knowledge-authority|StepActions",
    "ColumnCount": 4,
    "TableFieldCount": 4,
    "IsFullWidth": true,
    "IsDegenerateView": false
   },
   {
    "RoleSchemaViewId": "rsv-knowledge-authority-step_executions",
    "RoleSchema": "schema-knowledge-authority",
    "Principal": "principal-knowledge-authority",
    "TargetTable": "StepExecutions",
    "ViewName": "step_executions",
    "SemanticTypeIri": "urn:effortless:pko-extension#RoleSchemaView",
    "Name": "pko_knowledge_authority.step_executions",
    "SchemaName": "pko_knowledge_authority",
    "SourceView": "vw_step_executions",
    "GrantKey": "principal-knowledge-authority|StepExecutions",
    "ColumnCount": 109,
    "TableFieldCount": 109,
    "IsFullWidth": true,
    "IsDegenerateView": false
   },
   {
    "RoleSchemaViewId": "rsv-knowledge-authority-step_functions",
    "RoleSchema": "schema-knowledge-authority",
    "Principal": "principal-knowledge-authority",
    "TargetTable": "StepFunctions",
    "ViewName": "step_functions",
    "SemanticTypeIri": "urn:effortless:pko-extension#RoleSchemaView",
    "Name": "pko_knowledge_authority.step_functions",
    "SchemaName": "pko_knowledge_authority",
    "SourceView": "vw_step_functions",
    "GrantKey": "principal-knowledge-authority|StepFunctions",
    "ColumnCount": 4,
    "TableFieldCount": 4,
    "IsFullWidth": true,
    "IsDegenerateView": false
   },
   {
    "RoleSchemaViewId": "rsv-knowledge-authority-step_requirements",
    "RoleSchema": "schema-knowledge-authority",
    "Principal": "principal-knowledge-authority",
    "TargetTable": "StepRequirements",
    "ViewName": "step_requirements",
    "SemanticTypeIri": "urn:effortless:pko-extension#RoleSchemaView",
    "Name": "pko_knowledge_authority.step_requirements",
    "SchemaName": "pko_knowledge_authority",
    "SourceView": "vw_step_requirements",
    "GrantKey": "principal-knowledge-authority|StepRequirements",
    "ColumnCount": 13,
    "TableFieldCount": 13,
    "IsFullWidth": true,
    "IsDegenerateView": false
   },
   {
    "RoleSchemaViewId": "rsv-knowledge-authority-step_tools",
    "RoleSchema": "schema-knowledge-authority",
    "Principal": "principal-knowledge-authority",
    "TargetTable": "StepTools",
    "ViewName": "step_tools",
    "SemanticTypeIri": "urn:effortless:pko-extension#RoleSchemaView",
    "Name": "pko_knowledge_authority.step_tools",
    "SchemaName": "pko_knowledge_authority",
    "SourceView": "vw_step_tools",
    "GrantKey": "principal-knowledge-authority|StepTools",
    "ColumnCount": 4,
    "TableFieldCount": 4,
    "IsFullWidth": true,
    "IsDegenerateView": false
   },
   {
    "RoleSchemaViewId": "rsv-knowledge-authority-step_transitions",
    "RoleSchema": "schema-knowledge-authority",
    "Principal": "principal-knowledge-authority",
    "TargetTable": "StepTransitions",
    "ViewName": "step_transitions",
    "SemanticTypeIri": "urn:effortless:pko-extension#RoleSchemaView",
    "Name": "pko_knowledge_authority.step_transitions",
    "SchemaName": "pko_knowledge_authority",
    "SourceView": "vw_step_transitions",
    "GrantKey": "principal-knowledge-authority|StepTransitions",
    "ColumnCount": 23,
    "TableFieldCount": 23,
    "IsFullWidth": true,
    "IsDegenerateView": false
   },
   {
    "RoleSchemaViewId": "rsv-knowledge-authority-step_verifications",
    "RoleSchema": "schema-knowledge-authority",
    "Principal": "principal-knowledge-authority",
    "TargetTable": "StepVerifications",
    "ViewName": "step_verifications",
    "SemanticTypeIri": "urn:effortless:pko-extension#RoleSchemaView",
    "Name": "pko_knowledge_authority.step_verifications",
    "SchemaName": "pko_knowledge_authority",
    "SourceView": "vw_step_verifications",
    "GrantKey": "principal-knowledge-authority|StepVerifications",
    "ColumnCount": 8,
    "TableFieldCount": 8,
    "IsFullWidth": true,
    "IsDegenerateView": false
   },
   {
    "RoleSchemaViewId": "rsv-knowledge-authority-steps",
    "RoleSchema": "schema-knowledge-authority",
    "Principal": "principal-knowledge-authority",
    "TargetTable": "Steps",
    "ViewName": "steps",
    "SemanticTypeIri": "urn:effortless:pko-extension#RoleSchemaView",
    "Name": "pko_knowledge_authority.steps",
    "SchemaName": "pko_knowledge_authority",
    "SourceView": "vw_steps",
    "GrantKey": "principal-knowledge-authority|Steps",
    "ColumnCount": 42,
    "TableFieldCount": 42,
    "IsFullWidth": true,
    "IsDegenerateView": false
   },
   {
    "RoleSchemaViewId": "rsv-knowledge-authority-stewardship_assignments",
    "RoleSchema": "schema-knowledge-authority",
    "Principal": "principal-knowledge-authority",
    "TargetTable": "StewardshipAssignments",
    "ViewName": "stewardship_assignments",
    "SemanticTypeIri": "urn:effortless:pko-extension#RoleSchemaView",
    "Name": "pko_knowledge_authority.stewardship_assignments",
    "SchemaName": "pko_knowledge_authority",
    "SourceView": "vw_stewardship_assignments",
    "GrantKey": "principal-knowledge-authority|StewardshipAssignments",
    "ColumnCount": 14,
    "TableFieldCount": 14,
    "IsFullWidth": true,
    "IsDegenerateView": false
   },
   {
    "RoleSchemaViewId": "rsv-knowledge-authority-template_approvals",
    "RoleSchema": "schema-knowledge-authority",
    "Principal": "principal-knowledge-authority",
    "TargetTable": "TemplateApprovals",
    "ViewName": "template_approvals",
    "SemanticTypeIri": "urn:effortless:pko-extension#RoleSchemaView",
    "Name": "pko_knowledge_authority.template_approvals",
    "SchemaName": "pko_knowledge_authority",
    "SourceView": "vw_template_approvals",
    "GrantKey": "principal-knowledge-authority|TemplateApprovals",
    "ColumnCount": 15,
    "TableFieldCount": 15,
    "IsFullWidth": true,
    "IsDegenerateView": false
   },
   {
    "RoleSchemaViewId": "rsv-knowledge-authority-test_cases",
    "RoleSchema": "schema-knowledge-authority",
    "Principal": "principal-knowledge-authority",
    "TargetTable": "TestCases",
    "ViewName": "test_cases",
    "SemanticTypeIri": "urn:effortless:pko-extension#RoleSchemaView",
    "Name": "pko_knowledge_authority.test_cases",
    "SchemaName": "pko_knowledge_authority",
    "SourceView": "vw_test_cases",
    "GrantKey": "principal-knowledge-authority|TestCases",
    "ColumnCount": 20,
    "TableFieldCount": 20,
    "IsFullWidth": true,
    "IsDegenerateView": false
   },
   {
    "RoleSchemaViewId": "rsv-knowledge-authority-test_suites",
    "RoleSchema": "schema-knowledge-authority",
    "Principal": "principal-knowledge-authority",
    "TargetTable": "TestSuites",
    "ViewName": "test_suites",
    "SemanticTypeIri": "urn:effortless:pko-extension#RoleSchemaView",
    "Name": "pko_knowledge_authority.test_suites",
    "SchemaName": "pko_knowledge_authority",
    "SourceView": "vw_test_suites",
    "GrantKey": "principal-knowledge-authority|TestSuites",
    "ColumnCount": 8,
    "TableFieldCount": 8,
    "IsFullWidth": true,
    "IsDegenerateView": false
   },
   {
    "RoleSchemaViewId": "rsv-knowledge-authority-tools",
    "RoleSchema": "schema-knowledge-authority",
    "Principal": "principal-knowledge-authority",
    "TargetTable": "Tools",
    "ViewName": "tools",
    "SemanticTypeIri": "urn:effortless:pko-extension#RoleSchemaView",
    "Name": "pko_knowledge_authority.tools",
    "SchemaName": "pko_knowledge_authority",
    "SourceView": "vw_tools",
    "GrantKey": "principal-knowledge-authority|Tools",
    "ColumnCount": 5,
    "TableFieldCount": 5,
    "IsFullWidth": true,
    "IsDegenerateView": false
   },
   {
    "RoleSchemaViewId": "rsv-knowledge-authority-user_feedback",
    "RoleSchema": "schema-knowledge-authority",
    "Principal": "principal-knowledge-authority",
    "TargetTable": "UserFeedback",
    "ViewName": "user_feedback",
    "SemanticTypeIri": "urn:effortless:pko-extension#RoleSchemaView",
    "Name": "pko_knowledge_authority.user_feedback",
    "SchemaName": "pko_knowledge_authority",
    "SourceView": "vw_user_feedback",
    "GrantKey": "principal-knowledge-authority|UserFeedback",
    "ColumnCount": 9,
    "TableFieldCount": 9,
    "IsFullWidth": true,
    "IsDegenerateView": false
   },
   {
    "RoleSchemaViewId": "rsv-knowledge-authority-user_questions",
    "RoleSchema": "schema-knowledge-authority",
    "Principal": "principal-knowledge-authority",
    "TargetTable": "UserQuestions",
    "ViewName": "user_questions",
    "SemanticTypeIri": "urn:effortless:pko-extension#RoleSchemaView",
    "Name": "pko_knowledge_authority.user_questions",
    "SchemaName": "pko_knowledge_authority",
    "SourceView": "vw_user_questions",
    "GrantKey": "principal-knowledge-authority|UserQuestions",
    "ColumnCount": 10,
    "TableFieldCount": 10,
    "IsFullWidth": true,
    "IsDegenerateView": false
   },
   {
    "RoleSchemaViewId": "rsv-knowledge-authority-verification_outcomes",
    "RoleSchema": "schema-knowledge-authority",
    "Principal": "principal-knowledge-authority",
    "TargetTable": "VerificationOutcomes",
    "ViewName": "verification_outcomes",
    "SemanticTypeIri": "urn:effortless:pko-extension#RoleSchemaView",
    "Name": "pko_knowledge_authority.verification_outcomes",
    "SchemaName": "pko_knowledge_authority",
    "SourceView": "vw_verification_outcomes",
    "GrantKey": "principal-knowledge-authority|VerificationOutcomes",
    "ColumnCount": 26,
    "TableFieldCount": 26,
    "IsFullWidth": true,
    "IsDegenerateView": false
   },
   {
    "RoleSchemaViewId": "rsv-knowledge-authority-witness_loops",
    "RoleSchema": "schema-knowledge-authority",
    "Principal": "principal-knowledge-authority",
    "TargetTable": "WitnessLoops",
    "ViewName": "witness_loops",
    "SemanticTypeIri": "urn:effortless:pko-extension#RoleSchemaView",
    "Name": "pko_knowledge_authority.witness_loops",
    "SchemaName": "pko_knowledge_authority",
    "SourceView": "vw_witness_loops",
    "GrantKey": "principal-knowledge-authority|WitnessLoops",
    "ColumnCount": 13,
    "TableFieldCount": 13,
    "IsFullWidth": true,
    "IsDegenerateView": false
   },
   {
    "RoleSchemaViewId": "rsv-process-steward-process_mining_runs",
    "RoleSchema": "schema-process-steward",
    "Principal": "principal-process-steward",
    "TargetTable": "ProcessMiningRuns",
    "ViewName": "process_mining_runs",
    "SemanticTypeIri": "urn:effortless:pko-extension#RoleSchemaView",
    "Name": "pko_process_steward.process_mining_runs",
    "SchemaName": "pko_process_steward",
    "SourceView": "vw_process_mining_runs",
    "GrantKey": "principal-process-steward|ProcessMiningRuns",
    "ColumnCount": 19,
    "TableFieldCount": 19,
    "IsFullWidth": true,
    "IsDegenerateView": false
   },
   {
    "RoleSchemaViewId": "rsv-process-steward-vocabularies",
    "RoleSchema": "schema-process-steward",
    "Principal": "principal-process-steward",
    "TargetTable": "Vocabularies",
    "ViewName": "vocabularies",
    "SemanticTypeIri": "urn:effortless:pko-extension#RoleSchemaView",
    "Name": "pko_process_steward.vocabularies",
    "SchemaName": "pko_process_steward",
    "SourceView": "vw_vocabularies",
    "GrantKey": "principal-process-steward|Vocabularies",
    "ColumnCount": 9,
    "TableFieldCount": 9,
    "IsFullWidth": true,
    "IsDegenerateView": false
   },
   {
    "RoleSchemaViewId": "rsv-process-steward-vocabulary_terms",
    "RoleSchema": "schema-process-steward",
    "Principal": "principal-process-steward",
    "TargetTable": "VocabularyTerms",
    "ViewName": "vocabulary_terms",
    "SemanticTypeIri": "urn:effortless:pko-extension#RoleSchemaView",
    "Name": "pko_process_steward.vocabulary_terms",
    "SchemaName": "pko_process_steward",
    "SourceView": "vw_vocabulary_terms",
    "GrantKey": "principal-process-steward|VocabularyTerms",
    "ColumnCount": 11,
    "TableFieldCount": 11,
    "IsFullWidth": true,
    "IsDegenerateView": false
   },
   {
    "RoleSchemaViewId": "rsv-process-steward-knowledge_broker_links",
    "RoleSchema": "schema-process-steward",
    "Principal": "principal-process-steward",
    "TargetTable": "KnowledgeBrokerLinks",
    "ViewName": "knowledge_broker_links",
    "SemanticTypeIri": "urn:effortless:pko-extension#RoleSchemaView",
    "Name": "pko_process_steward.knowledge_broker_links",
    "SchemaName": "pko_process_steward",
    "SourceView": "vw_knowledge_broker_links",
    "GrantKey": "principal-process-steward|KnowledgeBrokerLinks",
    "ColumnCount": 16,
    "TableFieldCount": 16,
    "IsFullWidth": true,
    "IsDegenerateView": false
   },
   {
    "RoleSchemaViewId": "rsv-knowledge-authority-process_mining_runs",
    "RoleSchema": "schema-knowledge-authority",
    "Principal": "principal-knowledge-authority",
    "TargetTable": "ProcessMiningRuns",
    "ViewName": "process_mining_runs",
    "SemanticTypeIri": "urn:effortless:pko-extension#RoleSchemaView",
    "Name": "pko_knowledge_authority.process_mining_runs",
    "SchemaName": "pko_knowledge_authority",
    "SourceView": "vw_process_mining_runs",
    "GrantKey": "principal-knowledge-authority|ProcessMiningRuns",
    "ColumnCount": 19,
    "TableFieldCount": 19,
    "IsFullWidth": true,
    "IsDegenerateView": false
   },
   {
    "RoleSchemaViewId": "rsv-knowledge-authority-vocabularies",
    "RoleSchema": "schema-knowledge-authority",
    "Principal": "principal-knowledge-authority",
    "TargetTable": "Vocabularies",
    "ViewName": "vocabularies",
    "SemanticTypeIri": "urn:effortless:pko-extension#RoleSchemaView",
    "Name": "pko_knowledge_authority.vocabularies",
    "SchemaName": "pko_knowledge_authority",
    "SourceView": "vw_vocabularies",
    "GrantKey": "principal-knowledge-authority|Vocabularies",
    "ColumnCount": 9,
    "TableFieldCount": 9,
    "IsFullWidth": true,
    "IsDegenerateView": false
   },
   {
    "RoleSchemaViewId": "rsv-knowledge-authority-vocabulary_terms",
    "RoleSchema": "schema-knowledge-authority",
    "Principal": "principal-knowledge-authority",
    "TargetTable": "VocabularyTerms",
    "ViewName": "vocabulary_terms",
    "SemanticTypeIri": "urn:effortless:pko-extension#RoleSchemaView",
    "Name": "pko_knowledge_authority.vocabulary_terms",
    "SchemaName": "pko_knowledge_authority",
    "SourceView": "vw_vocabulary_terms",
    "GrantKey": "principal-knowledge-authority|VocabularyTerms",
    "ColumnCount": 11,
    "TableFieldCount": 11,
    "IsFullWidth": true,
    "IsDegenerateView": false
   },
   {
    "RoleSchemaViewId": "rsv-knowledge-authority-knowledge_broker_links",
    "RoleSchema": "schema-knowledge-authority",
    "Principal": "principal-knowledge-authority",
    "TargetTable": "KnowledgeBrokerLinks",
    "ViewName": "knowledge_broker_links",
    "SemanticTypeIri": "urn:effortless:pko-extension#RoleSchemaView",
    "Name": "pko_knowledge_authority.knowledge_broker_links",
    "SchemaName": "pko_knowledge_authority",
    "SourceView": "vw_knowledge_broker_links",
    "GrantKey": "principal-knowledge-authority|KnowledgeBrokerLinks",
    "ColumnCount": 16,
    "TableFieldCount": 16,
    "IsFullWidth": true,
    "IsDegenerateView": false
   }
  ]
 },
 "JwtClaimMappings": {
  "Description": "Maps verified JWT claims onto the SQL accessors row predicates call. Magic-links is the notary: it asserts only that the bearer controls an email address. This table records how that verified email, and any additional claims, become values a policy can test.",
  "important": true,
  "schema": [
   {
    "name": "JwtClaimMappingId",
    "datatype": "string",
    "type": "raw",
    "nullable": false,
    "Description": "Stored logical identifier, e.g. 'claim-email'."
   },
   {
    "name": "Name",
    "datatype": "string",
    "type": "calculated",
    "nullable": true,
    "Description": "Human-readable calculated display alias.",
    "formula": "={{ClaimName}} &amp; \" -&gt; \" &amp; {{SqlAccessor}}"
   },
   {
    "name": "ClaimName",
    "datatype": "string",
    "type": "raw",
    "nullable": true,
    "Description": "Claim key as it appears in the verified JWT payload, e.g. 'email'."
   },
   {
    "name": "SqlAccessor",
    "datatype": "string",
    "type": "raw",
    "nullable": true,
    "Description": "SQL function a policy calls to read the claim, e.g. 'app.jwt_email()'."
   },
   {
    "name": "IsReservedClaim",
    "datatype": "boolean",
    "type": "raw",
    "nullable": true,
    "Description": "True for claims magic-links controls and an app cannot override: email, iss, iat, nbf, exp, sub, tenant_id."
   },
   {
    "name": "MapsToPrincipal",
    "datatype": "boolean",
    "type": "raw",
    "nullable": true,
    "Description": "True when this claim is what resolves the caller to an AccessPrincipals row."
   },
   {
    "name": "Description2",
    "datatype": "string",
    "type": "raw",
    "nullable": true,
    "Description": "What the claim asserts and who vouches for it."
   },
   {
    "name": "UsageCount",
    "datatype": "number",
    "type": "aggregation",
    "nullable": true,
    "Description": "Number of policies whose predicate calls this accessor.",
    "formula": "=COUNTIFS(AccessPolicies!{{RowPredicate}}, {{SqlAccessor}})"
   },
   {
    "name": "SemanticTypeIri",
    "datatype": "string",
    "type": "raw",
    "nullable": true,
    "Description": "Semantic type IRI."
   }
  ],
  "data": [
   {
    "JwtClaimMappingId": "claim-email",
    "ClaimName": "email",
    "SqlAccessor": "app.jwt_email()",
    "IsReservedClaim": true,
    "MapsToPrincipal": true,
    "Description2": "Verified email address. Magic-links asserts only that the bearer controls this mailbox; everything else about the caller is resolved from it inside this database.",
    "SemanticTypeIri": "urn:effortless:pko-extension#JwtClaimMapping",
    "Name": "email -&gt; app.jwt_email()",
    "UsageCount": 0
   },
   {
    "JwtClaimMappingId": "claim-tenant",
    "ClaimName": "tenant_id",
    "SqlAccessor": "app.jwt_tenant_id()",
    "IsReservedClaim": true,
    "MapsToPrincipal": false,
    "Description2": "Magic-links tenant the token was minted for. Pinned so a token from another tenant cannot authenticate here.",
    "SemanticTypeIri": "urn:effortless:pko-extension#JwtClaimMapping",
    "Name": "tenant_id -&gt; app.jwt_tenant_id()",
    "UsageCount": 0
   },
   {
    "JwtClaimMappingId": "claim-principal",
    "ClaimName": "principal",
    "SqlAccessor": "app.jwt_principal()",
    "IsReservedClaim": false,
    "MapsToPrincipal": true,
    "Description2": "AccessPrincipals row the caller acts as, resolved from the verified email via vw_agents. Not trusted from the token itself.",
    "SemanticTypeIri": "urn:effortless:pko-extension#JwtClaimMapping",
    "Name": "principal -&gt; app.jwt_principal()",
    "UsageCount": 0
   },
   {
    "JwtClaimMappingId": "claim-org",
    "ClaimName": "organization",
    "SqlAccessor": "app.jwt_organization()",
    "IsReservedClaim": false,
    "MapsToPrincipal": false,
    "Description2": "Organization the caller belongs to, derived from their principal's domain role. The default tenancy boundary for row predicates.",
    "SemanticTypeIri": "urn:effortless:pko-extension#JwtClaimMapping",
    "Name": "organization -&gt; app.jwt_organization()",
    "UsageCount": 0
   }
  ]
 },
 "AccessDenialTests": {
  "Description": "Denial witnesses. A policy with no failing case seeded against it is an assertion, not evidence -- the same acceptance bar the rest of this rulebook holds. Each row names a principal, a query, and the row that MUST NOT come back, so a policy that silently stops enforcing is caught by a red test rather than by an incident.",
  "important": true,
  "schema": [
   {
    "name": "AccessDenialTestId",
    "datatype": "string",
    "type": "raw",
    "nullable": false,
    "Description": "Stored logical identifier, e.g. 'deny-analyst-other-org-procedures'."
   },
   {
    "name": "Name",
    "datatype": "string",
    "type": "calculated",
    "nullable": true,
    "Description": "Human-readable calculated display alias.",
    "formula": "={{Principal}} &amp; \" must not see \" &amp; {{ForbiddenRowId}}"
   },
   {
    "name": "TargetPolicy",
    "datatype": "string",
    "type": "relationship",
    "nullable": true,
    "Description": "Policy this test exercises.",
    "RelatedTo": "AccessPolicies"
   },
   {
    "name": "Principal",
    "datatype": "string",
    "type": "relationship",
    "nullable": true,
    "Description": "Principal the query runs as.",
    "RelatedTo": "AccessPrincipals"
   },
   {
    "name": "TargetTable",
    "datatype": "string",
    "type": "relationship",
    "nullable": true,
    "Description": "Table queried.",
    "RelatedTo": "RulebookTables"
   },
   {
    "name": "ForbiddenRowId",
    "datatype": "string",
    "type": "raw",
    "nullable": true,
    "Description": "Primary key of the row that must be invisible to this principal."
   },
   {
    "name": "ExpectedVisible",
    "datatype": "boolean",
    "type": "raw",
    "nullable": true,
    "Description": "False for a denial test: the row must not appear. True asserts a row the principal is entitled to does appear."
   },
   {
    "name": "ObservedVisible",
    "datatype": "boolean",
    "type": "raw",
    "nullable": true,
    "Description": "What the substrate actually returned on the last run. Written back by the verifier, never hand-set."
   },
   {
    "name": "LastRunAt",
    "datatype": "datetime",
    "type": "raw",
    "nullable": true,
    "Description": "When this test was last executed against Postgres."
   },
   {
    "name": "HasRun",
    "datatype": "boolean",
    "type": "calculated",
    "nullable": true,
    "Description": "True once the test has been executed at least once.",
    "formula": "={{LastRunAt}} &lt;&gt; \"\""
   },
   {
    "name": "IsPassing",
    "datatype": "boolean",
    "type": "calculated",
    "nullable": true,
    "Description": "True when observed visibility matches expectation.",
    "formula": "={{ObservedVisible}} = {{ExpectedVisible}}"
   },
   {
    "name": "IsLeak",
    "datatype": "boolean",
    "type": "calculated",
    "nullable": true,
    "Description": "True when a row that must be invisible was returned. A confirmed access-control breach.",
    "formula": "=AND(NOT({{ExpectedVisible}}), {{ObservedVisible}})"
   },
   {
    "name": "IsUnproven",
    "datatype": "boolean",
    "type": "calculated",
    "nullable": true,
    "Description": "True when the test has never run, so it proves nothing regardless of how it is written.",
    "formula": "=NOT({{HasRun}})"
   },
   {
    "name": "Rationale",
    "datatype": "string",
    "type": "raw",
    "nullable": true,
    "Description": "Why this row must (or must not) be visible, and which predicate it exercises."
   },
   {
    "name": "IsPositiveControl",
    "datatype": "boolean",
    "type": "calculated",
    "nullable": true,
    "Description": "True when this test asserts a row the principal IS entitled to. A denial suite with no positive controls cannot distinguish a working policy from one that denies everything.",
    "formula": "={{ExpectedVisible}}"
   },
   {
    "name": "ForbiddenTable",
    "datatype": "string",
    "type": "raw",
    "nullable": true,
    "Description": "For a table-absence witness: the table that must NOT exist in this principal's schema. Selecting it must raise 'relation does not exist', not return zero rows."
   },
   {
    "name": "ForbiddenColumn",
    "datatype": "string",
    "type": "raw",
    "nullable": true,
    "Description": "For a column-absence witness: the column that must NOT exist in this principal's view. Selecting it must raise 'column does not exist', not return null."
   },
   {
    "name": "SemanticTypeIri",
    "datatype": "string",
    "type": "raw",
    "nullable": true,
    "Description": "Semantic type IRI."
   }
  ],
  "data": [
   {
    "AccessDenialTestId": "deny-analyst-superseded-version",
    "TargetPolicy": "pol-financeanalyst-procedure_versions-select",
    "Principal": "principal-finance-analyst",
    "TargetTable": "ProcedureVersions",
    "ForbiddenRowId": "close-v1.0.0",
    "ExpectedVisible": false,
    "ObservedVisible": false,
    "LastRunAt": "2026-09-13T18:36:06+00:00",
    "Rationale": "close-v1.0.0 is superseded (is_current=false). Only current versions are visible to an operating role; version history is for stewards.",
    "SemanticTypeIri": "urn:effortless:pko-extension#AccessDenialTest",
    "Name": "principal-finance-analyst must not see close-v1.0.0",
    "HasRun": true,
    "IsPassing": true,
    "IsLeak": false,
    "IsUnproven": false,
    "IsPositiveControl": false
   },
   {
    "AccessDenialTestId": "allow-analyst-current-version",
    "TargetPolicy": "pol-financeanalyst-procedure_versions-select",
    "Principal": "principal-finance-analyst",
    "TargetTable": "ProcedureVersions",
    "ForbiddenRowId": "close-v1.1.0",
    "ExpectedVisible": true,
    "ObservedVisible": true,
    "LastRunAt": "2026-09-13T18:36:06+00:00",
    "Rationale": "Positive control. close-v1.1.0 is the current version and must remain visible.",
    "SemanticTypeIri": "urn:effortless:pko-extension#AccessDenialTest",
    "Name": "principal-finance-analyst must not see close-v1.1.0",
    "HasRun": true,
    "IsPassing": true,
    "IsLeak": false,
    "IsUnproven": false,
    "IsPositiveControl": true
   },
   {
    "AccessDenialTestId": "deny-controller-decided-change-request",
    "TargetPolicy": "pol-controller-change_requests-select",
    "Principal": "principal-controller",
    "TargetTable": "ChangeRequests",
    "ForbiddenRowId": "cr-close-timestamp",
    "ExpectedVisible": false,
    "ObservedVisible": false,
    "LastRunAt": "2026-09-13T18:36:06+00:00",
    "Rationale": "cr-close-timestamp is decided (is_open=false). The inference-backed predicate must exclude it, proving a policy can cut on a derived field rather than a stored column.",
    "SemanticTypeIri": "urn:effortless:pko-extension#AccessDenialTest",
    "Name": "principal-controller must not see cr-close-timestamp",
    "HasRun": true,
    "IsPassing": true,
    "IsLeak": false,
    "IsUnproven": false,
    "IsPositiveControl": false
   },
   {
    "AccessDenialTestId": "allow-controller-open-change-request",
    "TargetPolicy": "pol-controller-change_requests-select",
    "Principal": "principal-controller",
    "TargetTable": "ChangeRequests",
    "ForbiddenRowId": "cr-policy-delivery",
    "ExpectedVisible": true,
    "ObservedVisible": true,
    "LastRunAt": "2026-09-13T18:36:06+00:00",
    "Rationale": "Positive control for the inference predicate. cr-policy-delivery is open (is_open=true) and must remain visible.",
    "SemanticTypeIri": "urn:effortless:pko-extension#AccessDenialTest",
    "Name": "principal-controller must not see cr-policy-delivery",
    "HasRun": true,
    "IsPassing": true,
    "IsLeak": false,
    "IsUnproven": false,
    "IsPositiveControl": true
   },
   {
    "AccessDenialTestId": "deny-counsel-controller-fragment",
    "TargetPolicy": "pol-employmentcounsel-knowledge_fragments-select",
    "Principal": "principal-employment-counsel",
    "TargetTable": "KnowledgeFragments",
    "ForbiddenRowId": "kf-close-fx-time",
    "ExpectedVisible": false,
    "ObservedVisible": false,
    "LastRunAt": "2026-09-13T18:36:06+00:00",
    "Rationale": "kf-close-fx-time is owned by the controller. Employment counsel must not read another role's knowledge fragment.",
    "SemanticTypeIri": "urn:effortless:pko-extension#AccessDenialTest",
    "Name": "principal-employment-counsel must not see kf-close-fx-time",
    "HasRun": true,
    "IsPassing": true,
    "IsLeak": false,
    "IsUnproven": false,
    "IsPositiveControl": false
   },
   {
    "AccessDenialTestId": "allow-counsel-own-fragment",
    "TargetPolicy": "pol-employmentcounsel-knowledge_fragments-select",
    "Principal": "principal-employment-counsel",
    "TargetTable": "KnowledgeFragments",
    "ForbiddenRowId": "kf-policy-ai-boundary",
    "ExpectedVisible": true,
    "ObservedVisible": true,
    "LastRunAt": "2026-09-13T18:36:06+00:00",
    "Rationale": "Positive control for the ownership predicate. kf-policy-ai-boundary is owned by employment-counsel and must be visible.",
    "SemanticTypeIri": "urn:effortless:pko-extension#AccessDenialTest",
    "Name": "principal-employment-counsel must not see kf-policy-ai-boundary",
    "HasRun": true,
    "IsPassing": true,
    "IsLeak": false,
    "IsUnproven": false,
    "IsPositiveControl": true
   },
   {
    "AccessDenialTestId": "deny-hr-resolved-gap",
    "TargetPolicy": "pol-hrpolicyowner-knowledge_gaps-select",
    "Principal": "principal-hr-policy-owner",
    "TargetTable": "KnowledgeGaps",
    "ForbiddenRowId": "gap-close-cadence-unmeasured",
    "ExpectedVisible": false,
    "ObservedVisible": false,
    "LastRunAt": "2026-09-13T18:36:06+00:00",
    "Rationale": "gap-close-cadence-unmeasured is Resolved (is_open=false) and must not appear.",
    "SemanticTypeIri": "urn:effortless:pko-extension#AccessDenialTest",
    "Name": "principal-hr-policy-owner must not see gap-close-cadence-unmeasured",
    "HasRun": true,
    "IsPassing": true,
    "IsLeak": false,
    "IsUnproven": false,
    "IsPositiveControl": false
   },
   {
    "AccessDenialTestId": "allow-hr-open-gap",
    "TargetPolicy": "pol-hrpolicyowner-knowledge_gaps-select",
    "Principal": "principal-hr-policy-owner",
    "TargetTable": "KnowledgeGaps",
    "ForbiddenRowId": "gap-policy-delivery-receipts",
    "ExpectedVisible": true,
    "ObservedVisible": true,
    "LastRunAt": "</t>
  </si>
  <si>
    <t xml:space="preserve">2026-09-13T18:36:06+00:00",
    "Rationale": "Positive control. gap-policy-delivery-receipts is Open and must remain visible.",
    "SemanticTypeIri": "urn:effortless:pko-extension#AccessDenialTest",
    "Name": "principal-hr-policy-owner must not see gap-policy-delivery-receipts",
    "HasRun": true,
    "IsPassing": true,
    "IsLeak": false,
    "IsUnproven": false,
    "IsPositiveControl": true
   },
   {
    "AccessDenialTestId": "deny-controller-fragment-diagnostics",
    "TargetPolicy": "pol-controller-knowledge_fragments-select",
    "Principal": "principal-controller",
    "TargetTable": "KnowledgeFragments",
    "ForbiddenRowId": "kf-close-fx-time",
    "ExpectedVisible": false,
    "ObservedVisible": false,
    "LastRunAt": "2026-09-13T18:36:06+00:00",
    "Rationale": "Column-granularity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
    "SemanticTypeIri": "urn:effortless:pko-extension#AccessDenialTest",
    "ForbiddenColumn": "evidence_has_expired",
    "Name": "principal-controller must not see kf-close-fx-time",
    "HasRun": true,
    "IsPassing": true,
    "IsLeak": false,
    "IsUnproven": false,
    "IsPositiveControl": false
   },
   {
    "AccessDenialTestId": "deny-cfo-send-intents",
    "TargetPolicy": null,
    "Principal": "principal-cfo",
    "TargetTable": "SendIntents",
    "ForbiddenTable": "SendIntents",
    "ForbiddenRowId": null,
    "ExpectedVisible": false,
    "ObservedVisible": false,
    "LastRunAt": "2026-09-13T18:36:06+00:00",
    "Rationale": "The CFO approves financial decisions. The outbound message queue is the communications manager's surface and must not appear in the CFO's schema at all.",
    "SemanticTypeIri": "urn:effortless:pko-extension#AccessDenialTest",
    "Name": "principal-cfo must not see ",
    "HasRun": true,
    "IsPassing": true,
    "IsLeak": false,
    "IsUnproven": false,
    "IsPositiveControl": false
   },
   {
    "AccessDenialTestId": "deny-cfo-step-executions",
    "TargetPolicy": null,
    "Principal": "principal-cfo",
    "TargetTable": "StepExecutions",
    "ForbiddenTable": "StepExecutions",
    "ForbiddenRowId": null,
    "ExpectedVisible": false,
    "ObservedVisible": false,
    "LastRunAt": "2026-09-13T18:36:06+00:00",
    "Rationale": "Preparation telemetry is not a CFO concern; he sees the close's headline state, not each step's execution record.",
    "SemanticTypeIri": "urn:effortless:pko-extension#AccessDenialTest",
    "Name": "principal-cfo must not see ",
    "HasRun": true,
    "IsPassing": true,
    "IsLeak": false,
    "IsUnproven": false,
    "IsPositiveControl": false
   },
   {
    "AccessDenialTestId": "deny-close-automation-recipients",
    "TargetPolicy": null,
    "Principal": "principal-close-automation",
    "TargetTable": "Recipients",
    "ForbiddenTable": "Recipients",
    "ForbiddenRowId": null,
    "ExpectedVisible": false,
    "ObservedVisible": false,
    "LastRunAt": "2026-09-13T18:36:06+00:00",
    "Rationale": "A posting pipeline has no business reading employee contact details. close-automation is granted 3 tables and Recipients is not one.",
    "SemanticTypeIri": "urn:effortless:pko-extension#AccessDenialTest",
    "Name": "principal-close-automation must not see ",
    "HasRun": true,
    "IsPassing": true,
    "IsLeak": false,
    "IsUnproven": false,
    "IsPositiveControl": false
   },
   {
    "AccessDenialTestId": "deny-close-automation-change-requests",
    "TargetPolicy": null,
    "Principal": "principal-close-automation",
    "TargetTable": "ChangeRequests",
    "ForbiddenTable": "ChangeRequests",
    "ForbiddenRowId": null,
    "ExpectedVisible": false,
    "ObservedVisible": false,
    "LastRunAt": "2026-09-13T18:36:06+00:00",
    "Rationale": "Governance is not a robot's surface.",
    "SemanticTypeIri": "urn:effortless:pko-extension#AccessDenialTest",
    "Name": "principal-close-automation must not see ",
    "HasRun": true,
    "IsPassing": true,
    "IsLeak": false,
    "IsUnproven": false,
    "IsPositiveControl": false
   },
   {
    "AccessDenialTestId": "deny-policy-drafting-agent-recipients",
    "TargetPolicy": null,
    "Principal": "principal-policy-drafting-agent",
    "TargetTable": "Recipients",
    "ForbiddenTable": "Recipients",
    "ForbiddenRowId": null,
    "ExpectedVisible": false,
    "ObservedVisible": false,
    "LastRunAt": "2026-09-13T18:36:06+00:00",
    "Rationale": "The drafting AI writes policy variants. It never needs to know WHO is addressed, so consent data is out of its reach entirely.",
    "SemanticTypeIri": "urn:effortless:pko-extension#AccessDenialTest",
    "Name": "principal-policy-drafting-agent must not see ",
    "HasRun": true,
    "IsPassing": true,
    "IsLeak": false,
    "IsUnproven": false,
    "IsPositiveControl": false
   },
   {
    "AccessDenialTestId": "deny-notification-publisher-knowledge-fragments",
    "TargetPolicy": null,
    "Principal": "principal-notification-publisher",
    "TargetTable": "KnowledgeFragments",
    "ForbiddenTable": "KnowledgeFragments",
    "ForbiddenRowId": null,
    "ExpectedVisible": false,
    "ObservedVisible": false,
    "LastRunAt": "2026-09-13T18:36:06+00:00",
    "Rationale": "The publisher applies channel rules and sends. Procedural knowledge is not its surface.",
    "SemanticTypeIri": "urn:effortless:pko-extension#AccessDenialTest",
    "Name": "principal-notification-publisher must not see ",
    "HasRun": true,
    "IsPassing": true,
    "IsLeak": false,
    "IsUnproven": false,
    "IsPositiveControl": false
   },
   {
    "AccessDenialTestId": "deny-employment-counsel-step-executions",
    "TargetPolicy": null,
    "Principal": "principal-employment-counsel",
    "TargetTable": "StepExecutions",
    "ForbiddenTable": "StepExecutions",
    "ForbiddenRowId": null,
    "ExpectedVisible": false,
    "ObservedVisible": false,
    "LastRunAt": "2026-09-13T18:36:06+00:00",
    "Rationale": "Legal review reads what is proposed, not the finance close's execution telemetry.",
    "SemanticTypeIri": "urn:effortless:pko-extension#AccessDenialTest",
    "Name": "principal-employment-counsel must not see ",
    "HasRun": true,
    "IsPassing": true,
    "IsLeak": false,
    "IsUnproven": false,
    "IsPositiveControl": false
   },
   {
    "AccessDenialTestId": "deny-variance-review-agent-recipients",
    "TargetPolicy": null,
    "Principal": "principal-variance-review-agent",
    "TargetTable": "Recipients",
    "ForbiddenTable": "Recipients",
    "ForbiddenRowId": null,
    "ExpectedVisible": false,
    "ObservedVisible": false,
    "LastRunAt": "2026-09-13T18:36:06+00:00",
    "Rationale": "A variance classifier has no path to personal data.",
    "SemanticTypeIri": "urn:effortless:pko-extension#AccessDenialTest",
    "Name": "principal-variance-review-agent must not see ",
    "HasRun": true,
    "IsPassing": true,
    "IsLeak": false,
    "IsUnproven": false,
    "IsPositiveControl": false
   }
  ]
 },
 "AppUsers": {
  "Description": "Sign-in identities. One row per person or automation that can authenticate. EmailAddress is what a verified token asserts; everything else about the caller is resolved from here inside the database, never trusted from the token.",
  "important": true,
  "schema": [
   {
    "name": "AppUserId",
    "datatype": "string",
    "type": "raw",
    "nullable": false,
    "Description": "Stored logical identifier, e.g. 'user-maria-chen'."
   },
   {
    "name": "Name",
    "datatype": "string",
    "type": "calculated",
    "nullable": true,
    "Description": "Human-readable calculated display alias.",
    "formula": "={{DisplayName}}"
   },
   {
    "name": "EmailAddress",
    "datatype": "string",
    "type": "raw",
    "nullable": true,
    "Description": "Verified email. The one claim magic-links vouches for, and the join key from a token back to this row."
   },
   {
    "name": "DisplayName",
    "datatype": "string",
    "type": "raw",
    "nullable": true,
    "Description": "Name shown in the console."
   },
   {
    "name": "LinkedAgent",
    "datatype": "string",
    "type": "relationship",
    "nullable": true,
    "Description": "Domain agent this sign-in identity corresponds to.",
    "RelatedTo": "Agents"
   },
   {
    "name": "IsEnabled",
    "datatype": "boolean",
    "type": "raw",
    "nullable": true,
    "Description": "False disables sign-in without deleting the identity or its history."
   },
   {
    "name": "AgentKind",
    "datatype": "string",
    "type": "lookup",
    "nullable": true,
    "Description": "Whether the linked agent is Human, AIAgent or AutomatedPipeline.",
    "formula": "=INDEX(Agents!{{AgentKind}}, MATCH({{LinkedAgent}}, Agents!{{AgentId}}, 0))"
   },
   {
    "name": "Organization",
    "datatype": "string",
    "type": "lookup",
    "nullable": true,
    "Description": "Organization inherited from the linked agent; the tenancy claim baked into issued tokens.",
    "formula": "=INDEX(Agents!{{Organization}}, MATCH({{LinkedAgent}}, Agents!{{AgentId}}, 0))"
   },
   {
    "name": "AssignmentCount",
    "datatype": "number",
    "type": "aggregation",
    "nullable": true,
    "Description": "Number of principals this user may act as.",
    "formula": "=COUNTIFS(PrincipalAssignments!{{AppUser}}, {{AppUserId}})"
   },
   {
    "name": "HasNoPrincipal",
    "datatype": "boolean",
    "type": "calculated",
    "nullable": true,
    "Description": "True when the user may act as no principal at all, so a successfully verified token still grants nothing. Authentication without authorization.",
    "formula": "={{AssignmentCount}} = 0"
   },
   {
    "name": "HoldsMultiplePrincipals",
    "datatype": "boolean",
    "type": "calculated",
    "nullable": true,
    "Description": "True when the user may act as more than one principal, so the principal cannot be inferred from the email alone and must be chosen explicitly at sign-in.",
    "formula": "={{AssignmentCount}} &gt; 1"
   },
   {
    "name": "IsNonHumanSignIn",
    "datatype": "boolean",
    "type": "calculated",
    "nullable": true,
    "Description": "True when a non-human agent has a sign-in identity. Pipelines and AI agents authenticate too, and their tokens are scoped exactly like a person's.",
    "formula": "=OR({{AgentKind}} = \"AIAgent\", {{AgentKind}} = \"AutomatedPipeline\")"
   },
   {
    "name": "SemanticTypeIri",
    "datatype": "string",
    "type": "raw",
    "nullable": true,
    "Description": "Semantic type IRI."
   }
  ],
  "data": [
   {
    "AppUserId": "user-amina-yusuf",
    "EmailAddress": "amina.yusuf@example.com",
    "DisplayName": "Amina Yusuf",
    "LinkedAgent": "amina-yusuf",
    "IsEnabled": true,
    "SemanticTypeIri": "urn:effortless:pko-extension#AppUser",
    "Name": "Amina Yusuf",
    "AgentKind": "Human",
    "Organization": "acme-people",
    "AssignmentCount": 1,
    "HasNoPrincipal": false,
    "HoldsMultiplePrincipals": false,
    "IsNonHumanSignIn": false
   },
   {
    "AppUserId": "user-close-pipeline",
    "EmailAddress": "close-pipeline@pipelines.internal",
    "DisplayName": "Close Pipeline",
    "LinkedAgent": "close-pipeline",
    "IsEnabled": true,
    "SemanticTypeIri": "urn:effortless:pko-extension#AppUser",
    "Name": "Close Pipeline",
    "AgentKind": "AutomatedPipeline",
    "Organization": "acme-finance",
    "AssignmentCount": 1,
    "HasNoPrincipal": false,
    "HoldsMultiplePrincipals": false,
    "IsNonHumanSignIn": true
   },
   {
    "AppUserId": "user-devon-okafor",
    "EmailAddress": "devon.okafor@example.com",
    "DisplayName": "Devon Okafor",
    "LinkedAgent": "devon-okafor",
    "IsEnabled": true,
    "SemanticTypeIri": "urn:effortless:pko-extension#AppUser",
    "Name": "Devon Okafor",
    "AgentKind": "Human",
    "Organization": "acme-finance",
    "AssignmentCount": 1,
    "HasNoPrincipal": false,
    "HoldsMultiplePrincipals": false,
    "IsNonHumanSignIn": false
   },
   {
    "AppUserId": "user-elena-garcia",
    "EmailAddress": "elena.garcia@example.com",
    "DisplayName": "Elena Garcia",
    "LinkedAgent": "elena-garcia",
    "IsEnabled": true,
    "SemanticTypeIri": "urn:effortless:pko-extension#AppUser",
    "Name": "Elena Garcia",
    "AgentKind": "Human",
    "Organization": "acme-people",
    "AssignmentCount": 2,
    "HasNoPrincipal": false,
    "HoldsMultiplePrincipals": true,
    "IsNonHumanSignIn": false
   },
   {
    "AppUserId": "user-maria-chen",
    "EmailAddress": "maria.chen@example.com",
    "DisplayName": "Maria Chen",
    "LinkedAgent": "maria-chen",
    "IsEnabled": true,
    "SemanticTypeIri": "urn:effortless:pko-extension#AppUser",
    "Name": "Maria Chen",
    "AgentKind": "Human",
    "Organization": "acme-finance",
    "AssignmentCount": 1,
    "HasNoPrincipal": false,
    "HoldsMultiplePrincipals": false,
    "IsNonHumanSignIn": false
   },
   {
    "AppUserId": "user-noah-williams",
    "EmailAddress": "noah.williams@example.com",
    "DisplayName": "Noah Williams",
    "LinkedAgent": "noah-williams",
    "IsEnabled": true,
    "SemanticTypeIri": "urn:effortless:pko-extension#AppUser",
    "Name": "Noah Williams",
    "AgentKind": "Human",
    "Organization": "acme-legal",
    "AssignmentCount": 1,
    "HasNoPrincipal": false,
    "HoldsMultiplePrincipals": false,
    "IsNonHumanSignIn": false
   },
   {
    "AppUserId": "user-notification-pipeline",
    "EmailAddress": "notification-pipeline@pipelines.internal",
    "DisplayName": "Notification Pipeline",
    "LinkedAgent": "notification-pipeline",
    "IsEnabled": true,
    "SemanticTypeIri": "urn:effortless:pko-extension#AppUser",
    "Name": "Notification Pipeline",
    "AgentKind": "AutomatedPipeline",
    "Organization": "acme-people",
    "AssignmentCount": 1,
    "HasNoPrincipal": false,
    "HoldsMultiplePrincipals": false,
    "IsNonHumanSignIn": true
   },
   {
    "AppUserId": "user-policy-drafting-ai",
    "EmailAddress": "policy-drafting-ai@pipelines.internal",
    "DisplayName": "Policy Drafting Ai",
    "LinkedAgent": "policy-drafting-ai",
    "IsEnabled": true,
    "SemanticTypeIri": "urn:effortless:pko-extension#AppUser",
    "Name": "Policy Drafting Ai",
    "AgentKind": "AIAgent",
    "Organization": "acme-people",
    "AssignmentCount": 1,
    "HasNoPrincipal": false,
    "HoldsMultiplePrincipals": false,
    "IsNonHumanSignIn": true
   },
   {
    "AppUserId": "user-priya-raman",
    "EmailAddress": "priya.raman@example.com",
    "DisplayName": "Priya Raman",
    "LinkedAgent": "priya-raman",
    "IsEnabled": true,
    "SemanticTypeIri": "urn:effortless:pko-extension#AppUser",
    "Name": "Priya Raman",
    "AgentKind": "Human",
    "Organization": "acme-finance",
    "AssignmentCount": 2,
    "HasNoPrincipal": false,
    "HoldsMultiplePrincipals": true,
    "IsNonHumanSignIn": false
   },
   {
    "AppUserId": "user-variance-ai",
    "EmailAddress": "variance-ai@pipelines.internal",
    "DisplayName": "Variance Ai",
    "LinkedAgent": "variance-ai",
    "IsEnabled": true,
    "SemanticTypeIri": "urn:effortless:pko-extension#AppUser",
    "Name": "Variance Ai",
    "AgentKind": "AIAgent",
    "Organization": "acme-finance",
    "AssignmentCount": 1,
    "HasNoPrincipal": false,
    "HoldsMultiplePrincipals": false,
    "IsNonHumanSignIn": true
   }
  ]
 },
 "PrincipalAssignments": {
  "Description": "Which principals a user may act as. The authorization half of sign-in: a verified email proves who you are, this table decides what you may become. A user with two assignments picks one at sign-in, and the choice is verified here rather than accepted from the client.",
  "important": true,
  "schema": [
   {
    "name": "PrincipalAssignmentId",
    "datatype": "string",
    "type": "raw",
    "nullable": false,
    "Description": "Stored logical identifier, e.g. 'pa-maria-finance-analyst'."
   },
   {
    "name": "Name",
    "datatype": "string",
    "type": "calculated",
    "nullable": true,
    "Description": "Human-readable calculated display alias.",
    "formula": "={{AppUser}} &amp; \" as \" &amp; {{Principal}}"
   },
   {
    "name": "AppUser",
    "datatype": "string",
    "type": "relationship",
    "nullable": true,
    "Description": "Sign-in identity being granted.",
    "RelatedTo": "AppUsers"
   },
   {
    "name": "Principal",
    "datatype": "string",
    "type": "relationship",
    "nullable": true,
    "Description": "Principal the user may act as.",
    "RelatedTo": "AccessPrincipals"
   },
   {
    "name": "IsDefault",
    "datatype": "boolean",
    "type": "raw",
    "nullable": true,
    "Description": "True for the principal selected when the user does not name one."
   },
   {
    "name": "GrantedRationale",
    "datatype": "string",
    "type": "raw",
    "nullable": true,
    "Description": "Why this user may act as this principal."
   },
   {
    "name": "PrincipalIsAdmin",
    "datatype": "boolean",
    "type": "lookup",
    "nullable": true,
    "Description": "Whether the assigned principal is an administrator.",
    "formula": "=INDEX(AccessPrincipals!{{IsAdministrator}}, MATCH({{Principal}}, AccessPrincipals!{{AccessPrincipalId}}, 0))"
   },
   {
    "name": "UserOrganization",
    "datatype": "string",
    "type": "lookup",
    "nullable": true,
    "Description": "Organization of the signing-in user.",
    "formula": "=INDEX(AppUsers!{{Organization}}, MATCH({{AppUser}}, AppUsers!{{AppUserId}}, 0))"
   },
   {
    "name": "PrincipalOrganization",
    "datatype": "string",
    "type": "lookup",
    "nullable": true,
    "Description": "Organization of the principal being assumed.",
    "formula": "=INDEX(AccessPrincipals!{{OrganizationScope}}, MATCH({{Principal}}, AccessPrincipals!{{AccessPrincipalId}}, 0))"
   },
   {
    "name": "IsCrossOrganizationGrant",
    "datatype": "boolean",
    "type": "calculated",
    "nullable": true,
    "Description": "True when a user is allowed to act as a principal in a different organization. Legitimate for shared-service roles, but it crosses the tenancy boundary and should be deliberate rather than accidental.",
    "formula": "=AND({{UserOrganization}} &lt;&gt; \"\", {{PrincipalOrganization}} &lt;&gt; \"\", {{UserOrganization}} &lt;&gt; {{PrincipalOrganization}})"
   },
   {
    "name": "SemanticTypeIri",
    "datatype": "string",
    "type": "raw",
    "nullable": true,
    "Description": "Semantic type IRI."
   }
  ],
  "data": [
   {
    "PrincipalAssignmentId": "pa-amina-yusuf-communications-manager",
    "AppUser": "user-amina-yusuf",
    "Principal": "principal-communications-manager",
    "IsDefault": true,
    "GrantedRationale": "amina-yusuf currently holds the communications-manager role in the domain model, so may act as its principal.",
    "SemanticTypeIri": "urn:effortless:pko-extension#PrincipalAssignment",
    "Name": "user-amina-yusuf as principal-communications-manager",
    "PrincipalIsAdmin": false,
    "UserOrganization": "acme-people",
    "PrincipalOrganization": "acme-people",
    "IsCrossOrganizationGrant": false
   },
   {
    "PrincipalAssignmentId": "pa-close-pipeline-close-automation",
    "AppUser": "user-close-pipeline",
    "Principal": "principal-close-automation",
    "IsDefault": true,
    "GrantedRationale": "close-pipeline currently holds the close-automation role in the domain model, so may act as its principal.",
    "SemanticTypeIri": "urn:effortless:pko-extension#PrincipalAssignment",
    "Name": "user-close-pipeline as principal-close-automation",
    "PrincipalIsAdmin": false,
    "UserOrganization": "acme-finance",
    "PrincipalOrganization": "acme-finance",
    "IsCrossOrganizationGrant": false
   },
   {
    "PrincipalAssignmentId": "pa-devon-okafor-controller",
    "AppUser": "user-devon-okafor",
    "Principal": "principal-controller",
    "IsDefault": true,
    "GrantedRationale": "devon-okafor currently holds the controller role in the domain model, so may act as its principal.",
    "SemanticTypeIri": "urn:effortless:pko-extension#PrincipalAssignment",
    "Name": "user-devon-okafor as principal-controller",
    "PrincipalIsAdmin": false,
    "UserOrganization": "acme-finance",
    "PrincipalOrganization": "acme-finance",
    "IsCrossOrganizationGrant": false
   },
   {
    "PrincipalAssignmentId": "pa-elena-garcia-hr-policy-owner",
    "AppUser": "user-elena-garcia",
    "Principal": "principal-hr-policy-owner",
    "IsDefault": true,
    "GrantedRationale": "elena-garcia currently holds the hr-policy-owner role in the domain model, so may act as its principal.",
    "SemanticTypeIri": "urn:effortless:pko-extension#PrincipalAssignment",
    "Name": "user-elena-garcia as principal-hr-policy-owner",
    "PrincipalIsAdmin": false,
    "UserOrganization": "acme-people",
    "PrincipalOrganization": "acme-people",
    "IsCrossOrganizationGrant": false
   },
   {
    "PrincipalAssignmentId": "pa-elena-garcia-process-steward",
    "AppUser": "user-elena-garcia",
    "Principal": "principal-process-steward",
    "IsDefault": false,
    "GrantedRationale": "elena-garcia currently holds the process-steward role in the domain model, so may act as its principal.",
    "SemanticTypeIri": "urn:effortless:pko-extension#PrincipalAssignment",
    "Name": "user-elena-garcia as principal-process-steward",
    "PrincipalIsAdmin": true,
    "UserOrganization": "acme-people",
    "PrincipalOrganization": "acme-people",
    "IsCrossOrganizationGrant": false
   },
   {
    "PrincipalAssignmentId": "pa-maria-chen-finance-analyst",
    "AppUser": "user-maria-chen",
    "Principal": "principal-finance-analyst",
    "IsDefault": true,
    "GrantedRationale": "maria-chen currently holds the finance-analyst role in the domain model, so may act as its principal.",
    "SemanticTypeIri": "urn:effortless:pko-extension#PrincipalAssignment",
    "Name": "user-maria-chen as principal-finance-analyst",
    "PrincipalIsAdmin": false,
    "UserOrganization": "acme-finance",
    "PrincipalOrganization": "acme-finance",
    "IsCrossOrganizationGrant": false
   },
   {
    "PrincipalAssignmentId": "pa-noah-williams-employment-counsel",
    "AppUser": "user-noah-williams",
    "Principal": "principal-employment-counsel",
    "IsDefault": true,
    "GrantedRationale": "noah-williams currently holds the employment-counsel role in the domain model, so may act as its principal.",
    "SemanticTypeIri": "urn:effortless:pko-extension#PrincipalAssignment",
    "Name": "user-noah-williams as principal-employment-counsel",
    "PrincipalIsAdmin": false,
    "UserOrganization": "acme-legal",
    "PrincipalOrganization": "acme-legal",
    "IsCrossOrganizationGrant": false
   },
   {
    "PrincipalAssignmentId": "pa-notification-pipeline-notification-publisher",
    "AppUser": "user-notification-pipeline",
    "Principal": "principal-notification-publisher",
    "IsDefault": true,
    "GrantedRationale": "notification-pipeline currently holds the notification-publisher role in the domain model, so may act as its principal.",
    "SemanticTypeIri": "urn:effortless:pko-extension#PrincipalAssignment",
    "Name": "user-notification-pipeline as principal-notification-publisher",
    "PrincipalIsAdmin": false,
    "UserOrganization": "acme-people",
    "PrincipalOrganization": "acme-people",
    "IsCrossOrganizationGrant": false
   },
   {
    "PrincipalAssignmentId": "pa-policy-drafting-ai-policy-drafting-agent",
    "AppUser": "user-policy-drafting-ai",
    "Principal": "principal-policy-drafting-agent",
    "IsDefault": true,
    "GrantedRationale": "policy-drafting-ai currently holds the policy-drafting-agent role in the domain model, so may act as its principal.",
    "SemanticTypeIri": "urn:effortless:pko-extension#PrincipalAssignment",
    "Name": "user-policy-drafting-ai as principal-policy-drafting-agent",
    "PrincipalIsAdmin": false,
    "UserOrganization": "acme-people",
    "PrincipalOrganization": "acme-people",
    "IsCrossOrganizationGrant": false
   },
   {
    "PrincipalAssignmentId": "pa-priya-raman-cfo",
    "AppUser": "user-priya-raman",
    "Principal": "principal-cfo",
    "IsDefault": true,
    "GrantedRationale": "priya-raman currently holds the cfo role in the domain model, so may act as its principal.",
    "SemanticTypeIri": "urn:effortless:pko-extension#PrincipalAssignment",
    "Name": "user-priya-raman as principal-cfo",
    "PrincipalIsAdmin": false,
    "UserOrganization": "acme-finance",
    "PrincipalOrganization": "acme-finance",
    "IsCrossOrganizationGrant": false
   },
   {
    "PrincipalAssignmentId": "pa-priya-raman-knowledge-authority",
    "AppUser": "user-priya-raman",
    "Principal": "principal-knowledge-authority",
    "IsDefault": false,
    "GrantedRationale": "priya-raman currently holds the knowledge-authority role in the domain model, so may act as its principal.",
    "SemanticTypeIri": "urn:effortless:pko-extension#PrincipalAssignment",
    "Name": "user-priya-raman as principal-knowledge-authority",
    "PrincipalIsAdmin": true,
    "UserOrganization": "acme-finance",
    "PrincipalOrganization": "acme-finance",
    "IsCrossOrganizationGrant": false
   },
   {
    "PrincipalAssignmentId": "pa-variance-ai-variance-review-agent",
    "AppUser": "user-variance-ai",
    "Principal": "principal-variance-review-agent",
    "IsDefault": true,
    "GrantedRationale": "variance-ai currently holds the variance-review-agent role in the domain model, so may act as its principal.",
    "SemanticTypeIri": "urn:effortless:pko-extension#PrincipalAssignment",
    "Name": "user-variance-ai as principal-variance-review-agent",
    "PrincipalIsAdmin": false,
    "UserOrganization": "acme-finance",
    "PrincipalOrganization": "acme-finance",
    "IsCrossOrganizationGrant": false
   }
  ]
 },
 "IssuedTokens": {
  "Description": "Audit trail of every token minted. A token records which user signed in, which principal they chose, and the claims that were joined from the database at mint time -- so a later question of 'what could this session see' is answerable from data rather than reconstruction.",
  "important": true,
  "schema": [
   {
    "name": "IssuedTokenId",
    "datatype": "string",
    "type": "raw",
    "nullable": false,
    "Description": "Stored logical identifier for one mint event."
   },
   {
    "name": "Name",
    "datatype": "string",
    "type": "calculated",
    "nullable": true,
    "Description": "Human-readable calculated display alias.",
    "formula": "={{AppUser}} &amp; \" as \" &amp; {{Principal}} &amp; \" @ \" &amp; {{IssuedAt}}"
   },
   {
    "name": "AppUser",
    "datatype": "string",
    "type": "relationship",
    "nullable": true,
    "Description": "Identity that signed in.",
    "RelatedTo": "AppUsers"
   },
   {
    "name": "Principal",
    "datatype": "string",
    "type": "relationship",
    "nullable": true,
    "Description": "Principal the token authorises.",
    "RelatedTo": "AccessPrincipals"
   },
   {
    "name": "IssuedAt",
    "datatype": "datetime",
    "type": "raw",
    "nullable": true,
    "Description": "When the token was minted."
   },
   {
    "name": "ExpiresAt",
    "datatype": "datetime",
    "type": "raw",
    "nullable": true,
    "Description": "When the token stops being accepted."
   },
   {
    "name": "Issuer",
    "datatype": "string",
    "type": "raw",
    "nullable": true,
    "Description": "Who minted it: 'dev-mint' locally, or the magic-links tenant URL in production."
   },
   {
    "name": "SubjectClaim",
    "datatype": "string",
    "type": "raw",
    "nullable": true,
    "Description": "The 'sub' claim: the AppUserId the bearer is asserted to be."
   },
   {
    "name": "ClaimsSnapshot",
    "datatype": "string",
    "type": "raw",
    "nullable": true,
    "Description": "JSON of the additional claims joined from the database at mint time."
   },
   {
    "name": "IsDevMinted",
    "datatype": "boolean",
    "type": "calculated",
    "nullable": true,
    "Description": "True when issued by the local dev minter rather than a real magic-links tenant. Dev tokens are genuine RS256 tokens with a genuine keypair; they simply skip the email round-trip.",
    "formula": "={{Issuer}} = \"dev-mint\""
   },
   {
    "name": "SemanticTypeIri",
    "datatype": "string",
    "type": "raw",
    "nullable": true,
    "Description": "Semantic type IRI."
   }
  ],
  "data": []
 },
 "ProcessMiningRuns": {
  "Description": "One conformance-checking run of a mined event log against a documented procedure version — a third kind of evidence, distinct from an elicitation session (someone's account) or a knowledge fragment (a claim): what the system of record actually did, discovered by process mining rather than told to us.",
  "important": true,
  "schema": [
   {
    "name": "ProcessMiningRunId",
    "datatype": "string",
    "type": "raw",
    "nullable": false,
    "Description": "Stored logical identifier for one ProcessMiningRuns row."
   },
   {
    "name": "Name",
    "datatype": "string",
    "type": "calculated",
    "nullable": true,
    "Description": "Human-readable calculated display alias for the ProcessMiningRuns row.",
    "formula": "={{EventLogSource}} &amp; \" / \" &amp; {{MinedAt}}"
   },
   {
    "name": "ProcedureVersion",
    "datatype": "string",
    "type": "relationship",
    "nullable": true,
    "Description": "Procedure version this mined event log is checked against.",
    "RelatedTo": "ProcedureVersions"
   },
   {
    "name": "EventLogSource",
    "datatype": "string",
    "type": "raw",
    "nullable": true,
    "Description": "System or log the event log was extracted from (e.g. an ERP audit log)."
   },
   {
    "name": "MinedAt",
    "datatype": "datetime",
    "type": "raw",
    "nullable": true,
    "Description": "When this mining/conformance-checking run was performed."
   },
   {
    "name": "DiscoveredVariantCount",
    "datatype": "integer",
    "type": "raw",
    "nullable": true,
    "Description": "Distinct process variants discovered in the mined event log."
   },
   {
    "name": "ConformingVariantCount",
    "datatype": "integer",
    "type": "raw",
    "nullable": true,
    "Description": "How many of the discovered variants exactly match a documented path through StepTransitions."
   },
   {
    "name": "DeviationDescription",
    "datatype": "string",
    "type": "raw",
    "nullable": true,
    "Description": "Narrative of the most significant discovered deviation, if any."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"ConformanceRate",
    "datatype": "number",
    "type": "calculated",
    "nullable": true,
    "Description": "Share of discovered variants that conform to the documented procedure.",
    "formula": "=IF({{DiscoveredVariantCount}} = 0, 0, {{ConformingVariantCount}} / {{DiscoveredVariantCount}})"
   },
   {
    "name": "IsConformant",
    "datatype": "boolean",
    "type": "calculated",
    "nullable": true,
    "Description": "TRUE when at least 80% of what actually happened matches what was documented.",
    "formula": "={{ConformanceRate}} &gt;= 0.8"
   },
   {
    "name": "HasMajorDriftFromDocumentation",
    "datatype": "boolean",
    "type": "calculated",
    "nullable": true,
    "Description": "TRUE when less than half of what actually happened matches what was documented.",
    "formula": "={{ConformanceRate}} &lt; 0.5"
   },
   {
    "name": "DaysSinceMined",
    "datatype": "integer",
    "type": "calculated",
    "nullable": true,
    "Description": "Days elapsed since this event log was mined.",
    "formula": "=DATETIME_DIFF({{AsOfInstant}}, {{MinedAt}}, \"days\")"
   },
   {
    "name": "IsStaleMiningEvidence",
    "datatype": "boolean",
    "type": "calculated",
    "nullable": true,
    "Description": "TRUE when this mining evidence is more than 180 days old.",
    "formula": "={{DaysSinceMined}} &gt; 180"
   },
   {
    "name": "ProcedureVersionIsLive",
    "datatype": "boolean",
    "type": "lookup",
    "nullable": true,
    "Description": "Whether the procedure version this run was checked against is currently live.",
    "formula": "=I</t>
  </si>
  <si>
    <t xml:space="preserve">NDEX(ProcedureVersions!{{IsLive}}, MATCH({{ProcedureVersion}}, ProcedureVersions!{{ProcedureVersionId}}, 0))"
   },
   {
    "name": "IsDriftOnLiveVersion",
    "datatype": "boolean",
    "type": "calculated",
    "nullable": true,
    "Description": "TRUE when a major, real, mined deviation exists against a procedure version people are actually executing right now.",
    "formula": "=AND({{HasMajorDriftFromDocumentation}}, {{ProcedureVersionIsLive}})"
   },
   {
    "name": "DriftedMiningRunKey",
    "datatype": "string",
    "type": "calculated",
    "nullable": true,
    "Description": "Composite-key echo: this run's procedure version when the run drifted on a live version, else blank.",
    "formula": "=IF({{IsDriftOnLiveVersion}}, {{ProcedureVersion}}, \"\")"
   },
   {
    "name": "SemanticTypeIri",
    "datatype": "string",
    "type": "raw",
    "nullable": true,
    "Description": "Extension class IRI."
   }
  ],
  "data": [
   {
    "ProcessMiningRunId": "pmr-close-v11-q3",
    "ProcedureVersion": "close-v1.1.0",
    "EventLogSource": "ERP General Ledger Audit Log",
    "MinedAt": "2026-07-15T09:00:00-05:00",
    "DiscoveredVariantCount": 6,
    "ConformingVariantCount": 5,
    "DeviationDescription": "One variant closes a day early with no recorded controller approval; otherwise matches the documented path.",
    "EvaluationContext": "eval-current",
    "SemanticTypeIri": "urn:effortless:pko-extension#ProcessMiningRun",
    "Name": "ERP General Ledger Audit Log / 2026-07-15T09:00:00-05:00",
    "AsOfInstant": "2026-07-19T13:00:00-05:00",
    "ConformanceRate": 0.8333333333333334,
    "IsConformant": true,
    "HasMajorDriftFromDocumentation": false,
    "DaysSinceMined": 4,
    "IsStaleMiningEvidence": false,
    "ProcedureVersionIsLive": true,
    "IsDriftOnLiveVersion": false,
    "DriftedMiningRunKey": null
   },
   {
    "ProcessMiningRunId": "pmr-close-v11-cutoff-bypass",
    "ProcedureVersion": "close-v1.1.0",
    "EventLogSource": "ERP General Ledger Audit Log",
    "MinedAt": "2026-07-17T09:00:00-05:00",
    "DiscoveredVariantCount": 8,
    "ConformingVariantCount": 3,
    "DeviationDescription": "Ledger entries posted after the documented cutoff step with no recorded reopening approval — a path StepTransitions never modeled.",
    "EvaluationContext": "eval-current",
    "SemanticTypeIri": "urn:effortless:pko-extension#ProcessMiningRun",
    "Name": "ERP General Ledger Audit Log / 2026-07-17T09:00:00-05:00",
    "AsOfInstant": "2026-07-19T13:00:00-05:00",
    "ConformanceRate": 0.375,
    "IsConformant": false,
    "HasMajorDriftFromDocumentation": true,
    "DaysSinceMined": 2,
    "IsStaleMiningEvidence": false,
    "ProcedureVersionIsLive": true,
    "IsDriftOnLiveVersion": true,
    "DriftedMiningRunKey": "close-v1.1.0"
   },
   {
    "ProcessMiningRunId": "pmr-policy-v1-notify",
    "ProcedureVersion": "policy-v1.0.0",
    "EventLogSource": "Notification Pipeline Delivery Log",
    "MinedAt": "2026-01-10T09:00:00-05:00",
    "DiscoveredVariantCount": 4,
    "ConformingVariantCount": 4,
    "DeviationDescription": "",
    "EvaluationContext": "eval-current",
    "SemanticTypeIri": "urn:effortless:pko-extension#ProcessMiningRun",
    "Name": "Notification Pipeline Delivery Log / 2026-01-10T09:00:00-05:00",
    "AsOfInstant": "2026-07-19T13:00:00-05:00",
    "ConformanceRate": 1.0,
    "IsConformant": true,
    "HasMajorDriftFromDocumentation": false,
    "DaysSinceMined": 190,
    "IsStaleMiningEvidence": true,
    "ProcedureVersionIsLive": true,
    "IsDriftOnLiveVersion": false,
    "DriftedMiningRunKey": null
   },
   {
    "ProcessMiningRunId": "pmr-close-v10-archived",
    "ProcedureVersion": "close-v1.0.0",
    "EventLogSource": "ERP General Ledger Audit Log",
    "MinedAt": "2026-01-01T09:00:00-05:00",
    "DiscoveredVariantCount": 5,
    "ConformingVariantCount": 1,
    "DeviationDescription": "Heavily drifted, but this version was archived before anyone mined it — nobody executes this path anymore.",
    "EvaluationContext": "eval-current",
    "SemanticTypeIri": "urn:effortless:pko-extension#ProcessMiningRun",
    "Name": "ERP General Ledger Audit Log / 2026-01-01T09:00:00-05:00",
    "AsOfInstant": "2026-07-19T13:00:00-05:00",
    "ConformanceRate": 0.2,
    "IsConformant": false,
    "HasMajorDriftFromDocumentation": true,
    "DaysSinceMined": 199,
    "IsStaleMiningEvidence": true,
    "ProcedureVersionIsLive": false,
    "IsDriftOnLiveVersion": false,
    "DriftedMiningRunKey": null
   }
  ]
 },
 "Vocabularies": {
  "Description": "A controlled vocabulary / SKOS-style concept scheme — one facet of standardized terminology (e.g. a family of control categories) that Requirements and other rows can point at instead of restating the concept in free text each time.",
  "important": true,
  "schema": [
   {
    "name": "VocabularyId",
    "datatype": "string",
    "type": "raw",
    "nullable": false,
    "Description": "Stored logical identifier for one Vocabularies row."
   },
   {
    "name": "Name",
    "datatype": "string",
    "type": "calculated",
    "nullable": true,
    "Description": "Human-readable calculated display alias for the Vocabularies row.",
    "formula": "={{Title}}"
   },
   {
    "name": "Title",
    "datatype": "string",
    "type": "raw",
    "nullable": true,
    "Description": "Human-facing name of this controlled vocabulary."
   },
   {
    "name": "SchemeUri",
    "datatype": "string",
    "type": "raw",
    "nullable": true,
    "Description": "SKOS ConceptScheme IRI for this vocabulary."
   },
   {
    "name": "GoverningRole",
    "datatype": "string",
    "type": "relationship",
    "nullable": true,
    "Description": "Role accountable for defining and maintaining terms in this vocabulary.",
    "RelatedTo": "Roles"
   },
   {
    "name": "TermCount",
    "datatype": "number",
    "type": "aggregation",
    "nullable": true,
    "Description": "How many terms belong to this vocabulary.",
    "formula": "=COUNTIFS(VocabularyTerms!{{Vocabulary}}, {{VocabularyId}})"
   },
   {
    "name": "OrphanTermCount",
    "datatype": "number",
    "type": "aggregation",
    "nullable": true,
    "Description": "How many terms in this vocabulary have never actually been used.",
    "formula": "=COUNTIFS(VocabularyTerms!{{OrphanTermVocabularyKey}}, {{VocabularyId}})"
   },
   {
    "name": "HasOrphanTerms",
    "datatype": "boolean",
    "type": "calculated",
    "nullable": true,
    "Description": "TRUE when this vocabulary has at least one defined-but-unused term.",
    "formula": "={{OrphanTermCount}} &gt; 0"
   },
   {
    "name": "SemanticTypeIri",
    "datatype": "string",
    "type": "raw",
    "nullable": true,
    "Description": "Extension class IRI."
   }
  ],
  "data": [
   {
    "VocabularyId": "voc-close-controls",
    "Title": "Close Control Categories",
    "SchemeUri": "urn:effortless:pko-extension:vocab#close-controls",
    "GoverningRole": "knowledge-authority",
    "SemanticTypeIri": "urn:effortless:pko-extension#Vocabulary",
    "Name": "Close Control Categories",
    "TermCount": 5,
    "OrphanTermCount": 0,
    "HasOrphanTerms": false
   },
   {
    "VocabularyId": "voc-policy-domains",
    "Title": "Policy Compliance Domains",
    "SchemeUri": "urn:effortless:pko-extension:vocab#policy-domains",
    "GoverningRole": "knowledge-authority",
    "SemanticTypeIri": "urn:effortless:pko-extension#Vocabulary",
    "Name": "Policy Compliance Domains",
    "TermCount": 7,
    "OrphanTermCount": 2,
    "HasOrphanTerms": true
   }
  ]
 },
 "VocabularyTerms": {
  "Description": "One controlled, defined term (a SKOS Concept) within a Vocabulary. Requirements point at a VocabularyTerm instead of free-texting the same concept in a new Statement every time.",
  "important": true,
  "schema": [
   {
    "name": "VocabularyTermId",
    "datatype": "string",
    "type": "raw",
    "nullable": false,
    "Description": "Stored logical identifier for one VocabularyTerms row."
   },
   {
    "name": "Name",
    "datatype": "string",
    "type": "calculated",
    "nullable": true,
    "Description": "Human-readable calculated display alias for the VocabularyTerms row.",
    "formula": "={{PrefLabel}}"
   },
   {
    "name": "Vocabulary",
    "datatype": "string",
    "type": "relationship",
    "nullable": true,
    "Description": "Vocabulary this term belongs to.",
    "RelatedTo": "Vocabularies"
   },
   {
    "name": "PrefLabel",
    "datatype": "string",
    "type": "raw",
    "nullable": true,
    "Description": "SKOS preferred label — the controlled term itself."
   },
   {
    "name": "AltLabels",
    "datatype": "string",
    "type": "raw",
    "nullable": true,
    "Description": "Comma-separated synonyms this term should also match."
   },
   {
    "name": "Definition",
    "datatype": "string",
    "type": "raw",
    "nullable": true,
    "Description": "SKOS definition of what this term means."
   },
   {
    "name": "UsageCount",
    "datatype": "number",
    "type": "aggregation",
    "nullable": true,
    "Description": "How many Requirements point at this exact term instead of free-texting the concept.",
    "formula": "=COUNTIFS(Requirements!{{ControlledTerm}}, {{VocabularyTermId}})"
   },
   {
    "name": "IsOrphanTerm",
    "datatype": "boolean",
    "type": "calculated",
    "nullable": true,
    "Description": "TRUE when this term has been defined but nothing in the model actually uses it yet.",
    "formula": "={{UsageCount}} = 0"
   },
   {
    "name": "IsWidelyAdoptedTerm",
    "datatype": "boolean",
    "type": "calculated",
    "nullable": true,
    "Description": "TRUE when more than one Requirement shares this exact controlled term.",
    "formula": "={{UsageCount}} &gt;= 2"
   },
   {
    "name": "OrphanTermVocabularyKey",
    "datatype": "string",
    "type": "calculated",
    "nullable": true,
    "Description": "Composite-key echo: this term's vocabulary when the term is an orphan, else blank.",
    "formula": "=IF({{IsOrphanTerm}}, {{Vocabulary}}, \"\")"
   },
   {
    "name": "SemanticTypeIri",
    "datatype": "string",
    "type": "raw",
    "nullable": true,
    "Description": "Extension class IRI."
   }
  ],
  "data": [
   {
    "VocabularyTermId": "vt-cutoff",
    "Vocabulary": "voc-close-controls",
    "PrefLabel": "Cutoff Control",
    "AltLabels": "posting cutoff, period cutoff",
    "Definition": "A control preventing ledger entries after the period close boundary without an approved reopening.",
    "SemanticTypeIri": "urn:effortless:pko-extension#VocabularyTerm",
    "Name": "Cutoff Control",
    "UsageCount": 1,
    "IsOrphanTerm": false,
    "IsWidelyAdoptedTerm": false,
    "OrphanTermVocabularyKey": null
   },
   {
    "VocabularyTermId": "vt-reconciliation",
    "Vocabulary": "voc-close-controls",
    "PrefLabel": "Reconciliation Control",
    "AltLabels": "account reconciliation, balance control",
    "Definition": "A control requiring a material account to reconcile or carry an approved exception.",
    "SemanticTypeIri": "urn:effortless:pko-extension#VocabularyTerm",
    "Name": "Reconciliation Control",
    "UsageCount": 1,
    "IsOrphanTerm": false,
    "IsWidelyAdoptedTerm": false,
    "OrphanTermVocabularyKey": null
   },
   {
    "VocabularyTermId": "vt-segregation",
    "Vocabulary": "voc-close-controls",
    "PrefLabel": "Segregation of Duties",
    "AltLabels": "SoD, maker-checker",
    "Definition": "A control requiring the preparer and the final approver of an action to be different agents.",
    "SemanticTypeIri": "urn:effortless:pko-extension#VocabularyTerm",
    "Name": "Segregation of Duties",
    "UsageCount": 1,
    "IsOrphanTerm": false,
    "IsWidelyAdoptedTerm": false,
    "OrphanTermVocabularyKey": null
   },
   {
    "VocabularyTermId": "vt-evidence-retention",
    "Vocabulary": "voc-close-controls",
    "PrefLabel": "Evidence Retention",
    "AltLabels": "records retention, retention period",
    "Definition": "A requirement that evidence of an action remain retrievable for a fixed retention window.",
    "SemanticTypeIri": "urn:effortless:pko-extension#VocabularyTerm",
    "Name": "Evidence Retention",
    "UsageCount": 2,
    "IsOrphanTerm": false,
    "IsWidelyAdoptedTerm": true,
    "OrphanTermVocabularyKey": null
   },
   {
    "VocabularyTermId": "vt-human-approval-gate",
    "Vocabulary": "voc-close-controls",
    "PrefLabel": "Human Approval Gate",
    "AltLabels": "human-in-the-loop, human confirmation",
    "Definition": "A control requiring a human, not an automated agent, to confirm an approval.",
    "SemanticTypeIri": "urn:effortless:pko-extension#VocabularyTerm",
    "Name": "Human Approval Gate",
    "UsageCount": 1,
    "IsOrphanTerm": false,
    "IsWidelyAdoptedTerm": false,
    "OrphanTermVocabularyKey": null
   },
   {
    "VocabularyTermId": "vt-consent",
    "Vocabulary": "voc-policy-domains",
    "PrefLabel": "Consent Requirement",
    "AltLabels": "opt-in, active consent",
    "Definition": "A requirement that a communication only be sent to a recipient with active, recorded consent.",
    "SemanticTypeIri": "urn:effortless:pko-extension#VocabularyTerm",
    "Name": "Consent Requirement",
    "UsageCount": 1,
    "IsOrphanTerm": false,
    "IsWidelyAdoptedTerm": false,
    "OrphanTermVocabularyKey": null
   },
   {
    "VocabularyTermId": "vt-quiet-hours",
    "Vocabulary": "voc-policy-domains",
    "PrefLabel": "Quiet Hours Restriction",
    "AltLabels": "do-not-disturb window",
    "Definition": "A requirement restricting delivery to a defined local-time window.",
    "SemanticTypeIri": "urn:effortless:pko-extension#VocabularyTerm",
    "Name": "Quiet Hours Restriction",
    "UsageCount": 1,
    "IsOrphanTerm": false,
    "IsWidelyAdoptedTerm": false,
    "OrphanTermVocabularyKey": null
   },
   {
    "VocabularyTermId": "vt-optout",
    "Vocabulary": "voc-policy-domains",
    "PrefLabel": "Opt-Out Requirement",
    "AltLabels": "unsubscribe language",
    "Definition": "A requirement that a message include approved opt-out language.",
    "SemanticTypeIri": "urn:effortless:pko-extension#VocabularyTerm",
    "Name": "Opt-Out Requirement",
    "UsageCount": 1,
    "IsOrphanTerm": false,
    "IsWidelyAdoptedTerm": false,
    "OrphanTermVocabularyKey": null
   },
   {
    "VocabularyTermId": "vt-accessibility",
    "Vocabulary": "voc-policy-domains",
    "PrefLabel": "Accessibility Requirement",
    "AltLabels": "readable content, alternate contact",
    "Definition": "A requirement that content be readable, accessible, and offer an alternate contact method.",
    "SemanticTypeIri": "urn:effortless:pko-extension#VocabularyTerm",
    "Name": "Accessibility Requirement",
    "UsageCount": 1,
    "IsOrphanTerm": false,
    "IsWidelyAdoptedTerm": false,
    "OrphanTermVocabularyKey": null
   },
   {
    "VocabularyTermId": "vt-legal-review",
    "Vocabulary": "voc-policy-domains",
    "PrefLabel": "Legal Review Gate",
    "AltLabels": "counsel approval",
    "Definition": "A requirement that employment counsel approve a legal or privacy commitment before it ships.",
    "SemanticTypeIri": "urn:effortless:pko-extension#VocabularyTerm",
    "Name": "Legal Review Gate",
    "UsageCount": 1,
    "IsOrphanTerm": false,
    "IsWidelyAdoptedTerm": false,
    "OrphanTermVocabularyKey": null
   },
   {
    "VocabularyTermId": "vt-privacy-impact",
    "Vocabulary": "voc-policy-domains",
    "PrefLabel": "Data Privacy Impact",
    "AltLabels": "DPIA, privacy impact assessment",
    "Definition": "An assessment of how a change affects personal data handling. Defined, not yet applied to any Requirement.",
    "SemanticTypeIri": "urn:effortless:pko-extension#VocabularyTerm",
    "Name": "Data Privacy Impact",
    "UsageCount": 0,
    "IsOrphanTerm": true,
    "IsWidelyAdoptedTerm": false,
    "OrphanTermVocabularyKey": "voc-policy-domains"
   },
   {
    "VocabularyTermId": "vt-third-party-attestation",
    "Vocabulary": "voc-policy-domains",
    "PrefLabel": "Third-Party Attestation",
    "AltLabels": "vendor attestation",
    "Definition": "A requirement that an external vendor attest to a control. Defined, not yet applied to any Requirement.",
    "SemanticTypeIri": "urn:effortless:pko-extension#VocabularyTerm",
    "Name": "Third-Party Attestation",
    "UsageCount": 0,
    "IsOrphanTerm": true,
    "IsWidelyAdoptedTerm": false,
    "OrphanTermVocabularyKey": "voc-policy-domains"
   }
  ]
 },
 "KnowledgeBrokerLinks": {
  "Description": "An informal expertise-network edge: one agent naming another as who they actually go to for a topic, independent of any formal Role or RoleAssignment. RoleAssignments and CommunitiesOfPractice record who is SUPPOSED to know something; this records who people ACTUALLY rely on.",
  "important": true,
  "schema": [
   {
    "name": "KnowledgeBrokerLinkId",
    "datatype": "string",
    "type": "raw",
    "nullable": false,
    "Description": "Stored logical identifier for one KnowledgeBrokerLinks row."
   },
   {
    "name": "Name",
    "datatype": "string",
    "type": "calculated",
    "nullable": true,
    "Description": "Human-readable calculated display alias for the KnowledgeBrokerLinks row.",
    "formula": "={{Seeker}} &amp; \" -&gt; \" &amp; {{Broker}}"
   },
   {
    "name": "Seeker",
    "datatype": "string",
    "type": "relationship",
    "nullable": true,
    "Description": "The agent who goes to someone else for this topic.",
    "RelatedTo": "Agents"
   },
   {
    "name": "Broker",
    "datatype": "string",
    "type": "relationship",
    "nullable": true,
    "Description": "The agent who is actually consulted, whether or not they hold a formal role for it.",
    "RelatedTo": "Agents"
   },
   {
    "name": "Topic",
    "datatype": "string",
    "type": "relationship",
    "nullable": true,
    "Description": "The controlled topic this reliance is about.",
    "RelatedTo": "VocabularyTerms"
   },
   {
    "name": "Frequency",
    "datatype": "string",
    "type": "raw",
    "nullable": true,
    "Description": "Rarely, Sometimes, or Often."
   },
   {
    "name": "LastConsultedAt",
    "datatype": "datetime",
    "type": "raw",
    "nullable": true,
    "Description": "When the seeker last actually consulted the broker on this topic."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"DaysSinceConsulted",
    "datatype": "integer",
    "type": "calculated",
    "nullable": true,
    "Description": "Days elapsed since the seeker last consulted the broker.",
    "formula": "=DATETIME_DIFF({{AsOfInstant}}, {{LastConsultedAt}}, \"days\")"
   },
   {
    "name": "IsActiveReliance",
    "datatype": "boolean",
    "type": "calculated",
    "nullable": true,
    "Description": "TRUE when this is a live, ongoing informal dependency rather than a one-off or stale contact.",
    "formula": "=AND(NOT({{Frequency}} = \"Rarely\"), {{DaysSinceConsulted}} &lt;= 180)"
   },
   {
    "name": "BrokerIsStillEngaged",
    "datatype": "boolean",
    "type": "lookup",
    "nullable": true,
    "Description": "Whether the broker being relied on still holds any current role at all.",
    "formula": "=INDEX(Agents!{{IsStillEngaged}}, MATCH({{Broker}}, Agents!{{AgentId}}, 0))"
   },
   {
    "name": "IsAtRiskReliance",
    "datatype": "boolean",
    "type": "calculated",
    "nullable": true,
    "Description": "TRUE when someone is actively relying on a broker who has already left every role they held.",
    "formula": "=AND({{IsActiveReliance}}, NOT({{BrokerIsStillEngaged}}))"
   },
   {
    "name": "ActiveRelianceBrokerKey",
    "datatype": "string",
    "type": "calculated",
    "nullable": true,
    "Description": "Composite-key echo: the broker this link names when the reliance is active, else blank.",
    "formula": "=IF({{IsActiveReliance}}, {{Broker}}, \"\")"
   },
   {
    "name": "AtRiskBrokerKey",
    "datatype": "string",
    "type": "calculated",
    "nullable": true,
    "Description": "Composite-key echo: the broker this link names when the reliance is at risk, else blank.",
    "formula": "=IF({{IsAtRiskReliance}}, {{Broker}}, \"\")"
   },
   {
    "name": "SemanticTypeIri",
    "datatype": "string",
    "type": "raw",
    "nullable": true,
    "Description": "Extension class IRI."
   }
  ],
  "data": [
   {
    "KnowledgeBrokerLinkId": "kbl-maria-priya-recon",
    "Seeker": "maria-chen",
    "Broker": "priya-raman",
    "Topic": "vt-reconciliation",
    "Frequency": "Often",
    "LastConsultedAt": "2026-07-10T09:00:00-05:00",
    "EvaluationContext": "eval-current",
    "SemanticTypeIri": "urn:effortless:pko-extension#KnowledgeBrokerLink",
    "Name": "maria-chen -&gt; priya-raman",
    "AsOfInstant": "2026-07-19T13:00:00-05:00",
    "DaysSinceConsulted": 9,
    "IsActiveReliance": true,
    "BrokerIsStillEngaged": true,
    "IsAtRiskReliance": false,
    "ActiveRelianceBrokerKey": "priya-raman",
    "AtRiskBrokerKey": null
   },
   {
    "KnowledgeBrokerLinkId": "kbl-devon-priya-recon",
    "Seeker": "devon-okafor",
    "Broker": "priya-raman",
    "Topic": "vt-reconciliation",
    "Frequency": "Sometimes",
    "LastConsultedAt": "2026-06-20T09:00:00-05:00",
    "EvaluationContext": "eval-current",
    "SemanticTypeIri": "urn:effortless:pko-extension#KnowledgeBrokerLink",
    "Name": "devon-okafor -&gt; priya-raman",
    "AsOfInstant": "2026-07-19T13:00:00-05:00",
    "DaysSinceConsulted": 29,
    "IsActiveReliance": true,
    "BrokerIsStillEngaged": true,
    "IsAtRiskReliance": false,
    "ActiveRelianceBrokerKey": "priya-raman",
    "AtRiskBrokerKey": null
   },
   {
    "KnowledgeBrokerLinkId": "kbl-elena-priya-sod",
    "Seeker": "elena-garcia",
    "Broker": "priya-raman",
    "Topic": "vt-segregation",
    "Frequency": "Often",
    "LastConsultedAt": "2026-07-05T09:00:00-05:00",
    "EvaluationContext": "eval-current",
    "SemanticTypeIri": "urn:effortless:pko-extension#KnowledgeBrokerLink",
    "Name": "elena-garcia -&gt; priya-raman",
    "AsOfInstant": "2026-07-19T13:00:00-05:00",
    "DaysSinceConsulted": 14,
    "IsActiveReliance": true,
    "BrokerIsStillEngaged": true,
    "IsAtRiskReliance": false,
    "ActiveRelianceBrokerKey": "priya-raman",
    "AtRiskBrokerKey": null
   },
   {
    "KnowledgeBrokerLinkId": "kbl-amina-jordan-sod",
    "Seeker": "amina-yusuf",
    "Broker": "jordan-park",
    "Topic": "vt-segregation",
    "Frequency": "Often",
    "LastConsultedAt": "2026-07-01T09:00:00-05:00",
    "EvaluationContext": "eval-current",
    "SemanticTypeIri": "urn:effortless:pko-extension#KnowledgeBrokerLink",
    "Name": "amina-yusuf -&gt; jordan-park",
    "AsOfInstant": "2026-07-19T13:00:00-05:00",
    "DaysSinceConsulted": 18,
    "IsActiveReliance": true,
    "BrokerIsStillEngaged": false,
    "IsAtRiskReliance": true,
    "ActiveRelianceBrokerKey": "jordan-park",
    "AtRiskBrokerKey": "jordan-park"
   },
   {
    "KnowledgeBrokerLinkId": "kbl-noah-elena-quiet",
    "Seeker": "noah-williams",
    "Broker": "elena-garcia",
    "Topic": "vt-quiet-hours",
    "Frequency": "Rarely",
    "LastConsultedAt": "2025-01-01T09:00:00-05:00",
    "EvaluationContext": "eval-current",
    "SemanticTypeIri": "urn:effortless:pko-extension#KnowledgeBrokerLink",
    "Name": "noah-williams -&gt; elena-garcia",
    "AsOfInstant": "2026-07-19T13:00:00-05:00",
    "DaysSinceConsulted": 564,
    "IsActiveReliance": false,
    "BrokerIsStillEngaged": true,
    "IsAtRiskReliance": false,
    "ActiveRelianceBrokerKey": null,
    "AtRiskBrokerKey": null
   }
  ]
 },
 "ConformanceSubstrates": {
  "Description": "Every tool that compiles this rulebook into something that computes. One is the answer-key author (compile-rulebook bakes derived values into the rulebook's own rows); the rest are graded substrates that re-derive those values natively and are scored cell by cell against them.",
  "important": true,
  "schema": [
   {
    "name": "ConformanceSubstrateId",
    "datatype": "string",
    "type": "raw",
    "nullable": false,
    "Description": "Substrate name as the conformance harness knows it, e.g. 'effortless-python'."
   },
   {
    "name": "Name",
    "datatype": "string",
    "type": "calculated",
    "nullable": true,
    "Description": "Human-readable calculated display alias.",
    "formula": "={{Label}}"
   },
   {
    "name": "Label",
    "datatype": "string",
    "type": "raw",
    "nullable": true,
    "Description": "Short human label, e.g. 'Python'."
   },
   {
    "name": "Transpiler",
    "datatype": "string",
    "type": "raw",
    "nullable": true,
    "Description": "The effortless.json tool that produces this substrate, e.g. 'rulebook-to-python'."
   },
   {
    "name": "OutputFolder",
    "datatype": "string",
    "type": "raw",
    "nullable": true,
    "Description": "Project folder the tool writes into, e.g. '/effortless-python'."
   },
   {
    "name": "Engine",
    "datatype": "string",
    "type": "raw",
    "nullable": true,
    "Description": "What actually evaluates the formulas: a database, a language runtime, a spreadsheet engine or a reasoner."
   },
   {
    "name": "HowItComputes",
    "datatype": "string",
    "type": "raw",
    "nullable": true,
    "Description": "One paragraph a curious reader can follow: what the tool emits and how the harness makes it produce answers."
   },
   {
    "name": "Role",
    "datatype": "string",
    "type": "raw",
    "nullable": true,
    "Description": "'answer-key' for the tool whose stored values every other substrate is graded against; 'graded' for everything else."
   },
   {
    "name": "SortOrder",
    "datatype": "number",
    "type": "raw",
    "nullable": true,
    "Description": "Display order."
   },
   {
    "name": "IsGraded",
    "datatype": "boolean",
    "type": "calculated",
    "nullable": true,
    "Description": "True for substrates the harness scores.",
    "formula": "={{Role}} = \"graded\""
   },
   {
    "name": "RunCount",
    "datatype": "number",
    "type": "aggregation",
    "nullable": true,
    "Description": "How many recorded conformance runs graded this substrate.",
    "formula": "=COUNTIFS(SubstrateRunScores!{{Substrate}}, {{ConformanceSubstrateId}})"
   },
   {
    "name": "LatestCellsTested",
    "datatype": "number",
    "type": "aggregation",
    "nullable": true,
    "Description": "Cells graded in the latest run: every (record x derived field) pair in the answer keys.",
    "formula": "=SUMIFS(SubstrateRunScores!{{LatestCellsTested}}, SubstrateRunScores!{{Substrate}}, {{ConformanceSubstrateId}})"
   },
   {
    "name": "LatestCellsPassed",
    "datatype": "number",
    "type": "aggregation",
    "nullable": true,
    "Description": "Cells this substrate computed identically to the answer key in the latest run.",
    "formula": "=SUMIFS(SubstrateRunScores!{{LatestCellsPassed}}, SubstrateRunScores!{{Substrate}}, {{ConformanceSubstrateId}})"
   },
   {
    "name": "LatestHarnessErrors",
    "datatype": "number",
    "type": "aggregation",
    "nullable": true,
    "Description": "1 when the latest run could not execute this substrate at all.",
    "formula": "=SUMIFS(SubstrateRunScores!{{LatestErrorFlag}}, SubstrateRunScores!{{Substrate}}, {{ConformanceSubstrateId}})"
   },
   {
    "name": "LatestCellsFailed",
    "datatype": "number",
    "type": "calculated",
    "nullable": true,
    "Description": "Cells this substrate got wrong, or did not produce, in the latest run.",
    "formula": "={{LatestCellsTested}} - {{LatestCellsPassed}}"
   },
   {
    "name": "LatestScore",
    "datatype": "number",
    "type": "calculated",
    "nullable": true,
    "Description": "Percent of cells agreeing with the answer key in the latest run.",
    "formula": "=IF({{LatestCellsTested}} = 0, 0, ROUND(100 * {{LatestCellsPassed}} / {{LatestCellsTested}}, 2))"
   },
   {
    "name": "DisagreeingFieldCount",
    "datatype": "number",
    "type": "aggregation",
    "nullable": true,
    "Description": "Derived fields on which this substrate got at least one cell wrong in the latest run.",
    "formula": "=COUNTIFS(FieldDisagreements!{{Substrate}}, {{ConformanceSubstrateId}})"
   },
   {
    "name": "DisagreeingTableCount",
    "datatype": "number",
    "type": "aggregation",
    "nullable": true,
    "Description": "Tables on which this substrate got at least one cell wrong in the latest run.",
    "formula": "=COUNTIFS(TableConformance!{{ImperfectSubstrateKey}}, {{ConformanceSubstrateId}})"
   },
   {
    "name": "IsFullyConformant",
    "datatype": "boolean",
    "type": "calculated",
    "nullable": true,
    "Description": "True when the latest run graded this substrate, it ran, and every cell agreed. A substrate never graded is not conformant.",
    "formula": "=AND({{LatestCellsTested}} &gt; 0, {{LatestCellsFailed}} = 0, {{LatestHarnessErrors}} = 0)"
   },
   {
    "name": "SemanticTypeIri",
    "datatype": "string",
    "type": "raw",
    "nullable": true,
    "Description": "Semantic type IRI."
   }
  ],
  "data": [
   {
    "ConformanceSubstrateId": "compile-rulebook",
    "Label": "compile-rulebook",
    "SortOrder": 0,
    "Role": "answer-key",
    "Engine": "Python formula engine (shared with rulebook-to-python)",
    "HowItComputes": "Runs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
    "Transpiler": "compile-rulebook",
    "OutputFolder": "/effortless-rulebook",
    "SemanticTypeIri": "urn:effortless:pko-extension#ConformanceSubstrate",
    "Name": "compile-rulebook",
    "IsGraded": false,
    "RunCount": 0,
    "LatestCellsTested": 0,
    "LatestCellsPassed": 0,
    "LatestHarnessErrors": 0,
    "LatestCellsFailed": 0,
    "LatestScore": 0,
    "DisagreeingFieldCount": 0,
    "DisagreeingTableCount": 0,
    "IsFullyConformant": false
   },
   {
    "ConformanceSubstrateId": "effortless-postgres",
    "Label": "PostgreSQL",
    "SortOrder": 1,
    "Role": "graded",
    "Engine": "PostgreSQL views and calc_* SQL functions",
    "HowItComputes": "rulebook-to-postgres emits a table, a set of calc_* functions and a vw_&lt;entity&gt; view per table. The database is reset from the rulebook, and the harness reads SELECT * from every view.",
    "Transpiler": "rulebook-to-postgres",
    "OutputFolder": "/postgres-bootstrap",
    "SemanticTypeIri": "urn:effortless:pko-extension#ConformanceSubstrate",
    "Name": "PostgreSQL",
    "IsGraded": true,
    "RunCount": 1,
    "LatestCellsTested": 59878.0,
    "LatestCellsPassed": 59763.0,
    "LatestHarnessErrors": 0.0,
    "LatestCellsFailed": 115.0,
    "LatestScore": 99.81,
    "DisagreeingFieldCount": 32,
    "DisagreeingTableCount": 18,
    "IsFullyConformant": false
   },
   {
    "ConformanceSubstrateId": "effortless-python",
    "Label": "Python",
    "SortOrder": 2,
    "Role": "graded",
    "Engine": "CPython",
    "HowItComputes": "rulebook-to-python emits an SDK with one computed property per derived field. The harness loads the blank test rows (raw fields only) and asks the SDK for every derived value.",
    "Transpiler": "rulebook-to-python",
    "OutputFolder": "/effortless-python",
    "SemanticTypeIri": "urn:effortless:pko-extension#ConformanceSubstrate",
    "Name": "Python",
    "IsGraded": true,
    "RunCount": 1,
    "LatestCellsTested": 59878.0,
    "LatestCellsPassed": 59764.0,
    "LatestHarnessErrors": 0.0,
    "LatestCellsFailed": 114.0,
    "LatestScore": 99.81,
    "DisagreeingFieldCount": 31,
    "DisagreeingTableCount": 17,
    "IsFullyConformant": false
   },
   {
    "ConformanceSubstrateId": "effortless-golang",
    "Label": "Go",
    "SortOrder": 3,
    "Role": "graded",
    "Engine": "Go toolchain (compiled)",
    "HowItComputes": "rulebook-to-go emits a Go module. The harness compiles it with go build, runs it over the blank test rows, and reads back every derived value.",
    "Transpiler": "rulebook-to-go",
    "OutputFolder": "/effortless-golang",
    "SemanticTypeIri": "urn:effortless:pko-extension#ConformanceSubstrate",
    "Name": "Go",
    "IsGraded": true,
    "RunCount</t>
  </si>
  <si>
    <t xml:space="preserve">": 1,
    "LatestCellsTested": 59878.0,
    "LatestCellsPassed": 59764.0,
    "LatestHarnessErrors": 0.0,
    "LatestCellsFailed": 114.0,
    "LatestScore": 99.81,
    "DisagreeingFieldCount": 31,
    "DisagreeingTableCount": 17,
    "IsFullyConformant": false
   },
   {
    "ConformanceSubstrateId": "effortless-typescript",
    "Label": "TypeScript",
    "SortOrder": 4,
    "Role": "graded",
    "Engine": "Node.js running tsc output",
    "HowItComputes": "rulebook-to-typescript emits a typed SDK. The harness compiles it with tsc and runs it on Node over the blank test rows.",
    "Transpiler": "rulebook-to-typescript",
    "OutputFolder": "/effortless-typescript",
    "SemanticTypeIri": "urn:effortless:pko-extension#ConformanceSubstrate",
    "Name": "TypeScript",
    "IsGraded": true,
    "RunCount": 1,
    "LatestCellsTested": 59878.0,
    "LatestCellsPassed": 59764.0,
    "LatestHarnessErrors": 0.0,
    "LatestCellsFailed": 114.0,
    "LatestScore": 99.81,
    "DisagreeingFieldCount": 31,
    "DisagreeingTableCount": 17,
    "IsFullyConformant": false
   },
   {
    "ConformanceSubstrateId": "effortless-entity-framework",
    "Label": "C# / Entity Framework",
    "SortOrder": 5,
    "Role": "graded",
    "Engine": ".NET (C# Formula* properties)",
    "HowItComputes": "rulebook-to-entity-framework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
    "Transpiler": "rulebook-to-entity-framework",
    "OutputFolder": "/effortless-entity-framework",
    "SemanticTypeIri": "urn:effortless:pko-extension#ConformanceSubstrate",
    "Name": "C# / Entity Framework",
    "IsGraded": true,
    "RunCount": 1,
    "LatestCellsTested": 59878.0,
    "LatestCellsPassed": 59764.0,
    "LatestHarnessErrors": 0.0,
    "LatestCellsFailed": 114.0,
    "LatestScore": 99.81,
    "DisagreeingFieldCount": 31,
    "DisagreeingTableCount": 17,
    "IsFullyConformant": false
   },
   {
    "ConformanceSubstrateId": "effortless-xlsx",
    "Label": "Excel",
    "SortOrder": 6,
    "Role": "graded",
    "Engine": "Spreadsheet formulas (cached values read with openpyxl)",
    "HowItComputes": "rulebook-to-xlsx compiles every formula into a real Excel formula over cells in the same workbook. The harness reads the workbook's cached values, after a LibreOffice recalc when LibreOffice is installed; a value that was never calculated reads as blank.",
    "Transpiler": "rulebook-to-xlsx",
    "OutputFolder": "/effortless-xlsx",
    "SemanticTypeIri": "urn:effortless:pko-extension#ConformanceSubstrate",
    "Name": "Excel",
    "IsGraded": true,
    "RunCount": 1,
    "LatestCellsTested": 59878.0,
    "LatestCellsPassed": 53868.0,
    "LatestHarnessErrors": 0.0,
    "LatestCellsFailed": 6010.0,
    "LatestScore": 89.96,
    "DisagreeingFieldCount": 162,
    "DisagreeingTableCount": 35,
    "IsFullyConformant": false
   },
   {
    "ConformanceSubstrateId": "effortless-owl",
    "Label": "OWL / SHACL",
    "SortOrder": 7,
    "Role": "graded",
    "Engine": "SPARQL 1.1 (pyoxigraph) executing SHACL-AF rules",
    "HowItComputes": "rulebook-to-owl emits an ontology, an ABox of individuals carrying raw fields only, and one SHACL-AF SPARQL rule per derived field. The harness executes the rules in dependency order and reads the inferred triples back.",
    "Transpiler": "rulebook-to-owl",
    "OutputFolder": "/effortless-owl",
    "SemanticTypeIri": "urn:effortless:pko-extension#ConformanceSubstrate",
    "Name": "OWL / SHACL",
    "IsGraded": true,
    "RunCount": 1,
    "LatestCellsTested": 59878.0,
    "LatestCellsPassed": 59587.0,
    "LatestHarnessErrors": 0.0,
    "LatestCellsFailed": 291.0,
    "LatestScore": 99.51,
    "DisagreeingFieldCount": 82,
    "DisagreeingTableCount": 21,
    "IsFullyConformant": false
   }
  ]
 },
 "ConformanceRuns": {
  "Description": "One execution of the conformance harness over every graded substrate. Kept as history; exactly one run is marked IsLatest, and the per-table, per-field and per-cell detail tables describe that run.",
  "important": true,
  "schema": [
   {
    "name": "ConformanceRunId",
    "datatype": "string",
    "type": "raw",
    "nullable": false,
    "Description": "Stored logical identifier, e.g. 'run-20260913-171500'."
   },
   {
    "name": "Name",
    "datatype": "string",
    "type": "calculated",
    "nullable": true,
    "Description": "Human-readable calculated display alias.",
    "formula": "={{ConformanceRunId}}"
   },
   {
    "name": "RanOn",
    "datatype": "datetime",
    "type": "raw",
    "nullable": true,
    "Description": "When the harness graded the substrates."
   },
   {
    "name": "RulebookCommit",
    "datatype": "string",
    "type": "raw",
    "nullable": true,
    "Description": "git HEAD of the repository when the run was recorded; the rulebook may also carry uncommitted edits, noted in Notes."
   },
   {
    "name": "AnswerKeyAuthor",
    "datatype": "string",
    "type": "relationship",
    "nullable": true,
    "Description": "The substrate whose stored values were the answer keys for this run.",
    "RelatedTo": "ConformanceSubstrates"
   },
   {
    "name": "IsLatest",
    "datatype": "boolean",
    "type": "raw",
    "nullable": true,
    "Description": "True for the most recent recorded run only. The recorder moves it."
   },
   {
    "name": "Notes",
    "datatype": "string",
    "type": "raw",
    "nullable": true,
    "Description": "Anything a reader needs to interpret the run."
   },
   {
    "name": "SubstrateCount",
    "datatype": "number",
    "type": "aggregation",
    "nullable": true,
    "Description": "Substrates graded in this run.",
    "formula": "=COUNTIFS(SubstrateRunScores!{{Run}}, {{ConformanceRunId}})"
   },
   {
    "name": "PerfectSubstrateCount",
    "datatype": "number",
    "type": "aggregation",
    "nullable": true,
    "Description": "Substrates that ran and agreed on every cell.",
    "formula": "=COUNTIFS(SubstrateRunScores!{{PerfectRunKey}}, {{ConformanceRunId}})"
   },
   {
    "name": "CellsTested",
    "datatype": "number",
    "type": "aggregation",
    "nullable": true,
    "Description": "Cells graded across all substrates.",
    "formula": "=SUMIFS(SubstrateRunScores!{{CellsTested}}, SubstrateRunScores!{{Run}}, {{ConformanceRunId}})"
   },
   {
    "name": "CellsPassed",
    "datatype": "number",
    "type": "aggregation",
    "nullable": true,
    "Description": "Cells that agreed across all substrates.",
    "formula": "=SUMIFS(SubstrateRunScores!{{CellsPassed}}, SubstrateRunScores!{{Run}}, {{ConformanceRunId}})"
   },
   {
    "name": "CellsFailed",
    "datatype": "number",
    "type": "calculated",
    "nullable": true,
    "Description": "Cells that disagreed across all substrates.",
    "formula": "={{CellsTested}} - {{CellsPassed}}"
   },
   {
    "name": "OverallScore",
    "datatype": "number",
    "type": "calculated",
    "nullable": true,
    "Description": "Percent of all graded cells, across all substrates, that agreed.",
    "formula": "=IF({{CellsTested}} = 0, 0, ROUND(100 * {{CellsPassed}} / {{CellsTested}}, 2))"
   },
   {
    "name": "ImperfectSubstrateCount",
    "datatype": "number",
    "type": "calculated",
    "nullable": true,
    "Description": "Substrates with at least one disagreeing cell or a harness error.",
    "formula": "={{SubstrateCount}} - {{PerfectSubstrateCount}}"
   },
   {
    "name": "IsFullyConformant",
    "datatype": "boolean",
    "type": "calculated",
    "nullable": true,
    "Description": "True when every substrate graded in this run agreed on every cell: the 100% bar.",
    "formula": "=AND({{SubstrateCount}} &gt; 0, {{ImperfectSubstrateCount}} = 0)"
   },
   {
    "name": "SemanticTypeIri",
    "datatype": "string",
    "type": "raw",
    "nullable": true,
    "Description": "Semantic type IRI."
   }
  ],
  "data": [
   {
    "ConformanceRunId": "run-20260913-165336",
    "RanOn": "2026-09-13T16:53:36-05:00",
    "RulebookCommit": "4960f638",
    "AnswerKeyAuthor": "compile-rulebook",
    "IsLatest": true,
    "Notes": "First recorded run: all a1 tools installed; EF runner rebuilt for EF Core output; OWL rules dependency-ordered.",
    "SemanticTypeIri": "urn:effortless:pko-extension#ConformanceRun",
    "Name": "run-20260913-165336",
    "SubstrateCount": 7,
    "PerfectSubstrateCount": 0,
    "CellsTested": 419146.0,
    "CellsPassed": 412274.0,
    "CellsFailed": 6872.0,
    "OverallScore": 98.36,
    "ImperfectSubstrateCount": 7,
    "IsFullyConformant": false
   }
  ]
 },
 "SubstrateRunScores": {
  "Description": "One substrate's grade in one conformance run, split by field class so a substrate that does scalar math natively but not cross-table joins reads as exactly that.",
  "important": true,
  "schema": [
   {
    "name": "SubstrateRunScoreId",
    "datatype": "string",
    "type": "raw",
    "nullable": false,
    "Description": "Stored logical identifier: '&lt;run&gt;|&lt;substrate&gt;'."
   },
   {
    "name": "Name",
    "datatype": "string",
    "type": "calculated",
    "nullable": true,
    "Description": "Human-readable calculated display alias.",
    "formula": "=CONCAT({{Run}}, \" / \", {{Substrate}})"
   },
   {
    "name": "Run",
    "datatype": "string",
    "type": "relationship",
    "nullable": true,
    "Description": "The run that produced this grade.",
    "RelatedTo": "ConformanceRuns"
   },
   {
    "name": "Substrate",
    "datatype": "string",
    "type": "relationship",
    "nullable": true,
    "Description": "The substrate graded.",
    "RelatedTo": "ConformanceSubstrates"
   },
   {
    "name": "HarnessError",
    "datatype": "string",
    "type": "raw",
    "nullable": true,
    "Description": "Why the substrate could not be run, verbatim from the harness. Blank when it ran."
   },
   {
    "name": "DurationSeconds",
    "datatype": "number",
    "type": "raw",
    "nullable": true,
    "Description": "Wall-clock seconds to produce answers."
   },
   {
    "name": "CellsTested",
    "datatype": "number",
    "type": "raw",
    "nullable": true,
    "Description": "Every (record x derived field) pair in the answer keys."
   },
   {
    "name": "CellsPassed",
    "datatype": "number",
    "type": "raw",
    "nullable": true,
    "Description": "Cells matching the answer key."
   },
   {
    "name": "CalculatedTested",
    "datatype": "number",
    "type": "raw",
    "nullable": true,
    "Description": "Cells of calculated (same-row formula) fields."
   },
   {
    "name": "CalculatedPassed",
    "datatype": "number",
    "type": "raw",
    "nullable": true,
    "Description": "Calculated cells that matched."
   },
   {
    "name": "LookupTested",
    "datatype": "number",
    "type": "raw",
    "nullable": true,
    "Description": "Cells of lookup (cross-table INDEX/MATCH) fields."
   },
   {
    "name": "LookupPassed",
    "datatype": "number",
    "type": "raw",
    "nullable": true,
    "Description": "Lookup cells that matched."
   },
   {
    "name": "AggregationTested",
    "datatype": "number",
    "type": "raw",
    "nullable": true,
    "Description": "Cells of aggregation (COUNTIFS/SUMIFS rollup) fields."
   },
   {
    "name": "AggregationPassed",
    "datatype": "number",
    "type": "raw",
    "nullable": true,
    "Description": "Aggregation cells that matched."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"CalculatedScore",
    "datatype": "number",
    "type": "calculated",
    "nullable": true,
    "Description": "Percent of calculated cells matching.",
    "formula": "=IF({{CalculatedTested}} = 0, 0, ROUND(100 * {{CalculatedPassed}} / {{CalculatedTested}}, 2))"
   },
   {
    "name": "LookupScore",
    "datatype": "number",
    "type": "calculated",
    "nullable": true,
    "Description": "Percent of lookup cells matching.",
    "formula": "=IF({{LookupTested}} = 0, 0, ROUND(100 * {{LookupPassed}} / {{LookupTested}}, 2))"
   },
   {
    "name": "AggregationScore",
    "datatype": "number",
    "type": "calculated",
    "nullable": true,
    "Description": "Percent of aggregation cells matching.",
    "formula": "=IF({{AggregationTested}} = 0, 0, ROUND(100 * {{AggregationPassed}} / {{AggregationTested}}, 2))"
   },
   {
    "name": "IsPerfect",
    "datatype": "boolean",
    "type": "calculated",
    "nullable": true,
    "Description": "True when the substrate ran and matched every cell.",
    "formula": "=AND({{HarnessError}} = \"\", {{CellsTested}} &gt; 0, {{CellsFailed}} = 0)"
   },
   {
    "name": "PerfectRunKey",
    "datatype": "string",
    "type": "calculated",
    "nullable": true,
    "Description": "The run id when this grade is perfect, else blank; lets the run count its perfect substrates with a single-criterion COUNTIFS.",
    "formula": "=IF({{IsPerfect}}, {{Run}}, \"\")"
   },
   {
    "name": "IsInLatestRun",
    "datatype": "boolean",
    "type": "lookup",
    "nullable": true,
    "Description": "Whether this grade belongs to the latest run.",
    "formula": "=INDEX(ConformanceRuns!{{IsLatest}}, MATCH({{Run}}, ConformanceRuns!{{ConformanceRunId}}, 0))"
   },
   {
    "name": "LatestCellsTested",
    "datatype": "number",
    "type": "calculated",
    "nullable": true,
    "Description": "CellsTested when in the latest run, else 0.",
    "formula": "=IF({{IsInLatestRun}}, {{CellsTested}}, 0)"
   },
   {
    "name": "LatestCellsPassed",
    "datatype": "number",
    "type": "calculated",
    "nullable": true,
    "Description": "CellsPassed when in the latest run, else 0.",
    "formula": "=IF({{IsInLatestRun}}, {{CellsPassed}}, 0)"
   },
   {
    "name": "LatestErrorFlag",
    "datatype": "number",
    "type": "calculated",
    "nullable": true,
    "Description": "1 when this is the latest run and the harness could not run the substrate.",
    "formula": "=IF(AND({{IsInLatestRun}}, {{HarnessError}} &lt;&gt; \"\"), 1,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"SubstrateRunScoreId": "run-20260913-165336|effortless-postgres",
    "Run": "run-20260913-165336",
    "Substrate": "effortless-postgres",
    "HarnessError": "",
    "DurationSeconds": 24.1,
    "CellsTested": 59878,
    "CellsPassed": 59763,
    "CalculatedTested": 42928,
    "CalculatedPassed": 42816,
    "LookupTested": 12929,
    "LookupPassed": 12926,
    "AggregationTested": 4021,
    "AggregationPassed": 4021,
    "SemanticTypeIri": "urn:effortless:pko-extension#SubstrateRunScore",
    "Name": "run-20260913-165336 / effortless-postgres",
    "CellsFailed": 115,
    "Score": 99.81,
    "CalculatedScore": 99.74,
    "LookupScore": 99.98,
    "AggregationScore": 100.0,
    "IsPerfect": false,
    "PerfectRunKey": null,
    "IsInLatestRun": true,
    "LatestCellsTested": 59878,
    "LatestCellsPassed": 59763,
    "LatestErrorFlag": 0,
    "SubstrateLabel": "PostgreSQL"
   },
   {
    "SubstrateRunScoreId": "run-20260913-165336|effortless-xlsx",
    "Run": "run-20260913-165336",
    "Substrate": "effortless-xlsx",
    "HarnessError": "",
    "DurationSeconds": 1.3,
    "CellsTested": 59878,
    "CellsPassed": 53868,
    "CalculatedTested": 42928,
    "CalculatedPassed": 40792,
    "LookupTested": 12929,
    "LookupPassed": 9334,
    "AggregationTested": 4021,
    "AggregationPassed": 3742,
    "SemanticTypeIri": "urn:effortless:pko-extension#SubstrateRunScore",
    "Name": "run-20260913-165336 / effortless-xlsx",
    "CellsFailed": 6010,
    "Score": 89.96,
    "CalculatedScore": 95.02,
    "LookupScore": 72.19,
    "AggregationScore": 93.06,
    "IsPerfect": false,
    "PerfectRunKey": null,
    "IsInLatestRun": true,
    "LatestCellsTested": 59878,
    "LatestCellsPassed": 53868,
    "LatestErrorFlag": 0,
    "SubstrateLabel": "Excel"
   },
   {
    "SubstrateRunScoreId": "run-20260913-165336|effortless-entity-framework",
    "Run": "run-20260913-165336",
    "Substrate": "effortless-entity-framework",
    "HarnessError": "",
    "DurationSeconds": 5.8,
    "CellsTested": 59878,
    "CellsPassed": 59764,
    "CalculatedTested": 42928,
    "CalculatedPassed": 42817,
    "LookupTested": 12929,
    "LookupPassed": 12926,
    "AggregationTested": 4021,
    "AggregationPassed": 4021,
    "SemanticTypeIri": "urn:effortless:pko-extension#SubstrateRunScore",
    "Name": "run-20260913-165336 / effortless-entity-framework",
    "CellsFailed": 114,
    "Score": 99.81,
    "CalculatedScore": 99.74,
    "LookupScore": 99.98,
    "AggregationScore": 100.0,
    "IsPerfect": false,
    "PerfectRunKey": null,
    "IsInLatestRun": true,
    "LatestCellsTested": 59878,
    "LatestCellsPassed": 59764,
    "LatestErrorFlag": 0,
    "SubstrateLabel": "C# / Entity Framework"
   },
   {
    "SubstrateRunScoreId": "run-20260913-165336|effortless-golang",
    "Run": "run-20260913-165336",
    "Substrate": "effortless-golang",
    "HarnessError": "",
    "DurationSeconds": 3.3,
    "CellsTested": 59878,
    "CellsPassed": 59764,
    "CalculatedTested": 42928,
    "CalculatedPassed": 42817,
    "LookupTested": 12929,
    "LookupPassed": 12926,
    "AggregationTested": 4021,
    "AggregationPassed": 4021,
    "SemanticTypeIri": "urn:effortless:pko-extension#SubstrateRunScore",
    "Name": "run-20260913-165336 / effortless-golang",
    "CellsFailed": 114,
    "Score": 99.81,
    "CalculatedScore": 99.74,
    "LookupScore": 99.98,
    "AggregationScore": 100.0,
    "IsPerfect": false,
    "PerfectRunKey": null,
    "IsInLatestRun": true,
    "LatestCellsTested": 59878,
    "LatestCellsPassed": 59764,
    "LatestErrorFlag": 0,
    "SubstrateLabel": "Go"
   },
   {
    "SubstrateRunScoreId": "run-20260913-165336|effortless-owl",
    "Run": "run-20260913-165336",
    "Substrate": "effortless-owl",
    "HarnessError": "",
    "DurationSeconds": 79.7,
    "CellsTested": 59878,
    "CellsPassed": 59587,
    "CalculatedTested": 42928,
    "CalculatedPassed": 42704,
    "LookupTested": 12929,
    "LookupPassed": 12922,
    "AggregationTested": 4021,
    "AggregationPassed": 3961,
    "SemanticTypeIri": "urn:effortless:pko-extension#SubstrateRunScore",
    "Name": "run-20260913-165336 / effortless-owl",
    "CellsFailed": 291,
    "Score": 99.51,
    "CalculatedScore": 99.48,
    "LookupScore": 99.95,
    "AggregationScore": 98.51,
    "IsPerfect": false,
    "PerfectRunKey": null,
    "IsInLatestRun": true,
    "LatestCellsTested": 59878,
    "LatestCellsPassed": 59587,
    "LatestErrorFlag": 0,
    "SubstrateLabel": "OWL / SHACL"
   },
   {
    "SubstrateRunScoreId": "run-20260913-165336|effortless-python",
    "Run": "run-20260913-165336",
    "Substrate": "effortless-python",
    "HarnessError": "",
    "DurationSeconds": 0.9,
    "CellsTested": 59878,
    "CellsPassed": 59764,
    "CalculatedTested": 42928,
    "CalculatedPassed": 42817,
    "LookupTested": 12929,
    "LookupPassed": 12926,
    "AggregationTested": 4021,
    "AggregationPassed": 4021,
    "SemanticTypeIri": "urn:effortless:pko-extension#SubstrateRunScore",
    "Name": "run-20260913-165336 / effortless-python",
    "CellsFailed": 114,
    "Score": 99.81,
    "CalculatedScore": 99.74,
    "LookupScore": 99.98,
    "AggregationScore": 100.0,
    "IsPerfect": false,
    "PerfectRunKey": null,
    "IsInLatestRun": true,
    "LatestCellsTested": 59878,
    "LatestCellsPassed": 59764,
    "LatestErrorFlag": 0,
    "SubstrateLabel": "Python"
   },
   {
    "SubstrateRunScoreId": "run-20260913-165336|effortless-typescript",
    "Run": "run-20260913-165336",
    "Substrate": "effortless-typescript",
    "HarnessError": "",
    "DurationSeconds": 1.9,
    "CellsTested": 59878,
    "CellsPassed": 59764,
    "CalculatedTested": 42928,
    "CalculatedPassed": 42817,
    "LookupTested": 12929,
    "LookupPassed": 12926,
    "AggregationTested": 4021,
    "AggregationPassed": 4021,
    "SemanticTypeIri": "urn:effortless:pko-extension#SubstrateRunScore",
    "Name": "run-20260913-165336 / effortless-typescript",
    "CellsFailed": 114,
    "Score": 99.81,
    "CalculatedScore": 99.74,
    "LookupScore": 99.98,
    "AggregationScore": 100.0,
    "IsPerfect": false,
    "PerfectRunKey": null,
    "IsInLatestRun": true,
    "LatestCellsTested": 59878,
    "LatestCellsPassed": 59764,
    "LatestErrorFlag": 0,
    "SubstrateLabel": "TypeScript"
   }
  ]
 },
 "TableConformance": {
  "Description": "Latest run only: how one substrate did on one table. The grid of these rows is the substrate-by-table heatmap.",
  "important": true,
  "schema": [
   {
    "name": "TableConformanceId",
    "datatype": "string",
    "type": "raw",
    "nullable": false,
    "Description": "Stored logical identifier: '&lt;substrate&gt;|&lt;Table&gt;'."
   },
   {
    "name": "Name",
    "datatype": "string",
    "type": "calculated",
    "nullable": true,
    "Description": "Human-readable calculated display alias.",
    "formula": "=CONCAT({{Substrate}}, \" / \", {{RulebookTable}})"
   },
   {
    "name": "Run",
    "datatype": "string",
    "type": "relationship",
    "nullable": true,
    "Description": "The run this row describes.",
    "RelatedTo": "ConformanceRuns"
   },
   {
    "name": "Substrate",
    "datatype": "string",
    "type": "relationship",
    "nullable": true,
    "Description": "The substrate graded.",
    "RelatedTo": "ConformanceSubstrates"
   },
   {
    "name": "RulebookTable",
    "datatype": "string",
    "type": "relationship",
    "nullable": true,
    "Description": "The table graded.",
    "RelatedTo": "RulebookTables"
   },
   {
    "name": "RecordCount",
    "datatype": "number",
    "type": "raw",
    "nullable": true,
    "Description": "Rows in the answer key for this table."
   },
   {
    "name": "DerivedFieldCount",
    "datatype": "number",
    "type": "raw",
    "nullable": true,
    "Description": "Derived fields graded on this table."
   },
   {
    "name": "CellsTested",
    "datatype": "number",
    "type": "raw",
    "nullable": true,
    "Description": "RecordCount x DerivedFieldCount."
   },
   {
    "name": "CellsPassed",
    "datatype": "number",
    "type": "raw",
    "nullable": true,
    "Description": "Cells matching the answer key."
   },
   {
    "name": "IsMissingAnswerFile",
    "datatype": "boolean",
    "type": "raw",
    "nullable": true,
    "Description": "True when the substrate produced no answers for this table at all; every cell then counts as failed."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"IsPerfect",
    "datatype": "boolean",
    "type": "calculated",
    "nullable": true,
    "Description": "True when every cell matched.",
    "formula": "={{CellsFailed}} = 0"
   },
   {
    "name": "ImperfectSubstrateKey",
    "datatype": "string",
    "type": "calculated",
    "nullable": true,
    "Description": "The substrate id when this table is imperfect, else blank.",
    "formula": "=IF({{IsPerfect}}, \"\", {{Substrate}})"
   },
   {
    "name": "ImperfectTableKey",
    "datatype": "string",
    "type": "calculated",
    "nullable": true,
    "Description": "The table id when this table is imperfect, else blank.",
    "formula": "=IF({{IsPerfect}}, \"\", {{RulebookTable}})"
   },
   {
    "name": "DisagreeingFieldCount",
    "datatype": "number",
    "type": "aggregation",
    "nullable": true,
    "Description": "Fields on this table the substrate got at least one cell wrong.",
    "formula": "=COUNTIFS(FieldDisagreements!{{TableConformance}}, {{TableConformanceId}})"
   },
   {
    "name": "SubstrateLabel",
    "datatype": "string",
    "type": "lookup",
    "nullable": true,
    "Description": "The substrate's short label.",
    "formula": "=INDEX(ConformanceSubstrates!{{Label}}, MATCH({{Substrate}}, ConformanceSubstrates!{{ConformanceSubstrateId}}, 0))"
   },
   {
    "name": "SubjectArea",
    "datatype": "string",
    "type": "lookup",
    "nullable": true,
    "Description": "The table's subject area.",
    "formula": "=INDEX(RulebookTables!{{SubjectArea}}, MATCH({{RulebookTable}}, RulebookTables!{{RulebookTableId}}, 0))"
   },
   {
    "name": "SemanticTypeIri",
    "datatype": "string",
    "type": "raw",
    "nullable": true,
    "Description": "Semantic type IRI."
   }
  ],
  "data": [
   {
    "TableConformanceId": "effortless-postgres|RulebookReleases",
    "Run": "run-20260913-165336",
    "Substrate": "effortless-postgres",
    "RulebookTable": "RulebookReleases",
    "RecordCount": 1,
    "DerivedFieldCount": 1,
    "CellsTested": 1,
    "CellsPassed": 1,
    "IsMissingAnswerFile": false,
    "SemanticTypeIri": "urn:effortless:pko-extension#TableConformance",
    "Name": "effortless-postgres / RulebookReleases",
    "CellsFailed": 0,
    "Score": 100.0,
    "IsPerfect": true,
    "ImperfectSubstrateKey": null,
    "ImperfectTableKey": null,
    "DisagreeingFieldCount": 0,
    "SubstrateLabel": "PostgreSQL",
    "SubjectArea": "meta"
   },
   {
    "TableConformanceId": "effortless-postgres|OntologyProfiles",
    "Run": "run-20260913-165336",
    "Substrate": "effortless-postgres",
    "RulebookTable": "OntologyProfiles",
    "RecordCount": 11,
    "DerivedFieldCount": 1,
    "CellsTested": 11,
    "CellsPassed": 11,
    "IsMissingAnswerFile": false,
    "SemanticTypeIri": "urn:effortless:pko-extension#TableConformance",
    "Name": "effortless-postgres / OntologyProfiles",
    "CellsFailed": 0,
    "Score": 100.0,
    "IsPerfect": true,
    "ImperfectSubstrateKey": null,
    "ImperfectTableKey": null,
    "DisagreeingFieldCount": 0,
    "SubstrateLabel": "PostgreSQL",
    "SubjectArea": "domain"
   },
   {
    "TableConformanceId": "effortless-postgres|EvaluationContexts",
    "Run": "run-20260913-165336",
    "Substrate": "effortless-postgres",
    "RulebookTable": "EvaluationContexts",
    "RecordCount": 1,
    "DerivedFieldCount": 1,
    "CellsTested": 1,
    "CellsPassed": 0,
    "IsMissingAnswerFile": false,
    "SemanticTypeIri": "urn:effortless:pko-extension#TableConformance",
    "Name": "effortless-postgres / EvaluationContexts",
    "CellsFailed": 1,
    "Score": 0.0,
    "IsPerfect": false,
    "ImperfectSubstrateKey": "effortless-postgres",
    "ImperfectTableKey": "EvaluationContexts",
    "DisagreeingFieldCount": 1,
    "SubstrateLabel": "PostgreSQL",
    "SubjectArea": "meta"
   },
   {
    "TableConformanceId": "effortless-postgres|Organizations",
    "Run": "run-20260913-165336",
    "Substrate": "effortless-postgres",
    "RulebookTable": "Organizations",
    "RecordCount": 4,
    "DerivedFieldCount": 1,
    "CellsTested": 4,
    "CellsPassed": 4,
    "IsMissingAnswerFile": false,
    "SemanticTypeIri": "urn:effortless:pko-extension#TableConformance",
    "Name": "effortless-postgres / Organizations",
    "CellsFailed": 0,
    "Score": 100.0,
    "IsPerfect": true,
    "ImperfectSubstrateKey": null,
    "ImperfectTableKey": null,
    "DisagreeingFieldCount": 0,
    "SubstrateLabel": "PostgreSQL",
    "SubjectArea": "org"
   },
   {
    "TableConformanceId": "effortless-postgres|Agents",
    "Run": "run-20260913-165336",
    "Substrate": "effortless-postgres",
    "RulebookTable": "Agents",
    "RecordCount": 11,
    "DerivedFieldCount": 16,
    "CellsTested": 176,
    "CellsPassed": 176,
    "IsMissingAnswerFile": false,
    "SemanticTypeIri": "urn:effortless:pko-extension#TableConformance",
    "Name": "effortless-postgres / Agents",
    "CellsFailed": 0,
    "Score": 100.0,
    "IsPerfect": true,
    "ImperfectSubstrateKey": null,
    "ImperfectTableKey": null,
    "DisagreeingFieldCount": 0,
    "SubstrateLabel": "PostgreSQL",
    "SubjectArea": "org"
   },
   {
    "TableConformanceId": "effortless-postgres|Roles",
    "Run": "run-20260913-165336",
    "Substrate": "effortless-postgres",
    "RulebookTable": "Roles",
    "RecordCount": 12,
    "DerivedFieldCount": 17,
    "CellsTested": 204,
    "CellsPassed": 204,
    "IsMissingAnswerFile": false,
    "SemanticTypeIri": "urn:effortless:pko-extension#TableConformance",
    "Name": "effortless-postgres / Roles",
    "CellsFailed": 0,
    "Score": 100.0,
    "IsPerfect": true,
    "ImperfectSubstrateKey": null,
    "ImperfectTableKey": null,
    "DisagreeingFieldCount": 0,
    "SubstrateLabel": "PostgreSQL",
    "SubjectArea": "org"
   },
   {
    "TableConformanceId": "effortless-postgres|RoleAssignments",
    "Run": "run-20260913-165336",
    "Substrate": "effortless-postgres",
    "RulebookTable": "RoleAssignments",
    "RecordCount": 13,
    "DerivedFieldCount": 47,
    "CellsTested": 611,
    "CellsPassed": 584,
    "IsMissingAnswerFile": false,
    "SemanticTypeIri": "urn:effortless:pko-extension#TableConformance",
    "Name": "effortless-postgres / RoleAssignments",
    "CellsFailed": 27,
    "Score": 95.58,
    "IsPerfect": false,
    "ImperfectSubstrateKey": "effortless-postgres",
    "ImperfectTableKey": "RoleAssignments",
    "DisagreeingFieldCount": 3,
    "SubstrateLabel": "PostgreSQL",
    "SubjectArea": "org"
   },
   {
    "TableConformanceId": "effortless-postgres|CommunitiesOfPractice",
    "Run": "run-20260913-165336",
    "Substrate": "effortless-postgres",
    "RulebookTable": "CommunitiesOfPractice",
    "RecordCount": 2,
    "DerivedFieldCount": 1,
    "CellsTested": 2,
    "CellsPassed": 2,
    "IsMissingAnswerFile": false,
    "SemanticTypeIri": "urn:effortless:pko-extension#TableConformance",
    "Name": "effortless-postgres / CommunitiesOfPractice",
    "CellsFailed": 0,
    "Score": 100.0,
    "IsPerfect": true,
    "ImperfectSubstrateKey": null,
    "ImperfectTableKey": null,
    "DisagreeingFieldCount": 0,
    "SubstrateLabel": "PostgreSQL",
    "SubjectArea": "org"
   },
   {
    "TableConformanceId": "effortless-postgres|Mentorships",
    "Run": "run-20260913-165336",
    "Substrate": "effortless-postgres",
    "RulebookTable": "Mentorships",
    "RecordCount": 1,
    "DerivedFieldCount": 1,
    "CellsTested": 1,
    "CellsPassed": 1,
    "IsMissingAnswerFile": false,
    "SemanticTypeIri": "urn:effortless:pko-extension#TableConformance",
    "Name": "effortless-postgres / Mentorships",
    "CellsFailed": 0,
    "Score": 100.0,
    "IsPerfect": true,
    "ImperfectSubstrateKey": null,
    "ImperfectTableKey": null,
    "DisagreeingFieldCount": 0,
    "SubstrateLabel": "PostgreSQL",
    "SubjectArea": "org"
   },
   {
    "TableConformanceId": "effortless-postgres|ProcedureTypes",
    "Run": "run-20260913-165336",
    "Substrate": "effortless-postgres",
    "RulebookTable": "ProcedureTypes",
    "RecordCount": 2,
    "DerivedFieldCount": 1,
    "CellsTested": 2,
    "CellsPassed": 2,
    "IsMissingAnswerFile": false,
    "SemanticTypeIri": "urn:effortless:pko-extension#TableConformance",
    "Name": "effortless-postgres / ProcedureTypes",
    "CellsFailed": 0,
    "Score": 100.0,
    "IsPerfect": true,
    "ImperfectSubstrateKey": null,
    "ImperfectTableKey": null,
    "DisagreeingFieldCount": 0,
    "SubstrateLabel": "PostgreSQL",
    "SubjectArea": "specification"
   },
   {
    "TableConformanceId": "effortless-postgres|Procedures",
    "Run": "run-20260913-165336",
    "Substrate": "effortless-postgres",
    "RulebookTable": "Procedures",
    "RecordCount": 2,
    "DerivedFieldCount": 1,
    "CellsTested": 2,
    "CellsPassed": 2,
    "IsMissingAnswerFile": false,
    "SemanticTypeIri": "urn:effortless:pko-extension#TableConformance",
    "Name": "effortless-postgres / Procedures",
    "CellsFailed": 0,
    "Score": 100.0,
    "IsPerfect": true,
    "ImperfectSubstrateKey": null,
    "ImperfectTableKey": null</t>
  </si>
  <si>
    <t xml:space="preserve">,
    "DisagreeingFieldCount": 0,
    "SubstrateLabel": "PostgreSQL",
    "SubjectArea": "specification"
   },
   {
    "TableConformanceId": "effortless-postgres|ProcedureVersions",
    "Run": "run-20260913-165336",
    "Substrate": "effortless-postgres",
    "RulebookTable": "ProcedureVersions",
    "RecordCount": 3,
    "DerivedFieldCount": 72,
    "CellsTested": 216,
    "CellsPassed": 209,
    "IsMissingAnswerFile": false,
    "SemanticTypeIri": "urn:effortless:pko-extension#TableConformance",
    "Name": "effortless-postgres / ProcedureVersions",
    "CellsFailed": 7,
    "Score": 96.76,
    "IsPerfect": false,
    "ImperfectSubstrateKey": "effortless-postgres",
    "ImperfectTableKey": "ProcedureVersions",
    "DisagreeingFieldCount": 3,
    "SubstrateLabel": "PostgreSQL",
    "SubjectArea": "specification"
   },
   {
    "TableConformanceId": "effortless-postgres|ProcedureVersionLinks",
    "Run": "run-20260913-165336",
    "Substrate": "effortless-postgres",
    "RulebookTable": "ProcedureVersionLinks",
    "RecordCount": 1,
    "DerivedFieldCount": 2,
    "CellsTested": 2,
    "CellsPassed": 2,
    "IsMissingAnswerFile": false,
    "SemanticTypeIri": "urn:effortless:pko-extension#TableConformance",
    "Name": "effortless-postgres / ProcedureVersionLinks",
    "CellsFailed": 0,
    "Score": 100.0,
    "IsPerfect": true,
    "ImperfectSubstrateKey": null,
    "ImperfectTableKey": null,
    "DisagreeingFieldCount": 0,
    "SubstrateLabel": "PostgreSQL",
    "SubjectArea": "specification"
   },
   {
    "TableConformanceId": "effortless-postgres|ProcedureStatusChanges",
    "Run": "run-20260913-165336",
    "Substrate": "effortless-postgres",
    "RulebookTable": "ProcedureStatusChanges",
    "RecordCount": 5,
    "DerivedFieldCount": 1,
    "CellsTested": 5,
    "CellsPassed": 5,
    "IsMissingAnswerFile": false,
    "SemanticTypeIri": "urn:effortless:pko-extension#TableConformance",
    "Name": "effortless-postgres / ProcedureStatusChanges",
    "CellsFailed": 0,
    "Score": 100.0,
    "IsPerfect": true,
    "ImperfectSubstrateKey": null,
    "ImperfectTableKey": null,
    "DisagreeingFieldCount": 0,
    "SubstrateLabel": "PostgreSQL",
    "SubjectArea": "specification"
   },
   {
    "TableConformanceId": "effortless-postgres|Steps",
    "Run": "run-20260913-165336",
    "Substrate": "effortless-postgres",
    "RulebookTable": "Steps",
    "RecordCount": 17,
    "DerivedFieldCount": 30,
    "CellsTested": 510,
    "CellsPassed": 510,
    "IsMissingAnswerFile": false,
    "SemanticTypeIri": "urn:effortless:pko-extension#TableConformance",
    "Name": "effortless-postgres / Steps",
    "CellsFailed": 0,
    "Score": 100.0,
    "IsPerfect": true,
    "ImperfectSubstrateKey": null,
    "ImperfectTableKey": null,
    "DisagreeingFieldCount": 0,
    "SubstrateLabel": "PostgreSQL",
    "SubjectArea": "specification"
   },
   {
    "TableConformanceId": "effortless-postgres|StepTransitions",
    "Run": "run-20260913-165336",
    "Substrate": "effortless-postgres",
    "RulebookTable": "StepTransitions",
    "RecordCount": 19,
    "DerivedFieldCount": 15,
    "CellsTested": 285,
    "CellsPassed": 285,
    "IsMissingAnswerFile": false,
    "SemanticTypeIri": "urn:effortless:pko-extension#TableConformance",
    "Name": "effortless-postgres / StepTransitions",
    "CellsFailed": 0,
    "Score": 100.0,
    "IsPerfect": true,
    "ImperfectSubstrateKey": null,
    "ImperfectTableKey": null,
    "DisagreeingFieldCount": 0,
    "SubstrateLabel": "PostgreSQL",
    "SubjectArea": "specification"
   },
   {
    "TableConformanceId": "effortless-postgres|Actions",
    "Run": "run-20260913-165336",
    "Substrate": "effortless-postgres",
    "RulebookTable": "Actions",
    "RecordCount": 9,
    "DerivedFieldCount": 1,
    "CellsTested": 9,
    "CellsPassed": 9,
    "IsMissingAnswerFile": false,
    "SemanticTypeIri": "urn:effortless:pko-extension#TableConformance",
    "Name": "effortless-postgres / Actions",
    "CellsFailed": 0,
    "Score": 100.0,
    "IsPerfect": true,
    "ImperfectSubstrateKey": null,
    "ImperfectTableKey": null,
    "DisagreeingFieldCount": 0,
    "SubstrateLabel": "PostgreSQL",
    "SubjectArea": "specification"
   },
   {
    "TableConformanceId": "effortless-postgres|Functions",
    "Run": "run-20260913-165336",
    "Substrate": "effortless-postgres",
    "RulebookTable": "Functions",
    "RecordCount": 8,
    "DerivedFieldCount": 1,
    "CellsTested": 8,
    "CellsPassed": 8,
    "IsMissingAnswerFile": false,
    "SemanticTypeIri": "urn:effortless:pko-extension#TableConformance",
    "Name": "effortless-postgres / Functions",
    "CellsFailed": 0,
    "Score": 100.0,
    "IsPerfect": true,
    "ImperfectSubstrateKey": null,
    "ImperfectTableKey": null,
    "DisagreeingFieldCount": 0,
    "SubstrateLabel": "PostgreSQL",
    "SubjectArea": "specification"
   },
   {
    "TableConformanceId": "effortless-postgres|Tools",
    "Run": "run-20260913-165336",
    "Substrate": "effortless-postgres",
    "RulebookTable": "Tools",
    "RecordCount": 8,
    "DerivedFieldCount": 1,
    "CellsTested": 8,
    "CellsPassed": 8,
    "IsMissingAnswerFile": false,
    "SemanticTypeIri": "urn:effortless:pko-extension#TableConformance",
    "Name": "effortless-postgres / Tools",
    "CellsFailed": 0,
    "Score": 100.0,
    "IsPerfect": true,
    "ImperfectSubstrateKey": null,
    "ImperfectTableKey": null,
    "DisagreeingFieldCount": 0,
    "SubstrateLabel": "PostgreSQL",
    "SubjectArea": "specification"
   },
   {
    "TableConformanceId": "effortless-postgres|StepActions",
    "Run": "run-20260913-165336",
    "Substrate": "effortless-postgres",
    "RulebookTable": "StepActions",
    "RecordCount": 9,
    "DerivedFieldCount": 1,
    "CellsTested": 9,
    "CellsPassed": 9,
    "IsMissingAnswerFile": false,
    "SemanticTypeIri": "urn:effortless:pko-extension#TableConformance",
    "Name": "effortless-postgres / StepActions",
    "CellsFailed": 0,
    "Score": 100.0,
    "IsPerfect": true,
    "ImperfectSubstrateKey": null,
    "ImperfectTableKey": null,
    "DisagreeingFieldCount": 0,
    "SubstrateLabel": "PostgreSQL",
    "SubjectArea": "specification"
   },
   {
    "TableConformanceId": "effortless-postgres|StepFunctions",
    "Run": "run-20260913-165336",
    "Substrate": "effortless-postgres",
    "RulebookTable": "StepFunctions",
    "RecordCount": 8,
    "DerivedFieldCount": 1,
    "CellsTested": 8,
    "CellsPassed": 8,
    "IsMissingAnswerFile": false,
    "SemanticTypeIri": "urn:effortless:pko-extension#TableConformance",
    "Name": "effortless-postgres / StepFunctions",
    "CellsFailed": 0,
    "Score": 100.0,
    "IsPerfect": true,
    "ImperfectSubstrateKey": null,
    "ImperfectTableKey": null,
    "DisagreeingFieldCount": 0,
    "SubstrateLabel": "PostgreSQL",
    "SubjectArea": "specification"
   },
   {
    "TableConformanceId": "effortless-postgres|StepTools",
    "Run": "run-20260913-165336",
    "Substrate": "effortless-postgres",
    "RulebookTable": "StepTools",
    "RecordCount": 10,
    "DerivedFieldCount": 1,
    "CellsTested": 10,
    "CellsPassed": 10,
    "IsMissingAnswerFile": false,
    "SemanticTypeIri": "urn:effortless:pko-extension#TableConformance",
    "Name": "effortless-postgres / StepTools",
    "CellsFailed": 0,
    "Score": 100.0,
    "IsPerfect": true,
    "ImperfectSubstrateKey": null,
    "ImperfectTableKey": null,
    "DisagreeingFieldCount": 0,
    "SubstrateLabel": "PostgreSQL",
    "SubjectArea": "specification"
   },
   {
    "TableConformanceId": "effortless-postgres|Requirements",
    "Run": "run-20260913-165336",
    "Substrate": "effortless-postgres",
    "RulebookTable": "Requirements",
    "RecordCount": 13,
    "DerivedFieldCount": 31,
    "CellsTested": 403,
    "CellsPassed": 400,
    "IsMissingAnswerFile": false,
    "SemanticTypeIri": "urn:effortless:pko-extension#TableConformance",
    "Name": "effortless-postgres / Requirements",
    "CellsFailed": 3,
    "Score": 99.26,
    "IsPerfect": false,
    "ImperfectSubstrateKey": "effortless-postgres",
    "ImperfectTableKey": "Requirements",
    "DisagreeingFieldCount": 1,
    "SubstrateLabel": "PostgreSQL",
    "SubjectArea": "governance"
   },
   {
    "TableConformanceId": "effortless-postgres|StepRequirements",
    "Run": "run-20260913-165336",
    "Substrate": "effortless-postgres",
    "RulebookTable": "StepRequirements",
    "RecordCount": 15,
    "DerivedFieldCount": 10,
    "CellsTested": 150,
    "CellsPassed": 150,
    "IsMissingAnswerFile": false,
    "SemanticTypeIri": "urn:effortless:pko-extension#TableConformance",
    "Name": "effortless-postgres / StepRequirements",
    "CellsFailed": 0,
    "Score": 100.0,
    "IsPerfect": true,
    "ImperfectSubstrateKey": null,
    "ImperfectTableKey": null,
    "DisagreeingFieldCount": 0,
    "SubstrateLabel": "PostgreSQL",
    "SubjectArea": "specification"
   },
   {
    "TableConformanceId": "effortless-postgres|StepVerifications",
    "Run": "run-20260913-165336",
    "Substrate": "effortless-postgres",
    "RulebookTable": "StepVerifications",
    "RecordCount": 11,
    "DerivedFieldCount": 1,
    "CellsTested": 11,
    "CellsPassed": 11,
    "IsMissingAnswerFile": false,
    "SemanticTypeIri": "urn:effortless:pko-extension#TableConformance",
    "Name": "effortless-postgres / StepVerifications",
    "CellsFailed": 0,
    "Score": 100.0,
    "IsPerfect": true,
    "ImperfectSubstrateKey": null,
    "ImperfectTableKey": null,
    "DisagreeingFieldCount": 0,
    "SubstrateLabel": "PostgreSQL",
    "SubjectArea": "specification"
   },
   {
    "TableConformanceId": "effortless-postgres|Rationales",
    "Run": "run-20260913-165336",
    "Substrate": "effortless-postgres",
    "RulebookTable": "Rationales",
    "RecordCount": 4,
    "DerivedFieldCount": 1,
    "CellsTested": 4,
    "CellsPassed": 4,
    "IsMissingAnswerFile": false,
    "SemanticTypeIri": "urn:effortless:pko-extension#TableConformance",
    "Name": "effortless-postgres / Rationales",
    "CellsFailed": 0,
    "Score": 100.0,
    "IsPerfect": true,
    "ImperfectSubstrateKey": null,
    "ImperfectTableKey": null,
    "DisagreeingFieldCount": 0,
    "SubstrateLabel": "PostgreSQL",
    "SubjectArea": "governance"
   },
   {
    "TableConformanceId": "effortless-postgres|Exceptions",
    "Run": "run-20260913-165336",
    "Substrate": "effortless-postgres",
    "RulebookTable": "Exceptions",
    "RecordCount": 4,
    "DerivedFieldCount": 2,
    "CellsTested": 8,
    "CellsPassed": 8,
    "IsMissingAnswerFile": false,
    "SemanticTypeIri": "urn:effortless:pko-extension#TableConformance",
    "Name": "effortless-postgres / Exceptions",
    "CellsFailed": 0,
    "Score": 100.0,
    "IsPerfect": true,
    "ImperfectSubstrateKey": null,
    "ImperfectTableKey": null,
    "DisagreeingFieldCount": 0,
    "SubstrateLabel": "PostgreSQL",
    "SubjectArea": "governance"
   },
   {
    "TableConformanceId": "effortless-postgres|Resources",
    "Run": "run-20260913-165336",
    "Substrate": "effortless-postgres",
    "RulebookTable": "Resources",
    "RecordCount": 8,
    "DerivedFieldCount": 2,
    "CellsTested": 16,
    "CellsPassed": 16,
    "IsMissingAnswerFile": false,
    "SemanticTypeIri": "urn:effortless:pko-extension#TableConformance",
    "Name": "effortless-postgres / Resources",
    "CellsFailed": 0,
    "Score": 100.0,
    "IsPerfect": true,
    "ImperfectSubstrateKey": null,
    "ImperfectTableKey": null,
    "DisagreeingFieldCount": 0,
    "SubstrateLabel": "PostgreSQL",
    "SubjectArea": "domain"
   },
   {
    "TableConformanceId": "effortless-postgres|ProcedureResources",
    "Run": "run-20260913-165336",
    "Substrate": "effortless-postgres",
    "RulebookTable": "ProcedureResources",
    "RecordCount": 8,
    "DerivedFieldCount": 2,
    "CellsTested": 16,
    "CellsPassed": 16,
    "IsMissingAnswerFile": false,
    "SemanticTypeIri": "urn:effortless:pko-extension#TableConformance",
    "Name": "effortless-postgres / ProcedureResources",
    "CellsFailed": 0,
    "Score": 100.0,
    "IsPerfect": true,
    "ImperfectSubstrateKey": null,
    "ImperfectTableKey": null,
    "DisagreeingFieldCount": 0,
    "SubstrateLabel": "PostgreSQL",
    "SubjectArea": "specification"
   },
   {
    "TableConformanceId": "effortless-postgres|ElicitationSessions",
    "Run": "run-20260913-165336",
    "Substrate": "effortless-postgres",
    "RulebookTable": "ElicitationSessions",
    "RecordCount": 3,
    "DerivedFieldCount": 10,
    "CellsTested": 30,
    "CellsPassed": 25,
    "IsMissingAnswerFile": false,
    "SemanticTypeIri": "urn:effortless:pko-extension#TableConformance",
    "Name": "effortless-postgres / ElicitationSessions",
    "CellsFailed": 5,
    "Score": 83.33,
    "IsPerfect": false,
    "ImperfectSubstrateKey": "effortless-postgres",
    "ImperfectTableKey": "ElicitationSessions",
    "DisagreeingFieldCount": 2,
    "SubstrateLabel": "PostgreSQL",
    "SubjectArea": "knowledge"
   },
   {
    "TableConformanceId": "effortless-postgres|KnowledgeFragments",
    "Run": "run-20260913-165336",
    "Substrate": "effortless-postgres",
    "RulebookTable": "KnowledgeFragments",
    "RecordCount": 7,
    "DerivedFieldCount": 65,
    "CellsTested": 455,
    "CellsPassed": 445,
    "IsMissingAnswerFile": false,
    "SemanticTypeIri": "urn:effortless:pko-extension#TableConformance",
    "Name": "effortless-postgres / KnowledgeFragments",
    "CellsFailed": 10,
    "Score": 97.8,
    "IsPerfect": false,
    "ImperfectSubstrateKey": "effortless-postgres",
    "ImperfectTableKey": "KnowledgeFragments",
    "DisagreeingFieldCount": 4,
    "SubstrateLabel": "PostgreSQL",
    "SubjectArea": "knowledge"
   },
   {
    "TableConformanceId": "effortless-postgres|KnowledgeGaps",
    "Run": "run-20260913-165336",
    "Substrate": "effortless-postgres",
    "RulebookTable": "KnowledgeGaps",
    "RecordCount": 8,
    "DerivedFieldCount": 16,
    "CellsTested": 128,
    "CellsPassed": 127,
    "IsMissingAnswerFile": false,
    "SemanticTypeIri": "urn:effortless:pko-extension#TableConformance",
    "Name": "effortless-postgres / KnowledgeGaps",
    "CellsFailed": 1,
    "Score": 99.22,
    "IsPerfect": false,
    "ImperfectSubstrateKey": "effortless-postgres",
    "ImperfectTableKey": "KnowledgeGaps",
    "DisagreeingFieldCount": 1,
    "SubstrateLabel": "PostgreSQL",
    "SubjectArea": "knowledge"
   },
   {
    "TableConformanceId": "effortless-postgres|FAQs",
    "Run": "run-20260913-165336",
    "Substrate": "effortless-postgres",
    "RulebookTable": "FAQs",
    "RecordCount": 3,
    "DerivedFieldCount": 1,
    "CellsTested": 3,
    "CellsPassed": 3,
    "IsMissingAnswerFile": false,
    "SemanticTypeIri": "urn:effortless:pko-extension#TableConformance",
    "Name": "effortless-postgres / FAQs",
    "CellsFailed": 0,
    "Score": 100.0,
    "IsPerfect": true,
    "ImperfectSubstrateKey": null,
    "ImperfectTableKey": null,
    "DisagreeingFieldCount": 0,
    "SubstrateLabel": "PostgreSQL",
    "SubjectArea": "knowledge"
   },
   {
    "TableConformanceId": "effortless-postgres|Explanations",
    "Run": "run-20260913-165336",
    "Substrate": "effortless-postgres",
    "RulebookTable": "Explanations",
    "RecordCount": 2,
    "DerivedFieldCount": 1,
    "CellsTested": 2,
    "CellsPassed": 2,
    "IsMissingAnswerFile": false,
    "SemanticTypeIri": "urn:effortless:pko-extension#TableConformance",
    "Name": "effortless-postgres / Explanations",
    "CellsFailed": 0,
    "Score": 100.0,
    "IsPerfect": true,
    "ImperfectSubstrateKey": null,
    "ImperfectTableKey": null,
    "DisagreeingFieldCount": 0,
    "SubstrateLabel": "PostgreSQL",
    "SubjectArea": "knowledge"
   },
   {
    "TableConformanceId": "effortless-postgres|ProcedureExecutions",
    "Run": "run-20260913-165336",
    "Substrate": "effortless-postgres",
    "RulebookTable": "ProcedureExecutions",
    "RecordCount": 2,
    "DerivedFieldCount": 69,
    "CellsTested": 138,
    "CellsPassed": 137,
    "IsMissingAnswerFile": false,
    "SemanticTypeIri": "urn:effortless:pko-extension#TableConformance",
    "Name": "effortless-postgres / ProcedureExecutions",
    "CellsFailed": 1,
    "Score": 99.28,
    "IsPerfect": false,
    "ImperfectSubstrateKey": "effortless-postgres",
    "ImperfectTableKey": "ProcedureExecutions",
    "DisagreeingFieldCount": 1,
    "SubstrateLabel": "PostgreSQL",
    "SubjectArea": "specification"
   },
   {
    "TableConformanceId": "effortless-postgres|StepExecutions",
    "Run": "run-20260913-165336",
    "Substrate": "effortless-postgres",
    "RulebookTable": "StepExecutions",
    "RecordCount": 12,
    "DerivedFieldCount": 99,
    "CellsTested": 1188,
    "CellsPassed": 1188,
    "IsMissingAnswerFile": false,
    "SemanticTypeIri": "urn:effortless:pko-extension#TableConformance",
    "Name": "effortless-postgres / StepExecutions",
    "CellsFailed": 0,
    "Score": 100.0,
    "IsPerfect": true,
    "ImperfectSubstrateKey": null,
    "ImperfectTableKey": null,
    "DisagreeingFieldCount": 0,
    "SubstrateLabel": "PostgreSQL",
    "SubjectArea": "specification"
   },
   {
    "TableConformanceId": "effortless-postgres|RequirementSatisfactions",
    "Run": "run-20260913-165336",
    "Substrate": "effortless-postgres",
    "RulebookTable": "RequirementSatisfactions",
    "RecordCount": 8,
    "DerivedFieldCount": 38,
    "CellsTested": 304,
    "CellsPassed": 304,
    "IsMissingAnswerFile": false,
    "SemanticTypeIri": "urn:effortless:pko-extension#TableConformance",
    "Name": "effortless-postgres / RequirementSatisfactions",
    "CellsFailed": 0,
    "Score": 100.0,
    "IsPerfect": true,
    "ImperfectSubstrateKey": null,
    "ImperfectTableKey": null,
    "DisagreeingFieldCount": 0,
    "SubstrateLabel": "PostgreSQL",
    "SubjectArea": "execution"
   },
   {
    "TableConformanceId": "effortless-postgres|Errors",
    "Run": "run-20260913-165336",
    "Substrate": "effortless-postgres",
    "RulebookTable": "Errors",
    "RecordCount": 2,
    "DerivedFieldCount": 1,
    "CellsTested": 2,
    "CellsPassed": 2,
    "IsMissingAnswerFile": false,
    "SemanticTypeIri": "urn:effortless:pko-extension#TableConformance",
    "Name": "effortless-postgres / Errors",
    "CellsFailed": 0,
    "Score": 100.0,
    "IsPerfect": true,
    "ImperfectSubstrateKey": null,
    "ImperfectTableKey": null,
    "DisagreeingFieldCount": 0,
    "SubstrateLabel": "PostgreSQL",
    "SubjectArea": "execution"
   },
   {
    "TableConformanceId": "effortless-postgres|IssueOccurrences",
    "Run": "run-20260913-165336",
    "Substrate": "effortless-postgres",
    "RulebookTable": "IssueOccurrences",
    "RecordCount": 2,
    "DerivedFieldCount": 3,
    "CellsTested": 6,
    "CellsPassed": 4,
    "IsMissingAnswerFile": false,
    "SemanticTypeIri": "urn:effortless:pko-extension#TableConformance",
    "Name": "effortless-postgres / IssueOccurrences",
    "CellsFailed": 2,
    "Score": 66.67,
    "IsPerfect": false,
    "ImperfectSubstrateKey": "effortless-postgres",
    "ImperfectTableKey": "IssueOccurrences",
    "DisagreeingFieldCount": 1,
    "SubstrateLabel": "PostgreSQL",
    "SubjectArea": "execution"
   },
   {
    "TableConformanceId": "effortless-postgres|UserQuestions",
    "Run": "run-20260913-165336",
    "Substrate": "effortless-postgres",
    "RulebookTable": "UserQuestions",
    "RecordCount": 2,
    "DerivedFieldCount": 1,
    "CellsTested": 2,
    "CellsPassed": 2,
    "IsMissingAnswerFile": false,
    "SemanticTypeIri": "urn:effortless:pko-extension#TableConformance",
    "Name": "effortless-postgres / UserQuestions",
    "CellsFailed": 0,
    "Score": 100.0,
    "IsPerfect": true,
    "ImperfectSubstrateKey": null,
    "ImperfectTableKey": null,
    "DisagreeingFieldCount": 0,
    "SubstrateLabel": "PostgreSQL",
    "SubjectArea": "domain"
   },
   {
    "TableConformanceId": "effortless-postgres|UserFeedback",
    "Run": "run-20260913-165336",
    "Substrate": "effortless-postgres",
    "RulebookTable": "UserFeedback",
    "RecordCount": 2,
    "DerivedFieldCount": 1,
    "CellsTested": 2,
    "CellsPassed": 2,
    "IsMissingAnswerFile": false,
    "SemanticTypeIri": "urn:effortless:pko-extension#TableConformance",
    "Name": "effortless-postgres / UserFeedback",
    "CellsFailed": 0,
    "Score": 100.0,
    "IsPerfect": true,
    "ImperfectSubstrateKey": null,
    "ImperfectTableKey": null,
    "DisagreeingFieldCount": 0,
    "SubstrateLabel": "PostgreSQL",
    "SubjectArea": "domain"
   },
   {
    "TableConformanceId": "effortless-postgres|StewardshipAssignments",
    "Run": "run-20260913-165336",
    "Substrate": "effortless-postgres",
    "RulebookTable": "StewardshipAssignments",
    "RecordCount": 2,
    "DerivedFieldCount": 5,
    "CellsTested": 10,
    "CellsPassed": 10,
    "IsMissingAnswerFile": false,
    "SemanticTypeIri": "urn:effortless:pko-extension#TableConformance",
    "Name": "effortless-postgres / StewardshipAssignments",
    "CellsFailed": 0,
    "Score": 100.0,
    "IsPerfect": true,
    "ImperfectSubstrateKey": null,
    "ImperfectTableKey": null,
    "DisagreeingFieldCount": 0,
    "SubstrateLabel": "PostgreSQL",
    "SubjectArea": "org"
   },
   {
    "TableConformanceId": "effortless-postgres|ChangeRequests",
    "Run": "run-20260913-165336",
    "Substrate": "effortless-postgres",
    "RulebookTable": "ChangeRequests",
    "RecordCount": 2,
    "DerivedFieldCount": 32,
    "CellsTested": 64,
    "CellsPassed": 62,
    "IsMissingAnswerFile": false,
    "SemanticTypeIri": "urn:effortless:pko-extension#TableConformance",
    "Name": "effortless-postgres / ChangeRequests",
    "CellsFailed": 2,
    "Score": 96.88,
    "IsPerfect": false,
    "ImperfectSubstrateKey": "effortless-postgres",
    "ImperfectTableKey": "ChangeRequests",
    "DisagreeingFieldCount": 2,
    "SubstrateLabel": "PostgreSQL",
    "SubjectArea": "domain"
   },
   {
    "TableConformanceId": "effortless-postgres|ReviewEvents",
    "Run": "run-20260913-165336",
    "Substrate": "effortless-postgres",
    "RulebookTable": "ReviewEvents",
    "RecordCount": 3,
    "DerivedFieldCount": 10,
    "CellsTested": 30,
    "CellsPassed": 24,
    "IsMissingAnswerFile": false,
    "SemanticTypeIri": "urn:effortless:pko-extension#TableConformance",
    "Name": "effortless-postgres / ReviewEvents",
    "CellsFailed": 6,
    "Score": 80.0,
    "IsPerfect": false,
    "ImperfectSubstrateKey": "effortless-postgres",
    "ImperfectTableKey": "ReviewEvents",
    "DisagreeingFieldCount": 2,
    "SubstrateLabel": "PostgreSQL",
    "SubjectArea": "domain"
   },
   {
    "TableConformanceId": "effortless-postgres|LearningActivities",
    "Run": "run-20260913-165336",
    "Substrate": "effortless-postgres",
    "RulebookTable": "LearningActivities",
    "RecordCount": 2,
    "DerivedFieldCount": 1,
    "CellsTested": 2,
    "CellsPassed": 0,
    "IsMissingAnswerFile": false,
    "SemanticTypeIri": "urn:effortless:pko-extension#TableConformance",
    "Name": "effortless-postgres / LearningActivities",
    "CellsFailed": 2,
    "Score": 0.0,
    "IsPerfect": false,
    "ImperfectSubstrateKey": "effortless-postgres",
    "ImperfectTableKey": "LearningActivities",
    "DisagreeingFieldCount": 1,
    "SubstrateLabel": "PostgreSQL",
    "SubjectArea": "domain"
   },
   {
    "TableConformanceId": "effortless-postgres|OperationalBindings",
    "Run": "run-20260913-165336",
    "Substrate": "effortless-postgres",
    "RulebookTable": "OperationalBindings",
    "RecordCount": 5,
    "DerivedFieldCount": 11,
    "CellsTested": 55,
    "CellsPassed": 55,
    "IsMissingAnswerFile": false,
    "SemanticTypeIri": "urn:effortless:pko-extension#TableConformance",
    "Name": "effortless-postgres / OperationalBindings",
    "CellsFailed": 0,
    "Score": 100.0,
    "IsPerfect": true,
    "ImperfectSubstrateKey": null,
    "ImperfectTableKey": null,
    "DisagreeingFieldCount": 0,
    "SubstrateLabel": "PostgreSQL",
    "SubjectArea": "domain"
   },
   {
    "TableConformanceId": "effortless-postgres|CommunicationPolicies",
    "Run": "run-20260913-165336",
    "Substrate": "effortless-postgres",
    "RulebookTable": "CommunicationPolicies",
    "RecordCount": 2,
    "DerivedFieldCount": 4,
    "CellsTested": 8,
    "CellsPassed": 8,
    "IsMissingAnswerFile": false,
    "SemanticTypeIri": "urn:effortless:pko-extension#TableConformance",
    "Name": "effortless-postgres / CommunicationPolicies",
    "CellsFailed": 0,
    "Score": 100.0,
    "IsPerfect": true,
    "ImperfectSubstrateKey": null,
    "ImperfectTableKey": null,
    "DisagreeingFieldCount": 0,
    "SubstrateLabel": "PostgreSQL",
    "SubjectArea": "communication"
   },
   {
    "TableConformanceId": "effortless-postgres|MessageTemplates",
    "Run": "run-20260913-165336",
    "Substrate": "effortless-postgres",
    "RulebookTable": "MessageTemplates",
    "RecordCount": 2,
    "DerivedFieldCount": 16,
    "CellsTested": 32,
    "CellsPassed": 32,
    "IsMissingAnswerFile": false,
    "SemanticTypeIri": "urn:effortless:pko-extension#TableConformance",
    "Name": "effortless-postgres / MessageTemplates",
    "CellsFailed": 0,
    "Score": 100.0,
    "IsPerfect": true,
    "ImperfectSubstrateKey": null,
    "ImperfectTableKey": null,
    "DisagreeingFieldCount": 0,
    "SubstrateLabel": "PostgreSQL",
    "SubjectArea": "communication"
   },
   {
    "TableConformanceId": "effortless-postgres|SemanticMappings",
    "Run": "run-20260913-165336",
    "Substrate": "effortless-postgres",
    "RulebookTable": "SemanticMappings",
    "RecordCount": 47,
    "DerivedFieldCount": 1,
    "CellsTested": 47,
    "CellsPassed": 47,
    "IsMissingAnswerFile": false,
    "SemanticTypeIri": "urn:effortless:pko-extension#TableConformance",
    "Name": "effortless-postgres / SemanticMappings",
    "CellsFailed": 0,
    "Score": 100.0,
    "IsPerfect": true,
    "ImperfectSubstrateKey": null,
    "ImperfectTableKey": null,
    "DisagreeingFieldCount": 0,
    "SubstrateLabel": "PostgreSQL",
    "SubjectArea": "meta"
   },
   {
    "TableConformanceId": "effortless-postgres|WitnessLoops",
    "Run": "run-20260913-165336",
    "Substrate": "effortless-postgres",
    "RulebookTable": "WitnessLoops",
    "RecordCount": 3,
    "DerivedFieldCount": 3,
    "CellsTested": 9,
    "CellsPassed": 9,
    "IsMissingAnswerFile": false,
    "SemanticTypeIri": "urn:effortless:pko-extension#TableConformance",
    "Name": "effortless-postgres / WitnessLoops",
    "CellsFailed": 0,
    "Score": 100.0,
    "IsPerfect": true,
    "ImperfectSubstrateKey": null,
    "ImperfectTableKey": null,
    "DisagreeingFieldCount": 0,
    "SubstrateLabel": "PostgreSQL",
    "SubjectArea": "meta"
   },
   {
    "TableConformanceId": "effortless-postgres|RoleQuestions",
    "Run": "run-20260913-165336",
    "Substrate": "effortless-postgres",
    "RulebookTable": "RoleQuestions",
    "RecordCount": 109,
    "DerivedFieldCount": 3,
    "CellsTested": 327,
    "CellsPassed": 327,
    "IsMissingAnswerFile": false,
    "SemanticTypeIri": "urn:effortless:pko-extension#TableConformance",
    "Name": "effortless-postgres / RoleQuestions",
    "CellsFailed": 0,
    "Score": 100.0,
    "IsPerfect": true,
    "ImperfectSubstrateKey": null,
    "ImperfectTableKey": null,
    "DisagreeingFieldCount": 0,
    "SubstrateLabel": "PostgreSQL",
    "SubjectArea": "org"
   },
   {
    "TableConformanceId": "effortless-postgres|RulebookFields",
    "Run": "run-20260913-165336",
    "Substrate": "effortless-postgres",
    "RulebookTable": "RulebookFields",
    "RecordCount": 1879,
    "DerivedFieldCount": 5,
    "CellsTested": 9395,
    "CellsPassed": 9395,
    "IsMissingAnswerFile": false,
    "SemanticTypeIri": "urn:effortless:pko-extension#TableConformance",
    "Name": "effortless-postgres / RulebookFields",
    "CellsFailed": 0,
    "Score": 100.0,
    "IsPerfect": true,
    "ImperfectSubstrateKey": null,
    "ImperfectTableKey": null,
    "DisagreeingFieldCount": 0,
    "SubstrateLabel": "PostgreSQL",
    "SubjectArea": "access-control"
   },
   {
    "TableConformanceId": "effortless-postgres|TestSuites",
    "Run": "run-20260913-165336",
    "Substrate": "effortless-postgres",
    "RulebookTable": "TestSuites",
    "RecordCount": 6,
    "DerivedFieldCount": 5,
    "CellsTested": 30,
    "CellsPassed": 30,
    "IsMissingAnswerFile": false,
    "SemanticTypeIri": "urn:effortless:pko-extension#TableConformance",
    "Name": "effortless-postgres / TestSuites",
    "CellsFailed": 0,
    "Score": 100.0,
    "IsPerfect": true,
    "ImperfectSubstrateKey": null,
    "ImperfectTableKey": null,
    "DisagreeingFieldCount": 0,
    "SubstrateLabel": "PostgreSQL",
    "SubjectArea": "meta"
   },
   {
    "TableConformanceId": "effortless-postgres|TestCases",
    "Run": "run-20260913-165336",
    "Substrate": "effortless-postgres",
    "RulebookTable": "TestCases",
    "RecordCount": 1794,
    "DerivedFieldCount": 7,
    "CellsTested": 12558,
    "CellsPassed": 12558,
    "IsMissingAnswerFile": false,
    "SemanticTypeIri": "urn:effortless:pko-extension#TableConformance",
    "Name": "effortless-postgres / TestCases",
    "CellsFailed": 0,
    "Score": 100.0,
    "IsPerfect": true,
    "ImperfectSubstrateKey": null,
    "ImperfectTableKey": null,
    "DisagreeingFieldCount": 0,
    "SubstrateLabel": "PostgreSQL",
    "SubjectArea": "meta"
   },
   {
    "TableConformanceId": "effortless-postgres|ExceptionInvocations",
    "Run": "run-20260913-165336",
    "Substrate": "effortless-postgres",
    "RulebookTable": "ExceptionInvocations",
    "RecordCount": 1,
    "DerivedFieldCount": 13,
    "CellsTested": 13,
    "CellsPassed": 13,
    "IsMissingAnswerFile": false,
    "SemanticTypeIri": "urn:effortless:pko-extension#TableConformance",
    "Name": "effortless-postgres / ExceptionInvocations",
    "CellsFailed": 0,
    "Score": 100.0,
    "IsPerfect": true,
    "ImperfectSubstrateKey": null,
    "ImperfectTableKey": null,
    "DisagreeingFieldCount": 0,
    "SubstrateLabel": "PostgreSQL",
    "SubjectArea": "governance"
   },
   {
    "TableConformanceId": "effortless-postgres|VerificationOutcomes",
    "Run": "run-20260913-165336",
    "Substrate": "effortless-postgres",
    "RulebookTable": "VerificationOutcomes",
    "RecordCount": 4,
    "DerivedFieldCount": 18,
    "CellsTested": 72,
    "CellsPassed": 72,
    "IsMissingAnswerFile": false,
    "SemanticTypeIri": "urn:effortless:pko-extension#TableConformance",
    "Name": "effortless-postgres / VerificationOutcomes",
    "CellsFailed": 0,
    "Score": 100.0,
    "IsPerfect": true,
    "ImperfectSubstrateKey": null,
    "ImperfectTableKey": null,
    "DisagreeingFieldCount": 0,
    "SubstrateLabel": "PostgreSQL",
    "SubjectArea": "execution"
   },
   {
    "TableConformanceId": "effortless-postgres|ObservedTransitions",
    "Run": "run-20260913-165336",
    "Substrate": "effortless-postgres",
    "RulebookTable": "ObservedTransitions",
    "RecordCount": 10,
    "DerivedFieldCount": 1,
    "CellsTested": 10,
    "CellsPassed": 0,
    "IsMissingAnswerFile": false,
    "SemanticTypeIri": "urn:effortless:pko-extension#TableConformance",
    "Name": "effortless-postgres / ObservedTransitions",
    "CellsFailed": 10,
    "Score": 0.0,
    "IsPerfect": false,
    "ImperfectSubstrateKey": "effortless-postgres",
    "ImperfectTableKey": "ObservedTransitions",
    "DisagreeingFieldCount": 1,
    "SubstrateLabel": "PostgreSQL",
    "SubjectArea": "specification"
   },
   {
    "TableConformanceId": "effortless-postgres|Recipients",
    "Run": "run-20260913-165336",
    "Substrate": "effortless-postgres",
    "RulebookTable": "Recipients",
    "RecordCount": 5,
    "DerivedFieldCount": 6,
    "CellsTested": 30,
    "CellsPassed": 30,
    "IsMissingAnswerFile": false,
    "SemanticTypeIri": "urn:effortless:pko-extension#TableConformance",
    "Name": "effortless-postgres / Recipients",
    "CellsFailed": 0,
    "Score": 100.0,
    "IsPerfect": true,
    "ImperfectSubstrateKey": null,
    "ImperfectTableKey": null,
    "DisagreeingFieldCount": 0,
    "SubstrateLabel": "PostgreSQL",
    "SubjectArea": "communication"
   },
   {
    "TableConformanceId": "effortless-postgres|MessageDeliveries",
    "Run": "run-20260913-165336",
    "Substrate": "effortless-postgres",
    "RulebookTable": "MessageDeliveries",
    "RecordCount": 6,
    "DerivedFieldCount": 74,
    "CellsTested": 444,
    "CellsPassed": 420,
    "IsMissingAnswerFile": false,
    "SemanticTypeIri": "urn:effortless:pko-extension#TableConformance",
    "Name": "effortless-postgres / MessageDeliveries",
    "CellsFailed": 24,
    "Score": 94.59,
    "IsPerfect": false,
    "ImperfectSubstrateKey": "effortless-postgres",
    "ImperfectTableKey": "MessageDeliveries",
    "DisagreeingFieldCount": 5,
  </t>
  </si>
  <si>
    <t xml:space="preserve">  "SubstrateLabel": "PostgreSQL",
    "SubjectArea": "communication"
   },
   {
    "TableConformanceId": "effortless-postgres|TemplateApprovals",
    "Run": "run-20260913-165336",
    "Substrate": "effortless-postgres",
    "RulebookTable": "TemplateApprovals",
    "RecordCount": 2,
    "DerivedFieldCount": 6,
    "CellsTested": 12,
    "CellsPassed": 10,
    "IsMissingAnswerFile": false,
    "SemanticTypeIri": "urn:effortless:pko-extension#TableConformance",
    "Name": "effortless-postgres / TemplateApprovals",
    "CellsFailed": 2,
    "Score": 83.33,
    "IsPerfect": false,
    "ImperfectSubstrateKey": "effortless-postgres",
    "ImperfectTableKey": "TemplateApprovals",
    "DisagreeingFieldCount": 1,
    "SubstrateLabel": "PostgreSQL",
    "SubjectArea": "communication"
   },
   {
    "TableConformanceId": "effortless-postgres|SendIntents",
    "Run": "run-20260913-165336",
    "Substrate": "effortless-postgres",
    "RulebookTable": "SendIntents",
    "RecordCount": 7,
    "DerivedFieldCount": 79,
    "CellsTested": 553,
    "CellsPassed": 546,
    "IsMissingAnswerFile": false,
    "SemanticTypeIri": "urn:effortless:pko-extension#TableConformance",
    "Name": "effortless-postgres / SendIntents",
    "CellsFailed": 7,
    "Score": 98.73,
    "IsPerfect": false,
    "ImperfectSubstrateKey": "effortless-postgres",
    "ImperfectTableKey": "SendIntents",
    "DisagreeingFieldCount": 1,
    "SubstrateLabel": "PostgreSQL",
    "SubjectArea": "communication"
   },
   {
    "TableConformanceId": "effortless-postgres|AgentDecisionRecords",
    "Run": "run-20260913-165336",
    "Substrate": "effortless-postgres",
    "RulebookTable": "AgentDecisionRecords",
    "RecordCount": 3,
    "DerivedFieldCount": 27,
    "CellsTested": 81,
    "CellsPassed": 81,
    "IsMissingAnswerFile": false,
    "SemanticTypeIri": "urn:effortless:pko-extension#TableConformance",
    "Name": "effortless-postgres / AgentDecisionRecords",
    "CellsFailed": 0,
    "Score": 100.0,
    "IsPerfect": true,
    "ImperfectSubstrateKey": null,
    "ImperfectTableKey": null,
    "DisagreeingFieldCount": 0,
    "SubstrateLabel": "PostgreSQL",
    "SubjectArea": "org"
   },
   {
    "TableConformanceId": "effortless-postgres|DeliveredCommunications",
    "Run": "run-20260913-165336",
    "Substrate": "effortless-postgres",
    "RulebookTable": "DeliveredCommunications",
    "RecordCount": 1,
    "DerivedFieldCount": 6,
    "CellsTested": 6,
    "CellsPassed": 5,
    "IsMissingAnswerFile": false,
    "SemanticTypeIri": "urn:effortless:pko-extension#TableConformance",
    "Name": "effortless-postgres / DeliveredCommunications",
    "CellsFailed": 1,
    "Score": 83.33,
    "IsPerfect": false,
    "ImperfectSubstrateKey": "effortless-postgres",
    "ImperfectTableKey": "DeliveredCommunications",
    "DisagreeingFieldCount": 1,
    "SubstrateLabel": "PostgreSQL",
    "SubjectArea": "communication"
   },
   {
    "TableConformanceId": "effortless-postgres|AuthorityBoundaries",
    "Run": "run-20260913-165336",
    "Substrate": "effortless-postgres",
    "RulebookTable": "AuthorityBoundaries",
    "RecordCount": 3,
    "DerivedFieldCount": 21,
    "CellsTested": 63,
    "CellsPassed": 63,
    "IsMissingAnswerFile": false,
    "SemanticTypeIri": "urn:effortless:pko-extension#TableConformance",
    "Name": "effortless-postgres / AuthorityBoundaries",
    "CellsFailed": 0,
    "Score": 100.0,
    "IsPerfect": true,
    "ImperfectSubstrateKey": null,
    "ImperfectTableKey": null,
    "DisagreeingFieldCount": 0,
    "SubstrateLabel": "PostgreSQL",
    "SubjectArea": "governance"
   },
   {
    "TableConformanceId": "effortless-postgres|AppRoleProfiles",
    "Run": "run-20260913-165336",
    "Substrate": "effortless-postgres",
    "RulebookTable": "AppRoleProfiles",
    "RecordCount": 12,
    "DerivedFieldCount": 2,
    "CellsTested": 24,
    "CellsPassed": 24,
    "IsMissingAnswerFile": false,
    "SemanticTypeIri": "urn:effortless:pko-extension#TableConformance",
    "Name": "effortless-postgres / AppRoleProfiles",
    "CellsFailed": 0,
    "Score": 100.0,
    "IsPerfect": true,
    "ImperfectSubstrateKey": null,
    "ImperfectTableKey": null,
    "DisagreeingFieldCount": 0,
    "SubstrateLabel": "PostgreSQL",
    "SubjectArea": "org"
   },
   {
    "TableConformanceId": "effortless-postgres|AppNavGroups",
    "Run": "run-20260913-165336",
    "Substrate": "effortless-postgres",
    "RulebookTable": "AppNavGroups",
    "RecordCount": 23,
    "DerivedFieldCount": 2,
    "CellsTested": 46,
    "CellsPassed": 46,
    "IsMissingAnswerFile": false,
    "SemanticTypeIri": "urn:effortless:pko-extension#TableConformance",
    "Name": "effortless-postgres / AppNavGroups",
    "CellsFailed": 0,
    "Score": 100.0,
    "IsPerfect": true,
    "ImperfectSubstrateKey": null,
    "ImperfectTableKey": null,
    "DisagreeingFieldCount": 0,
    "SubstrateLabel": "PostgreSQL",
    "SubjectArea": "application"
   },
   {
    "TableConformanceId": "effortless-postgres|AppRoutes",
    "Run": "run-20260913-165336",
    "Substrate": "effortless-postgres",
    "RulebookTable": "AppRoutes",
    "RecordCount": 149,
    "DerivedFieldCount": 7,
    "CellsTested": 1043,
    "CellsPassed": 1043,
    "IsMissingAnswerFile": false,
    "SemanticTypeIri": "urn:effortless:pko-extension#TableConformance",
    "Name": "effortless-postgres / AppRoutes",
    "CellsFailed": 0,
    "Score": 100.0,
    "IsPerfect": true,
    "ImperfectSubstrateKey": null,
    "ImperfectTableKey": null,
    "DisagreeingFieldCount": 0,
    "SubstrateLabel": "PostgreSQL",
    "SubjectArea": "application"
   },
   {
    "TableConformanceId": "effortless-postgres|AppRouteQuestions",
    "Run": "run-20260913-165336",
    "Substrate": "effortless-postgres",
    "RulebookTable": "AppRouteQuestions",
    "RecordCount": 151,
    "DerivedFieldCount": 1,
    "CellsTested": 151,
    "CellsPassed": 151,
    "IsMissingAnswerFile": false,
    "SemanticTypeIri": "urn:effortless:pko-extension#TableConformance",
    "Name": "effortless-postgres / AppRouteQuestions",
    "CellsFailed": 0,
    "Score": 100.0,
    "IsPerfect": true,
    "ImperfectSubstrateKey": null,
    "ImperfectTableKey": null,
    "DisagreeingFieldCount": 0,
    "SubstrateLabel": "PostgreSQL",
    "SubjectArea": "application"
   },
   {
    "TableConformanceId": "effortless-postgres|AppRouteReferences",
    "Run": "run-20260913-165336",
    "Substrate": "effortless-postgres",
    "RulebookTable": "AppRouteReferences",
    "RecordCount": 315,
    "DerivedFieldCount": 1,
    "CellsTested": 315,
    "CellsPassed": 315,
    "IsMissingAnswerFile": false,
    "SemanticTypeIri": "urn:effortless:pko-extension#TableConformance",
    "Name": "effortless-postgres / AppRouteReferences",
    "CellsFailed": 0,
    "Score": 100.0,
    "IsPerfect": true,
    "ImperfectSubstrateKey": null,
    "ImperfectTableKey": null,
    "DisagreeingFieldCount": 0,
    "SubstrateLabel": "PostgreSQL",
    "SubjectArea": "application"
   },
   {
    "TableConformanceId": "effortless-postgres|RulebookTables",
    "Run": "run-20260913-165336",
    "Substrate": "effortless-postgres",
    "RulebookTable": "RulebookTables",
    "RecordCount": 92,
    "DerivedFieldCount": 5,
    "CellsTested": 460,
    "CellsPassed": 460,
    "IsMissingAnswerFile": false,
    "SemanticTypeIri": "urn:effortless:pko-extension#TableConformance",
    "Name": "effortless-postgres / RulebookTables",
    "CellsFailed": 0,
    "Score": 100.0,
    "IsPerfect": true,
    "ImperfectSubstrateKey": null,
    "ImperfectTableKey": null,
    "DisagreeingFieldCount": 0,
    "SubstrateLabel": "PostgreSQL",
    "SubjectArea": "meta"
   },
   {
    "TableConformanceId": "effortless-postgres|AccessPrincipals",
    "Run": "run-20260913-165336",
    "Substrate": "effortless-postgres",
    "RulebookTable": "AccessPrincipals",
    "RecordCount": 12,
    "DerivedFieldCount": 8,
    "CellsTested": 96,
    "CellsPassed": 96,
    "IsMissingAnswerFile": false,
    "SemanticTypeIri": "urn:effortless:pko-extension#TableConformance",
    "Name": "effortless-postgres / AccessPrincipals",
    "CellsFailed": 0,
    "Score": 100.0,
    "IsPerfect": true,
    "ImperfectSubstrateKey": null,
    "ImperfectTableKey": null,
    "DisagreeingFieldCount": 0,
    "SubstrateLabel": "PostgreSQL",
    "SubjectArea": "access-control"
   },
   {
    "TableConformanceId": "effortless-postgres|AccessPolicies",
    "Run": "run-20260913-165336",
    "Substrate": "effortless-postgres",
    "RulebookTable": "AccessPolicies",
    "RecordCount": 202,
    "DerivedFieldCount": 7,
    "CellsTested": 1414,
    "CellsPassed": 1414,
    "IsMissingAnswerFile": false,
    "SemanticTypeIri": "urn:effortless:pko-extension#TableConformance",
    "Name": "effortless-postgres / AccessPolicies",
    "CellsFailed": 0,
    "Score": 100.0,
    "IsPerfect": true,
    "ImperfectSubstrateKey": null,
    "ImperfectTableKey": null,
    "DisagreeingFieldCount": 0,
    "SubstrateLabel": "PostgreSQL",
    "SubjectArea": "access-control"
   },
   {
    "TableConformanceId": "effortless-postgres|FieldGrants",
    "Run": "run-20260913-165336",
    "Substrate": "effortless-postgres",
    "RulebookTable": "FieldGrants",
    "RecordCount": 3639,
    "DerivedFieldCount": 7,
    "CellsTested": 25473,
    "CellsPassed": 25473,
    "IsMissingAnswerFile": false,
    "SemanticTypeIri": "urn:effortless:pko-extension#TableConformance",
    "Name": "effortless-postgres / FieldGrants",
    "CellsFailed": 0,
    "Score": 100.0,
    "IsPerfect": true,
    "ImperfectSubstrateKey": null,
    "ImperfectTableKey": null,
    "DisagreeingFieldCount": 0,
    "SubstrateLabel": "PostgreSQL",
    "SubjectArea": "access-control"
   },
   {
    "TableConformanceId": "effortless-postgres|RoleSchemas",
    "Run": "run-20260913-165336",
    "Substrate": "effortless-postgres",
    "RulebookTable": "RoleSchemas",
    "RecordCount": 12,
    "DerivedFieldCount": 4,
    "CellsTested": 48,
    "CellsPassed": 48,
    "IsMissingAnswerFile": false,
    "SemanticTypeIri": "urn:effortless:pko-extension#TableConformance",
    "Name": "effortless-postgres / RoleSchemas",
    "CellsFailed": 0,
    "Score": 100.0,
    "IsPerfect": true,
    "ImperfectSubstrateKey": null,
    "ImperfectTableKey": null,
    "DisagreeingFieldCount": 0,
    "SubstrateLabel": "PostgreSQL",
    "SubjectArea": "org"
   },
   {
    "TableConformanceId": "effortless-postgres|RoleSchemaViews",
    "Run": "run-20260913-165336",
    "Substrate": "effortless-postgres",
    "RulebookTable": "RoleSchemaViews",
    "RecordCount": 202,
    "DerivedFieldCount": 8,
    "CellsTested": 1616,
    "CellsPassed": 1616,
    "IsMissingAnswerFile": false,
    "SemanticTypeIri": "urn:effortless:pko-extension#TableConformance",
    "Name": "effortless-postgres / RoleSchemaViews",
    "CellsFailed": 0,
    "Score": 100.0,
    "IsPerfect": true,
    "ImperfectSubstrateKey": null,
    "ImperfectTableKey": null,
    "DisagreeingFieldCount": 0,
    "SubstrateLabel": "PostgreSQL",
    "SubjectArea": "org"
   },
   {
    "TableConformanceId": "effortless-postgres|JwtClaimMappings",
    "Run": "run-20260913-165336",
    "Substrate": "effortless-postgres",
    "RulebookTable": "JwtClaimMappings",
    "RecordCount": 4,
    "DerivedFieldCount": 2,
    "CellsTested": 8,
    "CellsPassed": 8,
    "IsMissingAnswerFile": false,
    "SemanticTypeIri": "urn:effortless:pko-extension#TableConformance",
    "Name": "effortless-postgres / JwtClaimMappings",
    "CellsFailed": 0,
    "Score": 100.0,
    "IsPerfect": true,
    "ImperfectSubstrateKey": null,
    "ImperfectTableKey": null,
    "DisagreeingFieldCount": 0,
    "SubstrateLabel": "PostgreSQL",
    "SubjectArea": "access-control"
   },
   {
    "TableConformanceId": "effortless-postgres|AccessDenialTests",
    "Run": "run-20260913-165336",
    "Substrate": "effortless-postgres",
    "RulebookTable": "AccessDenialTests",
    "RecordCount": 17,
    "DerivedFieldCount": 6,
    "CellsTested": 102,
    "CellsPassed": 102,
    "IsMissingAnswerFile": false,
    "SemanticTypeIri": "urn:effortless:pko-extension#TableConformance",
    "Name": "effortless-postgres / AccessDenialTests",
    "CellsFailed": 0,
    "Score": 100.0,
    "IsPerfect": true,
    "ImperfectSubstrateKey": null,
    "ImperfectTableKey": null,
    "DisagreeingFieldCount": 0,
    "SubstrateLabel": "PostgreSQL",
    "SubjectArea": "access-control"
   },
   {
    "TableConformanceId": "effortless-postgres|AppUsers",
    "Run": "run-20260913-165336",
    "Substrate": "effortless-postgres",
    "RulebookTable": "AppUsers",
    "RecordCount": 10,
    "DerivedFieldCount": 7,
    "CellsTested": 70,
    "CellsPassed": 70,
    "IsMissingAnswerFile": false,
    "SemanticTypeIri": "urn:effortless:pko-extension#TableConformance",
    "Name": "effortless-postgres / AppUsers",
    "CellsFailed": 0,
    "Score": 100.0,
    "IsPerfect": true,
    "ImperfectSubstrateKey": null,
    "ImperfectTableKey": null,
    "DisagreeingFieldCount": 0,
    "SubstrateLabel": "PostgreSQL",
    "SubjectArea": null
   },
   {
    "TableConformanceId": "effortless-postgres|PrincipalAssignments",
    "Run": "run-20260913-165336",
    "Substrate": "effortless-postgres",
    "RulebookTable": "PrincipalAssignments",
    "RecordCount": 12,
    "DerivedFieldCount": 5,
    "CellsTested": 60,
    "CellsPassed": 60,
    "IsMissingAnswerFile": false,
    "SemanticTypeIri": "urn:effortless:pko-extension#TableConformance",
    "Name": "effortless-postgres / PrincipalAssignments",
    "CellsFailed": 0,
    "Score": 100.0,
    "IsPerfect": true,
    "ImperfectSubstrateKey": null,
    "ImperfectTableKey": null,
    "DisagreeingFieldCount": 0,
    "SubstrateLabel": "PostgreSQL",
    "SubjectArea": null
   },
   {
    "TableConformanceId": "effortless-postgres|ProcessMiningRuns",
    "Run": "run-20260913-165336",
    "Substrate": "effortless-postgres",
    "RulebookTable": "ProcessMiningRuns",
    "RecordCount": 4,
    "DerivedFieldCount": 10,
    "CellsTested": 40,
    "CellsPassed": 36,
    "IsMissingAnswerFile": false,
    "SemanticTypeIri": "urn:effortless:pko-extension#TableConformance",
    "Name": "effortless-postgres / ProcessMiningRuns",
    "CellsFailed": 4,
    "Score": 90.0,
    "IsPerfect": false,
    "ImperfectSubstrateKey": "effortless-postgres",
    "ImperfectTableKey": "ProcessMiningRuns",
    "DisagreeingFieldCount": 1,
    "SubstrateLabel": "PostgreSQL",
    "SubjectArea": "knowledge"
   },
   {
    "TableConformanceId": "effortless-postgres|Vocabularies",
    "Run": "run-20260913-165336",
    "Substrate": "effortless-postgres",
    "RulebookTable": "Vocabularies",
    "RecordCount": 2,
    "DerivedFieldCount": 4,
    "CellsTested": 8,
    "CellsPassed": 8,
    "IsMissingAnswerFile": false,
    "SemanticTypeIri": "urn:effortless:pko-extension#TableConformance",
    "Name": "effortless-postgres / Vocabularies",
    "CellsFailed": 0,
    "Score": 100.0,
    "IsPerfect": true,
    "ImperfectSubstrateKey": null,
    "ImperfectTableKey": null,
    "DisagreeingFieldCount": 0,
    "SubstrateLabel": "PostgreSQL",
    "SubjectArea": "knowledge"
   },
   {
    "TableConformanceId": "effortless-postgres|VocabularyTerms",
    "Run": "run-20260913-165336",
    "Substrate": "effortless-postgres",
    "RulebookTable": "VocabularyTerms",
    "RecordCount": 12,
    "DerivedFieldCount": 5,
    "CellsTested": 60,
    "CellsPassed": 60,
    "IsMissingAnswerFile": false,
    "SemanticTypeIri": "urn:effortless:pko-extension#TableConformance",
    "Name": "effortless-postgres / VocabularyTerms",
    "CellsFailed": 0,
    "Score": 100.0,
    "IsPerfect": true,
    "ImperfectSubstrateKey": null,
    "ImperfectTableKey": null,
    "DisagreeingFieldCount": 0,
    "SubstrateLabel": "PostgreSQL",
    "SubjectArea": "knowledge"
   },
   {
    "TableConformanceId": "effortless-postgres|KnowledgeBrokerLinks",
    "Run": "run-20260913-165336",
    "Substrate": "effortless-postgres",
    "RulebookTable": "KnowledgeBrokerLinks",
    "RecordCount": 5,
    "DerivedFieldCount": 8,
    "CellsTested": 40,
    "CellsPassed": 40,
    "IsMissingAnswerFile": false,
    "SemanticTypeIri": "urn:effortless:pko-extension#TableConformance",
    "Name": "effortless-postgres / KnowledgeBrokerLinks",
    "CellsFailed": 0,
    "Score": 100.0,
    "IsPerfect": true,
    "ImperfectSubstrateKey": null,
    "ImperfectTableKey": null,
    "DisagreeingFieldCount": 0,
    "SubstrateLabel": "PostgreSQL",
    "SubjectArea": "knowledge"
   },
   {
    "TableConformanceId": "effortless-xlsx|RulebookReleases",
    "Run": "run-20260913-165336",
    "Substrate": "effortless-xlsx",
    "RulebookTable": "RulebookReleases",
    "RecordCount": 1,
    "DerivedFieldCount": 1,
    "CellsTested": 1,
    "CellsPassed": 1,
    "IsMissingAnswerFile": false,
    "SemanticTypeIri": "urn:effortless:pko-extension#TableConformance",
    "Name": "effortless-xlsx / RulebookReleases",
    "CellsFailed": 0,
    "Score": 100.0,
    "IsPerfect": true,
    "ImperfectSubstrateKey": null,
    "ImperfectTableKey": null,
    "DisagreeingFieldCount": 0,
    "SubstrateLabel": "Excel",
    "SubjectArea": "meta"
   },
   {
    "TableConformanceId": "effortless-xlsx|OntologyProfiles",
    "Run": "run-20260913-165336",
    "Substrate": "effortless-xlsx",
    "RulebookTable": "OntologyProfiles",
    "RecordCount": 11,
    "DerivedFieldCount": 1,
    "CellsTested": 11,
    "CellsPassed": 11,
    "IsMissingAnswerFile": false,
    "SemanticTypeIri": "urn:effortless:pko-extension#TableConformance",
    "Name": "effortless-xlsx / OntologyProfiles",
    "CellsFailed": 0,
    "Score": 100.0,
    "IsPerfect": true,
    "ImperfectSubstrateKey": null,
    "ImperfectTableKey": null,
    "DisagreeingFieldCount": 0,
    "SubstrateLabel": "Excel",
    "SubjectArea": "domain"
   },
   {
    "TableConformanceId": "effortless-xlsx|EvaluationContexts",
    "Run": "run-20260913-165336",
    "Substrate": "effortless-xlsx",
    "RulebookTable": "EvaluationContexts",
    "RecordCount": 1,
    "DerivedFieldCount": 1,
    "CellsTested": 1,
    "CellsPassed": 0,
    "IsMissingAnswerFile": false,
    "SemanticTypeIri": "urn:effortless:pko-extension#TableConformance",
    "Name": "effortless-xlsx / EvaluationContexts",
    "CellsFailed": 1,
    "Score": 0.0,
    "IsPerfect": false,
    "ImperfectSubstrateKey": "effortless-xlsx",
    "ImperfectTableKey": "EvaluationContexts",
    "DisagreeingFieldCount": 1,
    "SubstrateLabel": "Excel",
    "SubjectArea": "meta"
   },
   {
    "TableConformanceId": "effortless-xlsx|Organizations",
    "Run": "run-20260913-165336",
    "Substrate": "effortless-xlsx",
    "RulebookTable": "Organizations",
    "RecordCount": 4,
    "DerivedFieldCount": 1,
    "CellsTested": 4,
    "CellsPassed": 4,
    "IsMissingAnswerFile": false,
    "SemanticTypeIri": "urn:effortless:pko-extension#TableConformance",
    "Name": "effortless-xlsx / Organizations",
    "CellsFailed": 0,
    "Score": 100.0,
    "IsPerfect": true,
    "ImperfectSubstrateKey": null,
    "ImperfectTableKey": null,
    "DisagreeingFieldCount": 0,
    "SubstrateLabel": "Excel",
    "SubjectArea": "org"
   },
   {
    "TableConformanceId": "effortless-xlsx|Agents",
    "Run": "run-20260913-165336",
    "Substrate": "effortless-xlsx",
    "RulebookTable": "Agents",
    "RecordCount": 11,
    "DerivedFieldCount": 16,
    "CellsTested": 176,
    "CellsPassed": 176,
    "IsMissingAnswerFile": false,
    "SemanticTypeIri": "urn:effortless:pko-extension#TableConformance",
    "Name": "effortless-xlsx / Agents",
    "CellsFailed": 0,
    "Score": 100.0,
    "IsPerfect": true,
    "ImperfectSubstrateKey": null,
    "ImperfectTableKey": null,
    "DisagreeingFieldCount": 0,
    "SubstrateLabel": "Excel",
    "SubjectArea": "org"
   },
   {
    "TableConformanceId": "effortless-xlsx|Roles",
    "Run": "run-20260913-165336",
    "Substrate": "effortless-xlsx",
    "RulebookTable": "Roles",
    "RecordCount": 12,
    "DerivedFieldCount": 17,
    "CellsTested": 204,
    "CellsPassed": 192,
    "IsMissingAnswerFile": false,
    "SemanticTypeIri": "urn:effortless:pko-extension#TableConformance",
    "Name": "effortless-xlsx / Roles",
    "CellsFailed": 12,
    "Score": 94.12,
    "IsPerfect": false,
    "ImperfectSubstrateKey": "effortless-xlsx",
    "ImperfectTableKey": "Roles",
    "DisagreeingFieldCount": 1,
    "SubstrateLabel": "Excel",
    "SubjectArea": "org"
   },
   {
    "TableConformanceId": "effortless-xlsx|RoleAssignments",
    "Run": "run-20260913-165336",
    "Substrate": "effortless-xlsx",
    "RulebookTable": "RoleAssignments",
    "RecordCount": 13,
    "DerivedFieldCount": 47,
    "CellsTested": 611,
    "CellsPassed": 527,
    "IsMissingAnswerFile": false,
    "SemanticTypeIri": "urn:effortless:pko-extension#TableConformance",
    "Name": "effortless-xlsx / RoleAssignments",
    "CellsFailed": 84,
    "Score": 86.25,
    "IsPerfect": false,
    "ImperfectSubstrateKey": "effortless-xlsx",
    "ImperfectTableKey": "RoleAssignments",
    "DisagreeingFieldCount": 10,
    "SubstrateLabel": "Excel",
    "SubjectArea": "org"
   },
   {
    "TableConformanceId": "effortless-xlsx|CommunitiesOfPractice",
    "Run": "run-20260913-165336",
    "Substrate": "effortless-xlsx",
    "RulebookTable": "CommunitiesOfPractice",
    "RecordCount": 2,
    "DerivedFieldCount": 1,
    "CellsTested": 2,
    "CellsPassed": 2,
    "IsMissingAnswerFile": false,
    "SemanticTypeIri": "urn:effortless:pko-extension#TableConformance",
    "Name": "effortless-xlsx / CommunitiesOfPractice",
    "CellsFailed": 0,
    "Score": 100.0,
    "IsPerfect": true,
    "ImperfectSubstrateKey": null,
    "ImperfectTableKey": null,
    "DisagreeingFieldCount": 0,
    "SubstrateLabel": "Excel",
    "SubjectArea": "org"
   },
   {
    "TableConformanceId": "effortless-xlsx|Mentorships",
    "Run": "run-20260913-165336",
    "Substrate": "effortless-xlsx",
    "RulebookTable": "Mentorships",
    "RecordCount": 1,
    "DerivedFieldCount": 1,
    "CellsTested": 1,
    "CellsPassed": 1,
    "IsMissingAnswerFile": false,
    "SemanticTypeIri": "urn:effortless:pko-extension#TableConformance",
    "Name": "effortless-xlsx / Mentorships",
    "CellsFailed": 0,
    "Score": 100.0,
    "IsPerfect": true,
    "ImperfectSubstrateKey": null,
    "ImperfectTableKey": null,
    "DisagreeingFieldCount": 0,
    "SubstrateLabel": "Excel",
    "SubjectArea": "org"
   },
   {
    "TableConformanceId": "effortless-xlsx|ProcedureTypes",
    "Run": "run-20260913-165336",
    "Substrate": "effortless-xlsx",
    "RulebookTable": "ProcedureTypes",
    "RecordCount": 2,
    "DerivedFieldCount": 1,
    "CellsTested": 2,
    "CellsPassed": 2,
    "IsMissingAnswerFile": false,
    "SemanticTypeIri": "urn:effortless:pko-extension#TableConformance",
    "Name": "effortless-xlsx / ProcedureTypes",
    "CellsFailed": 0,
    "Score": 100.0,
    "IsPerfect": true,
    "ImperfectSubstrateKey": null,
    "ImperfectTableKey": null,
    "DisagreeingFieldCount": 0,
    "SubstrateLabel": "Excel",
    "SubjectArea": "specification"
   },
   {
    "TableConformanceId": "effortless-xlsx|Procedures",
    "Run": "run-20260913-165336",
    "Substrate": "effortless-xlsx",
    "RulebookTable": "Procedures",
    "RecordCount": 2,
    "DerivedFieldCount": 1,
    "CellsTested": 2,
    "CellsPassed": 2,
    "IsMissingAnswerFile": false,
    "SemanticTypeIri": "urn:effortless:pko-extension#TableConformance",
    "Name": "effortless-xlsx / Procedures",
    "CellsFailed": 0,
    "Score": 100.0,
    "IsPerfect": true,
    "ImperfectSubstrateKey": null,
    "ImperfectTableKey": null,
    "DisagreeingFieldCount": 0,
    "SubstrateLabel": "Excel",
    "SubjectArea": "specification"
   },
   {
    "TableConformanceId": "effortless-xlsx|ProcedureVersions",
    "Run": "run-20260913-165336",
    "Substrate": "effortless-xlsx",
    "RulebookTable": "ProcedureVersions",
    "RecordCount": 3,
    "DerivedFieldCount": 72,
    "CellsTested": 216,
    "CellsPassed": 204,
    "IsMissingAnswerFile": false,
    "SemanticTypeIri": "urn:effortless:pko-extension#TableConformance",
    "Name": "effortless-xlsx / ProcedureVersions",
    "CellsFailed": 12,
    "Score": 94.44,
    "IsPerfect": false,
    "ImperfectSubstrateKey": "effortless-xlsx",
    "ImperfectTableKey": "ProcedureVersions",
    "DisagreeingFieldCount": 5,
    "SubstrateLabel": "Excel",
    "SubjectArea": "specification"
   },
   {
    "TableConformanceId": "effortless-xlsx|ProcedureVersionLinks",
    "Run": "run-20260913-165336",
    "Substrate": "effortless-xlsx",
    "RulebookTable": "ProcedureVersionLinks",
    "RecordCount": 1,
    "DerivedFieldCount": 2,
    "CellsTested": 2,
    "CellsPassed": 2,
    "IsMissingAnswerFile": false,
    "SemanticTypeIri": "urn:effortless:pko-extension#TableConformance",
    "Name": "effortless-xlsx / ProcedureVersionLinks",
    "CellsFailed": 0,
    "Score": 100.0,
    "IsPerfect": true,
    "ImperfectSubstrateKey": null,
    "ImperfectTableKey": null,
    "DisagreeingFieldCount": 0,
    "SubstrateLabel": "Excel",
    "SubjectArea": "specification"
   },
   {
    "TableConformanceId": "effortless-xlsx|ProcedureStatusChanges",
    "Run": "run-20260913-165336",
    "Substrate": "effortless-xlsx",
    "RulebookTable": "ProcedureStatusChanges",
    "RecordCount": 5,
    "DerivedFieldCount": 1,
    "CellsTested": 5,
    "CellsPassed": 5,
    "IsMissingAnswerFile": false,
    "SemanticTypeIri": "urn:effortless:pko-extension#TableConformance",
    "Name": "effortless-xlsx / ProcedureStatusChanges",
    "CellsFailed": 0,
    "Score": 100.0,
    "IsPerfect": true,
    "ImperfectSubstrateKey": null,
    "ImperfectTableKey": null,
    "DisagreeingFieldCount": 0,
    "SubstrateLabel": "Excel",
    "SubjectArea": "specification"
   },
   {
    "TableConformanceId": "effortless-xlsx|Steps",
    "Run": "run-20260913-165336",
    "Substrate": "effortless-xlsx",
    "RulebookTable": "Steps",
    "RecordCount": 17,
    "DerivedFieldCount": 30,
    "CellsTested": 510,
    "CellsPassed": 490,
    "IsMissingAnswerFile": false,
    "SemanticTypeIri": "urn:effortless:pko-extension#TableConformance",
    "Name": "effortless-xlsx / Steps",
    "CellsFailed": 20,
    "Score": 96.08,
    "IsPerfect": false,
    "ImperfectSubstrateKey": "effortless-xlsx",
    "ImperfectTableKey": "Steps",
    "DisagreeingFieldCount": 8,
    "SubstrateLabel": "Excel",
    "SubjectArea": "specification"
   },
   {
    "TableConformanceId": "effortless-xlsx|StepTransitions",
    "Run": "run-20260913-165336",
    "Substrate": "effortless-xlsx",
    "RulebookTable": "StepTransitions",
    "RecordCount": 19,
    "DerivedFieldCount": 15,
    "CellsTested": 285,
    "CellsPassed": 285,
    "IsMissingAnswerFile": false,
    "SemanticTypeIri": "urn:effortless:pko-extension#TableConformance",
    "Name": "effortless-xlsx / StepTransitions",
    "CellsFailed": 0,
    "Score": 100.0,
    "IsPerfect": true,
    "ImperfectSubstrateKey": null,
    "ImperfectTableKey": null,
    "DisagreeingFieldCount": 0,
    "SubstrateLabel": "Excel",
    "SubjectArea": "specification"
   },
   {
    "TableConformanceId": "effortless-xlsx|Actions",
    "Run": "run-20260913-165336",
    "Substrate": "effortless-xlsx",
    "RulebookTable": "Actions",
    "RecordCount": 9,
    "DerivedFieldCount": 1,
    "CellsTested": 9,
    "CellsPassed": 9,
    "IsMissingAnswerFile": false,
    "SemanticTypeIri": "urn:effortless:pko-extension#TableConformance",
    "Name": "effortless-xlsx / Actions",
    "CellsFailed": 0,
    "Score": 100.0,
    "IsPerfect": true,
    "ImperfectSubstrateKey": null,
    "ImperfectTableKey": null,
    "DisagreeingFieldCount": 0,
    "SubstrateLabel": "Excel",
    "SubjectArea": "specification"
   },
   {
    "TableConformanceId": "effortless-xlsx|Functions",
    "Run": "run-20260913-165336",
    "Substrate": "effortless-xlsx",
    "RulebookTable": "Functions",
    "RecordCount": 8,
    "DerivedFieldCount": 1,
    "CellsTested": 8,
    "CellsPassed": 8,
    "IsMissingAnswerFile": false,
    "SemanticTypeIri": "urn:effortless:pko-extension#TableConformance",
    "Name": "effortless-xlsx / Functions",
    "CellsFailed": 0,
    "Score": 100.0,
    "IsPerfect": true,
    "ImperfectSubstrateKey": null,
    "ImperfectTableKey": null,
    "DisagreeingFieldCount": 0,
    "SubstrateLabel": "Excel",
    "SubjectArea": "specification"
   },
   {
    "TableConformanceId": "effortless-xlsx|Tools",
    "Run": "run-20260913-165336",
    "Substrate": "effortless-xlsx",
    "RulebookTable": "Tools",
    "RecordCount": 8,
    "DerivedFieldCount": 1,
    "CellsTested": 8,
    "CellsPassed": 8,
    "IsMissingAnswerFile": false,
    "SemanticTypeIri": "urn:effortless:pko-extension#TableConformance",
    "Name": "effortless-xlsx / Tools",
    "CellsFailed": 0,
    "Score": 100.0,
    "IsPerfect": true,
    "ImperfectSubstrateKey": null,
    "ImperfectTableKey": null,
    "DisagreeingFieldCount": 0,
    "SubstrateLabel": "Excel",
    "SubjectArea": "specification"
   },
   {
    "TableConformanceId": "effortless-xlsx|StepActions",
    "Run": "run-20260913-165336",
    "Substrate": "effortless-xlsx",
    "RulebookTable": "StepActions",
    "RecordCount": 9,
    "DerivedFieldCount": 1,
    "CellsTested": 9,
    "CellsPassed": 9,
    "IsMissingAnswerFile": false,
    "SemanticTypeIri": "urn:effortless:pko-extension#TableConformance",
    "Name": "effortless-xlsx / StepActions",
    "CellsFailed": 0,
    "Score": 100.0,
    "IsPerfect": true,
    "ImperfectSubstrateKey": null,
    "ImperfectTableKey": null,
    "DisagreeingFieldCount": 0,
    "SubstrateLabel": "Excel",
    "SubjectArea": "specification"
   },
   {
    "TableConformanceId": "effortless-xlsx|StepFunctions",
    "Run": "run-20260913-165336",
    "Substrate": "effortless-xlsx",
    "RulebookTable": "StepFunctions",
    "RecordCount": 8,
    "DerivedFieldCount": 1,
    "CellsTested": 8,
    "CellsPassed": 8,
    "IsMissingAnswerFile": false,
    "SemanticTypeIri": "urn:effortless:pko-extension#TableConformance",
    "Name": "effortless-xlsx / StepFunctions",
    "CellsFailed": 0,
    "Score": 100.0,
    "IsPerfect": true,
    "ImperfectSubstrateKey": null,
    "ImperfectTableKey": null,
    "DisagreeingFieldCount": 0,
    "SubstrateLabel": "Excel",
    "SubjectArea": "specification"
   },
   {
    "TableConformanceId": "effortless-xlsx|StepTools",
    "Run": "run-20260913-165336",
    "Substrate": "effortless-xlsx",
    "RulebookTable": "StepTools",
    "RecordCount": 10,
    "DerivedFieldCount": 1,
    "CellsTested": 10,
    "CellsPassed": 10,
    "IsMissingAnswerFile": false,
    "SemanticTypeIri": "urn:effortless:pko-extension#TableConformance",
    "Name": "effortless-xlsx / StepTools",
    "CellsFailed": 0,
    "Score": 100.0,
    "IsPerfect": true,
    "ImperfectSubstrateKey": null,
    "ImperfectTableKey": null,
    "DisagreeingFieldCount": 0,
    "SubstrateLabel": "Excel",
    "SubjectArea": "specification"
   },
   {
    "TableConformanceId": "effortless-xlsx|Requirements",
    "Run": "run-20260913-165336",
    "Substrate": "effortless-xlsx",
    "RulebookTable": "Requirements",
    "RecordCount": 13,
    "DerivedFieldCount": 31,
    "CellsTested": 403,
    "CellsPassed": 379,
    "IsMissingAnswerFile": false,
    "SemanticTypeIri": "urn:effortless:pko-extension#TableConformance",
    "Name": "effortless-xlsx / Requirements",
    "CellsFailed": 24,
    "Score": 94.04,
    "IsPerfect": false,
    "ImperfectSubstrateKey": "effortless-xlsx",
    "ImperfectTableKey": "Requirements",
    "DisagreeingFieldCount": 5,
    "SubstrateLabel": "Excel",
    "SubjectArea": "governance"
   },
   {
    "TableConformanceId": "effortless-xlsx|StepRequirements",
    "Run": "run-20260913-165336",
    "Substrate": "effortless-xlsx",
    "RulebookTable": "StepRequirements",
    "RecordCount": 15,
    "DerivedFieldCount": 10,
    "CellsTested": 150,
    "CellsPassed": 150,
    "IsMissingAnswerFile": false,
    "SemanticTypeIri": "urn:effortless:pko-extension#TableConformance",
    "Name": "effortless-xlsx / StepRequirements",
    "CellsFailed": 0,
    "Score": 100.0,
    "IsPerfect": true,
    "ImperfectSubstrateKey": null,
    "ImperfectTableKey": null,
    "DisagreeingFieldCount": 0,
    "SubstrateLabel": "Excel",
    "SubjectArea": "specification"
   },
   {
    "TableConformanceId": "effortless-xlsx|StepVerifications",
    "Run": "run-20260913-165336",
    "Substrate": "effortless-xlsx",
    "RulebookTable": "StepVerifications",
    "RecordCount": 11,
    "DerivedFieldCount": 1,
    "CellsTested": 11,
    "CellsPassed": 11,
    "IsMissingAnswerFile": false,
    "SemanticTypeIri": "urn:effortless:pko-extension#TableConformance",
    "Name": "effortless-xlsx / StepVerifications",
    "CellsFailed": 0,
    "Score": 100.0,
    "IsPerfect": tr</t>
  </si>
  <si>
    <t xml:space="preserve">ue,
    "ImperfectSubstrateKey": null,
    "ImperfectTableKey": null,
    "DisagreeingFieldCount": 0,
    "SubstrateLabel": "Excel",
    "SubjectArea": "specification"
   },
   {
    "TableConformanceId": "effortless-xlsx|Rationales",
    "Run": "run-20260913-165336",
    "Substrate": "effortless-xlsx",
    "RulebookTable": "Rationales",
    "RecordCount": 4,
    "DerivedFieldCount": 1,
    "CellsTested": 4,
    "CellsPassed": 4,
    "IsMissingAnswerFile": false,
    "SemanticTypeIri": "urn:effortless:pko-extension#TableConformance",
    "Name": "effortless-xlsx / Rationales",
    "CellsFailed": 0,
    "Score": 100.0,
    "IsPerfect": true,
    "ImperfectSubstrateKey": null,
    "ImperfectTableKey": null,
    "DisagreeingFieldCount": 0,
    "SubstrateLabel": "Excel",
    "SubjectArea": "governance"
   },
   {
    "TableConformanceId": "effortless-xlsx|Exceptions",
    "Run": "run-20260913-165336",
    "Substrate": "effortless-xlsx",
    "RulebookTable": "Exceptions",
    "RecordCount": 4,
    "DerivedFieldCount": 2,
    "CellsTested": 8,
    "CellsPassed": 8,
    "IsMissingAnswerFile": false,
    "SemanticTypeIri": "urn:effortless:pko-extension#TableConformance",
    "Name": "effortless-xlsx / Exceptions",
    "CellsFailed": 0,
    "Score": 100.0,
    "IsPerfect": true,
    "ImperfectSubstrateKey": null,
    "ImperfectTableKey": null,
    "DisagreeingFieldCount": 0,
    "SubstrateLabel": "Excel",
    "SubjectArea": "governance"
   },
   {
    "TableConformanceId": "effortless-xlsx|Resources",
    "Run": "run-20260913-165336",
    "Substrate": "effortless-xlsx",
    "RulebookTable": "Resources",
    "RecordCount": 8,
    "DerivedFieldCount": 2,
    "CellsTested": 16,
    "CellsPassed": 16,
    "IsMissingAnswerFile": false,
    "SemanticTypeIri": "urn:effortless:pko-extension#TableConformance",
    "Name": "effortless-xlsx / Resources",
    "CellsFailed": 0,
    "Score": 100.0,
    "IsPerfect": true,
    "ImperfectSubstrateKey": null,
    "ImperfectTableKey": null,
    "DisagreeingFieldCount": 0,
    "SubstrateLabel": "Excel",
    "SubjectArea": "domain"
   },
   {
    "TableConformanceId": "effortless-xlsx|ProcedureResources",
    "Run": "run-20260913-165336",
    "Substrate": "effortless-xlsx",
    "RulebookTable": "ProcedureResources",
    "RecordCount": 8,
    "DerivedFieldCount": 2,
    "CellsTested": 16,
    "CellsPassed": 16,
    "IsMissingAnswerFile": false,
    "SemanticTypeIri": "urn:effortless:pko-extension#TableConformance",
    "Name": "effortless-xlsx / ProcedureResources",
    "CellsFailed": 0,
    "Score": 100.0,
    "IsPerfect": true,
    "ImperfectSubstrateKey": null,
    "ImperfectTableKey": null,
    "DisagreeingFieldCount": 0,
    "SubstrateLabel": "Excel",
    "SubjectArea": "specification"
   },
   {
    "TableConformanceId": "effortless-xlsx|ElicitationSessions",
    "Run": "run-20260913-165336",
    "Substrate": "effortless-xlsx",
    "RulebookTable": "ElicitationSessions",
    "RecordCount": 3,
    "DerivedFieldCount": 10,
    "CellsTested": 30,
    "CellsPassed": 22,
    "IsMissingAnswerFile": false,
    "SemanticTypeIri": "urn:effortless:pko-extension#TableConformance",
    "Name": "effortless-xlsx / ElicitationSessions",
    "CellsFailed": 8,
    "Score": 73.33,
    "IsPerfect": false,
    "ImperfectSubstrateKey": "effortless-xlsx",
    "ImperfectTableKey": "ElicitationSessions",
    "DisagreeingFieldCount": 3,
    "SubstrateLabel": "Excel",
    "SubjectArea": "knowledge"
   },
   {
    "TableConformanceId": "effortless-xlsx|KnowledgeFragments",
    "Run": "run-20260913-165336",
    "Substrate": "effortless-xlsx",
    "RulebookTable": "KnowledgeFragments",
    "RecordCount": 7,
    "DerivedFieldCount": 65,
    "CellsTested": 455,
    "CellsPassed": 426,
    "IsMissingAnswerFile": false,
    "SemanticTypeIri": "urn:effortless:pko-extension#TableConformance",
    "Name": "effortless-xlsx / KnowledgeFragments",
    "CellsFailed": 29,
    "Score": 93.63,
    "IsPerfect": false,
    "ImperfectSubstrateKey": "effortless-xlsx",
    "ImperfectTableKey": "KnowledgeFragments",
    "DisagreeingFieldCount": 11,
    "SubstrateLabel": "Excel",
    "SubjectArea": "knowledge"
   },
   {
    "TableConformanceId": "effortless-xlsx|KnowledgeGaps",
    "Run": "run-20260913-165336",
    "Substrate": "effortless-xlsx",
    "RulebookTable": "KnowledgeGaps",
    "RecordCount": 8,
    "DerivedFieldCount": 16,
    "CellsTested": 128,
    "CellsPassed": 119,
    "IsMissingAnswerFile": false,
    "SemanticTypeIri": "urn:effortless:pko-extension#TableConformance",
    "Name": "effortless-xlsx / KnowledgeGaps",
    "CellsFailed": 9,
    "Score": 92.97,
    "IsPerfect": false,
    "ImperfectSubstrateKey": "effortless-xlsx",
    "ImperfectTableKey": "KnowledgeGaps",
    "DisagreeingFieldCount": 2,
    "SubstrateLabel": "Excel",
    "SubjectArea": "knowledge"
   },
   {
    "TableConformanceId": "effortless-xlsx|FAQs",
    "Run": "run-20260913-165336",
    "Substrate": "effortless-xlsx",
    "RulebookTable": "FAQs",
    "RecordCount": 3,
    "DerivedFieldCount": 1,
    "CellsTested": 3,
    "CellsPassed": 0,
    "IsMissingAnswerFile": true,
    "SemanticTypeIri": "urn:effortless:pko-extension#TableConformance",
    "Name": "effortless-xlsx / FAQs",
    "CellsFailed": 3,
    "Score": 0.0,
    "IsPerfect": false,
    "ImperfectSubstrateKey": "effortless-xlsx",
    "ImperfectTableKey": "FAQs",
    "DisagreeingFieldCount": 1,
    "SubstrateLabel": "Excel",
    "SubjectArea": "knowledge"
   },
   {
    "TableConformanceId": "effortless-xlsx|Explanations",
    "Run": "run-20260913-165336",
    "Substrate": "effortless-xlsx",
    "RulebookTable": "Explanations",
    "RecordCount": 2,
    "DerivedFieldCount": 1,
    "CellsTested": 2,
    "CellsPassed": 2,
    "IsMissingAnswerFile": false,
    "SemanticTypeIri": "urn:effortless:pko-extension#TableConformance",
    "Name": "effortless-xlsx / Explanations",
    "CellsFailed": 0,
    "Score": 100.0,
    "IsPerfect": true,
    "ImperfectSubstrateKey": null,
    "ImperfectTableKey": null,
    "DisagreeingFieldCount": 0,
    "SubstrateLabel": "Excel",
    "SubjectArea": "knowledge"
   },
   {
    "TableConformanceId": "effortless-xlsx|ProcedureExecutions",
    "Run": "run-20260913-165336",
    "Substrate": "effortless-xlsx",
    "RulebookTable": "ProcedureExecutions",
    "RecordCount": 2,
    "DerivedFieldCount": 69,
    "CellsTested": 138,
    "CellsPassed": 125,
    "IsMissingAnswerFile": false,
    "SemanticTypeIri": "urn:effortless:pko-extension#TableConformance",
    "Name": "effortless-xlsx / ProcedureExecutions",
    "CellsFailed": 13,
    "Score": 90.58,
    "IsPerfect": false,
    "ImperfectSubstrateKey": "effortless-xlsx",
    "ImperfectTableKey": "ProcedureExecutions",
    "DisagreeingFieldCount": 8,
    "SubstrateLabel": "Excel",
    "SubjectArea": "specification"
   },
   {
    "TableConformanceId": "effortless-xlsx|StepExecutions",
    "Run": "run-20260913-165336",
    "Substrate": "effortless-xlsx",
    "RulebookTable": "StepExecutions",
    "RecordCount": 12,
    "DerivedFieldCount": 99,
    "CellsTested": 1188,
    "CellsPassed": 1030,
    "IsMissingAnswerFile": false,
    "SemanticTypeIri": "urn:effortless:pko-extension#TableConformance",
    "Name": "effortless-xlsx / StepExecutions",
    "CellsFailed": 158,
    "Score": 86.7,
    "IsPerfect": false,
    "ImperfectSubstrateKey": "effortless-xlsx",
    "ImperfectTableKey": "StepExecutions",
    "DisagreeingFieldCount": 19,
    "SubstrateLabel": "Excel",
    "SubjectArea": "specification"
   },
   {
    "TableConformanceId": "effortless-xlsx|RequirementSatisfactions",
    "Run": "run-20260913-165336",
    "Substrate": "effortless-xlsx",
    "RulebookTable": "RequirementSatisfactions",
    "RecordCount": 8,
    "DerivedFieldCount": 38,
    "CellsTested": 304,
    "CellsPassed": 280,
    "IsMissingAnswerFile": false,
    "SemanticTypeIri": "urn:effortless:pko-extension#TableConformance",
    "Name": "effortless-xlsx / RequirementSatisfactions",
    "CellsFailed": 24,
    "Score": 92.11,
    "IsPerfect": false,
    "ImperfectSubstrateKey": "effortless-xlsx",
    "ImperfectTableKey": "RequirementSatisfactions",
    "DisagreeingFieldCount": 3,
    "SubstrateLabel": "Excel",
    "SubjectArea": "execution"
   },
   {
    "TableConformanceId": "effortless-xlsx|Errors",
    "Run": "run-20260913-165336",
    "Substrate": "effortless-xlsx",
    "RulebookTable": "Errors",
    "RecordCount": 2,
    "DerivedFieldCount": 1,
    "CellsTested": 2,
    "CellsPassed": 2,
    "IsMissingAnswerFile": false,
    "SemanticTypeIri": "urn:effortless:pko-extension#TableConformance",
    "Name": "effortless-xlsx / Errors",
    "CellsFailed": 0,
    "Score": 100.0,
    "IsPerfect": true,
    "ImperfectSubstrateKey": null,
    "ImperfectTableKey": null,
    "DisagreeingFieldCount": 0,
    "SubstrateLabel": "Excel",
    "SubjectArea": "execution"
   },
   {
    "TableConformanceId": "effortless-xlsx|IssueOccurrences",
    "Run": "run-20260913-165336",
    "Substrate": "effortless-xlsx",
    "RulebookTable": "IssueOccurrences",
    "RecordCount": 2,
    "DerivedFieldCount": 3,
    "CellsTested": 6,
    "CellsPassed": 4,
    "IsMissingAnswerFile": false,
    "SemanticTypeIri": "urn:effortless:pko-extension#TableConformance",
    "Name": "effortless-xlsx / IssueOccurrences",
    "CellsFailed": 2,
    "Score": 66.67,
    "IsPerfect": false,
    "ImperfectSubstrateKey": "effortless-xlsx",
    "ImperfectTableKey": "IssueOccurrences",
    "DisagreeingFieldCount": 1,
    "SubstrateLabel": "Excel",
    "SubjectArea": "execution"
   },
   {
    "TableConformanceId": "effortless-xlsx|UserQuestions",
    "Run": "run-20260913-165336",
    "Substrate": "effortless-xlsx",
    "RulebookTable": "UserQuestions",
    "RecordCount": 2,
    "DerivedFieldCount": 1,
    "CellsTested": 2,
    "CellsPassed": 2,
    "IsMissingAnswerFile": false,
    "SemanticTypeIri": "urn:effortless:pko-extension#TableConformance",
    "Name": "effortless-xlsx / UserQuestions",
    "CellsFailed": 0,
    "Score": 100.0,
    "IsPerfect": true,
    "ImperfectSubstrateKey": null,
    "ImperfectTableKey": null,
    "DisagreeingFieldCount": 0,
    "SubstrateLabel": "Excel",
    "SubjectArea": "domain"
   },
   {
    "TableConformanceId": "effortless-xlsx|UserFeedback",
    "Run": "run-20260913-165336",
    "Substrate": "effortless-xlsx",
    "RulebookTable": "UserFeedback",
    "RecordCount": 2,
    "DerivedFieldCount": 1,
    "CellsTested": 2,
    "CellsPassed": 2,
    "IsMissingAnswerFile": false,
    "SemanticTypeIri": "urn:effortless:pko-extension#TableConformance",
    "Name": "effortless-xlsx / UserFeedback",
    "CellsFailed": 0,
    "Score": 100.0,
    "IsPerfect": true,
    "ImperfectSubstrateKey": null,
    "ImperfectTableKey": null,
    "DisagreeingFieldCount": 0,
    "SubstrateLabel": "Excel",
    "SubjectArea": "domain"
   },
   {
    "TableConformanceId": "effortless-xlsx|StewardshipAssignments",
    "Run": "run-20260913-165336",
    "Substrate": "effortless-xlsx",
    "RulebookTable": "StewardshipAssignments",
    "RecordCount": 2,
    "DerivedFieldCount": 5,
    "CellsTested": 10,
    "CellsPassed": 8,
    "IsMissingAnswerFile": false,
    "SemanticTypeIri": "urn:effortless:pko-extension#TableConformance",
    "Name": "effortless-xlsx / StewardshipAssignments",
    "CellsFailed": 2,
    "Score": 80.0,
    "IsPerfect": false,
    "ImperfectSubstrateKey": "effortless-xlsx",
    "ImperfectTableKey": "StewardshipAssignments",
    "DisagreeingFieldCount": 1,
    "SubstrateLabel": "Excel",
    "SubjectArea": "org"
   },
   {
    "TableConformanceId": "effortless-xlsx|ChangeRequests",
    "Run": "run-20260913-165336",
    "Substrate": "effortless-xlsx",
    "RulebookTable": "ChangeRequests",
    "RecordCount": 2,
    "DerivedFieldCount": 32,
    "CellsTested": 64,
    "CellsPassed": 60,
    "IsMissingAnswerFile": false,
    "SemanticTypeIri": "urn:effortless:pko-extension#TableConformance",
    "Name": "effortless-xlsx / ChangeRequests",
    "CellsFailed": 4,
    "Score": 93.75,
    "IsPerfect": false,
    "ImperfectSubstrateKey": "effortless-xlsx",
    "ImperfectTableKey": "ChangeRequests",
    "DisagreeingFieldCount": 3,
    "SubstrateLabel": "Excel",
    "SubjectArea": "domain"
   },
   {
    "TableConformanceId": "effortless-xlsx|ReviewEvents",
    "Run": "run-20260913-165336",
    "Substrate": "effortless-xlsx",
    "RulebookTable": "ReviewEvents",
    "RecordCount": 3,
    "DerivedFieldCount": 10,
    "CellsTested": 30,
    "CellsPassed": 21,
    "IsMissingAnswerFile": false,
    "SemanticTypeIri": "urn:effortless:pko-extension#TableConformance",
    "Name": "effortless-xlsx / ReviewEvents",
    "CellsFailed": 9,
    "Score": 70.0,
    "IsPerfect": false,
    "ImperfectSubstrateKey": "effortless-xlsx",
    "ImperfectTableKey": "ReviewEvents",
    "DisagreeingFieldCount": 3,
    "SubstrateLabel": "Excel",
    "SubjectArea": "domain"
   },
   {
    "TableConformanceId": "effortless-xlsx|LearningActivities",
    "Run": "run-20260913-165336",
    "Substrate": "effortless-xlsx",
    "RulebookTable": "LearningActivities",
    "RecordCount": 2,
    "DerivedFieldCount": 1,
    "CellsTested": 2,
    "CellsPassed": 0,
    "IsMissingAnswerFile": false,
    "SemanticTypeIri": "urn:effortless:pko-extension#TableConformance",
    "Name": "effortless-xlsx / LearningActivities",
    "CellsFailed": 2,
    "Score": 0.0,
    "IsPerfect": false,
    "ImperfectSubstrateKey": "effortless-xlsx",
    "ImperfectTableKey": "LearningActivities",
    "DisagreeingFieldCount": 1,
    "SubstrateLabel": "Excel",
    "SubjectArea": "domain"
   },
   {
    "TableConformanceId": "effortless-xlsx|OperationalBindings",
    "Run": "run-20260913-165336",
    "Substrate": "effortless-xlsx",
    "RulebookTable": "OperationalBindings",
    "RecordCount": 5,
    "DerivedFieldCount": 11,
    "CellsTested": 55,
    "CellsPassed": 10,
    "IsMissingAnswerFile": false,
    "SemanticTypeIri": "urn:effortless:pko-extension#TableConformance",
    "Name": "effortless-xlsx / OperationalBindings",
    "CellsFailed": 45,
    "Score": 18.18,
    "IsPerfect": false,
    "ImperfectSubstrateKey": "effortless-xlsx",
    "ImperfectTableKey": "OperationalBindings",
    "DisagreeingFieldCount": 9,
    "SubstrateLabel": "Excel",
    "SubjectArea": "domain"
   },
   {
    "TableConformanceId": "effortless-xlsx|CommunicationPolicies",
    "Run": "run-20260913-165336",
    "Substrate": "effortless-xlsx",
    "RulebookTable": "CommunicationPolicies",
    "RecordCount": 2,
    "DerivedFieldCount": 4,
    "CellsTested": 8,
    "CellsPassed": 8,
    "IsMissingAnswerFile": false,
    "SemanticTypeIri": "urn:effortless:pko-extension#TableConformance",
    "Name": "effortless-xlsx / CommunicationPolicies",
    "CellsFailed": 0,
    "Score": 100.0,
    "IsPerfect": true,
    "ImperfectSubstrateKey": null,
    "ImperfectTableKey": null,
    "DisagreeingFieldCount": 0,
    "SubstrateLabel": "Excel",
    "SubjectArea": "communication"
   },
   {
    "TableConformanceId": "effortless-xlsx|MessageTemplates",
    "Run": "run-20260913-165336",
    "Substrate": "effortless-xlsx",
    "RulebookTable": "MessageTemplates",
    "RecordCount": 2,
    "DerivedFieldCount": 16,
    "CellsTested": 32,
    "CellsPassed": 30,
    "IsMissingAnswerFile": false,
    "SemanticTypeIri": "urn:effortless:pko-extension#TableConformance",
    "Name": "effortless-xlsx / MessageTemplates",
    "CellsFailed": 2,
    "Score": 93.75,
    "IsPerfect": false,
    "ImperfectSubstrateKey": "effortless-xlsx",
    "ImperfectTableKey": "MessageTemplates",
    "DisagreeingFieldCount": 1,
    "SubstrateLabel": "Excel",
    "SubjectArea": "communication"
   },
   {
    "TableConformanceId": "effortless-xlsx|SemanticMappings",
    "Run": "run-20260913-165336",
    "Substrate": "effortless-xlsx",
    "RulebookTable": "SemanticMappings",
    "RecordCount": 47,
    "DerivedFieldCount": 1,
    "CellsTested": 47,
    "CellsPassed": 47,
    "IsMissingAnswerFile": false,
    "SemanticTypeIri": "urn:effortless:pko-extension#TableConformance",
    "Name": "effortless-xlsx / SemanticMappings",
    "CellsFailed": 0,
    "Score": 100.0,
    "IsPerfect": true,
    "ImperfectSubstrateKey": null,
    "ImperfectTableKey": null,
    "DisagreeingFieldCount": 0,
    "SubstrateLabel": "Excel",
    "SubjectArea": "meta"
   },
   {
    "TableConformanceId": "effortless-xlsx|WitnessLoops",
    "Run": "run-20260913-165336",
    "Substrate": "effortless-xlsx",
    "RulebookTable": "WitnessLoops",
    "RecordCount": 3,
    "DerivedFieldCount": 3,
    "CellsTested": 9,
    "CellsPassed": 9,
    "IsMissingAnswerFile": false,
    "SemanticTypeIri": "urn:effortless:pko-extension#TableConformance",
    "Name": "effortless-xlsx / WitnessLoops",
    "CellsFailed": 0,
    "Score": 100.0,
    "IsPerfect": true,
    "ImperfectSubstrateKey": null,
    "ImperfectTableKey": null,
    "DisagreeingFieldCount": 0,
    "SubstrateLabel": "Excel",
    "SubjectArea": "meta"
   },
   {
    "TableConformanceId": "effortless-xlsx|RoleQuestions",
    "Run": "run-20260913-165336",
    "Substrate": "effortless-xlsx",
    "RulebookTable": "RoleQuestions",
    "RecordCount": 109,
    "DerivedFieldCount": 3,
    "CellsTested": 327,
    "CellsPassed": 262,
    "IsMissingAnswerFile": false,
    "SemanticTypeIri": "urn:effortless:pko-extension#TableConformance",
    "Name": "effortless-xlsx / RoleQuestions",
    "CellsFailed": 65,
    "Score": 80.12,
    "IsPerfect": false,
    "ImperfectSubstrateKey": "effortless-xlsx",
    "ImperfectTableKey": "RoleQuestions",
    "DisagreeingFieldCount": 2,
    "SubstrateLabel": "Excel",
    "SubjectArea": "org"
   },
   {
    "TableConformanceId": "effortless-xlsx|RulebookFields",
    "Run": "run-20260913-165336",
    "Substrate": "effortless-xlsx",
    "RulebookTable": "RulebookFields",
    "RecordCount": 1879,
    "DerivedFieldCount": 5,
    "CellsTested": 9395,
    "CellsPassed": 9395,
    "IsMissingAnswerFile": false,
    "SemanticTypeIri": "urn:effortless:pko-extension#TableConformance",
    "Name": "effortless-xlsx / RulebookFields",
    "CellsFailed": 0,
    "Score": 100.0,
    "IsPerfect": true,
    "ImperfectSubstrateKey": null,
    "ImperfectTableKey": null,
    "DisagreeingFieldCount": 0,
    "SubstrateLabel": "Excel",
    "SubjectArea": "access-control"
   },
   {
    "TableConformanceId": "effortless-xlsx|TestSuites",
    "Run": "run-20260913-165336",
    "Substrate": "effortless-xlsx",
    "RulebookTable": "TestSuites",
    "RecordCount": 6,
    "DerivedFieldCount": 5,
    "CellsTested": 30,
    "CellsPassed": 20,
    "IsMissingAnswerFile": false,
    "SemanticTypeIri": "urn:effortless:pko-extension#TableConformance",
    "Name": "effortless-xlsx / TestSuites",
    "CellsFailed": 10,
    "Score": 66.67,
    "IsPerfect": false,
    "ImperfectSubstrateKey": "effortless-xlsx",
    "ImperfectTableKey": "TestSuites",
    "DisagreeingFieldCount": 2,
    "SubstrateLabel": "Excel",
    "SubjectArea": "meta"
   },
   {
    "TableConformanceId": "effortless-xlsx|TestCases",
    "Run": "run-20260913-165336",
    "Substrate": "effortless-xlsx",
    "RulebookTable": "TestCases",
    "RecordCount": 1794,
    "DerivedFieldCount": 7,
    "CellsTested": 12558,
    "CellsPassed": 12558,
    "IsMissingAnswerFile": false,
    "SemanticTypeIri": "urn:effortless:pko-extension#TableConformance",
    "Name": "effortless-xlsx / TestCases",
    "CellsFailed": 0,
    "Score": 100.0,
    "IsPerfect": true,
    "ImperfectSubstrateKey": null,
    "ImperfectTableKey": null,
    "DisagreeingFieldCount": 0,
    "SubstrateLabel": "Excel",
    "SubjectArea": "meta"
   },
   {
    "TableConformanceId": "effortless-xlsx|ExceptionInvocations",
    "Run": "run-20260913-165336",
    "Substrate": "effortless-xlsx",
    "RulebookTable": "ExceptionInvocations",
    "RecordCount": 1,
    "DerivedFieldCount": 13,
    "CellsTested": 13,
    "CellsPassed": 13,
    "IsMissingAnswerFile": false,
    "SemanticTypeIri": "urn:effortless:pko-extension#TableConformance",
    "Name": "effortless-xlsx / ExceptionInvocations",
    "CellsFailed": 0,
    "Score": 100.0,
    "IsPerfect": true,
    "ImperfectSubstrateKey": null,
    "ImperfectTableKey": null,
    "DisagreeingFieldCount": 0,
    "SubstrateLabel": "Excel",
    "SubjectArea": "governance"
   },
   {
    "TableConformanceId": "effortless-xlsx|VerificationOutcomes",
    "Run": "run-20260913-165336",
    "Substrate": "effortless-xlsx",
    "RulebookTable": "VerificationOutcomes",
    "RecordCount": 4,
    "DerivedFieldCount": 18,
    "CellsTested": 72,
    "CellsPassed": 72,
    "IsMissingAnswerFile": false,
    "SemanticTypeIri": "urn:effortless:pko-extension#TableConformance",
    "Name": "effortless-xlsx / VerificationOutcomes",
    "CellsFailed": 0,
    "Score": 100.0,
    "IsPerfect": true,
    "ImperfectSubstrateKey": null,
    "ImperfectTableKey": null,
    "DisagreeingFieldCount": 0,
    "SubstrateLabel": "Excel",
    "SubjectArea": "execution"
   },
   {
    "TableConformanceId": "effortless-xlsx|ObservedTransitions",
    "Run": "run-20260913-165336",
    "Substrate": "effortless-xlsx",
    "RulebookTable": "ObservedTransitions",
    "RecordCount": 10,
    "DerivedFieldCount": 1,
    "CellsTested": 10,
    "CellsPassed": 0,
    "IsMissingAnswerFile": false,
    "SemanticTypeIri": "urn:effortless:pko-extension#TableConformance",
    "Name": "effortless-xlsx / ObservedTransitions",
    "CellsFailed": 10,
    "Score": 0.0,
    "IsPerfect": false,
    "ImperfectSubstrateKey": "effortless-xlsx",
    "ImperfectTableKey": "ObservedTransitions",
    "DisagreeingFieldCount": 1,
    "SubstrateLabel": "Excel",
    "SubjectArea": "specification"
   },
   {
    "TableConformanceId": "effortless-xlsx|Recipients",
    "Run": "run-20260913-165336",
    "Substrate": "effortless-xlsx",
    "RulebookTable": "Recipients",
    "RecordCount": 5,
    "DerivedFieldCount": 6,
    "CellsTested": 30,
    "CellsPassed": 30,
    "IsMissingAnswerFile": false,
    "SemanticTypeIri": "urn:effortless:pko-extension#TableConformance",
    "Name": "effortless-xlsx / Recipients",
    "CellsFailed": 0,
    "Score": 100.0,
    "IsPerfect": true,
    "ImperfectSubstrateKey": null,
    "ImperfectTableKey": null,
    "DisagreeingFieldCount": 0,
    "SubstrateLabel": "Excel",
    "SubjectArea": "communication"
   },
   {
    "TableConformanceId": "effortless-xlsx|MessageDeliveries",
    "Run": "run-20260913-165336",
    "Substrate": "effortless-xlsx",
    "RulebookTable": "MessageDeliveries",
    "RecordCount": 6,
    "DerivedFieldCount": 74,
    "CellsTested": 444,
    "CellsPassed": 393,
    "IsMissingAnswerFile": false,
    "SemanticTypeIri": "urn:effortless:pko-extension#TableConformance",
    "Name": "effortless-xlsx / MessageDeliveries",
    "CellsFailed": 51,
    "Score": 88.51,
    "IsPerfect": false,
    "ImperfectSubstrateKey": "effortless-xlsx",
    "ImperfectTableKey": "MessageDeliveries",
    "DisagreeingFieldCount": 12,
    "SubstrateLabel": "Excel",
    "SubjectArea": "communication"
   },
   {
    "TableConformanceId": "effortless-xlsx|TemplateApprovals",
    "Run": "run-20260913-165336",
    "Substrate": "effortless-xlsx",
    "RulebookTable": "TemplateApprovals",
    "RecordCount": 2,
    "DerivedFieldCount": 6,
    "CellsTested": 12,
    "CellsPassed": 10,
    "IsMissingAnswerFile": false,
    "SemanticTypeIri": "urn:effortless:pko-extension#TableConformance",
    "Name": "effortless-xlsx / TemplateApprovals",
    "CellsFailed": 2,
    "Score": 83.33,
    "IsPerfect": false,
    "ImperfectSubstrateKey": "effortless-xlsx",
    "ImperfectTableKey": "TemplateApprovals",
    "DisagreeingFieldCount": 1,
    "SubstrateLabel": "Excel",
    "SubjectArea": "communication"
   },
   {
    "TableConformanceId": "effortless-xlsx|SendIntents",
    "Run": "run-20260913-165336",
    "Substrate": "effortless-xlsx",
    "RulebookTable": "SendIntents",
    "RecordCount": 7,
    "DerivedFieldCount": 79,
    "CellsTested": 553,
    "CellsPassed": 475,
    "IsMissingAnswerFile": false,
    "SemanticTypeIri": "urn:effortless:pko-extension#TableConformance",
    "Name": "effortless-xlsx / SendIntents",
    "CellsFailed": 78,
    "Score": 85.9,
    "IsPerfect": false,
    "ImperfectSubstrateKey": "effortless-xlsx",
    "ImperfectTableKey": "SendIntents",
    "DisagreeingFieldCount": 23,
    "SubstrateLabel": "Excel",
    "SubjectArea": "communication"
   },
   {
    "TableConformanceId": "effortless-xlsx|AgentDecisionRecords",
    "Run": "run-20260913-165336",
    "Substrate": "effortless-xlsx",
    "RulebookTable": "AgentDecisionRecords",
    "RecordCount": 3,
    "DerivedFieldCount": 27,
    "CellsTested": 81,
    "CellsPassed": 78,
    "IsMissingAnswerFile": false,
    "SemanticTypeIri": "urn:effortless:pko-extension#TableConformance",
    "Name": "effortless-xlsx / AgentDecisionRecords",
    "CellsFailed": 3,
    "Score": 96.3,
    "IsPerfect": false,
    "ImperfectSubstrateKey": "effortless-xlsx",
    "ImperfectTableKey": "AgentDecisionRecords",
    "DisagreeingFieldCount": 1,
    "SubstrateLabel": "Excel",
    "SubjectArea": "org"
   },
   {
    "TableConformanceId": "effortless-xlsx|DeliveredCommunications",
    "Run": "run-20260913-165336",
    "Substrate": "effortless-xlsx",
    "RulebookTable": "DeliveredCommunications",
    "RecordCount": 1,
    "DerivedFieldCount": 6,
    "CellsTested": 6,
    "CellsPassed": 4,
    "IsMissingAnswerFile": false,
    "SemanticTypeIri": "urn:effortless:pko-extension#TableConformance",
    "Name": "effortless-xlsx / DeliveredCommunications",
    "CellsFailed": 2,
    "Score": 66.67,
    "IsPerfect": false,
    "ImperfectSubstrateKey": "effortless-xlsx",
    "ImperfectTableKey": "DeliveredCommunications",
    "DisagreeingFieldCount": 2,
    "SubstrateLabel": "Excel",
    "SubjectArea": "communication"
   },
   {
    "TableConformanceId": "effortless-xlsx|AuthorityBoundaries",
    "Run": "run-20260913-165336",
    "Substrate": "effortless-xlsx",
    "RulebookTable": "AuthorityBoundaries",
    "RecordCount": 3,
    "DerivedFieldCount": 21,
    "CellsTested": 63,
    "CellsPassed": 52,
    "IsMissingAnswerFile": false,
    "SemanticTypeIri": "urn:effortless:pko-extension#TableConformance",
    "Name": "effortless-xlsx / AuthorityBoundaries",
    "CellsFailed": 11,
    "Score": 82.54,
    "IsPerfect": false,
    "ImperfectSubstrateKey": "effortless-xlsx",
    "ImperfectTableKey": "AuthorityBoundaries",
    "DisagreeingFieldCount": 9,
    "SubstrateLabel": "Excel",
    "SubjectArea": "governance"
   },
   {
    "TableConformanceId": "effortless-xlsx|AppRoleProfiles",
    "Run": "run-20260913-165336",
    "Substrate": "effortless-xlsx",
    "RulebookTable": "AppRoleProfiles",
    "RecordCount": 12,
    "DerivedFieldCount": 2,
    "CellsTested": 24,
    "CellsPassed": 24,
    "IsMissingAnswerFile": false,
    "SemanticTypeIri": "urn:effortless:pko-extension#TableConformance",
    "Name": "effortless-xlsx / AppRoleProfiles",
    "CellsFailed": 0,
    "Score": 100.0,
    "IsPerfect": true,
    "ImperfectSubstrateKey": null,
    "ImperfectTableKey": null,
    "DisagreeingFieldCount": 0,
    "SubstrateLabel": "Excel",
    "SubjectArea": "org"
   },
   {
    "TableConformanceId": "effortless-xlsx|AppNavGroups",
    "Run": "run-20260913-165336",
    "Substrate": "effortless-xlsx",
    "RulebookTable": "AppNavGroups",
    "RecordCount": 23,
    "DerivedFieldCount": 2,
    "CellsTested": 46,
    "CellsPassed": 46,
    "IsMissingAnswerFile": false,
    "SemanticTypeIri": "urn:effortless:pko-extension#TableConformance",
    "Name": "effortless-xlsx / AppNavGroups",
    "CellsFailed": 0,
    "Score": 100.0,
    "IsPerfect": true,
    "ImperfectSubstrateKey": null,
    "ImperfectTableKey": null,
    "DisagreeingFieldCount": 0,
    "SubstrateLabel": "Excel",
    "SubjectArea": "application"
   },
   {
    "TableConformanceId": "effortless-xlsx|AppRoutes",
    "Run": "run-20260913-165336",
    "Substrate": "effortless-xlsx",
    "RulebookTable": "AppRoutes",
    "RecordCount": 149,
    "DerivedFieldCount": 7,
    "CellsTested": 1043,
    "CellsPassed": 1043,
    "IsMissingAnswerFile": false,
    "SemanticTypeIri": "urn:effortless:pko-extension#TableConformance",
    "Name": "effortless-xlsx / AppRoutes",
    "CellsFailed": 0,
    "Score": 100.0,
    "IsPerfect": true,
    "ImperfectSubstrateKey": null,
    "ImperfectTableKey": null,
    "DisagreeingFieldCount": 0,
    "SubstrateLabel": "Excel",
    "SubjectArea": "application"
   },
   {
    "TableConformanceId": "effortless-xlsx|AppRouteQuestions",
    "Run": "run-20260913-165336",
    "Substrate": "effortless-xlsx",
    "RulebookTable": "AppRouteQuestions",
    "RecordCount": 151,
    "DerivedFieldCount": 1,
    "CellsTested": 151,
    "CellsPassed": 151,
    "IsMissingAnswerFile": false,
    "SemanticTypeIri": "urn:effortless:pko-extension#TableConformance",
    "Name": "effortless-xlsx / AppRouteQuestions",
    "CellsFailed": 0,
    "Score": 100.0,
    "IsPerfect": true,
    "ImperfectSubstrateKey": null,
    "ImperfectTableKey": null,
    "DisagreeingFieldCount": 0,
    "SubstrateLabel": "Excel",
    "SubjectArea": "application"
   },
   {
    "TableConformanceId": "effortless-xlsx|AppRouteReferences",
    "Run": "run-20260913-165336",
    "Substrate": "effortless-xlsx",
    "RulebookTable": "AppRouteReferences",
    "RecordCount": 315,
    "DerivedFieldCount": 1,
    "CellsTested": 315,
    "CellsPassed": 315,
    "IsMissingAnswerFile": false,
    "SemanticTypeIri": "urn:effortless:pko-extension#TableConformance",
    "Name": "effortless-xlsx / AppRouteReferences",
    "CellsFailed": 0,
    "Score": 100.0,
    "IsPerfect": true,
    "ImperfectSubstrateKey": null,
    "ImperfectTableKey": null,
    "DisagreeingFieldCount": 0,
    "SubstrateLabel": "Excel",
    "SubjectArea": "application"
   },
   {
    "TableConformanceId": "effortless-xlsx|RulebookTables",
    "Run": "run-20260913-165336",
    "Substrate": "effortless-xlsx",
    "RulebookTable": "RulebookTables",
    "RecordCount": 92,
    "DerivedFieldCount": 5,
    "CellsTested": 460,
    "CellsPassed": 413,
    "IsMissingAnswerFile": false,
    "SemanticTypeIri": "urn:effortless:pko-extension#TableConformance",
    "Name": "effortless-xlsx / RulebookTables",
    "CellsFailed": 47,
    "Score": 89.78,
    "IsPerfect": false,
    "ImperfectSubstrateKey": "effortless-xlsx",
    "ImperfectTableKey": "RulebookTables",
    "DisagreeingFieldCount": 1,
    "SubstrateLabel": "Excel",
    "SubjectArea": "meta"
   },
   {
    "TableConformanceId": "effortless-xlsx|AccessPrincipals",
    "Run": "run-20260913-165336",
    "Substrate": "effortless-xlsx",
    "RulebookTable": "AccessPrincipals",
    "RecordCount": 12,
    "DerivedFieldCount": 8,
    "CellsTested": 96,
    "CellsPassed": 94,
    "IsMissingAnswerFile": false,
    "SemanticTypeIri": "urn:effortless:pko-extension#TableConformance",
    "Name": "effortless-xlsx / AccessPrincipals",
    "CellsFailed": 2,
    "Score": 97.92,
    "IsPerfect": false,
    "ImperfectSubstrateKey": "effortless-xlsx",
    "ImperfectTableKey": "AccessPrincipals",
    "DisagreeingFieldCount": 1,
    "SubstrateLabel": "Excel",
    "SubjectArea": "access-control"
   },
   {
    "TableConformanceId": "effortless-xlsx|AccessPolicies",
    "Run": "run-20260913-165336",
    "Substrate": "effortless-xlsx",
    "RulebookTable": "AccessPolicies",
    "RecordCount": 202,
    "DerivedFieldCount": 7,
    "CellsTested": 1414,
    "CellsPassed": 1414,
    "IsMissingAnswerFile": false,
    "SemanticTypeIri": "urn:effortless:pko-extension#TableConformance",
    "Name": "effortless-xlsx / AccessPolicies",
    "CellsFailed": 0,
    "Score": 100.0,
    "IsPerfect": true,
    "ImperfectSubstrateKey": null,
    "ImperfectTableKey": null,
    "DisagreeingFieldCount": 0,
    "SubstrateLabel": "Excel",
    "SubjectArea": "access-control"
   },
   {
    "TableConformanceId": "effortless-xlsx|FieldGrants",
    "Run": "run-20260913-165336",
    "Substrate": "effortless-xlsx",
    "RulebookTable": "FieldGrants",
    "RecordCount": 3639,
    "DerivedFieldCount": 7,
    "CellsTested": 25473,
    "CellsPassed": 20725,
    "IsMissingAnswerFile": false,
    "SemanticTypeIri": "urn:effortless:pko-extension#TableConformance",
    "Name": "effortless-xlsx / FieldGrants",
    "CellsFailed": 4748,
    "Score": 81.36,
    "IsPerfect": false,
    "ImperfectSubstrateKey": "effortless-xlsx",
    "ImperfectTableKey": "FieldGrants",
    "DisagreeingFieldCount": 4,
    "SubstrateLabel": "Excel",
    "SubjectArea": "access-control"
   },
   {
    "TableConformanceId": "effortless-xlsx|RoleSchemas",
    "Run": "run-20260913-165336",
    "Substrate": "effortless-xlsx",
    "RulebookTable": "RoleSchemas",
    "RecordCount": 12,
    "DerivedFieldCount": </t>
  </si>
  <si>
    <t xml:space="preserve">4,
    "CellsTested": 48,
    "CellsPassed": 48,
    "IsMissingAnswerFile": false,
    "SemanticTypeIri": "urn:effortless:pko-extension#TableConformance",
    "Name": "effortless-xlsx / RoleSchemas",
    "CellsFailed": 0,
    "Score": 100.0,
    "IsPerfect": true,
    "ImperfectSubstrateKey": null,
    "ImperfectTableKey": null,
    "DisagreeingFieldCount": 0,
    "SubstrateLabel": "Excel",
    "SubjectArea": "org"
   },
   {
    "TableConformanceId": "effortless-xlsx|RoleSchemaViews",
    "Run": "run-20260913-165336",
    "Substrate": "effortless-xlsx",
    "RulebookTable": "RoleSchemaViews",
    "RecordCount": 202,
    "DerivedFieldCount": 8,
    "CellsTested": 1616,
    "CellsPassed": 1111,
    "IsMissingAnswerFile": false,
    "SemanticTypeIri": "urn:effortless:pko-extension#TableConformance",
    "Name": "effortless-xlsx / RoleSchemaViews",
    "CellsFailed": 505,
    "Score": 68.75,
    "IsPerfect": false,
    "ImperfectSubstrateKey": "effortless-xlsx",
    "ImperfectTableKey": "RoleSchemaViews",
    "DisagreeingFieldCount": 4,
    "SubstrateLabel": "Excel",
    "SubjectArea": "org"
   },
   {
    "TableConformanceId": "effortless-xlsx|JwtClaimMappings",
    "Run": "run-20260913-165336",
    "Substrate": "effortless-xlsx",
    "RulebookTable": "JwtClaimMappings",
    "RecordCount": 4,
    "DerivedFieldCount": 2,
    "CellsTested": 8,
    "CellsPassed": 8,
    "IsMissingAnswerFile": false,
    "SemanticTypeIri": "urn:effortless:pko-extension#TableConformance",
    "Name": "effortless-xlsx / JwtClaimMappings",
    "CellsFailed": 0,
    "Score": 100.0,
    "IsPerfect": true,
    "ImperfectSubstrateKey": null,
    "ImperfectTableKey": null,
    "DisagreeingFieldCount": 0,
    "SubstrateLabel": "Excel",
    "SubjectArea": "access-control"
   },
   {
    "TableConformanceId": "effortless-xlsx|AccessDenialTests",
    "Run": "run-20260913-165336",
    "Substrate": "effortless-xlsx",
    "RulebookTable": "AccessDenialTests",
    "RecordCount": 17,
    "DerivedFieldCount": 6,
    "CellsTested": 102,
    "CellsPassed": 102,
    "IsMissingAnswerFile": false,
    "SemanticTypeIri": "urn:effortless:pko-extension#TableConformance",
    "Name": "effortless-xlsx / AccessDenialTests",
    "CellsFailed": 0,
    "Score": 100.0,
    "IsPerfect": true,
    "ImperfectSubstrateKey": null,
    "ImperfectTableKey": null,
    "DisagreeingFieldCount": 0,
    "SubstrateLabel": "Excel",
    "SubjectArea": "access-control"
   },
   {
    "TableConformanceId": "effortless-xlsx|AppUsers",
    "Run": "run-20260913-165336",
    "Substrate": "effortless-xlsx",
    "RulebookTable": "AppUsers",
    "RecordCount": 10,
    "DerivedFieldCount": 7,
    "CellsTested": 70,
    "CellsPassed": 70,
    "IsMissingAnswerFile": false,
    "SemanticTypeIri": "urn:effortless:pko-extension#TableConformance",
    "Name": "effortless-xlsx / AppUsers",
    "CellsFailed": 0,
    "Score": 100.0,
    "IsPerfect": true,
    "ImperfectSubstrateKey": null,
    "ImperfectTableKey": null,
    "DisagreeingFieldCount": 0,
    "SubstrateLabel": "Excel",
    "SubjectArea": null
   },
   {
    "TableConformanceId": "effortless-xlsx|PrincipalAssignments",
    "Run": "run-20260913-165336",
    "Substrate": "effortless-xlsx",
    "RulebookTable": "PrincipalAssignments",
    "RecordCount": 12,
    "DerivedFieldCount": 5,
    "CellsTested": 60,
    "CellsPassed": 60,
    "IsMissingAnswerFile": false,
    "SemanticTypeIri": "urn:effortless:pko-extension#TableConformance",
    "Name": "effortless-xlsx / PrincipalAssignments",
    "CellsFailed": 0,
    "Score": 100.0,
    "IsPerfect": true,
    "ImperfectSubstrateKey": null,
    "ImperfectTableKey": null,
    "DisagreeingFieldCount": 0,
    "SubstrateLabel": "Excel",
    "SubjectArea": null
   },
   {
    "TableConformanceId": "effortless-xlsx|ProcessMiningRuns",
    "Run": "run-20260913-165336",
    "Substrate": "effortless-xlsx",
    "RulebookTable": "ProcessMiningRuns",
    "RecordCount": 4,
    "DerivedFieldCount": 10,
    "CellsTested": 40,
    "CellsPassed": 32,
    "IsMissingAnswerFile": false,
    "SemanticTypeIri": "urn:effortless:pko-extension#TableConformance",
    "Name": "effortless-xlsx / ProcessMiningRuns",
    "CellsFailed": 8,
    "Score": 80.0,
    "IsPerfect": false,
    "ImperfectSubstrateKey": "effortless-xlsx",
    "ImperfectTableKey": "ProcessMiningRuns",
    "DisagreeingFieldCount": 2,
    "SubstrateLabel": "Excel",
    "SubjectArea": "knowledge"
   },
   {
    "TableConformanceId": "effortless-xlsx|Vocabularies",
    "Run": "run-20260913-165336",
    "Substrate": "effortless-xlsx",
    "RulebookTable": "Vocabularies",
    "RecordCount": 2,
    "DerivedFieldCount": 4,
    "CellsTested": 8,
    "CellsPassed": 8,
    "IsMissingAnswerFile": false,
    "SemanticTypeIri": "urn:effortless:pko-extension#TableConformance",
    "Name": "effortless-xlsx / Vocabularies",
    "CellsFailed": 0,
    "Score": 100.0,
    "IsPerfect": true,
    "ImperfectSubstrateKey": null,
    "ImperfectTableKey": null,
    "DisagreeingFieldCount": 0,
    "SubstrateLabel": "Excel",
    "SubjectArea": "knowledge"
   },
   {
    "TableConformanceId": "effortless-xlsx|VocabularyTerms",
    "Run": "run-20260913-165336",
    "Substrate": "effortless-xlsx",
    "RulebookTable": "VocabularyTerms",
    "RecordCount": 12,
    "DerivedFieldCount": 5,
    "CellsTested": 60,
    "CellsPassed": 60,
    "IsMissingAnswerFile": false,
    "SemanticTypeIri": "urn:effortless:pko-extension#TableConformance",
    "Name": "effortless-xlsx / VocabularyTerms",
    "CellsFailed": 0,
    "Score": 100.0,
    "IsPerfect": true,
    "ImperfectSubstrateKey": null,
    "ImperfectTableKey": null,
    "DisagreeingFieldCount": 0,
    "SubstrateLabel": "Excel",
    "SubjectArea": "knowledge"
   },
   {
    "TableConformanceId": "effortless-xlsx|KnowledgeBrokerLinks",
    "Run": "run-20260913-165336",
    "Substrate": "effortless-xlsx",
    "RulebookTable": "KnowledgeBrokerLinks",
    "RecordCount": 5,
    "DerivedFieldCount": 8,
    "CellsTested": 40,
    "CellsPassed": 35,
    "IsMissingAnswerFile": false,
    "SemanticTypeIri": "urn:effortless:pko-extension#TableConformance",
    "Name": "effortless-xlsx / KnowledgeBrokerLinks",
    "CellsFailed": 5,
    "Score": 87.5,
    "IsPerfect": false,
    "ImperfectSubstrateKey": "effortless-xlsx",
    "ImperfectTableKey": "KnowledgeBrokerLinks",
    "DisagreeingFieldCount": 1,
    "SubstrateLabel": "Excel",
    "SubjectArea": "knowledge"
   },
   {
    "TableConformanceId": "effortless-entity-framework|RulebookReleases",
    "Run": "run-20260913-165336",
    "Substrate": "effortless-entity-framework",
    "RulebookTable": "RulebookReleases",
    "RecordCount": 1,
    "DerivedFieldCount": 1,
    "CellsTested": 1,
    "CellsPassed": 1,
    "IsMissingAnswerFile": false,
    "SemanticTypeIri": "urn:effortless:pko-extension#TableConformance",
    "Name": "effortless-entity-framework / RulebookReleases",
    "CellsFailed": 0,
    "Score": 100.0,
    "IsPerfect": true,
    "ImperfectSubstrateKey": null,
    "ImperfectTableKey": null,
    "DisagreeingFieldCount": 0,
    "SubstrateLabel": "C# / Entity Framework",
    "SubjectArea": "meta"
   },
   {
    "TableConformanceId": "effortless-entity-framework|OntologyProfiles",
    "Run": "run-20260913-165336",
    "Substrate": "effortless-entity-framework",
    "RulebookTable": "OntologyProfiles",
    "RecordCount": 11,
    "DerivedFieldCount": 1,
    "CellsTested": 11,
    "CellsPassed": 11,
    "IsMissingAnswerFile": false,
    "SemanticTypeIri": "urn:effortless:pko-extension#TableConformance",
    "Name": "effortless-entity-framework / OntologyProfiles",
    "CellsFailed": 0,
    "Score": 100.0,
    "IsPerfect": true,
    "ImperfectSubstrateKey": null,
    "ImperfectTableKey": null,
    "DisagreeingFieldCount": 0,
    "SubstrateLabel": "C# / Entity Framework",
    "SubjectArea": "domain"
   },
   {
    "TableConformanceId": "effortless-entity-framework|EvaluationContexts",
    "Run": "run-20260913-165336",
    "Substrate": "effortless-entity-framework",
    "RulebookTable": "EvaluationContexts",
    "RecordCount": 1,
    "DerivedFieldCount": 1,
    "CellsTested": 1,
    "CellsPassed": 0,
    "IsMissingAnswerFile": false,
    "SemanticTypeIri": "urn:effortless:pko-extension#TableConformance",
    "Name": "effortless-entity-framework / EvaluationContexts",
    "CellsFailed": 1,
    "Score": 0.0,
    "IsPerfect": false,
    "ImperfectSubstrateKey": "effortless-entity-framework",
    "ImperfectTableKey": "EvaluationContexts",
    "DisagreeingFieldCount": 1,
    "SubstrateLabel": "C# / Entity Framework",
    "SubjectArea": "meta"
   },
   {
    "TableConformanceId": "effortless-entity-framework|Organizations",
    "Run": "run-20260913-165336",
    "Substrate": "effortless-entity-framework",
    "RulebookTable": "Organizations",
    "RecordCount": 4,
    "DerivedFieldCount": 1,
    "CellsTested": 4,
    "CellsPassed": 4,
    "IsMissingAnswerFile": false,
    "SemanticTypeIri": "urn:effortless:pko-extension#TableConformance",
    "Name": "effortless-entity-framework / Organizations",
    "CellsFailed": 0,
    "Score": 100.0,
    "IsPerfect": true,
    "ImperfectSubstrateKey": null,
    "ImperfectTableKey": null,
    "DisagreeingFieldCount": 0,
    "SubstrateLabel": "C# / Entity Framework",
    "SubjectArea": "org"
   },
   {
    "TableConformanceId": "effortless-entity-framework|Agents",
    "Run": "run-20260913-165336",
    "Substrate": "effortless-entity-framework",
    "RulebookTable": "Agents",
    "RecordCount": 11,
    "DerivedFieldCount": 16,
    "CellsTested": 176,
    "CellsPassed": 176,
    "IsMissingAnswerFile": false,
    "SemanticTypeIri": "urn:effortless:pko-extension#TableConformance",
    "Name": "effortless-entity-framework / Agents",
    "CellsFailed": 0,
    "Score": 100.0,
    "IsPerfect": true,
    "ImperfectSubstrateKey": null,
    "ImperfectTableKey": null,
    "DisagreeingFieldCount": 0,
    "SubstrateLabel": "C# / Entity Framework",
    "SubjectArea": "org"
   },
   {
    "TableConformanceId": "effortless-entity-framework|Roles",
    "Run": "run-20260913-165336",
    "Substrate": "effortless-entity-framework",
    "RulebookTable": "Roles",
    "RecordCount": 12,
    "DerivedFieldCount": 17,
    "CellsTested": 204,
    "CellsPassed": 204,
    "IsMissingAnswerFile": false,
    "SemanticTypeIri": "urn:effortless:pko-extension#TableConformance",
    "Name": "effortless-entity-framework / Roles",
    "CellsFailed": 0,
    "Score": 100.0,
    "IsPerfect": true,
    "ImperfectSubstrateKey": null,
    "ImperfectTableKey": null,
    "DisagreeingFieldCount": 0,
    "SubstrateLabel": "C# / Entity Framework",
    "SubjectArea": "org"
   },
   {
    "TableConformanceId": "effortless-entity-framework|RoleAssignments",
    "Run": "run-20260913-165336",
    "Substrate": "effortless-entity-framework",
    "RulebookTable": "RoleAssignments",
    "RecordCount": 13,
    "DerivedFieldCount": 47,
    "CellsTested": 611,
    "CellsPassed": 584,
    "IsMissingAnswerFile": false,
    "SemanticTypeIri": "urn:effortless:pko-extension#TableConformance",
    "Name": "effortless-entity-framework / RoleAssignments",
    "CellsFailed": 27,
    "Score": 95.58,
    "IsPerfect": false,
    "ImperfectSubstrateKey": "effortless-entity-framework",
    "ImperfectTableKey": "RoleAssignments",
    "DisagreeingFieldCount": 3,
    "SubstrateLabel": "C# / Entity Framework",
    "SubjectArea": "org"
   },
   {
    "TableConformanceId": "effortless-entity-framework|CommunitiesOfPractice",
    "Run": "run-20260913-165336",
    "Substrate": "effortless-entity-framework",
    "RulebookTable": "CommunitiesOfPractice",
    "RecordCount": 2,
    "DerivedFieldCount": 1,
    "CellsTested": 2,
    "CellsPassed": 2,
    "IsMissingAnswerFile": false,
    "SemanticTypeIri": "urn:effortless:pko-extension#TableConformance",
    "Name": "effortless-entity-framework / CommunitiesOfPractice",
    "CellsFailed": 0,
    "Score": 100.0,
    "IsPerfect": true,
    "ImperfectSubstrateKey": null,
    "ImperfectTableKey": null,
    "DisagreeingFieldCount": 0,
    "SubstrateLabel": "C# / Entity Framework",
    "SubjectArea": "org"
   },
   {
    "TableConformanceId": "effortless-entity-framework|Mentorships",
    "Run": "run-20260913-165336",
    "Substrate": "effortless-entity-framework",
    "RulebookTable": "Mentorships",
    "RecordCount": 1,
    "DerivedFieldCount": 1,
    "CellsTested": 1,
    "CellsPassed": 1,
    "IsMissingAnswerFile": false,
    "SemanticTypeIri": "urn:effortless:pko-extension#TableConformance",
    "Name": "effortless-entity-framework / Mentorships",
    "CellsFailed": 0,
    "Score": 100.0,
    "IsPerfect": true,
    "ImperfectSubstrateKey": null,
    "ImperfectTableKey": null,
    "DisagreeingFieldCount": 0,
    "SubstrateLabel": "C# / Entity Framework",
    "SubjectArea": "org"
   },
   {
    "TableConformanceId": "effortless-entity-framework|ProcedureTypes",
    "Run": "run-20260913-165336",
    "Substrate": "effortless-entity-framework",
    "RulebookTable": "ProcedureTypes",
    "RecordCount": 2,
    "DerivedFieldCount": 1,
    "CellsTested": 2,
    "CellsPassed": 2,
    "IsMissingAnswerFile": false,
    "SemanticTypeIri": "urn:effortless:pko-extension#TableConformance",
    "Name": "effortless-entity-framework / ProcedureTypes",
    "CellsFailed": 0,
    "Score": 100.0,
    "IsPerfect": true,
    "ImperfectSubstrateKey": null,
    "ImperfectTableKey": null,
    "DisagreeingFieldCount": 0,
    "SubstrateLabel": "C# / Entity Framework",
    "SubjectArea": "specification"
   },
   {
    "TableConformanceId": "effortless-entity-framework|Procedures",
    "Run": "run-20260913-165336",
    "Substrate": "effortless-entity-framework",
    "RulebookTable": "Procedures",
    "RecordCount": 2,
    "DerivedFieldCount": 1,
    "CellsTested": 2,
    "CellsPassed": 2,
    "IsMissingAnswerFile": false,
    "SemanticTypeIri": "urn:effortless:pko-extension#TableConformance",
    "Name": "effortless-entity-framework / Procedures",
    "CellsFailed": 0,
    "Score": 100.0,
    "IsPerfect": true,
    "ImperfectSubstrateKey": null,
    "ImperfectTableKey": null,
    "DisagreeingFieldCount": 0,
    "SubstrateLabel": "C# / Entity Framework",
    "SubjectArea": "specification"
   },
   {
    "TableConformanceId": "effortless-entity-framework|ProcedureVersions",
    "Run": "run-20260913-165336",
    "Substrate": "effortless-entity-framework",
    "RulebookTable": "ProcedureVersions",
    "RecordCount": 3,
    "DerivedFieldCount": 72,
    "CellsTested": 216,
    "CellsPassed": 209,
    "IsMissingAnswerFile": false,
    "SemanticTypeIri": "urn:effortless:pko-extension#TableConformance",
    "Name": "effortless-entity-framework / ProcedureVersions",
    "CellsFailed": 7,
    "Score": 96.76,
    "IsPerfect": false,
    "ImperfectSubstrateKey": "effortless-entity-framework",
    "ImperfectTableKey": "ProcedureVersions",
    "DisagreeingFieldCount": 3,
    "SubstrateLabel": "C# / Entity Framework",
    "SubjectArea": "specification"
   },
   {
    "TableConformanceId": "effortless-entity-framework|ProcedureVersionLinks",
    "Run": "run-20260913-165336",
    "Substrate": "effortless-entity-framework",
    "RulebookTable": "ProcedureVersionLinks",
    "RecordCount": 1,
    "DerivedFieldCount": 2,
    "CellsTested": 2,
    "CellsPassed": 2,
    "IsMissingAnswerFile": false,
    "SemanticTypeIri": "urn:effortless:pko-extension#TableConformance",
    "Name": "effortless-entity-framework / ProcedureVersionLinks",
    "CellsFailed": 0,
    "Score": 100.0,
    "IsPerfect": true,
    "ImperfectSubstrateKey": null,
    "ImperfectTableKey": null,
    "DisagreeingFieldCount": 0,
    "SubstrateLabel": "C# / Entity Framework",
    "SubjectArea": "specification"
   },
   {
    "TableConformanceId": "effortless-entity-framework|ProcedureStatusChanges",
    "Run": "run-20260913-165336",
    "Substrate": "effortless-entity-framework",
    "RulebookTable": "ProcedureStatusChanges",
    "RecordCount": 5,
    "DerivedFieldCount": 1,
    "CellsTested": 5,
    "CellsPassed": 5,
    "IsMissingAnswerFile": false,
    "SemanticTypeIri": "urn:effortless:pko-extension#TableConformance",
    "Name": "effortless-entity-framework / ProcedureStatusChanges",
    "CellsFailed": 0,
    "Score": 100.0,
    "IsPerfect": true,
    "ImperfectSubstrateKey": null,
    "ImperfectTableKey": null,
    "DisagreeingFieldCount": 0,
    "SubstrateLabel": "C# / Entity Framework",
    "SubjectArea": "specification"
   },
   {
    "TableConformanceId": "effortless-entity-framework|Steps",
    "Run": "run-20260913-165336",
    "Substrate": "effortless-entity-framework",
    "RulebookTable": "Steps",
    "RecordCount": 17,
    "DerivedFieldCount": 30,
    "CellsTested": 510,
    "CellsPassed": 510,
    "IsMissingAnswerFile": false,
    "SemanticTypeIri": "urn:effortless:pko-extension#TableConformance",
    "Name": "effortless-entity-framework / Steps",
    "CellsFailed": 0,
    "Score": 100.0,
    "IsPerfect": true,
    "ImperfectSubstrateKey": null,
    "ImperfectTableKey": null,
    "DisagreeingFieldCount": 0,
    "SubstrateLabel": "C# / Entity Framework",
    "SubjectArea": "specification"
   },
   {
    "TableConformanceId": "effortless-entity-framework|StepTransitions",
    "Run": "run-20260913-165336",
    "Substrate": "effortless-entity-framework",
    "RulebookTable": "StepTransitions",
    "RecordCount": 19,
    "DerivedFieldCount": 15,
    "CellsTested": 285,
    "CellsPassed": 285,
    "IsMissingAnswerFile": false,
    "SemanticTypeIri": "urn:effortless:pko-extension#TableConformance",
    "Name": "effortless-entity-framework / StepTransitions",
    "CellsFailed": 0,
    "Score": 100.0,
    "IsPerfect": true,
    "ImperfectSubstrateKey": null,
    "ImperfectTableKey": null,
    "DisagreeingFieldCount": 0,
    "SubstrateLabel": "C# / Entity Framework",
    "SubjectArea": "specification"
   },
   {
    "TableConformanceId": "effortless-entity-framework|Actions",
    "Run": "run-20260913-165336",
    "Substrate": "effortless-entity-framework",
    "RulebookTable": "Actions",
    "RecordCount": 9,
    "DerivedFieldCount": 1,
    "CellsTested": 9,
    "CellsPassed": 9,
    "IsMissingAnswerFile": false,
    "SemanticTypeIri": "urn:effortless:pko-extension#TableConformance",
    "Name": "effortless-entity-framework / Actions",
    "CellsFailed": 0,
    "Score": 100.0,
    "IsPerfect": true,
    "ImperfectSubstrateKey": null,
    "ImperfectTableKey": null,
    "DisagreeingFieldCount": 0,
    "SubstrateLabel": "C# / Entity Framework",
    "SubjectArea": "specification"
   },
   {
    "TableConformanceId": "effortless-entity-framework|Functions",
    "Run": "run-20260913-165336",
    "Substrate": "effortless-entity-framework",
    "RulebookTable": "Functions",
    "RecordCount": 8,
    "DerivedFieldCount": 1,
    "CellsTested": 8,
    "CellsPassed": 8,
    "IsMissingAnswerFile": false,
    "SemanticTypeIri": "urn:effortless:pko-extension#TableConformance",
    "Name": "effortless-entity-framework / Functions",
    "CellsFailed": 0,
    "Score": 100.0,
    "IsPerfect": true,
    "ImperfectSubstrateKey": null,
    "ImperfectTableKey": null,
    "DisagreeingFieldCount": 0,
    "SubstrateLabel": "C# / Entity Framework",
    "SubjectArea": "specification"
   },
   {
    "TableConformanceId": "effortless-entity-framework|Tools",
    "Run": "run-20260913-165336",
    "Substrate": "effortless-entity-framework",
    "RulebookTable": "Tools",
    "RecordCount": 8,
    "DerivedFieldCount": 1,
    "CellsTested": 8,
    "CellsPassed": 8,
    "IsMissingAnswerFile": false,
    "SemanticTypeIri": "urn:effortless:pko-extension#TableConformance",
    "Name": "effortless-entity-framework / Tools",
    "CellsFailed": 0,
    "Score": 100.0,
    "IsPerfect": true,
    "ImperfectSubstrateKey": null,
    "ImperfectTableKey": null,
    "DisagreeingFieldCount": 0,
    "SubstrateLabel": "C# / Entity Framework",
    "SubjectArea": "specification"
   },
   {
    "TableConformanceId": "effortless-entity-framework|StepActions",
    "Run": "run-20260913-165336",
    "Substrate": "effortless-entity-framework",
    "RulebookTable": "StepActions",
    "RecordCount": 9,
    "DerivedFieldCount": 1,
    "CellsTested": 9,
    "CellsPassed": 9,
    "IsMissingAnswerFile": false,
    "SemanticTypeIri": "urn:effortless:pko-extension#TableConformance",
    "Name": "effortless-entity-framework / StepActions",
    "CellsFailed": 0,
    "Score": 100.0,
    "IsPerfect": true,
    "ImperfectSubstrateKey": null,
    "ImperfectTableKey": null,
    "DisagreeingFieldCount": 0,
    "SubstrateLabel": "C# / Entity Framework",
    "SubjectArea": "specification"
   },
   {
    "TableConformanceId": "effortless-entity-framework|StepFunctions",
    "Run": "run-20260913-165336",
    "Substrate": "effortless-entity-framework",
    "RulebookTable": "StepFunctions",
    "RecordCount": 8,
    "DerivedFieldCount": 1,
    "CellsTested": 8,
    "CellsPassed": 8,
    "IsMissingAnswerFile": false,
    "SemanticTypeIri": "urn:effortless:pko-extension#TableConformance",
    "Name": "effortless-entity-framework / StepFunctions",
    "CellsFailed": 0,
    "Score": 100.0,
    "IsPerfect": true,
    "ImperfectSubstrateKey": null,
    "ImperfectTableKey": null,
    "DisagreeingFieldCount": 0,
    "SubstrateLabel": "C# / Entity Framework",
    "SubjectArea": "specification"
   },
   {
    "TableConformanceId": "effortless-entity-framework|StepTools",
    "Run": "run-20260913-165336",
    "Substrate": "effortless-entity-framework",
    "RulebookTable": "StepTools",
    "RecordCount": 10,
    "DerivedFieldCount": 1,
    "CellsTested": 10,
    "CellsPassed": 10,
    "IsMissingAnswerFile": false,
    "SemanticTypeIri": "urn:effortless:pko-extension#TableConformance",
    "Name": "effortless-entity-framework / StepTools",
    "CellsFailed": 0,
    "Score": 100.0,
    "IsPerfect": true,
    "ImperfectSubstrateKey": null,
    "ImperfectTableKey": null,
    "DisagreeingFieldCount": 0,
    "SubstrateLabel": "C# / Entity Framework",
    "SubjectArea": "specification"
   },
   {
    "TableConformanceId": "effortless-entity-framework|Requirements",
    "Run": "run-20260913-165336",
    "Substrate": "effortless-entity-framework",
    "RulebookTable": "Requirements",
    "RecordCount": 13,
    "DerivedFieldCount": 31,
    "CellsTested": 403,
    "CellsPassed": 400,
    "IsMissingAnswerFile": false,
    "SemanticTypeIri": "urn:effortless:pko-extension#TableConformance",
    "Name": "effortless-entity-framework / Requirements",
    "CellsFailed": 3,
    "Score": 99.26,
    "IsPerfect": false,
    "ImperfectSubstrateKey": "effortless-entity-framework",
    "ImperfectTableKey": "Requirements",
    "DisagreeingFieldCount": 1,
    "SubstrateLabel": "C# / Entity Framework",
    "SubjectArea": "governance"
   },
   {
    "TableConformanceId": "effortless-entity-framework|StepRequirements",
    "Run": "run-20260913-165336",
    "Substrate": "effortless-entity-framework",
    "RulebookTable": "StepRequirements",
    "RecordCount": 15,
    "DerivedFieldCount": 10,
    "CellsTested": 150,
    "CellsPassed": 150,
    "IsMissingAnswerFile": false,
    "SemanticTypeIri": "urn:effortless:pko-extension#TableConformance",
    "Name": "effortless-entity-framework / StepRequirements",
    "CellsFailed": 0,
    "Score": 100.0,
    "IsPerfect": true,
    "ImperfectSubstrateKey": null,
    "ImperfectTableKey": null,
    "DisagreeingFieldCount": 0,
    "SubstrateLabel": "C# / Entity Framework",
    "SubjectArea": "specification"
   },
   {
    "TableConformanceId": "effortless-entity-framework|StepVerifications",
    "Run": "run-20260913-165336",
    "Substrate": "effortless-entity-framework",
    "RulebookTable": "StepVerifications",
    "RecordCount": 11,
    "DerivedFieldCount": 1,
    "CellsTested": 11,
    "CellsPassed": 11,
    "IsMissingAnswerFile": false,
    "SemanticTypeIri": "urn:effortless:pko-extension#TableConformance",
    "Name": "effortless-entity-framework / StepVerifications",
    "CellsFailed": 0,
    "Score": 100.0,
    "IsPerfect": true,
    "ImperfectSubstrateKey": null,
    "ImperfectTableKey": null,
    "DisagreeingFieldCount": 0,
    "SubstrateLabel": "C# / Entity Framework",
    "SubjectArea": "specification"
   },
   {
    "TableConformanceId": "effortless-entity-framework|Rationales",
    "Run": "run-20260913-165336",
    "Substrate": "effortless-entity-framework",
    "RulebookTable": "Rationales",
    "RecordCount": 4,
    "DerivedFieldCount": 1,
    "CellsTested": 4,
    "CellsPassed": 4,
    "IsMissingAnswerFile": false,
    "SemanticTypeIri": "urn:effortless:pko-extension#TableConformance",
    "Name": "effortless-entity-framework / Rationales",
    "CellsFailed": 0,
    "Score": 100.0,
    "IsPerfect": true,
    "ImperfectSubstrateKey": null,
    "ImperfectTableKey": null,
    "DisagreeingFieldCount": 0,
    "SubstrateLabel": "C# / Entity Framework",
    "SubjectArea": "governance"
   },
   {
    "TableConformanceId": "effortless-entity-framework|Exceptions",
    "Run": "run-20260913-165336",
    "Substrate": "effortless-entity-framework",
    "RulebookTable": "Exceptions",
    "RecordCount": 4,
    "DerivedFieldCount": 2,
    "CellsTested": 8,
    "CellsPassed": 8,
    "IsMissingAnswerFile": false,
    "SemanticTypeIri": "urn:effortless:pko-extension#TableConformance",
    "Name": "effortless-entity-framework / Exceptions",
    "CellsFailed": 0,
    "Score": 100.0,
    "IsPerfect": true,
    "ImperfectSubstrateKey": null,
    "ImperfectTableKey": null,
    "DisagreeingFieldCount": 0,
    "SubstrateLabel": "C# / Entity Framework",
    "SubjectArea": "governance"
   },
   {
    "TableConformanceId": "effortless-entity-framework|Resources",
    "Run": "run-20260913-165336",
    "Substrate": "effortless-entity-framework",
    "RulebookTable": "Resources",
    "RecordCount": 8,
    "DerivedFieldCount": 2,
    "CellsTested": 16,
    "CellsPassed": 16,
    "IsMissingAnswerFile": false,
    "SemanticTypeIri": "urn:effortless:pko-extension#TableConformance",
    "Name": "effortless-entity-framework / Resources",
    "CellsFailed": 0,
    "Score": 100.0,
    "IsPerfect": true,
    "ImperfectSubstrateKey": null,
    "ImperfectTableKey": null,
    "DisagreeingFieldCount": 0,
    "SubstrateLabel": "C# / Entity Framework",
    "SubjectArea": "domain"
   },
   {
    "TableConformanceId": "effortless-entity-framework|ProcedureResources",
    "Run": "run-20260913-165336",
    "Substrate": "effortless-entity-framework",
    "RulebookTable": "ProcedureResources",
    "RecordCount": 8,
    "DerivedFieldCount": 2,
    "CellsTested": 16,
    "CellsPassed": 16,
    "IsMissingAnswerFile": false,
    "SemanticTypeIri": "urn:effortless:pko-extension#TableConformance",
    "Name": "effortless-entity-framework / ProcedureResources",
    "CellsFailed": 0,
    "Score": 100.0,
    "IsPerfect": true,
    "ImperfectSubstrateKey": null,
    "ImperfectTableKey": null,
    "DisagreeingFieldCount": 0,
    "SubstrateLabel": "C# / Entity Framework",
    "SubjectArea": "specification"
   },
   {
    "TableConformanceId": "effortless-entity-framework|ElicitationSessions",
    "Run": "run-20260913-165336",
    "Substrate": "effortless-entity-framework",
    "RulebookTable": "ElicitationSessions",
    "RecordCount": 3,
    "DerivedFieldCount": 10,
    "CellsTested": 30,
    "CellsPassed": 25,
    "IsMissingAnswerFile": false,
    "SemanticTypeIri": "urn:effortless:pko-extension#TableConformance",
    "Name": "effortless-entity-framework / ElicitationSessions",
    "CellsFailed": 5,
    "Score": 83.33,
    "IsPerfect": false,
    "ImperfectSubstrateKey": "effortless-entity-framework",
    "ImperfectTableKey": "ElicitationSessions",
    "DisagreeingFieldCount": 2,
    "SubstrateLabel": "C# / Entity Framework",
    "SubjectArea": "knowledge"
   },
   {
    "TableConformanceId": "effortless-entity-framework|KnowledgeFragments",
    "Run": "run-20260913-165336",
    "Substrate": "effortless-entity-framework",
    "RulebookTable": "KnowledgeFragments",
    "RecordCount": 7,
    "DerivedFieldCount": 65,
    "CellsTested": 455,
    "CellsPassed": 445,
    "IsMissingAnswerFile": false,
    "SemanticTypeIri": "urn:effortless:pko-extension#TableConformance",
    "Name": "effortless-entity-framework / KnowledgeFragments",
    "CellsFailed": 10,
    "Score": 97.8,
    "IsPerfect": false,
    "ImperfectSubstrateKey": "effortless-entity-framework",
    "ImperfectTableKey": "KnowledgeFragments",
    "DisagreeingFieldCount": 4,
    "SubstrateLabel": "C# / Entity Framework",
    "SubjectArea": "knowledge"
   },
   {
    "TableConformanceId": "effortless-entity-framework|KnowledgeGaps",
    "Run": "run-20260913-165336",
    "Substrate": "effortless-entity-framework",
    "RulebookTable": "KnowledgeGaps",
    "RecordCount": 8,
    "DerivedFieldCount": 16,
    "CellsTested": 128,
    "CellsPassed": 127,
    "IsMissingAnswerFile": false,
    "SemanticTypeIri": "urn:effortless:pko-extension#TableConformance",
    "Name": "effortless-entity-framework / KnowledgeGaps",
    "CellsFailed": 1,
    "Score": 99.22,
    "IsPerfect": false,
    "ImperfectSubstrateKey": "effortless-entity-framework",
    "ImperfectTableKey": "KnowledgeGaps",
    "DisagreeingFieldCount": 1,
    "SubstrateLabel": "C# / Entity Framework",
    "SubjectArea": "knowledge"
   },
   {
    "TableConformanceId": "effortless-entity-framework|FAQs",
    "Run": "run-20260913-165336",
    "Substrate": "effortless-entity-framework",
    "RulebookTable": "FAQs",
    "RecordCount": 3,
    "DerivedFieldCount": 1,
    "CellsTested": 3,
    "CellsPassed": 3,
    "IsMissingAnswerFile": false,
    "SemanticTypeIri": "urn:effortless:pko-extension#TableConformance",
    "Name": "effortless-entity-framework / FAQs",
    "CellsFailed": 0,
    "Score": 100.0,
    "IsPerfect": true,
    "ImperfectSubstrateKey": null,
    "ImperfectTableKey": null,
    "DisagreeingFieldCount": 0,
    "SubstrateLabel": "C# / Entity Framework",
    "SubjectArea": "knowledge"
   },
   {
    "TableConformanceId": "effortless-entity-framework|Explanations",
    "Run": "run-20260913-165336",
    "Substrate": "effortless-entity-framework",
    "RulebookTable": "Explanations",
    "RecordCount": 2,
    "DerivedFieldCount": 1,
    "CellsTested": 2,
    "CellsPassed": 2,
    "IsMissingAnswerFile": false,
    "SemanticTypeIri": "urn:effortless:pko-extension#TableConformance",
    "Name": "effortless-entity-framework / Explanations",
    "CellsFailed": 0,
    "Score": 100.0,
    "IsPerfect": true,
    "ImperfectSubstrateKey": null,
    "ImperfectTableKey": null,
    "DisagreeingFieldCount": 0,
    "SubstrateLabel": "C# / Entity Framework",
    "SubjectArea": "knowledge"
   },
   {
    "TableConformanceId": "effortless-entity-framework|ProcedureExecutions",
    "Run": "run-20260913-165336",
    "Substrate": "effortless-entity-framework",
    "RulebookTable": "ProcedureExecutions",
    "RecordCount": 2,
    "DerivedFieldCount": 69,
    "CellsTested": 138,
    "CellsPassed": 138,
    "IsMissingAnswerFile": false,
    "SemanticTypeIri": "urn:effortless:pko-extension#TableConformance",
    "Name": "effortless-entity-framework / ProcedureExecutions",
    "CellsFailed": 0,
    "Score": 100.0,
    "IsPerfect": true,
    "ImperfectSubstrateKey": null,
    "ImperfectTableKey": null,
    "DisagreeingFieldCount": 0,
    "SubstrateLabel": "C# / Entity Framework",
    "SubjectArea": "specification"
   },
   {
    "TableConformanceId": "effortless-entity-framework|StepExecutions",
    "Run": "run-20260913-165336",
    "Substrate": "effortless-entity-framework",
    "RulebookTable": "StepExecutions",
    "RecordCount": 12,
    "DerivedFieldCount": 99,
    "CellsTested": 1188,
    "CellsPassed": 1188,
    "IsMissingAnswerFile": false,
    "SemanticTypeIri": "urn:effortless:pko-extension#TableConformance",
    "Name": "effortless-entity-framework / StepExecutions",
    "CellsFailed": 0,
    "Score": 100.0,
    "IsPerfect": true,
    "ImperfectSubstrateKey": null,
    "ImperfectTableKey": null,
    "DisagreeingFieldCount": 0,
    "SubstrateLabel": "C# / Entity Framework",
    "SubjectArea": "specification"
   },
   {
    "TableConformanceId": "effortless-entity-framework|RequirementSatisfactions",
    "Run": "run-20260913-165336",
    "Substrate": "effortless-entity-framework",
    "RulebookTable": "RequirementSatisfactions",
    "RecordCount": 8,
    "DerivedFieldCount": 38,
    "CellsTested": 304,
    "CellsPassed": 304,
    "IsMissingAnswerFile": false,
    "SemanticTypeIri": "urn:effortless:pko-extension#TableConformance",
    "Name": "effortless-entity-framework / RequirementSatisfactions",
    "CellsFailed": 0,
    "Score": 100.0,
    "IsPerfect": true,
    "ImperfectSubstrateKey": null,
    "ImperfectTableKey": null,
    "DisagreeingFieldCount":</t>
  </si>
  <si>
    <t xml:space="preserve"> 0,
    "SubstrateLabel": "C# / Entity Framework",
    "SubjectArea": "execution"
   },
   {
    "TableConformanceId": "effortless-entity-framework|Errors",
    "Run": "run-20260913-165336",
    "Substrate": "effortless-entity-framework",
    "RulebookTable": "Errors",
    "RecordCount": 2,
    "DerivedFieldCount": 1,
    "CellsTested": 2,
    "CellsPassed": 2,
    "IsMissingAnswerFile": false,
    "SemanticTypeIri": "urn:effortless:pko-extension#TableConformance",
    "Name": "effortless-entity-framework / Errors",
    "CellsFailed": 0,
    "Score": 100.0,
    "IsPerfect": true,
    "ImperfectSubstrateKey": null,
    "ImperfectTableKey": null,
    "DisagreeingFieldCount": 0,
    "SubstrateLabel": "C# / Entity Framework",
    "SubjectArea": "execution"
   },
   {
    "TableConformanceId": "effortless-entity-framework|IssueOccurrences",
    "Run": "run-20260913-165336",
    "Substrate": "effortless-entity-framework",
    "RulebookTable": "IssueOccurrences",
    "RecordCount": 2,
    "DerivedFieldCount": 3,
    "CellsTested": 6,
    "CellsPassed": 4,
    "IsMissingAnswerFile": false,
    "SemanticTypeIri": "urn:effortless:pko-extension#TableConformance",
    "Name": "effortless-entity-framework / IssueOccurrences",
    "CellsFailed": 2,
    "Score": 66.67,
    "IsPerfect": false,
    "ImperfectSubstrateKey": "effortless-entity-framework",
    "ImperfectTableKey": "IssueOccurrences",
    "DisagreeingFieldCount": 1,
    "SubstrateLabel": "C# / Entity Framework",
    "SubjectArea": "execution"
   },
   {
    "TableConformanceId": "effortless-entity-framework|UserQuestions",
    "Run": "run-20260913-165336",
    "Substrate": "effortless-entity-framework",
    "RulebookTable": "UserQuestions",
    "RecordCount": 2,
    "DerivedFieldCount": 1,
    "CellsTested": 2,
    "CellsPassed": 2,
    "IsMissingAnswerFile": false,
    "SemanticTypeIri": "urn:effortless:pko-extension#TableConformance",
    "Name": "effortless-entity-framework / UserQuestions",
    "CellsFailed": 0,
    "Score": 100.0,
    "IsPerfect": true,
    "ImperfectSubstrateKey": null,
    "ImperfectTableKey": null,
    "DisagreeingFieldCount": 0,
    "SubstrateLabel": "C# / Entity Framework",
    "SubjectArea": "domain"
   },
   {
    "TableConformanceId": "effortless-entity-framework|UserFeedback",
    "Run": "run-20260913-165336",
    "Substrate": "effortless-entity-framework",
    "RulebookTable": "UserFeedback",
    "RecordCount": 2,
    "DerivedFieldCount": 1,
    "CellsTested": 2,
    "CellsPassed": 2,
    "IsMissingAnswerFile": false,
    "SemanticTypeIri": "urn:effortless:pko-extension#TableConformance",
    "Name": "effortless-entity-framework / UserFeedback",
    "CellsFailed": 0,
    "Score": 100.0,
    "IsPerfect": true,
    "ImperfectSubstrateKey": null,
    "ImperfectTableKey": null,
    "DisagreeingFieldCount": 0,
    "SubstrateLabel": "C# / Entity Framework",
    "SubjectArea": "domain"
   },
   {
    "TableConformanceId": "effortless-entity-framework|StewardshipAssignments",
    "Run": "run-20260913-165336",
    "Substrate": "effortless-entity-framework",
    "RulebookTable": "StewardshipAssignments",
    "RecordCount": 2,
    "DerivedFieldCount": 5,
    "CellsTested": 10,
    "CellsPassed": 10,
    "IsMissingAnswerFile": false,
    "SemanticTypeIri": "urn:effortless:pko-extension#TableConformance",
    "Name": "effortless-entity-framework / StewardshipAssignments",
    "CellsFailed": 0,
    "Score": 100.0,
    "IsPerfect": true,
    "ImperfectSubstrateKey": null,
    "ImperfectTableKey": null,
    "DisagreeingFieldCount": 0,
    "SubstrateLabel": "C# / Entity Framework",
    "SubjectArea": "org"
   },
   {
    "TableConformanceId": "effortless-entity-framework|ChangeRequests",
    "Run": "run-20260913-165336",
    "Substrate": "effortless-entity-framework",
    "RulebookTable": "ChangeRequests",
    "RecordCount": 2,
    "DerivedFieldCount": 32,
    "CellsTested": 64,
    "CellsPassed": 62,
    "IsMissingAnswerFile": false,
    "SemanticTypeIri": "urn:effortless:pko-extension#TableConformance",
    "Name": "effortless-entity-framework / ChangeRequests",
    "CellsFailed": 2,
    "Score": 96.88,
    "IsPerfect": false,
    "ImperfectSubstrateKey": "effortless-entity-framework",
    "ImperfectTableKey": "ChangeRequests",
    "DisagreeingFieldCount": 2,
    "SubstrateLabel": "C# / Entity Framework",
    "SubjectArea": "domain"
   },
   {
    "TableConformanceId": "effortless-entity-framework|ReviewEvents",
    "Run": "run-20260913-165336",
    "Substrate": "effortless-entity-framework",
    "RulebookTable": "ReviewEvents",
    "RecordCount": 3,
    "DerivedFieldCount": 10,
    "CellsTested": 30,
    "CellsPassed": 24,
    "IsMissingAnswerFile": false,
    "SemanticTypeIri": "urn:effortless:pko-extension#TableConformance",
    "Name": "effortless-entity-framework / ReviewEvents",
    "CellsFailed": 6,
    "Score": 80.0,
    "IsPerfect": false,
    "ImperfectSubstrateKey": "effortless-entity-framework",
    "ImperfectTableKey": "ReviewEvents",
    "DisagreeingFieldCount": 2,
    "SubstrateLabel": "C# / Entity Framework",
    "SubjectArea": "domain"
   },
   {
    "TableConformanceId": "effortless-entity-framework|LearningActivities",
    "Run": "run-20260913-165336",
    "Substrate": "effortless-entity-framework",
    "RulebookTable": "LearningActivities",
    "RecordCount": 2,
    "DerivedFieldCount": 1,
    "CellsTested": 2,
    "CellsPassed": 0,
    "IsMissingAnswerFile": false,
    "SemanticTypeIri": "urn:effortless:pko-extension#TableConformance",
    "Name": "effortless-entity-framework / LearningActivities",
    "CellsFailed": 2,
    "Score": 0.0,
    "IsPerfect": false,
    "ImperfectSubstrateKey": "effortless-entity-framework",
    "ImperfectTableKey": "LearningActivities",
    "DisagreeingFieldCount": 1,
    "SubstrateLabel": "C# / Entity Framework",
    "SubjectArea": "domain"
   },
   {
    "TableConformanceId": "effortless-entity-framework|OperationalBindings",
    "Run": "run-20260913-165336",
    "Substrate": "effortless-entity-framework",
    "RulebookTable": "OperationalBindings",
    "RecordCount": 5,
    "DerivedFieldCount": 11,
    "CellsTested": 55,
    "CellsPassed": 55,
    "IsMissingAnswerFile": false,
    "SemanticTypeIri": "urn:effortless:pko-extension#TableConformance",
    "Name": "effortless-entity-framework / OperationalBindings",
    "CellsFailed": 0,
    "Score": 100.0,
    "IsPerfect": true,
    "ImperfectSubstrateKey": null,
    "ImperfectTableKey": null,
    "DisagreeingFieldCount": 0,
    "SubstrateLabel": "C# / Entity Framework",
    "SubjectArea": "domain"
   },
   {
    "TableConformanceId": "effortless-entity-framework|CommunicationPolicies",
    "Run": "run-20260913-165336",
    "Substrate": "effortless-entity-framework",
    "RulebookTable": "CommunicationPolicies",
    "RecordCount": 2,
    "DerivedFieldCount": 4,
    "CellsTested": 8,
    "CellsPassed": 8,
    "IsMissingAnswerFile": false,
    "SemanticTypeIri": "urn:effortless:pko-extension#TableConformance",
    "Name": "effortless-entity-framework / CommunicationPolicies",
    "CellsFailed": 0,
    "Score": 100.0,
    "IsPerfect": true,
    "ImperfectSubstrateKey": null,
    "ImperfectTableKey": null,
    "DisagreeingFieldCount": 0,
    "SubstrateLabel": "C# / Entity Framework",
    "SubjectArea": "communication"
   },
   {
    "TableConformanceId": "effortless-entity-framework|MessageTemplates",
    "Run": "run-20260913-165336",
    "Substrate": "effortless-entity-framework",
    "RulebookTable": "MessageTemplates",
    "RecordCount": 2,
    "DerivedFieldCount": 16,
    "CellsTested": 32,
    "CellsPassed": 32,
    "IsMissingAnswerFile": false,
    "SemanticTypeIri": "urn:effortless:pko-extension#TableConformance",
    "Name": "effortless-entity-framework / MessageTemplates",
    "CellsFailed": 0,
    "Score": 100.0,
    "IsPerfect": true,
    "ImperfectSubstrateKey": null,
    "ImperfectTableKey": null,
    "DisagreeingFieldCount": 0,
    "SubstrateLabel": "C# / Entity Framework",
    "SubjectArea": "communication"
   },
   {
    "TableConformanceId": "effortless-entity-framework|SemanticMappings",
    "Run": "run-20260913-165336",
    "Substrate": "effortless-entity-framework",
    "RulebookTable": "SemanticMappings",
    "RecordCount": 47,
    "DerivedFieldCount": 1,
    "CellsTested": 47,
    "CellsPassed": 47,
    "IsMissingAnswerFile": false,
    "SemanticTypeIri": "urn:effortless:pko-extension#TableConformance",
    "Name": "effortless-entity-framework / SemanticMappings",
    "CellsFailed": 0,
    "Score": 100.0,
    "IsPerfect": true,
    "ImperfectSubstrateKey": null,
    "ImperfectTableKey": null,
    "DisagreeingFieldCount": 0,
    "SubstrateLabel": "C# / Entity Framework",
    "SubjectArea": "meta"
   },
   {
    "TableConformanceId": "effortless-entity-framework|WitnessLoops",
    "Run": "run-20260913-165336",
    "Substrate": "effortless-entity-framework",
    "RulebookTable": "WitnessLoops",
    "RecordCount": 3,
    "DerivedFieldCount": 3,
    "CellsTested": 9,
    "CellsPassed": 9,
    "IsMissingAnswerFile": false,
    "SemanticTypeIri": "urn:effortless:pko-extension#TableConformance",
    "Name": "effortless-entity-framework / WitnessLoops",
    "CellsFailed": 0,
    "Score": 100.0,
    "IsPerfect": true,
    "ImperfectSubstrateKey": null,
    "ImperfectTableKey": null,
    "DisagreeingFieldCount": 0,
    "SubstrateLabel": "C# / Entity Framework",
    "SubjectArea": "meta"
   },
   {
    "TableConformanceId": "effortless-entity-framework|RoleQuestions",
    "Run": "run-20260913-165336",
    "Substrate": "effortless-entity-framework",
    "RulebookTable": "RoleQuestions",
    "RecordCount": 109,
    "DerivedFieldCount": 3,
    "CellsTested": 327,
    "CellsPassed": 327,
    "IsMissingAnswerFile": false,
    "SemanticTypeIri": "urn:effortless:pko-extension#TableConformance",
    "Name": "effortless-entity-framework / RoleQuestions",
    "CellsFailed": 0,
    "Score": 100.0,
    "IsPerfect": true,
    "ImperfectSubstrateKey": null,
    "ImperfectTableKey": null,
    "DisagreeingFieldCount": 0,
    "SubstrateLabel": "C# / Entity Framework",
    "SubjectArea": "org"
   },
   {
    "TableConformanceId": "effortless-entity-framework|RulebookFields",
    "Run": "run-20260913-165336",
    "Substrate": "effortless-entity-framework",
    "RulebookTable": "RulebookFields",
    "RecordCount": 1879,
    "DerivedFieldCount": 5,
    "CellsTested": 9395,
    "CellsPassed": 9395,
    "IsMissingAnswerFile": false,
    "SemanticTypeIri": "urn:effortless:pko-extension#TableConformance",
    "Name": "effortless-entity-framework / RulebookFields",
    "CellsFailed": 0,
    "Score": 100.0,
    "IsPerfect": true,
    "ImperfectSubstrateKey": null,
    "ImperfectTableKey": null,
    "DisagreeingFieldCount": 0,
    "SubstrateLabel": "C# / Entity Framework",
    "SubjectArea": "access-control"
   },
   {
    "TableConformanceId": "effortless-entity-framework|TestSuites",
    "Run": "run-20260913-165336",
    "Substrate": "effortless-entity-framework",
    "RulebookTable": "TestSuites",
    "RecordCount": 6,
    "DerivedFieldCount": 5,
    "CellsTested": 30,
    "CellsPassed": 30,
    "IsMissingAnswerFile": false,
    "SemanticTypeIri": "urn:effortless:pko-extension#TableConformance",
    "Name": "effortless-entity-framework / TestSuites",
    "CellsFailed": 0,
    "Score": 100.0,
    "IsPerfect": true,
    "ImperfectSubstrateKey": null,
    "ImperfectTableKey": null,
    "DisagreeingFieldCount": 0,
    "SubstrateLabel": "C# / Entity Framework",
    "SubjectArea": "meta"
   },
   {
    "TableConformanceId": "effortless-entity-framework|TestCases",
    "Run": "run-20260913-165336",
    "Substrate": "effortless-entity-framework",
    "RulebookTable": "TestCases",
    "RecordCount": 1794,
    "DerivedFieldCount": 7,
    "CellsTested": 12558,
    "CellsPassed": 12558,
    "IsMissingAnswerFile": false,
    "SemanticTypeIri": "urn:effortless:pko-extension#TableConformance",
    "Name": "effortless-entity-framework / TestCases",
    "CellsFailed": 0,
    "Score": 100.0,
    "IsPerfect": true,
    "ImperfectSubstrateKey": null,
    "ImperfectTableKey": null,
    "DisagreeingFieldCount": 0,
    "SubstrateLabel": "C# / Entity Framework",
    "SubjectArea": "meta"
   },
   {
    "TableConformanceId": "effortless-entity-framework|ExceptionInvocations",
    "Run": "run-20260913-165336",
    "Substrate": "effortless-entity-framework",
    "RulebookTable": "ExceptionInvocations",
    "RecordCount": 1,
    "DerivedFieldCount": 13,
    "CellsTested": 13,
    "CellsPassed": 13,
    "IsMissingAnswerFile": false,
    "SemanticTypeIri": "urn:effortless:pko-extension#TableConformance",
    "Name": "effortless-entity-framework / ExceptionInvocations",
    "CellsFailed": 0,
    "Score": 100.0,
    "IsPerfect": true,
    "ImperfectSubstrateKey": null,
    "ImperfectTableKey": null,
    "DisagreeingFieldCount": 0,
    "SubstrateLabel": "C# / Entity Framework",
    "SubjectArea": "governance"
   },
   {
    "TableConformanceId": "effortless-entity-framework|VerificationOutcomes",
    "Run": "run-20260913-165336",
    "Substrate": "effortless-entity-framework",
    "RulebookTable": "VerificationOutcomes",
    "RecordCount": 4,
    "DerivedFieldCount": 18,
    "CellsTested": 72,
    "CellsPassed": 72,
    "IsMissingAnswerFile": false,
    "SemanticTypeIri": "urn:effortless:pko-extension#TableConformance",
    "Name": "effortless-entity-framework / VerificationOutcomes",
    "CellsFailed": 0,
    "Score": 100.0,
    "IsPerfect": true,
    "ImperfectSubstrateKey": null,
    "ImperfectTableKey": null,
    "DisagreeingFieldCount": 0,
    "SubstrateLabel": "C# / Entity Framework",
    "SubjectArea": "execution"
   },
   {
    "TableConformanceId": "effortless-entity-framework|ObservedTransitions",
    "Run": "run-20260913-165336",
    "Substrate": "effortless-entity-framework",
    "RulebookTable": "ObservedTransitions",
    "RecordCount": 10,
    "DerivedFieldCount": 1,
    "CellsTested": 10,
    "CellsPassed": 0,
    "IsMissingAnswerFile": false,
    "SemanticTypeIri": "urn:effortless:pko-extension#TableConformance",
    "Name": "effortless-entity-framework / ObservedTransitions",
    "CellsFailed": 10,
    "Score": 0.0,
    "IsPerfect": false,
    "ImperfectSubstrateKey": "effortless-entity-framework",
    "ImperfectTableKey": "ObservedTransitions",
    "DisagreeingFieldCount": 1,
    "SubstrateLabel": "C# / Entity Framework",
    "SubjectArea": "specification"
   },
   {
    "TableConformanceId": "effortless-entity-framework|Recipients",
    "Run": "run-20260913-165336",
    "Substrate": "effortless-entity-framework",
    "RulebookTable": "Recipients",
    "RecordCount": 5,
    "DerivedFieldCount": 6,
    "CellsTested": 30,
    "CellsPassed": 30,
    "IsMissingAnswerFile": false,
    "SemanticTypeIri": "urn:effortless:pko-extension#TableConformance",
    "Name": "effortless-entity-framework / Recipients",
    "CellsFailed": 0,
    "Score": 100.0,
    "IsPerfect": true,
    "ImperfectSubstrateKey": null,
    "ImperfectTableKey": null,
    "DisagreeingFieldCount": 0,
    "SubstrateLabel": "C# / Entity Framework",
    "SubjectArea": "communication"
   },
   {
    "TableConformanceId": "effortless-entity-framework|MessageDeliveries",
    "Run": "run-20260913-165336",
    "Substrate": "effortless-entity-framework",
    "RulebookTable": "MessageDeliveries",
    "RecordCount": 6,
    "DerivedFieldCount": 74,
    "CellsTested": 444,
    "CellsPassed": 420,
    "IsMissingAnswerFile": false,
    "SemanticTypeIri": "urn:effortless:pko-extension#TableConformance",
    "Name": "effortless-entity-framework / MessageDeliveries",
    "CellsFailed": 24,
    "Score": 94.59,
    "IsPerfect": false,
    "ImperfectSubstrateKey": "effortless-entity-framework",
    "ImperfectTableKey": "MessageDeliveries",
    "DisagreeingFieldCount": 5,
    "SubstrateLabel": "C# / Entity Framework",
    "SubjectArea": "communication"
   },
   {
    "TableConformanceId": "effortless-entity-framework|TemplateApprovals",
    "Run": "run-20260913-165336",
    "Substrate": "effortless-entity-framework",
    "RulebookTable": "TemplateApprovals",
    "RecordCount": 2,
    "DerivedFieldCount": 6,
    "CellsTested": 12,
    "CellsPassed": 10,
    "IsMissingAnswerFile": false,
    "SemanticTypeIri": "urn:effortless:pko-extension#TableConformance",
    "Name": "effortless-entity-framework / TemplateApprovals",
    "CellsFailed": 2,
    "Score": 83.33,
    "IsPerfect": false,
    "ImperfectSubstrateKey": "effortless-entity-framework",
    "ImperfectTableKey": "TemplateApprovals",
    "DisagreeingFieldCount": 1,
    "SubstrateLabel": "C# / Entity Framework",
    "SubjectArea": "communication"
   },
   {
    "TableConformanceId": "effortless-entity-framework|SendIntents",
    "Run": "run-20260913-165336",
    "Substrate": "effortless-entity-framework",
    "RulebookTable": "SendIntents",
    "RecordCount": 7,
    "DerivedFieldCount": 79,
    "CellsTested": 553,
    "CellsPassed": 546,
    "IsMissingAnswerFile": false,
    "SemanticTypeIri": "urn:effortless:pko-extension#TableConformance",
    "Name": "effortless-entity-framework / SendIntents",
    "CellsFailed": 7,
    "Score": 98.73,
    "IsPerfect": false,
    "ImperfectSubstrateKey": "effortless-entity-framework",
    "ImperfectTableKey": "SendIntents",
    "DisagreeingFieldCount": 1,
    "SubstrateLabel": "C# / Entity Framework",
    "SubjectArea": "communication"
   },
   {
    "TableConformanceId": "effortless-entity-framework|AgentDecisionRecords",
    "Run": "run-20260913-165336",
    "Substrate": "effortless-entity-framework",
    "RulebookTable": "AgentDecisionRecords",
    "RecordCount": 3,
    "DerivedFieldCount": 27,
    "CellsTested": 81,
    "CellsPassed": 81,
    "IsMissingAnswerFile": false,
    "SemanticTypeIri": "urn:effortless:pko-extension#TableConformance",
    "Name": "effortless-entity-framework / AgentDecisionRecords",
    "CellsFailed": 0,
    "Score": 100.0,
    "IsPerfect": true,
    "ImperfectSubstrateKey": null,
    "ImperfectTableKey": null,
    "DisagreeingFieldCount": 0,
    "SubstrateLabel": "C# / Entity Framework",
    "SubjectArea": "org"
   },
   {
    "TableConformanceId": "effortless-entity-framework|DeliveredCommunications",
    "Run": "run-20260913-165336",
    "Substrate": "effortless-entity-framework",
    "RulebookTable": "DeliveredCommunications",
    "RecordCount": 1,
    "DerivedFieldCount": 6,
    "CellsTested": 6,
    "CellsPassed": 5,
    "IsMissingAnswerFile": false,
    "SemanticTypeIri": "urn:effortless:pko-extension#TableConformance",
    "Name": "effortless-entity-framework / DeliveredCommunications",
    "CellsFailed": 1,
    "Score": 83.33,
    "IsPerfect": false,
    "ImperfectSubstrateKey": "effortless-entity-framework",
    "ImperfectTableKey": "DeliveredCommunications",
    "DisagreeingFieldCount": 1,
    "SubstrateLabel": "C# / Entity Framework",
    "SubjectArea": "communication"
   },
   {
    "TableConformanceId": "effortless-entity-framework|AuthorityBoundaries",
    "Run": "run-20260913-165336",
    "Substrate": "effortless-entity-framework",
    "RulebookTable": "AuthorityBoundaries",
    "RecordCount": 3,
    "DerivedFieldCount": 21,
    "CellsTested": 63,
    "CellsPassed": 63,
    "IsMissingAnswerFile": false,
    "SemanticTypeIri": "urn:effortless:pko-extension#TableConformance",
    "Name": "effortless-entity-framework / AuthorityBoundaries",
    "CellsFailed": 0,
    "Score": 100.0,
    "IsPerfect": true,
    "ImperfectSubstrateKey": null,
    "ImperfectTableKey": null,
    "DisagreeingFieldCount": 0,
    "SubstrateLabel": "C# / Entity Framework",
    "SubjectArea": "governance"
   },
   {
    "TableConformanceId": "effortless-entity-framework|AppRoleProfiles",
    "Run": "run-20260913-165336",
    "Substrate": "effortless-entity-framework",
    "RulebookTable": "AppRoleProfiles",
    "RecordCount": 12,
    "DerivedFieldCount": 2,
    "CellsTested": 24,
    "CellsPassed": 24,
    "IsMissingAnswerFile": false,
    "SemanticTypeIri": "urn:effortless:pko-extension#TableConformance",
    "Name": "effortless-entity-framework / AppRoleProfiles",
    "CellsFailed": 0,
    "Score": 100.0,
    "IsPerfect": true,
    "ImperfectSubstrateKey": null,
    "ImperfectTableKey": null,
    "DisagreeingFieldCount": 0,
    "SubstrateLabel": "C# / Entity Framework",
    "SubjectArea": "org"
   },
   {
    "TableConformanceId": "effortless-entity-framework|AppNavGroups",
    "Run": "run-20260913-165336",
    "Substrate": "effortless-entity-framework",
    "RulebookTable": "AppNavGroups",
    "RecordCount": 23,
    "DerivedFieldCount": 2,
    "CellsTested": 46,
    "CellsPassed": 46,
    "IsMissingAnswerFile": false,
    "SemanticTypeIri": "urn:effortless:pko-extension#TableConformance",
    "Name": "effortless-entity-framework / AppNavGroups",
    "CellsFailed": 0,
    "Score": 100.0,
    "IsPerfect": true,
    "ImperfectSubstrateKey": null,
    "ImperfectTableKey": null,
    "DisagreeingFieldCount": 0,
    "SubstrateLabel": "C# / Entity Framework",
    "SubjectArea": "application"
   },
   {
    "TableConformanceId": "effortless-entity-framework|AppRoutes",
    "Run": "run-20260913-165336",
    "Substrate": "effortless-entity-framework",
    "RulebookTable": "AppRoutes",
    "RecordCount": 149,
    "DerivedFieldCount": 7,
    "CellsTested": 1043,
    "CellsPassed": 1043,
    "IsMissingAnswerFile": false,
    "SemanticTypeIri": "urn:effortless:pko-extension#TableConformance",
    "Name": "effortless-entity-framework / AppRoutes",
    "CellsFailed": 0,
    "Score": 100.0,
    "IsPerfect": true,
    "ImperfectSubstrateKey": null,
    "ImperfectTableKey": null,
    "DisagreeingFieldCount": 0,
    "SubstrateLabel": "C# / Entity Framework",
    "SubjectArea": "application"
   },
   {
    "TableConformanceId": "effortless-entity-framework|AppRouteQuestions",
    "Run": "run-20260913-165336",
    "Substrate": "effortless-entity-framework",
    "RulebookTable": "AppRouteQuestions",
    "RecordCount": 151,
    "DerivedFieldCount": 1,
    "CellsTested": 151,
    "CellsPassed": 151,
    "IsMissingAnswerFile": false,
    "SemanticTypeIri": "urn:effortless:pko-extension#TableConformance",
    "Name": "effortless-entity-framework / AppRouteQuestions",
    "CellsFailed": 0,
    "Score": 100.0,
    "IsPerfect": true,
    "ImperfectSubstrateKey": null,
    "ImperfectTableKey": null,
    "DisagreeingFieldCount": 0,
    "SubstrateLabel": "C# / Entity Framework",
    "SubjectArea": "application"
   },
   {
    "TableConformanceId": "effortless-entity-framework|AppRouteReferences",
    "Run": "run-20260913-165336",
    "Substrate": "effortless-entity-framework",
    "RulebookTable": "AppRouteReferences",
    "RecordCount": 315,
    "DerivedFieldCount": 1,
    "CellsTested": 315,
    "CellsPassed": 315,
    "IsMissingAnswerFile": false,
    "SemanticTypeIri": "urn:effortless:pko-extension#TableConformance",
    "Name": "effortless-entity-framework / AppRouteReferences",
    "CellsFailed": 0,
    "Score": 100.0,
    "IsPerfect": true,
    "ImperfectSubstrateKey": null,
    "ImperfectTableKey": null,
    "DisagreeingFieldCount": 0,
    "SubstrateLabel": "C# / Entity Framework",
    "SubjectArea": "application"
   },
   {
    "TableConformanceId": "effortless-entity-framework|RulebookTables",
    "Run": "run-20260913-165336",
    "Substrate": "effortless-entity-framework",
    "RulebookTable": "RulebookTables",
    "RecordCount": 92,
    "DerivedFieldCount": 5,
    "CellsTested": 460,
    "CellsPassed": 460,
    "IsMissingAnswerFile": false,
    "SemanticTypeIri": "urn:effortless:pko-extension#TableConformance",
    "Name": "effortless-entity-framework / RulebookTables",
    "CellsFailed": 0,
    "Score": 100.0,
    "IsPerfect": true,
    "ImperfectSubstrateKey": null,
    "ImperfectTableKey": null,
    "DisagreeingFieldCount": 0,
    "SubstrateLabel": "C# / Entity Framework",
    "SubjectArea": "meta"
   },
   {
    "TableConformanceId": "effortless-entity-framework|AccessPrincipals",
    "Run": "run-20260913-165336",
    "Substrate": "effortless-entity-framework",
    "RulebookTable": "AccessPrincipals",
    "RecordCount": 12,
    "DerivedFieldCount": 8,
    "CellsTested": 96,
    "CellsPassed": 96,
    "IsMissingAnswerFile": false,
    "SemanticTypeIri": "urn:effortless:pko-extension#TableConformance",
    "Name": "effortless-entity-framework / AccessPrincipals",
    "CellsFailed": 0,
    "Score": 100.0,
    "IsPerfect": true,
    "ImperfectSubstrateKey": null,
    "ImperfectTableKey": null,
    "DisagreeingFieldCount": 0,
    "SubstrateLabel": "C# / Entity Framework",
    "SubjectArea": "access-control"
   },
   {
    "TableConformanceId": "effortless-entity-framework|AccessPolicies",
    "Run": "run-20260913-165336",
    "Substrate": "effortless-entity-framework",
    "RulebookTable": "AccessPolicies",
    "RecordCount": 202,
    "DerivedFieldCount": 7,
    "CellsTested": 1414,
    "CellsPassed": 1414,
    "IsMissingAnswerFile": false,
    "SemanticTypeIri": "urn:effortless:pko-extension#TableConformance",
    "Name": "effortless-entity-framework / AccessPolicies",
    "CellsFailed": 0,
    "Score": 100.0,
    "IsPerfect": true,
    "ImperfectSubstrateKey": null,
    "ImperfectTableKey": null,
    "DisagreeingFieldCount": 0,
    "SubstrateLabel": "C# / Entity Framework",
    "SubjectArea": "access-control"
   },
   {
    "TableConformanceId": "effortless-entity-framework|FieldGrants",
    "Run": "run-20260913-165336",
    "Substrate": "effortless-entity-framework",
    "RulebookTable": "FieldGrants",
    "RecordCount": 3639,
    "DerivedFieldCount": 7,
    "CellsTested": 25473,
    "CellsPassed": 25473,
    "IsMissingAnswerFile": false,
    "SemanticTypeIri": "urn:effortless:pko-extension#TableConformance",
    "Name": "effortless-entity-framework / FieldGrants",
    "CellsFailed": 0,
    "Score": 100.0,
    "IsPerfect": true,
    "ImperfectSubstrateKey": null,
    "ImperfectTableKey": null,
    "DisagreeingFieldCount": 0,
    "SubstrateLabel": "C# / Entity Framework",
    "SubjectArea": "access-control"
   },
   {
    "TableConformanceId": "effortless-entity-framework|RoleSchemas",
    "Run": "run-20260913-165336",
    "Substrate": "effortless-entity-framework",
    "RulebookTable": "RoleSchemas",
    "RecordCount": 12,
    "DerivedFieldCount": 4,
    "CellsTested": 48,
    "CellsPassed": 48,
    "IsMissingAnswerFile": false,
    "SemanticTypeIri": "urn:effortless:pko-extension#TableConformance",
    "Name": "effortless-entity-framework / RoleSchemas",
    "CellsFailed": 0,
    "Score": 100.0,
    "IsPerfect": true,
    "ImperfectSubstrateKey": null,
    "ImperfectTableKey": null,
    "DisagreeingFieldCount": 0,
    "SubstrateLabel": "C# / Entity Framework",
    "SubjectArea": "org"
   },
   {
    "TableConformanceId": "effortless-entity-framework|RoleSchemaViews",
    "Run": "run-20260913-165336",
    "Substrate": "effortless-entity-framework",
    "RulebookTable": "RoleSchemaViews",
    "RecordCount": 202,
    "DerivedFieldCount": 8,
    "CellsTested": 1616,
    "CellsPassed": 1616,
    "IsMissingAnswerFile": false,
    "SemanticTypeIri": "urn:effortless:pko-extension#TableConformance",
    "Name": "effortless-entity-framework / RoleSchemaViews",
    "CellsFailed": 0,
    "Score": 100.0,
    "IsPerfect": true,
    "ImperfectSubstrateKey": null,
    "ImperfectTableKey": null,
    "DisagreeingFieldCount": 0,
    "SubstrateLabel": "C# / Entity Framework",
    "SubjectArea": "org"
   },
   {
    "TableConformanceId": "effortless-entity-framework|JwtClaimMappings",
    "Run": "run-20260913-165336",
    "Substrate": "effortless-entity-framework",
    "RulebookTable": "JwtClaimMappings",
    "RecordCount": 4,
    "DerivedFieldCount": 2,
    "CellsTested": 8,
    "CellsPassed": 8,
    "IsMissingAnswerFile": false,
    "SemanticTypeIri": "urn:effortless:pko-extension#TableConformance",
    "Name": "effortless-entity-framework / JwtClaimMappings",
    "CellsFailed": 0,
    "Score": 100.0,
    "IsPerfect": true,
    "ImperfectSubstrateKey": null,
    "ImperfectTableKey": null,
    "DisagreeingFieldCount": 0,
    "SubstrateLabel": "C# / Entity Framework",
    "SubjectArea": "access-control"
   },
   {
    "TableConformanceId": "effortless-entity-framework|AccessDenialTests",
    "Run": "run-20260913-165336",
    "Substrate": "effortless-entity-framework",
    "RulebookTable": "AccessDenialTests",
    "RecordCount": 17,
    "DerivedFieldCount": 6,
    "CellsTested": 102,
    "CellsPassed": 102,
    "IsMissingAnswerFile": false,
    "SemanticTypeIri": "urn:effortless:pko-extension#TableConformance",
    "Name": "effortless-entity-framework / AccessDenialTests",
    "CellsFailed": 0,
    "Score": 100.0,
    "IsPerfect": true,
    "ImperfectSubstrateKey": null,
    "ImperfectTableKey": null,
    "DisagreeingFieldCount": 0,
    "SubstrateLabel": "C# / Entity Framework",
    "SubjectArea": "access-control"
   },
   {
    "TableConformanceId": "effortless-entity-framework|AppUsers",
    "Run": "run-20260913-165336",
    "Substrate": "effortless-entity-framework",
    "RulebookTable": "AppUsers",
    "RecordCount": 10,
    "DerivedFieldCount": 7,
    "CellsTested": 70,
    "CellsPassed": 70,
    "IsMissingAnswerFile": false,
    "SemanticTypeIri": "urn:effortless:pko-extension#TableConformance",
    "Name": "effortless-entity-framework / AppUsers",
    "CellsFailed": 0,
    "Score": 100.0,
    "IsPerfect": true,
    "ImperfectSubstrateKey": null,
    "ImperfectTableKey": null,
    "DisagreeingFieldCount": 0,
    "SubstrateLabel": "C# / Entity Framework",
    "SubjectArea": null
   },
   {
    "TableConformanceId": "effortless-entity-framework|PrincipalAssignments",
    "Run": "run-20260913-165336",
    "Substrate": "effortless-entity-framework",
    "RulebookTable": "PrincipalAssignments",
    "RecordCount": 12,
    "DerivedFieldCount": 5,
    "CellsTested": 60,
    "CellsPassed": 60,
    "IsMissingAnswerFile": false,
    "SemanticTypeIri": "urn:effortless:pko-extension#TableConformance",
    "Name": "effortless-entity-framework / PrincipalAssignments",
    "CellsFailed": 0,
    "Score": 100.0,
    "IsPerfect": true,
    "ImperfectSubstrateKey": null,
    "ImperfectTableKey": null,
    "DisagreeingFieldCount": 0,
    "SubstrateLabel": "C# / Entity Framework",
    "SubjectArea": null
   },
   {
    "TableConformanceId": "effortless-entity-framework|ProcessMiningRuns",
    "Run": "run-20260913-165336",
    "Substrate": "effortless-entity-framework",
    "RulebookTable": "ProcessMiningRuns",
    "RecordCount": 4,
    "DerivedFieldCount": 10,
    "CellsTested": 40,
    "CellsPassed": 36,
    "IsMissingAnswerFile": false,
    "SemanticTypeIri": "urn:effortless:pko-extension#TableConformance",
    "Name": "effortless-entity-framework / ProcessMiningRuns",
    "CellsFailed": 4,
    "Score": 90.0,
    "IsPerfect": false,
    "ImperfectSubstrateKey": "effortless-entity-framework",
    "ImperfectTableKey": "ProcessMiningRuns",
    "DisagreeingFieldCount": 1,
    "SubstrateLabel": "C# / Entity Framework",
    "SubjectArea": "knowledge"
   },
   {
    "TableConformanceId": "effortless-entity-framework|Vocabularies",
    "Run": "run-20260913-165336",
    "Substrate": "effortless-entity-framework",
    "RulebookTable": "Vocabularies",
    "RecordCount": 2,
    "DerivedFieldCount": 4,
    "CellsTested": 8,
    "CellsPassed": 8,
    "IsMissingAnswerFile": false,
    "SemanticTypeIri": "urn:effortless:pko-extension#TableConformance",
    "Name": "effortless-entity-framework / Vocabularies",
    "CellsFailed": 0,
    "Score": 100.0,
    "IsPerfect": true,
    "ImperfectSubstrateKey": null,
    "ImperfectTableKey": null,
    "DisagreeingFieldCount": 0,
    "SubstrateLabel": "C# / Entity Framework",
    "SubjectArea": "knowledge"
   },
   {
    "TableConformanceId": "effortless-entity-framework|VocabularyTerms",
    "Run": "run-20260913-165336",
    "Substrate": "effortless-entity-framework",
    "RulebookTable": "VocabularyTerms",
    "RecordCount": 12,
    "DerivedFieldCount": 5,
    "CellsTested": 60,
    "CellsPassed": 60,
    "IsMissingAnswerFile": false,
    "SemanticTypeIri": "urn:effortless:pko-extension#TableConformance",
    "Name": "effortless-entity-framework / VocabularyTerms",
    "CellsFailed": 0,
    "Score": 100.0,
    "IsPerfect": true,
    "ImperfectSubstrateKey": null,
    "ImperfectTableKey": null,
    "DisagreeingFieldCount": 0,
    "SubstrateLabel": "C# / Entity Framework",
    "SubjectArea": "knowledge"
   },
   {
    "TableConformanceId": "effortless-entity-framework|KnowledgeBrokerLinks",
    "Run": "run-20260913-165336",
    "Substrate": "effortless-entity-framework",
    "RulebookTable": "KnowledgeBrokerLinks",
    "RecordCount": 5,
    "DerivedFieldCount": 8,
    "CellsTested": 40,
</t>
  </si>
  <si>
    <t xml:space="preserve">    "CellsPassed": 40,
    "IsMissingAnswerFile": false,
    "SemanticTypeIri": "urn:effortless:pko-extension#TableConformance",
    "Name": "effortless-entity-framework / KnowledgeBrokerLinks",
    "CellsFailed": 0,
    "Score": 100.0,
    "IsPerfect": true,
    "ImperfectSubstrateKey": null,
    "ImperfectTableKey": null,
    "DisagreeingFieldCount": 0,
    "SubstrateLabel": "C# / Entity Framework",
    "SubjectArea": "knowledge"
   },
   {
    "TableConformanceId": "effortless-golang|RulebookReleases",
    "Run": "run-20260913-165336",
    "Substrate": "effortless-golang",
    "RulebookTable": "RulebookReleases",
    "RecordCount": 1,
    "DerivedFieldCount": 1,
    "CellsTested": 1,
    "CellsPassed": 1,
    "IsMissingAnswerFile": false,
    "SemanticTypeIri": "urn:effortless:pko-extension#TableConformance",
    "Name": "effortless-golang / RulebookReleases",
    "CellsFailed": 0,
    "Score": 100.0,
    "IsPerfect": true,
    "ImperfectSubstrateKey": null,
    "ImperfectTableKey": null,
    "DisagreeingFieldCount": 0,
    "SubstrateLabel": "Go",
    "SubjectArea": "meta"
   },
   {
    "TableConformanceId": "effortless-golang|OntologyProfiles",
    "Run": "run-20260913-165336",
    "Substrate": "effortless-golang",
    "RulebookTable": "OntologyProfiles",
    "RecordCount": 11,
    "DerivedFieldCount": 1,
    "CellsTested": 11,
    "CellsPassed": 11,
    "IsMissingAnswerFile": false,
    "SemanticTypeIri": "urn:effortless:pko-extension#TableConformance",
    "Name": "effortless-golang / OntologyProfiles",
    "CellsFailed": 0,
    "Score": 100.0,
    "IsPerfect": true,
    "ImperfectSubstrateKey": null,
    "ImperfectTableKey": null,
    "DisagreeingFieldCount": 0,
    "SubstrateLabel": "Go",
    "SubjectArea": "domain"
   },
   {
    "TableConformanceId": "effortless-golang|EvaluationContexts",
    "Run": "run-20260913-165336",
    "Substrate": "effortless-golang",
    "RulebookTable": "EvaluationContexts",
    "RecordCount": 1,
    "DerivedFieldCount": 1,
    "CellsTested": 1,
    "CellsPassed": 0,
    "IsMissingAnswerFile": false,
    "SemanticTypeIri": "urn:effortless:pko-extension#TableConformance",
    "Name": "effortless-golang / EvaluationContexts",
    "CellsFailed": 1,
    "Score": 0.0,
    "IsPerfect": false,
    "ImperfectSubstrateKey": "effortless-golang",
    "ImperfectTableKey": "EvaluationContexts",
    "DisagreeingFieldCount": 1,
    "SubstrateLabel": "Go",
    "SubjectArea": "meta"
   },
   {
    "TableConformanceId": "effortless-golang|Organizations",
    "Run": "run-20260913-165336",
    "Substrate": "effortless-golang",
    "RulebookTable": "Organizations",
    "RecordCount": 4,
    "DerivedFieldCount": 1,
    "CellsTested": 4,
    "CellsPassed": 4,
    "IsMissingAnswerFile": false,
    "SemanticTypeIri": "urn:effortless:pko-extension#TableConformance",
    "Name": "effortless-golang / Organizations",
    "CellsFailed": 0,
    "Score": 100.0,
    "IsPerfect": true,
    "ImperfectSubstrateKey": null,
    "ImperfectTableKey": null,
    "DisagreeingFieldCount": 0,
    "SubstrateLabel": "Go",
    "SubjectArea": "org"
   },
   {
    "TableConformanceId": "effortless-golang|Agents",
    "Run": "run-20260913-165336",
    "Substrate": "effortless-golang",
    "RulebookTable": "Agents",
    "RecordCount": 11,
    "DerivedFieldCount": 16,
    "CellsTested": 176,
    "CellsPassed": 176,
    "IsMissingAnswerFile": false,
    "SemanticTypeIri": "urn:effortless:pko-extension#TableConformance",
    "Name": "effortless-golang / Agents",
    "CellsFailed": 0,
    "Score": 100.0,
    "IsPerfect": true,
    "ImperfectSubstrateKey": null,
    "ImperfectTableKey": null,
    "DisagreeingFieldCount": 0,
    "SubstrateLabel": "Go",
    "SubjectArea": "org"
   },
   {
    "TableConformanceId": "effortless-golang|Roles",
    "Run": "run-20260913-165336",
    "Substrate": "effortless-golang",
    "RulebookTable": "Roles",
    "RecordCount": 12,
    "DerivedFieldCount": 17,
    "CellsTested": 204,
    "CellsPassed": 204,
    "IsMissingAnswerFile": false,
    "SemanticTypeIri": "urn:effortless:pko-extension#TableConformance",
    "Name": "effortless-golang / Roles",
    "CellsFailed": 0,
    "Score": 100.0,
    "IsPerfect": true,
    "ImperfectSubstrateKey": null,
    "ImperfectTableKey": null,
    "DisagreeingFieldCount": 0,
    "SubstrateLabel": "Go",
    "SubjectArea": "org"
   },
   {
    "TableConformanceId": "effortless-golang|RoleAssignments",
    "Run": "run-20260913-165336",
    "Substrate": "effortless-golang",
    "RulebookTable": "RoleAssignments",
    "RecordCount": 13,
    "DerivedFieldCount": 47,
    "CellsTested": 611,
    "CellsPassed": 584,
    "IsMissingAnswerFile": false,
    "SemanticTypeIri": "urn:effortless:pko-extension#TableConformance",
    "Name": "effortless-golang / RoleAssignments",
    "CellsFailed": 27,
    "Score": 95.58,
    "IsPerfect": false,
    "ImperfectSubstrateKey": "effortless-golang",
    "ImperfectTableKey": "RoleAssignments",
    "DisagreeingFieldCount": 3,
    "SubstrateLabel": "Go",
    "SubjectArea": "org"
   },
   {
    "TableConformanceId": "effortless-golang|CommunitiesOfPractice",
    "Run": "run-20260913-165336",
    "Substrate": "effortless-golang",
    "RulebookTable": "CommunitiesOfPractice",
    "RecordCount": 2,
    "DerivedFieldCount": 1,
    "CellsTested": 2,
    "CellsPassed": 2,
    "IsMissingAnswerFile": false,
    "SemanticTypeIri": "urn:effortless:pko-extension#TableConformance",
    "Name": "effortless-golang / CommunitiesOfPractice",
    "CellsFailed": 0,
    "Score": 100.0,
    "IsPerfect": true,
    "ImperfectSubstrateKey": null,
    "ImperfectTableKey": null,
    "DisagreeingFieldCount": 0,
    "SubstrateLabel": "Go",
    "SubjectArea": "org"
   },
   {
    "TableConformanceId": "effortless-golang|Mentorships",
    "Run": "run-20260913-165336",
    "Substrate": "effortless-golang",
    "RulebookTable": "Mentorships",
    "RecordCount": 1,
    "DerivedFieldCount": 1,
    "CellsTested": 1,
    "CellsPassed": 1,
    "IsMissingAnswerFile": false,
    "SemanticTypeIri": "urn:effortless:pko-extension#TableConformance",
    "Name": "effortless-golang / Mentorships",
    "CellsFailed": 0,
    "Score": 100.0,
    "IsPerfect": true,
    "ImperfectSubstrateKey": null,
    "ImperfectTableKey": null,
    "DisagreeingFieldCount": 0,
    "SubstrateLabel": "Go",
    "SubjectArea": "org"
   },
   {
    "TableConformanceId": "effortless-golang|ProcedureTypes",
    "Run": "run-20260913-165336",
    "Substrate": "effortless-golang",
    "RulebookTable": "ProcedureTypes",
    "RecordCount": 2,
    "DerivedFieldCount": 1,
    "CellsTested": 2,
    "CellsPassed": 2,
    "IsMissingAnswerFile": false,
    "SemanticTypeIri": "urn:effortless:pko-extension#TableConformance",
    "Name": "effortless-golang / ProcedureTypes",
    "CellsFailed": 0,
    "Score": 100.0,
    "IsPerfect": true,
    "ImperfectSubstrateKey": null,
    "ImperfectTableKey": null,
    "DisagreeingFieldCount": 0,
    "SubstrateLabel": "Go",
    "SubjectArea": "specification"
   },
   {
    "TableConformanceId": "effortless-golang|Procedures",
    "Run": "run-20260913-165336",
    "Substrate": "effortless-golang",
    "RulebookTable": "Procedures",
    "RecordCount": 2,
    "DerivedFieldCount": 1,
    "CellsTested": 2,
    "CellsPassed": 2,
    "IsMissingAnswerFile": false,
    "SemanticTypeIri": "urn:effortless:pko-extension#TableConformance",
    "Name": "effortless-golang / Procedures",
    "CellsFailed": 0,
    "Score": 100.0,
    "IsPerfect": true,
    "ImperfectSubstrateKey": null,
    "ImperfectTableKey": null,
    "DisagreeingFieldCount": 0,
    "SubstrateLabel": "Go",
    "SubjectArea": "specification"
   },
   {
    "TableConformanceId": "effortless-golang|ProcedureVersions",
    "Run": "run-20260913-165336",
    "Substrate": "effortless-golang",
    "RulebookTable": "ProcedureVersions",
    "RecordCount": 3,
    "DerivedFieldCount": 72,
    "CellsTested": 216,
    "CellsPassed": 209,
    "IsMissingAnswerFile": false,
    "SemanticTypeIri": "urn:effortless:pko-extension#TableConformance",
    "Name": "effortless-golang / ProcedureVersions",
    "CellsFailed": 7,
    "Score": 96.76,
    "IsPerfect": false,
    "ImperfectSubstrateKey": "effortless-golang",
    "ImperfectTableKey": "ProcedureVersions",
    "DisagreeingFieldCount": 3,
    "SubstrateLabel": "Go",
    "SubjectArea": "specification"
   },
   {
    "TableConformanceId": "effortless-golang|ProcedureVersionLinks",
    "Run": "run-20260913-165336",
    "Substrate": "effortless-golang",
    "RulebookTable": "ProcedureVersionLinks",
    "RecordCount": 1,
    "DerivedFieldCount": 2,
    "CellsTested": 2,
    "CellsPassed": 2,
    "IsMissingAnswerFile": false,
    "SemanticTypeIri": "urn:effortless:pko-extension#TableConformance",
    "Name": "effortless-golang / ProcedureVersionLinks",
    "CellsFailed": 0,
    "Score": 100.0,
    "IsPerfect": true,
    "ImperfectSubstrateKey": null,
    "ImperfectTableKey": null,
    "DisagreeingFieldCount": 0,
    "SubstrateLabel": "Go",
    "SubjectArea": "specification"
   },
   {
    "TableConformanceId": "effortless-golang|ProcedureStatusChanges",
    "Run": "run-20260913-165336",
    "Substrate": "effortless-golang",
    "RulebookTable": "ProcedureStatusChanges",
    "RecordCount": 5,
    "DerivedFieldCount": 1,
    "CellsTested": 5,
    "CellsPassed": 5,
    "IsMissingAnswerFile": false,
    "SemanticTypeIri": "urn:effortless:pko-extension#TableConformance",
    "Name": "effortless-golang / ProcedureStatusChanges",
    "CellsFailed": 0,
    "Score": 100.0,
    "IsPerfect": true,
    "ImperfectSubstrateKey": null,
    "ImperfectTableKey": null,
    "DisagreeingFieldCount": 0,
    "SubstrateLabel": "Go",
    "SubjectArea": "specification"
   },
   {
    "TableConformanceId": "effortless-golang|Steps",
    "Run": "run-20260913-165336",
    "Substrate": "effortless-golang",
    "RulebookTable": "Steps",
    "RecordCount": 17,
    "DerivedFieldCount": 30,
    "CellsTested": 510,
    "CellsPassed": 510,
    "IsMissingAnswerFile": false,
    "SemanticTypeIri": "urn:effortless:pko-extension#TableConformance",
    "Name": "effortless-golang / Steps",
    "CellsFailed": 0,
    "Score": 100.0,
    "IsPerfect": true,
    "ImperfectSubstrateKey": null,
    "ImperfectTableKey": null,
    "DisagreeingFieldCount": 0,
    "SubstrateLabel": "Go",
    "SubjectArea": "specification"
   },
   {
    "TableConformanceId": "effortless-golang|StepTransitions",
    "Run": "run-20260913-165336",
    "Substrate": "effortless-golang",
    "RulebookTable": "StepTransitions",
    "RecordCount": 19,
    "DerivedFieldCount": 15,
    "CellsTested": 285,
    "CellsPassed": 285,
    "IsMissingAnswerFile": false,
    "SemanticTypeIri": "urn:effortless:pko-extension#TableConformance",
    "Name": "effortless-golang / StepTransitions",
    "CellsFailed": 0,
    "Score": 100.0,
    "IsPerfect": true,
    "ImperfectSubstrateKey": null,
    "ImperfectTableKey": null,
    "DisagreeingFieldCount": 0,
    "SubstrateLabel": "Go",
    "SubjectArea": "specification"
   },
   {
    "TableConformanceId": "effortless-golang|Actions",
    "Run": "run-20260913-165336",
    "Substrate": "effortless-golang",
    "RulebookTable": "Actions",
    "RecordCount": 9,
    "DerivedFieldCount": 1,
    "CellsTested": 9,
    "CellsPassed": 9,
    "IsMissingAnswerFile": false,
    "SemanticTypeIri": "urn:effortless:pko-extension#TableConformance",
    "Name": "effortless-golang / Actions",
    "CellsFailed": 0,
    "Score": 100.0,
    "IsPerfect": true,
    "ImperfectSubstrateKey": null,
    "ImperfectTableKey": null,
    "DisagreeingFieldCount": 0,
    "SubstrateLabel": "Go",
    "SubjectArea": "specification"
   },
   {
    "TableConformanceId": "effortless-golang|Functions",
    "Run": "run-20260913-165336",
    "Substrate": "effortless-golang",
    "RulebookTable": "Functions",
    "RecordCount": 8,
    "DerivedFieldCount": 1,
    "CellsTested": 8,
    "CellsPassed": 8,
    "IsMissingAnswerFile": false,
    "SemanticTypeIri": "urn:effortless:pko-extension#TableConformance",
    "Name": "effortless-golang / Functions",
    "CellsFailed": 0,
    "Score": 100.0,
    "IsPerfect": true,
    "ImperfectSubstrateKey": null,
    "ImperfectTableKey": null,
    "DisagreeingFieldCount": 0,
    "SubstrateLabel": "Go",
    "SubjectArea": "specification"
   },
   {
    "TableConformanceId": "effortless-golang|Tools",
    "Run": "run-20260913-165336",
    "Substrate": "effortless-golang",
    "RulebookTable": "Tools",
    "RecordCount": 8,
    "DerivedFieldCount": 1,
    "CellsTested": 8,
    "CellsPassed": 8,
    "IsMissingAnswerFile": false,
    "SemanticTypeIri": "urn:effortless:pko-extension#TableConformance",
    "Name": "effortless-golang / Tools",
    "CellsFailed": 0,
    "Score": 100.0,
    "IsPerfect": true,
    "ImperfectSubstrateKey": null,
    "ImperfectTableKey": null,
    "DisagreeingFieldCount": 0,
    "SubstrateLabel": "Go",
    "SubjectArea": "specification"
   },
   {
    "TableConformanceId": "effortless-golang|StepActions",
    "Run": "run-20260913-165336",
    "Substrate": "effortless-golang",
    "RulebookTable": "StepActions",
    "RecordCount": 9,
    "DerivedFieldCount": 1,
    "CellsTested": 9,
    "CellsPassed": 9,
    "IsMissingAnswerFile": false,
    "SemanticTypeIri": "urn:effortless:pko-extension#TableConformance",
    "Name": "effortless-golang / StepActions",
    "CellsFailed": 0,
    "Score": 100.0,
    "IsPerfect": true,
    "ImperfectSubstrateKey": null,
    "ImperfectTableKey": null,
    "DisagreeingFieldCount": 0,
    "SubstrateLabel": "Go",
    "SubjectArea": "specification"
   },
   {
    "TableConformanceId": "effortless-golang|StepFunctions",
    "Run": "run-20260913-165336",
    "Substrate": "effortless-golang",
    "RulebookTable": "StepFunctions",
    "RecordCount": 8,
    "DerivedFieldCount": 1,
    "CellsTested": 8,
    "CellsPassed": 8,
    "IsMissingAnswerFile": false,
    "SemanticTypeIri": "urn:effortless:pko-extension#TableConformance",
    "Name": "effortless-golang / StepFunctions",
    "CellsFailed": 0,
    "Score": 100.0,
    "IsPerfect": true,
    "ImperfectSubstrateKey": null,
    "ImperfectTableKey": null,
    "DisagreeingFieldCount": 0,
    "SubstrateLabel": "Go",
    "SubjectArea": "specification"
   },
   {
    "TableConformanceId": "effortless-golang|StepTools",
    "Run": "run-20260913-165336",
    "Substrate": "effortless-golang",
    "RulebookTable": "StepTools",
    "RecordCount": 10,
    "DerivedFieldCount": 1,
    "CellsTested": 10,
    "CellsPassed": 10,
    "IsMissingAnswerFile": false,
    "SemanticTypeIri": "urn:effortless:pko-extension#TableConformance",
    "Name": "effortless-golang / StepTools",
    "CellsFailed": 0,
    "Score": 100.0,
    "IsPerfect": true,
    "ImperfectSubstrateKey": null,
    "ImperfectTableKey": null,
    "DisagreeingFieldCount": 0,
    "SubstrateLabel": "Go",
    "SubjectArea": "specification"
   },
   {
    "TableConformanceId": "effortless-golang|Requirements",
    "Run": "run-20260913-165336",
    "Substrate": "effortless-golang",
    "RulebookTable": "Requirements",
    "RecordCount": 13,
    "DerivedFieldCount": 31,
    "CellsTested": 403,
    "CellsPassed": 400,
    "IsMissingAnswerFile": false,
    "SemanticTypeIri": "urn:effortless:pko-extension#TableConformance",
    "Name": "effortless-golang / Requirements",
    "CellsFailed": 3,
    "Score": 99.26,
    "IsPerfect": false,
    "ImperfectSubstrateKey": "effortless-golang",
    "ImperfectTableKey": "Requirements",
    "DisagreeingFieldCount": 1,
    "SubstrateLabel": "Go",
    "SubjectArea": "governance"
   },
   {
    "TableConformanceId": "effortless-golang|StepRequirements",
    "Run": "run-20260913-165336",
    "Substrate": "effortless-golang",
    "RulebookTable": "StepRequirements",
    "RecordCount": 15,
    "DerivedFieldCount": 10,
    "CellsTested": 150,
    "CellsPassed": 150,
    "IsMissingAnswerFile": false,
    "SemanticTypeIri": "urn:effortless:pko-extension#TableConformance",
    "Name": "effortless-golang / StepRequirements",
    "CellsFailed": 0,
    "Score": 100.0,
    "IsPerfect": true,
    "ImperfectSubstrateKey": null,
    "ImperfectTableKey": null,
    "DisagreeingFieldCount": 0,
    "SubstrateLabel": "Go",
    "SubjectArea": "specification"
   },
   {
    "TableConformanceId": "effortless-golang|StepVerifications",
    "Run": "run-20260913-165336",
    "Substrate": "effortless-golang",
    "RulebookTable": "StepVerifications",
    "RecordCount": 11,
    "DerivedFieldCount": 1,
    "CellsTested": 11,
    "CellsPassed": 11,
    "IsMissingAnswerFile": false,
    "SemanticTypeIri": "urn:effortless:pko-extension#TableConformance",
    "Name": "effortless-golang / StepVerifications",
    "CellsFailed": 0,
    "Score": 100.0,
    "IsPerfect": true,
    "ImperfectSubstrateKey": null,
    "ImperfectTableKey": null,
    "DisagreeingFieldCount": 0,
    "SubstrateLabel": "Go",
    "SubjectArea": "specification"
   },
   {
    "TableConformanceId": "effortless-golang|Rationales",
    "Run": "run-20260913-165336",
    "Substrate": "effortless-golang",
    "RulebookTable": "Rationales",
    "RecordCount": 4,
    "DerivedFieldCount": 1,
    "CellsTested": 4,
    "CellsPassed": 4,
    "IsMissingAnswerFile": false,
    "SemanticTypeIri": "urn:effortless:pko-extension#TableConformance",
    "Name": "effortless-golang / Rationales",
    "CellsFailed": 0,
    "Score": 100.0,
    "IsPerfect": true,
    "ImperfectSubstrateKey": null,
    "ImperfectTableKey": null,
    "DisagreeingFieldCount": 0,
    "SubstrateLabel": "Go",
    "SubjectArea": "governance"
   },
   {
    "TableConformanceId": "effortless-golang|Exceptions",
    "Run": "run-20260913-165336",
    "Substrate": "effortless-golang",
    "RulebookTable": "Exceptions",
    "RecordCount": 4,
    "DerivedFieldCount": 2,
    "CellsTested": 8,
    "CellsPassed": 8,
    "IsMissingAnswerFile": false,
    "SemanticTypeIri": "urn:effortless:pko-extension#TableConformance",
    "Name": "effortless-golang / Exceptions",
    "CellsFailed": 0,
    "Score": 100.0,
    "IsPerfect": true,
    "ImperfectSubstrateKey": null,
    "ImperfectTableKey": null,
    "DisagreeingFieldCount": 0,
    "SubstrateLabel": "Go",
    "SubjectArea": "governance"
   },
   {
    "TableConformanceId": "effortless-golang|Resources",
    "Run": "run-20260913-165336",
    "Substrate": "effortless-golang",
    "RulebookTable": "Resources",
    "RecordCount": 8,
    "DerivedFieldCount": 2,
    "CellsTested": 16,
    "CellsPassed": 16,
    "IsMissingAnswerFile": false,
    "SemanticTypeIri": "urn:effortless:pko-extension#TableConformance",
    "Name": "effortless-golang / Resources",
    "CellsFailed": 0,
    "Score": 100.0,
    "IsPerfect": true,
    "ImperfectSubstrateKey": null,
    "ImperfectTableKey": null,
    "DisagreeingFieldCount": 0,
    "SubstrateLabel": "Go",
    "SubjectArea": "domain"
   },
   {
    "TableConformanceId": "effortless-golang|ProcedureResources",
    "Run": "run-20260913-165336",
    "Substrate": "effortless-golang",
    "RulebookTable": "ProcedureResources",
    "RecordCount": 8,
    "DerivedFieldCount": 2,
    "CellsTested": 16,
    "CellsPassed": 16,
    "IsMissingAnswerFile": false,
    "SemanticTypeIri": "urn:effortless:pko-extension#TableConformance",
    "Name": "effortless-golang / ProcedureResources",
    "CellsFailed": 0,
    "Score": 100.0,
    "IsPerfect": true,
    "ImperfectSubstrateKey": null,
    "ImperfectTableKey": null,
    "DisagreeingFieldCount": 0,
    "SubstrateLabel": "Go",
    "SubjectArea": "specification"
   },
   {
    "TableConformanceId": "effortless-golang|ElicitationSessions",
    "Run": "run-20260913-165336",
    "Substrate": "effortless-golang",
    "RulebookTable": "ElicitationSessions",
    "RecordCount": 3,
    "DerivedFieldCount": 10,
    "CellsTested": 30,
    "CellsPassed": 25,
    "IsMissingAnswerFile": false,
    "SemanticTypeIri": "urn:effortless:pko-extension#TableConformance",
    "Name": "effortless-golang / ElicitationSessions",
    "CellsFailed": 5,
    "Score": 83.33,
    "IsPerfect": false,
    "ImperfectSubstrateKey": "effortless-golang",
    "ImperfectTableKey": "ElicitationSessions",
    "DisagreeingFieldCount": 2,
    "SubstrateLabel": "Go",
    "SubjectArea": "knowledge"
   },
   {
    "TableConformanceId": "effortless-golang|KnowledgeFragments",
    "Run": "run-20260913-165336",
    "Substrate": "effortless-golang",
    "RulebookTable": "KnowledgeFragments",
    "RecordCount": 7,
    "DerivedFieldCount": 65,
    "CellsTested": 455,
    "CellsPassed": 445,
    "IsMissingAnswerFile": false,
    "SemanticTypeIri": "urn:effortless:pko-extension#TableConformance",
    "Name": "effortless-golang / KnowledgeFragments",
    "CellsFailed": 10,
    "Score": 97.8,
    "IsPerfect": false,
    "ImperfectSubstrateKey": "effortless-golang",
    "ImperfectTableKey": "KnowledgeFragments",
    "DisagreeingFieldCount": 4,
    "SubstrateLabel": "Go",
    "SubjectArea": "knowledge"
   },
   {
    "TableConformanceId": "effortless-golang|KnowledgeGaps",
    "Run": "run-20260913-165336",
    "Substrate": "effortless-golang",
    "RulebookTable": "KnowledgeGaps",
    "RecordCount": 8,
    "DerivedFieldCount": 16,
    "CellsTested": 128,
    "CellsPassed": 127,
    "IsMissingAnswerFile": false,
    "SemanticTypeIri": "urn:effortless:pko-extension#TableConformance",
    "Name": "effortless-golang / KnowledgeGaps",
    "CellsFailed": 1,
    "Score": 99.22,
    "IsPerfect": false,
    "ImperfectSubstrateKey": "effortless-golang",
    "ImperfectTableKey": "KnowledgeGaps",
    "DisagreeingFieldCount": 1,
    "SubstrateLabel": "Go",
    "SubjectArea": "knowledge"
   },
   {
    "TableConformanceId": "effortless-golang|FAQs",
    "Run": "run-20260913-165336",
    "Substrate": "effortless-golang",
    "RulebookTable": "FAQs",
    "RecordCount": 3,
    "DerivedFieldCount": 1,
    "CellsTested": 3,
    "CellsPassed": 3,
    "IsMissingAnswerFile": false,
    "SemanticTypeIri": "urn:effortless:pko-extension#TableConformance",
    "Name": "effortless-golang / FAQs",
    "CellsFailed": 0,
    "Score": 100.0,
    "IsPerfect": true,
    "ImperfectSubstrateKey": null,
    "ImperfectTableKey": null,
    "DisagreeingFieldCount": 0,
    "SubstrateLabel": "Go",
    "SubjectArea": "knowledge"
   },
   {
    "TableConformanceId": "effortless-golang|Explanations",
    "Run": "run-20260913-165336",
    "Substrate": "effortless-golang",
    "RulebookTable": "Explanations",
    "RecordCount": 2,
    "DerivedFieldCount": 1,
    "CellsTested": 2,
    "CellsPassed": 2,
    "IsMissingAnswerFile": false,
    "SemanticTypeIri": "urn:effortless:pko-extension#TableConformance",
    "Name": "effortless-golang / Explanations",
    "CellsFailed": 0,
    "Score": 100.0,
    "IsPerfect": true,
    "ImperfectSubstrateKey": null,
    "ImperfectTableKey": null,
    "DisagreeingFieldCount": 0,
    "SubstrateLabel": "Go",
    "SubjectArea": "knowledge"
   },
   {
    "TableConformanceId": "effortless-golang|ProcedureExecutions",
    "Run": "run-20260913-165336",
    "Substrate": "effortless-golang",
    "RulebookTable": "ProcedureExecutions",
    "RecordCount": 2,
    "DerivedFieldCount": 69,
    "CellsTested": 138,
    "CellsPassed": 138,
    "IsMissingAnswerFile": false,
    "SemanticTypeIri": "urn:effortless:pko-extension#TableConformance",
    "Name": "effortless-golang / ProcedureExecutions",
    "CellsFailed": 0,
    "Score": 100.0,
    "IsPerfect": true,
    "ImperfectSubstrateKey": null,
    "ImperfectTableKey": null,
    "DisagreeingFieldCount": 0,
    "SubstrateLabel": "Go",
    "SubjectArea": "specification"
   },
   {
    "TableConformanceId": "effortless-golang|StepExecutions",
    "Run": "run-20260913-165336",
    "Substrate": "effortless-golang",
    "RulebookTable": "StepExecutions",
    "RecordCount": 12,
    "DerivedFieldCount": 99,
    "CellsTested": 1188,
    "CellsPassed": 1188,
    "IsMissingAnswerFile": false,
    "SemanticTypeIri": "urn:effortless:pko-extension#TableConformance",
    "Name": "effortless-golang / StepExecutions",
    "CellsFailed": 0,
    "Score": 100.0,
    "IsPerfect": true,
    "ImperfectSubstrateKey": null,
    "ImperfectTableKey": null,
    "DisagreeingFieldCount": 0,
    "SubstrateLabel": "Go",
    "SubjectArea": "specification"
   },
   {
    "TableConformanceId": "effortless-golang|RequirementSatisfactions",
    "Run": "run-20260913-165336",
    "Substrate": "effortless-golang",
    "RulebookTable": "RequirementSatisfactions",
    "RecordCount": 8,
    "DerivedFieldCount": 38,
    "CellsTested": 304,
    "CellsPassed": 304,
    "IsMissingAnswerFile": false,
    "SemanticTypeIri": "urn:effortless:pko-extension#TableConformance",
    "Name": "effortless-golang / RequirementSatisfactions",
    "CellsFailed": 0,
    "Score": 100.0,
    "IsPerfect": true,
    "ImperfectSubstrateKey": null,
    "ImperfectTableKey": null,
    "DisagreeingFieldCount": 0,
    "SubstrateLabel": "Go",
    "SubjectArea": "execution"
   },
   {
    "TableConformanceId": "effortless-golang|Errors",
    "Run": "run-20260913-165336",
    "Substrate": "effortless-golang",
    "RulebookTable": "Errors",
    "RecordCount": 2,
    "DerivedFieldCount": 1,
    "CellsTested": 2,
    "CellsPassed": 2,
    "IsMissingAnswerFile": false,
    "SemanticTypeIri": "urn:effortless:pko-extension#TableConformance",
    "Name": "effortless-golang / Errors",
    "CellsFailed": 0,
    "Score": 100.0,
    "IsPerfect": true,
    "ImperfectSubstrateKey": null,
    "ImperfectTableKey": null,
    "DisagreeingFieldCount": 0,
    "SubstrateLabel": "Go",
    "SubjectArea": "execution"
   },
   {
    "TableConformanceId": "effortless-golang|IssueOccurrences",
    "Run": "run-20260913-165336",
    "Substrate": "effortless-golang",
    "RulebookTable": "IssueOccurrences",
    "RecordCount": 2,
    "DerivedFieldCount": 3,
    "CellsTested": 6,
    "CellsPassed": 4,
    "IsMissingAnswerFile": false,
    "SemanticTypeIri": "urn:effortless:pko-extension#TableConformance",
    "Name": "effortless-golang / IssueOccurrences",
    "CellsFailed": 2,
    "Score": 66.67,
    "IsPerfect": false,
    "ImperfectSubstrateKey": "effortless-golang",
    "ImperfectTableKey": "IssueOccurrences",
    "DisagreeingFieldCount": 1,
    "SubstrateLabel": "Go",
    "SubjectArea": "execution"
   },
   {
    "TableConformanceId": "effortless-golang|UserQuestions",
    "Run": "run-20260913-165336",
    "Substrate": "effortless-golang",
    "RulebookTable": "UserQuestions",
    "RecordCount": 2,
    "DerivedFieldCount": 1,
    "CellsTested": 2,
    "CellsPassed": 2,
    "IsMissingAnswerFile": false,
    "SemanticTypeIri": "urn:effortless:pko-extension#TableConformance",
    "Name": "effortless-golang / UserQuestions",
    "CellsFailed": 0,
    "Score": 100.0,
    "IsPerfect": true,
    "ImperfectSubstrateKey": null,
    "ImperfectTableKey": null,
    "DisagreeingFieldCount": 0,
    "SubstrateLabel": "Go",
    "SubjectArea": "domain"
   },
   {
    "TableConformanceId": "effortless-golang|UserFeedback",
    "Run": "run-20260913-165336",
    "Substrate": "effortless-golang",
    "RulebookTable": "UserFeedback",
    "RecordCount": 2,
    "DerivedFieldCount": 1,
    "CellsTested": 2,
    "CellsPassed": 2,
    "IsMissingAnswerFile": false,
    "SemanticTypeIri": "urn:effortless:pko-extension#TableConformance",
    "Name": "effortless-golang / UserFeedback",
    "CellsFailed": 0,
    "Score": 100.0,
    "IsPerfect": true,
    "ImperfectSubstrateKey": null,
    "ImperfectTableKey": null,
    "DisagreeingFieldCount": 0,
    "SubstrateLabel": "Go",
    "SubjectArea": "domain"
   },
   {
    "TableConformanceId": "effortless-golang|StewardshipAssignments",
    "Run": "run-20260913-165336",
    "Substrate": "effortless-golang",
    "RulebookTable": "StewardshipAssignments",
    "RecordCount": 2,
    "DerivedFieldCount": 5,
    "CellsTested": 10,
    "CellsPassed": 10,
    "IsMissingAnswerFile": false,
    "SemanticTypeIri": "urn:effortless:pko-extension#TableConformance",
    "Name": "effortless-golang / StewardshipAssignments",
    "CellsFailed": 0,
    "Score": 100.0,
    "IsPerfect": true,
    "ImperfectSubstrateKey": null,
    "ImperfectTableKey": null,
    "DisagreeingFieldCount": 0,
    "SubstrateLabel": "Go",
    "SubjectArea": "org"
   },
   {
    "TableConformanceId": "effortless-golang|ChangeRequests",
    "Run": "run-20260913-165336",
    "Substrate": "effortless-golang",
    "RulebookTable": "ChangeRequests",
    "RecordCount": 2,
    "DerivedFieldCount": 32,
    "CellsTested": 64,
    "CellsPassed": 62,
    "IsMissingAnswerFile": false,
    "SemanticTypeIri": "urn:effortless:pko-extension#TableConformance",
    "Name": "effortless-golang / ChangeRequests",
    "CellsFailed": 2,
    "Score": 96.88,
    "IsPerfect": false,
    "ImperfectSubstrateKey": "effortless-golang",
    "ImperfectTableKey": "ChangeRequests",
    "DisagreeingFieldCount": 2,
    "SubstrateLabel": "Go",
    "SubjectArea": "domain"
   },
   {
    "TableConformanceId": "effortless-golang|ReviewEvents",
    "Run": "run-20260913-165336",
    "Substrate": "effortless-golang",
    "RulebookTable": "ReviewEvents",
    "RecordCount": 3,
    "DerivedFieldCount": 10,
    "CellsTested": 30,
    "CellsPassed": 24,
    "IsMissingAnswerFile": false,
    "SemanticTypeIri": "urn:effortless:pko-extension#TableConformance",
    "Name": "effortless-golang / ReviewEvents",
    "CellsFailed": 6,
    "Score": 80.0,
    "IsPerfect": false,
    "ImperfectSubstrateKey": "effortless-golang",
    "ImperfectTableKey": "ReviewEvents",
    "DisagreeingFieldCount": 2,
    "SubstrateLabel": "Go",
    "SubjectArea": "domain"
   },
   {
    "TableConformanceId": "effortless-golang|LearningActivities",
    "Run": "run-20260913-165336",
    "Substrate": "effortless-golang",
    "RulebookTable": "LearningActivities",
    "RecordCount": 2,
    "DerivedFieldCount": 1,
    "CellsTested": 2,
    "CellsPassed": 0,
    "IsMissingAnswerFile": false,
    "SemanticTypeIri": "urn:effortless:pko-extension#TableConformance",
    "Name": "effortless-golang / LearningActivities",
    "CellsFailed": 2,
    "Score": 0.0,
    "IsPerfect": false,
    "ImperfectSubstrateKey": "effortless-golang",
    "ImperfectTableKey": "LearningActivities",
    "DisagreeingFieldCount": 1,
    "SubstrateLabel": "Go",
    "SubjectArea": "domain"
   },
   {
    "TableConformanceId": "effortless-golang|OperationalBindings",
    "Run": "run-20260913-165336",
    "Substrate": "effortless-golang",
    "RulebookTable": "OperationalBindings",
    "RecordCount": 5,
    "DerivedFieldCount": 11,
    "CellsTested": 55,
    "CellsPassed": 55,
    "IsMissingAnswerFile": false,
    "SemanticTypeIri": "urn:effortless:pko-extension#TableConformance",
    "Name": "effortless-golang / OperationalBindings",
    "CellsFailed": 0,
    "Score": 100.0,
    "IsPerfect": true,
    "ImperfectSubstrateKey": null,
    "ImperfectTableKey": null,
    "DisagreeingFieldCount": 0,
    "SubstrateLabel": "Go",
    "SubjectArea": "domain"
   },
   {
    "TableConformanceId": "effortless-golang|CommunicationPolicies",
    "Run": "run-20260913-165336",
    "Substrate": "effortless-golang",
    "RulebookTable": "CommunicationPolicies",
    "RecordCount": 2,
    "DerivedFieldCount": 4,
    "CellsTested": 8,
    "CellsPassed": 8,
    "IsMissingAnswerFile": false,
    "SemanticTypeIri": "urn:effortless:pko-extension#TableConformance",
    "Name": "effortless-golang / CommunicationPolicies",
    "CellsFailed": 0,
    "Score": 100.0,
    "IsPerfect": true,
    "ImperfectSubstrateKey": null,
    "ImperfectTableKey": null,
    "DisagreeingFieldCount": 0,
    "SubstrateLabel": "Go",
    "SubjectArea": "communication"
   },
   {
    "TableConformanceId": "effortless-golang|MessageTemplates",
    "Run": "run-20260913-165336",
    "Substrate": "effortless-golang",
    "RulebookTable": "MessageTemplates",
    "RecordCount": 2,
    "DerivedFieldCount": 16,
    "CellsTested": 32,
    "CellsPassed": 32,
    "IsMissingAnswerFile": false,
    "SemanticTypeIri": "urn:effortless:pko-extension#TableConformance",
    "Name": "effortless-golang / MessageTemplates",
    "CellsFailed": 0,
    "Score": 100.0,
    "IsPerfect": true,
    "ImperfectSubstrateKey": null,
    "ImperfectTableKey": null,
    "DisagreeingFieldCount": 0,
    "SubstrateLabel": "Go",
    "SubjectArea": "communication"
   },
   {
    "TableConformanceId": "effortless-golang|SemanticMappings",
    "Run": "run-20260913-165336",
    "Substrate": "effortless-golang",
    "RulebookTable": "SemanticMappings",
    "RecordCount": 47,
    "DerivedFieldCount": 1,
    "CellsTested": 47,
    "CellsPassed": 47,
    "IsMissingAnswerFile": false,
    "SemanticTypeIri": "urn:effortless:pko-extension#TableConformance",
    "Name": "effortless-golang / SemanticMapp</t>
  </si>
  <si>
    <t xml:space="preserve">ings",
    "CellsFailed": 0,
    "Score": 100.0,
    "IsPerfect": true,
    "ImperfectSubstrateKey": null,
    "ImperfectTableKey": null,
    "DisagreeingFieldCount": 0,
    "SubstrateLabel": "Go",
    "SubjectArea": "meta"
   },
   {
    "TableConformanceId": "effortless-golang|WitnessLoops",
    "Run": "run-20260913-165336",
    "Substrate": "effortless-golang",
    "RulebookTable": "WitnessLoops",
    "RecordCount": 3,
    "DerivedFieldCount": 3,
    "CellsTested": 9,
    "CellsPassed": 9,
    "IsMissingAnswerFile": false,
    "SemanticTypeIri": "urn:effortless:pko-extension#TableConformance",
    "Name": "effortless-golang / WitnessLoops",
    "CellsFailed": 0,
    "Score": 100.0,
    "IsPerfect": true,
    "ImperfectSubstrateKey": null,
    "ImperfectTableKey": null,
    "DisagreeingFieldCount": 0,
    "SubstrateLabel": "Go",
    "SubjectArea": "meta"
   },
   {
    "TableConformanceId": "effortless-golang|RoleQuestions",
    "Run": "run-20260913-165336",
    "Substrate": "effortless-golang",
    "RulebookTable": "RoleQuestions",
    "RecordCount": 109,
    "DerivedFieldCount": 3,
    "CellsTested": 327,
    "CellsPassed": 327,
    "IsMissingAnswerFile": false,
    "SemanticTypeIri": "urn:effortless:pko-extension#TableConformance",
    "Name": "effortless-golang / RoleQuestions",
    "CellsFailed": 0,
    "Score": 100.0,
    "IsPerfect": true,
    "ImperfectSubstrateKey": null,
    "ImperfectTableKey": null,
    "DisagreeingFieldCount": 0,
    "SubstrateLabel": "Go",
    "SubjectArea": "org"
   },
   {
    "TableConformanceId": "effortless-golang|RulebookFields",
    "Run": "run-20260913-165336",
    "Substrate": "effortless-golang",
    "RulebookTable": "RulebookFields",
    "RecordCount": 1879,
    "DerivedFieldCount": 5,
    "CellsTested": 9395,
    "CellsPassed": 9395,
    "IsMissingAnswerFile": false,
    "SemanticTypeIri": "urn:effortless:pko-extension#TableConformance",
    "Name": "effortless-golang / RulebookFields",
    "CellsFailed": 0,
    "Score": 100.0,
    "IsPerfect": true,
    "ImperfectSubstrateKey": null,
    "ImperfectTableKey": null,
    "DisagreeingFieldCount": 0,
    "SubstrateLabel": "Go",
    "SubjectArea": "access-control"
   },
   {
    "TableConformanceId": "effortless-golang|TestSuites",
    "Run": "run-20260913-165336",
    "Substrate": "effortless-golang",
    "RulebookTable": "TestSuites",
    "RecordCount": 6,
    "DerivedFieldCount": 5,
    "CellsTested": 30,
    "CellsPassed": 30,
    "IsMissingAnswerFile": false,
    "SemanticTypeIri": "urn:effortless:pko-extension#TableConformance",
    "Name": "effortless-golang / TestSuites",
    "CellsFailed": 0,
    "Score": 100.0,
    "IsPerfect": true,
    "ImperfectSubstrateKey": null,
    "ImperfectTableKey": null,
    "DisagreeingFieldCount": 0,
    "SubstrateLabel": "Go",
    "SubjectArea": "meta"
   },
   {
    "TableConformanceId": "effortless-golang|TestCases",
    "Run": "run-20260913-165336",
    "Substrate": "effortless-golang",
    "RulebookTable": "TestCases",
    "RecordCount": 1794,
    "DerivedFieldCount": 7,
    "CellsTested": 12558,
    "CellsPassed": 12558,
    "IsMissingAnswerFile": false,
    "SemanticTypeIri": "urn:effortless:pko-extension#TableConformance",
    "Name": "effortless-golang / TestCases",
    "CellsFailed": 0,
    "Score": 100.0,
    "IsPerfect": true,
    "ImperfectSubstrateKey": null,
    "ImperfectTableKey": null,
    "DisagreeingFieldCount": 0,
    "SubstrateLabel": "Go",
    "SubjectArea": "meta"
   },
   {
    "TableConformanceId": "effortless-golang|ExceptionInvocations",
    "Run": "run-20260913-165336",
    "Substrate": "effortless-golang",
    "RulebookTable": "ExceptionInvocations",
    "RecordCount": 1,
    "DerivedFieldCount": 13,
    "CellsTested": 13,
    "CellsPassed": 13,
    "IsMissingAnswerFile": false,
    "SemanticTypeIri": "urn:effortless:pko-extension#TableConformance",
    "Name": "effortless-golang / ExceptionInvocations",
    "CellsFailed": 0,
    "Score": 100.0,
    "IsPerfect": true,
    "ImperfectSubstrateKey": null,
    "ImperfectTableKey": null,
    "DisagreeingFieldCount": 0,
    "SubstrateLabel": "Go",
    "SubjectArea": "governance"
   },
   {
    "TableConformanceId": "effortless-golang|VerificationOutcomes",
    "Run": "run-20260913-165336",
    "Substrate": "effortless-golang",
    "RulebookTable": "VerificationOutcomes",
    "RecordCount": 4,
    "DerivedFieldCount": 18,
    "CellsTested": 72,
    "CellsPassed": 72,
    "IsMissingAnswerFile": false,
    "SemanticTypeIri": "urn:effortless:pko-extension#TableConformance",
    "Name": "effortless-golang / VerificationOutcomes",
    "CellsFailed": 0,
    "Score": 100.0,
    "IsPerfect": true,
    "ImperfectSubstrateKey": null,
    "ImperfectTableKey": null,
    "DisagreeingFieldCount": 0,
    "SubstrateLabel": "Go",
    "SubjectArea": "execution"
   },
   {
    "TableConformanceId": "effortless-golang|ObservedTransitions",
    "Run": "run-20260913-165336",
    "Substrate": "effortless-golang",
    "RulebookTable": "ObservedTransitions",
    "RecordCount": 10,
    "DerivedFieldCount": 1,
    "CellsTested": 10,
    "CellsPassed": 0,
    "IsMissingAnswerFile": false,
    "SemanticTypeIri": "urn:effortless:pko-extension#TableConformance",
    "Name": "effortless-golang / ObservedTransitions",
    "CellsFailed": 10,
    "Score": 0.0,
    "IsPerfect": false,
    "ImperfectSubstrateKey": "effortless-golang",
    "ImperfectTableKey": "ObservedTransitions",
    "DisagreeingFieldCount": 1,
    "SubstrateLabel": "Go",
    "SubjectArea": "specification"
   },
   {
    "TableConformanceId": "effortless-golang|Recipients",
    "Run": "run-20260913-165336",
    "Substrate": "effortless-golang",
    "RulebookTable": "Recipients",
    "RecordCount": 5,
    "DerivedFieldCount": 6,
    "CellsTested": 30,
    "CellsPassed": 30,
    "IsMissingAnswerFile": false,
    "SemanticTypeIri": "urn:effortless:pko-extension#TableConformance",
    "Name": "effortless-golang / Recipients",
    "CellsFailed": 0,
    "Score": 100.0,
    "IsPerfect": true,
    "ImperfectSubstrateKey": null,
    "ImperfectTableKey": null,
    "DisagreeingFieldCount": 0,
    "SubstrateLabel": "Go",
    "SubjectArea": "communication"
   },
   {
    "TableConformanceId": "effortless-golang|MessageDeliveries",
    "Run": "run-20260913-165336",
    "Substrate": "effortless-golang",
    "RulebookTable": "MessageDeliveries",
    "RecordCount": 6,
    "DerivedFieldCount": 74,
    "CellsTested": 444,
    "CellsPassed": 420,
    "IsMissingAnswerFile": false,
    "SemanticTypeIri": "urn:effortless:pko-extension#TableConformance",
    "Name": "effortless-golang / MessageDeliveries",
    "CellsFailed": 24,
    "Score": 94.59,
    "IsPerfect": false,
    "ImperfectSubstrateKey": "effortless-golang",
    "ImperfectTableKey": "MessageDeliveries",
    "DisagreeingFieldCount": 5,
    "SubstrateLabel": "Go",
    "SubjectArea": "communication"
   },
   {
    "TableConformanceId": "effortless-golang|TemplateApprovals",
    "Run": "run-20260913-165336",
    "Substrate": "effortless-golang",
    "RulebookTable": "TemplateApprovals",
    "RecordCount": 2,
    "DerivedFieldCount": 6,
    "CellsTested": 12,
    "CellsPassed": 10,
    "IsMissingAnswerFile": false,
    "SemanticTypeIri": "urn:effortless:pko-extension#TableConformance",
    "Name": "effortless-golang / TemplateApprovals",
    "CellsFailed": 2,
    "Score": 83.33,
    "IsPerfect": false,
    "ImperfectSubstrateKey": "effortless-golang",
    "ImperfectTableKey": "TemplateApprovals",
    "DisagreeingFieldCount": 1,
    "SubstrateLabel": "Go",
    "SubjectArea": "communication"
   },
   {
    "TableConformanceId": "effortless-golang|SendIntents",
    "Run": "run-20260913-165336",
    "Substrate": "effortless-golang",
    "RulebookTable": "SendIntents",
    "RecordCount": 7,
    "DerivedFieldCount": 79,
    "CellsTested": 553,
    "CellsPassed": 546,
    "IsMissingAnswerFile": false,
    "SemanticTypeIri": "urn:effortless:pko-extension#TableConformance",
    "Name": "effortless-golang / SendIntents",
    "CellsFailed": 7,
    "Score": 98.73,
    "IsPerfect": false,
    "ImperfectSubstrateKey": "effortless-golang",
    "ImperfectTableKey": "SendIntents",
    "DisagreeingFieldCount": 1,
    "SubstrateLabel": "Go",
    "SubjectArea": "communication"
   },
   {
    "TableConformanceId": "effortless-golang|AgentDecisionRecords",
    "Run": "run-20260913-165336",
    "Substrate": "effortless-golang",
    "RulebookTable": "AgentDecisionRecords",
    "RecordCount": 3,
    "DerivedFieldCount": 27,
    "CellsTested": 81,
    "CellsPassed": 81,
    "IsMissingAnswerFile": false,
    "SemanticTypeIri": "urn:effortless:pko-extension#TableConformance",
    "Name": "effortless-golang / AgentDecisionRecords",
    "CellsFailed": 0,
    "Score": 100.0,
    "IsPerfect": true,
    "ImperfectSubstrateKey": null,
    "ImperfectTableKey": null,
    "DisagreeingFieldCount": 0,
    "SubstrateLabel": "Go",
    "SubjectArea": "org"
   },
   {
    "TableConformanceId": "effortless-golang|DeliveredCommunications",
    "Run": "run-20260913-165336",
    "Substrate": "effortless-golang",
    "RulebookTable": "DeliveredCommunications",
    "RecordCount": 1,
    "DerivedFieldCount": 6,
    "CellsTested": 6,
    "CellsPassed": 5,
    "IsMissingAnswerFile": false,
    "SemanticTypeIri": "urn:effortless:pko-extension#TableConformance",
    "Name": "effortless-golang / DeliveredCommunications",
    "CellsFailed": 1,
    "Score": 83.33,
    "IsPerfect": false,
    "ImperfectSubstrateKey": "effortless-golang",
    "ImperfectTableKey": "DeliveredCommunications",
    "DisagreeingFieldCount": 1,
    "SubstrateLabel": "Go",
    "SubjectArea": "communication"
   },
   {
    "TableConformanceId": "effortless-golang|AuthorityBoundaries",
    "Run": "run-20260913-165336",
    "Substrate": "effortless-golang",
    "RulebookTable": "AuthorityBoundaries",
    "RecordCount": 3,
    "DerivedFieldCount": 21,
    "CellsTested": 63,
    "CellsPassed": 63,
    "IsMissingAnswerFile": false,
    "SemanticTypeIri": "urn:effortless:pko-extension#TableConformance",
    "Name": "effortless-golang / AuthorityBoundaries",
    "CellsFailed": 0,
    "Score": 100.0,
    "IsPerfect": true,
    "ImperfectSubstrateKey": null,
    "ImperfectTableKey": null,
    "DisagreeingFieldCount": 0,
    "SubstrateLabel": "Go",
    "SubjectArea": "governance"
   },
   {
    "TableConformanceId": "effortless-golang|AppRoleProfiles",
    "Run": "run-20260913-165336",
    "Substrate": "effortless-golang",
    "RulebookTable": "AppRoleProfiles",
    "RecordCount": 12,
    "DerivedFieldCount": 2,
    "CellsTested": 24,
    "CellsPassed": 24,
    "IsMissingAnswerFile": false,
    "SemanticTypeIri": "urn:effortless:pko-extension#TableConformance",
    "Name": "effortless-golang / AppRoleProfiles",
    "CellsFailed": 0,
    "Score": 100.0,
    "IsPerfect": true,
    "ImperfectSubstrateKey": null,
    "ImperfectTableKey": null,
    "DisagreeingFieldCount": 0,
    "SubstrateLabel": "Go",
    "SubjectArea": "org"
   },
   {
    "TableConformanceId": "effortless-golang|AppNavGroups",
    "Run": "run-20260913-165336",
    "Substrate": "effortless-golang",
    "RulebookTable": "AppNavGroups",
    "RecordCount": 23,
    "DerivedFieldCount": 2,
    "CellsTested": 46,
    "CellsPassed": 46,
    "IsMissingAnswerFile": false,
    "SemanticTypeIri": "urn:effortless:pko-extension#TableConformance",
    "Name": "effortless-golang / AppNavGroups",
    "CellsFailed": 0,
    "Score": 100.0,
    "IsPerfect": true,
    "ImperfectSubstrateKey": null,
    "ImperfectTableKey": null,
    "DisagreeingFieldCount": 0,
    "SubstrateLabel": "Go",
    "SubjectArea": "application"
   },
   {
    "TableConformanceId": "effortless-golang|AppRoutes",
    "Run": "run-20260913-165336",
    "Substrate": "effortless-golang",
    "RulebookTable": "AppRoutes",
    "RecordCount": 149,
    "DerivedFieldCount": 7,
    "CellsTested": 1043,
    "CellsPassed": 1043,
    "IsMissingAnswerFile": false,
    "SemanticTypeIri": "urn:effortless:pko-extension#TableConformance",
    "Name": "effortless-golang / AppRoutes",
    "CellsFailed": 0,
    "Score": 100.0,
    "IsPerfect": true,
    "ImperfectSubstrateKey": null,
    "ImperfectTableKey": null,
    "DisagreeingFieldCount": 0,
    "SubstrateLabel": "Go",
    "SubjectArea": "application"
   },
   {
    "TableConformanceId": "effortless-golang|AppRouteQuestions",
    "Run": "run-20260913-165336",
    "Substrate": "effortless-golang",
    "RulebookTable": "AppRouteQuestions",
    "RecordCount": 151,
    "DerivedFieldCount": 1,
    "CellsTested": 151,
    "CellsPassed": 151,
    "IsMissingAnswerFile": false,
    "SemanticTypeIri": "urn:effortless:pko-extension#TableConformance",
    "Name": "effortless-golang / AppRouteQuestions",
    "CellsFailed": 0,
    "Score": 100.0,
    "IsPerfect": true,
    "ImperfectSubstrateKey": null,
    "ImperfectTableKey": null,
    "DisagreeingFieldCount": 0,
    "SubstrateLabel": "Go",
    "SubjectArea": "application"
   },
   {
    "TableConformanceId": "effortless-golang|AppRouteReferences",
    "Run": "run-20260913-165336",
    "Substrate": "effortless-golang",
    "RulebookTable": "AppRouteReferences",
    "RecordCount": 315,
    "DerivedFieldCount": 1,
    "CellsTested": 315,
    "CellsPassed": 315,
    "IsMissingAnswerFile": false,
    "SemanticTypeIri": "urn:effortless:pko-extension#TableConformance",
    "Name": "effortless-golang / AppRouteReferences",
    "CellsFailed": 0,
    "Score": 100.0,
    "IsPerfect": true,
    "ImperfectSubstrateKey": null,
    "ImperfectTableKey": null,
    "DisagreeingFieldCount": 0,
    "SubstrateLabel": "Go",
    "SubjectArea": "application"
   },
   {
    "TableConformanceId": "effortless-golang|RulebookTables",
    "Run": "run-20260913-165336",
    "Substrate": "effortless-golang",
    "RulebookTable": "RulebookTables",
    "RecordCount": 92,
    "DerivedFieldCount": 5,
    "CellsTested": 460,
    "CellsPassed": 460,
    "IsMissingAnswerFile": false,
    "SemanticTypeIri": "urn:effortless:pko-extension#TableConformance",
    "Name": "effortless-golang / RulebookTables",
    "CellsFailed": 0,
    "Score": 100.0,
    "IsPerfect": true,
    "ImperfectSubstrateKey": null,
    "ImperfectTableKey": null,
    "DisagreeingFieldCount": 0,
    "SubstrateLabel": "Go",
    "SubjectArea": "meta"
   },
   {
    "TableConformanceId": "effortless-golang|AccessPrincipals",
    "Run": "run-20260913-165336",
    "Substrate": "effortless-golang",
    "RulebookTable": "AccessPrincipals",
    "RecordCount": 12,
    "DerivedFieldCount": 8,
    "CellsTested": 96,
    "CellsPassed": 96,
    "IsMissingAnswerFile": false,
    "SemanticTypeIri": "urn:effortless:pko-extension#TableConformance",
    "Name": "effortless-golang / AccessPrincipals",
    "CellsFailed": 0,
    "Score": 100.0,
    "IsPerfect": true,
    "ImperfectSubstrateKey": null,
    "ImperfectTableKey": null,
    "DisagreeingFieldCount": 0,
    "SubstrateLabel": "Go",
    "SubjectArea": "access-control"
   },
   {
    "TableConformanceId": "effortless-golang|AccessPolicies",
    "Run": "run-20260913-165336",
    "Substrate": "effortless-golang",
    "RulebookTable": "AccessPolicies",
    "RecordCount": 202,
    "DerivedFieldCount": 7,
    "CellsTested": 1414,
    "CellsPassed": 1414,
    "IsMissingAnswerFile": false,
    "SemanticTypeIri": "urn:effortless:pko-extension#TableConformance",
    "Name": "effortless-golang / AccessPolicies",
    "CellsFailed": 0,
    "Score": 100.0,
    "IsPerfect": true,
    "ImperfectSubstrateKey": null,
    "ImperfectTableKey": null,
    "DisagreeingFieldCount": 0,
    "SubstrateLabel": "Go",
    "SubjectArea": "access-control"
   },
   {
    "TableConformanceId": "effortless-golang|FieldGrants",
    "Run": "run-20260913-165336",
    "Substrate": "effortless-golang",
    "RulebookTable": "FieldGrants",
    "RecordCount": 3639,
    "DerivedFieldCount": 7,
    "CellsTested": 25473,
    "CellsPassed": 25473,
    "IsMissingAnswerFile": false,
    "SemanticTypeIri": "urn:effortless:pko-extension#TableConformance",
    "Name": "effortless-golang / FieldGrants",
    "CellsFailed": 0,
    "Score": 100.0,
    "IsPerfect": true,
    "ImperfectSubstrateKey": null,
    "ImperfectTableKey": null,
    "DisagreeingFieldCount": 0,
    "SubstrateLabel": "Go",
    "SubjectArea": "access-control"
   },
   {
    "TableConformanceId": "effortless-golang|RoleSchemas",
    "Run": "run-20260913-165336",
    "Substrate": "effortless-golang",
    "RulebookTable": "RoleSchemas",
    "RecordCount": 12,
    "DerivedFieldCount": 4,
    "CellsTested": 48,
    "CellsPassed": 48,
    "IsMissingAnswerFile": false,
    "SemanticTypeIri": "urn:effortless:pko-extension#TableConformance",
    "Name": "effortless-golang / RoleSchemas",
    "CellsFailed": 0,
    "Score": 100.0,
    "IsPerfect": true,
    "ImperfectSubstrateKey": null,
    "ImperfectTableKey": null,
    "DisagreeingFieldCount": 0,
    "SubstrateLabel": "Go",
    "SubjectArea": "org"
   },
   {
    "TableConformanceId": "effortless-golang|RoleSchemaViews",
    "Run": "run-20260913-165336",
    "Substrate": "effortless-golang",
    "RulebookTable": "RoleSchemaViews",
    "RecordCount": 202,
    "DerivedFieldCount": 8,
    "CellsTested": 1616,
    "CellsPassed": 1616,
    "IsMissingAnswerFile": false,
    "SemanticTypeIri": "urn:effortless:pko-extension#TableConformance",
    "Name": "effortless-golang / RoleSchemaViews",
    "CellsFailed": 0,
    "Score": 100.0,
    "IsPerfect": true,
    "ImperfectSubstrateKey": null,
    "ImperfectTableKey": null,
    "DisagreeingFieldCount": 0,
    "SubstrateLabel": "Go",
    "SubjectArea": "org"
   },
   {
    "TableConformanceId": "effortless-golang|JwtClaimMappings",
    "Run": "run-20260913-165336",
    "Substrate": "effortless-golang",
    "RulebookTable": "JwtClaimMappings",
    "RecordCount": 4,
    "DerivedFieldCount": 2,
    "CellsTested": 8,
    "CellsPassed": 8,
    "IsMissingAnswerFile": false,
    "SemanticTypeIri": "urn:effortless:pko-extension#TableConformance",
    "Name": "effortless-golang / JwtClaimMappings",
    "CellsFailed": 0,
    "Score": 100.0,
    "IsPerfect": true,
    "ImperfectSubstrateKey": null,
    "ImperfectTableKey": null,
    "DisagreeingFieldCount": 0,
    "SubstrateLabel": "Go",
    "SubjectArea": "access-control"
   },
   {
    "TableConformanceId": "effortless-golang|AccessDenialTests",
    "Run": "run-20260913-165336",
    "Substrate": "effortless-golang",
    "RulebookTable": "AccessDenialTests",
    "RecordCount": 17,
    "DerivedFieldCount": 6,
    "CellsTested": 102,
    "CellsPassed": 102,
    "IsMissingAnswerFile": false,
    "SemanticTypeIri": "urn:effortless:pko-extension#TableConformance",
    "Name": "effortless-golang / AccessDenialTests",
    "CellsFailed": 0,
    "Score": 100.0,
    "IsPerfect": true,
    "ImperfectSubstrateKey": null,
    "ImperfectTableKey": null,
    "DisagreeingFieldCount": 0,
    "SubstrateLabel": "Go",
    "SubjectArea": "access-control"
   },
   {
    "TableConformanceId": "effortless-golang|AppUsers",
    "Run": "run-20260913-165336",
    "Substrate": "effortless-golang",
    "RulebookTable": "AppUsers",
    "RecordCount": 10,
    "DerivedFieldCount": 7,
    "CellsTested": 70,
    "CellsPassed": 70,
    "IsMissingAnswerFile": false,
    "SemanticTypeIri": "urn:effortless:pko-extension#TableConformance",
    "Name": "effortless-golang / AppUsers",
    "CellsFailed": 0,
    "Score": 100.0,
    "IsPerfect": true,
    "ImperfectSubstrateKey": null,
    "ImperfectTableKey": null,
    "DisagreeingFieldCount": 0,
    "SubstrateLabel": "Go",
    "SubjectArea": null
   },
   {
    "TableConformanceId": "effortless-golang|PrincipalAssignments",
    "Run": "run-20260913-165336",
    "Substrate": "effortless-golang",
    "RulebookTable": "PrincipalAssignments",
    "RecordCount": 12,
    "DerivedFieldCount": 5,
    "CellsTested": 60,
    "CellsPassed": 60,
    "IsMissingAnswerFile": false,
    "SemanticTypeIri": "urn:effortless:pko-extension#TableConformance",
    "Name": "effortless-golang / PrincipalAssignments",
    "CellsFailed": 0,
    "Score": 100.0,
    "IsPerfect": true,
    "ImperfectSubstrateKey": null,
    "ImperfectTableKey": null,
    "DisagreeingFieldCount": 0,
    "SubstrateLabel": "Go",
    "SubjectArea": null
   },
   {
    "TableConformanceId": "effortless-golang|ProcessMiningRuns",
    "Run": "run-20260913-165336",
    "Substrate": "effortless-golang",
    "RulebookTable": "ProcessMiningRuns",
    "RecordCount": 4,
    "DerivedFieldCount": 10,
    "CellsTested": 40,
    "CellsPassed": 36,
    "IsMissingAnswerFile": false,
    "SemanticTypeIri": "urn:effortless:pko-extension#TableConformance",
    "Name": "effortless-golang / ProcessMiningRuns",
    "CellsFailed": 4,
    "Score": 90.0,
    "IsPerfect": false,
    "ImperfectSubstrateKey": "effortless-golang",
    "ImperfectTableKey": "ProcessMiningRuns",
    "DisagreeingFieldCount": 1,
    "SubstrateLabel": "Go",
    "SubjectArea": "knowledge"
   },
   {
    "TableConformanceId": "effortless-golang|Vocabularies",
    "Run": "run-20260913-165336",
    "Substrate": "effortless-golang",
    "RulebookTable": "Vocabularies",
    "RecordCount": 2,
    "DerivedFieldCount": 4,
    "CellsTested": 8,
    "CellsPassed": 8,
    "IsMissingAnswerFile": false,
    "SemanticTypeIri": "urn:effortless:pko-extension#TableConformance",
    "Name": "effortless-golang / Vocabularies",
    "CellsFailed": 0,
    "Score": 100.0,
    "IsPerfect": true,
    "ImperfectSubstrateKey": null,
    "ImperfectTableKey": null,
    "DisagreeingFieldCount": 0,
    "SubstrateLabel": "Go",
    "SubjectArea": "knowledge"
   },
   {
    "TableConformanceId": "effortless-golang|VocabularyTerms",
    "Run": "run-20260913-165336",
    "Substrate": "effortless-golang",
    "RulebookTable": "VocabularyTerms",
    "RecordCount": 12,
    "DerivedFieldCount": 5,
    "CellsTested": 60,
    "CellsPassed": 60,
    "IsMissingAnswerFile": false,
    "SemanticTypeIri": "urn:effortless:pko-extension#TableConformance",
    "Name": "effortless-golang / VocabularyTerms",
    "CellsFailed": 0,
    "Score": 100.0,
    "IsPerfect": true,
    "ImperfectSubstrateKey": null,
    "ImperfectTableKey": null,
    "DisagreeingFieldCount": 0,
    "SubstrateLabel": "Go",
    "SubjectArea": "knowledge"
   },
   {
    "TableConformanceId": "effortless-golang|KnowledgeBrokerLinks",
    "Run": "run-20260913-165336",
    "Substrate": "effortless-golang",
    "RulebookTable": "KnowledgeBrokerLinks",
    "RecordCount": 5,
    "DerivedFieldCount": 8,
    "CellsTested": 40,
    "CellsPassed": 40,
    "IsMissingAnswerFile": false,
    "SemanticTypeIri": "urn:effortless:pko-extension#TableConformance",
    "Name": "effortless-golang / KnowledgeBrokerLinks",
    "CellsFailed": 0,
    "Score": 100.0,
    "IsPerfect": true,
    "ImperfectSubstrateKey": null,
    "ImperfectTableKey": null,
    "DisagreeingFieldCount": 0,
    "SubstrateLabel": "Go",
    "SubjectArea": "knowledge"
   },
   {
    "TableConformanceId": "effortless-owl|RulebookReleases",
    "Run": "run-20260913-165336",
    "Substrate": "effortless-owl",
    "RulebookTable": "RulebookReleases",
    "RecordCount": 1,
    "DerivedFieldCount": 1,
    "CellsTested": 1,
    "CellsPassed": 0,
    "IsMissingAnswerFile": false,
    "SemanticTypeIri": "urn:effortless:pko-extension#TableConformance",
    "Name": "effortless-owl / RulebookReleases",
    "CellsFailed": 1,
    "Score": 0.0,
    "IsPerfect": false,
    "ImperfectSubstrateKey": "effortless-owl",
    "ImperfectTableKey": "RulebookReleases",
    "DisagreeingFieldCount": 1,
    "SubstrateLabel": "OWL / SHACL",
    "SubjectArea": "meta"
   },
   {
    "TableConformanceId": "effortless-owl|OntologyProfiles",
    "Run": "run-20260913-165336",
    "Substrate": "effortless-owl",
    "RulebookTable": "OntologyProfiles",
    "RecordCount": 11,
    "DerivedFieldCount": 1,
    "CellsTested": 11,
    "CellsPassed": 11,
    "IsMissingAnswerFile": false,
    "SemanticTypeIri": "urn:effortless:pko-extension#TableConformance",
    "Name": "effortless-owl / OntologyProfiles",
    "CellsFailed": 0,
    "Score": 100.0,
    "IsPerfect": true,
    "ImperfectSubstrateKey": null,
    "ImperfectTableKey": null,
    "DisagreeingFieldCount": 0,
    "SubstrateLabel": "OWL / SHACL",
    "SubjectArea": "domain"
   },
   {
    "TableConformanceId": "effortless-owl|EvaluationContexts",
    "Run": "run-20260913-165336",
    "Substrate": "effortless-owl",
    "RulebookTable": "EvaluationContexts",
    "RecordCount": 1,
    "DerivedFieldCount": 1,
    "CellsTested": 1,
    "CellsPassed": 1,
    "IsMissingAnswerFile": false,
    "SemanticTypeIri": "urn:effortless:pko-extension#TableConformance",
    "Name": "effortless-owl / EvaluationContexts",
    "CellsFailed": 0,
    "Score": 100.0,
    "IsPerfect": true,
    "ImperfectSubstrateKey": null,
    "ImperfectTableKey": null,
    "DisagreeingFieldCount": 0,
    "SubstrateLabel": "OWL / SHACL",
    "SubjectArea": "meta"
   },
   {
    "TableConformanceId": "effortless-owl|Organizations",
    "Run": "run-20260913-165336",
    "Substrate": "effortless-owl",
    "RulebookTable": "Organizations",
    "RecordCount": 4,
    "DerivedFieldCount": 1,
    "CellsTested": 4,
    "CellsPassed": 4,
    "IsMissingAnswerFile": false,
    "SemanticTypeIri": "urn:effortless:pko-extension#TableConformance",
    "Name": "effortless-owl / Organizations",
    "CellsFailed": 0,
    "Score": 100.0,
    "IsPerfect": true,
    "ImperfectSubstrateKey": null,
    "ImperfectTableKey": null,
    "DisagreeingFieldCount": 0,
    "SubstrateLabel": "OWL / SHACL",
    "SubjectArea": "org"
   },
   {
    "TableConformanceId": "effortless-owl|Agents",
    "Run": "run-20260913-165336",
    "Substrate": "effortless-owl",
    "RulebookTable": "Agents",
    "RecordCount": 11,
    "DerivedFieldCount": 16,
    "CellsTested": 176,
    "CellsPassed": 176,
    "IsMissingAnswerFile": false,
    "SemanticTypeIri": "urn:effortless:pko-extension#TableConformance",
    "Name": "effortless-owl / Agents",
    "CellsFailed": 0,
    "Score": 100.0,
    "IsPerfect": true,
    "ImperfectSubstrateKey": null,
    "ImperfectTableKey": null,
    "DisagreeingFieldCount": 0,
    "SubstrateLabel": "OWL / SHACL",
    "SubjectArea": "org"
   },
   {
    "TableConformanceId": "effortless-owl|Roles",
    "Run": "run-20260913-165336",
    "Substrate": "effortless-owl",
    "RulebookTable": "Roles",
    "RecordCount": 12,
    "DerivedFieldCount": 17,
    "CellsTested": 204,
    "CellsPassed": 204,
    "IsMissingAnswerFile": false,
    "SemanticTypeIri": "urn:effortless:pko-extension#TableConformance",
    "Name": "effortless-owl / Roles",
    "CellsFailed": 0,
    "Score": 100.0,
    "IsPerfect": true,
    "ImperfectSubstrateKey": null,
    "ImperfectTableKey": null,
    "DisagreeingFieldCount": 0,
    "SubstrateLabel": "OWL / SHACL",
    "SubjectArea": "org"
   },
   {
    "TableConformanceId": "effortless-owl|RoleAssignments",
    "Run": "run-20260913-165336",
    "Substrate": "effortless-owl",
    "RulebookTable": "RoleAssignments",
    "RecordCount": 13,
    "DerivedFieldCount": 47,
    "CellsTested": 611,
    "CellsPassed": 597,
    "IsMissingAnswerFile": false,
    "SemanticTypeIri": "urn:effortless:pko-extension#TableConformance",
    "Name": "effortless-owl / RoleAssignments",
    "CellsFailed": 14,
    "Score": 97.71,
    "IsPerfect": false,
    "ImperfectSubstrateKey": "effortless-owl",
    "ImperfectTableKey": "RoleAssignments",
    "DisagreeingFieldCount": 2,
    "SubstrateLabel": "OWL / SHACL",
    "SubjectArea": "org"
   },
   {
    "TableConformanceId": "effortless-owl|CommunitiesOfPractice",
    "Run": "run-20260913-165336",
    "Substrate": "effortless-owl",
    "RulebookTable": "CommunitiesOfPractice",
    "RecordCount": 2,
    "DerivedFieldCount": 1,
    "CellsTested": 2,
    "CellsPassed": 2,
    "IsMissingAnswerFile": false,
    "SemanticTypeIri": "urn:effortless:pko-extension#TableConformance",
    "Name": "effortless-owl / CommunitiesOfPractice",
    "CellsFailed": 0,
    "Score": 100.0,
    "IsPerfect": true,
    "ImperfectSubstrateKey": null,
    "ImperfectTableKey": null,
    "DisagreeingFieldCount": 0,
    "SubstrateLabel": "OWL / SHACL",
    "SubjectArea": "org"
   },
   {
    "TableConformanceId": "effortless-owl|Mentorships",
    "Run": "run-20260913-165336",
    "Substrate": "effortless-owl",
    "RulebookTable": "Mentorships",
    "RecordCount": 1,
    "DerivedFieldCount": 1,
    "CellsTested": 1,
    "CellsPassed": 1,
    "IsMissingAnswerFile": false,
    "SemanticTypeIri": "urn:effortless:pko-extension#TableConformance",
    "Name": "effortless-owl / Mentorships",
    "CellsFailed": 0,
    "Score": 100.0,
    "IsPerfect": true,
    "ImperfectSubstrateKey": null,
    "ImperfectTableKey": null,
    "DisagreeingFieldCount": 0,
    "SubstrateLabel": "OWL / SHACL",
    "SubjectArea": "org"
   },
   {
    "TableConformanceId": "effortless-owl|ProcedureTypes",
    "Run": "run-20260913-165336",
    "Substrate": "effortless-owl",
    "RulebookTable": "ProcedureTypes",
    "RecordCount": 2,
    "DerivedFieldCount": 1,
    "CellsTested": 2,
    "CellsPassed": 2,
    "IsMissingAnswerFile": false,
    "SemanticTypeIri": "urn:effortless:pko-extension#TableConformance",
    "Name": "effortless-owl / ProcedureTypes",
    "CellsFailed": 0,
    "Score": 100.0,
    "IsPerfect": true,
    "ImperfectSubstrateKey": null,
    "ImperfectTableKey": null,
    "DisagreeingFieldCount": 0,
    "SubstrateLabel": "OWL / SHACL",
    "SubjectArea": "specification"
   },
   {
    "TableConformanceId": "effortless-owl|Procedures",
    "Run": "run-20260913-165336",
    "Substrate": "effortless-owl",
    "RulebookTable": "Procedures",
    "RecordCount": 2,
    "DerivedFieldCount": 1,
    "CellsTested": 2,
    "CellsPassed": 2,
    "IsMissingAnswerFile": false,
    "SemanticTypeIri": "urn:effortless:pko-extension#TableConformance",
    "Name": "effortless-owl / Procedures",
    "CellsFailed": 0,
    "Score": 100.0,
    "IsPerfect": true,
    "ImperfectSubstrateKey": null,
    "ImperfectTableKey": null,
    "DisagreeingFieldCount": 0,
    "SubstrateLabel": "OWL / SHACL",
    "SubjectArea": "specification"
   },
   {
    "TableConformanceId": "effortless-owl|ProcedureVersions",
    "Run": "run-20260913-165336",
    "Substrate": "effortless-owl",
    "RulebookTable": "ProcedureVersions",
    "RecordCount": 3,
    "DerivedFieldCount": 72,
    "CellsTested": 216,
    "CellsPassed": 203,
    "IsMissingAnswerFile": false,
    "SemanticTypeIri": "urn:effortless:pko-extension#TableConformance",
    "Name": "effortless-owl / ProcedureVersions",
    "CellsFailed": 13,
    "Score": 93.98,
    "IsPerfect": false,
    "ImperfectSubstrateKey": "effortless-owl",
    "ImperfectTableKey": "ProcedureVersions",
    "DisagreeingFieldCount": 8,
    "SubstrateLabel": "OWL / SHACL",
    "SubjectArea": "specification"
   },
   {
    "TableConformanceId": "effortless-owl|ProcedureVersionLinks",
    "Run": "run-20260913-165336",
    "Substrate": "effortless-owl",
    "RulebookTable": "ProcedureVersionLinks",
    "RecordCount": 1,
    "DerivedFieldCount": 2,
    "CellsTested": 2,
    "CellsPassed": 1,
    "IsMissingAnswerFile": false,
    "SemanticTypeIri": "urn:effortless:pko-extension#TableConformance",
    "Name": "effortless-owl / ProcedureVersionLinks",
    "CellsFailed": 1,
    "Score": 50.0,
    "IsPerfect": false,
    "ImperfectSubstrateKey": "effortless-owl",
    "ImperfectTableKey": "ProcedureVersionLinks",
    "DisagreeingFieldCount": 1,
    "SubstrateLabel": "OWL / SHACL",
    "SubjectArea": "specification"
   },
   {
    "TableConformanceId": "effortless-owl|ProcedureStatusChanges",
    "Run": "run-20260913-165336",
    "Substrate": "effortless-owl",
    "RulebookTable": "ProcedureStatusChanges",
    "RecordCount": 5,
    "DerivedFieldCount": 1,
    "CellsTested": 5,
    "CellsPassed": 5,
    "IsMissingAnswerFile": false,
    "SemanticTypeIri": "urn:effortless:pko-extension#TableConformance",
    "Name": "effortless-owl / ProcedureStatusChanges",
    "CellsFailed": 0,
    "Score": 100.0,
    "IsPerfect": true,
    "ImperfectSubstrateKey": null,
    "ImperfectTableKey": null,
    "DisagreeingFieldCount": 0,
    "SubstrateLabel": "OWL / SHACL",
    "SubjectArea": "specification"
   },
   {
    "TableConformanceId": "effortless-owl|Steps",
    "Run": "run-20260913-165336",
    "Substrate": "effortless-owl",
    "RulebookTable": "Steps",
    "RecordCount": 17,
    "DerivedFieldCount": 30,
    "CellsTested": 510,
    "CellsPassed": 498,
    "IsMissingAnswerFile": false,
    "SemanticTypeIri": "urn:effortless:pko-extension#TableConformance",
    "Name": "effortless-owl / Steps",
    "CellsFailed": 12,
    "Score": 97.65,
    "IsPerfect": false,
    "ImperfectSub</t>
  </si>
  <si>
    <t xml:space="preserve">strateKey": "effortless-owl",
    "ImperfectTableKey": "Steps",
    "DisagreeingFieldCount": 4,
    "SubstrateLabel": "OWL / SHACL",
    "SubjectArea": "specification"
   },
   {
    "TableConformanceId": "effortless-owl|StepTransitions",
    "Run": "run-20260913-165336",
    "Substrate": "effortless-owl",
    "RulebookTable": "StepTransitions",
    "RecordCount": 19,
    "DerivedFieldCount": 15,
    "CellsTested": 285,
    "CellsPassed": 215,
    "IsMissingAnswerFile": false,
    "SemanticTypeIri": "urn:effortless:pko-extension#TableConformance",
    "Name": "effortless-owl / StepTransitions",
    "CellsFailed": 70,
    "Score": 75.44,
    "IsPerfect": false,
    "ImperfectSubstrateKey": "effortless-owl",
    "ImperfectTableKey": "StepTransitions",
    "DisagreeingFieldCount": 6,
    "SubstrateLabel": "OWL / SHACL",
    "SubjectArea": "specification"
   },
   {
    "TableConformanceId": "effortless-owl|Actions",
    "Run": "run-20260913-165336",
    "Substrate": "effortless-owl",
    "RulebookTable": "Actions",
    "RecordCount": 9,
    "DerivedFieldCount": 1,
    "CellsTested": 9,
    "CellsPassed": 9,
    "IsMissingAnswerFile": false,
    "SemanticTypeIri": "urn:effortless:pko-extension#TableConformance",
    "Name": "effortless-owl / Actions",
    "CellsFailed": 0,
    "Score": 100.0,
    "IsPerfect": true,
    "ImperfectSubstrateKey": null,
    "ImperfectTableKey": null,
    "DisagreeingFieldCount": 0,
    "SubstrateLabel": "OWL / SHACL",
    "SubjectArea": "specification"
   },
   {
    "TableConformanceId": "effortless-owl|Functions",
    "Run": "run-20260913-165336",
    "Substrate": "effortless-owl",
    "RulebookTable": "Functions",
    "RecordCount": 8,
    "DerivedFieldCount": 1,
    "CellsTested": 8,
    "CellsPassed": 8,
    "IsMissingAnswerFile": false,
    "SemanticTypeIri": "urn:effortless:pko-extension#TableConformance",
    "Name": "effortless-owl / Functions",
    "CellsFailed": 0,
    "Score": 100.0,
    "IsPerfect": true,
    "ImperfectSubstrateKey": null,
    "ImperfectTableKey": null,
    "DisagreeingFieldCount": 0,
    "SubstrateLabel": "OWL / SHACL",
    "SubjectArea": "specification"
   },
   {
    "TableConformanceId": "effortless-owl|Tools",
    "Run": "run-20260913-165336",
    "Substrate": "effortless-owl",
    "RulebookTable": "Tools",
    "RecordCount": 8,
    "DerivedFieldCount": 1,
    "CellsTested": 8,
    "CellsPassed": 8,
    "IsMissingAnswerFile": false,
    "SemanticTypeIri": "urn:effortless:pko-extension#TableConformance",
    "Name": "effortless-owl / Tools",
    "CellsFailed": 0,
    "Score": 100.0,
    "IsPerfect": true,
    "ImperfectSubstrateKey": null,
    "ImperfectTableKey": null,
    "DisagreeingFieldCount": 0,
    "SubstrateLabel": "OWL / SHACL",
    "SubjectArea": "specification"
   },
   {
    "TableConformanceId": "effortless-owl|StepActions",
    "Run": "run-20260913-165336",
    "Substrate": "effortless-owl",
    "RulebookTable": "StepActions",
    "RecordCount": 9,
    "DerivedFieldCount": 1,
    "CellsTested": 9,
    "CellsPassed": 9,
    "IsMissingAnswerFile": false,
    "SemanticTypeIri": "urn:effortless:pko-extension#TableConformance",
    "Name": "effortless-owl / StepActions",
    "CellsFailed": 0,
    "Score": 100.0,
    "IsPerfect": true,
    "ImperfectSubstrateKey": null,
    "ImperfectTableKey": null,
    "DisagreeingFieldCount": 0,
    "SubstrateLabel": "OWL / SHACL",
    "SubjectArea": "specification"
   },
   {
    "TableConformanceId": "effortless-owl|StepFunctions",
    "Run": "run-20260913-165336",
    "Substrate": "effortless-owl",
    "RulebookTable": "StepFunctions",
    "RecordCount": 8,
    "DerivedFieldCount": 1,
    "CellsTested": 8,
    "CellsPassed": 8,
    "IsMissingAnswerFile": false,
    "SemanticTypeIri": "urn:effortless:pko-extension#TableConformance",
    "Name": "effortless-owl / StepFunctions",
    "CellsFailed": 0,
    "Score": 100.0,
    "IsPerfect": true,
    "ImperfectSubstrateKey": null,
    "ImperfectTableKey": null,
    "DisagreeingFieldCount": 0,
    "SubstrateLabel": "OWL / SHACL",
    "SubjectArea": "specification"
   },
   {
    "TableConformanceId": "effortless-owl|StepTools",
    "Run": "run-20260913-165336",
    "Substrate": "effortless-owl",
    "RulebookTable": "StepTools",
    "RecordCount": 10,
    "DerivedFieldCount": 1,
    "CellsTested": 10,
    "CellsPassed": 10,
    "IsMissingAnswerFile": false,
    "SemanticTypeIri": "urn:effortless:pko-extension#TableConformance",
    "Name": "effortless-owl / StepTools",
    "CellsFailed": 0,
    "Score": 100.0,
    "IsPerfect": true,
    "ImperfectSubstrateKey": null,
    "ImperfectTableKey": null,
    "DisagreeingFieldCount": 0,
    "SubstrateLabel": "OWL / SHACL",
    "SubjectArea": "specification"
   },
   {
    "TableConformanceId": "effortless-owl|Requirements",
    "Run": "run-20260913-165336",
    "Substrate": "effortless-owl",
    "RulebookTable": "Requirements",
    "RecordCount": 13,
    "DerivedFieldCount": 31,
    "CellsTested": 403,
    "CellsPassed": 397,
    "IsMissingAnswerFile": false,
    "SemanticTypeIri": "urn:effortless:pko-extension#TableConformance",
    "Name": "effortless-owl / Requirements",
    "CellsFailed": 6,
    "Score": 98.51,
    "IsPerfect": false,
    "ImperfectSubstrateKey": "effortless-owl",
    "ImperfectTableKey": "Requirements",
    "DisagreeingFieldCount": 2,
    "SubstrateLabel": "OWL / SHACL",
    "SubjectArea": "governance"
   },
   {
    "TableConformanceId": "effortless-owl|StepRequirements",
    "Run": "run-20260913-165336",
    "Substrate": "effortless-owl",
    "RulebookTable": "StepRequirements",
    "RecordCount": 15,
    "DerivedFieldCount": 10,
    "CellsTested": 150,
    "CellsPassed": 150,
    "IsMissingAnswerFile": false,
    "SemanticTypeIri": "urn:effortless:pko-extension#TableConformance",
    "Name": "effortless-owl / StepRequirements",
    "CellsFailed": 0,
    "Score": 100.0,
    "IsPerfect": true,
    "ImperfectSubstrateKey": null,
    "ImperfectTableKey": null,
    "DisagreeingFieldCount": 0,
    "SubstrateLabel": "OWL / SHACL",
    "SubjectArea": "specification"
   },
   {
    "TableConformanceId": "effortless-owl|StepVerifications",
    "Run": "run-20260913-165336",
    "Substrate": "effortless-owl",
    "RulebookTable": "StepVerifications",
    "RecordCount": 11,
    "DerivedFieldCount": 1,
    "CellsTested": 11,
    "CellsPassed": 11,
    "IsMissingAnswerFile": false,
    "SemanticTypeIri": "urn:effortless:pko-extension#TableConformance",
    "Name": "effortless-owl / StepVerifications",
    "CellsFailed": 0,
    "Score": 100.0,
    "IsPerfect": true,
    "ImperfectSubstrateKey": null,
    "ImperfectTableKey": null,
    "DisagreeingFieldCount": 0,
    "SubstrateLabel": "OWL / SHACL",
    "SubjectArea": "specification"
   },
   {
    "TableConformanceId": "effortless-owl|Rationales",
    "Run": "run-20260913-165336",
    "Substrate": "effortless-owl",
    "RulebookTable": "Rationales",
    "RecordCount": 4,
    "DerivedFieldCount": 1,
    "CellsTested": 4,
    "CellsPassed": 4,
    "IsMissingAnswerFile": false,
    "SemanticTypeIri": "urn:effortless:pko-extension#TableConformance",
    "Name": "effortless-owl / Rationales",
    "CellsFailed": 0,
    "Score": 100.0,
    "IsPerfect": true,
    "ImperfectSubstrateKey": null,
    "ImperfectTableKey": null,
    "DisagreeingFieldCount": 0,
    "SubstrateLabel": "OWL / SHACL",
    "SubjectArea": "governance"
   },
   {
    "TableConformanceId": "effortless-owl|Exceptions",
    "Run": "run-20260913-165336",
    "Substrate": "effortless-owl",
    "RulebookTable": "Exceptions",
    "RecordCount": 4,
    "DerivedFieldCount": 2,
    "CellsTested": 8,
    "CellsPassed": 8,
    "IsMissingAnswerFile": false,
    "SemanticTypeIri": "urn:effortless:pko-extension#TableConformance",
    "Name": "effortless-owl / Exceptions",
    "CellsFailed": 0,
    "Score": 100.0,
    "IsPerfect": true,
    "ImperfectSubstrateKey": null,
    "ImperfectTableKey": null,
    "DisagreeingFieldCount": 0,
    "SubstrateLabel": "OWL / SHACL",
    "SubjectArea": "governance"
   },
   {
    "TableConformanceId": "effortless-owl|Resources",
    "Run": "run-20260913-165336",
    "Substrate": "effortless-owl",
    "RulebookTable": "Resources",
    "RecordCount": 8,
    "DerivedFieldCount": 2,
    "CellsTested": 16,
    "CellsPassed": 16,
    "IsMissingAnswerFile": false,
    "SemanticTypeIri": "urn:effortless:pko-extension#TableConformance",
    "Name": "effortless-owl / Resources",
    "CellsFailed": 0,
    "Score": 100.0,
    "IsPerfect": true,
    "ImperfectSubstrateKey": null,
    "ImperfectTableKey": null,
    "DisagreeingFieldCount": 0,
    "SubstrateLabel": "OWL / SHACL",
    "SubjectArea": "domain"
   },
   {
    "TableConformanceId": "effortless-owl|ProcedureResources",
    "Run": "run-20260913-165336",
    "Substrate": "effortless-owl",
    "RulebookTable": "ProcedureResources",
    "RecordCount": 8,
    "DerivedFieldCount": 2,
    "CellsTested": 16,
    "CellsPassed": 16,
    "IsMissingAnswerFile": false,
    "SemanticTypeIri": "urn:effortless:pko-extension#TableConformance",
    "Name": "effortless-owl / ProcedureResources",
    "CellsFailed": 0,
    "Score": 100.0,
    "IsPerfect": true,
    "ImperfectSubstrateKey": null,
    "ImperfectTableKey": null,
    "DisagreeingFieldCount": 0,
    "SubstrateLabel": "OWL / SHACL",
    "SubjectArea": "specification"
   },
   {
    "TableConformanceId": "effortless-owl|ElicitationSessions",
    "Run": "run-20260913-165336",
    "Substrate": "effortless-owl",
    "RulebookTable": "ElicitationSessions",
    "RecordCount": 3,
    "DerivedFieldCount": 10,
    "CellsTested": 30,
    "CellsPassed": 28,
    "IsMissingAnswerFile": false,
    "SemanticTypeIri": "urn:effortless:pko-extension#TableConformance",
    "Name": "effortless-owl / ElicitationSessions",
    "CellsFailed": 2,
    "Score": 93.33,
    "IsPerfect": false,
    "ImperfectSubstrateKey": "effortless-owl",
    "ImperfectTableKey": "ElicitationSessions",
    "DisagreeingFieldCount": 1,
    "SubstrateLabel": "OWL / SHACL",
    "SubjectArea": "knowledge"
   },
   {
    "TableConformanceId": "effortless-owl|KnowledgeFragments",
    "Run": "run-20260913-165336",
    "Substrate": "effortless-owl",
    "RulebookTable": "KnowledgeFragments",
    "RecordCount": 7,
    "DerivedFieldCount": 65,
    "CellsTested": 455,
    "CellsPassed": 434,
    "IsMissingAnswerFile": false,
    "SemanticTypeIri": "urn:effortless:pko-extension#TableConformance",
    "Name": "effortless-owl / KnowledgeFragments",
    "CellsFailed": 21,
    "Score": 95.38,
    "IsPerfect": false,
    "ImperfectSubstrateKey": "effortless-owl",
    "ImperfectTableKey": "KnowledgeFragments",
    "DisagreeingFieldCount": 10,
    "SubstrateLabel": "OWL / SHACL",
    "SubjectArea": "knowledge"
   },
   {
    "TableConformanceId": "effortless-owl|KnowledgeGaps",
    "Run": "run-20260913-165336",
    "Substrate": "effortless-owl",
    "RulebookTable": "KnowledgeGaps",
    "RecordCount": 8,
    "DerivedFieldCount": 16,
    "CellsTested": 128,
    "CellsPassed": 127,
    "IsMissingAnswerFile": false,
    "SemanticTypeIri": "urn:effortless:pko-extension#TableConformance",
    "Name": "effortless-owl / KnowledgeGaps",
    "CellsFailed": 1,
    "Score": 99.22,
    "IsPerfect": false,
    "ImperfectSubstrateKey": "effortless-owl",
    "ImperfectTableKey": "KnowledgeGaps",
    "DisagreeingFieldCount": 1,
    "SubstrateLabel": "OWL / SHACL",
    "SubjectArea": "knowledge"
   },
   {
    "TableConformanceId": "effortless-owl|FAQs",
    "Run": "run-20260913-165336",
    "Substrate": "effortless-owl",
    "RulebookTable": "FAQs",
    "RecordCount": 3,
    "DerivedFieldCount": 1,
    "CellsTested": 3,
    "CellsPassed": 3,
    "IsMissingAnswerFile": false,
    "SemanticTypeIri": "urn:effortless:pko-extension#TableConformance",
    "Name": "effortless-owl / FAQs",
    "CellsFailed": 0,
    "Score": 100.0,
    "IsPerfect": true,
    "ImperfectSubstrateKey": null,
    "ImperfectTableKey": null,
    "DisagreeingFieldCount": 0,
    "SubstrateLabel": "OWL / SHACL",
    "SubjectArea": "knowledge"
   },
   {
    "TableConformanceId": "effortless-owl|Explanations",
    "Run": "run-20260913-165336",
    "Substrate": "effortless-owl",
    "RulebookTable": "Explanations",
    "RecordCount": 2,
    "DerivedFieldCount": 1,
    "CellsTested": 2,
    "CellsPassed": 2,
    "IsMissingAnswerFile": false,
    "SemanticTypeIri": "urn:effortless:pko-extension#TableConformance",
    "Name": "effortless-owl / Explanations",
    "CellsFailed": 0,
    "Score": 100.0,
    "IsPerfect": true,
    "ImperfectSubstrateKey": null,
    "ImperfectTableKey": null,
    "DisagreeingFieldCount": 0,
    "SubstrateLabel": "OWL / SHACL",
    "SubjectArea": "knowledge"
   },
   {
    "TableConformanceId": "effortless-owl|ProcedureExecutions",
    "Run": "run-20260913-165336",
    "Substrate": "effortless-owl",
    "RulebookTable": "ProcedureExecutions",
    "RecordCount": 2,
    "DerivedFieldCount": 69,
    "CellsTested": 138,
    "CellsPassed": 131,
    "IsMissingAnswerFile": false,
    "SemanticTypeIri": "urn:effortless:pko-extension#TableConformance",
    "Name": "effortless-owl / ProcedureExecutions",
    "CellsFailed": 7,
    "Score": 94.93,
    "IsPerfect": false,
    "ImperfectSubstrateKey": "effortless-owl",
    "ImperfectTableKey": "ProcedureExecutions",
    "DisagreeingFieldCount": 4,
    "SubstrateLabel": "OWL / SHACL",
    "SubjectArea": "specification"
   },
   {
    "TableConformanceId": "effortless-owl|StepExecutions",
    "Run": "run-20260913-165336",
    "Substrate": "effortless-owl",
    "RulebookTable": "StepExecutions",
    "RecordCount": 12,
    "DerivedFieldCount": 99,
    "CellsTested": 1188,
    "CellsPassed": 1134,
    "IsMissingAnswerFile": false,
    "SemanticTypeIri": "urn:effortless:pko-extension#TableConformance",
    "Name": "effortless-owl / StepExecutions",
    "CellsFailed": 54,
    "Score": 95.45,
    "IsPerfect": false,
    "ImperfectSubstrateKey": "effortless-owl",
    "ImperfectTableKey": "StepExecutions",
    "DisagreeingFieldCount": 16,
    "SubstrateLabel": "OWL / SHACL",
    "SubjectArea": "specification"
   },
   {
    "TableConformanceId": "effortless-owl|RequirementSatisfactions",
    "Run": "run-20260913-165336",
    "Substrate": "effortless-owl",
    "RulebookTable": "RequirementSatisfactions",
    "RecordCount": 8,
    "DerivedFieldCount": 38,
    "CellsTested": 304,
    "CellsPassed": 304,
    "IsMissingAnswerFile": false,
    "SemanticTypeIri": "urn:effortless:pko-extension#TableConformance",
    "Name": "effortless-owl / RequirementSatisfactions",
    "CellsFailed": 0,
    "Score": 100.0,
    "IsPerfect": true,
    "ImperfectSubstrateKey": null,
    "ImperfectTableKey": null,
    "DisagreeingFieldCount": 0,
    "SubstrateLabel": "OWL / SHACL",
    "SubjectArea": "execution"
   },
   {
    "TableConformanceId": "effortless-owl|Errors",
    "Run": "run-20260913-165336",
    "Substrate": "effortless-owl",
    "RulebookTable": "Errors",
    "RecordCount": 2,
    "DerivedFieldCount": 1,
    "CellsTested": 2,
    "CellsPassed": 2,
    "IsMissingAnswerFile": false,
    "SemanticTypeIri": "urn:effortless:pko-extension#TableConformance",
    "Name": "effortless-owl / Errors",
    "CellsFailed": 0,
    "Score": 100.0,
    "IsPerfect": true,
    "ImperfectSubstrateKey": null,
    "ImperfectTableKey": null,
    "DisagreeingFieldCount": 0,
    "SubstrateLabel": "OWL / SHACL",
    "SubjectArea": "execution"
   },
   {
    "TableConformanceId": "effortless-owl|IssueOccurrences",
    "Run": "run-20260913-165336",
    "Substrate": "effortless-owl",
    "RulebookTable": "IssueOccurrences",
    "RecordCount": 2,
    "DerivedFieldCount": 3,
    "CellsTested": 6,
    "CellsPassed": 6,
    "IsMissingAnswerFile": false,
    "SemanticTypeIri": "urn:effortless:pko-extension#TableConformance",
    "Name": "effortless-owl / IssueOccurrences",
    "CellsFailed": 0,
    "Score": 100.0,
    "IsPerfect": true,
    "ImperfectSubstrateKey": null,
    "ImperfectTableKey": null,
    "DisagreeingFieldCount": 0,
    "SubstrateLabel": "OWL / SHACL",
    "SubjectArea": "execution"
   },
   {
    "TableConformanceId": "effortless-owl|UserQuestions",
    "Run": "run-20260913-165336",
    "Substrate": "effortless-owl",
    "RulebookTable": "UserQuestions",
    "RecordCount": 2,
    "DerivedFieldCount": 1,
    "CellsTested": 2,
    "CellsPassed": 2,
    "IsMissingAnswerFile": false,
    "SemanticTypeIri": "urn:effortless:pko-extension#TableConformance",
    "Name": "effortless-owl / UserQuestions",
    "CellsFailed": 0,
    "Score": 100.0,
    "IsPerfect": true,
    "ImperfectSubstrateKey": null,
    "ImperfectTableKey": null,
    "DisagreeingFieldCount": 0,
    "SubstrateLabel": "OWL / SHACL",
    "SubjectArea": "domain"
   },
   {
    "TableConformanceId": "effortless-owl|UserFeedback",
    "Run": "run-20260913-165336",
    "Substrate": "effortless-owl",
    "RulebookTable": "UserFeedback",
    "RecordCount": 2,
    "DerivedFieldCount": 1,
    "CellsTested": 2,
    "CellsPassed": 2,
    "IsMissingAnswerFile": false,
    "SemanticTypeIri": "urn:effortless:pko-extension#TableConformance",
    "Name": "effortless-owl / UserFeedback",
    "CellsFailed": 0,
    "Score": 100.0,
    "IsPerfect": true,
    "ImperfectSubstrateKey": null,
    "ImperfectTableKey": null,
    "DisagreeingFieldCount": 0,
    "SubstrateLabel": "OWL / SHACL",
    "SubjectArea": "domain"
   },
   {
    "TableConformanceId": "effortless-owl|StewardshipAssignments",
    "Run": "run-20260913-165336",
    "Substrate": "effortless-owl",
    "RulebookTable": "StewardshipAssignments",
    "RecordCount": 2,
    "DerivedFieldCount": 5,
    "CellsTested": 10,
    "CellsPassed": 10,
    "IsMissingAnswerFile": false,
    "SemanticTypeIri": "urn:effortless:pko-extension#TableConformance",
    "Name": "effortless-owl / StewardshipAssignments",
    "CellsFailed": 0,
    "Score": 100.0,
    "IsPerfect": true,
    "ImperfectSubstrateKey": null,
    "ImperfectTableKey": null,
    "DisagreeingFieldCount": 0,
    "SubstrateLabel": "OWL / SHACL",
    "SubjectArea": "org"
   },
   {
    "TableConformanceId": "effortless-owl|ChangeRequests",
    "Run": "run-20260913-165336",
    "Substrate": "effortless-owl",
    "RulebookTable": "ChangeRequests",
    "RecordCount": 2,
    "DerivedFieldCount": 32,
    "CellsTested": 64,
    "CellsPassed": 62,
    "IsMissingAnswerFile": false,
    "SemanticTypeIri": "urn:effortless:pko-extension#TableConformance",
    "Name": "effortless-owl / ChangeRequests",
    "CellsFailed": 2,
    "Score": 96.88,
    "IsPerfect": false,
    "ImperfectSubstrateKey": "effortless-owl",
    "ImperfectTableKey": "ChangeRequests",
    "DisagreeingFieldCount": 2,
    "SubstrateLabel": "OWL / SHACL",
    "SubjectArea": "domain"
   },
   {
    "TableConformanceId": "effortless-owl|ReviewEvents",
    "Run": "run-20260913-165336",
    "Substrate": "effortless-owl",
    "RulebookTable": "ReviewEvents",
    "RecordCount": 3,
    "DerivedFieldCount": 10,
    "CellsTested": 30,
    "CellsPassed": 24,
    "IsMissingAnswerFile": false,
    "SemanticTypeIri": "urn:effortless:pko-extension#TableConformance",
    "Name": "effortless-owl / ReviewEvents",
    "CellsFailed": 6,
    "Score": 80.0,
    "IsPerfect": false,
    "ImperfectSubstrateKey": "effortless-owl",
    "ImperfectTableKey": "ReviewEvents",
    "DisagreeingFieldCount": 2,
    "SubstrateLabel": "OWL / SHACL",
    "SubjectArea": "domain"
   },
   {
    "TableConformanceId": "effortless-owl|LearningActivities",
    "Run": "run-20260913-165336",
    "Substrate": "effortless-owl",
    "RulebookTable": "LearningActivities",
    "RecordCount": 2,
    "DerivedFieldCount": 1,
    "CellsTested": 2,
    "CellsPassed": 2,
    "IsMissingAnswerFile": false,
    "SemanticTypeIri": "urn:effortless:pko-extension#TableConformance",
    "Name": "effortless-owl / LearningActivities",
    "CellsFailed": 0,
    "Score": 100.0,
    "IsPerfect": true,
    "ImperfectSubstrateKey": null,
    "ImperfectTableKey": null,
    "DisagreeingFieldCount": 0,
    "SubstrateLabel": "OWL / SHACL",
    "SubjectArea": "domain"
   },
   {
    "TableConformanceId": "effortless-owl|OperationalBindings",
    "Run": "run-20260913-165336",
    "Substrate": "effortless-owl",
    "RulebookTable": "OperationalBindings",
    "RecordCount": 5,
    "DerivedFieldCount": 11,
    "CellsTested": 55,
    "CellsPassed": 36,
    "IsMissingAnswerFile": false,
    "SemanticTypeIri": "urn:effortless:pko-extension#TableConformance",
    "Name": "effortless-owl / OperationalBindings",
    "CellsFailed": 19,
    "Score": 65.45,
    "IsPerfect": false,
    "ImperfectSubstrateKey": "effortless-owl",
    "ImperfectTableKey": "OperationalBindings",
    "DisagreeingFieldCount": 6,
    "SubstrateLabel": "OWL / SHACL",
    "SubjectArea": "domain"
   },
   {
    "TableConformanceId": "effortless-owl|CommunicationPolicies",
    "Run": "run-20260913-165336",
    "Substrate": "effortless-owl",
    "RulebookTable": "CommunicationPolicies",
    "RecordCount": 2,
    "DerivedFieldCount": 4,
    "CellsTested": 8,
    "CellsPassed": 8,
    "IsMissingAnswerFile": false,
    "SemanticTypeIri": "urn:effortless:pko-extension#TableConformance",
    "Name": "effortless-owl / CommunicationPolicies",
    "CellsFailed": 0,
    "Score": 100.0,
    "IsPerfect": true,
    "ImperfectSubstrateKey": null,
    "ImperfectTableKey": null,
    "DisagreeingFieldCount": 0,
    "SubstrateLabel": "OWL / SHACL",
    "SubjectArea": "communication"
   },
   {
    "TableConformanceId": "effortless-owl|MessageTemplates",
    "Run": "run-20260913-165336",
    "Substrate": "effortless-owl",
    "RulebookTable": "MessageTemplates",
    "RecordCount": 2,
    "DerivedFieldCount": 16,
    "CellsTested": 32,
    "CellsPassed": 32,
    "IsMissingAnswerFile": false,
    "SemanticTypeIri": "urn:effortless:pko-extension#TableConformance",
    "Name": "effortless-owl / MessageTemplates",
    "CellsFailed": 0,
    "Score": 100.0,
    "IsPerfect": true,
    "ImperfectSubstrateKey": null,
    "ImperfectTableKey": null,
    "DisagreeingFieldCount": 0,
    "SubstrateLabel": "OWL / SHACL",
    "SubjectArea": "communication"
   },
   {
    "TableConformanceId": "effortless-owl|SemanticMappings",
    "Run": "run-20260913-165336",
    "Substrate": "effortless-owl",
    "RulebookTable": "SemanticMappings",
    "RecordCount": 47,
    "DerivedFieldCount": 1,
    "CellsTested": 47,
    "CellsPassed": 47,
    "IsMissingAnswerFile": false,
    "SemanticTypeIri": "urn:effortless:pko-extension#TableConformance",
    "Name": "effortless-owl / SemanticMappings",
    "CellsFailed": 0,
    "Score": 100.0,
    "IsPerfect": true,
    "ImperfectSubstrateKey": null,
    "ImperfectTableKey": null,
    "DisagreeingFieldCount": 0,
    "SubstrateLabel": "OWL / SHACL",
    "SubjectArea": "meta"
   },
   {
    "TableConformanceId": "effortless-owl|WitnessLoops",
    "Run": "run-20260913-165336",
    "Substrate": "effortless-owl",
    "RulebookTable": "WitnessLoops",
    "RecordCount": 3,
    "DerivedFieldCount": 3,
    "CellsTested": 9,
    "CellsPassed": 9,
    "IsMissingAnswerFile": false,
    "SemanticTypeIri": "urn:effortless:pko-extension#TableConformance",
    "Name": "effortless-owl / WitnessLoops",
    "CellsFailed": 0,
    "Score": 100.0,
    "IsPerfect": true,
    "ImperfectSubstrateKey": null,
    "ImperfectTableKey": null,
    "DisagreeingFieldCount": 0,
    "SubstrateLabel": "OWL / SHACL",
    "SubjectArea": "meta"
   },
   {
    "TableConformanceId": "effortless-owl|RoleQuestions",
    "Run": "run-20260913-165336",
    "Substrate": "effortless-owl",
    "RulebookTable": "RoleQuestions",
    "RecordCount": 109,
    "DerivedFieldCount": 3,
    "CellsTested": 327,
    "CellsPassed": 327,
    "IsMissingAnswerFile": false,
    "SemanticTypeIri": "urn:effortless:pko-extension#TableConformance",
    "Name": "effortless-owl / RoleQuestions",
    "CellsFailed": 0,
    "Score": 100.0,
    "IsPerfect": true,
    "ImperfectSubstrateKey": null,
    "ImperfectTableKey": null,
    "DisagreeingFieldCount": 0,
    "SubstrateLabel": "OWL / SHACL",
    "SubjectArea": "org"
   },
   {
    "TableConformanceId": "effortless-owl|RulebookFields",
    "Run": "run-20260913-165336",
    "Substrate": "effortless-owl",
    "RulebookTable": "RulebookFields",
    "RecordCount": 1879,
    "DerivedFieldCount": 5,
    "CellsTested": 9395,
    "CellsPassed": 9395,
    "IsMissingAnswerFile": false,
    "SemanticTypeIri": "urn:effortless:pko-extension#TableConformance",
    "Name": "effortless-owl / RulebookFields",
    "CellsFailed": 0,
    "Score": 100.0,
    "IsPerfect": true,
    "ImperfectSubstrateKey": null,
    "ImperfectTableKey": null,
    "DisagreeingFieldCount": 0,
    "SubstrateLabel": "OWL / SHACL",
    "SubjectArea": "access-control"
   },
   {
    "TableConformanceId": "effortless-owl|TestSuites",
    "Run": "run-20260913-165336",
    "Substrate": "effortless-owl",
    "RulebookTable": "TestSuites",
    "RecordCount": 6,
    "DerivedFieldCount": 5,
    "CellsTested": 30,
    "CellsPassed": 30,
    "IsMissingAnswerFile": false,
    "SemanticTypeIri": "urn:effortless:pko-extension#TableConformance",
    "Name": "effortless-owl / TestSuites",
    "CellsFailed": 0,
    "Score": 100.0,
    "IsPerfect": true,
    "ImperfectSubstrateKey": null,
    "ImperfectTableKey": null,
    "DisagreeingFieldCount": 0,
    "SubstrateLabel": "OWL / SHACL",
    "SubjectArea": "meta"
   },
   {
    "TableConformanceId": "effortless-owl|TestCases",
    "Run": "run-20260913-165336",
    "Substrate": "effortless-owl",
    "RulebookTable": "TestCases",
    "RecordCount": 1794,
    "DerivedFieldCount": 7,
    "CellsTested": 12558,
    "CellsPassed": 12558,
    "IsMissingAnswerFile": false,
    "SemanticTypeIri": "urn:effortless:pko-extension#TableConformance",
    "Name": "effortless-owl / TestCases",
    "CellsFailed": 0,
    "Score": 100.0,
    "IsPerfect": true,
    "ImperfectSubstrateKey": null,
    "ImperfectTableKey": null,
    "DisagreeingFieldCount": 0,
    "SubstrateLabel": "OWL / SHACL",
    "SubjectArea": "meta"
   },
   {
    "TableConformanceId": "effortless-owl|ExceptionInvocations",
    "Run": "run-20260913-165336",
    "Substrate": "effortless-owl",
    "RulebookTable": "ExceptionInvocations",
    "RecordCount": 1,
    "DerivedFieldCount": 13,
    "CellsTested": 13,
    "CellsPassed": 13,
    "IsMissingAnswerFile": false,
    "SemanticTypeIri": "urn:effortless:pko-extension#TableConformance",
    "Name": "effortless-owl / ExceptionInvocations",
    "CellsFailed": 0,
    "Score": 100.0,
    "IsPerfect": true,
    "ImperfectSubstrateKey": null,
    "ImperfectTableKey": null,
    "DisagreeingFieldCount": 0,
    "SubstrateLabel": "OWL / SHACL",
    "SubjectArea": "governance"
   },
   {
    "TableConformanceId": "effortless-owl|VerificationOutcomes",
    "Run": "run-20260913-165336",
    "Substrate": "effortless-owl",
    "RulebookTable": "VerificationOutcomes",
    "RecordCount": 4,
    "DerivedFieldCount": 18,
    "CellsTested": 72,
    "CellsPassed": 72,
    "IsMissingAnswerFile": false,
    "SemanticTypeIri": "urn:effortless:pko-extension#TableConformance",
    "Name": "effortless-owl / VerificationOutcomes",
    "CellsFailed": 0,
    "Score": 100.0,
    "IsPerfect": true,
    "ImperfectSubstrateKey": null,
    "ImperfectTableKey": null,
    "DisagreeingFieldCount": 0,
    "SubstrateLabel": "OWL / SHACL",
    "SubjectArea": "execution"
   },
   {
    "TableConformanceId": "effortless-owl|ObservedTransitions",
    "Run": "run-20260913-165336",
    "Substrate": "effortless-owl",
    "RulebookTable": "ObservedTransitions",
    "RecordCount": 10,
    "DerivedFieldCount": 1,
    "CellsTested": 10,
    "CellsPassed": 10,
    "IsMissingAnswerFile": false,
    "SemanticTypeIri": "urn:effortless:pko-extension#TableConformance",
    "Name": "effortless-owl / ObservedTransitions",
    "CellsFailed": 0,
    "Score": 100.0,
    "IsPerfect": true,
    "ImperfectSubstrateKey": null,
    "ImperfectTableKey": null,
    "DisagreeingFieldCount": 0,
    "SubstrateLabel": "OWL / SHACL",
    "SubjectArea": "specification"
   },
   {
    "TableConformanceId": "effortless-owl|Recipients",
    "Run": "run-20260913-165336",
    "Substrate": "effortless-owl",
    "RulebookTable": "Recipients",
    "RecordCount": 5,
    "DerivedFieldCount": 6,
    "CellsTested": 30,
    "CellsPassed": 30,
    "IsMissingAnswerFile": false,
    "SemanticTypeIri": "urn:effortless:pko-extension#TableConformance",
    "Name": "effortless-owl / Recipients",
    "CellsFailed": 0,
    "Score": 100.0,
    "IsPerfect": true,
    "ImperfectSubstrateKey": null,
    "ImperfectTableKey": null,
    "DisagreeingFieldCount": 0,
    "SubstrateLabel": "OWL / SHACL",
    "SubjectArea": "communication"
   },
   {
    "TableConformanceId": "effortless-owl|MessageDeliveries",
    "Run": "run-20260913-165336",
    "Substrate": "effortless-owl",
    "RulebookTable": "MessageDeliveries",
    "RecordCount": 6,
    "DerivedFieldCount": 74,
    "CellsTested": 444,
    "CellsPassed": 428,
    "IsMissingAnswerFile": false,
    "SemanticTypeIri": "urn:effortless:pko-extension#TableConformance",
    "Name": "effortless-owl / MessageDeliveries",
    "CellsFailed": 16,
    "Score": 96.4,
    "IsPerfect": false,
    "ImperfectSubstrateKey": "effortless-owl",
    "ImperfectTableKey": "MessageDeliveries",
    "DisagreeingFieldCount": 5,
    "SubstrateLabel": "OWL / SHACL",
    "SubjectArea": "communication"
   },
   {
    "TableConformanceId": "effortless-owl|TemplateApprovals",
    "Run": "run-20260913-165336",
    "Substrate": "effortless-owl",
    "RulebookTable": "TemplateApprovals",
    "RecordCount": 2,
    "DerivedFieldCount": 6,
    "CellsTested": 12,
    "CellsPassed": 12,
    "IsMissingAnswerFile": false,
    "SemanticTypeIri": "urn:effortless:pko-extension#TableConformance",
    "Name": "effortless-owl / TemplateApprovals",
    "CellsFailed": 0,
    "Score": 100.0,
    "IsPerfect": true,
    "ImperfectSubstrateKey": null,
    "ImperfectTableKey": null,
    "DisagreeingFieldCount": 0,
    "SubstrateLabel": "OWL / SHACL",
    "SubjectArea": "communication"
   },
   {
    "TableConformanceId": "effortless-owl|SendIntents",
    "Run": "run-20260913-165336",
    "Substrate": "effortless-owl",
    "RulebookTable": "SendIntents",
    "RecordCount": 7,
    "DerivedFieldCount": 79,
    "CellsTested": 553,
    "CellsPassed": 532,
    "IsMissingAnswerFile": false,
    "SemanticTypeIri": "urn:effortless:pko-extension#TableConformance",
    "Name": "effortless-owl / SendIntents",
    "CellsFailed": 21,
    "Score": 96.2,
    "IsPerfect": false,
    "ImperfectSubstrateKey": "effortless-owl",
    "ImperfectTableKey": "SendIntents",
    "DisagreeingFieldCount": 6,
    "SubstrateLabel": "OWL / SHACL",
    "SubjectArea": "communication"
   },
   {
    "TableConformanceId": "effortless-owl|AgentDecisionRecords",
    "Run": "run-20260913-165336",
    "Substrate": "effortless-owl",
    "RulebookTable": "AgentDecisionRecords",
    "RecordCount": 3,
    "DerivedFieldCount": 27,
    "CellsTested": 81,
    "CellsPassed": 78,
    "IsMissingAnswerFile": false,
    "SemanticTypeIri": "urn:effortless:pko-extension#TableConformance",
    "Name": "effortless-owl / AgentDecisionRecords",
    "CellsFailed": 3,
    "Score": 96.3,
    "IsPerfect": false,
    "ImperfectSubstrateKey": "effortless-owl",
    "ImperfectTableKey": "AgentDecisionRecords",
    "DisagreeingFieldCount": 1,
    "SubstrateLabel": "OWL / SHACL",
    "SubjectArea": "org"
   },
   {
    "TableConformanceId": "effortless-owl|DeliveredCommunications",
    "Run": "run-20260913-165336",
    "Substrate": "effortless-owl",
    "RulebookTable": "DeliveredCommunications",
    "RecordCount": 1,
    "DerivedFieldCount": 6,
    "CellsTested": 6,
    "CellsPassed": 4,
    "IsMissingAnswerFile": false,
    "SemanticTypeIri": "urn:effortless:pko-extension#TableConformance",
    "Name": "effortless-owl / DeliveredCommunications",
    "CellsFailed": 2,
    "Score": 66.67,
    "IsPerfect": false,
    "ImperfectSubstrateKey": "effortless-owl",
    "ImperfectTableKey": "DeliveredCommunications",
    "DisagreeingFieldCount": 2,
    "SubstrateLabel": "OWL / SHACL",
    "SubjectArea": "communication"
   },
   {
    "TableConformanceId": "effortless-owl|AuthorityBoundaries",
    "Run": "run-20260913-165336",
    "Substrate": "effortless-owl",
    "RulebookTable": "AuthorityBoundaries",
    "RecordCount": 3,
    "DerivedFieldCount": 21,
    "CellsTested": 63,
    "CellsPassed": 63,
    "IsMissingAnswerFile": false,
    "SemanticTypeIri": "urn:effortless:pko-extension#TableConformance",
    "Name": "effortless-owl / AuthorityBoundaries",
    "CellsFailed": 0,
    "Score": 100.0,
    "IsPerfect": true,
    "ImperfectSubstrate</t>
  </si>
  <si>
    <t xml:space="preserve">Key": null,
    "ImperfectTableKey": null,
    "DisagreeingFieldCount": 0,
    "SubstrateLabel": "OWL / SHACL",
    "SubjectArea": "governance"
   },
   {
    "TableConformanceId": "effortless-owl|AppRoleProfiles",
    "Run": "run-20260913-165336",
    "Substrate": "effortless-owl",
    "RulebookTable": "AppRoleProfiles",
    "RecordCount": 12,
    "DerivedFieldCount": 2,
    "CellsTested": 24,
    "CellsPassed": 12,
    "IsMissingAnswerFile": false,
    "SemanticTypeIri": "urn:effortless:pko-extension#TableConformance",
    "Name": "effortless-owl / AppRoleProfiles",
    "CellsFailed": 12,
    "Score": 50.0,
    "IsPerfect": false,
    "ImperfectSubstrateKey": "effortless-owl",
    "ImperfectTableKey": "AppRoleProfiles",
    "DisagreeingFieldCount": 1,
    "SubstrateLabel": "OWL / SHACL",
    "SubjectArea": "org"
   },
   {
    "TableConformanceId": "effortless-owl|AppNavGroups",
    "Run": "run-20260913-165336",
    "Substrate": "effortless-owl",
    "RulebookTable": "AppNavGroups",
    "RecordCount": 23,
    "DerivedFieldCount": 2,
    "CellsTested": 46,
    "CellsPassed": 46,
    "IsMissingAnswerFile": false,
    "SemanticTypeIri": "urn:effortless:pko-extension#TableConformance",
    "Name": "effortless-owl / AppNavGroups",
    "CellsFailed": 0,
    "Score": 100.0,
    "IsPerfect": true,
    "ImperfectSubstrateKey": null,
    "ImperfectTableKey": null,
    "DisagreeingFieldCount": 0,
    "SubstrateLabel": "OWL / SHACL",
    "SubjectArea": "application"
   },
   {
    "TableConformanceId": "effortless-owl|AppRoutes",
    "Run": "run-20260913-165336",
    "Substrate": "effortless-owl",
    "RulebookTable": "AppRoutes",
    "RecordCount": 149,
    "DerivedFieldCount": 7,
    "CellsTested": 1043,
    "CellsPassed": 1043,
    "IsMissingAnswerFile": false,
    "SemanticTypeIri": "urn:effortless:pko-extension#TableConformance",
    "Name": "effortless-owl / AppRoutes",
    "CellsFailed": 0,
    "Score": 100.0,
    "IsPerfect": true,
    "ImperfectSubstrateKey": null,
    "ImperfectTableKey": null,
    "DisagreeingFieldCount": 0,
    "SubstrateLabel": "OWL / SHACL",
    "SubjectArea": "application"
   },
   {
    "TableConformanceId": "effortless-owl|AppRouteQuestions",
    "Run": "run-20260913-165336",
    "Substrate": "effortless-owl",
    "RulebookTable": "AppRouteQuestions",
    "RecordCount": 151,
    "DerivedFieldCount": 1,
    "CellsTested": 151,
    "CellsPassed": 151,
    "IsMissingAnswerFile": false,
    "SemanticTypeIri": "urn:effortless:pko-extension#TableConformance",
    "Name": "effortless-owl / AppRouteQuestions",
    "CellsFailed": 0,
    "Score": 100.0,
    "IsPerfect": true,
    "ImperfectSubstrateKey": null,
    "ImperfectTableKey": null,
    "DisagreeingFieldCount": 0,
    "SubstrateLabel": "OWL / SHACL",
    "SubjectArea": "application"
   },
   {
    "TableConformanceId": "effortless-owl|AppRouteReferences",
    "Run": "run-20260913-165336",
    "Substrate": "effortless-owl",
    "RulebookTable": "AppRouteReferences",
    "RecordCount": 315,
    "DerivedFieldCount": 1,
    "CellsTested": 315,
    "CellsPassed": 315,
    "IsMissingAnswerFile": false,
    "SemanticTypeIri": "urn:effortless:pko-extension#TableConformance",
    "Name": "effortless-owl / AppRouteReferences",
    "CellsFailed": 0,
    "Score": 100.0,
    "IsPerfect": true,
    "ImperfectSubstrateKey": null,
    "ImperfectTableKey": null,
    "DisagreeingFieldCount": 0,
    "SubstrateLabel": "OWL / SHACL",
    "SubjectArea": "application"
   },
   {
    "TableConformanceId": "effortless-owl|RulebookTables",
    "Run": "run-20260913-165336",
    "Substrate": "effortless-owl",
    "RulebookTable": "RulebookTables",
    "RecordCount": 92,
    "DerivedFieldCount": 5,
    "CellsTested": 460,
    "CellsPassed": 460,
    "IsMissingAnswerFile": false,
    "SemanticTypeIri": "urn:effortless:pko-extension#TableConformance",
    "Name": "effortless-owl / RulebookTables",
    "CellsFailed": 0,
    "Score": 100.0,
    "IsPerfect": true,
    "ImperfectSubstrateKey": null,
    "ImperfectTableKey": null,
    "DisagreeingFieldCount": 0,
    "SubstrateLabel": "OWL / SHACL",
    "SubjectArea": "meta"
   },
   {
    "TableConformanceId": "effortless-owl|AccessPrincipals",
    "Run": "run-20260913-165336",
    "Substrate": "effortless-owl",
    "RulebookTable": "AccessPrincipals",
    "RecordCount": 12,
    "DerivedFieldCount": 8,
    "CellsTested": 96,
    "CellsPassed": 96,
    "IsMissingAnswerFile": false,
    "SemanticTypeIri": "urn:effortless:pko-extension#TableConformance",
    "Name": "effortless-owl / AccessPrincipals",
    "CellsFailed": 0,
    "Score": 100.0,
    "IsPerfect": true,
    "ImperfectSubstrateKey": null,
    "ImperfectTableKey": null,
    "DisagreeingFieldCount": 0,
    "SubstrateLabel": "OWL / SHACL",
    "SubjectArea": "access-control"
   },
   {
    "TableConformanceId": "effortless-owl|AccessPolicies",
    "Run": "run-20260913-165336",
    "Substrate": "effortless-owl",
    "RulebookTable": "AccessPolicies",
    "RecordCount": 202,
    "DerivedFieldCount": 7,
    "CellsTested": 1414,
    "CellsPassed": 1414,
    "IsMissingAnswerFile": false,
    "SemanticTypeIri": "urn:effortless:pko-extension#TableConformance",
    "Name": "effortless-owl / AccessPolicies",
    "CellsFailed": 0,
    "Score": 100.0,
    "IsPerfect": true,
    "ImperfectSubstrateKey": null,
    "ImperfectTableKey": null,
    "DisagreeingFieldCount": 0,
    "SubstrateLabel": "OWL / SHACL",
    "SubjectArea": "access-control"
   },
   {
    "TableConformanceId": "effortless-owl|FieldGrants",
    "Run": "run-20260913-165336",
    "Substrate": "effortless-owl",
    "RulebookTable": "FieldGrants",
    "RecordCount": 3639,
    "DerivedFieldCount": 7,
    "CellsTested": 25473,
    "CellsPassed": 25473,
    "IsMissingAnswerFile": false,
    "SemanticTypeIri": "urn:effortless:pko-extension#TableConformance",
    "Name": "effortless-owl / FieldGrants",
    "CellsFailed": 0,
    "Score": 100.0,
    "IsPerfect": true,
    "ImperfectSubstrateKey": null,
    "ImperfectTableKey": null,
    "DisagreeingFieldCount": 0,
    "SubstrateLabel": "OWL / SHACL",
    "SubjectArea": "access-control"
   },
   {
    "TableConformanceId": "effortless-owl|RoleSchemas",
    "Run": "run-20260913-165336",
    "Substrate": "effortless-owl",
    "RulebookTable": "RoleSchemas",
    "RecordCount": 12,
    "DerivedFieldCount": 4,
    "CellsTested": 48,
    "CellsPassed": 48,
    "IsMissingAnswerFile": false,
    "SemanticTypeIri": "urn:effortless:pko-extension#TableConformance",
    "Name": "effortless-owl / RoleSchemas",
    "CellsFailed": 0,
    "Score": 100.0,
    "IsPerfect": true,
    "ImperfectSubstrateKey": null,
    "ImperfectTableKey": null,
    "DisagreeingFieldCount": 0,
    "SubstrateLabel": "OWL / SHACL",
    "SubjectArea": "org"
   },
   {
    "TableConformanceId": "effortless-owl|RoleSchemaViews",
    "Run": "run-20260913-165336",
    "Substrate": "effortless-owl",
    "RulebookTable": "RoleSchemaViews",
    "RecordCount": 202,
    "DerivedFieldCount": 8,
    "CellsTested": 1616,
    "CellsPassed": 1616,
    "IsMissingAnswerFile": false,
    "SemanticTypeIri": "urn:effortless:pko-extension#TableConformance",
    "Name": "effortless-owl / RoleSchemaViews",
    "CellsFailed": 0,
    "Score": 100.0,
    "IsPerfect": true,
    "ImperfectSubstrateKey": null,
    "ImperfectTableKey": null,
    "DisagreeingFieldCount": 0,
    "SubstrateLabel": "OWL / SHACL",
    "SubjectArea": "org"
   },
   {
    "TableConformanceId": "effortless-owl|JwtClaimMappings",
    "Run": "run-20260913-165336",
    "Substrate": "effortless-owl",
    "RulebookTable": "JwtClaimMappings",
    "RecordCount": 4,
    "DerivedFieldCount": 2,
    "CellsTested": 8,
    "CellsPassed": 8,
    "IsMissingAnswerFile": false,
    "SemanticTypeIri": "urn:effortless:pko-extension#TableConformance",
    "Name": "effortless-owl / JwtClaimMappings",
    "CellsFailed": 0,
    "Score": 100.0,
    "IsPerfect": true,
    "ImperfectSubstrateKey": null,
    "ImperfectTableKey": null,
    "DisagreeingFieldCount": 0,
    "SubstrateLabel": "OWL / SHACL",
    "SubjectArea": "access-control"
   },
   {
    "TableConformanceId": "effortless-owl|AccessDenialTests",
    "Run": "run-20260913-165336",
    "Substrate": "effortless-owl",
    "RulebookTable": "AccessDenialTests",
    "RecordCount": 17,
    "DerivedFieldCount": 6,
    "CellsTested": 102,
    "CellsPassed": 94,
    "IsMissingAnswerFile": false,
    "SemanticTypeIri": "urn:effortless:pko-extension#TableConformance",
    "Name": "effortless-owl / AccessDenialTests",
    "CellsFailed": 8,
    "Score": 92.16,
    "IsPerfect": false,
    "ImperfectSubstrateKey": "effortless-owl",
    "ImperfectTableKey": "AccessDenialTests",
    "DisagreeingFieldCount": 1,
    "SubstrateLabel": "OWL / SHACL",
    "SubjectArea": "access-control"
   },
   {
    "TableConformanceId": "effortless-owl|AppUsers",
    "Run": "run-20260913-165336",
    "Substrate": "effortless-owl",
    "RulebookTable": "AppUsers",
    "RecordCount": 10,
    "DerivedFieldCount": 7,
    "CellsTested": 70,
    "CellsPassed": 70,
    "IsMissingAnswerFile": false,
    "SemanticTypeIri": "urn:effortless:pko-extension#TableConformance",
    "Name": "effortless-owl / AppUsers",
    "CellsFailed": 0,
    "Score": 100.0,
    "IsPerfect": true,
    "ImperfectSubstrateKey": null,
    "ImperfectTableKey": null,
    "DisagreeingFieldCount": 0,
    "SubstrateLabel": "OWL / SHACL",
    "SubjectArea": null
   },
   {
    "TableConformanceId": "effortless-owl|PrincipalAssignments",
    "Run": "run-20260913-165336",
    "Substrate": "effortless-owl",
    "RulebookTable": "PrincipalAssignments",
    "RecordCount": 12,
    "DerivedFieldCount": 5,
    "CellsTested": 60,
    "CellsPassed": 60,
    "IsMissingAnswerFile": false,
    "SemanticTypeIri": "urn:effortless:pko-extension#TableConformance",
    "Name": "effortless-owl / PrincipalAssignments",
    "CellsFailed": 0,
    "Score": 100.0,
    "IsPerfect": true,
    "ImperfectSubstrateKey": null,
    "ImperfectTableKey": null,
    "DisagreeingFieldCount": 0,
    "SubstrateLabel": "OWL / SHACL",
    "SubjectArea": null
   },
   {
    "TableConformanceId": "effortless-owl|ProcessMiningRuns",
    "Run": "run-20260913-165336",
    "Substrate": "effortless-owl",
    "RulebookTable": "ProcessMiningRuns",
    "RecordCount": 4,
    "DerivedFieldCount": 10,
    "CellsTested": 40,
    "CellsPassed": 40,
    "IsMissingAnswerFile": false,
    "SemanticTypeIri": "urn:effortless:pko-extension#TableConformance",
    "Name": "effortless-owl / ProcessMiningRuns",
    "CellsFailed": 0,
    "Score": 100.0,
    "IsPerfect": true,
    "ImperfectSubstrateKey": null,
    "ImperfectTableKey": null,
    "DisagreeingFieldCount": 0,
    "SubstrateLabel": "OWL / SHACL",
    "SubjectArea": "knowledge"
   },
   {
    "TableConformanceId": "effortless-owl|Vocabularies",
    "Run": "run-20260913-165336",
    "Substrate": "effortless-owl",
    "RulebookTable": "Vocabularies",
    "RecordCount": 2,
    "DerivedFieldCount": 4,
    "CellsTested": 8,
    "CellsPassed": 8,
    "IsMissingAnswerFile": false,
    "SemanticTypeIri": "urn:effortless:pko-extension#TableConformance",
    "Name": "effortless-owl / Vocabularies",
    "CellsFailed": 0,
    "Score": 100.0,
    "IsPerfect": true,
    "ImperfectSubstrateKey": null,
    "ImperfectTableKey": null,
    "DisagreeingFieldCount": 0,
    "SubstrateLabel": "OWL / SHACL",
    "SubjectArea": "knowledge"
   },
   {
    "TableConformanceId": "effortless-owl|VocabularyTerms",
    "Run": "run-20260913-165336",
    "Substrate": "effortless-owl",
    "RulebookTable": "VocabularyTerms",
    "RecordCount": 12,
    "DerivedFieldCount": 5,
    "CellsTested": 60,
    "CellsPassed": 60,
    "IsMissingAnswerFile": false,
    "SemanticTypeIri": "urn:effortless:pko-extension#TableConformance",
    "Name": "effortless-owl / VocabularyTerms",
    "CellsFailed": 0,
    "Score": 100.0,
    "IsPerfect": true,
    "ImperfectSubstrateKey": null,
    "ImperfectTableKey": null,
    "DisagreeingFieldCount": 0,
    "SubstrateLabel": "OWL / SHACL",
    "SubjectArea": "knowledge"
   },
   {
    "TableConformanceId": "effortless-owl|KnowledgeBrokerLinks",
    "Run": "run-20260913-165336",
    "Substrate": "effortless-owl",
    "RulebookTable": "KnowledgeBrokerLinks",
    "RecordCount": 5,
    "DerivedFieldCount": 8,
    "CellsTested": 40,
    "CellsPassed": 40,
    "IsMissingAnswerFile": false,
    "SemanticTypeIri": "urn:effortless:pko-extension#TableConformance",
    "Name": "effortless-owl / KnowledgeBrokerLinks",
    "CellsFailed": 0,
    "Score": 100.0,
    "IsPerfect": true,
    "ImperfectSubstrateKey": null,
    "ImperfectTableKey": null,
    "DisagreeingFieldCount": 0,
    "SubstrateLabel": "OWL / SHACL",
    "SubjectArea": "knowledge"
   },
   {
    "TableConformanceId": "effortless-python|RulebookReleases",
    "Run": "run-20260913-165336",
    "Substrate": "effortless-python",
    "RulebookTable": "RulebookReleases",
    "RecordCount": 1,
    "DerivedFieldCount": 1,
    "CellsTested": 1,
    "CellsPassed": 1,
    "IsMissingAnswerFile": false,
    "SemanticTypeIri": "urn:effortless:pko-extension#TableConformance",
    "Name": "effortless-python / RulebookReleases",
    "CellsFailed": 0,
    "Score": 100.0,
    "IsPerfect": true,
    "ImperfectSubstrateKey": null,
    "ImperfectTableKey": null,
    "DisagreeingFieldCount": 0,
    "SubstrateLabel": "Python",
    "SubjectArea": "meta"
   },
   {
    "TableConformanceId": "effortless-python|OntologyProfiles",
    "Run": "run-20260913-165336",
    "Substrate": "effortless-python",
    "RulebookTable": "OntologyProfiles",
    "RecordCount": 11,
    "DerivedFieldCount": 1,
    "CellsTested": 11,
    "CellsPassed": 11,
    "IsMissingAnswerFile": false,
    "SemanticTypeIri": "urn:effortless:pko-extension#TableConformance",
    "Name": "effortless-python / OntologyProfiles",
    "CellsFailed": 0,
    "Score": 100.0,
    "IsPerfect": true,
    "ImperfectSubstrateKey": null,
    "ImperfectTableKey": null,
    "DisagreeingFieldCount": 0,
    "SubstrateLabel": "Python",
    "SubjectArea": "domain"
   },
   {
    "TableConformanceId": "effortless-python|EvaluationContexts",
    "Run": "run-20260913-165336",
    "Substrate": "effortless-python",
    "RulebookTable": "EvaluationContexts",
    "RecordCount": 1,
    "DerivedFieldCount": 1,
    "CellsTested": 1,
    "CellsPassed": 0,
    "IsMissingAnswerFile": false,
    "SemanticTypeIri": "urn:effortless:pko-extension#TableConformance",
    "Name": "effortless-python / EvaluationContexts",
    "CellsFailed": 1,
    "Score": 0.0,
    "IsPerfect": false,
    "ImperfectSubstrateKey": "effortless-python",
    "ImperfectTableKey": "EvaluationContexts",
    "DisagreeingFieldCount": 1,
    "SubstrateLabel": "Python",
    "SubjectArea": "meta"
   },
   {
    "TableConformanceId": "effortless-python|Organizations",
    "Run": "run-20260913-165336",
    "Substrate": "effortless-python",
    "RulebookTable": "Organizations",
    "RecordCount": 4,
    "DerivedFieldCount": 1,
    "CellsTested": 4,
    "CellsPassed": 4,
    "IsMissingAnswerFile": false,
    "SemanticTypeIri": "urn:effortless:pko-extension#TableConformance",
    "Name": "effortless-python / Organizations",
    "CellsFailed": 0,
    "Score": 100.0,
    "IsPerfect": true,
    "ImperfectSubstrateKey": null,
    "ImperfectTableKey": null,
    "DisagreeingFieldCount": 0,
    "SubstrateLabel": "Python",
    "SubjectArea": "org"
   },
   {
    "TableConformanceId": "effortless-python|Agents",
    "Run": "run-20260913-165336",
    "Substrate": "effortless-python",
    "RulebookTable": "Agents",
    "RecordCount": 11,
    "DerivedFieldCount": 16,
    "CellsTested": 176,
    "CellsPassed": 176,
    "IsMissingAnswerFile": false,
    "SemanticTypeIri": "urn:effortless:pko-extension#TableConformance",
    "Name": "effortless-python / Agents",
    "CellsFailed": 0,
    "Score": 100.0,
    "IsPerfect": true,
    "ImperfectSubstrateKey": null,
    "ImperfectTableKey": null,
    "DisagreeingFieldCount": 0,
    "SubstrateLabel": "Python",
    "SubjectArea": "org"
   },
   {
    "TableConformanceId": "effortless-python|Roles",
    "Run": "run-20260913-165336",
    "Substrate": "effortless-python",
    "RulebookTable": "Roles",
    "RecordCount": 12,
    "DerivedFieldCount": 17,
    "CellsTested": 204,
    "CellsPassed": 204,
    "IsMissingAnswerFile": false,
    "SemanticTypeIri": "urn:effortless:pko-extension#TableConformance",
    "Name": "effortless-python / Roles",
    "CellsFailed": 0,
    "Score": 100.0,
    "IsPerfect": true,
    "ImperfectSubstrateKey": null,
    "ImperfectTableKey": null,
    "DisagreeingFieldCount": 0,
    "SubstrateLabel": "Python",
    "SubjectArea": "org"
   },
   {
    "TableConformanceId": "effortless-python|RoleAssignments",
    "Run": "run-20260913-165336",
    "Substrate": "effortless-python",
    "RulebookTable": "RoleAssignments",
    "RecordCount": 13,
    "DerivedFieldCount": 47,
    "CellsTested": 611,
    "CellsPassed": 584,
    "IsMissingAnswerFile": false,
    "SemanticTypeIri": "urn:effortless:pko-extension#TableConformance",
    "Name": "effortless-python / RoleAssignments",
    "CellsFailed": 27,
    "Score": 95.58,
    "IsPerfect": false,
    "ImperfectSubstrateKey": "effortless-python",
    "ImperfectTableKey": "RoleAssignments",
    "DisagreeingFieldCount": 3,
    "SubstrateLabel": "Python",
    "SubjectArea": "org"
   },
   {
    "TableConformanceId": "effortless-python|CommunitiesOfPractice",
    "Run": "run-20260913-165336",
    "Substrate": "effortless-python",
    "RulebookTable": "CommunitiesOfPractice",
    "RecordCount": 2,
    "DerivedFieldCount": 1,
    "CellsTested": 2,
    "CellsPassed": 2,
    "IsMissingAnswerFile": false,
    "SemanticTypeIri": "urn:effortless:pko-extension#TableConformance",
    "Name": "effortless-python / CommunitiesOfPractice",
    "CellsFailed": 0,
    "Score": 100.0,
    "IsPerfect": true,
    "ImperfectSubstrateKey": null,
    "ImperfectTableKey": null,
    "DisagreeingFieldCount": 0,
    "SubstrateLabel": "Python",
    "SubjectArea": "org"
   },
   {
    "TableConformanceId": "effortless-python|Mentorships",
    "Run": "run-20260913-165336",
    "Substrate": "effortless-python",
    "RulebookTable": "Mentorships",
    "RecordCount": 1,
    "DerivedFieldCount": 1,
    "CellsTested": 1,
    "CellsPassed": 1,
    "IsMissingAnswerFile": false,
    "SemanticTypeIri": "urn:effortless:pko-extension#TableConformance",
    "Name": "effortless-python / Mentorships",
    "CellsFailed": 0,
    "Score": 100.0,
    "IsPerfect": true,
    "ImperfectSubstrateKey": null,
    "ImperfectTableKey": null,
    "DisagreeingFieldCount": 0,
    "SubstrateLabel": "Python",
    "SubjectArea": "org"
   },
   {
    "TableConformanceId": "effortless-python|ProcedureTypes",
    "Run": "run-20260913-165336",
    "Substrate": "effortless-python",
    "RulebookTable": "ProcedureTypes",
    "RecordCount": 2,
    "DerivedFieldCount": 1,
    "CellsTested": 2,
    "CellsPassed": 2,
    "IsMissingAnswerFile": false,
    "SemanticTypeIri": "urn:effortless:pko-extension#TableConformance",
    "Name": "effortless-python / ProcedureTypes",
    "CellsFailed": 0,
    "Score": 100.0,
    "IsPerfect": true,
    "ImperfectSubstrateKey": null,
    "ImperfectTableKey": null,
    "DisagreeingFieldCount": 0,
    "SubstrateLabel": "Python",
    "SubjectArea": "specification"
   },
   {
    "TableConformanceId": "effortless-python|Procedures",
    "Run": "run-20260913-165336",
    "Substrate": "effortless-python",
    "RulebookTable": "Procedures",
    "RecordCount": 2,
    "DerivedFieldCount": 1,
    "CellsTested": 2,
    "CellsPassed": 2,
    "IsMissingAnswerFile": false,
    "SemanticTypeIri": "urn:effortless:pko-extension#TableConformance",
    "Name": "effortless-python / Procedures",
    "CellsFailed": 0,
    "Score": 100.0,
    "IsPerfect": true,
    "ImperfectSubstrateKey": null,
    "ImperfectTableKey": null,
    "DisagreeingFieldCount": 0,
    "SubstrateLabel": "Python",
    "SubjectArea": "specification"
   },
   {
    "TableConformanceId": "effortless-python|ProcedureVersions",
    "Run": "run-20260913-165336",
    "Substrate": "effortless-python",
    "RulebookTable": "ProcedureVersions",
    "RecordCount": 3,
    "DerivedFieldCount": 72,
    "CellsTested": 216,
    "CellsPassed": 209,
    "IsMissingAnswerFile": false,
    "SemanticTypeIri": "urn:effortless:pko-extension#TableConformance",
    "Name": "effortless-python / ProcedureVersions",
    "CellsFailed": 7,
    "Score": 96.76,
    "IsPerfect": false,
    "ImperfectSubstrateKey": "effortless-python",
    "ImperfectTableKey": "ProcedureVersions",
    "DisagreeingFieldCount": 3,
    "SubstrateLabel": "Python",
    "SubjectArea": "specification"
   },
   {
    "TableConformanceId": "effortless-python|ProcedureVersionLinks",
    "Run": "run-20260913-165336",
    "Substrate": "effortless-python",
    "RulebookTable": "ProcedureVersionLinks",
    "RecordCount": 1,
    "DerivedFieldCount": 2,
    "CellsTested": 2,
    "CellsPassed": 2,
    "IsMissingAnswerFile": false,
    "SemanticTypeIri": "urn:effortless:pko-extension#TableConformance",
    "Name": "effortless-python / ProcedureVersionLinks",
    "CellsFailed": 0,
    "Score": 100.0,
    "IsPerfect": true,
    "ImperfectSubstrateKey": null,
    "ImperfectTableKey": null,
    "DisagreeingFieldCount": 0,
    "SubstrateLabel": "Python",
    "SubjectArea": "specification"
   },
   {
    "TableConformanceId": "effortless-python|ProcedureStatusChanges",
    "Run": "run-20260913-165336",
    "Substrate": "effortless-python",
    "RulebookTable": "ProcedureStatusChanges",
    "RecordCount": 5,
    "DerivedFieldCount": 1,
    "CellsTested": 5,
    "CellsPassed": 5,
    "IsMissingAnswerFile": false,
    "SemanticTypeIri": "urn:effortless:pko-extension#TableConformance",
    "Name": "effortless-python / ProcedureStatusChanges",
    "CellsFailed": 0,
    "Score": 100.0,
    "IsPerfect": true,
    "ImperfectSubstrateKey": null,
    "ImperfectTableKey": null,
    "DisagreeingFieldCount": 0,
    "SubstrateLabel": "Python",
    "SubjectArea": "specification"
   },
   {
    "TableConformanceId": "effortless-python|Steps",
    "Run": "run-20260913-165336",
    "Substrate": "effortless-python",
    "RulebookTable": "Steps",
    "RecordCount": 17,
    "DerivedFieldCount": 30,
    "CellsTested": 510,
    "CellsPassed": 510,
    "IsMissingAnswerFile": false,
    "SemanticTypeIri": "urn:effortless:pko-extension#TableConformance",
    "Name": "effortless-python / Steps",
    "CellsFailed": 0,
    "Score": 100.0,
    "IsPerfect": true,
    "ImperfectSubstrateKey": null,
    "ImperfectTableKey": null,
    "DisagreeingFieldCount": 0,
    "SubstrateLabel": "Python",
    "SubjectArea": "specification"
   },
   {
    "TableConformanceId": "effortless-python|StepTransitions",
    "Run": "run-20260913-165336",
    "Substrate": "effortless-python",
    "RulebookTable": "StepTransitions",
    "RecordCount": 19,
    "DerivedFieldCount": 15,
    "CellsTested": 285,
    "CellsPassed": 285,
    "IsMissingAnswerFile": false,
    "SemanticTypeIri": "urn:effortless:pko-extension#TableConformance",
    "Name": "effortless-python / StepTransitions",
    "CellsFailed": 0,
    "Score": 100.0,
    "IsPerfect": true,
    "ImperfectSubstrateKey": null,
    "ImperfectTableKey": null,
    "DisagreeingFieldCount": 0,
    "SubstrateLabel": "Python",
    "SubjectArea": "specification"
   },
   {
    "TableConformanceId": "effortless-python|Actions",
    "Run": "run-20260913-165336",
    "Substrate": "effortless-python",
    "RulebookTable": "Actions",
    "RecordCount": 9,
    "DerivedFieldCount": 1,
    "CellsTested": 9,
    "CellsPassed": 9,
    "IsMissingAnswerFile": false,
    "SemanticTypeIri": "urn:effortless:pko-extension#TableConformance",
    "Name": "effortless-python / Actions",
    "CellsFailed": 0,
    "Score": 100.0,
    "IsPerfect": true,
    "ImperfectSubstrateKey": null,
    "ImperfectTableKey": null,
    "DisagreeingFieldCount": 0,
    "SubstrateLabel": "Python",
    "SubjectArea": "specification"
   },
   {
    "TableConformanceId": "effortless-python|Functions",
    "Run": "run-20260913-165336",
    "Substrate": "effortless-python",
    "RulebookTable": "Functions",
    "RecordCount": 8,
    "DerivedFieldCount": 1,
    "CellsTested": 8,
    "CellsPassed": 8,
    "IsMissingAnswerFile": false,
    "SemanticTypeIri": "urn:effortless:pko-extension#TableConformance",
    "Name": "effortless-python / Functions",
    "CellsFailed": 0,
    "Score": 100.0,
    "IsPerfect": true,
    "ImperfectSubstrateKey": null,
    "ImperfectTableKey": null,
    "DisagreeingFieldCount": 0,
    "SubstrateLabel": "Python",
    "SubjectArea": "specification"
   },
   {
    "TableConformanceId": "effortless-python|Tools",
    "Run": "run-20260913-165336",
    "Substrate": "effortless-python",
    "RulebookTable": "Tools",
    "RecordCount": 8,
    "DerivedFieldCount": 1,
    "CellsTested": 8,
    "CellsPassed": 8,
    "IsMissingAnswerFile": false,
    "SemanticTypeIri": "urn:effortless:pko-extension#TableConformance",
    "Name": "effortless-python / Tools",
    "CellsFailed": 0,
    "Score": 100.0,
    "IsPerfect": true,
    "ImperfectSubstrateKey": null,
    "ImperfectTableKey": null,
    "DisagreeingFieldCount": 0,
    "SubstrateLabel": "Python",
    "SubjectArea": "specification"
   },
   {
    "TableConformanceId": "effortless-python|StepActions",
    "Run": "run-20260913-165336",
    "Substrate": "effortless-python",
    "RulebookTable": "StepActions",
    "RecordCount": 9,
    "DerivedFieldCount": 1,
    "CellsTested": 9,
    "CellsPassed": 9,
    "IsMissingAnswerFile": false,
    "SemanticTypeIri": "urn:effortless:pko-extension#TableConformance",
    "Name": "effortless-python / StepActions",
    "CellsFailed": 0,
    "Score": 100.0,
    "IsPerfect": true,
    "ImperfectSubstrateKey": null,
    "ImperfectTableKey": null,
    "DisagreeingFieldCount": 0,
    "SubstrateLabel": "Python",
    "SubjectArea": "specification"
   },
   {
    "TableConformanceId": "effortless-python|StepFunctions",
    "Run": "run-20260913-165336",
    "Substrate": "effortless-python",
    "RulebookTable": "StepFunctions",
    "RecordCount": 8,
    "DerivedFieldCount": 1,
    "CellsTested": 8,
    "CellsPassed": 8,
    "IsMissingAnswerFile": false,
    "SemanticTypeIri": "urn:effortless:pko-extension#TableConformance",
    "Name": "effortless-python / StepFunctions",
    "CellsFailed": 0,
    "Score": 100.0,
    "IsPerfect": true,
    "ImperfectSubstrateKey": null,
    "ImperfectTableKey": null,
    "DisagreeingFieldCount": 0,
    "SubstrateLabel": "Python",
    "SubjectArea": "specification"
   },
   {
    "TableConformanceId": "effortless-python|StepTools",
    "Run": "run-20260913-165336",
    "Substrate": "effortless-python",
    "RulebookTable": "StepTools",
    "RecordCount": 10,
    "DerivedFieldCount": 1,
    "CellsTested": 10,
    "CellsPassed": 10,
    "IsMissingAnswerFile": false,
    "SemanticTypeIri": "urn:effortless:pko-extension#TableConformance",
    "Name": "effortless-python / StepTools",
    "CellsFailed": 0,
    "Score": 100.0,
    "IsPerfect": true,
    "ImperfectSubstrateKey": null,
    "ImperfectTableKey": null,
    "DisagreeingFieldCount": 0,
    "SubstrateLabel": "Python",
    "SubjectArea": "specification"
   },
   {
    "TableConformanceId": "effortless-python|Requirements",
    "Run": "run-20260913-165336",
    "Substrate": "effortless-python",
    "RulebookTable": "Requirements",
    "RecordCount": 13,
    "DerivedFieldCount": 31,
    "CellsTested": 403,
    "CellsPassed": 400,
    "IsMissingAnswerFile": false,
    "SemanticTypeIri": "urn:effortless:pko-extension#TableConformance",
    "Name": "effortless-python / Requirements",
    "CellsFailed": 3,
    "Score": 99.26,
    "IsPerfect": false,
    "ImperfectSubstrateKey": "effortless-python",
    "ImperfectTableKey": "Requirements",
    "DisagreeingFieldCount": 1,
    "SubstrateLabel": "Python",
    "SubjectArea": "governance"
   },
   {
    "TableConformanceId": "effortless-python|StepRequirements",
    "Run": "run-20260913-165336",
    "Substrate": "effortless-python",
    "RulebookTable": "StepRequirements",
    "RecordCount": 15,
    "DerivedFieldCount": 10,
    "CellsTested": 150,
    "CellsPassed": 150,
    "IsMissingAnswerFile": false,
    "SemanticTypeIri": "urn:effortless:pko-extension#TableConformance",
    "Name": "effortless-python / StepRequirements",
    "CellsFailed": 0,
    "Score": 100.0,
    "IsPerfect": true,
    "ImperfectSubstrateKey": null,
    "ImperfectTableKey": null,
    "DisagreeingFieldCount": 0,
    "SubstrateLabel": "Python",
    "SubjectArea": "specification"
   },
   {
    "TableConformanceId": "effortless-python|StepVerifications",
    "Run": "run-20260913-165336",
    "Substrate": "effortless-python",
    "RulebookTable": "StepVerifications",
    "RecordCount": 11,
    "DerivedFieldCount": 1,
    "CellsTested": 11,
    "CellsPassed": 11,
    "IsMissingAnswerFile": false,
    "SemanticTypeIri": "urn:effortless:pko-extension#TableConformance",
    "Name": "effortless-python / StepVerifications",
    "CellsFailed": 0,
    "Score": 100.0,
    "IsPerfect": true,
    "ImperfectSubstrateKey": null,
    "ImperfectTableKey": null,
    "DisagreeingFieldCount": 0,
    "SubstrateLabel": "Python",
    "SubjectArea": "specification"
   },
   {
    "TableConformanceId": "effortless-python|Rationales",
    "Run": "run-20260913-165336",
    "Substrate": "effortless-python",
    "RulebookTable": "Rationales",
    "RecordCount": 4,
    "DerivedFieldCount": 1,
    "CellsTested": 4,
    "CellsPassed": 4,
    "IsMissingAnswerFile": false,
    "SemanticTypeIri": "urn:effortless:pko-extension#TableConformance",
    "Name": "effortless-python / Rationales",
    "CellsFailed": 0,
    "Score": 100.0,
    "IsPerfect": true,
    "ImperfectSubstrateKey": null,
    "ImperfectTableKey": null,
    "DisagreeingFieldCount": 0,
    "SubstrateLabel": "Python",
    "SubjectArea": "governance"
   },
   {
    "TableConformanceId": "effortless-python|Exceptions",
    "Run": "run-20260913-165336",
    "Substrate": "effortless-python",
    "RulebookTable": "Exceptions",
    "RecordCount": 4,
    "DerivedFieldCount": 2,
    "CellsTested": 8,
    "CellsPassed": 8,
    "IsMissingAnswerFile": false,
    "SemanticTypeIri": "urn:effortless:pko-extension#TableConformance",
    "Name": "effortless-python / Exceptions",
    "CellsFailed": 0,
    "Score": 100.0,
    "IsPerfect": true,
    "ImperfectSubstrateKey": null,
    "ImperfectTableKey": null,
    "DisagreeingFieldCount": 0,
    "SubstrateLabel": "Python",
    "SubjectArea": "governance"
   },
   {
    "TableConformanceId": "effortless-python|Resources",
    "Run": "run-20260913-165336",
    "Substrate": "effortless-python",
    "RulebookTable": "Resources",
    "RecordCount": 8,
    "DerivedFieldCount": 2,
    "CellsTested": 16,
    "CellsPassed": 16,
    "IsMissingAnswerFile": false,
    "SemanticTypeIri": "urn:effortless:pko-extension#TableConformance",
    "Name": "effortless-python / Resources",
    "CellsFailed": 0,
    "Score": 100.0,
    "IsPerfect": true,
    "ImperfectSubstrateKey": null,
    "ImperfectTableKey": null,
    "DisagreeingFieldCount": 0,
    "SubstrateLabel": "Python",
    "SubjectArea": "domain"
   },
   {
    "TableConformanceId": "effortless-python|ProcedureResources",
    "Run": "run-20260913-165336",
    "Substrate": "effortless-python",
    "RulebookTable": "ProcedureResources",
    "RecordCount": 8,
    "DerivedFieldCount": 2,
    "CellsTested": 16,
    "CellsPassed": 16,
    "IsMissingAnswerFile": false,
    "SemanticTypeIri": "urn:effortless:pko-extension#TableConformance",
    "Name": "effortless-python / ProcedureResources",
    "CellsFailed": 0,
    "Score": 100.0,
    "IsPerfect": true,
    "ImperfectSubstrateKey": null,
    "ImperfectTableKey": null,
    "DisagreeingFieldCount": 0,
    "SubstrateLabel": "Python",
    "SubjectArea": "specification"
   },
   {
    "TableConformanceId": "effortless-python|ElicitationSessions",
    "Run": "run-20260913-165336",
    "Substrate": "effortless-python",
    "RulebookTable": "ElicitationSessions",
    "RecordCount": 3,
    "DerivedFieldCount": 10,
    "CellsTested": 30,
    "CellsPassed": 25,
    "IsMissingAnswerFile": false,
    "SemanticTypeIri": "urn:effortless:pko-extension#TableConformance",
    "Name": "effortless-python / ElicitationSessions",
    "CellsFailed": 5,
    "Score": 83.33,
    "IsPerfect": false,
    "ImperfectSubstrateKey": "effortless-python",
    "ImperfectTableKey": "ElicitationSessions",
    "DisagreeingFieldCount": 2,
    "SubstrateLabel": "Python",
    "SubjectArea": "knowledge"
   },
   {
    "TableConformanceId": "effortless-python|</t>
  </si>
  <si>
    <t xml:space="preserve">KnowledgeFragments",
    "Run": "run-20260913-165336",
    "Substrate": "effortless-python",
    "RulebookTable": "KnowledgeFragments",
    "RecordCount": 7,
    "DerivedFieldCount": 65,
    "CellsTested": 455,
    "CellsPassed": 445,
    "IsMissingAnswerFile": false,
    "SemanticTypeIri": "urn:effortless:pko-extension#TableConformance",
    "Name": "effortless-python / KnowledgeFragments",
    "CellsFailed": 10,
    "Score": 97.8,
    "IsPerfect": false,
    "ImperfectSubstrateKey": "effortless-python",
    "ImperfectTableKey": "KnowledgeFragments",
    "DisagreeingFieldCount": 4,
    "SubstrateLabel": "Python",
    "SubjectArea": "knowledge"
   },
   {
    "TableConformanceId": "effortless-python|KnowledgeGaps",
    "Run": "run-20260913-165336",
    "Substrate": "effortless-python",
    "RulebookTable": "KnowledgeGaps",
    "RecordCount": 8,
    "DerivedFieldCount": 16,
    "CellsTested": 128,
    "CellsPassed": 127,
    "IsMissingAnswerFile": false,
    "SemanticTypeIri": "urn:effortless:pko-extension#TableConformance",
    "Name": "effortless-python / KnowledgeGaps",
    "CellsFailed": 1,
    "Score": 99.22,
    "IsPerfect": false,
    "ImperfectSubstrateKey": "effortless-python",
    "ImperfectTableKey": "KnowledgeGaps",
    "DisagreeingFieldCount": 1,
    "SubstrateLabel": "Python",
    "SubjectArea": "knowledge"
   },
   {
    "TableConformanceId": "effortless-python|FAQs",
    "Run": "run-20260913-165336",
    "Substrate": "effortless-python",
    "RulebookTable": "FAQs",
    "RecordCount": 3,
    "DerivedFieldCount": 1,
    "CellsTested": 3,
    "CellsPassed": 3,
    "IsMissingAnswerFile": false,
    "SemanticTypeIri": "urn:effortless:pko-extension#TableConformance",
    "Name": "effortless-python / FAQs",
    "CellsFailed": 0,
    "Score": 100.0,
    "IsPerfect": true,
    "ImperfectSubstrateKey": null,
    "ImperfectTableKey": null,
    "DisagreeingFieldCount": 0,
    "SubstrateLabel": "Python",
    "SubjectArea": "knowledge"
   },
   {
    "TableConformanceId": "effortless-python|Explanations",
    "Run": "run-20260913-165336",
    "Substrate": "effortless-python",
    "RulebookTable": "Explanations",
    "RecordCount": 2,
    "DerivedFieldCount": 1,
    "CellsTested": 2,
    "CellsPassed": 2,
    "IsMissingAnswerFile": false,
    "SemanticTypeIri": "urn:effortless:pko-extension#TableConformance",
    "Name": "effortless-python / Explanations",
    "CellsFailed": 0,
    "Score": 100.0,
    "IsPerfect": true,
    "ImperfectSubstrateKey": null,
    "ImperfectTableKey": null,
    "DisagreeingFieldCount": 0,
    "SubstrateLabel": "Python",
    "SubjectArea": "knowledge"
   },
   {
    "TableConformanceId": "effortless-python|ProcedureExecutions",
    "Run": "run-20260913-165336",
    "Substrate": "effortless-python",
    "RulebookTable": "ProcedureExecutions",
    "RecordCount": 2,
    "DerivedFieldCount": 69,
    "CellsTested": 138,
    "CellsPassed": 138,
    "IsMissingAnswerFile": false,
    "SemanticTypeIri": "urn:effortless:pko-extension#TableConformance",
    "Name": "effortless-python / ProcedureExecutions",
    "CellsFailed": 0,
    "Score": 100.0,
    "IsPerfect": true,
    "ImperfectSubstrateKey": null,
    "ImperfectTableKey": null,
    "DisagreeingFieldCount": 0,
    "SubstrateLabel": "Python",
    "SubjectArea": "specification"
   },
   {
    "TableConformanceId": "effortless-python|StepExecutions",
    "Run": "run-20260913-165336",
    "Substrate": "effortless-python",
    "RulebookTable": "StepExecutions",
    "RecordCount": 12,
    "DerivedFieldCount": 99,
    "CellsTested": 1188,
    "CellsPassed": 1188,
    "IsMissingAnswerFile": false,
    "SemanticTypeIri": "urn:effortless:pko-extension#TableConformance",
    "Name": "effortless-python / StepExecutions",
    "CellsFailed": 0,
    "Score": 100.0,
    "IsPerfect": true,
    "ImperfectSubstrateKey": null,
    "ImperfectTableKey": null,
    "DisagreeingFieldCount": 0,
    "SubstrateLabel": "Python",
    "SubjectArea": "specification"
   },
   {
    "TableConformanceId": "effortless-python|RequirementSatisfactions",
    "Run": "run-20260913-165336",
    "Substrate": "effortless-python",
    "RulebookTable": "RequirementSatisfactions",
    "RecordCount": 8,
    "DerivedFieldCount": 38,
    "CellsTested": 304,
    "CellsPassed": 304,
    "IsMissingAnswerFile": false,
    "SemanticTypeIri": "urn:effortless:pko-extension#TableConformance",
    "Name": "effortless-python / RequirementSatisfactions",
    "CellsFailed": 0,
    "Score": 100.0,
    "IsPerfect": true,
    "ImperfectSubstrateKey": null,
    "ImperfectTableKey": null,
    "DisagreeingFieldCount": 0,
    "SubstrateLabel": "Python",
    "SubjectArea": "execution"
   },
   {
    "TableConformanceId": "effortless-python|Errors",
    "Run": "run-20260913-165336",
    "Substrate": "effortless-python",
    "RulebookTable": "Errors",
    "RecordCount": 2,
    "DerivedFieldCount": 1,
    "CellsTested": 2,
    "CellsPassed": 2,
    "IsMissingAnswerFile": false,
    "SemanticTypeIri": "urn:effortless:pko-extension#TableConformance",
    "Name": "effortless-python / Errors",
    "CellsFailed": 0,
    "Score": 100.0,
    "IsPerfect": true,
    "ImperfectSubstrateKey": null,
    "ImperfectTableKey": null,
    "DisagreeingFieldCount": 0,
    "SubstrateLabel": "Python",
    "SubjectArea": "execution"
   },
   {
    "TableConformanceId": "effortless-python|IssueOccurrences",
    "Run": "run-20260913-165336",
    "Substrate": "effortless-python",
    "RulebookTable": "IssueOccurrences",
    "RecordCount": 2,
    "DerivedFieldCount": 3,
    "CellsTested": 6,
    "CellsPassed": 4,
    "IsMissingAnswerFile": false,
    "SemanticTypeIri": "urn:effortless:pko-extension#TableConformance",
    "Name": "effortless-python / IssueOccurrences",
    "CellsFailed": 2,
    "Score": 66.67,
    "IsPerfect": false,
    "ImperfectSubstrateKey": "effortless-python",
    "ImperfectTableKey": "IssueOccurrences",
    "DisagreeingFieldCount": 1,
    "SubstrateLabel": "Python",
    "SubjectArea": "execution"
   },
   {
    "TableConformanceId": "effortless-python|UserQuestions",
    "Run": "run-20260913-165336",
    "Substrate": "effortless-python",
    "RulebookTable": "UserQuestions",
    "RecordCount": 2,
    "DerivedFieldCount": 1,
    "CellsTested": 2,
    "CellsPassed": 2,
    "IsMissingAnswerFile": false,
    "SemanticTypeIri": "urn:effortless:pko-extension#TableConformance",
    "Name": "effortless-python / UserQuestions",
    "CellsFailed": 0,
    "Score": 100.0,
    "IsPerfect": true,
    "ImperfectSubstrateKey": null,
    "ImperfectTableKey": null,
    "DisagreeingFieldCount": 0,
    "SubstrateLabel": "Python",
    "SubjectArea": "domain"
   },
   {
    "TableConformanceId": "effortless-python|UserFeedback",
    "Run": "run-20260913-165336",
    "Substrate": "effortless-python",
    "RulebookTable": "UserFeedback",
    "RecordCount": 2,
    "DerivedFieldCount": 1,
    "CellsTested": 2,
    "CellsPassed": 2,
    "IsMissingAnswerFile": false,
    "SemanticTypeIri": "urn:effortless:pko-extension#TableConformance",
    "Name": "effortless-python / UserFeedback",
    "CellsFailed": 0,
    "Score": 100.0,
    "IsPerfect": true,
    "ImperfectSubstrateKey": null,
    "ImperfectTableKey": null,
    "DisagreeingFieldCount": 0,
    "SubstrateLabel": "Python",
    "SubjectArea": "domain"
   },
   {
    "TableConformanceId": "effortless-python|StewardshipAssignments",
    "Run": "run-20260913-165336",
    "Substrate": "effortless-python",
    "RulebookTable": "StewardshipAssignments",
    "RecordCount": 2,
    "DerivedFieldCount": 5,
    "CellsTested": 10,
    "CellsPassed": 10,
    "IsMissingAnswerFile": false,
    "SemanticTypeIri": "urn:effortless:pko-extension#TableConformance",
    "Name": "effortless-python / StewardshipAssignments",
    "CellsFailed": 0,
    "Score": 100.0,
    "IsPerfect": true,
    "ImperfectSubstrateKey": null,
    "ImperfectTableKey": null,
    "DisagreeingFieldCount": 0,
    "SubstrateLabel": "Python",
    "SubjectArea": "org"
   },
   {
    "TableConformanceId": "effortless-python|ChangeRequests",
    "Run": "run-20260913-165336",
    "Substrate": "effortless-python",
    "RulebookTable": "ChangeRequests",
    "RecordCount": 2,
    "DerivedFieldCount": 32,
    "CellsTested": 64,
    "CellsPassed": 62,
    "IsMissingAnswerFile": false,
    "SemanticTypeIri": "urn:effortless:pko-extension#TableConformance",
    "Name": "effortless-python / ChangeRequests",
    "CellsFailed": 2,
    "Score": 96.88,
    "IsPerfect": false,
    "ImperfectSubstrateKey": "effortless-python",
    "ImperfectTableKey": "ChangeRequests",
    "DisagreeingFieldCount": 2,
    "SubstrateLabel": "Python",
    "SubjectArea": "domain"
   },
   {
    "TableConformanceId": "effortless-python|ReviewEvents",
    "Run": "run-20260913-165336",
    "Substrate": "effortless-python",
    "RulebookTable": "ReviewEvents",
    "RecordCount": 3,
    "DerivedFieldCount": 10,
    "CellsTested": 30,
    "CellsPassed": 24,
    "IsMissingAnswerFile": false,
    "SemanticTypeIri": "urn:effortless:pko-extension#TableConformance",
    "Name": "effortless-python / ReviewEvents",
    "CellsFailed": 6,
    "Score": 80.0,
    "IsPerfect": false,
    "ImperfectSubstrateKey": "effortless-python",
    "ImperfectTableKey": "ReviewEvents",
    "DisagreeingFieldCount": 2,
    "SubstrateLabel": "Python",
    "SubjectArea": "domain"
   },
   {
    "TableConformanceId": "effortless-python|LearningActivities",
    "Run": "run-20260913-165336",
    "Substrate": "effortless-python",
    "RulebookTable": "LearningActivities",
    "RecordCount": 2,
    "DerivedFieldCount": 1,
    "CellsTested": 2,
    "CellsPassed": 0,
    "IsMissingAnswerFile": false,
    "SemanticTypeIri": "urn:effortless:pko-extension#TableConformance",
    "Name": "effortless-python / LearningActivities",
    "CellsFailed": 2,
    "Score": 0.0,
    "IsPerfect": false,
    "ImperfectSubstrateKey": "effortless-python",
    "ImperfectTableKey": "LearningActivities",
    "DisagreeingFieldCount": 1,
    "SubstrateLabel": "Python",
    "SubjectArea": "domain"
   },
   {
    "TableConformanceId": "effortless-python|OperationalBindings",
    "Run": "run-20260913-165336",
    "Substrate": "effortless-python",
    "RulebookTable": "OperationalBindings",
    "RecordCount": 5,
    "DerivedFieldCount": 11,
    "CellsTested": 55,
    "CellsPassed": 55,
    "IsMissingAnswerFile": false,
    "SemanticTypeIri": "urn:effortless:pko-extension#TableConformance",
    "Name": "effortless-python / OperationalBindings",
    "CellsFailed": 0,
    "Score": 100.0,
    "IsPerfect": true,
    "ImperfectSubstrateKey": null,
    "ImperfectTableKey": null,
    "DisagreeingFieldCount": 0,
    "SubstrateLabel": "Python",
    "SubjectArea": "domain"
   },
   {
    "TableConformanceId": "effortless-python|CommunicationPolicies",
    "Run": "run-20260913-165336",
    "Substrate": "effortless-python",
    "RulebookTable": "CommunicationPolicies",
    "RecordCount": 2,
    "DerivedFieldCount": 4,
    "CellsTested": 8,
    "CellsPassed": 8,
    "IsMissingAnswerFile": false,
    "SemanticTypeIri": "urn:effortless:pko-extension#TableConformance",
    "Name": "effortless-python / CommunicationPolicies",
    "CellsFailed": 0,
    "Score": 100.0,
    "IsPerfect": true,
    "ImperfectSubstrateKey": null,
    "ImperfectTableKey": null,
    "DisagreeingFieldCount": 0,
    "SubstrateLabel": "Python",
    "SubjectArea": "communication"
   },
   {
    "TableConformanceId": "effortless-python|MessageTemplates",
    "Run": "run-20260913-165336",
    "Substrate": "effortless-python",
    "RulebookTable": "MessageTemplates",
    "RecordCount": 2,
    "DerivedFieldCount": 16,
    "CellsTested": 32,
    "CellsPassed": 32,
    "IsMissingAnswerFile": false,
    "SemanticTypeIri": "urn:effortless:pko-extension#TableConformance",
    "Name": "effortless-python / MessageTemplates",
    "CellsFailed": 0,
    "Score": 100.0,
    "IsPerfect": true,
    "ImperfectSubstrateKey": null,
    "ImperfectTableKey": null,
    "DisagreeingFieldCount": 0,
    "SubstrateLabel": "Python",
    "SubjectArea": "communication"
   },
   {
    "TableConformanceId": "effortless-python|SemanticMappings",
    "Run": "run-20260913-165336",
    "Substrate": "effortless-python",
    "RulebookTable": "SemanticMappings",
    "RecordCount": 47,
    "DerivedFieldCount": 1,
    "CellsTested": 47,
    "CellsPassed": 47,
    "IsMissingAnswerFile": false,
    "SemanticTypeIri": "urn:effortless:pko-extension#TableConformance",
    "Name": "effortless-python / SemanticMappings",
    "CellsFailed": 0,
    "Score": 100.0,
    "IsPerfect": true,
    "ImperfectSubstrateKey": null,
    "ImperfectTableKey": null,
    "DisagreeingFieldCount": 0,
    "SubstrateLabel": "Python",
    "SubjectArea": "meta"
   },
   {
    "TableConformanceId": "effortless-python|WitnessLoops",
    "Run": "run-20260913-165336",
    "Substrate": "effortless-python",
    "RulebookTable": "WitnessLoops",
    "RecordCount": 3,
    "DerivedFieldCount": 3,
    "CellsTested": 9,
    "CellsPassed": 9,
    "IsMissingAnswerFile": false,
    "SemanticTypeIri": "urn:effortless:pko-extension#TableConformance",
    "Name": "effortless-python / WitnessLoops",
    "CellsFailed": 0,
    "Score": 100.0,
    "IsPerfect": true,
    "ImperfectSubstrateKey": null,
    "ImperfectTableKey": null,
    "DisagreeingFieldCount": 0,
    "SubstrateLabel": "Python",
    "SubjectArea": "meta"
   },
   {
    "TableConformanceId": "effortless-python|RoleQuestions",
    "Run": "run-20260913-165336",
    "Substrate": "effortless-python",
    "RulebookTable": "RoleQuestions",
    "RecordCount": 109,
    "DerivedFieldCount": 3,
    "CellsTested": 327,
    "CellsPassed": 327,
    "IsMissingAnswerFile": false,
    "SemanticTypeIri": "urn:effortless:pko-extension#TableConformance",
    "Name": "effortless-python / RoleQuestions",
    "CellsFailed": 0,
    "Score": 100.0,
    "IsPerfect": true,
    "ImperfectSubstrateKey": null,
    "ImperfectTableKey": null,
    "DisagreeingFieldCount": 0,
    "SubstrateLabel": "Python",
    "SubjectArea": "org"
   },
   {
    "TableConformanceId": "effortless-python|RulebookFields",
    "Run": "run-20260913-165336",
    "Substrate": "effortless-python",
    "RulebookTable": "RulebookFields",
    "RecordCount": 1879,
    "DerivedFieldCount": 5,
    "CellsTested": 9395,
    "CellsPassed": 9395,
    "IsMissingAnswerFile": false,
    "SemanticTypeIri": "urn:effortless:pko-extension#TableConformance",
    "Name": "effortless-python / RulebookFields",
    "CellsFailed": 0,
    "Score": 100.0,
    "IsPerfect": true,
    "ImperfectSubstrateKey": null,
    "ImperfectTableKey": null,
    "DisagreeingFieldCount": 0,
    "SubstrateLabel": "Python",
    "SubjectArea": "access-control"
   },
   {
    "TableConformanceId": "effortless-python|TestSuites",
    "Run": "run-20260913-165336",
    "Substrate": "effortless-python",
    "RulebookTable": "TestSuites",
    "RecordCount": 6,
    "DerivedFieldCount": 5,
    "CellsTested": 30,
    "CellsPassed": 30,
    "IsMissingAnswerFile": false,
    "SemanticTypeIri": "urn:effortless:pko-extension#TableConformance",
    "Name": "effortless-python / TestSuites",
    "CellsFailed": 0,
    "Score": 100.0,
    "IsPerfect": true,
    "ImperfectSubstrateKey": null,
    "ImperfectTableKey": null,
    "DisagreeingFieldCount": 0,
    "SubstrateLabel": "Python",
    "SubjectArea": "meta"
   },
   {
    "TableConformanceId": "effortless-python|TestCases",
    "Run": "run-20260913-165336",
    "Substrate": "effortless-python",
    "RulebookTable": "TestCases",
    "RecordCount": 1794,
    "DerivedFieldCount": 7,
    "CellsTested": 12558,
    "CellsPassed": 12558,
    "IsMissingAnswerFile": false,
    "SemanticTypeIri": "urn:effortless:pko-extension#TableConformance",
    "Name": "effortless-python / TestCases",
    "CellsFailed": 0,
    "Score": 100.0,
    "IsPerfect": true,
    "ImperfectSubstrateKey": null,
    "ImperfectTableKey": null,
    "DisagreeingFieldCount": 0,
    "SubstrateLabel": "Python",
    "SubjectArea": "meta"
   },
   {
    "TableConformanceId": "effortless-python|ExceptionInvocations",
    "Run": "run-20260913-165336",
    "Substrate": "effortless-python",
    "RulebookTable": "ExceptionInvocations",
    "RecordCount": 1,
    "DerivedFieldCount": 13,
    "CellsTested": 13,
    "CellsPassed": 13,
    "IsMissingAnswerFile": false,
    "SemanticTypeIri": "urn:effortless:pko-extension#TableConformance",
    "Name": "effortless-python / ExceptionInvocations",
    "CellsFailed": 0,
    "Score": 100.0,
    "IsPerfect": true,
    "ImperfectSubstrateKey": null,
    "ImperfectTableKey": null,
    "DisagreeingFieldCount": 0,
    "SubstrateLabel": "Python",
    "SubjectArea": "governance"
   },
   {
    "TableConformanceId": "effortless-python|VerificationOutcomes",
    "Run": "run-20260913-165336",
    "Substrate": "effortless-python",
    "RulebookTable": "VerificationOutcomes",
    "RecordCount": 4,
    "DerivedFieldCount": 18,
    "CellsTested": 72,
    "CellsPassed": 72,
    "IsMissingAnswerFile": false,
    "SemanticTypeIri": "urn:effortless:pko-extension#TableConformance",
    "Name": "effortless-python / VerificationOutcomes",
    "CellsFailed": 0,
    "Score": 100.0,
    "IsPerfect": true,
    "ImperfectSubstrateKey": null,
    "ImperfectTableKey": null,
    "DisagreeingFieldCount": 0,
    "SubstrateLabel": "Python",
    "SubjectArea": "execution"
   },
   {
    "TableConformanceId": "effortless-python|ObservedTransitions",
    "Run": "run-20260913-165336",
    "Substrate": "effortless-python",
    "RulebookTable": "ObservedTransitions",
    "RecordCount": 10,
    "DerivedFieldCount": 1,
    "CellsTested": 10,
    "CellsPassed": 0,
    "IsMissingAnswerFile": false,
    "SemanticTypeIri": "urn:effortless:pko-extension#TableConformance",
    "Name": "effortless-python / ObservedTransitions",
    "CellsFailed": 10,
    "Score": 0.0,
    "IsPerfect": false,
    "ImperfectSubstrateKey": "effortless-python",
    "ImperfectTableKey": "ObservedTransitions",
    "DisagreeingFieldCount": 1,
    "SubstrateLabel": "Python",
    "SubjectArea": "specification"
   },
   {
    "TableConformanceId": "effortless-python|Recipients",
    "Run": "run-20260913-165336",
    "Substrate": "effortless-python",
    "RulebookTable": "Recipients",
    "RecordCount": 5,
    "DerivedFieldCount": 6,
    "CellsTested": 30,
    "CellsPassed": 30,
    "IsMissingAnswerFile": false,
    "SemanticTypeIri": "urn:effortless:pko-extension#TableConformance",
    "Name": "effortless-python / Recipients",
    "CellsFailed": 0,
    "Score": 100.0,
    "IsPerfect": true,
    "ImperfectSubstrateKey": null,
    "ImperfectTableKey": null,
    "DisagreeingFieldCount": 0,
    "SubstrateLabel": "Python",
    "SubjectArea": "communication"
   },
   {
    "TableConformanceId": "effortless-python|MessageDeliveries",
    "Run": "run-20260913-165336",
    "Substrate": "effortless-python",
    "RulebookTable": "MessageDeliveries",
    "RecordCount": 6,
    "DerivedFieldCount": 74,
    "CellsTested": 444,
    "CellsPassed": 420,
    "IsMissingAnswerFile": false,
    "SemanticTypeIri": "urn:effortless:pko-extension#TableConformance",
    "Name": "effortless-python / MessageDeliveries",
    "CellsFailed": 24,
    "Score": 94.59,
    "IsPerfect": false,
    "ImperfectSubstrateKey": "effortless-python",
    "ImperfectTableKey": "MessageDeliveries",
    "DisagreeingFieldCount": 5,
    "SubstrateLabel": "Python",
    "SubjectArea": "communication"
   },
   {
    "TableConformanceId": "effortless-python|TemplateApprovals",
    "Run": "run-20260913-165336",
    "Substrate": "effortless-python",
    "RulebookTable": "TemplateApprovals",
    "RecordCount": 2,
    "DerivedFieldCount": 6,
    "CellsTested": 12,
    "CellsPassed": 10,
    "IsMissingAnswerFile": false,
    "SemanticTypeIri": "urn:effortless:pko-extension#TableConformance",
    "Name": "effortless-python / TemplateApprovals",
    "CellsFailed": 2,
    "Score": 83.33,
    "IsPerfect": false,
    "ImperfectSubstrateKey": "effortless-python",
    "ImperfectTableKey": "TemplateApprovals",
    "DisagreeingFieldCount": 1,
    "SubstrateLabel": "Python",
    "SubjectArea": "communication"
   },
   {
    "TableConformanceId": "effortless-python|SendIntents",
    "Run": "run-20260913-165336",
    "Substrate": "effortless-python",
    "RulebookTable": "SendIntents",
    "RecordCount": 7,
    "DerivedFieldCount": 79,
    "CellsTested": 553,
    "CellsPassed": 546,
    "IsMissingAnswerFile": false,
    "SemanticTypeIri": "urn:effortless:pko-extension#TableConformance",
    "Name": "effortless-python / SendIntents",
    "CellsFailed": 7,
    "Score": 98.73,
    "IsPerfect": false,
    "ImperfectSubstrateKey": "effortless-python",
    "ImperfectTableKey": "SendIntents",
    "DisagreeingFieldCount": 1,
    "SubstrateLabel": "Python",
    "SubjectArea": "communication"
   },
   {
    "TableConformanceId": "effortless-python|AgentDecisionRecords",
    "Run": "run-20260913-165336",
    "Substrate": "effortless-python",
    "RulebookTable": "AgentDecisionRecords",
    "RecordCount": 3,
    "DerivedFieldCount": 27,
    "CellsTested": 81,
    "CellsPassed": 81,
    "IsMissingAnswerFile": false,
    "SemanticTypeIri": "urn:effortless:pko-extension#TableConformance",
    "Name": "effortless-python / AgentDecisionRecords",
    "CellsFailed": 0,
    "Score": 100.0,
    "IsPerfect": true,
    "ImperfectSubstrateKey": null,
    "ImperfectTableKey": null,
    "DisagreeingFieldCount": 0,
    "SubstrateLabel": "Python",
    "SubjectArea": "org"
   },
   {
    "TableConformanceId": "effortless-python|DeliveredCommunications",
    "Run": "run-20260913-165336",
    "Substrate": "effortless-python",
    "RulebookTable": "DeliveredCommunications",
    "RecordCount": 1,
    "DerivedFieldCount": 6,
    "CellsTested": 6,
    "CellsPassed": 5,
    "IsMissingAnswerFile": false,
    "SemanticTypeIri": "urn:effortless:pko-extension#TableConformance",
    "Name": "effortless-python / DeliveredCommunications",
    "CellsFailed": 1,
    "Score": 83.33,
    "IsPerfect": false,
    "ImperfectSubstrateKey": "effortless-python",
    "ImperfectTableKey": "DeliveredCommunications",
    "DisagreeingFieldCount": 1,
    "SubstrateLabel": "Python",
    "SubjectArea": "communication"
   },
   {
    "TableConformanceId": "effortless-python|AuthorityBoundaries",
    "Run": "run-20260913-165336",
    "Substrate": "effortless-python",
    "RulebookTable": "AuthorityBoundaries",
    "RecordCount": 3,
    "DerivedFieldCount": 21,
    "CellsTested": 63,
    "CellsPassed": 63,
    "IsMissingAnswerFile": false,
    "SemanticTypeIri": "urn:effortless:pko-extension#TableConformance",
    "Name": "effortless-python / AuthorityBoundaries",
    "CellsFailed": 0,
    "Score": 100.0,
    "IsPerfect": true,
    "ImperfectSubstrateKey": null,
    "ImperfectTableKey": null,
    "DisagreeingFieldCount": 0,
    "SubstrateLabel": "Python",
    "SubjectArea": "governance"
   },
   {
    "TableConformanceId": "effortless-python|AppRoleProfiles",
    "Run": "run-20260913-165336",
    "Substrate": "effortless-python",
    "RulebookTable": "AppRoleProfiles",
    "RecordCount": 12,
    "DerivedFieldCount": 2,
    "CellsTested": 24,
    "CellsPassed": 24,
    "IsMissingAnswerFile": false,
    "SemanticTypeIri": "urn:effortless:pko-extension#TableConformance",
    "Name": "effortless-python / AppRoleProfiles",
    "CellsFailed": 0,
    "Score": 100.0,
    "IsPerfect": true,
    "ImperfectSubstrateKey": null,
    "ImperfectTableKey": null,
    "DisagreeingFieldCount": 0,
    "SubstrateLabel": "Python",
    "SubjectArea": "org"
   },
   {
    "TableConformanceId": "effortless-python|AppNavGroups",
    "Run": "run-20260913-165336",
    "Substrate": "effortless-python",
    "RulebookTable": "AppNavGroups",
    "RecordCount": 23,
    "DerivedFieldCount": 2,
    "CellsTested": 46,
    "CellsPassed": 46,
    "IsMissingAnswerFile": false,
    "SemanticTypeIri": "urn:effortless:pko-extension#TableConformance",
    "Name": "effortless-python / AppNavGroups",
    "CellsFailed": 0,
    "Score": 100.0,
    "IsPerfect": true,
    "ImperfectSubstrateKey": null,
    "ImperfectTableKey": null,
    "DisagreeingFieldCount": 0,
    "SubstrateLabel": "Python",
    "SubjectArea": "application"
   },
   {
    "TableConformanceId": "effortless-python|AppRoutes",
    "Run": "run-20260913-165336",
    "Substrate": "effortless-python",
    "RulebookTable": "AppRoutes",
    "RecordCount": 149,
    "DerivedFieldCount": 7,
    "CellsTested": 1043,
    "CellsPassed": 1043,
    "IsMissingAnswerFile": false,
    "SemanticTypeIri": "urn:effortless:pko-extension#TableConformance",
    "Name": "effortless-python / AppRoutes",
    "CellsFailed": 0,
    "Score": 100.0,
    "IsPerfect": true,
    "ImperfectSubstrateKey": null,
    "ImperfectTableKey": null,
    "DisagreeingFieldCount": 0,
    "SubstrateLabel": "Python",
    "SubjectArea": "application"
   },
   {
    "TableConformanceId": "effortless-python|AppRouteQuestions",
    "Run": "run-20260913-165336",
    "Substrate": "effortless-python",
    "RulebookTable": "AppRouteQuestions",
    "RecordCount": 151,
    "DerivedFieldCount": 1,
    "CellsTested": 151,
    "CellsPassed": 151,
    "IsMissingAnswerFile": false,
    "SemanticTypeIri": "urn:effortless:pko-extension#TableConformance",
    "Name": "effortless-python / AppRouteQuestions",
    "CellsFailed": 0,
    "Score": 100.0,
    "IsPerfect": true,
    "ImperfectSubstrateKey": null,
    "ImperfectTableKey": null,
    "DisagreeingFieldCount": 0,
    "SubstrateLabel": "Python",
    "SubjectArea": "application"
   },
   {
    "TableConformanceId": "effortless-python|AppRouteReferences",
    "Run": "run-20260913-165336",
    "Substrate": "effortless-python",
    "RulebookTable": "AppRouteReferences",
    "RecordCount": 315,
    "DerivedFieldCount": 1,
    "CellsTested": 315,
    "CellsPassed": 315,
    "IsMissingAnswerFile": false,
    "SemanticTypeIri": "urn:effortless:pko-extension#TableConformance",
    "Name": "effortless-python / AppRouteReferences",
    "CellsFailed": 0,
    "Score": 100.0,
    "IsPerfect": true,
    "ImperfectSubstrateKey": null,
    "ImperfectTableKey": null,
    "DisagreeingFieldCount": 0,
    "SubstrateLabel": "Python",
    "SubjectArea": "application"
   },
   {
    "TableConformanceId": "effortless-python|RulebookTables",
    "Run": "run-20260913-165336",
    "Substrate": "effortless-python",
    "RulebookTable": "RulebookTables",
    "RecordCount": 92,
    "DerivedFieldCount": 5,
    "CellsTested": 460,
    "CellsPassed": 460,
    "IsMissingAnswerFile": false,
    "SemanticTypeIri": "urn:effortless:pko-extension#TableConformance",
    "Name": "effortless-python / RulebookTables",
    "CellsFailed": 0,
    "Score": 100.0,
    "IsPerfect": true,
    "ImperfectSubstrateKey": null,
    "ImperfectTableKey": null,
    "DisagreeingFieldCount": 0,
    "SubstrateLabel": "Python",
    "SubjectArea": "meta"
   },
   {
    "TableConformanceId": "effortless-python|AccessPrincipals",
    "Run": "run-20260913-165336",
    "Substrate": "effortless-python",
    "RulebookTable": "AccessPrincipals",
    "RecordCount": 12,
    "DerivedFieldCount": 8,
    "CellsTested": 96,
    "CellsPassed": 96,
    "IsMissingAnswerFile": false,
    "SemanticTypeIri": "urn:effortless:pko-extension#TableConformance",
    "Name": "effortless-python / AccessPrincipals",
    "CellsFailed": 0,
    "Score": 100.0,
    "IsPerfect": true,
    "ImperfectSubstrateKey": null,
    "ImperfectTableKey": null,
    "DisagreeingFieldCount": 0,
    "SubstrateLabel": "Python",
    "SubjectArea": "access-control"
   },
   {
    "TableConformanceId": "effortless-python|AccessPolicies",
    "Run": "run-20260913-165336",
    "Substrate": "effortless-python",
    "RulebookTable": "AccessPolicies",
    "RecordCount": 202,
    "DerivedFieldCount": 7,
    "CellsTested": 1414,
    "CellsPassed": 1414,
    "IsMissingAnswerFile": false,
    "SemanticTypeIri": "urn:effortless:pko-extension#TableConformance",
    "Name": "effortless-python / AccessPolicies",
    "CellsFailed": 0,
    "Score": 100.0,
    "IsPerfect": true,
    "ImperfectSubstrateKey": null,
    "ImperfectTableKey": null,
    "DisagreeingFieldCount": 0,
    "SubstrateLabel": "Python",
    "SubjectArea": "access-control"
   },
   {
    "TableConformanceId": "effortless-python|FieldGrants",
    "Run": "run-20260913-165336",
    "Substrate": "effortless-python",
    "RulebookTable": "FieldGrants",
    "RecordCount": 3639,
    "DerivedFieldCount": 7,
    "CellsTested": 25473,
    "CellsPassed": 25473,
    "IsMissingAnswerFile": false,
    "SemanticTypeIri": "urn:effortless:pko-extension#TableConformance",
    "Name": "effortless-python / FieldGrants",
    "CellsFailed": 0,
    "Score": 100.0,
    "IsPerfect": true,
    "ImperfectSubstrateKey": null,
    "ImperfectTableKey": null,
    "DisagreeingFieldCount": 0,
    "SubstrateLabel": "Python",
    "SubjectArea": "access-control"
   },
   {
    "TableConformanceId": "effortless-python|RoleSchemas",
    "Run": "run-20260913-165336",
    "Substrate": "effortless-python",
    "RulebookTable": "RoleSchemas",
    "RecordCount": 12,
    "DerivedFieldCount": 4,
    "CellsTested": 48,
    "CellsPassed": 48,
    "IsMissingAnswerFile": false,
    "SemanticTypeIri": "urn:effortless:pko-extension#TableConformance",
    "Name": "effortless-python / RoleSchemas",
    "CellsFailed": 0,
    "Score": 100.0,
    "IsPerfect": true,
    "ImperfectSubstrateKey": null,
    "ImperfectTableKey": null,
    "DisagreeingFieldCount": 0,
    "SubstrateLabel": "Python",
    "SubjectArea": "org"
   },
   {
    "TableConformanceId": "effortless-python|RoleSchemaViews",
    "Run": "run-20260913-165336",
    "Substrate": "effortless-python",
    "RulebookTable": "RoleSchemaViews",
    "RecordCount": 202,
    "DerivedFieldCount": 8,
    "CellsTested": 1616,
    "CellsPassed": 1616,
    "IsMissingAnswerFile": false,
    "SemanticTypeIri": "urn:effortless:pko-extension#TableConformance",
    "Name": "effortless-python / RoleSchemaViews",
    "CellsFailed": 0,
    "Score": 100.0,
    "IsPerfect": true,
    "ImperfectSubstrateKey": null,
    "ImperfectTableKey": null,
    "DisagreeingFieldCount": 0,
    "SubstrateLabel": "Python",
    "SubjectArea": "org"
   },
   {
    "TableConformanceId": "effortless-python|JwtClaimMappings",
    "Run": "run-20260913-165336",
    "Substrate": "effortless-python",
    "RulebookTable": "JwtClaimMappings",
    "RecordCount": 4,
    "DerivedFieldCount": 2,
    "CellsTested": 8,
    "CellsPassed": 8,
    "IsMissingAnswerFile": false,
    "SemanticTypeIri": "urn:effortless:pko-extension#TableConformance",
    "Name": "effortless-python / JwtClaimMappings",
    "CellsFailed": 0,
    "Score": 100.0,
    "IsPerfect": true,
    "ImperfectSubstrateKey": null,
    "ImperfectTableKey": null,
    "DisagreeingFieldCount": 0,
    "SubstrateLabel": "Python",
    "SubjectArea": "access-control"
   },
   {
    "TableConformanceId": "effortless-python|AccessDenialTests",
    "Run": "run-20260913-165336",
    "Substrate": "effortless-python",
    "RulebookTable": "AccessDenialTests",
    "RecordCount": 17,
    "DerivedFieldCount": 6,
    "CellsTested": 102,
    "CellsPassed": 102,
    "IsMissingAnswerFile": false,
    "SemanticTypeIri": "urn:effortless:pko-extension#TableConformance",
    "Name": "effortless-python / AccessDenialTests",
    "CellsFailed": 0,
    "Score": 100.0,
    "IsPerfect": true,
    "ImperfectSubstrateKey": null,
    "ImperfectTableKey": null,
    "DisagreeingFieldCount": 0,
    "SubstrateLabel": "Python",
    "SubjectArea": "access-control"
   },
   {
    "TableConformanceId": "effortless-python|AppUsers",
    "Run": "run-20260913-165336",
    "Substrate": "effortless-python",
    "RulebookTable": "AppUsers",
    "RecordCount": 10,
    "DerivedFieldCount": 7,
    "CellsTested": 70,
    "CellsPassed": 70,
    "IsMissingAnswerFile": false,
    "SemanticTypeIri": "urn:effortless:pko-extension#TableConformance",
    "Name": "effortless-python / AppUsers",
    "CellsFailed": 0,
    "Score": 100.0,
    "IsPerfect": true,
    "ImperfectSubstrateKey": null,
    "ImperfectTableKey": null,
    "DisagreeingFieldCount": 0,
    "SubstrateLabel": "Python",
    "SubjectArea": null
   },
   {
    "TableConformanceId": "effortless-python|PrincipalAssignments",
    "Run": "run-20260913-165336",
    "Substrate": "effortless-python",
    "RulebookTable": "PrincipalAssignments",
    "RecordCount": 12,
    "DerivedFieldCount": 5,
    "CellsTested": 60,
    "CellsPassed": 60,
    "IsMissingAnswerFile": false,
    "SemanticTypeIri": "urn:effortless:pko-extension#TableConformance",
    "Name": "effortless-python / PrincipalAssignments",
    "CellsFailed": 0,
    "Score": 100.0,
    "IsPerfect": t</t>
  </si>
  <si>
    <t xml:space="preserve">rue,
    "ImperfectSubstrateKey": null,
    "ImperfectTableKey": null,
    "DisagreeingFieldCount": 0,
    "SubstrateLabel": "Python",
    "SubjectArea": null
   },
   {
    "TableConformanceId": "effortless-python|ProcessMiningRuns",
    "Run": "run-20260913-165336",
    "Substrate": "effortless-python",
    "RulebookTable": "ProcessMiningRuns",
    "RecordCount": 4,
    "DerivedFieldCount": 10,
    "CellsTested": 40,
    "CellsPassed": 36,
    "IsMissingAnswerFile": false,
    "SemanticTypeIri": "urn:effortless:pko-extension#TableConformance",
    "Name": "effortless-python / ProcessMiningRuns",
    "CellsFailed": 4,
    "Score": 90.0,
    "IsPerfect": false,
    "ImperfectSubstrateKey": "effortless-python",
    "ImperfectTableKey": "ProcessMiningRuns",
    "DisagreeingFieldCount": 1,
    "SubstrateLabel": "Python",
    "SubjectArea": "knowledge"
   },
   {
    "TableConformanceId": "effortless-python|Vocabularies",
    "Run": "run-20260913-165336",
    "Substrate": "effortless-python",
    "RulebookTable": "Vocabularies",
    "RecordCount": 2,
    "DerivedFieldCount": 4,
    "CellsTested": 8,
    "CellsPassed": 8,
    "IsMissingAnswerFile": false,
    "SemanticTypeIri": "urn:effortless:pko-extension#TableConformance",
    "Name": "effortless-python / Vocabularies",
    "CellsFailed": 0,
    "Score": 100.0,
    "IsPerfect": true,
    "ImperfectSubstrateKey": null,
    "ImperfectTableKey": null,
    "DisagreeingFieldCount": 0,
    "SubstrateLabel": "Python",
    "SubjectArea": "knowledge"
   },
   {
    "TableConformanceId": "effortless-python|VocabularyTerms",
    "Run": "run-20260913-165336",
    "Substrate": "effortless-python",
    "RulebookTable": "VocabularyTerms",
    "RecordCount": 12,
    "DerivedFieldCount": 5,
    "CellsTested": 60,
    "CellsPassed": 60,
    "IsMissingAnswerFile": false,
    "SemanticTypeIri": "urn:effortless:pko-extension#TableConformance",
    "Name": "effortless-python / VocabularyTerms",
    "CellsFailed": 0,
    "Score": 100.0,
    "IsPerfect": true,
    "ImperfectSubstrateKey": null,
    "ImperfectTableKey": null,
    "DisagreeingFieldCount": 0,
    "SubstrateLabel": "Python",
    "SubjectArea": "knowledge"
   },
   {
    "TableConformanceId": "effortless-python|KnowledgeBrokerLinks",
    "Run": "run-20260913-165336",
    "Substrate": "effortless-python",
    "RulebookTable": "KnowledgeBrokerLinks",
    "RecordCount": 5,
    "DerivedFieldCount": 8,
    "CellsTested": 40,
    "CellsPassed": 40,
    "IsMissingAnswerFile": false,
    "SemanticTypeIri": "urn:effortless:pko-extension#TableConformance",
    "Name": "effortless-python / KnowledgeBrokerLinks",
    "CellsFailed": 0,
    "Score": 100.0,
    "IsPerfect": true,
    "ImperfectSubstrateKey": null,
    "ImperfectTableKey": null,
    "DisagreeingFieldCount": 0,
    "SubstrateLabel": "Python",
    "SubjectArea": "knowledge"
   },
   {
    "TableConformanceId": "effortless-typescript|RulebookReleases",
    "Run": "run-20260913-165336",
    "Substrate": "effortless-typescript",
    "RulebookTable": "RulebookReleases",
    "RecordCount": 1,
    "DerivedFieldCount": 1,
    "CellsTested": 1,
    "CellsPassed": 1,
    "IsMissingAnswerFile": false,
    "SemanticTypeIri": "urn:effortless:pko-extension#TableConformance",
    "Name": "effortless-typescript / RulebookReleases",
    "CellsFailed": 0,
    "Score": 100.0,
    "IsPerfect": true,
    "ImperfectSubstrateKey": null,
    "ImperfectTableKey": null,
    "DisagreeingFieldCount": 0,
    "SubstrateLabel": "TypeScript",
    "SubjectArea": "meta"
   },
   {
    "TableConformanceId": "effortless-typescript|OntologyProfiles",
    "Run": "run-20260913-165336",
    "Substrate": "effortless-typescript",
    "RulebookTable": "OntologyProfiles",
    "RecordCount": 11,
    "DerivedFieldCount": 1,
    "CellsTested": 11,
    "CellsPassed": 11,
    "IsMissingAnswerFile": false,
    "SemanticTypeIri": "urn:effortless:pko-extension#TableConformance",
    "Name": "effortless-typescript / OntologyProfiles",
    "CellsFailed": 0,
    "Score": 100.0,
    "IsPerfect": true,
    "ImperfectSubstrateKey": null,
    "ImperfectTableKey": null,
    "DisagreeingFieldCount": 0,
    "SubstrateLabel": "TypeScript",
    "SubjectArea": "domain"
   },
   {
    "TableConformanceId": "effortless-typescript|EvaluationContexts",
    "Run": "run-20260913-165336",
    "Substrate": "effortless-typescript",
    "RulebookTable": "EvaluationContexts",
    "RecordCount": 1,
    "DerivedFieldCount": 1,
    "CellsTested": 1,
    "CellsPassed": 0,
    "IsMissingAnswerFile": false,
    "SemanticTypeIri": "urn:effortless:pko-extension#TableConformance",
    "Name": "effortless-typescript / EvaluationContexts",
    "CellsFailed": 1,
    "Score": 0.0,
    "IsPerfect": false,
    "ImperfectSubstrateKey": "effortless-typescript",
    "ImperfectTableKey": "EvaluationContexts",
    "DisagreeingFieldCount": 1,
    "SubstrateLabel": "TypeScript",
    "SubjectArea": "meta"
   },
   {
    "TableConformanceId": "effortless-typescript|Organizations",
    "Run": "run-20260913-165336",
    "Substrate": "effortless-typescript",
    "RulebookTable": "Organizations",
    "RecordCount": 4,
    "DerivedFieldCount": 1,
    "CellsTested": 4,
    "CellsPassed": 4,
    "IsMissingAnswerFile": false,
    "SemanticTypeIri": "urn:effortless:pko-extension#TableConformance",
    "Name": "effortless-typescript / Organizations",
    "CellsFailed": 0,
    "Score": 100.0,
    "IsPerfect": true,
    "ImperfectSubstrateKey": null,
    "ImperfectTableKey": null,
    "DisagreeingFieldCount": 0,
    "SubstrateLabel": "TypeScript",
    "SubjectArea": "org"
   },
   {
    "TableConformanceId": "effortless-typescript|Agents",
    "Run": "run-20260913-165336",
    "Substrate": "effortless-typescript",
    "RulebookTable": "Agents",
    "RecordCount": 11,
    "DerivedFieldCount": 16,
    "CellsTested": 176,
    "CellsPassed": 176,
    "IsMissingAnswerFile": false,
    "SemanticTypeIri": "urn:effortless:pko-extension#TableConformance",
    "Name": "effortless-typescript / Agents",
    "CellsFailed": 0,
    "Score": 100.0,
    "IsPerfect": true,
    "ImperfectSubstrateKey": null,
    "ImperfectTableKey": null,
    "DisagreeingFieldCount": 0,
    "SubstrateLabel": "TypeScript",
    "SubjectArea": "org"
   },
   {
    "TableConformanceId": "effortless-typescript|Roles",
    "Run": "run-20260913-165336",
    "Substrate": "effortless-typescript",
    "RulebookTable": "Roles",
    "RecordCount": 12,
    "DerivedFieldCount": 17,
    "CellsTested": 204,
    "CellsPassed": 204,
    "IsMissingAnswerFile": false,
    "SemanticTypeIri": "urn:effortless:pko-extension#TableConformance",
    "Name": "effortless-typescript / Roles",
    "CellsFailed": 0,
    "Score": 100.0,
    "IsPerfect": true,
    "ImperfectSubstrateKey": null,
    "ImperfectTableKey": null,
    "DisagreeingFieldCount": 0,
    "SubstrateLabel": "TypeScript",
    "SubjectArea": "org"
   },
   {
    "TableConformanceId": "effortless-typescript|RoleAssignments",
    "Run": "run-20260913-165336",
    "Substrate": "effortless-typescript",
    "RulebookTable": "RoleAssignments",
    "RecordCount": 13,
    "DerivedFieldCount": 47,
    "CellsTested": 611,
    "CellsPassed": 584,
    "IsMissingAnswerFile": false,
    "SemanticTypeIri": "urn:effortless:pko-extension#TableConformance",
    "Name": "effortless-typescript / RoleAssignments",
    "CellsFailed": 27,
    "Score": 95.58,
    "IsPerfect": false,
    "ImperfectSubstrateKey": "effortless-typescript",
    "ImperfectTableKey": "RoleAssignments",
    "DisagreeingFieldCount": 3,
    "SubstrateLabel": "TypeScript",
    "SubjectArea": "org"
   },
   {
    "TableConformanceId": "effortless-typescript|CommunitiesOfPractice",
    "Run": "run-20260913-165336",
    "Substrate": "effortless-typescript",
    "RulebookTable": "CommunitiesOfPractice",
    "RecordCount": 2,
    "DerivedFieldCount": 1,
    "CellsTested": 2,
    "CellsPassed": 2,
    "IsMissingAnswerFile": false,
    "SemanticTypeIri": "urn:effortless:pko-extension#TableConformance",
    "Name": "effortless-typescript / CommunitiesOfPractice",
    "CellsFailed": 0,
    "Score": 100.0,
    "IsPerfect": true,
    "ImperfectSubstrateKey": null,
    "ImperfectTableKey": null,
    "DisagreeingFieldCount": 0,
    "SubstrateLabel": "TypeScript",
    "SubjectArea": "org"
   },
   {
    "TableConformanceId": "effortless-typescript|Mentorships",
    "Run": "run-20260913-165336",
    "Substrate": "effortless-typescript",
    "RulebookTable": "Mentorships",
    "RecordCount": 1,
    "DerivedFieldCount": 1,
    "CellsTested": 1,
    "CellsPassed": 1,
    "IsMissingAnswerFile": false,
    "SemanticTypeIri": "urn:effortless:pko-extension#TableConformance",
    "Name": "effortless-typescript / Mentorships",
    "CellsFailed": 0,
    "Score": 100.0,
    "IsPerfect": true,
    "ImperfectSubstrateKey": null,
    "ImperfectTableKey": null,
    "DisagreeingFieldCount": 0,
    "SubstrateLabel": "TypeScript",
    "SubjectArea": "org"
   },
   {
    "TableConformanceId": "effortless-typescript|ProcedureTypes",
    "Run": "run-20260913-165336",
    "Substrate": "effortless-typescript",
    "RulebookTable": "ProcedureTypes",
    "RecordCount": 2,
    "DerivedFieldCount": 1,
    "CellsTested": 2,
    "CellsPassed": 2,
    "IsMissingAnswerFile": false,
    "SemanticTypeIri": "urn:effortless:pko-extension#TableConformance",
    "Name": "effortless-typescript / ProcedureTypes",
    "CellsFailed": 0,
    "Score": 100.0,
    "IsPerfect": true,
    "ImperfectSubstrateKey": null,
    "ImperfectTableKey": null,
    "DisagreeingFieldCount": 0,
    "SubstrateLabel": "TypeScript",
    "SubjectArea": "specification"
   },
   {
    "TableConformanceId": "effortless-typescript|Procedures",
    "Run": "run-20260913-165336",
    "Substrate": "effortless-typescript",
    "RulebookTable": "Procedures",
    "RecordCount": 2,
    "DerivedFieldCount": 1,
    "CellsTested": 2,
    "CellsPassed": 2,
    "IsMissingAnswerFile": false,
    "SemanticTypeIri": "urn:effortless:pko-extension#TableConformance",
    "Name": "effortless-typescript / Procedures",
    "CellsFailed": 0,
    "Score": 100.0,
    "IsPerfect": true,
    "ImperfectSubstrateKey": null,
    "ImperfectTableKey": null,
    "DisagreeingFieldCount": 0,
    "SubstrateLabel": "TypeScript",
    "SubjectArea": "specification"
   },
   {
    "TableConformanceId": "effortless-typescript|ProcedureVersions",
    "Run": "run-20260913-165336",
    "Substrate": "effortless-typescript",
    "RulebookTable": "ProcedureVersions",
    "RecordCount": 3,
    "DerivedFieldCount": 72,
    "CellsTested": 216,
    "CellsPassed": 209,
    "IsMissingAnswerFile": false,
    "SemanticTypeIri": "urn:effortless:pko-extension#TableConformance",
    "Name": "effortless-typescript / ProcedureVersions",
    "CellsFailed": 7,
    "Score": 96.76,
    "IsPerfect": false,
    "ImperfectSubstrateKey": "effortless-typescript",
    "ImperfectTableKey": "ProcedureVersions",
    "DisagreeingFieldCount": 3,
    "SubstrateLabel": "TypeScript",
    "SubjectArea": "specification"
   },
   {
    "TableConformanceId": "effortless-typescript|ProcedureVersionLinks",
    "Run": "run-20260913-165336",
    "Substrate": "effortless-typescript",
    "RulebookTable": "ProcedureVersionLinks",
    "RecordCount": 1,
    "DerivedFieldCount": 2,
    "CellsTested": 2,
    "CellsPassed": 2,
    "IsMissingAnswerFile": false,
    "SemanticTypeIri": "urn:effortless:pko-extension#TableConformance",
    "Name": "effortless-typescript / ProcedureVersionLinks",
    "CellsFailed": 0,
    "Score": 100.0,
    "IsPerfect": true,
    "ImperfectSubstrateKey": null,
    "ImperfectTableKey": null,
    "DisagreeingFieldCount": 0,
    "SubstrateLabel": "TypeScript",
    "SubjectArea": "specification"
   },
   {
    "TableConformanceId": "effortless-typescript|ProcedureStatusChanges",
    "Run": "run-20260913-165336",
    "Substrate": "effortless-typescript",
    "RulebookTable": "ProcedureStatusChanges",
    "RecordCount": 5,
    "DerivedFieldCount": 1,
    "CellsTested": 5,
    "CellsPassed": 5,
    "IsMissingAnswerFile": false,
    "SemanticTypeIri": "urn:effortless:pko-extension#TableConformance",
    "Name": "effortless-typescript / ProcedureStatusChanges",
    "CellsFailed": 0,
    "Score": 100.0,
    "IsPerfect": true,
    "ImperfectSubstrateKey": null,
    "ImperfectTableKey": null,
    "DisagreeingFieldCount": 0,
    "SubstrateLabel": "TypeScript",
    "SubjectArea": "specification"
   },
   {
    "TableConformanceId": "effortless-typescript|Steps",
    "Run": "run-20260913-165336",
    "Substrate": "effortless-typescript",
    "RulebookTable": "Steps",
    "RecordCount": 17,
    "DerivedFieldCount": 30,
    "CellsTested": 510,
    "CellsPassed": 510,
    "IsMissingAnswerFile": false,
    "SemanticTypeIri": "urn:effortless:pko-extension#TableConformance",
    "Name": "effortless-typescript / Steps",
    "CellsFailed": 0,
    "Score": 100.0,
    "IsPerfect": true,
    "ImperfectSubstrateKey": null,
    "ImperfectTableKey": null,
    "DisagreeingFieldCount": 0,
    "SubstrateLabel": "TypeScript",
    "SubjectArea": "specification"
   },
   {
    "TableConformanceId": "effortless-typescript|StepTransitions",
    "Run": "run-20260913-165336",
    "Substrate": "effortless-typescript",
    "RulebookTable": "StepTransitions",
    "RecordCount": 19,
    "DerivedFieldCount": 15,
    "CellsTested": 285,
    "CellsPassed": 285,
    "IsMissingAnswerFile": false,
    "SemanticTypeIri": "urn:effortless:pko-extension#TableConformance",
    "Name": "effortless-typescript / StepTransitions",
    "CellsFailed": 0,
    "Score": 100.0,
    "IsPerfect": true,
    "ImperfectSubstrateKey": null,
    "ImperfectTableKey": null,
    "DisagreeingFieldCount": 0,
    "SubstrateLabel": "TypeScript",
    "SubjectArea": "specification"
   },
   {
    "TableConformanceId": "effortless-typescript|Actions",
    "Run": "run-20260913-165336",
    "Substrate": "effortless-typescript",
    "RulebookTable": "Actions",
    "RecordCount": 9,
    "DerivedFieldCount": 1,
    "CellsTested": 9,
    "CellsPassed": 9,
    "IsMissingAnswerFile": false,
    "SemanticTypeIri": "urn:effortless:pko-extension#TableConformance",
    "Name": "effortless-typescript / Actions",
    "CellsFailed": 0,
    "Score": 100.0,
    "IsPerfect": true,
    "ImperfectSubstrateKey": null,
    "ImperfectTableKey": null,
    "DisagreeingFieldCount": 0,
    "SubstrateLabel": "TypeScript",
    "SubjectArea": "specification"
   },
   {
    "TableConformanceId": "effortless-typescript|Functions",
    "Run": "run-20260913-165336",
    "Substrate": "effortless-typescript",
    "RulebookTable": "Functions",
    "RecordCount": 8,
    "DerivedFieldCount": 1,
    "CellsTested": 8,
    "CellsPassed": 8,
    "IsMissingAnswerFile": false,
    "SemanticTypeIri": "urn:effortless:pko-extension#TableConformance",
    "Name": "effortless-typescript / Functions",
    "CellsFailed": 0,
    "Score": 100.0,
    "IsPerfect": true,
    "ImperfectSubstrateKey": null,
    "ImperfectTableKey": null,
    "DisagreeingFieldCount": 0,
    "SubstrateLabel": "TypeScript",
    "SubjectArea": "specification"
   },
   {
    "TableConformanceId": "effortless-typescript|Tools",
    "Run": "run-20260913-165336",
    "Substrate": "effortless-typescript",
    "RulebookTable": "Tools",
    "RecordCount": 8,
    "DerivedFieldCount": 1,
    "CellsTested": 8,
    "CellsPassed": 8,
    "IsMissingAnswerFile": false,
    "SemanticTypeIri": "urn:effortless:pko-extension#TableConformance",
    "Name": "effortless-typescript / Tools",
    "CellsFailed": 0,
    "Score": 100.0,
    "IsPerfect": true,
    "ImperfectSubstrateKey": null,
    "ImperfectTableKey": null,
    "DisagreeingFieldCount": 0,
    "SubstrateLabel": "TypeScript",
    "SubjectArea": "specification"
   },
   {
    "TableConformanceId": "effortless-typescript|StepActions",
    "Run": "run-20260913-165336",
    "Substrate": "effortless-typescript",
    "RulebookTable": "StepActions",
    "RecordCount": 9,
    "DerivedFieldCount": 1,
    "CellsTested": 9,
    "CellsPassed": 9,
    "IsMissingAnswerFile": false,
    "SemanticTypeIri": "urn:effortless:pko-extension#TableConformance",
    "Name": "effortless-typescript / StepActions",
    "CellsFailed": 0,
    "Score": 100.0,
    "IsPerfect": true,
    "ImperfectSubstrateKey": null,
    "ImperfectTableKey": null,
    "DisagreeingFieldCount": 0,
    "SubstrateLabel": "TypeScript",
    "SubjectArea": "specification"
   },
   {
    "TableConformanceId": "effortless-typescript|StepFunctions",
    "Run": "run-20260913-165336",
    "Substrate": "effortless-typescript",
    "RulebookTable": "StepFunctions",
    "RecordCount": 8,
    "DerivedFieldCount": 1,
    "CellsTested": 8,
    "CellsPassed": 8,
    "IsMissingAnswerFile": false,
    "SemanticTypeIri": "urn:effortless:pko-extension#TableConformance",
    "Name": "effortless-typescript / StepFunctions",
    "CellsFailed": 0,
    "Score": 100.0,
    "IsPerfect": true,
    "ImperfectSubstrateKey": null,
    "ImperfectTableKey": null,
    "DisagreeingFieldCount": 0,
    "SubstrateLabel": "TypeScript",
    "SubjectArea": "specification"
   },
   {
    "TableConformanceId": "effortless-typescript|StepTools",
    "Run": "run-20260913-165336",
    "Substrate": "effortless-typescript",
    "RulebookTable": "StepTools",
    "RecordCount": 10,
    "DerivedFieldCount": 1,
    "CellsTested": 10,
    "CellsPassed": 10,
    "IsMissingAnswerFile": false,
    "SemanticTypeIri": "urn:effortless:pko-extension#TableConformance",
    "Name": "effortless-typescript / StepTools",
    "CellsFailed": 0,
    "Score": 100.0,
    "IsPerfect": true,
    "ImperfectSubstrateKey": null,
    "ImperfectTableKey": null,
    "DisagreeingFieldCount": 0,
    "SubstrateLabel": "TypeScript",
    "SubjectArea": "specification"
   },
   {
    "TableConformanceId": "effortless-typescript|Requirements",
    "Run": "run-20260913-165336",
    "Substrate": "effortless-typescript",
    "RulebookTable": "Requirements",
    "RecordCount": 13,
    "DerivedFieldCount": 31,
    "CellsTested": 403,
    "CellsPassed": 400,
    "IsMissingAnswerFile": false,
    "SemanticTypeIri": "urn:effortless:pko-extension#TableConformance",
    "Name": "effortless-typescript / Requirements",
    "CellsFailed": 3,
    "Score": 99.26,
    "IsPerfect": false,
    "ImperfectSubstrateKey": "effortless-typescript",
    "ImperfectTableKey": "Requirements",
    "DisagreeingFieldCount": 1,
    "SubstrateLabel": "TypeScript",
    "SubjectArea": "governance"
   },
   {
    "TableConformanceId": "effortless-typescript|StepRequirements",
    "Run": "run-20260913-165336",
    "Substrate": "effortless-typescript",
    "RulebookTable": "StepRequirements",
    "RecordCount": 15,
    "DerivedFieldCount": 10,
    "CellsTested": 150,
    "CellsPassed": 150,
    "IsMissingAnswerFile": false,
    "SemanticTypeIri": "urn:effortless:pko-extension#TableConformance",
    "Name": "effortless-typescript / StepRequirements",
    "CellsFailed": 0,
    "Score": 100.0,
    "IsPerfect": true,
    "ImperfectSubstrateKey": null,
    "ImperfectTableKey": null,
    "DisagreeingFieldCount": 0,
    "SubstrateLabel": "TypeScript",
    "SubjectArea": "specification"
   },
   {
    "TableConformanceId": "effortless-typescript|StepVerifications",
    "Run": "run-20260913-165336",
    "Substrate": "effortless-typescript",
    "RulebookTable": "StepVerifications",
    "RecordCount": 11,
    "DerivedFieldCount": 1,
    "CellsTested": 11,
    "CellsPassed": 11,
    "IsMissingAnswerFile": false,
    "SemanticTypeIri": "urn:effortless:pko-extension#TableConformance",
    "Name": "effortless-typescript / StepVerifications",
    "CellsFailed": 0,
    "Score": 100.0,
    "IsPerfect": true,
    "ImperfectSubstrateKey": null,
    "ImperfectTableKey": null,
    "DisagreeingFieldCount": 0,
    "SubstrateLabel": "TypeScript",
    "SubjectArea": "specification"
   },
   {
    "TableConformanceId": "effortless-typescript|Rationales",
    "Run": "run-20260913-165336",
    "Substrate": "effortless-typescript",
    "RulebookTable": "Rationales",
    "RecordCount": 4,
    "DerivedFieldCount": 1,
    "CellsTested": 4,
    "CellsPassed": 4,
    "IsMissingAnswerFile": false,
    "SemanticTypeIri": "urn:effortless:pko-extension#TableConformance",
    "Name": "effortless-typescript / Rationales",
    "CellsFailed": 0,
    "Score": 100.0,
    "IsPerfect": true,
    "ImperfectSubstrateKey": null,
    "ImperfectTableKey": null,
    "DisagreeingFieldCount": 0,
    "SubstrateLabel": "TypeScript",
    "SubjectArea": "governance"
   },
   {
    "TableConformanceId": "effortless-typescript|Exceptions",
    "Run": "run-20260913-165336",
    "Substrate": "effortless-typescript",
    "RulebookTable": "Exceptions",
    "RecordCount": 4,
    "DerivedFieldCount": 2,
    "CellsTested": 8,
    "CellsPassed": 8,
    "IsMissingAnswerFile": false,
    "SemanticTypeIri": "urn:effortless:pko-extension#TableConformance",
    "Name": "effortless-typescript / Exceptions",
    "CellsFailed": 0,
    "Score": 100.0,
    "IsPerfect": true,
    "ImperfectSubstrateKey": null,
    "ImperfectTableKey": null,
    "DisagreeingFieldCount": 0,
    "SubstrateLabel": "TypeScript",
    "SubjectArea": "governance"
   },
   {
    "TableConformanceId": "effortless-typescript|Resources",
    "Run": "run-20260913-165336",
    "Substrate": "effortless-typescript",
    "RulebookTable": "Resources",
    "RecordCount": 8,
    "DerivedFieldCount": 2,
    "CellsTested": 16,
    "CellsPassed": 16,
    "IsMissingAnswerFile": false,
    "SemanticTypeIri": "urn:effortless:pko-extension#TableConformance",
    "Name": "effortless-typescript / Resources",
    "CellsFailed": 0,
    "Score": 100.0,
    "IsPerfect": true,
    "ImperfectSubstrateKey": null,
    "ImperfectTableKey": null,
    "DisagreeingFieldCount": 0,
    "SubstrateLabel": "TypeScript",
    "SubjectArea": "domain"
   },
   {
    "TableConformanceId": "effortless-typescript|ProcedureResources",
    "Run": "run-20260913-165336",
    "Substrate": "effortless-typescript",
    "RulebookTable": "ProcedureResources",
    "RecordCount": 8,
    "DerivedFieldCount": 2,
    "CellsTested": 16,
    "CellsPassed": 16,
    "IsMissingAnswerFile": false,
    "SemanticTypeIri": "urn:effortless:pko-extension#TableConformance",
    "Name": "effortless-typescript / ProcedureResources",
    "CellsFailed": 0,
    "Score": 100.0,
    "IsPerfect": true,
    "ImperfectSubstrateKey": null,
    "ImperfectTableKey": null,
    "DisagreeingFieldCount": 0,
    "SubstrateLabel": "TypeScript",
    "SubjectArea": "specification"
   },
   {
    "TableConformanceId": "effortless-typescript|ElicitationSessions",
    "Run": "run-20260913-165336",
    "Substrate": "effortless-typescript",
    "RulebookTable": "ElicitationSessions",
    "RecordCount": 3,
    "DerivedFieldCount": 10,
    "CellsTested": 30,
    "CellsPassed": 25,
    "IsMissingAnswerFile": false,
    "SemanticTypeIri": "urn:effortless:pko-extension#TableConformance",
    "Name": "effortless-typescript / ElicitationSessions",
    "CellsFailed": 5,
    "Score": 83.33,
    "IsPerfect": false,
    "ImperfectSubstrateKey": "effortless-typescript",
    "ImperfectTableKey": "ElicitationSessions",
    "DisagreeingFieldCount": 2,
    "SubstrateLabel": "TypeScript",
    "SubjectArea": "knowledge"
   },
   {
    "TableConformanceId": "effortless-typescript|KnowledgeFragments",
    "Run": "run-20260913-165336",
    "Substrate": "effortless-typescript",
    "RulebookTable": "KnowledgeFragments",
    "RecordCount": 7,
    "DerivedFieldCount": 65,
    "CellsTested": 455,
    "CellsPassed": 445,
    "IsMissingAnswerFile": false,
    "SemanticTypeIri": "urn:effortless:pko-extension#TableConformance",
    "Name": "effortless-typescript / KnowledgeFragments",
    "CellsFailed": 10,
    "Score": 97.8,
    "IsPerfect": false,
    "ImperfectSubstrateKey": "effortless-typescript",
    "ImperfectTableKey": "KnowledgeFragments",
    "DisagreeingFieldCount": 4,
    "SubstrateLabel": "TypeScript",
    "SubjectArea": "knowledge"
   },
   {
    "TableConformanceId": "effortless-typescript|KnowledgeGaps",
    "Run": "run-20260913-165336",
    "Substrate": "effortless-typescript",
    "RulebookTable": "KnowledgeGaps",
    "RecordCount": 8,
    "DerivedFieldCount": 16,
    "CellsTested": 128,
    "CellsPassed": 127,
    "IsMissingAnswerFile": false,
    "SemanticTypeIri": "urn:effortless:pko-extension#TableConformance",
    "Name": "effortless-typescript / KnowledgeGaps",
    "CellsFailed": 1,
    "Score": 99.22,
    "IsPerfect": false,
    "ImperfectSubstrateKey": "effortless-typescript",
    "ImperfectTableKey": "KnowledgeGaps",
    "DisagreeingFieldCount": 1,
    "SubstrateLabel": "TypeScript",
    "SubjectArea": "knowledge"
   },
   {
    "TableConformanceId": "effortless-typescript|FAQs",
    "Run": "run-20260913-165336",
    "Substrate": "effortless-typescript",
    "RulebookTable": "FAQs",
    "RecordCount": 3,
    "DerivedFieldCount": 1,
    "CellsTested": 3,
    "CellsPassed": 3,
    "IsMissingAnswerFile": false,
    "SemanticTypeIri": "urn:effortless:pko-extension#TableConformance",
    "Name": "effortless-typescript / FAQs",
    "CellsFailed": 0,
    "Score": 100.0,
    "IsPerfect": true,
    "ImperfectSubstrateKey": null,
    "ImperfectTableKey": null,
    "DisagreeingFieldCount": 0,
    "SubstrateLabel": "TypeScript",
    "SubjectArea": "knowledge"
   },
   {
    "TableConformanceId": "effortless-typescript|Explanations",
    "Run": "run-20260913-165336",
    "Substrate": "effortless-typescript",
    "RulebookTable": "Explanations",
    "RecordCount": 2,
    "DerivedFieldCount": 1,
    "CellsTested": 2,
    "CellsPassed": 2,
    "IsMissingAnswerFile": false,
    "SemanticTypeIri": "urn:effortless:pko-extension#TableConformance",
    "Name": "effortless-typescript / Explanations",
    "CellsFailed": 0,
    "Score": 100.0,
    "IsPerfect": true,
    "ImperfectSubstrateKey": null,
    "ImperfectTableKey": null,
    "DisagreeingFieldCount": 0,
    "SubstrateLabel": "TypeScript",
    "SubjectArea": "knowledge"
   },
   {
    "TableConformanceId": "effortless-typescript|ProcedureExecutions",
    "Run": "run-20260913-165336",
    "Substrate": "effortless-typescript",
    "RulebookTable": "ProcedureExecutions",
    "RecordCount": 2,
    "DerivedFieldCount": 69,
    "CellsTested": 138,
    "CellsPassed": 138,
    "IsMissingAnswerFile": false,
    "SemanticTypeIri": "urn:effortless:pko-extension#TableConformance",
    "Name": "effortless-typescript / ProcedureExecutions",
    "CellsFailed": 0,
    "Score": 100.0,
    "IsPerfect": true,
    "ImperfectSubstrateKey": null,
    "ImperfectTableKey": null,
    "DisagreeingFieldCount": 0,
    "SubstrateLabel": "TypeScript",
    "SubjectArea": "specification"
   },
   {
    "TableConformanceId": "effortless-typescript|StepExecutions",
    "Run": "run-20260913-165336",
    "Substrate": "effortless-typescript",
    "RulebookTable": "StepExecutions",
    "RecordCount": 12,
    "DerivedFieldCount": 99,
    "CellsTested": 1188,
    "CellsPassed": 1188,
    "IsMissingAnswerFile": false,
    "SemanticTypeIri": "urn:effortless:pko-extension#TableConformance",
    "Name": "effortless-typescript / StepExecutions",
    "CellsFailed": 0,
    "Score": 100.0,
    "IsPerfect": true,
    "ImperfectSubstrateKey": null,
    "ImperfectTableKey": null,
    "DisagreeingFieldCount": 0,
    "SubstrateLabel": "TypeScript",
    "SubjectArea": "specification"
   },
   {
    "TableConformanceId": "effortless-typescript|RequirementSatisfactions",
    "Run": "run-20260913-165336",
    "Substrate": "effortless-typescript",
    "RulebookTable": "RequirementSatisfactions",
    "RecordCount": 8,
    "DerivedFieldCount": 38,
    "CellsTested": 304,
    "CellsPassed": 304,
    "IsMissingAnswerFile": false,
    "SemanticTypeIri": "urn:effortless:pko-extension#TableConformance",
    "Name": "effortless-typescript / RequirementSatisfactions",
    "CellsFailed": 0,
    "Score": 100.0,
    "IsPerfect": true,
    "ImperfectSubstrateKey": null,
    "ImperfectTableKey": null,
    "DisagreeingFieldCount": 0,
    "SubstrateLabel": "TypeScript",
    "SubjectArea": "execution"
   },
   {
    "TableConformanceId": "effortless-typescript|Errors",
    "Run": "run-20260913-165336",
    "Substrate": "effortless-typescript",
    "RulebookTable": "Errors",
    "RecordCount": 2,
    "DerivedFieldCount": 1,
    "CellsTested": 2,
    "CellsPassed": 2,
    "IsMissingAnswerFile": false,
    "SemanticTypeIri": "urn:effortless:pko-extension#TableConformance",
    "Name": "effortless-typescript / Errors",
    "CellsFailed": 0,
    "Score": 100.0,
    "IsPerfect": true,
    "ImperfectSubstrateKey": null,
    "ImperfectTableKey": null,
    "DisagreeingFieldCount": 0,
    "SubstrateLabel": "TypeScript",
    "SubjectArea": "execution"
   },
   {
    "TableConformanceId": "effortless-typescript|IssueOccurrences",
    "Run": "run-20260913-165336",
    "Substrate": "effortless-typescript",
    "RulebookTable": "IssueOccurrences",
    "RecordCount": 2,
    "DerivedFieldCount": 3,
    "CellsTested": 6,
    "CellsPassed": 4,
    "IsMissingAnswerFile": false,
    "SemanticTypeIri": "urn:effortless:pko-extension#TableConformance",
    "Name": "effortless-typescript / IssueOccurrences",
    "CellsFailed": 2,
    "Score": 66.67,
    "IsPerfect": false,
    "ImperfectSubstrateKey": "effortless-typescript",
    "ImperfectTableKey": "IssueOccurrences",
    "DisagreeingFieldCount": 1,
    "SubstrateLabel": "TypeScript",
    "SubjectArea": "execution"
   },
   {
    "TableConformanceId": "effortless-typescript|UserQuestions",
    "Run": "run-20260913-165336",
    "Substrate": "effortless-typescript",
    "RulebookTable": "UserQuestions",
    "RecordCount": 2,
    "DerivedFieldCount": 1,
    "CellsTested": 2,
    "CellsPassed": 2,
    "IsMissingAnswerFile": false,
    "SemanticTypeIri": "urn:effortless:pko-extension#TableConformance",
    "Name": "effortless-typescript / UserQuestions",
    "CellsFailed": 0,
    "Score": 100.0,
    "IsPerfect": true,
    "ImperfectSubstrateKey": null,
    "ImperfectTableKey": null,
    "DisagreeingFieldCount": 0,
    "SubstrateLabel": "TypeScript",
    "SubjectArea": "domain"
   },
   {
    "TableConformanceId": "effortless-typescript|UserFeedback",
    "Run": "run-20260913-165336",
    "Substrate": "effortless-typescript",
    "RulebookTable": "UserFeedback",
    "RecordCount": 2,
    "DerivedFieldCount": 1,
    "CellsTested": 2,
    "CellsPassed": 2,
    "IsMissingAnswerFile": false,
    "SemanticTypeIri": "urn:effortless:pko-extension#TableConformance",
    "Name": "effortless-typescript / UserFeedback",
    "CellsFailed": 0,
    "Score": 100.0,
    "IsPerfect": true,
    "ImperfectSubstrateKey": null,
    "ImperfectTableKey": null,
    "DisagreeingFieldCount": 0,
    "SubstrateLabel": "TypeScript",
    "SubjectArea": "domain"
   },
   {
    "TableConformanceId": "effortless-typescript|StewardshipAssignments",
    "Run": "run-20260913-165336",
    "Substrate": "effortless-typescript",
    "RulebookTable": "StewardshipAssignments",
    "RecordCount": 2,
    "DerivedFieldCount": 5,
    "CellsTested": 10,
    "CellsPassed": 10,
    "IsMissingAnswerFile": false,
    "SemanticTypeIri": "urn:effortless:pko-extension#TableConformance",
    "Name": "effortless-typescript / StewardshipAssignments",
    "CellsFailed": 0,
    "Score": 100.0,
    "IsPerfect": true,
    "ImperfectSubstrateKey": null,
    "ImperfectTableKey": null,
    "DisagreeingFieldCount": 0,
    "SubstrateLabel": "TypeScript",
    "SubjectArea": "org"
   },
   {
    "TableConformanceId": "effortless-typescript|ChangeRequests",
    "Run": "run-20260913-165336",
    "Substrate": "effortless-typescript",
    "RulebookTable": "ChangeRequests",
    "RecordCount": 2,
    "DerivedFieldCount": 32,
    "CellsTested": 64,
    "CellsPassed": 62,
    "IsMissingAnswerFile": false,
    "SemanticTypeIri": "urn:effortless:pko-extension#TableConformance",
    "Name": "effortless-typescript / ChangeRequests",
    "CellsFailed": 2,
    "Score": 96.88,
    "IsPerfect": false,
    "ImperfectSubstrateKey": "effortless-typescript",
    "ImperfectTableKey": "ChangeRequests",
    "DisagreeingFieldCount": 2,
    "SubstrateLabel": "TypeScript",
    "SubjectArea": "domain"
   },
   {
    "TableConformanceId": "effortless-typescript|ReviewEvents",
    "Run": "run-20260913-165336",
    "Substrate": "effortless-typescript",
    "RulebookTable": "ReviewEvents",
    "RecordCount": 3,
    "DerivedFieldCount": 10,
    "CellsTested": 30,
    "CellsPassed": 24,
    "IsMissingAnswerFile": false,
    "SemanticTypeIri": "urn:effortless:pko-extension#TableConformance",
    "Name": "effortless-typescript / ReviewEvents",
    "CellsFailed": 6,
    "Score": 80.0,
    "IsPerfect": false</t>
  </si>
  <si>
    <t xml:space="preserve">,
    "ImperfectSubstrateKey": "effortless-typescript",
    "ImperfectTableKey": "ReviewEvents",
    "DisagreeingFieldCount": 2,
    "SubstrateLabel": "TypeScript",
    "SubjectArea": "domain"
   },
   {
    "TableConformanceId": "effortless-typescript|LearningActivities",
    "Run": "run-20260913-165336",
    "Substrate": "effortless-typescript",
    "RulebookTable": "LearningActivities",
    "RecordCount": 2,
    "DerivedFieldCount": 1,
    "CellsTested": 2,
    "CellsPassed": 0,
    "IsMissingAnswerFile": false,
    "SemanticTypeIri": "urn:effortless:pko-extension#TableConformance",
    "Name": "effortless-typescript / LearningActivities",
    "CellsFailed": 2,
    "Score": 0.0,
    "IsPerfect": false,
    "ImperfectSubstrateKey": "effortless-typescript",
    "ImperfectTableKey": "LearningActivities",
    "DisagreeingFieldCount": 1,
    "SubstrateLabel": "TypeScript",
    "SubjectArea": "domain"
   },
   {
    "TableConformanceId": "effortless-typescript|OperationalBindings",
    "Run": "run-20260913-165336",
    "Substrate": "effortless-typescript",
    "RulebookTable": "OperationalBindings",
    "RecordCount": 5,
    "DerivedFieldCount": 11,
    "CellsTested": 55,
    "CellsPassed": 55,
    "IsMissingAnswerFile": false,
    "SemanticTypeIri": "urn:effortless:pko-extension#TableConformance",
    "Name": "effortless-typescript / OperationalBindings",
    "CellsFailed": 0,
    "Score": 100.0,
    "IsPerfect": true,
    "ImperfectSubstrateKey": null,
    "ImperfectTableKey": null,
    "DisagreeingFieldCount": 0,
    "SubstrateLabel": "TypeScript",
    "SubjectArea": "domain"
   },
   {
    "TableConformanceId": "effortless-typescript|CommunicationPolicies",
    "Run": "run-20260913-165336",
    "Substrate": "effortless-typescript",
    "RulebookTable": "CommunicationPolicies",
    "RecordCount": 2,
    "DerivedFieldCount": 4,
    "CellsTested": 8,
    "CellsPassed": 8,
    "IsMissingAnswerFile": false,
    "SemanticTypeIri": "urn:effortless:pko-extension#TableConformance",
    "Name": "effortless-typescript / CommunicationPolicies",
    "CellsFailed": 0,
    "Score": 100.0,
    "IsPerfect": true,
    "ImperfectSubstrateKey": null,
    "ImperfectTableKey": null,
    "DisagreeingFieldCount": 0,
    "SubstrateLabel": "TypeScript",
    "SubjectArea": "communication"
   },
   {
    "TableConformanceId": "effortless-typescript|MessageTemplates",
    "Run": "run-20260913-165336",
    "Substrate": "effortless-typescript",
    "RulebookTable": "MessageTemplates",
    "RecordCount": 2,
    "DerivedFieldCount": 16,
    "CellsTested": 32,
    "CellsPassed": 32,
    "IsMissingAnswerFile": false,
    "SemanticTypeIri": "urn:effortless:pko-extension#TableConformance",
    "Name": "effortless-typescript / MessageTemplates",
    "CellsFailed": 0,
    "Score": 100.0,
    "IsPerfect": true,
    "ImperfectSubstrateKey": null,
    "ImperfectTableKey": null,
    "DisagreeingFieldCount": 0,
    "SubstrateLabel": "TypeScript",
    "SubjectArea": "communication"
   },
   {
    "TableConformanceId": "effortless-typescript|SemanticMappings",
    "Run": "run-20260913-165336",
    "Substrate": "effortless-typescript",
    "RulebookTable": "SemanticMappings",
    "RecordCount": 47,
    "DerivedFieldCount": 1,
    "CellsTested": 47,
    "CellsPassed": 47,
    "IsMissingAnswerFile": false,
    "SemanticTypeIri": "urn:effortless:pko-extension#TableConformance",
    "Name": "effortless-typescript / SemanticMappings",
    "CellsFailed": 0,
    "Score": 100.0,
    "IsPerfect": true,
    "ImperfectSubstrateKey": null,
    "ImperfectTableKey": null,
    "DisagreeingFieldCount": 0,
    "SubstrateLabel": "TypeScript",
    "SubjectArea": "meta"
   },
   {
    "TableConformanceId": "effortless-typescript|WitnessLoops",
    "Run": "run-20260913-165336",
    "Substrate": "effortless-typescript",
    "RulebookTable": "WitnessLoops",
    "RecordCount": 3,
    "DerivedFieldCount": 3,
    "CellsTested": 9,
    "CellsPassed": 9,
    "IsMissingAnswerFile": false,
    "SemanticTypeIri": "urn:effortless:pko-extension#TableConformance",
    "Name": "effortless-typescript / WitnessLoops",
    "CellsFailed": 0,
    "Score": 100.0,
    "IsPerfect": true,
    "ImperfectSubstrateKey": null,
    "ImperfectTableKey": null,
    "DisagreeingFieldCount": 0,
    "SubstrateLabel": "TypeScript",
    "SubjectArea": "meta"
   },
   {
    "TableConformanceId": "effortless-typescript|RoleQuestions",
    "Run": "run-20260913-165336",
    "Substrate": "effortless-typescript",
    "RulebookTable": "RoleQuestions",
    "RecordCount": 109,
    "DerivedFieldCount": 3,
    "CellsTested": 327,
    "CellsPassed": 327,
    "IsMissingAnswerFile": false,
    "SemanticTypeIri": "urn:effortless:pko-extension#TableConformance",
    "Name": "effortless-typescript / RoleQuestions",
    "CellsFailed": 0,
    "Score": 100.0,
    "IsPerfect": true,
    "ImperfectSubstrateKey": null,
    "ImperfectTableKey": null,
    "DisagreeingFieldCount": 0,
    "SubstrateLabel": "TypeScript",
    "SubjectArea": "org"
   },
   {
    "TableConformanceId": "effortless-typescript|RulebookFields",
    "Run": "run-20260913-165336",
    "Substrate": "effortless-typescript",
    "RulebookTable": "RulebookFields",
    "RecordCount": 1879,
    "DerivedFieldCount": 5,
    "CellsTested": 9395,
    "CellsPassed": 9395,
    "IsMissingAnswerFile": false,
    "SemanticTypeIri": "urn:effortless:pko-extension#TableConformance",
    "Name": "effortless-typescript / RulebookFields",
    "CellsFailed": 0,
    "Score": 100.0,
    "IsPerfect": true,
    "ImperfectSubstrateKey": null,
    "ImperfectTableKey": null,
    "DisagreeingFieldCount": 0,
    "SubstrateLabel": "TypeScript",
    "SubjectArea": "access-control"
   },
   {
    "TableConformanceId": "effortless-typescript|TestSuites",
    "Run": "run-20260913-165336",
    "Substrate": "effortless-typescript",
    "RulebookTable": "TestSuites",
    "RecordCount": 6,
    "DerivedFieldCount": 5,
    "CellsTested": 30,
    "CellsPassed": 30,
    "IsMissingAnswerFile": false,
    "SemanticTypeIri": "urn:effortless:pko-extension#TableConformance",
    "Name": "effortless-typescript / TestSuites",
    "CellsFailed": 0,
    "Score": 100.0,
    "IsPerfect": true,
    "ImperfectSubstrateKey": null,
    "ImperfectTableKey": null,
    "DisagreeingFieldCount": 0,
    "SubstrateLabel": "TypeScript",
    "SubjectArea": "meta"
   },
   {
    "TableConformanceId": "effortless-typescript|TestCases",
    "Run": "run-20260913-165336",
    "Substrate": "effortless-typescript",
    "RulebookTable": "TestCases",
    "RecordCount": 1794,
    "DerivedFieldCount": 7,
    "CellsTested": 12558,
    "CellsPassed": 12558,
    "IsMissingAnswerFile": false,
    "SemanticTypeIri": "urn:effortless:pko-extension#TableConformance",
    "Name": "effortless-typescript / TestCases",
    "CellsFailed": 0,
    "Score": 100.0,
    "IsPerfect": true,
    "ImperfectSubstrateKey": null,
    "ImperfectTableKey": null,
    "DisagreeingFieldCount": 0,
    "SubstrateLabel": "TypeScript",
    "SubjectArea": "meta"
   },
   {
    "TableConformanceId": "effortless-typescript|ExceptionInvocations",
    "Run": "run-20260913-165336",
    "Substrate": "effortless-typescript",
    "RulebookTable": "ExceptionInvocations",
    "RecordCount": 1,
    "DerivedFieldCount": 13,
    "CellsTested": 13,
    "CellsPassed": 13,
    "IsMissingAnswerFile": false,
    "SemanticTypeIri": "urn:effortless:pko-extension#TableConformance",
    "Name": "effortless-typescript / ExceptionInvocations",
    "CellsFailed": 0,
    "Score": 100.0,
    "IsPerfect": true,
    "ImperfectSubstrateKey": null,
    "ImperfectTableKey": null,
    "DisagreeingFieldCount": 0,
    "SubstrateLabel": "TypeScript",
    "SubjectArea": "governance"
   },
   {
    "TableConformanceId": "effortless-typescript|VerificationOutcomes",
    "Run": "run-20260913-165336",
    "Substrate": "effortless-typescript",
    "RulebookTable": "VerificationOutcomes",
    "RecordCount": 4,
    "DerivedFieldCount": 18,
    "CellsTested": 72,
    "CellsPassed": 72,
    "IsMissingAnswerFile": false,
    "SemanticTypeIri": "urn:effortless:pko-extension#TableConformance",
    "Name": "effortless-typescript / VerificationOutcomes",
    "CellsFailed": 0,
    "Score": 100.0,
    "IsPerfect": true,
    "ImperfectSubstrateKey": null,
    "ImperfectTableKey": null,
    "DisagreeingFieldCount": 0,
    "SubstrateLabel": "TypeScript",
    "SubjectArea": "execution"
   },
   {
    "TableConformanceId": "effortless-typescript|ObservedTransitions",
    "Run": "run-20260913-165336",
    "Substrate": "effortless-typescript",
    "RulebookTable": "ObservedTransitions",
    "RecordCount": 10,
    "DerivedFieldCount": 1,
    "CellsTested": 10,
    "CellsPassed": 0,
    "IsMissingAnswerFile": false,
    "SemanticTypeIri": "urn:effortless:pko-extension#TableConformance",
    "Name": "effortless-typescript / ObservedTransitions",
    "CellsFailed": 10,
    "Score": 0.0,
    "IsPerfect": false,
    "ImperfectSubstrateKey": "effortless-typescript",
    "ImperfectTableKey": "ObservedTransitions",
    "DisagreeingFieldCount": 1,
    "SubstrateLabel": "TypeScript",
    "SubjectArea": "specification"
   },
   {
    "TableConformanceId": "effortless-typescript|Recipients",
    "Run": "run-20260913-165336",
    "Substrate": "effortless-typescript",
    "RulebookTable": "Recipients",
    "RecordCount": 5,
    "DerivedFieldCount": 6,
    "CellsTested": 30,
    "CellsPassed": 30,
    "IsMissingAnswerFile": false,
    "SemanticTypeIri": "urn:effortless:pko-extension#TableConformance",
    "Name": "effortless-typescript / Recipients",
    "CellsFailed": 0,
    "Score": 100.0,
    "IsPerfect": true,
    "ImperfectSubstrateKey": null,
    "ImperfectTableKey": null,
    "DisagreeingFieldCount": 0,
    "SubstrateLabel": "TypeScript",
    "SubjectArea": "communication"
   },
   {
    "TableConformanceId": "effortless-typescript|MessageDeliveries",
    "Run": "run-20260913-165336",
    "Substrate": "effortless-typescript",
    "RulebookTable": "MessageDeliveries",
    "RecordCount": 6,
    "DerivedFieldCount": 74,
    "CellsTested": 444,
    "CellsPassed": 420,
    "IsMissingAnswerFile": false,
    "SemanticTypeIri": "urn:effortless:pko-extension#TableConformance",
    "Name": "effortless-typescript / MessageDeliveries",
    "CellsFailed": 24,
    "Score": 94.59,
    "IsPerfect": false,
    "ImperfectSubstrateKey": "effortless-typescript",
    "ImperfectTableKey": "MessageDeliveries",
    "DisagreeingFieldCount": 5,
    "SubstrateLabel": "TypeScript",
    "SubjectArea": "communication"
   },
   {
    "TableConformanceId": "effortless-typescript|TemplateApprovals",
    "Run": "run-20260913-165336",
    "Substrate": "effortless-typescript",
    "RulebookTable": "TemplateApprovals",
    "RecordCount": 2,
    "DerivedFieldCount": 6,
    "CellsTested": 12,
    "CellsPassed": 10,
    "IsMissingAnswerFile": false,
    "SemanticTypeIri": "urn:effortless:pko-extension#TableConformance",
    "Name": "effortless-typescript / TemplateApprovals",
    "CellsFailed": 2,
    "Score": 83.33,
    "IsPerfect": false,
    "ImperfectSubstrateKey": "effortless-typescript",
    "ImperfectTableKey": "TemplateApprovals",
    "DisagreeingFieldCount": 1,
    "SubstrateLabel": "TypeScript",
    "SubjectArea": "communication"
   },
   {
    "TableConformanceId": "effortless-typescript|SendIntents",
    "Run": "run-20260913-165336",
    "Substrate": "effortless-typescript",
    "RulebookTable": "SendIntents",
    "RecordCount": 7,
    "DerivedFieldCount": 79,
    "CellsTested": 553,
    "CellsPassed": 546,
    "IsMissingAnswerFile": false,
    "SemanticTypeIri": "urn:effortless:pko-extension#TableConformance",
    "Name": "effortless-typescript / SendIntents",
    "CellsFailed": 7,
    "Score": 98.73,
    "IsPerfect": false,
    "ImperfectSubstrateKey": "effortless-typescript",
    "ImperfectTableKey": "SendIntents",
    "DisagreeingFieldCount": 1,
    "SubstrateLabel": "TypeScript",
    "SubjectArea": "communication"
   },
   {
    "TableConformanceId": "effortless-typescript|AgentDecisionRecords",
    "Run": "run-20260913-165336",
    "Substrate": "effortless-typescript",
    "RulebookTable": "AgentDecisionRecords",
    "RecordCount": 3,
    "DerivedFieldCount": 27,
    "CellsTested": 81,
    "CellsPassed": 81,
    "IsMissingAnswerFile": false,
    "SemanticTypeIri": "urn:effortless:pko-extension#TableConformance",
    "Name": "effortless-typescript / AgentDecisionRecords",
    "CellsFailed": 0,
    "Score": 100.0,
    "IsPerfect": true,
    "ImperfectSubstrateKey": null,
    "ImperfectTableKey": null,
    "DisagreeingFieldCount": 0,
    "SubstrateLabel": "TypeScript",
    "SubjectArea": "org"
   },
   {
    "TableConformanceId": "effortless-typescript|DeliveredCommunications",
    "Run": "run-20260913-165336",
    "Substrate": "effortless-typescript",
    "RulebookTable": "DeliveredCommunications",
    "RecordCount": 1,
    "DerivedFieldCount": 6,
    "CellsTested": 6,
    "CellsPassed": 5,
    "IsMissingAnswerFile": false,
    "SemanticTypeIri": "urn:effortless:pko-extension#TableConformance",
    "Name": "effortless-typescript / DeliveredCommunications",
    "CellsFailed": 1,
    "Score": 83.33,
    "IsPerfect": false,
    "ImperfectSubstrateKey": "effortless-typescript",
    "ImperfectTableKey": "DeliveredCommunications",
    "DisagreeingFieldCount": 1,
    "SubstrateLabel": "TypeScript",
    "SubjectArea": "communication"
   },
   {
    "TableConformanceId": "effortless-typescript|AuthorityBoundaries",
    "Run": "run-20260913-165336",
    "Substrate": "effortless-typescript",
    "RulebookTable": "AuthorityBoundaries",
    "RecordCount": 3,
    "DerivedFieldCount": 21,
    "CellsTested": 63,
    "CellsPassed": 63,
    "IsMissingAnswerFile": false,
    "SemanticTypeIri": "urn:effortless:pko-extension#TableConformance",
    "Name": "effortless-typescript / AuthorityBoundaries",
    "CellsFailed": 0,
    "Score": 100.0,
    "IsPerfect": true,
    "ImperfectSubstrateKey": null,
    "ImperfectTableKey": null,
    "DisagreeingFieldCount": 0,
    "SubstrateLabel": "TypeScript",
    "SubjectArea": "governance"
   },
   {
    "TableConformanceId": "effortless-typescript|AppRoleProfiles",
    "Run": "run-20260913-165336",
    "Substrate": "effortless-typescript",
    "RulebookTable": "AppRoleProfiles",
    "RecordCount": 12,
    "DerivedFieldCount": 2,
    "CellsTested": 24,
    "CellsPassed": 24,
    "IsMissingAnswerFile": false,
    "SemanticTypeIri": "urn:effortless:pko-extension#TableConformance",
    "Name": "effortless-typescript / AppRoleProfiles",
    "CellsFailed": 0,
    "Score": 100.0,
    "IsPerfect": true,
    "ImperfectSubstrateKey": null,
    "ImperfectTableKey": null,
    "DisagreeingFieldCount": 0,
    "SubstrateLabel": "TypeScript",
    "SubjectArea": "org"
   },
   {
    "TableConformanceId": "effortless-typescript|AppNavGroups",
    "Run": "run-20260913-165336",
    "Substrate": "effortless-typescript",
    "RulebookTable": "AppNavGroups",
    "RecordCount": 23,
    "DerivedFieldCount": 2,
    "CellsTested": 46,
    "CellsPassed": 46,
    "IsMissingAnswerFile": false,
    "SemanticTypeIri": "urn:effortless:pko-extension#TableConformance",
    "Name": "effortless-typescript / AppNavGroups",
    "CellsFailed": 0,
    "Score": 100.0,
    "IsPerfect": true,
    "ImperfectSubstrateKey": null,
    "ImperfectTableKey": null,
    "DisagreeingFieldCount": 0,
    "SubstrateLabel": "TypeScript",
    "SubjectArea": "application"
   },
   {
    "TableConformanceId": "effortless-typescript|AppRoutes",
    "Run": "run-20260913-165336",
    "Substrate": "effortless-typescript",
    "RulebookTable": "AppRoutes",
    "RecordCount": 149,
    "DerivedFieldCount": 7,
    "CellsTested": 1043,
    "CellsPassed": 1043,
    "IsMissingAnswerFile": false,
    "SemanticTypeIri": "urn:effortless:pko-extension#TableConformance",
    "Name": "effortless-typescript / AppRoutes",
    "CellsFailed": 0,
    "Score": 100.0,
    "IsPerfect": true,
    "ImperfectSubstrateKey": null,
    "ImperfectTableKey": null,
    "DisagreeingFieldCount": 0,
    "SubstrateLabel": "TypeScript",
    "SubjectArea": "application"
   },
   {
    "TableConformanceId": "effortless-typescript|AppRouteQuestions",
    "Run": "run-20260913-165336",
    "Substrate": "effortless-typescript",
    "RulebookTable": "AppRouteQuestions",
    "RecordCount": 151,
    "DerivedFieldCount": 1,
    "CellsTested": 151,
    "CellsPassed": 151,
    "IsMissingAnswerFile": false,
    "SemanticTypeIri": "urn:effortless:pko-extension#TableConformance",
    "Name": "effortless-typescript / AppRouteQuestions",
    "CellsFailed": 0,
    "Score": 100.0,
    "IsPerfect": true,
    "ImperfectSubstrateKey": null,
    "ImperfectTableKey": null,
    "DisagreeingFieldCount": 0,
    "SubstrateLabel": "TypeScript",
    "SubjectArea": "application"
   },
   {
    "TableConformanceId": "effortless-typescript|AppRouteReferences",
    "Run": "run-20260913-165336",
    "Substrate": "effortless-typescript",
    "RulebookTable": "AppRouteReferences",
    "RecordCount": 315,
    "DerivedFieldCount": 1,
    "CellsTested": 315,
    "CellsPassed": 315,
    "IsMissingAnswerFile": false,
    "SemanticTypeIri": "urn:effortless:pko-extension#TableConformance",
    "Name": "effortless-typescript / AppRouteReferences",
    "CellsFailed": 0,
    "Score": 100.0,
    "IsPerfect": true,
    "ImperfectSubstrateKey": null,
    "ImperfectTableKey": null,
    "DisagreeingFieldCount": 0,
    "SubstrateLabel": "TypeScript",
    "SubjectArea": "application"
   },
   {
    "TableConformanceId": "effortless-typescript|RulebookTables",
    "Run": "run-20260913-165336",
    "Substrate": "effortless-typescript",
    "RulebookTable": "RulebookTables",
    "RecordCount": 92,
    "DerivedFieldCount": 5,
    "CellsTested": 460,
    "CellsPassed": 460,
    "IsMissingAnswerFile": false,
    "SemanticTypeIri": "urn:effortless:pko-extension#TableConformance",
    "Name": "effortless-typescript / RulebookTables",
    "CellsFailed": 0,
    "Score": 100.0,
    "IsPerfect": true,
    "ImperfectSubstrateKey": null,
    "ImperfectTableKey": null,
    "DisagreeingFieldCount": 0,
    "SubstrateLabel": "TypeScript",
    "SubjectArea": "meta"
   },
   {
    "TableConformanceId": "effortless-typescript|AccessPrincipals",
    "Run": "run-20260913-165336",
    "Substrate": "effortless-typescript",
    "RulebookTable": "AccessPrincipals",
    "RecordCount": 12,
    "DerivedFieldCount": 8,
    "CellsTested": 96,
    "CellsPassed": 96,
    "IsMissingAnswerFile": false,
    "SemanticTypeIri": "urn:effortless:pko-extension#TableConformance",
    "Name": "effortless-typescript / AccessPrincipals",
    "CellsFailed": 0,
    "Score": 100.0,
    "IsPerfect": true,
    "ImperfectSubstrateKey": null,
    "ImperfectTableKey": null,
    "DisagreeingFieldCount": 0,
    "SubstrateLabel": "TypeScript",
    "SubjectArea": "access-control"
   },
   {
    "TableConformanceId": "effortless-typescript|AccessPolicies",
    "Run": "run-20260913-165336",
    "Substrate": "effortless-typescript",
    "RulebookTable": "AccessPolicies",
    "RecordCount": 202,
    "DerivedFieldCount": 7,
    "CellsTested": 1414,
    "CellsPassed": 1414,
    "IsMissingAnswerFile": false,
    "SemanticTypeIri": "urn:effortless:pko-extension#TableConformance",
    "Name": "effortless-typescript / AccessPolicies",
    "CellsFailed": 0,
    "Score": 100.0,
    "IsPerfect": true,
    "ImperfectSubstrateKey": null,
    "ImperfectTableKey": null,
    "DisagreeingFieldCount": 0,
    "SubstrateLabel": "TypeScript",
    "SubjectArea": "access-control"
   },
   {
    "TableConformanceId": "effortless-typescript|FieldGrants",
    "Run": "run-20260913-165336",
    "Substrate": "effortless-typescript",
    "RulebookTable": "FieldGrants",
    "RecordCount": 3639,
    "DerivedFieldCount": 7,
    "CellsTested": 25473,
    "CellsPassed": 25473,
    "IsMissingAnswerFile": false,
    "SemanticTypeIri": "urn:effortless:pko-extension#TableConformance",
    "Name": "effortless-typescript / FieldGrants",
    "CellsFailed": 0,
    "Score": 100.0,
    "IsPerfect": true,
    "ImperfectSubstrateKey": null,
    "ImperfectTableKey": null,
    "DisagreeingFieldCount": 0,
    "SubstrateLabel": "TypeScript",
    "SubjectArea": "access-control"
   },
   {
    "TableConformanceId": "effortless-typescript|RoleSchemas",
    "Run": "run-20260913-165336",
    "Substrate": "effortless-typescript",
    "RulebookTable": "RoleSchemas",
    "RecordCount": 12,
    "DerivedFieldCount": 4,
    "CellsTested": 48,
    "CellsPassed": 48,
    "IsMissingAnswerFile": false,
    "SemanticTypeIri": "urn:effortless:pko-extension#TableConformance",
    "Name": "effortless-typescript / RoleSchemas",
    "CellsFailed": 0,
    "Score": 100.0,
    "IsPerfect": true,
    "ImperfectSubstrateKey": null,
    "ImperfectTableKey": null,
    "DisagreeingFieldCount": 0,
    "SubstrateLabel": "TypeScript",
    "SubjectArea": "org"
   },
   {
    "TableConformanceId": "effortless-typescript|RoleSchemaViews",
    "Run": "run-20260913-165336",
    "Substrate": "effortless-typescript",
    "RulebookTable": "RoleSchemaViews",
    "RecordCount": 202,
    "DerivedFieldCount": 8,
    "CellsTested": 1616,
    "CellsPassed": 1616,
    "IsMissingAnswerFile": false,
    "SemanticTypeIri": "urn:effortless:pko-extension#TableConformance",
    "Name": "effortless-typescript / RoleSchemaViews",
    "CellsFailed": 0,
    "Score": 100.0,
    "IsPerfect": true,
    "ImperfectSubstrateKey": null,
    "ImperfectTableKey": null,
    "DisagreeingFieldCount": 0,
    "SubstrateLabel": "TypeScript",
    "SubjectArea": "org"
   },
   {
    "TableConformanceId": "effortless-typescript|JwtClaimMappings",
    "Run": "run-20260913-165336",
    "Substrate": "effortless-typescript",
    "RulebookTable": "JwtClaimMappings",
    "RecordCount": 4,
    "DerivedFieldCount": 2,
    "CellsTested": 8,
    "CellsPassed": 8,
    "IsMissingAnswerFile": false,
    "SemanticTypeIri": "urn:effortless:pko-extension#TableConformance",
    "Name": "effortless-typescript / JwtClaimMappings",
    "CellsFailed": 0,
    "Score": 100.0,
    "IsPerfect": true,
    "ImperfectSubstrateKey": null,
    "ImperfectTableKey": null,
    "DisagreeingFieldCount": 0,
    "SubstrateLabel": "TypeScript",
    "SubjectArea": "access-control"
   },
   {
    "TableConformanceId": "effortless-typescript|AccessDenialTests",
    "Run": "run-20260913-165336",
    "Substrate": "effortless-typescript",
    "RulebookTable": "AccessDenialTests",
    "RecordCount": 17,
    "DerivedFieldCount": 6,
    "CellsTested": 102,
    "CellsPassed": 102,
    "IsMissingAnswerFile": false,
    "SemanticTypeIri": "urn:effortless:pko-extension#TableConformance",
    "Name": "effortless-typescript / AccessDenialTests",
    "CellsFailed": 0,
    "Score": 100.0,
    "IsPerfect": true,
    "ImperfectSubstrateKey": null,
    "ImperfectTableKey": null,
    "DisagreeingFieldCount": 0,
    "SubstrateLabel": "TypeScript",
    "SubjectArea": "access-control"
   },
   {
    "TableConformanceId": "effortless-typescript|AppUsers",
    "Run": "run-20260913-165336",
    "Substrate": "effortless-typescript",
    "RulebookTable": "AppUsers",
    "RecordCount": 10,
    "DerivedFieldCount": 7,
    "CellsTested": 70,
    "CellsPassed": 70,
    "IsMissingAnswerFile": false,
    "SemanticTypeIri": "urn:effortless:pko-extension#TableConformance",
    "Name": "effortless-typescript / AppUsers",
    "CellsFailed": 0,
    "Score": 100.0,
    "IsPerfect": true,
    "ImperfectSubstrateKey": null,
    "ImperfectTableKey": null,
    "DisagreeingFieldCount": 0,
    "SubstrateLabel": "TypeScript",
    "SubjectArea": null
   },
   {
    "TableConformanceId": "effortless-typescript|PrincipalAssignments",
    "Run": "run-20260913-165336",
    "Substrate": "effortless-typescript",
    "RulebookTable": "PrincipalAssignments",
    "RecordCount": 12,
    "DerivedFieldCount": 5,
    "CellsTested": 60,
    "CellsPassed": 60,
    "IsMissingAnswerFile": false,
    "SemanticTypeIri": "urn:effortless:pko-extension#TableConformance",
    "Name": "effortless-typescript / PrincipalAssignments",
    "CellsFailed": 0,
    "Score": 100.0,
    "IsPerfect": true,
    "ImperfectSubstrateKey": null,
    "ImperfectTableKey": null,
    "DisagreeingFieldCount": 0,
    "SubstrateLabel": "TypeScript",
    "SubjectArea": null
   },
   {
    "TableConformanceId": "effortless-typescript|ProcessMiningRuns",
    "Run": "run-20260913-165336",
    "Substrate": "effortless-typescript",
    "RulebookTable": "ProcessMiningRuns",
    "RecordCount": 4,
    "DerivedFieldCount": 10,
    "CellsTested": 40,
    "CellsPassed": 36,
    "IsMissingAnswerFile": false,
    "SemanticTypeIri": "urn:effortless:pko-extension#TableConformance",
    "Name": "effortless-typescript / ProcessMiningRuns",
    "CellsFailed": 4,
    "Score": 90.0,
    "IsPerfect": false,
    "ImperfectSubstrateKey": "effortless-typescript",
    "ImperfectTableKey": "ProcessMiningRuns",
    "DisagreeingFieldCount": 1,
    "SubstrateLabel": "TypeScript",
    "SubjectArea": "knowledge"
   },
   {
    "TableConformanceId": "effortless-typescript|Vocabularies",
    "Run": "run-20260913-165336",
    "Substrate": "effortless-typescript",
    "RulebookTable": "Vocabularies",
    "RecordCount": 2,
    "DerivedFieldCount": 4,
    "CellsTested": 8,
    "CellsPassed": 8,
    "IsMissingAnswerFile": false,
    "SemanticTypeIri": "urn:effortless:pko-extension#TableConformance",
    "Name": "effortless-typescript / Vocabularies",
    "CellsFailed": 0,
    "Score": 100.0,
    "IsPerfect": true,
    "ImperfectSubstrateKey": null,
    "ImperfectTableKey": null,
    "DisagreeingFieldCount": 0,
    "SubstrateLabel": "TypeScript",
    "SubjectArea": "knowledge"
   },
   {
    "TableConformanceId": "effortless-typescript|VocabularyTerms",
    "Run": "run-20260913-165336",
    "Substrate": "effortless-typescript",
    "RulebookTable": "VocabularyTerms",
    "RecordCount": 12,
    "DerivedFieldCount": 5,
    "CellsTested": 60,
    "CellsPassed": 60,
    "IsMissingAnswerFile": false,
    "SemanticTypeIri": "urn:effortless:pko-extension#TableConformance",
    "Name": "effortless-typescript / VocabularyTerms",
    "CellsFailed": 0,
    "Score": 100.0,
    "IsPerfect": true,
    "ImperfectSubstrateKey": null,
    "ImperfectTableKey": null,
    "DisagreeingFieldCount": 0,
    "SubstrateLabel": "TypeScript",
    "SubjectArea": "knowledge"
   },
   {
    "TableConformanceId": "effortless-typescript|KnowledgeBrokerLinks",
    "Run": "run-20260913-165336",
    "Substrate": "effortless-typescript",
    "RulebookTable": "KnowledgeBrokerLinks",
    "RecordCount": 5,
    "DerivedFieldCount": 8,
    "CellsTested": 40,
    "CellsPassed": 40,
    "IsMissingAnswerFile": false,
    "SemanticTypeIri": "urn:effortless:pko-extension#TableConformance",
    "Name": "effortless-typescript / KnowledgeBrokerLinks",
    "CellsFailed": 0,
    "Score": 100.0,
    "IsPerfect": true,
    "ImperfectSubstrateKey": null,
    "ImperfectTableKey": null,
    "DisagreeingFieldCount": 0,
    "SubstrateLabel": "TypeScript",
    "SubjectArea": "knowledge"
   }
  ]
 },
 "FieldDisagreements": {
  "Description": "Latest run only: a derived field on which one substrate got at least one cell wrong. A field with no row here agreed everywhere. CellsFailed is the true count; CellDisagreements holds a sample of the cells.",
  "important": true,
  "schema": [
   {
    "name": "FieldDisagreementId",
    "datatype": "string",
    "type": "raw",
    "nullable": false,
    "Description": "Stored logical identifier: '&lt;substrate&gt;|&lt;Table&gt;.&lt;Field&gt;'."
   },
   {
    "name": "Name",
    "datatype": "string",
    "type": "calculated",
    "nullable": true,
    "Description": "Human-readable calculated display alias.",
    "formula": "=CONCAT({{Substrate}}, \" / \", {{RulebookField}})"
   },
   {
    "name": "Substrate",
    "datatype": "string",
    "type": "relationship",
    "nullable": true,
    "Description": "The substrate that disagreed.",
    "RelatedTo": "ConformanceSubstrates"
   },
   {
    "name": "RulebookField",
    "datatype": "string",
    "type": "relationship",
    "nullable": true,
    "Description": "The field it disagreed on.",
    "RelatedTo": "RulebookFields"
   },
   {
    "name": "TableConformance",
    "datatype": "string",
    "type": "relationship",
    "nullable": true,
    "Description": "The substrate-by-table row this field belongs to.",
    "RelatedTo": "TableConformance"
   },
   {
    "name": "FieldClass",
    "datatype": "string",
    "type": "raw",
    "nullable": true,
    "Description": "calculated, lookup or aggregation."
   },
   {
    "name": "CellsFailed",
    "datatype": "number",
    "type": "raw",
    "nullable": true,
    "Description": "Every cell of this field the substrate got wrong, not just the sampled ones."
   },
   {
    "name": "DominantReason",
    "datatype": "string",
    "type": "raw",
    "nullable": true,
    "Description": "The harness's most frequent reason: 'wrong/null value', 'missing record' or 'missing entity file'."
   },
   {
    "name": "SampledCellCount",
    "datatype": "number",
    "type": "aggregation",
    "nullable": true,
    "Description": "Failing cells recorded as CellDisagreements rows.",
    "formula": "=COUNTIFS(CellDisagreements!{{FieldDisagreement}}, {{FieldDisagreementId}})"
   },
   {
    "name": "IsFullySampled",
    "datatype": "boolean",
    "type": "calculated",
    "nullable": true,
    "Description": "True when every failing cell is recorded, not just a sample.",
    "formula": "={{SampledCellCount}} = {{CellsFailed}}"
   },
   {
    "name": "Formula",
    "datatype": "string",
    "type": "lookup",
    "nullable": true,
    "Description": "The formula every substrate was asked to compute, shown as evidence.",
    "formula": "=INDEX(RulebookFields!{{Formula}}, MATCH({{RulebookField}}, RulebookFields!{{RulebookFieldId}},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"FieldDisagreementId": "effortless-postgres|EvaluationContexts.Name",
    "Substrate": "effortless-postgres",
    "RulebookField": "EvaluationContexts.Name",
    "TableConformance": "effortless-postgres|EvaluationContexts",
    "FieldClass": "calculated",
    "CellsFailed": 1,
    "DominantReason": "wrong/null value",
    "SemanticTypeIri": "urn:effortless:pko-extension#FieldDisagreement",
    "Name": "effortless-postgres / EvaluationContexts.Name",
    "SampledCellCount": 1,
    "IsFullySampled": true,
    "Formula": "={{Label}} &amp; \" @ \" &amp; {{AsOfInstant}}",
    "SubstrateLabel": "PostgreSQL"
   },
   {
    "FieldDisagreementId": "effortless-postgres|RoleAssignments.Name",
    "Substrate": "effortless-postgres",
    "RulebookField": "RoleAssignments.Name",
    "TableConformance": "effortless-postgres|RoleAssignments",
    "FieldClass": "calculated",
    "CellsFailed": 13,
    "DominantReason": "wrong/null value",
    "SemanticTypeIri": "urn:effortless:pko-extension#FieldDisagreement",
    "Name": "effortless-postgres / RoleAssignments.Name",
    "SampledCellCount": 13,
    "IsFullySampled": true,
    "Formula": "={{Role}} &amp; \" @ \" &amp; {{ValidFrom}}",
    "SubstrateLabel": "PostgreSQL"
   },
   {
    "FieldDisagreementId": "effortless-postgres|RoleAssignments.QualityVerdictIsUnsupported",
    "Substrate": "effortless-postgres",
    "RulebookField": "RoleAssignments.QualityVerdictIsUnsupported",
    "TableConformance": "effortless-postgres|RoleAssignments",
    "FieldClass": "calculated",
    "CellsFailed": 13,
    "DominantReason": "wrong/null value",
    "SemanticTypeIri": "urn:effortless:pko-extension#FieldDisagreement",
    "Name": "effortless-postgres / RoleAssignments.QualityVerdictIsUnsupported",
    "SampledCellCount": 13,
    "IsFullySampled": true,
    "Formula": "=AND(NOT({{ComparisonIsEvidentiallySound}}), NOT({{QualityRegressedVsPredecessor}}))",
    "SubstrateLabel": "PostgreSQL"
   },
   {
    "FieldDisagreementId": "effortless-postgres|RoleAssignments.IsUnmeasuredAutomationHandover",
    "Substrate": "effortless-postgres",
    "RulebookField": "RoleAssignments.IsUnmeasuredAutomationHandover",
    "TableConformance": "effortless-postgres|RoleAssignments",
    "FieldClass": "calculated",
    "CellsFailed": 1,
    "DominantReason": "wrong/null value",
    "SemanticTypeIri": "urn:effortless:pko-extension#FieldDisagreement",
    "Name</t>
  </si>
  <si>
    <t xml:space="preserve">": "effortless-postgres / RoleAssignments.IsUnmeasuredAutomationHandover",
    "SampledCellCount": 1,
    "IsFullySampled": true,
    "Formula": "=AND({{IsHumanToNonHumanHandover}}, NOT({{ComparisonIsEvidentiallySound}}))",
    "SubstrateLabel": "PostgreSQL"
   },
   {
    "FieldDisagreementId": "effortless-postgres|ProcedureVersions.DaysSinceModified",
    "Substrate": "effortless-postgres",
    "RulebookField": "ProcedureVersions.DaysSinceModified",
    "TableConformance": "effortless-postgres|ProcedureVersions",
    "FieldClass": "calculated",
    "CellsFailed": 3,
    "DominantReason": "wrong/null value",
    "SemanticTypeIri": "urn:effortless:pko-extension#FieldDisagreement",
    "Name": "effortless-postgres / ProcedureVersions.DaysSinceModified",
    "SampledCellCount": 3,
    "IsFullySampled": true,
    "Formula": "=DATETIME_DIFF({{AsOfInstant}}, {{ModifiedAt}}, \"days\")",
    "SubstrateLabel": "PostgreSQL"
   },
   {
    "FieldDisagreementId": "effortless-postgres|ProcedureVersions.WasModifiedSinceLastReview",
    "Substrate": "effortless-postgres",
    "RulebookField": "ProcedureVersions.WasModifiedSinceLastReview",
    "TableConformance": "effortless-postgres|ProcedureVersions",
    "FieldClass": "calculated",
    "CellsFailed": 2,
    "DominantReason": "wrong/null value",
    "SemanticTypeIri": "urn:effortless:pko-extension#FieldDisagreement",
    "Name": "effortless-postgres / ProcedureVersions.WasModifiedSinceLastReview",
    "SampledCellCount": 2,
    "IsFullySampled": true,
    "Formula": "={{DaysSinceModified}} &lt; {{DaysSinceLastReview}}",
    "SubstrateLabel": "PostgreSQL"
   },
   {
    "FieldDisagreementId": "effortless-postgres|ProcedureVersions.HasUnwitnessedChange",
    "Substrate": "effortless-postgres",
    "RulebookField": "ProcedureVersions.HasUnwitnessedChange",
    "TableConformance": "effortless-postgres|ProcedureVersions",
    "FieldClass": "calculated",
    "CellsFailed": 2,
    "DominantReason": "wrong/null value",
    "SemanticTypeIri": "urn:effortless:pko-extension#FieldDisagreement",
    "Name": "effortless-postgres / ProcedureVersions.HasUnwitnessedChange",
    "SampledCellCount": 2,
    "IsFullySampled": true,
    "Formula": "=AND({{IsLive}}, {{WasModifiedSinceLastReview}})",
    "SubstrateLabel": "PostgreSQL"
   },
   {
    "FieldDisagreementId": "effortless-postgres|Requirements.IsUntestedWitness",
    "Substrate": "effortless-postgres",
    "RulebookField": "Requirements.IsUntestedWitness",
    "TableConformance": "effortless-postgres|Requirements",
    "FieldClass": "calculated",
    "CellsFailed": 3,
    "DominantReason": "wrong/null value",
    "SemanticTypeIri": "urn:effortless:pko-extension#FieldDisagreement",
    "Name": "effortless-postgres / Requirements.IsUntestedWitness",
    "SampledCellCount": 3,
    "IsFullySampled": true,
    "Formula": "=AND({{WitnessHasNeverFired}}, NOT({{HasMeaningfulSample}}))",
    "SubstrateLabel": "PostgreSQL"
   },
   {
    "FieldDisagreementId": "effortless-postgres|ElicitationSessions.Name",
    "Substrate": "effortless-postgres",
    "RulebookField": "ElicitationSessions.Name",
    "TableConformance": "effortless-postgres|ElicitationSessions",
    "FieldClass": "calculated",
    "CellsFailed": 3,
    "DominantReason": "wrong/null value",
    "SemanticTypeIri": "urn:effortless:pko-extension#FieldDisagreement",
    "Name": "effortless-postgres / ElicitationSessions.Name",
    "SampledCellCount": 3,
    "IsFullySampled": true,
    "Formula": "={{Method}} &amp; \" / \" &amp; {{StartedAt}}",
    "SubstrateLabel": "PostgreSQL"
   },
   {
    "FieldDisagreementId": "effortless-postgres|ElicitationSessions.DaysSinceElicited",
    "Substrate": "effortless-postgres",
    "RulebookField": "ElicitationSessions.DaysSinceElicited",
    "TableConformance": "effortless-postgres|ElicitationSessions",
    "FieldClass": "calculated",
    "CellsFailed": 2,
    "DominantReason": "wrong/null value",
    "SemanticTypeIri": "urn:effortless:pko-extension#FieldDisagreement",
    "Name": "effortless-postgres / ElicitationSessions.DaysSinceElicited",
    "SampledCellCount": 2,
    "IsFullySampled": true,
    "Formula": "=DATETIME_DIFF({{AsOfInstant}}, {{EndedAt}}, \"days\")",
    "SubstrateLabel": "PostgreSQL"
   },
   {
    "FieldDisagreementId": "effortless-postgres|KnowledgeFragments.DaysSinceActualReview",
    "Substrate": "effortless-postgres",
    "RulebookField": "KnowledgeFragments.DaysSinceActualReview",
    "TableConformance": "effortless-postgres|KnowledgeFragments",
    "FieldClass": "calculated",
    "CellsFailed": 3,
    "DominantReason": "wrong/null value",
    "SemanticTypeIri": "urn:effortless:pko-extension#FieldDisagreement",
    "Name": "effortless-postgres / KnowledgeFragments.DaysSinceActualReview",
    "SampledCellCount": 3,
    "IsFullySampled": true,
    "Formula": "=IF({{HasReviewRecord}}, DATETIME_DIFF({{AsOfInstant}}, {{LastReviewedAt}}, \"days\"), 0)",
    "SubstrateLabel": "PostgreSQL"
   },
   {
    "FieldDisagreementId": "effortless-postgres|KnowledgeFragments.EvidenceAgeDays",
    "Substrate": "effortless-postgres",
    "RulebookField": "KnowledgeFragments.EvidenceAgeDays",
    "TableConformance": "effortless-postgres|KnowledgeFragments",
    "FieldClass": "lookup",
    "CellsFailed": 3,
    "DominantReason": "wrong/null value",
    "SemanticTypeIri": "urn:effortless:pko-extension#FieldDisagreement",
    "Name": "effortless-postgres / KnowledgeFragments.EvidenceAgeDays",
    "SampledCellCount": 3,
    "IsFullySampled": true,
    "Formula": "=INDEX(ElicitationSessions!{{DaysSinceElicited}}, MATCH({{ElicitationSession}}, ElicitationSessions!{{ElicitationSessionId}}, 0))",
    "SubstrateLabel": "PostgreSQL"
   },
   {
    "FieldDisagreementId": "effortless-postgres|KnowledgeFragments.AgeDays",
    "Substrate": "effortless-postgres",
    "RulebookField": "KnowledgeFragments.AgeDays",
    "TableConformance": "effortless-postgres|KnowledgeFragments",
    "FieldClass": "calculated",
    "CellsFailed": 3,
    "DominantReason": "wrong/null value",
    "SemanticTypeIri": "urn:effortless:pko-extension#FieldDisagreement",
    "Name": "effortless-postgres / KnowledgeFragments.AgeDays",
    "SampledCellCount": 3,
    "IsFullySampled": true,
    "Formula": "=DATETIME_DIFF({{AsOfInstant}}, {{ValidFrom}}, \"days\")",
    "SubstrateLabel": "PostgreSQL"
   },
   {
    "FieldDisagreementId": "effortless-postgres|KnowledgeFragments.DaysAwaitingMyApproval",
    "Substrate": "effortless-postgres",
    "RulebookField": "KnowledgeFragments.DaysAwaitingMyApproval",
    "TableConformance": "effortless-postgres|KnowledgeFragments",
    "FieldClass": "calculated",
    "CellsFailed": 1,
    "DominantReason": "wrong/null value",
    "SemanticTypeIri": "urn:effortless:pko-extension#FieldDisagreement",
    "Name": "effortless-postgres / KnowledgeFragments.DaysAwaitingMyApproval",
    "SampledCellCount": 1,
    "IsFullySampled": true,
    "Formula": "=IF({{IsMyUnfinishedApproval}}, DATETIME_DIFF({{AsOfInstant}}, {{ValidFrom}}, \"days\"), 0)",
    "SubstrateLabel": "PostgreSQL"
   },
   {
    "FieldDisagreementId": "effortless-postgres|KnowledgeGaps.DaysOpen",
    "Substrate": "effortless-postgres",
    "RulebookField": "KnowledgeGaps.DaysOpen",
    "TableConformance": "effortless-postgres|KnowledgeGaps",
    "FieldClass": "calculated",
    "CellsFailed": 1,
    "DominantReason": "wrong/null value",
    "SemanticTypeIri": "urn:effortless:pko-extension#FieldDisagreement",
    "Name": "effortless-postgres / KnowledgeGaps.DaysOpen",
    "SampledCellCount": 1,
    "IsFullySampled": true,
    "Formula": "=IF({{IsOpen}}, DATETIME_DIFF({{AsOfInstant}}, {{IdentifiedAt}}, \"days\"), 0)",
    "SubstrateLabel": "PostgreSQL"
   },
   {
    "FieldDisagreementId": "effortless-postgres|ProcedureExecutions.ComputedAssuranceRatio",
    "Substrate": "effortless-postgres",
    "RulebookField": "ProcedureExecutions.ComputedAssuranceRatio",
    "TableConformance": "effortless-postgres|ProcedureExecutions",
    "FieldClass": "calculated",
    "CellsFailed": 1,
    "DominantReason": "wrong/null value",
    "SemanticTypeIri": "urn:effortless:pko-extension#FieldDisagreement",
    "Name": "effortless-postgres / ProcedureExecutions.ComputedAssuranceRatio",
    "SampledCellCount": 1,
    "IsFullySampled": true,
    "Formula": "=IF({{EvaluatedControlCount}} = 0, 0, {{ComputedlyWitnessedControlCount}} / {{EvaluatedControlCount}})",
    "SubstrateLabel": "PostgreSQL"
   },
   {
    "FieldDisagreementId": "effortless-postgres|IssueOccurrences.Name",
    "Substrate": "effortless-postgres",
    "RulebookField": "IssueOccurrences.Name",
    "TableConformance": "effortless-postgres|IssueOccurrences",
    "FieldClass": "calculated",
    "CellsFailed": 2,
    "DominantReason": "wrong/null value",
    "SemanticTypeIri": "urn:effortless:pko-extension#FieldDisagreement",
    "Name": "effortless-postgres / IssueOccurrences.Name",
    "SampledCellCount": 2,
    "IsFullySampled": true,
    "Formula": "={{Error}} &amp; \" @ \" &amp; {{OccurredAt}}",
    "SubstrateLabel": "PostgreSQL"
   },
   {
    "FieldDisagreementId": "effortless-postgres|ChangeRequests.DaysPending",
    "Substrate": "effortless-postgres",
    "RulebookField": "ChangeRequests.DaysPending",
    "TableConformance": "effortless-postgres|ChangeRequests",
    "FieldClass": "calculated",
    "CellsFailed": 1,
    "DominantReason": "wrong/null value",
    "SemanticTypeIri": "urn:effortless:pko-extension#FieldDisagreement",
    "Name": "effortless-postgres / ChangeRequests.DaysPending",
    "SampledCellCount": 1,
    "IsFullySampled": true,
    "Formula": "=IF({{IsDecided}}, DATETIME_DIFF({{DecidedAt}}, {{RequestedAt}}, \"days\"), DATETIME_DIFF({{AsOfInstant}}, {{RequestedAt}}, \"days\"))",
    "SubstrateLabel": "PostgreSQL"
   },
   {
    "FieldDisagreementId": "effortless-postgres|ChangeRequests.DecisionLatencyDays",
    "Substrate": "effortless-postgres",
    "RulebookField": "ChangeRequests.DecisionLatencyDays",
    "TableConformance": "effortless-postgres|ChangeRequests",
    "FieldClass": "calculated",
    "CellsFailed": 1,
    "DominantReason": "wrong/null value",
    "SemanticTypeIri": "urn:effortless:pko-extension#FieldDisagreement",
    "Name": "effortless-postgres / ChangeRequests.DecisionLatencyDays",
    "SampledCellCount": 1,
    "IsFullySampled": true,
    "Formula": "=IF({{IsDecided}}, DATETIME_DIFF({{DecidedAt}}, {{RequestedAt}}, \"days\"), 0)",
    "SubstrateLabel": "PostgreSQL"
   },
   {
    "FieldDisagreementId": "effortless-postgres|ReviewEvents.DaysSinceReviewed",
    "Substrate": "effortless-postgres",
    "RulebookField": "ReviewEvents.DaysSinceReviewed",
    "TableConformance": "effortless-postgres|ReviewEvents",
    "FieldClass": "calculated",
    "CellsFailed": 3,
    "DominantReason": "wrong/null value",
    "SemanticTypeIri": "urn:effortless:pko-extension#FieldDisagreement",
    "Name": "effortless-postgres / ReviewEvents.DaysSinceReviewed",
    "SampledCellCount": 3,
    "IsFullySampled": true,
    "Formula": "=DATETIME_DIFF({{AsOfInstant}}, {{ReviewedAt}}, \"days\")",
    "SubstrateLabel": "PostgreSQL"
   },
   {
    "FieldDisagreementId": "effortless-postgres|ReviewEvents.CadenceDriftDays",
    "Substrate": "effortless-postgres",
    "RulebookField": "ReviewEvents.CadenceDriftDays",
    "TableConformance": "effortless-postgres|ReviewEvents",
    "FieldClass": "calculated",
    "CellsFailed": 3,
    "DominantReason": "wrong/null value",
    "SemanticTypeIri": "urn:effortless:pko-extension#FieldDisagreement",
    "Name": "effortless-postgres / ReviewEvents.CadenceDriftDays",
    "SampledCellCount": 3,
    "IsFullySampled": true,
    "Formula": "={{DaysSinceReviewed}} - {{PromisedCadenceDays}}",
    "SubstrateLabel": "PostgreSQL"
   },
   {
    "FieldDisagreementId": "effortless-postgres|LearningActivities.Name",
    "Substrate": "effortless-postgres",
    "RulebookField": "LearningActivities.Name",
    "TableConformance": "effortless-postgres|LearningActivities",
    "FieldClass": "calculated",
    "CellsFailed": 2,
    "DominantReason": "wrong/null value",
    "SemanticTypeIri": "urn:effortless:pko-extension#FieldDisagreement",
    "Name": "effortless-postgres / LearningActivities.Name",
    "SampledCellCount": 2,
    "IsFullySampled": true,
    "Formula": "={{ActivityKind}} &amp; \" / \" &amp; {{OccurredAt}}",
    "SubstrateLabel": "PostgreSQL"
   },
   {
    "FieldDisagreementId": "effortless-postgres|ObservedTransitions.Name",
    "Substrate": "effortless-postgres",
    "RulebookField": "ObservedTransitions.Name",
    "TableConformance": "effortless-postgres|ObservedTransitions",
    "FieldClass": "calculated",
    "CellsFailed": 10,
    "DominantReason": "wrong/null value",
    "SemanticTypeIri": "urn:effortless:pko-extension#FieldDisagreement",
    "Name": "effortless-postgres / ObservedTransitions.Name",
    "SampledCellCount": 10,
    "IsFullySampled": true,
    "Formula": "={{StepTransition}} &amp; \" @ \" &amp; {{ObservedAt}}",
    "SubstrateLabel": "PostgreSQL"
   },
   {
    "FieldDisagreementId": "effortless-postgres|MessageDeliveries.Name",
    "Substrate": "effortless-postgres",
    "RulebookField": "MessageDeliveries.Name",
    "TableConformance": "effortless-postgres|MessageDeliveries",
    "FieldClass": "calculated",
    "CellsFailed": 6,
    "DominantReason": "wrong/null value",
    "SemanticTypeIri": "urn:effortless:pko-extension#FieldDisagreement",
    "Name": "effortless-postgres / MessageDeliveries.Name",
    "SampledCellCount": 6,
    "IsFullySampled": true,
    "Formula": "={{Recipient}} &amp; \" / \" &amp; {{MessageTemplate}} &amp; \" / \" &amp; {{SentAt}}",
    "SubstrateLabel": "PostgreSQL"
   },
   {
    "FieldDisagreementId": "effortless-postgres|MessageDeliveries.AgeDays",
    "Substrate": "effortless-postgres",
    "RulebookField": "MessageDeliveries.AgeDays",
    "TableConformance": "effortless-postgres|MessageDeliveries",
    "FieldClass": "calculated",
    "CellsFailed": 6,
    "DominantReason": "wrong/null value",
    "SemanticTypeIri": "urn:effortless:pko-extension#FieldDisagreement",
    "Name": "effortless-postgres / MessageDeliveries.AgeDays",
    "SampledCellCount": 6,
    "IsFullySampled": true,
    "Formula": "=DATETIME_DIFF({{AsOfInstant}}, {{SentAt}}, \"days\")",
    "SubstrateLabel": "PostgreSQL"
   },
   {
    "FieldDisagreementId": "effortless-postgres|MessageDeliveries.SegmentCount",
    "Substrate": "effortless-postgres",
    "RulebookField": "MessageDeliveries.SegmentCount",
    "TableConformance": "effortless-postgres|MessageDeliveries",
    "FieldClass": "calculated",
    "CellsFailed": 6,
    "DominantReason": "wrong/null value",
    "SemanticTypeIri": "urn:effortless:pko-extension#FieldDisagreement",
    "Name": "effortless-postgres / MessageDeliveries.SegmentCount",
    "SampledCellCount": 6,
    "IsFullySampled": true,
    "Formula": "=IF({{RenderedBodyLength}} = 0, 0, IF({{RenderedBodyLength}} &lt;= {{PolicyMaxMessageLengthAtSend}}, 1, ROUNDUP({{RenderedBodyLength}} / {{PolicyMaxMessageLengthAtSend}}, 0)))",
    "SubstrateLabel": "PostgreSQL"
   },
   {
    "FieldDisagreementId": "effortless-postgres|MessageDeliveries.OutstandingAgeDays",
    "Substrate": "effortless-postgres",
    "RulebookField": "MessageDeliveries.OutstandingAgeDays",
    "TableConformance": "effortless-postgres|MessageDeliveries",
    "FieldClass": "calculated",
    "CellsFailed": 3,
    "DominantReason": "wrong/null value",
    "SemanticTypeIri": "urn:effortless:pko-extension#FieldDisagreement",
    "Name": "effortless-postgres / MessageDeliveries.OutstandingAgeDays",
    "SampledCellCount": 3,
    "IsFullySampled": true,
    "Formula": "=IF({{AcknowledgementIsOutstanding}}, DATETIME_DIFF({{AsOfInstant}}, {{SentAt}}, \"days\"), 0)",
    "SubstrateLabel": "PostgreSQL"
   },
   {
    "FieldDisagreementId": "effortless-postgres|MessageDeliveries.OptOutPhrasePosition",
    "Substrate": "effortless-postgres",
    "RulebookField": "MessageDeliveries.OptOutPhrasePosition",
    "TableConformance": "effortless-postgres|MessageDeliveries",
    "FieldClass": "calculated",
    "CellsFailed": 3,
    "DominantReason": "wrong/null value",
    "SemanticTypeIri": "urn:effortless:pko-extension#FieldDisagreement",
    "Name": "effortless-postgres / MessageDeliveries.OptOutPhrasePosition",
    "SampledCellCount": 3,
    "IsFullySampled": true,
    "Formula": "=FIND({{PolicyRequiredOptOutPhrase}}, {{RenderedBody}})",
    "SubstrateLabel": "PostgreSQL"
   },
   {
    "FieldDisagreementId": "effortless-postgres|TemplateApprovals.Name",
    "Substrate": "effortless-postgres",
    "RulebookField": "TemplateApprovals.Name",
    "TableConformance": "effortless-postgres|TemplateApprovals",
    "FieldClass": "calculated",
    "CellsFailed": 2,
    "DominantReason": "wrong/null value",
    "SemanticTypeIri": "urn:effortless:pko-extension#FieldDisagreement",
    "Name": "effortless-postgres / TemplateApprovals.Name",
    "SampledCellCount": 2,
    "IsFullySampled": true,
    "Formula": "={{MessageTemplate}} &amp; \" / \" &amp; {{Decision}} &amp; \" / \" &amp; {{DecidedAt}}",
    "SubstrateLabel": "PostgreSQL"
   },
   {
    "FieldDisagreementId": "effortless-postgres|SendIntents.DeferralAgeHours",
    "Substrate": "effortless-postgres",
    "RulebookField": "SendIntents.DeferralAgeHours",
    "TableConformance": "effortless-postgres|SendIntents",
    "FieldClass": "calculated",
    "CellsFailed": 7,
    "DominantReason": "wrong/null value",
    "SemanticTypeIri": "urn:effortless:pko-extension#FieldDisagreement",
    "Name": "effortless-postgres / SendIntents.DeferralAgeHours",
    "SampledCellCount": 7,
    "IsFullySampled": true,
    "Formula": "=DATETIME_DIFF({{AsOfInstant}}, {{EvaluatedAt}}, \"hours\")",
    "SubstrateLabel": "PostgreSQL"
   },
   {
    "FieldDisagreementId": "effortless-postgres|DeliveredCommunications.ContentMatchesApproval",
    "Substrate": "effortless-postgres",
    "RulebookField": "DeliveredCommunications.ContentMatchesApproval",
    "TableConformance": "effortless-postgres|DeliveredCommunications",
    "FieldClass": "calculated",
    "CellsFailed": 1,
    "DominantReason": "wrong/null value",
    "SemanticTypeIri": "urn:effortless:pko-extension#FieldDisagreement",
    "Name": "effortless-postgres / DeliveredCommunications.ContentMatchesApproval",
    "SampledCellCount": 1,
    "IsFullySampled": true,
    "Formula": "={{RenderedContentHash}} = {{ApprovedContentHash}}",
    "SubstrateLabel": "PostgreSQL"
   },
   {
    "FieldDisagreementId": "effortless-postgres|ProcessMiningRuns.Name",
    "Substrate": "effortless-postgres",
    "RulebookField": "ProcessMiningRuns.Name",
    "TableConformance": "effortless-postgres|ProcessMiningRuns",
    "FieldClass": "calculated",
    "CellsFailed": 4,
    "DominantReason": "wrong/null value",
    "SemanticTypeIri": "urn:effortless:pko-extension#FieldDisagreement",
    "Name": "effortless-postgres / ProcessMiningRuns.Name",
    "SampledCellCount": 4,
    "IsFullySampled": true,
    "Formula": "={{EventLogSource}} &amp; \" / \" &amp; {{MinedAt}}",
    "SubstrateLabel": "PostgreSQL"
   },
   {
    "FieldDisagreementId": "effortless-xlsx|EvaluationContexts.Name",
    "Substrate": "effortless-xlsx",
    "RulebookField": "EvaluationContexts.Name",
    "TableConformance": "effortless-xlsx|EvaluationContexts",
    "FieldClass": "calculated",
    "CellsFailed": 1,
    "DominantReason": "wrong/null value",
    "SemanticTypeIri": "urn:effortless:pko-extension#FieldDisagreement",
    "Name": "effortless-xlsx / EvaluationContexts.Name",
    "SampledCellCount": 1,
    "IsFullySampled": true,
    "Formula": "={{Label}} &amp; \" @ \" &amp; {{AsOfInstant}}",
    "SubstrateLabel": "Excel"
   },
   {
    "FieldDisagreementId": "effortless-xlsx|Roles.CurrentAssignmentValidFrom",
    "Substrate": "effortless-xlsx",
    "RulebookField": "Roles.CurrentAssignmentValidFrom",
    "TableConformance": "effortless-xlsx|Roles",
    "FieldClass": "lookup",
    "CellsFailed": 12,
    "DominantReason": "wrong/null value",
    "SemanticTypeIri": "urn:effortless:pko-extension#FieldDisagreement",
    "Name": "effortless-xlsx / Roles.CurrentAssignmentValidFrom",
    "SampledCellCount": 12,
    "IsFullySampled": true,
    "Formula": "=INDEX(RoleAssignments!{{ValidFrom}}, MATCH({{CurrentAssignment}}, RoleAssignments!{{RoleAssignmentId}}, 0))",
    "SubstrateLabel": "Excel"
   },
   {
    "FieldDisagreementId": "effortless-xlsx|RoleAssignments.Name",
    "Substrate": "effortless-xlsx",
    "RulebookField": "RoleAssignments.Name",
    "TableConformance": "effortless-xlsx|RoleAssignments",
    "FieldClass": "calculated",
    "CellsFailed": 13,
    "DominantReason": "wrong/null value",
    "SemanticTypeIri": "urn:effortless:pko-extension#FieldDisagreement",
    "Name": "effortless-xlsx / RoleAssignments.Name",
    "SampledCellCount": 13,
    "IsFullySampled": true,
    "Formula": "={{Role}} &amp; \" @ \" &amp; {{ValidFrom}}",
    "SubstrateLabel": "Excel"
   },
   {
    "FieldDisagreementId": "effortless-xlsx|RoleAssignments.AsOfInstant",
    "Substrate": "effortless-xlsx",
    "RulebookField": "RoleAssignments.AsOfInstant",
    "TableConformance": "effortless-xlsx|RoleAssignments",
    "FieldClass": "lookup",
    "CellsFailed": 13,
    "DominantReason": "wrong/null value",
    "SemanticTypeIri": "urn:effortless:pko-extension#FieldDisagreement",
    "Name": "effortless-xlsx / RoleAssignments.AsOfInstant",
    "SampledCellCount": 13,
    "IsFullySampled": true,
    "Formula": "=INDEX(EvaluationContexts!{{AsOfInstant}}, MATCH({{EvaluationContext}}, EvaluationContexts!{{EvaluationContextId}}, 0))",
    "SubstrateLabel": "Excel"
   },
   {
    "FieldDisagreementId": "effortless-xlsx|RoleAssignments.HasSufficientSample",
    "Substrate": "effortless-xlsx",
    "RulebookField": "RoleAssignments.HasSufficientSample",
    "TableConformance": "effortless-xlsx|RoleAssignments",
    "FieldClass": "calculated",
    "CellsFailed": 13,
    "DominantReason": "wrong/null value",
    "SemanticTypeIri": "urn:effortless:pko-extension#FieldDisagreement",
    "Name": "effortless-xlsx / RoleAssignments.HasSufficientSample",
    "SampledCellCount": 13,
    "IsFullySampled": true,
    "Formula": "={{DecisionCount}} &gt;= {{MinimumDecisionsForComparison}}",
    "SubstrateLabel": "Excel"
   },
   {
    "FieldDisagreementId": "effortless-xlsx|RoleAssignments.PredecessorHasSufficientSample",
    "Substrate": "effortless-xlsx",
    "RulebookField": "RoleAssignments.PredecessorHasSufficientSample",
    "TableConformance": "effortless-xlsx|RoleAssignments",
    "FieldClass": "calculated",
    "CellsFailed": 13,
    "DominantReason": "wrong/null value",
    "SemanticTypeIri": "urn:effortless:pko-extension#FieldDisagreement",
    "Name": "effortless-xlsx / RoleAssignments.PredecessorHasSufficientSample",
    "SampledCellCount": 13,
    "IsFullySampled": true,
    "Formula": "={{PredecessorDecisionCount}} &gt;= {{MinimumDecisionsForComparison}}",
    "SubstrateLabel": "Excel"
   },
   {
    "FieldDisagreementId": "effortless-xlsx|RoleAssignments.ComparisonIsEvidentiallySound",
    "Substrate": "effortless-xlsx",
    "RulebookField": "RoleAssignments.ComparisonIsEvidentiallySound",
    "TableConformance": "effortless-xlsx|RoleAssignments",
    "FieldClass": "calculated",
    "CellsFailed": 13,
    "DominantReason": "wrong/null value",
    "SemanticTypeIri": "urn:effortless:pko-extension#FieldDisagreement",
    "Name": "effortless-xlsx / RoleAssignments.ComparisonIsEvidentiallySound",
    "SampledCellCount": 13,
    "IsFullySampled": true,
    "Formula": "=AND({{HasSufficientSample}}, {{PredecessorHasSufficientSample}})",
    "SubstrateLabel": "Excel"
   },
   {
    "FieldDisagreementId": "effortless-xlsx|RoleAssignments.QualityVerdictIsUnsupported",
    "Substrate": "effortless-xlsx",
    "RulebookField": "RoleAssignments.QualityVerdictIsUnsupported",
    "TableConformance": "effortless-xlsx|RoleAssignments",
    "FieldClass": "calculated",
    "CellsFailed": 13,
    "DominantReason": "wrong/null value",
    "SemanticTypeIri": "urn:effortless:pko-extension#FieldDisagreement",
    "Name": "effortless-xlsx / RoleAssignments.QualityVerdictIsUnsupported",
    "SampledCellCount": 13,
    "IsFullySampled": true,
    "Formula": "=AND(NOT({{ComparisonIsEvidentiallySound}}), NOT({{QualityRegressedVsPredecessor}}))",
    "SubstrateLabel": "Excel"
   },
   {
    "FieldDisagreementId": "effortless-xlsx|RoleAssignments.IsUnauthorizedEnforcementAgent",
    "Substrate": "effortless-xlsx",
    "RulebookField": "RoleAssignments.IsUnauthorizedEnforcementAgent",
    "TableConformance": "effortless-xlsx|RoleAssignments",
    "FieldClass": "calculated",
    "CellsFailed": 3,
    "DominantReason": "wrong/null value",
    "SemanticTypeIri": "urn:effortless:pko-extension#FieldDisagreement",
    "Name": "effortless-xlsx / RoleAssignments.IsUnauthorizedEnforcementAgent",
    "SampledCellCount": 3,
    "IsFullySampled": true,
    "Formula": "=AND({{IsEnforcementRole}}, {{IsUnauthorizedNonHumanAssignment}})",
    "SubstrateLabel": "Excel"
   },
   {
    "FieldDisagreementId": "effortless-xlsx|RoleAssignments.PredecessorAgentKind",
    "Substrate": "effortless-xlsx",
    "RulebookField": "RoleAssignments.PredecessorAgentKind",
    "TableConformance": "effortless-xlsx|RoleAssignments",
    "FieldClass": "lookup",
    "CellsFailed": 1,
    "DominantReason": "wrong/null value",
    "SemanticTypeIri": "urn:effortless:pko-extension#FieldDisagreement",
    "Name": "effortless-xlsx / RoleAssignments.PredecessorAgentKind",
    "SampledCellCount": 1,
    "IsFullySampled": true,
    "Formula": "=INDEX(RoleAssignments!{{AgentKind}}, MATCH({{SupersedesAssignment}}, RoleAssignments!{{RoleAssignmentId}}, 0))",
    "SubstrateLabel": "Excel"
   },
   {
    "FieldDisagreementId": "effortless-xlsx|RoleAssignments.IsHumanToNonHumanHandover",
    "Substrate": "effortless-xlsx",
    "RulebookField": "RoleAssignments.IsHumanToNonHumanHandover",
    "TableConformance": "effortless-xlsx|RoleAssignments",
    "FieldClass": "calculated",
    "CellsFailed": 1,
    "DominantReason": "wrong/null value",
    "SemanticTypeIri": "urn:effortless:pko-extension#FieldDisagreement",
    "Name": "effortless-xlsx / RoleAssignments.IsHumanToNonHumanHandover",
    "SampledCellCount": 1,
    "IsFullySampled": true,
    "Formula": "=AND({{PredecessorAgentKind}} = \"Human\", {{IsNonHumanAssignment}})",
    "SubstrateLabel": "Excel"
   },
   {
    "FieldDisagreementId": "effortless-xlsx|RoleAssignments.IsUnmeasuredAutomationHandover",
    "Substrate": "effortless-xlsx",
    "RulebookField": "RoleAssignments.IsUnmeasuredAutomationHandover",
    "TableConformance": "effortless-xlsx|RoleAssignments",
    "FieldClass": "calculated",
    "CellsFailed": 1,
    "DominantReason": "wrong/null value",
    "SemanticTypeIri": "urn:effortless:pko-extension#FieldDisagreement",
    "Name": "effortless-xlsx / RoleAssignments.IsUnmeasuredAutomationHandover",
    "SampledCellCount": 1,
    "IsFullySampled": true,
    "Formula": "=AND({{IsHumanToNonHumanHandover}}, NOT({{ComparisonIsEvidentiallySound}}))",
    "SubstrateLabel": "Excel"
   },
   {
    "FieldDisagreementId": "effortless-xlsx|ProcedureVersions.AsOfInstant",
    "Substrate": "effortless-xlsx",
    "RulebookField": "ProcedureVersions.AsOfInstant",
    "TableConformance": "effortless-xlsx|ProcedureVersions",
    "FieldClass": "lookup",
    "CellsFailed": 3,
    "DominantReason": "wrong/null value",
    "SemanticTypeIri": "urn:effortless:pko-extension#FieldDisagreement",
    "Name": "effortless-xlsx / ProcedureVersions.AsOfInstant",
    "SampledCellCount": 3,
    "IsFullySampled": true,
    "Formula": "=INDEX(EvaluationContexts!{{AsOfInstant}}, MATCH({{EvaluationContext}}, EvaluationContexts!{{EvaluationContextId}}, 0))",
    "SubstrateLabel": "Excel"
   },
   {
    "FieldDisagreementId": "effortless-xlsx|ProcedureVersions.DaysSinceModified",
    "Substrate": "effortless-xlsx",
    "RulebookField": "ProcedureVersions.DaysSinceModified",
    "TableConformance": "effortless-xlsx|ProcedureVersions",
    "FieldClass": "calculated",
    "CellsFailed": 3,
    "DominantReason": "wrong/null value",
    "SemanticTypeIri": "urn:effortless:pko-extension#FieldDisagreement",
    "Name": "effortless-xlsx / ProcedureVersions.DaysSinceModified",
    "SampledCellCount": 3,
    "IsFullySampled": true,
    "Formula": "=DATETIME_DIFF({{AsOfInstant}}, {{ModifiedAt}}, \"days\")",
    "SubstrateLabel": "Excel"
   },
   {
    "FieldDisagreementId": "effortless-xlsx|ProcedureVersions.DaysSinceLastReview",
    "Substrate": "effortless-xlsx",
    "RulebookField": "ProcedureVersions.DaysSinceLastReview",
    "TableConformance": "effortless-xlsx|ProcedureVersions",
    "FieldClass": "aggregation",
    "CellsFailed": 1,
    "DominantReason": "wrong/null value",
    "SemanticTypeIri": "urn:effortless:pko-extension#FieldDisagreement",
    "Name": "effortless-xlsx / ProcedureVersions.DaysSinceLastReview",
    "SampledCellCount": 1,
    "IsFullySampled": true,
    "Formula": "=DATETIME_DIFF({{AsOfInstant}}, MAXIFS(ReviewEvents!{{ReviewedAt}}, ReviewEvents!{{ProcedureVersion}}, ProcedureVersions!{{ProcedureVersionId}}), \"days\")",
    "SubstrateLabel": "Excel"
   },
   {
    "FieldDisagreementId": "effortless-xlsx|ProcedureVersions.WasModifiedSinceLastReview",
    "Substrate": "effortless-xlsx",
    "RulebookField": "ProcedureVersions.WasModifiedSinceLastReview",
    "TableConformance": "effortless-xlsx|ProcedureVersions",
    "FieldClass": "calculated",
    "CellsFailed": 3,
    "DominantReason": "wrong/null value",
    "SemanticTypeIri": "urn:effortless:pko-extension#FieldDisagreement",
    "Name": "effortless-xlsx / ProcedureVersions.WasModifiedSinceLastReview",
    "SampledCellCount": 3,
    "IsFullySampled": true,
    "Formula": "={{DaysSinceModified}} &lt; {{DaysSinceLastReview}}",
    "SubstrateLabel": "Excel"
   },
   {
    "FieldDisagreementId": "effortless-xlsx|ProcedureVersions.HasUnwitnessedChange",
    "Substrate": "effortless-xlsx",
    "RulebookField": "ProcedureVersions.HasUnwitnessedChange",
    "TableConformance": "effortless-xlsx|ProcedureVersions",
    "FieldClass": "calculated",
    "CellsFailed": 2,
    "DominantReason": "wrong/null value",
    "SemanticTypeIri": "urn:effortless:pko-extension#FieldDisagreement",
    "Name": "effortless-xlsx / ProcedureVersions.HasUnwitnessedChange",
    "SampledCellCount": 2,
    "IsFullySampled": true,
    "Formula": "=AND({{IsLive}}, {{WasModifiedSinceLastReview}})",
    "SubstrateLabel": "Excel"
   },
   {
    "FieldDisagreementId": "effortless-xlsx|Steps.StaleBindingCount",
    "Substrate": "effortless-xlsx",
    "RulebookField": "Steps.StaleBindingCount",
    "TableConformance": "effortless-xlsx|Steps",
    "FieldClass": "aggregation",
    "CellsFailed": 3,
    "DominantReason": "wrong/null value",
    "SemanticTypeIri": "urn:effortless:pko-extension#FieldDisagreement",
    "Name": "effortless-xlsx / Steps.StaleBindingCount",
    "SampledCellCount": 3,
    "IsFullySampled": true,
    "Formula": "=COUNTIFS(OperationalBindings!{{StaleBindingStepKey}}, {{StepId}})",
    "SubstrateLabel": "Excel"
   },
   {
    "FieldDisagreementId": "effortless-xlsx|Steps.AuthoritativeStaleCount",
    "Substrate": "effortless-xlsx",
    "RulebookField": "Steps.AuthoritativeStaleCount",
    "TableConformance": "effortless-xlsx|Steps",
    "FieldClass": "aggregation",
    "CellsFailed": 3,
    "DominantReason": "wrong/null value",
    "SemanticTypeIri": "urn:effortless:pko-extension#FieldDisagreement",
    "Name": "effortless-xlsx / Steps.AuthoritativeStaleCount",
    "SampledCellCount": 3,
    "IsFullySampled": true,
    "Formula": "=COUNTIFS(OperationalBindings!{{AuthoritativeStaleStepKey}}, {{StepId}})",
    "SubstrateLabel": "Excel"
   },
   {
    "FieldDisagreementId": "effortless-xlsx|Steps.StaleAuthoritativeBindingCount",
    "Substrate": "effortless-xlsx",
    "RulebookField": "Steps.StaleAuthoritativeBindingCount",
    "TableConformance": "effortless-xlsx|Steps",
    "FieldClass": "aggregation",
    "CellsFailed": 3,
    "DominantReason": "wrong/null value",
    "SemanticTypeIri": "urn:effortless:pko-extension#FieldDisagreement",
    "Name": "effortless-xlsx / Steps.StaleAuthoritativeBindingCount",
    "SampledCellCount": 3,
    "IsFullySampled": true,
    "Formula": "=COUNTIFS(OperationalBindings!{{StepWhenStale}}, {{StepId}})",
    "SubstrateLabel": "Excel"
   },
   {
    "FieldDisagreementId": "effortless-xlsx|Steps.InputsAreFresh",
    "Substrate": "effortless-xlsx",
    "RulebookField": "Steps.InputsAreFresh",
    "TableConformance": "effortless-xlsx|Steps",
    "FieldClass": "calculated",
    "CellsFailed": 3,
    "DominantReason": "wrong/null value",
    "SemanticTypeIri": "urn:effortless:pko-extension#FieldDisagreement",
    "Name": "effortless-xlsx / Ste</t>
  </si>
  <si>
    <t xml:space="preserve">ps.InputsAreFresh",
    "SampledCellCount": 3,
    "IsFullySampled": true,
    "Formula": "={{StaleAuthoritativeBindingCount}} = 0",
    "SubstrateLabel": "Excel"
   },
   {
    "FieldDisagreementId": "effortless-xlsx|Steps.UnusableBindingCount",
    "Substrate": "effortless-xlsx",
    "RulebookField": "Steps.UnusableBindingCount",
    "TableConformance": "effortless-xlsx|Steps",
    "FieldClass": "aggregation",
    "CellsFailed": 3,
    "DominantReason": "wrong/null value",
    "SemanticTypeIri": "urn:effortless:pko-extension#FieldDisagreement",
    "Name": "effortless-xlsx / Steps.UnusableBindingCount",
    "SampledCellCount": 3,
    "IsFullySampled": true,
    "Formula": "=COUNTIFS(OperationalBindings!{{StepWhenUnusable}}, {{StepId}})",
    "SubstrateLabel": "Excel"
   },
   {
    "FieldDisagreementId": "effortless-xlsx|Steps.AllSourcesUsable",
    "Substrate": "effortless-xlsx",
    "RulebookField": "Steps.AllSourcesUsable",
    "TableConformance": "effortless-xlsx|Steps",
    "FieldClass": "calculated",
    "CellsFailed": 3,
    "DominantReason": "wrong/null value",
    "SemanticTypeIri": "urn:effortless:pko-extension#FieldDisagreement",
    "Name": "effortless-xlsx / Steps.AllSourcesUsable",
    "SampledCellCount": 3,
    "IsFullySampled": true,
    "Formula": "={{UnusableBindingCount}} = 0",
    "SubstrateLabel": "Excel"
   },
   {
    "FieldDisagreementId": "effortless-xlsx|Steps.UnwarrantedBoundaryCount",
    "Substrate": "effortless-xlsx",
    "RulebookField": "Steps.UnwarrantedBoundaryCount",
    "TableConformance": "effortless-xlsx|Steps",
    "FieldClass": "aggregation",
    "CellsFailed": 1,
    "DominantReason": "wrong/null value",
    "SemanticTypeIri": "urn:effortless:pko-extension#FieldDisagreement",
    "Name": "effortless-xlsx / Steps.UnwarrantedBoundaryCount",
    "SampledCellCount": 1,
    "IsFullySampled": true,
    "Formula": "=COUNTIFS(AuthorityBoundaries!{{UnwarrantedBoundaryStepKey}}, {{StepId}})",
    "SubstrateLabel": "Excel"
   },
   {
    "FieldDisagreementId": "effortless-xlsx|Steps.IsGovernedByUnwarrantedBoundary",
    "Substrate": "effortless-xlsx",
    "RulebookField": "Steps.IsGovernedByUnwarrantedBoundary",
    "TableConformance": "effortless-xlsx|Steps",
    "FieldClass": "calculated",
    "CellsFailed": 1,
    "DominantReason": "wrong/null value",
    "SemanticTypeIri": "urn:effortless:pko-extension#FieldDisagreement",
    "Name": "effortless-xlsx / Steps.IsGovernedByUnwarrantedBoundary",
    "SampledCellCount": 1,
    "IsFullySampled": true,
    "Formula": "={{UnwarrantedBoundaryCount}} &gt; 0",
    "SubstrateLabel": "Excel"
   },
   {
    "FieldDisagreementId": "effortless-xlsx|Requirements.NamedWitnessFieldExists",
    "Substrate": "effortless-xlsx",
    "RulebookField": "Requirements.NamedWitnessFieldExists",
    "TableConformance": "effortless-xlsx|Requirements",
    "FieldClass": "lookup",
    "CellsFailed": 2,
    "DominantReason": "wrong/null value",
    "SemanticTypeIri": "urn:effortless:pko-extension#FieldDisagreement",
    "Name": "effortless-xlsx / Requirements.NamedWitnessFieldExists",
    "SampledCellCount": 2,
    "IsFullySampled": true,
    "Formula": "=INDEX(RulebookFields!{{IsDerived}}, MATCH({{WitnessFieldName}}, RulebookFields!{{RulebookFieldId}}, 0))",
    "SubstrateLabel": "Excel"
   },
   {
    "FieldDisagreementId": "effortless-xlsx|Requirements.HasMeaningfulSample",
    "Substrate": "effortless-xlsx",
    "RulebookField": "Requirements.HasMeaningfulSample",
    "TableConformance": "effortless-xlsx|Requirements",
    "FieldClass": "calculated",
    "CellsFailed": 13,
    "DominantReason": "wrong/null value",
    "SemanticTypeIri": "urn:effortless:pko-extension#FieldDisagreement",
    "Name": "effortless-xlsx / Requirements.HasMeaningfulSample",
    "SampledCellCount": 13,
    "IsFullySampled": true,
    "Formula": "={{EvaluationSampleSize}} &gt;= {{MinimumSampleForAssurance}}",
    "SubstrateLabel": "Excel"
   },
   {
    "FieldDisagreementId": "effortless-xlsx|Requirements.IsUntestedWitness",
    "Substrate": "effortless-xlsx",
    "RulebookField": "Requirements.IsUntestedWitness",
    "TableConformance": "effortless-xlsx|Requirements",
    "FieldClass": "calculated",
    "CellsFailed": 3,
    "DominantReason": "wrong/null value",
    "SemanticTypeIri": "urn:effortless:pko-extension#FieldDisagreement",
    "Name": "effortless-xlsx / Requirements.IsUntestedWitness",
    "SampledCellCount": 3,
    "IsFullySampled": true,
    "Formula": "=AND({{WitnessHasNeverFired}}, NOT({{HasMeaningfulSample}}))",
    "SubstrateLabel": "Excel"
   },
   {
    "FieldDisagreementId": "effortless-xlsx|Requirements.IsEvidencedHoldingControl",
    "Substrate": "effortless-xlsx",
    "RulebookField": "Requirements.IsEvidencedHoldingControl",
    "TableConformance": "effortless-xlsx|Requirements",
    "FieldClass": "calculated",
    "CellsFailed": 3,
    "DominantReason": "wrong/null value",
    "SemanticTypeIri": "urn:effortless:pko-extension#FieldDisagreement",
    "Name": "effortless-xlsx / Requirements.IsEvidencedHoldingControl",
    "SampledCellCount": 3,
    "IsFullySampled": true,
    "Formula": "=AND({{WitnessHasNeverFired}}, {{HasMeaningfulSample}})",
    "SubstrateLabel": "Excel"
   },
   {
    "FieldDisagreementId": "effortless-xlsx|Requirements.ControlAssuranceState",
    "Substrate": "effortless-xlsx",
    "RulebookField": "Requirements.ControlAssuranceState",
    "TableConformance": "effortless-xlsx|Requirements",
    "FieldClass": "calculated",
    "CellsFailed": 3,
    "DominantReason": "wrong/null value",
    "SemanticTypeIri": "urn:effortless:pko-extension#FieldDisagreement",
    "Name": "effortless-xlsx / Requirements.ControlAssuranceState",
    "SampledCellCount": 3,
    "IsFullySampled": true,
    "Formula": "=IF(NOT({{IsBoundToAnyStep}}), \"Decorative\", IF(NOT({{HasEverBeenEvaluated}}), \"Inoperative\", IF(NOT({{HasComputedWitness}}), \"Asserted\", IF({{WitnessFireCount}} &gt; 0, \"Demonstrated\", IF({{HasMeaningfulSample}}, \"Holding\", \"Untested\")))))",
    "SubstrateLabel": "Excel"
   },
   {
    "FieldDisagreementId": "effortless-xlsx|ElicitationSessions.Name",
    "Substrate": "effortless-xlsx",
    "RulebookField": "ElicitationSessions.Name",
    "TableConformance": "effortless-xlsx|ElicitationSessions",
    "FieldClass": "calculated",
    "CellsFailed": 3,
    "DominantReason": "wrong/null value",
    "SemanticTypeIri": "urn:effortless:pko-extension#FieldDisagreement",
    "Name": "effortless-xlsx / ElicitationSessions.Name",
    "SampledCellCount": 3,
    "IsFullySampled": true,
    "Formula": "={{Method}} &amp; \" / \" &amp; {{StartedAt}}",
    "SubstrateLabel": "Excel"
   },
   {
    "FieldDisagreementId": "effortless-xlsx|ElicitationSessions.AsOfInstant",
    "Substrate": "effortless-xlsx",
    "RulebookField": "ElicitationSessions.AsOfInstant",
    "TableConformance": "effortless-xlsx|ElicitationSessions",
    "FieldClass": "lookup",
    "CellsFailed": 3,
    "DominantReason": "wrong/null value",
    "SemanticTypeIri": "urn:effortless:pko-extension#FieldDisagreement",
    "Name": "effortless-xlsx / ElicitationSessions.AsOfInstant",
    "SampledCellCount": 3,
    "IsFullySampled": true,
    "Formula": "=INDEX(EvaluationContexts!{{AsOfInstant}}, MATCH({{EvaluationContext}}, EvaluationContexts!{{EvaluationContextId}}, 0))",
    "SubstrateLabel": "Excel"
   },
   {
    "FieldDisagreementId": "effortless-xlsx|ElicitationSessions.DaysSinceElicited",
    "Substrate": "effortless-xlsx",
    "RulebookField": "ElicitationSessions.DaysSinceElicited",
    "TableConformance": "effortless-xlsx|ElicitationSessions",
    "FieldClass": "calculated",
    "CellsFailed": 2,
    "DominantReason": "wrong/null value",
    "SemanticTypeIri": "urn:effortless:pko-extension#FieldDisagreement",
    "Name": "effortless-xlsx / ElicitationSessions.DaysSinceElicited",
    "SampledCellCount": 2,
    "IsFullySampled": true,
    "Formula": "=DATETIME_DIFF({{AsOfInstant}}, {{EndedAt}}, \"days\")",
    "SubstrateLabel": "Excel"
   },
   {
    "FieldDisagreementId": "effortless-xlsx|KnowledgeFragments.AsOfInstant",
    "Substrate": "effortless-xlsx",
    "RulebookField": "KnowledgeFragments.AsOfInstant",
    "TableConformance": "effortless-xlsx|KnowledgeFragments",
    "FieldClass": "lookup",
    "CellsFailed": 7,
    "DominantReason": "wrong/null value",
    "SemanticTypeIri": "urn:effortless:pko-extension#FieldDisagreement",
    "Name": "effortless-xlsx / KnowledgeFragments.AsOfInstant",
    "SampledCellCount": 7,
    "IsFullySampled": true,
    "Formula": "=INDEX(EvaluationContexts!{{AsOfInstant}}, MATCH({{EvaluationContext}}, EvaluationContexts!{{EvaluationContextId}}, 0))",
    "SubstrateLabel": "Excel"
   },
   {
    "FieldDisagreementId": "effortless-xlsx|KnowledgeFragments.OwnerRoleAssignmentValidFrom",
    "Substrate": "effortless-xlsx",
    "RulebookField": "KnowledgeFragments.OwnerRoleAssignmentValidFrom",
    "TableConformance": "effortless-xlsx|KnowledgeFragments",
    "FieldClass": "lookup",
    "CellsFailed": 7,
    "DominantReason": "wrong/null value",
    "SemanticTypeIri": "urn:effortless:pko-extension#FieldDisagreement",
    "Name": "effortless-xlsx / KnowledgeFragments.OwnerRoleAssignmentValidFrom",
    "SampledCellCount": 7,
    "IsFullySampled": true,
    "Formula": "=INDEX(Roles!{{CurrentAssignmentValidFrom}}, MATCH({{OwnerRole}}, Roles!{{RoleId}}, 0))",
    "SubstrateLabel": "Excel"
   },
   {
    "FieldDisagreementId": "effortless-xlsx|KnowledgeFragments.DaysSinceActualReview",
    "Substrate": "effortless-xlsx",
    "RulebookField": "KnowledgeFragments.DaysSinceActualReview",
    "TableConformance": "effortless-xlsx|KnowledgeFragments",
    "FieldClass": "calculated",
    "CellsFailed": 3,
    "DominantReason": "wrong/null value",
    "SemanticTypeIri": "urn:effortless:pko-extension#FieldDisagreement",
    "Name": "effortless-xlsx / KnowledgeFragments.DaysSinceActualReview",
    "SampledCellCount": 3,
    "IsFullySampled": true,
    "Formula": "=IF({{HasReviewRecord}}, DATETIME_DIFF({{AsOfInstant}}, {{LastReviewedAt}}, \"days\"), 0)",
    "SubstrateLabel": "Excel"
   },
   {
    "FieldDisagreementId": "effortless-xlsx|KnowledgeFragments.EvidenceExpiryDays",
    "Substrate": "effortless-xlsx",
    "RulebookField": "KnowledgeFragments.EvidenceExpiryDays",
    "TableConformance": "effortless-xlsx|KnowledgeFragments",
    "FieldClass": "calculated",
    "CellsFailed": 1,
    "DominantReason": "wrong/null value",
    "SemanticTypeIri": "urn:effortless:pko-extension#FieldDisagreement",
    "Name": "effortless-xlsx / KnowledgeFragments.EvidenceExpiryDays",
    "SampledCellCount": 1,
    "IsFullySampled": true,
    "Formula": "=IF({{IsFromSingleWitness}}, 180, 365)",
    "SubstrateLabel": "Excel"
   },
   {
    "FieldDisagreementId": "effortless-xlsx|KnowledgeFragments.EvidenceHasExpired",
    "Substrate": "effortless-xlsx",
    "RulebookField": "KnowledgeFragments.EvidenceHasExpired",
    "TableConformance": "effortless-xlsx|KnowledgeFragments",
    "FieldClass": "calculated",
    "CellsFailed": 1,
    "DominantReason": "wrong/null value",
    "SemanticTypeIri": "urn:effortless:pko-extension#FieldDisagreement",
    "Name": "effortless-xlsx / KnowledgeFragments.EvidenceHasExpired",
    "SampledCellCount": 1,
    "IsFullySampled": true,
    "Formula": "=AND({{HasRecordedElicitation}}, {{EvidenceAgeDays}} &gt; {{EvidenceExpiryDays}})",
    "SubstrateLabel": "Excel"
   },
   {
    "FieldDisagreementId": "effortless-xlsx|KnowledgeFragments.FragilitySignalCount",
    "Substrate": "effortless-xlsx",
    "RulebookField": "KnowledgeFragments.FragilitySignalCount",
    "TableConformance": "effortless-xlsx|KnowledgeFragments",
    "FieldClass": "calculated",
    "CellsFailed": 1,
    "DominantReason": "wrong/null value",
    "SemanticTypeIri": "urn:effortless:pko-extension#FieldDisagreement",
    "Name": "effortless-xlsx / KnowledgeFragments.FragilitySignalCount",
    "SampledCellCount": 1,
    "IsFullySampled": true,
    "Formula": "=IF({{IsFromSingleWitness}}, 1, 0) + IF({{IsOverdueForReview}}, 1, 0) + IF({{IsLowConfidence}}, 1, 0) + IF({{HasOperationalReliance}}, 1, 0)",
    "SubstrateLabel": "Excel"
   },
   {
    "FieldDisagreementId": "effortless-xlsx|KnowledgeFragments.IsCompoundFragile",
    "Substrate": "effortless-xlsx",
    "RulebookField": "KnowledgeFragments.IsCompoundFragile",
    "TableConformance": "effortless-xlsx|KnowledgeFragments",
    "FieldClass": "calculated",
    "CellsFailed": 1,
    "DominantReason": "wrong/null value",
    "SemanticTypeIri": "urn:effortless:pko-extension#FieldDisagreement",
    "Name": "effortless-xlsx / KnowledgeFragments.IsCompoundFragile",
    "SampledCellCount": 1,
    "IsFullySampled": true,
    "Formula": "={{FragilitySignalCount}} &gt;= 3",
    "SubstrateLabel": "Excel"
   },
   {
    "FieldDisagreementId": "effortless-xlsx|KnowledgeFragments.CompoundFragileVersionKey",
    "Substrate": "effortless-xlsx",
    "RulebookField": "KnowledgeFragments.CompoundFragileVersionKey",
    "TableConformance": "effortless-xlsx|KnowledgeFragments",
    "FieldClass": "calculated",
    "CellsFailed": 1,
    "DominantReason": "wrong/null value",
    "SemanticTypeIri": "urn:effortless:pko-extension#FieldDisagreement",
    "Name": "effortless-xlsx / KnowledgeFragments.CompoundFragileVersionKey",
    "SampledCellCount": 1,
    "IsFullySampled": true,
    "Formula": "=IF({{IsCompoundFragile}}, {{ProcedureVersion}}, \"\")",
    "SubstrateLabel": "Excel"
   },
   {
    "FieldDisagreementId": "effortless-xlsx|KnowledgeFragments.EvidenceAgeDays",
    "Substrate": "effortless-xlsx",
    "RulebookField": "KnowledgeFragments.EvidenceAgeDays",
    "TableConformance": "effortless-xlsx|KnowledgeFragments",
    "FieldClass": "lookup",
    "CellsFailed": 3,
    "DominantReason": "wrong/null value",
    "SemanticTypeIri": "urn:effortless:pko-extension#FieldDisagreement",
    "Name": "effortless-xlsx / KnowledgeFragments.EvidenceAgeDays",
    "SampledCellCount": 3,
    "IsFullySampled": true,
    "Formula": "=INDEX(ElicitationSessions!{{DaysSinceElicited}}, MATCH({{ElicitationSession}}, ElicitationSessions!{{ElicitationSessionId}}, 0))",
    "SubstrateLabel": "Excel"
   },
   {
    "FieldDisagreementId": "effortless-xlsx|KnowledgeFragments.AgeDays",
    "Substrate": "effortless-xlsx",
    "RulebookField": "KnowledgeFragments.AgeDays",
    "TableConformance": "effortless-xlsx|KnowledgeFragments",
    "FieldClass": "calculated",
    "CellsFailed": 3,
    "DominantReason": "wrong/null value",
    "SemanticTypeIri": "urn:effortless:pko-extension#FieldDisagreement",
    "Name": "effortless-xlsx / KnowledgeFragments.AgeDays",
    "SampledCellCount": 3,
    "IsFullySampled": true,
    "Formula": "=DATETIME_DIFF({{AsOfInstant}}, {{ValidFrom}}, \"days\")",
    "SubstrateLabel": "Excel"
   },
   {
    "FieldDisagreementId": "effortless-xlsx|KnowledgeFragments.DaysAwaitingMyApproval",
    "Substrate": "effortless-xlsx",
    "RulebookField": "KnowledgeFragments.DaysAwaitingMyApproval",
    "TableConformance": "effortless-xlsx|KnowledgeFragments",
    "FieldClass": "calculated",
    "CellsFailed": 1,
    "DominantReason": "wrong/null value",
    "SemanticTypeIri": "urn:effortless:pko-extension#FieldDisagreement",
    "Name": "effortless-xlsx / KnowledgeFragments.DaysAwaitingMyApproval",
    "SampledCellCount": 1,
    "IsFullySampled": true,
    "Formula": "=IF({{IsMyUnfinishedApproval}}, DATETIME_DIFF({{AsOfInstant}}, {{ValidFrom}}, \"days\"), 0)",
    "SubstrateLabel": "Excel"
   },
   {
    "FieldDisagreementId": "effortless-xlsx|KnowledgeGaps.AsOfInstant",
    "Substrate": "effortless-xlsx",
    "RulebookField": "KnowledgeGaps.AsOfInstant",
    "TableConformance": "effortless-xlsx|KnowledgeGaps",
    "FieldClass": "lookup",
    "CellsFailed": 8,
    "DominantReason": "wrong/null value",
    "SemanticTypeIri": "urn:effortless:pko-extension#FieldDisagreement",
    "Name": "effortless-xlsx / KnowledgeGaps.AsOfInstant",
    "SampledCellCount": 8,
    "IsFullySampled": true,
    "Formula": "=INDEX(EvaluationContexts!{{AsOfInstant}}, MATCH({{EvaluationContext}}, EvaluationContexts!{{EvaluationContextId}}, 0))",
    "SubstrateLabel": "Excel"
   },
   {
    "FieldDisagreementId": "effortless-xlsx|KnowledgeGaps.DaysOpen",
    "Substrate": "effortless-xlsx",
    "RulebookField": "KnowledgeGaps.DaysOpen",
    "TableConformance": "effortless-xlsx|KnowledgeGaps",
    "FieldClass": "calculated",
    "CellsFailed": 1,
    "DominantReason": "wrong/null value",
    "SemanticTypeIri": "urn:effortless:pko-extension#FieldDisagreement",
    "Name": "effortless-xlsx / KnowledgeGaps.DaysOpen",
    "SampledCellCount": 1,
    "IsFullySampled": true,
    "Formula": "=IF({{IsOpen}}, DATETIME_DIFF({{AsOfInstant}}, {{IdentifiedAt}}, \"days\"), 0)",
    "SubstrateLabel": "Excel"
   },
   {
    "FieldDisagreementId": "effortless-xlsx|FAQs.Name",
    "Substrate": "effortless-xlsx",
    "RulebookField": "FAQs.Name",
    "TableConformance": "effortless-xlsx|FAQs",
    "FieldClass": "calculated",
    "CellsFailed": 3,
    "DominantReason": "missing entity file",
    "SemanticTypeIri": "urn:effortless:pko-extension#FieldDisagreement",
    "Name": "effortless-xlsx / FAQs.Name",
    "SampledCellCount": 3,
    "IsFullySampled": true,
    "Formula": "={{Question}}",
    "SubstrateLabel": "Excel"
   },
   {
    "FieldDisagreementId": "effortless-xlsx|ProcedureExecutions.LateStepCount",
    "Substrate": "effortless-xlsx",
    "RulebookField": "ProcedureExecutions.LateStepCount",
    "TableConformance": "effortless-xlsx|ProcedureExecutions",
    "FieldClass": "aggregation",
    "CellsFailed": 2,
    "DominantReason": "wrong/null value",
    "SemanticTypeIri": "urn:effortless:pko-extension#FieldDisagreement",
    "Name": "effortless-xlsx / ProcedureExecutions.LateStepCount",
    "SampledCellCount": 2,
    "IsFullySampled": true,
    "Formula": "=COUNTIFS(StepExecutions!{{LateExecutionKey}}, {{ProcedureExecutionId}})",
    "SubstrateLabel": "Excel"
   },
   {
    "FieldDisagreementId": "effortless-xlsx|ProcedureExecutions.UncleanStepCount",
    "Substrate": "effortless-xlsx",
    "RulebookField": "ProcedureExecutions.UncleanStepCount",
    "TableConformance": "effortless-xlsx|ProcedureExecutions",
    "FieldClass": "aggregation",
    "CellsFailed": 2,
    "DominantReason": "wrong/null value",
    "SemanticTypeIri": "urn:effortless:pko-extension#FieldDisagreement",
    "Name": "effortless-xlsx / ProcedureExecutions.UncleanStepCount",
    "SampledCellCount": 2,
    "IsFullySampled": true,
    "Formula": "=COUNTIFS(StepExecutions!{{ProcedureExecutionWhenUnclean}}, {{ProcedureExecutionId}})",
    "SubstrateLabel": "Excel"
   },
   {
    "FieldDisagreementId": "effortless-xlsx|ProcedureExecutions.RanClean",
    "Substrate": "effortless-xlsx",
    "RulebookField": "ProcedureExecutions.RanClean",
    "TableConformance": "effortless-xlsx|ProcedureExecutions",
    "FieldClass": "calculated",
    "CellsFailed": 2,
    "DominantReason": "wrong/null value",
    "SemanticTypeIri": "urn:effortless:pko-extension#FieldDisagreement",
    "Name": "effortless-xlsx / ProcedureExecutions.RanClean",
    "SampledCellCount": 2,
    "IsFullySampled": true,
    "Formula": "={{UncleanStepCount}} = 0",
    "SubstrateLabel": "Excel"
   },
   {
    "FieldDisagreementId": "effortless-xlsx|ProcedureExecutions.VacuouslyCleanStepCount",
    "Substrate": "effortless-xlsx",
    "RulebookField": "ProcedureExecutions.VacuouslyCleanStepCount",
    "TableConformance": "effortless-xlsx|ProcedureExecutions",
    "FieldClass": "aggregation",
    "CellsFailed": 2,
    "DominantReason": "wrong/null value",
    "SemanticTypeIri": "urn:effortless:pko-extension#FieldDisagreement",
    "Name": "effortless-xlsx / ProcedureExecutions.VacuouslyCleanStepCount",
    "SampledCellCount": 2,
    "IsFullySampled": true,
    "Formula": "=COUNTIFS(StepExecutions!{{VacuouslyCleanExecutionKey}}, {{ProcedureExecutionId}})",
    "SubstrateLabel": "Excel"
   },
   {
    "FieldDisagreementId": "effortless-xlsx|ProcedureExecutions.LatestAttestationInstant",
    "Substrate": "effortless-xlsx",
    "RulebookField": "ProcedureExecutions.LatestAttestationInstant",
    "TableConformance": "effortless-xlsx|ProcedureExecutions",
    "FieldClass": "aggregation",
    "CellsFailed": 2,
    "DominantReason": "wrong/null value",
    "SemanticTypeIri": "urn:effortless:pko-extension#FieldDisagreement",
    "Name": "effortless-xlsx / ProcedureExecutions.LatestAttestationInstant",
    "SampledCellCount": 2,
    "IsFullySampled": true,
    "Formula": "=MAXIFS(Attestations!{{SignedAt}}, Attestations!{{ProcedureExecution}}, {{ProcedureExecutionId}})",
    "SubstrateLabel": "Excel"
   },
   {
    "FieldDisagreementId": "effortless-xlsx|ProcedureExecutions.MishandledRefusalCount",
    "Substrate": "effortless-xlsx",
    "RulebookField": "ProcedureExecutions.MishandledRefusalCount",
    "TableConformance": "effortless-xlsx|ProcedureExecutions",
    "FieldClass": "aggregation",
    "CellsFailed": 1,
    "DominantReason": "wrong/null value",
    "SemanticTypeIri": "urn:effortless:pko-extension#FieldDisagreement",
    "Name": "effortless-xlsx / ProcedureExecutions.MishandledRefusalCount",
    "SampledCellCount": 1,
    "IsFullySampled": true,
    "Formula": "=COUNTIFS(SendIntents!{{RefusalFailureExecutionKey}}, {{ProcedureExecutionId}})",
    "SubstrateLabel": "Excel"
   },
   {
    "FieldDisagreementId": "effortless-xlsx|ProcedureExecutions.UngovernedDivergenceCount",
    "Substrate": "effortless-xlsx",
    "RulebookField": "ProcedureExecutions.UngovernedDivergenceCount",
    "TableConformance": "effortless-xlsx|ProcedureExecutions",
    "FieldClass": "aggregation",
    "CellsFailed": 1,
    "DominantReason": "wrong/null value",
    "SemanticTypeIri": "urn:effortless:pko-extension#FieldDisagreement",
    "Name": "effortless-xlsx / ProcedureExecutions.UngovernedDivergenceCount",
    "SampledCellCount": 1,
    "IsFullySampled": true,
    "Formula": "=COUNTIFS(StepExecutions!{{UngovernedDivergenceExecutionKey}}, {{ProcedureExecutionId}})",
    "SubstrateLabel": "Excel"
   },
   {
    "FieldDisagreementId": "effortless-xlsx|ProcedureExecutions.DivergenceWasFullyGoverned",
    "Substrate": "effortless-xlsx",
    "RulebookField": "ProcedureExecutions.DivergenceWasFullyGoverned",
    "TableConformance": "effortless-xlsx|ProcedureExecutions",
    "FieldClass": "calculated",
    "CellsFailed": 1,
    "DominantReason": "wrong/null value",
    "SemanticTypeIri": "urn:effortless:pko-extension#FieldDisagreement",
    "Name": "effortless-xlsx / ProcedureExecutions.DivergenceWasFullyGoverned",
    "SampledCellCount": 1,
    "IsFullySampled": true,
    "Formula": "=AND({{DivergedFromSpecification}}, {{UngovernedDivergenceCount}} = 0)",
    "SubstrateLabel": "Excel"
   },
   {
    "FieldDisagreementId": "effortless-xlsx|StepExecutions.ActualDurationMinutes",
    "Substrate": "effortless-xlsx",
    "RulebookField": "StepExecutions.ActualDurationMinutes",
    "TableConformance": "effortless-xlsx|StepExecutions",
    "FieldClass": "calculated",
    "CellsFailed": 12,
    "DominantReason": "wrong/null value",
    "SemanticTypeIri": "urn:effortless:pko-extension#FieldDisagreement",
    "Name": "effortless-xlsx / StepExecutions.ActualDurationMinutes",
    "SampledCellCount": 12,
    "IsFullySampled": true,
    "Formula": "=IF({{EndedAt}} = \"\", 0, DATETIME_DIFF({{EndedAt}}, {{StartedAt}}, \"minutes\"))",
    "SubstrateLabel": "Excel"
   },
   {
    "FieldDisagreementId": "effortless-xlsx|StepExecutions.IsLate",
    "Substrate": "effortless-xlsx",
    "RulebookField": "StepExecutions.IsLate",
    "TableConformance": "effortless-xlsx|StepExecutions",
    "FieldClass": "calculated",
    "CellsFailed": 12,
    "DominantReason": "wrong/null value",
    "SemanticTypeIri": "urn:effortless:pko-extension#FieldDisagreement",
    "Name": "effortless-xlsx / StepExecutions.IsLate",
    "SampledCellCount": 12,
    "IsFullySampled": true,
    "Formula": "={{ActualDurationMinutes}} &gt; {{ExpectedDurationMinutes}}",
    "SubstrateLabel": "Excel"
   },
   {
    "FieldDisagreementId": "effortless-xlsx|StepExecutions.IsLateAndUnexplained",
    "Substrate": "effortless-xlsx",
    "RulebookField": "StepExecutions.IsLateAndUnexplained",
    "TableConformance": "effortless-xlsx|StepExecutions",
    "FieldClass": "calculated",
    "CellsFailed": 12,
    "DominantReason": "wrong/null value",
    "SemanticTypeIri": "urn:effortless:pko-extension#FieldDisagreement",
    "Name": "effortless-xlsx / StepExecutions.IsLateAndUnexplained",
    "SampledCellCount": 12,
    "IsFullySampled": true,
    "Formula": "=AND({{IsLate}}, NOT({{HasDeviationNote}}))",
    "SubstrateLabel": "Excel"
   },
   {
    "FieldDisagreementId": "effortless-xlsx|StepExecutions.HadUninvokedExceptionAvailable",
    "Substrate": "effortless-xlsx",
    "RulebookField": "StepExecutions.HadUninvokedExceptionAvailable",
    "TableConformance": "effortless-xlsx|StepExecutions",
    "FieldClass": "calculated",
    "CellsFailed": 12,
    "DominantReason": "wrong/null value",
    "SemanticTypeIri": "urn:effortless:pko-extension#FieldDisagreement",
    "Name": "effortless-xlsx / StepExecutions.HadUninvokedExceptionAvailable",
    "SampledCellCount": 12,
    "IsFullySampled": true,
    "Formula": "=AND({{IsLateAndUnexplained}}, {{AvailableExceptionCountForStep}} &gt; 0)",
    "SubstrateLabel": "Excel"
   },
   {
    "FieldDisagreementId": "effortless-xlsx|StepExecutions.LateExecutionKey",
    "Substrate": "effortless-xlsx",
    "RulebookField": "StepExecutions.LateExecutionKey",
    "TableConformance": "effortless-xlsx|StepExecutions",
    "FieldClass": "calculated",
    "CellsFailed": 12,
    "DominantReason": "wrong/null value",
    "SemanticTypeIri": "urn:effortless:pko-extension#FieldDisagreement",
    "Name": "effortless-xlsx / StepExecutions.LateExecutionKey",
    "SampledCellCount": 12,
    "IsFullySampled": true,
    "Formula": "=IF({{IsLate}}, {{ProcedureExecution}}, \"\")",
    "SubstrateLabel": "Excel"
   },
   {
    "FieldDisagreementId": "effortless-xlsx|StepExecutions.IsClean",
    "Substrate": "effortless-xlsx",
    "RulebookField": "StepExecutions.IsClean",
    "TableConformance": "effortless-xlsx|StepExecutions",
    "FieldClass": "calculated",
    "CellsFailed": 12,
    "DominantReason": "wrong/null value",
    "SemanticTypeIri": "urn:effortless:pko-extension#FieldDisagreement",
    "Name": "effortless-xlsx / StepExecutions.IsClean",
    "SampledCellCount": 12,
    "IsFullySampled": true,
    "Formula": "=AND({{VerificationResult}} = \"PASS\", NOT({{HasDeviation}}), {{UnresolvedIssueCount}} = 0, NOT({{IsLate}}))",
    "SubstrateLabel": "Excel"
   },
   {
    "FieldDisagreementId": "effortless-xlsx|StepExecutions.ProcedureExecutionWhenUnclean",
    "Substrate": "effortless-xlsx",
    "RulebookField": "StepExecutions.ProcedureExecutionWhenUnclean",
    "TableConformance": "effortless-xlsx|StepExecutions",
    "FieldClass": "calculated",
    "CellsFailed": 12,
    "DominantReason": "wrong/null value",
    "SemanticTypeIri": "urn:effortless:pko-extension#FieldDisagreement",
    "Name": "effortless-xlsx / StepExecutions.ProcedureExecutionWhenUnclean",
    "SampledCellCount": 12,
    "IsFullySampled": true,
    "Formula": "=IF({{IsClean}}, \"\", {{ProcedureExecution}})",
    "SubstrateLabel": "Excel"
   },
   {
    "FieldDisagreementId": "effortless-xlsx|StepExecutions.IsVacuouslyClean",
    "Substrate": "effortless-xlsx",
    "RulebookField": "StepExecutions.IsVacuouslyClean",
    "TableConformance": "effortless-xlsx|StepExecutions",
    "FieldClass": "calculated",
    "CellsFailed": 12,
    "DominantReason": "wrong/null value",
    "SemanticTypeIri": "urn:effortless:pko-extension#FieldDisagreement",
    "Name": "effortless-xlsx / StepExecutions.IsVacuouslyClean",
    "SampledCellCount": 12,
    "IsFullySampled": true,
    "Formula": "=AND({{IsClean}}, {{IsUncheckedByDesign}})",
    "SubstrateLabel": "Excel"
   },
   {
    "FieldDisagreementId": "effortless-xlsx|StepExecutions.IsSubstantivelyClean",
    "Substrate": "effortless-xlsx",
    "RulebookField": "StepExecutions.IsSubstantivelyClean",
    "TableConformance": "effortless-xlsx|StepExecutions",
    "FieldClass": "calculated",
    "CellsFailed": 12,
    "DominantReason": "wrong/null value",
    "SemanticTypeIri": "urn:effortless:pko-extension#FieldDisagreement",
    "Name": "effortless-xlsx / StepExecutions.IsSubstantivelyClean",
    "SampledCellCount": 12,
    "IsFullySampled": true,
    "Formula": "=AND({{IsClean}}, {{PerformedCheckCount}} &gt;= {{DeclaredCheckCount}}, {{DeclaredCheckCount}} &gt; 0)",
    "SubstrateLabel": "Excel"
   },
   {
    "FieldDisagreementId": "effortless-xlsx|StepExecutions.VacuouslyCleanExecutionKey",
    "Substrate": "effortless-xlsx",
    "RulebookField": "StepExecutions.VacuouslyCleanExecutionKey",
    "TableConformance": "effortless-xlsx|StepExecutions",
    "FieldClass": "calculated",
    "CellsFailed": 12,
    "DominantReason": "wrong/null value",
    "SemanticTypeIri": "urn:effortless:pko-extension#FieldDisagreement",
    "Name": "effortless-xlsx / StepExecutions.VacuouslyCleanExecutionKey",
    "SampledCellCount": 12,
    "IsFullySampled": true,
    "Formula": "=IF({{IsVacuouslyClean}}, {{ProcedureExecution}}, \"\")",
    "SubstrateLabel": "Excel"
   },
   {
    "FieldDisagreementId": "effortless-xlsx|StepExecutions.IsUngovernedDivergence",
    "Substrate": "effortless-xlsx",
    "RulebookField": "StepExecutions.IsUngovernedDivergence",
    "TableConformance": "effortless-xlsx|StepExecutions",
    "FieldClass": "calculated",
    "CellsFailed": 12,
    "DominantReason": "wrong/null value",
    "SemanticTypeIri": "urn:effortless:pko-extension#FieldDisagreement",
    "Name": "effortless-xlsx / StepExecutions.IsUngovernedDivergence",
    "SampledCellCount": 12,
    "IsFullySampled": true,
    "Formula": "=AND(OR({{HasDeviation}}, {{IsLate}}, {{ProceededPastBlockingControl}}), NOT({{HasGoverningInstrument}}))",
    "SubstrateLabel": "Excel"
   },
   {
    "FieldDisagreementId": "effortless-xlsx|StepExecutions.UngovernedDivergenceExecutionKey",
    "Substrate": "effortless-xlsx",
    "RulebookField": "StepExecutions.UngovernedDivergenceExecutionKey",
    "TableConformance": "effortless-xlsx|StepExecutions",
    "FieldClass": "calculated",
    "CellsFailed": 12,
    "DominantReason": "wrong/null value",
    "SemanticTypeIri": "urn:effortless:pko-extension#FieldDisagreement",
    "Name": "effortless-xlsx / StepExecutions.UngovernedDivergenceExecutionKey",
    "SampledCellCount": 12,
    "IsFullySampled": true,
    "Formula": "=IF({{IsUngovernedDivergence}}, {{ProcedureExecution}}, \"\")",
    "SubstrateLabel": "Excel"
   },
   {
    "FieldDisagreementId": "effortless-xlsx|StepExecutions.StaleAuthoritativeSourceCount",
    "Substrate": "effortless-xlsx",
    "RulebookField": "StepExecutions.StaleAuthoritativeSourceCount",
    "TableConformance": "effortless-xlsx|StepExecutions",
    "FieldClass": "lookup",
    "CellsFailed": 2,
    "DominantReason": "wrong/null value",
    "SemanticTypeIri": "urn:effortless:pko-extension#FieldDisagreement",
    "Name": "effortless-xlsx / StepExecutions.StaleAuthoritativeSourceCount",
    "SampledCellCount": 2,
    "IsFullySampled": true,
    "Formula": "=INDEX(Steps!{{AuthoritativeStaleCount}}, MATCH({{Step}}, Steps!{{StepId}}, 0))",
    "SubstrateLabel": "Excel"
   },
   {
    "FieldDisagreementId": "effortless-xlsx|StepExecutions.RanOnStaleAuthoritativeSource",
    "Substrate": "effortless-xlsx",
    "RulebookField": "StepExecutions.RanOnStaleAuthoritativeSource",
    "TableConformance": "effortless-xlsx|StepExecutions",
    "FieldClass": "calculated",
    "CellsFailed": 2,
    "DominantReason": "wrong/null value",
    "SemanticTypeIri": "urn:effortless:pko-extension#FieldDisagreement",
    "Name": "effortless-xlsx / StepExecutions.RanOnStaleAuthoritativeSource",
    "SampledCellCount": 2,
    "IsFullySampled": true,
    "Formula": "={{StaleAuthoritativeSourceCount}} &gt; 0",
    "SubstrateLabel": "Excel"
   },
   {
    "FieldDisagreementId": "effortless-xlsx|StepExecutions.InputsWereFreshAtRun",
    "Substrate": "effortless-xlsx",
    "RulebookField": "StepExecutions.InputsWereFreshAtRun",
    "TableConformance": "effortless-xlsx|StepExecutions",
    "FieldClass": "lookup",
    "CellsFailed": 2,
    "DominantReason": "wrong/null value",
    "SemanticTypeIri": "urn:effortless:pko-extension#FieldDisagreement",
    "Name": "effortless-xlsx / StepExecutions.InputsWereFreshAtRun",
    "SampledCellCount": 2,
    "IsFullySampled": true,
    "Formula": "=INDEX(Steps!{{InputsAreFresh}}, MATCH({{Step}}, Steps!{{StepId}}, 0))",
    "SubstrateLabel": "Excel"
   },
   {
    "FieldDisagreementId": "effortless-xlsx|StepExecut</t>
  </si>
  <si>
    <t xml:space="preserve">ions.RanOnStaleInputs",
    "Substrate": "effortless-xlsx",
    "RulebookField": "StepExecutions.RanOnStaleInputs",
    "TableConformance": "effortless-xlsx|StepExecutions",
    "FieldClass": "calculated",
    "CellsFailed": 2,
    "DominantReason": "wrong/null value",
    "SemanticTypeIri": "urn:effortless:pko-extension#FieldDisagreement",
    "Name": "effortless-xlsx / StepExecutions.RanOnStaleInputs",
    "SampledCellCount": 2,
    "IsFullySampled": true,
    "Formula": "=AND({{ExecutionStatus}} = \"Completed\", NOT({{InputsWereFreshAtRun}}))",
    "SubstrateLabel": "Excel"
   },
   {
    "FieldDisagreementId": "effortless-xlsx|StepExecutions.DraftedFromUnusableSource",
    "Substrate": "effortless-xlsx",
    "RulebookField": "StepExecutions.DraftedFromUnusableSource",
    "TableConformance": "effortless-xlsx|StepExecutions",
    "FieldClass": "calculated",
    "CellsFailed": 2,
    "DominantReason": "wrong/null value",
    "SemanticTypeIri": "urn:effortless:pko-extension#FieldDisagreement",
    "Name": "effortless-xlsx / StepExecutions.DraftedFromUnusableSource",
    "SampledCellCount": 2,
    "IsFullySampled": true,
    "Formula": "=AND({{ExecutionStatus}} = \"Completed\", NOT({{InputsWereUsable}}))",
    "SubstrateLabel": "Excel"
   },
   {
    "FieldDisagreementId": "effortless-xlsx|StepExecutions.InputsWereUsable",
    "Substrate": "effortless-xlsx",
    "RulebookField": "StepExecutions.InputsWereUsable",
    "TableConformance": "effortless-xlsx|StepExecutions",
    "FieldClass": "lookup",
    "CellsFailed": 2,
    "DominantReason": "wrong/null value",
    "SemanticTypeIri": "urn:effortless:pko-extension#FieldDisagreement",
    "Name": "effortless-xlsx / StepExecutions.InputsWereUsable",
    "SampledCellCount": 2,
    "IsFullySampled": true,
    "Formula": "=INDEX(Steps!{{AllSourcesUsable}}, MATCH({{Step}}, Steps!{{StepId}}, 0))",
    "SubstrateLabel": "Excel"
   },
   {
    "FieldDisagreementId": "effortless-xlsx|StepExecutions.StalenessAnswerIsTenseDependent",
    "Substrate": "effortless-xlsx",
    "RulebookField": "StepExecutions.StalenessAnswerIsTenseDependent",
    "TableConformance": "effortless-xlsx|StepExecutions",
    "FieldClass": "calculated",
    "CellsFailed": 2,
    "DominantReason": "wrong/null value",
    "SemanticTypeIri": "urn:effortless:pko-extension#FieldDisagreement",
    "Name": "effortless-xlsx / StepExecutions.StalenessAnswerIsTenseDependent",
    "SampledCellCount": 2,
    "IsFullySampled": true,
    "Formula": "=NOT({{WasStaleWhenIRanIt}} = {{RanOnStaleAuthoritativeSource}})",
    "SubstrateLabel": "Excel"
   },
   {
    "FieldDisagreementId": "effortless-xlsx|RequirementSatisfactions.WasScoredAfterAttestation",
    "Substrate": "effortless-xlsx",
    "RulebookField": "RequirementSatisfactions.WasScoredAfterAttestation",
    "TableConformance": "effortless-xlsx|RequirementSatisfactions",
    "FieldClass": "calculated",
    "CellsFailed": 8,
    "DominantReason": "wrong/null value",
    "SemanticTypeIri": "urn:effortless:pko-extension#FieldDisagreement",
    "Name": "effortless-xlsx / RequirementSatisfactions.WasScoredAfterAttestation",
    "SampledCellCount": 8,
    "IsFullySampled": true,
    "Formula": "=DATETIME_DIFF({{EvaluatedAt}}, {{AttestationInstantForRun}}, \"minutes\") &gt; 0",
    "SubstrateLabel": "Excel"
   },
   {
    "FieldDisagreementId": "effortless-xlsx|RequirementSatisfactions.AttestationInstantForRun",
    "Substrate": "effortless-xlsx",
    "RulebookField": "RequirementSatisfactions.AttestationInstantForRun",
    "TableConformance": "effortless-xlsx|RequirementSatisfactions",
    "FieldClass": "lookup",
    "CellsFailed": 8,
    "DominantReason": "wrong/null value",
    "SemanticTypeIri": "urn:effortless:pko-extension#FieldDisagreement",
    "Name": "effortless-xlsx / RequirementSatisfactions.AttestationInstantForRun",
    "SampledCellCount": 8,
    "IsFullySampled": true,
    "Formula": "=INDEX(ProcedureExecutions!{{LatestAttestationInstant}}, MATCH({{ParentProcedureExecution}}, ProcedureExecutions!{{ProcedureExecutionId}}, 0))",
    "SubstrateLabel": "Excel"
   },
   {
    "FieldDisagreementId": "effortless-xlsx|RequirementSatisfactions.PostAttestationScoreExecutionKey",
    "Substrate": "effortless-xlsx",
    "RulebookField": "RequirementSatisfactions.PostAttestationScoreExecutionKey",
    "TableConformance": "effortless-xlsx|RequirementSatisfactions",
    "FieldClass": "calculated",
    "CellsFailed": 8,
    "DominantReason": "wrong/null value",
    "SemanticTypeIri": "urn:effortless:pko-extension#FieldDisagreement",
    "Name": "effortless-xlsx / RequirementSatisfactions.PostAttestationScoreExecutionKey",
    "SampledCellCount": 8,
    "IsFullySampled": true,
    "Formula": "=IF({{WasScoredAfterAttestation}}, {{ParentProcedureExecution}}, \"\")",
    "SubstrateLabel": "Excel"
   },
   {
    "FieldDisagreementId": "effortless-xlsx|IssueOccurrences.Name",
    "Substrate": "effortless-xlsx",
    "RulebookField": "IssueOccurrences.Name",
    "TableConformance": "effortless-xlsx|IssueOccurrences",
    "FieldClass": "calculated",
    "CellsFailed": 2,
    "DominantReason": "wrong/null value",
    "SemanticTypeIri": "urn:effortless:pko-extension#FieldDisagreement",
    "Name": "effortless-xlsx / IssueOccurrences.Name",
    "SampledCellCount": 2,
    "IsFullySampled": true,
    "Formula": "={{Error}} &amp; \" @ \" &amp; {{OccurredAt}}",
    "SubstrateLabel": "Excel"
   },
   {
    "FieldDisagreementId": "effortless-xlsx|StewardshipAssignments.AsOfInstant",
    "Substrate": "effortless-xlsx",
    "RulebookField": "StewardshipAssignments.AsOfInstant",
    "TableConformance": "effortless-xlsx|StewardshipAssignments",
    "FieldClass": "lookup",
    "CellsFailed": 2,
    "DominantReason": "wrong/null value",
    "SemanticTypeIri": "urn:effortless:pko-extension#FieldDisagreement",
    "Name": "effortless-xlsx / StewardshipAssignments.AsOfInstant",
    "SampledCellCount": 2,
    "IsFullySampled": true,
    "Formula": "=INDEX(EvaluationContexts!{{AsOfInstant}}, MATCH({{EvaluationContext}}, EvaluationContexts!{{EvaluationContextId}}, 0))",
    "SubstrateLabel": "Excel"
   },
   {
    "FieldDisagreementId": "effortless-xlsx|ChangeRequests.AsOfInstant",
    "Substrate": "effortless-xlsx",
    "RulebookField": "ChangeRequests.AsOfInstant",
    "TableConformance": "effortless-xlsx|ChangeRequests",
    "FieldClass": "lookup",
    "CellsFailed": 2,
    "DominantReason": "wrong/null value",
    "SemanticTypeIri": "urn:effortless:pko-extension#FieldDisagreement",
    "Name": "effortless-xlsx / ChangeRequests.AsOfInstant",
    "SampledCellCount": 2,
    "IsFullySampled": true,
    "Formula": "=INDEX(EvaluationContexts!{{AsOfInstant}}, MATCH({{EvaluationContext}}, EvaluationContexts!{{EvaluationContextId}}, 0))",
    "SubstrateLabel": "Excel"
   },
   {
    "FieldDisagreementId": "effortless-xlsx|ChangeRequests.DaysPending",
    "Substrate": "effortless-xlsx",
    "RulebookField": "ChangeRequests.DaysPending",
    "TableConformance": "effortless-xlsx|ChangeRequests",
    "FieldClass": "calculated",
    "CellsFailed": 1,
    "DominantReason": "wrong/null value",
    "SemanticTypeIri": "urn:effortless:pko-extension#FieldDisagreement",
    "Name": "effortless-xlsx / ChangeRequests.DaysPending",
    "SampledCellCount": 1,
    "IsFullySampled": true,
    "Formula": "=IF({{IsDecided}}, DATETIME_DIFF({{DecidedAt}}, {{RequestedAt}}, \"days\"), DATETIME_DIFF({{AsOfInstant}}, {{RequestedAt}}, \"days\"))",
    "SubstrateLabel": "Excel"
   },
   {
    "FieldDisagreementId": "effortless-xlsx|ChangeRequests.DecisionLatencyDays",
    "Substrate": "effortless-xlsx",
    "RulebookField": "ChangeRequests.DecisionLatencyDays",
    "TableConformance": "effortless-xlsx|ChangeRequests",
    "FieldClass": "calculated",
    "CellsFailed": 1,
    "DominantReason": "wrong/null value",
    "SemanticTypeIri": "urn:effortless:pko-extension#FieldDisagreement",
    "Name": "effortless-xlsx / ChangeRequests.DecisionLatencyDays",
    "SampledCellCount": 1,
    "IsFullySampled": true,
    "Formula": "=IF({{IsDecided}}, DATETIME_DIFF({{DecidedAt}}, {{RequestedAt}}, \"days\"), 0)",
    "SubstrateLabel": "Excel"
   },
   {
    "FieldDisagreementId": "effortless-xlsx|ReviewEvents.AsOfInstant",
    "Substrate": "effortless-xlsx",
    "RulebookField": "ReviewEvents.AsOfInstant",
    "TableConformance": "effortless-xlsx|ReviewEvents",
    "FieldClass": "lookup",
    "CellsFailed": 3,
    "DominantReason": "wrong/null value",
    "SemanticTypeIri": "urn:effortless:pko-extension#FieldDisagreement",
    "Name": "effortless-xlsx / ReviewEvents.AsOfInstant",
    "SampledCellCount": 3,
    "IsFullySampled": true,
    "Formula": "=INDEX(EvaluationContexts!{{AsOfInstant}}, MATCH({{EvaluationContext}}, EvaluationContexts!{{EvaluationContextId}}, 0))",
    "SubstrateLabel": "Excel"
   },
   {
    "FieldDisagreementId": "effortless-xlsx|ReviewEvents.DaysSinceReviewed",
    "Substrate": "effortless-xlsx",
    "RulebookField": "ReviewEvents.DaysSinceReviewed",
    "TableConformance": "effortless-xlsx|ReviewEvents",
    "FieldClass": "calculated",
    "CellsFailed": 3,
    "DominantReason": "wrong/null value",
    "SemanticTypeIri": "urn:effortless:pko-extension#FieldDisagreement",
    "Name": "effortless-xlsx / ReviewEvents.DaysSinceReviewed",
    "SampledCellCount": 3,
    "IsFullySampled": true,
    "Formula": "=DATETIME_DIFF({{AsOfInstant}}, {{ReviewedAt}}, \"days\")",
    "SubstrateLabel": "Excel"
   },
   {
    "FieldDisagreementId": "effortless-xlsx|ReviewEvents.CadenceDriftDays",
    "Substrate": "effortless-xlsx",
    "RulebookField": "ReviewEvents.CadenceDriftDays",
    "TableConformance": "effortless-xlsx|ReviewEvents",
    "FieldClass": "calculated",
    "CellsFailed": 3,
    "DominantReason": "wrong/null value",
    "SemanticTypeIri": "urn:effortless:pko-extension#FieldDisagreement",
    "Name": "effortless-xlsx / ReviewEvents.CadenceDriftDays",
    "SampledCellCount": 3,
    "IsFullySampled": true,
    "Formula": "={{DaysSinceReviewed}} - {{PromisedCadenceDays}}",
    "SubstrateLabel": "Excel"
   },
   {
    "FieldDisagreementId": "effortless-xlsx|LearningActivities.Name",
    "Substrate": "effortless-xlsx",
    "RulebookField": "LearningActivities.Name",
    "TableConformance": "effortless-xlsx|LearningActivities",
    "FieldClass": "calculated",
    "CellsFailed": 2,
    "DominantReason": "wrong/null value",
    "SemanticTypeIri": "urn:effortless:pko-extension#FieldDisagreement",
    "Name": "effortless-xlsx / LearningActivities.Name",
    "SampledCellCount": 2,
    "IsFullySampled": true,
    "Formula": "={{ActivityKind}} &amp; \" / \" &amp; {{OccurredAt}}",
    "SubstrateLabel": "Excel"
   },
   {
    "FieldDisagreementId": "effortless-xlsx|OperationalBindings.AsOfInstant",
    "Substrate": "effortless-xlsx",
    "RulebookField": "OperationalBindings.AsOfInstant",
    "TableConformance": "effortless-xlsx|OperationalBindings",
    "FieldClass": "lookup",
    "CellsFailed": 5,
    "DominantReason": "wrong/null value",
    "SemanticTypeIri": "urn:effortless:pko-extension#FieldDisagreement",
    "Name": "effortless-xlsx / OperationalBindings.AsOfInstant",
    "SampledCellCount": 5,
    "IsFullySampled": true,
    "Formula": "=INDEX(EvaluationContexts!{{AsOfInstant}}, MATCH({{EvaluationContext}}, EvaluationContexts!{{EvaluationContextId}}, 0))",
    "SubstrateLabel": "Excel"
   },
   {
    "FieldDisagreementId": "effortless-xlsx|OperationalBindings.AgeMinutes",
    "Substrate": "effortless-xlsx",
    "RulebookField": "OperationalBindings.AgeMinutes",
    "TableConformance": "effortless-xlsx|OperationalBindings",
    "FieldClass": "calculated",
    "CellsFailed": 5,
    "DominantReason": "wrong/null value",
    "SemanticTypeIri": "urn:effortless:pko-extension#FieldDisagreement",
    "Name": "effortless-xlsx / OperationalBindings.AgeMinutes",
    "SampledCellCount": 5,
    "IsFullySampled": true,
    "Formula": "=DATETIME_DIFF({{AsOfInstant}}, {{LastObservedAt}}, \"minutes\")",
    "SubstrateLabel": "Excel"
   },
   {
    "FieldDisagreementId": "effortless-xlsx|OperationalBindings.IsFresh",
    "Substrate": "effortless-xlsx",
    "RulebookField": "OperationalBindings.IsFresh",
    "TableConformance": "effortless-xlsx|OperationalBindings",
    "FieldClass": "calculated",
    "CellsFailed": 5,
    "DominantReason": "wrong/null value",
    "SemanticTypeIri": "urn:effortless:pko-extension#FieldDisagreement",
    "Name": "effortless-xlsx / OperationalBindings.IsFresh",
    "SampledCellCount": 5,
    "IsFullySampled": true,
    "Formula": "={{AgeMinutes}} &lt;= {{FreshnessSlaMinutes}}",
    "SubstrateLabel": "Excel"
   },
   {
    "FieldDisagreementId": "effortless-xlsx|OperationalBindings.StaleBindingStepKey",
    "Substrate": "effortless-xlsx",
    "RulebookField": "OperationalBindings.StaleBindingStepKey",
    "TableConformance": "effortless-xlsx|OperationalBindings",
    "FieldClass": "calculated",
    "CellsFailed": 5,
    "DominantReason": "wrong/null value",
    "SemanticTypeIri": "urn:effortless:pko-extension#FieldDisagreement",
    "Name": "effortless-xlsx / OperationalBindings.StaleBindingStepKey",
    "SampledCellCount": 5,
    "IsFullySampled": true,
    "Formula": "=IF(NOT({{IsFresh}}), {{Step}}, \"\")",
    "SubstrateLabel": "Excel"
   },
   {
    "FieldDisagreementId": "effortless-xlsx|OperationalBindings.AuthoritativeStaleStepKey",
    "Substrate": "effortless-xlsx",
    "RulebookField": "OperationalBindings.AuthoritativeStaleStepKey",
    "TableConformance": "effortless-xlsx|OperationalBindings",
    "FieldClass": "calculated",
    "CellsFailed": 5,
    "DominantReason": "wrong/null value",
    "SemanticTypeIri": "urn:effortless:pko-extension#FieldDisagreement",
    "Name": "effortless-xlsx / OperationalBindings.AuthoritativeStaleStepKey",
    "SampledCellCount": 5,
    "IsFullySampled": true,
    "Formula": "=IF(AND(NOT({{IsFresh}}), {{IsAuthoritative}}), {{Step}}, \"\")",
    "SubstrateLabel": "Excel"
   },
   {
    "FieldDisagreementId": "effortless-xlsx|OperationalBindings.IsStaleAndAuthoritative",
    "Substrate": "effortless-xlsx",
    "RulebookField": "OperationalBindings.IsStaleAndAuthoritative",
    "TableConformance": "effortless-xlsx|OperationalBindings",
    "FieldClass": "calculated",
    "CellsFailed": 5,
    "DominantReason": "wrong/null value",
    "SemanticTypeIri": "urn:effortless:pko-extension#FieldDisagreement",
    "Name": "effortless-xlsx / OperationalBindings.IsStaleAndAuthoritative",
    "SampledCellCount": 5,
    "IsFullySampled": true,
    "Formula": "=AND({{IsAuthoritative}}, NOT({{IsFresh}}))",
    "SubstrateLabel": "Excel"
   },
   {
    "FieldDisagreementId": "effortless-xlsx|OperationalBindings.StepWhenStale",
    "Substrate": "effortless-xlsx",
    "RulebookField": "OperationalBindings.StepWhenStale",
    "TableConformance": "effortless-xlsx|OperationalBindings",
    "FieldClass": "calculated",
    "CellsFailed": 5,
    "DominantReason": "wrong/null value",
    "SemanticTypeIri": "urn:effortless:pko-extension#FieldDisagreement",
    "Name": "effortless-xlsx / OperationalBindings.StepWhenStale",
    "SampledCellCount": 5,
    "IsFullySampled": true,
    "Formula": "=IF({{IsStaleAndAuthoritative}}, {{Step}}, \"\")",
    "SubstrateLabel": "Excel"
   },
   {
    "FieldDisagreementId": "effortless-xlsx|OperationalBindings.IsUsableForDrafting",
    "Substrate": "effortless-xlsx",
    "RulebookField": "OperationalBindings.IsUsableForDrafting",
    "TableConformance": "effortless-xlsx|OperationalBindings",
    "FieldClass": "calculated",
    "CellsFailed": 5,
    "DominantReason": "wrong/null value",
    "SemanticTypeIri": "urn:effortless:pko-extension#FieldDisagreement",
    "Name": "effortless-xlsx / OperationalBindings.IsUsableForDrafting",
    "SampledCellCount": 5,
    "IsFullySampled": true,
    "Formula": "=AND({{ResourceIsApproved}}, {{IsFresh}})",
    "SubstrateLabel": "Excel"
   },
   {
    "FieldDisagreementId": "effortless-xlsx|OperationalBindings.StepWhenUnusable",
    "Substrate": "effortless-xlsx",
    "RulebookField": "OperationalBindings.StepWhenUnusable",
    "TableConformance": "effortless-xlsx|OperationalBindings",
    "FieldClass": "calculated",
    "CellsFailed": 5,
    "DominantReason": "wrong/null value",
    "SemanticTypeIri": "urn:effortless:pko-extension#FieldDisagreement",
    "Name": "effortless-xlsx / OperationalBindings.StepWhenUnusable",
    "SampledCellCount": 5,
    "IsFullySampled": true,
    "Formula": "=IF({{IsUsableForDrafting}}, \"\", {{Step}})",
    "SubstrateLabel": "Excel"
   },
   {
    "FieldDisagreementId": "effortless-xlsx|MessageTemplates.LastApprovalAt",
    "Substrate": "effortless-xlsx",
    "RulebookField": "MessageTemplates.LastApprovalAt",
    "TableConformance": "effortless-xlsx|MessageTemplates",
    "FieldClass": "lookup",
    "CellsFailed": 2,
    "DominantReason": "wrong/null value",
    "SemanticTypeIri": "urn:effortless:pko-extension#FieldDisagreement",
    "Name": "effortless-xlsx / MessageTemplates.LastApprovalAt",
    "SampledCellCount": 2,
    "IsFullySampled": true,
    "Formula": "=INDEX(TemplateApprovals!{{DecidedAt}}, MATCH({{LastValidApproval}}, TemplateApprovals!{{TemplateApprovalId}}, 0))",
    "SubstrateLabel": "Excel"
   },
   {
    "FieldDisagreementId": "effortless-xlsx|RoleQuestions.PredicateCount",
    "Substrate": "effortless-xlsx",
    "RulebookField": "RoleQuestions.PredicateCount",
    "TableConformance": "effortless-xlsx|RoleQuestions",
    "FieldClass": "aggregation",
    "CellsFailed": 47,
    "DominantReason": "wrong/null value",
    "SemanticTypeIri": "urn:effortless:pko-extension#FieldDisagreement",
    "Name": "effortless-xlsx / RoleQuestions.PredicateCount",
    "SampledCellCount": 20,
    "IsFullySampled": false,
    "Formula": "=COUNTIFS(RulebookFields!{{InventedForQuestion}}, {{RoleQuestionId}})",
    "SubstrateLabel": "Excel"
   },
   {
    "FieldDisagreementId": "effortless-xlsx|RoleQuestions.IsAnswered",
    "Substrate": "effortless-xlsx",
    "RulebookField": "RoleQuestions.IsAnswered",
    "TableConformance": "effortless-xlsx|RoleQuestions",
    "FieldClass": "calculated",
    "CellsFailed": 18,
    "DominantReason": "wrong/null value",
    "SemanticTypeIri": "urn:effortless:pko-extension#FieldDisagreement",
    "Name": "effortless-xlsx / RoleQuestions.IsAnswered",
    "SampledCellCount": 18,
    "IsFullySampled": true,
    "Formula": "={{PredicateCount}} &gt; 0",
    "SubstrateLabel": "Excel"
   },
   {
    "FieldDisagreementId": "effortless-xlsx|TestSuites.TestCount",
    "Substrate": "effortless-xlsx",
    "RulebookField": "TestSuites.TestCount",
    "TableConformance": "effortless-xlsx|TestSuites",
    "FieldClass": "aggregation",
    "CellsFailed": 5,
    "DominantReason": "wrong/null value",
    "SemanticTypeIri": "urn:effortless:pko-extension#FieldDisagreement",
    "Name": "effortless-xlsx / TestSuites.TestCount",
    "SampledCellCount": 5,
    "IsFullySampled": true,
    "Formula": "=COUNTIFS(TestCases!{{Suite}}, {{TestSuiteId}})",
    "SubstrateLabel": "Excel"
   },
   {
    "FieldDisagreementId": "effortless-xlsx|TestSuites.PassCount",
    "Substrate": "effortless-xlsx",
    "RulebookField": "TestSuites.PassCount",
    "TableConformance": "effortless-xlsx|TestSuites",
    "FieldClass": "aggregation",
    "CellsFailed": 5,
    "DominantReason": "wrong/null value",
    "SemanticTypeIri": "urn:effortless:pko-extension#FieldDisagreement",
    "Name": "effortless-xlsx / TestSuites.PassCount",
    "SampledCellCount": 5,
    "IsFullySampled": true,
    "Formula": "=COUNTIFS(TestCases!{{PassingSuiteKey}}, {{TestSuiteId}})",
    "SubstrateLabel": "Excel"
   },
   {
    "FieldDisagreementId": "effortless-xlsx|ObservedTransitions.Name",
    "Substrate": "effortless-xlsx",
    "RulebookField": "ObservedTransitions.Name",
    "TableConformance": "effortless-xlsx|ObservedTransitions",
    "FieldClass": "calculated",
    "CellsFailed": 10,
    "DominantReason": "wrong/null value",
    "SemanticTypeIri": "urn:effortless:pko-extension#FieldDisagreement",
    "Name": "effortless-xlsx / ObservedTransitions.Name",
    "SampledCellCount": 10,
    "IsFullySampled": true,
    "Formula": "={{StepTransition}} &amp; \" @ \" &amp; {{ObservedAt}}",
    "SubstrateLabel": "Excel"
   },
   {
    "FieldDisagreementId": "effortless-xlsx|MessageDeliveries.Name",
    "Substrate": "effortless-xlsx",
    "RulebookField": "MessageDeliveries.Name",
    "TableConformance": "effortless-xlsx|MessageDeliveries",
    "FieldClass": "calculated",
    "CellsFailed": 6,
    "DominantReason": "wrong/null value",
    "SemanticTypeIri": "urn:effortless:pko-extension#FieldDisagreement",
    "Name": "effortless-xlsx / MessageDeliveries.Name",
    "SampledCellCount": 6,
    "IsFullySampled": true,
    "Formula": "={{Recipient}} &amp; \" / \" &amp; {{MessageTemplate}} &amp; \" / \" &amp; {{SentAt}}",
    "SubstrateLabel": "Excel"
   },
   {
    "FieldDisagreementId": "effortless-xlsx|MessageDeliveries.AsOfInstant",
    "Substrate": "effortless-xlsx",
    "RulebookField": "MessageDeliveries.AsOfInstant",
    "TableConformance": "effortless-xlsx|MessageDeliveries",
    "FieldClass": "lookup",
    "CellsFailed": 6,
    "DominantReason": "wrong/null value",
    "SemanticTypeIri": "urn:effortless:pko-extension#FieldDisagreement",
    "Name": "effortless-xlsx / MessageDeliveries.AsOfInstant",
    "SampledCellCount": 6,
    "IsFullySampled": true,
    "Formula": "=INDEX(EvaluationContexts!{{AsOfInstant}}, MATCH({{EvaluationContext}}, EvaluationContexts!{{EvaluationContextId}}, 0))",
    "SubstrateLabel": "Excel"
   },
   {
    "FieldDisagreementId": "effortless-xlsx|MessageDeliveries.AgeDays",
    "Substrate": "effortless-xlsx",
    "RulebookField": "MessageDeliveries.AgeDays",
    "TableConformance": "effortless-xlsx|MessageDeliveries",
    "FieldClass": "calculated",
    "CellsFailed": 5,
    "DominantReason": "wrong/null value",
    "SemanticTypeIri": "urn:effortless:pko-extension#FieldDisagreement",
    "Name": "effortless-xlsx / MessageDeliveries.AgeDays",
    "SampledCellCount": 5,
    "IsFullySampled": true,
    "Formula": "=DATETIME_DIFF({{AsOfInstant}}, {{SentAt}}, \"days\")",
    "SubstrateLabel": "Excel"
   },
   {
    "FieldDisagreementId": "effortless-xlsx|MessageDeliveries.SegmentCount",
    "Substrate": "effortless-xlsx",
    "RulebookField": "MessageDeliveries.SegmentCount",
    "TableConformance": "effortless-xlsx|MessageDeliveries",
    "FieldClass": "calculated",
    "CellsFailed": 6,
    "DominantReason": "wrong/null value",
    "SemanticTypeIri": "urn:effortless:pko-extension#FieldDisagreement",
    "Name": "effortless-xlsx / MessageDeliveries.SegmentCount",
    "SampledCellCount": 6,
    "IsFullySampled": true,
    "Formula": "=IF({{RenderedBodyLength}} = 0, 0, IF({{RenderedBodyLength}} &lt;= {{PolicyMaxMessageLengthAtSend}}, 1, ROUNDUP({{RenderedBodyLength}} / {{PolicyMaxMessageLengthAtSend}}, 0)))",
    "SubstrateLabel": "Excel"
   },
   {
    "FieldDisagreementId": "effortless-xlsx|MessageDeliveries.PolicyRequiresOptOut",
    "Substrate": "effortless-xlsx",
    "RulebookField": "MessageDeliveries.PolicyRequiresOptOut",
    "TableConformance": "effortless-xlsx|MessageDeliveries",
    "FieldClass": "calculated",
    "CellsFailed": 2,
    "DominantReason": "wrong/null value",
    "SemanticTypeIri": "urn:effortless:pko-extension#FieldDisagreement",
    "Name": "effortless-xlsx / MessageDeliveries.PolicyRequiresOptOut",
    "SampledCellCount": 2,
    "IsFullySampled": true,
    "Formula": "={{PolicyRequiredOptOutPhrase}} &lt;&gt; \"\"",
    "SubstrateLabel": "Excel"
   },
   {
    "FieldDisagreementId": "effortless-xlsx|MessageDeliveries.OptOutPhrasePosition",
    "Substrate": "effortless-xlsx",
    "RulebookField": "MessageDeliveries.OptOutPhrasePosition",
    "TableConformance": "effortless-xlsx|MessageDeliveries",
    "FieldClass": "calculated",
    "CellsFailed": 6,
    "DominantReason": "wrong/null value",
    "SemanticTypeIri": "urn:effortless:pko-extension#FieldDisagreement",
    "Name": "effortless-xlsx / MessageDeliveries.OptOutPhrasePosition",
    "SampledCellCount": 6,
    "IsFullySampled": true,
    "Formula": "=FIND({{PolicyRequiredOptOutPhrase}}, {{RenderedBody}})",
    "SubstrateLabel": "Excel"
   },
   {
    "FieldDisagreementId": "effortless-xlsx|MessageDeliveries.HasOptOutPhrase",
    "Substrate": "effortless-xlsx",
    "RulebookField": "MessageDeliveries.HasOptOutPhrase",
    "TableConformance": "effortless-xlsx|MessageDeliveries",
    "FieldClass": "calculated",
    "CellsFailed": 3,
    "DominantReason": "wrong/null value",
    "SemanticTypeIri": "urn:effortless:pko-extension#FieldDisagreement",
    "Name": "effortless-xlsx / MessageDeliveries.HasOptOutPhrase",
    "SampledCellCount": 3,
    "IsFullySampled": true,
    "Formula": "={{OptOutPhrasePosition}} &gt; 0",
    "SubstrateLabel": "Excel"
   },
   {
    "FieldDisagreementId": "effortless-xlsx|MessageDeliveries.IsOptOutInFirstSegment",
    "Substrate": "effortless-xlsx",
    "RulebookField": "MessageDeliveries.IsOptOutInFirstSegment",
    "TableConformance": "effortless-xlsx|MessageDeliveries",
    "FieldClass": "calculated",
    "CellsFailed": 3,
    "DominantReason": "wrong/null value",
    "SemanticTypeIri": "urn:effortless:pko-extension#FieldDisagreement",
    "Name": "effortless-xlsx / MessageDeliveries.IsOptOutInFirstSegment",
    "SampledCellCount": 3,
    "IsFullySampled": true,
    "Formula": "=AND({{HasOptOutPhrase}}, {{OptOutPhrasePosition}} &lt;= {{PolicyMaxMessageLengthAtSend}})",
    "SubstrateLabel": "Excel"
   },
   {
    "FieldDisagreementId": "effortless-xlsx|MessageDeliveries.IsMissingRequiredOptOut",
    "Substrate": "effortless-xlsx",
    "RulebookField": "MessageDeliveries.IsMissingRequiredOptOut",
    "TableConformance": "effortless-xlsx|MessageDeliveries",
    "FieldClass": "calculated",
    "CellsFailed": 3,
    "DominantReason": "wrong/null value",
    "SemanticTypeIri": "urn:effortless:pko-extension#FieldDisagreement",
    "Name": "effortless-xlsx / MessageDeliveries.IsMissingRequiredOptOut",
    "SampledCellCount": 3,
    "IsFullySampled": true,
    "Formula": "=AND({{WasActuallyTransmitted}}, AND({{PolicyRequiresOptOut}}, NOT({{HasOptOutPhrase}})))",
    "SubstrateLabel": "Excel"
   },
   {
    "FieldDisagreementId": "effortless-xlsx|MessageDeliveries.IsOptOutAtRiskOfTruncation",
    "Substrate": "effortless-xlsx",
    "RulebookField": "MessageDeliveries.IsOptOutAtRiskOfTruncation",
    "TableConformance": "effortless-xlsx|MessageDeliveries",
    "FieldClass": "calculated",
    "CellsFailed": 3,
    "DominantReason": "wrong/null value",
    "SemanticTypeIri": "urn:effortless:pko-extension#FieldDisagreement",
    "Name": "effortless-xlsx / MessageDeliveries.IsOptOutAtRiskOfTruncation",
    "SampledCellCount": 3,
    "IsFullySampled": true,
    "Formula": "=AND({{WasActuallyTransmitted}}, AND({{PolicyRequiresOptOut}}, AND({{HasOptOutPhrase}}, NOT({{IsOptOutInFirstSegment}}))))",
    "SubstrateLabel": "Excel"
   },
   {
    "FieldDisagreementId": "effortless-xlsx|MessageDeliveries.CurrentLastApprovalAt",
    "Substrate": "effortless-xlsx",
    "RulebookField": "MessageDeliveries.CurrentLastApprovalAt",
    "TableConformance": "effortless-xlsx|MessageDeliveries",
    "FieldClass": "lookup",
    "CellsFailed": 6,
    "DominantReason": "wrong/null value",
    "SemanticTypeIri": "urn:effortless:pko-extension#FieldDisagreement",
    "Name": "effortless-xlsx / MessageDeliveries.CurrentLastApprovalAt",
    "SampledCellCount": 6,
    "IsFullySampled": true,
    "Formula": "=INDEX(MessageTemplates!{{LastApprovalAt}}, MATCH({{MessageTemplate}}, MessageTemplates!{{MessageTemplateId}}, 0))",
    "SubstrateLabel": "Excel"
   },
   {
    "FieldDisagreementId": "effortless-xlsx|MessageDeliveries.OutstandingAgeDays",
    "Substrate": "effortless-xlsx",
    "RulebookField": "MessageDeliveries.OutstandingAgeDays",
    "TableConformance": "effortless-xlsx|MessageDeliveries",
    "FieldClass": "calculated",
    "CellsFailed": 2,
    "DominantReason": "wrong/null value",
    "SemanticTypeIri": "urn:effortless:pko-extension#FieldDisagreement",
    "Name": "effortless-xlsx / MessageDeliveries.OutstandingAgeDays",
    "SampledCellCount": 2,
    "IsFullySampled": true,
    "Formula": "=IF({{AcknowledgementIsOutstanding}}, DATETIME_DIFF({{AsOfInstant}}, {{SentAt}}, \"days\"), 0)",
    "SubstrateLabel": "Excel"
   },
   {
    "FieldDisagreementId": "effortless-xlsx|TemplateApprovals.Name",
    "Substrate": "effortless-xlsx",
    "RulebookField": "TemplateApprovals.Name",
    "TableConformance": "effortless-xlsx|TemplateApprovals",
    "FieldClass": "calculated",
    "CellsFailed": 2,
    "DominantReason": "wrong/null value",
    "SemanticTypeIri": "urn:effortless:pko-extension#FieldDisagreement",
    "Name": "effortless-xlsx / TemplateApprovals.Name",
    "SampledCellCount": 2,
    "IsFullySampled": true,
    "Formula": "={{MessageTemplate}} &amp; \" / \" &amp; {{Decision}} &amp; \" / \" &amp; {{DecidedAt}}",
    "SubstrateLabel": "Excel"
   },
   {
    "FieldDisagreementId": "effortless-xlsx|SendIntents.RefusalCitedAnException",
    "Substrate": "effortless-xlsx",
    "RulebookField": "SendIntents.RefusalCitedAnException",
    "TableConformance": "effortless-xlsx|SendIntents",
    "FieldClass": "calculated",
    "CellsFailed": 2,
    "DominantReason": "wrong/null value",
    "SemanticTypeIri": "urn:effortless:pko-extension#FieldDisagreement",
    "Name": "effortless-xlsx / SendIntents.RefusalCitedAnException",
    "SampledCellCount": 2,
    "IsFullySampled": true,
    "Formula": "={{ResultingDeliveryException}} &lt;&gt; \"\"",
    "SubstrateLabel": "Excel"
   },
   {
    "FieldDisagreementId": "effortless-xlsx|SendIntents.IsUnreportedRefusalOnMyRules",
    "Substrate": "effortless-xlsx",
    "RulebookField": "SendIntents.IsUnreportedRefusalOnMyRules",
    "TableConformance": "effortless-xlsx|SendIntents",
    "FieldClass": "calculated",
    "CellsFailed": 7,
    "DominantReason": "wrong/null value",
    "SemanticTypeIri": "urn:effortless:pko-extension#FieldDisagreement",
    "Name": "effortless-xlsx / SendIntents.IsUnreportedRefusalOnMyRules",
    "SampledCellCount": 7,
    "IsFullySampled": true,
    "Formula": "=AND({{RefusalWasOnMyRules}}, NOT({{ApproverWasNotified}}))",
    "SubstrateLabel": "Excel"
   },
   {
    "FieldDisagreementId": "effortless-xlsx|SendIntents.IsApprovalOverriddenSilently",
    "Substrate": "effortless-xlsx",
    "RulebookField": "SendIntents.IsApprovalOverriddenSilently",
    "TableConformance": "effortless-xlsx|SendIntents",
    "FieldClass": "calculated",
    "CellsFailed": 7,
    "DominantReason": "wrong/null value",
    "SemanticTypeIri": "urn:effortless:pko-extension#FieldDisagreement",
    "Name": "effortless-xlsx / SendIntents.IsApprovalOverriddenSilently",
    "SampledCellCount": 7,
    "IsFullySampled": true,
    "Formula": "=AND({{RefusedOnApprovedContent}}, NOT({{ApproverWasNotified}}))",
    "SubstrateLabel": "Excel"
   },
   {
    "FieldDisagreementId": "effortless-xlsx|SendIntents.ExceptionPrescribedAnAlternative",
    "Substrate": "effortless-xlsx",
    "RulebookField": "SendIntents.ExceptionPrescribedAnAlternative",
    "TableConformance": "effortless-xlsx|SendIntents",
    "FieldClass": "calculated",
    "CellsFailed": 2,
    "DominantReason": "wrong/null value",
    "SemanticTypeIri": "urn:effortless:pko-extension#FieldDisagreement",
    "Name": "effortless-xlsx / SendIntents.ExceptionPrescribedAnAlternative",
    "SampledCellCount": 2,
    "IsFullySampled": true,
    "Formula": "=AND({{RefusalCitedAnException}}, {{ResultingDeliveryException}} &lt;&gt; \"\")",
    "SubstrateLabel": "Excel"
   },
   {
    "FieldDisagreementId": "effortless-xlsx|SendIntents.IsSuppressionWithoutRemedy",
    "Substrate": "effortless-xlsx",
    "RulebookField": "SendIntents.IsSuppressionWithoutRemedy",
    "TableConformance": "effortless-xlsx|SendIntents",
    "FieldClass": "calculated",
    "CellsFailed": 2,
    "DominantReason": "wrong/null value",
    "SemanticTypeIri": "urn:effortless:pko-extension#FieldDisagreement",
    "Name": "effortless-xlsx / SendIntents.IsSuppressionWithoutRemedy",
    "SampledCellCount": 2,
    "IsFullySampled": true,
    "Formula": "=AND({{ExceptionPrescribedAnAlternative}}, NOT({{PrescribedHandlingWasPerformed}}))",
    "SubstrateLabel": "Excel"
   },
   {
    "FieldDisagreementId": "effortless-xlsx|SendIntents.AsOfInstant",
    "Substrate": "effortless-xlsx",
    "RulebookField": "SendIntents.AsOfInstant",
    "TableConformance": "effortless-xlsx|SendIntents",
    "FieldClass": "lookup",
    "CellsFailed": 7,
    "DominantReason": "wrong/null value",
    "SemanticTypeIri": "urn:effortless:pko-extension#FieldDisagreement",
    "Name": "effortless-xlsx / SendIntents.AsOfInstant",
    "SampledCellCount"</t>
  </si>
  <si>
    <t xml:space="preserve">: 7,
    "IsFullySampled": true,
    "Formula": "=INDEX(EvaluationContexts!{{AsOfInstant}}, MATCH({{EvaluationContext}}, EvaluationContexts!{{EvaluationContextId}}, 0))",
    "SubstrateLabel": "Excel"
   },
   {
    "FieldDisagreementId": "effortless-xlsx|SendIntents.WindowHasSinceReopened",
    "Substrate": "effortless-xlsx",
    "RulebookField": "SendIntents.WindowHasSinceReopened",
    "TableConformance": "effortless-xlsx|SendIntents",
    "FieldClass": "calculated",
    "CellsFailed": 7,
    "DominantReason": "wrong/null value",
    "SemanticTypeIri": "urn:effortless:pko-extension#FieldDisagreement",
    "Name": "effortless-xlsx / SendIntents.WindowHasSinceReopened",
    "SampledCellCount": 7,
    "IsFullySampled": true,
    "Formula": "=AND({{HoursUntilWindowOpens}} &gt; 0, DATETIME_DIFF({{AsOfInstant}}, {{EvaluatedAt}}, \"hours\") &gt; {{HoursUntilWindowOpens}})",
    "SubstrateLabel": "Excel"
   },
   {
    "FieldDisagreementId": "effortless-xlsx|SendIntents.IsAbandonedDeferral",
    "Substrate": "effortless-xlsx",
    "RulebookField": "SendIntents.IsAbandonedDeferral",
    "TableConformance": "effortless-xlsx|SendIntents",
    "FieldClass": "calculated",
    "CellsFailed": 7,
    "DominantReason": "wrong/null value",
    "SemanticTypeIri": "urn:effortless:pko-extension#FieldDisagreement",
    "Name": "effortless-xlsx / SendIntents.IsAbandonedDeferral",
    "SampledCellCount": 7,
    "IsFullySampled": true,
    "Formula": "=AND({{WasDeferredOnTiming}}, AND({{WindowHasSinceReopened}}, NOT({{HasRetryAttempt}})))",
    "SubstrateLabel": "Excel"
   },
   {
    "FieldDisagreementId": "effortless-xlsx|SendIntents.DeferralAgeHours",
    "Substrate": "effortless-xlsx",
    "RulebookField": "SendIntents.DeferralAgeHours",
    "TableConformance": "effortless-xlsx|SendIntents",
    "FieldClass": "calculated",
    "CellsFailed": 7,
    "DominantReason": "wrong/null value",
    "SemanticTypeIri": "urn:effortless:pko-extension#FieldDisagreement",
    "Name": "effortless-xlsx / SendIntents.DeferralAgeHours",
    "SampledCellCount": 7,
    "IsFullySampled": true,
    "Formula": "=DATETIME_DIFF({{AsOfInstant}}, {{EvaluatedAt}}, \"hours\")",
    "SubstrateLabel": "Excel"
   },
   {
    "FieldDisagreementId": "effortless-xlsx|SendIntents.IsStaleDeferral",
    "Substrate": "effortless-xlsx",
    "RulebookField": "SendIntents.IsStaleDeferral",
    "TableConformance": "effortless-xlsx|SendIntents",
    "FieldClass": "calculated",
    "CellsFailed": 7,
    "DominantReason": "wrong/null value",
    "SemanticTypeIri": "urn:effortless:pko-extension#FieldDisagreement",
    "Name": "effortless-xlsx / SendIntents.IsStaleDeferral",
    "SampledCellCount": 7,
    "IsFullySampled": true,
    "Formula": "=AND({{WasDeferredOnTiming}}, {{DeferralAgeHours}} &gt; 24)",
    "SubstrateLabel": "Excel"
   },
   {
    "FieldDisagreementId": "effortless-xlsx|SendIntents.IsSelfWitnessedDecision",
    "Substrate": "effortless-xlsx",
    "RulebookField": "SendIntents.IsSelfWitnessedDecision",
    "TableConformance": "effortless-xlsx|SendIntents",
    "FieldClass": "calculated",
    "CellsFailed": 7,
    "DominantReason": "wrong/null value",
    "SemanticTypeIri": "urn:effortless:pko-extension#FieldDisagreement",
    "Name": "effortless-xlsx / SendIntents.IsSelfWitnessedDecision",
    "SampledCellCount": 7,
    "IsFullySampled": true,
    "Formula": "=NOT({{GateResultWasIndependentlyConfirmed}})",
    "SubstrateLabel": "Excel"
   },
   {
    "FieldDisagreementId": "effortless-xlsx|SendIntents.IsProperlyHandledRefusal",
    "Substrate": "effortless-xlsx",
    "RulebookField": "SendIntents.IsProperlyHandledRefusal",
    "TableConformance": "effortless-xlsx|SendIntents",
    "FieldClass": "calculated",
    "CellsFailed": 5,
    "DominantReason": "wrong/null value",
    "SemanticTypeIri": "urn:effortless:pko-extension#FieldDisagreement",
    "Name": "effortless-xlsx / SendIntents.IsProperlyHandledRefusal",
    "SampledCellCount": 5,
    "IsFullySampled": true,
    "Formula": "=AND(NOT({{IsClearedToSend}}), AND({{HasResultingDelivery}}, AND(NOT({{ResultingDeliveryWasTransmitted}}), {{RefusalCitedAnException}})))",
    "SubstrateLabel": "Excel"
   },
   {
    "FieldDisagreementId": "effortless-xlsx|SendIntents.OptOutGatePassed",
    "Substrate": "effortless-xlsx",
    "RulebookField": "SendIntents.OptOutGatePassed",
    "TableConformance": "effortless-xlsx|SendIntents",
    "FieldClass": "calculated",
    "CellsFailed": 1,
    "DominantReason": "wrong/null value",
    "SemanticTypeIri": "urn:effortless:pko-extension#FieldDisagreement",
    "Name": "effortless-xlsx / SendIntents.OptOutGatePassed",
    "SampledCellCount": 1,
    "IsFullySampled": true,
    "Formula": "=OR({{IntentRequiredOptOutPhrase}} = \"\", AND({{ProposedOptOutPosition}} &gt; 0, {{ProposedOptOutPosition}} &lt;= {{IntentMaxMessageLength}}))",
    "SubstrateLabel": "Excel"
   },
   {
    "FieldDisagreementId": "effortless-xlsx|SendIntents.ContentGatePassed",
    "Substrate": "effortless-xlsx",
    "RulebookField": "SendIntents.ContentGatePassed",
    "TableConformance": "effortless-xlsx|SendIntents",
    "FieldClass": "calculated",
    "CellsFailed": 1,
    "DominantReason": "wrong/null value",
    "SemanticTypeIri": "urn:effortless:pko-extension#FieldDisagreement",
    "Name": "effortless-xlsx / SendIntents.ContentGatePassed",
    "SampledCellCount": 1,
    "IsFullySampled": true,
    "Formula": "=AND({{LengthGatePassed}}, {{OptOutGatePassed}})",
    "SubstrateLabel": "Excel"
   },
   {
    "FieldDisagreementId": "effortless-xlsx|SendIntents.IsClearedToSend",
    "Substrate": "effortless-xlsx",
    "RulebookField": "SendIntents.IsClearedToSend",
    "TableConformance": "effortless-xlsx|SendIntents",
    "FieldClass": "calculated",
    "CellsFailed": 1,
    "DominantReason": "wrong/null value",
    "SemanticTypeIri": "urn:effortless:pko-extension#FieldDisagreement",
    "Name": "effortless-xlsx / SendIntents.IsClearedToSend",
    "SampledCellCount": 1,
    "IsFullySampled": true,
    "Formula": "=AND({{PermissionGatePassed}}, AND({{TimingGatePassed}}, AND({{ContentGatePassed}}, {{AuthorizationGatePassed}})))",
    "SubstrateLabel": "Excel"
   },
   {
    "FieldDisagreementId": "effortless-xlsx|SendIntents.BlockingGateName",
    "Substrate": "effortless-xlsx",
    "RulebookField": "SendIntents.BlockingGateName",
    "TableConformance": "effortless-xlsx|SendIntents",
    "FieldClass": "calculated",
    "CellsFailed": 1,
    "DominantReason": "wrong/null value",
    "SemanticTypeIri": "urn:effortless:pko-extension#FieldDisagreement",
    "Name": "effortless-xlsx / SendIntents.BlockingGateName",
    "SampledCellCount": 1,
    "IsFullySampled": true,
    "Formula": "=IF({{IsClearedToSend}}, \"\", IF(NOT({{PermissionGatePassed}}), \"Permission\", IF(NOT({{TimingGatePassed}}), \"Timing\", IF(NOT({{ContentGatePassed}}), \"Content\", \"Authorization\"))))",
    "SubstrateLabel": "Excel"
   },
   {
    "FieldDisagreementId": "effortless-xlsx|SendIntents.IsOverriddenRefusal",
    "Substrate": "effortless-xlsx",
    "RulebookField": "SendIntents.IsOverriddenRefusal",
    "TableConformance": "effortless-xlsx|SendIntents",
    "FieldClass": "calculated",
    "CellsFailed": 1,
    "DominantReason": "wrong/null value",
    "SemanticTypeIri": "urn:effortless:pko-extension#FieldDisagreement",
    "Name": "effortless-xlsx / SendIntents.IsOverriddenRefusal",
    "SampledCellCount": 1,
    "IsFullySampled": true,
    "Formula": "=AND(NOT({{IsClearedToSend}}), AND({{HasResultingDelivery}}, {{ResultingDeliveryWasTransmitted}}))",
    "SubstrateLabel": "Excel"
   },
   {
    "FieldDisagreementId": "effortless-xlsx|SendIntents.RefusalFailureExecutionKey",
    "Substrate": "effortless-xlsx",
    "RulebookField": "SendIntents.RefusalFailureExecutionKey",
    "TableConformance": "effortless-xlsx|SendIntents",
    "FieldClass": "calculated",
    "CellsFailed": 1,
    "DominantReason": "wrong/null value",
    "SemanticTypeIri": "urn:effortless:pko-extension#FieldDisagreement",
    "Name": "effortless-xlsx / SendIntents.RefusalFailureExecutionKey",
    "SampledCellCount": 1,
    "IsFullySampled": true,
    "Formula": "=IF(OR({{IsOverriddenRefusal}}, {{IsSilentlyDropped}}), {{ProcedureExecution}}, \"\")",
    "SubstrateLabel": "Excel"
   },
   {
    "FieldDisagreementId": "effortless-xlsx|SendIntents.RefusedOnApprovedContent",
    "Substrate": "effortless-xlsx",
    "RulebookField": "SendIntents.RefusedOnApprovedContent",
    "TableConformance": "effortless-xlsx|SendIntents",
    "FieldClass": "calculated",
    "CellsFailed": 1,
    "DominantReason": "wrong/null value",
    "SemanticTypeIri": "urn:effortless:pko-extension#FieldDisagreement",
    "Name": "effortless-xlsx / SendIntents.RefusedOnApprovedContent",
    "SampledCellCount": 1,
    "IsFullySampled": true,
    "Formula": "=AND({{MyApprovalWasInForce}}, NOT({{ContentGatePassed}}))",
    "SubstrateLabel": "Excel"
   },
   {
    "FieldDisagreementId": "effortless-xlsx|SendIntents.RefusedOnOptOutOnly",
    "Substrate": "effortless-xlsx",
    "RulebookField": "SendIntents.RefusedOnOptOutOnly",
    "TableConformance": "effortless-xlsx|SendIntents",
    "FieldClass": "calculated",
    "CellsFailed": 1,
    "DominantReason": "wrong/null value",
    "SemanticTypeIri": "urn:effortless:pko-extension#FieldDisagreement",
    "Name": "effortless-xlsx / SendIntents.RefusedOnOptOutOnly",
    "SampledCellCount": 1,
    "IsFullySampled": true,
    "Formula": "=AND(NOT({{OptOutGatePassed}}), {{LengthGatePassed}})",
    "SubstrateLabel": "Excel"
   },
   {
    "FieldDisagreementId": "effortless-xlsx|SendIntents.RefusalWasOnMyRules",
    "Substrate": "effortless-xlsx",
    "RulebookField": "SendIntents.RefusalWasOnMyRules",
    "TableConformance": "effortless-xlsx|SendIntents",
    "FieldClass": "calculated",
    "CellsFailed": 1,
    "DominantReason": "wrong/null value",
    "SemanticTypeIri": "urn:effortless:pko-extension#FieldDisagreement",
    "Name": "effortless-xlsx / SendIntents.RefusalWasOnMyRules",
    "SampledCellCount": 1,
    "IsFullySampled": true,
    "Formula": "=AND(NOT({{IsClearedToSend}}), OR(NOT({{ContentGatePassed}}), NOT({{TimingGatePassed}})))",
    "SubstrateLabel": "Excel"
   },
   {
    "FieldDisagreementId": "effortless-xlsx|SendIntents.IsRefusedWithNoAlternative",
    "Substrate": "effortless-xlsx",
    "RulebookField": "SendIntents.IsRefusedWithNoAlternative",
    "TableConformance": "effortless-xlsx|SendIntents",
    "FieldClass": "calculated",
    "CellsFailed": 1,
    "DominantReason": "wrong/null value",
    "SemanticTypeIri": "urn:effortless:pko-extension#FieldDisagreement",
    "Name": "effortless-xlsx / SendIntents.IsRefusedWithNoAlternative",
    "SampledCellCount": 1,
    "IsFullySampled": true,
    "Formula": "=AND(NOT({{IsClearedToSend}}), NOT({{HasAlternateChannelAttempt}}))",
    "SubstrateLabel": "Excel"
   },
   {
    "FieldDisagreementId": "effortless-xlsx|SendIntents.IsUnescalatedRefusal",
    "Substrate": "effortless-xlsx",
    "RulebookField": "SendIntents.IsUnescalatedRefusal",
    "TableConformance": "effortless-xlsx|SendIntents",
    "FieldClass": "calculated",
    "CellsFailed": 1,
    "DominantReason": "wrong/null value",
    "SemanticTypeIri": "urn:effortless:pko-extension#FieldDisagreement",
    "Name": "effortless-xlsx / SendIntents.IsUnescalatedRefusal",
    "SampledCellCount": 1,
    "IsFullySampled": true,
    "Formula": "=AND(NOT({{IsClearedToSend}}), NOT({{RefusalWasEscalated}}))",
    "SubstrateLabel": "Excel"
   },
   {
    "FieldDisagreementId": "effortless-xlsx|AgentDecisionRecords.ReviewLatencyMinutes",
    "Substrate": "effortless-xlsx",
    "RulebookField": "AgentDecisionRecords.ReviewLatencyMinutes",
    "TableConformance": "effortless-xlsx|AgentDecisionRecords",
    "FieldClass": "calculated",
    "CellsFailed": 3,
    "DominantReason": "wrong/null value",
    "SemanticTypeIri": "urn:effortless:pko-extension#FieldDisagreement",
    "Name": "effortless-xlsx / AgentDecisionRecords.ReviewLatencyMinutes",
    "SampledCellCount": 3,
    "IsFullySampled": true,
    "Formula": "=IF({{ReviewedAt}} = \"\", 0, DATETIME_DIFF({{ReviewedAt}}, {{DecidedAt}}, \"minutes\"))",
    "SubstrateLabel": "Excel"
   },
   {
    "FieldDisagreementId": "effortless-xlsx|DeliveredCommunications.Name",
    "Substrate": "effortless-xlsx",
    "RulebookField": "DeliveredCommunications.Name",
    "TableConformance": "effortless-xlsx|DeliveredCommunications",
    "FieldClass": "calculated",
    "CellsFailed": 1,
    "DominantReason": "wrong/null value",
    "SemanticTypeIri": "urn:effortless:pko-extension#FieldDisagreement",
    "Name": "effortless-xlsx / DeliveredCommunications.Name",
    "SampledCellCount": 1,
    "IsFullySampled": true,
    "Formula": "={{Channel}} &amp; \" -&gt; \" &amp; {{RecipientKey}} &amp; \" @ \" &amp; {{SentAt}}",
    "SubstrateLabel": "Excel"
   },
   {
    "FieldDisagreementId": "effortless-xlsx|DeliveredCommunications.WasApprovedBeforeSending",
    "Substrate": "effortless-xlsx",
    "RulebookField": "DeliveredCommunications.WasApprovedBeforeSending",
    "TableConformance": "effortless-xlsx|DeliveredCommunications",
    "FieldClass": "calculated",
    "CellsFailed": 1,
    "DominantReason": "wrong/null value",
    "SemanticTypeIri": "urn:effortless:pko-extension#FieldDisagreement",
    "Name": "effortless-xlsx / DeliveredCommunications.WasApprovedBeforeSending",
    "SampledCellCount": 1,
    "IsFullySampled": true,
    "Formula": "={{AuthorizedAt}} &lt;= {{SentAt}}",
    "SubstrateLabel": "Excel"
   },
   {
    "FieldDisagreementId": "effortless-xlsx|AuthorityBoundaries.AsOfInstant",
    "Substrate": "effortless-xlsx",
    "RulebookField": "AuthorityBoundaries.AsOfInstant",
    "TableConformance": "effortless-xlsx|AuthorityBoundaries",
    "FieldClass": "lookup",
    "CellsFailed": 3,
    "DominantReason": "wrong/null value",
    "SemanticTypeIri": "urn:effortless:pko-extension#FieldDisagreement",
    "Name": "effortless-xlsx / AuthorityBoundaries.AsOfInstant",
    "SampledCellCount": 3,
    "IsFullySampled": true,
    "Formula": "=INDEX(EvaluationContexts!{{AsOfInstant}}, MATCH({{EvaluationContext}}, EvaluationContexts!{{EvaluationContextId}}, 0))",
    "SubstrateLabel": "Excel"
   },
   {
    "FieldDisagreementId": "effortless-xlsx|AuthorityBoundaries.IsUnwarranted",
    "Substrate": "effortless-xlsx",
    "RulebookField": "AuthorityBoundaries.IsUnwarranted",
    "TableConformance": "effortless-xlsx|AuthorityBoundaries",
    "FieldClass": "calculated",
    "CellsFailed": 1,
    "DominantReason": "wrong/null value",
    "SemanticTypeIri": "urn:effortless:pko-extension#FieldDisagreement",
    "Name": "effortless-xlsx / AuthorityBoundaries.IsUnwarranted",
    "SampledCellCount": 1,
    "IsFullySampled": true,
    "Formula": "=AND({{IsCurrentlyBinding}}, OR(NOT({{HasRatifyingFragment}}), NOT({{RatifyingFragmentIsValid}})))",
    "SubstrateLabel": "Excel"
   },
   {
    "FieldDisagreementId": "effortless-xlsx|AuthorityBoundaries.WarrantIsThin",
    "Substrate": "effortless-xlsx",
    "RulebookField": "AuthorityBoundaries.WarrantIsThin",
    "TableConformance": "effortless-xlsx|AuthorityBoundaries",
    "FieldClass": "calculated",
    "CellsFailed": 1,
    "DominantReason": "wrong/null value",
    "SemanticTypeIri": "urn:effortless:pko-extension#FieldDisagreement",
    "Name": "effortless-xlsx / AuthorityBoundaries.WarrantIsThin",
    "SampledCellCount": 1,
    "IsFullySampled": true,
    "Formula": "=AND({{IsCurrentlyBinding}}, OR({{RatifyingFragmentIsOverdue}}, {{RatifyingFragmentIsSingleWitness}}))",
    "SubstrateLabel": "Excel"
   },
   {
    "FieldDisagreementId": "effortless-xlsx|AuthorityBoundaries.IsUnwarrantedAndUntested",
    "Substrate": "effortless-xlsx",
    "RulebookField": "AuthorityBoundaries.IsUnwarrantedAndUntested",
    "TableConformance": "effortless-xlsx|AuthorityBoundaries",
    "FieldClass": "calculated",
    "CellsFailed": 1,
    "DominantReason": "wrong/null value",
    "SemanticTypeIri": "urn:effortless:pko-extension#FieldDisagreement",
    "Name": "effortless-xlsx / AuthorityBoundaries.IsUnwarrantedAndUntested",
    "SampledCellCount": 1,
    "IsFullySampled": true,
    "Formula": "=AND({{IsUnwarranted}}, {{IsUntested}})",
    "SubstrateLabel": "Excel"
   },
   {
    "FieldDisagreementId": "effortless-xlsx|AuthorityBoundaries.UnwarrantedBoundaryStepKey",
    "Substrate": "effortless-xlsx",
    "RulebookField": "AuthorityBoundaries.UnwarrantedBoundaryStepKey",
    "TableConformance": "effortless-xlsx|AuthorityBoundaries",
    "FieldClass": "calculated",
    "CellsFailed": 1,
    "DominantReason": "wrong/null value",
    "SemanticTypeIri": "urn:effortless:pko-extension#FieldDisagreement",
    "Name": "effortless-xlsx / AuthorityBoundaries.UnwarrantedBoundaryStepKey",
    "SampledCellCount": 1,
    "IsFullySampled": true,
    "Formula": "=IF({{IsUnwarranted}}, {{Step}}, \"\")",
    "SubstrateLabel": "Excel"
   },
   {
    "FieldDisagreementId": "effortless-xlsx|AuthorityBoundaries.RatificationLapsed",
    "Substrate": "effortless-xlsx",
    "RulebookField": "AuthorityBoundaries.RatificationLapsed",
    "TableConformance": "effortless-xlsx|AuthorityBoundaries",
    "FieldClass": "calculated",
    "CellsFailed": 1,
    "DominantReason": "wrong/null value",
    "SemanticTypeIri": "urn:effortless:pko-extension#FieldDisagreement",
    "Name": "effortless-xlsx / AuthorityBoundaries.RatificationLapsed",
    "SampledCellCount": 1,
    "IsFullySampled": true,
    "Formula": "=AND({{HasRatifyingFragment}}, NOT({{RatifyingFragmentIsValid}}))",
    "SubstrateLabel": "Excel"
   },
   {
    "FieldDisagreementId": "effortless-xlsx|AuthorityBoundaries.BindsDespiteLapsedRatification",
    "Substrate": "effortless-xlsx",
    "RulebookField": "AuthorityBoundaries.BindsDespiteLapsedRatification",
    "TableConformance": "effortless-xlsx|AuthorityBoundaries",
    "FieldClass": "calculated",
    "CellsFailed": 1,
    "DominantReason": "wrong/null value",
    "SemanticTypeIri": "urn:effortless:pko-extension#FieldDisagreement",
    "Name": "effortless-xlsx / AuthorityBoundaries.BindsDespiteLapsedRatification",
    "SampledCellCount": 1,
    "IsFullySampled": true,
    "Formula": "=AND({{IsCurrentlyBinding}}, {{RatificationLapsed}})",
    "SubstrateLabel": "Excel"
   },
   {
    "FieldDisagreementId": "effortless-xlsx|AuthorityBoundaries.IsUngroundedAndUntested",
    "Substrate": "effortless-xlsx",
    "RulebookField": "AuthorityBoundaries.IsUngroundedAndUntested",
    "TableConformance": "effortless-xlsx|AuthorityBoundaries",
    "FieldClass": "calculated",
    "CellsFailed": 1,
    "DominantReason": "wrong/null value",
    "SemanticTypeIri": "urn:effortless:pko-extension#FieldDisagreement",
    "Name": "effortless-xlsx / AuthorityBoundaries.IsUngroundedAndUntested",
    "SampledCellCount": 1,
    "IsFullySampled": true,
    "Formula": "=AND({{BindsDespiteLapsedRatification}}, {{IsUntested}})",
    "SubstrateLabel": "Excel"
   },
   {
    "FieldDisagreementId": "effortless-xlsx|AuthorityBoundaries.ConstrainedRoleAssignmentKey",
    "Substrate": "effortless-xlsx",
    "RulebookField": "AuthorityBoundaries.ConstrainedRoleAssignmentKey",
    "TableConformance": "effortless-xlsx|AuthorityBoundaries",
    "FieldClass": "calculated",
    "CellsFailed": 1,
    "DominantReason": "wrong/null value",
    "SemanticTypeIri": "urn:effortless:pko-extension#FieldDisagreement",
    "Name": "effortless-xlsx / AuthorityBoundaries.ConstrainedRoleAssignmentKey",
    "SampledCellCount": 1,
    "IsFullySampled": true,
    "Formula": "=IF({{BindsDespiteLapsedRatification}}, {{AuthorityRole}}, \"\")",
    "SubstrateLabel": "Excel"
   },
   {
    "FieldDisagreementId": "effortless-xlsx|RulebookTables.FieldCount",
    "Substrate": "effortless-xlsx",
    "RulebookField": "RulebookTables.FieldCount",
    "TableConformance": "effortless-xlsx|RulebookTables",
    "FieldClass": "aggregation",
    "CellsFailed": 47,
    "DominantReason": "wrong/null value",
    "SemanticTypeIri": "urn:effortless:pko-extension#FieldDisagreement",
    "Name": "effortless-xlsx / RulebookTables.FieldCount",
    "SampledCellCount": 20,
    "IsFullySampled": false,
    "Formula": "=COUNTIFS(RulebookFields!{{TargetTable}}, {{RulebookTableId}})",
    "SubstrateLabel": "Excel"
   },
   {
    "FieldDisagreementId": "effortless-xlsx|AccessPrincipals.GrantCount",
    "Substrate": "effortless-xlsx",
    "RulebookField": "AccessPrincipals.GrantCount",
    "TableConformance": "effortless-xlsx|AccessPrincipals",
    "FieldClass": "aggregation",
    "CellsFailed": 2,
    "DominantReason": "wrong/null value",
    "SemanticTypeIri": "urn:effortless:pko-extension#FieldDisagreement",
    "Name": "effortless-xlsx / AccessPrincipals.GrantCount",
    "SampledCellCount": 2,
    "IsFullySampled": true,
    "Formula": "=COUNTIFS(FieldGrants!{{Principal}}, {{AccessPrincipalId}})",
    "SubstrateLabel": "Excel"
   },
   {
    "FieldDisagreementId": "effortless-xlsx|FieldGrants.FieldTable",
    "Substrate": "effortless-xlsx",
    "RulebookField": "FieldGrants.FieldTable",
    "TableConformance": "effortless-xlsx|FieldGrants",
    "FieldClass": "lookup",
    "CellsFailed": 1346,
    "DominantReason": "wrong/null value",
    "SemanticTypeIri": "urn:effortless:pko-extension#FieldDisagreement",
    "Name": "effortless-xlsx / FieldGrants.FieldTable",
    "SampledCellCount": 20,
    "IsFullySampled": false,
    "Formula": "=INDEX(RulebookFields!{{TargetTable}}, MATCH({{TargetField}}, RulebookFields!{{RulebookFieldId}}, 0))",
    "SubstrateLabel": "Excel"
   },
   {
    "FieldDisagreementId": "effortless-xlsx|FieldGrants.FieldName",
    "Substrate": "effortless-xlsx",
    "RulebookField": "FieldGrants.FieldName",
    "TableConformance": "effortless-xlsx|FieldGrants",
    "FieldClass": "lookup",
    "CellsFailed": 1346,
    "DominantReason": "wrong/null value",
    "SemanticTypeIri": "urn:effortless:pko-extension#FieldDisagreement",
    "Name": "effortless-xlsx / FieldGrants.FieldName",
    "SampledCellCount": 20,
    "IsFullySampled": false,
    "Formula": "=INDEX(RulebookFields!{{FieldName}}, MATCH({{TargetField}}, RulebookFields!{{RulebookFieldId}}, 0))",
    "SubstrateLabel": "Excel"
   },
   {
    "FieldDisagreementId": "effortless-xlsx|FieldGrants.GrantKeyWhenReadable",
    "Substrate": "effortless-xlsx",
    "RulebookField": "FieldGrants.GrantKeyWhenReadable",
    "TableConformance": "effortless-xlsx|FieldGrants",
    "FieldClass": "calculated",
    "CellsFailed": 1346,
    "DominantReason": "wrong/null value",
    "SemanticTypeIri": "urn:effortless:pko-extension#FieldDisagreement",
    "Name": "effortless-xlsx / FieldGrants.GrantKeyWhenReadable",
    "SampledCellCount": 20,
    "IsFullySampled": false,
    "Formula": "=IF({{CanRead}}, {{Principal}} &amp; \"|\" &amp; {{FieldTable}}, \"\")",
    "SubstrateLabel": "Excel"
   },
   {
    "FieldDisagreementId": "effortless-xlsx|FieldGrants.FieldIsDerived",
    "Substrate": "effortless-xlsx",
    "RulebookField": "FieldGrants.FieldIsDerived",
    "TableConformance": "effortless-xlsx|FieldGrants",
    "FieldClass": "lookup",
    "CellsFailed": 710,
    "DominantReason": "wrong/null value",
    "SemanticTypeIri": "urn:effortless:pko-extension#FieldDisagreement",
    "Name": "effortless-xlsx / FieldGrants.FieldIsDerived",
    "SampledCellCount": 20,
    "IsFullySampled": false,
    "Formula": "=INDEX(RulebookFields!{{IsDerived}}, MATCH({{TargetField}}, RulebookFields!{{RulebookFieldId}}, 0))",
    "SubstrateLabel": "Excel"
   },
   {
    "FieldDisagreementId": "effortless-xlsx|RoleSchemaViews.ColumnCount",
    "Substrate": "effortless-xlsx",
    "RulebookField": "RoleSchemaViews.ColumnCount",
    "TableConformance": "effortless-xlsx|RoleSchemaViews",
    "FieldClass": "aggregation",
    "CellsFailed": 149,
    "DominantReason": "wrong/null value",
    "SemanticTypeIri": "urn:effortless:pko-extension#FieldDisagreement",
    "Name": "effortless-xlsx / RoleSchemaViews.ColumnCount",
    "SampledCellCount": 20,
    "IsFullySampled": false,
    "Formula": "=COUNTIFS(FieldGrants!{{GrantKeyWhenReadable}}, {{GrantKey}})",
    "SubstrateLabel": "Excel"
   },
   {
    "FieldDisagreementId": "effortless-xlsx|RoleSchemaViews.TableFieldCount",
    "Substrate": "effortless-xlsx",
    "RulebookField": "RoleSchemaViews.TableFieldCount",
    "TableConformance": "effortless-xlsx|RoleSchemaViews",
    "FieldClass": "lookup",
    "CellsFailed": 75,
    "DominantReason": "wrong/null value",
    "SemanticTypeIri": "urn:effortless:pko-extension#FieldDisagreement",
    "Name": "effortless-xlsx / RoleSchemaViews.TableFieldCount",
    "SampledCellCount": 20,
    "IsFullySampled": false,
    "Formula": "=INDEX(RulebookTables!{{FieldCount}}, MATCH({{TargetTable}}, RulebookTables!{{RulebookTableId}}, 0))",
    "SubstrateLabel": "Excel"
   },
   {
    "FieldDisagreementId": "effortless-xlsx|RoleSchemaViews.IsDegenerateView",
    "Substrate": "effortless-xlsx",
    "RulebookField": "RoleSchemaViews.IsDegenerateView",
    "TableConformance": "effortless-xlsx|RoleSchemaViews",
    "FieldClass": "calculated",
    "CellsFailed": 148,
    "DominantReason": "wrong/null value",
    "SemanticTypeIri": "urn:effortless:pko-extension#FieldDisagreement",
    "Name": "effortless-xlsx / RoleSchemaViews.IsDegenerateView",
    "SampledCellCount": 20,
    "IsFullySampled": false,
    "Formula": "={{ColumnCount}} = 0",
    "SubstrateLabel": "Excel"
   },
   {
    "FieldDisagreementId": "effortless-xlsx|RoleSchemaViews.IsFullWidth",
    "Substrate": "effortless-xlsx",
    "RulebookField": "RoleSchemaViews.IsFullWidth",
    "TableConformance": "effortless-xlsx|RoleSchemaViews",
    "FieldClass": "calculated",
    "CellsFailed": 133,
    "DominantReason": "wrong/null value",
    "SemanticTypeIri": "urn:effortless:pko-extension#FieldDisagreement",
    "Name": "effortless-xlsx / RoleSchemaViews.IsFullWidth",
    "SampledCellCount": 20,
    "IsFullySampled": false,
    "Formula": "=AND({{ColumnCount}} &gt; 0, {{ColumnCount}} &gt;= {{TableFieldCount}})",
    "SubstrateLabel": "Excel"
   },
   {
    "FieldDisagreementId": "effortless-xlsx|ProcessMiningRuns.Name",
    "Substrate": "effortless-xlsx",
    "RulebookField": "ProcessMiningRuns.Name",
    "TableConformance": "effortless-xlsx|ProcessMiningRuns",
    "FieldClass": "calculated",
    "CellsFailed": 4,
    "DominantReason": "wrong/null value",
    "SemanticTypeIri": "urn:effortless:pko-extension#FieldDisagreement",
    "Name": "effortless-xlsx / ProcessMiningRuns.Name",
    "SampledCellCount": 4,
    "IsFullySampled": true,
    "Formula": "={{EventLogSource}} &amp; \" / \" &amp; {{MinedAt}}",
    "SubstrateLabel": "Excel"
   },
   {
    "FieldDisagreementId": "effortless-xlsx|ProcessMiningRuns.AsOfInstant",
    "Substrate": "effortless-xlsx",
    "RulebookField": "ProcessMiningRuns.AsOfInstant",
    "TableConformance": "effortless-xlsx|ProcessMiningRuns",
    "FieldClass": "lookup",
    "CellsFailed": 4,
    "DominantReason": "wrong/null value",
    "SemanticTypeIri": "urn:effortless:pko-extension#FieldDisagreement",
    "Name": "effortless-xlsx / ProcessMiningRuns.AsOfInstant",
    "SampledCellCount": 4,
    "IsFullySampled": true,
    "Formula": "=INDEX(EvaluationContexts!{{AsOfInstant}}, MATCH({{EvaluationContext}}, EvaluationContexts!{{EvaluationContextId}}, 0))",
    "SubstrateLabel": "Excel"
   },
   {
    "FieldDisagreementId": "effortless-xlsx|KnowledgeBrokerLinks.AsOfInstant",
    "Substrate": "effortless-xlsx",
    "RulebookField": "KnowledgeBrokerLinks.AsOfInstant",
    "TableConformance": "effortless-xlsx|KnowledgeBrokerLinks",
    "FieldClass": "lookup",
    "CellsFailed": 5,
    "DominantReason": "wrong/null value",
    "SemanticTypeIri": "urn:effortless:pko-extension#FieldDisagreement",
    "Name": "effortless-xlsx / KnowledgeBrokerLinks.AsOfInstant",
    "SampledCellCount": 5,
    "IsFullySampled": true,
    "Formula": "=INDEX(EvaluationContexts!{{AsOfInstant}}, MATCH({{EvaluationContext}}, EvaluationContexts!{{EvaluationContextId}}, 0))",
    "SubstrateLabel": "Excel"
   },
   {
    "FieldDisagreementId": "effortless-entity-framework|EvaluationContexts.Name",
    "Substrate": "effortless-entity-framework",
    "RulebookField": "EvaluationContexts.Name",
    "TableConformance": "effortless-entity-framework|EvaluationContexts",
    "FieldClass": "calculated",
    "CellsFailed": 1,
    "DominantReason": "wrong/null value",
    "SemanticTypeIri": "urn:effortless:pko-extension#FieldDisagreement",
    "Name": "effortless-entity-framework / EvaluationContexts.Name",
    "SampledCellCount": 1,
    "IsFullySampled": true,
    "Formula": "={{Label}} &amp; \" @ \" &amp; {{AsOfInstant}}",
    "SubstrateLabel": "C# / Entity Framework"
   },
   {
    "FieldDisagreementId": "effortless-entity-framework|RoleAssignments.Name",
    "Substrate": "effortless-entity-framework",
    "RulebookField": "RoleAssignments.Name",
    "TableConformance": "effortless-entity-framework|RoleAssignments",
    "FieldClass": "calculated",
    "CellsFailed": 13,
    "DominantReason": "wrong/null value",
    "SemanticTypeIri": "urn:effortless:pko-extension#FieldDisagreement",
    "Name": "effortless-entity-framework / RoleAssignments.Name",
    "SampledCellCount": 13,
    "IsFullySampled": true,
    "Formula": "={{Role}} &amp; \" @ \" &amp; {{ValidFrom}}",
    "SubstrateLabel": "C# / Entity Framework"
   },
   {
    "FieldDisagreementId": "effortless-entity-framework|RoleAssignments.QualityVerdictIsUnsupported",
    "Substrate": "effortless-entity-framework",
    "RulebookField": "RoleAssignments.QualityVerdictIsUnsupported",
    "TableConformance": "effortless-entity-framework|RoleAssignments",
    "FieldClass": "calculated",
    "CellsFailed": 13,
    "DominantReason": "wrong/null value",
    "SemanticTypeIri": "urn:effortless:pko-extension#FieldDisagreement",
    "Name": "effortless-entity-framework / RoleAssignments.QualityVerdictIsUnsupported",
    "SampledCellCount": 13,
    "IsFullySampled": true,
    "Formula": "=AND(NOT({{ComparisonIsEvidentiallySound}}), NOT({{QualityRegressedVsPredecessor}}))",
    "SubstrateLabel": "C# / Entity Framework"
   },
   {
    "FieldDisagreementId": "effortless-entity-framework|RoleAssignments.IsUnmeasuredAutomationHandover",
    "Substrate": "effortless-entity-framework",
    "RulebookField": "RoleAssignments.IsUnmeasuredAutomationHandover",
    "TableConformance": "effortless-entity-framework|RoleAssignments",
    "FieldClass": "calculated",
    "CellsFailed": 1,
    "DominantReason": "wrong/null value",
    "SemanticTypeIri": "urn:effortless:pko-extension#FieldDisagreement",
    "Name": "effortless-entity-framework / RoleAssignments.IsUnmeasuredAutomationHandover",
    "SampledCellCount": 1,
    "IsFullySampled": true,
    "Formula": "=AND({{IsHumanToNonHumanHandover}}, NOT({{ComparisonIsEvidentiallySound}}))",
    "SubstrateLabel": "C# / Entity Framework"
   },
   {
    "FieldDisagreementId": "effortless-entity-framework|ProcedureVersions.DaysSinceModified",
    "Substrate": "effortless-entity-framework",
    "RulebookField": "ProcedureVersions.DaysSinceModified",
    "TableConformance": "effortless-entity-framework|ProcedureVersions",
    "FieldClass": "calculated",
    "CellsFailed": 3,
    "DominantReason": "wrong/null value",
    "SemanticTypeIri": "urn:effortless:pko-extension#FieldDisagreement",
    "Name": "effortless-entity-framework / ProcedureVersions.DaysSinceModified",
    "SampledCellCount": 3,
    "IsFullySampled": true,
    "Formula": "=DATETIME_DIFF({{AsOfInstant}}, {{ModifiedAt}}, \"days\")",
    "SubstrateLabel": "C# / Entity Framework"
   },
   {
    "FieldDisagreementId": "effortless-entity-framework|ProcedureVersions.WasModifiedSinceLastReview",
    "Substrate": "effortless-entity-framework",
    "RulebookField": "ProcedureVersions.WasModifiedSinceLastReview",
    "TableConformance": "effortless-entity-framework|ProcedureVersions",
    "FieldClass": "calculated",
    "CellsFailed": 2,
    "DominantReason": "wrong/null value",
    "SemanticTypeIri": "urn:effortless:pko-extension#FieldDisagreement",
    "Name": "effortless-entity-framework / ProcedureVersions.WasModifiedSinceLastReview",
    "SampledCellCount": 2,
    "IsFullySampled": true,
    "Formula": "={{DaysSinceModified}} &lt; {{DaysSinceLastReview}}",
    "SubstrateLabel": "C# / Entity Framework"
   },
   {
    "FieldDisagreementId": "effortless-entity-framework|ProcedureVersions.HasUnwitnessedChange",
    "Substrate": "effortless-entity-framework",
    "RulebookField": "ProcedureVersions.HasUnwitnessedChange",
    "TableConformance": "effortless-entity-framework|ProcedureVersions",
    "FieldClass": "calculated",
    "CellsFailed": 2,
    "DominantReason": "wrong/null value",
    "SemanticTypeIri": "urn:effortless:pko-extension#FieldDisagreement",
    "Na</t>
  </si>
  <si>
    <t xml:space="preserve">me": "effortless-entity-framework / ProcedureVersions.HasUnwitnessedChange",
    "SampledCellCount": 2,
    "IsFullySampled": true,
    "Formula": "=AND({{IsLive}}, {{WasModifiedSinceLastReview}})",
    "SubstrateLabel": "C# / Entity Framework"
   },
   {
    "FieldDisagreementId": "effortless-entity-framework|Requirements.IsUntestedWitness",
    "Substrate": "effortless-entity-framework",
    "RulebookField": "Requirements.IsUntestedWitness",
    "TableConformance": "effortless-entity-framework|Requirements",
    "FieldClass": "calculated",
    "CellsFailed": 3,
    "DominantReason": "wrong/null value",
    "SemanticTypeIri": "urn:effortless:pko-extension#FieldDisagreement",
    "Name": "effortless-entity-framework / Requirements.IsUntestedWitness",
    "SampledCellCount": 3,
    "IsFullySampled": true,
    "Formula": "=AND({{WitnessHasNeverFired}}, NOT({{HasMeaningfulSample}}))",
    "SubstrateLabel": "C# / Entity Framework"
   },
   {
    "FieldDisagreementId": "effortless-entity-framework|ElicitationSessions.Name",
    "Substrate": "effortless-entity-framework",
    "RulebookField": "ElicitationSessions.Name",
    "TableConformance": "effortless-entity-framework|ElicitationSessions",
    "FieldClass": "calculated",
    "CellsFailed": 3,
    "DominantReason": "wrong/null value",
    "SemanticTypeIri": "urn:effortless:pko-extension#FieldDisagreement",
    "Name": "effortless-entity-framework / ElicitationSessions.Name",
    "SampledCellCount": 3,
    "IsFullySampled": true,
    "Formula": "={{Method}} &amp; \" / \" &amp; {{StartedAt}}",
    "SubstrateLabel": "C# / Entity Framework"
   },
   {
    "FieldDisagreementId": "effortless-entity-framework|ElicitationSessions.DaysSinceElicited",
    "Substrate": "effortless-entity-framework",
    "RulebookField": "ElicitationSessions.DaysSinceElicited",
    "TableConformance": "effortless-entity-framework|ElicitationSessions",
    "FieldClass": "calculated",
    "CellsFailed": 2,
    "DominantReason": "wrong/null value",
    "SemanticTypeIri": "urn:effortless:pko-extension#FieldDisagreement",
    "Name": "effortless-entity-framework / ElicitationSessions.DaysSinceElicited",
    "SampledCellCount": 2,
    "IsFullySampled": true,
    "Formula": "=DATETIME_DIFF({{AsOfInstant}}, {{EndedAt}}, \"days\")",
    "SubstrateLabel": "C# / Entity Framework"
   },
   {
    "FieldDisagreementId": "effortless-entity-framework|KnowledgeFragments.DaysSinceActualReview",
    "Substrate": "effortless-entity-framework",
    "RulebookField": "KnowledgeFragments.DaysSinceActualReview",
    "TableConformance": "effortless-entity-framework|KnowledgeFragments",
    "FieldClass": "calculated",
    "CellsFailed": 3,
    "DominantReason": "wrong/null value",
    "SemanticTypeIri": "urn:effortless:pko-extension#FieldDisagreement",
    "Name": "effortless-entity-framework / KnowledgeFragments.DaysSinceActualReview",
    "SampledCellCount": 3,
    "IsFullySampled": true,
    "Formula": "=IF({{HasReviewRecord}}, DATETIME_DIFF({{AsOfInstant}}, {{LastReviewedAt}}, \"days\"), 0)",
    "SubstrateLabel": "C# / Entity Framework"
   },
   {
    "FieldDisagreementId": "effortless-entity-framework|KnowledgeFragments.EvidenceAgeDays",
    "Substrate": "effortless-entity-framework",
    "RulebookField": "KnowledgeFragments.EvidenceAgeDays",
    "TableConformance": "effortless-entity-framework|KnowledgeFragments",
    "FieldClass": "lookup",
    "CellsFailed": 3,
    "DominantReason": "wrong/null value",
    "SemanticTypeIri": "urn:effortless:pko-extension#FieldDisagreement",
    "Name": "effortless-entity-framework / KnowledgeFragments.EvidenceAgeDays",
    "SampledCellCount": 3,
    "IsFullySampled": true,
    "Formula": "=INDEX(ElicitationSessions!{{DaysSinceElicited}}, MATCH({{ElicitationSession}}, ElicitationSessions!{{ElicitationSessionId}}, 0))",
    "SubstrateLabel": "C# / Entity Framework"
   },
   {
    "FieldDisagreementId": "effortless-entity-framework|KnowledgeFragments.AgeDays",
    "Substrate": "effortless-entity-framework",
    "RulebookField": "KnowledgeFragments.AgeDays",
    "TableConformance": "effortless-entity-framework|KnowledgeFragments",
    "FieldClass": "calculated",
    "CellsFailed": 3,
    "DominantReason": "wrong/null value",
    "SemanticTypeIri": "urn:effortless:pko-extension#FieldDisagreement",
    "Name": "effortless-entity-framework / KnowledgeFragments.AgeDays",
    "SampledCellCount": 3,
    "IsFullySampled": true,
    "Formula": "=DATETIME_DIFF({{AsOfInstant}}, {{ValidFrom}}, \"days\")",
    "SubstrateLabel": "C# / Entity Framework"
   },
   {
    "FieldDisagreementId": "effortless-entity-framework|KnowledgeFragments.DaysAwaitingMyApproval",
    "Substrate": "effortless-entity-framework",
    "RulebookField": "KnowledgeFragments.DaysAwaitingMyApproval",
    "TableConformance": "effortless-entity-framework|KnowledgeFragments",
    "FieldClass": "calculated",
    "CellsFailed": 1,
    "DominantReason": "wrong/null value",
    "SemanticTypeIri": "urn:effortless:pko-extension#FieldDisagreement",
    "Name": "effortless-entity-framework / KnowledgeFragments.DaysAwaitingMyApproval",
    "SampledCellCount": 1,
    "IsFullySampled": true,
    "Formula": "=IF({{IsMyUnfinishedApproval}}, DATETIME_DIFF({{AsOfInstant}}, {{ValidFrom}}, \"days\"), 0)",
    "SubstrateLabel": "C# / Entity Framework"
   },
   {
    "FieldDisagreementId": "effortless-entity-framework|KnowledgeGaps.DaysOpen",
    "Substrate": "effortless-entity-framework",
    "RulebookField": "KnowledgeGaps.DaysOpen",
    "TableConformance": "effortless-entity-framework|KnowledgeGaps",
    "FieldClass": "calculated",
    "CellsFailed": 1,
    "DominantReason": "wrong/null value",
    "SemanticTypeIri": "urn:effortless:pko-extension#FieldDisagreement",
    "Name": "effortless-entity-framework / KnowledgeGaps.DaysOpen",
    "SampledCellCount": 1,
    "IsFullySampled": true,
    "Formula": "=IF({{IsOpen}}, DATETIME_DIFF({{AsOfInstant}}, {{IdentifiedAt}}, \"days\"), 0)",
    "SubstrateLabel": "C# / Entity Framework"
   },
   {
    "FieldDisagreementId": "effortless-entity-framework|IssueOccurrences.Name",
    "Substrate": "effortless-entity-framework",
    "RulebookField": "IssueOccurrences.Name",
    "TableConformance": "effortless-entity-framework|IssueOccurrences",
    "FieldClass": "calculated",
    "CellsFailed": 2,
    "DominantReason": "wrong/null value",
    "SemanticTypeIri": "urn:effortless:pko-extension#FieldDisagreement",
    "Name": "effortless-entity-framework / IssueOccurrences.Name",
    "SampledCellCount": 2,
    "IsFullySampled": true,
    "Formula": "={{Error}} &amp; \" @ \" &amp; {{OccurredAt}}",
    "SubstrateLabel": "C# / Entity Framework"
   },
   {
    "FieldDisagreementId": "effortless-entity-framework|ChangeRequests.DaysPending",
    "Substrate": "effortless-entity-framework",
    "RulebookField": "ChangeRequests.DaysPending",
    "TableConformance": "effortless-entity-framework|ChangeRequests",
    "FieldClass": "calculated",
    "CellsFailed": 1,
    "DominantReason": "wrong/null value",
    "SemanticTypeIri": "urn:effortless:pko-extension#FieldDisagreement",
    "Name": "effortless-entity-framework / ChangeRequests.DaysPending",
    "SampledCellCount": 1,
    "IsFullySampled": true,
    "Formula": "=IF({{IsDecided}}, DATETIME_DIFF({{DecidedAt}}, {{RequestedAt}}, \"days\"), DATETIME_DIFF({{AsOfInstant}}, {{RequestedAt}}, \"days\"))",
    "SubstrateLabel": "C# / Entity Framework"
   },
   {
    "FieldDisagreementId": "effortless-entity-framework|ChangeRequests.DecisionLatencyDays",
    "Substrate": "effortless-entity-framework",
    "RulebookField": "ChangeRequests.DecisionLatencyDays",
    "TableConformance": "effortless-entity-framework|ChangeRequests",
    "FieldClass": "calculated",
    "CellsFailed": 1,
    "DominantReason": "wrong/null value",
    "SemanticTypeIri": "urn:effortless:pko-extension#FieldDisagreement",
    "Name": "effortless-entity-framework / ChangeRequests.DecisionLatencyDays",
    "SampledCellCount": 1,
    "IsFullySampled": true,
    "Formula": "=IF({{IsDecided}}, DATETIME_DIFF({{DecidedAt}}, {{RequestedAt}}, \"days\"), 0)",
    "SubstrateLabel": "C# / Entity Framework"
   },
   {
    "FieldDisagreementId": "effortless-entity-framework|ReviewEvents.DaysSinceReviewed",
    "Substrate": "effortless-entity-framework",
    "RulebookField": "ReviewEvents.DaysSinceReviewed",
    "TableConformance": "effortless-entity-framework|ReviewEvents",
    "FieldClass": "calculated",
    "CellsFailed": 3,
    "DominantReason": "wrong/null value",
    "SemanticTypeIri": "urn:effortless:pko-extension#FieldDisagreement",
    "Name": "effortless-entity-framework / ReviewEvents.DaysSinceReviewed",
    "SampledCellCount": 3,
    "IsFullySampled": true,
    "Formula": "=DATETIME_DIFF({{AsOfInstant}}, {{ReviewedAt}}, \"days\")",
    "SubstrateLabel": "C# / Entity Framework"
   },
   {
    "FieldDisagreementId": "effortless-entity-framework|ReviewEvents.CadenceDriftDays",
    "Substrate": "effortless-entity-framework",
    "RulebookField": "ReviewEvents.CadenceDriftDays",
    "TableConformance": "effortless-entity-framework|ReviewEvents",
    "FieldClass": "calculated",
    "CellsFailed": 3,
    "DominantReason": "wrong/null value",
    "SemanticTypeIri": "urn:effortless:pko-extension#FieldDisagreement",
    "Name": "effortless-entity-framework / ReviewEvents.CadenceDriftDays",
    "SampledCellCount": 3,
    "IsFullySampled": true,
    "Formula": "={{DaysSinceReviewed}} - {{PromisedCadenceDays}}",
    "SubstrateLabel": "C# / Entity Framework"
   },
   {
    "FieldDisagreementId": "effortless-entity-framework|LearningActivities.Name",
    "Substrate": "effortless-entity-framework",
    "RulebookField": "LearningActivities.Name",
    "TableConformance": "effortless-entity-framework|LearningActivities",
    "FieldClass": "calculated",
    "CellsFailed": 2,
    "DominantReason": "wrong/null value",
    "SemanticTypeIri": "urn:effortless:pko-extension#FieldDisagreement",
    "Name": "effortless-entity-framework / LearningActivities.Name",
    "SampledCellCount": 2,
    "IsFullySampled": true,
    "Formula": "={{ActivityKind}} &amp; \" / \" &amp; {{OccurredAt}}",
    "SubstrateLabel": "C# / Entity Framework"
   },
   {
    "FieldDisagreementId": "effortless-entity-framework|ObservedTransitions.Name",
    "Substrate": "effortless-entity-framework",
    "RulebookField": "ObservedTransitions.Name",
    "TableConformance": "effortless-entity-framework|ObservedTransitions",
    "FieldClass": "calculated",
    "CellsFailed": 10,
    "DominantReason": "wrong/null value",
    "SemanticTypeIri": "urn:effortless:pko-extension#FieldDisagreement",
    "Name": "effortless-entity-framework / ObservedTransitions.Name",
    "SampledCellCount": 10,
    "IsFullySampled": true,
    "Formula": "={{StepTransition}} &amp; \" @ \" &amp; {{ObservedAt}}",
    "SubstrateLabel": "C# / Entity Framework"
   },
   {
    "FieldDisagreementId": "effortless-entity-framework|MessageDeliveries.Name",
    "Substrate": "effortless-entity-framework",
    "RulebookField": "MessageDeliveries.Name",
    "TableConformance": "effortless-entity-framework|MessageDeliveries",
    "FieldClass": "calculated",
    "CellsFailed": 6,
    "DominantReason": "wrong/null value",
    "SemanticTypeIri": "urn:effortless:pko-extension#FieldDisagreement",
    "Name": "effortless-entity-framework / MessageDeliveries.Name",
    "SampledCellCount": 6,
    "IsFullySampled": true,
    "Formula": "={{Recipient}} &amp; \" / \" &amp; {{MessageTemplate}} &amp; \" / \" &amp; {{SentAt}}",
    "SubstrateLabel": "C# / Entity Framework"
   },
   {
    "FieldDisagreementId": "effortless-entity-framework|MessageDeliveries.AgeDays",
    "Substrate": "effortless-entity-framework",
    "RulebookField": "MessageDeliveries.AgeDays",
    "TableConformance": "effortless-entity-framework|MessageDeliveries",
    "FieldClass": "calculated",
    "CellsFailed": 6,
    "DominantReason": "wrong/null value",
    "SemanticTypeIri": "urn:effortless:pko-extension#FieldDisagreement",
    "Name": "effortless-entity-framework / MessageDeliveries.AgeDays",
    "SampledCellCount": 6,
    "IsFullySampled": true,
    "Formula": "=DATETIME_DIFF({{AsOfInstant}}, {{SentAt}}, \"days\")",
    "SubstrateLabel": "C# / Entity Framework"
   },
   {
    "FieldDisagreementId": "effortless-entity-framework|MessageDeliveries.SegmentCount",
    "Substrate": "effortless-entity-framework",
    "RulebookField": "MessageDeliveries.SegmentCount",
    "TableConformance": "effortless-entity-framework|MessageDeliveries",
    "FieldClass": "calculated",
    "CellsFailed": 6,
    "DominantReason": "wrong/null value",
    "SemanticTypeIri": "urn:effortless:pko-extension#FieldDisagreement",
    "Name": "effortless-entity-framework / MessageDeliveries.SegmentCount",
    "SampledCellCount": 6,
    "IsFullySampled": true,
    "Formula": "=IF({{RenderedBodyLength}} = 0, 0, IF({{RenderedBodyLength}} &lt;= {{PolicyMaxMessageLengthAtSend}}, 1, ROUNDUP({{RenderedBodyLength}} / {{PolicyMaxMessageLengthAtSend}}, 0)))",
    "SubstrateLabel": "C# / Entity Framework"
   },
   {
    "FieldDisagreementId": "effortless-entity-framework|MessageDeliveries.OutstandingAgeDays",
    "Substrate": "effortless-entity-framework",
    "RulebookField": "MessageDeliveries.OutstandingAgeDays",
    "TableConformance": "effortless-entity-framework|MessageDeliveries",
    "FieldClass": "calculated",
    "CellsFailed": 3,
    "DominantReason": "wrong/null value",
    "SemanticTypeIri": "urn:effortless:pko-extension#FieldDisagreement",
    "Name": "effortless-entity-framework / MessageDeliveries.OutstandingAgeDays",
    "SampledCellCount": 3,
    "IsFullySampled": true,
    "Formula": "=IF({{AcknowledgementIsOutstanding}}, DATETIME_DIFF({{AsOfInstant}}, {{SentAt}}, \"days\"), 0)",
    "SubstrateLabel": "C# / Entity Framework"
   },
   {
    "FieldDisagreementId": "effortless-entity-framework|MessageDeliveries.OptOutPhrasePosition",
    "Substrate": "effortless-entity-framework",
    "RulebookField": "MessageDeliveries.OptOutPhrasePosition",
    "TableConformance": "effortless-entity-framework|MessageDeliveries",
    "FieldClass": "calculated",
    "CellsFailed": 3,
    "DominantReason": "wrong/null value",
    "SemanticTypeIri": "urn:effortless:pko-extension#FieldDisagreement",
    "Name": "effortless-entity-framework / MessageDeliveries.OptOutPhrasePosition",
    "SampledCellCount": 3,
    "IsFullySampled": true,
    "Formula": "=FIND({{PolicyRequiredOptOutPhrase}}, {{RenderedBody}})",
    "SubstrateLabel": "C# / Entity Framework"
   },
   {
    "FieldDisagreementId": "effortless-entity-framework|TemplateApprovals.Name",
    "Substrate": "effortless-entity-framework",
    "RulebookField": "TemplateApprovals.Name",
    "TableConformance": "effortless-entity-framework|TemplateApprovals",
    "FieldClass": "calculated",
    "CellsFailed": 2,
    "DominantReason": "wrong/null value",
    "SemanticTypeIri": "urn:effortless:pko-extension#FieldDisagreement",
    "Name": "effortless-entity-framework / TemplateApprovals.Name",
    "SampledCellCount": 2,
    "IsFullySampled": true,
    "Formula": "={{MessageTemplate}} &amp; \" / \" &amp; {{Decision}} &amp; \" / \" &amp; {{DecidedAt}}",
    "SubstrateLabel": "C# / Entity Framework"
   },
   {
    "FieldDisagreementId": "effortless-entity-framework|SendIntents.DeferralAgeHours",
    "Substrate": "effortless-entity-framework",
    "RulebookField": "SendIntents.DeferralAgeHours",
    "TableConformance": "effortless-entity-framework|SendIntents",
    "FieldClass": "calculated",
    "CellsFailed": 7,
    "DominantReason": "wrong/null value",
    "SemanticTypeIri": "urn:effortless:pko-extension#FieldDisagreement",
    "Name": "effortless-entity-framework / SendIntents.DeferralAgeHours",
    "SampledCellCount": 7,
    "IsFullySampled": true,
    "Formula": "=DATETIME_DIFF({{AsOfInstant}}, {{EvaluatedAt}}, \"hours\")",
    "SubstrateLabel": "C# / Entity Framework"
   },
   {
    "FieldDisagreementId": "effortless-entity-framework|DeliveredCommunications.ContentMatchesApproval",
    "Substrate": "effortless-entity-framework",
    "RulebookField": "DeliveredCommunications.ContentMatchesApproval",
    "TableConformance": "effortless-entity-framework|DeliveredCommunications",
    "FieldClass": "calculated",
    "CellsFailed": 1,
    "DominantReason": "wrong/null value",
    "SemanticTypeIri": "urn:effortless:pko-extension#FieldDisagreement",
    "Name": "effortless-entity-framework / DeliveredCommunications.ContentMatchesApproval",
    "SampledCellCount": 1,
    "IsFullySampled": true,
    "Formula": "={{RenderedContentHash}} = {{ApprovedContentHash}}",
    "SubstrateLabel": "C# / Entity Framework"
   },
   {
    "FieldDisagreementId": "effortless-entity-framework|ProcessMiningRuns.Name",
    "Substrate": "effortless-entity-framework",
    "RulebookField": "ProcessMiningRuns.Name",
    "TableConformance": "effortless-entity-framework|ProcessMiningRuns",
    "FieldClass": "calculated",
    "CellsFailed": 4,
    "DominantReason": "wrong/null value",
    "SemanticTypeIri": "urn:effortless:pko-extension#FieldDisagreement",
    "Name": "effortless-entity-framework / ProcessMiningRuns.Name",
    "SampledCellCount": 4,
    "IsFullySampled": true,
    "Formula": "={{EventLogSource}} &amp; \" / \" &amp; {{MinedAt}}",
    "SubstrateLabel": "C# / Entity Framework"
   },
   {
    "FieldDisagreementId": "effortless-golang|EvaluationContexts.Name",
    "Substrate": "effortless-golang",
    "RulebookField": "EvaluationContexts.Name",
    "TableConformance": "effortless-golang|EvaluationContexts",
    "FieldClass": "calculated",
    "CellsFailed": 1,
    "DominantReason": "wrong/null value",
    "SemanticTypeIri": "urn:effortless:pko-extension#FieldDisagreement",
    "Name": "effortless-golang / EvaluationContexts.Name",
    "SampledCellCount": 1,
    "IsFullySampled": true,
    "Formula": "={{Label}} &amp; \" @ \" &amp; {{AsOfInstant}}",
    "SubstrateLabel": "Go"
   },
   {
    "FieldDisagreementId": "effortless-golang|RoleAssignments.Name",
    "Substrate": "effortless-golang",
    "RulebookField": "RoleAssignments.Name",
    "TableConformance": "effortless-golang|RoleAssignments",
    "FieldClass": "calculated",
    "CellsFailed": 13,
    "DominantReason": "wrong/null value",
    "SemanticTypeIri": "urn:effortless:pko-extension#FieldDisagreement",
    "Name": "effortless-golang / RoleAssignments.Name",
    "SampledCellCount": 13,
    "IsFullySampled": true,
    "Formula": "={{Role}} &amp; \" @ \" &amp; {{ValidFrom}}",
    "SubstrateLabel": "Go"
   },
   {
    "FieldDisagreementId": "effortless-golang|RoleAssignments.QualityVerdictIsUnsupported",
    "Substrate": "effortless-golang",
    "RulebookField": "RoleAssignments.QualityVerdictIsUnsupported",
    "TableConformance": "effortless-golang|RoleAssignments",
    "FieldClass": "calculated",
    "CellsFailed": 13,
    "DominantReason": "wrong/null value",
    "SemanticTypeIri": "urn:effortless:pko-extension#FieldDisagreement",
    "Name": "effortless-golang / RoleAssignments.QualityVerdictIsUnsupported",
    "SampledCellCount": 13,
    "IsFullySampled": true,
    "Formula": "=AND(NOT({{ComparisonIsEvidentiallySound}}), NOT({{QualityRegressedVsPredecessor}}))",
    "SubstrateLabel": "Go"
   },
   {
    "FieldDisagreementId": "effortless-golang|RoleAssignments.IsUnmeasuredAutomationHandover",
    "Substrate": "effortless-golang",
    "RulebookField": "RoleAssignments.IsUnmeasuredAutomationHandover",
    "TableConformance": "effortless-golang|RoleAssignments",
    "FieldClass": "calculated",
    "CellsFailed": 1,
    "DominantReason": "wrong/null value",
    "SemanticTypeIri": "urn:effortless:pko-extension#FieldDisagreement",
    "Name": "effortless-golang / RoleAssignments.IsUnmeasuredAutomationHandover",
    "SampledCellCount": 1,
    "IsFullySampled": true,
    "Formula": "=AND({{IsHumanToNonHumanHandover}}, NOT({{ComparisonIsEvidentiallySound}}))",
    "SubstrateLabel": "Go"
   },
   {
    "FieldDisagreementId": "effortless-golang|ProcedureVersions.DaysSinceModified",
    "Substrate": "effortless-golang",
    "RulebookField": "ProcedureVersions.DaysSinceModified",
    "TableConformance": "effortless-golang|ProcedureVersions",
    "FieldClass": "calculated",
    "CellsFailed": 3,
    "DominantReason": "wrong/null value",
    "SemanticTypeIri": "urn:effortless:pko-extension#FieldDisagreement",
    "Name": "effortless-golang / ProcedureVersions.DaysSinceModified",
    "SampledCellCount": 3,
    "IsFullySampled": true,
    "Formula": "=DATETIME_DIFF({{AsOfInstant}}, {{ModifiedAt}}, \"days\")",
    "SubstrateLabel": "Go"
   },
   {
    "FieldDisagreementId": "effortless-golang|ProcedureVersions.WasModifiedSinceLastReview",
    "Substrate": "effortless-golang",
    "RulebookField": "ProcedureVersions.WasModifiedSinceLastReview",
    "TableConformance": "effortless-golang|ProcedureVersions",
    "FieldClass": "calculated",
    "CellsFailed": 2,
    "DominantReason": "wrong/null value",
    "SemanticTypeIri": "urn:effortless:pko-extension#FieldDisagreement",
    "Name": "effortless-golang / ProcedureVersions.WasModifiedSinceLastReview",
    "SampledCellCount": 2,
    "IsFullySampled": true,
    "Formula": "={{DaysSinceModified}} &lt; {{DaysSinceLastReview}}",
    "SubstrateLabel": "Go"
   },
   {
    "FieldDisagreementId": "effortless-golang|ProcedureVersions.HasUnwitnessedChange",
    "Substrate": "effortless-golang",
    "RulebookField": "ProcedureVersions.HasUnwitnessedChange",
    "TableConformance": "effortless-golang|ProcedureVersions",
    "FieldClass": "calculated",
    "CellsFailed": 2,
    "DominantReason": "wrong/null value",
    "SemanticTypeIri": "urn:effortless:pko-extension#FieldDisagreement",
    "Name": "effortless-golang / ProcedureVersions.HasUnwitnessedChange",
    "SampledCellCount": 2,
    "IsFullySampled": true,
    "Formula": "=AND({{IsLive}}, {{WasModifiedSinceLastReview}})",
    "SubstrateLabel": "Go"
   },
   {
    "FieldDisagreementId": "effortless-golang|Requirements.IsUntestedWitness",
    "Substrate": "effortless-golang",
    "RulebookField": "Requirements.IsUntestedWitness",
    "TableConformance": "effortless-golang|Requirements",
    "FieldClass": "calculated",
    "CellsFailed": 3,
    "DominantReason": "wrong/null value",
    "SemanticTypeIri": "urn:effortless:pko-extension#FieldDisagreement",
    "Name": "effortless-golang / Requirements.IsUntestedWitness",
    "SampledCellCount": 3,
    "IsFullySampled": true,
    "Formula": "=AND({{WitnessHasNeverFired}}, NOT({{HasMeaningfulSample}}))",
    "SubstrateLabel": "Go"
   },
   {
    "FieldDisagreementId": "effortless-golang|ElicitationSessions.Name",
    "Substrate": "effortless-golang",
    "RulebookField": "ElicitationSessions.Name",
    "TableConformance": "effortless-golang|ElicitationSessions",
    "FieldClass": "calculated",
    "CellsFailed": 3,
    "DominantReason": "wrong/null value",
    "SemanticTypeIri": "urn:effortless:pko-extension#FieldDisagreement",
    "Name": "effortless-golang / ElicitationSessions.Name",
    "SampledCellCount": 3,
    "IsFullySampled": true,
    "Formula": "={{Method}} &amp; \" / \" &amp; {{StartedAt}}",
    "SubstrateLabel": "Go"
   },
   {
    "FieldDisagreementId": "effortless-golang|ElicitationSessions.DaysSinceElicited",
    "Substrate": "effortless-golang",
    "RulebookField": "ElicitationSessions.DaysSinceElicited",
    "TableConformance": "effortless-golang|ElicitationSessions",
    "FieldClass": "calculated",
    "CellsFailed": 2,
    "DominantReason": "wrong/null value",
    "SemanticTypeIri": "urn:effortless:pko-extension#FieldDisagreement",
    "Name": "effortless-golang / ElicitationSessions.DaysSinceElicited",
    "SampledCellCount": 2,
    "IsFullySampled": true,
    "Formula": "=DATETIME_DIFF({{AsOfInstant}}, {{EndedAt}}, \"days\")",
    "SubstrateLabel": "Go"
   },
   {
    "FieldDisagreementId": "effortless-golang|KnowledgeFragments.DaysSinceActualReview",
    "Substrate": "effortless-golang",
    "RulebookField": "KnowledgeFragments.DaysSinceActualReview",
    "TableConformance": "effortless-golang|KnowledgeFragments",
    "FieldClass": "calculated",
    "CellsFailed": 3,
    "DominantReason": "wrong/null value",
    "SemanticTypeIri": "urn:effortless:pko-extension#FieldDisagreement",
    "Name": "effortless-golang / KnowledgeFragments.DaysSinceActualReview",
    "SampledCellCount": 3,
    "IsFullySampled": true,
    "Formula": "=IF({{HasReviewRecord}}, DATETIME_DIFF({{AsOfInstant}}, {{LastReviewedAt}}, \"days\"), 0)",
    "SubstrateLabel": "Go"
   },
   {
    "FieldDisagreementId": "effortless-golang|KnowledgeFragments.EvidenceAgeDays",
    "Substrate": "effortless-golang",
    "RulebookField": "KnowledgeFragments.EvidenceAgeDays",
    "TableConformance": "effortless-golang|KnowledgeFragments",
    "FieldClass": "lookup",
    "CellsFailed": 3,
    "DominantReason": "wrong/null value",
    "SemanticTypeIri": "urn:effortless:pko-extension#FieldDisagreement",
    "Name": "effortless-golang / KnowledgeFragments.EvidenceAgeDays",
    "SampledCellCount": 3,
    "IsFullySampled": true,
    "Formula": "=INDEX(ElicitationSessions!{{DaysSinceElicited}}, MATCH({{ElicitationSession}}, ElicitationSessions!{{ElicitationSessionId}}, 0))",
    "SubstrateLabel": "Go"
   },
   {
    "FieldDisagreementId": "effortless-golang|KnowledgeFragments.AgeDays",
    "Substrate": "effortless-golang",
    "RulebookField": "KnowledgeFragments.AgeDays",
    "TableConformance": "effortless-golang|KnowledgeFragments",
    "FieldClass": "calculated",
    "CellsFailed": 3,
    "DominantReason": "wrong/null value",
    "SemanticTypeIri": "urn:effortless:pko-extension#FieldDisagreement",
    "Name": "effortless-golang / KnowledgeFragments.AgeDays",
    "SampledCellCount": 3,
    "IsFullySampled": true,
    "Formula": "=DATETIME_DIFF({{AsOfInstant}}, {{ValidFrom}}, \"days\")",
    "SubstrateLabel": "Go"
   },
   {
    "FieldDisagreementId": "effortless-golang|KnowledgeFragments.DaysAwaitingMyApproval",
    "Substrate": "effortless-golang",
    "RulebookField": "KnowledgeFragments.DaysAwaitingMyApproval",
    "TableConformance": "effortless-golang|KnowledgeFragments",
    "FieldClass": "calculated",
    "CellsFailed": 1,
    "DominantReason": "wrong/null value",
    "SemanticTypeIri": "urn:effortless:pko-extension#FieldDisagreement",
    "Name": "effortless-golang / KnowledgeFragments.DaysAwaitingMyApproval",
    "SampledCellCount": 1,
    "IsFullySampled": true,
    "Formula": "=IF({{IsMyUnfinishedApproval}}, DATETIME_DIFF({{AsOfInstant}}, {{ValidFrom}}, \"days\"), 0)",
    "SubstrateLabel": "Go"
   },
   {
    "FieldDisagreementId": "effortless-golang|KnowledgeGaps.DaysOpen",
    "Substrate": "effortless-golang",
    "RulebookField": "KnowledgeGaps.DaysOpen",
    "TableConformance": "effortless-golang|KnowledgeGaps",
    "FieldClass": "calculated",
    "CellsFailed": 1,
    "DominantReason": "wrong/null value",
    "SemanticTypeIri": "urn:effortless:pko-extension#FieldDisagreement",
    "Name": "effortless-golang / KnowledgeGaps.DaysOpen",
    "SampledCellCount": 1,
    "IsFullySampled": true,
    "Formula": "=IF({{IsOpen}}, DATETIME_DIFF({{AsOfInstant}}, {{IdentifiedAt}}, \"days\"), 0)",
    "SubstrateLabel": "Go"
   },
   {
    "FieldDisagreementId": "effortless-golang|IssueOccurrences.Name",
    "Substrate": "effortless-golang",
    "RulebookField": "IssueOccurrences.Name",
    "TableConformance": "effortless-golang|IssueOccurrences",
    "FieldClass": "calculated",
    "CellsFailed": 2,
    "DominantReason": "wrong/null value",
    "SemanticTypeIri": "urn:effortless:pko-extension#FieldDisagreement",
    "Name": "effortless-golang / IssueOccurrences.Name",
    "SampledCellCount": 2,
    "IsFullySampled": true,
    "Formula": "={{Error}} &amp; \" @ \" &amp; {{OccurredAt}}",
    "SubstrateLabel": "Go"
   },
   {
    "FieldDisagreementId": "effortless-golang|ChangeRequests.DaysPending",
    "Substrate": "effortless-golang",
    "RulebookField": "ChangeRequests.DaysPending",
    "TableConformance": "effortless-golang|ChangeRequests",
    "FieldClass": "calculated",
    "CellsFailed": 1,
    "DominantReason": "wrong/null value",
    "SemanticTypeIri": "urn:effortless:pko-extension#FieldDisagreement",
    "Name": "effortless-golang / ChangeRequests.DaysPending",
    "SampledCellCount": 1,
    "IsFullySampled": true,
    "Formula": "=IF({{IsDecided}}, DATETIME_DIFF({{DecidedAt}}, {{RequestedAt}}, \"days\"), DATETIME_DIFF({{AsOfInstant}}, {{RequestedAt}}, \"days\"))",
    "SubstrateLabel": "Go"
   },
   {
    "FieldDisagreementId": "effortless-golang|ChangeRequests.DecisionLatencyDays",
    "Substrate": "effortless-golang",
    "RulebookField": "ChangeRequests.DecisionLatencyDays",
    "TableConformance": "effortless-golang|ChangeRequests",
    "FieldClass": "calculated",
    "CellsFailed": 1,
    "DominantReason": "wrong/null value",
    "SemanticTypeIri": "urn:effortless:pko-extension#FieldDisagreement",
    "Name": "effortless-golang / ChangeRequests.DecisionLatencyDays",
    "SampledCellCount": 1,
    "IsFullySampled": true,
    "Formula": "=IF({{IsDecided}}, DATETIME_DIFF({{DecidedAt}}, {{RequestedAt}}, \"days\"), 0)",
    "SubstrateLabel": "Go"
   },
   {
    "FieldDisagreementId": "effortless-golang|ReviewEvents.DaysSinceReviewed",
    "Substrate": "effortless-golang",
    "RulebookField": "ReviewEvents.DaysSinceReviewed",
    "TableConformance": "effortless-golang|ReviewEvents",
    "FieldClass": "calculated",
    "CellsFailed": 3,
    "DominantReason": "wrong/null value",
    "SemanticTypeIri": "urn:effortless:pko-extension#FieldDisagreement",
    "Name": "effortless-golang / ReviewEvents.DaysSinceReviewed",
    "SampledCellCount": 3,
    "IsFullySampled": true,
    "Formula": "=DATETIME_DIFF({{AsOfInstant}}, {{ReviewedAt}}, \"days\")",
    "SubstrateLabel": "Go"
   },
   {
    "FieldDisagreementId": "effortless-golang|ReviewEvents.CadenceDriftDays",
    "Substrate": "effortless-golang",
    "RulebookField": "ReviewEvents.CadenceDriftDays",
    "TableConformance": "effortless-golang|ReviewEvents",
    "FieldClass": "calculated",
    "CellsFailed": 3,
    "DominantReason": "wrong/null value",
    "SemanticTypeIri": "urn:effortless:pko-extension#FieldDisagreement",
    "Name": "effortless-golang / ReviewEvents.CadenceDriftDays",
    "SampledCellCount": 3,
    "IsFullySampled": true,
    "Formula": "={{DaysSinceReviewed}} - {{PromisedCadenceDays}}",
    "SubstrateLabel": "Go"
   },
   {
    "FieldDisagreementId": "effortless-golang|LearningActivities.Name",
    "Substrate": "effortless-golang",
    "RulebookField": "LearningActivities.Name",
    "TableConformance": "effortless-golang|LearningActivities",
    "FieldClass": "calculated",
    "CellsFailed": 2,
    "DominantReason": "wrong/null value",
    "SemanticTypeIri": "urn:effortless:pko-extension#FieldDisagreement",
    "Name": "effortless-golang / LearningActivities.Name",
    "SampledCellCount": 2,
    "IsFullySampled": true,
    "Formula": "={{ActivityKind}} &amp; \" / \" &amp; {{OccurredAt}}",
    "SubstrateLabel": "Go"
   },
   {
    "FieldDisagreementId": "effortless-golang|ObservedTransitions.Name",
    "Substrate": "effortless-golang",
    "RulebookField": "ObservedTransitions.Name",
    "TableConformance": "effortless-golang|ObservedTransitions",
    "FieldClass": "calculated",
    "CellsFailed": 10,
    "DominantReason": "wrong/null value",
    "SemanticTypeIri": "urn:effortless:pko-extension#FieldDisagreement",
    "Name": "effortless-golang / ObservedTransitions.Name",
    "SampledCellCount": 10,
    "IsFullySampled": true,
    "Formula": "={{StepTransition}} &amp; \" @ \" &amp; {{ObservedAt}}",
    "SubstrateLabel": "Go"
   },
   {
    "FieldDisagreementId": "effortless-golang|MessageDeliveries.Name",
    "Substrate": "effortless-golang",
    "RulebookField": "MessageDeliveries.Name",
    "TableConformance": "effortless-golang|MessageDeliveries",
    "FieldClass": "calculated",
    "CellsFailed": 6,
    "DominantReason": "wrong/null value",
    "SemanticTypeIri": "urn:effortless:pko-extension#FieldDisagreement",
    "Name": "effortless-golang / MessageDeliveries.Name",
    "SampledCellCount": 6,
    "IsFullySampled": true,
    "Formula": "={{Recipient}} &amp; \" / \" &amp; {{MessageTemplate}} &amp; \" / \" &amp; {{SentAt}}",
    "SubstrateLabel": "Go"
   },
   {
    "FieldDisagreementId": "effortless-golang|MessageDeliveries.AgeDays",
    "Substrate": "effortless-golang",
    "RulebookField": "MessageDeliveries.AgeDays",
    "TableConformance": "effortless-golang|MessageDeliveries",
    "FieldClass": "calculated",
    "CellsFailed": 6,
    "DominantReason": "wrong/null value",
    "SemanticTypeIri": "urn:effortless:pko-extension#FieldDisagreement",
    "Name": "effortless-golang / MessageDeliveries.AgeDays",
    "SampledCellCount": 6,
    "IsFullySampled": true,
    "Formula": "=DATETIME_DIFF({{A</t>
  </si>
  <si>
    <t xml:space="preserve">sOfInstant}}, {{SentAt}}, \"days\")",
    "SubstrateLabel": "Go"
   },
   {
    "FieldDisagreementId": "effortless-golang|MessageDeliveries.SegmentCount",
    "Substrate": "effortless-golang",
    "RulebookField": "MessageDeliveries.SegmentCount",
    "TableConformance": "effortless-golang|MessageDeliveries",
    "FieldClass": "calculated",
    "CellsFailed": 6,
    "DominantReason": "wrong/null value",
    "SemanticTypeIri": "urn:effortless:pko-extension#FieldDisagreement",
    "Name": "effortless-golang / MessageDeliveries.SegmentCount",
    "SampledCellCount": 6,
    "IsFullySampled": true,
    "Formula": "=IF({{RenderedBodyLength}} = 0, 0, IF({{RenderedBodyLength}} &lt;= {{PolicyMaxMessageLengthAtSend}}, 1, ROUNDUP({{RenderedBodyLength}} / {{PolicyMaxMessageLengthAtSend}}, 0)))",
    "SubstrateLabel": "Go"
   },
   {
    "FieldDisagreementId": "effortless-golang|MessageDeliveries.OutstandingAgeDays",
    "Substrate": "effortless-golang",
    "RulebookField": "MessageDeliveries.OutstandingAgeDays",
    "TableConformance": "effortless-golang|MessageDeliveries",
    "FieldClass": "calculated",
    "CellsFailed": 3,
    "DominantReason": "wrong/null value",
    "SemanticTypeIri": "urn:effortless:pko-extension#FieldDisagreement",
    "Name": "effortless-golang / MessageDeliveries.OutstandingAgeDays",
    "SampledCellCount": 3,
    "IsFullySampled": true,
    "Formula": "=IF({{AcknowledgementIsOutstanding}}, DATETIME_DIFF({{AsOfInstant}}, {{SentAt}}, \"days\"), 0)",
    "SubstrateLabel": "Go"
   },
   {
    "FieldDisagreementId": "effortless-golang|MessageDeliveries.OptOutPhrasePosition",
    "Substrate": "effortless-golang",
    "RulebookField": "MessageDeliveries.OptOutPhrasePosition",
    "TableConformance": "effortless-golang|MessageDeliveries",
    "FieldClass": "calculated",
    "CellsFailed": 3,
    "DominantReason": "wrong/null value",
    "SemanticTypeIri": "urn:effortless:pko-extension#FieldDisagreement",
    "Name": "effortless-golang / MessageDeliveries.OptOutPhrasePosition",
    "SampledCellCount": 3,
    "IsFullySampled": true,
    "Formula": "=FIND({{PolicyRequiredOptOutPhrase}}, {{RenderedBody}})",
    "SubstrateLabel": "Go"
   },
   {
    "FieldDisagreementId": "effortless-golang|TemplateApprovals.Name",
    "Substrate": "effortless-golang",
    "RulebookField": "TemplateApprovals.Name",
    "TableConformance": "effortless-golang|TemplateApprovals",
    "FieldClass": "calculated",
    "CellsFailed": 2,
    "DominantReason": "wrong/null value",
    "SemanticTypeIri": "urn:effortless:pko-extension#FieldDisagreement",
    "Name": "effortless-golang / TemplateApprovals.Name",
    "SampledCellCount": 2,
    "IsFullySampled": true,
    "Formula": "={{MessageTemplate}} &amp; \" / \" &amp; {{Decision}} &amp; \" / \" &amp; {{DecidedAt}}",
    "SubstrateLabel": "Go"
   },
   {
    "FieldDisagreementId": "effortless-golang|SendIntents.DeferralAgeHours",
    "Substrate": "effortless-golang",
    "RulebookField": "SendIntents.DeferralAgeHours",
    "TableConformance": "effortless-golang|SendIntents",
    "FieldClass": "calculated",
    "CellsFailed": 7,
    "DominantReason": "wrong/null value",
    "SemanticTypeIri": "urn:effortless:pko-extension#FieldDisagreement",
    "Name": "effortless-golang / SendIntents.DeferralAgeHours",
    "SampledCellCount": 7,
    "IsFullySampled": true,
    "Formula": "=DATETIME_DIFF({{AsOfInstant}}, {{EvaluatedAt}}, \"hours\")",
    "SubstrateLabel": "Go"
   },
   {
    "FieldDisagreementId": "effortless-golang|DeliveredCommunications.ContentMatchesApproval",
    "Substrate": "effortless-golang",
    "RulebookField": "DeliveredCommunications.ContentMatchesApproval",
    "TableConformance": "effortless-golang|DeliveredCommunications",
    "FieldClass": "calculated",
    "CellsFailed": 1,
    "DominantReason": "wrong/null value",
    "SemanticTypeIri": "urn:effortless:pko-extension#FieldDisagreement",
    "Name": "effortless-golang / DeliveredCommunications.ContentMatchesApproval",
    "SampledCellCount": 1,
    "IsFullySampled": true,
    "Formula": "={{RenderedContentHash}} = {{ApprovedContentHash}}",
    "SubstrateLabel": "Go"
   },
   {
    "FieldDisagreementId": "effortless-golang|ProcessMiningRuns.Name",
    "Substrate": "effortless-golang",
    "RulebookField": "ProcessMiningRuns.Name",
    "TableConformance": "effortless-golang|ProcessMiningRuns",
    "FieldClass": "calculated",
    "CellsFailed": 4,
    "DominantReason": "wrong/null value",
    "SemanticTypeIri": "urn:effortless:pko-extension#FieldDisagreement",
    "Name": "effortless-golang / ProcessMiningRuns.Name",
    "SampledCellCount": 4,
    "IsFullySampled": true,
    "Formula": "={{EventLogSource}} &amp; \" / \" &amp; {{MinedAt}}",
    "SubstrateLabel": "Go"
   },
   {
    "FieldDisagreementId": "effortless-owl|RulebookReleases.Name",
    "Substrate": "effortless-owl",
    "RulebookField": "RulebookReleases.Name",
    "TableConformance": "effortless-owl|RulebookReleases",
    "FieldClass": "calculated",
    "CellsFailed": 1,
    "DominantReason": "wrong/null value",
    "SemanticTypeIri": "urn:effortless:pko-extension#FieldDisagreement",
    "Name": "effortless-owl / RulebookReleases.Name",
    "SampledCellCount": 1,
    "IsFullySampled": true,
    "Formula": "={{RulebookVersion}} &amp; \" / PKO \" &amp; {{PkoCoreVersionIri}}",
    "SubstrateLabel": "OWL / SHACL"
   },
   {
    "FieldDisagreementId": "effortless-owl|RoleAssignments.QualityVerdictIsUnsupported",
    "Substrate": "effortless-owl",
    "RulebookField": "RoleAssignments.QualityVerdictIsUnsupported",
    "TableConformance": "effortless-owl|RoleAssignments",
    "FieldClass": "calculated",
    "CellsFailed": 13,
    "DominantReason": "wrong/null value",
    "SemanticTypeIri": "urn:effortless:pko-extension#FieldDisagreement",
    "Name": "effortless-owl / RoleAssignments.QualityVerdictIsUnsupported",
    "SampledCellCount": 13,
    "IsFullySampled": true,
    "Formula": "=AND(NOT({{ComparisonIsEvidentiallySound}}), NOT({{QualityRegressedVsPredecessor}}))",
    "SubstrateLabel": "OWL / SHACL"
   },
   {
    "FieldDisagreementId": "effortless-owl|RoleAssignments.IsUnmeasuredAutomationHandover",
    "Substrate": "effortless-owl",
    "RulebookField": "RoleAssignments.IsUnmeasuredAutomationHandover",
    "TableConformance": "effortless-owl|RoleAssignments",
    "FieldClass": "calculated",
    "CellsFailed": 1,
    "DominantReason": "wrong/null value",
    "SemanticTypeIri": "urn:effortless:pko-extension#FieldDisagreement",
    "Name": "effortless-owl / RoleAssignments.IsUnmeasuredAutomationHandover",
    "SampledCellCount": 1,
    "IsFullySampled": true,
    "Formula": "=AND({{IsHumanToNonHumanHandover}}, NOT({{ComparisonIsEvidentiallySound}}))",
    "SubstrateLabel": "OWL / SHACL"
   },
   {
    "FieldDisagreementId": "effortless-owl|ProcedureVersions.DaysSinceModified",
    "Substrate": "effortless-owl",
    "RulebookField": "ProcedureVersions.DaysSinceModified",
    "TableConformance": "effortless-owl|ProcedureVersions",
    "FieldClass": "calculated",
    "CellsFailed": 3,
    "DominantReason": "wrong/null value",
    "SemanticTypeIri": "urn:effortless:pko-extension#FieldDisagreement",
    "Name": "effortless-owl / ProcedureVersions.DaysSinceModified",
    "SampledCellCount": 3,
    "IsFullySampled": true,
    "Formula": "=DATETIME_DIFF({{AsOfInstant}}, {{ModifiedAt}}, \"days\")",
    "SubstrateLabel": "OWL / SHACL"
   },
   {
    "FieldDisagreementId": "effortless-owl|ProcedureVersions.IncomingSupersessionCount",
    "Substrate": "effortless-owl",
    "RulebookField": "ProcedureVersions.IncomingSupersessionCount",
    "TableConformance": "effortless-owl|ProcedureVersions",
    "FieldClass": "aggregation",
    "CellsFailed": 1,
    "DominantReason": "wrong/null value",
    "SemanticTypeIri": "urn:effortless:pko-extension#FieldDisagreement",
    "Name": "effortless-owl / ProcedureVersions.IncomingSupersessionCount",
    "SampledCellCount": 1,
    "IsFullySampled": true,
    "Formula": "=COUNTIFS(ProcedureVersionLinks!{{SupersededVersionKey}}, {{ProcedureVersionId}})",
    "SubstrateLabel": "OWL / SHACL"
   },
   {
    "FieldDisagreementId": "effortless-owl|ProcedureVersions.IsStillReferenced",
    "Substrate": "effortless-owl",
    "RulebookField": "ProcedureVersions.IsStillReferenced",
    "TableConformance": "effortless-owl|ProcedureVersions",
    "FieldClass": "calculated",
    "CellsFailed": 1,
    "DominantReason": "wrong/null value",
    "SemanticTypeIri": "urn:effortless:pko-extension#FieldDisagreement",
    "Name": "effortless-owl / ProcedureVersions.IsStillReferenced",
    "SampledCellCount": 1,
    "IsFullySampled": true,
    "Formula": "={{IncomingSupersessionCount}} &gt; 0",
    "SubstrateLabel": "OWL / SHACL"
   },
   {
    "FieldDisagreementId": "effortless-owl|ProcedureVersions.IsLoadBearingOrphan",
    "Substrate": "effortless-owl",
    "RulebookField": "ProcedureVersions.IsLoadBearingOrphan",
    "TableConformance": "effortless-owl|ProcedureVersions",
    "FieldClass": "calculated",
    "CellsFailed": 1,
    "DominantReason": "wrong/null value",
    "SemanticTypeIri": "urn:effortless:pko-extension#FieldDisagreement",
    "Name": "effortless-owl / ProcedureVersions.IsLoadBearingOrphan",
    "SampledCellCount": 1,
    "IsFullySampled": true,
    "Formula": "=AND({{IsUnstewarded}}, OR({{StillOwnsValidKnowledge}}, {{IsStillReferenced}}))",
    "SubstrateLabel": "OWL / SHACL"
   },
   {
    "FieldDisagreementId": "effortless-owl|ProcedureVersions.IsCleanlyRetired",
    "Substrate": "effortless-owl",
    "RulebookField": "ProcedureVersions.IsCleanlyRetired",
    "TableConformance": "effortless-owl|ProcedureVersions",
    "FieldClass": "calculated",
    "CellsFailed": 1,
    "DominantReason": "wrong/null value",
    "SemanticTypeIri": "urn:effortless:pko-extension#FieldDisagreement",
    "Name": "effortless-owl / ProcedureVersions.IsCleanlyRetired",
    "SampledCellCount": 1,
    "IsFullySampled": true,
    "Formula": "=AND({{IsUnstewarded}}, NOT({{StillOwnsValidKnowledge}}), NOT({{IsStillReferenced}}))",
    "SubstrateLabel": "OWL / SHACL"
   },
   {
    "FieldDisagreementId": "effortless-owl|ProcedureVersions.DaysSinceLastReview",
    "Substrate": "effortless-owl",
    "RulebookField": "ProcedureVersions.DaysSinceLastReview",
    "TableConformance": "effortless-owl|ProcedureVersions",
    "FieldClass": "aggregation",
    "CellsFailed": 2,
    "DominantReason": "wrong/null value",
    "SemanticTypeIri": "urn:effortless:pko-extension#FieldDisagreement",
    "Name": "effortless-owl / ProcedureVersions.DaysSinceLastReview",
    "SampledCellCount": 2,
    "IsFullySampled": true,
    "Formula": "=DATETIME_DIFF({{AsOfInstant}}, MAXIFS(ReviewEvents!{{ReviewedAt}}, ReviewEvents!{{ProcedureVersion}}, ProcedureVersions!{{ProcedureVersionId}}), \"days\")",
    "SubstrateLabel": "OWL / SHACL"
   },
   {
    "FieldDisagreementId": "effortless-owl|ProcedureVersions.WasModifiedSinceLastReview",
    "Substrate": "effortless-owl",
    "RulebookField": "ProcedureVersions.WasModifiedSinceLastReview",
    "TableConformance": "effortless-owl|ProcedureVersions",
    "FieldClass": "calculated",
    "CellsFailed": 2,
    "DominantReason": "wrong/null value",
    "SemanticTypeIri": "urn:effortless:pko-extension#FieldDisagreement",
    "Name": "effortless-owl / ProcedureVersions.WasModifiedSinceLastReview",
    "SampledCellCount": 2,
    "IsFullySampled": true,
    "Formula": "={{DaysSinceModified}} &lt; {{DaysSinceLastReview}}",
    "SubstrateLabel": "OWL / SHACL"
   },
   {
    "FieldDisagreementId": "effortless-owl|ProcedureVersions.HasUnwitnessedChange",
    "Substrate": "effortless-owl",
    "RulebookField": "ProcedureVersions.HasUnwitnessedChange",
    "TableConformance": "effortless-owl|ProcedureVersions",
    "FieldClass": "calculated",
    "CellsFailed": 2,
    "DominantReason": "wrong/null value",
    "SemanticTypeIri": "urn:effortless:pko-extension#FieldDisagreement",
    "Name": "effortless-owl / ProcedureVersions.HasUnwitnessedChange",
    "SampledCellCount": 2,
    "IsFullySampled": true,
    "Formula": "=AND({{IsLive}}, {{WasModifiedSinceLastReview}})",
    "SubstrateLabel": "OWL / SHACL"
   },
   {
    "FieldDisagreementId": "effortless-owl|ProcedureVersionLinks.SupersededVersionKey",
    "Substrate": "effortless-owl",
    "RulebookField": "ProcedureVersionLinks.SupersededVersionKey",
    "TableConformance": "effortless-owl|ProcedureVersionLinks",
    "FieldClass": "calculated",
    "CellsFailed": 1,
    "DominantReason": "wrong/null value",
    "SemanticTypeIri": "urn:effortless:pko-extension#FieldDisagreement",
    "Name": "effortless-owl / ProcedureVersionLinks.SupersededVersionKey",
    "SampledCellCount": 1,
    "IsFullySampled": true,
    "Formula": "=IF({{RelationIri}} = \"https://w3id.org/pko#nextVersion\", {{PreviousProcedureVersion}}, \"\")",
    "SubstrateLabel": "OWL / SHACL"
   },
   {
    "FieldDisagreementId": "effortless-owl|Steps.StaleBindingCount",
    "Substrate": "effortless-owl",
    "RulebookField": "Steps.StaleBindingCount",
    "TableConformance": "effortless-owl|Steps",
    "FieldClass": "aggregation",
    "CellsFailed": 3,
    "DominantReason": "wrong/null value",
    "SemanticTypeIri": "urn:effortless:pko-extension#FieldDisagreement",
    "Name": "effortless-owl / Steps.StaleBindingCount",
    "SampledCellCount": 3,
    "IsFullySampled": true,
    "Formula": "=COUNTIFS(OperationalBindings!{{StaleBindingStepKey}}, {{StepId}})",
    "SubstrateLabel": "OWL / SHACL"
   },
   {
    "FieldDisagreementId": "effortless-owl|Steps.AuthoritativeStaleCount",
    "Substrate": "effortless-owl",
    "RulebookField": "Steps.AuthoritativeStaleCount",
    "TableConformance": "effortless-owl|Steps",
    "FieldClass": "aggregation",
    "CellsFailed": 3,
    "DominantReason": "wrong/null value",
    "SemanticTypeIri": "urn:effortless:pko-extension#FieldDisagreement",
    "Name": "effortless-owl / Steps.AuthoritativeStaleCount",
    "SampledCellCount": 3,
    "IsFullySampled": true,
    "Formula": "=COUNTIFS(OperationalBindings!{{AuthoritativeStaleStepKey}}, {{StepId}})",
    "SubstrateLabel": "OWL / SHACL"
   },
   {
    "FieldDisagreementId": "effortless-owl|Steps.StaleAuthoritativeBindingCount",
    "Substrate": "effortless-owl",
    "RulebookField": "Steps.StaleAuthoritativeBindingCount",
    "TableConformance": "effortless-owl|Steps",
    "FieldClass": "aggregation",
    "CellsFailed": 3,
    "DominantReason": "wrong/null value",
    "SemanticTypeIri": "urn:effortless:pko-extension#FieldDisagreement",
    "Name": "effortless-owl / Steps.StaleAuthoritativeBindingCount",
    "SampledCellCount": 3,
    "IsFullySampled": true,
    "Formula": "=COUNTIFS(OperationalBindings!{{StepWhenStale}}, {{StepId}})",
    "SubstrateLabel": "OWL / SHACL"
   },
   {
    "FieldDisagreementId": "effortless-owl|Steps.InputsAreFresh",
    "Substrate": "effortless-owl",
    "RulebookField": "Steps.InputsAreFresh",
    "TableConformance": "effortless-owl|Steps",
    "FieldClass": "calculated",
    "CellsFailed": 3,
    "DominantReason": "wrong/null value",
    "SemanticTypeIri": "urn:effortless:pko-extension#FieldDisagreement",
    "Name": "effortless-owl / Steps.InputsAreFresh",
    "SampledCellCount": 3,
    "IsFullySampled": true,
    "Formula": "={{StaleAuthoritativeBindingCount}} = 0",
    "SubstrateLabel": "OWL / SHACL"
   },
   {
    "FieldDisagreementId": "effortless-owl|StepTransitions.CountOfFromStepExecutions",
    "Substrate": "effortless-owl",
    "RulebookField": "StepTransitions.CountOfFromStepExecutions",
    "TableConformance": "effortless-owl|StepTransitions",
    "FieldClass": "aggregation",
    "CellsFailed": 14,
    "DominantReason": "wrong/null value",
    "SemanticTypeIri": "urn:effortless:pko-extension#FieldDisagreement",
    "Name": "effortless-owl / StepTransitions.CountOfFromStepExecutions",
    "SampledCellCount": 14,
    "IsFullySampled": true,
    "Formula": "=COUNTIFS(StepExecutions!{{Step}}, StepTransitions!{{FromStep}})",
    "SubstrateLabel": "OWL / SHACL"
   },
   {
    "FieldDisagreementId": "effortless-owl|StepTransitions.CountOfToStepExecutions",
    "Substrate": "effortless-owl",
    "RulebookField": "StepTransitions.CountOfToStepExecutions",
    "TableConformance": "effortless-owl|StepTransitions",
    "FieldClass": "aggregation",
    "CellsFailed": 13,
    "DominantReason": "wrong/null value",
    "SemanticTypeIri": "urn:effortless:pko-extension#FieldDisagreement",
    "Name": "effortless-owl / StepTransitions.CountOfToStepExecutions",
    "SampledCellCount": 13,
    "IsFullySampled": true,
    "Formula": "=COUNTIFS(StepExecutions!{{Step}}, StepTransitions!{{ToStep}})",
    "SubstrateLabel": "OWL / SHACL"
   },
   {
    "FieldDisagreementId": "effortless-owl|StepTransitions.HasReachableOrigin",
    "Substrate": "effortless-owl",
    "RulebookField": "StepTransitions.HasReachableOrigin",
    "TableConformance": "effortless-owl|StepTransitions",
    "FieldClass": "calculated",
    "CellsFailed": 14,
    "DominantReason": "wrong/null value",
    "SemanticTypeIri": "urn:effortless:pko-extension#FieldDisagreement",
    "Name": "effortless-owl / StepTransitions.HasReachableOrigin",
    "SampledCellCount": 14,
    "IsFullySampled": true,
    "Formula": "={{CountOfFromStepExecutions}} &gt; 0",
    "SubstrateLabel": "OWL / SHACL"
   },
   {
    "FieldDisagreementId": "effortless-owl|StepTransitions.HasReachableTarget",
    "Substrate": "effortless-owl",
    "RulebookField": "StepTransitions.HasReachableTarget",
    "TableConformance": "effortless-owl|StepTransitions",
    "FieldClass": "calculated",
    "CellsFailed": 13,
    "DominantReason": "wrong/null value",
    "SemanticTypeIri": "urn:effortless:pko-extension#FieldDisagreement",
    "Name": "effortless-owl / StepTransitions.HasReachableTarget",
    "SampledCellCount": 13,
    "IsFullySampled": true,
    "Formula": "={{CountOfToStepExecutions}} &gt; 0",
    "SubstrateLabel": "OWL / SHACL"
   },
   {
    "FieldDisagreementId": "effortless-owl|StepTransitions.IsNeverExercised",
    "Substrate": "effortless-owl",
    "RulebookField": "StepTransitions.IsNeverExercised",
    "TableConformance": "effortless-owl|StepTransitions",
    "FieldClass": "calculated",
    "CellsFailed": 13,
    "DominantReason": "wrong/null value",
    "SemanticTypeIri": "urn:effortless:pko-extension#FieldDisagreement",
    "Name": "effortless-owl / StepTransitions.IsNeverExercised",
    "SampledCellCount": 13,
    "IsFullySampled": true,
    "Formula": "=NOT(AND({{HasReachableOrigin}}, {{HasReachableTarget}}))",
    "SubstrateLabel": "OWL / SHACL"
   },
   {
    "FieldDisagreementId": "effortless-owl|StepTransitions.IsUntestedRecoveryPath",
    "Substrate": "effortless-owl",
    "RulebookField": "StepTransitions.IsUntestedRecoveryPath",
    "TableConformance": "effortless-owl|StepTransitions",
    "FieldClass": "calculated",
    "CellsFailed": 3,
    "DominantReason": "wrong/null value",
    "SemanticTypeIri": "urn:effortless:pko-extension#FieldDisagreement",
    "Name": "effortless-owl / StepTransitions.IsUntestedRecoveryPath",
    "SampledCellCount": 3,
    "IsFullySampled": true,
    "Formula": "=AND({{IsRecoveryPath}}, {{IsNeverExercised}})",
    "SubstrateLabel": "OWL / SHACL"
   },
   {
    "FieldDisagreementId": "effortless-owl|Requirements.IsUntestedWitness",
    "Substrate": "effortless-owl",
    "RulebookField": "Requirements.IsUntestedWitness",
    "TableConformance": "effortless-owl|Requirements",
    "FieldClass": "calculated",
    "CellsFailed": 3,
    "DominantReason": "wrong/null value",
    "SemanticTypeIri": "urn:effortless:pko-extension#FieldDisagreement",
    "Name": "effortless-owl / Requirements.IsUntestedWitness",
    "SampledCellCount": 3,
    "IsFullySampled": true,
    "Formula": "=AND({{WitnessHasNeverFired}}, NOT({{HasMeaningfulSample}}))",
    "SubstrateLabel": "OWL / SHACL"
   },
   {
    "FieldDisagreementId": "effortless-owl|Requirements.ControlAssuranceState",
    "Substrate": "effortless-owl",
    "RulebookField": "Requirements.ControlAssuranceState",
    "TableConformance": "effortless-owl|Requirements",
    "FieldClass": "calculated",
    "CellsFailed": 3,
    "DominantReason": "wrong/null value",
    "SemanticTypeIri": "urn:effortless:pko-extension#FieldDisagreement",
    "Name": "effortless-owl / Requirements.ControlAssuranceState",
    "SampledCellCount": 3,
    "IsFullySampled": true,
    "Formula": "=IF(NOT({{IsBoundToAnyStep}}), \"Decorative\", IF(NOT({{HasEverBeenEvaluated}}), \"Inoperative\", IF(NOT({{HasComputedWitness}}), \"Asserted\", IF({{WitnessFireCount}} &gt; 0, \"Demonstrated\", IF({{HasMeaningfulSample}}, \"Holding\", \"Untested\")))))",
    "SubstrateLabel": "OWL / SHACL"
   },
   {
    "FieldDisagreementId": "effortless-owl|ElicitationSessions.DaysSinceElicited",
    "Substrate": "effortless-owl",
    "RulebookField": "ElicitationSessions.DaysSinceElicited",
    "TableConformance": "effortless-owl|ElicitationSessions",
    "FieldClass": "calculated",
    "CellsFailed": 2,
    "DominantReason": "wrong/null value",
    "SemanticTypeIri": "urn:effortless:pko-extension#FieldDisagreement",
    "Name": "effortless-owl / ElicitationSessions.DaysSinceElicited",
    "SampledCellCount": 2,
    "IsFullySampled": true,
    "Formula": "=DATETIME_DIFF({{AsOfInstant}}, {{EndedAt}}, \"days\")",
    "SubstrateLabel": "OWL / SHACL"
   },
   {
    "FieldDisagreementId": "effortless-owl|KnowledgeFragments.DaysSinceActualReview",
    "Substrate": "effortless-owl",
    "RulebookField": "KnowledgeFragments.DaysSinceActualReview",
    "TableConformance": "effortless-owl|KnowledgeFragments",
    "FieldClass": "calculated",
    "CellsFailed": 3,
    "DominantReason": "wrong/null value",
    "SemanticTypeIri": "urn:effortless:pko-extension#FieldDisagreement",
    "Name": "effortless-owl / KnowledgeFragments.DaysSinceActualReview",
    "SampledCellCount": 3,
    "IsFullySampled": true,
    "Formula": "=IF({{HasReviewRecord}}, DATETIME_DIFF({{AsOfInstant}}, {{LastReviewedAt}}, \"days\"), 0)",
    "SubstrateLabel": "OWL / SHACL"
   },
   {
    "FieldDisagreementId": "effortless-owl|KnowledgeFragments.EvidenceExpiryDays",
    "Substrate": "effortless-owl",
    "RulebookField": "KnowledgeFragments.EvidenceExpiryDays",
    "TableConformance": "effortless-owl|KnowledgeFragments",
    "FieldClass": "calculated",
    "CellsFailed": 1,
    "DominantReason": "wrong/null value",
    "SemanticTypeIri": "urn:effortless:pko-extension#FieldDisagreement",
    "Name": "effortless-owl / KnowledgeFragments.EvidenceExpiryDays",
    "SampledCellCount": 1,
    "IsFullySampled": true,
    "Formula": "=IF({{IsFromSingleWitness}}, 180, 365)",
    "SubstrateLabel": "OWL / SHACL"
   },
   {
    "FieldDisagreementId": "effortless-owl|KnowledgeFragments.FragilitySignalCount",
    "Substrate": "effortless-owl",
    "RulebookField": "KnowledgeFragments.FragilitySignalCount",
    "TableConformance": "effortless-owl|KnowledgeFragments",
    "FieldClass": "calculated",
    "CellsFailed": 3,
    "DominantReason": "wrong/null value",
    "SemanticTypeIri": "urn:effortless:pko-extension#FieldDisagreement",
    "Name": "effortless-owl / KnowledgeFragments.FragilitySignalCount",
    "SampledCellCount": 3,
    "IsFullySampled": true,
    "Formula": "=IF({{IsFromSingleWitness}}, 1, 0) + IF({{IsOverdueForReview}}, 1, 0) + IF({{IsLowConfidence}}, 1, 0) + IF({{HasOperationalReliance}}, 1, 0)",
    "SubstrateLabel": "OWL / SHACL"
   },
   {
    "FieldDisagreementId": "effortless-owl|KnowledgeFragments.EvidenceAgeDays",
    "Substrate": "effortless-owl",
    "RulebookField": "KnowledgeFragments.EvidenceAgeDays",
    "TableConformance": "effortless-owl|KnowledgeFragments",
    "FieldClass": "lookup",
    "CellsFailed": 3,
    "DominantReason": "wrong/null value",
    "SemanticTypeIri": "urn:effortless:pko-extension#FieldDisagreement",
    "Name": "effortless-owl / KnowledgeFragments.EvidenceAgeDays",
    "SampledCellCount": 3,
    "IsFullySampled": true,
    "Formula": "=INDEX(ElicitationSessions!{{DaysSinceElicited}}, MATCH({{ElicitationSession}}, ElicitationSessions!{{ElicitationSessionId}}, 0))",
    "SubstrateLabel": "OWL / SHACL"
   },
   {
    "FieldDisagreementId": "effortless-owl|KnowledgeFragments.AgeDays",
    "Substrate": "effortless-owl",
    "RulebookField": "KnowledgeFragments.AgeDays",
    "TableConformance": "effortless-owl|KnowledgeFragments",
    "FieldClass": "calculated",
    "CellsFailed": 3,
    "DominantReason": "wrong/null value",
    "SemanticTypeIri": "urn:effortless:pko-extension#FieldDisagreement",
    "Name": "effortless-owl / KnowledgeFragments.AgeDays",
    "SampledCellCount": 3,
    "IsFullySampled": true,
    "Formula": "=DATETIME_DIFF({{AsOfInstant}}, {{ValidFrom}}, \"days\")",
    "SubstrateLabel": "OWL / SHACL"
   },
   {
    "FieldDisagreementId": "effortless-owl|KnowledgeFragments.IsInvokedByAnException",
    "Substrate": "effortless-owl",
    "RulebookField": "KnowledgeFragments.IsInvokedByAnException",
    "TableConformance": "effortless-owl|KnowledgeFragments",
    "FieldClass": "aggregation",
    "CellsFailed": 2,
    "DominantReason": "wrong/null value",
    "SemanticTypeIri": "urn:effortless:pko-extension#FieldDisagreement",
    "Name": "effortless-owl / KnowledgeFragments.IsInvokedByAnException",
    "SampledCellCount": 2,
    "IsFullySampled": true,
    "Formula": "=COUNTIFS(Exceptions!{{TriggerStep}}, KnowledgeFragments!{{Step}})",
    "SubstrateLabel": "OWL / SHACL"
   },
   {
    "FieldDisagreementId": "effortless-owl|KnowledgeFragments.HasOperationalReliance",
    "Substrate": "effortless-owl",
    "RulebookField": "KnowledgeFragments.HasOperationalReliance",
    "TableConformance": "effortless-owl|KnowledgeFragments",
    "FieldClass": "calculated",
    "CellsFailed": 2,
    "DominantReason": "wrong/null value",
    "SemanticTypeIri": "urn:effortless:pko-extension#FieldDisagreement",
    "Name": "effortless-owl / KnowledgeFragments.HasOperationalReliance",
    "SampledCellCount": 2,
    "IsFullySampled": true,
    "Formula": "={{IsInvokedByAnException}} &gt; 0",
    "SubstrateLabel": "OWL / SHACL"
   },
   {
    "FieldDisagreementId": "effortless-owl|KnowledgeFragments.RelianceSurfaceCount",
    "Substrate": "effortless-owl",
    "RulebookField": "KnowledgeFragments.RelianceSurfaceCount",
    "TableConformance": "effortless-owl|KnowledgeFragments",
    "FieldClass": "calculated",
    "CellsFailed": 2,
    "DominantReason": "wrong/null value",
    "SemanticTypeIri": "urn:effortless:pko-extension#FieldDisagreement",
    "Name": "effortless-owl / KnowledgeFragments.RelianceSurfaceCount",
    "SampledCellCount": 2,
    "IsFullySampled": true,
    "Formula": "={{IsInvokedByAnException}} + {{RatifiedBoundaryCount}}",
    "SubstrateLabel": "OWL / SHACL"
   },
   {
    "FieldDisagreementId": "effortless-owl|KnowledgeFragments.IsUnapprovedAndOperationallyLive",
    "Substrate": "effortless-owl",
    "RulebookField": "KnowledgeFragments.IsUnapprovedAndOperationallyLive",
    "TableConformance": "effortless-owl|KnowledgeFragments",
    "FieldClass": "calculated",
    "CellsFailed": 1,
    "DominantReason": "wrong/null value",
    "SemanticTypeIri": "urn:effortless:pko-extension#FieldDisagreement",
    "Name": "effortless-owl / KnowledgeFragments.IsUnapprovedAndOperationallyLive",
    "SampledCellCount": 1,
    "IsFullySampled": true,
    "Formula": "=AND({{IsMyUnfinishedApproval}}, {{HasOperationalReliance}})",
    "SubstrateLabel": "OWL / SHACL"
   },
   {
    "FieldDisagreementId": "effortless-owl|KnowledgeFragments.DaysAwaitingMyApproval",
    "Substrate": "effortless-owl",
    "RulebookField": "KnowledgeFragments.DaysAwaitingMyApproval",
    "TableConformance": "effortless-owl|KnowledgeFragments",
    "FieldClass": "calculated",
    "CellsFailed": 1,
    "DominantReason": "wrong/null value",
    "SemanticTypeIri": "urn:effortless:pko-extension#FieldDisagreement",
    "Name": "effortless-owl / KnowledgeFragments.DaysAwaitingMyApproval",
    "SampledCellCount": 1,
    "IsFullySampled": true,
    "Formula": "=IF({{IsMyUnfinishedApproval}}, DATETIME_DIFF({{AsOfInstant}}, {{ValidFrom}}, \"days\"), 0)",
    "SubstrateLabel": "OWL / SHACL"
   },
   {
    "FieldDisagreementId": "effortless-owl|KnowledgeGaps.DaysOpen",
    "Substrate": "effortless-owl",
    "RulebookField": "KnowledgeGaps.DaysOpen",
    "TableConformance": "effortless-owl|KnowledgeGaps",
    "FieldClass": "calculated",
    "CellsFailed": 1,
    "DominantReason": "wrong/null value",
    "SemanticTypeIri": "urn:effortless:pko-extension#FieldDisagreement",
    "Name": "effortless-owl / KnowledgeGaps.DaysOpen",
    "SampledCellCount": 1,
    "IsFullySampled": true,
    "Formula": "=IF({{IsOpen}}, DATETIME_DIFF({{AsOfInstant}}, {{IdentifiedAt}}, \"days\"), 0)",
    "SubstrateLabel": "OWL / SHACL"
   },
   {
    "FieldDisagreementId": "effortless-owl|ProcedureExecutions.LateStepCount",
    "Substrate": "effortless-owl",
    "RulebookField": "ProcedureExecutions.LateStepCount",
    "TableConformance": "effortless-owl|ProcedureExecutions",
    "FieldClass": "aggregation",
    "CellsFailed": 2,
    "DominantReason": "wrong/null value",
    "SemanticTypeIri": "urn:effortless:pko-extension#FieldDisagreement",
    "Name": "effortless-owl / ProcedureExecutions.LateStepCount",
    "SampledCellCount": 2,
    "IsFullySampled": true,
    "Formula": "=COUNTIFS(StepExecutions!{{LateExecutionKey}}, {{ProcedureExecutionId}})",
    "SubstrateLabel": "OWL / SHACL"
   },
   {
    "FieldDisagreementId": "effortless-owl|ProcedureExecutions.UncleanStepCount",
    "Substrate": "effortless-owl",
    "RulebookField": "ProcedureExecutions.UncleanStepCount",
    "TableConformance": "effortless-owl|ProcedureExecutions",
    "FieldClass": "aggregation",
    "CellsFailed": 2,
    "DominantReason": "wrong/null value",
    "SemanticTypeIri": "urn:effortless:pko-extension#FieldDisagreement",
    "Name": "effortless-owl / ProcedureExecutions.UncleanStepCount",
    "SampledCellCount": 2,
    "IsFullySampled": true,
    "Formula": "=COUNTIFS(StepExecutions!{{ProcedureExecutionWhenUnclean}}, {{ProcedureExecutionId}})",
    "SubstrateLabel": "OWL / SHACL"
   },
   {
    "FieldDisagreementId": "effortless-owl|ProcedureExecutions.VacuouslyCleanStepCount",
    "Substrate": "effortless-owl",
    "RulebookField": "ProcedureExecutions.VacuouslyCleanStepCount",
    "TableConformance": "effortless-owl|ProcedureExecutions",
    "FieldClass": "aggregation",
    "CellsFailed": 2,
    "DominantReason": "wrong/null value",
    "SemanticTypeIri": "urn:effortless:pko-extension#FieldDisagreement",
    "Name": "effortless-owl / ProcedureExecutions.VacuouslyCleanStepCount",
    "SampledCellCount": 2,
    "IsFullySampled": true,
    "Formula": "=COUNTIFS(StepExecutions!{{VacuouslyCleanExecutionKey}}, {{ProcedureExecutionId}})",
    "SubstrateLabel": "OWL / SHACL"
   },
   {
    "FieldDisagreementId": "effortless-owl|ProcedureExecutions.UngovernedDivergenceCount",
    "Substrate": "effortless-owl",
    "RulebookField": "ProcedureExecutions.UngovernedDivergenceCount",
    "TableConformance": "effortless-owl|ProcedureExecutions",
    "FieldClass": "aggregation",
    "CellsFailed": 1,
    "DominantReason": "wrong/null value",
    "SemanticTypeIri": "urn:effortless:pko-extension#FieldDisagreement",
    "Name": "effortless-owl / ProcedureExecutions.UngovernedDivergenceCount",
    "SampledCellCount": 1,
    "IsFullySampled": true,
    "Formula": "=COUNTIFS(StepExecutions!{{UngovernedDivergenceExecutionKey}}, {{ProcedureExecutionId}})",
    "SubstrateLabel": "OWL / SHACL"
   },
   {
    "FieldDisagreementId": "effortless-owl|StepExecutions.ActualDurationMinutes",
    "Substrate": "effortless-owl",
    "RulebookField": "StepExecutions.ActualDurationMinutes",
    "TableConformance": "effortless-owl|StepExecutions",
    "FieldClass": "calculated",
    "CellsFailed": 12,
    "DominantReason": "wrong/null value",
    "SemanticTypeIri": "urn:effortless:pko-extension#FieldDisagreement",
    "Name": "effortless-owl / StepExecutions.ActualDurationMinutes",
    "SampledCellCount": 12,
    "IsFullySampled": true,
    "Formula": "=IF({{EndedAt}} = \"\", 0, DATETIME_DIFF({{EndedAt}}, {{StartedAt}}, \"minutes\"))",
    "SubstrateLabel": "OWL / SHACL"
   },
   {
    "FieldDisagreementId": "effortless-owl|StepExecutions.IsClean",
    "Substrate": "effortless-owl",
    "RulebookField": "StepExecutions.IsClean",
    "TableConformance": "effortless-owl|StepExecutions",
    "FieldClass": "calculated",
    "CellsFailed": 5,
    "DominantReason": "wrong/null value",
    "SemanticTypeIri": "urn:effortless:pko-extension#FieldDisagreement",
    "Name": "effortless-owl / StepExecutions.IsClean",
    "SampledCellCount": 5,
    "IsFullySampled": true,
    "Formula": "=AND({{VerificationResult}} </t>
  </si>
  <si>
    <t xml:space="preserve">= \"PASS\", NOT({{HasDeviation}}), {{UnresolvedIssueCount}} = 0, NOT({{IsLate}}))",
    "SubstrateLabel": "OWL / SHACL"
   },
   {
    "FieldDisagreementId": "effortless-owl|StepExecutions.IsSubstantivelyClean",
    "Substrate": "effortless-owl",
    "RulebookField": "StepExecutions.IsSubstantivelyClean",
    "TableConformance": "effortless-owl|StepExecutions",
    "FieldClass": "calculated",
    "CellsFailed": 1,
    "DominantReason": "wrong/null value",
    "SemanticTypeIri": "urn:effortless:pko-extension#FieldDisagreement",
    "Name": "effortless-owl / StepExecutions.IsSubstantivelyClean",
    "SampledCellCount": 1,
    "IsFullySampled": true,
    "Formula": "=AND({{IsClean}}, {{PerformedCheckCount}} &gt;= {{DeclaredCheckCount}}, {{DeclaredCheckCount}} &gt; 0)",
    "SubstrateLabel": "OWL / SHACL"
   },
   {
    "FieldDisagreementId": "effortless-owl|StepExecutions.IsLate",
    "Substrate": "effortless-owl",
    "RulebookField": "StepExecutions.IsLate",
    "TableConformance": "effortless-owl|StepExecutions",
    "FieldClass": "calculated",
    "CellsFailed": 7,
    "DominantReason": "wrong/null value",
    "SemanticTypeIri": "urn:effortless:pko-extension#FieldDisagreement",
    "Name": "effortless-owl / StepExecutions.IsLate",
    "SampledCellCount": 7,
    "IsFullySampled": true,
    "Formula": "={{ActualDurationMinutes}} &gt; {{ExpectedDurationMinutes}}",
    "SubstrateLabel": "OWL / SHACL"
   },
   {
    "FieldDisagreementId": "effortless-owl|StepExecutions.StaleAuthoritativeSourceCount",
    "Substrate": "effortless-owl",
    "RulebookField": "StepExecutions.StaleAuthoritativeSourceCount",
    "TableConformance": "effortless-owl|StepExecutions",
    "FieldClass": "lookup",
    "CellsFailed": 2,
    "DominantReason": "wrong/null value",
    "SemanticTypeIri": "urn:effortless:pko-extension#FieldDisagreement",
    "Name": "effortless-owl / StepExecutions.StaleAuthoritativeSourceCount",
    "SampledCellCount": 2,
    "IsFullySampled": true,
    "Formula": "=INDEX(Steps!{{AuthoritativeStaleCount}}, MATCH({{Step}}, Steps!{{StepId}}, 0))",
    "SubstrateLabel": "OWL / SHACL"
   },
   {
    "FieldDisagreementId": "effortless-owl|StepExecutions.RanOnStaleAuthoritativeSource",
    "Substrate": "effortless-owl",
    "RulebookField": "StepExecutions.RanOnStaleAuthoritativeSource",
    "TableConformance": "effortless-owl|StepExecutions",
    "FieldClass": "calculated",
    "CellsFailed": 2,
    "DominantReason": "wrong/null value",
    "SemanticTypeIri": "urn:effortless:pko-extension#FieldDisagreement",
    "Name": "effortless-owl / StepExecutions.RanOnStaleAuthoritativeSource",
    "SampledCellCount": 2,
    "IsFullySampled": true,
    "Formula": "={{StaleAuthoritativeSourceCount}} &gt; 0",
    "SubstrateLabel": "OWL / SHACL"
   },
   {
    "FieldDisagreementId": "effortless-owl|StepExecutions.LateExecutionKey",
    "Substrate": "effortless-owl",
    "RulebookField": "StepExecutions.LateExecutionKey",
    "TableConformance": "effortless-owl|StepExecutions",
    "FieldClass": "calculated",
    "CellsFailed": 7,
    "DominantReason": "wrong/null value",
    "SemanticTypeIri": "urn:effortless:pko-extension#FieldDisagreement",
    "Name": "effortless-owl / StepExecutions.LateExecutionKey",
    "SampledCellCount": 7,
    "IsFullySampled": true,
    "Formula": "=IF({{IsLate}}, {{ProcedureExecution}}, \"\")",
    "SubstrateLabel": "OWL / SHACL"
   },
   {
    "FieldDisagreementId": "effortless-owl|StepExecutions.InputsWereFreshAtRun",
    "Substrate": "effortless-owl",
    "RulebookField": "StepExecutions.InputsWereFreshAtRun",
    "TableConformance": "effortless-owl|StepExecutions",
    "FieldClass": "lookup",
    "CellsFailed": 2,
    "DominantReason": "wrong/null value",
    "SemanticTypeIri": "urn:effortless:pko-extension#FieldDisagreement",
    "Name": "effortless-owl / StepExecutions.InputsWereFreshAtRun",
    "SampledCellCount": 2,
    "IsFullySampled": true,
    "Formula": "=INDEX(Steps!{{InputsAreFresh}}, MATCH({{Step}}, Steps!{{StepId}}, 0))",
    "SubstrateLabel": "OWL / SHACL"
   },
   {
    "FieldDisagreementId": "effortless-owl|StepExecutions.RanOnStaleInputs",
    "Substrate": "effortless-owl",
    "RulebookField": "StepExecutions.RanOnStaleInputs",
    "TableConformance": "effortless-owl|StepExecutions",
    "FieldClass": "calculated",
    "CellsFailed": 2,
    "DominantReason": "wrong/null value",
    "SemanticTypeIri": "urn:effortless:pko-extension#FieldDisagreement",
    "Name": "effortless-owl / StepExecutions.RanOnStaleInputs",
    "SampledCellCount": 2,
    "IsFullySampled": true,
    "Formula": "=AND({{ExecutionStatus}} = \"Completed\", NOT({{InputsWereFreshAtRun}}))",
    "SubstrateLabel": "OWL / SHACL"
   },
   {
    "FieldDisagreementId": "effortless-owl|StepExecutions.StalenessAnswerIsTenseDependent",
    "Substrate": "effortless-owl",
    "RulebookField": "StepExecutions.StalenessAnswerIsTenseDependent",
    "TableConformance": "effortless-owl|StepExecutions",
    "FieldClass": "calculated",
    "CellsFailed": 2,
    "DominantReason": "wrong/null value",
    "SemanticTypeIri": "urn:effortless:pko-extension#FieldDisagreement",
    "Name": "effortless-owl / StepExecutions.StalenessAnswerIsTenseDependent",
    "SampledCellCount": 2,
    "IsFullySampled": true,
    "Formula": "=NOT({{WasStaleWhenIRanIt}} = {{RanOnStaleAuthoritativeSource}})",
    "SubstrateLabel": "OWL / SHACL"
   },
   {
    "FieldDisagreementId": "effortless-owl|StepExecutions.IsLateAndUnexplained",
    "Substrate": "effortless-owl",
    "RulebookField": "StepExecutions.IsLateAndUnexplained",
    "TableConformance": "effortless-owl|StepExecutions",
    "FieldClass": "calculated",
    "CellsFailed": 3,
    "DominantReason": "wrong/null value",
    "SemanticTypeIri": "urn:effortless:pko-extension#FieldDisagreement",
    "Name": "effortless-owl / StepExecutions.IsLateAndUnexplained",
    "SampledCellCount": 3,
    "IsFullySampled": true,
    "Formula": "=AND({{IsLate}}, NOT({{HasDeviationNote}}))",
    "SubstrateLabel": "OWL / SHACL"
   },
   {
    "FieldDisagreementId": "effortless-owl|StepExecutions.ProcedureExecutionWhenUnclean",
    "Substrate": "effortless-owl",
    "RulebookField": "StepExecutions.ProcedureExecutionWhenUnclean",
    "TableConformance": "effortless-owl|StepExecutions",
    "FieldClass": "calculated",
    "CellsFailed": 3,
    "DominantReason": "wrong/null value",
    "SemanticTypeIri": "urn:effortless:pko-extension#FieldDisagreement",
    "Name": "effortless-owl / StepExecutions.ProcedureExecutionWhenUnclean",
    "SampledCellCount": 3,
    "IsFullySampled": true,
    "Formula": "=IF({{IsClean}}, \"\", {{ProcedureExecution}})",
    "SubstrateLabel": "OWL / SHACL"
   },
   {
    "FieldDisagreementId": "effortless-owl|StepExecutions.IsVacuouslyClean",
    "Substrate": "effortless-owl",
    "RulebookField": "StepExecutions.IsVacuouslyClean",
    "TableConformance": "effortless-owl|StepExecutions",
    "FieldClass": "calculated",
    "CellsFailed": 2,
    "DominantReason": "wrong/null value",
    "SemanticTypeIri": "urn:effortless:pko-extension#FieldDisagreement",
    "Name": "effortless-owl / StepExecutions.IsVacuouslyClean",
    "SampledCellCount": 2,
    "IsFullySampled": true,
    "Formula": "=AND({{IsClean}}, {{IsUncheckedByDesign}})",
    "SubstrateLabel": "OWL / SHACL"
   },
   {
    "FieldDisagreementId": "effortless-owl|StepExecutions.VacuouslyCleanExecutionKey",
    "Substrate": "effortless-owl",
    "RulebookField": "StepExecutions.VacuouslyCleanExecutionKey",
    "TableConformance": "effortless-owl|StepExecutions",
    "FieldClass": "calculated",
    "CellsFailed": 2,
    "DominantReason": "wrong/null value",
    "SemanticTypeIri": "urn:effortless:pko-extension#FieldDisagreement",
    "Name": "effortless-owl / StepExecutions.VacuouslyCleanExecutionKey",
    "SampledCellCount": 2,
    "IsFullySampled": true,
    "Formula": "=IF({{IsVacuouslyClean}}, {{ProcedureExecution}}, \"\")",
    "SubstrateLabel": "OWL / SHACL"
   },
   {
    "FieldDisagreementId": "effortless-owl|StepExecutions.IsUngovernedDivergence",
    "Substrate": "effortless-owl",
    "RulebookField": "StepExecutions.IsUngovernedDivergence",
    "TableConformance": "effortless-owl|StepExecutions",
    "FieldClass": "calculated",
    "CellsFailed": 1,
    "DominantReason": "wrong/null value",
    "SemanticTypeIri": "urn:effortless:pko-extension#FieldDisagreement",
    "Name": "effortless-owl / StepExecutions.IsUngovernedDivergence",
    "SampledCellCount": 1,
    "IsFullySampled": true,
    "Formula": "=AND(OR({{HasDeviation}}, {{IsLate}}, {{ProceededPastBlockingControl}}), NOT({{HasGoverningInstrument}}))",
    "SubstrateLabel": "OWL / SHACL"
   },
   {
    "FieldDisagreementId": "effortless-owl|StepExecutions.UngovernedDivergenceExecutionKey",
    "Substrate": "effortless-owl",
    "RulebookField": "StepExecutions.UngovernedDivergenceExecutionKey",
    "TableConformance": "effortless-owl|StepExecutions",
    "FieldClass": "calculated",
    "CellsFailed": 1,
    "DominantReason": "wrong/null value",
    "SemanticTypeIri": "urn:effortless:pko-extension#FieldDisagreement",
    "Name": "effortless-owl / StepExecutions.UngovernedDivergenceExecutionKey",
    "SampledCellCount": 1,
    "IsFullySampled": true,
    "Formula": "=IF({{IsUngovernedDivergence}}, {{ProcedureExecution}}, \"\")",
    "SubstrateLabel": "OWL / SHACL"
   },
   {
    "FieldDisagreementId": "effortless-owl|ChangeRequests.DaysPending",
    "Substrate": "effortless-owl",
    "RulebookField": "ChangeRequests.DaysPending",
    "TableConformance": "effortless-owl|ChangeRequests",
    "FieldClass": "calculated",
    "CellsFailed": 1,
    "DominantReason": "wrong/null value",
    "SemanticTypeIri": "urn:effortless:pko-extension#FieldDisagreement",
    "Name": "effortless-owl / ChangeRequests.DaysPending",
    "SampledCellCount": 1,
    "IsFullySampled": true,
    "Formula": "=IF({{IsDecided}}, DATETIME_DIFF({{DecidedAt}}, {{RequestedAt}}, \"days\"), DATETIME_DIFF({{AsOfInstant}}, {{RequestedAt}}, \"days\"))",
    "SubstrateLabel": "OWL / SHACL"
   },
   {
    "FieldDisagreementId": "effortless-owl|ChangeRequests.DecisionLatencyDays",
    "Substrate": "effortless-owl",
    "RulebookField": "ChangeRequests.DecisionLatencyDays",
    "TableConformance": "effortless-owl|ChangeRequests",
    "FieldClass": "calculated",
    "CellsFailed": 1,
    "DominantReason": "wrong/null value",
    "SemanticTypeIri": "urn:effortless:pko-extension#FieldDisagreement",
    "Name": "effortless-owl / ChangeRequests.DecisionLatencyDays",
    "SampledCellCount": 1,
    "IsFullySampled": true,
    "Formula": "=IF({{IsDecided}}, DATETIME_DIFF({{DecidedAt}}, {{RequestedAt}}, \"days\"), 0)",
    "SubstrateLabel": "OWL / SHACL"
   },
   {
    "FieldDisagreementId": "effortless-owl|ReviewEvents.DaysSinceReviewed",
    "Substrate": "effortless-owl",
    "RulebookField": "ReviewEvents.DaysSinceReviewed",
    "TableConformance": "effortless-owl|ReviewEvents",
    "FieldClass": "calculated",
    "CellsFailed": 3,
    "DominantReason": "wrong/null value",
    "SemanticTypeIri": "urn:effortless:pko-extension#FieldDisagreement",
    "Name": "effortless-owl / ReviewEvents.DaysSinceReviewed",
    "SampledCellCount": 3,
    "IsFullySampled": true,
    "Formula": "=DATETIME_DIFF({{AsOfInstant}}, {{ReviewedAt}}, \"days\")",
    "SubstrateLabel": "OWL / SHACL"
   },
   {
    "FieldDisagreementId": "effortless-owl|ReviewEvents.CadenceDriftDays",
    "Substrate": "effortless-owl",
    "RulebookField": "ReviewEvents.CadenceDriftDays",
    "TableConformance": "effortless-owl|ReviewEvents",
    "FieldClass": "calculated",
    "CellsFailed": 3,
    "DominantReason": "wrong/null value",
    "SemanticTypeIri": "urn:effortless:pko-extension#FieldDisagreement",
    "Name": "effortless-owl / ReviewEvents.CadenceDriftDays",
    "SampledCellCount": 3,
    "IsFullySampled": true,
    "Formula": "={{DaysSinceReviewed}} - {{PromisedCadenceDays}}",
    "SubstrateLabel": "OWL / SHACL"
   },
   {
    "FieldDisagreementId": "effortless-owl|OperationalBindings.AgeMinutes",
    "Substrate": "effortless-owl",
    "RulebookField": "OperationalBindings.AgeMinutes",
    "TableConformance": "effortless-owl|OperationalBindings",
    "FieldClass": "calculated",
    "CellsFailed": 5,
    "DominantReason": "wrong/null value",
    "SemanticTypeIri": "urn:effortless:pko-extension#FieldDisagreement",
    "Name": "effortless-owl / OperationalBindings.AgeMinutes",
    "SampledCellCount": 5,
    "IsFullySampled": true,
    "Formula": "=DATETIME_DIFF({{AsOfInstant}}, {{LastObservedAt}}, \"minutes\")",
    "SubstrateLabel": "OWL / SHACL"
   },
   {
    "FieldDisagreementId": "effortless-owl|OperationalBindings.StaleBindingStepKey",
    "Substrate": "effortless-owl",
    "RulebookField": "OperationalBindings.StaleBindingStepKey",
    "TableConformance": "effortless-owl|OperationalBindings",
    "FieldClass": "calculated",
    "CellsFailed": 3,
    "DominantReason": "wrong/null value",
    "SemanticTypeIri": "urn:effortless:pko-extension#FieldDisagreement",
    "Name": "effortless-owl / OperationalBindings.StaleBindingStepKey",
    "SampledCellCount": 3,
    "IsFullySampled": true,
    "Formula": "=IF(NOT({{IsFresh}}), {{Step}}, \"\")",
    "SubstrateLabel": "OWL / SHACL"
   },
   {
    "FieldDisagreementId": "effortless-owl|OperationalBindings.AuthoritativeStaleStepKey",
    "Substrate": "effortless-owl",
    "RulebookField": "OperationalBindings.AuthoritativeStaleStepKey",
    "TableConformance": "effortless-owl|OperationalBindings",
    "FieldClass": "calculated",
    "CellsFailed": 3,
    "DominantReason": "wrong/null value",
    "SemanticTypeIri": "urn:effortless:pko-extension#FieldDisagreement",
    "Name": "effortless-owl / OperationalBindings.AuthoritativeStaleStepKey",
    "SampledCellCount": 3,
    "IsFullySampled": true,
    "Formula": "=IF(AND(NOT({{IsFresh}}), {{IsAuthoritative}}), {{Step}}, \"\")",
    "SubstrateLabel": "OWL / SHACL"
   },
   {
    "FieldDisagreementId": "effortless-owl|OperationalBindings.IsStaleAndAuthoritative",
    "Substrate": "effortless-owl",
    "RulebookField": "OperationalBindings.IsStaleAndAuthoritative",
    "TableConformance": "effortless-owl|OperationalBindings",
    "FieldClass": "calculated",
    "CellsFailed": 3,
    "DominantReason": "wrong/null value",
    "SemanticTypeIri": "urn:effortless:pko-extension#FieldDisagreement",
    "Name": "effortless-owl / OperationalBindings.IsStaleAndAuthoritative",
    "SampledCellCount": 3,
    "IsFullySampled": true,
    "Formula": "=AND({{IsAuthoritative}}, NOT({{IsFresh}}))",
    "SubstrateLabel": "OWL / SHACL"
   },
   {
    "FieldDisagreementId": "effortless-owl|OperationalBindings.StepWhenStale",
    "Substrate": "effortless-owl",
    "RulebookField": "OperationalBindings.StepWhenStale",
    "TableConformance": "effortless-owl|OperationalBindings",
    "FieldClass": "calculated",
    "CellsFailed": 3,
    "DominantReason": "wrong/null value",
    "SemanticTypeIri": "urn:effortless:pko-extension#FieldDisagreement",
    "Name": "effortless-owl / OperationalBindings.StepWhenStale",
    "SampledCellCount": 3,
    "IsFullySampled": true,
    "Formula": "=IF({{IsStaleAndAuthoritative}}, {{Step}}, \"\")",
    "SubstrateLabel": "OWL / SHACL"
   },
   {
    "FieldDisagreementId": "effortless-owl|OperationalBindings.IsFresh",
    "Substrate": "effortless-owl",
    "RulebookField": "OperationalBindings.IsFresh",
    "TableConformance": "effortless-owl|OperationalBindings",
    "FieldClass": "calculated",
    "CellsFailed": 2,
    "DominantReason": "wrong/null value",
    "SemanticTypeIri": "urn:effortless:pko-extension#FieldDisagreement",
    "Name": "effortless-owl / OperationalBindings.IsFresh",
    "SampledCellCount": 2,
    "IsFullySampled": true,
    "Formula": "={{AgeMinutes}} &lt;= {{FreshnessSlaMinutes}}",
    "SubstrateLabel": "OWL / SHACL"
   },
   {
    "FieldDisagreementId": "effortless-owl|MessageDeliveries.AgeDays",
    "Substrate": "effortless-owl",
    "RulebookField": "MessageDeliveries.AgeDays",
    "TableConformance": "effortless-owl|MessageDeliveries",
    "FieldClass": "calculated",
    "CellsFailed": 6,
    "DominantReason": "wrong/null value",
    "SemanticTypeIri": "urn:effortless:pko-extension#FieldDisagreement",
    "Name": "effortless-owl / MessageDeliveries.AgeDays",
    "SampledCellCount": 6,
    "IsFullySampled": true,
    "Formula": "=DATETIME_DIFF({{AsOfInstant}}, {{SentAt}}, \"days\")",
    "SubstrateLabel": "OWL / SHACL"
   },
   {
    "FieldDisagreementId": "effortless-owl|MessageDeliveries.OutstandingAgeDays",
    "Substrate": "effortless-owl",
    "RulebookField": "MessageDeliveries.OutstandingAgeDays",
    "TableConformance": "effortless-owl|MessageDeliveries",
    "FieldClass": "calculated",
    "CellsFailed": 3,
    "DominantReason": "wrong/null value",
    "SemanticTypeIri": "urn:effortless:pko-extension#FieldDisagreement",
    "Name": "effortless-owl / MessageDeliveries.OutstandingAgeDays",
    "SampledCellCount": 3,
    "IsFullySampled": true,
    "Formula": "=IF({{AcknowledgementIsOutstanding}}, DATETIME_DIFF({{AsOfInstant}}, {{SentAt}}, \"days\"), 0)",
    "SubstrateLabel": "OWL / SHACL"
   },
   {
    "FieldDisagreementId": "effortless-owl|MessageDeliveries.HasOptOutPhrase",
    "Substrate": "effortless-owl",
    "RulebookField": "MessageDeliveries.HasOptOutPhrase",
    "TableConformance": "effortless-owl|MessageDeliveries",
    "FieldClass": "calculated",
    "CellsFailed": 3,
    "DominantReason": "wrong/null value",
    "SemanticTypeIri": "urn:effortless:pko-extension#FieldDisagreement",
    "Name": "effortless-owl / MessageDeliveries.HasOptOutPhrase",
    "SampledCellCount": 3,
    "IsFullySampled": true,
    "Formula": "={{OptOutPhrasePosition}} &gt; 0",
    "SubstrateLabel": "OWL / SHACL"
   },
   {
    "FieldDisagreementId": "effortless-owl|MessageDeliveries.IsOptOutInFirstSegment",
    "Substrate": "effortless-owl",
    "RulebookField": "MessageDeliveries.IsOptOutInFirstSegment",
    "TableConformance": "effortless-owl|MessageDeliveries",
    "FieldClass": "calculated",
    "CellsFailed": 3,
    "DominantReason": "wrong/null value",
    "SemanticTypeIri": "urn:effortless:pko-extension#FieldDisagreement",
    "Name": "effortless-owl / MessageDeliveries.IsOptOutInFirstSegment",
    "SampledCellCount": 3,
    "IsFullySampled": true,
    "Formula": "=AND({{HasOptOutPhrase}}, {{OptOutPhrasePosition}} &lt;= {{PolicyMaxMessageLengthAtSend}})",
    "SubstrateLabel": "OWL / SHACL"
   },
   {
    "FieldDisagreementId": "effortless-owl|MessageDeliveries.IsMissingRequiredOptOut",
    "Substrate": "effortless-owl",
    "RulebookField": "MessageDeliveries.IsMissingRequiredOptOut",
    "TableConformance": "effortless-owl|MessageDeliveries",
    "FieldClass": "calculated",
    "CellsFailed": 1,
    "DominantReason": "wrong/null value",
    "SemanticTypeIri": "urn:effortless:pko-extension#FieldDisagreement",
    "Name": "effortless-owl / MessageDeliveries.IsMissingRequiredOptOut",
    "SampledCellCount": 1,
    "IsFullySampled": true,
    "Formula": "=AND({{WasActuallyTransmitted}}, AND({{PolicyRequiresOptOut}}, NOT({{HasOptOutPhrase}})))",
    "SubstrateLabel": "OWL / SHACL"
   },
   {
    "FieldDisagreementId": "effortless-owl|SendIntents.DeferralAgeHours",
    "Substrate": "effortless-owl",
    "RulebookField": "SendIntents.DeferralAgeHours",
    "TableConformance": "effortless-owl|SendIntents",
    "FieldClass": "calculated",
    "CellsFailed": 7,
    "DominantReason": "wrong/null value",
    "SemanticTypeIri": "urn:effortless:pko-extension#FieldDisagreement",
    "Name": "effortless-owl / SendIntents.DeferralAgeHours",
    "SampledCellCount": 7,
    "IsFullySampled": true,
    "Formula": "=DATETIME_DIFF({{AsOfInstant}}, {{EvaluatedAt}}, \"hours\")",
    "SubstrateLabel": "OWL / SHACL"
   },
   {
    "FieldDisagreementId": "effortless-owl|SendIntents.IsSelfWitnessedDecision",
    "Substrate": "effortless-owl",
    "RulebookField": "SendIntents.IsSelfWitnessedDecision",
    "TableConformance": "effortless-owl|SendIntents",
    "FieldClass": "calculated",
    "CellsFailed": 7,
    "DominantReason": "wrong/null value",
    "SemanticTypeIri": "urn:effortless:pko-extension#FieldDisagreement",
    "Name": "effortless-owl / SendIntents.IsSelfWitnessedDecision",
    "SampledCellCount": 7,
    "IsFullySampled": true,
    "Formula": "=NOT({{GateResultWasIndependentlyConfirmed}})",
    "SubstrateLabel": "OWL / SHACL"
   },
   {
    "FieldDisagreementId": "effortless-owl|SendIntents.IsUnreportedRefusalOnMyRules",
    "Substrate": "effortless-owl",
    "RulebookField": "SendIntents.IsUnreportedRefusalOnMyRules",
    "TableConformance": "effortless-owl|SendIntents",
    "FieldClass": "calculated",
    "CellsFailed": 3,
    "DominantReason": "wrong/null value",
    "SemanticTypeIri": "urn:effortless:pko-extension#FieldDisagreement",
    "Name": "effortless-owl / SendIntents.IsUnreportedRefusalOnMyRules",
    "SampledCellCount": 3,
    "IsFullySampled": true,
    "Formula": "=AND({{RefusalWasOnMyRules}}, NOT({{ApproverWasNotified}}))",
    "SubstrateLabel": "OWL / SHACL"
   },
   {
    "FieldDisagreementId": "effortless-owl|SendIntents.WindowHasSinceReopened",
    "Substrate": "effortless-owl",
    "RulebookField": "SendIntents.WindowHasSinceReopened",
    "TableConformance": "effortless-owl|SendIntents",
    "FieldClass": "calculated",
    "CellsFailed": 1,
    "DominantReason": "wrong/null value",
    "SemanticTypeIri": "urn:effortless:pko-extension#FieldDisagreement",
    "Name": "effortless-owl / SendIntents.WindowHasSinceReopened",
    "SampledCellCount": 1,
    "IsFullySampled": true,
    "Formula": "=AND({{HoursUntilWindowOpens}} &gt; 0, DATETIME_DIFF({{AsOfInstant}}, {{EvaluatedAt}}, \"hours\") &gt; {{HoursUntilWindowOpens}})",
    "SubstrateLabel": "OWL / SHACL"
   },
   {
    "FieldDisagreementId": "effortless-owl|SendIntents.IsAbandonedDeferral",
    "Substrate": "effortless-owl",
    "RulebookField": "SendIntents.IsAbandonedDeferral",
    "TableConformance": "effortless-owl|SendIntents",
    "FieldClass": "calculated",
    "CellsFailed": 1,
    "DominantReason": "wrong/null value",
    "SemanticTypeIri": "urn:effortless:pko-extension#FieldDisagreement",
    "Name": "effortless-owl / SendIntents.IsAbandonedDeferral",
    "SampledCellCount": 1,
    "IsFullySampled": true,
    "Formula": "=AND({{WasDeferredOnTiming}}, AND({{WindowHasSinceReopened}}, NOT({{HasRetryAttempt}})))",
    "SubstrateLabel": "OWL / SHACL"
   },
   {
    "FieldDisagreementId": "effortless-owl|SendIntents.IsApprovalOverriddenSilently",
    "Substrate": "effortless-owl",
    "RulebookField": "SendIntents.IsApprovalOverriddenSilently",
    "TableConformance": "effortless-owl|SendIntents",
    "FieldClass": "calculated",
    "CellsFailed": 2,
    "DominantReason": "wrong/null value",
    "SemanticTypeIri": "urn:effortless:pko-extension#FieldDisagreement",
    "Name": "effortless-owl / SendIntents.IsApprovalOverriddenSilently",
    "SampledCellCount": 2,
    "IsFullySampled": true,
    "Formula": "=AND({{RefusedOnApprovedContent}}, NOT({{ApproverWasNotified}}))",
    "SubstrateLabel": "OWL / SHACL"
   },
   {
    "FieldDisagreementId": "effortless-owl|AgentDecisionRecords.ReviewLatencyMinutes",
    "Substrate": "effortless-owl",
    "RulebookField": "AgentDecisionRecords.ReviewLatencyMinutes",
    "TableConformance": "effortless-owl|AgentDecisionRecords",
    "FieldClass": "calculated",
    "CellsFailed": 3,
    "DominantReason": "wrong/null value",
    "SemanticTypeIri": "urn:effortless:pko-extension#FieldDisagreement",
    "Name": "effortless-owl / AgentDecisionRecords.ReviewLatencyMinutes",
    "SampledCellCount": 3,
    "IsFullySampled": true,
    "Formula": "=IF({{ReviewedAt}} = \"\", 0, DATETIME_DIFF({{ReviewedAt}}, {{DecidedAt}}, \"minutes\"))",
    "SubstrateLabel": "OWL / SHACL"
   },
   {
    "FieldDisagreementId": "effortless-owl|DeliveredCommunications.Name",
    "Substrate": "effortless-owl",
    "RulebookField": "DeliveredCommunications.Name",
    "TableConformance": "effortless-owl|DeliveredCommunications",
    "FieldClass": "calculated",
    "CellsFailed": 1,
    "DominantReason": "wrong/null value",
    "SemanticTypeIri": "urn:effortless:pko-extension#FieldDisagreement",
    "Name": "effortless-owl / DeliveredCommunications.Name",
    "SampledCellCount": 1,
    "IsFullySampled": true,
    "Formula": "={{Channel}} &amp; \" -&gt; \" &amp; {{RecipientKey}} &amp; \" @ \" &amp; {{SentAt}}",
    "SubstrateLabel": "OWL / SHACL"
   },
   {
    "FieldDisagreementId": "effortless-owl|DeliveredCommunications.ContentMatchesApproval",
    "Substrate": "effortless-owl",
    "RulebookField": "DeliveredCommunications.ContentMatchesApproval",
    "TableConformance": "effortless-owl|DeliveredCommunications",
    "FieldClass": "calculated",
    "CellsFailed": 1,
    "DominantReason": "wrong/null value",
    "SemanticTypeIri": "urn:effortless:pko-extension#FieldDisagreement",
    "Name": "effortless-owl / DeliveredCommunications.ContentMatchesApproval",
    "SampledCellCount": 1,
    "IsFullySampled": true,
    "Formula": "={{RenderedContentHash}} = {{ApprovedContentHash}}",
    "SubstrateLabel": "OWL / SHACL"
   },
   {
    "FieldDisagreementId": "effortless-owl|AppRoleProfiles.RouteCount",
    "Substrate": "effortless-owl",
    "RulebookField": "AppRoleProfiles.RouteCount",
    "TableConformance": "effortless-owl|AppRoleProfiles",
    "FieldClass": "aggregation",
    "CellsFailed": 12,
    "DominantReason": "wrong/null value",
    "SemanticTypeIri": "urn:effortless:pko-extension#FieldDisagreement",
    "Name": "effortless-owl / AppRoleProfiles.RouteCount",
    "SampledCellCount": 12,
    "IsFullySampled": true,
    "Formula": "=COUNTIFS(AppRoutes!{{OwningRole}}, {{Role}})",
    "SubstrateLabel": "OWL / SHACL"
   },
   {
    "FieldDisagreementId": "effortless-owl|AccessDenialTests.Name",
    "Substrate": "effortless-owl",
    "RulebookField": "AccessDenialTests.Name",
    "TableConformance": "effortless-owl|AccessDenialTests",
    "FieldClass": "calculated",
    "CellsFailed": 8,
    "DominantReason": "wrong/null value",
    "SemanticTypeIri": "urn:effortless:pko-extension#FieldDisagreement",
    "Name": "effortless-owl / AccessDenialTests.Name",
    "SampledCellCount": 8,
    "IsFullySampled": true,
    "Formula": "={{Principal}} &amp; \" must not see \" &amp; {{ForbiddenRowId}}",
    "SubstrateLabel": "OWL / SHACL"
   },
   {
    "FieldDisagreementId": "effortless-python|EvaluationContexts.Name",
    "Substrate": "effortless-python",
    "RulebookField": "EvaluationContexts.Name",
    "TableConformance": "effortless-python|EvaluationContexts",
    "FieldClass": "calculated",
    "CellsFailed": 1,
    "DominantReason": "wrong/null value",
    "SemanticTypeIri": "urn:effortless:pko-extension#FieldDisagreement",
    "Name": "effortless-python / EvaluationContexts.Name",
    "SampledCellCount": 1,
    "IsFullySampled": true,
    "Formula": "={{Label}} &amp; \" @ \" &amp; {{AsOfInstant}}",
    "SubstrateLabel": "Python"
   },
   {
    "FieldDisagreementId": "effortless-python|RoleAssignments.Name",
    "Substrate": "effortless-python",
    "RulebookField": "RoleAssignments.Name",
    "TableConformance": "effortless-python|RoleAssignments",
    "FieldClass": "calculated",
    "CellsFailed": 13,
    "DominantReason": "wrong/null value",
    "SemanticTypeIri": "urn:effortless:pko-extension#FieldDisagreement",
    "Name": "effortless-python / RoleAssignments.Name",
    "SampledCellCount": 13,
    "IsFullySampled": true,
    "Formula": "={{Role}} &amp; \" @ \" &amp; {{ValidFrom}}",
    "SubstrateLabel": "Python"
   },
   {
    "FieldDisagreementId": "effortless-python|RoleAssignments.QualityVerdictIsUnsupported",
    "Substrate": "effortless-python",
    "RulebookField": "RoleAssignments.QualityVerdictIsUnsupported",
    "TableConformance": "effortless-python|RoleAssignments",
    "FieldClass": "calculated",
    "CellsFailed": 13,
    "DominantReason": "wrong/null value",
    "SemanticTypeIri": "urn:effortless:pko-extension#FieldDisagreement",
    "Name": "effortless-python / RoleAssignments.QualityVerdictIsUnsupported",
    "SampledCellCount": 13,
    "IsFullySampled": true,
    "Formula": "=AND(NOT({{ComparisonIsEvidentiallySound}}), NOT({{QualityRegressedVsPredecessor}}))",
    "SubstrateLabel": "Python"
   },
   {
    "FieldDisagreementId": "effortless-python|RoleAssignments.IsUnmeasuredAutomationHandover",
    "Substrate": "effortless-python",
    "RulebookField": "RoleAssignments.IsUnmeasuredAutomationHandover",
    "TableConformance": "effortless-python|RoleAssignments",
    "FieldClass": "calculated",
    "CellsFailed": 1,
    "DominantReason": "wrong/null value",
    "SemanticTypeIri": "urn:effortless:pko-extension#FieldDisagreement",
    "Name": "effortless-python / RoleAssignments.IsUnmeasuredAutomationHandover",
    "SampledCellCount": 1,
    "IsFullySampled": true,
    "Formula": "=AND({{IsHumanToNonHumanHandover}}, NOT({{ComparisonIsEvidentiallySound}}))",
    "SubstrateLabel": "Python"
   },
   {
    "FieldDisagreementId": "effortless-python|ProcedureVersions.DaysSinceModified",
    "Substrate": "effortless-python",
    "RulebookField": "ProcedureVersions.DaysSinceModified",
    "TableConformance": "effortless-python|ProcedureVersions",
    "FieldClass": "calculated",
    "CellsFailed": 3,
    "DominantReason": "wrong/null value",
    "SemanticTypeIri": "urn:effortless:pko-extension#FieldDisagreement",
    "Name": "effortless-python / ProcedureVersions.DaysSinceModified",
    "SampledCellCount": 3,
    "IsFullySampled": true,
    "Formula": "=DATETIME_DIFF({{AsOfInstant}}, {{ModifiedAt}}, \"days\")",
    "SubstrateLabel": "Python"
   },
   {
    "FieldDisagreementId": "effortless-python|ProcedureVersions.WasModifiedSinceLastReview",
    "Substrate": "effortless-python",
    "RulebookField": "ProcedureVersions.WasModifiedSinceLastReview",
    "TableConformance": "effortless-python|ProcedureVersions",
    "FieldClass": "calculated",
    "CellsFailed": 2,
    "DominantReason": "wrong/null value",
    "SemanticTypeIri": "urn:effortless:pko-extension#FieldDisagreement",
    "Name": "effortless-python / ProcedureVersions.WasModifiedSinceLastReview",
    "SampledCellCount": 2,
    "IsFullySampled": true,
    "Formula": "={{DaysSinceModified}} &lt; {{DaysSinceLastReview}}",
    "SubstrateLabel": "Python"
   },
   {
    "FieldDisagreementId": "effortless-python|ProcedureVersions.HasUnwitnessedChange",
    "Substrate": "effortless-python",
    "RulebookField": "ProcedureVersions.HasUnwitnessedChange",
    "TableConformance": "effortless-python|ProcedureVersions",
    "FieldClass": "calculated",
    "CellsFailed": 2,
    "DominantReason": "wrong/null value",
    "SemanticTypeIri": "urn:effortless:pko-extension#FieldDisagreement",
    "Name": "effortless-python / ProcedureVersions.HasUnwitnessedChange",
    "SampledCellCount": 2,
    "IsFullySampled": true,
    "Formula": "=AND({{IsLive}}, {{WasModifiedSinceLastReview}})",
    "SubstrateLabel": "Python"
   },
   {
    "FieldDisagreementId": "effortless-python|Requirements.IsUntestedWitness",
    "Substrate": "effortless-python",
    "RulebookField": "Requirements.IsUntestedWitness",
    "TableConformance": "effortless-python|Requirements",
    "FieldClass": "calculated",
    "CellsFailed": 3,
    "DominantReason": "wrong/null value",
    "SemanticTypeIri": "urn:effortless:pko-extension#FieldDisagreement",
    "Name": "effortless-python / Requirements.IsUntestedWitness",
    "SampledCellCount": 3,
    "IsFullySampled": true,
    "Formula": "=AND({{WitnessHasNeverFired}}, NOT({{HasMeaningfulSample}}))",
    "SubstrateLabel": "Python"
   },
   {
    "FieldDisagreementId": "effortless-python|ElicitationSessions.Name",
    "Substrate": "effortless-python",
    "RulebookField": "ElicitationSessions.Name",
    "TableConformance": "effortless-python|ElicitationSessions",
    "FieldClass": "calculated",
    "CellsFailed": 3,
    "DominantReason": "wrong/null value",
    "SemanticTypeIri": "urn:effortless:pko-extension#FieldDisagreement",
    "Name": "effortless-python / ElicitationSessions.Name",
    "SampledCellCount": 3,
    "IsFullySampled": true,
    "Formula": "={{Method}} &amp; \" / \" &amp; {{StartedAt}}",
    "SubstrateLabel": "Python"
   },
   {
    "FieldDisagreementId": "effortless-python|ElicitationSessions.DaysSinceElicited",
    "Substrate": "effortless-python",
    "RulebookField": "ElicitationSessions.DaysSinceElicited",
    "TableConformance": "effortless-python|ElicitationSessions",
    "FieldClass": "calculated",
    "CellsFailed": 2,
    "DominantReason": "wrong/null value",
    "SemanticTypeIri": "urn:effortless:pko-extension#FieldDisagreement",
    "Name": "effortless-python / ElicitationSessions.DaysSinceElicited",
    "SampledCe</t>
  </si>
  <si>
    <t xml:space="preserve">llCount": 2,
    "IsFullySampled": true,
    "Formula": "=DATETIME_DIFF({{AsOfInstant}}, {{EndedAt}}, \"days\")",
    "SubstrateLabel": "Python"
   },
   {
    "FieldDisagreementId": "effortless-python|KnowledgeFragments.DaysSinceActualReview",
    "Substrate": "effortless-python",
    "RulebookField": "KnowledgeFragments.DaysSinceActualReview",
    "TableConformance": "effortless-python|KnowledgeFragments",
    "FieldClass": "calculated",
    "CellsFailed": 3,
    "DominantReason": "wrong/null value",
    "SemanticTypeIri": "urn:effortless:pko-extension#FieldDisagreement",
    "Name": "effortless-python / KnowledgeFragments.DaysSinceActualReview",
    "SampledCellCount": 3,
    "IsFullySampled": true,
    "Formula": "=IF({{HasReviewRecord}}, DATETIME_DIFF({{AsOfInstant}}, {{LastReviewedAt}}, \"days\"), 0)",
    "SubstrateLabel": "Python"
   },
   {
    "FieldDisagreementId": "effortless-python|KnowledgeFragments.EvidenceAgeDays",
    "Substrate": "effortless-python",
    "RulebookField": "KnowledgeFragments.EvidenceAgeDays",
    "TableConformance": "effortless-python|KnowledgeFragments",
    "FieldClass": "lookup",
    "CellsFailed": 3,
    "DominantReason": "wrong/null value",
    "SemanticTypeIri": "urn:effortless:pko-extension#FieldDisagreement",
    "Name": "effortless-python / KnowledgeFragments.EvidenceAgeDays",
    "SampledCellCount": 3,
    "IsFullySampled": true,
    "Formula": "=INDEX(ElicitationSessions!{{DaysSinceElicited}}, MATCH({{ElicitationSession}}, ElicitationSessions!{{ElicitationSessionId}}, 0))",
    "SubstrateLabel": "Python"
   },
   {
    "FieldDisagreementId": "effortless-python|KnowledgeFragments.AgeDays",
    "Substrate": "effortless-python",
    "RulebookField": "KnowledgeFragments.AgeDays",
    "TableConformance": "effortless-python|KnowledgeFragments",
    "FieldClass": "calculated",
    "CellsFailed": 3,
    "DominantReason": "wrong/null value",
    "SemanticTypeIri": "urn:effortless:pko-extension#FieldDisagreement",
    "Name": "effortless-python / KnowledgeFragments.AgeDays",
    "SampledCellCount": 3,
    "IsFullySampled": true,
    "Formula": "=DATETIME_DIFF({{AsOfInstant}}, {{ValidFrom}}, \"days\")",
    "SubstrateLabel": "Python"
   },
   {
    "FieldDisagreementId": "effortless-python|KnowledgeFragments.DaysAwaitingMyApproval",
    "Substrate": "effortless-python",
    "RulebookField": "KnowledgeFragments.DaysAwaitingMyApproval",
    "TableConformance": "effortless-python|KnowledgeFragments",
    "FieldClass": "calculated",
    "CellsFailed": 1,
    "DominantReason": "wrong/null value",
    "SemanticTypeIri": "urn:effortless:pko-extension#FieldDisagreement",
    "Name": "effortless-python / KnowledgeFragments.DaysAwaitingMyApproval",
    "SampledCellCount": 1,
    "IsFullySampled": true,
    "Formula": "=IF({{IsMyUnfinishedApproval}}, DATETIME_DIFF({{AsOfInstant}}, {{ValidFrom}}, \"days\"), 0)",
    "SubstrateLabel": "Python"
   },
   {
    "FieldDisagreementId": "effortless-python|KnowledgeGaps.DaysOpen",
    "Substrate": "effortless-python",
    "RulebookField": "KnowledgeGaps.DaysOpen",
    "TableConformance": "effortless-python|KnowledgeGaps",
    "FieldClass": "calculated",
    "CellsFailed": 1,
    "DominantReason": "wrong/null value",
    "SemanticTypeIri": "urn:effortless:pko-extension#FieldDisagreement",
    "Name": "effortless-python / KnowledgeGaps.DaysOpen",
    "SampledCellCount": 1,
    "IsFullySampled": true,
    "Formula": "=IF({{IsOpen}}, DATETIME_DIFF({{AsOfInstant}}, {{IdentifiedAt}}, \"days\"), 0)",
    "SubstrateLabel": "Python"
   },
   {
    "FieldDisagreementId": "effortless-python|IssueOccurrences.Name",
    "Substrate": "effortless-python",
    "RulebookField": "IssueOccurrences.Name",
    "TableConformance": "effortless-python|IssueOccurrences",
    "FieldClass": "calculated",
    "CellsFailed": 2,
    "DominantReason": "wrong/null value",
    "SemanticTypeIri": "urn:effortless:pko-extension#FieldDisagreement",
    "Name": "effortless-python / IssueOccurrences.Name",
    "SampledCellCount": 2,
    "IsFullySampled": true,
    "Formula": "={{Error}} &amp; \" @ \" &amp; {{OccurredAt}}",
    "SubstrateLabel": "Python"
   },
   {
    "FieldDisagreementId": "effortless-python|ChangeRequests.DaysPending",
    "Substrate": "effortless-python",
    "RulebookField": "ChangeRequests.DaysPending",
    "TableConformance": "effortless-python|ChangeRequests",
    "FieldClass": "calculated",
    "CellsFailed": 1,
    "DominantReason": "wrong/null value",
    "SemanticTypeIri": "urn:effortless:pko-extension#FieldDisagreement",
    "Name": "effortless-python / ChangeRequests.DaysPending",
    "SampledCellCount": 1,
    "IsFullySampled": true,
    "Formula": "=IF({{IsDecided}}, DATETIME_DIFF({{DecidedAt}}, {{RequestedAt}}, \"days\"), DATETIME_DIFF({{AsOfInstant}}, {{RequestedAt}}, \"days\"))",
    "SubstrateLabel": "Python"
   },
   {
    "FieldDisagreementId": "effortless-python|ChangeRequests.DecisionLatencyDays",
    "Substrate": "effortless-python",
    "RulebookField": "ChangeRequests.DecisionLatencyDays",
    "TableConformance": "effortless-python|ChangeRequests",
    "FieldClass": "calculated",
    "CellsFailed": 1,
    "DominantReason": "wrong/null value",
    "SemanticTypeIri": "urn:effortless:pko-extension#FieldDisagreement",
    "Name": "effortless-python / ChangeRequests.DecisionLatencyDays",
    "SampledCellCount": 1,
    "IsFullySampled": true,
    "Formula": "=IF({{IsDecided}}, DATETIME_DIFF({{DecidedAt}}, {{RequestedAt}}, \"days\"), 0)",
    "SubstrateLabel": "Python"
   },
   {
    "FieldDisagreementId": "effortless-python|ReviewEvents.DaysSinceReviewed",
    "Substrate": "effortless-python",
    "RulebookField": "ReviewEvents.DaysSinceReviewed",
    "TableConformance": "effortless-python|ReviewEvents",
    "FieldClass": "calculated",
    "CellsFailed": 3,
    "DominantReason": "wrong/null value",
    "SemanticTypeIri": "urn:effortless:pko-extension#FieldDisagreement",
    "Name": "effortless-python / ReviewEvents.DaysSinceReviewed",
    "SampledCellCount": 3,
    "IsFullySampled": true,
    "Formula": "=DATETIME_DIFF({{AsOfInstant}}, {{ReviewedAt}}, \"days\")",
    "SubstrateLabel": "Python"
   },
   {
    "FieldDisagreementId": "effortless-python|ReviewEvents.CadenceDriftDays",
    "Substrate": "effortless-python",
    "RulebookField": "ReviewEvents.CadenceDriftDays",
    "TableConformance": "effortless-python|ReviewEvents",
    "FieldClass": "calculated",
    "CellsFailed": 3,
    "DominantReason": "wrong/null value",
    "SemanticTypeIri": "urn:effortless:pko-extension#FieldDisagreement",
    "Name": "effortless-python / ReviewEvents.CadenceDriftDays",
    "SampledCellCount": 3,
    "IsFullySampled": true,
    "Formula": "={{DaysSinceReviewed}} - {{PromisedCadenceDays}}",
    "SubstrateLabel": "Python"
   },
   {
    "FieldDisagreementId": "effortless-python|LearningActivities.Name",
    "Substrate": "effortless-python",
    "RulebookField": "LearningActivities.Name",
    "TableConformance": "effortless-python|LearningActivities",
    "FieldClass": "calculated",
    "CellsFailed": 2,
    "DominantReason": "wrong/null value",
    "SemanticTypeIri": "urn:effortless:pko-extension#FieldDisagreement",
    "Name": "effortless-python / LearningActivities.Name",
    "SampledCellCount": 2,
    "IsFullySampled": true,
    "Formula": "={{ActivityKind}} &amp; \" / \" &amp; {{OccurredAt}}",
    "SubstrateLabel": "Python"
   },
   {
    "FieldDisagreementId": "effortless-python|ObservedTransitions.Name",
    "Substrate": "effortless-python",
    "RulebookField": "ObservedTransitions.Name",
    "TableConformance": "effortless-python|ObservedTransitions",
    "FieldClass": "calculated",
    "CellsFailed": 10,
    "DominantReason": "wrong/null value",
    "SemanticTypeIri": "urn:effortless:pko-extension#FieldDisagreement",
    "Name": "effortless-python / ObservedTransitions.Name",
    "SampledCellCount": 10,
    "IsFullySampled": true,
    "Formula": "={{StepTransition}} &amp; \" @ \" &amp; {{ObservedAt}}",
    "SubstrateLabel": "Python"
   },
   {
    "FieldDisagreementId": "effortless-python|MessageDeliveries.Name",
    "Substrate": "effortless-python",
    "RulebookField": "MessageDeliveries.Name",
    "TableConformance": "effortless-python|MessageDeliveries",
    "FieldClass": "calculated",
    "CellsFailed": 6,
    "DominantReason": "wrong/null value",
    "SemanticTypeIri": "urn:effortless:pko-extension#FieldDisagreement",
    "Name": "effortless-python / MessageDeliveries.Name",
    "SampledCellCount": 6,
    "IsFullySampled": true,
    "Formula": "={{Recipient}} &amp; \" / \" &amp; {{MessageTemplate}} &amp; \" / \" &amp; {{SentAt}}",
    "SubstrateLabel": "Python"
   },
   {
    "FieldDisagreementId": "effortless-python|MessageDeliveries.AgeDays",
    "Substrate": "effortless-python",
    "RulebookField": "MessageDeliveries.AgeDays",
    "TableConformance": "effortless-python|MessageDeliveries",
    "FieldClass": "calculated",
    "CellsFailed": 6,
    "DominantReason": "wrong/null value",
    "SemanticTypeIri": "urn:effortless:pko-extension#FieldDisagreement",
    "Name": "effortless-python / MessageDeliveries.AgeDays",
    "SampledCellCount": 6,
    "IsFullySampled": true,
    "Formula": "=DATETIME_DIFF({{AsOfInstant}}, {{SentAt}}, \"days\")",
    "SubstrateLabel": "Python"
   },
   {
    "FieldDisagreementId": "effortless-python|MessageDeliveries.SegmentCount",
    "Substrate": "effortless-python",
    "RulebookField": "MessageDeliveries.SegmentCount",
    "TableConformance": "effortless-python|MessageDeliveries",
    "FieldClass": "calculated",
    "CellsFailed": 6,
    "DominantReason": "wrong/null value",
    "SemanticTypeIri": "urn:effortless:pko-extension#FieldDisagreement",
    "Name": "effortless-python / MessageDeliveries.SegmentCount",
    "SampledCellCount": 6,
    "IsFullySampled": true,
    "Formula": "=IF({{RenderedBodyLength}} = 0, 0, IF({{RenderedBodyLength}} &lt;= {{PolicyMaxMessageLengthAtSend}}, 1, ROUNDUP({{RenderedBodyLength}} / {{PolicyMaxMessageLengthAtSend}}, 0)))",
    "SubstrateLabel": "Python"
   },
   {
    "FieldDisagreementId": "effortless-python|MessageDeliveries.OutstandingAgeDays",
    "Substrate": "effortless-python",
    "RulebookField": "MessageDeliveries.OutstandingAgeDays",
    "TableConformance": "effortless-python|MessageDeliveries",
    "FieldClass": "calculated",
    "CellsFailed": 3,
    "DominantReason": "wrong/null value",
    "SemanticTypeIri": "urn:effortless:pko-extension#FieldDisagreement",
    "Name": "effortless-python / MessageDeliveries.OutstandingAgeDays",
    "SampledCellCount": 3,
    "IsFullySampled": true,
    "Formula": "=IF({{AcknowledgementIsOutstanding}}, DATETIME_DIFF({{AsOfInstant}}, {{SentAt}}, \"days\"), 0)",
    "SubstrateLabel": "Python"
   },
   {
    "FieldDisagreementId": "effortless-python|MessageDeliveries.OptOutPhrasePosition",
    "Substrate": "effortless-python",
    "RulebookField": "MessageDeliveries.OptOutPhrasePosition",
    "TableConformance": "effortless-python|MessageDeliveries",
    "FieldClass": "calculated",
    "CellsFailed": 3,
    "DominantReason": "wrong/null value",
    "SemanticTypeIri": "urn:effortless:pko-extension#FieldDisagreement",
    "Name": "effortless-python / MessageDeliveries.OptOutPhrasePosition",
    "SampledCellCount": 3,
    "IsFullySampled": true,
    "Formula": "=FIND({{PolicyRequiredOptOutPhrase}}, {{RenderedBody}})",
    "SubstrateLabel": "Python"
   },
   {
    "FieldDisagreementId": "effortless-python|TemplateApprovals.Name",
    "Substrate": "effortless-python",
    "RulebookField": "TemplateApprovals.Name",
    "TableConformance": "effortless-python|TemplateApprovals",
    "FieldClass": "calculated",
    "CellsFailed": 2,
    "DominantReason": "wrong/null value",
    "SemanticTypeIri": "urn:effortless:pko-extension#FieldDisagreement",
    "Name": "effortless-python / TemplateApprovals.Name",
    "SampledCellCount": 2,
    "IsFullySampled": true,
    "Formula": "={{MessageTemplate}} &amp; \" / \" &amp; {{Decision}} &amp; \" / \" &amp; {{DecidedAt}}",
    "SubstrateLabel": "Python"
   },
   {
    "FieldDisagreementId": "effortless-python|SendIntents.DeferralAgeHours",
    "Substrate": "effortless-python",
    "RulebookField": "SendIntents.DeferralAgeHours",
    "TableConformance": "effortless-python|SendIntents",
    "FieldClass": "calculated",
    "CellsFailed": 7,
    "DominantReason": "wrong/null value",
    "SemanticTypeIri": "urn:effortless:pko-extension#FieldDisagreement",
    "Name": "effortless-python / SendIntents.DeferralAgeHours",
    "SampledCellCount": 7,
    "IsFullySampled": true,
    "Formula": "=DATETIME_DIFF({{AsOfInstant}}, {{EvaluatedAt}}, \"hours\")",
    "SubstrateLabel": "Python"
   },
   {
    "FieldDisagreementId": "effortless-python|DeliveredCommunications.ContentMatchesApproval",
    "Substrate": "effortless-python",
    "RulebookField": "DeliveredCommunications.ContentMatchesApproval",
    "TableConformance": "effortless-python|DeliveredCommunications",
    "FieldClass": "calculated",
    "CellsFailed": 1,
    "DominantReason": "wrong/null value",
    "SemanticTypeIri": "urn:effortless:pko-extension#FieldDisagreement",
    "Name": "effortless-python / DeliveredCommunications.ContentMatchesApproval",
    "SampledCellCount": 1,
    "IsFullySampled": true,
    "Formula": "={{RenderedContentHash}} = {{ApprovedContentHash}}",
    "SubstrateLabel": "Python"
   },
   {
    "FieldDisagreementId": "effortless-python|ProcessMiningRuns.Name",
    "Substrate": "effortless-python",
    "RulebookField": "ProcessMiningRuns.Name",
    "TableConformance": "effortless-python|ProcessMiningRuns",
    "FieldClass": "calculated",
    "CellsFailed": 4,
    "DominantReason": "wrong/null value",
    "SemanticTypeIri": "urn:effortless:pko-extension#FieldDisagreement",
    "Name": "effortless-python / ProcessMiningRuns.Name",
    "SampledCellCount": 4,
    "IsFullySampled": true,
    "Formula": "={{EventLogSource}} &amp; \" / \" &amp; {{MinedAt}}",
    "SubstrateLabel": "Python"
   },
   {
    "FieldDisagreementId": "effortless-typescript|EvaluationContexts.Name",
    "Substrate": "effortless-typescript",
    "RulebookField": "EvaluationContexts.Name",
    "TableConformance": "effortless-typescript|EvaluationContexts",
    "FieldClass": "calculated",
    "CellsFailed": 1,
    "DominantReason": "wrong/null value",
    "SemanticTypeIri": "urn:effortless:pko-extension#FieldDisagreement",
    "Name": "effortless-typescript / EvaluationContexts.Name",
    "SampledCellCount": 1,
    "IsFullySampled": true,
    "Formula": "={{Label}} &amp; \" @ \" &amp; {{AsOfInstant}}",
    "SubstrateLabel": "TypeScript"
   },
   {
    "FieldDisagreementId": "effortless-typescript|RoleAssignments.Name",
    "Substrate": "effortless-typescript",
    "RulebookField": "RoleAssignments.Name",
    "TableConformance": "effortless-typescript|RoleAssignments",
    "FieldClass": "calculated",
    "CellsFailed": 13,
    "DominantReason": "wrong/null value",
    "SemanticTypeIri": "urn:effortless:pko-extension#FieldDisagreement",
    "Name": "effortless-typescript / RoleAssignments.Name",
    "SampledCellCount": 13,
    "IsFullySampled": true,
    "Formula": "={{Role}} &amp; \" @ \" &amp; {{ValidFrom}}",
    "SubstrateLabel": "TypeScript"
   },
   {
    "FieldDisagreementId": "effortless-typescript|RoleAssignments.QualityVerdictIsUnsupported",
    "Substrate": "effortless-typescript",
    "RulebookField": "RoleAssignments.QualityVerdictIsUnsupported",
    "TableConformance": "effortless-typescript|RoleAssignments",
    "FieldClass": "calculated",
    "CellsFailed": 13,
    "DominantReason": "wrong/null value",
    "SemanticTypeIri": "urn:effortless:pko-extension#FieldDisagreement",
    "Name": "effortless-typescript / RoleAssignments.QualityVerdictIsUnsupported",
    "SampledCellCount": 13,
    "IsFullySampled": true,
    "Formula": "=AND(NOT({{ComparisonIsEvidentiallySound}}), NOT({{QualityRegressedVsPredecessor}}))",
    "SubstrateLabel": "TypeScript"
   },
   {
    "FieldDisagreementId": "effortless-typescript|RoleAssignments.IsUnmeasuredAutomationHandover",
    "Substrate": "effortless-typescript",
    "RulebookField": "RoleAssignments.IsUnmeasuredAutomationHandover",
    "TableConformance": "effortless-typescript|RoleAssignments",
    "FieldClass": "calculated",
    "CellsFailed": 1,
    "DominantReason": "wrong/null value",
    "SemanticTypeIri": "urn:effortless:pko-extension#FieldDisagreement",
    "Name": "effortless-typescript / RoleAssignments.IsUnmeasuredAutomationHandover",
    "SampledCellCount": 1,
    "IsFullySampled": true,
    "Formula": "=AND({{IsHumanToNonHumanHandover}}, NOT({{ComparisonIsEvidentiallySound}}))",
    "SubstrateLabel": "TypeScript"
   },
   {
    "FieldDisagreementId": "effortless-typescript|ProcedureVersions.DaysSinceModified",
    "Substrate": "effortless-typescript",
    "RulebookField": "ProcedureVersions.DaysSinceModified",
    "TableConformance": "effortless-typescript|ProcedureVersions",
    "FieldClass": "calculated",
    "CellsFailed": 3,
    "DominantReason": "wrong/null value",
    "SemanticTypeIri": "urn:effortless:pko-extension#FieldDisagreement",
    "Name": "effortless-typescript / ProcedureVersions.DaysSinceModified",
    "SampledCellCount": 3,
    "IsFullySampled": true,
    "Formula": "=DATETIME_DIFF({{AsOfInstant}}, {{ModifiedAt}}, \"days\")",
    "SubstrateLabel": "TypeScript"
   },
   {
    "FieldDisagreementId": "effortless-typescript|ProcedureVersions.WasModifiedSinceLastReview",
    "Substrate": "effortless-typescript",
    "RulebookField": "ProcedureVersions.WasModifiedSinceLastReview",
    "TableConformance": "effortless-typescript|ProcedureVersions",
    "FieldClass": "calculated",
    "CellsFailed": 2,
    "DominantReason": "wrong/null value",
    "SemanticTypeIri": "urn:effortless:pko-extension#FieldDisagreement",
    "Name": "effortless-typescript / ProcedureVersions.WasModifiedSinceLastReview",
    "SampledCellCount": 2,
    "IsFullySampled": true,
    "Formula": "={{DaysSinceModified}} &lt; {{DaysSinceLastReview}}",
    "SubstrateLabel": "TypeScript"
   },
   {
    "FieldDisagreementId": "effortless-typescript|ProcedureVersions.HasUnwitnessedChange",
    "Substrate": "effortless-typescript",
    "RulebookField": "ProcedureVersions.HasUnwitnessedChange",
    "TableConformance": "effortless-typescript|ProcedureVersions",
    "FieldClass": "calculated",
    "CellsFailed": 2,
    "DominantReason": "wrong/null value",
    "SemanticTypeIri": "urn:effortless:pko-extension#FieldDisagreement",
    "Name": "effortless-typescript / ProcedureVersions.HasUnwitnessedChange",
    "SampledCellCount": 2,
    "IsFullySampled": true,
    "Formula": "=AND({{IsLive}}, {{WasModifiedSinceLastReview}})",
    "SubstrateLabel": "TypeScript"
   },
   {
    "FieldDisagreementId": "effortless-typescript|Requirements.IsUntestedWitness",
    "Substrate": "effortless-typescript",
    "RulebookField": "Requirements.IsUntestedWitness",
    "TableConformance": "effortless-typescript|Requirements",
    "FieldClass": "calculated",
    "CellsFailed": 3,
    "DominantReason": "wrong/null value",
    "SemanticTypeIri": "urn:effortless:pko-extension#FieldDisagreement",
    "Name": "effortless-typescript / Requirements.IsUntestedWitness",
    "SampledCellCount": 3,
    "IsFullySampled": true,
    "Formula": "=AND({{WitnessHasNeverFired}}, NOT({{HasMeaningfulSample}}))",
    "SubstrateLabel": "TypeScript"
   },
   {
    "FieldDisagreementId": "effortless-typescript|ElicitationSessions.Name",
    "Substrate": "effortless-typescript",
    "RulebookField": "ElicitationSessions.Name",
    "TableConformance": "effortless-typescript|ElicitationSessions",
    "FieldClass": "calculated",
    "CellsFailed": 3,
    "DominantReason": "wrong/null value",
    "SemanticTypeIri": "urn:effortless:pko-extension#FieldDisagreement",
    "Name": "effortless-typescript / ElicitationSessions.Name",
    "SampledCellCount": 3,
    "IsFullySampled": true,
    "Formula": "={{Method}} &amp; \" / \" &amp; {{StartedAt}}",
    "SubstrateLabel": "TypeScript"
   },
   {
    "FieldDisagreementId": "effortless-typescript|ElicitationSessions.DaysSinceElicited",
    "Substrate": "effortless-typescript",
    "RulebookField": "ElicitationSessions.DaysSinceElicited",
    "TableConformance": "effortless-typescript|ElicitationSessions",
    "FieldClass": "calculated",
    "CellsFailed": 2,
    "DominantReason": "wrong/null value",
    "SemanticTypeIri": "urn:effortless:pko-extension#FieldDisagreement",
    "Name": "effortless-typescript / ElicitationSessions.DaysSinceElicited",
    "SampledCellCount": 2,
    "IsFullySampled": true,
    "Formula": "=DATETIME_DIFF({{AsOfInstant}}, {{EndedAt}}, \"days\")",
    "SubstrateLabel": "TypeScript"
   },
   {
    "FieldDisagreementId": "effortless-typescript|KnowledgeFragments.DaysSinceActualReview",
    "Substrate": "effortless-typescript",
    "RulebookField": "KnowledgeFragments.DaysSinceActualReview",
    "TableConformance": "effortless-typescript|KnowledgeFragments",
    "FieldClass": "calculated",
    "CellsFailed": 3,
    "DominantReason": "wrong/null value",
    "SemanticTypeIri": "urn:effortless:pko-extension#FieldDisagreement",
    "Name": "effortless-typescript / KnowledgeFragments.DaysSinceActualReview",
    "SampledCellCount": 3,
    "IsFullySampled": true,
    "Formula": "=IF({{HasReviewRecord}}, DATETIME_DIFF({{AsOfInstant}}, {{LastReviewedAt}}, \"days\"), 0)",
    "SubstrateLabel": "TypeScript"
   },
   {
    "FieldDisagreementId": "effortless-typescript|KnowledgeFragments.EvidenceAgeDays",
    "Substrate": "effortless-typescript",
    "RulebookField": "KnowledgeFragments.EvidenceAgeDays",
    "TableConformance": "effortless-typescript|KnowledgeFragments",
    "FieldClass": "lookup",
    "CellsFailed": 3,
    "DominantReason": "wrong/null value",
    "SemanticTypeIri": "urn:effortless:pko-extension#FieldDisagreement",
    "Name": "effortless-typescript / KnowledgeFragments.EvidenceAgeDays",
    "SampledCellCount": 3,
    "IsFullySampled": true,
    "Formula": "=INDEX(ElicitationSessions!{{DaysSinceElicited}}, MATCH({{ElicitationSession}}, ElicitationSessions!{{ElicitationSessionId}}, 0))",
    "SubstrateLabel": "TypeScript"
   },
   {
    "FieldDisagreementId": "effortless-typescript|KnowledgeFragments.AgeDays",
    "Substrate": "effortless-typescript",
    "RulebookField": "KnowledgeFragments.AgeDays",
    "TableConformance": "effortless-typescript|KnowledgeFragments",
    "FieldClass": "calculated",
    "CellsFailed": 3,
    "DominantReason": "wrong/null value",
    "SemanticTypeIri": "urn:effortless:pko-extension#FieldDisagreement",
    "Name": "effortless-typescript / KnowledgeFragments.AgeDays",
    "SampledCellCount": 3,
    "IsFullySampled": true,
    "Formula": "=DATETIME_DIFF({{AsOfInstant}}, {{ValidFrom}}, \"days\")",
    "SubstrateLabel": "TypeScript"
   },
   {
    "FieldDisagreementId": "effortless-typescript|KnowledgeFragments.DaysAwaitingMyApproval",
    "Substrate": "effortless-typescript",
    "RulebookField": "KnowledgeFragments.DaysAwaitingMyApproval",
    "TableConformance": "effortless-typescript|KnowledgeFragments",
    "FieldClass": "calculated",
    "CellsFailed": 1,
    "DominantReason": "wrong/null value",
    "SemanticTypeIri": "urn:effortless:pko-extension#FieldDisagreement",
    "Name": "effortless-typescript / KnowledgeFragments.DaysAwaitingMyApproval",
    "SampledCellCount": 1,
    "IsFullySampled": true,
    "Formula": "=IF({{IsMyUnfinishedApproval}}, DATETIME_DIFF({{AsOfInstant}}, {{ValidFrom}}, \"days\"), 0)",
    "SubstrateLabel": "TypeScript"
   },
   {
    "FieldDisagreementId": "effortless-typescript|KnowledgeGaps.DaysOpen",
    "Substrate": "effortless-typescript",
    "RulebookField": "KnowledgeGaps.DaysOpen",
    "TableConformance": "effortless-typescript|KnowledgeGaps",
    "FieldClass": "calculated",
    "CellsFailed": 1,
    "DominantReason": "wrong/null value",
    "SemanticTypeIri": "urn:effortless:pko-extension#FieldDisagreement",
    "Name": "effortless-typescript / KnowledgeGaps.DaysOpen",
    "SampledCellCount": 1,
    "IsFullySampled": true,
    "Formula": "=IF({{IsOpen}}, DATETIME_DIFF({{AsOfInstant}}, {{IdentifiedAt}}, \"days\"), 0)",
    "SubstrateLabel": "TypeScript"
   },
   {
    "FieldDisagreementId": "effortless-typescript|IssueOccurrences.Name",
    "Substrate": "effortless-typescript",
    "RulebookField": "IssueOccurrences.Name",
    "TableConformance": "effortless-typescript|IssueOccurrences",
    "FieldClass": "calculated",
    "CellsFailed": 2,
    "DominantReason": "wrong/null value",
    "SemanticTypeIri": "urn:effortless:pko-extension#FieldDisagreement",
    "Name": "effortless-typescript / IssueOccurrences.Name",
    "SampledCellCount": 2,
    "IsFullySampled": true,
    "Formula": "={{Error}} &amp; \" @ \" &amp; {{OccurredAt}}",
    "SubstrateLabel": "TypeScript"
   },
   {
    "FieldDisagreementId": "effortless-typescript|ChangeRequests.DaysPending",
    "Substrate": "effortless-typescript",
    "RulebookField": "ChangeRequests.DaysPending",
    "TableConformance": "effortless-typescript|ChangeRequests",
    "FieldClass": "calculated",
    "CellsFailed": 1,
    "DominantReason": "wrong/null value",
    "SemanticTypeIri": "urn:effortless:pko-extension#FieldDisagreement",
    "Name": "effortless-typescript / ChangeRequests.DaysPending",
    "SampledCellCount": 1,
    "IsFullySampled": true,
    "Formula": "=IF({{IsDecided}}, DATETIME_DIFF({{DecidedAt}}, {{RequestedAt}}, \"days\"), DATETIME_DIFF({{AsOfInstant}}, {{RequestedAt}}, \"days\"))",
    "SubstrateLabel": "TypeScript"
   },
   {
    "FieldDisagreementId": "effortless-typescript|ChangeRequests.DecisionLatencyDays",
    "Substrate": "effortless-typescript",
    "RulebookField": "ChangeRequests.DecisionLatencyDays",
    "TableConformance": "effortless-typescript|ChangeRequests",
    "FieldClass": "calculated",
    "CellsFailed": 1,
    "DominantReason": "wrong/null value",
    "SemanticTypeIri": "urn:effortless:pko-extension#FieldDisagreement",
    "Name": "effortless-typescript / ChangeRequests.DecisionLatencyDays",
    "SampledCellCount": 1,
    "IsFullySampled": true,
    "Formula": "=IF({{IsDecided}}, DATETIME_DIFF({{DecidedAt}}, {{RequestedAt}}, \"days\"), 0)",
    "SubstrateLabel": "TypeScript"
   },
   {
    "FieldDisagreementId": "effortless-typescript|ReviewEvents.DaysSinceReviewed",
    "Substrate": "effortless-typescript",
    "RulebookField": "ReviewEvents.DaysSinceReviewed",
    "TableConformance": "effortless-typescript|ReviewEvents",
    "FieldClass": "calculated",
    "CellsFailed": 3,
    "DominantReason": "wrong/null value",
    "SemanticTypeIri": "urn:effortless:pko-extension#FieldDisagreement",
    "Name": "effortless-typescript / ReviewEvents.DaysSinceReviewed",
    "SampledCellCount": 3,
    "IsFullySampled": true,
    "Formula": "=DATETIME_DIFF({{AsOfInstant}}, {{ReviewedAt}}, \"days\")",
    "SubstrateLabel": "TypeScript"
   },
   {
    "FieldDisagreementId": "effortless-typescript|ReviewEvents.CadenceDriftDays",
    "Substrate": "effortless-typescript",
    "RulebookField": "ReviewEvents.CadenceDriftDays",
    "TableConformance": "effortless-typescript|ReviewEvents",
    "FieldClass": "calculated",
    "CellsFailed": 3,
    "DominantReason": "wrong/null value",
    "SemanticTypeIri": "urn:effortless:pko-extension#FieldDisagreement",
    "Name": "effortless-typescript / ReviewEvents.CadenceDriftDays",
    "SampledCellCount": 3,
    "IsFullySampled": true,
    "Formula": "={{DaysSinceReviewed}} - {{PromisedCadenceDays}}",
    "SubstrateLabel": "TypeScript"
   },
   {
    "FieldDisagreementId": "effortless-typescript|LearningActivities.Name",
    "Substrate": "effortless-typescript",
    "RulebookField": "LearningActivities.Name",
    "TableConformance": "effortless-typescript|LearningActivities",
    "FieldClass": "calculated",
    "CellsFailed": 2,
    "DominantReason": "wrong/null value",
    "SemanticTypeIri": "urn:effortless:pko-extension#FieldDisagreement",
    "Name": "effortless-typescript / LearningActivities.Name",
    "SampledCellCount": 2,
    "IsFullySampled": true,
    "Formula": "={{ActivityKind}} &amp; \" / \" &amp; {{OccurredAt}}",
    "SubstrateLabel": "TypeScript"
   },
   {
    "FieldDisagreementId": "effortless-typescript|ObservedTransitions.Name",
    "Substrate": "effortless-typescript",
    "RulebookField": "ObservedTransitions.Name",
    "TableConformance": "effortless-typescript|ObservedTransitions",
    "FieldClass": "calculated",
    "CellsFailed": 10,
    "DominantReason": "wrong/null value",
    "SemanticTypeIri": "urn:effortless:pko-extension#FieldDisagreement",
    "Name": "effortless-typescript / ObservedTransitions.Name",
    "SampledCellCount": 10,
    "IsFullySampled": true,
    "Formula": "={{StepTransition}} &amp; \" @ \" &amp; {{ObservedAt}}",
    "SubstrateLabel": "TypeScript"
   },
   {
    "FieldDisagreementId": "effortless-typescript|MessageDeliveries.Name",
    "Substrate": "effortless-typescript",
    "RulebookField": "MessageDeliveries.Name",
    "TableConformance": "effortless-typescript|MessageDeliveries",
    "FieldClass": "calculated",
    "CellsFailed": 6,
    "DominantReason": "wrong/null value",
    "SemanticTypeIri": "urn:effortless:pko-extension#FieldDisagreement",
    "Name": "effortless-typescript / MessageDeliveries.Name",
    "SampledCellCount": 6,
    "IsFullySampled": true,
    "Formula": "={{Recipient}} &amp; \" / \" &amp; {{MessageTemplate}} &amp; \" / \" &amp; {{SentAt}}",
    "SubstrateLabel": "TypeScript"
   },
   {
    "FieldDisagreementId": "effortless-typescript|MessageDeliveries.AgeDays",
    "Substrate": "effortless-typescript",
    "RulebookField": "MessageDeliveries.AgeDays",
    "TableConformance": "effortless-typescript|MessageDeliveries",
    "FieldClass": "calculated",
    "CellsFailed": 6,
    "DominantReason": "wrong/null value",
    "SemanticTypeIri": "urn:effortless:pko-extension#FieldDisagreement",
    "Name": "effortless-typescript / MessageDeliveries.AgeDays",
    "SampledCellCount": 6,
    "IsFullySampled": true,
    "Formula": "=DATETIME_DIFF({{AsOfInstant}}, {{SentAt}}, \"days\")",
    "SubstrateLabel": "TypeScript"
   },
   {
    "FieldDisagreementId": "effortless-typescript|MessageDeliveries.SegmentCount",
    "Substrate": "effortless-typescript",
    "RulebookField": "MessageDeliveries.SegmentCount",
    "TableConformance": "effortless-typescript|MessageDeliveries",
    "FieldClass": "calculated",
    "CellsFailed": 6,
    "DominantReason": "wrong/null value",
    "SemanticTypeIri": "urn:effortless:pko-extension#FieldDisagreement",
    "Name": "effortless-typescript / MessageDeliveries.SegmentCount",
    "SampledCellCount": 6,
    "IsFullySampled": true,
    "Formula": "=IF({{RenderedBodyLength}} = 0, 0, IF({{RenderedBodyLength}} &lt;= {{PolicyMaxMessageLengthAtSend}}, 1, ROUNDUP({{RenderedBodyLength}} / {{PolicyMaxMessageLengthAtSend}}, 0)))",
    "SubstrateLabel": "TypeScript"
   },
   {
    "FieldDisagreementId": "effortless-typescript|MessageDeliveries.OutstandingAgeDays",
    "Substrate": "effortless-typescript",
    "RulebookField": "MessageDeliveries.OutstandingAgeDays",
    "TableConformance": "effortless-typescript|MessageDeliveries",
    "FieldClass": "calculated",
    "CellsFailed": 3,
    "DominantReason": "wrong/null value",
    "SemanticTypeIri": "urn:effortless:pko-extension#FieldDisagreement",
    "Name": "effortless-typescript / MessageDeliveries.OutstandingAgeDays",
    "SampledCellCount": 3,
    "IsFullySampled": true,
    "Formula": "=IF({{AcknowledgementIsOutstanding}}, DATETIME_DIFF({{AsOfInstant}}, {{SentAt}}, \"days\"), 0)",
    "SubstrateLabel": "TypeScript"
   },
   {
    "FieldDisagreementId": "effortless-typescript|MessageDeliveries.OptOutPhrasePosition",
    "Substrate": "effortless-typescript",
    "RulebookField": "MessageDeliveries.OptOutPhrasePosition",
    "TableConformance": "effortless-typescript|MessageDeliveries",
    "FieldClass": "calculated",
    "CellsFailed": 3,
    "DominantReason": "wrong/null value",
    "SemanticTypeIri": "urn:effortless:pko-extension#FieldDisagreement",
    "Name": "effortless-typescript / MessageDeliveries.OptOutPhrasePosition",
    "SampledCellCount": 3,
    "IsFullySampled": true,
    "Formula": "=FIND({{PolicyRequiredOptOutPhrase}}, {{RenderedBody}})",
    "SubstrateLabel": "TypeScript"
   },
   {
    "FieldDisagreementId": "effortless-typescript|TemplateApprovals.Name",
    "Substrate": "effortless-typescript",
    "RulebookField": "TemplateApprovals.Name",
    "TableConformance": "effortless-typescript|TemplateApprovals",
    "FieldClass": "calculated",
    "CellsFailed": 2,
    "DominantReason": "wrong/null value",
    "SemanticTypeIri": "urn:effortless:pko-extension#FieldDisagreement",
    "Name": "effortless-typescript / TemplateApprovals.Name",
    "SampledCellCount": 2,
    "IsFu</t>
  </si>
  <si>
    <t xml:space="preserve">llySampled": true,
    "Formula": "={{MessageTemplate}} &amp; \" / \" &amp; {{Decision}} &amp; \" / \" &amp; {{DecidedAt}}",
    "SubstrateLabel": "TypeScript"
   },
   {
    "FieldDisagreementId": "effortless-typescript|SendIntents.DeferralAgeHours",
    "Substrate": "effortless-typescript",
    "RulebookField": "SendIntents.DeferralAgeHours",
    "TableConformance": "effortless-typescript|SendIntents",
    "FieldClass": "calculated",
    "CellsFailed": 7,
    "DominantReason": "wrong/null value",
    "SemanticTypeIri": "urn:effortless:pko-extension#FieldDisagreement",
    "Name": "effortless-typescript / SendIntents.DeferralAgeHours",
    "SampledCellCount": 7,
    "IsFullySampled": true,
    "Formula": "=DATETIME_DIFF({{AsOfInstant}}, {{EvaluatedAt}}, \"hours\")",
    "SubstrateLabel": "TypeScript"
   },
   {
    "FieldDisagreementId": "effortless-typescript|DeliveredCommunications.ContentMatchesApproval",
    "Substrate": "effortless-typescript",
    "RulebookField": "DeliveredCommunications.ContentMatchesApproval",
    "TableConformance": "effortless-typescript|DeliveredCommunications",
    "FieldClass": "calculated",
    "CellsFailed": 1,
    "DominantReason": "wrong/null value",
    "SemanticTypeIri": "urn:effortless:pko-extension#FieldDisagreement",
    "Name": "effortless-typescript / DeliveredCommunications.ContentMatchesApproval",
    "SampledCellCount": 1,
    "IsFullySampled": true,
    "Formula": "={{RenderedContentHash}} = {{ApprovedContentHash}}",
    "SubstrateLabel": "TypeScript"
   },
   {
    "FieldDisagreementId": "effortless-typescript|ProcessMiningRuns.Name",
    "Substrate": "effortless-typescript",
    "RulebookField": "ProcessMiningRuns.Name",
    "TableConformance": "effortless-typescript|ProcessMiningRuns",
    "FieldClass": "calculated",
    "CellsFailed": 4,
    "DominantReason": "wrong/null value",
    "SemanticTypeIri": "urn:effortless:pko-extension#FieldDisagreement",
    "Name": "effortless-typescript / ProcessMiningRuns.Name",
    "SampledCellCount": 4,
    "IsFullySampled": true,
    "Formula": "={{EventLogSource}} &amp; \" / \" &amp; {{MinedAt}}",
    "SubstrateLabel": "TypeScript"
   }
  ]
 },
 "CellDisagreements": {
  "Description": "Latest run only: one cell a substrate computed differently from the answer key, with both values verbatim. Sampled per field; see FieldDisagreements.IsFullySampled.",
  "important": true,
  "schema": [
   {
    "name": "CellDisagreementId",
    "datatype": "string",
    "type": "raw",
    "nullable": false,
    "Description": "Stored logical identifier: '&lt;substrate&gt;|&lt;Table&gt;.&lt;Field&gt;|&lt;record id&gt;'."
   },
   {
    "name": "Name",
    "datatype": "string",
    "type": "calculated",
    "nullable": true,
    "Description": "Human-readable calculated display alias.",
    "formula": "=CONCAT({{FieldDisagreement}}, \" @ \", {{RecordId}})"
   },
   {
    "name": "FieldDisagreement",
    "datatype": "string",
    "type": "relationship",
    "nullable": true,
    "Description": "The substrate-by-field disagreement this cell belongs to.",
    "RelatedTo": "FieldDisagreements"
   },
   {
    "name": "RecordId",
    "datatype": "string",
    "type": "raw",
    "nullable": true,
    "Description": "Primary key of the row whose cell disagreed."
   },
   {
    "name": "ExpectedValue",
    "datatype": "string",
    "type": "raw",
    "nullable": true,
    "Description": "The answer key's value, JSON-encoded so null, '', false and 0 stay distinguishable."
   },
   {
    "name": "ActualValue",
    "datatype": "string",
    "type": "raw",
    "nullable": true,
    "Description": "The substrate's value, JSON-encoded the same way."
   },
   {
    "name": "Reason",
    "datatype": "string",
    "type": "raw",
    "nullable": true,
    "Description": "The harness's reason: 'wrong/null value', 'missing record' or 'missing entity file'."
   },
   {
    "name": "Substrate",
    "datatype": "string",
    "type": "lookup",
    "nullable": true,
    "Description": "The substrate that produced ActualValue.",
    "formula": "=INDEX(FieldDisagreements!{{Substrate}}, MATCH({{FieldDisagreement}}, FieldDisagreements!{{FieldDisagreementId}}, 0))"
   },
   {
    "name": "RulebookField",
    "datatype": "string",
    "type": "lookup",
    "nullable": true,
    "Description": "The field.",
    "formula": "=INDEX(FieldDisagreements!{{RulebookField}}, MATCH({{FieldDisagreement}}, FieldDisagreements!{{FieldDisagreementId}}, 0))"
   },
   {
    "name": "SemanticTypeIri",
    "datatype": "string",
    "type": "raw",
    "nullable": true,
    "Description": "Semantic type IRI."
   }
  ],
  "data": [
   {
    "CellDisagreementId": "effortless-postgres|EvaluationContexts.Name|eval-current",
    "FieldDisagreement": "effortless-postgres|EvaluationContexts.Name",
    "RecordId": "eval-current",
    "ExpectedValue": "\"Post-close evaluation @ 2026-07-19T13:00:00-05:00\"",
    "ActualValue": "\"Post-close evaluation @ 2026-07-19 13:00:00-05\"",
    "Reason": "wrong/null value",
    "SemanticTypeIri": "urn:effortless:pko-extension#CellDisagreement",
    "Name": "effortless-postgres|EvaluationContexts.Name @ eval-current",
    "Substrate": "effortless-postgres",
    "RulebookField": "EvaluationContexts.Name"
   },
   {
    "CellDisagreementId": "effortless-postgres|RoleAssignments.Name|ra-authority-2026",
    "FieldDisagreement": "effortless-postgres|RoleAssignments.Name",
    "RecordId": "ra-authority-2026",
    "ExpectedValue": "\"knowledge-authority @ 2026-01-01T00:00:00-06:00\"",
    "ActualValue": "\"knowledge-authority @ 2026-01-01 00:00:00-06\"",
    "Reason": "wrong/null value",
    "SemanticTypeIri": "urn:effortless:pko-extension#CellDisagreement",
    "Name": "effortless-postgres|RoleAssignments.Name @ ra-authority-2026",
    "Substrate": "effortless-postgres",
    "RulebookField": "RoleAssignments.Name"
   },
   {
    "CellDisagreementId": "effortless-postgres|RoleAssignments.Name|ra-cfo-2026",
    "FieldDisagreement": "effortless-postgres|RoleAssignments.Name",
    "RecordId": "ra-cfo-2026",
    "ExpectedValue": "\"cfo @ 2026-01-01T00:00:00-06:00\"",
    "ActualValue": "\"cfo @ 2026-01-01 00:00:00-06\"",
    "Reason": "wrong/null value",
    "SemanticTypeIri": "urn:effortless:pko-extension#CellDisagreement",
    "Name": "effortless-postgres|RoleAssignments.Name @ ra-cfo-2026",
    "Substrate": "effortless-postgres",
    "RulebookField": "RoleAssignments.Name"
   },
   {
    "CellDisagreementId": "effortless-postgres|RoleAssignments.Name|ra-close-pipeline-2026",
    "FieldDisagreement": "effortless-postgres|RoleAssignments.Name",
    "RecordId": "ra-close-pipeline-2026",
    "ExpectedValue": "\"close-automation @ 2026-01-01T00:00:00-06:00\"",
    "ActualValue": "\"close-automation @ 2026-01-01 00:00:00-06\"",
    "Reason": "wrong/null value",
    "SemanticTypeIri": "urn:effortless:pko-extension#CellDisagreement",
    "Name": "effortless-postgres|RoleAssignments.Name @ ra-close-pipeline-2026",
    "Substrate": "effortless-postgres",
    "RulebookField": "RoleAssignments.Name"
   },
   {
    "CellDisagreementId": "effortless-postgres|RoleAssignments.Name|ra-comms-2026",
    "FieldDisagreement": "effortless-postgres|RoleAssignments.Name",
    "RecordId": "ra-comms-2026",
    "ExpectedValue": "\"communications-manager @ 2026-02-01T00:00:00-06:00\"",
    "ActualValue": "\"communications-manager @ 2026-02-01 00:00:00-06\"",
    "Reason": "wrong/null value",
    "SemanticTypeIri": "urn:effortless:pko-extension#CellDisagreement",
    "Name": "effortless-postgres|RoleAssignments.Name @ ra-comms-2026",
    "Substrate": "effortless-postgres",
    "RulebookField": "RoleAssignments.Name"
   },
   {
    "CellDisagreementId": "effortless-postgres|RoleAssignments.Name|ra-controller-2026",
    "FieldDisagreement": "effortless-postgres|RoleAssignments.Name",
    "RecordId": "ra-controller-2026",
    "ExpectedValue": "\"controller @ 2026-01-01T00:00:00-06:00\"",
    "ActualValue": "\"controller @ 2026-01-01 00:00:00-06\"",
    "Reason": "wrong/null value",
    "SemanticTypeIri": "urn:effortless:pko-extension#CellDisagreement",
    "Name": "effortless-postgres|RoleAssignments.Name @ ra-controller-2026",
    "Substrate": "effortless-postgres",
    "RulebookField": "RoleAssignments.Name"
   },
   {
    "CellDisagreementId": "effortless-postgres|RoleAssignments.Name|ra-counsel-2026",
    "FieldDisagreement": "effortless-postgres|RoleAssignments.Name",
    "RecordId": "ra-counsel-2026",
    "ExpectedValue": "\"employment-counsel @ 2026-01-15T00:00:00-06:00\"",
    "ActualValue": "\"employment-counsel @ 2026-01-15 00:00:00-06\"",
    "Reason": "wrong/null value",
    "SemanticTypeIri": "urn:effortless:pko-extension#CellDisagreement",
    "Name": "effortless-postgres|RoleAssignments.Name @ ra-counsel-2026",
    "Substrate": "effortless-postgres",
    "RulebookField": "RoleAssignments.Name"
   },
   {
    "CellDisagreementId": "effortless-postgres|RoleAssignments.Name|ra-finance-2026",
    "FieldDisagreement": "effortless-postgres|RoleAssignments.Name",
    "RecordId": "ra-finance-2026",
    "ExpectedValue": "\"finance-analyst @ 2026-01-01T00:00:00-06:00\"",
    "ActualValue": "\"finance-analyst @ 2026-01-01 00:00:00-06\"",
    "Reason": "wrong/null value",
    "SemanticTypeIri": "urn:effortless:pko-extension#CellDisagreement",
    "Name": "effortless-postgres|RoleAssignments.Name @ ra-finance-2026",
    "Substrate": "effortless-postgres",
    "RulebookField": "RoleAssignments.Name"
   },
   {
    "CellDisagreementId": "effortless-postgres|RoleAssignments.Name|ra-new-variance",
    "FieldDisagreement": "effortless-postgres|RoleAssignments.Name",
    "RecordId": "ra-new-variance",
    "ExpectedValue": "\"variance-review-agent @ 2026-04-01T00:00:00-05:00\"",
    "ActualValue": "\"variance-review-agent @ 2026-04-01 00:00:00-05\"",
    "Reason": "wrong/null value",
    "SemanticTypeIri": "urn:effortless:pko-extension#CellDisagreement",
    "Name": "effortless-postgres|RoleAssignments.Name @ ra-new-variance",
    "Substrate": "effortless-postgres",
    "RulebookField": "RoleAssignments.Name"
   },
   {
    "CellDisagreementId": "effortless-postgres|RoleAssignments.Name|ra-notify-pipeline-2026",
    "FieldDisagreement": "effortless-postgres|RoleAssignments.Name",
    "RecordId": "ra-notify-pipeline-2026",
    "ExpectedValue": "\"notification-publisher @ 2026-03-01T00:00:00-06:00\"",
    "ActualValue": "\"notification-publisher @ 2026-03-01 00:00:00-06\"",
    "Reason": "wrong/null value",
    "SemanticTypeIri": "urn:effortless:pko-extension#CellDisagreement",
    "Name": "effortless-postgres|RoleAssignments.Name @ ra-notify-pipeline-2026",
    "Substrate": "effortless-postgres",
    "RulebookField": "RoleAssignments.Name"
   },
   {
    "CellDisagreementId": "effortless-postgres|RoleAssignments.Name|ra-old-variance",
    "FieldDisagreement": "effortless-postgres|RoleAssignments.Name",
    "RecordId": "ra-old-variance",
    "ExpectedValue": "\"variance-review-agent @ 2025-01-01T00:00:00-06:00\"",
    "ActualValue": "\"variance-review-agent @ 2025-01-01 00:00:00-06\"",
    "Reason": "wrong/null value",
    "SemanticTypeIri": "urn:effortless:pko-extension#CellDisagreement",
    "Name": "effortless-postgres|RoleAssignments.Name @ ra-old-variance",
    "Substrate": "effortless-postgres",
    "RulebookField": "RoleAssignments.Name"
   },
   {
    "CellDisagreementId": "effortless-postgres|RoleAssignments.Name|ra-policy-ai-2026",
    "FieldDisagreement": "effortless-postgres|RoleAssignments.Name",
    "RecordId": "ra-policy-ai-2026",
    "ExpectedValue": "\"policy-drafting-agent @ 2026-05-01T00:00:00-05:00\"",
    "ActualValue": "\"policy-drafting-agent @ 2026-05-01 00:00:00-05\"",
    "Reason": "wrong/null value",
    "SemanticTypeIri": "urn:effortless:pko-extension#CellDisagreement",
    "Name": "effortless-postgres|RoleAssignments.Name @ ra-policy-ai-2026",
    "Substrate": "effortless-postgres",
    "RulebookField": "RoleAssignments.Name"
   },
   {
    "CellDisagreementId": "effortless-postgres|RoleAssignments.Name|ra-policy-owner-2026",
    "FieldDisagreement": "effortless-postgres|RoleAssignments.Name",
    "RecordId": "ra-policy-owner-2026",
    "ExpectedValue": "\"hr-policy-owner @ 2026-02-01T00:00:00-06:00\"",
    "ActualValue": "\"hr-policy-owner @ 2026-02-01 00:00:00-06\"",
    "Reason": "wrong/null value",
    "SemanticTypeIri": "urn:effortless:pko-extension#CellDisagreement",
    "Name": "effortless-postgres|RoleAssignments.Name @ ra-policy-owner-2026",
    "Substrate": "effortless-postgres",
    "RulebookField": "RoleAssignments.Name"
   },
   {
    "CellDisagreementId": "effortless-postgres|RoleAssignments.Name|ra-steward-2026",
    "FieldDisagreement": "effortless-postgres|RoleAssignments.Name",
    "RecordId": "ra-steward-2026",
    "ExpectedValue": "\"process-steward @ 2026-04-15T09:00:00-05:00\"",
    "ActualValue": "\"process-steward @ 2026-04-15 09:00:00-05\"",
    "Reason": "wrong/null value",
    "SemanticTypeIri": "urn:effortless:pko-extension#CellDisagreement",
    "Name": "effortless-postgres|RoleAssignments.Name @ ra-steward-2026",
    "Substrate": "effortless-postgres",
    "RulebookField": "RoleAssignments.Name"
   },
   {
    "CellDisagreementId": "effortless-postgres|RoleAssignments.QualityVerdictIsUnsupported|ra-authority-2026",
    "FieldDisagreement": "effortless-postgres|RoleAssignments.QualityVerdictIsUnsupported",
    "RecordId": "ra-authority-2026",
    "ExpectedValue": "true",
    "ActualValue": "null",
    "Reason": "wrong/null value",
    "SemanticTypeIri": "urn:effortless:pko-extension#CellDisagreement",
    "Name": "effortless-postgres|RoleAssignments.QualityVerdictIsUnsupported @ ra-authority-2026",
    "Substrate": "effortless-postgres",
    "RulebookField": "RoleAssignments.QualityVerdictIsUnsupported"
   },
   {
    "CellDisagreementId": "effortless-postgres|RoleAssignments.QualityVerdictIsUnsupported|ra-cfo-2026",
    "FieldDisagreement": "effortless-postgres|RoleAssignments.QualityVerdictIsUnsupported",
    "RecordId": "ra-cfo-2026",
    "ExpectedValue": "true",
    "ActualValue": "null",
    "Reason": "wrong/null value",
    "SemanticTypeIri": "urn:effortless:pko-extension#CellDisagreement",
    "Name": "effortless-postgres|RoleAssignments.QualityVerdictIsUnsupported @ ra-cfo-2026",
    "Substrate": "effortless-postgres",
    "RulebookField": "RoleAssignments.QualityVerdictIsUnsupported"
   },
   {
    "CellDisagreementId": "effortless-postgres|RoleAssignments.QualityVerdictIsUnsupported|ra-close-pipeline-2026",
    "FieldDisagreement": "effortless-postgres|RoleAssignments.QualityVerdictIsUnsupported",
    "RecordId": "ra-close-pipeline-2026",
    "ExpectedValue": "true",
    "ActualValue": "null",
    "Reason": "wrong/null value",
    "SemanticTypeIri": "urn:effortless:pko-extension#CellDisagreement",
    "Name": "effortless-postgres|RoleAssignments.QualityVerdictIsUnsupported @ ra-close-pipeline-2026",
    "Substrate": "effortless-postgres",
    "RulebookField": "RoleAssignments.QualityVerdictIsUnsupported"
   },
   {
    "CellDisagreementId": "effortless-postgres|RoleAssignments.QualityVerdictIsUnsupported|ra-comms-2026",
    "FieldDisagreement": "effortless-postgres|RoleAssignments.QualityVerdictIsUnsupported",
    "RecordId": "ra-comms-2026",
    "ExpectedValue": "true",
    "ActualValue": "null",
    "Reason": "wrong/null value",
    "SemanticTypeIri": "urn:effortless:pko-extension#CellDisagreement",
    "Name": "effortless-postgres|RoleAssignments.QualityVerdictIsUnsupported @ ra-comms-2026",
    "Substrate": "effortless-postgres",
    "RulebookField": "RoleAssignments.QualityVerdictIsUnsupported"
   },
   {
    "CellDisagreementId": "effortless-postgres|RoleAssignments.QualityVerdictIsUnsupported|ra-controller-2026",
    "FieldDisagreement": "effortless-postgres|RoleAssignments.QualityVerdictIsUnsupported",
    "RecordId": "ra-controller-2026",
    "ExpectedValue": "true",
    "ActualValue": "null",
    "Reason": "wrong/null value",
    "SemanticTypeIri": "urn:effortless:pko-extension#CellDisagreement",
    "Name": "effortless-postgres|RoleAssignments.QualityVerdictIsUnsupported @ ra-controller-2026",
    "Substrate": "effortless-postgres",
    "RulebookField": "RoleAssignments.QualityVerdictIsUnsupported"
   },
   {
    "CellDisagreementId": "effortless-postgres|RoleAssignments.QualityVerdictIsUnsupported|ra-counsel-2026",
    "FieldDisagreement": "effortless-postgres|RoleAssignments.QualityVerdictIsUnsupported",
    "RecordId": "ra-counsel-2026",
    "ExpectedValue": "true",
    "ActualValue": "null",
    "Reason": "wrong/null value",
    "SemanticTypeIri": "urn:effortless:pko-extension#CellDisagreement",
    "Name": "effortless-postgres|RoleAssignments.QualityVerdictIsUnsupported @ ra-counsel-2026",
    "Substrate": "effortless-postgres",
    "RulebookField": "RoleAssignments.QualityVerdictIsUnsupported"
   },
   {
    "CellDisagreementId": "effortless-postgres|RoleAssignments.QualityVerdictIsUnsupported|ra-finance-2026",
    "FieldDisagreement": "effortless-postgres|RoleAssignments.QualityVerdictIsUnsupported",
    "RecordId": "ra-finance-2026",
    "ExpectedValue": "true",
    "ActualValue": "null",
    "Reason": "wrong/null value",
    "SemanticTypeIri": "urn:effortless:pko-extension#CellDisagreement",
    "Name": "effortless-postgres|RoleAssignments.QualityVerdictIsUnsupported @ ra-finance-2026",
    "Substrate": "effortless-postgres",
    "RulebookField": "RoleAssignments.QualityVerdictIsUnsupported"
   },
   {
    "CellDisagreementId": "effortless-postgres|RoleAssignments.QualityVerdictIsUnsupported|ra-new-variance",
    "FieldDisagreement": "effortless-postgres|RoleAssignments.QualityVerdictIsUnsupported",
    "RecordId": "ra-new-variance",
    "ExpectedValue": "true",
    "ActualValue": "null",
    "Reason": "wrong/null value",
    "SemanticTypeIri": "urn:effortless:pko-extension#CellDisagreement",
    "Name": "effortless-postgres|RoleAssignments.QualityVerdictIsUnsupported @ ra-new-variance",
    "Substrate": "effortless-postgres",
    "RulebookField": "RoleAssignments.QualityVerdictIsUnsupported"
   },
   {
    "CellDisagreementId": "effortless-postgres|RoleAssignments.QualityVerdictIsUnsupported|ra-notify-pipeline-2026",
    "FieldDisagreement": "effortless-postgres|RoleAssignments.QualityVerdictIsUnsupported",
    "RecordId": "ra-notify-pipeline-2026",
    "ExpectedValue": "true",
    "ActualValue": "null",
    "Reason": "wrong/null value",
    "SemanticTypeIri": "urn:effortless:pko-extension#CellDisagreement",
    "Name": "effortless-postgres|RoleAssignments.QualityVerdictIsUnsupported @ ra-notify-pipeline-2026",
    "Substrate": "effortless-postgres",
    "RulebookField": "RoleAssignments.QualityVerdictIsUnsupported"
   },
   {
    "CellDisagreementId": "effortless-postgres|RoleAssignments.QualityVerdictIsUnsupported|ra-old-variance",
    "FieldDisagreement": "effortless-postgres|RoleAssignments.QualityVerdictIsUnsupported",
    "RecordId": "ra-old-variance",
    "ExpectedValue": "true",
    "ActualValue": "null",
    "Reason": "wrong/null value",
    "SemanticTypeIri": "urn:effortless:pko-extension#CellDisagreement",
    "Name": "effortless-postgres|RoleAssignments.QualityVerdictIsUnsupported @ ra-old-variance",
    "Substrate": "effortless-postgres",
    "RulebookField": "RoleAssignments.QualityVerdictIsUnsupported"
   },
   {
    "CellDisagreementId": "effortless-postgres|RoleAssignments.QualityVerdictIsUnsupported|ra-policy-ai-2026",
    "FieldDisagreement": "effortless-postgres|RoleAssignments.QualityVerdictIsUnsupported",
    "RecordId": "ra-policy-ai-2026",
    "ExpectedValue": "true",
    "ActualValue": "null",
    "Reason": "wrong/null value",
    "SemanticTypeIri": "urn:effortless:pko-extension#CellDisagreement",
    "Name": "effortless-postgres|RoleAssignments.QualityVerdictIsUnsupported @ ra-policy-ai-2026",
    "Substrate": "effortless-postgres",
    "RulebookField": "RoleAssignments.QualityVerdictIsUnsupported"
   },
   {
    "CellDisagreementId": "effortless-postgres|RoleAssignments.QualityVerdictIsUnsupported|ra-policy-owner-2026",
    "FieldDisagreement": "effortless-postgres|RoleAssignments.QualityVerdictIsUnsupported",
    "RecordId": "ra-policy-owner-2026",
    "ExpectedValue": "true",
    "ActualValue": "null",
    "Reason": "wrong/null value",
    "SemanticTypeIri": "urn:effortless:pko-extension#CellDisagreement",
    "Name": "effortless-postgres|RoleAssignments.QualityVerdictIsUnsupported @ ra-policy-owner-2026",
    "Substrate": "effortless-postgres",
    "RulebookField": "RoleAssignments.QualityVerdictIsUnsupported"
   },
   {
    "CellDisagreementId": "effortless-postgres|RoleAssignments.QualityVerdictIsUnsupported|ra-steward-2026",
    "FieldDisagreement": "effortless-postgres|RoleAssignments.QualityVerdictIsUnsupported",
    "RecordId": "ra-steward-2026",
    "ExpectedValue": "true",
    "ActualValue": "null",
    "Reason": "wrong/null value",
    "SemanticTypeIri": "urn:effortless:pko-extension#CellDisagreement",
    "Name": "effortless-postgres|RoleAssignments.QualityVerdictIsUnsupported @ ra-steward-2026",
    "Substrate": "effortless-postgres",
    "RulebookField": "RoleAssignments.QualityVerdictIsUnsupported"
   },
   {
    "CellDisagreementId": "effortless-postgres|RoleAssignments.IsUnmeasuredAutomationHandover|ra-new-variance",
    "FieldDisagreement": "effortless-postgres|RoleAssignments.IsUnmeasuredAutomationHandover",
    "RecordId": "ra-new-variance",
    "ExpectedValue": "true",
    "ActualValue": "null",
    "Reason": "wrong/null value",
    "SemanticTypeIri": "urn:effortless:pko-extension#CellDisagreement",
    "Name": "effortless-postgres|RoleAssignments.IsUnmeasuredAutomationHandover @ ra-new-variance",
    "Substrate": "effortless-postgres",
    "RulebookField": "RoleAssignments.IsUnmeasuredAutomationHandover"
   },
   {
    "CellDisagreementId": "effortless-postgres|ProcedureVersions.DaysSinceModified|close-v1.0.0",
    "FieldDisagreement": "effortless-postgres|ProcedureVersions.DaysSinceModified",
    "RecordId": "close-v1.0.0",
    "ExpectedValue": "109",
    "ActualValue": "110",
    "Reason": "wrong/null value",
    "SemanticTypeIri": "urn:effortless:pko-extension#CellDisagreement",
    "Name": "effortless-postgres|ProcedureVersions.DaysSinceModified @ close-v1.0.0",
    "Substrate": "effortless-postgres",
    "RulebookField": "ProcedureVersions.DaysSinceModified"
   },
   {
    "CellDisagreementId": "effortless-postgres|ProcedureVersions.DaysSinceModified|close-v1.1.0",
    "FieldDisagreement": "effortless-postgres|ProcedureVersions.DaysSinceModified",
    "RecordId": "close-v1.1.0",
    "ExpectedValue": "16",
    "ActualValue": "17",
    "Reason": "wrong/null value",
    "SemanticTypeIri": "urn:effortless:pko-extension#CellDisagreement",
    "Name": "effortless-postgres|ProcedureVersions.DaysSinceModified @ close-v1.1.0",
    "Substrate": "effortless-postgres",
    "RulebookField": "ProcedureVersions.DaysSinceModified"
   },
   {
    "CellDisagreementId": "effortless-postgres|ProcedureVersions.DaysSinceModified|policy-v1.0.0",
    "FieldDisagreement": "effortless-postgres|ProcedureVersions.DaysSinceModified",
    "RecordId": "policy-v1.0.0",
    "ExpectedValue": "0",
    "ActualValue": "1",
    "Reason": "wrong/null value",
    "SemanticTypeIri": "urn:effortless:pko-extension#CellDisagreement",
    "Name": "effortless-postgres|ProcedureVersions.DaysSinceModified @ policy-v1.0.0",
    "Substrate": "effortless-postgres",
    "RulebookField": "ProcedureVersions.DaysSinceModified"
   },
   {
    "CellDisagreementId": "effortless-postgres|ProcedureVersions.WasModifiedSinceLastReview|close-v1.1.0",
    "FieldDisagreement": "effortless-postgres|ProcedureVersions.WasModifiedSinceLastReview",
    "RecordId": "close-v1.1.0",
    "ExpectedValue": "true",
    "ActualValue": "false",
    "Reason": "wrong/null value",
    "SemanticTypeIri": "urn:effortless:pko-extension#CellDisagreement",
    "Name": "effortless-postgres|ProcedureVersions.WasModifiedSinceLastReview @ close-v1.1.0",
    "Substrate": "effortless-postgres",
    "RulebookField": "ProcedureVersions.WasModifiedSinceLastReview"
   },
   {
    "CellDisagreementId": "effortless-postgres|ProcedureVersions.WasModifiedSinceLastReview|policy-v1.0.0",
    "FieldDisagreement": "effortless-postgres|ProcedureVersions.WasModifiedSinceLastReview",
    "RecordId": "policy-v1.0.0",
    "ExpectedValue": "true",
    "ActualValue": "false",
    "Reason": "wrong/null value",
    "SemanticTypeIri": "urn:effortless:pko-extension#CellDisagreement",
    "Name": "effortless-postgres|ProcedureVersions.WasModifiedSinceLastReview @ policy-v1.0.0",
    "Substrate": "effortless-postgres",
    "RulebookField": "ProcedureVersions.WasModifiedSinceLastReview"
   },
   {
    "CellDisagreementId": "effortless-postgres|ProcedureVersions.HasUnwitnessedChange|close-v1.1.0",
    "FieldDisagreement": "effortless-postgres|ProcedureVersions.HasUnwitnessedChange",
    "RecordId": "close-v1.1.0",
    "ExpectedValue": "true",
    "ActualValue": "false",
    "Reason": "wrong/null value",
    "SemanticTypeIri": "urn:effortless:pko-extension#CellDisagreement",
    "Name": "effortless-postgres|ProcedureVersions.HasUnwitnessedChange @ close-v1.1.0",
    "Substrate": "effortless-postgres",
    "RulebookField": "ProcedureVersions.HasUnwitnessedChange"
   },
   {
    "CellDisagreementId": "effortless-postgres|ProcedureVersions.HasUnwitnessedChange|policy-v1.0.0",
    "FieldDisagreement": "effortless-postgres|ProcedureVersions.HasUnwitnessedChange",
    "RecordId": "policy-v1.0.0",
    "ExpectedValue": "true",
    "ActualValue": "false",
    "Reason": "wrong/null value",
    "SemanticTypeIri": "urn:effortless:pko-extension#CellDisagreement",
    "Name": "effortless-postgres|ProcedureVersions.HasUnwitnessedChange @ policy-v1.0.0",
    "Substrate": "effortless-postgres",
    "RulebookField": "ProcedureVersions.HasUnwitnessedChange"
   },
   {
    "CellDisagreementId": "effortless-postgres|Requirements.IsUntestedWitness|req-close-balance",
    "FieldDisagreement": "effortless-postgres|Requirements.IsUntestedWitness",
    "RecordId": "req-close-balance",
    "ExpectedValue": "true",
    "ActualValue": "null",
    "Reason": "wrong/null value",
    "SemanticTypeIri": "urn:effortless:pko-extension#CellDisagreement",
    "Name": "effortless-postgres|Requirements.IsUntestedWitness @ req-close-balance",
    "Substrate": "effortless-postgres",
    "RulebookField": "Requirements.IsUntestedWitness"
   },
   {
    "CellDisagreementId": "effortless-postgres|Requirements.IsUntestedWitness|req-close-cutoff",
    "FieldDisagreement": "effortless-postgres|Requirements.IsUntestedWitness",
    "RecordId": "req-close-cutoff",
    "ExpectedValue": "true",
    "ActualValue": "null",
    "Reason": "wrong/null value",
    "SemanticTypeIri": "urn:effortless:pko-extension#CellDisagreement",
    "Name": "effortless-postgres|Requirements.IsUntestedWitness @ req-close-cutoff",
    "Substrate": "effortless-postgres",
    "RulebookField": "Requirements.IsUntestedWitness"
   },
   {
    "CellDisagreementId": "effortless-postgres|Requirements.IsUntestedWitness|req-close-separation",
    "FieldDisagreement": "effortless-postgres|Requirements.IsUntestedWitness",
    "RecordId": "req-close-separation",
    "ExpectedValue": "true",
    "ActualValue": "null",
    "Reason": "wrong/null value",
    "SemanticTypeIri": "urn:effortless:pko-extension#CellDisagreement",
    "Name": "effortless-postgres|Requirements.IsUntestedWitness @ req-close-separation",
    "Substrate": "effortless-postgres",
    "RulebookField": "Requirements.IsUntestedWitness"
   },
   {
    "CellDisagreementId": "effortless-postgres|ElicitationSessions.Name|elicit-close-shadow",
    "FieldDisagreement": "effortless-postgres|ElicitationSessions.Name",
    "RecordId": "elicit-close-shadow",
    "ExpectedValue": "\"Shadowing / 2026-04-03T09:00:00-05:00\"",
    "ActualValue": "\"Shadowing / 2026-04-03 09:00:00-05\"",
    "Reason": "wrong/null value",
    "SemanticTypeIri": "urn:effortless:pko-extension#CellDisagreement",
    "Name": "effortless-postgres|ElicitationSessions.Name @ elicit-close-shadow",
    "Substrate": "effortless-postgres",
    "RulebookField": "ElicitationSessions.Name"
   },
   {
    "CellDisagreementId": "effortless-postgres|ElicitationSessions.Name|elicit-policy-interview",
    "FieldDisagreement": "effortless-postgres|ElicitationSessions.Name",
    "RecordId": "elicit-policy-interview",
    "ExpectedValue": "\"PractitionerInterview / 2026-05-12T13:00:00-05:00\"",
    "ActualValue": "\"PractitionerInterview / 2026-05-12 13:00:00-05\"",
    "Reason": "wrong/null value",
    "SemanticTypeIri": "urn:effortless:pko-extension#CellDisagreement",
    "Name": "effortless-postgres|ElicitationSessions.Name @ elicit-policy-interview",
    "Substrate": "effortless-postgres",
    "RulebookField": "ElicitationSessions.Name"
   },
   {
    "CellDisagreementId": "effortless-postgres|ElicitationSessions.Name|elicit-policy-workshop",
    "FieldDisagreement": "effortless-postgres|ElicitationSessions.Name",
    "RecordId": "elicit-policy-workshop",
    "ExpectedValue": "\"FacilitatedWorkshop / 2026-05-10T10:00:00-05:00\"",
    "ActualValue": "\"FacilitatedWorkshop / 2026-05-10 10:00:00-05\"",
    "Reason": "wrong/null value",
    "SemanticTypeIri": "urn:effortless:pko-extension#CellDisagreement",
    "Name": "effortless-postgres|ElicitationSessions.Name @ elicit-policy-workshop",
    "Substrate": "effortless-postgres",
    "RulebookField": "ElicitationSessions.Name"
   },
   {
    "CellDisagreementId": "effortless-postgres|ElicitationSessions.DaysSinceElicited|elicit-policy-interview",
    "FieldDisagreement": "effortless-postgres|ElicitationSessions.DaysSinceElicited",
    "RecordId": "elicit-policy-interview",
    "ExpectedValue": "67",
    "ActualValue": "68",
    "Reason": "wrong/null value",
    "SemanticTypeIri": "urn:effortless:pko-extension#CellDisagreement",
    "Name": "effortless-postgres|ElicitationSessions.DaysSinceElicited @ elicit-policy-interview",
    "Substrate": "effortless-postgres",
    "RulebookField": "ElicitationSessions.DaysSinceElicited"
   },
   {
    "CellDisagreementId": "effortless-postgres|ElicitationSessions.DaysSinceElicited|elicit-policy-workshop",
    "FieldDisagreement": "effortless-postgres|ElicitationSessions.DaysSinceElicited",
    "RecordId": "elicit-policy-workshop",
    "ExpectedValue": "69",
    "ActualValue": "70",
    "Reason": "wrong/null value",
    "SemanticTypeIri": "urn:effortless:pko-extension#CellDisagreement",
    "Name": "effortless-postgres|ElicitationSessions.DaysSinceElicited @ elicit-policy-workshop",
    "Substrate": "effortless-postgres",
    "RulebookField": "ElicitationSessions.DaysSinceElicited"
   },
   {
    "CellDisagreementId": "effortless-postgres|KnowledgeFragments.DaysSinceActualReview|kf-close-fx-time",
    "FieldDisagreement": "effortless-postgres|KnowledgeFragments.DaysSinceActualReview",
    "RecordId": "kf-close-fx-time",
    "ExpectedValue": "16",
    "ActualValue": "17",
    "Reason": "wrong/null value",
    "SemanticTypeIri": "urn:effortless:pko-extension#CellDisagreement",
    "Name": "effortless-postgres|KnowledgeFragments.DaysSinceActualReview @ kf-close-fx-time",
    "Substrate": "effortless-postgres",
    "RulebookField": "KnowledgeFragments.DaysSinceActualReview"
   },
   {
    "CellDisagreementId": "effortless-postgres|KnowledgeFragments.DaysSinceActualReview|kf-close-top-ten",
    "FieldDisagreement": "effortless-postgres|KnowledgeFragments.DaysSinceActualReview",
    "RecordId": "kf-close-top-ten",
    "ExpectedValue": "16",
    "ActualValue": "17",
    "Reason": "wrong/null value",
    "SemanticTypeIri": "urn:effortless:pko-extension#CellDisagreement",
    "Name": "effortless-postgres|KnowledgeFragments.DaysSinceActualReview @ kf-close-top-ten",
    "Substrate": "effortless-postgres",
    "RulebookField": "KnowledgeFragments.DaysSinceActualReview"
   },
   {
    "CellDisagreementId": "effortless-postgres|KnowledgeFragments.DaysSinceActualReview|kf-policy-channel",
    "FieldDisagreement": "effortless-postgres|KnowledgeFragments.DaysSinceActualReview",
    "RecordId": "kf-policy-channel",
    "ExpectedValue": "0",
    "ActualValue": "1",
    "Reason": "wrong/null value",
    "SemanticTypeIri": "urn:effortless:pko-extension#CellDisagreement",
    "Name": "effortless-postgres|KnowledgeFragments.DaysSinceActualReview @ kf-policy-channel",
    "Substrate": "effortless-postgres",
    "RulebookField": "KnowledgeFragments.DaysSinceActualReview"
   },
   {
    "CellDisagreementId": "effortless-postgres|KnowledgeFragments.EvidenceAgeDays|kf-policy-ai-boundary",
    "FieldDisagreement": "effortless-postgres|KnowledgeFragments.EvidenceAgeDays",
    </t>
  </si>
  <si>
    <t xml:space="preserve">"RecordId": "kf-policy-ai-boundary",
    "ExpectedValue": "67",
    "ActualValue": "68",
    "Reason": "wrong/null value",
    "SemanticTypeIri": "urn:effortless:pko-extension#CellDisagreement",
    "Name": "effortless-postgres|KnowledgeFragments.EvidenceAgeDays @ kf-policy-ai-boundary",
    "Substrate": "effortless-postgres",
    "RulebookField": "KnowledgeFragments.EvidenceAgeDays"
   },
   {
    "CellDisagreementId": "effortless-postgres|KnowledgeFragments.EvidenceAgeDays|kf-policy-channel",
    "FieldDisagreement": "effortless-postgres|KnowledgeFragments.EvidenceAgeDays",
    "RecordId": "kf-policy-channel",
    "ExpectedValue": "69",
    "ActualValue": "70",
    "Reason": "wrong/null value",
    "SemanticTypeIri": "urn:effortless:pko-extension#CellDisagreement",
    "Name": "effortless-postgres|KnowledgeFragments.EvidenceAgeDays @ kf-policy-channel",
    "Substrate": "effortless-postgres",
    "RulebookField": "KnowledgeFragments.EvidenceAgeDays"
   },
   {
    "CellDisagreementId": "effortless-postgres|KnowledgeFragments.EvidenceAgeDays|kf-policy-manager-route",
    "FieldDisagreement": "effortless-postgres|KnowledgeFragments.EvidenceAgeDays",
    "RecordId": "kf-policy-manager-route",
    "ExpectedValue": "69",
    "ActualValue": "70",
    "Reason": "wrong/null value",
    "SemanticTypeIri": "urn:effortless:pko-extension#CellDisagreement",
    "Name": "effortless-postgres|KnowledgeFragments.EvidenceAgeDays @ kf-policy-manager-route",
    "Substrate": "effortless-postgres",
    "RulebookField": "KnowledgeFragments.EvidenceAgeDays"
   },
   {
    "CellDisagreementId": "effortless-postgres|KnowledgeFragments.AgeDays|kf-policy-ai-boundary",
    "FieldDisagreement": "effortless-postgres|KnowledgeFragments.AgeDays",
    "RecordId": "kf-policy-ai-boundary",
    "ExpectedValue": "67",
    "ActualValue": "68",
    "Reason": "wrong/null value",
    "SemanticTypeIri": "urn:effortless:pko-extension#CellDisagreement",
    "Name": "effortless-postgres|KnowledgeFragments.AgeDays @ kf-policy-ai-boundary",
    "Substrate": "effortless-postgres",
    "RulebookField": "KnowledgeFragments.AgeDays"
   },
   {
    "CellDisagreementId": "effortless-postgres|KnowledgeFragments.AgeDays|kf-policy-channel",
    "FieldDisagreement": "effortless-postgres|KnowledgeFragments.AgeDays",
    "RecordId": "kf-policy-channel",
    "ExpectedValue": "69",
    "ActualValue": "70",
    "Reason": "wrong/null value",
    "SemanticTypeIri": "urn:effortless:pko-extension#CellDisagreement",
    "Name": "effortless-postgres|KnowledgeFragments.AgeDays @ kf-policy-channel",
    "Substrate": "effortless-postgres",
    "RulebookField": "KnowledgeFragments.AgeDays"
   },
   {
    "CellDisagreementId": "effortless-postgres|KnowledgeFragments.AgeDays|kf-policy-manager-route",
    "FieldDisagreement": "effortless-postgres|KnowledgeFragments.AgeDays",
    "RecordId": "kf-policy-manager-route",
    "ExpectedValue": "69",
    "ActualValue": "70",
    "Reason": "wrong/null value",
    "SemanticTypeIri": "urn:effortless:pko-extension#CellDisagreement",
    "Name": "effortless-postgres|KnowledgeFragments.AgeDays @ kf-policy-manager-route",
    "Substrate": "effortless-postgres",
    "RulebookField": "KnowledgeFragments.AgeDays"
   },
   {
    "CellDisagreementId": "effortless-postgres|KnowledgeFragments.DaysAwaitingMyApproval|kf-policy-manager-route",
    "FieldDisagreement": "effortless-postgres|KnowledgeFragments.DaysAwaitingMyApproval",
    "RecordId": "kf-policy-manager-route",
    "ExpectedValue": "69",
    "ActualValue": "70",
    "Reason": "wrong/null value",
    "SemanticTypeIri": "urn:effortless:pko-extension#CellDisagreement",
    "Name": "effortless-postgres|KnowledgeFragments.DaysAwaitingMyApproval @ kf-policy-manager-route",
    "Substrate": "effortless-postgres",
    "RulebookField": "KnowledgeFragments.DaysAwaitingMyApproval"
   },
   {
    "CellDisagreementId": "effortless-postgres|KnowledgeGaps.DaysOpen|gap-policy-delivery-receipts",
    "FieldDisagreement": "effortless-postgres|KnowledgeGaps.DaysOpen",
    "RecordId": "gap-policy-delivery-receipts",
    "ExpectedValue": "0",
    "ActualValue": "1",
    "Reason": "wrong/null value",
    "SemanticTypeIri": "urn:effortless:pko-extension#CellDisagreement",
    "Name": "effortless-postgres|KnowledgeGaps.DaysOpen @ gap-policy-delivery-receipts",
    "Substrate": "effortless-postgres",
    "RulebookField": "KnowledgeGaps.DaysOpen"
   },
   {
    "CellDisagreementId": "effortless-postgres|ProcedureExecutions.ComputedAssuranceRatio|exec-policy-hr4821",
    "FieldDisagreement": "effortless-postgres|ProcedureExecutions.ComputedAssuranceRatio",
    "RecordId": "exec-policy-hr4821",
    "ExpectedValue": "0.0",
    "ActualValue": "\"0E-20\"",
    "Reason": "wrong/null value",
    "SemanticTypeIri": "urn:effortless:pko-extension#CellDisagreement",
    "Name": "effortless-postgres|ProcedureExecutions.ComputedAssuranceRatio @ exec-policy-hr4821",
    "Substrate": "effortless-postgres",
    "RulebookField": "ProcedureExecutions.ComputedAssuranceRatio"
   },
   {
    "CellDisagreementId": "effortless-postgres|IssueOccurrences.Name|issue-close-feed",
    "FieldDisagreement": "effortless-postgres|IssueOccurrences.Name",
    "RecordId": "issue-close-feed",
    "ExpectedValue": "\"err-feed-stale @ 2026-06-30T17:12:00-05:00\"",
    "ActualValue": "\"err-feed-stale @ 2026-06-30 17:12:00-05\"",
    "Reason": "wrong/null value",
    "SemanticTypeIri": "urn:effortless:pko-extension#CellDisagreement",
    "Name": "effortless-postgres|IssueOccurrences.Name @ issue-close-feed",
    "Substrate": "effortless-postgres",
    "RulebookField": "IssueOccurrences.Name"
   },
   {
    "CellDisagreementId": "effortless-postgres|IssueOccurrences.Name|issue-policy-sms",
    "FieldDisagreement": "effortless-postgres|IssueOccurrences.Name",
    "RecordId": "issue-policy-sms",
    "ExpectedValue": "\"err-sms-throttle @ 2026-07-19T09:30:00-05:00\"",
    "ActualValue": "\"err-sms-throttle @ 2026-07-19 09:30:00-05\"",
    "Reason": "wrong/null value",
    "SemanticTypeIri": "urn:effortless:pko-extension#CellDisagreement",
    "Name": "effortless-postgres|IssueOccurrences.Name @ issue-policy-sms",
    "Substrate": "effortless-postgres",
    "RulebookField": "IssueOccurrences.Name"
   },
   {
    "CellDisagreementId": "effortless-postgres|ChangeRequests.DaysPending|cr-close-timestamp",
    "FieldDisagreement": "effortless-postgres|ChangeRequests.DaysPending",
    "RecordId": "cr-close-timestamp",
    "ExpectedValue": "0",
    "ActualValue": "1",
    "Reason": "wrong/null value",
    "SemanticTypeIri": "urn:effortless:pko-extension#CellDisagreement",
    "Name": "effortless-postgres|ChangeRequests.DaysPending @ cr-close-timestamp",
    "Substrate": "effortless-postgres",
    "RulebookField": "ChangeRequests.DaysPending"
   },
   {
    "CellDisagreementId": "effortless-postgres|ChangeRequests.DecisionLatencyDays|cr-close-timestamp",
    "FieldDisagreement": "effortless-postgres|ChangeRequests.DecisionLatencyDays",
    "RecordId": "cr-close-timestamp",
    "ExpectedValue": "0",
    "ActualValue": "1",
    "Reason": "wrong/null value",
    "SemanticTypeIri": "urn:effortless:pko-extension#CellDisagreement",
    "Name": "effortless-postgres|ChangeRequests.DecisionLatencyDays @ cr-close-timestamp",
    "Substrate": "effortless-postgres",
    "RulebookField": "ChangeRequests.DecisionLatencyDays"
   },
   {
    "CellDisagreementId": "effortless-postgres|ReviewEvents.DaysSinceReviewed|review-close-q1",
    "FieldDisagreement": "effortless-postgres|ReviewEvents.DaysSinceReviewed",
    "RecordId": "review-close-q1",
    "ExpectedValue": "120",
    "ActualValue": "121",
    "Reason": "wrong/null value",
    "SemanticTypeIri": "urn:effortless:pko-extension#CellDisagreement",
    "Name": "effortless-postgres|ReviewEvents.DaysSinceReviewed @ review-close-q1",
    "Substrate": "effortless-postgres",
    "RulebookField": "ReviewEvents.DaysSinceReviewed"
   },
   {
    "CellDisagreementId": "effortless-postgres|ReviewEvents.DaysSinceReviewed|review-close-q2",
    "FieldDisagreement": "effortless-postgres|ReviewEvents.DaysSinceReviewed",
    "RecordId": "review-close-q2",
    "ExpectedValue": "16",
    "ActualValue": "17",
    "Reason": "wrong/null value",
    "SemanticTypeIri": "urn:effortless:pko-extension#CellDisagreement",
    "Name": "effortless-postgres|ReviewEvents.DaysSinceReviewed @ review-close-q2",
    "Substrate": "effortless-postgres",
    "RulebookField": "ReviewEvents.DaysSinceReviewed"
   },
   {
    "CellDisagreementId": "effortless-postgres|ReviewEvents.DaysSinceReviewed|review-policy-prelaunch",
    "FieldDisagreement": "effortless-postgres|ReviewEvents.DaysSinceReviewed",
    "RecordId": "review-policy-prelaunch",
    "ExpectedValue": "0",
    "ActualValue": "1",
    "Reason": "wrong/null value",
    "SemanticTypeIri": "urn:effortless:pko-extension#CellDisagreement",
    "Name": "effortless-postgres|ReviewEvents.DaysSinceReviewed @ review-policy-prelaunch",
    "Substrate": "effortless-postgres",
    "RulebookField": "ReviewEvents.DaysSinceReviewed"
   },
   {
    "CellDisagreementId": "effortless-postgres|ReviewEvents.CadenceDriftDays|review-close-q1",
    "FieldDisagreement": "effortless-postgres|ReviewEvents.CadenceDriftDays",
    "RecordId": "review-close-q1",
    "ExpectedValue": "30.0",
    "ActualValue": "31",
    "Reason": "wrong/null value",
    "SemanticTypeIri": "urn:effortless:pko-extension#CellDisagreement",
    "Name": "effortless-postgres|ReviewEvents.CadenceDriftDays @ review-close-q1",
    "Substrate": "effortless-postgres",
    "RulebookField": "ReviewEvents.CadenceDriftDays"
   },
   {
    "CellDisagreementId": "effortless-postgres|ReviewEvents.CadenceDriftDays|review-close-q2",
    "FieldDisagreement": "effortless-postgres|ReviewEvents.CadenceDriftDays",
    "RecordId": "review-close-q2",
    "ExpectedValue": "-74.0",
    "ActualValue": "-73",
    "Reason": "wrong/null value",
    "SemanticTypeIri": "urn:effortless:pko-extension#CellDisagreement",
    "Name": "effortless-postgres|ReviewEvents.CadenceDriftDays @ review-close-q2",
    "Substrate": "effortless-postgres",
    "RulebookField": "ReviewEvents.CadenceDriftDays"
   },
   {
    "CellDisagreementId": "effortless-postgres|ReviewEvents.CadenceDriftDays|review-policy-prelaunch",
    "FieldDisagreement": "effortless-postgres|ReviewEvents.CadenceDriftDays",
    "RecordId": "review-policy-prelaunch",
    "ExpectedValue": "-60.0",
    "ActualValue": "-59",
    "Reason": "wrong/null value",
    "SemanticTypeIri": "urn:effortless:pko-extension#CellDisagreement",
    "Name": "effortless-postgres|ReviewEvents.CadenceDriftDays @ review-policy-prelaunch",
    "Substrate": "effortless-postgres",
    "RulebookField": "ReviewEvents.CadenceDriftDays"
   },
   {
    "CellDisagreementId": "effortless-postgres|LearningActivities.Name|learn-close-retro",
    "FieldDisagreement": "effortless-postgres|LearningActivities.Name",
    "RecordId": "learn-close-retro",
    "ExpectedValue": "\"Retrospective / 2026-07-02T15:30:00-05:00\"",
    "ActualValue": "\"Retrospective / 2026-07-02 15:30:00-05\"",
    "Reason": "wrong/null value",
    "SemanticTypeIri": "urn:effortless:pko-extension#CellDisagreement",
    "Name": "effortless-postgres|LearningActivities.Name @ learn-close-retro",
    "Substrate": "effortless-postgres",
    "RulebookField": "LearningActivities.Name"
   },
   {
    "CellDisagreementId": "effortless-postgres|LearningActivities.Name|learn-policy-tabletop",
    "FieldDisagreement": "effortless-postgres|LearningActivities.Name",
    "RecordId": "learn-policy-tabletop",
    "ExpectedValue": "\"TabletopExercise / 2026-07-15T13:00:00-05:00\"",
    "ActualValue": "\"TabletopExercise / 2026-07-15 13:00:00-05\"",
    "Reason": "wrong/null value",
    "SemanticTypeIri": "urn:effortless:pko-extension#CellDisagreement",
    "Name": "effortless-postgres|LearningActivities.Name @ learn-policy-tabletop",
    "Substrate": "effortless-postgres",
    "RulebookField": "LearningActivities.Name"
   },
   {
    "CellDisagreementId": "effortless-postgres|ObservedTransitions.Name|obs-close-01-02-q2",
    "FieldDisagreement": "effortless-postgres|ObservedTransitions.Name",
    "RecordId": "obs-close-01-02-q2",
    "ExpectedValue": "\"close-01-to-close-02 @ 2026-06-30T17:04:00-05:00\"",
    "ActualValue": "\"close-01-to-close-02 @ 2026-06-30 17:04:00-05\"",
    "Reason": "wrong/null value",
    "SemanticTypeIri": "urn:effortless:pko-extension#CellDisagreement",
    "Name": "effortless-postgres|ObservedTransitions.Name @ obs-close-01-02-q2",
    "Substrate": "effortless-postgres",
    "RulebookField": "ObservedTransitions.Name"
   },
   {
    "CellDisagreementId": "effortless-postgres|ObservedTransitions.Name|obs-close-02-03-q2",
    "FieldDisagreement": "effortless-postgres|ObservedTransitions.Name",
    "RecordId": "obs-close-02-03-q2",
    "ExpectedValue": "\"close-02-to-close-03 @ 2026-06-30T17:18:00-05:00\"",
    "ActualValue": "\"close-02-to-close-03 @ 2026-06-30 17:18:00-05\"",
    "Reason": "wrong/null value",
    "SemanticTypeIri": "urn:effortless:pko-extension#CellDisagreement",
    "Name": "effortless-postgres|ObservedTransitions.Name @ obs-close-02-03-q2",
    "Substrate": "effortless-postgres",
    "RulebookField": "ObservedTransitions.Name"
   },
   {
    "CellDisagreementId": "effortless-postgres|ObservedTransitions.Name|obs-close-03-04-q2",
    "FieldDisagreement": "effortless-postgres|ObservedTransitions.Name",
    "RecordId": "obs-close-03-04-q2",
    "ExpectedValue": "\"close-03-to-close-04 @ 2026-07-01T12:15:00-05:00\"",
    "ActualValue": "\"close-03-to-close-04 @ 2026-07-01 12:15:00-05\"",
    "Reason": "wrong/null value",
    "SemanticTypeIri": "urn:effortless:pko-extension#CellDisagreement",
    "Name": "effortless-postgres|ObservedTransitions.Name @ obs-close-03-04-q2",
    "Substrate": "effortless-postgres",
    "RulebookField": "ObservedTransitions.Name"
   },
   {
    "CellDisagreementId": "effortless-postgres|ObservedTransitions.Name|obs-close-04-05-q2",
    "FieldDisagreement": "effortless-postgres|ObservedTransitions.Name",
    "RecordId": "obs-close-04-05-q2",
    "ExpectedValue": "\"close-04-to-close-05 @ 2026-07-01T15:05:00-05:00\"",
    "ActualValue": "\"close-04-to-close-05 @ 2026-07-01 15:05:00-05\"",
    "Reason": "wrong/null value",
    "SemanticTypeIri": "urn:effortless:pko-extension#CellDisagreement",
    "Name": "effortless-postgres|ObservedTransitions.Name @ obs-close-04-05-q2",
    "Substrate": "effortless-postgres",
    "RulebookField": "ObservedTransitions.Name"
   },
   {
    "CellDisagreementId": "effortless-postgres|ObservedTransitions.Name|obs-close-05-06-q2",
    "FieldDisagreement": "effortless-postgres|ObservedTransitions.Name",
    "RecordId": "obs-close-05-06-q2",
    "ExpectedValue": "\"close-05-to-close-06 @ 2026-07-02T09:00:00-05:00\"",
    "ActualValue": "\"close-05-to-close-06 @ 2026-07-02 09:00:00-05\"",
    "Reason": "wrong/null value",
    "SemanticTypeIri": "urn:effortless:pko-extension#CellDisagreement",
    "Name": "effortless-postgres|ObservedTransitions.Name @ obs-close-05-06-q2",
    "Substrate": "effortless-postgres",
    "RulebookField": "ObservedTransitions.Name"
   },
   {
    "CellDisagreementId": "effortless-postgres|ObservedTransitions.Name|obs-close-06-07-q2",
    "FieldDisagreement": "effortless-postgres|ObservedTransitions.Name",
    "RecordId": "obs-close-06-07-q2",
    "ExpectedValue": "\"close-06-to-close-07 @ 2026-07-02T09:22:00-05:00\"",
    "ActualValue": "\"close-06-to-close-07 @ 2026-07-02 09:22:00-05\"",
    "Reason": "wrong/null value",
    "SemanticTypeIri": "urn:effortless:pko-extension#CellDisagreement",
    "Name": "effortless-postgres|ObservedTransitions.Name @ obs-close-06-07-q2",
    "Substrate": "effortless-postgres",
    "RulebookField": "ObservedTransitions.Name"
   },
   {
    "CellDisagreementId": "effortless-postgres|ObservedTransitions.Name|obs-close-07-08-q2",
    "FieldDisagreement": "effortless-postgres|ObservedTransitions.Name",
    "RecordId": "obs-close-07-08-q2",
    "ExpectedValue": "\"close-07-to-close-08 @ 2026-07-02T14:00:00-05:00\"",
    "ActualValue": "\"close-07-to-close-08 @ 2026-07-02 14:00:00-05\"",
    "Reason": "wrong/null value",
    "SemanticTypeIri": "urn:effortless:pko-extension#CellDisagreement",
    "Name": "effortless-postgres|ObservedTransitions.Name @ obs-close-07-08-q2",
    "Substrate": "effortless-postgres",
    "RulebookField": "ObservedTransitions.Name"
   },
   {
    "CellDisagreementId": "effortless-postgres|ObservedTransitions.Name|obs-policy-01-02-hr4821",
    "FieldDisagreement": "effortless-postgres|ObservedTransitions.Name",
    "RecordId": "obs-policy-01-02-hr4821",
    "ExpectedValue": "\"policy-01-to-policy-02 @ 2026-07-18T09:30:00-05:00\"",
    "ActualValue": "\"policy-01-to-policy-02 @ 2026-07-18 09:30:00-05\"",
    "Reason": "wrong/null value",
    "SemanticTypeIri": "urn:effortless:pko-extension#CellDisagreement",
    "Name": "effortless-postgres|ObservedTransitions.Name @ obs-policy-01-02-hr4821",
    "Substrate": "effortless-postgres",
    "RulebookField": "ObservedTransitions.Name"
   },
   {
    "CellDisagreementId": "effortless-postgres|ObservedTransitions.Name|obs-policy-02-03-hr4821",
    "FieldDisagreement": "effortless-postgres|ObservedTransitions.Name",
    "RecordId": "obs-policy-02-03-hr4821",
    "ExpectedValue": "\"policy-02-to-policy-03 @ 2026-07-18T13:00:00-05:00\"",
    "ActualValue": "\"policy-02-to-policy-03 @ 2026-07-18 13:00:00-05\"",
    "Reason": "wrong/null value",
    "SemanticTypeIri": "urn:effortless:pko-extension#CellDisagreement",
    "Name": "effortless-postgres|ObservedTransitions.Name @ obs-policy-02-03-hr4821",
    "Substrate": "effortless-postgres",
    "RulebookField": "ObservedTransitions.Name"
   },
   {
    "CellDisagreementId": "effortless-postgres|ObservedTransitions.Name|obs-policy-03-04-hr4821",
    "FieldDisagreement": "effortless-postgres|ObservedTransitions.Name",
    "RecordId": "obs-policy-03-04-hr4821",
    "ExpectedValue": "\"policy-03-to-policy-04 @ 2026-07-19T09:00:00-05:00\"",
    "ActualValue": "\"policy-03-to-policy-04 @ 2026-07-19 09:00:00-05\"",
    "Reason": "wrong/null value",
    "SemanticTypeIri": "urn:effortless:pko-extension#CellDisagreement",
    "Name": "effortless-postgres|ObservedTransitions.Name @ obs-policy-03-04-hr4821",
    "Substrate": "effortless-postgres",
    "RulebookField": "ObservedTransitions.Name"
   },
   {
    "CellDisagreementId": "effortless-postgres|MessageDeliveries.Name|md-001",
    "FieldDisagreement": "effortless-postgres|MessageDeliveries.Name",
    "RecordId": "md-001",
    "ExpectedValue": "\"rec-001 / tmpl-policy-email / 2026-07-18T14:05:00-05:00\"",
    "ActualValue": "\"rec-001 / tmpl-policy-email / 2026-07-18 14:05:00-05\"",
    "Reason": "wrong/null value",
    "SemanticTypeIri": "urn:effortless:pko-extension#CellDisagreement",
    "Name": "effortless-postgres|MessageDeliveries.Name @ md-001",
    "Substrate": "effortless-postgres",
    "RulebookField": "MessageDeliveries.Name"
   },
   {
    "CellDisagreementId": "effortless-postgres|MessageDeliveries.Name|md-002",
    "FieldDisagreement": "effortless-postgres|MessageDeliveries.Name",
    "RecordId": "md-002",
    "ExpectedValue": "\"rec-002 / tmpl-policy-email / 2026-07-18T14:05:00-05:00\"",
    "ActualValue": "\"rec-002 / tmpl-policy-email / 2026-07-18 14:05:00-05\"",
    "Reason": "wrong/null value",
    "SemanticTypeIri": "urn:effortless:pko-extension#CellDisagreement",
    "Name": "effortless-postgres|MessageDeliveries.Name @ md-002",
    "Substrate": "effortless-postgres",
    "RulebookField": "MessageDeliveries.Name"
   },
   {
    "CellDisagreementId": "effortless-postgres|MessageDeliveries.Name|md-003",
    "FieldDisagreement": "effortless-postgres|MessageDeliveries.Name",
    "RecordId": "md-003",
    "ExpectedValue": "\"rec-003 / tmpl-policy-sms / 2026-07-18T14:06:00-05:00\"",
    "ActualValue": "\"rec-003 / tmpl-policy-sms / 2026-07-18 14:06:00-05\"",
    "Reason": "wrong/null value",
    "SemanticTypeIri": "urn:effortless:pko-extension#CellDisagreement",
    "Name": "effortless-postgres|MessageDeliveries.Name @ md-003",
    "Substrate": "effortless-postgres",
    "RulebookField": "MessageDeliveries.Name"
   },
   {
    "CellDisagreementId": "effortless-postgres|MessageDeliveries.Name|md-004",
    "FieldDisagreement": "effortless-postgres|MessageDeliveries.Name",
    "RecordId": "md-004",
    "ExpectedValue": "\"rec-004 / tmpl-policy-sms / 2026-07-18T14:06:00-05:00\"",
    "ActualValue": "\"rec-004 / tmpl-policy-sms / 2026-07-18 14:06:00-05\"",
    "Reason": "wrong/null value",
    "SemanticTypeIri": "urn:effortless:pko-extension#CellDisagreement",
    "Name": "effortless-postgres|MessageDeliveries.Name @ md-004",
    "Substrate": "effortless-postgres",
    "RulebookField": "MessageDeliveries.Name"
   },
   {
    "CellDisagreementId": "effortless-postgres|MessageDeliveries.Name|md-005",
    "FieldDisagreement": "effortless-postgres|MessageDeliveries.Name",
    "RecordId": "md-005",
    "ExpectedValue": "\"rec-001 / tmpl-policy-sms / 2026-07-18T21:00:00-05:00\"",
    "ActualValue": "\"rec-001 / tmpl-policy-sms / 2026-07-18 21:00:00-05\"",
    "Reason": "wrong/null value",
    "SemanticTypeIri": "urn:effortless:pko-extension#CellDisagreement",
    "Name": "effortless-postgres|MessageDeliveries.Name @ md-005",
    "Substrate": "effortless-postgres",
    "RulebookField": "MessageDeliveries.Name"
   },
   {
    "CellDisagreementId": "effortless-postgres|MessageDeliveries.Name|md-006",
    "FieldDisagreement": "effortless-postgres|MessageDeliveries.Name",
    "RecordId": "md-006",
    "ExpectedValue": "\"rec-005 / tmpl-policy-sms / 2026-07-18T14:06:00-05:00\"",
    "ActualValue": "\"rec-005 / tmpl-policy-sms / 2026-07-18 14:06:00-05\"",
    "Reason": "wrong/null value",
    "SemanticTypeIri": "urn:effortless:pko-extension#CellDisagreement",
    "Name": "effortless-postgres|MessageDeliveries.Name @ md-006",
    "Substrate": "effortless-postgres",
    "RulebookField": "MessageDeliveries.Name"
   },
   {
    "CellDisagreementId": "effortless-postgres|MessageDeliveries.AgeDays|md-001",
    "FieldDisagreement": "effortless-postgres|MessageDeliveries.AgeDays",
    "RecordId": "md-001",
    "ExpectedValue": "0",
    "ActualValue": "1",
    "Reason": "wrong/null value",
    "SemanticTypeIri": "urn:effortless:pko-extension#CellDisagreement",
    "Name": "effortless-postgres|MessageDeliveries.AgeDays @ md-001",
    "Substrate": "effortless-postgres",
    "RulebookField": "MessageDeliveries.AgeDays"
   },
   {
    "CellDisagreementId": "effortless-postgres|MessageDeliveries.AgeDays|md-002",
    "FieldDisagreement": "effortless-postgres|MessageDeliveries.AgeDays",
    "RecordId": "md-002",
    "ExpectedValue": "0",
    "ActualValue": "1",
    "Reason": "wrong/null value",
    "SemanticTypeIri": "urn:effortless:pko-extension#CellDisagreement",
    "Name": "effortless-postgres|MessageDeliveries.AgeDays @ md-002",
    "Substrate": "effortless-postgres",
    "RulebookField": "MessageDeliveries.AgeDays"
   },
   {
    "CellDisagreementId": "effortless-postgres|MessageDeliveries.AgeDays|md-003",
    "FieldDisagreement": "effortless-postgres|MessageDeliveries.AgeDays",
    "RecordId": "md-003",
    "ExpectedValue": "0",
    "ActualValue": "1",
    "Reason": "wrong/null value",
    "SemanticTypeIri": "urn:effortless:pko-extension#CellDisagreement",
    "Name": "effortless-postgres|MessageDeliveries.AgeDays @ md-003",
    "Substrate": "effortless-postgres",
    "RulebookField": "MessageDeliveries.AgeDays"
   },
   {
    "CellDisagreementId": "effortless-postgres|MessageDeliveries.AgeDays|md-004",
    "FieldDisagreement": "effortless-postgres|MessageDeliveries.AgeDays",
    "RecordId": "md-004",
    "ExpectedValue": "0",
    "ActualValue": "1",
    "Reason": "wrong/null value",
    "SemanticTypeIri": "urn:effortless:pko-extension#CellDisagreement",
    "Name": "effortless-postgres|MessageDeliveries.AgeDays @ md-004",
    "Substrate": "effortless-postgres",
    "RulebookField": "MessageDeliveries.AgeDays"
   },
   {
    "CellDisagreementId": "effortless-postgres|MessageDeliveries.AgeDays|md-005",
    "FieldDisagreement": "effortless-postgres|MessageDeliveries.AgeDays",
    "RecordId": "md-005",
    "ExpectedValue": "0",
    "ActualValue": "1",
    "Reason": "wrong/null value",
    "SemanticTypeIri": "urn:effortless:pko-extension#CellDisagreement",
    "Name": "effortless-postgres|MessageDeliveries.AgeDays @ md-005",
    "Substrate": "effortless-postgres",
    "RulebookField": "MessageDeliveries.AgeDays"
   },
   {
    "CellDisagreementId": "effortless-postgres|MessageDeliveries.AgeDays|md-006",
    "FieldDisagreement": "effortless-postgres|MessageDeliveries.AgeDays",
    "RecordId": "md-006",
    "ExpectedValue": "0",
    "ActualValue": "1",
    "Reason": "wrong/null value",
    "SemanticTypeIri": "urn:effortless:pko-extension#CellDisagreement",
    "Name": "effortless-postgres|MessageDeliveries.AgeDays @ md-006",
    "Substrate": "effortless-postgres",
    "RulebookField": "MessageDeliveries.AgeDays"
   },
   {
    "CellDisagreementId": "effortless-postgres|MessageDeliveries.SegmentCount|md-001",
    "FieldDisagreement": "effortless-postgres|MessageDeliveries.SegmentCount",
    "RecordId": "md-001",
    "ExpectedValue": "null",
    "ActualValue": "1",
    "Reason": "wrong/null value",
    "SemanticTypeIri": "urn:effortless:pko-extension#CellDisagreement",
    "Name": "effortless-postgres|MessageDeliveries.SegmentCount @ md-001",
    "Substrate": "effortless-postgres",
    "RulebookField": "MessageDeliveries.SegmentCount"
   },
   {
    "CellDisagreementId": "effortless-postgres|MessageDeliveries.SegmentCount|md-002",
    "FieldDisagreement": "effortless-postgres|MessageDeliveries.SegmentCount",
    "RecordId": "md-002",
    "ExpectedValue": "null",
    "ActualValue": "1",
    "Reason": "wrong/null value",
    "SemanticTypeIri": "urn:effortless:pko-extension#CellDisagreement",
    "Name": "effortless-postgres|MessageDeliveries.SegmentCount @ md-002",
    "Substrate": "effortless-postgres",
    "RulebookField": "MessageDeliveries.SegmentCount"
   },
   {
    "CellDisagreementId": "effortless-postgres|MessageDeliveries.SegmentCount|md-003",
    "FieldDisagreement": "effortless-postgres|MessageDeliveries.SegmentCount",
    "RecordId": "md-003",
    "ExpectedValue": "null",
    "ActualValue": "1",
    "Reason": "wrong/null value",
    "SemanticTypeIri": "urn:effortless:pko-extension#CellDisagreement",
    "Name": "effortless-postgres|MessageDeliveries.SegmentCount @ md-003",
    "Substrate": "effortless-postgres",
    "RulebookField": "MessageDeliveries.SegmentCount"
   },
   {
    "CellDisagreementId": "effortless-postgres|MessageDeliveries.SegmentCount|md-004",
    "FieldDisagreement": "effortless-postgres|MessageDeliveries.SegmentCount",
    "RecordId": "md-004",
    "ExpectedValue": "null",
    "ActualValue": "1",
    "Reason": "wrong/null value",
    "SemanticTypeIri": "urn:effortless:pko-extension#CellDisagreement",
    "Name": "effortless-postgres|MessageDeliveries.SegmentCount @ md-004",
    "Substrate": "effortless-postgres",
    "RulebookField": "MessageDeliveries.SegmentCount"
   },
   {
    "CellDisagreementId": "effortless-postgres|MessageDeliveries.SegmentCount|md-005",
    "FieldDisagreement": "effortless-postgres|MessageDeliveries.SegmentCount",
    "RecordId": "md-005",
    "ExpectedValue": "null",
    "ActualValue": "1",
    "Reason": "wrong/null value",
    "SemanticTypeIri": "urn:effortless:pko-extension#CellDisagreement",
    "Name": "effortless-postgres|MessageDeliveries.SegmentCount @ md-005",
    "Substrate": "effortless-postgres",
    "RulebookField": "MessageDeliveries.SegmentCount"
   },
   {
    "CellDisagreementId": "effortless-postgres|MessageDeliveries.SegmentCount|md-006",
    "FieldDisagreement": "effortless-postgres|MessageDeliveries.SegmentCount",
    "RecordId": "md-006",
    "ExpectedValue": "null",
    "ActualValue": "1",
    "Reason": "wrong/null value",
    "SemanticTypeIri": "urn:effortless:pko-extension#CellDisagreement",
    "Name": "effortless-postgres|MessageDeliveries.SegmentCount @ md-006",
    "Substrate": "effortless-postgres",
    "RulebookField": "MessageDeliveries.SegmentCount"
   },
   {
    "CellDisagreementId": "effortless-postgres|MessageDeliveries.OutstandingAgeDays|md-002",
    "FieldDisagreement": "effortless-postgres|MessageDeliveries.OutstandingAgeDays",
    "RecordId": "md-002",
    "ExpectedValue": "0",
    "ActualValue": "1",
    "Reason": "wrong/null value",
    "SemanticTypeIri": "urn:effortless:pko-extension#CellDisagreement",
    "Name": "effortless-postgres|MessageDeliveries.OutstandingAgeDays @ md-002",
    "Substrate": "effortless-postgres",
    "RulebookField": "MessageDeliveries.OutstandingAgeDays"
   },
   {
    "CellDisagreementId": "effortless-postgres|MessageDeliveries.OutstandingAgeDays|md-003",
    "FieldDisagreement": "effortless-postgres|MessageDeliveries.OutstandingAgeDays",
    "RecordId": "md-003",
    "ExpectedValue": "0",
    "ActualValue": "1",
    "Reason": "wrong/null value",
    "SemanticTypeIri": "urn:effortless:pko-extension#CellDisagreement",
    "Name": "effortless-postgres|MessageDeliveries.OutstandingAgeDays @ md-003",
    "Substrate": "effortless-postgres",
    "RulebookField": "MessageDeliveries.OutstandingAgeDays"
   },
   {
    "CellDisagreementId": "effortless-postgres|MessageDeliveries.OutstandingAgeDays|md-005",
    "FieldDisagreement": "effortless-postgres|MessageDeliveries.OutstandingAgeDays",
    "RecordId": "md-005",
    "ExpectedValue": "0",
    "ActualValue": "1",
    "Reason": "wrong/null value",
    "SemanticTypeIri": "urn:effortless:pko-extension#CellDisagreement",
    "Name": "effortless-postgres|MessageDeliveries.OutstandingAgeDays @ md-005",
    "Substrate": "effortless-postgres",
    "RulebookField": "MessageDeliveries.OutstandingAgeDays"
   },
   {
    "CellDisagreementId": "effortless-postgres|MessageDeliveries.OptOutPhrasePosition|md-003",
    "FieldDisagreement": "effortless-postgres|MessageDeliveries.OptOutPhrasePosition",
    "RecordId": "md-003",
    "ExpectedValue": "true",
    "ActualValue": "86",
    "Reason": "wrong/null value",
    "SemanticTypeIri": "urn:effortless:pko-extension#CellDisagreement",
    "Name": "effortless-postgres|MessageDeliveries.OptOutPhrasePosition @ md-003",
    "Substrate": "effortless-postgres",
    "RulebookField": "MessageDeliveries.OptOutPhrasePosition"
   },
   {
    "CellDisagreementId": "effortless-postgres|MessageDeliveries.OptOutPhrasePosition|md-004",
    "FieldDisagreement": "effortless-postgres|MessageDeliveries.OptOutPhrasePosition",
    "RecordId": "md-004",
    "ExpectedValue": "true",
    "ActualValue": "86",
    "Reason": "wrong/null value",
    "SemanticTypeIri": "urn:effortless:pko-extension#CellDisagreement",
    "Name": "effortless-postgres|MessageDeliveries.OptOutPhrasePosition @ md-004",
    "Substrate": "effortless-postgres",
    "RulebookField": "MessageDeliveries.OptOutPhrasePosition"
   },
   {
    "CellDisagreementId": "effortless-postgres|MessageDeliveries.OptOutPhrasePosition|md-006",
    "FieldDisagreement": "effortless-postgres|MessageDeliveries.OptOutPhrasePosition",
    "RecordId": "md-006",
    "ExpectedValue": "true",
    "ActualValue": "86",
    "Reason": "wrong/null value",
    "SemanticTypeIri": "urn:effortless:pko-extension#CellDisagreement",
    "Name": "effortless-postgres|MessageDeliveries.OptOutPhrasePosition @ md-006",
    "Substrate": "effortless-postgres",
    "RulebookField": "MessageDeliveries.OptOutPhrasePosition"
   },
   {
    "CellDisagreementId": "effortless-postgres|TemplateApprovals.Name|tap-email-001",
    "FieldDisagreement": "effortless-postgres|TemplateApprovals.Name",
    "RecordId": "tap-email-001",
    "ExpectedValue": "\"tmpl-policy-email / Approved / 2026-07-17T11:00:00-05:00\"",
    "ActualValue": "\"tmpl-policy-email / Approved / 2026-07-17 11:00:00-05\"",
    "Reason": "wrong/null value",
    "SemanticTypeIri": "urn:effortless:pko-extension#CellDisagreement",
    "Name": "effortless-postgres|TemplateApprovals.Name @ tap-email-001",
    "Substrate": "effortless-postgres",
    "RulebookField": "TemplateApprovals.Name"
   },
   {
    "CellDisagreementId": "effortless-postgres|TemplateApprovals.Name|tap-sms-001",
    "FieldDisagreement": "effortless-postgres|TemplateApprovals.Name",
    "RecordId": "tap-sms-001",
    "ExpectedValue": "\"tmpl-policy-sms / Approved / 2026-07-19T10:00:00-05:00\"",
    "ActualValue": "\"tmpl-policy-sms / Approved / 2026-07-19 10:00:00-05\"",
    "Reason": "wrong/null value",
    "SemanticTypeIri": "urn:effortless:pk</t>
  </si>
  <si>
    <t xml:space="preserve">o-extension#CellDisagreement",
    "Name": "effortless-postgres|TemplateApprovals.Name @ tap-sms-001",
    "Substrate": "effortless-postgres",
    "RulebookField": "TemplateApprovals.Name"
   },
   {
    "CellDisagreementId": "effortless-postgres|SendIntents.DeferralAgeHours|si-001",
    "FieldDisagreement": "effortless-postgres|SendIntents.DeferralAgeHours",
    "RecordId": "si-001",
    "ExpectedValue": "22",
    "ActualValue": "23",
    "Reason": "wrong/null value",
    "SemanticTypeIri": "urn:effortless:pko-extension#CellDisagreement",
    "Name": "effortless-postgres|SendIntents.DeferralAgeHours @ si-001",
    "Substrate": "effortless-postgres",
    "RulebookField": "SendIntents.DeferralAgeHours"
   },
   {
    "CellDisagreementId": "effortless-postgres|SendIntents.DeferralAgeHours|si-002",
    "FieldDisagreement": "effortless-postgres|SendIntents.DeferralAgeHours",
    "RecordId": "si-002",
    "ExpectedValue": "22",
    "ActualValue": "23",
    "Reason": "wrong/null value",
    "SemanticTypeIri": "urn:effortless:pko-extension#CellDisagreement",
    "Name": "effortless-postgres|SendIntents.DeferralAgeHours @ si-002",
    "Substrate": "effortless-postgres",
    "RulebookField": "SendIntents.DeferralAgeHours"
   },
   {
    "CellDisagreementId": "effortless-postgres|SendIntents.DeferralAgeHours|si-003",
    "FieldDisagreement": "effortless-postgres|SendIntents.DeferralAgeHours",
    "RecordId": "si-003",
    "ExpectedValue": "22",
    "ActualValue": "23",
    "Reason": "wrong/null value",
    "SemanticTypeIri": "urn:effortless:pko-extension#CellDisagreement",
    "Name": "effortless-postgres|SendIntents.DeferralAgeHours @ si-003",
    "Substrate": "effortless-postgres",
    "RulebookField": "SendIntents.DeferralAgeHours"
   },
   {
    "CellDisagreementId": "effortless-postgres|SendIntents.DeferralAgeHours|si-004",
    "FieldDisagreement": "effortless-postgres|SendIntents.DeferralAgeHours",
    "RecordId": "si-004",
    "ExpectedValue": "22",
    "ActualValue": "23",
    "Reason": "wrong/null value",
    "SemanticTypeIri": "urn:effortless:pko-extension#CellDisagreement",
    "Name": "effortless-postgres|SendIntents.DeferralAgeHours @ si-004",
    "Substrate": "effortless-postgres",
    "RulebookField": "SendIntents.DeferralAgeHours"
   },
   {
    "CellDisagreementId": "effortless-postgres|SendIntents.DeferralAgeHours|si-005",
    "FieldDisagreement": "effortless-postgres|SendIntents.DeferralAgeHours",
    "RecordId": "si-005",
    "ExpectedValue": "22",
    "ActualValue": "23",
    "Reason": "wrong/null value",
    "SemanticTypeIri": "urn:effortless:pko-extension#CellDisagreement",
    "Name": "effortless-postgres|SendIntents.DeferralAgeHours @ si-005",
    "Substrate": "effortless-postgres",
    "RulebookField": "SendIntents.DeferralAgeHours"
   },
   {
    "CellDisagreementId": "effortless-postgres|SendIntents.DeferralAgeHours|si-006",
    "FieldDisagreement": "effortless-postgres|SendIntents.DeferralAgeHours",
    "RecordId": "si-006",
    "ExpectedValue": "22",
    "ActualValue": "23",
    "Reason": "wrong/null value",
    "SemanticTypeIri": "urn:effortless:pko-extension#CellDisagreement",
    "Name": "effortless-postgres|SendIntents.DeferralAgeHours @ si-006",
    "Substrate": "effortless-postgres",
    "RulebookField": "SendIntents.DeferralAgeHours"
   },
   {
    "CellDisagreementId": "effortless-postgres|SendIntents.DeferralAgeHours|si-007",
    "FieldDisagreement": "effortless-postgres|SendIntents.DeferralAgeHours",
    "RecordId": "si-007",
    "ExpectedValue": "22",
    "ActualValue": "23",
    "Reason": "wrong/null value",
    "SemanticTypeIri": "urn:effortless:pko-extension#CellDisagreement",
    "Name": "effortless-postgres|SendIntents.DeferralAgeHours @ si-007",
    "Substrate": "effortless-postgres",
    "RulebookField": "SendIntents.DeferralAgeHours"
   },
   {
    "CellDisagreementId": "effortless-postgres|DeliveredCommunications.ContentMatchesApproval|dc-hr4821-email-001",
    "FieldDisagreement": "effortless-postgres|DeliveredCommunications.ContentMatchesApproval",
    "RecordId": "dc-hr4821-email-001",
    "ExpectedValue": "true",
    "ActualValue": "null",
    "Reason": "wrong/null value",
    "SemanticTypeIri": "urn:effortless:pko-extension#CellDisagreement",
    "Name": "effortless-postgres|DeliveredCommunications.ContentMatchesApproval @ dc-hr4821-email-001",
    "Substrate": "effortless-postgres",
    "RulebookField": "DeliveredCommunications.ContentMatchesApproval"
   },
   {
    "CellDisagreementId": "effortless-postgres|ProcessMiningRuns.Name|pmr-close-v10-archived",
    "FieldDisagreement": "effortless-postgres|ProcessMiningRuns.Name",
    "RecordId": "pmr-close-v10-archived",
    "ExpectedValue": "\"ERP General Ledger Audit Log / 2026-01-01T09:00:00-05:00\"",
    "ActualValue": "\"ERP General Ledger Audit Log / 2026-01-01 08:00:00-06\"",
    "Reason": "wrong/null value",
    "SemanticTypeIri": "urn:effortless:pko-extension#CellDisagreement",
    "Name": "effortless-postgres|ProcessMiningRuns.Name @ pmr-close-v10-archived",
    "Substrate": "effortless-postgres",
    "RulebookField": "ProcessMiningRuns.Name"
   },
   {
    "CellDisagreementId": "effortless-postgres|ProcessMiningRuns.Name|pmr-close-v11-cutoff-bypass",
    "FieldDisagreement": "effortless-postgres|ProcessMiningRuns.Name",
    "RecordId": "pmr-close-v11-cutoff-bypass",
    "ExpectedValue": "\"ERP General Ledger Audit Log / 2026-07-17T09:00:00-05:00\"",
    "ActualValue": "\"ERP General Ledger Audit Log / 2026-07-17 09:00:00-05\"",
    "Reason": "wrong/null value",
    "SemanticTypeIri": "urn:effortless:pko-extension#CellDisagreement",
    "Name": "effortless-postgres|ProcessMiningRuns.Name @ pmr-close-v11-cutoff-bypass",
    "Substrate": "effortless-postgres",
    "RulebookField": "ProcessMiningRuns.Name"
   },
   {
    "CellDisagreementId": "effortless-postgres|ProcessMiningRuns.Name|pmr-close-v11-q3",
    "FieldDisagreement": "effortless-postgres|ProcessMiningRuns.Name",
    "RecordId": "pmr-close-v11-q3",
    "ExpectedValue": "\"ERP General Ledger Audit Log / 2026-07-15T09:00:00-05:00\"",
    "ActualValue": "\"ERP General Ledger Audit Log / 2026-07-15 09:00:00-05\"",
    "Reason": "wrong/null value",
    "SemanticTypeIri": "urn:effortless:pko-extension#CellDisagreement",
    "Name": "effortless-postgres|ProcessMiningRuns.Name @ pmr-close-v11-q3",
    "Substrate": "effortless-postgres",
    "RulebookField": "ProcessMiningRuns.Name"
   },
   {
    "CellDisagreementId": "effortless-postgres|ProcessMiningRuns.Name|pmr-policy-v1-notify",
    "FieldDisagreement": "effortless-postgres|ProcessMiningRuns.Name",
    "RecordId": "pmr-policy-v1-notify",
    "ExpectedValue": "\"Notification Pipeline Delivery Log / 2026-01-10T09:00:00-05:00\"",
    "ActualValue": "\"Notification Pipeline Delivery Log / 2026-01-10 08:00:00-06\"",
    "Reason": "wrong/null value",
    "SemanticTypeIri": "urn:effortless:pko-extension#CellDisagreement",
    "Name": "effortless-postgres|ProcessMiningRuns.Name @ pmr-policy-v1-notify",
    "Substrate": "effortless-postgres",
    "RulebookField": "ProcessMiningRuns.Name"
   },
   {
    "CellDisagreementId": "effortless-xlsx|EvaluationContexts.Name|eval-current",
    "FieldDisagreement": "effortless-xlsx|EvaluationContexts.Name",
    "RecordId": "eval-current",
    "ExpectedValue": "\"Post-close evaluation @ 2026-07-19T13:00:00-05:00\"",
    "ActualValue": "\"Post-close evaluation @ 2026-07-19 18:00:00+00\"",
    "Reason": "wrong/null value",
    "SemanticTypeIri": "urn:effortless:pko-extension#CellDisagreement",
    "Name": "effortless-xlsx|EvaluationContexts.Name @ eval-current",
    "Substrate": "effortless-xlsx",
    "RulebookField": "EvaluationContexts.Name"
   },
   {
    "CellDisagreementId": "effortless-xlsx|Roles.CurrentAssignmentValidFrom|cfo",
    "FieldDisagreement": "effortless-xlsx|Roles.CurrentAssignmentValidFrom",
    "RecordId": "cfo",
    "ExpectedValue": "\"2026-01-01T00:00:00-06:00\"",
    "ActualValue": "\"2026-01-01 06:00:00\"",
    "Reason": "wrong/null value",
    "SemanticTypeIri": "urn:effortless:pko-extension#CellDisagreement",
    "Name": "effortless-xlsx|Roles.CurrentAssignmentValidFrom @ cfo",
    "Substrate": "effortless-xlsx",
    "RulebookField": "Roles.CurrentAssignmentValidFrom"
   },
   {
    "CellDisagreementId": "effortless-xlsx|Roles.CurrentAssignmentValidFrom|close-automation",
    "FieldDisagreement": "effortless-xlsx|Roles.CurrentAssignmentValidFrom",
    "RecordId": "close-automation",
    "ExpectedValue": "\"2026-01-01T00:00:00-06:00\"",
    "ActualValue": "\"2026-01-01 06:00:00\"",
    "Reason": "wrong/null value",
    "SemanticTypeIri": "urn:effortless:pko-extension#CellDisagreement",
    "Name": "effortless-xlsx|Roles.CurrentAssignmentValidFrom @ close-automation",
    "Substrate": "effortless-xlsx",
    "RulebookField": "Roles.CurrentAssignmentValidFrom"
   },
   {
    "CellDisagreementId": "effortless-xlsx|Roles.CurrentAssignmentValidFrom|communications-manager",
    "FieldDisagreement": "effortless-xlsx|Roles.CurrentAssignmentValidFrom",
    "RecordId": "communications-manager",
    "ExpectedValue": "\"2026-02-01T00:00:00-06:00\"",
    "ActualValue": "\"2026-02-01 06:00:00\"",
    "Reason": "wrong/null value",
    "SemanticTypeIri": "urn:effortless:pko-extension#CellDisagreement",
    "Name": "effortless-xlsx|Roles.CurrentAssignmentValidFrom @ communications-manager",
    "Substrate": "effortless-xlsx",
    "RulebookField": "Roles.CurrentAssignmentValidFrom"
   },
   {
    "CellDisagreementId": "effortless-xlsx|Roles.CurrentAssignmentValidFrom|controller",
    "FieldDisagreement": "effortless-xlsx|Roles.CurrentAssignmentValidFrom",
    "RecordId": "controller",
    "ExpectedValue": "\"2026-01-01T00:00:00-06:00\"",
    "ActualValue": "\"2026-01-01 06:00:00\"",
    "Reason": "wrong/null value",
    "SemanticTypeIri": "urn:effortless:pko-extension#CellDisagreement",
    "Name": "effortless-xlsx|Roles.CurrentAssignmentValidFrom @ controller",
    "Substrate": "effortless-xlsx",
    "RulebookField": "Roles.CurrentAssignmentValidFrom"
   },
   {
    "CellDisagreementId": "effortless-xlsx|Roles.CurrentAssignmentValidFrom|employment-counsel",
    "FieldDisagreement": "effortless-xlsx|Roles.CurrentAssignmentValidFrom",
    "RecordId": "employment-counsel",
    "ExpectedValue": "\"2026-01-15T00:00:00-06:00\"",
    "ActualValue": "\"2026-01-15 06:00:00\"",
    "Reason": "wrong/null value",
    "SemanticTypeIri": "urn:effortless:pko-extension#CellDisagreement",
    "Name": "effortless-xlsx|Roles.CurrentAssignmentValidFrom @ employment-counsel",
    "Substrate": "effortless-xlsx",
    "RulebookField": "Roles.CurrentAssignmentValidFrom"
   },
   {
    "CellDisagreementId": "effortless-xlsx|Roles.CurrentAssignmentValidFrom|finance-analyst",
    "FieldDisagreement": "effortless-xlsx|Roles.CurrentAssignmentValidFrom",
    "RecordId": "finance-analyst",
    "ExpectedValue": "\"2026-01-01T00:00:00-06:00\"",
    "ActualValue": "\"2026-01-01 06:00:00\"",
    "Reason": "wrong/null value",
    "SemanticTypeIri": "urn:effortless:pko-extension#CellDisagreement",
    "Name": "effortless-xlsx|Roles.CurrentAssignmentValidFrom @ finance-analyst",
    "Substrate": "effortless-xlsx",
    "RulebookField": "Roles.CurrentAssignmentValidFrom"
   },
   {
    "CellDisagreementId": "effortless-xlsx|Roles.CurrentAssignmentValidFrom|hr-policy-owner",
    "FieldDisagreement": "effortless-xlsx|Roles.CurrentAssignmentValidFrom",
    "RecordId": "hr-policy-owner",
    "ExpectedValue": "\"2026-02-01T00:00:00-06:00\"",
    "ActualValue": "\"2026-02-01 06:00:00\"",
    "Reason": "wrong/null value",
    "SemanticTypeIri": "urn:effortless:pko-extension#CellDisagreement",
    "Name": "effortless-xlsx|Roles.CurrentAssignmentValidFrom @ hr-policy-owner",
    "Substrate": "effortless-xlsx",
    "RulebookField": "Roles.CurrentAssignmentValidFrom"
   },
   {
    "CellDisagreementId": "effortless-xlsx|Roles.CurrentAssignmentValidFrom|knowledge-authority",
    "FieldDisagreement": "effortless-xlsx|Roles.CurrentAssignmentValidFrom",
    "RecordId": "knowledge-authority",
    "ExpectedValue": "\"2026-01-01T00:00:00-06:00\"",
    "ActualValue": "\"2026-01-01 06:00:00\"",
    "Reason": "wrong/null value",
    "SemanticTypeIri": "urn:effortless:pko-extension#CellDisagreement",
    "Name": "effortless-xlsx|Roles.CurrentAssignmentValidFrom @ knowledge-authority",
    "Substrate": "effortless-xlsx",
    "RulebookField": "Roles.CurrentAssignmentValidFrom"
   },
   {
    "CellDisagreementId": "effortless-xlsx|Roles.CurrentAssignmentValidFrom|notification-publisher",
    "FieldDisagreement": "effortless-xlsx|Roles.CurrentAssignmentValidFrom",
    "RecordId": "notification-publisher",
    "ExpectedValue": "\"2026-03-01T00:00:00-06:00\"",
    "ActualValue": "\"2026-03-01 06:00:00\"",
    "Reason": "wrong/null value",
    "SemanticTypeIri": "urn:effortless:pko-extension#CellDisagreement",
    "Name": "effortless-xlsx|Roles.CurrentAssignmentValidFrom @ notification-publisher",
    "Substrate": "effortless-xlsx",
    "RulebookField": "Roles.CurrentAssignmentValidFrom"
   },
   {
    "CellDisagreementId": "effortless-xlsx|Roles.CurrentAssignmentValidFrom|policy-drafting-agent",
    "FieldDisagreement": "effortless-xlsx|Roles.CurrentAssignmentValidFrom",
    "RecordId": "policy-drafting-agent",
    "ExpectedValue": "\"2026-05-01T00:00:00-05:00\"",
    "ActualValue": "\"2026-05-01 05:00:00\"",
    "Reason": "wrong/null value",
    "SemanticTypeIri": "urn:effortless:pko-extension#CellDisagreement",
    "Name": "effortless-xlsx|Roles.CurrentAssignmentValidFrom @ policy-drafting-agent",
    "Substrate": "effortless-xlsx",
    "RulebookField": "Roles.CurrentAssignmentValidFrom"
   },
   {
    "CellDisagreementId": "effortless-xlsx|Roles.CurrentAssignmentValidFrom|process-steward",
    "FieldDisagreement": "effortless-xlsx|Roles.CurrentAssignmentValidFrom",
    "RecordId": "process-steward",
    "ExpectedValue": "\"2026-04-15T09:00:00-05:00\"",
    "ActualValue": "\"2026-04-15 14:00:00\"",
    "Reason": "wrong/null value",
    "SemanticTypeIri": "urn:effortless:pko-extension#CellDisagreement",
    "Name": "effortless-xlsx|Roles.CurrentAssignmentValidFrom @ process-steward",
    "Substrate": "effortless-xlsx",
    "RulebookField": "Roles.CurrentAssignmentValidFrom"
   },
   {
    "CellDisagreementId": "effortless-xlsx|Roles.CurrentAssignmentValidFrom|variance-review-agent",
    "FieldDisagreement": "effortless-xlsx|Roles.CurrentAssignmentValidFrom",
    "RecordId": "variance-review-agent",
    "ExpectedValue": "\"2026-04-01T00:00:00-05:00\"",
    "ActualValue": "\"2026-04-01 05:00:00\"",
    "Reason": "wrong/null value",
    "SemanticTypeIri": "urn:effortless:pko-extension#CellDisagreement",
    "Name": "effortless-xlsx|Roles.CurrentAssignmentValidFrom @ variance-review-agent",
    "Substrate": "effortless-xlsx",
    "RulebookField": "Roles.CurrentAssignmentValidFrom"
   },
   {
    "CellDisagreementId": "effortless-xlsx|RoleAssignments.Name|ra-authority-2026",
    "FieldDisagreement": "effortless-xlsx|RoleAssignments.Name",
    "RecordId": "ra-authority-2026",
    "ExpectedValue": "\"knowledge-authority @ 2026-01-01T00:00:00-06:00\"",
    "ActualValue": "\"knowledge-authority @ 2026-01-01 06:00:00+00\"",
    "Reason": "wrong/null value",
    "SemanticTypeIri": "urn:effortless:pko-extension#CellDisagreement",
    "Name": "effortless-xlsx|RoleAssignments.Name @ ra-authority-2026",
    "Substrate": "effortless-xlsx",
    "RulebookField": "RoleAssignments.Name"
   },
   {
    "CellDisagreementId": "effortless-xlsx|RoleAssignments.Name|ra-cfo-2026",
    "FieldDisagreement": "effortless-xlsx|RoleAssignments.Name",
    "RecordId": "ra-cfo-2026",
    "ExpectedValue": "\"cfo @ 2026-01-01T00:00:00-06:00\"",
    "ActualValue": "\"cfo @ 2026-01-01 06:00:00+00\"",
    "Reason": "wrong/null value",
    "SemanticTypeIri": "urn:effortless:pko-extension#CellDisagreement",
    "Name": "effortless-xlsx|RoleAssignments.Name @ ra-cfo-2026",
    "Substrate": "effortless-xlsx",
    "RulebookField": "RoleAssignments.Name"
   },
   {
    "CellDisagreementId": "effortless-xlsx|RoleAssignments.Name|ra-close-pipeline-2026",
    "FieldDisagreement": "effortless-xlsx|RoleAssignments.Name",
    "RecordId": "ra-close-pipeline-2026",
    "ExpectedValue": "\"close-automation @ 2026-01-01T00:00:00-06:00\"",
    "ActualValue": "\"close-automation @ 2026-01-01 06:00:00+00\"",
    "Reason": "wrong/null value",
    "SemanticTypeIri": "urn:effortless:pko-extension#CellDisagreement",
    "Name": "effortless-xlsx|RoleAssignments.Name @ ra-close-pipeline-2026",
    "Substrate": "effortless-xlsx",
    "RulebookField": "RoleAssignments.Name"
   },
   {
    "CellDisagreementId": "effortless-xlsx|RoleAssignments.Name|ra-comms-2026",
    "FieldDisagreement": "effortless-xlsx|RoleAssignments.Name",
    "RecordId": "ra-comms-2026",
    "ExpectedValue": "\"communications-manager @ 2026-02-01T00:00:00-06:00\"",
    "ActualValue": "\"communications-manager @ 2026-02-01 06:00:00+00\"",
    "Reason": "wrong/null value",
    "SemanticTypeIri": "urn:effortless:pko-extension#CellDisagreement",
    "Name": "effortless-xlsx|RoleAssignments.Name @ ra-comms-2026",
    "Substrate": "effortless-xlsx",
    "RulebookField": "RoleAssignments.Name"
   },
   {
    "CellDisagreementId": "effortless-xlsx|RoleAssignments.Name|ra-controller-2026",
    "FieldDisagreement": "effortless-xlsx|RoleAssignments.Name",
    "RecordId": "ra-controller-2026",
    "ExpectedValue": "\"controller @ 2026-01-01T00:00:00-06:00\"",
    "ActualValue": "\"controller @ 2026-01-01 06:00:00+00\"",
    "Reason": "wrong/null value",
    "SemanticTypeIri": "urn:effortless:pko-extension#CellDisagreement",
    "Name": "effortless-xlsx|RoleAssignments.Name @ ra-controller-2026",
    "Substrate": "effortless-xlsx",
    "RulebookField": "RoleAssignments.Name"
   },
   {
    "CellDisagreementId": "effortless-xlsx|RoleAssignments.Name|ra-counsel-2026",
    "FieldDisagreement": "effortless-xlsx|RoleAssignments.Name",
    "RecordId": "ra-counsel-2026",
    "ExpectedValue": "\"employment-counsel @ 2026-01-15T00:00:00-06:00\"",
    "ActualValue": "\"employment-counsel @ 2026-01-15 06:00:00+00\"",
    "Reason": "wrong/null value",
    "SemanticTypeIri": "urn:effortless:pko-extension#CellDisagreement",
    "Name": "effortless-xlsx|RoleAssignments.Name @ ra-counsel-2026",
    "Substrate": "effortless-xlsx",
    "RulebookField": "RoleAssignments.Name"
   },
   {
    "CellDisagreementId": "effortless-xlsx|RoleAssignments.Name|ra-finance-2026",
    "FieldDisagreement": "effortless-xlsx|RoleAssignments.Name",
    "RecordId": "ra-finance-2026",
    "ExpectedValue": "\"finance-analyst @ 2026-01-01T00:00:00-06:00\"",
    "ActualValue": "\"finance-analyst @ 2026-01-01 06:00:00+00\"",
    "Reason": "wrong/null value",
    "SemanticTypeIri": "urn:effortless:pko-extension#CellDisagreement",
    "Name": "effortless-xlsx|RoleAssignments.Name @ ra-finance-2026",
    "Substrate": "effortless-xlsx",
    "RulebookField": "RoleAssignments.Name"
   },
   {
    "CellDisagreementId": "effortless-xlsx|RoleAssignments.Name|ra-new-variance",
    "FieldDisagreement": "effortless-xlsx|RoleAssignments.Name",
    "RecordId": "ra-new-variance",
    "ExpectedValue": "\"variance-review-agent @ 2026-04-01T00:00:00-05:00\"",
    "ActualValue": "\"variance-review-agent @ 2026-04-01 05:00:00+00\"",
    "Reason": "wrong/null value",
    "SemanticTypeIri": "urn:effortless:pko-extension#CellDisagreement",
    "Name": "effortless-xlsx|RoleAssignments.Name @ ra-new-variance",
    "Substrate": "effortless-xlsx",
    "RulebookField": "RoleAssignments.Name"
   },
   {
    "CellDisagreementId": "effortless-xlsx|RoleAssignments.Name|ra-notify-pipeline-2026",
    "FieldDisagreement": "effortless-xlsx|RoleAssignments.Name",
    "RecordId": "ra-notify-pipeline-2026",
    "ExpectedValue": "\"notification-publisher @ 2026-03-01T00:00:00-06:00\"",
    "ActualValue": "\"notification-publisher @ 2026-03-01 06:00:00+00\"",
    "Reason": "wrong/null value",
    "SemanticTypeIri": "urn:effortless:pko-extension#CellDisagreement",
    "Name": "effortless-xlsx|RoleAssignments.Name @ ra-notify-pipeline-2026",
    "Substrate": "effortless-xlsx",
    "RulebookField": "RoleAssignments.Name"
   },
   {
    "CellDisagreementId": "effortless-xlsx|RoleAssignments.Name|ra-old-variance",
    "FieldDisagreement": "effortless-xlsx|RoleAssignments.Name",
    "RecordId": "ra-old-variance",
    "ExpectedValue": "\"variance-review-agent @ 2025-01-01T00:00:00-06:00\"",
    "ActualValue": "\"variance-review-agent @ 2025-01-01 06:00:00+00\"",
    "Reason": "wrong/null value",
    "SemanticTypeIri": "urn:effortless:pko-extension#CellDisagreement",
    "Name": "effortless-xlsx|RoleAssignments.Name @ ra-old-variance",
    "Substrate": "effortless-xlsx",
    "RulebookField": "RoleAssignments.Name"
   },
   {
    "CellDisagreementId": "effortless-xlsx|RoleAssignments.Name|ra-policy-ai-2026",
    "FieldDisagreement": "effortless-xlsx|RoleAssignments.Name",
    "RecordId": "ra-policy-ai-2026",
    "ExpectedValue": "\"policy-drafting-agent @ 2026-05-01T00:00:00-05:00\"",
    "ActualValue": "\"policy-drafting-agent @ 2026-05-01 05:00:00+00\"",
    "Reason": "wrong/null value",
    "SemanticTypeIri": "urn:effortless:pko-extension#CellDisagreement",
    "Name": "effortless-xlsx|RoleAssignments.Name @ ra-policy-ai-2026",
    "Substrate": "effortless-xlsx",
    "RulebookField": "RoleAssignments.Name"
   },
   {
    "CellDisagreementId": "effortless-xlsx|RoleAssignments.Name|ra-policy-owner-2026",
    "FieldDisagreement": "effortless-xlsx|RoleAssignments.Name",
    "RecordId": "ra-policy-owner-2026",
    "ExpectedValue": "\"hr-policy-owner @ 2026-02-01T00:00:00-06:00\"",
    "ActualValue": "\"hr-policy-owner @ 2026-02-01 06:00:00+00\"",
    "Reason": "wrong/null value",
    "SemanticTypeIri": "urn:effortless:pko-extension#CellDisagreement",
    "Name": "effortless-xlsx|RoleAssignments.Name @ ra-policy-owner-2026",
    "Substrate": "effortless-xlsx",
    "RulebookField": "RoleAssignments.Name"
   },
   {
    "CellDisagreementId": "effortless-xlsx|RoleAssignments.Name|ra-steward-2026",
    "FieldDisagreement": "effortless-xlsx|RoleAssignments.Name",
    "RecordId": "ra-steward-2026",
    "ExpectedValue": "\"process-steward @ 2026-04-15T09:00:00-05:00\"",
    "ActualValue": "\"process-steward @ 2026-04-15 14:00:00+00\"",
    "Reason": "wrong/null value",
    "SemanticTypeIri": "urn:effortless:pko-extension#CellDisagreement",
    "Name": "effortless-xlsx|RoleAssignments.Name @ ra-steward-2026",
    "Substrate": "effortless-xlsx",
    "RulebookField": "RoleAssignments.Name"
   },
   {
    "CellDisagreementId": "effortless-xlsx|RoleAssignments.AsOfInstant|ra-authority-2026",
    "FieldDisagreement": "effortless-xlsx|RoleAssignments.AsOfInstant",
    "RecordId": "ra-authority-2026",
    "ExpectedValue": "\"2026-07-19T13:00:00-05:00\"",
    "ActualValue": "\"2026-07-19 18:00:00\"",
    "Reason": "wrong/null value",
    "SemanticTypeIri": "urn:effortless:pko-extension#CellDisagreement",
    "Name": "effortless-xlsx|RoleAssignments.AsOfInstant @ ra-authority-2026",
    "Substrate": "effortless-xlsx",
    "RulebookField": "RoleAssignments.AsOfInstant"
   },
   {
    "CellDisagreementId": "effortless-xlsx|RoleAssignments.AsOfInstant|ra-cfo-2026",
    "FieldDisagreement": "effortless-xlsx|RoleAssignments.AsOfInstant",
    "RecordId": "ra-cfo-2026",
    "ExpectedValue": "\"2026-07-19T13:00:00-05:00\"",
    "ActualValue": "\"2026-07-19 18:00:00\"",
    "Reason": "wrong/null value",
    "SemanticTypeIri": "urn:effortless:pko-extension#CellDisagreement",
    "Name": "effortless-xlsx|RoleAssignments.AsOfInstant @ ra-cfo-2026",
    "Substrate": "effortless-xlsx",
    "RulebookField": "RoleAssignments.AsOfInstant"
   },
   {
    "CellDisagreementId": "effortless-xlsx|RoleAssignments.AsOfInstant|ra-close-pipeline-2026",
    "FieldDisagreement": "effortless-xlsx|RoleAssignments.AsOfInstant",
    "RecordId": "ra-close-pipeline-2026",
    "ExpectedValue": "\"2026-07-19T13:00:00-05:00\"",
    "ActualValue": "\"2026-07-19 18:00:00\"",
    "Reason": "wrong/null value",
    "SemanticTypeIri": "urn:effortless:pko-extension#CellDisagreement",
    "Name": "effortless-xlsx|RoleAssignments.AsOfInstant @ ra-close-pipeline-2026",
    "Substrate": "effortless-xlsx",
    "RulebookField": "RoleAssignments.AsOfInstant"
   },
   {
    "CellDisagreementId": "effortless-xlsx|RoleAssignments.AsOfInstant|ra-comms-2026",
    "FieldDisagreement": "effortless-xlsx|RoleAssignments.AsOfInstant",
    "RecordId": "ra-comms-2026",
    "ExpectedValue": "\"2026-07-19T13:00:00-05:00\"",
    "ActualValue": "\"2026-07-19 18:00:00\"",
    "Reason": "wrong/null value",
    "SemanticTypeIri": "urn:effortless:pko-extension#CellDisagreement",
    "Name": "effortless-xlsx|RoleAssignments.AsOfInstant @ ra-comms-2026",
    "Substrate": "effortless-xlsx",
    "RulebookField": "RoleAssignments.AsOfInstant"
   },
   {
    "CellDisagreementId": "effortless-xlsx|RoleAssignments.AsOfInstant|ra-controller-2026",
    "FieldDisagreement": "effortless-xlsx|RoleAssignments.AsOfInstant",
    "RecordId": "ra-controller-2026",
    "ExpectedValue": "\"2026-07-19T13:00:00-05:00\"",
    "ActualValue": "\"2026-07-19 18:00:00\"",
    "Reason": "wrong/null value",
    "SemanticTypeIri": "urn:effortless:pko-extension#CellDisagreement",
    "Name": "effortless-xlsx|RoleAssignments.AsOfInstant @ ra-controller-2026",
    "Substrate": "effortless-xlsx",
    "RulebookField": "RoleAssignments.AsOfInstant"
   },
   {
    "CellDisagreementId": "effortless-xlsx|RoleAssignments.AsOfInstant|ra-counsel-2026",
    "FieldDisagreement": "effortless-xlsx|RoleAssignments.AsOfInstant",
    "RecordId": "ra-counsel-2026",
    "ExpectedValue": "\"2026-07-19T13:00:00-05:00\"",
    "ActualValue": "\"2026-07-19 18:00:00\"",
    "Reason": "wrong/null value",
    "SemanticTypeIri": "urn:effortless:pko-extension#CellDisagreement",
    "Name": "effortless-xlsx|RoleAssignments.AsOfInstant @ ra-counsel-2026",
    "Substrate": "effortless-xlsx",
    "RulebookField": "RoleAssignments.AsOfInstant"
   },
   {
    "CellDisagreementId": "effortless-xlsx|RoleAssignments.AsOfInstant|ra-finance-2026",
    "FieldDisagreement": "effortless-xlsx|RoleAssignments.AsOfInstant",
    "RecordId": "ra-finance-2026",
    "ExpectedValue": "\"2026-07-19T13:00:00-05:00\"",
    "ActualValue": "\"2026-07-19 18:00:00\"",
    "Reason": "wrong/null value",
    "SemanticTypeIri": "urn:effortless:pko-extension#CellDisagreement",
    "Name": "effortless-xlsx|RoleAssignments.AsOfInstant @ ra-finance-2026",
    "Substrate": "effortless-xlsx",
    "RulebookField": "RoleAssignments.AsOfInstant"
   },
   {
    "CellDisagreementId": "effortless-xlsx|RoleAssignments.AsOfInstant|ra-new-variance",
    "FieldDisagreement": "effortless-xlsx|RoleAssignments.AsOfInstant",
    "RecordId": "ra-new-variance",
    "ExpectedValue": "\"2026-07-19T13:00:00-05:00\"",
    "ActualValue": "\"2026-07-19 18:00:00\"",
    "Reason": "wrong/null value",
    "SemanticTypeIri": "urn:effortless:pko-extension#CellDisagreement",
    "Name": "effortless-xlsx|RoleAssignments.AsOfInstant @ ra-new-variance",
    "Substrate": "effortless-xlsx",
    "RulebookField": "RoleAssignments.AsOfInstant"
   },
   {
    "CellDisagreementId": "effortless-xlsx|RoleAssignments.AsOfInstant|ra-notify-pipeline-2026",
    "FieldDisagreement": "effortless-xlsx|RoleAssignments.AsOfInstant",
    "RecordId": "ra-notify-pipeline-2026",
    "ExpectedValue": "\"2026-07-19T13:00:00-05:00\"",
    "ActualValue": "\"2026-07-19 18:00:00\"",
    "Reason": "wrong/null value",
    "SemanticTypeIri": "urn:effortless:pko-extension#CellDisagreement",
    "Name": "effortless-xlsx|RoleAssignments.AsOfInstant @ ra-notify-pipeline-2026",
    "Substrate": "effortless-xlsx",
    "RulebookField": "RoleAssignments.AsOfInstant"
   },
   {
    "CellDisagreementId": "effortless-xlsx|RoleAssignments.AsOfInstant|ra-old-variance",
    "FieldDisagreement": "effortless-xlsx|RoleAssignments.AsOfInstant",
    "RecordId": "ra-old-variance",
    "ExpectedValue": "\"2026-07-19T13:00:00-05:00\"",
    "ActualValue": "\"2026-07-19 18:00:00\"",
    "Reason": "wrong/null value",
    "SemanticTypeIri": "urn:effortless:pko-extension#CellDisagreement",
    "Name": "effortless-xlsx|RoleAssignments.AsOfInstant @ ra-old-variance",
    "Substrate": "effortless-xlsx",
    "RulebookField": "RoleAssignments.AsOfInstant"
   },
   {
    "CellDisagreementId": "effortless-xlsx|RoleAssignments.AsOfInstant|ra-policy-ai-2026",
    "FieldDisagreement": "effortless-xlsx|RoleAssignments.AsOfInstant",
    "RecordId": "ra-policy-ai-2026",
    "ExpectedValue": "\"2026-07-19T13:00:00-05:00\"",
    "ActualValue": "\"2026-07-19 18:00:00\"",
    "Reason": "wrong/null value",
    "SemanticTypeIri": "urn:effortless:pko-extension#CellDisagreement",
    "Name": "effortless-xlsx|RoleAssignments.AsOfInstant @ ra-policy-ai-2026",
    "Substrate": "effortless-xlsx",
    "RulebookField": "RoleAssignments.AsOfInstant"
   },
   {
    "CellDisagreementId": "effortless-xlsx|RoleAssignments.AsOfInstant|ra-policy-owner-2026",
    "FieldDisagreement": "effortless-xlsx|RoleAssignments.AsOfInstant",
    "RecordId": "ra-policy-owner-2026",
    "ExpectedValue": "\"2026-07-19T13:00:00-05:00\"",
    "ActualValue": "\"2026-07-19 18:00:00\"",
    "Reason": "wrong/null value",
    "SemanticTypeIri": "urn:effortless:pko-extension#CellDisagreement",
    "Name": "effortless-xlsx|RoleAssignments.AsOfInstant @ ra-policy-owner-2026",
    "Substrate": "effortless-xlsx",
    "RulebookField": "RoleAssignments.AsOfInstant"
   },
   {
    "CellDisagreementId": "effortless-xlsx|RoleAssignments.AsOfInstant|ra-steward-2026",
    "FieldDisagreement": "effortless-xlsx|RoleAssignments.AsOfInstant",
    "RecordId": "ra-steward-2026",
    "ExpectedValue": "\"2026-07-19T13:00:00-05:00\"",
    "ActualValue": "\"2026-07-19 18:00:00\"",
    "Reason": "wrong/null value",
    "SemanticTypeIri": "urn:effortless:pko-extension#CellDisagreement",
    "Name": "effortless-xlsx|RoleAssignments.AsOfInstant @ ra-steward-2026",
    "Substrate": "effortless-xlsx",
    "RulebookField": "RoleAssignments.AsOfInstant"
   },
   {
    "CellDisagreementId": "effortless-xlsx|RoleAssignments.HasSufficientSample|ra-authority-2026",
    "FieldDisagreement": "effortless-xlsx|RoleAssignments.HasSufficientSample",
    "RecordId": "ra-authority-2026",
    "ExpectedValue": "false",
    "ActualValue": "true",
    "Reason": "wrong/null value",
    "SemanticTypeIri": "urn:effortless:pko-extension#CellDisagreement",
    "Name": "effortless-xlsx|RoleAssignments.HasSufficientSample @ ra-authority-2026",
    "Substrate": "effortless-xlsx",
    "RulebookField": "RoleAssignments.HasSufficientSample"
   },
   {
    "CellDisagreementId": "effortless-xlsx|RoleAssignments.HasSufficientSample|ra-cfo-2026",
    "FieldDisagreement": "effortless-xlsx|RoleAssignments.HasSufficientSample",
    "RecordId": "ra-cfo-2026",
    "ExpectedValue": "false",
    "ActualValue": "true",
    "Reason": "wrong/null value",
    "SemanticTypeIri": "urn:effortless:pko-extension#CellDisagreement",
    "Name": "effortless-xlsx|RoleAssignments.HasSufficientSample @ ra-cfo-2026",
    "Substrate": "effortless-xlsx",
    "RulebookField": "RoleAssignments.HasSufficientSample"
   },
   {
    "CellDisagreementId": "effortless-xlsx|RoleAssignments.HasSufficientSample|ra-close-pipeline-2026",
    "FieldDisagreement": "effortless-xlsx|RoleAssignments.HasSufficientSample",
    "RecordId": "ra-close-pipeline-2026",
    "ExpectedValue": "false",
    "ActualValue": "true",
    "Reason": "wrong/null value",
    "SemanticTypeIri": "urn:effortless:pko-extension#CellDisagreement",
    "Name": "effortless-xlsx|RoleAssignments.HasSufficientSample @ ra-close-pipeline-2026",
    "Substrate": "effortless-xlsx",
    "RulebookField": "RoleAssignments.HasSufficientSample"
   },
   {
    "CellDisagreementId": "effortless-xlsx|RoleAssignments.HasSufficientSample|ra-comms-2026",
    "FieldDisagreement": "effortless-xlsx|RoleAssignments.HasSufficientSample",
    "RecordId": "ra-comms-2026",
    "ExpectedValue": "false",
    "ActualValue": "true",
    "Reason": "wrong/null value",
    "SemanticTypeIri": "urn:effortless:pko-extension#CellDisagreement",
    "Name": "effortless-xlsx|RoleAssignments.HasSufficientSample @ ra-comms-2026",
    "Substrate": "effortless-xlsx",
    "RulebookField": "RoleAssignments.HasSufficientSample"
   },
   {
    "CellDisagreementId": "effortless-xlsx|RoleAssignments.HasSufficientSample|ra-controller-2026",
    "FieldDisagreement": "effortless-xlsx|RoleAssignments.HasSufficientSample",
    "RecordId": "ra-controller-2026",
    "Expect</t>
  </si>
  <si>
    <t xml:space="preserve">edValue": "false",
    "ActualValue": "true",
    "Reason": "wrong/null value",
    "SemanticTypeIri": "urn:effortless:pko-extension#CellDisagreement",
    "Name": "effortless-xlsx|RoleAssignments.HasSufficientSample @ ra-controller-2026",
    "Substrate": "effortless-xlsx",
    "RulebookField": "RoleAssignments.HasSufficientSample"
   },
   {
    "CellDisagreementId": "effortless-xlsx|RoleAssignments.HasSufficientSample|ra-counsel-2026",
    "FieldDisagreement": "effortless-xlsx|RoleAssignments.HasSufficientSample",
    "RecordId": "ra-counsel-2026",
    "ExpectedValue": "false",
    "ActualValue": "true",
    "Reason": "wrong/null value",
    "SemanticTypeIri": "urn:effortless:pko-extension#CellDisagreement",
    "Name": "effortless-xlsx|RoleAssignments.HasSufficientSample @ ra-counsel-2026",
    "Substrate": "effortless-xlsx",
    "RulebookField": "RoleAssignments.HasSufficientSample"
   },
   {
    "CellDisagreementId": "effortless-xlsx|RoleAssignments.HasSufficientSample|ra-finance-2026",
    "FieldDisagreement": "effortless-xlsx|RoleAssignments.HasSufficientSample",
    "RecordId": "ra-finance-2026",
    "ExpectedValue": "false",
    "ActualValue": "true",
    "Reason": "wrong/null value",
    "SemanticTypeIri": "urn:effortless:pko-extension#CellDisagreement",
    "Name": "effortless-xlsx|RoleAssignments.HasSufficientSample @ ra-finance-2026",
    "Substrate": "effortless-xlsx",
    "RulebookField": "RoleAssignments.HasSufficientSample"
   },
   {
    "CellDisagreementId": "effortless-xlsx|RoleAssignments.HasSufficientSample|ra-new-variance",
    "FieldDisagreement": "effortless-xlsx|RoleAssignments.HasSufficientSample",
    "RecordId": "ra-new-variance",
    "ExpectedValue": "false",
    "ActualValue": "true",
    "Reason": "wrong/null value",
    "SemanticTypeIri": "urn:effortless:pko-extension#CellDisagreement",
    "Name": "effortless-xlsx|RoleAssignments.HasSufficientSample @ ra-new-variance",
    "Substrate": "effortless-xlsx",
    "RulebookField": "RoleAssignments.HasSufficientSample"
   },
   {
    "CellDisagreementId": "effortless-xlsx|RoleAssignments.HasSufficientSample|ra-notify-pipeline-2026",
    "FieldDisagreement": "effortless-xlsx|RoleAssignments.HasSufficientSample",
    "RecordId": "ra-notify-pipeline-2026",
    "ExpectedValue": "false",
    "ActualValue": "true",
    "Reason": "wrong/null value",
    "SemanticTypeIri": "urn:effortless:pko-extension#CellDisagreement",
    "Name": "effortless-xlsx|RoleAssignments.HasSufficientSample @ ra-notify-pipeline-2026",
    "Substrate": "effortless-xlsx",
    "RulebookField": "RoleAssignments.HasSufficientSample"
   },
   {
    "CellDisagreementId": "effortless-xlsx|RoleAssignments.HasSufficientSample|ra-old-variance",
    "FieldDisagreement": "effortless-xlsx|RoleAssignments.HasSufficientSample",
    "RecordId": "ra-old-variance",
    "ExpectedValue": "false",
    "ActualValue": "true",
    "Reason": "wrong/null value",
    "SemanticTypeIri": "urn:effortless:pko-extension#CellDisagreement",
    "Name": "effortless-xlsx|RoleAssignments.HasSufficientSample @ ra-old-variance",
    "Substrate": "effortless-xlsx",
    "RulebookField": "RoleAssignments.HasSufficientSample"
   },
   {
    "CellDisagreementId": "effortless-xlsx|RoleAssignments.HasSufficientSample|ra-policy-ai-2026",
    "FieldDisagreement": "effortless-xlsx|RoleAssignments.HasSufficientSample",
    "RecordId": "ra-policy-ai-2026",
    "ExpectedValue": "false",
    "ActualValue": "true",
    "Reason": "wrong/null value",
    "SemanticTypeIri": "urn:effortless:pko-extension#CellDisagreement",
    "Name": "effortless-xlsx|RoleAssignments.HasSufficientSample @ ra-policy-ai-2026",
    "Substrate": "effortless-xlsx",
    "RulebookField": "RoleAssignments.HasSufficientSample"
   },
   {
    "CellDisagreementId": "effortless-xlsx|RoleAssignments.HasSufficientSample|ra-policy-owner-2026",
    "FieldDisagreement": "effortless-xlsx|RoleAssignments.HasSufficientSample",
    "RecordId": "ra-policy-owner-2026",
    "ExpectedValue": "false",
    "ActualValue": "true",
    "Reason": "wrong/null value",
    "SemanticTypeIri": "urn:effortless:pko-extension#CellDisagreement",
    "Name": "effortless-xlsx|RoleAssignments.HasSufficientSample @ ra-policy-owner-2026",
    "Substrate": "effortless-xlsx",
    "RulebookField": "RoleAssignments.HasSufficientSample"
   },
   {
    "CellDisagreementId": "effortless-xlsx|RoleAssignments.HasSufficientSample|ra-steward-2026",
    "FieldDisagreement": "effortless-xlsx|RoleAssignments.HasSufficientSample",
    "RecordId": "ra-steward-2026",
    "ExpectedValue": "false",
    "ActualValue": "true",
    "Reason": "wrong/null value",
    "SemanticTypeIri": "urn:effortless:pko-extension#CellDisagreement",
    "Name": "effortless-xlsx|RoleAssignments.HasSufficientSample @ ra-steward-2026",
    "Substrate": "effortless-xlsx",
    "RulebookField": "RoleAssignments.HasSufficientSample"
   },
   {
    "CellDisagreementId": "effortless-xlsx|RoleAssignments.PredecessorHasSufficientSample|ra-authority-2026",
    "FieldDisagreement": "effortless-xlsx|RoleAssignments.PredecessorHasSufficientSample",
    "RecordId": "ra-authority-2026",
    "ExpectedValue": "false",
    "ActualValue": "true",
    "Reason": "wrong/null value",
    "SemanticTypeIri": "urn:effortless:pko-extension#CellDisagreement",
    "Name": "effortless-xlsx|RoleAssignments.PredecessorHasSufficientSample @ ra-authority-2026",
    "Substrate": "effortless-xlsx",
    "RulebookField": "RoleAssignments.PredecessorHasSufficientSample"
   },
   {
    "CellDisagreementId": "effortless-xlsx|RoleAssignments.PredecessorHasSufficientSample|ra-cfo-2026",
    "FieldDisagreement": "effortless-xlsx|RoleAssignments.PredecessorHasSufficientSample",
    "RecordId": "ra-cfo-2026",
    "ExpectedValue": "false",
    "ActualValue": "true",
    "Reason": "wrong/null value",
    "SemanticTypeIri": "urn:effortless:pko-extension#CellDisagreement",
    "Name": "effortless-xlsx|RoleAssignments.PredecessorHasSufficientSample @ ra-cfo-2026",
    "Substrate": "effortless-xlsx",
    "RulebookField": "RoleAssignments.PredecessorHasSufficientSample"
   },
   {
    "CellDisagreementId": "effortless-xlsx|RoleAssignments.PredecessorHasSufficientSample|ra-close-pipeline-2026",
    "FieldDisagreement": "effortless-xlsx|RoleAssignments.PredecessorHasSufficientSample",
    "RecordId": "ra-close-pipeline-2026",
    "ExpectedValue": "false",
    "ActualValue": "true",
    "Reason": "wrong/null value",
    "SemanticTypeIri": "urn:effortless:pko-extension#CellDisagreement",
    "Name": "effortless-xlsx|RoleAssignments.PredecessorHasSufficientSample @ ra-close-pipeline-2026",
    "Substrate": "effortless-xlsx",
    "RulebookField": "RoleAssignments.PredecessorHasSufficientSample"
   },
   {
    "CellDisagreementId": "effortless-xlsx|RoleAssignments.PredecessorHasSufficientSample|ra-comms-2026",
    "FieldDisagreement": "effortless-xlsx|RoleAssignments.PredecessorHasSufficientSample",
    "RecordId": "ra-comms-2026",
    "ExpectedValue": "false",
    "ActualValue": "true",
    "Reason": "wrong/null value",
    "SemanticTypeIri": "urn:effortless:pko-extension#CellDisagreement",
    "Name": "effortless-xlsx|RoleAssignments.PredecessorHasSufficientSample @ ra-comms-2026",
    "Substrate": "effortless-xlsx",
    "RulebookField": "RoleAssignments.PredecessorHasSufficientSample"
   },
   {
    "CellDisagreementId": "effortless-xlsx|RoleAssignments.PredecessorHasSufficientSample|ra-controller-2026",
    "FieldDisagreement": "effortless-xlsx|RoleAssignments.PredecessorHasSufficientSample",
    "RecordId": "ra-controller-2026",
    "ExpectedValue": "false",
    "ActualValue": "true",
    "Reason": "wrong/null value",
    "SemanticTypeIri": "urn:effortless:pko-extension#CellDisagreement",
    "Name": "effortless-xlsx|RoleAssignments.PredecessorHasSufficientSample @ ra-controller-2026",
    "Substrate": "effortless-xlsx",
    "RulebookField": "RoleAssignments.PredecessorHasSufficientSample"
   },
   {
    "CellDisagreementId": "effortless-xlsx|RoleAssignments.PredecessorHasSufficientSample|ra-counsel-2026",
    "FieldDisagreement": "effortless-xlsx|RoleAssignments.PredecessorHasSufficientSample",
    "RecordId": "ra-counsel-2026",
    "ExpectedValue": "false",
    "ActualValue": "true",
    "Reason": "wrong/null value",
    "SemanticTypeIri": "urn:effortless:pko-extension#CellDisagreement",
    "Name": "effortless-xlsx|RoleAssignments.PredecessorHasSufficientSample @ ra-counsel-2026",
    "Substrate": "effortless-xlsx",
    "RulebookField": "RoleAssignments.PredecessorHasSufficientSample"
   },
   {
    "CellDisagreementId": "effortless-xlsx|RoleAssignments.PredecessorHasSufficientSample|ra-finance-2026",
    "FieldDisagreement": "effortless-xlsx|RoleAssignments.PredecessorHasSufficientSample",
    "RecordId": "ra-finance-2026",
    "ExpectedValue": "false",
    "ActualValue": "true",
    "Reason": "wrong/null value",
    "SemanticTypeIri": "urn:effortless:pko-extension#CellDisagreement",
    "Name": "effortless-xlsx|RoleAssignments.PredecessorHasSufficientSample @ ra-finance-2026",
    "Substrate": "effortless-xlsx",
    "RulebookField": "RoleAssignments.PredecessorHasSufficientSample"
   },
   {
    "CellDisagreementId": "effortless-xlsx|RoleAssignments.PredecessorHasSufficientSample|ra-new-variance",
    "FieldDisagreement": "effortless-xlsx|RoleAssignments.PredecessorHasSufficientSample",
    "RecordId": "ra-new-variance",
    "ExpectedValue": "false",
    "ActualValue": "true",
    "Reason": "wrong/null value",
    "SemanticTypeIri": "urn:effortless:pko-extension#CellDisagreement",
    "Name": "effortless-xlsx|RoleAssignments.PredecessorHasSufficientSample @ ra-new-variance",
    "Substrate": "effortless-xlsx",
    "RulebookField": "RoleAssignments.PredecessorHasSufficientSample"
   },
   {
    "CellDisagreementId": "effortless-xlsx|RoleAssignments.PredecessorHasSufficientSample|ra-notify-pipeline-2026",
    "FieldDisagreement": "effortless-xlsx|RoleAssignments.PredecessorHasSufficientSample",
    "RecordId": "ra-notify-pipeline-2026",
    "ExpectedValue": "false",
    "ActualValue": "true",
    "Reason": "wrong/null value",
    "SemanticTypeIri": "urn:effortless:pko-extension#CellDisagreement",
    "Name": "effortless-xlsx|RoleAssignments.PredecessorHasSufficientSample @ ra-notify-pipeline-2026",
    "Substrate": "effortless-xlsx",
    "RulebookField": "RoleAssignments.PredecessorHasSufficientSample"
   },
   {
    "CellDisagreementId": "effortless-xlsx|RoleAssignments.PredecessorHasSufficientSample|ra-old-variance",
    "FieldDisagreement": "effortless-xlsx|RoleAssignments.PredecessorHasSufficientSample",
    "RecordId": "ra-old-variance",
    "ExpectedValue": "false",
    "ActualValue": "true",
    "Reason": "wrong/null value",
    "SemanticTypeIri": "urn:effortless:pko-extension#CellDisagreement",
    "Name": "effortless-xlsx|RoleAssignments.PredecessorHasSufficientSample @ ra-old-variance",
    "Substrate": "effortless-xlsx",
    "RulebookField": "RoleAssignments.PredecessorHasSufficientSample"
   },
   {
    "CellDisagreementId": "effortless-xlsx|RoleAssignments.PredecessorHasSufficientSample|ra-policy-ai-2026",
    "FieldDisagreement": "effortless-xlsx|RoleAssignments.PredecessorHasSufficientSample",
    "RecordId": "ra-policy-ai-2026",
    "ExpectedValue": "false",
    "ActualValue": "true",
    "Reason": "wrong/null value",
    "SemanticTypeIri": "urn:effortless:pko-extension#CellDisagreement",
    "Name": "effortless-xlsx|RoleAssignments.PredecessorHasSufficientSample @ ra-policy-ai-2026",
    "Substrate": "effortless-xlsx",
    "RulebookField": "RoleAssignments.PredecessorHasSufficientSample"
   },
   {
    "CellDisagreementId": "effortless-xlsx|RoleAssignments.PredecessorHasSufficientSample|ra-policy-owner-2026",
    "FieldDisagreement": "effortless-xlsx|RoleAssignments.PredecessorHasSufficientSample",
    "RecordId": "ra-policy-owner-2026",
    "ExpectedValue": "false",
    "ActualValue": "true",
    "Reason": "wrong/null value",
    "SemanticTypeIri": "urn:effortless:pko-extension#CellDisagreement",
    "Name": "effortless-xlsx|RoleAssignments.PredecessorHasSufficientSample @ ra-policy-owner-2026",
    "Substrate": "effortless-xlsx",
    "RulebookField": "RoleAssignments.PredecessorHasSufficientSample"
   },
   {
    "CellDisagreementId": "effortless-xlsx|RoleAssignments.PredecessorHasSufficientSample|ra-steward-2026",
    "FieldDisagreement": "effortless-xlsx|RoleAssignments.PredecessorHasSufficientSample",
    "RecordId": "ra-steward-2026",
    "ExpectedValue": "false",
    "ActualValue": "true",
    "Reason": "wrong/null value",
    "SemanticTypeIri": "urn:effortless:pko-extension#CellDisagreement",
    "Name": "effortless-xlsx|RoleAssignments.PredecessorHasSufficientSample @ ra-steward-2026",
    "Substrate": "effortless-xlsx",
    "RulebookField": "RoleAssignments.PredecessorHasSufficientSample"
   },
   {
    "CellDisagreementId": "effortless-xlsx|RoleAssignments.ComparisonIsEvidentiallySound|ra-authority-2026",
    "FieldDisagreement": "effortless-xlsx|RoleAssignments.ComparisonIsEvidentiallySound",
    "RecordId": "ra-authority-2026",
    "ExpectedValue": "false",
    "ActualValue": "true",
    "Reason": "wrong/null value",
    "SemanticTypeIri": "urn:effortless:pko-extension#CellDisagreement",
    "Name": "effortless-xlsx|RoleAssignments.ComparisonIsEvidentiallySound @ ra-authority-2026",
    "Substrate": "effortless-xlsx",
    "RulebookField": "RoleAssignments.ComparisonIsEvidentiallySound"
   },
   {
    "CellDisagreementId": "effortless-xlsx|RoleAssignments.ComparisonIsEvidentiallySound|ra-cfo-2026",
    "FieldDisagreement": "effortless-xlsx|RoleAssignments.ComparisonIsEvidentiallySound",
    "RecordId": "ra-cfo-2026",
    "ExpectedValue": "false",
    "ActualValue": "true",
    "Reason": "wrong/null value",
    "SemanticTypeIri": "urn:effortless:pko-extension#CellDisagreement",
    "Name": "effortless-xlsx|RoleAssignments.ComparisonIsEvidentiallySound @ ra-cfo-2026",
    "Substrate": "effortless-xlsx",
    "RulebookField": "RoleAssignments.ComparisonIsEvidentiallySound"
   },
   {
    "CellDisagreementId": "effortless-xlsx|RoleAssignments.ComparisonIsEvidentiallySound|ra-close-pipeline-2026",
    "FieldDisagreement": "effortless-xlsx|RoleAssignments.ComparisonIsEvidentiallySound",
    "RecordId": "ra-close-pipeline-2026",
    "ExpectedValue": "false",
    "ActualValue": "true",
    "Reason": "wrong/null value",
    "SemanticTypeIri": "urn:effortless:pko-extension#CellDisagreement",
    "Name": "effortless-xlsx|RoleAssignments.ComparisonIsEvidentiallySound @ ra-close-pipeline-2026",
    "Substrate": "effortless-xlsx",
    "RulebookField": "RoleAssignments.ComparisonIsEvidentiallySound"
   },
   {
    "CellDisagreementId": "effortless-xlsx|RoleAssignments.ComparisonIsEvidentiallySound|ra-comms-2026",
    "FieldDisagreement": "effortless-xlsx|RoleAssignments.ComparisonIsEvidentiallySound",
    "RecordId": "ra-comms-2026",
    "ExpectedValue": "false",
    "ActualValue": "true",
    "Reason": "wrong/null value",
    "SemanticTypeIri": "urn:effortless:pko-extension#CellDisagreement",
    "Name": "effortless-xlsx|RoleAssignments.ComparisonIsEvidentiallySound @ ra-comms-2026",
    "Substrate": "effortless-xlsx",
    "RulebookField": "RoleAssignments.ComparisonIsEvidentiallySound"
   },
   {
    "CellDisagreementId": "effortless-xlsx|RoleAssignments.ComparisonIsEvidentiallySound|ra-controller-2026",
    "FieldDisagreement": "effortless-xlsx|RoleAssignments.ComparisonIsEvidentiallySound",
    "RecordId": "ra-controller-2026",
    "ExpectedValue": "false",
    "ActualValue": "true",
    "Reason": "wrong/null value",
    "SemanticTypeIri": "urn:effortless:pko-extension#CellDisagreement",
    "Name": "effortless-xlsx|RoleAssignments.ComparisonIsEvidentiallySound @ ra-controller-2026",
    "Substrate": "effortless-xlsx",
    "RulebookField": "RoleAssignments.ComparisonIsEvidentiallySound"
   },
   {
    "CellDisagreementId": "effortless-xlsx|RoleAssignments.ComparisonIsEvidentiallySound|ra-counsel-2026",
    "FieldDisagreement": "effortless-xlsx|RoleAssignments.ComparisonIsEvidentiallySound",
    "RecordId": "ra-counsel-2026",
    "ExpectedValue": "false",
    "ActualValue": "true",
    "Reason": "wrong/null value",
    "SemanticTypeIri": "urn:effortless:pko-extension#CellDisagreement",
    "Name": "effortless-xlsx|RoleAssignments.ComparisonIsEvidentiallySound @ ra-counsel-2026",
    "Substrate": "effortless-xlsx",
    "RulebookField": "RoleAssignments.ComparisonIsEvidentiallySound"
   },
   {
    "CellDisagreementId": "effortless-xlsx|RoleAssignments.ComparisonIsEvidentiallySound|ra-finance-2026",
    "FieldDisagreement": "effortless-xlsx|RoleAssignments.ComparisonIsEvidentiallySound",
    "RecordId": "ra-finance-2026",
    "ExpectedValue": "false",
    "ActualValue": "true",
    "Reason": "wrong/null value",
    "SemanticTypeIri": "urn:effortless:pko-extension#CellDisagreement",
    "Name": "effortless-xlsx|RoleAssignments.ComparisonIsEvidentiallySound @ ra-finance-2026",
    "Substrate": "effortless-xlsx",
    "RulebookField": "RoleAssignments.ComparisonIsEvidentiallySound"
   },
   {
    "CellDisagreementId": "effortless-xlsx|RoleAssignments.ComparisonIsEvidentiallySound|ra-new-variance",
    "FieldDisagreement": "effortless-xlsx|RoleAssignments.ComparisonIsEvidentiallySound",
    "RecordId": "ra-new-variance",
    "ExpectedValue": "false",
    "ActualValue": "true",
    "Reason": "wrong/null value",
    "SemanticTypeIri": "urn:effortless:pko-extension#CellDisagreement",
    "Name": "effortless-xlsx|RoleAssignments.ComparisonIsEvidentiallySound @ ra-new-variance",
    "Substrate": "effortless-xlsx",
    "RulebookField": "RoleAssignments.ComparisonIsEvidentiallySound"
   },
   {
    "CellDisagreementId": "effortless-xlsx|RoleAssignments.ComparisonIsEvidentiallySound|ra-notify-pipeline-2026",
    "FieldDisagreement": "effortless-xlsx|RoleAssignments.ComparisonIsEvidentiallySound",
    "RecordId": "ra-notify-pipeline-2026",
    "ExpectedValue": "false",
    "ActualValue": "true",
    "Reason": "wrong/null value",
    "SemanticTypeIri": "urn:effortless:pko-extension#CellDisagreement",
    "Name": "effortless-xlsx|RoleAssignments.ComparisonIsEvidentiallySound @ ra-notify-pipeline-2026",
    "Substrate": "effortless-xlsx",
    "RulebookField": "RoleAssignments.ComparisonIsEvidentiallySound"
   },
   {
    "CellDisagreementId": "effortless-xlsx|RoleAssignments.ComparisonIsEvidentiallySound|ra-old-variance",
    "FieldDisagreement": "effortless-xlsx|RoleAssignments.ComparisonIsEvidentiallySound",
    "RecordId": "ra-old-variance",
    "ExpectedValue": "false",
    "ActualValue": "true",
    "Reason": "wrong/null value",
    "SemanticTypeIri": "urn:effortless:pko-extension#CellDisagreement",
    "Name": "effortless-xlsx|RoleAssignments.ComparisonIsEvidentiallySound @ ra-old-variance",
    "Substrate": "effortless-xlsx",
    "RulebookField": "RoleAssignments.ComparisonIsEvidentiallySound"
   },
   {
    "CellDisagreementId": "effortless-xlsx|RoleAssignments.ComparisonIsEvidentiallySound|ra-policy-ai-2026",
    "FieldDisagreement": "effortless-xlsx|RoleAssignments.ComparisonIsEvidentiallySound",
    "RecordId": "ra-policy-ai-2026",
    "ExpectedValue": "false",
    "ActualValue": "true",
    "Reason": "wrong/null value",
    "SemanticTypeIri": "urn:effortless:pko-extension#CellDisagreement",
    "Name": "effortless-xlsx|RoleAssignments.ComparisonIsEvidentiallySound @ ra-policy-ai-2026",
    "Substrate": "effortless-xlsx",
    "RulebookField": "RoleAssignments.ComparisonIsEvidentiallySound"
   },
   {
    "CellDisagreementId": "effortless-xlsx|RoleAssignments.ComparisonIsEvidentiallySound|ra-policy-owner-2026",
    "FieldDisagreement": "effortless-xlsx|RoleAssignments.ComparisonIsEvidentiallySound",
    "RecordId": "ra-policy-owner-2026",
    "ExpectedValue": "false",
    "ActualValue": "true",
    "Reason": "wrong/null value",
    "SemanticTypeIri": "urn:effortless:pko-extension#CellDisagreement",
    "Name": "effortless-xlsx|RoleAssignments.ComparisonIsEvidentiallySound @ ra-policy-owner-2026",
    "Substrate": "effortless-xlsx",
    "RulebookField": "RoleAssignments.ComparisonIsEvidentiallySound"
   },
   {
    "CellDisagreementId": "effortless-xlsx|RoleAssignments.ComparisonIsEvidentiallySound|ra-steward-2026",
    "FieldDisagreement": "effortless-xlsx|RoleAssignments.ComparisonIsEvidentiallySound",
    "RecordId": "ra-steward-2026",
    "ExpectedValue": "false",
    "ActualValue": "true",
    "Reason": "wrong/null value",
    "SemanticTypeIri": "urn:effortless:pko-extension#CellDisagreement",
    "Name": "effortless-xlsx|RoleAssignments.ComparisonIsEvidentiallySound @ ra-steward-2026",
    "Substrate": "effortless-xlsx",
    "RulebookField": "RoleAssignments.ComparisonIsEvidentiallySound"
   },
   {
    "CellDisagreementId": "effortless-xlsx|RoleAssignments.QualityVerdictIsUnsupported|ra-authority-2026",
    "FieldDisagreement": "effortless-xlsx|RoleAssignments.QualityVerdictIsUnsupported",
    "RecordId": "ra-authority-2026",
    "ExpectedValue": "true",
    "ActualValue": "false",
    "Reason": "wrong/null value",
    "SemanticTypeIri": "urn:effortless:pko-extension#CellDisagreement",
    "Name": "effortless-xlsx|RoleAssignments.QualityVerdictIsUnsupported @ ra-authority-2026",
    "Substrate": "effortless-xlsx",
    "RulebookField": "RoleAssignments.QualityVerdictIsUnsupported"
   },
   {
    "CellDisagreementId": "effortless-xlsx|RoleAssignments.QualityVerdictIsUnsupported|ra-cfo-2026",
    "FieldDisagreement": "effortless-xlsx|RoleAssignments.QualityVerdictIsUnsupported",
    "RecordId": "ra-cfo-2026",
    "ExpectedValue": "true",
    "ActualValue": "false",
    "Reason": "wrong/null value",
    "SemanticTypeIri": "urn:effortless:pko-extension#CellDisagreement",
    "Name": "effortless-xlsx|RoleAssignments.QualityVerdictIsUnsupported @ ra-cfo-2026",
    "Substrate": "effortless-xlsx",
    "RulebookField": "RoleAssignments.QualityVerdictIsUnsupported"
   },
   {
    "CellDisagreementId": "effortless-xlsx|RoleAssignments.QualityVerdictIsUnsupported|ra-close-pipeline-2026",
    "FieldDisagreement": "effortless-xlsx|RoleAssignments.QualityVerdictIsUnsupported",
    "RecordId": "ra-close-pipeline-2026",
    "ExpectedValue": "true",
    "ActualValue": "false",
    "Reason": "wrong/null value",
    "SemanticTypeIri": "urn:effortless:pko-extension#CellDisagreement",
    "Name": "effortless-xlsx|RoleAssignments.QualityVerdictIsUnsupported @ ra-close-pipeline-2026",
    "Substrate": "effortless-xlsx",
    "RulebookField": "RoleAssignments.QualityVerdictIsUnsupported"
   },
   {
    "CellDisagreementId": "effortless-xlsx|RoleAssignments.QualityVerdictIsUnsupported|ra-comms-2026",
    "FieldDisagreement": "effortless-xlsx|RoleAssignments.QualityVerdictIsUnsupported",
    "RecordId": "ra-comms-2026",
    "ExpectedValue": "true",
    "ActualValue": "false",
    "Reason": "wrong/null value",
    "SemanticTypeIri": "urn:effortless:pko-extension#CellDisagreement",
    "Name": "effortless-xlsx|RoleAssignments.QualityVerdictIsUnsupported @ ra-comms-2026",
    "Substrate": "effortless-xlsx",
    "RulebookField": "RoleAssignments.QualityVerdictIsUnsupported"
   },
   {
    "CellDisagreementId": "effortless-xlsx|RoleAssignments.QualityVerdictIsUnsupported|ra-controller-2026",
    "FieldDisagreement": "effortless-xlsx|RoleAssignments.QualityVerdictIsUnsupported",
    "RecordId": "ra-controller-2026",
    "ExpectedValue": "true",
    "ActualValue": "false",
    "Reason": "wrong/null value",
    "SemanticTypeIri": "urn:effortless:pko-extension#CellDisagreement",
    "Name": "effortless-xlsx|RoleAssignments.QualityVerdictIsUnsupported @ ra-controller-2026",
    "Substrate": "effortless-xlsx",
    "RulebookField": "RoleAssignments.QualityVerdictIsUnsupported"
   },
   {
    "CellDisagreementId": "effortless-xlsx|RoleAssignments.QualityVerdictIsUnsupported|ra-counsel-2026",
    "FieldDisagreement": "effortless-xlsx|RoleAssignments.QualityVerdictIsUnsupported",
    "RecordId": "ra-counsel-2026",
    "ExpectedValue": "true",
    "ActualValue": "false",
    "Reason": "wrong/null value",
    "SemanticTypeIri": "urn:effortless:pko-extension#CellDisagreement",
    "Name": "effortless-xlsx|RoleAssignments.QualityVerdictIsUnsupported @ ra-counsel-2026",
    "Substrate": "effortless-xlsx",
    "RulebookField": "RoleAssignments.QualityVerdictIsUnsupported"
   },
   {
    "CellDisagreementId": "effortless-xlsx|RoleAssignments.QualityVerdictIsUnsupported|ra-finance-2026",
    "FieldDisagreement": "effortless-xlsx|RoleAssignments.QualityVerdictIsUnsupported",
    "RecordId": "ra-finance-2026",
    "ExpectedValue": "true",
    "ActualValue": "false",
    "Reason": "wrong/null value",
    "SemanticTypeIri": "urn:effortless:pko-extension#CellDisagreement",
    "Name": "effortless-xlsx|RoleAssignments.QualityVerdictIsUnsupported @ ra-finance-2026",
    "Substrate": "effortless-xlsx",
    "RulebookField": "RoleAssignments.QualityVerdictIsUnsupported"
   },
   {
    "CellDisagreementId": "effortless-xlsx|RoleAssignments.QualityVerdictIsUnsupported|ra-new-variance",
    "FieldDisagreement": "effortless-xlsx|RoleAssignments.QualityVerdictIsUnsupported",
    "RecordId": "ra-new-variance",
    "ExpectedValue": "true",
    "ActualValue": "false",
    "Reason": "wrong/null value",
    "SemanticTypeIri": "urn:effortless:pko-extension#CellDisagreement",
    "Name": "effortless-xlsx|RoleAssignments.QualityVerdictIsUnsupported @ ra-new-variance",
    "Substrate": "effortless-xlsx",
    "RulebookField": "RoleAssignments.QualityVerdictIsUnsupported"
   },
   {
    "CellDisagreementId": "effortless-xlsx|RoleAssignments.QualityVerdictIsUnsupported|ra-notify-pipeline-2026",
    "FieldDisagreement": "effortless-xlsx|RoleAssignments.QualityVerdictIsUnsupported",
    "RecordId": "ra-notify-pipeline-2026",
    "ExpectedValue": "true",
    "ActualValue": "false",
    "Reason": "wrong/null value",
    "SemanticTypeIri": "urn:effortless:pko-extension#CellDisagreement",
    "Name": "effortless-xlsx|RoleAssignments.QualityVerdictIsUnsupported @ ra-notify-pipeline-2026",
    "Substrate": "effortless-xlsx",
    "RulebookField": "RoleAssignments.QualityVerdictIsUnsupported"
   },
   {
    "CellDisagreementId": "effortless-xlsx|RoleAssignments.QualityVerdictIsUnsupported|ra-old-variance",
    "FieldDisagreement": "effortless-xlsx|RoleAssignments.QualityVerdictIsUnsupported",
    "RecordId": "ra-old-variance",
    "ExpectedValue": "true",
    "ActualValue": "false",
    "Reason": "wrong/null value",
    "SemanticTypeIri": "urn:effortless:pko-extension#CellDisagreement",
    "Name": "effortless-xlsx|RoleAssignments.QualityVerdictIsUnsupported @ ra-old-variance",
    "Substrate": "effortless-xlsx",
    "RulebookField": "RoleAssignments.QualityVerdictIsUnsupported"
   },
   {
    "CellDisagreementId": "effortless-xlsx|RoleAssignments.QualityVerdictIsUnsupported|ra-policy-ai-2026",
    "FieldDisagreement": "effortless-xlsx|RoleAssignments.QualityVerdictIsUnsupported",
    "RecordId": "ra-policy-ai-2026",
    "ExpectedValue": "true",
    "ActualValue": "false",
    "Reason": "wrong/null value",
    "SemanticTypeIri": "urn:effortless:pko-extension#CellDisagreement",
    "Name": "effortless-xlsx|RoleAssignments.QualityVerdictIsUnsupported @ ra-policy-ai-2026",
    "Substrate": "effortless-xlsx",
    "RulebookField": "RoleAssignments.QualityVerdictIsUnsupported"
   },
   {
    "CellDisagreementId": "effortless-xlsx|RoleAssignments.QualityVerdictIsUnsupported|ra-policy-owner-2026",
    "FieldDisagreement": "effortless-xlsx|RoleAssignments.QualityVerdictIsUnsupported",
    "RecordId": "ra-policy-owner-2026",
    "ExpectedValue": "true",
    "ActualValue": "false",
    "Reason": "wrong/null value",
    "SemanticTypeIri": "urn:effortless:pko-extension#CellDisagreement",
    "Name": "effortless-xlsx|RoleAssignments.QualityVerdictIsUnsupported @ ra-policy-owner-2026",
    "Substrate": "effortless-xlsx",
    "RulebookField": "RoleAssignments.QualityVerdictIsUnsupported"
   },
   {
    "CellDisagreementId": "effortless-xlsx|RoleAssignments.QualityVerdictIsUnsupported|ra-steward-2026",
    "FieldDisagreement": "effortless-xlsx|RoleAssignments.QualityVerdictIsUnsupported",
    "RecordId": "ra-steward-2026",
    "ExpectedValue": "true",
    "ActualValue": "false",
    "Reason": "wrong/null value",
    "SemanticTypeIri": "urn:effortless:pko-extension#CellDisagreement",
    "Name": "effortless-xlsx|RoleAssignments.QualityVerdictIsUnsupported @ ra-steward-2026",
    "Substrate": "effortless-xlsx",
    "RulebookField": "RoleAssignments.QualityVerdictIsUnsupported"
   },
   {
    "CellDisagreementId": "effortless-xlsx|RoleAssignments.IsUnauthorizedEnforcementAgent|ra-close-pipeline-2026",
    "FieldDisagreement": "effortless-xlsx|RoleAssignments.IsUnauthorizedEnforcementAgent",
    "RecordId": "ra-close-pipeline-2026",
    "ExpectedValue": "false",
    "ActualValue": "true",
    "Reason": "wrong/null value",
    "SemanticTypeIri": "urn:effortless:pko-extension#CellDisagreement",
    "Name": "effortless-xlsx|RoleAssignments.IsUnauthorizedEnforcementAgent @ ra-close-pipeline-2026",
    "Substrate": "effortless-xlsx",
    "RulebookField": "RoleAssignments.IsUnauthorizedEnforcementAgent"
   },
   {
    "CellDisagreementId": "effortless-xlsx|RoleAssignments.IsUnauthorizedEnforcementAgent|ra-notify-pipeline-2026",
    "FieldDisagreement": "effortless-xlsx|RoleAssignments.IsUnauthorizedEnforcementAgent",
    "RecordId": "ra-notify-pipeline-2026",
    "ExpectedValue": "false",
    "ActualValue": "true",
    "Reason": "wrong/null value",
    "SemanticTypeIri": "urn:effortless:pko-extension#CellDisagreement",
    "Name": "effortless-xlsx|RoleAssignments.IsUnauthorizedEnforcementAgent @ ra-notify-pipeline-2026",
    "Substrate": "effortless-xlsx",
    "RulebookField": "RoleAssignments.IsUnauthorizedEnforcementAgent"
   },
   {
    "CellDisagreementId": "effortless-xlsx|RoleAssignments.IsUnauthorizedEnforcementAgent|ra-policy-ai-2026",
    "FieldDisagreement": "effortless-xlsx|RoleAssignments.IsUnauthorizedEnforcementAgent",
    "RecordId": "ra-policy-ai-2026",
    "ExpectedValue": "false",
    "ActualValue": "true",
    "Reason": "wrong/null value",
    "SemanticTypeIri": "urn:effortless:pko-extension#CellDisagreement",
    "Name": "effortless-xlsx|RoleAssignments.IsUnauthorizedEnforcementAgent @ ra-policy-ai-2026",
    "Substrate": "effortless-xlsx",
    "RulebookField": "RoleAssignments.IsUnauthorizedEnforcementAgent"
   },
   {
    "CellDisagreementId": "effortless-xlsx|RoleAssignments.PredecessorAgentKind|ra-new-variance",
    "FieldDisagreement": "effortless-xlsx|RoleAssignments.PredecessorAgentKind",
    "RecordId": "ra-new-variance",
    "ExpectedValue": "\"Human\"",
    "ActualValue": "null",
    "Reason": "wrong/null value",
    "SemanticTypeIri": "urn:effortless:pko-extension#CellDisagreement",
    "Name": "effortless-xlsx|RoleAssignments.PredecessorAgentKind @ ra-new-variance",
    "Substrate": "effortless-xlsx",
    "RulebookField": "RoleAssignments.PredecessorAgentKind"
   },
   {
    "CellDisagreementId": "effortless-xlsx|RoleAssignments.IsHumanToNonHumanHandover|ra-new-variance",
    "FieldDisagreement": "effortless-xlsx|RoleAssignments.IsHumanToNonHumanHandover",
    "RecordId": "ra-new-variance",
    "ExpectedValue": "true",
    "ActualValue": "false",
    "Reason": "wrong/null value",
    "SemanticTypeIri": "urn:effortless:pko-extension#CellDisagreement",
    "Name": "effortless-xlsx|RoleAssignments.IsHumanToNonHumanHandover @ ra-new-variance",
    "Substrate": "effortless-xlsx",
    "RulebookField": "RoleAssignments.IsHumanToNonHumanHandover"
   },
   {
    "CellDisagreementId": "effortless-xlsx|RoleAssignments.IsUnmeasuredAutomationHandover|ra-new-variance",
    "FieldDisagreement": "effortless-xlsx|RoleAssignments.IsUnmeasuredAutomationHandover",
    "RecordId": "ra-new-variance",
    "ExpectedValue": "true",
    "ActualValue": "false",
    "Reason": "wrong/null value",
    "SemanticTypeIri": "urn:effortless:pko-extension#CellDisagreement",
    "Name": "effortless-xlsx|RoleAssignments.IsUnmeasuredAutomationHandover @ ra-new-variance",
    "Substrate": "effortless-xlsx",
    "RulebookField": "RoleAssignments.IsUnmeasuredAutomationHandover"
   },
   {
    "CellDisagreementId": "effortless-xlsx|ProcedureVersions.AsOfInstant|close-v1.0.0",
    "FieldDisagreement": "effortless-xlsx|ProcedureVersions.AsOfInstant",
    "RecordId": "close-v1.0.0",
    "ExpectedValue": "\"2026-07-19T13:00:00-05:00\"",
    "ActualValue": "\"2026-07-19 18:00:00\"",
    "Reason": "wrong/null value",
    "SemanticTypeIri": "urn:effortless:pko-extension#CellDisagreement",
    "Name": "effortles</t>
  </si>
  <si>
    <t xml:space="preserve">s-xlsx|ProcedureVersions.AsOfInstant @ close-v1.0.0",
    "Substrate": "effortless-xlsx",
    "RulebookField": "ProcedureVersions.AsOfInstant"
   },
   {
    "CellDisagreementId": "effortless-xlsx|ProcedureVersions.AsOfInstant|close-v1.1.0",
    "FieldDisagreement": "effortless-xlsx|ProcedureVersions.AsOfInstant",
    "RecordId": "close-v1.1.0",
    "ExpectedValue": "\"2026-07-19T13:00:00-05:00\"",
    "ActualValue": "\"2026-07-19 18:00:00\"",
    "Reason": "wrong/null value",
    "SemanticTypeIri": "urn:effortless:pko-extension#CellDisagreement",
    "Name": "effortless-xlsx|ProcedureVersions.AsOfInstant @ close-v1.1.0",
    "Substrate": "effortless-xlsx",
    "RulebookField": "ProcedureVersions.AsOfInstant"
   },
   {
    "CellDisagreementId": "effortless-xlsx|ProcedureVersions.AsOfInstant|policy-v1.0.0",
    "FieldDisagreement": "effortless-xlsx|ProcedureVersions.AsOfInstant",
    "RecordId": "policy-v1.0.0",
    "ExpectedValue": "\"2026-07-19T13:00:00-05:00\"",
    "ActualValue": "\"2026-07-19 18:00:00\"",
    "Reason": "wrong/null value",
    "SemanticTypeIri": "urn:effortless:pko-extension#CellDisagreement",
    "Name": "effortless-xlsx|ProcedureVersions.AsOfInstant @ policy-v1.0.0",
    "Substrate": "effortless-xlsx",
    "RulebookField": "ProcedureVersions.AsOfInstant"
   },
   {
    "CellDisagreementId": "effortless-xlsx|ProcedureVersions.DaysSinceModified|close-v1.0.0",
    "FieldDisagreement": "effortless-xlsx|ProcedureVersions.DaysSinceModified",
    "RecordId": "close-v1.0.0",
    "ExpectedValue": "109",
    "ActualValue": "110",
    "Reason": "wrong/null value",
    "SemanticTypeIri": "urn:effortless:pko-extension#CellDisagreement",
    "Name": "effortless-xlsx|ProcedureVersions.DaysSinceModified @ close-v1.0.0",
    "Substrate": "effortless-xlsx",
    "RulebookField": "ProcedureVersions.DaysSinceModified"
   },
   {
    "CellDisagreementId": "effortless-xlsx|ProcedureVersions.DaysSinceModified|close-v1.1.0",
    "FieldDisagreement": "effortless-xlsx|ProcedureVersions.DaysSinceModified",
    "RecordId": "close-v1.1.0",
    "ExpectedValue": "16",
    "ActualValue": "17",
    "Reason": "wrong/null value",
    "SemanticTypeIri": "urn:effortless:pko-extension#CellDisagreement",
    "Name": "effortless-xlsx|ProcedureVersions.DaysSinceModified @ close-v1.1.0",
    "Substrate": "effortless-xlsx",
    "RulebookField": "ProcedureVersions.DaysSinceModified"
   },
   {
    "CellDisagreementId": "effortless-xlsx|ProcedureVersions.DaysSinceModified|policy-v1.0.0",
    "FieldDisagreement": "effortless-xlsx|ProcedureVersions.DaysSinceModified",
    "RecordId": "policy-v1.0.0",
    "ExpectedValue": "0",
    "ActualValue": "1",
    "Reason": "wrong/null value",
    "SemanticTypeIri": "urn:effortless:pko-extension#CellDisagreement",
    "Name": "effortless-xlsx|ProcedureVersions.DaysSinceModified @ policy-v1.0.0",
    "Substrate": "effortless-xlsx",
    "RulebookField": "ProcedureVersions.DaysSinceModified"
   },
   {
    "CellDisagreementId": "effortless-xlsx|ProcedureVersions.DaysSinceLastReview|close-v1.0.0",
    "FieldDisagreement": "effortless-xlsx|ProcedureVersions.DaysSinceLastReview",
    "RecordId": "close-v1.0.0",
    "ExpectedValue": "null",
    "ActualValue": "46222",
    "Reason": "wrong/null value",
    "SemanticTypeIri": "urn:effortless:pko-extension#CellDisagreement",
    "Name": "effortless-xlsx|ProcedureVersions.DaysSinceLastReview @ close-v1.0.0",
    "Substrate": "effortless-xlsx",
    "RulebookField": "ProcedureVersions.DaysSinceLastReview"
   },
   {
    "CellDisagreementId": "effortless-xlsx|ProcedureVersions.WasModifiedSinceLastReview|close-v1.0.0",
    "FieldDisagreement": "effortless-xlsx|ProcedureVersions.WasModifiedSinceLastReview",
    "RecordId": "close-v1.0.0",
    "ExpectedValue": "false",
    "ActualValue": "true",
    "Reason": "wrong/null value",
    "SemanticTypeIri": "urn:effortless:pko-extension#CellDisagreement",
    "Name": "effortless-xlsx|ProcedureVersions.WasModifiedSinceLastReview @ close-v1.0.0",
    "Substrate": "effortless-xlsx",
    "RulebookField": "ProcedureVersions.WasModifiedSinceLastReview"
   },
   {
    "CellDisagreementId": "effortless-xlsx|ProcedureVersions.WasModifiedSinceLastReview|close-v1.1.0",
    "FieldDisagreement": "effortless-xlsx|ProcedureVersions.WasModifiedSinceLastReview",
    "RecordId": "close-v1.1.0",
    "ExpectedValue": "true",
    "ActualValue": "false",
    "Reason": "wrong/null value",
    "SemanticTypeIri": "urn:effortless:pko-extension#CellDisagreement",
    "Name": "effortless-xlsx|ProcedureVersions.WasModifiedSinceLastReview @ close-v1.1.0",
    "Substrate": "effortless-xlsx",
    "RulebookField": "ProcedureVersions.WasModifiedSinceLastReview"
   },
   {
    "CellDisagreementId": "effortless-xlsx|ProcedureVersions.WasModifiedSinceLastReview|policy-v1.0.0",
    "FieldDisagreement": "effortless-xlsx|ProcedureVersions.WasModifiedSinceLastReview",
    "RecordId": "policy-v1.0.0",
    "ExpectedValue": "true",
    "ActualValue": "false",
    "Reason": "wrong/null value",
    "SemanticTypeIri": "urn:effortless:pko-extension#CellDisagreement",
    "Name": "effortless-xlsx|ProcedureVersions.WasModifiedSinceLastReview @ policy-v1.0.0",
    "Substrate": "effortless-xlsx",
    "RulebookField": "ProcedureVersions.WasModifiedSinceLastReview"
   },
   {
    "CellDisagreementId": "effortless-xlsx|ProcedureVersions.HasUnwitnessedChange|close-v1.1.0",
    "FieldDisagreement": "effortless-xlsx|ProcedureVersions.HasUnwitnessedChange",
    "RecordId": "close-v1.1.0",
    "ExpectedValue": "true",
    "ActualValue": "false",
    "Reason": "wrong/null value",
    "SemanticTypeIri": "urn:effortless:pko-extension#CellDisagreement",
    "Name": "effortless-xlsx|ProcedureVersions.HasUnwitnessedChange @ close-v1.1.0",
    "Substrate": "effortless-xlsx",
    "RulebookField": "ProcedureVersions.HasUnwitnessedChange"
   },
   {
    "CellDisagreementId": "effortless-xlsx|ProcedureVersions.HasUnwitnessedChange|policy-v1.0.0",
    "FieldDisagreement": "effortless-xlsx|ProcedureVersions.HasUnwitnessedChange",
    "RecordId": "policy-v1.0.0",
    "ExpectedValue": "true",
    "ActualValue": "false",
    "Reason": "wrong/null value",
    "SemanticTypeIri": "urn:effortless:pko-extension#CellDisagreement",
    "Name": "effortless-xlsx|ProcedureVersions.HasUnwitnessedChange @ policy-v1.0.0",
    "Substrate": "effortless-xlsx",
    "RulebookField": "ProcedureVersions.HasUnwitnessedChange"
   },
   {
    "CellDisagreementId": "effortless-xlsx|Steps.StaleBindingCount|close-02",
    "FieldDisagreement": "effortless-xlsx|Steps.StaleBindingCount",
    "RecordId": "close-02",
    "ExpectedValue": "1",
    "ActualValue": "0",
    "Reason": "wrong/null value",
    "SemanticTypeIri": "urn:effortless:pko-extension#CellDisagreement",
    "Name": "effortless-xlsx|Steps.StaleBindingCount @ close-02",
    "Substrate": "effortless-xlsx",
    "RulebookField": "Steps.StaleBindingCount"
   },
   {
    "CellDisagreementId": "effortless-xlsx|Steps.StaleBindingCount|policy-01",
    "FieldDisagreement": "effortless-xlsx|Steps.StaleBindingCount",
    "RecordId": "policy-01",
    "ExpectedValue": "1",
    "ActualValue": "0",
    "Reason": "wrong/null value",
    "SemanticTypeIri": "urn:effortless:pko-extension#CellDisagreement",
    "Name": "effortless-xlsx|Steps.StaleBindingCount @ policy-01",
    "Substrate": "effortless-xlsx",
    "RulebookField": "Steps.StaleBindingCount"
   },
   {
    "CellDisagreementId": "effortless-xlsx|Steps.StaleBindingCount|policy-07",
    "FieldDisagreement": "effortless-xlsx|Steps.StaleBindingCount",
    "RecordId": "policy-07",
    "ExpectedValue": "1",
    "ActualValue": "0",
    "Reason": "wrong/null value",
    "SemanticTypeIri": "urn:effortless:pko-extension#CellDisagreement",
    "Name": "effortless-xlsx|Steps.StaleBindingCount @ policy-07",
    "Substrate": "effortless-xlsx",
    "RulebookField": "Steps.StaleBindingCount"
   },
   {
    "CellDisagreementId": "effortless-xlsx|Steps.AuthoritativeStaleCount|close-02",
    "FieldDisagreement": "effortless-xlsx|Steps.AuthoritativeStaleCount",
    "RecordId": "close-02",
    "ExpectedValue": "1",
    "ActualValue": "0",
    "Reason": "wrong/null value",
    "SemanticTypeIri": "urn:effortless:pko-extension#CellDisagreement",
    "Name": "effortless-xlsx|Steps.AuthoritativeStaleCount @ close-02",
    "Substrate": "effortless-xlsx",
    "RulebookField": "Steps.AuthoritativeStaleCount"
   },
   {
    "CellDisagreementId": "effortless-xlsx|Steps.AuthoritativeStaleCount|policy-01",
    "FieldDisagreement": "effortless-xlsx|Steps.AuthoritativeStaleCount",
    "RecordId": "policy-01",
    "ExpectedValue": "1",
    "ActualValue": "0",
    "Reason": "wrong/null value",
    "SemanticTypeIri": "urn:effortless:pko-extension#CellDisagreement",
    "Name": "effortless-xlsx|Steps.AuthoritativeStaleCount @ policy-01",
    "Substrate": "effortless-xlsx",
    "RulebookField": "Steps.AuthoritativeStaleCount"
   },
   {
    "CellDisagreementId": "effortless-xlsx|Steps.AuthoritativeStaleCount|policy-07",
    "FieldDisagreement": "effortless-xlsx|Steps.AuthoritativeStaleCount",
    "RecordId": "policy-07",
    "ExpectedValue": "1",
    "ActualValue": "0",
    "Reason": "wrong/null value",
    "SemanticTypeIri": "urn:effortless:pko-extension#CellDisagreement",
    "Name": "effortless-xlsx|Steps.AuthoritativeStaleCount @ policy-07",
    "Substrate": "effortless-xlsx",
    "RulebookField": "Steps.AuthoritativeStaleCount"
   },
   {
    "CellDisagreementId": "effortless-xlsx|Steps.StaleAuthoritativeBindingCount|close-02",
    "FieldDisagreement": "effortless-xlsx|Steps.StaleAuthoritativeBindingCount",
    "RecordId": "close-02",
    "ExpectedValue": "1",
    "ActualValue": "0",
    "Reason": "wrong/null value",
    "SemanticTypeIri": "urn:effortless:pko-extension#CellDisagreement",
    "Name": "effortless-xlsx|Steps.StaleAuthoritativeBindingCount @ close-02",
    "Substrate": "effortless-xlsx",
    "RulebookField": "Steps.StaleAuthoritativeBindingCount"
   },
   {
    "CellDisagreementId": "effortless-xlsx|Steps.StaleAuthoritativeBindingCount|policy-01",
    "FieldDisagreement": "effortless-xlsx|Steps.StaleAuthoritativeBindingCount",
    "RecordId": "policy-01",
    "ExpectedValue": "1",
    "ActualValue": "0",
    "Reason": "wrong/null value",
    "SemanticTypeIri": "urn:effortless:pko-extension#CellDisagreement",
    "Name": "effortless-xlsx|Steps.StaleAuthoritativeBindingCount @ policy-01",
    "Substrate": "effortless-xlsx",
    "RulebookField": "Steps.StaleAuthoritativeBindingCount"
   },
   {
    "CellDisagreementId": "effortless-xlsx|Steps.StaleAuthoritativeBindingCount|policy-07",
    "FieldDisagreement": "effortless-xlsx|Steps.StaleAuthoritativeBindingCount",
    "RecordId": "policy-07",
    "ExpectedValue": "1",
    "ActualValue": "0",
    "Reason": "wrong/null value",
    "SemanticTypeIri": "urn:effortless:pko-extension#CellDisagreement",
    "Name": "effortless-xlsx|Steps.StaleAuthoritativeBindingCount @ policy-07",
    "Substrate": "effortless-xlsx",
    "RulebookField": "Steps.StaleAuthoritativeBindingCount"
   },
   {
    "CellDisagreementId": "effortless-xlsx|Steps.InputsAreFresh|close-02",
    "FieldDisagreement": "effortless-xlsx|Steps.InputsAreFresh",
    "RecordId": "close-02",
    "ExpectedValue": "false",
    "ActualValue": "true",
    "Reason": "wrong/null value",
    "SemanticTypeIri": "urn:effortless:pko-extension#CellDisagreement",
    "Name": "effortless-xlsx|Steps.InputsAreFresh @ close-02",
    "Substrate": "effortless-xlsx",
    "RulebookField": "Steps.InputsAreFresh"
   },
   {
    "CellDisagreementId": "effortless-xlsx|Steps.InputsAreFresh|policy-01",
    "FieldDisagreement": "effortless-xlsx|Steps.InputsAreFresh",
    "RecordId": "policy-01",
    "ExpectedValue": "false",
    "ActualValue": "true",
    "Reason": "wrong/null value",
    "SemanticTypeIri": "urn:effortless:pko-extension#CellDisagreement",
    "Name": "effortless-xlsx|Steps.InputsAreFresh @ policy-01",
    "Substrate": "effortless-xlsx",
    "RulebookField": "Steps.InputsAreFresh"
   },
   {
    "CellDisagreementId": "effortless-xlsx|Steps.InputsAreFresh|policy-07",
    "FieldDisagreement": "effortless-xlsx|Steps.InputsAreFresh",
    "RecordId": "policy-07",
    "ExpectedValue": "false",
    "ActualValue": "true",
    "Reason": "wrong/null value",
    "SemanticTypeIri": "urn:effortless:pko-extension#CellDisagreement",
    "Name": "effortless-xlsx|Steps.InputsAreFresh @ policy-07",
    "Substrate": "effortless-xlsx",
    "RulebookField": "Steps.InputsAreFresh"
   },
   {
    "CellDisagreementId": "effortless-xlsx|Steps.UnusableBindingCount|close-02",
    "FieldDisagreement": "effortless-xlsx|Steps.UnusableBindingCount",
    "RecordId": "close-02",
    "ExpectedValue": "1",
    "ActualValue": "0",
    "Reason": "wrong/null value",
    "SemanticTypeIri": "urn:effortless:pko-extension#CellDisagreement",
    "Name": "effortless-xlsx|Steps.UnusableBindingCount @ close-02",
    "Substrate": "effortless-xlsx",
    "RulebookField": "Steps.UnusableBindingCount"
   },
   {
    "CellDisagreementId": "effortless-xlsx|Steps.UnusableBindingCount|policy-01",
    "FieldDisagreement": "effortless-xlsx|Steps.UnusableBindingCount",
    "RecordId": "policy-01",
    "ExpectedValue": "1",
    "ActualValue": "0",
    "Reason": "wrong/null value",
    "SemanticTypeIri": "urn:effortless:pko-extension#CellDisagreement",
    "Name": "effortless-xlsx|Steps.UnusableBindingCount @ policy-01",
    "Substrate": "effortless-xlsx",
    "RulebookField": "Steps.UnusableBindingCount"
   },
   {
    "CellDisagreementId": "effortless-xlsx|Steps.UnusableBindingCount|policy-07",
    "FieldDisagreement": "effortless-xlsx|Steps.UnusableBindingCount",
    "RecordId": "policy-07",
    "ExpectedValue": "3",
    "ActualValue": "0",
    "Reason": "wrong/null value",
    "SemanticTypeIri": "urn:effortless:pko-extension#CellDisagreement",
    "Name": "effortless-xlsx|Steps.UnusableBindingCount @ policy-07",
    "Substrate": "effortless-xlsx",
    "RulebookField": "Steps.UnusableBindingCount"
   },
   {
    "CellDisagreementId": "effortless-xlsx|Steps.AllSourcesUsable|close-02",
    "FieldDisagreement": "effortless-xlsx|Steps.AllSourcesUsable",
    "RecordId": "close-02",
    "ExpectedValue": "false",
    "ActualValue": "true",
    "Reason": "wrong/null value",
    "SemanticTypeIri": "urn:effortless:pko-extension#CellDisagreement",
    "Name": "effortless-xlsx|Steps.AllSourcesUsable @ close-02",
    "Substrate": "effortless-xlsx",
    "RulebookField": "Steps.AllSourcesUsable"
   },
   {
    "CellDisagreementId": "effortless-xlsx|Steps.AllSourcesUsable|policy-01",
    "FieldDisagreement": "effortless-xlsx|Steps.AllSourcesUsable",
    "RecordId": "policy-01",
    "ExpectedValue": "false",
    "ActualValue": "true",
    "Reason": "wrong/null value",
    "SemanticTypeIri": "urn:effortless:pko-extension#CellDisagreement",
    "Name": "effortless-xlsx|Steps.AllSourcesUsable @ policy-01",
    "Substrate": "effortless-xlsx",
    "RulebookField": "Steps.AllSourcesUsable"
   },
   {
    "CellDisagreementId": "effortless-xlsx|Steps.AllSourcesUsable|policy-07",
    "FieldDisagreement": "effortless-xlsx|Steps.AllSourcesUsable",
    "RecordId": "policy-07",
    "ExpectedValue": "false",
    "ActualValue": "true",
    "Reason": "wrong/null value",
    "SemanticTypeIri": "urn:effortless:pko-extension#CellDisagreement",
    "Name": "effortless-xlsx|Steps.AllSourcesUsable @ policy-07",
    "Substrate": "effortless-xlsx",
    "RulebookField": "Steps.AllSourcesUsable"
   },
   {
    "CellDisagreementId": "effortless-xlsx|Steps.UnwarrantedBoundaryCount|close-06",
    "FieldDisagreement": "effortless-xlsx|Steps.UnwarrantedBoundaryCount",
    "RecordId": "close-06",
    "ExpectedValue": "1",
    "ActualValue": "0",
    "Reason": "wrong/null value",
    "SemanticTypeIri": "urn:effortless:pko-extension#CellDisagreement",
    "Name": "effortless-xlsx|Steps.UnwarrantedBoundaryCount @ close-06",
    "Substrate": "effortless-xlsx",
    "RulebookField": "Steps.UnwarrantedBoundaryCount"
   },
   {
    "CellDisagreementId": "effortless-xlsx|Steps.IsGovernedByUnwarrantedBoundary|close-06",
    "FieldDisagreement": "effortless-xlsx|Steps.IsGovernedByUnwarrantedBoundary",
    "RecordId": "close-06",
    "ExpectedValue": "true",
    "ActualValue": "false",
    "Reason": "wrong/null value",
    "SemanticTypeIri": "urn:effortless:pko-extension#CellDisagreement",
    "Name": "effortless-xlsx|Steps.IsGovernedByUnwarrantedBoundary @ close-06",
    "Substrate": "effortless-xlsx",
    "RulebookField": "Steps.IsGovernedByUnwarrantedBoundary"
   },
   {
    "CellDisagreementId": "effortless-xlsx|Requirements.NamedWitnessFieldExists|req-close-balance",
    "FieldDisagreement": "effortless-xlsx|Requirements.NamedWitnessFieldExists",
    "RecordId": "req-close-balance",
    "ExpectedValue": "true",
    "ActualValue": "null",
    "Reason": "wrong/null value",
    "SemanticTypeIri": "urn:effortless:pko-extension#CellDisagreement",
    "Name": "effortless-xlsx|Requirements.NamedWitnessFieldExists @ req-close-balance",
    "Substrate": "effortless-xlsx",
    "RulebookField": "Requirements.NamedWitnessFieldExists"
   },
   {
    "CellDisagreementId": "effortless-xlsx|Requirements.NamedWitnessFieldExists|req-close-cutoff",
    "FieldDisagreement": "effortless-xlsx|Requirements.NamedWitnessFieldExists",
    "RecordId": "req-close-cutoff",
    "ExpectedValue": "true",
    "ActualValue": "null",
    "Reason": "wrong/null value",
    "SemanticTypeIri": "urn:effortless:pko-extension#CellDisagreement",
    "Name": "effortless-xlsx|Requirements.NamedWitnessFieldExists @ req-close-cutoff",
    "Substrate": "effortless-xlsx",
    "RulebookField": "Requirements.NamedWitnessFieldExists"
   },
   {
    "CellDisagreementId": "effortless-xlsx|Requirements.HasMeaningfulSample|req-close-balance",
    "FieldDisagreement": "effortless-xlsx|Requirements.HasMeaningfulSample",
    "RecordId": "req-close-balance",
    "ExpectedValue": "false",
    "ActualValue": "true",
    "Reason": "wrong/null value",
    "SemanticTypeIri": "urn:effortless:pko-extension#CellDisagreement",
    "Name": "effortless-xlsx|Requirements.HasMeaningfulSample @ req-close-balance",
    "Substrate": "effortless-xlsx",
    "RulebookField": "Requirements.HasMeaningfulSample"
   },
   {
    "CellDisagreementId": "effortless-xlsx|Requirements.HasMeaningfulSample|req-close-cutoff",
    "FieldDisagreement": "effortless-xlsx|Requirements.HasMeaningfulSample",
    "RecordId": "req-close-cutoff",
    "ExpectedValue": "false",
    "ActualValue": "true",
    "Reason": "wrong/null value",
    "SemanticTypeIri": "urn:effortless:pko-extension#CellDisagreement",
    "Name": "effortless-xlsx|Requirements.HasMeaningfulSample @ req-close-cutoff",
    "Substrate": "effortless-xlsx",
    "RulebookField": "Requirements.HasMeaningfulSample"
   },
   {
    "CellDisagreementId": "effortless-xlsx|Requirements.HasMeaningfulSample|req-close-evidence",
    "FieldDisagreement": "effortless-xlsx|Requirements.HasMeaningfulSample",
    "RecordId": "req-close-evidence",
    "ExpectedValue": "false",
    "ActualValue": "true",
    "Reason": "wrong/null value",
    "SemanticTypeIri": "urn:effortless:pko-extension#CellDisagreement",
    "Name": "effortless-xlsx|Requirements.HasMeaningfulSample @ req-close-evidence",
    "Substrate": "effortless-xlsx",
    "RulebookField": "Requirements.HasMeaningfulSample"
   },
   {
    "CellDisagreementId": "effortless-xlsx|Requirements.HasMeaningfulSample|req-close-human-approval",
    "FieldDisagreement": "effortless-xlsx|Requirements.HasMeaningfulSample",
    "RecordId": "req-close-human-approval",
    "ExpectedValue": "false",
    "ActualValue": "true",
    "Reason": "wrong/null value",
    "SemanticTypeIri": "urn:effortless:pko-extension#CellDisagreement",
    "Name": "effortless-xlsx|Requirements.HasMeaningfulSample @ req-close-human-approval",
    "Substrate": "effortless-xlsx",
    "RulebookField": "Requirements.HasMeaningfulSample"
   },
   {
    "CellDisagreementId": "effortless-xlsx|Requirements.HasMeaningfulSample|req-close-separation",
    "FieldDisagreement": "effortless-xlsx|Requirements.HasMeaningfulSample",
    "RecordId": "req-close-separation",
    "ExpectedValue": "false",
    "ActualValue": "true",
    "Reason": "wrong/null value",
    "SemanticTypeIri": "urn:effortless:pko-extension#CellDisagreement",
    "Name": "effortless-xlsx|Requirements.HasMeaningfulSample @ req-close-separation",
    "Substrate": "effortless-xlsx",
    "RulebookField": "Requirements.HasMeaningfulSample"
   },
   {
    "CellDisagreementId": "effortless-xlsx|Requirements.HasMeaningfulSample|req-policy-accessibility",
    "FieldDisagreement": "effortless-xlsx|Requirements.HasMeaningfulSample",
    "RecordId": "req-policy-accessibility",
    "ExpectedValue": "false",
    "ActualValue": "true",
    "Reason": "wrong/null value",
    "SemanticTypeIri": "urn:effortless:pko-extension#CellDisagreement",
    "Name": "effortless-xlsx|Requirements.HasMeaningfulSample @ req-policy-accessibility",
    "Substrate": "effortless-xlsx",
    "RulebookField": "Requirements.HasMeaningfulSample"
   },
   {
    "CellDisagreementId": "effortless-xlsx|Requirements.HasMeaningfulSample|req-policy-consent",
    "FieldDisagreement": "effortless-xlsx|Requirements.HasMeaningfulSample",
    "RecordId": "req-policy-consent",
    "ExpectedValue": "false",
    "ActualValue": "true",
    "Reason": "wrong/null value",
    "SemanticTypeIri": "urn:effortless:pko-extension#CellDisagreement",
    "Name": "effortless-xlsx|Requirements.HasMeaningfulSample @ req-policy-consent",
    "Substrate": "effortless-xlsx",
    "RulebookField": "Requirements.HasMeaningfulSample"
   },
   {
    "CellDisagreementId": "effortless-xlsx|Requirements.HasMeaningfulSample|req-policy-human-approval",
    "FieldDisagreement": "effortless-xlsx|Requirements.HasMeaningfulSample",
    "RecordId": "req-policy-human-approval",
    "ExpectedValue": "false",
    "ActualValue": "true",
    "Reason": "wrong/null value",
    "SemanticTypeIri": "urn:effortless:pko-extension#CellDisagreement",
    "Name": "effortless-xlsx|Requirements.HasMeaningfulSample @ req-policy-human-approval",
    "Substrate": "effortless-xlsx",
    "RulebookField": "Requirements.HasMeaningfulSample"
   },
   {
    "CellDisagreementId": "effortless-xlsx|Requirements.HasMeaningfulSample|req-policy-legal",
    "FieldDisagreement": "effortless-xlsx|Requirements.HasMeaningfulSample",
    "RecordId": "req-policy-legal",
    "ExpectedValue": "false",
    "ActualValue": "true",
    "Reason": "wrong/null value",
    "SemanticTypeIri": "urn:effortless:pko-extension#CellDisagreement",
    "Name": "effortless-xlsx|Requirements.HasMeaningfulSample @ req-policy-legal",
    "Substrate": "effortless-xlsx",
    "RulebookField": "Requirements.HasMeaningfulSample"
   },
   {
    "CellDisagreementId": "effortless-xlsx|Requirements.HasMeaningfulSample|req-policy-optout",
    "FieldDisagreement": "effortless-xlsx|Requirements.HasMeaningfulSample",
    "RecordId": "req-policy-optout",
    "ExpectedValue": "false",
    "ActualValue": "true",
    "Reason": "wrong/null value",
    "SemanticTypeIri": "urn:effortless:pko-extension#CellDisagreement",
    "Name": "effortless-xlsx|Requirements.HasMeaningfulSample @ req-policy-optout",
    "Substrate": "effortless-xlsx",
    "RulebookField": "Requirements.HasMeaningfulSample"
   },
   {
    "CellDisagreementId": "effortless-xlsx|Requirements.HasMeaningfulSample|req-policy-quiet-hours",
    "FieldDisagreement": "effortless-xlsx|Requirements.HasMeaningfulSample",
    "RecordId": "req-policy-quiet-hours",
    "ExpectedValue": "false",
    "ActualValue": "true",
    "Reason": "wrong/null value",
    "SemanticTypeIri": "urn:effortless:pko-extension#CellDisagreement",
    "Name": "effortless-xlsx|Requirements.HasMeaningfulSample @ req-policy-quiet-hours",
    "Substrate": "effortless-xlsx",
    "RulebookField": "Requirements.HasMeaningfulSample"
   },
   {
    "CellDisagreementId": "effortless-xlsx|Requirements.HasMeaningfulSample|req-policy-retention",
    "FieldDisagreement": "effortless-xlsx|Requirements.HasMeaningfulSample",
    "RecordId": "req-policy-retention",
    "ExpectedValue": "false",
    "ActualValue": "true",
    "Reason": "wrong/null value",
    "SemanticTypeIri": "urn:effortless:pko-extension#CellDisagreement",
    "Name": "effortless-xlsx|Requirements.HasMeaningfulSample @ req-policy-retention",
    "Substrate": "effortless-xlsx",
    "RulebookField": "Requirements.HasMeaningfulSample"
   },
   {
    "CellDisagreementId": "effortless-xlsx|Requirements.HasMeaningfulSample|req-policy-source",
    "FieldDisagreement": "effortless-xlsx|Requirements.HasMeaningfulSample",
    "RecordId": "req-policy-source",
    "ExpectedValue": "false",
    "ActualValue": "true",
    "Reason": "wrong/null value",
    "SemanticTypeIri": "urn:effortless:pko-extension#CellDisagreement",
    "Name": "effortless-xlsx|Requirements.HasMeaningfulSample @ req-policy-source",
    "Substrate": "effortless-xlsx",
    "RulebookField": "Requirements.HasMeaningfulSample"
   },
   {
    "CellDisagreementId": "effortless-xlsx|Requirements.IsUntestedWitness|req-close-balance",
    "FieldDisagreement": "effortless-xlsx|Requirements.IsUntestedWitness",
    "RecordId": "req-close-balance",
    "ExpectedValue": "true",
    "ActualValue": "false",
    "Reason": "wrong/null value",
    "SemanticTypeIri": "urn:effortless:pko-extension#CellDisagreement",
    "Name": "effortless-xlsx|Requirements.IsUntestedWitness @ req-close-balance",
    "Substrate": "effortless-xlsx",
    "RulebookField": "Requirements.IsUntestedWitness"
   },
   {
    "CellDisagreementId": "effortless-xlsx|Requirements.IsUntestedWitness|req-close-cutoff",
    "FieldDisagreement": "effortless-xlsx|Requirements.IsUntestedWitness",
    "RecordId": "req-close-cutoff",
    "ExpectedValue": "true",
    "ActualValue": "false",
    "Reason": "wrong/null value",
    "SemanticTypeIri": "urn:effortless:pko-extension#CellDisagreement",
    "Name": "effortless-xlsx|Requirements.IsUntestedWitness @ req-close-cutoff",
    "Substrate": "effortless-xlsx",
    "RulebookField": "Requirements.IsUntestedWitness"
   },
   {
    "CellDisagreementId": "effortless-xlsx|Requirements.IsUntestedWitness|req-close-separation",
    "FieldDisagreement": "effortless-xlsx|Requirements.IsUntestedWitness",
    "RecordId": "req-close-separation",
    "ExpectedValue": "true",
    "ActualValue": "false",
    "Reason": "wrong/null value",
    "SemanticTypeIri": "urn:effortless:pko-extension#CellDisagreement",
    "Name": "effortless-xlsx|Requirements.IsUntestedWitness @ req-close-separation",
    "Substrate": "effortless-xlsx",
    "RulebookField": "Requirements.IsUntestedWitness"
   },
   {
    "CellDisagreementId": "effortless-xlsx|Requirements.IsEvidencedHoldingControl|req-close-balance",
    "FieldDisagreement": "effortless-xlsx|Requirements.IsEvidencedHoldingControl",
    "RecordId": "req-close-balance",
    "ExpectedValue": "false",
    "ActualValue": "true",
    "Reason": "wrong/null value",
    "SemanticTypeIri": "urn:effortless:pko-extension#CellDisagreement",
    "Name": "effortless-xlsx|Requirements.IsEvidencedHoldingControl @ req-close-balance",
    "Substrate": "effortless-xlsx",
    "RulebookField": "Requirements.IsEvidencedHoldingControl"
   },
   {
    "CellDisagreementId": "effortless-xlsx|Requirements.IsEvidencedHoldingControl|req-close-cutoff",
    "FieldDisagreement": "effortless-xlsx|Requirements.IsEvidencedHoldingControl",
    "RecordId": "req-close-cutoff",
    "ExpectedValue": "false",
    "ActualValue": "true",
    "Reason": "wrong/null value",
    "SemanticTypeIri": "urn:effortless:pko-extension#CellDisagreement",
    "Name": "effortless-xlsx|Requirements.IsEvidencedHoldingControl @ req-close-cutoff",
    "Substrate": "effortless-xlsx",
    "RulebookField": "Requirements.IsEvidencedHoldingControl"
   },
   {
    "CellDisagreementId": "effortless-xlsx|Requirements.IsEvidencedHoldingControl|req-close-separation",
    "FieldDisagreement": "effortless-xlsx|Requirements.IsEvidencedHoldingControl",
    "RecordId": "req-close-separation",
    "ExpectedValue": "false",
    "ActualValue": "true",
    "Reason": "wrong/null value",
    "SemanticTypeIri": "urn:effortless:pko-extension#CellDisagreement",
    "Name": "effortless-xlsx|Requirements.IsEvidencedHoldingControl @ req-close-separation",
    "Substrate": "effortless-xlsx",
    "RulebookField": "Requirements.IsEvidencedHoldingControl"
   },
   {
    "CellDisagreementId": "effortless-xlsx|Requirements.ControlAssuranceState|req-close-balance",
    "FieldDisagreement": "effortless-xlsx|Requirements.ControlAssuranceState",
    "RecordId": "req-close-balance",
    "ExpectedValue": "\"Untested\"",
    "ActualValue": "\"Holding\"",
    "Reason": "wrong/null value",
    "SemanticTypeIri": "urn:effortless:pko-extension#CellDisagreement",
    "Name": "effortless-xlsx|Requirements.ControlAssuranceState @ req-close-balance",
    "Substrate": "effortless-xlsx",
    "RulebookField": "Requirements.ControlAssuranceState"
   },
   {
    "CellDisagreementId": "effortless-xlsx|Requirements.ControlAssuranceState|req-close-cutoff",
    "FieldDisagreement": "effortless-xlsx|Requirements.ControlAssuranceState",
    "RecordId": "req-close-cutoff",
    "ExpectedValue": "\"Untested\"",
    "ActualValue": "\"Holding\"",
    "Reason": "wrong/null value",
    "SemanticTypeIri": "urn:effortless:pko-extension#CellDisagreement",
    "Name": "effortless-xlsx|Requirements.ControlAssuranceState @ req-close-cutoff",
    "Substrate": "effortless-xlsx",
    "RulebookField": "Requirements.ControlAssuranceState"
   },
   {
    "CellDisagreementId": "effortless-xlsx|Requirements.ControlAssuranceState|req-close-separation",
    "FieldDisagreement": "effortless-xlsx|Requirements.ControlAssuranceState",
    "RecordId": "req-close-separation",
    "ExpectedValue": "\"Untested\"",
    "ActualValue": "\"Holding\"",
    "Reason": "wrong/null value",
    "SemanticTypeIri": "urn:effortless:pko-extension#CellDisagreement",
    "Name": "effortless-xlsx|Requirements.ControlAssuranceState @ req-close-separation",
    "Substrate": "effortless-xlsx",
    "RulebookField": "Requirements.ControlAssuranceState"
   },
   {
    "CellDisagreementId": "effortless-xlsx|ElicitationSessions.Name|elicit-close-shadow",
    "FieldDisagreement": "effortless-xlsx|ElicitationSessions.Name",
    "RecordId": "elicit-close-shadow",
    "ExpectedValue": "\"Shadowing / 2026-04-03T09:00:00-05:00\"",
    "ActualValue": "\"Shadowing / 2026-04-03 14:00:00+00\"",
    "Reason": "wrong/null value",
    "SemanticTypeIri": "urn:effortless:pko-extension#CellDisagreement",
    "Name": "effortless-xlsx|ElicitationSessions.Name @ elicit-close-shadow",
    "Substrate": "effortless-xlsx",
    "RulebookField": "ElicitationSessions.Name"
   },
   {
    "CellDisagreementId": "effortless-xlsx|ElicitationSessions.Name|elicit-policy-interview",
    "FieldDisagreement": "effortless-xlsx|ElicitationSessions.Name",
    "RecordId": "elicit-policy-interview",
    "ExpectedValue": "\"PractitionerInterview / 2026-05-12T13:00:00-05:00\"",
    "ActualValue": "\"PractitionerInterview / 2026-05-12 18:00:00+00\"",
    "Reason": "wrong/null value",
    "SemanticTypeIri": "urn:effortless:pko-extension#CellDisagreement",
    "Name": "effortless-xlsx|ElicitationSessions.Name @ elicit-policy-interview",
    "Substrate": "effortless-xlsx",
    "RulebookField": "ElicitationSessions.Name"
   },
   {
    "CellDisagreementId": "effortless-xlsx|ElicitationSessions.Name|elicit-policy-workshop",
    "FieldDisagreement": "effortless-xlsx|ElicitationSessions.Name",
    "RecordId": "elicit-policy-workshop",
    "ExpectedValue": "\"FacilitatedWorkshop / 2026-05-10T10:00:00-05:00\"",
    "ActualValue": "\"FacilitatedWorkshop / 2026-05-10 15:00:00+00\"",
    "Reason": "wrong/null value",
    "SemanticTypeIri": "urn:effortless:pko-extension#CellDisagreement",
    "Name": "effortless-xlsx|ElicitationSessions.Name @ elicit-policy-workshop",
    "Substrate": "effortless-xlsx",
    "RulebookField": "ElicitationSessions.Name"
   },
   {
    "CellDisagreementId": "effortless-xlsx|ElicitationSessions.AsOfInstant|elicit-close-shadow",
    "FieldDisagreement": "effortless-xlsx|ElicitationSessions.AsOfInstant",
    "RecordId": "elicit-close-shadow",
    "ExpectedValue": "\"2026-07-19T13:00:00-05:00\"",
    "ActualValue": "\"2026-07-19 18:00:00\"",
    "Reason": "wrong/null value",
    "SemanticTypeIri": "urn:effortless:pko-extension#CellDisagreement",
    "Name": "effortless-xlsx|ElicitationSessions.AsOfInstant @ elicit-close-shadow",
    "Substrate": "effortless-xlsx",
    "Ruleboo</t>
  </si>
  <si>
    <t xml:space="preserve">kField": "ElicitationSessions.AsOfInstant"
   },
   {
    "CellDisagreementId": "effortless-xlsx|ElicitationSessions.AsOfInstant|elicit-policy-interview",
    "FieldDisagreement": "effortless-xlsx|ElicitationSessions.AsOfInstant",
    "RecordId": "elicit-policy-interview",
    "ExpectedValue": "\"2026-07-19T13:00:00-05:00\"",
    "ActualValue": "\"2026-07-19 18:00:00\"",
    "Reason": "wrong/null value",
    "SemanticTypeIri": "urn:effortless:pko-extension#CellDisagreement",
    "Name": "effortless-xlsx|ElicitationSessions.AsOfInstant @ elicit-policy-interview",
    "Substrate": "effortless-xlsx",
    "RulebookField": "ElicitationSessions.AsOfInstant"
   },
   {
    "CellDisagreementId": "effortless-xlsx|ElicitationSessions.AsOfInstant|elicit-policy-workshop",
    "FieldDisagreement": "effortless-xlsx|ElicitationSessions.AsOfInstant",
    "RecordId": "elicit-policy-workshop",
    "ExpectedValue": "\"2026-07-19T13:00:00-05:00\"",
    "ActualValue": "\"2026-07-19 18:00:00\"",
    "Reason": "wrong/null value",
    "SemanticTypeIri": "urn:effortless:pko-extension#CellDisagreement",
    "Name": "effortless-xlsx|ElicitationSessions.AsOfInstant @ elicit-policy-workshop",
    "Substrate": "effortless-xlsx",
    "RulebookField": "ElicitationSessions.AsOfInstant"
   },
   {
    "CellDisagreementId": "effortless-xlsx|ElicitationSessions.DaysSinceElicited|elicit-policy-interview",
    "FieldDisagreement": "effortless-xlsx|ElicitationSessions.DaysSinceElicited",
    "RecordId": "elicit-policy-interview",
    "ExpectedValue": "67",
    "ActualValue": "68",
    "Reason": "wrong/null value",
    "SemanticTypeIri": "urn:effortless:pko-extension#CellDisagreement",
    "Name": "effortless-xlsx|ElicitationSessions.DaysSinceElicited @ elicit-policy-interview",
    "Substrate": "effortless-xlsx",
    "RulebookField": "ElicitationSessions.DaysSinceElicited"
   },
   {
    "CellDisagreementId": "effortless-xlsx|ElicitationSessions.DaysSinceElicited|elicit-policy-workshop",
    "FieldDisagreement": "effortless-xlsx|ElicitationSessions.DaysSinceElicited",
    "RecordId": "elicit-policy-workshop",
    "ExpectedValue": "69",
    "ActualValue": "70",
    "Reason": "wrong/null value",
    "SemanticTypeIri": "urn:effortless:pko-extension#CellDisagreement",
    "Name": "effortless-xlsx|ElicitationSessions.DaysSinceElicited @ elicit-policy-workshop",
    "Substrate": "effortless-xlsx",
    "RulebookField": "ElicitationSessions.DaysSinceElicited"
   },
   {
    "CellDisagreementId": "effortless-xlsx|KnowledgeFragments.AsOfInstant|kf-close-fx-time",
    "FieldDisagreement": "effortless-xlsx|KnowledgeFragments.AsOfInstant",
    "RecordId": "kf-close-fx-time",
    "ExpectedValue": "\"2026-07-19T13:00:00-05:00\"",
    "ActualValue": "\"2026-07-19 18:00:00\"",
    "Reason": "wrong/null value",
    "SemanticTypeIri": "urn:effortless:pko-extension#CellDisagreement",
    "Name": "effortless-xlsx|KnowledgeFragments.AsOfInstant @ kf-close-fx-time",
    "Substrate": "effortless-xlsx",
    "RulebookField": "KnowledgeFragments.AsOfInstant"
   },
   {
    "CellDisagreementId": "effortless-xlsx|KnowledgeFragments.AsOfInstant|kf-close-judgment",
    "FieldDisagreement": "effortless-xlsx|KnowledgeFragments.AsOfInstant",
    "RecordId": "kf-close-judgment",
    "ExpectedValue": "\"2026-07-19T13:00:00-05:00\"",
    "ActualValue": "\"2026-07-19 18:00:00\"",
    "Reason": "wrong/null value",
    "SemanticTypeIri": "urn:effortless:pko-extension#CellDisagreement",
    "Name": "effortless-xlsx|KnowledgeFragments.AsOfInstant @ kf-close-judgment",
    "Substrate": "effortless-xlsx",
    "RulebookField": "KnowledgeFragments.AsOfInstant"
   },
   {
    "CellDisagreementId": "effortless-xlsx|KnowledgeFragments.AsOfInstant|kf-close-retention",
    "FieldDisagreement": "effortless-xlsx|KnowledgeFragments.AsOfInstant",
    "RecordId": "kf-close-retention",
    "ExpectedValue": "\"2026-07-19T13:00:00-05:00\"",
    "ActualValue": "\"2026-07-19 18:00:00\"",
    "Reason": "wrong/null value",
    "SemanticTypeIri": "urn:effortless:pko-extension#CellDisagreement",
    "Name": "effortless-xlsx|KnowledgeFragments.AsOfInstant @ kf-close-retention",
    "Substrate": "effortless-xlsx",
    "RulebookField": "KnowledgeFragments.AsOfInstant"
   },
   {
    "CellDisagreementId": "effortless-xlsx|KnowledgeFragments.AsOfInstant|kf-close-top-ten",
    "FieldDisagreement": "effortless-xlsx|KnowledgeFragments.AsOfInstant",
    "RecordId": "kf-close-top-ten",
    "ExpectedValue": "\"2026-07-19T13:00:00-05:00\"",
    "ActualValue": "\"2026-07-19 18:00:00\"",
    "Reason": "wrong/null value",
    "SemanticTypeIri": "urn:effortless:pko-extension#CellDisagreement",
    "Name": "effortless-xlsx|KnowledgeFragments.AsOfInstant @ kf-close-top-ten",
    "Substrate": "effortless-xlsx",
    "RulebookField": "KnowledgeFragments.AsOfInstant"
   },
   {
    "CellDisagreementId": "effortless-xlsx|KnowledgeFragments.AsOfInstant|kf-policy-ai-boundary",
    "FieldDisagreement": "effortless-xlsx|KnowledgeFragments.AsOfInstant",
    "RecordId": "kf-policy-ai-boundary",
    "ExpectedValue": "\"2026-07-19T13:00:00-05:00\"",
    "ActualValue": "\"2026-07-19 18:00:00\"",
    "Reason": "wrong/null value",
    "SemanticTypeIri": "urn:effortless:pko-extension#CellDisagreement",
    "Name": "effortless-xlsx|KnowledgeFragments.AsOfInstant @ kf-policy-ai-boundary",
    "Substrate": "effortless-xlsx",
    "RulebookField": "KnowledgeFragments.AsOfInstant"
   },
   {
    "CellDisagreementId": "effortless-xlsx|KnowledgeFragments.AsOfInstant|kf-policy-channel",
    "FieldDisagreement": "effortless-xlsx|KnowledgeFragments.AsOfInstant",
    "RecordId": "kf-policy-channel",
    "ExpectedValue": "\"2026-07-19T13:00:00-05:00\"",
    "ActualValue": "\"2026-07-19 18:00:00\"",
    "Reason": "wrong/null value",
    "SemanticTypeIri": "urn:effortless:pko-extension#CellDisagreement",
    "Name": "effortless-xlsx|KnowledgeFragments.AsOfInstant @ kf-policy-channel",
    "Substrate": "effortless-xlsx",
    "RulebookField": "KnowledgeFragments.AsOfInstant"
   },
   {
    "CellDisagreementId": "effortless-xlsx|KnowledgeFragments.AsOfInstant|kf-policy-manager-route",
    "FieldDisagreement": "effortless-xlsx|KnowledgeFragments.AsOfInstant",
    "RecordId": "kf-policy-manager-route",
    "ExpectedValue": "\"2026-07-19T13:00:00-05:00\"",
    "ActualValue": "\"2026-07-19 18:00:00\"",
    "Reason": "wrong/null value",
    "SemanticTypeIri": "urn:effortless:pko-extension#CellDisagreement",
    "Name": "effortless-xlsx|KnowledgeFragments.AsOfInstant @ kf-policy-manager-route",
    "Substrate": "effortless-xlsx",
    "RulebookField": "KnowledgeFragments.AsOfInstant"
   },
   {
    "CellDisagreementId": "effortless-xlsx|KnowledgeFragments.OwnerRoleAssignmentValidFrom|kf-close-fx-time",
    "FieldDisagreement": "effortless-xlsx|KnowledgeFragments.OwnerRoleAssignmentValidFrom",
    "RecordId": "kf-close-fx-time",
    "ExpectedValue": "\"2026-01-01T00:00:00-06:00\"",
    "ActualValue": "\"2026-01-01 06:00:00\"",
    "Reason": "wrong/null value",
    "SemanticTypeIri": "urn:effortless:pko-extension#CellDisagreement",
    "Name": "effortless-xlsx|KnowledgeFragments.OwnerRoleAssignmentValidFrom @ kf-close-fx-time",
    "Substrate": "effortless-xlsx",
    "RulebookField": "KnowledgeFragments.OwnerRoleAssignmentValidFrom"
   },
   {
    "CellDisagreementId": "effortless-xlsx|KnowledgeFragments.OwnerRoleAssignmentValidFrom|kf-close-judgment",
    "FieldDisagreement": "effortless-xlsx|KnowledgeFragments.OwnerRoleAssignmentValidFrom",
    "RecordId": "kf-close-judgment",
    "ExpectedValue": "\"2026-01-01T00:00:00-06:00\"",
    "ActualValue": "\"2026-01-01 06:00:00\"",
    "Reason": "wrong/null value",
    "SemanticTypeIri": "urn:effortless:pko-extension#CellDisagreement",
    "Name": "effortless-xlsx|KnowledgeFragments.OwnerRoleAssignmentValidFrom @ kf-close-judgment",
    "Substrate": "effortless-xlsx",
    "RulebookField": "KnowledgeFragments.OwnerRoleAssignmentValidFrom"
   },
   {
    "CellDisagreementId": "effortless-xlsx|KnowledgeFragments.OwnerRoleAssignmentValidFrom|kf-close-retention",
    "FieldDisagreement": "effortless-xlsx|KnowledgeFragments.OwnerRoleAssignmentValidFrom",
    "RecordId": "kf-close-retention",
    "ExpectedValue": "\"2026-01-01T00:00:00-06:00\"",
    "ActualValue": "\"2026-01-01 06:00:00\"",
    "Reason": "wrong/null value",
    "SemanticTypeIri": "urn:effortless:pko-extension#CellDisagreement",
    "Name": "effortless-xlsx|KnowledgeFragments.OwnerRoleAssignmentValidFrom @ kf-close-retention",
    "Substrate": "effortless-xlsx",
    "RulebookField": "KnowledgeFragments.OwnerRoleAssignmentValidFrom"
   },
   {
    "CellDisagreementId": "effortless-xlsx|KnowledgeFragments.OwnerRoleAssignmentValidFrom|kf-close-top-ten",
    "FieldDisagreement": "effortless-xlsx|KnowledgeFragments.OwnerRoleAssignmentValidFrom",
    "RecordId": "kf-close-top-ten",
    "ExpectedValue": "\"2026-01-01T00:00:00-06:00\"",
    "ActualValue": "\"2026-01-01 06:00:00\"",
    "Reason": "wrong/null value",
    "SemanticTypeIri": "urn:effortless:pko-extension#CellDisagreement",
    "Name": "effortless-xlsx|KnowledgeFragments.OwnerRoleAssignmentValidFrom @ kf-close-top-ten",
    "Substrate": "effortless-xlsx",
    "RulebookField": "KnowledgeFragments.OwnerRoleAssignmentValidFrom"
   },
   {
    "CellDisagreementId": "effortless-xlsx|KnowledgeFragments.OwnerRoleAssignmentValidFrom|kf-policy-ai-boundary",
    "FieldDisagreement": "effortless-xlsx|KnowledgeFragments.OwnerRoleAssignmentValidFrom",
    "RecordId": "kf-policy-ai-boundary",
    "ExpectedValue": "\"2026-01-15T00:00:00-06:00\"",
    "ActualValue": "\"2026-01-15 06:00:00\"",
    "Reason": "wrong/null value",
    "SemanticTypeIri": "urn:effortless:pko-extension#CellDisagreement",
    "Name": "effortless-xlsx|KnowledgeFragments.OwnerRoleAssignmentValidFrom @ kf-policy-ai-boundary",
    "Substrate": "effortless-xlsx",
    "RulebookField": "KnowledgeFragments.OwnerRoleAssignmentValidFrom"
   },
   {
    "CellDisagreementId": "effortless-xlsx|KnowledgeFragments.OwnerRoleAssignmentValidFrom|kf-policy-channel",
    "FieldDisagreement": "effortless-xlsx|KnowledgeFragments.OwnerRoleAssignmentValidFrom",
    "RecordId": "kf-policy-channel",
    "ExpectedValue": "\"2026-02-01T00:00:00-06:00\"",
    "ActualValue": "\"2026-02-01 06:00:00\"",
    "Reason": "wrong/null value",
    "SemanticTypeIri": "urn:effortless:pko-extension#CellDisagreement",
    "Name": "effortless-xlsx|KnowledgeFragments.OwnerRoleAssignmentValidFrom @ kf-policy-channel",
    "Substrate": "effortless-xlsx",
    "RulebookField": "KnowledgeFragments.OwnerRoleAssignmentValidFrom"
   },
   {
    "CellDisagreementId": "effortless-xlsx|KnowledgeFragments.OwnerRoleAssignmentValidFrom|kf-policy-manager-route",
    "FieldDisagreement": "effortless-xlsx|KnowledgeFragments.OwnerRoleAssignmentValidFrom",
    "RecordId": "kf-policy-manager-route",
    "ExpectedValue": "\"2026-02-01T00:00:00-06:00\"",
    "ActualValue": "\"2026-02-01 06:00:00\"",
    "Reason": "wrong/null value",
    "SemanticTypeIri": "urn:effortless:pko-extension#CellDisagreement",
    "Name": "effortless-xlsx|KnowledgeFragments.OwnerRoleAssignmentValidFrom @ kf-policy-manager-route",
    "Substrate": "effortless-xlsx",
    "RulebookField": "KnowledgeFragments.OwnerRoleAssignmentValidFrom"
   },
   {
    "CellDisagreementId": "effortless-xlsx|KnowledgeFragments.DaysSinceActualReview|kf-close-fx-time",
    "FieldDisagreement": "effortless-xlsx|KnowledgeFragments.DaysSinceActualReview",
    "RecordId": "kf-close-fx-time",
    "ExpectedValue": "16",
    "ActualValue": "17",
    "Reason": "wrong/null value",
    "SemanticTypeIri": "urn:effortless:pko-extension#CellDisagreement",
    "Name": "effortless-xlsx|KnowledgeFragments.DaysSinceActualReview @ kf-close-fx-time",
    "Substrate": "effortless-xlsx",
    "RulebookField": "KnowledgeFragments.DaysSinceActualReview"
   },
   {
    "CellDisagreementId": "effortless-xlsx|KnowledgeFragments.DaysSinceActualReview|kf-close-top-ten",
    "FieldDisagreement": "effortless-xlsx|KnowledgeFragments.DaysSinceActualReview",
    "RecordId": "kf-close-top-ten",
    "ExpectedValue": "16",
    "ActualValue": "17",
    "Reason": "wrong/null value",
    "SemanticTypeIri": "urn:effortless:pko-extension#CellDisagreement",
    "Name": "effortless-xlsx|KnowledgeFragments.DaysSinceActualReview @ kf-close-top-ten",
    "Substrate": "effortless-xlsx",
    "RulebookField": "KnowledgeFragments.DaysSinceActualReview"
   },
   {
    "CellDisagreementId": "effortless-xlsx|KnowledgeFragments.DaysSinceActualReview|kf-policy-channel",
    "FieldDisagreement": "effortless-xlsx|KnowledgeFragments.DaysSinceActualReview",
    "RecordId": "kf-policy-channel",
    "ExpectedValue": "0",
    "ActualValue": "1",
    "Reason": "wrong/null value",
    "SemanticTypeIri": "urn:effortless:pko-extension#CellDisagreement",
    "Name": "effortless-xlsx|KnowledgeFragments.DaysSinceActualReview @ kf-policy-channel",
    "Substrate": "effortless-xlsx",
    "RulebookField": "KnowledgeFragments.DaysSinceActualReview"
   },
   {
    "CellDisagreementId": "effortless-xlsx|KnowledgeFragments.EvidenceExpiryDays|kf-close-retention",
    "FieldDisagreement": "effortless-xlsx|KnowledgeFragments.EvidenceExpiryDays",
    "RecordId": "kf-close-retention",
    "ExpectedValue": "365",
    "ActualValue": "\"#VALUE!\"",
    "Reason": "wrong/null value",
    "SemanticTypeIri": "urn:effortless:pko-extension#CellDisagreement",
    "Name": "effortless-xlsx|KnowledgeFragments.EvidenceExpiryDays @ kf-close-retention",
    "Substrate": "effortless-xlsx",
    "RulebookField": "KnowledgeFragments.EvidenceExpiryDays"
   },
   {
    "CellDisagreementId": "effortless-xlsx|KnowledgeFragments.EvidenceHasExpired|kf-close-retention",
    "FieldDisagreement": "effortless-xlsx|KnowledgeFragments.EvidenceHasExpired",
    "RecordId": "kf-close-retention",
    "ExpectedValue": "false",
    "ActualValue": "\"#VALUE!\"",
    "Reason": "wrong/null value",
    "SemanticTypeIri": "urn:effortless:pko-extension#CellDisagreement",
    "Name": "effortless-xlsx|KnowledgeFragments.EvidenceHasExpired @ kf-close-retention",
    "Substrate": "effortless-xlsx",
    "RulebookField": "KnowledgeFragments.EvidenceHasExpired"
   },
   {
    "CellDisagreementId": "effortless-xlsx|KnowledgeFragments.FragilitySignalCount|kf-close-retention",
    "FieldDisagreement": "effortless-xlsx|KnowledgeFragments.FragilitySignalCount",
    "RecordId": "kf-close-retention",
    "ExpectedValue": "1",
    "ActualValue": "\"#VALUE!\"",
    "Reason": "wrong/null value",
    "SemanticTypeIri": "urn:effortless:pko-extension#CellDisagreement",
    "Name": "effortless-xlsx|KnowledgeFragments.FragilitySignalCount @ kf-close-retention",
    "Substrate": "effortless-xlsx",
    "RulebookField": "KnowledgeFragments.FragilitySignalCount"
   },
   {
    "CellDisagreementId": "effortless-xlsx|KnowledgeFragments.IsCompoundFragile|kf-close-retention",
    "FieldDisagreement": "effortless-xlsx|KnowledgeFragments.IsCompoundFragile",
    "RecordId": "kf-close-retention",
    "ExpectedValue": "false",
    "ActualValue": "\"#VALUE!\"",
    "Reason": "wrong/null value",
    "SemanticTypeIri": "urn:effortless:pko-extension#CellDisagreement",
    "Name": "effortless-xlsx|KnowledgeFragments.IsCompoundFragile @ kf-close-retention",
    "Substrate": "effortless-xlsx",
    "RulebookField": "KnowledgeFragments.IsCompoundFragile"
   },
   {
    "CellDisagreementId": "effortless-xlsx|KnowledgeFragments.CompoundFragileVersionKey|kf-close-retention",
    "FieldDisagreement": "effortless-xlsx|KnowledgeFragments.CompoundFragileVersionKey",
    "RecordId": "kf-close-retention",
    "ExpectedValue": "null",
    "ActualValue": "\"#VALUE!\"",
    "Reason": "wrong/null value",
    "SemanticTypeIri": "urn:effortless:pko-extension#CellDisagreement",
    "Name": "effortless-xlsx|KnowledgeFragments.CompoundFragileVersionKey @ kf-close-retention",
    "Substrate": "effortless-xlsx",
    "RulebookField": "KnowledgeFragments.CompoundFragileVersionKey"
   },
   {
    "CellDisagreementId": "effortless-xlsx|KnowledgeFragments.EvidenceAgeDays|kf-policy-ai-boundary",
    "FieldDisagreement": "effortless-xlsx|KnowledgeFragments.EvidenceAgeDays",
    "RecordId": "kf-policy-ai-boundary",
    "ExpectedValue": "67",
    "ActualValue": "68",
    "Reason": "wrong/null value",
    "SemanticTypeIri": "urn:effortless:pko-extension#CellDisagreement",
    "Name": "effortless-xlsx|KnowledgeFragments.EvidenceAgeDays @ kf-policy-ai-boundary",
    "Substrate": "effortless-xlsx",
    "RulebookField": "KnowledgeFragments.EvidenceAgeDays"
   },
   {
    "CellDisagreementId": "effortless-xlsx|KnowledgeFragments.EvidenceAgeDays|kf-policy-channel",
    "FieldDisagreement": "effortless-xlsx|KnowledgeFragments.EvidenceAgeDays",
    "RecordId": "kf-policy-channel",
    "ExpectedValue": "69",
    "ActualValue": "70",
    "Reason": "wrong/null value",
    "SemanticTypeIri": "urn:effortless:pko-extension#CellDisagreement",
    "Name": "effortless-xlsx|KnowledgeFragments.EvidenceAgeDays @ kf-policy-channel",
    "Substrate": "effortless-xlsx",
    "RulebookField": "KnowledgeFragments.EvidenceAgeDays"
   },
   {
    "CellDisagreementId": "effortless-xlsx|KnowledgeFragments.EvidenceAgeDays|kf-policy-manager-route",
    "FieldDisagreement": "effortless-xlsx|KnowledgeFragments.EvidenceAgeDays",
    "RecordId": "kf-policy-manager-route",
    "ExpectedValue": "69",
    "ActualValue": "70",
    "Reason": "wrong/null value",
    "SemanticTypeIri": "urn:effortless:pko-extension#CellDisagreement",
    "Name": "effortless-xlsx|KnowledgeFragments.EvidenceAgeDays @ kf-policy-manager-route",
    "Substrate": "effortless-xlsx",
    "RulebookField": "KnowledgeFragments.EvidenceAgeDays"
   },
   {
    "CellDisagreementId": "effortless-xlsx|KnowledgeFragments.AgeDays|kf-policy-ai-boundary",
    "FieldDisagreement": "effortless-xlsx|KnowledgeFragments.AgeDays",
    "RecordId": "kf-policy-ai-boundary",
    "ExpectedValue": "67",
    "ActualValue": "68",
    "Reason": "wrong/null value",
    "SemanticTypeIri": "urn:effortless:pko-extension#CellDisagreement",
    "Name": "effortless-xlsx|KnowledgeFragments.AgeDays @ kf-policy-ai-boundary",
    "Substrate": "effortless-xlsx",
    "RulebookField": "KnowledgeFragments.AgeDays"
   },
   {
    "CellDisagreementId": "effortless-xlsx|KnowledgeFragments.AgeDays|kf-policy-channel",
    "FieldDisagreement": "effortless-xlsx|KnowledgeFragments.AgeDays",
    "RecordId": "kf-policy-channel",
    "ExpectedValue": "69",
    "ActualValue": "70",
    "Reason": "wrong/null value",
    "SemanticTypeIri": "urn:effortless:pko-extension#CellDisagreement",
    "Name": "effortless-xlsx|KnowledgeFragments.AgeDays @ kf-policy-channel",
    "Substrate": "effortless-xlsx",
    "RulebookField": "KnowledgeFragments.AgeDays"
   },
   {
    "CellDisagreementId": "effortless-xlsx|KnowledgeFragments.AgeDays|kf-policy-manager-route",
    "FieldDisagreement": "effortless-xlsx|KnowledgeFragments.AgeDays",
    "RecordId": "kf-policy-manager-route",
    "ExpectedValue": "69",
    "ActualValue": "70",
    "Reason": "wrong/null value",
    "SemanticTypeIri": "urn:effortless:pko-extension#CellDisagreement",
    "Name": "effortless-xlsx|KnowledgeFragments.AgeDays @ kf-policy-manager-route",
    "Substrate": "effortless-xlsx",
    "RulebookField": "KnowledgeFragments.AgeDays"
   },
   {
    "CellDisagreementId": "effortless-xlsx|KnowledgeFragments.DaysAwaitingMyApproval|kf-policy-manager-route",
    "FieldDisagreement": "effortless-xlsx|KnowledgeFragments.DaysAwaitingMyApproval",
    "RecordId": "kf-policy-manager-route",
    "ExpectedValue": "69",
    "ActualValue": "70",
    "Reason": "wrong/null value",
    "SemanticTypeIri": "urn:effortless:pko-extension#CellDisagreement",
    "Name": "effortless-xlsx|KnowledgeFragments.DaysAwaitingMyApproval @ kf-policy-manager-route",
    "Substrate": "effortless-xlsx",
    "RulebookField": "KnowledgeFragments.DaysAwaitingMyApproval"
   },
   {
    "CellDisagreementId": "effortless-xlsx|KnowledgeGaps.AsOfInstant|gap-close-cadence-unmeasured",
    "FieldDisagreement": "effortless-xlsx|KnowledgeGaps.AsOfInstant",
    "RecordId": "gap-close-cadence-unmeasured",
    "ExpectedValue": "\"2026-07-19T13:00:00-05:00\"",
    "ActualValue": "\"2026-07-19 18:00:00\"",
    "Reason": "wrong/null value",
    "SemanticTypeIri": "urn:effortless:pko-extension#CellDisagreement",
    "Name": "effortless-xlsx|KnowledgeGaps.AsOfInstant @ gap-close-cadence-unmeasured",
    "Substrate": "effortless-xlsx",
    "RulebookField": "KnowledgeGaps.AsOfInstant"
   },
   {
    "CellDisagreementId": "effortless-xlsx|KnowledgeGaps.AsOfInstant|gap-close-dual-outage",
    "FieldDisagreement": "effortless-xlsx|KnowledgeGaps.AsOfInstant",
    "RecordId": "gap-close-dual-outage",
    "ExpectedValue": "\"2026-07-19T13:00:00-05:00\"",
    "ActualValue": "\"2026-07-19 18:00:00\"",
    "Reason": "wrong/null value",
    "SemanticTypeIri": "urn:effortless:pko-extension#CellDisagreement",
    "Name": "effortless-xlsx|KnowledgeGaps.AsOfInstant @ gap-close-dual-outage",
    "Substrate": "effortless-xlsx",
    "RulebookField": "KnowledgeGaps.AsOfInstant"
   },
   {
    "CellDisagreementId": "effortless-xlsx|KnowledgeGaps.AsOfInstant|gap-close-sod-unwitnessed",
    "FieldDisagreement": "effortless-xlsx|KnowledgeGaps.AsOfInstant",
    "RecordId": "gap-close-sod-unwitnessed",
    "ExpectedValue": "\"2026-07-19T13:00:00-05:00\"",
    "ActualValue": "\"2026-07-19 18:00:00\"",
    "Reason": "wrong/null value",
    "SemanticTypeIri": "urn:effortless:pko-extension#CellDisagreement",
    "Name": "effortless-xlsx|KnowledgeGaps.AsOfInstant @ gap-close-sod-unwitnessed",
    "Substrate": "effortless-xlsx",
    "RulebookField": "KnowledgeGaps.AsOfInstant"
   },
   {
    "CellDisagreementId": "effortless-xlsx|KnowledgeGaps.AsOfInstant|gap-policy-consent-unenforced",
    "FieldDisagreement": "effortless-xlsx|KnowledgeGaps.AsOfInstant",
    "RecordId": "gap-policy-consent-unenforced",
    "ExpectedValue": "\"2026-07-19T13:00:00-05:00\"",
    "ActualValue": "\"2026-07-19 18:00:00\"",
    "Reason": "wrong/null value",
    "SemanticTypeIri": "urn:effortless:pko-extension#CellDisagreement",
    "Name": "effortless-xlsx|KnowledgeGaps.AsOfInstant @ gap-policy-consent-unenforced",
    "Substrate": "effortless-xlsx",
    "RulebookField": "KnowledgeGaps.AsOfInstant"
   },
   {
    "CellDisagreementId": "effortless-xlsx|KnowledgeGaps.AsOfInstant|gap-policy-delivery-receipts",
    "FieldDisagreement": "effortless-xlsx|KnowledgeGaps.AsOfInstant",
    "RecordId": "gap-policy-delivery-receipts",
    "ExpectedValue": "\"2026-07-19T13:00:00-05:00\"",
    "ActualValue": "\"2026-07-19 18:00:00\"",
    "Reason": "wrong/null value",
    "SemanticTypeIri": "urn:effortless:pko-extension#CellDisagreement",
    "Name": "effortless-xlsx|KnowledgeGaps.AsOfInstant @ gap-policy-delivery-receipts",
    "Substrate": "effortless-xlsx",
    "RulebookField": "KnowledgeGaps.AsOfInstant"
   },
   {
    "CellDisagreementId": "effortless-xlsx|KnowledgeGaps.AsOfInstant|gap-policy-quiet-hours-unenforced",
    "FieldDisagreement": "effortless-xlsx|KnowledgeGaps.AsOfInstant",
    "RecordId": "gap-policy-quiet-hours-unenforced",
    "ExpectedValue": "\"2026-07-19T13:00:00-05:00\"",
    "ActualValue": "\"2026-07-19 18:00:00\"",
    "Reason": "wrong/null value",
    "SemanticTypeIri": "urn:effortless:pko-extension#CellDisagreement",
    "Name": "effortless-xlsx|KnowledgeGaps.AsOfInstant @ gap-policy-quiet-hours-unenforced",
    "Substrate": "effortless-xlsx",
    "RulebookField": "KnowledgeGaps.AsOfInstant"
   },
   {
    "CellDisagreementId": "effortless-xlsx|KnowledgeGaps.AsOfInstant|gap-policy-unauthorized-sends",
    "FieldDisagreement": "effortless-xlsx|KnowledgeGaps.AsOfInstant",
    "RecordId": "gap-policy-unauthorized-sends",
    "ExpectedValue": "\"2026-07-19T13:00:00-05:00\"",
    "ActualValue": "\"2026-07-19 18:00:00\"",
    "Reason": "wrong/null value",
    "SemanticTypeIri": "urn:effortless:pko-extension#CellDisagreement",
    "Name": "effortless-xlsx|KnowledgeGaps.AsOfInstant @ gap-policy-unauthorized-sends",
    "Substrate": "effortless-xlsx",
    "RulebookField": "KnowledgeGaps.AsOfInstant"
   },
   {
    "CellDisagreementId": "effortless-xlsx|KnowledgeGaps.AsOfInstant|gap-roles-unauditable-holders",
    "FieldDisagreement": "effortless-xlsx|KnowledgeGaps.AsOfInstant",
    "RecordId": "gap-roles-unauditable-holders",
    "ExpectedValue": "\"2026-07-19T13:00:00-05:00\"",
    "ActualValue": "\"2026-07-19 18:00:00\"",
    "Reason": "wrong/null value",
    "SemanticTypeIri": "urn:effortless:pko-extension#CellDisagreement",
    "Name": "effortless-xlsx|KnowledgeGaps.AsOfInstant @ gap-roles-unauditable-holders",
    "Substrate": "effortless-xlsx",
    "RulebookField": "KnowledgeGaps.AsOfInstant"
   },
   {
    "CellDisagreementId": "effortless-xlsx|KnowledgeGaps.DaysOpen|gap-policy-delivery-receipts",
    "FieldDisagreement": "effortless-xlsx|KnowledgeGaps.DaysOpen",
    "RecordId": "gap-policy-delivery-receipts",
    "ExpectedValue": "0",
    "ActualValue": "1",
    "Reason": "wrong/null value",
    "SemanticTypeIri": "urn:effortless:pko-extension#CellDisagreement",
    "Name": "effortless-xlsx|KnowledgeGaps.DaysOpen @ gap-policy-delivery-receipts",
    "Substrate": "effortless-xlsx",
    "RulebookField": "KnowledgeGaps.DaysOpen"
   },
   {
    "CellDisagreementId": "effortless-xlsx|FAQs.Name|faq-close-workpapers",
    "FieldDisagreement": "effortless-xlsx|FAQs.Name",
    "RecordId": "faq-close-workpapers",
    "ExpectedValue": "\"Where are close workpapers stored?\"",
    "ActualValue": "null",
    "Reason": "missing entity file",
    "SemanticTypeIri": "urn:effortless:pko-extension#CellDisagreement",
    "Name": "effortless-xlsx|FAQs.Name @ faq-close-workpapers",
    "Substrate": "effortless-xlsx",
    "RulebookField": "FAQs.Name"
   },
   {
    "CellDisagreementId": "effortless-xlsx|FAQs.Name|faq-policy-ai",
    "FieldDisagreement": "effortless-xlsx|FAQs.Name",
    "RecordId": "faq-policy-ai",
    "ExpectedValue": "\"Can the drafting AI approve a workforce policy?\"",
    "ActualValue": "null",
    "Reason": "missing entity file",
    "SemanticTypeIri": "urn:effortless:pko-extension#CellDisagreement",
    "Name": "effortless-xlsx|FAQs.Name @ faq-policy-ai",
    "Substrate": "effortless-xlsx",
    "RulebookField": "FAQs.Name"
   },
   {
    "CellDisagreementId": "effortless-xlsx|FAQs.Name|faq-policy-optout",
    "FieldDisagreement": "effortless-xlsx|FAQs.Name",
    "RecordId": "faq-policy-optout",
    "ExpectedValue": "\"What happens when an employee opts out of SMS?\"",
    "ActualValue": "null",
    "Reason": "missing entity file",
    "SemanticTypeIri": "urn:effortless:pko-extension#CellDisagreement",
    "Name": "effortless-xlsx|FAQs.Name @ faq-policy-optout",
    "Substrate": "effortless-xlsx",
    "RulebookField": "FAQs.Name"
   },
   {
    "CellDisagreementId": "effortless-xlsx|ProcedureExecutions.LateStepCount|exec-close-2026-q2",
    "FieldDisagreement": "effortless-xlsx|ProcedureExecutions.LateStepCount",
    "RecordId": "exec-close-2026-q2",
    "ExpectedValue": "5",
    "ActualValue": "0",
    "Reason": "wrong/null value",
    "SemanticTypeIri": "urn:effortless:pko-extension#CellDisagreement",
    "Name": "effortless-xlsx|ProcedureExecutions.LateStepCount @ exec-close-2026-q2",
    "Substrate": "effortless-xlsx",
    "RulebookField": "ProcedureExecutions.LateStepCount"
   },
   {
    "CellDisagreementId": "effortless-xlsx|ProcedureExecutions.LateStepCount|exec-policy-hr4821",
    "FieldDisagreement": "effortless-xlsx|ProcedureExecutions.LateStepCount",
    "RecordId": "exec-policy-hr4821",
    "ExpectedValue": "2",
    "ActualValue": "0",
    "Reason": "wrong/null value",
    "SemanticTypeIri": "urn:effortless:pko-extension#CellDisagreement",
    "Name": "effortless-xlsx|ProcedureExecutions.LateStepCount @ exec-policy-hr4821",
    "Substrate": "effortless-xlsx",
    "RulebookField": "ProcedureExecutions.LateStepCount"
   },
   {
    "CellDisagreementId": "effortless-xlsx|ProcedureExecutions.UncleanStepCount|exec-close-2026-q2",
    "FieldDisagreement": "effortless-xlsx|ProcedureExecutions.UncleanStepCount",
    "RecordId": "exec-close-2026-q2",
    "ExpectedValue": "5",
    "ActualValue": "0",
    "Reason": "wrong/null value",
    "SemanticTypeIri": "urn:effortless:pko-extension#CellDisagreement",
    "Name": "effortless-xlsx|ProcedureExecutions.UncleanStepCount @ exec-close-2026-q2",
    "Substrate": "effortless-xlsx",
    "RulebookField": "ProcedureExecutions.UncleanStepCount"
   },
   {
    "CellDisagreementId": "effortless-xlsx|ProcedureExecutions.UncleanStepCount|exec-policy-hr4821",
    "FieldDisagreement": "effortless-xlsx|ProcedureExecutions.UncleanStepCount",
    "RecordId": "exec-policy-hr4821",
    "ExpectedValue": "2",
    "ActualValue": "0",
    "Reason": "wrong/null value",
    "SemanticTypeIri": "urn:effortless:pko-extension#CellDisagreement",
    "Name": "effortless-xlsx|ProcedureExecutions.UncleanStepCount @ exec-policy-hr4821",
    "Substrate": "effortless-xlsx",
    "RulebookField": "ProcedureExecutions.UncleanStepCount"
   },
   {
    "CellDisagreementId": "effortless-xlsx|ProcedureExecutions.RanClean|exec-close-2026-q2",
    "FieldDisagreement": "effortless-xlsx|ProcedureExecutions.RanClean",
    "RecordId": "exec-close-2026-q2",
    "ExpectedValue": "false",
    "ActualValue": "true",
    "Reason": "wrong/null value",
    "SemanticTypeIri": "urn:effortless:pko-extension#CellDisagreement",
    "Name": "effortless-xlsx|ProcedureExecutions.RanClean @ exec-close-2026-q2",
    "Substrate": "effortless-xlsx",
    "RulebookField": "ProcedureExecutions.RanClean"
   },
   {
    "CellDisagreementId": "effortless-xlsx|ProcedureExecutions.RanClean|exec-policy-hr4821",
    "FieldDisagreement": "effortless-xlsx|ProcedureExecutions.RanClean",
    "RecordId": "exec-policy-hr4821",
    "ExpectedValue": "false",
    "ActualValue": "true",
    "Reason": "wrong/null value",
    "SemanticTypeIri": "urn:effortless:pko-extension#CellDisagreement",
    "Name": "effortless-xlsx|ProcedureExecutions.RanClean @ exec-policy-hr4821",
    "Substrate": "effortless-xlsx",
    "RulebookField": "ProcedureExecutions.RanClean"
   },
   {
    "CellDisagreementId": "effortless-xlsx|ProcedureExecutions.VacuouslyCleanStepCount|exec-close-2026-q2",
    "FieldDisagreement": "effortless-xlsx|ProcedureExecutions.VacuouslyCleanStepCount",
    "RecordId": "exec-close-2026-q2",
    "ExpectedValue": "1",
    "ActualValue": "0",
    "Reason": "wrong/null value",
    "SemanticTypeIri": "urn:effortless:pko-extension#CellDisagreement",
    "Name": "effortless-xlsx|ProcedureExecutions.VacuouslyCleanStepCount @ exec-close-2026-q2",
    "Substrate": "effortless-xlsx",
    "RulebookField": "ProcedureExecutions.VacuouslyCleanStepCount"
   },
   {
    "CellDisagreementId": "effortless-xlsx|ProcedureExecutions.VacuouslyCleanStepCount|exec-policy-hr4821",
    "FieldDisagreement": "effortless-xlsx|ProcedureExecutions.VacuouslyCleanStepCount",
    "RecordId": "exec-policy-hr4821",
    "ExpectedValue": "1",
    "ActualValue": "0",
    "Reason": "wrong/null value",
    "SemanticTypeIri": "urn:effortless:pko-extension#CellDisagreement",
    "Name": "effortless-xlsx|ProcedureExecutions.VacuouslyCleanStepCount @ exec-policy-hr4821",
    "Substrate": "effortless-xlsx",
    "RulebookField": "ProcedureExecutions.VacuouslyCleanStepCount"
   },
   {
    "CellDisagreementId": "effortless-xlsx|ProcedureExecutions.LatestAttestationInstant|exec-close-2026-q2",
    "FieldDisagreement": "effortless-xlsx|ProcedureExecutions.LatestAttestationInstant",
    "RecordId": "exec-close-2026-q2",
    "ExpectedValue": "null",
    "ActualValue": "\"00:00:00\"",
    "Reason": "wrong/null value",
    "SemanticTypeIri": "urn:effortless:pko-extension#CellDisagreement",
    "Name": "effortless-xlsx|ProcedureExecutions.LatestAttestationInstant @ exec-close-2026-q2",
    "Substrate": "effortless-xlsx",
    "RulebookField": "ProcedureExecutions.LatestAttestationInstant"
   },
   {
    "CellDisagreementId": "effortless-xlsx|ProcedureExecutions.LatestAttestationInstant|exec-policy-hr4821",
    "FieldDisagreement": "effortless-xlsx|ProcedureExecutions.LatestAttestationInstant",
    "RecordId": "exec-policy-hr4821",
    "ExpectedValue": "null",
    "ActualValue": "\"00:00:00\"",
    "Reason": "wrong/null value",
    "SemanticTypeIri": "urn:effortless:pko-extension#CellDisagreement",
    "Name": "effortless-xlsx|ProcedureExecutions.LatestAttestationInstant @ exec-policy-hr4821",
    "Substrate": "effortless-xlsx",
    "RulebookField": "ProcedureExecutions.LatestAttestationInstant"
   },
   {
    "CellDisagreementId": "e</t>
  </si>
  <si>
    <t xml:space="preserve">ffortless-xlsx|ProcedureExecutions.MishandledRefusalCount|exec-policy-hr4821",
    "FieldDisagreement": "effortless-xlsx|ProcedureExecutions.MishandledRefusalCount",
    "RecordId": "exec-policy-hr4821",
    "ExpectedValue": "4",
    "ActualValue": "5",
    "Reason": "wrong/null value",
    "SemanticTypeIri": "urn:effortless:pko-extension#CellDisagreement",
    "Name": "effortless-xlsx|ProcedureExecutions.MishandledRefusalCount @ exec-policy-hr4821",
    "Substrate": "effortless-xlsx",
    "RulebookField": "ProcedureExecutions.MishandledRefusalCount"
   },
   {
    "CellDisagreementId": "effortless-xlsx|ProcedureExecutions.UngovernedDivergenceCount|exec-policy-hr4821",
    "FieldDisagreement": "effortless-xlsx|ProcedureExecutions.UngovernedDivergenceCount",
    "RecordId": "exec-policy-hr4821",
    "ExpectedValue": "2",
    "ActualValue": "0",
    "Reason": "wrong/null value",
    "SemanticTypeIri": "urn:effortless:pko-extension#CellDisagreement",
    "Name": "effortless-xlsx|ProcedureExecutions.UngovernedDivergenceCount @ exec-policy-hr4821",
    "Substrate": "effortless-xlsx",
    "RulebookField": "ProcedureExecutions.UngovernedDivergenceCount"
   },
   {
    "CellDisagreementId": "effortless-xlsx|ProcedureExecutions.DivergenceWasFullyGoverned|exec-policy-hr4821",
    "FieldDisagreement": "effortless-xlsx|ProcedureExecutions.DivergenceWasFullyGoverned",
    "RecordId": "exec-policy-hr4821",
    "ExpectedValue": "false",
    "ActualValue": "true",
    "Reason": "wrong/null value",
    "SemanticTypeIri": "urn:effortless:pko-extension#CellDisagreement",
    "Name": "effortless-xlsx|ProcedureExecutions.DivergenceWasFullyGoverned @ exec-policy-hr4821",
    "Substrate": "effortless-xlsx",
    "RulebookField": "ProcedureExecutions.DivergenceWasFullyGoverned"
   },
   {
    "CellDisagreementId": "effortless-xlsx|StepExecutions.ActualDurationMinutes|se-close01",
    "FieldDisagreement": "effortless-xlsx|StepExecutions.ActualDurationMinutes",
    "RecordId": "se-close01",
    "ExpectedValue": "4",
    "ActualValue": "\"#NAME?\"",
    "Reason": "wrong/null value",
    "SemanticTypeIri": "urn:effortless:pko-extension#CellDisagreement",
    "Name": "effortless-xlsx|StepExecutions.ActualDurationMinutes @ se-close01",
    "Substrate": "effortless-xlsx",
    "RulebookField": "StepExecutions.ActualDurationMinutes"
   },
   {
    "CellDisagreementId": "effortless-xlsx|StepExecutions.ActualDurationMinutes|se-close02",
    "FieldDisagreement": "effortless-xlsx|StepExecutions.ActualDurationMinutes",
    "RecordId": "se-close02",
    "ExpectedValue": "14",
    "ActualValue": "\"#NAME?\"",
    "Reason": "wrong/null value",
    "SemanticTypeIri": "urn:effortless:pko-extension#CellDisagreement",
    "Name": "effortless-xlsx|StepExecutions.ActualDurationMinutes @ se-close02",
    "Substrate": "effortless-xlsx",
    "RulebookField": "StepExecutions.ActualDurationMinutes"
   },
   {
    "CellDisagreementId": "effortless-xlsx|StepExecutions.ActualDurationMinutes|se-close03",
    "FieldDisagreement": "effortless-xlsx|StepExecutions.ActualDurationMinutes",
    "RecordId": "se-close03",
    "ExpectedValue": "1137",
    "ActualValue": "\"#NAME?\"",
    "Reason": "wrong/null value",
    "SemanticTypeIri": "urn:effortless:pko-extension#CellDisagreement",
    "Name": "effortless-xlsx|StepExecutions.ActualDurationMinutes @ se-close03",
    "Substrate": "effortless-xlsx",
    "RulebookField": "StepExecutions.ActualDurationMinutes"
   },
   {
    "CellDisagreementId": "effortless-xlsx|StepExecutions.ActualDurationMinutes|se-close04",
    "FieldDisagreement": "effortless-xlsx|StepExecutions.ActualDurationMinutes",
    "RecordId": "se-close04",
    "ExpectedValue": "170",
    "ActualValue": "\"#NAME?\"",
    "Reason": "wrong/null value",
    "SemanticTypeIri": "urn:effortless:pko-extension#CellDisagreement",
    "Name": "effortless-xlsx|StepExecutions.ActualDurationMinutes @ se-close04",
    "Substrate": "effortless-xlsx",
    "RulebookField": "StepExecutions.ActualDurationMinutes"
   },
   {
    "CellDisagreementId": "effortless-xlsx|StepExecutions.ActualDurationMinutes|se-close05",
    "FieldDisagreement": "effortless-xlsx|StepExecutions.ActualDurationMinutes",
    "RecordId": "se-close05",
    "ExpectedValue": "65",
    "ActualValue": "\"#NAME?\"",
    "Reason": "wrong/null value",
    "SemanticTypeIri": "urn:effortless:pko-extension#CellDisagreement",
    "Name": "effortless-xlsx|StepExecutions.ActualDurationMinutes @ se-close05",
    "Substrate": "effortless-xlsx",
    "RulebookField": "StepExecutions.ActualDurationMinutes"
   },
   {
    "CellDisagreementId": "effortless-xlsx|StepExecutions.ActualDurationMinutes|se-close06",
    "FieldDisagreement": "effortless-xlsx|StepExecutions.ActualDurationMinutes",
    "RecordId": "se-close06",
    "ExpectedValue": "22",
    "ActualValue": "\"#NAME?\"",
    "Reason": "wrong/null value",
    "SemanticTypeIri": "urn:effortless:pko-extension#CellDisagreement",
    "Name": "effortless-xlsx|StepExecutions.ActualDurationMinutes @ se-close06",
    "Substrate": "effortless-xlsx",
    "RulebookField": "StepExecutions.ActualDurationMinutes"
   },
   {
    "CellDisagreementId": "effortless-xlsx|StepExecutions.ActualDurationMinutes|se-close07",
    "FieldDisagreement": "effortless-xlsx|StepExecutions.ActualDurationMinutes",
    "RecordId": "se-close07",
    "ExpectedValue": "17",
    "ActualValue": "\"#NAME?\"",
    "Reason": "wrong/null value",
    "SemanticTypeIri": "urn:effortless:pko-extension#CellDisagreement",
    "Name": "effortless-xlsx|StepExecutions.ActualDurationMinutes @ se-close07",
    "Substrate": "effortless-xlsx",
    "RulebookField": "StepExecutions.ActualDurationMinutes"
   },
   {
    "CellDisagreementId": "effortless-xlsx|StepExecutions.ActualDurationMinutes|se-close08",
    "FieldDisagreement": "effortless-xlsx|StepExecutions.ActualDurationMinutes",
    "RecordId": "se-close08",
    "ExpectedValue": "165",
    "ActualValue": "\"#NAME?\"",
    "Reason": "wrong/null value",
    "SemanticTypeIri": "urn:effortless:pko-extension#CellDisagreement",
    "Name": "effortless-xlsx|StepExecutions.ActualDurationMinutes @ se-close08",
    "Substrate": "effortless-xlsx",
    "RulebookField": "StepExecutions.ActualDurationMinutes"
   },
   {
    "CellDisagreementId": "effortless-xlsx|StepExecutions.ActualDurationMinutes|se-policy01",
    "FieldDisagreement": "effortless-xlsx|StepExecutions.ActualDurationMinutes",
    "RecordId": "se-policy01",
    "ExpectedValue": "24",
    "ActualValue": "\"#NAME?\"",
    "Reason": "wrong/null value",
    "SemanticTypeIri": "urn:effortless:pko-extension#CellDisagreement",
    "Name": "effortless-xlsx|StepExecutions.ActualDurationMinutes @ se-policy01",
    "Substrate": "effortless-xlsx",
    "RulebookField": "StepExecutions.ActualDurationMinutes"
   },
   {
    "CellDisagreementId": "effortless-xlsx|StepExecutions.ActualDurationMinutes|se-policy02",
    "FieldDisagreement": "effortless-xlsx|StepExecutions.ActualDurationMinutes",
    "RecordId": "se-policy02",
    "ExpectedValue": "195",
    "ActualValue": "\"#NAME?\"",
    "Reason": "wrong/null value",
    "SemanticTypeIri": "urn:effortless:pko-extension#CellDisagreement",
    "Name": "effortless-xlsx|StepExecutions.ActualDurationMinutes @ se-policy02",
    "Substrate": "effortless-xlsx",
    "RulebookField": "StepExecutions.ActualDurationMinutes"
   },
   {
    "CellDisagreementId": "effortless-xlsx|StepExecutions.ActualDurationMinutes|se-policy03",
    "FieldDisagreement": "effortless-xlsx|StepExecutions.ActualDurationMinutes",
    "RecordId": "se-policy03",
    "ExpectedValue": "62",
    "ActualValue": "\"#NAME?\"",
    "Reason": "wrong/null value",
    "SemanticTypeIri": "urn:effortless:pko-extension#CellDisagreement",
    "Name": "effortless-xlsx|StepExecutions.ActualDurationMinutes @ se-policy03",
    "Substrate": "effortless-xlsx",
    "RulebookField": "StepExecutions.ActualDurationMinutes"
   },
   {
    "CellDisagreementId": "effortless-xlsx|StepExecutions.ActualDurationMinutes|se-policy04",
    "FieldDisagreement": "effortless-xlsx|StepExecutions.ActualDurationMinutes",
    "RecordId": "se-policy04",
    "ExpectedValue": "285",
    "ActualValue": "\"#NAME?\"",
    "Reason": "wrong/null value",
    "SemanticTypeIri": "urn:effortless:pko-extension#CellDisagreement",
    "Name": "effortless-xlsx|StepExecutions.ActualDurationMinutes @ se-policy04",
    "Substrate": "effortless-xlsx",
    "RulebookField": "StepExecutions.ActualDurationMinutes"
   },
   {
    "CellDisagreementId": "effortless-xlsx|StepExecutions.IsLate|se-close01",
    "FieldDisagreement": "effortless-xlsx|StepExecutions.IsLate",
    "RecordId": "se-close01",
    "ExpectedValue": "false",
    "ActualValue": "\"#NAME?\"",
    "Reason": "wrong/null value",
    "SemanticTypeIri": "urn:effortless:pko-extension#CellDisagreement",
    "Name": "effortless-xlsx|StepExecutions.IsLate @ se-close01",
    "Substrate": "effortless-xlsx",
    "RulebookField": "StepExecutions.IsLate"
   },
   {
    "CellDisagreementId": "effortless-xlsx|StepExecutions.IsLate|se-close02",
    "FieldDisagreement": "effortless-xlsx|StepExecutions.IsLate",
    "RecordId": "se-close02",
    "ExpectedValue": "true",
    "ActualValue": "\"#NAME?\"",
    "Reason": "wrong/null value",
    "SemanticTypeIri": "urn:effortless:pko-extension#CellDisagreement",
    "Name": "effortless-xlsx|StepExecutions.IsLate @ se-close02",
    "Substrate": "effortless-xlsx",
    "RulebookField": "StepExecutions.IsLate"
   },
   {
    "CellDisagreementId": "effortless-xlsx|StepExecutions.IsLate|se-close03",
    "FieldDisagreement": "effortless-xlsx|StepExecutions.IsLate",
    "RecordId": "se-close03",
    "ExpectedValue": "true",
    "ActualValue": "\"#NAME?\"",
    "Reason": "wrong/null value",
    "SemanticTypeIri": "urn:effortless:pko-extension#CellDisagreement",
    "Name": "effortless-xlsx|StepExecutions.IsLate @ se-close03",
    "Substrate": "effortless-xlsx",
    "RulebookField": "StepExecutions.IsLate"
   },
   {
    "CellDisagreementId": "effortless-xlsx|StepExecutions.IsLate|se-close04",
    "FieldDisagreement": "effortless-xlsx|StepExecutions.IsLate",
    "RecordId": "se-close04",
    "ExpectedValue": "true",
    "ActualValue": "\"#NAME?\"",
    "Reason": "wrong/null value",
    "SemanticTypeIri": "urn:effortless:pko-extension#CellDisagreement",
    "Name": "effortless-xlsx|StepExecutions.IsLate @ se-close04",
    "Substrate": "effortless-xlsx",
    "RulebookField": "StepExecutions.IsLate"
   },
   {
    "CellDisagreementId": "effortless-xlsx|StepExecutions.IsLate|se-close05",
    "FieldDisagreement": "effortless-xlsx|StepExecutions.IsLate",
    "RecordId": "se-close05",
    "ExpectedValue": "true",
    "ActualValue": "\"#NAME?\"",
    "Reason": "wrong/null value",
    "SemanticTypeIri": "urn:effortless:pko-extension#CellDisagreement",
    "Name": "effortless-xlsx|StepExecutions.IsLate @ se-close05",
    "Substrate": "effortless-xlsx",
    "RulebookField": "StepExecutions.IsLate"
   },
   {
    "CellDisagreementId": "effortless-xlsx|StepExecutions.IsLate|se-close06",
    "FieldDisagreement": "effortless-xlsx|StepExecutions.IsLate",
    "RecordId": "se-close06",
    "ExpectedValue": "false",
    "ActualValue": "\"#NAME?\"",
    "Reason": "wrong/null value",
    "SemanticTypeIri": "urn:effortless:pko-extension#CellDisagreement",
    "Name": "effortless-xlsx|StepExecutions.IsLate @ se-close06",
    "Substrate": "effortless-xlsx",
    "RulebookField": "StepExecutions.IsLate"
   },
   {
    "CellDisagreementId": "effortless-xlsx|StepExecutions.IsLate|se-close07",
    "FieldDisagreement": "effortless-xlsx|StepExecutions.IsLate",
    "RecordId": "se-close07",
    "ExpectedValue": "false",
    "ActualValue": "\"#NAME?\"",
    "Reason": "wrong/null value",
    "SemanticTypeIri": "urn:effortless:pko-extension#CellDisagreement",
    "Name": "effortless-xlsx|StepExecutions.IsLate @ se-close07",
    "Substrate": "effortless-xlsx",
    "RulebookField": "StepExecutions.IsLate"
   },
   {
    "CellDisagreementId": "effortless-xlsx|StepExecutions.IsLate|se-close08",
    "FieldDisagreement": "effortless-xlsx|StepExecutions.IsLate",
    "RecordId": "se-close08",
    "ExpectedValue": "true",
    "ActualValue": "\"#NAME?\"",
    "Reason": "wrong/null value",
    "SemanticTypeIri": "urn:effortless:pko-extension#CellDisagreement",
    "Name": "effortless-xlsx|StepExecutions.IsLate @ se-close08",
    "Substrate": "effortless-xlsx",
    "RulebookField": "StepExecutions.IsLate"
   },
   {
    "CellDisagreementId": "effortless-xlsx|StepExecutions.IsLate|se-policy01",
    "FieldDisagreement": "effortless-xlsx|StepExecutions.IsLate",
    "RecordId": "se-policy01",
    "ExpectedValue": "false",
    "ActualValue": "\"#NAME?\"",
    "Reason": "wrong/null value",
    "SemanticTypeIri": "urn:effortless:pko-extension#CellDisagreement",
    "Name": "effortless-xlsx|StepExecutions.IsLate @ se-policy01",
    "Substrate": "effortless-xlsx",
    "RulebookField": "StepExecutions.IsLate"
   },
   {
    "CellDisagreementId": "effortless-xlsx|StepExecutions.IsLate|se-policy02",
    "FieldDisagreement": "effortless-xlsx|StepExecutions.IsLate",
    "RecordId": "se-policy02",
    "ExpectedValue": "true",
    "ActualValue": "\"#NAME?\"",
    "Reason": "wrong/null value",
    "SemanticTypeIri": "urn:effortless:pko-extension#CellDisagreement",
    "Name": "effortless-xlsx|StepExecutions.IsLate @ se-policy02",
    "Substrate": "effortless-xlsx",
    "RulebookField": "StepExecutions.IsLate"
   },
   {
    "CellDisagreementId": "effortless-xlsx|StepExecutions.IsLate|se-policy03",
    "FieldDisagreement": "effortless-xlsx|StepExecutions.IsLate",
    "RecordId": "se-policy03",
    "ExpectedValue": "false",
    "ActualValue": "\"#NAME?\"",
    "Reason": "wrong/null value",
    "SemanticTypeIri": "urn:effortless:pko-extension#CellDisagreement",
    "Name": "effortless-xlsx|StepExecutions.IsLate @ se-policy03",
    "Substrate": "effortless-xlsx",
    "RulebookField": "StepExecutions.IsLate"
   },
   {
    "CellDisagreementId": "effortless-xlsx|StepExecutions.IsLate|se-policy04",
    "FieldDisagreement": "effortless-xlsx|StepExecutions.IsLate",
    "RecordId": "se-policy04",
    "ExpectedValue": "true",
    "ActualValue": "\"#NAME?\"",
    "Reason": "wrong/null value",
    "SemanticTypeIri": "urn:effortless:pko-extension#CellDisagreement",
    "Name": "effortless-xlsx|StepExecutions.IsLate @ se-policy04",
    "Substrate": "effortless-xlsx",
    "RulebookField": "StepExecutions.IsLate"
   },
   {
    "CellDisagreementId": "effortless-xlsx|StepExecutions.IsLateAndUnexplained|se-close01",
    "FieldDisagreement": "effortless-xlsx|StepExecutions.IsLateAndUnexplained",
    "RecordId": "se-close01",
    "ExpectedValue": "false",
    "ActualValue": "\"#NAME?\"",
    "Reason": "wrong/null value",
    "SemanticTypeIri": "urn:effortless:pko-extension#CellDisagreement",
    "Name": "effortless-xlsx|StepExecutions.IsLateAndUnexplained @ se-close01",
    "Substrate": "effortless-xlsx",
    "RulebookField": "StepExecutions.IsLateAndUnexplained"
   },
   {
    "CellDisagreementId": "effortless-xlsx|StepExecutions.IsLateAndUnexplained|se-close02",
    "FieldDisagreement": "effortless-xlsx|StepExecutions.IsLateAndUnexplained",
    "RecordId": "se-close02",
    "ExpectedValue": "false",
    "ActualValue": "\"#NAME?\"",
    "Reason": "wrong/null value",
    "SemanticTypeIri": "urn:effortless:pko-extension#CellDisagreement",
    "Name": "effortless-xlsx|StepExecutions.IsLateAndUnexplained @ se-close02",
    "Substrate": "effortless-xlsx",
    "RulebookField": "StepExecutions.IsLateAndUnexplained"
   },
   {
    "CellDisagreementId": "effortless-xlsx|StepExecutions.IsLateAndUnexplained|se-close03",
    "FieldDisagreement": "effortless-xlsx|StepExecutions.IsLateAndUnexplained",
    "RecordId": "se-close03",
    "ExpectedValue": "true",
    "ActualValue": "\"#NAME?\"",
    "Reason": "wrong/null value",
    "SemanticTypeIri": "urn:effortless:pko-extension#CellDisagreement",
    "Name": "effortless-xlsx|StepExecutions.IsLateAndUnexplained @ se-close03",
    "Substrate": "effortless-xlsx",
    "RulebookField": "StepExecutions.IsLateAndUnexplained"
   },
   {
    "CellDisagreementId": "effortless-xlsx|StepExecutions.IsLateAndUnexplained|se-close04",
    "FieldDisagreement": "effortless-xlsx|StepExecutions.IsLateAndUnexplained",
    "RecordId": "se-close04",
    "ExpectedValue": "false",
    "ActualValue": "\"#NAME?\"",
    "Reason": "wrong/null value",
    "SemanticTypeIri": "urn:effortless:pko-extension#CellDisagreement",
    "Name": "effortless-xlsx|StepExecutions.IsLateAndUnexplained @ se-close04",
    "Substrate": "effortless-xlsx",
    "RulebookField": "StepExecutions.IsLateAndUnexplained"
   },
   {
    "CellDisagreementId": "effortless-xlsx|StepExecutions.IsLateAndUnexplained|se-close05",
    "FieldDisagreement": "effortless-xlsx|StepExecutions.IsLateAndUnexplained",
    "RecordId": "se-close05",
    "ExpectedValue": "true",
    "ActualValue": "\"#NAME?\"",
    "Reason": "wrong/null value",
    "SemanticTypeIri": "urn:effortless:pko-extension#CellDisagreement",
    "Name": "effortless-xlsx|StepExecutions.IsLateAndUnexplained @ se-close05",
    "Substrate": "effortless-xlsx",
    "RulebookField": "StepExecutions.IsLateAndUnexplained"
   },
   {
    "CellDisagreementId": "effortless-xlsx|StepExecutions.IsLateAndUnexplained|se-close06",
    "FieldDisagreement": "effortless-xlsx|StepExecutions.IsLateAndUnexplained",
    "RecordId": "se-close06",
    "ExpectedValue": "false",
    "ActualValue": "\"#NAME?\"",
    "Reason": "wrong/null value",
    "SemanticTypeIri": "urn:effortless:pko-extension#CellDisagreement",
    "Name": "effortless-xlsx|StepExecutions.IsLateAndUnexplained @ se-close06",
    "Substrate": "effortless-xlsx",
    "RulebookField": "StepExecutions.IsLateAndUnexplained"
   },
   {
    "CellDisagreementId": "effortless-xlsx|StepExecutions.IsLateAndUnexplained|se-close07",
    "FieldDisagreement": "effortless-xlsx|StepExecutions.IsLateAndUnexplained",
    "RecordId": "se-close07",
    "ExpectedValue": "false",
    "ActualValue": "\"#NAME?\"",
    "Reason": "wrong/null value",
    "SemanticTypeIri": "urn:effortless:pko-extension#CellDisagreement",
    "Name": "effortless-xlsx|StepExecutions.IsLateAndUnexplained @ se-close07",
    "Substrate": "effortless-xlsx",
    "RulebookField": "StepExecutions.IsLateAndUnexplained"
   },
   {
    "CellDisagreementId": "effortless-xlsx|StepExecutions.IsLateAndUnexplained|se-close08",
    "FieldDisagreement": "effortless-xlsx|StepExecutions.IsLateAndUnexplained",
    "RecordId": "se-close08",
    "ExpectedValue": "false",
    "ActualValue": "\"#NAME?\"",
    "Reason": "wrong/null value",
    "SemanticTypeIri": "urn:effortless:pko-extension#CellDisagreement",
    "Name": "effortless-xlsx|StepExecutions.IsLateAndUnexplained @ se-close08",
    "Substrate": "effortless-xlsx",
    "RulebookField": "StepExecutions.IsLateAndUnexplained"
   },
   {
    "CellDisagreementId": "effortless-xlsx|StepExecutions.IsLateAndUnexplained|se-policy01",
    "FieldDisagreement": "effortless-xlsx|StepExecutions.IsLateAndUnexplained",
    "RecordId": "se-policy01",
    "ExpectedValue": "false",
    "ActualValue": "\"#NAME?\"",
    "Reason": "wrong/null value",
    "SemanticTypeIri": "urn:effortless:pko-extension#CellDisagreement",
    "Name": "effortless-xlsx|StepExecutions.IsLateAndUnexplained @ se-policy01",
    "Substrate": "effortless-xlsx",
    "RulebookField": "StepExecutions.IsLateAndUnexplained"
   },
   {
    "CellDisagreementId": "effortless-xlsx|StepExecutions.IsLateAndUnexplained|se-policy02",
    "FieldDisagreement": "effortless-xlsx|StepExecutions.IsLateAndUnexplained",
    "RecordId": "se-policy02",
    "ExpectedValue": "true",
    "ActualValue": "\"#NAME?\"",
    "Reason": "wrong/null value",
    "SemanticTypeIri": "urn:effortless:pko-extension#CellDisagreement",
    "Name": "effortless-xlsx|StepExecutions.IsLateAndUnexplained @ se-policy02",
    "Substrate": "effortless-xlsx",
    "RulebookField": "StepExecutions.IsLateAndUnexplained"
   },
   {
    "CellDisagreementId": "effortless-xlsx|StepExecutions.IsLateAndUnexplained|se-policy03",
    "FieldDisagreement": "effortless-xlsx|StepExecutions.IsLateAndUnexplained",
    "RecordId": "se-policy03",
    "ExpectedValue": "false",
    "ActualValue": "\"#NAME?\"",
    "Reason": "wrong/null value",
    "SemanticTypeIri": "urn:effortless:pko-extension#CellDisagreement",
    "Name": "effortless-xlsx|StepExecutions.IsLateAndUnexplained @ se-policy03",
    "Substrate": "effortless-xlsx",
    "RulebookField": "StepExecutions.IsLateAndUnexplained"
   },
   {
    "CellDisagreementId": "effortless-xlsx|StepExecutions.IsLateAndUnexplained|se-policy04",
    "FieldDisagreement": "effortless-xlsx|StepExecutions.IsLateAndUnexplained",
    "RecordId": "se-policy04",
    "ExpectedValue": "false",
    "ActualValue": "\"#NAME?\"",
    "Reason": "wrong/null value",
    "SemanticTypeIri": "urn:effortless:pko-extension#CellDisagreement",
    "Name": "effortless-xlsx|StepExecutions.IsLateAndUnexplained @ se-policy04",
    "Substrate": "effortless-xlsx",
    "RulebookField": "StepExecutions.IsLateAndUnexplained"
   },
   {
    "CellDisagreementId": "effortless-xlsx|StepExecutions.HadUninvokedExceptionAvailable|se-close01",
    "FieldDisagreement": "effortless-xlsx|StepExecutions.HadUninvokedExceptionAvailable",
    "RecordId": "se-close01",
    "ExpectedValue": "false",
    "ActualValue": "\"#NAME?\"",
    "Reason": "wrong/null value",
    "SemanticTypeIri": "urn:effortless:pko-extension#CellDisagreement",
    "Name": "effortless-xlsx|StepExecutions.HadUninvokedExceptionAvailable @ se-close01",
    "Substrate": "effortless-xlsx",
    "RulebookField": "StepExecutions.HadUninvokedExceptionAvailable"
   },
   {
    "CellDisagreementId": "effortless-xlsx|StepExecutions.HadUninvokedExceptionAvailable|se-close02",
    "FieldDisagreement": "effortless-xlsx|StepExecutions.HadUninvokedExceptionAvailable",
    "RecordId": "se-close02",
    "ExpectedValue": "false",
    "ActualValue": "\"#NAME?\"",
    "Reason": "wrong/null value",
    "SemanticTypeIri": "urn:effortless:pko-extension#CellDisagreement",
    "Name": "effortless-xlsx|StepExecutions.HadUninvokedExceptionAvailable @ se-close02",
    "Substrate": "effortless-xlsx",
    "RulebookField": "StepExecutions.HadUninvokedExceptionAvailable"
   },
   {
    "CellDisagreementId": "effortless-xlsx|StepExecutions.HadUninvokedExceptionAvailable|se-close03",
    "FieldDisagreement": "effortless-xlsx|StepExecutions.HadUninvokedExceptionAvailable",
    "RecordId": "se-close03",
    "ExpectedValue": "false",
    "ActualValue": "\"#NAME?\"",
    "Reason": "wrong/null value",
    "SemanticTypeIri": "urn:effortless:pko-extension#CellDisagreement",
    "Name": "effortless-xlsx|StepExecutions.HadUninvokedExceptionAvailable @ se-close03",
    "Substrate": "effortless-xlsx",
    "RulebookField": "StepExecutions.HadUninvokedExceptionAvailable"
   },
   {
    "CellDisagreementId": "effortless-xlsx|StepExecutions.HadUninvokedExceptionAvailable|se-close04",
    "FieldDisagreement": "effortless-xlsx|StepExecutions.HadUninvokedExceptionAvailable",
    "RecordId": "se-close04",
    "ExpectedValue": "false",
    "ActualValue": "\"#NAME?\"",
    "Reason": "wrong/null value",
    "SemanticTypeIri": "urn:effortless:pko-extension#CellDisagreement",
    "Name": "effortless-xlsx|StepExecutions.HadUninvokedExceptionAvailable @ se-close04",
    "Substrate": "effortless-xlsx",
    "RulebookField": "StepExecutions.HadUninvokedExceptionAvailable"
   },
   {
    "CellDisagreementId": "effortless-xlsx|StepExecutions.HadUninvokedExceptionAvailable|se-close05",
    "FieldDisagreement": "effortless-xlsx|StepExecutions.HadUninvokedExceptionAvailable",
    "RecordId": "se-close05",
    "ExpectedValue": "false",
    "ActualValue": "\"#NAME?\"",
    "Reason": "wrong/null value",
    "SemanticTypeIri": "urn:effortless:pko-extension#CellDisagreement",
    "Name": "effortless-xlsx|StepExecutions.HadUninvokedExceptionAvailable @ se-close05",
    "Substrate": "effortless-xlsx",
    "RulebookField": "StepExecutions.HadUninvokedExceptionAvailable"
   },
   {
    "CellDisagreementId": "effortless-xlsx|StepExecutions.HadUninvokedExceptionAvailable|se-close06",
    "FieldDisagreement": "effortless-xlsx|StepExecutions.HadUninvokedExceptionAvailable",
    "RecordId": "se-close06",
    "ExpectedValue": "false",
    "ActualValue": "\"#NAME?\"",
    "Reason": "wrong/null value",
    "SemanticTypeIri": "urn:effortless:pko-extension#CellDisagreement",
    "Name": "effortless-xlsx|StepExecutions.HadUninvokedExceptionAvailable @ se-close06",
    "Substrate": "effortless-xlsx",
    "RulebookField": "StepExecutions.HadUninvokedExceptionAvailable"
   },
   {
    "CellDisagreementId": "effortless-xlsx|StepExecutions.HadUninvokedExceptionAvailable|se-close07",
    "FieldDisagreement": "effortless-xlsx|StepExecutions.HadUninvokedExceptionAvailable",
    "RecordId": "se-close07",
    "ExpectedValue": "false",
    "ActualValue": "\"#NAME?\"",
    "Reason": "wrong/null value",
    "SemanticTypeIri": "urn:effortless:pko-extension#CellDisagreement",
    "Name": "effortless-xlsx|StepExecutions.HadUninvokedExceptionAvailable @ se-close07",
    "Substrate": "effortless-xlsx",
    "RulebookField": "StepExecutions.HadUninvokedExceptionAvailable"
   },
   {
    "CellDisagreementId": "effortless-xlsx|StepExecutions.HadUninvokedExceptionAvailable|se-close08",
    "FieldDisagreement": "effortless-xlsx|StepExecutions.HadUninvokedExceptionAvailable",
    "RecordId": "se-close08",
    "ExpectedValue": "false",
    "ActualValue": "\"#NAME?\"",
    "Reason": "wrong/null value",
    "SemanticTypeIri": "urn:effortless:pko-extension#CellDisagreement",
    "Name": "effortless-xlsx|StepExecutions.HadUninvokedExceptionAvailable @ se-close08",
    "Substrate": "effortless-xlsx",
    "RulebookField": "StepExecutions.HadUninvokedExceptionAvailable"
   },
   {
    "CellDisagreementId": "effortless-xlsx|StepExecutions.HadUninvokedExceptionAvailable|se-policy01",
    "FieldDisagreement": "effortless-xlsx|StepExecutions.HadUninvokedExceptionAvailable",
    "RecordId": "se-policy01",
    "ExpectedValue": "false",
    "ActualValue": "\"#NAME?\"",
    "Reason": "wrong/null value",
    "SemanticTypeIri": "urn:effortless:pko-extension#CellDisagreement",
    "Name": "effortless-xlsx|StepExecutions.HadUninvokedExceptionAvailable @ se-policy01",
    "Substrate": "effortless-xlsx",
    "RulebookField": "StepExecutions.HadUninvokedExceptionAvailable"
   },
   {
    "CellDisagreementId": "effortless-xlsx|StepExecutions.HadUninvokedExceptionAvailable|se-policy02",
    "FieldDisagreement": "effortless-xlsx|StepExecutions.HadUninvokedExceptionAvailable",
    "RecordId": "se-policy02",
    "ExpectedValue": "false",
    "ActualValue": "\"#NAME?\"",
    "Reason": "wrong/null value",
    "SemanticTypeIri": "urn:effortless:pko-extension#CellDisagreement",
    "Name": "effortless-xlsx|StepExecutions.HadUninvokedExceptionAvailable @ se-policy02",
    "Substrate": "effortless-xlsx",
    "RulebookField": "StepExecutions.HadUninvokedExceptionAvailable"
   },
   {
    "CellDisagreementId": "effortless-xlsx|StepExecutions.HadUninvokedExceptionAvailable|se-policy03",
    "FieldDisagreement": "effortless-xlsx|StepExecutions.HadUninvokedExceptionAvailable",
    "RecordId": "se-policy03",
    "ExpectedValue": "false",
    "ActualValue": "\"#NAME?\"",
    "Reason": "wrong/null value",
    "SemanticTypeIri": "urn:effortless:pko-extension#CellDisagreement",
    "Name": "effortless-xlsx|StepExecutions.HadUninvokedExceptionAvailable @ se-policy03",
    "Substrate": "effortless-xlsx",
    "RulebookField": "StepExecutions.HadUninvokedExceptionAvailable"
   },
   {
    "CellDisagreementId": "effortless-xlsx|StepExecutions.HadUninvokedExceptionAvailable|se-policy04",
    "FieldDisagreement": "effortless-xlsx|StepExecutions.HadUninvokedExceptionAvailable",
    "RecordId": "se-policy04",
    "ExpectedValue": "false",
    "ActualValue": "\"#NAME?\"",
    "Reason": "wrong/null value",
    "SemanticTypeIri": "urn:effortless:pko-extension#CellDisagreement",
    "Name": "effortless-xlsx|StepExecutions.HadUninvokedExceptionAvailable @ se-policy04",
    "Substrate": "effortless-xlsx",
    "RulebookField": "StepExecutions.HadUninvokedExceptionAvailable"
   },
   {
    "CellDisagreementId": "effortless-xlsx|StepExecutions.LateExecutionKey|se-close01",
    "FieldDisagreement": "effortless-xlsx|StepExecutions.LateExecutionKey",
    "RecordId": "se-close01",
    "ExpectedValue": "null",
    "ActualValue": "\"#NAME?\"",
    "Reason": "wrong/null value",
    "SemanticTypeIri": "urn:effortless:pko-extension#CellDisagreement",
    "Name": "effortless-xlsx|StepExecutions.LateExecutionKey @ se-close01",
    "Substrate": "effortless-xlsx",
    "RulebookField": "StepExecutions.LateExecutionKey"
   },
   {
    "CellDisagreementId": "effortless-xlsx|StepExecutions.LateExecutionKey|se-close02",
    "FieldDisagreement": "effortless-xlsx|StepExecutions.LateExecutionKey",
    "RecordId": "se-close02",
    "ExpectedValue": "\"exec-close-2026-q2\"",
    "ActualValue": "\"#NAME?\"",
    "Reason": "wrong/null value",
    "SemanticTypeIri": "urn:effortless:pko-extension#CellDisagreement",
    "Name": "effortless-xlsx|StepExecutions.LateExecutionKey @ se-close02",
    "Substrate": "effortless-xlsx",
    "RulebookField": "StepExecutions.LateExecutionKey"
   },
   {
    "CellDisagreementId": "effortless-xlsx|StepExecutions.LateExecutionKey|se-close03",
    "FieldDisagreement": "effortless-xlsx|StepExecutions.LateExecutionKey",
    "RecordId": "se-close03",
    "ExpectedValue": "\"exec-close-2026-q2\"",
    "ActualValue": "\"#NAME?\"",
    "Reason": "wrong/null value",
    "SemanticTypeIri": "urn:effortless:pko-extension#CellDisagreement",
    "Name": "effortless-xlsx|StepExecutions.LateExecutionKey @ se-close03",
    "Substrate": "effortless-xlsx",
    "RulebookField": "StepExecutions.LateExecutionKey"
   },
   {
    "CellDisagreementId": "effortless-xlsx|StepExecutions.LateExecutionKey|se-close04",
    "FieldDisagreement": "effortless-xlsx|StepExecutions.LateExecutionKey",
    "RecordId": "se-close04",
    "ExpectedValue": "\"exec-close-2026-q2\"",
    "ActualValue": "\"#NAME?\"",
    "Reason": "wrong/null value",
    "SemanticTypeIri": "urn:effortless:pko-extension#CellDisagreement",
    "Name": "effortless-xlsx|StepExecutions.LateExecutionKey @ se-close04",
    "Substrate": "effortless-xlsx",
    "RulebookField": "StepExecutions.LateExecutionKey"
   },
   {
    "CellDisagreementId": "effortless-xlsx|StepExecutions.LateExecutionKey|se-close05",
    "FieldDisagreement": "effortless-xlsx|StepExecutions.LateExecutionKey",
    "RecordId": "se-close05",
    "ExpectedValue": "\"exec-close-2026-q2\"",
    "ActualValue": "\"#NAME?\"",
    "Reason": "wrong/null value",
    "SemanticTypeIri": "urn:effortless:pko-extension#CellDisagreement",
    "Name": "effortless-xlsx|StepExecutions.LateExecutionKey @ se-close05",
    "Substrate": "effortless-xlsx",
    "RulebookField": "StepExecutions.LateExecutionKey"
   },
   {
    "CellDisagreementId": "effortless-xlsx|StepExecutions.LateExecutionKey|se-close06",
    "FieldDisagreement": "effortless-xlsx|StepExecutions.LateExecutionKey",
    "RecordId": "se-close06",
    "ExpectedValue": "null",
    "ActualValue": "\"#NAME?\"",
    "Reason": "wrong/null value",
    "SemanticTypeIri": "urn:effortless:pko-extension#CellDisagreement",
    "Name": "effortless-xlsx|StepExecutions.LateExecutionKey @ se-close06",
    "Substrate": "effortless-xlsx",
    "RulebookField": "StepExecutions.LateExecutionKey"
   },
   {
    "CellDisagreementId": "effortless-xlsx|StepExecutions.LateExecutionKey|se-close07",
    "FieldDisagreement": "effortless-xlsx|StepExecutions.LateExecutionKey",
    "RecordId": "se-close07",
    "ExpectedValue": "null",
    "ActualValue": "\"#NAME?\"",
    "Reason": "wrong/null value",
    "SemanticTypeIri": "urn:effortless:pko-extension#CellDisagreement",
    "Name": "effortless-xlsx|StepExecutions.LateExecutionKey @ se-close07",
    "Substrate": "effortless-xlsx",
    "RulebookField": "StepExecutions.LateExecutionKey"
   },
   {
    "CellDisagreementId": "effortless-xlsx|StepExecutions.LateExecutionKey|se-close08",
    "FieldDisagreement": "effortless-xlsx|StepExecutions.LateExecutionKey",
    "RecordId": "se-close08",
    "ExpectedValue": "\"exec-close-2026-q2\"",
    "ActualValue": "\"#NAME?\"",
    "Reason": "wrong/null value",
    "SemanticTypeIri": "urn:effortless:pko-extension#CellDisagreement",
    "Name": "effortless-xlsx|StepExecutions.LateExecutionKey @ se-close08",
    "Substrate": "effortless-xlsx",
    "RulebookField": "StepExe</t>
  </si>
  <si>
    <t xml:space="preserve">cutions.LateExecutionKey"
   },
   {
    "CellDisagreementId": "effortless-xlsx|StepExecutions.LateExecutionKey|se-policy01",
    "FieldDisagreement": "effortless-xlsx|StepExecutions.LateExecutionKey",
    "RecordId": "se-policy01",
    "ExpectedValue": "null",
    "ActualValue": "\"#NAME?\"",
    "Reason": "wrong/null value",
    "SemanticTypeIri": "urn:effortless:pko-extension#CellDisagreement",
    "Name": "effortless-xlsx|StepExecutions.LateExecutionKey @ se-policy01",
    "Substrate": "effortless-xlsx",
    "RulebookField": "StepExecutions.LateExecutionKey"
   },
   {
    "CellDisagreementId": "effortless-xlsx|StepExecutions.LateExecutionKey|se-policy02",
    "FieldDisagreement": "effortless-xlsx|StepExecutions.LateExecutionKey",
    "RecordId": "se-policy02",
    "ExpectedValue": "\"exec-policy-hr4821\"",
    "ActualValue": "\"#NAME?\"",
    "Reason": "wrong/null value",
    "SemanticTypeIri": "urn:effortless:pko-extension#CellDisagreement",
    "Name": "effortless-xlsx|StepExecutions.LateExecutionKey @ se-policy02",
    "Substrate": "effortless-xlsx",
    "RulebookField": "StepExecutions.LateExecutionKey"
   },
   {
    "CellDisagreementId": "effortless-xlsx|StepExecutions.LateExecutionKey|se-policy03",
    "FieldDisagreement": "effortless-xlsx|StepExecutions.LateExecutionKey",
    "RecordId": "se-policy03",
    "ExpectedValue": "null",
    "ActualValue": "\"#NAME?\"",
    "Reason": "wrong/null value",
    "SemanticTypeIri": "urn:effortless:pko-extension#CellDisagreement",
    "Name": "effortless-xlsx|StepExecutions.LateExecutionKey @ se-policy03",
    "Substrate": "effortless-xlsx",
    "RulebookField": "StepExecutions.LateExecutionKey"
   },
   {
    "CellDisagreementId": "effortless-xlsx|StepExecutions.LateExecutionKey|se-policy04",
    "FieldDisagreement": "effortless-xlsx|StepExecutions.LateExecutionKey",
    "RecordId": "se-policy04",
    "ExpectedValue": "\"exec-policy-hr4821\"",
    "ActualValue": "\"#NAME?\"",
    "Reason": "wrong/null value",
    "SemanticTypeIri": "urn:effortless:pko-extension#CellDisagreement",
    "Name": "effortless-xlsx|StepExecutions.LateExecutionKey @ se-policy04",
    "Substrate": "effortless-xlsx",
    "RulebookField": "StepExecutions.LateExecutionKey"
   },
   {
    "CellDisagreementId": "effortless-xlsx|StepExecutions.IsClean|se-close01",
    "FieldDisagreement": "effortless-xlsx|StepExecutions.IsClean",
    "RecordId": "se-close01",
    "ExpectedValue": "true",
    "ActualValue": "\"#NAME?\"",
    "Reason": "wrong/null value",
    "SemanticTypeIri": "urn:effortless:pko-extension#CellDisagreement",
    "Name": "effortless-xlsx|StepExecutions.IsClean @ se-close01",
    "Substrate": "effortless-xlsx",
    "RulebookField": "StepExecutions.IsClean"
   },
   {
    "CellDisagreementId": "effortless-xlsx|StepExecutions.IsClean|se-close02",
    "FieldDisagreement": "effortless-xlsx|StepExecutions.IsClean",
    "RecordId": "se-close02",
    "ExpectedValue": "false",
    "ActualValue": "\"#NAME?\"",
    "Reason": "wrong/null value",
    "SemanticTypeIri": "urn:effortless:pko-extension#CellDisagreement",
    "Name": "effortless-xlsx|StepExecutions.IsClean @ se-close02",
    "Substrate": "effortless-xlsx",
    "RulebookField": "StepExecutions.IsClean"
   },
   {
    "CellDisagreementId": "effortless-xlsx|StepExecutions.IsClean|se-close03",
    "FieldDisagreement": "effortless-xlsx|StepExecutions.IsClean",
    "RecordId": "se-close03",
    "ExpectedValue": "false",
    "ActualValue": "\"#NAME?\"",
    "Reason": "wrong/null value",
    "SemanticTypeIri": "urn:effortless:pko-extension#CellDisagreement",
    "Name": "effortless-xlsx|StepExecutions.IsClean @ se-close03",
    "Substrate": "effortless-xlsx",
    "RulebookField": "StepExecutions.IsClean"
   },
   {
    "CellDisagreementId": "effortless-xlsx|StepExecutions.IsClean|se-close04",
    "FieldDisagreement": "effortless-xlsx|StepExecutions.IsClean",
    "RecordId": "se-close04",
    "ExpectedValue": "false",
    "ActualValue": "\"#NAME?\"",
    "Reason": "wrong/null value",
    "SemanticTypeIri": "urn:effortless:pko-extension#CellDisagreement",
    "Name": "effortless-xlsx|StepExecutions.IsClean @ se-close04",
    "Substrate": "effortless-xlsx",
    "RulebookField": "StepExecutions.IsClean"
   },
   {
    "CellDisagreementId": "effortless-xlsx|StepExecutions.IsClean|se-close05",
    "FieldDisagreement": "effortless-xlsx|StepExecutions.IsClean",
    "RecordId": "se-close05",
    "ExpectedValue": "false",
    "ActualValue": "\"#NAME?\"",
    "Reason": "wrong/null value",
    "SemanticTypeIri": "urn:effortless:pko-extension#CellDisagreement",
    "Name": "effortless-xlsx|StepExecutions.IsClean @ se-close05",
    "Substrate": "effortless-xlsx",
    "RulebookField": "StepExecutions.IsClean"
   },
   {
    "CellDisagreementId": "effortless-xlsx|StepExecutions.IsClean|se-close06",
    "FieldDisagreement": "effortless-xlsx|StepExecutions.IsClean",
    "RecordId": "se-close06",
    "ExpectedValue": "true",
    "ActualValue": "\"#NAME?\"",
    "Reason": "wrong/null value",
    "SemanticTypeIri": "urn:effortless:pko-extension#CellDisagreement",
    "Name": "effortless-xlsx|StepExecutions.IsClean @ se-close06",
    "Substrate": "effortless-xlsx",
    "RulebookField": "StepExecutions.IsClean"
   },
   {
    "CellDisagreementId": "effortless-xlsx|StepExecutions.IsClean|se-close07",
    "FieldDisagreement": "effortless-xlsx|StepExecutions.IsClean",
    "RecordId": "se-close07",
    "ExpectedValue": "true",
    "ActualValue": "\"#NAME?\"",
    "Reason": "wrong/null value",
    "SemanticTypeIri": "urn:effortless:pko-extension#CellDisagreement",
    "Name": "effortless-xlsx|StepExecutions.IsClean @ se-close07",
    "Substrate": "effortless-xlsx",
    "RulebookField": "StepExecutions.IsClean"
   },
   {
    "CellDisagreementId": "effortless-xlsx|StepExecutions.IsClean|se-close08",
    "FieldDisagreement": "effortless-xlsx|StepExecutions.IsClean",
    "RecordId": "se-close08",
    "ExpectedValue": "false",
    "ActualValue": "\"#NAME?\"",
    "Reason": "wrong/null value",
    "SemanticTypeIri": "urn:effortless:pko-extension#CellDisagreement",
    "Name": "effortless-xlsx|StepExecutions.IsClean @ se-close08",
    "Substrate": "effortless-xlsx",
    "RulebookField": "StepExecutions.IsClean"
   },
   {
    "CellDisagreementId": "effortless-xlsx|StepExecutions.IsClean|se-policy01",
    "FieldDisagreement": "effortless-xlsx|StepExecutions.IsClean",
    "RecordId": "se-policy01",
    "ExpectedValue": "true",
    "ActualValue": "\"#NAME?\"",
    "Reason": "wrong/null value",
    "SemanticTypeIri": "urn:effortless:pko-extension#CellDisagreement",
    "Name": "effortless-xlsx|StepExecutions.IsClean @ se-policy01",
    "Substrate": "effortless-xlsx",
    "RulebookField": "StepExecutions.IsClean"
   },
   {
    "CellDisagreementId": "effortless-xlsx|StepExecutions.IsClean|se-policy02",
    "FieldDisagreement": "effortless-xlsx|StepExecutions.IsClean",
    "RecordId": "se-policy02",
    "ExpectedValue": "false",
    "ActualValue": "\"#NAME?\"",
    "Reason": "wrong/null value",
    "SemanticTypeIri": "urn:effortless:pko-extension#CellDisagreement",
    "Name": "effortless-xlsx|StepExecutions.IsClean @ se-policy02",
    "Substrate": "effortless-xlsx",
    "RulebookField": "StepExecutions.IsClean"
   },
   {
    "CellDisagreementId": "effortless-xlsx|StepExecutions.IsClean|se-policy03",
    "FieldDisagreement": "effortless-xlsx|StepExecutions.IsClean",
    "RecordId": "se-policy03",
    "ExpectedValue": "true",
    "ActualValue": "\"#NAME?\"",
    "Reason": "wrong/null value",
    "SemanticTypeIri": "urn:effortless:pko-extension#CellDisagreement",
    "Name": "effortless-xlsx|StepExecutions.IsClean @ se-policy03",
    "Substrate": "effortless-xlsx",
    "RulebookField": "StepExecutions.IsClean"
   },
   {
    "CellDisagreementId": "effortless-xlsx|StepExecutions.IsClean|se-policy04",
    "FieldDisagreement": "effortless-xlsx|StepExecutions.IsClean",
    "RecordId": "se-policy04",
    "ExpectedValue": "false",
    "ActualValue": "\"#NAME?\"",
    "Reason": "wrong/null value",
    "SemanticTypeIri": "urn:effortless:pko-extension#CellDisagreement",
    "Name": "effortless-xlsx|StepExecutions.IsClean @ se-policy04",
    "Substrate": "effortless-xlsx",
    "RulebookField": "StepExecutions.IsClean"
   },
   {
    "CellDisagreementId": "effortless-xlsx|StepExecutions.ProcedureExecutionWhenUnclean|se-close01",
    "FieldDisagreement": "effortless-xlsx|StepExecutions.ProcedureExecutionWhenUnclean",
    "RecordId": "se-close01",
    "ExpectedValue": "null",
    "ActualValue": "\"#NAME?\"",
    "Reason": "wrong/null value",
    "SemanticTypeIri": "urn:effortless:pko-extension#CellDisagreement",
    "Name": "effortless-xlsx|StepExecutions.ProcedureExecutionWhenUnclean @ se-close01",
    "Substrate": "effortless-xlsx",
    "RulebookField": "StepExecutions.ProcedureExecutionWhenUnclean"
   },
   {
    "CellDisagreementId": "effortless-xlsx|StepExecutions.ProcedureExecutionWhenUnclean|se-close02",
    "FieldDisagreement": "effortless-xlsx|StepExecutions.ProcedureExecutionWhenUnclean",
    "RecordId": "se-close02",
    "ExpectedValue": "\"exec-close-2026-q2\"",
    "ActualValue": "\"#NAME?\"",
    "Reason": "wrong/null value",
    "SemanticTypeIri": "urn:effortless:pko-extension#CellDisagreement",
    "Name": "effortless-xlsx|StepExecutions.ProcedureExecutionWhenUnclean @ se-close02",
    "Substrate": "effortless-xlsx",
    "RulebookField": "StepExecutions.ProcedureExecutionWhenUnclean"
   },
   {
    "CellDisagreementId": "effortless-xlsx|StepExecutions.ProcedureExecutionWhenUnclean|se-close03",
    "FieldDisagreement": "effortless-xlsx|StepExecutions.ProcedureExecutionWhenUnclean",
    "RecordId": "se-close03",
    "ExpectedValue": "\"exec-close-2026-q2\"",
    "ActualValue": "\"#NAME?\"",
    "Reason": "wrong/null value",
    "SemanticTypeIri": "urn:effortless:pko-extension#CellDisagreement",
    "Name": "effortless-xlsx|StepExecutions.ProcedureExecutionWhenUnclean @ se-close03",
    "Substrate": "effortless-xlsx",
    "RulebookField": "StepExecutions.ProcedureExecutionWhenUnclean"
   },
   {
    "CellDisagreementId": "effortless-xlsx|StepExecutions.ProcedureExecutionWhenUnclean|se-close04",
    "FieldDisagreement": "effortless-xlsx|StepExecutions.ProcedureExecutionWhenUnclean",
    "RecordId": "se-close04",
    "ExpectedValue": "\"exec-close-2026-q2\"",
    "ActualValue": "\"#NAME?\"",
    "Reason": "wrong/null value",
    "SemanticTypeIri": "urn:effortless:pko-extension#CellDisagreement",
    "Name": "effortless-xlsx|StepExecutions.ProcedureExecutionWhenUnclean @ se-close04",
    "Substrate": "effortless-xlsx",
    "RulebookField": "StepExecutions.ProcedureExecutionWhenUnclean"
   },
   {
    "CellDisagreementId": "effortless-xlsx|StepExecutions.ProcedureExecutionWhenUnclean|se-close05",
    "FieldDisagreement": "effortless-xlsx|StepExecutions.ProcedureExecutionWhenUnclean",
    "RecordId": "se-close05",
    "ExpectedValue": "\"exec-close-2026-q2\"",
    "ActualValue": "\"#NAME?\"",
    "Reason": "wrong/null value",
    "SemanticTypeIri": "urn:effortless:pko-extension#CellDisagreement",
    "Name": "effortless-xlsx|StepExecutions.ProcedureExecutionWhenUnclean @ se-close05",
    "Substrate": "effortless-xlsx",
    "RulebookField": "StepExecutions.ProcedureExecutionWhenUnclean"
   },
   {
    "CellDisagreementId": "effortless-xlsx|StepExecutions.ProcedureExecutionWhenUnclean|se-close06",
    "FieldDisagreement": "effortless-xlsx|StepExecutions.ProcedureExecutionWhenUnclean",
    "RecordId": "se-close06",
    "ExpectedValue": "null",
    "ActualValue": "\"#NAME?\"",
    "Reason": "wrong/null value",
    "SemanticTypeIri": "urn:effortless:pko-extension#CellDisagreement",
    "Name": "effortless-xlsx|StepExecutions.ProcedureExecutionWhenUnclean @ se-close06",
    "Substrate": "effortless-xlsx",
    "RulebookField": "StepExecutions.ProcedureExecutionWhenUnclean"
   },
   {
    "CellDisagreementId": "effortless-xlsx|StepExecutions.ProcedureExecutionWhenUnclean|se-close07",
    "FieldDisagreement": "effortless-xlsx|StepExecutions.ProcedureExecutionWhenUnclean",
    "RecordId": "se-close07",
    "ExpectedValue": "null",
    "ActualValue": "\"#NAME?\"",
    "Reason": "wrong/null value",
    "SemanticTypeIri": "urn:effortless:pko-extension#CellDisagreement",
    "Name": "effortless-xlsx|StepExecutions.ProcedureExecutionWhenUnclean @ se-close07",
    "Substrate": "effortless-xlsx",
    "RulebookField": "StepExecutions.ProcedureExecutionWhenUnclean"
   },
   {
    "CellDisagreementId": "effortless-xlsx|StepExecutions.ProcedureExecutionWhenUnclean|se-close08",
    "FieldDisagreement": "effortless-xlsx|StepExecutions.ProcedureExecutionWhenUnclean",
    "RecordId": "se-close08",
    "ExpectedValue": "\"exec-close-2026-q2\"",
    "ActualValue": "\"#NAME?\"",
    "Reason": "wrong/null value",
    "SemanticTypeIri": "urn:effortless:pko-extension#CellDisagreement",
    "Name": "effortless-xlsx|StepExecutions.ProcedureExecutionWhenUnclean @ se-close08",
    "Substrate": "effortless-xlsx",
    "RulebookField": "StepExecutions.ProcedureExecutionWhenUnclean"
   },
   {
    "CellDisagreementId": "effortless-xlsx|StepExecutions.ProcedureExecutionWhenUnclean|se-policy01",
    "FieldDisagreement": "effortless-xlsx|StepExecutions.ProcedureExecutionWhenUnclean",
    "RecordId": "se-policy01",
    "ExpectedValue": "null",
    "ActualValue": "\"#NAME?\"",
    "Reason": "wrong/null value",
    "SemanticTypeIri": "urn:effortless:pko-extension#CellDisagreement",
    "Name": "effortless-xlsx|StepExecutions.ProcedureExecutionWhenUnclean @ se-policy01",
    "Substrate": "effortless-xlsx",
    "RulebookField": "StepExecutions.ProcedureExecutionWhenUnclean"
   },
   {
    "CellDisagreementId": "effortless-xlsx|StepExecutions.ProcedureExecutionWhenUnclean|se-policy02",
    "FieldDisagreement": "effortless-xlsx|StepExecutions.ProcedureExecutionWhenUnclean",
    "RecordId": "se-policy02",
    "ExpectedValue": "\"exec-policy-hr4821\"",
    "ActualValue": "\"#NAME?\"",
    "Reason": "wrong/null value",
    "SemanticTypeIri": "urn:effortless:pko-extension#CellDisagreement",
    "Name": "effortless-xlsx|StepExecutions.ProcedureExecutionWhenUnclean @ se-policy02",
    "Substrate": "effortless-xlsx",
    "RulebookField": "StepExecutions.ProcedureExecutionWhenUnclean"
   },
   {
    "CellDisagreementId": "effortless-xlsx|StepExecutions.ProcedureExecutionWhenUnclean|se-policy03",
    "FieldDisagreement": "effortless-xlsx|StepExecutions.ProcedureExecutionWhenUnclean",
    "RecordId": "se-policy03",
    "ExpectedValue": "null",
    "ActualValue": "\"#NAME?\"",
    "Reason": "wrong/null value",
    "SemanticTypeIri": "urn:effortless:pko-extension#CellDisagreement",
    "Name": "effortless-xlsx|StepExecutions.ProcedureExecutionWhenUnclean @ se-policy03",
    "Substrate": "effortless-xlsx",
    "RulebookField": "StepExecutions.ProcedureExecutionWhenUnclean"
   },
   {
    "CellDisagreementId": "effortless-xlsx|StepExecutions.ProcedureExecutionWhenUnclean|se-policy04",
    "FieldDisagreement": "effortless-xlsx|StepExecutions.ProcedureExecutionWhenUnclean",
    "RecordId": "se-policy04",
    "ExpectedValue": "\"exec-policy-hr4821\"",
    "ActualValue": "\"#NAME?\"",
    "Reason": "wrong/null value",
    "SemanticTypeIri": "urn:effortless:pko-extension#CellDisagreement",
    "Name": "effortless-xlsx|StepExecutions.ProcedureExecutionWhenUnclean @ se-policy04",
    "Substrate": "effortless-xlsx",
    "RulebookField": "StepExecutions.ProcedureExecutionWhenUnclean"
   },
   {
    "CellDisagreementId": "effortless-xlsx|StepExecutions.IsVacuouslyClean|se-close01",
    "FieldDisagreement": "effortless-xlsx|StepExecutions.IsVacuouslyClean",
    "RecordId": "se-close01",
    "ExpectedValue": "false",
    "ActualValue": "\"#NAME?\"",
    "Reason": "wrong/null value",
    "SemanticTypeIri": "urn:effortless:pko-extension#CellDisagreement",
    "Name": "effortless-xlsx|StepExecutions.IsVacuouslyClean @ se-close01",
    "Substrate": "effortless-xlsx",
    "RulebookField": "StepExecutions.IsVacuouslyClean"
   },
   {
    "CellDisagreementId": "effortless-xlsx|StepExecutions.IsVacuouslyClean|se-close02",
    "FieldDisagreement": "effortless-xlsx|StepExecutions.IsVacuouslyClean",
    "RecordId": "se-close02",
    "ExpectedValue": "false",
    "ActualValue": "\"#NAME?\"",
    "Reason": "wrong/null value",
    "SemanticTypeIri": "urn:effortless:pko-extension#CellDisagreement",
    "Name": "effortless-xlsx|StepExecutions.IsVacuouslyClean @ se-close02",
    "Substrate": "effortless-xlsx",
    "RulebookField": "StepExecutions.IsVacuouslyClean"
   },
   {
    "CellDisagreementId": "effortless-xlsx|StepExecutions.IsVacuouslyClean|se-close03",
    "FieldDisagreement": "effortless-xlsx|StepExecutions.IsVacuouslyClean",
    "RecordId": "se-close03",
    "ExpectedValue": "false",
    "ActualValue": "\"#NAME?\"",
    "Reason": "wrong/null value",
    "SemanticTypeIri": "urn:effortless:pko-extension#CellDisagreement",
    "Name": "effortless-xlsx|StepExecutions.IsVacuouslyClean @ se-close03",
    "Substrate": "effortless-xlsx",
    "RulebookField": "StepExecutions.IsVacuouslyClean"
   },
   {
    "CellDisagreementId": "effortless-xlsx|StepExecutions.IsVacuouslyClean|se-close04",
    "FieldDisagreement": "effortless-xlsx|StepExecutions.IsVacuouslyClean",
    "RecordId": "se-close04",
    "ExpectedValue": "false",
    "ActualValue": "\"#NAME?\"",
    "Reason": "wrong/null value",
    "SemanticTypeIri": "urn:effortless:pko-extension#CellDisagreement",
    "Name": "effortless-xlsx|StepExecutions.IsVacuouslyClean @ se-close04",
    "Substrate": "effortless-xlsx",
    "RulebookField": "StepExecutions.IsVacuouslyClean"
   },
   {
    "CellDisagreementId": "effortless-xlsx|StepExecutions.IsVacuouslyClean|se-close05",
    "FieldDisagreement": "effortless-xlsx|StepExecutions.IsVacuouslyClean",
    "RecordId": "se-close05",
    "ExpectedValue": "false",
    "ActualValue": "\"#NAME?\"",
    "Reason": "wrong/null value",
    "SemanticTypeIri": "urn:effortless:pko-extension#CellDisagreement",
    "Name": "effortless-xlsx|StepExecutions.IsVacuouslyClean @ se-close05",
    "Substrate": "effortless-xlsx",
    "RulebookField": "StepExecutions.IsVacuouslyClean"
   },
   {
    "CellDisagreementId": "effortless-xlsx|StepExecutions.IsVacuouslyClean|se-close06",
    "FieldDisagreement": "effortless-xlsx|StepExecutions.IsVacuouslyClean",
    "RecordId": "se-close06",
    "ExpectedValue": "false",
    "ActualValue": "\"#NAME?\"",
    "Reason": "wrong/null value",
    "SemanticTypeIri": "urn:effortless:pko-extension#CellDisagreement",
    "Name": "effortless-xlsx|StepExecutions.IsVacuouslyClean @ se-close06",
    "Substrate": "effortless-xlsx",
    "RulebookField": "StepExecutions.IsVacuouslyClean"
   },
   {
    "CellDisagreementId": "effortless-xlsx|StepExecutions.IsVacuouslyClean|se-close07",
    "FieldDisagreement": "effortless-xlsx|StepExecutions.IsVacuouslyClean",
    "RecordId": "se-close07",
    "ExpectedValue": "true",
    "ActualValue": "\"#NAME?\"",
    "Reason": "wrong/null value",
    "SemanticTypeIri": "urn:effortless:pko-extension#CellDisagreement",
    "Name": "effortless-xlsx|StepExecutions.IsVacuouslyClean @ se-close07",
    "Substrate": "effortless-xlsx",
    "RulebookField": "StepExecutions.IsVacuouslyClean"
   },
   {
    "CellDisagreementId": "effortless-xlsx|StepExecutions.IsVacuouslyClean|se-close08",
    "FieldDisagreement": "effortless-xlsx|StepExecutions.IsVacuouslyClean",
    "RecordId": "se-close08",
    "ExpectedValue": "false",
    "ActualValue": "\"#NAME?\"",
    "Reason": "wrong/null value",
    "SemanticTypeIri": "urn:effortless:pko-extension#CellDisagreement",
    "Name": "effortless-xlsx|StepExecutions.IsVacuouslyClean @ se-close08",
    "Substrate": "effortless-xlsx",
    "RulebookField": "StepExecutions.IsVacuouslyClean"
   },
   {
    "CellDisagreementId": "effortless-xlsx|StepExecutions.IsVacuouslyClean|se-policy01",
    "FieldDisagreement": "effortless-xlsx|StepExecutions.IsVacuouslyClean",
    "RecordId": "se-policy01",
    "ExpectedValue": "true",
    "ActualValue": "\"#NAME?\"",
    "Reason": "wrong/null value",
    "SemanticTypeIri": "urn:effortless:pko-extension#CellDisagreement",
    "Name": "effortless-xlsx|StepExecutions.IsVacuouslyClean @ se-policy01",
    "Substrate": "effortless-xlsx",
    "RulebookField": "StepExecutions.IsVacuouslyClean"
   },
   {
    "CellDisagreementId": "effortless-xlsx|StepExecutions.IsVacuouslyClean|se-policy02",
    "FieldDisagreement": "effortless-xlsx|StepExecutions.IsVacuouslyClean",
    "RecordId": "se-policy02",
    "ExpectedValue": "false",
    "ActualValue": "\"#NAME?\"",
    "Reason": "wrong/null value",
    "SemanticTypeIri": "urn:effortless:pko-extension#CellDisagreement",
    "Name": "effortless-xlsx|StepExecutions.IsVacuouslyClean @ se-policy02",
    "Substrate": "effortless-xlsx",
    "RulebookField": "StepExecutions.IsVacuouslyClean"
   },
   {
    "CellDisagreementId": "effortless-xlsx|StepExecutions.IsVacuouslyClean|se-policy03",
    "FieldDisagreement": "effortless-xlsx|StepExecutions.IsVacuouslyClean",
    "RecordId": "se-policy03",
    "ExpectedValue": "false",
    "ActualValue": "\"#NAME?\"",
    "Reason": "wrong/null value",
    "SemanticTypeIri": "urn:effortless:pko-extension#CellDisagreement",
    "Name": "effortless-xlsx|StepExecutions.IsVacuouslyClean @ se-policy03",
    "Substrate": "effortless-xlsx",
    "RulebookField": "StepExecutions.IsVacuouslyClean"
   },
   {
    "CellDisagreementId": "effortless-xlsx|StepExecutions.IsVacuouslyClean|se-policy04",
    "FieldDisagreement": "effortless-xlsx|StepExecutions.IsVacuouslyClean",
    "RecordId": "se-policy04",
    "ExpectedValue": "false",
    "ActualValue": "\"#NAME?\"",
    "Reason": "wrong/null value",
    "SemanticTypeIri": "urn:effortless:pko-extension#CellDisagreement",
    "Name": "effortless-xlsx|StepExecutions.IsVacuouslyClean @ se-policy04",
    "Substrate": "effortless-xlsx",
    "RulebookField": "StepExecutions.IsVacuouslyClean"
   },
   {
    "CellDisagreementId": "effortless-xlsx|StepExecutions.IsSubstantivelyClean|se-close01",
    "FieldDisagreement": "effortless-xlsx|StepExecutions.IsSubstantivelyClean",
    "RecordId": "se-close01",
    "ExpectedValue": "true",
    "ActualValue": "\"#NAME?\"",
    "Reason": "wrong/null value",
    "SemanticTypeIri": "urn:effortless:pko-extension#CellDisagreement",
    "Name": "effortless-xlsx|StepExecutions.IsSubstantivelyClean @ se-close01",
    "Substrate": "effortless-xlsx",
    "RulebookField": "StepExecutions.IsSubstantivelyClean"
   },
   {
    "CellDisagreementId": "effortless-xlsx|StepExecutions.IsSubstantivelyClean|se-close02",
    "FieldDisagreement": "effortless-xlsx|StepExecutions.IsSubstantivelyClean",
    "RecordId": "se-close02",
    "ExpectedValue": "false",
    "ActualValue": "\"#NAME?\"",
    "Reason": "wrong/null value",
    "SemanticTypeIri": "urn:effortless:pko-extension#CellDisagreement",
    "Name": "effortless-xlsx|StepExecutions.IsSubstantivelyClean @ se-close02",
    "Substrate": "effortless-xlsx",
    "RulebookField": "StepExecutions.IsSubstantivelyClean"
   },
   {
    "CellDisagreementId": "effortless-xlsx|StepExecutions.IsSubstantivelyClean|se-close03",
    "FieldDisagreement": "effortless-xlsx|StepExecutions.IsSubstantivelyClean",
    "RecordId": "se-close03",
    "ExpectedValue": "false",
    "ActualValue": "\"#NAME?\"",
    "Reason": "wrong/null value",
    "SemanticTypeIri": "urn:effortless:pko-extension#CellDisagreement",
    "Name": "effortless-xlsx|StepExecutions.IsSubstantivelyClean @ se-close03",
    "Substrate": "effortless-xlsx",
    "RulebookField": "StepExecutions.IsSubstantivelyClean"
   },
   {
    "CellDisagreementId": "effortless-xlsx|StepExecutions.IsSubstantivelyClean|se-close04",
    "FieldDisagreement": "effortless-xlsx|StepExecutions.IsSubstantivelyClean",
    "RecordId": "se-close04",
    "ExpectedValue": "false",
    "ActualValue": "\"#NAME?\"",
    "Reason": "wrong/null value",
    "SemanticTypeIri": "urn:effortless:pko-extension#CellDisagreement",
    "Name": "effortless-xlsx|StepExecutions.IsSubstantivelyClean @ se-close04",
    "Substrate": "effortless-xlsx",
    "RulebookField": "StepExecutions.IsSubstantivelyClean"
   },
   {
    "CellDisagreementId": "effortless-xlsx|StepExecutions.IsSubstantivelyClean|se-close05",
    "FieldDisagreement": "effortless-xlsx|StepExecutions.IsSubstantivelyClean",
    "RecordId": "se-close05",
    "ExpectedValue": "false",
    "ActualValue": "\"#NAME?\"",
    "Reason": "wrong/null value",
    "SemanticTypeIri": "urn:effortless:pko-extension#CellDisagreement",
    "Name": "effortless-xlsx|StepExecutions.IsSubstantivelyClean @ se-close05",
    "Substrate": "effortless-xlsx",
    "RulebookField": "StepExecutions.IsSubstantivelyClean"
   },
   {
    "CellDisagreementId": "effortless-xlsx|StepExecutions.IsSubstantivelyClean|se-close06",
    "FieldDisagreement": "effortless-xlsx|StepExecutions.IsSubstantivelyClean",
    "RecordId": "se-close06",
    "ExpectedValue": "false",
    "ActualValue": "\"#NAME?\"",
    "Reason": "wrong/null value",
    "SemanticTypeIri": "urn:effortless:pko-extension#CellDisagreement",
    "Name": "effortless-xlsx|StepExecutions.IsSubstantivelyClean @ se-close06",
    "Substrate": "effortless-xlsx",
    "RulebookField": "StepExecutions.IsSubstantivelyClean"
   },
   {
    "CellDisagreementId": "effortless-xlsx|StepExecutions.IsSubstantivelyClean|se-close07",
    "FieldDisagreement": "effortless-xlsx|StepExecutions.IsSubstantivelyClean",
    "RecordId": "se-close07",
    "ExpectedValue": "false",
    "ActualValue": "\"#NAME?\"",
    "Reason": "wrong/null value",
    "SemanticTypeIri": "urn:effortless:pko-extension#CellDisagreement",
    "Name": "effortless-xlsx|StepExecutions.IsSubstantivelyClean @ se-close07",
    "Substrate": "effortless-xlsx",
    "RulebookField": "StepExecutions.IsSubstantivelyClean"
   },
   {
    "CellDisagreementId": "effortless-xlsx|StepExecutions.IsSubstantivelyClean|se-close08",
    "FieldDisagreement": "effortless-xlsx|StepExecutions.IsSubstantivelyClean",
    "RecordId": "se-close08",
    "ExpectedValue": "false",
    "ActualValue": "\"#NAME?\"",
    "Reason": "wrong/null value",
    "SemanticTypeIri": "urn:effortless:pko-extension#CellDisagreement",
    "Name": "effortless-xlsx|StepExecutions.IsSubstantivelyClean @ se-close08",
    "Substrate": "effortless-xlsx",
    "RulebookField": "StepExecutions.IsSubstantivelyClean"
   },
   {
    "CellDisagreementId": "effortless-xlsx|StepExecutions.IsSubstantivelyClean|se-policy01",
    "FieldDisagreement": "effortless-xlsx|StepExecutions.IsSubstantivelyClean",
    "RecordId": "se-policy01",
    "ExpectedValue": "false",
    "ActualValue": "\"#NAME?\"",
    "Reason": "wrong/null value",
    "SemanticTypeIri": "urn:effortless:pko-extension#CellDisagreement",
    "Name": "effortless-xlsx|StepExecutions.IsSubstantivelyClean @ se-policy01",
    "Substrate": "effortless-xlsx",
    "RulebookField": "StepExecutions.IsSubstantivelyClean"
   },
   {
    "CellDisagreementId": "effortless-xlsx|StepExecutions.IsSubstantivelyClean|se-policy02",
    "FieldDisagreement": "effortless-xlsx|StepExecutions.IsSubstantivelyClean",
    "RecordId": "se-policy02",
    "ExpectedValue": "false",
    "ActualValue": "\"#NAME?\"",
    "Reason": "wrong/null value",
    "SemanticTypeIri": "urn:effortless:pko-extension#CellDisagreement",
    "Name": "effortless-xlsx|StepExecutions.IsSubstantivelyClean @ se-policy02",
    "Substrate": "effortless-xlsx",
    "RulebookField": "StepExecutions.IsSubstantivelyClean"
   },
   {
    "CellDisagreementId": "effortless-xlsx|StepExecutions.IsSubstantivelyClean|se-policy03",
    "FieldDisagreement": "effortless-xlsx|StepExecutions.IsSubstantivelyClean",
    "RecordId": "se-policy03",
    "ExpectedValue": "false",
    "ActualValue": "\"#NAME?\"",
    "Reason": "wrong/null value",
    "SemanticTypeIri": "urn:effortless:pko-extension#CellDisagreement",
    "Name": "effortless-xlsx|StepExecutions.IsSubstantivelyClean @ se-policy03",
    "Substrate": "effortless-xlsx",
    "RulebookField": "StepExecutions.IsSubstantivelyClean"
   },
   {
    "CellDisagreementId": "effortless-xlsx|StepExecutions.IsSubstantivelyClean|se-policy04",
    "FieldDisagreement": "effortless-xlsx|StepExecutions.IsSubstantivelyClean",
    "RecordId": "se-policy04",
    "ExpectedValue": "false",
    "ActualValue": "\"#NAME?\"",
    "Reason": "wrong/null value",
    "SemanticTypeIri": "urn:effortless:pko-extension#CellDisagreement",
    "Name": "effortless-xlsx|StepExecutions.IsSubstantivelyClean @ se-policy04",
    "Substrate": "effortless-xlsx",
    "RulebookField": "StepExecutions.IsSubstantivelyClean"
   },
   {
    "CellDisagreementId": "effortless-xlsx|StepExecutions.VacuouslyCleanExecutionKey|se-close01",
    "FieldDisagreement": "effortless-xlsx|StepExecutions.VacuouslyCleanExecutionKey",
    "RecordId": "se-close01",
    "ExpectedValue": "null",
    "ActualValue": "\"#NAME?\"",
    "Reason": "wrong/null value",
    "SemanticTypeIri": "urn:effortless:pko-extension#CellDisagreement",
    "Name": "effortless-xlsx|StepExecutions.VacuouslyCleanExecutionKey @ se-close01",
    "Substrate": "effortless-xlsx",
    "RulebookField": "StepExecutions.VacuouslyCleanExecutionKey"
   },
   {
    "CellDisagreementId": "effortless-xlsx|StepExecutions.VacuouslyCleanExecutionKey|se-close02",
    "FieldDisagreement": "effortless-xlsx|StepExecutions.VacuouslyCleanExecutionKey",
    "RecordId": "se-close02",
    "ExpectedValue": "null",
    "ActualValue": "\"#NAME?\"",
    "Reason": "wrong/null value",
    "SemanticTypeIri": "urn:effortless:pko-extension#CellDisagreement",
    "Name": "effortless-xlsx|StepExecutions.VacuouslyCleanExecutionKey @ se-close02",
    "Substrate": "effortless-xlsx",
    "RulebookField": "StepExecutions.VacuouslyCleanExecutionKey"
   },
   {
    "CellDisagreementId": "effortless-xlsx|StepExecutions.VacuouslyCleanExecutionKey|se-close03",
    "FieldDisagreement": "effortless-xlsx|StepExecutions.VacuouslyCleanExecutionKey",
    "RecordId": "se-close03",
    "ExpectedValue": "null",
    "ActualValue": "\"#NAME?\"",
    "Reason": "wrong/null value",
    "SemanticTypeIri": "urn:effortless:pko-extension#CellDisagreement",
    "Name": "effortless-xlsx|StepExecutions.VacuouslyCleanExecutionKey @ se-close03",
    "Substrate": "effortless-xlsx",
    "RulebookField": "StepExecutions.VacuouslyCleanExecutionKey"
   },
   {
    "CellDisagreementId": "effortless-xlsx|StepExecutions.VacuouslyCleanExecutionKey|se-close04",
    "FieldDisagreement": "effortless-xlsx|StepExecutions.VacuouslyCleanExecutionKey",
    "RecordId": "se-close04",
    "ExpectedValue": "null",
    "ActualValue": "\"#NAME?\"",
    "Reason": "wrong/null value",
    "SemanticTypeIri": "urn:effortless:pko-extension#CellDisagreement",
    "Name": "effortless-xlsx|StepExecutions.VacuouslyCleanExecutionKey @ se-close04",
    "Substrate": "effortless-xlsx",
    "RulebookField": "StepExecutions.VacuouslyCleanExecutionKey"
   },
   {
    "CellDisagreementId": "effortless-xlsx|StepExecutions.VacuouslyCleanExecutionKey|se-close05",
    "FieldDisagreement": "effortless-xlsx|StepExecutions.VacuouslyCleanExecutionKey",
    "RecordId": "se-close05",
    "ExpectedValue": "null",
    "ActualValue": "\"#NAME?\"",
    "Reason": "wrong/null value",
    "SemanticTypeIri": "urn:effortless:pko-extension#CellDisagreement",
    "Name": "effortless-xlsx|StepExecutions.VacuouslyCleanExecutionKey @ se-close05",
    "Substrate": "effortless-xlsx",
    "RulebookField": "StepExecutions.VacuouslyCleanExecutionKey"
   },
   {
    "CellDisagreementId": "effortless-xlsx|StepExecutions.VacuouslyCleanExecutionKey|se-close06",
    "FieldDisagreement": "effortless-xlsx|StepExecutions.VacuouslyCleanExecutionKey",
    "RecordId": "se-close06",
    "ExpectedValue": "null",
    "ActualValue": "\"#NAME?\"",
    "Reason": "wrong/null value",
    "SemanticTypeIri": "urn:effortless:pko-extension#CellDisagreement",
    "Name": "effortless-xlsx|StepExecutions.VacuouslyCleanExecutionKey @ se-close06",
    "Substrate": "effortless-xlsx",
    "RulebookField": "StepExecutions.VacuouslyCleanExecutionKey"
   },
   {
    "CellDisagreementId": "effortless-xlsx|StepExecutions.VacuouslyCleanExecutionKey|se-close07",
    "FieldDisagreement": "effortless-xlsx|StepExecutions.VacuouslyCleanExecutionKey",
    "RecordId": "se-close07",
    "ExpectedValue": "\"exec-close-2026-q2\"",
    "ActualValue": "\"#NAME?\"",
    "Reason": "wrong/null value",
    "SemanticTypeIri": "urn:effortless:pko-extension#CellDisagreement",
    "Name": "effortless-xlsx|StepExecutions.VacuouslyCleanExecutionKey @ se-close07",
    "Substrate": "effortless-xlsx",
    "RulebookF</t>
  </si>
  <si>
    <t xml:space="preserve">ield": "StepExecutions.VacuouslyCleanExecutionKey"
   },
   {
    "CellDisagreementId": "effortless-xlsx|StepExecutions.VacuouslyCleanExecutionKey|se-close08",
    "FieldDisagreement": "effortless-xlsx|StepExecutions.VacuouslyCleanExecutionKey",
    "RecordId": "se-close08",
    "ExpectedValue": "null",
    "ActualValue": "\"#NAME?\"",
    "Reason": "wrong/null value",
    "SemanticTypeIri": "urn:effortless:pko-extension#CellDisagreement",
    "Name": "effortless-xlsx|StepExecutions.VacuouslyCleanExecutionKey @ se-close08",
    "Substrate": "effortless-xlsx",
    "RulebookField": "StepExecutions.VacuouslyCleanExecutionKey"
   },
   {
    "CellDisagreementId": "effortless-xlsx|StepExecutions.VacuouslyCleanExecutionKey|se-policy01",
    "FieldDisagreement": "effortless-xlsx|StepExecutions.VacuouslyCleanExecutionKey",
    "RecordId": "se-policy01",
    "ExpectedValue": "\"exec-policy-hr4821\"",
    "ActualValue": "\"#NAME?\"",
    "Reason": "wrong/null value",
    "SemanticTypeIri": "urn:effortless:pko-extension#CellDisagreement",
    "Name": "effortless-xlsx|StepExecutions.VacuouslyCleanExecutionKey @ se-policy01",
    "Substrate": "effortless-xlsx",
    "RulebookField": "StepExecutions.VacuouslyCleanExecutionKey"
   },
   {
    "CellDisagreementId": "effortless-xlsx|StepExecutions.VacuouslyCleanExecutionKey|se-policy02",
    "FieldDisagreement": "effortless-xlsx|StepExecutions.VacuouslyCleanExecutionKey",
    "RecordId": "se-policy02",
    "ExpectedValue": "null",
    "ActualValue": "\"#NAME?\"",
    "Reason": "wrong/null value",
    "SemanticTypeIri": "urn:effortless:pko-extension#CellDisagreement",
    "Name": "effortless-xlsx|StepExecutions.VacuouslyCleanExecutionKey @ se-policy02",
    "Substrate": "effortless-xlsx",
    "RulebookField": "StepExecutions.VacuouslyCleanExecutionKey"
   },
   {
    "CellDisagreementId": "effortless-xlsx|StepExecutions.VacuouslyCleanExecutionKey|se-policy03",
    "FieldDisagreement": "effortless-xlsx|StepExecutions.VacuouslyCleanExecutionKey",
    "RecordId": "se-policy03",
    "ExpectedValue": "null",
    "ActualValue": "\"#NAME?\"",
    "Reason": "wrong/null value",
    "SemanticTypeIri": "urn:effortless:pko-extension#CellDisagreement",
    "Name": "effortless-xlsx|StepExecutions.VacuouslyCleanExecutionKey @ se-policy03",
    "Substrate": "effortless-xlsx",
    "RulebookField": "StepExecutions.VacuouslyCleanExecutionKey"
   },
   {
    "CellDisagreementId": "effortless-xlsx|StepExecutions.VacuouslyCleanExecutionKey|se-policy04",
    "FieldDisagreement": "effortless-xlsx|StepExecutions.VacuouslyCleanExecutionKey",
    "RecordId": "se-policy04",
    "ExpectedValue": "null",
    "ActualValue": "\"#NAME?\"",
    "Reason": "wrong/null value",
    "SemanticTypeIri": "urn:effortless:pko-extension#CellDisagreement",
    "Name": "effortless-xlsx|StepExecutions.VacuouslyCleanExecutionKey @ se-policy04",
    "Substrate": "effortless-xlsx",
    "RulebookField": "StepExecutions.VacuouslyCleanExecutionKey"
   },
   {
    "CellDisagreementId": "effortless-xlsx|StepExecutions.IsUngovernedDivergence|se-close01",
    "FieldDisagreement": "effortless-xlsx|StepExecutions.IsUngovernedDivergence",
    "RecordId": "se-close01",
    "ExpectedValue": "false",
    "ActualValue": "\"#NAME?\"",
    "Reason": "wrong/null value",
    "SemanticTypeIri": "urn:effortless:pko-extension#CellDisagreement",
    "Name": "effortless-xlsx|StepExecutions.IsUngovernedDivergence @ se-close01",
    "Substrate": "effortless-xlsx",
    "RulebookField": "StepExecutions.IsUngovernedDivergence"
   },
   {
    "CellDisagreementId": "effortless-xlsx|StepExecutions.IsUngovernedDivergence|se-close02",
    "FieldDisagreement": "effortless-xlsx|StepExecutions.IsUngovernedDivergence",
    "RecordId": "se-close02",
    "ExpectedValue": "false",
    "ActualValue": "\"#NAME?\"",
    "Reason": "wrong/null value",
    "SemanticTypeIri": "urn:effortless:pko-extension#CellDisagreement",
    "Name": "effortless-xlsx|StepExecutions.IsUngovernedDivergence @ se-close02",
    "Substrate": "effortless-xlsx",
    "RulebookField": "StepExecutions.IsUngovernedDivergence"
   },
   {
    "CellDisagreementId": "effortless-xlsx|StepExecutions.IsUngovernedDivergence|se-close03",
    "FieldDisagreement": "effortless-xlsx|StepExecutions.IsUngovernedDivergence",
    "RecordId": "se-close03",
    "ExpectedValue": "false",
    "ActualValue": "\"#NAME?\"",
    "Reason": "wrong/null value",
    "SemanticTypeIri": "urn:effortless:pko-extension#CellDisagreement",
    "Name": "effortless-xlsx|StepExecutions.IsUngovernedDivergence @ se-close03",
    "Substrate": "effortless-xlsx",
    "RulebookField": "StepExecutions.IsUngovernedDivergence"
   },
   {
    "CellDisagreementId": "effortless-xlsx|StepExecutions.IsUngovernedDivergence|se-close04",
    "FieldDisagreement": "effortless-xlsx|StepExecutions.IsUngovernedDivergence",
    "RecordId": "se-close04",
    "ExpectedValue": "false",
    "ActualValue": "\"#NAME?\"",
    "Reason": "wrong/null value",
    "SemanticTypeIri": "urn:effortless:pko-extension#CellDisagreement",
    "Name": "effortless-xlsx|StepExecutions.IsUngovernedDivergence @ se-close04",
    "Substrate": "effortless-xlsx",
    "RulebookField": "StepExecutions.IsUngovernedDivergence"
   },
   {
    "CellDisagreementId": "effortless-xlsx|StepExecutions.IsUngovernedDivergence|se-close05",
    "FieldDisagreement": "effortless-xlsx|StepExecutions.IsUngovernedDivergence",
    "RecordId": "se-close05",
    "ExpectedValue": "false",
    "ActualValue": "\"#NAME?\"",
    "Reason": "wrong/null value",
    "SemanticTypeIri": "urn:effortless:pko-extension#CellDisagreement",
    "Name": "effortless-xlsx|StepExecutions.IsUngovernedDivergence @ se-close05",
    "Substrate": "effortless-xlsx",
    "RulebookField": "StepExecutions.IsUngovernedDivergence"
   },
   {
    "CellDisagreementId": "effortless-xlsx|StepExecutions.IsUngovernedDivergence|se-close06",
    "FieldDisagreement": "effortless-xlsx|StepExecutions.IsUngovernedDivergence",
    "RecordId": "se-close06",
    "ExpectedValue": "false",
    "ActualValue": "\"#NAME?\"",
    "Reason": "wrong/null value",
    "SemanticTypeIri": "urn:effortless:pko-extension#CellDisagreement",
    "Name": "effortless-xlsx|StepExecutions.IsUngovernedDivergence @ se-close06",
    "Substrate": "effortless-xlsx",
    "RulebookField": "StepExecutions.IsUngovernedDivergence"
   },
   {
    "CellDisagreementId": "effortless-xlsx|StepExecutions.IsUngovernedDivergence|se-close07",
    "FieldDisagreement": "effortless-xlsx|StepExecutions.IsUngovernedDivergence",
    "RecordId": "se-close07",
    "ExpectedValue": "false",
    "ActualValue": "\"#NAME?\"",
    "Reason": "wrong/null value",
    "SemanticTypeIri": "urn:effortless:pko-extension#CellDisagreement",
    "Name": "effortless-xlsx|StepExecutions.IsUngovernedDivergence @ se-close07",
    "Substrate": "effortless-xlsx",
    "RulebookField": "StepExecutions.IsUngovernedDivergence"
   },
   {
    "CellDisagreementId": "effortless-xlsx|StepExecutions.IsUngovernedDivergence|se-close08",
    "FieldDisagreement": "effortless-xlsx|StepExecutions.IsUngovernedDivergence",
    "RecordId": "se-close08",
    "ExpectedValue": "false",
    "ActualValue": "\"#NAME?\"",
    "Reason": "wrong/null value",
    "SemanticTypeIri": "urn:effortless:pko-extension#CellDisagreement",
    "Name": "effortless-xlsx|StepExecutions.IsUngovernedDivergence @ se-close08",
    "Substrate": "effortless-xlsx",
    "RulebookField": "StepExecutions.IsUngovernedDivergence"
   },
   {
    "CellDisagreementId": "effortless-xlsx|StepExecutions.IsUngovernedDivergence|se-policy01",
    "FieldDisagreement": "effortless-xlsx|StepExecutions.IsUngovernedDivergence",
    "RecordId": "se-policy01",
    "ExpectedValue": "false",
    "ActualValue": "\"#NAME?\"",
    "Reason": "wrong/null value",
    "SemanticTypeIri": "urn:effortless:pko-extension#CellDisagreement",
    "Name": "effortless-xlsx|StepExecutions.IsUngovernedDivergence @ se-policy01",
    "Substrate": "effortless-xlsx",
    "RulebookField": "StepExecutions.IsUngovernedDivergence"
   },
   {
    "CellDisagreementId": "effortless-xlsx|StepExecutions.IsUngovernedDivergence|se-policy02",
    "FieldDisagreement": "effortless-xlsx|StepExecutions.IsUngovernedDivergence",
    "RecordId": "se-policy02",
    "ExpectedValue": "true",
    "ActualValue": "\"#NAME?\"",
    "Reason": "wrong/null value",
    "SemanticTypeIri": "urn:effortless:pko-extension#CellDisagreement",
    "Name": "effortless-xlsx|StepExecutions.IsUngovernedDivergence @ se-policy02",
    "Substrate": "effortless-xlsx",
    "RulebookField": "StepExecutions.IsUngovernedDivergence"
   },
   {
    "CellDisagreementId": "effortless-xlsx|StepExecutions.IsUngovernedDivergence|se-policy03",
    "FieldDisagreement": "effortless-xlsx|StepExecutions.IsUngovernedDivergence",
    "RecordId": "se-policy03",
    "ExpectedValue": "false",
    "ActualValue": "\"#NAME?\"",
    "Reason": "wrong/null value",
    "SemanticTypeIri": "urn:effortless:pko-extension#CellDisagreement",
    "Name": "effortless-xlsx|StepExecutions.IsUngovernedDivergence @ se-policy03",
    "Substrate": "effortless-xlsx",
    "RulebookField": "StepExecutions.IsUngovernedDivergence"
   },
   {
    "CellDisagreementId": "effortless-xlsx|StepExecutions.IsUngovernedDivergence|se-policy04",
    "FieldDisagreement": "effortless-xlsx|StepExecutions.IsUngovernedDivergence",
    "RecordId": "se-policy04",
    "ExpectedValue": "true",
    "ActualValue": "\"#NAME?\"",
    "Reason": "wrong/null value",
    "SemanticTypeIri": "urn:effortless:pko-extension#CellDisagreement",
    "Name": "effortless-xlsx|StepExecutions.IsUngovernedDivergence @ se-policy04",
    "Substrate": "effortless-xlsx",
    "RulebookField": "StepExecutions.IsUngovernedDivergence"
   },
   {
    "CellDisagreementId": "effortless-xlsx|StepExecutions.UngovernedDivergenceExecutionKey|se-close01",
    "FieldDisagreement": "effortless-xlsx|StepExecutions.UngovernedDivergenceExecutionKey",
    "RecordId": "se-close01",
    "ExpectedValue": "null",
    "ActualValue": "\"#NAME?\"",
    "Reason": "wrong/null value",
    "SemanticTypeIri": "urn:effortless:pko-extension#CellDisagreement",
    "Name": "effortless-xlsx|StepExecutions.UngovernedDivergenceExecutionKey @ se-close01",
    "Substrate": "effortless-xlsx",
    "RulebookField": "StepExecutions.UngovernedDivergenceExecutionKey"
   },
   {
    "CellDisagreementId": "effortless-xlsx|StepExecutions.UngovernedDivergenceExecutionKey|se-close02",
    "FieldDisagreement": "effortless-xlsx|StepExecutions.UngovernedDivergenceExecutionKey",
    "RecordId": "se-close02",
    "ExpectedValue": "null",
    "ActualValue": "\"#NAME?\"",
    "Reason": "wrong/null value",
    "SemanticTypeIri": "urn:effortless:pko-extension#CellDisagreement",
    "Name": "effortless-xlsx|StepExecutions.UngovernedDivergenceExecutionKey @ se-close02",
    "Substrate": "effortless-xlsx",
    "RulebookField": "StepExecutions.UngovernedDivergenceExecutionKey"
   },
   {
    "CellDisagreementId": "effortless-xlsx|StepExecutions.UngovernedDivergenceExecutionKey|se-close03",
    "FieldDisagreement": "effortless-xlsx|StepExecutions.UngovernedDivergenceExecutionKey",
    "RecordId": "se-close03",
    "ExpectedValue": "null",
    "ActualValue": "\"#NAME?\"",
    "Reason": "wrong/null value",
    "SemanticTypeIri": "urn:effortless:pko-extension#CellDisagreement",
    "Name": "effortless-xlsx|StepExecutions.UngovernedDivergenceExecutionKey @ se-close03",
    "Substrate": "effortless-xlsx",
    "RulebookField": "StepExecutions.UngovernedDivergenceExecutionKey"
   },
   {
    "CellDisagreementId": "effortless-xlsx|StepExecutions.UngovernedDivergenceExecutionKey|se-close04",
    "FieldDisagreement": "effortless-xlsx|StepExecutions.UngovernedDivergenceExecutionKey",
    "RecordId": "se-close04",
    "ExpectedValue": "null",
    "ActualValue": "\"#NAME?\"",
    "Reason": "wrong/null value",
    "SemanticTypeIri": "urn:effortless:pko-extension#CellDisagreement",
    "Name": "effortless-xlsx|StepExecutions.UngovernedDivergenceExecutionKey @ se-close04",
    "Substrate": "effortless-xlsx",
    "RulebookField": "StepExecutions.UngovernedDivergenceExecutionKey"
   },
   {
    "CellDisagreementId": "effortless-xlsx|StepExecutions.UngovernedDivergenceExecutionKey|se-close05",
    "FieldDisagreement": "effortless-xlsx|StepExecutions.UngovernedDivergenceExecutionKey",
    "RecordId": "se-close05",
    "ExpectedValue": "null",
    "ActualValue": "\"#NAME?\"",
    "Reason": "wrong/null value",
    "SemanticTypeIri": "urn:effortless:pko-extension#CellDisagreement",
    "Name": "effortless-xlsx|StepExecutions.UngovernedDivergenceExecutionKey @ se-close05",
    "Substrate": "effortless-xlsx",
    "RulebookField": "StepExecutions.UngovernedDivergenceExecutionKey"
   },
   {
    "CellDisagreementId": "effortless-xlsx|StepExecutions.UngovernedDivergenceExecutionKey|se-close06",
    "FieldDisagreement": "effortless-xlsx|StepExecutions.UngovernedDivergenceExecutionKey",
    "RecordId": "se-close06",
    "ExpectedValue": "null",
    "ActualValue": "\"#NAME?\"",
    "Reason": "wrong/null value",
    "SemanticTypeIri": "urn:effortless:pko-extension#CellDisagreement",
    "Name": "effortless-xlsx|StepExecutions.UngovernedDivergenceExecutionKey @ se-close06",
    "Substrate": "effortless-xlsx",
    "RulebookField": "StepExecutions.UngovernedDivergenceExecutionKey"
   },
   {
    "CellDisagreementId": "effortless-xlsx|StepExecutions.UngovernedDivergenceExecutionKey|se-close07",
    "FieldDisagreement": "effortless-xlsx|StepExecutions.UngovernedDivergenceExecutionKey",
    "RecordId": "se-close07",
    "ExpectedValue": "null",
    "ActualValue": "\"#NAME?\"",
    "Reason": "wrong/null value",
    "SemanticTypeIri": "urn:effortless:pko-extension#CellDisagreement",
    "Name": "effortless-xlsx|StepExecutions.UngovernedDivergenceExecutionKey @ se-close07",
    "Substrate": "effortless-xlsx",
    "RulebookField": "StepExecutions.UngovernedDivergenceExecutionKey"
   },
   {
    "CellDisagreementId": "effortless-xlsx|StepExecutions.UngovernedDivergenceExecutionKey|se-close08",
    "FieldDisagreement": "effortless-xlsx|StepExecutions.UngovernedDivergenceExecutionKey",
    "RecordId": "se-close08",
    "ExpectedValue": "null",
    "ActualValue": "\"#NAME?\"",
    "Reason": "wrong/null value",
    "SemanticTypeIri": "urn:effortless:pko-extension#CellDisagreement",
    "Name": "effortless-xlsx|StepExecutions.UngovernedDivergenceExecutionKey @ se-close08",
    "Substrate": "effortless-xlsx",
    "RulebookField": "StepExecutions.UngovernedDivergenceExecutionKey"
   },
   {
    "CellDisagreementId": "effortless-xlsx|StepExecutions.UngovernedDivergenceExecutionKey|se-policy01",
    "FieldDisagreement": "effortless-xlsx|StepExecutions.UngovernedDivergenceExecutionKey",
    "RecordId": "se-policy01",
    "ExpectedValue": "null",
    "ActualValue": "\"#NAME?\"",
    "Reason": "wrong/null value",
    "SemanticTypeIri": "urn:effortless:pko-extension#CellDisagreement",
    "Name": "effortless-xlsx|StepExecutions.UngovernedDivergenceExecutionKey @ se-policy01",
    "Substrate": "effortless-xlsx",
    "RulebookField": "StepExecutions.UngovernedDivergenceExecutionKey"
   },
   {
    "CellDisagreementId": "effortless-xlsx|StepExecutions.UngovernedDivergenceExecutionKey|se-policy02",
    "FieldDisagreement": "effortless-xlsx|StepExecutions.UngovernedDivergenceExecutionKey",
    "RecordId": "se-policy02",
    "ExpectedValue": "\"exec-policy-hr4821\"",
    "ActualValue": "\"#NAME?\"",
    "Reason": "wrong/null value",
    "SemanticTypeIri": "urn:effortless:pko-extension#CellDisagreement",
    "Name": "effortless-xlsx|StepExecutions.UngovernedDivergenceExecutionKey @ se-policy02",
    "Substrate": "effortless-xlsx",
    "RulebookField": "StepExecutions.UngovernedDivergenceExecutionKey"
   },
   {
    "CellDisagreementId": "effortless-xlsx|StepExecutions.UngovernedDivergenceExecutionKey|se-policy03",
    "FieldDisagreement": "effortless-xlsx|StepExecutions.UngovernedDivergenceExecutionKey",
    "RecordId": "se-policy03",
    "ExpectedValue": "null",
    "ActualValue": "\"#NAME?\"",
    "Reason": "wrong/null value",
    "SemanticTypeIri": "urn:effortless:pko-extension#CellDisagreement",
    "Name": "effortless-xlsx|StepExecutions.UngovernedDivergenceExecutionKey @ se-policy03",
    "Substrate": "effortless-xlsx",
    "RulebookField": "StepExecutions.UngovernedDivergenceExecutionKey"
   },
   {
    "CellDisagreementId": "effortless-xlsx|StepExecutions.UngovernedDivergenceExecutionKey|se-policy04",
    "FieldDisagreement": "effortless-xlsx|StepExecutions.UngovernedDivergenceExecutionKey",
    "RecordId": "se-policy04",
    "ExpectedValue": "\"exec-policy-hr4821\"",
    "ActualValue": "\"#NAME?\"",
    "Reason": "wrong/null value",
    "SemanticTypeIri": "urn:effortless:pko-extension#CellDisagreement",
    "Name": "effortless-xlsx|StepExecutions.UngovernedDivergenceExecutionKey @ se-policy04",
    "Substrate": "effortless-xlsx",
    "RulebookField": "StepExecutions.UngovernedDivergenceExecutionKey"
   },
   {
    "CellDisagreementId": "effortless-xlsx|StepExecutions.StaleAuthoritativeSourceCount|se-close02",
    "FieldDisagreement": "effortless-xlsx|StepExecutions.StaleAuthoritativeSourceCount",
    "RecordId": "se-close02",
    "ExpectedValue": "1",
    "ActualValue": "0",
    "Reason": "wrong/null value",
    "SemanticTypeIri": "urn:effortless:pko-extension#CellDisagreement",
    "Name": "effortless-xlsx|StepExecutions.StaleAuthoritativeSourceCount @ se-close02",
    "Substrate": "effortless-xlsx",
    "RulebookField": "StepExecutions.StaleAuthoritativeSourceCount"
   },
   {
    "CellDisagreementId": "effortless-xlsx|StepExecutions.StaleAuthoritativeSourceCount|se-policy01",
    "FieldDisagreement": "effortless-xlsx|StepExecutions.StaleAuthoritativeSourceCount",
    "RecordId": "se-policy01",
    "ExpectedValue": "1",
    "ActualValue": "0",
    "Reason": "wrong/null value",
    "SemanticTypeIri": "urn:effortless:pko-extension#CellDisagreement",
    "Name": "effortless-xlsx|StepExecutions.StaleAuthoritativeSourceCount @ se-policy01",
    "Substrate": "effortless-xlsx",
    "RulebookField": "StepExecutions.StaleAuthoritativeSourceCount"
   },
   {
    "CellDisagreementId": "effortless-xlsx|StepExecutions.RanOnStaleAuthoritativeSource|se-close02",
    "FieldDisagreement": "effortless-xlsx|StepExecutions.RanOnStaleAuthoritativeSource",
    "RecordId": "se-close02",
    "ExpectedValue": "true",
    "ActualValue": "false",
    "Reason": "wrong/null value",
    "SemanticTypeIri": "urn:effortless:pko-extension#CellDisagreement",
    "Name": "effortless-xlsx|StepExecutions.RanOnStaleAuthoritativeSource @ se-close02",
    "Substrate": "effortless-xlsx",
    "RulebookField": "StepExecutions.RanOnStaleAuthoritativeSource"
   },
   {
    "CellDisagreementId": "effortless-xlsx|StepExecutions.RanOnStaleAuthoritativeSource|se-policy01",
    "FieldDisagreement": "effortless-xlsx|StepExecutions.RanOnStaleAuthoritativeSource",
    "RecordId": "se-policy01",
    "ExpectedValue": "true",
    "ActualValue": "false",
    "Reason": "wrong/null value",
    "SemanticTypeIri": "urn:effortless:pko-extension#CellDisagreement",
    "Name": "effortless-xlsx|StepExecutions.RanOnStaleAuthoritativeSource @ se-policy01",
    "Substrate": "effortless-xlsx",
    "RulebookField": "StepExecutions.RanOnStaleAuthoritativeSource"
   },
   {
    "CellDisagreementId": "effortless-xlsx|StepExecutions.InputsWereFreshAtRun|se-close02",
    "FieldDisagreement": "effortless-xlsx|StepExecutions.InputsWereFreshAtRun",
    "RecordId": "se-close02",
    "ExpectedValue": "false",
    "ActualValue": "true",
    "Reason": "wrong/null value",
    "SemanticTypeIri": "urn:effortless:pko-extension#CellDisagreement",
    "Name": "effortless-xlsx|StepExecutions.InputsWereFreshAtRun @ se-close02",
    "Substrate": "effortless-xlsx",
    "RulebookField": "StepExecutions.InputsWereFreshAtRun"
   },
   {
    "CellDisagreementId": "effortless-xlsx|StepExecutions.InputsWereFreshAtRun|se-policy01",
    "FieldDisagreement": "effortless-xlsx|StepExecutions.InputsWereFreshAtRun",
    "RecordId": "se-policy01",
    "ExpectedValue": "false",
    "ActualValue": "true",
    "Reason": "wrong/null value",
    "SemanticTypeIri": "urn:effortless:pko-extension#CellDisagreement",
    "Name": "effortless-xlsx|StepExecutions.InputsWereFreshAtRun @ se-policy01",
    "Substrate": "effortless-xlsx",
    "RulebookField": "StepExecutions.InputsWereFreshAtRun"
   },
   {
    "CellDisagreementId": "effortless-xlsx|StepExecutions.RanOnStaleInputs|se-close02",
    "FieldDisagreement": "effortless-xlsx|StepExecutions.RanOnStaleInputs",
    "RecordId": "se-close02",
    "ExpectedValue": "true",
    "ActualValue": "false",
    "Reason": "wrong/null value",
    "SemanticTypeIri": "urn:effortless:pko-extension#CellDisagreement",
    "Name": "effortless-xlsx|StepExecutions.RanOnStaleInputs @ se-close02",
    "Substrate": "effortless-xlsx",
    "RulebookField": "StepExecutions.RanOnStaleInputs"
   },
   {
    "CellDisagreementId": "effortless-xlsx|StepExecutions.RanOnStaleInputs|se-policy01",
    "FieldDisagreement": "effortless-xlsx|StepExecutions.RanOnStaleInputs",
    "RecordId": "se-policy01",
    "ExpectedValue": "true",
    "ActualValue": "false",
    "Reason": "wrong/null value",
    "SemanticTypeIri": "urn:effortless:pko-extension#CellDisagreement",
    "Name": "effortless-xlsx|StepExecutions.RanOnStaleInputs @ se-policy01",
    "Substrate": "effortless-xlsx",
    "RulebookField": "StepExecutions.RanOnStaleInputs"
   },
   {
    "CellDisagreementId": "effortless-xlsx|StepExecutions.DraftedFromUnusableSource|se-close02",
    "FieldDisagreement": "effortless-xlsx|StepExecutions.DraftedFromUnusableSource",
    "RecordId": "se-close02",
    "ExpectedValue": "true",
    "ActualValue": "false",
    "Reason": "wrong/null value",
    "SemanticTypeIri": "urn:effortless:pko-extension#CellDisagreement",
    "Name": "effortless-xlsx|StepExecutions.DraftedFromUnusableSource @ se-close02",
    "Substrate": "effortless-xlsx",
    "RulebookField": "StepExecutions.DraftedFromUnusableSource"
   },
   {
    "CellDisagreementId": "effortless-xlsx|StepExecutions.DraftedFromUnusableSource|se-policy01",
    "FieldDisagreement": "effortless-xlsx|StepExecutions.DraftedFromUnusableSource",
    "RecordId": "se-policy01",
    "ExpectedValue": "true",
    "ActualValue": "false",
    "Reason": "wrong/null value",
    "SemanticTypeIri": "urn:effortless:pko-extension#CellDisagreement",
    "Name": "effortless-xlsx|StepExecutions.DraftedFromUnusableSource @ se-policy01",
    "Substrate": "effortless-xlsx",
    "RulebookField": "StepExecutions.DraftedFromUnusableSource"
   },
   {
    "CellDisagreementId": "effortless-xlsx|StepExecutions.InputsWereUsable|se-close02",
    "FieldDisagreement": "effortless-xlsx|StepExecutions.InputsWereUsable",
    "RecordId": "se-close02",
    "ExpectedValue": "false",
    "ActualValue": "true",
    "Reason": "wrong/null value",
    "SemanticTypeIri": "urn:effortless:pko-extension#CellDisagreement",
    "Name": "effortless-xlsx|StepExecutions.InputsWereUsable @ se-close02",
    "Substrate": "effortless-xlsx",
    "RulebookField": "StepExecutions.InputsWereUsable"
   },
   {
    "CellDisagreementId": "effortless-xlsx|StepExecutions.InputsWereUsable|se-policy01",
    "FieldDisagreement": "effortless-xlsx|StepExecutions.InputsWereUsable",
    "RecordId": "se-policy01",
    "ExpectedValue": "false",
    "ActualValue": "true",
    "Reason": "wrong/null value",
    "SemanticTypeIri": "urn:effortless:pko-extension#CellDisagreement",
    "Name": "effortless-xlsx|StepExecutions.InputsWereUsable @ se-policy01",
    "Substrate": "effortless-xlsx",
    "RulebookField": "StepExecutions.InputsWereUsable"
   },
   {
    "CellDisagreementId": "effortless-xlsx|StepExecutions.StalenessAnswerIsTenseDependent|se-close02",
    "FieldDisagreement": "effortless-xlsx|StepExecutions.StalenessAnswerIsTenseDependent",
    "RecordId": "se-close02",
    "ExpectedValue": "true",
    "ActualValue": "false",
    "Reason": "wrong/null value",
    "SemanticTypeIri": "urn:effortless:pko-extension#CellDisagreement",
    "Name": "effortless-xlsx|StepExecutions.StalenessAnswerIsTenseDependent @ se-close02",
    "Substrate": "effortless-xlsx",
    "RulebookField": "StepExecutions.StalenessAnswerIsTenseDependent"
   },
   {
    "CellDisagreementId": "effortless-xlsx|StepExecutions.StalenessAnswerIsTenseDependent|se-policy01",
    "FieldDisagreement": "effortless-xlsx|StepExecutions.StalenessAnswerIsTenseDependent",
    "RecordId": "se-policy01",
    "ExpectedValue": "true",
    "ActualValue": "false",
    "Reason": "wrong/null value",
    "SemanticTypeIri": "urn:effortless:pko-extension#CellDisagreement",
    "Name": "effortless-xlsx|StepExecutions.StalenessAnswerIsTenseDependent @ se-policy01",
    "Substrate": "effortless-xlsx",
    "RulebookField": "StepExecutions.StalenessAnswerIsTenseDependent"
   },
   {
    "CellDisagreementId": "effortless-xlsx|RequirementSatisfactions.WasScoredAfterAttestation|sat-close-balance",
    "FieldDisagreement": "effortless-xlsx|RequirementSatisfactions.WasScoredAfterAttestation",
    "RecordId": "sat-close-balance",
    "ExpectedValue": "false",
    "ActualValue": "\"#NAME?\"",
    "Reason": "wrong/null value",
    "SemanticTypeIri": "urn:effortless:pko-extension#CellDisagreement",
    "Name": "effortless-xlsx|RequirementSatisfactions.WasScoredAfterAttestation @ sat-close-balance",
    "Substrate": "effortless-xlsx",
    "RulebookField": "RequirementSatisfactions.WasScoredAfterAttestation"
   },
   {
    "CellDisagreementId": "effortless-xlsx|RequirementSatisfactions.WasScoredAfterAttestation|sat-close-cutoff",
    "FieldDisagreement": "effortless-xlsx|RequirementSatisfactions.WasScoredAfterAttestation",
    "RecordId": "sat-close-cutoff",
    "ExpectedValue": "false",
    "ActualValue": "\"#NAME?\"",
    "Reason": "wrong/null value",
    "SemanticTypeIri": "urn:effortless:pko-extension#CellDisagreement",
    "Name": "effortless-xlsx|RequirementSatisfactions.WasScoredAfterAttestation @ sat-close-cutoff",
    "Substrate": "effortless-xlsx",
    "RulebookField": "RequirementSatisfactions.WasScoredAfterAttestation"
   },
   {
    "CellDisagreementId": "effortless-xlsx|RequirementSatisfactions.WasScoredAfterAttestation|sat-close-evidence",
    "FieldDisagreement": "effortless-xlsx|RequirementSatisfactions.WasScoredAfterAttestation",
    "RecordId": "sat-close-evidence",
    "ExpectedValue": "false",
    "ActualValue": "\"#NAME?\"",
    "Reason": "wrong/null value",
    "SemanticTypeIri": "urn:effortless:pko-extension#CellDisagreement",
    "Name": "effortless-xlsx|RequirementSatisfactions.WasScoredAfterAttestation @ sat-close-evidence",
    "Substrate": "effortless-xlsx",
    "RulebookField": "RequirementSatisfactions.WasScoredAfterAttestation"
   },
   {
    "CellDisagreementId": "effortless-xlsx|RequirementSatisfactions.WasScoredAfterAttestation|sat-close-human",
    "FieldDisagreement": "effortless-xlsx|RequirementSatisfactions.WasScoredAfterAttestation",
    "RecordId": "sat-close-human",
    "ExpectedValue": "false",
    "ActualValue": "\"#NAME?\"",
    "Reason": "wrong/null value",
    "SemanticTypeIri": "urn:effortless:pko-extension#CellDisagreement",
    "Name": "effortless-xlsx|RequirementSatisfactions.WasScoredAfterAttestation @ sat-close-human",
    "Substrate": "effortless-xlsx",
    "RulebookField": "RequirementSatisfactions.WasScoredAfterAttestation"
   },
   {
    "CellDisagreementId": "effortless-xlsx|RequirementSatisfactions.WasScoredAfterAttestation|sat-close-separation",
    "FieldDisagreement": "effortless-xlsx|RequirementSatisfactions.WasScoredAfterAttestation",
    "RecordId": "sat-close-separation",
    "ExpectedValue": "false",
    "ActualValue": "\"#NAME?\"",
    "Reason": "wrong/null value",
    "SemanticTypeIri": "urn:effortless:pko-extension#CellDisagreement",
    "Name": "effortless-xlsx|RequirementSatisfactions.WasScoredAfterAttestation @ sat-close-separation",
    "Substrate": "effortless-xlsx",
    "RulebookField": "RequirementSatisfactions.WasScoredAfterAttestation"
   },
   {
    "CellDisagreementId": "effortless-xlsx|RequirementSatisfactions.WasScoredAfterAttestation|sat-close08-evidence",
    "FieldDisagreement": "effortless-xlsx|RequirementSatisfactions.WasScoredAfterAttestation",
    "RecordId": "sat-close08-evidence",
    "ExpectedValue": "false",
    "ActualValue": "\"#NAME?\"",
    "Reason": "wrong/null value",
    "SemanticTypeIri": "urn:effortless:pko-extension#CellDisagreement",
    "Name": "effortless-xlsx|RequirementSatisfactions.WasScoredAfterAttestation @ sat-close08-evidence",
    "Substrate": "effortless-xlsx",
    "RulebookField": "RequirementSatisfactions.WasScoredAfterAttestation"
   },
   {
    "CellDisagreementId": "effortless-xlsx|RequirementSatisfactions.WasScoredAfterAttestation|sat-policy-legal",
    "FieldDisagreement": "effortless-xlsx|RequirementSatisfactions.WasScoredAfterAttestation",
    "RecordId": "sat-policy-legal",
    "ExpectedValue": "false",
    "ActualValue": "\"#NAME?\"",
    "Reason": "wrong/null value",
    "SemanticTypeIri": "urn:effortless:pko-extension#CellDisagreement",
    "Name": "effortless-xlsx|RequirementSatisfactions.WasScoredAfterAttestation @ sat-policy-legal",
    "Substrate": "effortless-xlsx",
    "RulebookField": "RequirementSatisfactions.WasScoredAfterAttestation"
   },
   {
    "CellDisagreementId": "effortless-xlsx|RequirementSatisfactions.WasScoredAfterAttestation|sat-policy-source",
    "FieldDisagreement": "effortless-xlsx|RequirementSatisfactions.WasScoredAfterAttestation",
    "RecordId": "sat-policy-source",
    "ExpectedValue": "false",
    "ActualValue": "\"#NAME?\"",
    "Reason": "wrong/null value",
    "SemanticTypeIri": "urn:effortless:pko-extension#CellDisagreement",
    "Name": "effortless-xlsx|RequirementSatisfactions.WasScoredAfterAttestation @ sat-policy-source",
    "Substrate": "effortless-xlsx",
    "RulebookField": "RequirementSatisfactions.WasScoredAfterAttestation"
   },
   {
    "CellDisagreementId": "effortless-xlsx|RequirementSatisfactions.AttestationInstantForRun|sat-close-balance",
    "FieldDisagreement": "effortless-xlsx|RequirementSatisfactions.AttestationInstantForRun",
    "RecordId": "sat-close-balance",
    "ExpectedValue": "null",
    "ActualValue": "\"00:00:00\"",
    "Reason": "wrong/null value",
    "SemanticTypeIri": "urn:effortless:pko-extension#CellDisagreement",
    "Name": "effortless-xlsx|RequirementSatisfactions.AttestationInstantForRun @ sat-close-balance",
    "Substrate": "effortless-xlsx",
    "RulebookField": "RequirementSatisfactions.AttestationInstantForRun"
   },
   {
    "CellDisagreementId": "effortless-xlsx|RequirementSatisfactions.AttestationInstantForRun|sat-close-cutoff",
    "FieldDisagreement": "effortless-xlsx|RequirementSatisfactions.AttestationInstantForRun",
    "RecordId": "sat-close-cutoff",
    "ExpectedValue": "null",
    "ActualValue": "\"00:00:00\"",
    "Reason": "wrong/null value",
    "SemanticTypeIri": "urn:effortless:pko-extension#CellDisagreement",
    "Name": "effortless-xlsx|RequirementSatisfactions.AttestationInstantForRun @ sat-close-cutoff",
    "Substrate": "effortless-xlsx",
    "RulebookField": "RequirementSatisfactions.AttestationInstantForRun"
   },
   {
    "CellDisagreementId": "effortless-xlsx|RequirementSatisfactions.AttestationInstantForRun|sat-close-evidence",
    "FieldDisagreement": "effortless-xlsx|RequirementSatisfactions.AttestationInstantForRun",
    "RecordId": "sat-close-evidence",
    "ExpectedValue": "null",
    "ActualValue": "\"00:00:00\"",
    "Reason": "wrong/null value",
    "SemanticTypeIri": "urn:effortless:pko-extension#CellDisagreement",
    "Name": "effortless-xlsx|RequirementSatisfactions.AttestationInstantForRun @ sat-close-evidence",
    "Substrate": "effortless-xlsx",
    "RulebookField": "RequirementSatisfactions.AttestationInstantForRun"
   },
   {
    "CellDisagreementId": "effortless-xlsx|RequirementSatisfactions.AttestationInstantForRun|sat-close-human",
    "FieldDisagreement": "effortless-xlsx|RequirementSatisfactions.AttestationInstantForRun",
    "RecordId": "sat-close-human",
    "ExpectedValue": "null",
    "ActualValue": "\"00:00:00\"",
    "Reason": "wrong/null value",
    "SemanticTypeIri": "urn:effortless:pko-extension#CellDisagreement",
    "Name": "effortless-xlsx|RequirementSatisfactions.AttestationInstantForRun @ sat-close-human",
    "Substrate": "effortless-xlsx",
    "RulebookField": "RequirementSatisfactions.AttestationInstantForRun"
   },
   {
    "CellDisagreementId": "effortless-xlsx|RequirementSatisfactions.AttestationInstantForRun|sat-close-separation</t>
  </si>
  <si>
    <t xml:space="preserve">",
    "FieldDisagreement": "effortless-xlsx|RequirementSatisfactions.AttestationInstantForRun",
    "RecordId": "sat-close-separation",
    "ExpectedValue": "null",
    "ActualValue": "\"00:00:00\"",
    "Reason": "wrong/null value",
    "SemanticTypeIri": "urn:effortless:pko-extension#CellDisagreement",
    "Name": "effortless-xlsx|RequirementSatisfactions.AttestationInstantForRun @ sat-close-separation",
    "Substrate": "effortless-xlsx",
    "RulebookField": "RequirementSatisfactions.AttestationInstantForRun"
   },
   {
    "CellDisagreementId": "effortless-xlsx|RequirementSatisfactions.AttestationInstantForRun|sat-close08-evidence",
    "FieldDisagreement": "effortless-xlsx|RequirementSatisfactions.AttestationInstantForRun",
    "RecordId": "sat-close08-evidence",
    "ExpectedValue": "null",
    "ActualValue": "\"00:00:00\"",
    "Reason": "wrong/null value",
    "SemanticTypeIri": "urn:effortless:pko-extension#CellDisagreement",
    "Name": "effortless-xlsx|RequirementSatisfactions.AttestationInstantForRun @ sat-close08-evidence",
    "Substrate": "effortless-xlsx",
    "RulebookField": "RequirementSatisfactions.AttestationInstantForRun"
   },
   {
    "CellDisagreementId": "effortless-xlsx|RequirementSatisfactions.AttestationInstantForRun|sat-policy-legal",
    "FieldDisagreement": "effortless-xlsx|RequirementSatisfactions.AttestationInstantForRun",
    "RecordId": "sat-policy-legal",
    "ExpectedValue": "null",
    "ActualValue": "\"00:00:00\"",
    "Reason": "wrong/null value",
    "SemanticTypeIri": "urn:effortless:pko-extension#CellDisagreement",
    "Name": "effortless-xlsx|RequirementSatisfactions.AttestationInstantForRun @ sat-policy-legal",
    "Substrate": "effortless-xlsx",
    "RulebookField": "RequirementSatisfactions.AttestationInstantForRun"
   },
   {
    "CellDisagreementId": "effortless-xlsx|RequirementSatisfactions.AttestationInstantForRun|sat-policy-source",
    "FieldDisagreement": "effortless-xlsx|RequirementSatisfactions.AttestationInstantForRun",
    "RecordId": "sat-policy-source",
    "ExpectedValue": "null",
    "ActualValue": "\"00:00:00\"",
    "Reason": "wrong/null value",
    "SemanticTypeIri": "urn:effortless:pko-extension#CellDisagreement",
    "Name": "effortless-xlsx|RequirementSatisfactions.AttestationInstantForRun @ sat-policy-source",
    "Substrate": "effortless-xlsx",
    "RulebookField": "RequirementSatisfactions.AttestationInstantForRun"
   },
   {
    "CellDisagreementId": "effortless-xlsx|RequirementSatisfactions.PostAttestationScoreExecutionKey|sat-close-balance",
    "FieldDisagreement": "effortless-xlsx|RequirementSatisfactions.PostAttestationScoreExecutionKey",
    "RecordId": "sat-close-balance",
    "ExpectedValue": "null",
    "ActualValue": "\"#NAME?\"",
    "Reason": "wrong/null value",
    "SemanticTypeIri": "urn:effortless:pko-extension#CellDisagreement",
    "Name": "effortless-xlsx|RequirementSatisfactions.PostAttestationScoreExecutionKey @ sat-close-balance",
    "Substrate": "effortless-xlsx",
    "RulebookField": "RequirementSatisfactions.PostAttestationScoreExecutionKey"
   },
   {
    "CellDisagreementId": "effortless-xlsx|RequirementSatisfactions.PostAttestationScoreExecutionKey|sat-close-cutoff",
    "FieldDisagreement": "effortless-xlsx|RequirementSatisfactions.PostAttestationScoreExecutionKey",
    "RecordId": "sat-close-cutoff",
    "ExpectedValue": "null",
    "ActualValue": "\"#NAME?\"",
    "Reason": "wrong/null value",
    "SemanticTypeIri": "urn:effortless:pko-extension#CellDisagreement",
    "Name": "effortless-xlsx|RequirementSatisfactions.PostAttestationScoreExecutionKey @ sat-close-cutoff",
    "Substrate": "effortless-xlsx",
    "RulebookField": "RequirementSatisfactions.PostAttestationScoreExecutionKey"
   },
   {
    "CellDisagreementId": "effortless-xlsx|RequirementSatisfactions.PostAttestationScoreExecutionKey|sat-close-evidence",
    "FieldDisagreement": "effortless-xlsx|RequirementSatisfactions.PostAttestationScoreExecutionKey",
    "RecordId": "sat-close-evidence",
    "ExpectedValue": "null",
    "ActualValue": "\"#NAME?\"",
    "Reason": "wrong/null value",
    "SemanticTypeIri": "urn:effortless:pko-extension#CellDisagreement",
    "Name": "effortless-xlsx|RequirementSatisfactions.PostAttestationScoreExecutionKey @ sat-close-evidence",
    "Substrate": "effortless-xlsx",
    "RulebookField": "RequirementSatisfactions.PostAttestationScoreExecutionKey"
   },
   {
    "CellDisagreementId": "effortless-xlsx|RequirementSatisfactions.PostAttestationScoreExecutionKey|sat-close-human",
    "FieldDisagreement": "effortless-xlsx|RequirementSatisfactions.PostAttestationScoreExecutionKey",
    "RecordId": "sat-close-human",
    "ExpectedValue": "null",
    "ActualValue": "\"#NAME?\"",
    "Reason": "wrong/null value",
    "SemanticTypeIri": "urn:effortless:pko-extension#CellDisagreement",
    "Name": "effortless-xlsx|RequirementSatisfactions.PostAttestationScoreExecutionKey @ sat-close-human",
    "Substrate": "effortless-xlsx",
    "RulebookField": "RequirementSatisfactions.PostAttestationScoreExecutionKey"
   },
   {
    "CellDisagreementId": "effortless-xlsx|RequirementSatisfactions.PostAttestationScoreExecutionKey|sat-close-separation",
    "FieldDisagreement": "effortless-xlsx|RequirementSatisfactions.PostAttestationScoreExecutionKey",
    "RecordId": "sat-close-separation",
    "ExpectedValue": "null",
    "ActualValue": "\"#NAME?\"",
    "Reason": "wrong/null value",
    "SemanticTypeIri": "urn:effortless:pko-extension#CellDisagreement",
    "Name": "effortless-xlsx|RequirementSatisfactions.PostAttestationScoreExecutionKey @ sat-close-separation",
    "Substrate": "effortless-xlsx",
    "RulebookField": "RequirementSatisfactions.PostAttestationScoreExecutionKey"
   },
   {
    "CellDisagreementId": "effortless-xlsx|RequirementSatisfactions.PostAttestationScoreExecutionKey|sat-close08-evidence",
    "FieldDisagreement": "effortless-xlsx|RequirementSatisfactions.PostAttestationScoreExecutionKey",
    "RecordId": "sat-close08-evidence",
    "ExpectedValue": "null",
    "ActualValue": "\"#NAME?\"",
    "Reason": "wrong/null value",
    "SemanticTypeIri": "urn:effortless:pko-extension#CellDisagreement",
    "Name": "effortless-xlsx|RequirementSatisfactions.PostAttestationScoreExecutionKey @ sat-close08-evidence",
    "Substrate": "effortless-xlsx",
    "RulebookField": "RequirementSatisfactions.PostAttestationScoreExecutionKey"
   },
   {
    "CellDisagreementId": "effortless-xlsx|RequirementSatisfactions.PostAttestationScoreExecutionKey|sat-policy-legal",
    "FieldDisagreement": "effortless-xlsx|RequirementSatisfactions.PostAttestationScoreExecutionKey",
    "RecordId": "sat-policy-legal",
    "ExpectedValue": "null",
    "ActualValue": "\"#NAME?\"",
    "Reason": "wrong/null value",
    "SemanticTypeIri": "urn:effortless:pko-extension#CellDisagreement",
    "Name": "effortless-xlsx|RequirementSatisfactions.PostAttestationScoreExecutionKey @ sat-policy-legal",
    "Substrate": "effortless-xlsx",
    "RulebookField": "RequirementSatisfactions.PostAttestationScoreExecutionKey"
   },
   {
    "CellDisagreementId": "effortless-xlsx|RequirementSatisfactions.PostAttestationScoreExecutionKey|sat-policy-source",
    "FieldDisagreement": "effortless-xlsx|RequirementSatisfactions.PostAttestationScoreExecutionKey",
    "RecordId": "sat-policy-source",
    "ExpectedValue": "null",
    "ActualValue": "\"#NAME?\"",
    "Reason": "wrong/null value",
    "SemanticTypeIri": "urn:effortless:pko-extension#CellDisagreement",
    "Name": "effortless-xlsx|RequirementSatisfactions.PostAttestationScoreExecutionKey @ sat-policy-source",
    "Substrate": "effortless-xlsx",
    "RulebookField": "RequirementSatisfactions.PostAttestationScoreExecutionKey"
   },
   {
    "CellDisagreementId": "effortless-xlsx|IssueOccurrences.Name|issue-close-feed",
    "FieldDisagreement": "effortless-xlsx|IssueOccurrences.Name",
    "RecordId": "issue-close-feed",
    "ExpectedValue": "\"err-feed-stale @ 2026-06-30T17:12:00-05:00\"",
    "ActualValue": "\"err-feed-stale @ 2026-06-30 22:12:00+00\"",
    "Reason": "wrong/null value",
    "SemanticTypeIri": "urn:effortless:pko-extension#CellDisagreement",
    "Name": "effortless-xlsx|IssueOccurrences.Name @ issue-close-feed",
    "Substrate": "effortless-xlsx",
    "RulebookField": "IssueOccurrences.Name"
   },
   {
    "CellDisagreementId": "effortless-xlsx|IssueOccurrences.Name|issue-policy-sms",
    "FieldDisagreement": "effortless-xlsx|IssueOccurrences.Name",
    "RecordId": "issue-policy-sms",
    "ExpectedValue": "\"err-sms-throttle @ 2026-07-19T09:30:00-05:00\"",
    "ActualValue": "\"err-sms-throttle @ 2026-07-19 14:30:00+00\"",
    "Reason": "wrong/null value",
    "SemanticTypeIri": "urn:effortless:pko-extension#CellDisagreement",
    "Name": "effortless-xlsx|IssueOccurrences.Name @ issue-policy-sms",
    "Substrate": "effortless-xlsx",
    "RulebookField": "IssueOccurrences.Name"
   },
   {
    "CellDisagreementId": "effortless-xlsx|StewardshipAssignments.AsOfInstant|stew-close",
    "FieldDisagreement": "effortless-xlsx|StewardshipAssignments.AsOfInstant",
    "RecordId": "stew-close",
    "ExpectedValue": "\"2026-07-19T13:00:00-05:00\"",
    "ActualValue": "\"2026-07-19 18:00:00\"",
    "Reason": "wrong/null value",
    "SemanticTypeIri": "urn:effortless:pko-extension#CellDisagreement",
    "Name": "effortless-xlsx|StewardshipAssignments.AsOfInstant @ stew-close",
    "Substrate": "effortless-xlsx",
    "RulebookField": "StewardshipAssignments.AsOfInstant"
   },
   {
    "CellDisagreementId": "effortless-xlsx|StewardshipAssignments.AsOfInstant|stew-policy",
    "FieldDisagreement": "effortless-xlsx|StewardshipAssignments.AsOfInstant",
    "RecordId": "stew-policy",
    "ExpectedValue": "\"2026-07-19T13:00:00-05:00\"",
    "ActualValue": "\"2026-07-19 18:00:00\"",
    "Reason": "wrong/null value",
    "SemanticTypeIri": "urn:effortless:pko-extension#CellDisagreement",
    "Name": "effortless-xlsx|StewardshipAssignments.AsOfInstant @ stew-policy",
    "Substrate": "effortless-xlsx",
    "RulebookField": "StewardshipAssignments.AsOfInstant"
   },
   {
    "CellDisagreementId": "effortless-xlsx|ChangeRequests.AsOfInstant|cr-close-timestamp",
    "FieldDisagreement": "effortless-xlsx|ChangeRequests.AsOfInstant",
    "RecordId": "cr-close-timestamp",
    "ExpectedValue": "\"2026-07-19T13:00:00-05:00\"",
    "ActualValue": "\"2026-07-19 18:00:00\"",
    "Reason": "wrong/null value",
    "SemanticTypeIri": "urn:effortless:pko-extension#CellDisagreement",
    "Name": "effortless-xlsx|ChangeRequests.AsOfInstant @ cr-close-timestamp",
    "Substrate": "effortless-xlsx",
    "RulebookField": "ChangeRequests.AsOfInstant"
   },
   {
    "CellDisagreementId": "effortless-xlsx|ChangeRequests.AsOfInstant|cr-policy-delivery",
    "FieldDisagreement": "effortless-xlsx|ChangeRequests.AsOfInstant",
    "RecordId": "cr-policy-delivery",
    "ExpectedValue": "\"2026-07-19T13:00:00-05:00\"",
    "ActualValue": "\"2026-07-19 18:00:00\"",
    "Reason": "wrong/null value",
    "SemanticTypeIri": "urn:effortless:pko-extension#CellDisagreement",
    "Name": "effortless-xlsx|ChangeRequests.AsOfInstant @ cr-policy-delivery",
    "Substrate": "effortless-xlsx",
    "RulebookField": "ChangeRequests.AsOfInstant"
   },
   {
    "CellDisagreementId": "effortless-xlsx|ChangeRequests.DaysPending|cr-close-timestamp",
    "FieldDisagreement": "effortless-xlsx|ChangeRequests.DaysPending",
    "RecordId": "cr-close-timestamp",
    "ExpectedValue": "0",
    "ActualValue": "1",
    "Reason": "wrong/null value",
    "SemanticTypeIri": "urn:effortless:pko-extension#CellDisagreement",
    "Name": "effortless-xlsx|ChangeRequests.DaysPending @ cr-close-timestamp",
    "Substrate": "effortless-xlsx",
    "RulebookField": "ChangeRequests.DaysPending"
   },
   {
    "CellDisagreementId": "effortless-xlsx|ChangeRequests.DecisionLatencyDays|cr-close-timestamp",
    "FieldDisagreement": "effortless-xlsx|ChangeRequests.DecisionLatencyDays",
    "RecordId": "cr-close-timestamp",
    "ExpectedValue": "0",
    "ActualValue": "1",
    "Reason": "wrong/null value",
    "SemanticTypeIri": "urn:effortless:pko-extension#CellDisagreement",
    "Name": "effortless-xlsx|ChangeRequests.DecisionLatencyDays @ cr-close-timestamp",
    "Substrate": "effortless-xlsx",
    "RulebookField": "ChangeRequests.DecisionLatencyDays"
   },
   {
    "CellDisagreementId": "effortless-xlsx|ReviewEvents.AsOfInstant|review-close-q1",
    "FieldDisagreement": "effortless-xlsx|ReviewEvents.AsOfInstant",
    "RecordId": "review-close-q1",
    "ExpectedValue": "\"2026-07-19T13:00:00-05:00\"",
    "ActualValue": "\"2026-07-19 18:00:00\"",
    "Reason": "wrong/null value",
    "SemanticTypeIri": "urn:effortless:pko-extension#CellDisagreement",
    "Name": "effortless-xlsx|ReviewEvents.AsOfInstant @ review-close-q1",
    "Substrate": "effortless-xlsx",
    "RulebookField": "ReviewEvents.AsOfInstant"
   },
   {
    "CellDisagreementId": "effortless-xlsx|ReviewEvents.AsOfInstant|review-close-q2",
    "FieldDisagreement": "effortless-xlsx|ReviewEvents.AsOfInstant",
    "RecordId": "review-close-q2",
    "ExpectedValue": "\"2026-07-19T13:00:00-05:00\"",
    "ActualValue": "\"2026-07-19 18:00:00\"",
    "Reason": "wrong/null value",
    "SemanticTypeIri": "urn:effortless:pko-extension#CellDisagreement",
    "Name": "effortless-xlsx|ReviewEvents.AsOfInstant @ review-close-q2",
    "Substrate": "effortless-xlsx",
    "RulebookField": "ReviewEvents.AsOfInstant"
   },
   {
    "CellDisagreementId": "effortless-xlsx|ReviewEvents.AsOfInstant|review-policy-prelaunch",
    "FieldDisagreement": "effortless-xlsx|ReviewEvents.AsOfInstant",
    "RecordId": "review-policy-prelaunch",
    "ExpectedValue": "\"2026-07-19T13:00:00-05:00\"",
    "ActualValue": "\"2026-07-19 18:00:00\"",
    "Reason": "wrong/null value",
    "SemanticTypeIri": "urn:effortless:pko-extension#CellDisagreement",
    "Name": "effortless-xlsx|ReviewEvents.AsOfInstant @ review-policy-prelaunch",
    "Substrate": "effortless-xlsx",
    "RulebookField": "ReviewEvents.AsOfInstant"
   },
   {
    "CellDisagreementId": "effortless-xlsx|ReviewEvents.DaysSinceReviewed|review-close-q1",
    "FieldDisagreement": "effortless-xlsx|ReviewEvents.DaysSinceReviewed",
    "RecordId": "review-close-q1",
    "ExpectedValue": "120",
    "ActualValue": "121",
    "Reason": "wrong/null value",
    "SemanticTypeIri": "urn:effortless:pko-extension#CellDisagreement",
    "Name": "effortless-xlsx|ReviewEvents.DaysSinceReviewed @ review-close-q1",
    "Substrate": "effortless-xlsx",
    "RulebookField": "ReviewEvents.DaysSinceReviewed"
   },
   {
    "CellDisagreementId": "effortless-xlsx|ReviewEvents.DaysSinceReviewed|review-close-q2",
    "FieldDisagreement": "effortless-xlsx|ReviewEvents.DaysSinceReviewed",
    "RecordId": "review-close-q2",
    "ExpectedValue": "16",
    "ActualValue": "17",
    "Reason": "wrong/null value",
    "SemanticTypeIri": "urn:effortless:pko-extension#CellDisagreement",
    "Name": "effortless-xlsx|ReviewEvents.DaysSinceReviewed @ review-close-q2",
    "Substrate": "effortless-xlsx",
    "RulebookField": "ReviewEvents.DaysSinceReviewed"
   },
   {
    "CellDisagreementId": "effortless-xlsx|ReviewEvents.DaysSinceReviewed|review-policy-prelaunch",
    "FieldDisagreement": "effortless-xlsx|ReviewEvents.DaysSinceReviewed",
    "RecordId": "review-policy-prelaunch",
    "ExpectedValue": "0",
    "ActualValue": "1",
    "Reason": "wrong/null value",
    "SemanticTypeIri": "urn:effortless:pko-extension#CellDisagreement",
    "Name": "effortless-xlsx|ReviewEvents.DaysSinceReviewed @ review-policy-prelaunch",
    "Substrate": "effortless-xlsx",
    "RulebookField": "ReviewEvents.DaysSinceReviewed"
   },
   {
    "CellDisagreementId": "effortless-xlsx|ReviewEvents.CadenceDriftDays|review-close-q1",
    "FieldDisagreement": "effortless-xlsx|ReviewEvents.CadenceDriftDays",
    "RecordId": "review-close-q1",
    "ExpectedValue": "30.0",
    "ActualValue": "31",
    "Reason": "wrong/null value",
    "SemanticTypeIri": "urn:effortless:pko-extension#CellDisagreement",
    "Name": "effortless-xlsx|ReviewEvents.CadenceDriftDays @ review-close-q1",
    "Substrate": "effortless-xlsx",
    "RulebookField": "ReviewEvents.CadenceDriftDays"
   },
   {
    "CellDisagreementId": "effortless-xlsx|ReviewEvents.CadenceDriftDays|review-close-q2",
    "FieldDisagreement": "effortless-xlsx|ReviewEvents.CadenceDriftDays",
    "RecordId": "review-close-q2",
    "ExpectedValue": "-74.0",
    "ActualValue": "-73",
    "Reason": "wrong/null value",
    "SemanticTypeIri": "urn:effortless:pko-extension#CellDisagreement",
    "Name": "effortless-xlsx|ReviewEvents.CadenceDriftDays @ review-close-q2",
    "Substrate": "effortless-xlsx",
    "RulebookField": "ReviewEvents.CadenceDriftDays"
   },
   {
    "CellDisagreementId": "effortless-xlsx|ReviewEvents.CadenceDriftDays|review-policy-prelaunch",
    "FieldDisagreement": "effortless-xlsx|ReviewEvents.CadenceDriftDays",
    "RecordId": "review-policy-prelaunch",
    "ExpectedValue": "-60.0",
    "ActualValue": "-59",
    "Reason": "wrong/null value",
    "SemanticTypeIri": "urn:effortless:pko-extension#CellDisagreement",
    "Name": "effortless-xlsx|ReviewEvents.CadenceDriftDays @ review-policy-prelaunch",
    "Substrate": "effortless-xlsx",
    "RulebookField": "ReviewEvents.CadenceDriftDays"
   },
   {
    "CellDisagreementId": "effortless-xlsx|LearningActivities.Name|learn-close-retro",
    "FieldDisagreement": "effortless-xlsx|LearningActivities.Name",
    "RecordId": "learn-close-retro",
    "ExpectedValue": "\"Retrospective / 2026-07-02T15:30:00-05:00\"",
    "ActualValue": "\"Retrospective / 2026-07-02 20:30:00+00\"",
    "Reason": "wrong/null value",
    "SemanticTypeIri": "urn:effortless:pko-extension#CellDisagreement",
    "Name": "effortless-xlsx|LearningActivities.Name @ learn-close-retro",
    "Substrate": "effortless-xlsx",
    "RulebookField": "LearningActivities.Name"
   },
   {
    "CellDisagreementId": "effortless-xlsx|LearningActivities.Name|learn-policy-tabletop",
    "FieldDisagreement": "effortless-xlsx|LearningActivities.Name",
    "RecordId": "learn-policy-tabletop",
    "ExpectedValue": "\"TabletopExercise / 2026-07-15T13:00:00-05:00\"",
    "ActualValue": "\"TabletopExercise / 2026-07-15 18:00:00+00\"",
    "Reason": "wrong/null value",
    "SemanticTypeIri": "urn:effortless:pko-extension#CellDisagreement",
    "Name": "effortless-xlsx|LearningActivities.Name @ learn-policy-tabletop",
    "Substrate": "effortless-xlsx",
    "RulebookField": "LearningActivities.Name"
   },
   {
    "CellDisagreementId": "effortless-xlsx|OperationalBindings.AsOfInstant|bind-close-erp",
    "FieldDisagreement": "effortless-xlsx|OperationalBindings.AsOfInstant",
    "RecordId": "bind-close-erp",
    "ExpectedValue": "\"2026-07-19T13:00:00-05:00\"",
    "ActualValue": "\"2026-07-19 18:00:00\"",
    "Reason": "wrong/null value",
    "SemanticTypeIri": "urn:effortless:pko-extension#CellDisagreement",
    "Name": "effortless-xlsx|OperationalBindings.AsOfInstant @ bind-close-erp",
    "Substrate": "effortless-xlsx",
    "RulebookField": "OperationalBindings.AsOfInstant"
   },
   {
    "CellDisagreementId": "effortless-xlsx|OperationalBindings.AsOfInstant|bind-policy-consent",
    "FieldDisagreement": "effortless-xlsx|OperationalBindings.AsOfInstant",
    "RecordId": "bind-policy-consent",
    "ExpectedValue": "\"2026-07-19T13:00:00-05:00\"",
    "ActualValue": "\"2026-07-19 18:00:00\"",
    "Reason": "wrong/null value",
    "SemanticTypeIri": "urn:effortless:pko-extension#CellDisagreement",
    "Name": "effortless-xlsx|OperationalBindings.AsOfInstant @ bind-policy-consent",
    "Substrate": "effortless-xlsx",
    "RulebookField": "OperationalBindings.AsOfInstant"
   },
   {
    "CellDisagreementId": "effortless-xlsx|OperationalBindings.AsOfInstant|bind-policy-email",
    "FieldDisagreement": "effortless-xlsx|OperationalBindings.AsOfInstant",
    "RecordId": "bind-policy-email",
    "ExpectedValue": "\"2026-07-19T13:00:00-05:00\"",
    "ActualValue": "\"2026-07-19 18:00:00\"",
    "Reason": "wrong/null value",
    "SemanticTypeIri": "urn:effortless:pko-extension#CellDisagreement",
    "Name": "effortless-xlsx|OperationalBindings.AsOfInstant @ bind-policy-email",
    "Substrate": "effortless-xlsx",
    "RulebookField": "OperationalBindings.AsOfInstant"
   },
   {
    "CellDisagreementId": "effortless-xlsx|OperationalBindings.AsOfInstant|bind-policy-sms",
    "FieldDisagreement": "effortless-xlsx|OperationalBindings.AsOfInstant",
    "RecordId": "bind-policy-sms",
    "ExpectedValue": "\"2026-07-19T13:00:00-05:00\"",
    "ActualValue": "\"2026-07-19 18:00:00\"",
    "Reason": "wrong/null value",
    "SemanticTypeIri": "urn:effortless:pko-extension#CellDisagreement",
    "Name": "effortless-xlsx|OperationalBindings.AsOfInstant @ bind-policy-sms",
    "Substrate": "effortless-xlsx",
    "RulebookField": "OperationalBindings.AsOfInstant"
   },
   {
    "CellDisagreementId": "effortless-xlsx|OperationalBindings.AsOfInstant|bind-policy-ticket",
    "FieldDisagreement": "effortless-xlsx|OperationalBindings.AsOfInstant",
    "RecordId": "bind-policy-ticket",
    "ExpectedValue": "\"2026-07-19T13:00:00-05:00\"",
    "ActualValue": "\"2026-07-19 18:00:00\"",
    "Reason": "wrong/null value",
    "SemanticTypeIri": "urn:effortless:pko-extension#CellDisagreement",
    "Name": "effortless-xlsx|OperationalBindings.AsOfInstant @ bind-policy-ticket",
    "Substrate": "effortless-xlsx",
    "RulebookField": "OperationalBindings.AsOfInstant"
   },
   {
    "CellDisagreementId": "effortless-xlsx|OperationalBindings.AgeMinutes|bind-close-erp",
    "FieldDisagreement": "effortless-xlsx|OperationalBindings.AgeMinutes",
    "RecordId": "bind-close-erp",
    "ExpectedValue": "17",
    "ActualValue": "\"#NAME?\"",
    "Reason": "wrong/null value",
    "SemanticTypeIri": "urn:effortless:pko-extension#CellDisagreement",
    "Name": "effortless-xlsx|OperationalBindings.AgeMinutes @ bind-close-erp",
    "Substrate": "effortless-xlsx",
    "RulebookField": "OperationalBindings.AgeMinutes"
   },
   {
    "CellDisagreementId": "effortless-xlsx|OperationalBindings.AgeMinutes|bind-policy-consent",
    "FieldDisagreement": "effortless-xlsx|OperationalBindings.AgeMinutes",
    "RecordId": "bind-policy-consent",
    "ExpectedValue": "75",
    "ActualValue": "\"#NAME?\"",
    "Reason": "wrong/null value",
    "SemanticTypeIri": "urn:effortless:pko-extension#CellDisagreement",
    "Name": "effortless-xlsx|OperationalBindings.AgeMinutes @ bind-policy-consent",
    "Substrate": "effortless-xlsx",
    "RulebookField": "OperationalBindings.AgeMinutes"
   },
   {
    "CellDisagreementId": "effortless-xlsx|OperationalBindings.AgeMinutes|bind-policy-email",
    "FieldDisagreement": "effortless-xlsx|OperationalBindings.AgeMinutes",
    "RecordId": "bind-policy-email",
    "ExpectedValue": "1230",
    "ActualValue": "\"#NAME?\"",
    "Reason": "wrong/null value",
    "SemanticTypeIri": "urn:effortless:pko-extension#CellDisagreement",
    "Name": "effortless-xlsx|OperationalBindings.AgeMinutes @ bind-policy-email",
    "Substrate": "effortless-xlsx",
    "RulebookField": "OperationalBindings.AgeMinutes"
   },
   {
    "CellDisagreementId": "effortless-xlsx|OperationalBindings.AgeMinutes|bind-policy-sms",
    "FieldDisagreement": "effortless-xlsx|OperationalBindings.AgeMinutes",
    "RecordId": "bind-policy-sms",
    "ExpectedValue": "1230",
    "ActualValue": "\"#NAME?\"",
    "Reason": "wrong/null value",
    "SemanticTypeIri": "urn:effortless:pko-extension#CellDisagreement",
    "Name": "effortless-xlsx|OperationalBindings.AgeMinutes @ bind-policy-sms",
    "Substrate": "effortless-xlsx",
    "RulebookField": "OperationalBindings.AgeMinutes"
   },
   {
    "CellDisagreementId": "effortless-xlsx|OperationalBindings.AgeMinutes|bind-policy-ticket",
    "FieldDisagreement": "effortless-xlsx|OperationalBindings.AgeMinutes",
    "RecordId": "bind-policy-ticket",
    "ExpectedValue": "70",
    "ActualValue": "\"#NAME?\"",
    "Reason": "wrong/null value",
    "SemanticTypeIri": "urn:effortless:pko-extension#CellDisagreement",
    "Name": "effortless-xlsx|OperationalBindings.AgeMinutes @ bind-policy-ticket",
    "Substrate": "effortless-xlsx",
    "RulebookField": "OperationalBindings.AgeMinutes"
   },
   {
    "CellDisagreementId": "effortless-xlsx|OperationalBindings.IsFresh|bind-close-erp",
    "FieldDisagreement": "effortless-xlsx|OperationalBindings.IsFresh",
    "RecordId": "bind-close-erp",
    "ExpectedValue": "false",
    "ActualValue": "\"#NAME?\"",
    "Reason": "wrong/null value",
    "SemanticTypeIri": "urn:effortless:pko-extension#CellDisagreement",
    "Name": "effortless-xlsx|OperationalBindings.IsFresh @ bind-close-erp",
    "Substrate": "effortless-xlsx",
    "RulebookField": "OperationalBindings.IsFresh"
   },
   {
    "CellDisagreementId": "effortless-xlsx|OperationalBindings.IsFresh|bind-policy-consent",
    "FieldDisagreement": "effortless-xlsx|OperationalBindings.IsFresh",
    "RecordId": "bind-policy-consent",
    "ExpectedValue": "false",
    "ActualValue": "\"#NAME?\"",
    "Reason": "wrong/null value",
    "SemanticTypeIri": "urn:effortless:pko-extension#CellDisagreement",
    "Name": "effortless-xlsx|OperationalBindings.IsFresh @ bind-policy-consent",
    "Substrate": "effortless-xlsx",
    "RulebookField": "OperationalBindings.IsFresh"
   },
   {
    "CellDisagreementId": "effortless-xlsx|OperationalBindings.IsFresh|bind-policy-email",
    "FieldDisagreement": "effortless-xlsx|OperationalBindings.IsFresh",
    "RecordId": "bind-policy-email",
    "ExpectedValue": "true",
    "ActualValue": "\"#NAME?\"",
    "Reason": "wrong/null value",
    "SemanticTypeIri": "urn:effortless:pko-extension#CellDisagreement",
    "Name": "effortless-xlsx|OperationalBindings.IsFresh @ bind-policy-email",
    "Substrate": "effortless-xlsx",
    "RulebookField": "OperationalBindings.IsFresh"
   },
   {
    "CellDisagreementId": "effortless-xlsx|OperationalBindings.IsFresh|bind-policy-sms",
    "FieldDisagreement": "effortless-xlsx|OperationalBindings.IsFresh",
    "RecordId": "bind-policy-sms",
    "ExpectedValue": "true",
    "ActualValue": "\"#NAME?\"",
    "Reason": "wrong/null value",
    "SemanticTypeIri": "urn:effortless:pko-extension#CellDisagreement",
    "Name": "effortless-xlsx|OperationalBindings.IsFresh @ bind-policy-sms",
    "Substrate": "effortless-xlsx",
    "RulebookField": "OperationalBindings.IsFresh"
   },
   {
    "CellDisagreementId": "effortless-xlsx|OperationalBindings.IsFresh|bind-policy-ticket",
    "FieldDisagreement": "effortless-xlsx|OperationalBindings.IsFresh",
    "RecordId": "bind-policy-ticket",
    "ExpectedValue": "false",
    "ActualValue": "\"#NAME?\"",
    "Reason": "wrong/null value",
    "SemanticTypeIri": "urn:effortless:pko-extension#CellDisagreement",
    "Name": "effortless-xlsx|OperationalBindings.IsFresh @ bind-policy-ticket",
    "Substrate": "effortless-xlsx",
    "RulebookField": "OperationalBindings.IsFresh"
   },
   {
    "CellDisagreementId": "effortless-xlsx|OperationalBindings.StaleBindingStepKey|bind-close-erp",
    "FieldDisagreement": "effortless-xlsx|OperationalBindings.StaleBindingStepKey",
    "RecordId": "bind-close-erp",
    "ExpectedValue": "\"close-02\"",
    "ActualValue": "\"#NAME?\"",
    "Reason": "wrong/null value",
    "SemanticTypeIri": "urn:effortless:pko-extension#CellDisagreement",
    "Name": "effortless-xlsx|OperationalBindings.StaleBindingStepKey @ bind-close-erp",
    "Substrate": "effortless-xlsx",
    "RulebookField": "OperationalBindings.StaleBindingStepKey"
   },
   {
    "CellDisagreementId": "effortless-xlsx|OperationalBindings.StaleBindingStepKey|bind-policy-consent",
    "FieldDisagreement": "effortless-xlsx|OperationalBindings.StaleBindingStepKey",
    "RecordId": "bind-policy-consent",
    "ExpectedValue": "\"policy-07\"",
    "ActualValue": "\"#NAME?\"",
    "Reason": "wrong/null value",
    "SemanticTypeIri": "urn:effortless:pko-extension#CellDisagreement",
    "Name": "effortless-xlsx|OperationalBindings.StaleBindingStepKey @ bind-policy-consent",
    "Substrate": "effortless-xlsx",
    "RulebookField": "OperationalBindings.StaleBindingStepKey"
   },
   {
    "CellDisagreementId": "effortless-xlsx|OperationalBindings.StaleBindingStepKey|bind-policy-email",
    "FieldDisagreement": "effortless-xlsx|OperationalBindings.StaleBindingStepKey",
    "RecordId": "bind-policy-email",
    "ExpectedValue": "null",
    "ActualValue": "\"#NAME?\"",
    "Reason": "wrong/null value",
    "SemanticTypeIri": "urn:effortless:pko-extension#CellDisagreement",
    "Name": "effortless-xlsx|OperationalBindings.StaleBindingStepKey @ bind-policy-email",
    "Substrate": "effortless-xlsx",
    "RulebookField": "OperationalBindings.StaleBindingStepKey"
   },
   {
    "CellDisagreementId": "effortless-xlsx|OperationalBindings.StaleBindingStepKey|bind-policy-sms",
    "FieldDisagreement": "effortless-xlsx|OperationalBindings.StaleBindingStepKey",
    "RecordId": "bind-policy-sms",
    "ExpectedValue": "null",
    "ActualValue": "\"#NAME?\"",
    "Reason": "wrong/null value",
    "SemanticTypeIri": "urn:effortless:pko-extension#CellDisagreement",
    "Name": "effortless-xlsx|OperationalBindings.StaleBindingStepKey @ bind-policy-sms",
    "Substrate": "effortless-xlsx",
    "RulebookField": "OperationalBindings.StaleBindingStepKey"
   },
   {
    "CellDisagreementId": "effortless-xlsx|OperationalBindings.StaleBindingStepKey|bind-policy-ticket",
    "FieldDisagreement": "effortless-xlsx|OperationalBindings.StaleBindingStepKey",
    "RecordId": "bind-policy-ticket",
    "ExpectedValue": "\"policy-01\"",
    "ActualValue": "\"#NAME?\"",
    "Reason": "wrong/null value",
    "SemanticTypeIri": "urn:effortless:pko-extension#CellDisagreement",
    "Name": "effortless-xlsx|OperationalBindings.StaleBindingStepKey @ bind-policy-ticket",
    "Substrate": "effortless-xlsx",
    "RulebookField": "OperationalBindings.StaleBindingStepKey"
   },
   {
    "CellDisagreementId": "effortless-xlsx|OperationalBindings.AuthoritativeStaleStepKey|bind-close-erp",
    "FieldDisagreement": "effortless-xlsx|OperationalBindings.AuthoritativeStaleStepKey",
    "RecordId": "bind-close-erp",
    "ExpectedValue": "\"close-02\"",
    "ActualValue": "\"#NAME?\"",
    "Reason": "wrong/null value",
    "SemanticTypeIri": "urn:effortless:pko-extension#CellDisagreement",
    "Name": "effortless-xlsx|OperationalBindings.AuthoritativeStaleStepKey @ bind-close-erp",
    "Substrate": "effortless-xlsx",
    "RulebookField": "OperationalBindings.AuthoritativeStaleStepKey"
   },
   {
    "CellDisagreementId": "effortless-xlsx|OperationalBindings.AuthoritativeStaleStepKey|bind-policy-consent",
    "FieldDisagreement": "effortless-xlsx|OperationalBindings.AuthoritativeStaleStepKey",
    "RecordId": "bind-policy-consent",
    "ExpectedValue": "\"policy-07\"",
    "ActualValue": "\"#NAME?\"",
    "Reason": "wrong/null value",
    "SemanticTypeIri": "urn:effortless:pko-extension#CellDisagreement",
    "Name": "effortless-xlsx|OperationalBindings.AuthoritativeStaleStepKey @ bind-policy-consent",
    "Substrate": "effortless-xlsx",
    "RulebookField": "OperationalBindings.AuthoritativeStaleStepKey"
   },
   {
    "CellDisagreementId": "effortless-xlsx|OperationalBindings.AuthoritativeStaleStepKey|bind-policy-email",
    "FieldDisagreement": "effortless-xlsx|OperationalBindings.AuthoritativeStaleStepKey",
    "RecordId": "bind-policy-email",
    "ExpectedValue": "null",
    "ActualValue": "\"#NAME?\"",
    "Reason": "wrong/null value",
    "SemanticTypeIri": "urn:effortless:pko-extension#CellDisagreement",
    "Name": "effortless-xlsx|OperationalBindings.AuthoritativeStaleStepKey @ bind-policy-email",
    "Substrate": "effortless-xlsx",
    "RulebookField": "OperationalBindings.AuthoritativeStaleStepKey"
   },
   {
    "CellDisagreementId": "effortless-xlsx|OperationalBindings.AuthoritativeStaleStepKey|bind-policy-sms",
    "FieldDisagreement": "effortless-xlsx|OperationalBindings.AuthoritativeStaleStepKey",
    "RecordId": "bind-policy-sms",
    "ExpectedValue": "null",
    "ActualValue": "\"#NAME?\"",
    "Reason": "wrong/null value",
    "SemanticTypeIri": "urn:effortless:pko-extension#CellDisagreement",
    "Name": "effortless-xlsx|OperationalBindings.AuthoritativeStaleStepKey @ bind-policy-sms",
    "Substrate": "effortless-xlsx",
    "RulebookField": "OperationalBindings.AuthoritativeStaleStepKey"
   },
   {
    "CellDisagreementId": "effortless-xlsx|OperationalBindings.AuthoritativeStaleStepKey|bind-policy-ticket",
    "FieldDisagreement": "effortless-xlsx|OperationalBindings.Authoritative</t>
  </si>
  <si>
    <t xml:space="preserve">StaleStepKey",
    "RecordId": "bind-policy-ticket",
    "ExpectedValue": "\"policy-01\"",
    "ActualValue": "\"#NAME?\"",
    "Reason": "wrong/null value",
    "SemanticTypeIri": "urn:effortless:pko-extension#CellDisagreement",
    "Name": "effortless-xlsx|OperationalBindings.AuthoritativeStaleStepKey @ bind-policy-ticket",
    "Substrate": "effortless-xlsx",
    "RulebookField": "OperationalBindings.AuthoritativeStaleStepKey"
   },
   {
    "CellDisagreementId": "effortless-xlsx|OperationalBindings.IsStaleAndAuthoritative|bind-close-erp",
    "FieldDisagreement": "effortless-xlsx|OperationalBindings.IsStaleAndAuthoritative",
    "RecordId": "bind-close-erp",
    "ExpectedValue": "true",
    "ActualValue": "\"#NAME?\"",
    "Reason": "wrong/null value",
    "SemanticTypeIri": "urn:effortless:pko-extension#CellDisagreement",
    "Name": "effortless-xlsx|OperationalBindings.IsStaleAndAuthoritative @ bind-close-erp",
    "Substrate": "effortless-xlsx",
    "RulebookField": "OperationalBindings.IsStaleAndAuthoritative"
   },
   {
    "CellDisagreementId": "effortless-xlsx|OperationalBindings.IsStaleAndAuthoritative|bind-policy-consent",
    "FieldDisagreement": "effortless-xlsx|OperationalBindings.IsStaleAndAuthoritative",
    "RecordId": "bind-policy-consent",
    "ExpectedValue": "true",
    "ActualValue": "\"#NAME?\"",
    "Reason": "wrong/null value",
    "SemanticTypeIri": "urn:effortless:pko-extension#CellDisagreement",
    "Name": "effortless-xlsx|OperationalBindings.IsStaleAndAuthoritative @ bind-policy-consent",
    "Substrate": "effortless-xlsx",
    "RulebookField": "OperationalBindings.IsStaleAndAuthoritative"
   },
   {
    "CellDisagreementId": "effortless-xlsx|OperationalBindings.IsStaleAndAuthoritative|bind-policy-email",
    "FieldDisagreement": "effortless-xlsx|OperationalBindings.IsStaleAndAuthoritative",
    "RecordId": "bind-policy-email",
    "ExpectedValue": "false",
    "ActualValue": "\"#NAME?\"",
    "Reason": "wrong/null value",
    "SemanticTypeIri": "urn:effortless:pko-extension#CellDisagreement",
    "Name": "effortless-xlsx|OperationalBindings.IsStaleAndAuthoritative @ bind-policy-email",
    "Substrate": "effortless-xlsx",
    "RulebookField": "OperationalBindings.IsStaleAndAuthoritative"
   },
   {
    "CellDisagreementId": "effortless-xlsx|OperationalBindings.IsStaleAndAuthoritative|bind-policy-sms",
    "FieldDisagreement": "effortless-xlsx|OperationalBindings.IsStaleAndAuthoritative",
    "RecordId": "bind-policy-sms",
    "ExpectedValue": "false",
    "ActualValue": "\"#NAME?\"",
    "Reason": "wrong/null value",
    "SemanticTypeIri": "urn:effortless:pko-extension#CellDisagreement",
    "Name": "effortless-xlsx|OperationalBindings.IsStaleAndAuthoritative @ bind-policy-sms",
    "Substrate": "effortless-xlsx",
    "RulebookField": "OperationalBindings.IsStaleAndAuthoritative"
   },
   {
    "CellDisagreementId": "effortless-xlsx|OperationalBindings.IsStaleAndAuthoritative|bind-policy-ticket",
    "FieldDisagreement": "effortless-xlsx|OperationalBindings.IsStaleAndAuthoritative",
    "RecordId": "bind-policy-ticket",
    "ExpectedValue": "true",
    "ActualValue": "\"#NAME?\"",
    "Reason": "wrong/null value",
    "SemanticTypeIri": "urn:effortless:pko-extension#CellDisagreement",
    "Name": "effortless-xlsx|OperationalBindings.IsStaleAndAuthoritative @ bind-policy-ticket",
    "Substrate": "effortless-xlsx",
    "RulebookField": "OperationalBindings.IsStaleAndAuthoritative"
   },
   {
    "CellDisagreementId": "effortless-xlsx|OperationalBindings.StepWhenStale|bind-close-erp",
    "FieldDisagreement": "effortless-xlsx|OperationalBindings.StepWhenStale",
    "RecordId": "bind-close-erp",
    "ExpectedValue": "\"close-02\"",
    "ActualValue": "\"#NAME?\"",
    "Reason": "wrong/null value",
    "SemanticTypeIri": "urn:effortless:pko-extension#CellDisagreement",
    "Name": "effortless-xlsx|OperationalBindings.StepWhenStale @ bind-close-erp",
    "Substrate": "effortless-xlsx",
    "RulebookField": "OperationalBindings.StepWhenStale"
   },
   {
    "CellDisagreementId": "effortless-xlsx|OperationalBindings.StepWhenStale|bind-policy-consent",
    "FieldDisagreement": "effortless-xlsx|OperationalBindings.StepWhenStale",
    "RecordId": "bind-policy-consent",
    "ExpectedValue": "\"policy-07\"",
    "ActualValue": "\"#NAME?\"",
    "Reason": "wrong/null value",
    "SemanticTypeIri": "urn:effortless:pko-extension#CellDisagreement",
    "Name": "effortless-xlsx|OperationalBindings.StepWhenStale @ bind-policy-consent",
    "Substrate": "effortless-xlsx",
    "RulebookField": "OperationalBindings.StepWhenStale"
   },
   {
    "CellDisagreementId": "effortless-xlsx|OperationalBindings.StepWhenStale|bind-policy-email",
    "FieldDisagreement": "effortless-xlsx|OperationalBindings.StepWhenStale",
    "RecordId": "bind-policy-email",
    "ExpectedValue": "null",
    "ActualValue": "\"#NAME?\"",
    "Reason": "wrong/null value",
    "SemanticTypeIri": "urn:effortless:pko-extension#CellDisagreement",
    "Name": "effortless-xlsx|OperationalBindings.StepWhenStale @ bind-policy-email",
    "Substrate": "effortless-xlsx",
    "RulebookField": "OperationalBindings.StepWhenStale"
   },
   {
    "CellDisagreementId": "effortless-xlsx|OperationalBindings.StepWhenStale|bind-policy-sms",
    "FieldDisagreement": "effortless-xlsx|OperationalBindings.StepWhenStale",
    "RecordId": "bind-policy-sms",
    "ExpectedValue": "null",
    "ActualValue": "\"#NAME?\"",
    "Reason": "wrong/null value",
    "SemanticTypeIri": "urn:effortless:pko-extension#CellDisagreement",
    "Name": "effortless-xlsx|OperationalBindings.StepWhenStale @ bind-policy-sms",
    "Substrate": "effortless-xlsx",
    "RulebookField": "OperationalBindings.StepWhenStale"
   },
   {
    "CellDisagreementId": "effortless-xlsx|OperationalBindings.StepWhenStale|bind-policy-ticket",
    "FieldDisagreement": "effortless-xlsx|OperationalBindings.StepWhenStale",
    "RecordId": "bind-policy-ticket",
    "ExpectedValue": "\"policy-01\"",
    "ActualValue": "\"#NAME?\"",
    "Reason": "wrong/null value",
    "SemanticTypeIri": "urn:effortless:pko-extension#CellDisagreement",
    "Name": "effortless-xlsx|OperationalBindings.StepWhenStale @ bind-policy-ticket",
    "Substrate": "effortless-xlsx",
    "RulebookField": "OperationalBindings.StepWhenStale"
   },
   {
    "CellDisagreementId": "effortless-xlsx|OperationalBindings.IsUsableForDrafting|bind-close-erp",
    "FieldDisagreement": "effortless-xlsx|OperationalBindings.IsUsableForDrafting",
    "RecordId": "bind-close-erp",
    "ExpectedValue": "false",
    "ActualValue": "\"#NAME?\"",
    "Reason": "wrong/null value",
    "SemanticTypeIri": "urn:effortless:pko-extension#CellDisagreement",
    "Name": "effortless-xlsx|OperationalBindings.IsUsableForDrafting @ bind-close-erp",
    "Substrate": "effortless-xlsx",
    "RulebookField": "OperationalBindings.IsUsableForDrafting"
   },
   {
    "CellDisagreementId": "effortless-xlsx|OperationalBindings.IsUsableForDrafting|bind-policy-consent",
    "FieldDisagreement": "effortless-xlsx|OperationalBindings.IsUsableForDrafting",
    "RecordId": "bind-policy-consent",
    "ExpectedValue": "false",
    "ActualValue": "\"#NAME?\"",
    "Reason": "wrong/null value",
    "SemanticTypeIri": "urn:effortless:pko-extension#CellDisagreement",
    "Name": "effortless-xlsx|OperationalBindings.IsUsableForDrafting @ bind-policy-consent",
    "Substrate": "effortless-xlsx",
    "RulebookField": "OperationalBindings.IsUsableForDrafting"
   },
   {
    "CellDisagreementId": "effortless-xlsx|OperationalBindings.IsUsableForDrafting|bind-policy-email",
    "FieldDisagreement": "effortless-xlsx|OperationalBindings.IsUsableForDrafting",
    "RecordId": "bind-policy-email",
    "ExpectedValue": "false",
    "ActualValue": "\"#NAME?\"",
    "Reason": "wrong/null value",
    "SemanticTypeIri": "urn:effortless:pko-extension#CellDisagreement",
    "Name": "effortless-xlsx|OperationalBindings.IsUsableForDrafting @ bind-policy-email",
    "Substrate": "effortless-xlsx",
    "RulebookField": "OperationalBindings.IsUsableForDrafting"
   },
   {
    "CellDisagreementId": "effortless-xlsx|OperationalBindings.IsUsableForDrafting|bind-policy-sms",
    "FieldDisagreement": "effortless-xlsx|OperationalBindings.IsUsableForDrafting",
    "RecordId": "bind-policy-sms",
    "ExpectedValue": "false",
    "ActualValue": "\"#NAME?\"",
    "Reason": "wrong/null value",
    "SemanticTypeIri": "urn:effortless:pko-extension#CellDisagreement",
    "Name": "effortless-xlsx|OperationalBindings.IsUsableForDrafting @ bind-policy-sms",
    "Substrate": "effortless-xlsx",
    "RulebookField": "OperationalBindings.IsUsableForDrafting"
   },
   {
    "CellDisagreementId": "effortless-xlsx|OperationalBindings.IsUsableForDrafting|bind-policy-ticket",
    "FieldDisagreement": "effortless-xlsx|OperationalBindings.IsUsableForDrafting",
    "RecordId": "bind-policy-ticket",
    "ExpectedValue": "false",
    "ActualValue": "\"#NAME?\"",
    "Reason": "wrong/null value",
    "SemanticTypeIri": "urn:effortless:pko-extension#CellDisagreement",
    "Name": "effortless-xlsx|OperationalBindings.IsUsableForDrafting @ bind-policy-ticket",
    "Substrate": "effortless-xlsx",
    "RulebookField": "OperationalBindings.IsUsableForDrafting"
   },
   {
    "CellDisagreementId": "effortless-xlsx|OperationalBindings.StepWhenUnusable|bind-close-erp",
    "FieldDisagreement": "effortless-xlsx|OperationalBindings.StepWhenUnusable",
    "RecordId": "bind-close-erp",
    "ExpectedValue": "\"close-02\"",
    "ActualValue": "\"#NAME?\"",
    "Reason": "wrong/null value",
    "SemanticTypeIri": "urn:effortless:pko-extension#CellDisagreement",
    "Name": "effortless-xlsx|OperationalBindings.StepWhenUnusable @ bind-close-erp",
    "Substrate": "effortless-xlsx",
    "RulebookField": "OperationalBindings.StepWhenUnusable"
   },
   {
    "CellDisagreementId": "effortless-xlsx|OperationalBindings.StepWhenUnusable|bind-policy-consent",
    "FieldDisagreement": "effortless-xlsx|OperationalBindings.StepWhenUnusable",
    "RecordId": "bind-policy-consent",
    "ExpectedValue": "\"policy-07\"",
    "ActualValue": "\"#NAME?\"",
    "Reason": "wrong/null value",
    "SemanticTypeIri": "urn:effortless:pko-extension#CellDisagreement",
    "Name": "effortless-xlsx|OperationalBindings.StepWhenUnusable @ bind-policy-consent",
    "Substrate": "effortless-xlsx",
    "RulebookField": "OperationalBindings.StepWhenUnusable"
   },
   {
    "CellDisagreementId": "effortless-xlsx|OperationalBindings.StepWhenUnusable|bind-policy-email",
    "FieldDisagreement": "effortless-xlsx|OperationalBindings.StepWhenUnusable",
    "RecordId": "bind-policy-email",
    "ExpectedValue": "\"policy-07\"",
    "ActualValue": "\"#NAME?\"",
    "Reason": "wrong/null value",
    "SemanticTypeIri": "urn:effortless:pko-extension#CellDisagreement",
    "Name": "effortless-xlsx|OperationalBindings.StepWhenUnusable @ bind-policy-email",
    "Substrate": "effortless-xlsx",
    "RulebookField": "OperationalBindings.StepWhenUnusable"
   },
   {
    "CellDisagreementId": "effortless-xlsx|OperationalBindings.StepWhenUnusable|bind-policy-sms",
    "FieldDisagreement": "effortless-xlsx|OperationalBindings.StepWhenUnusable",
    "RecordId": "bind-policy-sms",
    "ExpectedValue": "\"policy-07\"",
    "ActualValue": "\"#NAME?\"",
    "Reason": "wrong/null value",
    "SemanticTypeIri": "urn:effortless:pko-extension#CellDisagreement",
    "Name": "effortless-xlsx|OperationalBindings.StepWhenUnusable @ bind-policy-sms",
    "Substrate": "effortless-xlsx",
    "RulebookField": "OperationalBindings.StepWhenUnusable"
   },
   {
    "CellDisagreementId": "effortless-xlsx|OperationalBindings.StepWhenUnusable|bind-policy-ticket",
    "FieldDisagreement": "effortless-xlsx|OperationalBindings.StepWhenUnusable",
    "RecordId": "bind-policy-ticket",
    "ExpectedValue": "\"policy-01\"",
    "ActualValue": "\"#NAME?\"",
    "Reason": "wrong/null value",
    "SemanticTypeIri": "urn:effortless:pko-extension#CellDisagreement",
    "Name": "effortless-xlsx|OperationalBindings.StepWhenUnusable @ bind-policy-ticket",
    "Substrate": "effortless-xlsx",
    "RulebookField": "OperationalBindings.StepWhenUnusable"
   },
   {
    "CellDisagreementId": "effortless-xlsx|MessageTemplates.LastApprovalAt|tmpl-policy-email",
    "FieldDisagreement": "effortless-xlsx|MessageTemplates.LastApprovalAt",
    "RecordId": "tmpl-policy-email",
    "ExpectedValue": "\"2026-07-17T11:00:00-05:00\"",
    "ActualValue": "\"2026-07-17 16:00:00\"",
    "Reason": "wrong/null value",
    "SemanticTypeIri": "urn:effortless:pko-extension#CellDisagreement",
    "Name": "effortless-xlsx|MessageTemplates.LastApprovalAt @ tmpl-policy-email",
    "Substrate": "effortless-xlsx",
    "RulebookField": "MessageTemplates.LastApprovalAt"
   },
   {
    "CellDisagreementId": "effortless-xlsx|MessageTemplates.LastApprovalAt|tmpl-policy-sms",
    "FieldDisagreement": "effortless-xlsx|MessageTemplates.LastApprovalAt",
    "RecordId": "tmpl-policy-sms",
    "ExpectedValue": "\"2026-07-19T10:00:00-05:00\"",
    "ActualValue": "\"2026-07-19 15:00:00\"",
    "Reason": "wrong/null value",
    "SemanticTypeIri": "urn:effortless:pko-extension#CellDisagreement",
    "Name": "effortless-xlsx|MessageTemplates.LastApprovalAt @ tmpl-policy-sms",
    "Substrate": "effortless-xlsx",
    "RulebookField": "MessageTemplates.LastApprovalAt"
   },
   {
    "CellDisagreementId": "effortless-xlsx|RoleQuestions.PredicateCount|q-auditor-substrate-agreement",
    "FieldDisagreement": "effortless-xlsx|RoleQuestions.PredicateCount",
    "RecordId": "q-auditor-substrate-agreement",
    "ExpectedValue": "47",
    "ActualValue": "0",
    "Reason": "wrong/null value",
    "SemanticTypeIri": "urn:effortless:pko-extension#CellDisagreement",
    "Name": "effortless-xlsx|RoleQuestions.PredicateCount @ q-auditor-substrate-agreement",
    "Substrate": "effortless-xlsx",
    "RulebookField": "RoleQuestions.PredicateCount"
   },
   {
    "CellDisagreementId": "effortless-xlsx|RoleQuestions.PredicateCount|q-authority-controlled-vocabulary",
    "FieldDisagreement": "effortless-xlsx|RoleQuestions.PredicateCount",
    "RecordId": "q-authority-controlled-vocabulary",
    "ExpectedValue": "22",
    "ActualValue": "2",
    "Reason": "wrong/null value",
    "SemanticTypeIri": "urn:effortless:pko-extension#CellDisagreement",
    "Name": "effortless-xlsx|RoleQuestions.PredicateCount @ q-authority-controlled-vocabulary",
    "Substrate": "effortless-xlsx",
    "RulebookField": "RoleQuestions.PredicateCount"
   },
   {
    "CellDisagreementId": "effortless-xlsx|RoleQuestions.PredicateCount|q-authority-knowledge-broker",
    "FieldDisagreement": "effortless-xlsx|RoleQuestions.PredicateCount",
    "RecordId": "q-authority-knowledge-broker",
    "ExpectedValue": "20",
    "ActualValue": "4",
    "Reason": "wrong/null value",
    "SemanticTypeIri": "urn:effortless:pko-extension#CellDisagreement",
    "Name": "effortless-xlsx|RoleQuestions.PredicateCount @ q-authority-knowledge-broker",
    "Substrate": "effortless-xlsx",
    "RulebookField": "RoleQuestions.PredicateCount"
   },
   {
    "CellDisagreementId": "effortless-xlsx|RoleQuestions.PredicateCount|q-cfo-approval-was-actually-verified",
    "FieldDisagreement": "effortless-xlsx|RoleQuestions.PredicateCount",
    "RecordId": "q-cfo-approval-was-actually-verified",
    "ExpectedValue": "7",
    "ActualValue": "3",
    "Reason": "wrong/null value",
    "SemanticTypeIri": "urn:effortless:pko-extension#CellDisagreement",
    "Name": "effortless-xlsx|RoleQuestions.PredicateCount @ q-cfo-approval-was-actually-verified",
    "Substrate": "effortless-xlsx",
    "RulebookField": "RoleQuestions.PredicateCount"
   },
   {
    "CellDisagreementId": "effortless-xlsx|RoleQuestions.PredicateCount|q-cfo-who-actually-held-authority",
    "FieldDisagreement": "effortless-xlsx|RoleQuestions.PredicateCount",
    "RecordId": "q-cfo-who-actually-held-authority",
    "ExpectedValue": "8",
    "ActualValue": "2",
    "Reason": "wrong/null value",
    "SemanticTypeIri": "urn:effortless:pko-extension#CellDisagreement",
    "Name": "effortless-xlsx|RoleQuestions.PredicateCount @ q-cfo-who-actually-held-authority",
    "Substrate": "effortless-xlsx",
    "RulebookField": "RoleQuestions.PredicateCount"
   },
   {
    "CellDisagreementId": "effortless-xlsx|RoleQuestions.PredicateCount|q-close-auto-human-override-drift",
    "FieldDisagreement": "effortless-xlsx|RoleQuestions.PredicateCount",
    "RecordId": "q-close-auto-human-override-drift",
    "ExpectedValue": "8",
    "ActualValue": "4",
    "Reason": "wrong/null value",
    "SemanticTypeIri": "urn:effortless:pko-extension#CellDisagreement",
    "Name": "effortless-xlsx|RoleQuestions.PredicateCount @ q-close-auto-human-override-drift",
    "Substrate": "effortless-xlsx",
    "RulebookField": "RoleQuestions.PredicateCount"
   },
   {
    "CellDisagreementId": "effortless-xlsx|RoleQuestions.PredicateCount|q-comms-approval-authority",
    "FieldDisagreement": "effortless-xlsx|RoleQuestions.PredicateCount",
    "RecordId": "q-comms-approval-authority",
    "ExpectedValue": "10",
    "ActualValue": "0",
    "Reason": "wrong/null value",
    "SemanticTypeIri": "urn:effortless:pko-extension#CellDisagreement",
    "Name": "effortless-xlsx|RoleQuestions.PredicateCount @ q-comms-approval-authority",
    "Substrate": "effortless-xlsx",
    "RulebookField": "RoleQuestions.PredicateCount"
   },
   {
    "CellDisagreementId": "effortless-xlsx|RoleQuestions.PredicateCount|q-comms-deliverability",
    "FieldDisagreement": "effortless-xlsx|RoleQuestions.PredicateCount",
    "RecordId": "q-comms-deliverability",
    "ExpectedValue": "10",
    "ActualValue": "4",
    "Reason": "wrong/null value",
    "SemanticTypeIri": "urn:effortless:pko-extension#CellDisagreement",
    "Name": "effortless-xlsx|RoleQuestions.PredicateCount @ q-comms-deliverability",
    "Substrate": "effortless-xlsx",
    "RulebookField": "RoleQuestions.PredicateCount"
   },
   {
    "CellDisagreementId": "effortless-xlsx|RoleQuestions.PredicateCount|q-comms-optout-present",
    "FieldDisagreement": "effortless-xlsx|RoleQuestions.PredicateCount",
    "RecordId": "q-comms-optout-present",
    "ExpectedValue": "8",
    "ActualValue": "0",
    "Reason": "wrong/null value",
    "SemanticTypeIri": "urn:effortless:pko-extension#CellDisagreement",
    "Name": "effortless-xlsx|RoleQuestions.PredicateCount @ q-comms-optout-present",
    "Substrate": "effortless-xlsx",
    "RulebookField": "RoleQuestions.PredicateCount"
   },
   {
    "CellDisagreementId": "effortless-xlsx|RoleQuestions.PredicateCount|q-comms-oversized-sms",
    "FieldDisagreement": "effortless-xlsx|RoleQuestions.PredicateCount",
    "RecordId": "q-comms-oversized-sms",
    "ExpectedValue": "9",
    "ActualValue": "0",
    "Reason": "wrong/null value",
    "SemanticTypeIri": "urn:effortless:pko-extension#CellDisagreement",
    "Name": "effortless-xlsx|RoleQuestions.PredicateCount @ q-comms-oversized-sms",
    "Substrate": "effortless-xlsx",
    "RulebookField": "RoleQuestions.PredicateCount"
   },
   {
    "CellDisagreementId": "effortless-xlsx|RoleQuestions.PredicateCount|q-comms-template-drift",
    "FieldDisagreement": "effortless-xlsx|RoleQuestions.PredicateCount",
    "RecordId": "q-comms-template-drift",
    "ExpectedValue": "9",
    "ActualValue": "0",
    "Reason": "wrong/null value",
    "SemanticTypeIri": "urn:effortless:pko-extension#CellDisagreement",
    "Name": "effortless-xlsx|RoleQuestions.PredicateCount @ q-comms-template-drift",
    "Substrate": "effortless-xlsx",
    "RulebookField": "RoleQuestions.PredicateCount"
   },
   {
    "CellDisagreementId": "effortless-xlsx|RoleQuestions.PredicateCount|q-counsel-legal-review-gated-send",
    "FieldDisagreement": "effortless-xlsx|RoleQuestions.PredicateCount",
    "RecordId": "q-counsel-legal-review-gated-send",
    "ExpectedValue": "8",
    "ActualValue": "5",
    "Reason": "wrong/null value",
    "SemanticTypeIri": "urn:effortless:pko-extension#CellDisagreement",
    "Name": "effortless-xlsx|RoleQuestions.PredicateCount @ q-counsel-legal-review-gated-send",
    "Substrate": "effortless-xlsx",
    "RulebookField": "RoleQuestions.PredicateCount"
   },
   {
    "CellDisagreementId": "effortless-xlsx|RoleQuestions.PredicateCount|q-counsel-quiet-hours-breach",
    "FieldDisagreement": "effortless-xlsx|RoleQuestions.PredicateCount",
    "RecordId": "q-counsel-quiet-hours-breach",
    "ExpectedValue": "10",
    "ActualValue": "0",
    "Reason": "wrong/null value",
    "SemanticTypeIri": "urn:effortless:pko-extension#CellDisagreement",
    "Name": "effortless-xlsx|RoleQuestions.PredicateCount @ q-counsel-quiet-hours-breach",
    "Substrate": "effortless-xlsx",
    "RulebookField": "RoleQuestions.PredicateCount"
   },
   {
    "CellDisagreementId": "effortless-xlsx|RoleQuestions.PredicateCount|q-counsel-retention-evidence",
    "FieldDisagreement": "effortless-xlsx|RoleQuestions.PredicateCount",
    "RecordId": "q-counsel-retention-evidence",
    "ExpectedValue": "8",
    "ActualValue": "1",
    "Reason": "wrong/null value",
    "SemanticTypeIri": "urn:effortless:pko-extension#CellDisagreement",
    "Name": "effortless-xlsx|RoleQuestions.PredicateCount @ q-counsel-retention-evidence",
    "Substrate": "effortless-xlsx",
    "RulebookField": "RoleQuestions.PredicateCount"
   },
   {
    "CellDisagreementId": "effortless-xlsx|RoleQuestions.PredicateCount|q-counsel-sms-without-consent",
    "FieldDisagreement": "effortless-xlsx|RoleQuestions.PredicateCount",
    "RecordId": "q-counsel-sms-without-consent",
    "ExpectedValue": "8",
    "ActualValue": "0",
    "Reason": "wrong/null value",
    "SemanticTypeIri": "urn:effortless:pko-extension#CellDisagreement",
    "Name": "effortless-xlsx|RoleQuestions.PredicateCount @ q-counsel-sms-without-consent",
    "Substrate": "effortless-xlsx",
    "RulebookField": "RoleQuestions.PredicateCount"
   },
   {
    "CellDisagreementId": "effortless-xlsx|RoleQuestions.PredicateCount|q-counsel-unreachable-not-acknowledged",
    "FieldDisagreement": "effortless-xlsx|RoleQuestions.PredicateCount",
    "RecordId": "q-counsel-unreachable-not-acknowledged",
    "ExpectedValue": "8",
    "ActualValue": "1",
    "Reason": "wrong/null value",
    "SemanticTypeIri": "urn:effortless:pko-extension#CellDisagreement",
    "Name": "effortless-xlsx|RoleQuestions.PredicateCount @ q-counsel-unreachable-not-acknowledged",
    "Substrate": "effortless-xlsx",
    "RulebookField": "RoleQuestions.PredicateCount"
   },
   {
    "CellDisagreementId": "effortless-xlsx|RoleQuestions.PredicateCount|q-policy-ai-commitment-boundary",
    "FieldDisagreement": "effortless-xlsx|RoleQuestions.PredicateCount",
    "RecordId": "q-policy-ai-commitment-boundary",
    "ExpectedValue": "5",
    "ActualValue": "2",
    "Reason": "wrong/null value",
    "SemanticTypeIri": "urn:effortless:pko-extension#CellDisagreement",
    "Name": "effortless-xlsx|RoleQuestions.PredicateCount @ q-policy-ai-commitment-boundary",
    "Substrate": "effortless-xlsx",
    "RulebookField": "RoleQuestions.PredicateCount"
   },
   {
    "CellDisagreementId": "effortless-xlsx|RoleQuestions.PredicateCount|q-policy-ai-downstream-rewrite",
    "FieldDisagreement": "effortless-xlsx|RoleQuestions.PredicateCount",
    "RecordId": "q-policy-ai-downstream-rewrite",
    "ExpectedValue": "7",
    "ActualValue": "3",
    "Reason": "wrong/null value",
    "SemanticTypeIri": "urn:effortless:pko-extension#CellDisagreement",
    "Name": "effortless-xlsx|RoleQuestions.PredicateCount @ q-policy-ai-downstream-rewrite",
    "Substrate": "effortless-xlsx",
    "RulebookField": "RoleQuestions.PredicateCount"
   },
   {
    "CellDisagreementId": "effortless-xlsx|RoleQuestions.PredicateCount|q-policy-ai-source-approval",
    "FieldDisagreement": "effortless-xlsx|RoleQuestions.PredicateCount",
    "RecordId": "q-policy-ai-source-approval",
    "ExpectedValue": "9",
    "ActualValue": "8",
    "Reason": "wrong/null value",
    "SemanticTypeIri": "urn:effortless:pko-extension#CellDisagreement",
    "Name": "effortless-xlsx|RoleQuestions.PredicateCount @ q-policy-ai-source-approval",
    "Substrate": "effortless-xlsx",
    "RulebookField": "RoleQuestions.PredicateCount"
   },
   {
    "CellDisagreementId": "effortless-xlsx|RoleQuestions.PredicateCount|q-publisher-am-i-authorized-to-act",
    "FieldDisagreement": "effortless-xlsx|RoleQuestions.PredicateCount",
    "RecordId": "q-publisher-am-i-authorized-to-act",
    "ExpectedValue": "8",
    "ActualValue": "0",
    "Reason": "wrong/null value",
    "SemanticTypeIri": "urn:effortless:pko-extension#CellDisagreement",
    "Name": "effortless-xlsx|RoleQuestions.PredicateCount @ q-publisher-am-i-authorized-to-act",
    "Substrate": "effortless-xlsx",
    "RulebookField": "RoleQuestions.PredicateCount"
   },
   {
    "CellDisagreementId": "effortless-xlsx|RoleQuestions.IsAnswered|q-auditor-substrate-agreement",
    "FieldDisagreement": "effortless-xlsx|RoleQuestions.IsAnswered",
    "RecordId": "q-auditor-substrate-agreement",
    "ExpectedValue": "true",
    "ActualValue": "false",
    "Reason": "wrong/null value",
    "SemanticTypeIri": "urn:effortless:pko-extension#CellDisagreement",
    "Name": "effortless-xlsx|RoleQuestions.IsAnswered @ q-auditor-substrate-agreement",
    "Substrate": "effortless-xlsx",
    "RulebookField": "RoleQuestions.IsAnswered"
   },
   {
    "CellDisagreementId": "effortless-xlsx|RoleQuestions.IsAnswered|q-comms-approval-authority",
    "FieldDisagreement": "effortless-xlsx|RoleQuestions.IsAnswered",
    "RecordId": "q-comms-approval-authority",
    "ExpectedValue": "true",
    "ActualValue": "false",
    "Reason": "wrong/null value",
    "SemanticTypeIri": "urn:effortless:pko-extension#CellDisagreement",
    "Name": "effortless-xlsx|RoleQuestions.IsAnswered @ q-comms-approval-authority",
    "Substrate": "effortless-xlsx",
    "RulebookField": "RoleQuestions.IsAnswered"
   },
   {
    "CellDisagreementId": "effortless-xlsx|RoleQuestions.IsAnswered|q-comms-optout-present",
    "FieldDisagreement": "effortless-xlsx|RoleQuestions.IsAnswered",
    "RecordId": "q-comms-optout-present",
    "ExpectedValue": "true",
    "ActualValue": "false",
    "Reason": "wrong/null value",
    "SemanticTypeIri": "urn:effortless:pko-extension#CellDisagreement",
    "Name": "effortless-xlsx|RoleQuestions.IsAnswered @ q-comms-optout-present",
    "Substrate": "effortless-xlsx",
    "RulebookField": "RoleQuestions.IsAnswered"
   },
   {
    "CellDisagreementId": "effortless-xlsx|RoleQuestions.IsAnswered|q-comms-oversized-sms",
    "FieldDisagreement": "effortless-xlsx|RoleQuestions.IsAnswered",
    "RecordId": "q-comms-oversized-sms",
    "ExpectedValue": "true",
    "ActualValue": "false",
    "Reason": "wrong/null value",
    "SemanticTypeIri": "urn:effortless:pko-extension#CellDisagreement",
    "Name": "effortless-xlsx|RoleQuestions.IsAnswered @ q-comms-oversized-sms",
    "Substrate": "effortless-xlsx",
    "RulebookField": "RoleQuestions.IsAnswered"
   },
   {
    "CellDisagreementId": "effortless-xlsx|RoleQuestions.IsAnswered|q-comms-template-drift",
    "FieldDisagreement": "effortless-xlsx|RoleQuestions.IsAnswered",
    "RecordId": "q-comms-template-drift",
    "ExpectedValue": "true",
    "ActualValue": "false",
    "Reason": "wrong/null value",
    "SemanticTypeIri": "urn:effortless:pko-extension#CellDisagreement",
    "Name": "effortless-xlsx|RoleQuestions.IsAnswered @ q-comms-template-drift",
    "Substrate": "effortless-xlsx",
    "RulebookField": "RoleQuestions.IsAnswered"
   },
   {
    "CellDisagreementId": "effortless-xlsx|RoleQuestions.IsAnswered|q-counsel-quiet-hours-breach",
    "FieldDisagreement": "effortless-xlsx|RoleQuestions.IsAnswered",
    "RecordId": "q-counsel-quiet-hours-breach",
    "ExpectedValue": "true",
    "ActualValue": "false",
    "Reason": "wrong/null value",
    "SemanticTypeIri": "urn:effortless:pko-extension#CellDisagreement",
    "Name": "effortless-xlsx|RoleQuestions.IsAnswered @ q-counsel-quiet-hours-breach",
    "Substrate": "effortless-xlsx",
    "RulebookField": "RoleQuestions.IsAnswered"
   },
   {
    "CellDisagreementId": "effortless-xlsx|RoleQuestions.IsAnswered|q-counsel-sms-without-consent",
    "FieldDisagreement": "effortless-xlsx|RoleQuestions.IsAnswered",
    "RecordId": "q-counsel-sms-without-consent",
    "ExpectedValue": "true",
    "ActualValue": "false",
    "Reason": "wrong/null value",
    "SemanticTypeIri": "urn:effortless:pko-extension#CellDisagreement",
    "Name": "effortless-xlsx|RoleQuestions.IsAnswered @ q-counsel-sms-without-consent",
    "Substrate": "effortless-xlsx",
    "RulebookField": "RoleQuestions.IsAnswered"
   },
   {
    "CellDisagreementId": "effortless-xlsx|RoleQuestions.IsAnswered|q-publisher-am-i-authorized-to-act",
    "FieldDisagreement": "effortless-xlsx|RoleQuestions.IsAnswered",
    "RecordId": "q-publisher-am-i-authorized-to-act",
    "ExpectedValue": "true",
    "ActualValue": "false",
    "Reason": "wrong/null value",
    "SemanticTypeIri": "urn:effortless:pko-extension#CellDisagreement",
    "Name": "effortless-xlsx|RoleQuestions.IsAnswered @ q-publisher-am-i-authorized-to-act",
    "Substrate": "effortless-xlsx",
    "RulebookField": "RoleQuestions.IsAnswered"
   },
   {
    "CellDisagreementId": "effortless-xlsx|RoleQuestions.IsAnswered|q-publisher-is-this-content-permitted",
    "FieldDisagreement": "effortless-xlsx|RoleQuestions.IsAnswered",
    "RecordId": "q-publisher-is-this-content-permitted",
    "ExpectedValue": "true",
    "ActualValue": "false",
    "Reason": "wrong/null value",
    "SemanticTypeIri": "urn:effortless:pko-extension#CellDisagreement",
    "Name": "effortless-xlsx|RoleQuestions.IsAnswered @ q-publisher-is-this-content-permitted",
    "Substrate": "effortless-xlsx",
    "RulebookField": "RoleQuestions.IsAnswered"
   },
   {
    "CellDisagreementId": "effortless-xlsx|RoleQuestions.IsAnswered|q-publisher-may-i-transmit",
    "FieldDisagreement": "effortless-xlsx|RoleQuestions.IsAnswered",
    "RecordId": "q-publisher-may-i-transmit",
    "ExpectedValue": "true",
    "ActualValue": "false",
    "Reason": "wrong/null value",
    "SemanticTypeIri": "urn:effortless:pko-extension#CellDisagreement",
    "Name": "effortless-xlsx|RoleQuestions.IsAnswered @ q-publisher-may-i-transmit",
    "Substrate": "effortless-xlsx",
    "RulebookField": "RoleQuestions.IsAnswered"
   },
   {
    "CellDisagreementId": "effortless-xlsx|RoleQuestions.IsAnswered|q-publisher-may-i-transmit-now",
    "FieldDisagreement": "effortless-xlsx|RoleQuestions.IsAnswered",
    "RecordId": "q-publisher-may-i-transmit-now",
    "ExpectedValue": "true",
    "ActualValue": "false",
    "Reason": "wrong/null value",
    "SemanticTypeIri": "urn:effortless:pko-extension#CellDisagreement",
    "Name": "effortless-xlsx|RoleQuestions.IsAnswered @ q-publisher-may-i-transmit-now",
    "Substrate": "effortless-xlsx",
    "RulebookField": "RoleQuestions.IsAnswered"
   },
   {
    "CellDisagreementId": "effortless-xlsx|RoleQuestions.IsAnswered|q2-cfo-would-it-survive-restatement",
    "FieldDisagreement": "effortless-xlsx|RoleQuestions.IsAnswered",
    "RecordId": "q2-cfo-would-it-survive-restatement",
    "ExpectedValue": "true",
    "ActualValue": "false",
    "Reason": "wrong/null value",
    "SemanticTypeIri": "urn:effortless:pko-extension#CellDisagreement",
    "Name": "effortless-xlsx|RoleQuestions.IsAnswered @ q2-cfo-would-it-survive-restatement",
    "Substrate": "effortless-xlsx",
    "RulebookField": "RoleQuestions.IsAnswered"
   },
   {
    "CellDisagreementId": "effortless-xlsx|RoleQuestions.IsAnswered|q2-comms-freeze-what-i-approved",
    "FieldDisagreement": "effortless-xlsx|RoleQuestions.IsAnswered",
    "RecordId": "q2-comms-freeze-what-i-approved",
    "ExpectedValue": "true",
    "ActualValue": "false",
    "Reason": "wrong/null value",
    "SemanticTypeIri": "urn:effortless:pko-extension#CellDisagreement",
    "Name": "effortless-xlsx|RoleQuestions.IsAnswered @ q2-comms-freeze-what-i-approved",
    "Substrate": "effortless-xlsx",
    "RulebookField": "RoleQuestions.IsAnswered"
   },
   {
    "CellDisagreementId": "effortless-xlsx|RoleQuestions.IsAnswered|q2-comms-message-nobody-answered",
    "FieldDisagreement": "effortless-xlsx|RoleQuestions.IsAnswered",
    "RecordId": "q2-comms-message-nobody-answered",
    "ExpectedValue": "true",
    "ActualValue": "false",
    "Reason": "wrong/null value",
    "SemanticTypeIri": "urn:effortless:pko-extension#CellDisagreement",
    "Name": "effortless-xlsx|RoleQuestions.IsAnswered @ q2-comms-message-nobody-answered",
    "Substrate": "effortless-xlsx",
    "RulebookField</t>
  </si>
  <si>
    <t xml:space="preserve">": "RoleQuestions.IsAnswered"
   },
   {
    "CellDisagreementId": "effortless-xlsx|RoleQuestions.IsAnswered|q2-comms-my-approval-was-consumed-correctly",
    "FieldDisagreement": "effortless-xlsx|RoleQuestions.IsAnswered",
    "RecordId": "q2-comms-my-approval-was-consumed-correctly",
    "ExpectedValue": "true",
    "ActualValue": "false",
    "Reason": "wrong/null value",
    "SemanticTypeIri": "urn:effortless:pko-extension#CellDisagreement",
    "Name": "effortless-xlsx|RoleQuestions.IsAnswered @ q2-comms-my-approval-was-consumed-correctly",
    "Substrate": "effortless-xlsx",
    "RulebookField": "RoleQuestions.IsAnswered"
   },
   {
    "CellDisagreementId": "effortless-xlsx|RoleQuestions.IsAnswered|q2-comms-suppression-is-a-communication",
    "FieldDisagreement": "effortless-xlsx|RoleQuestions.IsAnswered",
    "RecordId": "q2-comms-suppression-is-a-communication",
    "ExpectedValue": "true",
    "ActualValue": "false",
    "Reason": "wrong/null value",
    "SemanticTypeIri": "urn:effortless:pko-extension#CellDisagreement",
    "Name": "effortless-xlsx|RoleQuestions.IsAnswered @ q2-comms-suppression-is-a-communication",
    "Substrate": "effortless-xlsx",
    "RulebookField": "RoleQuestions.IsAnswered"
   },
   {
    "CellDisagreementId": "effortless-xlsx|RoleQuestions.IsAnswered|q2-publisher-deferred-not-cancelled",
    "FieldDisagreement": "effortless-xlsx|RoleQuestions.IsAnswered",
    "RecordId": "q2-publisher-deferred-not-cancelled",
    "ExpectedValue": "true",
    "ActualValue": "false",
    "Reason": "wrong/null value",
    "SemanticTypeIri": "urn:effortless:pko-extension#CellDisagreement",
    "Name": "effortless-xlsx|RoleQuestions.IsAnswered @ q2-publisher-deferred-not-cancelled",
    "Substrate": "effortless-xlsx",
    "RulebookField": "RoleQuestions.IsAnswered"
   },
   {
    "CellDisagreementId": "effortless-xlsx|RoleQuestions.IsAnswered|q2-publisher-obligation-after-send",
    "FieldDisagreement": "effortless-xlsx|RoleQuestions.IsAnswered",
    "RecordId": "q2-publisher-obligation-after-send",
    "ExpectedValue": "true",
    "ActualValue": "false",
    "Reason": "wrong/null value",
    "SemanticTypeIri": "urn:effortless:pko-extension#CellDisagreement",
    "Name": "effortless-xlsx|RoleQuestions.IsAnswered @ q2-publisher-obligation-after-send",
    "Substrate": "effortless-xlsx",
    "RulebookField": "RoleQuestions.IsAnswered"
   },
   {
    "CellDisagreementId": "effortless-xlsx|TestSuites.TestCount|suite-integrity",
    "FieldDisagreement": "effortless-xlsx|TestSuites.TestCount",
    "RecordId": "suite-integrity",
    "ExpectedValue": "160",
    "ActualValue": "0",
    "Reason": "wrong/null value",
    "SemanticTypeIri": "urn:effortless:pko-extension#CellDisagreement",
    "Name": "effortless-xlsx|TestSuites.TestCount @ suite-integrity",
    "Substrate": "effortless-xlsx",
    "RulebookField": "TestSuites.TestCount"
   },
   {
    "CellDisagreementId": "effortless-xlsx|TestSuites.TestCount|suite-invariant",
    "FieldDisagreement": "effortless-xlsx|TestSuites.TestCount",
    "RecordId": "suite-invariant",
    "ExpectedValue": "7",
    "ActualValue": "0",
    "Reason": "wrong/null value",
    "SemanticTypeIri": "urn:effortless:pko-extension#CellDisagreement",
    "Name": "effortless-xlsx|TestSuites.TestCount @ suite-invariant",
    "Substrate": "effortless-xlsx",
    "RulebookField": "TestSuites.TestCount"
   },
   {
    "CellDisagreementId": "effortless-xlsx|TestSuites.TestCount|suite-provenance",
    "FieldDisagreement": "effortless-xlsx|TestSuites.TestCount",
    "RecordId": "suite-provenance",
    "ExpectedValue": "107",
    "ActualValue": "0",
    "Reason": "wrong/null value",
    "SemanticTypeIri": "urn:effortless:pko-extension#CellDisagreement",
    "Name": "effortless-xlsx|TestSuites.TestCount @ suite-provenance",
    "Substrate": "effortless-xlsx",
    "RulebookField": "TestSuites.TestCount"
   },
   {
    "CellDisagreementId": "effortless-xlsx|TestSuites.TestCount|suite-substrate",
    "FieldDisagreement": "effortless-xlsx|TestSuites.TestCount",
    "RecordId": "suite-substrate",
    "ExpectedValue": "993",
    "ActualValue": "929",
    "Reason": "wrong/null value",
    "SemanticTypeIri": "urn:effortless:pko-extension#CellDisagreement",
    "Name": "effortless-xlsx|TestSuites.TestCount @ suite-substrate",
    "Substrate": "effortless-xlsx",
    "RulebookField": "TestSuites.TestCount"
   },
   {
    "CellDisagreementId": "effortless-xlsx|TestSuites.TestCount|suite-witness",
    "FieldDisagreement": "effortless-xlsx|TestSuites.TestCount",
    "RecordId": "suite-witness",
    "ExpectedValue": "458",
    "ActualValue": "0",
    "Reason": "wrong/null value",
    "SemanticTypeIri": "urn:effortless:pko-extension#CellDisagreement",
    "Name": "effortless-xlsx|TestSuites.TestCount @ suite-witness",
    "Substrate": "effortless-xlsx",
    "RulebookField": "TestSuites.TestCount"
   },
   {
    "CellDisagreementId": "effortless-xlsx|TestSuites.PassCount|suite-integrity",
    "FieldDisagreement": "effortless-xlsx|TestSuites.PassCount",
    "RecordId": "suite-integrity",
    "ExpectedValue": "160",
    "ActualValue": "0",
    "Reason": "wrong/null value",
    "SemanticTypeIri": "urn:effortless:pko-extension#CellDisagreement",
    "Name": "effortless-xlsx|TestSuites.PassCount @ suite-integrity",
    "Substrate": "effortless-xlsx",
    "RulebookField": "TestSuites.PassCount"
   },
   {
    "CellDisagreementId": "effortless-xlsx|TestSuites.PassCount|suite-invariant",
    "FieldDisagreement": "effortless-xlsx|TestSuites.PassCount",
    "RecordId": "suite-invariant",
    "ExpectedValue": "7",
    "ActualValue": "0",
    "Reason": "wrong/null value",
    "SemanticTypeIri": "urn:effortless:pko-extension#CellDisagreement",
    "Name": "effortless-xlsx|TestSuites.PassCount @ suite-invariant",
    "Substrate": "effortless-xlsx",
    "RulebookField": "TestSuites.PassCount"
   },
   {
    "CellDisagreementId": "effortless-xlsx|TestSuites.PassCount|suite-provenance",
    "FieldDisagreement": "effortless-xlsx|TestSuites.PassCount",
    "RecordId": "suite-provenance",
    "ExpectedValue": "107",
    "ActualValue": "0",
    "Reason": "wrong/null value",
    "SemanticTypeIri": "urn:effortless:pko-extension#CellDisagreement",
    "Name": "effortless-xlsx|TestSuites.PassCount @ suite-provenance",
    "Substrate": "effortless-xlsx",
    "RulebookField": "TestSuites.PassCount"
   },
   {
    "CellDisagreementId": "effortless-xlsx|TestSuites.PassCount|suite-substrate",
    "FieldDisagreement": "effortless-xlsx|TestSuites.PassCount",
    "RecordId": "suite-substrate",
    "ExpectedValue": "991",
    "ActualValue": "929",
    "Reason": "wrong/null value",
    "SemanticTypeIri": "urn:effortless:pko-extension#CellDisagreement",
    "Name": "effortless-xlsx|TestSuites.PassCount @ suite-substrate",
    "Substrate": "effortless-xlsx",
    "RulebookField": "TestSuites.PassCount"
   },
   {
    "CellDisagreementId": "effortless-xlsx|TestSuites.PassCount|suite-witness",
    "FieldDisagreement": "effortless-xlsx|TestSuites.PassCount",
    "RecordId": "suite-witness",
    "ExpectedValue": "225",
    "ActualValue": "0",
    "Reason": "wrong/null value",
    "SemanticTypeIri": "urn:effortless:pko-extension#CellDisagreement",
    "Name": "effortless-xlsx|TestSuites.PassCount @ suite-witness",
    "Substrate": "effortless-xlsx",
    "RulebookField": "TestSuites.PassCount"
   },
   {
    "CellDisagreementId": "effortless-xlsx|ObservedTransitions.Name|obs-close-01-02-q2",
    "FieldDisagreement": "effortless-xlsx|ObservedTransitions.Name",
    "RecordId": "obs-close-01-02-q2",
    "ExpectedValue": "\"close-01-to-close-02 @ 2026-06-30T17:04:00-05:00\"",
    "ActualValue": "\"close-01-to-close-02 @ 2026-06-30 22:04:00+00\"",
    "Reason": "wrong/null value",
    "SemanticTypeIri": "urn:effortless:pko-extension#CellDisagreement",
    "Name": "effortless-xlsx|ObservedTransitions.Name @ obs-close-01-02-q2",
    "Substrate": "effortless-xlsx",
    "RulebookField": "ObservedTransitions.Name"
   },
   {
    "CellDisagreementId": "effortless-xlsx|ObservedTransitions.Name|obs-close-02-03-q2",
    "FieldDisagreement": "effortless-xlsx|ObservedTransitions.Name",
    "RecordId": "obs-close-02-03-q2",
    "ExpectedValue": "\"close-02-to-close-03 @ 2026-06-30T17:18:00-05:00\"",
    "ActualValue": "\"close-02-to-close-03 @ 2026-06-30 22:18:00+00\"",
    "Reason": "wrong/null value",
    "SemanticTypeIri": "urn:effortless:pko-extension#CellDisagreement",
    "Name": "effortless-xlsx|ObservedTransitions.Name @ obs-close-02-03-q2",
    "Substrate": "effortless-xlsx",
    "RulebookField": "ObservedTransitions.Name"
   },
   {
    "CellDisagreementId": "effortless-xlsx|ObservedTransitions.Name|obs-close-03-04-q2",
    "FieldDisagreement": "effortless-xlsx|ObservedTransitions.Name",
    "RecordId": "obs-close-03-04-q2",
    "ExpectedValue": "\"close-03-to-close-04 @ 2026-07-01T12:15:00-05:00\"",
    "ActualValue": "\"close-03-to-close-04 @ 2026-07-01 17:15:00+00\"",
    "Reason": "wrong/null value",
    "SemanticTypeIri": "urn:effortless:pko-extension#CellDisagreement",
    "Name": "effortless-xlsx|ObservedTransitions.Name @ obs-close-03-04-q2",
    "Substrate": "effortless-xlsx",
    "RulebookField": "ObservedTransitions.Name"
   },
   {
    "CellDisagreementId": "effortless-xlsx|ObservedTransitions.Name|obs-close-04-05-q2",
    "FieldDisagreement": "effortless-xlsx|ObservedTransitions.Name",
    "RecordId": "obs-close-04-05-q2",
    "ExpectedValue": "\"close-04-to-close-05 @ 2026-07-01T15:05:00-05:00\"",
    "ActualValue": "\"close-04-to-close-05 @ 2026-07-01 20:05:00+00\"",
    "Reason": "wrong/null value",
    "SemanticTypeIri": "urn:effortless:pko-extension#CellDisagreement",
    "Name": "effortless-xlsx|ObservedTransitions.Name @ obs-close-04-05-q2",
    "Substrate": "effortless-xlsx",
    "RulebookField": "ObservedTransitions.Name"
   },
   {
    "CellDisagreementId": "effortless-xlsx|ObservedTransitions.Name|obs-close-05-06-q2",
    "FieldDisagreement": "effortless-xlsx|ObservedTransitions.Name",
    "RecordId": "obs-close-05-06-q2",
    "ExpectedValue": "\"close-05-to-close-06 @ 2026-07-02T09:00:00-05:00\"",
    "ActualValue": "\"close-05-to-close-06 @ 2026-07-02 14:00:00+00\"",
    "Reason": "wrong/null value",
    "SemanticTypeIri": "urn:effortless:pko-extension#CellDisagreement",
    "Name": "effortless-xlsx|ObservedTransitions.Name @ obs-close-05-06-q2",
    "Substrate": "effortless-xlsx",
    "RulebookField": "ObservedTransitions.Name"
   },
   {
    "CellDisagreementId": "effortless-xlsx|ObservedTransitions.Name|obs-close-06-07-q2",
    "FieldDisagreement": "effortless-xlsx|ObservedTransitions.Name",
    "RecordId": "obs-close-06-07-q2",
    "ExpectedValue": "\"close-06-to-close-07 @ 2026-07-02T09:22:00-05:00\"",
    "ActualValue": "\"close-06-to-close-07 @ 2026-07-02 14:22:00+00\"",
    "Reason": "wrong/null value",
    "SemanticTypeIri": "urn:effortless:pko-extension#CellDisagreement",
    "Name": "effortless-xlsx|ObservedTransitions.Name @ obs-close-06-07-q2",
    "Substrate": "effortless-xlsx",
    "RulebookField": "ObservedTransitions.Name"
   },
   {
    "CellDisagreementId": "effortless-xlsx|ObservedTransitions.Name|obs-close-07-08-q2",
    "FieldDisagreement": "effortless-xlsx|ObservedTransitions.Name",
    "RecordId": "obs-close-07-08-q2",
    "ExpectedValue": "\"close-07-to-close-08 @ 2026-07-02T14:00:00-05:00\"",
    "ActualValue": "\"close-07-to-close-08 @ 2026-07-02 19:00:00+00\"",
    "Reason": "wrong/null value",
    "SemanticTypeIri": "urn:effortless:pko-extension#CellDisagreement",
    "Name": "effortless-xlsx|ObservedTransitions.Name @ obs-close-07-08-q2",
    "Substrate": "effortless-xlsx",
    "RulebookField": "ObservedTransitions.Name"
   },
   {
    "CellDisagreementId": "effortless-xlsx|ObservedTransitions.Name|obs-policy-01-02-hr4821",
    "FieldDisagreement": "effortless-xlsx|ObservedTransitions.Name",
    "RecordId": "obs-policy-01-02-hr4821",
    "ExpectedValue": "\"policy-01-to-policy-02 @ 2026-07-18T09:30:00-05:00\"",
    "ActualValue": "\"policy-01-to-policy-02 @ 2026-07-18 14:30:00+00\"",
    "Reason": "wrong/null value",
    "SemanticTypeIri": "urn:effortless:pko-extension#CellDisagreement",
    "Name": "effortless-xlsx|ObservedTransitions.Name @ obs-policy-01-02-hr4821",
    "Substrate": "effortless-xlsx",
    "RulebookField": "ObservedTransitions.Name"
   },
   {
    "CellDisagreementId": "effortless-xlsx|ObservedTransitions.Name|obs-policy-02-03-hr4821",
    "FieldDisagreement": "effortless-xlsx|ObservedTransitions.Name",
    "RecordId": "obs-policy-02-03-hr4821",
    "ExpectedValue": "\"policy-02-to-policy-03 @ 2026-07-18T13:00:00-05:00\"",
    "ActualValue": "\"policy-02-to-policy-03 @ 2026-07-18 18:00:00+00\"",
    "Reason": "wrong/null value",
    "SemanticTypeIri": "urn:effortless:pko-extension#CellDisagreement",
    "Name": "effortless-xlsx|ObservedTransitions.Name @ obs-policy-02-03-hr4821",
    "Substrate": "effortless-xlsx",
    "RulebookField": "ObservedTransitions.Name"
   },
   {
    "CellDisagreementId": "effortless-xlsx|ObservedTransitions.Name|obs-policy-03-04-hr4821",
    "FieldDisagreement": "effortless-xlsx|ObservedTransitions.Name",
    "RecordId": "obs-policy-03-04-hr4821",
    "ExpectedValue": "\"policy-03-to-policy-04 @ 2026-07-19T09:00:00-05:00\"",
    "ActualValue": "\"policy-03-to-policy-04 @ 2026-07-19 14:00:00+00\"",
    "Reason": "wrong/null value",
    "SemanticTypeIri": "urn:effortless:pko-extension#CellDisagreement",
    "Name": "effortless-xlsx|ObservedTransitions.Name @ obs-policy-03-04-hr4821",
    "Substrate": "effortless-xlsx",
    "RulebookField": "ObservedTransitions.Name"
   },
   {
    "CellDisagreementId": "effortless-xlsx|MessageDeliveries.Name|md-001",
    "FieldDisagreement": "effortless-xlsx|MessageDeliveries.Name",
    "RecordId": "md-001",
    "ExpectedValue": "\"rec-001 / tmpl-policy-email / 2026-07-18T14:05:00-05:00\"",
    "ActualValue": "\"rec-001 / tmpl-policy-email / 2026-07-18 19:05:00+00\"",
    "Reason": "wrong/null value",
    "SemanticTypeIri": "urn:effortless:pko-extension#CellDisagreement",
    "Name": "effortless-xlsx|MessageDeliveries.Name @ md-001",
    "Substrate": "effortless-xlsx",
    "RulebookField": "MessageDeliveries.Name"
   },
   {
    "CellDisagreementId": "effortless-xlsx|MessageDeliveries.Name|md-002",
    "FieldDisagreement": "effortless-xlsx|MessageDeliveries.Name",
    "RecordId": "md-002",
    "ExpectedValue": "\"rec-002 / tmpl-policy-email / 2026-07-18T14:05:00-05:00\"",
    "ActualValue": "\"rec-002 / tmpl-policy-email / 2026-07-18 19:05:00+00\"",
    "Reason": "wrong/null value",
    "SemanticTypeIri": "urn:effortless:pko-extension#CellDisagreement",
    "Name": "effortless-xlsx|MessageDeliveries.Name @ md-002",
    "Substrate": "effortless-xlsx",
    "RulebookField": "MessageDeliveries.Name"
   },
   {
    "CellDisagreementId": "effortless-xlsx|MessageDeliveries.Name|md-003",
    "FieldDisagreement": "effortless-xlsx|MessageDeliveries.Name",
    "RecordId": "md-003",
    "ExpectedValue": "\"rec-003 / tmpl-policy-sms / 2026-07-18T14:06:00-05:00\"",
    "ActualValue": "\"rec-003 / tmpl-policy-sms / 2026-07-18 19:06:00+00\"",
    "Reason": "wrong/null value",
    "SemanticTypeIri": "urn:effortless:pko-extension#CellDisagreement",
    "Name": "effortless-xlsx|MessageDeliveries.Name @ md-003",
    "Substrate": "effortless-xlsx",
    "RulebookField": "MessageDeliveries.Name"
   },
   {
    "CellDisagreementId": "effortless-xlsx|MessageDeliveries.Name|md-004",
    "FieldDisagreement": "effortless-xlsx|MessageDeliveries.Name",
    "RecordId": "md-004",
    "ExpectedValue": "\"rec-004 / tmpl-policy-sms / 2026-07-18T14:06:00-05:00\"",
    "ActualValue": "\"rec-004 / tmpl-policy-sms / 2026-07-18 19:06:00+00\"",
    "Reason": "wrong/null value",
    "SemanticTypeIri": "urn:effortless:pko-extension#CellDisagreement",
    "Name": "effortless-xlsx|MessageDeliveries.Name @ md-004",
    "Substrate": "effortless-xlsx",
    "RulebookField": "MessageDeliveries.Name"
   },
   {
    "CellDisagreementId": "effortless-xlsx|MessageDeliveries.Name|md-005",
    "FieldDisagreement": "effortless-xlsx|MessageDeliveries.Name",
    "RecordId": "md-005",
    "ExpectedValue": "\"rec-001 / tmpl-policy-sms / 2026-07-18T21:00:00-05:00\"",
    "ActualValue": "\"rec-001 / tmpl-policy-sms / 2026-07-19 02:00:00+00\"",
    "Reason": "wrong/null value",
    "SemanticTypeIri": "urn:effortless:pko-extension#CellDisagreement",
    "Name": "effortless-xlsx|MessageDeliveries.Name @ md-005",
    "Substrate": "effortless-xlsx",
    "RulebookField": "MessageDeliveries.Name"
   },
   {
    "CellDisagreementId": "effortless-xlsx|MessageDeliveries.Name|md-006",
    "FieldDisagreement": "effortless-xlsx|MessageDeliveries.Name",
    "RecordId": "md-006",
    "ExpectedValue": "\"rec-005 / tmpl-policy-sms / 2026-07-18T14:06:00-05:00\"",
    "ActualValue": "\"rec-005 / tmpl-policy-sms / 2026-07-18 19:06:00+00\"",
    "Reason": "wrong/null value",
    "SemanticTypeIri": "urn:effortless:pko-extension#CellDisagreement",
    "Name": "effortless-xlsx|MessageDeliveries.Name @ md-006",
    "Substrate": "effortless-xlsx",
    "RulebookField": "MessageDeliveries.Name"
   },
   {
    "CellDisagreementId": "effortless-xlsx|MessageDeliveries.AsOfInstant|md-001",
    "FieldDisagreement": "effortless-xlsx|MessageDeliveries.AsOfInstant",
    "RecordId": "md-001",
    "ExpectedValue": "\"2026-07-19T13:00:00-05:00\"",
    "ActualValue": "\"2026-07-19 18:00:00\"",
    "Reason": "wrong/null value",
    "SemanticTypeIri": "urn:effortless:pko-extension#CellDisagreement",
    "Name": "effortless-xlsx|MessageDeliveries.AsOfInstant @ md-001",
    "Substrate": "effortless-xlsx",
    "RulebookField": "MessageDeliveries.AsOfInstant"
   },
   {
    "CellDisagreementId": "effortless-xlsx|MessageDeliveries.AsOfInstant|md-002",
    "FieldDisagreement": "effortless-xlsx|MessageDeliveries.AsOfInstant",
    "RecordId": "md-002",
    "ExpectedValue": "\"2026-07-19T13:00:00-05:00\"",
    "ActualValue": "\"2026-07-19 18:00:00\"",
    "Reason": "wrong/null value",
    "SemanticTypeIri": "urn:effortless:pko-extension#CellDisagreement",
    "Name": "effortless-xlsx|MessageDeliveries.AsOfInstant @ md-002",
    "Substrate": "effortless-xlsx",
    "RulebookField": "MessageDeliveries.AsOfInstant"
   },
   {
    "CellDisagreementId": "effortless-xlsx|MessageDeliveries.AsOfInstant|md-003",
    "FieldDisagreement": "effortless-xlsx|MessageDeliveries.AsOfInstant",
    "RecordId": "md-003",
    "ExpectedValue": "\"2026-07-19T13:00:00-05:00\"",
    "ActualValue": "\"2026-07-19 18:00:00\"",
    "Reason": "wrong/null value",
    "SemanticTypeIri": "urn:effortless:pko-extension#CellDisagreement",
    "Name": "effortless-xlsx|MessageDeliveries.AsOfInstant @ md-003",
    "Substrate": "effortless-xlsx",
    "RulebookField": "MessageDeliveries.AsOfInstant"
   },
   {
    "CellDisagreementId": "effortless-xlsx|MessageDeliveries.AsOfInstant|md-004",
    "FieldDisagreement": "effortless-xlsx|MessageDeliveries.AsOfInstant",
    "RecordId": "md-004",
    "ExpectedValue": "\"2026-07-19T13:00:00-05:00\"",
    "ActualValue": "\"2026-07-19 18:00:00\"",
    "Reason": "wrong/null value",
    "SemanticTypeIri": "urn:effortless:pko-extension#CellDisagreement",
    "Name": "effortless-xlsx|MessageDeliveries.AsOfInstant @ md-004",
    "Substrate": "effortless-xlsx",
    "RulebookField": "MessageDeliveries.AsOfInstant"
   },
   {
    "CellDisagreementId": "effortless-xlsx|MessageDeliveries.AsOfInstant|md-005",
    "FieldDisagreement": "effortless-xlsx|MessageDeliveries.AsOfInstant",
    "RecordId": "md-005",
    "ExpectedValue": "\"2026-07-19T13:00:00-05:00\"",
    "ActualValue": "\"2026-07-19 18:00:00\"",
    "Reason": "wrong/null value",
    "SemanticTypeIri": "urn:effortless:pko-extension#CellDisagreement",
    "Name": "effortless-xlsx|MessageDeliveries.AsOfInstant @ md-005",
    "Substrate": "effortless-xlsx",
    "RulebookField": "MessageDeliveries.AsOfInstant"
   },
   {
    "CellDisagreementId": "effortless-xlsx|MessageDeliveries.AsOfInstant|md-006",
    "FieldDisagreement": "effortless-xlsx|MessageDeliveries.AsOfInstant",
    "RecordId": "md-006",
    "ExpectedValue": "\"2026-07-19T13:00:00-05:00\"",
    "ActualValue": "\"2026-07-19 18:00:00\"",
    "Reason": "wrong/null value",
    "SemanticTypeIri": "urn:effortless:pko-extension#CellDisagreement",
    "Name": "effortless-xlsx|MessageDeliveries.AsOfInstant @ md-006",
    "Substrate": "effortless-xlsx",
    "RulebookField": "MessageDeliveries.AsOfInstant"
   },
   {
    "CellDisagreementId": "effortless-xlsx|MessageDeliveries.AgeDays|md-001",
    "FieldDisagreement": "effortless-xlsx|MessageDeliveries.AgeDays",
    "RecordId": "md-001",
    "ExpectedValue": "0",
    "ActualValue": "1",
    "Reason": "wrong/null value",
    "SemanticTypeIri": "urn:effortless:pko-extension#CellDisagreement",
    "Name": "effortless-xlsx|MessageDeliveries.AgeDays @ md-001",
    "Substrate": "effortless-xlsx",
    "RulebookField": "MessageDeliveries.AgeDays"
   },
   {
    "CellDisagreementId": "effortless-xlsx|MessageDeliveries.AgeDays|md-002",
    "FieldDisagreement": "effortless-xlsx|MessageDeliveries.AgeDays",
    "RecordId": "md-002",
    "ExpectedValue": "0",
    "ActualValue": "1",
    "Reason": "wrong/null value",
    "SemanticTypeIri": "urn:effortless:pko-extension#CellDisagreement",
    "Name": "effortless-xlsx|MessageDeliveries.AgeDays @ md-002",
    "Substrate": "effortless-xlsx",
    "RulebookField": "MessageDeliveries.AgeDays"
   },
   {
    "CellDisagreementId": "effortless-xlsx|MessageDeliveries.AgeDays|md-003",
    "FieldDisagreement": "effortless-xlsx|MessageDeliveries.AgeDays",
    "RecordId": "md-003",
    "ExpectedValue": "0",
    "ActualValue": "1",
    "Reason": "wrong/null value",
    "SemanticTypeIri": "urn:effortless:pko-extension#CellDisagreement",
    "Name": "effortless-xlsx|MessageDeliveries.AgeDays @ md-003",
    "Substrate": "effortless-xlsx",
    "RulebookField": "MessageDeliveries.AgeDays"
   },
   {
    "CellDisagreementId": "effortless-xlsx|MessageDeliveries.AgeDays|md-004",
    "FieldDisagreement": "effortless-xlsx|MessageDeliveries.AgeDays",
    "RecordId": "md-004",
    "ExpectedValue": "0",
    "ActualValue": "1",
    "Reason": "wrong/null value",
    "SemanticTypeIri": "urn:effortless:pko-extension#CellDisagreement",
    "Name": "effortless-xlsx|MessageDeliveries.AgeDays @ md-004",
    "Substrate": "effortless-xlsx",
    "RulebookField": "MessageDeliveries.AgeDays"
   },
   {
    "CellDisagreementId": "effortless-xlsx|MessageDeliveries.AgeDays|md-006",
    "FieldDisagreement": "effortless-xlsx|MessageDeliveries.AgeDays",
    "RecordId": "md-006",
    "ExpectedValue": "0",
    "ActualValue": "1",
    "Reason": "wrong/null value",
    "SemanticTypeIri": "urn:effortless:pko-extension#CellDisagreement",
    "Name": "effortless-xlsx|MessageDeliveries.AgeDays @ md-006",
    "Substrate": "effortless-xlsx",
    "RulebookField": "MessageDeliveries.AgeDays"
   },
   {
    "CellDisagreementId": "effortless-xlsx|MessageDeliveries.SegmentCount|md-001",
    "FieldDisagreement": "effortless-xlsx|MessageDeliveries.SegmentCount",
    "RecordId": "md-001",
    "ExpectedValue": "null",
    "ActualValue": "1",
    "Reason": "wrong/null value",
    "SemanticTypeIri": "urn:effortless:pko-extension#CellDisagreement",
    "Name": "effortless-xlsx|MessageDeliveries.SegmentCount @ md-001",
    "Substrate": "effortless-xlsx",
    "RulebookField": "MessageDeliveries.SegmentCount"
   },
   {
    "CellDisagreementId": "effortless-xlsx|MessageDeliveries.SegmentCount|md-002",
    "FieldDisagreement": "effortless-xlsx|MessageDeliveries.SegmentCount",
    "RecordId": "md-002",
    "ExpectedValue": "null",
    "ActualValue": "1",
    "Reason": "wrong/null value",
    "SemanticTypeIri": "urn:effortless:pko-extension#CellDisagreement",
    "Name": "effortless-xlsx|MessageDeliveries.SegmentCount @ md-002",
    "Substrate": "effortless-xlsx",
    "RulebookField": "MessageDeliveries.SegmentCount"
   },
   {
    "CellDisagreementId": "effortless-xlsx|MessageDeliveries.SegmentCount|md-003",
    "FieldDisagreement": "effortless-xlsx|MessageDeliveries.SegmentCount",
    "RecordId": "md-003",
    "ExpectedValue": "null",
    "ActualValue": "1",
    "Reason": "wrong/null value",
    "SemanticTypeIri": "urn:effortless:pko-extension#CellDisagreement",
    "Name": "effortless-xlsx|MessageDeliveries.SegmentCount @ md-003",
    "Substrate": "effortless-xlsx",
    "RulebookField": "MessageDeliveries.SegmentCount"
   },
   {
    "CellDisagreementId": "effortless-xlsx|MessageDeliveries.SegmentCount|md-004",
    "FieldDisagreement": "effortless-xlsx|MessageDeliveries.SegmentCount",
    "RecordId": "md-004",
    "ExpectedValue": "null",
    "ActualValue": "1",
    "Reason": "wrong/null value",
    "SemanticTypeIri": "urn:effortless:pko-extension#CellDisagreement",
    "Name": "effortless-xlsx|MessageDeliveries.SegmentCount @ md-004",
    "Substrate": "effortless-xlsx",
    "RulebookField": "MessageDeliveries.SegmentCount"
   },
   {
    "CellDisagreementId": "effortless-xlsx|MessageDeliveries.SegmentCount|md-005",
    "FieldDisagreement": "effortless-xlsx|MessageDeliveries.SegmentCount",
    "RecordId": "md-005",
    "ExpectedValue": "null",
    "ActualValue": "1",
    "Reason": "wrong/null value",
    "SemanticTypeIri": "urn:effortless:pko-extension#CellDisagreement",
    "Name": "effortless-xlsx|MessageDeliveries.SegmentCount @ md-005",
    "Substrate": "effortless-xlsx",
    "RulebookField": "MessageDeliveries.SegmentCount"
   },
   {
    "CellDisagreementId": "effortless-xlsx|MessageDeliveries.SegmentCount|md-006",
    "FieldDisagreement": "effortless-xlsx|MessageDeliveries.SegmentCount",
    "RecordId": "md-006",
    "ExpectedValue": "null",
    "ActualValue": "1",
    "Reason": "wrong/null value",
    "SemanticTypeIri": "urn:effortless:pko-extension#CellDisagreement",
    "Name": "effortless-xlsx|MessageDeliveries.SegmentCount @ md-006",
    "Substrate": "effortless-xlsx",
    "RulebookField": "MessageDeliveries.SegmentCount"
   },
   {
    "CellDisagreementId": "effortless-xlsx|MessageDeliveries.PolicyRequiresOptOut|md-001",
    "FieldDisagreement": "effortless-xlsx|MessageDeliveries.PolicyRequiresOptOut",
    "RecordId": "md-001",
    "ExpectedValue": "false",
    "ActualValue": "true",
    "Reason": "wrong/null value",
    "SemanticTypeIri": "urn:effortless:pko-extension#CellDisagreement",
    "Name": "effortless-xlsx|MessageDeliveries.PolicyRequiresOptOut @ md-001",
    "Substrate": "effortless-xlsx",
    "RulebookField": "MessageDeliveries.PolicyRequiresOptOut"
   },
   {
    "CellDisagreementId": "effortless-xlsx|MessageDeliveries.PolicyRequiresOptOut|md-002",
    "FieldDisagreement": "effortless-xlsx|MessageDeliveries.PolicyRequiresOptOut",
    "RecordId": "md-002",
    "ExpectedValue": "false",
    "ActualValue": "true",
    "Reason": "wrong/null value",
    "SemanticTypeIri": "urn:effortless:pko-extension#CellDisagreement",
    "Name": "effortless-xlsx|MessageDeliveries.PolicyRequiresOptOut @ md-002",
    "Substrate": "effortless-xlsx",
    "RulebookField": "MessageDeliveries.PolicyRequiresOptOut"
   },
   {
    "CellDisagreementId": "effortless-xlsx|MessageDeliveries.OptOutPhrasePosition|md-001",
    "FieldDisagreement": "effortless-xlsx|MessageDeliveries.OptOutPhrasePosition",
    "RecordId": "md-001",
    "ExpectedValue": "null",
    "ActualValue": "\"#VALUE!\"",
    "Reason": "wrong/null value",
    "SemanticTypeIri": "urn:effortless:pko-extension#CellDisagreement",
    "Name": "effortless-xlsx|MessageDeliveries.OptOutPhrasePosition @ md-001",
    "Substrate": "effortless-xlsx",
    "RulebookField": "MessageDeliveries.OptOutPhrasePosition"
   },
   {
    "CellDisagreementId": "effortless-xlsx|MessageDeliveries.OptOutPhrasePosition|md-002",
    "FieldDisagreement": "effortless-xlsx|MessageDeliveries.OptOutPhrasePosition",
    "RecordId": "md-002",
    "ExpectedValue": "null",
    "ActualValue": "\"#VALUE!\"",
    "Reason": "wrong/null value",
    "SemanticTypeIri": "urn:effortless:pko-extension#CellDisagreement",
    "Name": "effortless-xlsx|MessageDeliveries.OptOutPhrasePosition @ md-002",
    "Substrate": "effortless-xlsx",
    "RulebookField": "MessageDeliveries.OptOutPhrasePosition"
   },
   {
    "CellDisagreementId": "effortless-xlsx|MessageDeliveries.OptOutPhrasePosition|md-003",
    "FieldDisagreement": "effortless-xlsx|MessageDeliveries.OptOutPhrasePosition",
    "RecordId": "md-003",
    "ExpectedValue": "true",
    "ActualValue": "86",
    "Reason": "wrong/null value",
    "SemanticTypeIri": "urn:effortless:pko-extension#CellDisagreement",
    "Name": "effortless-xlsx|MessageDeliveries.OptOutPhrasePosition @ md-003",
    "Substrate": "effortless-xlsx",
    "RulebookField": "MessageDeliveries.OptOutPhrasePosition"
   },
   {
    "CellDisagreementId": "effortless-xlsx|MessageDeliveries.OptOutPhrasePosition|md-004",
    "FieldDisagreement": "effortless-xlsx|MessageDeliveries.OptOutPhrasePosition",
    "RecordId": "md-004",
    "ExpectedValue": "true",
    "ActualValue": "86",
    "Reason": "wrong/null value",
    "SemanticTypeIri": "urn:effortless:pko-extension#CellDisagreement",
    "Name": "effortless-xlsx|MessageDeliveries.OptOutPhrasePosition @ md-004",
    "Substrate": "effortless-xlsx",
    "RulebookField": "MessageDeliveries.OptOutPhrasePosition"
   },
   {
    "CellDisagreementId": "effortless-xlsx|MessageDeliveries.OptOutPhrasePosition|md-005",
    "FieldDisagreement": "effortless-xlsx|MessageDeliveries.OptOutPhrasePosition",
    "RecordId": "md-005",
    "ExpectedValue": "0",
    "ActualValue": "\"#VALUE!\"",
    "Reason": "wrong/null value",
    "SemanticTypeIri": "urn:effortless:pko-extension#CellDisagreement",
    "Name": "effortless-xlsx|MessageDeliveries.OptOutPhrasePosition @ md-005",
    "Substrate": "effortless-xlsx",
    "RulebookField": "MessageDeliveries.OptOutPhrasePosition"
   },
   {
    "CellDisagreementId": "effortless-xlsx|MessageDeliveries.OptOutPhrasePosition|md-006",
    "FieldDisagreement": "effortless-xlsx|MessageDeliveries.OptOutPhrasePosition",
    "RecordId": "md-006",
    "ExpectedValue": "true",
    "ActualValue": "86",
    "Reason": "wrong/null value",
    "SemanticTypeIri": "urn:effortless:pko-extension#CellDisagreement",
    "Name": "effortless-xlsx|MessageDeliveries.OptOutPhrasePosition @ md-006",
    "Substrate": "effortless-xlsx",
    "RulebookField": "MessageDeliveries.OptOutPhrasePosition"
   },
   {
    "CellDisagreementId": "effortless-xlsx|MessageDeliveries.HasOptOutPhrase|md-001",
    "FieldDisagreement": "effortless-xlsx|MessageDeliveries.HasOptOutPhrase",
    "RecordId": "md-001",
    "ExpectedValue": "false",
    "ActualValue": "\"#VALUE!\"",
    "Reason": "wrong/null value",
    "SemanticTypeIri": "urn:effortless:pko-extension#CellDisagreement",
    "Name": "effortless-xlsx|MessageDeliveries.HasOptOutPhrase @ md-001",
    "Substrate": "effortless-xlsx",
    "RulebookField": "MessageDeliveries.HasOptOutPhrase"
   },
   {
    "CellDisagreementId": "effortless-xlsx|MessageDeliveries.HasOptOutPhrase|md-002",
    "FieldDisagreement": "effortless-xlsx|MessageDeliveries.HasOptOutPhrase",
    "RecordId": "md-002",
    "ExpectedValue": "false",
    "ActualValue": "\"#VALUE!\"",
    "Reason": "wrong/null value",
    "SemanticTypeIri": "urn:effortless:pko-extension#CellDisagreement",
    "Name": "effortless-xlsx|MessageDeliveries.HasOptOutPhrase @ md-002",
    "Substrate": "effortless-xlsx",
    "RulebookField": "MessageDeliveries.HasOptOutPhrase"
   },
   {
    "CellDisagreementId": "effortless-xlsx|MessageDeliveries.HasOptOutPhrase|md-005",
    "FieldDisagreement": "effortless-xlsx|MessageDeliveries.HasOptOutPhrase",
    "RecordId": "md-005",
    "ExpectedValue": "false",
    "ActualValue": "\"#VALUE!\"",
    "Reason": "wrong/null value",
    "SemanticTypeIri": "urn:effortless:pko-extension#CellDisagreement",
    "Name": "effortless-xlsx|MessageDeliveries.HasOptOutPhrase @ md-005",
    "Substrate": "effortless-xlsx",
    "RulebookField": "MessageDeliveries.HasOptOutPhrase"
   },
   {
    "CellDisagreementId": "effortless-xlsx|MessageDeliveries.IsOptOutInFirstSegment|md-001",
    "FieldDisagreement": "effortless-xlsx|MessageDeliveries.IsOptOutInFirstSegment",
    "RecordId": "md-001",
    "ExpectedValue": "false",
    "ActualValue": "\"#VALUE!\"",
    "Reason": "wrong/null value",
    "SemanticTypeIri": "urn:effortless:pko-extension#CellDisagreement",
    "Name": "effortless-xlsx|MessageDeliveries.IsOptOutInFirstSegment @ md-001",
    "Substrate": "effortless-xlsx",
    "RulebookField": "MessageDeliveries.IsOptOutInFirstSegment"
   },
   {
    "CellDisagreementId": "effortless-xl</t>
  </si>
  <si>
    <t xml:space="preserve">sx|MessageDeliveries.IsOptOutInFirstSegment|md-002",
    "FieldDisagreement": "effortless-xlsx|MessageDeliveries.IsOptOutInFirstSegment",
    "RecordId": "md-002",
    "ExpectedValue": "false",
    "ActualValue": "\"#VALUE!\"",
    "Reason": "wrong/null value",
    "SemanticTypeIri": "urn:effortless:pko-extension#CellDisagreement",
    "Name": "effortless-xlsx|MessageDeliveries.IsOptOutInFirstSegment @ md-002",
    "Substrate": "effortless-xlsx",
    "RulebookField": "MessageDeliveries.IsOptOutInFirstSegment"
   },
   {
    "CellDisagreementId": "effortless-xlsx|MessageDeliveries.IsOptOutInFirstSegment|md-005",
    "FieldDisagreement": "effortless-xlsx|MessageDeliveries.IsOptOutInFirstSegment",
    "RecordId": "md-005",
    "ExpectedValue": "false",
    "ActualValue": "\"#VALUE!\"",
    "Reason": "wrong/null value",
    "SemanticTypeIri": "urn:effortless:pko-extension#CellDisagreement",
    "Name": "effortless-xlsx|MessageDeliveries.IsOptOutInFirstSegment @ md-005",
    "Substrate": "effortless-xlsx",
    "RulebookField": "MessageDeliveries.IsOptOutInFirstSegment"
   },
   {
    "CellDisagreementId": "effortless-xlsx|MessageDeliveries.IsMissingRequiredOptOut|md-001",
    "FieldDisagreement": "effortless-xlsx|MessageDeliveries.IsMissingRequiredOptOut",
    "RecordId": "md-001",
    "ExpectedValue": "false",
    "ActualValue": "\"#VALUE!\"",
    "Reason": "wrong/null value",
    "SemanticTypeIri": "urn:effortless:pko-extension#CellDisagreement",
    "Name": "effortless-xlsx|MessageDeliveries.IsMissingRequiredOptOut @ md-001",
    "Substrate": "effortless-xlsx",
    "RulebookField": "MessageDeliveries.IsMissingRequiredOptOut"
   },
   {
    "CellDisagreementId": "effortless-xlsx|MessageDeliveries.IsMissingRequiredOptOut|md-002",
    "FieldDisagreement": "effortless-xlsx|MessageDeliveries.IsMissingRequiredOptOut",
    "RecordId": "md-002",
    "ExpectedValue": "false",
    "ActualValue": "\"#VALUE!\"",
    "Reason": "wrong/null value",
    "SemanticTypeIri": "urn:effortless:pko-extension#CellDisagreement",
    "Name": "effortless-xlsx|MessageDeliveries.IsMissingRequiredOptOut @ md-002",
    "Substrate": "effortless-xlsx",
    "RulebookField": "MessageDeliveries.IsMissingRequiredOptOut"
   },
   {
    "CellDisagreementId": "effortless-xlsx|MessageDeliveries.IsMissingRequiredOptOut|md-005",
    "FieldDisagreement": "effortless-xlsx|MessageDeliveries.IsMissingRequiredOptOut",
    "RecordId": "md-005",
    "ExpectedValue": "true",
    "ActualValue": "\"#VALUE!\"",
    "Reason": "wrong/null value",
    "SemanticTypeIri": "urn:effortless:pko-extension#CellDisagreement",
    "Name": "effortless-xlsx|MessageDeliveries.IsMissingRequiredOptOut @ md-005",
    "Substrate": "effortless-xlsx",
    "RulebookField": "MessageDeliveries.IsMissingRequiredOptOut"
   },
   {
    "CellDisagreementId": "effortless-xlsx|MessageDeliveries.IsOptOutAtRiskOfTruncation|md-001",
    "FieldDisagreement": "effortless-xlsx|MessageDeliveries.IsOptOutAtRiskOfTruncation",
    "RecordId": "md-001",
    "ExpectedValue": "false",
    "ActualValue": "\"#VALUE!\"",
    "Reason": "wrong/null value",
    "SemanticTypeIri": "urn:effortless:pko-extension#CellDisagreement",
    "Name": "effortless-xlsx|MessageDeliveries.IsOptOutAtRiskOfTruncation @ md-001",
    "Substrate": "effortless-xlsx",
    "RulebookField": "MessageDeliveries.IsOptOutAtRiskOfTruncation"
   },
   {
    "CellDisagreementId": "effortless-xlsx|MessageDeliveries.IsOptOutAtRiskOfTruncation|md-002",
    "FieldDisagreement": "effortless-xlsx|MessageDeliveries.IsOptOutAtRiskOfTruncation",
    "RecordId": "md-002",
    "ExpectedValue": "false",
    "ActualValue": "\"#VALUE!\"",
    "Reason": "wrong/null value",
    "SemanticTypeIri": "urn:effortless:pko-extension#CellDisagreement",
    "Name": "effortless-xlsx|MessageDeliveries.IsOptOutAtRiskOfTruncation @ md-002",
    "Substrate": "effortless-xlsx",
    "RulebookField": "MessageDeliveries.IsOptOutAtRiskOfTruncation"
   },
   {
    "CellDisagreementId": "effortless-xlsx|MessageDeliveries.IsOptOutAtRiskOfTruncation|md-005",
    "FieldDisagreement": "effortless-xlsx|MessageDeliveries.IsOptOutAtRiskOfTruncation",
    "RecordId": "md-005",
    "ExpectedValue": "false",
    "ActualValue": "\"#VALUE!\"",
    "Reason": "wrong/null value",
    "SemanticTypeIri": "urn:effortless:pko-extension#CellDisagreement",
    "Name": "effortless-xlsx|MessageDeliveries.IsOptOutAtRiskOfTruncation @ md-005",
    "Substrate": "effortless-xlsx",
    "RulebookField": "MessageDeliveries.IsOptOutAtRiskOfTruncation"
   },
   {
    "CellDisagreementId": "effortless-xlsx|MessageDeliveries.CurrentLastApprovalAt|md-001",
    "FieldDisagreement": "effortless-xlsx|MessageDeliveries.CurrentLastApprovalAt",
    "RecordId": "md-001",
    "ExpectedValue": "\"2026-07-17T11:00:00-05:00\"",
    "ActualValue": "\"2026-07-17 16:00:00\"",
    "Reason": "wrong/null value",
    "SemanticTypeIri": "urn:effortless:pko-extension#CellDisagreement",
    "Name": "effortless-xlsx|MessageDeliveries.CurrentLastApprovalAt @ md-001",
    "Substrate": "effortless-xlsx",
    "RulebookField": "MessageDeliveries.CurrentLastApprovalAt"
   },
   {
    "CellDisagreementId": "effortless-xlsx|MessageDeliveries.CurrentLastApprovalAt|md-002",
    "FieldDisagreement": "effortless-xlsx|MessageDeliveries.CurrentLastApprovalAt",
    "RecordId": "md-002",
    "ExpectedValue": "\"2026-07-17T11:00:00-05:00\"",
    "ActualValue": "\"2026-07-17 16:00:00\"",
    "Reason": "wrong/null value",
    "SemanticTypeIri": "urn:effortless:pko-extension#CellDisagreement",
    "Name": "effortless-xlsx|MessageDeliveries.CurrentLastApprovalAt @ md-002",
    "Substrate": "effortless-xlsx",
    "RulebookField": "MessageDeliveries.CurrentLastApprovalAt"
   },
   {
    "CellDisagreementId": "effortless-xlsx|MessageDeliveries.CurrentLastApprovalAt|md-003",
    "FieldDisagreement": "effortless-xlsx|MessageDeliveries.CurrentLastApprovalAt",
    "RecordId": "md-003",
    "ExpectedValue": "\"2026-07-19T10:00:00-05:00\"",
    "ActualValue": "\"2026-07-19 15:00:00\"",
    "Reason": "wrong/null value",
    "SemanticTypeIri": "urn:effortless:pko-extension#CellDisagreement",
    "Name": "effortless-xlsx|MessageDeliveries.CurrentLastApprovalAt @ md-003",
    "Substrate": "effortless-xlsx",
    "RulebookField": "MessageDeliveries.CurrentLastApprovalAt"
   },
   {
    "CellDisagreementId": "effortless-xlsx|MessageDeliveries.CurrentLastApprovalAt|md-004",
    "FieldDisagreement": "effortless-xlsx|MessageDeliveries.CurrentLastApprovalAt",
    "RecordId": "md-004",
    "ExpectedValue": "\"2026-07-19T10:00:00-05:00\"",
    "ActualValue": "\"2026-07-19 15:00:00\"",
    "Reason": "wrong/null value",
    "SemanticTypeIri": "urn:effortless:pko-extension#CellDisagreement",
    "Name": "effortless-xlsx|MessageDeliveries.CurrentLastApprovalAt @ md-004",
    "Substrate": "effortless-xlsx",
    "RulebookField": "MessageDeliveries.CurrentLastApprovalAt"
   },
   {
    "CellDisagreementId": "effortless-xlsx|MessageDeliveries.CurrentLastApprovalAt|md-005",
    "FieldDisagreement": "effortless-xlsx|MessageDeliveries.CurrentLastApprovalAt",
    "RecordId": "md-005",
    "ExpectedValue": "\"2026-07-19T10:00:00-05:00\"",
    "ActualValue": "\"2026-07-19 15:00:00\"",
    "Reason": "wrong/null value",
    "SemanticTypeIri": "urn:effortless:pko-extension#CellDisagreement",
    "Name": "effortless-xlsx|MessageDeliveries.CurrentLastApprovalAt @ md-005",
    "Substrate": "effortless-xlsx",
    "RulebookField": "MessageDeliveries.CurrentLastApprovalAt"
   },
   {
    "CellDisagreementId": "effortless-xlsx|MessageDeliveries.CurrentLastApprovalAt|md-006",
    "FieldDisagreement": "effortless-xlsx|MessageDeliveries.CurrentLastApprovalAt",
    "RecordId": "md-006",
    "ExpectedValue": "\"2026-07-19T10:00:00-05:00\"",
    "ActualValue": "\"2026-07-19 15:00:00\"",
    "Reason": "wrong/null value",
    "SemanticTypeIri": "urn:effortless:pko-extension#CellDisagreement",
    "Name": "effortless-xlsx|MessageDeliveries.CurrentLastApprovalAt @ md-006",
    "Substrate": "effortless-xlsx",
    "RulebookField": "MessageDeliveries.CurrentLastApprovalAt"
   },
   {
    "CellDisagreementId": "effortless-xlsx|MessageDeliveries.OutstandingAgeDays|md-002",
    "FieldDisagreement": "effortless-xlsx|MessageDeliveries.OutstandingAgeDays",
    "RecordId": "md-002",
    "ExpectedValue": "0",
    "ActualValue": "1",
    "Reason": "wrong/null value",
    "SemanticTypeIri": "urn:effortless:pko-extension#CellDisagreement",
    "Name": "effortless-xlsx|MessageDeliveries.OutstandingAgeDays @ md-002",
    "Substrate": "effortless-xlsx",
    "RulebookField": "MessageDeliveries.OutstandingAgeDays"
   },
   {
    "CellDisagreementId": "effortless-xlsx|MessageDeliveries.OutstandingAgeDays|md-003",
    "FieldDisagreement": "effortless-xlsx|MessageDeliveries.OutstandingAgeDays",
    "RecordId": "md-003",
    "ExpectedValue": "0",
    "ActualValue": "1",
    "Reason": "wrong/null value",
    "SemanticTypeIri": "urn:effortless:pko-extension#CellDisagreement",
    "Name": "effortless-xlsx|MessageDeliveries.OutstandingAgeDays @ md-003",
    "Substrate": "effortless-xlsx",
    "RulebookField": "MessageDeliveries.OutstandingAgeDays"
   },
   {
    "CellDisagreementId": "effortless-xlsx|TemplateApprovals.Name|tap-email-001",
    "FieldDisagreement": "effortless-xlsx|TemplateApprovals.Name",
    "RecordId": "tap-email-001",
    "ExpectedValue": "\"tmpl-policy-email / Approved / 2026-07-17T11:00:00-05:00\"",
    "ActualValue": "\"tmpl-policy-email / Approved / 2026-07-17 16:00:00+00\"",
    "Reason": "wrong/null value",
    "SemanticTypeIri": "urn:effortless:pko-extension#CellDisagreement",
    "Name": "effortless-xlsx|TemplateApprovals.Name @ tap-email-001",
    "Substrate": "effortless-xlsx",
    "RulebookField": "TemplateApprovals.Name"
   },
   {
    "CellDisagreementId": "effortless-xlsx|TemplateApprovals.Name|tap-sms-001",
    "FieldDisagreement": "effortless-xlsx|TemplateApprovals.Name",
    "RecordId": "tap-sms-001",
    "ExpectedValue": "\"tmpl-policy-sms / Approved / 2026-07-19T10:00:00-05:00\"",
    "ActualValue": "\"tmpl-policy-sms / Approved / 2026-07-19 15:00:00+00\"",
    "Reason": "wrong/null value",
    "SemanticTypeIri": "urn:effortless:pko-extension#CellDisagreement",
    "Name": "effortless-xlsx|TemplateApprovals.Name @ tap-sms-001",
    "Substrate": "effortless-xlsx",
    "RulebookField": "TemplateApprovals.Name"
   },
   {
    "CellDisagreementId": "effortless-xlsx|SendIntents.RefusalCitedAnException|si-001",
    "FieldDisagreement": "effortless-xlsx|SendIntents.RefusalCitedAnException",
    "RecordId": "si-001",
    "ExpectedValue": "false",
    "ActualValue": "true",
    "Reason": "wrong/null value",
    "SemanticTypeIri": "urn:effortless:pko-extension#CellDisagreement",
    "Name": "effortless-xlsx|SendIntents.RefusalCitedAnException @ si-001",
    "Substrate": "effortless-xlsx",
    "RulebookField": "SendIntents.RefusalCitedAnException"
   },
   {
    "CellDisagreementId": "effortless-xlsx|SendIntents.RefusalCitedAnException|si-007",
    "FieldDisagreement": "effortless-xlsx|SendIntents.RefusalCitedAnException",
    "RecordId": "si-007",
    "ExpectedValue": "false",
    "ActualValue": "true",
    "Reason": "wrong/null value",
    "SemanticTypeIri": "urn:effortless:pko-extension#CellDisagreement",
    "Name": "effortless-xlsx|SendIntents.RefusalCitedAnException @ si-007",
    "Substrate": "effortless-xlsx",
    "RulebookField": "SendIntents.RefusalCitedAnException"
   },
   {
    "CellDisagreementId": "effortless-xlsx|SendIntents.IsUnreportedRefusalOnMyRules|si-001",
    "FieldDisagreement": "effortless-xlsx|SendIntents.IsUnreportedRefusalOnMyRules",
    "RecordId": "si-001",
    "ExpectedValue": "false",
    "ActualValue": "\"#VALUE!\"",
    "Reason": "wrong/null value",
    "SemanticTypeIri": "urn:effortless:pko-extension#CellDisagreement",
    "Name": "effortless-xlsx|SendIntents.IsUnreportedRefusalOnMyRules @ si-001",
    "Substrate": "effortless-xlsx",
    "RulebookField": "SendIntents.IsUnreportedRefusalOnMyRules"
   },
   {
    "CellDisagreementId": "effortless-xlsx|SendIntents.IsUnreportedRefusalOnMyRules|si-002",
    "FieldDisagreement": "effortless-xlsx|SendIntents.IsUnreportedRefusalOnMyRules",
    "RecordId": "si-002",
    "ExpectedValue": "false",
    "ActualValue": "\"#VALUE!\"",
    "Reason": "wrong/null value",
    "SemanticTypeIri": "urn:effortless:pko-extension#CellDisagreement",
    "Name": "effortless-xlsx|SendIntents.IsUnreportedRefusalOnMyRules @ si-002",
    "Substrate": "effortless-xlsx",
    "RulebookField": "SendIntents.IsUnreportedRefusalOnMyRules"
   },
   {
    "CellDisagreementId": "effortless-xlsx|SendIntents.IsUnreportedRefusalOnMyRules|si-003",
    "FieldDisagreement": "effortless-xlsx|SendIntents.IsUnreportedRefusalOnMyRules",
    "RecordId": "si-003",
    "ExpectedValue": "true",
    "ActualValue": "\"#VALUE!\"",
    "Reason": "wrong/null value",
    "SemanticTypeIri": "urn:effortless:pko-extension#CellDisagreement",
    "Name": "effortless-xlsx|SendIntents.IsUnreportedRefusalOnMyRules @ si-003",
    "Substrate": "effortless-xlsx",
    "RulebookField": "SendIntents.IsUnreportedRefusalOnMyRules"
   },
   {
    "CellDisagreementId": "effortless-xlsx|SendIntents.IsUnreportedRefusalOnMyRules|si-004",
    "FieldDisagreement": "effortless-xlsx|SendIntents.IsUnreportedRefusalOnMyRules",
    "RecordId": "si-004",
    "ExpectedValue": "true",
    "ActualValue": "\"#VALUE!\"",
    "Reason": "wrong/null value",
    "SemanticTypeIri": "urn:effortless:pko-extension#CellDisagreement",
    "Name": "effortless-xlsx|SendIntents.IsUnreportedRefusalOnMyRules @ si-004",
    "Substrate": "effortless-xlsx",
    "RulebookField": "SendIntents.IsUnreportedRefusalOnMyRules"
   },
   {
    "CellDisagreementId": "effortless-xlsx|SendIntents.IsUnreportedRefusalOnMyRules|si-005",
    "FieldDisagreement": "effortless-xlsx|SendIntents.IsUnreportedRefusalOnMyRules",
    "RecordId": "si-005",
    "ExpectedValue": "true",
    "ActualValue": "\"#VALUE!\"",
    "Reason": "wrong/null value",
    "SemanticTypeIri": "urn:effortless:pko-extension#CellDisagreement",
    "Name": "effortless-xlsx|SendIntents.IsUnreportedRefusalOnMyRules @ si-005",
    "Substrate": "effortless-xlsx",
    "RulebookField": "SendIntents.IsUnreportedRefusalOnMyRules"
   },
   {
    "CellDisagreementId": "effortless-xlsx|SendIntents.IsUnreportedRefusalOnMyRules|si-006",
    "FieldDisagreement": "effortless-xlsx|SendIntents.IsUnreportedRefusalOnMyRules",
    "RecordId": "si-006",
    "ExpectedValue": "false",
    "ActualValue": "\"#VALUE!\"",
    "Reason": "wrong/null value",
    "SemanticTypeIri": "urn:effortless:pko-extension#CellDisagreement",
    "Name": "effortless-xlsx|SendIntents.IsUnreportedRefusalOnMyRules @ si-006",
    "Substrate": "effortless-xlsx",
    "RulebookField": "SendIntents.IsUnreportedRefusalOnMyRules"
   },
   {
    "CellDisagreementId": "effortless-xlsx|SendIntents.IsUnreportedRefusalOnMyRules|si-007",
    "FieldDisagreement": "effortless-xlsx|SendIntents.IsUnreportedRefusalOnMyRules",
    "RecordId": "si-007",
    "ExpectedValue": "false",
    "ActualValue": "\"#VALUE!\"",
    "Reason": "wrong/null value",
    "SemanticTypeIri": "urn:effortless:pko-extension#CellDisagreement",
    "Name": "effortless-xlsx|SendIntents.IsUnreportedRefusalOnMyRules @ si-007",
    "Substrate": "effortless-xlsx",
    "RulebookField": "SendIntents.IsUnreportedRefusalOnMyRules"
   },
   {
    "CellDisagreementId": "effortless-xlsx|SendIntents.IsApprovalOverriddenSilently|si-001",
    "FieldDisagreement": "effortless-xlsx|SendIntents.IsApprovalOverriddenSilently",
    "RecordId": "si-001",
    "ExpectedValue": "false",
    "ActualValue": "\"#VALUE!\"",
    "Reason": "wrong/null value",
    "SemanticTypeIri": "urn:effortless:pko-extension#CellDisagreement",
    "Name": "effortless-xlsx|SendIntents.IsApprovalOverriddenSilently @ si-001",
    "Substrate": "effortless-xlsx",
    "RulebookField": "SendIntents.IsApprovalOverriddenSilently"
   },
   {
    "CellDisagreementId": "effortless-xlsx|SendIntents.IsApprovalOverriddenSilently|si-002",
    "FieldDisagreement": "effortless-xlsx|SendIntents.IsApprovalOverriddenSilently",
    "RecordId": "si-002",
    "ExpectedValue": "false",
    "ActualValue": "\"#VALUE!\"",
    "Reason": "wrong/null value",
    "SemanticTypeIri": "urn:effortless:pko-extension#CellDisagreement",
    "Name": "effortless-xlsx|SendIntents.IsApprovalOverriddenSilently @ si-002",
    "Substrate": "effortless-xlsx",
    "RulebookField": "SendIntents.IsApprovalOverriddenSilently"
   },
   {
    "CellDisagreementId": "effortless-xlsx|SendIntents.IsApprovalOverriddenSilently|si-003",
    "FieldDisagreement": "effortless-xlsx|SendIntents.IsApprovalOverriddenSilently",
    "RecordId": "si-003",
    "ExpectedValue": "false",
    "ActualValue": "\"#VALUE!\"",
    "Reason": "wrong/null value",
    "SemanticTypeIri": "urn:effortless:pko-extension#CellDisagreement",
    "Name": "effortless-xlsx|SendIntents.IsApprovalOverriddenSilently @ si-003",
    "Substrate": "effortless-xlsx",
    "RulebookField": "SendIntents.IsApprovalOverriddenSilently"
   },
   {
    "CellDisagreementId": "effortless-xlsx|SendIntents.IsApprovalOverriddenSilently|si-004",
    "FieldDisagreement": "effortless-xlsx|SendIntents.IsApprovalOverriddenSilently",
    "RecordId": "si-004",
    "ExpectedValue": "true",
    "ActualValue": "\"#VALUE!\"",
    "Reason": "wrong/null value",
    "SemanticTypeIri": "urn:effortless:pko-extension#CellDisagreement",
    "Name": "effortless-xlsx|SendIntents.IsApprovalOverriddenSilently @ si-004",
    "Substrate": "effortless-xlsx",
    "RulebookField": "SendIntents.IsApprovalOverriddenSilently"
   },
   {
    "CellDisagreementId": "effortless-xlsx|SendIntents.IsApprovalOverriddenSilently|si-005",
    "FieldDisagreement": "effortless-xlsx|SendIntents.IsApprovalOverriddenSilently",
    "RecordId": "si-005",
    "ExpectedValue": "true",
    "ActualValue": "\"#VALUE!\"",
    "Reason": "wrong/null value",
    "SemanticTypeIri": "urn:effortless:pko-extension#CellDisagreement",
    "Name": "effortless-xlsx|SendIntents.IsApprovalOverriddenSilently @ si-005",
    "Substrate": "effortless-xlsx",
    "RulebookField": "SendIntents.IsApprovalOverriddenSilently"
   },
   {
    "CellDisagreementId": "effortless-xlsx|SendIntents.IsApprovalOverriddenSilently|si-006",
    "FieldDisagreement": "effortless-xlsx|SendIntents.IsApprovalOverriddenSilently",
    "RecordId": "si-006",
    "ExpectedValue": "false",
    "ActualValue": "\"#VALUE!\"",
    "Reason": "wrong/null value",
    "SemanticTypeIri": "urn:effortless:pko-extension#CellDisagreement",
    "Name": "effortless-xlsx|SendIntents.IsApprovalOverriddenSilently @ si-006",
    "Substrate": "effortless-xlsx",
    "RulebookField": "SendIntents.IsApprovalOverriddenSilently"
   },
   {
    "CellDisagreementId": "effortless-xlsx|SendIntents.IsApprovalOverriddenSilently|si-007",
    "FieldDisagreement": "effortless-xlsx|SendIntents.IsApprovalOverriddenSilently",
    "RecordId": "si-007",
    "ExpectedValue": "false",
    "ActualValue": "\"#VALUE!\"",
    "Reason": "wrong/null value",
    "SemanticTypeIri": "urn:effortless:pko-extension#CellDisagreement",
    "Name": "effortless-xlsx|SendIntents.IsApprovalOverriddenSilently @ si-007",
    "Substrate": "effortless-xlsx",
    "RulebookField": "SendIntents.IsApprovalOverriddenSilently"
   },
   {
    "CellDisagreementId": "effortless-xlsx|SendIntents.ExceptionPrescribedAnAlternative|si-001",
    "FieldDisagreement": "effortless-xlsx|SendIntents.ExceptionPrescribedAnAlternative",
    "RecordId": "si-001",
    "ExpectedValue": "false",
    "ActualValue": "true",
    "Reason": "wrong/null value",
    "SemanticTypeIri": "urn:effortless:pko-extension#CellDisagreement",
    "Name": "effortless-xlsx|SendIntents.ExceptionPrescribedAnAlternative @ si-001",
    "Substrate": "effortless-xlsx",
    "RulebookField": "SendIntents.ExceptionPrescribedAnAlternative"
   },
   {
    "CellDisagreementId": "effortless-xlsx|SendIntents.ExceptionPrescribedAnAlternative|si-007",
    "FieldDisagreement": "effortless-xlsx|SendIntents.ExceptionPrescribedAnAlternative",
    "RecordId": "si-007",
    "ExpectedValue": "false",
    "ActualValue": "true",
    "Reason": "wrong/null value",
    "SemanticTypeIri": "urn:effortless:pko-extension#CellDisagreement",
    "Name": "effortless-xlsx|SendIntents.ExceptionPrescribedAnAlternative @ si-007",
    "Substrate": "effortless-xlsx",
    "RulebookField": "SendIntents.ExceptionPrescribedAnAlternative"
   },
   {
    "CellDisagreementId": "effortless-xlsx|SendIntents.IsSuppressionWithoutRemedy|si-001",
    "FieldDisagreement": "effortless-xlsx|SendIntents.IsSuppressionWithoutRemedy",
    "RecordId": "si-001",
    "ExpectedValue": "false",
    "ActualValue": "true",
    "Reason": "wrong/null value",
    "SemanticTypeIri": "urn:effortless:pko-extension#CellDisagreement",
    "Name": "effortless-xlsx|SendIntents.IsSuppressionWithoutRemedy @ si-001",
    "Substrate": "effortless-xlsx",
    "RulebookField": "SendIntents.IsSuppressionWithoutRemedy"
   },
   {
    "CellDisagreementId": "effortless-xlsx|SendIntents.IsSuppressionWithoutRemedy|si-007",
    "FieldDisagreement": "effortless-xlsx|SendIntents.IsSuppressionWithoutRemedy",
    "RecordId": "si-007",
    "ExpectedValue": "false",
    "ActualValue": "true",
    "Reason": "wrong/null value",
    "SemanticTypeIri": "urn:effortless:pko-extension#CellDisagreement",
    "Name": "effortless-xlsx|SendIntents.IsSuppressionWithoutRemedy @ si-007",
    "Substrate": "effortless-xlsx",
    "RulebookField": "SendIntents.IsSuppressionWithoutRemedy"
   },
   {
    "CellDisagreementId": "effortless-xlsx|SendIntents.AsOfInstant|si-001",
    "FieldDisagreement": "effortless-xlsx|SendIntents.AsOfInstant",
    "RecordId": "si-001",
    "ExpectedValue": "\"2026-07-19T13:00:00-05:00\"",
    "ActualValue": "\"2026-07-19 18:00:00\"",
    "Reason": "wrong/null value",
    "SemanticTypeIri": "urn:effortless:pko-extension#CellDisagreement",
    "Name": "effortless-xlsx|SendIntents.AsOfInstant @ si-001",
    "Substrate": "effortless-xlsx",
    "RulebookField": "SendIntents.AsOfInstant"
   },
   {
    "CellDisagreementId": "effortless-xlsx|SendIntents.AsOfInstant|si-002",
    "FieldDisagreement": "effortless-xlsx|SendIntents.AsOfInstant",
    "RecordId": "si-002",
    "ExpectedValue": "\"2026-07-19T13:00:00-05:00\"",
    "ActualValue": "\"2026-07-19 18:00:00\"",
    "Reason": "wrong/null value",
    "SemanticTypeIri": "urn:effortless:pko-extension#CellDisagreement",
    "Name": "effortless-xlsx|SendIntents.AsOfInstant @ si-002",
    "Substrate": "effortless-xlsx",
    "RulebookField": "SendIntents.AsOfInstant"
   },
   {
    "CellDisagreementId": "effortless-xlsx|SendIntents.AsOfInstant|si-003",
    "FieldDisagreement": "effortless-xlsx|SendIntents.AsOfInstant",
    "RecordId": "si-003",
    "ExpectedValue": "\"2026-07-19T13:00:00-05:00\"",
    "ActualValue": "\"2026-07-19 18:00:00\"",
    "Reason": "wrong/null value",
    "SemanticTypeIri": "urn:effortless:pko-extension#CellDisagreement",
    "Name": "effortless-xlsx|SendIntents.AsOfInstant @ si-003",
    "Substrate": "effortless-xlsx",
    "RulebookField": "SendIntents.AsOfInstant"
   },
   {
    "CellDisagreementId": "effortless-xlsx|SendIntents.AsOfInstant|si-004",
    "FieldDisagreement": "effortless-xlsx|SendIntents.AsOfInstant",
    "RecordId": "si-004",
    "ExpectedValue": "\"2026-07-19T13:00:00-05:00\"",
    "ActualValue": "\"2026-07-19 18:00:00\"",
    "Reason": "wrong/null value",
    "SemanticTypeIri": "urn:effortless:pko-extension#CellDisagreement",
    "Name": "effortless-xlsx|SendIntents.AsOfInstant @ si-004",
    "Substrate": "effortless-xlsx",
    "RulebookField": "SendIntents.AsOfInstant"
   },
   {
    "CellDisagreementId": "effortless-xlsx|SendIntents.AsOfInstant|si-005",
    "FieldDisagreement": "effortless-xlsx|SendIntents.AsOfInstant",
    "RecordId": "si-005",
    "ExpectedValue": "\"2026-07-19T13:00:00-05:00\"",
    "ActualValue": "\"2026-07-19 18:00:00\"",
    "Reason": "wrong/null value",
    "SemanticTypeIri": "urn:effortless:pko-extension#CellDisagreement",
    "Name": "effortless-xlsx|SendIntents.AsOfInstant @ si-005",
    "Substrate": "effortless-xlsx",
    "RulebookField": "SendIntents.AsOfInstant"
   },
   {
    "CellDisagreementId": "effortless-xlsx|SendIntents.AsOfInstant|si-006",
    "FieldDisagreement": "effortless-xlsx|SendIntents.AsOfInstant",
    "RecordId": "si-006",
    "ExpectedValue": "\"2026-07-19T13:00:00-05:00\"",
    "ActualValue": "\"2026-07-19 18:00:00\"",
    "Reason": "wrong/null value",
    "SemanticTypeIri": "urn:effortless:pko-extension#CellDisagreement",
    "Name": "effortless-xlsx|SendIntents.AsOfInstant @ si-006",
    "Substrate": "effortless-xlsx",
    "RulebookField": "SendIntents.AsOfInstant"
   },
   {
    "CellDisagreementId": "effortless-xlsx|SendIntents.AsOfInstant|si-007",
    "FieldDisagreement": "effortless-xlsx|SendIntents.AsOfInstant",
    "RecordId": "si-007",
    "ExpectedValue": "\"2026-07-19T13:00:00-05:00\"",
    "ActualValue": "\"2026-07-19 18:00:00\"",
    "Reason": "wrong/null value",
    "SemanticTypeIri": "urn:effortless:pko-extension#CellDisagreement",
    "Name": "effortless-xlsx|SendIntents.AsOfInstant @ si-007",
    "Substrate": "effortless-xlsx",
    "RulebookField": "SendIntents.AsOfInstant"
   },
   {
    "CellDisagreementId": "effortless-xlsx|SendIntents.WindowHasSinceReopened|si-001",
    "FieldDisagreement": "effortless-xlsx|SendIntents.WindowHasSinceReopened",
    "RecordId": "si-001",
    "ExpectedValue": "false",
    "ActualValue": "\"#NAME?\"",
    "Reason": "wrong/null value",
    "SemanticTypeIri": "urn:effortless:pko-extension#CellDisagreement",
    "Name": "effortless-xlsx|SendIntents.WindowHasSinceReopened @ si-001",
    "Substrate": "effortless-xlsx",
    "RulebookField": "SendIntents.WindowHasSinceReopened"
   },
   {
    "CellDisagreementId": "effortless-xlsx|SendIntents.WindowHasSinceReopened|si-002",
    "FieldDisagreement": "effortless-xlsx|SendIntents.WindowHasSinceReopened",
    "RecordId": "si-002",
    "ExpectedValue": "false",
    "ActualValue": "\"#NAME?\"",
    "Reason": "wrong/null value",
    "SemanticTypeIri": "urn:effortless:pko-extension#CellDisagreement",
    "Name": "effortless-xlsx|SendIntents.WindowHasSinceReopened @ si-002",
    "Substrate": "effortless-xlsx",
    "RulebookField": "SendIntents.WindowHasSinceReopened"
   },
   {
    "CellDisagreementId": "effortless-xlsx|SendIntents.WindowHasSinceReopened|si-003",
    "FieldDisagreement": "effortless-xlsx|SendIntents.WindowHasSinceReopened",
    "RecordId": "si-003",
    "ExpectedValue": "true",
    "ActualValue": "\"#NAME?\"",
    "Reason": "wrong/null value",
    "SemanticTypeIri": "urn:effortless:pko-extension#CellDisagreement",
    "Name": "effortless-xlsx|SendIntents.WindowHasSinceReopened @ si-003",
    "Substrate": "effortless-xlsx",
    "RulebookField": "SendIntents.WindowHasSinceReopened"
   },
   {
    "CellDisagreementId": "effortless-xlsx|SendIntents.WindowHasSinceReopened|si-004",
    "FieldDisagreement": "effortless-xlsx|SendIntents.WindowHasSinceReopened",
    "RecordId": "si-004",
    "ExpectedValue": "false",
    "ActualValue": "\"#NAME?\"",
    "Reason": "wrong/null value",
    "SemanticTypeIri": "urn:effortless:pko-extension#CellDisagreement",
    "Name": "effortless-xlsx|SendIntents.WindowHasSinceReopened @ si-004",
    "Substrate": "effortless-xlsx",
    "RulebookField": "SendIntents.WindowHasSinceReopened"
   },
   {
    "CellDisagreementId": "effortless-xlsx|SendIntents.WindowHasSinceReopened|si-005",
    "FieldDisagreement": "effortless-xlsx|SendIntents.WindowHasSinceReopened",
    "RecordId": "si-005",
    "ExpectedValue": "false",
    "ActualValue": "\"#NAME?\"",
    "Reason": "wrong/null value",
    "SemanticTypeIri": "urn:effortless:pko-extension#CellDisagreement",
    "Name": "effortless-xlsx|SendIntents.WindowHasSinceReopened @ si-005",
    "Substrate": "effortless-xlsx",
    "RulebookField": "SendIntents.WindowHasSinceReopened"
   },
   {
    "CellDisagreementId": "effortless-xlsx|SendIntents.WindowHasSinceReopened|si-006",
    "FieldDisagreement": "effortless-xlsx|SendIntents.WindowHasSinceReopened",
    "RecordId": "si-006",
    "ExpectedValue": "false",
    "ActualValue": "\"#NAME?\"",
    "Reason": "wrong/null value",
    "SemanticTypeIri": "urn:effortless:pko-extension#CellDisagreement",
    "Name": "effortless-xlsx|SendIntents.WindowHasSinceReopened @ si-006",
    "Substrate": "effortless-xlsx",
    "RulebookField": "SendIntents.WindowHasSinceReopened"
   },
   {
    "CellDisagreementId": "effortless-xlsx|SendIntents.WindowHasSinceReopened|si-007",
    "FieldDisagreement": "effortless-xlsx|SendIntents.WindowHasSinceReopened",
    "RecordId": "si-007",
    "ExpectedValue": "false",
    "ActualValue": "\"#NAME?\"",
    "Reason": "wrong/null value",
    "SemanticTypeIri": "urn:effortless:pko-extension#CellDisagreement",
    "Name": "effortless-xlsx|SendIntents.WindowHasSinceReopened @ si-007",
    "Substrate": "effortless-xlsx",
    "RulebookField": "SendIntents.WindowHasSinceReopened"
   },
   {
    "CellDisagreementId": "effortless-xlsx|SendIntents.IsAbandonedDeferral|si-001",
    "FieldDisagreement": "effortless-xlsx|SendIntents.IsAbandonedDeferral",
    "RecordId": "si-001",
    "ExpectedValue": "false",
    "ActualValue": "\"#NAME?\"",
    "Reason": "wrong/null value",
    "SemanticTypeIri": "urn:effortless:pko-extension#CellDisagreement",
    "Name": "effortless-xlsx|SendIntents.IsAbandonedDeferral @ si-001",
    "Substrate": "effortless-xlsx",
    "RulebookField": "SendIntents.IsAbandonedDeferral"
   },
   {
    "CellDisagreementId": "effortless-xlsx|SendIntents.IsAbandonedDeferral|si-002",
    "FieldDisagreement": "effortless-xlsx|SendIntents.IsAbandonedDeferral",
    "RecordId": "si-002",
    "ExpectedValue": "false",
    "ActualValue": "\"#NAME?\"",
    "Reason": "wrong/null value",
    "SemanticTypeIri": "urn:effortless:pko-extension#CellDisagreement",
    "Name": "effortless-xlsx|SendIntents.IsAbandonedDeferral @ si-002",
    "Substrate": "effortless-xlsx",
    "RulebookField": "SendIntents.IsAbandonedDeferral"
   },
   {
    "CellDisagreementId": "effortless-xlsx|SendIntents.IsAbandonedDeferral|si-003",
    "FieldDisagreement": "effortless-xlsx|SendIntents.IsAbandonedDeferral",
    "RecordId": "si-003",
    "ExpectedValue": "true",
    "ActualValue": "\"#NAME?\"",
    "Reason": "wrong/null value",
    "SemanticTypeIri": "urn:effortless:pko-extension#CellDisagreement",
    "Name": "effortless-xlsx|SendIntents.IsAbandonedDeferral @ si-003",
    "Substrate": "effortless-xlsx",
    "RulebookField": "SendIntents.IsAbandonedDeferral"
   },
   {
    "CellDisagreementId": "effortless-xlsx|SendIntents.IsAbandonedDeferral|si-004",
    "FieldDisagreement": "effortless-xlsx|SendIntents.IsAbandonedDeferral",
    "RecordId": "si-004",
    "ExpectedValue": "false",
    "ActualValue": "\"#NAME?\"",
    "Reason": "wrong/null value",
    "SemanticTypeIri": "urn:effortless:pko-extension#CellDisagreement",
    "Name": "effortless-xlsx|SendIntents.IsAbandonedDeferral @ si-004",
    "Substrate": "effortless-xlsx",
    "RulebookField": "SendIntents.IsAbandonedDeferral"
   },
   {
    "CellDisagreementId": "effortless-xlsx|SendIntents.IsAbandonedDeferral|si-005",
    "FieldDisagreement": "effortless-xlsx|SendIntents.IsAbandonedDeferral",
    "RecordId": "si-005",
    "ExpectedValue": "false",
    "ActualValue": "\"#NAME?\"",
    "Reason": "wrong/null value",
    "SemanticTypeIri": "urn:effortless:pko-extension#CellDisagreement",
    "Name": "effortless-xlsx|SendIntents.IsAbandonedDeferral @ si-005",
    "Substrate": "effortless-xlsx",
    "RulebookField": "SendIntents.IsAbandonedDeferral"
   },
   {
    "CellDisagreementId": "effortless-xlsx|SendIntents.IsAbandonedDeferral|si-006",
    "FieldDisagreement": "effortless-xlsx|SendIntents.IsAbandonedDeferral",
    "RecordId": "si-006",
    "ExpectedValue": "false",
    "ActualValue": "\"#NAME?\"",
    "Reason": "wrong/null value",
    "SemanticTypeIri": "urn:effortless:pko-extension#CellDisagreement",
    "Name": "effortless-xlsx|SendIntents.IsAbandonedDeferral @ si-006",
    "Substrate": "effortless-xlsx",
    "RulebookField": "SendIntents.IsAbandonedDeferral"
   },
   {
    "CellDisagreementId": "effortless-xlsx|SendIntents.IsAbandonedDeferral|si-007",
    "FieldDisagreement": "effortless-xlsx|SendIntents.IsAbandonedDeferral",
    "RecordId": "si-007",
    "ExpectedValue": "false",
    "ActualValue": "\"#NAME?\"",
    "Reason": "wrong/null value",
    "SemanticTypeIri": "urn:effortless:pko-extension#CellDisagreement",
    "Name": "effortless-xlsx|SendInte</t>
  </si>
  <si>
    <t xml:space="preserve">nts.IsAbandonedDeferral @ si-007",
    "Substrate": "effortless-xlsx",
    "RulebookField": "SendIntents.IsAbandonedDeferral"
   },
   {
    "CellDisagreementId": "effortless-xlsx|SendIntents.DeferralAgeHours|si-001",
    "FieldDisagreement": "effortless-xlsx|SendIntents.DeferralAgeHours",
    "RecordId": "si-001",
    "ExpectedValue": "22",
    "ActualValue": "\"#NAME?\"",
    "Reason": "wrong/null value",
    "SemanticTypeIri": "urn:effortless:pko-extension#CellDisagreement",
    "Name": "effortless-xlsx|SendIntents.DeferralAgeHours @ si-001",
    "Substrate": "effortless-xlsx",
    "RulebookField": "SendIntents.DeferralAgeHours"
   },
   {
    "CellDisagreementId": "effortless-xlsx|SendIntents.DeferralAgeHours|si-002",
    "FieldDisagreement": "effortless-xlsx|SendIntents.DeferralAgeHours",
    "RecordId": "si-002",
    "ExpectedValue": "22",
    "ActualValue": "\"#NAME?\"",
    "Reason": "wrong/null value",
    "SemanticTypeIri": "urn:effortless:pko-extension#CellDisagreement",
    "Name": "effortless-xlsx|SendIntents.DeferralAgeHours @ si-002",
    "Substrate": "effortless-xlsx",
    "RulebookField": "SendIntents.DeferralAgeHours"
   },
   {
    "CellDisagreementId": "effortless-xlsx|SendIntents.DeferralAgeHours|si-003",
    "FieldDisagreement": "effortless-xlsx|SendIntents.DeferralAgeHours",
    "RecordId": "si-003",
    "ExpectedValue": "22",
    "ActualValue": "\"#NAME?\"",
    "Reason": "wrong/null value",
    "SemanticTypeIri": "urn:effortless:pko-extension#CellDisagreement",
    "Name": "effortless-xlsx|SendIntents.DeferralAgeHours @ si-003",
    "Substrate": "effortless-xlsx",
    "RulebookField": "SendIntents.DeferralAgeHours"
   },
   {
    "CellDisagreementId": "effortless-xlsx|SendIntents.DeferralAgeHours|si-004",
    "FieldDisagreement": "effortless-xlsx|SendIntents.DeferralAgeHours",
    "RecordId": "si-004",
    "ExpectedValue": "22",
    "ActualValue": "\"#NAME?\"",
    "Reason": "wrong/null value",
    "SemanticTypeIri": "urn:effortless:pko-extension#CellDisagreement",
    "Name": "effortless-xlsx|SendIntents.DeferralAgeHours @ si-004",
    "Substrate": "effortless-xlsx",
    "RulebookField": "SendIntents.DeferralAgeHours"
   },
   {
    "CellDisagreementId": "effortless-xlsx|SendIntents.DeferralAgeHours|si-005",
    "FieldDisagreement": "effortless-xlsx|SendIntents.DeferralAgeHours",
    "RecordId": "si-005",
    "ExpectedValue": "22",
    "ActualValue": "\"#NAME?\"",
    "Reason": "wrong/null value",
    "SemanticTypeIri": "urn:effortless:pko-extension#CellDisagreement",
    "Name": "effortless-xlsx|SendIntents.DeferralAgeHours @ si-005",
    "Substrate": "effortless-xlsx",
    "RulebookField": "SendIntents.DeferralAgeHours"
   },
   {
    "CellDisagreementId": "effortless-xlsx|SendIntents.DeferralAgeHours|si-006",
    "FieldDisagreement": "effortless-xlsx|SendIntents.DeferralAgeHours",
    "RecordId": "si-006",
    "ExpectedValue": "22",
    "ActualValue": "\"#NAME?\"",
    "Reason": "wrong/null value",
    "SemanticTypeIri": "urn:effortless:pko-extension#CellDisagreement",
    "Name": "effortless-xlsx|SendIntents.DeferralAgeHours @ si-006",
    "Substrate": "effortless-xlsx",
    "RulebookField": "SendIntents.DeferralAgeHours"
   },
   {
    "CellDisagreementId": "effortless-xlsx|SendIntents.DeferralAgeHours|si-007",
    "FieldDisagreement": "effortless-xlsx|SendIntents.DeferralAgeHours",
    "RecordId": "si-007",
    "ExpectedValue": "22",
    "ActualValue": "\"#NAME?\"",
    "Reason": "wrong/null value",
    "SemanticTypeIri": "urn:effortless:pko-extension#CellDisagreement",
    "Name": "effortless-xlsx|SendIntents.DeferralAgeHours @ si-007",
    "Substrate": "effortless-xlsx",
    "RulebookField": "SendIntents.DeferralAgeHours"
   },
   {
    "CellDisagreementId": "effortless-xlsx|SendIntents.IsStaleDeferral|si-001",
    "FieldDisagreement": "effortless-xlsx|SendIntents.IsStaleDeferral",
    "RecordId": "si-001",
    "ExpectedValue": "false",
    "ActualValue": "\"#NAME?\"",
    "Reason": "wrong/null value",
    "SemanticTypeIri": "urn:effortless:pko-extension#CellDisagreement",
    "Name": "effortless-xlsx|SendIntents.IsStaleDeferral @ si-001",
    "Substrate": "effortless-xlsx",
    "RulebookField": "SendIntents.IsStaleDeferral"
   },
   {
    "CellDisagreementId": "effortless-xlsx|SendIntents.IsStaleDeferral|si-002",
    "FieldDisagreement": "effortless-xlsx|SendIntents.IsStaleDeferral",
    "RecordId": "si-002",
    "ExpectedValue": "false",
    "ActualValue": "\"#NAME?\"",
    "Reason": "wrong/null value",
    "SemanticTypeIri": "urn:effortless:pko-extension#CellDisagreement",
    "Name": "effortless-xlsx|SendIntents.IsStaleDeferral @ si-002",
    "Substrate": "effortless-xlsx",
    "RulebookField": "SendIntents.IsStaleDeferral"
   },
   {
    "CellDisagreementId": "effortless-xlsx|SendIntents.IsStaleDeferral|si-003",
    "FieldDisagreement": "effortless-xlsx|SendIntents.IsStaleDeferral",
    "RecordId": "si-003",
    "ExpectedValue": "false",
    "ActualValue": "\"#NAME?\"",
    "Reason": "wrong/null value",
    "SemanticTypeIri": "urn:effortless:pko-extension#CellDisagreement",
    "Name": "effortless-xlsx|SendIntents.IsStaleDeferral @ si-003",
    "Substrate": "effortless-xlsx",
    "RulebookField": "SendIntents.IsStaleDeferral"
   },
   {
    "CellDisagreementId": "effortless-xlsx|SendIntents.IsStaleDeferral|si-004",
    "FieldDisagreement": "effortless-xlsx|SendIntents.IsStaleDeferral",
    "RecordId": "si-004",
    "ExpectedValue": "false",
    "ActualValue": "\"#NAME?\"",
    "Reason": "wrong/null value",
    "SemanticTypeIri": "urn:effortless:pko-extension#CellDisagreement",
    "Name": "effortless-xlsx|SendIntents.IsStaleDeferral @ si-004",
    "Substrate": "effortless-xlsx",
    "RulebookField": "SendIntents.IsStaleDeferral"
   },
   {
    "CellDisagreementId": "effortless-xlsx|SendIntents.IsStaleDeferral|si-005",
    "FieldDisagreement": "effortless-xlsx|SendIntents.IsStaleDeferral",
    "RecordId": "si-005",
    "ExpectedValue": "false",
    "ActualValue": "\"#NAME?\"",
    "Reason": "wrong/null value",
    "SemanticTypeIri": "urn:effortless:pko-extension#CellDisagreement",
    "Name": "effortless-xlsx|SendIntents.IsStaleDeferral @ si-005",
    "Substrate": "effortless-xlsx",
    "RulebookField": "SendIntents.IsStaleDeferral"
   },
   {
    "CellDisagreementId": "effortless-xlsx|SendIntents.IsStaleDeferral|si-006",
    "FieldDisagreement": "effortless-xlsx|SendIntents.IsStaleDeferral",
    "RecordId": "si-006",
    "ExpectedValue": "false",
    "ActualValue": "\"#NAME?\"",
    "Reason": "wrong/null value",
    "SemanticTypeIri": "urn:effortless:pko-extension#CellDisagreement",
    "Name": "effortless-xlsx|SendIntents.IsStaleDeferral @ si-006",
    "Substrate": "effortless-xlsx",
    "RulebookField": "SendIntents.IsStaleDeferral"
   },
   {
    "CellDisagreementId": "effortless-xlsx|SendIntents.IsStaleDeferral|si-007",
    "FieldDisagreement": "effortless-xlsx|SendIntents.IsStaleDeferral",
    "RecordId": "si-007",
    "ExpectedValue": "false",
    "ActualValue": "\"#NAME?\"",
    "Reason": "wrong/null value",
    "SemanticTypeIri": "urn:effortless:pko-extension#CellDisagreement",
    "Name": "effortless-xlsx|SendIntents.IsStaleDeferral @ si-007",
    "Substrate": "effortless-xlsx",
    "RulebookField": "SendIntents.IsStaleDeferral"
   },
   {
    "CellDisagreementId": "effortless-xlsx|SendIntents.IsSelfWitnessedDecision|si-001",
    "FieldDisagreement": "effortless-xlsx|SendIntents.IsSelfWitnessedDecision",
    "RecordId": "si-001",
    "ExpectedValue": "true",
    "ActualValue": "\"#VALUE!\"",
    "Reason": "wrong/null value",
    "SemanticTypeIri": "urn:effortless:pko-extension#CellDisagreement",
    "Name": "effortless-xlsx|SendIntents.IsSelfWitnessedDecision @ si-001",
    "Substrate": "effortless-xlsx",
    "RulebookField": "SendIntents.IsSelfWitnessedDecision"
   },
   {
    "CellDisagreementId": "effortless-xlsx|SendIntents.IsSelfWitnessedDecision|si-002",
    "FieldDisagreement": "effortless-xlsx|SendIntents.IsSelfWitnessedDecision",
    "RecordId": "si-002",
    "ExpectedValue": "true",
    "ActualValue": "\"#VALUE!\"",
    "Reason": "wrong/null value",
    "SemanticTypeIri": "urn:effortless:pko-extension#CellDisagreement",
    "Name": "effortless-xlsx|SendIntents.IsSelfWitnessedDecision @ si-002",
    "Substrate": "effortless-xlsx",
    "RulebookField": "SendIntents.IsSelfWitnessedDecision"
   },
   {
    "CellDisagreementId": "effortless-xlsx|SendIntents.IsSelfWitnessedDecision|si-003",
    "FieldDisagreement": "effortless-xlsx|SendIntents.IsSelfWitnessedDecision",
    "RecordId": "si-003",
    "ExpectedValue": "true",
    "ActualValue": "\"#VALUE!\"",
    "Reason": "wrong/null value",
    "SemanticTypeIri": "urn:effortless:pko-extension#CellDisagreement",
    "Name": "effortless-xlsx|SendIntents.IsSelfWitnessedDecision @ si-003",
    "Substrate": "effortless-xlsx",
    "RulebookField": "SendIntents.IsSelfWitnessedDecision"
   },
   {
    "CellDisagreementId": "effortless-xlsx|SendIntents.IsSelfWitnessedDecision|si-004",
    "FieldDisagreement": "effortless-xlsx|SendIntents.IsSelfWitnessedDecision",
    "RecordId": "si-004",
    "ExpectedValue": "true",
    "ActualValue": "\"#VALUE!\"",
    "Reason": "wrong/null value",
    "SemanticTypeIri": "urn:effortless:pko-extension#CellDisagreement",
    "Name": "effortless-xlsx|SendIntents.IsSelfWitnessedDecision @ si-004",
    "Substrate": "effortless-xlsx",
    "RulebookField": "SendIntents.IsSelfWitnessedDecision"
   },
   {
    "CellDisagreementId": "effortless-xlsx|SendIntents.IsSelfWitnessedDecision|si-005",
    "FieldDisagreement": "effortless-xlsx|SendIntents.IsSelfWitnessedDecision",
    "RecordId": "si-005",
    "ExpectedValue": "true",
    "ActualValue": "\"#VALUE!\"",
    "Reason": "wrong/null value",
    "SemanticTypeIri": "urn:effortless:pko-extension#CellDisagreement",
    "Name": "effortless-xlsx|SendIntents.IsSelfWitnessedDecision @ si-005",
    "Substrate": "effortless-xlsx",
    "RulebookField": "SendIntents.IsSelfWitnessedDecision"
   },
   {
    "CellDisagreementId": "effortless-xlsx|SendIntents.IsSelfWitnessedDecision|si-006",
    "FieldDisagreement": "effortless-xlsx|SendIntents.IsSelfWitnessedDecision",
    "RecordId": "si-006",
    "ExpectedValue": "true",
    "ActualValue": "\"#VALUE!\"",
    "Reason": "wrong/null value",
    "SemanticTypeIri": "urn:effortless:pko-extension#CellDisagreement",
    "Name": "effortless-xlsx|SendIntents.IsSelfWitnessedDecision @ si-006",
    "Substrate": "effortless-xlsx",
    "RulebookField": "SendIntents.IsSelfWitnessedDecision"
   },
   {
    "CellDisagreementId": "effortless-xlsx|SendIntents.IsSelfWitnessedDecision|si-007",
    "FieldDisagreement": "effortless-xlsx|SendIntents.IsSelfWitnessedDecision",
    "RecordId": "si-007",
    "ExpectedValue": "true",
    "ActualValue": "\"#VALUE!\"",
    "Reason": "wrong/null value",
    "SemanticTypeIri": "urn:effortless:pko-extension#CellDisagreement",
    "Name": "effortless-xlsx|SendIntents.IsSelfWitnessedDecision @ si-007",
    "Substrate": "effortless-xlsx",
    "RulebookField": "SendIntents.IsSelfWitnessedDecision"
   },
   {
    "CellDisagreementId": "effortless-xlsx|SendIntents.IsProperlyHandledRefusal|si-002",
    "FieldDisagreement": "effortless-xlsx|SendIntents.IsProperlyHandledRefusal",
    "RecordId": "si-002",
    "ExpectedValue": "false",
    "ActualValue": "\"#VALUE!\"",
    "Reason": "wrong/null value",
    "SemanticTypeIri": "urn:effortless:pko-extension#CellDisagreement",
    "Name": "effortless-xlsx|SendIntents.IsProperlyHandledRefusal @ si-002",
    "Substrate": "effortless-xlsx",
    "RulebookField": "SendIntents.IsProperlyHandledRefusal"
   },
   {
    "CellDisagreementId": "effortless-xlsx|SendIntents.IsProperlyHandledRefusal|si-003",
    "FieldDisagreement": "effortless-xlsx|SendIntents.IsProperlyHandledRefusal",
    "RecordId": "si-003",
    "ExpectedValue": "false",
    "ActualValue": "\"#VALUE!\"",
    "Reason": "wrong/null value",
    "SemanticTypeIri": "urn:effortless:pko-extension#CellDisagreement",
    "Name": "effortless-xlsx|SendIntents.IsProperlyHandledRefusal @ si-003",
    "Substrate": "effortless-xlsx",
    "RulebookField": "SendIntents.IsProperlyHandledRefusal"
   },
   {
    "CellDisagreementId": "effortless-xlsx|SendIntents.IsProperlyHandledRefusal|si-004",
    "FieldDisagreement": "effortless-xlsx|SendIntents.IsProperlyHandledRefusal",
    "RecordId": "si-004",
    "ExpectedValue": "false",
    "ActualValue": "\"#VALUE!\"",
    "Reason": "wrong/null value",
    "SemanticTypeIri": "urn:effortless:pko-extension#CellDisagreement",
    "Name": "effortless-xlsx|SendIntents.IsProperlyHandledRefusal @ si-004",
    "Substrate": "effortless-xlsx",
    "RulebookField": "SendIntents.IsProperlyHandledRefusal"
   },
   {
    "CellDisagreementId": "effortless-xlsx|SendIntents.IsProperlyHandledRefusal|si-005",
    "FieldDisagreement": "effortless-xlsx|SendIntents.IsProperlyHandledRefusal",
    "RecordId": "si-005",
    "ExpectedValue": "false",
    "ActualValue": "\"#VALUE!\"",
    "Reason": "wrong/null value",
    "SemanticTypeIri": "urn:effortless:pko-extension#CellDisagreement",
    "Name": "effortless-xlsx|SendIntents.IsProperlyHandledRefusal @ si-005",
    "Substrate": "effortless-xlsx",
    "RulebookField": "SendIntents.IsProperlyHandledRefusal"
   },
   {
    "CellDisagreementId": "effortless-xlsx|SendIntents.IsProperlyHandledRefusal|si-006",
    "FieldDisagreement": "effortless-xlsx|SendIntents.IsProperlyHandledRefusal",
    "RecordId": "si-006",
    "ExpectedValue": "false",
    "ActualValue": "\"#VALUE!\"",
    "Reason": "wrong/null value",
    "SemanticTypeIri": "urn:effortless:pko-extension#CellDisagreement",
    "Name": "effortless-xlsx|SendIntents.IsProperlyHandledRefusal @ si-006",
    "Substrate": "effortless-xlsx",
    "RulebookField": "SendIntents.IsProperlyHandledRefusal"
   },
   {
    "CellDisagreementId": "effortless-xlsx|SendIntents.OptOutGatePassed|si-007",
    "FieldDisagreement": "effortless-xlsx|SendIntents.OptOutGatePassed",
    "RecordId": "si-007",
    "ExpectedValue": "true",
    "ActualValue": "false",
    "Reason": "wrong/null value",
    "SemanticTypeIri": "urn:effortless:pko-extension#CellDisagreement",
    "Name": "effortless-xlsx|SendIntents.OptOutGatePassed @ si-007",
    "Substrate": "effortless-xlsx",
    "RulebookField": "SendIntents.OptOutGatePassed"
   },
   {
    "CellDisagreementId": "effortless-xlsx|SendIntents.ContentGatePassed|si-007",
    "FieldDisagreement": "effortless-xlsx|SendIntents.ContentGatePassed",
    "RecordId": "si-007",
    "ExpectedValue": "true",
    "ActualValue": "false",
    "Reason": "wrong/null value",
    "SemanticTypeIri": "urn:effortless:pko-extension#CellDisagreement",
    "Name": "effortless-xlsx|SendIntents.ContentGatePassed @ si-007",
    "Substrate": "effortless-xlsx",
    "RulebookField": "SendIntents.ContentGatePassed"
   },
   {
    "CellDisagreementId": "effortless-xlsx|SendIntents.IsClearedToSend|si-007",
    "FieldDisagreement": "effortless-xlsx|SendIntents.IsClearedToSend",
    "RecordId": "si-007",
    "ExpectedValue": "true",
    "ActualValue": "false",
    "Reason": "wrong/null value",
    "SemanticTypeIri": "urn:effortless:pko-extension#CellDisagreement",
    "Name": "effortless-xlsx|SendIntents.IsClearedToSend @ si-007",
    "Substrate": "effortless-xlsx",
    "RulebookField": "SendIntents.IsClearedToSend"
   },
   {
    "CellDisagreementId": "effortless-xlsx|SendIntents.BlockingGateName|si-007",
    "FieldDisagreement": "effortless-xlsx|SendIntents.BlockingGateName",
    "RecordId": "si-007",
    "ExpectedValue": "null",
    "ActualValue": "\"Content\"",
    "Reason": "wrong/null value",
    "SemanticTypeIri": "urn:effortless:pko-extension#CellDisagreement",
    "Name": "effortless-xlsx|SendIntents.BlockingGateName @ si-007",
    "Substrate": "effortless-xlsx",
    "RulebookField": "SendIntents.BlockingGateName"
   },
   {
    "CellDisagreementId": "effortless-xlsx|SendIntents.IsOverriddenRefusal|si-007",
    "FieldDisagreement": "effortless-xlsx|SendIntents.IsOverriddenRefusal",
    "RecordId": "si-007",
    "ExpectedValue": "false",
    "ActualValue": "true",
    "Reason": "wrong/null value",
    "SemanticTypeIri": "urn:effortless:pko-extension#CellDisagreement",
    "Name": "effortless-xlsx|SendIntents.IsOverriddenRefusal @ si-007",
    "Substrate": "effortless-xlsx",
    "RulebookField": "SendIntents.IsOverriddenRefusal"
   },
   {
    "CellDisagreementId": "effortless-xlsx|SendIntents.RefusalFailureExecutionKey|si-007",
    "FieldDisagreement": "effortless-xlsx|SendIntents.RefusalFailureExecutionKey",
    "RecordId": "si-007",
    "ExpectedValue": "null",
    "ActualValue": "\"exec-policy-hr4821\"",
    "Reason": "wrong/null value",
    "SemanticTypeIri": "urn:effortless:pko-extension#CellDisagreement",
    "Name": "effortless-xlsx|SendIntents.RefusalFailureExecutionKey @ si-007",
    "Substrate": "effortless-xlsx",
    "RulebookField": "SendIntents.RefusalFailureExecutionKey"
   },
   {
    "CellDisagreementId": "effortless-xlsx|SendIntents.RefusedOnApprovedContent|si-007",
    "FieldDisagreement": "effortless-xlsx|SendIntents.RefusedOnApprovedContent",
    "RecordId": "si-007",
    "ExpectedValue": "false",
    "ActualValue": "true",
    "Reason": "wrong/null value",
    "SemanticTypeIri": "urn:effortless:pko-extension#CellDisagreement",
    "Name": "effortless-xlsx|SendIntents.RefusedOnApprovedContent @ si-007",
    "Substrate": "effortless-xlsx",
    "RulebookField": "SendIntents.RefusedOnApprovedContent"
   },
   {
    "CellDisagreementId": "effortless-xlsx|SendIntents.RefusedOnOptOutOnly|si-007",
    "FieldDisagreement": "effortless-xlsx|SendIntents.RefusedOnOptOutOnly",
    "RecordId": "si-007",
    "ExpectedValue": "false",
    "ActualValue": "true",
    "Reason": "wrong/null value",
    "SemanticTypeIri": "urn:effortless:pko-extension#CellDisagreement",
    "Name": "effortless-xlsx|SendIntents.RefusedOnOptOutOnly @ si-007",
    "Substrate": "effortless-xlsx",
    "RulebookField": "SendIntents.RefusedOnOptOutOnly"
   },
   {
    "CellDisagreementId": "effortless-xlsx|SendIntents.RefusalWasOnMyRules|si-007",
    "FieldDisagreement": "effortless-xlsx|SendIntents.RefusalWasOnMyRules",
    "RecordId": "si-007",
    "ExpectedValue": "false",
    "ActualValue": "true",
    "Reason": "wrong/null value",
    "SemanticTypeIri": "urn:effortless:pko-extension#CellDisagreement",
    "Name": "effortless-xlsx|SendIntents.RefusalWasOnMyRules @ si-007",
    "Substrate": "effortless-xlsx",
    "RulebookField": "SendIntents.RefusalWasOnMyRules"
   },
   {
    "CellDisagreementId": "effortless-xlsx|SendIntents.IsRefusedWithNoAlternative|si-007",
    "FieldDisagreement": "effortless-xlsx|SendIntents.IsRefusedWithNoAlternative",
    "RecordId": "si-007",
    "ExpectedValue": "false",
    "ActualValue": "true",
    "Reason": "wrong/null value",
    "SemanticTypeIri": "urn:effortless:pko-extension#CellDisagreement",
    "Name": "effortless-xlsx|SendIntents.IsRefusedWithNoAlternative @ si-007",
    "Substrate": "effortless-xlsx",
    "RulebookField": "SendIntents.IsRefusedWithNoAlternative"
   },
   {
    "CellDisagreementId": "effortless-xlsx|SendIntents.IsUnescalatedRefusal|si-007",
    "FieldDisagreement": "effortless-xlsx|SendIntents.IsUnescalatedRefusal",
    "RecordId": "si-007",
    "ExpectedValue": "false",
    "ActualValue": "true",
    "Reason": "wrong/null value",
    "SemanticTypeIri": "urn:effortless:pko-extension#CellDisagreement",
    "Name": "effortless-xlsx|SendIntents.IsUnescalatedRefusal @ si-007",
    "Substrate": "effortless-xlsx",
    "RulebookField": "SendIntents.IsUnescalatedRefusal"
   },
   {
    "CellDisagreementId": "effortless-xlsx|AgentDecisionRecords.ReviewLatencyMinutes|adr-close-extract-q2",
    "FieldDisagreement": "effortless-xlsx|AgentDecisionRecords.ReviewLatencyMinutes",
    "RecordId": "adr-close-extract-q2",
    "ExpectedValue": "4.0",
    "ActualValue": "\"#NAME?\"",
    "Reason": "wrong/null value",
    "SemanticTypeIri": "urn:effortless:pko-extension#CellDisagreement",
    "Name": "effortless-xlsx|AgentDecisionRecords.ReviewLatencyMinutes @ adr-close-extract-q2",
    "Substrate": "effortless-xlsx",
    "RulebookField": "AgentDecisionRecords.ReviewLatencyMinutes"
   },
   {
    "CellDisagreementId": "effortless-xlsx|AgentDecisionRecords.ReviewLatencyMinutes|adr-close-freeze-q2",
    "FieldDisagreement": "effortless-xlsx|AgentDecisionRecords.ReviewLatencyMinutes",
    "RecordId": "adr-close-freeze-q2",
    "ExpectedValue": "18.0",
    "ActualValue": "\"#NAME?\"",
    "Reason": "wrong/null value",
    "SemanticTypeIri": "urn:effortless:pko-extension#CellDisagreement",
    "Name": "effortless-xlsx|AgentDecisionRecords.ReviewLatencyMinutes @ adr-close-freeze-q2",
    "Substrate": "effortless-xlsx",
    "RulebookField": "AgentDecisionRecords.ReviewLatencyMinutes"
   },
   {
    "CellDisagreementId": "effortless-xlsx|AgentDecisionRecords.ReviewLatencyMinutes|adr-close-post-q2",
    "FieldDisagreement": "effortless-xlsx|AgentDecisionRecords.ReviewLatencyMinutes",
    "RecordId": "adr-close-post-q2",
    "ExpectedValue": "30.0",
    "ActualValue": "\"#NAME?\"",
    "Reason": "wrong/null value",
    "SemanticTypeIri": "urn:effortless:pko-extension#CellDisagreement",
    "Name": "effortless-xlsx|AgentDecisionRecords.ReviewLatencyMinutes @ adr-close-post-q2",
    "Substrate": "effortless-xlsx",
    "RulebookField": "AgentDecisionRecords.ReviewLatencyMinutes"
   },
   {
    "CellDisagreementId": "effortless-xlsx|DeliveredCommunications.Name|dc-hr4821-email-001",
    "FieldDisagreement": "effortless-xlsx|DeliveredCommunications.Name",
    "RecordId": "dc-hr4821-email-001",
    "ExpectedValue": "\"Email -&gt; emp-anon-0001 @ \"",
    "ActualValue": "\"Email -&gt; emp-anon-0001 @ 1899-12-30 00:00:00+00\"",
    "Reason": "wrong/null value",
    "SemanticTypeIri": "urn:effortless:pko-extension#CellDisagreement",
    "Name": "effortless-xlsx|DeliveredCommunications.Name @ dc-hr4821-email-001",
    "Substrate": "effortless-xlsx",
    "RulebookField": "DeliveredCommunications.Name"
   },
   {
    "CellDisagreementId": "effortless-xlsx|DeliveredCommunications.WasApprovedBeforeSending|dc-hr4821-email-001",
    "FieldDisagreement": "effortless-xlsx|DeliveredCommunications.WasApprovedBeforeSending",
    "RecordId": "dc-hr4821-email-001",
    "ExpectedValue": "false",
    "ActualValue": "true",
    "Reason": "wrong/null value",
    "SemanticTypeIri": "urn:effortless:pko-extension#CellDisagreement",
    "Name": "effortless-xlsx|DeliveredCommunications.WasApprovedBeforeSending @ dc-hr4821-email-001",
    "Substrate": "effortless-xlsx",
    "RulebookField": "DeliveredCommunications.WasApprovedBeforeSending"
   },
   {
    "CellDisagreementId": "effortless-xlsx|AuthorityBoundaries.AsOfInstant|bnd-close-04-no-ai-escalation-waiver",
    "FieldDisagreement": "effortless-xlsx|AuthorityBoundaries.AsOfInstant",
    "RecordId": "bnd-close-04-no-ai-escalation-waiver",
    "ExpectedValue": "\"2026-07-19T13:00:00-05:00\"",
    "ActualValue": "\"2026-07-19 18:00:00\"",
    "Reason": "wrong/null value",
    "SemanticTypeIri": "urn:effortless:pko-extension#CellDisagreement",
    "Name": "effortless-xlsx|AuthorityBoundaries.AsOfInstant @ bnd-close-04-no-ai-escalation-waiver",
    "Substrate": "effortless-xlsx",
    "RulebookField": "AuthorityBoundaries.AsOfInstant"
   },
   {
    "CellDisagreementId": "effortless-xlsx|AuthorityBoundaries.AsOfInstant|bnd-close-06-no-nonhuman-approval",
    "FieldDisagreement": "effortless-xlsx|AuthorityBoundaries.AsOfInstant",
    "RecordId": "bnd-close-06-no-nonhuman-approval",
    "ExpectedValue": "\"2026-07-19T13:00:00-05:00\"",
    "ActualValue": "\"2026-07-19 18:00:00\"",
    "Reason": "wrong/null value",
    "SemanticTypeIri": "urn:effortless:pko-extension#CellDisagreement",
    "Name": "effortless-xlsx|AuthorityBoundaries.AsOfInstant @ bnd-close-06-no-nonhuman-approval",
    "Substrate": "effortless-xlsx",
    "RulebookField": "AuthorityBoundaries.AsOfInstant"
   },
   {
    "CellDisagreementId": "effortless-xlsx|AuthorityBoundaries.AsOfInstant|bnd-policy-03-no-ai-commitment",
    "FieldDisagreement": "effortless-xlsx|AuthorityBoundaries.AsOfInstant",
    "RecordId": "bnd-policy-03-no-ai-commitment",
    "ExpectedValue": "\"2026-07-19T13:00:00-05:00\"",
    "ActualValue": "\"2026-07-19 18:00:00\"",
    "Reason": "wrong/null value",
    "SemanticTypeIri": "urn:effortless:pko-extension#CellDisagreement",
    "Name": "effortless-xlsx|AuthorityBoundaries.AsOfInstant @ bnd-policy-03-no-ai-commitment",
    "Substrate": "effortless-xlsx",
    "RulebookField": "AuthorityBoundaries.AsOfInstant"
   },
   {
    "CellDisagreementId": "effortless-xlsx|AuthorityBoundaries.IsUnwarranted|bnd-close-06-no-nonhuman-approval",
    "FieldDisagreement": "effortless-xlsx|AuthorityBoundaries.IsUnwarranted",
    "RecordId": "bnd-close-06-no-nonhuman-approval",
    "ExpectedValue": "true",
    "ActualValue": "\"#VALUE!\"",
    "Reason": "wrong/null value",
    "SemanticTypeIri": "urn:effortless:pko-extension#CellDisagreement",
    "Name": "effortless-xlsx|AuthorityBoundaries.IsUnwarranted @ bnd-close-06-no-nonhuman-approval",
    "Substrate": "effortless-xlsx",
    "RulebookField": "AuthorityBoundaries.IsUnwarranted"
   },
   {
    "CellDisagreementId": "effortless-xlsx|AuthorityBoundaries.WarrantIsThin|bnd-close-06-no-nonhuman-approval",
    "FieldDisagreement": "effortless-xlsx|AuthorityBoundaries.WarrantIsThin",
    "RecordId": "bnd-close-06-no-nonhuman-approval",
    "ExpectedValue": "false",
    "ActualValue": "\"#VALUE!\"",
    "Reason": "wrong/null value",
    "SemanticTypeIri": "urn:effortless:pko-extension#CellDisagreement",
    "Name": "effortless-xlsx|AuthorityBoundaries.WarrantIsThin @ bnd-close-06-no-nonhuman-approval",
    "Substrate": "effortless-xlsx",
    "RulebookField": "AuthorityBoundaries.WarrantIsThin"
   },
   {
    "CellDisagreementId": "effortless-xlsx|AuthorityBoundaries.IsUnwarrantedAndUntested|bnd-close-06-no-nonhuman-approval",
    "FieldDisagreement": "effortless-xlsx|AuthorityBoundaries.IsUnwarrantedAndUntested",
    "RecordId": "bnd-close-06-no-nonhuman-approval",
    "ExpectedValue": "true",
    "ActualValue": "\"#VALUE!\"",
    "Reason": "wrong/null value",
    "SemanticTypeIri": "urn:effortless:pko-extension#CellDisagreement",
    "Name": "effortless-xlsx|AuthorityBoundaries.IsUnwarrantedAndUntested @ bnd-close-06-no-nonhuman-approval",
    "Substrate": "effortless-xlsx",
    "RulebookField": "AuthorityBoundaries.IsUnwarrantedAndUntested"
   },
   {
    "CellDisagreementId": "effortless-xlsx|AuthorityBoundaries.UnwarrantedBoundaryStepKey|bnd-close-06-no-nonhuman-approval",
    "FieldDisagreement": "effortless-xlsx|AuthorityBoundaries.UnwarrantedBoundaryStepKey",
    "RecordId": "bnd-close-06-no-nonhuman-approval",
    "ExpectedValue": "\"close-06\"",
    "ActualValue": "\"#VALUE!\"",
    "Reason": "wrong/null value",
    "SemanticTypeIri": "urn:effortless:pko-extension#CellDisagreement",
    "Name": "effortless-xlsx|AuthorityBoundaries.UnwarrantedBoundaryStepKey @ bnd-close-06-no-nonhuman-approval",
    "Substrate": "effortless-xlsx",
    "RulebookField": "AuthorityBoundaries.UnwarrantedBoundaryStepKey"
   },
   {
    "CellDisagreementId": "effortless-xlsx|AuthorityBoundaries.RatificationLapsed|bnd-close-06-no-nonhuman-approval",
    "FieldDisagreement": "effortless-xlsx|AuthorityBoundaries.RatificationLapsed",
    "RecordId": "bnd-close-06-no-nonhuman-approval",
    "ExpectedValue": "false",
    "ActualValue": "\"#VALUE!\"",
    "Reason": "wrong/null value",
    "SemanticTypeIri": "urn:effortless:pko-extension#CellDisagreement",
    "Name": "effortless-xlsx|AuthorityBoundaries.RatificationLapsed @ bnd-close-06-no-nonhuman-approval",
    "Substrate": "effortless-xlsx",
    "RulebookField": "AuthorityBoundaries.RatificationLapsed"
   },
   {
    "CellDisagreementId": "effortless-xlsx|AuthorityBoundaries.BindsDespiteLapsedRatification|bnd-close-06-no-nonhuman-approval",
    "FieldDisagreement": "effortless-xlsx|AuthorityBoundaries.BindsDespiteLapsedRatification",
    "RecordId": "bnd-close-06-no-nonhuman-approval",
    "ExpectedValue": "false",
    "ActualValue": "\"#VALUE!\"",
    "Reason": "wrong/null value",
    "SemanticTypeIri": "urn:effortless:pko-extension#CellDisagreement",
    "Name": "effortless-xlsx|AuthorityBoundaries.BindsDespiteLapsedRatification @ bnd-close-06-no-nonhuman-approval",
    "Substrate": "effortless-xlsx",
    "RulebookField": "AuthorityBoundaries.BindsDespiteLapsedRatification"
   },
   {
    "CellDisagreementId": "effortless-xlsx|AuthorityBoundaries.IsUngroundedAndUntested|bnd-close-06-no-nonhuman-approval",
    "FieldDisagreement": "effortless-xlsx|AuthorityBoundaries.IsUngroundedAndUntested",
    "RecordId": "bnd-close-06-no-nonhuman-approval",
    "ExpectedValue": "false",
    "ActualValue": "\"#VALUE!\"",
    "Reason": "wrong/null value",
    "SemanticTypeIri": "urn:effortless:pko-extension#CellDisagreement",
    "Name": "effortless-xlsx|AuthorityBoundaries.IsUngroundedAndUntested @ bnd-close-06-no-nonhuman-approval",
    "Substrate": "effortless-xlsx",
    "RulebookField": "AuthorityBoundaries.IsUngroundedAndUntested"
   },
   {
    "CellDisagreementId": "effortless-xlsx|AuthorityBoundaries.ConstrainedRoleAssignmentKey|bnd-close-06-no-nonhuman-approval",
    "FieldDisagreement": "effortless-xlsx|AuthorityBoundaries.ConstrainedRoleAssignmentKey",
    "RecordId": "bnd-close-06-no-nonhuman-approval",
    "ExpectedValue": "null",
    "ActualValue": "\"#VALUE!\"",
    "Reason": "wrong/null value",
    "SemanticTypeIri": "urn:effortless:pko-extension#CellDisagreement",
    "Name": "effortless-xlsx|AuthorityBoundaries.ConstrainedRoleAssignmentKey @ bnd-close-06-no-nonhuman-approval",
    "Substrate": "effortless-xlsx",
    "RulebookField": "AuthorityBoundaries.ConstrainedRoleAssignmentKey"
   },
   {
    "CellDisagreementId": "effortless-xlsx|RulebookTables.FieldCount|AccessDenialTests",
    "FieldDisagreement": "effortless-xlsx|RulebookTables.FieldCount",
    "RecordId": "AccessDenialTests",
    "ExpectedValue": "18",
    "ActualValue": "0",
    "Reason": "wrong/null value",
    "SemanticTypeIri": "urn:effortless:pko-extension#CellDisagreement",
    "Name": "effortless-xlsx|RulebookTables.FieldCount @ AccessDenialTests",
    "Substrate": "effortless-xlsx",
    "RulebookField": "RulebookTables.FieldCount"
   },
   {
    "CellDisagreementId": "effortless-xlsx|RulebookTables.FieldCount|AccessPolicies",
    "FieldDisagreement": "effortless-xlsx|RulebookTables.FieldCount",
    "RecordId": "AccessPolicies",
    "ExpectedValue": "16",
    "ActualValue": "0",
    "Reason": "wrong/null value",
    "SemanticTypeIri": "urn:effortless:pko-extension#CellDisagreement",
    "Name": "effortless-xlsx|RulebookTables.FieldCount @ AccessPolicies",
    "Substrate": "effortless-xlsx",
    "RulebookField": "RulebookTables.FieldCount"
   },
   {
    "CellDisagreementId": "effortless-xlsx|RulebookTables.FieldCount|AccessPrincipals",
    "FieldDisagreement": "effortless-xlsx|RulebookTables.FieldCount",
    "RecordId": "AccessPrincipals",
    "ExpectedValue": "15",
    "ActualValue": "0",
    "Reason": "wrong/null value",
    "SemanticTypeIri": "urn:effortless:pko-extension#CellDisagreement",
    "Name": "effortless-xlsx|RulebookTables.FieldCount @ AccessPrincipals",
    "Substrate": "effortless-xlsx",
    "RulebookField": "RulebookTables.FieldCount"
   },
   {
    "CellDisagreementId": "effortless-xlsx|RulebookTables.FieldCount|AgentDecisionRecords",
    "FieldDisagreement": "effortless-xlsx|RulebookTables.FieldCount",
    "RecordId": "AgentDecisionRecords",
    "ExpectedValue": "40",
    "ActualValue": "0",
    "Reason": "wrong/null value",
    "SemanticTypeIri": "urn:effortless:pko-extension#CellDisagreement",
    "Name": "effortless-xlsx|RulebookTables.FieldCount @ AgentDecisionRecords",
    "Substrate": "effortless-xlsx",
    "RulebookField": "RulebookTables.FieldCount"
   },
   {
    "CellDisagreementId": "effortless-xlsx|RulebookTables.FieldCount|AppNavGroups",
    "FieldDisagreement": "effortless-xlsx|RulebookTables.FieldCount",
    "RecordId": "AppNavGroups",
    "ExpectedValue": "5",
    "ActualValue": "0",
    "Reason": "wrong/null value",
    "SemanticTypeIri": "urn:effortless:pko-extension#CellDisagreement",
    "Name": "effortless-xlsx|RulebookTables.FieldCount @ AppNavGroups",
    "Substrate": "effortless-xlsx",
    "RulebookField": "RulebookTables.FieldCount"
   },
   {
    "CellDisagreementId": "effortless-xlsx|RulebookTables.FieldCount|AppRoleProfiles",
    "FieldDisagreement": "effortless-xlsx|RulebookTables.FieldCount",
    "RecordId": "AppRoleProfiles",
    "ExpectedVal</t>
  </si>
  <si>
    <t xml:space="preserve">ue": "12",
    "ActualValue": "0",
    "Reason": "wrong/null value",
    "SemanticTypeIri": "urn:effortless:pko-extension#CellDisagreement",
    "Name": "effortless-xlsx|RulebookTables.FieldCount @ AppRoleProfiles",
    "Substrate": "effortless-xlsx",
    "RulebookField": "RulebookTables.FieldCount"
   },
   {
    "CellDisagreementId": "effortless-xlsx|RulebookTables.FieldCount|AppRouteQuestions",
    "FieldDisagreement": "effortless-xlsx|RulebookTables.FieldCount",
    "RecordId": "AppRouteQuestions",
    "ExpectedValue": "5",
    "ActualValue": "0",
    "Reason": "wrong/null value",
    "SemanticTypeIri": "urn:effortless:pko-extension#CellDisagreement",
    "Name": "effortless-xlsx|RulebookTables.FieldCount @ AppRouteQuestions",
    "Substrate": "effortless-xlsx",
    "RulebookField": "RulebookTables.FieldCount"
   },
   {
    "CellDisagreementId": "effortless-xlsx|RulebookTables.FieldCount|AppRouteReferences",
    "FieldDisagreement": "effortless-xlsx|RulebookTables.FieldCount",
    "RecordId": "AppRouteReferences",
    "ExpectedValue": "5",
    "ActualValue": "0",
    "Reason": "wrong/null value",
    "SemanticTypeIri": "urn:effortless:pko-extension#CellDisagreement",
    "Name": "effortless-xlsx|RulebookTables.FieldCount @ AppRouteReferences",
    "Substrate": "effortless-xlsx",
    "RulebookField": "RulebookTables.FieldCount"
   },
   {
    "CellDisagreementId": "effortless-xlsx|RulebookTables.FieldCount|AppRoutes",
    "FieldDisagreement": "effortless-xlsx|RulebookTables.FieldCount",
    "RecordId": "AppRoutes",
    "ExpectedValue": "18",
    "ActualValue": "0",
    "Reason": "wrong/null value",
    "SemanticTypeIri": "urn:effortless:pko-extension#CellDisagreement",
    "Name": "effortless-xlsx|RulebookTables.FieldCount @ AppRoutes",
    "Substrate": "effortless-xlsx",
    "RulebookField": "RulebookTables.FieldCount"
   },
   {
    "CellDisagreementId": "effortless-xlsx|RulebookTables.FieldCount|Attestations",
    "FieldDisagreement": "effortless-xlsx|RulebookTables.FieldCount",
    "RecordId": "Attestations",
    "ExpectedValue": "12",
    "ActualValue": "0",
    "Reason": "wrong/null value",
    "SemanticTypeIri": "urn:effortless:pko-extension#CellDisagreement",
    "Name": "effortless-xlsx|RulebookTables.FieldCount @ Attestations",
    "Substrate": "effortless-xlsx",
    "RulebookField": "RulebookTables.FieldCount"
   },
   {
    "CellDisagreementId": "effortless-xlsx|RulebookTables.FieldCount|AuthorityBoundaries",
    "FieldDisagreement": "effortless-xlsx|RulebookTables.FieldCount",
    "RecordId": "AuthorityBoundaries",
    "ExpectedValue": "33",
    "ActualValue": "0",
    "Reason": "wrong/null value",
    "SemanticTypeIri": "urn:effortless:pko-extension#CellDisagreement",
    "Name": "effortless-xlsx|RulebookTables.FieldCount @ AuthorityBoundaries",
    "Substrate": "effortless-xlsx",
    "RulebookField": "RulebookTables.FieldCount"
   },
   {
    "CellDisagreementId": "effortless-xlsx|RulebookTables.FieldCount|BindingObservations",
    "FieldDisagreement": "effortless-xlsx|RulebookTables.FieldCount",
    "RecordId": "BindingObservations",
    "ExpectedValue": "11",
    "ActualValue": "0",
    "Reason": "wrong/null value",
    "SemanticTypeIri": "urn:effortless:pko-extension#CellDisagreement",
    "Name": "effortless-xlsx|RulebookTables.FieldCount @ BindingObservations",
    "Substrate": "effortless-xlsx",
    "RulebookField": "RulebookTables.FieldCount"
   },
   {
    "CellDisagreementId": "effortless-xlsx|RulebookTables.FieldCount|CellDisagreements",
    "FieldDisagreement": "effortless-xlsx|RulebookTables.FieldCount",
    "RecordId": "CellDisagreements",
    "ExpectedValue": "10",
    "ActualValue": "0",
    "Reason": "wrong/null value",
    "SemanticTypeIri": "urn:effortless:pko-extension#CellDisagreement",
    "Name": "effortless-xlsx|RulebookTables.FieldCount @ CellDisagreements",
    "Substrate": "effortless-xlsx",
    "RulebookField": "RulebookTables.FieldCount"
   },
   {
    "CellDisagreementId": "effortless-xlsx|RulebookTables.FieldCount|CommunicationPolicies",
    "FieldDisagreement": "effortless-xlsx|RulebookTables.FieldCount",
    "RecordId": "CommunicationPolicies",
    "ExpectedValue": "22",
    "ActualValue": "0",
    "Reason": "wrong/null value",
    "SemanticTypeIri": "urn:effortless:pko-extension#CellDisagreement",
    "Name": "effortless-xlsx|RulebookTables.FieldCount @ CommunicationPolicies",
    "Substrate": "effortless-xlsx",
    "RulebookField": "RulebookTables.FieldCount"
   },
   {
    "CellDisagreementId": "effortless-xlsx|RulebookTables.FieldCount|ConformanceRuns",
    "FieldDisagreement": "effortless-xlsx|RulebookTables.FieldCount",
    "RecordId": "ConformanceRuns",
    "ExpectedValue": "16",
    "ActualValue": "0",
    "Reason": "wrong/null value",
    "SemanticTypeIri": "urn:effortless:pko-extension#CellDisagreement",
    "Name": "effortless-xlsx|RulebookTables.FieldCount @ ConformanceRuns",
    "Substrate": "effortless-xlsx",
    "RulebookField": "RulebookTables.FieldCount"
   },
   {
    "CellDisagreementId": "effortless-xlsx|RulebookTables.FieldCount|ConformanceSubstrates",
    "FieldDisagreement": "effortless-xlsx|RulebookTables.FieldCount",
    "RecordId": "ConformanceSubstrates",
    "ExpectedValue": "20",
    "ActualValue": "0",
    "Reason": "wrong/null value",
    "SemanticTypeIri": "urn:effortless:pko-extension#CellDisagreement",
    "Name": "effortless-xlsx|RulebookTables.FieldCount @ ConformanceSubstrates",
    "Substrate": "effortless-xlsx",
    "RulebookField": "RulebookTables.FieldCount"
   },
   {
    "CellDisagreementId": "effortless-xlsx|RulebookTables.FieldCount|DeliveredCommunications",
    "FieldDisagreement": "effortless-xlsx|RulebookTables.FieldCount",
    "RecordId": "DeliveredCommunications",
    "ExpectedValue": "18",
    "ActualValue": "0",
    "Reason": "wrong/null value",
    "SemanticTypeIri": "urn:effortless:pko-extension#CellDisagreement",
    "Name": "effortless-xlsx|RulebookTables.FieldCount @ DeliveredCommunications",
    "Substrate": "effortless-xlsx",
    "RulebookField": "RulebookTables.FieldCount"
   },
   {
    "CellDisagreementId": "effortless-xlsx|RulebookTables.FieldCount|ERBCustomizations",
    "FieldDisagreement": "effortless-xlsx|RulebookTables.FieldCount",
    "RecordId": "ERBCustomizations",
    "ExpectedValue": "6",
    "ActualValue": "0",
    "Reason": "wrong/null value",
    "SemanticTypeIri": "urn:effortless:pko-extension#CellDisagreement",
    "Name": "effortless-xlsx|RulebookTables.FieldCount @ ERBCustomizations",
    "Substrate": "effortless-xlsx",
    "RulebookField": "RulebookTables.FieldCount"
   },
   {
    "CellDisagreementId": "effortless-xlsx|RulebookTables.FieldCount|ERBVersions",
    "FieldDisagreement": "effortless-xlsx|RulebookTables.FieldCount",
    "RecordId": "ERBVersions",
    "ExpectedValue": "7",
    "ActualValue": "0",
    "Reason": "wrong/null value",
    "SemanticTypeIri": "urn:effortless:pko-extension#CellDisagreement",
    "Name": "effortless-xlsx|RulebookTables.FieldCount @ ERBVersions",
    "Substrate": "effortless-xlsx",
    "RulebookField": "RulebookTables.FieldCount"
   },
   {
    "CellDisagreementId": "effortless-xlsx|RulebookTables.FieldCount|ExceptionInvocations",
    "FieldDisagreement": "effortless-xlsx|RulebookTables.FieldCount",
    "RecordId": "ExceptionInvocations",
    "ExpectedValue": "21",
    "ActualValue": "0",
    "Reason": "wrong/null value",
    "SemanticTypeIri": "urn:effortless:pko-extension#CellDisagreement",
    "Name": "effortless-xlsx|RulebookTables.FieldCount @ ExceptionInvocations",
    "Substrate": "effortless-xlsx",
    "RulebookField": "RulebookTables.FieldCount"
   },
   {
    "CellDisagreementId": "effortless-xlsx|AccessPrincipals.GrantCount|principal-knowledge-authority",
    "FieldDisagreement": "effortless-xlsx|AccessPrincipals.GrantCount",
    "RecordId": "principal-knowledge-authority",
    "ExpectedValue": "1603",
    "ActualValue": "0",
    "Reason": "wrong/null value",
    "SemanticTypeIri": "urn:effortless:pko-extension#CellDisagreement",
    "Name": "effortless-xlsx|AccessPrincipals.GrantCount @ principal-knowledge-authority",
    "Substrate": "effortless-xlsx",
    "RulebookField": "AccessPrincipals.GrantCount"
   },
   {
    "CellDisagreementId": "effortless-xlsx|AccessPrincipals.GrantCount|principal-process-steward",
    "FieldDisagreement": "effortless-xlsx|AccessPrincipals.GrantCount",
    "RecordId": "principal-process-steward",
    "ExpectedValue": "1603",
    "ActualValue": "565",
    "Reason": "wrong/null value",
    "SemanticTypeIri": "urn:effortless:pko-extension#CellDisagreement",
    "Name": "effortless-xlsx|AccessPrincipals.GrantCount @ principal-process-steward",
    "Substrate": "effortless-xlsx",
    "RulebookField": "AccessPrincipals.GrantCount"
   },
   {
    "CellDisagreementId": "effortless-xlsx|FieldGrants.FieldTable|fg-cfo-AuthorityBoundaries.AuthorityBoundaryId",
    "FieldDisagreement": "effortless-xlsx|FieldGrants.FieldTable",
    "RecordId": "fg-cfo-AuthorityBoundaries.AuthorityBoundaryId",
    "ExpectedValue": "\"AuthorityBoundaries\"",
    "ActualValue": "null",
    "Reason": "wrong/null value",
    "SemanticTypeIri": "urn:effortless:pko-extension#CellDisagreement",
    "Name": "effortless-xlsx|FieldGrants.FieldTable @ fg-cfo-AuthorityBoundaries.AuthorityBoundaryId",
    "Substrate": "effortless-xlsx",
    "RulebookField": "FieldGrants.FieldTable"
   },
   {
    "CellDisagreementId": "effortless-xlsx|FieldGrants.FieldTable|fg-cfo-AuthorityBoundaries.AuthorityRole",
    "FieldDisagreement": "effortless-xlsx|FieldGrants.FieldTable",
    "RecordId": "fg-cfo-AuthorityBoundaries.AuthorityRole",
    "ExpectedValue": "\"AuthorityBoundaries\"",
    "ActualValue": "null",
    "Reason": "wrong/null value",
    "SemanticTypeIri": "urn:effortless:pko-extension#CellDisagreement",
    "Name": "effortless-xlsx|FieldGrants.FieldTable @ fg-cfo-AuthorityBoundaries.AuthorityRole",
    "Substrate": "effortless-xlsx",
    "RulebookField": "FieldGrants.FieldTable"
   },
   {
    "CellDisagreementId": "effortless-xlsx|FieldGrants.FieldTable|fg-cfo-AuthorityBoundaries.ForbiddenAgentKind",
    "FieldDisagreement": "effortless-xlsx|FieldGrants.FieldTable",
    "RecordId": "fg-cfo-AuthorityBoundaries.ForbiddenAgentKind",
    "ExpectedValue": "\"AuthorityBoundaries\"",
    "ActualValue": "null",
    "Reason": "wrong/null value",
    "SemanticTypeIri": "urn:effortless:pko-extension#CellDisagreement",
    "Name": "effortless-xlsx|FieldGrants.FieldTable @ fg-cfo-AuthorityBoundaries.ForbiddenAgentKind",
    "Substrate": "effortless-xlsx",
    "RulebookField": "FieldGrants.FieldTable"
   },
   {
    "CellDisagreementId": "effortless-xlsx|FieldGrants.FieldTable|fg-cfo-AuthorityBoundaries.ForbiddenDecisionKind",
    "FieldDisagreement": "effortless-xlsx|FieldGrants.FieldTable",
    "RecordId": "fg-cfo-AuthorityBoundaries.ForbiddenDecisionKind",
    "ExpectedValue": "\"AuthorityBoundaries\"",
    "ActualValue": "null",
    "Reason": "wrong/null value",
    "SemanticTypeIri": "urn:effortless:pko-extension#CellDisagreement",
    "Name": "effortless-xlsx|FieldGrants.FieldTable @ fg-cfo-AuthorityBoundaries.ForbiddenDecisionKind",
    "Substrate": "effortless-xlsx",
    "RulebookField": "FieldGrants.FieldTable"
   },
   {
    "CellDisagreementId": "effortless-xlsx|FieldGrants.FieldTable|fg-cfo-AuthorityBoundaries.Name",
    "FieldDisagreement": "effortless-xlsx|FieldGrants.FieldTable",
    "RecordId": "fg-cfo-AuthorityBoundaries.Name",
    "ExpectedValue": "\"AuthorityBoundaries\"",
    "ActualValue": "null",
    "Reason": "wrong/null value",
    "SemanticTypeIri": "urn:effortless:pko-extension#CellDisagreement",
    "Name": "effortless-xlsx|FieldGrants.FieldTable @ fg-cfo-AuthorityBoundaries.Name",
    "Substrate": "effortless-xlsx",
    "RulebookField": "FieldGrants.FieldTable"
   },
   {
    "CellDisagreementId": "effortless-xlsx|FieldGrants.FieldTable|fg-cfo-AuthorityBoundaries.Status",
    "FieldDisagreement": "effortless-xlsx|FieldGrants.FieldTable",
    "RecordId": "fg-cfo-AuthorityBoundaries.Status",
    "ExpectedValue": "\"AuthorityBoundaries\"",
    "ActualValue": "null",
    "Reason": "wrong/null value",
    "SemanticTypeIri": "urn:effortless:pko-extension#CellDisagreement",
    "Name": "effortless-xlsx|FieldGrants.FieldTable @ fg-cfo-AuthorityBoundaries.Status",
    "Substrate": "effortless-xlsx",
    "RulebookField": "FieldGrants.FieldTable"
   },
   {
    "CellDisagreementId": "effortless-xlsx|FieldGrants.FieldTable|fg-cfo-AuthorityBoundaries.Step",
    "FieldDisagreement": "effortless-xlsx|FieldGrants.FieldTable",
    "RecordId": "fg-cfo-AuthorityBoundaries.Step",
    "ExpectedValue": "\"AuthorityBoundaries\"",
    "ActualValue": "null",
    "Reason": "wrong/null value",
    "SemanticTypeIri": "urn:effortless:pko-extension#CellDisagreement",
    "Name": "effortless-xlsx|FieldGrants.FieldTable @ fg-cfo-AuthorityBoundaries.Step",
    "Substrate": "effortless-xlsx",
    "RulebookField": "FieldGrants.FieldTable"
   },
   {
    "CellDisagreementId": "effortless-xlsx|FieldGrants.FieldTable|fg-communications-manager-CommunicationPolicies.ApprovalRole",
    "FieldDisagreement": "effortless-xlsx|FieldGrants.FieldTable",
    "RecordId": "fg-communications-manager-CommunicationPolicies.ApprovalRole",
    "ExpectedValue": "\"CommunicationPolicies\"",
    "ActualValue": "null",
    "Reason": "wrong/null value",
    "SemanticTypeIri": "urn:effortless:pko-extension#CellDisagreement",
    "Name": "effortless-xlsx|FieldGrants.FieldTable @ fg-communications-manager-CommunicationPolicies.ApprovalRole",
    "Substrate": "effortless-xlsx",
    "RulebookField": "FieldGrants.FieldTable"
   },
   {
    "CellDisagreementId": "effortless-xlsx|FieldGrants.FieldTable|fg-communications-manager-CommunicationPolicies.AudienceRule",
    "FieldDisagreement": "effortless-xlsx|FieldGrants.FieldTable",
    "RecordId": "fg-communications-manager-CommunicationPolicies.AudienceRule",
    "ExpectedValue": "\"CommunicationPolicies\"",
    "ActualValue": "null",
    "Reason": "wrong/null value",
    "SemanticTypeIri": "urn:effortless:pko-extension#CellDisagreement",
    "Name": "effortless-xlsx|FieldGrants.FieldTable @ fg-communications-manager-CommunicationPolicies.AudienceRule",
    "Substrate": "effortless-xlsx",
    "RulebookField": "FieldGrants.FieldTable"
   },
   {
    "CellDisagreementId": "effortless-xlsx|FieldGrants.FieldTable|fg-communications-manager-CommunicationPolicies.AuthorityStatement",
    "FieldDisagreement": "effortless-xlsx|FieldGrants.FieldTable",
    "RecordId": "fg-communications-manager-CommunicationPolicies.AuthorityStatement",
    "ExpectedValue": "\"CommunicationPolicies\"",
    "ActualValue": "null",
    "Reason": "wrong/null value",
    "SemanticTypeIri": "urn:effortless:pko-extension#CellDisagreement",
    "Name": "effortless-xlsx|FieldGrants.FieldTable @ fg-communications-manager-CommunicationPolicies.AuthorityStatement",
    "Substrate": "effortless-xlsx",
    "RulebookField": "FieldGrants.FieldTable"
   },
   {
    "CellDisagreementId": "effortless-xlsx|FieldGrants.FieldTable|fg-communications-manager-CommunicationPolicies.Channel",
    "FieldDisagreement": "effortless-xlsx|FieldGrants.FieldTable",
    "RecordId": "fg-communications-manager-CommunicationPolicies.Channel",
    "ExpectedValue": "\"CommunicationPolicies\"",
    "ActualValue": "null",
    "Reason": "wrong/null value",
    "SemanticTypeIri": "urn:effortless:pko-extension#CellDisagreement",
    "Name": "effortless-xlsx|FieldGrants.FieldTable @ fg-communications-manager-CommunicationPolicies.Channel",
    "Substrate": "effortless-xlsx",
    "RulebookField": "FieldGrants.FieldTable"
   },
   {
    "CellDisagreementId": "effortless-xlsx|FieldGrants.FieldTable|fg-communications-manager-CommunicationPolicies.CommunicationPolicyId",
    "FieldDisagreement": "effortless-xlsx|FieldGrants.FieldTable",
    "RecordId": "fg-communications-manager-CommunicationPolicies.CommunicationPolicyId",
    "ExpectedValue": "\"CommunicationPolicies\"",
    "ActualValue": "null",
    "Reason": "wrong/null value",
    "SemanticTypeIri": "urn:effortless:pko-extension#CellDisagreement",
    "Name": "effortless-xlsx|FieldGrants.FieldTable @ fg-communications-manager-CommunicationPolicies.CommunicationPolicyId",
    "Substrate": "effortless-xlsx",
    "RulebookField": "FieldGrants.FieldTable"
   },
   {
    "CellDisagreementId": "effortless-xlsx|FieldGrants.FieldTable|fg-communications-manager-CommunicationPolicies.ConsentRequired",
    "FieldDisagreement": "effortless-xlsx|FieldGrants.FieldTable",
    "RecordId": "fg-communications-manager-CommunicationPolicies.ConsentRequired",
    "ExpectedValue": "\"CommunicationPolicies\"",
    "ActualValue": "null",
    "Reason": "wrong/null value",
    "SemanticTypeIri": "urn:effortless:pko-extension#CellDisagreement",
    "Name": "effortless-xlsx|FieldGrants.FieldTable @ fg-communications-manager-CommunicationPolicies.ConsentRequired",
    "Substrate": "effortless-xlsx",
    "RulebookField": "FieldGrants.FieldTable"
   },
   {
    "CellDisagreementId": "effortless-xlsx|FieldGrants.FieldTable|fg-communications-manager-CommunicationPolicies.ConsentViolationCount",
    "FieldDisagreement": "effortless-xlsx|FieldGrants.FieldTable",
    "RecordId": "fg-communications-manager-CommunicationPolicies.ConsentViolationCount",
    "ExpectedValue": "\"CommunicationPolicies\"",
    "ActualValue": "null",
    "Reason": "wrong/null value",
    "SemanticTypeIri": "urn:effortless:pko-extension#CellDisagreement",
    "Name": "effortless-xlsx|FieldGrants.FieldTable @ fg-communications-manager-CommunicationPolicies.ConsentViolationCount",
    "Substrate": "effortless-xlsx",
    "RulebookField": "FieldGrants.FieldTable"
   },
   {
    "CellDisagreementId": "effortless-xlsx|FieldGrants.FieldTable|fg-communications-manager-CommunicationPolicies.IsActivePolicy",
    "FieldDisagreement": "effortless-xlsx|FieldGrants.FieldTable",
    "RecordId": "fg-communications-manager-CommunicationPolicies.IsActivePolicy",
    "ExpectedValue": "\"CommunicationPolicies\"",
    "ActualValue": "null",
    "Reason": "wrong/null value",
    "SemanticTypeIri": "urn:effortless:pko-extension#CellDisagreement",
    "Name": "effortless-xlsx|FieldGrants.FieldTable @ fg-communications-manager-CommunicationPolicies.IsActivePolicy",
    "Substrate": "effortless-xlsx",
    "RulebookField": "FieldGrants.FieldTable"
   },
   {
    "CellDisagreementId": "effortless-xlsx|FieldGrants.FieldTable|fg-communications-manager-CommunicationPolicies.MaxMessageLength",
    "FieldDisagreement": "effortless-xlsx|FieldGrants.FieldTable",
    "RecordId": "fg-communications-manager-CommunicationPolicies.MaxMessageLength",
    "ExpectedValue": "\"CommunicationPolicies\"",
    "ActualValue": "null",
    "Reason": "wrong/null value",
    "SemanticTypeIri": "urn:effortless:pko-extension#CellDisagreement",
    "Name": "effortless-xlsx|FieldGrants.FieldTable @ fg-communications-manager-CommunicationPolicies.MaxMessageLength",
    "Substrate": "effortless-xlsx",
    "RulebookField": "FieldGrants.FieldTable"
   },
   {
    "CellDisagreementId": "effortless-xlsx|FieldGrants.FieldTable|fg-communications-manager-CommunicationPolicies.MaxSegments",
    "FieldDisagreement": "effortless-xlsx|FieldGrants.FieldTable",
    "RecordId": "fg-communications-manager-CommunicationPolicies.MaxSegments",
    "ExpectedValue": "\"CommunicationPolicies\"",
    "ActualValue": "null",
    "Reason": "wrong/null value",
    "SemanticTypeIri": "urn:effortless:pko-extension#CellDisagreement",
    "Name": "effortless-xlsx|FieldGrants.FieldTable @ fg-communications-manager-CommunicationPolicies.MaxSegments",
    "Substrate": "effortless-xlsx",
    "RulebookField": "FieldGrants.FieldTable"
   },
   {
    "CellDisagreementId": "effortless-xlsx|FieldGrants.FieldTable|fg-communications-manager-CommunicationPolicies.Name",
    "FieldDisagreement": "effortless-xlsx|FieldGrants.FieldTable",
    "RecordId": "fg-communications-manager-CommunicationPolicies.Name",
    "ExpectedValue": "\"CommunicationPolicies\"",
    "ActualValue": "null",
    "Reason": "wrong/null value",
    "SemanticTypeIri": "urn:effortless:pko-extension#CellDisagreement",
    "Name": "effortless-xlsx|FieldGrants.FieldTable @ fg-communications-manager-CommunicationPolicies.Name",
    "Substrate": "effortless-xlsx",
    "RulebookField": "FieldGrants.FieldTable"
   },
   {
    "CellDisagreementId": "effortless-xlsx|FieldGrants.FieldTable|fg-communications-manager-CommunicationPolicies.ProcedureVersion",
    "FieldDisagreement": "effortless-xlsx|FieldGrants.FieldTable",
    "RecordId": "fg-communications-manager-CommunicationPolicies.ProcedureVersion",
    "ExpectedValue": "\"CommunicationPolicies\"",
    "ActualValue": "null",
    "Reason": "wrong/null value",
    "SemanticTypeIri": "urn:effortless:pko-extension#CellDisagreement",
    "Name": "effortless-xlsx|FieldGrants.FieldTable @ fg-communications-manager-CommunicationPolicies.ProcedureVersion",
    "Substrate": "effortless-xlsx",
    "RulebookField": "FieldGrants.FieldTable"
   },
   {
    "CellDisagreementId": "effortless-xlsx|FieldGrants.FieldTable|fg-communications-manager-CommunicationPolicies.QuietHoursEnd",
    "FieldDisagreement": "effortless-xlsx|FieldGrants.FieldTable",
    "RecordId": "fg-communications-manager-CommunicationPolicies.QuietHoursEnd",
    "ExpectedValue": "\"CommunicationPolicies\"",
    "ActualValue": "null",
    "Reason": "wrong/null value",
    "SemanticTypeIri": "urn:effortless:pko-extension#CellDisagreement",
    "Name": "effortless-xlsx|FieldGrants.FieldTable @ fg-communications-manager-CommunicationPolicies.QuietHoursEnd",
    "Substrate": "effortless-xlsx",
    "RulebookField": "FieldGrants.FieldTable"
   },
   {
    "CellDisagreementId": "effortless-xlsx|FieldGrants.FieldName|fg-cfo-AuthorityBoundaries.AuthorityBoundaryId",
    "FieldDisagreement": "effortless-xlsx|FieldGrants.FieldName",
    "RecordId": "fg-cfo-AuthorityBoundaries.AuthorityBoundaryId",
    "ExpectedValue": "\"AuthorityBoundaryId\"",
    "ActualValue": "null",
    "Reason": "wrong/null value",
    "SemanticTypeIri": "urn:effortless:pko-extension#CellDisagreement",
    "Name": "effortless-xlsx|FieldGrants.FieldName @ fg-cfo-AuthorityBoundaries.AuthorityBoundaryId",
    "Substrate": "effortless-xlsx",
    "RulebookField": "FieldGrants.FieldName"
   },
   {
    "CellDisagreementId": "effortless-xlsx|FieldGrants.FieldName|fg-cfo-AuthorityBoundaries.AuthorityRole",
    "FieldDisagreement": "effortless-xlsx|FieldGrants.FieldName",
    "RecordId": "fg-cfo-AuthorityBoundaries.AuthorityRole",
    "ExpectedValue": "\"AuthorityRole\"",
    "ActualValue": "null",
    "Reason": "wrong/null value",
    "SemanticTypeIri": "urn:effortless:pko-extension#CellDisagreement",
    "Name": "effortless-xlsx|FieldGrants.FieldName @ fg-cfo-AuthorityBoundaries.AuthorityRole",
    "Substrate": "effortless-xlsx",
    "RulebookField": "FieldGrants.FieldName"
   },
   {
    "CellDisagreementId": "effortless-xlsx|FieldGrants.FieldName|fg-cfo-AuthorityBoundaries.ForbiddenAgentKind",
    "FieldDisagreement": "effortless-xlsx|FieldGrants.FieldName",
    "RecordId": "fg-cfo-AuthorityBoundaries.ForbiddenAgentKind",
    "ExpectedValue": "\"ForbiddenAgentKind\"",
    "ActualValue": "null",
    "Reason": "wrong/null value",
    "SemanticTypeIri": "urn:effortless:pko-extension#CellDisagreement",
    "Name": "effortless-xlsx|FieldGrants.FieldName @ fg-cfo-AuthorityBoundaries.ForbiddenAgentKind",
    "Substrate": "effortless-xlsx",
    "RulebookField": "FieldGrants.FieldName"
   },
   {
    "CellDisagreementId": "effortless-xlsx|FieldGrants.FieldName|fg-cfo-AuthorityBoundaries.ForbiddenDecisionKind",
    "FieldDisagreement": "effortless-xlsx|FieldGrants.FieldName",
    "RecordId": "fg-cfo-AuthorityBoundaries.ForbiddenDecisionKind",
    "ExpectedValue": "\"ForbiddenDecisionKind\"",
    "ActualValue": "null",
    "Reason": "wrong/null value",
    "SemanticTypeIri": "urn:effortless:pko-extension#CellDisagreement",
    "Name": "effortless-xlsx|FieldGrants.FieldName @ fg-cfo-AuthorityBoundaries.ForbiddenDecisionKind",
    "Substrate": "effortless-xlsx",
    "RulebookField": "FieldGrants.FieldName"
   },
   {
    "CellDisagreementId": "effortless-xlsx|FieldGrants.FieldName|fg-cfo-AuthorityBoundaries.Name",
    "FieldDisagreement": "effortless-xlsx|FieldGrants.FieldName",
    "RecordId": "fg-cfo-AuthorityBoundaries.Name",
    "ExpectedValue": "\"Name\"",
    "ActualValue": "null",
    "Reason": "wrong/null value",
    "SemanticTypeIri": "urn:effortless:pko-extension#CellDisagreement",
    "Name": "effortless-xlsx|FieldGrants.FieldName @ fg-cfo-AuthorityBoundaries.Name",
    "Substrate": "effortless-xlsx",
    "RulebookField": "FieldGrants.FieldName"
   },
   {
    "CellDisagreementId": "effortless-xlsx|FieldGrants.FieldName|fg-cfo-AuthorityBoundaries.Status",
    "FieldDisagreement": "effortless-xlsx|FieldGrants.FieldName",
    "RecordId": "fg-cfo-AuthorityBoundaries.Status",
    "ExpectedValue": "\"Status\"",
    "ActualValue": "null",
    "Reason": "wrong/null value",
    "SemanticTypeIri": "urn:effortless:pko-extension#CellDisagreement",
    "Name": "effortless-xlsx|FieldGrants.FieldName @ fg-cfo-AuthorityBoundaries.Status",
    "Substrate": "effortless-xlsx",
    "RulebookField": "FieldGrants.FieldName"
   },
   {
    "CellDisagreementId": "effortless-xlsx|FieldGrants.FieldName|fg-cfo-AuthorityBoundaries.Step",
    "FieldDisagreement": "effortless-xlsx|FieldGrants.FieldName",
    "RecordId": "fg-cfo-AuthorityBoundaries.Step",
    "ExpectedValue": "\"Step\"",
    "ActualValue": "null",
    "Reason": "wrong/null value",
    "SemanticTypeIri": "urn:effortless:pko-extension#CellDisagreement",
    "Name": "effortless-xlsx|FieldGrants.FieldName @ fg-cfo-AuthorityBoundaries.Step",
    "Substrate": "effortless-xlsx",
    "RulebookField": "FieldGrants.FieldName"
   },
   {
    "CellDisagreementId": "effortless-xlsx|FieldGrants.FieldName|fg-communications-manager-CommunicationPolicies.ApprovalRole",
    "FieldDisagreement": "effortless-xlsx|FieldGrants.FieldName",
    "RecordId": "fg-communications-manager-CommunicationPolicies.ApprovalRole",
    "ExpectedValue": "\"ApprovalRole\"",
    "ActualValue": "null",
    "Reason": "wrong/null value",
    "SemanticTypeIri": "urn:effortless:pko-extension#CellDisagreement",
    "Name": "effortless-xlsx|FieldGrants.FieldName @ fg-communications-manager-CommunicationPolicies.ApprovalRole",
    "Substrate": "effortless-xlsx",
    "RulebookField": "FieldGrants.FieldName"
   },
   {
    "CellDisagreementId": "effortless-xlsx|FieldGrants.FieldName|fg-communications-manager-CommunicationPolicies.AudienceRule",
    "FieldDisagreement": "effortless-xlsx|FieldGrants.FieldName",
    "RecordId": "fg-communications-manager-CommunicationPolicies.AudienceRule",
    "ExpectedValue": "\"AudienceRule\"",
    "ActualValue": "null",
    "Reason": "wrong/null value",
    "SemanticTypeIri": "urn:effortless:pko-extension#CellDisagreement",
    "Name": "effortless-xlsx|FieldGrants.FieldName @ fg-communications-manager-CommunicationPolicies.AudienceRule",
    "Substrate": "effortless-xlsx",
    "RulebookField": "FieldGrants.FieldName"
   },
   {
    "CellDisagreementId": "effortless-xlsx|FieldGrants.FieldName|fg-communications-manager-CommunicationPolicies.AuthorityStatement",
    "FieldDisagreement": "effortless-xlsx|FieldGrants.FieldName",
    "RecordId": "fg-communications-manager-CommunicationPolicies.AuthorityStatement",
    "ExpectedValue": "\"AuthorityStatement\"",
    "ActualValue": "null",
    "Reason": "wrong/null value",
    "SemanticTypeIri": "urn:effortless:pko-extension#CellDisagreement",
    "Name": "effortless-xlsx|FieldGrants.FieldName @ fg-communications-manager-CommunicationPolicies.AuthorityStatement",
    "Substrate": "effortless-xlsx",
    "RulebookField": "FieldGrants.FieldName"
   },
   {
    "CellDisagreementId": "effortless-xlsx|FieldGrants.FieldName|fg-communications-manager-CommunicationPolicies.Channel",
    "FieldDisagreement": "effortless-xlsx|FieldGrants.FieldName",
    "RecordId": "fg-communications-manager-CommunicationPolicies.Channel",
    "ExpectedValue": "\"Channel\"",
    "ActualValue": "null",
    "Reason": "wrong/null value",
    "SemanticTypeIri": "urn:effortless:pko-extension#CellDisagreement",
    "Name": "effortless-xlsx|FieldGrants.FieldName @ fg-communications-manager-CommunicationPolicies.Channel",
    "Substrate": "effortless-xlsx",
    "RulebookField": "FieldGrants.FieldName"
   },
   {
    "CellDisagreementId": "effortless-xlsx|FieldGrants.FieldName|fg-communications-manager-CommunicationPolicies.CommunicationPolicyId",
    "FieldDisagreement": "effortless-xlsx|FieldGrants.FieldName",
    "RecordId": "fg-communications-manager-CommunicationPolicies.CommunicationPolicyId",
    "ExpectedValue": "\"CommunicationPolicyId\"",
    "ActualValue": "null",
    "Reason": "wrong/null value",
    "SemanticTypeIri": "urn:effortless:pko-extension#CellDisagreement",
    "Name": "effortless-xlsx|FieldGrants.FieldName @ fg-communications-manager-CommunicationPolicies.CommunicationPolicyId",
    "Substrate": "effortless-xlsx",
    "RulebookField": "FieldGrants.FieldName"
   },
   {
    "CellDisagreementId": "effortless-xlsx|FieldGrants.FieldName|fg-communications-manager-CommunicationPolicies.ConsentRequired",
    "FieldDisagreement": "effortless-xlsx|FieldGrants.FieldName",
    "RecordId": "fg-communications-manager-CommunicationPolicies.ConsentRequired",
    "ExpectedValue": "\"ConsentRequired\"",
    "ActualValue": "null",
    "Reason": "wrong/null value",
    "SemanticTypeIri": "urn:effortless:pko-extension#CellDisagreement",
    "Name": "effortless-xlsx|FieldGrants.FieldName @ fg-communications-manager-CommunicationPolicies.ConsentRequired",
    "Substrate": "effortless-xlsx",
    "RulebookField": "FieldGrants.FieldName"
   },
   {
    "CellDisagreementId": "effortless-xlsx|FieldGrants.FieldName|fg-communications-manager-CommunicationPolicies.ConsentViolationCount",
    "FieldDisagreement": "effortless-xlsx|FieldGrants.FieldName",
    "RecordId": "fg-communications-manager-CommunicationPolicies.ConsentViolationCount",
    "ExpectedValue": "\"ConsentViolationCount\"",
    "ActualValue": "null",
    "Reason": "wrong/null value",
    "SemanticTypeIri": "urn:effortless:pko-extension#CellDisagreement",
    "Name": "effortless-xlsx|FieldGrants.FieldName @ fg-communications-manager-CommunicationPolicies.ConsentViolationCount",
    "Substrate": "effortless-xlsx",
    "RulebookField": "FieldGrants.FieldName"
   },
   {
    "CellDisagreementId": "effortless-xlsx|FieldGrants.FieldName|fg-communications-manager-CommunicationPolicies.IsActivePolicy",
    "FieldDisagreement": "effortless-xlsx|FieldGrants.FieldName",
    "RecordId": "fg-communications-manager-CommunicationPolicies.IsActivePolicy",
    "ExpectedValue": "\"IsActivePolicy\"",
    "ActualValue": "null",
    "Reason": "wrong/null value",
    "SemanticTypeIri": "urn:effortless:pko-extension#CellDisagreement",
    "Name": "effortless-xlsx|FieldGrants.FieldName @ fg-communications-manager-CommunicationPolicies.IsActivePolicy",
    "Substrate": "effortless-xlsx",
    "RulebookField": "FieldGrants.FieldName"
   },
   {
    "CellDisagreementId": "effortless-xlsx|FieldGrants.FieldName|fg-communications-manager-CommunicationPolicies.MaxMessageLength",
    "FieldDisagreement": "effortless-xlsx|FieldGrants.FieldName",
    "RecordId": "fg-communications-manager-CommunicationPolicies.MaxMessageLength",
    "ExpectedValue": "\"MaxMessageLength\"",
    "ActualValue": "null",
    "Reason": "wrong/null value",
    "SemanticTypeIri": "urn:effortless:pko-extension#CellDisagreement",
    "Name": "effortless-xlsx|FieldGrants.FieldName @ fg-communications-manager-CommunicationPolicies.MaxMessageLength",
    "Substrate": "effortless-xlsx",
    "RulebookField": "FieldGrants.FieldName"
   },
   {
    "CellDisagreementId": "effortless-xlsx|FieldGrants.FieldName|fg-communications-manager-CommunicationPolicies.MaxSegments",
    "FieldDisagreement": "effortless-xlsx|FieldGrants.FieldName",
    "RecordId": "fg-communications-manager-CommunicationPolicies.MaxSegments",
    "ExpectedValue": "\"MaxSegments\"",
    "ActualValue": "null",
    "Reason": "wrong/null value",
    "SemanticTypeIri": "urn:effortless:pko-extension#CellDisagreement",
    "Name": "effortless-xlsx|FieldGrants.FieldName @ fg-communications-manager-CommunicationPolicies.MaxSegments",
    "Substrate": "effortless-xlsx",
    "RulebookField": "FieldGrants.FieldName"
   },
   {
    "CellDisagreementId": "effortless-xlsx|FieldGrants.FieldName|fg-communications-manager-CommunicationPolicies.Name",
    "FieldDisag</t>
  </si>
  <si>
    <t xml:space="preserve">reement": "effortless-xlsx|FieldGrants.FieldName",
    "RecordId": "fg-communications-manager-CommunicationPolicies.Name",
    "ExpectedValue": "\"Name\"",
    "ActualValue": "null",
    "Reason": "wrong/null value",
    "SemanticTypeIri": "urn:effortless:pko-extension#CellDisagreement",
    "Name": "effortless-xlsx|FieldGrants.FieldName @ fg-communications-manager-CommunicationPolicies.Name",
    "Substrate": "effortless-xlsx",
    "RulebookField": "FieldGrants.FieldName"
   },
   {
    "CellDisagreementId": "effortless-xlsx|FieldGrants.FieldName|fg-communications-manager-CommunicationPolicies.ProcedureVersion",
    "FieldDisagreement": "effortless-xlsx|FieldGrants.FieldName",
    "RecordId": "fg-communications-manager-CommunicationPolicies.ProcedureVersion",
    "ExpectedValue": "\"ProcedureVersion\"",
    "ActualValue": "null",
    "Reason": "wrong/null value",
    "SemanticTypeIri": "urn:effortless:pko-extension#CellDisagreement",
    "Name": "effortless-xlsx|FieldGrants.FieldName @ fg-communications-manager-CommunicationPolicies.ProcedureVersion",
    "Substrate": "effortless-xlsx",
    "RulebookField": "FieldGrants.FieldName"
   },
   {
    "CellDisagreementId": "effortless-xlsx|FieldGrants.FieldName|fg-communications-manager-CommunicationPolicies.QuietHoursEnd",
    "FieldDisagreement": "effortless-xlsx|FieldGrants.FieldName",
    "RecordId": "fg-communications-manager-CommunicationPolicies.QuietHoursEnd",
    "ExpectedValue": "\"QuietHoursEnd\"",
    "ActualValue": "null",
    "Reason": "wrong/null value",
    "SemanticTypeIri": "urn:effortless:pko-extension#CellDisagreement",
    "Name": "effortless-xlsx|FieldGrants.FieldName @ fg-communications-manager-CommunicationPolicies.QuietHoursEnd",
    "Substrate": "effortless-xlsx",
    "RulebookField": "FieldGrants.FieldName"
   },
   {
    "CellDisagreementId": "effortless-xlsx|FieldGrants.GrantKeyWhenReadable|fg-cfo-AuthorityBoundaries.AuthorityBoundaryId",
    "FieldDisagreement": "effortless-xlsx|FieldGrants.GrantKeyWhenReadable",
    "RecordId": "fg-cfo-AuthorityBoundaries.AuthorityBoundaryId",
    "ExpectedValue": "\"principal-cfo|AuthorityBoundaries\"",
    "ActualValue": "\"principal-cfo|\"",
    "Reason": "wrong/null value",
    "SemanticTypeIri": "urn:effortless:pko-extension#CellDisagreement",
    "Name": "effortless-xlsx|FieldGrants.GrantKeyWhenReadable @ fg-cfo-AuthorityBoundaries.AuthorityBoundaryId",
    "Substrate": "effortless-xlsx",
    "RulebookField": "FieldGrants.GrantKeyWhenReadable"
   },
   {
    "CellDisagreementId": "effortless-xlsx|FieldGrants.GrantKeyWhenReadable|fg-cfo-AuthorityBoundaries.AuthorityRole",
    "FieldDisagreement": "effortless-xlsx|FieldGrants.GrantKeyWhenReadable",
    "RecordId": "fg-cfo-AuthorityBoundaries.AuthorityRole",
    "ExpectedValue": "\"principal-cfo|AuthorityBoundaries\"",
    "ActualValue": "\"principal-cfo|\"",
    "Reason": "wrong/null value",
    "SemanticTypeIri": "urn:effortless:pko-extension#CellDisagreement",
    "Name": "effortless-xlsx|FieldGrants.GrantKeyWhenReadable @ fg-cfo-AuthorityBoundaries.AuthorityRole",
    "Substrate": "effortless-xlsx",
    "RulebookField": "FieldGrants.GrantKeyWhenReadable"
   },
   {
    "CellDisagreementId": "effortless-xlsx|FieldGrants.GrantKeyWhenReadable|fg-cfo-AuthorityBoundaries.ForbiddenAgentKind",
    "FieldDisagreement": "effortless-xlsx|FieldGrants.GrantKeyWhenReadable",
    "RecordId": "fg-cfo-AuthorityBoundaries.ForbiddenAgentKind",
    "ExpectedValue": "\"principal-cfo|AuthorityBoundaries\"",
    "ActualValue": "\"principal-cfo|\"",
    "Reason": "wrong/null value",
    "SemanticTypeIri": "urn:effortless:pko-extension#CellDisagreement",
    "Name": "effortless-xlsx|FieldGrants.GrantKeyWhenReadable @ fg-cfo-AuthorityBoundaries.ForbiddenAgentKind",
    "Substrate": "effortless-xlsx",
    "RulebookField": "FieldGrants.GrantKeyWhenReadable"
   },
   {
    "CellDisagreementId": "effortless-xlsx|FieldGrants.GrantKeyWhenReadable|fg-cfo-AuthorityBoundaries.ForbiddenDecisionKind",
    "FieldDisagreement": "effortless-xlsx|FieldGrants.GrantKeyWhenReadable",
    "RecordId": "fg-cfo-AuthorityBoundaries.ForbiddenDecisionKind",
    "ExpectedValue": "\"principal-cfo|AuthorityBoundaries\"",
    "ActualValue": "\"principal-cfo|\"",
    "Reason": "wrong/null value",
    "SemanticTypeIri": "urn:effortless:pko-extension#CellDisagreement",
    "Name": "effortless-xlsx|FieldGrants.GrantKeyWhenReadable @ fg-cfo-AuthorityBoundaries.ForbiddenDecisionKind",
    "Substrate": "effortless-xlsx",
    "RulebookField": "FieldGrants.GrantKeyWhenReadable"
   },
   {
    "CellDisagreementId": "effortless-xlsx|FieldGrants.GrantKeyWhenReadable|fg-cfo-AuthorityBoundaries.Name",
    "FieldDisagreement": "effortless-xlsx|FieldGrants.GrantKeyWhenReadable",
    "RecordId": "fg-cfo-AuthorityBoundaries.Name",
    "ExpectedValue": "\"principal-cfo|AuthorityBoundaries\"",
    "ActualValue": "\"principal-cfo|\"",
    "Reason": "wrong/null value",
    "SemanticTypeIri": "urn:effortless:pko-extension#CellDisagreement",
    "Name": "effortless-xlsx|FieldGrants.GrantKeyWhenReadable @ fg-cfo-AuthorityBoundaries.Name",
    "Substrate": "effortless-xlsx",
    "RulebookField": "FieldGrants.GrantKeyWhenReadable"
   },
   {
    "CellDisagreementId": "effortless-xlsx|FieldGrants.GrantKeyWhenReadable|fg-cfo-AuthorityBoundaries.Status",
    "FieldDisagreement": "effortless-xlsx|FieldGrants.GrantKeyWhenReadable",
    "RecordId": "fg-cfo-AuthorityBoundaries.Status",
    "ExpectedValue": "\"principal-cfo|AuthorityBoundaries\"",
    "ActualValue": "\"principal-cfo|\"",
    "Reason": "wrong/null value",
    "SemanticTypeIri": "urn:effortless:pko-extension#CellDisagreement",
    "Name": "effortless-xlsx|FieldGrants.GrantKeyWhenReadable @ fg-cfo-AuthorityBoundaries.Status",
    "Substrate": "effortless-xlsx",
    "RulebookField": "FieldGrants.GrantKeyWhenReadable"
   },
   {
    "CellDisagreementId": "effortless-xlsx|FieldGrants.GrantKeyWhenReadable|fg-cfo-AuthorityBoundaries.Step",
    "FieldDisagreement": "effortless-xlsx|FieldGrants.GrantKeyWhenReadable",
    "RecordId": "fg-cfo-AuthorityBoundaries.Step",
    "ExpectedValue": "\"principal-cfo|AuthorityBoundaries\"",
    "ActualValue": "\"principal-cfo|\"",
    "Reason": "wrong/null value",
    "SemanticTypeIri": "urn:effortless:pko-extension#CellDisagreement",
    "Name": "effortless-xlsx|FieldGrants.GrantKeyWhenReadable @ fg-cfo-AuthorityBoundaries.Step",
    "Substrate": "effortless-xlsx",
    "RulebookField": "FieldGrants.GrantKeyWhenReadable"
   },
   {
    "CellDisagreementId": "effortless-xlsx|FieldGrants.GrantKeyWhenReadable|fg-communications-manager-CommunicationPolicies.ApprovalRole",
    "FieldDisagreement": "effortless-xlsx|FieldGrants.GrantKeyWhenReadable",
    "RecordId": "fg-communications-manager-CommunicationPolicies.ApprovalRole",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fg-communications-manager-CommunicationPolicies.ApprovalRole",
    "Substrate": "effortless-xlsx",
    "RulebookField": "FieldGrants.GrantKeyWhenReadable"
   },
   {
    "CellDisagreementId": "effortless-xlsx|FieldGrants.GrantKeyWhenReadable|fg-communications-manager-CommunicationPolicies.AudienceRule",
    "FieldDisagreement": "effortless-xlsx|FieldGrants.GrantKeyWhenReadable",
    "RecordId": "fg-communications-manager-CommunicationPolicies.AudienceRule",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fg-communications-manager-CommunicationPolicies.AudienceRule",
    "Substrate": "effortless-xlsx",
    "RulebookField": "FieldGrants.GrantKeyWhenReadable"
   },
   {
    "CellDisagreementId": "effortless-xlsx|FieldGrants.GrantKeyWhenReadable|fg-communications-manager-CommunicationPolicies.AuthorityStatement",
    "FieldDisagreement": "effortless-xlsx|FieldGrants.GrantKeyWhenReadable",
    "RecordId": "fg-communications-manager-CommunicationPolicies.AuthorityStatement",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fg-communications-manager-CommunicationPolicies.AuthorityStatement",
    "Substrate": "effortless-xlsx",
    "RulebookField": "FieldGrants.GrantKeyWhenReadable"
   },
   {
    "CellDisagreementId": "effortless-xlsx|FieldGrants.GrantKeyWhenReadable|fg-communications-manager-CommunicationPolicies.Channel",
    "FieldDisagreement": "effortless-xlsx|FieldGrants.GrantKeyWhenReadable",
    "RecordId": "fg-communications-manager-CommunicationPolicies.Channel",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fg-communications-manager-CommunicationPolicies.Channel",
    "Substrate": "effortless-xlsx",
    "RulebookField": "FieldGrants.GrantKeyWhenReadable"
   },
   {
    "CellDisagreementId": "effortless-xlsx|FieldGrants.GrantKeyWhenReadable|fg-communications-manager-CommunicationPolicies.CommunicationPolicyId",
    "FieldDisagreement": "effortless-xlsx|FieldGrants.GrantKeyWhenReadable",
    "RecordId": "fg-communications-manager-CommunicationPolicies.CommunicationPolicyId",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fg-communications-manager-CommunicationPolicies.CommunicationPolicyId",
    "Substrate": "effortless-xlsx",
    "RulebookField": "FieldGrants.GrantKeyWhenReadable"
   },
   {
    "CellDisagreementId": "effortless-xlsx|FieldGrants.GrantKeyWhenReadable|fg-communications-manager-CommunicationPolicies.ConsentRequired",
    "FieldDisagreement": "effortless-xlsx|FieldGrants.GrantKeyWhenReadable",
    "RecordId": "fg-communications-manager-CommunicationPolicies.ConsentRequired",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fg-communications-manager-CommunicationPolicies.ConsentRequired",
    "Substrate": "effortless-xlsx",
    "RulebookField": "FieldGrants.GrantKeyWhenReadable"
   },
   {
    "CellDisagreementId": "effortless-xlsx|FieldGrants.GrantKeyWhenReadable|fg-communications-manager-CommunicationPolicies.ConsentViolationCount",
    "FieldDisagreement": "effortless-xlsx|FieldGrants.GrantKeyWhenReadable",
    "RecordId": "fg-communications-manager-CommunicationPolicies.ConsentViolationCount",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fg-communications-manager-CommunicationPolicies.ConsentViolationCount",
    "Substrate": "effortless-xlsx",
    "RulebookField": "FieldGrants.GrantKeyWhenReadable"
   },
   {
    "CellDisagreementId": "effortless-xlsx|FieldGrants.GrantKeyWhenReadable|fg-communications-manager-CommunicationPolicies.IsActivePolicy",
    "FieldDisagreement": "effortless-xlsx|FieldGrants.GrantKeyWhenReadable",
    "RecordId": "fg-communications-manager-CommunicationPolicies.IsActivePolicy",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fg-communications-manager-CommunicationPolicies.IsActivePolicy",
    "Substrate": "effortless-xlsx",
    "RulebookField": "FieldGrants.GrantKeyWhenReadable"
   },
   {
    "CellDisagreementId": "effortless-xlsx|FieldGrants.GrantKeyWhenReadable|fg-communications-manager-CommunicationPolicies.MaxMessageLength",
    "FieldDisagreement": "effortless-xlsx|FieldGrants.GrantKeyWhenReadable",
    "RecordId": "fg-communications-manager-CommunicationPolicies.MaxMessageLength",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fg-communications-manager-CommunicationPolicies.MaxMessageLength",
    "Substrate": "effortless-xlsx",
    "RulebookField": "FieldGrants.GrantKeyWhenReadable"
   },
   {
    "CellDisagreementId": "effortless-xlsx|FieldGrants.GrantKeyWhenReadable|fg-communications-manager-CommunicationPolicies.MaxSegments",
    "FieldDisagreement": "effortless-xlsx|FieldGrants.GrantKeyWhenReadable",
    "RecordId": "fg-communications-manager-CommunicationPolicies.MaxSegments",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fg-communications-manager-CommunicationPolicies.MaxSegments",
    "Substrate": "effortless-xlsx",
    "RulebookField": "FieldGrants.GrantKeyWhenReadable"
   },
   {
    "CellDisagreementId": "effortless-xlsx|FieldGrants.GrantKeyWhenReadable|fg-communications-manager-CommunicationPolicies.Name",
    "FieldDisagreement": "effortless-xlsx|FieldGrants.GrantKeyWhenReadable",
    "RecordId": "fg-communications-manager-CommunicationPolicies.Name",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fg-communications-manager-CommunicationPolicies.Name",
    "Substrate": "effortless-xlsx",
    "RulebookField": "FieldGrants.GrantKeyWhenReadable"
   },
   {
    "CellDisagreementId": "effortless-xlsx|FieldGrants.GrantKeyWhenReadable|fg-communications-manager-CommunicationPolicies.ProcedureVersion",
    "FieldDisagreement": "effortless-xlsx|FieldGrants.GrantKeyWhenReadable",
    "RecordId": "fg-communications-manager-CommunicationPolicies.ProcedureVersion",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fg-communications-manager-CommunicationPolicies.ProcedureVersion",
    "Substrate": "effortless-xlsx",
    "RulebookField": "FieldGrants.GrantKeyWhenReadable"
   },
   {
    "CellDisagreementId": "effortless-xlsx|FieldGrants.GrantKeyWhenReadable|fg-communications-manager-CommunicationPolicies.QuietHoursEnd",
    "FieldDisagreement": "effortless-xlsx|FieldGrants.GrantKeyWhenReadable",
    "RecordId": "fg-communications-manager-CommunicationPolicies.QuietHoursEnd",
    "ExpectedValue": "\"principal-communications-manager|CommunicationPolicies\"",
    "ActualValue": "\"principal-communications-manager|\"",
    "Reason": "wrong/null value",
    "SemanticTypeIri": "urn:effortless:pko-extension#CellDisagreement",
    "Name": "effortless-xlsx|FieldGrants.GrantKeyWhenReadable @ fg-communications-manager-CommunicationPolicies.QuietHoursEnd",
    "Substrate": "effortless-xlsx",
    "RulebookField": "FieldGrants.GrantKeyWhenReadable"
   },
   {
    "CellDisagreementId": "effortless-xlsx|FieldGrants.FieldIsDerived|fg-cfo-AuthorityBoundaries.Name",
    "FieldDisagreement": "effortless-xlsx|FieldGrants.FieldIsDerived",
    "RecordId": "fg-cfo-AuthorityBoundaries.Name",
    "ExpectedValue": "true",
    "ActualValue": "null",
    "Reason": "wrong/null value",
    "SemanticTypeIri": "urn:effortless:pko-extension#CellDisagreement",
    "Name": "effortless-xlsx|FieldGrants.FieldIsDerived @ fg-cfo-AuthorityBoundaries.Name",
    "Substrate": "effortless-xlsx",
    "RulebookField": "FieldGrants.FieldIsDerived"
   },
   {
    "CellDisagreementId": "effortless-xlsx|FieldGrants.FieldIsDerived|fg-communications-manager-CommunicationPolicies.ConsentViolationCount",
    "FieldDisagreement": "effortless-xlsx|FieldGrants.FieldIsDerived",
    "RecordId": "fg-communications-manager-CommunicationPolicies.ConsentViolationCount",
    "ExpectedValue": "true",
    "ActualValue": "null",
    "Reason": "wrong/null value",
    "SemanticTypeIri": "urn:effortless:pko-extension#CellDisagreement",
    "Name": "effortless-xlsx|FieldGrants.FieldIsDerived @ fg-communications-manager-CommunicationPolicies.ConsentViolationCount",
    "Substrate": "effortless-xlsx",
    "RulebookField": "FieldGrants.FieldIsDerived"
   },
   {
    "CellDisagreementId": "effortless-xlsx|FieldGrants.FieldIsDerived|fg-communications-manager-CommunicationPolicies.IsActivePolicy",
    "FieldDisagreement": "effortless-xlsx|FieldGrants.FieldIsDerived",
    "RecordId": "fg-communications-manager-CommunicationPolicies.IsActivePolicy",
    "ExpectedValue": "true",
    "ActualValue": "null",
    "Reason": "wrong/null value",
    "SemanticTypeIri": "urn:effortless:pko-extension#CellDisagreement",
    "Name": "effortless-xlsx|FieldGrants.FieldIsDerived @ fg-communications-manager-CommunicationPolicies.IsActivePolicy",
    "Substrate": "effortless-xlsx",
    "RulebookField": "FieldGrants.FieldIsDerived"
   },
   {
    "CellDisagreementId": "effortless-xlsx|FieldGrants.FieldIsDerived|fg-communications-manager-CommunicationPolicies.Name",
    "FieldDisagreement": "effortless-xlsx|FieldGrants.FieldIsDerived",
    "RecordId": "fg-communications-manager-CommunicationPolicies.Name",
    "ExpectedValue": "true",
    "ActualValue": "null",
    "Reason": "wrong/null value",
    "SemanticTypeIri": "urn:effortless:pko-extension#CellDisagreement",
    "Name": "effortless-xlsx|FieldGrants.FieldIsDerived @ fg-communications-manager-CommunicationPolicies.Name",
    "Substrate": "effortless-xlsx",
    "RulebookField": "FieldGrants.FieldIsDerived"
   },
   {
    "CellDisagreementId": "effortless-xlsx|FieldGrants.FieldIsDerived|fg-communications-manager-CommunicationPolicies.QuietHoursViolationCount",
    "FieldDisagreement": "effortless-xlsx|FieldGrants.FieldIsDerived",
    "RecordId": "fg-communications-manager-CommunicationPolicies.QuietHoursViolationCount",
    "ExpectedValue": "true",
    "ActualValue": "null",
    "Reason": "wrong/null value",
    "SemanticTypeIri": "urn:effortless:pko-extension#CellDisagreement",
    "Name": "effortless-xlsx|FieldGrants.FieldIsDerived @ fg-communications-manager-CommunicationPolicies.QuietHoursViolationCount",
    "Substrate": "effortless-xlsx",
    "RulebookField": "FieldGrants.FieldIsDerived"
   },
   {
    "CellDisagreementId": "effortless-xlsx|FieldGrants.FieldIsDerived|fg-communications-manager-MessageDeliveries.Name",
    "FieldDisagreement": "effortless-xlsx|FieldGrants.FieldIsDerived",
    "RecordId": "fg-communications-manager-MessageDeliveries.Name",
    "ExpectedValue": "true",
    "ActualValue": "null",
    "Reason": "wrong/null value",
    "SemanticTypeIri": "urn:effortless:pko-extension#CellDisagreement",
    "Name": "effortless-xlsx|FieldGrants.FieldIsDerived @ fg-communications-manager-MessageDeliveries.Name",
    "Substrate": "effortless-xlsx",
    "RulebookField": "FieldGrants.FieldIsDerived"
   },
   {
    "CellDisagreementId": "effortless-xlsx|FieldGrants.FieldIsDerived|fg-communications-manager-MessageTemplates.Name",
    "FieldDisagreement": "effortless-xlsx|FieldGrants.FieldIsDerived",
    "RecordId": "fg-communications-manager-MessageTemplates.Name",
    "ExpectedValue": "true",
    "ActualValue": "null",
    "Reason": "wrong/null value",
    "SemanticTypeIri": "urn:effortless:pko-extension#CellDisagreement",
    "Name": "effortless-xlsx|FieldGrants.FieldIsDerived @ fg-communications-manager-MessageTemplates.Name",
    "Substrate": "effortless-xlsx",
    "RulebookField": "FieldGrants.FieldIsDerived"
   },
   {
    "CellDisagreementId": "effortless-xlsx|FieldGrants.FieldIsDerived|fg-communications-manager-Recipients.Name",
    "FieldDisagreement": "effortless-xlsx|FieldGrants.FieldIsDerived",
    "RecordId": "fg-communications-manager-Recipients.Name",
    "ExpectedValue": "true",
    "ActualValue": "null",
    "Reason": "wrong/null value",
    "SemanticTypeIri": "urn:effortless:pko-extension#CellDisagreement",
    "Name": "effortless-xlsx|FieldGrants.FieldIsDerived @ fg-communications-manager-Recipients.Name",
    "Substrate": "effortless-xlsx",
    "RulebookField": "FieldGrants.FieldIsDerived"
   },
   {
    "CellDisagreementId": "effortless-xlsx|FieldGrants.FieldIsDerived|fg-communications-manager-SendIntents.Name",
    "FieldDisagreement": "effortless-xlsx|FieldGrants.FieldIsDerived",
    "RecordId": "fg-communications-manager-SendIntents.Name",
    "ExpectedValue": "true",
    "ActualValue": "null",
    "Reason": "wrong/null value",
    "SemanticTypeIri": "urn:effortless:pko-extension#CellDisagreement",
    "Name": "effortless-xlsx|FieldGrants.FieldIsDerived @ fg-communications-manager-SendIntents.Name",
    "Substrate": "effortless-xlsx",
    "RulebookField": "FieldGrants.FieldIsDerived"
   },
   {
    "CellDisagreementId": "effortless-xlsx|FieldGrants.FieldIsDerived|fg-employment-counsel-AuthorityBoundaries.Name",
    "FieldDisagreement": "effortless-xlsx|FieldGrants.FieldIsDerived",
    "RecordId": "fg-employment-counsel-AuthorityBoundaries.Name",
    "ExpectedValue": "true",
    "ActualValue": "null",
    "Reason": "wrong/null value",
    "SemanticTypeIri": "urn:effortless:pko-extension#CellDisagreement",
    "Name": "effortless-xlsx|FieldGrants.FieldIsDerived @ fg-employment-counsel-AuthorityBoundaries.Name",
    "Substrate": "effortless-xlsx",
    "RulebookField": "FieldGrants.FieldIsDerived"
   },
   {
    "CellDisagreementId": "effortless-xlsx|FieldGrants.FieldIsDerived|fg-employment-counsel-CommunicationPolicies.Name",
    "FieldDisagreement": "effortless-xlsx|FieldGrants.FieldIsDerived",
    "RecordId": "fg-employment-counsel-CommunicationPolicies.Name",
    "ExpectedValue": "true",
    "ActualValue": "null",
    "Reason": "wrong/null value",
    "SemanticTypeIri": "urn:effortless:pko-extension#CellDisagreement",
    "Name": "effortless-xlsx|FieldGrants.FieldIsDerived @ fg-employment-counsel-CommunicationPolicies.Name",
    "Substrate": "effortless-xlsx",
    "RulebookField": "FieldGrants.FieldIsDerived"
   },
   {
    "CellDisagreementId": "effortless-xlsx|FieldGrants.FieldIsDerived|fg-hr-policy-owner-MessageTemplates.Name",
    "FieldDisagreement": "effortless-xlsx|FieldGrants.FieldIsDerived",
    "RecordId": "fg-hr-policy-owner-MessageTemplates.Name",
    "ExpectedValue": "true",
    "ActualValue": "null",
    "Reason": "wrong/null value",
    "SemanticTypeIri": "urn:effortless:pko-extension#CellDisagreement",
    "Name": "effortless-xlsx|FieldGrants.FieldIsDerived @ fg-hr-policy-owner-MessageTemplates.Name",
    "Substrate": "effortless-xlsx",
    "RulebookField": "FieldGrants.FieldIsDerived"
   },
   {
    "CellDisagreementId": "effortless-xlsx|FieldGrants.FieldIsDerived|fg-knowledge-authority-AgentDecisionRecords.AgentWhenBoundaryViolated",
    "FieldDisagreement": "effortless-xlsx|FieldGrants.FieldIsDerived",
    "RecordId": "fg-knowledge-authority-AgentDecisionRecords.AgentWhenBoundaryViolated",
    "ExpectedValue": "true",
    "ActualValue": "null",
    "Reason": "wrong/null value",
    "SemanticTypeIri": "urn:effortless:pko-extension#CellDisagreement",
    "Name": "effortless-xlsx|FieldGrants.FieldIsDerived @ fg-knowledge-authority-AgentDecisionRecords.AgentWhenBoundaryViolated",
    "Substrate": "effortless-xlsx",
    "RulebookField": "FieldGrants.FieldIsDerived"
   },
   {
    "CellDisagreementId": "effortless-xlsx|FieldGrants.FieldIsDerived|fg-knowledge-authority-AgentDecisionRecords.AgentWhenDraft",
    "FieldDisagreement": "effortless-xlsx|FieldGrants.FieldIsDerived",
    "RecordId": "fg-knowledge-authority-AgentDecisionRecords.AgentWhenDraft",
    "ExpectedValue": "true",
    "ActualValue": "null",
    "Reason": "wrong/null value",
    "SemanticTypeIri": "urn:effortless:pko-extension#CellDisagreement",
    "Name": "effortless-xlsx|FieldGrants.FieldIsDerived @ fg-knowledge-authority-AgentDecisionRecords.AgentWhenDraft",
    "Substrate": "effortless-xlsx",
    "RulebookField": "FieldGrants.FieldIsDerived"
   },
   {
    "CellDisagreementId": "effortless-xlsx|FieldGrants.FieldIsDerived|fg-knowledge-authority-AgentDecisionRecords.AgentWhenDraftOverridden",
    "FieldDisagreement": "effortless-xlsx|FieldGrants.FieldIsDerived",
    "RecordId": "fg-knowledge-authority-AgentDecisionRecords.AgentWhenDraftOverridden",
    "ExpectedValue": "true",
    "ActualValue": "null",
    "Reason": "wrong/null value",
    "SemanticTypeIri": "urn:effortless:pko-extension#CellDisagreement",
    "Name": "effortless-xlsx|FieldGrants.FieldIsDerived @ fg-knowledge-authority-AgentDecisionRecords.AgentWhenDraftOverridden",
    "Substrate": "effortless-xlsx",
    "RulebookField": "FieldGrants.FieldIsDerived"
   },
   {
    "CellDisagreementId": "effortless-xlsx|FieldGrants.FieldIsDerived|fg-knowledge-authority-AgentDecisionRecords.BoundaryMatchKey",
    "FieldDisagreement": "effortless-xlsx|FieldGrants.FieldIsDerived",
    "RecordId": "fg-knowledge-authority-AgentDecisionRecords.BoundaryMatchKey",
    "ExpectedValue": "true",
    "ActualValue": "null",
    "Reason": "wrong/null value",
    "SemanticTypeIri": "urn:effortless:pko-extension#CellDisagreement",
    "Name": "effortless-xlsx|FieldGrants.FieldIsDerived @ fg-knowledge-authority-AgentDecisionRecords.BoundaryMatchKey",
    "Substrate": "effortless-xlsx",
    "RulebookField": "FieldGrants.FieldIsDerived"
   },
   {
    "CellDisagreementId": "effortless-xlsx|FieldGrants.FieldIsDerived|fg-knowledge-authority-AgentDecisionRecords.BoundaryViolationRoleAssignmentKey",
    "FieldDisagreement": "effortless-xlsx|FieldGrants.FieldIsDerived",
    "RecordId": "fg-knowledge-authority-AgentDecisionRecords.BoundaryViolationRoleAssignmentKey",
    "ExpectedValue": "true",
    "ActualValue": "null",
    "Reason": "wrong/null value",
    "SemanticTypeIri": "urn:effortless:pko-extension#CellDisagreement",
    "Name": "effortless-xlsx|FieldGrants.FieldIsDerived @ fg-knowledge-authority-AgentDecisionRecords.BoundaryViolationRoleAssignmentKey",
    "Substrate": "effortless-xlsx",
    "RulebookField": "FieldGrants.FieldIsDerived"
   },
   {
    "CellDisagreementId": "effortless-xlsx|FieldGrants.FieldIsDerived|fg-knowledge-authority-AgentDecisionRecords.DecidingAgentKind",
    "FieldDisagreement": "effortless-xlsx|FieldGrants.FieldIsDerived",
    "RecordId": "fg-knowledge-authority-AgentDecisionRecords.DecidingAgentKind",
    "ExpectedValue": "true",
    "ActualValue": "null",
    "Reason": "wrong/null value",
    "SemanticTypeIri": "urn:effortless:pko-extension#CellDisagreement",
    "Name": "effortless-xlsx|FieldGrants.FieldIsDerived @ fg-knowledge-authority-AgentDecisionRecords.DecidingAgentKind",
    "Substrate": "effortless-xlsx",
    "RulebookField": "FieldGrants.FieldIsDerived"
   },
   {
    "CellDisagreementId": "effortless-xlsx|FieldGrants.FieldIsDerived|fg-knowledge-authority-AgentDecisionRecords.DecidingAgentWhenOverridden",
    "FieldDisagreement": "effortless-xlsx|FieldGrants.FieldIsDerived",
    "RecordId": "fg-knowledge-authority-AgentDecisionRecords.DecidingAgentWhenOverridden",
    "ExpectedValue": "true",
    "ActualValue": "null",
    "Reason": "wrong/null value",
    "SemanticTypeIri": "urn:effortless:pko-extension#CellDisagreement",
    "Name": "effortless-xlsx|FieldGrants.FieldIsDerived @ fg-knowledge-authority-AgentDecisionRecords.DecidingAgentWhenOverridden",
    "Substrate": "effortless-xlsx",
    "RulebookField": "FieldGrants.FieldIsDerived"
   },
   {
    "CellDisagreementId": "effortless-xlsx|FieldGrants.FieldIsDerived|fg-knowledge-authority-AgentDecisionRecords.ErrorCorrectionRoleAssignmentKey",
    "FieldDisagreement": "effortless-xlsx|FieldGrants.FieldIsDerived",
    "RecordId": "fg-knowledge-authority-AgentDecisionRecords.ErrorCorrectionRoleAssignmentKey",
    "ExpectedValue": "true",
    "ActualValue": "null",
    "Reason": "wrong/null value",
    "SemanticTypeIri": "urn:effortless:pko-extension#CellDisagreement",
    "Name": "effortless-xlsx|FieldGrants.FieldIsDerived @ fg-knowledge-authority-AgentDecisionRecords.ErrorCorrectionRoleAssignmentKey",
    "Substrate": "effortless-xlsx",
    "RulebookField": "FieldGrants.FieldIsDerived"
   },
   {
    "CellDisagreementId": "effortless-xlsx|RoleSchemaViews.ColumnCount|rsv-cfo-authority_boundaries",
    "FieldDisagreement": "effortless-xlsx|RoleSchemaViews.ColumnCount",
    "RecordId": "rsv-cfo-authority_boundaries",
    "ExpectedValue": "7",
    "ActualValue": "0",
    "Reason": "wrong/null value",
    "SemanticTypeIri": "urn:effortless:pko-extension#CellDisagreement",
    "Name": "effortless-xlsx|RoleSchemaViews.ColumnCount @ rsv-cfo-authority_boundaries",
    "Substrate": "effortless-xlsx",
    "RulebookField": "RoleSchemaViews.ColumnCount"
   },
   {
    "CellDisagreementId": "effortless-xlsx|RoleSchemaViews.ColumnCount|rsv-communications-manager-communication_policies",
    "FieldDisagreement": "effortless-xlsx|RoleSchemaViews.ColumnCount",
    "RecordId": "rsv-communications-manager-communication_policies",
    "ExpectedValue": "22",
    "ActualValue": "0",
    "Reason": "wrong/null value",
    "SemanticTypeIri": "urn:effortless:pko-extension#CellDisagreement",
    "Name": "effortless-xlsx|RoleSchemaViews.ColumnCount @ rsv-communications-manager-communication_policies",
    "Substrate": "effortless-xlsx",
    "RulebookField": "RoleSchemaViews.ColumnCount"
   },
   {
    "CellDisagreementId": "effortless-xlsx|RoleSchemaViews.ColumnCount|rsv-communications-manager-message_deliveries",
    "FieldDisagreement": "effortless-xlsx|RoleSchemaViews.ColumnCount",
    "RecordId": "rsv-communications-manager-message_deliveries",
    "ExpectedValue": "8",
    "ActualValue": "0",
    "Reason": "wrong/null value",
    "SemanticTypeIri": "urn:effortless:pko-extension#CellDisagreement",
    "Name": "effortless-xlsx|RoleSchemaViews.ColumnCount @ rsv-communications-manager-message_deliveries",
    "Substrate": "effortless-xlsx",
    "RulebookField": "RoleSchemaViews.ColumnCount"
   },
   {
    "CellDisagreementId": "effortless-xlsx|RoleSchemaViews.ColumnCount|rsv-communications-manager-message_templates",
    "FieldDisagreement": "effortless-xlsx|RoleSchemaViews.ColumnCount",
    "RecordId": "rsv-communications-manager-message_templates",
    "ExpectedValue": "7",
    "ActualValue": "0",
    "Reason": "wrong/null value",
    "SemanticTypeIri": "urn:effortless:pko-extension#CellDisagreement",
    "Name": "effortless-xlsx|RoleSchemaViews.ColumnCount @ rsv-communications-manager-message_templates",
    "Substrate": "effortless-xlsx",
    "RulebookField": "RoleSchemaViews.ColumnCount"
   },
   {
    "CellDisagreementId": "effortless-xlsx|RoleSchemaViews.ColumnCount|rsv-communications-manager-recipients",
    "FieldDisagreement": "effortless-xlsx|RoleSchemaViews.ColumnCount",
    "RecordId": "rsv-communications-manager-recipients",
    "ExpectedValue": "6",
    "ActualValue": "0",
    "Reason": "wrong/null value",
    "SemanticTypeIri": "urn:effortless:pko-extension#CellDisagreement",
    "Name": "effortless-xlsx|RoleSchemaViews.ColumnCount @ rsv-communications-manager-recipients",
    "Substrate": "effortless-xlsx",
    "RulebookField": "RoleSchemaViews</t>
  </si>
  <si>
    <t xml:space="preserve">.ColumnCount"
   },
   {
    "CellDisagreementId": "effortless-xlsx|RoleSchemaViews.ColumnCount|rsv-communications-manager-send_intents",
    "FieldDisagreement": "effortless-xlsx|RoleSchemaViews.ColumnCount",
    "RecordId": "rsv-communications-manager-send_intents",
    "ExpectedValue": "7",
    "ActualValue": "0",
    "Reason": "wrong/null value",
    "SemanticTypeIri": "urn:effortless:pko-extension#CellDisagreement",
    "Name": "effortless-xlsx|RoleSchemaViews.ColumnCount @ rsv-communications-manager-send_intents",
    "Substrate": "effortless-xlsx",
    "RulebookField": "RoleSchemaViews.ColumnCount"
   },
   {
    "CellDisagreementId": "effortless-xlsx|RoleSchemaViews.ColumnCount|rsv-employment-counsel-authority_boundaries",
    "FieldDisagreement": "effortless-xlsx|RoleSchemaViews.ColumnCount",
    "RecordId": "rsv-employment-counsel-authority_boundaries",
    "ExpectedValue": "6",
    "ActualValue": "0",
    "Reason": "wrong/null value",
    "SemanticTypeIri": "urn:effortless:pko-extension#CellDisagreement",
    "Name": "effortless-xlsx|RoleSchemaViews.ColumnCount @ rsv-employment-counsel-authority_boundaries",
    "Substrate": "effortless-xlsx",
    "RulebookField": "RoleSchemaViews.ColumnCount"
   },
   {
    "CellDisagreementId": "effortless-xlsx|RoleSchemaViews.ColumnCount|rsv-employment-counsel-communication_policies",
    "FieldDisagreement": "effortless-xlsx|RoleSchemaViews.ColumnCount",
    "RecordId": "rsv-employment-counsel-communication_policies",
    "ExpectedValue": "8",
    "ActualValue": "0",
    "Reason": "wrong/null value",
    "SemanticTypeIri": "urn:effortless:pko-extension#CellDisagreement",
    "Name": "effortless-xlsx|RoleSchemaViews.ColumnCount @ rsv-employment-counsel-communication_policies",
    "Substrate": "effortless-xlsx",
    "RulebookField": "RoleSchemaViews.ColumnCount"
   },
   {
    "CellDisagreementId": "effortless-xlsx|RoleSchemaViews.ColumnCount|rsv-hr-policy-owner-message_templates",
    "FieldDisagreement": "effortless-xlsx|RoleSchemaViews.ColumnCount",
    "RecordId": "rsv-hr-policy-owner-message_templates",
    "ExpectedValue": "5",
    "ActualValue": "0",
    "Reason": "wrong/null value",
    "SemanticTypeIri": "urn:effortless:pko-extension#CellDisagreement",
    "Name": "effortless-xlsx|RoleSchemaViews.ColumnCount @ rsv-hr-policy-owner-message_templates",
    "Substrate": "effortless-xlsx",
    "RulebookField": "RoleSchemaViews.ColumnCount"
   },
   {
    "CellDisagreementId": "effortless-xlsx|RoleSchemaViews.ColumnCount|rsv-knowledge-authority-actions",
    "FieldDisagreement": "effortless-xlsx|RoleSchemaViews.ColumnCount",
    "RecordId": "rsv-knowledge-authority-actions",
    "ExpectedValue": "5",
    "ActualValue": "0",
    "Reason": "wrong/null value",
    "SemanticTypeIri": "urn:effortless:pko-extension#CellDisagreement",
    "Name": "effortless-xlsx|RoleSchemaViews.ColumnCount @ rsv-knowledge-authority-actions",
    "Substrate": "effortless-xlsx",
    "RulebookField": "RoleSchemaViews.ColumnCount"
   },
   {
    "CellDisagreementId": "effortless-xlsx|RoleSchemaViews.ColumnCount|rsv-knowledge-authority-agent_decision_records",
    "FieldDisagreement": "effortless-xlsx|RoleSchemaViews.ColumnCount",
    "RecordId": "rsv-knowledge-authority-agent_decision_records",
    "ExpectedValue": "40",
    "ActualValue": "0",
    "Reason": "wrong/null value",
    "SemanticTypeIri": "urn:effortless:pko-extension#CellDisagreement",
    "Name": "effortless-xlsx|RoleSchemaViews.ColumnCount @ rsv-knowledge-authority-agent_decision_records",
    "Substrate": "effortless-xlsx",
    "RulebookField": "RoleSchemaViews.ColumnCount"
   },
   {
    "CellDisagreementId": "effortless-xlsx|RoleSchemaViews.ColumnCount|rsv-knowledge-authority-agents",
    "FieldDisagreement": "effortless-xlsx|RoleSchemaViews.ColumnCount",
    "RecordId": "rsv-knowledge-authority-agents",
    "ExpectedValue": "23",
    "ActualValue": "0",
    "Reason": "wrong/null value",
    "SemanticTypeIri": "urn:effortless:pko-extension#CellDisagreement",
    "Name": "effortless-xlsx|RoleSchemaViews.ColumnCount @ rsv-knowledge-authority-agents",
    "Substrate": "effortless-xlsx",
    "RulebookField": "RoleSchemaViews.ColumnCount"
   },
   {
    "CellDisagreementId": "effortless-xlsx|RoleSchemaViews.ColumnCount|rsv-knowledge-authority-app_nav_groups",
    "FieldDisagreement": "effortless-xlsx|RoleSchemaViews.ColumnCount",
    "RecordId": "rsv-knowledge-authority-app_nav_groups",
    "ExpectedValue": "5",
    "ActualValue": "0",
    "Reason": "wrong/null value",
    "SemanticTypeIri": "urn:effortless:pko-extension#CellDisagreement",
    "Name": "effortless-xlsx|RoleSchemaViews.ColumnCount @ rsv-knowledge-authority-app_nav_groups",
    "Substrate": "effortless-xlsx",
    "RulebookField": "RoleSchemaViews.ColumnCount"
   },
   {
    "CellDisagreementId": "effortless-xlsx|RoleSchemaViews.ColumnCount|rsv-knowledge-authority-app_role_profiles",
    "FieldDisagreement": "effortless-xlsx|RoleSchemaViews.ColumnCount",
    "RecordId": "rsv-knowledge-authority-app_role_profiles",
    "ExpectedValue": "12",
    "ActualValue": "0",
    "Reason": "wrong/null value",
    "SemanticTypeIri": "urn:effortless:pko-extension#CellDisagreement",
    "Name": "effortless-xlsx|RoleSchemaViews.ColumnCount @ rsv-knowledge-authority-app_role_profiles",
    "Substrate": "effortless-xlsx",
    "RulebookField": "RoleSchemaViews.ColumnCount"
   },
   {
    "CellDisagreementId": "effortless-xlsx|RoleSchemaViews.ColumnCount|rsv-knowledge-authority-app_route_questions",
    "FieldDisagreement": "effortless-xlsx|RoleSchemaViews.ColumnCount",
    "RecordId": "rsv-knowledge-authority-app_route_questions",
    "ExpectedValue": "5",
    "ActualValue": "0",
    "Reason": "wrong/null value",
    "SemanticTypeIri": "urn:effortless:pko-extension#CellDisagreement",
    "Name": "effortless-xlsx|RoleSchemaViews.ColumnCount @ rsv-knowledge-authority-app_route_questions",
    "Substrate": "effortless-xlsx",
    "RulebookField": "RoleSchemaViews.ColumnCount"
   },
   {
    "CellDisagreementId": "effortless-xlsx|RoleSchemaViews.ColumnCount|rsv-knowledge-authority-app_route_references",
    "FieldDisagreement": "effortless-xlsx|RoleSchemaViews.ColumnCount",
    "RecordId": "rsv-knowledge-authority-app_route_references",
    "ExpectedValue": "5",
    "ActualValue": "0",
    "Reason": "wrong/null value",
    "SemanticTypeIri": "urn:effortless:pko-extension#CellDisagreement",
    "Name": "effortless-xlsx|RoleSchemaViews.ColumnCount @ rsv-knowledge-authority-app_route_references",
    "Substrate": "effortless-xlsx",
    "RulebookField": "RoleSchemaViews.ColumnCount"
   },
   {
    "CellDisagreementId": "effortless-xlsx|RoleSchemaViews.ColumnCount|rsv-knowledge-authority-app_routes",
    "FieldDisagreement": "effortless-xlsx|RoleSchemaViews.ColumnCount",
    "RecordId": "rsv-knowledge-authority-app_routes",
    "ExpectedValue": "18",
    "ActualValue": "0",
    "Reason": "wrong/null value",
    "SemanticTypeIri": "urn:effortless:pko-extension#CellDisagreement",
    "Name": "effortless-xlsx|RoleSchemaViews.ColumnCount @ rsv-knowledge-authority-app_routes",
    "Substrate": "effortless-xlsx",
    "RulebookField": "RoleSchemaViews.ColumnCount"
   },
   {
    "CellDisagreementId": "effortless-xlsx|RoleSchemaViews.ColumnCount|rsv-knowledge-authority-attestations",
    "FieldDisagreement": "effortless-xlsx|RoleSchemaViews.ColumnCount",
    "RecordId": "rsv-knowledge-authority-attestations",
    "ExpectedValue": "12",
    "ActualValue": "0",
    "Reason": "wrong/null value",
    "SemanticTypeIri": "urn:effortless:pko-extension#CellDisagreement",
    "Name": "effortless-xlsx|RoleSchemaViews.ColumnCount @ rsv-knowledge-authority-attestations",
    "Substrate": "effortless-xlsx",
    "RulebookField": "RoleSchemaViews.ColumnCount"
   },
   {
    "CellDisagreementId": "effortless-xlsx|RoleSchemaViews.ColumnCount|rsv-knowledge-authority-authority_boundaries",
    "FieldDisagreement": "effortless-xlsx|RoleSchemaViews.ColumnCount",
    "RecordId": "rsv-knowledge-authority-authority_boundaries",
    "ExpectedValue": "33",
    "ActualValue": "0",
    "Reason": "wrong/null value",
    "SemanticTypeIri": "urn:effortless:pko-extension#CellDisagreement",
    "Name": "effortless-xlsx|RoleSchemaViews.ColumnCount @ rsv-knowledge-authority-authority_boundaries",
    "Substrate": "effortless-xlsx",
    "RulebookField": "RoleSchemaViews.ColumnCount"
   },
   {
    "CellDisagreementId": "effortless-xlsx|RoleSchemaViews.ColumnCount|rsv-knowledge-authority-binding_observations",
    "FieldDisagreement": "effortless-xlsx|RoleSchemaViews.ColumnCount",
    "RecordId": "rsv-knowledge-authority-binding_observations",
    "ExpectedValue": "11",
    "ActualValue": "0",
    "Reason": "wrong/null value",
    "SemanticTypeIri": "urn:effortless:pko-extension#CellDisagreement",
    "Name": "effortless-xlsx|RoleSchemaViews.ColumnCount @ rsv-knowledge-authority-binding_observations",
    "Substrate": "effortless-xlsx",
    "RulebookField": "RoleSchemaViews.ColumnCount"
   },
   {
    "CellDisagreementId": "effortless-xlsx|RoleSchemaViews.TableFieldCount|rsv-cfo-authority_boundaries",
    "FieldDisagreement": "effortless-xlsx|RoleSchemaViews.TableFieldCount",
    "RecordId": "rsv-cfo-authority_boundaries",
    "ExpectedValue": "33",
    "ActualValue": "0",
    "Reason": "wrong/null value",
    "SemanticTypeIri": "urn:effortless:pko-extension#CellDisagreement",
    "Name": "effortless-xlsx|RoleSchemaViews.TableFieldCount @ rsv-cfo-authority_boundaries",
    "Substrate": "effortless-xlsx",
    "RulebookField": "RoleSchemaViews.TableFieldCount"
   },
   {
    "CellDisagreementId": "effortless-xlsx|RoleSchemaViews.TableFieldCount|rsv-communications-manager-communication_policies",
    "FieldDisagreement": "effortless-xlsx|RoleSchemaViews.TableFieldCount",
    "RecordId": "rsv-communications-manager-communication_policies",
    "ExpectedValue": "22",
    "ActualValue": "0",
    "Reason": "wrong/null value",
    "SemanticTypeIri": "urn:effortless:pko-extension#CellDisagreement",
    "Name": "effortless-xlsx|RoleSchemaViews.TableFieldCount @ rsv-communications-manager-communication_policies",
    "Substrate": "effortless-xlsx",
    "RulebookField": "RoleSchemaViews.TableFieldCount"
   },
   {
    "CellDisagreementId": "effortless-xlsx|RoleSchemaViews.TableFieldCount|rsv-communications-manager-message_deliveries",
    "FieldDisagreement": "effortless-xlsx|RoleSchemaViews.TableFieldCount",
    "RecordId": "rsv-communications-manager-message_deliveries",
    "ExpectedValue": "94",
    "ActualValue": "0",
    "Reason": "wrong/null value",
    "SemanticTypeIri": "urn:effortless:pko-extension#CellDisagreement",
    "Name": "effortless-xlsx|RoleSchemaViews.TableFieldCount @ rsv-communications-manager-message_deliveries",
    "Substrate": "effortless-xlsx",
    "RulebookField": "RoleSchemaViews.TableFieldCount"
   },
   {
    "CellDisagreementId": "effortless-xlsx|RoleSchemaViews.TableFieldCount|rsv-communications-manager-message_templates",
    "FieldDisagreement": "effortless-xlsx|RoleSchemaViews.TableFieldCount",
    "RecordId": "rsv-communications-manager-message_templates",
    "ExpectedValue": "26",
    "ActualValue": "0",
    "Reason": "wrong/null value",
    "SemanticTypeIri": "urn:effortless:pko-extension#CellDisagreement",
    "Name": "effortless-xlsx|RoleSchemaViews.TableFieldCount @ rsv-communications-manager-message_templates",
    "Substrate": "effortless-xlsx",
    "RulebookField": "RoleSchemaViews.TableFieldCount"
   },
   {
    "CellDisagreementId": "effortless-xlsx|RoleSchemaViews.TableFieldCount|rsv-communications-manager-recipients",
    "FieldDisagreement": "effortless-xlsx|RoleSchemaViews.TableFieldCount",
    "RecordId": "rsv-communications-manager-recipients",
    "ExpectedValue": "15",
    "ActualValue": "0",
    "Reason": "wrong/null value",
    "SemanticTypeIri": "urn:effortless:pko-extension#CellDisagreement",
    "Name": "effortless-xlsx|RoleSchemaViews.TableFieldCount @ rsv-communications-manager-recipients",
    "Substrate": "effortless-xlsx",
    "RulebookField": "RoleSchemaViews.TableFieldCount"
   },
   {
    "CellDisagreementId": "effortless-xlsx|RoleSchemaViews.TableFieldCount|rsv-communications-manager-send_intents",
    "FieldDisagreement": "effortless-xlsx|RoleSchemaViews.TableFieldCount",
    "RecordId": "rsv-communications-manager-send_intents",
    "ExpectedValue": "100",
    "ActualValue": "0",
    "Reason": "wrong/null value",
    "SemanticTypeIri": "urn:effortless:pko-extension#CellDisagreement",
    "Name": "effortless-xlsx|RoleSchemaViews.TableFieldCount @ rsv-communications-manager-send_intents",
    "Substrate": "effortless-xlsx",
    "RulebookField": "RoleSchemaViews.TableFieldCount"
   },
   {
    "CellDisagreementId": "effortless-xlsx|RoleSchemaViews.TableFieldCount|rsv-employment-counsel-authority_boundaries",
    "FieldDisagreement": "effortless-xlsx|RoleSchemaViews.TableFieldCount",
    "RecordId": "rsv-employment-counsel-authority_boundaries",
    "ExpectedValue": "33",
    "ActualValue": "0",
    "Reason": "wrong/null value",
    "SemanticTypeIri": "urn:effortless:pko-extension#CellDisagreement",
    "Name": "effortless-xlsx|RoleSchemaViews.TableFieldCount @ rsv-employment-counsel-authority_boundaries",
    "Substrate": "effortless-xlsx",
    "RulebookField": "RoleSchemaViews.TableFieldCount"
   },
   {
    "CellDisagreementId": "effortless-xlsx|RoleSchemaViews.TableFieldCount|rsv-employment-counsel-communication_policies",
    "FieldDisagreement": "effortless-xlsx|RoleSchemaViews.TableFieldCount",
    "RecordId": "rsv-employment-counsel-communication_policies",
    "ExpectedValue": "22",
    "ActualValue": "0",
    "Reason": "wrong/null value",
    "SemanticTypeIri": "urn:effortless:pko-extension#CellDisagreement",
    "Name": "effortless-xlsx|RoleSchemaViews.TableFieldCount @ rsv-employment-counsel-communication_policies",
    "Substrate": "effortless-xlsx",
    "RulebookField": "RoleSchemaViews.TableFieldCount"
   },
   {
    "CellDisagreementId": "effortless-xlsx|RoleSchemaViews.TableFieldCount|rsv-hr-policy-owner-message_templates",
    "FieldDisagreement": "effortless-xlsx|RoleSchemaViews.TableFieldCount",
    "RecordId": "rsv-hr-policy-owner-message_templates",
    "ExpectedValue": "26",
    "ActualValue": "0",
    "Reason": "wrong/null value",
    "SemanticTypeIri": "urn:effortless:pko-extension#CellDisagreement",
    "Name": "effortless-xlsx|RoleSchemaViews.TableFieldCount @ rsv-hr-policy-owner-message_templates",
    "Substrate": "effortless-xlsx",
    "RulebookField": "RoleSchemaViews.TableFieldCount"
   },
   {
    "CellDisagreementId": "effortless-xlsx|RoleSchemaViews.TableFieldCount|rsv-knowledge-authority-agent_decision_records",
    "FieldDisagreement": "effortless-xlsx|RoleSchemaViews.TableFieldCount",
    "RecordId": "rsv-knowledge-authority-agent_decision_records",
    "ExpectedValue": "40",
    "ActualValue": "0",
    "Reason": "wrong/null value",
    "SemanticTypeIri": "urn:effortless:pko-extension#CellDisagreement",
    "Name": "effortless-xlsx|RoleSchemaViews.TableFieldCount @ rsv-knowledge-authority-agent_decision_records",
    "Substrate": "effortless-xlsx",
    "RulebookField": "RoleSchemaViews.TableFieldCount"
   },
   {
    "CellDisagreementId": "effortless-xlsx|RoleSchemaViews.TableFieldCount|rsv-knowledge-authority-app_nav_groups",
    "FieldDisagreement": "effortless-xlsx|RoleSchemaViews.TableFieldCount",
    "RecordId": "rsv-knowledge-authority-app_nav_groups",
    "ExpectedValue": "5",
    "ActualValue": "0",
    "Reason": "wrong/null value",
    "SemanticTypeIri": "urn:effortless:pko-extension#CellDisagreement",
    "Name": "effortless-xlsx|RoleSchemaViews.TableFieldCount @ rsv-knowledge-authority-app_nav_groups",
    "Substrate": "effortless-xlsx",
    "RulebookField": "RoleSchemaViews.TableFieldCount"
   },
   {
    "CellDisagreementId": "effortless-xlsx|RoleSchemaViews.TableFieldCount|rsv-knowledge-authority-app_role_profiles",
    "FieldDisagreement": "effortless-xlsx|RoleSchemaViews.TableFieldCount",
    "RecordId": "rsv-knowledge-authority-app_role_profiles",
    "ExpectedValue": "12",
    "ActualValue": "0",
    "Reason": "wrong/null value",
    "SemanticTypeIri": "urn:effortless:pko-extension#CellDisagreement",
    "Name": "effortless-xlsx|RoleSchemaViews.TableFieldCount @ rsv-knowledge-authority-app_role_profiles",
    "Substrate": "effortless-xlsx",
    "RulebookField": "RoleSchemaViews.TableFieldCount"
   },
   {
    "CellDisagreementId": "effortless-xlsx|RoleSchemaViews.TableFieldCount|rsv-knowledge-authority-app_route_questions",
    "FieldDisagreement": "effortless-xlsx|RoleSchemaViews.TableFieldCount",
    "RecordId": "rsv-knowledge-authority-app_route_questions",
    "ExpectedValue": "5",
    "ActualValue": "0",
    "Reason": "wrong/null value",
    "SemanticTypeIri": "urn:effortless:pko-extension#CellDisagreement",
    "Name": "effortless-xlsx|RoleSchemaViews.TableFieldCount @ rsv-knowledge-authority-app_route_questions",
    "Substrate": "effortless-xlsx",
    "RulebookField": "RoleSchemaViews.TableFieldCount"
   },
   {
    "CellDisagreementId": "effortless-xlsx|RoleSchemaViews.TableFieldCount|rsv-knowledge-authority-app_route_references",
    "FieldDisagreement": "effortless-xlsx|RoleSchemaViews.TableFieldCount",
    "RecordId": "rsv-knowledge-authority-app_route_references",
    "ExpectedValue": "5",
    "ActualValue": "0",
    "Reason": "wrong/null value",
    "SemanticTypeIri": "urn:effortless:pko-extension#CellDisagreement",
    "Name": "effortless-xlsx|RoleSchemaViews.TableFieldCount @ rsv-knowledge-authority-app_route_references",
    "Substrate": "effortless-xlsx",
    "RulebookField": "RoleSchemaViews.TableFieldCount"
   },
   {
    "CellDisagreementId": "effortless-xlsx|RoleSchemaViews.TableFieldCount|rsv-knowledge-authority-app_routes",
    "FieldDisagreement": "effortless-xlsx|RoleSchemaViews.TableFieldCount",
    "RecordId": "rsv-knowledge-authority-app_routes",
    "ExpectedValue": "18",
    "ActualValue": "0",
    "Reason": "wrong/null value",
    "SemanticTypeIri": "urn:effortless:pko-extension#CellDisagreement",
    "Name": "effortless-xlsx|RoleSchemaViews.TableFieldCount @ rsv-knowledge-authority-app_routes",
    "Substrate": "effortless-xlsx",
    "RulebookField": "RoleSchemaViews.TableFieldCount"
   },
   {
    "CellDisagreementId": "effortless-xlsx|RoleSchemaViews.TableFieldCount|rsv-knowledge-authority-attestations",
    "FieldDisagreement": "effortless-xlsx|RoleSchemaViews.TableFieldCount",
    "RecordId": "rsv-knowledge-authority-attestations",
    "ExpectedValue": "12",
    "ActualValue": "0",
    "Reason": "wrong/null value",
    "SemanticTypeIri": "urn:effortless:pko-extension#CellDisagreement",
    "Name": "effortless-xlsx|RoleSchemaViews.TableFieldCount @ rsv-knowledge-authority-attestations",
    "Substrate": "effortless-xlsx",
    "RulebookField": "RoleSchemaViews.TableFieldCount"
   },
   {
    "CellDisagreementId": "effortless-xlsx|RoleSchemaViews.TableFieldCount|rsv-knowledge-authority-authority_boundaries",
    "FieldDisagreement": "effortless-xlsx|RoleSchemaViews.TableFieldCount",
    "RecordId": "rsv-knowledge-authority-authority_boundaries",
    "ExpectedValue": "33",
    "ActualValue": "0",
    "Reason": "wrong/null value",
    "SemanticTypeIri": "urn:effortless:pko-extension#CellDisagreement",
    "Name": "effortless-xlsx|RoleSchemaViews.TableFieldCount @ rsv-knowledge-authority-authority_boundaries",
    "Substrate": "effortless-xlsx",
    "RulebookField": "RoleSchemaViews.TableFieldCount"
   },
   {
    "CellDisagreementId": "effortless-xlsx|RoleSchemaViews.TableFieldCount|rsv-knowledge-authority-binding_observations",
    "FieldDisagreement": "effortless-xlsx|RoleSchemaViews.TableFieldCount",
    "RecordId": "rsv-knowledge-authority-binding_observations",
    "ExpectedValue": "11",
    "ActualValue": "0",
    "Reason": "wrong/null value",
    "SemanticTypeIri": "urn:effortless:pko-extension#CellDisagreement",
    "Name": "effortless-xlsx|RoleSchemaViews.TableFieldCount @ rsv-knowledge-authority-binding_observations",
    "Substrate": "effortless-xlsx",
    "RulebookField": "RoleSchemaViews.TableFieldCount"
   },
   {
    "CellDisagreementId": "effortless-xlsx|RoleSchemaViews.TableFieldCount|rsv-knowledge-authority-communication_policies",
    "FieldDisagreement": "effortless-xlsx|RoleSchemaViews.TableFieldCount",
    "RecordId": "rsv-knowledge-authority-communication_policies",
    "ExpectedValue": "22",
    "ActualValue": "0",
    "Reason": "wrong/null value",
    "SemanticTypeIri": "urn:effortless:pko-extension#CellDisagreement",
    "Name": "effortless-xlsx|RoleSchemaViews.TableFieldCount @ rsv-knowledge-authority-communication_policies",
    "Substrate": "effortless-xlsx",
    "RulebookField": "RoleSchemaViews.TableFieldCount"
   },
   {
    "CellDisagreementId": "effortless-xlsx|RoleSchemaViews.TableFieldCount|rsv-knowledge-authority-delivered_communications",
    "FieldDisagreement": "effortless-xlsx|RoleSchemaViews.TableFieldCount",
    "RecordId": "rsv-knowledge-authority-delivered_communications",
    "ExpectedValue": "18",
    "ActualValue": "0",
    "Reason": "wrong/null value",
    "SemanticTypeIri": "urn:effortless:pko-extension#CellDisagreement",
    "Name": "effortless-xlsx|RoleSchemaViews.TableFieldCount @ rsv-knowledge-authority-delivered_communications",
    "Substrate": "effortless-xlsx",
    "RulebookField": "RoleSchemaViews.TableFieldCount"
   },
   {
    "CellDisagreementId": "effortless-xlsx|RoleSchemaViews.IsDegenerateView|rsv-cfo-authority_boundaries",
    "FieldDisagreement": "effortless-xlsx|RoleSchemaViews.IsDegenerateView",
    "RecordId": "rsv-cfo-authority_boundaries",
    "ExpectedValue": "false",
    "ActualValue": "true",
    "Reason": "wrong/null value",
    "SemanticTypeIri": "urn:effortless:pko-extension#CellDisagreement",
    "Name": "effortless-xlsx|RoleSchemaViews.IsDegenerateView @ rsv-cfo-authority_boundaries",
    "Substrate": "effortless-xlsx",
    "RulebookField": "RoleSchemaViews.IsDegenerateView"
   },
   {
    "CellDisagreementId": "effortless-xlsx|RoleSchemaViews.IsDegenerateView|rsv-communications-manager-communication_policies",
    "FieldDisagreement": "effortless-xlsx|RoleSchemaViews.IsDegenerateView",
    "RecordId": "rsv-communications-manager-communication_policies",
    "ExpectedValue": "false",
    "ActualValue": "true",
    "Reason": "wrong/null value",
    "SemanticTypeIri": "urn:effortless:pko-extension#CellDisagreement",
    "Name": "effortless-xlsx|RoleSchemaViews.IsDegenerateView @ rsv-communications-manager-communication_policies",
    "Substrate": "effortless-xlsx",
    "RulebookField": "RoleSchemaViews.IsDegenerateView"
   },
   {
    "CellDisagreementId": "effortless-xlsx|RoleSchemaViews.IsDegenerateView|rsv-communications-manager-message_deliveries",
    "FieldDisagreement": "effortless-xlsx|RoleSchemaViews.IsDegenerateView",
    "RecordId": "rsv-communications-manager-message_deliveries",
    "ExpectedValue": "false",
    "ActualValue": "true",
    "Reason": "wrong/null value",
    "SemanticTypeIri": "urn:effortless:pko-extension#CellDisagreement",
    "Name": "effortless-xlsx|RoleSchemaViews.IsDegenerateView @ rsv-communications-manager-message_deliveries",
    "Substrate": "effortless-xlsx",
    "RulebookField": "RoleSchemaViews.IsDegenerateView"
   },
   {
    "CellDisagreementId": "effortless-xlsx|RoleSchemaViews.IsDegenerateView|rsv-communications-manager-message_templates",
    "FieldDisagreement": "effortless-xlsx|RoleSchemaViews.IsDegenerateView",
    "RecordId": "rsv-communications-manager-message_templates",
    "ExpectedValue": "false",
    "ActualValue": "true",
    "Reason": "wrong/null value",
    "SemanticTypeIri": "urn:effortless:pko-extension#CellDisagreement",
    "Name": "effortless-xlsx|RoleSchemaViews.IsDegenerateView @ rsv-communications-manager-message_templates",
    "Substrate": "effortless-xlsx",
    "RulebookField": "RoleSchemaViews.IsDegenerateView"
   },
   {
    "CellDisagreementId": "effortless-xlsx|RoleSchemaViews.IsDegenerateView|rsv-communications-manager-recipients",
    "FieldDisagreement": "effortless-xlsx|RoleSchemaViews.IsDegenerateView",
    "RecordId": "rsv-communications-manager-recipients",
    "ExpectedValue": "false",
    "ActualValue": "true",
    "Reason": "wrong/null value",
    "SemanticTypeIri": "urn:effortless:pko-extension#CellDisagreement",
    "Name": "effortless-xlsx|RoleSchemaViews.IsDegenerateView @ rsv-communications-manager-recipients",
    "Substrate": "effortless-xlsx",
    "RulebookField": "RoleSchemaViews.IsDegenerateView"
   },
   {
    "CellDisagreementId": "effortless-xlsx|RoleSchemaViews.IsDegenerateView|rsv-communications-manager-send_intents",
    "FieldDisagreement": "effortless-xlsx|RoleSchemaViews.IsDegenerateView",
    "RecordId": "rsv-communications-manager-send_intents",
    "ExpectedValue": "false",
    "ActualValue": "true",
    "Reason": "wrong/null value",
    "SemanticTypeIri": "urn:effortless:pko-extension#CellDisagreement",
    "Name": "effortless-xlsx|RoleSchemaViews.IsDegenerateView @ rsv-communications-manager-send_intents",
    "Substrate": "effortless-xlsx",
    "RulebookField": "RoleSchemaViews.IsDegenerateView"
   },
   {
    "CellDisagreementId": "effortless-xlsx|RoleSchemaViews.IsDegenerateView|rsv-employment-counsel-authority_boundaries",
    "FieldDisagreement": "effortless-xlsx|RoleSchemaViews.IsDegenerateView",
    "RecordId": "rsv-employment-counsel-authority_boundaries",
    "ExpectedValue": "false",
    "ActualValue": "true",
    "Reason": "wrong/null value",
    "SemanticTypeIri": "urn:effortless:pko-extension#CellDisagreement",
    "Name": "effortless-xlsx|RoleSchemaViews.IsDegenerateView @ rsv-employment-counsel-authority_boundaries",
    "Substrate": "effortless-xlsx",
    "RulebookField": "RoleSchemaViews.IsDegenerateView"
   },
   {
    "CellDisagreementId": "effortless-xlsx|RoleSchemaViews.IsDegenerateView|rsv-employment-counsel-communication_policies",
    "FieldDisagreement": "effortless-xlsx|RoleSchemaViews.IsDegenerateView",
    "RecordId": "rsv-employment-counsel-communication_policies",
    "ExpectedValue": "false",
    "ActualValue": "true",
    "Reason": "wrong/null value",
    "SemanticTypeIri": "urn:effortless:pko-extension#CellDisagreement",
    "Name": "effortless-xlsx|RoleSchemaViews.IsDegenerateView @ rsv-employment-counsel-communication_policies",
    "Substrate": "effortless-xlsx",
    "RulebookField": "RoleSchemaViews.IsDegenerateView"
   },
   {
    "CellDisagreementId": "effortless-xlsx|RoleSchemaViews.IsDegenerateView|rsv-hr-policy-owner-message_templates",
    "FieldDisagreement": "effortless-xlsx|RoleSchemaViews.IsDegenerateView",
    "RecordId": "rsv-hr-policy-owner-message_templates",
    "ExpectedValue": "false",
    "ActualValue": "true",
    "Reason": "wrong/null value",
    "SemanticTypeIri": "urn:effortless:pko-extension#CellDisagreement",
    "Name": "effortless-xlsx|RoleSchemaViews.IsDegenerateView @ rsv-hr-policy-owner-message_templates",
    "Substrate": "effortless-xlsx",
    "RulebookField": "RoleSchemaViews.IsDegenerateView"
   },
   {
    "CellDisagreementId": "effortless-xlsx|RoleSchemaViews.IsDegenerateView|rsv-knowledge-authority-actions",
    "FieldDisagreement": "effortless-xlsx|RoleSchemaViews.IsDegenerateView",
    "RecordId": "rsv-knowledge-authority-actions",
    "ExpectedValue": "false",
    "ActualValue": "true",
    "Reason": "wrong/null value",
    "SemanticTypeIri": "urn:effortless:pko-extension#CellDisagreement",
    "Name": "effortless-xlsx|RoleSchemaViews.IsDegenerateView @ rsv-knowledge-authority-actions",
    "Substrate": "effortless-xlsx",
    "RulebookField": "RoleSchemaViews.IsDegenerateView"
   },
   {
    "CellDisagreementId": "effortless-xlsx|RoleSchemaViews.IsDegenerateView|rsv-knowledge-authority-agent_decision_records",
    "FieldDisagreement": "effortless-xlsx|RoleSchemaViews.IsDegenerateView",
    "RecordId": "rsv-knowledge-authority-agent_decision_records",
    "ExpectedValue": "false",
    "ActualValue": "true",
    "Reason": "wrong/null value",
    "SemanticTypeIri": "urn:effortless:pko-extension#CellDisagreement",
    "Name": "effortless-xlsx|RoleSchemaViews.IsDegenerateView @ rsv-knowledge-authority-agent_decision_records",
    "Substrate": "effortless-xlsx",
    "RulebookField": "RoleSchemaViews.IsDegenerateView"
   },
   {
    "CellDisagreementId": "effortless-xlsx|RoleSchemaViews.IsDegenerateView|rsv-knowledge-authority-agents",
    "FieldDisagreement": "effortless-xlsx|RoleSchemaViews.IsDegenerateView",
    "RecordId": "rsv-knowledge-authority-agents",
    "ExpectedValue": "false",
    "ActualValue": "true",
    "Reason": "wrong/null value",
    "SemanticTypeIri": "urn:effortless:pko-extension#CellDisagreement",
    "Name": "effortless-xlsx|RoleSchemaViews.IsDegenerateView @ rsv-knowledge-authority-agents",
    "Substrate": "effortless-xlsx",
    "RulebookField": "RoleSchemaViews.IsDegenerateView"
   },
   {
    "CellDisagreementId": "effortless-xlsx|RoleSchemaViews.IsDegenerateView|rsv-knowledge-authority-app_nav_groups",
    "FieldDisagreement": "effortless-xlsx|RoleSchemaViews.IsDegenerateView",
    "RecordId": "rsv-knowledge-authority-app_nav_groups",
    "ExpectedValue": "false",
    "ActualValue": "true",
    "Reason": "wrong/null value",
    "SemanticTypeIri": "urn:effortless:pko-extension#CellDisagreement",
    "Name": "effortless-xlsx|RoleSchemaViews.IsDegenerateView @ rsv-knowledge-authority-app_nav_groups",
    "Substrate": "effortless-xlsx",
    "RulebookField": "RoleSchemaViews.IsDegenerateView"
   },
   {
    "CellDisagreementId": "effortless-xlsx|RoleSchemaViews.IsDegenerateView|rsv-knowledge-authority-app_role_profiles",
    "FieldDisagreement": "effortless-xlsx|RoleSchemaViews.IsDegenerateView",
    "RecordId": "rsv-knowledge-authority-app_role_profiles",
    "ExpectedValue": "false",
    "ActualValue": "true",
    "Reason": "wrong/null value",
    "SemanticTypeIri": "urn:effortless:pko-extension#CellDisagreement",
    "Name": "effortless-xlsx|RoleSchemaViews.IsDegenerateView @ rsv-knowledge-authority-app_role_profiles",
    "Substrate": "effortless-xlsx",
    "RulebookField": "RoleSchemaViews.IsDegenerateView"
   },
   {
    "CellDisagreementId": "effortless-xlsx|RoleSchemaViews.IsDegenerateView|rsv-knowledge-authority-app_route_questions",
    "FieldDisagreement": "effortless-xlsx|RoleSchemaViews.IsDegenerateView",
    "RecordId": "rsv-knowledge-authority-app_route_questions",
    "ExpectedValue": "false",
    "ActualValue": "true",
    "Reason": "wrong/null value",
    "SemanticTypeIri": "urn:effortless:pko-extension#CellDisagreement",
    "Name": "effortless-xlsx|RoleSchemaViews.IsDegenerateView @ rsv-knowledge-authority-app_route_questions",
    "Substrate": "effortless-xlsx",
    "RulebookField": "RoleSchemaViews.IsDegenerateView"
   },
   {
    "CellDisagreementId": "effortless-xlsx|RoleSchemaViews.IsDegenerateView|rsv-knowledge-authority-app_route_references",
    "FieldDisagreement": "effortless-xlsx|RoleSchemaViews.IsDegenerateView",
    "RecordId": "rsv-knowledge-authority-app_route_references",
    "ExpectedValue": "false",
    "ActualValue": "true",
    "Reason": "wrong/null value",
    "SemanticTypeIri": "urn:effortless:pko-extension#CellDisagreement",
    "Name": "effortless-xlsx|RoleSchemaViews.IsDegenerateView @ rsv-knowledge-authority-app_route_references",
    "Substrate": "effortless-xlsx",
    "RulebookField": "RoleSchemaViews.IsDegenerateView"
   },
   {
    "CellDisagreementId": "effortless-xlsx|RoleSchemaViews.IsDegenerateView|rsv-knowledge-authority-app_routes",
    "FieldDisagreement": "effortless-xlsx|RoleSchemaViews.IsDegenerateView",
    "RecordId": "rsv-knowledge-authority-app_routes",
    "ExpectedValue": "false",
    "ActualValue": "true",
    "Reason": "wrong/null value",
    "SemanticTypeIri": "urn:effortless:pko-extension#CellDisagreement",
    "Name": "effortless-xlsx|RoleSchemaViews.IsDegenerateView @ rsv-knowledge-authority-app_routes",
    "Substrate": "effortless-xlsx",
    "RulebookField": "RoleSchemaViews.IsDegenerateView"
   },
   {
    "CellDisagreementId": "effortless-xlsx|RoleSchemaViews.IsDegenerateView|rsv-knowledge-authority-attestations",
    "FieldDisagreement": "effortless-xlsx|RoleSchemaViews.IsDegenerateView",
    "RecordId": "rsv-knowledge-authority-attestations",
    "ExpectedValue": "false",
    "ActualValue": "true",
    "Reason": "wrong/null value",
    "SemanticTypeIri": "urn:effortless:pko-extension#CellDisagreement",
    "Name": "effortless-xlsx|RoleSchemaViews.IsDegenerateView @ rsv-knowledge-authority-attestations",
    "Substrate": "effortless-xlsx",
    "RulebookField": "Ro</t>
  </si>
  <si>
    <t xml:space="preserve">leSchemaViews.IsDegenerateView"
   },
   {
    "CellDisagreementId": "effortless-xlsx|RoleSchemaViews.IsDegenerateView|rsv-knowledge-authority-authority_boundaries",
    "FieldDisagreement": "effortless-xlsx|RoleSchemaViews.IsDegenerateView",
    "RecordId": "rsv-knowledge-authority-authority_boundaries",
    "ExpectedValue": "false",
    "ActualValue": "true",
    "Reason": "wrong/null value",
    "SemanticTypeIri": "urn:effortless:pko-extension#CellDisagreement",
    "Name": "effortless-xlsx|RoleSchemaViews.IsDegenerateView @ rsv-knowledge-authority-authority_boundaries",
    "Substrate": "effortless-xlsx",
    "RulebookField": "RoleSchemaViews.IsDegenerateView"
   },
   {
    "CellDisagreementId": "effortless-xlsx|RoleSchemaViews.IsDegenerateView|rsv-knowledge-authority-binding_observations",
    "FieldDisagreement": "effortless-xlsx|RoleSchemaViews.IsDegenerateView",
    "RecordId": "rsv-knowledge-authority-binding_observations",
    "ExpectedValue": "false",
    "ActualValue": "true",
    "Reason": "wrong/null value",
    "SemanticTypeIri": "urn:effortless:pko-extension#CellDisagreement",
    "Name": "effortless-xlsx|RoleSchemaViews.IsDegenerateView @ rsv-knowledge-authority-binding_observations",
    "Substrate": "effortless-xlsx",
    "RulebookField": "RoleSchemaViews.IsDegenerateView"
   },
   {
    "CellDisagreementId": "effortless-xlsx|RoleSchemaViews.IsFullWidth|rsv-communications-manager-communication_policies",
    "FieldDisagreement": "effortless-xlsx|RoleSchemaViews.IsFullWidth",
    "RecordId": "rsv-communications-manager-communication_policies",
    "ExpectedValue": "true",
    "ActualValue": "false",
    "Reason": "wrong/null value",
    "SemanticTypeIri": "urn:effortless:pko-extension#CellDisagreement",
    "Name": "effortless-xlsx|RoleSchemaViews.IsFullWidth @ rsv-communications-manager-communication_policies",
    "Substrate": "effortless-xlsx",
    "RulebookField": "RoleSchemaViews.IsFullWidth"
   },
   {
    "CellDisagreementId": "effortless-xlsx|RoleSchemaViews.IsFullWidth|rsv-knowledge-authority-actions",
    "FieldDisagreement": "effortless-xlsx|RoleSchemaViews.IsFullWidth",
    "RecordId": "rsv-knowledge-authority-actions",
    "ExpectedValue": "true",
    "ActualValue": "false",
    "Reason": "wrong/null value",
    "SemanticTypeIri": "urn:effortless:pko-extension#CellDisagreement",
    "Name": "effortless-xlsx|RoleSchemaViews.IsFullWidth @ rsv-knowledge-authority-actions",
    "Substrate": "effortless-xlsx",
    "RulebookField": "RoleSchemaViews.IsFullWidth"
   },
   {
    "CellDisagreementId": "effortless-xlsx|RoleSchemaViews.IsFullWidth|rsv-knowledge-authority-agent_decision_records",
    "FieldDisagreement": "effortless-xlsx|RoleSchemaViews.IsFullWidth",
    "RecordId": "rsv-knowledge-authority-agent_decision_records",
    "ExpectedValue": "true",
    "ActualValue": "false",
    "Reason": "wrong/null value",
    "SemanticTypeIri": "urn:effortless:pko-extension#CellDisagreement",
    "Name": "effortless-xlsx|RoleSchemaViews.IsFullWidth @ rsv-knowledge-authority-agent_decision_records",
    "Substrate": "effortless-xlsx",
    "RulebookField": "RoleSchemaViews.IsFullWidth"
   },
   {
    "CellDisagreementId": "effortless-xlsx|RoleSchemaViews.IsFullWidth|rsv-knowledge-authority-agents",
    "FieldDisagreement": "effortless-xlsx|RoleSchemaViews.IsFullWidth",
    "RecordId": "rsv-knowledge-authority-agents",
    "ExpectedValue": "true",
    "ActualValue": "false",
    "Reason": "wrong/null value",
    "SemanticTypeIri": "urn:effortless:pko-extension#CellDisagreement",
    "Name": "effortless-xlsx|RoleSchemaViews.IsFullWidth @ rsv-knowledge-authority-agents",
    "Substrate": "effortless-xlsx",
    "RulebookField": "RoleSchemaViews.IsFullWidth"
   },
   {
    "CellDisagreementId": "effortless-xlsx|RoleSchemaViews.IsFullWidth|rsv-knowledge-authority-app_nav_groups",
    "FieldDisagreement": "effortless-xlsx|RoleSchemaViews.IsFullWidth",
    "RecordId": "rsv-knowledge-authority-app_nav_groups",
    "ExpectedValue": "true",
    "ActualValue": "false",
    "Reason": "wrong/null value",
    "SemanticTypeIri": "urn:effortless:pko-extension#CellDisagreement",
    "Name": "effortless-xlsx|RoleSchemaViews.IsFullWidth @ rsv-knowledge-authority-app_nav_groups",
    "Substrate": "effortless-xlsx",
    "RulebookField": "RoleSchemaViews.IsFullWidth"
   },
   {
    "CellDisagreementId": "effortless-xlsx|RoleSchemaViews.IsFullWidth|rsv-knowledge-authority-app_role_profiles",
    "FieldDisagreement": "effortless-xlsx|RoleSchemaViews.IsFullWidth",
    "RecordId": "rsv-knowledge-authority-app_role_profiles",
    "ExpectedValue": "true",
    "ActualValue": "false",
    "Reason": "wrong/null value",
    "SemanticTypeIri": "urn:effortless:pko-extension#CellDisagreement",
    "Name": "effortless-xlsx|RoleSchemaViews.IsFullWidth @ rsv-knowledge-authority-app_role_profiles",
    "Substrate": "effortless-xlsx",
    "RulebookField": "RoleSchemaViews.IsFullWidth"
   },
   {
    "CellDisagreementId": "effortless-xlsx|RoleSchemaViews.IsFullWidth|rsv-knowledge-authority-app_route_questions",
    "FieldDisagreement": "effortless-xlsx|RoleSchemaViews.IsFullWidth",
    "RecordId": "rsv-knowledge-authority-app_route_questions",
    "ExpectedValue": "true",
    "ActualValue": "false",
    "Reason": "wrong/null value",
    "SemanticTypeIri": "urn:effortless:pko-extension#CellDisagreement",
    "Name": "effortless-xlsx|RoleSchemaViews.IsFullWidth @ rsv-knowledge-authority-app_route_questions",
    "Substrate": "effortless-xlsx",
    "RulebookField": "RoleSchemaViews.IsFullWidth"
   },
   {
    "CellDisagreementId": "effortless-xlsx|RoleSchemaViews.IsFullWidth|rsv-knowledge-authority-app_route_references",
    "FieldDisagreement": "effortless-xlsx|RoleSchemaViews.IsFullWidth",
    "RecordId": "rsv-knowledge-authority-app_route_references",
    "ExpectedValue": "true",
    "ActualValue": "false",
    "Reason": "wrong/null value",
    "SemanticTypeIri": "urn:effortless:pko-extension#CellDisagreement",
    "Name": "effortless-xlsx|RoleSchemaViews.IsFullWidth @ rsv-knowledge-authority-app_route_references",
    "Substrate": "effortless-xlsx",
    "RulebookField": "RoleSchemaViews.IsFullWidth"
   },
   {
    "CellDisagreementId": "effortless-xlsx|RoleSchemaViews.IsFullWidth|rsv-knowledge-authority-app_routes",
    "FieldDisagreement": "effortless-xlsx|RoleSchemaViews.IsFullWidth",
    "RecordId": "rsv-knowledge-authority-app_routes",
    "ExpectedValue": "true",
    "ActualValue": "false",
    "Reason": "wrong/null value",
    "SemanticTypeIri": "urn:effortless:pko-extension#CellDisagreement",
    "Name": "effortless-xlsx|RoleSchemaViews.IsFullWidth @ rsv-knowledge-authority-app_routes",
    "Substrate": "effortless-xlsx",
    "RulebookField": "RoleSchemaViews.IsFullWidth"
   },
   {
    "CellDisagreementId": "effortless-xlsx|RoleSchemaViews.IsFullWidth|rsv-knowledge-authority-attestations",
    "FieldDisagreement": "effortless-xlsx|RoleSchemaViews.IsFullWidth",
    "RecordId": "rsv-knowledge-authority-attestations",
    "ExpectedValue": "true",
    "ActualValue": "false",
    "Reason": "wrong/null value",
    "SemanticTypeIri": "urn:effortless:pko-extension#CellDisagreement",
    "Name": "effortless-xlsx|RoleSchemaViews.IsFullWidth @ rsv-knowledge-authority-attestations",
    "Substrate": "effortless-xlsx",
    "RulebookField": "RoleSchemaViews.IsFullWidth"
   },
   {
    "CellDisagreementId": "effortless-xlsx|RoleSchemaViews.IsFullWidth|rsv-knowledge-authority-authority_boundaries",
    "FieldDisagreement": "effortless-xlsx|RoleSchemaViews.IsFullWidth",
    "RecordId": "rsv-knowledge-authority-authority_boundaries",
    "ExpectedValue": "true",
    "ActualValue": "false",
    "Reason": "wrong/null value",
    "SemanticTypeIri": "urn:effortless:pko-extension#CellDisagreement",
    "Name": "effortless-xlsx|RoleSchemaViews.IsFullWidth @ rsv-knowledge-authority-authority_boundaries",
    "Substrate": "effortless-xlsx",
    "RulebookField": "RoleSchemaViews.IsFullWidth"
   },
   {
    "CellDisagreementId": "effortless-xlsx|RoleSchemaViews.IsFullWidth|rsv-knowledge-authority-binding_observations",
    "FieldDisagreement": "effortless-xlsx|RoleSchemaViews.IsFullWidth",
    "RecordId": "rsv-knowledge-authority-binding_observations",
    "ExpectedValue": "true",
    "ActualValue": "false",
    "Reason": "wrong/null value",
    "SemanticTypeIri": "urn:effortless:pko-extension#CellDisagreement",
    "Name": "effortless-xlsx|RoleSchemaViews.IsFullWidth @ rsv-knowledge-authority-binding_observations",
    "Substrate": "effortless-xlsx",
    "RulebookField": "RoleSchemaViews.IsFullWidth"
   },
   {
    "CellDisagreementId": "effortless-xlsx|RoleSchemaViews.IsFullWidth|rsv-knowledge-authority-change_requests",
    "FieldDisagreement": "effortless-xlsx|RoleSchemaViews.IsFullWidth",
    "RecordId": "rsv-knowledge-authority-change_requests",
    "ExpectedValue": "true",
    "ActualValue": "false",
    "Reason": "wrong/null value",
    "SemanticTypeIri": "urn:effortless:pko-extension#CellDisagreement",
    "Name": "effortless-xlsx|RoleSchemaViews.IsFullWidth @ rsv-knowledge-authority-change_requests",
    "Substrate": "effortless-xlsx",
    "RulebookField": "RoleSchemaViews.IsFullWidth"
   },
   {
    "CellDisagreementId": "effortless-xlsx|RoleSchemaViews.IsFullWidth|rsv-knowledge-authority-communication_policies",
    "FieldDisagreement": "effortless-xlsx|RoleSchemaViews.IsFullWidth",
    "RecordId": "rsv-knowledge-authority-communication_policies",
    "ExpectedValue": "true",
    "ActualValue": "false",
    "Reason": "wrong/null value",
    "SemanticTypeIri": "urn:effortless:pko-extension#CellDisagreement",
    "Name": "effortless-xlsx|RoleSchemaViews.IsFullWidth @ rsv-knowledge-authority-communication_policies",
    "Substrate": "effortless-xlsx",
    "RulebookField": "RoleSchemaViews.IsFullWidth"
   },
   {
    "CellDisagreementId": "effortless-xlsx|RoleSchemaViews.IsFullWidth|rsv-knowledge-authority-communities_of_practice",
    "FieldDisagreement": "effortless-xlsx|RoleSchemaViews.IsFullWidth",
    "RecordId": "rsv-knowledge-authority-communities_of_practice",
    "ExpectedValue": "true",
    "ActualValue": "false",
    "Reason": "wrong/null value",
    "SemanticTypeIri": "urn:effortless:pko-extension#CellDisagreement",
    "Name": "effortless-xlsx|RoleSchemaViews.IsFullWidth @ rsv-knowledge-authority-communities_of_practice",
    "Substrate": "effortless-xlsx",
    "RulebookField": "RoleSchemaViews.IsFullWidth"
   },
   {
    "CellDisagreementId": "effortless-xlsx|RoleSchemaViews.IsFullWidth|rsv-knowledge-authority-delivered_communications",
    "FieldDisagreement": "effortless-xlsx|RoleSchemaViews.IsFullWidth",
    "RecordId": "rsv-knowledge-authority-delivered_communications",
    "ExpectedValue": "true",
    "ActualValue": "false",
    "Reason": "wrong/null value",
    "SemanticTypeIri": "urn:effortless:pko-extension#CellDisagreement",
    "Name": "effortless-xlsx|RoleSchemaViews.IsFullWidth @ rsv-knowledge-authority-delivered_communications",
    "Substrate": "effortless-xlsx",
    "RulebookField": "RoleSchemaViews.IsFullWidth"
   },
   {
    "CellDisagreementId": "effortless-xlsx|RoleSchemaViews.IsFullWidth|rsv-knowledge-authority-elicitation_sessions",
    "FieldDisagreement": "effortless-xlsx|RoleSchemaViews.IsFullWidth",
    "RecordId": "rsv-knowledge-authority-elicitation_sessions",
    "ExpectedValue": "true",
    "ActualValue": "false",
    "Reason": "wrong/null value",
    "SemanticTypeIri": "urn:effortless:pko-extension#CellDisagreement",
    "Name": "effortless-xlsx|RoleSchemaViews.IsFullWidth @ rsv-knowledge-authority-elicitation_sessions",
    "Substrate": "effortless-xlsx",
    "RulebookField": "RoleSchemaViews.IsFullWidth"
   },
   {
    "CellDisagreementId": "effortless-xlsx|RoleSchemaViews.IsFullWidth|rsv-knowledge-authority-errors",
    "FieldDisagreement": "effortless-xlsx|RoleSchemaViews.IsFullWidth",
    "RecordId": "rsv-knowledge-authority-errors",
    "ExpectedValue": "true",
    "ActualValue": "false",
    "Reason": "wrong/null value",
    "SemanticTypeIri": "urn:effortless:pko-extension#CellDisagreement",
    "Name": "effortless-xlsx|RoleSchemaViews.IsFullWidth @ rsv-knowledge-authority-errors",
    "Substrate": "effortless-xlsx",
    "RulebookField": "RoleSchemaViews.IsFullWidth"
   },
   {
    "CellDisagreementId": "effortless-xlsx|RoleSchemaViews.IsFullWidth|rsv-knowledge-authority-evaluation_contexts",
    "FieldDisagreement": "effortless-xlsx|RoleSchemaViews.IsFullWidth",
    "RecordId": "rsv-knowledge-authority-evaluation_contexts",
    "ExpectedValue": "true",
    "ActualValue": "false",
    "Reason": "wrong/null value",
    "SemanticTypeIri": "urn:effortless:pko-extension#CellDisagreement",
    "Name": "effortless-xlsx|RoleSchemaViews.IsFullWidth @ rsv-knowledge-authority-evaluation_contexts",
    "Substrate": "effortless-xlsx",
    "RulebookField": "RoleSchemaViews.IsFullWidth"
   },
   {
    "CellDisagreementId": "effortless-xlsx|RoleSchemaViews.IsFullWidth|rsv-knowledge-authority-exception_invocations",
    "FieldDisagreement": "effortless-xlsx|RoleSchemaViews.IsFullWidth",
    "RecordId": "rsv-knowledge-authority-exception_invocations",
    "ExpectedValue": "true",
    "ActualValue": "false",
    "Reason": "wrong/null value",
    "SemanticTypeIri": "urn:effortless:pko-extension#CellDisagreement",
    "Name": "effortless-xlsx|RoleSchemaViews.IsFullWidth @ rsv-knowledge-authority-exception_invocations",
    "Substrate": "effortless-xlsx",
    "RulebookField": "RoleSchemaViews.IsFullWidth"
   },
   {
    "CellDisagreementId": "effortless-xlsx|ProcessMiningRuns.Name|pmr-close-v10-archived",
    "FieldDisagreement": "effortless-xlsx|ProcessMiningRuns.Name",
    "RecordId": "pmr-close-v10-archived",
    "ExpectedValue": "\"ERP General Ledger Audit Log / 2026-01-01T09:00:00-05:00\"",
    "ActualValue": "\"ERP General Ledger Audit Log / 2026-01-01 14:00:00+00\"",
    "Reason": "wrong/null value",
    "SemanticTypeIri": "urn:effortless:pko-extension#CellDisagreement",
    "Name": "effortless-xlsx|ProcessMiningRuns.Name @ pmr-close-v10-archived",
    "Substrate": "effortless-xlsx",
    "RulebookField": "ProcessMiningRuns.Name"
   },
   {
    "CellDisagreementId": "effortless-xlsx|ProcessMiningRuns.Name|pmr-close-v11-cutoff-bypass",
    "FieldDisagreement": "effortless-xlsx|ProcessMiningRuns.Name",
    "RecordId": "pmr-close-v11-cutoff-bypass",
    "ExpectedValue": "\"ERP General Ledger Audit Log / 2026-07-17T09:00:00-05:00\"",
    "ActualValue": "\"ERP General Ledger Audit Log / 2026-07-17 14:00:00+00\"",
    "Reason": "wrong/null value",
    "SemanticTypeIri": "urn:effortless:pko-extension#CellDisagreement",
    "Name": "effortless-xlsx|ProcessMiningRuns.Name @ pmr-close-v11-cutoff-bypass",
    "Substrate": "effortless-xlsx",
    "RulebookField": "ProcessMiningRuns.Name"
   },
   {
    "CellDisagreementId": "effortless-xlsx|ProcessMiningRuns.Name|pmr-close-v11-q3",
    "FieldDisagreement": "effortless-xlsx|ProcessMiningRuns.Name",
    "RecordId": "pmr-close-v11-q3",
    "ExpectedValue": "\"ERP General Ledger Audit Log / 2026-07-15T09:00:00-05:00\"",
    "ActualValue": "\"ERP General Ledger Audit Log / 2026-07-15 14:00:00+00\"",
    "Reason": "wrong/null value",
    "SemanticTypeIri": "urn:effortless:pko-extension#CellDisagreement",
    "Name": "effortless-xlsx|ProcessMiningRuns.Name @ pmr-close-v11-q3",
    "Substrate": "effortless-xlsx",
    "RulebookField": "ProcessMiningRuns.Name"
   },
   {
    "CellDisagreementId": "effortless-xlsx|ProcessMiningRuns.Name|pmr-policy-v1-notify",
    "FieldDisagreement": "effortless-xlsx|ProcessMiningRuns.Name",
    "RecordId": "pmr-policy-v1-notify",
    "ExpectedValue": "\"Notification Pipeline Delivery Log / 2026-01-10T09:00:00-05:00\"",
    "ActualValue": "\"Notification Pipeline Delivery Log / 2026-01-10 14:00:00+00\"",
    "Reason": "wrong/null value",
    "SemanticTypeIri": "urn:effortless:pko-extension#CellDisagreement",
    "Name": "effortless-xlsx|ProcessMiningRuns.Name @ pmr-policy-v1-notify",
    "Substrate": "effortless-xlsx",
    "RulebookField": "ProcessMiningRuns.Name"
   },
   {
    "CellDisagreementId": "effortless-xlsx|ProcessMiningRuns.AsOfInstant|pmr-close-v10-archived",
    "FieldDisagreement": "effortless-xlsx|ProcessMiningRuns.AsOfInstant",
    "RecordId": "pmr-close-v10-archived",
    "ExpectedValue": "\"2026-07-19T13:00:00-05:00\"",
    "ActualValue": "\"2026-07-19 18:00:00\"",
    "Reason": "wrong/null value",
    "SemanticTypeIri": "urn:effortless:pko-extension#CellDisagreement",
    "Name": "effortless-xlsx|ProcessMiningRuns.AsOfInstant @ pmr-close-v10-archived",
    "Substrate": "effortless-xlsx",
    "RulebookField": "ProcessMiningRuns.AsOfInstant"
   },
   {
    "CellDisagreementId": "effortless-xlsx|ProcessMiningRuns.AsOfInstant|pmr-close-v11-cutoff-bypass",
    "FieldDisagreement": "effortless-xlsx|ProcessMiningRuns.AsOfInstant",
    "RecordId": "pmr-close-v11-cutoff-bypass",
    "ExpectedValue": "\"2026-07-19T13:00:00-05:00\"",
    "ActualValue": "\"2026-07-19 18:00:00\"",
    "Reason": "wrong/null value",
    "SemanticTypeIri": "urn:effortless:pko-extension#CellDisagreement",
    "Name": "effortless-xlsx|ProcessMiningRuns.AsOfInstant @ pmr-close-v11-cutoff-bypass",
    "Substrate": "effortless-xlsx",
    "RulebookField": "ProcessMiningRuns.AsOfInstant"
   },
   {
    "CellDisagreementId": "effortless-xlsx|ProcessMiningRuns.AsOfInstant|pmr-close-v11-q3",
    "FieldDisagreement": "effortless-xlsx|ProcessMiningRuns.AsOfInstant",
    "RecordId": "pmr-close-v11-q3",
    "ExpectedValue": "\"2026-07-19T13:00:00-05:00\"",
    "ActualValue": "\"2026-07-19 18:00:00\"",
    "Reason": "wrong/null value",
    "SemanticTypeIri": "urn:effortless:pko-extension#CellDisagreement",
    "Name": "effortless-xlsx|ProcessMiningRuns.AsOfInstant @ pmr-close-v11-q3",
    "Substrate": "effortless-xlsx",
    "RulebookField": "ProcessMiningRuns.AsOfInstant"
   },
   {
    "CellDisagreementId": "effortless-xlsx|ProcessMiningRuns.AsOfInstant|pmr-policy-v1-notify",
    "FieldDisagreement": "effortless-xlsx|ProcessMiningRuns.AsOfInstant",
    "RecordId": "pmr-policy-v1-notify",
    "ExpectedValue": "\"2026-07-19T13:00:00-05:00\"",
    "ActualValue": "\"2026-07-19 18:00:00\"",
    "Reason": "wrong/null value",
    "SemanticTypeIri": "urn:effortless:pko-extension#CellDisagreement",
    "Name": "effortless-xlsx|ProcessMiningRuns.AsOfInstant @ pmr-policy-v1-notify",
    "Substrate": "effortless-xlsx",
    "RulebookField": "ProcessMiningRuns.AsOfInstant"
   },
   {
    "CellDisagreementId": "effortless-xlsx|KnowledgeBrokerLinks.AsOfInstant|kbl-amina-jordan-sod",
    "FieldDisagreement": "effortless-xlsx|KnowledgeBrokerLinks.AsOfInstant",
    "RecordId": "kbl-amina-jordan-sod",
    "ExpectedValue": "\"2026-07-19T13:00:00-05:00\"",
    "ActualValue": "\"2026-07-19 18:00:00\"",
    "Reason": "wrong/null value",
    "SemanticTypeIri": "urn:effortless:pko-extension#CellDisagreement",
    "Name": "effortless-xlsx|KnowledgeBrokerLinks.AsOfInstant @ kbl-amina-jordan-sod",
    "Substrate": "effortless-xlsx",
    "RulebookField": "KnowledgeBrokerLinks.AsOfInstant"
   },
   {
    "CellDisagreementId": "effortless-xlsx|KnowledgeBrokerLinks.AsOfInstant|kbl-devon-priya-recon",
    "FieldDisagreement": "effortless-xlsx|KnowledgeBrokerLinks.AsOfInstant",
    "RecordId": "kbl-devon-priya-recon",
    "ExpectedValue": "\"2026-07-19T13:00:00-05:00\"",
    "ActualValue": "\"2026-07-19 18:00:00\"",
    "Reason": "wrong/null value",
    "SemanticTypeIri": "urn:effortless:pko-extension#CellDisagreement",
    "Name": "effortless-xlsx|KnowledgeBrokerLinks.AsOfInstant @ kbl-devon-priya-recon",
    "Substrate": "effortless-xlsx",
    "RulebookField": "KnowledgeBrokerLinks.AsOfInstant"
   },
   {
    "CellDisagreementId": "effortless-xlsx|KnowledgeBrokerLinks.AsOfInstant|kbl-elena-priya-sod",
    "FieldDisagreement": "effortless-xlsx|KnowledgeBrokerLinks.AsOfInstant",
    "RecordId": "kbl-elena-priya-sod",
    "ExpectedValue": "\"2026-07-19T13:00:00-05:00\"",
    "ActualValue": "\"2026-07-19 18:00:00\"",
    "Reason": "wrong/null value",
    "SemanticTypeIri": "urn:effortless:pko-extension#CellDisagreement",
    "Name": "effortless-xlsx|KnowledgeBrokerLinks.AsOfInstant @ kbl-elena-priya-sod",
    "Substrate": "effortless-xlsx",
    "RulebookField": "KnowledgeBrokerLinks.AsOfInstant"
   },
   {
    "CellDisagreementId": "effortless-xlsx|KnowledgeBrokerLinks.AsOfInstant|kbl-maria-priya-recon",
    "FieldDisagreement": "effortless-xlsx|KnowledgeBrokerLinks.AsOfInstant",
    "RecordId": "kbl-maria-priya-recon",
    "ExpectedValue": "\"2026-07-19T13:00:00-05:00\"",
    "ActualValue": "\"2026-07-19 18:00:00\"",
    "Reason": "wrong/null value",
    "SemanticTypeIri": "urn:effortless:pko-extension#CellDisagreement",
    "Name": "effortless-xlsx|KnowledgeBrokerLinks.AsOfInstant @ kbl-maria-priya-recon",
    "Substrate": "effortless-xlsx",
    "RulebookField": "KnowledgeBrokerLinks.AsOfInstant"
   },
   {
    "CellDisagreementId": "effortless-xlsx|KnowledgeBrokerLinks.AsOfInstant|kbl-noah-elena-quiet",
    "FieldDisagreement": "effortless-xlsx|KnowledgeBrokerLinks.AsOfInstant",
    "RecordId": "kbl-noah-elena-quiet",
    "ExpectedValue": "\"2026-07-19T13:00:00-05:00\"",
    "ActualValue": "\"2026-07-19 18:00:00\"",
    "Reason": "wrong/null value",
    "SemanticTypeIri": "urn:effortless:pko-extension#CellDisagreement",
    "Name": "effortless-xlsx|KnowledgeBrokerLinks.AsOfInstant @ kbl-noah-elena-quiet",
    "Substrate": "effortless-xlsx",
    "RulebookField": "KnowledgeBrokerLinks.AsOfInstant"
   },
   {
    "CellDisagreementId": "effortless-entity-framework|EvaluationContexts.Name|eval-current",
    "FieldDisagreement": "effortless-entity-framework|EvaluationContexts.Name",
    "RecordId": "eval-current",
    "ExpectedValue": "\"Post-close evaluation @ 2026-07-19T13:00:00-05:00\"",
    "ActualValue": "\"Post-close evaluation @ 2026-07-19 13:00:00-05\"",
    "Reason": "wrong/null value",
    "SemanticTypeIri": "urn:effortless:pko-extension#CellDisagreement",
    "Name": "effortless-entity-framework|EvaluationContexts.Name @ eval-current",
    "Substrate": "effortless-entity-framework",
    "RulebookField": "EvaluationContexts.Name"
   },
   {
    "CellDisagreementId": "effortless-entity-framework|RoleAssignments.Name|ra-authority-2026",
    "FieldDisagreement": "effortless-entity-framework|RoleAssignments.Name",
    "RecordId": "ra-authority-2026",
    "ExpectedValue": "\"knowledge-authority @ 2026-01-01T00:00:00-06:00\"",
    "ActualValue": "\"knowledge-authority @ 2026-01-01 00:00:00-06\"",
    "Reason": "wrong/null value",
    "SemanticTypeIri": "urn:effortless:pko-extension#CellDisagreement",
    "Name": "effortless-entity-framework|RoleAssignments.Name @ ra-authority-2026",
    "Substrate": "effortless-entity-framework",
    "RulebookField": "RoleAssignments.Name"
   },
   {
    "CellDisagreementId": "effortless-entity-framework|RoleAssignments.Name|ra-cfo-2026",
    "FieldDisagreement": "effortless-entity-framework|RoleAssignments.Name",
    "RecordId": "ra-cfo-2026",
    "ExpectedValue": "\"cfo @ 2026-01-01T00:00:00-06:00\"",
    "ActualValue": "\"cfo @ 2026-01-01 00:00:00-06\"",
    "Reason": "wrong/null value",
    "SemanticTypeIri": "urn:effortless:pko-extension#CellDisagreement",
    "Name": "effortless-entity-framework|RoleAssignments.Name @ ra-cfo-2026",
    "Substrate": "effortless-entity-framework",
    "RulebookField": "RoleAssignments.Name"
   },
   {
    "CellDisagreementId": "effortless-entity-framework|RoleAssignments.Name|ra-close-pipeline-2026",
    "FieldDisagreement": "effortless-entity-framework|RoleAssignments.Name",
    "RecordId": "ra-close-pipeline-2026",
    "ExpectedValue": "\"close-automation @ 2026-01-01T00:00:00-06:00\"",
    "ActualValue": "\"close-automation @ 2026-01-01 00:00:00-06\"",
    "Reason": "wrong/null value",
    "SemanticTypeIri": "urn:effortless:pko-extension#CellDisagreement",
    "Name": "effortless-entity-framework|RoleAssignments.Name @ ra-close-pipeline-2026",
    "Substrate": "effortless-entity-framework",
    "RulebookField": "RoleAssignments.Name"
   },
   {
    "CellDisagreementId": "effortless-entity-framework|RoleAssignments.Name|ra-comms-2026",
    "FieldDisagreement": "effortless-entity-framework|RoleAssignments.Name",
    "RecordId": "ra-comms-2026",
    "ExpectedValue": "\"communications-manager @ 2026-02-01T00:00:00-06:00\"",
    "ActualValue": "\"communications-manager @ 2026-02-01 00:00:00-06\"",
    "Reason": "wrong/null value",
    "SemanticTypeIri": "urn:effortless:pko-extension#CellDisagreement",
    "Name": "effortless-entity-framework|RoleAssignments.Name @ ra-comms-2026",
    "Substrate": "effortless-entity-framework",
    "RulebookField": "RoleAssignments.Name"
   },
   {
    "CellDisagreementId": "effortless-entity-framework|RoleAssignments.Name|ra-controller-2026",
    "FieldDisagreement": "effortless-entity-framework|RoleAssignments.Name",
    "RecordId": "ra-controller-2026",
    "ExpectedValue": "\"controller @ 2026-01-01T00:00:00-06:00\"",
    "ActualValue": "\"controller @ 2026-01-01 00:00:00-06\"",
    "Reason": "wrong/null value",
    "SemanticTypeIri": "urn:effortless:pko-extension#CellDisagreement",
    "Name": "effortless-entity-framework|RoleAssignments.Name @ ra-controller-2026",
    "Substrate": "effortless-entity-framework",
    "RulebookField": "RoleAssignments.Name"
   },
   {
    "CellDisagreementId": "effortless-entity-framework|RoleAssignments.Name|ra-counsel-2026",
    "FieldDisagreement": "effortless-entity-framework|RoleAssignments.Name",
    "RecordId": "ra-counsel-2026",
    "ExpectedValue": "\"employment-counsel @ 2026-01-15T00:00:00-06:00\"",
    "ActualValue": "\"employment-counsel @ 2026-01-15 00:00:00-06\"",
    "Reason": "wrong/null value",
    "SemanticTypeIri": "urn:effortless:pko-extension#CellDisagreement",
    "Name": "effortless-entity-framework|RoleAssignments.Name @ ra-counsel-2026",
    "Substrate": "effortless-entity-framework",
    "RulebookField": "RoleAssignments.Name"
   },
   {
    "CellDisagreementId": "effortless-entity-framework|RoleAssignments.Name|ra-finance-2026",
    "FieldDisagreement": "effortless-entity-framework|RoleAssignments.Name",
    "RecordId": "ra-finance-2026",
    "ExpectedValue": "\"finance-analyst @ 2026-01-01T00:00:00-06:00\"",
    "ActualValue": "\"finance-analyst @ 2026-01-01 00:00:00-06\"",
    "Reason": "wrong/null value",
    "SemanticTypeIri": "urn:effortless:pko-extension#CellDisagreement",
    "Name": "effortless-entity-framework|RoleAssignments.Name @ ra-finance-2026",
    "Substrate": "effortless-entity-framework",
    "RulebookField": "RoleAssignments.Name"
   },
   {
    "CellDisagreementId": "effortless-entity-framework|RoleAssignments.Name|ra-new-variance",
    "FieldDisagreement": "effortless-entity-framework|RoleAssignments.Name",
    "RecordId": "ra-new-variance",
    "ExpectedValue": "\"variance-review-agent @ 2026-04-01T00:00:00-05:00\"",
    "ActualValue": "\"variance-review-agent @ 2026-04-01 00:00:00-05\"",
    "Reason": "wrong/null value",
    "SemanticTypeIri": "urn:effortless:pko-extension#CellDisagreement",
    "Name": "effortless-entity-framework|RoleAssignments.Name @ ra-new-variance",
    "Substrate": "effortless-entity-framework",
    "RulebookField": "RoleAssignments.Name"
   },
   {
    "CellDisagreementId": "effortless-entity-framework|RoleAssignments.Name|ra-notify-pipeline-2026",
    "FieldDisagreement": "effortless-entity-framework|RoleAssignments.Name",
    "RecordId": "ra-notify-pipeline-2026",
    "ExpectedValue": "\"notification-publisher @ 2026-03-01T00:00:00-06:00\"",
    "ActualValue": "\"notification-publisher @ 2026-03-01 00:00:00-06\"",
    "Reason": "wrong/null value",
    "SemanticTypeIri": "urn:effortless:pko-extension#CellDisagreement",
    "Name": "effortless-entity-framework|RoleAssignments.Name @ ra-notify-pipeline-2026",
    "Substrate": "effortless-entity-framework",
    "RulebookField": "RoleAssignments.Name"
   },
   {
    "CellDisagreementId": "effortless-entity-framework|RoleAssignments.Name|ra-old-variance",
    "FieldDisagreement": "effortless-entity-framework|RoleAssignments.Name",
    "RecordId": "ra-old-variance",
    "ExpectedValue": "\"variance-review-agent @ 2025-01-01T00:00:00-06:00\"",
    "ActualValue": "\"variance-review-agent @ 2025-01-01 00:00:00-06\"",
    "Reason": "wrong/null value",
    "SemanticTypeIri": "urn:effortless:pko-extension#CellDisagreement",
    "Name": "effortless-entity-framework|RoleAssignments.Name @ ra-old-variance",
    "Substrate": "effortless-entity-framework",
    "RulebookField": "RoleAssignments.Name"
   },
   {
    "CellDisagreementId": "effortless-entity-framework|RoleAssignments.Name|ra-policy-ai-2026",
    "FieldDisagreement": "effortless-entity-framework|RoleAssignments.Name",
    "RecordId": "ra-policy-ai-2026",
    "ExpectedValue": "\"policy-drafting-agent @ 2026-05-01T00:00:00-05:00\"",
    "ActualValue": "\"policy-drafting-agent @ 2026-05-01 00:00:00-05\"",
    "Reason": "wrong/null value",
    "SemanticTypeIri": "urn:effortless:pko-extension#CellDisagreement",
    "Name": "effortless-entity-framework|RoleAssignments.Name @ ra-policy-ai-2026",
    "Substrate": "effortless-entity-framework",
    "RulebookField": "RoleAssignments.Name"
   },
   {
    "CellDisagreementId": "effortless-entity-framework|RoleAssignments.Name|ra-policy-owner-2026",
    "FieldDisagreement": "effortless-entity-framework|RoleAssignments.Name",
    "RecordId": "ra-policy-owner-2026",
    "ExpectedValue": "\"hr-policy-owner @ 2026-02-01T00:00:00-06:00\"",
    "ActualValue": "\"hr-policy-owner @ 2026-02-01 00:00:00-06\"",
    "Reason": "wrong/null value",
    "SemanticTypeIri": "urn:effortless:pko-extension#CellDisagreement",
    "Name": "effortless-entity-framework|RoleAssignments.Name @ ra-policy-owner-2026",
    "Substrate": "effortless-entity-framework",
    "RulebookField": "RoleAssignments.Name"
   },
   {
    "CellDisagreementId": "effortless-entity-framework|RoleAssignments.Name|ra-steward-2026",
    "FieldDisagreement": "effortless-entity-framework|RoleAssignments.Name",
    "RecordId": "ra-steward-2026",
    "ExpectedValue": "\"process-steward @ 2026-04-15T09:00:00-05:00\"",
    "ActualValue": "\"process-steward @ 2026-04-15 09:00:00-05\"",
    "Reason": "wrong/null value",
    "SemanticTypeIri": "urn:effortless:pko-extension#CellDisagreement",
    "Name": "effortless-entity-framework|RoleAssignments.Name @ ra-steward-2026",
    "Substrate": "effortless-entity-framework",
    "RulebookField": "RoleAssignments.Name"
   },
   {
    "CellDisagreementId": "effortless-entity-framework|RoleAssignments.QualityVerdictIsUnsupported|ra-authority-2026",
    "FieldDisagreement": "effortless-entity-framework|RoleAssignments.QualityVerdictIsUnsupported",
    "RecordId": "ra-authority-2026",
    "ExpectedValue": "true",
    "ActualValue": "null",
    "Reason": "wrong/null value",
    "SemanticTypeIri": "urn:effortless:pko-extension#CellDisagreement",
    "Name": "effortless-entity-framework|RoleAssignments.QualityVerdictIsUnsupported @ ra-authority-2026",
    "Substrate": "effortless-entity-framework",
    "RulebookField": "RoleAssignments.QualityVerdictIsUnsupported"
   },
   {
    "CellDisagreementId": "effortless-entity-framework|RoleAssignments.QualityVerdictIsUnsupported|ra-cfo-2026",
    "FieldDisagreement": "effortless-entity-framework|RoleAssignments.QualityVerdictIsUnsupported",
    "RecordId": "ra-cfo-2026",
    "ExpectedValue": "true",
    "ActualValue": "null",
    "Reason": "wrong/null value",
    "SemanticTypeIri": "urn:effortless:pko-extension#CellDisagreement",
    "Name": "effortless-entity-framework|RoleAssignments.QualityVerdictIsUnsupported @ ra-cfo-2026",
    "Substrate": "effortless-entity-framework",
    "RulebookField": "RoleAssignments.QualityVerdictIsUnsupported"
   },
   {
    "CellDisagreementId": "effortless-entity-framework|RoleAssignments.QualityVerdictIsUnsupported|ra-close-pipeline-2026",
    "FieldDisagreement": "effortless-entity-framework|RoleAssignments.QualityVerdictIsUnsupported",
    "RecordId": "ra-close-pipeline-2026",
    "ExpectedValue": "true",
    "ActualValue": "null",
    "Reason": "wrong/null value",
    "SemanticTypeIri": "urn:effortless:pko-extension#CellDisagreement",
    "Name": "effortless-entity-framework|RoleAssignments.QualityVerdictIsUnsupported @ ra-close-pipeline-2026",
    "Substrate": "effortless-entity-framework",
    "RulebookField": "RoleAssignments.QualityVerdictIsUnsupported"
   },
   {
    "CellDisagreementId": "effortless-entity-framework|RoleAssignments.QualityVerdictIsUnsupported|ra-comms-2026",
    "FieldDisagreement": "effortless-entity-framew</t>
  </si>
  <si>
    <t xml:space="preserve">ork|RoleAssignments.QualityVerdictIsUnsupported",
    "RecordId": "ra-comms-2026",
    "ExpectedValue": "true",
    "ActualValue": "null",
    "Reason": "wrong/null value",
    "SemanticTypeIri": "urn:effortless:pko-extension#CellDisagreement",
    "Name": "effortless-entity-framework|RoleAssignments.QualityVerdictIsUnsupported @ ra-comms-2026",
    "Substrate": "effortless-entity-framework",
    "RulebookField": "RoleAssignments.QualityVerdictIsUnsupported"
   },
   {
    "CellDisagreementId": "effortless-entity-framework|RoleAssignments.QualityVerdictIsUnsupported|ra-controller-2026",
    "FieldDisagreement": "effortless-entity-framework|RoleAssignments.QualityVerdictIsUnsupported",
    "RecordId": "ra-controller-2026",
    "ExpectedValue": "true",
    "ActualValue": "null",
    "Reason": "wrong/null value",
    "SemanticTypeIri": "urn:effortless:pko-extension#CellDisagreement",
    "Name": "effortless-entity-framework|RoleAssignments.QualityVerdictIsUnsupported @ ra-controller-2026",
    "Substrate": "effortless-entity-framework",
    "RulebookField": "RoleAssignments.QualityVerdictIsUnsupported"
   },
   {
    "CellDisagreementId": "effortless-entity-framework|RoleAssignments.QualityVerdictIsUnsupported|ra-counsel-2026",
    "FieldDisagreement": "effortless-entity-framework|RoleAssignments.QualityVerdictIsUnsupported",
    "RecordId": "ra-counsel-2026",
    "ExpectedValue": "true",
    "ActualValue": "null",
    "Reason": "wrong/null value",
    "SemanticTypeIri": "urn:effortless:pko-extension#CellDisagreement",
    "Name": "effortless-entity-framework|RoleAssignments.QualityVerdictIsUnsupported @ ra-counsel-2026",
    "Substrate": "effortless-entity-framework",
    "RulebookField": "RoleAssignments.QualityVerdictIsUnsupported"
   },
   {
    "CellDisagreementId": "effortless-entity-framework|RoleAssignments.QualityVerdictIsUnsupported|ra-finance-2026",
    "FieldDisagreement": "effortless-entity-framework|RoleAssignments.QualityVerdictIsUnsupported",
    "RecordId": "ra-finance-2026",
    "ExpectedValue": "true",
    "ActualValue": "null",
    "Reason": "wrong/null value",
    "SemanticTypeIri": "urn:effortless:pko-extension#CellDisagreement",
    "Name": "effortless-entity-framework|RoleAssignments.QualityVerdictIsUnsupported @ ra-finance-2026",
    "Substrate": "effortless-entity-framework",
    "RulebookField": "RoleAssignments.QualityVerdictIsUnsupported"
   },
   {
    "CellDisagreementId": "effortless-entity-framework|RoleAssignments.QualityVerdictIsUnsupported|ra-new-variance",
    "FieldDisagreement": "effortless-entity-framework|RoleAssignments.QualityVerdictIsUnsupported",
    "RecordId": "ra-new-variance",
    "ExpectedValue": "true",
    "ActualValue": "null",
    "Reason": "wrong/null value",
    "SemanticTypeIri": "urn:effortless:pko-extension#CellDisagreement",
    "Name": "effortless-entity-framework|RoleAssignments.QualityVerdictIsUnsupported @ ra-new-variance",
    "Substrate": "effortless-entity-framework",
    "RulebookField": "RoleAssignments.QualityVerdictIsUnsupported"
   },
   {
    "CellDisagreementId": "effortless-entity-framework|RoleAssignments.QualityVerdictIsUnsupported|ra-notify-pipeline-2026",
    "FieldDisagreement": "effortless-entity-framework|RoleAssignments.QualityVerdictIsUnsupported",
    "RecordId": "ra-notify-pipeline-2026",
    "ExpectedValue": "true",
    "ActualValue": "null",
    "Reason": "wrong/null value",
    "SemanticTypeIri": "urn:effortless:pko-extension#CellDisagreement",
    "Name": "effortless-entity-framework|RoleAssignments.QualityVerdictIsUnsupported @ ra-notify-pipeline-2026",
    "Substrate": "effortless-entity-framework",
    "RulebookField": "RoleAssignments.QualityVerdictIsUnsupported"
   },
   {
    "CellDisagreementId": "effortless-entity-framework|RoleAssignments.QualityVerdictIsUnsupported|ra-old-variance",
    "FieldDisagreement": "effortless-entity-framework|RoleAssignments.QualityVerdictIsUnsupported",
    "RecordId": "ra-old-variance",
    "ExpectedValue": "true",
    "ActualValue": "null",
    "Reason": "wrong/null value",
    "SemanticTypeIri": "urn:effortless:pko-extension#CellDisagreement",
    "Name": "effortless-entity-framework|RoleAssignments.QualityVerdictIsUnsupported @ ra-old-variance",
    "Substrate": "effortless-entity-framework",
    "RulebookField": "RoleAssignments.QualityVerdictIsUnsupported"
   },
   {
    "CellDisagreementId": "effortless-entity-framework|RoleAssignments.QualityVerdictIsUnsupported|ra-policy-ai-2026",
    "FieldDisagreement": "effortless-entity-framework|RoleAssignments.QualityVerdictIsUnsupported",
    "RecordId": "ra-policy-ai-2026",
    "ExpectedValue": "true",
    "ActualValue": "null",
    "Reason": "wrong/null value",
    "SemanticTypeIri": "urn:effortless:pko-extension#CellDisagreement",
    "Name": "effortless-entity-framework|RoleAssignments.QualityVerdictIsUnsupported @ ra-policy-ai-2026",
    "Substrate": "effortless-entity-framework",
    "RulebookField": "RoleAssignments.QualityVerdictIsUnsupported"
   },
   {
    "CellDisagreementId": "effortless-entity-framework|RoleAssignments.QualityVerdictIsUnsupported|ra-policy-owner-2026",
    "FieldDisagreement": "effortless-entity-framework|RoleAssignments.QualityVerdictIsUnsupported",
    "RecordId": "ra-policy-owner-2026",
    "ExpectedValue": "true",
    "ActualValue": "null",
    "Reason": "wrong/null value",
    "SemanticTypeIri": "urn:effortless:pko-extension#CellDisagreement",
    "Name": "effortless-entity-framework|RoleAssignments.QualityVerdictIsUnsupported @ ra-policy-owner-2026",
    "Substrate": "effortless-entity-framework",
    "RulebookField": "RoleAssignments.QualityVerdictIsUnsupported"
   },
   {
    "CellDisagreementId": "effortless-entity-framework|RoleAssignments.QualityVerdictIsUnsupported|ra-steward-2026",
    "FieldDisagreement": "effortless-entity-framework|RoleAssignments.QualityVerdictIsUnsupported",
    "RecordId": "ra-steward-2026",
    "ExpectedValue": "true",
    "ActualValue": "null",
    "Reason": "wrong/null value",
    "SemanticTypeIri": "urn:effortless:pko-extension#CellDisagreement",
    "Name": "effortless-entity-framework|RoleAssignments.QualityVerdictIsUnsupported @ ra-steward-2026",
    "Substrate": "effortless-entity-framework",
    "RulebookField": "RoleAssignments.QualityVerdictIsUnsupported"
   },
   {
    "CellDisagreementId": "effortless-entity-framework|RoleAssignments.IsUnmeasuredAutomationHandover|ra-new-variance",
    "FieldDisagreement": "effortless-entity-framework|RoleAssignments.IsUnmeasuredAutomationHandover",
    "RecordId": "ra-new-variance",
    "ExpectedValue": "true",
    "ActualValue": "null",
    "Reason": "wrong/null value",
    "SemanticTypeIri": "urn:effortless:pko-extension#CellDisagreement",
    "Name": "effortless-entity-framework|RoleAssignments.IsUnmeasuredAutomationHandover @ ra-new-variance",
    "Substrate": "effortless-entity-framework",
    "RulebookField": "RoleAssignments.IsUnmeasuredAutomationHandover"
   },
   {
    "CellDisagreementId": "effortless-entity-framework|ProcedureVersions.DaysSinceModified|close-v1.0.0",
    "FieldDisagreement": "effortless-entity-framework|ProcedureVersions.DaysSinceModified",
    "RecordId": "close-v1.0.0",
    "ExpectedValue": "109",
    "ActualValue": "110",
    "Reason": "wrong/null value",
    "SemanticTypeIri": "urn:effortless:pko-extension#CellDisagreement",
    "Name": "effortless-entity-framework|ProcedureVersions.DaysSinceModified @ close-v1.0.0",
    "Substrate": "effortless-entity-framework",
    "RulebookField": "ProcedureVersions.DaysSinceModified"
   },
   {
    "CellDisagreementId": "effortless-entity-framework|ProcedureVersions.DaysSinceModified|close-v1.1.0",
    "FieldDisagreement": "effortless-entity-framework|ProcedureVersions.DaysSinceModified",
    "RecordId": "close-v1.1.0",
    "ExpectedValue": "16",
    "ActualValue": "17",
    "Reason": "wrong/null value",
    "SemanticTypeIri": "urn:effortless:pko-extension#CellDisagreement",
    "Name": "effortless-entity-framework|ProcedureVersions.DaysSinceModified @ close-v1.1.0",
    "Substrate": "effortless-entity-framework",
    "RulebookField": "ProcedureVersions.DaysSinceModified"
   },
   {
    "CellDisagreementId": "effortless-entity-framework|ProcedureVersions.DaysSinceModified|policy-v1.0.0",
    "FieldDisagreement": "effortless-entity-framework|ProcedureVersions.DaysSinceModified",
    "RecordId": "policy-v1.0.0",
    "ExpectedValue": "0",
    "ActualValue": "1",
    "Reason": "wrong/null value",
    "SemanticTypeIri": "urn:effortless:pko-extension#CellDisagreement",
    "Name": "effortless-entity-framework|ProcedureVersions.DaysSinceModified @ policy-v1.0.0",
    "Substrate": "effortless-entity-framework",
    "RulebookField": "ProcedureVersions.DaysSinceModified"
   },
   {
    "CellDisagreementId": "effortless-entity-framework|ProcedureVersions.WasModifiedSinceLastReview|close-v1.1.0",
    "FieldDisagreement": "effortless-entity-framework|ProcedureVersions.WasModifiedSinceLastReview",
    "RecordId": "close-v1.1.0",
    "ExpectedValue": "true",
    "ActualValue": "false",
    "Reason": "wrong/null value",
    "SemanticTypeIri": "urn:effortless:pko-extension#CellDisagreement",
    "Name": "effortless-entity-framework|ProcedureVersions.WasModifiedSinceLastReview @ close-v1.1.0",
    "Substrate": "effortless-entity-framework",
    "RulebookField": "ProcedureVersions.WasModifiedSinceLastReview"
   },
   {
    "CellDisagreementId": "effortless-entity-framework|ProcedureVersions.WasModifiedSinceLastReview|policy-v1.0.0",
    "FieldDisagreement": "effortless-entity-framework|ProcedureVersions.WasModifiedSinceLastReview",
    "RecordId": "policy-v1.0.0",
    "ExpectedValue": "true",
    "ActualValue": "false",
    "Reason": "wrong/null value",
    "SemanticTypeIri": "urn:effortless:pko-extension#CellDisagreement",
    "Name": "effortless-entity-framework|ProcedureVersions.WasModifiedSinceLastReview @ policy-v1.0.0",
    "Substrate": "effortless-entity-framework",
    "RulebookField": "ProcedureVersions.WasModifiedSinceLastReview"
   },
   {
    "CellDisagreementId": "effortless-entity-framework|ProcedureVersions.HasUnwitnessedChange|close-v1.1.0",
    "FieldDisagreement": "effortless-entity-framework|ProcedureVersions.HasUnwitnessedChange",
    "RecordId": "close-v1.1.0",
    "ExpectedValue": "true",
    "ActualValue": "false",
    "Reason": "wrong/null value",
    "SemanticTypeIri": "urn:effortless:pko-extension#CellDisagreement",
    "Name": "effortless-entity-framework|ProcedureVersions.HasUnwitnessedChange @ close-v1.1.0",
    "Substrate": "effortless-entity-framework",
    "RulebookField": "ProcedureVersions.HasUnwitnessedChange"
   },
   {
    "CellDisagreementId": "effortless-entity-framework|ProcedureVersions.HasUnwitnessedChange|policy-v1.0.0",
    "FieldDisagreement": "effortless-entity-framework|ProcedureVersions.HasUnwitnessedChange",
    "RecordId": "policy-v1.0.0",
    "ExpectedValue": "true",
    "ActualValue": "false",
    "Reason": "wrong/null value",
    "SemanticTypeIri": "urn:effortless:pko-extension#CellDisagreement",
    "Name": "effortless-entity-framework|ProcedureVersions.HasUnwitnessedChange @ policy-v1.0.0",
    "Substrate": "effortless-entity-framework",
    "RulebookField": "ProcedureVersions.HasUnwitnessedChange"
   },
   {
    "CellDisagreementId": "effortless-entity-framework|Requirements.IsUntestedWitness|req-close-balance",
    "FieldDisagreement": "effortless-entity-framework|Requirements.IsUntestedWitness",
    "RecordId": "req-close-balance",
    "ExpectedValue": "true",
    "ActualValue": "null",
    "Reason": "wrong/null value",
    "SemanticTypeIri": "urn:effortless:pko-extension#CellDisagreement",
    "Name": "effortless-entity-framework|Requirements.IsUntestedWitness @ req-close-balance",
    "Substrate": "effortless-entity-framework",
    "RulebookField": "Requirements.IsUntestedWitness"
   },
   {
    "CellDisagreementId": "effortless-entity-framework|Requirements.IsUntestedWitness|req-close-cutoff",
    "FieldDisagreement": "effortless-entity-framework|Requirements.IsUntestedWitness",
    "RecordId": "req-close-cutoff",
    "ExpectedValue": "true",
    "ActualValue": "null",
    "Reason": "wrong/null value",
    "SemanticTypeIri": "urn:effortless:pko-extension#CellDisagreement",
    "Name": "effortless-entity-framework|Requirements.IsUntestedWitness @ req-close-cutoff",
    "Substrate": "effortless-entity-framework",
    "RulebookField": "Requirements.IsUntestedWitness"
   },
   {
    "CellDisagreementId": "effortless-entity-framework|Requirements.IsUntestedWitness|req-close-separation",
    "FieldDisagreement": "effortless-entity-framework|Requirements.IsUntestedWitness",
    "RecordId": "req-close-separation",
    "ExpectedValue": "true",
    "ActualValue": "null",
    "Reason": "wrong/null value",
    "SemanticTypeIri": "urn:effortless:pko-extension#CellDisagreement",
    "Name": "effortless-entity-framework|Requirements.IsUntestedWitness @ req-close-separation",
    "Substrate": "effortless-entity-framework",
    "RulebookField": "Requirements.IsUntestedWitness"
   },
   {
    "CellDisagreementId": "effortless-entity-framework|ElicitationSessions.Name|elicit-close-shadow",
    "FieldDisagreement": "effortless-entity-framework|ElicitationSessions.Name",
    "RecordId": "elicit-close-shadow",
    "ExpectedValue": "\"Shadowing / 2026-04-03T09:00:00-05:00\"",
    "ActualValue": "\"Shadowing / 2026-04-03 09:00:00-05\"",
    "Reason": "wrong/null value",
    "SemanticTypeIri": "urn:effortless:pko-extension#CellDisagreement",
    "Name": "effortless-entity-framework|ElicitationSessions.Name @ elicit-close-shadow",
    "Substrate": "effortless-entity-framework",
    "RulebookField": "ElicitationSessions.Name"
   },
   {
    "CellDisagreementId": "effortless-entity-framework|ElicitationSessions.Name|elicit-policy-interview",
    "FieldDisagreement": "effortless-entity-framework|ElicitationSessions.Name",
    "RecordId": "elicit-policy-interview",
    "ExpectedValue": "\"PractitionerInterview / 2026-05-12T13:00:00-05:00\"",
    "ActualValue": "\"PractitionerInterview / 2026-05-12 13:00:00-05\"",
    "Reason": "wrong/null value",
    "SemanticTypeIri": "urn:effortless:pko-extension#CellDisagreement",
    "Name": "effortless-entity-framework|ElicitationSessions.Name @ elicit-policy-interview",
    "Substrate": "effortless-entity-framework",
    "RulebookField": "ElicitationSessions.Name"
   },
   {
    "CellDisagreementId": "effortless-entity-framework|ElicitationSessions.Name|elicit-policy-workshop",
    "FieldDisagreement": "effortless-entity-framework|ElicitationSessions.Name",
    "RecordId": "elicit-policy-workshop",
    "ExpectedValue": "\"FacilitatedWorkshop / 2026-05-10T10:00:00-05:00\"",
    "ActualValue": "\"FacilitatedWorkshop / 2026-05-10 10:00:00-05\"",
    "Reason": "wrong/null value",
    "SemanticTypeIri": "urn:effortless:pko-extension#CellDisagreement",
    "Name": "effortless-entity-framework|ElicitationSessions.Name @ elicit-policy-workshop",
    "Substrate": "effortless-entity-framework",
    "RulebookField": "ElicitationSessions.Name"
   },
   {
    "CellDisagreementId": "effortless-entity-framework|ElicitationSessions.DaysSinceElicited|elicit-policy-interview",
    "FieldDisagreement": "effortless-entity-framework|ElicitationSessions.DaysSinceElicited",
    "RecordId": "elicit-policy-interview",
    "ExpectedValue": "67",
    "ActualValue": "68",
    "Reason": "wrong/null value",
    "SemanticTypeIri": "urn:effortless:pko-extension#CellDisagreement",
    "Name": "effortless-entity-framework|ElicitationSessions.DaysSinceElicited @ elicit-policy-interview",
    "Substrate": "effortless-entity-framework",
    "RulebookField": "ElicitationSessions.DaysSinceElicited"
   },
   {
    "CellDisagreementId": "effortless-entity-framework|ElicitationSessions.DaysSinceElicited|elicit-policy-workshop",
    "FieldDisagreement": "effortless-entity-framework|ElicitationSessions.DaysSinceElicited",
    "RecordId": "elicit-policy-workshop",
    "ExpectedValue": "69",
    "ActualValue": "70",
    "Reason": "wrong/null value",
    "SemanticTypeIri": "urn:effortless:pko-extension#CellDisagreement",
    "Name": "effortless-entity-framework|ElicitationSessions.DaysSinceElicited @ elicit-policy-workshop",
    "Substrate": "effortless-entity-framework",
    "RulebookField": "ElicitationSessions.DaysSinceElicited"
   },
   {
    "CellDisagreementId": "effortless-entity-framework|KnowledgeFragments.DaysSinceActualReview|kf-close-fx-time",
    "FieldDisagreement": "effortless-entity-framework|KnowledgeFragments.DaysSinceActualReview",
    "RecordId": "kf-close-fx-time",
    "ExpectedValue": "16",
    "ActualValue": "17",
    "Reason": "wrong/null value",
    "SemanticTypeIri": "urn:effortless:pko-extension#CellDisagreement",
    "Name": "effortless-entity-framework|KnowledgeFragments.DaysSinceActualReview @ kf-close-fx-time",
    "Substrate": "effortless-entity-framework",
    "RulebookField": "KnowledgeFragments.DaysSinceActualReview"
   },
   {
    "CellDisagreementId": "effortless-entity-framework|KnowledgeFragments.DaysSinceActualReview|kf-close-top-ten",
    "FieldDisagreement": "effortless-entity-framework|KnowledgeFragments.DaysSinceActualReview",
    "RecordId": "kf-close-top-ten",
    "ExpectedValue": "16",
    "ActualValue": "17",
    "Reason": "wrong/null value",
    "SemanticTypeIri": "urn:effortless:pko-extension#CellDisagreement",
    "Name": "effortless-entity-framework|KnowledgeFragments.DaysSinceActualReview @ kf-close-top-ten",
    "Substrate": "effortless-entity-framework",
    "RulebookField": "KnowledgeFragments.DaysSinceActualReview"
   },
   {
    "CellDisagreementId": "effortless-entity-framework|KnowledgeFragments.DaysSinceActualReview|kf-policy-channel",
    "FieldDisagreement": "effortless-entity-framework|KnowledgeFragments.DaysSinceActualReview",
    "RecordId": "kf-policy-channel",
    "ExpectedValue": "0",
    "ActualValue": "1",
    "Reason": "wrong/null value",
    "SemanticTypeIri": "urn:effortless:pko-extension#CellDisagreement",
    "Name": "effortless-entity-framework|KnowledgeFragments.DaysSinceActualReview @ kf-policy-channel",
    "Substrate": "effortless-entity-framework",
    "RulebookField": "KnowledgeFragments.DaysSinceActualReview"
   },
   {
    "CellDisagreementId": "effortless-entity-framework|KnowledgeFragments.EvidenceAgeDays|kf-policy-ai-boundary",
    "FieldDisagreement": "effortless-entity-framework|KnowledgeFragments.EvidenceAgeDays",
    "RecordId": "kf-policy-ai-boundary",
    "ExpectedValue": "67",
    "ActualValue": "68",
    "Reason": "wrong/null value",
    "SemanticTypeIri": "urn:effortless:pko-extension#CellDisagreement",
    "Name": "effortless-entity-framework|KnowledgeFragments.EvidenceAgeDays @ kf-policy-ai-boundary",
    "Substrate": "effortless-entity-framework",
    "RulebookField": "KnowledgeFragments.EvidenceAgeDays"
   },
   {
    "CellDisagreementId": "effortless-entity-framework|KnowledgeFragments.EvidenceAgeDays|kf-policy-channel",
    "FieldDisagreement": "effortless-entity-framework|KnowledgeFragments.EvidenceAgeDays",
    "RecordId": "kf-policy-channel",
    "ExpectedValue": "69",
    "ActualValue": "70",
    "Reason": "wrong/null value",
    "SemanticTypeIri": "urn:effortless:pko-extension#CellDisagreement",
    "Name": "effortless-entity-framework|KnowledgeFragments.EvidenceAgeDays @ kf-policy-channel",
    "Substrate": "effortless-entity-framework",
    "RulebookField": "KnowledgeFragments.EvidenceAgeDays"
   },
   {
    "CellDisagreementId": "effortless-entity-framework|KnowledgeFragments.EvidenceAgeDays|kf-policy-manager-route",
    "FieldDisagreement": "effortless-entity-framework|KnowledgeFragments.EvidenceAgeDays",
    "RecordId": "kf-policy-manager-route",
    "ExpectedValue": "69",
    "ActualValue": "70",
    "Reason": "wrong/null value",
    "SemanticTypeIri": "urn:effortless:pko-extension#CellDisagreement",
    "Name": "effortless-entity-framework|KnowledgeFragments.EvidenceAgeDays @ kf-policy-manager-route",
    "Substrate": "effortless-entity-framework",
    "RulebookField": "KnowledgeFragments.EvidenceAgeDays"
   },
   {
    "CellDisagreementId": "effortless-entity-framework|KnowledgeFragments.AgeDays|kf-policy-ai-boundary",
    "FieldDisagreement": "effortless-entity-framework|KnowledgeFragments.AgeDays",
    "RecordId": "kf-policy-ai-boundary",
    "ExpectedValue": "67",
    "ActualValue": "68",
    "Reason": "wrong/null value",
    "SemanticTypeIri": "urn:effortless:pko-extension#CellDisagreement",
    "Name": "effortless-entity-framework|KnowledgeFragments.AgeDays @ kf-policy-ai-boundary",
    "Substrate": "effortless-entity-framework",
    "RulebookField": "KnowledgeFragments.AgeDays"
   },
   {
    "CellDisagreementId": "effortless-entity-framework|KnowledgeFragments.AgeDays|kf-policy-channel",
    "FieldDisagreement": "effortless-entity-framework|KnowledgeFragments.AgeDays",
    "RecordId": "kf-policy-channel",
    "ExpectedValue": "69",
    "ActualValue": "70",
    "Reason": "wrong/null value",
    "SemanticTypeIri": "urn:effortless:pko-extension#CellDisagreement",
    "Name": "effortless-entity-framework|KnowledgeFragments.AgeDays @ kf-policy-channel",
    "Substrate": "effortless-entity-framework",
    "RulebookField": "KnowledgeFragments.AgeDays"
   },
   {
    "CellDisagreementId": "effortless-entity-framework|KnowledgeFragments.AgeDays|kf-policy-manager-route",
    "FieldDisagreement": "effortless-entity-framework|KnowledgeFragments.AgeDays",
    "RecordId": "kf-policy-manager-route",
    "ExpectedValue": "69",
    "ActualValue": "70",
    "Reason": "wrong/null value",
    "SemanticTypeIri": "urn:effortless:pko-extension#CellDisagreement",
    "Name": "effortless-entity-framework|KnowledgeFragments.AgeDays @ kf-policy-manager-route",
    "Substrate": "effortless-entity-framework",
    "RulebookField": "KnowledgeFragments.AgeDays"
   },
   {
    "CellDisagreementId": "effortless-entity-framework|KnowledgeFragments.DaysAwaitingMyApproval|kf-policy-manager-route",
    "FieldDisagreement": "effortless-entity-framework|KnowledgeFragments.DaysAwaitingMyApproval",
    "RecordId": "kf-policy-manager-route",
    "ExpectedValue": "69",
    "ActualValue": "70",
    "Reason": "wrong/null value",
    "SemanticTypeIri": "urn:effortless:pko-extension#CellDisagreement",
    "Name": "effortless-entity-framework|KnowledgeFragments.DaysAwaitingMyApproval @ kf-policy-manager-route",
    "Substrate": "effortless-entity-framework",
    "RulebookField": "KnowledgeFragments.DaysAwaitingMyApproval"
   },
   {
    "CellDisagreementId": "effortless-entity-framework|KnowledgeGaps.DaysOpen|gap-policy-delivery-receipts",
    "FieldDisagreement": "effortless-entity-framework|KnowledgeGaps.DaysOpen",
    "RecordId": "gap-policy-delivery-receipts",
    "ExpectedValue": "0",
    "ActualValue": "1",
    "Reason": "wrong/null value",
    "SemanticTypeIri": "urn:effortless:pko-extension#CellDisagreement",
    "Name": "effortless-entity-framework|KnowledgeGaps.DaysOpen @ gap-policy-delivery-receipts",
    "Substrate": "effortless-entity-framework",
    "RulebookField": "KnowledgeGaps.DaysOpen"
   },
   {
    "CellDisagreementId": "effortless-entity-framework|IssueOccurrences.Name|issue-close-feed",
    "FieldDisagreement": "effortless-entity-framework|IssueOccurrences.Name",
    "RecordId": "issue-close-feed",
    "ExpectedValue": "\"err-feed-stale @ 2026-06-30T17:12:00-05:00\"",
    "ActualValue": "\"err-feed-stale @ 2026-06-30 17:12:00-05\"",
    "Reason": "wrong/null value",
    "SemanticTypeIri": "urn:effortless:pko-extension#CellDisagreement",
    "Name": "effortless-entity-framework|IssueOccurrences.Name @ issue-close-feed",
    "Substrate": "effortless-entity-framework",
    "RulebookField": "IssueOccurrences.Name"
   },
   {
    "CellDisagreementId": "effortless-entity-framework|IssueOccurrences.Name|issue-policy-sms",
    "FieldDisagreement": "effortless-entity-framework|IssueOccurrences.Name",
    "RecordId": "issue-policy-sms",
    "ExpectedValue": "\"err-sms-throttle @ 2026-07-19T09:30:00-05:00\"",
    "ActualValue": "\"err-sms-throttle @ 2026-07-19 09:30:00-05\"",
    "Reason": "wrong/null value",
    "SemanticTypeIri": "urn:effortless:pko-extension#CellDisagreement",
    "Name": "effortless-entity-framework|IssueOccurrences.Name @ issue-policy-sms",
    "Substrate": "effortless-entity-framework",
    "RulebookField": "IssueOccurrences.Name"
   },
   {
    "CellDisagreementId": "effortless-entity-framework|ChangeRequests.DaysPending|cr-close-timestamp",
    "FieldDisagreement": "effortless-entity-framework|ChangeRequests.DaysPending",
    "RecordId": "cr-close-timestamp",
    "ExpectedValue": "0",
    "ActualValue": "1",
    "Reason": "wrong/null value",
    "SemanticTypeIri": "urn:effortless:pko-extension#CellDisagreement",
    "Name": "effortless-entity-framework|ChangeRequests.DaysPending @ cr-close-timestamp",
    "Substrate": "effortless-entity-framework",
    "RulebookField": "ChangeRequests.DaysPending"
   },
   {
    "CellDisagreementId": "effortless-entity-framework|ChangeRequests.DecisionLatencyDays|cr-close-timestamp",
    "FieldDisagreement": "effortless-entity-framework|ChangeRequests.DecisionLatencyDays",
    "RecordId": "cr-close-timestamp",
    "ExpectedValue": "0",
    "ActualValue": "1",
    "Reason": "wrong/null value",
    "SemanticTypeIri": "urn:effortless:pko-extension#CellDisagreement",
    "Name": "effortless-entity-framework|ChangeRequests.DecisionLatencyDays @ cr-close-timestamp",
    "Substrate": "effortless-entity-framework",
    "RulebookField": "ChangeRequests.DecisionLatencyDays"
   },
   {
    "CellDisagreementId": "effortless-entity-framework|ReviewEvents.DaysSinceReviewed|review-close-q1",
    "FieldDisagreement": "effortless-entity-framework|ReviewEvents.DaysSinceReviewed",
    "RecordId": "review-close-q1",
    "ExpectedValue": "120",
    "ActualValue": "121",
    "Reason": "wrong/null value",
    "SemanticTypeIri": "urn:effortless:pko-extension#CellDisagreement",
    "Name": "effortless-entity-framework|ReviewEvents.DaysSinceReviewed @ review-close-q1",
    "Substrate": "effortless-entity-framework",
    "RulebookField": "ReviewEvents.DaysSinceReviewed"
   },
   {
    "CellDisagreementId": "effortless-entity-framework|ReviewEvents.DaysSinceReviewed|review-close-q2",
    "FieldDisagreement": "effortless-entity-framework|ReviewEvents.DaysSinceReviewed",
    "RecordId": "review-close-q2",
    "ExpectedValue": "16",
    "ActualValue": "17",
    "Reason": "wrong/null value",
    "SemanticTypeIri": "urn:effortless:pko-extension#CellDisagreement",
    "Name": "effortless-entity-framework|ReviewEvents.DaysSinceReviewed @ review-close-q2",
    "Substrate": "effortless-entity-framework",
    "RulebookField": "ReviewEvents.DaysSinceReviewed"
   },
   {
    "CellDisagreementId": "effortless-entity-framework|ReviewEvents.DaysSinceReviewed|review-policy-prelaunch",
    "FieldDisagreement": "effortless-entity-framework|ReviewEvents.DaysSinceReviewed",
    "RecordId": "review-policy-prelaunch",
    "ExpectedValue": "0",
    "ActualValue": "1",
    "Reason": "wrong/null value",
    "SemanticTypeIri": "urn:effortless:pko-extension#CellDisagreement",
    "Name": "effortless-entity-framework|ReviewEvents.DaysSinceReviewed @ review-policy-prelaunch",
    "Substrate": "effortless-entity-framework",
    "RulebookField": "ReviewEvents.DaysSinceReviewed"
   },
   {
    "CellDisagreementId": "effortless-entity-framework|ReviewEvents.CadenceDriftDays|review-close-q1",
    "FieldDisagreement": "effortless-entity-framework|ReviewEvents.CadenceDriftDays",
    "RecordId": "review-close-q1",
    "ExpectedValue": "30.0",
    "ActualValue": "31",
    "Reason": "wrong/null value",
    "SemanticTypeIri": "urn:effortless:pko-extension#CellDisagreement",
    "Name": "effortless-entity-framework|ReviewEvents.CadenceDriftDays @ review-close-q1",
    "Substrate": "effortless-entity-framework",
    "RulebookField": "ReviewEvents.CadenceDriftDays"
   },
   {
    "CellDisagreementId": "effortless-entity-framework|ReviewEvents.CadenceDriftDays|review-close-q2",
    "FieldDisagreement": "effortless-entity-framework|ReviewEvents.CadenceDriftDays",
    "RecordId": "review-close-q2",
    "ExpectedValue": "-74.0",
    "ActualValue": "-73",
    "Reason": "wrong/null value",
    "SemanticTypeIri": "urn:effortless:pko-extension#CellDisagreement",
    "Name": "effortless-entity-framework|ReviewEvents.CadenceDriftDays @ review-close-q2",
    "Substrate": "effortless-entity-framework",
    "RulebookField": "ReviewEvents.CadenceDriftDays"
   },
   {
    "CellDisagreementId": "effortless-entity-framework|ReviewEvents.CadenceDriftDays|review-policy-prelaunch",
    "FieldDisagreement": "effortless-entity-framework|ReviewEvents.CadenceDriftDays",
    "RecordId": "review-policy-prelaunch",
    "ExpectedValue": "-60.0",
    "ActualValue": "-59",
    "Reason": "wrong/null value",
    "SemanticTypeIri": "urn:effortless:pko-extension#CellDisagreement",
    "Name": "effortless-entity-framework|ReviewEvents.CadenceDriftDays @ review-policy-prelaunch",
    "Substrate": "effortless-entity-framework",
    "RulebookField": "ReviewEvents.CadenceDriftDays"
   },
   {
    "CellDisagreementId": "effortless-entity-framework|LearningActivities.Name|learn-close-retro",
    "FieldDisagreement": "effortless-entity-framework|LearningActivities.Name",
    "RecordId": "learn-close-retro",
    "ExpectedValue": "\"Retrospective / 2026-07-02T15:30:00-05:00\"",
    "ActualValue": "\"Retrospective / 2026-07-02 15:30:00-05\"",
    "Reason": "wrong/null value",
    "SemanticTypeIri": "urn:effortless:pko-extension#CellDisagreement",
    "Name": "effortless-entity-framework|LearningActivities.Name @ learn-close-retro",
    "Substrate": "effortless-entity-framework",
    "RulebookField": "LearningActivities.Name"
   },
   {
    "CellDisagreementId": "effortless-entity-framework|LearningActivities.Name|learn-policy-tabletop",
    "FieldDisagreement": "effortless-entity-framework|LearningActivities.Name",
    "RecordId": "learn-policy-tabletop",
    "ExpectedValue": "\"TabletopExercise / 2026-07-15T13:00:00-05:00\"",
    "ActualValue": "\"TabletopExercise / 2026-07-15 13:00:00-05\"",
    "Reason": "wrong/null value",
    "SemanticTypeIri": "urn:effortless:pko-extension#CellDisagreement",
    "Name": "effortless-entity-framework|LearningActivities.Name @ learn-policy-tabletop",
    "Substrate": "effortless-entity-framework",
    "RulebookField": "LearningActivities.Name"
   },
   {
    "CellDisagreementId": "effortless-entity-framework|ObservedTransitions.Name|obs-close-01-02-q2",
    "FieldDisagreement": "effortless-entity-framework|ObservedTransitions.Name",
    "RecordId": "obs-close-01-02-q2",
    "ExpectedValue": "\"close-01-to-close-02 @ 2026-06-30T17:04:00-05:00\"",
    "ActualValue": "\"close-01-to-close-02 @ 2026-06-30 17:04:00-05\"",
    "Reason": "wrong/null value",
    "SemanticTypeIri": "urn:effortless:pko-extension#CellDisagreement",
    "Name": "effortless-entity-framework|ObservedTransitions.Name @ obs-close-01-02-q2",
    "Substrate": "effortless-entity-framework",
    "RulebookField": "ObservedTransitions.Name"
   },
   {
    "CellDisagreementId": "effortless-entity-framework|ObservedTransitions.Name|obs-close-02-03-q2",
    "FieldDisagreement": "effortless-entity-framework|ObservedTransitions.Name",
    "RecordId": "obs-close-02-03-q2",
    "ExpectedValue": "\"close-02-to-close-03 @ 2026-06-30T17:18:00-05:00\"",
    "ActualValue": "\"close-02-to-close-03 @ 2026-06-30 17:18:00-05\"",
    "Reason": "wrong/null value",
    "SemanticTypeIri": "urn:effortless:pko-extension#CellDisagreement",
    "Name": "effortless-entity-framework|ObservedTransitions.Name @ obs-close-02-03-q2",
    "Substrate": "effortless-entity-framework",
    "RulebookField": "ObservedTransitions.Name"
   },
   {
    "CellDisagreementId": "effortless-entity-framework|ObservedTransitions.Name|obs-close-03-04-q2",
    "FieldDisagreement": "effortless-entity-framework|ObservedTransitions.Name",
    "RecordId": "obs-close-03-04-q2",
    "ExpectedValue": "\"close-03-to-close-04 @ 2026-07-01T12:15:00-05:00\"",
    "ActualValue": "\"close-03-to-close-04 @ 2026-07-01 12:15:00-05\"",
    "Reason": "wrong/null value",
    "SemanticTypeIri": "urn:effortless:pko-extension#CellDisagreement",
    "Name": "effortless-entity-framework|ObservedTransitions.Name @ obs-close-03-04-q2",
    "Substrate": "effortless-entity-framework",
    "RulebookField": "ObservedTransitions.Name"
   },
   {
    "CellDisagreementId": "effortless-entity-framework|ObservedTransitions.Name|obs-close-04-05-q2",
    "FieldDisagreement": "effortless-entity-framework|ObservedTransitions.Name",
</t>
  </si>
  <si>
    <t xml:space="preserve">    "RecordId": "obs-close-04-05-q2",
    "ExpectedValue": "\"close-04-to-close-05 @ 2026-07-01T15:05:00-05:00\"",
    "ActualValue": "\"close-04-to-close-05 @ 2026-07-01 15:05:00-05\"",
    "Reason": "wrong/null value",
    "SemanticTypeIri": "urn:effortless:pko-extension#CellDisagreement",
    "Name": "effortless-entity-framework|ObservedTransitions.Name @ obs-close-04-05-q2",
    "Substrate": "effortless-entity-framework",
    "RulebookField": "ObservedTransitions.Name"
   },
   {
    "CellDisagreementId": "effortless-entity-framework|ObservedTransitions.Name|obs-close-05-06-q2",
    "FieldDisagreement": "effortless-entity-framework|ObservedTransitions.Name",
    "RecordId": "obs-close-05-06-q2",
    "ExpectedValue": "\"close-05-to-close-06 @ 2026-07-02T09:00:00-05:00\"",
    "ActualValue": "\"close-05-to-close-06 @ 2026-07-02 09:00:00-05\"",
    "Reason": "wrong/null value",
    "SemanticTypeIri": "urn:effortless:pko-extension#CellDisagreement",
    "Name": "effortless-entity-framework|ObservedTransitions.Name @ obs-close-05-06-q2",
    "Substrate": "effortless-entity-framework",
    "RulebookField": "ObservedTransitions.Name"
   },
   {
    "CellDisagreementId": "effortless-entity-framework|ObservedTransitions.Name|obs-close-06-07-q2",
    "FieldDisagreement": "effortless-entity-framework|ObservedTransitions.Name",
    "RecordId": "obs-close-06-07-q2",
    "ExpectedValue": "\"close-06-to-close-07 @ 2026-07-02T09:22:00-05:00\"",
    "ActualValue": "\"close-06-to-close-07 @ 2026-07-02 09:22:00-05\"",
    "Reason": "wrong/null value",
    "SemanticTypeIri": "urn:effortless:pko-extension#CellDisagreement",
    "Name": "effortless-entity-framework|ObservedTransitions.Name @ obs-close-06-07-q2",
    "Substrate": "effortless-entity-framework",
    "RulebookField": "ObservedTransitions.Name"
   },
   {
    "CellDisagreementId": "effortless-entity-framework|ObservedTransitions.Name|obs-close-07-08-q2",
    "FieldDisagreement": "effortless-entity-framework|ObservedTransitions.Name",
    "RecordId": "obs-close-07-08-q2",
    "ExpectedValue": "\"close-07-to-close-08 @ 2026-07-02T14:00:00-05:00\"",
    "ActualValue": "\"close-07-to-close-08 @ 2026-07-02 14:00:00-05\"",
    "Reason": "wrong/null value",
    "SemanticTypeIri": "urn:effortless:pko-extension#CellDisagreement",
    "Name": "effortless-entity-framework|ObservedTransitions.Name @ obs-close-07-08-q2",
    "Substrate": "effortless-entity-framework",
    "RulebookField": "ObservedTransitions.Name"
   },
   {
    "CellDisagreementId": "effortless-entity-framework|ObservedTransitions.Name|obs-policy-01-02-hr4821",
    "FieldDisagreement": "effortless-entity-framework|ObservedTransitions.Name",
    "RecordId": "obs-policy-01-02-hr4821",
    "ExpectedValue": "\"policy-01-to-policy-02 @ 2026-07-18T09:30:00-05:00\"",
    "ActualValue": "\"policy-01-to-policy-02 @ 2026-07-18 09:30:00-05\"",
    "Reason": "wrong/null value",
    "SemanticTypeIri": "urn:effortless:pko-extension#CellDisagreement",
    "Name": "effortless-entity-framework|ObservedTransitions.Name @ obs-policy-01-02-hr4821",
    "Substrate": "effortless-entity-framework",
    "RulebookField": "ObservedTransitions.Name"
   },
   {
    "CellDisagreementId": "effortless-entity-framework|ObservedTransitions.Name|obs-policy-02-03-hr4821",
    "FieldDisagreement": "effortless-entity-framework|ObservedTransitions.Name",
    "RecordId": "obs-policy-02-03-hr4821",
    "ExpectedValue": "\"policy-02-to-policy-03 @ 2026-07-18T13:00:00-05:00\"",
    "ActualValue": "\"policy-02-to-policy-03 @ 2026-07-18 13:00:00-05\"",
    "Reason": "wrong/null value",
    "SemanticTypeIri": "urn:effortless:pko-extension#CellDisagreement",
    "Name": "effortless-entity-framework|ObservedTransitions.Name @ obs-policy-02-03-hr4821",
    "Substrate": "effortless-entity-framework",
    "RulebookField": "ObservedTransitions.Name"
   },
   {
    "CellDisagreementId": "effortless-entity-framework|ObservedTransitions.Name|obs-policy-03-04-hr4821",
    "FieldDisagreement": "effortless-entity-framework|ObservedTransitions.Name",
    "RecordId": "obs-policy-03-04-hr4821",
    "ExpectedValue": "\"policy-03-to-policy-04 @ 2026-07-19T09:00:00-05:00\"",
    "ActualValue": "\"policy-03-to-policy-04 @ 2026-07-19 09:00:00-05\"",
    "Reason": "wrong/null value",
    "SemanticTypeIri": "urn:effortless:pko-extension#CellDisagreement",
    "Name": "effortless-entity-framework|ObservedTransitions.Name @ obs-policy-03-04-hr4821",
    "Substrate": "effortless-entity-framework",
    "RulebookField": "ObservedTransitions.Name"
   },
   {
    "CellDisagreementId": "effortless-entity-framework|MessageDeliveries.Name|md-001",
    "FieldDisagreement": "effortless-entity-framework|MessageDeliveries.Name",
    "RecordId": "md-001",
    "ExpectedValue": "\"rec-001 / tmpl-policy-email / 2026-07-18T14:05:00-05:00\"",
    "ActualValue": "\"rec-001 / tmpl-policy-email / 2026-07-18 14:05:00-05\"",
    "Reason": "wrong/null value",
    "SemanticTypeIri": "urn:effortless:pko-extension#CellDisagreement",
    "Name": "effortless-entity-framework|MessageDeliveries.Name @ md-001",
    "Substrate": "effortless-entity-framework",
    "RulebookField": "MessageDeliveries.Name"
   },
   {
    "CellDisagreementId": "effortless-entity-framework|MessageDeliveries.Name|md-002",
    "FieldDisagreement": "effortless-entity-framework|MessageDeliveries.Name",
    "RecordId": "md-002",
    "ExpectedValue": "\"rec-002 / tmpl-policy-email / 2026-07-18T14:05:00-05:00\"",
    "ActualValue": "\"rec-002 / tmpl-policy-email / 2026-07-18 14:05:00-05\"",
    "Reason": "wrong/null value",
    "SemanticTypeIri": "urn:effortless:pko-extension#CellDisagreement",
    "Name": "effortless-entity-framework|MessageDeliveries.Name @ md-002",
    "Substrate": "effortless-entity-framework",
    "RulebookField": "MessageDeliveries.Name"
   },
   {
    "CellDisagreementId": "effortless-entity-framework|MessageDeliveries.Name|md-003",
    "FieldDisagreement": "effortless-entity-framework|MessageDeliveries.Name",
    "RecordId": "md-003",
    "ExpectedValue": "\"rec-003 / tmpl-policy-sms / 2026-07-18T14:06:00-05:00\"",
    "ActualValue": "\"rec-003 / tmpl-policy-sms / 2026-07-18 14:06:00-05\"",
    "Reason": "wrong/null value",
    "SemanticTypeIri": "urn:effortless:pko-extension#CellDisagreement",
    "Name": "effortless-entity-framework|MessageDeliveries.Name @ md-003",
    "Substrate": "effortless-entity-framework",
    "RulebookField": "MessageDeliveries.Name"
   },
   {
    "CellDisagreementId": "effortless-entity-framework|MessageDeliveries.Name|md-004",
    "FieldDisagreement": "effortless-entity-framework|MessageDeliveries.Name",
    "RecordId": "md-004",
    "ExpectedValue": "\"rec-004 / tmpl-policy-sms / 2026-07-18T14:06:00-05:00\"",
    "ActualValue": "\"rec-004 / tmpl-policy-sms / 2026-07-18 14:06:00-05\"",
    "Reason": "wrong/null value",
    "SemanticTypeIri": "urn:effortless:pko-extension#CellDisagreement",
    "Name": "effortless-entity-framework|MessageDeliveries.Name @ md-004",
    "Substrate": "effortless-entity-framework",
    "RulebookField": "MessageDeliveries.Name"
   },
   {
    "CellDisagreementId": "effortless-entity-framework|MessageDeliveries.Name|md-005",
    "FieldDisagreement": "effortless-entity-framework|MessageDeliveries.Name",
    "RecordId": "md-005",
    "ExpectedValue": "\"rec-001 / tmpl-policy-sms / 2026-07-18T21:00:00-05:00\"",
    "ActualValue": "\"rec-001 / tmpl-policy-sms / 2026-07-18 21:00:00-05\"",
    "Reason": "wrong/null value",
    "SemanticTypeIri": "urn:effortless:pko-extension#CellDisagreement",
    "Name": "effortless-entity-framework|MessageDeliveries.Name @ md-005",
    "Substrate": "effortless-entity-framework",
    "RulebookField": "MessageDeliveries.Name"
   },
   {
    "CellDisagreementId": "effortless-entity-framework|MessageDeliveries.Name|md-006",
    "FieldDisagreement": "effortless-entity-framework|MessageDeliveries.Name",
    "RecordId": "md-006",
    "ExpectedValue": "\"rec-005 / tmpl-policy-sms / 2026-07-18T14:06:00-05:00\"",
    "ActualValue": "\"rec-005 / tmpl-policy-sms / 2026-07-18 14:06:00-05\"",
    "Reason": "wrong/null value",
    "SemanticTypeIri": "urn:effortless:pko-extension#CellDisagreement",
    "Name": "effortless-entity-framework|MessageDeliveries.Name @ md-006",
    "Substrate": "effortless-entity-framework",
    "RulebookField": "MessageDeliveries.Name"
   },
   {
    "CellDisagreementId": "effortless-entity-framework|MessageDeliveries.AgeDays|md-001",
    "FieldDisagreement": "effortless-entity-framework|MessageDeliveries.AgeDays",
    "RecordId": "md-001",
    "ExpectedValue": "0",
    "ActualValue": "1",
    "Reason": "wrong/null value",
    "SemanticTypeIri": "urn:effortless:pko-extension#CellDisagreement",
    "Name": "effortless-entity-framework|MessageDeliveries.AgeDays @ md-001",
    "Substrate": "effortless-entity-framework",
    "RulebookField": "MessageDeliveries.AgeDays"
   },
   {
    "CellDisagreementId": "effortless-entity-framework|MessageDeliveries.AgeDays|md-002",
    "FieldDisagreement": "effortless-entity-framework|MessageDeliveries.AgeDays",
    "RecordId": "md-002",
    "ExpectedValue": "0",
    "ActualValue": "1",
    "Reason": "wrong/null value",
    "SemanticTypeIri": "urn:effortless:pko-extension#CellDisagreement",
    "Name": "effortless-entity-framework|MessageDeliveries.AgeDays @ md-002",
    "Substrate": "effortless-entity-framework",
    "RulebookField": "MessageDeliveries.AgeDays"
   },
   {
    "CellDisagreementId": "effortless-entity-framework|MessageDeliveries.AgeDays|md-003",
    "FieldDisagreement": "effortless-entity-framework|MessageDeliveries.AgeDays",
    "RecordId": "md-003",
    "ExpectedValue": "0",
    "ActualValue": "1",
    "Reason": "wrong/null value",
    "SemanticTypeIri": "urn:effortless:pko-extension#CellDisagreement",
    "Name": "effortless-entity-framework|MessageDeliveries.AgeDays @ md-003",
    "Substrate": "effortless-entity-framework",
    "RulebookField": "MessageDeliveries.AgeDays"
   },
   {
    "CellDisagreementId": "effortless-entity-framework|MessageDeliveries.AgeDays|md-004",
    "FieldDisagreement": "effortless-entity-framework|MessageDeliveries.AgeDays",
    "RecordId": "md-004",
    "ExpectedValue": "0",
    "ActualValue": "1",
    "Reason": "wrong/null value",
    "SemanticTypeIri": "urn:effortless:pko-extension#CellDisagreement",
    "Name": "effortless-entity-framework|MessageDeliveries.AgeDays @ md-004",
    "Substrate": "effortless-entity-framework",
    "RulebookField": "MessageDeliveries.AgeDays"
   },
   {
    "CellDisagreementId": "effortless-entity-framework|MessageDeliveries.AgeDays|md-005",
    "FieldDisagreement": "effortless-entity-framework|MessageDeliveries.AgeDays",
    "RecordId": "md-005",
    "ExpectedValue": "0",
    "ActualValue": "1",
    "Reason": "wrong/null value",
    "SemanticTypeIri": "urn:effortless:pko-extension#CellDisagreement",
    "Name": "effortless-entity-framework|MessageDeliveries.AgeDays @ md-005",
    "Substrate": "effortless-entity-framework",
    "RulebookField": "MessageDeliveries.AgeDays"
   },
   {
    "CellDisagreementId": "effortless-entity-framework|MessageDeliveries.AgeDays|md-006",
    "FieldDisagreement": "effortless-entity-framework|MessageDeliveries.AgeDays",
    "RecordId": "md-006",
    "ExpectedValue": "0",
    "ActualValue": "1",
    "Reason": "wrong/null value",
    "SemanticTypeIri": "urn:effortless:pko-extension#CellDisagreement",
    "Name": "effortless-entity-framework|MessageDeliveries.AgeDays @ md-006",
    "Substrate": "effortless-entity-framework",
    "RulebookField": "MessageDeliveries.AgeDays"
   },
   {
    "CellDisagreementId": "effortless-entity-framework|MessageDeliveries.SegmentCount|md-001",
    "FieldDisagreement": "effortless-entity-framework|MessageDeliveries.SegmentCount",
    "RecordId": "md-001",
    "ExpectedValue": "null",
    "ActualValue": "1",
    "Reason": "wrong/null value",
    "SemanticTypeIri": "urn:effortless:pko-extension#CellDisagreement",
    "Name": "effortless-entity-framework|MessageDeliveries.SegmentCount @ md-001",
    "Substrate": "effortless-entity-framework",
    "RulebookField": "MessageDeliveries.SegmentCount"
   },
   {
    "CellDisagreementId": "effortless-entity-framework|MessageDeliveries.SegmentCount|md-002",
    "FieldDisagreement": "effortless-entity-framework|MessageDeliveries.SegmentCount",
    "RecordId": "md-002",
    "ExpectedValue": "null",
    "ActualValue": "1",
    "Reason": "wrong/null value",
    "SemanticTypeIri": "urn:effortless:pko-extension#CellDisagreement",
    "Name": "effortless-entity-framework|MessageDeliveries.SegmentCount @ md-002",
    "Substrate": "effortless-entity-framework",
    "RulebookField": "MessageDeliveries.SegmentCount"
   },
   {
    "CellDisagreementId": "effortless-entity-framework|MessageDeliveries.SegmentCount|md-003",
    "FieldDisagreement": "effortless-entity-framework|MessageDeliveries.SegmentCount",
    "RecordId": "md-003",
    "ExpectedValue": "null",
    "ActualValue": "1",
    "Reason": "wrong/null value",
    "SemanticTypeIri": "urn:effortless:pko-extension#CellDisagreement",
    "Name": "effortless-entity-framework|MessageDeliveries.SegmentCount @ md-003",
    "Substrate": "effortless-entity-framework",
    "RulebookField": "MessageDeliveries.SegmentCount"
   },
   {
    "CellDisagreementId": "effortless-entity-framework|MessageDeliveries.SegmentCount|md-004",
    "FieldDisagreement": "effortless-entity-framework|MessageDeliveries.SegmentCount",
    "RecordId": "md-004",
    "ExpectedValue": "null",
    "ActualValue": "1",
    "Reason": "wrong/null value",
    "SemanticTypeIri": "urn:effortless:pko-extension#CellDisagreement",
    "Name": "effortless-entity-framework|MessageDeliveries.SegmentCount @ md-004",
    "Substrate": "effortless-entity-framework",
    "RulebookField": "MessageDeliveries.SegmentCount"
   },
   {
    "CellDisagreementId": "effortless-entity-framework|MessageDeliveries.SegmentCount|md-005",
    "FieldDisagreement": "effortless-entity-framework|MessageDeliveries.SegmentCount",
    "RecordId": "md-005",
    "ExpectedValue": "null",
    "ActualValue": "1",
    "Reason": "wrong/null value",
    "SemanticTypeIri": "urn:effortless:pko-extension#CellDisagreement",
    "Name": "effortless-entity-framework|MessageDeliveries.SegmentCount @ md-005",
    "Substrate": "effortless-entity-framework",
    "RulebookField": "MessageDeliveries.SegmentCount"
   },
   {
    "CellDisagreementId": "effortless-entity-framework|MessageDeliveries.SegmentCount|md-006",
    "FieldDisagreement": "effortless-entity-framework|MessageDeliveries.SegmentCount",
    "RecordId": "md-006",
    "ExpectedValue": "null",
    "ActualValue": "1",
    "Reason": "wrong/null value",
    "SemanticTypeIri": "urn:effortless:pko-extension#CellDisagreement",
    "Name": "effortless-entity-framework|MessageDeliveries.SegmentCount @ md-006",
    "Substrate": "effortless-entity-framework",
    "RulebookField": "MessageDeliveries.SegmentCount"
   },
   {
    "CellDisagreementId": "effortless-entity-framework|MessageDeliveries.OutstandingAgeDays|md-002",
    "FieldDisagreement": "effortless-entity-framework|MessageDeliveries.OutstandingAgeDays",
    "RecordId": "md-002",
    "ExpectedValue": "0",
    "ActualValue": "1",
    "Reason": "wrong/null value",
    "SemanticTypeIri": "urn:effortless:pko-extension#CellDisagreement",
    "Name": "effortless-entity-framework|MessageDeliveries.OutstandingAgeDays @ md-002",
    "Substrate": "effortless-entity-framework",
    "RulebookField": "MessageDeliveries.OutstandingAgeDays"
   },
   {
    "CellDisagreementId": "effortless-entity-framework|MessageDeliveries.OutstandingAgeDays|md-003",
    "FieldDisagreement": "effortless-entity-framework|MessageDeliveries.OutstandingAgeDays",
    "RecordId": "md-003",
    "ExpectedValue": "0",
    "ActualValue": "1",
    "Reason": "wrong/null value",
    "SemanticTypeIri": "urn:effortless:pko-extension#CellDisagreement",
    "Name": "effortless-entity-framework|MessageDeliveries.OutstandingAgeDays @ md-003",
    "Substrate": "effortless-entity-framework",
    "RulebookField": "MessageDeliveries.OutstandingAgeDays"
   },
   {
    "CellDisagreementId": "effortless-entity-framework|MessageDeliveries.OutstandingAgeDays|md-005",
    "FieldDisagreement": "effortless-entity-framework|MessageDeliveries.OutstandingAgeDays",
    "RecordId": "md-005",
    "ExpectedValue": "0",
    "ActualValue": "1",
    "Reason": "wrong/null value",
    "SemanticTypeIri": "urn:effortless:pko-extension#CellDisagreement",
    "Name": "effortless-entity-framework|MessageDeliveries.OutstandingAgeDays @ md-005",
    "Substrate": "effortless-entity-framework",
    "RulebookField": "MessageDeliveries.OutstandingAgeDays"
   },
   {
    "CellDisagreementId": "effortless-entity-framework|MessageDeliveries.OptOutPhrasePosition|md-003",
    "FieldDisagreement": "effortless-entity-framework|MessageDeliveries.OptOutPhrasePosition",
    "RecordId": "md-003",
    "ExpectedValue": "true",
    "ActualValue": "86",
    "Reason": "wrong/null value",
    "SemanticTypeIri": "urn:effortless:pko-extension#CellDisagreement",
    "Name": "effortless-entity-framework|MessageDeliveries.OptOutPhrasePosition @ md-003",
    "Substrate": "effortless-entity-framework",
    "RulebookField": "MessageDeliveries.OptOutPhrasePosition"
   },
   {
    "CellDisagreementId": "effortless-entity-framework|MessageDeliveries.OptOutPhrasePosition|md-004",
    "FieldDisagreement": "effortless-entity-framework|MessageDeliveries.OptOutPhrasePosition",
    "RecordId": "md-004",
    "ExpectedValue": "true",
    "ActualValue": "86",
    "Reason": "wrong/null value",
    "SemanticTypeIri": "urn:effortless:pko-extension#CellDisagreement",
    "Name": "effortless-entity-framework|MessageDeliveries.OptOutPhrasePosition @ md-004",
    "Substrate": "effortless-entity-framework",
    "RulebookField": "MessageDeliveries.OptOutPhrasePosition"
   },
   {
    "CellDisagreementId": "effortless-entity-framework|MessageDeliveries.OptOutPhrasePosition|md-006",
    "FieldDisagreement": "effortless-entity-framework|MessageDeliveries.OptOutPhrasePosition",
    "RecordId": "md-006",
    "ExpectedValue": "true",
    "ActualValue": "86",
    "Reason": "wrong/null value",
    "SemanticTypeIri": "urn:effortless:pko-extension#CellDisagreement",
    "Name": "effortless-entity-framework|MessageDeliveries.OptOutPhrasePosition @ md-006",
    "Substrate": "effortless-entity-framework",
    "RulebookField": "MessageDeliveries.OptOutPhrasePosition"
   },
   {
    "CellDisagreementId": "effortless-entity-framework|TemplateApprovals.Name|tap-email-001",
    "FieldDisagreement": "effortless-entity-framework|TemplateApprovals.Name",
    "RecordId": "tap-email-001",
    "ExpectedValue": "\"tmpl-policy-email / Approved / 2026-07-17T11:00:00-05:00\"",
    "ActualValue": "\"tmpl-policy-email / Approved / 2026-07-17 11:00:00-05\"",
    "Reason": "wrong/null value",
    "SemanticTypeIri": "urn:effortless:pko-extension#CellDisagreement",
    "Name": "effortless-entity-framework|TemplateApprovals.Name @ tap-email-001",
    "Substrate": "effortless-entity-framework",
    "RulebookField": "TemplateApprovals.Name"
   },
   {
    "CellDisagreementId": "effortless-entity-framework|TemplateApprovals.Name|tap-sms-001",
    "FieldDisagreement": "effortless-entity-framework|TemplateApprovals.Name",
    "RecordId": "tap-sms-001",
    "ExpectedValue": "\"tmpl-policy-sms / Approved / 2026-07-19T10:00:00-05:00\"",
    "ActualValue": "\"tmpl-policy-sms / Approved / 2026-07-19 10:00:00-05\"",
    "Reason": "wrong/null value",
    "SemanticTypeIri": "urn:effortless:pko-extension#CellDisagreement",
    "Name": "effortless-entity-framework|TemplateApprovals.Name @ tap-sms-001",
    "Substrate": "effortless-entity-framework",
    "RulebookField": "TemplateApprovals.Name"
   },
   {
    "CellDisagreementId": "effortless-entity-framework|SendIntents.DeferralAgeHours|si-001",
    "FieldDisagreement": "effortless-entity-framework|SendIntents.DeferralAgeHours",
    "RecordId": "si-001",
    "ExpectedValue": "22",
    "ActualValue": "23",
    "Reason": "wrong/null value",
    "SemanticTypeIri": "urn:effortless:pko-extension#CellDisagreement",
    "Name": "effortless-entity-framework|SendIntents.DeferralAgeHours @ si-001",
    "Substrate": "effortless-entity-framework",
    "RulebookField": "SendIntents.DeferralAgeHours"
   },
   {
    "CellDisagreementId": "effortless-entity-framework|SendIntents.DeferralAgeHours|si-002",
    "FieldDisagreement": "effortless-entity-framework|SendIntents.DeferralAgeHours",
    "RecordId": "si-002",
    "ExpectedValue": "22",
    "ActualValue": "23",
    "Reason": "wrong/null value",
    "SemanticTypeIri": "urn:effortless:pko-extension#CellDisagreement",
    "Name": "effortless-entity-framework|SendIntents.DeferralAgeHours @ si-002",
    "Substrate": "effortless-entity-framework",
    "RulebookField": "SendIntents.DeferralAgeHours"
   },
   {
    "CellDisagreementId": "effortless-entity-framework|SendIntents.DeferralAgeHours|si-003",
    "FieldDisagreement": "effortless-entity-framework|SendIntents.DeferralAgeHours",
    "RecordId": "si-003",
    "ExpectedValue": "22",
    "ActualValue": "23",
    "Reason": "wrong/null value",
    "SemanticTypeIri": "urn:effortless:pko-extension#CellDisagreement",
    "Name": "effortless-entity-framework|SendIntents.DeferralAgeHours @ si-003",
    "Substrate": "effortless-entity-framework",
    "RulebookField": "SendIntents.DeferralAgeHours"
   },
   {
    "CellDisagreementId": "effortless-entity-framework|SendIntents.DeferralAgeHours|si-004",
    "FieldDisagreement": "effortless-entity-framework|SendIntents.DeferralAgeHours",
    "RecordId": "si-004",
    "ExpectedValue": "22",
    "ActualValue": "23",
    "Reason": "wrong/null value",
    "SemanticTypeIri": "urn:effortless:pko-extension#CellDisagreement",
    "Name": "effortless-entity-framework|SendIntents.DeferralAgeHours @ si-004",
    "Substrate": "effortless-entity-framework",
    "RulebookField": "SendIntents.DeferralAgeHours"
   },
   {
    "CellDisagreementId": "effortless-entity-framework|SendIntents.DeferralAgeHours|si-005",
    "FieldDisagreement": "effortless-entity-framework|SendIntents.DeferralAgeHours",
    "RecordId": "si-005",
    "ExpectedValue": "22",
    "ActualValue": "23",
    "Reason": "wrong/null value",
    "SemanticTypeIri": "urn:effortless:pko-extension#CellDisagreement",
    "Name": "effortless-entity-framework|SendIntents.DeferralAgeHours @ si-005",
    "Substrate": "effortless-entity-framework",
    "RulebookField": "SendIntents.DeferralAgeHours"
   },
   {
    "CellDisagreementId": "effortless-entity-framework|SendIntents.DeferralAgeHours|si-006",
    "FieldDisagreement": "effortless-entity-framework|SendIntents.DeferralAgeHours",
    "RecordId": "si-006",
    "ExpectedValue": "22",
    "ActualValue": "23",
    "Reason": "wrong/null value",
    "SemanticTypeIri": "urn:effortless:pko-extension#CellDisagreement",
    "Name": "effortless-entity-framework|SendIntents.DeferralAgeHours @ si-006",
    "Substrate": "effortless-entity-framework",
    "RulebookField": "SendIntents.DeferralAgeHours"
   },
   {
    "CellDisagreementId": "effortless-entity-framework|SendIntents.DeferralAgeHours|si-007",
    "FieldDisagreement": "effortless-entity-framework|SendIntents.DeferralAgeHours",
    "RecordId": "si-007",
    "ExpectedValue": "22",
    "ActualValue": "23",
    "Reason": "wrong/null value",
    "SemanticTypeIri": "urn:effortless:pko-extension#CellDisagreement",
    "Name": "effortless-entity-framework|SendIntents.DeferralAgeHours @ si-007",
    "Substrate": "effortless-entity-framework",
    "RulebookField": "SendIntents.DeferralAgeHours"
   },
   {
    "CellDisagreementId": "effortless-entity-framework|DeliveredCommunications.ContentMatchesApproval|dc-hr4821-email-001",
    "FieldDisagreement": "effortless-entity-framework|DeliveredCommunications.ContentMatchesApproval",
    "RecordId": "dc-hr4821-email-001",
    "ExpectedValue": "true",
    "ActualValue": "null",
    "Reason": "wrong/null value",
    "SemanticTypeIri": "urn:effortless:pko-extension#CellDisagreement",
    "Name": "effortless-entity-framework|DeliveredCommunications.ContentMatchesApproval @ dc-hr4821-email-001",
    "Substrate": "effortless-entity-framework",
    "RulebookField": "DeliveredCommunications.ContentMatchesApproval"
   },
   {
    "CellDisagreementId": "effortless-entity-framework|ProcessMiningRuns.Name|pmr-close-v10-archived",
    "FieldDisagreement": "effortless-entity-framework|ProcessMiningRuns.Name",
    "RecordId": "pmr-close-v10-archived",
    "ExpectedValue": "\"ERP General Ledger Audit Log / 2026-01-01T09:00:00-05:00\"",
    "ActualValue": "\"ERP General Ledger Audit Log / 2026-01-01 09:00:00-05\"",
    "Reason": "wrong/null value",
    "SemanticTypeIri": "urn:effortless:pko-extension#CellDisagreement",
    "Name": "effortless-entity-framework|ProcessMiningRuns.Name @ pmr-close-v10-archived",
    "Substrate": "effortless-entity-framework",
    "RulebookField": "ProcessMiningRuns.Name"
   },
   {
    "CellDisagreementId": "effortless-entity-framework|ProcessMiningRuns.Name|pmr-close-v11-cutoff-bypass",
    "FieldDisagreement": "effortless-entity-framework|ProcessMiningRuns.Name",
    "RecordId": "pmr-close-v11-cutoff-bypass",
    "ExpectedValue": "\"ERP General Ledger Audit Log / 2026-07-17T09:00:00-05:00\"",
    "ActualValue": "\"ERP General Ledger Audit Log / 2026-07-17 09:00:00-05\"",
    "Reason": "wrong/null value",
    "SemanticTypeIri": "urn:effortless:pko-extension#CellDisagreement",
    "Name": "effortless-entity-framework|ProcessMiningRuns.Name @ pmr-close-v11-cutoff-bypass",
    "Substrate": "effortless-entity-framework",
    "RulebookField": "ProcessMiningRuns.Name"
   },
   {
    "CellDisagreementId": "effortless-entity-framework|ProcessMiningRuns.Name|pmr-close-v11-q3",
    "FieldDisagreement": "effortless-entity-framework|ProcessMiningRuns.Name",
    "RecordId": "pmr-close-v11-q3",
    "ExpectedValue": "\"ERP General Ledger Audit Log / 2026-07-15T09:00:00-05:00\"",
    "ActualValue": "\"ERP General Ledger Audit Log / 2026-07-15 09:00:00-05\"",
    "Reason": "wrong/null value",
    "SemanticTypeIri": "urn:effortless:pko-extension#CellDisagreement",
    "Name": "effortless-entity-framework|ProcessMiningRuns.Name @ pmr-close-v11-q3",
    "Substrate": "effortless-entity-framework",
    "RulebookField": "ProcessMiningRuns.Name"
   },
   {
    "CellDisagreementId": "effortless-entity-framework|ProcessMiningRuns.Name|pmr-policy-v1-notify",
    "FieldDisagreement": "effortless-entity-framework|ProcessMiningRuns.Name",
    "RecordId": "pmr-policy-v1-notify",
    "ExpectedValue": "\"Notification Pipeline Delivery Log / 2026-01-10T09:00:00-05:00\"",
    "ActualValue": "\"Notification Pipeline Delivery Log / 2026-01-10 09:00:00-05\"",
    "Reason": "wrong/null value",
    "SemanticTypeIri": "urn:effortless:pko-extension#CellDisagreement",
    "Name": "effortless-entity-framework|ProcessMiningRuns.Name @ pmr-policy-v1-notify",
    "Substrate": "effortless-entity-framework",
    "RulebookField": "ProcessMiningRuns.Name"
   },
   {
    "CellDisagreementId": "effortless-golang|EvaluationContexts.Name|eval-current",
    "FieldDisagreement": "effortless-golang|EvaluationContexts.Name",
    "RecordId": "eval-current",
    "ExpectedValue": "\"Post-close evaluation @ 2026-07-19T13:00:00-05:00\"",
    "ActualValue": "\"Post-close evaluation @ 2026-07-19 13:00:00-05\"",
    "Reason": "wrong/null value",
    "SemanticTypeIri": "urn:effortless:pko-extension#CellDisagreement",
    "Name": "effortless-golang|EvaluationContexts.Name @ eval-current",
    "Substrate": "effortless-golang",
    "RulebookField": "EvaluationContexts.Name"
   },
   {
    "CellDisagreementId": "effortless-golang|RoleAssignments.Name|ra-authority-2026",
    "FieldDisagreement": "effortless-golang|RoleAssignments.Name",
    "RecordId": "ra-authority-2026",
    "ExpectedValue": "\"knowledge-authority @ 2026-01-01T00:00:00-06:00\"",
    "ActualValue": "\"knowledge-authority @ 2026-01-01 00:00:00-06\"",
    "Reason": "wrong/null value",
    "SemanticTypeIri": "urn:effortless:pko-extension#CellDisagreement",
    "Name": "effortless-golang|RoleAssignments.Name @ ra-authority-2026",
    "Substrate": "effortless-golang",
    "RulebookField": "RoleAssignments.Name"
   },
   {
    "CellDisagreementId": "effortless-golang|RoleAssignments.Name|ra-cfo-2026",
    "FieldDisagreement": "effortless-golang|RoleAssignments.Name",
    "RecordId": "ra-cfo-2026",
    "ExpectedValue": "\"cfo @ 2026-01-01T00:00:00-06:00\"",
    "ActualValue": "\"cfo @ 2026-01-01 00:00:00-06\"",
    "Reason": "wrong/null value",
    "SemanticTypeIri": "urn:effortless:pko-extension#CellDisagreement",
    "Name": "effortless-golang|RoleAssignments.Name @ ra-cfo-2026",
    "Substrate": "effortless-golang",
    "RulebookField": "RoleAssignments.Name"
   },
   {
    "CellDisagreementId": "effortless-golang|RoleAssignments.Name|ra-close-pipeline-2026",
    "FieldDisagreement": "effortless-golang|RoleAssignments.Name",
    "RecordId": "ra-close-pipeline-2026",
    "ExpectedValue": "\"close-automation @ 2026-01-01T00:00:00-06:00\"",
    "ActualValue": "\"close-automation @ 2026-01-01 00:00:00-06\"",
    "Reason": "wrong/null value",
    "SemanticTypeIri": "urn:effortless:pko-extension#CellDisagreement",
    "Name": "effortless-golang|RoleAssignments.Name @ ra-close-pipeline-2026",
    "Substrate": "effortless-golang",
    "RulebookField": "RoleAssignments.Name"
   },
   {
    "CellDisagreementId": "effortless-golang|RoleAssignments.Name|ra-comms-2026",
    "FieldDisagreement": "effortless-golang|RoleAssignments.Name",
    "RecordId": "ra-comms-2026",
    "ExpectedValue": "\"communications-manager @ 2026-02-01T00:00:00-06:00\"",
    "ActualValue": "\"communications-manager @ 2026-02-01 00:00:00-06\"",
    "Reason": "wrong/null value",
    "SemanticTypeIri": "urn:effortless:pko-extension#CellDisagreement",
    "Name": "effortless-golang|RoleAssignments.Name @ ra-comms-2026",
    "Substrate": "effortless-golang",
    "RulebookField": "RoleAssignments.Name"
   },
   {
    "CellDisagreementId": "effortless-golang|RoleAssignments.Name|ra-controller-2026",
    "FieldDisagreement": "effortless-golang|RoleAssignments.Name",
    "RecordId": "ra-controller-2026",
    "ExpectedValue": "\"controller @ 2026-01-01T00:00:00-06:00\"",
    "ActualValue": "\"controller @ 2026-01-01 00:00:00-06\"",
    "Reason": "wrong/null value",
    "SemanticTypeIri": "urn:effortless:pko-extension#CellDisagreement",
    "Name": "effortless-golang|RoleAssignments.Name @ ra-controller-2026",
    "Substrate": "effortless-golang",
    "RulebookField": "RoleAssignments.Name"
   },
   {
    "CellDisagreementId": "effortless-golang|RoleAssignments.Name|ra-counsel-2026",
    "FieldDisagreement": "effortless-golang|RoleAssignments.Name",
    "RecordId": "ra-counsel-2026",
    "ExpectedValue": "\"employment-counsel @ 2026-01-15T00:00:00-06:00\"",
    "ActualValue": "\"employment-counsel @ 2026-01-15 00:00:00-06\"",
    "Reason": "wrong/null value",
    "SemanticTypeIri": "urn:effortless:pko-extension#CellDisagreement",
    "Name": "effortless-golang|RoleAssignments.Name @ ra-counsel-2026",
    "Substrate": "effortless-golang",
    "RulebookField": "RoleAssignments.Name"
   },
   {
    "CellDisagreementId": "effortless-golang|RoleAssignments.Name|ra-finance-2026",
    "FieldDisagreement": "effortless-golang|RoleAssignments.Name",
    "RecordId": "ra-finance-2026",
    "ExpectedValue": "\"finance-analyst @ 2026-01-01T00:00:00-06:00\"",
    "ActualValue": "\"finance-analyst @ 2026-01-01 00:00:00-06\"",
    "Reason": "wrong/null value",
    "SemanticTypeIri": "urn:effortless:pko-extension#CellDisagreement",
    "Name": "effortless-golang|RoleAssignments.Name @ ra-finance-2026",
    "Substrate": "effortless-golang",
    "RulebookField": "RoleAssignments.Name"
   },
   {
    "CellDisagreementId": "effortless-golang|RoleAssignments.Name|ra-new-variance",
    "FieldDisagreement": "effortless-golang|RoleAssignments.Name",
    "RecordId": "ra-new-variance",
    "ExpectedValue": "\"variance-review-agent @ 2026-04-01T00:00:00-05:00\"",
    "ActualValue": "\"variance-review-agent @ 2026-04-01 00:00:00-05\"",
    "Reason": "wrong/null value",
    "SemanticTypeIri": "urn:effortless:pko-extension#CellDisagreement",
    "Name": "effortless-golang|RoleAssignments.Name @ ra-new-variance",
    "Substrate": "effortless-golang",
    "RulebookField": "RoleAssignments.Name"
   },
   {
    "CellDisagreementId": "effortless-golang|RoleAssignments.Name|ra-notify-pipeline-2026",
    "FieldDisagreement": "effortless-golang|RoleAssignments.Name",
    "Record</t>
  </si>
  <si>
    <t xml:space="preserve">Id": "ra-notify-pipeline-2026",
    "ExpectedValue": "\"notification-publisher @ 2026-03-01T00:00:00-06:00\"",
    "ActualValue": "\"notification-publisher @ 2026-03-01 00:00:00-06\"",
    "Reason": "wrong/null value",
    "SemanticTypeIri": "urn:effortless:pko-extension#CellDisagreement",
    "Name": "effortless-golang|RoleAssignments.Name @ ra-notify-pipeline-2026",
    "Substrate": "effortless-golang",
    "RulebookField": "RoleAssignments.Name"
   },
   {
    "CellDisagreementId": "effortless-golang|RoleAssignments.Name|ra-old-variance",
    "FieldDisagreement": "effortless-golang|RoleAssignments.Name",
    "RecordId": "ra-old-variance",
    "ExpectedValue": "\"variance-review-agent @ 2025-01-01T00:00:00-06:00\"",
    "ActualValue": "\"variance-review-agent @ 2025-01-01 00:00:00-06\"",
    "Reason": "wrong/null value",
    "SemanticTypeIri": "urn:effortless:pko-extension#CellDisagreement",
    "Name": "effortless-golang|RoleAssignments.Name @ ra-old-variance",
    "Substrate": "effortless-golang",
    "RulebookField": "RoleAssignments.Name"
   },
   {
    "CellDisagreementId": "effortless-golang|RoleAssignments.Name|ra-policy-ai-2026",
    "FieldDisagreement": "effortless-golang|RoleAssignments.Name",
    "RecordId": "ra-policy-ai-2026",
    "ExpectedValue": "\"policy-drafting-agent @ 2026-05-01T00:00:00-05:00\"",
    "ActualValue": "\"policy-drafting-agent @ 2026-05-01 00:00:00-05\"",
    "Reason": "wrong/null value",
    "SemanticTypeIri": "urn:effortless:pko-extension#CellDisagreement",
    "Name": "effortless-golang|RoleAssignments.Name @ ra-policy-ai-2026",
    "Substrate": "effortless-golang",
    "RulebookField": "RoleAssignments.Name"
   },
   {
    "CellDisagreementId": "effortless-golang|RoleAssignments.Name|ra-policy-owner-2026",
    "FieldDisagreement": "effortless-golang|RoleAssignments.Name",
    "RecordId": "ra-policy-owner-2026",
    "ExpectedValue": "\"hr-policy-owner @ 2026-02-01T00:00:00-06:00\"",
    "ActualValue": "\"hr-policy-owner @ 2026-02-01 00:00:00-06\"",
    "Reason": "wrong/null value",
    "SemanticTypeIri": "urn:effortless:pko-extension#CellDisagreement",
    "Name": "effortless-golang|RoleAssignments.Name @ ra-policy-owner-2026",
    "Substrate": "effortless-golang",
    "RulebookField": "RoleAssignments.Name"
   },
   {
    "CellDisagreementId": "effortless-golang|RoleAssignments.Name|ra-steward-2026",
    "FieldDisagreement": "effortless-golang|RoleAssignments.Name",
    "RecordId": "ra-steward-2026",
    "ExpectedValue": "\"process-steward @ 2026-04-15T09:00:00-05:00\"",
    "ActualValue": "\"process-steward @ 2026-04-15 09:00:00-05\"",
    "Reason": "wrong/null value",
    "SemanticTypeIri": "urn:effortless:pko-extension#CellDisagreement",
    "Name": "effortless-golang|RoleAssignments.Name @ ra-steward-2026",
    "Substrate": "effortless-golang",
    "RulebookField": "RoleAssignments.Name"
   },
   {
    "CellDisagreementId": "effortless-golang|RoleAssignments.QualityVerdictIsUnsupported|ra-authority-2026",
    "FieldDisagreement": "effortless-golang|RoleAssignments.QualityVerdictIsUnsupported",
    "RecordId": "ra-authority-2026",
    "ExpectedValue": "true",
    "ActualValue": "null",
    "Reason": "wrong/null value",
    "SemanticTypeIri": "urn:effortless:pko-extension#CellDisagreement",
    "Name": "effortless-golang|RoleAssignments.QualityVerdictIsUnsupported @ ra-authority-2026",
    "Substrate": "effortless-golang",
    "RulebookField": "RoleAssignments.QualityVerdictIsUnsupported"
   },
   {
    "CellDisagreementId": "effortless-golang|RoleAssignments.QualityVerdictIsUnsupported|ra-cfo-2026",
    "FieldDisagreement": "effortless-golang|RoleAssignments.QualityVerdictIsUnsupported",
    "RecordId": "ra-cfo-2026",
    "ExpectedValue": "true",
    "ActualValue": "null",
    "Reason": "wrong/null value",
    "SemanticTypeIri": "urn:effortless:pko-extension#CellDisagreement",
    "Name": "effortless-golang|RoleAssignments.QualityVerdictIsUnsupported @ ra-cfo-2026",
    "Substrate": "effortless-golang",
    "RulebookField": "RoleAssignments.QualityVerdictIsUnsupported"
   },
   {
    "CellDisagreementId": "effortless-golang|RoleAssignments.QualityVerdictIsUnsupported|ra-close-pipeline-2026",
    "FieldDisagreement": "effortless-golang|RoleAssignments.QualityVerdictIsUnsupported",
    "RecordId": "ra-close-pipeline-2026",
    "ExpectedValue": "true",
    "ActualValue": "null",
    "Reason": "wrong/null value",
    "SemanticTypeIri": "urn:effortless:pko-extension#CellDisagreement",
    "Name": "effortless-golang|RoleAssignments.QualityVerdictIsUnsupported @ ra-close-pipeline-2026",
    "Substrate": "effortless-golang",
    "RulebookField": "RoleAssignments.QualityVerdictIsUnsupported"
   },
   {
    "CellDisagreementId": "effortless-golang|RoleAssignments.QualityVerdictIsUnsupported|ra-comms-2026",
    "FieldDisagreement": "effortless-golang|RoleAssignments.QualityVerdictIsUnsupported",
    "RecordId": "ra-comms-2026",
    "ExpectedValue": "true",
    "ActualValue": "null",
    "Reason": "wrong/null value",
    "SemanticTypeIri": "urn:effortless:pko-extension#CellDisagreement",
    "Name": "effortless-golang|RoleAssignments.QualityVerdictIsUnsupported @ ra-comms-2026",
    "Substrate": "effortless-golang",
    "RulebookField": "RoleAssignments.QualityVerdictIsUnsupported"
   },
   {
    "CellDisagreementId": "effortless-golang|RoleAssignments.QualityVerdictIsUnsupported|ra-controller-2026",
    "FieldDisagreement": "effortless-golang|RoleAssignments.QualityVerdictIsUnsupported",
    "RecordId": "ra-controller-2026",
    "ExpectedValue": "true",
    "ActualValue": "null",
    "Reason": "wrong/null value",
    "SemanticTypeIri": "urn:effortless:pko-extension#CellDisagreement",
    "Name": "effortless-golang|RoleAssignments.QualityVerdictIsUnsupported @ ra-controller-2026",
    "Substrate": "effortless-golang",
    "RulebookField": "RoleAssignments.QualityVerdictIsUnsupported"
   },
   {
    "CellDisagreementId": "effortless-golang|RoleAssignments.QualityVerdictIsUnsupported|ra-counsel-2026",
    "FieldDisagreement": "effortless-golang|RoleAssignments.QualityVerdictIsUnsupported",
    "RecordId": "ra-counsel-2026",
    "ExpectedValue": "true",
    "ActualValue": "null",
    "Reason": "wrong/null value",
    "SemanticTypeIri": "urn:effortless:pko-extension#CellDisagreement",
    "Name": "effortless-golang|RoleAssignments.QualityVerdictIsUnsupported @ ra-counsel-2026",
    "Substrate": "effortless-golang",
    "RulebookField": "RoleAssignments.QualityVerdictIsUnsupported"
   },
   {
    "CellDisagreementId": "effortless-golang|RoleAssignments.QualityVerdictIsUnsupported|ra-finance-2026",
    "FieldDisagreement": "effortless-golang|RoleAssignments.QualityVerdictIsUnsupported",
    "RecordId": "ra-finance-2026",
    "ExpectedValue": "true",
    "ActualValue": "null",
    "Reason": "wrong/null value",
    "SemanticTypeIri": "urn:effortless:pko-extension#CellDisagreement",
    "Name": "effortless-golang|RoleAssignments.QualityVerdictIsUnsupported @ ra-finance-2026",
    "Substrate": "effortless-golang",
    "RulebookField": "RoleAssignments.QualityVerdictIsUnsupported"
   },
   {
    "CellDisagreementId": "effortless-golang|RoleAssignments.QualityVerdictIsUnsupported|ra-new-variance",
    "FieldDisagreement": "effortless-golang|RoleAssignments.QualityVerdictIsUnsupported",
    "RecordId": "ra-new-variance",
    "ExpectedValue": "true",
    "ActualValue": "null",
    "Reason": "wrong/null value",
    "SemanticTypeIri": "urn:effortless:pko-extension#CellDisagreement",
    "Name": "effortless-golang|RoleAssignments.QualityVerdictIsUnsupported @ ra-new-variance",
    "Substrate": "effortless-golang",
    "RulebookField": "RoleAssignments.QualityVerdictIsUnsupported"
   },
   {
    "CellDisagreementId": "effortless-golang|RoleAssignments.QualityVerdictIsUnsupported|ra-notify-pipeline-2026",
    "FieldDisagreement": "effortless-golang|RoleAssignments.QualityVerdictIsUnsupported",
    "RecordId": "ra-notify-pipeline-2026",
    "ExpectedValue": "true",
    "ActualValue": "null",
    "Reason": "wrong/null value",
    "SemanticTypeIri": "urn:effortless:pko-extension#CellDisagreement",
    "Name": "effortless-golang|RoleAssignments.QualityVerdictIsUnsupported @ ra-notify-pipeline-2026",
    "Substrate": "effortless-golang",
    "RulebookField": "RoleAssignments.QualityVerdictIsUnsupported"
   },
   {
    "CellDisagreementId": "effortless-golang|RoleAssignments.QualityVerdictIsUnsupported|ra-old-variance",
    "FieldDisagreement": "effortless-golang|RoleAssignments.QualityVerdictIsUnsupported",
    "RecordId": "ra-old-variance",
    "ExpectedValue": "true",
    "ActualValue": "null",
    "Reason": "wrong/null value",
    "SemanticTypeIri": "urn:effortless:pko-extension#CellDisagreement",
    "Name": "effortless-golang|RoleAssignments.QualityVerdictIsUnsupported @ ra-old-variance",
    "Substrate": "effortless-golang",
    "RulebookField": "RoleAssignments.QualityVerdictIsUnsupported"
   },
   {
    "CellDisagreementId": "effortless-golang|RoleAssignments.QualityVerdictIsUnsupported|ra-policy-ai-2026",
    "FieldDisagreement": "effortless-golang|RoleAssignments.QualityVerdictIsUnsupported",
    "RecordId": "ra-policy-ai-2026",
    "ExpectedValue": "true",
    "ActualValue": "null",
    "Reason": "wrong/null value",
    "SemanticTypeIri": "urn:effortless:pko-extension#CellDisagreement",
    "Name": "effortless-golang|RoleAssignments.QualityVerdictIsUnsupported @ ra-policy-ai-2026",
    "Substrate": "effortless-golang",
    "RulebookField": "RoleAssignments.QualityVerdictIsUnsupported"
   },
   {
    "CellDisagreementId": "effortless-golang|RoleAssignments.QualityVerdictIsUnsupported|ra-policy-owner-2026",
    "FieldDisagreement": "effortless-golang|RoleAssignments.QualityVerdictIsUnsupported",
    "RecordId": "ra-policy-owner-2026",
    "ExpectedValue": "true",
    "ActualValue": "null",
    "Reason": "wrong/null value",
    "SemanticTypeIri": "urn:effortless:pko-extension#CellDisagreement",
    "Name": "effortless-golang|RoleAssignments.QualityVerdictIsUnsupported @ ra-policy-owner-2026",
    "Substrate": "effortless-golang",
    "RulebookField": "RoleAssignments.QualityVerdictIsUnsupported"
   },
   {
    "CellDisagreementId": "effortless-golang|RoleAssignments.QualityVerdictIsUnsupported|ra-steward-2026",
    "FieldDisagreement": "effortless-golang|RoleAssignments.QualityVerdictIsUnsupported",
    "RecordId": "ra-steward-2026",
    "ExpectedValue": "true",
    "ActualValue": "null",
    "Reason": "wrong/null value",
    "SemanticTypeIri": "urn:effortless:pko-extension#CellDisagreement",
    "Name": "effortless-golang|RoleAssignments.QualityVerdictIsUnsupported @ ra-steward-2026",
    "Substrate": "effortless-golang",
    "RulebookField": "RoleAssignments.QualityVerdictIsUnsupported"
   },
   {
    "CellDisagreementId": "effortless-golang|RoleAssignments.IsUnmeasuredAutomationHandover|ra-new-variance",
    "FieldDisagreement": "effortless-golang|RoleAssignments.IsUnmeasuredAutomationHandover",
    "RecordId": "ra-new-variance",
    "ExpectedValue": "true",
    "ActualValue": "null",
    "Reason": "wrong/null value",
    "SemanticTypeIri": "urn:effortless:pko-extension#CellDisagreement",
    "Name": "effortless-golang|RoleAssignments.IsUnmeasuredAutomationHandover @ ra-new-variance",
    "Substrate": "effortless-golang",
    "RulebookField": "RoleAssignments.IsUnmeasuredAutomationHandover"
   },
   {
    "CellDisagreementId": "effortless-golang|ProcedureVersions.DaysSinceModified|close-v1.0.0",
    "FieldDisagreement": "effortless-golang|ProcedureVersions.DaysSinceModified",
    "RecordId": "close-v1.0.0",
    "ExpectedValue": "109",
    "ActualValue": "110",
    "Reason": "wrong/null value",
    "SemanticTypeIri": "urn:effortless:pko-extension#CellDisagreement",
    "Name": "effortless-golang|ProcedureVersions.DaysSinceModified @ close-v1.0.0",
    "Substrate": "effortless-golang",
    "RulebookField": "ProcedureVersions.DaysSinceModified"
   },
   {
    "CellDisagreementId": "effortless-golang|ProcedureVersions.DaysSinceModified|close-v1.1.0",
    "FieldDisagreement": "effortless-golang|ProcedureVersions.DaysSinceModified",
    "RecordId": "close-v1.1.0",
    "ExpectedValue": "16",
    "ActualValue": "17",
    "Reason": "wrong/null value",
    "SemanticTypeIri": "urn:effortless:pko-extension#CellDisagreement",
    "Name": "effortless-golang|ProcedureVersions.DaysSinceModified @ close-v1.1.0",
    "Substrate": "effortless-golang",
    "RulebookField": "ProcedureVersions.DaysSinceModified"
   },
   {
    "CellDisagreementId": "effortless-golang|ProcedureVersions.DaysSinceModified|policy-v1.0.0",
    "FieldDisagreement": "effortless-golang|ProcedureVersions.DaysSinceModified",
    "RecordId": "policy-v1.0.0",
    "ExpectedValue": "0",
    "ActualValue": "1",
    "Reason": "wrong/null value",
    "SemanticTypeIri": "urn:effortless:pko-extension#CellDisagreement",
    "Name": "effortless-golang|ProcedureVersions.DaysSinceModified @ policy-v1.0.0",
    "Substrate": "effortless-golang",
    "RulebookField": "ProcedureVersions.DaysSinceModified"
   },
   {
    "CellDisagreementId": "effortless-golang|ProcedureVersions.WasModifiedSinceLastReview|close-v1.1.0",
    "FieldDisagreement": "effortless-golang|ProcedureVersions.WasModifiedSinceLastReview",
    "RecordId": "close-v1.1.0",
    "ExpectedValue": "true",
    "ActualValue": "false",
    "Reason": "wrong/null value",
    "SemanticTypeIri": "urn:effortless:pko-extension#CellDisagreement",
    "Name": "effortless-golang|ProcedureVersions.WasModifiedSinceLastReview @ close-v1.1.0",
    "Substrate": "effortless-golang",
    "RulebookField": "ProcedureVersions.WasModifiedSinceLastReview"
   },
   {
    "CellDisagreementId": "effortless-golang|ProcedureVersions.WasModifiedSinceLastReview|policy-v1.0.0",
    "FieldDisagreement": "effortless-golang|ProcedureVersions.WasModifiedSinceLastReview",
    "RecordId": "policy-v1.0.0",
    "ExpectedValue": "true",
    "ActualValue": "false",
    "Reason": "wrong/null value",
    "SemanticTypeIri": "urn:effortless:pko-extension#CellDisagreement",
    "Name": "effortless-golang|ProcedureVersions.WasModifiedSinceLastReview @ policy-v1.0.0",
    "Substrate": "effortless-golang",
    "RulebookField": "ProcedureVersions.WasModifiedSinceLastReview"
   },
   {
    "CellDisagreementId": "effortless-golang|ProcedureVersions.HasUnwitnessedChange|close-v1.1.0",
    "FieldDisagreement": "effortless-golang|ProcedureVersions.HasUnwitnessedChange",
    "RecordId": "close-v1.1.0",
    "ExpectedValue": "true",
    "ActualValue": "false",
    "Reason": "wrong/null value",
    "SemanticTypeIri": "urn:effortless:pko-extension#CellDisagreement",
    "Name": "effortless-golang|ProcedureVersions.HasUnwitnessedChange @ close-v1.1.0",
    "Substrate": "effortless-golang",
    "RulebookField": "ProcedureVersions.HasUnwitnessedChange"
   },
   {
    "CellDisagreementId": "effortless-golang|ProcedureVersions.HasUnwitnessedChange|policy-v1.0.0",
    "FieldDisagreement": "effortless-golang|ProcedureVersions.HasUnwitnessedChange",
    "RecordId": "policy-v1.0.0",
    "ExpectedValue": "true",
    "ActualValue": "false",
    "Reason": "wrong/null value",
    "SemanticTypeIri": "urn:effortless:pko-extension#CellDisagreement",
    "Name": "effortless-golang|ProcedureVersions.HasUnwitnessedChange @ policy-v1.0.0",
    "Substrate": "effortless-golang",
    "RulebookField": "ProcedureVersions.HasUnwitnessedChange"
   },
   {
    "CellDisagreementId": "effortless-golang|Requirements.IsUntestedWitness|req-close-balance",
    "FieldDisagreement": "effortless-golang|Requirements.IsUntestedWitness",
    "RecordId": "req-close-balance",
    "ExpectedValue": "true",
    "ActualValue": "null",
    "Reason": "wrong/null value",
    "SemanticTypeIri": "urn:effortless:pko-extension#CellDisagreement",
    "Name": "effortless-golang|Requirements.IsUntestedWitness @ req-close-balance",
    "Substrate": "effortless-golang",
    "RulebookField": "Requirements.IsUntestedWitness"
   },
   {
    "CellDisagreementId": "effortless-golang|Requirements.IsUntestedWitness|req-close-cutoff",
    "FieldDisagreement": "effortless-golang|Requirements.IsUntestedWitness",
    "RecordId": "req-close-cutoff",
    "ExpectedValue": "true",
    "ActualValue": "null",
    "Reason": "wrong/null value",
    "SemanticTypeIri": "urn:effortless:pko-extension#CellDisagreement",
    "Name": "effortless-golang|Requirements.IsUntestedWitness @ req-close-cutoff",
    "Substrate": "effortless-golang",
    "RulebookField": "Requirements.IsUntestedWitness"
   },
   {
    "CellDisagreementId": "effortless-golang|Requirements.IsUntestedWitness|req-close-separation",
    "FieldDisagreement": "effortless-golang|Requirements.IsUntestedWitness",
    "RecordId": "req-close-separation",
    "ExpectedValue": "true",
    "ActualValue": "null",
    "Reason": "wrong/null value",
    "SemanticTypeIri": "urn:effortless:pko-extension#CellDisagreement",
    "Name": "effortless-golang|Requirements.IsUntestedWitness @ req-close-separation",
    "Substrate": "effortless-golang",
    "RulebookField": "Requirements.IsUntestedWitness"
   },
   {
    "CellDisagreementId": "effortless-golang|ElicitationSessions.Name|elicit-close-shadow",
    "FieldDisagreement": "effortless-golang|ElicitationSessions.Name",
    "RecordId": "elicit-close-shadow",
    "ExpectedValue": "\"Shadowing / 2026-04-03T09:00:00-05:00\"",
    "ActualValue": "\"Shadowing / 2026-04-03 09:00:00-05\"",
    "Reason": "wrong/null value",
    "SemanticTypeIri": "urn:effortless:pko-extension#CellDisagreement",
    "Name": "effortless-golang|ElicitationSessions.Name @ elicit-close-shadow",
    "Substrate": "effortless-golang",
    "RulebookField": "ElicitationSessions.Name"
   },
   {
    "CellDisagreementId": "effortless-golang|ElicitationSessions.Name|elicit-policy-interview",
    "FieldDisagreement": "effortless-golang|ElicitationSessions.Name",
    "RecordId": "elicit-policy-interview",
    "ExpectedValue": "\"PractitionerInterview / 2026-05-12T13:00:00-05:00\"",
    "ActualValue": "\"PractitionerInterview / 2026-05-12 13:00:00-05\"",
    "Reason": "wrong/null value",
    "SemanticTypeIri": "urn:effortless:pko-extension#CellDisagreement",
    "Name": "effortless-golang|ElicitationSessions.Name @ elicit-policy-interview",
    "Substrate": "effortless-golang",
    "RulebookField": "ElicitationSessions.Name"
   },
   {
    "CellDisagreementId": "effortless-golang|ElicitationSessions.Name|elicit-policy-workshop",
    "FieldDisagreement": "effortless-golang|ElicitationSessions.Name",
    "RecordId": "elicit-policy-workshop",
    "ExpectedValue": "\"FacilitatedWorkshop / 2026-05-10T10:00:00-05:00\"",
    "ActualValue": "\"FacilitatedWorkshop / 2026-05-10 10:00:00-05\"",
    "Reason": "wrong/null value",
    "SemanticTypeIri": "urn:effortless:pko-extension#CellDisagreement",
    "Name": "effortless-golang|ElicitationSessions.Name @ elicit-policy-workshop",
    "Substrate": "effortless-golang",
    "RulebookField": "ElicitationSessions.Name"
   },
   {
    "CellDisagreementId": "effortless-golang|ElicitationSessions.DaysSinceElicited|elicit-policy-interview",
    "FieldDisagreement": "effortless-golang|ElicitationSessions.DaysSinceElicited",
    "RecordId": "elicit-policy-interview",
    "ExpectedValue": "67",
    "ActualValue": "68",
    "Reason": "wrong/null value",
    "SemanticTypeIri": "urn:effortless:pko-extension#CellDisagreement",
    "Name": "effortless-golang|ElicitationSessions.DaysSinceElicited @ elicit-policy-interview",
    "Substrate": "effortless-golang",
    "RulebookField": "ElicitationSessions.DaysSinceElicited"
   },
   {
    "CellDisagreementId": "effortless-golang|ElicitationSessions.DaysSinceElicited|elicit-policy-workshop",
    "FieldDisagreement": "effortless-golang|ElicitationSessions.DaysSinceElicited",
    "RecordId": "elicit-policy-workshop",
    "ExpectedValue": "69",
    "ActualValue": "70",
    "Reason": "wrong/null value",
    "SemanticTypeIri": "urn:effortless:pko-extension#CellDisagreement",
    "Name": "effortless-golang|ElicitationSessions.DaysSinceElicited @ elicit-policy-workshop",
    "Substrate": "effortless-golang",
    "RulebookField": "ElicitationSessions.DaysSinceElicited"
   },
   {
    "CellDisagreementId": "effortless-golang|KnowledgeFragments.DaysSinceActualReview|kf-close-fx-time",
    "FieldDisagreement": "effortless-golang|KnowledgeFragments.DaysSinceActualReview",
    "RecordId": "kf-close-fx-time",
    "ExpectedValue": "16",
    "ActualValue": "17",
    "Reason": "wrong/null value",
    "SemanticTypeIri": "urn:effortless:pko-extension#CellDisagreement",
    "Name": "effortless-golang|KnowledgeFragments.DaysSinceActualReview @ kf-close-fx-time",
    "Substrate": "effortless-golang",
    "RulebookField": "KnowledgeFragments.DaysSinceActualReview"
   },
   {
    "CellDisagreementId": "effortless-golang|KnowledgeFragments.DaysSinceActualReview|kf-close-top-ten",
    "FieldDisagreement": "effortless-golang|KnowledgeFragments.DaysSinceActualReview",
    "RecordId": "kf-close-top-ten",
    "ExpectedValue": "16",
    "ActualValue": "17",
    "Reason": "wrong/null value",
    "SemanticTypeIri": "urn:effortless:pko-extension#CellDisagreement",
    "Name": "effortless-golang|KnowledgeFragments.DaysSinceActualReview @ kf-close-top-ten",
    "Substrate": "effortless-golang",
    "RulebookField": "KnowledgeFragments.DaysSinceActualReview"
   },
   {
    "CellDisagreementId": "effortless-golang|KnowledgeFragments.DaysSinceActualReview|kf-policy-channel",
    "FieldDisagreement": "effortless-golang|KnowledgeFragments.DaysSinceActualReview",
    "RecordId": "kf-policy-channel",
    "ExpectedValue": "0",
    "ActualValue": "1",
    "Reason": "wrong/null value",
    "SemanticTypeIri": "urn:effortless:pko-extension#CellDisagreement",
    "Name": "effortless-golang|KnowledgeFragments.DaysSinceActualReview @ kf-policy-channel",
    "Substrate": "effortless-golang",
    "RulebookField": "KnowledgeFragments.DaysSinceActualReview"
   },
   {
    "CellDisagreementId": "effortless-golang|KnowledgeFragments.EvidenceAgeDays|kf-policy-ai-boundary",
    "FieldDisagreement": "effortless-golang|KnowledgeFragments.EvidenceAgeDays",
    "RecordId": "kf-policy-ai-boundary",
    "ExpectedValue": "67",
    "ActualValue": "68",
    "Reason": "wrong/null value",
    "SemanticTypeIri": "urn:effortless:pko-extension#CellDisagreement",
    "Name": "effortless-golang|KnowledgeFragments.EvidenceAgeDays @ kf-policy-ai-boundary",
    "Substrate": "effortless-golang",
    "RulebookField": "KnowledgeFragments.EvidenceAgeDays"
   },
   {
    "CellDisagreementId": "effortless-golang|KnowledgeFragments.EvidenceAgeDays|kf-policy-channel",
    "FieldDisagreement": "effortless-golang|KnowledgeFragments.EvidenceAgeDays",
    "RecordId": "kf-policy-channel",
    "ExpectedValue": "69",
    "ActualValue": "70",
    "Reason": "wrong/null value",
    "SemanticTypeIri": "urn:effortless:pko-extension#CellDisagreement",
    "Name": "effortless-golang|KnowledgeFragments.EvidenceAgeDays @ kf-policy-channel",
    "Substrate": "effortless-golang",
    "RulebookField": "KnowledgeFragments.EvidenceAgeDays"
   },
   {
    "CellDisagreementId": "effortless-golang|KnowledgeFragments.EvidenceAgeDays|kf-policy-manager-route",
    "FieldDisagreement": "effortless-golang|KnowledgeFragments.EvidenceAgeDays",
    "RecordId": "kf-policy-manager-route",
    "ExpectedValue": "69",
    "ActualValue": "70",
    "Reason": "wrong/null value",
    "SemanticTypeIri": "urn:effortless:pko-extension#CellDisagreement",
    "Name": "effortless-golang|KnowledgeFragments.EvidenceAgeDays @ kf-policy-manager-route",
    "Substrate": "effortless-golang",
    "RulebookField": "KnowledgeFragments.EvidenceAgeDays"
   },
   {
    "CellDisagreementId": "effortless-golang|KnowledgeFragments.AgeDays|kf-policy-ai-boundary",
    "FieldDisagreement": "effortless-golang|KnowledgeFragments.AgeDays",
    "RecordId": "kf-policy-ai-boundary",
    "ExpectedValue": "67",
    "ActualValue": "68",
    "Reason": "wrong/null value",
    "SemanticTypeIri": "urn:effortless:pko-extension#CellDisagreement",
    "Name": "effortless-golang|KnowledgeFragments.AgeDays @ kf-policy-ai-boundary",
    "Substrate": "effortless-golang",
    "RulebookField": "KnowledgeFragments.AgeDays"
   },
   {
    "CellDisagreementId": "effortless-golang|KnowledgeFragments.AgeDays|kf-policy-channel",
    "FieldDisagreement": "effortless-golang|KnowledgeFragments.AgeDays",
    "RecordId": "kf-policy-channel",
    "ExpectedValue": "69",
    "ActualValue": "70",
    "Reason": "wrong/null value",
    "SemanticTypeIri": "urn:effortless:pko-extension#CellDisagreement",
    "Name": "effortless-golang|KnowledgeFragments.AgeDays @ kf-policy-channel",
    "Substrate": "effortless-golang",
    "RulebookField": "KnowledgeFragments.AgeDays"
   },
   {
    "CellDisagreementId": "effortless-golang|KnowledgeFragments.AgeDays|kf-policy-manager-route",
    "FieldDisagreement": "effortless-golang|KnowledgeFragments.AgeDays",
    "RecordId": "kf-policy-manager-route",
    "ExpectedValue": "69",
    "ActualValue": "70",
    "Reason": "wrong/null value",
    "SemanticTypeIri": "urn:effortless:pko-extension#CellDisagreement",
    "Name": "effortless-golang|KnowledgeFragments.AgeDays @ kf-policy-manager-route",
    "Substrate": "effortless-golang",
    "RulebookField": "KnowledgeFragments.AgeDays"
   },
   {
    "CellDisagreementId": "effortless-golang|KnowledgeFragments.DaysAwaitingMyApproval|kf-policy-manager-route",
    "FieldDisagreement": "effortless-golang|KnowledgeFragments.DaysAwaitingMyApproval",
    "RecordId": "kf-policy-manager-route",
    "ExpectedValue": "69",
    "ActualValue": "70",
    "Reason": "wrong/null value",
    "SemanticTypeIri": "urn:effortless:pko-extension#CellDisagreement",
    "Name": "effortless-golang|KnowledgeFragments.DaysAwaitingMyApproval @ kf-policy-manager-route",
    "Substrate": "effortless-golang",
    "RulebookField": "KnowledgeFragments.DaysAwaitingMyApproval"
   },
   {
    "CellDisagreementId": "effortless-golang|KnowledgeGaps.DaysOpen|gap-policy-delivery-receipts",
    "FieldDisagreement": "effortless-golang|KnowledgeGaps.DaysOpen",
    "RecordId": "gap-policy-delivery-receipts",
    "ExpectedValue": "0",
    "ActualValue": "1",
    "Reason": "wrong/null value",
    "SemanticTypeIri": "urn:effortless:pko-extension#CellDisagreement",
    "Name": "effortless-golang|KnowledgeGaps.DaysOpen @ gap-policy-delivery-receipts",
    "Substrate": "effortless-golang",
    "RulebookField": "KnowledgeGaps.DaysOpen"
   },
   {
    "CellDisagreementId": "effortless-golang|IssueOccurrences.Name|issue-close-feed",
    "FieldDisagreement": "effortless-golang|IssueOccurrences.Name",
    "RecordId": "issue-close-feed",
    "ExpectedValue": "\"err-feed-stale @ 2026-06-30T17:12:00-05:00\"",
    "ActualValue": "\"err-feed-stale @ 2026-06-30 17:12:00-05\"",
    "Reason": "wrong/null value",
    "SemanticTypeIri": "urn:effortless:pko-extension#CellDisagreement",
    "Name": "effortless-golang|IssueOccurrences.Name @ issue-close-feed",
    "Substrate": "effortless-golang",
    "RulebookField": "IssueOccurrences.Name"
   },
   {
    "CellDisagreementId": "effortless-golang|IssueOccurrences.Name|issue-policy-sms",
    "FieldDisagreement": "effortless-golang|IssueOccurrences.Name",
    "RecordId": "issue-policy-sms",
    "ExpectedValue": "\"err-sms-throttle @ 2026-07-19T09:30:00-05:00\"",
    "ActualValue": "\"err-sms-throttle @ 2026-07-19 09:30:00-05\"",
    "Reason": "wrong/null value",
    "SemanticTypeIri": "urn:effortless:pko-extension#CellDisagreement",
    "Name": "effortless-golang|IssueOccurrences.Name @ issue-policy-sms",
    "Substrate": "effortless-golang",
    "RulebookField": "IssueOccurrences.Name"
   },
   {
    "CellDisagreementId": "effortless-golang|ChangeRequests.DaysPending|cr-close-timestamp",
    "FieldDisagreement": "effortless-golang|ChangeRequests.DaysPending",
    "RecordId": "cr-close-timestamp",
    "ExpectedValue": "0",
    "ActualValue": "1",
    "Reason": "wrong/null value",
    "SemanticTypeIri": "urn:effortless:pko-extension#CellDisagreement",
    "Name": "effortless-golang|ChangeRequests.DaysPending @ cr-close-timestamp",
    "Substrate": "effortless-golang",
    "RulebookField": "ChangeRequests.DaysPending"
   },
   {
    "CellDisagreementId": "effortless-golang|ChangeRequests.DecisionLatencyDays|cr-close-timestamp",
    "FieldDisagreement": "effortless-golang|ChangeRequests.DecisionLatencyDays",
    "RecordId": "cr-close-timestamp",
    "ExpectedValue": "0",
    "ActualValue": "1",
    "Reason": "wrong/null value",
    "SemanticTypeIri": "urn:effortless:pko-extension#CellDisagreement",
    "Name": "effortless-golang|ChangeRequests.DecisionLatencyDays @ cr-close-timestamp",
    "Substrate": "effortless-golang",
    "RulebookField": "ChangeRequests.DecisionLatencyDays"
   },
   {
    "CellDisagreementId": "effortless-golang|ReviewEvents.DaysSinceReviewed|review-close-q1",
    "FieldDisagreement": "effortless-golang|ReviewEvents.DaysSinceReviewed",
    "RecordId": "review-close-q1",
    "ExpectedValue": "120",
    "ActualValue": "121",
    "Reason": "wrong/null value",
    "SemanticTypeIri": "urn:effortless:pko-extension#CellDisagreement",
    "Name": "effortless-golang|ReviewEvents.DaysSinceReviewed @ review-close-q1",
    "Substrate": "effortless-golang",
    "RulebookField": "ReviewEvents.DaysSinceReviewed"
   },
   {
    "CellDisagreementId": "effortless-golang|ReviewEvents.DaysSinceReviewed|review-close-q2",
    "FieldDisagreement": "effortless-golang|ReviewEvents.DaysSinceReviewed",
    "RecordId": "review-close-q2",
    "ExpectedValue": "16",
    "ActualValue": "17",
    "Reason": "wrong/null value",
    "SemanticTypeIri": "urn:effortless:pko-extension#CellDisagreement",
    "Name": "effortless-golang|ReviewEvents.DaysSinceReviewed @ review-close-q2",
    "Substrate": "effortless-golang",
    "RulebookField": "ReviewEvents.DaysSinceReviewed"
   },
   {
    "CellDisagreementId": "effortless-golang|ReviewEvents.DaysSinceReviewed|review-policy-prelaunch",
    "FieldDisagreement": "effortless-golang|ReviewEvents.DaysSinceReviewed",
    "RecordId": "review-policy-prelaunch",
    "ExpectedValue": "0",
    "ActualValue": "1",
    "Reason": "wrong/null value",
    "SemanticTypeIri": "urn:effortless:pko-extension#CellDisagreement",
    "Name": "effortless-golang|ReviewEvents.DaysSinceReviewed @ review-policy-prelaunch",
    "Substrate": "effortless-golang",
    "RulebookField": "ReviewEvents.DaysSinceReviewed"
   },
   {
    "CellDisagreementId": "effortless-golang|ReviewEvents.CadenceDriftDays|review-close-q1",
    "FieldDisagreement": "effortless-golang|ReviewEvents.CadenceDriftDays",
    "RecordId": "review-close-q1",
    "ExpectedValue": "30.0",
    "ActualValue": "31",
    "Reason": "wrong/null value",
    "SemanticTypeIri": "urn:effortless:pko-extension#CellDisagreement",
    "Name": "effortless-golang|ReviewEvents.CadenceDriftDays @ review-close-q1",
    "Substrate": "effortless-golang",
    "RulebookField": "ReviewEvents.CadenceDriftDays"
   },
   {
    "CellDisagreementId": "effortless-golang|ReviewEvents.CadenceDriftDays|review-close-q2",
    "FieldDisagreement": "effortless-golang|ReviewEvents.CadenceDriftDays",
    "RecordId": "review-close-q2",
    "ExpectedValue": "-74.0",
    "ActualValue": "-73",
    "Reason": "wrong/null value",
    "SemanticTypeIri": "urn:effortless:pko-extension#CellDisagreement",
    "Name": "effortless-golang|ReviewEvents.CadenceDriftDays @ review-close-q2",
    "Substrate": "effortless-golang",
    "RulebookField": "ReviewEvents.CadenceDriftDays"
   },
   {
    "CellDisagreementId": "effortless-golang|ReviewEvents.CadenceDriftDays|review-policy-prelaunch",
    "FieldDisagreement": "effortless-golang|ReviewEvents.CadenceDriftDays",
    "RecordId": "review-policy-prelaunch",
    "ExpectedValue": "-60.0",
    "ActualValue": "-59",
    "Reason": "wrong/null value",
    "SemanticTypeIri": "urn:effortless:pko-extension#CellDisagreement",
    "Name": "effortless-golang|ReviewEvents.CadenceDriftDays @ review-policy-prelaunch",
    "Substrate": "effortless-golang",
    "RulebookField": "ReviewEvents.CadenceDriftDays"
   },
   {
    "CellDisagreementId": "effortless-golang|LearningActivities.Name|learn-close-retro",
    "FieldDisagreement": "effortless-golang|LearningActivities.Name",
    "RecordId": "learn-close-retro",
    "ExpectedValue": "\"Retrospective / 2026-07-02T15:30:00-05:00\"",
    "ActualValue": "\"Retrospective / 2026-07-02 15:30:00-05\"",
    "Reason": "wrong/null value",
    "SemanticTypeIri": "urn:effortless:pko-extension#CellDisagreement",
    "Name": "effortless-golang|LearningActivities.Name @ learn-close</t>
  </si>
  <si>
    <t xml:space="preserve">-retro",
    "Substrate": "effortless-golang",
    "RulebookField": "LearningActivities.Name"
   },
   {
    "CellDisagreementId": "effortless-golang|LearningActivities.Name|learn-policy-tabletop",
    "FieldDisagreement": "effortless-golang|LearningActivities.Name",
    "RecordId": "learn-policy-tabletop",
    "ExpectedValue": "\"TabletopExercise / 2026-07-15T13:00:00-05:00\"",
    "ActualValue": "\"TabletopExercise / 2026-07-15 13:00:00-05\"",
    "Reason": "wrong/null value",
    "SemanticTypeIri": "urn:effortless:pko-extension#CellDisagreement",
    "Name": "effortless-golang|LearningActivities.Name @ learn-policy-tabletop",
    "Substrate": "effortless-golang",
    "RulebookField": "LearningActivities.Name"
   },
   {
    "CellDisagreementId": "effortless-golang|ObservedTransitions.Name|obs-close-01-02-q2",
    "FieldDisagreement": "effortless-golang|ObservedTransitions.Name",
    "RecordId": "obs-close-01-02-q2",
    "ExpectedValue": "\"close-01-to-close-02 @ 2026-06-30T17:04:00-05:00\"",
    "ActualValue": "\"close-01-to-close-02 @ 2026-06-30 17:04:00-05\"",
    "Reason": "wrong/null value",
    "SemanticTypeIri": "urn:effortless:pko-extension#CellDisagreement",
    "Name": "effortless-golang|ObservedTransitions.Name @ obs-close-01-02-q2",
    "Substrate": "effortless-golang",
    "RulebookField": "ObservedTransitions.Name"
   },
   {
    "CellDisagreementId": "effortless-golang|ObservedTransitions.Name|obs-close-02-03-q2",
    "FieldDisagreement": "effortless-golang|ObservedTransitions.Name",
    "RecordId": "obs-close-02-03-q2",
    "ExpectedValue": "\"close-02-to-close-03 @ 2026-06-30T17:18:00-05:00\"",
    "ActualValue": "\"close-02-to-close-03 @ 2026-06-30 17:18:00-05\"",
    "Reason": "wrong/null value",
    "SemanticTypeIri": "urn:effortless:pko-extension#CellDisagreement",
    "Name": "effortless-golang|ObservedTransitions.Name @ obs-close-02-03-q2",
    "Substrate": "effortless-golang",
    "RulebookField": "ObservedTransitions.Name"
   },
   {
    "CellDisagreementId": "effortless-golang|ObservedTransitions.Name|obs-close-03-04-q2",
    "FieldDisagreement": "effortless-golang|ObservedTransitions.Name",
    "RecordId": "obs-close-03-04-q2",
    "ExpectedValue": "\"close-03-to-close-04 @ 2026-07-01T12:15:00-05:00\"",
    "ActualValue": "\"close-03-to-close-04 @ 2026-07-01 12:15:00-05\"",
    "Reason": "wrong/null value",
    "SemanticTypeIri": "urn:effortless:pko-extension#CellDisagreement",
    "Name": "effortless-golang|ObservedTransitions.Name @ obs-close-03-04-q2",
    "Substrate": "effortless-golang",
    "RulebookField": "ObservedTransitions.Name"
   },
   {
    "CellDisagreementId": "effortless-golang|ObservedTransitions.Name|obs-close-04-05-q2",
    "FieldDisagreement": "effortless-golang|ObservedTransitions.Name",
    "RecordId": "obs-close-04-05-q2",
    "ExpectedValue": "\"close-04-to-close-05 @ 2026-07-01T15:05:00-05:00\"",
    "ActualValue": "\"close-04-to-close-05 @ 2026-07-01 15:05:00-05\"",
    "Reason": "wrong/null value",
    "SemanticTypeIri": "urn:effortless:pko-extension#CellDisagreement",
    "Name": "effortless-golang|ObservedTransitions.Name @ obs-close-04-05-q2",
    "Substrate": "effortless-golang",
    "RulebookField": "ObservedTransitions.Name"
   },
   {
    "CellDisagreementId": "effortless-golang|ObservedTransitions.Name|obs-close-05-06-q2",
    "FieldDisagreement": "effortless-golang|ObservedTransitions.Name",
    "RecordId": "obs-close-05-06-q2",
    "ExpectedValue": "\"close-05-to-close-06 @ 2026-07-02T09:00:00-05:00\"",
    "ActualValue": "\"close-05-to-close-06 @ 2026-07-02 09:00:00-05\"",
    "Reason": "wrong/null value",
    "SemanticTypeIri": "urn:effortless:pko-extension#CellDisagreement",
    "Name": "effortless-golang|ObservedTransitions.Name @ obs-close-05-06-q2",
    "Substrate": "effortless-golang",
    "RulebookField": "ObservedTransitions.Name"
   },
   {
    "CellDisagreementId": "effortless-golang|ObservedTransitions.Name|obs-close-06-07-q2",
    "FieldDisagreement": "effortless-golang|ObservedTransitions.Name",
    "RecordId": "obs-close-06-07-q2",
    "ExpectedValue": "\"close-06-to-close-07 @ 2026-07-02T09:22:00-05:00\"",
    "ActualValue": "\"close-06-to-close-07 @ 2026-07-02 09:22:00-05\"",
    "Reason": "wrong/null value",
    "SemanticTypeIri": "urn:effortless:pko-extension#CellDisagreement",
    "Name": "effortless-golang|ObservedTransitions.Name @ obs-close-06-07-q2",
    "Substrate": "effortless-golang",
    "RulebookField": "ObservedTransitions.Name"
   },
   {
    "CellDisagreementId": "effortless-golang|ObservedTransitions.Name|obs-close-07-08-q2",
    "FieldDisagreement": "effortless-golang|ObservedTransitions.Name",
    "RecordId": "obs-close-07-08-q2",
    "ExpectedValue": "\"close-07-to-close-08 @ 2026-07-02T14:00:00-05:00\"",
    "ActualValue": "\"close-07-to-close-08 @ 2026-07-02 14:00:00-05\"",
    "Reason": "wrong/null value",
    "SemanticTypeIri": "urn:effortless:pko-extension#CellDisagreement",
    "Name": "effortless-golang|ObservedTransitions.Name @ obs-close-07-08-q2",
    "Substrate": "effortless-golang",
    "RulebookField": "ObservedTransitions.Name"
   },
   {
    "CellDisagreementId": "effortless-golang|ObservedTransitions.Name|obs-policy-01-02-hr4821",
    "FieldDisagreement": "effortless-golang|ObservedTransitions.Name",
    "RecordId": "obs-policy-01-02-hr4821",
    "ExpectedValue": "\"policy-01-to-policy-02 @ 2026-07-18T09:30:00-05:00\"",
    "ActualValue": "\"policy-01-to-policy-02 @ 2026-07-18 09:30:00-05\"",
    "Reason": "wrong/null value",
    "SemanticTypeIri": "urn:effortless:pko-extension#CellDisagreement",
    "Name": "effortless-golang|ObservedTransitions.Name @ obs-policy-01-02-hr4821",
    "Substrate": "effortless-golang",
    "RulebookField": "ObservedTransitions.Name"
   },
   {
    "CellDisagreementId": "effortless-golang|ObservedTransitions.Name|obs-policy-02-03-hr4821",
    "FieldDisagreement": "effortless-golang|ObservedTransitions.Name",
    "RecordId": "obs-policy-02-03-hr4821",
    "ExpectedValue": "\"policy-02-to-policy-03 @ 2026-07-18T13:00:00-05:00\"",
    "ActualValue": "\"policy-02-to-policy-03 @ 2026-07-18 13:00:00-05\"",
    "Reason": "wrong/null value",
    "SemanticTypeIri": "urn:effortless:pko-extension#CellDisagreement",
    "Name": "effortless-golang|ObservedTransitions.Name @ obs-policy-02-03-hr4821",
    "Substrate": "effortless-golang",
    "RulebookField": "ObservedTransitions.Name"
   },
   {
    "CellDisagreementId": "effortless-golang|ObservedTransitions.Name|obs-policy-03-04-hr4821",
    "FieldDisagreement": "effortless-golang|ObservedTransitions.Name",
    "RecordId": "obs-policy-03-04-hr4821",
    "ExpectedValue": "\"policy-03-to-policy-04 @ 2026-07-19T09:00:00-05:00\"",
    "ActualValue": "\"policy-03-to-policy-04 @ 2026-07-19 09:00:00-05\"",
    "Reason": "wrong/null value",
    "SemanticTypeIri": "urn:effortless:pko-extension#CellDisagreement",
    "Name": "effortless-golang|ObservedTransitions.Name @ obs-policy-03-04-hr4821",
    "Substrate": "effortless-golang",
    "RulebookField": "ObservedTransitions.Name"
   },
   {
    "CellDisagreementId": "effortless-golang|MessageDeliveries.Name|md-001",
    "FieldDisagreement": "effortless-golang|MessageDeliveries.Name",
    "RecordId": "md-001",
    "ExpectedValue": "\"rec-001 / tmpl-policy-email / 2026-07-18T14:05:00-05:00\"",
    "ActualValue": "\"rec-001 / tmpl-policy-email / 2026-07-18 14:05:00-05\"",
    "Reason": "wrong/null value",
    "SemanticTypeIri": "urn:effortless:pko-extension#CellDisagreement",
    "Name": "effortless-golang|MessageDeliveries.Name @ md-001",
    "Substrate": "effortless-golang",
    "RulebookField": "MessageDeliveries.Name"
   },
   {
    "CellDisagreementId": "effortless-golang|MessageDeliveries.Name|md-002",
    "FieldDisagreement": "effortless-golang|MessageDeliveries.Name",
    "RecordId": "md-002",
    "ExpectedValue": "\"rec-002 / tmpl-policy-email / 2026-07-18T14:05:00-05:00\"",
    "ActualValue": "\"rec-002 / tmpl-policy-email / 2026-07-18 14:05:00-05\"",
    "Reason": "wrong/null value",
    "SemanticTypeIri": "urn:effortless:pko-extension#CellDisagreement",
    "Name": "effortless-golang|MessageDeliveries.Name @ md-002",
    "Substrate": "effortless-golang",
    "RulebookField": "MessageDeliveries.Name"
   },
   {
    "CellDisagreementId": "effortless-golang|MessageDeliveries.Name|md-003",
    "FieldDisagreement": "effortless-golang|MessageDeliveries.Name",
    "RecordId": "md-003",
    "ExpectedValue": "\"rec-003 / tmpl-policy-sms / 2026-07-18T14:06:00-05:00\"",
    "ActualValue": "\"rec-003 / tmpl-policy-sms / 2026-07-18 14:06:00-05\"",
    "Reason": "wrong/null value",
    "SemanticTypeIri": "urn:effortless:pko-extension#CellDisagreement",
    "Name": "effortless-golang|MessageDeliveries.Name @ md-003",
    "Substrate": "effortless-golang",
    "RulebookField": "MessageDeliveries.Name"
   },
   {
    "CellDisagreementId": "effortless-golang|MessageDeliveries.Name|md-004",
    "FieldDisagreement": "effortless-golang|MessageDeliveries.Name",
    "RecordId": "md-004",
    "ExpectedValue": "\"rec-004 / tmpl-policy-sms / 2026-07-18T14:06:00-05:00\"",
    "ActualValue": "\"rec-004 / tmpl-policy-sms / 2026-07-18 14:06:00-05\"",
    "Reason": "wrong/null value",
    "SemanticTypeIri": "urn:effortless:pko-extension#CellDisagreement",
    "Name": "effortless-golang|MessageDeliveries.Name @ md-004",
    "Substrate": "effortless-golang",
    "RulebookField": "MessageDeliveries.Name"
   },
   {
    "CellDisagreementId": "effortless-golang|MessageDeliveries.Name|md-005",
    "FieldDisagreement": "effortless-golang|MessageDeliveries.Name",
    "RecordId": "md-005",
    "ExpectedValue": "\"rec-001 / tmpl-policy-sms / 2026-07-18T21:00:00-05:00\"",
    "ActualValue": "\"rec-001 / tmpl-policy-sms / 2026-07-18 21:00:00-05\"",
    "Reason": "wrong/null value",
    "SemanticTypeIri": "urn:effortless:pko-extension#CellDisagreement",
    "Name": "effortless-golang|MessageDeliveries.Name @ md-005",
    "Substrate": "effortless-golang",
    "RulebookField": "MessageDeliveries.Name"
   },
   {
    "CellDisagreementId": "effortless-golang|MessageDeliveries.Name|md-006",
    "FieldDisagreement": "effortless-golang|MessageDeliveries.Name",
    "RecordId": "md-006",
    "ExpectedValue": "\"rec-005 / tmpl-policy-sms / 2026-07-18T14:06:00-05:00\"",
    "ActualValue": "\"rec-005 / tmpl-policy-sms / 2026-07-18 14:06:00-05\"",
    "Reason": "wrong/null value",
    "SemanticTypeIri": "urn:effortless:pko-extension#CellDisagreement",
    "Name": "effortless-golang|MessageDeliveries.Name @ md-006",
    "Substrate": "effortless-golang",
    "RulebookField": "MessageDeliveries.Name"
   },
   {
    "CellDisagreementId": "effortless-golang|MessageDeliveries.AgeDays|md-001",
    "FieldDisagreement": "effortless-golang|MessageDeliveries.AgeDays",
    "RecordId": "md-001",
    "ExpectedValue": "0",
    "ActualValue": "1",
    "Reason": "wrong/null value",
    "SemanticTypeIri": "urn:effortless:pko-extension#CellDisagreement",
    "Name": "effortless-golang|MessageDeliveries.AgeDays @ md-001",
    "Substrate": "effortless-golang",
    "RulebookField": "MessageDeliveries.AgeDays"
   },
   {
    "CellDisagreementId": "effortless-golang|MessageDeliveries.AgeDays|md-002",
    "FieldDisagreement": "effortless-golang|MessageDeliveries.AgeDays",
    "RecordId": "md-002",
    "ExpectedValue": "0",
    "ActualValue": "1",
    "Reason": "wrong/null value",
    "SemanticTypeIri": "urn:effortless:pko-extension#CellDisagreement",
    "Name": "effortless-golang|MessageDeliveries.AgeDays @ md-002",
    "Substrate": "effortless-golang",
    "RulebookField": "MessageDeliveries.AgeDays"
   },
   {
    "CellDisagreementId": "effortless-golang|MessageDeliveries.AgeDays|md-003",
    "FieldDisagreement": "effortless-golang|MessageDeliveries.AgeDays",
    "RecordId": "md-003",
    "ExpectedValue": "0",
    "ActualValue": "1",
    "Reason": "wrong/null value",
    "SemanticTypeIri": "urn:effortless:pko-extension#CellDisagreement",
    "Name": "effortless-golang|MessageDeliveries.AgeDays @ md-003",
    "Substrate": "effortless-golang",
    "RulebookField": "MessageDeliveries.AgeDays"
   },
   {
    "CellDisagreementId": "effortless-golang|MessageDeliveries.AgeDays|md-004",
    "FieldDisagreement": "effortless-golang|MessageDeliveries.AgeDays",
    "RecordId": "md-004",
    "ExpectedValue": "0",
    "ActualValue": "1",
    "Reason": "wrong/null value",
    "SemanticTypeIri": "urn:effortless:pko-extension#CellDisagreement",
    "Name": "effortless-golang|MessageDeliveries.AgeDays @ md-004",
    "Substrate": "effortless-golang",
    "RulebookField": "MessageDeliveries.AgeDays"
   },
   {
    "CellDisagreementId": "effortless-golang|MessageDeliveries.AgeDays|md-005",
    "FieldDisagreement": "effortless-golang|MessageDeliveries.AgeDays",
    "RecordId": "md-005",
    "ExpectedValue": "0",
    "ActualValue": "1",
    "Reason": "wrong/null value",
    "SemanticTypeIri": "urn:effortless:pko-extension#CellDisagreement",
    "Name": "effortless-golang|MessageDeliveries.AgeDays @ md-005",
    "Substrate": "effortless-golang",
    "RulebookField": "MessageDeliveries.AgeDays"
   },
   {
    "CellDisagreementId": "effortless-golang|MessageDeliveries.AgeDays|md-006",
    "FieldDisagreement": "effortless-golang|MessageDeliveries.AgeDays",
    "RecordId": "md-006",
    "ExpectedValue": "0",
    "ActualValue": "1",
    "Reason": "wrong/null value",
    "SemanticTypeIri": "urn:effortless:pko-extension#CellDisagreement",
    "Name": "effortless-golang|MessageDeliveries.AgeDays @ md-006",
    "Substrate": "effortless-golang",
    "RulebookField": "MessageDeliveries.AgeDays"
   },
   {
    "CellDisagreementId": "effortless-golang|MessageDeliveries.SegmentCount|md-001",
    "FieldDisagreement": "effortless-golang|MessageDeliveries.SegmentCount",
    "RecordId": "md-001",
    "ExpectedValue": "null",
    "ActualValue": "1",
    "Reason": "wrong/null value",
    "SemanticTypeIri": "urn:effortless:pko-extension#CellDisagreement",
    "Name": "effortless-golang|MessageDeliveries.SegmentCount @ md-001",
    "Substrate": "effortless-golang",
    "RulebookField": "MessageDeliveries.SegmentCount"
   },
   {
    "CellDisagreementId": "effortless-golang|MessageDeliveries.SegmentCount|md-002",
    "FieldDisagreement": "effortless-golang|MessageDeliveries.SegmentCount",
    "RecordId": "md-002",
    "ExpectedValue": "null",
    "ActualValue": "1",
    "Reason": "wrong/null value",
    "SemanticTypeIri": "urn:effortless:pko-extension#CellDisagreement",
    "Name": "effortless-golang|MessageDeliveries.SegmentCount @ md-002",
    "Substrate": "effortless-golang",
    "RulebookField": "MessageDeliveries.SegmentCount"
   },
   {
    "CellDisagreementId": "effortless-golang|MessageDeliveries.SegmentCount|md-003",
    "FieldDisagreement": "effortless-golang|MessageDeliveries.SegmentCount",
    "RecordId": "md-003",
    "ExpectedValue": "null",
    "ActualValue": "1",
    "Reason": "wrong/null value",
    "SemanticTypeIri": "urn:effortless:pko-extension#CellDisagreement",
    "Name": "effortless-golang|MessageDeliveries.SegmentCount @ md-003",
    "Substrate": "effortless-golang",
    "RulebookField": "MessageDeliveries.SegmentCount"
   },
   {
    "CellDisagreementId": "effortless-golang|MessageDeliveries.SegmentCount|md-004",
    "FieldDisagreement": "effortless-golang|MessageDeliveries.SegmentCount",
    "RecordId": "md-004",
    "ExpectedValue": "null",
    "ActualValue": "1",
    "Reason": "wrong/null value",
    "SemanticTypeIri": "urn:effortless:pko-extension#CellDisagreement",
    "Name": "effortless-golang|MessageDeliveries.SegmentCount @ md-004",
    "Substrate": "effortless-golang",
    "RulebookField": "MessageDeliveries.SegmentCount"
   },
   {
    "CellDisagreementId": "effortless-golang|MessageDeliveries.SegmentCount|md-005",
    "FieldDisagreement": "effortless-golang|MessageDeliveries.SegmentCount",
    "RecordId": "md-005",
    "ExpectedValue": "null",
    "ActualValue": "1",
    "Reason": "wrong/null value",
    "SemanticTypeIri": "urn:effortless:pko-extension#CellDisagreement",
    "Name": "effortless-golang|MessageDeliveries.SegmentCount @ md-005",
    "Substrate": "effortless-golang",
    "RulebookField": "MessageDeliveries.SegmentCount"
   },
   {
    "CellDisagreementId": "effortless-golang|MessageDeliveries.SegmentCount|md-006",
    "FieldDisagreement": "effortless-golang|MessageDeliveries.SegmentCount",
    "RecordId": "md-006",
    "ExpectedValue": "null",
    "ActualValue": "1",
    "Reason": "wrong/null value",
    "SemanticTypeIri": "urn:effortless:pko-extension#CellDisagreement",
    "Name": "effortless-golang|MessageDeliveries.SegmentCount @ md-006",
    "Substrate": "effortless-golang",
    "RulebookField": "MessageDeliveries.SegmentCount"
   },
   {
    "CellDisagreementId": "effortless-golang|MessageDeliveries.OutstandingAgeDays|md-002",
    "FieldDisagreement": "effortless-golang|MessageDeliveries.OutstandingAgeDays",
    "RecordId": "md-002",
    "ExpectedValue": "0",
    "ActualValue": "1",
    "Reason": "wrong/null value",
    "SemanticTypeIri": "urn:effortless:pko-extension#CellDisagreement",
    "Name": "effortless-golang|MessageDeliveries.OutstandingAgeDays @ md-002",
    "Substrate": "effortless-golang",
    "RulebookField": "MessageDeliveries.OutstandingAgeDays"
   },
   {
    "CellDisagreementId": "effortless-golang|MessageDeliveries.OutstandingAgeDays|md-003",
    "FieldDisagreement": "effortless-golang|MessageDeliveries.OutstandingAgeDays",
    "RecordId": "md-003",
    "ExpectedValue": "0",
    "ActualValue": "1",
    "Reason": "wrong/null value",
    "SemanticTypeIri": "urn:effortless:pko-extension#CellDisagreement",
    "Name": "effortless-golang|MessageDeliveries.OutstandingAgeDays @ md-003",
    "Substrate": "effortless-golang",
    "RulebookField": "MessageDeliveries.OutstandingAgeDays"
   },
   {
    "CellDisagreementId": "effortless-golang|MessageDeliveries.OutstandingAgeDays|md-005",
    "FieldDisagreement": "effortless-golang|MessageDeliveries.OutstandingAgeDays",
    "RecordId": "md-005",
    "ExpectedValue": "0",
    "ActualValue": "1",
    "Reason": "wrong/null value",
    "SemanticTypeIri": "urn:effortless:pko-extension#CellDisagreement",
    "Name": "effortless-golang|MessageDeliveries.OutstandingAgeDays @ md-005",
    "Substrate": "effortless-golang",
    "RulebookField": "MessageDeliveries.OutstandingAgeDays"
   },
   {
    "CellDisagreementId": "effortless-golang|MessageDeliveries.OptOutPhrasePosition|md-003",
    "FieldDisagreement": "effortless-golang|MessageDeliveries.OptOutPhrasePosition",
    "RecordId": "md-003",
    "ExpectedValue": "true",
    "ActualValue": "86",
    "Reason": "wrong/null value",
    "SemanticTypeIri": "urn:effortless:pko-extension#CellDisagreement",
    "Name": "effortless-golang|MessageDeliveries.OptOutPhrasePosition @ md-003",
    "Substrate": "effortless-golang",
    "RulebookField": "MessageDeliveries.OptOutPhrasePosition"
   },
   {
    "CellDisagreementId": "effortless-golang|MessageDeliveries.OptOutPhrasePosition|md-004",
    "FieldDisagreement": "effortless-golang|MessageDeliveries.OptOutPhrasePosition",
    "RecordId": "md-004",
    "ExpectedValue": "true",
    "ActualValue": "86",
    "Reason": "wrong/null value",
    "SemanticTypeIri": "urn:effortless:pko-extension#CellDisagreement",
    "Name": "effortless-golang|MessageDeliveries.OptOutPhrasePosition @ md-004",
    "Substrate": "effortless-golang",
    "RulebookField": "MessageDeliveries.OptOutPhrasePosition"
   },
   {
    "CellDisagreementId": "effortless-golang|MessageDeliveries.OptOutPhrasePosition|md-006",
    "FieldDisagreement": "effortless-golang|MessageDeliveries.OptOutPhrasePosition",
    "RecordId": "md-006",
    "ExpectedValue": "true",
    "ActualValue": "86",
    "Reason": "wrong/null value",
    "SemanticTypeIri": "urn:effortless:pko-extension#CellDisagreement",
    "Name": "effortless-golang|MessageDeliveries.OptOutPhrasePosition @ md-006",
    "Substrate": "effortless-golang",
    "RulebookField": "MessageDeliveries.OptOutPhrasePosition"
   },
   {
    "CellDisagreementId": "effortless-golang|TemplateApprovals.Name|tap-email-001",
    "FieldDisagreement": "effortless-golang|TemplateApprovals.Name",
    "RecordId": "tap-email-001",
    "ExpectedValue": "\"tmpl-policy-email / Approved / 2026-07-17T11:00:00-05:00\"",
    "ActualValue": "\"tmpl-policy-email / Approved / 2026-07-17 11:00:00-05\"",
    "Reason": "wrong/null value",
    "SemanticTypeIri": "urn:effortless:pko-extension#CellDisagreement",
    "Name": "effortless-golang|TemplateApprovals.Name @ tap-email-001",
    "Substrate": "effortless-golang",
    "RulebookField": "TemplateApprovals.Name"
   },
   {
    "CellDisagreementId": "effortless-golang|TemplateApprovals.Name|tap-sms-001",
    "FieldDisagreement": "effortless-golang|TemplateApprovals.Name",
    "RecordId": "tap-sms-001",
    "ExpectedValue": "\"tmpl-policy-sms / Approved / 2026-07-19T10:00:00-05:00\"",
    "ActualValue": "\"tmpl-policy-sms / Approved / 2026-07-19 10:00:00-05\"",
    "Reason": "wrong/null value",
    "SemanticTypeIri": "urn:effortless:pko-extension#CellDisagreement",
    "Name": "effortless-golang|TemplateApprovals.Name @ tap-sms-001",
    "Substrate": "effortless-golang",
    "RulebookField": "TemplateApprovals.Name"
   },
   {
    "CellDisagreementId": "effortless-golang|SendIntents.DeferralAgeHours|si-001",
    "FieldDisagreement": "effortless-golang|SendIntents.DeferralAgeHours",
    "RecordId": "si-001",
    "ExpectedValue": "22",
    "ActualValue": "23",
    "Reason": "wrong/null value",
    "SemanticTypeIri": "urn:effortless:pko-extension#CellDisagreement",
    "Name": "effortless-golang|SendIntents.DeferralAgeHours @ si-001",
    "Substrate": "effortless-golang",
    "RulebookField": "SendIntents.DeferralAgeHours"
   },
   {
    "CellDisagreementId": "effortless-golang|SendIntents.DeferralAgeHours|si-002",
    "FieldDisagreement": "effortless-golang|SendIntents.DeferralAgeHours",
    "RecordId": "si-002",
    "ExpectedValue": "22",
    "ActualValue": "23",
    "Reason": "wrong/null value",
    "SemanticTypeIri": "urn:effortless:pko-extension#CellDisagreement",
    "Name": "effortless-golang|SendIntents.DeferralAgeHours @ si-002",
    "Substrate": "effortless-golang",
    "RulebookField": "SendIntents.DeferralAgeHours"
   },
   {
    "CellDisagreementId": "effortless-golang|SendIntents.DeferralAgeHours|si-003",
    "FieldDisagreement": "effortless-golang|SendIntents.DeferralAgeHours",
    "RecordId": "si-003",
    "ExpectedValue": "22",
    "ActualValue": "23",
    "Reason": "wrong/null value",
    "SemanticTypeIri": "urn:effortless:pko-extension#CellDisagreement",
    "Name": "effortless-golang|SendIntents.DeferralAgeHours @ si-003",
    "Substrate": "effortless-golang",
    "RulebookField": "SendIntents.DeferralAgeHours"
   },
   {
    "CellDisagreementId": "effortless-golang|SendIntents.DeferralAgeHours|si-004",
    "FieldDisagreement": "effortless-golang|SendIntents.DeferralAgeHours",
    "RecordId": "si-004",
    "ExpectedValue": "22",
    "ActualValue": "23",
    "Reason": "wrong/null value",
    "SemanticTypeIri": "urn:effortless:pko-extension#CellDisagreement",
    "Name": "effortless-golang|SendIntents.DeferralAgeHours @ si-004",
    "Substrate": "effortless-golang",
    "RulebookField": "SendIntents.DeferralAgeHours"
   },
   {
    "CellDisagreementId": "effortless-golang|SendIntents.DeferralAgeHours|si-005",
    "FieldDisagreement": "effortless-golang|SendIntents.DeferralAgeHours",
    "RecordId": "si-005",
    "ExpectedValue": "22",
    "ActualValue": "23",
    "Reason": "wrong/null value",
    "SemanticTypeIri": "urn:effortless:pko-extension#CellDisagreement",
    "Name": "effortless-golang|SendIntents.DeferralAgeHours @ si-005",
    "Substrate": "effortless-golang",
    "RulebookField": "SendIntents.DeferralAgeHours"
   },
   {
    "CellDisagreementId": "effortless-golang|SendIntents.DeferralAgeHours|si-006",
    "FieldDisagreement": "effortless-golang|SendIntents.DeferralAgeHours",
    "RecordId": "si-006",
    "ExpectedValue": "22",
    "ActualValue": "23",
    "Reason": "wrong/null value",
    "SemanticTypeIri": "urn:effortless:pko-extension#CellDisagreement",
    "Name": "effortless-golang|SendIntents.DeferralAgeHours @ si-006",
    "Substrate": "effortless-golang",
    "RulebookField": "SendIntents.DeferralAgeHours"
   },
   {
    "CellDisagreementId": "effortless-golang|SendIntents.DeferralAgeHours|si-007",
    "FieldDisagreement": "effortless-golang|SendIntents.DeferralAgeHours",
    "RecordId": "si-007",
    "ExpectedValue": "22",
    "ActualValue": "23",
    "Reason": "wrong/null value",
    "SemanticTypeIri": "urn:effortless:pko-extension#CellDisagreement",
    "Name": "effortless-golang|SendIntents.DeferralAgeHours @ si-007",
    "Substrate": "effortless-golang",
    "RulebookField": "SendIntents.DeferralAgeHours"
   },
   {
    "CellDisagreementId": "effortless-golang|DeliveredCommunications.ContentMatchesApproval|dc-hr4821-email-001",
    "FieldDisagreement": "effortless-golang|DeliveredCommunications.ContentMatchesApproval",
    "RecordId": "dc-hr4821-email-001",
    "ExpectedValue": "true",
    "ActualValue": "null",
    "Reason": "wrong/null value",
    "SemanticTypeIri": "urn:effortless:pko-extension#CellDisagreement",
    "Name": "effortless-golang|DeliveredCommunications.ContentMatchesApproval @ dc-hr4821-email-001",
    "Substrate": "effortless-golang",
    "RulebookField": "DeliveredCommunications.ContentMatchesApproval"
   },
   {
    "CellDisagreementId": "effortless-golang|ProcessMiningRuns.Name|pmr-close-v10-archived",
    "FieldDisagreement": "effortless-golang|ProcessMiningRuns.Name",
    "RecordId": "pmr-close-v10-archived",
    "ExpectedValue": "\"ERP General Ledger Audit Log / 2026-01-01T09:00:00-05:00\"",
    "ActualValue": "\"ERP General Ledger Audit Log / 2026-01-01 09:00:00-05\"",
    "Reason": "wrong/null value",
    "SemanticTypeIri": "urn:effortless:pko-extension#CellDisagreement",
    "Name": "effortless-golang|ProcessMiningRuns.Name @ pmr-close-v10-archived",
    "Substrate": "effortless-golang",
    "RulebookField": "ProcessMiningRuns.Name"
   },
   {
    "CellDisagreementId": "effortless-golang|ProcessMiningRuns.Name|pmr-close-v11-cutoff-bypass",
    "FieldDisagreement": "effortless-golang|ProcessMiningRuns.Name",
    "RecordId": "pmr-close-v11-cutoff-bypass",
    "ExpectedValue": "\"ERP General Ledger Audit Log / 2026-07-17T09:00:00-05:00\"",
    "ActualValue": "\"ERP General Ledger Audit Log / 2026-07-17 09:00:00-05\"",
    "Reason": "wrong/null value",
    "SemanticTypeIri": "urn:effortless:pko-extension#CellDisagreement",
    "Name": "effortless-golang|ProcessMiningRuns.Name @ pmr-close-v11-cutoff-bypass",
    "Substrate": "effortless-golang",
    "RulebookField": "ProcessMiningRuns.Name"
   },
   {
    "CellDisagreementId": "effortless-golang|ProcessMiningRuns.Name|pmr-close-v11-q3",
    "FieldDisagreement": "effortless-golang|ProcessMiningRuns.Name",
    "RecordId": "pmr-close-v11-q3",
    "ExpectedValue": "\"ERP General Ledger Audit Log / 2026-07-15T09:00:00-05:00\"",
    "ActualValue": "\"ERP General Ledger Audit Log / 2026-07-15 09:00:00-05\"",
    "Reason": "wrong/null value",
    "SemanticTypeIri": "urn:effortless:pko-extension#CellDisagreement",
    "Name": "effortless-golang|ProcessMiningRuns.Name @ pmr-close-v11-q3",
    "Substrate": "effortless-golang",
    "RulebookField": "ProcessMiningRuns.Name"
   },
   {
    "CellDisagreementId": "effortless-golang|ProcessMiningRuns.Name|pmr-policy-v1-notify",
    "FieldDisagreement": "effortless-golang|ProcessMiningRuns.Name",
    "RecordId": "pmr-policy-v1-notify",
    "ExpectedValue": "\"Notification Pipeline Delivery Log / 2026-01-10T09:00:00-05:00\"",
    "ActualValue": "\"Notification Pipeline Delivery Log / 2026-01-10 09:00:00-05\"",
    "Reason": "wrong/null value",
    "SemanticTypeIri": "urn:effortless:pko-extension#CellDisagreement",
    "Name": "effortless-golang|ProcessMiningRuns.Name @ pmr-policy-v1-notify",
    "Substrate": "effortless-golang",
    "RulebookField": "ProcessMiningRuns.Name"
   },
   {
    "CellDisagreementId": "effortless-owl|RulebookReleases.Name|erb-pko-1.0.0",
    "FieldDisagreement": "effortless-owl|RulebookReleases.Name",
    "RecordId": "erb-pko-1.0.0",
    "ExpectedValue": "\"1.0.0 / PKO https://w3id.org/pko/2.0.0\"",
    "ActualValue": "null",
    "Reason": "wrong/null value",
    "SemanticTypeIri": "urn:effortless:pko-extension#CellDisagreement",
    "Name": "effortless-owl|RulebookReleases.Name @ erb-pko-1.0.0",
    "Substrate": "effortless-owl",
    "RulebookField": "RulebookReleases.Name"
   },
   {
    "CellDisagreementId": "effortless-owl|RoleAssignments.QualityVerdictIsUnsupported|ra-authority-2026",
    "FieldDisagreement": "effortless-owl|RoleAssignments.QualityVerdictIsUnsupported",
    "RecordId": "ra-authority-2026",
    "ExpectedValue": "true",
    "ActualValue": "null",
    "Reason": "wrong/null value",
    "SemanticTypeIri": "urn:effortless:pko-extension#CellDisagreement",
    "Name": "effortless-owl|RoleAssignments.QualityVerdictIsUnsupported @ ra-authority-2026",
    "Substrate": "effortless-owl",
    "RulebookField": "RoleAssignments.QualityVerdictIsUnsupported"
   },
   {
    "CellDisagreementId": "effortless-owl|RoleAssignments.QualityVerdictIsUnsupported|ra-cfo-2026",
    "FieldDisagreement": "effortless-owl|RoleAssignments.QualityVerdictIsUnsupported",
    "RecordId": "ra-cfo-2026",
    "ExpectedValue": "true",
    "ActualValue": "null",
    "Reason": "wrong/null value",
    "SemanticTypeIri": "urn:effortless:pko-extension#CellDisagreement",
    "Name": "effortless-owl|RoleAssignments.QualityVerdictIsUnsupported @ ra-cfo-2026",
    "Substrate": "effortless-owl",
    "RulebookField": "RoleAssignments.QualityVerdictIsUnsupported"
   },
   {
    "CellDisagreementId": "effortless-owl|RoleAssignments.QualityVerdictIsUnsupported|ra-close-pipeline-2026",
    "FieldDisagreement": "effortless-owl|RoleAssignments.QualityVerdictIsUnsupported",
    "RecordId": "ra-close-pipeline-2026",
    "ExpectedValue": "true",
    "ActualValue": "null",
    "Reason": "wrong/null value",
    "SemanticTypeIri": "urn:effortless:pko-extension#CellDisagreement",
    "Name": "effortless-owl|RoleAssignments.QualityVerdictIsUnsupported @ ra-close-pipeline-2026",
    "Substrate": "effortless-owl",
    "RulebookField": "RoleAssignments.QualityVerdictIsUnsupported"
   },
   {
    "CellDisagreementId": "effortless-owl|RoleAssignments.QualityVerdictIsUnsupported|ra-comms-2026",
    "FieldDisagreement": "effortless-owl|RoleAssignments.QualityVerdictIsUnsupported",
    "RecordId": "ra-comms-2026",
    "ExpectedValue": "true",
    "ActualValue": "null",
    "Reason": "wrong/null value",
    "SemanticTypeIri": "urn:effortless:pko-extension#CellDisagreement",
    "Name": "effortless-owl|RoleAssignments.QualityVerdictIsUnsupported @ ra-comms-2026",
    "Substrate": "effortless-owl",
    "RulebookField": "RoleAssignments.QualityVerdictIsUnsupported"
   },
   {
    "CellDisagreementId": "effortless-owl|RoleAssignments.QualityVerdictIsUnsupported|ra-controller-2026",
    "FieldDisagreement": "effortless-owl|RoleAssignments.QualityVerdictIsUnsupported",
    "RecordId": "ra-controller-2026",
    "ExpectedValue": "true",
    "ActualValue": "null",
    "Reason": "wrong/null value",
    "SemanticTypeIri": "urn:effortless:pko-extension#CellDisagreement",
    "Name": "effortless-owl|RoleAssignments.QualityVerdictIsUnsupported @ ra-controller-2026",
    "Substrate": "effortless-owl",
    "RulebookField": "RoleAssignments.QualityVerdictIsUnsupported"
   },
   {
    "CellDisagreementId": "effortless-owl|RoleAssignments.QualityVerdictIsUnsupported|ra-counsel-2026",
    "FieldDisagreement": "effortless-owl|RoleAssignments.QualityVerdictIsUnsupported",
    "RecordId": "ra-counsel-2026",
    "ExpectedValue": "true",
    "ActualValue": "null",
    "Reason": "wrong/null value",
    "SemanticTypeIri": "urn:effortless:pko-extension#CellDisagreement",
    "Name": "effortless-owl|RoleAssignments.QualityVerdictIsUnsupported @ ra-counsel-2026",
    "Substrate": "effortless-owl",
    "RulebookField": "RoleAssignments.QualityVerdictIsUnsupported"
   },
   {
    "CellDisagreementId": "effortless-owl|RoleAssignments.QualityVerdictIsUnsupported|ra-finance-2026",
    "FieldDisagreement": "effortless-owl|RoleAssignments.QualityVerdictIsUnsupported",
    "RecordId": "ra-finance-2026",
    "ExpectedValue": "true",
    "ActualValue": "null",
    "Reason": "wrong/null value",
    "SemanticTypeIri": "urn:effortless:pko-extension#CellDisagreement",
    "Name": "effortless-owl|RoleAssignments.QualityVerdictIsUnsupp</t>
  </si>
  <si>
    <t xml:space="preserve">orted @ ra-finance-2026",
    "Substrate": "effortless-owl",
    "RulebookField": "RoleAssignments.QualityVerdictIsUnsupported"
   },
   {
    "CellDisagreementId": "effortless-owl|RoleAssignments.QualityVerdictIsUnsupported|ra-new-variance",
    "FieldDisagreement": "effortless-owl|RoleAssignments.QualityVerdictIsUnsupported",
    "RecordId": "ra-new-variance",
    "ExpectedValue": "true",
    "ActualValue": "null",
    "Reason": "wrong/null value",
    "SemanticTypeIri": "urn:effortless:pko-extension#CellDisagreement",
    "Name": "effortless-owl|RoleAssignments.QualityVerdictIsUnsupported @ ra-new-variance",
    "Substrate": "effortless-owl",
    "RulebookField": "RoleAssignments.QualityVerdictIsUnsupported"
   },
   {
    "CellDisagreementId": "effortless-owl|RoleAssignments.QualityVerdictIsUnsupported|ra-notify-pipeline-2026",
    "FieldDisagreement": "effortless-owl|RoleAssignments.QualityVerdictIsUnsupported",
    "RecordId": "ra-notify-pipeline-2026",
    "ExpectedValue": "true",
    "ActualValue": "null",
    "Reason": "wrong/null value",
    "SemanticTypeIri": "urn:effortless:pko-extension#CellDisagreement",
    "Name": "effortless-owl|RoleAssignments.QualityVerdictIsUnsupported @ ra-notify-pipeline-2026",
    "Substrate": "effortless-owl",
    "RulebookField": "RoleAssignments.QualityVerdictIsUnsupported"
   },
   {
    "CellDisagreementId": "effortless-owl|RoleAssignments.QualityVerdictIsUnsupported|ra-old-variance",
    "FieldDisagreement": "effortless-owl|RoleAssignments.QualityVerdictIsUnsupported",
    "RecordId": "ra-old-variance",
    "ExpectedValue": "true",
    "ActualValue": "null",
    "Reason": "wrong/null value",
    "SemanticTypeIri": "urn:effortless:pko-extension#CellDisagreement",
    "Name": "effortless-owl|RoleAssignments.QualityVerdictIsUnsupported @ ra-old-variance",
    "Substrate": "effortless-owl",
    "RulebookField": "RoleAssignments.QualityVerdictIsUnsupported"
   },
   {
    "CellDisagreementId": "effortless-owl|RoleAssignments.QualityVerdictIsUnsupported|ra-policy-ai-2026",
    "FieldDisagreement": "effortless-owl|RoleAssignments.QualityVerdictIsUnsupported",
    "RecordId": "ra-policy-ai-2026",
    "ExpectedValue": "true",
    "ActualValue": "null",
    "Reason": "wrong/null value",
    "SemanticTypeIri": "urn:effortless:pko-extension#CellDisagreement",
    "Name": "effortless-owl|RoleAssignments.QualityVerdictIsUnsupported @ ra-policy-ai-2026",
    "Substrate": "effortless-owl",
    "RulebookField": "RoleAssignments.QualityVerdictIsUnsupported"
   },
   {
    "CellDisagreementId": "effortless-owl|RoleAssignments.QualityVerdictIsUnsupported|ra-policy-owner-2026",
    "FieldDisagreement": "effortless-owl|RoleAssignments.QualityVerdictIsUnsupported",
    "RecordId": "ra-policy-owner-2026",
    "ExpectedValue": "true",
    "ActualValue": "null",
    "Reason": "wrong/null value",
    "SemanticTypeIri": "urn:effortless:pko-extension#CellDisagreement",
    "Name": "effortless-owl|RoleAssignments.QualityVerdictIsUnsupported @ ra-policy-owner-2026",
    "Substrate": "effortless-owl",
    "RulebookField": "RoleAssignments.QualityVerdictIsUnsupported"
   },
   {
    "CellDisagreementId": "effortless-owl|RoleAssignments.QualityVerdictIsUnsupported|ra-steward-2026",
    "FieldDisagreement": "effortless-owl|RoleAssignments.QualityVerdictIsUnsupported",
    "RecordId": "ra-steward-2026",
    "ExpectedValue": "true",
    "ActualValue": "null",
    "Reason": "wrong/null value",
    "SemanticTypeIri": "urn:effortless:pko-extension#CellDisagreement",
    "Name": "effortless-owl|RoleAssignments.QualityVerdictIsUnsupported @ ra-steward-2026",
    "Substrate": "effortless-owl",
    "RulebookField": "RoleAssignments.QualityVerdictIsUnsupported"
   },
   {
    "CellDisagreementId": "effortless-owl|RoleAssignments.IsUnmeasuredAutomationHandover|ra-new-variance",
    "FieldDisagreement": "effortless-owl|RoleAssignments.IsUnmeasuredAutomationHandover",
    "RecordId": "ra-new-variance",
    "ExpectedValue": "true",
    "ActualValue": "null",
    "Reason": "wrong/null value",
    "SemanticTypeIri": "urn:effortless:pko-extension#CellDisagreement",
    "Name": "effortless-owl|RoleAssignments.IsUnmeasuredAutomationHandover @ ra-new-variance",
    "Substrate": "effortless-owl",
    "RulebookField": "RoleAssignments.IsUnmeasuredAutomationHandover"
   },
   {
    "CellDisagreementId": "effortless-owl|ProcedureVersions.DaysSinceModified|close-v1.0.0",
    "FieldDisagreement": "effortless-owl|ProcedureVersions.DaysSinceModified",
    "RecordId": "close-v1.0.0",
    "ExpectedValue": "109",
    "ActualValue": "\"110\"",
    "Reason": "wrong/null value",
    "SemanticTypeIri": "urn:effortless:pko-extension#CellDisagreement",
    "Name": "effortless-owl|ProcedureVersions.DaysSinceModified @ close-v1.0.0",
    "Substrate": "effortless-owl",
    "RulebookField": "ProcedureVersions.DaysSinceModified"
   },
   {
    "CellDisagreementId": "effortless-owl|ProcedureVersions.DaysSinceModified|close-v1.1.0",
    "FieldDisagreement": "effortless-owl|ProcedureVersions.DaysSinceModified",
    "RecordId": "close-v1.1.0",
    "ExpectedValue": "16",
    "ActualValue": "\"17\"",
    "Reason": "wrong/null value",
    "SemanticTypeIri": "urn:effortless:pko-extension#CellDisagreement",
    "Name": "effortless-owl|ProcedureVersions.DaysSinceModified @ close-v1.1.0",
    "Substrate": "effortless-owl",
    "RulebookField": "ProcedureVersions.DaysSinceModified"
   },
   {
    "CellDisagreementId": "effortless-owl|ProcedureVersions.DaysSinceModified|policy-v1.0.0",
    "FieldDisagreement": "effortless-owl|ProcedureVersions.DaysSinceModified",
    "RecordId": "policy-v1.0.0",
    "ExpectedValue": "0",
    "ActualValue": "\"1\"",
    "Reason": "wrong/null value",
    "SemanticTypeIri": "urn:effortless:pko-extension#CellDisagreement",
    "Name": "effortless-owl|ProcedureVersions.DaysSinceModified @ policy-v1.0.0",
    "Substrate": "effortless-owl",
    "RulebookField": "ProcedureVersions.DaysSinceModified"
   },
   {
    "CellDisagreementId": "effortless-owl|ProcedureVersions.IncomingSupersessionCount|close-v1.0.0",
    "FieldDisagreement": "effortless-owl|ProcedureVersions.IncomingSupersessionCount",
    "RecordId": "close-v1.0.0",
    "ExpectedValue": "1",
    "ActualValue": "0",
    "Reason": "wrong/null value",
    "SemanticTypeIri": "urn:effortless:pko-extension#CellDisagreement",
    "Name": "effortless-owl|ProcedureVersions.IncomingSupersessionCount @ close-v1.0.0",
    "Substrate": "effortless-owl",
    "RulebookField": "ProcedureVersions.IncomingSupersessionCount"
   },
   {
    "CellDisagreementId": "effortless-owl|ProcedureVersions.IsStillReferenced|close-v1.0.0",
    "FieldDisagreement": "effortless-owl|ProcedureVersions.IsStillReferenced",
    "RecordId": "close-v1.0.0",
    "ExpectedValue": "true",
    "ActualValue": "false",
    "Reason": "wrong/null value",
    "SemanticTypeIri": "urn:effortless:pko-extension#CellDisagreement",
    "Name": "effortless-owl|ProcedureVersions.IsStillReferenced @ close-v1.0.0",
    "Substrate": "effortless-owl",
    "RulebookField": "ProcedureVersions.IsStillReferenced"
   },
   {
    "CellDisagreementId": "effortless-owl|ProcedureVersions.IsLoadBearingOrphan|close-v1.0.0",
    "FieldDisagreement": "effortless-owl|ProcedureVersions.IsLoadBearingOrphan",
    "RecordId": "close-v1.0.0",
    "ExpectedValue": "true",
    "ActualValue": "false",
    "Reason": "wrong/null value",
    "SemanticTypeIri": "urn:effortless:pko-extension#CellDisagreement",
    "Name": "effortless-owl|ProcedureVersions.IsLoadBearingOrphan @ close-v1.0.0",
    "Substrate": "effortless-owl",
    "RulebookField": "ProcedureVersions.IsLoadBearingOrphan"
   },
   {
    "CellDisagreementId": "effortless-owl|ProcedureVersions.IsCleanlyRetired|close-v1.0.0",
    "FieldDisagreement": "effortless-owl|ProcedureVersions.IsCleanlyRetired",
    "RecordId": "close-v1.0.0",
    "ExpectedValue": "false",
    "ActualValue": "true",
    "Reason": "wrong/null value",
    "SemanticTypeIri": "urn:effortless:pko-extension#CellDisagreement",
    "Name": "effortless-owl|ProcedureVersions.IsCleanlyRetired @ close-v1.0.0",
    "Substrate": "effortless-owl",
    "RulebookField": "ProcedureVersions.IsCleanlyRetired"
   },
   {
    "CellDisagreementId": "effortless-owl|ProcedureVersions.DaysSinceLastReview|close-v1.1.0",
    "FieldDisagreement": "effortless-owl|ProcedureVersions.DaysSinceLastReview",
    "RecordId": "close-v1.1.0",
    "ExpectedValue": "17",
    "ActualValue": "null",
    "Reason": "wrong/null value",
    "SemanticTypeIri": "urn:effortless:pko-extension#CellDisagreement",
    "Name": "effortless-owl|ProcedureVersions.DaysSinceLastReview @ close-v1.1.0",
    "Substrate": "effortless-owl",
    "RulebookField": "ProcedureVersions.DaysSinceLastReview"
   },
   {
    "CellDisagreementId": "effortless-owl|ProcedureVersions.DaysSinceLastReview|policy-v1.0.0",
    "FieldDisagreement": "effortless-owl|ProcedureVersions.DaysSinceLastReview",
    "RecordId": "policy-v1.0.0",
    "ExpectedValue": "1",
    "ActualValue": "null",
    "Reason": "wrong/null value",
    "SemanticTypeIri": "urn:effortless:pko-extension#CellDisagreement",
    "Name": "effortless-owl|ProcedureVersions.DaysSinceLastReview @ policy-v1.0.0",
    "Substrate": "effortless-owl",
    "RulebookField": "ProcedureVersions.DaysSinceLastReview"
   },
   {
    "CellDisagreementId": "effortless-owl|ProcedureVersions.WasModifiedSinceLastReview|close-v1.1.0",
    "FieldDisagreement": "effortless-owl|ProcedureVersions.WasModifiedSinceLastReview",
    "RecordId": "close-v1.1.0",
    "ExpectedValue": "true",
    "ActualValue": "null",
    "Reason": "wrong/null value",
    "SemanticTypeIri": "urn:effortless:pko-extension#CellDisagreement",
    "Name": "effortless-owl|ProcedureVersions.WasModifiedSinceLastReview @ close-v1.1.0",
    "Substrate": "effortless-owl",
    "RulebookField": "ProcedureVersions.WasModifiedSinceLastReview"
   },
   {
    "CellDisagreementId": "effortless-owl|ProcedureVersions.WasModifiedSinceLastReview|policy-v1.0.0",
    "FieldDisagreement": "effortless-owl|ProcedureVersions.WasModifiedSinceLastReview",
    "RecordId": "policy-v1.0.0",
    "ExpectedValue": "true",
    "ActualValue": "null",
    "Reason": "wrong/null value",
    "SemanticTypeIri": "urn:effortless:pko-extension#CellDisagreement",
    "Name": "effortless-owl|ProcedureVersions.WasModifiedSinceLastReview @ policy-v1.0.0",
    "Substrate": "effortless-owl",
    "RulebookField": "ProcedureVersions.WasModifiedSinceLastReview"
   },
   {
    "CellDisagreementId": "effortless-owl|ProcedureVersions.HasUnwitnessedChange|close-v1.1.0",
    "FieldDisagreement": "effortless-owl|ProcedureVersions.HasUnwitnessedChange",
    "RecordId": "close-v1.1.0",
    "ExpectedValue": "true",
    "ActualValue": "null",
    "Reason": "wrong/null value",
    "SemanticTypeIri": "urn:effortless:pko-extension#CellDisagreement",
    "Name": "effortless-owl|ProcedureVersions.HasUnwitnessedChange @ close-v1.1.0",
    "Substrate": "effortless-owl",
    "RulebookField": "ProcedureVersions.HasUnwitnessedChange"
   },
   {
    "CellDisagreementId": "effortless-owl|ProcedureVersions.HasUnwitnessedChange|policy-v1.0.0",
    "FieldDisagreement": "effortless-owl|ProcedureVersions.HasUnwitnessedChange",
    "RecordId": "policy-v1.0.0",
    "ExpectedValue": "true",
    "ActualValue": "null",
    "Reason": "wrong/null value",
    "SemanticTypeIri": "urn:effortless:pko-extension#CellDisagreement",
    "Name": "effortless-owl|ProcedureVersions.HasUnwitnessedChange @ policy-v1.0.0",
    "Substrate": "effortless-owl",
    "RulebookField": "ProcedureVersions.HasUnwitnessedChange"
   },
   {
    "CellDisagreementId": "effortless-owl|ProcedureVersionLinks.SupersededVersionKey|close-v1.0.0-to-v1.1.0",
    "FieldDisagreement": "effortless-owl|ProcedureVersionLinks.SupersededVersionKey",
    "RecordId": "close-v1.0.0-to-v1.1.0",
    "ExpectedValue": "\"close-v1.0.0\"",
    "ActualValue": "null",
    "Reason": "wrong/null value",
    "SemanticTypeIri": "urn:effortless:pko-extension#CellDisagreement",
    "Name": "effortless-owl|ProcedureVersionLinks.SupersededVersionKey @ close-v1.0.0-to-v1.1.0",
    "Substrate": "effortless-owl",
    "RulebookField": "ProcedureVersionLinks.SupersededVersionKey"
   },
   {
    "CellDisagreementId": "effortless-owl|Steps.StaleBindingCount|close-02",
    "FieldDisagreement": "effortless-owl|Steps.StaleBindingCount",
    "RecordId": "close-02",
    "ExpectedValue": "1",
    "ActualValue": "0",
    "Reason": "wrong/null value",
    "SemanticTypeIri": "urn:effortless:pko-extension#CellDisagreement",
    "Name": "effortless-owl|Steps.StaleBindingCount @ close-02",
    "Substrate": "effortless-owl",
    "RulebookField": "Steps.StaleBindingCount"
   },
   {
    "CellDisagreementId": "effortless-owl|Steps.StaleBindingCount|policy-01",
    "FieldDisagreement": "effortless-owl|Steps.StaleBindingCount",
    "RecordId": "policy-01",
    "ExpectedValue": "1",
    "ActualValue": "0",
    "Reason": "wrong/null value",
    "SemanticTypeIri": "urn:effortless:pko-extension#CellDisagreement",
    "Name": "effortless-owl|Steps.StaleBindingCount @ policy-01",
    "Substrate": "effortless-owl",
    "RulebookField": "Steps.StaleBindingCount"
   },
   {
    "CellDisagreementId": "effortless-owl|Steps.StaleBindingCount|policy-07",
    "FieldDisagreement": "effortless-owl|Steps.StaleBindingCount",
    "RecordId": "policy-07",
    "ExpectedValue": "1",
    "ActualValue": "0",
    "Reason": "wrong/null value",
    "SemanticTypeIri": "urn:effortless:pko-extension#CellDisagreement",
    "Name": "effortless-owl|Steps.StaleBindingCount @ policy-07",
    "Substrate": "effortless-owl",
    "RulebookField": "Steps.StaleBindingCount"
   },
   {
    "CellDisagreementId": "effortless-owl|Steps.AuthoritativeStaleCount|close-02",
    "FieldDisagreement": "effortless-owl|Steps.AuthoritativeStaleCount",
    "RecordId": "close-02",
    "ExpectedValue": "1",
    "ActualValue": "0",
    "Reason": "wrong/null value",
    "SemanticTypeIri": "urn:effortless:pko-extension#CellDisagreement",
    "Name": "effortless-owl|Steps.AuthoritativeStaleCount @ close-02",
    "Substrate": "effortless-owl",
    "RulebookField": "Steps.AuthoritativeStaleCount"
   },
   {
    "CellDisagreementId": "effortless-owl|Steps.AuthoritativeStaleCount|policy-01",
    "FieldDisagreement": "effortless-owl|Steps.AuthoritativeStaleCount",
    "RecordId": "policy-01",
    "ExpectedValue": "1",
    "ActualValue": "0",
    "Reason": "wrong/null value",
    "SemanticTypeIri": "urn:effortless:pko-extension#CellDisagreement",
    "Name": "effortless-owl|Steps.AuthoritativeStaleCount @ policy-01",
    "Substrate": "effortless-owl",
    "RulebookField": "Steps.AuthoritativeStaleCount"
   },
   {
    "CellDisagreementId": "effortless-owl|Steps.AuthoritativeStaleCount|policy-07",
    "FieldDisagreement": "effortless-owl|Steps.AuthoritativeStaleCount",
    "RecordId": "policy-07",
    "ExpectedValue": "1",
    "ActualValue": "0",
    "Reason": "wrong/null value",
    "SemanticTypeIri": "urn:effortless:pko-extension#CellDisagreement",
    "Name": "effortless-owl|Steps.AuthoritativeStaleCount @ policy-07",
    "Substrate": "effortless-owl",
    "RulebookField": "Steps.AuthoritativeStaleCount"
   },
   {
    "CellDisagreementId": "effortless-owl|Steps.StaleAuthoritativeBindingCount|close-02",
    "FieldDisagreement": "effortless-owl|Steps.StaleAuthoritativeBindingCount",
    "RecordId": "close-02",
    "ExpectedValue": "1",
    "ActualValue": "0",
    "Reason": "wrong/null value",
    "SemanticTypeIri": "urn:effortless:pko-extension#CellDisagreement",
    "Name": "effortless-owl|Steps.StaleAuthoritativeBindingCount @ close-02",
    "Substrate": "effortless-owl",
    "RulebookField": "Steps.StaleAuthoritativeBindingCount"
   },
   {
    "CellDisagreementId": "effortless-owl|Steps.StaleAuthoritativeBindingCount|policy-01",
    "FieldDisagreement": "effortless-owl|Steps.StaleAuthoritativeBindingCount",
    "RecordId": "policy-01",
    "ExpectedValue": "1",
    "ActualValue": "0",
    "Reason": "wrong/null value",
    "SemanticTypeIri": "urn:effortless:pko-extension#CellDisagreement",
    "Name": "effortless-owl|Steps.StaleAuthoritativeBindingCount @ policy-01",
    "Substrate": "effortless-owl",
    "RulebookField": "Steps.StaleAuthoritativeBindingCount"
   },
   {
    "CellDisagreementId": "effortless-owl|Steps.StaleAuthoritativeBindingCount|policy-07",
    "FieldDisagreement": "effortless-owl|Steps.StaleAuthoritativeBindingCount",
    "RecordId": "policy-07",
    "ExpectedValue": "1",
    "ActualValue": "0",
    "Reason": "wrong/null value",
    "SemanticTypeIri": "urn:effortless:pko-extension#CellDisagreement",
    "Name": "effortless-owl|Steps.StaleAuthoritativeBindingCount @ policy-07",
    "Substrate": "effortless-owl",
    "RulebookField": "Steps.StaleAuthoritativeBindingCount"
   },
   {
    "CellDisagreementId": "effortless-owl|Steps.InputsAreFresh|close-02",
    "FieldDisagreement": "effortless-owl|Steps.InputsAreFresh",
    "RecordId": "close-02",
    "ExpectedValue": "false",
    "ActualValue": "true",
    "Reason": "wrong/null value",
    "SemanticTypeIri": "urn:effortless:pko-extension#CellDisagreement",
    "Name": "effortless-owl|Steps.InputsAreFresh @ close-02",
    "Substrate": "effortless-owl",
    "RulebookField": "Steps.InputsAreFresh"
   },
   {
    "CellDisagreementId": "effortless-owl|Steps.InputsAreFresh|policy-01",
    "FieldDisagreement": "effortless-owl|Steps.InputsAreFresh",
    "RecordId": "policy-01",
    "ExpectedValue": "false",
    "ActualValue": "true",
    "Reason": "wrong/null value",
    "SemanticTypeIri": "urn:effortless:pko-extension#CellDisagreement",
    "Name": "effortless-owl|Steps.InputsAreFresh @ policy-01",
    "Substrate": "effortless-owl",
    "RulebookField": "Steps.InputsAreFresh"
   },
   {
    "CellDisagreementId": "effortless-owl|Steps.InputsAreFresh|policy-07",
    "FieldDisagreement": "effortless-owl|Steps.InputsAreFresh",
    "RecordId": "policy-07",
    "ExpectedValue": "false",
    "ActualValue": "true",
    "Reason": "wrong/null value",
    "SemanticTypeIri": "urn:effortless:pko-extension#CellDisagreement",
    "Name": "effortless-owl|Steps.InputsAreFresh @ policy-07",
    "Substrate": "effortless-owl",
    "RulebookField": "Steps.InputsAreFresh"
   },
   {
    "CellDisagreementId": "effortless-owl|StepTransitions.CountOfFromStepExecutions|close-01-to-close-02",
    "FieldDisagreement": "effortless-owl|StepTransitions.CountOfFromStepExecutions",
    "RecordId": "close-01-to-close-02",
    "ExpectedValue": "1",
    "ActualValue": "0",
    "Reason": "wrong/null value",
    "SemanticTypeIri": "urn:effortless:pko-extension#CellDisagreement",
    "Name": "effortless-owl|StepTransitions.CountOfFromStepExecutions @ close-01-to-close-02",
    "Substrate": "effortless-owl",
    "RulebookField": "StepTransitions.CountOfFromStepExecutions"
   },
   {
    "CellDisagreementId": "effortless-owl|StepTransitions.CountOfFromStepExecutions|close-02-to-close-03",
    "FieldDisagreement": "effortless-owl|StepTransitions.CountOfFromStepExecutions",
    "RecordId": "close-02-to-close-03",
    "ExpectedValue": "1",
    "ActualValue": "0",
    "Reason": "wrong/null value",
    "SemanticTypeIri": "urn:effortless:pko-extension#CellDisagreement",
    "Name": "effortless-owl|StepTransitions.CountOfFromStepExecutions @ close-02-to-close-03",
    "Substrate": "effortless-owl",
    "RulebookField": "StepTransitions.CountOfFromStepExecutions"
   },
   {
    "CellDisagreementId": "effortless-owl|StepTransitions.CountOfFromStepExecutions|close-03-to-close-04",
    "FieldDisagreement": "effortless-owl|StepTransitions.CountOfFromStepExecutions",
    "RecordId": "close-03-to-close-04",
    "ExpectedValue": "1",
    "ActualValue": "0",
    "Reason": "wrong/null value",
    "SemanticTypeIri": "urn:effortless:pko-extension#CellDisagreement",
    "Name": "effortless-owl|StepTransitions.CountOfFromStepExecutions @ close-03-to-close-04",
    "Substrate": "effortless-owl",
    "RulebookField": "StepTransitions.CountOfFromStepExecutions"
   },
   {
    "CellDisagreementId": "effortless-owl|StepTransitions.CountOfFromStepExecutions|close-04-fallback-close-03",
    "FieldDisagreement": "effortless-owl|StepTransitions.CountOfFromStepExecutions",
    "RecordId": "close-04-fallback-close-03",
    "ExpectedValue": "1",
    "ActualValue": "0",
    "Reason": "wrong/null value",
    "SemanticTypeIri": "urn:effortless:pko-extension#CellDisagreement",
    "Name": "effortless-owl|StepTransitions.CountOfFromStepExecutions @ close-04-fallback-close-03",
    "Substrate": "effortless-owl",
    "RulebookField": "StepTransitions.CountOfFromStepExecutions"
   },
   {
    "CellDisagreementId": "effortless-owl|StepTransitions.CountOfFromStepExecutions|close-04-to-close-05",
    "FieldDisagreement": "effortless-owl|StepTransitions.CountOfFromStepExecutions",
    "RecordId": "close-04-to-close-05",
    "ExpectedValue": "1",
    "ActualValue": "0",
    "Reason": "wrong/null value",
    "SemanticTypeIri": "urn:effortless:pko-extension#CellDisagreement",
    "Name": "effortless-owl|StepTransitions.CountOfFromStepExecutions @ close-04-to-close-05",
    "Substrate": "effortless-owl",
    "RulebookField": "StepTransitions.CountOfFromStepExecutions"
   },
   {
    "CellDisagreementId": "effortless-owl|StepTransitions.CountOfFromStepExecutions|close-05-to-close-06",
    "FieldDisagreement": "effortless-owl|StepTransitions.CountOfFromStepExecutions",
    "RecordId": "close-05-to-close-06",
    "ExpectedValue": "1",
    "ActualValue": "0",
    "Reason": "wrong/null value",
    "SemanticTypeIri": "urn:effortless:pko-extension#CellDisagreement",
    "Name": "effortless-owl|StepTransitions.CountOfFromStepExecutions @ close-05-to-close-06",
    "Substrate": "effortless-owl",
    "RulebookField": "StepTransitions.CountOfFromStepExecutions"
   },
   {
    "CellDisagreementId": "effortless-owl|StepTransitions.CountOfFromStepExecutions|close-06-return-close-04",
    "FieldDisagreement": "effortless-owl|StepTransitions.CountOfFromStepExecutions",
    "RecordId": "close-06-return-close-04",
    "ExpectedValue": "1",
    "ActualValue": "0",
    "Reason": "wrong/null value",
    "SemanticTypeIri": "urn:effortless:pko-extension#CellDisagreement",
    "Name": "effortless-owl|StepTransitions.CountOfFromStepExecutions @ close-06-return-close-04",
    "Substrate": "effortless-owl",
    "RulebookField": "StepTransitions.CountOfFromStepExecutions"
   },
   {
    "CellDisagreementId": "effortless-owl|StepTransitions.CountOfFromStepExecutions|close-06-to-close-07",
    "FieldDisagreement": "effortless-owl|StepTransitions.CountOfFromStepExecutions",
    "RecordId": "close-06-to-close-07",
    "ExpectedValue": "1",
    "ActualValue": "0",
    "Reason": "wrong/null value",
    "SemanticTypeIri": "urn:effortless:pko-extension#CellDisagreement",
    "Name": "effortless-owl|StepTransitions.CountOfFromStepExecutions @ close-06-to-close-07",
    "Substrate": "effortless-owl",
    "RulebookField": "StepTransitions.CountOfFromStepExecutions"
   },
   {
    "CellDisagreementId": "effortless-owl|StepTransitions.CountOfFromStepExecutions|close-07-to-close-08",
    "FieldDisagreement": "effortless-owl|StepTransitions.CountOfFromStepExecutions",
    "RecordId": "close-07-to-close-08",
    "ExpectedValue": "1",
    "ActualValue": "0",
    "Reason": "wrong/null value",
    "SemanticTypeIri": "urn:effortless:pko-extension#CellDisagreement",
    "Name": "effortless-owl|StepTransitions.CountOfFromStepExecutions @ close-07-to-close-08",
    "Substrate": "effortless-owl",
    "RulebookField": "StepTransitions.CountOfFromStepExecutions"
   },
   {
    "CellDisagreementId": "effortless-owl|StepTransitions.CountOfFromStepExecutions|policy-01-to-policy-02",
    "FieldDisagreement": "effortless-owl|StepTransitions.CountOfFromStepExecutions",
    "RecordId": "policy-01-to-policy-02",
    "ExpectedValue": "1",
    "ActualValue": "0",
    "Reason": "wrong/null value",
    "SemanticTypeIri": "urn:effortless:pko-extension#CellDisagreement",
    "Name": "effortless-owl|StepTransitions.CountOfFromStepExecutions @ policy-01-to-policy-02",
    "Substrate": "effortless-owl",
    "RulebookField": "StepTransitions.CountOfFromStepExecutions"
   },
   {
    "CellDisagreementId": "effortless-owl|StepTransitions.CountOfFromStepExecutions|policy-02-to-policy-03",
    "FieldDisagreement": "effortless-owl|StepTransitions.CountOfFromStepExecutions",
    "RecordId": "policy-02-to-policy-03",
    "ExpectedValue": "1",
    "ActualValue": "0",
    "Reason": "wrong/null value",
    "SemanticTypeIri": "urn:effortless:pko-extension#CellDisagreement",
    "Name": "effortless-owl|StepTransitions.CountOfFromStepExecutions @ policy-02-to-policy-03",
    "Substrate": "effortless-owl",
    "RulebookField": "StepTransitions.CountOfFromStepExecutions"
   },
   {
    "CellDisagreementId": "effortless-owl|StepTransitions.CountOfFromStepExecutions|policy-03-to-policy-04",
    "FieldDisagreement": "effortless-owl|StepTransitions.CountOfFromStepExecutions",
    "RecordId": "policy-03-to-policy-04",
    "ExpectedValue": "1",
    "ActualValue": "0",
    "Reason": "wrong/null value",
    "SemanticTypeIri": "urn:effortless:pko-extension#CellDisagreement",
    "Name": "effortless-owl|StepTransitions.CountOfFromStepExecutions @ policy-03-to-policy-04",
    "Substrate": "effortless-owl",
    "RulebookField": "StepTransitions.CountOfFromStepExecutions"
   },
   {
    "CellDisagreementId": "effortless-owl|StepTransitions.CountOfFromStepExecutions|policy-04-return-policy-03",
    "FieldDisagreement": "effortless-owl|StepTransitions.CountOfFromStepExecutions",
    "RecordId": "policy-04-return-policy-03",
    "ExpectedValue": "1",
    "ActualValue": "0",
    "Reason": "wrong/null value",
    "SemanticTypeIri": "urn:effortless:pko-extension#CellDisagreement",
    "Name": "effortless-owl|StepTransitions.CountOfFromStepExecutions @ policy-04-return-policy-03",
    "Substrate": "effortless-owl",
    "RulebookField": "StepTransitions.CountOfFromStepExecutions"
   },
   {
    "CellDisagreementId": "effortless-owl|StepTransitions.CountOfFromStepExecutions|policy-04-to-policy-05",
    "FieldDisagreement": "effortless-owl|StepTransitions.CountOfFromStepExecutions",
    "RecordId": "policy-04-to-policy-05",
    "ExpectedValue": "1",
    "ActualValue": "0",
    "Reason": "wrong/null value",
    "SemanticTypeIri": "urn:effortless:pko-extension#CellDisagreement",
    "Name": "effortless-owl|StepTransitions.CountOfFromStepExecutions @ policy-04-to-policy-05",
    "Substrate": "effortless-owl",
    "RulebookField": "StepTransitions.CountOfFromStepExecutions"
   },
   {
    "CellDisagreementId": "effortless-owl|StepTransitions.CountOfToStepExecutions|close-01-to-close-02",
    "FieldDisagreement": "effortless-owl|StepTransitions.CountOfToStepExecutions",
    "RecordId": "close-01-to-close-02",
    "ExpectedValue": "1",
    "ActualValue": "0",
    "Reason": "wrong/null value",
    "SemanticTypeIri": "urn:effortless:pko-extension#CellDisagreement",
    "Name": "effortless-owl|StepTransitions.CountOfToStepExecutions @ close-01-to-close-02",
    "Substrate": "effortless-owl",
    "RulebookField": "StepTransitions.CountOfToStepExecutions"
   },
   {
    "CellDisagreementId": "effortless-owl|StepTransitions.CountOfToStepExecutions|close-02-to-close-03",
    "FieldDisagreement": "effortless-owl|StepTransitions.CountOfToStepExecutions",
    "RecordId": "close-02-to-close-03",
    "ExpectedValue": "1",
    "ActualValue": "0",
    "Reason": "wrong/null value",
    "SemanticTypeIri": "urn:effortless:pko-extension#CellDisagreement",
    "Name": "effortless-owl|StepTransitions.CountOfToStepExecutions @ close-02-to-close-03",
    "Substrate": "effortless-owl",
    "RulebookField": "StepTransitions.CountOfToStepExecutions"
   },
   {
    "CellDisagreementId": "effortless-owl|StepTransitions.CountOfToStepExecutions|close-03-to-close-04",
    "FieldDisagreement": "effortless-owl|StepTransitions.CountOfToStepExecutions",
    "RecordId": "close-03-to-close-04",
    "ExpectedValue": "1",
    "ActualValue": "0",
    "Reason": "wrong/null value",
    "SemanticTypeIri": "urn:effortless:pko-extension#CellDisagreement",
    "Name": "effortless-owl|StepTransitions.CountOfToStepExecutions @ close-03-to-close-04",
    "Substrate": "effortless-owl",
    "RulebookField": "StepTransitions.CountOfToStepExecutions"
   },
   {
    "CellDisagreementId": "effortless-owl|StepTransitions.CountOfToStepExecutions|close-04-fallback-close-03",
    "FieldDisagreement": "effortless-owl|StepTransitions.CountOfToStepExecutions",
    "RecordId": "close-04-fallback-close-03",
    "ExpectedValue": "1",
    "ActualValue": "0",
    "Reason": "wrong/null value",
    "SemanticTypeIri": "urn:effortless:pko-extension#CellDisagreement",
    "Name": "effortless-owl|StepTransitions.CountOfToStepExecutions @ close-04-fallback-close-03",
    "Substrate": "effortless-owl",
    "RulebookField": "StepTransitions.CountOfToStepExecutions"
   },
   {
    "CellDisagreementId": "effortless-owl|StepTransitions.CountOfToStepExecutions|close-04-to-close-05",
    "FieldDisagreement": "effortless-owl|StepTransitions.CountOfToStepExecutions",
    "RecordId": "close-04-to-close-05",
    "ExpectedValue": "1",
    "ActualValue": "0",
    "Reason": "wrong/null value",
    "SemanticTypeIri": "urn:effortless:pko-extension#CellDisagreement",
    "Name": "effortless-owl|StepTransitions.CountOfToStepExecutions @ close-04-to-close-05",
    "Substrate": "effortless-owl",
    "RulebookField": "StepTransitions.CountOfToStepExecutions"
   },
   {
    "CellDisagreementId": "effortless-owl|StepTransitions.CountOfToStepExecutions|close-05-to-close-06",
    "FieldDisagreement": "effortless-owl|StepTransitions.CountOfToStepExecutions",
    "RecordId": "close-05-to-close-06",
    "ExpectedValue": "1",
    "ActualValue": "0",
    "Reason": "wrong/null value",
    "SemanticTypeIri": "urn:effortless:pko-extension#CellDisagreement",
    "Name": "effortless-owl|StepTransitions.CountOfToStepExecutions @ close-05-to-close-06",
    "Substrate": "effortless-owl",
    "RulebookField": "StepTransitions.CountOfToStepExecutions"
   },
   {
    "CellDisagreementId": "effortless-owl|StepTransitions.CountOfToStepExecutions|close-06-return-close-04",
    "FieldDisagreement": "effortless-owl|StepTransitions.CountOfToStepExecutions",
    "RecordId": "close-06-return-close-04",
    "ExpectedValue": "1",
    "ActualValue": "0",
    "Reason": "wrong/null value",
    "SemanticTypeIri": "urn:effortless:pko-extension#CellDisagreement",
    "Name": "effortless-owl|StepTransitions.CountOfToStepExecutions @ close-06-return-close-04",
    "Substrate": "effortless-owl",
    "RulebookField": "StepTransitions.CountOfToStepExecutions"
   },
   {
    "CellDisagreementId": "effortless-owl|StepTransitions.CountOfToStepExecutions|close-06-to-close-07",
    "FieldDisagreement": "effortless-owl|StepTransitions.CountOfToStepExecutions",
    "RecordId": "close-06-to-close-07",
    "ExpectedValue": "1",
    "ActualValue": "0",
    "Reason": "wrong/null value",
    "SemanticTypeIri": "urn:effortless:pko-extension#CellDisagreement",
    "Name": "effortless-owl|StepTransitions.CountOfToStepExecutions @ close-06-to-close-07",
    "Substrate": "effortless-owl",
    "RulebookField": "StepTransitions.CountOfToStepExecutions"
   },
   {
    "CellDisagreementId": "effortless-owl|StepTransitions.CountOfToStepExecutions|close-07-to-close-08",
    "FieldDisagreement": "effortless-owl|StepTransitions.CountOfToStepExecutions",
    "RecordId": "close-07-to-close-08",
    "ExpectedValue": "1",
    "ActualValue": "0",
    "Reason": "wrong/null value",
    "SemanticTypeIri": "urn:effortless:pko-extension#CellDisagreement",
    "Name": "effortless-owl|StepTransitions.CountOfToStepExecutions @ close-07-to-close-08",
    "Substrate": "effortless-owl",
    "RulebookField": "StepTransitions.CountOfToStepExecutions"
   },
   {
    "CellDisagreementId": "effortless-owl|StepTransitions.CountOfToStepExecutions|policy-01-to-policy-02",
    "FieldDisagreement": "effortless-owl|StepTransitions.CountOfToStepExecutions",
    "RecordId": "policy-01-to-policy-02",
    "ExpectedValue": "1",
    "ActualValue": "0",
    "Reason": "wrong/null value",
    "SemanticTypeIri": "urn:effortless:pko-extension#CellDisagreement",
    "Name": "effortless-owl|StepTransitions.CountOfToStepExecutions @ policy-01-to-policy-02",
    "Substrate": "effortless-owl",
    "RulebookField": "StepTransitions.CountOfToStepExecutions"
   },
   {
    "CellDisagreementId": "effortless-owl|StepTransitions.CountOfToStepExecutions|policy-02-to-policy-03",
    "Field</t>
  </si>
  <si>
    <t xml:space="preserve">Disagreement": "effortless-owl|StepTransitions.CountOfToStepExecutions",
    "RecordId": "policy-02-to-policy-03",
    "ExpectedValue": "1",
    "ActualValue": "0",
    "Reason": "wrong/null value",
    "SemanticTypeIri": "urn:effortless:pko-extension#CellDisagreement",
    "Name": "effortless-owl|StepTransitions.CountOfToStepExecutions @ policy-02-to-policy-03",
    "Substrate": "effortless-owl",
    "RulebookField": "StepTransitions.CountOfToStepExecutions"
   },
   {
    "CellDisagreementId": "effortless-owl|StepTransitions.CountOfToStepExecutions|policy-03-to-policy-04",
    "FieldDisagreement": "effortless-owl|StepTransitions.CountOfToStepExecutions",
    "RecordId": "policy-03-to-policy-04",
    "ExpectedValue": "1",
    "ActualValue": "0",
    "Reason": "wrong/null value",
    "SemanticTypeIri": "urn:effortless:pko-extension#CellDisagreement",
    "Name": "effortless-owl|StepTransitions.CountOfToStepExecutions @ policy-03-to-policy-04",
    "Substrate": "effortless-owl",
    "RulebookField": "StepTransitions.CountOfToStepExecutions"
   },
   {
    "CellDisagreementId": "effortless-owl|StepTransitions.CountOfToStepExecutions|policy-04-return-policy-03",
    "FieldDisagreement": "effortless-owl|StepTransitions.CountOfToStepExecutions",
    "RecordId": "policy-04-return-policy-03",
    "ExpectedValue": "1",
    "ActualValue": "0",
    "Reason": "wrong/null value",
    "SemanticTypeIri": "urn:effortless:pko-extension#CellDisagreement",
    "Name": "effortless-owl|StepTransitions.CountOfToStepExecutions @ policy-04-return-policy-03",
    "Substrate": "effortless-owl",
    "RulebookField": "StepTransitions.CountOfToStepExecutions"
   },
   {
    "CellDisagreementId": "effortless-owl|StepTransitions.HasReachableOrigin|close-01-to-close-02",
    "FieldDisagreement": "effortless-owl|StepTransitions.HasReachableOrigin",
    "RecordId": "close-01-to-close-02",
    "ExpectedValue": "true",
    "ActualValue": "false",
    "Reason": "wrong/null value",
    "SemanticTypeIri": "urn:effortless:pko-extension#CellDisagreement",
    "Name": "effortless-owl|StepTransitions.HasReachableOrigin @ close-01-to-close-02",
    "Substrate": "effortless-owl",
    "RulebookField": "StepTransitions.HasReachableOrigin"
   },
   {
    "CellDisagreementId": "effortless-owl|StepTransitions.HasReachableOrigin|close-02-to-close-03",
    "FieldDisagreement": "effortless-owl|StepTransitions.HasReachableOrigin",
    "RecordId": "close-02-to-close-03",
    "ExpectedValue": "true",
    "ActualValue": "false",
    "Reason": "wrong/null value",
    "SemanticTypeIri": "urn:effortless:pko-extension#CellDisagreement",
    "Name": "effortless-owl|StepTransitions.HasReachableOrigin @ close-02-to-close-03",
    "Substrate": "effortless-owl",
    "RulebookField": "StepTransitions.HasReachableOrigin"
   },
   {
    "CellDisagreementId": "effortless-owl|StepTransitions.HasReachableOrigin|close-03-to-close-04",
    "FieldDisagreement": "effortless-owl|StepTransitions.HasReachableOrigin",
    "RecordId": "close-03-to-close-04",
    "ExpectedValue": "true",
    "ActualValue": "false",
    "Reason": "wrong/null value",
    "SemanticTypeIri": "urn:effortless:pko-extension#CellDisagreement",
    "Name": "effortless-owl|StepTransitions.HasReachableOrigin @ close-03-to-close-04",
    "Substrate": "effortless-owl",
    "RulebookField": "StepTransitions.HasReachableOrigin"
   },
   {
    "CellDisagreementId": "effortless-owl|StepTransitions.HasReachableOrigin|close-04-fallback-close-03",
    "FieldDisagreement": "effortless-owl|StepTransitions.HasReachableOrigin",
    "RecordId": "close-04-fallback-close-03",
    "ExpectedValue": "true",
    "ActualValue": "false",
    "Reason": "wrong/null value",
    "SemanticTypeIri": "urn:effortless:pko-extension#CellDisagreement",
    "Name": "effortless-owl|StepTransitions.HasReachableOrigin @ close-04-fallback-close-03",
    "Substrate": "effortless-owl",
    "RulebookField": "StepTransitions.HasReachableOrigin"
   },
   {
    "CellDisagreementId": "effortless-owl|StepTransitions.HasReachableOrigin|close-04-to-close-05",
    "FieldDisagreement": "effortless-owl|StepTransitions.HasReachableOrigin",
    "RecordId": "close-04-to-close-05",
    "ExpectedValue": "true",
    "ActualValue": "false",
    "Reason": "wrong/null value",
    "SemanticTypeIri": "urn:effortless:pko-extension#CellDisagreement",
    "Name": "effortless-owl|StepTransitions.HasReachableOrigin @ close-04-to-close-05",
    "Substrate": "effortless-owl",
    "RulebookField": "StepTransitions.HasReachableOrigin"
   },
   {
    "CellDisagreementId": "effortless-owl|StepTransitions.HasReachableOrigin|close-05-to-close-06",
    "FieldDisagreement": "effortless-owl|StepTransitions.HasReachableOrigin",
    "RecordId": "close-05-to-close-06",
    "ExpectedValue": "true",
    "ActualValue": "false",
    "Reason": "wrong/null value",
    "SemanticTypeIri": "urn:effortless:pko-extension#CellDisagreement",
    "Name": "effortless-owl|StepTransitions.HasReachableOrigin @ close-05-to-close-06",
    "Substrate": "effortless-owl",
    "RulebookField": "StepTransitions.HasReachableOrigin"
   },
   {
    "CellDisagreementId": "effortless-owl|StepTransitions.HasReachableOrigin|close-06-return-close-04",
    "FieldDisagreement": "effortless-owl|StepTransitions.HasReachableOrigin",
    "RecordId": "close-06-return-close-04",
    "ExpectedValue": "true",
    "ActualValue": "false",
    "Reason": "wrong/null value",
    "SemanticTypeIri": "urn:effortless:pko-extension#CellDisagreement",
    "Name": "effortless-owl|StepTransitions.HasReachableOrigin @ close-06-return-close-04",
    "Substrate": "effortless-owl",
    "RulebookField": "StepTransitions.HasReachableOrigin"
   },
   {
    "CellDisagreementId": "effortless-owl|StepTransitions.HasReachableOrigin|close-06-to-close-07",
    "FieldDisagreement": "effortless-owl|StepTransitions.HasReachableOrigin",
    "RecordId": "close-06-to-close-07",
    "ExpectedValue": "true",
    "ActualValue": "false",
    "Reason": "wrong/null value",
    "SemanticTypeIri": "urn:effortless:pko-extension#CellDisagreement",
    "Name": "effortless-owl|StepTransitions.HasReachableOrigin @ close-06-to-close-07",
    "Substrate": "effortless-owl",
    "RulebookField": "StepTransitions.HasReachableOrigin"
   },
   {
    "CellDisagreementId": "effortless-owl|StepTransitions.HasReachableOrigin|close-07-to-close-08",
    "FieldDisagreement": "effortless-owl|StepTransitions.HasReachableOrigin",
    "RecordId": "close-07-to-close-08",
    "ExpectedValue": "true",
    "ActualValue": "false",
    "Reason": "wrong/null value",
    "SemanticTypeIri": "urn:effortless:pko-extension#CellDisagreement",
    "Name": "effortless-owl|StepTransitions.HasReachableOrigin @ close-07-to-close-08",
    "Substrate": "effortless-owl",
    "RulebookField": "StepTransitions.HasReachableOrigin"
   },
   {
    "CellDisagreementId": "effortless-owl|StepTransitions.HasReachableOrigin|policy-01-to-policy-02",
    "FieldDisagreement": "effortless-owl|StepTransitions.HasReachableOrigin",
    "RecordId": "policy-01-to-policy-02",
    "ExpectedValue": "true",
    "ActualValue": "false",
    "Reason": "wrong/null value",
    "SemanticTypeIri": "urn:effortless:pko-extension#CellDisagreement",
    "Name": "effortless-owl|StepTransitions.HasReachableOrigin @ policy-01-to-policy-02",
    "Substrate": "effortless-owl",
    "RulebookField": "StepTransitions.HasReachableOrigin"
   },
   {
    "CellDisagreementId": "effortless-owl|StepTransitions.HasReachableOrigin|policy-02-to-policy-03",
    "FieldDisagreement": "effortless-owl|StepTransitions.HasReachableOrigin",
    "RecordId": "policy-02-to-policy-03",
    "ExpectedValue": "true",
    "ActualValue": "false",
    "Reason": "wrong/null value",
    "SemanticTypeIri": "urn:effortless:pko-extension#CellDisagreement",
    "Name": "effortless-owl|StepTransitions.HasReachableOrigin @ policy-02-to-policy-03",
    "Substrate": "effortless-owl",
    "RulebookField": "StepTransitions.HasReachableOrigin"
   },
   {
    "CellDisagreementId": "effortless-owl|StepTransitions.HasReachableOrigin|policy-03-to-policy-04",
    "FieldDisagreement": "effortless-owl|StepTransitions.HasReachableOrigin",
    "RecordId": "policy-03-to-policy-04",
    "ExpectedValue": "true",
    "ActualValue": "false",
    "Reason": "wrong/null value",
    "SemanticTypeIri": "urn:effortless:pko-extension#CellDisagreement",
    "Name": "effortless-owl|StepTransitions.HasReachableOrigin @ policy-03-to-policy-04",
    "Substrate": "effortless-owl",
    "RulebookField": "StepTransitions.HasReachableOrigin"
   },
   {
    "CellDisagreementId": "effortless-owl|StepTransitions.HasReachableOrigin|policy-04-return-policy-03",
    "FieldDisagreement": "effortless-owl|StepTransitions.HasReachableOrigin",
    "RecordId": "policy-04-return-policy-03",
    "ExpectedValue": "true",
    "ActualValue": "false",
    "Reason": "wrong/null value",
    "SemanticTypeIri": "urn:effortless:pko-extension#CellDisagreement",
    "Name": "effortless-owl|StepTransitions.HasReachableOrigin @ policy-04-return-policy-03",
    "Substrate": "effortless-owl",
    "RulebookField": "StepTransitions.HasReachableOrigin"
   },
   {
    "CellDisagreementId": "effortless-owl|StepTransitions.HasReachableOrigin|policy-04-to-policy-05",
    "FieldDisagreement": "effortless-owl|StepTransitions.HasReachableOrigin",
    "RecordId": "policy-04-to-policy-05",
    "ExpectedValue": "true",
    "ActualValue": "false",
    "Reason": "wrong/null value",
    "SemanticTypeIri": "urn:effortless:pko-extension#CellDisagreement",
    "Name": "effortless-owl|StepTransitions.HasReachableOrigin @ policy-04-to-policy-05",
    "Substrate": "effortless-owl",
    "RulebookField": "StepTransitions.HasReachableOrigin"
   },
   {
    "CellDisagreementId": "effortless-owl|StepTransitions.HasReachableTarget|close-01-to-close-02",
    "FieldDisagreement": "effortless-owl|StepTransitions.HasReachableTarget",
    "RecordId": "close-01-to-close-02",
    "ExpectedValue": "true",
    "ActualValue": "false",
    "Reason": "wrong/null value",
    "SemanticTypeIri": "urn:effortless:pko-extension#CellDisagreement",
    "Name": "effortless-owl|StepTransitions.HasReachableTarget @ close-01-to-close-02",
    "Substrate": "effortless-owl",
    "RulebookField": "StepTransitions.HasReachableTarget"
   },
   {
    "CellDisagreementId": "effortless-owl|StepTransitions.HasReachableTarget|close-02-to-close-03",
    "FieldDisagreement": "effortless-owl|StepTransitions.HasReachableTarget",
    "RecordId": "close-02-to-close-03",
    "ExpectedValue": "true",
    "ActualValue": "false",
    "Reason": "wrong/null value",
    "SemanticTypeIri": "urn:effortless:pko-extension#CellDisagreement",
    "Name": "effortless-owl|StepTransitions.HasReachableTarget @ close-02-to-close-03",
    "Substrate": "effortless-owl",
    "RulebookField": "StepTransitions.HasReachableTarget"
   },
   {
    "CellDisagreementId": "effortless-owl|StepTransitions.HasReachableTarget|close-03-to-close-04",
    "FieldDisagreement": "effortless-owl|StepTransitions.HasReachableTarget",
    "RecordId": "close-03-to-close-04",
    "ExpectedValue": "true",
    "ActualValue": "false",
    "Reason": "wrong/null value",
    "SemanticTypeIri": "urn:effortless:pko-extension#CellDisagreement",
    "Name": "effortless-owl|StepTransitions.HasReachableTarget @ close-03-to-close-04",
    "Substrate": "effortless-owl",
    "RulebookField": "StepTransitions.HasReachableTarget"
   },
   {
    "CellDisagreementId": "effortless-owl|StepTransitions.HasReachableTarget|close-04-fallback-close-03",
    "FieldDisagreement": "effortless-owl|StepTransitions.HasReachableTarget",
    "RecordId": "close-04-fallback-close-03",
    "ExpectedValue": "true",
    "ActualValue": "false",
    "Reason": "wrong/null value",
    "SemanticTypeIri": "urn:effortless:pko-extension#CellDisagreement",
    "Name": "effortless-owl|StepTransitions.HasReachableTarget @ close-04-fallback-close-03",
    "Substrate": "effortless-owl",
    "RulebookField": "StepTransitions.HasReachableTarget"
   },
   {
    "CellDisagreementId": "effortless-owl|StepTransitions.HasReachableTarget|close-04-to-close-05",
    "FieldDisagreement": "effortless-owl|StepTransitions.HasReachableTarget",
    "RecordId": "close-04-to-close-05",
    "ExpectedValue": "true",
    "ActualValue": "false",
    "Reason": "wrong/null value",
    "SemanticTypeIri": "urn:effortless:pko-extension#CellDisagreement",
    "Name": "effortless-owl|StepTransitions.HasReachableTarget @ close-04-to-close-05",
    "Substrate": "effortless-owl",
    "RulebookField": "StepTransitions.HasReachableTarget"
   },
   {
    "CellDisagreementId": "effortless-owl|StepTransitions.HasReachableTarget|close-05-to-close-06",
    "FieldDisagreement": "effortless-owl|StepTransitions.HasReachableTarget",
    "RecordId": "close-05-to-close-06",
    "ExpectedValue": "true",
    "ActualValue": "false",
    "Reason": "wrong/null value",
    "SemanticTypeIri": "urn:effortless:pko-extension#CellDisagreement",
    "Name": "effortless-owl|StepTransitions.HasReachableTarget @ close-05-to-close-06",
    "Substrate": "effortless-owl",
    "RulebookField": "StepTransitions.HasReachableTarget"
   },
   {
    "CellDisagreementId": "effortless-owl|StepTransitions.HasReachableTarget|close-06-return-close-04",
    "FieldDisagreement": "effortless-owl|StepTransitions.HasReachableTarget",
    "RecordId": "close-06-return-close-04",
    "ExpectedValue": "true",
    "ActualValue": "false",
    "Reason": "wrong/null value",
    "SemanticTypeIri": "urn:effortless:pko-extension#CellDisagreement",
    "Name": "effortless-owl|StepTransitions.HasReachableTarget @ close-06-return-close-04",
    "Substrate": "effortless-owl",
    "RulebookField": "StepTransitions.HasReachableTarget"
   },
   {
    "CellDisagreementId": "effortless-owl|StepTransitions.HasReachableTarget|close-06-to-close-07",
    "FieldDisagreement": "effortless-owl|StepTransitions.HasReachableTarget",
    "RecordId": "close-06-to-close-07",
    "ExpectedValue": "true",
    "ActualValue": "false",
    "Reason": "wrong/null value",
    "SemanticTypeIri": "urn:effortless:pko-extension#CellDisagreement",
    "Name": "effortless-owl|StepTransitions.HasReachableTarget @ close-06-to-close-07",
    "Substrate": "effortless-owl",
    "RulebookField": "StepTransitions.HasReachableTarget"
   },
   {
    "CellDisagreementId": "effortless-owl|StepTransitions.HasReachableTarget|close-07-to-close-08",
    "FieldDisagreement": "effortless-owl|StepTransitions.HasReachableTarget",
    "RecordId": "close-07-to-close-08",
    "ExpectedValue": "true",
    "ActualValue": "false",
    "Reason": "wrong/null value",
    "SemanticTypeIri": "urn:effortless:pko-extension#CellDisagreement",
    "Name": "effortless-owl|StepTransitions.HasReachableTarget @ close-07-to-close-08",
    "Substrate": "effortless-owl",
    "RulebookField": "StepTransitions.HasReachableTarget"
   },
   {
    "CellDisagreementId": "effortless-owl|StepTransitions.HasReachableTarget|policy-01-to-policy-02",
    "FieldDisagreement": "effortless-owl|StepTransitions.HasReachableTarget",
    "RecordId": "policy-01-to-policy-02",
    "ExpectedValue": "true",
    "ActualValue": "false",
    "Reason": "wrong/null value",
    "SemanticTypeIri": "urn:effortless:pko-extension#CellDisagreement",
    "Name": "effortless-owl|StepTransitions.HasReachableTarget @ policy-01-to-policy-02",
    "Substrate": "effortless-owl",
    "RulebookField": "StepTransitions.HasReachableTarget"
   },
   {
    "CellDisagreementId": "effortless-owl|StepTransitions.HasReachableTarget|policy-02-to-policy-03",
    "FieldDisagreement": "effortless-owl|StepTransitions.HasReachableTarget",
    "RecordId": "policy-02-to-policy-03",
    "ExpectedValue": "true",
    "ActualValue": "false",
    "Reason": "wrong/null value",
    "SemanticTypeIri": "urn:effortless:pko-extension#CellDisagreement",
    "Name": "effortless-owl|StepTransitions.HasReachableTarget @ policy-02-to-policy-03",
    "Substrate": "effortless-owl",
    "RulebookField": "StepTransitions.HasReachableTarget"
   },
   {
    "CellDisagreementId": "effortless-owl|StepTransitions.HasReachableTarget|policy-03-to-policy-04",
    "FieldDisagreement": "effortless-owl|StepTransitions.HasReachableTarget",
    "RecordId": "policy-03-to-policy-04",
    "ExpectedValue": "true",
    "ActualValue": "false",
    "Reason": "wrong/null value",
    "SemanticTypeIri": "urn:effortless:pko-extension#CellDisagreement",
    "Name": "effortless-owl|StepTransitions.HasReachableTarget @ policy-03-to-policy-04",
    "Substrate": "effortless-owl",
    "RulebookField": "StepTransitions.HasReachableTarget"
   },
   {
    "CellDisagreementId": "effortless-owl|StepTransitions.HasReachableTarget|policy-04-return-policy-03",
    "FieldDisagreement": "effortless-owl|StepTransitions.HasReachableTarget",
    "RecordId": "policy-04-return-policy-03",
    "ExpectedValue": "true",
    "ActualValue": "false",
    "Reason": "wrong/null value",
    "SemanticTypeIri": "urn:effortless:pko-extension#CellDisagreement",
    "Name": "effortless-owl|StepTransitions.HasReachableTarget @ policy-04-return-policy-03",
    "Substrate": "effortless-owl",
    "RulebookField": "StepTransitions.HasReachableTarget"
   },
   {
    "CellDisagreementId": "effortless-owl|StepTransitions.IsNeverExercised|close-01-to-close-02",
    "FieldDisagreement": "effortless-owl|StepTransitions.IsNeverExercised",
    "RecordId": "close-01-to-close-02",
    "ExpectedValue": "false",
    "ActualValue": "true",
    "Reason": "wrong/null value",
    "SemanticTypeIri": "urn:effortless:pko-extension#CellDisagreement",
    "Name": "effortless-owl|StepTransitions.IsNeverExercised @ close-01-to-close-02",
    "Substrate": "effortless-owl",
    "RulebookField": "StepTransitions.IsNeverExercised"
   },
   {
    "CellDisagreementId": "effortless-owl|StepTransitions.IsNeverExercised|close-02-to-close-03",
    "FieldDisagreement": "effortless-owl|StepTransitions.IsNeverExercised",
    "RecordId": "close-02-to-close-03",
    "ExpectedValue": "false",
    "ActualValue": "true",
    "Reason": "wrong/null value",
    "SemanticTypeIri": "urn:effortless:pko-extension#CellDisagreement",
    "Name": "effortless-owl|StepTransitions.IsNeverExercised @ close-02-to-close-03",
    "Substrate": "effortless-owl",
    "RulebookField": "StepTransitions.IsNeverExercised"
   },
   {
    "CellDisagreementId": "effortless-owl|StepTransitions.IsNeverExercised|close-03-to-close-04",
    "FieldDisagreement": "effortless-owl|StepTransitions.IsNeverExercised",
    "RecordId": "close-03-to-close-04",
    "ExpectedValue": "false",
    "ActualValue": "true",
    "Reason": "wrong/null value",
    "SemanticTypeIri": "urn:effortless:pko-extension#CellDisagreement",
    "Name": "effortless-owl|StepTransitions.IsNeverExercised @ close-03-to-close-04",
    "Substrate": "effortless-owl",
    "RulebookField": "StepTransitions.IsNeverExercised"
   },
   {
    "CellDisagreementId": "effortless-owl|StepTransitions.IsNeverExercised|close-04-fallback-close-03",
    "FieldDisagreement": "effortless-owl|StepTransitions.IsNeverExercised",
    "RecordId": "close-04-fallback-close-03",
    "ExpectedValue": "false",
    "ActualValue": "true",
    "Reason": "wrong/null value",
    "SemanticTypeIri": "urn:effortless:pko-extension#CellDisagreement",
    "Name": "effortless-owl|StepTransitions.IsNeverExercised @ close-04-fallback-close-03",
    "Substrate": "effortless-owl",
    "RulebookField": "StepTransitions.IsNeverExercised"
   },
   {
    "CellDisagreementId": "effortless-owl|StepTransitions.IsNeverExercised|close-04-to-close-05",
    "FieldDisagreement": "effortless-owl|StepTransitions.IsNeverExercised",
    "RecordId": "close-04-to-close-05",
    "ExpectedValue": "false",
    "ActualValue": "true",
    "Reason": "wrong/null value",
    "SemanticTypeIri": "urn:effortless:pko-extension#CellDisagreement",
    "Name": "effortless-owl|StepTransitions.IsNeverExercised @ close-04-to-close-05",
    "Substrate": "effortless-owl",
    "RulebookField": "StepTransitions.IsNeverExercised"
   },
   {
    "CellDisagreementId": "effortless-owl|StepTransitions.IsNeverExercised|close-05-to-close-06",
    "FieldDisagreement": "effortless-owl|StepTransitions.IsNeverExercised",
    "RecordId": "close-05-to-close-06",
    "ExpectedValue": "false",
    "ActualValue": "true",
    "Reason": "wrong/null value",
    "SemanticTypeIri": "urn:effortless:pko-extension#CellDisagreement",
    "Name": "effortless-owl|StepTransitions.IsNeverExercised @ close-05-to-close-06",
    "Substrate": "effortless-owl",
    "RulebookField": "StepTransitions.IsNeverExercised"
   },
   {
    "CellDisagreementId": "effortless-owl|StepTransitions.IsNeverExercised|close-06-return-close-04",
    "FieldDisagreement": "effortless-owl|StepTransitions.IsNeverExercised",
    "RecordId": "close-06-return-close-04",
    "ExpectedValue": "false",
    "ActualValue": "true",
    "Reason": "wrong/null value",
    "SemanticTypeIri": "urn:effortless:pko-extension#CellDisagreement",
    "Name": "effortless-owl|StepTransitions.IsNeverExercised @ close-06-return-close-04",
    "Substrate": "effortless-owl",
    "RulebookField": "StepTransitions.IsNeverExercised"
   },
   {
    "CellDisagreementId": "effortless-owl|StepTransitions.IsNeverExercised|close-06-to-close-07",
    "FieldDisagreement": "effortless-owl|StepTransitions.IsNeverExercised",
    "RecordId": "close-06-to-close-07",
    "ExpectedValue": "false",
    "ActualValue": "true",
    "Reason": "wrong/null value",
    "SemanticTypeIri": "urn:effortless:pko-extension#CellDisagreement",
    "Name": "effortless-owl|StepTransitions.IsNeverExercised @ close-06-to-close-07",
    "Substrate": "effortless-owl",
    "RulebookField": "StepTransitions.IsNeverExercised"
   },
   {
    "CellDisagreementId": "effortless-owl|StepTransitions.IsNeverExercised|close-07-to-close-08",
    "FieldDisagreement": "effortless-owl|StepTransitions.IsNeverExercised",
    "RecordId": "close-07-to-close-08",
    "ExpectedValue": "false",
    "ActualValue": "true",
    "Reason": "wrong/null value",
    "SemanticTypeIri": "urn:effortless:pko-extension#CellDisagreement",
    "Name": "effortless-owl|StepTransitions.IsNeverExercised @ close-07-to-close-08",
    "Substrate": "effortless-owl",
    "RulebookField": "StepTransitions.IsNeverExercised"
   },
   {
    "CellDisagreementId": "effortless-owl|StepTransitions.IsNeverExercised|policy-01-to-policy-02",
    "FieldDisagreement": "effortless-owl|StepTransitions.IsNeverExercised",
    "RecordId": "policy-01-to-policy-02",
    "ExpectedValue": "false",
    "ActualValue": "true",
    "Reason": "wrong/null value",
    "SemanticTypeIri": "urn:effortless:pko-extension#CellDisagreement",
    "Name": "effortless-owl|StepTransitions.IsNeverExercised @ policy-01-to-policy-02",
    "Substrate": "effortless-owl",
    "RulebookField": "StepTransitions.IsNeverExercised"
   },
   {
    "CellDisagreementId": "effortless-owl|StepTransitions.IsNeverExercised|policy-02-to-policy-03",
    "FieldDisagreement": "effortless-owl|StepTransitions.IsNeverExercised",
    "RecordId": "policy-02-to-policy-03",
    "ExpectedValue": "false",
    "ActualValue": "true",
    "Reason": "wrong/null value",
    "SemanticTypeIri": "urn:effortless:pko-extension#CellDisagreement",
    "Name": "effortless-owl|StepTransitions.IsNeverExercised @ policy-02-to-policy-03",
    "Substrate": "effortless-owl",
    "RulebookField": "StepTransitions.IsNeverExercised"
   },
   {
    "CellDisagreementId": "effortless-owl|StepTransitions.IsNeverExercised|policy-03-to-policy-04",
    "FieldDisagreement": "effortless-owl|StepTransitions.IsNeverExercised",
    "RecordId": "policy-03-to-policy-04",
    "ExpectedValue": "false",
    "ActualValue": "true",
    "Reason": "wrong/null value",
    "SemanticTypeIri": "urn:effortless:pko-extension#CellDisagreement",
    "Name": "effortless-owl|StepTransitions.IsNeverExercised @ policy-03-to-policy-04",
    "Substrate": "effortless-owl",
    "RulebookField": "StepTransitions.IsNeverExercised"
   },
   {
    "CellDisagreementId": "effortless-owl|StepTransitions.IsNeverExercised|policy-04-return-policy-03",
    "FieldDisagreement": "effortless-owl|StepTransitions.IsNeverExercised",
    "RecordId": "policy-04-return-policy-03",
    "ExpectedValue": "false",
    "ActualValue": "true",
    "Reason": "wrong/null value",
    "SemanticTypeIri": "urn:effortless:pko-extension#CellDisagreement",
    "Name": "effortless-owl|StepTransitions.IsNeverExercised @ policy-04-return-policy-03",
    "Substrate": "effortless-owl",
    "RulebookField": "StepTransitions.IsNeverExercised"
   },
   {
    "CellDisagreementId": "effortless-owl|StepTransitions.IsUntestedRecoveryPath|close-04-fallback-close-03",
    "FieldDisagreement": "effortless-owl|StepTransitions.IsUntestedRecoveryPath",
    "RecordId": "close-04-fallback-close-03",
    "ExpectedValue": "false",
    "ActualValue": "true",
    "Reason": "wrong/null value",
    "SemanticTypeIri": "urn:effortless:pko-extension#CellDisagreement",
    "Name": "effortless-owl|StepTransitions.IsUntestedRecoveryPath @ close-04-fallback-close-03",
    "Substrate": "effortless-owl",
    "RulebookField": "StepTransitions.IsUntestedRecoveryPath"
   },
   {
    "CellDisagreementId": "effortless-owl|StepTransitions.IsUntestedRecoveryPath|close-06-return-close-04",
    "FieldDisagreement": "effortless-owl|StepTransitions.IsUntestedRecoveryPath",
    "RecordId": "close-06-return-close-04",
    "ExpectedValue": "false",
    "ActualValue": "true",
    "Reason": "wrong/null value",
    "SemanticTypeIri": "urn:effortless:pko-extension#CellDisagreement",
    "Name": "effortless-owl|StepTransitions.IsUntestedRecoveryPath @ close-06-return-close-04",
    "Substrate": "effortless-owl",
    "RulebookField": "StepTransitions.IsUntestedRecoveryPath"
   },
   {
    "CellDisagreementId": "effortless-owl|StepTransitions.IsUntestedRecoveryPath|policy-04-return-policy-03",
    "FieldDisagreement": "effortless-owl|StepTransitions.IsUntestedRecoveryPath",
    "RecordId": "policy-04-return-policy-03",
    "ExpectedValue": "false",
    "ActualValue": "true",
    "Reason": "wrong/null value",
    "SemanticTypeIri": "urn:effortless:pko-extension#CellDisagreement",
    "Name": "effortless-owl|StepTransitions.IsUntestedRecoveryPath @ policy-04-return-policy-03",
    "Substrate": "effortless-owl",
    "RulebookField": "StepTransitions.IsUntestedRecoveryPath"
   },
   {
    "CellDisagreementId": "effortless-owl|Requirements.IsUntestedWitness|req-close-balance",
    "FieldDisagreement": "effortless-owl|Requirements.IsUntestedWitness",
    "RecordId": "req-close-balance",
    "ExpectedValue": "true",
    "ActualValue": "null",
    "Reason": "wrong/null value",
    "SemanticTypeIri": "urn:effortless:pko-extension#CellDisagreement",
    "Name": "effortless-owl|Requirements.IsUntestedWitness @ req-close-balance",
    "Substrate": "effortless-owl",
    "RulebookField": "Requirements.IsUntestedWitness"
   },
   {
    "CellDisagreementId": "effortless-owl|Requirements.IsUntestedWitness|req-close-cutoff",
    "FieldDisagreement": "effortless-owl|Requirements.IsUntestedWitness",
    "RecordId": "req-close-cutoff",
    "ExpectedValue": "true",
    "ActualValue": "null",
    "Reason": "wrong/null value",
    "SemanticTypeIri": "urn:effortless:pko-extension#CellDisagreement",
    "Name": "effortless-owl|Requirements.IsUntestedWitness @ req-close-cutoff",
    "Substrate": "effortless-owl",
    "RulebookField": "Requirements.IsUntestedWitness"
   },
   {
    "CellDisagreementId": "effortless-owl|Requirements.IsUntestedWitness|req-close-separation",
    "FieldDisagreement": "effortless-owl|Requirements.IsUntestedWitness",
    "RecordId": "req-close-separation",
    "ExpectedValue": "true",
    "ActualValue": "null",
    "Reason": "wrong/null value",
    "SemanticTypeIri": "urn:effortless:pko-extension#CellDisagreement",
    "Name": "effortless-owl|Requirements.IsUntestedWitness @ req-close-separation",
    "Substrate": "effortless-owl",
    "RulebookField": "Requirements.IsUntestedWitness"
   },
   {
    "CellDisagreementId": "effortless-owl|Requirements.ControlAssuranceState|req-close-balance",
    "FieldDisagreement": "effortless-owl|Requirements.ControlAssuranceState",
    "RecordId": "req-close-balance",
    "ExpectedValue": "\"Untested\"",
    "ActualValue": "null",
    "Reason": "wrong/null value",
    "SemanticTypeIri": "urn:effortless:pko-extension#CellDisagreement",
    "Name": "effortless-owl|Requirements.ControlAssuranceState @ req-close-balance",
    "Substrate": "effortless-owl",
    "RulebookField": "Requirements.ControlAssuranceState"
   },
   {
    "CellDisagreementId": "effortless-owl|Requirements.ControlAssuranceState|req-close-cutoff",
    "FieldDisagreement": "effortless-owl|Requirements.ControlAssuranceState",
    "RecordId": "req-close-cutoff",
    "ExpectedValue": "\"Untested\"",
    "ActualValue": "null",
    "Reason": "wrong/null value",
    "SemanticTypeIri": "urn:effortless:pko-extension#CellDisagreement",
    "Name": "effortless-owl|Requirements.ControlAssuranceState @ req-close-cutoff",
    "Substrate": "effortless-owl",
    "RulebookField": "Requirements.ControlAssuranceState"
   },
   {
    "CellDisagreementId": "effortless-owl|Requirements.ControlAssuranceState|req-close-separation",
    "FieldDisagreement": "effortless-owl|Requirements.ControlAssuranceState",
    "RecordId": "req-close-separation",
    "ExpectedValue": "\"Untested\"",
    "ActualValue": "null",
    "Reason": "wrong/null value",
    "SemanticTypeIri": "urn:effortless:pko-extension#CellDisagreement",
    "Name": "effortless-owl|Requirements.ControlAssuranceState @ req-close-separation",
    "Substrate": "effortless-owl",
    "RulebookField": "Requirements.ControlAssuranceState"
   },
   {
    "CellDisagreementId": "effortless-owl|ElicitationSessions.DaysSinceElicited|elicit-policy-interview",
    "FieldDisagreement": "effortless-owl|ElicitationSessions.DaysSinceElicited",
    "RecordId": "elicit-policy-interview",
    "ExpectedValue": "67",
    "ActualValue": "\"68\"",
    "Reason": "wrong/null value",
    "SemanticTypeIri": "urn:effortless:pko-extension#CellDisagreement",
    "Name": "effortless-owl|ElicitationSessions.DaysSinceElicited @ elicit-policy-interview",
    "Substrate": "effortless-owl",
    "RulebookField": "ElicitationSessions.DaysSinceElicited"
   },
   {
    "CellDisagreementId": "effortless-owl|ElicitationSessions.DaysSinceElicited|elicit-policy-workshop",
    "FieldDisagreement": "effortless-owl|ElicitationSessions.DaysSinceElicited",
    "RecordId": "elicit-policy-workshop",
    "ExpectedValue": "69",
    "ActualValue": "\"70\"",
    "Reason": "wrong/null value",
    "SemanticTypeIri": "urn:effortless:pko-extension#CellDisagreement",
    "Name": "effortless-owl|ElicitationSessions.DaysSinceElicited @ elicit-policy-workshop",
    "Substrate": "effortless-owl",
    "RulebookField": "ElicitationSessions.DaysSinceElicited"
   },
   {
    "CellDisagreementId": "effortless-owl|KnowledgeFragments.DaysSinceActualReview|kf-close-fx-time",
    "FieldDisagreement": "effortless-owl|KnowledgeFragments.DaysSinceActualReview",
    "RecordId": "kf-close-fx-time",
    "ExpectedValue": "16",
    "ActualValue": "\"17\"",
    "Reason": "wrong/null value",
    "SemanticTypeIri": "urn:effortless:pko-extension#CellDisagreement",
    "Name": "effortless-owl|KnowledgeFragments.DaysSinceActualReview @ kf-close-fx-time",
    "Substrate": "effortless-owl",
    "RulebookField": "KnowledgeFragments.DaysSinceActualReview"
   },
   {
    "CellDisagreementId": "effortless-owl|KnowledgeFragments.DaysSinceActualReview|kf-close-top-ten",
    "FieldDisagreement": "effortless-owl|KnowledgeFragments.DaysSinceActualReview",
    "RecordId": "kf-close-top-ten",
    "ExpectedValue": "16",
    "ActualValue": "\"17\"",
    "Reason": "wrong/null value",
    "SemanticTypeIri": "urn:effortless:pko-extension#CellDisagreement",
    "Name": "effortless-owl|KnowledgeFragments.DaysSinceActualReview @ kf-close-top-ten",
    "Substrate": "effortless-owl",
    "RulebookField": "KnowledgeFragments.DaysSinceActualReview"
   },
   {
    "CellDisagreementId": "effortless-owl|KnowledgeFragments.DaysSinceActualReview|kf-policy-channel",
    "FieldDisagreement": "effortless-owl|KnowledgeFragments.DaysSinceActualReview",
    "RecordId": "kf-policy-channel",
    "ExpectedValue": "0",
    "ActualValue": "\"1\"",
    "Reason": "wrong/null value",
    "SemanticTypeIri": "urn:effortless:pko-extension#CellDisagreement",
    "Name": "effortless-owl|KnowledgeFragments.DaysSinceActualReview @ kf-policy-channel",
    "Substrate": "effortless-owl",
    "RulebookField": "KnowledgeFra</t>
  </si>
  <si>
    <t xml:space="preserve">gments.DaysSinceActualReview"
   },
   {
    "CellDisagreementId": "effortless-owl|KnowledgeFragments.EvidenceExpiryDays|kf-close-retention",
    "FieldDisagreement": "effortless-owl|KnowledgeFragments.EvidenceExpiryDays",
    "RecordId": "kf-close-retention",
    "ExpectedValue": "365",
    "ActualValue": "null",
    "Reason": "wrong/null value",
    "SemanticTypeIri": "urn:effortless:pko-extension#CellDisagreement",
    "Name": "effortless-owl|KnowledgeFragments.EvidenceExpiryDays @ kf-close-retention",
    "Substrate": "effortless-owl",
    "RulebookField": "KnowledgeFragments.EvidenceExpiryDays"
   },
   {
    "CellDisagreementId": "effortless-owl|KnowledgeFragments.FragilitySignalCount|kf-close-retention",
    "FieldDisagreement": "effortless-owl|KnowledgeFragments.FragilitySignalCount",
    "RecordId": "kf-close-retention",
    "ExpectedValue": "1",
    "ActualValue": "null",
    "Reason": "wrong/null value",
    "SemanticTypeIri": "urn:effortless:pko-extension#CellDisagreement",
    "Name": "effortless-owl|KnowledgeFragments.FragilitySignalCount @ kf-close-retention",
    "Substrate": "effortless-owl",
    "RulebookField": "KnowledgeFragments.FragilitySignalCount"
   },
   {
    "CellDisagreementId": "effortless-owl|KnowledgeFragments.FragilitySignalCount|kf-policy-channel",
    "FieldDisagreement": "effortless-owl|KnowledgeFragments.FragilitySignalCount",
    "RecordId": "kf-policy-channel",
    "ExpectedValue": "2",
    "ActualValue": "1",
    "Reason": "wrong/null value",
    "SemanticTypeIri": "urn:effortless:pko-extension#CellDisagreement",
    "Name": "effortless-owl|KnowledgeFragments.FragilitySignalCount @ kf-policy-channel",
    "Substrate": "effortless-owl",
    "RulebookField": "KnowledgeFragments.FragilitySignalCount"
   },
   {
    "CellDisagreementId": "effortless-owl|KnowledgeFragments.FragilitySignalCount|kf-policy-manager-route",
    "FieldDisagreement": "effortless-owl|KnowledgeFragments.FragilitySignalCount",
    "RecordId": "kf-policy-manager-route",
    "ExpectedValue": "2",
    "ActualValue": "1",
    "Reason": "wrong/null value",
    "SemanticTypeIri": "urn:effortless:pko-extension#CellDisagreement",
    "Name": "effortless-owl|KnowledgeFragments.FragilitySignalCount @ kf-policy-manager-route",
    "Substrate": "effortless-owl",
    "RulebookField": "KnowledgeFragments.FragilitySignalCount"
   },
   {
    "CellDisagreementId": "effortless-owl|KnowledgeFragments.EvidenceAgeDays|kf-policy-ai-boundary",
    "FieldDisagreement": "effortless-owl|KnowledgeFragments.EvidenceAgeDays",
    "RecordId": "kf-policy-ai-boundary",
    "ExpectedValue": "67",
    "ActualValue": "\"68\"",
    "Reason": "wrong/null value",
    "SemanticTypeIri": "urn:effortless:pko-extension#CellDisagreement",
    "Name": "effortless-owl|KnowledgeFragments.EvidenceAgeDays @ kf-policy-ai-boundary",
    "Substrate": "effortless-owl",
    "RulebookField": "KnowledgeFragments.EvidenceAgeDays"
   },
   {
    "CellDisagreementId": "effortless-owl|KnowledgeFragments.EvidenceAgeDays|kf-policy-channel",
    "FieldDisagreement": "effortless-owl|KnowledgeFragments.EvidenceAgeDays",
    "RecordId": "kf-policy-channel",
    "ExpectedValue": "69",
    "ActualValue": "\"70\"",
    "Reason": "wrong/null value",
    "SemanticTypeIri": "urn:effortless:pko-extension#CellDisagreement",
    "Name": "effortless-owl|KnowledgeFragments.EvidenceAgeDays @ kf-policy-channel",
    "Substrate": "effortless-owl",
    "RulebookField": "KnowledgeFragments.EvidenceAgeDays"
   },
   {
    "CellDisagreementId": "effortless-owl|KnowledgeFragments.EvidenceAgeDays|kf-policy-manager-route",
    "FieldDisagreement": "effortless-owl|KnowledgeFragments.EvidenceAgeDays",
    "RecordId": "kf-policy-manager-route",
    "ExpectedValue": "69",
    "ActualValue": "\"70\"",
    "Reason": "wrong/null value",
    "SemanticTypeIri": "urn:effortless:pko-extension#CellDisagreement",
    "Name": "effortless-owl|KnowledgeFragments.EvidenceAgeDays @ kf-policy-manager-route",
    "Substrate": "effortless-owl",
    "RulebookField": "KnowledgeFragments.EvidenceAgeDays"
   },
   {
    "CellDisagreementId": "effortless-owl|KnowledgeFragments.AgeDays|kf-policy-ai-boundary",
    "FieldDisagreement": "effortless-owl|KnowledgeFragments.AgeDays",
    "RecordId": "kf-policy-ai-boundary",
    "ExpectedValue": "67",
    "ActualValue": "\"68\"",
    "Reason": "wrong/null value",
    "SemanticTypeIri": "urn:effortless:pko-extension#CellDisagreement",
    "Name": "effortless-owl|KnowledgeFragments.AgeDays @ kf-policy-ai-boundary",
    "Substrate": "effortless-owl",
    "RulebookField": "KnowledgeFragments.AgeDays"
   },
   {
    "CellDisagreementId": "effortless-owl|KnowledgeFragments.AgeDays|kf-policy-channel",
    "FieldDisagreement": "effortless-owl|KnowledgeFragments.AgeDays",
    "RecordId": "kf-policy-channel",
    "ExpectedValue": "69",
    "ActualValue": "\"70\"",
    "Reason": "wrong/null value",
    "SemanticTypeIri": "urn:effortless:pko-extension#CellDisagreement",
    "Name": "effortless-owl|KnowledgeFragments.AgeDays @ kf-policy-channel",
    "Substrate": "effortless-owl",
    "RulebookField": "KnowledgeFragments.AgeDays"
   },
   {
    "CellDisagreementId": "effortless-owl|KnowledgeFragments.AgeDays|kf-policy-manager-route",
    "FieldDisagreement": "effortless-owl|KnowledgeFragments.AgeDays",
    "RecordId": "kf-policy-manager-route",
    "ExpectedValue": "69",
    "ActualValue": "\"70\"",
    "Reason": "wrong/null value",
    "SemanticTypeIri": "urn:effortless:pko-extension#CellDisagreement",
    "Name": "effortless-owl|KnowledgeFragments.AgeDays @ kf-policy-manager-route",
    "Substrate": "effortless-owl",
    "RulebookField": "KnowledgeFragments.AgeDays"
   },
   {
    "CellDisagreementId": "effortless-owl|KnowledgeFragments.IsInvokedByAnException|kf-policy-channel",
    "FieldDisagreement": "effortless-owl|KnowledgeFragments.IsInvokedByAnException",
    "RecordId": "kf-policy-channel",
    "ExpectedValue": "1",
    "ActualValue": "0",
    "Reason": "wrong/null value",
    "SemanticTypeIri": "urn:effortless:pko-extension#CellDisagreement",
    "Name": "effortless-owl|KnowledgeFragments.IsInvokedByAnException @ kf-policy-channel",
    "Substrate": "effortless-owl",
    "RulebookField": "KnowledgeFragments.IsInvokedByAnException"
   },
   {
    "CellDisagreementId": "effortless-owl|KnowledgeFragments.IsInvokedByAnException|kf-policy-manager-route",
    "FieldDisagreement": "effortless-owl|KnowledgeFragments.IsInvokedByAnException",
    "RecordId": "kf-policy-manager-route",
    "ExpectedValue": "1",
    "ActualValue": "0",
    "Reason": "wrong/null value",
    "SemanticTypeIri": "urn:effortless:pko-extension#CellDisagreement",
    "Name": "effortless-owl|KnowledgeFragments.IsInvokedByAnException @ kf-policy-manager-route",
    "Substrate": "effortless-owl",
    "RulebookField": "KnowledgeFragments.IsInvokedByAnException"
   },
   {
    "CellDisagreementId": "effortless-owl|KnowledgeFragments.HasOperationalReliance|kf-policy-channel",
    "FieldDisagreement": "effortless-owl|KnowledgeFragments.HasOperationalReliance",
    "RecordId": "kf-policy-channel",
    "ExpectedValue": "true",
    "ActualValue": "false",
    "Reason": "wrong/null value",
    "SemanticTypeIri": "urn:effortless:pko-extension#CellDisagreement",
    "Name": "effortless-owl|KnowledgeFragments.HasOperationalReliance @ kf-policy-channel",
    "Substrate": "effortless-owl",
    "RulebookField": "KnowledgeFragments.HasOperationalReliance"
   },
   {
    "CellDisagreementId": "effortless-owl|KnowledgeFragments.HasOperationalReliance|kf-policy-manager-route",
    "FieldDisagreement": "effortless-owl|KnowledgeFragments.HasOperationalReliance",
    "RecordId": "kf-policy-manager-route",
    "ExpectedValue": "true",
    "ActualValue": "false",
    "Reason": "wrong/null value",
    "SemanticTypeIri": "urn:effortless:pko-extension#CellDisagreement",
    "Name": "effortless-owl|KnowledgeFragments.HasOperationalReliance @ kf-policy-manager-route",
    "Substrate": "effortless-owl",
    "RulebookField": "KnowledgeFragments.HasOperationalReliance"
   },
   {
    "CellDisagreementId": "effortless-owl|KnowledgeFragments.RelianceSurfaceCount|kf-policy-channel",
    "FieldDisagreement": "effortless-owl|KnowledgeFragments.RelianceSurfaceCount",
    "RecordId": "kf-policy-channel",
    "ExpectedValue": "1",
    "ActualValue": "0",
    "Reason": "wrong/null value",
    "SemanticTypeIri": "urn:effortless:pko-extension#CellDisagreement",
    "Name": "effortless-owl|KnowledgeFragments.RelianceSurfaceCount @ kf-policy-channel",
    "Substrate": "effortless-owl",
    "RulebookField": "KnowledgeFragments.RelianceSurfaceCount"
   },
   {
    "CellDisagreementId": "effortless-owl|KnowledgeFragments.RelianceSurfaceCount|kf-policy-manager-route",
    "FieldDisagreement": "effortless-owl|KnowledgeFragments.RelianceSurfaceCount",
    "RecordId": "kf-policy-manager-route",
    "ExpectedValue": "1",
    "ActualValue": "0",
    "Reason": "wrong/null value",
    "SemanticTypeIri": "urn:effortless:pko-extension#CellDisagreement",
    "Name": "effortless-owl|KnowledgeFragments.RelianceSurfaceCount @ kf-policy-manager-route",
    "Substrate": "effortless-owl",
    "RulebookField": "KnowledgeFragments.RelianceSurfaceCount"
   },
   {
    "CellDisagreementId": "effortless-owl|KnowledgeFragments.IsUnapprovedAndOperationallyLive|kf-policy-manager-route",
    "FieldDisagreement": "effortless-owl|KnowledgeFragments.IsUnapprovedAndOperationallyLive",
    "RecordId": "kf-policy-manager-route",
    "ExpectedValue": "true",
    "ActualValue": "false",
    "Reason": "wrong/null value",
    "SemanticTypeIri": "urn:effortless:pko-extension#CellDisagreement",
    "Name": "effortless-owl|KnowledgeFragments.IsUnapprovedAndOperationallyLive @ kf-policy-manager-route",
    "Substrate": "effortless-owl",
    "RulebookField": "KnowledgeFragments.IsUnapprovedAndOperationallyLive"
   },
   {
    "CellDisagreementId": "effortless-owl|KnowledgeFragments.DaysAwaitingMyApproval|kf-policy-manager-route",
    "FieldDisagreement": "effortless-owl|KnowledgeFragments.DaysAwaitingMyApproval",
    "RecordId": "kf-policy-manager-route",
    "ExpectedValue": "69",
    "ActualValue": "\"70\"",
    "Reason": "wrong/null value",
    "SemanticTypeIri": "urn:effortless:pko-extension#CellDisagreement",
    "Name": "effortless-owl|KnowledgeFragments.DaysAwaitingMyApproval @ kf-policy-manager-route",
    "Substrate": "effortless-owl",
    "RulebookField": "KnowledgeFragments.DaysAwaitingMyApproval"
   },
   {
    "CellDisagreementId": "effortless-owl|KnowledgeGaps.DaysOpen|gap-policy-delivery-receipts",
    "FieldDisagreement": "effortless-owl|KnowledgeGaps.DaysOpen",
    "RecordId": "gap-policy-delivery-receipts",
    "ExpectedValue": "0",
    "ActualValue": "\"1\"",
    "Reason": "wrong/null value",
    "SemanticTypeIri": "urn:effortless:pko-extension#CellDisagreement",
    "Name": "effortless-owl|KnowledgeGaps.DaysOpen @ gap-policy-delivery-receipts",
    "Substrate": "effortless-owl",
    "RulebookField": "KnowledgeGaps.DaysOpen"
   },
   {
    "CellDisagreementId": "effortless-owl|ProcedureExecutions.LateStepCount|exec-close-2026-q2",
    "FieldDisagreement": "effortless-owl|ProcedureExecutions.LateStepCount",
    "RecordId": "exec-close-2026-q2",
    "ExpectedValue": "5",
    "ActualValue": "0",
    "Reason": "wrong/null value",
    "SemanticTypeIri": "urn:effortless:pko-extension#CellDisagreement",
    "Name": "effortless-owl|ProcedureExecutions.LateStepCount @ exec-close-2026-q2",
    "Substrate": "effortless-owl",
    "RulebookField": "ProcedureExecutions.LateStepCount"
   },
   {
    "CellDisagreementId": "effortless-owl|ProcedureExecutions.LateStepCount|exec-policy-hr4821",
    "FieldDisagreement": "effortless-owl|ProcedureExecutions.LateStepCount",
    "RecordId": "exec-policy-hr4821",
    "ExpectedValue": "2",
    "ActualValue": "0",
    "Reason": "wrong/null value",
    "SemanticTypeIri": "urn:effortless:pko-extension#CellDisagreement",
    "Name": "effortless-owl|ProcedureExecutions.LateStepCount @ exec-policy-hr4821",
    "Substrate": "effortless-owl",
    "RulebookField": "ProcedureExecutions.LateStepCount"
   },
   {
    "CellDisagreementId": "effortless-owl|ProcedureExecutions.UncleanStepCount|exec-close-2026-q2",
    "FieldDisagreement": "effortless-owl|ProcedureExecutions.UncleanStepCount",
    "RecordId": "exec-close-2026-q2",
    "ExpectedValue": "5",
    "ActualValue": "3",
    "Reason": "wrong/null value",
    "SemanticTypeIri": "urn:effortless:pko-extension#CellDisagreement",
    "Name": "effortless-owl|ProcedureExecutions.UncleanStepCount @ exec-close-2026-q2",
    "Substrate": "effortless-owl",
    "RulebookField": "ProcedureExecutions.UncleanStepCount"
   },
   {
    "CellDisagreementId": "effortless-owl|ProcedureExecutions.UncleanStepCount|exec-policy-hr4821",
    "FieldDisagreement": "effortless-owl|ProcedureExecutions.UncleanStepCount",
    "RecordId": "exec-policy-hr4821",
    "ExpectedValue": "2",
    "ActualValue": "1",
    "Reason": "wrong/null value",
    "SemanticTypeIri": "urn:effortless:pko-extension#CellDisagreement",
    "Name": "effortless-owl|ProcedureExecutions.UncleanStepCount @ exec-policy-hr4821",
    "Substrate": "effortless-owl",
    "RulebookField": "ProcedureExecutions.UncleanStepCount"
   },
   {
    "CellDisagreementId": "effortless-owl|ProcedureExecutions.VacuouslyCleanStepCount|exec-close-2026-q2",
    "FieldDisagreement": "effortless-owl|ProcedureExecutions.VacuouslyCleanStepCount",
    "RecordId": "exec-close-2026-q2",
    "ExpectedValue": "1",
    "ActualValue": "0",
    "Reason": "wrong/null value",
    "SemanticTypeIri": "urn:effortless:pko-extension#CellDisagreement",
    "Name": "effortless-owl|ProcedureExecutions.VacuouslyCleanStepCount @ exec-close-2026-q2",
    "Substrate": "effortless-owl",
    "RulebookField": "ProcedureExecutions.VacuouslyCleanStepCount"
   },
   {
    "CellDisagreementId": "effortless-owl|ProcedureExecutions.VacuouslyCleanStepCount|exec-policy-hr4821",
    "FieldDisagreement": "effortless-owl|ProcedureExecutions.VacuouslyCleanStepCount",
    "RecordId": "exec-policy-hr4821",
    "ExpectedValue": "1",
    "ActualValue": "0",
    "Reason": "wrong/null value",
    "SemanticTypeIri": "urn:effortless:pko-extension#CellDisagreement",
    "Name": "effortless-owl|ProcedureExecutions.VacuouslyCleanStepCount @ exec-policy-hr4821",
    "Substrate": "effortless-owl",
    "RulebookField": "ProcedureExecutions.VacuouslyCleanStepCount"
   },
   {
    "CellDisagreementId": "effortless-owl|ProcedureExecutions.UngovernedDivergenceCount|exec-policy-hr4821",
    "FieldDisagreement": "effortless-owl|ProcedureExecutions.UngovernedDivergenceCount",
    "RecordId": "exec-policy-hr4821",
    "ExpectedValue": "2",
    "ActualValue": "1",
    "Reason": "wrong/null value",
    "SemanticTypeIri": "urn:effortless:pko-extension#CellDisagreement",
    "Name": "effortless-owl|ProcedureExecutions.UngovernedDivergenceCount @ exec-policy-hr4821",
    "Substrate": "effortless-owl",
    "RulebookField": "ProcedureExecutions.UngovernedDivergenceCount"
   },
   {
    "CellDisagreementId": "effortless-owl|StepExecutions.ActualDurationMinutes|se-close01",
    "FieldDisagreement": "effortless-owl|StepExecutions.ActualDurationMinutes",
    "RecordId": "se-close01",
    "ExpectedValue": "4",
    "ActualValue": "null",
    "Reason": "wrong/null value",
    "SemanticTypeIri": "urn:effortless:pko-extension#CellDisagreement",
    "Name": "effortless-owl|StepExecutions.ActualDurationMinutes @ se-close01",
    "Substrate": "effortless-owl",
    "RulebookField": "StepExecutions.ActualDurationMinutes"
   },
   {
    "CellDisagreementId": "effortless-owl|StepExecutions.ActualDurationMinutes|se-close02",
    "FieldDisagreement": "effortless-owl|StepExecutions.ActualDurationMinutes",
    "RecordId": "se-close02",
    "ExpectedValue": "14",
    "ActualValue": "null",
    "Reason": "wrong/null value",
    "SemanticTypeIri": "urn:effortless:pko-extension#CellDisagreement",
    "Name": "effortless-owl|StepExecutions.ActualDurationMinutes @ se-close02",
    "Substrate": "effortless-owl",
    "RulebookField": "StepExecutions.ActualDurationMinutes"
   },
   {
    "CellDisagreementId": "effortless-owl|StepExecutions.ActualDurationMinutes|se-close03",
    "FieldDisagreement": "effortless-owl|StepExecutions.ActualDurationMinutes",
    "RecordId": "se-close03",
    "ExpectedValue": "1137",
    "ActualValue": "null",
    "Reason": "wrong/null value",
    "SemanticTypeIri": "urn:effortless:pko-extension#CellDisagreement",
    "Name": "effortless-owl|StepExecutions.ActualDurationMinutes @ se-close03",
    "Substrate": "effortless-owl",
    "RulebookField": "StepExecutions.ActualDurationMinutes"
   },
   {
    "CellDisagreementId": "effortless-owl|StepExecutions.ActualDurationMinutes|se-close04",
    "FieldDisagreement": "effortless-owl|StepExecutions.ActualDurationMinutes",
    "RecordId": "se-close04",
    "ExpectedValue": "170",
    "ActualValue": "null",
    "Reason": "wrong/null value",
    "SemanticTypeIri": "urn:effortless:pko-extension#CellDisagreement",
    "Name": "effortless-owl|StepExecutions.ActualDurationMinutes @ se-close04",
    "Substrate": "effortless-owl",
    "RulebookField": "StepExecutions.ActualDurationMinutes"
   },
   {
    "CellDisagreementId": "effortless-owl|StepExecutions.ActualDurationMinutes|se-close05",
    "FieldDisagreement": "effortless-owl|StepExecutions.ActualDurationMinutes",
    "RecordId": "se-close05",
    "ExpectedValue": "65",
    "ActualValue": "null",
    "Reason": "wrong/null value",
    "SemanticTypeIri": "urn:effortless:pko-extension#CellDisagreement",
    "Name": "effortless-owl|StepExecutions.ActualDurationMinutes @ se-close05",
    "Substrate": "effortless-owl",
    "RulebookField": "StepExecutions.ActualDurationMinutes"
   },
   {
    "CellDisagreementId": "effortless-owl|StepExecutions.ActualDurationMinutes|se-close06",
    "FieldDisagreement": "effortless-owl|StepExecutions.ActualDurationMinutes",
    "RecordId": "se-close06",
    "ExpectedValue": "22",
    "ActualValue": "null",
    "Reason": "wrong/null value",
    "SemanticTypeIri": "urn:effortless:pko-extension#CellDisagreement",
    "Name": "effortless-owl|StepExecutions.ActualDurationMinutes @ se-close06",
    "Substrate": "effortless-owl",
    "RulebookField": "StepExecutions.ActualDurationMinutes"
   },
   {
    "CellDisagreementId": "effortless-owl|StepExecutions.ActualDurationMinutes|se-close07",
    "FieldDisagreement": "effortless-owl|StepExecutions.ActualDurationMinutes",
    "RecordId": "se-close07",
    "ExpectedValue": "17",
    "ActualValue": "null",
    "Reason": "wrong/null value",
    "SemanticTypeIri": "urn:effortless:pko-extension#CellDisagreement",
    "Name": "effortless-owl|StepExecutions.ActualDurationMinutes @ se-close07",
    "Substrate": "effortless-owl",
    "RulebookField": "StepExecutions.ActualDurationMinutes"
   },
   {
    "CellDisagreementId": "effortless-owl|StepExecutions.ActualDurationMinutes|se-close08",
    "FieldDisagreement": "effortless-owl|StepExecutions.ActualDurationMinutes",
    "RecordId": "se-close08",
    "ExpectedValue": "165",
    "ActualValue": "null",
    "Reason": "wrong/null value",
    "SemanticTypeIri": "urn:effortless:pko-extension#CellDisagreement",
    "Name": "effortless-owl|StepExecutions.ActualDurationMinutes @ se-close08",
    "Substrate": "effortless-owl",
    "RulebookField": "StepExecutions.ActualDurationMinutes"
   },
   {
    "CellDisagreementId": "effortless-owl|StepExecutions.ActualDurationMinutes|se-policy01",
    "FieldDisagreement": "effortless-owl|StepExecutions.ActualDurationMinutes",
    "RecordId": "se-policy01",
    "ExpectedValue": "24",
    "ActualValue": "null",
    "Reason": "wrong/null value",
    "SemanticTypeIri": "urn:effortless:pko-extension#CellDisagreement",
    "Name": "effortless-owl|StepExecutions.ActualDurationMinutes @ se-policy01",
    "Substrate": "effortless-owl",
    "RulebookField": "StepExecutions.ActualDurationMinutes"
   },
   {
    "CellDisagreementId": "effortless-owl|StepExecutions.ActualDurationMinutes|se-policy02",
    "FieldDisagreement": "effortless-owl|StepExecutions.ActualDurationMinutes",
    "RecordId": "se-policy02",
    "ExpectedValue": "195",
    "ActualValue": "null",
    "Reason": "wrong/null value",
    "SemanticTypeIri": "urn:effortless:pko-extension#CellDisagreement",
    "Name": "effortless-owl|StepExecutions.ActualDurationMinutes @ se-policy02",
    "Substrate": "effortless-owl",
    "RulebookField": "StepExecutions.ActualDurationMinutes"
   },
   {
    "CellDisagreementId": "effortless-owl|StepExecutions.ActualDurationMinutes|se-policy03",
    "FieldDisagreement": "effortless-owl|StepExecutions.ActualDurationMinutes",
    "RecordId": "se-policy03",
    "ExpectedValue": "62",
    "ActualValue": "null",
    "Reason": "wrong/null value",
    "SemanticTypeIri": "urn:effortless:pko-extension#CellDisagreement",
    "Name": "effortless-owl|StepExecutions.ActualDurationMinutes @ se-policy03",
    "Substrate": "effortless-owl",
    "RulebookField": "StepExecutions.ActualDurationMinutes"
   },
   {
    "CellDisagreementId": "effortless-owl|StepExecutions.ActualDurationMinutes|se-policy04",
    "FieldDisagreement": "effortless-owl|StepExecutions.ActualDurationMinutes",
    "RecordId": "se-policy04",
    "ExpectedValue": "285",
    "ActualValue": "null",
    "Reason": "wrong/null value",
    "SemanticTypeIri": "urn:effortless:pko-extension#CellDisagreement",
    "Name": "effortless-owl|StepExecutions.ActualDurationMinutes @ se-policy04",
    "Substrate": "effortless-owl",
    "RulebookField": "StepExecutions.ActualDurationMinutes"
   },
   {
    "CellDisagreementId": "effortless-owl|StepExecutions.IsClean|se-close01",
    "FieldDisagreement": "effortless-owl|StepExecutions.IsClean",
    "RecordId": "se-close01",
    "ExpectedValue": "true",
    "ActualValue": "null",
    "Reason": "wrong/null value",
    "SemanticTypeIri": "urn:effortless:pko-extension#CellDisagreement",
    "Name": "effortless-owl|StepExecutions.IsClean @ se-close01",
    "Substrate": "effortless-owl",
    "RulebookField": "StepExecutions.IsClean"
   },
   {
    "CellDisagreementId": "effortless-owl|StepExecutions.IsClean|se-close06",
    "FieldDisagreement": "effortless-owl|StepExecutions.IsClean",
    "RecordId": "se-close06",
    "ExpectedValue": "true",
    "ActualValue": "null",
    "Reason": "wrong/null value",
    "SemanticTypeIri": "urn:effortless:pko-extension#CellDisagreement",
    "Name": "effortless-owl|StepExecutions.IsClean @ se-close06",
    "Substrate": "effortless-owl",
    "RulebookField": "StepExecutions.IsClean"
   },
   {
    "CellDisagreementId": "effortless-owl|StepExecutions.IsClean|se-close07",
    "FieldDisagreement": "effortless-owl|StepExecutions.IsClean",
    "RecordId": "se-close07",
    "ExpectedValue": "true",
    "ActualValue": "null",
    "Reason": "wrong/null value",
    "SemanticTypeIri": "urn:effortless:pko-extension#CellDisagreement",
    "Name": "effortless-owl|StepExecutions.IsClean @ se-close07",
    "Substrate": "effortless-owl",
    "RulebookField": "StepExecutions.IsClean"
   },
   {
    "CellDisagreementId": "effortless-owl|StepExecutions.IsClean|se-policy01",
    "FieldDisagreement": "effortless-owl|StepExecutions.IsClean",
    "RecordId": "se-policy01",
    "ExpectedValue": "true",
    "ActualValue": "null",
    "Reason": "wrong/null value",
    "SemanticTypeIri": "urn:effortless:pko-extension#CellDisagreement",
    "Name": "effortless-owl|StepExecutions.IsClean @ se-policy01",
    "Substrate": "effortless-owl",
    "RulebookField": "StepExecutions.IsClean"
   },
   {
    "CellDisagreementId": "effortless-owl|StepExecutions.IsClean|se-policy03",
    "FieldDisagreement": "effortless-owl|StepExecutions.IsClean",
    "RecordId": "se-policy03",
    "ExpectedValue": "true",
    "ActualValue": "null",
    "Reason": "wrong/null value",
    "SemanticTypeIri": "urn:effortless:pko-extension#CellDisagreement",
    "Name": "effortless-owl|StepExecutions.IsClean @ se-policy03",
    "Substrate": "effortless-owl",
    "RulebookField": "StepExecutions.IsClean"
   },
   {
    "CellDisagreementId": "effortless-owl|StepExecutions.IsSubstantivelyClean|se-close01",
    "FieldDisagreement": "effortless-owl|StepExecutions.IsSubstantivelyClean",
    "RecordId": "se-close01",
    "ExpectedValue": "true",
    "ActualValue": "null",
    "Reason": "wrong/null value",
    "SemanticTypeIri": "urn:effortless:pko-extension#CellDisagreement",
    "Name": "effortless-owl|StepExecutions.IsSubstantivelyClean @ se-close01",
    "Substrate": "effortless-owl",
    "RulebookField": "StepExecutions.IsSubstantivelyClean"
   },
   {
    "CellDisagreementId": "effortless-owl|StepExecutions.IsLate|se-close02",
    "FieldDisagreement": "effortless-owl|StepExecutions.IsLate",
    "RecordId": "se-close02",
    "ExpectedValue": "true",
    "ActualValue": "null",
    "Reason": "wrong/null value",
    "SemanticTypeIri": "urn:effortless:pko-extension#CellDisagreement",
    "Name": "effortless-owl|StepExecutions.IsLate @ se-close02",
    "Substrate": "effortless-owl",
    "RulebookField": "StepExecutions.IsLate"
   },
   {
    "CellDisagreementId": "effortless-owl|StepExecutions.IsLate|se-close03",
    "FieldDisagreement": "effortless-owl|StepExecutions.IsLate",
    "RecordId": "se-close03",
    "ExpectedValue": "true",
    "ActualValue": "null",
    "Reason": "wrong/null value",
    "SemanticTypeIri": "urn:effortless:pko-extension#CellDisagreement",
    "Name": "effortless-owl|StepExecutions.IsLate @ se-close03",
    "Substrate": "effortless-owl",
    "RulebookField": "StepExecutions.IsLate"
   },
   {
    "CellDisagreementId": "effortless-owl|StepExecutions.IsLate|se-close04",
    "FieldDisagreement": "effortless-owl|StepExecutions.IsLate",
    "RecordId": "se-close04",
    "ExpectedValue": "true",
    "ActualValue": "null",
    "Reason": "wrong/null value",
    "SemanticTypeIri": "urn:effortless:pko-extension#CellDisagreement",
    "Name": "effortless-owl|StepExecutions.IsLate @ se-close04",
    "Substrate": "effortless-owl",
    "RulebookField": "StepExecutions.IsLate"
   },
   {
    "CellDisagreementId": "effortless-owl|StepExecutions.IsLate|se-close05",
    "FieldDisagreement": "effortless-owl|StepExecutions.IsLate",
    "RecordId": "se-close05",
    "ExpectedValue": "true",
    "ActualValue": "null",
    "Reason": "wrong/null value",
    "SemanticTypeIri": "urn:effortless:pko-extension#CellDisagreement",
    "Name": "effortless-owl|StepExecutions.IsLate @ se-close05",
    "Substrate": "effortless-owl",
    "RulebookField": "StepExecutions.IsLate"
   },
   {
    "CellDisagreementId": "effortless-owl|StepExecutions.IsLate|se-close08",
    "FieldDisagreement": "effortless-owl|StepExecutions.IsLate",
    "RecordId": "se-close08",
    "ExpectedValue": "true",
    "ActualValue": "null",
    "Reason": "wrong/null value",
    "SemanticTypeIri": "urn:effortless:pko-extension#CellDisagreement",
    "Name": "effortless-owl|StepExecutions.IsLate @ se-close08",
    "Substrate": "effortless-owl",
    "RulebookField": "StepExecutions.IsLate"
   },
   {
    "CellDisagreementId": "effortless-owl|StepExecutions.IsLate|se-policy02",
    "FieldDisagreement": "effortless-owl|StepExecutions.IsLate",
    "RecordId": "se-policy02",
    "ExpectedValue": "true",
    "ActualValue": "null",
    "Reason": "wrong/null value",
    "SemanticTypeIri": "urn:effortless:pko-extension#CellDisagreement",
    "Name": "effortless-owl|StepExecutions.IsLate @ se-policy02",
    "Substrate": "effortless-owl",
    "RulebookField": "StepExecutions.IsLate"
   },
   {
    "CellDisagreementId": "effortless-owl|StepExecutions.IsLate|se-policy04",
    "FieldDisagreement": "effortless-owl|StepExecutions.IsLate",
    "RecordId": "se-policy04",
    "ExpectedValue": "true",
    "ActualValue": "null",
    "Reason": "wrong/null value",
    "SemanticTypeIri": "urn:effortless:pko-extension#CellDisagreement",
    "Name": "effortless-owl|StepExecutions.IsLate @ se-policy04",
    "Substrate": "effortless-owl",
    "RulebookField": "StepExecutions.IsLate"
   },
   {
    "CellDisagreementId": "effortless-owl|StepExecutions.StaleAuthoritativeSourceCount|se-close02",
    "FieldDisagreement": "effortless-owl|StepExecutions.StaleAuthoritativeSourceCount",
    "RecordId": "se-close02",
    "ExpectedValue": "1",
    "ActualValue": "0",
    "Reason": "wrong/null value",
    "SemanticTypeIri": "urn:effortless:pko-extension#CellDisagreement",
    "Name": "effortless-owl|StepExecutions.StaleAuthoritativeSourceCount @ se-close02",
    "Substrate": "effortless-owl",
    "RulebookField": "StepExecutions.StaleAuthoritativeSourceCount"
   },
   {
    "CellDisagreementId": "effortless-owl|StepExecutions.StaleAuthoritativeSourceCount|se-policy01",
    "FieldDisagreement": "effortless-owl|StepExecutions.StaleAuthoritativeSourceCount",
    "RecordId": "se-policy01",
    "ExpectedValue": "1",
    "ActualValue": "0",
    "Reason": "wrong/null value",
    "SemanticTypeIri": "urn:effortless:pko-extension#CellDisagreement",
    "Name": "effortless-owl|StepExecutions.StaleAuthoritativeSourceCount @ se-policy01",
    "Substrate": "effortless-owl",
    "RulebookField": "StepExecutions.StaleAuthoritativeSourceCount"
   },
   {
    "CellDisagreementId": "effortless-owl|StepExecutions.RanOnStaleAuthoritativeSource|se-close02",
    "FieldDisagreement": "effortless-owl|StepExecutions.RanOnStaleAuthoritativeSource",
    "RecordId": "se-close02",
    "ExpectedValue": "true",
    "ActualValue": "false",
    "Reason": "wrong/null value",
    "SemanticTypeIri": "urn:effortless:pko-extension#CellDisagreement",
    "Name": "effortless-owl|StepExecutions.RanOnStaleAuthoritativeSource @ se-close02",
    "Substrate": "effortless-owl",
    "RulebookField": "StepExecutions.RanOnStaleAuthoritativeSource"
   },
   {
    "CellDisagreementId": "effortless-owl|StepExecutions.RanOnStaleAuthoritativeSource|se-policy01",
    "FieldDisagreement": "effortless-owl|StepExecutions.RanOnStaleAuthoritativeSource",
    "RecordId": "se-policy01",
    "ExpectedValue": "true",
    "ActualValue": "false",
    "Reason": "wrong/null value",
    "SemanticTypeIri": "urn:effortless:pko-extension#CellDisagreement",
    "Name": "effortless-owl|StepExecutions.RanOnStaleAuthoritativeSource @ se-policy01",
    "Substrate": "effortless-owl",
    "RulebookField": "StepExecutions.RanOnStaleAuthoritativeSource"
   },
   {
    "CellDisagreementId": "effortless-owl|StepExecutions.LateExecutionKey|se-close02",
    "FieldDisagreement": "effortless-owl|StepExecutions.LateExecutionKey",
    "RecordId": "se-close02",
    "ExpectedValue": "\"exec-close-2026-q2\"",
    "ActualValue": "null",
    "Reason": "wrong/null value",
    "SemanticTypeIri": "urn:effortless:pko-extension#CellDisagreement",
    "Name": "effortless-owl|StepExecutions.LateExecutionKey @ se-close02",
    "Substrate": "effortless-owl",
    "RulebookField": "StepExecutions.LateExecutionKey"
   },
   {
    "CellDisagreementId": "effortless-owl|StepExecutions.LateExecutionKey|se-close03",
    "FieldDisagreement": "effortless-owl|StepExecutions.LateExecutionKey",
    "RecordId": "se-close03",
    "ExpectedValue": "\"exec-close-2026-q2\"",
    "ActualValue": "null",
    "Reason": "wrong/null value",
    "SemanticTypeIri": "urn:effortless:pko-extension#CellDisagreement",
    "Name": "effortless-owl|StepExecutions.LateExecutionKey @ se-close03",
    "Substrate": "effortless-owl",
    "RulebookField": "StepExecutions.LateExecutionKey"
   },
   {
    "CellDisagreementId": "effortless-owl|StepExecutions.LateExecutionKey|se-close04",
    "FieldDisagreement": "effortless-owl|StepExecutions.LateExecutionKey",
    "RecordId": "se-close04",
    "ExpectedValue": "\"exec-close-2026-q2\"",
    "ActualValue": "null",
    "Reason": "wrong/null value",
    "SemanticTypeIri": "urn:effortless:pko-extension#CellDisagreement",
    "Name": "effortless-owl|StepExecutions.LateExecutionKey @ se-close04",
    "Substrate": "effortless-owl",
    "RulebookField": "StepExecutions.LateExecutionKey"
   },
   {
    "CellDisagreementId": "effortless-owl|StepExecutions.LateExecutionKey|se-close05",
    "FieldDisagreement": "effortless-owl|StepExecutions.LateExecutionKey",
    "RecordId": "se-close05",
    "ExpectedValue": "\"exec-close-2026-q2\"",
    "ActualValue": "null",
    "Reason": "wrong/null value",
    "SemanticTypeIri": "urn:effortless:pko-extension#CellDisagreement",
    "Name": "effortless-owl|StepExecutions.LateExecutionKey @ se-close05",
    "Substrate": "effortless-owl",
    "RulebookField": "StepExecutions.LateExecutionKey"
   },
   {
    "CellDisagreementId": "effortless-owl|StepExecutions.LateExecutionKey|</t>
  </si>
  <si>
    <t xml:space="preserve">se-close08",
    "FieldDisagreement": "effortless-owl|StepExecutions.LateExecutionKey",
    "RecordId": "se-close08",
    "ExpectedValue": "\"exec-close-2026-q2\"",
    "ActualValue": "null",
    "Reason": "wrong/null value",
    "SemanticTypeIri": "urn:effortless:pko-extension#CellDisagreement",
    "Name": "effortless-owl|StepExecutions.LateExecutionKey @ se-close08",
    "Substrate": "effortless-owl",
    "RulebookField": "StepExecutions.LateExecutionKey"
   },
   {
    "CellDisagreementId": "effortless-owl|StepExecutions.LateExecutionKey|se-policy02",
    "FieldDisagreement": "effortless-owl|StepExecutions.LateExecutionKey",
    "RecordId": "se-policy02",
    "ExpectedValue": "\"exec-policy-hr4821\"",
    "ActualValue": "null",
    "Reason": "wrong/null value",
    "SemanticTypeIri": "urn:effortless:pko-extension#CellDisagreement",
    "Name": "effortless-owl|StepExecutions.LateExecutionKey @ se-policy02",
    "Substrate": "effortless-owl",
    "RulebookField": "StepExecutions.LateExecutionKey"
   },
   {
    "CellDisagreementId": "effortless-owl|StepExecutions.LateExecutionKey|se-policy04",
    "FieldDisagreement": "effortless-owl|StepExecutions.LateExecutionKey",
    "RecordId": "se-policy04",
    "ExpectedValue": "\"exec-policy-hr4821\"",
    "ActualValue": "null",
    "Reason": "wrong/null value",
    "SemanticTypeIri": "urn:effortless:pko-extension#CellDisagreement",
    "Name": "effortless-owl|StepExecutions.LateExecutionKey @ se-policy04",
    "Substrate": "effortless-owl",
    "RulebookField": "StepExecutions.LateExecutionKey"
   },
   {
    "CellDisagreementId": "effortless-owl|StepExecutions.InputsWereFreshAtRun|se-close02",
    "FieldDisagreement": "effortless-owl|StepExecutions.InputsWereFreshAtRun",
    "RecordId": "se-close02",
    "ExpectedValue": "false",
    "ActualValue": "true",
    "Reason": "wrong/null value",
    "SemanticTypeIri": "urn:effortless:pko-extension#CellDisagreement",
    "Name": "effortless-owl|StepExecutions.InputsWereFreshAtRun @ se-close02",
    "Substrate": "effortless-owl",
    "RulebookField": "StepExecutions.InputsWereFreshAtRun"
   },
   {
    "CellDisagreementId": "effortless-owl|StepExecutions.InputsWereFreshAtRun|se-policy01",
    "FieldDisagreement": "effortless-owl|StepExecutions.InputsWereFreshAtRun",
    "RecordId": "se-policy01",
    "ExpectedValue": "false",
    "ActualValue": "true",
    "Reason": "wrong/null value",
    "SemanticTypeIri": "urn:effortless:pko-extension#CellDisagreement",
    "Name": "effortless-owl|StepExecutions.InputsWereFreshAtRun @ se-policy01",
    "Substrate": "effortless-owl",
    "RulebookField": "StepExecutions.InputsWereFreshAtRun"
   },
   {
    "CellDisagreementId": "effortless-owl|StepExecutions.RanOnStaleInputs|se-close02",
    "FieldDisagreement": "effortless-owl|StepExecutions.RanOnStaleInputs",
    "RecordId": "se-close02",
    "ExpectedValue": "true",
    "ActualValue": "false",
    "Reason": "wrong/null value",
    "SemanticTypeIri": "urn:effortless:pko-extension#CellDisagreement",
    "Name": "effortless-owl|StepExecutions.RanOnStaleInputs @ se-close02",
    "Substrate": "effortless-owl",
    "RulebookField": "StepExecutions.RanOnStaleInputs"
   },
   {
    "CellDisagreementId": "effortless-owl|StepExecutions.RanOnStaleInputs|se-policy01",
    "FieldDisagreement": "effortless-owl|StepExecutions.RanOnStaleInputs",
    "RecordId": "se-policy01",
    "ExpectedValue": "true",
    "ActualValue": "false",
    "Reason": "wrong/null value",
    "SemanticTypeIri": "urn:effortless:pko-extension#CellDisagreement",
    "Name": "effortless-owl|StepExecutions.RanOnStaleInputs @ se-policy01",
    "Substrate": "effortless-owl",
    "RulebookField": "StepExecutions.RanOnStaleInputs"
   },
   {
    "CellDisagreementId": "effortless-owl|StepExecutions.StalenessAnswerIsTenseDependent|se-close02",
    "FieldDisagreement": "effortless-owl|StepExecutions.StalenessAnswerIsTenseDependent",
    "RecordId": "se-close02",
    "ExpectedValue": "true",
    "ActualValue": "false",
    "Reason": "wrong/null value",
    "SemanticTypeIri": "urn:effortless:pko-extension#CellDisagreement",
    "Name": "effortless-owl|StepExecutions.StalenessAnswerIsTenseDependent @ se-close02",
    "Substrate": "effortless-owl",
    "RulebookField": "StepExecutions.StalenessAnswerIsTenseDependent"
   },
   {
    "CellDisagreementId": "effortless-owl|StepExecutions.StalenessAnswerIsTenseDependent|se-policy01",
    "FieldDisagreement": "effortless-owl|StepExecutions.StalenessAnswerIsTenseDependent",
    "RecordId": "se-policy01",
    "ExpectedValue": "true",
    "ActualValue": "false",
    "Reason": "wrong/null value",
    "SemanticTypeIri": "urn:effortless:pko-extension#CellDisagreement",
    "Name": "effortless-owl|StepExecutions.StalenessAnswerIsTenseDependent @ se-policy01",
    "Substrate": "effortless-owl",
    "RulebookField": "StepExecutions.StalenessAnswerIsTenseDependent"
   },
   {
    "CellDisagreementId": "effortless-owl|StepExecutions.IsLateAndUnexplained|se-close03",
    "FieldDisagreement": "effortless-owl|StepExecutions.IsLateAndUnexplained",
    "RecordId": "se-close03",
    "ExpectedValue": "true",
    "ActualValue": "null",
    "Reason": "wrong/null value",
    "SemanticTypeIri": "urn:effortless:pko-extension#CellDisagreement",
    "Name": "effortless-owl|StepExecutions.IsLateAndUnexplained @ se-close03",
    "Substrate": "effortless-owl",
    "RulebookField": "StepExecutions.IsLateAndUnexplained"
   },
   {
    "CellDisagreementId": "effortless-owl|StepExecutions.IsLateAndUnexplained|se-close05",
    "FieldDisagreement": "effortless-owl|StepExecutions.IsLateAndUnexplained",
    "RecordId": "se-close05",
    "ExpectedValue": "true",
    "ActualValue": "null",
    "Reason": "wrong/null value",
    "SemanticTypeIri": "urn:effortless:pko-extension#CellDisagreement",
    "Name": "effortless-owl|StepExecutions.IsLateAndUnexplained @ se-close05",
    "Substrate": "effortless-owl",
    "RulebookField": "StepExecutions.IsLateAndUnexplained"
   },
   {
    "CellDisagreementId": "effortless-owl|StepExecutions.IsLateAndUnexplained|se-policy02",
    "FieldDisagreement": "effortless-owl|StepExecutions.IsLateAndUnexplained",
    "RecordId": "se-policy02",
    "ExpectedValue": "true",
    "ActualValue": "null",
    "Reason": "wrong/null value",
    "SemanticTypeIri": "urn:effortless:pko-extension#CellDisagreement",
    "Name": "effortless-owl|StepExecutions.IsLateAndUnexplained @ se-policy02",
    "Substrate": "effortless-owl",
    "RulebookField": "StepExecutions.IsLateAndUnexplained"
   },
   {
    "CellDisagreementId": "effortless-owl|StepExecutions.ProcedureExecutionWhenUnclean|se-close03",
    "FieldDisagreement": "effortless-owl|StepExecutions.ProcedureExecutionWhenUnclean",
    "RecordId": "se-close03",
    "ExpectedValue": "\"exec-close-2026-q2\"",
    "ActualValue": "null",
    "Reason": "wrong/null value",
    "SemanticTypeIri": "urn:effortless:pko-extension#CellDisagreement",
    "Name": "effortless-owl|StepExecutions.ProcedureExecutionWhenUnclean @ se-close03",
    "Substrate": "effortless-owl",
    "RulebookField": "StepExecutions.ProcedureExecutionWhenUnclean"
   },
   {
    "CellDisagreementId": "effortless-owl|StepExecutions.ProcedureExecutionWhenUnclean|se-close05",
    "FieldDisagreement": "effortless-owl|StepExecutions.ProcedureExecutionWhenUnclean",
    "RecordId": "se-close05",
    "ExpectedValue": "\"exec-close-2026-q2\"",
    "ActualValue": "null",
    "Reason": "wrong/null value",
    "SemanticTypeIri": "urn:effortless:pko-extension#CellDisagreement",
    "Name": "effortless-owl|StepExecutions.ProcedureExecutionWhenUnclean @ se-close05",
    "Substrate": "effortless-owl",
    "RulebookField": "StepExecutions.ProcedureExecutionWhenUnclean"
   },
   {
    "CellDisagreementId": "effortless-owl|StepExecutions.ProcedureExecutionWhenUnclean|se-policy02",
    "FieldDisagreement": "effortless-owl|StepExecutions.ProcedureExecutionWhenUnclean",
    "RecordId": "se-policy02",
    "ExpectedValue": "\"exec-policy-hr4821\"",
    "ActualValue": "null",
    "Reason": "wrong/null value",
    "SemanticTypeIri": "urn:effortless:pko-extension#CellDisagreement",
    "Name": "effortless-owl|StepExecutions.ProcedureExecutionWhenUnclean @ se-policy02",
    "Substrate": "effortless-owl",
    "RulebookField": "StepExecutions.ProcedureExecutionWhenUnclean"
   },
   {
    "CellDisagreementId": "effortless-owl|StepExecutions.IsVacuouslyClean|se-close07",
    "FieldDisagreement": "effortless-owl|StepExecutions.IsVacuouslyClean",
    "RecordId": "se-close07",
    "ExpectedValue": "true",
    "ActualValue": "null",
    "Reason": "wrong/null value",
    "SemanticTypeIri": "urn:effortless:pko-extension#CellDisagreement",
    "Name": "effortless-owl|StepExecutions.IsVacuouslyClean @ se-close07",
    "Substrate": "effortless-owl",
    "RulebookField": "StepExecutions.IsVacuouslyClean"
   },
   {
    "CellDisagreementId": "effortless-owl|StepExecutions.IsVacuouslyClean|se-policy01",
    "FieldDisagreement": "effortless-owl|StepExecutions.IsVacuouslyClean",
    "RecordId": "se-policy01",
    "ExpectedValue": "true",
    "ActualValue": "null",
    "Reason": "wrong/null value",
    "SemanticTypeIri": "urn:effortless:pko-extension#CellDisagreement",
    "Name": "effortless-owl|StepExecutions.IsVacuouslyClean @ se-policy01",
    "Substrate": "effortless-owl",
    "RulebookField": "StepExecutions.IsVacuouslyClean"
   },
   {
    "CellDisagreementId": "effortless-owl|StepExecutions.VacuouslyCleanExecutionKey|se-close07",
    "FieldDisagreement": "effortless-owl|StepExecutions.VacuouslyCleanExecutionKey",
    "RecordId": "se-close07",
    "ExpectedValue": "\"exec-close-2026-q2\"",
    "ActualValue": "null",
    "Reason": "wrong/null value",
    "SemanticTypeIri": "urn:effortless:pko-extension#CellDisagreement",
    "Name": "effortless-owl|StepExecutions.VacuouslyCleanExecutionKey @ se-close07",
    "Substrate": "effortless-owl",
    "RulebookField": "StepExecutions.VacuouslyCleanExecutionKey"
   },
   {
    "CellDisagreementId": "effortless-owl|StepExecutions.VacuouslyCleanExecutionKey|se-policy01",
    "FieldDisagreement": "effortless-owl|StepExecutions.VacuouslyCleanExecutionKey",
    "RecordId": "se-policy01",
    "ExpectedValue": "\"exec-policy-hr4821\"",
    "ActualValue": "null",
    "Reason": "wrong/null value",
    "SemanticTypeIri": "urn:effortless:pko-extension#CellDisagreement",
    "Name": "effortless-owl|StepExecutions.VacuouslyCleanExecutionKey @ se-policy01",
    "Substrate": "effortless-owl",
    "RulebookField": "StepExecutions.VacuouslyCleanExecutionKey"
   },
   {
    "CellDisagreementId": "effortless-owl|StepExecutions.IsUngovernedDivergence|se-policy02",
    "FieldDisagreement": "effortless-owl|StepExecutions.IsUngovernedDivergence",
    "RecordId": "se-policy02",
    "ExpectedValue": "true",
    "ActualValue": "null",
    "Reason": "wrong/null value",
    "SemanticTypeIri": "urn:effortless:pko-extension#CellDisagreement",
    "Name": "effortless-owl|StepExecutions.IsUngovernedDivergence @ se-policy02",
    "Substrate": "effortless-owl",
    "RulebookField": "StepExecutions.IsUngovernedDivergence"
   },
   {
    "CellDisagreementId": "effortless-owl|StepExecutions.UngovernedDivergenceExecutionKey|se-policy02",
    "FieldDisagreement": "effortless-owl|StepExecutions.UngovernedDivergenceExecutionKey",
    "RecordId": "se-policy02",
    "ExpectedValue": "\"exec-policy-hr4821\"",
    "ActualValue": "null",
    "Reason": "wrong/null value",
    "SemanticTypeIri": "urn:effortless:pko-extension#CellDisagreement",
    "Name": "effortless-owl|StepExecutions.UngovernedDivergenceExecutionKey @ se-policy02",
    "Substrate": "effortless-owl",
    "RulebookField": "StepExecutions.UngovernedDivergenceExecutionKey"
   },
   {
    "CellDisagreementId": "effortless-owl|ChangeRequests.DaysPending|cr-close-timestamp",
    "FieldDisagreement": "effortless-owl|ChangeRequests.DaysPending",
    "RecordId": "cr-close-timestamp",
    "ExpectedValue": "0",
    "ActualValue": "\"1\"",
    "Reason": "wrong/null value",
    "SemanticTypeIri": "urn:effortless:pko-extension#CellDisagreement",
    "Name": "effortless-owl|ChangeRequests.DaysPending @ cr-close-timestamp",
    "Substrate": "effortless-owl",
    "RulebookField": "ChangeRequests.DaysPending"
   },
   {
    "CellDisagreementId": "effortless-owl|ChangeRequests.DecisionLatencyDays|cr-close-timestamp",
    "FieldDisagreement": "effortless-owl|ChangeRequests.DecisionLatencyDays",
    "RecordId": "cr-close-timestamp",
    "ExpectedValue": "0",
    "ActualValue": "\"1\"",
    "Reason": "wrong/null value",
    "SemanticTypeIri": "urn:effortless:pko-extension#CellDisagreement",
    "Name": "effortless-owl|ChangeRequests.DecisionLatencyDays @ cr-close-timestamp",
    "Substrate": "effortless-owl",
    "RulebookField": "ChangeRequests.DecisionLatencyDays"
   },
   {
    "CellDisagreementId": "effortless-owl|ReviewEvents.DaysSinceReviewed|review-close-q1",
    "FieldDisagreement": "effortless-owl|ReviewEvents.DaysSinceReviewed",
    "RecordId": "review-close-q1",
    "ExpectedValue": "120",
    "ActualValue": "\"121\"",
    "Reason": "wrong/null value",
    "SemanticTypeIri": "urn:effortless:pko-extension#CellDisagreement",
    "Name": "effortless-owl|ReviewEvents.DaysSinceReviewed @ review-close-q1",
    "Substrate": "effortless-owl",
    "RulebookField": "ReviewEvents.DaysSinceReviewed"
   },
   {
    "CellDisagreementId": "effortless-owl|ReviewEvents.DaysSinceReviewed|review-close-q2",
    "FieldDisagreement": "effortless-owl|ReviewEvents.DaysSinceReviewed",
    "RecordId": "review-close-q2",
    "ExpectedValue": "16",
    "ActualValue": "\"17\"",
    "Reason": "wrong/null value",
    "SemanticTypeIri": "urn:effortless:pko-extension#CellDisagreement",
    "Name": "effortless-owl|ReviewEvents.DaysSinceReviewed @ review-close-q2",
    "Substrate": "effortless-owl",
    "RulebookField": "ReviewEvents.DaysSinceReviewed"
   },
   {
    "CellDisagreementId": "effortless-owl|ReviewEvents.DaysSinceReviewed|review-policy-prelaunch",
    "FieldDisagreement": "effortless-owl|ReviewEvents.DaysSinceReviewed",
    "RecordId": "review-policy-prelaunch",
    "ExpectedValue": "0",
    "ActualValue": "\"1\"",
    "Reason": "wrong/null value",
    "SemanticTypeIri": "urn:effortless:pko-extension#CellDisagreement",
    "Name": "effortless-owl|ReviewEvents.DaysSinceReviewed @ review-policy-prelaunch",
    "Substrate": "effortless-owl",
    "RulebookField": "ReviewEvents.DaysSinceReviewed"
   },
   {
    "CellDisagreementId": "effortless-owl|ReviewEvents.CadenceDriftDays|review-close-q1",
    "FieldDisagreement": "effortless-owl|ReviewEvents.CadenceDriftDays",
    "RecordId": "review-close-q1",
    "ExpectedValue": "30.0",
    "ActualValue": "31.0",
    "Reason": "wrong/null value",
    "SemanticTypeIri": "urn:effortless:pko-extension#CellDisagreement",
    "Name": "effortless-owl|ReviewEvents.CadenceDriftDays @ review-close-q1",
    "Substrate": "effortless-owl",
    "RulebookField": "ReviewEvents.CadenceDriftDays"
   },
   {
    "CellDisagreementId": "effortless-owl|ReviewEvents.CadenceDriftDays|review-close-q2",
    "FieldDisagreement": "effortless-owl|ReviewEvents.CadenceDriftDays",
    "RecordId": "review-close-q2",
    "ExpectedValue": "-74.0",
    "ActualValue": "-73.0",
    "Reason": "wrong/null value",
    "SemanticTypeIri": "urn:effortless:pko-extension#CellDisagreement",
    "Name": "effortless-owl|ReviewEvents.CadenceDriftDays @ review-close-q2",
    "Substrate": "effortless-owl",
    "RulebookField": "ReviewEvents.CadenceDriftDays"
   },
   {
    "CellDisagreementId": "effortless-owl|ReviewEvents.CadenceDriftDays|review-policy-prelaunch",
    "FieldDisagreement": "effortless-owl|ReviewEvents.CadenceDriftDays",
    "RecordId": "review-policy-prelaunch",
    "ExpectedValue": "-60.0",
    "ActualValue": "-59.0",
    "Reason": "wrong/null value",
    "SemanticTypeIri": "urn:effortless:pko-extension#CellDisagreement",
    "Name": "effortless-owl|ReviewEvents.CadenceDriftDays @ review-policy-prelaunch",
    "Substrate": "effortless-owl",
    "RulebookField": "ReviewEvents.CadenceDriftDays"
   },
   {
    "CellDisagreementId": "effortless-owl|OperationalBindings.AgeMinutes|bind-close-erp",
    "FieldDisagreement": "effortless-owl|OperationalBindings.AgeMinutes",
    "RecordId": "bind-close-erp",
    "ExpectedValue": "17",
    "ActualValue": "null",
    "Reason": "wrong/null value",
    "SemanticTypeIri": "urn:effortless:pko-extension#CellDisagreement",
    "Name": "effortless-owl|OperationalBindings.AgeMinutes @ bind-close-erp",
    "Substrate": "effortless-owl",
    "RulebookField": "OperationalBindings.AgeMinutes"
   },
   {
    "CellDisagreementId": "effortless-owl|OperationalBindings.AgeMinutes|bind-policy-consent",
    "FieldDisagreement": "effortless-owl|OperationalBindings.AgeMinutes",
    "RecordId": "bind-policy-consent",
    "ExpectedValue": "75",
    "ActualValue": "null",
    "Reason": "wrong/null value",
    "SemanticTypeIri": "urn:effortless:pko-extension#CellDisagreement",
    "Name": "effortless-owl|OperationalBindings.AgeMinutes @ bind-policy-consent",
    "Substrate": "effortless-owl",
    "RulebookField": "OperationalBindings.AgeMinutes"
   },
   {
    "CellDisagreementId": "effortless-owl|OperationalBindings.AgeMinutes|bind-policy-email",
    "FieldDisagreement": "effortless-owl|OperationalBindings.AgeMinutes",
    "RecordId": "bind-policy-email",
    "ExpectedValue": "1230",
    "ActualValue": "null",
    "Reason": "wrong/null value",
    "SemanticTypeIri": "urn:effortless:pko-extension#CellDisagreement",
    "Name": "effortless-owl|OperationalBindings.AgeMinutes @ bind-policy-email",
    "Substrate": "effortless-owl",
    "RulebookField": "OperationalBindings.AgeMinutes"
   },
   {
    "CellDisagreementId": "effortless-owl|OperationalBindings.AgeMinutes|bind-policy-sms",
    "FieldDisagreement": "effortless-owl|OperationalBindings.AgeMinutes",
    "RecordId": "bind-policy-sms",
    "ExpectedValue": "1230",
    "ActualValue": "null",
    "Reason": "wrong/null value",
    "SemanticTypeIri": "urn:effortless:pko-extension#CellDisagreement",
    "Name": "effortless-owl|OperationalBindings.AgeMinutes @ bind-policy-sms",
    "Substrate": "effortless-owl",
    "RulebookField": "OperationalBindings.AgeMinutes"
   },
   {
    "CellDisagreementId": "effortless-owl|OperationalBindings.AgeMinutes|bind-policy-ticket",
    "FieldDisagreement": "effortless-owl|OperationalBindings.AgeMinutes",
    "RecordId": "bind-policy-ticket",
    "ExpectedValue": "70",
    "ActualValue": "null",
    "Reason": "wrong/null value",
    "SemanticTypeIri": "urn:effortless:pko-extension#CellDisagreement",
    "Name": "effortless-owl|OperationalBindings.AgeMinutes @ bind-policy-ticket",
    "Substrate": "effortless-owl",
    "RulebookField": "OperationalBindings.AgeMinutes"
   },
   {
    "CellDisagreementId": "effortless-owl|OperationalBindings.StaleBindingStepKey|bind-close-erp",
    "FieldDisagreement": "effortless-owl|OperationalBindings.StaleBindingStepKey",
    "RecordId": "bind-close-erp",
    "ExpectedValue": "\"close-02\"",
    "ActualValue": "null",
    "Reason": "wrong/null value",
    "SemanticTypeIri": "urn:effortless:pko-extension#CellDisagreement",
    "Name": "effortless-owl|OperationalBindings.StaleBindingStepKey @ bind-close-erp",
    "Substrate": "effortless-owl",
    "RulebookField": "OperationalBindings.StaleBindingStepKey"
   },
   {
    "CellDisagreementId": "effortless-owl|OperationalBindings.StaleBindingStepKey|bind-policy-consent",
    "FieldDisagreement": "effortless-owl|OperationalBindings.StaleBindingStepKey",
    "RecordId": "bind-policy-consent",
    "ExpectedValue": "\"policy-07\"",
    "ActualValue": "null",
    "Reason": "wrong/null value",
    "SemanticTypeIri": "urn:effortless:pko-extension#CellDisagreement",
    "Name": "effortless-owl|OperationalBindings.StaleBindingStepKey @ bind-policy-consent",
    "Substrate": "effortless-owl",
    "RulebookField": "OperationalBindings.StaleBindingStepKey"
   },
   {
    "CellDisagreementId": "effortless-owl|OperationalBindings.StaleBindingStepKey|bind-policy-ticket",
    "FieldDisagreement": "effortless-owl|OperationalBindings.StaleBindingStepKey",
    "RecordId": "bind-policy-ticket",
    "ExpectedValue": "\"policy-01\"",
    "ActualValue": "null",
    "Reason": "wrong/null value",
    "SemanticTypeIri": "urn:effortless:pko-extension#CellDisagreement",
    "Name": "effortless-owl|OperationalBindings.StaleBindingStepKey @ bind-policy-ticket",
    "Substrate": "effortless-owl",
    "RulebookField": "OperationalBindings.StaleBindingStepKey"
   },
   {
    "CellDisagreementId": "effortless-owl|OperationalBindings.AuthoritativeStaleStepKey|bind-close-erp",
    "FieldDisagreement": "effortless-owl|OperationalBindings.AuthoritativeStaleStepKey",
    "RecordId": "bind-close-erp",
    "ExpectedValue": "\"close-02\"",
    "ActualValue": "null",
    "Reason": "wrong/null value",
    "SemanticTypeIri": "urn:effortless:pko-extension#CellDisagreement",
    "Name": "effortless-owl|OperationalBindings.AuthoritativeStaleStepKey @ bind-close-erp",
    "Substrate": "effortless-owl",
    "RulebookField": "OperationalBindings.AuthoritativeStaleStepKey"
   },
   {
    "CellDisagreementId": "effortless-owl|OperationalBindings.AuthoritativeStaleStepKey|bind-policy-consent",
    "FieldDisagreement": "effortless-owl|OperationalBindings.AuthoritativeStaleStepKey",
    "RecordId": "bind-policy-consent",
    "ExpectedValue": "\"policy-07\"",
    "ActualValue": "null",
    "Reason": "wrong/null value",
    "SemanticTypeIri": "urn:effortless:pko-extension#CellDisagreement",
    "Name": "effortless-owl|OperationalBindings.AuthoritativeStaleStepKey @ bind-policy-consent",
    "Substrate": "effortless-owl",
    "RulebookField": "OperationalBindings.AuthoritativeStaleStepKey"
   },
   {
    "CellDisagreementId": "effortless-owl|OperationalBindings.AuthoritativeStaleStepKey|bind-policy-ticket",
    "FieldDisagreement": "effortless-owl|OperationalBindings.AuthoritativeStaleStepKey",
    "RecordId": "bind-policy-ticket",
    "ExpectedValue": "\"policy-01\"",
    "ActualValue": "null",
    "Reason": "wrong/null value",
    "SemanticTypeIri": "urn:effortless:pko-extension#CellDisagreement",
    "Name": "effortless-owl|OperationalBindings.AuthoritativeStaleStepKey @ bind-policy-ticket",
    "Substrate": "effortless-owl",
    "RulebookField": "OperationalBindings.AuthoritativeStaleStepKey"
   },
   {
    "CellDisagreementId": "effortless-owl|OperationalBindings.IsStaleAndAuthoritative|bind-close-erp",
    "FieldDisagreement": "effortless-owl|OperationalBindings.IsStaleAndAuthoritative",
    "RecordId": "bind-close-erp",
    "ExpectedValue": "true",
    "ActualValue": "null",
    "Reason": "wrong/null value",
    "SemanticTypeIri": "urn:effortless:pko-extension#CellDisagreement",
    "Name": "effortless-owl|OperationalBindings.IsStaleAndAuthoritative @ bind-close-erp",
    "Substrate": "effortless-owl",
    "RulebookField": "OperationalBindings.IsStaleAndAuthoritative"
   },
   {
    "CellDisagreementId": "effortless-owl|OperationalBindings.IsStaleAndAuthoritative|bind-policy-consent",
    "FieldDisagreement": "effortless-owl|OperationalBindings.IsStaleAndAuthoritative",
    "RecordId": "bind-policy-consent",
    "ExpectedValue": "true",
    "ActualValue": "null",
    "Reason": "wrong/null value",
    "SemanticTypeIri": "urn:effortless:pko-extension#CellDisagreement",
    "Name": "effortless-owl|OperationalBindings.IsStaleAndAuthoritative @ bind-policy-consent",
    "Substrate": "effortless-owl",
    "RulebookField": "OperationalBindings.IsStaleAndAuthoritative"
   },
   {
    "CellDisagreementId": "effortless-owl|OperationalBindings.IsStaleAndAuthoritative|bind-policy-ticket",
    "FieldDisagreement": "effortless-owl|OperationalBindings.IsStaleAndAuthoritative",
    "RecordId": "bind-policy-ticket",
    "ExpectedValue": "true",
    "ActualValue": "null",
    "Reason": "wrong/null value",
    "SemanticTypeIri": "urn:effortless:pko-extension#CellDisagreement",
    "Name": "effortless-owl|OperationalBindings.IsStaleAndAuthoritative @ bind-policy-ticket",
    "Substrate": "effortless-owl",
    "RulebookField": "OperationalBindings.IsStaleAndAuthoritative"
   },
   {
    "CellDisagreementId": "effortless-owl|OperationalBindings.StepWhenStale|bind-close-erp",
    "FieldDisagreement": "effortless-owl|OperationalBindings.StepWhenStale",
    "RecordId": "bind-close-erp",
    "ExpectedValue": "\"close-02\"",
    "ActualValue": "null",
    "Reason": "wrong/null value",
    "SemanticTypeIri": "urn:effortless:pko-extension#CellDisagreement",
    "Name": "effortless-owl|OperationalBindings.StepWhenStale @ bind-close-erp",
    "Substrate": "effortless-owl",
    "RulebookField": "OperationalBindings.StepWhenStale"
   },
   {
    "CellDisagreementId": "effortless-owl|OperationalBindings.StepWhenStale|bind-policy-consent",
    "FieldDisagreement": "effortless-owl|OperationalBindings.StepWhenStale",
    "RecordId": "bind-policy-consent",
    "ExpectedValue": "\"policy-07\"",
    "ActualValue": "null",
    "Reason": "wrong/null value",
    "SemanticTypeIri": "urn:effortless:pko-extension#CellDisagreement",
    "Name": "effortless-owl|OperationalBindings.StepWhenStale @ bind-policy-consent",
    "Substrate": "effortless-owl",
    "RulebookField": "OperationalBindings.StepWhenStale"
   },
   {
    "CellDisagreementId": "effortless-owl|OperationalBindings.StepWhenStale|bind-policy-ticket",
    "FieldDisagreement": "effortless-owl|OperationalBindings.StepWhenStale",
    "RecordId": "bind-policy-ticket",
    "ExpectedValue": "\"policy-01\"",
    "ActualValue": "null",
    "Reason": "wrong/null value",
    "SemanticTypeIri": "urn:effortless:pko-extension#CellDisagreement",
    "Name": "effortless-owl|OperationalBindings.StepWhenStale @ bind-policy-ticket",
    "Substrate": "effortless-owl",
    "RulebookField": "OperationalBindings.StepWhenStale"
   },
   {
    "CellDisagreementId": "effortless-owl|OperationalBindings.IsFresh|bind-policy-email",
    "FieldDisagreement": "effortless-owl|OperationalBindings.IsFresh",
    "RecordId": "bind-policy-email",
    "ExpectedValue": "true",
    "ActualValue": "null",
    "Reason": "wrong/null value",
    "SemanticTypeIri": "urn:effortless:pko-extension#CellDisagreement",
    "Name": "effortless-owl|OperationalBindings.IsFresh @ bind-policy-email",
    "Substrate": "effortless-owl",
    "RulebookField": "OperationalBindings.IsFresh"
   },
   {
    "CellDisagreementId": "effortless-owl|OperationalBindings.IsFresh|bind-policy-sms",
    "FieldDisagreement": "effortless-owl|OperationalBindings.IsFresh",
    "RecordId": "bind-policy-sms",
    "ExpectedValue": "true",
    "ActualValue": "null",
    "Reason": "wrong/null value",
    "SemanticTypeIri": "urn:effortless:pko-extension#CellDisagreement",
    "Name": "effortless-owl|OperationalBindings.IsFresh @ bind-policy-sms",
    "Substrate": "effortless-owl",
    "RulebookField": "OperationalBindings.IsFresh"
   },
   {
    "CellDisagreementId": "effortless-owl|MessageDeliveries.AgeDays|md-001",
    "FieldDisagreement": "effortless-owl|MessageDeliveries.AgeDays",
    "RecordId": "md-001",
    "ExpectedValue": "0",
    "ActualValue": "\"1\"",
    "Reason": "wrong/null value",
    "SemanticTypeIri": "urn:effortless:pko-extension#CellDisagreement",
    "Name": "effortless-owl|MessageDeliveries.AgeDays @ md-001",
    "Substrate": "effortless-owl",
    "RulebookField": "MessageDeliveries.AgeDays"
   },
   {
    "CellDisagreementId": "effortless-owl|MessageDeliveries.AgeDays|md-002",
    "FieldDisagreement": "effortless-owl|MessageDeliveries.AgeDays",
    "RecordId": "md-002",
    "ExpectedValue": "0",
    "ActualValue": "\"1\"",
    "Reason": "wrong/null value",
    "SemanticTypeIri": "urn:effortless:pko-extension#CellDisagreement",
    "Name": "effortless-owl|MessageDeliveries.AgeDays @ md-002",
    "Substrate": "effortless-owl",
    "RulebookField": "MessageDeliveries.AgeDays"
   },
   {
    "CellDisagreementId": "effortless-owl|MessageDeliveries.AgeDays|md-003",
    "FieldDisagreement": "effortless-owl|MessageDeliveries.AgeDays",
    "RecordId": "md-003",
    "ExpectedValue": "0",
    "ActualValue": "\"1\"",
    "Reason": "wrong/null value",
    "SemanticTypeIri": "urn:effortless:pko-extension#CellDisagreement",
    "Name": "effortless-owl|MessageDeliveries.AgeDays @ md-003",
    "Substrate": "effortless-owl",
    "RulebookField": "MessageDeliveries.AgeDays"
   },
   {
    "CellDisagreementId": "effortless-owl|MessageDeliveries.AgeDays|md-004",
    "FieldDisagreement": "effortless-owl|MessageDeliveries.AgeDays",
    "RecordId": "md-004",
    "ExpectedValue": "0",
    "ActualValue": "\"1\"",
    "Reason": "wrong/null value",
    "SemanticTypeIri": "urn:effortless:pko-extension#CellDisagreement",
    "Name": "effortless-owl|MessageDeliveries.AgeDays @ md-004",
    "Substrate": "effortless-owl",
    "RulebookField": "MessageDeliveries.AgeDays"
   },
   {
    "CellDisagreementId": "effortless-owl|MessageDeliveries.AgeDays|md-005",
    "FieldDisagreement": "effortless-owl|MessageDeliveries.AgeDays",
    "RecordId": "md-005",
    "ExpectedValue": "0",
    "ActualValue": "\"1\"",
    "Reason": "wrong/null value",
    "SemanticTypeIri": "urn:effortless:pko-extension#CellDisagreement",
    "Name": "effortless-owl|MessageDeliveries.AgeDays @ md-005",
    "Substrate": "effortless-owl",
    "RulebookField": "MessageDeliveries.AgeDays"
   },
   {
    "CellDisagreementId": "effortless-owl|MessageDeliveries.AgeDays|md-006",
    "FieldDisagreement": "effortless-owl|MessageDeliveries.AgeDays",
    "RecordId": "md-006",
    "ExpectedValue": "0",
    "ActualValue": "\"1\"",
    "Reason": "wrong/null value",
    "SemanticTypeIri": "urn:effortless:pko-extension#CellDisagreement",
    "Name": "effortless-owl|MessageDeliveries.AgeDays @ md-006",
    "Substrate": "effortless-owl",
    "RulebookField": "MessageDeliveries.AgeDays"
   },
   {
    "CellDisagreementId": "effortless-owl|MessageDeliveries.OutstandingAgeDays|md-002",
    "FieldDisagreement": "effortless-owl|MessageDeliveries.OutstandingAgeDays",
    "RecordId": "md-002",
    "ExpectedValue": "0",
    "ActualValue": "\"1\"",
    "Reason": "wrong/null value",
    "SemanticTypeIri": "urn:effortless:pko-extension#CellDisagreement",
    "Name": "effortless-owl|MessageDeliveries.OutstandingAgeDays @ md-002",
    "Substrate": "effortless-owl",
    "RulebookField": "MessageDeliveries.OutstandingAgeDays"
   },
   {
    "CellDisagreementId": "effortless-owl|MessageDeliveries.OutstandingAgeDays|md-003",
    "FieldDisagreement": "effortless-owl|MessageDeliveries.OutstandingAgeDays",
    "RecordId": "md-003",
    "ExpectedValue": "0",
    "ActualValue": "\"1\"",
    "Reason": "wrong/null value",
    "SemanticTypeIri": "urn:effortless:pko-extension#CellDisagreement",
    "Name": "effortless-owl|MessageDeliveries.OutstandingAgeDays @ md-003",
    "Substrate": "effortless-owl",
    "RulebookField": "MessageDeliveries.OutstandingAgeDays"
   },
   {
    "CellDisagreementId": "effortless-owl|MessageDeliveries.OutstandingAgeDays|md-005",
    "FieldDisagreement": "effortless-owl|MessageDeliveries.OutstandingAgeDays",
    "RecordId": "md-005",
    "ExpectedValue": "0",
    "ActualValue": "\"1\"",
    "Reason": "wrong/null value",
    "SemanticTypeIri": "urn:effortless:pko-extension#CellDisagreement",
    "Name": "effortless-owl|MessageDeliveries.OutstandingAgeDays @ md-005",
    "Substrate": "effortless-owl",
    "RulebookField": "MessageDeliveries.OutstandingAgeDays"
   },
   {
    "CellDisagreementId": "effortless-owl|MessageDeliveries.HasOptOutPhrase|md-003",
    "FieldDisagreement": "effortless-owl|MessageDeliveries.HasOptOutPhrase",
    "RecordId": "md-003",
    "ExpectedValue": "true",
    "ActualValue": "null",
    "Reason": "wrong/null value",
    "SemanticTypeIri": "urn:effortless:pko-extension#CellDisagreement",
    "Name": "effortless-owl|MessageDeliveries.HasOptOutPhrase @ md-003",
    "Substrate": "effortless-owl",
    "RulebookField": "MessageDeliveries.HasOptOutPhrase"
   },
   {
    "CellDisagreementId": "effortless-owl|MessageDeliveries.HasOptOutPhrase|md-004",
    "FieldDisagreement": "effortless-owl|MessageDeliveries.HasOptOutPhrase",
    "RecordId": "md-004",
    "ExpectedValue": "true",
    "ActualValue": "null",
    "Reason": "wrong/null value",
    "SemanticTypeIri": "urn:effortless:pko-extension#CellDisagreement",
    "Name": "effortless-owl|MessageDeliveries.HasOptOutPhrase @ md-004",
    "Substrate": "effortless-owl",
    "RulebookField": "MessageDeliveries.HasOptOutPhrase"
   },
   {
    "CellDisagreementId": "effortless-owl|MessageDeliveries.HasOptOutPhrase|md-006"</t>
  </si>
  <si>
    <t xml:space="preserve">,
    "FieldDisagreement": "effortless-owl|MessageDeliveries.HasOptOutPhrase",
    "RecordId": "md-006",
    "ExpectedValue": "true",
    "ActualValue": "null",
    "Reason": "wrong/null value",
    "SemanticTypeIri": "urn:effortless:pko-extension#CellDisagreement",
    "Name": "effortless-owl|MessageDeliveries.HasOptOutPhrase @ md-006",
    "Substrate": "effortless-owl",
    "RulebookField": "MessageDeliveries.HasOptOutPhrase"
   },
   {
    "CellDisagreementId": "effortless-owl|MessageDeliveries.IsOptOutInFirstSegment|md-003",
    "FieldDisagreement": "effortless-owl|MessageDeliveries.IsOptOutInFirstSegment",
    "RecordId": "md-003",
    "ExpectedValue": "true",
    "ActualValue": "null",
    "Reason": "wrong/null value",
    "SemanticTypeIri": "urn:effortless:pko-extension#CellDisagreement",
    "Name": "effortless-owl|MessageDeliveries.IsOptOutInFirstSegment @ md-003",
    "Substrate": "effortless-owl",
    "RulebookField": "MessageDeliveries.IsOptOutInFirstSegment"
   },
   {
    "CellDisagreementId": "effortless-owl|MessageDeliveries.IsOptOutInFirstSegment|md-004",
    "FieldDisagreement": "effortless-owl|MessageDeliveries.IsOptOutInFirstSegment",
    "RecordId": "md-004",
    "ExpectedValue": "true",
    "ActualValue": "null",
    "Reason": "wrong/null value",
    "SemanticTypeIri": "urn:effortless:pko-extension#CellDisagreement",
    "Name": "effortless-owl|MessageDeliveries.IsOptOutInFirstSegment @ md-004",
    "Substrate": "effortless-owl",
    "RulebookField": "MessageDeliveries.IsOptOutInFirstSegment"
   },
   {
    "CellDisagreementId": "effortless-owl|MessageDeliveries.IsOptOutInFirstSegment|md-006",
    "FieldDisagreement": "effortless-owl|MessageDeliveries.IsOptOutInFirstSegment",
    "RecordId": "md-006",
    "ExpectedValue": "true",
    "ActualValue": "null",
    "Reason": "wrong/null value",
    "SemanticTypeIri": "urn:effortless:pko-extension#CellDisagreement",
    "Name": "effortless-owl|MessageDeliveries.IsOptOutInFirstSegment @ md-006",
    "Substrate": "effortless-owl",
    "RulebookField": "MessageDeliveries.IsOptOutInFirstSegment"
   },
   {
    "CellDisagreementId": "effortless-owl|MessageDeliveries.IsMissingRequiredOptOut|md-005",
    "FieldDisagreement": "effortless-owl|MessageDeliveries.IsMissingRequiredOptOut",
    "RecordId": "md-005",
    "ExpectedValue": "true",
    "ActualValue": "null",
    "Reason": "wrong/null value",
    "SemanticTypeIri": "urn:effortless:pko-extension#CellDisagreement",
    "Name": "effortless-owl|MessageDeliveries.IsMissingRequiredOptOut @ md-005",
    "Substrate": "effortless-owl",
    "RulebookField": "MessageDeliveries.IsMissingRequiredOptOut"
   },
   {
    "CellDisagreementId": "effortless-owl|SendIntents.DeferralAgeHours|si-001",
    "FieldDisagreement": "effortless-owl|SendIntents.DeferralAgeHours",
    "RecordId": "si-001",
    "ExpectedValue": "22",
    "ActualValue": "null",
    "Reason": "wrong/null value",
    "SemanticTypeIri": "urn:effortless:pko-extension#CellDisagreement",
    "Name": "effortless-owl|SendIntents.DeferralAgeHours @ si-001",
    "Substrate": "effortless-owl",
    "RulebookField": "SendIntents.DeferralAgeHours"
   },
   {
    "CellDisagreementId": "effortless-owl|SendIntents.DeferralAgeHours|si-002",
    "FieldDisagreement": "effortless-owl|SendIntents.DeferralAgeHours",
    "RecordId": "si-002",
    "ExpectedValue": "22",
    "ActualValue": "null",
    "Reason": "wrong/null value",
    "SemanticTypeIri": "urn:effortless:pko-extension#CellDisagreement",
    "Name": "effortless-owl|SendIntents.DeferralAgeHours @ si-002",
    "Substrate": "effortless-owl",
    "RulebookField": "SendIntents.DeferralAgeHours"
   },
   {
    "CellDisagreementId": "effortless-owl|SendIntents.DeferralAgeHours|si-003",
    "FieldDisagreement": "effortless-owl|SendIntents.DeferralAgeHours",
    "RecordId": "si-003",
    "ExpectedValue": "22",
    "ActualValue": "null",
    "Reason": "wrong/null value",
    "SemanticTypeIri": "urn:effortless:pko-extension#CellDisagreement",
    "Name": "effortless-owl|SendIntents.DeferralAgeHours @ si-003",
    "Substrate": "effortless-owl",
    "RulebookField": "SendIntents.DeferralAgeHours"
   },
   {
    "CellDisagreementId": "effortless-owl|SendIntents.DeferralAgeHours|si-004",
    "FieldDisagreement": "effortless-owl|SendIntents.DeferralAgeHours",
    "RecordId": "si-004",
    "ExpectedValue": "22",
    "ActualValue": "null",
    "Reason": "wrong/null value",
    "SemanticTypeIri": "urn:effortless:pko-extension#CellDisagreement",
    "Name": "effortless-owl|SendIntents.DeferralAgeHours @ si-004",
    "Substrate": "effortless-owl",
    "RulebookField": "SendIntents.DeferralAgeHours"
   },
   {
    "CellDisagreementId": "effortless-owl|SendIntents.DeferralAgeHours|si-005",
    "FieldDisagreement": "effortless-owl|SendIntents.DeferralAgeHours",
    "RecordId": "si-005",
    "ExpectedValue": "22",
    "ActualValue": "null",
    "Reason": "wrong/null value",
    "SemanticTypeIri": "urn:effortless:pko-extension#CellDisagreement",
    "Name": "effortless-owl|SendIntents.DeferralAgeHours @ si-005",
    "Substrate": "effortless-owl",
    "RulebookField": "SendIntents.DeferralAgeHours"
   },
   {
    "CellDisagreementId": "effortless-owl|SendIntents.DeferralAgeHours|si-006",
    "FieldDisagreement": "effortless-owl|SendIntents.DeferralAgeHours",
    "RecordId": "si-006",
    "ExpectedValue": "22",
    "ActualValue": "null",
    "Reason": "wrong/null value",
    "SemanticTypeIri": "urn:effortless:pko-extension#CellDisagreement",
    "Name": "effortless-owl|SendIntents.DeferralAgeHours @ si-006",
    "Substrate": "effortless-owl",
    "RulebookField": "SendIntents.DeferralAgeHours"
   },
   {
    "CellDisagreementId": "effortless-owl|SendIntents.DeferralAgeHours|si-007",
    "FieldDisagreement": "effortless-owl|SendIntents.DeferralAgeHours",
    "RecordId": "si-007",
    "ExpectedValue": "22",
    "ActualValue": "null",
    "Reason": "wrong/null value",
    "SemanticTypeIri": "urn:effortless:pko-extension#CellDisagreement",
    "Name": "effortless-owl|SendIntents.DeferralAgeHours @ si-007",
    "Substrate": "effortless-owl",
    "RulebookField": "SendIntents.DeferralAgeHours"
   },
   {
    "CellDisagreementId": "effortless-owl|SendIntents.IsSelfWitnessedDecision|si-001",
    "FieldDisagreement": "effortless-owl|SendIntents.IsSelfWitnessedDecision",
    "RecordId": "si-001",
    "ExpectedValue": "true",
    "ActualValue": "null",
    "Reason": "wrong/null value",
    "SemanticTypeIri": "urn:effortless:pko-extension#CellDisagreement",
    "Name": "effortless-owl|SendIntents.IsSelfWitnessedDecision @ si-001",
    "Substrate": "effortless-owl",
    "RulebookField": "SendIntents.IsSelfWitnessedDecision"
   },
   {
    "CellDisagreementId": "effortless-owl|SendIntents.IsSelfWitnessedDecision|si-002",
    "FieldDisagreement": "effortless-owl|SendIntents.IsSelfWitnessedDecision",
    "RecordId": "si-002",
    "ExpectedValue": "true",
    "ActualValue": "null",
    "Reason": "wrong/null value",
    "SemanticTypeIri": "urn:effortless:pko-extension#CellDisagreement",
    "Name": "effortless-owl|SendIntents.IsSelfWitnessedDecision @ si-002",
    "Substrate": "effortless-owl",
    "RulebookField": "SendIntents.IsSelfWitnessedDecision"
   },
   {
    "CellDisagreementId": "effortless-owl|SendIntents.IsSelfWitnessedDecision|si-003",
    "FieldDisagreement": "effortless-owl|SendIntents.IsSelfWitnessedDecision",
    "RecordId": "si-003",
    "ExpectedValue": "true",
    "ActualValue": "null",
    "Reason": "wrong/null value",
    "SemanticTypeIri": "urn:effortless:pko-extension#CellDisagreement",
    "Name": "effortless-owl|SendIntents.IsSelfWitnessedDecision @ si-003",
    "Substrate": "effortless-owl",
    "RulebookField": "SendIntents.IsSelfWitnessedDecision"
   },
   {
    "CellDisagreementId": "effortless-owl|SendIntents.IsSelfWitnessedDecision|si-004",
    "FieldDisagreement": "effortless-owl|SendIntents.IsSelfWitnessedDecision",
    "RecordId": "si-004",
    "ExpectedValue": "true",
    "ActualValue": "null",
    "Reason": "wrong/null value",
    "SemanticTypeIri": "urn:effortless:pko-extension#CellDisagreement",
    "Name": "effortless-owl|SendIntents.IsSelfWitnessedDecision @ si-004",
    "Substrate": "effortless-owl",
    "RulebookField": "SendIntents.IsSelfWitnessedDecision"
   },
   {
    "CellDisagreementId": "effortless-owl|SendIntents.IsSelfWitnessedDecision|si-005",
    "FieldDisagreement": "effortless-owl|SendIntents.IsSelfWitnessedDecision",
    "RecordId": "si-005",
    "ExpectedValue": "true",
    "ActualValue": "null",
    "Reason": "wrong/null value",
    "SemanticTypeIri": "urn:effortless:pko-extension#CellDisagreement",
    "Name": "effortless-owl|SendIntents.IsSelfWitnessedDecision @ si-005",
    "Substrate": "effortless-owl",
    "RulebookField": "SendIntents.IsSelfWitnessedDecision"
   },
   {
    "CellDisagreementId": "effortless-owl|SendIntents.IsSelfWitnessedDecision|si-006",
    "FieldDisagreement": "effortless-owl|SendIntents.IsSelfWitnessedDecision",
    "RecordId": "si-006",
    "ExpectedValue": "true",
    "ActualValue": "null",
    "Reason": "wrong/null value",
    "SemanticTypeIri": "urn:effortless:pko-extension#CellDisagreement",
    "Name": "effortless-owl|SendIntents.IsSelfWitnessedDecision @ si-006",
    "Substrate": "effortless-owl",
    "RulebookField": "SendIntents.IsSelfWitnessedDecision"
   },
   {
    "CellDisagreementId": "effortless-owl|SendIntents.IsSelfWitnessedDecision|si-007",
    "FieldDisagreement": "effortless-owl|SendIntents.IsSelfWitnessedDecision",
    "RecordId": "si-007",
    "ExpectedValue": "true",
    "ActualValue": "null",
    "Reason": "wrong/null value",
    "SemanticTypeIri": "urn:effortless:pko-extension#CellDisagreement",
    "Name": "effortless-owl|SendIntents.IsSelfWitnessedDecision @ si-007",
    "Substrate": "effortless-owl",
    "RulebookField": "SendIntents.IsSelfWitnessedDecision"
   },
   {
    "CellDisagreementId": "effortless-owl|SendIntents.IsUnreportedRefusalOnMyRules|si-003",
    "FieldDisagreement": "effortless-owl|SendIntents.IsUnreportedRefusalOnMyRules",
    "RecordId": "si-003",
    "ExpectedValue": "true",
    "ActualValue": "null",
    "Reason": "wrong/null value",
    "SemanticTypeIri": "urn:effortless:pko-extension#CellDisagreement",
    "Name": "effortless-owl|SendIntents.IsUnreportedRefusalOnMyRules @ si-003",
    "Substrate": "effortless-owl",
    "RulebookField": "SendIntents.IsUnreportedRefusalOnMyRules"
   },
   {
    "CellDisagreementId": "effortless-owl|SendIntents.IsUnreportedRefusalOnMyRules|si-004",
    "FieldDisagreement": "effortless-owl|SendIntents.IsUnreportedRefusalOnMyRules",
    "RecordId": "si-004",
    "ExpectedValue": "true",
    "ActualValue": "null",
    "Reason": "wrong/null value",
    "SemanticTypeIri": "urn:effortless:pko-extension#CellDisagreement",
    "Name": "effortless-owl|SendIntents.IsUnreportedRefusalOnMyRules @ si-004",
    "Substrate": "effortless-owl",
    "RulebookField": "SendIntents.IsUnreportedRefusalOnMyRules"
   },
   {
    "CellDisagreementId": "effortless-owl|SendIntents.IsUnreportedRefusalOnMyRules|si-005",
    "FieldDisagreement": "effortless-owl|SendIntents.IsUnreportedRefusalOnMyRules",
    "RecordId": "si-005",
    "ExpectedValue": "true",
    "ActualValue": "null",
    "Reason": "wrong/null value",
    "SemanticTypeIri": "urn:effortless:pko-extension#CellDisagreement",
    "Name": "effortless-owl|SendIntents.IsUnreportedRefusalOnMyRules @ si-005",
    "Substrate": "effortless-owl",
    "RulebookField": "SendIntents.IsUnreportedRefusalOnMyRules"
   },
   {
    "CellDisagreementId": "effortless-owl|SendIntents.WindowHasSinceReopened|si-003",
    "FieldDisagreement": "effortless-owl|SendIntents.WindowHasSinceReopened",
    "RecordId": "si-003",
    "ExpectedValue": "true",
    "ActualValue": "null",
    "Reason": "wrong/null value",
    "SemanticTypeIri": "urn:effortless:pko-extension#CellDisagreement",
    "Name": "effortless-owl|SendIntents.WindowHasSinceReopened @ si-003",
    "Substrate": "effortless-owl",
    "RulebookField": "SendIntents.WindowHasSinceReopened"
   },
   {
    "CellDisagreementId": "effortless-owl|SendIntents.IsAbandonedDeferral|si-003",
    "FieldDisagreement": "effortless-owl|SendIntents.IsAbandonedDeferral",
    "RecordId": "si-003",
    "ExpectedValue": "true",
    "ActualValue": "null",
    "Reason": "wrong/null value",
    "SemanticTypeIri": "urn:effortless:pko-extension#CellDisagreement",
    "Name": "effortless-owl|SendIntents.IsAbandonedDeferral @ si-003",
    "Substrate": "effortless-owl",
    "RulebookField": "SendIntents.IsAbandonedDeferral"
   },
   {
    "CellDisagreementId": "effortless-owl|SendIntents.IsApprovalOverriddenSilently|si-004",
    "FieldDisagreement": "effortless-owl|SendIntents.IsApprovalOverriddenSilently",
    "RecordId": "si-004",
    "ExpectedValue": "true",
    "ActualValue": "null",
    "Reason": "wrong/null value",
    "SemanticTypeIri": "urn:effortless:pko-extension#CellDisagreement",
    "Name": "effortless-owl|SendIntents.IsApprovalOverriddenSilently @ si-004",
    "Substrate": "effortless-owl",
    "RulebookField": "SendIntents.IsApprovalOverriddenSilently"
   },
   {
    "CellDisagreementId": "effortless-owl|SendIntents.IsApprovalOverriddenSilently|si-005",
    "FieldDisagreement": "effortless-owl|SendIntents.IsApprovalOverriddenSilently",
    "RecordId": "si-005",
    "ExpectedValue": "true",
    "ActualValue": "null",
    "Reason": "wrong/null value",
    "SemanticTypeIri": "urn:effortless:pko-extension#CellDisagreement",
    "Name": "effortless-owl|SendIntents.IsApprovalOverriddenSilently @ si-005",
    "Substrate": "effortless-owl",
    "RulebookField": "SendIntents.IsApprovalOverriddenSilently"
   },
   {
    "CellDisagreementId": "effortless-owl|AgentDecisionRecords.ReviewLatencyMinutes|adr-close-extract-q2",
    "FieldDisagreement": "effortless-owl|AgentDecisionRecords.ReviewLatencyMinutes",
    "RecordId": "adr-close-extract-q2",
    "ExpectedValue": "4.0",
    "ActualValue": "null",
    "Reason": "wrong/null value",
    "SemanticTypeIri": "urn:effortless:pko-extension#CellDisagreement",
    "Name": "effortless-owl|AgentDecisionRecords.ReviewLatencyMinutes @ adr-close-extract-q2",
    "Substrate": "effortless-owl",
    "RulebookField": "AgentDecisionRecords.ReviewLatencyMinutes"
   },
   {
    "CellDisagreementId": "effortless-owl|AgentDecisionRecords.ReviewLatencyMinutes|adr-close-freeze-q2",
    "FieldDisagreement": "effortless-owl|AgentDecisionRecords.ReviewLatencyMinutes",
    "RecordId": "adr-close-freeze-q2",
    "ExpectedValue": "18.0",
    "ActualValue": "null",
    "Reason": "wrong/null value",
    "SemanticTypeIri": "urn:effortless:pko-extension#CellDisagreement",
    "Name": "effortless-owl|AgentDecisionRecords.ReviewLatencyMinutes @ adr-close-freeze-q2",
    "Substrate": "effortless-owl",
    "RulebookField": "AgentDecisionRecords.ReviewLatencyMinutes"
   },
   {
    "CellDisagreementId": "effortless-owl|AgentDecisionRecords.ReviewLatencyMinutes|adr-close-post-q2",
    "FieldDisagreement": "effortless-owl|AgentDecisionRecords.ReviewLatencyMinutes",
    "RecordId": "adr-close-post-q2",
    "ExpectedValue": "30.0",
    "ActualValue": "null",
    "Reason": "wrong/null value",
    "SemanticTypeIri": "urn:effortless:pko-extension#CellDisagreement",
    "Name": "effortless-owl|AgentDecisionRecords.ReviewLatencyMinutes @ adr-close-post-q2",
    "Substrate": "effortless-owl",
    "RulebookField": "AgentDecisionRecords.ReviewLatencyMinutes"
   },
   {
    "CellDisagreementId": "effortless-owl|DeliveredCommunications.Name|dc-hr4821-email-001",
    "FieldDisagreement": "effortless-owl|DeliveredCommunications.Name",
    "RecordId": "dc-hr4821-email-001",
    "ExpectedValue": "\"Email -&gt; emp-anon-0001 @ \"",
    "ActualValue": "null",
    "Reason": "wrong/null value",
    "SemanticTypeIri": "urn:effortless:pko-extension#CellDisagreement",
    "Name": "effortless-owl|DeliveredCommunications.Name @ dc-hr4821-email-001",
    "Substrate": "effortless-owl",
    "RulebookField": "DeliveredCommunications.Name"
   },
   {
    "CellDisagreementId": "effortless-owl|DeliveredCommunications.ContentMatchesApproval|dc-hr4821-email-001",
    "FieldDisagreement": "effortless-owl|DeliveredCommunications.ContentMatchesApproval",
    "RecordId": "dc-hr4821-email-001",
    "ExpectedValue": "true",
    "ActualValue": "null",
    "Reason": "wrong/null value",
    "SemanticTypeIri": "urn:effortless:pko-extension#CellDisagreement",
    "Name": "effortless-owl|DeliveredCommunications.ContentMatchesApproval @ dc-hr4821-email-001",
    "Substrate": "effortless-owl",
    "RulebookField": "DeliveredCommunications.ContentMatchesApproval"
   },
   {
    "CellDisagreementId": "effortless-owl|AppRoleProfiles.RouteCount|profile-cfo",
    "FieldDisagreement": "effortless-owl|AppRoleProfiles.RouteCount",
    "RecordId": "profile-cfo",
    "ExpectedValue": "12",
    "ActualValue": "0",
    "Reason": "wrong/null value",
    "SemanticTypeIri": "urn:effortless:pko-extension#CellDisagreement",
    "Name": "effortless-owl|AppRoleProfiles.RouteCount @ profile-cfo",
    "Substrate": "effortless-owl",
    "RulebookField": "AppRoleProfiles.RouteCount"
   },
   {
    "CellDisagreementId": "effortless-owl|AppRoleProfiles.RouteCount|profile-close-automation",
    "FieldDisagreement": "effortless-owl|AppRoleProfiles.RouteCount",
    "RecordId": "profile-close-automation",
    "ExpectedValue": "6",
    "ActualValue": "0",
    "Reason": "wrong/null value",
    "SemanticTypeIri": "urn:effortless:pko-extension#CellDisagreement",
    "Name": "effortless-owl|AppRoleProfiles.RouteCount @ profile-close-automation",
    "Substrate": "effortless-owl",
    "RulebookField": "AppRoleProfiles.RouteCount"
   },
   {
    "CellDisagreementId": "effortless-owl|AppRoleProfiles.RouteCount|profile-communications-manager",
    "FieldDisagreement": "effortless-owl|AppRoleProfiles.RouteCount",
    "RecordId": "profile-communications-manager",
    "ExpectedValue": "11",
    "ActualValue": "0",
    "Reason": "wrong/null value",
    "SemanticTypeIri": "urn:effortless:pko-extension#CellDisagreement",
    "Name": "effortless-owl|AppRoleProfiles.RouteCount @ profile-communications-manager",
    "Substrate": "effortless-owl",
    "RulebookField": "AppRoleProfiles.RouteCount"
   },
   {
    "CellDisagreementId": "effortless-owl|AppRoleProfiles.RouteCount|profile-controller",
    "FieldDisagreement": "effortless-owl|AppRoleProfiles.RouteCount",
    "RecordId": "profile-controller",
    "ExpectedValue": "10",
    "ActualValue": "0",
    "Reason": "wrong/null value",
    "SemanticTypeIri": "urn:effortless:pko-extension#CellDisagreement",
    "Name": "effortless-owl|AppRoleProfiles.RouteCount @ profile-controller",
    "Substrate": "effortless-owl",
    "RulebookField": "AppRoleProfiles.RouteCount"
   },
   {
    "CellDisagreementId": "effortless-owl|AppRoleProfiles.RouteCount|profile-employment-counsel",
    "FieldDisagreement": "effortless-owl|AppRoleProfiles.RouteCount",
    "RecordId": "profile-employment-counsel",
    "ExpectedValue": "6",
    "ActualValue": "0",
    "Reason": "wrong/null value",
    "SemanticTypeIri": "urn:effortless:pko-extension#CellDisagreement",
    "Name": "effortless-owl|AppRoleProfiles.RouteCount @ profile-employment-counsel",
    "Substrate": "effortless-owl",
    "RulebookField": "AppRoleProfiles.RouteCount"
   },
   {
    "CellDisagreementId": "effortless-owl|AppRoleProfiles.RouteCount|profile-finance-analyst",
    "FieldDisagreement": "effortless-owl|AppRoleProfiles.RouteCount",
    "RecordId": "profile-finance-analyst",
    "ExpectedValue": "11",
    "ActualValue": "0",
    "Reason": "wrong/null value",
    "SemanticTypeIri": "urn:effortless:pko-extension#CellDisagreement",
    "Name": "effortless-owl|AppRoleProfiles.RouteCount @ profile-finance-analyst",
    "Substrate": "effortless-owl",
    "RulebookField": "AppRoleProfiles.RouteCount"
   },
   {
    "CellDisagreementId": "effortless-owl|AppRoleProfiles.RouteCount|profile-hr-policy-owner",
    "FieldDisagreement": "effortless-owl|AppRoleProfiles.RouteCount",
    "RecordId": "profile-hr-policy-owner",
    "ExpectedValue": "10",
    "ActualValue": "0",
    "Reason": "wrong/null value",
    "SemanticTypeIri": "urn:effortless:pko-extension#CellDisagreement",
    "Name": "effortless-owl|AppRoleProfiles.RouteCount @ profile-hr-policy-owner",
    "Substrate": "effortless-owl",
    "RulebookField": "AppRoleProfiles.RouteCount"
   },
   {
    "CellDisagreementId": "effortless-owl|AppRoleProfiles.RouteCount|profile-knowledge-authority",
    "FieldDisagreement": "effortless-owl|AppRoleProfiles.RouteCount",
    "RecordId": "profile-knowledge-authority",
    "ExpectedValue": "11",
    "ActualValue": "0",
    "Reason": "wrong/null value",
    "SemanticTypeIri": "urn:effortless:pko-extension#CellDisagreement",
    "Name": "effortless-owl|AppRoleProfiles.RouteCount @ profile-knowledge-authority",
    "Substrate": "effortless-owl",
    "RulebookField": "AppRoleProfiles.RouteCount"
   },
   {
    "CellDisagreementId": "effortless-owl|AppRoleProfiles.RouteCount|profile-notification-publisher",
    "FieldDisagreement": "effortless-owl|AppRoleProfiles.RouteCount",
    "RecordId": "profile-notification-publisher",
    "ExpectedValue": "11",
    "ActualValue": "0",
    "Reason": "wrong/null value",
    "SemanticTypeIri": "urn:effortless:pko-extension#CellDisagreement",
    "Name": "effortless-owl|AppRoleProfiles.RouteCount @ profile-notification-publisher",
    "Substrate": "effortless-owl",
    "RulebookField": "AppRoleProfiles.RouteCount"
   },
   {
    "CellDisagreementId": "effortless-owl|AppRoleProfiles.RouteCount|profile-policy-drafting-agent",
    "FieldDisagreement": "effortless-owl|AppRoleProfiles.RouteCount",
    "RecordId": "profile-policy-drafting-agent",
    "ExpectedValue": "6",
    "ActualValue": "0",
    "Reason": "wrong/null value",
    "SemanticTypeIri": "urn:effortless:pko-extension#CellDisagreement",
    "Name": "effortless-owl|AppRoleProfiles.RouteCount @ profile-policy-drafting-agent",
    "Substrate": "effortless-owl",
    "RulebookField": "AppRoleProfiles.RouteCount"
   },
   {
    "CellDisagreementId": "effortless-owl|AppRoleProfiles.RouteCount|profile-process-steward",
    "FieldDisagreement": "effortless-owl|AppRoleProfiles.RouteCount",
    "RecordId": "profile-process-steward",
    "ExpectedValue": "11",
    "ActualValue": "0",
    "Reason": "wrong/null value",
    "SemanticTypeIri": "urn:effortless:pko-extension#CellDisagreement",
    "Name": "effortless-owl|AppRoleProfiles.RouteCount @ profile-process-steward",
    "Substrate": "effortless-owl",
    "RulebookField": "AppRoleProfiles.RouteCount"
   },
   {
    "CellDisagreementId": "effortless-owl|AppRoleProfiles.RouteCount|profile-variance-review-agent",
    "FieldDisagreement": "effortless-owl|AppRoleProfiles.RouteCount",
    "RecordId": "profile-variance-review-agent",
    "ExpectedValue": "11",
    "ActualValue": "0",
    "Reason": "wrong/null value",
    "SemanticTypeIri": "urn:effortless:pko-extension#CellDisagreement",
    "Name": "effortless-owl|AppRoleProfiles.RouteCount @ profile-variance-review-agent",
    "Substrate": "effortless-owl",
    "RulebookField": "AppRoleProfiles.RouteCount"
   },
   {
    "CellDisagreementId": "effortless-owl|AccessDenialTests.Name|deny-cfo-send-intents",
    "FieldDisagreement": "effortless-owl|AccessDenialTests.Name",
    "RecordId": "deny-cfo-send-intents",
    "ExpectedValue": "\"principal-cfo must not see \"",
    "ActualValue": "null",
    "Reason": "wrong/null value",
    "SemanticTypeIri": "urn:effortless:pko-extension#CellDisagreement",
    "Name": "effortless-owl|AccessDenialTests.Name @ deny-cfo-send-intents",
    "Substrate": "effortless-owl",
    "RulebookField": "AccessDenialTests.Name"
   },
   {
    "CellDisagreementId": "effortless-owl|AccessDenialTests.Name|deny-cfo-step-executions",
    "FieldDisagreement": "effortless-owl|AccessDenialTests.Name",
    "RecordId": "deny-cfo-step-executions",
    "ExpectedValue": "\"principal-cfo must not see \"",
    "ActualValue": "null",
    "Reason": "wrong/null value",
    "SemanticTypeIri": "urn:effortless:pko-extension#CellDisagreement",
    "Name": "effortless-owl|AccessDenialTests.Name @ deny-cfo-step-executions",
    "Substrate": "effortless-owl",
    "RulebookField": "AccessDenialTests.Name"
   },
   {
    "CellDisagreementId": "effortless-owl|AccessDenialTests.Name|deny-close-automation-change-requests",
    "FieldDisagreement": "effortless-owl|AccessDenialTests.Name",
    "RecordId": "deny-close-automation-change-requests",
    "ExpectedValue": "\"principal-close-automation must not see \"",
    "ActualValue": "null",
    "Reason": "wrong/null value",
    "SemanticTypeIri": "urn:effortless:pko-extension#CellDisagreement",
    "Name": "effortless-owl|AccessDenialTests.Name @ deny-close-automation-change-requests",
    "Substrate": "effortless-owl",
    "RulebookField": "AccessDenialTests.Name"
   },
   {
    "CellDisagreementId": "effortless-owl|AccessDenialTests.Name|deny-close-automation-recipients",
    "FieldDisagreement": "effortless-owl|AccessDenialTests.Name",
    "RecordId": "deny-close-automation-recipients",
    "ExpectedValue": "\"principal-close-automation must not see \"",
    "ActualValue": "null",
    "Reason": "wrong/null value",
    "SemanticTypeIri": "urn:effortless:pko-extension#CellDisagreement",
    "Name": "effortless-owl|AccessDenialTests.Name @ deny-close-automation-recipients",
    "Substrate": "effortless-owl",
    "RulebookField": "AccessDenialTests.Name"
   },
   {
    "CellDisagreementId": "effortless-owl|AccessDenialTests.Name|deny-employment-counsel-step-executions",
    "FieldDisagreement": "effortless-owl|AccessDenialTests.Name",
    "RecordId": "deny-employment-counsel-step-executions",
    "ExpectedValue": "\"principal-employment-counsel must not see \"",
    "ActualValue": "null",
    "Reason": "wrong/null value",
    "SemanticTypeIri": "urn:effortless:pko-extension#CellDisagreement",
    "Name": "effortless-owl|AccessDenialTests.Name @ deny-employment-counsel-step-executions",
    "Substrate": "effortless-owl",
    "RulebookField": "AccessDenialTests.Name"
   },
   {
    "CellDisagreementId": "effortless-owl|AccessDenialTests.Name|deny-notification-publisher-knowledge-fragments",
    "FieldDisagreement": "effortless-owl|AccessDenialTests.Name",
    "RecordId": "deny-notification-publisher-knowledge-fragments",
    "ExpectedValue": "\"principal-notification-publisher must not see \"",
    "ActualValue": "null",
    "Reason": "wrong/null value",
    "SemanticTypeIri": "urn:effortless:pko-extension#CellDisagreement",
    "Name": "effortless-owl|AccessDenialTests.Name @ deny-notification-publisher-knowledge-fragments",
    "Substrate": "effortless-owl",
    "RulebookField": "AccessDenialTests.Name"
   },
   {
    "CellDisagreementId": "effortless-owl|AccessDenialTests.Name|deny-policy-drafting-agent-recipients",
    "FieldDisagreement": "effortless-owl|AccessDenialTests.Name",
    "RecordId": "deny-policy-drafting-agent-recipients",
    "ExpectedValue": "\"principal-policy-drafting-agent must not see \"",
    "ActualValue": "null",
    "Reason": "wrong/null value",
    "SemanticTypeIri": "urn:effortless:pko-extension#CellDisagreement",
    "Name": "effortless-owl|AccessDenialTests.Name @ deny-policy-drafting-agent-recipients",
    "Substrate": "effortless-owl",
    "RulebookField": "AccessDenialTests.Name"
   },
   {
    "CellDisagreementId": "effortless-owl|AccessDenialTests.Name|deny-variance-review-agent-recipients",
    "FieldDisagreement": "effortless-owl|AccessDenialTests.Name",
    "RecordId": "deny-variance-review-agent-recipients",
    "ExpectedValue": "\"principal-variance-review-agent must not see \"",
    "ActualValue": "null",
    "Reason": "wrong/null value",
    "SemanticTypeIri": "urn:effortless:pko-extension#CellDisagreement",
    "Name": "effortless-owl|AccessDenialTests.Name @ deny-variance-review-agent-recipients",
    "Substrate": "effortless-owl",
    "RulebookField": "AccessDenialTests.Name"
   },
   {
    "CellDisagreementId": "effortless-python|EvaluationContexts.Name|eval-current",
    "FieldDisagreement": "effortless-python|EvaluationContexts.Name",
    "RecordId": "eval-current",
    "ExpectedValue": "\"Post-close evaluation @ 2026-07-19T13:00:00-05:00\"",
    "ActualValue": "\"Post-close evaluation @ 2026-07-19 13:00:00-05\"",
    "Reason": "wrong/null value",
    "SemanticTypeIri": "urn:effortless:pko-extension#CellDisagreement",
    "Name": "effortless-python|EvaluationContexts.Name @ eval-current",
    "Substrate": "effortless-python",
    "RulebookField": "EvaluationContexts.Name"
   },
   {
    "CellDisagreementId": "effortless-python|RoleAssignments.Name|ra-authority-2026",
    "FieldDisagreement": "effortless-python|RoleAssignments.Name",
    "RecordId": "ra-authority-2026",
    "ExpectedValue": "\"knowledge-authority @ 2026-01-01T00:00:00-06:00\"",
    "ActualValue": "\"knowledge-authority @ 2026-01-01 00:00:00-06\"",
    "Reason": "wrong/null value",
    "SemanticTypeIri": "urn:effortless:pko-extension#CellDisagreement",
    "Name": "effortless-python|RoleAssignments.Name @ ra-authority-2026",
    "Substrate": "effortless-python",
    "RulebookField": "RoleAssignments.Name"
   },
   {
    "CellDisagreementId": "effortless-python|RoleAssignments.Name|ra-cfo-2026",
    "FieldDisagreement": "effortless-python|RoleAssignments.Name",
    "RecordId": "ra-cfo-2026",
    "ExpectedValue": "\"cfo @ 2026-01-01T00:00:00-06:00\"",
    "ActualValue": "\"cfo @ 2026-01-01 00:00:00-06\"",
    "Reason": "wrong/null value",
    "SemanticTypeIri": "urn:effortless:pko-extension#CellDisagreement",
    "Name": "effortless-python|RoleAssignments.Name @ ra-cfo-2026",
    "Substrate": "effortless-python",
    "RulebookField": "RoleAssignments.Name"
   },
   {
    "CellDisagreementId": "effortless-python|RoleAssignments.Name|ra-close-pipeline-2026",
    "FieldDisagreement": "effortless-python|RoleAssignments.Name",
    "RecordId": "ra-close-pipeline-2026",
    "ExpectedValue": "\"close-automation @ 2026-01-01T00:00:00-06:00\"",
    "ActualValue": "\"close-automation @ 2026-01-01 00:00:00-06\"",
    "Reason": "wrong/null value",
    "SemanticTypeIri": "urn:effortless:pko-extension#CellDisagreement",
    "Name": "effortless-python|RoleAssignments.Name @ ra-close-pipeline-2026",
    "Substrate": "effortless-python",
    "RulebookField": "RoleAssignments.Name"
   },
   {
    "CellDisagreementId": "effortless-python|RoleAssignments.Name|ra-comms-2026",
    "FieldDisagreement": "effortless-python|RoleAssignments.Name",
    "RecordId": "ra-comms-2026",
    "ExpectedValue": "\"communications-manager @ 2026-02-01T00:00:00-06:00\"",
    "ActualValue": "\"communications-manager @ 2026-02-01 00:00:00-06\"",
    "Reason": "wrong/null value",
    "SemanticTypeIri": "urn:effortless:pko-extension#CellDisagreement",
    "Name": "effortless-python|RoleAssignments.Name @ ra-comms-2026",
    "Substrate": "effortless-python",
    "RulebookField": "RoleAssignments.Name"
   },
   {
    "CellDisagreementId": "effortless-python|RoleAssignments.Name|ra-controller-2026",
    "FieldDisagreement": "effortless-python|RoleAssignments.Name",
    "RecordId": "ra-controller-2026",
    "ExpectedValue": "\"controller @ 2026-01-01T00:00:00-06:00\"",
    "ActualValue": "\"controller @ 2026-01-01 00:00:00-06\"",
    "Reason": "wrong/null value",
    "SemanticTypeIri": "urn:effortless:pko-extension#CellDisagreement",
    "Name": "effortless-python|RoleAssignments.Name @ ra-controller-2026",
    "Substrate": "effortless-python",
    "RulebookField": "RoleAssignments.Name"
   },
   {
    "CellDisagreementId": "effortless-python|RoleAssignments.Name|ra-counsel-2026",
    "FieldDisagreement": "effortless-python|RoleAssignments.Name",
    "RecordId": "ra-counsel-2026",
    "ExpectedValue": "\"employment-counsel @ 2026-01-15T00:00:00-06:00\"",
    "ActualValue": "\"employment-counsel @ 2026-01-15 00:00:00-06\"",
    "Reason": "wrong/null value",
    "SemanticTypeIri": "urn:effortless:pko-extension#CellDisagreement",
    "Name": "effortless-python|RoleAssignments.Name @ ra-counsel-2026",
    "Substrate": "effortless-python",
    "RulebookField": "RoleAssignments.Name"
   },
   {
    "CellDisagreementId": "effortless-python|RoleAssignments.Name|ra-finance-2026",
    "FieldDisagreement": "effortless-python|RoleAssignments.Name",
    "RecordId": "ra-finance-2026",
    "ExpectedValue": "\"finance-analyst @ 2026-01-01T00:00:00-06:00\"",
    "ActualValue": "\"finance-analyst @ 2026-01-01 00:00:00-06\"",
    "Reason": "wrong/null value",
    "SemanticTypeIri": "urn:effortless:pko-extension#CellDisagre</t>
  </si>
  <si>
    <t xml:space="preserve">ement",
    "Name": "effortless-python|RoleAssignments.Name @ ra-finance-2026",
    "Substrate": "effortless-python",
    "RulebookField": "RoleAssignments.Name"
   },
   {
    "CellDisagreementId": "effortless-python|RoleAssignments.Name|ra-new-variance",
    "FieldDisagreement": "effortless-python|RoleAssignments.Name",
    "RecordId": "ra-new-variance",
    "ExpectedValue": "\"variance-review-agent @ 2026-04-01T00:00:00-05:00\"",
    "ActualValue": "\"variance-review-agent @ 2026-04-01 00:00:00-05\"",
    "Reason": "wrong/null value",
    "SemanticTypeIri": "urn:effortless:pko-extension#CellDisagreement",
    "Name": "effortless-python|RoleAssignments.Name @ ra-new-variance",
    "Substrate": "effortless-python",
    "RulebookField": "RoleAssignments.Name"
   },
   {
    "CellDisagreementId": "effortless-python|RoleAssignments.Name|ra-notify-pipeline-2026",
    "FieldDisagreement": "effortless-python|RoleAssignments.Name",
    "RecordId": "ra-notify-pipeline-2026",
    "ExpectedValue": "\"notification-publisher @ 2026-03-01T00:00:00-06:00\"",
    "ActualValue": "\"notification-publisher @ 2026-03-01 00:00:00-06\"",
    "Reason": "wrong/null value",
    "SemanticTypeIri": "urn:effortless:pko-extension#CellDisagreement",
    "Name": "effortless-python|RoleAssignments.Name @ ra-notify-pipeline-2026",
    "Substrate": "effortless-python",
    "RulebookField": "RoleAssignments.Name"
   },
   {
    "CellDisagreementId": "effortless-python|RoleAssignments.Name|ra-old-variance",
    "FieldDisagreement": "effortless-python|RoleAssignments.Name",
    "RecordId": "ra-old-variance",
    "ExpectedValue": "\"variance-review-agent @ 2025-01-01T00:00:00-06:00\"",
    "ActualValue": "\"variance-review-agent @ 2025-01-01 00:00:00-06\"",
    "Reason": "wrong/null value",
    "SemanticTypeIri": "urn:effortless:pko-extension#CellDisagreement",
    "Name": "effortless-python|RoleAssignments.Name @ ra-old-variance",
    "Substrate": "effortless-python",
    "RulebookField": "RoleAssignments.Name"
   },
   {
    "CellDisagreementId": "effortless-python|RoleAssignments.Name|ra-policy-ai-2026",
    "FieldDisagreement": "effortless-python|RoleAssignments.Name",
    "RecordId": "ra-policy-ai-2026",
    "ExpectedValue": "\"policy-drafting-agent @ 2026-05-01T00:00:00-05:00\"",
    "ActualValue": "\"policy-drafting-agent @ 2026-05-01 00:00:00-05\"",
    "Reason": "wrong/null value",
    "SemanticTypeIri": "urn:effortless:pko-extension#CellDisagreement",
    "Name": "effortless-python|RoleAssignments.Name @ ra-policy-ai-2026",
    "Substrate": "effortless-python",
    "RulebookField": "RoleAssignments.Name"
   },
   {
    "CellDisagreementId": "effortless-python|RoleAssignments.Name|ra-policy-owner-2026",
    "FieldDisagreement": "effortless-python|RoleAssignments.Name",
    "RecordId": "ra-policy-owner-2026",
    "ExpectedValue": "\"hr-policy-owner @ 2026-02-01T00:00:00-06:00\"",
    "ActualValue": "\"hr-policy-owner @ 2026-02-01 00:00:00-06\"",
    "Reason": "wrong/null value",
    "SemanticTypeIri": "urn:effortless:pko-extension#CellDisagreement",
    "Name": "effortless-python|RoleAssignments.Name @ ra-policy-owner-2026",
    "Substrate": "effortless-python",
    "RulebookField": "RoleAssignments.Name"
   },
   {
    "CellDisagreementId": "effortless-python|RoleAssignments.Name|ra-steward-2026",
    "FieldDisagreement": "effortless-python|RoleAssignments.Name",
    "RecordId": "ra-steward-2026",
    "ExpectedValue": "\"process-steward @ 2026-04-15T09:00:00-05:00\"",
    "ActualValue": "\"process-steward @ 2026-04-15 09:00:00-05\"",
    "Reason": "wrong/null value",
    "SemanticTypeIri": "urn:effortless:pko-extension#CellDisagreement",
    "Name": "effortless-python|RoleAssignments.Name @ ra-steward-2026",
    "Substrate": "effortless-python",
    "RulebookField": "RoleAssignments.Name"
   },
   {
    "CellDisagreementId": "effortless-python|RoleAssignments.QualityVerdictIsUnsupported|ra-authority-2026",
    "FieldDisagreement": "effortless-python|RoleAssignments.QualityVerdictIsUnsupported",
    "RecordId": "ra-authority-2026",
    "ExpectedValue": "true",
    "ActualValue": "null",
    "Reason": "wrong/null value",
    "SemanticTypeIri": "urn:effortless:pko-extension#CellDisagreement",
    "Name": "effortless-python|RoleAssignments.QualityVerdictIsUnsupported @ ra-authority-2026",
    "Substrate": "effortless-python",
    "RulebookField": "RoleAssignments.QualityVerdictIsUnsupported"
   },
   {
    "CellDisagreementId": "effortless-python|RoleAssignments.QualityVerdictIsUnsupported|ra-cfo-2026",
    "FieldDisagreement": "effortless-python|RoleAssignments.QualityVerdictIsUnsupported",
    "RecordId": "ra-cfo-2026",
    "ExpectedValue": "true",
    "ActualValue": "null",
    "Reason": "wrong/null value",
    "SemanticTypeIri": "urn:effortless:pko-extension#CellDisagreement",
    "Name": "effortless-python|RoleAssignments.QualityVerdictIsUnsupported @ ra-cfo-2026",
    "Substrate": "effortless-python",
    "RulebookField": "RoleAssignments.QualityVerdictIsUnsupported"
   },
   {
    "CellDisagreementId": "effortless-python|RoleAssignments.QualityVerdictIsUnsupported|ra-close-pipeline-2026",
    "FieldDisagreement": "effortless-python|RoleAssignments.QualityVerdictIsUnsupported",
    "RecordId": "ra-close-pipeline-2026",
    "ExpectedValue": "true",
    "ActualValue": "null",
    "Reason": "wrong/null value",
    "SemanticTypeIri": "urn:effortless:pko-extension#CellDisagreement",
    "Name": "effortless-python|RoleAssignments.QualityVerdictIsUnsupported @ ra-close-pipeline-2026",
    "Substrate": "effortless-python",
    "RulebookField": "RoleAssignments.QualityVerdictIsUnsupported"
   },
   {
    "CellDisagreementId": "effortless-python|RoleAssignments.QualityVerdictIsUnsupported|ra-comms-2026",
    "FieldDisagreement": "effortless-python|RoleAssignments.QualityVerdictIsUnsupported",
    "RecordId": "ra-comms-2026",
    "ExpectedValue": "true",
    "ActualValue": "null",
    "Reason": "wrong/null value",
    "SemanticTypeIri": "urn:effortless:pko-extension#CellDisagreement",
    "Name": "effortless-python|RoleAssignments.QualityVerdictIsUnsupported @ ra-comms-2026",
    "Substrate": "effortless-python",
    "RulebookField": "RoleAssignments.QualityVerdictIsUnsupported"
   },
   {
    "CellDisagreementId": "effortless-python|RoleAssignments.QualityVerdictIsUnsupported|ra-controller-2026",
    "FieldDisagreement": "effortless-python|RoleAssignments.QualityVerdictIsUnsupported",
    "RecordId": "ra-controller-2026",
    "ExpectedValue": "true",
    "ActualValue": "null",
    "Reason": "wrong/null value",
    "SemanticTypeIri": "urn:effortless:pko-extension#CellDisagreement",
    "Name": "effortless-python|RoleAssignments.QualityVerdictIsUnsupported @ ra-controller-2026",
    "Substrate": "effortless-python",
    "RulebookField": "RoleAssignments.QualityVerdictIsUnsupported"
   },
   {
    "CellDisagreementId": "effortless-python|RoleAssignments.QualityVerdictIsUnsupported|ra-counsel-2026",
    "FieldDisagreement": "effortless-python|RoleAssignments.QualityVerdictIsUnsupported",
    "RecordId": "ra-counsel-2026",
    "ExpectedValue": "true",
    "ActualValue": "null",
    "Reason": "wrong/null value",
    "SemanticTypeIri": "urn:effortless:pko-extension#CellDisagreement",
    "Name": "effortless-python|RoleAssignments.QualityVerdictIsUnsupported @ ra-counsel-2026",
    "Substrate": "effortless-python",
    "RulebookField": "RoleAssignments.QualityVerdictIsUnsupported"
   },
   {
    "CellDisagreementId": "effortless-python|RoleAssignments.QualityVerdictIsUnsupported|ra-finance-2026",
    "FieldDisagreement": "effortless-python|RoleAssignments.QualityVerdictIsUnsupported",
    "RecordId": "ra-finance-2026",
    "ExpectedValue": "true",
    "ActualValue": "null",
    "Reason": "wrong/null value",
    "SemanticTypeIri": "urn:effortless:pko-extension#CellDisagreement",
    "Name": "effortless-python|RoleAssignments.QualityVerdictIsUnsupported @ ra-finance-2026",
    "Substrate": "effortless-python",
    "RulebookField": "RoleAssignments.QualityVerdictIsUnsupported"
   },
   {
    "CellDisagreementId": "effortless-python|RoleAssignments.QualityVerdictIsUnsupported|ra-new-variance",
    "FieldDisagreement": "effortless-python|RoleAssignments.QualityVerdictIsUnsupported",
    "RecordId": "ra-new-variance",
    "ExpectedValue": "true",
    "ActualValue": "null",
    "Reason": "wrong/null value",
    "SemanticTypeIri": "urn:effortless:pko-extension#CellDisagreement",
    "Name": "effortless-python|RoleAssignments.QualityVerdictIsUnsupported @ ra-new-variance",
    "Substrate": "effortless-python",
    "RulebookField": "RoleAssignments.QualityVerdictIsUnsupported"
   },
   {
    "CellDisagreementId": "effortless-python|RoleAssignments.QualityVerdictIsUnsupported|ra-notify-pipeline-2026",
    "FieldDisagreement": "effortless-python|RoleAssignments.QualityVerdictIsUnsupported",
    "RecordId": "ra-notify-pipeline-2026",
    "ExpectedValue": "true",
    "ActualValue": "null",
    "Reason": "wrong/null value",
    "SemanticTypeIri": "urn:effortless:pko-extension#CellDisagreement",
    "Name": "effortless-python|RoleAssignments.QualityVerdictIsUnsupported @ ra-notify-pipeline-2026",
    "Substrate": "effortless-python",
    "RulebookField": "RoleAssignments.QualityVerdictIsUnsupported"
   },
   {
    "CellDisagreementId": "effortless-python|RoleAssignments.QualityVerdictIsUnsupported|ra-old-variance",
    "FieldDisagreement": "effortless-python|RoleAssignments.QualityVerdictIsUnsupported",
    "RecordId": "ra-old-variance",
    "ExpectedValue": "true",
    "ActualValue": "null",
    "Reason": "wrong/null value",
    "SemanticTypeIri": "urn:effortless:pko-extension#CellDisagreement",
    "Name": "effortless-python|RoleAssignments.QualityVerdictIsUnsupported @ ra-old-variance",
    "Substrate": "effortless-python",
    "RulebookField": "RoleAssignments.QualityVerdictIsUnsupported"
   },
   {
    "CellDisagreementId": "effortless-python|RoleAssignments.QualityVerdictIsUnsupported|ra-policy-ai-2026",
    "FieldDisagreement": "effortless-python|RoleAssignments.QualityVerdictIsUnsupported",
    "RecordId": "ra-policy-ai-2026",
    "ExpectedValue": "true",
    "ActualValue": "null",
    "Reason": "wrong/null value",
    "SemanticTypeIri": "urn:effortless:pko-extension#CellDisagreement",
    "Name": "effortless-python|RoleAssignments.QualityVerdictIsUnsupported @ ra-policy-ai-2026",
    "Substrate": "effortless-python",
    "RulebookField": "RoleAssignments.QualityVerdictIsUnsupported"
   },
   {
    "CellDisagreementId": "effortless-python|RoleAssignments.QualityVerdictIsUnsupported|ra-policy-owner-2026",
    "FieldDisagreement": "effortless-python|RoleAssignments.QualityVerdictIsUnsupported",
    "RecordId": "ra-policy-owner-2026",
    "ExpectedValue": "true",
    "ActualValue": "null",
    "Reason": "wrong/null value",
    "SemanticTypeIri": "urn:effortless:pko-extension#CellDisagreement",
    "Name": "effortless-python|RoleAssignments.QualityVerdictIsUnsupported @ ra-policy-owner-2026",
    "Substrate": "effortless-python",
    "RulebookField": "RoleAssignments.QualityVerdictIsUnsupported"
   },
   {
    "CellDisagreementId": "effortless-python|RoleAssignments.QualityVerdictIsUnsupported|ra-steward-2026",
    "FieldDisagreement": "effortless-python|RoleAssignments.QualityVerdictIsUnsupported",
    "RecordId": "ra-steward-2026",
    "ExpectedValue": "true",
    "ActualValue": "null",
    "Reason": "wrong/null value",
    "SemanticTypeIri": "urn:effortless:pko-extension#CellDisagreement",
    "Name": "effortless-python|RoleAssignments.QualityVerdictIsUnsupported @ ra-steward-2026",
    "Substrate": "effortless-python",
    "RulebookField": "RoleAssignments.QualityVerdictIsUnsupported"
   },
   {
    "CellDisagreementId": "effortless-python|RoleAssignments.IsUnmeasuredAutomationHandover|ra-new-variance",
    "FieldDisagreement": "effortless-python|RoleAssignments.IsUnmeasuredAutomationHandover",
    "RecordId": "ra-new-variance",
    "ExpectedValue": "true",
    "ActualValue": "null",
    "Reason": "wrong/null value",
    "SemanticTypeIri": "urn:effortless:pko-extension#CellDisagreement",
    "Name": "effortless-python|RoleAssignments.IsUnmeasuredAutomationHandover @ ra-new-variance",
    "Substrate": "effortless-python",
    "RulebookField": "RoleAssignments.IsUnmeasuredAutomationHandover"
   },
   {
    "CellDisagreementId": "effortless-python|ProcedureVersions.DaysSinceModified|close-v1.0.0",
    "FieldDisagreement": "effortless-python|ProcedureVersions.DaysSinceModified",
    "RecordId": "close-v1.0.0",
    "ExpectedValue": "109",
    "ActualValue": "110",
    "Reason": "wrong/null value",
    "SemanticTypeIri": "urn:effortless:pko-extension#CellDisagreement",
    "Name": "effortless-python|ProcedureVersions.DaysSinceModified @ close-v1.0.0",
    "Substrate": "effortless-python",
    "RulebookField": "ProcedureVersions.DaysSinceModified"
   },
   {
    "CellDisagreementId": "effortless-python|ProcedureVersions.DaysSinceModified|close-v1.1.0",
    "FieldDisagreement": "effortless-python|ProcedureVersions.DaysSinceModified",
    "RecordId": "close-v1.1.0",
    "ExpectedValue": "16",
    "ActualValue": "17",
    "Reason": "wrong/null value",
    "SemanticTypeIri": "urn:effortless:pko-extension#CellDisagreement",
    "Name": "effortless-python|ProcedureVersions.DaysSinceModified @ close-v1.1.0",
    "Substrate": "effortless-python",
    "RulebookField": "ProcedureVersions.DaysSinceModified"
   },
   {
    "CellDisagreementId": "effortless-python|ProcedureVersions.DaysSinceModified|policy-v1.0.0",
    "FieldDisagreement": "effortless-python|ProcedureVersions.DaysSinceModified",
    "RecordId": "policy-v1.0.0",
    "ExpectedValue": "0",
    "ActualValue": "1",
    "Reason": "wrong/null value",
    "SemanticTypeIri": "urn:effortless:pko-extension#CellDisagreement",
    "Name": "effortless-python|ProcedureVersions.DaysSinceModified @ policy-v1.0.0",
    "Substrate": "effortless-python",
    "RulebookField": "ProcedureVersions.DaysSinceModified"
   },
   {
    "CellDisagreementId": "effortless-python|ProcedureVersions.WasModifiedSinceLastReview|close-v1.1.0",
    "FieldDisagreement": "effortless-python|ProcedureVersions.WasModifiedSinceLastReview",
    "RecordId": "close-v1.1.0",
    "ExpectedValue": "true",
    "ActualValue": "false",
    "Reason": "wrong/null value",
    "SemanticTypeIri": "urn:effortless:pko-extension#CellDisagreement",
    "Name": "effortless-python|ProcedureVersions.WasModifiedSinceLastReview @ close-v1.1.0",
    "Substrate": "effortless-python",
    "RulebookField": "ProcedureVersions.WasModifiedSinceLastReview"
   },
   {
    "CellDisagreementId": "effortless-python|ProcedureVersions.WasModifiedSinceLastReview|policy-v1.0.0",
    "FieldDisagreement": "effortless-python|ProcedureVersions.WasModifiedSinceLastReview",
    "RecordId": "policy-v1.0.0",
    "ExpectedValue": "true",
    "ActualValue": "false",
    "Reason": "wrong/null value",
    "SemanticTypeIri": "urn:effortless:pko-extension#CellDisagreement",
    "Name": "effortless-python|ProcedureVersions.WasModifiedSinceLastReview @ policy-v1.0.0",
    "Substrate": "effortless-python",
    "RulebookField": "ProcedureVersions.WasModifiedSinceLastReview"
   },
   {
    "CellDisagreementId": "effortless-python|ProcedureVersions.HasUnwitnessedChange|close-v1.1.0",
    "FieldDisagreement": "effortless-python|ProcedureVersions.HasUnwitnessedChange",
    "RecordId": "close-v1.1.0",
    "ExpectedValue": "true",
    "ActualValue": "false",
    "Reason": "wrong/null value",
    "SemanticTypeIri": "urn:effortless:pko-extension#CellDisagreement",
    "Name": "effortless-python|ProcedureVersions.HasUnwitnessedChange @ close-v1.1.0",
    "Substrate": "effortless-python",
    "RulebookField": "ProcedureVersions.HasUnwitnessedChange"
   },
   {
    "CellDisagreementId": "effortless-python|ProcedureVersions.HasUnwitnessedChange|policy-v1.0.0",
    "FieldDisagreement": "effortless-python|ProcedureVersions.HasUnwitnessedChange",
    "RecordId": "policy-v1.0.0",
    "ExpectedValue": "true",
    "ActualValue": "false",
    "Reason": "wrong/null value",
    "SemanticTypeIri": "urn:effortless:pko-extension#CellDisagreement",
    "Name": "effortless-python|ProcedureVersions.HasUnwitnessedChange @ policy-v1.0.0",
    "Substrate": "effortless-python",
    "RulebookField": "ProcedureVersions.HasUnwitnessedChange"
   },
   {
    "CellDisagreementId": "effortless-python|Requirements.IsUntestedWitness|req-close-balance",
    "FieldDisagreement": "effortless-python|Requirements.IsUntestedWitness",
    "RecordId": "req-close-balance",
    "ExpectedValue": "true",
    "ActualValue": "null",
    "Reason": "wrong/null value",
    "SemanticTypeIri": "urn:effortless:pko-extension#CellDisagreement",
    "Name": "effortless-python|Requirements.IsUntestedWitness @ req-close-balance",
    "Substrate": "effortless-python",
    "RulebookField": "Requirements.IsUntestedWitness"
   },
   {
    "CellDisagreementId": "effortless-python|Requirements.IsUntestedWitness|req-close-cutoff",
    "FieldDisagreement": "effortless-python|Requirements.IsUntestedWitness",
    "RecordId": "req-close-cutoff",
    "ExpectedValue": "true",
    "ActualValue": "null",
    "Reason": "wrong/null value",
    "SemanticTypeIri": "urn:effortless:pko-extension#CellDisagreement",
    "Name": "effortless-python|Requirements.IsUntestedWitness @ req-close-cutoff",
    "Substrate": "effortless-python",
    "RulebookField": "Requirements.IsUntestedWitness"
   },
   {
    "CellDisagreementId": "effortless-python|Requirements.IsUntestedWitness|req-close-separation",
    "FieldDisagreement": "effortless-python|Requirements.IsUntestedWitness",
    "RecordId": "req-close-separation",
    "ExpectedValue": "true",
    "ActualValue": "null",
    "Reason": "wrong/null value",
    "SemanticTypeIri": "urn:effortless:pko-extension#CellDisagreement",
    "Name": "effortless-python|Requirements.IsUntestedWitness @ req-close-separation",
    "Substrate": "effortless-python",
    "RulebookField": "Requirements.IsUntestedWitness"
   },
   {
    "CellDisagreementId": "effortless-python|ElicitationSessions.Name|elicit-close-shadow",
    "FieldDisagreement": "effortless-python|ElicitationSessions.Name",
    "RecordId": "elicit-close-shadow",
    "ExpectedValue": "\"Shadowing / 2026-04-03T09:00:00-05:00\"",
    "ActualValue": "\"Shadowing / 2026-04-03 09:00:00-05\"",
    "Reason": "wrong/null value",
    "SemanticTypeIri": "urn:effortless:pko-extension#CellDisagreement",
    "Name": "effortless-python|ElicitationSessions.Name @ elicit-close-shadow",
    "Substrate": "effortless-python",
    "RulebookField": "ElicitationSessions.Name"
   },
   {
    "CellDisagreementId": "effortless-python|ElicitationSessions.Name|elicit-policy-interview",
    "FieldDisagreement": "effortless-python|ElicitationSessions.Name",
    "RecordId": "elicit-policy-interview",
    "ExpectedValue": "\"PractitionerInterview / 2026-05-12T13:00:00-05:00\"",
    "ActualValue": "\"PractitionerInterview / 2026-05-12 13:00:00-05\"",
    "Reason": "wrong/null value",
    "SemanticTypeIri": "urn:effortless:pko-extension#CellDisagreement",
    "Name": "effortless-python|ElicitationSessions.Name @ elicit-policy-interview",
    "Substrate": "effortless-python",
    "RulebookField": "ElicitationSessions.Name"
   },
   {
    "CellDisagreementId": "effortless-python|ElicitationSessions.Name|elicit-policy-workshop",
    "FieldDisagreement": "effortless-python|ElicitationSessions.Name",
    "RecordId": "elicit-policy-workshop",
    "ExpectedValue": "\"FacilitatedWorkshop / 2026-05-10T10:00:00-05:00\"",
    "ActualValue": "\"FacilitatedWorkshop / 2026-05-10 10:00:00-05\"",
    "Reason": "wrong/null value",
    "SemanticTypeIri": "urn:effortless:pko-extension#CellDisagreement",
    "Name": "effortless-python|ElicitationSessions.Name @ elicit-policy-workshop",
    "Substrate": "effortless-python",
    "RulebookField": "ElicitationSessions.Name"
   },
   {
    "CellDisagreementId": "effortless-python|ElicitationSessions.DaysSinceElicited|elicit-policy-interview",
    "FieldDisagreement": "effortless-python|ElicitationSessions.DaysSinceElicited",
    "RecordId": "elicit-policy-interview",
    "ExpectedValue": "67",
    "ActualValue": "68",
    "Reason": "wrong/null value",
    "SemanticTypeIri": "urn:effortless:pko-extension#CellDisagreement",
    "Name": "effortless-python|ElicitationSessions.DaysSinceElicited @ elicit-policy-interview",
    "Substrate": "effortless-python",
    "RulebookField": "ElicitationSessions.DaysSinceElicited"
   },
   {
    "CellDisagreementId": "effortless-python|ElicitationSessions.DaysSinceElicited|elicit-policy-workshop",
    "FieldDisagreement": "effortless-python|ElicitationSessions.DaysSinceElicited",
    "RecordId": "elicit-policy-workshop",
    "ExpectedValue": "69",
    "ActualValue": "70",
    "Reason": "wrong/null value",
    "SemanticTypeIri": "urn:effortless:pko-extension#CellDisagreement",
    "Name": "effortless-python|ElicitationSessions.DaysSinceElicited @ elicit-policy-workshop",
    "Substrate": "effortless-python",
    "RulebookField": "ElicitationSessions.DaysSinceElicited"
   },
   {
    "CellDisagreementId": "effortless-python|KnowledgeFragments.DaysSinceActualReview|kf-close-fx-time",
    "FieldDisagreement": "effortless-python|KnowledgeFragments.DaysSinceActualReview",
    "RecordId": "kf-close-fx-time",
    "ExpectedValue": "16",
    "ActualValue": "17",
    "Reason": "wrong/null value",
    "SemanticTypeIri": "urn:effortless:pko-extension#CellDisagreement",
    "Name": "effortless-python|KnowledgeFragments.DaysSinceActualReview @ kf-close-fx-time",
    "Substrate": "effortless-python",
    "RulebookField": "KnowledgeFragments.DaysSinceActualReview"
   },
   {
    "CellDisagreementId": "effortless-python|KnowledgeFragments.DaysSinceActualReview|kf-close-top-ten",
    "FieldDisagreement": "effortless-python|KnowledgeFragments.DaysSinceActualReview",
    "RecordId": "kf-close-top-ten",
    "ExpectedValue": "16",
    "ActualValue": "17",
    "Reason": "wrong/null value",
    "SemanticTypeIri": "urn:effortless:pko-extension#CellDisagreement",
    "Name": "effortless-python|KnowledgeFragments.DaysSinceActualReview @ kf-close-top-ten",
    "Substrate": "effortless-python",
    "RulebookField": "KnowledgeFragments.DaysSinceActualReview"
   },
   {
    "CellDisagreementId": "effortless-python|KnowledgeFragments.DaysSinceActualReview|kf-policy-channel",
    "FieldDisagreement": "effortless-python|KnowledgeFragments.DaysSinceActualReview",
    "RecordId": "kf-policy-channel",
    "ExpectedValue": "0",
    "ActualValue": "1",
    "Reason": "wrong/null value",
    "SemanticTypeIri": "urn:effortless:pko-extension#CellDisagreement",
    "Name": "effortless-python|KnowledgeFragments.DaysSinceActualReview @ kf-policy-channel",
    "Substrate": "effortless-python",
    "RulebookField": "KnowledgeFragments.DaysSinceActualReview"
   },
   {
    "CellDisagreementId": "effortless-python|KnowledgeFragments.EvidenceAgeDays|kf-policy-ai-boundary",
    "FieldDisagreement": "effortless-python|KnowledgeFragments.EvidenceAgeDays",
    "RecordId": "kf-policy-ai-boundary",
    "ExpectedValue": "67",
    "ActualValue": "68",
    "Reason": "wrong/null value",
    "SemanticTypeIri": "urn:effortless:pko-extension#CellDisagreement",
    "Name": "effortless-python|KnowledgeFragments.EvidenceAgeDays @ kf-policy-ai-boundary",
    "Substrate": "effortless-python",
    "RulebookField": "KnowledgeFragments.EvidenceAgeDays"
   },
   {
    "CellDisagreementId": "effortless-python|KnowledgeFragments.EvidenceAgeDays|kf-policy-channel",
    "FieldDisagreement": "effortless-python|KnowledgeFragments.EvidenceAgeDays",
    "RecordId": "kf-policy-channel",
    "ExpectedValue": "69",
    "ActualValue": "70",
    "Reason": "wrong/null value",
    "SemanticTypeIri": "urn:effortless:pko-extension#CellDisagreement",
    "Name": "effortless-python|KnowledgeFragments.EvidenceAgeDays @ kf-policy-channel",
    "Substrate": "effortless-python",
    "RulebookField": "KnowledgeFragments.EvidenceAgeDays"
   },
   {
    "CellDisagreementId": "effortless-python|KnowledgeFragments.EvidenceAgeDays|kf-policy-manager-route",
    "FieldDisagreement": "effortless-python|KnowledgeFragments.EvidenceAgeDays",
    "RecordId": "kf-policy-manager-route",
    "ExpectedValue": "69",
    "ActualValue": "70",
    "Reason": "wrong/null value",
    "SemanticTypeIri": "urn:effortless:pko-extension#CellDisagreement",
    "Name": "effortless-python|KnowledgeFragments.EvidenceAgeDays @ kf-policy-manager-route",
    "Substrate": "effortless-python",
    "RulebookField": "KnowledgeFragments.EvidenceAgeDays"
   },
   {
    "CellDisagreementId": "effortless-python|KnowledgeFragments.AgeDays|kf-policy-ai-boundary",
    "FieldDisagreement": "effortless-python|KnowledgeFragments.AgeDays",
    "RecordId": "kf-policy-ai-boundary",
    "ExpectedValue": "67",
    "ActualValue": "68",
    "Reason": "wrong/null value",
    "SemanticTypeIri": "urn:effortless:pko-extension#CellDisagreement",
    "Name": "effortless-python|KnowledgeFragments.AgeDays @ kf-policy-ai-boundary",
    "Substrate": "effortless-python",
    "RulebookField": "KnowledgeFragments.AgeDays"
   },
   {
    "CellDisagreementId": "effortless-python|KnowledgeFragments.AgeDays|kf-policy-channel",
    "FieldDisagreement": "effortless-python|KnowledgeFragments.AgeDays",
    "RecordId": "kf-policy-channel",
    "ExpectedValue": "69",
    "ActualValue": "70",
    "Reason": "wrong/null value",
    "SemanticTypeIri": "urn:effortless:pko-extension#CellDisagreement",
    "Name": "effortless-python|KnowledgeFragments.AgeDays @ kf-policy-channel",
    "Substrate": "effortless-python",
    "RulebookField": "KnowledgeFragments.AgeDays"
   },
   {
    "CellDisagreementId": "effortless-python|KnowledgeFragments.AgeDays|kf-policy-manager-route",
    "FieldDisagreement": "effortless-python|KnowledgeFragments.AgeDays",
    "RecordId": "kf-policy-manager-route",
    "ExpectedValue": "69",
    "ActualValue": "70",
    "Reason": "wrong/null value",
    "SemanticTypeIri": "urn:effortless:pko-extension#CellDisagreement",
    "Name": "effortless-python|KnowledgeFragments.AgeDays @ kf-policy-manager-route",
    "Substrate": "effortless-python",
    "RulebookField": "KnowledgeFragments.AgeDays"
   },
   {
    "CellDisagreementId": "effortless-python|KnowledgeFragments.DaysAwaitingMyApproval|kf-policy-manager-route",
    "FieldDisagreement": "effortless-python|KnowledgeFragments.DaysAwaitingMyApproval",
    "RecordId": "kf-policy-manager-route",
    "ExpectedValue": "69",
    "ActualValue": "70",
    "Reason": "wrong/null value",
    "SemanticTypeIri": "urn:effortless:pko-extension#CellDisagreement",
    "Name": "effortless-python|KnowledgeFragments.DaysAwaitingMyApproval @ kf-policy-manager-route",
    "Substrate": "effortless-python",
    "RulebookField": "KnowledgeFragments.DaysAwaitingMyApproval"
   },
   {
    "CellDisagreementId": "effortless-python|KnowledgeGaps.DaysOpen|gap-policy-delivery-receipts",
    "FieldDisagreement": "effortless-python|KnowledgeGaps.DaysOpen",
    "RecordId": "gap-policy-delivery-receipts",
    "ExpectedValue": "0",
    "ActualValue": "1",
    "Reason": "wrong/null value",
    "SemanticTypeIri": "urn:effortless:pko-extension#CellDisagreement",
    "Name": "effortless-python|KnowledgeGaps.DaysOpen @ gap-policy-delivery-receipts",
    "Substrate": "effortless-python",
    "RulebookField": "KnowledgeGaps.DaysOpen"
   },
   {
    "CellDisagreementId": "effortless-python|IssueOccurrences.Name|issue-close-feed",
    "FieldDisagreement": "effortless-python|IssueOccurrences.Name",
    "RecordId": "issue-close-feed",
    "ExpectedValue": "\"err-feed-stale @ 2026-06-30T17:12:00-05:00\"",
    "ActualValue": "\"err-feed-stale @ 2026-06-30 17:12:00-05\"",
    "Reason": "wrong/null value",
    "SemanticTypeIri": "urn:effortless:pko-extension#CellDisagreement",
    "Name": "effortless-python|IssueOccurrences.Name @ issue-close-feed",
    "Substrate": "effortless-python",
    "RulebookField": "IssueOccurrences.Name"
   },
   {
    "CellDisagreementId": "effortless-python|IssueOccurrences.Name|issue-policy-sms",
    "FieldDisagreement": "effortless-python|IssueOccurrences.Name",
    "RecordId": "issue-policy-sms",
    "ExpectedValue": "\"err-sms-throttle @ 2026-07-19T09:30:00-05:00\"",
    "ActualValue": "\"err-sms-throttle @ 2026-07-19 09:30:00-05\"",
    "Reason": "wrong/null value",
    "SemanticTypeIri": "urn:effortless:pko-extension#CellDisagreement",
    "Name": "effortless-python|IssueOccurrences.Name @ issue-policy-sms",
    "Substrate": "effortless-python",
    "RulebookField": "IssueOccurrences.Name"
   },
   {
    "CellDisagreementId": "effortless-python|ChangeRequests.DaysPending|cr-close-timestamp",
    "FieldDisagreement": "effortless-python|ChangeRequests.DaysPending",
    "RecordId": "cr-close-timestamp",
    "ExpectedValue": "0",
    "ActualValue": "1",
    "Reason": "wrong/null value",
    "SemanticTypeIri": "urn:effortless:pko-extension#CellDisagreement",
    "Name": "effortless-python|ChangeRequests.DaysPending @ cr-close-timestamp",
    "Substrate": "effortless-python",
    "RulebookField": "ChangeRequests.DaysPending"
   },
   {
    "CellDisagreementId": "effortless-python|ChangeRequests.DecisionLatencyDays|cr-close-timestamp",
    "FieldDisagreement": "effortless-python|ChangeRequests.DecisionLatencyDays",
    "RecordId": "cr-close-timestamp",
    "ExpectedValue": "0",
    "ActualValue": "1",
    "Reason": "wrong/null value",
    "SemanticTypeIri": "urn:effortless:pko-extension#CellDisagreement",
    "Name": "effortless-python|ChangeRequests.DecisionLatencyDays @ cr-close-timestamp",
    "Substrate": "effortless-python",
    "RulebookField": "ChangeRequests.DecisionLatencyDays"
   },
   {
    "CellDisagreementId": "effortless-python|ReviewEvents.DaysSinceReviewed|review-close-q1",
    "FieldDisagreement": "effortless-python|ReviewEvents.DaysSinceReviewed",
    "RecordId": "review-close-q1",
    "ExpectedValue": "120",
    "ActualValue": "121",
    "Reason": "wrong/null value",
    "SemanticTypeIri": "urn:effortless:pko-extension#CellDisagreement",
    "Name": "effortless-python|ReviewEvents.DaysSinceReviewed @ review-close-q1",
    "Substrate": "effortless-python",
    "RulebookField": "ReviewEvents.DaysSinceReviewed"
   },
   {
    "CellDisagreementId": "effortless-python|ReviewEvents.DaysSinceReviewed|review-close-q2",
    "FieldDisagreement": "effortless-python|ReviewEvents.DaysSinceReviewed",
    "RecordId": "review-close-q2",
    "ExpectedValue": "16",
    "ActualValue": "17",
    "Reason": "wrong/null value",
    "SemanticTypeIri": "urn:effortless:pko-extension#CellDisagreement",
    "Name": "effortless-python|ReviewEvents.DaysSinceReviewed @ review-close-q2",
    "Substrate": "effortless-python",
    "RulebookField": "ReviewEvents.DaysSinceReviewed"
   },
   {
    "CellDisagreementId": "effortless-python|ReviewEvents.DaysSinceReviewed|review-policy-prelaunch",
    "FieldDisagreement": "effortless-python|ReviewEvents.DaysSinceReviewed",
    "RecordId": "review-policy-prelaunch",
    "ExpectedValue": "0",
    "ActualValue": "1",
    "Reason": "wrong/null value",
    "SemanticTypeIri": "urn:effortless:pko-extension#CellDisagreement",
    "Name": "effortless-python|ReviewEvents.DaysSinceReviewed @ review-policy-prelaunch",
    "Substrate": "effortless-python",
    "RulebookField": "ReviewEvents.DaysSinceReviewed"
   },
   {
    "CellDisagreementId": "effortless-python|ReviewEvents.CadenceDriftDays|review-close-q1",
    "FieldDisagreement": "effortless-python|ReviewEvents.CadenceDriftDays",
    "RecordId": "review-close-q1",
    "ExpectedValue": "30.0",
    "ActualValue": "31",
    "Reason": "wrong/null value",
    "SemanticTypeIri": "urn:effortless:pko-extension#CellDisagreement",
    "Name": "effortless-python|ReviewEvents.CadenceDriftDays @ review-close-q1",
    "Substrate": "effortless-python",
    "RulebookField": "ReviewEvents.CadenceDriftDays"
   },
   {
    "CellDisagreementId": "effortless-python|ReviewEvents.CadenceDriftDays|review-close-q2",
    "FieldDisagreement": "effortless-python|ReviewEvents.CadenceDriftDays",
    "RecordId": "review-close-q2",
    "ExpectedValue": "-74.0",
    "ActualValue": "-73",
    "Reason": "wrong/null value",
    "SemanticTypeIri": "urn:effortless:pko-extension#CellDisagreement",
    "Name": "effortless-python|ReviewEvents.CadenceDriftDays @ review-close-q2",
    "Substrate": "effortless-python",
    "RulebookField": "ReviewEvents.CadenceDriftDays"
   },
   {
    "CellDisagreementId": "effortless-python|ReviewEvents.CadenceDriftDays|review-policy-prelaunch",
    "FieldDisagreement": "</t>
  </si>
  <si>
    <t xml:space="preserve">effortless-python|ReviewEvents.CadenceDriftDays",
    "RecordId": "review-policy-prelaunch",
    "ExpectedValue": "-60.0",
    "ActualValue": "-59",
    "Reason": "wrong/null value",
    "SemanticTypeIri": "urn:effortless:pko-extension#CellDisagreement",
    "Name": "effortless-python|ReviewEvents.CadenceDriftDays @ review-policy-prelaunch",
    "Substrate": "effortless-python",
    "RulebookField": "ReviewEvents.CadenceDriftDays"
   },
   {
    "CellDisagreementId": "effortless-python|LearningActivities.Name|learn-close-retro",
    "FieldDisagreement": "effortless-python|LearningActivities.Name",
    "RecordId": "learn-close-retro",
    "ExpectedValue": "\"Retrospective / 2026-07-02T15:30:00-05:00\"",
    "ActualValue": "\"Retrospective / 2026-07-02 15:30:00-05\"",
    "Reason": "wrong/null value",
    "SemanticTypeIri": "urn:effortless:pko-extension#CellDisagreement",
    "Name": "effortless-python|LearningActivities.Name @ learn-close-retro",
    "Substrate": "effortless-python",
    "RulebookField": "LearningActivities.Name"
   },
   {
    "CellDisagreementId": "effortless-python|LearningActivities.Name|learn-policy-tabletop",
    "FieldDisagreement": "effortless-python|LearningActivities.Name",
    "RecordId": "learn-policy-tabletop",
    "ExpectedValue": "\"TabletopExercise / 2026-07-15T13:00:00-05:00\"",
    "ActualValue": "\"TabletopExercise / 2026-07-15 13:00:00-05\"",
    "Reason": "wrong/null value",
    "SemanticTypeIri": "urn:effortless:pko-extension#CellDisagreement",
    "Name": "effortless-python|LearningActivities.Name @ learn-policy-tabletop",
    "Substrate": "effortless-python",
    "RulebookField": "LearningActivities.Name"
   },
   {
    "CellDisagreementId": "effortless-python|ObservedTransitions.Name|obs-close-01-02-q2",
    "FieldDisagreement": "effortless-python|ObservedTransitions.Name",
    "RecordId": "obs-close-01-02-q2",
    "ExpectedValue": "\"close-01-to-close-02 @ 2026-06-30T17:04:00-05:00\"",
    "ActualValue": "\"close-01-to-close-02 @ 2026-06-30 17:04:00-05\"",
    "Reason": "wrong/null value",
    "SemanticTypeIri": "urn:effortless:pko-extension#CellDisagreement",
    "Name": "effortless-python|ObservedTransitions.Name @ obs-close-01-02-q2",
    "Substrate": "effortless-python",
    "RulebookField": "ObservedTransitions.Name"
   },
   {
    "CellDisagreementId": "effortless-python|ObservedTransitions.Name|obs-close-02-03-q2",
    "FieldDisagreement": "effortless-python|ObservedTransitions.Name",
    "RecordId": "obs-close-02-03-q2",
    "ExpectedValue": "\"close-02-to-close-03 @ 2026-06-30T17:18:00-05:00\"",
    "ActualValue": "\"close-02-to-close-03 @ 2026-06-30 17:18:00-05\"",
    "Reason": "wrong/null value",
    "SemanticTypeIri": "urn:effortless:pko-extension#CellDisagreement",
    "Name": "effortless-python|ObservedTransitions.Name @ obs-close-02-03-q2",
    "Substrate": "effortless-python",
    "RulebookField": "ObservedTransitions.Name"
   },
   {
    "CellDisagreementId": "effortless-python|ObservedTransitions.Name|obs-close-03-04-q2",
    "FieldDisagreement": "effortless-python|ObservedTransitions.Name",
    "RecordId": "obs-close-03-04-q2",
    "ExpectedValue": "\"close-03-to-close-04 @ 2026-07-01T12:15:00-05:00\"",
    "ActualValue": "\"close-03-to-close-04 @ 2026-07-01 12:15:00-05\"",
    "Reason": "wrong/null value",
    "SemanticTypeIri": "urn:effortless:pko-extension#CellDisagreement",
    "Name": "effortless-python|ObservedTransitions.Name @ obs-close-03-04-q2",
    "Substrate": "effortless-python",
    "RulebookField": "ObservedTransitions.Name"
   },
   {
    "CellDisagreementId": "effortless-python|ObservedTransitions.Name|obs-close-04-05-q2",
    "FieldDisagreement": "effortless-python|ObservedTransitions.Name",
    "RecordId": "obs-close-04-05-q2",
    "ExpectedValue": "\"close-04-to-close-05 @ 2026-07-01T15:05:00-05:00\"",
    "ActualValue": "\"close-04-to-close-05 @ 2026-07-01 15:05:00-05\"",
    "Reason": "wrong/null value",
    "SemanticTypeIri": "urn:effortless:pko-extension#CellDisagreement",
    "Name": "effortless-python|ObservedTransitions.Name @ obs-close-04-05-q2",
    "Substrate": "effortless-python",
    "RulebookField": "ObservedTransitions.Name"
   },
   {
    "CellDisagreementId": "effortless-python|ObservedTransitions.Name|obs-close-05-06-q2",
    "FieldDisagreement": "effortless-python|ObservedTransitions.Name",
    "RecordId": "obs-close-05-06-q2",
    "ExpectedValue": "\"close-05-to-close-06 @ 2026-07-02T09:00:00-05:00\"",
    "ActualValue": "\"close-05-to-close-06 @ 2026-07-02 09:00:00-05\"",
    "Reason": "wrong/null value",
    "SemanticTypeIri": "urn:effortless:pko-extension#CellDisagreement",
    "Name": "effortless-python|ObservedTransitions.Name @ obs-close-05-06-q2",
    "Substrate": "effortless-python",
    "RulebookField": "ObservedTransitions.Name"
   },
   {
    "CellDisagreementId": "effortless-python|ObservedTransitions.Name|obs-close-06-07-q2",
    "FieldDisagreement": "effortless-python|ObservedTransitions.Name",
    "RecordId": "obs-close-06-07-q2",
    "ExpectedValue": "\"close-06-to-close-07 @ 2026-07-02T09:22:00-05:00\"",
    "ActualValue": "\"close-06-to-close-07 @ 2026-07-02 09:22:00-05\"",
    "Reason": "wrong/null value",
    "SemanticTypeIri": "urn:effortless:pko-extension#CellDisagreement",
    "Name": "effortless-python|ObservedTransitions.Name @ obs-close-06-07-q2",
    "Substrate": "effortless-python",
    "RulebookField": "ObservedTransitions.Name"
   },
   {
    "CellDisagreementId": "effortless-python|ObservedTransitions.Name|obs-close-07-08-q2",
    "FieldDisagreement": "effortless-python|ObservedTransitions.Name",
    "RecordId": "obs-close-07-08-q2",
    "ExpectedValue": "\"close-07-to-close-08 @ 2026-07-02T14:00:00-05:00\"",
    "ActualValue": "\"close-07-to-close-08 @ 2026-07-02 14:00:00-05\"",
    "Reason": "wrong/null value",
    "SemanticTypeIri": "urn:effortless:pko-extension#CellDisagreement",
    "Name": "effortless-python|ObservedTransitions.Name @ obs-close-07-08-q2",
    "Substrate": "effortless-python",
    "RulebookField": "ObservedTransitions.Name"
   },
   {
    "CellDisagreementId": "effortless-python|ObservedTransitions.Name|obs-policy-01-02-hr4821",
    "FieldDisagreement": "effortless-python|ObservedTransitions.Name",
    "RecordId": "obs-policy-01-02-hr4821",
    "ExpectedValue": "\"policy-01-to-policy-02 @ 2026-07-18T09:30:00-05:00\"",
    "ActualValue": "\"policy-01-to-policy-02 @ 2026-07-18 09:30:00-05\"",
    "Reason": "wrong/null value",
    "SemanticTypeIri": "urn:effortless:pko-extension#CellDisagreement",
    "Name": "effortless-python|ObservedTransitions.Name @ obs-policy-01-02-hr4821",
    "Substrate": "effortless-python",
    "RulebookField": "ObservedTransitions.Name"
   },
   {
    "CellDisagreementId": "effortless-python|ObservedTransitions.Name|obs-policy-02-03-hr4821",
    "FieldDisagreement": "effortless-python|ObservedTransitions.Name",
    "RecordId": "obs-policy-02-03-hr4821",
    "ExpectedValue": "\"policy-02-to-policy-03 @ 2026-07-18T13:00:00-05:00\"",
    "ActualValue": "\"policy-02-to-policy-03 @ 2026-07-18 13:00:00-05\"",
    "Reason": "wrong/null value",
    "SemanticTypeIri": "urn:effortless:pko-extension#CellDisagreement",
    "Name": "effortless-python|ObservedTransitions.Name @ obs-policy-02-03-hr4821",
    "Substrate": "effortless-python",
    "RulebookField": "ObservedTransitions.Name"
   },
   {
    "CellDisagreementId": "effortless-python|ObservedTransitions.Name|obs-policy-03-04-hr4821",
    "FieldDisagreement": "effortless-python|ObservedTransitions.Name",
    "RecordId": "obs-policy-03-04-hr4821",
    "ExpectedValue": "\"policy-03-to-policy-04 @ 2026-07-19T09:00:00-05:00\"",
    "ActualValue": "\"policy-03-to-policy-04 @ 2026-07-19 09:00:00-05\"",
    "Reason": "wrong/null value",
    "SemanticTypeIri": "urn:effortless:pko-extension#CellDisagreement",
    "Name": "effortless-python|ObservedTransitions.Name @ obs-policy-03-04-hr4821",
    "Substrate": "effortless-python",
    "RulebookField": "ObservedTransitions.Name"
   },
   {
    "CellDisagreementId": "effortless-python|MessageDeliveries.Name|md-001",
    "FieldDisagreement": "effortless-python|MessageDeliveries.Name",
    "RecordId": "md-001",
    "ExpectedValue": "\"rec-001 / tmpl-policy-email / 2026-07-18T14:05:00-05:00\"",
    "ActualValue": "\"rec-001 / tmpl-policy-email / 2026-07-18 14:05:00-05\"",
    "Reason": "wrong/null value",
    "SemanticTypeIri": "urn:effortless:pko-extension#CellDisagreement",
    "Name": "effortless-python|MessageDeliveries.Name @ md-001",
    "Substrate": "effortless-python",
    "RulebookField": "MessageDeliveries.Name"
   },
   {
    "CellDisagreementId": "effortless-python|MessageDeliveries.Name|md-002",
    "FieldDisagreement": "effortless-python|MessageDeliveries.Name",
    "RecordId": "md-002",
    "ExpectedValue": "\"rec-002 / tmpl-policy-email / 2026-07-18T14:05:00-05:00\"",
    "ActualValue": "\"rec-002 / tmpl-policy-email / 2026-07-18 14:05:00-05\"",
    "Reason": "wrong/null value",
    "SemanticTypeIri": "urn:effortless:pko-extension#CellDisagreement",
    "Name": "effortless-python|MessageDeliveries.Name @ md-002",
    "Substrate": "effortless-python",
    "RulebookField": "MessageDeliveries.Name"
   },
   {
    "CellDisagreementId": "effortless-python|MessageDeliveries.Name|md-003",
    "FieldDisagreement": "effortless-python|MessageDeliveries.Name",
    "RecordId": "md-003",
    "ExpectedValue": "\"rec-003 / tmpl-policy-sms / 2026-07-18T14:06:00-05:00\"",
    "ActualValue": "\"rec-003 / tmpl-policy-sms / 2026-07-18 14:06:00-05\"",
    "Reason": "wrong/null value",
    "SemanticTypeIri": "urn:effortless:pko-extension#CellDisagreement",
    "Name": "effortless-python|MessageDeliveries.Name @ md-003",
    "Substrate": "effortless-python",
    "RulebookField": "MessageDeliveries.Name"
   },
   {
    "CellDisagreementId": "effortless-python|MessageDeliveries.Name|md-004",
    "FieldDisagreement": "effortless-python|MessageDeliveries.Name",
    "RecordId": "md-004",
    "ExpectedValue": "\"rec-004 / tmpl-policy-sms / 2026-07-18T14:06:00-05:00\"",
    "ActualValue": "\"rec-004 / tmpl-policy-sms / 2026-07-18 14:06:00-05\"",
    "Reason": "wrong/null value",
    "SemanticTypeIri": "urn:effortless:pko-extension#CellDisagreement",
    "Name": "effortless-python|MessageDeliveries.Name @ md-004",
    "Substrate": "effortless-python",
    "RulebookField": "MessageDeliveries.Name"
   },
   {
    "CellDisagreementId": "effortless-python|MessageDeliveries.Name|md-005",
    "FieldDisagreement": "effortless-python|MessageDeliveries.Name",
    "RecordId": "md-005",
    "ExpectedValue": "\"rec-001 / tmpl-policy-sms / 2026-07-18T21:00:00-05:00\"",
    "ActualValue": "\"rec-001 / tmpl-policy-sms / 2026-07-18 21:00:00-05\"",
    "Reason": "wrong/null value",
    "SemanticTypeIri": "urn:effortless:pko-extension#CellDisagreement",
    "Name": "effortless-python|MessageDeliveries.Name @ md-005",
    "Substrate": "effortless-python",
    "RulebookField": "MessageDeliveries.Name"
   },
   {
    "CellDisagreementId": "effortless-python|MessageDeliveries.Name|md-006",
    "FieldDisagreement": "effortless-python|MessageDeliveries.Name",
    "RecordId": "md-006",
    "ExpectedValue": "\"rec-005 / tmpl-policy-sms / 2026-07-18T14:06:00-05:00\"",
    "ActualValue": "\"rec-005 / tmpl-policy-sms / 2026-07-18 14:06:00-05\"",
    "Reason": "wrong/null value",
    "SemanticTypeIri": "urn:effortless:pko-extension#CellDisagreement",
    "Name": "effortless-python|MessageDeliveries.Name @ md-006",
    "Substrate": "effortless-python",
    "RulebookField": "MessageDeliveries.Name"
   },
   {
    "CellDisagreementId": "effortless-python|MessageDeliveries.AgeDays|md-001",
    "FieldDisagreement": "effortless-python|MessageDeliveries.AgeDays",
    "RecordId": "md-001",
    "ExpectedValue": "0",
    "ActualValue": "1",
    "Reason": "wrong/null value",
    "SemanticTypeIri": "urn:effortless:pko-extension#CellDisagreement",
    "Name": "effortless-python|MessageDeliveries.AgeDays @ md-001",
    "Substrate": "effortless-python",
    "RulebookField": "MessageDeliveries.AgeDays"
   },
   {
    "CellDisagreementId": "effortless-python|MessageDeliveries.AgeDays|md-002",
    "FieldDisagreement": "effortless-python|MessageDeliveries.AgeDays",
    "RecordId": "md-002",
    "ExpectedValue": "0",
    "ActualValue": "1",
    "Reason": "wrong/null value",
    "SemanticTypeIri": "urn:effortless:pko-extension#CellDisagreement",
    "Name": "effortless-python|MessageDeliveries.AgeDays @ md-002",
    "Substrate": "effortless-python",
    "RulebookField": "MessageDeliveries.AgeDays"
   },
   {
    "CellDisagreementId": "effortless-python|MessageDeliveries.AgeDays|md-003",
    "FieldDisagreement": "effortless-python|MessageDeliveries.AgeDays",
    "RecordId": "md-003",
    "ExpectedValue": "0",
    "ActualValue": "1",
    "Reason": "wrong/null value",
    "SemanticTypeIri": "urn:effortless:pko-extension#CellDisagreement",
    "Name": "effortless-python|MessageDeliveries.AgeDays @ md-003",
    "Substrate": "effortless-python",
    "RulebookField": "MessageDeliveries.AgeDays"
   },
   {
    "CellDisagreementId": "effortless-python|MessageDeliveries.AgeDays|md-004",
    "FieldDisagreement": "effortless-python|MessageDeliveries.AgeDays",
    "RecordId": "md-004",
    "ExpectedValue": "0",
    "ActualValue": "1",
    "Reason": "wrong/null value",
    "SemanticTypeIri": "urn:effortless:pko-extension#CellDisagreement",
    "Name": "effortless-python|MessageDeliveries.AgeDays @ md-004",
    "Substrate": "effortless-python",
    "RulebookField": "MessageDeliveries.AgeDays"
   },
   {
    "CellDisagreementId": "effortless-python|MessageDeliveries.AgeDays|md-005",
    "FieldDisagreement": "effortless-python|MessageDeliveries.AgeDays",
    "RecordId": "md-005",
    "ExpectedValue": "0",
    "ActualValue": "1",
    "Reason": "wrong/null value",
    "SemanticTypeIri": "urn:effortless:pko-extension#CellDisagreement",
    "Name": "effortless-python|MessageDeliveries.AgeDays @ md-005",
    "Substrate": "effortless-python",
    "RulebookField": "MessageDeliveries.AgeDays"
   },
   {
    "CellDisagreementId": "effortless-python|MessageDeliveries.AgeDays|md-006",
    "FieldDisagreement": "effortless-python|MessageDeliveries.AgeDays",
    "RecordId": "md-006",
    "ExpectedValue": "0",
    "ActualValue": "1",
    "Reason": "wrong/null value",
    "SemanticTypeIri": "urn:effortless:pko-extension#CellDisagreement",
    "Name": "effortless-python|MessageDeliveries.AgeDays @ md-006",
    "Substrate": "effortless-python",
    "RulebookField": "MessageDeliveries.AgeDays"
   },
   {
    "CellDisagreementId": "effortless-python|MessageDeliveries.SegmentCount|md-001",
    "FieldDisagreement": "effortless-python|MessageDeliveries.SegmentCount",
    "RecordId": "md-001",
    "ExpectedValue": "null",
    "ActualValue": "1",
    "Reason": "wrong/null value",
    "SemanticTypeIri": "urn:effortless:pko-extension#CellDisagreement",
    "Name": "effortless-python|MessageDeliveries.SegmentCount @ md-001",
    "Substrate": "effortless-python",
    "RulebookField": "MessageDeliveries.SegmentCount"
   },
   {
    "CellDisagreementId": "effortless-python|MessageDeliveries.SegmentCount|md-002",
    "FieldDisagreement": "effortless-python|MessageDeliveries.SegmentCount",
    "RecordId": "md-002",
    "ExpectedValue": "null",
    "ActualValue": "1",
    "Reason": "wrong/null value",
    "SemanticTypeIri": "urn:effortless:pko-extension#CellDisagreement",
    "Name": "effortless-python|MessageDeliveries.SegmentCount @ md-002",
    "Substrate": "effortless-python",
    "RulebookField": "MessageDeliveries.SegmentCount"
   },
   {
    "CellDisagreementId": "effortless-python|MessageDeliveries.SegmentCount|md-003",
    "FieldDisagreement": "effortless-python|MessageDeliveries.SegmentCount",
    "RecordId": "md-003",
    "ExpectedValue": "null",
    "ActualValue": "1",
    "Reason": "wrong/null value",
    "SemanticTypeIri": "urn:effortless:pko-extension#CellDisagreement",
    "Name": "effortless-python|MessageDeliveries.SegmentCount @ md-003",
    "Substrate": "effortless-python",
    "RulebookField": "MessageDeliveries.SegmentCount"
   },
   {
    "CellDisagreementId": "effortless-python|MessageDeliveries.SegmentCount|md-004",
    "FieldDisagreement": "effortless-python|MessageDeliveries.SegmentCount",
    "RecordId": "md-004",
    "ExpectedValue": "null",
    "ActualValue": "1",
    "Reason": "wrong/null value",
    "SemanticTypeIri": "urn:effortless:pko-extension#CellDisagreement",
    "Name": "effortless-python|MessageDeliveries.SegmentCount @ md-004",
    "Substrate": "effortless-python",
    "RulebookField": "MessageDeliveries.SegmentCount"
   },
   {
    "CellDisagreementId": "effortless-python|MessageDeliveries.SegmentCount|md-005",
    "FieldDisagreement": "effortless-python|MessageDeliveries.SegmentCount",
    "RecordId": "md-005",
    "ExpectedValue": "null",
    "ActualValue": "1",
    "Reason": "wrong/null value",
    "SemanticTypeIri": "urn:effortless:pko-extension#CellDisagreement",
    "Name": "effortless-python|MessageDeliveries.SegmentCount @ md-005",
    "Substrate": "effortless-python",
    "RulebookField": "MessageDeliveries.SegmentCount"
   },
   {
    "CellDisagreementId": "effortless-python|MessageDeliveries.SegmentCount|md-006",
    "FieldDisagreement": "effortless-python|MessageDeliveries.SegmentCount",
    "RecordId": "md-006",
    "ExpectedValue": "null",
    "ActualValue": "1",
    "Reason": "wrong/null value",
    "SemanticTypeIri": "urn:effortless:pko-extension#CellDisagreement",
    "Name": "effortless-python|MessageDeliveries.SegmentCount @ md-006",
    "Substrate": "effortless-python",
    "RulebookField": "MessageDeliveries.SegmentCount"
   },
   {
    "CellDisagreementId": "effortless-python|MessageDeliveries.OutstandingAgeDays|md-002",
    "FieldDisagreement": "effortless-python|MessageDeliveries.OutstandingAgeDays",
    "RecordId": "md-002",
    "ExpectedValue": "0",
    "ActualValue": "1",
    "Reason": "wrong/null value",
    "SemanticTypeIri": "urn:effortless:pko-extension#CellDisagreement",
    "Name": "effortless-python|MessageDeliveries.OutstandingAgeDays @ md-002",
    "Substrate": "effortless-python",
    "RulebookField": "MessageDeliveries.OutstandingAgeDays"
   },
   {
    "CellDisagreementId": "effortless-python|MessageDeliveries.OutstandingAgeDays|md-003",
    "FieldDisagreement": "effortless-python|MessageDeliveries.OutstandingAgeDays",
    "RecordId": "md-003",
    "ExpectedValue": "0",
    "ActualValue": "1",
    "Reason": "wrong/null value",
    "SemanticTypeIri": "urn:effortless:pko-extension#CellDisagreement",
    "Name": "effortless-python|MessageDeliveries.OutstandingAgeDays @ md-003",
    "Substrate": "effortless-python",
    "RulebookField": "MessageDeliveries.OutstandingAgeDays"
   },
   {
    "CellDisagreementId": "effortless-python|MessageDeliveries.OutstandingAgeDays|md-005",
    "FieldDisagreement": "effortless-python|MessageDeliveries.OutstandingAgeDays",
    "RecordId": "md-005",
    "ExpectedValue": "0",
    "ActualValue": "1",
    "Reason": "wrong/null value",
    "SemanticTypeIri": "urn:effortless:pko-extension#CellDisagreement",
    "Name": "effortless-python|MessageDeliveries.OutstandingAgeDays @ md-005",
    "Substrate": "effortless-python",
    "RulebookField": "MessageDeliveries.OutstandingAgeDays"
   },
   {
    "CellDisagreementId": "effortless-python|MessageDeliveries.OptOutPhrasePosition|md-003",
    "FieldDisagreement": "effortless-python|MessageDeliveries.OptOutPhrasePosition",
    "RecordId": "md-003",
    "ExpectedValue": "true",
    "ActualValue": "86",
    "Reason": "wrong/null value",
    "SemanticTypeIri": "urn:effortless:pko-extension#CellDisagreement",
    "Name": "effortless-python|MessageDeliveries.OptOutPhrasePosition @ md-003",
    "Substrate": "effortless-python",
    "RulebookField": "MessageDeliveries.OptOutPhrasePosition"
   },
   {
    "CellDisagreementId": "effortless-python|MessageDeliveries.OptOutPhrasePosition|md-004",
    "FieldDisagreement": "effortless-python|MessageDeliveries.OptOutPhrasePosition",
    "RecordId": "md-004",
    "ExpectedValue": "true",
    "ActualValue": "86",
    "Reason": "wrong/null value",
    "SemanticTypeIri": "urn:effortless:pko-extension#CellDisagreement",
    "Name": "effortless-python|MessageDeliveries.OptOutPhrasePosition @ md-004",
    "Substrate": "effortless-python",
    "RulebookField": "MessageDeliveries.OptOutPhrasePosition"
   },
   {
    "CellDisagreementId": "effortless-python|MessageDeliveries.OptOutPhrasePosition|md-006",
    "FieldDisagreement": "effortless-python|MessageDeliveries.OptOutPhrasePosition",
    "RecordId": "md-006",
    "ExpectedValue": "true",
    "ActualValue": "86",
    "Reason": "wrong/null value",
    "SemanticTypeIri": "urn:effortless:pko-extension#CellDisagreement",
    "Name": "effortless-python|MessageDeliveries.OptOutPhrasePosition @ md-006",
    "Substrate": "effortless-python",
    "RulebookField": "MessageDeliveries.OptOutPhrasePosition"
   },
   {
    "CellDisagreementId": "effortless-python|TemplateApprovals.Name|tap-email-001",
    "FieldDisagreement": "effortless-python|TemplateApprovals.Name",
    "RecordId": "tap-email-001",
    "ExpectedValue": "\"tmpl-policy-email / Approved / 2026-07-17T11:00:00-05:00\"",
    "ActualValue": "\"tmpl-policy-email / Approved / 2026-07-17 11:00:00-05\"",
    "Reason": "wrong/null value",
    "SemanticTypeIri": "urn:effortless:pko-extension#CellDisagreement",
    "Name": "effortless-python|TemplateApprovals.Name @ tap-email-001",
    "Substrate": "effortless-python",
    "RulebookField": "TemplateApprovals.Name"
   },
   {
    "CellDisagreementId": "effortless-python|TemplateApprovals.Name|tap-sms-001",
    "FieldDisagreement": "effortless-python|TemplateApprovals.Name",
    "RecordId": "tap-sms-001",
    "ExpectedValue": "\"tmpl-policy-sms / Approved / 2026-07-19T10:00:00-05:00\"",
    "ActualValue": "\"tmpl-policy-sms / Approved / 2026-07-19 10:00:00-05\"",
    "Reason": "wrong/null value",
    "SemanticTypeIri": "urn:effortless:pko-extension#CellDisagreement",
    "Name": "effortless-python|TemplateApprovals.Name @ tap-sms-001",
    "Substrate": "effortless-python",
    "RulebookField": "TemplateApprovals.Name"
   },
   {
    "CellDisagreementId": "effortless-python|SendIntents.DeferralAgeHours|si-001",
    "FieldDisagreement": "effortless-python|SendIntents.DeferralAgeHours",
    "RecordId": "si-001",
    "ExpectedValue": "22",
    "ActualValue": "23",
    "Reason": "wrong/null value",
    "SemanticTypeIri": "urn:effortless:pko-extension#CellDisagreement",
    "Name": "effortless-python|SendIntents.DeferralAgeHours @ si-001",
    "Substrate": "effortless-python",
    "RulebookField": "SendIntents.DeferralAgeHours"
   },
   {
    "CellDisagreementId": "effortless-python|SendIntents.DeferralAgeHours|si-002",
    "FieldDisagreement": "effortless-python|SendIntents.DeferralAgeHours",
    "RecordId": "si-002",
    "ExpectedValue": "22",
    "ActualValue": "23",
    "Reason": "wrong/null value",
    "SemanticTypeIri": "urn:effortless:pko-extension#CellDisagreement",
    "Name": "effortless-python|SendIntents.DeferralAgeHours @ si-002",
    "Substrate": "effortless-python",
    "RulebookField": "SendIntents.DeferralAgeHours"
   },
   {
    "CellDisagreementId": "effortless-python|SendIntents.DeferralAgeHours|si-003",
    "FieldDisagreement": "effortless-python|SendIntents.DeferralAgeHours",
    "RecordId": "si-003",
    "ExpectedValue": "22",
    "ActualValue": "23",
    "Reason": "wrong/null value",
    "SemanticTypeIri": "urn:effortless:pko-extension#CellDisagreement",
    "Name": "effortless-python|SendIntents.DeferralAgeHours @ si-003",
    "Substrate": "effortless-python",
    "RulebookField": "SendIntents.DeferralAgeHours"
   },
   {
    "CellDisagreementId": "effortless-python|SendIntents.DeferralAgeHours|si-004",
    "FieldDisagreement": "effortless-python|SendIntents.DeferralAgeHours",
    "RecordId": "si-004",
    "ExpectedValue": "22",
    "ActualValue": "23",
    "Reason": "wrong/null value",
    "SemanticTypeIri": "urn:effortless:pko-extension#CellDisagreement",
    "Name": "effortless-python|SendIntents.DeferralAgeHours @ si-004",
    "Substrate": "effortless-python",
    "RulebookField": "SendIntents.DeferralAgeHours"
   },
   {
    "CellDisagreementId": "effortless-python|SendIntents.DeferralAgeHours|si-005",
    "FieldDisagreement": "effortless-python|SendIntents.DeferralAgeHours",
    "RecordId": "si-005",
    "ExpectedValue": "22",
    "ActualValue": "23",
    "Reason": "wrong/null value",
    "SemanticTypeIri": "urn:effortless:pko-extension#CellDisagreement",
    "Name": "effortless-python|SendIntents.DeferralAgeHours @ si-005",
    "Substrate": "effortless-python",
    "RulebookField": "SendIntents.DeferralAgeHours"
   },
   {
    "CellDisagreementId": "effortless-python|SendIntents.DeferralAgeHours|si-006",
    "FieldDisagreement": "effortless-python|SendIntents.DeferralAgeHours",
    "RecordId": "si-006",
    "ExpectedValue": "22",
    "ActualValue": "23",
    "Reason": "wrong/null value",
    "SemanticTypeIri": "urn:effortless:pko-extension#CellDisagreement",
    "Name": "effortless-python|SendIntents.DeferralAgeHours @ si-006",
    "Substrate": "effortless-python",
    "RulebookField": "SendIntents.DeferralAgeHours"
   },
   {
    "CellDisagreementId": "effortless-python|SendIntents.DeferralAgeHours|si-007",
    "FieldDisagreement": "effortless-python|SendIntents.DeferralAgeHours",
    "RecordId": "si-007",
    "ExpectedValue": "22",
    "ActualValue": "23",
    "Reason": "wrong/null value",
    "SemanticTypeIri": "urn:effortless:pko-extension#CellDisagreement",
    "Name": "effortless-python|SendIntents.DeferralAgeHours @ si-007",
    "Substrate": "effortless-python",
    "RulebookField": "SendIntents.DeferralAgeHours"
   },
   {
    "CellDisagreementId": "effortless-python|DeliveredCommunications.ContentMatchesApproval|dc-hr4821-email-001",
    "FieldDisagreement": "effortless-python|DeliveredCommunications.ContentMatchesApproval",
    "RecordId": "dc-hr4821-email-001",
    "ExpectedValue": "true",
    "ActualValue": "null",
    "Reason": "wrong/null value",
    "SemanticTypeIri": "urn:effortless:pko-extension#CellDisagreement",
    "Name": "effortless-python|DeliveredCommunications.ContentMatchesApproval @ dc-hr4821-email-001",
    "Substrate": "effortless-python",
    "RulebookField": "DeliveredCommunications.ContentMatchesApproval"
   },
   {
    "CellDisagreementId": "effortless-python|ProcessMiningRuns.Name|pmr-close-v10-archived",
    "FieldDisagreement": "effortless-python|ProcessMiningRuns.Name",
    "RecordId": "pmr-close-v10-archived",
    "ExpectedValue": "\"ERP General Ledger Audit Log / 2026-01-01T09:00:00-05:00\"",
    "ActualValue": "\"ERP General Ledger Audit Log / 2026-01-01 09:00:00-05\"",
    "Reason": "wrong/null value",
    "SemanticTypeIri": "urn:effortless:pko-extension#CellDisagreement",
    "Name": "effortless-python|ProcessMiningRuns.Name @ pmr-close-v10-archived",
    "Substrate": "effortless-python",
    "RulebookField": "ProcessMiningRuns.Name"
   },
   {
    "CellDisagreementId": "effortless-python|ProcessMiningRuns.Name|pmr-close-v11-cutoff-bypass",
    "FieldDisagreement": "effortless-python|ProcessMiningRuns.Name",
    "RecordId": "pmr-close-v11-cutoff-bypass",
    "ExpectedValue": "\"ERP General Ledger Audit Log / 2026-07-17T09:00:00-05:00\"",
    "ActualValue": "\"ERP General Ledger Audit Log / 2026-07-17 09:00:00-05\"",
    "Reason": "wrong/null value",
    "SemanticTypeIri": "urn:effortless:pko-extension#CellDisagreement",
    "Name": "effortless-python|ProcessMiningRuns.Name @ pmr-close-v11-cutoff-bypass",
    "Substrate": "effortless-python",
    "RulebookField": "ProcessMiningRuns.Name"
   },
   {
    "CellDisagreementId": "effortless-python|ProcessMiningRuns.Name|pmr-close-v11-q3",
    "FieldDisagreement": "effortless-python|ProcessMiningRuns.Name",
    "RecordId": "pmr-close-v11-q3",
    "ExpectedValue": "\"ERP General Ledger Audit Log / 2026-07-15T09:00:00-05:00\"",
    "ActualValue": "\"ERP General Ledger Audit Log / 2026-07-15 09:00:00-05\"",
    "Reason": "wrong/null value",
    "SemanticTypeIri": "urn:effortless:pko-extension#CellDisagreement",
    "Name": "effortless-python|ProcessMiningRuns.Name @ pmr-close-v11-q3",
    "Substrate": "effortless-python",
    "RulebookField": "ProcessMiningRuns.Name"
   },
   {
    "CellDisagreementId": "effortless-python|ProcessMiningRuns.Name|pmr-policy-v1-notify",
    "FieldDisagreement": "effortless-python|ProcessMiningRuns.Name",
    "RecordId": "pmr-policy-v1-notify",
    "ExpectedValue": "\"Notification Pipeline Delivery Log / 2026-01-10T09:00:00-05:00\"",
    "ActualValue": "\"Notification Pipeline Delivery Log / 2026-01-10 09:00:00-05\"",
    "Reason": "wrong/null value",
    "SemanticTypeIri": "urn:effortless:pko-extension#CellDisagreement",
    "Name": "effortless-python|ProcessMiningRuns.Name @ pmr-policy-v1-notify",
    "Substrate": "effortless-python",
    "RulebookField": "ProcessMiningRuns.Name"
   },
   {
    "CellDisagreementId": "effortless-typescript|EvaluationContexts.Name|eval-current",
    "FieldDisagreement": "effortless-typescript|EvaluationContexts.Name",
    "RecordId": "eval-current",
    "ExpectedValue": "\"Post-close evaluation @ 2026-07-19T13:00:00-05:00\"",
    "ActualValue": "\"Post-close evaluation @ 2026-07-19 13:00:00-05\"",
    "Reason": "wrong/null value",
    "SemanticTypeIri": "urn:effortless:pko-extension#CellDisagreement",
    "Name": "effortless-typescript|EvaluationContexts.Name @ eval-current",
    "Substrate": "effortless-typescript",
    "RulebookField": "EvaluationContexts.Name"
   },
   {
    "CellDisagreementId": "effortless-typescript|RoleAssignments.Name|ra-authority-2026",
    "FieldDisagreement": "effortless-typescript|RoleAssignments.Name",
    "RecordId": "ra-authority-2026",
    "ExpectedValue": "\"knowledge-authority @ 2026-01-01T00:00:00-06:00\"",
    "ActualValue": "\"knowledge-authority @ 2026-01-01 00:00:00-06\"",
    "Reason": "wrong/null value",
    "SemanticTypeIri": "urn:effortless:pko-extension#CellDisagreement",
    "Name": "effortless-typescript|RoleAssignments.Name @ ra-authority-2026",
    "Substrate": "effortless-typescript",
    "RulebookField": "RoleAssignments.Name"
   },
   {
    "CellDisagreementId": "effortless-typescript|RoleAssignments.Name|ra-cfo-2026",
    "FieldDisagreement": "effortless-typescript|RoleAssignments.Name",
    "RecordId": "ra-cfo-2026",
    "ExpectedValue": "\"cfo @ 2026-01-01T00:00:00-06:00\"",
    "ActualValue": "\"cfo @ 2026-01-01 00:00:00-06\"",
    "Reason": "wrong/null value",
    "SemanticTypeIri": "urn:effortless:pko-extension#CellDisagreement",
    "Name": "effortless-typescript|RoleAssignments.Name @ ra-cfo-2026",
    "Substrate": "effortless-typescript",
    "RulebookField": "RoleAssignments.Name"
   },
   {
    "CellDisagreementId": "effortless-typescript|RoleAssignments.Name|ra-close-pipeline-2026",
    "FieldDisagreement": "effortless-typescript|RoleAssignments.Name",
    "RecordId": "ra-close-pipeline-2026",
    "ExpectedValue": "\"close-automation @ 2026-01-01T00:00:00-06:00\"",
    "ActualValue": "\"close-automation @ 2026-01-01 00:00:00-06\"",
    "Reason": "wrong/null value",
    "SemanticTypeIri": "urn:effortless:pko-extension#CellDisagreement",
    "Name": "effortless-typescript|RoleAssignments.Name @ ra-close-pipeline-2026",
    "Substrate": "effortless-typescript",
    "RulebookField": "RoleAssignments.Name"
   },
   {
    "CellDisagreementId": "effortless-typescript|RoleAssignments.Name|ra-comms-2026",
    "FieldDisagreement": "effortless-typescript|RoleAssignments.Name",
    "RecordId": "ra-comms-2026",
    "ExpectedValue": "\"communications-manager @ 2026-02-01T00:00:00-06:00\"",
    "ActualValue": "\"communications-manager @ 2026-02-01 00:00:00-06\"",
    "Reason": "wrong/null value",
    "SemanticTypeIri": "urn:effortless:pko-extension#CellDisagreement",
    "Name": "effortless-typescript|RoleAssignments.Name @ ra-comms-2026",
    "Substrate": "effortless-typescript",
    "RulebookField": "RoleAssignments.Name"
   },
   {
    "CellDisagreementId": "effortless-typescript|RoleAssignments.Name|ra-controller-2026",
    "FieldDisagreement": "effortless-typescript|RoleAssignments.Name",
    "RecordId": "ra-controller-2026",
    "ExpectedValue": "\"controller @ 2026-01-01T00:00:00-06:00\"",
    "ActualValue": "\"controller @ 2026-01-01 00:00:00-06\"",
    "Reason": "wrong/null value",
    "SemanticTypeIri": "urn:effortless:pko-extension#CellDisagreement",
    "Name": "effortless-typescript|RoleAssignments.Name @ ra-controller-2026",
    "Substrate": "</t>
  </si>
  <si>
    <t xml:space="preserve">effortless-typescript",
    "RulebookField": "RoleAssignments.Name"
   },
   {
    "CellDisagreementId": "effortless-typescript|RoleAssignments.Name|ra-counsel-2026",
    "FieldDisagreement": "effortless-typescript|RoleAssignments.Name",
    "RecordId": "ra-counsel-2026",
    "ExpectedValue": "\"employment-counsel @ 2026-01-15T00:00:00-06:00\"",
    "ActualValue": "\"employment-counsel @ 2026-01-15 00:00:00-06\"",
    "Reason": "wrong/null value",
    "SemanticTypeIri": "urn:effortless:pko-extension#CellDisagreement",
    "Name": "effortless-typescript|RoleAssignments.Name @ ra-counsel-2026",
    "Substrate": "effortless-typescript",
    "RulebookField": "RoleAssignments.Name"
   },
   {
    "CellDisagreementId": "effortless-typescript|RoleAssignments.Name|ra-finance-2026",
    "FieldDisagreement": "effortless-typescript|RoleAssignments.Name",
    "RecordId": "ra-finance-2026",
    "ExpectedValue": "\"finance-analyst @ 2026-01-01T00:00:00-06:00\"",
    "ActualValue": "\"finance-analyst @ 2026-01-01 00:00:00-06\"",
    "Reason": "wrong/null value",
    "SemanticTypeIri": "urn:effortless:pko-extension#CellDisagreement",
    "Name": "effortless-typescript|RoleAssignments.Name @ ra-finance-2026",
    "Substrate": "effortless-typescript",
    "RulebookField": "RoleAssignments.Name"
   },
   {
    "CellDisagreementId": "effortless-typescript|RoleAssignments.Name|ra-new-variance",
    "FieldDisagreement": "effortless-typescript|RoleAssignments.Name",
    "RecordId": "ra-new-variance",
    "ExpectedValue": "\"variance-review-agent @ 2026-04-01T00:00:00-05:00\"",
    "ActualValue": "\"variance-review-agent @ 2026-04-01 00:00:00-05\"",
    "Reason": "wrong/null value",
    "SemanticTypeIri": "urn:effortless:pko-extension#CellDisagreement",
    "Name": "effortless-typescript|RoleAssignments.Name @ ra-new-variance",
    "Substrate": "effortless-typescript",
    "RulebookField": "RoleAssignments.Name"
   },
   {
    "CellDisagreementId": "effortless-typescript|RoleAssignments.Name|ra-notify-pipeline-2026",
    "FieldDisagreement": "effortless-typescript|RoleAssignments.Name",
    "RecordId": "ra-notify-pipeline-2026",
    "ExpectedValue": "\"notification-publisher @ 2026-03-01T00:00:00-06:00\"",
    "ActualValue": "\"notification-publisher @ 2026-03-01 00:00:00-06\"",
    "Reason": "wrong/null value",
    "SemanticTypeIri": "urn:effortless:pko-extension#CellDisagreement",
    "Name": "effortless-typescript|RoleAssignments.Name @ ra-notify-pipeline-2026",
    "Substrate": "effortless-typescript",
    "RulebookField": "RoleAssignments.Name"
   },
   {
    "CellDisagreementId": "effortless-typescript|RoleAssignments.Name|ra-old-variance",
    "FieldDisagreement": "effortless-typescript|RoleAssignments.Name",
    "RecordId": "ra-old-variance",
    "ExpectedValue": "\"variance-review-agent @ 2025-01-01T00:00:00-06:00\"",
    "ActualValue": "\"variance-review-agent @ 2025-01-01 00:00:00-06\"",
    "Reason": "wrong/null value",
    "SemanticTypeIri": "urn:effortless:pko-extension#CellDisagreement",
    "Name": "effortless-typescript|RoleAssignments.Name @ ra-old-variance",
    "Substrate": "effortless-typescript",
    "RulebookField": "RoleAssignments.Name"
   },
   {
    "CellDisagreementId": "effortless-typescript|RoleAssignments.Name|ra-policy-ai-2026",
    "FieldDisagreement": "effortless-typescript|RoleAssignments.Name",
    "RecordId": "ra-policy-ai-2026",
    "ExpectedValue": "\"policy-drafting-agent @ 2026-05-01T00:00:00-05:00\"",
    "ActualValue": "\"policy-drafting-agent @ 2026-05-01 00:00:00-05\"",
    "Reason": "wrong/null value",
    "SemanticTypeIri": "urn:effortless:pko-extension#CellDisagreement",
    "Name": "effortless-typescript|RoleAssignments.Name @ ra-policy-ai-2026",
    "Substrate": "effortless-typescript",
    "RulebookField": "RoleAssignments.Name"
   },
   {
    "CellDisagreementId": "effortless-typescript|RoleAssignments.Name|ra-policy-owner-2026",
    "FieldDisagreement": "effortless-typescript|RoleAssignments.Name",
    "RecordId": "ra-policy-owner-2026",
    "ExpectedValue": "\"hr-policy-owner @ 2026-02-01T00:00:00-06:00\"",
    "ActualValue": "\"hr-policy-owner @ 2026-02-01 00:00:00-06\"",
    "Reason": "wrong/null value",
    "SemanticTypeIri": "urn:effortless:pko-extension#CellDisagreement",
    "Name": "effortless-typescript|RoleAssignments.Name @ ra-policy-owner-2026",
    "Substrate": "effortless-typescript",
    "RulebookField": "RoleAssignments.Name"
   },
   {
    "CellDisagreementId": "effortless-typescript|RoleAssignments.Name|ra-steward-2026",
    "FieldDisagreement": "effortless-typescript|RoleAssignments.Name",
    "RecordId": "ra-steward-2026",
    "ExpectedValue": "\"process-steward @ 2026-04-15T09:00:00-05:00\"",
    "ActualValue": "\"process-steward @ 2026-04-15 09:00:00-05\"",
    "Reason": "wrong/null value",
    "SemanticTypeIri": "urn:effortless:pko-extension#CellDisagreement",
    "Name": "effortless-typescript|RoleAssignments.Name @ ra-steward-2026",
    "Substrate": "effortless-typescript",
    "RulebookField": "RoleAssignments.Name"
   },
   {
    "CellDisagreementId": "effortless-typescript|RoleAssignments.QualityVerdictIsUnsupported|ra-authority-2026",
    "FieldDisagreement": "effortless-typescript|RoleAssignments.QualityVerdictIsUnsupported",
    "RecordId": "ra-authority-2026",
    "ExpectedValue": "true",
    "ActualValue": "null",
    "Reason": "wrong/null value",
    "SemanticTypeIri": "urn:effortless:pko-extension#CellDisagreement",
    "Name": "effortless-typescript|RoleAssignments.QualityVerdictIsUnsupported @ ra-authority-2026",
    "Substrate": "effortless-typescript",
    "RulebookField": "RoleAssignments.QualityVerdictIsUnsupported"
   },
   {
    "CellDisagreementId": "effortless-typescript|RoleAssignments.QualityVerdictIsUnsupported|ra-cfo-2026",
    "FieldDisagreement": "effortless-typescript|RoleAssignments.QualityVerdictIsUnsupported",
    "RecordId": "ra-cfo-2026",
    "ExpectedValue": "true",
    "ActualValue": "null",
    "Reason": "wrong/null value",
    "SemanticTypeIri": "urn:effortless:pko-extension#CellDisagreement",
    "Name": "effortless-typescript|RoleAssignments.QualityVerdictIsUnsupported @ ra-cfo-2026",
    "Substrate": "effortless-typescript",
    "RulebookField": "RoleAssignments.QualityVerdictIsUnsupported"
   },
   {
    "CellDisagreementId": "effortless-typescript|RoleAssignments.QualityVerdictIsUnsupported|ra-close-pipeline-2026",
    "FieldDisagreement": "effortless-typescript|RoleAssignments.QualityVerdictIsUnsupported",
    "RecordId": "ra-close-pipeline-2026",
    "ExpectedValue": "true",
    "ActualValue": "null",
    "Reason": "wrong/null value",
    "SemanticTypeIri": "urn:effortless:pko-extension#CellDisagreement",
    "Name": "effortless-typescript|RoleAssignments.QualityVerdictIsUnsupported @ ra-close-pipeline-2026",
    "Substrate": "effortless-typescript",
    "RulebookField": "RoleAssignments.QualityVerdictIsUnsupported"
   },
   {
    "CellDisagreementId": "effortless-typescript|RoleAssignments.QualityVerdictIsUnsupported|ra-comms-2026",
    "FieldDisagreement": "effortless-typescript|RoleAssignments.QualityVerdictIsUnsupported",
    "RecordId": "ra-comms-2026",
    "ExpectedValue": "true",
    "ActualValue": "null",
    "Reason": "wrong/null value",
    "SemanticTypeIri": "urn:effortless:pko-extension#CellDisagreement",
    "Name": "effortless-typescript|RoleAssignments.QualityVerdictIsUnsupported @ ra-comms-2026",
    "Substrate": "effortless-typescript",
    "RulebookField": "RoleAssignments.QualityVerdictIsUnsupported"
   },
   {
    "CellDisagreementId": "effortless-typescript|RoleAssignments.QualityVerdictIsUnsupported|ra-controller-2026",
    "FieldDisagreement": "effortless-typescript|RoleAssignments.QualityVerdictIsUnsupported",
    "RecordId": "ra-controller-2026",
    "ExpectedValue": "true",
    "ActualValue": "null",
    "Reason": "wrong/null value",
    "SemanticTypeIri": "urn:effortless:pko-extension#CellDisagreement",
    "Name": "effortless-typescript|RoleAssignments.QualityVerdictIsUnsupported @ ra-controller-2026",
    "Substrate": "effortless-typescript",
    "RulebookField": "RoleAssignments.QualityVerdictIsUnsupported"
   },
   {
    "CellDisagreementId": "effortless-typescript|RoleAssignments.QualityVerdictIsUnsupported|ra-counsel-2026",
    "FieldDisagreement": "effortless-typescript|RoleAssignments.QualityVerdictIsUnsupported",
    "RecordId": "ra-counsel-2026",
    "ExpectedValue": "true",
    "ActualValue": "null",
    "Reason": "wrong/null value",
    "SemanticTypeIri": "urn:effortless:pko-extension#CellDisagreement",
    "Name": "effortless-typescript|RoleAssignments.QualityVerdictIsUnsupported @ ra-counsel-2026",
    "Substrate": "effortless-typescript",
    "RulebookField": "RoleAssignments.QualityVerdictIsUnsupported"
   },
   {
    "CellDisagreementId": "effortless-typescript|RoleAssignments.QualityVerdictIsUnsupported|ra-finance-2026",
    "FieldDisagreement": "effortless-typescript|RoleAssignments.QualityVerdictIsUnsupported",
    "RecordId": "ra-finance-2026",
    "ExpectedValue": "true",
    "ActualValue": "null",
    "Reason": "wrong/null value",
    "SemanticTypeIri": "urn:effortless:pko-extension#CellDisagreement",
    "Name": "effortless-typescript|RoleAssignments.QualityVerdictIsUnsupported @ ra-finance-2026",
    "Substrate": "effortless-typescript",
    "RulebookField": "RoleAssignments.QualityVerdictIsUnsupported"
   },
   {
    "CellDisagreementId": "effortless-typescript|RoleAssignments.QualityVerdictIsUnsupported|ra-new-variance",
    "FieldDisagreement": "effortless-typescript|RoleAssignments.QualityVerdictIsUnsupported",
    "RecordId": "ra-new-variance",
    "ExpectedValue": "true",
    "ActualValue": "null",
    "Reason": "wrong/null value",
    "SemanticTypeIri": "urn:effortless:pko-extension#CellDisagreement",
    "Name": "effortless-typescript|RoleAssignments.QualityVerdictIsUnsupported @ ra-new-variance",
    "Substrate": "effortless-typescript",
    "RulebookField": "RoleAssignments.QualityVerdictIsUnsupported"
   },
   {
    "CellDisagreementId": "effortless-typescript|RoleAssignments.QualityVerdictIsUnsupported|ra-notify-pipeline-2026",
    "FieldDisagreement": "effortless-typescript|RoleAssignments.QualityVerdictIsUnsupported",
    "RecordId": "ra-notify-pipeline-2026",
    "ExpectedValue": "true",
    "ActualValue": "null",
    "Reason": "wrong/null value",
    "SemanticTypeIri": "urn:effortless:pko-extension#CellDisagreement",
    "Name": "effortless-typescript|RoleAssignments.QualityVerdictIsUnsupported @ ra-notify-pipeline-2026",
    "Substrate": "effortless-typescript",
    "RulebookField": "RoleAssignments.QualityVerdictIsUnsupported"
   },
   {
    "CellDisagreementId": "effortless-typescript|RoleAssignments.QualityVerdictIsUnsupported|ra-old-variance",
    "FieldDisagreement": "effortless-typescript|RoleAssignments.QualityVerdictIsUnsupported",
    "RecordId": "ra-old-variance",
    "ExpectedValue": "true",
    "ActualValue": "null",
    "Reason": "wrong/null value",
    "SemanticTypeIri": "urn:effortless:pko-extension#CellDisagreement",
    "Name": "effortless-typescript|RoleAssignments.QualityVerdictIsUnsupported @ ra-old-variance",
    "Substrate": "effortless-typescript",
    "RulebookField": "RoleAssignments.QualityVerdictIsUnsupported"
   },
   {
    "CellDisagreementId": "effortless-typescript|RoleAssignments.QualityVerdictIsUnsupported|ra-policy-ai-2026",
    "FieldDisagreement": "effortless-typescript|RoleAssignments.QualityVerdictIsUnsupported",
    "RecordId": "ra-policy-ai-2026",
    "ExpectedValue": "true",
    "ActualValue": "null",
    "Reason": "wrong/null value",
    "SemanticTypeIri": "urn:effortless:pko-extension#CellDisagreement",
    "Name": "effortless-typescript|RoleAssignments.QualityVerdictIsUnsupported @ ra-policy-ai-2026",
    "Substrate": "effortless-typescript",
    "RulebookField": "RoleAssignments.QualityVerdictIsUnsupported"
   },
   {
    "CellDisagreementId": "effortless-typescript|RoleAssignments.QualityVerdictIsUnsupported|ra-policy-owner-2026",
    "FieldDisagreement": "effortless-typescript|RoleAssignments.QualityVerdictIsUnsupported",
    "RecordId": "ra-policy-owner-2026",
    "ExpectedValue": "true",
    "ActualValue": "null",
    "Reason": "wrong/null value",
    "SemanticTypeIri": "urn:effortless:pko-extension#CellDisagreement",
    "Name": "effortless-typescript|RoleAssignments.QualityVerdictIsUnsupported @ ra-policy-owner-2026",
    "Substrate": "effortless-typescript",
    "RulebookField": "RoleAssignments.QualityVerdictIsUnsupported"
   },
   {
    "CellDisagreementId": "effortless-typescript|RoleAssignments.QualityVerdictIsUnsupported|ra-steward-2026",
    "FieldDisagreement": "effortless-typescript|RoleAssignments.QualityVerdictIsUnsupported",
    "RecordId": "ra-steward-2026",
    "ExpectedValue": "true",
    "ActualValue": "null",
    "Reason": "wrong/null value",
    "SemanticTypeIri": "urn:effortless:pko-extension#CellDisagreement",
    "Name": "effortless-typescript|RoleAssignments.QualityVerdictIsUnsupported @ ra-steward-2026",
    "Substrate": "effortless-typescript",
    "RulebookField": "RoleAssignments.QualityVerdictIsUnsupported"
   },
   {
    "CellDisagreementId": "effortless-typescript|RoleAssignments.IsUnmeasuredAutomationHandover|ra-new-variance",
    "FieldDisagreement": "effortless-typescript|RoleAssignments.IsUnmeasuredAutomationHandover",
    "RecordId": "ra-new-variance",
    "ExpectedValue": "true",
    "ActualValue": "null",
    "Reason": "wrong/null value",
    "SemanticTypeIri": "urn:effortless:pko-extension#CellDisagreement",
    "Name": "effortless-typescript|RoleAssignments.IsUnmeasuredAutomationHandover @ ra-new-variance",
    "Substrate": "effortless-typescript",
    "RulebookField": "RoleAssignments.IsUnmeasuredAutomationHandover"
   },
   {
    "CellDisagreementId": "effortless-typescript|ProcedureVersions.DaysSinceModified|close-v1.0.0",
    "FieldDisagreement": "effortless-typescript|ProcedureVersions.DaysSinceModified",
    "RecordId": "close-v1.0.0",
    "ExpectedValue": "109",
    "ActualValue": "110",
    "Reason": "wrong/null value",
    "SemanticTypeIri": "urn:effortless:pko-extension#CellDisagreement",
    "Name": "effortless-typescript|ProcedureVersions.DaysSinceModified @ close-v1.0.0",
    "Substrate": "effortless-typescript",
    "RulebookField": "ProcedureVersions.DaysSinceModified"
   },
   {
    "CellDisagreementId": "effortless-typescript|ProcedureVersions.DaysSinceModified|close-v1.1.0",
    "FieldDisagreement": "effortless-typescript|ProcedureVersions.DaysSinceModified",
    "RecordId": "close-v1.1.0",
    "ExpectedValue": "16",
    "ActualValue": "17",
    "Reason": "wrong/null value",
    "SemanticTypeIri": "urn:effortless:pko-extension#CellDisagreement",
    "Name": "effortless-typescript|ProcedureVersions.DaysSinceModified @ close-v1.1.0",
    "Substrate": "effortless-typescript",
    "RulebookField": "ProcedureVersions.DaysSinceModified"
   },
   {
    "CellDisagreementId": "effortless-typescript|ProcedureVersions.DaysSinceModified|policy-v1.0.0",
    "FieldDisagreement": "effortless-typescript|ProcedureVersions.DaysSinceModified",
    "RecordId": "policy-v1.0.0",
    "ExpectedValue": "0",
    "ActualValue": "1",
    "Reason": "wrong/null value",
    "SemanticTypeIri": "urn:effortless:pko-extension#CellDisagreement",
    "Name": "effortless-typescript|ProcedureVersions.DaysSinceModified @ policy-v1.0.0",
    "Substrate": "effortless-typescript",
    "RulebookField": "ProcedureVersions.DaysSinceModified"
   },
   {
    "CellDisagreementId": "effortless-typescript|ProcedureVersions.WasModifiedSinceLastReview|close-v1.1.0",
    "FieldDisagreement": "effortless-typescript|ProcedureVersions.WasModifiedSinceLastReview",
    "RecordId": "close-v1.1.0",
    "ExpectedValue": "true",
    "ActualValue": "false",
    "Reason": "wrong/null value",
    "SemanticTypeIri": "urn:effortless:pko-extension#CellDisagreement",
    "Name": "effortless-typescript|ProcedureVersions.WasModifiedSinceLastReview @ close-v1.1.0",
    "Substrate": "effortless-typescript",
    "RulebookField": "ProcedureVersions.WasModifiedSinceLastReview"
   },
   {
    "CellDisagreementId": "effortless-typescript|ProcedureVersions.WasModifiedSinceLastReview|policy-v1.0.0",
    "FieldDisagreement": "effortless-typescript|ProcedureVersions.WasModifiedSinceLastReview",
    "RecordId": "policy-v1.0.0",
    "ExpectedValue": "true",
    "ActualValue": "false",
    "Reason": "wrong/null value",
    "SemanticTypeIri": "urn:effortless:pko-extension#CellDisagreement",
    "Name": "effortless-typescript|ProcedureVersions.WasModifiedSinceLastReview @ policy-v1.0.0",
    "Substrate": "effortless-typescript",
    "RulebookField": "ProcedureVersions.WasModifiedSinceLastReview"
   },
   {
    "CellDisagreementId": "effortless-typescript|ProcedureVersions.HasUnwitnessedChange|close-v1.1.0",
    "FieldDisagreement": "effortless-typescript|ProcedureVersions.HasUnwitnessedChange",
    "RecordId": "close-v1.1.0",
    "ExpectedValue": "true",
    "ActualValue": "false",
    "Reason": "wrong/null value",
    "SemanticTypeIri": "urn:effortless:pko-extension#CellDisagreement",
    "Name": "effortless-typescript|ProcedureVersions.HasUnwitnessedChange @ close-v1.1.0",
    "Substrate": "effortless-typescript",
    "RulebookField": "ProcedureVersions.HasUnwitnessedChange"
   },
   {
    "CellDisagreementId": "effortless-typescript|ProcedureVersions.HasUnwitnessedChange|policy-v1.0.0",
    "FieldDisagreement": "effortless-typescript|ProcedureVersions.HasUnwitnessedChange",
    "RecordId": "policy-v1.0.0",
    "ExpectedValue": "true",
    "ActualValue": "false",
    "Reason": "wrong/null value",
    "SemanticTypeIri": "urn:effortless:pko-extension#CellDisagreement",
    "Name": "effortless-typescript|ProcedureVersions.HasUnwitnessedChange @ policy-v1.0.0",
    "Substrate": "effortless-typescript",
    "RulebookField": "ProcedureVersions.HasUnwitnessedChange"
   },
   {
    "CellDisagreementId": "effortless-typescript|Requirements.IsUntestedWitness|req-close-balance",
    "FieldDisagreement": "effortless-typescript|Requirements.IsUntestedWitness",
    "RecordId": "req-close-balance",
    "ExpectedValue": "true",
    "ActualValue": "null",
    "Reason": "wrong/null value",
    "SemanticTypeIri": "urn:effortless:pko-extension#CellDisagreement",
    "Name": "effortless-typescript|Requirements.IsUntestedWitness @ req-close-balance",
    "Substrate": "effortless-typescript",
    "RulebookField": "Requirements.IsUntestedWitness"
   },
   {
    "CellDisagreementId": "effortless-typescript|Requirements.IsUntestedWitness|req-close-cutoff",
    "FieldDisagreement": "effortless-typescript|Requirements.IsUntestedWitness",
    "RecordId": "req-close-cutoff",
    "ExpectedValue": "true",
    "ActualValue": "null",
    "Reason": "wrong/null value",
    "SemanticTypeIri": "urn:effortless:pko-extension#CellDisagreement",
    "Name": "effortless-typescript|Requirements.IsUntestedWitness @ req-close-cutoff",
    "Substrate": "effortless-typescript",
    "RulebookField": "Requirements.IsUntestedWitness"
   },
   {
    "CellDisagreementId": "effortless-typescript|Requirements.IsUntestedWitness|req-close-separation",
    "FieldDisagreement": "effortless-typescript|Requirements.IsUntestedWitness",
    "RecordId": "req-close-separation",
    "ExpectedValue": "true",
    "ActualValue": "null",
    "Reason": "wrong/null value",
    "SemanticTypeIri": "urn:effortless:pko-extension#CellDisagreement",
    "Name": "effortless-typescript|Requirements.IsUntestedWitness @ req-close-separation",
    "Substrate": "effortless-typescript",
    "RulebookField": "Requirements.IsUntestedWitness"
   },
   {
    "CellDisagreementId": "effortless-typescript|ElicitationSessions.Name|elicit-close-shadow",
    "FieldDisagreement": "effortless-typescript|ElicitationSessions.Name",
    "RecordId": "elicit-close-shadow",
    "ExpectedValue": "\"Shadowing / 2026-04-03T09:00:00-05:00\"",
    "ActualValue": "\"Shadowing / 2026-04-03 09:00:00-05\"",
    "Reason": "wrong/null value",
    "SemanticTypeIri": "urn:effortless:pko-extension#CellDisagreement",
    "Name": "effortless-typescript|ElicitationSessions.Name @ elicit-close-shadow",
    "Substrate": "effortless-typescript",
    "RulebookField": "ElicitationSessions.Name"
   },
   {
    "CellDisagreementId": "effortless-typescript|ElicitationSessions.Name|elicit-policy-interview",
    "FieldDisagreement": "effortless-typescript|ElicitationSessions.Name",
    "RecordId": "elicit-policy-interview",
    "ExpectedValue": "\"PractitionerInterview / 2026-05-12T13:00:00-05:00\"",
    "ActualValue": "\"PractitionerInterview / 2026-05-12 13:00:00-05\"",
    "Reason": "wrong/null value",
    "SemanticTypeIri": "urn:effortless:pko-extension#CellDisagreement",
    "Name": "effortless-typescript|ElicitationSessions.Name @ elicit-policy-interview",
    "Substrate": "effortless-typescript",
    "RulebookField": "ElicitationSessions.Name"
   },
   {
    "CellDisagreementId": "effortless-typescript|ElicitationSessions.Name|elicit-policy-workshop",
    "FieldDisagreement": "effortless-typescript|ElicitationSessions.Name",
    "RecordId": "elicit-policy-workshop",
    "ExpectedValue": "\"FacilitatedWorkshop / 2026-05-10T10:00:00-05:00\"",
    "ActualValue": "\"FacilitatedWorkshop / 2026-05-10 10:00:00-05\"",
    "Reason": "wrong/null value",
    "SemanticTypeIri": "urn:effortless:pko-extension#CellDisagreement",
    "Name": "effortless-typescript|ElicitationSessions.Name @ elicit-policy-workshop",
    "Substrate": "effortless-typescript",
    "RulebookField": "ElicitationSessions.Name"
   },
   {
    "CellDisagreementId": "effortless-typescript|ElicitationSessions.DaysSinceElicited|elicit-policy-interview",
    "FieldDisagreement": "effortless-typescript|ElicitationSessions.DaysSinceElicited",
    "RecordId": "elicit-policy-interview",
    "ExpectedValue": "67",
    "ActualValue": "68",
    "Reason": "wrong/null value",
    "SemanticTypeIri": "urn:effortless:pko-extension#CellDisagreement",
    "Name": "effortless-typescript|ElicitationSessions.DaysSinceElicited @ elicit-policy-interview",
    "Substrate": "effortless-typescript",
    "RulebookField": "ElicitationSessions.DaysSinceElicited"
   },
   {
    "CellDisagreementId": "effortless-typescript|ElicitationSessions.DaysSinceElicited|elicit-policy-workshop",
    "FieldDisagreement": "effortless-typescript|ElicitationSessions.DaysSinceElicited",
    "RecordId": "elicit-policy-workshop",
    "ExpectedValue": "69",
    "ActualValue": "70",
    "Reason": "wrong/null value",
    "SemanticTypeIri": "urn:effortless:pko-extension#CellDisagreement",
    "Name": "effortless-typescript|ElicitationSessions.DaysSinceElicited @ elicit-policy-workshop",
    "Substrate": "effortless-typescript",
    "RulebookField": "ElicitationSessions.DaysSinceElicited"
   },
   {
    "CellDisagreementId": "effortless-typescript|KnowledgeFragments.DaysSinceActualReview|kf-close-fx-time",
    "FieldDisagreement": "effortless-typescript|KnowledgeFragments.DaysSinceActualReview",
    "RecordId": "kf-close-fx-time",
    "ExpectedValue": "16",
    "ActualValue": "17",
    "Reason": "wrong/null value",
    "SemanticTypeIri": "urn:effortless:pko-extension#CellDisagreement",
    "Name": "effortless-typescript|KnowledgeFragments.DaysSinceActualReview @ kf-close-fx-time",
    "Substrate": "effortless-typescript",
    "RulebookField": "KnowledgeFragments.DaysSinceActualReview"
   },
   {
    "CellDisagreementId": "effortless-typescript|KnowledgeFragments.DaysSinceActualReview|kf-close-top-ten",
    "FieldDisagreement": "effortless-typescript|KnowledgeFragments.DaysSinceActualReview",
    "RecordId": "kf-close-top-ten",
    "ExpectedValue": "16",
    "ActualValue": "17",
    "Reason": "wrong/null value",
    "SemanticTypeIri": "urn:effortless:pko-extension#CellDisagreement",
    "Name": "effortless-typescript|KnowledgeFragments.DaysSinceActualReview @ kf-close-top-ten",
    "Substrate": "effortless-typescript",
    "RulebookField": "KnowledgeFragments.DaysSinceActualReview"
   },
   {
    "CellDisagreementId": "effortless-typescript|KnowledgeFragments.DaysSinceActualReview|kf-policy-channel",
    "FieldDisagreement": "effortless-typescript|KnowledgeFragments.DaysSinceActualReview",
    "RecordId": "kf-policy-channel",
    "ExpectedValue": "0",
    "ActualValue": "1",
    "Reason": "wrong/null value",
    "SemanticTypeIri": "urn:effortless:pko-extension#CellDisagreement",
    "Name": "effortless-typescript|KnowledgeFragments.DaysSinceActualReview @ kf-policy-channel",
    "Substrate": "effortless-typescript",
    "RulebookField": "KnowledgeFragments.DaysSinceActualReview"
   },
   {
    "CellDisagreementId": "effortless-typescript|KnowledgeFragments.EvidenceAgeDays|kf-policy-ai-boundary",
    "FieldDisagreement": "effortless-typescript|KnowledgeFragments.EvidenceAgeDays",
    "RecordId": "kf-policy-ai-boundary",
    "ExpectedValue": "67",
    "ActualValue": "68",
    "Reason": "wrong/null value",
    "SemanticTypeIri": "urn:effortless:pko-extension#CellDisagreement",
    "Name": "effortless-typescript|KnowledgeFragments.EvidenceAgeDays @ kf-policy-ai-boundary",
    "Substrate": "effortless-typescript",
    "RulebookField": "KnowledgeFragments.EvidenceAgeDays"
   },
   {
    "CellDisagreementId": "effortless-typescript|KnowledgeFragments.EvidenceAgeDays|kf-policy-channel",
    "FieldDisagreement": "effortless-typescript|KnowledgeFragments.EvidenceAgeDays",
    "RecordId": "kf-policy-channel",
    "ExpectedValue": "69",
    "ActualValue": "70",
    "Reason": "wrong/null value",
    "SemanticTypeIri": "urn:effortless:pko-extension#CellDisagreement",
    "Name": "effortless-typescript|KnowledgeFragments.EvidenceAgeDays @ kf-policy-channel",
    "Substrate": "effortless-typescript",
    "RulebookField": "KnowledgeFragments.EvidenceAgeDays"
   },
   {
    "CellDisagreementId": "effortless-typescript|KnowledgeFragments.EvidenceAgeDays|kf-policy-manager-route",
    "FieldDisagreement": "effortless-typescript|KnowledgeFragments.EvidenceAgeDays",
    "RecordId": "kf-policy-manager-route",
    "ExpectedValue": "69",
    "ActualValue": "70",
    "Reason": "wrong/null value",
    "SemanticTypeIri": "urn:effortless:pko-extension#CellDisagreement",
    "Name": "effortless-typescript|KnowledgeFragments.EvidenceAgeDays @ kf-policy-manager-route",
    "Substrate": "effortless-typescript",
    "RulebookField": "KnowledgeFragments.EvidenceAgeDays"
   },
   {
    "CellDisagreementId": "effortless-typescript|KnowledgeFragments.AgeDays|kf-policy-ai-boundary",
    "FieldDisagreement": "effortless-typescript|KnowledgeFragments.AgeDays",
    "RecordId": "kf-policy-ai-boundary",
    "ExpectedValue": "67",
    "ActualValue": "68",
    "Reason": "wrong/null value",
    "SemanticTypeIri": "urn:effortless:pko-extension#CellDisagreement",
    "Name": "effortless-typescript|KnowledgeFragments.AgeDays @ kf-policy-ai-boundary",
    "Substrate": "effortless-typescript",
    "RulebookField": "KnowledgeFragments.AgeDays"
   },
   {
    "CellDisagreementId": "effortless-typescript|KnowledgeFragments.AgeDays|kf-policy-channel",
    "FieldDisagreement": "effortless-typescript|KnowledgeFragments.AgeDays",
    "RecordId": "kf-policy-channel",
    "ExpectedValue": "69",
    "ActualValue": "70",
    "Reason": "wrong/null value",
    "SemanticTypeIri": "urn:effortless:pko-extension#CellDisagreement",
    "Name": "effortless-typescript|KnowledgeFragments.AgeDays @ kf-policy-channel",
    "Substrate": "effortless-typescript",
    "RulebookField": "KnowledgeFragments.AgeDays"
   },
   {
    "CellDisagreementId": "effortless-typescript|KnowledgeFragments.AgeDays|kf-policy-manager-route",
    "FieldDisagreement": "effortless-typescript|KnowledgeFragments.AgeDays",
    "RecordId": "kf-policy-manager-route",
    "ExpectedValue": "69",
    "ActualValue": "70",
    "Reason": "wrong/null value",
    "SemanticTypeIri": "urn:effortless:pko-extension#CellDisagreement",
    "Name": "effortless-typescript|KnowledgeFragments.AgeDays @ kf-policy-manager-route",
    "Substrate": "effortless-typescript",
    "RulebookField": "KnowledgeFragments.AgeDays"
   },
   {
    "CellDisagreementId": "effortless-typescript|KnowledgeFragments.DaysAwaitingMyApproval|kf-policy-manager-route",
    "FieldDisagreement": "effortless-typescript|KnowledgeFragments.DaysAwaitingMyApproval",
    "RecordId": "kf-policy-manager-route",
    "ExpectedValue": "69",
    "ActualValue": "70",
    "Reason": "wrong/null value",
    "SemanticTypeIri": "urn:effortless:pko-extension#CellDisagreement",
    "Name": "effortless-typescript|KnowledgeFragments.DaysAwaitingMyApproval @ kf-policy-manager-route",
    "Substrate": "effortless-typescript",
    "RulebookField": "KnowledgeFragments.DaysAwaitingMyApproval"
   },
   {
    "CellDisagreementId": "effortless-typescript|KnowledgeGaps.DaysOpen|gap-policy-delivery-receipts",
    "FieldDisagreement": "effortless-typescript|KnowledgeGaps.DaysOpen",
    "RecordId": "gap-policy-delivery-receipts",
    "ExpectedValue": "0",
    "ActualValue": "1",
    "Reason": "wrong/null value",
    "SemanticTypeIri": "urn:effortless:pko-extension#CellDisagreement",
    "Name": "effortless-typescript|KnowledgeGaps.DaysOpen @ gap-policy-delivery-receipts",
    "Substrate": "effortless-typescript",
    "RulebookField": "KnowledgeGaps.DaysOpen"
   },
   {
    "CellDisagreementId": "effortless-typescript|IssueOccurrences.Name|issue-close-feed",
    "FieldDisagreement": "effortless-typescript|IssueOccurrences.Name",
    "RecordId": "issue-close-feed",
    "ExpectedValue": "\"err-feed-stale @ 2026-06-30T17:12:00-05:00\"",
    "ActualValue": "\"err-feed-stale @ 2026-06-30 17:12:00-05\"",
    "Reason": "wrong/null value",
    "SemanticTypeIri": "urn:effortless:pko-extension#CellDisagreement",
    "Name": "effortless-typescript|IssueOccurrences.Name @ issue-close-feed",
    "Substrate": "effortless-typescript",
    "RulebookField": "IssueOccurrences.Name"
   },
   {
    "CellDisagreementId": "effortless-typescript|IssueOccurrences.Name|issue-policy-sms",
    "FieldDisagreement": "effortless-typescript|IssueOccurrences.Name",
    "RecordId": "issue-policy-sms",
    "ExpectedValue": "\"err-sms-throttle @ 2026-07-19T09:30:00-05:00\"",
    "ActualValue": "\"err-sms-throttle @ 2026-07-19 09:30:00-05\"",
    "Reason": "wrong/null value",
    "SemanticTypeIri": "urn:effortless:pko-extension#CellDisagreement",
    "Name": "effortless-typescript|IssueOccurrences.Name @ issue-policy-sms",
    "Substrate": "effortless-typescript",
    "RulebookField": "IssueOccurrences.Name"
   },
   {
    "CellDisagreementId": "effortless-typescript|ChangeRequests.DaysPending|cr-close-timestamp",
    "FieldDisagreement": "effortless-typescript|ChangeRequests.DaysPending",
    "RecordId": "cr-close-timestamp",
    "ExpectedValue": "0",
    "ActualValue": "1",
    "Reason": "wrong/null value",
    "SemanticTypeIri": "urn:effortless:pko-extension#CellDisagreement",
    "Name": "effortless-typescript|ChangeRequests.DaysPending @ cr-close-timestamp",
    "Substrate": "effortless-typescript",
    "RulebookField": "ChangeRequests.DaysPending"
   },
   {
    "CellDisagreementId": "effortless-typescript|ChangeRequests.DecisionLatencyDays|cr-close-timestamp",
    "FieldDisagreement": "effortless-typescript|ChangeRequests.DecisionLatencyDays",
    "RecordId": "cr-close-timestamp",
    "ExpectedValue": "0",
    "ActualValue": "1",
    "Reason": "wrong/null value",
    "SemanticTypeIri": "urn:effortless:pko-extension#CellDisagreement",
    "Name": "effortless-typescript|ChangeRequests.DecisionLatencyDays @ cr-close-timestamp",
    "Substrate": "effortless-typescript",
    "RulebookField": "ChangeRequests.DecisionLatencyDays"
   },
   {
    "CellDisagreementId": "effortless-typescript|ReviewEvents.DaysSinceReviewed|review-close-q1",
    "FieldDisagreement": "effortless-typescript|ReviewEvents.DaysSinceReviewed",
    "RecordId": "review-close-q1",
    "ExpectedValue": "120",
    "ActualValue": "121",
    "Reason": "wrong/null value",
    "SemanticTypeIri": "urn:effortless:pko-extension#CellDisagreement",
    "Name": "effortless-typescript|ReviewEvents.DaysSinceReviewed @ review-close-q1",
    "Substrate": "effortless-typescript",
    "RulebookField": "ReviewEvents.DaysSinceReviewed"
   },
   {
    "CellDisagreementId": "effortless-typescript|ReviewEvents.DaysSinceReviewed|review-close-q2",
    "FieldDisagreement": "effortless-typescript|ReviewEvents.DaysSinceReviewed",
    "RecordId": "review-close-q2",
    "ExpectedValue": "16",
    "ActualValue": "17",
    "Reason": "wrong/null value",
    "SemanticTypeIri": "urn:effortless:pko-extension#CellDisagreement",
    "Name": "effort</t>
  </si>
  <si>
    <t xml:space="preserve">less-typescript|ReviewEvents.DaysSinceReviewed @ review-close-q2",
    "Substrate": "effortless-typescript",
    "RulebookField": "ReviewEvents.DaysSinceReviewed"
   },
   {
    "CellDisagreementId": "effortless-typescript|ReviewEvents.DaysSinceReviewed|review-policy-prelaunch",
    "FieldDisagreement": "effortless-typescript|ReviewEvents.DaysSinceReviewed",
    "RecordId": "review-policy-prelaunch",
    "ExpectedValue": "0",
    "ActualValue": "1",
    "Reason": "wrong/null value",
    "SemanticTypeIri": "urn:effortless:pko-extension#CellDisagreement",
    "Name": "effortless-typescript|ReviewEvents.DaysSinceReviewed @ review-policy-prelaunch",
    "Substrate": "effortless-typescript",
    "RulebookField": "ReviewEvents.DaysSinceReviewed"
   },
   {
    "CellDisagreementId": "effortless-typescript|ReviewEvents.CadenceDriftDays|review-close-q1",
    "FieldDisagreement": "effortless-typescript|ReviewEvents.CadenceDriftDays",
    "RecordId": "review-close-q1",
    "ExpectedValue": "30.0",
    "ActualValue": "31",
    "Reason": "wrong/null value",
    "SemanticTypeIri": "urn:effortless:pko-extension#CellDisagreement",
    "Name": "effortless-typescript|ReviewEvents.CadenceDriftDays @ review-close-q1",
    "Substrate": "effortless-typescript",
    "RulebookField": "ReviewEvents.CadenceDriftDays"
   },
   {
    "CellDisagreementId": "effortless-typescript|ReviewEvents.CadenceDriftDays|review-close-q2",
    "FieldDisagreement": "effortless-typescript|ReviewEvents.CadenceDriftDays",
    "RecordId": "review-close-q2",
    "ExpectedValue": "-74.0",
    "ActualValue": "-73",
    "Reason": "wrong/null value",
    "SemanticTypeIri": "urn:effortless:pko-extension#CellDisagreement",
    "Name": "effortless-typescript|ReviewEvents.CadenceDriftDays @ review-close-q2",
    "Substrate": "effortless-typescript",
    "RulebookField": "ReviewEvents.CadenceDriftDays"
   },
   {
    "CellDisagreementId": "effortless-typescript|ReviewEvents.CadenceDriftDays|review-policy-prelaunch",
    "FieldDisagreement": "effortless-typescript|ReviewEvents.CadenceDriftDays",
    "RecordId": "review-policy-prelaunch",
    "ExpectedValue": "-60.0",
    "ActualValue": "-59",
    "Reason": "wrong/null value",
    "SemanticTypeIri": "urn:effortless:pko-extension#CellDisagreement",
    "Name": "effortless-typescript|ReviewEvents.CadenceDriftDays @ review-policy-prelaunch",
    "Substrate": "effortless-typescript",
    "RulebookField": "ReviewEvents.CadenceDriftDays"
   },
   {
    "CellDisagreementId": "effortless-typescript|LearningActivities.Name|learn-close-retro",
    "FieldDisagreement": "effortless-typescript|LearningActivities.Name",
    "RecordId": "learn-close-retro",
    "ExpectedValue": "\"Retrospective / 2026-07-02T15:30:00-05:00\"",
    "ActualValue": "\"Retrospective / 2026-07-02 15:30:00-05\"",
    "Reason": "wrong/null value",
    "SemanticTypeIri": "urn:effortless:pko-extension#CellDisagreement",
    "Name": "effortless-typescript|LearningActivities.Name @ learn-close-retro",
    "Substrate": "effortless-typescript",
    "RulebookField": "LearningActivities.Name"
   },
   {
    "CellDisagreementId": "effortless-typescript|LearningActivities.Name|learn-policy-tabletop",
    "FieldDisagreement": "effortless-typescript|LearningActivities.Name",
    "RecordId": "learn-policy-tabletop",
    "ExpectedValue": "\"TabletopExercise / 2026-07-15T13:00:00-05:00\"",
    "ActualValue": "\"TabletopExercise / 2026-07-15 13:00:00-05\"",
    "Reason": "wrong/null value",
    "SemanticTypeIri": "urn:effortless:pko-extension#CellDisagreement",
    "Name": "effortless-typescript|LearningActivities.Name @ learn-policy-tabletop",
    "Substrate": "effortless-typescript",
    "RulebookField": "LearningActivities.Name"
   },
   {
    "CellDisagreementId": "effortless-typescript|ObservedTransitions.Name|obs-close-01-02-q2",
    "FieldDisagreement": "effortless-typescript|ObservedTransitions.Name",
    "RecordId": "obs-close-01-02-q2",
    "ExpectedValue": "\"close-01-to-close-02 @ 2026-06-30T17:04:00-05:00\"",
    "ActualValue": "\"close-01-to-close-02 @ 2026-06-30 17:04:00-05\"",
    "Reason": "wrong/null value",
    "SemanticTypeIri": "urn:effortless:pko-extension#CellDisagreement",
    "Name": "effortless-typescript|ObservedTransitions.Name @ obs-close-01-02-q2",
    "Substrate": "effortless-typescript",
    "RulebookField": "ObservedTransitions.Name"
   },
   {
    "CellDisagreementId": "effortless-typescript|ObservedTransitions.Name|obs-close-02-03-q2",
    "FieldDisagreement": "effortless-typescript|ObservedTransitions.Name",
    "RecordId": "obs-close-02-03-q2",
    "ExpectedValue": "\"close-02-to-close-03 @ 2026-06-30T17:18:00-05:00\"",
    "ActualValue": "\"close-02-to-close-03 @ 2026-06-30 17:18:00-05\"",
    "Reason": "wrong/null value",
    "SemanticTypeIri": "urn:effortless:pko-extension#CellDisagreement",
    "Name": "effortless-typescript|ObservedTransitions.Name @ obs-close-02-03-q2",
    "Substrate": "effortless-typescript",
    "RulebookField": "ObservedTransitions.Name"
   },
   {
    "CellDisagreementId": "effortless-typescript|ObservedTransitions.Name|obs-close-03-04-q2",
    "FieldDisagreement": "effortless-typescript|ObservedTransitions.Name",
    "RecordId": "obs-close-03-04-q2",
    "ExpectedValue": "\"close-03-to-close-04 @ 2026-07-01T12:15:00-05:00\"",
    "ActualValue": "\"close-03-to-close-04 @ 2026-07-01 12:15:00-05\"",
    "Reason": "wrong/null value",
    "SemanticTypeIri": "urn:effortless:pko-extension#CellDisagreement",
    "Name": "effortless-typescript|ObservedTransitions.Name @ obs-close-03-04-q2",
    "Substrate": "effortless-typescript",
    "RulebookField": "ObservedTransitions.Name"
   },
   {
    "CellDisagreementId": "effortless-typescript|ObservedTransitions.Name|obs-close-04-05-q2",
    "FieldDisagreement": "effortless-typescript|ObservedTransitions.Name",
    "RecordId": "obs-close-04-05-q2",
    "ExpectedValue": "\"close-04-to-close-05 @ 2026-07-01T15:05:00-05:00\"",
    "ActualValue": "\"close-04-to-close-05 @ 2026-07-01 15:05:00-05\"",
    "Reason": "wrong/null value",
    "SemanticTypeIri": "urn:effortless:pko-extension#CellDisagreement",
    "Name": "effortless-typescript|ObservedTransitions.Name @ obs-close-04-05-q2",
    "Substrate": "effortless-typescript",
    "RulebookField": "ObservedTransitions.Name"
   },
   {
    "CellDisagreementId": "effortless-typescript|ObservedTransitions.Name|obs-close-05-06-q2",
    "FieldDisagreement": "effortless-typescript|ObservedTransitions.Name",
    "RecordId": "obs-close-05-06-q2",
    "ExpectedValue": "\"close-05-to-close-06 @ 2026-07-02T09:00:00-05:00\"",
    "ActualValue": "\"close-05-to-close-06 @ 2026-07-02 09:00:00-05\"",
    "Reason": "wrong/null value",
    "SemanticTypeIri": "urn:effortless:pko-extension#CellDisagreement",
    "Name": "effortless-typescript|ObservedTransitions.Name @ obs-close-05-06-q2",
    "Substrate": "effortless-typescript",
    "RulebookField": "ObservedTransitions.Name"
   },
   {
    "CellDisagreementId": "effortless-typescript|ObservedTransitions.Name|obs-close-06-07-q2",
    "FieldDisagreement": "effortless-typescript|ObservedTransitions.Name",
    "RecordId": "obs-close-06-07-q2",
    "ExpectedValue": "\"close-06-to-close-07 @ 2026-07-02T09:22:00-05:00\"",
    "ActualValue": "\"close-06-to-close-07 @ 2026-07-02 09:22:00-05\"",
    "Reason": "wrong/null value",
    "SemanticTypeIri": "urn:effortless:pko-extension#CellDisagreement",
    "Name": "effortless-typescript|ObservedTransitions.Name @ obs-close-06-07-q2",
    "Substrate": "effortless-typescript",
    "RulebookField": "ObservedTransitions.Name"
   },
   {
    "CellDisagreementId": "effortless-typescript|ObservedTransitions.Name|obs-close-07-08-q2",
    "FieldDisagreement": "effortless-typescript|ObservedTransitions.Name",
    "RecordId": "obs-close-07-08-q2",
    "ExpectedValue": "\"close-07-to-close-08 @ 2026-07-02T14:00:00-05:00\"",
    "ActualValue": "\"close-07-to-close-08 @ 2026-07-02 14:00:00-05\"",
    "Reason": "wrong/null value",
    "SemanticTypeIri": "urn:effortless:pko-extension#CellDisagreement",
    "Name": "effortless-typescript|ObservedTransitions.Name @ obs-close-07-08-q2",
    "Substrate": "effortless-typescript",
    "RulebookField": "ObservedTransitions.Name"
   },
   {
    "CellDisagreementId": "effortless-typescript|ObservedTransitions.Name|obs-policy-01-02-hr4821",
    "FieldDisagreement": "effortless-typescript|ObservedTransitions.Name",
    "RecordId": "obs-policy-01-02-hr4821",
    "ExpectedValue": "\"policy-01-to-policy-02 @ 2026-07-18T09:30:00-05:00\"",
    "ActualValue": "\"policy-01-to-policy-02 @ 2026-07-18 09:30:00-05\"",
    "Reason": "wrong/null value",
    "SemanticTypeIri": "urn:effortless:pko-extension#CellDisagreement",
    "Name": "effortless-typescript|ObservedTransitions.Name @ obs-policy-01-02-hr4821",
    "Substrate": "effortless-typescript",
    "RulebookField": "ObservedTransitions.Name"
   },
   {
    "CellDisagreementId": "effortless-typescript|ObservedTransitions.Name|obs-policy-02-03-hr4821",
    "FieldDisagreement": "effortless-typescript|ObservedTransitions.Name",
    "RecordId": "obs-policy-02-03-hr4821",
    "ExpectedValue": "\"policy-02-to-policy-03 @ 2026-07-18T13:00:00-05:00\"",
    "ActualValue": "\"policy-02-to-policy-03 @ 2026-07-18 13:00:00-05\"",
    "Reason": "wrong/null value",
    "SemanticTypeIri": "urn:effortless:pko-extension#CellDisagreement",
    "Name": "effortless-typescript|ObservedTransitions.Name @ obs-policy-02-03-hr4821",
    "Substrate": "effortless-typescript",
    "RulebookField": "ObservedTransitions.Name"
   },
   {
    "CellDisagreementId": "effortless-typescript|ObservedTransitions.Name|obs-policy-03-04-hr4821",
    "FieldDisagreement": "effortless-typescript|ObservedTransitions.Name",
    "RecordId": "obs-policy-03-04-hr4821",
    "ExpectedValue": "\"policy-03-to-policy-04 @ 2026-07-19T09:00:00-05:00\"",
    "ActualValue": "\"policy-03-to-policy-04 @ 2026-07-19 09:00:00-05\"",
    "Reason": "wrong/null value",
    "SemanticTypeIri": "urn:effortless:pko-extension#CellDisagreement",
    "Name": "effortless-typescript|ObservedTransitions.Name @ obs-policy-03-04-hr4821",
    "Substrate": "effortless-typescript",
    "RulebookField": "ObservedTransitions.Name"
   },
   {
    "CellDisagreementId": "effortless-typescript|MessageDeliveries.Name|md-001",
    "FieldDisagreement": "effortless-typescript|MessageDeliveries.Name",
    "RecordId": "md-001",
    "ExpectedValue": "\"rec-001 / tmpl-policy-email / 2026-07-18T14:05:00-05:00\"",
    "ActualValue": "\"rec-001 / tmpl-policy-email / 2026-07-18 14:05:00-05\"",
    "Reason": "wrong/null value",
    "SemanticTypeIri": "urn:effortless:pko-extension#CellDisagreement",
    "Name": "effortless-typescript|MessageDeliveries.Name @ md-001",
    "Substrate": "effortless-typescript",
    "RulebookField": "MessageDeliveries.Name"
   },
   {
    "CellDisagreementId": "effortless-typescript|MessageDeliveries.Name|md-002",
    "FieldDisagreement": "effortless-typescript|MessageDeliveries.Name",
    "RecordId": "md-002",
    "ExpectedValue": "\"rec-002 / tmpl-policy-email / 2026-07-18T14:05:00-05:00\"",
    "ActualValue": "\"rec-002 / tmpl-policy-email / 2026-07-18 14:05:00-05\"",
    "Reason": "wrong/null value",
    "SemanticTypeIri": "urn:effortless:pko-extension#CellDisagreement",
    "Name": "effortless-typescript|MessageDeliveries.Name @ md-002",
    "Substrate": "effortless-typescript",
    "RulebookField": "MessageDeliveries.Name"
   },
   {
    "CellDisagreementId": "effortless-typescript|MessageDeliveries.Name|md-003",
    "FieldDisagreement": "effortless-typescript|MessageDeliveries.Name",
    "RecordId": "md-003",
    "ExpectedValue": "\"rec-003 / tmpl-policy-sms / 2026-07-18T14:06:00-05:00\"",
    "ActualValue": "\"rec-003 / tmpl-policy-sms / 2026-07-18 14:06:00-05\"",
    "Reason": "wrong/null value",
    "SemanticTypeIri": "urn:effortless:pko-extension#CellDisagreement",
    "Name": "effortless-typescript|MessageDeliveries.Name @ md-003",
    "Substrate": "effortless-typescript",
    "RulebookField": "MessageDeliveries.Name"
   },
   {
    "CellDisagreementId": "effortless-typescript|MessageDeliveries.Name|md-004",
    "FieldDisagreement": "effortless-typescript|MessageDeliveries.Name",
    "RecordId": "md-004",
    "ExpectedValue": "\"rec-004 / tmpl-policy-sms / 2026-07-18T14:06:00-05:00\"",
    "ActualValue": "\"rec-004 / tmpl-policy-sms / 2026-07-18 14:06:00-05\"",
    "Reason": "wrong/null value",
    "SemanticTypeIri": "urn:effortless:pko-extension#CellDisagreement",
    "Name": "effortless-typescript|MessageDeliveries.Name @ md-004",
    "Substrate": "effortless-typescript",
    "RulebookField": "MessageDeliveries.Name"
   },
   {
    "CellDisagreementId": "effortless-typescript|MessageDeliveries.Name|md-005",
    "FieldDisagreement": "effortless-typescript|MessageDeliveries.Name",
    "RecordId": "md-005",
    "ExpectedValue": "\"rec-001 / tmpl-policy-sms / 2026-07-18T21:00:00-05:00\"",
    "ActualValue": "\"rec-001 / tmpl-policy-sms / 2026-07-18 21:00:00-05\"",
    "Reason": "wrong/null value",
    "SemanticTypeIri": "urn:effortless:pko-extension#CellDisagreement",
    "Name": "effortless-typescript|MessageDeliveries.Name @ md-005",
    "Substrate": "effortless-typescript",
    "RulebookField": "MessageDeliveries.Name"
   },
   {
    "CellDisagreementId": "effortless-typescript|MessageDeliveries.Name|md-006",
    "FieldDisagreement": "effortless-typescript|MessageDeliveries.Name",
    "RecordId": "md-006",
    "ExpectedValue": "\"rec-005 / tmpl-policy-sms / 2026-07-18T14:06:00-05:00\"",
    "ActualValue": "\"rec-005 / tmpl-policy-sms / 2026-07-18 14:06:00-05\"",
    "Reason": "wrong/null value",
    "SemanticTypeIri": "urn:effortless:pko-extension#CellDisagreement",
    "Name": "effortless-typescript|MessageDeliveries.Name @ md-006",
    "Substrate": "effortless-typescript",
    "RulebookField": "MessageDeliveries.Name"
   },
   {
    "CellDisagreementId": "effortless-typescript|MessageDeliveries.AgeDays|md-001",
    "FieldDisagreement": "effortless-typescript|MessageDeliveries.AgeDays",
    "RecordId": "md-001",
    "ExpectedValue": "0",
    "ActualValue": "1",
    "Reason": "wrong/null value",
    "SemanticTypeIri": "urn:effortless:pko-extension#CellDisagreement",
    "Name": "effortless-typescript|MessageDeliveries.AgeDays @ md-001",
    "Substrate": "effortless-typescript",
    "RulebookField": "MessageDeliveries.AgeDays"
   },
   {
    "CellDisagreementId": "effortless-typescript|MessageDeliveries.AgeDays|md-002",
    "FieldDisagreement": "effortless-typescript|MessageDeliveries.AgeDays",
    "RecordId": "md-002",
    "ExpectedValue": "0",
    "ActualValue": "1",
    "Reason": "wrong/null value",
    "SemanticTypeIri": "urn:effortless:pko-extension#CellDisagreement",
    "Name": "effortless-typescript|MessageDeliveries.AgeDays @ md-002",
    "Substrate": "effortless-typescript",
    "RulebookField": "MessageDeliveries.AgeDays"
   },
   {
    "CellDisagreementId": "effortless-typescript|MessageDeliveries.AgeDays|md-003",
    "FieldDisagreement": "effortless-typescript|MessageDeliveries.AgeDays",
    "RecordId": "md-003",
    "ExpectedValue": "0",
    "ActualValue": "1",
    "Reason": "wrong/null value",
    "SemanticTypeIri": "urn:effortless:pko-extension#CellDisagreement",
    "Name": "effortless-typescript|MessageDeliveries.AgeDays @ md-003",
    "Substrate": "effortless-typescript",
    "RulebookField": "MessageDeliveries.AgeDays"
   },
   {
    "CellDisagreementId": "effortless-typescript|MessageDeliveries.AgeDays|md-004",
    "FieldDisagreement": "effortless-typescript|MessageDeliveries.AgeDays",
    "RecordId": "md-004",
    "ExpectedValue": "0",
    "ActualValue": "1",
    "Reason": "wrong/null value",
    "SemanticTypeIri": "urn:effortless:pko-extension#CellDisagreement",
    "Name": "effortless-typescript|MessageDeliveries.AgeDays @ md-004",
    "Substrate": "effortless-typescript",
    "RulebookField": "MessageDeliveries.AgeDays"
   },
   {
    "CellDisagreementId": "effortless-typescript|MessageDeliveries.AgeDays|md-005",
    "FieldDisagreement": "effortless-typescript|MessageDeliveries.AgeDays",
    "RecordId": "md-005",
    "ExpectedValue": "0",
    "ActualValue": "1",
    "Reason": "wrong/null value",
    "SemanticTypeIri": "urn:effortless:pko-extension#CellDisagreement",
    "Name": "effortless-typescript|MessageDeliveries.AgeDays @ md-005",
    "Substrate": "effortless-typescript",
    "RulebookField": "MessageDeliveries.AgeDays"
   },
   {
    "CellDisagreementId": "effortless-typescript|MessageDeliveries.AgeDays|md-006",
    "FieldDisagreement": "effortless-typescript|MessageDeliveries.AgeDays",
    "RecordId": "md-006",
    "ExpectedValue": "0",
    "ActualValue": "1",
    "Reason": "wrong/null value",
    "SemanticTypeIri": "urn:effortless:pko-extension#CellDisagreement",
    "Name": "effortless-typescript|MessageDeliveries.AgeDays @ md-006",
    "Substrate": "effortless-typescript",
    "RulebookField": "MessageDeliveries.AgeDays"
   },
   {
    "CellDisagreementId": "effortless-typescript|MessageDeliveries.SegmentCount|md-001",
    "FieldDisagreement": "effortless-typescript|MessageDeliveries.SegmentCount",
    "RecordId": "md-001",
    "ExpectedValue": "null",
    "ActualValue": "1",
    "Reason": "wrong/null value",
    "SemanticTypeIri": "urn:effortless:pko-extension#CellDisagreement",
    "Name": "effortless-typescript|MessageDeliveries.SegmentCount @ md-001",
    "Substrate": "effortless-typescript",
    "RulebookField": "MessageDeliveries.SegmentCount"
   },
   {
    "CellDisagreementId": "effortless-typescript|MessageDeliveries.SegmentCount|md-002",
    "FieldDisagreement": "effortless-typescript|MessageDeliveries.SegmentCount",
    "RecordId": "md-002",
    "ExpectedValue": "null",
    "ActualValue": "1",
    "Reason": "wrong/null value",
    "SemanticTypeIri": "urn:effortless:pko-extension#CellDisagreement",
    "Name": "effortless-typescript|MessageDeliveries.SegmentCount @ md-002",
    "Substrate": "effortless-typescript",
    "RulebookField": "MessageDeliveries.SegmentCount"
   },
   {
    "CellDisagreementId": "effortless-typescript|MessageDeliveries.SegmentCount|md-003",
    "FieldDisagreement": "effortless-typescript|MessageDeliveries.SegmentCount",
    "RecordId": "md-003",
    "ExpectedValue": "null",
    "ActualValue": "1",
    "Reason": "wrong/null value",
    "SemanticTypeIri": "urn:effortless:pko-extension#CellDisagreement",
    "Name": "effortless-typescript|MessageDeliveries.SegmentCount @ md-003",
    "Substrate": "effortless-typescript",
    "RulebookField": "MessageDeliveries.SegmentCount"
   },
   {
    "CellDisagreementId": "effortless-typescript|MessageDeliveries.SegmentCount|md-004",
    "FieldDisagreement": "effortless-typescript|MessageDeliveries.SegmentCount",
    "RecordId": "md-004",
    "ExpectedValue": "null",
    "ActualValue": "1",
    "Reason": "wrong/null value",
    "SemanticTypeIri": "urn:effortless:pko-extension#CellDisagreement",
    "Name": "effortless-typescript|MessageDeliveries.SegmentCount @ md-004",
    "Substrate": "effortless-typescript",
    "RulebookField": "MessageDeliveries.SegmentCount"
   },
   {
    "CellDisagreementId": "effortless-typescript|MessageDeliveries.SegmentCount|md-005",
    "FieldDisagreement": "effortless-typescript|MessageDeliveries.SegmentCount",
    "RecordId": "md-005",
    "ExpectedValue": "null",
    "ActualValue": "1",
    "Reason": "wrong/null value",
    "SemanticTypeIri": "urn:effortless:pko-extension#CellDisagreement",
    "Name": "effortless-typescript|MessageDeliveries.SegmentCount @ md-005",
    "Substrate": "effortless-typescript",
    "RulebookField": "MessageDeliveries.SegmentCount"
   },
   {
    "CellDisagreementId": "effortless-typescript|MessageDeliveries.SegmentCount|md-006",
    "FieldDisagreement": "effortless-typescript|MessageDeliveries.SegmentCount",
    "RecordId": "md-006",
    "ExpectedValue": "null",
    "ActualValue": "1",
    "Reason": "wrong/null value",
    "SemanticTypeIri": "urn:effortless:pko-extension#CellDisagreement",
    "Name": "effortless-typescript|MessageDeliveries.SegmentCount @ md-006",
    "Substrate": "effortless-typescript",
    "RulebookField": "MessageDeliveries.SegmentCount"
   },
   {
    "CellDisagreementId": "effortless-typescript|MessageDeliveries.OutstandingAgeDays|md-002",
    "FieldDisagreement": "effortless-typescript|MessageDeliveries.OutstandingAgeDays",
    "RecordId": "md-002",
    "ExpectedValue": "0",
    "ActualValue": "1",
    "Reason": "wrong/null value",
    "SemanticTypeIri": "urn:effortless:pko-extension#CellDisagreement",
    "Name": "effortless-typescript|MessageDeliveries.OutstandingAgeDays @ md-002",
    "Substrate": "effortless-typescript",
    "RulebookField": "MessageDeliveries.OutstandingAgeDays"
   },
   {
    "CellDisagreementId": "effortless-typescript|MessageDeliveries.OutstandingAgeDays|md-003",
    "FieldDisagreement": "effortless-typescript|MessageDeliveries.OutstandingAgeDays",
    "RecordId": "md-003",
    "ExpectedValue": "0",
    "ActualValue": "1",
    "Reason": "wrong/null value",
    "SemanticTypeIri": "urn:effortless:pko-extension#CellDisagreement",
    "Name": "effortless-typescript|MessageDeliveries.OutstandingAgeDays @ md-003",
    "Substrate": "effortless-typescript",
    "RulebookField": "MessageDeliveries.OutstandingAgeDays"
   },
   {
    "CellDisagreementId": "effortless-typescript|MessageDeliveries.OutstandingAgeDays|md-005",
    "FieldDisagreement": "effortless-typescript|MessageDeliveries.OutstandingAgeDays",
    "RecordId": "md-005",
    "ExpectedValue": "0",
    "ActualValue": "1",
    "Reason": "wrong/null value",
    "SemanticTypeIri": "urn:effortless:pko-extension#CellDisagreement",
    "Name": "effortless-typescript|MessageDeliveries.OutstandingAgeDays @ md-005",
    "Substrate": "effortless-typescript",
    "RulebookField": "MessageDeliveries.OutstandingAgeDays"
   },
   {
    "CellDisagreementId": "effortless-typescript|MessageDeliveries.OptOutPhrasePosition|md-003",
    "FieldDisagreement": "effortless-typescript|MessageDeliveries.OptOutPhrasePosition",
    "RecordId": "md-003",
    "ExpectedValue": "true",
    "ActualValue": "86",
    "Reason": "wrong/null value",
    "SemanticTypeIri": "urn:effortless:pko-extension#CellDisagreement",
    "Name": "effortless-typescript|MessageDeliveries.OptOutPhrasePosition @ md-003",
    "Substrate": "effortless-typescript",
    "RulebookField": "MessageDeliveries.OptOutPhrasePosition"
   },
   {
    "CellDisagreementId": "effortless-typescript|MessageDeliveries.OptOutPhrasePosition|md-004",
    "FieldDisagreement": "effortless-typescript|MessageDeliveries.OptOutPhrasePosition",
    "RecordId": "md-004",
    "ExpectedValue": "true",
    "ActualValue": "86",
    "Reason": "wrong/null value",
    "SemanticTypeIri": "urn:effortless:pko-extension#CellDisagreement",
    "Name": "effortless-typescript|MessageDeliveries.OptOutPhrasePosition @ md-004",
    "Substrate": "effortless-typescript",
    "RulebookField": "MessageDeliveries.OptOutPhrasePosition"
   },
   {
    "CellDisagreementId": "effortless-typescript|MessageDeliveries.OptOutPhrasePosition|md-006",
    "FieldDisagreement": "effortless-typescript|MessageDeliveries.OptOutPhrasePosition",
    "RecordId": "md-006",
    "ExpectedValue": "true",
    "ActualValue": "86",
    "Reason": "wrong/null value",
    "SemanticTypeIri": "urn:effortless:pko-extension#CellDisagreement",
    "Name": "effortless-typescript|MessageDeliveries.OptOutPhrasePosition @ md-006",
    "Substrate": "effortless-typescript",
    "RulebookField": "MessageDeliveries.OptOutPhrasePosition"
   },
   {
    "CellDisagreementId": "effortless-typescript|TemplateApprovals.Name|tap-email-001",
    "FieldDisagreement": "effortless-typescript|TemplateApprovals.Name",
    "RecordId": "tap-email-001",
    "ExpectedValue": "\"tmpl-policy-email / Approved / 2026-07-17T11:00:00-05:00\"",
    "ActualValue": "\"tmpl-policy-email / Approved / 2026-07-17 11:00:00-05\"",
    "Reason": "wrong/null value",
    "SemanticTypeIri": "urn:effortless:pko-extension#CellDisagreement",
    "Name": "effortless-typescript|TemplateApprovals.Name @ tap-email-001",
    "Substrate": "effortless-typescript",
    "RulebookField": "TemplateApprovals.Name"
   },
   {
    "CellDisagreementId": "effortless-typescript|TemplateApprovals.Name|tap-sms-001",
    "FieldDisagreement": "effortless-typescript|TemplateApprovals.Name",
    "RecordId": "tap-sms-001",
    "ExpectedValue": "\"tmpl-policy-sms / Approved / 2026-07-19T10:00:00-05:00\"",
    "ActualValue": "\"tmpl-policy-sms / Approved / 2026-07-19 10:00:00-05\"",
    "Reason": "wrong/null value",
    "SemanticTypeIri": "urn:effortless:pko-extension#CellDisagreement",
    "Name": "effortless-typescript|TemplateApprovals.Name @ tap-sms-001",
    "Substrate": "effortless-typescript",
    "RulebookField": "TemplateApprovals.Name"
   },
   {
    "CellDisagreementId": "effortless-typescript|SendIntents.DeferralAgeHours|si-001",
    "FieldDisagreement": "effortless-typescript|SendIntents.DeferralAgeHours",
    "RecordId": "si-001",
    "ExpectedValue": "22",
    "ActualValue": "23",
    "Reason": "wrong/null value",
    "SemanticTypeIri": "urn:effortless:pko-extension#CellDisagreement",
    "Name": "effortless-typescript|SendIntents.DeferralAgeHours @ si-001",
    "Substrate": "effortless-typescript",
    "RulebookField": "SendIntents.DeferralAgeHours"
   },
   {
    "CellDisagreementId": "effortless-typescript|SendIntents.DeferralAgeHours|si-002",
    "FieldDisagreement": "effortless-typescript|SendIntents.DeferralAgeHours",
    "RecordId": "si-002",
    "ExpectedValue": "22",
    "ActualValue": "23",
    "Reason": "wrong/null value",
    "SemanticTypeIri": "urn:effortless:pko-extension#CellDisagreement",
    "Name": "effortless-typescript|SendIntents.DeferralAgeHours @ si-002",
    "Substrate": "effortless-typescript",
    "RulebookField": "SendIntents.DeferralAgeHours"
   },
   {
    "CellDisagreementId": "effortless-typescript|SendIntents.DeferralAgeHours|si-003",
    "FieldDisagreement": "effortless-typescript|SendIntents.DeferralAgeHours",
    "RecordId": "si-003",
    "ExpectedValue": "22",
    "ActualValue": "23",
    "Reason": "wrong/null value",
    "SemanticTypeIri": "urn:effortless:pko-extension#CellDisagreement",
    "Name": "effortless-typescript|SendIntents.DeferralAgeHours @ si-003",
    "Substrate": "effortless-typescript",
    "RulebookField": "SendIntents.DeferralAgeHours"
   },
   {
    "CellDisagreementId": "effortless-typescript|SendIntents.DeferralAgeHours|si-004",
    "FieldDisagreement": "effortless-typescript|SendIntents.DeferralAgeHours",
    "RecordId": "si-004",
    "ExpectedValue": "22",
    "ActualValue": "23",
    "Reason": "wrong/null value",
    "SemanticTypeIri": "urn:effortless:pko-extension#CellDisagreement",
    "Name": "effortless-typescript|SendIntents.DeferralAgeHours @ si-004",
    "Substrate": "effortless-typescript",
    "RulebookField": "SendIntents.DeferralAgeHours"
   },
   {
    "CellDisagreementId": "effortless-typescript|SendIntents.DeferralAgeHours|si-005",
    "FieldDisagreement": "effortless-typescript|SendIntents.DeferralAgeHours",
    "RecordId": "si-005",
    "ExpectedValue": "22",
    "ActualValue": "23",
    "Reason": "wrong/null value",
    "SemanticTypeIri": "urn:effortless:pko-extension#CellDisagreement",
    "Name": "effortless-typescript|SendIntents.DeferralAgeHours @ si-005",
    "Substrate": "effortless-typescript",
    "RulebookField": "SendIntents.DeferralAgeHours"
   },
   {
    "CellDisagreementId": "effortless-typescript|SendIntents.DeferralAgeHours|si-006",
    "FieldDisagreement": "effortless-typescript|SendIntents.DeferralAgeHours",
    "RecordId": "si-006",
    "ExpectedValue": "22",
    "ActualValue": "23",
    "Reason": "wrong/null value",
    "SemanticTypeIri": "urn:effortless:pko-extension#CellDisagreement",
    "Name": "effortless-typescript|SendIntents.DeferralAgeHours @ si-006",
    "Substrate": "effortless-typescript",
    "RulebookField": "SendIntents.DeferralAgeHours"
   },
   {
    "CellDisagreementId": "effortless-typescript|SendIntents.DeferralAgeHours|si-007",
    "FieldDisagreement": "effortless-typescript|SendIntents.DeferralAgeHours",
    "RecordId": "si-007",
    "ExpectedValue": "22",
    "ActualValue": "23",
    "Reason": "wrong/null value",
    "SemanticTypeIri": "urn:effortless:pko-extension#CellDisagreement",
    "Name": "effortless-typescript|SendIntents.DeferralAgeHours @ si-007",
    "Substrate": "effortless-typescript",
    "RulebookField": "SendIntents.DeferralAgeHours"
   },
   {
    "CellDisagreementId": "effortless-typescript|DeliveredCommunications.ContentMatchesApproval|dc-hr4821-email-001",
    "FieldDisagreement": "effortless-typescript|DeliveredCommunications.ContentMatchesApproval",
    "RecordId": "dc-hr4821-email-001",
    "ExpectedValue": "true",
    "ActualValue": "null",
    "Reason": "wrong/null value",
    "SemanticTypeIri": "urn:effortless:pko-extension#CellDisagreement",
    "Name": "effortless-typescript|DeliveredCommunications.ContentMatchesApproval @ dc-hr4821-email-001",
    "Substrate": "effortless-typescript",
    "RulebookField": "DeliveredCommunications.ContentMatchesApproval"
   },
   {
    "CellDisagreementId": "effortless-typescript|ProcessMiningRuns.Name|pmr-close-v10-archived",
    "FieldDisagreement": "effortless-typescript|ProcessMiningRuns.Name",
    "RecordId": "pmr-close-v10-archived",
    "ExpectedValue": "\"ERP General Ledger Audit Log / 2026-01-01T09:00:00-05:00\"",
    "ActualValue": "\"ERP General Ledger Audit Log / 2026-01-01 09:00:00-05\"",
    "Reason": "wrong/null value",
    "SemanticTypeIri": "urn:effortless:pko-extension#CellDisagreement",
    "Name": "effortless-typescript|ProcessMiningRuns.Name @ pmr-close-v10-archived",
    "Substrate": "effortless-typescript",
    "RulebookField": "ProcessMiningRuns.Name"
   },
   {
    "CellDisagreementId": "effortless-typescript|ProcessMiningRuns.Name|pmr-close-v11-cutoff-bypass",
    "FieldDisagreement": "effortless-typescript|ProcessMiningRuns.Name",
    "RecordId": "pmr-close-v11-cutoff-bypass",
    "ExpectedValue": "\"ERP General Ledger Audit Log / 2026-07-17T09:00:00-05:00\"",
    "ActualValue": "\"ERP General Ledger Audit Log / 2026-07-17 09:00:00-05\"",
    "Reason": "wrong/null value",
    "SemanticTypeIri": "urn:effortless:pko-extension#CellDisagreement",
    "Name": "effortless-typescript|ProcessMiningRuns.Name @ pmr-close-v11-cutoff-bypass",
    "Substrate": "effortless-typescript",
    "RulebookField": "ProcessMiningRuns.Name"
   },
   {
    "CellDisagreementId": "effortless-typescript|ProcessMiningRuns.Name|pmr-close-v11-q3",
    "FieldDisagreement": "effortless-typescript|ProcessMiningRuns.Name",
    "RecordId": "pmr-close-v11-q3",
    "ExpectedValue": "\"ERP General Ledger Audit Log / 2026-07-15T09:00:00-05:00\"",
    "ActualValue": "\"ERP General Ledger Audit Log / 2026-07-15 09:00:00-05\"",
    "Reason": "wrong/null value",
    "SemanticTypeIri": "urn:effortless:pko-extension#CellDisagreement",
    "Name": "effortless-typescript|ProcessMiningRuns.Name @ pmr-close-v11-q3",
    "Substrate": "effortless-typescript",
    "RulebookField": "ProcessMiningRuns.Name"
   },
   {
    "CellDisagreementId": "effortless-typescript|ProcessMiningRuns.Name|pmr-policy-v1-notify",
    "FieldDisagreement": "effortless-typescript|ProcessMiningRuns.Name",
    "RecordId": "pmr-policy-v1-notify",
    "ExpectedValue": "\"Notification Pipeline Delivery Log / 2026-01-10T09:00:00-05:00\"",
    "ActualValue": "\"Notification Pipeline Delivery Log / 2026-01-10 09:00:00-05\"",
    "Reason": "wrong/null value",
    "SemanticTypeIri": "urn:effortless:pko-extension#CellDisagreement",
    "Name": "effortless-typescript|ProcessMiningRuns.Name @ pmr-policy-v1-notify",
    "Substrate": "effortless-typescript",
    "RulebookField": "ProcessMiningRuns.Name"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</si>
</sst>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8">
    <xf numFmtId="0" fontId="0" xfId="0"/>
    <xf numFmtId="0" fontId="1" applyFont="1" fillId="2" applyFill="1"/>
    <xf numFmtId="0" fontId="0" fillId="3" applyFill="1"/>
    <xf numFmtId="0" fontId="0" fillId="4" applyFill="1"/>
    <xf numFmtId="164" applyNumberFormat="1" fontId="0" fillId="3" applyFill="1"/>
    <xf numFmtId="1" applyNumberFormat="1" fontId="0" fillId="4" applyFill="1"/>
    <xf numFmtId="164" applyNumberFormat="1" fontId="0" fillId="4" applyFill="1"/>
    <xf numFmtId="1"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worksheet" Target="worksheets/sheet41.xml"/><Relationship Id="rId43" Type="http://schemas.openxmlformats.org/officeDocument/2006/relationships/worksheet" Target="worksheets/sheet42.xml"/><Relationship Id="rId44" Type="http://schemas.openxmlformats.org/officeDocument/2006/relationships/worksheet" Target="worksheets/sheet43.xml"/><Relationship Id="rId45" Type="http://schemas.openxmlformats.org/officeDocument/2006/relationships/worksheet" Target="worksheets/sheet44.xml"/><Relationship Id="rId46" Type="http://schemas.openxmlformats.org/officeDocument/2006/relationships/worksheet" Target="worksheets/sheet45.xml"/><Relationship Id="rId47" Type="http://schemas.openxmlformats.org/officeDocument/2006/relationships/worksheet" Target="worksheets/sheet46.xml"/><Relationship Id="rId48" Type="http://schemas.openxmlformats.org/officeDocument/2006/relationships/worksheet" Target="worksheets/sheet47.xml"/><Relationship Id="rId49" Type="http://schemas.openxmlformats.org/officeDocument/2006/relationships/worksheet" Target="worksheets/sheet48.xml"/><Relationship Id="rId50" Type="http://schemas.openxmlformats.org/officeDocument/2006/relationships/worksheet" Target="worksheets/sheet49.xml"/><Relationship Id="rId51" Type="http://schemas.openxmlformats.org/officeDocument/2006/relationships/worksheet" Target="worksheets/sheet50.xml"/><Relationship Id="rId52" Type="http://schemas.openxmlformats.org/officeDocument/2006/relationships/worksheet" Target="worksheets/sheet51.xml"/><Relationship Id="rId53" Type="http://schemas.openxmlformats.org/officeDocument/2006/relationships/worksheet" Target="worksheets/sheet52.xml"/><Relationship Id="rId54" Type="http://schemas.openxmlformats.org/officeDocument/2006/relationships/worksheet" Target="worksheets/sheet53.xml"/><Relationship Id="rId55" Type="http://schemas.openxmlformats.org/officeDocument/2006/relationships/worksheet" Target="worksheets/sheet54.xml"/><Relationship Id="rId56" Type="http://schemas.openxmlformats.org/officeDocument/2006/relationships/worksheet" Target="worksheets/sheet55.xml"/><Relationship Id="rId57" Type="http://schemas.openxmlformats.org/officeDocument/2006/relationships/worksheet" Target="worksheets/sheet56.xml"/><Relationship Id="rId58" Type="http://schemas.openxmlformats.org/officeDocument/2006/relationships/worksheet" Target="worksheets/sheet57.xml"/><Relationship Id="rId59" Type="http://schemas.openxmlformats.org/officeDocument/2006/relationships/worksheet" Target="worksheets/sheet58.xml"/><Relationship Id="rId60" Type="http://schemas.openxmlformats.org/officeDocument/2006/relationships/worksheet" Target="worksheets/sheet59.xml"/><Relationship Id="rId61" Type="http://schemas.openxmlformats.org/officeDocument/2006/relationships/worksheet" Target="worksheets/sheet60.xml"/><Relationship Id="rId62" Type="http://schemas.openxmlformats.org/officeDocument/2006/relationships/worksheet" Target="worksheets/sheet61.xml"/><Relationship Id="rId63" Type="http://schemas.openxmlformats.org/officeDocument/2006/relationships/worksheet" Target="worksheets/sheet62.xml"/><Relationship Id="rId64" Type="http://schemas.openxmlformats.org/officeDocument/2006/relationships/worksheet" Target="worksheets/sheet63.xml"/><Relationship Id="rId65" Type="http://schemas.openxmlformats.org/officeDocument/2006/relationships/worksheet" Target="worksheets/sheet64.xml"/><Relationship Id="rId66" Type="http://schemas.openxmlformats.org/officeDocument/2006/relationships/worksheet" Target="worksheets/sheet65.xml"/><Relationship Id="rId67" Type="http://schemas.openxmlformats.org/officeDocument/2006/relationships/worksheet" Target="worksheets/sheet66.xml"/><Relationship Id="rId68" Type="http://schemas.openxmlformats.org/officeDocument/2006/relationships/worksheet" Target="worksheets/sheet67.xml"/><Relationship Id="rId69" Type="http://schemas.openxmlformats.org/officeDocument/2006/relationships/worksheet" Target="worksheets/sheet68.xml"/><Relationship Id="rId70" Type="http://schemas.openxmlformats.org/officeDocument/2006/relationships/worksheet" Target="worksheets/sheet69.xml"/><Relationship Id="rId71" Type="http://schemas.openxmlformats.org/officeDocument/2006/relationships/worksheet" Target="worksheets/sheet70.xml"/><Relationship Id="rId72" Type="http://schemas.openxmlformats.org/officeDocument/2006/relationships/worksheet" Target="worksheets/sheet71.xml"/><Relationship Id="rId73" Type="http://schemas.openxmlformats.org/officeDocument/2006/relationships/worksheet" Target="worksheets/sheet72.xml"/><Relationship Id="rId74" Type="http://schemas.openxmlformats.org/officeDocument/2006/relationships/worksheet" Target="worksheets/sheet73.xml"/><Relationship Id="rId75" Type="http://schemas.openxmlformats.org/officeDocument/2006/relationships/worksheet" Target="worksheets/sheet74.xml"/><Relationship Id="rId76" Type="http://schemas.openxmlformats.org/officeDocument/2006/relationships/worksheet" Target="worksheets/sheet75.xml"/><Relationship Id="rId77" Type="http://schemas.openxmlformats.org/officeDocument/2006/relationships/worksheet" Target="worksheets/sheet76.xml"/><Relationship Id="rId78" Type="http://schemas.openxmlformats.org/officeDocument/2006/relationships/worksheet" Target="worksheets/sheet77.xml"/><Relationship Id="rId79" Type="http://schemas.openxmlformats.org/officeDocument/2006/relationships/worksheet" Target="worksheets/sheet78.xml"/><Relationship Id="rId80" Type="http://schemas.openxmlformats.org/officeDocument/2006/relationships/worksheet" Target="worksheets/sheet79.xml"/><Relationship Id="rId81" Type="http://schemas.openxmlformats.org/officeDocument/2006/relationships/worksheet" Target="worksheets/sheet80.xml"/><Relationship Id="rId82" Type="http://schemas.openxmlformats.org/officeDocument/2006/relationships/worksheet" Target="worksheets/sheet81.xml"/><Relationship Id="rId83" Type="http://schemas.openxmlformats.org/officeDocument/2006/relationships/worksheet" Target="worksheets/sheet82.xml"/><Relationship Id="rId84" Type="http://schemas.openxmlformats.org/officeDocument/2006/relationships/worksheet" Target="worksheets/sheet83.xml"/><Relationship Id="rId85" Type="http://schemas.openxmlformats.org/officeDocument/2006/relationships/worksheet" Target="worksheets/sheet84.xml"/><Relationship Id="rId86" Type="http://schemas.openxmlformats.org/officeDocument/2006/relationships/worksheet" Target="worksheets/sheet85.xml"/><Relationship Id="rId87" Type="http://schemas.openxmlformats.org/officeDocument/2006/relationships/worksheet" Target="worksheets/sheet86.xml"/><Relationship Id="rId88" Type="http://schemas.openxmlformats.org/officeDocument/2006/relationships/worksheet" Target="worksheets/sheet87.xml"/><Relationship Id="rId89" Type="http://schemas.openxmlformats.org/officeDocument/2006/relationships/worksheet" Target="worksheets/sheet88.xml"/><Relationship Id="rId90" Type="http://schemas.openxmlformats.org/officeDocument/2006/relationships/worksheet" Target="worksheets/sheet89.xml"/><Relationship Id="rId91" Type="http://schemas.openxmlformats.org/officeDocument/2006/relationships/worksheet" Target="worksheets/sheet90.xml"/><Relationship Id="rId92" Type="http://schemas.openxmlformats.org/officeDocument/2006/relationships/worksheet" Target="worksheets/sheet91.xml"/><Relationship Id="rId93" Type="http://schemas.openxmlformats.org/officeDocument/2006/relationships/worksheet" Target="worksheets/sheet92.xml"/><Relationship Id="rId94" Type="http://schemas.openxmlformats.org/officeDocument/2006/relationships/worksheet" Target="worksheets/sheet93.xml"/><Relationship Id="rId95" Type="http://schemas.openxmlformats.org/officeDocument/2006/relationships/worksheet" Target="worksheets/sheet94.xml"/><Relationship Id="rId96" Type="http://schemas.openxmlformats.org/officeDocument/2006/relationships/worksheet" Target="worksheets/sheet95.xml"/><Relationship Id="rId97"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_rels/sheet40.xml.rels><?xml version="1.0" encoding="UTF-8" standalone="yes"?><Relationships xmlns="http://schemas.openxmlformats.org/package/2006/relationships"><Relationship Id="rId1" Type="http://schemas.openxmlformats.org/officeDocument/2006/relationships/vmlDrawing" Target="../drawings/vmlDrawing40.vml"/><Relationship Id="rId2" Type="http://schemas.openxmlformats.org/officeDocument/2006/relationships/comments" Target="../comments40.xml"/></Relationships>
</file>

<file path=xl/worksheets/_rels/sheet41.xml.rels><?xml version="1.0" encoding="UTF-8" standalone="yes"?><Relationships xmlns="http://schemas.openxmlformats.org/package/2006/relationships"><Relationship Id="rId1" Type="http://schemas.openxmlformats.org/officeDocument/2006/relationships/vmlDrawing" Target="../drawings/vmlDrawing41.vml"/><Relationship Id="rId2" Type="http://schemas.openxmlformats.org/officeDocument/2006/relationships/comments" Target="../comments41.xml"/></Relationships>
</file>

<file path=xl/worksheets/_rels/sheet42.xml.rels><?xml version="1.0" encoding="UTF-8" standalone="yes"?><Relationships xmlns="http://schemas.openxmlformats.org/package/2006/relationships"><Relationship Id="rId1" Type="http://schemas.openxmlformats.org/officeDocument/2006/relationships/vmlDrawing" Target="../drawings/vmlDrawing42.vml"/><Relationship Id="rId2" Type="http://schemas.openxmlformats.org/officeDocument/2006/relationships/comments" Target="../comments42.xml"/></Relationships>
</file>

<file path=xl/worksheets/_rels/sheet43.xml.rels><?xml version="1.0" encoding="UTF-8" standalone="yes"?><Relationships xmlns="http://schemas.openxmlformats.org/package/2006/relationships"><Relationship Id="rId1" Type="http://schemas.openxmlformats.org/officeDocument/2006/relationships/vmlDrawing" Target="../drawings/vmlDrawing43.vml"/><Relationship Id="rId2" Type="http://schemas.openxmlformats.org/officeDocument/2006/relationships/comments" Target="../comments43.xml"/></Relationships>
</file>

<file path=xl/worksheets/_rels/sheet44.xml.rels><?xml version="1.0" encoding="UTF-8" standalone="yes"?><Relationships xmlns="http://schemas.openxmlformats.org/package/2006/relationships"><Relationship Id="rId1" Type="http://schemas.openxmlformats.org/officeDocument/2006/relationships/vmlDrawing" Target="../drawings/vmlDrawing44.vml"/><Relationship Id="rId2" Type="http://schemas.openxmlformats.org/officeDocument/2006/relationships/comments" Target="../comments44.xml"/></Relationships>
</file>

<file path=xl/worksheets/_rels/sheet45.xml.rels><?xml version="1.0" encoding="UTF-8" standalone="yes"?><Relationships xmlns="http://schemas.openxmlformats.org/package/2006/relationships"><Relationship Id="rId1" Type="http://schemas.openxmlformats.org/officeDocument/2006/relationships/vmlDrawing" Target="../drawings/vmlDrawing45.vml"/><Relationship Id="rId2" Type="http://schemas.openxmlformats.org/officeDocument/2006/relationships/comments" Target="../comments45.xml"/></Relationships>
</file>

<file path=xl/worksheets/_rels/sheet46.xml.rels><?xml version="1.0" encoding="UTF-8" standalone="yes"?><Relationships xmlns="http://schemas.openxmlformats.org/package/2006/relationships"><Relationship Id="rId1" Type="http://schemas.openxmlformats.org/officeDocument/2006/relationships/vmlDrawing" Target="../drawings/vmlDrawing46.vml"/><Relationship Id="rId2" Type="http://schemas.openxmlformats.org/officeDocument/2006/relationships/comments" Target="../comments46.xml"/></Relationships>
</file>

<file path=xl/worksheets/_rels/sheet47.xml.rels><?xml version="1.0" encoding="UTF-8" standalone="yes"?><Relationships xmlns="http://schemas.openxmlformats.org/package/2006/relationships"><Relationship Id="rId1" Type="http://schemas.openxmlformats.org/officeDocument/2006/relationships/vmlDrawing" Target="../drawings/vmlDrawing47.vml"/><Relationship Id="rId2" Type="http://schemas.openxmlformats.org/officeDocument/2006/relationships/comments" Target="../comments47.xml"/></Relationships>
</file>

<file path=xl/worksheets/_rels/sheet48.xml.rels><?xml version="1.0" encoding="UTF-8" standalone="yes"?><Relationships xmlns="http://schemas.openxmlformats.org/package/2006/relationships"><Relationship Id="rId1" Type="http://schemas.openxmlformats.org/officeDocument/2006/relationships/vmlDrawing" Target="../drawings/vmlDrawing48.vml"/><Relationship Id="rId2" Type="http://schemas.openxmlformats.org/officeDocument/2006/relationships/comments" Target="../comments48.xml"/></Relationships>
</file>

<file path=xl/worksheets/_rels/sheet49.xml.rels><?xml version="1.0" encoding="UTF-8" standalone="yes"?><Relationships xmlns="http://schemas.openxmlformats.org/package/2006/relationships"><Relationship Id="rId1" Type="http://schemas.openxmlformats.org/officeDocument/2006/relationships/vmlDrawing" Target="../drawings/vmlDrawing49.vml"/><Relationship Id="rId2" Type="http://schemas.openxmlformats.org/officeDocument/2006/relationships/comments" Target="../comments49.xml"/></Relationships>
</file>

<file path=xl/worksheets/_rels/sheet50.xml.rels><?xml version="1.0" encoding="UTF-8" standalone="yes"?><Relationships xmlns="http://schemas.openxmlformats.org/package/2006/relationships"><Relationship Id="rId1" Type="http://schemas.openxmlformats.org/officeDocument/2006/relationships/vmlDrawing" Target="../drawings/vmlDrawing50.vml"/><Relationship Id="rId2" Type="http://schemas.openxmlformats.org/officeDocument/2006/relationships/comments" Target="../comments50.xml"/></Relationships>
</file>

<file path=xl/worksheets/_rels/sheet51.xml.rels><?xml version="1.0" encoding="UTF-8" standalone="yes"?><Relationships xmlns="http://schemas.openxmlformats.org/package/2006/relationships"><Relationship Id="rId1" Type="http://schemas.openxmlformats.org/officeDocument/2006/relationships/vmlDrawing" Target="../drawings/vmlDrawing51.vml"/><Relationship Id="rId2" Type="http://schemas.openxmlformats.org/officeDocument/2006/relationships/comments" Target="../comments51.xml"/></Relationships>
</file>

<file path=xl/worksheets/_rels/sheet52.xml.rels><?xml version="1.0" encoding="UTF-8" standalone="yes"?><Relationships xmlns="http://schemas.openxmlformats.org/package/2006/relationships"><Relationship Id="rId1" Type="http://schemas.openxmlformats.org/officeDocument/2006/relationships/vmlDrawing" Target="../drawings/vmlDrawing52.vml"/><Relationship Id="rId2" Type="http://schemas.openxmlformats.org/officeDocument/2006/relationships/comments" Target="../comments52.xml"/></Relationships>
</file>

<file path=xl/worksheets/_rels/sheet53.xml.rels><?xml version="1.0" encoding="UTF-8" standalone="yes"?><Relationships xmlns="http://schemas.openxmlformats.org/package/2006/relationships"><Relationship Id="rId1" Type="http://schemas.openxmlformats.org/officeDocument/2006/relationships/vmlDrawing" Target="../drawings/vmlDrawing53.vml"/><Relationship Id="rId2" Type="http://schemas.openxmlformats.org/officeDocument/2006/relationships/comments" Target="../comments53.xml"/></Relationships>
</file>

<file path=xl/worksheets/_rels/sheet54.xml.rels><?xml version="1.0" encoding="UTF-8" standalone="yes"?><Relationships xmlns="http://schemas.openxmlformats.org/package/2006/relationships"><Relationship Id="rId1" Type="http://schemas.openxmlformats.org/officeDocument/2006/relationships/vmlDrawing" Target="../drawings/vmlDrawing54.vml"/><Relationship Id="rId2" Type="http://schemas.openxmlformats.org/officeDocument/2006/relationships/comments" Target="../comments54.xml"/></Relationships>
</file>

<file path=xl/worksheets/_rels/sheet55.xml.rels><?xml version="1.0" encoding="UTF-8" standalone="yes"?><Relationships xmlns="http://schemas.openxmlformats.org/package/2006/relationships"><Relationship Id="rId1" Type="http://schemas.openxmlformats.org/officeDocument/2006/relationships/vmlDrawing" Target="../drawings/vmlDrawing55.vml"/><Relationship Id="rId2" Type="http://schemas.openxmlformats.org/officeDocument/2006/relationships/comments" Target="../comments55.xml"/></Relationships>
</file>

<file path=xl/worksheets/_rels/sheet56.xml.rels><?xml version="1.0" encoding="UTF-8" standalone="yes"?><Relationships xmlns="http://schemas.openxmlformats.org/package/2006/relationships"><Relationship Id="rId1" Type="http://schemas.openxmlformats.org/officeDocument/2006/relationships/vmlDrawing" Target="../drawings/vmlDrawing56.vml"/><Relationship Id="rId2" Type="http://schemas.openxmlformats.org/officeDocument/2006/relationships/comments" Target="../comments56.xml"/></Relationships>
</file>

<file path=xl/worksheets/_rels/sheet57.xml.rels><?xml version="1.0" encoding="UTF-8" standalone="yes"?><Relationships xmlns="http://schemas.openxmlformats.org/package/2006/relationships"><Relationship Id="rId1" Type="http://schemas.openxmlformats.org/officeDocument/2006/relationships/vmlDrawing" Target="../drawings/vmlDrawing57.vml"/><Relationship Id="rId2" Type="http://schemas.openxmlformats.org/officeDocument/2006/relationships/comments" Target="../comments57.xml"/></Relationships>
</file>

<file path=xl/worksheets/_rels/sheet58.xml.rels><?xml version="1.0" encoding="UTF-8" standalone="yes"?><Relationships xmlns="http://schemas.openxmlformats.org/package/2006/relationships"><Relationship Id="rId1" Type="http://schemas.openxmlformats.org/officeDocument/2006/relationships/vmlDrawing" Target="../drawings/vmlDrawing58.vml"/><Relationship Id="rId2" Type="http://schemas.openxmlformats.org/officeDocument/2006/relationships/comments" Target="../comments58.xml"/></Relationships>
</file>

<file path=xl/worksheets/_rels/sheet59.xml.rels><?xml version="1.0" encoding="UTF-8" standalone="yes"?><Relationships xmlns="http://schemas.openxmlformats.org/package/2006/relationships"><Relationship Id="rId1" Type="http://schemas.openxmlformats.org/officeDocument/2006/relationships/vmlDrawing" Target="../drawings/vmlDrawing59.vml"/><Relationship Id="rId2" Type="http://schemas.openxmlformats.org/officeDocument/2006/relationships/comments" Target="../comments59.xml"/></Relationships>
</file>

<file path=xl/worksheets/_rels/sheet60.xml.rels><?xml version="1.0" encoding="UTF-8" standalone="yes"?><Relationships xmlns="http://schemas.openxmlformats.org/package/2006/relationships"><Relationship Id="rId1" Type="http://schemas.openxmlformats.org/officeDocument/2006/relationships/vmlDrawing" Target="../drawings/vmlDrawing60.vml"/><Relationship Id="rId2" Type="http://schemas.openxmlformats.org/officeDocument/2006/relationships/comments" Target="../comments60.xml"/></Relationships>
</file>

<file path=xl/worksheets/_rels/sheet61.xml.rels><?xml version="1.0" encoding="UTF-8" standalone="yes"?><Relationships xmlns="http://schemas.openxmlformats.org/package/2006/relationships"><Relationship Id="rId1" Type="http://schemas.openxmlformats.org/officeDocument/2006/relationships/vmlDrawing" Target="../drawings/vmlDrawing61.vml"/><Relationship Id="rId2" Type="http://schemas.openxmlformats.org/officeDocument/2006/relationships/comments" Target="../comments61.xml"/></Relationships>
</file>

<file path=xl/worksheets/_rels/sheet62.xml.rels><?xml version="1.0" encoding="UTF-8" standalone="yes"?><Relationships xmlns="http://schemas.openxmlformats.org/package/2006/relationships"><Relationship Id="rId1" Type="http://schemas.openxmlformats.org/officeDocument/2006/relationships/vmlDrawing" Target="../drawings/vmlDrawing62.vml"/><Relationship Id="rId2" Type="http://schemas.openxmlformats.org/officeDocument/2006/relationships/comments" Target="../comments62.xml"/></Relationships>
</file>

<file path=xl/worksheets/_rels/sheet63.xml.rels><?xml version="1.0" encoding="UTF-8" standalone="yes"?><Relationships xmlns="http://schemas.openxmlformats.org/package/2006/relationships"><Relationship Id="rId1" Type="http://schemas.openxmlformats.org/officeDocument/2006/relationships/vmlDrawing" Target="../drawings/vmlDrawing63.vml"/><Relationship Id="rId2" Type="http://schemas.openxmlformats.org/officeDocument/2006/relationships/comments" Target="../comments63.xml"/></Relationships>
</file>

<file path=xl/worksheets/_rels/sheet64.xml.rels><?xml version="1.0" encoding="UTF-8" standalone="yes"?><Relationships xmlns="http://schemas.openxmlformats.org/package/2006/relationships"><Relationship Id="rId1" Type="http://schemas.openxmlformats.org/officeDocument/2006/relationships/vmlDrawing" Target="../drawings/vmlDrawing64.vml"/><Relationship Id="rId2" Type="http://schemas.openxmlformats.org/officeDocument/2006/relationships/comments" Target="../comments64.xml"/></Relationships>
</file>

<file path=xl/worksheets/_rels/sheet65.xml.rels><?xml version="1.0" encoding="UTF-8" standalone="yes"?><Relationships xmlns="http://schemas.openxmlformats.org/package/2006/relationships"><Relationship Id="rId1" Type="http://schemas.openxmlformats.org/officeDocument/2006/relationships/vmlDrawing" Target="../drawings/vmlDrawing65.vml"/><Relationship Id="rId2" Type="http://schemas.openxmlformats.org/officeDocument/2006/relationships/comments" Target="../comments65.xml"/></Relationships>
</file>

<file path=xl/worksheets/_rels/sheet66.xml.rels><?xml version="1.0" encoding="UTF-8" standalone="yes"?><Relationships xmlns="http://schemas.openxmlformats.org/package/2006/relationships"><Relationship Id="rId1" Type="http://schemas.openxmlformats.org/officeDocument/2006/relationships/vmlDrawing" Target="../drawings/vmlDrawing66.vml"/><Relationship Id="rId2" Type="http://schemas.openxmlformats.org/officeDocument/2006/relationships/comments" Target="../comments66.xml"/></Relationships>
</file>

<file path=xl/worksheets/_rels/sheet67.xml.rels><?xml version="1.0" encoding="UTF-8" standalone="yes"?><Relationships xmlns="http://schemas.openxmlformats.org/package/2006/relationships"><Relationship Id="rId1" Type="http://schemas.openxmlformats.org/officeDocument/2006/relationships/vmlDrawing" Target="../drawings/vmlDrawing67.vml"/><Relationship Id="rId2" Type="http://schemas.openxmlformats.org/officeDocument/2006/relationships/comments" Target="../comments67.xml"/></Relationships>
</file>

<file path=xl/worksheets/_rels/sheet68.xml.rels><?xml version="1.0" encoding="UTF-8" standalone="yes"?><Relationships xmlns="http://schemas.openxmlformats.org/package/2006/relationships"><Relationship Id="rId1" Type="http://schemas.openxmlformats.org/officeDocument/2006/relationships/vmlDrawing" Target="../drawings/vmlDrawing68.vml"/><Relationship Id="rId2" Type="http://schemas.openxmlformats.org/officeDocument/2006/relationships/comments" Target="../comments68.xml"/></Relationships>
</file>

<file path=xl/worksheets/_rels/sheet69.xml.rels><?xml version="1.0" encoding="UTF-8" standalone="yes"?><Relationships xmlns="http://schemas.openxmlformats.org/package/2006/relationships"><Relationship Id="rId1" Type="http://schemas.openxmlformats.org/officeDocument/2006/relationships/vmlDrawing" Target="../drawings/vmlDrawing69.vml"/><Relationship Id="rId2" Type="http://schemas.openxmlformats.org/officeDocument/2006/relationships/comments" Target="../comments69.xml"/></Relationships>
</file>

<file path=xl/worksheets/_rels/sheet70.xml.rels><?xml version="1.0" encoding="UTF-8" standalone="yes"?><Relationships xmlns="http://schemas.openxmlformats.org/package/2006/relationships"><Relationship Id="rId1" Type="http://schemas.openxmlformats.org/officeDocument/2006/relationships/vmlDrawing" Target="../drawings/vmlDrawing70.vml"/><Relationship Id="rId2" Type="http://schemas.openxmlformats.org/officeDocument/2006/relationships/comments" Target="../comments70.xml"/></Relationships>
</file>

<file path=xl/worksheets/_rels/sheet71.xml.rels><?xml version="1.0" encoding="UTF-8" standalone="yes"?><Relationships xmlns="http://schemas.openxmlformats.org/package/2006/relationships"><Relationship Id="rId1" Type="http://schemas.openxmlformats.org/officeDocument/2006/relationships/vmlDrawing" Target="../drawings/vmlDrawing71.vml"/><Relationship Id="rId2" Type="http://schemas.openxmlformats.org/officeDocument/2006/relationships/comments" Target="../comments71.xml"/></Relationships>
</file>

<file path=xl/worksheets/_rels/sheet72.xml.rels><?xml version="1.0" encoding="UTF-8" standalone="yes"?><Relationships xmlns="http://schemas.openxmlformats.org/package/2006/relationships"><Relationship Id="rId1" Type="http://schemas.openxmlformats.org/officeDocument/2006/relationships/vmlDrawing" Target="../drawings/vmlDrawing72.vml"/><Relationship Id="rId2" Type="http://schemas.openxmlformats.org/officeDocument/2006/relationships/comments" Target="../comments72.xml"/></Relationships>
</file>

<file path=xl/worksheets/_rels/sheet73.xml.rels><?xml version="1.0" encoding="UTF-8" standalone="yes"?><Relationships xmlns="http://schemas.openxmlformats.org/package/2006/relationships"><Relationship Id="rId1" Type="http://schemas.openxmlformats.org/officeDocument/2006/relationships/vmlDrawing" Target="../drawings/vmlDrawing73.vml"/><Relationship Id="rId2" Type="http://schemas.openxmlformats.org/officeDocument/2006/relationships/comments" Target="../comments73.xml"/></Relationships>
</file>

<file path=xl/worksheets/_rels/sheet74.xml.rels><?xml version="1.0" encoding="UTF-8" standalone="yes"?><Relationships xmlns="http://schemas.openxmlformats.org/package/2006/relationships"><Relationship Id="rId1" Type="http://schemas.openxmlformats.org/officeDocument/2006/relationships/vmlDrawing" Target="../drawings/vmlDrawing74.vml"/><Relationship Id="rId2" Type="http://schemas.openxmlformats.org/officeDocument/2006/relationships/comments" Target="../comments74.xml"/></Relationships>
</file>

<file path=xl/worksheets/_rels/sheet75.xml.rels><?xml version="1.0" encoding="UTF-8" standalone="yes"?><Relationships xmlns="http://schemas.openxmlformats.org/package/2006/relationships"><Relationship Id="rId1" Type="http://schemas.openxmlformats.org/officeDocument/2006/relationships/vmlDrawing" Target="../drawings/vmlDrawing75.vml"/><Relationship Id="rId2" Type="http://schemas.openxmlformats.org/officeDocument/2006/relationships/comments" Target="../comments75.xml"/></Relationships>
</file>

<file path=xl/worksheets/_rels/sheet76.xml.rels><?xml version="1.0" encoding="UTF-8" standalone="yes"?><Relationships xmlns="http://schemas.openxmlformats.org/package/2006/relationships"><Relationship Id="rId1" Type="http://schemas.openxmlformats.org/officeDocument/2006/relationships/vmlDrawing" Target="../drawings/vmlDrawing76.vml"/><Relationship Id="rId2" Type="http://schemas.openxmlformats.org/officeDocument/2006/relationships/comments" Target="../comments76.xml"/></Relationships>
</file>

<file path=xl/worksheets/_rels/sheet77.xml.rels><?xml version="1.0" encoding="UTF-8" standalone="yes"?><Relationships xmlns="http://schemas.openxmlformats.org/package/2006/relationships"><Relationship Id="rId1" Type="http://schemas.openxmlformats.org/officeDocument/2006/relationships/vmlDrawing" Target="../drawings/vmlDrawing77.vml"/><Relationship Id="rId2" Type="http://schemas.openxmlformats.org/officeDocument/2006/relationships/comments" Target="../comments77.xml"/></Relationships>
</file>

<file path=xl/worksheets/_rels/sheet78.xml.rels><?xml version="1.0" encoding="UTF-8" standalone="yes"?><Relationships xmlns="http://schemas.openxmlformats.org/package/2006/relationships"><Relationship Id="rId1" Type="http://schemas.openxmlformats.org/officeDocument/2006/relationships/vmlDrawing" Target="../drawings/vmlDrawing78.vml"/><Relationship Id="rId2" Type="http://schemas.openxmlformats.org/officeDocument/2006/relationships/comments" Target="../comments78.xml"/></Relationships>
</file>

<file path=xl/worksheets/_rels/sheet79.xml.rels><?xml version="1.0" encoding="UTF-8" standalone="yes"?><Relationships xmlns="http://schemas.openxmlformats.org/package/2006/relationships"><Relationship Id="rId1" Type="http://schemas.openxmlformats.org/officeDocument/2006/relationships/vmlDrawing" Target="../drawings/vmlDrawing79.vml"/><Relationship Id="rId2" Type="http://schemas.openxmlformats.org/officeDocument/2006/relationships/comments" Target="../comments79.xml"/></Relationships>
</file>

<file path=xl/worksheets/_rels/sheet80.xml.rels><?xml version="1.0" encoding="UTF-8" standalone="yes"?><Relationships xmlns="http://schemas.openxmlformats.org/package/2006/relationships"><Relationship Id="rId1" Type="http://schemas.openxmlformats.org/officeDocument/2006/relationships/vmlDrawing" Target="../drawings/vmlDrawing80.vml"/><Relationship Id="rId2" Type="http://schemas.openxmlformats.org/officeDocument/2006/relationships/comments" Target="../comments80.xml"/></Relationships>
</file>

<file path=xl/worksheets/_rels/sheet81.xml.rels><?xml version="1.0" encoding="UTF-8" standalone="yes"?><Relationships xmlns="http://schemas.openxmlformats.org/package/2006/relationships"><Relationship Id="rId1" Type="http://schemas.openxmlformats.org/officeDocument/2006/relationships/vmlDrawing" Target="../drawings/vmlDrawing81.vml"/><Relationship Id="rId2" Type="http://schemas.openxmlformats.org/officeDocument/2006/relationships/comments" Target="../comments81.xml"/></Relationships>
</file>

<file path=xl/worksheets/_rels/sheet82.xml.rels><?xml version="1.0" encoding="UTF-8" standalone="yes"?><Relationships xmlns="http://schemas.openxmlformats.org/package/2006/relationships"><Relationship Id="rId1" Type="http://schemas.openxmlformats.org/officeDocument/2006/relationships/vmlDrawing" Target="../drawings/vmlDrawing82.vml"/><Relationship Id="rId2" Type="http://schemas.openxmlformats.org/officeDocument/2006/relationships/comments" Target="../comments82.xml"/></Relationships>
</file>

<file path=xl/worksheets/_rels/sheet83.xml.rels><?xml version="1.0" encoding="UTF-8" standalone="yes"?><Relationships xmlns="http://schemas.openxmlformats.org/package/2006/relationships"><Relationship Id="rId1" Type="http://schemas.openxmlformats.org/officeDocument/2006/relationships/vmlDrawing" Target="../drawings/vmlDrawing83.vml"/><Relationship Id="rId2" Type="http://schemas.openxmlformats.org/officeDocument/2006/relationships/comments" Target="../comments83.xml"/></Relationships>
</file>

<file path=xl/worksheets/_rels/sheet84.xml.rels><?xml version="1.0" encoding="UTF-8" standalone="yes"?><Relationships xmlns="http://schemas.openxmlformats.org/package/2006/relationships"><Relationship Id="rId1" Type="http://schemas.openxmlformats.org/officeDocument/2006/relationships/vmlDrawing" Target="../drawings/vmlDrawing84.vml"/><Relationship Id="rId2" Type="http://schemas.openxmlformats.org/officeDocument/2006/relationships/comments" Target="../comments84.xml"/></Relationships>
</file>

<file path=xl/worksheets/_rels/sheet85.xml.rels><?xml version="1.0" encoding="UTF-8" standalone="yes"?><Relationships xmlns="http://schemas.openxmlformats.org/package/2006/relationships"><Relationship Id="rId1" Type="http://schemas.openxmlformats.org/officeDocument/2006/relationships/vmlDrawing" Target="../drawings/vmlDrawing85.vml"/><Relationship Id="rId2" Type="http://schemas.openxmlformats.org/officeDocument/2006/relationships/comments" Target="../comments85.xml"/></Relationships>
</file>

<file path=xl/worksheets/_rels/sheet86.xml.rels><?xml version="1.0" encoding="UTF-8" standalone="yes"?><Relationships xmlns="http://schemas.openxmlformats.org/package/2006/relationships"><Relationship Id="rId1" Type="http://schemas.openxmlformats.org/officeDocument/2006/relationships/vmlDrawing" Target="../drawings/vmlDrawing86.vml"/><Relationship Id="rId2" Type="http://schemas.openxmlformats.org/officeDocument/2006/relationships/comments" Target="../comments86.xml"/></Relationships>
</file>

<file path=xl/worksheets/_rels/sheet87.xml.rels><?xml version="1.0" encoding="UTF-8" standalone="yes"?><Relationships xmlns="http://schemas.openxmlformats.org/package/2006/relationships"><Relationship Id="rId1" Type="http://schemas.openxmlformats.org/officeDocument/2006/relationships/vmlDrawing" Target="../drawings/vmlDrawing87.vml"/><Relationship Id="rId2" Type="http://schemas.openxmlformats.org/officeDocument/2006/relationships/comments" Target="../comments87.xml"/></Relationships>
</file>

<file path=xl/worksheets/_rels/sheet88.xml.rels><?xml version="1.0" encoding="UTF-8" standalone="yes"?><Relationships xmlns="http://schemas.openxmlformats.org/package/2006/relationships"><Relationship Id="rId1" Type="http://schemas.openxmlformats.org/officeDocument/2006/relationships/vmlDrawing" Target="../drawings/vmlDrawing88.vml"/><Relationship Id="rId2" Type="http://schemas.openxmlformats.org/officeDocument/2006/relationships/comments" Target="../comments88.xml"/></Relationships>
</file>

<file path=xl/worksheets/_rels/sheet89.xml.rels><?xml version="1.0" encoding="UTF-8" standalone="yes"?><Relationships xmlns="http://schemas.openxmlformats.org/package/2006/relationships"><Relationship Id="rId1" Type="http://schemas.openxmlformats.org/officeDocument/2006/relationships/vmlDrawing" Target="../drawings/vmlDrawing89.vml"/><Relationship Id="rId2" Type="http://schemas.openxmlformats.org/officeDocument/2006/relationships/comments" Target="../comments89.xml"/></Relationships>
</file>

<file path=xl/worksheets/_rels/sheet90.xml.rels><?xml version="1.0" encoding="UTF-8" standalone="yes"?><Relationships xmlns="http://schemas.openxmlformats.org/package/2006/relationships"><Relationship Id="rId1" Type="http://schemas.openxmlformats.org/officeDocument/2006/relationships/vmlDrawing" Target="../drawings/vmlDrawing90.vml"/><Relationship Id="rId2" Type="http://schemas.openxmlformats.org/officeDocument/2006/relationships/comments" Target="../comments90.xml"/></Relationships>
</file>

<file path=xl/worksheets/_rels/sheet91.xml.rels><?xml version="1.0" encoding="UTF-8" standalone="yes"?><Relationships xmlns="http://schemas.openxmlformats.org/package/2006/relationships"><Relationship Id="rId1" Type="http://schemas.openxmlformats.org/officeDocument/2006/relationships/vmlDrawing" Target="../drawings/vmlDrawing91.vml"/><Relationship Id="rId2" Type="http://schemas.openxmlformats.org/officeDocument/2006/relationships/comments" Target="../comments91.xml"/></Relationships>
</file>

<file path=xl/worksheets/_rels/sheet92.xml.rels><?xml version="1.0" encoding="UTF-8" standalone="yes"?><Relationships xmlns="http://schemas.openxmlformats.org/package/2006/relationships"><Relationship Id="rId1" Type="http://schemas.openxmlformats.org/officeDocument/2006/relationships/vmlDrawing" Target="../drawings/vmlDrawing92.vml"/><Relationship Id="rId2" Type="http://schemas.openxmlformats.org/officeDocument/2006/relationships/comments" Target="../comments92.xml"/></Relationships>
</file>

<file path=xl/worksheets/_rels/sheet93.xml.rels><?xml version="1.0" encoding="UTF-8" standalone="yes"?><Relationships xmlns="http://schemas.openxmlformats.org/package/2006/relationships"><Relationship Id="rId1" Type="http://schemas.openxmlformats.org/officeDocument/2006/relationships/vmlDrawing" Target="../drawings/vmlDrawing93.vml"/><Relationship Id="rId2" Type="http://schemas.openxmlformats.org/officeDocument/2006/relationships/comments" Target="../comments93.xml"/></Relationships>
</file>

<file path=xl/worksheets/_rels/sheet94.xml.rels><?xml version="1.0" encoding="UTF-8" standalone="yes"?><Relationships xmlns="http://schemas.openxmlformats.org/package/2006/relationships"><Relationship Id="rId1" Type="http://schemas.openxmlformats.org/officeDocument/2006/relationships/vmlDrawing" Target="../drawings/vmlDrawing94.vml"/><Relationship Id="rId2" Type="http://schemas.openxmlformats.org/officeDocument/2006/relationships/comments" Target="../comments94.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19.588756561279297" customWidth="1"/>
    <col min="2" max="2" width="37.594600677490234" customWidth="1"/>
    <col min="3" max="3" width="17.443378448486328" customWidth="1"/>
    <col min="4" max="4" width="17.443378448486328" customWidth="1"/>
    <col min="5" max="5" width="41.96395492553711" customWidth="1"/>
    <col min="6" max="6" width="26.15152931213379" customWidth="1"/>
    <col min="7" max="7" width="33.928855895996094" customWidth="1"/>
    <col min="8" max="8" width="23.35041618347168" customWidth="1"/>
    <col min="9" max="9" width="17.443378448486328" customWidth="1"/>
    <col min="10" max="10" width="71.5992431640625" customWidth="1"/>
    <col min="11" max="11" width="17.443378448486328" customWidth="1"/>
  </cols>
  <sheetData>
    <row r="1">
      <c r="A1" s="1" t="s">
        <v>0</v>
      </c>
      <c r="B1" s="1" t="s">
        <v>1</v>
      </c>
      <c r="C1" s="1" t="s">
        <v>2</v>
      </c>
      <c r="D1" s="1" t="s">
        <v>3</v>
      </c>
      <c r="E1" s="1" t="s">
        <v>4</v>
      </c>
      <c r="F1" s="1" t="s">
        <v>5</v>
      </c>
      <c r="G1" s="1" t="s">
        <v>6</v>
      </c>
      <c r="H1" s="1" t="s">
        <v>7</v>
      </c>
      <c r="I1" s="1" t="s">
        <v>8</v>
      </c>
      <c r="J1" s="1" t="s">
        <v>9</v>
      </c>
      <c r="K1" s="1" t="s">
        <v>10</v>
      </c>
    </row>
    <row r="2">
      <c r="A2" s="2" t="s">
        <v>11</v>
      </c>
      <c r="B2" s="3" t="str">
        <f>C2 &amp; " / PKO " &amp; F2</f>
        <v>1.0.0 / PKO https://w3id.org/pko/2.0.0</v>
      </c>
      <c r="C2" s="2" t="s">
        <v>12</v>
      </c>
      <c r="D2" s="2" t="s">
        <v>12</v>
      </c>
      <c r="E2" s="2" t="s">
        <v>13</v>
      </c>
      <c r="F2" s="2" t="s">
        <v>14</v>
      </c>
      <c r="G2" s="2" t="s">
        <v>15</v>
      </c>
      <c r="H2" s="4">
        <v>46222.708333333336</v>
      </c>
      <c r="I2" s="2" t="s">
        <v>16</v>
      </c>
      <c r="J2" s="2" t="s">
        <v>17</v>
      </c>
      <c r="K2" s="2" t="b">
        <v>1</v>
      </c>
    </row>
  </sheetData>
  <autoFilter ref="A1:K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23.879928588867188" customWidth="1"/>
    <col min="2" max="2" width="34.889366149902344" customWidth="1"/>
    <col min="3" max="3" width="29.198530197143555" customWidth="1"/>
    <col min="4" max="4" width="17.443378448486328" customWidth="1"/>
    <col min="5" max="5" width="64.22055053710938" customWidth="1"/>
    <col min="6" max="6" width="38.82413101196289" customWidth="1"/>
    <col min="7" max="7" width="17.443378448486328" customWidth="1"/>
    <col min="8" max="8" width="123.98747253417969" customWidth="1"/>
  </cols>
  <sheetData>
    <row r="1">
      <c r="A1" s="1" t="s">
        <v>18</v>
      </c>
      <c r="B1" s="1" t="s">
        <v>1</v>
      </c>
      <c r="C1" s="1" t="s">
        <v>19</v>
      </c>
      <c r="D1" s="1" t="s">
        <v>20</v>
      </c>
      <c r="E1" s="1" t="s">
        <v>21</v>
      </c>
      <c r="F1" s="1" t="s">
        <v>22</v>
      </c>
      <c r="G1" s="1" t="s">
        <v>23</v>
      </c>
      <c r="H1" s="1" t="s">
        <v>24</v>
      </c>
    </row>
    <row r="2">
      <c r="A2" s="2" t="s">
        <v>25</v>
      </c>
      <c r="B2" s="3" t="str">
        <f>C2 &amp; " " &amp; D2</f>
        <v>PKO Core 2.0.0</v>
      </c>
      <c r="C2" s="2" t="s">
        <v>26</v>
      </c>
      <c r="D2" s="2" t="s">
        <v>27</v>
      </c>
      <c r="E2" s="2" t="s">
        <v>14</v>
      </c>
      <c r="F2" s="2" t="s">
        <v>28</v>
      </c>
      <c r="G2" s="2" t="s">
        <v>29</v>
      </c>
      <c r="H2" s="2" t="s">
        <v>30</v>
      </c>
    </row>
    <row r="3">
      <c r="A3" s="2" t="s">
        <v>31</v>
      </c>
      <c r="B3" s="3" t="str">
        <f>C3 &amp; " " &amp; D3</f>
        <v>PKO Industry 2.0.0</v>
      </c>
      <c r="C3" s="2" t="s">
        <v>32</v>
      </c>
      <c r="D3" s="2" t="s">
        <v>27</v>
      </c>
      <c r="E3" s="2" t="s">
        <v>15</v>
      </c>
      <c r="F3" s="2" t="s">
        <v>33</v>
      </c>
      <c r="G3" s="2" t="s">
        <v>29</v>
      </c>
      <c r="H3" s="2" t="s">
        <v>34</v>
      </c>
    </row>
    <row r="4">
      <c r="A4" s="2" t="s">
        <v>35</v>
      </c>
      <c r="B4" s="3" t="str">
        <f>C4 &amp; " " &amp; D4</f>
        <v>P-Plan 1</v>
      </c>
      <c r="C4" s="2" t="s">
        <v>36</v>
      </c>
      <c r="D4" s="2" t="s">
        <v>37</v>
      </c>
      <c r="E4" s="2" t="s">
        <v>38</v>
      </c>
      <c r="F4" s="2" t="s">
        <v>39</v>
      </c>
      <c r="G4" s="2" t="s">
        <v>40</v>
      </c>
      <c r="H4" s="2" t="s">
        <v>41</v>
      </c>
    </row>
    <row r="5">
      <c r="A5" s="2" t="s">
        <v>42</v>
      </c>
      <c r="B5" s="3" t="str">
        <f>C5 &amp; " " &amp; D5</f>
        <v>PROV-O 2013</v>
      </c>
      <c r="C5" s="2" t="s">
        <v>43</v>
      </c>
      <c r="D5" s="2" t="s">
        <v>44</v>
      </c>
      <c r="E5" s="2" t="s">
        <v>45</v>
      </c>
      <c r="F5" s="2" t="s">
        <v>46</v>
      </c>
      <c r="G5" s="2" t="s">
        <v>47</v>
      </c>
      <c r="H5" s="2" t="s">
        <v>48</v>
      </c>
    </row>
    <row r="6">
      <c r="A6" s="2" t="s">
        <v>49</v>
      </c>
      <c r="B6" s="3" t="str">
        <f>C6 &amp; " " &amp; D6</f>
        <v>DCAT 3</v>
      </c>
      <c r="C6" s="2" t="s">
        <v>50</v>
      </c>
      <c r="D6" s="2" t="s">
        <v>51</v>
      </c>
      <c r="E6" s="2" t="s">
        <v>52</v>
      </c>
      <c r="F6" s="2" t="s">
        <v>53</v>
      </c>
      <c r="G6" s="2" t="s">
        <v>47</v>
      </c>
      <c r="H6" s="2" t="s">
        <v>54</v>
      </c>
    </row>
    <row r="7">
      <c r="A7" s="2" t="s">
        <v>55</v>
      </c>
      <c r="B7" s="3" t="str">
        <f>C7 &amp; " " &amp; D7</f>
        <v>DCMI Terms current</v>
      </c>
      <c r="C7" s="2" t="s">
        <v>56</v>
      </c>
      <c r="D7" s="2" t="s">
        <v>57</v>
      </c>
      <c r="E7" s="2" t="s">
        <v>58</v>
      </c>
      <c r="F7" s="2" t="s">
        <v>59</v>
      </c>
      <c r="G7" s="2" t="s">
        <v>60</v>
      </c>
      <c r="H7" s="2" t="s">
        <v>61</v>
      </c>
    </row>
    <row r="8">
      <c r="A8" s="2" t="s">
        <v>62</v>
      </c>
      <c r="B8" s="3" t="str">
        <f>C8 &amp; " " &amp; D8</f>
        <v>OWL-Time 2017</v>
      </c>
      <c r="C8" s="2" t="s">
        <v>63</v>
      </c>
      <c r="D8" s="2" t="s">
        <v>64</v>
      </c>
      <c r="E8" s="2" t="s">
        <v>65</v>
      </c>
      <c r="F8" s="2" t="s">
        <v>66</v>
      </c>
      <c r="G8" s="2" t="s">
        <v>47</v>
      </c>
      <c r="H8" s="2" t="s">
        <v>67</v>
      </c>
    </row>
    <row r="9">
      <c r="A9" s="2" t="s">
        <v>68</v>
      </c>
      <c r="B9" s="3" t="str">
        <f>C9 &amp; " " &amp; D9</f>
        <v>Publishing Roles Ontology current</v>
      </c>
      <c r="C9" s="2" t="s">
        <v>69</v>
      </c>
      <c r="D9" s="2" t="s">
        <v>57</v>
      </c>
      <c r="E9" s="2" t="s">
        <v>70</v>
      </c>
      <c r="F9" s="2" t="s">
        <v>71</v>
      </c>
      <c r="G9" s="2" t="s">
        <v>72</v>
      </c>
      <c r="H9" s="2" t="s">
        <v>73</v>
      </c>
    </row>
    <row r="10">
      <c r="A10" s="2" t="s">
        <v>74</v>
      </c>
      <c r="B10" s="3" t="str">
        <f>C10 &amp; " " &amp; D10</f>
        <v>Metadata4Ing current</v>
      </c>
      <c r="C10" s="2" t="s">
        <v>75</v>
      </c>
      <c r="D10" s="2" t="s">
        <v>57</v>
      </c>
      <c r="E10" s="2" t="s">
        <v>76</v>
      </c>
      <c r="F10" s="2" t="s">
        <v>77</v>
      </c>
      <c r="G10" s="2" t="s">
        <v>40</v>
      </c>
      <c r="H10" s="2" t="s">
        <v>78</v>
      </c>
    </row>
    <row r="11">
      <c r="A11" s="2" t="s">
        <v>79</v>
      </c>
      <c r="B11" s="3" t="str">
        <f>C11 &amp; " " &amp; D11</f>
        <v>ODRL 2.2</v>
      </c>
      <c r="C11" s="2" t="s">
        <v>80</v>
      </c>
      <c r="D11" s="2" t="s">
        <v>81</v>
      </c>
      <c r="E11" s="2" t="s">
        <v>82</v>
      </c>
      <c r="F11" s="2" t="s">
        <v>83</v>
      </c>
      <c r="G11" s="2" t="s">
        <v>47</v>
      </c>
      <c r="H11" s="2" t="s">
        <v>84</v>
      </c>
    </row>
    <row r="12">
      <c r="A12" s="2" t="s">
        <v>85</v>
      </c>
      <c r="B12" s="3" t="str">
        <f>C12 &amp; " " &amp; D12</f>
        <v>ERB-PKO Enterprise Extension 1.0.0</v>
      </c>
      <c r="C12" s="2" t="s">
        <v>86</v>
      </c>
      <c r="D12" s="2" t="s">
        <v>12</v>
      </c>
      <c r="E12" s="2" t="s">
        <v>87</v>
      </c>
      <c r="F12" s="2" t="s">
        <v>88</v>
      </c>
      <c r="G12" s="2" t="s">
        <v>89</v>
      </c>
      <c r="H12" s="2" t="s">
        <v>90</v>
      </c>
    </row>
  </sheetData>
  <autoFilter ref="A1:H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0.59099006652832" customWidth="1"/>
    <col min="2" max="2" width="49.27517318725586" customWidth="1"/>
    <col min="3" max="3" width="21.07795524597168" customWidth="1"/>
    <col min="4" max="4" width="23.35041618347168" customWidth="1"/>
    <col min="5" max="5" width="17.443378448486328" customWidth="1"/>
    <col min="6" max="6" width="199.48695373535156" customWidth="1"/>
    <col min="7" max="7" width="45.5624885559082" customWidth="1"/>
  </cols>
  <sheetData>
    <row r="1">
      <c r="A1" s="1" t="s">
        <v>91</v>
      </c>
      <c r="B1" s="1" t="s">
        <v>1</v>
      </c>
      <c r="C1" s="1" t="s">
        <v>19</v>
      </c>
      <c r="D1" s="1" t="s">
        <v>92</v>
      </c>
      <c r="E1" s="1" t="s">
        <v>10</v>
      </c>
      <c r="F1" s="1" t="s">
        <v>93</v>
      </c>
      <c r="G1" s="1" t="s">
        <v>94</v>
      </c>
    </row>
    <row r="2">
      <c r="A2" s="2" t="s">
        <v>95</v>
      </c>
      <c r="B2" s="3" t="str">
        <f>C2 &amp; " @ " &amp; TEXT(D2, "yyyy-mm-dd hh:mm:ss")&amp;"+00"</f>
        <v>Post-close evaluation @ 2026-07-19 18:00:00+00</v>
      </c>
      <c r="C2" s="2" t="s">
        <v>96</v>
      </c>
      <c r="D2" s="4">
        <v>46222.75</v>
      </c>
      <c r="E2" s="2" t="b">
        <v>1</v>
      </c>
      <c r="F2" s="2" t="s">
        <v>97</v>
      </c>
      <c r="G2" s="2" t="s">
        <v>98</v>
      </c>
    </row>
  </sheetData>
  <autoFilter ref="A1:G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5"/>
  <sheetViews>
    <sheetView workbookViewId="0">
      <pane ySplit="1" topLeftCell="A2" state="frozen" activePane="bottomLeft"/>
      <selection pane="bottomLeft" activeCell="A1" sqref="A1"/>
    </sheetView>
  </sheetViews>
  <sheetFormatPr defaultRowHeight="15"/>
  <cols>
    <col min="1" max="1" width="17.443378448486328" customWidth="1"/>
    <col min="2" max="2" width="24.363523483276367" customWidth="1"/>
    <col min="3" max="3" width="24.363523483276367" customWidth="1"/>
    <col min="4" max="4" width="18.103038787841797" customWidth="1"/>
    <col min="5" max="5" width="17.805295944213867" customWidth="1"/>
    <col min="6" max="6" width="41.099857330322266" customWidth="1"/>
  </cols>
  <sheetData>
    <row r="1">
      <c r="A1" s="1" t="s">
        <v>99</v>
      </c>
      <c r="B1" s="1" t="s">
        <v>1</v>
      </c>
      <c r="C1" s="1" t="s">
        <v>100</v>
      </c>
      <c r="D1" s="1" t="s">
        <v>101</v>
      </c>
      <c r="E1" s="1" t="s">
        <v>102</v>
      </c>
      <c r="F1" s="1" t="s">
        <v>94</v>
      </c>
    </row>
    <row r="2">
      <c r="A2" s="2" t="s">
        <v>103</v>
      </c>
      <c r="B2" s="3" t="str">
        <f>C2</f>
        <v>ACME Corporation</v>
      </c>
      <c r="C2" s="2" t="s">
        <v>104</v>
      </c>
      <c r="D2" s="2" t="s">
        <v>105</v>
      </c>
      <c r="E2" s="2" t="s">
        <v>106</v>
      </c>
      <c r="F2" s="2" t="s">
        <v>107</v>
      </c>
    </row>
    <row r="3">
      <c r="A3" s="2" t="s">
        <v>108</v>
      </c>
      <c r="B3" s="3" t="str">
        <f>C3</f>
        <v>ACME Finance</v>
      </c>
      <c r="C3" s="2" t="s">
        <v>109</v>
      </c>
      <c r="D3" s="2" t="s">
        <v>110</v>
      </c>
      <c r="E3" s="2" t="s">
        <v>111</v>
      </c>
      <c r="F3" s="2" t="s">
        <v>112</v>
      </c>
    </row>
    <row r="4">
      <c r="A4" s="2" t="s">
        <v>113</v>
      </c>
      <c r="B4" s="3" t="str">
        <f>C4</f>
        <v>ACME People Operations</v>
      </c>
      <c r="C4" s="2" t="s">
        <v>114</v>
      </c>
      <c r="D4" s="2" t="s">
        <v>110</v>
      </c>
      <c r="E4" s="2" t="s">
        <v>115</v>
      </c>
      <c r="F4" s="2" t="s">
        <v>112</v>
      </c>
    </row>
    <row r="5">
      <c r="A5" s="2" t="s">
        <v>116</v>
      </c>
      <c r="B5" s="3" t="str">
        <f>C5</f>
        <v>ACME Legal</v>
      </c>
      <c r="C5" s="2" t="s">
        <v>117</v>
      </c>
      <c r="D5" s="2" t="s">
        <v>110</v>
      </c>
      <c r="E5" s="2" t="s">
        <v>118</v>
      </c>
      <c r="F5" s="2" t="s">
        <v>112</v>
      </c>
    </row>
  </sheetData>
  <autoFilter ref="A1:F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W12"/>
  <sheetViews>
    <sheetView workbookViewId="0">
      <pane ySplit="1" topLeftCell="A2" state="frozen" activePane="bottomLeft"/>
      <selection pane="bottomLeft" activeCell="A1" sqref="A1"/>
    </sheetView>
  </sheetViews>
  <sheetFormatPr defaultRowHeight="15"/>
  <cols>
    <col min="1" max="1" width="19.900266647338867" customWidth="1"/>
    <col min="2" max="2" width="29.297666549682617" customWidth="1"/>
    <col min="3" max="3" width="29.297666549682617" customWidth="1"/>
    <col min="4" max="4" width="18.9503231048584" customWidth="1"/>
    <col min="5" max="5" width="17.443378448486328" customWidth="1"/>
    <col min="6" max="6" width="28.497310638427734" customWidth="1"/>
    <col min="7" max="7" width="26.32103157043457" customWidth="1"/>
    <col min="8" max="8" width="31.67704963684082" customWidth="1"/>
    <col min="9" max="9" width="17.443378448486328" customWidth="1"/>
    <col min="10" max="10" width="17.443378448486328" customWidth="1"/>
    <col min="11" max="11" width="25.283065795898438" customWidth="1"/>
    <col min="12" max="12" width="20.971384048461914" customWidth="1"/>
    <col min="13" max="13" width="17.443378448486328" customWidth="1"/>
    <col min="14" max="14" width="24.13643455505371" customWidth="1"/>
    <col min="15" max="15" width="28.410320281982422" customWidth="1"/>
    <col min="16" max="16" width="19.769926071166992" customWidth="1"/>
    <col min="17" max="17" width="22.41827964782715" customWidth="1"/>
    <col min="18" max="18" width="24.67127799987793" customWidth="1"/>
    <col min="19" max="19" width="22.068429946899414" customWidth="1"/>
    <col min="20" max="20" width="20.41396141052246" customWidth="1"/>
    <col min="21" max="21" width="20.591585159301758" customWidth="1"/>
    <col min="22" max="22" width="28.40933609008789" customWidth="1"/>
    <col min="23" max="23" width="19.96092414855957" customWidth="1"/>
  </cols>
  <sheetData>
    <row r="1">
      <c r="A1" s="1" t="s">
        <v>119</v>
      </c>
      <c r="B1" s="1" t="s">
        <v>1</v>
      </c>
      <c r="C1" s="1" t="s">
        <v>100</v>
      </c>
      <c r="D1" s="1" t="s">
        <v>120</v>
      </c>
      <c r="E1" s="1" t="s">
        <v>121</v>
      </c>
      <c r="F1" s="1" t="s">
        <v>122</v>
      </c>
      <c r="G1" s="1" t="s">
        <v>123</v>
      </c>
      <c r="H1" s="1" t="s">
        <v>124</v>
      </c>
      <c r="I1" s="1" t="s">
        <v>125</v>
      </c>
      <c r="J1" s="1" t="s">
        <v>126</v>
      </c>
      <c r="K1" s="1" t="s">
        <v>127</v>
      </c>
      <c r="L1" s="1" t="s">
        <v>128</v>
      </c>
      <c r="M1" s="1" t="s">
        <v>129</v>
      </c>
      <c r="N1" s="1" t="s">
        <v>130</v>
      </c>
      <c r="O1" s="1" t="s">
        <v>131</v>
      </c>
      <c r="P1" s="1" t="s">
        <v>132</v>
      </c>
      <c r="Q1" s="1" t="s">
        <v>133</v>
      </c>
      <c r="R1" s="1" t="s">
        <v>134</v>
      </c>
      <c r="S1" s="1" t="s">
        <v>135</v>
      </c>
      <c r="T1" s="1" t="s">
        <v>136</v>
      </c>
      <c r="U1" s="1" t="s">
        <v>137</v>
      </c>
      <c r="V1" s="1" t="s">
        <v>138</v>
      </c>
      <c r="W1" s="1" t="s">
        <v>94</v>
      </c>
    </row>
    <row r="2">
      <c r="A2" s="2" t="s">
        <v>139</v>
      </c>
      <c r="B2" s="3" t="str">
        <f>C2</f>
        <v>Maria Chen</v>
      </c>
      <c r="C2" s="2" t="s">
        <v>140</v>
      </c>
      <c r="D2" s="2" t="s">
        <v>141</v>
      </c>
      <c r="E2" s="2" t="s">
        <v>108</v>
      </c>
      <c r="F2" s="2" t="s">
        <v>142</v>
      </c>
      <c r="G2" s="2" t="s">
        <v>143</v>
      </c>
      <c r="H2" s="5">
        <f>COUNTIFS(RoleAssignments!L2:L999, A2)</f>
        <v>1</v>
      </c>
      <c r="I2" s="3" t="b">
        <f>H2 &gt; 0</f>
        <v>1</v>
      </c>
      <c r="J2" s="3">
        <f>COUNTIFS(AgentDecisionRecords!D2:D999, A2)</f>
        <v>0</v>
      </c>
      <c r="K2" s="3">
        <f>COUNTIFS(AgentDecisionRecords!O2:O999, A2)</f>
        <v>0</v>
      </c>
      <c r="L2" s="3">
        <f>IF(J2 = 0, 0, (K2 * 100) / J2)</f>
        <v>0</v>
      </c>
      <c r="M2" s="3" t="b">
        <f>NOT(D2 = "Human")</f>
        <v>0</v>
      </c>
      <c r="N2" s="3">
        <f>COUNTIFS(AgentDecisionRecords!AB2:AB999, A2)</f>
        <v>0</v>
      </c>
      <c r="O2" s="3" t="b">
        <f>N2 &gt; 0</f>
        <v>0</v>
      </c>
      <c r="P2" s="3">
        <f>COUNTIFS(AgentDecisionRecords!AF2:AF999, A2)</f>
        <v>0</v>
      </c>
      <c r="Q2" s="3">
        <f>COUNTIFS(AgentDecisionRecords!AE2:AE999, A2)</f>
        <v>0</v>
      </c>
      <c r="R2" s="3">
        <f>IF(P2 = 0, 0, (Q2 * 100) / P2)</f>
        <v>0</v>
      </c>
      <c r="S2" s="3">
        <f>COUNTIFS(KnowledgeBrokerLinks!N2:N999, A2)</f>
        <v>0</v>
      </c>
      <c r="T2" s="3" t="b">
        <f>S2 &gt;= 3</f>
        <v>0</v>
      </c>
      <c r="U2" s="3">
        <f>COUNTIFS(KnowledgeBrokerLinks!O2:O999, A2)</f>
        <v>0</v>
      </c>
      <c r="V2" s="3" t="b">
        <f>U2 &gt; 0</f>
        <v>0</v>
      </c>
      <c r="W2" s="2" t="s">
        <v>144</v>
      </c>
    </row>
    <row r="3">
      <c r="A3" s="2" t="s">
        <v>145</v>
      </c>
      <c r="B3" s="3" t="str">
        <f>C3</f>
        <v>Devon Okafor</v>
      </c>
      <c r="C3" s="2" t="s">
        <v>146</v>
      </c>
      <c r="D3" s="2" t="s">
        <v>141</v>
      </c>
      <c r="E3" s="2" t="s">
        <v>108</v>
      </c>
      <c r="F3" s="2" t="s">
        <v>147</v>
      </c>
      <c r="G3" s="2" t="s">
        <v>148</v>
      </c>
      <c r="H3" s="5">
        <f>COUNTIFS(RoleAssignments!L2:L999, A3)</f>
        <v>1</v>
      </c>
      <c r="I3" s="3" t="b">
        <f>H3 &gt; 0</f>
        <v>1</v>
      </c>
      <c r="J3" s="3">
        <f>COUNTIFS(AgentDecisionRecords!D2:D999, A3)</f>
        <v>0</v>
      </c>
      <c r="K3" s="3">
        <f>COUNTIFS(AgentDecisionRecords!O2:O999, A3)</f>
        <v>0</v>
      </c>
      <c r="L3" s="3">
        <f>IF(J3 = 0, 0, (K3 * 100) / J3)</f>
        <v>0</v>
      </c>
      <c r="M3" s="3" t="b">
        <f>NOT(D3 = "Human")</f>
        <v>0</v>
      </c>
      <c r="N3" s="3">
        <f>COUNTIFS(AgentDecisionRecords!AB2:AB999, A3)</f>
        <v>0</v>
      </c>
      <c r="O3" s="3" t="b">
        <f>N3 &gt; 0</f>
        <v>0</v>
      </c>
      <c r="P3" s="3">
        <f>COUNTIFS(AgentDecisionRecords!AF2:AF999, A3)</f>
        <v>0</v>
      </c>
      <c r="Q3" s="3">
        <f>COUNTIFS(AgentDecisionRecords!AE2:AE999, A3)</f>
        <v>0</v>
      </c>
      <c r="R3" s="3">
        <f>IF(P3 = 0, 0, (Q3 * 100) / P3)</f>
        <v>0</v>
      </c>
      <c r="S3" s="3">
        <f>COUNTIFS(KnowledgeBrokerLinks!N2:N999, A3)</f>
        <v>0</v>
      </c>
      <c r="T3" s="3" t="b">
        <f>S3 &gt;= 3</f>
        <v>0</v>
      </c>
      <c r="U3" s="3">
        <f>COUNTIFS(KnowledgeBrokerLinks!O2:O999, A3)</f>
        <v>0</v>
      </c>
      <c r="V3" s="3" t="b">
        <f>U3 &gt; 0</f>
        <v>0</v>
      </c>
      <c r="W3" s="2" t="s">
        <v>144</v>
      </c>
    </row>
    <row r="4">
      <c r="A4" s="2" t="s">
        <v>149</v>
      </c>
      <c r="B4" s="3" t="str">
        <f>C4</f>
        <v>Priya Raman</v>
      </c>
      <c r="C4" s="2" t="s">
        <v>150</v>
      </c>
      <c r="D4" s="2" t="s">
        <v>141</v>
      </c>
      <c r="E4" s="2" t="s">
        <v>108</v>
      </c>
      <c r="F4" s="2" t="s">
        <v>151</v>
      </c>
      <c r="G4" s="2" t="s">
        <v>152</v>
      </c>
      <c r="H4" s="5">
        <f>COUNTIFS(RoleAssignments!L2:L999, A4)</f>
        <v>2</v>
      </c>
      <c r="I4" s="3" t="b">
        <f>H4 &gt; 0</f>
        <v>1</v>
      </c>
      <c r="J4" s="3">
        <f>COUNTIFS(AgentDecisionRecords!D2:D999, A4)</f>
        <v>0</v>
      </c>
      <c r="K4" s="3">
        <f>COUNTIFS(AgentDecisionRecords!O2:O999, A4)</f>
        <v>0</v>
      </c>
      <c r="L4" s="3">
        <f>IF(J4 = 0, 0, (K4 * 100) / J4)</f>
        <v>0</v>
      </c>
      <c r="M4" s="3" t="b">
        <f>NOT(D4 = "Human")</f>
        <v>0</v>
      </c>
      <c r="N4" s="3">
        <f>COUNTIFS(AgentDecisionRecords!AB2:AB999, A4)</f>
        <v>0</v>
      </c>
      <c r="O4" s="3" t="b">
        <f>N4 &gt; 0</f>
        <v>0</v>
      </c>
      <c r="P4" s="3">
        <f>COUNTIFS(AgentDecisionRecords!AF2:AF999, A4)</f>
        <v>0</v>
      </c>
      <c r="Q4" s="3">
        <f>COUNTIFS(AgentDecisionRecords!AE2:AE999, A4)</f>
        <v>0</v>
      </c>
      <c r="R4" s="3">
        <f>IF(P4 = 0, 0, (Q4 * 100) / P4)</f>
        <v>0</v>
      </c>
      <c r="S4" s="3">
        <f>COUNTIFS(KnowledgeBrokerLinks!N2:N999, A4)</f>
        <v>3</v>
      </c>
      <c r="T4" s="3" t="b">
        <f>S4 &gt;= 3</f>
        <v>1</v>
      </c>
      <c r="U4" s="3">
        <f>COUNTIFS(KnowledgeBrokerLinks!O2:O999, A4)</f>
        <v>0</v>
      </c>
      <c r="V4" s="3" t="b">
        <f>U4 &gt; 0</f>
        <v>0</v>
      </c>
      <c r="W4" s="2" t="s">
        <v>144</v>
      </c>
    </row>
    <row r="5">
      <c r="A5" s="2" t="s">
        <v>153</v>
      </c>
      <c r="B5" s="3" t="str">
        <f>C5</f>
        <v>Elena Garcia</v>
      </c>
      <c r="C5" s="2" t="s">
        <v>154</v>
      </c>
      <c r="D5" s="2" t="s">
        <v>141</v>
      </c>
      <c r="E5" s="2" t="s">
        <v>113</v>
      </c>
      <c r="F5" s="2" t="s">
        <v>155</v>
      </c>
      <c r="G5" s="2" t="s">
        <v>156</v>
      </c>
      <c r="H5" s="5">
        <f>COUNTIFS(RoleAssignments!L2:L999, A5)</f>
        <v>2</v>
      </c>
      <c r="I5" s="3" t="b">
        <f>H5 &gt; 0</f>
        <v>1</v>
      </c>
      <c r="J5" s="3">
        <f>COUNTIFS(AgentDecisionRecords!D2:D999, A5)</f>
        <v>0</v>
      </c>
      <c r="K5" s="3">
        <f>COUNTIFS(AgentDecisionRecords!O2:O999, A5)</f>
        <v>0</v>
      </c>
      <c r="L5" s="3">
        <f>IF(J5 = 0, 0, (K5 * 100) / J5)</f>
        <v>0</v>
      </c>
      <c r="M5" s="3" t="b">
        <f>NOT(D5 = "Human")</f>
        <v>0</v>
      </c>
      <c r="N5" s="3">
        <f>COUNTIFS(AgentDecisionRecords!AB2:AB999, A5)</f>
        <v>0</v>
      </c>
      <c r="O5" s="3" t="b">
        <f>N5 &gt; 0</f>
        <v>0</v>
      </c>
      <c r="P5" s="3">
        <f>COUNTIFS(AgentDecisionRecords!AF2:AF999, A5)</f>
        <v>0</v>
      </c>
      <c r="Q5" s="3">
        <f>COUNTIFS(AgentDecisionRecords!AE2:AE999, A5)</f>
        <v>0</v>
      </c>
      <c r="R5" s="3">
        <f>IF(P5 = 0, 0, (Q5 * 100) / P5)</f>
        <v>0</v>
      </c>
      <c r="S5" s="3">
        <f>COUNTIFS(KnowledgeBrokerLinks!N2:N999, A5)</f>
        <v>0</v>
      </c>
      <c r="T5" s="3" t="b">
        <f>S5 &gt;= 3</f>
        <v>0</v>
      </c>
      <c r="U5" s="3">
        <f>COUNTIFS(KnowledgeBrokerLinks!O2:O999, A5)</f>
        <v>0</v>
      </c>
      <c r="V5" s="3" t="b">
        <f>U5 &gt; 0</f>
        <v>0</v>
      </c>
      <c r="W5" s="2" t="s">
        <v>144</v>
      </c>
    </row>
    <row r="6">
      <c r="A6" s="2" t="s">
        <v>157</v>
      </c>
      <c r="B6" s="3" t="str">
        <f>C6</f>
        <v>Noah Williams</v>
      </c>
      <c r="C6" s="2" t="s">
        <v>158</v>
      </c>
      <c r="D6" s="2" t="s">
        <v>141</v>
      </c>
      <c r="E6" s="2" t="s">
        <v>116</v>
      </c>
      <c r="F6" s="2" t="s">
        <v>159</v>
      </c>
      <c r="G6" s="2" t="s">
        <v>160</v>
      </c>
      <c r="H6" s="5">
        <f>COUNTIFS(RoleAssignments!L2:L999, A6)</f>
        <v>1</v>
      </c>
      <c r="I6" s="3" t="b">
        <f>H6 &gt; 0</f>
        <v>1</v>
      </c>
      <c r="J6" s="3">
        <f>COUNTIFS(AgentDecisionRecords!D2:D999, A6)</f>
        <v>0</v>
      </c>
      <c r="K6" s="3">
        <f>COUNTIFS(AgentDecisionRecords!O2:O999, A6)</f>
        <v>0</v>
      </c>
      <c r="L6" s="3">
        <f>IF(J6 = 0, 0, (K6 * 100) / J6)</f>
        <v>0</v>
      </c>
      <c r="M6" s="3" t="b">
        <f>NOT(D6 = "Human")</f>
        <v>0</v>
      </c>
      <c r="N6" s="3">
        <f>COUNTIFS(AgentDecisionRecords!AB2:AB999, A6)</f>
        <v>0</v>
      </c>
      <c r="O6" s="3" t="b">
        <f>N6 &gt; 0</f>
        <v>0</v>
      </c>
      <c r="P6" s="3">
        <f>COUNTIFS(AgentDecisionRecords!AF2:AF999, A6)</f>
        <v>0</v>
      </c>
      <c r="Q6" s="3">
        <f>COUNTIFS(AgentDecisionRecords!AE2:AE999, A6)</f>
        <v>0</v>
      </c>
      <c r="R6" s="3">
        <f>IF(P6 = 0, 0, (Q6 * 100) / P6)</f>
        <v>0</v>
      </c>
      <c r="S6" s="3">
        <f>COUNTIFS(KnowledgeBrokerLinks!N2:N999, A6)</f>
        <v>0</v>
      </c>
      <c r="T6" s="3" t="b">
        <f>S6 &gt;= 3</f>
        <v>0</v>
      </c>
      <c r="U6" s="3">
        <f>COUNTIFS(KnowledgeBrokerLinks!O2:O999, A6)</f>
        <v>0</v>
      </c>
      <c r="V6" s="3" t="b">
        <f>U6 &gt; 0</f>
        <v>0</v>
      </c>
      <c r="W6" s="2" t="s">
        <v>144</v>
      </c>
    </row>
    <row r="7">
      <c r="A7" s="2" t="s">
        <v>161</v>
      </c>
      <c r="B7" s="3" t="str">
        <f>C7</f>
        <v>Amina Yusuf</v>
      </c>
      <c r="C7" s="2" t="s">
        <v>162</v>
      </c>
      <c r="D7" s="2" t="s">
        <v>141</v>
      </c>
      <c r="E7" s="2" t="s">
        <v>113</v>
      </c>
      <c r="F7" s="2" t="s">
        <v>163</v>
      </c>
      <c r="G7" s="2" t="s">
        <v>164</v>
      </c>
      <c r="H7" s="5">
        <f>COUNTIFS(RoleAssignments!L2:L999, A7)</f>
        <v>1</v>
      </c>
      <c r="I7" s="3" t="b">
        <f>H7 &gt; 0</f>
        <v>1</v>
      </c>
      <c r="J7" s="3">
        <f>COUNTIFS(AgentDecisionRecords!D2:D999, A7)</f>
        <v>0</v>
      </c>
      <c r="K7" s="3">
        <f>COUNTIFS(AgentDecisionRecords!O2:O999, A7)</f>
        <v>0</v>
      </c>
      <c r="L7" s="3">
        <f>IF(J7 = 0, 0, (K7 * 100) / J7)</f>
        <v>0</v>
      </c>
      <c r="M7" s="3" t="b">
        <f>NOT(D7 = "Human")</f>
        <v>0</v>
      </c>
      <c r="N7" s="3">
        <f>COUNTIFS(AgentDecisionRecords!AB2:AB999, A7)</f>
        <v>0</v>
      </c>
      <c r="O7" s="3" t="b">
        <f>N7 &gt; 0</f>
        <v>0</v>
      </c>
      <c r="P7" s="3">
        <f>COUNTIFS(AgentDecisionRecords!AF2:AF999, A7)</f>
        <v>0</v>
      </c>
      <c r="Q7" s="3">
        <f>COUNTIFS(AgentDecisionRecords!AE2:AE999, A7)</f>
        <v>0</v>
      </c>
      <c r="R7" s="3">
        <f>IF(P7 = 0, 0, (Q7 * 100) / P7)</f>
        <v>0</v>
      </c>
      <c r="S7" s="3">
        <f>COUNTIFS(KnowledgeBrokerLinks!N2:N999, A7)</f>
        <v>0</v>
      </c>
      <c r="T7" s="3" t="b">
        <f>S7 &gt;= 3</f>
        <v>0</v>
      </c>
      <c r="U7" s="3">
        <f>COUNTIFS(KnowledgeBrokerLinks!O2:O999, A7)</f>
        <v>0</v>
      </c>
      <c r="V7" s="3" t="b">
        <f>U7 &gt; 0</f>
        <v>0</v>
      </c>
      <c r="W7" s="2" t="s">
        <v>144</v>
      </c>
    </row>
    <row r="8">
      <c r="A8" s="2" t="s">
        <v>165</v>
      </c>
      <c r="B8" s="3" t="str">
        <f>C8</f>
        <v>Close Automation Pipeline</v>
      </c>
      <c r="C8" s="2" t="s">
        <v>166</v>
      </c>
      <c r="D8" s="2" t="s">
        <v>167</v>
      </c>
      <c r="E8" s="2" t="s">
        <v>108</v>
      </c>
      <c r="F8" s="2" t="s">
        <v>168</v>
      </c>
      <c r="G8" s="2" t="s">
        <v>169</v>
      </c>
      <c r="H8" s="5">
        <f>COUNTIFS(RoleAssignments!L2:L999, A8)</f>
        <v>1</v>
      </c>
      <c r="I8" s="3" t="b">
        <f>H8 &gt; 0</f>
        <v>1</v>
      </c>
      <c r="J8" s="3">
        <f>COUNTIFS(AgentDecisionRecords!D2:D999, A8)</f>
        <v>3</v>
      </c>
      <c r="K8" s="3">
        <f>COUNTIFS(AgentDecisionRecords!O2:O999, A8)</f>
        <v>1</v>
      </c>
      <c r="L8" s="3">
        <f>IF(J8 = 0, 0, (K8 * 100) / J8)</f>
        <v>33.333333333333336</v>
      </c>
      <c r="M8" s="3" t="b">
        <f>NOT(D8 = "Human")</f>
        <v>1</v>
      </c>
      <c r="N8" s="3">
        <f>COUNTIFS(AgentDecisionRecords!AB2:AB999, A8)</f>
        <v>0</v>
      </c>
      <c r="O8" s="3" t="b">
        <f>N8 &gt; 0</f>
        <v>0</v>
      </c>
      <c r="P8" s="3">
        <f>COUNTIFS(AgentDecisionRecords!AF2:AF999, A8)</f>
        <v>0</v>
      </c>
      <c r="Q8" s="3">
        <f>COUNTIFS(AgentDecisionRecords!AE2:AE999, A8)</f>
        <v>0</v>
      </c>
      <c r="R8" s="3">
        <f>IF(P8 = 0, 0, (Q8 * 100) / P8)</f>
        <v>0</v>
      </c>
      <c r="S8" s="3">
        <f>COUNTIFS(KnowledgeBrokerLinks!N2:N999, A8)</f>
        <v>0</v>
      </c>
      <c r="T8" s="3" t="b">
        <f>S8 &gt;= 3</f>
        <v>0</v>
      </c>
      <c r="U8" s="3">
        <f>COUNTIFS(KnowledgeBrokerLinks!O2:O999, A8)</f>
        <v>0</v>
      </c>
      <c r="V8" s="3" t="b">
        <f>U8 &gt; 0</f>
        <v>0</v>
      </c>
      <c r="W8" s="2" t="s">
        <v>170</v>
      </c>
    </row>
    <row r="9">
      <c r="A9" s="2" t="s">
        <v>171</v>
      </c>
      <c r="B9" s="3" t="str">
        <f>C9</f>
        <v>Variance Analysis AI</v>
      </c>
      <c r="C9" s="2" t="s">
        <v>172</v>
      </c>
      <c r="D9" s="2" t="s">
        <v>173</v>
      </c>
      <c r="E9" s="2" t="s">
        <v>108</v>
      </c>
      <c r="F9" s="2" t="s">
        <v>168</v>
      </c>
      <c r="G9" s="2" t="s">
        <v>174</v>
      </c>
      <c r="H9" s="5">
        <f>COUNTIFS(RoleAssignments!L2:L999, A9)</f>
        <v>1</v>
      </c>
      <c r="I9" s="3" t="b">
        <f>H9 &gt; 0</f>
        <v>1</v>
      </c>
      <c r="J9" s="3">
        <f>COUNTIFS(AgentDecisionRecords!D2:D999, A9)</f>
        <v>0</v>
      </c>
      <c r="K9" s="3">
        <f>COUNTIFS(AgentDecisionRecords!O2:O999, A9)</f>
        <v>0</v>
      </c>
      <c r="L9" s="3">
        <f>IF(J9 = 0, 0, (K9 * 100) / J9)</f>
        <v>0</v>
      </c>
      <c r="M9" s="3" t="b">
        <f>NOT(D9 = "Human")</f>
        <v>1</v>
      </c>
      <c r="N9" s="3">
        <f>COUNTIFS(AgentDecisionRecords!AB2:AB999, A9)</f>
        <v>0</v>
      </c>
      <c r="O9" s="3" t="b">
        <f>N9 &gt; 0</f>
        <v>0</v>
      </c>
      <c r="P9" s="3">
        <f>COUNTIFS(AgentDecisionRecords!AF2:AF999, A9)</f>
        <v>0</v>
      </c>
      <c r="Q9" s="3">
        <f>COUNTIFS(AgentDecisionRecords!AE2:AE999, A9)</f>
        <v>0</v>
      </c>
      <c r="R9" s="3">
        <f>IF(P9 = 0, 0, (Q9 * 100) / P9)</f>
        <v>0</v>
      </c>
      <c r="S9" s="3">
        <f>COUNTIFS(KnowledgeBrokerLinks!N2:N999, A9)</f>
        <v>0</v>
      </c>
      <c r="T9" s="3" t="b">
        <f>S9 &gt;= 3</f>
        <v>0</v>
      </c>
      <c r="U9" s="3">
        <f>COUNTIFS(KnowledgeBrokerLinks!O2:O999, A9)</f>
        <v>0</v>
      </c>
      <c r="V9" s="3" t="b">
        <f>U9 &gt; 0</f>
        <v>0</v>
      </c>
      <c r="W9" s="2" t="s">
        <v>170</v>
      </c>
    </row>
    <row r="10">
      <c r="A10" s="2" t="s">
        <v>175</v>
      </c>
      <c r="B10" s="3" t="str">
        <f>C10</f>
        <v>Policy Drafting AI</v>
      </c>
      <c r="C10" s="2" t="s">
        <v>176</v>
      </c>
      <c r="D10" s="2" t="s">
        <v>173</v>
      </c>
      <c r="E10" s="2" t="s">
        <v>113</v>
      </c>
      <c r="F10" s="2" t="s">
        <v>168</v>
      </c>
      <c r="G10" s="2" t="s">
        <v>177</v>
      </c>
      <c r="H10" s="5">
        <f>COUNTIFS(RoleAssignments!L2:L999, A10)</f>
        <v>1</v>
      </c>
      <c r="I10" s="3" t="b">
        <f>H10 &gt; 0</f>
        <v>1</v>
      </c>
      <c r="J10" s="3">
        <f>COUNTIFS(AgentDecisionRecords!D2:D999, A10)</f>
        <v>0</v>
      </c>
      <c r="K10" s="3">
        <f>COUNTIFS(AgentDecisionRecords!O2:O999, A10)</f>
        <v>0</v>
      </c>
      <c r="L10" s="3">
        <f>IF(J10 = 0, 0, (K10 * 100) / J10)</f>
        <v>0</v>
      </c>
      <c r="M10" s="3" t="b">
        <f>NOT(D10 = "Human")</f>
        <v>1</v>
      </c>
      <c r="N10" s="3">
        <f>COUNTIFS(AgentDecisionRecords!AB2:AB999, A10)</f>
        <v>0</v>
      </c>
      <c r="O10" s="3" t="b">
        <f>N10 &gt; 0</f>
        <v>0</v>
      </c>
      <c r="P10" s="3">
        <f>COUNTIFS(AgentDecisionRecords!AF2:AF999, A10)</f>
        <v>0</v>
      </c>
      <c r="Q10" s="3">
        <f>COUNTIFS(AgentDecisionRecords!AE2:AE999, A10)</f>
        <v>0</v>
      </c>
      <c r="R10" s="3">
        <f>IF(P10 = 0, 0, (Q10 * 100) / P10)</f>
        <v>0</v>
      </c>
      <c r="S10" s="3">
        <f>COUNTIFS(KnowledgeBrokerLinks!N2:N999, A10)</f>
        <v>0</v>
      </c>
      <c r="T10" s="3" t="b">
        <f>S10 &gt;= 3</f>
        <v>0</v>
      </c>
      <c r="U10" s="3">
        <f>COUNTIFS(KnowledgeBrokerLinks!O2:O999, A10)</f>
        <v>0</v>
      </c>
      <c r="V10" s="3" t="b">
        <f>U10 &gt; 0</f>
        <v>0</v>
      </c>
      <c r="W10" s="2" t="s">
        <v>170</v>
      </c>
    </row>
    <row r="11">
      <c r="A11" s="2" t="s">
        <v>178</v>
      </c>
      <c r="B11" s="3" t="str">
        <f>C11</f>
        <v>Employee Notification Pipeline</v>
      </c>
      <c r="C11" s="2" t="s">
        <v>179</v>
      </c>
      <c r="D11" s="2" t="s">
        <v>167</v>
      </c>
      <c r="E11" s="2" t="s">
        <v>113</v>
      </c>
      <c r="F11" s="2" t="s">
        <v>168</v>
      </c>
      <c r="G11" s="2" t="s">
        <v>180</v>
      </c>
      <c r="H11" s="5">
        <f>COUNTIFS(RoleAssignments!L2:L999, A11)</f>
        <v>1</v>
      </c>
      <c r="I11" s="3" t="b">
        <f>H11 &gt; 0</f>
        <v>1</v>
      </c>
      <c r="J11" s="3">
        <f>COUNTIFS(AgentDecisionRecords!D2:D999, A11)</f>
        <v>0</v>
      </c>
      <c r="K11" s="3">
        <f>COUNTIFS(AgentDecisionRecords!O2:O999, A11)</f>
        <v>0</v>
      </c>
      <c r="L11" s="3">
        <f>IF(J11 = 0, 0, (K11 * 100) / J11)</f>
        <v>0</v>
      </c>
      <c r="M11" s="3" t="b">
        <f>NOT(D11 = "Human")</f>
        <v>1</v>
      </c>
      <c r="N11" s="3">
        <f>COUNTIFS(AgentDecisionRecords!AB2:AB999, A11)</f>
        <v>0</v>
      </c>
      <c r="O11" s="3" t="b">
        <f>N11 &gt; 0</f>
        <v>0</v>
      </c>
      <c r="P11" s="3">
        <f>COUNTIFS(AgentDecisionRecords!AF2:AF999, A11)</f>
        <v>0</v>
      </c>
      <c r="Q11" s="3">
        <f>COUNTIFS(AgentDecisionRecords!AE2:AE999, A11)</f>
        <v>0</v>
      </c>
      <c r="R11" s="3">
        <f>IF(P11 = 0, 0, (Q11 * 100) / P11)</f>
        <v>0</v>
      </c>
      <c r="S11" s="3">
        <f>COUNTIFS(KnowledgeBrokerLinks!N2:N999, A11)</f>
        <v>0</v>
      </c>
      <c r="T11" s="3" t="b">
        <f>S11 &gt;= 3</f>
        <v>0</v>
      </c>
      <c r="U11" s="3">
        <f>COUNTIFS(KnowledgeBrokerLinks!O2:O999, A11)</f>
        <v>0</v>
      </c>
      <c r="V11" s="3" t="b">
        <f>U11 &gt; 0</f>
        <v>0</v>
      </c>
      <c r="W11" s="2" t="s">
        <v>170</v>
      </c>
    </row>
    <row r="12">
      <c r="A12" s="2" t="s">
        <v>181</v>
      </c>
      <c r="B12" s="3" t="str">
        <f>C12</f>
        <v>Jordan Park</v>
      </c>
      <c r="C12" s="2" t="s">
        <v>182</v>
      </c>
      <c r="D12" s="2" t="s">
        <v>141</v>
      </c>
      <c r="E12" s="2" t="s">
        <v>108</v>
      </c>
      <c r="F12" s="2" t="s">
        <v>168</v>
      </c>
      <c r="G12" s="2" t="s">
        <v>168</v>
      </c>
      <c r="H12" s="5">
        <f>COUNTIFS(RoleAssignments!L2:L999, A12)</f>
        <v>0</v>
      </c>
      <c r="I12" s="3" t="b">
        <f>H12 &gt; 0</f>
        <v>0</v>
      </c>
      <c r="J12" s="3">
        <f>COUNTIFS(AgentDecisionRecords!D2:D999, A12)</f>
        <v>0</v>
      </c>
      <c r="K12" s="3">
        <f>COUNTIFS(AgentDecisionRecords!O2:O999, A12)</f>
        <v>0</v>
      </c>
      <c r="L12" s="3">
        <f>IF(J12 = 0, 0, (K12 * 100) / J12)</f>
        <v>0</v>
      </c>
      <c r="M12" s="3" t="b">
        <f>NOT(D12 = "Human")</f>
        <v>0</v>
      </c>
      <c r="N12" s="3">
        <f>COUNTIFS(AgentDecisionRecords!AB2:AB999, A12)</f>
        <v>0</v>
      </c>
      <c r="O12" s="3" t="b">
        <f>N12 &gt; 0</f>
        <v>0</v>
      </c>
      <c r="P12" s="3">
        <f>COUNTIFS(AgentDecisionRecords!AF2:AF999, A12)</f>
        <v>0</v>
      </c>
      <c r="Q12" s="3">
        <f>COUNTIFS(AgentDecisionRecords!AE2:AE999, A12)</f>
        <v>0</v>
      </c>
      <c r="R12" s="3">
        <f>IF(P12 = 0, 0, (Q12 * 100) / P12)</f>
        <v>0</v>
      </c>
      <c r="S12" s="3">
        <f>COUNTIFS(KnowledgeBrokerLinks!N2:N999, A12)</f>
        <v>1</v>
      </c>
      <c r="T12" s="3" t="b">
        <f>S12 &gt;= 3</f>
        <v>0</v>
      </c>
      <c r="U12" s="3">
        <f>COUNTIFS(KnowledgeBrokerLinks!O2:O999, A12)</f>
        <v>1</v>
      </c>
      <c r="V12" s="3" t="b">
        <f>U12 &gt; 0</f>
        <v>1</v>
      </c>
      <c r="W12" s="2" t="s">
        <v>144</v>
      </c>
    </row>
  </sheetData>
  <autoFilter ref="A1:W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X13"/>
  <sheetViews>
    <sheetView workbookViewId="0">
      <pane ySplit="1" topLeftCell="A2" state="frozen" activePane="bottomLeft"/>
      <selection pane="bottomLeft" activeCell="A1" sqref="A1"/>
    </sheetView>
  </sheetViews>
  <sheetFormatPr defaultRowHeight="15"/>
  <cols>
    <col min="1" max="1" width="25.59624671936035" customWidth="1"/>
    <col min="2" max="2" width="35.03915786743164" customWidth="1"/>
    <col min="3" max="3" width="35.03915786743164" customWidth="1"/>
    <col min="4" max="4" width="17.443378448486328" customWidth="1"/>
    <col min="5" max="5" width="19.900266647338867" customWidth="1"/>
    <col min="6" max="6" width="18.9503231048584" customWidth="1"/>
    <col min="7" max="7" width="63.167091369628906" customWidth="1"/>
    <col min="8" max="8" width="23.344497680664062" customWidth="1"/>
    <col min="9" max="9" width="33.78933334350586" customWidth="1"/>
    <col min="10" max="10" width="21.181604385375977" customWidth="1"/>
    <col min="11" max="11" width="25.285717010498047" customWidth="1"/>
    <col min="12" max="12" width="23.055267333984375" customWidth="1"/>
    <col min="13" max="13" width="28.29361915588379" customWidth="1"/>
    <col min="14" max="14" width="18.26754379272461" customWidth="1"/>
    <col min="15" max="15" width="29.141708374023438" customWidth="1"/>
    <col min="16" max="16" width="26.37601661682129" customWidth="1"/>
    <col min="17" max="17" width="17.443378448486328" customWidth="1"/>
    <col min="18" max="18" width="17.443378448486328" customWidth="1"/>
    <col min="19" max="19" width="27.693925857543945" customWidth="1"/>
    <col min="20" max="20" width="29.618083953857422" customWidth="1"/>
    <col min="21" max="21" width="25.04017448425293" customWidth="1"/>
    <col min="22" max="22" width="42.202579498291016" customWidth="1"/>
    <col min="23" max="23" width="30.36478042602539" customWidth="1"/>
    <col min="24" max="24" width="27.849199295043945" customWidth="1"/>
  </cols>
  <sheetData>
    <row r="1">
      <c r="A1" s="1" t="s">
        <v>183</v>
      </c>
      <c r="B1" s="1" t="s">
        <v>1</v>
      </c>
      <c r="C1" s="1" t="s">
        <v>19</v>
      </c>
      <c r="D1" s="1" t="s">
        <v>121</v>
      </c>
      <c r="E1" s="1" t="s">
        <v>184</v>
      </c>
      <c r="F1" s="1" t="s">
        <v>185</v>
      </c>
      <c r="G1" s="1" t="s">
        <v>186</v>
      </c>
      <c r="H1" s="1" t="s">
        <v>187</v>
      </c>
      <c r="I1" s="1" t="s">
        <v>188</v>
      </c>
      <c r="J1" s="1" t="s">
        <v>189</v>
      </c>
      <c r="K1" s="1" t="s">
        <v>190</v>
      </c>
      <c r="L1" s="1" t="s">
        <v>191</v>
      </c>
      <c r="M1" s="1" t="s">
        <v>192</v>
      </c>
      <c r="N1" s="1" t="s">
        <v>193</v>
      </c>
      <c r="O1" s="1" t="s">
        <v>194</v>
      </c>
      <c r="P1" s="1" t="s">
        <v>195</v>
      </c>
      <c r="Q1" s="1" t="s">
        <v>196</v>
      </c>
      <c r="R1" s="1" t="s">
        <v>197</v>
      </c>
      <c r="S1" s="1" t="s">
        <v>198</v>
      </c>
      <c r="T1" s="1" t="s">
        <v>199</v>
      </c>
      <c r="U1" s="1" t="s">
        <v>200</v>
      </c>
      <c r="V1" s="1" t="s">
        <v>201</v>
      </c>
      <c r="W1" s="1" t="s">
        <v>202</v>
      </c>
      <c r="X1" s="1" t="s">
        <v>94</v>
      </c>
    </row>
    <row r="2">
      <c r="A2" s="2" t="s">
        <v>203</v>
      </c>
      <c r="B2" s="3" t="str">
        <f>C2</f>
        <v>Finance Analyst</v>
      </c>
      <c r="C2" s="2" t="s">
        <v>204</v>
      </c>
      <c r="D2" s="2" t="s">
        <v>108</v>
      </c>
      <c r="E2" s="2" t="s">
        <v>139</v>
      </c>
      <c r="F2" s="3" t="str">
        <f>_xlfn.IFNA(INDEX(Agents!D2:D999, MATCH(E2,Agents!A2:A999, 0)), "")</f>
        <v>Human</v>
      </c>
      <c r="G2" s="2" t="s">
        <v>205</v>
      </c>
      <c r="H2" s="3">
        <f>COUNTIFS(RoleAssignments!C2:C999, A2)</f>
        <v>1</v>
      </c>
      <c r="I2" s="3">
        <f>COUNTIFS(RoleAssignments!Q2:Q999, A2)</f>
        <v>1</v>
      </c>
      <c r="J2" s="3" t="b">
        <f>I2 = 0</f>
        <v>0</v>
      </c>
      <c r="K2" s="5">
        <f>COUNTIFS(ChangeRequests!H2:H999,A2)</f>
        <v>0</v>
      </c>
      <c r="L2" s="2" t="s">
        <v>206</v>
      </c>
      <c r="M2" s="6">
        <f>_xlfn.IFNA(INDEX(RoleAssignments!E2:E999, MATCH(L2,RoleAssignments!A2:A999, 0)), "")</f>
        <v>46023.25</v>
      </c>
      <c r="N2" s="3" t="b">
        <f>NOT(F2 = "Human")</f>
        <v>0</v>
      </c>
      <c r="O2" s="3" t="b">
        <f>AND(N2, J2)</f>
        <v>0</v>
      </c>
      <c r="P2" s="3">
        <f>COUNTIFS(RoleAssignments!AF2:AF999, A2)</f>
        <v>0</v>
      </c>
      <c r="Q2" s="3" t="b">
        <f>P2 &gt; 0</f>
        <v>0</v>
      </c>
      <c r="R2" s="3" t="b">
        <f>AND(Q2, J2)</f>
        <v>0</v>
      </c>
      <c r="S2" s="3">
        <f>COUNTIFS(AuthorityBoundaries!AF2:AF999, A2)</f>
        <v>0</v>
      </c>
      <c r="T2" s="3" t="b">
        <f>(S2 &gt; 0)</f>
        <v>0</v>
      </c>
      <c r="U2" s="3">
        <f>COUNTIFS(SendIntents!BY2:BY999, A2)</f>
        <v>0</v>
      </c>
      <c r="V2" s="3">
        <f>COUNTIFS(RoleAssignments!BL2:BL999, A2)</f>
        <v>0</v>
      </c>
      <c r="W2" s="3" t="b">
        <f>(V2 &gt; 0)</f>
        <v>0</v>
      </c>
      <c r="X2" s="2" t="s">
        <v>207</v>
      </c>
    </row>
    <row r="3">
      <c r="A3" s="2" t="s">
        <v>208</v>
      </c>
      <c r="B3" s="3" t="str">
        <f>C3</f>
        <v>Corporate Controller</v>
      </c>
      <c r="C3" s="2" t="s">
        <v>209</v>
      </c>
      <c r="D3" s="2" t="s">
        <v>108</v>
      </c>
      <c r="E3" s="2" t="s">
        <v>145</v>
      </c>
      <c r="F3" s="3" t="str">
        <f>_xlfn.IFNA(INDEX(Agents!D2:D999, MATCH(E3,Agents!A2:A999, 0)), "")</f>
        <v>Human</v>
      </c>
      <c r="G3" s="2" t="s">
        <v>210</v>
      </c>
      <c r="H3" s="3">
        <f>COUNTIFS(RoleAssignments!C2:C999, A3)</f>
        <v>1</v>
      </c>
      <c r="I3" s="3">
        <f>COUNTIFS(RoleAssignments!Q2:Q999, A3)</f>
        <v>1</v>
      </c>
      <c r="J3" s="3" t="b">
        <f>I3 = 0</f>
        <v>0</v>
      </c>
      <c r="K3" s="5">
        <f>COUNTIFS(ChangeRequests!H2:H999,A3)</f>
        <v>0</v>
      </c>
      <c r="L3" s="2" t="s">
        <v>211</v>
      </c>
      <c r="M3" s="6">
        <f>_xlfn.IFNA(INDEX(RoleAssignments!E2:E999, MATCH(L3,RoleAssignments!A2:A999, 0)), "")</f>
        <v>46023.25</v>
      </c>
      <c r="N3" s="3" t="b">
        <f>NOT(F3 = "Human")</f>
        <v>0</v>
      </c>
      <c r="O3" s="3" t="b">
        <f>AND(N3, J3)</f>
        <v>0</v>
      </c>
      <c r="P3" s="3">
        <f>COUNTIFS(RoleAssignments!AF2:AF999, A3)</f>
        <v>0</v>
      </c>
      <c r="Q3" s="3" t="b">
        <f>P3 &gt; 0</f>
        <v>0</v>
      </c>
      <c r="R3" s="3" t="b">
        <f>AND(Q3, J3)</f>
        <v>0</v>
      </c>
      <c r="S3" s="3">
        <f>COUNTIFS(AuthorityBoundaries!AF2:AF999, A3)</f>
        <v>0</v>
      </c>
      <c r="T3" s="3" t="b">
        <f>(S3 &gt; 0)</f>
        <v>0</v>
      </c>
      <c r="U3" s="3">
        <f>COUNTIFS(SendIntents!BY2:BY999, A3)</f>
        <v>0</v>
      </c>
      <c r="V3" s="3">
        <f>COUNTIFS(RoleAssignments!BL2:BL999, A3)</f>
        <v>0</v>
      </c>
      <c r="W3" s="3" t="b">
        <f>(V3 &gt; 0)</f>
        <v>0</v>
      </c>
      <c r="X3" s="2" t="s">
        <v>207</v>
      </c>
    </row>
    <row r="4">
      <c r="A4" s="2" t="s">
        <v>212</v>
      </c>
      <c r="B4" s="3" t="str">
        <f>C4</f>
        <v>Chief Financial Officer</v>
      </c>
      <c r="C4" s="2" t="s">
        <v>213</v>
      </c>
      <c r="D4" s="2" t="s">
        <v>108</v>
      </c>
      <c r="E4" s="2" t="s">
        <v>149</v>
      </c>
      <c r="F4" s="3" t="str">
        <f>_xlfn.IFNA(INDEX(Agents!D2:D999, MATCH(E4,Agents!A2:A999, 0)), "")</f>
        <v>Human</v>
      </c>
      <c r="G4" s="2" t="s">
        <v>214</v>
      </c>
      <c r="H4" s="3">
        <f>COUNTIFS(RoleAssignments!C2:C999, A4)</f>
        <v>1</v>
      </c>
      <c r="I4" s="3">
        <f>COUNTIFS(RoleAssignments!Q2:Q999, A4)</f>
        <v>1</v>
      </c>
      <c r="J4" s="3" t="b">
        <f>I4 = 0</f>
        <v>0</v>
      </c>
      <c r="K4" s="5">
        <f>COUNTIFS(ChangeRequests!H2:H999,A4)</f>
        <v>0</v>
      </c>
      <c r="L4" s="2" t="s">
        <v>215</v>
      </c>
      <c r="M4" s="6">
        <f>_xlfn.IFNA(INDEX(RoleAssignments!E2:E999, MATCH(L4,RoleAssignments!A2:A999, 0)), "")</f>
        <v>46023.25</v>
      </c>
      <c r="N4" s="3" t="b">
        <f>NOT(F4 = "Human")</f>
        <v>0</v>
      </c>
      <c r="O4" s="3" t="b">
        <f>AND(N4, J4)</f>
        <v>0</v>
      </c>
      <c r="P4" s="3">
        <f>COUNTIFS(RoleAssignments!AF2:AF999, A4)</f>
        <v>0</v>
      </c>
      <c r="Q4" s="3" t="b">
        <f>P4 &gt; 0</f>
        <v>0</v>
      </c>
      <c r="R4" s="3" t="b">
        <f>AND(Q4, J4)</f>
        <v>0</v>
      </c>
      <c r="S4" s="3">
        <f>COUNTIFS(AuthorityBoundaries!AF2:AF999, A4)</f>
        <v>0</v>
      </c>
      <c r="T4" s="3" t="b">
        <f>(S4 &gt; 0)</f>
        <v>0</v>
      </c>
      <c r="U4" s="3">
        <f>COUNTIFS(SendIntents!BY2:BY999, A4)</f>
        <v>0</v>
      </c>
      <c r="V4" s="3">
        <f>COUNTIFS(RoleAssignments!BL2:BL999, A4)</f>
        <v>0</v>
      </c>
      <c r="W4" s="3" t="b">
        <f>(V4 &gt; 0)</f>
        <v>0</v>
      </c>
      <c r="X4" s="2" t="s">
        <v>207</v>
      </c>
    </row>
    <row r="5">
      <c r="A5" s="2" t="s">
        <v>216</v>
      </c>
      <c r="B5" s="3" t="str">
        <f>C5</f>
        <v>People Policy Owner</v>
      </c>
      <c r="C5" s="2" t="s">
        <v>217</v>
      </c>
      <c r="D5" s="2" t="s">
        <v>113</v>
      </c>
      <c r="E5" s="2" t="s">
        <v>153</v>
      </c>
      <c r="F5" s="3" t="str">
        <f>_xlfn.IFNA(INDEX(Agents!D2:D999, MATCH(E5,Agents!A2:A999, 0)), "")</f>
        <v>Human</v>
      </c>
      <c r="G5" s="2" t="s">
        <v>218</v>
      </c>
      <c r="H5" s="3">
        <f>COUNTIFS(RoleAssignments!C2:C999, A5)</f>
        <v>1</v>
      </c>
      <c r="I5" s="3">
        <f>COUNTIFS(RoleAssignments!Q2:Q999, A5)</f>
        <v>1</v>
      </c>
      <c r="J5" s="3" t="b">
        <f>I5 = 0</f>
        <v>0</v>
      </c>
      <c r="K5" s="5">
        <f>COUNTIFS(ChangeRequests!H2:H999,A5)</f>
        <v>1</v>
      </c>
      <c r="L5" s="2" t="s">
        <v>219</v>
      </c>
      <c r="M5" s="6">
        <f>_xlfn.IFNA(INDEX(RoleAssignments!E2:E999, MATCH(L5,RoleAssignments!A2:A999, 0)), "")</f>
        <v>46054.25</v>
      </c>
      <c r="N5" s="3" t="b">
        <f>NOT(F5 = "Human")</f>
        <v>0</v>
      </c>
      <c r="O5" s="3" t="b">
        <f>AND(N5, J5)</f>
        <v>0</v>
      </c>
      <c r="P5" s="3">
        <f>COUNTIFS(RoleAssignments!AF2:AF999, A5)</f>
        <v>0</v>
      </c>
      <c r="Q5" s="3" t="b">
        <f>P5 &gt; 0</f>
        <v>0</v>
      </c>
      <c r="R5" s="3" t="b">
        <f>AND(Q5, J5)</f>
        <v>0</v>
      </c>
      <c r="S5" s="3">
        <f>COUNTIFS(AuthorityBoundaries!AF2:AF999, A5)</f>
        <v>0</v>
      </c>
      <c r="T5" s="3" t="b">
        <f>(S5 &gt; 0)</f>
        <v>0</v>
      </c>
      <c r="U5" s="3">
        <f>COUNTIFS(SendIntents!BY2:BY999, A5)</f>
        <v>0</v>
      </c>
      <c r="V5" s="3">
        <f>COUNTIFS(RoleAssignments!BL2:BL999, A5)</f>
        <v>0</v>
      </c>
      <c r="W5" s="3" t="b">
        <f>(V5 &gt; 0)</f>
        <v>0</v>
      </c>
      <c r="X5" s="2" t="s">
        <v>207</v>
      </c>
    </row>
    <row r="6">
      <c r="A6" s="2" t="s">
        <v>220</v>
      </c>
      <c r="B6" s="3" t="str">
        <f>C6</f>
        <v>Employment Counsel</v>
      </c>
      <c r="C6" s="2" t="s">
        <v>221</v>
      </c>
      <c r="D6" s="2" t="s">
        <v>116</v>
      </c>
      <c r="E6" s="2" t="s">
        <v>157</v>
      </c>
      <c r="F6" s="3" t="str">
        <f>_xlfn.IFNA(INDEX(Agents!D2:D999, MATCH(E6,Agents!A2:A999, 0)), "")</f>
        <v>Human</v>
      </c>
      <c r="G6" s="2" t="s">
        <v>222</v>
      </c>
      <c r="H6" s="3">
        <f>COUNTIFS(RoleAssignments!C2:C999, A6)</f>
        <v>1</v>
      </c>
      <c r="I6" s="3">
        <f>COUNTIFS(RoleAssignments!Q2:Q999, A6)</f>
        <v>1</v>
      </c>
      <c r="J6" s="3" t="b">
        <f>I6 = 0</f>
        <v>0</v>
      </c>
      <c r="K6" s="5">
        <f>COUNTIFS(ChangeRequests!H2:H999,A6)</f>
        <v>0</v>
      </c>
      <c r="L6" s="2" t="s">
        <v>223</v>
      </c>
      <c r="M6" s="6">
        <f>_xlfn.IFNA(INDEX(RoleAssignments!E2:E999, MATCH(L6,RoleAssignments!A2:A999, 0)), "")</f>
        <v>46037.25</v>
      </c>
      <c r="N6" s="3" t="b">
        <f>NOT(F6 = "Human")</f>
        <v>0</v>
      </c>
      <c r="O6" s="3" t="b">
        <f>AND(N6, J6)</f>
        <v>0</v>
      </c>
      <c r="P6" s="3">
        <f>COUNTIFS(RoleAssignments!AF2:AF999, A6)</f>
        <v>0</v>
      </c>
      <c r="Q6" s="3" t="b">
        <f>P6 &gt; 0</f>
        <v>0</v>
      </c>
      <c r="R6" s="3" t="b">
        <f>AND(Q6, J6)</f>
        <v>0</v>
      </c>
      <c r="S6" s="3">
        <f>COUNTIFS(AuthorityBoundaries!AF2:AF999, A6)</f>
        <v>0</v>
      </c>
      <c r="T6" s="3" t="b">
        <f>(S6 &gt; 0)</f>
        <v>0</v>
      </c>
      <c r="U6" s="3">
        <f>COUNTIFS(SendIntents!BY2:BY999, A6)</f>
        <v>0</v>
      </c>
      <c r="V6" s="3">
        <f>COUNTIFS(RoleAssignments!BL2:BL999, A6)</f>
        <v>0</v>
      </c>
      <c r="W6" s="3" t="b">
        <f>(V6 &gt; 0)</f>
        <v>0</v>
      </c>
      <c r="X6" s="2" t="s">
        <v>207</v>
      </c>
    </row>
    <row r="7">
      <c r="A7" s="2" t="s">
        <v>224</v>
      </c>
      <c r="B7" s="3" t="str">
        <f>C7</f>
        <v>Employee Communications Manager</v>
      </c>
      <c r="C7" s="2" t="s">
        <v>225</v>
      </c>
      <c r="D7" s="2" t="s">
        <v>113</v>
      </c>
      <c r="E7" s="2" t="s">
        <v>161</v>
      </c>
      <c r="F7" s="3" t="str">
        <f>_xlfn.IFNA(INDEX(Agents!D2:D999, MATCH(E7,Agents!A2:A999, 0)), "")</f>
        <v>Human</v>
      </c>
      <c r="G7" s="2" t="s">
        <v>226</v>
      </c>
      <c r="H7" s="3">
        <f>COUNTIFS(RoleAssignments!C2:C999, A7)</f>
        <v>1</v>
      </c>
      <c r="I7" s="3">
        <f>COUNTIFS(RoleAssignments!Q2:Q999, A7)</f>
        <v>1</v>
      </c>
      <c r="J7" s="3" t="b">
        <f>I7 = 0</f>
        <v>0</v>
      </c>
      <c r="K7" s="5">
        <f>COUNTIFS(ChangeRequests!H2:H999,A7)</f>
        <v>0</v>
      </c>
      <c r="L7" s="2" t="s">
        <v>227</v>
      </c>
      <c r="M7" s="6">
        <f>_xlfn.IFNA(INDEX(RoleAssignments!E2:E999, MATCH(L7,RoleAssignments!A2:A999, 0)), "")</f>
        <v>46054.25</v>
      </c>
      <c r="N7" s="3" t="b">
        <f>NOT(F7 = "Human")</f>
        <v>0</v>
      </c>
      <c r="O7" s="3" t="b">
        <f>AND(N7, J7)</f>
        <v>0</v>
      </c>
      <c r="P7" s="3">
        <f>COUNTIFS(RoleAssignments!AF2:AF999, A7)</f>
        <v>0</v>
      </c>
      <c r="Q7" s="3" t="b">
        <f>P7 &gt; 0</f>
        <v>0</v>
      </c>
      <c r="R7" s="3" t="b">
        <f>AND(Q7, J7)</f>
        <v>0</v>
      </c>
      <c r="S7" s="3">
        <f>COUNTIFS(AuthorityBoundaries!AF2:AF999, A7)</f>
        <v>0</v>
      </c>
      <c r="T7" s="3" t="b">
        <f>(S7 &gt; 0)</f>
        <v>0</v>
      </c>
      <c r="U7" s="3">
        <f>COUNTIFS(SendIntents!BY2:BY999, A7)</f>
        <v>0</v>
      </c>
      <c r="V7" s="3">
        <f>COUNTIFS(RoleAssignments!BL2:BL999, A7)</f>
        <v>0</v>
      </c>
      <c r="W7" s="3" t="b">
        <f>(V7 &gt; 0)</f>
        <v>0</v>
      </c>
      <c r="X7" s="2" t="s">
        <v>207</v>
      </c>
    </row>
    <row r="8">
      <c r="A8" s="2" t="s">
        <v>228</v>
      </c>
      <c r="B8" s="3" t="str">
        <f>C8</f>
        <v>Close Automation Operator</v>
      </c>
      <c r="C8" s="2" t="s">
        <v>229</v>
      </c>
      <c r="D8" s="2" t="s">
        <v>108</v>
      </c>
      <c r="E8" s="2" t="s">
        <v>165</v>
      </c>
      <c r="F8" s="3" t="str">
        <f>_xlfn.IFNA(INDEX(Agents!D2:D999, MATCH(E8,Agents!A2:A999, 0)), "")</f>
        <v>AutomatedPipeline</v>
      </c>
      <c r="G8" s="2" t="s">
        <v>230</v>
      </c>
      <c r="H8" s="3">
        <f>COUNTIFS(RoleAssignments!C2:C999, A8)</f>
        <v>1</v>
      </c>
      <c r="I8" s="3">
        <f>COUNTIFS(RoleAssignments!Q2:Q999, A8)</f>
        <v>1</v>
      </c>
      <c r="J8" s="3" t="b">
        <f>I8 = 0</f>
        <v>0</v>
      </c>
      <c r="K8" s="5">
        <f>COUNTIFS(ChangeRequests!H2:H999,A8)</f>
        <v>0</v>
      </c>
      <c r="L8" s="2" t="s">
        <v>231</v>
      </c>
      <c r="M8" s="6">
        <f>_xlfn.IFNA(INDEX(RoleAssignments!E2:E999, MATCH(L8,RoleAssignments!A2:A999, 0)), "")</f>
        <v>46023.25</v>
      </c>
      <c r="N8" s="3" t="b">
        <f>NOT(F8 = "Human")</f>
        <v>1</v>
      </c>
      <c r="O8" s="3" t="b">
        <f>AND(N8, J8)</f>
        <v>0</v>
      </c>
      <c r="P8" s="3">
        <f>COUNTIFS(RoleAssignments!AF2:AF999, A8)</f>
        <v>0</v>
      </c>
      <c r="Q8" s="3" t="b">
        <f>P8 &gt; 0</f>
        <v>0</v>
      </c>
      <c r="R8" s="3" t="b">
        <f>AND(Q8, J8)</f>
        <v>0</v>
      </c>
      <c r="S8" s="3">
        <f>COUNTIFS(AuthorityBoundaries!AF2:AF999, A8)</f>
        <v>0</v>
      </c>
      <c r="T8" s="3" t="b">
        <f>(S8 &gt; 0)</f>
        <v>0</v>
      </c>
      <c r="U8" s="3">
        <f>COUNTIFS(SendIntents!BY2:BY999, A8)</f>
        <v>0</v>
      </c>
      <c r="V8" s="3">
        <f>COUNTIFS(RoleAssignments!BL2:BL999, A8)</f>
        <v>1</v>
      </c>
      <c r="W8" s="3" t="b">
        <f>(V8 &gt; 0)</f>
        <v>1</v>
      </c>
      <c r="X8" s="2" t="s">
        <v>207</v>
      </c>
    </row>
    <row r="9">
      <c r="A9" s="2" t="s">
        <v>232</v>
      </c>
      <c r="B9" s="3" t="str">
        <f>C9</f>
        <v>Variance Review Agent</v>
      </c>
      <c r="C9" s="2" t="s">
        <v>233</v>
      </c>
      <c r="D9" s="2" t="s">
        <v>108</v>
      </c>
      <c r="E9" s="2" t="s">
        <v>171</v>
      </c>
      <c r="F9" s="3" t="str">
        <f>_xlfn.IFNA(INDEX(Agents!D2:D999, MATCH(E9,Agents!A2:A999, 0)), "")</f>
        <v>AIAgent</v>
      </c>
      <c r="G9" s="2" t="s">
        <v>234</v>
      </c>
      <c r="H9" s="3">
        <f>COUNTIFS(RoleAssignments!C2:C999, A9)</f>
        <v>2</v>
      </c>
      <c r="I9" s="3">
        <f>COUNTIFS(RoleAssignments!Q2:Q999, A9)</f>
        <v>1</v>
      </c>
      <c r="J9" s="3" t="b">
        <f>I9 = 0</f>
        <v>0</v>
      </c>
      <c r="K9" s="5">
        <f>COUNTIFS(ChangeRequests!H2:H999,A9)</f>
        <v>0</v>
      </c>
      <c r="L9" s="2" t="s">
        <v>235</v>
      </c>
      <c r="M9" s="6">
        <f>_xlfn.IFNA(INDEX(RoleAssignments!E2:E999, MATCH(L9,RoleAssignments!A2:A999, 0)), "")</f>
        <v>46113.208333333336</v>
      </c>
      <c r="N9" s="3" t="b">
        <f>NOT(F9 = "Human")</f>
        <v>1</v>
      </c>
      <c r="O9" s="3" t="b">
        <f>AND(N9, J9)</f>
        <v>0</v>
      </c>
      <c r="P9" s="3">
        <f>COUNTIFS(RoleAssignments!AF2:AF999, A9)</f>
        <v>1</v>
      </c>
      <c r="Q9" s="3" t="b">
        <f>P9 &gt; 0</f>
        <v>1</v>
      </c>
      <c r="R9" s="3" t="b">
        <f>AND(Q9, J9)</f>
        <v>0</v>
      </c>
      <c r="S9" s="3">
        <f>COUNTIFS(AuthorityBoundaries!AF2:AF999, A9)</f>
        <v>0</v>
      </c>
      <c r="T9" s="3" t="b">
        <f>(S9 &gt; 0)</f>
        <v>0</v>
      </c>
      <c r="U9" s="3">
        <f>COUNTIFS(SendIntents!BY2:BY999, A9)</f>
        <v>0</v>
      </c>
      <c r="V9" s="3">
        <f>COUNTIFS(RoleAssignments!BL2:BL999, A9)</f>
        <v>0</v>
      </c>
      <c r="W9" s="3" t="b">
        <f>(V9 &gt; 0)</f>
        <v>0</v>
      </c>
      <c r="X9" s="2" t="s">
        <v>207</v>
      </c>
    </row>
    <row r="10">
      <c r="A10" s="2" t="s">
        <v>236</v>
      </c>
      <c r="B10" s="3" t="str">
        <f>C10</f>
        <v>Policy Drafting Agent</v>
      </c>
      <c r="C10" s="2" t="s">
        <v>237</v>
      </c>
      <c r="D10" s="2" t="s">
        <v>113</v>
      </c>
      <c r="E10" s="2" t="s">
        <v>175</v>
      </c>
      <c r="F10" s="3" t="str">
        <f>_xlfn.IFNA(INDEX(Agents!D2:D999, MATCH(E10,Agents!A2:A999, 0)), "")</f>
        <v>AIAgent</v>
      </c>
      <c r="G10" s="2" t="s">
        <v>238</v>
      </c>
      <c r="H10" s="3">
        <f>COUNTIFS(RoleAssignments!C2:C999, A10)</f>
        <v>1</v>
      </c>
      <c r="I10" s="3">
        <f>COUNTIFS(RoleAssignments!Q2:Q999, A10)</f>
        <v>1</v>
      </c>
      <c r="J10" s="3" t="b">
        <f>I10 = 0</f>
        <v>0</v>
      </c>
      <c r="K10" s="5">
        <f>COUNTIFS(ChangeRequests!H2:H999,A10)</f>
        <v>0</v>
      </c>
      <c r="L10" s="2" t="s">
        <v>239</v>
      </c>
      <c r="M10" s="6">
        <f>_xlfn.IFNA(INDEX(RoleAssignments!E2:E999, MATCH(L10,RoleAssignments!A2:A999, 0)), "")</f>
        <v>46143.208333333336</v>
      </c>
      <c r="N10" s="3" t="b">
        <f>NOT(F10 = "Human")</f>
        <v>1</v>
      </c>
      <c r="O10" s="3" t="b">
        <f>AND(N10, J10)</f>
        <v>0</v>
      </c>
      <c r="P10" s="3">
        <f>COUNTIFS(RoleAssignments!AF2:AF999, A10)</f>
        <v>0</v>
      </c>
      <c r="Q10" s="3" t="b">
        <f>P10 &gt; 0</f>
        <v>0</v>
      </c>
      <c r="R10" s="3" t="b">
        <f>AND(Q10, J10)</f>
        <v>0</v>
      </c>
      <c r="S10" s="3">
        <f>COUNTIFS(AuthorityBoundaries!AF2:AF999, A10)</f>
        <v>0</v>
      </c>
      <c r="T10" s="3" t="b">
        <f>(S10 &gt; 0)</f>
        <v>0</v>
      </c>
      <c r="U10" s="3">
        <f>COUNTIFS(SendIntents!BY2:BY999, A10)</f>
        <v>0</v>
      </c>
      <c r="V10" s="3">
        <f>COUNTIFS(RoleAssignments!BL2:BL999, A10)</f>
        <v>1</v>
      </c>
      <c r="W10" s="3" t="b">
        <f>(V10 &gt; 0)</f>
        <v>1</v>
      </c>
      <c r="X10" s="2" t="s">
        <v>207</v>
      </c>
    </row>
    <row r="11">
      <c r="A11" s="2" t="s">
        <v>240</v>
      </c>
      <c r="B11" s="3" t="str">
        <f>C11</f>
        <v>Notification Publisher</v>
      </c>
      <c r="C11" s="2" t="s">
        <v>241</v>
      </c>
      <c r="D11" s="2" t="s">
        <v>113</v>
      </c>
      <c r="E11" s="2" t="s">
        <v>178</v>
      </c>
      <c r="F11" s="3" t="str">
        <f>_xlfn.IFNA(INDEX(Agents!D2:D999, MATCH(E11,Agents!A2:A999, 0)), "")</f>
        <v>AutomatedPipeline</v>
      </c>
      <c r="G11" s="2" t="s">
        <v>242</v>
      </c>
      <c r="H11" s="3">
        <f>COUNTIFS(RoleAssignments!C2:C999, A11)</f>
        <v>1</v>
      </c>
      <c r="I11" s="3">
        <f>COUNTIFS(RoleAssignments!Q2:Q999, A11)</f>
        <v>1</v>
      </c>
      <c r="J11" s="3" t="b">
        <f>I11 = 0</f>
        <v>0</v>
      </c>
      <c r="K11" s="5">
        <f>COUNTIFS(ChangeRequests!H2:H999,A11)</f>
        <v>0</v>
      </c>
      <c r="L11" s="2" t="s">
        <v>243</v>
      </c>
      <c r="M11" s="6">
        <f>_xlfn.IFNA(INDEX(RoleAssignments!E2:E999, MATCH(L11,RoleAssignments!A2:A999, 0)), "")</f>
        <v>46082.25</v>
      </c>
      <c r="N11" s="3" t="b">
        <f>NOT(F11 = "Human")</f>
        <v>1</v>
      </c>
      <c r="O11" s="3" t="b">
        <f>AND(N11, J11)</f>
        <v>0</v>
      </c>
      <c r="P11" s="3">
        <f>COUNTIFS(RoleAssignments!AF2:AF999, A11)</f>
        <v>0</v>
      </c>
      <c r="Q11" s="3" t="b">
        <f>P11 &gt; 0</f>
        <v>0</v>
      </c>
      <c r="R11" s="3" t="b">
        <f>AND(Q11, J11)</f>
        <v>0</v>
      </c>
      <c r="S11" s="3">
        <f>COUNTIFS(AuthorityBoundaries!AF2:AF999, A11)</f>
        <v>0</v>
      </c>
      <c r="T11" s="3" t="b">
        <f>(S11 &gt; 0)</f>
        <v>0</v>
      </c>
      <c r="U11" s="3">
        <f>COUNTIFS(SendIntents!BY2:BY999, A11)</f>
        <v>0</v>
      </c>
      <c r="V11" s="3">
        <f>COUNTIFS(RoleAssignments!BL2:BL999, A11)</f>
        <v>1</v>
      </c>
      <c r="W11" s="3" t="b">
        <f>(V11 &gt; 0)</f>
        <v>1</v>
      </c>
      <c r="X11" s="2" t="s">
        <v>207</v>
      </c>
    </row>
    <row r="12">
      <c r="A12" s="2" t="s">
        <v>244</v>
      </c>
      <c r="B12" s="3" t="str">
        <f>C12</f>
        <v>Procedural Knowledge Steward</v>
      </c>
      <c r="C12" s="2" t="s">
        <v>245</v>
      </c>
      <c r="D12" s="2" t="s">
        <v>113</v>
      </c>
      <c r="E12" s="2" t="s">
        <v>153</v>
      </c>
      <c r="F12" s="3" t="str">
        <f>_xlfn.IFNA(INDEX(Agents!D2:D999, MATCH(E12,Agents!A2:A999, 0)), "")</f>
        <v>Human</v>
      </c>
      <c r="G12" s="2" t="s">
        <v>246</v>
      </c>
      <c r="H12" s="3">
        <f>COUNTIFS(RoleAssignments!C2:C999, A12)</f>
        <v>1</v>
      </c>
      <c r="I12" s="3">
        <f>COUNTIFS(RoleAssignments!Q2:Q999, A12)</f>
        <v>1</v>
      </c>
      <c r="J12" s="3" t="b">
        <f>I12 = 0</f>
        <v>0</v>
      </c>
      <c r="K12" s="5">
        <f>COUNTIFS(ChangeRequests!H2:H999,A12)</f>
        <v>0</v>
      </c>
      <c r="L12" s="2" t="s">
        <v>247</v>
      </c>
      <c r="M12" s="6">
        <f>_xlfn.IFNA(INDEX(RoleAssignments!E2:E999, MATCH(L12,RoleAssignments!A2:A999, 0)), "")</f>
        <v>46127.583333333336</v>
      </c>
      <c r="N12" s="3" t="b">
        <f>NOT(F12 = "Human")</f>
        <v>0</v>
      </c>
      <c r="O12" s="3" t="b">
        <f>AND(N12, J12)</f>
        <v>0</v>
      </c>
      <c r="P12" s="3">
        <f>COUNTIFS(RoleAssignments!AF2:AF999, A12)</f>
        <v>0</v>
      </c>
      <c r="Q12" s="3" t="b">
        <f>P12 &gt; 0</f>
        <v>0</v>
      </c>
      <c r="R12" s="3" t="b">
        <f>AND(Q12, J12)</f>
        <v>0</v>
      </c>
      <c r="S12" s="3">
        <f>COUNTIFS(AuthorityBoundaries!AF2:AF999, A12)</f>
        <v>0</v>
      </c>
      <c r="T12" s="3" t="b">
        <f>(S12 &gt; 0)</f>
        <v>0</v>
      </c>
      <c r="U12" s="3">
        <f>COUNTIFS(SendIntents!BY2:BY999, A12)</f>
        <v>0</v>
      </c>
      <c r="V12" s="3">
        <f>COUNTIFS(RoleAssignments!BL2:BL999, A12)</f>
        <v>0</v>
      </c>
      <c r="W12" s="3" t="b">
        <f>(V12 &gt; 0)</f>
        <v>0</v>
      </c>
      <c r="X12" s="2" t="s">
        <v>207</v>
      </c>
    </row>
    <row r="13">
      <c r="A13" s="2" t="s">
        <v>248</v>
      </c>
      <c r="B13" s="3" t="str">
        <f>C13</f>
        <v>Procedural Knowledge Authority</v>
      </c>
      <c r="C13" s="2" t="s">
        <v>249</v>
      </c>
      <c r="D13" s="2" t="s">
        <v>108</v>
      </c>
      <c r="E13" s="2" t="s">
        <v>149</v>
      </c>
      <c r="F13" s="3" t="str">
        <f>_xlfn.IFNA(INDEX(Agents!D2:D999, MATCH(E13,Agents!A2:A999, 0)), "")</f>
        <v>Human</v>
      </c>
      <c r="G13" s="2" t="s">
        <v>250</v>
      </c>
      <c r="H13" s="3">
        <f>COUNTIFS(RoleAssignments!C2:C999, A13)</f>
        <v>1</v>
      </c>
      <c r="I13" s="3">
        <f>COUNTIFS(RoleAssignments!Q2:Q999, A13)</f>
        <v>1</v>
      </c>
      <c r="J13" s="3" t="b">
        <f>I13 = 0</f>
        <v>0</v>
      </c>
      <c r="K13" s="5">
        <f>COUNTIFS(ChangeRequests!H2:H999,A13)</f>
        <v>1</v>
      </c>
      <c r="L13" s="2" t="s">
        <v>251</v>
      </c>
      <c r="M13" s="6">
        <f>_xlfn.IFNA(INDEX(RoleAssignments!E2:E999, MATCH(L13,RoleAssignments!A2:A999, 0)), "")</f>
        <v>46023.25</v>
      </c>
      <c r="N13" s="3" t="b">
        <f>NOT(F13 = "Human")</f>
        <v>0</v>
      </c>
      <c r="O13" s="3" t="b">
        <f>AND(N13, J13)</f>
        <v>0</v>
      </c>
      <c r="P13" s="3">
        <f>COUNTIFS(RoleAssignments!AF2:AF999, A13)</f>
        <v>0</v>
      </c>
      <c r="Q13" s="3" t="b">
        <f>P13 &gt; 0</f>
        <v>0</v>
      </c>
      <c r="R13" s="3" t="b">
        <f>AND(Q13, J13)</f>
        <v>0</v>
      </c>
      <c r="S13" s="3">
        <f>COUNTIFS(AuthorityBoundaries!AF2:AF999, A13)</f>
        <v>0</v>
      </c>
      <c r="T13" s="3" t="b">
        <f>(S13 &gt; 0)</f>
        <v>0</v>
      </c>
      <c r="U13" s="3">
        <f>COUNTIFS(SendIntents!BY2:BY999, A13)</f>
        <v>0</v>
      </c>
      <c r="V13" s="3">
        <f>COUNTIFS(RoleAssignments!BL2:BL999, A13)</f>
        <v>0</v>
      </c>
      <c r="W13" s="3" t="b">
        <f>(V13 &gt; 0)</f>
        <v>0</v>
      </c>
      <c r="X13" s="2" t="s">
        <v>207</v>
      </c>
    </row>
  </sheetData>
  <autoFilter ref="A1:X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M14"/>
  <sheetViews>
    <sheetView workbookViewId="0">
      <pane ySplit="1" topLeftCell="A2" state="frozen" activePane="bottomLeft"/>
      <selection pane="bottomLeft" activeCell="A1" sqref="A1"/>
    </sheetView>
  </sheetViews>
  <sheetFormatPr defaultRowHeight="15"/>
  <cols>
    <col min="1" max="1" width="23.055267333984375" customWidth="1"/>
    <col min="2" max="2" width="54.14434814453125" customWidth="1"/>
    <col min="3" max="3" width="25.59624671936035" customWidth="1"/>
    <col min="4" max="4" width="19.900266647338867" customWidth="1"/>
    <col min="5" max="5" width="23.46630859375" customWidth="1"/>
    <col min="6" max="6" width="22.287551879882812" customWidth="1"/>
    <col min="7" max="7" width="62.91910171508789" customWidth="1"/>
    <col min="8" max="8" width="17.443378448486328" customWidth="1"/>
    <col min="9" max="9" width="18.547500610351562" customWidth="1"/>
    <col min="10" max="10" width="23.35041618347168" customWidth="1"/>
    <col min="11" max="11" width="17.443378448486328" customWidth="1"/>
    <col min="12" max="12" width="19.900266647338867" customWidth="1"/>
    <col min="13" max="13" width="17.443378448486328" customWidth="1"/>
    <col min="14" max="14" width="39.773616790771484" customWidth="1"/>
    <col min="15" max="15" width="17.443378448486328" customWidth="1"/>
    <col min="16" max="16" width="17.443378448486328" customWidth="1"/>
    <col min="17" max="17" width="25.59624671936035" customWidth="1"/>
    <col min="18" max="18" width="18.9503231048584" customWidth="1"/>
    <col min="19" max="19" width="24.657712936401367" customWidth="1"/>
    <col min="20" max="20" width="23.171161651611328" customWidth="1"/>
    <col min="21" max="21" width="22.545223236083984" customWidth="1"/>
    <col min="22" max="22" width="31.872604370117188" customWidth="1"/>
    <col min="23" max="23" width="23.88873291015625" customWidth="1"/>
    <col min="24" max="24" width="26.662763595581055" customWidth="1"/>
    <col min="25" max="25" width="36.92859649658203" customWidth="1"/>
    <col min="26" max="26" width="32.02808380126953" customWidth="1"/>
    <col min="27" max="27" width="17.443378448486328" customWidth="1"/>
    <col min="28" max="28" width="25.283065795898438" customWidth="1"/>
    <col min="29" max="29" width="20.971384048461914" customWidth="1"/>
    <col min="30" max="30" width="31.851945877075195" customWidth="1"/>
    <col min="31" max="31" width="30.863210678100586" customWidth="1"/>
    <col min="32" max="32" width="22.35959815979004" customWidth="1"/>
    <col min="33" max="33" width="32.478397369384766" customWidth="1"/>
    <col min="34" max="34" width="26.17863655090332" customWidth="1"/>
    <col min="35" max="35" width="20.58944320678711" customWidth="1"/>
    <col min="36" max="36" width="31.451631546020508" customWidth="1"/>
    <col min="37" max="37" width="30.463977813720703" customWidth="1"/>
    <col min="38" max="38" width="27.701581954956055" customWidth="1"/>
    <col min="39" max="39" width="28.10294532775879" customWidth="1"/>
    <col min="40" max="40" width="34.676570892333984" customWidth="1"/>
    <col min="41" max="41" width="21.790910720825195" customWidth="1"/>
    <col min="42" max="42" width="17.84084129333496" customWidth="1"/>
    <col min="43" max="43" width="23.390396118164062" customWidth="1"/>
    <col min="44" max="44" width="24.796438217163086" customWidth="1"/>
    <col min="45" max="45" width="32.660614013671875" customWidth="1"/>
    <col min="46" max="46" width="23.09230613708496" customWidth="1"/>
    <col min="47" max="47" width="29.66206932067871" customWidth="1"/>
    <col min="48" max="48" width="33.1143913269043" customWidth="1"/>
    <col min="49" max="49" width="32.93393325805664" customWidth="1"/>
    <col min="50" max="50" width="36.44257354736328" customWidth="1"/>
    <col min="51" max="51" width="29.660985946655273" customWidth="1"/>
    <col min="52" max="52" width="26.701648712158203" customWidth="1"/>
    <col min="53" max="53" width="37.75251007080078" customWidth="1"/>
    <col min="54" max="54" width="25.527151107788086" customWidth="1"/>
    <col min="55" max="55" width="35.35024642944336" customWidth="1"/>
    <col min="56" max="56" width="24.507986068725586" customWidth="1"/>
    <col min="57" max="57" width="41.127506256103516" customWidth="1"/>
    <col min="58" max="58" width="32.39413070678711" customWidth="1"/>
    <col min="59" max="59" width="23.343996047973633" customWidth="1"/>
    <col min="60" max="60" width="29.85264778137207" customWidth="1"/>
    <col min="61" max="61" width="19.462005615234375" customWidth="1"/>
    <col min="62" max="62" width="32.80073928833008" customWidth="1"/>
    <col min="63" max="63" width="26.493213653564453" customWidth="1"/>
    <col min="64" max="64" width="33.06682205200195" customWidth="1"/>
    <col min="65" max="65" width="34.424339294433594" customWidth="1"/>
  </cols>
  <sheetData>
    <row r="1">
      <c r="A1" s="1" t="s">
        <v>252</v>
      </c>
      <c r="B1" s="1" t="s">
        <v>1</v>
      </c>
      <c r="C1" s="1" t="s">
        <v>253</v>
      </c>
      <c r="D1" s="1" t="s">
        <v>254</v>
      </c>
      <c r="E1" s="1" t="s">
        <v>255</v>
      </c>
      <c r="F1" s="1" t="s">
        <v>256</v>
      </c>
      <c r="G1" s="1" t="s">
        <v>257</v>
      </c>
      <c r="H1" s="1" t="s">
        <v>8</v>
      </c>
      <c r="I1" s="1" t="s">
        <v>258</v>
      </c>
      <c r="J1" s="1" t="s">
        <v>92</v>
      </c>
      <c r="K1" s="1" t="s">
        <v>10</v>
      </c>
      <c r="L1" s="1" t="s">
        <v>259</v>
      </c>
      <c r="M1" s="1" t="s">
        <v>260</v>
      </c>
      <c r="N1" s="1" t="s">
        <v>261</v>
      </c>
      <c r="O1" s="1" t="s">
        <v>262</v>
      </c>
      <c r="P1" s="1" t="s">
        <v>263</v>
      </c>
      <c r="Q1" s="1" t="s">
        <v>264</v>
      </c>
      <c r="R1" s="1" t="s">
        <v>120</v>
      </c>
      <c r="S1" s="1" t="s">
        <v>265</v>
      </c>
      <c r="T1" s="1" t="s">
        <v>266</v>
      </c>
      <c r="U1" s="1" t="s">
        <v>267</v>
      </c>
      <c r="V1" s="1" t="s">
        <v>268</v>
      </c>
      <c r="W1" s="1" t="s">
        <v>269</v>
      </c>
      <c r="X1" s="1" t="s">
        <v>270</v>
      </c>
      <c r="Y1" s="1" t="s">
        <v>271</v>
      </c>
      <c r="Z1" s="1" t="s">
        <v>272</v>
      </c>
      <c r="AA1" s="1" t="s">
        <v>126</v>
      </c>
      <c r="AB1" s="1" t="s">
        <v>127</v>
      </c>
      <c r="AC1" s="1" t="s">
        <v>128</v>
      </c>
      <c r="AD1" s="1" t="s">
        <v>273</v>
      </c>
      <c r="AE1" s="1" t="s">
        <v>274</v>
      </c>
      <c r="AF1" s="1" t="s">
        <v>275</v>
      </c>
      <c r="AG1" s="1" t="s">
        <v>276</v>
      </c>
      <c r="AH1" s="1" t="s">
        <v>277</v>
      </c>
      <c r="AI1" s="1" t="s">
        <v>278</v>
      </c>
      <c r="AJ1" s="1" t="s">
        <v>279</v>
      </c>
      <c r="AK1" s="1" t="s">
        <v>280</v>
      </c>
      <c r="AL1" s="1" t="s">
        <v>281</v>
      </c>
      <c r="AM1" s="1" t="s">
        <v>282</v>
      </c>
      <c r="AN1" s="1" t="s">
        <v>283</v>
      </c>
      <c r="AO1" s="1" t="s">
        <v>284</v>
      </c>
      <c r="AP1" s="1" t="s">
        <v>285</v>
      </c>
      <c r="AQ1" s="1" t="s">
        <v>286</v>
      </c>
      <c r="AR1" s="1" t="s">
        <v>287</v>
      </c>
      <c r="AS1" s="1" t="s">
        <v>288</v>
      </c>
      <c r="AT1" s="1" t="s">
        <v>289</v>
      </c>
      <c r="AU1" s="1" t="s">
        <v>290</v>
      </c>
      <c r="AV1" s="1" t="s">
        <v>291</v>
      </c>
      <c r="AW1" s="1" t="s">
        <v>292</v>
      </c>
      <c r="AX1" s="1" t="s">
        <v>293</v>
      </c>
      <c r="AY1" s="1" t="s">
        <v>294</v>
      </c>
      <c r="AZ1" s="1" t="s">
        <v>295</v>
      </c>
      <c r="BA1" s="1" t="s">
        <v>296</v>
      </c>
      <c r="BB1" s="1" t="s">
        <v>297</v>
      </c>
      <c r="BC1" s="1" t="s">
        <v>298</v>
      </c>
      <c r="BD1" s="1" t="s">
        <v>299</v>
      </c>
      <c r="BE1" s="1" t="s">
        <v>300</v>
      </c>
      <c r="BF1" s="1" t="s">
        <v>301</v>
      </c>
      <c r="BG1" s="1" t="s">
        <v>302</v>
      </c>
      <c r="BH1" s="1" t="s">
        <v>303</v>
      </c>
      <c r="BI1" s="1" t="s">
        <v>304</v>
      </c>
      <c r="BJ1" s="1" t="s">
        <v>305</v>
      </c>
      <c r="BK1" s="1" t="s">
        <v>306</v>
      </c>
      <c r="BL1" s="1" t="s">
        <v>307</v>
      </c>
      <c r="BM1" s="1" t="s">
        <v>94</v>
      </c>
    </row>
    <row r="2">
      <c r="A2" s="2" t="s">
        <v>206</v>
      </c>
      <c r="B2" s="3" t="str">
        <f>C2 &amp; " @ " &amp; TEXT(E2, "yyyy-mm-dd hh:mm:ss")&amp;"+00"</f>
        <v>finance-analyst @ 2026-01-01 06:00:00+00</v>
      </c>
      <c r="C2" s="2" t="s">
        <v>203</v>
      </c>
      <c r="D2" s="2" t="s">
        <v>139</v>
      </c>
      <c r="E2" s="4">
        <v>46023.25</v>
      </c>
      <c r="F2" s="4"/>
      <c r="G2" s="2" t="s">
        <v>308</v>
      </c>
      <c r="H2" s="2" t="s">
        <v>309</v>
      </c>
      <c r="I2" s="2" t="s">
        <v>95</v>
      </c>
      <c r="J2" s="6">
        <f>_xlfn.IFNA(INDEX(EvaluationContexts!D2:D999, MATCH(I2,EvaluationContexts!A2:A999, 0)), "")</f>
        <v>46222.75</v>
      </c>
      <c r="K2" s="3" t="b">
        <f>AND(E2 &lt;= J2, OR(F2 = "", F2 &gt; J2))</f>
        <v>1</v>
      </c>
      <c r="L2" s="3" t="str">
        <f>IF(K2, D2, "")</f>
        <v>maria-chen</v>
      </c>
      <c r="M2" s="3" t="b">
        <f>AND(H2 = "Active", OR(F2 = "", F2 &gt; J2))</f>
        <v>1</v>
      </c>
      <c r="N2" s="3" t="str">
        <f>IF(M2, D2 &amp; "|" &amp; C2, "")</f>
        <v>maria-chen|finance-analyst</v>
      </c>
      <c r="O2" s="3" t="b">
        <f>AND(F2 &lt;&gt; "", F2 &lt;= J2)</f>
        <v>0</v>
      </c>
      <c r="P2" s="3" t="b">
        <f>AND(H2 = "Active", E2 &lt;= J2, OR(F2 = "", F2 &gt; J2))</f>
        <v>1</v>
      </c>
      <c r="Q2" s="3" t="str">
        <f>IF(P2, C2, "")</f>
        <v>finance-analyst</v>
      </c>
      <c r="R2" s="3" t="str">
        <f>_xlfn.IFNA(INDEX(Agents!D2:D999, MATCH(D2,Agents!A2:A999, 0)), "")</f>
        <v>Human</v>
      </c>
      <c r="S2" s="3" t="b">
        <f>NOT(R2 = "Human")</f>
        <v>0</v>
      </c>
      <c r="T2" s="2"/>
      <c r="U2" s="3" t="str">
        <f>_xlfn.IFNA(INDEX(R2, MATCH(T2,A2, 0)), "")</f>
      </c>
      <c r="V2" s="3" t="b">
        <f>AND(U2 = "Human", S2)</f>
        <v>0</v>
      </c>
      <c r="W2" s="2"/>
      <c r="X2" s="2"/>
      <c r="Y2" s="3" t="b">
        <f>AND(S2, NOT(BG2))</f>
        <v>0</v>
      </c>
      <c r="Z2" s="3" t="b">
        <f>AND(BG2, X2 &lt;&gt; "")</f>
        <v>0</v>
      </c>
      <c r="AA2" s="3">
        <f>COUNTIFS(AgentDecisionRecords!Q2:Q999, A2)</f>
        <v>0</v>
      </c>
      <c r="AB2" s="3">
        <f>COUNTIFS(AgentDecisionRecords!R2:R999, A2)</f>
        <v>0</v>
      </c>
      <c r="AC2" s="3">
        <f>IF(AA2 = 0, 0, (AB2 * 100) / AA2)</f>
        <v>0</v>
      </c>
      <c r="AD2" s="3" t="str">
        <f>_xlfn.IFNA(INDEX(AC2, MATCH(T2,A2, 0)), "")</f>
      </c>
      <c r="AE2" s="3" t="b">
        <f>AND(T2 &lt;&gt; "", AC2 &gt; AD2)</f>
        <v>0</v>
      </c>
      <c r="AF2" s="3" t="str">
        <f>IF(O2, C2, "")</f>
      </c>
      <c r="AG2" s="7"/>
      <c r="AH2" s="3" t="str">
        <f>_xlfn.IFNA(INDEX(AA2, MATCH(T2,A2, 0)), "")</f>
      </c>
      <c r="AI2" s="3" t="b">
        <f>AA2 &gt;= AG2</f>
        <v>1</v>
      </c>
      <c r="AJ2" s="3" t="b">
        <f>AH2 &gt;= AG2</f>
        <v>1</v>
      </c>
      <c r="AK2" s="3" t="b">
        <f>AND(AI2, AJ2)</f>
        <v>1</v>
      </c>
      <c r="AL2" s="3">
        <f>IF(AA2 &gt; 0, 100 / AA2, 0)</f>
        <v>0</v>
      </c>
      <c r="AM2" s="3" t="b">
        <f>AND(NOT(AK2), NOT(AE2))</f>
        <v>0</v>
      </c>
      <c r="AN2" s="3" t="b">
        <f>AND(V2, NOT(AK2))</f>
        <v>0</v>
      </c>
      <c r="AO2" s="3">
        <f>COUNTIFS(AgentDecisionRecords!AL2:AL999, A2)</f>
        <v>0</v>
      </c>
      <c r="AP2" s="3">
        <f>IF(AA2 &gt; 0, AO2 * 100 / AA2, 0)</f>
        <v>0</v>
      </c>
      <c r="AQ2" s="4"/>
      <c r="AR2" s="4"/>
      <c r="AS2" s="7"/>
      <c r="AT2" s="3" t="b">
        <f>AND(W2 &lt;&gt; "", AQ2 &lt;&gt; "")</f>
        <v>0</v>
      </c>
      <c r="AU2" s="5">
        <f>IF(AR2 &lt;&gt; "", (INT(J2) - INT(AR2)), (INT(J2) - INT(E2)))</f>
        <v>199</v>
      </c>
      <c r="AV2" s="3" t="b">
        <f>AND(AS2 &gt; 0, AU2 &gt; AS2)</f>
        <v>0</v>
      </c>
      <c r="AW2" s="3" t="b">
        <f>AND(P2, AND(S2, AV2))</f>
        <v>0</v>
      </c>
      <c r="AX2" s="3" t="b">
        <f>AND(V2, AS2 = 0)</f>
        <v>0</v>
      </c>
      <c r="AY2" s="7"/>
      <c r="AZ2" s="3" t="b">
        <f>AND(AY2 &gt; 0, AP2 &gt;= AY2)</f>
        <v>0</v>
      </c>
      <c r="BA2" s="3">
        <f>COUNTIFS(AgentDecisionRecords!AM2:AM999, A2)</f>
        <v>0</v>
      </c>
      <c r="BB2" s="3" t="b">
        <f>(BA2 &gt; 0)</f>
        <v>0</v>
      </c>
      <c r="BC2" s="3" t="b">
        <f>_xlfn.IFNA(INDEX(Roles!T2:T999, MATCH(C2,Roles!A2:A999, 0)), "")</f>
        <v>0</v>
      </c>
      <c r="BD2" s="3" t="b">
        <f>OR(AZ2, OR(BB2, BC2))</f>
        <v>0</v>
      </c>
      <c r="BE2" s="3" t="b">
        <f>AND(BD2, AND(P2, S2))</f>
        <v>0</v>
      </c>
      <c r="BF2" s="3" t="b">
        <f>AY2 &gt; 0</f>
        <v>0</v>
      </c>
      <c r="BG2" s="3" t="b">
        <f>W2 &lt;&gt; ""</f>
        <v>0</v>
      </c>
      <c r="BH2" s="3" t="b">
        <f>X2 &lt;&gt; ""</f>
        <v>0</v>
      </c>
      <c r="BI2" s="2"/>
      <c r="BJ2" s="3" t="b">
        <f>AND(BI2, Y2)</f>
        <v>0</v>
      </c>
      <c r="BK2" s="5">
        <f>IF(BG2, 1, 0) + IF(BH2, 1, 0)</f>
        <v>0</v>
      </c>
      <c r="BL2" s="3" t="str">
        <f>IF(Y2, C2, "")</f>
      </c>
      <c r="BM2" s="2" t="s">
        <v>310</v>
      </c>
    </row>
    <row r="3">
      <c r="A3" s="2" t="s">
        <v>211</v>
      </c>
      <c r="B3" s="3" t="str">
        <f>C3 &amp; " @ " &amp; TEXT(E3, "yyyy-mm-dd hh:mm:ss")&amp;"+00"</f>
        <v>controller @ 2026-01-01 06:00:00+00</v>
      </c>
      <c r="C3" s="2" t="s">
        <v>208</v>
      </c>
      <c r="D3" s="2" t="s">
        <v>145</v>
      </c>
      <c r="E3" s="4">
        <v>46023.25</v>
      </c>
      <c r="F3" s="4"/>
      <c r="G3" s="2" t="s">
        <v>311</v>
      </c>
      <c r="H3" s="2" t="s">
        <v>309</v>
      </c>
      <c r="I3" s="2" t="s">
        <v>95</v>
      </c>
      <c r="J3" s="6">
        <f>_xlfn.IFNA(INDEX(EvaluationContexts!D2:D999, MATCH(I3,EvaluationContexts!A2:A999, 0)), "")</f>
        <v>46222.75</v>
      </c>
      <c r="K3" s="3" t="b">
        <f>AND(E3 &lt;= J3, OR(F3 = "", F3 &gt; J3))</f>
        <v>1</v>
      </c>
      <c r="L3" s="3" t="str">
        <f>IF(K3, D3, "")</f>
        <v>devon-okafor</v>
      </c>
      <c r="M3" s="3" t="b">
        <f>AND(H3 = "Active", OR(F3 = "", F3 &gt; J3))</f>
        <v>1</v>
      </c>
      <c r="N3" s="3" t="str">
        <f>IF(M3, D3 &amp; "|" &amp; C3, "")</f>
        <v>devon-okafor|controller</v>
      </c>
      <c r="O3" s="3" t="b">
        <f>AND(F3 &lt;&gt; "", F3 &lt;= J3)</f>
        <v>0</v>
      </c>
      <c r="P3" s="3" t="b">
        <f>AND(H3 = "Active", E3 &lt;= J3, OR(F3 = "", F3 &gt; J3))</f>
        <v>1</v>
      </c>
      <c r="Q3" s="3" t="str">
        <f>IF(P3, C3, "")</f>
        <v>controller</v>
      </c>
      <c r="R3" s="3" t="str">
        <f>_xlfn.IFNA(INDEX(Agents!D2:D999, MATCH(D3,Agents!A2:A999, 0)), "")</f>
        <v>Human</v>
      </c>
      <c r="S3" s="3" t="b">
        <f>NOT(R3 = "Human")</f>
        <v>0</v>
      </c>
      <c r="T3" s="2"/>
      <c r="U3" s="3" t="str">
        <f>_xlfn.IFNA(INDEX(R3, MATCH(T3,A3, 0)), "")</f>
      </c>
      <c r="V3" s="3" t="b">
        <f>AND(U3 = "Human", S3)</f>
        <v>0</v>
      </c>
      <c r="W3" s="2"/>
      <c r="X3" s="2"/>
      <c r="Y3" s="3" t="b">
        <f>AND(S3, NOT(BG3))</f>
        <v>0</v>
      </c>
      <c r="Z3" s="3" t="b">
        <f>AND(BG3, X3 &lt;&gt; "")</f>
        <v>0</v>
      </c>
      <c r="AA3" s="3">
        <f>COUNTIFS(AgentDecisionRecords!Q2:Q999, A3)</f>
        <v>0</v>
      </c>
      <c r="AB3" s="3">
        <f>COUNTIFS(AgentDecisionRecords!R2:R999, A3)</f>
        <v>0</v>
      </c>
      <c r="AC3" s="3">
        <f>IF(AA3 = 0, 0, (AB3 * 100) / AA3)</f>
        <v>0</v>
      </c>
      <c r="AD3" s="3" t="str">
        <f>_xlfn.IFNA(INDEX(AC3, MATCH(T3,A3, 0)), "")</f>
      </c>
      <c r="AE3" s="3" t="b">
        <f>AND(T3 &lt;&gt; "", AC3 &gt; AD3)</f>
        <v>0</v>
      </c>
      <c r="AF3" s="3" t="str">
        <f>IF(O3, C3, "")</f>
      </c>
      <c r="AG3" s="7"/>
      <c r="AH3" s="3" t="str">
        <f>_xlfn.IFNA(INDEX(AA3, MATCH(T3,A3, 0)), "")</f>
      </c>
      <c r="AI3" s="3" t="b">
        <f>AA3 &gt;= AG3</f>
        <v>1</v>
      </c>
      <c r="AJ3" s="3" t="b">
        <f>AH3 &gt;= AG3</f>
        <v>1</v>
      </c>
      <c r="AK3" s="3" t="b">
        <f>AND(AI3, AJ3)</f>
        <v>1</v>
      </c>
      <c r="AL3" s="3">
        <f>IF(AA3 &gt; 0, 100 / AA3, 0)</f>
        <v>0</v>
      </c>
      <c r="AM3" s="3" t="b">
        <f>AND(NOT(AK3), NOT(AE3))</f>
        <v>0</v>
      </c>
      <c r="AN3" s="3" t="b">
        <f>AND(V3, NOT(AK3))</f>
        <v>0</v>
      </c>
      <c r="AO3" s="3">
        <f>COUNTIFS(AgentDecisionRecords!AL2:AL999, A3)</f>
        <v>0</v>
      </c>
      <c r="AP3" s="3">
        <f>IF(AA3 &gt; 0, AO3 * 100 / AA3, 0)</f>
        <v>0</v>
      </c>
      <c r="AQ3" s="4"/>
      <c r="AR3" s="4"/>
      <c r="AS3" s="7"/>
      <c r="AT3" s="3" t="b">
        <f>AND(W3 &lt;&gt; "", AQ3 &lt;&gt; "")</f>
        <v>0</v>
      </c>
      <c r="AU3" s="5">
        <f>IF(AR3 &lt;&gt; "", (INT(J3) - INT(AR3)), (INT(J3) - INT(E3)))</f>
        <v>199</v>
      </c>
      <c r="AV3" s="3" t="b">
        <f>AND(AS3 &gt; 0, AU3 &gt; AS3)</f>
        <v>0</v>
      </c>
      <c r="AW3" s="3" t="b">
        <f>AND(P3, AND(S3, AV3))</f>
        <v>0</v>
      </c>
      <c r="AX3" s="3" t="b">
        <f>AND(V3, AS3 = 0)</f>
        <v>0</v>
      </c>
      <c r="AY3" s="7"/>
      <c r="AZ3" s="3" t="b">
        <f>AND(AY3 &gt; 0, AP3 &gt;= AY3)</f>
        <v>0</v>
      </c>
      <c r="BA3" s="3">
        <f>COUNTIFS(AgentDecisionRecords!AM2:AM999, A3)</f>
        <v>0</v>
      </c>
      <c r="BB3" s="3" t="b">
        <f>(BA3 &gt; 0)</f>
        <v>0</v>
      </c>
      <c r="BC3" s="3" t="b">
        <f>_xlfn.IFNA(INDEX(Roles!T2:T999, MATCH(C3,Roles!A2:A999, 0)), "")</f>
        <v>0</v>
      </c>
      <c r="BD3" s="3" t="b">
        <f>OR(AZ3, OR(BB3, BC3))</f>
        <v>0</v>
      </c>
      <c r="BE3" s="3" t="b">
        <f>AND(BD3, AND(P3, S3))</f>
        <v>0</v>
      </c>
      <c r="BF3" s="3" t="b">
        <f>AY3 &gt; 0</f>
        <v>0</v>
      </c>
      <c r="BG3" s="3" t="b">
        <f>W3 &lt;&gt; ""</f>
        <v>0</v>
      </c>
      <c r="BH3" s="3" t="b">
        <f>X3 &lt;&gt; ""</f>
        <v>0</v>
      </c>
      <c r="BI3" s="2"/>
      <c r="BJ3" s="3" t="b">
        <f>AND(BI3, Y3)</f>
        <v>0</v>
      </c>
      <c r="BK3" s="5">
        <f>IF(BG3, 1, 0) + IF(BH3, 1, 0)</f>
        <v>0</v>
      </c>
      <c r="BL3" s="3" t="str">
        <f>IF(Y3, C3, "")</f>
      </c>
      <c r="BM3" s="2" t="s">
        <v>310</v>
      </c>
    </row>
    <row r="4">
      <c r="A4" s="2" t="s">
        <v>215</v>
      </c>
      <c r="B4" s="3" t="str">
        <f>C4 &amp; " @ " &amp; TEXT(E4, "yyyy-mm-dd hh:mm:ss")&amp;"+00"</f>
        <v>cfo @ 2026-01-01 06:00:00+00</v>
      </c>
      <c r="C4" s="2" t="s">
        <v>212</v>
      </c>
      <c r="D4" s="2" t="s">
        <v>149</v>
      </c>
      <c r="E4" s="4">
        <v>46023.25</v>
      </c>
      <c r="F4" s="4"/>
      <c r="G4" s="2" t="s">
        <v>312</v>
      </c>
      <c r="H4" s="2" t="s">
        <v>309</v>
      </c>
      <c r="I4" s="2" t="s">
        <v>95</v>
      </c>
      <c r="J4" s="6">
        <f>_xlfn.IFNA(INDEX(EvaluationContexts!D2:D999, MATCH(I4,EvaluationContexts!A2:A999, 0)), "")</f>
        <v>46222.75</v>
      </c>
      <c r="K4" s="3" t="b">
        <f>AND(E4 &lt;= J4, OR(F4 = "", F4 &gt; J4))</f>
        <v>1</v>
      </c>
      <c r="L4" s="3" t="str">
        <f>IF(K4, D4, "")</f>
        <v>priya-raman</v>
      </c>
      <c r="M4" s="3" t="b">
        <f>AND(H4 = "Active", OR(F4 = "", F4 &gt; J4))</f>
        <v>1</v>
      </c>
      <c r="N4" s="3" t="str">
        <f>IF(M4, D4 &amp; "|" &amp; C4, "")</f>
        <v>priya-raman|cfo</v>
      </c>
      <c r="O4" s="3" t="b">
        <f>AND(F4 &lt;&gt; "", F4 &lt;= J4)</f>
        <v>0</v>
      </c>
      <c r="P4" s="3" t="b">
        <f>AND(H4 = "Active", E4 &lt;= J4, OR(F4 = "", F4 &gt; J4))</f>
        <v>1</v>
      </c>
      <c r="Q4" s="3" t="str">
        <f>IF(P4, C4, "")</f>
        <v>cfo</v>
      </c>
      <c r="R4" s="3" t="str">
        <f>_xlfn.IFNA(INDEX(Agents!D2:D999, MATCH(D4,Agents!A2:A999, 0)), "")</f>
        <v>Human</v>
      </c>
      <c r="S4" s="3" t="b">
        <f>NOT(R4 = "Human")</f>
        <v>0</v>
      </c>
      <c r="T4" s="2"/>
      <c r="U4" s="3" t="str">
        <f>_xlfn.IFNA(INDEX(R4, MATCH(T4,A4, 0)), "")</f>
      </c>
      <c r="V4" s="3" t="b">
        <f>AND(U4 = "Human", S4)</f>
        <v>0</v>
      </c>
      <c r="W4" s="2"/>
      <c r="X4" s="2"/>
      <c r="Y4" s="3" t="b">
        <f>AND(S4, NOT(BG4))</f>
        <v>0</v>
      </c>
      <c r="Z4" s="3" t="b">
        <f>AND(BG4, X4 &lt;&gt; "")</f>
        <v>0</v>
      </c>
      <c r="AA4" s="3">
        <f>COUNTIFS(AgentDecisionRecords!Q2:Q999, A4)</f>
        <v>0</v>
      </c>
      <c r="AB4" s="3">
        <f>COUNTIFS(AgentDecisionRecords!R2:R999, A4)</f>
        <v>0</v>
      </c>
      <c r="AC4" s="3">
        <f>IF(AA4 = 0, 0, (AB4 * 100) / AA4)</f>
        <v>0</v>
      </c>
      <c r="AD4" s="3" t="str">
        <f>_xlfn.IFNA(INDEX(AC4, MATCH(T4,A4, 0)), "")</f>
      </c>
      <c r="AE4" s="3" t="b">
        <f>AND(T4 &lt;&gt; "", AC4 &gt; AD4)</f>
        <v>0</v>
      </c>
      <c r="AF4" s="3" t="str">
        <f>IF(O4, C4, "")</f>
      </c>
      <c r="AG4" s="7"/>
      <c r="AH4" s="3" t="str">
        <f>_xlfn.IFNA(INDEX(AA4, MATCH(T4,A4, 0)), "")</f>
      </c>
      <c r="AI4" s="3" t="b">
        <f>AA4 &gt;= AG4</f>
        <v>1</v>
      </c>
      <c r="AJ4" s="3" t="b">
        <f>AH4 &gt;= AG4</f>
        <v>1</v>
      </c>
      <c r="AK4" s="3" t="b">
        <f>AND(AI4, AJ4)</f>
        <v>1</v>
      </c>
      <c r="AL4" s="3">
        <f>IF(AA4 &gt; 0, 100 / AA4, 0)</f>
        <v>0</v>
      </c>
      <c r="AM4" s="3" t="b">
        <f>AND(NOT(AK4), NOT(AE4))</f>
        <v>0</v>
      </c>
      <c r="AN4" s="3" t="b">
        <f>AND(V4, NOT(AK4))</f>
        <v>0</v>
      </c>
      <c r="AO4" s="3">
        <f>COUNTIFS(AgentDecisionRecords!AL2:AL999, A4)</f>
        <v>0</v>
      </c>
      <c r="AP4" s="3">
        <f>IF(AA4 &gt; 0, AO4 * 100 / AA4, 0)</f>
        <v>0</v>
      </c>
      <c r="AQ4" s="4"/>
      <c r="AR4" s="4"/>
      <c r="AS4" s="7"/>
      <c r="AT4" s="3" t="b">
        <f>AND(W4 &lt;&gt; "", AQ4 &lt;&gt; "")</f>
        <v>0</v>
      </c>
      <c r="AU4" s="5">
        <f>IF(AR4 &lt;&gt; "", (INT(J4) - INT(AR4)), (INT(J4) - INT(E4)))</f>
        <v>199</v>
      </c>
      <c r="AV4" s="3" t="b">
        <f>AND(AS4 &gt; 0, AU4 &gt; AS4)</f>
        <v>0</v>
      </c>
      <c r="AW4" s="3" t="b">
        <f>AND(P4, AND(S4, AV4))</f>
        <v>0</v>
      </c>
      <c r="AX4" s="3" t="b">
        <f>AND(V4, AS4 = 0)</f>
        <v>0</v>
      </c>
      <c r="AY4" s="7"/>
      <c r="AZ4" s="3" t="b">
        <f>AND(AY4 &gt; 0, AP4 &gt;= AY4)</f>
        <v>0</v>
      </c>
      <c r="BA4" s="3">
        <f>COUNTIFS(AgentDecisionRecords!AM2:AM999, A4)</f>
        <v>0</v>
      </c>
      <c r="BB4" s="3" t="b">
        <f>(BA4 &gt; 0)</f>
        <v>0</v>
      </c>
      <c r="BC4" s="3" t="b">
        <f>_xlfn.IFNA(INDEX(Roles!T2:T999, MATCH(C4,Roles!A2:A999, 0)), "")</f>
        <v>0</v>
      </c>
      <c r="BD4" s="3" t="b">
        <f>OR(AZ4, OR(BB4, BC4))</f>
        <v>0</v>
      </c>
      <c r="BE4" s="3" t="b">
        <f>AND(BD4, AND(P4, S4))</f>
        <v>0</v>
      </c>
      <c r="BF4" s="3" t="b">
        <f>AY4 &gt; 0</f>
        <v>0</v>
      </c>
      <c r="BG4" s="3" t="b">
        <f>W4 &lt;&gt; ""</f>
        <v>0</v>
      </c>
      <c r="BH4" s="3" t="b">
        <f>X4 &lt;&gt; ""</f>
        <v>0</v>
      </c>
      <c r="BI4" s="2"/>
      <c r="BJ4" s="3" t="b">
        <f>AND(BI4, Y4)</f>
        <v>0</v>
      </c>
      <c r="BK4" s="5">
        <f>IF(BG4, 1, 0) + IF(BH4, 1, 0)</f>
        <v>0</v>
      </c>
      <c r="BL4" s="3" t="str">
        <f>IF(Y4, C4, "")</f>
      </c>
      <c r="BM4" s="2" t="s">
        <v>310</v>
      </c>
    </row>
    <row r="5">
      <c r="A5" s="2" t="s">
        <v>219</v>
      </c>
      <c r="B5" s="3" t="str">
        <f>C5 &amp; " @ " &amp; TEXT(E5, "yyyy-mm-dd hh:mm:ss")&amp;"+00"</f>
        <v>hr-policy-owner @ 2026-02-01 06:00:00+00</v>
      </c>
      <c r="C5" s="2" t="s">
        <v>216</v>
      </c>
      <c r="D5" s="2" t="s">
        <v>153</v>
      </c>
      <c r="E5" s="4">
        <v>46054.25</v>
      </c>
      <c r="F5" s="4"/>
      <c r="G5" s="2" t="s">
        <v>313</v>
      </c>
      <c r="H5" s="2" t="s">
        <v>309</v>
      </c>
      <c r="I5" s="2" t="s">
        <v>95</v>
      </c>
      <c r="J5" s="6">
        <f>_xlfn.IFNA(INDEX(EvaluationContexts!D2:D999, MATCH(I5,EvaluationContexts!A2:A999, 0)), "")</f>
        <v>46222.75</v>
      </c>
      <c r="K5" s="3" t="b">
        <f>AND(E5 &lt;= J5, OR(F5 = "", F5 &gt; J5))</f>
        <v>1</v>
      </c>
      <c r="L5" s="3" t="str">
        <f>IF(K5, D5, "")</f>
        <v>elena-garcia</v>
      </c>
      <c r="M5" s="3" t="b">
        <f>AND(H5 = "Active", OR(F5 = "", F5 &gt; J5))</f>
        <v>1</v>
      </c>
      <c r="N5" s="3" t="str">
        <f>IF(M5, D5 &amp; "|" &amp; C5, "")</f>
        <v>elena-garcia|hr-policy-owner</v>
      </c>
      <c r="O5" s="3" t="b">
        <f>AND(F5 &lt;&gt; "", F5 &lt;= J5)</f>
        <v>0</v>
      </c>
      <c r="P5" s="3" t="b">
        <f>AND(H5 = "Active", E5 &lt;= J5, OR(F5 = "", F5 &gt; J5))</f>
        <v>1</v>
      </c>
      <c r="Q5" s="3" t="str">
        <f>IF(P5, C5, "")</f>
        <v>hr-policy-owner</v>
      </c>
      <c r="R5" s="3" t="str">
        <f>_xlfn.IFNA(INDEX(Agents!D2:D999, MATCH(D5,Agents!A2:A999, 0)), "")</f>
        <v>Human</v>
      </c>
      <c r="S5" s="3" t="b">
        <f>NOT(R5 = "Human")</f>
        <v>0</v>
      </c>
      <c r="T5" s="2"/>
      <c r="U5" s="3" t="str">
        <f>_xlfn.IFNA(INDEX(R5, MATCH(T5,A5, 0)), "")</f>
      </c>
      <c r="V5" s="3" t="b">
        <f>AND(U5 = "Human", S5)</f>
        <v>0</v>
      </c>
      <c r="W5" s="2"/>
      <c r="X5" s="2"/>
      <c r="Y5" s="3" t="b">
        <f>AND(S5, NOT(BG5))</f>
        <v>0</v>
      </c>
      <c r="Z5" s="3" t="b">
        <f>AND(BG5, X5 &lt;&gt; "")</f>
        <v>0</v>
      </c>
      <c r="AA5" s="3">
        <f>COUNTIFS(AgentDecisionRecords!Q2:Q999, A5)</f>
        <v>0</v>
      </c>
      <c r="AB5" s="3">
        <f>COUNTIFS(AgentDecisionRecords!R2:R999, A5)</f>
        <v>0</v>
      </c>
      <c r="AC5" s="3">
        <f>IF(AA5 = 0, 0, (AB5 * 100) / AA5)</f>
        <v>0</v>
      </c>
      <c r="AD5" s="3" t="str">
        <f>_xlfn.IFNA(INDEX(AC5, MATCH(T5,A5, 0)), "")</f>
      </c>
      <c r="AE5" s="3" t="b">
        <f>AND(T5 &lt;&gt; "", AC5 &gt; AD5)</f>
        <v>0</v>
      </c>
      <c r="AF5" s="3" t="str">
        <f>IF(O5, C5, "")</f>
      </c>
      <c r="AG5" s="7"/>
      <c r="AH5" s="3" t="str">
        <f>_xlfn.IFNA(INDEX(AA5, MATCH(T5,A5, 0)), "")</f>
      </c>
      <c r="AI5" s="3" t="b">
        <f>AA5 &gt;= AG5</f>
        <v>1</v>
      </c>
      <c r="AJ5" s="3" t="b">
        <f>AH5 &gt;= AG5</f>
        <v>1</v>
      </c>
      <c r="AK5" s="3" t="b">
        <f>AND(AI5, AJ5)</f>
        <v>1</v>
      </c>
      <c r="AL5" s="3">
        <f>IF(AA5 &gt; 0, 100 / AA5, 0)</f>
        <v>0</v>
      </c>
      <c r="AM5" s="3" t="b">
        <f>AND(NOT(AK5), NOT(AE5))</f>
        <v>0</v>
      </c>
      <c r="AN5" s="3" t="b">
        <f>AND(V5, NOT(AK5))</f>
        <v>0</v>
      </c>
      <c r="AO5" s="3">
        <f>COUNTIFS(AgentDecisionRecords!AL2:AL999, A5)</f>
        <v>0</v>
      </c>
      <c r="AP5" s="3">
        <f>IF(AA5 &gt; 0, AO5 * 100 / AA5, 0)</f>
        <v>0</v>
      </c>
      <c r="AQ5" s="4"/>
      <c r="AR5" s="4"/>
      <c r="AS5" s="7"/>
      <c r="AT5" s="3" t="b">
        <f>AND(W5 &lt;&gt; "", AQ5 &lt;&gt; "")</f>
        <v>0</v>
      </c>
      <c r="AU5" s="5">
        <f>IF(AR5 &lt;&gt; "", (INT(J5) - INT(AR5)), (INT(J5) - INT(E5)))</f>
        <v>168</v>
      </c>
      <c r="AV5" s="3" t="b">
        <f>AND(AS5 &gt; 0, AU5 &gt; AS5)</f>
        <v>0</v>
      </c>
      <c r="AW5" s="3" t="b">
        <f>AND(P5, AND(S5, AV5))</f>
        <v>0</v>
      </c>
      <c r="AX5" s="3" t="b">
        <f>AND(V5, AS5 = 0)</f>
        <v>0</v>
      </c>
      <c r="AY5" s="7"/>
      <c r="AZ5" s="3" t="b">
        <f>AND(AY5 &gt; 0, AP5 &gt;= AY5)</f>
        <v>0</v>
      </c>
      <c r="BA5" s="3">
        <f>COUNTIFS(AgentDecisionRecords!AM2:AM999, A5)</f>
        <v>0</v>
      </c>
      <c r="BB5" s="3" t="b">
        <f>(BA5 &gt; 0)</f>
        <v>0</v>
      </c>
      <c r="BC5" s="3" t="b">
        <f>_xlfn.IFNA(INDEX(Roles!T2:T999, MATCH(C5,Roles!A2:A999, 0)), "")</f>
        <v>0</v>
      </c>
      <c r="BD5" s="3" t="b">
        <f>OR(AZ5, OR(BB5, BC5))</f>
        <v>0</v>
      </c>
      <c r="BE5" s="3" t="b">
        <f>AND(BD5, AND(P5, S5))</f>
        <v>0</v>
      </c>
      <c r="BF5" s="3" t="b">
        <f>AY5 &gt; 0</f>
        <v>0</v>
      </c>
      <c r="BG5" s="3" t="b">
        <f>W5 &lt;&gt; ""</f>
        <v>0</v>
      </c>
      <c r="BH5" s="3" t="b">
        <f>X5 &lt;&gt; ""</f>
        <v>0</v>
      </c>
      <c r="BI5" s="2"/>
      <c r="BJ5" s="3" t="b">
        <f>AND(BI5, Y5)</f>
        <v>0</v>
      </c>
      <c r="BK5" s="5">
        <f>IF(BG5, 1, 0) + IF(BH5, 1, 0)</f>
        <v>0</v>
      </c>
      <c r="BL5" s="3" t="str">
        <f>IF(Y5, C5, "")</f>
      </c>
      <c r="BM5" s="2" t="s">
        <v>310</v>
      </c>
    </row>
    <row r="6">
      <c r="A6" s="2" t="s">
        <v>223</v>
      </c>
      <c r="B6" s="3" t="str">
        <f>C6 &amp; " @ " &amp; TEXT(E6, "yyyy-mm-dd hh:mm:ss")&amp;"+00"</f>
        <v>employment-counsel @ 2026-01-15 06:00:00+00</v>
      </c>
      <c r="C6" s="2" t="s">
        <v>220</v>
      </c>
      <c r="D6" s="2" t="s">
        <v>157</v>
      </c>
      <c r="E6" s="4">
        <v>46037.25</v>
      </c>
      <c r="F6" s="4"/>
      <c r="G6" s="2" t="s">
        <v>314</v>
      </c>
      <c r="H6" s="2" t="s">
        <v>309</v>
      </c>
      <c r="I6" s="2" t="s">
        <v>95</v>
      </c>
      <c r="J6" s="6">
        <f>_xlfn.IFNA(INDEX(EvaluationContexts!D2:D999, MATCH(I6,EvaluationContexts!A2:A999, 0)), "")</f>
        <v>46222.75</v>
      </c>
      <c r="K6" s="3" t="b">
        <f>AND(E6 &lt;= J6, OR(F6 = "", F6 &gt; J6))</f>
        <v>1</v>
      </c>
      <c r="L6" s="3" t="str">
        <f>IF(K6, D6, "")</f>
        <v>noah-williams</v>
      </c>
      <c r="M6" s="3" t="b">
        <f>AND(H6 = "Active", OR(F6 = "", F6 &gt; J6))</f>
        <v>1</v>
      </c>
      <c r="N6" s="3" t="str">
        <f>IF(M6, D6 &amp; "|" &amp; C6, "")</f>
        <v>noah-williams|employment-counsel</v>
      </c>
      <c r="O6" s="3" t="b">
        <f>AND(F6 &lt;&gt; "", F6 &lt;= J6)</f>
        <v>0</v>
      </c>
      <c r="P6" s="3" t="b">
        <f>AND(H6 = "Active", E6 &lt;= J6, OR(F6 = "", F6 &gt; J6))</f>
        <v>1</v>
      </c>
      <c r="Q6" s="3" t="str">
        <f>IF(P6, C6, "")</f>
        <v>employment-counsel</v>
      </c>
      <c r="R6" s="3" t="str">
        <f>_xlfn.IFNA(INDEX(Agents!D2:D999, MATCH(D6,Agents!A2:A999, 0)), "")</f>
        <v>Human</v>
      </c>
      <c r="S6" s="3" t="b">
        <f>NOT(R6 = "Human")</f>
        <v>0</v>
      </c>
      <c r="T6" s="2"/>
      <c r="U6" s="3" t="str">
        <f>_xlfn.IFNA(INDEX(R6, MATCH(T6,A6, 0)), "")</f>
      </c>
      <c r="V6" s="3" t="b">
        <f>AND(U6 = "Human", S6)</f>
        <v>0</v>
      </c>
      <c r="W6" s="2"/>
      <c r="X6" s="2"/>
      <c r="Y6" s="3" t="b">
        <f>AND(S6, NOT(BG6))</f>
        <v>0</v>
      </c>
      <c r="Z6" s="3" t="b">
        <f>AND(BG6, X6 &lt;&gt; "")</f>
        <v>0</v>
      </c>
      <c r="AA6" s="3">
        <f>COUNTIFS(AgentDecisionRecords!Q2:Q999, A6)</f>
        <v>0</v>
      </c>
      <c r="AB6" s="3">
        <f>COUNTIFS(AgentDecisionRecords!R2:R999, A6)</f>
        <v>0</v>
      </c>
      <c r="AC6" s="3">
        <f>IF(AA6 = 0, 0, (AB6 * 100) / AA6)</f>
        <v>0</v>
      </c>
      <c r="AD6" s="3" t="str">
        <f>_xlfn.IFNA(INDEX(AC6, MATCH(T6,A6, 0)), "")</f>
      </c>
      <c r="AE6" s="3" t="b">
        <f>AND(T6 &lt;&gt; "", AC6 &gt; AD6)</f>
        <v>0</v>
      </c>
      <c r="AF6" s="3" t="str">
        <f>IF(O6, C6, "")</f>
      </c>
      <c r="AG6" s="7"/>
      <c r="AH6" s="3" t="str">
        <f>_xlfn.IFNA(INDEX(AA6, MATCH(T6,A6, 0)), "")</f>
      </c>
      <c r="AI6" s="3" t="b">
        <f>AA6 &gt;= AG6</f>
        <v>1</v>
      </c>
      <c r="AJ6" s="3" t="b">
        <f>AH6 &gt;= AG6</f>
        <v>1</v>
      </c>
      <c r="AK6" s="3" t="b">
        <f>AND(AI6, AJ6)</f>
        <v>1</v>
      </c>
      <c r="AL6" s="3">
        <f>IF(AA6 &gt; 0, 100 / AA6, 0)</f>
        <v>0</v>
      </c>
      <c r="AM6" s="3" t="b">
        <f>AND(NOT(AK6), NOT(AE6))</f>
        <v>0</v>
      </c>
      <c r="AN6" s="3" t="b">
        <f>AND(V6, NOT(AK6))</f>
        <v>0</v>
      </c>
      <c r="AO6" s="3">
        <f>COUNTIFS(AgentDecisionRecords!AL2:AL999, A6)</f>
        <v>0</v>
      </c>
      <c r="AP6" s="3">
        <f>IF(AA6 &gt; 0, AO6 * 100 / AA6, 0)</f>
        <v>0</v>
      </c>
      <c r="AQ6" s="4"/>
      <c r="AR6" s="4"/>
      <c r="AS6" s="7"/>
      <c r="AT6" s="3" t="b">
        <f>AND(W6 &lt;&gt; "", AQ6 &lt;&gt; "")</f>
        <v>0</v>
      </c>
      <c r="AU6" s="5">
        <f>IF(AR6 &lt;&gt; "", (INT(J6) - INT(AR6)), (INT(J6) - INT(E6)))</f>
        <v>185</v>
      </c>
      <c r="AV6" s="3" t="b">
        <f>AND(AS6 &gt; 0, AU6 &gt; AS6)</f>
        <v>0</v>
      </c>
      <c r="AW6" s="3" t="b">
        <f>AND(P6, AND(S6, AV6))</f>
        <v>0</v>
      </c>
      <c r="AX6" s="3" t="b">
        <f>AND(V6, AS6 = 0)</f>
        <v>0</v>
      </c>
      <c r="AY6" s="7"/>
      <c r="AZ6" s="3" t="b">
        <f>AND(AY6 &gt; 0, AP6 &gt;= AY6)</f>
        <v>0</v>
      </c>
      <c r="BA6" s="3">
        <f>COUNTIFS(AgentDecisionRecords!AM2:AM999, A6)</f>
        <v>0</v>
      </c>
      <c r="BB6" s="3" t="b">
        <f>(BA6 &gt; 0)</f>
        <v>0</v>
      </c>
      <c r="BC6" s="3" t="b">
        <f>_xlfn.IFNA(INDEX(Roles!T2:T999, MATCH(C6,Roles!A2:A999, 0)), "")</f>
        <v>0</v>
      </c>
      <c r="BD6" s="3" t="b">
        <f>OR(AZ6, OR(BB6, BC6))</f>
        <v>0</v>
      </c>
      <c r="BE6" s="3" t="b">
        <f>AND(BD6, AND(P6, S6))</f>
        <v>0</v>
      </c>
      <c r="BF6" s="3" t="b">
        <f>AY6 &gt; 0</f>
        <v>0</v>
      </c>
      <c r="BG6" s="3" t="b">
        <f>W6 &lt;&gt; ""</f>
        <v>0</v>
      </c>
      <c r="BH6" s="3" t="b">
        <f>X6 &lt;&gt; ""</f>
        <v>0</v>
      </c>
      <c r="BI6" s="2"/>
      <c r="BJ6" s="3" t="b">
        <f>AND(BI6, Y6)</f>
        <v>0</v>
      </c>
      <c r="BK6" s="5">
        <f>IF(BG6, 1, 0) + IF(BH6, 1, 0)</f>
        <v>0</v>
      </c>
      <c r="BL6" s="3" t="str">
        <f>IF(Y6, C6, "")</f>
      </c>
      <c r="BM6" s="2" t="s">
        <v>310</v>
      </c>
    </row>
    <row r="7">
      <c r="A7" s="2" t="s">
        <v>243</v>
      </c>
      <c r="B7" s="3" t="str">
        <f>C7 &amp; " @ " &amp; TEXT(E7, "yyyy-mm-dd hh:mm:ss")&amp;"+00"</f>
        <v>notification-publisher @ 2026-03-01 06:00:00+00</v>
      </c>
      <c r="C7" s="2" t="s">
        <v>240</v>
      </c>
      <c r="D7" s="2" t="s">
        <v>178</v>
      </c>
      <c r="E7" s="4">
        <v>46082.25</v>
      </c>
      <c r="F7" s="4"/>
      <c r="G7" s="2" t="s">
        <v>315</v>
      </c>
      <c r="H7" s="2" t="s">
        <v>309</v>
      </c>
      <c r="I7" s="2" t="s">
        <v>95</v>
      </c>
      <c r="J7" s="6">
        <f>_xlfn.IFNA(INDEX(EvaluationContexts!D2:D999, MATCH(I7,EvaluationContexts!A2:A999, 0)), "")</f>
        <v>46222.75</v>
      </c>
      <c r="K7" s="3" t="b">
        <f>AND(E7 &lt;= J7, OR(F7 = "", F7 &gt; J7))</f>
        <v>1</v>
      </c>
      <c r="L7" s="3" t="str">
        <f>IF(K7, D7, "")</f>
        <v>notification-pipeline</v>
      </c>
      <c r="M7" s="3" t="b">
        <f>AND(H7 = "Active", OR(F7 = "", F7 &gt; J7))</f>
        <v>1</v>
      </c>
      <c r="N7" s="3" t="str">
        <f>IF(M7, D7 &amp; "|" &amp; C7, "")</f>
        <v>notification-pipeline|notification-publisher</v>
      </c>
      <c r="O7" s="3" t="b">
        <f>AND(F7 &lt;&gt; "", F7 &lt;= J7)</f>
        <v>0</v>
      </c>
      <c r="P7" s="3" t="b">
        <f>AND(H7 = "Active", E7 &lt;= J7, OR(F7 = "", F7 &gt; J7))</f>
        <v>1</v>
      </c>
      <c r="Q7" s="3" t="str">
        <f>IF(P7, C7, "")</f>
        <v>notification-publisher</v>
      </c>
      <c r="R7" s="3" t="str">
        <f>_xlfn.IFNA(INDEX(Agents!D2:D999, MATCH(D7,Agents!A2:A999, 0)), "")</f>
        <v>AutomatedPipeline</v>
      </c>
      <c r="S7" s="3" t="b">
        <f>NOT(R7 = "Human")</f>
        <v>1</v>
      </c>
      <c r="T7" s="2"/>
      <c r="U7" s="3" t="str">
        <f>_xlfn.IFNA(INDEX(R7, MATCH(T7,A7, 0)), "")</f>
      </c>
      <c r="V7" s="3" t="b">
        <f>AND(U7 = "Human", S7)</f>
        <v>0</v>
      </c>
      <c r="W7" s="2"/>
      <c r="X7" s="2"/>
      <c r="Y7" s="3" t="b">
        <f>AND(S7, NOT(BG7))</f>
        <v>1</v>
      </c>
      <c r="Z7" s="3" t="b">
        <f>AND(BG7, X7 &lt;&gt; "")</f>
        <v>0</v>
      </c>
      <c r="AA7" s="3">
        <f>COUNTIFS(AgentDecisionRecords!Q2:Q999, A7)</f>
        <v>0</v>
      </c>
      <c r="AB7" s="3">
        <f>COUNTIFS(AgentDecisionRecords!R2:R999, A7)</f>
        <v>0</v>
      </c>
      <c r="AC7" s="3">
        <f>IF(AA7 = 0, 0, (AB7 * 100) / AA7)</f>
        <v>0</v>
      </c>
      <c r="AD7" s="3" t="str">
        <f>_xlfn.IFNA(INDEX(AC7, MATCH(T7,A7, 0)), "")</f>
      </c>
      <c r="AE7" s="3" t="b">
        <f>AND(T7 &lt;&gt; "", AC7 &gt; AD7)</f>
        <v>0</v>
      </c>
      <c r="AF7" s="3" t="str">
        <f>IF(O7, C7, "")</f>
      </c>
      <c r="AG7" s="7"/>
      <c r="AH7" s="3" t="str">
        <f>_xlfn.IFNA(INDEX(AA7, MATCH(T7,A7, 0)), "")</f>
      </c>
      <c r="AI7" s="3" t="b">
        <f>AA7 &gt;= AG7</f>
        <v>1</v>
      </c>
      <c r="AJ7" s="3" t="b">
        <f>AH7 &gt;= AG7</f>
        <v>1</v>
      </c>
      <c r="AK7" s="3" t="b">
        <f>AND(AI7, AJ7)</f>
        <v>1</v>
      </c>
      <c r="AL7" s="3">
        <f>IF(AA7 &gt; 0, 100 / AA7, 0)</f>
        <v>0</v>
      </c>
      <c r="AM7" s="3" t="b">
        <f>AND(NOT(AK7), NOT(AE7))</f>
        <v>0</v>
      </c>
      <c r="AN7" s="3" t="b">
        <f>AND(V7, NOT(AK7))</f>
        <v>0</v>
      </c>
      <c r="AO7" s="3">
        <f>COUNTIFS(AgentDecisionRecords!AL2:AL999, A7)</f>
        <v>0</v>
      </c>
      <c r="AP7" s="3">
        <f>IF(AA7 &gt; 0, AO7 * 100 / AA7, 0)</f>
        <v>0</v>
      </c>
      <c r="AQ7" s="4"/>
      <c r="AR7" s="4"/>
      <c r="AS7" s="7"/>
      <c r="AT7" s="3" t="b">
        <f>AND(W7 &lt;&gt; "", AQ7 &lt;&gt; "")</f>
        <v>0</v>
      </c>
      <c r="AU7" s="5">
        <f>IF(AR7 &lt;&gt; "", (INT(J7) - INT(AR7)), (INT(J7) - INT(E7)))</f>
        <v>140</v>
      </c>
      <c r="AV7" s="3" t="b">
        <f>AND(AS7 &gt; 0, AU7 &gt; AS7)</f>
        <v>0</v>
      </c>
      <c r="AW7" s="3" t="b">
        <f>AND(P7, AND(S7, AV7))</f>
        <v>0</v>
      </c>
      <c r="AX7" s="3" t="b">
        <f>AND(V7, AS7 = 0)</f>
        <v>0</v>
      </c>
      <c r="AY7" s="7"/>
      <c r="AZ7" s="3" t="b">
        <f>AND(AY7 &gt; 0, AP7 &gt;= AY7)</f>
        <v>0</v>
      </c>
      <c r="BA7" s="3">
        <f>COUNTIFS(AgentDecisionRecords!AM2:AM999, A7)</f>
        <v>0</v>
      </c>
      <c r="BB7" s="3" t="b">
        <f>(BA7 &gt; 0)</f>
        <v>0</v>
      </c>
      <c r="BC7" s="3" t="b">
        <f>_xlfn.IFNA(INDEX(Roles!T2:T999, MATCH(C7,Roles!A2:A999, 0)), "")</f>
        <v>0</v>
      </c>
      <c r="BD7" s="3" t="b">
        <f>OR(AZ7, OR(BB7, BC7))</f>
        <v>0</v>
      </c>
      <c r="BE7" s="3" t="b">
        <f>AND(BD7, AND(P7, S7))</f>
        <v>0</v>
      </c>
      <c r="BF7" s="3" t="b">
        <f>AY7 &gt; 0</f>
        <v>0</v>
      </c>
      <c r="BG7" s="3" t="b">
        <f>W7 &lt;&gt; ""</f>
        <v>0</v>
      </c>
      <c r="BH7" s="3" t="b">
        <f>X7 &lt;&gt; ""</f>
        <v>0</v>
      </c>
      <c r="BI7" s="2"/>
      <c r="BJ7" s="3" t="b">
        <f>AND(BI7, Y7)</f>
        <v>1</v>
      </c>
      <c r="BK7" s="5">
        <f>IF(BG7, 1, 0) + IF(BH7, 1, 0)</f>
        <v>0</v>
      </c>
      <c r="BL7" s="3" t="str">
        <f>IF(Y7, C7, "")</f>
        <v>notification-publisher</v>
      </c>
      <c r="BM7" s="2" t="s">
        <v>310</v>
      </c>
    </row>
    <row r="8">
      <c r="A8" s="2" t="s">
        <v>316</v>
      </c>
      <c r="B8" s="3" t="str">
        <f>C8 &amp; " @ " &amp; TEXT(E8, "yyyy-mm-dd hh:mm:ss")&amp;"+00"</f>
        <v>variance-review-agent @ 2025-01-01 06:00:00+00</v>
      </c>
      <c r="C8" s="2" t="s">
        <v>232</v>
      </c>
      <c r="D8" s="2" t="s">
        <v>139</v>
      </c>
      <c r="E8" s="4">
        <v>45658.25</v>
      </c>
      <c r="F8" s="4">
        <v>46113.20832175926</v>
      </c>
      <c r="G8" s="2" t="s">
        <v>317</v>
      </c>
      <c r="H8" s="2" t="s">
        <v>318</v>
      </c>
      <c r="I8" s="2" t="s">
        <v>95</v>
      </c>
      <c r="J8" s="6">
        <f>_xlfn.IFNA(INDEX(EvaluationContexts!D2:D999, MATCH(I8,EvaluationContexts!A2:A999, 0)), "")</f>
        <v>46222.75</v>
      </c>
      <c r="K8" s="3" t="b">
        <f>AND(E8 &lt;= J8, OR(F8 = "", F8 &gt; J8))</f>
        <v>0</v>
      </c>
      <c r="L8" s="3" t="str">
        <f>IF(K8, D8, "")</f>
      </c>
      <c r="M8" s="3" t="b">
        <f>AND(H8 = "Active", OR(F8 = "", F8 &gt; J8))</f>
        <v>0</v>
      </c>
      <c r="N8" s="3" t="str">
        <f>IF(M8, D8 &amp; "|" &amp; C8, "")</f>
      </c>
      <c r="O8" s="3" t="b">
        <f>AND(F8 &lt;&gt; "", F8 &lt;= J8)</f>
        <v>1</v>
      </c>
      <c r="P8" s="3" t="b">
        <f>AND(H8 = "Active", E8 &lt;= J8, OR(F8 = "", F8 &gt; J8))</f>
        <v>0</v>
      </c>
      <c r="Q8" s="3" t="str">
        <f>IF(P8, C8, "")</f>
      </c>
      <c r="R8" s="3" t="str">
        <f>_xlfn.IFNA(INDEX(Agents!D2:D999, MATCH(D8,Agents!A2:A999, 0)), "")</f>
        <v>Human</v>
      </c>
      <c r="S8" s="3" t="b">
        <f>NOT(R8 = "Human")</f>
        <v>0</v>
      </c>
      <c r="T8" s="2"/>
      <c r="U8" s="3" t="str">
        <f>_xlfn.IFNA(INDEX(R8, MATCH(T8,A8, 0)), "")</f>
      </c>
      <c r="V8" s="3" t="b">
        <f>AND(U8 = "Human", S8)</f>
        <v>0</v>
      </c>
      <c r="W8" s="2"/>
      <c r="X8" s="2"/>
      <c r="Y8" s="3" t="b">
        <f>AND(S8, NOT(BG8))</f>
        <v>0</v>
      </c>
      <c r="Z8" s="3" t="b">
        <f>AND(BG8, X8 &lt;&gt; "")</f>
        <v>0</v>
      </c>
      <c r="AA8" s="3">
        <f>COUNTIFS(AgentDecisionRecords!Q2:Q999, A8)</f>
        <v>0</v>
      </c>
      <c r="AB8" s="3">
        <f>COUNTIFS(AgentDecisionRecords!R2:R999, A8)</f>
        <v>0</v>
      </c>
      <c r="AC8" s="3">
        <f>IF(AA8 = 0, 0, (AB8 * 100) / AA8)</f>
        <v>0</v>
      </c>
      <c r="AD8" s="3" t="str">
        <f>_xlfn.IFNA(INDEX(AC8, MATCH(T8,A8, 0)), "")</f>
      </c>
      <c r="AE8" s="3" t="b">
        <f>AND(T8 &lt;&gt; "", AC8 &gt; AD8)</f>
        <v>0</v>
      </c>
      <c r="AF8" s="3" t="str">
        <f>IF(O8, C8, "")</f>
        <v>variance-review-agent</v>
      </c>
      <c r="AG8" s="7"/>
      <c r="AH8" s="3" t="str">
        <f>_xlfn.IFNA(INDEX(AA8, MATCH(T8,A8, 0)), "")</f>
      </c>
      <c r="AI8" s="3" t="b">
        <f>AA8 &gt;= AG8</f>
        <v>1</v>
      </c>
      <c r="AJ8" s="3" t="b">
        <f>AH8 &gt;= AG8</f>
        <v>1</v>
      </c>
      <c r="AK8" s="3" t="b">
        <f>AND(AI8, AJ8)</f>
        <v>1</v>
      </c>
      <c r="AL8" s="3">
        <f>IF(AA8 &gt; 0, 100 / AA8, 0)</f>
        <v>0</v>
      </c>
      <c r="AM8" s="3" t="b">
        <f>AND(NOT(AK8), NOT(AE8))</f>
        <v>0</v>
      </c>
      <c r="AN8" s="3" t="b">
        <f>AND(V8, NOT(AK8))</f>
        <v>0</v>
      </c>
      <c r="AO8" s="3">
        <f>COUNTIFS(AgentDecisionRecords!AL2:AL999, A8)</f>
        <v>0</v>
      </c>
      <c r="AP8" s="3">
        <f>IF(AA8 &gt; 0, AO8 * 100 / AA8, 0)</f>
        <v>0</v>
      </c>
      <c r="AQ8" s="4"/>
      <c r="AR8" s="4"/>
      <c r="AS8" s="7"/>
      <c r="AT8" s="3" t="b">
        <f>AND(W8 &lt;&gt; "", AQ8 &lt;&gt; "")</f>
        <v>0</v>
      </c>
      <c r="AU8" s="5">
        <f>IF(AR8 &lt;&gt; "", (INT(J8) - INT(AR8)), (INT(J8) - INT(E8)))</f>
        <v>564</v>
      </c>
      <c r="AV8" s="3" t="b">
        <f>AND(AS8 &gt; 0, AU8 &gt; AS8)</f>
        <v>0</v>
      </c>
      <c r="AW8" s="3" t="b">
        <f>AND(P8, AND(S8, AV8))</f>
        <v>0</v>
      </c>
      <c r="AX8" s="3" t="b">
        <f>AND(V8, AS8 = 0)</f>
        <v>0</v>
      </c>
      <c r="AY8" s="7"/>
      <c r="AZ8" s="3" t="b">
        <f>AND(AY8 &gt; 0, AP8 &gt;= AY8)</f>
        <v>0</v>
      </c>
      <c r="BA8" s="3">
        <f>COUNTIFS(AgentDecisionRecords!AM2:AM999, A8)</f>
        <v>0</v>
      </c>
      <c r="BB8" s="3" t="b">
        <f>(BA8 &gt; 0)</f>
        <v>0</v>
      </c>
      <c r="BC8" s="3" t="b">
        <f>_xlfn.IFNA(INDEX(Roles!T2:T999, MATCH(C8,Roles!A2:A999, 0)), "")</f>
        <v>0</v>
      </c>
      <c r="BD8" s="3" t="b">
        <f>OR(AZ8, OR(BB8, BC8))</f>
        <v>0</v>
      </c>
      <c r="BE8" s="3" t="b">
        <f>AND(BD8, AND(P8, S8))</f>
        <v>0</v>
      </c>
      <c r="BF8" s="3" t="b">
        <f>AY8 &gt; 0</f>
        <v>0</v>
      </c>
      <c r="BG8" s="3" t="b">
        <f>W8 &lt;&gt; ""</f>
        <v>0</v>
      </c>
      <c r="BH8" s="3" t="b">
        <f>X8 &lt;&gt; ""</f>
        <v>0</v>
      </c>
      <c r="BI8" s="2"/>
      <c r="BJ8" s="3" t="b">
        <f>AND(BI8, Y8)</f>
        <v>0</v>
      </c>
      <c r="BK8" s="5">
        <f>IF(BG8, 1, 0) + IF(BH8, 1, 0)</f>
        <v>0</v>
      </c>
      <c r="BL8" s="3" t="str">
        <f>IF(Y8, C8, "")</f>
      </c>
      <c r="BM8" s="2" t="s">
        <v>310</v>
      </c>
    </row>
    <row r="9">
      <c r="A9" s="2" t="s">
        <v>235</v>
      </c>
      <c r="B9" s="3" t="str">
        <f>C9 &amp; " @ " &amp; TEXT(E9, "yyyy-mm-dd hh:mm:ss")&amp;"+00"</f>
        <v>variance-review-agent @ 2026-04-01 05:00:00+00</v>
      </c>
      <c r="C9" s="2" t="s">
        <v>232</v>
      </c>
      <c r="D9" s="2" t="s">
        <v>171</v>
      </c>
      <c r="E9" s="4">
        <v>46113.208333333336</v>
      </c>
      <c r="F9" s="4"/>
      <c r="G9" s="2" t="s">
        <v>319</v>
      </c>
      <c r="H9" s="2" t="s">
        <v>309</v>
      </c>
      <c r="I9" s="2" t="s">
        <v>95</v>
      </c>
      <c r="J9" s="6">
        <f>_xlfn.IFNA(INDEX(EvaluationContexts!D2:D999, MATCH(I9,EvaluationContexts!A2:A999, 0)), "")</f>
        <v>46222.75</v>
      </c>
      <c r="K9" s="3" t="b">
        <f>AND(E9 &lt;= J9, OR(F9 = "", F9 &gt; J9))</f>
        <v>1</v>
      </c>
      <c r="L9" s="3" t="str">
        <f>IF(K9, D9, "")</f>
        <v>variance-ai</v>
      </c>
      <c r="M9" s="3" t="b">
        <f>AND(H9 = "Active", OR(F9 = "", F9 &gt; J9))</f>
        <v>1</v>
      </c>
      <c r="N9" s="3" t="str">
        <f>IF(M9, D9 &amp; "|" &amp; C9, "")</f>
        <v>variance-ai|variance-review-agent</v>
      </c>
      <c r="O9" s="3" t="b">
        <f>AND(F9 &lt;&gt; "", F9 &lt;= J9)</f>
        <v>0</v>
      </c>
      <c r="P9" s="3" t="b">
        <f>AND(H9 = "Active", E9 &lt;= J9, OR(F9 = "", F9 &gt; J9))</f>
        <v>1</v>
      </c>
      <c r="Q9" s="3" t="str">
        <f>IF(P9, C9, "")</f>
        <v>variance-review-agent</v>
      </c>
      <c r="R9" s="3" t="str">
        <f>_xlfn.IFNA(INDEX(Agents!D2:D999, MATCH(D9,Agents!A2:A999, 0)), "")</f>
        <v>AIAgent</v>
      </c>
      <c r="S9" s="3" t="b">
        <f>NOT(R9 = "Human")</f>
        <v>1</v>
      </c>
      <c r="T9" s="2" t="s">
        <v>316</v>
      </c>
      <c r="U9" s="3" t="str">
        <f>_xlfn.IFNA(INDEX(R9, MATCH(T9,A9, 0)), "")</f>
      </c>
      <c r="V9" s="3" t="b">
        <f>AND(U9 = "Human", S9)</f>
        <v>0</v>
      </c>
      <c r="W9" s="2" t="s">
        <v>212</v>
      </c>
      <c r="X9" s="2"/>
      <c r="Y9" s="3" t="b">
        <f>AND(S9, NOT(BG9))</f>
        <v>0</v>
      </c>
      <c r="Z9" s="3" t="b">
        <f>AND(BG9, X9 &lt;&gt; "")</f>
        <v>0</v>
      </c>
      <c r="AA9" s="3">
        <f>COUNTIFS(AgentDecisionRecords!Q2:Q999, A9)</f>
        <v>0</v>
      </c>
      <c r="AB9" s="3">
        <f>COUNTIFS(AgentDecisionRecords!R2:R999, A9)</f>
        <v>0</v>
      </c>
      <c r="AC9" s="3">
        <f>IF(AA9 = 0, 0, (AB9 * 100) / AA9)</f>
        <v>0</v>
      </c>
      <c r="AD9" s="3" t="str">
        <f>_xlfn.IFNA(INDEX(AC9, MATCH(T9,A9, 0)), "")</f>
      </c>
      <c r="AE9" s="3" t="b">
        <f>AND(T9 &lt;&gt; "", AC9 &gt; AD9)</f>
        <v>0</v>
      </c>
      <c r="AF9" s="3" t="str">
        <f>IF(O9, C9, "")</f>
      </c>
      <c r="AG9" s="7"/>
      <c r="AH9" s="3" t="str">
        <f>_xlfn.IFNA(INDEX(AA9, MATCH(T9,A9, 0)), "")</f>
      </c>
      <c r="AI9" s="3" t="b">
        <f>AA9 &gt;= AG9</f>
        <v>1</v>
      </c>
      <c r="AJ9" s="3" t="b">
        <f>AH9 &gt;= AG9</f>
        <v>1</v>
      </c>
      <c r="AK9" s="3" t="b">
        <f>AND(AI9, AJ9)</f>
        <v>1</v>
      </c>
      <c r="AL9" s="3">
        <f>IF(AA9 &gt; 0, 100 / AA9, 0)</f>
        <v>0</v>
      </c>
      <c r="AM9" s="3" t="b">
        <f>AND(NOT(AK9), NOT(AE9))</f>
        <v>0</v>
      </c>
      <c r="AN9" s="3" t="b">
        <f>AND(V9, NOT(AK9))</f>
        <v>0</v>
      </c>
      <c r="AO9" s="3">
        <f>COUNTIFS(AgentDecisionRecords!AL2:AL999, A9)</f>
        <v>0</v>
      </c>
      <c r="AP9" s="3">
        <f>IF(AA9 &gt; 0, AO9 * 100 / AA9, 0)</f>
        <v>0</v>
      </c>
      <c r="AQ9" s="4"/>
      <c r="AR9" s="4"/>
      <c r="AS9" s="7"/>
      <c r="AT9" s="3" t="b">
        <f>AND(W9 &lt;&gt; "", AQ9 &lt;&gt; "")</f>
        <v>0</v>
      </c>
      <c r="AU9" s="5">
        <f>IF(AR9 &lt;&gt; "", (INT(J9) - INT(AR9)), (INT(J9) - INT(E9)))</f>
        <v>109</v>
      </c>
      <c r="AV9" s="3" t="b">
        <f>AND(AS9 &gt; 0, AU9 &gt; AS9)</f>
        <v>0</v>
      </c>
      <c r="AW9" s="3" t="b">
        <f>AND(P9, AND(S9, AV9))</f>
        <v>0</v>
      </c>
      <c r="AX9" s="3" t="b">
        <f>AND(V9, AS9 = 0)</f>
        <v>0</v>
      </c>
      <c r="AY9" s="7"/>
      <c r="AZ9" s="3" t="b">
        <f>AND(AY9 &gt; 0, AP9 &gt;= AY9)</f>
        <v>0</v>
      </c>
      <c r="BA9" s="3">
        <f>COUNTIFS(AgentDecisionRecords!AM2:AM999, A9)</f>
        <v>0</v>
      </c>
      <c r="BB9" s="3" t="b">
        <f>(BA9 &gt; 0)</f>
        <v>0</v>
      </c>
      <c r="BC9" s="3" t="b">
        <f>_xlfn.IFNA(INDEX(Roles!T2:T999, MATCH(C9,Roles!A2:A999, 0)), "")</f>
        <v>0</v>
      </c>
      <c r="BD9" s="3" t="b">
        <f>OR(AZ9, OR(BB9, BC9))</f>
        <v>0</v>
      </c>
      <c r="BE9" s="3" t="b">
        <f>AND(BD9, AND(P9, S9))</f>
        <v>0</v>
      </c>
      <c r="BF9" s="3" t="b">
        <f>AY9 &gt; 0</f>
        <v>0</v>
      </c>
      <c r="BG9" s="3" t="b">
        <f>W9 &lt;&gt; ""</f>
        <v>1</v>
      </c>
      <c r="BH9" s="3" t="b">
        <f>X9 &lt;&gt; ""</f>
        <v>0</v>
      </c>
      <c r="BI9" s="2"/>
      <c r="BJ9" s="3" t="b">
        <f>AND(BI9, Y9)</f>
        <v>0</v>
      </c>
      <c r="BK9" s="5">
        <f>IF(BG9, 1, 0) + IF(BH9, 1, 0)</f>
        <v>1</v>
      </c>
      <c r="BL9" s="3" t="str">
        <f>IF(Y9, C9, "")</f>
      </c>
      <c r="BM9" s="2" t="s">
        <v>310</v>
      </c>
    </row>
    <row r="10">
      <c r="A10" s="2" t="s">
        <v>227</v>
      </c>
      <c r="B10" s="3" t="str">
        <f>C10 &amp; " @ " &amp; TEXT(E10, "yyyy-mm-dd hh:mm:ss")&amp;"+00"</f>
        <v>communications-manager @ 2026-02-01 06:00:00+00</v>
      </c>
      <c r="C10" s="2" t="s">
        <v>224</v>
      </c>
      <c r="D10" s="2" t="s">
        <v>161</v>
      </c>
      <c r="E10" s="4">
        <v>46054.25</v>
      </c>
      <c r="F10" s="4"/>
      <c r="G10" s="2" t="s">
        <v>320</v>
      </c>
      <c r="H10" s="2" t="s">
        <v>309</v>
      </c>
      <c r="I10" s="2" t="s">
        <v>95</v>
      </c>
      <c r="J10" s="6">
        <f>_xlfn.IFNA(INDEX(EvaluationContexts!D2:D999, MATCH(I10,EvaluationContexts!A2:A999, 0)), "")</f>
        <v>46222.75</v>
      </c>
      <c r="K10" s="3" t="b">
        <f>AND(E10 &lt;= J10, OR(F10 = "", F10 &gt; J10))</f>
        <v>1</v>
      </c>
      <c r="L10" s="3" t="str">
        <f>IF(K10, D10, "")</f>
        <v>amina-yusuf</v>
      </c>
      <c r="M10" s="3" t="b">
        <f>AND(H10 = "Active", OR(F10 = "", F10 &gt; J10))</f>
        <v>1</v>
      </c>
      <c r="N10" s="3" t="str">
        <f>IF(M10, D10 &amp; "|" &amp; C10, "")</f>
        <v>amina-yusuf|communications-manager</v>
      </c>
      <c r="O10" s="3" t="b">
        <f>AND(F10 &lt;&gt; "", F10 &lt;= J10)</f>
        <v>0</v>
      </c>
      <c r="P10" s="3" t="b">
        <f>AND(H10 = "Active", E10 &lt;= J10, OR(F10 = "", F10 &gt; J10))</f>
        <v>1</v>
      </c>
      <c r="Q10" s="3" t="str">
        <f>IF(P10, C10, "")</f>
        <v>communications-manager</v>
      </c>
      <c r="R10" s="3" t="str">
        <f>_xlfn.IFNA(INDEX(Agents!D2:D999, MATCH(D10,Agents!A2:A999, 0)), "")</f>
        <v>Human</v>
      </c>
      <c r="S10" s="3" t="b">
        <f>NOT(R10 = "Human")</f>
        <v>0</v>
      </c>
      <c r="T10" s="2"/>
      <c r="U10" s="3" t="str">
        <f>_xlfn.IFNA(INDEX(R10, MATCH(T10,A10, 0)), "")</f>
      </c>
      <c r="V10" s="3" t="b">
        <f>AND(U10 = "Human", S10)</f>
        <v>0</v>
      </c>
      <c r="W10" s="2"/>
      <c r="X10" s="2"/>
      <c r="Y10" s="3" t="b">
        <f>AND(S10, NOT(BG10))</f>
        <v>0</v>
      </c>
      <c r="Z10" s="3" t="b">
        <f>AND(BG10, X10 &lt;&gt; "")</f>
        <v>0</v>
      </c>
      <c r="AA10" s="3">
        <f>COUNTIFS(AgentDecisionRecords!Q2:Q999, A10)</f>
        <v>0</v>
      </c>
      <c r="AB10" s="3">
        <f>COUNTIFS(AgentDecisionRecords!R2:R999, A10)</f>
        <v>0</v>
      </c>
      <c r="AC10" s="3">
        <f>IF(AA10 = 0, 0, (AB10 * 100) / AA10)</f>
        <v>0</v>
      </c>
      <c r="AD10" s="3" t="str">
        <f>_xlfn.IFNA(INDEX(AC10, MATCH(T10,A10, 0)), "")</f>
      </c>
      <c r="AE10" s="3" t="b">
        <f>AND(T10 &lt;&gt; "", AC10 &gt; AD10)</f>
        <v>0</v>
      </c>
      <c r="AF10" s="3" t="str">
        <f>IF(O10, C10, "")</f>
      </c>
      <c r="AG10" s="7"/>
      <c r="AH10" s="3" t="str">
        <f>_xlfn.IFNA(INDEX(AA10, MATCH(T10,A10, 0)), "")</f>
      </c>
      <c r="AI10" s="3" t="b">
        <f>AA10 &gt;= AG10</f>
        <v>1</v>
      </c>
      <c r="AJ10" s="3" t="b">
        <f>AH10 &gt;= AG10</f>
        <v>1</v>
      </c>
      <c r="AK10" s="3" t="b">
        <f>AND(AI10, AJ10)</f>
        <v>1</v>
      </c>
      <c r="AL10" s="3">
        <f>IF(AA10 &gt; 0, 100 / AA10, 0)</f>
        <v>0</v>
      </c>
      <c r="AM10" s="3" t="b">
        <f>AND(NOT(AK10), NOT(AE10))</f>
        <v>0</v>
      </c>
      <c r="AN10" s="3" t="b">
        <f>AND(V10, NOT(AK10))</f>
        <v>0</v>
      </c>
      <c r="AO10" s="3">
        <f>COUNTIFS(AgentDecisionRecords!AL2:AL999, A10)</f>
        <v>0</v>
      </c>
      <c r="AP10" s="3">
        <f>IF(AA10 &gt; 0, AO10 * 100 / AA10, 0)</f>
        <v>0</v>
      </c>
      <c r="AQ10" s="4"/>
      <c r="AR10" s="4"/>
      <c r="AS10" s="7"/>
      <c r="AT10" s="3" t="b">
        <f>AND(W10 &lt;&gt; "", AQ10 &lt;&gt; "")</f>
        <v>0</v>
      </c>
      <c r="AU10" s="5">
        <f>IF(AR10 &lt;&gt; "", (INT(J10) - INT(AR10)), (INT(J10) - INT(E10)))</f>
        <v>168</v>
      </c>
      <c r="AV10" s="3" t="b">
        <f>AND(AS10 &gt; 0, AU10 &gt; AS10)</f>
        <v>0</v>
      </c>
      <c r="AW10" s="3" t="b">
        <f>AND(P10, AND(S10, AV10))</f>
        <v>0</v>
      </c>
      <c r="AX10" s="3" t="b">
        <f>AND(V10, AS10 = 0)</f>
        <v>0</v>
      </c>
      <c r="AY10" s="7"/>
      <c r="AZ10" s="3" t="b">
        <f>AND(AY10 &gt; 0, AP10 &gt;= AY10)</f>
        <v>0</v>
      </c>
      <c r="BA10" s="3">
        <f>COUNTIFS(AgentDecisionRecords!AM2:AM999, A10)</f>
        <v>0</v>
      </c>
      <c r="BB10" s="3" t="b">
        <f>(BA10 &gt; 0)</f>
        <v>0</v>
      </c>
      <c r="BC10" s="3" t="b">
        <f>_xlfn.IFNA(INDEX(Roles!T2:T999, MATCH(C10,Roles!A2:A999, 0)), "")</f>
        <v>0</v>
      </c>
      <c r="BD10" s="3" t="b">
        <f>OR(AZ10, OR(BB10, BC10))</f>
        <v>0</v>
      </c>
      <c r="BE10" s="3" t="b">
        <f>AND(BD10, AND(P10, S10))</f>
        <v>0</v>
      </c>
      <c r="BF10" s="3" t="b">
        <f>AY10 &gt; 0</f>
        <v>0</v>
      </c>
      <c r="BG10" s="3" t="b">
        <f>W10 &lt;&gt; ""</f>
        <v>0</v>
      </c>
      <c r="BH10" s="3" t="b">
        <f>X10 &lt;&gt; ""</f>
        <v>0</v>
      </c>
      <c r="BI10" s="2"/>
      <c r="BJ10" s="3" t="b">
        <f>AND(BI10, Y10)</f>
        <v>0</v>
      </c>
      <c r="BK10" s="5">
        <f>IF(BG10, 1, 0) + IF(BH10, 1, 0)</f>
        <v>0</v>
      </c>
      <c r="BL10" s="3" t="str">
        <f>IF(Y10, C10, "")</f>
      </c>
      <c r="BM10" s="2" t="s">
        <v>310</v>
      </c>
    </row>
    <row r="11">
      <c r="A11" s="2" t="s">
        <v>251</v>
      </c>
      <c r="B11" s="3" t="str">
        <f>C11 &amp; " @ " &amp; TEXT(E11, "yyyy-mm-dd hh:mm:ss")&amp;"+00"</f>
        <v>knowledge-authority @ 2026-01-01 06:00:00+00</v>
      </c>
      <c r="C11" s="2" t="s">
        <v>248</v>
      </c>
      <c r="D11" s="2" t="s">
        <v>149</v>
      </c>
      <c r="E11" s="4">
        <v>46023.25</v>
      </c>
      <c r="F11" s="4"/>
      <c r="G11" s="2" t="s">
        <v>321</v>
      </c>
      <c r="H11" s="2" t="s">
        <v>309</v>
      </c>
      <c r="I11" s="2" t="s">
        <v>95</v>
      </c>
      <c r="J11" s="6">
        <f>_xlfn.IFNA(INDEX(EvaluationContexts!D2:D999, MATCH(I11,EvaluationContexts!A2:A999, 0)), "")</f>
        <v>46222.75</v>
      </c>
      <c r="K11" s="3" t="b">
        <f>AND(E11 &lt;= J11, OR(F11 = "", F11 &gt; J11))</f>
        <v>1</v>
      </c>
      <c r="L11" s="3" t="str">
        <f>IF(K11, D11, "")</f>
        <v>priya-raman</v>
      </c>
      <c r="M11" s="3" t="b">
        <f>AND(H11 = "Active", OR(F11 = "", F11 &gt; J11))</f>
        <v>1</v>
      </c>
      <c r="N11" s="3" t="str">
        <f>IF(M11, D11 &amp; "|" &amp; C11, "")</f>
        <v>priya-raman|knowledge-authority</v>
      </c>
      <c r="O11" s="3" t="b">
        <f>AND(F11 &lt;&gt; "", F11 &lt;= J11)</f>
        <v>0</v>
      </c>
      <c r="P11" s="3" t="b">
        <f>AND(H11 = "Active", E11 &lt;= J11, OR(F11 = "", F11 &gt; J11))</f>
        <v>1</v>
      </c>
      <c r="Q11" s="3" t="str">
        <f>IF(P11, C11, "")</f>
        <v>knowledge-authority</v>
      </c>
      <c r="R11" s="3" t="str">
        <f>_xlfn.IFNA(INDEX(Agents!D2:D999, MATCH(D11,Agents!A2:A999, 0)), "")</f>
        <v>Human</v>
      </c>
      <c r="S11" s="3" t="b">
        <f>NOT(R11 = "Human")</f>
        <v>0</v>
      </c>
      <c r="T11" s="2"/>
      <c r="U11" s="3" t="str">
        <f>_xlfn.IFNA(INDEX(R11, MATCH(T11,A11, 0)), "")</f>
      </c>
      <c r="V11" s="3" t="b">
        <f>AND(U11 = "Human", S11)</f>
        <v>0</v>
      </c>
      <c r="W11" s="2"/>
      <c r="X11" s="2"/>
      <c r="Y11" s="3" t="b">
        <f>AND(S11, NOT(BG11))</f>
        <v>0</v>
      </c>
      <c r="Z11" s="3" t="b">
        <f>AND(BG11, X11 &lt;&gt; "")</f>
        <v>0</v>
      </c>
      <c r="AA11" s="3">
        <f>COUNTIFS(AgentDecisionRecords!Q2:Q999, A11)</f>
        <v>0</v>
      </c>
      <c r="AB11" s="3">
        <f>COUNTIFS(AgentDecisionRecords!R2:R999, A11)</f>
        <v>0</v>
      </c>
      <c r="AC11" s="3">
        <f>IF(AA11 = 0, 0, (AB11 * 100) / AA11)</f>
        <v>0</v>
      </c>
      <c r="AD11" s="3" t="str">
        <f>_xlfn.IFNA(INDEX(AC11, MATCH(T11,A11, 0)), "")</f>
      </c>
      <c r="AE11" s="3" t="b">
        <f>AND(T11 &lt;&gt; "", AC11 &gt; AD11)</f>
        <v>0</v>
      </c>
      <c r="AF11" s="3" t="str">
        <f>IF(O11, C11, "")</f>
      </c>
      <c r="AG11" s="7"/>
      <c r="AH11" s="3" t="str">
        <f>_xlfn.IFNA(INDEX(AA11, MATCH(T11,A11, 0)), "")</f>
      </c>
      <c r="AI11" s="3" t="b">
        <f>AA11 &gt;= AG11</f>
        <v>1</v>
      </c>
      <c r="AJ11" s="3" t="b">
        <f>AH11 &gt;= AG11</f>
        <v>1</v>
      </c>
      <c r="AK11" s="3" t="b">
        <f>AND(AI11, AJ11)</f>
        <v>1</v>
      </c>
      <c r="AL11" s="3">
        <f>IF(AA11 &gt; 0, 100 / AA11, 0)</f>
        <v>0</v>
      </c>
      <c r="AM11" s="3" t="b">
        <f>AND(NOT(AK11), NOT(AE11))</f>
        <v>0</v>
      </c>
      <c r="AN11" s="3" t="b">
        <f>AND(V11, NOT(AK11))</f>
        <v>0</v>
      </c>
      <c r="AO11" s="3">
        <f>COUNTIFS(AgentDecisionRecords!AL2:AL999, A11)</f>
        <v>0</v>
      </c>
      <c r="AP11" s="3">
        <f>IF(AA11 &gt; 0, AO11 * 100 / AA11, 0)</f>
        <v>0</v>
      </c>
      <c r="AQ11" s="4"/>
      <c r="AR11" s="4"/>
      <c r="AS11" s="7"/>
      <c r="AT11" s="3" t="b">
        <f>AND(W11 &lt;&gt; "", AQ11 &lt;&gt; "")</f>
        <v>0</v>
      </c>
      <c r="AU11" s="5">
        <f>IF(AR11 &lt;&gt; "", (INT(J11) - INT(AR11)), (INT(J11) - INT(E11)))</f>
        <v>199</v>
      </c>
      <c r="AV11" s="3" t="b">
        <f>AND(AS11 &gt; 0, AU11 &gt; AS11)</f>
        <v>0</v>
      </c>
      <c r="AW11" s="3" t="b">
        <f>AND(P11, AND(S11, AV11))</f>
        <v>0</v>
      </c>
      <c r="AX11" s="3" t="b">
        <f>AND(V11, AS11 = 0)</f>
        <v>0</v>
      </c>
      <c r="AY11" s="7"/>
      <c r="AZ11" s="3" t="b">
        <f>AND(AY11 &gt; 0, AP11 &gt;= AY11)</f>
        <v>0</v>
      </c>
      <c r="BA11" s="3">
        <f>COUNTIFS(AgentDecisionRecords!AM2:AM999, A11)</f>
        <v>0</v>
      </c>
      <c r="BB11" s="3" t="b">
        <f>(BA11 &gt; 0)</f>
        <v>0</v>
      </c>
      <c r="BC11" s="3" t="b">
        <f>_xlfn.IFNA(INDEX(Roles!T2:T999, MATCH(C11,Roles!A2:A999, 0)), "")</f>
        <v>0</v>
      </c>
      <c r="BD11" s="3" t="b">
        <f>OR(AZ11, OR(BB11, BC11))</f>
        <v>0</v>
      </c>
      <c r="BE11" s="3" t="b">
        <f>AND(BD11, AND(P11, S11))</f>
        <v>0</v>
      </c>
      <c r="BF11" s="3" t="b">
        <f>AY11 &gt; 0</f>
        <v>0</v>
      </c>
      <c r="BG11" s="3" t="b">
        <f>W11 &lt;&gt; ""</f>
        <v>0</v>
      </c>
      <c r="BH11" s="3" t="b">
        <f>X11 &lt;&gt; ""</f>
        <v>0</v>
      </c>
      <c r="BI11" s="2"/>
      <c r="BJ11" s="3" t="b">
        <f>AND(BI11, Y11)</f>
        <v>0</v>
      </c>
      <c r="BK11" s="5">
        <f>IF(BG11, 1, 0) + IF(BH11, 1, 0)</f>
        <v>0</v>
      </c>
      <c r="BL11" s="3" t="str">
        <f>IF(Y11, C11, "")</f>
      </c>
      <c r="BM11" s="2" t="s">
        <v>310</v>
      </c>
    </row>
    <row r="12">
      <c r="A12" s="2" t="s">
        <v>247</v>
      </c>
      <c r="B12" s="3" t="str">
        <f>C12 &amp; " @ " &amp; TEXT(E12, "yyyy-mm-dd hh:mm:ss")&amp;"+00"</f>
        <v>process-steward @ 2026-04-15 14:00:00+00</v>
      </c>
      <c r="C12" s="2" t="s">
        <v>244</v>
      </c>
      <c r="D12" s="2" t="s">
        <v>153</v>
      </c>
      <c r="E12" s="4">
        <v>46127.583333333336</v>
      </c>
      <c r="F12" s="4"/>
      <c r="G12" s="2" t="s">
        <v>322</v>
      </c>
      <c r="H12" s="2" t="s">
        <v>309</v>
      </c>
      <c r="I12" s="2" t="s">
        <v>95</v>
      </c>
      <c r="J12" s="6">
        <f>_xlfn.IFNA(INDEX(EvaluationContexts!D2:D999, MATCH(I12,EvaluationContexts!A2:A999, 0)), "")</f>
        <v>46222.75</v>
      </c>
      <c r="K12" s="3" t="b">
        <f>AND(E12 &lt;= J12, OR(F12 = "", F12 &gt; J12))</f>
        <v>1</v>
      </c>
      <c r="L12" s="3" t="str">
        <f>IF(K12, D12, "")</f>
        <v>elena-garcia</v>
      </c>
      <c r="M12" s="3" t="b">
        <f>AND(H12 = "Active", OR(F12 = "", F12 &gt; J12))</f>
        <v>1</v>
      </c>
      <c r="N12" s="3" t="str">
        <f>IF(M12, D12 &amp; "|" &amp; C12, "")</f>
        <v>elena-garcia|process-steward</v>
      </c>
      <c r="O12" s="3" t="b">
        <f>AND(F12 &lt;&gt; "", F12 &lt;= J12)</f>
        <v>0</v>
      </c>
      <c r="P12" s="3" t="b">
        <f>AND(H12 = "Active", E12 &lt;= J12, OR(F12 = "", F12 &gt; J12))</f>
        <v>1</v>
      </c>
      <c r="Q12" s="3" t="str">
        <f>IF(P12, C12, "")</f>
        <v>process-steward</v>
      </c>
      <c r="R12" s="3" t="str">
        <f>_xlfn.IFNA(INDEX(Agents!D2:D999, MATCH(D12,Agents!A2:A999, 0)), "")</f>
        <v>Human</v>
      </c>
      <c r="S12" s="3" t="b">
        <f>NOT(R12 = "Human")</f>
        <v>0</v>
      </c>
      <c r="T12" s="2"/>
      <c r="U12" s="3" t="str">
        <f>_xlfn.IFNA(INDEX(R12, MATCH(T12,A12, 0)), "")</f>
      </c>
      <c r="V12" s="3" t="b">
        <f>AND(U12 = "Human", S12)</f>
        <v>0</v>
      </c>
      <c r="W12" s="2"/>
      <c r="X12" s="2"/>
      <c r="Y12" s="3" t="b">
        <f>AND(S12, NOT(BG12))</f>
        <v>0</v>
      </c>
      <c r="Z12" s="3" t="b">
        <f>AND(BG12, X12 &lt;&gt; "")</f>
        <v>0</v>
      </c>
      <c r="AA12" s="3">
        <f>COUNTIFS(AgentDecisionRecords!Q2:Q999, A12)</f>
        <v>0</v>
      </c>
      <c r="AB12" s="3">
        <f>COUNTIFS(AgentDecisionRecords!R2:R999, A12)</f>
        <v>0</v>
      </c>
      <c r="AC12" s="3">
        <f>IF(AA12 = 0, 0, (AB12 * 100) / AA12)</f>
        <v>0</v>
      </c>
      <c r="AD12" s="3" t="str">
        <f>_xlfn.IFNA(INDEX(AC12, MATCH(T12,A12, 0)), "")</f>
      </c>
      <c r="AE12" s="3" t="b">
        <f>AND(T12 &lt;&gt; "", AC12 &gt; AD12)</f>
        <v>0</v>
      </c>
      <c r="AF12" s="3" t="str">
        <f>IF(O12, C12, "")</f>
      </c>
      <c r="AG12" s="7"/>
      <c r="AH12" s="3" t="str">
        <f>_xlfn.IFNA(INDEX(AA12, MATCH(T12,A12, 0)), "")</f>
      </c>
      <c r="AI12" s="3" t="b">
        <f>AA12 &gt;= AG12</f>
        <v>1</v>
      </c>
      <c r="AJ12" s="3" t="b">
        <f>AH12 &gt;= AG12</f>
        <v>1</v>
      </c>
      <c r="AK12" s="3" t="b">
        <f>AND(AI12, AJ12)</f>
        <v>1</v>
      </c>
      <c r="AL12" s="3">
        <f>IF(AA12 &gt; 0, 100 / AA12, 0)</f>
        <v>0</v>
      </c>
      <c r="AM12" s="3" t="b">
        <f>AND(NOT(AK12), NOT(AE12))</f>
        <v>0</v>
      </c>
      <c r="AN12" s="3" t="b">
        <f>AND(V12, NOT(AK12))</f>
        <v>0</v>
      </c>
      <c r="AO12" s="3">
        <f>COUNTIFS(AgentDecisionRecords!AL2:AL999, A12)</f>
        <v>0</v>
      </c>
      <c r="AP12" s="3">
        <f>IF(AA12 &gt; 0, AO12 * 100 / AA12, 0)</f>
        <v>0</v>
      </c>
      <c r="AQ12" s="4"/>
      <c r="AR12" s="4"/>
      <c r="AS12" s="7"/>
      <c r="AT12" s="3" t="b">
        <f>AND(W12 &lt;&gt; "", AQ12 &lt;&gt; "")</f>
        <v>0</v>
      </c>
      <c r="AU12" s="5">
        <f>IF(AR12 &lt;&gt; "", (INT(J12) - INT(AR12)), (INT(J12) - INT(E12)))</f>
        <v>95</v>
      </c>
      <c r="AV12" s="3" t="b">
        <f>AND(AS12 &gt; 0, AU12 &gt; AS12)</f>
        <v>0</v>
      </c>
      <c r="AW12" s="3" t="b">
        <f>AND(P12, AND(S12, AV12))</f>
        <v>0</v>
      </c>
      <c r="AX12" s="3" t="b">
        <f>AND(V12, AS12 = 0)</f>
        <v>0</v>
      </c>
      <c r="AY12" s="7"/>
      <c r="AZ12" s="3" t="b">
        <f>AND(AY12 &gt; 0, AP12 &gt;= AY12)</f>
        <v>0</v>
      </c>
      <c r="BA12" s="3">
        <f>COUNTIFS(AgentDecisionRecords!AM2:AM999, A12)</f>
        <v>0</v>
      </c>
      <c r="BB12" s="3" t="b">
        <f>(BA12 &gt; 0)</f>
        <v>0</v>
      </c>
      <c r="BC12" s="3" t="b">
        <f>_xlfn.IFNA(INDEX(Roles!T2:T999, MATCH(C12,Roles!A2:A999, 0)), "")</f>
        <v>0</v>
      </c>
      <c r="BD12" s="3" t="b">
        <f>OR(AZ12, OR(BB12, BC12))</f>
        <v>0</v>
      </c>
      <c r="BE12" s="3" t="b">
        <f>AND(BD12, AND(P12, S12))</f>
        <v>0</v>
      </c>
      <c r="BF12" s="3" t="b">
        <f>AY12 &gt; 0</f>
        <v>0</v>
      </c>
      <c r="BG12" s="3" t="b">
        <f>W12 &lt;&gt; ""</f>
        <v>0</v>
      </c>
      <c r="BH12" s="3" t="b">
        <f>X12 &lt;&gt; ""</f>
        <v>0</v>
      </c>
      <c r="BI12" s="2"/>
      <c r="BJ12" s="3" t="b">
        <f>AND(BI12, Y12)</f>
        <v>0</v>
      </c>
      <c r="BK12" s="5">
        <f>IF(BG12, 1, 0) + IF(BH12, 1, 0)</f>
        <v>0</v>
      </c>
      <c r="BL12" s="3" t="str">
        <f>IF(Y12, C12, "")</f>
      </c>
      <c r="BM12" s="2" t="s">
        <v>310</v>
      </c>
    </row>
    <row r="13">
      <c r="A13" s="2" t="s">
        <v>231</v>
      </c>
      <c r="B13" s="3" t="str">
        <f>C13 &amp; " @ " &amp; TEXT(E13, "yyyy-mm-dd hh:mm:ss")&amp;"+00"</f>
        <v>close-automation @ 2026-01-01 06:00:00+00</v>
      </c>
      <c r="C13" s="2" t="s">
        <v>228</v>
      </c>
      <c r="D13" s="2" t="s">
        <v>165</v>
      </c>
      <c r="E13" s="4">
        <v>46023.25</v>
      </c>
      <c r="F13" s="4"/>
      <c r="G13" s="2" t="s">
        <v>323</v>
      </c>
      <c r="H13" s="2" t="s">
        <v>309</v>
      </c>
      <c r="I13" s="2" t="s">
        <v>95</v>
      </c>
      <c r="J13" s="6">
        <f>_xlfn.IFNA(INDEX(EvaluationContexts!D2:D999, MATCH(I13,EvaluationContexts!A2:A999, 0)), "")</f>
        <v>46222.75</v>
      </c>
      <c r="K13" s="3" t="b">
        <f>AND(E13 &lt;= J13, OR(F13 = "", F13 &gt; J13))</f>
        <v>1</v>
      </c>
      <c r="L13" s="3" t="str">
        <f>IF(K13, D13, "")</f>
        <v>close-pipeline</v>
      </c>
      <c r="M13" s="3" t="b">
        <f>AND(H13 = "Active", OR(F13 = "", F13 &gt; J13))</f>
        <v>1</v>
      </c>
      <c r="N13" s="3" t="str">
        <f>IF(M13, D13 &amp; "|" &amp; C13, "")</f>
        <v>close-pipeline|close-automation</v>
      </c>
      <c r="O13" s="3" t="b">
        <f>AND(F13 &lt;&gt; "", F13 &lt;= J13)</f>
        <v>0</v>
      </c>
      <c r="P13" s="3" t="b">
        <f>AND(H13 = "Active", E13 &lt;= J13, OR(F13 = "", F13 &gt; J13))</f>
        <v>1</v>
      </c>
      <c r="Q13" s="3" t="str">
        <f>IF(P13, C13, "")</f>
        <v>close-automation</v>
      </c>
      <c r="R13" s="3" t="str">
        <f>_xlfn.IFNA(INDEX(Agents!D2:D999, MATCH(D13,Agents!A2:A999, 0)), "")</f>
        <v>AutomatedPipeline</v>
      </c>
      <c r="S13" s="3" t="b">
        <f>NOT(R13 = "Human")</f>
        <v>1</v>
      </c>
      <c r="T13" s="2"/>
      <c r="U13" s="3" t="str">
        <f>_xlfn.IFNA(INDEX(R13, MATCH(T13,A13, 0)), "")</f>
      </c>
      <c r="V13" s="3" t="b">
        <f>AND(U13 = "Human", S13)</f>
        <v>0</v>
      </c>
      <c r="W13" s="2"/>
      <c r="X13" s="2"/>
      <c r="Y13" s="3" t="b">
        <f>AND(S13, NOT(BG13))</f>
        <v>1</v>
      </c>
      <c r="Z13" s="3" t="b">
        <f>AND(BG13, X13 &lt;&gt; "")</f>
        <v>0</v>
      </c>
      <c r="AA13" s="3">
        <f>COUNTIFS(AgentDecisionRecords!Q2:Q999, A13)</f>
        <v>0</v>
      </c>
      <c r="AB13" s="3">
        <f>COUNTIFS(AgentDecisionRecords!R2:R999, A13)</f>
        <v>0</v>
      </c>
      <c r="AC13" s="3">
        <f>IF(AA13 = 0, 0, (AB13 * 100) / AA13)</f>
        <v>0</v>
      </c>
      <c r="AD13" s="3" t="str">
        <f>_xlfn.IFNA(INDEX(AC13, MATCH(T13,A13, 0)), "")</f>
      </c>
      <c r="AE13" s="3" t="b">
        <f>AND(T13 &lt;&gt; "", AC13 &gt; AD13)</f>
        <v>0</v>
      </c>
      <c r="AF13" s="3" t="str">
        <f>IF(O13, C13, "")</f>
      </c>
      <c r="AG13" s="7"/>
      <c r="AH13" s="3" t="str">
        <f>_xlfn.IFNA(INDEX(AA13, MATCH(T13,A13, 0)), "")</f>
      </c>
      <c r="AI13" s="3" t="b">
        <f>AA13 &gt;= AG13</f>
        <v>1</v>
      </c>
      <c r="AJ13" s="3" t="b">
        <f>AH13 &gt;= AG13</f>
        <v>1</v>
      </c>
      <c r="AK13" s="3" t="b">
        <f>AND(AI13, AJ13)</f>
        <v>1</v>
      </c>
      <c r="AL13" s="3">
        <f>IF(AA13 &gt; 0, 100 / AA13, 0)</f>
        <v>0</v>
      </c>
      <c r="AM13" s="3" t="b">
        <f>AND(NOT(AK13), NOT(AE13))</f>
        <v>0</v>
      </c>
      <c r="AN13" s="3" t="b">
        <f>AND(V13, NOT(AK13))</f>
        <v>0</v>
      </c>
      <c r="AO13" s="3">
        <f>COUNTIFS(AgentDecisionRecords!AL2:AL999, A13)</f>
        <v>0</v>
      </c>
      <c r="AP13" s="3">
        <f>IF(AA13 &gt; 0, AO13 * 100 / AA13, 0)</f>
        <v>0</v>
      </c>
      <c r="AQ13" s="4"/>
      <c r="AR13" s="4"/>
      <c r="AS13" s="7"/>
      <c r="AT13" s="3" t="b">
        <f>AND(W13 &lt;&gt; "", AQ13 &lt;&gt; "")</f>
        <v>0</v>
      </c>
      <c r="AU13" s="5">
        <f>IF(AR13 &lt;&gt; "", (INT(J13) - INT(AR13)), (INT(J13) - INT(E13)))</f>
        <v>199</v>
      </c>
      <c r="AV13" s="3" t="b">
        <f>AND(AS13 &gt; 0, AU13 &gt; AS13)</f>
        <v>0</v>
      </c>
      <c r="AW13" s="3" t="b">
        <f>AND(P13, AND(S13, AV13))</f>
        <v>0</v>
      </c>
      <c r="AX13" s="3" t="b">
        <f>AND(V13, AS13 = 0)</f>
        <v>0</v>
      </c>
      <c r="AY13" s="7"/>
      <c r="AZ13" s="3" t="b">
        <f>AND(AY13 &gt; 0, AP13 &gt;= AY13)</f>
        <v>0</v>
      </c>
      <c r="BA13" s="3">
        <f>COUNTIFS(AgentDecisionRecords!AM2:AM999, A13)</f>
        <v>0</v>
      </c>
      <c r="BB13" s="3" t="b">
        <f>(BA13 &gt; 0)</f>
        <v>0</v>
      </c>
      <c r="BC13" s="3" t="b">
        <f>_xlfn.IFNA(INDEX(Roles!T2:T999, MATCH(C13,Roles!A2:A999, 0)), "")</f>
        <v>0</v>
      </c>
      <c r="BD13" s="3" t="b">
        <f>OR(AZ13, OR(BB13, BC13))</f>
        <v>0</v>
      </c>
      <c r="BE13" s="3" t="b">
        <f>AND(BD13, AND(P13, S13))</f>
        <v>0</v>
      </c>
      <c r="BF13" s="3" t="b">
        <f>AY13 &gt; 0</f>
        <v>0</v>
      </c>
      <c r="BG13" s="3" t="b">
        <f>W13 &lt;&gt; ""</f>
        <v>0</v>
      </c>
      <c r="BH13" s="3" t="b">
        <f>X13 &lt;&gt; ""</f>
        <v>0</v>
      </c>
      <c r="BI13" s="2"/>
      <c r="BJ13" s="3" t="b">
        <f>AND(BI13, Y13)</f>
        <v>1</v>
      </c>
      <c r="BK13" s="5">
        <f>IF(BG13, 1, 0) + IF(BH13, 1, 0)</f>
        <v>0</v>
      </c>
      <c r="BL13" s="3" t="str">
        <f>IF(Y13, C13, "")</f>
        <v>close-automation</v>
      </c>
      <c r="BM13" s="2" t="s">
        <v>310</v>
      </c>
    </row>
    <row r="14">
      <c r="A14" s="2" t="s">
        <v>239</v>
      </c>
      <c r="B14" s="3" t="str">
        <f>C14 &amp; " @ " &amp; TEXT(E14, "yyyy-mm-dd hh:mm:ss")&amp;"+00"</f>
        <v>policy-drafting-agent @ 2026-05-01 05:00:00+00</v>
      </c>
      <c r="C14" s="2" t="s">
        <v>236</v>
      </c>
      <c r="D14" s="2" t="s">
        <v>175</v>
      </c>
      <c r="E14" s="4">
        <v>46143.208333333336</v>
      </c>
      <c r="F14" s="4"/>
      <c r="G14" s="2" t="s">
        <v>324</v>
      </c>
      <c r="H14" s="2" t="s">
        <v>309</v>
      </c>
      <c r="I14" s="2" t="s">
        <v>95</v>
      </c>
      <c r="J14" s="6">
        <f>_xlfn.IFNA(INDEX(EvaluationContexts!D2:D999, MATCH(I14,EvaluationContexts!A2:A999, 0)), "")</f>
        <v>46222.75</v>
      </c>
      <c r="K14" s="3" t="b">
        <f>AND(E14 &lt;= J14, OR(F14 = "", F14 &gt; J14))</f>
        <v>1</v>
      </c>
      <c r="L14" s="3" t="str">
        <f>IF(K14, D14, "")</f>
        <v>policy-drafting-ai</v>
      </c>
      <c r="M14" s="3" t="b">
        <f>AND(H14 = "Active", OR(F14 = "", F14 &gt; J14))</f>
        <v>1</v>
      </c>
      <c r="N14" s="3" t="str">
        <f>IF(M14, D14 &amp; "|" &amp; C14, "")</f>
        <v>policy-drafting-ai|policy-drafting-agent</v>
      </c>
      <c r="O14" s="3" t="b">
        <f>AND(F14 &lt;&gt; "", F14 &lt;= J14)</f>
        <v>0</v>
      </c>
      <c r="P14" s="3" t="b">
        <f>AND(H14 = "Active", E14 &lt;= J14, OR(F14 = "", F14 &gt; J14))</f>
        <v>1</v>
      </c>
      <c r="Q14" s="3" t="str">
        <f>IF(P14, C14, "")</f>
        <v>policy-drafting-agent</v>
      </c>
      <c r="R14" s="3" t="str">
        <f>_xlfn.IFNA(INDEX(Agents!D2:D999, MATCH(D14,Agents!A2:A999, 0)), "")</f>
        <v>AIAgent</v>
      </c>
      <c r="S14" s="3" t="b">
        <f>NOT(R14 = "Human")</f>
        <v>1</v>
      </c>
      <c r="T14" s="2"/>
      <c r="U14" s="3" t="str">
        <f>_xlfn.IFNA(INDEX(R14, MATCH(T14,A14, 0)), "")</f>
      </c>
      <c r="V14" s="3" t="b">
        <f>AND(U14 = "Human", S14)</f>
        <v>0</v>
      </c>
      <c r="W14" s="2"/>
      <c r="X14" s="2"/>
      <c r="Y14" s="3" t="b">
        <f>AND(S14, NOT(BG14))</f>
        <v>1</v>
      </c>
      <c r="Z14" s="3" t="b">
        <f>AND(BG14, X14 &lt;&gt; "")</f>
        <v>0</v>
      </c>
      <c r="AA14" s="3">
        <f>COUNTIFS(AgentDecisionRecords!Q2:Q999, A14)</f>
        <v>0</v>
      </c>
      <c r="AB14" s="3">
        <f>COUNTIFS(AgentDecisionRecords!R2:R999, A14)</f>
        <v>0</v>
      </c>
      <c r="AC14" s="3">
        <f>IF(AA14 = 0, 0, (AB14 * 100) / AA14)</f>
        <v>0</v>
      </c>
      <c r="AD14" s="3" t="str">
        <f>_xlfn.IFNA(INDEX(AC14, MATCH(T14,A14, 0)), "")</f>
      </c>
      <c r="AE14" s="3" t="b">
        <f>AND(T14 &lt;&gt; "", AC14 &gt; AD14)</f>
        <v>0</v>
      </c>
      <c r="AF14" s="3" t="str">
        <f>IF(O14, C14, "")</f>
      </c>
      <c r="AG14" s="7"/>
      <c r="AH14" s="3" t="str">
        <f>_xlfn.IFNA(INDEX(AA14, MATCH(T14,A14, 0)), "")</f>
      </c>
      <c r="AI14" s="3" t="b">
        <f>AA14 &gt;= AG14</f>
        <v>1</v>
      </c>
      <c r="AJ14" s="3" t="b">
        <f>AH14 &gt;= AG14</f>
        <v>1</v>
      </c>
      <c r="AK14" s="3" t="b">
        <f>AND(AI14, AJ14)</f>
        <v>1</v>
      </c>
      <c r="AL14" s="3">
        <f>IF(AA14 &gt; 0, 100 / AA14, 0)</f>
        <v>0</v>
      </c>
      <c r="AM14" s="3" t="b">
        <f>AND(NOT(AK14), NOT(AE14))</f>
        <v>0</v>
      </c>
      <c r="AN14" s="3" t="b">
        <f>AND(V14, NOT(AK14))</f>
        <v>0</v>
      </c>
      <c r="AO14" s="3">
        <f>COUNTIFS(AgentDecisionRecords!AL2:AL999, A14)</f>
        <v>0</v>
      </c>
      <c r="AP14" s="3">
        <f>IF(AA14 &gt; 0, AO14 * 100 / AA14, 0)</f>
        <v>0</v>
      </c>
      <c r="AQ14" s="4"/>
      <c r="AR14" s="4"/>
      <c r="AS14" s="7"/>
      <c r="AT14" s="3" t="b">
        <f>AND(W14 &lt;&gt; "", AQ14 &lt;&gt; "")</f>
        <v>0</v>
      </c>
      <c r="AU14" s="5">
        <f>IF(AR14 &lt;&gt; "", (INT(J14) - INT(AR14)), (INT(J14) - INT(E14)))</f>
        <v>79</v>
      </c>
      <c r="AV14" s="3" t="b">
        <f>AND(AS14 &gt; 0, AU14 &gt; AS14)</f>
        <v>0</v>
      </c>
      <c r="AW14" s="3" t="b">
        <f>AND(P14, AND(S14, AV14))</f>
        <v>0</v>
      </c>
      <c r="AX14" s="3" t="b">
        <f>AND(V14, AS14 = 0)</f>
        <v>0</v>
      </c>
      <c r="AY14" s="7"/>
      <c r="AZ14" s="3" t="b">
        <f>AND(AY14 &gt; 0, AP14 &gt;= AY14)</f>
        <v>0</v>
      </c>
      <c r="BA14" s="3">
        <f>COUNTIFS(AgentDecisionRecords!AM2:AM999, A14)</f>
        <v>0</v>
      </c>
      <c r="BB14" s="3" t="b">
        <f>(BA14 &gt; 0)</f>
        <v>0</v>
      </c>
      <c r="BC14" s="3" t="b">
        <f>_xlfn.IFNA(INDEX(Roles!T2:T999, MATCH(C14,Roles!A2:A999, 0)), "")</f>
        <v>0</v>
      </c>
      <c r="BD14" s="3" t="b">
        <f>OR(AZ14, OR(BB14, BC14))</f>
        <v>0</v>
      </c>
      <c r="BE14" s="3" t="b">
        <f>AND(BD14, AND(P14, S14))</f>
        <v>0</v>
      </c>
      <c r="BF14" s="3" t="b">
        <f>AY14 &gt; 0</f>
        <v>0</v>
      </c>
      <c r="BG14" s="3" t="b">
        <f>W14 &lt;&gt; ""</f>
        <v>0</v>
      </c>
      <c r="BH14" s="3" t="b">
        <f>X14 &lt;&gt; ""</f>
        <v>0</v>
      </c>
      <c r="BI14" s="2"/>
      <c r="BJ14" s="3" t="b">
        <f>AND(BI14, Y14)</f>
        <v>1</v>
      </c>
      <c r="BK14" s="5">
        <f>IF(BG14, 1, 0) + IF(BH14, 1, 0)</f>
        <v>0</v>
      </c>
      <c r="BL14" s="3" t="str">
        <f>IF(Y14, C14, "")</f>
        <v>policy-drafting-agent</v>
      </c>
      <c r="BM14" s="2" t="s">
        <v>310</v>
      </c>
    </row>
  </sheetData>
  <autoFilter ref="A1:BM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3"/>
  <sheetViews>
    <sheetView workbookViewId="0">
      <pane ySplit="1" topLeftCell="A2" state="frozen" activePane="bottomLeft"/>
      <selection pane="bottomLeft" activeCell="A1" sqref="A1"/>
    </sheetView>
  </sheetViews>
  <sheetFormatPr defaultRowHeight="15"/>
  <cols>
    <col min="1" max="1" width="23.591171264648438" customWidth="1"/>
    <col min="2" max="2" width="36.758056640625" customWidth="1"/>
    <col min="3" max="3" width="36.758056640625" customWidth="1"/>
    <col min="4" max="4" width="17.443378448486328" customWidth="1"/>
    <col min="5" max="5" width="17.443378448486328" customWidth="1"/>
    <col min="6" max="6" width="82.62125396728516" customWidth="1"/>
    <col min="7" max="7" width="35.888980865478516" customWidth="1"/>
    <col min="8" max="8" width="49.13412094116211" customWidth="1"/>
  </cols>
  <sheetData>
    <row r="1">
      <c r="A1" s="1" t="s">
        <v>325</v>
      </c>
      <c r="B1" s="1" t="s">
        <v>1</v>
      </c>
      <c r="C1" s="1" t="s">
        <v>19</v>
      </c>
      <c r="D1" s="1" t="s">
        <v>121</v>
      </c>
      <c r="E1" s="1" t="s">
        <v>326</v>
      </c>
      <c r="F1" s="1" t="s">
        <v>327</v>
      </c>
      <c r="G1" s="1" t="s">
        <v>328</v>
      </c>
      <c r="H1" s="1" t="s">
        <v>94</v>
      </c>
    </row>
    <row r="2">
      <c r="A2" s="2" t="s">
        <v>329</v>
      </c>
      <c r="B2" s="3" t="str">
        <f>C2</f>
        <v>Financial Close Community of Practice</v>
      </c>
      <c r="C2" s="2" t="s">
        <v>330</v>
      </c>
      <c r="D2" s="2" t="s">
        <v>108</v>
      </c>
      <c r="E2" s="2" t="s">
        <v>208</v>
      </c>
      <c r="F2" s="2" t="s">
        <v>331</v>
      </c>
      <c r="G2" s="2" t="s">
        <v>332</v>
      </c>
      <c r="H2" s="2" t="s">
        <v>333</v>
      </c>
    </row>
    <row r="3">
      <c r="A3" s="2" t="s">
        <v>334</v>
      </c>
      <c r="B3" s="3" t="str">
        <f>C3</f>
        <v>Policy Stewardship Circle</v>
      </c>
      <c r="C3" s="2" t="s">
        <v>335</v>
      </c>
      <c r="D3" s="2" t="s">
        <v>113</v>
      </c>
      <c r="E3" s="2" t="s">
        <v>244</v>
      </c>
      <c r="F3" s="2" t="s">
        <v>336</v>
      </c>
      <c r="G3" s="2" t="s">
        <v>337</v>
      </c>
      <c r="H3" s="2" t="s">
        <v>333</v>
      </c>
    </row>
  </sheetData>
  <autoFilter ref="A1:H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
  <sheetViews>
    <sheetView workbookViewId="0">
      <pane ySplit="1" topLeftCell="A2" state="frozen" activePane="bottomLeft"/>
      <selection pane="bottomLeft" activeCell="A1" sqref="A1"/>
    </sheetView>
  </sheetViews>
  <sheetFormatPr defaultRowHeight="15"/>
  <cols>
    <col min="1" max="1" width="19.432287216186523" customWidth="1"/>
    <col min="2" max="2" width="27.68403434753418" customWidth="1"/>
    <col min="3" max="3" width="21.611921310424805" customWidth="1"/>
    <col min="4" max="4" width="17.443378448486328" customWidth="1"/>
    <col min="5" max="5" width="17.443378448486328" customWidth="1"/>
    <col min="6" max="6" width="23.46630859375" customWidth="1"/>
    <col min="7" max="7" width="23.46630859375" customWidth="1"/>
    <col min="8" max="8" width="94.56621551513672" customWidth="1"/>
    <col min="9" max="9" width="56.884342193603516" customWidth="1"/>
    <col min="10" max="10" width="38.85033416748047" customWidth="1"/>
  </cols>
  <sheetData>
    <row r="1">
      <c r="A1" s="1" t="s">
        <v>338</v>
      </c>
      <c r="B1" s="1" t="s">
        <v>1</v>
      </c>
      <c r="C1" s="1" t="s">
        <v>339</v>
      </c>
      <c r="D1" s="1" t="s">
        <v>340</v>
      </c>
      <c r="E1" s="1" t="s">
        <v>341</v>
      </c>
      <c r="F1" s="1" t="s">
        <v>255</v>
      </c>
      <c r="G1" s="1" t="s">
        <v>256</v>
      </c>
      <c r="H1" s="1" t="s">
        <v>342</v>
      </c>
      <c r="I1" s="1" t="s">
        <v>343</v>
      </c>
      <c r="J1" s="1" t="s">
        <v>94</v>
      </c>
    </row>
    <row r="2">
      <c r="A2" s="2" t="s">
        <v>344</v>
      </c>
      <c r="B2" s="3" t="str">
        <f>D2 &amp; " -&gt; " &amp; E2</f>
        <v>devon-okafor -&gt; maria-chen</v>
      </c>
      <c r="C2" s="2" t="s">
        <v>329</v>
      </c>
      <c r="D2" s="2" t="s">
        <v>145</v>
      </c>
      <c r="E2" s="2" t="s">
        <v>139</v>
      </c>
      <c r="F2" s="4">
        <v>46037.25</v>
      </c>
      <c r="G2" s="4">
        <v>46296.20832175926</v>
      </c>
      <c r="H2" s="2" t="s">
        <v>345</v>
      </c>
      <c r="I2" s="2" t="s">
        <v>346</v>
      </c>
      <c r="J2" s="2" t="s">
        <v>347</v>
      </c>
    </row>
  </sheetData>
  <autoFilter ref="A1:J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
  <sheetViews>
    <sheetView workbookViewId="0">
      <pane ySplit="1" topLeftCell="A2" state="frozen" activePane="bottomLeft"/>
      <selection pane="bottomLeft" activeCell="A1" sqref="A1"/>
    </sheetView>
  </sheetViews>
  <sheetFormatPr defaultRowHeight="15"/>
  <cols>
    <col min="1" max="1" width="21.954973220825195" customWidth="1"/>
    <col min="2" max="2" width="41.68744659423828" customWidth="1"/>
    <col min="3" max="3" width="41.68744659423828" customWidth="1"/>
    <col min="4" max="4" width="92.52925109863281" customWidth="1"/>
    <col min="5" max="5" width="35.68355178833008" customWidth="1"/>
  </cols>
  <sheetData>
    <row r="1">
      <c r="A1" s="1" t="s">
        <v>348</v>
      </c>
      <c r="B1" s="1" t="s">
        <v>1</v>
      </c>
      <c r="C1" s="1" t="s">
        <v>19</v>
      </c>
      <c r="D1" s="1" t="s">
        <v>349</v>
      </c>
      <c r="E1" s="1" t="s">
        <v>94</v>
      </c>
    </row>
    <row r="2">
      <c r="A2" s="2" t="s">
        <v>350</v>
      </c>
      <c r="B2" s="3" t="str">
        <f>C2</f>
        <v>Financial Standard Operating Procedure</v>
      </c>
      <c r="C2" s="2" t="s">
        <v>351</v>
      </c>
      <c r="D2" s="2" t="s">
        <v>352</v>
      </c>
      <c r="E2" s="2" t="s">
        <v>353</v>
      </c>
    </row>
    <row r="3">
      <c r="A3" s="2" t="s">
        <v>354</v>
      </c>
      <c r="B3" s="3" t="str">
        <f>C3</f>
        <v>Employee Communication Policy Procedure</v>
      </c>
      <c r="C3" s="2" t="s">
        <v>355</v>
      </c>
      <c r="D3" s="2" t="s">
        <v>356</v>
      </c>
      <c r="E3" s="2" t="s">
        <v>353</v>
      </c>
    </row>
  </sheetData>
  <autoFilter ref="A1:E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3"/>
  <sheetViews>
    <sheetView workbookViewId="0">
      <pane ySplit="1" topLeftCell="A2" state="frozen" activePane="bottomLeft"/>
      <selection pane="bottomLeft" activeCell="A1" sqref="A1"/>
    </sheetView>
  </sheetViews>
  <sheetFormatPr defaultRowHeight="15"/>
  <cols>
    <col min="1" max="1" width="27.62737464904785" customWidth="1"/>
    <col min="2" max="2" width="49.8086051940918" customWidth="1"/>
    <col min="3" max="3" width="49.8086051940918" customWidth="1"/>
    <col min="4" max="4" width="21.954973220825195" customWidth="1"/>
    <col min="5" max="5" width="19.720186233520508" customWidth="1"/>
    <col min="6" max="6" width="23.592164993286133" customWidth="1"/>
    <col min="7" max="7" width="125.6585464477539" customWidth="1"/>
    <col min="8" max="8" width="50.299495697021484" customWidth="1"/>
    <col min="9" max="9" width="17.443378448486328" customWidth="1"/>
    <col min="10" max="10" width="19.070581436157227" customWidth="1"/>
    <col min="11" max="11" width="31.002588272094727" customWidth="1"/>
  </cols>
  <sheetData>
    <row r="1">
      <c r="A1" s="1" t="s">
        <v>357</v>
      </c>
      <c r="B1" s="1" t="s">
        <v>1</v>
      </c>
      <c r="C1" s="1" t="s">
        <v>358</v>
      </c>
      <c r="D1" s="1" t="s">
        <v>359</v>
      </c>
      <c r="E1" s="1" t="s">
        <v>360</v>
      </c>
      <c r="F1" s="1" t="s">
        <v>361</v>
      </c>
      <c r="G1" s="1" t="s">
        <v>327</v>
      </c>
      <c r="H1" s="1" t="s">
        <v>362</v>
      </c>
      <c r="I1" s="1" t="s">
        <v>363</v>
      </c>
      <c r="J1" s="1" t="s">
        <v>364</v>
      </c>
      <c r="K1" s="1" t="s">
        <v>94</v>
      </c>
    </row>
    <row r="2">
      <c r="A2" s="2" t="s">
        <v>365</v>
      </c>
      <c r="B2" s="3" t="str">
        <f>C2</f>
        <v>Quarter-End Financial Close</v>
      </c>
      <c r="C2" s="2" t="s">
        <v>366</v>
      </c>
      <c r="D2" s="2" t="s">
        <v>350</v>
      </c>
      <c r="E2" s="2" t="s">
        <v>108</v>
      </c>
      <c r="F2" s="2" t="s">
        <v>103</v>
      </c>
      <c r="G2" s="2" t="s">
        <v>367</v>
      </c>
      <c r="H2" s="2" t="s">
        <v>368</v>
      </c>
      <c r="I2" s="2" t="b">
        <v>0</v>
      </c>
      <c r="J2" s="2" t="s">
        <v>369</v>
      </c>
      <c r="K2" s="2" t="s">
        <v>370</v>
      </c>
    </row>
    <row r="3">
      <c r="A3" s="2" t="s">
        <v>371</v>
      </c>
      <c r="B3" s="3" t="str">
        <f>C3</f>
        <v>Workforce Policy Change and Employee Notification</v>
      </c>
      <c r="C3" s="2" t="s">
        <v>372</v>
      </c>
      <c r="D3" s="2" t="s">
        <v>354</v>
      </c>
      <c r="E3" s="2" t="s">
        <v>113</v>
      </c>
      <c r="F3" s="2" t="s">
        <v>103</v>
      </c>
      <c r="G3" s="2" t="s">
        <v>373</v>
      </c>
      <c r="H3" s="2" t="s">
        <v>374</v>
      </c>
      <c r="I3" s="2" t="b">
        <v>0</v>
      </c>
      <c r="J3" s="2" t="s">
        <v>375</v>
      </c>
      <c r="K3" s="2" t="s">
        <v>370</v>
      </c>
    </row>
  </sheetData>
  <autoFilter ref="A1:K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H4"/>
  <sheetViews>
    <sheetView workbookViewId="0">
      <pane ySplit="1" topLeftCell="A2" state="frozen" activePane="bottomLeft"/>
      <selection pane="bottomLeft" activeCell="A1" sqref="A1"/>
    </sheetView>
  </sheetViews>
  <sheetFormatPr defaultRowHeight="15"/>
  <cols>
    <col min="1" max="1" width="20.28622055053711" customWidth="1"/>
    <col min="2" max="2" width="56.67448806762695" customWidth="1"/>
    <col min="3" max="3" width="27.62737464904785" customWidth="1"/>
    <col min="4" max="4" width="17.443378448486328" customWidth="1"/>
    <col min="5" max="5" width="56.67448806762695" customWidth="1"/>
    <col min="6" max="6" width="17.443378448486328" customWidth="1"/>
    <col min="7" max="7" width="23.35041618347168" customWidth="1"/>
    <col min="8" max="8" width="24.515466690063477" customWidth="1"/>
    <col min="9" max="9" width="17.443378448486328" customWidth="1"/>
    <col min="10" max="10" width="17.443378448486328" customWidth="1"/>
    <col min="11" max="11" width="65.26506805419922" customWidth="1"/>
    <col min="12" max="12" width="103.24541473388672" customWidth="1"/>
    <col min="13" max="13" width="17.443378448486328" customWidth="1"/>
    <col min="14" max="14" width="17.443378448486328" customWidth="1"/>
    <col min="15" max="15" width="28.910858154296875" customWidth="1"/>
    <col min="16" max="16" width="21.483816146850586" customWidth="1"/>
    <col min="17" max="17" width="19.771488189697266" customWidth="1"/>
    <col min="18" max="18" width="21.81779670715332" customWidth="1"/>
    <col min="19" max="19" width="26.572404861450195" customWidth="1"/>
    <col min="20" max="20" width="27.493824005126953" customWidth="1"/>
    <col min="21" max="21" width="17.443378448486328" customWidth="1"/>
    <col min="22" max="22" width="28.084131240844727" customWidth="1"/>
    <col min="23" max="23" width="32.08055877685547" customWidth="1"/>
    <col min="24" max="24" width="17.443378448486328" customWidth="1"/>
    <col min="25" max="25" width="17.443378448486328" customWidth="1"/>
    <col min="26" max="26" width="17.443378448486328" customWidth="1"/>
    <col min="27" max="27" width="23.045581817626953" customWidth="1"/>
    <col min="28" max="28" width="26.616191864013672" customWidth="1"/>
    <col min="29" max="29" width="21.689512252807617" customWidth="1"/>
    <col min="30" max="30" width="22.84103775024414" customWidth="1"/>
    <col min="31" max="31" width="23.83965492248535" customWidth="1"/>
    <col min="32" max="32" width="38.1004524230957" customWidth="1"/>
    <col min="33" max="33" width="30.266616821289062" customWidth="1"/>
    <col min="34" max="34" width="22.07114028930664" customWidth="1"/>
    <col min="35" max="35" width="24.828632354736328" customWidth="1"/>
    <col min="36" max="36" width="22.246395111083984" customWidth="1"/>
    <col min="37" max="37" width="22.996122360229492" customWidth="1"/>
    <col min="38" max="38" width="18.547500610351562" customWidth="1"/>
    <col min="39" max="39" width="23.35041618347168" customWidth="1"/>
    <col min="40" max="40" width="19.069751739501953" customWidth="1"/>
    <col min="41" max="41" width="21.607839584350586" customWidth="1"/>
    <col min="42" max="42" width="28.41063117980957" customWidth="1"/>
    <col min="43" max="43" width="19.560850143432617" customWidth="1"/>
    <col min="44" max="44" width="23.91769790649414" customWidth="1"/>
    <col min="45" max="45" width="23.715333938598633" customWidth="1"/>
    <col min="46" max="46" width="31.084819793701172" customWidth="1"/>
    <col min="47" max="47" width="32.02621078491211" customWidth="1"/>
    <col min="48" max="48" width="35.66947937011719" customWidth="1"/>
    <col min="49" max="49" width="33.52405548095703" customWidth="1"/>
    <col min="50" max="50" width="29.967147827148438" customWidth="1"/>
    <col min="51" max="51" width="35.755863189697266" customWidth="1"/>
    <col min="52" max="52" width="39.579288482666016" customWidth="1"/>
    <col min="53" max="53" width="32.877296447753906" customWidth="1"/>
    <col min="54" max="54" width="22.29422950744629" customWidth="1"/>
    <col min="55" max="55" width="30.0471248626709" customWidth="1"/>
    <col min="56" max="56" width="28.292512893676758" customWidth="1"/>
    <col min="57" max="57" width="29.066852569580078" customWidth="1"/>
    <col min="58" max="58" width="25.890972137451172" customWidth="1"/>
    <col min="59" max="59" width="29.808929443359375" customWidth="1"/>
    <col min="60" max="60" width="23.717111587524414" customWidth="1"/>
    <col min="61" max="61" width="30.417343139648438" customWidth="1"/>
    <col min="62" max="62" width="28.527910232543945" customWidth="1"/>
    <col min="63" max="63" width="29.547426223754883" customWidth="1"/>
    <col min="64" max="64" width="21.43819236755371" customWidth="1"/>
    <col min="65" max="65" width="19.71910285949707" customWidth="1"/>
    <col min="66" max="66" width="20.073720932006836" customWidth="1"/>
    <col min="67" max="67" width="30.09133529663086" customWidth="1"/>
    <col min="68" max="68" width="25.965511322021484" customWidth="1"/>
    <col min="69" max="69" width="19.766286849975586" customWidth="1"/>
    <col min="70" max="70" width="20.543001174926758" customWidth="1"/>
    <col min="71" max="71" width="24.67369270324707" customWidth="1"/>
    <col min="72" max="72" width="28.017030715942383" customWidth="1"/>
    <col min="73" max="73" width="17.443378448486328" customWidth="1"/>
    <col min="74" max="74" width="22.117507934570312" customWidth="1"/>
    <col min="75" max="75" width="17.443378448486328" customWidth="1"/>
    <col min="76" max="76" width="27.703134536743164" customWidth="1"/>
    <col min="77" max="77" width="29.429792404174805" customWidth="1"/>
    <col min="78" max="78" width="28.17953872680664" customWidth="1"/>
    <col min="79" max="79" width="29.966650009155273" customWidth="1"/>
    <col min="80" max="80" width="28.440216064453125" customWidth="1"/>
    <col min="81" max="81" width="30.316986083984375" customWidth="1"/>
    <col min="82" max="82" width="32.840755462646484" customWidth="1"/>
    <col min="83" max="83" width="17.443378448486328" customWidth="1"/>
    <col min="84" max="84" width="23.4721622467041" customWidth="1"/>
    <col min="85" max="85" width="25.69413185119629" customWidth="1"/>
    <col min="86" max="86" width="31.002588272094727" customWidth="1"/>
  </cols>
  <sheetData>
    <row r="1">
      <c r="A1" s="1" t="s">
        <v>376</v>
      </c>
      <c r="B1" s="1" t="s">
        <v>1</v>
      </c>
      <c r="C1" s="1" t="s">
        <v>377</v>
      </c>
      <c r="D1" s="1" t="s">
        <v>378</v>
      </c>
      <c r="E1" s="1" t="s">
        <v>358</v>
      </c>
      <c r="F1" s="1" t="s">
        <v>8</v>
      </c>
      <c r="G1" s="1" t="s">
        <v>7</v>
      </c>
      <c r="H1" s="1" t="s">
        <v>379</v>
      </c>
      <c r="I1" s="1" t="s">
        <v>380</v>
      </c>
      <c r="J1" s="1" t="s">
        <v>381</v>
      </c>
      <c r="K1" s="1" t="s">
        <v>382</v>
      </c>
      <c r="L1" s="1" t="s">
        <v>383</v>
      </c>
      <c r="M1" s="1" t="s">
        <v>10</v>
      </c>
      <c r="N1" s="1" t="s">
        <v>384</v>
      </c>
      <c r="O1" s="1" t="s">
        <v>385</v>
      </c>
      <c r="P1" s="1" t="s">
        <v>386</v>
      </c>
      <c r="Q1" s="1" t="s">
        <v>387</v>
      </c>
      <c r="R1" s="1" t="s">
        <v>388</v>
      </c>
      <c r="S1" s="1" t="s">
        <v>389</v>
      </c>
      <c r="T1" s="1" t="s">
        <v>390</v>
      </c>
      <c r="U1" s="1" t="s">
        <v>391</v>
      </c>
      <c r="V1" s="1" t="s">
        <v>392</v>
      </c>
      <c r="W1" s="1" t="s">
        <v>393</v>
      </c>
      <c r="X1" s="1" t="s">
        <v>394</v>
      </c>
      <c r="Y1" s="1" t="s">
        <v>395</v>
      </c>
      <c r="Z1" s="1" t="s">
        <v>396</v>
      </c>
      <c r="AA1" s="1" t="s">
        <v>397</v>
      </c>
      <c r="AB1" s="1" t="s">
        <v>398</v>
      </c>
      <c r="AC1" s="1" t="s">
        <v>399</v>
      </c>
      <c r="AD1" s="1" t="s">
        <v>400</v>
      </c>
      <c r="AE1" s="1" t="s">
        <v>401</v>
      </c>
      <c r="AF1" s="1" t="s">
        <v>402</v>
      </c>
      <c r="AG1" s="1" t="s">
        <v>403</v>
      </c>
      <c r="AH1" s="1" t="s">
        <v>404</v>
      </c>
      <c r="AI1" s="1" t="s">
        <v>405</v>
      </c>
      <c r="AJ1" s="1" t="s">
        <v>406</v>
      </c>
      <c r="AK1" s="1" t="s">
        <v>407</v>
      </c>
      <c r="AL1" s="1" t="s">
        <v>258</v>
      </c>
      <c r="AM1" s="1" t="s">
        <v>92</v>
      </c>
      <c r="AN1" s="1" t="s">
        <v>408</v>
      </c>
      <c r="AO1" s="1" t="s">
        <v>409</v>
      </c>
      <c r="AP1" s="1" t="s">
        <v>410</v>
      </c>
      <c r="AQ1" s="1" t="s">
        <v>411</v>
      </c>
      <c r="AR1" s="1" t="s">
        <v>412</v>
      </c>
      <c r="AS1" s="1" t="s">
        <v>413</v>
      </c>
      <c r="AT1" s="1" t="s">
        <v>414</v>
      </c>
      <c r="AU1" s="1" t="s">
        <v>415</v>
      </c>
      <c r="AV1" s="1" t="s">
        <v>416</v>
      </c>
      <c r="AW1" s="1" t="s">
        <v>417</v>
      </c>
      <c r="AX1" s="1" t="s">
        <v>418</v>
      </c>
      <c r="AY1" s="1" t="s">
        <v>419</v>
      </c>
      <c r="AZ1" s="1" t="s">
        <v>420</v>
      </c>
      <c r="BA1" s="1" t="s">
        <v>421</v>
      </c>
      <c r="BB1" s="1" t="s">
        <v>422</v>
      </c>
      <c r="BC1" s="1" t="s">
        <v>423</v>
      </c>
      <c r="BD1" s="1" t="s">
        <v>424</v>
      </c>
      <c r="BE1" s="1" t="s">
        <v>425</v>
      </c>
      <c r="BF1" s="1" t="s">
        <v>426</v>
      </c>
      <c r="BG1" s="1" t="s">
        <v>427</v>
      </c>
      <c r="BH1" s="1" t="s">
        <v>428</v>
      </c>
      <c r="BI1" s="1" t="s">
        <v>429</v>
      </c>
      <c r="BJ1" s="1" t="s">
        <v>430</v>
      </c>
      <c r="BK1" s="1" t="s">
        <v>431</v>
      </c>
      <c r="BL1" s="1" t="s">
        <v>432</v>
      </c>
      <c r="BM1" s="1" t="s">
        <v>433</v>
      </c>
      <c r="BN1" s="1" t="s">
        <v>434</v>
      </c>
      <c r="BO1" s="1" t="s">
        <v>435</v>
      </c>
      <c r="BP1" s="1" t="s">
        <v>436</v>
      </c>
      <c r="BQ1" s="1" t="s">
        <v>437</v>
      </c>
      <c r="BR1" s="1" t="s">
        <v>438</v>
      </c>
      <c r="BS1" s="1" t="s">
        <v>439</v>
      </c>
      <c r="BT1" s="1" t="s">
        <v>440</v>
      </c>
      <c r="BU1" s="1" t="s">
        <v>441</v>
      </c>
      <c r="BV1" s="1" t="s">
        <v>442</v>
      </c>
      <c r="BW1" s="1" t="s">
        <v>443</v>
      </c>
      <c r="BX1" s="1" t="s">
        <v>444</v>
      </c>
      <c r="BY1" s="1" t="s">
        <v>445</v>
      </c>
      <c r="BZ1" s="1" t="s">
        <v>446</v>
      </c>
      <c r="CA1" s="1" t="s">
        <v>447</v>
      </c>
      <c r="CB1" s="1" t="s">
        <v>448</v>
      </c>
      <c r="CC1" s="1" t="s">
        <v>449</v>
      </c>
      <c r="CD1" s="1" t="s">
        <v>450</v>
      </c>
      <c r="CE1" s="1" t="s">
        <v>451</v>
      </c>
      <c r="CF1" s="1" t="s">
        <v>452</v>
      </c>
      <c r="CG1" s="1" t="s">
        <v>453</v>
      </c>
      <c r="CH1" s="1" t="s">
        <v>94</v>
      </c>
    </row>
    <row r="2">
      <c r="A2" s="2" t="s">
        <v>454</v>
      </c>
      <c r="B2" s="3" t="str">
        <f>E2</f>
        <v>Quarter-End Financial Close v1.0.0</v>
      </c>
      <c r="C2" s="2" t="s">
        <v>365</v>
      </c>
      <c r="D2" s="2" t="s">
        <v>12</v>
      </c>
      <c r="E2" s="2" t="s">
        <v>455</v>
      </c>
      <c r="F2" s="2" t="s">
        <v>456</v>
      </c>
      <c r="G2" s="4">
        <v>45931.583333333336</v>
      </c>
      <c r="H2" s="4">
        <v>46112.916666666664</v>
      </c>
      <c r="I2" s="2" t="s">
        <v>145</v>
      </c>
      <c r="J2" s="2" t="s">
        <v>145</v>
      </c>
      <c r="K2" s="2" t="s">
        <v>457</v>
      </c>
      <c r="L2" s="2" t="s">
        <v>458</v>
      </c>
      <c r="M2" s="2" t="b">
        <v>0</v>
      </c>
      <c r="N2" s="5">
        <f>COUNTIFS(Steps!C2:C999,A2)</f>
        <v>0</v>
      </c>
      <c r="O2" s="5">
        <f>COUNTIFS(KnowledgeGaps!C2:C999,A2,KnowledgeGaps!H2:H999, "Open")</f>
        <v>0</v>
      </c>
      <c r="P2" s="3" t="b">
        <f>AND(F2 = "Approved", N2 &gt; 0, O2 = 0)</f>
        <v>0</v>
      </c>
      <c r="Q2" s="3">
        <f>COUNTIFS(Steps!C2:C999, A2)</f>
        <v>0</v>
      </c>
      <c r="R2" s="3">
        <f>COUNTIFS(ReviewEvents!M2:M999, A2)</f>
        <v>0</v>
      </c>
      <c r="S2" s="3">
        <f>COUNTIFS(ChangeRequests!M2:M999, A2)</f>
        <v>0</v>
      </c>
      <c r="T2" s="3">
        <f>COUNTIFS(KnowledgeGaps!M2:M999, A2)</f>
        <v>0</v>
      </c>
      <c r="U2" s="3" t="b">
        <f>AND(F2 = "Approved", R2 = 0, S2 = 0, T2 = 0)</f>
        <v>0</v>
      </c>
      <c r="V2" s="3">
        <f>SUMIFS(StewardshipAssignments!H2:H999,StewardshipAssignments!C2:C999, A2)</f>
        <v>0</v>
      </c>
      <c r="W2" s="5">
        <f>COUNTIFS(StewardshipAssignments!C2:C999,A2)</f>
        <v>0</v>
      </c>
      <c r="X2" s="3" t="b">
        <f>W2 &gt; 0</f>
        <v>0</v>
      </c>
      <c r="Y2" s="3" t="b">
        <f>OR(F2 = "Approved", F2 = "Published")</f>
        <v>0</v>
      </c>
      <c r="Z2" s="3" t="b">
        <f>NOT(X2)</f>
        <v>1</v>
      </c>
      <c r="AA2" s="3" t="b">
        <f>AND(Y2, Z2)</f>
        <v>0</v>
      </c>
      <c r="AB2" s="5">
        <f>COUNTIFS(KnowledgeGaps!O2:O999, TRUE)</f>
        <v>0</v>
      </c>
      <c r="AC2" s="3" t="b">
        <f>AB2 &gt; 0</f>
        <v>0</v>
      </c>
      <c r="AD2" s="3" t="b">
        <f>AND(Y2, AC2)</f>
        <v>0</v>
      </c>
      <c r="AE2" s="3" t="b">
        <f>AND(P2, AC2)</f>
        <v>0</v>
      </c>
      <c r="AF2" s="5">
        <f>COUNTIFS(KnowledgeFragments!AA2:AA999, TRUE)</f>
        <v>1</v>
      </c>
      <c r="AG2" s="3" t="b">
        <f>AF2 &gt; 0</f>
        <v>1</v>
      </c>
      <c r="AH2" s="5">
        <f>COUNTIFS(KnowledgeGaps!T2:T999, TRUE)</f>
        <v>0</v>
      </c>
      <c r="AI2" s="5">
        <f>COUNTIFS(ChangeRequests!C2:C999,A2)</f>
        <v>0</v>
      </c>
      <c r="AJ2" s="5">
        <f>COUNTIFS(ReviewEvents!C2:C999,A2)</f>
        <v>0</v>
      </c>
      <c r="AK2" s="3" t="b">
        <f>OR(AI2 &gt; 0, AJ2 &gt; 0)</f>
        <v>0</v>
      </c>
      <c r="AL2" s="2" t="s">
        <v>95</v>
      </c>
      <c r="AM2" s="6">
        <f>_xlfn.IFNA(INDEX(EvaluationContexts!D2:D999, MATCH(AL2,EvaluationContexts!A2:A999, 0)), "")</f>
        <v>46222.75</v>
      </c>
      <c r="AN2" s="5">
        <f>(INT(AM2) - INT(H2))</f>
        <v>110</v>
      </c>
      <c r="AO2" s="5">
        <f>(INT(AM2) - INT(_xlfn.MAXIFS(ReviewEvents!E2:E999,ReviewEvents!C2:C999,A2)))</f>
        <v>46222</v>
      </c>
      <c r="AP2" s="3" t="b">
        <f>AN2 &lt; AO2</f>
        <v>1</v>
      </c>
      <c r="AQ2" s="3" t="str">
        <f>_xlfn.IFNA(INDEX(Agents!D2:D999, MATCH(J2,Agents!A2:A999, 0)), "")</f>
        <v>Human</v>
      </c>
      <c r="AR2" s="3" t="b">
        <f>AND(Y2, AP2)</f>
        <v>0</v>
      </c>
      <c r="AS2" s="5">
        <f>COUNTIFS(KnowledgeFragments!AQ2:AQ999, TRUE)</f>
        <v>7</v>
      </c>
      <c r="AT2" s="3" t="b">
        <f>AS2 &gt; 0</f>
        <v>1</v>
      </c>
      <c r="AU2" s="3">
        <f>COUNTIFS(KnowledgeFragments!BE2:BE999, A2)</f>
        <v>0</v>
      </c>
      <c r="AV2" s="3" t="b">
        <f>AND(Y2, AU2 &gt; 0)</f>
        <v>0</v>
      </c>
      <c r="AW2" s="3">
        <f>COUNTIFS(ElicitationSessions!T2:T999, A2)</f>
        <v>0</v>
      </c>
      <c r="AX2" s="3" t="b">
        <f>AND(Y2, AW2 &gt; 0)</f>
        <v>0</v>
      </c>
      <c r="AY2" s="3">
        <f>COUNTIFS(KnowledgeFragments!BK2:BK999, A2)</f>
        <v>0</v>
      </c>
      <c r="AZ2" s="3" t="b">
        <f>AND(Y2, AY2 &gt; 0)</f>
        <v>0</v>
      </c>
      <c r="BA2" s="3">
        <f>COUNTIFS(KnowledgeFragments!BR2:BR999, A2)</f>
        <v>0</v>
      </c>
      <c r="BB2" s="3">
        <f>COUNTIFS(ChangeRequests!AB2:AB999, A2)</f>
        <v>0</v>
      </c>
      <c r="BC2" s="3">
        <f>COUNTIFS(KnowledgeGaps!Y2:Y999, A2)</f>
        <v>0</v>
      </c>
      <c r="BD2" s="3" t="b">
        <f>AND(BB2 &gt; 0, BC2 &gt; 0)</f>
        <v>0</v>
      </c>
      <c r="BE2" s="3">
        <f>COUNTIFS(Steps!AK2:AK999, A2)</f>
        <v>0</v>
      </c>
      <c r="BF2" s="3" t="b">
        <f>AND(Y2, BE2 &gt; 0)</f>
        <v>0</v>
      </c>
      <c r="BG2" s="3">
        <f>COUNTIFS(KnowledgeFragments!BX2:BX999, A2)</f>
        <v>0</v>
      </c>
      <c r="BH2" s="3">
        <f>COUNTIFS(ChangeRequests!AL2:AL999, A2)</f>
        <v>0</v>
      </c>
      <c r="BI2" s="3">
        <f>COUNTIFS(StepTransitions!V2:V999, A2)</f>
        <v>0</v>
      </c>
      <c r="BJ2" s="3" t="b">
        <f>BI2 &gt; 0</f>
        <v>0</v>
      </c>
      <c r="BK2" s="3" t="b">
        <f>AND(Y2, BJ2)</f>
        <v>0</v>
      </c>
      <c r="BL2" s="3">
        <f>COUNTIFS(ReviewEvents!S2:S999, A2)</f>
        <v>0</v>
      </c>
      <c r="BM2" s="3" t="b">
        <f>BL2 &gt; 0</f>
        <v>0</v>
      </c>
      <c r="BN2" s="3" t="b">
        <f>S2 &gt; 0</f>
        <v>0</v>
      </c>
      <c r="BO2" s="3" t="b">
        <f>AND(BM2, NOT(BN2))</f>
        <v>0</v>
      </c>
      <c r="BP2" s="3" t="b">
        <f>AND(BM2, BN2)</f>
        <v>0</v>
      </c>
      <c r="BQ2" s="3" t="b">
        <f>AND(Y2, NOT(AK2))</f>
        <v>0</v>
      </c>
      <c r="BR2" s="3">
        <f>COUNTIFS(KnowledgeFragments!CA2:CA999, A2)</f>
        <v>0</v>
      </c>
      <c r="BS2" s="3" t="b">
        <f>BR2 &gt; 0</f>
        <v>0</v>
      </c>
      <c r="BT2" s="3">
        <f>COUNTIFS(ProcedureVersionLinks!G2:G999, A2)</f>
        <v>1</v>
      </c>
      <c r="BU2" s="3" t="b">
        <f>BT2 &gt; 0</f>
        <v>1</v>
      </c>
      <c r="BV2" s="3" t="b">
        <f>AND(Z2, OR(BS2, BU2))</f>
        <v>1</v>
      </c>
      <c r="BW2" s="3" t="b">
        <f>AND(Z2, NOT(BS2), NOT(BU2))</f>
        <v>0</v>
      </c>
      <c r="BX2" s="3">
        <f>COUNTIFS(ChangeRequests!AP2:AP999, A2)</f>
        <v>0</v>
      </c>
      <c r="BY2" s="3" t="b">
        <f>AND(NOT(U2), BX2 &gt; 0)</f>
        <v>0</v>
      </c>
      <c r="BZ2" s="3">
        <f>COUNTIFS(Steps!AM2:AM999, A2)</f>
        <v>0</v>
      </c>
      <c r="CA2" s="3" t="b">
        <f>BZ2 &gt; 0</f>
        <v>0</v>
      </c>
      <c r="CB2" s="3" t="b">
        <f>CC2 &gt; 0</f>
        <v>0</v>
      </c>
      <c r="CC2" s="3">
        <f>COUNTIFS(ChangeRequests!AQ2:AQ999, A2)</f>
        <v>0</v>
      </c>
      <c r="CD2" s="3">
        <f>COUNTIFS(Requirements!AN2:AN999, "unwatched-unowned")</f>
        <v>9</v>
      </c>
      <c r="CE2" s="3">
        <f>COUNTIFS(ProcessMiningRuns!C2:C999, A2)</f>
        <v>1</v>
      </c>
      <c r="CF2" s="3">
        <f>COUNTIFS(ProcessMiningRuns!R2:R999, A2)</f>
        <v>0</v>
      </c>
      <c r="CG2" s="3" t="b">
        <f>CF2 &gt; 0</f>
        <v>0</v>
      </c>
      <c r="CH2" s="2" t="s">
        <v>370</v>
      </c>
    </row>
    <row r="3">
      <c r="A3" s="2" t="s">
        <v>369</v>
      </c>
      <c r="B3" s="3" t="str">
        <f>E3</f>
        <v>Quarter-End Financial Close v1.1.0</v>
      </c>
      <c r="C3" s="2" t="s">
        <v>365</v>
      </c>
      <c r="D3" s="2" t="s">
        <v>459</v>
      </c>
      <c r="E3" s="2" t="s">
        <v>460</v>
      </c>
      <c r="F3" s="2" t="s">
        <v>461</v>
      </c>
      <c r="G3" s="4">
        <v>46127.583333333336</v>
      </c>
      <c r="H3" s="4">
        <v>46205.833333333336</v>
      </c>
      <c r="I3" s="2" t="s">
        <v>145</v>
      </c>
      <c r="J3" s="2" t="s">
        <v>139</v>
      </c>
      <c r="K3" s="2" t="s">
        <v>462</v>
      </c>
      <c r="L3" s="2" t="s">
        <v>463</v>
      </c>
      <c r="M3" s="2" t="b">
        <v>1</v>
      </c>
      <c r="N3" s="5">
        <f>COUNTIFS(Steps!C2:C999,A3)</f>
        <v>8</v>
      </c>
      <c r="O3" s="5">
        <f>COUNTIFS(KnowledgeGaps!C2:C999,A3,KnowledgeGaps!H2:H999, "Open")</f>
        <v>0</v>
      </c>
      <c r="P3" s="3" t="b">
        <f>AND(F3 = "Approved", N3 &gt; 0, O3 = 0)</f>
        <v>1</v>
      </c>
      <c r="Q3" s="3">
        <f>COUNTIFS(Steps!C2:C999, A3)</f>
        <v>8</v>
      </c>
      <c r="R3" s="3">
        <f>COUNTIFS(ReviewEvents!M2:M999, A3)</f>
        <v>1</v>
      </c>
      <c r="S3" s="3">
        <f>COUNTIFS(ChangeRequests!M2:M999, A3)</f>
        <v>0</v>
      </c>
      <c r="T3" s="3">
        <f>COUNTIFS(KnowledgeGaps!M2:M999, A3)</f>
        <v>0</v>
      </c>
      <c r="U3" s="3" t="b">
        <f>AND(F3 = "Approved", R3 = 0, S3 = 0, T3 = 0)</f>
        <v>0</v>
      </c>
      <c r="V3" s="3">
        <f>SUMIFS(StewardshipAssignments!H2:H999,StewardshipAssignments!C2:C999, A3)</f>
        <v>90</v>
      </c>
      <c r="W3" s="5">
        <f>COUNTIFS(StewardshipAssignments!C2:C999,A3)</f>
        <v>1</v>
      </c>
      <c r="X3" s="3" t="b">
        <f>W3 &gt; 0</f>
        <v>1</v>
      </c>
      <c r="Y3" s="3" t="b">
        <f>OR(F3 = "Approved", F3 = "Published")</f>
        <v>1</v>
      </c>
      <c r="Z3" s="3" t="b">
        <f>NOT(X3)</f>
        <v>0</v>
      </c>
      <c r="AA3" s="3" t="b">
        <f>AND(Y3, Z3)</f>
        <v>0</v>
      </c>
      <c r="AB3" s="5">
        <f>COUNTIFS(KnowledgeGaps!O2:O999, TRUE)</f>
        <v>0</v>
      </c>
      <c r="AC3" s="3" t="b">
        <f>AB3 &gt; 0</f>
        <v>0</v>
      </c>
      <c r="AD3" s="3" t="b">
        <f>AND(Y3, AC3)</f>
        <v>0</v>
      </c>
      <c r="AE3" s="3" t="b">
        <f>AND(P3, AC3)</f>
        <v>0</v>
      </c>
      <c r="AF3" s="5">
        <f>COUNTIFS(KnowledgeFragments!AA2:AA999, TRUE)</f>
        <v>1</v>
      </c>
      <c r="AG3" s="3" t="b">
        <f>AF3 &gt; 0</f>
        <v>1</v>
      </c>
      <c r="AH3" s="5">
        <f>COUNTIFS(KnowledgeGaps!T2:T999, TRUE)</f>
        <v>0</v>
      </c>
      <c r="AI3" s="5">
        <f>COUNTIFS(ChangeRequests!C2:C999,A3)</f>
        <v>1</v>
      </c>
      <c r="AJ3" s="5">
        <f>COUNTIFS(ReviewEvents!C2:C999,A3)</f>
        <v>2</v>
      </c>
      <c r="AK3" s="3" t="b">
        <f>OR(AI3 &gt; 0, AJ3 &gt; 0)</f>
        <v>1</v>
      </c>
      <c r="AL3" s="2" t="s">
        <v>95</v>
      </c>
      <c r="AM3" s="6">
        <f>_xlfn.IFNA(INDEX(EvaluationContexts!D2:D999, MATCH(AL3,EvaluationContexts!A2:A999, 0)), "")</f>
        <v>46222.75</v>
      </c>
      <c r="AN3" s="5">
        <f>(INT(AM3) - INT(H3))</f>
        <v>17</v>
      </c>
      <c r="AO3" s="5">
        <f>(INT(AM3) - INT(_xlfn.MAXIFS(ReviewEvents!E2:E999,ReviewEvents!C2:C999,A3)))</f>
        <v>17</v>
      </c>
      <c r="AP3" s="3" t="b">
        <f>AN3 &lt; AO3</f>
        <v>0</v>
      </c>
      <c r="AQ3" s="3" t="str">
        <f>_xlfn.IFNA(INDEX(Agents!D2:D999, MATCH(J3,Agents!A2:A999, 0)), "")</f>
        <v>Human</v>
      </c>
      <c r="AR3" s="3" t="b">
        <f>AND(Y3, AP3)</f>
        <v>0</v>
      </c>
      <c r="AS3" s="5">
        <f>COUNTIFS(KnowledgeFragments!AQ2:AQ999, TRUE)</f>
        <v>7</v>
      </c>
      <c r="AT3" s="3" t="b">
        <f>AS3 &gt; 0</f>
        <v>1</v>
      </c>
      <c r="AU3" s="3">
        <f>COUNTIFS(KnowledgeFragments!BE2:BE999, A3)</f>
        <v>1</v>
      </c>
      <c r="AV3" s="3" t="b">
        <f>AND(Y3, AU3 &gt; 0)</f>
        <v>1</v>
      </c>
      <c r="AW3" s="3">
        <f>COUNTIFS(ElicitationSessions!T2:T999, A3)</f>
        <v>1</v>
      </c>
      <c r="AX3" s="3" t="b">
        <f>AND(Y3, AW3 &gt; 0)</f>
        <v>1</v>
      </c>
      <c r="AY3" s="3">
        <f>COUNTIFS(KnowledgeFragments!BK2:BK999, A3)</f>
        <v>0</v>
      </c>
      <c r="AZ3" s="3" t="b">
        <f>AND(Y3, AY3 &gt; 0)</f>
        <v>0</v>
      </c>
      <c r="BA3" s="3">
        <f>COUNTIFS(KnowledgeFragments!BR2:BR999, A3)</f>
        <v>0</v>
      </c>
      <c r="BB3" s="3">
        <f>COUNTIFS(ChangeRequests!AB2:AB999, A3)</f>
        <v>0</v>
      </c>
      <c r="BC3" s="3">
        <f>COUNTIFS(KnowledgeGaps!Y2:Y999, A3)</f>
        <v>0</v>
      </c>
      <c r="BD3" s="3" t="b">
        <f>AND(BB3 &gt; 0, BC3 &gt; 0)</f>
        <v>0</v>
      </c>
      <c r="BE3" s="3">
        <f>COUNTIFS(Steps!AK2:AK999, A3)</f>
        <v>1</v>
      </c>
      <c r="BF3" s="3" t="b">
        <f>AND(Y3, BE3 &gt; 0)</f>
        <v>1</v>
      </c>
      <c r="BG3" s="3">
        <f>COUNTIFS(KnowledgeFragments!BX2:BX999, A3)</f>
        <v>0</v>
      </c>
      <c r="BH3" s="3">
        <f>COUNTIFS(ChangeRequests!AL2:AL999, A3)</f>
        <v>0</v>
      </c>
      <c r="BI3" s="3">
        <f>COUNTIFS(StepTransitions!V2:V999, A3)</f>
        <v>1</v>
      </c>
      <c r="BJ3" s="3" t="b">
        <f>BI3 &gt; 0</f>
        <v>1</v>
      </c>
      <c r="BK3" s="3" t="b">
        <f>AND(Y3, BJ3)</f>
        <v>1</v>
      </c>
      <c r="BL3" s="3">
        <f>COUNTIFS(ReviewEvents!S2:S999, A3)</f>
        <v>1</v>
      </c>
      <c r="BM3" s="3" t="b">
        <f>BL3 &gt; 0</f>
        <v>1</v>
      </c>
      <c r="BN3" s="3" t="b">
        <f>S3 &gt; 0</f>
        <v>0</v>
      </c>
      <c r="BO3" s="3" t="b">
        <f>AND(BM3, NOT(BN3))</f>
        <v>1</v>
      </c>
      <c r="BP3" s="3" t="b">
        <f>AND(BM3, BN3)</f>
        <v>0</v>
      </c>
      <c r="BQ3" s="3" t="b">
        <f>AND(Y3, NOT(AK3))</f>
        <v>0</v>
      </c>
      <c r="BR3" s="3">
        <f>COUNTIFS(KnowledgeFragments!CA2:CA999, A3)</f>
        <v>4</v>
      </c>
      <c r="BS3" s="3" t="b">
        <f>BR3 &gt; 0</f>
        <v>1</v>
      </c>
      <c r="BT3" s="3">
        <f>COUNTIFS(ProcedureVersionLinks!G2:G999, A3)</f>
        <v>0</v>
      </c>
      <c r="BU3" s="3" t="b">
        <f>BT3 &gt; 0</f>
        <v>0</v>
      </c>
      <c r="BV3" s="3" t="b">
        <f>AND(Z3, OR(BS3, BU3))</f>
        <v>0</v>
      </c>
      <c r="BW3" s="3" t="b">
        <f>AND(Z3, NOT(BS3), NOT(BU3))</f>
        <v>0</v>
      </c>
      <c r="BX3" s="3">
        <f>COUNTIFS(ChangeRequests!AP2:AP999, A3)</f>
        <v>0</v>
      </c>
      <c r="BY3" s="3" t="b">
        <f>AND(NOT(U3), BX3 &gt; 0)</f>
        <v>0</v>
      </c>
      <c r="BZ3" s="3">
        <f>COUNTIFS(Steps!AM2:AM999, A3)</f>
        <v>0</v>
      </c>
      <c r="CA3" s="3" t="b">
        <f>BZ3 &gt; 0</f>
        <v>0</v>
      </c>
      <c r="CB3" s="3" t="b">
        <f>CC3 &gt; 0</f>
        <v>1</v>
      </c>
      <c r="CC3" s="3">
        <f>COUNTIFS(ChangeRequests!AQ2:AQ999, A3)</f>
        <v>1</v>
      </c>
      <c r="CD3" s="3">
        <f>COUNTIFS(Requirements!AN2:AN999, "unwatched-unowned")</f>
        <v>9</v>
      </c>
      <c r="CE3" s="3">
        <f>COUNTIFS(ProcessMiningRuns!C2:C999, A3)</f>
        <v>2</v>
      </c>
      <c r="CF3" s="3">
        <f>COUNTIFS(ProcessMiningRuns!R2:R999, A3)</f>
        <v>1</v>
      </c>
      <c r="CG3" s="3" t="b">
        <f>CF3 &gt; 0</f>
        <v>1</v>
      </c>
      <c r="CH3" s="2" t="s">
        <v>370</v>
      </c>
    </row>
    <row r="4">
      <c r="A4" s="2" t="s">
        <v>375</v>
      </c>
      <c r="B4" s="3" t="str">
        <f>E4</f>
        <v>Workforce Policy Change and Employee Notification v1.0.0</v>
      </c>
      <c r="C4" s="2" t="s">
        <v>371</v>
      </c>
      <c r="D4" s="2" t="s">
        <v>12</v>
      </c>
      <c r="E4" s="2" t="s">
        <v>464</v>
      </c>
      <c r="F4" s="2" t="s">
        <v>461</v>
      </c>
      <c r="G4" s="4">
        <v>46174.583333333336</v>
      </c>
      <c r="H4" s="4">
        <v>46221.895833333336</v>
      </c>
      <c r="I4" s="2" t="s">
        <v>153</v>
      </c>
      <c r="J4" s="2" t="s">
        <v>161</v>
      </c>
      <c r="K4" s="2" t="s">
        <v>465</v>
      </c>
      <c r="L4" s="2" t="s">
        <v>466</v>
      </c>
      <c r="M4" s="2" t="b">
        <v>1</v>
      </c>
      <c r="N4" s="5">
        <f>COUNTIFS(Steps!C2:C999,A4)</f>
        <v>9</v>
      </c>
      <c r="O4" s="5">
        <f>COUNTIFS(KnowledgeGaps!C2:C999,A4,KnowledgeGaps!H2:H999, "Open")</f>
        <v>1</v>
      </c>
      <c r="P4" s="3" t="b">
        <f>AND(F4 = "Approved", N4 &gt; 0, O4 = 0)</f>
        <v>0</v>
      </c>
      <c r="Q4" s="3">
        <f>COUNTIFS(Steps!C2:C999, A4)</f>
        <v>9</v>
      </c>
      <c r="R4" s="3">
        <f>COUNTIFS(ReviewEvents!M2:M999, A4)</f>
        <v>0</v>
      </c>
      <c r="S4" s="3">
        <f>COUNTIFS(ChangeRequests!M2:M999, A4)</f>
        <v>1</v>
      </c>
      <c r="T4" s="3">
        <f>COUNTIFS(KnowledgeGaps!M2:M999, A4)</f>
        <v>0</v>
      </c>
      <c r="U4" s="3" t="b">
        <f>AND(F4 = "Approved", R4 = 0, S4 = 0, T4 = 0)</f>
        <v>0</v>
      </c>
      <c r="V4" s="3">
        <f>SUMIFS(StewardshipAssignments!H2:H999,StewardshipAssignments!C2:C999, A4)</f>
        <v>60</v>
      </c>
      <c r="W4" s="5">
        <f>COUNTIFS(StewardshipAssignments!C2:C999,A4)</f>
        <v>1</v>
      </c>
      <c r="X4" s="3" t="b">
        <f>W4 &gt; 0</f>
        <v>1</v>
      </c>
      <c r="Y4" s="3" t="b">
        <f>OR(F4 = "Approved", F4 = "Published")</f>
        <v>1</v>
      </c>
      <c r="Z4" s="3" t="b">
        <f>NOT(X4)</f>
        <v>0</v>
      </c>
      <c r="AA4" s="3" t="b">
        <f>AND(Y4, Z4)</f>
        <v>0</v>
      </c>
      <c r="AB4" s="5">
        <f>COUNTIFS(KnowledgeGaps!O2:O999, TRUE)</f>
        <v>0</v>
      </c>
      <c r="AC4" s="3" t="b">
        <f>AB4 &gt; 0</f>
        <v>0</v>
      </c>
      <c r="AD4" s="3" t="b">
        <f>AND(Y4, AC4)</f>
        <v>0</v>
      </c>
      <c r="AE4" s="3" t="b">
        <f>AND(P4, AC4)</f>
        <v>0</v>
      </c>
      <c r="AF4" s="5">
        <f>COUNTIFS(KnowledgeFragments!AA2:AA999, TRUE)</f>
        <v>1</v>
      </c>
      <c r="AG4" s="3" t="b">
        <f>AF4 &gt; 0</f>
        <v>1</v>
      </c>
      <c r="AH4" s="5">
        <f>COUNTIFS(KnowledgeGaps!T2:T999, TRUE)</f>
        <v>0</v>
      </c>
      <c r="AI4" s="5">
        <f>COUNTIFS(ChangeRequests!C2:C999,A4)</f>
        <v>1</v>
      </c>
      <c r="AJ4" s="5">
        <f>COUNTIFS(ReviewEvents!C2:C999,A4)</f>
        <v>1</v>
      </c>
      <c r="AK4" s="3" t="b">
        <f>OR(AI4 &gt; 0, AJ4 &gt; 0)</f>
        <v>1</v>
      </c>
      <c r="AL4" s="2" t="s">
        <v>95</v>
      </c>
      <c r="AM4" s="6">
        <f>_xlfn.IFNA(INDEX(EvaluationContexts!D2:D999, MATCH(AL4,EvaluationContexts!A2:A999, 0)), "")</f>
        <v>46222.75</v>
      </c>
      <c r="AN4" s="5">
        <f>(INT(AM4) - INT(H4))</f>
        <v>1</v>
      </c>
      <c r="AO4" s="5">
        <f>(INT(AM4) - INT(_xlfn.MAXIFS(ReviewEvents!E2:E999,ReviewEvents!C2:C999,A4)))</f>
        <v>1</v>
      </c>
      <c r="AP4" s="3" t="b">
        <f>AN4 &lt; AO4</f>
        <v>0</v>
      </c>
      <c r="AQ4" s="3" t="str">
        <f>_xlfn.IFNA(INDEX(Agents!D2:D999, MATCH(J4,Agents!A2:A999, 0)), "")</f>
        <v>Human</v>
      </c>
      <c r="AR4" s="3" t="b">
        <f>AND(Y4, AP4)</f>
        <v>0</v>
      </c>
      <c r="AS4" s="5">
        <f>COUNTIFS(KnowledgeFragments!AQ2:AQ999, TRUE)</f>
        <v>7</v>
      </c>
      <c r="AT4" s="3" t="b">
        <f>AS4 &gt; 0</f>
        <v>1</v>
      </c>
      <c r="AU4" s="3">
        <f>COUNTIFS(KnowledgeFragments!BE2:BE999, A4)</f>
        <v>0</v>
      </c>
      <c r="AV4" s="3" t="b">
        <f>AND(Y4, AU4 &gt; 0)</f>
        <v>0</v>
      </c>
      <c r="AW4" s="3">
        <f>COUNTIFS(ElicitationSessions!T2:T999, A4)</f>
        <v>0</v>
      </c>
      <c r="AX4" s="3" t="b">
        <f>AND(Y4, AW4 &gt; 0)</f>
        <v>0</v>
      </c>
      <c r="AY4" s="3">
        <f>COUNTIFS(KnowledgeFragments!BK2:BK999, A4)</f>
        <v>1</v>
      </c>
      <c r="AZ4" s="3" t="b">
        <f>AND(Y4, AY4 &gt; 0)</f>
        <v>1</v>
      </c>
      <c r="BA4" s="3">
        <f>COUNTIFS(KnowledgeFragments!BR2:BR999, A4)</f>
        <v>0</v>
      </c>
      <c r="BB4" s="3">
        <f>COUNTIFS(ChangeRequests!AB2:AB999, A4)</f>
        <v>1</v>
      </c>
      <c r="BC4" s="3">
        <f>COUNTIFS(KnowledgeGaps!Y2:Y999, A4)</f>
        <v>0</v>
      </c>
      <c r="BD4" s="3" t="b">
        <f>AND(BB4 &gt; 0, BC4 &gt; 0)</f>
        <v>0</v>
      </c>
      <c r="BE4" s="3">
        <f>COUNTIFS(Steps!AK2:AK999, A4)</f>
        <v>1</v>
      </c>
      <c r="BF4" s="3" t="b">
        <f>AND(Y4, BE4 &gt; 0)</f>
        <v>1</v>
      </c>
      <c r="BG4" s="3">
        <f>COUNTIFS(KnowledgeFragments!BX2:BX999, A4)</f>
        <v>0</v>
      </c>
      <c r="BH4" s="3">
        <f>COUNTIFS(ChangeRequests!AL2:AL999, A4)</f>
        <v>0</v>
      </c>
      <c r="BI4" s="3">
        <f>COUNTIFS(StepTransitions!V2:V999, A4)</f>
        <v>2</v>
      </c>
      <c r="BJ4" s="3" t="b">
        <f>BI4 &gt; 0</f>
        <v>1</v>
      </c>
      <c r="BK4" s="3" t="b">
        <f>AND(Y4, BJ4)</f>
        <v>1</v>
      </c>
      <c r="BL4" s="3">
        <f>COUNTIFS(ReviewEvents!S2:S999, A4)</f>
        <v>0</v>
      </c>
      <c r="BM4" s="3" t="b">
        <f>BL4 &gt; 0</f>
        <v>0</v>
      </c>
      <c r="BN4" s="3" t="b">
        <f>S4 &gt; 0</f>
        <v>1</v>
      </c>
      <c r="BO4" s="3" t="b">
        <f>AND(BM4, NOT(BN4))</f>
        <v>0</v>
      </c>
      <c r="BP4" s="3" t="b">
        <f>AND(BM4, BN4)</f>
        <v>0</v>
      </c>
      <c r="BQ4" s="3" t="b">
        <f>AND(Y4, NOT(AK4))</f>
        <v>0</v>
      </c>
      <c r="BR4" s="3">
        <f>COUNTIFS(KnowledgeFragments!CA2:CA999, A4)</f>
        <v>2</v>
      </c>
      <c r="BS4" s="3" t="b">
        <f>BR4 &gt; 0</f>
        <v>1</v>
      </c>
      <c r="BT4" s="3">
        <f>COUNTIFS(ProcedureVersionLinks!G2:G999, A4)</f>
        <v>0</v>
      </c>
      <c r="BU4" s="3" t="b">
        <f>BT4 &gt; 0</f>
        <v>0</v>
      </c>
      <c r="BV4" s="3" t="b">
        <f>AND(Z4, OR(BS4, BU4))</f>
        <v>0</v>
      </c>
      <c r="BW4" s="3" t="b">
        <f>AND(Z4, NOT(BS4), NOT(BU4))</f>
        <v>0</v>
      </c>
      <c r="BX4" s="3">
        <f>COUNTIFS(ChangeRequests!AP2:AP999, A4)</f>
        <v>0</v>
      </c>
      <c r="BY4" s="3" t="b">
        <f>AND(NOT(U4), BX4 &gt; 0)</f>
        <v>0</v>
      </c>
      <c r="BZ4" s="3">
        <f>COUNTIFS(Steps!AM2:AM999, A4)</f>
        <v>0</v>
      </c>
      <c r="CA4" s="3" t="b">
        <f>BZ4 &gt; 0</f>
        <v>0</v>
      </c>
      <c r="CB4" s="3" t="b">
        <f>CC4 &gt; 0</f>
        <v>0</v>
      </c>
      <c r="CC4" s="3">
        <f>COUNTIFS(ChangeRequests!AQ2:AQ999, A4)</f>
        <v>0</v>
      </c>
      <c r="CD4" s="3">
        <f>COUNTIFS(Requirements!AN2:AN999, "unwatched-unowned")</f>
        <v>9</v>
      </c>
      <c r="CE4" s="3">
        <f>COUNTIFS(ProcessMiningRuns!C2:C999, A4)</f>
        <v>1</v>
      </c>
      <c r="CF4" s="3">
        <f>COUNTIFS(ProcessMiningRuns!R2:R999, A4)</f>
        <v>0</v>
      </c>
      <c r="CG4" s="3" t="b">
        <f>CF4 &gt; 0</f>
        <v>0</v>
      </c>
      <c r="CH4" s="2" t="s">
        <v>370</v>
      </c>
    </row>
  </sheetData>
  <autoFilter ref="A1:CH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4.008716583251953" customWidth="1"/>
    <col min="2" max="2" width="27.849239349365234" customWidth="1"/>
    <col min="3" max="3" width="26.057283401489258" customWidth="1"/>
    <col min="4" max="4" width="22.542871475219727" customWidth="1"/>
    <col min="5" max="5" width="32.481082916259766" customWidth="1"/>
    <col min="6" max="6" width="74.36966705322266" customWidth="1"/>
    <col min="7" max="7" width="23.044584274291992" customWidth="1"/>
  </cols>
  <sheetData>
    <row r="1">
      <c r="A1" s="1" t="s">
        <v>467</v>
      </c>
      <c r="B1" s="1" t="s">
        <v>1</v>
      </c>
      <c r="C1" s="1" t="s">
        <v>468</v>
      </c>
      <c r="D1" s="1" t="s">
        <v>469</v>
      </c>
      <c r="E1" s="1" t="s">
        <v>470</v>
      </c>
      <c r="F1" s="1" t="s">
        <v>471</v>
      </c>
      <c r="G1" s="1" t="s">
        <v>472</v>
      </c>
    </row>
    <row r="2">
      <c r="A2" s="2" t="s">
        <v>473</v>
      </c>
      <c r="B2" s="3" t="str">
        <f>C2 &amp; " -&gt; " &amp; D2</f>
        <v>close-v1.0.0 -&gt; close-v1.1.0</v>
      </c>
      <c r="C2" s="2" t="s">
        <v>454</v>
      </c>
      <c r="D2" s="2" t="s">
        <v>369</v>
      </c>
      <c r="E2" s="2" t="s">
        <v>474</v>
      </c>
      <c r="F2" s="2" t="s">
        <v>475</v>
      </c>
      <c r="G2" s="3" t="str">
        <f>IF(E2 = "https://w3id.org/pko#nextVersion", C2, "")</f>
        <v>close-v1.0.0</v>
      </c>
    </row>
  </sheetData>
  <autoFilter ref="A1:G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6"/>
  <sheetViews>
    <sheetView workbookViewId="0">
      <pane ySplit="1" topLeftCell="A2" state="frozen" activePane="bottomLeft"/>
      <selection pane="bottomLeft" activeCell="A1" sqref="A1"/>
    </sheetView>
  </sheetViews>
  <sheetFormatPr defaultRowHeight="15"/>
  <cols>
    <col min="1" max="1" width="31.585161209106445" customWidth="1"/>
    <col min="2" max="2" width="36.29981231689453" customWidth="1"/>
    <col min="3" max="3" width="18.236316680908203" customWidth="1"/>
    <col min="4" max="4" width="17.443378448486328" customWidth="1"/>
    <col min="5" max="5" width="17.443378448486328" customWidth="1"/>
    <col min="6" max="6" width="23.35041618347168" customWidth="1"/>
    <col min="7" max="7" width="17.611085891723633" customWidth="1"/>
    <col min="8" max="8" width="42.849403381347656" customWidth="1"/>
    <col min="9" max="9" width="36.48196792602539" customWidth="1"/>
  </cols>
  <sheetData>
    <row r="1">
      <c r="A1" s="1" t="s">
        <v>476</v>
      </c>
      <c r="B1" s="1" t="s">
        <v>1</v>
      </c>
      <c r="C1" s="1" t="s">
        <v>477</v>
      </c>
      <c r="D1" s="1" t="s">
        <v>478</v>
      </c>
      <c r="E1" s="1" t="s">
        <v>479</v>
      </c>
      <c r="F1" s="1" t="s">
        <v>480</v>
      </c>
      <c r="G1" s="1" t="s">
        <v>481</v>
      </c>
      <c r="H1" s="1" t="s">
        <v>482</v>
      </c>
      <c r="I1" s="1" t="s">
        <v>94</v>
      </c>
    </row>
    <row r="2">
      <c r="A2" s="2" t="s">
        <v>483</v>
      </c>
      <c r="B2" s="3" t="str">
        <f>C2 &amp; ": " &amp; D2 &amp; " -&gt; " &amp; E2</f>
        <v>close-v1.1.0: Draft -&gt; Validation</v>
      </c>
      <c r="C2" s="2" t="s">
        <v>369</v>
      </c>
      <c r="D2" s="2" t="s">
        <v>484</v>
      </c>
      <c r="E2" s="2" t="s">
        <v>485</v>
      </c>
      <c r="F2" s="4">
        <v>46120.625</v>
      </c>
      <c r="G2" s="2" t="s">
        <v>139</v>
      </c>
      <c r="H2" s="2" t="s">
        <v>486</v>
      </c>
      <c r="I2" s="2" t="s">
        <v>487</v>
      </c>
    </row>
    <row r="3">
      <c r="A3" s="2" t="s">
        <v>488</v>
      </c>
      <c r="B3" s="3" t="str">
        <f>C3 &amp; ": " &amp; D3 &amp; " -&gt; " &amp; E3</f>
        <v>close-v1.1.0: Validation -&gt; Approval</v>
      </c>
      <c r="C3" s="2" t="s">
        <v>369</v>
      </c>
      <c r="D3" s="2" t="s">
        <v>485</v>
      </c>
      <c r="E3" s="2" t="s">
        <v>489</v>
      </c>
      <c r="F3" s="4">
        <v>46124.791666666664</v>
      </c>
      <c r="G3" s="2" t="s">
        <v>145</v>
      </c>
      <c r="H3" s="2" t="s">
        <v>490</v>
      </c>
      <c r="I3" s="2" t="s">
        <v>487</v>
      </c>
    </row>
    <row r="4">
      <c r="A4" s="2" t="s">
        <v>491</v>
      </c>
      <c r="B4" s="3" t="str">
        <f>C4 &amp; ": " &amp; D4 &amp; " -&gt; " &amp; E4</f>
        <v>close-v1.1.0: Approval -&gt; Approved</v>
      </c>
      <c r="C4" s="2" t="s">
        <v>369</v>
      </c>
      <c r="D4" s="2" t="s">
        <v>489</v>
      </c>
      <c r="E4" s="2" t="s">
        <v>461</v>
      </c>
      <c r="F4" s="4">
        <v>46127.583333333336</v>
      </c>
      <c r="G4" s="2" t="s">
        <v>149</v>
      </c>
      <c r="H4" s="2" t="s">
        <v>492</v>
      </c>
      <c r="I4" s="2" t="s">
        <v>487</v>
      </c>
    </row>
    <row r="5">
      <c r="A5" s="2" t="s">
        <v>493</v>
      </c>
      <c r="B5" s="3" t="str">
        <f>C5 &amp; ": " &amp; D5 &amp; " -&gt; " &amp; E5</f>
        <v>policy-v1.0.0: Draft -&gt; Validation</v>
      </c>
      <c r="C5" s="2" t="s">
        <v>375</v>
      </c>
      <c r="D5" s="2" t="s">
        <v>484</v>
      </c>
      <c r="E5" s="2" t="s">
        <v>485</v>
      </c>
      <c r="F5" s="4">
        <v>46162.583333333336</v>
      </c>
      <c r="G5" s="2" t="s">
        <v>153</v>
      </c>
      <c r="H5" s="2" t="s">
        <v>494</v>
      </c>
      <c r="I5" s="2" t="s">
        <v>487</v>
      </c>
    </row>
    <row r="6">
      <c r="A6" s="2" t="s">
        <v>495</v>
      </c>
      <c r="B6" s="3" t="str">
        <f>C6 &amp; ": " &amp; D6 &amp; " -&gt; " &amp; E6</f>
        <v>policy-v1.0.0: Validation -&gt; Approved</v>
      </c>
      <c r="C6" s="2" t="s">
        <v>375</v>
      </c>
      <c r="D6" s="2" t="s">
        <v>485</v>
      </c>
      <c r="E6" s="2" t="s">
        <v>461</v>
      </c>
      <c r="F6" s="4">
        <v>46174.583333333336</v>
      </c>
      <c r="G6" s="2" t="s">
        <v>149</v>
      </c>
      <c r="H6" s="2" t="s">
        <v>496</v>
      </c>
      <c r="I6" s="2" t="s">
        <v>487</v>
      </c>
    </row>
  </sheetData>
  <autoFilter ref="A1:I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P18"/>
  <sheetViews>
    <sheetView workbookViewId="0">
      <pane ySplit="1" topLeftCell="A2" state="frozen" activePane="bottomLeft"/>
      <selection pane="bottomLeft" activeCell="A1" sqref="A1"/>
    </sheetView>
  </sheetViews>
  <sheetFormatPr defaultRowHeight="15"/>
  <cols>
    <col min="1" max="1" width="17.443378448486328" customWidth="1"/>
    <col min="2" max="2" width="47.64772415161133" customWidth="1"/>
    <col min="3" max="3" width="18.236316680908203" customWidth="1"/>
    <col min="4" max="4" width="17.443378448486328" customWidth="1"/>
    <col min="5" max="5" width="43.767982482910156" customWidth="1"/>
    <col min="6" max="6" width="17.443378448486328" customWidth="1"/>
    <col min="7" max="7" width="22.35959815979004" customWidth="1"/>
    <col min="8" max="8" width="29.93553352355957" customWidth="1"/>
    <col min="9" max="9" width="19.46396255493164" customWidth="1"/>
    <col min="10" max="10" width="88.52417755126953" customWidth="1"/>
    <col min="11" max="11" width="25.40670394897461" customWidth="1"/>
    <col min="12" max="12" width="17.443378448486328" customWidth="1"/>
    <col min="13" max="13" width="28.131574630737305" customWidth="1"/>
    <col min="14" max="14" width="26.661638259887695" customWidth="1"/>
    <col min="15" max="15" width="18.681589126586914" customWidth="1"/>
    <col min="16" max="16" width="23.561147689819336" customWidth="1"/>
    <col min="17" max="17" width="24.301973342895508" customWidth="1"/>
    <col min="18" max="18" width="25.49582862854004" customWidth="1"/>
    <col min="19" max="19" width="18.54766845703125" customWidth="1"/>
    <col min="20" max="20" width="17.443378448486328" customWidth="1"/>
    <col min="21" max="21" width="29.982799530029297" customWidth="1"/>
    <col min="22" max="22" width="17.443378448486328" customWidth="1"/>
    <col min="23" max="23" width="20.15882682800293" customWidth="1"/>
    <col min="24" max="24" width="22.745859146118164" customWidth="1"/>
    <col min="25" max="25" width="19.229677200317383" customWidth="1"/>
    <col min="26" max="26" width="23.175174713134766" customWidth="1"/>
    <col min="27" max="27" width="27.019977569580078" customWidth="1"/>
    <col min="28" max="28" width="22.67380142211914" customWidth="1"/>
    <col min="29" max="29" width="17.443378448486328" customWidth="1"/>
    <col min="30" max="30" width="17.443378448486328" customWidth="1"/>
    <col min="31" max="31" width="28.09103012084961" customWidth="1"/>
    <col min="32" max="32" width="35.80137634277344" customWidth="1"/>
    <col min="33" max="33" width="24.63006019592285" customWidth="1"/>
    <col min="34" max="34" width="31.169235229492188" customWidth="1"/>
    <col min="35" max="35" width="25.599285125732422" customWidth="1"/>
    <col min="36" max="36" width="27.4479923248291" customWidth="1"/>
    <col min="37" max="37" width="27.297605514526367" customWidth="1"/>
    <col min="38" max="38" width="24.13197135925293" customWidth="1"/>
    <col min="39" max="39" width="28.806028366088867" customWidth="1"/>
    <col min="40" max="40" width="32.12822723388672" customWidth="1"/>
    <col min="41" max="41" width="26.54390525817871" customWidth="1"/>
    <col min="42" max="42" width="34.72551345825195" customWidth="1"/>
  </cols>
  <sheetData>
    <row r="1">
      <c r="A1" s="1" t="s">
        <v>497</v>
      </c>
      <c r="B1" s="1" t="s">
        <v>1</v>
      </c>
      <c r="C1" s="1" t="s">
        <v>477</v>
      </c>
      <c r="D1" s="1" t="s">
        <v>498</v>
      </c>
      <c r="E1" s="1" t="s">
        <v>358</v>
      </c>
      <c r="F1" s="1" t="s">
        <v>499</v>
      </c>
      <c r="G1" s="1" t="s">
        <v>500</v>
      </c>
      <c r="H1" s="1" t="s">
        <v>501</v>
      </c>
      <c r="I1" s="1" t="s">
        <v>502</v>
      </c>
      <c r="J1" s="1" t="s">
        <v>503</v>
      </c>
      <c r="K1" s="1" t="s">
        <v>504</v>
      </c>
      <c r="L1" s="1" t="s">
        <v>505</v>
      </c>
      <c r="M1" s="1" t="s">
        <v>506</v>
      </c>
      <c r="N1" s="1" t="s">
        <v>507</v>
      </c>
      <c r="O1" s="1" t="s">
        <v>508</v>
      </c>
      <c r="P1" s="1" t="s">
        <v>509</v>
      </c>
      <c r="Q1" s="1" t="s">
        <v>510</v>
      </c>
      <c r="R1" s="1" t="s">
        <v>511</v>
      </c>
      <c r="S1" s="1" t="s">
        <v>512</v>
      </c>
      <c r="T1" s="1" t="s">
        <v>513</v>
      </c>
      <c r="U1" s="1" t="s">
        <v>514</v>
      </c>
      <c r="V1" s="1" t="s">
        <v>515</v>
      </c>
      <c r="W1" s="1" t="s">
        <v>516</v>
      </c>
      <c r="X1" s="1" t="s">
        <v>517</v>
      </c>
      <c r="Y1" s="1" t="s">
        <v>518</v>
      </c>
      <c r="Z1" s="1" t="s">
        <v>519</v>
      </c>
      <c r="AA1" s="1" t="s">
        <v>520</v>
      </c>
      <c r="AB1" s="1" t="s">
        <v>521</v>
      </c>
      <c r="AC1" s="1" t="s">
        <v>522</v>
      </c>
      <c r="AD1" s="1" t="s">
        <v>523</v>
      </c>
      <c r="AE1" s="1" t="s">
        <v>524</v>
      </c>
      <c r="AF1" s="1" t="s">
        <v>525</v>
      </c>
      <c r="AG1" s="1" t="s">
        <v>526</v>
      </c>
      <c r="AH1" s="1" t="s">
        <v>527</v>
      </c>
      <c r="AI1" s="1" t="s">
        <v>528</v>
      </c>
      <c r="AJ1" s="1" t="s">
        <v>529</v>
      </c>
      <c r="AK1" s="1" t="s">
        <v>530</v>
      </c>
      <c r="AL1" s="1" t="s">
        <v>531</v>
      </c>
      <c r="AM1" s="1" t="s">
        <v>532</v>
      </c>
      <c r="AN1" s="1" t="s">
        <v>533</v>
      </c>
      <c r="AO1" s="1" t="s">
        <v>534</v>
      </c>
      <c r="AP1" s="1" t="s">
        <v>94</v>
      </c>
    </row>
    <row r="2">
      <c r="A2" s="2" t="s">
        <v>535</v>
      </c>
      <c r="B2" s="3" t="str">
        <f>D2 &amp; ". " &amp; E2</f>
        <v>01. Freeze transaction entry</v>
      </c>
      <c r="C2" s="2" t="s">
        <v>369</v>
      </c>
      <c r="D2" s="2" t="s">
        <v>536</v>
      </c>
      <c r="E2" s="2" t="s">
        <v>537</v>
      </c>
      <c r="F2" s="2" t="s">
        <v>538</v>
      </c>
      <c r="G2" s="2" t="s">
        <v>228</v>
      </c>
      <c r="H2" s="3" t="str">
        <f>_xlfn.IFNA(INDEX(Roles!C2:C999, MATCH(G2,Roles!A2:A999, 0)), "")</f>
        <v>Close Automation Operator</v>
      </c>
      <c r="I2" s="3" t="str">
        <f>_xlfn.IFNA(INDEX(Roles!F2:F999, MATCH(G2,Roles!A2:A999, 0)), "")</f>
        <v>AutomatedPipeline</v>
      </c>
      <c r="J2" s="2" t="s">
        <v>539</v>
      </c>
      <c r="K2" s="7">
        <v>5</v>
      </c>
      <c r="L2" s="2" t="s">
        <v>540</v>
      </c>
      <c r="M2" s="2" t="b">
        <v>0</v>
      </c>
      <c r="N2" s="3">
        <f>COUNTIFS(StepRequirements!F2:F999, A2)</f>
        <v>1</v>
      </c>
      <c r="O2" s="3">
        <f>COUNTIFS(OperationalBindings!O2:O999, A2)</f>
        <v>0</v>
      </c>
      <c r="P2" s="3">
        <f>COUNTIFS(OperationalBindings!P2:P999, A2)</f>
        <v>0</v>
      </c>
      <c r="Q2" s="3">
        <f>COUNTIFS(Exceptions!J2:J999, A2)</f>
        <v>0</v>
      </c>
      <c r="R2" s="3">
        <f>COUNTIFS(StepVerifications!C2:C999, A2)</f>
        <v>1</v>
      </c>
      <c r="S2" s="3" t="b">
        <f>OR(G2 = "finance-analyst", G2 = "variance-review-agent")</f>
        <v>0</v>
      </c>
      <c r="T2" s="3" t="b">
        <f>OR(G2 = "controller", G2 = "cfo")</f>
        <v>0</v>
      </c>
      <c r="U2" s="3">
        <f>COUNTIFS(OperationalBindings!R2:R999, A2)</f>
        <v>0</v>
      </c>
      <c r="V2" s="3" t="b">
        <f>U2 = 0</f>
        <v>1</v>
      </c>
      <c r="W2" s="3" t="b">
        <f>OR(I2 = "AIAgent", I2 = "AutomatedPipeline")</f>
        <v>1</v>
      </c>
      <c r="X2" s="3" t="b">
        <f>AND(NOT(W2), OR(A2 = "policy-05", A2 = "close-06"))</f>
        <v>0</v>
      </c>
      <c r="Y2" s="3" t="b">
        <f>AND(X2, I2 = "Human")</f>
        <v>0</v>
      </c>
      <c r="Z2" s="3">
        <f>COUNTIFS(AuthorityBoundaries!P2:P999, A2)</f>
        <v>0</v>
      </c>
      <c r="AA2" s="3" t="b">
        <f>_xlfn.IFNA(INDEX(Roles!O2:O999, MATCH(G2,Roles!A2:A999, 0)), "")</f>
        <v>0</v>
      </c>
      <c r="AB2" s="3">
        <f>COUNTIFS(OperationalBindings!U2:U999, A2)</f>
        <v>0</v>
      </c>
      <c r="AC2" s="3" t="b">
        <f>AB2 = 0</f>
        <v>1</v>
      </c>
      <c r="AD2" s="2" t="s">
        <v>541</v>
      </c>
      <c r="AE2" s="3">
        <f>COUNTIFS(AuthorityBoundaries!Z2:Z999, A2)</f>
        <v>0</v>
      </c>
      <c r="AF2" s="3" t="b">
        <f>AE2 &gt; 0</f>
        <v>0</v>
      </c>
      <c r="AG2" s="3">
        <f>COUNTIFS(StepExecutions!CG2:CG999, A2)</f>
        <v>1</v>
      </c>
      <c r="AH2" s="3" t="b">
        <f>AG2 &gt; 0</f>
        <v>1</v>
      </c>
      <c r="AI2" s="3" t="b">
        <f>AND(X2, NOT(AH2))</f>
        <v>0</v>
      </c>
      <c r="AJ2" s="3" t="b">
        <f>AND(X2, AH2, Y2)</f>
        <v>0</v>
      </c>
      <c r="AK2" s="3" t="str">
        <f>IF(AI2, C2, "")</f>
      </c>
      <c r="AL2" s="3" t="b">
        <f>AD2 &lt;&gt; ""</f>
        <v>1</v>
      </c>
      <c r="AM2" s="3" t="str">
        <f>IF(AL2, "", C2)</f>
      </c>
      <c r="AN2" s="3" t="b">
        <f>AND(AD2 = "Approval", W2)</f>
        <v>0</v>
      </c>
      <c r="AO2" s="3">
        <f>COUNTIFS(StepRequirements!I2:I999, A2)</f>
        <v>0</v>
      </c>
      <c r="AP2" s="2" t="s">
        <v>542</v>
      </c>
    </row>
    <row r="3">
      <c r="A3" s="2" t="s">
        <v>543</v>
      </c>
      <c r="B3" s="3" t="str">
        <f>D3 &amp; ". " &amp; E3</f>
        <v>02. Extract trial balance and feed timestamps</v>
      </c>
      <c r="C3" s="2" t="s">
        <v>369</v>
      </c>
      <c r="D3" s="2" t="s">
        <v>544</v>
      </c>
      <c r="E3" s="2" t="s">
        <v>545</v>
      </c>
      <c r="F3" s="2" t="s">
        <v>538</v>
      </c>
      <c r="G3" s="2" t="s">
        <v>228</v>
      </c>
      <c r="H3" s="3" t="str">
        <f>_xlfn.IFNA(INDEX(Roles!C2:C999, MATCH(G3,Roles!A2:A999, 0)), "")</f>
        <v>Close Automation Operator</v>
      </c>
      <c r="I3" s="3" t="str">
        <f>_xlfn.IFNA(INDEX(Roles!F2:F999, MATCH(G3,Roles!A2:A999, 0)), "")</f>
        <v>AutomatedPipeline</v>
      </c>
      <c r="J3" s="2" t="s">
        <v>546</v>
      </c>
      <c r="K3" s="7">
        <v>10</v>
      </c>
      <c r="L3" s="2" t="s">
        <v>540</v>
      </c>
      <c r="M3" s="2" t="b">
        <v>0</v>
      </c>
      <c r="N3" s="3">
        <f>COUNTIFS(StepRequirements!F2:F999, A3)</f>
        <v>0</v>
      </c>
      <c r="O3" s="3">
        <f>COUNTIFS(OperationalBindings!O2:O999, A3)</f>
        <v>0</v>
      </c>
      <c r="P3" s="3">
        <f>COUNTIFS(OperationalBindings!P2:P999, A3)</f>
        <v>0</v>
      </c>
      <c r="Q3" s="3">
        <f>COUNTIFS(Exceptions!J2:J999, A3)</f>
        <v>1</v>
      </c>
      <c r="R3" s="3">
        <f>COUNTIFS(StepVerifications!C2:C999, A3)</f>
        <v>1</v>
      </c>
      <c r="S3" s="3" t="b">
        <f>OR(G3 = "finance-analyst", G3 = "variance-review-agent")</f>
        <v>0</v>
      </c>
      <c r="T3" s="3" t="b">
        <f>OR(G3 = "controller", G3 = "cfo")</f>
        <v>0</v>
      </c>
      <c r="U3" s="3">
        <f>COUNTIFS(OperationalBindings!R2:R999, A3)</f>
        <v>0</v>
      </c>
      <c r="V3" s="3" t="b">
        <f>U3 = 0</f>
        <v>1</v>
      </c>
      <c r="W3" s="3" t="b">
        <f>OR(I3 = "AIAgent", I3 = "AutomatedPipeline")</f>
        <v>1</v>
      </c>
      <c r="X3" s="3" t="b">
        <f>AND(NOT(W3), OR(A3 = "policy-05", A3 = "close-06"))</f>
        <v>0</v>
      </c>
      <c r="Y3" s="3" t="b">
        <f>AND(X3, I3 = "Human")</f>
        <v>0</v>
      </c>
      <c r="Z3" s="3">
        <f>COUNTIFS(AuthorityBoundaries!P2:P999, A3)</f>
        <v>0</v>
      </c>
      <c r="AA3" s="3" t="b">
        <f>_xlfn.IFNA(INDEX(Roles!O2:O999, MATCH(G3,Roles!A2:A999, 0)), "")</f>
        <v>0</v>
      </c>
      <c r="AB3" s="3">
        <f>COUNTIFS(OperationalBindings!U2:U999, A3)</f>
        <v>0</v>
      </c>
      <c r="AC3" s="3" t="b">
        <f>AB3 = 0</f>
        <v>1</v>
      </c>
      <c r="AD3" s="2" t="s">
        <v>541</v>
      </c>
      <c r="AE3" s="3">
        <f>COUNTIFS(AuthorityBoundaries!Z2:Z999, A3)</f>
        <v>0</v>
      </c>
      <c r="AF3" s="3" t="b">
        <f>AE3 &gt; 0</f>
        <v>0</v>
      </c>
      <c r="AG3" s="3">
        <f>COUNTIFS(StepExecutions!CG2:CG999, A3)</f>
        <v>1</v>
      </c>
      <c r="AH3" s="3" t="b">
        <f>AG3 &gt; 0</f>
        <v>1</v>
      </c>
      <c r="AI3" s="3" t="b">
        <f>AND(X3, NOT(AH3))</f>
        <v>0</v>
      </c>
      <c r="AJ3" s="3" t="b">
        <f>AND(X3, AH3, Y3)</f>
        <v>0</v>
      </c>
      <c r="AK3" s="3" t="str">
        <f>IF(AI3, C3, "")</f>
      </c>
      <c r="AL3" s="3" t="b">
        <f>AD3 &lt;&gt; ""</f>
        <v>1</v>
      </c>
      <c r="AM3" s="3" t="str">
        <f>IF(AL3, "", C3)</f>
      </c>
      <c r="AN3" s="3" t="b">
        <f>AND(AD3 = "Approval", W3)</f>
        <v>0</v>
      </c>
      <c r="AO3" s="3">
        <f>COUNTIFS(StepRequirements!I2:I999, A3)</f>
        <v>0</v>
      </c>
      <c r="AP3" s="2" t="s">
        <v>542</v>
      </c>
    </row>
    <row r="4">
      <c r="A4" s="2" t="s">
        <v>547</v>
      </c>
      <c r="B4" s="3" t="str">
        <f>D4 &amp; ". " &amp; E4</f>
        <v>03. Reconcile material accounts</v>
      </c>
      <c r="C4" s="2" t="s">
        <v>369</v>
      </c>
      <c r="D4" s="2" t="s">
        <v>548</v>
      </c>
      <c r="E4" s="2" t="s">
        <v>549</v>
      </c>
      <c r="F4" s="2" t="s">
        <v>550</v>
      </c>
      <c r="G4" s="2" t="s">
        <v>203</v>
      </c>
      <c r="H4" s="3" t="str">
        <f>_xlfn.IFNA(INDEX(Roles!C2:C999, MATCH(G4,Roles!A2:A999, 0)), "")</f>
        <v>Finance Analyst</v>
      </c>
      <c r="I4" s="3" t="str">
        <f>_xlfn.IFNA(INDEX(Roles!F2:F999, MATCH(G4,Roles!A2:A999, 0)), "")</f>
        <v>Human</v>
      </c>
      <c r="J4" s="2" t="s">
        <v>551</v>
      </c>
      <c r="K4" s="7">
        <v>120</v>
      </c>
      <c r="L4" s="2" t="s">
        <v>540</v>
      </c>
      <c r="M4" s="2" t="b">
        <v>0</v>
      </c>
      <c r="N4" s="3">
        <f>COUNTIFS(StepRequirements!F2:F999, A4)</f>
        <v>2</v>
      </c>
      <c r="O4" s="3">
        <f>COUNTIFS(OperationalBindings!O2:O999, A4)</f>
        <v>0</v>
      </c>
      <c r="P4" s="3">
        <f>COUNTIFS(OperationalBindings!P2:P999, A4)</f>
        <v>0</v>
      </c>
      <c r="Q4" s="3">
        <f>COUNTIFS(Exceptions!J2:J999, A4)</f>
        <v>0</v>
      </c>
      <c r="R4" s="3">
        <f>COUNTIFS(StepVerifications!C2:C999, A4)</f>
        <v>1</v>
      </c>
      <c r="S4" s="3" t="b">
        <f>OR(G4 = "finance-analyst", G4 = "variance-review-agent")</f>
        <v>1</v>
      </c>
      <c r="T4" s="3" t="b">
        <f>OR(G4 = "controller", G4 = "cfo")</f>
        <v>0</v>
      </c>
      <c r="U4" s="3">
        <f>COUNTIFS(OperationalBindings!R2:R999, A4)</f>
        <v>0</v>
      </c>
      <c r="V4" s="3" t="b">
        <f>U4 = 0</f>
        <v>1</v>
      </c>
      <c r="W4" s="3" t="b">
        <f>OR(I4 = "AIAgent", I4 = "AutomatedPipeline")</f>
        <v>0</v>
      </c>
      <c r="X4" s="3" t="b">
        <f>AND(NOT(W4), OR(A4 = "policy-05", A4 = "close-06"))</f>
        <v>0</v>
      </c>
      <c r="Y4" s="3" t="b">
        <f>AND(X4, I4 = "Human")</f>
        <v>0</v>
      </c>
      <c r="Z4" s="3">
        <f>COUNTIFS(AuthorityBoundaries!P2:P999, A4)</f>
        <v>0</v>
      </c>
      <c r="AA4" s="3" t="b">
        <f>_xlfn.IFNA(INDEX(Roles!O2:O999, MATCH(G4,Roles!A2:A999, 0)), "")</f>
        <v>0</v>
      </c>
      <c r="AB4" s="3">
        <f>COUNTIFS(OperationalBindings!U2:U999, A4)</f>
        <v>0</v>
      </c>
      <c r="AC4" s="3" t="b">
        <f>AB4 = 0</f>
        <v>1</v>
      </c>
      <c r="AD4" s="2" t="s">
        <v>552</v>
      </c>
      <c r="AE4" s="3">
        <f>COUNTIFS(AuthorityBoundaries!Z2:Z999, A4)</f>
        <v>0</v>
      </c>
      <c r="AF4" s="3" t="b">
        <f>AE4 &gt; 0</f>
        <v>0</v>
      </c>
      <c r="AG4" s="3">
        <f>COUNTIFS(StepExecutions!CG2:CG999, A4)</f>
        <v>0</v>
      </c>
      <c r="AH4" s="3" t="b">
        <f>AG4 &gt; 0</f>
        <v>0</v>
      </c>
      <c r="AI4" s="3" t="b">
        <f>AND(X4, NOT(AH4))</f>
        <v>0</v>
      </c>
      <c r="AJ4" s="3" t="b">
        <f>AND(X4, AH4, Y4)</f>
        <v>0</v>
      </c>
      <c r="AK4" s="3" t="str">
        <f>IF(AI4, C4, "")</f>
      </c>
      <c r="AL4" s="3" t="b">
        <f>AD4 &lt;&gt; ""</f>
        <v>1</v>
      </c>
      <c r="AM4" s="3" t="str">
        <f>IF(AL4, "", C4)</f>
      </c>
      <c r="AN4" s="3" t="b">
        <f>AND(AD4 = "Approval", W4)</f>
        <v>0</v>
      </c>
      <c r="AO4" s="3">
        <f>COUNTIFS(StepRequirements!I2:I999, A4)</f>
        <v>0</v>
      </c>
      <c r="AP4" s="2" t="s">
        <v>553</v>
      </c>
    </row>
    <row r="5">
      <c r="A5" s="2" t="s">
        <v>554</v>
      </c>
      <c r="B5" s="3" t="str">
        <f>D5 &amp; ". " &amp; E5</f>
        <v>04. Classify and investigate variances</v>
      </c>
      <c r="C5" s="2" t="s">
        <v>369</v>
      </c>
      <c r="D5" s="2" t="s">
        <v>555</v>
      </c>
      <c r="E5" s="2" t="s">
        <v>556</v>
      </c>
      <c r="F5" s="2" t="s">
        <v>550</v>
      </c>
      <c r="G5" s="2" t="s">
        <v>232</v>
      </c>
      <c r="H5" s="3" t="str">
        <f>_xlfn.IFNA(INDEX(Roles!C2:C999, MATCH(G5,Roles!A2:A999, 0)), "")</f>
        <v>Variance Review Agent</v>
      </c>
      <c r="I5" s="3" t="str">
        <f>_xlfn.IFNA(INDEX(Roles!F2:F999, MATCH(G5,Roles!A2:A999, 0)), "")</f>
        <v>AIAgent</v>
      </c>
      <c r="J5" s="2" t="s">
        <v>557</v>
      </c>
      <c r="K5" s="7">
        <v>90</v>
      </c>
      <c r="L5" s="2" t="s">
        <v>558</v>
      </c>
      <c r="M5" s="2" t="b">
        <v>0</v>
      </c>
      <c r="N5" s="3">
        <f>COUNTIFS(StepRequirements!F2:F999, A5)</f>
        <v>0</v>
      </c>
      <c r="O5" s="3">
        <f>COUNTIFS(OperationalBindings!O2:O999, A5)</f>
        <v>0</v>
      </c>
      <c r="P5" s="3">
        <f>COUNTIFS(OperationalBindings!P2:P999, A5)</f>
        <v>0</v>
      </c>
      <c r="Q5" s="3">
        <f>COUNTIFS(Exceptions!J2:J999, A5)</f>
        <v>0</v>
      </c>
      <c r="R5" s="3">
        <f>COUNTIFS(StepVerifications!C2:C999, A5)</f>
        <v>0</v>
      </c>
      <c r="S5" s="3" t="b">
        <f>OR(G5 = "finance-analyst", G5 = "variance-review-agent")</f>
        <v>1</v>
      </c>
      <c r="T5" s="3" t="b">
        <f>OR(G5 = "controller", G5 = "cfo")</f>
        <v>0</v>
      </c>
      <c r="U5" s="3">
        <f>COUNTIFS(OperationalBindings!R2:R999, A5)</f>
        <v>0</v>
      </c>
      <c r="V5" s="3" t="b">
        <f>U5 = 0</f>
        <v>1</v>
      </c>
      <c r="W5" s="3" t="b">
        <f>OR(I5 = "AIAgent", I5 = "AutomatedPipeline")</f>
        <v>1</v>
      </c>
      <c r="X5" s="3" t="b">
        <f>AND(NOT(W5), OR(A5 = "policy-05", A5 = "close-06"))</f>
        <v>0</v>
      </c>
      <c r="Y5" s="3" t="b">
        <f>AND(X5, I5 = "Human")</f>
        <v>0</v>
      </c>
      <c r="Z5" s="3">
        <f>COUNTIFS(AuthorityBoundaries!P2:P999, A5)</f>
        <v>1</v>
      </c>
      <c r="AA5" s="3" t="b">
        <f>_xlfn.IFNA(INDEX(Roles!O2:O999, MATCH(G5,Roles!A2:A999, 0)), "")</f>
        <v>0</v>
      </c>
      <c r="AB5" s="3">
        <f>COUNTIFS(OperationalBindings!U2:U999, A5)</f>
        <v>0</v>
      </c>
      <c r="AC5" s="3" t="b">
        <f>AB5 = 0</f>
        <v>1</v>
      </c>
      <c r="AD5" s="2" t="s">
        <v>552</v>
      </c>
      <c r="AE5" s="3">
        <f>COUNTIFS(AuthorityBoundaries!Z2:Z999, A5)</f>
        <v>0</v>
      </c>
      <c r="AF5" s="3" t="b">
        <f>AE5 &gt; 0</f>
        <v>0</v>
      </c>
      <c r="AG5" s="3">
        <f>COUNTIFS(StepExecutions!CG2:CG999, A5)</f>
        <v>1</v>
      </c>
      <c r="AH5" s="3" t="b">
        <f>AG5 &gt; 0</f>
        <v>1</v>
      </c>
      <c r="AI5" s="3" t="b">
        <f>AND(X5, NOT(AH5))</f>
        <v>0</v>
      </c>
      <c r="AJ5" s="3" t="b">
        <f>AND(X5, AH5, Y5)</f>
        <v>0</v>
      </c>
      <c r="AK5" s="3" t="str">
        <f>IF(AI5, C5, "")</f>
      </c>
      <c r="AL5" s="3" t="b">
        <f>AD5 &lt;&gt; ""</f>
        <v>1</v>
      </c>
      <c r="AM5" s="3" t="str">
        <f>IF(AL5, "", C5)</f>
      </c>
      <c r="AN5" s="3" t="b">
        <f>AND(AD5 = "Approval", W5)</f>
        <v>0</v>
      </c>
      <c r="AO5" s="3">
        <f>COUNTIFS(StepRequirements!I2:I999, A5)</f>
        <v>0</v>
      </c>
      <c r="AP5" s="2" t="s">
        <v>553</v>
      </c>
    </row>
    <row r="6">
      <c r="A6" s="2" t="s">
        <v>559</v>
      </c>
      <c r="B6" s="3" t="str">
        <f>D6 &amp; ". " &amp; E6</f>
        <v>05. Controller review</v>
      </c>
      <c r="C6" s="2" t="s">
        <v>369</v>
      </c>
      <c r="D6" s="2" t="s">
        <v>560</v>
      </c>
      <c r="E6" s="2" t="s">
        <v>561</v>
      </c>
      <c r="F6" s="2" t="s">
        <v>538</v>
      </c>
      <c r="G6" s="2" t="s">
        <v>208</v>
      </c>
      <c r="H6" s="3" t="str">
        <f>_xlfn.IFNA(INDEX(Roles!C2:C999, MATCH(G6,Roles!A2:A999, 0)), "")</f>
        <v>Corporate Controller</v>
      </c>
      <c r="I6" s="3" t="str">
        <f>_xlfn.IFNA(INDEX(Roles!F2:F999, MATCH(G6,Roles!A2:A999, 0)), "")</f>
        <v>Human</v>
      </c>
      <c r="J6" s="2" t="s">
        <v>562</v>
      </c>
      <c r="K6" s="7">
        <v>60</v>
      </c>
      <c r="L6" s="2" t="s">
        <v>558</v>
      </c>
      <c r="M6" s="2" t="b">
        <v>1</v>
      </c>
      <c r="N6" s="3">
        <f>COUNTIFS(StepRequirements!F2:F999, A6)</f>
        <v>1</v>
      </c>
      <c r="O6" s="3">
        <f>COUNTIFS(OperationalBindings!O2:O999, A6)</f>
        <v>0</v>
      </c>
      <c r="P6" s="3">
        <f>COUNTIFS(OperationalBindings!P2:P999, A6)</f>
        <v>0</v>
      </c>
      <c r="Q6" s="3">
        <f>COUNTIFS(Exceptions!J2:J999, A6)</f>
        <v>0</v>
      </c>
      <c r="R6" s="3">
        <f>COUNTIFS(StepVerifications!C2:C999, A6)</f>
        <v>1</v>
      </c>
      <c r="S6" s="3" t="b">
        <f>OR(G6 = "finance-analyst", G6 = "variance-review-agent")</f>
        <v>0</v>
      </c>
      <c r="T6" s="3" t="b">
        <f>OR(G6 = "controller", G6 = "cfo")</f>
        <v>1</v>
      </c>
      <c r="U6" s="3">
        <f>COUNTIFS(OperationalBindings!R2:R999, A6)</f>
        <v>0</v>
      </c>
      <c r="V6" s="3" t="b">
        <f>U6 = 0</f>
        <v>1</v>
      </c>
      <c r="W6" s="3" t="b">
        <f>OR(I6 = "AIAgent", I6 = "AutomatedPipeline")</f>
        <v>0</v>
      </c>
      <c r="X6" s="3" t="b">
        <f>AND(NOT(W6), OR(A6 = "policy-05", A6 = "close-06"))</f>
        <v>0</v>
      </c>
      <c r="Y6" s="3" t="b">
        <f>AND(X6, I6 = "Human")</f>
        <v>0</v>
      </c>
      <c r="Z6" s="3">
        <f>COUNTIFS(AuthorityBoundaries!P2:P999, A6)</f>
        <v>0</v>
      </c>
      <c r="AA6" s="3" t="b">
        <f>_xlfn.IFNA(INDEX(Roles!O2:O999, MATCH(G6,Roles!A2:A999, 0)), "")</f>
        <v>0</v>
      </c>
      <c r="AB6" s="3">
        <f>COUNTIFS(OperationalBindings!U2:U999, A6)</f>
        <v>0</v>
      </c>
      <c r="AC6" s="3" t="b">
        <f>AB6 = 0</f>
        <v>1</v>
      </c>
      <c r="AD6" s="2" t="s">
        <v>489</v>
      </c>
      <c r="AE6" s="3">
        <f>COUNTIFS(AuthorityBoundaries!Z2:Z999, A6)</f>
        <v>0</v>
      </c>
      <c r="AF6" s="3" t="b">
        <f>AE6 &gt; 0</f>
        <v>0</v>
      </c>
      <c r="AG6" s="3">
        <f>COUNTIFS(StepExecutions!CG2:CG999, A6)</f>
        <v>0</v>
      </c>
      <c r="AH6" s="3" t="b">
        <f>AG6 &gt; 0</f>
        <v>0</v>
      </c>
      <c r="AI6" s="3" t="b">
        <f>AND(X6, NOT(AH6))</f>
        <v>0</v>
      </c>
      <c r="AJ6" s="3" t="b">
        <f>AND(X6, AH6, Y6)</f>
        <v>0</v>
      </c>
      <c r="AK6" s="3" t="str">
        <f>IF(AI6, C6, "")</f>
      </c>
      <c r="AL6" s="3" t="b">
        <f>AD6 &lt;&gt; ""</f>
        <v>1</v>
      </c>
      <c r="AM6" s="3" t="str">
        <f>IF(AL6, "", C6)</f>
      </c>
      <c r="AN6" s="3" t="b">
        <f>AND(AD6 = "Approval", W6)</f>
        <v>0</v>
      </c>
      <c r="AO6" s="3">
        <f>COUNTIFS(StepRequirements!I2:I999, A6)</f>
        <v>0</v>
      </c>
      <c r="AP6" s="2" t="s">
        <v>542</v>
      </c>
    </row>
    <row r="7">
      <c r="A7" s="2" t="s">
        <v>563</v>
      </c>
      <c r="B7" s="3" t="str">
        <f>D7 &amp; ". " &amp; E7</f>
        <v>06. CFO approval</v>
      </c>
      <c r="C7" s="2" t="s">
        <v>369</v>
      </c>
      <c r="D7" s="2" t="s">
        <v>564</v>
      </c>
      <c r="E7" s="2" t="s">
        <v>565</v>
      </c>
      <c r="F7" s="2" t="s">
        <v>538</v>
      </c>
      <c r="G7" s="2" t="s">
        <v>212</v>
      </c>
      <c r="H7" s="3" t="str">
        <f>_xlfn.IFNA(INDEX(Roles!C2:C999, MATCH(G7,Roles!A2:A999, 0)), "")</f>
        <v>Chief Financial Officer</v>
      </c>
      <c r="I7" s="3" t="str">
        <f>_xlfn.IFNA(INDEX(Roles!F2:F999, MATCH(G7,Roles!A2:A999, 0)), "")</f>
        <v>Human</v>
      </c>
      <c r="J7" s="2" t="s">
        <v>566</v>
      </c>
      <c r="K7" s="7">
        <v>30</v>
      </c>
      <c r="L7" s="2" t="s">
        <v>567</v>
      </c>
      <c r="M7" s="2" t="b">
        <v>1</v>
      </c>
      <c r="N7" s="3">
        <f>COUNTIFS(StepRequirements!F2:F999, A7)</f>
        <v>1</v>
      </c>
      <c r="O7" s="3">
        <f>COUNTIFS(OperationalBindings!O2:O999, A7)</f>
        <v>0</v>
      </c>
      <c r="P7" s="3">
        <f>COUNTIFS(OperationalBindings!P2:P999, A7)</f>
        <v>0</v>
      </c>
      <c r="Q7" s="3">
        <f>COUNTIFS(Exceptions!J2:J999, A7)</f>
        <v>1</v>
      </c>
      <c r="R7" s="3">
        <f>COUNTIFS(StepVerifications!C2:C999, A7)</f>
        <v>1</v>
      </c>
      <c r="S7" s="3" t="b">
        <f>OR(G7 = "finance-analyst", G7 = "variance-review-agent")</f>
        <v>0</v>
      </c>
      <c r="T7" s="3" t="b">
        <f>OR(G7 = "controller", G7 = "cfo")</f>
        <v>1</v>
      </c>
      <c r="U7" s="3">
        <f>COUNTIFS(OperationalBindings!R2:R999, A7)</f>
        <v>0</v>
      </c>
      <c r="V7" s="3" t="b">
        <f>U7 = 0</f>
        <v>1</v>
      </c>
      <c r="W7" s="3" t="b">
        <f>OR(I7 = "AIAgent", I7 = "AutomatedPipeline")</f>
        <v>0</v>
      </c>
      <c r="X7" s="3" t="b">
        <f>AND(NOT(W7), OR(A7 = "policy-05", A7 = "close-06"))</f>
        <v>1</v>
      </c>
      <c r="Y7" s="3" t="b">
        <f>AND(X7, I7 = "Human")</f>
        <v>1</v>
      </c>
      <c r="Z7" s="3">
        <f>COUNTIFS(AuthorityBoundaries!P2:P999, A7)</f>
        <v>1</v>
      </c>
      <c r="AA7" s="3" t="b">
        <f>_xlfn.IFNA(INDEX(Roles!O2:O999, MATCH(G7,Roles!A2:A999, 0)), "")</f>
        <v>0</v>
      </c>
      <c r="AB7" s="3">
        <f>COUNTIFS(OperationalBindings!U2:U999, A7)</f>
        <v>0</v>
      </c>
      <c r="AC7" s="3" t="b">
        <f>AB7 = 0</f>
        <v>1</v>
      </c>
      <c r="AD7" s="2" t="s">
        <v>489</v>
      </c>
      <c r="AE7" s="3">
        <f>COUNTIFS(AuthorityBoundaries!Z2:Z999, A7)</f>
        <v>0</v>
      </c>
      <c r="AF7" s="3" t="b">
        <f>AE7 &gt; 0</f>
        <v>0</v>
      </c>
      <c r="AG7" s="3">
        <f>COUNTIFS(StepExecutions!CG2:CG999, A7)</f>
        <v>0</v>
      </c>
      <c r="AH7" s="3" t="b">
        <f>AG7 &gt; 0</f>
        <v>0</v>
      </c>
      <c r="AI7" s="3" t="b">
        <f>AND(X7, NOT(AH7))</f>
        <v>1</v>
      </c>
      <c r="AJ7" s="3" t="b">
        <f>AND(X7, AH7, Y7)</f>
        <v>0</v>
      </c>
      <c r="AK7" s="3" t="str">
        <f>IF(AI7, C7, "")</f>
        <v>close-v1.1.0</v>
      </c>
      <c r="AL7" s="3" t="b">
        <f>AD7 &lt;&gt; ""</f>
        <v>1</v>
      </c>
      <c r="AM7" s="3" t="str">
        <f>IF(AL7, "", C7)</f>
      </c>
      <c r="AN7" s="3" t="b">
        <f>AND(AD7 = "Approval", W7)</f>
        <v>0</v>
      </c>
      <c r="AO7" s="3">
        <f>COUNTIFS(StepRequirements!I2:I999, A7)</f>
        <v>1</v>
      </c>
      <c r="AP7" s="2" t="s">
        <v>542</v>
      </c>
    </row>
    <row r="8">
      <c r="A8" s="2" t="s">
        <v>568</v>
      </c>
      <c r="B8" s="3" t="str">
        <f>D8 &amp; ". " &amp; E8</f>
        <v>07. Post close and publish package</v>
      </c>
      <c r="C8" s="2" t="s">
        <v>369</v>
      </c>
      <c r="D8" s="2" t="s">
        <v>569</v>
      </c>
      <c r="E8" s="2" t="s">
        <v>570</v>
      </c>
      <c r="F8" s="2" t="s">
        <v>538</v>
      </c>
      <c r="G8" s="2" t="s">
        <v>228</v>
      </c>
      <c r="H8" s="3" t="str">
        <f>_xlfn.IFNA(INDEX(Roles!C2:C999, MATCH(G8,Roles!A2:A999, 0)), "")</f>
        <v>Close Automation Operator</v>
      </c>
      <c r="I8" s="3" t="str">
        <f>_xlfn.IFNA(INDEX(Roles!F2:F999, MATCH(G8,Roles!A2:A999, 0)), "")</f>
        <v>AutomatedPipeline</v>
      </c>
      <c r="J8" s="2" t="s">
        <v>571</v>
      </c>
      <c r="K8" s="7">
        <v>20</v>
      </c>
      <c r="L8" s="2" t="s">
        <v>540</v>
      </c>
      <c r="M8" s="2" t="b">
        <v>0</v>
      </c>
      <c r="N8" s="3">
        <f>COUNTIFS(StepRequirements!F2:F999, A8)</f>
        <v>0</v>
      </c>
      <c r="O8" s="3">
        <f>COUNTIFS(OperationalBindings!O2:O999, A8)</f>
        <v>0</v>
      </c>
      <c r="P8" s="3">
        <f>COUNTIFS(OperationalBindings!P2:P999, A8)</f>
        <v>0</v>
      </c>
      <c r="Q8" s="3">
        <f>COUNTIFS(Exceptions!J2:J999, A8)</f>
        <v>0</v>
      </c>
      <c r="R8" s="3">
        <f>COUNTIFS(StepVerifications!C2:C999, A8)</f>
        <v>0</v>
      </c>
      <c r="S8" s="3" t="b">
        <f>OR(G8 = "finance-analyst", G8 = "variance-review-agent")</f>
        <v>0</v>
      </c>
      <c r="T8" s="3" t="b">
        <f>OR(G8 = "controller", G8 = "cfo")</f>
        <v>0</v>
      </c>
      <c r="U8" s="3">
        <f>COUNTIFS(OperationalBindings!R2:R999, A8)</f>
        <v>0</v>
      </c>
      <c r="V8" s="3" t="b">
        <f>U8 = 0</f>
        <v>1</v>
      </c>
      <c r="W8" s="3" t="b">
        <f>OR(I8 = "AIAgent", I8 = "AutomatedPipeline")</f>
        <v>1</v>
      </c>
      <c r="X8" s="3" t="b">
        <f>AND(NOT(W8), OR(A8 = "policy-05", A8 = "close-06"))</f>
        <v>0</v>
      </c>
      <c r="Y8" s="3" t="b">
        <f>AND(X8, I8 = "Human")</f>
        <v>0</v>
      </c>
      <c r="Z8" s="3">
        <f>COUNTIFS(AuthorityBoundaries!P2:P999, A8)</f>
        <v>0</v>
      </c>
      <c r="AA8" s="3" t="b">
        <f>_xlfn.IFNA(INDEX(Roles!O2:O999, MATCH(G8,Roles!A2:A999, 0)), "")</f>
        <v>0</v>
      </c>
      <c r="AB8" s="3">
        <f>COUNTIFS(OperationalBindings!U2:U999, A8)</f>
        <v>0</v>
      </c>
      <c r="AC8" s="3" t="b">
        <f>AB8 = 0</f>
        <v>1</v>
      </c>
      <c r="AD8" s="2" t="s">
        <v>572</v>
      </c>
      <c r="AE8" s="3">
        <f>COUNTIFS(AuthorityBoundaries!Z2:Z999, A8)</f>
        <v>0</v>
      </c>
      <c r="AF8" s="3" t="b">
        <f>AE8 &gt; 0</f>
        <v>0</v>
      </c>
      <c r="AG8" s="3">
        <f>COUNTIFS(StepExecutions!CG2:CG999, A8)</f>
        <v>1</v>
      </c>
      <c r="AH8" s="3" t="b">
        <f>AG8 &gt; 0</f>
        <v>1</v>
      </c>
      <c r="AI8" s="3" t="b">
        <f>AND(X8, NOT(AH8))</f>
        <v>0</v>
      </c>
      <c r="AJ8" s="3" t="b">
        <f>AND(X8, AH8, Y8)</f>
        <v>0</v>
      </c>
      <c r="AK8" s="3" t="str">
        <f>IF(AI8, C8, "")</f>
      </c>
      <c r="AL8" s="3" t="b">
        <f>AD8 &lt;&gt; ""</f>
        <v>1</v>
      </c>
      <c r="AM8" s="3" t="str">
        <f>IF(AL8, "", C8)</f>
      </c>
      <c r="AN8" s="3" t="b">
        <f>AND(AD8 = "Approval", W8)</f>
        <v>0</v>
      </c>
      <c r="AO8" s="3">
        <f>COUNTIFS(StepRequirements!I2:I999, A8)</f>
        <v>0</v>
      </c>
      <c r="AP8" s="2" t="s">
        <v>542</v>
      </c>
    </row>
    <row r="9">
      <c r="A9" s="2" t="s">
        <v>573</v>
      </c>
      <c r="B9" s="3" t="str">
        <f>D9 &amp; ". " &amp; E9</f>
        <v>08. Archive evidence and hold retrospective</v>
      </c>
      <c r="C9" s="2" t="s">
        <v>369</v>
      </c>
      <c r="D9" s="2" t="s">
        <v>574</v>
      </c>
      <c r="E9" s="2" t="s">
        <v>575</v>
      </c>
      <c r="F9" s="2" t="s">
        <v>550</v>
      </c>
      <c r="G9" s="2" t="s">
        <v>244</v>
      </c>
      <c r="H9" s="3" t="str">
        <f>_xlfn.IFNA(INDEX(Roles!C2:C999, MATCH(G9,Roles!A2:A999, 0)), "")</f>
        <v>Procedural Knowledge Steward</v>
      </c>
      <c r="I9" s="3" t="str">
        <f>_xlfn.IFNA(INDEX(Roles!F2:F999, MATCH(G9,Roles!A2:A999, 0)), "")</f>
        <v>Human</v>
      </c>
      <c r="J9" s="2" t="s">
        <v>576</v>
      </c>
      <c r="K9" s="7">
        <v>45</v>
      </c>
      <c r="L9" s="2" t="s">
        <v>540</v>
      </c>
      <c r="M9" s="2" t="b">
        <v>0</v>
      </c>
      <c r="N9" s="3">
        <f>COUNTIFS(StepRequirements!F2:F999, A9)</f>
        <v>1</v>
      </c>
      <c r="O9" s="3">
        <f>COUNTIFS(OperationalBindings!O2:O999, A9)</f>
        <v>0</v>
      </c>
      <c r="P9" s="3">
        <f>COUNTIFS(OperationalBindings!P2:P999, A9)</f>
        <v>0</v>
      </c>
      <c r="Q9" s="3">
        <f>COUNTIFS(Exceptions!J2:J999, A9)</f>
        <v>0</v>
      </c>
      <c r="R9" s="3">
        <f>COUNTIFS(StepVerifications!C2:C999, A9)</f>
        <v>0</v>
      </c>
      <c r="S9" s="3" t="b">
        <f>OR(G9 = "finance-analyst", G9 = "variance-review-agent")</f>
        <v>0</v>
      </c>
      <c r="T9" s="3" t="b">
        <f>OR(G9 = "controller", G9 = "cfo")</f>
        <v>0</v>
      </c>
      <c r="U9" s="3">
        <f>COUNTIFS(OperationalBindings!R2:R999, A9)</f>
        <v>0</v>
      </c>
      <c r="V9" s="3" t="b">
        <f>U9 = 0</f>
        <v>1</v>
      </c>
      <c r="W9" s="3" t="b">
        <f>OR(I9 = "AIAgent", I9 = "AutomatedPipeline")</f>
        <v>0</v>
      </c>
      <c r="X9" s="3" t="b">
        <f>AND(NOT(W9), OR(A9 = "policy-05", A9 = "close-06"))</f>
        <v>0</v>
      </c>
      <c r="Y9" s="3" t="b">
        <f>AND(X9, I9 = "Human")</f>
        <v>0</v>
      </c>
      <c r="Z9" s="3">
        <f>COUNTIFS(AuthorityBoundaries!P2:P999, A9)</f>
        <v>0</v>
      </c>
      <c r="AA9" s="3" t="b">
        <f>_xlfn.IFNA(INDEX(Roles!O2:O999, MATCH(G9,Roles!A2:A999, 0)), "")</f>
        <v>0</v>
      </c>
      <c r="AB9" s="3">
        <f>COUNTIFS(OperationalBindings!U2:U999, A9)</f>
        <v>0</v>
      </c>
      <c r="AC9" s="3" t="b">
        <f>AB9 = 0</f>
        <v>1</v>
      </c>
      <c r="AD9" s="2" t="s">
        <v>577</v>
      </c>
      <c r="AE9" s="3">
        <f>COUNTIFS(AuthorityBoundaries!Z2:Z999, A9)</f>
        <v>0</v>
      </c>
      <c r="AF9" s="3" t="b">
        <f>AE9 &gt; 0</f>
        <v>0</v>
      </c>
      <c r="AG9" s="3">
        <f>COUNTIFS(StepExecutions!CG2:CG999, A9)</f>
        <v>0</v>
      </c>
      <c r="AH9" s="3" t="b">
        <f>AG9 &gt; 0</f>
        <v>0</v>
      </c>
      <c r="AI9" s="3" t="b">
        <f>AND(X9, NOT(AH9))</f>
        <v>0</v>
      </c>
      <c r="AJ9" s="3" t="b">
        <f>AND(X9, AH9, Y9)</f>
        <v>0</v>
      </c>
      <c r="AK9" s="3" t="str">
        <f>IF(AI9, C9, "")</f>
      </c>
      <c r="AL9" s="3" t="b">
        <f>AD9 &lt;&gt; ""</f>
        <v>1</v>
      </c>
      <c r="AM9" s="3" t="str">
        <f>IF(AL9, "", C9)</f>
      </c>
      <c r="AN9" s="3" t="b">
        <f>AND(AD9 = "Approval", W9)</f>
        <v>0</v>
      </c>
      <c r="AO9" s="3">
        <f>COUNTIFS(StepRequirements!I2:I999, A9)</f>
        <v>0</v>
      </c>
      <c r="AP9" s="2" t="s">
        <v>553</v>
      </c>
    </row>
    <row r="10">
      <c r="A10" s="2" t="s">
        <v>578</v>
      </c>
      <c r="B10" s="3" t="str">
        <f>D10 &amp; ". " &amp; E10</f>
        <v>01. Identify policy trigger and affected population</v>
      </c>
      <c r="C10" s="2" t="s">
        <v>375</v>
      </c>
      <c r="D10" s="2" t="s">
        <v>536</v>
      </c>
      <c r="E10" s="2" t="s">
        <v>579</v>
      </c>
      <c r="F10" s="2" t="s">
        <v>538</v>
      </c>
      <c r="G10" s="2" t="s">
        <v>216</v>
      </c>
      <c r="H10" s="3" t="str">
        <f>_xlfn.IFNA(INDEX(Roles!C2:C999, MATCH(G10,Roles!A2:A999, 0)), "")</f>
        <v>People Policy Owner</v>
      </c>
      <c r="I10" s="3" t="str">
        <f>_xlfn.IFNA(INDEX(Roles!F2:F999, MATCH(G10,Roles!A2:A999, 0)), "")</f>
        <v>Human</v>
      </c>
      <c r="J10" s="2" t="s">
        <v>580</v>
      </c>
      <c r="K10" s="7">
        <v>30</v>
      </c>
      <c r="L10" s="2" t="s">
        <v>540</v>
      </c>
      <c r="M10" s="2" t="b">
        <v>0</v>
      </c>
      <c r="N10" s="3">
        <f>COUNTIFS(StepRequirements!F2:F999, A10)</f>
        <v>0</v>
      </c>
      <c r="O10" s="3">
        <f>COUNTIFS(OperationalBindings!O2:O999, A10)</f>
        <v>0</v>
      </c>
      <c r="P10" s="3">
        <f>COUNTIFS(OperationalBindings!P2:P999, A10)</f>
        <v>0</v>
      </c>
      <c r="Q10" s="3">
        <f>COUNTIFS(Exceptions!J2:J999, A10)</f>
        <v>0</v>
      </c>
      <c r="R10" s="3">
        <f>COUNTIFS(StepVerifications!C2:C999, A10)</f>
        <v>0</v>
      </c>
      <c r="S10" s="3" t="b">
        <f>OR(G10 = "finance-analyst", G10 = "variance-review-agent")</f>
        <v>0</v>
      </c>
      <c r="T10" s="3" t="b">
        <f>OR(G10 = "controller", G10 = "cfo")</f>
        <v>0</v>
      </c>
      <c r="U10" s="3">
        <f>COUNTIFS(OperationalBindings!R2:R999, A10)</f>
        <v>0</v>
      </c>
      <c r="V10" s="3" t="b">
        <f>U10 = 0</f>
        <v>1</v>
      </c>
      <c r="W10" s="3" t="b">
        <f>OR(I10 = "AIAgent", I10 = "AutomatedPipeline")</f>
        <v>0</v>
      </c>
      <c r="X10" s="3" t="b">
        <f>AND(NOT(W10), OR(A10 = "policy-05", A10 = "close-06"))</f>
        <v>0</v>
      </c>
      <c r="Y10" s="3" t="b">
        <f>AND(X10, I10 = "Human")</f>
        <v>0</v>
      </c>
      <c r="Z10" s="3">
        <f>COUNTIFS(AuthorityBoundaries!P2:P999, A10)</f>
        <v>0</v>
      </c>
      <c r="AA10" s="3" t="b">
        <f>_xlfn.IFNA(INDEX(Roles!O2:O999, MATCH(G10,Roles!A2:A999, 0)), "")</f>
        <v>0</v>
      </c>
      <c r="AB10" s="3">
        <f>COUNTIFS(OperationalBindings!U2:U999, A10)</f>
        <v>0</v>
      </c>
      <c r="AC10" s="3" t="b">
        <f>AB10 = 0</f>
        <v>1</v>
      </c>
      <c r="AD10" s="2" t="s">
        <v>552</v>
      </c>
      <c r="AE10" s="3">
        <f>COUNTIFS(AuthorityBoundaries!Z2:Z999, A10)</f>
        <v>0</v>
      </c>
      <c r="AF10" s="3" t="b">
        <f>AE10 &gt; 0</f>
        <v>0</v>
      </c>
      <c r="AG10" s="3">
        <f>COUNTIFS(StepExecutions!CG2:CG999, A10)</f>
        <v>0</v>
      </c>
      <c r="AH10" s="3" t="b">
        <f>AG10 &gt; 0</f>
        <v>0</v>
      </c>
      <c r="AI10" s="3" t="b">
        <f>AND(X10, NOT(AH10))</f>
        <v>0</v>
      </c>
      <c r="AJ10" s="3" t="b">
        <f>AND(X10, AH10, Y10)</f>
        <v>0</v>
      </c>
      <c r="AK10" s="3" t="str">
        <f>IF(AI10, C10, "")</f>
      </c>
      <c r="AL10" s="3" t="b">
        <f>AD10 &lt;&gt; ""</f>
        <v>1</v>
      </c>
      <c r="AM10" s="3" t="str">
        <f>IF(AL10, "", C10)</f>
      </c>
      <c r="AN10" s="3" t="b">
        <f>AND(AD10 = "Approval", W10)</f>
        <v>0</v>
      </c>
      <c r="AO10" s="3">
        <f>COUNTIFS(StepRequirements!I2:I999, A10)</f>
        <v>0</v>
      </c>
      <c r="AP10" s="2" t="s">
        <v>542</v>
      </c>
    </row>
    <row r="11">
      <c r="A11" s="2" t="s">
        <v>581</v>
      </c>
      <c r="B11" s="3" t="str">
        <f>D11 &amp; ". " &amp; E11</f>
        <v>02. Elicit process and practitioner knowledge</v>
      </c>
      <c r="C11" s="2" t="s">
        <v>375</v>
      </c>
      <c r="D11" s="2" t="s">
        <v>544</v>
      </c>
      <c r="E11" s="2" t="s">
        <v>582</v>
      </c>
      <c r="F11" s="2" t="s">
        <v>550</v>
      </c>
      <c r="G11" s="2" t="s">
        <v>244</v>
      </c>
      <c r="H11" s="3" t="str">
        <f>_xlfn.IFNA(INDEX(Roles!C2:C999, MATCH(G11,Roles!A2:A999, 0)), "")</f>
        <v>Procedural Knowledge Steward</v>
      </c>
      <c r="I11" s="3" t="str">
        <f>_xlfn.IFNA(INDEX(Roles!F2:F999, MATCH(G11,Roles!A2:A999, 0)), "")</f>
        <v>Human</v>
      </c>
      <c r="J11" s="2" t="s">
        <v>583</v>
      </c>
      <c r="K11" s="7">
        <v>180</v>
      </c>
      <c r="L11" s="2" t="s">
        <v>558</v>
      </c>
      <c r="M11" s="2" t="b">
        <v>0</v>
      </c>
      <c r="N11" s="3">
        <f>COUNTIFS(StepRequirements!F2:F999, A11)</f>
        <v>0</v>
      </c>
      <c r="O11" s="3">
        <f>COUNTIFS(OperationalBindings!O2:O999, A11)</f>
        <v>0</v>
      </c>
      <c r="P11" s="3">
        <f>COUNTIFS(OperationalBindings!P2:P999, A11)</f>
        <v>0</v>
      </c>
      <c r="Q11" s="3">
        <f>COUNTIFS(Exceptions!J2:J999, A11)</f>
        <v>0</v>
      </c>
      <c r="R11" s="3">
        <f>COUNTIFS(StepVerifications!C2:C999, A11)</f>
        <v>0</v>
      </c>
      <c r="S11" s="3" t="b">
        <f>OR(G11 = "finance-analyst", G11 = "variance-review-agent")</f>
        <v>0</v>
      </c>
      <c r="T11" s="3" t="b">
        <f>OR(G11 = "controller", G11 = "cfo")</f>
        <v>0</v>
      </c>
      <c r="U11" s="3">
        <f>COUNTIFS(OperationalBindings!R2:R999, A11)</f>
        <v>0</v>
      </c>
      <c r="V11" s="3" t="b">
        <f>U11 = 0</f>
        <v>1</v>
      </c>
      <c r="W11" s="3" t="b">
        <f>OR(I11 = "AIAgent", I11 = "AutomatedPipeline")</f>
        <v>0</v>
      </c>
      <c r="X11" s="3" t="b">
        <f>AND(NOT(W11), OR(A11 = "policy-05", A11 = "close-06"))</f>
        <v>0</v>
      </c>
      <c r="Y11" s="3" t="b">
        <f>AND(X11, I11 = "Human")</f>
        <v>0</v>
      </c>
      <c r="Z11" s="3">
        <f>COUNTIFS(AuthorityBoundaries!P2:P999, A11)</f>
        <v>0</v>
      </c>
      <c r="AA11" s="3" t="b">
        <f>_xlfn.IFNA(INDEX(Roles!O2:O999, MATCH(G11,Roles!A2:A999, 0)), "")</f>
        <v>0</v>
      </c>
      <c r="AB11" s="3">
        <f>COUNTIFS(OperationalBindings!U2:U999, A11)</f>
        <v>0</v>
      </c>
      <c r="AC11" s="3" t="b">
        <f>AB11 = 0</f>
        <v>1</v>
      </c>
      <c r="AD11" s="2" t="s">
        <v>552</v>
      </c>
      <c r="AE11" s="3">
        <f>COUNTIFS(AuthorityBoundaries!Z2:Z999, A11)</f>
        <v>0</v>
      </c>
      <c r="AF11" s="3" t="b">
        <f>AE11 &gt; 0</f>
        <v>0</v>
      </c>
      <c r="AG11" s="3">
        <f>COUNTIFS(StepExecutions!CG2:CG999, A11)</f>
        <v>0</v>
      </c>
      <c r="AH11" s="3" t="b">
        <f>AG11 &gt; 0</f>
        <v>0</v>
      </c>
      <c r="AI11" s="3" t="b">
        <f>AND(X11, NOT(AH11))</f>
        <v>0</v>
      </c>
      <c r="AJ11" s="3" t="b">
        <f>AND(X11, AH11, Y11)</f>
        <v>0</v>
      </c>
      <c r="AK11" s="3" t="str">
        <f>IF(AI11, C11, "")</f>
      </c>
      <c r="AL11" s="3" t="b">
        <f>AD11 &lt;&gt; ""</f>
        <v>1</v>
      </c>
      <c r="AM11" s="3" t="str">
        <f>IF(AL11, "", C11)</f>
      </c>
      <c r="AN11" s="3" t="b">
        <f>AND(AD11 = "Approval", W11)</f>
        <v>0</v>
      </c>
      <c r="AO11" s="3">
        <f>COUNTIFS(StepRequirements!I2:I999, A11)</f>
        <v>0</v>
      </c>
      <c r="AP11" s="2" t="s">
        <v>553</v>
      </c>
    </row>
    <row r="12">
      <c r="A12" s="2" t="s">
        <v>584</v>
      </c>
      <c r="B12" s="3" t="str">
        <f>D12 &amp; ". " &amp; E12</f>
        <v>03. Draft policy and channel variants</v>
      </c>
      <c r="C12" s="2" t="s">
        <v>375</v>
      </c>
      <c r="D12" s="2" t="s">
        <v>548</v>
      </c>
      <c r="E12" s="2" t="s">
        <v>585</v>
      </c>
      <c r="F12" s="2" t="s">
        <v>550</v>
      </c>
      <c r="G12" s="2" t="s">
        <v>236</v>
      </c>
      <c r="H12" s="3" t="str">
        <f>_xlfn.IFNA(INDEX(Roles!C2:C999, MATCH(G12,Roles!A2:A999, 0)), "")</f>
        <v>Policy Drafting Agent</v>
      </c>
      <c r="I12" s="3" t="str">
        <f>_xlfn.IFNA(INDEX(Roles!F2:F999, MATCH(G12,Roles!A2:A999, 0)), "")</f>
        <v>AIAgent</v>
      </c>
      <c r="J12" s="2" t="s">
        <v>586</v>
      </c>
      <c r="K12" s="7">
        <v>90</v>
      </c>
      <c r="L12" s="2" t="s">
        <v>540</v>
      </c>
      <c r="M12" s="2" t="b">
        <v>0</v>
      </c>
      <c r="N12" s="3">
        <f>COUNTIFS(StepRequirements!F2:F999, A12)</f>
        <v>1</v>
      </c>
      <c r="O12" s="3">
        <f>COUNTIFS(OperationalBindings!O2:O999, A12)</f>
        <v>0</v>
      </c>
      <c r="P12" s="3">
        <f>COUNTIFS(OperationalBindings!P2:P999, A12)</f>
        <v>0</v>
      </c>
      <c r="Q12" s="3">
        <f>COUNTIFS(Exceptions!J2:J999, A12)</f>
        <v>0</v>
      </c>
      <c r="R12" s="3">
        <f>COUNTIFS(StepVerifications!C2:C999, A12)</f>
        <v>1</v>
      </c>
      <c r="S12" s="3" t="b">
        <f>OR(G12 = "finance-analyst", G12 = "variance-review-agent")</f>
        <v>0</v>
      </c>
      <c r="T12" s="3" t="b">
        <f>OR(G12 = "controller", G12 = "cfo")</f>
        <v>0</v>
      </c>
      <c r="U12" s="3">
        <f>COUNTIFS(OperationalBindings!R2:R999, A12)</f>
        <v>0</v>
      </c>
      <c r="V12" s="3" t="b">
        <f>U12 = 0</f>
        <v>1</v>
      </c>
      <c r="W12" s="3" t="b">
        <f>OR(I12 = "AIAgent", I12 = "AutomatedPipeline")</f>
        <v>1</v>
      </c>
      <c r="X12" s="3" t="b">
        <f>AND(NOT(W12), OR(A12 = "policy-05", A12 = "close-06"))</f>
        <v>0</v>
      </c>
      <c r="Y12" s="3" t="b">
        <f>AND(X12, I12 = "Human")</f>
        <v>0</v>
      </c>
      <c r="Z12" s="3">
        <f>COUNTIFS(AuthorityBoundaries!P2:P999, A12)</f>
        <v>1</v>
      </c>
      <c r="AA12" s="3" t="b">
        <f>_xlfn.IFNA(INDEX(Roles!O2:O999, MATCH(G12,Roles!A2:A999, 0)), "")</f>
        <v>0</v>
      </c>
      <c r="AB12" s="3">
        <f>COUNTIFS(OperationalBindings!U2:U999, A12)</f>
        <v>0</v>
      </c>
      <c r="AC12" s="3" t="b">
        <f>AB12 = 0</f>
        <v>1</v>
      </c>
      <c r="AD12" s="2" t="s">
        <v>552</v>
      </c>
      <c r="AE12" s="3">
        <f>COUNTIFS(AuthorityBoundaries!Z2:Z999, A12)</f>
        <v>0</v>
      </c>
      <c r="AF12" s="3" t="b">
        <f>AE12 &gt; 0</f>
        <v>0</v>
      </c>
      <c r="AG12" s="3">
        <f>COUNTIFS(StepExecutions!CG2:CG999, A12)</f>
        <v>1</v>
      </c>
      <c r="AH12" s="3" t="b">
        <f>AG12 &gt; 0</f>
        <v>1</v>
      </c>
      <c r="AI12" s="3" t="b">
        <f>AND(X12, NOT(AH12))</f>
        <v>0</v>
      </c>
      <c r="AJ12" s="3" t="b">
        <f>AND(X12, AH12, Y12)</f>
        <v>0</v>
      </c>
      <c r="AK12" s="3" t="str">
        <f>IF(AI12, C12, "")</f>
      </c>
      <c r="AL12" s="3" t="b">
        <f>AD12 &lt;&gt; ""</f>
        <v>1</v>
      </c>
      <c r="AM12" s="3" t="str">
        <f>IF(AL12, "", C12)</f>
      </c>
      <c r="AN12" s="3" t="b">
        <f>AND(AD12 = "Approval", W12)</f>
        <v>0</v>
      </c>
      <c r="AO12" s="3">
        <f>COUNTIFS(StepRequirements!I2:I999, A12)</f>
        <v>1</v>
      </c>
      <c r="AP12" s="2" t="s">
        <v>553</v>
      </c>
    </row>
    <row r="13">
      <c r="A13" s="2" t="s">
        <v>587</v>
      </c>
      <c r="B13" s="3" t="str">
        <f>D13 &amp; ". " &amp; E13</f>
        <v>04. Legal and privacy review</v>
      </c>
      <c r="C13" s="2" t="s">
        <v>375</v>
      </c>
      <c r="D13" s="2" t="s">
        <v>555</v>
      </c>
      <c r="E13" s="2" t="s">
        <v>588</v>
      </c>
      <c r="F13" s="2" t="s">
        <v>538</v>
      </c>
      <c r="G13" s="2" t="s">
        <v>220</v>
      </c>
      <c r="H13" s="3" t="str">
        <f>_xlfn.IFNA(INDEX(Roles!C2:C999, MATCH(G13,Roles!A2:A999, 0)), "")</f>
        <v>Employment Counsel</v>
      </c>
      <c r="I13" s="3" t="str">
        <f>_xlfn.IFNA(INDEX(Roles!F2:F999, MATCH(G13,Roles!A2:A999, 0)), "")</f>
        <v>Human</v>
      </c>
      <c r="J13" s="2" t="s">
        <v>589</v>
      </c>
      <c r="K13" s="7">
        <v>120</v>
      </c>
      <c r="L13" s="2" t="s">
        <v>558</v>
      </c>
      <c r="M13" s="2" t="b">
        <v>1</v>
      </c>
      <c r="N13" s="3">
        <f>COUNTIFS(StepRequirements!F2:F999, A13)</f>
        <v>1</v>
      </c>
      <c r="O13" s="3">
        <f>COUNTIFS(OperationalBindings!O2:O999, A13)</f>
        <v>0</v>
      </c>
      <c r="P13" s="3">
        <f>COUNTIFS(OperationalBindings!P2:P999, A13)</f>
        <v>0</v>
      </c>
      <c r="Q13" s="3">
        <f>COUNTIFS(Exceptions!J2:J999, A13)</f>
        <v>0</v>
      </c>
      <c r="R13" s="3">
        <f>COUNTIFS(StepVerifications!C2:C999, A13)</f>
        <v>1</v>
      </c>
      <c r="S13" s="3" t="b">
        <f>OR(G13 = "finance-analyst", G13 = "variance-review-agent")</f>
        <v>0</v>
      </c>
      <c r="T13" s="3" t="b">
        <f>OR(G13 = "controller", G13 = "cfo")</f>
        <v>0</v>
      </c>
      <c r="U13" s="3">
        <f>COUNTIFS(OperationalBindings!R2:R999, A13)</f>
        <v>0</v>
      </c>
      <c r="V13" s="3" t="b">
        <f>U13 = 0</f>
        <v>1</v>
      </c>
      <c r="W13" s="3" t="b">
        <f>OR(I13 = "AIAgent", I13 = "AutomatedPipeline")</f>
        <v>0</v>
      </c>
      <c r="X13" s="3" t="b">
        <f>AND(NOT(W13), OR(A13 = "policy-05", A13 = "close-06"))</f>
        <v>0</v>
      </c>
      <c r="Y13" s="3" t="b">
        <f>AND(X13, I13 = "Human")</f>
        <v>0</v>
      </c>
      <c r="Z13" s="3">
        <f>COUNTIFS(AuthorityBoundaries!P2:P999, A13)</f>
        <v>0</v>
      </c>
      <c r="AA13" s="3" t="b">
        <f>_xlfn.IFNA(INDEX(Roles!O2:O999, MATCH(G13,Roles!A2:A999, 0)), "")</f>
        <v>0</v>
      </c>
      <c r="AB13" s="3">
        <f>COUNTIFS(OperationalBindings!U2:U999, A13)</f>
        <v>0</v>
      </c>
      <c r="AC13" s="3" t="b">
        <f>AB13 = 0</f>
        <v>1</v>
      </c>
      <c r="AD13" s="2" t="s">
        <v>590</v>
      </c>
      <c r="AE13" s="3">
        <f>COUNTIFS(AuthorityBoundaries!Z2:Z999, A13)</f>
        <v>0</v>
      </c>
      <c r="AF13" s="3" t="b">
        <f>AE13 &gt; 0</f>
        <v>0</v>
      </c>
      <c r="AG13" s="3">
        <f>COUNTIFS(StepExecutions!CG2:CG999, A13)</f>
        <v>0</v>
      </c>
      <c r="AH13" s="3" t="b">
        <f>AG13 &gt; 0</f>
        <v>0</v>
      </c>
      <c r="AI13" s="3" t="b">
        <f>AND(X13, NOT(AH13))</f>
        <v>0</v>
      </c>
      <c r="AJ13" s="3" t="b">
        <f>AND(X13, AH13, Y13)</f>
        <v>0</v>
      </c>
      <c r="AK13" s="3" t="str">
        <f>IF(AI13, C13, "")</f>
      </c>
      <c r="AL13" s="3" t="b">
        <f>AD13 &lt;&gt; ""</f>
        <v>1</v>
      </c>
      <c r="AM13" s="3" t="str">
        <f>IF(AL13, "", C13)</f>
      </c>
      <c r="AN13" s="3" t="b">
        <f>AND(AD13 = "Approval", W13)</f>
        <v>0</v>
      </c>
      <c r="AO13" s="3">
        <f>COUNTIFS(StepRequirements!I2:I999, A13)</f>
        <v>1</v>
      </c>
      <c r="AP13" s="2" t="s">
        <v>542</v>
      </c>
    </row>
    <row r="14">
      <c r="A14" s="2" t="s">
        <v>591</v>
      </c>
      <c r="B14" s="3" t="str">
        <f>D14 &amp; ". " &amp; E14</f>
        <v>05. Human authority approval</v>
      </c>
      <c r="C14" s="2" t="s">
        <v>375</v>
      </c>
      <c r="D14" s="2" t="s">
        <v>560</v>
      </c>
      <c r="E14" s="2" t="s">
        <v>592</v>
      </c>
      <c r="F14" s="2" t="s">
        <v>538</v>
      </c>
      <c r="G14" s="2" t="s">
        <v>216</v>
      </c>
      <c r="H14" s="3" t="str">
        <f>_xlfn.IFNA(INDEX(Roles!C2:C999, MATCH(G14,Roles!A2:A999, 0)), "")</f>
        <v>People Policy Owner</v>
      </c>
      <c r="I14" s="3" t="str">
        <f>_xlfn.IFNA(INDEX(Roles!F2:F999, MATCH(G14,Roles!A2:A999, 0)), "")</f>
        <v>Human</v>
      </c>
      <c r="J14" s="2" t="s">
        <v>593</v>
      </c>
      <c r="K14" s="7">
        <v>45</v>
      </c>
      <c r="L14" s="2" t="s">
        <v>567</v>
      </c>
      <c r="M14" s="2" t="b">
        <v>1</v>
      </c>
      <c r="N14" s="3">
        <f>COUNTIFS(StepRequirements!F2:F999, A14)</f>
        <v>1</v>
      </c>
      <c r="O14" s="3">
        <f>COUNTIFS(OperationalBindings!O2:O999, A14)</f>
        <v>0</v>
      </c>
      <c r="P14" s="3">
        <f>COUNTIFS(OperationalBindings!P2:P999, A14)</f>
        <v>0</v>
      </c>
      <c r="Q14" s="3">
        <f>COUNTIFS(Exceptions!J2:J999, A14)</f>
        <v>0</v>
      </c>
      <c r="R14" s="3">
        <f>COUNTIFS(StepVerifications!C2:C999, A14)</f>
        <v>1</v>
      </c>
      <c r="S14" s="3" t="b">
        <f>OR(G14 = "finance-analyst", G14 = "variance-review-agent")</f>
        <v>0</v>
      </c>
      <c r="T14" s="3" t="b">
        <f>OR(G14 = "controller", G14 = "cfo")</f>
        <v>0</v>
      </c>
      <c r="U14" s="3">
        <f>COUNTIFS(OperationalBindings!R2:R999, A14)</f>
        <v>0</v>
      </c>
      <c r="V14" s="3" t="b">
        <f>U14 = 0</f>
        <v>1</v>
      </c>
      <c r="W14" s="3" t="b">
        <f>OR(I14 = "AIAgent", I14 = "AutomatedPipeline")</f>
        <v>0</v>
      </c>
      <c r="X14" s="3" t="b">
        <f>AND(NOT(W14), OR(A14 = "policy-05", A14 = "close-06"))</f>
        <v>1</v>
      </c>
      <c r="Y14" s="3" t="b">
        <f>AND(X14, I14 = "Human")</f>
        <v>1</v>
      </c>
      <c r="Z14" s="3">
        <f>COUNTIFS(AuthorityBoundaries!P2:P999, A14)</f>
        <v>0</v>
      </c>
      <c r="AA14" s="3" t="b">
        <f>_xlfn.IFNA(INDEX(Roles!O2:O999, MATCH(G14,Roles!A2:A999, 0)), "")</f>
        <v>0</v>
      </c>
      <c r="AB14" s="3">
        <f>COUNTIFS(OperationalBindings!U2:U999, A14)</f>
        <v>0</v>
      </c>
      <c r="AC14" s="3" t="b">
        <f>AB14 = 0</f>
        <v>1</v>
      </c>
      <c r="AD14" s="2" t="s">
        <v>489</v>
      </c>
      <c r="AE14" s="3">
        <f>COUNTIFS(AuthorityBoundaries!Z2:Z999, A14)</f>
        <v>0</v>
      </c>
      <c r="AF14" s="3" t="b">
        <f>AE14 &gt; 0</f>
        <v>0</v>
      </c>
      <c r="AG14" s="3">
        <f>COUNTIFS(StepExecutions!CG2:CG999, A14)</f>
        <v>0</v>
      </c>
      <c r="AH14" s="3" t="b">
        <f>AG14 &gt; 0</f>
        <v>0</v>
      </c>
      <c r="AI14" s="3" t="b">
        <f>AND(X14, NOT(AH14))</f>
        <v>1</v>
      </c>
      <c r="AJ14" s="3" t="b">
        <f>AND(X14, AH14, Y14)</f>
        <v>0</v>
      </c>
      <c r="AK14" s="3" t="str">
        <f>IF(AI14, C14, "")</f>
        <v>policy-v1.0.0</v>
      </c>
      <c r="AL14" s="3" t="b">
        <f>AD14 &lt;&gt; ""</f>
        <v>1</v>
      </c>
      <c r="AM14" s="3" t="str">
        <f>IF(AL14, "", C14)</f>
      </c>
      <c r="AN14" s="3" t="b">
        <f>AND(AD14 = "Approval", W14)</f>
        <v>0</v>
      </c>
      <c r="AO14" s="3">
        <f>COUNTIFS(StepRequirements!I2:I999, A14)</f>
        <v>1</v>
      </c>
      <c r="AP14" s="2" t="s">
        <v>542</v>
      </c>
    </row>
    <row r="15">
      <c r="A15" s="2" t="s">
        <v>594</v>
      </c>
      <c r="B15" s="3" t="str">
        <f>D15 &amp; ". " &amp; E15</f>
        <v>06. Generate approved communications</v>
      </c>
      <c r="C15" s="2" t="s">
        <v>375</v>
      </c>
      <c r="D15" s="2" t="s">
        <v>564</v>
      </c>
      <c r="E15" s="2" t="s">
        <v>595</v>
      </c>
      <c r="F15" s="2" t="s">
        <v>538</v>
      </c>
      <c r="G15" s="2" t="s">
        <v>236</v>
      </c>
      <c r="H15" s="3" t="str">
        <f>_xlfn.IFNA(INDEX(Roles!C2:C999, MATCH(G15,Roles!A2:A999, 0)), "")</f>
        <v>Policy Drafting Agent</v>
      </c>
      <c r="I15" s="3" t="str">
        <f>_xlfn.IFNA(INDEX(Roles!F2:F999, MATCH(G15,Roles!A2:A999, 0)), "")</f>
        <v>AIAgent</v>
      </c>
      <c r="J15" s="2" t="s">
        <v>596</v>
      </c>
      <c r="K15" s="7">
        <v>30</v>
      </c>
      <c r="L15" s="2" t="s">
        <v>540</v>
      </c>
      <c r="M15" s="2" t="b">
        <v>0</v>
      </c>
      <c r="N15" s="3">
        <f>COUNTIFS(StepRequirements!F2:F999, A15)</f>
        <v>1</v>
      </c>
      <c r="O15" s="3">
        <f>COUNTIFS(OperationalBindings!O2:O999, A15)</f>
        <v>0</v>
      </c>
      <c r="P15" s="3">
        <f>COUNTIFS(OperationalBindings!P2:P999, A15)</f>
        <v>0</v>
      </c>
      <c r="Q15" s="3">
        <f>COUNTIFS(Exceptions!J2:J999, A15)</f>
        <v>0</v>
      </c>
      <c r="R15" s="3">
        <f>COUNTIFS(StepVerifications!C2:C999, A15)</f>
        <v>0</v>
      </c>
      <c r="S15" s="3" t="b">
        <f>OR(G15 = "finance-analyst", G15 = "variance-review-agent")</f>
        <v>0</v>
      </c>
      <c r="T15" s="3" t="b">
        <f>OR(G15 = "controller", G15 = "cfo")</f>
        <v>0</v>
      </c>
      <c r="U15" s="3">
        <f>COUNTIFS(OperationalBindings!R2:R999, A15)</f>
        <v>0</v>
      </c>
      <c r="V15" s="3" t="b">
        <f>U15 = 0</f>
        <v>1</v>
      </c>
      <c r="W15" s="3" t="b">
        <f>OR(I15 = "AIAgent", I15 = "AutomatedPipeline")</f>
        <v>1</v>
      </c>
      <c r="X15" s="3" t="b">
        <f>AND(NOT(W15), OR(A15 = "policy-05", A15 = "close-06"))</f>
        <v>0</v>
      </c>
      <c r="Y15" s="3" t="b">
        <f>AND(X15, I15 = "Human")</f>
        <v>0</v>
      </c>
      <c r="Z15" s="3">
        <f>COUNTIFS(AuthorityBoundaries!P2:P999, A15)</f>
        <v>0</v>
      </c>
      <c r="AA15" s="3" t="b">
        <f>_xlfn.IFNA(INDEX(Roles!O2:O999, MATCH(G15,Roles!A2:A999, 0)), "")</f>
        <v>0</v>
      </c>
      <c r="AB15" s="3">
        <f>COUNTIFS(OperationalBindings!U2:U999, A15)</f>
        <v>0</v>
      </c>
      <c r="AC15" s="3" t="b">
        <f>AB15 = 0</f>
        <v>1</v>
      </c>
      <c r="AD15" s="2" t="s">
        <v>572</v>
      </c>
      <c r="AE15" s="3">
        <f>COUNTIFS(AuthorityBoundaries!Z2:Z999, A15)</f>
        <v>0</v>
      </c>
      <c r="AF15" s="3" t="b">
        <f>AE15 &gt; 0</f>
        <v>0</v>
      </c>
      <c r="AG15" s="3">
        <f>COUNTIFS(StepExecutions!CG2:CG999, A15)</f>
        <v>0</v>
      </c>
      <c r="AH15" s="3" t="b">
        <f>AG15 &gt; 0</f>
        <v>0</v>
      </c>
      <c r="AI15" s="3" t="b">
        <f>AND(X15, NOT(AH15))</f>
        <v>0</v>
      </c>
      <c r="AJ15" s="3" t="b">
        <f>AND(X15, AH15, Y15)</f>
        <v>0</v>
      </c>
      <c r="AK15" s="3" t="str">
        <f>IF(AI15, C15, "")</f>
      </c>
      <c r="AL15" s="3" t="b">
        <f>AD15 &lt;&gt; ""</f>
        <v>1</v>
      </c>
      <c r="AM15" s="3" t="str">
        <f>IF(AL15, "", C15)</f>
      </c>
      <c r="AN15" s="3" t="b">
        <f>AND(AD15 = "Approval", W15)</f>
        <v>0</v>
      </c>
      <c r="AO15" s="3">
        <f>COUNTIFS(StepRequirements!I2:I999, A15)</f>
        <v>1</v>
      </c>
      <c r="AP15" s="2" t="s">
        <v>542</v>
      </c>
    </row>
    <row r="16">
      <c r="A16" s="2" t="s">
        <v>597</v>
      </c>
      <c r="B16" s="3" t="str">
        <f>D16 &amp; ". " &amp; E16</f>
        <v>07. Apply channel controls and send</v>
      </c>
      <c r="C16" s="2" t="s">
        <v>375</v>
      </c>
      <c r="D16" s="2" t="s">
        <v>569</v>
      </c>
      <c r="E16" s="2" t="s">
        <v>598</v>
      </c>
      <c r="F16" s="2" t="s">
        <v>550</v>
      </c>
      <c r="G16" s="2" t="s">
        <v>240</v>
      </c>
      <c r="H16" s="3" t="str">
        <f>_xlfn.IFNA(INDEX(Roles!C2:C999, MATCH(G16,Roles!A2:A999, 0)), "")</f>
        <v>Notification Publisher</v>
      </c>
      <c r="I16" s="3" t="str">
        <f>_xlfn.IFNA(INDEX(Roles!F2:F999, MATCH(G16,Roles!A2:A999, 0)), "")</f>
        <v>AutomatedPipeline</v>
      </c>
      <c r="J16" s="2" t="s">
        <v>599</v>
      </c>
      <c r="K16" s="7">
        <v>60</v>
      </c>
      <c r="L16" s="2" t="s">
        <v>540</v>
      </c>
      <c r="M16" s="2" t="b">
        <v>0</v>
      </c>
      <c r="N16" s="3">
        <f>COUNTIFS(StepRequirements!F2:F999, A16)</f>
        <v>4</v>
      </c>
      <c r="O16" s="3">
        <f>COUNTIFS(OperationalBindings!O2:O999, A16)</f>
        <v>0</v>
      </c>
      <c r="P16" s="3">
        <f>COUNTIFS(OperationalBindings!P2:P999, A16)</f>
        <v>0</v>
      </c>
      <c r="Q16" s="3">
        <f>COUNTIFS(Exceptions!J2:J999, A16)</f>
        <v>1</v>
      </c>
      <c r="R16" s="3">
        <f>COUNTIFS(StepVerifications!C2:C999, A16)</f>
        <v>2</v>
      </c>
      <c r="S16" s="3" t="b">
        <f>OR(G16 = "finance-analyst", G16 = "variance-review-agent")</f>
        <v>0</v>
      </c>
      <c r="T16" s="3" t="b">
        <f>OR(G16 = "controller", G16 = "cfo")</f>
        <v>0</v>
      </c>
      <c r="U16" s="3">
        <f>COUNTIFS(OperationalBindings!R2:R999, A16)</f>
        <v>0</v>
      </c>
      <c r="V16" s="3" t="b">
        <f>U16 = 0</f>
        <v>1</v>
      </c>
      <c r="W16" s="3" t="b">
        <f>OR(I16 = "AIAgent", I16 = "AutomatedPipeline")</f>
        <v>1</v>
      </c>
      <c r="X16" s="3" t="b">
        <f>AND(NOT(W16), OR(A16 = "policy-05", A16 = "close-06"))</f>
        <v>0</v>
      </c>
      <c r="Y16" s="3" t="b">
        <f>AND(X16, I16 = "Human")</f>
        <v>0</v>
      </c>
      <c r="Z16" s="3">
        <f>COUNTIFS(AuthorityBoundaries!P2:P999, A16)</f>
        <v>0</v>
      </c>
      <c r="AA16" s="3" t="b">
        <f>_xlfn.IFNA(INDEX(Roles!O2:O999, MATCH(G16,Roles!A2:A999, 0)), "")</f>
        <v>0</v>
      </c>
      <c r="AB16" s="3">
        <f>COUNTIFS(OperationalBindings!U2:U999, A16)</f>
        <v>0</v>
      </c>
      <c r="AC16" s="3" t="b">
        <f>AB16 = 0</f>
        <v>1</v>
      </c>
      <c r="AD16" s="2" t="s">
        <v>572</v>
      </c>
      <c r="AE16" s="3">
        <f>COUNTIFS(AuthorityBoundaries!Z2:Z999, A16)</f>
        <v>0</v>
      </c>
      <c r="AF16" s="3" t="b">
        <f>AE16 &gt; 0</f>
        <v>0</v>
      </c>
      <c r="AG16" s="3">
        <f>COUNTIFS(StepExecutions!CG2:CG999, A16)</f>
        <v>0</v>
      </c>
      <c r="AH16" s="3" t="b">
        <f>AG16 &gt; 0</f>
        <v>0</v>
      </c>
      <c r="AI16" s="3" t="b">
        <f>AND(X16, NOT(AH16))</f>
        <v>0</v>
      </c>
      <c r="AJ16" s="3" t="b">
        <f>AND(X16, AH16, Y16)</f>
        <v>0</v>
      </c>
      <c r="AK16" s="3" t="str">
        <f>IF(AI16, C16, "")</f>
      </c>
      <c r="AL16" s="3" t="b">
        <f>AD16 &lt;&gt; ""</f>
        <v>1</v>
      </c>
      <c r="AM16" s="3" t="str">
        <f>IF(AL16, "", C16)</f>
      </c>
      <c r="AN16" s="3" t="b">
        <f>AND(AD16 = "Approval", W16)</f>
        <v>0</v>
      </c>
      <c r="AO16" s="3">
        <f>COUNTIFS(StepRequirements!I2:I999, A16)</f>
        <v>4</v>
      </c>
      <c r="AP16" s="2" t="s">
        <v>553</v>
      </c>
    </row>
    <row r="17">
      <c r="A17" s="2" t="s">
        <v>600</v>
      </c>
      <c r="B17" s="3" t="str">
        <f>D17 &amp; ". " &amp; E17</f>
        <v>08. Collect acknowledgements and exceptions</v>
      </c>
      <c r="C17" s="2" t="s">
        <v>375</v>
      </c>
      <c r="D17" s="2" t="s">
        <v>574</v>
      </c>
      <c r="E17" s="2" t="s">
        <v>601</v>
      </c>
      <c r="F17" s="2" t="s">
        <v>538</v>
      </c>
      <c r="G17" s="2" t="s">
        <v>240</v>
      </c>
      <c r="H17" s="3" t="str">
        <f>_xlfn.IFNA(INDEX(Roles!C2:C999, MATCH(G17,Roles!A2:A999, 0)), "")</f>
        <v>Notification Publisher</v>
      </c>
      <c r="I17" s="3" t="str">
        <f>_xlfn.IFNA(INDEX(Roles!F2:F999, MATCH(G17,Roles!A2:A999, 0)), "")</f>
        <v>AutomatedPipeline</v>
      </c>
      <c r="J17" s="2" t="s">
        <v>602</v>
      </c>
      <c r="K17" s="7">
        <v>1440</v>
      </c>
      <c r="L17" s="2" t="s">
        <v>540</v>
      </c>
      <c r="M17" s="2" t="b">
        <v>0</v>
      </c>
      <c r="N17" s="3">
        <f>COUNTIFS(StepRequirements!F2:F999, A17)</f>
        <v>1</v>
      </c>
      <c r="O17" s="3">
        <f>COUNTIFS(OperationalBindings!O2:O999, A17)</f>
        <v>0</v>
      </c>
      <c r="P17" s="3">
        <f>COUNTIFS(OperationalBindings!P2:P999, A17)</f>
        <v>0</v>
      </c>
      <c r="Q17" s="3">
        <f>COUNTIFS(Exceptions!J2:J999, A17)</f>
        <v>1</v>
      </c>
      <c r="R17" s="3">
        <f>COUNTIFS(StepVerifications!C2:C999, A17)</f>
        <v>1</v>
      </c>
      <c r="S17" s="3" t="b">
        <f>OR(G17 = "finance-analyst", G17 = "variance-review-agent")</f>
        <v>0</v>
      </c>
      <c r="T17" s="3" t="b">
        <f>OR(G17 = "controller", G17 = "cfo")</f>
        <v>0</v>
      </c>
      <c r="U17" s="3">
        <f>COUNTIFS(OperationalBindings!R2:R999, A17)</f>
        <v>0</v>
      </c>
      <c r="V17" s="3" t="b">
        <f>U17 = 0</f>
        <v>1</v>
      </c>
      <c r="W17" s="3" t="b">
        <f>OR(I17 = "AIAgent", I17 = "AutomatedPipeline")</f>
        <v>1</v>
      </c>
      <c r="X17" s="3" t="b">
        <f>AND(NOT(W17), OR(A17 = "policy-05", A17 = "close-06"))</f>
        <v>0</v>
      </c>
      <c r="Y17" s="3" t="b">
        <f>AND(X17, I17 = "Human")</f>
        <v>0</v>
      </c>
      <c r="Z17" s="3">
        <f>COUNTIFS(AuthorityBoundaries!P2:P999, A17)</f>
        <v>0</v>
      </c>
      <c r="AA17" s="3" t="b">
        <f>_xlfn.IFNA(INDEX(Roles!O2:O999, MATCH(G17,Roles!A2:A999, 0)), "")</f>
        <v>0</v>
      </c>
      <c r="AB17" s="3">
        <f>COUNTIFS(OperationalBindings!U2:U999, A17)</f>
        <v>0</v>
      </c>
      <c r="AC17" s="3" t="b">
        <f>AB17 = 0</f>
        <v>1</v>
      </c>
      <c r="AD17" s="2" t="s">
        <v>603</v>
      </c>
      <c r="AE17" s="3">
        <f>COUNTIFS(AuthorityBoundaries!Z2:Z999, A17)</f>
        <v>0</v>
      </c>
      <c r="AF17" s="3" t="b">
        <f>AE17 &gt; 0</f>
        <v>0</v>
      </c>
      <c r="AG17" s="3">
        <f>COUNTIFS(StepExecutions!CG2:CG999, A17)</f>
        <v>0</v>
      </c>
      <c r="AH17" s="3" t="b">
        <f>AG17 &gt; 0</f>
        <v>0</v>
      </c>
      <c r="AI17" s="3" t="b">
        <f>AND(X17, NOT(AH17))</f>
        <v>0</v>
      </c>
      <c r="AJ17" s="3" t="b">
        <f>AND(X17, AH17, Y17)</f>
        <v>0</v>
      </c>
      <c r="AK17" s="3" t="str">
        <f>IF(AI17, C17, "")</f>
      </c>
      <c r="AL17" s="3" t="b">
        <f>AD17 &lt;&gt; ""</f>
        <v>1</v>
      </c>
      <c r="AM17" s="3" t="str">
        <f>IF(AL17, "", C17)</f>
      </c>
      <c r="AN17" s="3" t="b">
        <f>AND(AD17 = "Approval", W17)</f>
        <v>0</v>
      </c>
      <c r="AO17" s="3">
        <f>COUNTIFS(StepRequirements!I2:I999, A17)</f>
        <v>1</v>
      </c>
      <c r="AP17" s="2" t="s">
        <v>542</v>
      </c>
    </row>
    <row r="18">
      <c r="A18" s="2" t="s">
        <v>604</v>
      </c>
      <c r="B18" s="3" t="str">
        <f>D18 &amp; ". " &amp; E18</f>
        <v>09. Review feedback and update knowledge</v>
      </c>
      <c r="C18" s="2" t="s">
        <v>375</v>
      </c>
      <c r="D18" s="2" t="s">
        <v>605</v>
      </c>
      <c r="E18" s="2" t="s">
        <v>606</v>
      </c>
      <c r="F18" s="2" t="s">
        <v>550</v>
      </c>
      <c r="G18" s="2" t="s">
        <v>244</v>
      </c>
      <c r="H18" s="3" t="str">
        <f>_xlfn.IFNA(INDEX(Roles!C2:C999, MATCH(G18,Roles!A2:A999, 0)), "")</f>
        <v>Procedural Knowledge Steward</v>
      </c>
      <c r="I18" s="3" t="str">
        <f>_xlfn.IFNA(INDEX(Roles!F2:F999, MATCH(G18,Roles!A2:A999, 0)), "")</f>
        <v>Human</v>
      </c>
      <c r="J18" s="2" t="s">
        <v>607</v>
      </c>
      <c r="K18" s="7">
        <v>120</v>
      </c>
      <c r="L18" s="2" t="s">
        <v>558</v>
      </c>
      <c r="M18" s="2" t="b">
        <v>0</v>
      </c>
      <c r="N18" s="3">
        <f>COUNTIFS(StepRequirements!F2:F999, A18)</f>
        <v>0</v>
      </c>
      <c r="O18" s="3">
        <f>COUNTIFS(OperationalBindings!O2:O999, A18)</f>
        <v>0</v>
      </c>
      <c r="P18" s="3">
        <f>COUNTIFS(OperationalBindings!P2:P999, A18)</f>
        <v>0</v>
      </c>
      <c r="Q18" s="3">
        <f>COUNTIFS(Exceptions!J2:J999, A18)</f>
        <v>0</v>
      </c>
      <c r="R18" s="3">
        <f>COUNTIFS(StepVerifications!C2:C999, A18)</f>
        <v>0</v>
      </c>
      <c r="S18" s="3" t="b">
        <f>OR(G18 = "finance-analyst", G18 = "variance-review-agent")</f>
        <v>0</v>
      </c>
      <c r="T18" s="3" t="b">
        <f>OR(G18 = "controller", G18 = "cfo")</f>
        <v>0</v>
      </c>
      <c r="U18" s="3">
        <f>COUNTIFS(OperationalBindings!R2:R999, A18)</f>
        <v>0</v>
      </c>
      <c r="V18" s="3" t="b">
        <f>U18 = 0</f>
        <v>1</v>
      </c>
      <c r="W18" s="3" t="b">
        <f>OR(I18 = "AIAgent", I18 = "AutomatedPipeline")</f>
        <v>0</v>
      </c>
      <c r="X18" s="3" t="b">
        <f>AND(NOT(W18), OR(A18 = "policy-05", A18 = "close-06"))</f>
        <v>0</v>
      </c>
      <c r="Y18" s="3" t="b">
        <f>AND(X18, I18 = "Human")</f>
        <v>0</v>
      </c>
      <c r="Z18" s="3">
        <f>COUNTIFS(AuthorityBoundaries!P2:P999, A18)</f>
        <v>0</v>
      </c>
      <c r="AA18" s="3" t="b">
        <f>_xlfn.IFNA(INDEX(Roles!O2:O999, MATCH(G18,Roles!A2:A999, 0)), "")</f>
        <v>0</v>
      </c>
      <c r="AB18" s="3">
        <f>COUNTIFS(OperationalBindings!U2:U999, A18)</f>
        <v>0</v>
      </c>
      <c r="AC18" s="3" t="b">
        <f>AB18 = 0</f>
        <v>1</v>
      </c>
      <c r="AD18" s="2" t="s">
        <v>577</v>
      </c>
      <c r="AE18" s="3">
        <f>COUNTIFS(AuthorityBoundaries!Z2:Z999, A18)</f>
        <v>0</v>
      </c>
      <c r="AF18" s="3" t="b">
        <f>AE18 &gt; 0</f>
        <v>0</v>
      </c>
      <c r="AG18" s="3">
        <f>COUNTIFS(StepExecutions!CG2:CG999, A18)</f>
        <v>0</v>
      </c>
      <c r="AH18" s="3" t="b">
        <f>AG18 &gt; 0</f>
        <v>0</v>
      </c>
      <c r="AI18" s="3" t="b">
        <f>AND(X18, NOT(AH18))</f>
        <v>0</v>
      </c>
      <c r="AJ18" s="3" t="b">
        <f>AND(X18, AH18, Y18)</f>
        <v>0</v>
      </c>
      <c r="AK18" s="3" t="str">
        <f>IF(AI18, C18, "")</f>
      </c>
      <c r="AL18" s="3" t="b">
        <f>AD18 &lt;&gt; ""</f>
        <v>1</v>
      </c>
      <c r="AM18" s="3" t="str">
        <f>IF(AL18, "", C18)</f>
      </c>
      <c r="AN18" s="3" t="b">
        <f>AND(AD18 = "Approval", W18)</f>
        <v>0</v>
      </c>
      <c r="AO18" s="3">
        <f>COUNTIFS(StepRequirements!I2:I999, A18)</f>
        <v>0</v>
      </c>
      <c r="AP18" s="2" t="s">
        <v>553</v>
      </c>
    </row>
  </sheetData>
  <autoFilter ref="A1:AP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W20"/>
  <sheetViews>
    <sheetView workbookViewId="0">
      <pane ySplit="1" topLeftCell="A2" state="frozen" activePane="bottomLeft"/>
      <selection pane="bottomLeft" activeCell="A1" sqref="A1"/>
    </sheetView>
  </sheetViews>
  <sheetFormatPr defaultRowHeight="15"/>
  <cols>
    <col min="1" max="1" width="27.143239974975586" customWidth="1"/>
    <col min="2" max="2" width="22.42055892944336" customWidth="1"/>
    <col min="3" max="3" width="18.236316680908203" customWidth="1"/>
    <col min="4" max="4" width="17.443378448486328" customWidth="1"/>
    <col min="5" max="5" width="17.443378448486328" customWidth="1"/>
    <col min="6" max="6" width="17.443378448486328" customWidth="1"/>
    <col min="7" max="7" width="64.76766204833984" customWidth="1"/>
    <col min="8" max="8" width="17.443378448486328" customWidth="1"/>
    <col min="9" max="9" width="17.443378448486328" customWidth="1"/>
    <col min="10" max="10" width="28.133821487426758" customWidth="1"/>
    <col min="11" max="11" width="25.895551681518555" customWidth="1"/>
    <col min="12" max="12" width="20.28169822692871" customWidth="1"/>
    <col min="13" max="13" width="20.795621871948242" customWidth="1"/>
    <col min="14" max="14" width="17.835586547851562" customWidth="1"/>
    <col min="15" max="15" width="24.502605438232422" customWidth="1"/>
    <col min="16" max="16" width="27.537084579467773" customWidth="1"/>
    <col min="17" max="17" width="19.147634506225586" customWidth="1"/>
    <col min="18" max="18" width="25.236631393432617" customWidth="1"/>
    <col min="19" max="19" width="32.53030014038086" customWidth="1"/>
    <col min="20" max="20" width="28.381319046020508" customWidth="1"/>
    <col min="21" max="21" width="26.94521141052246" customWidth="1"/>
    <col min="22" max="22" width="30.144563674926758" customWidth="1"/>
    <col min="23" max="23" width="30.819232940673828" customWidth="1"/>
  </cols>
  <sheetData>
    <row r="1">
      <c r="A1" s="1" t="s">
        <v>608</v>
      </c>
      <c r="B1" s="1" t="s">
        <v>1</v>
      </c>
      <c r="C1" s="1" t="s">
        <v>477</v>
      </c>
      <c r="D1" s="1" t="s">
        <v>609</v>
      </c>
      <c r="E1" s="1" t="s">
        <v>610</v>
      </c>
      <c r="F1" s="1" t="s">
        <v>611</v>
      </c>
      <c r="G1" s="1" t="s">
        <v>612</v>
      </c>
      <c r="H1" s="1" t="s">
        <v>613</v>
      </c>
      <c r="I1" s="1" t="s">
        <v>614</v>
      </c>
      <c r="J1" s="1" t="s">
        <v>615</v>
      </c>
      <c r="K1" s="1" t="s">
        <v>616</v>
      </c>
      <c r="L1" s="1" t="s">
        <v>617</v>
      </c>
      <c r="M1" s="1" t="s">
        <v>618</v>
      </c>
      <c r="N1" s="1" t="s">
        <v>619</v>
      </c>
      <c r="O1" s="1" t="s">
        <v>620</v>
      </c>
      <c r="P1" s="1" t="s">
        <v>621</v>
      </c>
      <c r="Q1" s="1" t="s">
        <v>622</v>
      </c>
      <c r="R1" s="1" t="s">
        <v>623</v>
      </c>
      <c r="S1" s="1" t="s">
        <v>624</v>
      </c>
      <c r="T1" s="1" t="s">
        <v>625</v>
      </c>
      <c r="U1" s="1" t="s">
        <v>626</v>
      </c>
      <c r="V1" s="1" t="s">
        <v>627</v>
      </c>
      <c r="W1" s="1" t="s">
        <v>94</v>
      </c>
    </row>
    <row r="2">
      <c r="A2" s="2" t="s">
        <v>628</v>
      </c>
      <c r="B2" s="3" t="str">
        <f>D2 &amp; " -&gt; " &amp; E2</f>
        <v>close-01 -&gt; close-02</v>
      </c>
      <c r="C2" s="2" t="s">
        <v>369</v>
      </c>
      <c r="D2" s="2" t="s">
        <v>535</v>
      </c>
      <c r="E2" s="2" t="s">
        <v>543</v>
      </c>
      <c r="F2" s="2" t="s">
        <v>629</v>
      </c>
      <c r="G2" s="2" t="s">
        <v>630</v>
      </c>
      <c r="H2" s="7">
        <v>1</v>
      </c>
      <c r="I2" s="3" t="b">
        <f>OR(F2 = "Fallback", F2 = "Alternative")</f>
        <v>0</v>
      </c>
      <c r="J2" s="5">
        <f>COUNTIFS(StepExecutions!D2:D999,D2)</f>
        <v>1</v>
      </c>
      <c r="K2" s="5">
        <f>COUNTIFS(StepExecutions!D2:D999,E2)</f>
        <v>1</v>
      </c>
      <c r="L2" s="3" t="b">
        <f>J2 &gt; 0</f>
        <v>1</v>
      </c>
      <c r="M2" s="3" t="b">
        <f>K2 &gt; 0</f>
        <v>1</v>
      </c>
      <c r="N2" s="3" t="b">
        <f>NOT(AND(L2, M2))</f>
        <v>0</v>
      </c>
      <c r="O2" s="3" t="b">
        <f>AND(I2, N2)</f>
        <v>0</v>
      </c>
      <c r="P2" s="5">
        <f>COUNTIFS(ObservedTransitions!D2:D999,A2)</f>
        <v>1</v>
      </c>
      <c r="Q2" s="3" t="b">
        <f>P2 &gt; 0</f>
        <v>1</v>
      </c>
      <c r="R2" s="3" t="b">
        <f>AND(I2, NOT(Q2))</f>
        <v>0</v>
      </c>
      <c r="S2" s="3">
        <f>_xlfn.IFNA(INDEX(Steps!N2:N999, MATCH(E2,Steps!A2:A999, 0)), "")</f>
        <v>0</v>
      </c>
      <c r="T2" s="3" t="b">
        <f>S2 &gt; 0</f>
        <v>0</v>
      </c>
      <c r="U2" s="3" t="b">
        <f>AND(R2, T2)</f>
        <v>0</v>
      </c>
      <c r="V2" s="3" t="str">
        <f>IF(U2, C2, "")</f>
      </c>
      <c r="W2" s="2" t="s">
        <v>631</v>
      </c>
    </row>
    <row r="3">
      <c r="A3" s="2" t="s">
        <v>632</v>
      </c>
      <c r="B3" s="3" t="str">
        <f>D3 &amp; " -&gt; " &amp; E3</f>
        <v>close-02 -&gt; close-03</v>
      </c>
      <c r="C3" s="2" t="s">
        <v>369</v>
      </c>
      <c r="D3" s="2" t="s">
        <v>543</v>
      </c>
      <c r="E3" s="2" t="s">
        <v>547</v>
      </c>
      <c r="F3" s="2" t="s">
        <v>629</v>
      </c>
      <c r="G3" s="2" t="s">
        <v>630</v>
      </c>
      <c r="H3" s="7">
        <v>1</v>
      </c>
      <c r="I3" s="3" t="b">
        <f>OR(F3 = "Fallback", F3 = "Alternative")</f>
        <v>0</v>
      </c>
      <c r="J3" s="5">
        <f>COUNTIFS(StepExecutions!D2:D999,D3)</f>
        <v>1</v>
      </c>
      <c r="K3" s="5">
        <f>COUNTIFS(StepExecutions!D2:D999,E3)</f>
        <v>1</v>
      </c>
      <c r="L3" s="3" t="b">
        <f>J3 &gt; 0</f>
        <v>1</v>
      </c>
      <c r="M3" s="3" t="b">
        <f>K3 &gt; 0</f>
        <v>1</v>
      </c>
      <c r="N3" s="3" t="b">
        <f>NOT(AND(L3, M3))</f>
        <v>0</v>
      </c>
      <c r="O3" s="3" t="b">
        <f>AND(I3, N3)</f>
        <v>0</v>
      </c>
      <c r="P3" s="5">
        <f>COUNTIFS(ObservedTransitions!D2:D999,A3)</f>
        <v>1</v>
      </c>
      <c r="Q3" s="3" t="b">
        <f>P3 &gt; 0</f>
        <v>1</v>
      </c>
      <c r="R3" s="3" t="b">
        <f>AND(I3, NOT(Q3))</f>
        <v>0</v>
      </c>
      <c r="S3" s="3">
        <f>_xlfn.IFNA(INDEX(Steps!N2:N999, MATCH(E3,Steps!A2:A999, 0)), "")</f>
        <v>2</v>
      </c>
      <c r="T3" s="3" t="b">
        <f>S3 &gt; 0</f>
        <v>1</v>
      </c>
      <c r="U3" s="3" t="b">
        <f>AND(R3, T3)</f>
        <v>0</v>
      </c>
      <c r="V3" s="3" t="str">
        <f>IF(U3, C3, "")</f>
      </c>
      <c r="W3" s="2" t="s">
        <v>631</v>
      </c>
    </row>
    <row r="4">
      <c r="A4" s="2" t="s">
        <v>633</v>
      </c>
      <c r="B4" s="3" t="str">
        <f>D4 &amp; " -&gt; " &amp; E4</f>
        <v>close-03 -&gt; close-04</v>
      </c>
      <c r="C4" s="2" t="s">
        <v>369</v>
      </c>
      <c r="D4" s="2" t="s">
        <v>547</v>
      </c>
      <c r="E4" s="2" t="s">
        <v>554</v>
      </c>
      <c r="F4" s="2" t="s">
        <v>629</v>
      </c>
      <c r="G4" s="2" t="s">
        <v>630</v>
      </c>
      <c r="H4" s="7">
        <v>1</v>
      </c>
      <c r="I4" s="3" t="b">
        <f>OR(F4 = "Fallback", F4 = "Alternative")</f>
        <v>0</v>
      </c>
      <c r="J4" s="5">
        <f>COUNTIFS(StepExecutions!D2:D999,D4)</f>
        <v>1</v>
      </c>
      <c r="K4" s="5">
        <f>COUNTIFS(StepExecutions!D2:D999,E4)</f>
        <v>1</v>
      </c>
      <c r="L4" s="3" t="b">
        <f>J4 &gt; 0</f>
        <v>1</v>
      </c>
      <c r="M4" s="3" t="b">
        <f>K4 &gt; 0</f>
        <v>1</v>
      </c>
      <c r="N4" s="3" t="b">
        <f>NOT(AND(L4, M4))</f>
        <v>0</v>
      </c>
      <c r="O4" s="3" t="b">
        <f>AND(I4, N4)</f>
        <v>0</v>
      </c>
      <c r="P4" s="5">
        <f>COUNTIFS(ObservedTransitions!D2:D999,A4)</f>
        <v>1</v>
      </c>
      <c r="Q4" s="3" t="b">
        <f>P4 &gt; 0</f>
        <v>1</v>
      </c>
      <c r="R4" s="3" t="b">
        <f>AND(I4, NOT(Q4))</f>
        <v>0</v>
      </c>
      <c r="S4" s="3">
        <f>_xlfn.IFNA(INDEX(Steps!N2:N999, MATCH(E4,Steps!A2:A999, 0)), "")</f>
        <v>0</v>
      </c>
      <c r="T4" s="3" t="b">
        <f>S4 &gt; 0</f>
        <v>0</v>
      </c>
      <c r="U4" s="3" t="b">
        <f>AND(R4, T4)</f>
        <v>0</v>
      </c>
      <c r="V4" s="3" t="str">
        <f>IF(U4, C4, "")</f>
      </c>
      <c r="W4" s="2" t="s">
        <v>631</v>
      </c>
    </row>
    <row r="5">
      <c r="A5" s="2" t="s">
        <v>634</v>
      </c>
      <c r="B5" s="3" t="str">
        <f>D5 &amp; " -&gt; " &amp; E5</f>
        <v>close-04 -&gt; close-05</v>
      </c>
      <c r="C5" s="2" t="s">
        <v>369</v>
      </c>
      <c r="D5" s="2" t="s">
        <v>554</v>
      </c>
      <c r="E5" s="2" t="s">
        <v>559</v>
      </c>
      <c r="F5" s="2" t="s">
        <v>629</v>
      </c>
      <c r="G5" s="2" t="s">
        <v>630</v>
      </c>
      <c r="H5" s="7">
        <v>1</v>
      </c>
      <c r="I5" s="3" t="b">
        <f>OR(F5 = "Fallback", F5 = "Alternative")</f>
        <v>0</v>
      </c>
      <c r="J5" s="5">
        <f>COUNTIFS(StepExecutions!D2:D999,D5)</f>
        <v>1</v>
      </c>
      <c r="K5" s="5">
        <f>COUNTIFS(StepExecutions!D2:D999,E5)</f>
        <v>1</v>
      </c>
      <c r="L5" s="3" t="b">
        <f>J5 &gt; 0</f>
        <v>1</v>
      </c>
      <c r="M5" s="3" t="b">
        <f>K5 &gt; 0</f>
        <v>1</v>
      </c>
      <c r="N5" s="3" t="b">
        <f>NOT(AND(L5, M5))</f>
        <v>0</v>
      </c>
      <c r="O5" s="3" t="b">
        <f>AND(I5, N5)</f>
        <v>0</v>
      </c>
      <c r="P5" s="5">
        <f>COUNTIFS(ObservedTransitions!D2:D999,A5)</f>
        <v>1</v>
      </c>
      <c r="Q5" s="3" t="b">
        <f>P5 &gt; 0</f>
        <v>1</v>
      </c>
      <c r="R5" s="3" t="b">
        <f>AND(I5, NOT(Q5))</f>
        <v>0</v>
      </c>
      <c r="S5" s="3">
        <f>_xlfn.IFNA(INDEX(Steps!N2:N999, MATCH(E5,Steps!A2:A999, 0)), "")</f>
        <v>1</v>
      </c>
      <c r="T5" s="3" t="b">
        <f>S5 &gt; 0</f>
        <v>1</v>
      </c>
      <c r="U5" s="3" t="b">
        <f>AND(R5, T5)</f>
        <v>0</v>
      </c>
      <c r="V5" s="3" t="str">
        <f>IF(U5, C5, "")</f>
      </c>
      <c r="W5" s="2" t="s">
        <v>631</v>
      </c>
    </row>
    <row r="6">
      <c r="A6" s="2" t="s">
        <v>635</v>
      </c>
      <c r="B6" s="3" t="str">
        <f>D6 &amp; " -&gt; " &amp; E6</f>
        <v>close-05 -&gt; close-06</v>
      </c>
      <c r="C6" s="2" t="s">
        <v>369</v>
      </c>
      <c r="D6" s="2" t="s">
        <v>559</v>
      </c>
      <c r="E6" s="2" t="s">
        <v>563</v>
      </c>
      <c r="F6" s="2" t="s">
        <v>629</v>
      </c>
      <c r="G6" s="2" t="s">
        <v>630</v>
      </c>
      <c r="H6" s="7">
        <v>1</v>
      </c>
      <c r="I6" s="3" t="b">
        <f>OR(F6 = "Fallback", F6 = "Alternative")</f>
        <v>0</v>
      </c>
      <c r="J6" s="5">
        <f>COUNTIFS(StepExecutions!D2:D999,D6)</f>
        <v>1</v>
      </c>
      <c r="K6" s="5">
        <f>COUNTIFS(StepExecutions!D2:D999,E6)</f>
        <v>1</v>
      </c>
      <c r="L6" s="3" t="b">
        <f>J6 &gt; 0</f>
        <v>1</v>
      </c>
      <c r="M6" s="3" t="b">
        <f>K6 &gt; 0</f>
        <v>1</v>
      </c>
      <c r="N6" s="3" t="b">
        <f>NOT(AND(L6, M6))</f>
        <v>0</v>
      </c>
      <c r="O6" s="3" t="b">
        <f>AND(I6, N6)</f>
        <v>0</v>
      </c>
      <c r="P6" s="5">
        <f>COUNTIFS(ObservedTransitions!D2:D999,A6)</f>
        <v>1</v>
      </c>
      <c r="Q6" s="3" t="b">
        <f>P6 &gt; 0</f>
        <v>1</v>
      </c>
      <c r="R6" s="3" t="b">
        <f>AND(I6, NOT(Q6))</f>
        <v>0</v>
      </c>
      <c r="S6" s="3">
        <f>_xlfn.IFNA(INDEX(Steps!N2:N999, MATCH(E6,Steps!A2:A999, 0)), "")</f>
        <v>1</v>
      </c>
      <c r="T6" s="3" t="b">
        <f>S6 &gt; 0</f>
        <v>1</v>
      </c>
      <c r="U6" s="3" t="b">
        <f>AND(R6, T6)</f>
        <v>0</v>
      </c>
      <c r="V6" s="3" t="str">
        <f>IF(U6, C6, "")</f>
      </c>
      <c r="W6" s="2" t="s">
        <v>631</v>
      </c>
    </row>
    <row r="7">
      <c r="A7" s="2" t="s">
        <v>636</v>
      </c>
      <c r="B7" s="3" t="str">
        <f>D7 &amp; " -&gt; " &amp; E7</f>
        <v>close-06 -&gt; close-07</v>
      </c>
      <c r="C7" s="2" t="s">
        <v>369</v>
      </c>
      <c r="D7" s="2" t="s">
        <v>563</v>
      </c>
      <c r="E7" s="2" t="s">
        <v>568</v>
      </c>
      <c r="F7" s="2" t="s">
        <v>629</v>
      </c>
      <c r="G7" s="2" t="s">
        <v>630</v>
      </c>
      <c r="H7" s="7">
        <v>1</v>
      </c>
      <c r="I7" s="3" t="b">
        <f>OR(F7 = "Fallback", F7 = "Alternative")</f>
        <v>0</v>
      </c>
      <c r="J7" s="5">
        <f>COUNTIFS(StepExecutions!D2:D999,D7)</f>
        <v>1</v>
      </c>
      <c r="K7" s="5">
        <f>COUNTIFS(StepExecutions!D2:D999,E7)</f>
        <v>1</v>
      </c>
      <c r="L7" s="3" t="b">
        <f>J7 &gt; 0</f>
        <v>1</v>
      </c>
      <c r="M7" s="3" t="b">
        <f>K7 &gt; 0</f>
        <v>1</v>
      </c>
      <c r="N7" s="3" t="b">
        <f>NOT(AND(L7, M7))</f>
        <v>0</v>
      </c>
      <c r="O7" s="3" t="b">
        <f>AND(I7, N7)</f>
        <v>0</v>
      </c>
      <c r="P7" s="5">
        <f>COUNTIFS(ObservedTransitions!D2:D999,A7)</f>
        <v>1</v>
      </c>
      <c r="Q7" s="3" t="b">
        <f>P7 &gt; 0</f>
        <v>1</v>
      </c>
      <c r="R7" s="3" t="b">
        <f>AND(I7, NOT(Q7))</f>
        <v>0</v>
      </c>
      <c r="S7" s="3">
        <f>_xlfn.IFNA(INDEX(Steps!N2:N999, MATCH(E7,Steps!A2:A999, 0)), "")</f>
        <v>0</v>
      </c>
      <c r="T7" s="3" t="b">
        <f>S7 &gt; 0</f>
        <v>0</v>
      </c>
      <c r="U7" s="3" t="b">
        <f>AND(R7, T7)</f>
        <v>0</v>
      </c>
      <c r="V7" s="3" t="str">
        <f>IF(U7, C7, "")</f>
      </c>
      <c r="W7" s="2" t="s">
        <v>631</v>
      </c>
    </row>
    <row r="8">
      <c r="A8" s="2" t="s">
        <v>637</v>
      </c>
      <c r="B8" s="3" t="str">
        <f>D8 &amp; " -&gt; " &amp; E8</f>
        <v>close-07 -&gt; close-08</v>
      </c>
      <c r="C8" s="2" t="s">
        <v>369</v>
      </c>
      <c r="D8" s="2" t="s">
        <v>568</v>
      </c>
      <c r="E8" s="2" t="s">
        <v>573</v>
      </c>
      <c r="F8" s="2" t="s">
        <v>629</v>
      </c>
      <c r="G8" s="2" t="s">
        <v>630</v>
      </c>
      <c r="H8" s="7">
        <v>1</v>
      </c>
      <c r="I8" s="3" t="b">
        <f>OR(F8 = "Fallback", F8 = "Alternative")</f>
        <v>0</v>
      </c>
      <c r="J8" s="5">
        <f>COUNTIFS(StepExecutions!D2:D999,D8)</f>
        <v>1</v>
      </c>
      <c r="K8" s="5">
        <f>COUNTIFS(StepExecutions!D2:D999,E8)</f>
        <v>1</v>
      </c>
      <c r="L8" s="3" t="b">
        <f>J8 &gt; 0</f>
        <v>1</v>
      </c>
      <c r="M8" s="3" t="b">
        <f>K8 &gt; 0</f>
        <v>1</v>
      </c>
      <c r="N8" s="3" t="b">
        <f>NOT(AND(L8, M8))</f>
        <v>0</v>
      </c>
      <c r="O8" s="3" t="b">
        <f>AND(I8, N8)</f>
        <v>0</v>
      </c>
      <c r="P8" s="5">
        <f>COUNTIFS(ObservedTransitions!D2:D999,A8)</f>
        <v>1</v>
      </c>
      <c r="Q8" s="3" t="b">
        <f>P8 &gt; 0</f>
        <v>1</v>
      </c>
      <c r="R8" s="3" t="b">
        <f>AND(I8, NOT(Q8))</f>
        <v>0</v>
      </c>
      <c r="S8" s="3">
        <f>_xlfn.IFNA(INDEX(Steps!N2:N999, MATCH(E8,Steps!A2:A999, 0)), "")</f>
        <v>1</v>
      </c>
      <c r="T8" s="3" t="b">
        <f>S8 &gt; 0</f>
        <v>1</v>
      </c>
      <c r="U8" s="3" t="b">
        <f>AND(R8, T8)</f>
        <v>0</v>
      </c>
      <c r="V8" s="3" t="str">
        <f>IF(U8, C8, "")</f>
      </c>
      <c r="W8" s="2" t="s">
        <v>631</v>
      </c>
    </row>
    <row r="9">
      <c r="A9" s="2" t="s">
        <v>638</v>
      </c>
      <c r="B9" s="3" t="str">
        <f>D9 &amp; " -&gt; " &amp; E9</f>
        <v>policy-01 -&gt; policy-02</v>
      </c>
      <c r="C9" s="2" t="s">
        <v>375</v>
      </c>
      <c r="D9" s="2" t="s">
        <v>578</v>
      </c>
      <c r="E9" s="2" t="s">
        <v>581</v>
      </c>
      <c r="F9" s="2" t="s">
        <v>629</v>
      </c>
      <c r="G9" s="2" t="s">
        <v>630</v>
      </c>
      <c r="H9" s="7">
        <v>1</v>
      </c>
      <c r="I9" s="3" t="b">
        <f>OR(F9 = "Fallback", F9 = "Alternative")</f>
        <v>0</v>
      </c>
      <c r="J9" s="5">
        <f>COUNTIFS(StepExecutions!D2:D999,D9)</f>
        <v>1</v>
      </c>
      <c r="K9" s="5">
        <f>COUNTIFS(StepExecutions!D2:D999,E9)</f>
        <v>1</v>
      </c>
      <c r="L9" s="3" t="b">
        <f>J9 &gt; 0</f>
        <v>1</v>
      </c>
      <c r="M9" s="3" t="b">
        <f>K9 &gt; 0</f>
        <v>1</v>
      </c>
      <c r="N9" s="3" t="b">
        <f>NOT(AND(L9, M9))</f>
        <v>0</v>
      </c>
      <c r="O9" s="3" t="b">
        <f>AND(I9, N9)</f>
        <v>0</v>
      </c>
      <c r="P9" s="5">
        <f>COUNTIFS(ObservedTransitions!D2:D999,A9)</f>
        <v>1</v>
      </c>
      <c r="Q9" s="3" t="b">
        <f>P9 &gt; 0</f>
        <v>1</v>
      </c>
      <c r="R9" s="3" t="b">
        <f>AND(I9, NOT(Q9))</f>
        <v>0</v>
      </c>
      <c r="S9" s="3">
        <f>_xlfn.IFNA(INDEX(Steps!N2:N999, MATCH(E9,Steps!A2:A999, 0)), "")</f>
        <v>0</v>
      </c>
      <c r="T9" s="3" t="b">
        <f>S9 &gt; 0</f>
        <v>0</v>
      </c>
      <c r="U9" s="3" t="b">
        <f>AND(R9, T9)</f>
        <v>0</v>
      </c>
      <c r="V9" s="3" t="str">
        <f>IF(U9, C9, "")</f>
      </c>
      <c r="W9" s="2" t="s">
        <v>631</v>
      </c>
    </row>
    <row r="10">
      <c r="A10" s="2" t="s">
        <v>639</v>
      </c>
      <c r="B10" s="3" t="str">
        <f>D10 &amp; " -&gt; " &amp; E10</f>
        <v>policy-02 -&gt; policy-03</v>
      </c>
      <c r="C10" s="2" t="s">
        <v>375</v>
      </c>
      <c r="D10" s="2" t="s">
        <v>581</v>
      </c>
      <c r="E10" s="2" t="s">
        <v>584</v>
      </c>
      <c r="F10" s="2" t="s">
        <v>629</v>
      </c>
      <c r="G10" s="2" t="s">
        <v>630</v>
      </c>
      <c r="H10" s="7">
        <v>1</v>
      </c>
      <c r="I10" s="3" t="b">
        <f>OR(F10 = "Fallback", F10 = "Alternative")</f>
        <v>0</v>
      </c>
      <c r="J10" s="5">
        <f>COUNTIFS(StepExecutions!D2:D999,D10)</f>
        <v>1</v>
      </c>
      <c r="K10" s="5">
        <f>COUNTIFS(StepExecutions!D2:D999,E10)</f>
        <v>1</v>
      </c>
      <c r="L10" s="3" t="b">
        <f>J10 &gt; 0</f>
        <v>1</v>
      </c>
      <c r="M10" s="3" t="b">
        <f>K10 &gt; 0</f>
        <v>1</v>
      </c>
      <c r="N10" s="3" t="b">
        <f>NOT(AND(L10, M10))</f>
        <v>0</v>
      </c>
      <c r="O10" s="3" t="b">
        <f>AND(I10, N10)</f>
        <v>0</v>
      </c>
      <c r="P10" s="5">
        <f>COUNTIFS(ObservedTransitions!D2:D999,A10)</f>
        <v>1</v>
      </c>
      <c r="Q10" s="3" t="b">
        <f>P10 &gt; 0</f>
        <v>1</v>
      </c>
      <c r="R10" s="3" t="b">
        <f>AND(I10, NOT(Q10))</f>
        <v>0</v>
      </c>
      <c r="S10" s="3">
        <f>_xlfn.IFNA(INDEX(Steps!N2:N999, MATCH(E10,Steps!A2:A999, 0)), "")</f>
        <v>1</v>
      </c>
      <c r="T10" s="3" t="b">
        <f>S10 &gt; 0</f>
        <v>1</v>
      </c>
      <c r="U10" s="3" t="b">
        <f>AND(R10, T10)</f>
        <v>0</v>
      </c>
      <c r="V10" s="3" t="str">
        <f>IF(U10, C10, "")</f>
      </c>
      <c r="W10" s="2" t="s">
        <v>631</v>
      </c>
    </row>
    <row r="11">
      <c r="A11" s="2" t="s">
        <v>640</v>
      </c>
      <c r="B11" s="3" t="str">
        <f>D11 &amp; " -&gt; " &amp; E11</f>
        <v>policy-03 -&gt; policy-04</v>
      </c>
      <c r="C11" s="2" t="s">
        <v>375</v>
      </c>
      <c r="D11" s="2" t="s">
        <v>584</v>
      </c>
      <c r="E11" s="2" t="s">
        <v>587</v>
      </c>
      <c r="F11" s="2" t="s">
        <v>629</v>
      </c>
      <c r="G11" s="2" t="s">
        <v>630</v>
      </c>
      <c r="H11" s="7">
        <v>1</v>
      </c>
      <c r="I11" s="3" t="b">
        <f>OR(F11 = "Fallback", F11 = "Alternative")</f>
        <v>0</v>
      </c>
      <c r="J11" s="5">
        <f>COUNTIFS(StepExecutions!D2:D999,D11)</f>
        <v>1</v>
      </c>
      <c r="K11" s="5">
        <f>COUNTIFS(StepExecutions!D2:D999,E11)</f>
        <v>1</v>
      </c>
      <c r="L11" s="3" t="b">
        <f>J11 &gt; 0</f>
        <v>1</v>
      </c>
      <c r="M11" s="3" t="b">
        <f>K11 &gt; 0</f>
        <v>1</v>
      </c>
      <c r="N11" s="3" t="b">
        <f>NOT(AND(L11, M11))</f>
        <v>0</v>
      </c>
      <c r="O11" s="3" t="b">
        <f>AND(I11, N11)</f>
        <v>0</v>
      </c>
      <c r="P11" s="5">
        <f>COUNTIFS(ObservedTransitions!D2:D999,A11)</f>
        <v>1</v>
      </c>
      <c r="Q11" s="3" t="b">
        <f>P11 &gt; 0</f>
        <v>1</v>
      </c>
      <c r="R11" s="3" t="b">
        <f>AND(I11, NOT(Q11))</f>
        <v>0</v>
      </c>
      <c r="S11" s="3">
        <f>_xlfn.IFNA(INDEX(Steps!N2:N999, MATCH(E11,Steps!A2:A999, 0)), "")</f>
        <v>1</v>
      </c>
      <c r="T11" s="3" t="b">
        <f>S11 &gt; 0</f>
        <v>1</v>
      </c>
      <c r="U11" s="3" t="b">
        <f>AND(R11, T11)</f>
        <v>0</v>
      </c>
      <c r="V11" s="3" t="str">
        <f>IF(U11, C11, "")</f>
      </c>
      <c r="W11" s="2" t="s">
        <v>631</v>
      </c>
    </row>
    <row r="12">
      <c r="A12" s="2" t="s">
        <v>641</v>
      </c>
      <c r="B12" s="3" t="str">
        <f>D12 &amp; " -&gt; " &amp; E12</f>
        <v>policy-04 -&gt; policy-05</v>
      </c>
      <c r="C12" s="2" t="s">
        <v>375</v>
      </c>
      <c r="D12" s="2" t="s">
        <v>587</v>
      </c>
      <c r="E12" s="2" t="s">
        <v>591</v>
      </c>
      <c r="F12" s="2" t="s">
        <v>629</v>
      </c>
      <c r="G12" s="2" t="s">
        <v>630</v>
      </c>
      <c r="H12" s="7">
        <v>1</v>
      </c>
      <c r="I12" s="3" t="b">
        <f>OR(F12 = "Fallback", F12 = "Alternative")</f>
        <v>0</v>
      </c>
      <c r="J12" s="5">
        <f>COUNTIFS(StepExecutions!D2:D999,D12)</f>
        <v>1</v>
      </c>
      <c r="K12" s="5">
        <f>COUNTIFS(StepExecutions!D2:D999,E12)</f>
        <v>0</v>
      </c>
      <c r="L12" s="3" t="b">
        <f>J12 &gt; 0</f>
        <v>1</v>
      </c>
      <c r="M12" s="3" t="b">
        <f>K12 &gt; 0</f>
        <v>0</v>
      </c>
      <c r="N12" s="3" t="b">
        <f>NOT(AND(L12, M12))</f>
        <v>1</v>
      </c>
      <c r="O12" s="3" t="b">
        <f>AND(I12, N12)</f>
        <v>0</v>
      </c>
      <c r="P12" s="5">
        <f>COUNTIFS(ObservedTransitions!D2:D999,A12)</f>
        <v>0</v>
      </c>
      <c r="Q12" s="3" t="b">
        <f>P12 &gt; 0</f>
        <v>0</v>
      </c>
      <c r="R12" s="3" t="b">
        <f>AND(I12, NOT(Q12))</f>
        <v>0</v>
      </c>
      <c r="S12" s="3">
        <f>_xlfn.IFNA(INDEX(Steps!N2:N999, MATCH(E12,Steps!A2:A999, 0)), "")</f>
        <v>1</v>
      </c>
      <c r="T12" s="3" t="b">
        <f>S12 &gt; 0</f>
        <v>1</v>
      </c>
      <c r="U12" s="3" t="b">
        <f>AND(R12, T12)</f>
        <v>0</v>
      </c>
      <c r="V12" s="3" t="str">
        <f>IF(U12, C12, "")</f>
      </c>
      <c r="W12" s="2" t="s">
        <v>631</v>
      </c>
    </row>
    <row r="13">
      <c r="A13" s="2" t="s">
        <v>642</v>
      </c>
      <c r="B13" s="3" t="str">
        <f>D13 &amp; " -&gt; " &amp; E13</f>
        <v>policy-05 -&gt; policy-06</v>
      </c>
      <c r="C13" s="2" t="s">
        <v>375</v>
      </c>
      <c r="D13" s="2" t="s">
        <v>591</v>
      </c>
      <c r="E13" s="2" t="s">
        <v>594</v>
      </c>
      <c r="F13" s="2" t="s">
        <v>629</v>
      </c>
      <c r="G13" s="2" t="s">
        <v>630</v>
      </c>
      <c r="H13" s="7">
        <v>1</v>
      </c>
      <c r="I13" s="3" t="b">
        <f>OR(F13 = "Fallback", F13 = "Alternative")</f>
        <v>0</v>
      </c>
      <c r="J13" s="5">
        <f>COUNTIFS(StepExecutions!D2:D999,D13)</f>
        <v>0</v>
      </c>
      <c r="K13" s="5">
        <f>COUNTIFS(StepExecutions!D2:D999,E13)</f>
        <v>0</v>
      </c>
      <c r="L13" s="3" t="b">
        <f>J13 &gt; 0</f>
        <v>0</v>
      </c>
      <c r="M13" s="3" t="b">
        <f>K13 &gt; 0</f>
        <v>0</v>
      </c>
      <c r="N13" s="3" t="b">
        <f>NOT(AND(L13, M13))</f>
        <v>1</v>
      </c>
      <c r="O13" s="3" t="b">
        <f>AND(I13, N13)</f>
        <v>0</v>
      </c>
      <c r="P13" s="5">
        <f>COUNTIFS(ObservedTransitions!D2:D999,A13)</f>
        <v>0</v>
      </c>
      <c r="Q13" s="3" t="b">
        <f>P13 &gt; 0</f>
        <v>0</v>
      </c>
      <c r="R13" s="3" t="b">
        <f>AND(I13, NOT(Q13))</f>
        <v>0</v>
      </c>
      <c r="S13" s="3">
        <f>_xlfn.IFNA(INDEX(Steps!N2:N999, MATCH(E13,Steps!A2:A999, 0)), "")</f>
        <v>1</v>
      </c>
      <c r="T13" s="3" t="b">
        <f>S13 &gt; 0</f>
        <v>1</v>
      </c>
      <c r="U13" s="3" t="b">
        <f>AND(R13, T13)</f>
        <v>0</v>
      </c>
      <c r="V13" s="3" t="str">
        <f>IF(U13, C13, "")</f>
      </c>
      <c r="W13" s="2" t="s">
        <v>631</v>
      </c>
    </row>
    <row r="14">
      <c r="A14" s="2" t="s">
        <v>643</v>
      </c>
      <c r="B14" s="3" t="str">
        <f>D14 &amp; " -&gt; " &amp; E14</f>
        <v>policy-06 -&gt; policy-07</v>
      </c>
      <c r="C14" s="2" t="s">
        <v>375</v>
      </c>
      <c r="D14" s="2" t="s">
        <v>594</v>
      </c>
      <c r="E14" s="2" t="s">
        <v>597</v>
      </c>
      <c r="F14" s="2" t="s">
        <v>629</v>
      </c>
      <c r="G14" s="2" t="s">
        <v>630</v>
      </c>
      <c r="H14" s="7">
        <v>1</v>
      </c>
      <c r="I14" s="3" t="b">
        <f>OR(F14 = "Fallback", F14 = "Alternative")</f>
        <v>0</v>
      </c>
      <c r="J14" s="5">
        <f>COUNTIFS(StepExecutions!D2:D999,D14)</f>
        <v>0</v>
      </c>
      <c r="K14" s="5">
        <f>COUNTIFS(StepExecutions!D2:D999,E14)</f>
        <v>0</v>
      </c>
      <c r="L14" s="3" t="b">
        <f>J14 &gt; 0</f>
        <v>0</v>
      </c>
      <c r="M14" s="3" t="b">
        <f>K14 &gt; 0</f>
        <v>0</v>
      </c>
      <c r="N14" s="3" t="b">
        <f>NOT(AND(L14, M14))</f>
        <v>1</v>
      </c>
      <c r="O14" s="3" t="b">
        <f>AND(I14, N14)</f>
        <v>0</v>
      </c>
      <c r="P14" s="5">
        <f>COUNTIFS(ObservedTransitions!D2:D999,A14)</f>
        <v>0</v>
      </c>
      <c r="Q14" s="3" t="b">
        <f>P14 &gt; 0</f>
        <v>0</v>
      </c>
      <c r="R14" s="3" t="b">
        <f>AND(I14, NOT(Q14))</f>
        <v>0</v>
      </c>
      <c r="S14" s="3">
        <f>_xlfn.IFNA(INDEX(Steps!N2:N999, MATCH(E14,Steps!A2:A999, 0)), "")</f>
        <v>4</v>
      </c>
      <c r="T14" s="3" t="b">
        <f>S14 &gt; 0</f>
        <v>1</v>
      </c>
      <c r="U14" s="3" t="b">
        <f>AND(R14, T14)</f>
        <v>0</v>
      </c>
      <c r="V14" s="3" t="str">
        <f>IF(U14, C14, "")</f>
      </c>
      <c r="W14" s="2" t="s">
        <v>631</v>
      </c>
    </row>
    <row r="15">
      <c r="A15" s="2" t="s">
        <v>644</v>
      </c>
      <c r="B15" s="3" t="str">
        <f>D15 &amp; " -&gt; " &amp; E15</f>
        <v>policy-07 -&gt; policy-08</v>
      </c>
      <c r="C15" s="2" t="s">
        <v>375</v>
      </c>
      <c r="D15" s="2" t="s">
        <v>597</v>
      </c>
      <c r="E15" s="2" t="s">
        <v>600</v>
      </c>
      <c r="F15" s="2" t="s">
        <v>629</v>
      </c>
      <c r="G15" s="2" t="s">
        <v>630</v>
      </c>
      <c r="H15" s="7">
        <v>1</v>
      </c>
      <c r="I15" s="3" t="b">
        <f>OR(F15 = "Fallback", F15 = "Alternative")</f>
        <v>0</v>
      </c>
      <c r="J15" s="5">
        <f>COUNTIFS(StepExecutions!D2:D999,D15)</f>
        <v>0</v>
      </c>
      <c r="K15" s="5">
        <f>COUNTIFS(StepExecutions!D2:D999,E15)</f>
        <v>0</v>
      </c>
      <c r="L15" s="3" t="b">
        <f>J15 &gt; 0</f>
        <v>0</v>
      </c>
      <c r="M15" s="3" t="b">
        <f>K15 &gt; 0</f>
        <v>0</v>
      </c>
      <c r="N15" s="3" t="b">
        <f>NOT(AND(L15, M15))</f>
        <v>1</v>
      </c>
      <c r="O15" s="3" t="b">
        <f>AND(I15, N15)</f>
        <v>0</v>
      </c>
      <c r="P15" s="5">
        <f>COUNTIFS(ObservedTransitions!D2:D999,A15)</f>
        <v>0</v>
      </c>
      <c r="Q15" s="3" t="b">
        <f>P15 &gt; 0</f>
        <v>0</v>
      </c>
      <c r="R15" s="3" t="b">
        <f>AND(I15, NOT(Q15))</f>
        <v>0</v>
      </c>
      <c r="S15" s="3">
        <f>_xlfn.IFNA(INDEX(Steps!N2:N999, MATCH(E15,Steps!A2:A999, 0)), "")</f>
        <v>1</v>
      </c>
      <c r="T15" s="3" t="b">
        <f>S15 &gt; 0</f>
        <v>1</v>
      </c>
      <c r="U15" s="3" t="b">
        <f>AND(R15, T15)</f>
        <v>0</v>
      </c>
      <c r="V15" s="3" t="str">
        <f>IF(U15, C15, "")</f>
      </c>
      <c r="W15" s="2" t="s">
        <v>631</v>
      </c>
    </row>
    <row r="16">
      <c r="A16" s="2" t="s">
        <v>645</v>
      </c>
      <c r="B16" s="3" t="str">
        <f>D16 &amp; " -&gt; " &amp; E16</f>
        <v>policy-08 -&gt; policy-09</v>
      </c>
      <c r="C16" s="2" t="s">
        <v>375</v>
      </c>
      <c r="D16" s="2" t="s">
        <v>600</v>
      </c>
      <c r="E16" s="2" t="s">
        <v>604</v>
      </c>
      <c r="F16" s="2" t="s">
        <v>629</v>
      </c>
      <c r="G16" s="2" t="s">
        <v>630</v>
      </c>
      <c r="H16" s="7">
        <v>1</v>
      </c>
      <c r="I16" s="3" t="b">
        <f>OR(F16 = "Fallback", F16 = "Alternative")</f>
        <v>0</v>
      </c>
      <c r="J16" s="5">
        <f>COUNTIFS(StepExecutions!D2:D999,D16)</f>
        <v>0</v>
      </c>
      <c r="K16" s="5">
        <f>COUNTIFS(StepExecutions!D2:D999,E16)</f>
        <v>0</v>
      </c>
      <c r="L16" s="3" t="b">
        <f>J16 &gt; 0</f>
        <v>0</v>
      </c>
      <c r="M16" s="3" t="b">
        <f>K16 &gt; 0</f>
        <v>0</v>
      </c>
      <c r="N16" s="3" t="b">
        <f>NOT(AND(L16, M16))</f>
        <v>1</v>
      </c>
      <c r="O16" s="3" t="b">
        <f>AND(I16, N16)</f>
        <v>0</v>
      </c>
      <c r="P16" s="5">
        <f>COUNTIFS(ObservedTransitions!D2:D999,A16)</f>
        <v>0</v>
      </c>
      <c r="Q16" s="3" t="b">
        <f>P16 &gt; 0</f>
        <v>0</v>
      </c>
      <c r="R16" s="3" t="b">
        <f>AND(I16, NOT(Q16))</f>
        <v>0</v>
      </c>
      <c r="S16" s="3">
        <f>_xlfn.IFNA(INDEX(Steps!N2:N999, MATCH(E16,Steps!A2:A999, 0)), "")</f>
        <v>0</v>
      </c>
      <c r="T16" s="3" t="b">
        <f>S16 &gt; 0</f>
        <v>0</v>
      </c>
      <c r="U16" s="3" t="b">
        <f>AND(R16, T16)</f>
        <v>0</v>
      </c>
      <c r="V16" s="3" t="str">
        <f>IF(U16, C16, "")</f>
      </c>
      <c r="W16" s="2" t="s">
        <v>631</v>
      </c>
    </row>
    <row r="17">
      <c r="A17" s="2" t="s">
        <v>646</v>
      </c>
      <c r="B17" s="3" t="str">
        <f>D17 &amp; " -&gt; " &amp; E17</f>
        <v>close-04 -&gt; close-03</v>
      </c>
      <c r="C17" s="2" t="s">
        <v>369</v>
      </c>
      <c r="D17" s="2" t="s">
        <v>554</v>
      </c>
      <c r="E17" s="2" t="s">
        <v>547</v>
      </c>
      <c r="F17" s="2" t="s">
        <v>647</v>
      </c>
      <c r="G17" s="2" t="s">
        <v>648</v>
      </c>
      <c r="H17" s="7">
        <v>2</v>
      </c>
      <c r="I17" s="3" t="b">
        <f>OR(F17 = "Fallback", F17 = "Alternative")</f>
        <v>1</v>
      </c>
      <c r="J17" s="5">
        <f>COUNTIFS(StepExecutions!D2:D999,D17)</f>
        <v>1</v>
      </c>
      <c r="K17" s="5">
        <f>COUNTIFS(StepExecutions!D2:D999,E17)</f>
        <v>1</v>
      </c>
      <c r="L17" s="3" t="b">
        <f>J17 &gt; 0</f>
        <v>1</v>
      </c>
      <c r="M17" s="3" t="b">
        <f>K17 &gt; 0</f>
        <v>1</v>
      </c>
      <c r="N17" s="3" t="b">
        <f>NOT(AND(L17, M17))</f>
        <v>0</v>
      </c>
      <c r="O17" s="3" t="b">
        <f>AND(I17, N17)</f>
        <v>0</v>
      </c>
      <c r="P17" s="5">
        <f>COUNTIFS(ObservedTransitions!D2:D999,A17)</f>
        <v>0</v>
      </c>
      <c r="Q17" s="3" t="b">
        <f>P17 &gt; 0</f>
        <v>0</v>
      </c>
      <c r="R17" s="3" t="b">
        <f>AND(I17, NOT(Q17))</f>
        <v>1</v>
      </c>
      <c r="S17" s="3">
        <f>_xlfn.IFNA(INDEX(Steps!N2:N999, MATCH(E17,Steps!A2:A999, 0)), "")</f>
        <v>2</v>
      </c>
      <c r="T17" s="3" t="b">
        <f>S17 &gt; 0</f>
        <v>1</v>
      </c>
      <c r="U17" s="3" t="b">
        <f>AND(R17, T17)</f>
        <v>1</v>
      </c>
      <c r="V17" s="3" t="str">
        <f>IF(U17, C17, "")</f>
        <v>close-v1.1.0</v>
      </c>
      <c r="W17" s="2" t="s">
        <v>631</v>
      </c>
    </row>
    <row r="18">
      <c r="A18" s="2" t="s">
        <v>649</v>
      </c>
      <c r="B18" s="3" t="str">
        <f>D18 &amp; " -&gt; " &amp; E18</f>
        <v>close-06 -&gt; close-04</v>
      </c>
      <c r="C18" s="2" t="s">
        <v>369</v>
      </c>
      <c r="D18" s="2" t="s">
        <v>563</v>
      </c>
      <c r="E18" s="2" t="s">
        <v>554</v>
      </c>
      <c r="F18" s="2" t="s">
        <v>650</v>
      </c>
      <c r="G18" s="2" t="s">
        <v>651</v>
      </c>
      <c r="H18" s="7">
        <v>2</v>
      </c>
      <c r="I18" s="3" t="b">
        <f>OR(F18 = "Fallback", F18 = "Alternative")</f>
        <v>1</v>
      </c>
      <c r="J18" s="5">
        <f>COUNTIFS(StepExecutions!D2:D999,D18)</f>
        <v>1</v>
      </c>
      <c r="K18" s="5">
        <f>COUNTIFS(StepExecutions!D2:D999,E18)</f>
        <v>1</v>
      </c>
      <c r="L18" s="3" t="b">
        <f>J18 &gt; 0</f>
        <v>1</v>
      </c>
      <c r="M18" s="3" t="b">
        <f>K18 &gt; 0</f>
        <v>1</v>
      </c>
      <c r="N18" s="3" t="b">
        <f>NOT(AND(L18, M18))</f>
        <v>0</v>
      </c>
      <c r="O18" s="3" t="b">
        <f>AND(I18, N18)</f>
        <v>0</v>
      </c>
      <c r="P18" s="5">
        <f>COUNTIFS(ObservedTransitions!D2:D999,A18)</f>
        <v>0</v>
      </c>
      <c r="Q18" s="3" t="b">
        <f>P18 &gt; 0</f>
        <v>0</v>
      </c>
      <c r="R18" s="3" t="b">
        <f>AND(I18, NOT(Q18))</f>
        <v>1</v>
      </c>
      <c r="S18" s="3">
        <f>_xlfn.IFNA(INDEX(Steps!N2:N999, MATCH(E18,Steps!A2:A999, 0)), "")</f>
        <v>0</v>
      </c>
      <c r="T18" s="3" t="b">
        <f>S18 &gt; 0</f>
        <v>0</v>
      </c>
      <c r="U18" s="3" t="b">
        <f>AND(R18, T18)</f>
        <v>0</v>
      </c>
      <c r="V18" s="3" t="str">
        <f>IF(U18, C18, "")</f>
      </c>
      <c r="W18" s="2" t="s">
        <v>631</v>
      </c>
    </row>
    <row r="19">
      <c r="A19" s="2" t="s">
        <v>652</v>
      </c>
      <c r="B19" s="3" t="str">
        <f>D19 &amp; " -&gt; " &amp; E19</f>
        <v>policy-04 -&gt; policy-03</v>
      </c>
      <c r="C19" s="2" t="s">
        <v>375</v>
      </c>
      <c r="D19" s="2" t="s">
        <v>587</v>
      </c>
      <c r="E19" s="2" t="s">
        <v>584</v>
      </c>
      <c r="F19" s="2" t="s">
        <v>650</v>
      </c>
      <c r="G19" s="2" t="s">
        <v>653</v>
      </c>
      <c r="H19" s="7">
        <v>2</v>
      </c>
      <c r="I19" s="3" t="b">
        <f>OR(F19 = "Fallback", F19 = "Alternative")</f>
        <v>1</v>
      </c>
      <c r="J19" s="5">
        <f>COUNTIFS(StepExecutions!D2:D999,D19)</f>
        <v>1</v>
      </c>
      <c r="K19" s="5">
        <f>COUNTIFS(StepExecutions!D2:D999,E19)</f>
        <v>1</v>
      </c>
      <c r="L19" s="3" t="b">
        <f>J19 &gt; 0</f>
        <v>1</v>
      </c>
      <c r="M19" s="3" t="b">
        <f>K19 &gt; 0</f>
        <v>1</v>
      </c>
      <c r="N19" s="3" t="b">
        <f>NOT(AND(L19, M19))</f>
        <v>0</v>
      </c>
      <c r="O19" s="3" t="b">
        <f>AND(I19, N19)</f>
        <v>0</v>
      </c>
      <c r="P19" s="5">
        <f>COUNTIFS(ObservedTransitions!D2:D999,A19)</f>
        <v>0</v>
      </c>
      <c r="Q19" s="3" t="b">
        <f>P19 &gt; 0</f>
        <v>0</v>
      </c>
      <c r="R19" s="3" t="b">
        <f>AND(I19, NOT(Q19))</f>
        <v>1</v>
      </c>
      <c r="S19" s="3">
        <f>_xlfn.IFNA(INDEX(Steps!N2:N999, MATCH(E19,Steps!A2:A999, 0)), "")</f>
        <v>1</v>
      </c>
      <c r="T19" s="3" t="b">
        <f>S19 &gt; 0</f>
        <v>1</v>
      </c>
      <c r="U19" s="3" t="b">
        <f>AND(R19, T19)</f>
        <v>1</v>
      </c>
      <c r="V19" s="3" t="str">
        <f>IF(U19, C19, "")</f>
        <v>policy-v1.0.0</v>
      </c>
      <c r="W19" s="2" t="s">
        <v>631</v>
      </c>
    </row>
    <row r="20">
      <c r="A20" s="2" t="s">
        <v>654</v>
      </c>
      <c r="B20" s="3" t="str">
        <f>D20 &amp; " -&gt; " &amp; E20</f>
        <v>policy-07 -&gt; policy-06</v>
      </c>
      <c r="C20" s="2" t="s">
        <v>375</v>
      </c>
      <c r="D20" s="2" t="s">
        <v>597</v>
      </c>
      <c r="E20" s="2" t="s">
        <v>594</v>
      </c>
      <c r="F20" s="2" t="s">
        <v>647</v>
      </c>
      <c r="G20" s="2" t="s">
        <v>655</v>
      </c>
      <c r="H20" s="7">
        <v>2</v>
      </c>
      <c r="I20" s="3" t="b">
        <f>OR(F20 = "Fallback", F20 = "Alternative")</f>
        <v>1</v>
      </c>
      <c r="J20" s="5">
        <f>COUNTIFS(StepExecutions!D2:D999,D20)</f>
        <v>0</v>
      </c>
      <c r="K20" s="5">
        <f>COUNTIFS(StepExecutions!D2:D999,E20)</f>
        <v>0</v>
      </c>
      <c r="L20" s="3" t="b">
        <f>J20 &gt; 0</f>
        <v>0</v>
      </c>
      <c r="M20" s="3" t="b">
        <f>K20 &gt; 0</f>
        <v>0</v>
      </c>
      <c r="N20" s="3" t="b">
        <f>NOT(AND(L20, M20))</f>
        <v>1</v>
      </c>
      <c r="O20" s="3" t="b">
        <f>AND(I20, N20)</f>
        <v>1</v>
      </c>
      <c r="P20" s="5">
        <f>COUNTIFS(ObservedTransitions!D2:D999,A20)</f>
        <v>0</v>
      </c>
      <c r="Q20" s="3" t="b">
        <f>P20 &gt; 0</f>
        <v>0</v>
      </c>
      <c r="R20" s="3" t="b">
        <f>AND(I20, NOT(Q20))</f>
        <v>1</v>
      </c>
      <c r="S20" s="3">
        <f>_xlfn.IFNA(INDEX(Steps!N2:N999, MATCH(E20,Steps!A2:A999, 0)), "")</f>
        <v>1</v>
      </c>
      <c r="T20" s="3" t="b">
        <f>S20 &gt; 0</f>
        <v>1</v>
      </c>
      <c r="U20" s="3" t="b">
        <f>AND(R20, T20)</f>
        <v>1</v>
      </c>
      <c r="V20" s="3" t="str">
        <f>IF(U20, C20, "")</f>
        <v>policy-v1.0.0</v>
      </c>
      <c r="W20" s="2" t="s">
        <v>631</v>
      </c>
    </row>
  </sheetData>
  <autoFilter ref="A1:W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0"/>
  <sheetViews>
    <sheetView workbookViewId="0">
      <pane ySplit="1" topLeftCell="A2" state="frozen" activePane="bottomLeft"/>
      <selection pane="bottomLeft" activeCell="A1" sqref="A1"/>
    </sheetView>
  </sheetViews>
  <sheetFormatPr defaultRowHeight="15"/>
  <cols>
    <col min="1" max="1" width="21.72210121154785" customWidth="1"/>
    <col min="2" max="2" width="27.573198318481445" customWidth="1"/>
    <col min="3" max="3" width="27.573198318481445" customWidth="1"/>
    <col min="4" max="4" width="77.01494598388672" customWidth="1"/>
    <col min="5" max="5" width="27.604047775268555" customWidth="1"/>
  </cols>
  <sheetData>
    <row r="1">
      <c r="A1" s="1" t="s">
        <v>656</v>
      </c>
      <c r="B1" s="1" t="s">
        <v>1</v>
      </c>
      <c r="C1" s="1" t="s">
        <v>19</v>
      </c>
      <c r="D1" s="1" t="s">
        <v>349</v>
      </c>
      <c r="E1" s="1" t="s">
        <v>94</v>
      </c>
    </row>
    <row r="2">
      <c r="A2" s="2" t="s">
        <v>657</v>
      </c>
      <c r="B2" s="3" t="str">
        <f>C2</f>
        <v>Freeze ledgers</v>
      </c>
      <c r="C2" s="2" t="s">
        <v>658</v>
      </c>
      <c r="D2" s="2" t="s">
        <v>659</v>
      </c>
      <c r="E2" s="2" t="s">
        <v>660</v>
      </c>
    </row>
    <row r="3">
      <c r="A3" s="2" t="s">
        <v>661</v>
      </c>
      <c r="B3" s="3" t="str">
        <f>C3</f>
        <v>Reconcile account</v>
      </c>
      <c r="C3" s="2" t="s">
        <v>662</v>
      </c>
      <c r="D3" s="2" t="s">
        <v>663</v>
      </c>
      <c r="E3" s="2" t="s">
        <v>660</v>
      </c>
    </row>
    <row r="4">
      <c r="A4" s="2" t="s">
        <v>664</v>
      </c>
      <c r="B4" s="3" t="str">
        <f>C4</f>
        <v>Investigate variance</v>
      </c>
      <c r="C4" s="2" t="s">
        <v>665</v>
      </c>
      <c r="D4" s="2" t="s">
        <v>666</v>
      </c>
      <c r="E4" s="2" t="s">
        <v>660</v>
      </c>
    </row>
    <row r="5">
      <c r="A5" s="2" t="s">
        <v>667</v>
      </c>
      <c r="B5" s="3" t="str">
        <f>C5</f>
        <v>Review close package</v>
      </c>
      <c r="C5" s="2" t="s">
        <v>668</v>
      </c>
      <c r="D5" s="2" t="s">
        <v>669</v>
      </c>
      <c r="E5" s="2" t="s">
        <v>660</v>
      </c>
    </row>
    <row r="6">
      <c r="A6" s="2" t="s">
        <v>670</v>
      </c>
      <c r="B6" s="3" t="str">
        <f>C6</f>
        <v>Approve close</v>
      </c>
      <c r="C6" s="2" t="s">
        <v>671</v>
      </c>
      <c r="D6" s="2" t="s">
        <v>672</v>
      </c>
      <c r="E6" s="2" t="s">
        <v>660</v>
      </c>
    </row>
    <row r="7">
      <c r="A7" s="2" t="s">
        <v>673</v>
      </c>
      <c r="B7" s="3" t="str">
        <f>C7</f>
        <v>Interview practitioner</v>
      </c>
      <c r="C7" s="2" t="s">
        <v>674</v>
      </c>
      <c r="D7" s="2" t="s">
        <v>675</v>
      </c>
      <c r="E7" s="2" t="s">
        <v>660</v>
      </c>
    </row>
    <row r="8">
      <c r="A8" s="2" t="s">
        <v>676</v>
      </c>
      <c r="B8" s="3" t="str">
        <f>C8</f>
        <v>Review employment policy</v>
      </c>
      <c r="C8" s="2" t="s">
        <v>677</v>
      </c>
      <c r="D8" s="2" t="s">
        <v>678</v>
      </c>
      <c r="E8" s="2" t="s">
        <v>660</v>
      </c>
    </row>
    <row r="9">
      <c r="A9" s="2" t="s">
        <v>679</v>
      </c>
      <c r="B9" s="3" t="str">
        <f>C9</f>
        <v>Approve employment policy</v>
      </c>
      <c r="C9" s="2" t="s">
        <v>680</v>
      </c>
      <c r="D9" s="2" t="s">
        <v>681</v>
      </c>
      <c r="E9" s="2" t="s">
        <v>660</v>
      </c>
    </row>
    <row r="10">
      <c r="A10" s="2" t="s">
        <v>682</v>
      </c>
      <c r="B10" s="3" t="str">
        <f>C10</f>
        <v>Review procedural feedback</v>
      </c>
      <c r="C10" s="2" t="s">
        <v>683</v>
      </c>
      <c r="D10" s="2" t="s">
        <v>684</v>
      </c>
      <c r="E10" s="2" t="s">
        <v>660</v>
      </c>
    </row>
  </sheetData>
  <autoFilter ref="A1:E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5.089616775512695" customWidth="1"/>
    <col min="2" max="2" width="25.202529907226562" customWidth="1"/>
    <col min="3" max="3" width="25.202529907226562" customWidth="1"/>
    <col min="4" max="4" width="75.84587097167969" customWidth="1"/>
    <col min="5" max="5" width="29.511524200439453" customWidth="1"/>
    <col min="6" max="6" width="29.5372371673584" customWidth="1"/>
  </cols>
  <sheetData>
    <row r="1">
      <c r="A1" s="1" t="s">
        <v>685</v>
      </c>
      <c r="B1" s="1" t="s">
        <v>1</v>
      </c>
      <c r="C1" s="1" t="s">
        <v>19</v>
      </c>
      <c r="D1" s="1" t="s">
        <v>349</v>
      </c>
      <c r="E1" s="1" t="s">
        <v>686</v>
      </c>
      <c r="F1" s="1" t="s">
        <v>94</v>
      </c>
    </row>
    <row r="2">
      <c r="A2" s="2" t="s">
        <v>687</v>
      </c>
      <c r="B2" s="3" t="str">
        <f>C2</f>
        <v>Extract trial balance</v>
      </c>
      <c r="C2" s="2" t="s">
        <v>688</v>
      </c>
      <c r="D2" s="2" t="s">
        <v>689</v>
      </c>
      <c r="E2" s="2" t="s">
        <v>690</v>
      </c>
      <c r="F2" s="2" t="s">
        <v>691</v>
      </c>
    </row>
    <row r="3">
      <c r="A3" s="2" t="s">
        <v>692</v>
      </c>
      <c r="B3" s="3" t="str">
        <f>C3</f>
        <v>Classify variance</v>
      </c>
      <c r="C3" s="2" t="s">
        <v>693</v>
      </c>
      <c r="D3" s="2" t="s">
        <v>694</v>
      </c>
      <c r="E3" s="2" t="s">
        <v>695</v>
      </c>
      <c r="F3" s="2" t="s">
        <v>691</v>
      </c>
    </row>
    <row r="4">
      <c r="A4" s="2" t="s">
        <v>696</v>
      </c>
      <c r="B4" s="3" t="str">
        <f>C4</f>
        <v>Post close entries</v>
      </c>
      <c r="C4" s="2" t="s">
        <v>697</v>
      </c>
      <c r="D4" s="2" t="s">
        <v>698</v>
      </c>
      <c r="E4" s="2" t="s">
        <v>699</v>
      </c>
      <c r="F4" s="2" t="s">
        <v>691</v>
      </c>
    </row>
    <row r="5">
      <c r="A5" s="2" t="s">
        <v>700</v>
      </c>
      <c r="B5" s="3" t="str">
        <f>C5</f>
        <v>Draft policy</v>
      </c>
      <c r="C5" s="2" t="s">
        <v>701</v>
      </c>
      <c r="D5" s="2" t="s">
        <v>702</v>
      </c>
      <c r="E5" s="2" t="s">
        <v>703</v>
      </c>
      <c r="F5" s="2" t="s">
        <v>691</v>
      </c>
    </row>
    <row r="6">
      <c r="A6" s="2" t="s">
        <v>704</v>
      </c>
      <c r="B6" s="3" t="str">
        <f>C6</f>
        <v>Render email</v>
      </c>
      <c r="C6" s="2" t="s">
        <v>705</v>
      </c>
      <c r="D6" s="2" t="s">
        <v>706</v>
      </c>
      <c r="E6" s="2" t="s">
        <v>707</v>
      </c>
      <c r="F6" s="2" t="s">
        <v>691</v>
      </c>
    </row>
    <row r="7">
      <c r="A7" s="2" t="s">
        <v>708</v>
      </c>
      <c r="B7" s="3" t="str">
        <f>C7</f>
        <v>Render SMS</v>
      </c>
      <c r="C7" s="2" t="s">
        <v>709</v>
      </c>
      <c r="D7" s="2" t="s">
        <v>710</v>
      </c>
      <c r="E7" s="2" t="s">
        <v>711</v>
      </c>
      <c r="F7" s="2" t="s">
        <v>691</v>
      </c>
    </row>
    <row r="8">
      <c r="A8" s="2" t="s">
        <v>712</v>
      </c>
      <c r="B8" s="3" t="str">
        <f>C8</f>
        <v>Send notification</v>
      </c>
      <c r="C8" s="2" t="s">
        <v>713</v>
      </c>
      <c r="D8" s="2" t="s">
        <v>714</v>
      </c>
      <c r="E8" s="2" t="s">
        <v>715</v>
      </c>
      <c r="F8" s="2" t="s">
        <v>691</v>
      </c>
    </row>
    <row r="9">
      <c r="A9" s="2" t="s">
        <v>716</v>
      </c>
      <c r="B9" s="3" t="str">
        <f>C9</f>
        <v>Collect acknowledgement</v>
      </c>
      <c r="C9" s="2" t="s">
        <v>717</v>
      </c>
      <c r="D9" s="2" t="s">
        <v>718</v>
      </c>
      <c r="E9" s="2" t="s">
        <v>719</v>
      </c>
      <c r="F9" s="2" t="s">
        <v>691</v>
      </c>
    </row>
  </sheetData>
  <autoFilter ref="A1:F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9"/>
  <sheetViews>
    <sheetView workbookViewId="0">
      <pane ySplit="1" topLeftCell="A2" state="frozen" activePane="bottomLeft"/>
      <selection pane="bottomLeft" activeCell="A1" sqref="A1"/>
    </sheetView>
  </sheetViews>
  <sheetFormatPr defaultRowHeight="15"/>
  <cols>
    <col min="1" max="1" width="24.35968589782715" customWidth="1"/>
    <col min="2" max="2" width="27.031147003173828" customWidth="1"/>
    <col min="3" max="3" width="27.031147003173828" customWidth="1"/>
    <col min="4" max="4" width="40.63338088989258" customWidth="1"/>
    <col min="5" max="5" width="43.01316452026367" customWidth="1"/>
  </cols>
  <sheetData>
    <row r="1">
      <c r="A1" s="1" t="s">
        <v>720</v>
      </c>
      <c r="B1" s="1" t="s">
        <v>1</v>
      </c>
      <c r="C1" s="1" t="s">
        <v>19</v>
      </c>
      <c r="D1" s="1" t="s">
        <v>327</v>
      </c>
      <c r="E1" s="1" t="s">
        <v>94</v>
      </c>
    </row>
    <row r="2">
      <c r="A2" s="2" t="s">
        <v>721</v>
      </c>
      <c r="B2" s="3" t="str">
        <f>C2</f>
        <v>ERP General Ledger</v>
      </c>
      <c r="C2" s="2" t="s">
        <v>722</v>
      </c>
      <c r="D2" s="2" t="s">
        <v>723</v>
      </c>
      <c r="E2" s="2" t="s">
        <v>724</v>
      </c>
    </row>
    <row r="3">
      <c r="A3" s="2" t="s">
        <v>725</v>
      </c>
      <c r="B3" s="3" t="str">
        <f>C3</f>
        <v>Close Workpaper Workbook</v>
      </c>
      <c r="C3" s="2" t="s">
        <v>726</v>
      </c>
      <c r="D3" s="2" t="s">
        <v>727</v>
      </c>
      <c r="E3" s="2" t="s">
        <v>724</v>
      </c>
    </row>
    <row r="4">
      <c r="A4" s="2" t="s">
        <v>728</v>
      </c>
      <c r="B4" s="3" t="str">
        <f>C4</f>
        <v>Variance AI Console</v>
      </c>
      <c r="C4" s="2" t="s">
        <v>729</v>
      </c>
      <c r="D4" s="2" t="s">
        <v>730</v>
      </c>
      <c r="E4" s="2" t="s">
        <v>724</v>
      </c>
    </row>
    <row r="5">
      <c r="A5" s="2" t="s">
        <v>731</v>
      </c>
      <c r="B5" s="3" t="str">
        <f>C5</f>
        <v>Policy Registry</v>
      </c>
      <c r="C5" s="2" t="s">
        <v>732</v>
      </c>
      <c r="D5" s="2" t="s">
        <v>733</v>
      </c>
      <c r="E5" s="2" t="s">
        <v>724</v>
      </c>
    </row>
    <row r="6">
      <c r="A6" s="2" t="s">
        <v>734</v>
      </c>
      <c r="B6" s="3" t="str">
        <f>C6</f>
        <v>Employee Consent Registry</v>
      </c>
      <c r="C6" s="2" t="s">
        <v>735</v>
      </c>
      <c r="D6" s="2" t="s">
        <v>736</v>
      </c>
      <c r="E6" s="2" t="s">
        <v>724</v>
      </c>
    </row>
    <row r="7">
      <c r="A7" s="2" t="s">
        <v>737</v>
      </c>
      <c r="B7" s="3" t="str">
        <f>C7</f>
        <v>Email Gateway</v>
      </c>
      <c r="C7" s="2" t="s">
        <v>738</v>
      </c>
      <c r="D7" s="2" t="s">
        <v>739</v>
      </c>
      <c r="E7" s="2" t="s">
        <v>724</v>
      </c>
    </row>
    <row r="8">
      <c r="A8" s="2" t="s">
        <v>740</v>
      </c>
      <c r="B8" s="3" t="str">
        <f>C8</f>
        <v>SMS Gateway</v>
      </c>
      <c r="C8" s="2" t="s">
        <v>741</v>
      </c>
      <c r="D8" s="2" t="s">
        <v>742</v>
      </c>
      <c r="E8" s="2" t="s">
        <v>724</v>
      </c>
    </row>
    <row r="9">
      <c r="A9" s="2" t="s">
        <v>743</v>
      </c>
      <c r="B9" s="3" t="str">
        <f>C9</f>
        <v>Knowledge Capture Form</v>
      </c>
      <c r="C9" s="2" t="s">
        <v>744</v>
      </c>
      <c r="D9" s="2" t="s">
        <v>745</v>
      </c>
      <c r="E9" s="2" t="s">
        <v>724</v>
      </c>
    </row>
  </sheetData>
  <autoFilter ref="A1:E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0"/>
  <sheetViews>
    <sheetView workbookViewId="0">
      <pane ySplit="1" topLeftCell="A2" state="frozen" activePane="bottomLeft"/>
      <selection pane="bottomLeft" activeCell="A1" sqref="A1"/>
    </sheetView>
  </sheetViews>
  <sheetFormatPr defaultRowHeight="15"/>
  <cols>
    <col min="1" max="1" width="17.443378448486328" customWidth="1"/>
    <col min="2" max="2" width="31.586328506469727" customWidth="1"/>
    <col min="3" max="3" width="17.443378448486328" customWidth="1"/>
    <col min="4" max="4" width="21.72210121154785" customWidth="1"/>
  </cols>
  <sheetData>
    <row r="1">
      <c r="A1" s="1" t="s">
        <v>746</v>
      </c>
      <c r="B1" s="1" t="s">
        <v>1</v>
      </c>
      <c r="C1" s="1" t="s">
        <v>747</v>
      </c>
      <c r="D1" s="1" t="s">
        <v>748</v>
      </c>
    </row>
    <row r="2">
      <c r="A2" s="2" t="s">
        <v>749</v>
      </c>
      <c r="B2" s="3" t="str">
        <f>C2 &amp; " / " &amp; D2</f>
        <v>close-01 / freeze-ledgers</v>
      </c>
      <c r="C2" s="2" t="s">
        <v>535</v>
      </c>
      <c r="D2" s="2" t="s">
        <v>657</v>
      </c>
    </row>
    <row r="3">
      <c r="A3" s="2" t="s">
        <v>750</v>
      </c>
      <c r="B3" s="3" t="str">
        <f>C3 &amp; " / " &amp; D3</f>
        <v>close-03 / reconcile-account</v>
      </c>
      <c r="C3" s="2" t="s">
        <v>547</v>
      </c>
      <c r="D3" s="2" t="s">
        <v>661</v>
      </c>
    </row>
    <row r="4">
      <c r="A4" s="2" t="s">
        <v>751</v>
      </c>
      <c r="B4" s="3" t="str">
        <f>C4 &amp; " / " &amp; D4</f>
        <v>close-04 / investigate-variance</v>
      </c>
      <c r="C4" s="2" t="s">
        <v>554</v>
      </c>
      <c r="D4" s="2" t="s">
        <v>664</v>
      </c>
    </row>
    <row r="5">
      <c r="A5" s="2" t="s">
        <v>752</v>
      </c>
      <c r="B5" s="3" t="str">
        <f>C5 &amp; " / " &amp; D5</f>
        <v>close-05 / review-close-package</v>
      </c>
      <c r="C5" s="2" t="s">
        <v>559</v>
      </c>
      <c r="D5" s="2" t="s">
        <v>667</v>
      </c>
    </row>
    <row r="6">
      <c r="A6" s="2" t="s">
        <v>753</v>
      </c>
      <c r="B6" s="3" t="str">
        <f>C6 &amp; " / " &amp; D6</f>
        <v>close-06 / approve-close</v>
      </c>
      <c r="C6" s="2" t="s">
        <v>563</v>
      </c>
      <c r="D6" s="2" t="s">
        <v>670</v>
      </c>
    </row>
    <row r="7">
      <c r="A7" s="2" t="s">
        <v>754</v>
      </c>
      <c r="B7" s="3" t="str">
        <f>C7 &amp; " / " &amp; D7</f>
        <v>policy-02 / interview-practitioner</v>
      </c>
      <c r="C7" s="2" t="s">
        <v>581</v>
      </c>
      <c r="D7" s="2" t="s">
        <v>673</v>
      </c>
    </row>
    <row r="8">
      <c r="A8" s="2" t="s">
        <v>755</v>
      </c>
      <c r="B8" s="3" t="str">
        <f>C8 &amp; " / " &amp; D8</f>
        <v>policy-04 / review-policy</v>
      </c>
      <c r="C8" s="2" t="s">
        <v>587</v>
      </c>
      <c r="D8" s="2" t="s">
        <v>676</v>
      </c>
    </row>
    <row r="9">
      <c r="A9" s="2" t="s">
        <v>756</v>
      </c>
      <c r="B9" s="3" t="str">
        <f>C9 &amp; " / " &amp; D9</f>
        <v>policy-05 / approve-policy</v>
      </c>
      <c r="C9" s="2" t="s">
        <v>591</v>
      </c>
      <c r="D9" s="2" t="s">
        <v>679</v>
      </c>
    </row>
    <row r="10">
      <c r="A10" s="2" t="s">
        <v>757</v>
      </c>
      <c r="B10" s="3" t="str">
        <f>C10 &amp; " / " &amp; D10</f>
        <v>policy-09 / review-feedback</v>
      </c>
      <c r="C10" s="2" t="s">
        <v>604</v>
      </c>
      <c r="D10" s="2" t="s">
        <v>682</v>
      </c>
    </row>
  </sheetData>
  <autoFilter ref="A1:D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9"/>
  <sheetViews>
    <sheetView workbookViewId="0">
      <pane ySplit="1" topLeftCell="A2" state="frozen" activePane="bottomLeft"/>
      <selection pane="bottomLeft" activeCell="A1" sqref="A1"/>
    </sheetView>
  </sheetViews>
  <sheetFormatPr defaultRowHeight="15"/>
  <cols>
    <col min="1" max="1" width="17.686737060546875" customWidth="1"/>
    <col min="2" max="2" width="35.46518325805664" customWidth="1"/>
    <col min="3" max="3" width="17.443378448486328" customWidth="1"/>
    <col min="4" max="4" width="25.089616775512695" customWidth="1"/>
  </cols>
  <sheetData>
    <row r="1">
      <c r="A1" s="1" t="s">
        <v>758</v>
      </c>
      <c r="B1" s="1" t="s">
        <v>1</v>
      </c>
      <c r="C1" s="1" t="s">
        <v>747</v>
      </c>
      <c r="D1" s="1" t="s">
        <v>759</v>
      </c>
    </row>
    <row r="2">
      <c r="A2" s="2" t="s">
        <v>760</v>
      </c>
      <c r="B2" s="3" t="str">
        <f>C2 &amp; " / " &amp; D2</f>
        <v>close-02 / extract-trial-balance</v>
      </c>
      <c r="C2" s="2" t="s">
        <v>543</v>
      </c>
      <c r="D2" s="2" t="s">
        <v>687</v>
      </c>
    </row>
    <row r="3">
      <c r="A3" s="2" t="s">
        <v>761</v>
      </c>
      <c r="B3" s="3" t="str">
        <f>C3 &amp; " / " &amp; D3</f>
        <v>close-04 / classify-variance</v>
      </c>
      <c r="C3" s="2" t="s">
        <v>554</v>
      </c>
      <c r="D3" s="2" t="s">
        <v>692</v>
      </c>
    </row>
    <row r="4">
      <c r="A4" s="2" t="s">
        <v>762</v>
      </c>
      <c r="B4" s="3" t="str">
        <f>C4 &amp; " / " &amp; D4</f>
        <v>close-07 / post-close-entries</v>
      </c>
      <c r="C4" s="2" t="s">
        <v>568</v>
      </c>
      <c r="D4" s="2" t="s">
        <v>696</v>
      </c>
    </row>
    <row r="5">
      <c r="A5" s="2" t="s">
        <v>763</v>
      </c>
      <c r="B5" s="3" t="str">
        <f>C5 &amp; " / " &amp; D5</f>
        <v>policy-03 / draft-policy</v>
      </c>
      <c r="C5" s="2" t="s">
        <v>584</v>
      </c>
      <c r="D5" s="2" t="s">
        <v>700</v>
      </c>
    </row>
    <row r="6">
      <c r="A6" s="2" t="s">
        <v>764</v>
      </c>
      <c r="B6" s="3" t="str">
        <f>C6 &amp; " / " &amp; D6</f>
        <v>policy-06 / render-email</v>
      </c>
      <c r="C6" s="2" t="s">
        <v>594</v>
      </c>
      <c r="D6" s="2" t="s">
        <v>704</v>
      </c>
    </row>
    <row r="7">
      <c r="A7" s="2" t="s">
        <v>765</v>
      </c>
      <c r="B7" s="3" t="str">
        <f>C7 &amp; " / " &amp; D7</f>
        <v>policy-06 / render-sms</v>
      </c>
      <c r="C7" s="2" t="s">
        <v>594</v>
      </c>
      <c r="D7" s="2" t="s">
        <v>708</v>
      </c>
    </row>
    <row r="8">
      <c r="A8" s="2" t="s">
        <v>766</v>
      </c>
      <c r="B8" s="3" t="str">
        <f>C8 &amp; " / " &amp; D8</f>
        <v>policy-07 / send-notification</v>
      </c>
      <c r="C8" s="2" t="s">
        <v>597</v>
      </c>
      <c r="D8" s="2" t="s">
        <v>712</v>
      </c>
    </row>
    <row r="9">
      <c r="A9" s="2" t="s">
        <v>767</v>
      </c>
      <c r="B9" s="3" t="str">
        <f>C9 &amp; " / " &amp; D9</f>
        <v>policy-08 / collect-acknowledgement</v>
      </c>
      <c r="C9" s="2" t="s">
        <v>600</v>
      </c>
      <c r="D9" s="2" t="s">
        <v>716</v>
      </c>
    </row>
  </sheetData>
  <autoFilter ref="A1:D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1"/>
  <sheetViews>
    <sheetView workbookViewId="0">
      <pane ySplit="1" topLeftCell="A2" state="frozen" activePane="bottomLeft"/>
      <selection pane="bottomLeft" activeCell="A1" sqref="A1"/>
    </sheetView>
  </sheetViews>
  <sheetFormatPr defaultRowHeight="15"/>
  <cols>
    <col min="1" max="1" width="17.443378448486328" customWidth="1"/>
    <col min="2" max="2" width="34.66645812988281" customWidth="1"/>
    <col min="3" max="3" width="17.443378448486328" customWidth="1"/>
    <col min="4" max="4" width="24.35968589782715" customWidth="1"/>
  </cols>
  <sheetData>
    <row r="1">
      <c r="A1" s="1" t="s">
        <v>768</v>
      </c>
      <c r="B1" s="1" t="s">
        <v>1</v>
      </c>
      <c r="C1" s="1" t="s">
        <v>747</v>
      </c>
      <c r="D1" s="1" t="s">
        <v>769</v>
      </c>
    </row>
    <row r="2">
      <c r="A2" s="2" t="s">
        <v>770</v>
      </c>
      <c r="B2" s="3" t="str">
        <f>C2 &amp; " / " &amp; D2</f>
        <v>close-01 / erp-ledger</v>
      </c>
      <c r="C2" s="2" t="s">
        <v>535</v>
      </c>
      <c r="D2" s="2" t="s">
        <v>721</v>
      </c>
    </row>
    <row r="3">
      <c r="A3" s="2" t="s">
        <v>771</v>
      </c>
      <c r="B3" s="3" t="str">
        <f>C3 &amp; " / " &amp; D3</f>
        <v>close-02 / erp-ledger</v>
      </c>
      <c r="C3" s="2" t="s">
        <v>543</v>
      </c>
      <c r="D3" s="2" t="s">
        <v>721</v>
      </c>
    </row>
    <row r="4">
      <c r="A4" s="2" t="s">
        <v>772</v>
      </c>
      <c r="B4" s="3" t="str">
        <f>C4 &amp; " / " &amp; D4</f>
        <v>close-03 / close-workpaper</v>
      </c>
      <c r="C4" s="2" t="s">
        <v>547</v>
      </c>
      <c r="D4" s="2" t="s">
        <v>725</v>
      </c>
    </row>
    <row r="5">
      <c r="A5" s="2" t="s">
        <v>773</v>
      </c>
      <c r="B5" s="3" t="str">
        <f>C5 &amp; " / " &amp; D5</f>
        <v>close-04 / variance-model</v>
      </c>
      <c r="C5" s="2" t="s">
        <v>554</v>
      </c>
      <c r="D5" s="2" t="s">
        <v>728</v>
      </c>
    </row>
    <row r="6">
      <c r="A6" s="2" t="s">
        <v>774</v>
      </c>
      <c r="B6" s="3" t="str">
        <f>C6 &amp; " / " &amp; D6</f>
        <v>close-04 / close-workpaper</v>
      </c>
      <c r="C6" s="2" t="s">
        <v>554</v>
      </c>
      <c r="D6" s="2" t="s">
        <v>725</v>
      </c>
    </row>
    <row r="7">
      <c r="A7" s="2" t="s">
        <v>775</v>
      </c>
      <c r="B7" s="3" t="str">
        <f>C7 &amp; " / " &amp; D7</f>
        <v>policy-02 / knowledge-capture-form</v>
      </c>
      <c r="C7" s="2" t="s">
        <v>581</v>
      </c>
      <c r="D7" s="2" t="s">
        <v>743</v>
      </c>
    </row>
    <row r="8">
      <c r="A8" s="2" t="s">
        <v>776</v>
      </c>
      <c r="B8" s="3" t="str">
        <f>C8 &amp; " / " &amp; D8</f>
        <v>policy-03 / policy-registry</v>
      </c>
      <c r="C8" s="2" t="s">
        <v>584</v>
      </c>
      <c r="D8" s="2" t="s">
        <v>731</v>
      </c>
    </row>
    <row r="9">
      <c r="A9" s="2" t="s">
        <v>777</v>
      </c>
      <c r="B9" s="3" t="str">
        <f>C9 &amp; " / " &amp; D9</f>
        <v>policy-07 / consent-registry</v>
      </c>
      <c r="C9" s="2" t="s">
        <v>597</v>
      </c>
      <c r="D9" s="2" t="s">
        <v>734</v>
      </c>
    </row>
    <row r="10">
      <c r="A10" s="2" t="s">
        <v>778</v>
      </c>
      <c r="B10" s="3" t="str">
        <f>C10 &amp; " / " &amp; D10</f>
        <v>policy-07 / email-gateway</v>
      </c>
      <c r="C10" s="2" t="s">
        <v>597</v>
      </c>
      <c r="D10" s="2" t="s">
        <v>737</v>
      </c>
    </row>
    <row r="11">
      <c r="A11" s="2" t="s">
        <v>779</v>
      </c>
      <c r="B11" s="3" t="str">
        <f>C11 &amp; " / " &amp; D11</f>
        <v>policy-07 / sms-gateway</v>
      </c>
      <c r="C11" s="2" t="s">
        <v>597</v>
      </c>
      <c r="D11" s="2" t="s">
        <v>740</v>
      </c>
    </row>
  </sheetData>
  <autoFilter ref="A1:D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Q14"/>
  <sheetViews>
    <sheetView workbookViewId="0">
      <pane ySplit="1" topLeftCell="A2" state="frozen" activePane="bottomLeft"/>
      <selection pane="bottomLeft" activeCell="A1" sqref="A1"/>
    </sheetView>
  </sheetViews>
  <sheetFormatPr defaultRowHeight="15"/>
  <cols>
    <col min="1" max="1" width="26.427637100219727" customWidth="1"/>
    <col min="2" max="2" width="33.37171936035156" customWidth="1"/>
    <col min="3" max="3" width="33.37171936035156" customWidth="1"/>
    <col min="4" max="4" width="18.18536949157715" customWidth="1"/>
    <col min="5" max="5" width="94.22319030761719" customWidth="1"/>
    <col min="6" max="6" width="27.464584350585938" customWidth="1"/>
    <col min="7" max="7" width="17.443378448486328" customWidth="1"/>
    <col min="8" max="8" width="24.429719924926758" customWidth="1"/>
    <col min="9" max="9" width="18.372060775756836" customWidth="1"/>
    <col min="10" max="10" width="19.67605972290039" customWidth="1"/>
    <col min="11" max="11" width="23.040740966796875" customWidth="1"/>
    <col min="12" max="12" width="23.667940139770508" customWidth="1"/>
    <col min="13" max="13" width="21.022953033447266" customWidth="1"/>
    <col min="14" max="14" width="20.20351219177246" customWidth="1"/>
    <col min="15" max="15" width="21.94721794128418" customWidth="1"/>
    <col min="16" max="16" width="44.641273498535156" customWidth="1"/>
    <col min="17" max="17" width="26.24978256225586" customWidth="1"/>
    <col min="18" max="18" width="19.867633819580078" customWidth="1"/>
    <col min="19" max="19" width="20.20347023010254" customWidth="1"/>
    <col min="20" max="20" width="24.9147891998291" customWidth="1"/>
    <col min="21" max="21" width="28.7175350189209" customWidth="1"/>
    <col min="22" max="22" width="24.83953857421875" customWidth="1"/>
    <col min="23" max="23" width="29.319272994995117" customWidth="1"/>
    <col min="24" max="24" width="17.84260368347168" customWidth="1"/>
    <col min="25" max="25" width="22.539798736572266" customWidth="1"/>
    <col min="26" max="26" width="21.783626556396484" customWidth="1"/>
    <col min="27" max="27" width="22.11738395690918" customWidth="1"/>
    <col min="28" max="28" width="28.951019287109375" customWidth="1"/>
    <col min="29" max="29" width="18.942859649658203" customWidth="1"/>
    <col min="30" max="30" width="26.70601463317871" customWidth="1"/>
    <col min="31" max="31" width="22.718408584594727" customWidth="1"/>
    <col min="32" max="32" width="25.28563117980957" customWidth="1"/>
    <col min="33" max="33" width="24.717802047729492" customWidth="1"/>
    <col min="34" max="34" width="17.443378448486328" customWidth="1"/>
    <col min="35" max="35" width="18.369426727294922" customWidth="1"/>
    <col min="36" max="36" width="17.953428268432617" customWidth="1"/>
    <col min="37" max="37" width="27.065332412719727" customWidth="1"/>
    <col min="38" max="38" width="26.16978645324707" customWidth="1"/>
    <col min="39" max="39" width="58.728477478027344" customWidth="1"/>
    <col min="40" max="40" width="24.660337448120117" customWidth="1"/>
    <col min="41" max="41" width="23.90658950805664" customWidth="1"/>
    <col min="42" max="42" width="25.694416046142578" customWidth="1"/>
    <col min="43" max="43" width="33.71207809448242" customWidth="1"/>
  </cols>
  <sheetData>
    <row r="1">
      <c r="A1" s="1" t="s">
        <v>780</v>
      </c>
      <c r="B1" s="1" t="s">
        <v>1</v>
      </c>
      <c r="C1" s="1" t="s">
        <v>19</v>
      </c>
      <c r="D1" s="1" t="s">
        <v>781</v>
      </c>
      <c r="E1" s="1" t="s">
        <v>782</v>
      </c>
      <c r="F1" s="1" t="s">
        <v>93</v>
      </c>
      <c r="G1" s="1" t="s">
        <v>783</v>
      </c>
      <c r="H1" s="1" t="s">
        <v>784</v>
      </c>
      <c r="I1" s="1" t="s">
        <v>785</v>
      </c>
      <c r="J1" s="1" t="s">
        <v>786</v>
      </c>
      <c r="K1" s="1" t="s">
        <v>787</v>
      </c>
      <c r="L1" s="1" t="s">
        <v>788</v>
      </c>
      <c r="M1" s="1" t="s">
        <v>789</v>
      </c>
      <c r="N1" s="1" t="s">
        <v>790</v>
      </c>
      <c r="O1" s="1" t="s">
        <v>791</v>
      </c>
      <c r="P1" s="1" t="s">
        <v>792</v>
      </c>
      <c r="Q1" s="1" t="s">
        <v>793</v>
      </c>
      <c r="R1" s="1" t="s">
        <v>794</v>
      </c>
      <c r="S1" s="1" t="s">
        <v>795</v>
      </c>
      <c r="T1" s="1" t="s">
        <v>796</v>
      </c>
      <c r="U1" s="1" t="s">
        <v>797</v>
      </c>
      <c r="V1" s="1" t="s">
        <v>798</v>
      </c>
      <c r="W1" s="1" t="s">
        <v>799</v>
      </c>
      <c r="X1" s="1" t="s">
        <v>800</v>
      </c>
      <c r="Y1" s="1" t="s">
        <v>801</v>
      </c>
      <c r="Z1" s="1" t="s">
        <v>802</v>
      </c>
      <c r="AA1" s="1" t="s">
        <v>803</v>
      </c>
      <c r="AB1" s="1" t="s">
        <v>804</v>
      </c>
      <c r="AC1" s="1" t="s">
        <v>805</v>
      </c>
      <c r="AD1" s="1" t="s">
        <v>806</v>
      </c>
      <c r="AE1" s="1" t="s">
        <v>807</v>
      </c>
      <c r="AF1" s="1" t="s">
        <v>808</v>
      </c>
      <c r="AG1" s="1" t="s">
        <v>809</v>
      </c>
      <c r="AH1" s="1" t="s">
        <v>810</v>
      </c>
      <c r="AI1" s="1" t="s">
        <v>811</v>
      </c>
      <c r="AJ1" s="1" t="s">
        <v>812</v>
      </c>
      <c r="AK1" s="1" t="s">
        <v>813</v>
      </c>
      <c r="AL1" s="1" t="s">
        <v>814</v>
      </c>
      <c r="AM1" s="1" t="s">
        <v>815</v>
      </c>
      <c r="AN1" s="1" t="s">
        <v>816</v>
      </c>
      <c r="AO1" s="1" t="s">
        <v>817</v>
      </c>
      <c r="AP1" s="1" t="s">
        <v>818</v>
      </c>
      <c r="AQ1" s="1" t="s">
        <v>94</v>
      </c>
    </row>
    <row r="2">
      <c r="A2" s="2" t="s">
        <v>819</v>
      </c>
      <c r="B2" s="3" t="str">
        <f>C2</f>
        <v>Close cutoff enforced</v>
      </c>
      <c r="C2" s="2" t="s">
        <v>820</v>
      </c>
      <c r="D2" s="2" t="s">
        <v>821</v>
      </c>
      <c r="E2" s="2" t="s">
        <v>822</v>
      </c>
      <c r="F2" s="2" t="s">
        <v>823</v>
      </c>
      <c r="G2" s="2" t="b">
        <v>1</v>
      </c>
      <c r="H2" s="3">
        <f>COUNTIFS(RequirementSatisfactions!D2:D999, A2)</f>
        <v>1</v>
      </c>
      <c r="I2" s="3">
        <f>COUNTIFS(StepRequirements!D2:D999, A2)</f>
        <v>1</v>
      </c>
      <c r="J2" s="3" t="b">
        <f>I2 &gt; 0</f>
        <v>1</v>
      </c>
      <c r="K2" s="3" t="b">
        <f>H2 &gt; 0</f>
        <v>1</v>
      </c>
      <c r="L2" s="3">
        <f>COUNTIFS(RequirementSatisfactions!N2:N999, A2)</f>
        <v>0</v>
      </c>
      <c r="M2" s="3" t="b">
        <f>AND(G2, J2, NOT(K2))</f>
        <v>0</v>
      </c>
      <c r="N2" s="3" t="b">
        <f>AND(G2, NOT(J2))</f>
        <v>0</v>
      </c>
      <c r="O2" s="2" t="b">
        <v>1</v>
      </c>
      <c r="P2" s="2" t="s">
        <v>824</v>
      </c>
      <c r="Q2" s="3" t="b">
        <f>L2 &gt; 0</f>
        <v>0</v>
      </c>
      <c r="R2" s="3" t="b">
        <f>AND(G2, K2, NOT(Q2))</f>
        <v>1</v>
      </c>
      <c r="S2" s="3" t="b">
        <f>P2 &lt;&gt; ""</f>
        <v>1</v>
      </c>
      <c r="T2" s="3" t="str">
        <f>_xlfn.IFNA(INDEX(RulebookFields!I2:I999, MATCH(P2,RulebookFields!A2:A999, 0)), "")</f>
      </c>
      <c r="U2" s="3" t="b">
        <f>AND(S2, T2)</f>
        <v>1</v>
      </c>
      <c r="V2" s="3" t="b">
        <f>NOT(O2 = U2)</f>
        <v>0</v>
      </c>
      <c r="W2" s="3" t="b">
        <f>AND(G2, NOT(U2))</f>
        <v>0</v>
      </c>
      <c r="X2" s="3">
        <f>L2</f>
        <v>0</v>
      </c>
      <c r="Y2" s="3" t="b">
        <f>AND(O2, X2 = 0)</f>
        <v>1</v>
      </c>
      <c r="Z2" s="3">
        <f>H2</f>
        <v>1</v>
      </c>
      <c r="AA2" s="3" t="b">
        <f>Z2 &gt;= AB2</f>
        <v>1</v>
      </c>
      <c r="AB2" s="7"/>
      <c r="AC2" s="3" t="b">
        <f>AND(Y2, NOT(AA2))</f>
        <v>0</v>
      </c>
      <c r="AD2" s="3" t="b">
        <f>AND(Y2, AA2)</f>
        <v>1</v>
      </c>
      <c r="AE2" s="3" t="str">
        <f>IF(NOT(J2), "Decorative", IF(NOT(K2), "Inoperative", IF(NOT(O2), "Asserted", IF(X2 &gt; 0, "Demonstrated", IF(AA2, "Holding", "Untested")))))</f>
        <v>Holding</v>
      </c>
      <c r="AF2" s="3">
        <f>COUNTIFS(StepRequirements!M2:M999, A2)</f>
        <v>1</v>
      </c>
      <c r="AG2" s="3" t="b">
        <f>AND(O2, AF2 &gt; 0)</f>
        <v>1</v>
      </c>
      <c r="AH2" s="2"/>
      <c r="AI2" s="3" t="str">
        <f>_xlfn.IFNA(INDEX(Roles!E2:E999, MATCH(AH2,Roles!A2:A999, 0)), "")</f>
      </c>
      <c r="AJ2" s="3" t="b">
        <f>AH2 &lt;&gt; ""</f>
        <v>0</v>
      </c>
      <c r="AK2" s="3" t="b">
        <f>AND(G2, NOT(AJ2))</f>
        <v>1</v>
      </c>
      <c r="AL2" s="3" t="b">
        <f>AND(G2, NOT(O2), NOT(AJ2))</f>
        <v>0</v>
      </c>
      <c r="AM2" s="3" t="str">
        <f>IF(NOT(G2), "", IF(AL2, "Unwatched and unowned: exposure defaults to the signatory.", IF(AK2, "Witnessed but unowned: no named accountability.", IF(NOT(O2), "Owned but unwitnessed: rests on human judgement.", ""))))</f>
        <v>Witnessed but unowned: no named accountability.</v>
      </c>
      <c r="AN2" s="3" t="str">
        <f>IF(AL2, "unwatched-unowned", "")</f>
      </c>
      <c r="AO2" s="2" t="s">
        <v>825</v>
      </c>
      <c r="AP2" s="3" t="b">
        <f>AO2 &lt;&gt; ""</f>
        <v>1</v>
      </c>
      <c r="AQ2" s="2" t="s">
        <v>826</v>
      </c>
    </row>
    <row r="3">
      <c r="A3" s="2" t="s">
        <v>827</v>
      </c>
      <c r="B3" s="3" t="str">
        <f>C3</f>
        <v>Reconciled balance integrity</v>
      </c>
      <c r="C3" s="2" t="s">
        <v>828</v>
      </c>
      <c r="D3" s="2" t="s">
        <v>603</v>
      </c>
      <c r="E3" s="2" t="s">
        <v>829</v>
      </c>
      <c r="F3" s="2" t="s">
        <v>830</v>
      </c>
      <c r="G3" s="2" t="b">
        <v>1</v>
      </c>
      <c r="H3" s="3">
        <f>COUNTIFS(RequirementSatisfactions!D2:D999, A3)</f>
        <v>1</v>
      </c>
      <c r="I3" s="3">
        <f>COUNTIFS(StepRequirements!D2:D999, A3)</f>
        <v>1</v>
      </c>
      <c r="J3" s="3" t="b">
        <f>I3 &gt; 0</f>
        <v>1</v>
      </c>
      <c r="K3" s="3" t="b">
        <f>H3 &gt; 0</f>
        <v>1</v>
      </c>
      <c r="L3" s="3">
        <f>COUNTIFS(RequirementSatisfactions!N2:N999, A3)</f>
        <v>0</v>
      </c>
      <c r="M3" s="3" t="b">
        <f>AND(G3, J3, NOT(K3))</f>
        <v>0</v>
      </c>
      <c r="N3" s="3" t="b">
        <f>AND(G3, NOT(J3))</f>
        <v>0</v>
      </c>
      <c r="O3" s="2" t="b">
        <v>1</v>
      </c>
      <c r="P3" s="2" t="s">
        <v>831</v>
      </c>
      <c r="Q3" s="3" t="b">
        <f>L3 &gt; 0</f>
        <v>0</v>
      </c>
      <c r="R3" s="3" t="b">
        <f>AND(G3, K3, NOT(Q3))</f>
        <v>1</v>
      </c>
      <c r="S3" s="3" t="b">
        <f>P3 &lt;&gt; ""</f>
        <v>1</v>
      </c>
      <c r="T3" s="3" t="str">
        <f>_xlfn.IFNA(INDEX(RulebookFields!I2:I999, MATCH(P3,RulebookFields!A2:A999, 0)), "")</f>
      </c>
      <c r="U3" s="3" t="b">
        <f>AND(S3, T3)</f>
        <v>1</v>
      </c>
      <c r="V3" s="3" t="b">
        <f>NOT(O3 = U3)</f>
        <v>0</v>
      </c>
      <c r="W3" s="3" t="b">
        <f>AND(G3, NOT(U3))</f>
        <v>0</v>
      </c>
      <c r="X3" s="3">
        <f>L3</f>
        <v>0</v>
      </c>
      <c r="Y3" s="3" t="b">
        <f>AND(O3, X3 = 0)</f>
        <v>1</v>
      </c>
      <c r="Z3" s="3">
        <f>H3</f>
        <v>1</v>
      </c>
      <c r="AA3" s="3" t="b">
        <f>Z3 &gt;= AB3</f>
        <v>1</v>
      </c>
      <c r="AB3" s="7"/>
      <c r="AC3" s="3" t="b">
        <f>AND(Y3, NOT(AA3))</f>
        <v>0</v>
      </c>
      <c r="AD3" s="3" t="b">
        <f>AND(Y3, AA3)</f>
        <v>1</v>
      </c>
      <c r="AE3" s="3" t="str">
        <f>IF(NOT(J3), "Decorative", IF(NOT(K3), "Inoperative", IF(NOT(O3), "Asserted", IF(X3 &gt; 0, "Demonstrated", IF(AA3, "Holding", "Untested")))))</f>
        <v>Holding</v>
      </c>
      <c r="AF3" s="3">
        <f>COUNTIFS(StepRequirements!M2:M999, A3)</f>
        <v>1</v>
      </c>
      <c r="AG3" s="3" t="b">
        <f>AND(O3, AF3 &gt; 0)</f>
        <v>1</v>
      </c>
      <c r="AH3" s="2"/>
      <c r="AI3" s="3" t="str">
        <f>_xlfn.IFNA(INDEX(Roles!E2:E999, MATCH(AH3,Roles!A2:A999, 0)), "")</f>
      </c>
      <c r="AJ3" s="3" t="b">
        <f>AH3 &lt;&gt; ""</f>
        <v>0</v>
      </c>
      <c r="AK3" s="3" t="b">
        <f>AND(G3, NOT(AJ3))</f>
        <v>1</v>
      </c>
      <c r="AL3" s="3" t="b">
        <f>AND(G3, NOT(O3), NOT(AJ3))</f>
        <v>0</v>
      </c>
      <c r="AM3" s="3" t="str">
        <f>IF(NOT(G3), "", IF(AL3, "Unwatched and unowned: exposure defaults to the signatory.", IF(AK3, "Witnessed but unowned: no named accountability.", IF(NOT(O3), "Owned but unwitnessed: rests on human judgement.", ""))))</f>
        <v>Witnessed but unowned: no named accountability.</v>
      </c>
      <c r="AN3" s="3" t="str">
        <f>IF(AL3, "unwatched-unowned", "")</f>
      </c>
      <c r="AO3" s="2" t="s">
        <v>832</v>
      </c>
      <c r="AP3" s="3" t="b">
        <f>AO3 &lt;&gt; ""</f>
        <v>1</v>
      </c>
      <c r="AQ3" s="2" t="s">
        <v>826</v>
      </c>
    </row>
    <row r="4">
      <c r="A4" s="2" t="s">
        <v>833</v>
      </c>
      <c r="B4" s="3" t="str">
        <f>C4</f>
        <v>Preparer/approver separation</v>
      </c>
      <c r="C4" s="2" t="s">
        <v>834</v>
      </c>
      <c r="D4" s="2" t="s">
        <v>835</v>
      </c>
      <c r="E4" s="2" t="s">
        <v>836</v>
      </c>
      <c r="F4" s="2" t="s">
        <v>837</v>
      </c>
      <c r="G4" s="2" t="b">
        <v>1</v>
      </c>
      <c r="H4" s="3">
        <f>COUNTIFS(RequirementSatisfactions!D2:D999, A4)</f>
        <v>1</v>
      </c>
      <c r="I4" s="3">
        <f>COUNTIFS(StepRequirements!D2:D999, A4)</f>
        <v>1</v>
      </c>
      <c r="J4" s="3" t="b">
        <f>I4 &gt; 0</f>
        <v>1</v>
      </c>
      <c r="K4" s="3" t="b">
        <f>H4 &gt; 0</f>
        <v>1</v>
      </c>
      <c r="L4" s="3">
        <f>COUNTIFS(RequirementSatisfactions!N2:N999, A4)</f>
        <v>0</v>
      </c>
      <c r="M4" s="3" t="b">
        <f>AND(G4, J4, NOT(K4))</f>
        <v>0</v>
      </c>
      <c r="N4" s="3" t="b">
        <f>AND(G4, NOT(J4))</f>
        <v>0</v>
      </c>
      <c r="O4" s="2" t="b">
        <v>1</v>
      </c>
      <c r="P4" s="2" t="s">
        <v>838</v>
      </c>
      <c r="Q4" s="3" t="b">
        <f>L4 &gt; 0</f>
        <v>0</v>
      </c>
      <c r="R4" s="3" t="b">
        <f>AND(G4, K4, NOT(Q4))</f>
        <v>1</v>
      </c>
      <c r="S4" s="3" t="b">
        <f>P4 &lt;&gt; ""</f>
        <v>1</v>
      </c>
      <c r="T4" s="3" t="b">
        <f>_xlfn.IFNA(INDEX(RulebookFields!I2:I999, MATCH(P4,RulebookFields!A2:A999, 0)), "")</f>
        <v>1</v>
      </c>
      <c r="U4" s="3" t="b">
        <f>AND(S4, T4)</f>
        <v>1</v>
      </c>
      <c r="V4" s="3" t="b">
        <f>NOT(O4 = U4)</f>
        <v>0</v>
      </c>
      <c r="W4" s="3" t="b">
        <f>AND(G4, NOT(U4))</f>
        <v>0</v>
      </c>
      <c r="X4" s="3">
        <f>L4</f>
        <v>0</v>
      </c>
      <c r="Y4" s="3" t="b">
        <f>AND(O4, X4 = 0)</f>
        <v>1</v>
      </c>
      <c r="Z4" s="3">
        <f>H4</f>
        <v>1</v>
      </c>
      <c r="AA4" s="3" t="b">
        <f>Z4 &gt;= AB4</f>
        <v>1</v>
      </c>
      <c r="AB4" s="7"/>
      <c r="AC4" s="3" t="b">
        <f>AND(Y4, NOT(AA4))</f>
        <v>0</v>
      </c>
      <c r="AD4" s="3" t="b">
        <f>AND(Y4, AA4)</f>
        <v>1</v>
      </c>
      <c r="AE4" s="3" t="str">
        <f>IF(NOT(J4), "Decorative", IF(NOT(K4), "Inoperative", IF(NOT(O4), "Asserted", IF(X4 &gt; 0, "Demonstrated", IF(AA4, "Holding", "Untested")))))</f>
        <v>Holding</v>
      </c>
      <c r="AF4" s="3">
        <f>COUNTIFS(StepRequirements!M2:M999, A4)</f>
        <v>1</v>
      </c>
      <c r="AG4" s="3" t="b">
        <f>AND(O4, AF4 &gt; 0)</f>
        <v>1</v>
      </c>
      <c r="AH4" s="2"/>
      <c r="AI4" s="3" t="str">
        <f>_xlfn.IFNA(INDEX(Roles!E2:E999, MATCH(AH4,Roles!A2:A999, 0)), "")</f>
      </c>
      <c r="AJ4" s="3" t="b">
        <f>AH4 &lt;&gt; ""</f>
        <v>0</v>
      </c>
      <c r="AK4" s="3" t="b">
        <f>AND(G4, NOT(AJ4))</f>
        <v>1</v>
      </c>
      <c r="AL4" s="3" t="b">
        <f>AND(G4, NOT(O4), NOT(AJ4))</f>
        <v>0</v>
      </c>
      <c r="AM4" s="3" t="str">
        <f>IF(NOT(G4), "", IF(AL4, "Unwatched and unowned: exposure defaults to the signatory.", IF(AK4, "Witnessed but unowned: no named accountability.", IF(NOT(O4), "Owned but unwitnessed: rests on human judgement.", ""))))</f>
        <v>Witnessed but unowned: no named accountability.</v>
      </c>
      <c r="AN4" s="3" t="str">
        <f>IF(AL4, "unwatched-unowned", "")</f>
      </c>
      <c r="AO4" s="2" t="s">
        <v>839</v>
      </c>
      <c r="AP4" s="3" t="b">
        <f>AO4 &lt;&gt; ""</f>
        <v>1</v>
      </c>
      <c r="AQ4" s="2" t="s">
        <v>826</v>
      </c>
    </row>
    <row r="5">
      <c r="A5" s="2" t="s">
        <v>840</v>
      </c>
      <c r="B5" s="3" t="str">
        <f>C5</f>
        <v>Evidence retention</v>
      </c>
      <c r="C5" s="2" t="s">
        <v>841</v>
      </c>
      <c r="D5" s="2" t="s">
        <v>842</v>
      </c>
      <c r="E5" s="2" t="s">
        <v>843</v>
      </c>
      <c r="F5" s="2" t="s">
        <v>844</v>
      </c>
      <c r="G5" s="2" t="b">
        <v>1</v>
      </c>
      <c r="H5" s="3">
        <f>COUNTIFS(RequirementSatisfactions!D2:D999, A5)</f>
        <v>2</v>
      </c>
      <c r="I5" s="3">
        <f>COUNTIFS(StepRequirements!D2:D999, A5)</f>
        <v>2</v>
      </c>
      <c r="J5" s="3" t="b">
        <f>I5 &gt; 0</f>
        <v>1</v>
      </c>
      <c r="K5" s="3" t="b">
        <f>H5 &gt; 0</f>
        <v>1</v>
      </c>
      <c r="L5" s="3">
        <f>COUNTIFS(RequirementSatisfactions!N2:N999, A5)</f>
        <v>1</v>
      </c>
      <c r="M5" s="3" t="b">
        <f>AND(G5, J5, NOT(K5))</f>
        <v>0</v>
      </c>
      <c r="N5" s="3" t="b">
        <f>AND(G5, NOT(J5))</f>
        <v>0</v>
      </c>
      <c r="O5" s="2" t="b">
        <v>1</v>
      </c>
      <c r="P5" s="2" t="s">
        <v>845</v>
      </c>
      <c r="Q5" s="3" t="b">
        <f>L5 &gt; 0</f>
        <v>1</v>
      </c>
      <c r="R5" s="3" t="b">
        <f>AND(G5, K5, NOT(Q5))</f>
        <v>0</v>
      </c>
      <c r="S5" s="3" t="b">
        <f>P5 &lt;&gt; ""</f>
        <v>1</v>
      </c>
      <c r="T5" s="3" t="b">
        <f>_xlfn.IFNA(INDEX(RulebookFields!I2:I999, MATCH(P5,RulebookFields!A2:A999, 0)), "")</f>
        <v>1</v>
      </c>
      <c r="U5" s="3" t="b">
        <f>AND(S5, T5)</f>
        <v>1</v>
      </c>
      <c r="V5" s="3" t="b">
        <f>NOT(O5 = U5)</f>
        <v>0</v>
      </c>
      <c r="W5" s="3" t="b">
        <f>AND(G5, NOT(U5))</f>
        <v>0</v>
      </c>
      <c r="X5" s="3">
        <f>L5</f>
        <v>1</v>
      </c>
      <c r="Y5" s="3" t="b">
        <f>AND(O5, X5 = 0)</f>
        <v>0</v>
      </c>
      <c r="Z5" s="3">
        <f>H5</f>
        <v>2</v>
      </c>
      <c r="AA5" s="3" t="b">
        <f>Z5 &gt;= AB5</f>
        <v>1</v>
      </c>
      <c r="AB5" s="7"/>
      <c r="AC5" s="3" t="b">
        <f>AND(Y5, NOT(AA5))</f>
        <v>0</v>
      </c>
      <c r="AD5" s="3" t="b">
        <f>AND(Y5, AA5)</f>
        <v>0</v>
      </c>
      <c r="AE5" s="3" t="str">
        <f>IF(NOT(J5), "Decorative", IF(NOT(K5), "Inoperative", IF(NOT(O5), "Asserted", IF(X5 &gt; 0, "Demonstrated", IF(AA5, "Holding", "Untested")))))</f>
        <v>Demonstrated</v>
      </c>
      <c r="AF5" s="3">
        <f>COUNTIFS(StepRequirements!M2:M999, A5)</f>
        <v>2</v>
      </c>
      <c r="AG5" s="3" t="b">
        <f>AND(O5, AF5 &gt; 0)</f>
        <v>1</v>
      </c>
      <c r="AH5" s="2"/>
      <c r="AI5" s="3" t="str">
        <f>_xlfn.IFNA(INDEX(Roles!E2:E999, MATCH(AH5,Roles!A2:A999, 0)), "")</f>
      </c>
      <c r="AJ5" s="3" t="b">
        <f>AH5 &lt;&gt; ""</f>
        <v>0</v>
      </c>
      <c r="AK5" s="3" t="b">
        <f>AND(G5, NOT(AJ5))</f>
        <v>1</v>
      </c>
      <c r="AL5" s="3" t="b">
        <f>AND(G5, NOT(O5), NOT(AJ5))</f>
        <v>0</v>
      </c>
      <c r="AM5" s="3" t="str">
        <f>IF(NOT(G5), "", IF(AL5, "Unwatched and unowned: exposure defaults to the signatory.", IF(AK5, "Witnessed but unowned: no named accountability.", IF(NOT(O5), "Owned but unwitnessed: rests on human judgement.", ""))))</f>
        <v>Witnessed but unowned: no named accountability.</v>
      </c>
      <c r="AN5" s="3" t="str">
        <f>IF(AL5, "unwatched-unowned", "")</f>
      </c>
      <c r="AO5" s="2" t="s">
        <v>846</v>
      </c>
      <c r="AP5" s="3" t="b">
        <f>AO5 &lt;&gt; ""</f>
        <v>1</v>
      </c>
      <c r="AQ5" s="2" t="s">
        <v>826</v>
      </c>
    </row>
    <row r="6">
      <c r="A6" s="2" t="s">
        <v>847</v>
      </c>
      <c r="B6" s="3" t="str">
        <f>C6</f>
        <v>Human final approval</v>
      </c>
      <c r="C6" s="2" t="s">
        <v>848</v>
      </c>
      <c r="D6" s="2" t="s">
        <v>489</v>
      </c>
      <c r="E6" s="2" t="s">
        <v>849</v>
      </c>
      <c r="F6" s="2" t="s">
        <v>850</v>
      </c>
      <c r="G6" s="2" t="b">
        <v>1</v>
      </c>
      <c r="H6" s="3">
        <f>COUNTIFS(RequirementSatisfactions!D2:D999, A6)</f>
        <v>1</v>
      </c>
      <c r="I6" s="3">
        <f>COUNTIFS(StepRequirements!D2:D999, A6)</f>
        <v>1</v>
      </c>
      <c r="J6" s="3" t="b">
        <f>I6 &gt; 0</f>
        <v>1</v>
      </c>
      <c r="K6" s="3" t="b">
        <f>H6 &gt; 0</f>
        <v>1</v>
      </c>
      <c r="L6" s="3">
        <f>COUNTIFS(RequirementSatisfactions!N2:N999, A6)</f>
        <v>0</v>
      </c>
      <c r="M6" s="3" t="b">
        <f>AND(G6, J6, NOT(K6))</f>
        <v>0</v>
      </c>
      <c r="N6" s="3" t="b">
        <f>AND(G6, NOT(J6))</f>
        <v>0</v>
      </c>
      <c r="O6" s="2" t="b">
        <v>0</v>
      </c>
      <c r="P6" s="2"/>
      <c r="Q6" s="3" t="b">
        <f>L6 &gt; 0</f>
        <v>0</v>
      </c>
      <c r="R6" s="3" t="b">
        <f>AND(G6, K6, NOT(Q6))</f>
        <v>1</v>
      </c>
      <c r="S6" s="3" t="b">
        <f>P6 &lt;&gt; ""</f>
        <v>0</v>
      </c>
      <c r="T6" s="3" t="str">
        <f>_xlfn.IFNA(INDEX(RulebookFields!I2:I999, MATCH(P6,RulebookFields!A2:A999, 0)), "")</f>
      </c>
      <c r="U6" s="3" t="b">
        <f>AND(S6, T6)</f>
        <v>0</v>
      </c>
      <c r="V6" s="3" t="b">
        <f>NOT(O6 = U6)</f>
        <v>0</v>
      </c>
      <c r="W6" s="3" t="b">
        <f>AND(G6, NOT(U6))</f>
        <v>1</v>
      </c>
      <c r="X6" s="3">
        <f>L6</f>
        <v>0</v>
      </c>
      <c r="Y6" s="3" t="b">
        <f>AND(O6, X6 = 0)</f>
        <v>0</v>
      </c>
      <c r="Z6" s="3">
        <f>H6</f>
        <v>1</v>
      </c>
      <c r="AA6" s="3" t="b">
        <f>Z6 &gt;= AB6</f>
        <v>1</v>
      </c>
      <c r="AB6" s="7"/>
      <c r="AC6" s="3" t="b">
        <f>AND(Y6, NOT(AA6))</f>
        <v>0</v>
      </c>
      <c r="AD6" s="3" t="b">
        <f>AND(Y6, AA6)</f>
        <v>0</v>
      </c>
      <c r="AE6" s="3" t="str">
        <f>IF(NOT(J6), "Decorative", IF(NOT(K6), "Inoperative", IF(NOT(O6), "Asserted", IF(X6 &gt; 0, "Demonstrated", IF(AA6, "Holding", "Untested")))))</f>
        <v>Asserted</v>
      </c>
      <c r="AF6" s="3">
        <f>COUNTIFS(StepRequirements!M2:M999, A6)</f>
        <v>1</v>
      </c>
      <c r="AG6" s="3" t="b">
        <f>AND(O6, AF6 &gt; 0)</f>
        <v>0</v>
      </c>
      <c r="AH6" s="2"/>
      <c r="AI6" s="3" t="str">
        <f>_xlfn.IFNA(INDEX(Roles!E2:E999, MATCH(AH6,Roles!A2:A999, 0)), "")</f>
      </c>
      <c r="AJ6" s="3" t="b">
        <f>AH6 &lt;&gt; ""</f>
        <v>0</v>
      </c>
      <c r="AK6" s="3" t="b">
        <f>AND(G6, NOT(AJ6))</f>
        <v>1</v>
      </c>
      <c r="AL6" s="3" t="b">
        <f>AND(G6, NOT(O6), NOT(AJ6))</f>
        <v>1</v>
      </c>
      <c r="AM6" s="3" t="str">
        <f>IF(NOT(G6), "", IF(AL6, "Unwatched and unowned: exposure defaults to the signatory.", IF(AK6, "Witnessed but unowned: no named accountability.", IF(NOT(O6), "Owned but unwitnessed: rests on human judgement.", ""))))</f>
        <v>Unwatched and unowned: exposure defaults to the signatory.</v>
      </c>
      <c r="AN6" s="3" t="str">
        <f>IF(AL6, "unwatched-unowned", "")</f>
        <v>unwatched-unowned</v>
      </c>
      <c r="AO6" s="2" t="s">
        <v>851</v>
      </c>
      <c r="AP6" s="3" t="b">
        <f>AO6 &lt;&gt; ""</f>
        <v>1</v>
      </c>
      <c r="AQ6" s="2" t="s">
        <v>826</v>
      </c>
    </row>
    <row r="7">
      <c r="A7" s="2" t="s">
        <v>852</v>
      </c>
      <c r="B7" s="3" t="str">
        <f>C7</f>
        <v>Approved source only</v>
      </c>
      <c r="C7" s="2" t="s">
        <v>853</v>
      </c>
      <c r="D7" s="2" t="s">
        <v>854</v>
      </c>
      <c r="E7" s="2" t="s">
        <v>855</v>
      </c>
      <c r="F7" s="2" t="s">
        <v>856</v>
      </c>
      <c r="G7" s="2" t="b">
        <v>1</v>
      </c>
      <c r="H7" s="3">
        <f>COUNTIFS(RequirementSatisfactions!D2:D999, A7)</f>
        <v>1</v>
      </c>
      <c r="I7" s="3">
        <f>COUNTIFS(StepRequirements!D2:D999, A7)</f>
        <v>1</v>
      </c>
      <c r="J7" s="3" t="b">
        <f>I7 &gt; 0</f>
        <v>1</v>
      </c>
      <c r="K7" s="3" t="b">
        <f>H7 &gt; 0</f>
        <v>1</v>
      </c>
      <c r="L7" s="3">
        <f>COUNTIFS(RequirementSatisfactions!N2:N999, A7)</f>
        <v>0</v>
      </c>
      <c r="M7" s="3" t="b">
        <f>AND(G7, J7, NOT(K7))</f>
        <v>0</v>
      </c>
      <c r="N7" s="3" t="b">
        <f>AND(G7, NOT(J7))</f>
        <v>0</v>
      </c>
      <c r="O7" s="2" t="b">
        <v>0</v>
      </c>
      <c r="P7" s="2"/>
      <c r="Q7" s="3" t="b">
        <f>L7 &gt; 0</f>
        <v>0</v>
      </c>
      <c r="R7" s="3" t="b">
        <f>AND(G7, K7, NOT(Q7))</f>
        <v>1</v>
      </c>
      <c r="S7" s="3" t="b">
        <f>P7 &lt;&gt; ""</f>
        <v>0</v>
      </c>
      <c r="T7" s="3" t="str">
        <f>_xlfn.IFNA(INDEX(RulebookFields!I2:I999, MATCH(P7,RulebookFields!A2:A999, 0)), "")</f>
      </c>
      <c r="U7" s="3" t="b">
        <f>AND(S7, T7)</f>
        <v>0</v>
      </c>
      <c r="V7" s="3" t="b">
        <f>NOT(O7 = U7)</f>
        <v>0</v>
      </c>
      <c r="W7" s="3" t="b">
        <f>AND(G7, NOT(U7))</f>
        <v>1</v>
      </c>
      <c r="X7" s="3">
        <f>L7</f>
        <v>0</v>
      </c>
      <c r="Y7" s="3" t="b">
        <f>AND(O7, X7 = 0)</f>
        <v>0</v>
      </c>
      <c r="Z7" s="3">
        <f>H7</f>
        <v>1</v>
      </c>
      <c r="AA7" s="3" t="b">
        <f>Z7 &gt;= AB7</f>
        <v>1</v>
      </c>
      <c r="AB7" s="7"/>
      <c r="AC7" s="3" t="b">
        <f>AND(Y7, NOT(AA7))</f>
        <v>0</v>
      </c>
      <c r="AD7" s="3" t="b">
        <f>AND(Y7, AA7)</f>
        <v>0</v>
      </c>
      <c r="AE7" s="3" t="str">
        <f>IF(NOT(J7), "Decorative", IF(NOT(K7), "Inoperative", IF(NOT(O7), "Asserted", IF(X7 &gt; 0, "Demonstrated", IF(AA7, "Holding", "Untested")))))</f>
        <v>Asserted</v>
      </c>
      <c r="AF7" s="3">
        <f>COUNTIFS(StepRequirements!M2:M999, A7)</f>
        <v>1</v>
      </c>
      <c r="AG7" s="3" t="b">
        <f>AND(O7, AF7 &gt; 0)</f>
        <v>0</v>
      </c>
      <c r="AH7" s="2"/>
      <c r="AI7" s="3" t="str">
        <f>_xlfn.IFNA(INDEX(Roles!E2:E999, MATCH(AH7,Roles!A2:A999, 0)), "")</f>
      </c>
      <c r="AJ7" s="3" t="b">
        <f>AH7 &lt;&gt; ""</f>
        <v>0</v>
      </c>
      <c r="AK7" s="3" t="b">
        <f>AND(G7, NOT(AJ7))</f>
        <v>1</v>
      </c>
      <c r="AL7" s="3" t="b">
        <f>AND(G7, NOT(O7), NOT(AJ7))</f>
        <v>1</v>
      </c>
      <c r="AM7" s="3" t="str">
        <f>IF(NOT(G7), "", IF(AL7, "Unwatched and unowned: exposure defaults to the signatory.", IF(AK7, "Witnessed but unowned: no named accountability.", IF(NOT(O7), "Owned but unwitnessed: rests on human judgement.", ""))))</f>
        <v>Unwatched and unowned: exposure defaults to the signatory.</v>
      </c>
      <c r="AN7" s="3" t="str">
        <f>IF(AL7, "unwatched-unowned", "")</f>
        <v>unwatched-unowned</v>
      </c>
      <c r="AO7" s="2"/>
      <c r="AP7" s="3" t="b">
        <f>AO7 &lt;&gt; ""</f>
        <v>0</v>
      </c>
      <c r="AQ7" s="2" t="s">
        <v>826</v>
      </c>
    </row>
    <row r="8">
      <c r="A8" s="2" t="s">
        <v>857</v>
      </c>
      <c r="B8" s="3" t="str">
        <f>C8</f>
        <v>Legal review required</v>
      </c>
      <c r="C8" s="2" t="s">
        <v>858</v>
      </c>
      <c r="D8" s="2" t="s">
        <v>489</v>
      </c>
      <c r="E8" s="2" t="s">
        <v>859</v>
      </c>
      <c r="F8" s="2" t="s">
        <v>860</v>
      </c>
      <c r="G8" s="2" t="b">
        <v>1</v>
      </c>
      <c r="H8" s="3">
        <f>COUNTIFS(RequirementSatisfactions!D2:D999, A8)</f>
        <v>1</v>
      </c>
      <c r="I8" s="3">
        <f>COUNTIFS(StepRequirements!D2:D999, A8)</f>
        <v>1</v>
      </c>
      <c r="J8" s="3" t="b">
        <f>I8 &gt; 0</f>
        <v>1</v>
      </c>
      <c r="K8" s="3" t="b">
        <f>H8 &gt; 0</f>
        <v>1</v>
      </c>
      <c r="L8" s="3">
        <f>COUNTIFS(RequirementSatisfactions!N2:N999, A8)</f>
        <v>0</v>
      </c>
      <c r="M8" s="3" t="b">
        <f>AND(G8, J8, NOT(K8))</f>
        <v>0</v>
      </c>
      <c r="N8" s="3" t="b">
        <f>AND(G8, NOT(J8))</f>
        <v>0</v>
      </c>
      <c r="O8" s="2" t="b">
        <v>0</v>
      </c>
      <c r="P8" s="2"/>
      <c r="Q8" s="3" t="b">
        <f>L8 &gt; 0</f>
        <v>0</v>
      </c>
      <c r="R8" s="3" t="b">
        <f>AND(G8, K8, NOT(Q8))</f>
        <v>1</v>
      </c>
      <c r="S8" s="3" t="b">
        <f>P8 &lt;&gt; ""</f>
        <v>0</v>
      </c>
      <c r="T8" s="3" t="str">
        <f>_xlfn.IFNA(INDEX(RulebookFields!I2:I999, MATCH(P8,RulebookFields!A2:A999, 0)), "")</f>
      </c>
      <c r="U8" s="3" t="b">
        <f>AND(S8, T8)</f>
        <v>0</v>
      </c>
      <c r="V8" s="3" t="b">
        <f>NOT(O8 = U8)</f>
        <v>0</v>
      </c>
      <c r="W8" s="3" t="b">
        <f>AND(G8, NOT(U8))</f>
        <v>1</v>
      </c>
      <c r="X8" s="3">
        <f>L8</f>
        <v>0</v>
      </c>
      <c r="Y8" s="3" t="b">
        <f>AND(O8, X8 = 0)</f>
        <v>0</v>
      </c>
      <c r="Z8" s="3">
        <f>H8</f>
        <v>1</v>
      </c>
      <c r="AA8" s="3" t="b">
        <f>Z8 &gt;= AB8</f>
        <v>1</v>
      </c>
      <c r="AB8" s="7"/>
      <c r="AC8" s="3" t="b">
        <f>AND(Y8, NOT(AA8))</f>
        <v>0</v>
      </c>
      <c r="AD8" s="3" t="b">
        <f>AND(Y8, AA8)</f>
        <v>0</v>
      </c>
      <c r="AE8" s="3" t="str">
        <f>IF(NOT(J8), "Decorative", IF(NOT(K8), "Inoperative", IF(NOT(O8), "Asserted", IF(X8 &gt; 0, "Demonstrated", IF(AA8, "Holding", "Untested")))))</f>
        <v>Asserted</v>
      </c>
      <c r="AF8" s="3">
        <f>COUNTIFS(StepRequirements!M2:M999, A8)</f>
        <v>1</v>
      </c>
      <c r="AG8" s="3" t="b">
        <f>AND(O8, AF8 &gt; 0)</f>
        <v>0</v>
      </c>
      <c r="AH8" s="2"/>
      <c r="AI8" s="3" t="str">
        <f>_xlfn.IFNA(INDEX(Roles!E2:E999, MATCH(AH8,Roles!A2:A999, 0)), "")</f>
      </c>
      <c r="AJ8" s="3" t="b">
        <f>AH8 &lt;&gt; ""</f>
        <v>0</v>
      </c>
      <c r="AK8" s="3" t="b">
        <f>AND(G8, NOT(AJ8))</f>
        <v>1</v>
      </c>
      <c r="AL8" s="3" t="b">
        <f>AND(G8, NOT(O8), NOT(AJ8))</f>
        <v>1</v>
      </c>
      <c r="AM8" s="3" t="str">
        <f>IF(NOT(G8), "", IF(AL8, "Unwatched and unowned: exposure defaults to the signatory.", IF(AK8, "Witnessed but unowned: no named accountability.", IF(NOT(O8), "Owned but unwitnessed: rests on human judgement.", ""))))</f>
        <v>Unwatched and unowned: exposure defaults to the signatory.</v>
      </c>
      <c r="AN8" s="3" t="str">
        <f>IF(AL8, "unwatched-unowned", "")</f>
        <v>unwatched-unowned</v>
      </c>
      <c r="AO8" s="2" t="s">
        <v>861</v>
      </c>
      <c r="AP8" s="3" t="b">
        <f>AO8 &lt;&gt; ""</f>
        <v>1</v>
      </c>
      <c r="AQ8" s="2" t="s">
        <v>826</v>
      </c>
    </row>
    <row r="9">
      <c r="A9" s="2" t="s">
        <v>862</v>
      </c>
      <c r="B9" s="3" t="str">
        <f>C9</f>
        <v>Human meaning approval</v>
      </c>
      <c r="C9" s="2" t="s">
        <v>863</v>
      </c>
      <c r="D9" s="2" t="s">
        <v>489</v>
      </c>
      <c r="E9" s="2" t="s">
        <v>864</v>
      </c>
      <c r="F9" s="2" t="s">
        <v>865</v>
      </c>
      <c r="G9" s="2" t="b">
        <v>1</v>
      </c>
      <c r="H9" s="3">
        <f>COUNTIFS(RequirementSatisfactions!D2:D999, A9)</f>
        <v>0</v>
      </c>
      <c r="I9" s="3">
        <f>COUNTIFS(StepRequirements!D2:D999, A9)</f>
        <v>1</v>
      </c>
      <c r="J9" s="3" t="b">
        <f>I9 &gt; 0</f>
        <v>1</v>
      </c>
      <c r="K9" s="3" t="b">
        <f>H9 &gt; 0</f>
        <v>0</v>
      </c>
      <c r="L9" s="3">
        <f>COUNTIFS(RequirementSatisfactions!N2:N999, A9)</f>
        <v>0</v>
      </c>
      <c r="M9" s="3" t="b">
        <f>AND(G9, J9, NOT(K9))</f>
        <v>1</v>
      </c>
      <c r="N9" s="3" t="b">
        <f>AND(G9, NOT(J9))</f>
        <v>0</v>
      </c>
      <c r="O9" s="2" t="b">
        <v>0</v>
      </c>
      <c r="P9" s="2"/>
      <c r="Q9" s="3" t="b">
        <f>L9 &gt; 0</f>
        <v>0</v>
      </c>
      <c r="R9" s="3" t="b">
        <f>AND(G9, K9, NOT(Q9))</f>
        <v>0</v>
      </c>
      <c r="S9" s="3" t="b">
        <f>P9 &lt;&gt; ""</f>
        <v>0</v>
      </c>
      <c r="T9" s="3" t="str">
        <f>_xlfn.IFNA(INDEX(RulebookFields!I2:I999, MATCH(P9,RulebookFields!A2:A999, 0)), "")</f>
      </c>
      <c r="U9" s="3" t="b">
        <f>AND(S9, T9)</f>
        <v>0</v>
      </c>
      <c r="V9" s="3" t="b">
        <f>NOT(O9 = U9)</f>
        <v>0</v>
      </c>
      <c r="W9" s="3" t="b">
        <f>AND(G9, NOT(U9))</f>
        <v>1</v>
      </c>
      <c r="X9" s="3">
        <f>L9</f>
        <v>0</v>
      </c>
      <c r="Y9" s="3" t="b">
        <f>AND(O9, X9 = 0)</f>
        <v>0</v>
      </c>
      <c r="Z9" s="3">
        <f>H9</f>
        <v>0</v>
      </c>
      <c r="AA9" s="3" t="b">
        <f>Z9 &gt;= AB9</f>
        <v>1</v>
      </c>
      <c r="AB9" s="7"/>
      <c r="AC9" s="3" t="b">
        <f>AND(Y9, NOT(AA9))</f>
        <v>0</v>
      </c>
      <c r="AD9" s="3" t="b">
        <f>AND(Y9, AA9)</f>
        <v>0</v>
      </c>
      <c r="AE9" s="3" t="str">
        <f>IF(NOT(J9), "Decorative", IF(NOT(K9), "Inoperative", IF(NOT(O9), "Asserted", IF(X9 &gt; 0, "Demonstrated", IF(AA9, "Holding", "Untested")))))</f>
        <v>Inoperative</v>
      </c>
      <c r="AF9" s="3">
        <f>COUNTIFS(StepRequirements!M2:M999, A9)</f>
        <v>1</v>
      </c>
      <c r="AG9" s="3" t="b">
        <f>AND(O9, AF9 &gt; 0)</f>
        <v>0</v>
      </c>
      <c r="AH9" s="2"/>
      <c r="AI9" s="3" t="str">
        <f>_xlfn.IFNA(INDEX(Roles!E2:E999, MATCH(AH9,Roles!A2:A999, 0)), "")</f>
      </c>
      <c r="AJ9" s="3" t="b">
        <f>AH9 &lt;&gt; ""</f>
        <v>0</v>
      </c>
      <c r="AK9" s="3" t="b">
        <f>AND(G9, NOT(AJ9))</f>
        <v>1</v>
      </c>
      <c r="AL9" s="3" t="b">
        <f>AND(G9, NOT(O9), NOT(AJ9))</f>
        <v>1</v>
      </c>
      <c r="AM9" s="3" t="str">
        <f>IF(NOT(G9), "", IF(AL9, "Unwatched and unowned: exposure defaults to the signatory.", IF(AK9, "Witnessed but unowned: no named accountability.", IF(NOT(O9), "Owned but unwitnessed: rests on human judgement.", ""))))</f>
        <v>Unwatched and unowned: exposure defaults to the signatory.</v>
      </c>
      <c r="AN9" s="3" t="str">
        <f>IF(AL9, "unwatched-unowned", "")</f>
        <v>unwatched-unowned</v>
      </c>
      <c r="AO9" s="2"/>
      <c r="AP9" s="3" t="b">
        <f>AO9 &lt;&gt; ""</f>
        <v>0</v>
      </c>
      <c r="AQ9" s="2" t="s">
        <v>826</v>
      </c>
    </row>
    <row r="10">
      <c r="A10" s="2" t="s">
        <v>866</v>
      </c>
      <c r="B10" s="3" t="str">
        <f>C10</f>
        <v>SMS consent required</v>
      </c>
      <c r="C10" s="2" t="s">
        <v>867</v>
      </c>
      <c r="D10" s="2" t="s">
        <v>868</v>
      </c>
      <c r="E10" s="2" t="s">
        <v>869</v>
      </c>
      <c r="F10" s="2" t="s">
        <v>870</v>
      </c>
      <c r="G10" s="2" t="b">
        <v>1</v>
      </c>
      <c r="H10" s="3">
        <f>COUNTIFS(RequirementSatisfactions!D2:D999, A10)</f>
        <v>0</v>
      </c>
      <c r="I10" s="3">
        <f>COUNTIFS(StepRequirements!D2:D999, A10)</f>
        <v>1</v>
      </c>
      <c r="J10" s="3" t="b">
        <f>I10 &gt; 0</f>
        <v>1</v>
      </c>
      <c r="K10" s="3" t="b">
        <f>H10 &gt; 0</f>
        <v>0</v>
      </c>
      <c r="L10" s="3">
        <f>COUNTIFS(RequirementSatisfactions!N2:N999, A10)</f>
        <v>0</v>
      </c>
      <c r="M10" s="3" t="b">
        <f>AND(G10, J10, NOT(K10))</f>
        <v>1</v>
      </c>
      <c r="N10" s="3" t="b">
        <f>AND(G10, NOT(J10))</f>
        <v>0</v>
      </c>
      <c r="O10" s="2" t="b">
        <v>0</v>
      </c>
      <c r="P10" s="2"/>
      <c r="Q10" s="3" t="b">
        <f>L10 &gt; 0</f>
        <v>0</v>
      </c>
      <c r="R10" s="3" t="b">
        <f>AND(G10, K10, NOT(Q10))</f>
        <v>0</v>
      </c>
      <c r="S10" s="3" t="b">
        <f>P10 &lt;&gt; ""</f>
        <v>0</v>
      </c>
      <c r="T10" s="3" t="str">
        <f>_xlfn.IFNA(INDEX(RulebookFields!I2:I999, MATCH(P10,RulebookFields!A2:A999, 0)), "")</f>
      </c>
      <c r="U10" s="3" t="b">
        <f>AND(S10, T10)</f>
        <v>0</v>
      </c>
      <c r="V10" s="3" t="b">
        <f>NOT(O10 = U10)</f>
        <v>0</v>
      </c>
      <c r="W10" s="3" t="b">
        <f>AND(G10, NOT(U10))</f>
        <v>1</v>
      </c>
      <c r="X10" s="3">
        <f>L10</f>
        <v>0</v>
      </c>
      <c r="Y10" s="3" t="b">
        <f>AND(O10, X10 = 0)</f>
        <v>0</v>
      </c>
      <c r="Z10" s="3">
        <f>H10</f>
        <v>0</v>
      </c>
      <c r="AA10" s="3" t="b">
        <f>Z10 &gt;= AB10</f>
        <v>1</v>
      </c>
      <c r="AB10" s="7"/>
      <c r="AC10" s="3" t="b">
        <f>AND(Y10, NOT(AA10))</f>
        <v>0</v>
      </c>
      <c r="AD10" s="3" t="b">
        <f>AND(Y10, AA10)</f>
        <v>0</v>
      </c>
      <c r="AE10" s="3" t="str">
        <f>IF(NOT(J10), "Decorative", IF(NOT(K10), "Inoperative", IF(NOT(O10), "Asserted", IF(X10 &gt; 0, "Demonstrated", IF(AA10, "Holding", "Untested")))))</f>
        <v>Inoperative</v>
      </c>
      <c r="AF10" s="3">
        <f>COUNTIFS(StepRequirements!M2:M999, A10)</f>
        <v>1</v>
      </c>
      <c r="AG10" s="3" t="b">
        <f>AND(O10, AF10 &gt; 0)</f>
        <v>0</v>
      </c>
      <c r="AH10" s="2"/>
      <c r="AI10" s="3" t="str">
        <f>_xlfn.IFNA(INDEX(Roles!E2:E999, MATCH(AH10,Roles!A2:A999, 0)), "")</f>
      </c>
      <c r="AJ10" s="3" t="b">
        <f>AH10 &lt;&gt; ""</f>
        <v>0</v>
      </c>
      <c r="AK10" s="3" t="b">
        <f>AND(G10, NOT(AJ10))</f>
        <v>1</v>
      </c>
      <c r="AL10" s="3" t="b">
        <f>AND(G10, NOT(O10), NOT(AJ10))</f>
        <v>1</v>
      </c>
      <c r="AM10" s="3" t="str">
        <f>IF(NOT(G10), "", IF(AL10, "Unwatched and unowned: exposure defaults to the signatory.", IF(AK10, "Witnessed but unowned: no named accountability.", IF(NOT(O10), "Owned but unwitnessed: rests on human judgement.", ""))))</f>
        <v>Unwatched and unowned: exposure defaults to the signatory.</v>
      </c>
      <c r="AN10" s="3" t="str">
        <f>IF(AL10, "unwatched-unowned", "")</f>
        <v>unwatched-unowned</v>
      </c>
      <c r="AO10" s="2" t="s">
        <v>871</v>
      </c>
      <c r="AP10" s="3" t="b">
        <f>AO10 &lt;&gt; ""</f>
        <v>1</v>
      </c>
      <c r="AQ10" s="2" t="s">
        <v>826</v>
      </c>
    </row>
    <row r="11">
      <c r="A11" s="2" t="s">
        <v>872</v>
      </c>
      <c r="B11" s="3" t="str">
        <f>C11</f>
        <v>Quiet hours enforced</v>
      </c>
      <c r="C11" s="2" t="s">
        <v>873</v>
      </c>
      <c r="D11" s="2" t="s">
        <v>874</v>
      </c>
      <c r="E11" s="2" t="s">
        <v>875</v>
      </c>
      <c r="F11" s="2" t="s">
        <v>876</v>
      </c>
      <c r="G11" s="2" t="b">
        <v>1</v>
      </c>
      <c r="H11" s="3">
        <f>COUNTIFS(RequirementSatisfactions!D2:D999, A11)</f>
        <v>0</v>
      </c>
      <c r="I11" s="3">
        <f>COUNTIFS(StepRequirements!D2:D999, A11)</f>
        <v>1</v>
      </c>
      <c r="J11" s="3" t="b">
        <f>I11 &gt; 0</f>
        <v>1</v>
      </c>
      <c r="K11" s="3" t="b">
        <f>H11 &gt; 0</f>
        <v>0</v>
      </c>
      <c r="L11" s="3">
        <f>COUNTIFS(RequirementSatisfactions!N2:N999, A11)</f>
        <v>0</v>
      </c>
      <c r="M11" s="3" t="b">
        <f>AND(G11, J11, NOT(K11))</f>
        <v>1</v>
      </c>
      <c r="N11" s="3" t="b">
        <f>AND(G11, NOT(J11))</f>
        <v>0</v>
      </c>
      <c r="O11" s="2" t="b">
        <v>0</v>
      </c>
      <c r="P11" s="2"/>
      <c r="Q11" s="3" t="b">
        <f>L11 &gt; 0</f>
        <v>0</v>
      </c>
      <c r="R11" s="3" t="b">
        <f>AND(G11, K11, NOT(Q11))</f>
        <v>0</v>
      </c>
      <c r="S11" s="3" t="b">
        <f>P11 &lt;&gt; ""</f>
        <v>0</v>
      </c>
      <c r="T11" s="3" t="str">
        <f>_xlfn.IFNA(INDEX(RulebookFields!I2:I999, MATCH(P11,RulebookFields!A2:A999, 0)), "")</f>
      </c>
      <c r="U11" s="3" t="b">
        <f>AND(S11, T11)</f>
        <v>0</v>
      </c>
      <c r="V11" s="3" t="b">
        <f>NOT(O11 = U11)</f>
        <v>0</v>
      </c>
      <c r="W11" s="3" t="b">
        <f>AND(G11, NOT(U11))</f>
        <v>1</v>
      </c>
      <c r="X11" s="3">
        <f>L11</f>
        <v>0</v>
      </c>
      <c r="Y11" s="3" t="b">
        <f>AND(O11, X11 = 0)</f>
        <v>0</v>
      </c>
      <c r="Z11" s="3">
        <f>H11</f>
        <v>0</v>
      </c>
      <c r="AA11" s="3" t="b">
        <f>Z11 &gt;= AB11</f>
        <v>1</v>
      </c>
      <c r="AB11" s="7"/>
      <c r="AC11" s="3" t="b">
        <f>AND(Y11, NOT(AA11))</f>
        <v>0</v>
      </c>
      <c r="AD11" s="3" t="b">
        <f>AND(Y11, AA11)</f>
        <v>0</v>
      </c>
      <c r="AE11" s="3" t="str">
        <f>IF(NOT(J11), "Decorative", IF(NOT(K11), "Inoperative", IF(NOT(O11), "Asserted", IF(X11 &gt; 0, "Demonstrated", IF(AA11, "Holding", "Untested")))))</f>
        <v>Inoperative</v>
      </c>
      <c r="AF11" s="3">
        <f>COUNTIFS(StepRequirements!M2:M999, A11)</f>
        <v>1</v>
      </c>
      <c r="AG11" s="3" t="b">
        <f>AND(O11, AF11 &gt; 0)</f>
        <v>0</v>
      </c>
      <c r="AH11" s="2"/>
      <c r="AI11" s="3" t="str">
        <f>_xlfn.IFNA(INDEX(Roles!E2:E999, MATCH(AH11,Roles!A2:A999, 0)), "")</f>
      </c>
      <c r="AJ11" s="3" t="b">
        <f>AH11 &lt;&gt; ""</f>
        <v>0</v>
      </c>
      <c r="AK11" s="3" t="b">
        <f>AND(G11, NOT(AJ11))</f>
        <v>1</v>
      </c>
      <c r="AL11" s="3" t="b">
        <f>AND(G11, NOT(O11), NOT(AJ11))</f>
        <v>1</v>
      </c>
      <c r="AM11" s="3" t="str">
        <f>IF(NOT(G11), "", IF(AL11, "Unwatched and unowned: exposure defaults to the signatory.", IF(AK11, "Witnessed but unowned: no named accountability.", IF(NOT(O11), "Owned but unwitnessed: rests on human judgement.", ""))))</f>
        <v>Unwatched and unowned: exposure defaults to the signatory.</v>
      </c>
      <c r="AN11" s="3" t="str">
        <f>IF(AL11, "unwatched-unowned", "")</f>
        <v>unwatched-unowned</v>
      </c>
      <c r="AO11" s="2" t="s">
        <v>877</v>
      </c>
      <c r="AP11" s="3" t="b">
        <f>AO11 &lt;&gt; ""</f>
        <v>1</v>
      </c>
      <c r="AQ11" s="2" t="s">
        <v>826</v>
      </c>
    </row>
    <row r="12">
      <c r="A12" s="2" t="s">
        <v>878</v>
      </c>
      <c r="B12" s="3" t="str">
        <f>C12</f>
        <v>Opt-out text required</v>
      </c>
      <c r="C12" s="2" t="s">
        <v>879</v>
      </c>
      <c r="D12" s="2" t="s">
        <v>874</v>
      </c>
      <c r="E12" s="2" t="s">
        <v>880</v>
      </c>
      <c r="F12" s="2" t="s">
        <v>881</v>
      </c>
      <c r="G12" s="2" t="b">
        <v>1</v>
      </c>
      <c r="H12" s="3">
        <f>COUNTIFS(RequirementSatisfactions!D2:D999, A12)</f>
        <v>0</v>
      </c>
      <c r="I12" s="3">
        <f>COUNTIFS(StepRequirements!D2:D999, A12)</f>
        <v>1</v>
      </c>
      <c r="J12" s="3" t="b">
        <f>I12 &gt; 0</f>
        <v>1</v>
      </c>
      <c r="K12" s="3" t="b">
        <f>H12 &gt; 0</f>
        <v>0</v>
      </c>
      <c r="L12" s="3">
        <f>COUNTIFS(RequirementSatisfactions!N2:N999, A12)</f>
        <v>0</v>
      </c>
      <c r="M12" s="3" t="b">
        <f>AND(G12, J12, NOT(K12))</f>
        <v>1</v>
      </c>
      <c r="N12" s="3" t="b">
        <f>AND(G12, NOT(J12))</f>
        <v>0</v>
      </c>
      <c r="O12" s="2" t="b">
        <v>0</v>
      </c>
      <c r="P12" s="2"/>
      <c r="Q12" s="3" t="b">
        <f>L12 &gt; 0</f>
        <v>0</v>
      </c>
      <c r="R12" s="3" t="b">
        <f>AND(G12, K12, NOT(Q12))</f>
        <v>0</v>
      </c>
      <c r="S12" s="3" t="b">
        <f>P12 &lt;&gt; ""</f>
        <v>0</v>
      </c>
      <c r="T12" s="3" t="str">
        <f>_xlfn.IFNA(INDEX(RulebookFields!I2:I999, MATCH(P12,RulebookFields!A2:A999, 0)), "")</f>
      </c>
      <c r="U12" s="3" t="b">
        <f>AND(S12, T12)</f>
        <v>0</v>
      </c>
      <c r="V12" s="3" t="b">
        <f>NOT(O12 = U12)</f>
        <v>0</v>
      </c>
      <c r="W12" s="3" t="b">
        <f>AND(G12, NOT(U12))</f>
        <v>1</v>
      </c>
      <c r="X12" s="3">
        <f>L12</f>
        <v>0</v>
      </c>
      <c r="Y12" s="3" t="b">
        <f>AND(O12, X12 = 0)</f>
        <v>0</v>
      </c>
      <c r="Z12" s="3">
        <f>H12</f>
        <v>0</v>
      </c>
      <c r="AA12" s="3" t="b">
        <f>Z12 &gt;= AB12</f>
        <v>1</v>
      </c>
      <c r="AB12" s="7"/>
      <c r="AC12" s="3" t="b">
        <f>AND(Y12, NOT(AA12))</f>
        <v>0</v>
      </c>
      <c r="AD12" s="3" t="b">
        <f>AND(Y12, AA12)</f>
        <v>0</v>
      </c>
      <c r="AE12" s="3" t="str">
        <f>IF(NOT(J12), "Decorative", IF(NOT(K12), "Inoperative", IF(NOT(O12), "Asserted", IF(X12 &gt; 0, "Demonstrated", IF(AA12, "Holding", "Untested")))))</f>
        <v>Inoperative</v>
      </c>
      <c r="AF12" s="3">
        <f>COUNTIFS(StepRequirements!M2:M999, A12)</f>
        <v>1</v>
      </c>
      <c r="AG12" s="3" t="b">
        <f>AND(O12, AF12 &gt; 0)</f>
        <v>0</v>
      </c>
      <c r="AH12" s="2"/>
      <c r="AI12" s="3" t="str">
        <f>_xlfn.IFNA(INDEX(Roles!E2:E999, MATCH(AH12,Roles!A2:A999, 0)), "")</f>
      </c>
      <c r="AJ12" s="3" t="b">
        <f>AH12 &lt;&gt; ""</f>
        <v>0</v>
      </c>
      <c r="AK12" s="3" t="b">
        <f>AND(G12, NOT(AJ12))</f>
        <v>1</v>
      </c>
      <c r="AL12" s="3" t="b">
        <f>AND(G12, NOT(O12), NOT(AJ12))</f>
        <v>1</v>
      </c>
      <c r="AM12" s="3" t="str">
        <f>IF(NOT(G12), "", IF(AL12, "Unwatched and unowned: exposure defaults to the signatory.", IF(AK12, "Witnessed but unowned: no named accountability.", IF(NOT(O12), "Owned but unwitnessed: rests on human judgement.", ""))))</f>
        <v>Unwatched and unowned: exposure defaults to the signatory.</v>
      </c>
      <c r="AN12" s="3" t="str">
        <f>IF(AL12, "unwatched-unowned", "")</f>
        <v>unwatched-unowned</v>
      </c>
      <c r="AO12" s="2" t="s">
        <v>882</v>
      </c>
      <c r="AP12" s="3" t="b">
        <f>AO12 &lt;&gt; ""</f>
        <v>1</v>
      </c>
      <c r="AQ12" s="2" t="s">
        <v>826</v>
      </c>
    </row>
    <row r="13">
      <c r="A13" s="2" t="s">
        <v>883</v>
      </c>
      <c r="B13" s="3" t="str">
        <f>C13</f>
        <v>Communication evidence retention</v>
      </c>
      <c r="C13" s="2" t="s">
        <v>884</v>
      </c>
      <c r="D13" s="2" t="s">
        <v>842</v>
      </c>
      <c r="E13" s="2" t="s">
        <v>885</v>
      </c>
      <c r="F13" s="2" t="s">
        <v>886</v>
      </c>
      <c r="G13" s="2" t="b">
        <v>1</v>
      </c>
      <c r="H13" s="3">
        <f>COUNTIFS(RequirementSatisfactions!D2:D999, A13)</f>
        <v>0</v>
      </c>
      <c r="I13" s="3">
        <f>COUNTIFS(StepRequirements!D2:D999, A13)</f>
        <v>2</v>
      </c>
      <c r="J13" s="3" t="b">
        <f>I13 &gt; 0</f>
        <v>1</v>
      </c>
      <c r="K13" s="3" t="b">
        <f>H13 &gt; 0</f>
        <v>0</v>
      </c>
      <c r="L13" s="3">
        <f>COUNTIFS(RequirementSatisfactions!N2:N999, A13)</f>
        <v>0</v>
      </c>
      <c r="M13" s="3" t="b">
        <f>AND(G13, J13, NOT(K13))</f>
        <v>1</v>
      </c>
      <c r="N13" s="3" t="b">
        <f>AND(G13, NOT(J13))</f>
        <v>0</v>
      </c>
      <c r="O13" s="2" t="b">
        <v>0</v>
      </c>
      <c r="P13" s="2"/>
      <c r="Q13" s="3" t="b">
        <f>L13 &gt; 0</f>
        <v>0</v>
      </c>
      <c r="R13" s="3" t="b">
        <f>AND(G13, K13, NOT(Q13))</f>
        <v>0</v>
      </c>
      <c r="S13" s="3" t="b">
        <f>P13 &lt;&gt; ""</f>
        <v>0</v>
      </c>
      <c r="T13" s="3" t="str">
        <f>_xlfn.IFNA(INDEX(RulebookFields!I2:I999, MATCH(P13,RulebookFields!A2:A999, 0)), "")</f>
      </c>
      <c r="U13" s="3" t="b">
        <f>AND(S13, T13)</f>
        <v>0</v>
      </c>
      <c r="V13" s="3" t="b">
        <f>NOT(O13 = U13)</f>
        <v>0</v>
      </c>
      <c r="W13" s="3" t="b">
        <f>AND(G13, NOT(U13))</f>
        <v>1</v>
      </c>
      <c r="X13" s="3">
        <f>L13</f>
        <v>0</v>
      </c>
      <c r="Y13" s="3" t="b">
        <f>AND(O13, X13 = 0)</f>
        <v>0</v>
      </c>
      <c r="Z13" s="3">
        <f>H13</f>
        <v>0</v>
      </c>
      <c r="AA13" s="3" t="b">
        <f>Z13 &gt;= AB13</f>
        <v>1</v>
      </c>
      <c r="AB13" s="7"/>
      <c r="AC13" s="3" t="b">
        <f>AND(Y13, NOT(AA13))</f>
        <v>0</v>
      </c>
      <c r="AD13" s="3" t="b">
        <f>AND(Y13, AA13)</f>
        <v>0</v>
      </c>
      <c r="AE13" s="3" t="str">
        <f>IF(NOT(J13), "Decorative", IF(NOT(K13), "Inoperative", IF(NOT(O13), "Asserted", IF(X13 &gt; 0, "Demonstrated", IF(AA13, "Holding", "Untested")))))</f>
        <v>Inoperative</v>
      </c>
      <c r="AF13" s="3">
        <f>COUNTIFS(StepRequirements!M2:M999, A13)</f>
        <v>2</v>
      </c>
      <c r="AG13" s="3" t="b">
        <f>AND(O13, AF13 &gt; 0)</f>
        <v>0</v>
      </c>
      <c r="AH13" s="2"/>
      <c r="AI13" s="3" t="str">
        <f>_xlfn.IFNA(INDEX(Roles!E2:E999, MATCH(AH13,Roles!A2:A999, 0)), "")</f>
      </c>
      <c r="AJ13" s="3" t="b">
        <f>AH13 &lt;&gt; ""</f>
        <v>0</v>
      </c>
      <c r="AK13" s="3" t="b">
        <f>AND(G13, NOT(AJ13))</f>
        <v>1</v>
      </c>
      <c r="AL13" s="3" t="b">
        <f>AND(G13, NOT(O13), NOT(AJ13))</f>
        <v>1</v>
      </c>
      <c r="AM13" s="3" t="str">
        <f>IF(NOT(G13), "", IF(AL13, "Unwatched and unowned: exposure defaults to the signatory.", IF(AK13, "Witnessed but unowned: no named accountability.", IF(NOT(O13), "Owned but unwitnessed: rests on human judgement.", ""))))</f>
        <v>Unwatched and unowned: exposure defaults to the signatory.</v>
      </c>
      <c r="AN13" s="3" t="str">
        <f>IF(AL13, "unwatched-unowned", "")</f>
        <v>unwatched-unowned</v>
      </c>
      <c r="AO13" s="2" t="s">
        <v>846</v>
      </c>
      <c r="AP13" s="3" t="b">
        <f>AO13 &lt;&gt; ""</f>
        <v>1</v>
      </c>
      <c r="AQ13" s="2" t="s">
        <v>826</v>
      </c>
    </row>
    <row r="14">
      <c r="A14" s="2" t="s">
        <v>887</v>
      </c>
      <c r="B14" s="3" t="str">
        <f>C14</f>
        <v>Plain-language and accessibility</v>
      </c>
      <c r="C14" s="2" t="s">
        <v>888</v>
      </c>
      <c r="D14" s="2" t="s">
        <v>889</v>
      </c>
      <c r="E14" s="2" t="s">
        <v>890</v>
      </c>
      <c r="F14" s="2" t="s">
        <v>891</v>
      </c>
      <c r="G14" s="2" t="b">
        <v>1</v>
      </c>
      <c r="H14" s="3">
        <f>COUNTIFS(RequirementSatisfactions!D2:D999, A14)</f>
        <v>0</v>
      </c>
      <c r="I14" s="3">
        <f>COUNTIFS(StepRequirements!D2:D999, A14)</f>
        <v>1</v>
      </c>
      <c r="J14" s="3" t="b">
        <f>I14 &gt; 0</f>
        <v>1</v>
      </c>
      <c r="K14" s="3" t="b">
        <f>H14 &gt; 0</f>
        <v>0</v>
      </c>
      <c r="L14" s="3">
        <f>COUNTIFS(RequirementSatisfactions!N2:N999, A14)</f>
        <v>0</v>
      </c>
      <c r="M14" s="3" t="b">
        <f>AND(G14, J14, NOT(K14))</f>
        <v>1</v>
      </c>
      <c r="N14" s="3" t="b">
        <f>AND(G14, NOT(J14))</f>
        <v>0</v>
      </c>
      <c r="O14" s="2" t="b">
        <v>0</v>
      </c>
      <c r="P14" s="2"/>
      <c r="Q14" s="3" t="b">
        <f>L14 &gt; 0</f>
        <v>0</v>
      </c>
      <c r="R14" s="3" t="b">
        <f>AND(G14, K14, NOT(Q14))</f>
        <v>0</v>
      </c>
      <c r="S14" s="3" t="b">
        <f>P14 &lt;&gt; ""</f>
        <v>0</v>
      </c>
      <c r="T14" s="3" t="str">
        <f>_xlfn.IFNA(INDEX(RulebookFields!I2:I999, MATCH(P14,RulebookFields!A2:A999, 0)), "")</f>
      </c>
      <c r="U14" s="3" t="b">
        <f>AND(S14, T14)</f>
        <v>0</v>
      </c>
      <c r="V14" s="3" t="b">
        <f>NOT(O14 = U14)</f>
        <v>0</v>
      </c>
      <c r="W14" s="3" t="b">
        <f>AND(G14, NOT(U14))</f>
        <v>1</v>
      </c>
      <c r="X14" s="3">
        <f>L14</f>
        <v>0</v>
      </c>
      <c r="Y14" s="3" t="b">
        <f>AND(O14, X14 = 0)</f>
        <v>0</v>
      </c>
      <c r="Z14" s="3">
        <f>H14</f>
        <v>0</v>
      </c>
      <c r="AA14" s="3" t="b">
        <f>Z14 &gt;= AB14</f>
        <v>1</v>
      </c>
      <c r="AB14" s="7"/>
      <c r="AC14" s="3" t="b">
        <f>AND(Y14, NOT(AA14))</f>
        <v>0</v>
      </c>
      <c r="AD14" s="3" t="b">
        <f>AND(Y14, AA14)</f>
        <v>0</v>
      </c>
      <c r="AE14" s="3" t="str">
        <f>IF(NOT(J14), "Decorative", IF(NOT(K14), "Inoperative", IF(NOT(O14), "Asserted", IF(X14 &gt; 0, "Demonstrated", IF(AA14, "Holding", "Untested")))))</f>
        <v>Inoperative</v>
      </c>
      <c r="AF14" s="3">
        <f>COUNTIFS(StepRequirements!M2:M999, A14)</f>
        <v>1</v>
      </c>
      <c r="AG14" s="3" t="b">
        <f>AND(O14, AF14 &gt; 0)</f>
        <v>0</v>
      </c>
      <c r="AH14" s="2"/>
      <c r="AI14" s="3" t="str">
        <f>_xlfn.IFNA(INDEX(Roles!E2:E999, MATCH(AH14,Roles!A2:A999, 0)), "")</f>
      </c>
      <c r="AJ14" s="3" t="b">
        <f>AH14 &lt;&gt; ""</f>
        <v>0</v>
      </c>
      <c r="AK14" s="3" t="b">
        <f>AND(G14, NOT(AJ14))</f>
        <v>1</v>
      </c>
      <c r="AL14" s="3" t="b">
        <f>AND(G14, NOT(O14), NOT(AJ14))</f>
        <v>1</v>
      </c>
      <c r="AM14" s="3" t="str">
        <f>IF(NOT(G14), "", IF(AL14, "Unwatched and unowned: exposure defaults to the signatory.", IF(AK14, "Witnessed but unowned: no named accountability.", IF(NOT(O14), "Owned but unwitnessed: rests on human judgement.", ""))))</f>
        <v>Unwatched and unowned: exposure defaults to the signatory.</v>
      </c>
      <c r="AN14" s="3" t="str">
        <f>IF(AL14, "unwatched-unowned", "")</f>
        <v>unwatched-unowned</v>
      </c>
      <c r="AO14" s="2" t="s">
        <v>892</v>
      </c>
      <c r="AP14" s="3" t="b">
        <f>AO14 &lt;&gt; ""</f>
        <v>1</v>
      </c>
      <c r="AQ14" s="2" t="s">
        <v>826</v>
      </c>
    </row>
  </sheetData>
  <autoFilter ref="A1:AQ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6"/>
  <sheetViews>
    <sheetView workbookViewId="0">
      <pane ySplit="1" topLeftCell="A2" state="frozen" activePane="bottomLeft"/>
      <selection pane="bottomLeft" activeCell="A1" sqref="A1"/>
    </sheetView>
  </sheetViews>
  <sheetFormatPr defaultRowHeight="15"/>
  <cols>
    <col min="1" max="1" width="19.85036849975586" customWidth="1"/>
    <col min="2" max="2" width="36.94690704345703" customWidth="1"/>
    <col min="3" max="3" width="17.443378448486328" customWidth="1"/>
    <col min="4" max="4" width="26.427637100219727" customWidth="1"/>
    <col min="5" max="5" width="23.09225845336914" customWidth="1"/>
    <col min="6" max="6" width="17.443378448486328" customWidth="1"/>
    <col min="7" max="7" width="19.024593353271484" customWidth="1"/>
    <col min="8" max="8" width="25.768842697143555" customWidth="1"/>
    <col min="9" max="9" width="21.056377410888672" customWidth="1"/>
    <col min="10" max="10" width="27.63242530822754" customWidth="1"/>
    <col min="11" max="11" width="25.40498924255371" customWidth="1"/>
    <col min="12" max="12" width="28.966201782226562" customWidth="1"/>
    <col min="13" max="13" width="34.77509307861328" customWidth="1"/>
  </cols>
  <sheetData>
    <row r="1">
      <c r="A1" s="1" t="s">
        <v>893</v>
      </c>
      <c r="B1" s="1" t="s">
        <v>1</v>
      </c>
      <c r="C1" s="1" t="s">
        <v>747</v>
      </c>
      <c r="D1" s="1" t="s">
        <v>894</v>
      </c>
      <c r="E1" s="1" t="s">
        <v>895</v>
      </c>
      <c r="F1" s="1" t="s">
        <v>896</v>
      </c>
      <c r="G1" s="1" t="s">
        <v>897</v>
      </c>
      <c r="H1" s="1" t="s">
        <v>898</v>
      </c>
      <c r="I1" s="1" t="s">
        <v>899</v>
      </c>
      <c r="J1" s="1" t="s">
        <v>900</v>
      </c>
      <c r="K1" s="1" t="s">
        <v>901</v>
      </c>
      <c r="L1" s="1" t="s">
        <v>902</v>
      </c>
      <c r="M1" s="1" t="s">
        <v>903</v>
      </c>
    </row>
    <row r="2">
      <c r="A2" s="2" t="s">
        <v>904</v>
      </c>
      <c r="B2" s="3" t="str">
        <f>C2 &amp; " / " &amp; D2</f>
        <v>close-01 / req-close-cutoff</v>
      </c>
      <c r="C2" s="2" t="s">
        <v>535</v>
      </c>
      <c r="D2" s="2" t="s">
        <v>819</v>
      </c>
      <c r="E2" s="3" t="b">
        <f>_xlfn.IFNA(INDEX(Requirements!G2:G999, MATCH(D2,Requirements!A2:A999, 0)), "")</f>
        <v>1</v>
      </c>
      <c r="F2" s="3" t="str">
        <f>IF(E2, C2, "")</f>
        <v>close-01</v>
      </c>
      <c r="G2" s="3" t="str">
        <f>IF(E2, C2, "")</f>
        <v>close-01</v>
      </c>
      <c r="H2" s="3" t="b">
        <f>_xlfn.IFNA(INDEX(Requirements!W2:W999, MATCH(D2,Requirements!A2:A999, 0)), "")</f>
        <v>0</v>
      </c>
      <c r="I2" s="3" t="str">
        <f>IF(H2, C2, "")</f>
      </c>
      <c r="J2" s="3">
        <f>COUNTIFS(RequirementSatisfactions!AE2:AE999, A2)</f>
        <v>0</v>
      </c>
      <c r="K2" s="3" t="b">
        <f>J2 &gt; 0</f>
        <v>0</v>
      </c>
      <c r="L2" s="3" t="b">
        <f>AND(E2, NOT(K2))</f>
        <v>1</v>
      </c>
      <c r="M2" s="3" t="str">
        <f>IF(L2, D2, "")</f>
        <v>req-close-cutoff</v>
      </c>
    </row>
    <row r="3">
      <c r="A3" s="2" t="s">
        <v>905</v>
      </c>
      <c r="B3" s="3" t="str">
        <f>C3 &amp; " / " &amp; D3</f>
        <v>close-03 / req-close-balance</v>
      </c>
      <c r="C3" s="2" t="s">
        <v>547</v>
      </c>
      <c r="D3" s="2" t="s">
        <v>827</v>
      </c>
      <c r="E3" s="3" t="b">
        <f>_xlfn.IFNA(INDEX(Requirements!G2:G999, MATCH(D3,Requirements!A2:A999, 0)), "")</f>
        <v>1</v>
      </c>
      <c r="F3" s="3" t="str">
        <f>IF(E3, C3, "")</f>
        <v>close-03</v>
      </c>
      <c r="G3" s="3" t="str">
        <f>IF(E3, C3, "")</f>
        <v>close-03</v>
      </c>
      <c r="H3" s="3" t="b">
        <f>_xlfn.IFNA(INDEX(Requirements!W2:W999, MATCH(D3,Requirements!A2:A999, 0)), "")</f>
        <v>0</v>
      </c>
      <c r="I3" s="3" t="str">
        <f>IF(H3, C3, "")</f>
      </c>
      <c r="J3" s="3">
        <f>COUNTIFS(RequirementSatisfactions!AE2:AE999, A3)</f>
        <v>0</v>
      </c>
      <c r="K3" s="3" t="b">
        <f>J3 &gt; 0</f>
        <v>0</v>
      </c>
      <c r="L3" s="3" t="b">
        <f>AND(E3, NOT(K3))</f>
        <v>1</v>
      </c>
      <c r="M3" s="3" t="str">
        <f>IF(L3, D3, "")</f>
        <v>req-close-balance</v>
      </c>
    </row>
    <row r="4">
      <c r="A4" s="2" t="s">
        <v>906</v>
      </c>
      <c r="B4" s="3" t="str">
        <f>C4 &amp; " / " &amp; D4</f>
        <v>close-03 / req-close-evidence</v>
      </c>
      <c r="C4" s="2" t="s">
        <v>547</v>
      </c>
      <c r="D4" s="2" t="s">
        <v>840</v>
      </c>
      <c r="E4" s="3" t="b">
        <f>_xlfn.IFNA(INDEX(Requirements!G2:G999, MATCH(D4,Requirements!A2:A999, 0)), "")</f>
        <v>1</v>
      </c>
      <c r="F4" s="3" t="str">
        <f>IF(E4, C4, "")</f>
        <v>close-03</v>
      </c>
      <c r="G4" s="3" t="str">
        <f>IF(E4, C4, "")</f>
        <v>close-03</v>
      </c>
      <c r="H4" s="3" t="b">
        <f>_xlfn.IFNA(INDEX(Requirements!W2:W999, MATCH(D4,Requirements!A2:A999, 0)), "")</f>
        <v>0</v>
      </c>
      <c r="I4" s="3" t="str">
        <f>IF(H4, C4, "")</f>
      </c>
      <c r="J4" s="3">
        <f>COUNTIFS(RequirementSatisfactions!AE2:AE999, A4)</f>
        <v>0</v>
      </c>
      <c r="K4" s="3" t="b">
        <f>J4 &gt; 0</f>
        <v>0</v>
      </c>
      <c r="L4" s="3" t="b">
        <f>AND(E4, NOT(K4))</f>
        <v>1</v>
      </c>
      <c r="M4" s="3" t="str">
        <f>IF(L4, D4, "")</f>
        <v>req-close-evidence</v>
      </c>
    </row>
    <row r="5">
      <c r="A5" s="2" t="s">
        <v>907</v>
      </c>
      <c r="B5" s="3" t="str">
        <f>C5 &amp; " / " &amp; D5</f>
        <v>close-05 / req-close-separation</v>
      </c>
      <c r="C5" s="2" t="s">
        <v>559</v>
      </c>
      <c r="D5" s="2" t="s">
        <v>833</v>
      </c>
      <c r="E5" s="3" t="b">
        <f>_xlfn.IFNA(INDEX(Requirements!G2:G999, MATCH(D5,Requirements!A2:A999, 0)), "")</f>
        <v>1</v>
      </c>
      <c r="F5" s="3" t="str">
        <f>IF(E5, C5, "")</f>
        <v>close-05</v>
      </c>
      <c r="G5" s="3" t="str">
        <f>IF(E5, C5, "")</f>
        <v>close-05</v>
      </c>
      <c r="H5" s="3" t="b">
        <f>_xlfn.IFNA(INDEX(Requirements!W2:W999, MATCH(D5,Requirements!A2:A999, 0)), "")</f>
        <v>0</v>
      </c>
      <c r="I5" s="3" t="str">
        <f>IF(H5, C5, "")</f>
      </c>
      <c r="J5" s="3">
        <f>COUNTIFS(RequirementSatisfactions!AE2:AE999, A5)</f>
        <v>0</v>
      </c>
      <c r="K5" s="3" t="b">
        <f>J5 &gt; 0</f>
        <v>0</v>
      </c>
      <c r="L5" s="3" t="b">
        <f>AND(E5, NOT(K5))</f>
        <v>1</v>
      </c>
      <c r="M5" s="3" t="str">
        <f>IF(L5, D5, "")</f>
        <v>req-close-separation</v>
      </c>
    </row>
    <row r="6">
      <c r="A6" s="2" t="s">
        <v>908</v>
      </c>
      <c r="B6" s="3" t="str">
        <f>C6 &amp; " / " &amp; D6</f>
        <v>close-06 / req-close-human-approval</v>
      </c>
      <c r="C6" s="2" t="s">
        <v>563</v>
      </c>
      <c r="D6" s="2" t="s">
        <v>847</v>
      </c>
      <c r="E6" s="3" t="b">
        <f>_xlfn.IFNA(INDEX(Requirements!G2:G999, MATCH(D6,Requirements!A2:A999, 0)), "")</f>
        <v>1</v>
      </c>
      <c r="F6" s="3" t="str">
        <f>IF(E6, C6, "")</f>
        <v>close-06</v>
      </c>
      <c r="G6" s="3" t="str">
        <f>IF(E6, C6, "")</f>
        <v>close-06</v>
      </c>
      <c r="H6" s="3" t="b">
        <f>_xlfn.IFNA(INDEX(Requirements!W2:W999, MATCH(D6,Requirements!A2:A999, 0)), "")</f>
        <v>1</v>
      </c>
      <c r="I6" s="3" t="str">
        <f>IF(H6, C6, "")</f>
        <v>close-06</v>
      </c>
      <c r="J6" s="3">
        <f>COUNTIFS(RequirementSatisfactions!AE2:AE999, A6)</f>
        <v>0</v>
      </c>
      <c r="K6" s="3" t="b">
        <f>J6 &gt; 0</f>
        <v>0</v>
      </c>
      <c r="L6" s="3" t="b">
        <f>AND(E6, NOT(K6))</f>
        <v>1</v>
      </c>
      <c r="M6" s="3" t="str">
        <f>IF(L6, D6, "")</f>
        <v>req-close-human-approval</v>
      </c>
    </row>
    <row r="7">
      <c r="A7" s="2" t="s">
        <v>909</v>
      </c>
      <c r="B7" s="3" t="str">
        <f>C7 &amp; " / " &amp; D7</f>
        <v>close-08 / req-close-evidence</v>
      </c>
      <c r="C7" s="2" t="s">
        <v>573</v>
      </c>
      <c r="D7" s="2" t="s">
        <v>840</v>
      </c>
      <c r="E7" s="3" t="b">
        <f>_xlfn.IFNA(INDEX(Requirements!G2:G999, MATCH(D7,Requirements!A2:A999, 0)), "")</f>
        <v>1</v>
      </c>
      <c r="F7" s="3" t="str">
        <f>IF(E7, C7, "")</f>
        <v>close-08</v>
      </c>
      <c r="G7" s="3" t="str">
        <f>IF(E7, C7, "")</f>
        <v>close-08</v>
      </c>
      <c r="H7" s="3" t="b">
        <f>_xlfn.IFNA(INDEX(Requirements!W2:W999, MATCH(D7,Requirements!A2:A999, 0)), "")</f>
        <v>0</v>
      </c>
      <c r="I7" s="3" t="str">
        <f>IF(H7, C7, "")</f>
      </c>
      <c r="J7" s="3">
        <f>COUNTIFS(RequirementSatisfactions!AE2:AE999, A7)</f>
        <v>0</v>
      </c>
      <c r="K7" s="3" t="b">
        <f>J7 &gt; 0</f>
        <v>0</v>
      </c>
      <c r="L7" s="3" t="b">
        <f>AND(E7, NOT(K7))</f>
        <v>1</v>
      </c>
      <c r="M7" s="3" t="str">
        <f>IF(L7, D7, "")</f>
        <v>req-close-evidence</v>
      </c>
    </row>
    <row r="8">
      <c r="A8" s="2" t="s">
        <v>910</v>
      </c>
      <c r="B8" s="3" t="str">
        <f>C8 &amp; " / " &amp; D8</f>
        <v>policy-03 / req-policy-source</v>
      </c>
      <c r="C8" s="2" t="s">
        <v>584</v>
      </c>
      <c r="D8" s="2" t="s">
        <v>852</v>
      </c>
      <c r="E8" s="3" t="b">
        <f>_xlfn.IFNA(INDEX(Requirements!G2:G999, MATCH(D8,Requirements!A2:A999, 0)), "")</f>
        <v>1</v>
      </c>
      <c r="F8" s="3" t="str">
        <f>IF(E8, C8, "")</f>
        <v>policy-03</v>
      </c>
      <c r="G8" s="3" t="str">
        <f>IF(E8, C8, "")</f>
        <v>policy-03</v>
      </c>
      <c r="H8" s="3" t="b">
        <f>_xlfn.IFNA(INDEX(Requirements!W2:W999, MATCH(D8,Requirements!A2:A999, 0)), "")</f>
        <v>1</v>
      </c>
      <c r="I8" s="3" t="str">
        <f>IF(H8, C8, "")</f>
        <v>policy-03</v>
      </c>
      <c r="J8" s="3">
        <f>COUNTIFS(RequirementSatisfactions!AE2:AE999, A8)</f>
        <v>0</v>
      </c>
      <c r="K8" s="3" t="b">
        <f>J8 &gt; 0</f>
        <v>0</v>
      </c>
      <c r="L8" s="3" t="b">
        <f>AND(E8, NOT(K8))</f>
        <v>1</v>
      </c>
      <c r="M8" s="3" t="str">
        <f>IF(L8, D8, "")</f>
        <v>req-policy-source</v>
      </c>
    </row>
    <row r="9">
      <c r="A9" s="2" t="s">
        <v>911</v>
      </c>
      <c r="B9" s="3" t="str">
        <f>C9 &amp; " / " &amp; D9</f>
        <v>policy-04 / req-policy-legal</v>
      </c>
      <c r="C9" s="2" t="s">
        <v>587</v>
      </c>
      <c r="D9" s="2" t="s">
        <v>857</v>
      </c>
      <c r="E9" s="3" t="b">
        <f>_xlfn.IFNA(INDEX(Requirements!G2:G999, MATCH(D9,Requirements!A2:A999, 0)), "")</f>
        <v>1</v>
      </c>
      <c r="F9" s="3" t="str">
        <f>IF(E9, C9, "")</f>
        <v>policy-04</v>
      </c>
      <c r="G9" s="3" t="str">
        <f>IF(E9, C9, "")</f>
        <v>policy-04</v>
      </c>
      <c r="H9" s="3" t="b">
        <f>_xlfn.IFNA(INDEX(Requirements!W2:W999, MATCH(D9,Requirements!A2:A999, 0)), "")</f>
        <v>1</v>
      </c>
      <c r="I9" s="3" t="str">
        <f>IF(H9, C9, "")</f>
        <v>policy-04</v>
      </c>
      <c r="J9" s="3">
        <f>COUNTIFS(RequirementSatisfactions!AE2:AE999, A9)</f>
        <v>0</v>
      </c>
      <c r="K9" s="3" t="b">
        <f>J9 &gt; 0</f>
        <v>0</v>
      </c>
      <c r="L9" s="3" t="b">
        <f>AND(E9, NOT(K9))</f>
        <v>1</v>
      </c>
      <c r="M9" s="3" t="str">
        <f>IF(L9, D9, "")</f>
        <v>req-policy-legal</v>
      </c>
    </row>
    <row r="10">
      <c r="A10" s="2" t="s">
        <v>912</v>
      </c>
      <c r="B10" s="3" t="str">
        <f>C10 &amp; " / " &amp; D10</f>
        <v>policy-05 / req-policy-human-approval</v>
      </c>
      <c r="C10" s="2" t="s">
        <v>591</v>
      </c>
      <c r="D10" s="2" t="s">
        <v>862</v>
      </c>
      <c r="E10" s="3" t="b">
        <f>_xlfn.IFNA(INDEX(Requirements!G2:G999, MATCH(D10,Requirements!A2:A999, 0)), "")</f>
        <v>1</v>
      </c>
      <c r="F10" s="3" t="str">
        <f>IF(E10, C10, "")</f>
        <v>policy-05</v>
      </c>
      <c r="G10" s="3" t="str">
        <f>IF(E10, C10, "")</f>
        <v>policy-05</v>
      </c>
      <c r="H10" s="3" t="b">
        <f>_xlfn.IFNA(INDEX(Requirements!W2:W999, MATCH(D10,Requirements!A2:A999, 0)), "")</f>
        <v>1</v>
      </c>
      <c r="I10" s="3" t="str">
        <f>IF(H10, C10, "")</f>
        <v>policy-05</v>
      </c>
      <c r="J10" s="3">
        <f>COUNTIFS(RequirementSatisfactions!AE2:AE999, A10)</f>
        <v>0</v>
      </c>
      <c r="K10" s="3" t="b">
        <f>J10 &gt; 0</f>
        <v>0</v>
      </c>
      <c r="L10" s="3" t="b">
        <f>AND(E10, NOT(K10))</f>
        <v>1</v>
      </c>
      <c r="M10" s="3" t="str">
        <f>IF(L10, D10, "")</f>
        <v>req-policy-human-approval</v>
      </c>
    </row>
    <row r="11">
      <c r="A11" s="2" t="s">
        <v>913</v>
      </c>
      <c r="B11" s="3" t="str">
        <f>C11 &amp; " / " &amp; D11</f>
        <v>policy-06 / req-policy-accessibility</v>
      </c>
      <c r="C11" s="2" t="s">
        <v>594</v>
      </c>
      <c r="D11" s="2" t="s">
        <v>887</v>
      </c>
      <c r="E11" s="3" t="b">
        <f>_xlfn.IFNA(INDEX(Requirements!G2:G999, MATCH(D11,Requirements!A2:A999, 0)), "")</f>
        <v>1</v>
      </c>
      <c r="F11" s="3" t="str">
        <f>IF(E11, C11, "")</f>
        <v>policy-06</v>
      </c>
      <c r="G11" s="3" t="str">
        <f>IF(E11, C11, "")</f>
        <v>policy-06</v>
      </c>
      <c r="H11" s="3" t="b">
        <f>_xlfn.IFNA(INDEX(Requirements!W2:W999, MATCH(D11,Requirements!A2:A999, 0)), "")</f>
        <v>1</v>
      </c>
      <c r="I11" s="3" t="str">
        <f>IF(H11, C11, "")</f>
        <v>policy-06</v>
      </c>
      <c r="J11" s="3">
        <f>COUNTIFS(RequirementSatisfactions!AE2:AE999, A11)</f>
        <v>0</v>
      </c>
      <c r="K11" s="3" t="b">
        <f>J11 &gt; 0</f>
        <v>0</v>
      </c>
      <c r="L11" s="3" t="b">
        <f>AND(E11, NOT(K11))</f>
        <v>1</v>
      </c>
      <c r="M11" s="3" t="str">
        <f>IF(L11, D11, "")</f>
        <v>req-policy-accessibility</v>
      </c>
    </row>
    <row r="12">
      <c r="A12" s="2" t="s">
        <v>914</v>
      </c>
      <c r="B12" s="3" t="str">
        <f>C12 &amp; " / " &amp; D12</f>
        <v>policy-07 / req-policy-consent</v>
      </c>
      <c r="C12" s="2" t="s">
        <v>597</v>
      </c>
      <c r="D12" s="2" t="s">
        <v>866</v>
      </c>
      <c r="E12" s="3" t="b">
        <f>_xlfn.IFNA(INDEX(Requirements!G2:G999, MATCH(D12,Requirements!A2:A999, 0)), "")</f>
        <v>1</v>
      </c>
      <c r="F12" s="3" t="str">
        <f>IF(E12, C12, "")</f>
        <v>policy-07</v>
      </c>
      <c r="G12" s="3" t="str">
        <f>IF(E12, C12, "")</f>
        <v>policy-07</v>
      </c>
      <c r="H12" s="3" t="b">
        <f>_xlfn.IFNA(INDEX(Requirements!W2:W999, MATCH(D12,Requirements!A2:A999, 0)), "")</f>
        <v>1</v>
      </c>
      <c r="I12" s="3" t="str">
        <f>IF(H12, C12, "")</f>
        <v>policy-07</v>
      </c>
      <c r="J12" s="3">
        <f>COUNTIFS(RequirementSatisfactions!AE2:AE999, A12)</f>
        <v>0</v>
      </c>
      <c r="K12" s="3" t="b">
        <f>J12 &gt; 0</f>
        <v>0</v>
      </c>
      <c r="L12" s="3" t="b">
        <f>AND(E12, NOT(K12))</f>
        <v>1</v>
      </c>
      <c r="M12" s="3" t="str">
        <f>IF(L12, D12, "")</f>
        <v>req-policy-consent</v>
      </c>
    </row>
    <row r="13">
      <c r="A13" s="2" t="s">
        <v>915</v>
      </c>
      <c r="B13" s="3" t="str">
        <f>C13 &amp; " / " &amp; D13</f>
        <v>policy-07 / req-policy-quiet-hours</v>
      </c>
      <c r="C13" s="2" t="s">
        <v>597</v>
      </c>
      <c r="D13" s="2" t="s">
        <v>872</v>
      </c>
      <c r="E13" s="3" t="b">
        <f>_xlfn.IFNA(INDEX(Requirements!G2:G999, MATCH(D13,Requirements!A2:A999, 0)), "")</f>
        <v>1</v>
      </c>
      <c r="F13" s="3" t="str">
        <f>IF(E13, C13, "")</f>
        <v>policy-07</v>
      </c>
      <c r="G13" s="3" t="str">
        <f>IF(E13, C13, "")</f>
        <v>policy-07</v>
      </c>
      <c r="H13" s="3" t="b">
        <f>_xlfn.IFNA(INDEX(Requirements!W2:W999, MATCH(D13,Requirements!A2:A999, 0)), "")</f>
        <v>1</v>
      </c>
      <c r="I13" s="3" t="str">
        <f>IF(H13, C13, "")</f>
        <v>policy-07</v>
      </c>
      <c r="J13" s="3">
        <f>COUNTIFS(RequirementSatisfactions!AE2:AE999, A13)</f>
        <v>0</v>
      </c>
      <c r="K13" s="3" t="b">
        <f>J13 &gt; 0</f>
        <v>0</v>
      </c>
      <c r="L13" s="3" t="b">
        <f>AND(E13, NOT(K13))</f>
        <v>1</v>
      </c>
      <c r="M13" s="3" t="str">
        <f>IF(L13, D13, "")</f>
        <v>req-policy-quiet-hours</v>
      </c>
    </row>
    <row r="14">
      <c r="A14" s="2" t="s">
        <v>916</v>
      </c>
      <c r="B14" s="3" t="str">
        <f>C14 &amp; " / " &amp; D14</f>
        <v>policy-07 / req-policy-optout</v>
      </c>
      <c r="C14" s="2" t="s">
        <v>597</v>
      </c>
      <c r="D14" s="2" t="s">
        <v>878</v>
      </c>
      <c r="E14" s="3" t="b">
        <f>_xlfn.IFNA(INDEX(Requirements!G2:G999, MATCH(D14,Requirements!A2:A999, 0)), "")</f>
        <v>1</v>
      </c>
      <c r="F14" s="3" t="str">
        <f>IF(E14, C14, "")</f>
        <v>policy-07</v>
      </c>
      <c r="G14" s="3" t="str">
        <f>IF(E14, C14, "")</f>
        <v>policy-07</v>
      </c>
      <c r="H14" s="3" t="b">
        <f>_xlfn.IFNA(INDEX(Requirements!W2:W999, MATCH(D14,Requirements!A2:A999, 0)), "")</f>
        <v>1</v>
      </c>
      <c r="I14" s="3" t="str">
        <f>IF(H14, C14, "")</f>
        <v>policy-07</v>
      </c>
      <c r="J14" s="3">
        <f>COUNTIFS(RequirementSatisfactions!AE2:AE999, A14)</f>
        <v>0</v>
      </c>
      <c r="K14" s="3" t="b">
        <f>J14 &gt; 0</f>
        <v>0</v>
      </c>
      <c r="L14" s="3" t="b">
        <f>AND(E14, NOT(K14))</f>
        <v>1</v>
      </c>
      <c r="M14" s="3" t="str">
        <f>IF(L14, D14, "")</f>
        <v>req-policy-optout</v>
      </c>
    </row>
    <row r="15">
      <c r="A15" s="2" t="s">
        <v>917</v>
      </c>
      <c r="B15" s="3" t="str">
        <f>C15 &amp; " / " &amp; D15</f>
        <v>policy-07 / req-policy-retention</v>
      </c>
      <c r="C15" s="2" t="s">
        <v>597</v>
      </c>
      <c r="D15" s="2" t="s">
        <v>883</v>
      </c>
      <c r="E15" s="3" t="b">
        <f>_xlfn.IFNA(INDEX(Requirements!G2:G999, MATCH(D15,Requirements!A2:A999, 0)), "")</f>
        <v>1</v>
      </c>
      <c r="F15" s="3" t="str">
        <f>IF(E15, C15, "")</f>
        <v>policy-07</v>
      </c>
      <c r="G15" s="3" t="str">
        <f>IF(E15, C15, "")</f>
        <v>policy-07</v>
      </c>
      <c r="H15" s="3" t="b">
        <f>_xlfn.IFNA(INDEX(Requirements!W2:W999, MATCH(D15,Requirements!A2:A999, 0)), "")</f>
        <v>1</v>
      </c>
      <c r="I15" s="3" t="str">
        <f>IF(H15, C15, "")</f>
        <v>policy-07</v>
      </c>
      <c r="J15" s="3">
        <f>COUNTIFS(RequirementSatisfactions!AE2:AE999, A15)</f>
        <v>0</v>
      </c>
      <c r="K15" s="3" t="b">
        <f>J15 &gt; 0</f>
        <v>0</v>
      </c>
      <c r="L15" s="3" t="b">
        <f>AND(E15, NOT(K15))</f>
        <v>1</v>
      </c>
      <c r="M15" s="3" t="str">
        <f>IF(L15, D15, "")</f>
        <v>req-policy-retention</v>
      </c>
    </row>
    <row r="16">
      <c r="A16" s="2" t="s">
        <v>918</v>
      </c>
      <c r="B16" s="3" t="str">
        <f>C16 &amp; " / " &amp; D16</f>
        <v>policy-08 / req-policy-retention</v>
      </c>
      <c r="C16" s="2" t="s">
        <v>600</v>
      </c>
      <c r="D16" s="2" t="s">
        <v>883</v>
      </c>
      <c r="E16" s="3" t="b">
        <f>_xlfn.IFNA(INDEX(Requirements!G2:G999, MATCH(D16,Requirements!A2:A999, 0)), "")</f>
        <v>1</v>
      </c>
      <c r="F16" s="3" t="str">
        <f>IF(E16, C16, "")</f>
        <v>policy-08</v>
      </c>
      <c r="G16" s="3" t="str">
        <f>IF(E16, C16, "")</f>
        <v>policy-08</v>
      </c>
      <c r="H16" s="3" t="b">
        <f>_xlfn.IFNA(INDEX(Requirements!W2:W999, MATCH(D16,Requirements!A2:A999, 0)), "")</f>
        <v>1</v>
      </c>
      <c r="I16" s="3" t="str">
        <f>IF(H16, C16, "")</f>
        <v>policy-08</v>
      </c>
      <c r="J16" s="3">
        <f>COUNTIFS(RequirementSatisfactions!AE2:AE999, A16)</f>
        <v>0</v>
      </c>
      <c r="K16" s="3" t="b">
        <f>J16 &gt; 0</f>
        <v>0</v>
      </c>
      <c r="L16" s="3" t="b">
        <f>AND(E16, NOT(K16))</f>
        <v>1</v>
      </c>
      <c r="M16" s="3" t="str">
        <f>IF(L16, D16, "")</f>
        <v>req-policy-retention</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19.900236129760742" customWidth="1"/>
    <col min="2" max="2" width="32.94248580932617" customWidth="1"/>
    <col min="3" max="3" width="17.443378448486328" customWidth="1"/>
    <col min="4" max="4" width="22.763486862182617" customWidth="1"/>
    <col min="5" max="5" width="29.353212356567383" customWidth="1"/>
    <col min="6" max="6" width="20.845239639282227" customWidth="1"/>
    <col min="7" max="7" width="52.574039459228516" customWidth="1"/>
    <col min="8" max="8" width="37.96083450317383" customWidth="1"/>
  </cols>
  <sheetData>
    <row r="1">
      <c r="A1" s="1" t="s">
        <v>919</v>
      </c>
      <c r="B1" s="1" t="s">
        <v>1</v>
      </c>
      <c r="C1" s="1" t="s">
        <v>747</v>
      </c>
      <c r="D1" s="1" t="s">
        <v>920</v>
      </c>
      <c r="E1" s="1" t="s">
        <v>921</v>
      </c>
      <c r="F1" s="1" t="s">
        <v>922</v>
      </c>
      <c r="G1" s="1" t="s">
        <v>503</v>
      </c>
      <c r="H1" s="1" t="s">
        <v>94</v>
      </c>
    </row>
    <row r="2">
      <c r="A2" s="2" t="s">
        <v>923</v>
      </c>
      <c r="B2" s="3" t="str">
        <f>C2 &amp; " / " &amp; D2</f>
        <v>close-01 / SignalVerification</v>
      </c>
      <c r="C2" s="2" t="s">
        <v>535</v>
      </c>
      <c r="D2" s="2" t="s">
        <v>924</v>
      </c>
      <c r="E2" s="2" t="s">
        <v>925</v>
      </c>
      <c r="F2" s="2" t="s">
        <v>926</v>
      </c>
      <c r="G2" s="2" t="s">
        <v>927</v>
      </c>
      <c r="H2" s="2" t="s">
        <v>928</v>
      </c>
    </row>
    <row r="3">
      <c r="A3" s="2" t="s">
        <v>929</v>
      </c>
      <c r="B3" s="3" t="str">
        <f>C3 &amp; " / " &amp; D3</f>
        <v>close-02 / SignalVerification</v>
      </c>
      <c r="C3" s="2" t="s">
        <v>543</v>
      </c>
      <c r="D3" s="2" t="s">
        <v>924</v>
      </c>
      <c r="E3" s="2" t="s">
        <v>930</v>
      </c>
      <c r="F3" s="2" t="s">
        <v>931</v>
      </c>
      <c r="G3" s="2" t="s">
        <v>932</v>
      </c>
      <c r="H3" s="2" t="s">
        <v>928</v>
      </c>
    </row>
    <row r="4">
      <c r="A4" s="2" t="s">
        <v>933</v>
      </c>
      <c r="B4" s="3" t="str">
        <f>C4 &amp; " / " &amp; D4</f>
        <v>close-03 / SignalVerification</v>
      </c>
      <c r="C4" s="2" t="s">
        <v>547</v>
      </c>
      <c r="D4" s="2" t="s">
        <v>924</v>
      </c>
      <c r="E4" s="2" t="s">
        <v>934</v>
      </c>
      <c r="F4" s="2" t="s">
        <v>935</v>
      </c>
      <c r="G4" s="2" t="s">
        <v>936</v>
      </c>
      <c r="H4" s="2" t="s">
        <v>928</v>
      </c>
    </row>
    <row r="5">
      <c r="A5" s="2" t="s">
        <v>937</v>
      </c>
      <c r="B5" s="3" t="str">
        <f>C5 &amp; " / " &amp; D5</f>
        <v>close-05 / ApprovalVerification</v>
      </c>
      <c r="C5" s="2" t="s">
        <v>559</v>
      </c>
      <c r="D5" s="2" t="s">
        <v>938</v>
      </c>
      <c r="E5" s="2" t="s">
        <v>939</v>
      </c>
      <c r="F5" s="2" t="s">
        <v>940</v>
      </c>
      <c r="G5" s="2" t="s">
        <v>941</v>
      </c>
      <c r="H5" s="2" t="s">
        <v>942</v>
      </c>
    </row>
    <row r="6">
      <c r="A6" s="2" t="s">
        <v>943</v>
      </c>
      <c r="B6" s="3" t="str">
        <f>C6 &amp; " / " &amp; D6</f>
        <v>close-06 / ApprovalVerification</v>
      </c>
      <c r="C6" s="2" t="s">
        <v>563</v>
      </c>
      <c r="D6" s="2" t="s">
        <v>938</v>
      </c>
      <c r="E6" s="2" t="s">
        <v>944</v>
      </c>
      <c r="F6" s="2" t="s">
        <v>940</v>
      </c>
      <c r="G6" s="2" t="s">
        <v>945</v>
      </c>
      <c r="H6" s="2" t="s">
        <v>942</v>
      </c>
    </row>
    <row r="7">
      <c r="A7" s="2" t="s">
        <v>946</v>
      </c>
      <c r="B7" s="3" t="str">
        <f>C7 &amp; " / " &amp; D7</f>
        <v>policy-03 / ProvenanceVerification</v>
      </c>
      <c r="C7" s="2" t="s">
        <v>584</v>
      </c>
      <c r="D7" s="2" t="s">
        <v>947</v>
      </c>
      <c r="E7" s="2" t="s">
        <v>948</v>
      </c>
      <c r="F7" s="2" t="s">
        <v>935</v>
      </c>
      <c r="G7" s="2" t="s">
        <v>949</v>
      </c>
      <c r="H7" s="2" t="s">
        <v>942</v>
      </c>
    </row>
    <row r="8">
      <c r="A8" s="2" t="s">
        <v>950</v>
      </c>
      <c r="B8" s="3" t="str">
        <f>C8 &amp; " / " &amp; D8</f>
        <v>policy-04 / ApprovalVerification</v>
      </c>
      <c r="C8" s="2" t="s">
        <v>587</v>
      </c>
      <c r="D8" s="2" t="s">
        <v>938</v>
      </c>
      <c r="E8" s="2" t="s">
        <v>951</v>
      </c>
      <c r="F8" s="2" t="s">
        <v>940</v>
      </c>
      <c r="G8" s="2" t="s">
        <v>952</v>
      </c>
      <c r="H8" s="2" t="s">
        <v>942</v>
      </c>
    </row>
    <row r="9">
      <c r="A9" s="2" t="s">
        <v>953</v>
      </c>
      <c r="B9" s="3" t="str">
        <f>C9 &amp; " / " &amp; D9</f>
        <v>policy-05 / ApprovalVerification</v>
      </c>
      <c r="C9" s="2" t="s">
        <v>591</v>
      </c>
      <c r="D9" s="2" t="s">
        <v>938</v>
      </c>
      <c r="E9" s="2" t="s">
        <v>954</v>
      </c>
      <c r="F9" s="2" t="s">
        <v>940</v>
      </c>
      <c r="G9" s="2" t="s">
        <v>955</v>
      </c>
      <c r="H9" s="2" t="s">
        <v>942</v>
      </c>
    </row>
    <row r="10">
      <c r="A10" s="2" t="s">
        <v>956</v>
      </c>
      <c r="B10" s="3" t="str">
        <f>C10 &amp; " / " &amp; D10</f>
        <v>policy-07 / SignalVerification</v>
      </c>
      <c r="C10" s="2" t="s">
        <v>597</v>
      </c>
      <c r="D10" s="2" t="s">
        <v>924</v>
      </c>
      <c r="E10" s="2" t="s">
        <v>957</v>
      </c>
      <c r="F10" s="2" t="s">
        <v>935</v>
      </c>
      <c r="G10" s="2" t="s">
        <v>958</v>
      </c>
      <c r="H10" s="2" t="s">
        <v>928</v>
      </c>
    </row>
    <row r="11">
      <c r="A11" s="2" t="s">
        <v>959</v>
      </c>
      <c r="B11" s="3" t="str">
        <f>C11 &amp; " / " &amp; D11</f>
        <v>policy-07 / SignalVerification</v>
      </c>
      <c r="C11" s="2" t="s">
        <v>597</v>
      </c>
      <c r="D11" s="2" t="s">
        <v>924</v>
      </c>
      <c r="E11" s="2" t="s">
        <v>960</v>
      </c>
      <c r="F11" s="2" t="s">
        <v>935</v>
      </c>
      <c r="G11" s="2" t="s">
        <v>961</v>
      </c>
      <c r="H11" s="2" t="s">
        <v>928</v>
      </c>
    </row>
    <row r="12">
      <c r="A12" s="2" t="s">
        <v>962</v>
      </c>
      <c r="B12" s="3" t="str">
        <f>C12 &amp; " / " &amp; D12</f>
        <v>policy-08 / SignalVerification</v>
      </c>
      <c r="C12" s="2" t="s">
        <v>600</v>
      </c>
      <c r="D12" s="2" t="s">
        <v>924</v>
      </c>
      <c r="E12" s="2" t="s">
        <v>963</v>
      </c>
      <c r="F12" s="2" t="s">
        <v>935</v>
      </c>
      <c r="G12" s="2" t="s">
        <v>964</v>
      </c>
      <c r="H12" s="2" t="s">
        <v>928</v>
      </c>
    </row>
  </sheetData>
  <autoFilter ref="A1:H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22.935653686523438" customWidth="1"/>
    <col min="2" max="2" width="40.570220947265625" customWidth="1"/>
    <col min="3" max="3" width="18.236316680908203" customWidth="1"/>
    <col min="4" max="4" width="17.443378448486328" customWidth="1"/>
    <col min="5" max="5" width="40.570220947265625" customWidth="1"/>
    <col min="6" max="6" width="117.89289093017578" customWidth="1"/>
    <col min="7" max="7" width="17.443378448486328" customWidth="1"/>
    <col min="8" max="8" width="25.59624671936035" customWidth="1"/>
    <col min="9" max="9" width="37.43392562866211" customWidth="1"/>
  </cols>
  <sheetData>
    <row r="1">
      <c r="A1" s="1" t="s">
        <v>965</v>
      </c>
      <c r="B1" s="1" t="s">
        <v>1</v>
      </c>
      <c r="C1" s="1" t="s">
        <v>477</v>
      </c>
      <c r="D1" s="1" t="s">
        <v>747</v>
      </c>
      <c r="E1" s="1" t="s">
        <v>358</v>
      </c>
      <c r="F1" s="1" t="s">
        <v>782</v>
      </c>
      <c r="G1" s="1" t="s">
        <v>8</v>
      </c>
      <c r="H1" s="1" t="s">
        <v>966</v>
      </c>
      <c r="I1" s="1" t="s">
        <v>94</v>
      </c>
    </row>
    <row r="2">
      <c r="A2" s="2" t="s">
        <v>967</v>
      </c>
      <c r="B2" s="3" t="str">
        <f>E2</f>
        <v>Why the preparer cannot approve</v>
      </c>
      <c r="C2" s="2" t="s">
        <v>369</v>
      </c>
      <c r="D2" s="2" t="s">
        <v>559</v>
      </c>
      <c r="E2" s="2" t="s">
        <v>968</v>
      </c>
      <c r="F2" s="2" t="s">
        <v>969</v>
      </c>
      <c r="G2" s="2" t="s">
        <v>461</v>
      </c>
      <c r="H2" s="2" t="s">
        <v>208</v>
      </c>
      <c r="I2" s="2" t="s">
        <v>970</v>
      </c>
    </row>
    <row r="3">
      <c r="A3" s="2" t="s">
        <v>971</v>
      </c>
      <c r="B3" s="3" t="str">
        <f>E3</f>
        <v>Why AI ranks but does not close variances</v>
      </c>
      <c r="C3" s="2" t="s">
        <v>369</v>
      </c>
      <c r="D3" s="2" t="s">
        <v>554</v>
      </c>
      <c r="E3" s="2" t="s">
        <v>972</v>
      </c>
      <c r="F3" s="2" t="s">
        <v>973</v>
      </c>
      <c r="G3" s="2" t="s">
        <v>461</v>
      </c>
      <c r="H3" s="2" t="s">
        <v>208</v>
      </c>
      <c r="I3" s="2" t="s">
        <v>970</v>
      </c>
    </row>
    <row r="4">
      <c r="A4" s="2" t="s">
        <v>974</v>
      </c>
      <c r="B4" s="3" t="str">
        <f>E4</f>
        <v>Why AI may draft but not approve</v>
      </c>
      <c r="C4" s="2" t="s">
        <v>375</v>
      </c>
      <c r="D4" s="2" t="s">
        <v>584</v>
      </c>
      <c r="E4" s="2" t="s">
        <v>975</v>
      </c>
      <c r="F4" s="2" t="s">
        <v>976</v>
      </c>
      <c r="G4" s="2" t="s">
        <v>461</v>
      </c>
      <c r="H4" s="2" t="s">
        <v>216</v>
      </c>
      <c r="I4" s="2" t="s">
        <v>970</v>
      </c>
    </row>
    <row r="5">
      <c r="A5" s="2" t="s">
        <v>977</v>
      </c>
      <c r="B5" s="3" t="str">
        <f>E5</f>
        <v>Why both email and SMS exist</v>
      </c>
      <c r="C5" s="2" t="s">
        <v>375</v>
      </c>
      <c r="D5" s="2" t="s">
        <v>597</v>
      </c>
      <c r="E5" s="2" t="s">
        <v>978</v>
      </c>
      <c r="F5" s="2" t="s">
        <v>979</v>
      </c>
      <c r="G5" s="2" t="s">
        <v>461</v>
      </c>
      <c r="H5" s="2" t="s">
        <v>224</v>
      </c>
      <c r="I5" s="2" t="s">
        <v>970</v>
      </c>
    </row>
  </sheetData>
  <autoFilter ref="A1:I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5"/>
  <sheetViews>
    <sheetView workbookViewId="0">
      <pane ySplit="1" topLeftCell="A2" state="frozen" activePane="bottomLeft"/>
      <selection pane="bottomLeft" activeCell="A1" sqref="A1"/>
    </sheetView>
  </sheetViews>
  <sheetFormatPr defaultRowHeight="15"/>
  <cols>
    <col min="1" max="1" width="20.079631805419922" customWidth="1"/>
    <col min="2" max="2" width="28.118703842163086" customWidth="1"/>
    <col min="3" max="3" width="18.236316680908203" customWidth="1"/>
    <col min="4" max="4" width="17.443378448486328" customWidth="1"/>
    <col min="5" max="5" width="28.118703842163086" customWidth="1"/>
    <col min="6" max="6" width="110.68605041503906" customWidth="1"/>
    <col min="7" max="7" width="17.443378448486328" customWidth="1"/>
    <col min="8" max="8" width="21.020431518554688" customWidth="1"/>
    <col min="9" max="9" width="17.443378448486328" customWidth="1"/>
    <col min="10" max="10" width="23.760543823242188" customWidth="1"/>
    <col min="11" max="11" width="37.680904388427734" customWidth="1"/>
  </cols>
  <sheetData>
    <row r="1">
      <c r="A1" s="1" t="s">
        <v>980</v>
      </c>
      <c r="B1" s="1" t="s">
        <v>1</v>
      </c>
      <c r="C1" s="1" t="s">
        <v>477</v>
      </c>
      <c r="D1" s="1" t="s">
        <v>981</v>
      </c>
      <c r="E1" s="1" t="s">
        <v>612</v>
      </c>
      <c r="F1" s="1" t="s">
        <v>982</v>
      </c>
      <c r="G1" s="1" t="s">
        <v>983</v>
      </c>
      <c r="H1" s="1" t="s">
        <v>984</v>
      </c>
      <c r="I1" s="1" t="s">
        <v>8</v>
      </c>
      <c r="J1" s="1" t="s">
        <v>985</v>
      </c>
      <c r="K1" s="1" t="s">
        <v>94</v>
      </c>
    </row>
    <row r="2">
      <c r="A2" s="2" t="s">
        <v>986</v>
      </c>
      <c r="B2" s="3" t="str">
        <f>E2</f>
        <v>CFO unavailable during close</v>
      </c>
      <c r="C2" s="2" t="s">
        <v>369</v>
      </c>
      <c r="D2" s="2" t="s">
        <v>563</v>
      </c>
      <c r="E2" s="2" t="s">
        <v>987</v>
      </c>
      <c r="F2" s="2" t="s">
        <v>988</v>
      </c>
      <c r="G2" s="2" t="s">
        <v>212</v>
      </c>
      <c r="H2" s="2" t="s">
        <v>208</v>
      </c>
      <c r="I2" s="2" t="s">
        <v>309</v>
      </c>
      <c r="J2" s="3" t="str">
        <f>IF(I2 = "Active", D2, "")</f>
        <v>close-06</v>
      </c>
      <c r="K2" s="2" t="s">
        <v>989</v>
      </c>
    </row>
    <row r="3">
      <c r="A3" s="2" t="s">
        <v>990</v>
      </c>
      <c r="B3" s="3" t="str">
        <f>E3</f>
        <v>ERP source unavailable</v>
      </c>
      <c r="C3" s="2" t="s">
        <v>369</v>
      </c>
      <c r="D3" s="2" t="s">
        <v>543</v>
      </c>
      <c r="E3" s="2" t="s">
        <v>991</v>
      </c>
      <c r="F3" s="2" t="s">
        <v>992</v>
      </c>
      <c r="G3" s="2" t="s">
        <v>208</v>
      </c>
      <c r="H3" s="2" t="s">
        <v>228</v>
      </c>
      <c r="I3" s="2" t="s">
        <v>309</v>
      </c>
      <c r="J3" s="3" t="str">
        <f>IF(I3 = "Active", D3, "")</f>
        <v>close-02</v>
      </c>
      <c r="K3" s="2" t="s">
        <v>989</v>
      </c>
    </row>
    <row r="4">
      <c r="A4" s="2" t="s">
        <v>993</v>
      </c>
      <c r="B4" s="3" t="str">
        <f>E4</f>
        <v>Recipient lacks SMS consent</v>
      </c>
      <c r="C4" s="2" t="s">
        <v>375</v>
      </c>
      <c r="D4" s="2" t="s">
        <v>597</v>
      </c>
      <c r="E4" s="2" t="s">
        <v>994</v>
      </c>
      <c r="F4" s="2" t="s">
        <v>995</v>
      </c>
      <c r="G4" s="2" t="s">
        <v>216</v>
      </c>
      <c r="H4" s="2" t="s">
        <v>240</v>
      </c>
      <c r="I4" s="2" t="s">
        <v>309</v>
      </c>
      <c r="J4" s="3" t="str">
        <f>IF(I4 = "Active", D4, "")</f>
        <v>policy-07</v>
      </c>
      <c r="K4" s="2" t="s">
        <v>989</v>
      </c>
    </row>
    <row r="5">
      <c r="A5" s="2" t="s">
        <v>996</v>
      </c>
      <c r="B5" s="3" t="str">
        <f>E5</f>
        <v>Recipient unreachable</v>
      </c>
      <c r="C5" s="2" t="s">
        <v>375</v>
      </c>
      <c r="D5" s="2" t="s">
        <v>600</v>
      </c>
      <c r="E5" s="2" t="s">
        <v>997</v>
      </c>
      <c r="F5" s="2" t="s">
        <v>998</v>
      </c>
      <c r="G5" s="2" t="s">
        <v>216</v>
      </c>
      <c r="H5" s="2" t="s">
        <v>244</v>
      </c>
      <c r="I5" s="2" t="s">
        <v>309</v>
      </c>
      <c r="J5" s="3" t="str">
        <f>IF(I5 = "Active", D5, "")</f>
        <v>policy-08</v>
      </c>
      <c r="K5" s="2" t="s">
        <v>989</v>
      </c>
    </row>
  </sheetData>
  <autoFilter ref="A1:K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9"/>
  <sheetViews>
    <sheetView workbookViewId="0">
      <pane ySplit="1" topLeftCell="A2" state="frozen" activePane="bottomLeft"/>
      <selection pane="bottomLeft" activeCell="A1" sqref="A1"/>
    </sheetView>
  </sheetViews>
  <sheetFormatPr defaultRowHeight="15"/>
  <cols>
    <col min="1" max="1" width="19.96071434020996" customWidth="1"/>
    <col min="2" max="2" width="41.8110466003418" customWidth="1"/>
    <col min="3" max="3" width="41.8110466003418" customWidth="1"/>
    <col min="4" max="4" width="18.949037551879883" customWidth="1"/>
    <col min="5" max="5" width="34.822574615478516" customWidth="1"/>
    <col min="6" max="6" width="23.35041618347168" customWidth="1"/>
    <col min="7" max="7" width="23.35041618347168" customWidth="1"/>
    <col min="8" max="8" width="73.01481628417969" customWidth="1"/>
    <col min="9" max="9" width="17.443378448486328" customWidth="1"/>
    <col min="10" max="10" width="19.023061752319336" customWidth="1"/>
    <col min="11" max="11" width="36.788185119628906" customWidth="1"/>
  </cols>
  <sheetData>
    <row r="1">
      <c r="A1" s="1" t="s">
        <v>999</v>
      </c>
      <c r="B1" s="1" t="s">
        <v>1</v>
      </c>
      <c r="C1" s="1" t="s">
        <v>358</v>
      </c>
      <c r="D1" s="1" t="s">
        <v>1000</v>
      </c>
      <c r="E1" s="1" t="s">
        <v>1001</v>
      </c>
      <c r="F1" s="1" t="s">
        <v>1002</v>
      </c>
      <c r="G1" s="1" t="s">
        <v>379</v>
      </c>
      <c r="H1" s="1" t="s">
        <v>1003</v>
      </c>
      <c r="I1" s="1" t="s">
        <v>1004</v>
      </c>
      <c r="J1" s="1" t="s">
        <v>1005</v>
      </c>
      <c r="K1" s="1" t="s">
        <v>94</v>
      </c>
    </row>
    <row r="2">
      <c r="A2" s="2" t="s">
        <v>1006</v>
      </c>
      <c r="B2" s="3" t="str">
        <f>C2</f>
        <v>Quarter-End Close SOP PDF</v>
      </c>
      <c r="C2" s="2" t="s">
        <v>1007</v>
      </c>
      <c r="D2" s="2" t="s">
        <v>1008</v>
      </c>
      <c r="E2" s="2" t="s">
        <v>1009</v>
      </c>
      <c r="F2" s="4">
        <v>45931.583333333336</v>
      </c>
      <c r="G2" s="4">
        <v>46113.583333333336</v>
      </c>
      <c r="H2" s="2" t="s">
        <v>1010</v>
      </c>
      <c r="I2" s="2"/>
      <c r="J2" s="3" t="b">
        <f>I2 = "Approved"</f>
        <v>0</v>
      </c>
      <c r="K2" s="2" t="s">
        <v>1011</v>
      </c>
    </row>
    <row r="3">
      <c r="A3" s="2" t="s">
        <v>1012</v>
      </c>
      <c r="B3" s="3" t="str">
        <f>C3</f>
        <v>ERP Ledger API</v>
      </c>
      <c r="C3" s="2" t="s">
        <v>1013</v>
      </c>
      <c r="D3" s="2" t="s">
        <v>1014</v>
      </c>
      <c r="E3" s="2" t="s">
        <v>1015</v>
      </c>
      <c r="F3" s="4">
        <v>46023.25</v>
      </c>
      <c r="G3" s="4">
        <v>46222.541666666664</v>
      </c>
      <c r="H3" s="2" t="s">
        <v>1016</v>
      </c>
      <c r="I3" s="2"/>
      <c r="J3" s="3" t="b">
        <f>I3 = "Approved"</f>
        <v>0</v>
      </c>
      <c r="K3" s="2" t="s">
        <v>1011</v>
      </c>
    </row>
    <row r="4">
      <c r="A4" s="2" t="s">
        <v>1017</v>
      </c>
      <c r="B4" s="3" t="str">
        <f>C4</f>
        <v>Close Control Checklist</v>
      </c>
      <c r="C4" s="2" t="s">
        <v>1018</v>
      </c>
      <c r="D4" s="2" t="s">
        <v>1019</v>
      </c>
      <c r="E4" s="2" t="s">
        <v>1020</v>
      </c>
      <c r="F4" s="4">
        <v>46127.583333333336</v>
      </c>
      <c r="G4" s="4">
        <v>46205.833333333336</v>
      </c>
      <c r="H4" s="2" t="s">
        <v>1021</v>
      </c>
      <c r="I4" s="2"/>
      <c r="J4" s="3" t="b">
        <f>I4 = "Approved"</f>
        <v>0</v>
      </c>
      <c r="K4" s="2" t="s">
        <v>1011</v>
      </c>
    </row>
    <row r="5">
      <c r="A5" s="2" t="s">
        <v>1022</v>
      </c>
      <c r="B5" s="3" t="str">
        <f>C5</f>
        <v>Approved Workforce Policy Source</v>
      </c>
      <c r="C5" s="2" t="s">
        <v>1023</v>
      </c>
      <c r="D5" s="2" t="s">
        <v>1008</v>
      </c>
      <c r="E5" s="2" t="s">
        <v>1024</v>
      </c>
      <c r="F5" s="4">
        <v>46174.583333333336</v>
      </c>
      <c r="G5" s="4">
        <v>46221.895833333336</v>
      </c>
      <c r="H5" s="2" t="s">
        <v>1025</v>
      </c>
      <c r="I5" s="2"/>
      <c r="J5" s="3" t="b">
        <f>I5 = "Approved"</f>
        <v>0</v>
      </c>
      <c r="K5" s="2" t="s">
        <v>1011</v>
      </c>
    </row>
    <row r="6">
      <c r="A6" s="2" t="s">
        <v>1026</v>
      </c>
      <c r="B6" s="3" t="str">
        <f>C6</f>
        <v>Employee Communication Consent Registry</v>
      </c>
      <c r="C6" s="2" t="s">
        <v>1027</v>
      </c>
      <c r="D6" s="2" t="s">
        <v>1028</v>
      </c>
      <c r="E6" s="2" t="s">
        <v>1029</v>
      </c>
      <c r="F6" s="4">
        <v>46082.25</v>
      </c>
      <c r="G6" s="4">
        <v>46222.697916666664</v>
      </c>
      <c r="H6" s="2" t="s">
        <v>1030</v>
      </c>
      <c r="I6" s="2"/>
      <c r="J6" s="3" t="b">
        <f>I6 = "Approved"</f>
        <v>0</v>
      </c>
      <c r="K6" s="2" t="s">
        <v>1011</v>
      </c>
    </row>
    <row r="7">
      <c r="A7" s="2" t="s">
        <v>1031</v>
      </c>
      <c r="B7" s="3" t="str">
        <f>C7</f>
        <v>Employee Policy Email Template</v>
      </c>
      <c r="C7" s="2" t="s">
        <v>1032</v>
      </c>
      <c r="D7" s="2" t="s">
        <v>1033</v>
      </c>
      <c r="E7" s="2" t="s">
        <v>1034</v>
      </c>
      <c r="F7" s="4">
        <v>46174.583333333336</v>
      </c>
      <c r="G7" s="4">
        <v>46221.895833333336</v>
      </c>
      <c r="H7" s="2" t="s">
        <v>1035</v>
      </c>
      <c r="I7" s="2"/>
      <c r="J7" s="3" t="b">
        <f>I7 = "Approved"</f>
        <v>0</v>
      </c>
      <c r="K7" s="2" t="s">
        <v>1011</v>
      </c>
    </row>
    <row r="8">
      <c r="A8" s="2" t="s">
        <v>1036</v>
      </c>
      <c r="B8" s="3" t="str">
        <f>C8</f>
        <v>Employee Policy SMS Template</v>
      </c>
      <c r="C8" s="2" t="s">
        <v>1037</v>
      </c>
      <c r="D8" s="2" t="s">
        <v>1033</v>
      </c>
      <c r="E8" s="2" t="s">
        <v>1038</v>
      </c>
      <c r="F8" s="4">
        <v>46174.583333333336</v>
      </c>
      <c r="G8" s="4">
        <v>46221.895833333336</v>
      </c>
      <c r="H8" s="2" t="s">
        <v>1039</v>
      </c>
      <c r="I8" s="2"/>
      <c r="J8" s="3" t="b">
        <f>I8 = "Approved"</f>
        <v>0</v>
      </c>
      <c r="K8" s="2" t="s">
        <v>1011</v>
      </c>
    </row>
    <row r="9">
      <c r="A9" s="2" t="s">
        <v>1040</v>
      </c>
      <c r="B9" s="3" t="str">
        <f>C9</f>
        <v>Policy Change Ticket HR-4821</v>
      </c>
      <c r="C9" s="2" t="s">
        <v>1041</v>
      </c>
      <c r="D9" s="2" t="s">
        <v>1042</v>
      </c>
      <c r="E9" s="2" t="s">
        <v>1043</v>
      </c>
      <c r="F9" s="4">
        <v>46221.583333333336</v>
      </c>
      <c r="G9" s="4">
        <v>46222.645833333336</v>
      </c>
      <c r="H9" s="2" t="s">
        <v>1044</v>
      </c>
      <c r="I9" s="2"/>
      <c r="J9" s="3" t="b">
        <f>I9 = "Approved"</f>
        <v>0</v>
      </c>
      <c r="K9" s="2" t="s">
        <v>1011</v>
      </c>
    </row>
  </sheetData>
  <autoFilter ref="A1:K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1.99313735961914" customWidth="1"/>
    <col min="2" max="2" width="33.64899826049805" customWidth="1"/>
    <col min="3" max="3" width="18.236316680908203" customWidth="1"/>
    <col min="4" max="4" width="19.96071434020996" customWidth="1"/>
    <col min="5" max="5" width="18.88961410522461" customWidth="1"/>
    <col min="6" max="6" width="39.19222640991211" customWidth="1"/>
  </cols>
  <sheetData>
    <row r="1">
      <c r="A1" s="1" t="s">
        <v>1045</v>
      </c>
      <c r="B1" s="1" t="s">
        <v>1</v>
      </c>
      <c r="C1" s="1" t="s">
        <v>477</v>
      </c>
      <c r="D1" s="1" t="s">
        <v>1046</v>
      </c>
      <c r="E1" s="1" t="s">
        <v>1047</v>
      </c>
      <c r="F1" s="1" t="s">
        <v>470</v>
      </c>
    </row>
    <row r="2">
      <c r="A2" s="2" t="s">
        <v>1048</v>
      </c>
      <c r="B2" s="3" t="str">
        <f>C2 &amp; " / " &amp; D2</f>
        <v>close-v1.1.0 / res-close-sop-pdf</v>
      </c>
      <c r="C2" s="2" t="s">
        <v>369</v>
      </c>
      <c r="D2" s="2" t="s">
        <v>1006</v>
      </c>
      <c r="E2" s="2" t="s">
        <v>1049</v>
      </c>
      <c r="F2" s="3" t="str">
        <f>IF(E2 = "wasExtractedFrom", "https://w3id.org/pko#wasExtractedFrom", "http://purl.org/dc/terms/references")</f>
        <v>https://w3id.org/pko#wasExtractedFrom</v>
      </c>
    </row>
    <row r="3">
      <c r="A3" s="2" t="s">
        <v>1050</v>
      </c>
      <c r="B3" s="3" t="str">
        <f>C3 &amp; " / " &amp; D3</f>
        <v>close-v1.1.0 / res-erp-api</v>
      </c>
      <c r="C3" s="2" t="s">
        <v>369</v>
      </c>
      <c r="D3" s="2" t="s">
        <v>1012</v>
      </c>
      <c r="E3" s="2" t="s">
        <v>1051</v>
      </c>
      <c r="F3" s="3" t="str">
        <f>IF(E3 = "wasExtractedFrom", "https://w3id.org/pko#wasExtractedFrom", "http://purl.org/dc/terms/references")</f>
        <v>http://purl.org/dc/terms/references</v>
      </c>
    </row>
    <row r="4">
      <c r="A4" s="2" t="s">
        <v>1052</v>
      </c>
      <c r="B4" s="3" t="str">
        <f>C4 &amp; " / " &amp; D4</f>
        <v>close-v1.1.0 / res-close-checklist</v>
      </c>
      <c r="C4" s="2" t="s">
        <v>369</v>
      </c>
      <c r="D4" s="2" t="s">
        <v>1017</v>
      </c>
      <c r="E4" s="2" t="s">
        <v>1051</v>
      </c>
      <c r="F4" s="3" t="str">
        <f>IF(E4 = "wasExtractedFrom", "https://w3id.org/pko#wasExtractedFrom", "http://purl.org/dc/terms/references")</f>
        <v>http://purl.org/dc/terms/references</v>
      </c>
    </row>
    <row r="5">
      <c r="A5" s="2" t="s">
        <v>1053</v>
      </c>
      <c r="B5" s="3" t="str">
        <f>C5 &amp; " / " &amp; D5</f>
        <v>policy-v1.0.0 / res-policy-source</v>
      </c>
      <c r="C5" s="2" t="s">
        <v>375</v>
      </c>
      <c r="D5" s="2" t="s">
        <v>1022</v>
      </c>
      <c r="E5" s="2" t="s">
        <v>1049</v>
      </c>
      <c r="F5" s="3" t="str">
        <f>IF(E5 = "wasExtractedFrom", "https://w3id.org/pko#wasExtractedFrom", "http://purl.org/dc/terms/references")</f>
        <v>https://w3id.org/pko#wasExtractedFrom</v>
      </c>
    </row>
    <row r="6">
      <c r="A6" s="2" t="s">
        <v>1054</v>
      </c>
      <c r="B6" s="3" t="str">
        <f>C6 &amp; " / " &amp; D6</f>
        <v>policy-v1.0.0 / res-consent-registry</v>
      </c>
      <c r="C6" s="2" t="s">
        <v>375</v>
      </c>
      <c r="D6" s="2" t="s">
        <v>1026</v>
      </c>
      <c r="E6" s="2" t="s">
        <v>1051</v>
      </c>
      <c r="F6" s="3" t="str">
        <f>IF(E6 = "wasExtractedFrom", "https://w3id.org/pko#wasExtractedFrom", "http://purl.org/dc/terms/references")</f>
        <v>http://purl.org/dc/terms/references</v>
      </c>
    </row>
    <row r="7">
      <c r="A7" s="2" t="s">
        <v>1055</v>
      </c>
      <c r="B7" s="3" t="str">
        <f>C7 &amp; " / " &amp; D7</f>
        <v>policy-v1.0.0 / res-email-template</v>
      </c>
      <c r="C7" s="2" t="s">
        <v>375</v>
      </c>
      <c r="D7" s="2" t="s">
        <v>1031</v>
      </c>
      <c r="E7" s="2" t="s">
        <v>1051</v>
      </c>
      <c r="F7" s="3" t="str">
        <f>IF(E7 = "wasExtractedFrom", "https://w3id.org/pko#wasExtractedFrom", "http://purl.org/dc/terms/references")</f>
        <v>http://purl.org/dc/terms/references</v>
      </c>
    </row>
    <row r="8">
      <c r="A8" s="2" t="s">
        <v>1056</v>
      </c>
      <c r="B8" s="3" t="str">
        <f>C8 &amp; " / " &amp; D8</f>
        <v>policy-v1.0.0 / res-sms-template</v>
      </c>
      <c r="C8" s="2" t="s">
        <v>375</v>
      </c>
      <c r="D8" s="2" t="s">
        <v>1036</v>
      </c>
      <c r="E8" s="2" t="s">
        <v>1051</v>
      </c>
      <c r="F8" s="3" t="str">
        <f>IF(E8 = "wasExtractedFrom", "https://w3id.org/pko#wasExtractedFrom", "http://purl.org/dc/terms/references")</f>
        <v>http://purl.org/dc/terms/references</v>
      </c>
    </row>
    <row r="9">
      <c r="A9" s="2" t="s">
        <v>1057</v>
      </c>
      <c r="B9" s="3" t="str">
        <f>C9 &amp; " / " &amp; D9</f>
        <v>policy-v1.0.0 / res-change-ticket</v>
      </c>
      <c r="C9" s="2" t="s">
        <v>375</v>
      </c>
      <c r="D9" s="2" t="s">
        <v>1040</v>
      </c>
      <c r="E9" s="2" t="s">
        <v>1051</v>
      </c>
      <c r="F9" s="3" t="str">
        <f>IF(E9 = "wasExtractedFrom", "https://w3id.org/pko#wasExtractedFrom", "http://purl.org/dc/terms/references")</f>
        <v>http://purl.org/dc/terms/references</v>
      </c>
    </row>
  </sheetData>
  <autoFilter ref="A1:F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4"/>
  <sheetViews>
    <sheetView workbookViewId="0">
      <pane ySplit="1" topLeftCell="A2" state="frozen" activePane="bottomLeft"/>
      <selection pane="bottomLeft" activeCell="A1" sqref="A1"/>
    </sheetView>
  </sheetViews>
  <sheetFormatPr defaultRowHeight="15"/>
  <cols>
    <col min="1" max="1" width="21.721635818481445" customWidth="1"/>
    <col min="2" max="2" width="47.921356201171875" customWidth="1"/>
    <col min="3" max="3" width="18.236316680908203" customWidth="1"/>
    <col min="4" max="4" width="20.961528778076172" customWidth="1"/>
    <col min="5" max="5" width="23.35041618347168" customWidth="1"/>
    <col min="6" max="6" width="23.35041618347168" customWidth="1"/>
    <col min="7" max="7" width="17.759117126464844" customWidth="1"/>
    <col min="8" max="8" width="17.443378448486328" customWidth="1"/>
    <col min="9" max="9" width="89.01746368408203" customWidth="1"/>
    <col min="10" max="10" width="17.443378448486328" customWidth="1"/>
    <col min="11" max="11" width="18.547500610351562" customWidth="1"/>
    <col min="12" max="12" width="23.35041618347168" customWidth="1"/>
    <col min="13" max="13" width="17.622900009155273" customWidth="1"/>
    <col min="14" max="14" width="23.22098731994629" customWidth="1"/>
    <col min="15" max="15" width="25.42095947265625" customWidth="1"/>
    <col min="16" max="16" width="24.74830436706543" customWidth="1"/>
    <col min="17" max="17" width="19.249311447143555" customWidth="1"/>
    <col min="18" max="18" width="28.33909034729004" customWidth="1"/>
    <col min="19" max="19" width="27.347814559936523" customWidth="1"/>
    <col min="20" max="20" width="31.00108528137207" customWidth="1"/>
    <col min="21" max="21" width="34.941070556640625" customWidth="1"/>
  </cols>
  <sheetData>
    <row r="1">
      <c r="A1" s="1" t="s">
        <v>1058</v>
      </c>
      <c r="B1" s="1" t="s">
        <v>1</v>
      </c>
      <c r="C1" s="1" t="s">
        <v>477</v>
      </c>
      <c r="D1" s="1" t="s">
        <v>1059</v>
      </c>
      <c r="E1" s="1" t="s">
        <v>1060</v>
      </c>
      <c r="F1" s="1" t="s">
        <v>1061</v>
      </c>
      <c r="G1" s="1" t="s">
        <v>1062</v>
      </c>
      <c r="H1" s="1" t="s">
        <v>1063</v>
      </c>
      <c r="I1" s="1" t="s">
        <v>1064</v>
      </c>
      <c r="J1" s="1" t="s">
        <v>8</v>
      </c>
      <c r="K1" s="1" t="s">
        <v>258</v>
      </c>
      <c r="L1" s="1" t="s">
        <v>92</v>
      </c>
      <c r="M1" s="1" t="s">
        <v>1065</v>
      </c>
      <c r="N1" s="1" t="s">
        <v>1066</v>
      </c>
      <c r="O1" s="1" t="s">
        <v>1067</v>
      </c>
      <c r="P1" s="1" t="s">
        <v>1068</v>
      </c>
      <c r="Q1" s="1" t="s">
        <v>1069</v>
      </c>
      <c r="R1" s="1" t="s">
        <v>1070</v>
      </c>
      <c r="S1" s="1" t="s">
        <v>1071</v>
      </c>
      <c r="T1" s="1" t="s">
        <v>1072</v>
      </c>
      <c r="U1" s="1" t="s">
        <v>94</v>
      </c>
    </row>
    <row r="2">
      <c r="A2" s="2" t="s">
        <v>1073</v>
      </c>
      <c r="B2" s="3" t="str">
        <f>D2 &amp; " / " &amp; TEXT(E2, "yyyy-mm-dd hh:mm:ss")&amp;"+00"</f>
        <v>Shadowing / 2026-04-03 14:00:00+00</v>
      </c>
      <c r="C2" s="2" t="s">
        <v>369</v>
      </c>
      <c r="D2" s="2" t="s">
        <v>1074</v>
      </c>
      <c r="E2" s="4">
        <v>46115.583333333336</v>
      </c>
      <c r="F2" s="4">
        <v>46115.708333333336</v>
      </c>
      <c r="G2" s="2" t="s">
        <v>145</v>
      </c>
      <c r="H2" s="2" t="s">
        <v>139</v>
      </c>
      <c r="I2" s="2" t="s">
        <v>1075</v>
      </c>
      <c r="J2" s="2" t="s">
        <v>461</v>
      </c>
      <c r="K2" s="2" t="s">
        <v>95</v>
      </c>
      <c r="L2" s="6">
        <f>_xlfn.IFNA(INDEX(EvaluationContexts!D2:D999, MATCH(K2,EvaluationContexts!A2:A999, 0)), "")</f>
        <v>46222.75</v>
      </c>
      <c r="M2" s="5">
        <f>(INT(L2) - INT(F2))</f>
        <v>107</v>
      </c>
      <c r="N2" s="3" t="b">
        <f>OR(D2 = "Shadowing", D2 = "PractitionerInterview")</f>
        <v>1</v>
      </c>
      <c r="O2" s="3" t="b">
        <f>_xlfn.IFNA(INDEX(Agents!I2:I999, MATCH(G2,Agents!A2:A999, 0)), "")</f>
        <v>1</v>
      </c>
      <c r="P2" s="3">
        <f>COUNTIFS(KnowledgeFragments!BF2:BF999, A2)</f>
        <v>3</v>
      </c>
      <c r="Q2" s="3" t="b">
        <f>P2 &gt;= 3</f>
        <v>1</v>
      </c>
      <c r="R2" s="3" t="b">
        <f>AND(N2, Q2)</f>
        <v>1</v>
      </c>
      <c r="S2" s="3" t="b">
        <f>AND(R2, M2 &gt; 180)</f>
        <v>0</v>
      </c>
      <c r="T2" s="3" t="str">
        <f>IF(R2, C2, "")</f>
        <v>close-v1.1.0</v>
      </c>
      <c r="U2" s="2" t="s">
        <v>1076</v>
      </c>
    </row>
    <row r="3">
      <c r="A3" s="2" t="s">
        <v>1077</v>
      </c>
      <c r="B3" s="3" t="str">
        <f>D3 &amp; " / " &amp; TEXT(E3, "yyyy-mm-dd hh:mm:ss")&amp;"+00"</f>
        <v>FacilitatedWorkshop / 2026-05-10 15:00:00+00</v>
      </c>
      <c r="C3" s="2" t="s">
        <v>375</v>
      </c>
      <c r="D3" s="2" t="s">
        <v>1078</v>
      </c>
      <c r="E3" s="4">
        <v>46152.625</v>
      </c>
      <c r="F3" s="4">
        <v>46152.791666666664</v>
      </c>
      <c r="G3" s="2" t="s">
        <v>153</v>
      </c>
      <c r="H3" s="2" t="s">
        <v>161</v>
      </c>
      <c r="I3" s="2" t="s">
        <v>1079</v>
      </c>
      <c r="J3" s="2" t="s">
        <v>461</v>
      </c>
      <c r="K3" s="2" t="s">
        <v>95</v>
      </c>
      <c r="L3" s="6">
        <f>_xlfn.IFNA(INDEX(EvaluationContexts!D2:D999, MATCH(K3,EvaluationContexts!A2:A999, 0)), "")</f>
        <v>46222.75</v>
      </c>
      <c r="M3" s="5">
        <f>(INT(L3) - INT(F3))</f>
        <v>70</v>
      </c>
      <c r="N3" s="3" t="b">
        <f>OR(D3 = "Shadowing", D3 = "PractitionerInterview")</f>
        <v>0</v>
      </c>
      <c r="O3" s="3" t="b">
        <f>_xlfn.IFNA(INDEX(Agents!I2:I999, MATCH(G3,Agents!A2:A999, 0)), "")</f>
        <v>1</v>
      </c>
      <c r="P3" s="3">
        <f>COUNTIFS(KnowledgeFragments!BF2:BF999, A3)</f>
        <v>1</v>
      </c>
      <c r="Q3" s="3" t="b">
        <f>P3 &gt;= 3</f>
        <v>0</v>
      </c>
      <c r="R3" s="3" t="b">
        <f>AND(N3, Q3)</f>
        <v>0</v>
      </c>
      <c r="S3" s="3" t="b">
        <f>AND(R3, M3 &gt; 180)</f>
        <v>0</v>
      </c>
      <c r="T3" s="3" t="str">
        <f>IF(R3, C3, "")</f>
      </c>
      <c r="U3" s="2" t="s">
        <v>1076</v>
      </c>
    </row>
    <row r="4">
      <c r="A4" s="2" t="s">
        <v>1080</v>
      </c>
      <c r="B4" s="3" t="str">
        <f>D4 &amp; " / " &amp; TEXT(E4, "yyyy-mm-dd hh:mm:ss")&amp;"+00"</f>
        <v>PractitionerInterview / 2026-05-12 18:00:00+00</v>
      </c>
      <c r="C4" s="2" t="s">
        <v>375</v>
      </c>
      <c r="D4" s="2" t="s">
        <v>1081</v>
      </c>
      <c r="E4" s="4">
        <v>46154.75</v>
      </c>
      <c r="F4" s="4">
        <v>46154.8125</v>
      </c>
      <c r="G4" s="2" t="s">
        <v>157</v>
      </c>
      <c r="H4" s="2" t="s">
        <v>153</v>
      </c>
      <c r="I4" s="2" t="s">
        <v>1082</v>
      </c>
      <c r="J4" s="2" t="s">
        <v>461</v>
      </c>
      <c r="K4" s="2" t="s">
        <v>95</v>
      </c>
      <c r="L4" s="6">
        <f>_xlfn.IFNA(INDEX(EvaluationContexts!D2:D999, MATCH(K4,EvaluationContexts!A2:A999, 0)), "")</f>
        <v>46222.75</v>
      </c>
      <c r="M4" s="5">
        <f>(INT(L4) - INT(F4))</f>
        <v>68</v>
      </c>
      <c r="N4" s="3" t="b">
        <f>OR(D4 = "Shadowing", D4 = "PractitionerInterview")</f>
        <v>1</v>
      </c>
      <c r="O4" s="3" t="b">
        <f>_xlfn.IFNA(INDEX(Agents!I2:I999, MATCH(G4,Agents!A2:A999, 0)), "")</f>
        <v>1</v>
      </c>
      <c r="P4" s="3">
        <f>COUNTIFS(KnowledgeFragments!BF2:BF999, A4)</f>
        <v>1</v>
      </c>
      <c r="Q4" s="3" t="b">
        <f>P4 &gt;= 3</f>
        <v>0</v>
      </c>
      <c r="R4" s="3" t="b">
        <f>AND(N4, Q4)</f>
        <v>0</v>
      </c>
      <c r="S4" s="3" t="b">
        <f>AND(R4, M4 &gt; 180)</f>
        <v>0</v>
      </c>
      <c r="T4" s="3" t="str">
        <f>IF(R4, C4, "")</f>
      </c>
      <c r="U4" s="2" t="s">
        <v>1076</v>
      </c>
    </row>
  </sheetData>
  <autoFilter ref="A1:U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B8"/>
  <sheetViews>
    <sheetView workbookViewId="0">
      <pane ySplit="1" topLeftCell="A2" state="frozen" activePane="bottomLeft"/>
      <selection pane="bottomLeft" activeCell="A1" sqref="A1"/>
    </sheetView>
  </sheetViews>
  <sheetFormatPr defaultRowHeight="15"/>
  <cols>
    <col min="1" max="1" width="23.963361740112305" customWidth="1"/>
    <col min="2" max="2" width="76.34149169921875" customWidth="1"/>
    <col min="3" max="3" width="18.236316680908203" customWidth="1"/>
    <col min="4" max="4" width="17.443378448486328" customWidth="1"/>
    <col min="5" max="5" width="18.166099548339844" customWidth="1"/>
    <col min="6" max="6" width="126.63520812988281" customWidth="1"/>
    <col min="7" max="7" width="21.721635818481445" customWidth="1"/>
    <col min="8" max="8" width="17.443378448486328" customWidth="1"/>
    <col min="9" max="9" width="17.443378448486328" customWidth="1"/>
    <col min="10" max="10" width="23.35041618347168" customWidth="1"/>
    <col min="11" max="11" width="17.443378448486328" customWidth="1"/>
    <col min="12" max="12" width="17.443378448486328" customWidth="1"/>
    <col min="13" max="13" width="25.59624671936035" customWidth="1"/>
    <col min="14" max="14" width="18.547500610351562" customWidth="1"/>
    <col min="15" max="15" width="23.35041618347168" customWidth="1"/>
    <col min="16" max="16" width="17.443378448486328" customWidth="1"/>
    <col min="17" max="17" width="26.586549758911133" customWidth="1"/>
    <col min="18" max="18" width="17.661924362182617" customWidth="1"/>
    <col min="19" max="19" width="18.399028778076172" customWidth="1"/>
    <col min="20" max="20" width="25.31153678894043" customWidth="1"/>
    <col min="21" max="21" width="25.449506759643555" customWidth="1"/>
    <col min="22" max="22" width="17.443378448486328" customWidth="1"/>
    <col min="23" max="23" width="23.39350700378418" customWidth="1"/>
    <col min="24" max="24" width="17.443378448486328" customWidth="1"/>
    <col min="25" max="25" width="27.941390991210938" customWidth="1"/>
    <col min="26" max="26" width="24.548154830932617" customWidth="1"/>
    <col min="27" max="27" width="26.133777618408203" customWidth="1"/>
    <col min="28" max="28" width="18.05153465270996" customWidth="1"/>
    <col min="29" max="29" width="22.88836669921875" customWidth="1"/>
    <col min="30" max="30" width="21.103544235229492" customWidth="1"/>
    <col min="31" max="31" width="20.409366607666016" customWidth="1"/>
    <col min="32" max="32" width="20.53921890258789" customWidth="1"/>
    <col min="33" max="33" width="17.443378448486328" customWidth="1"/>
    <col min="34" max="34" width="19.640636444091797" customWidth="1"/>
    <col min="35" max="35" width="17.443378448486328" customWidth="1"/>
    <col min="36" max="36" width="24.134780883789062" customWidth="1"/>
    <col min="37" max="37" width="24.871187210083008" customWidth="1"/>
    <col min="38" max="38" width="23.508134841918945" customWidth="1"/>
    <col min="39" max="39" width="34.10164260864258" customWidth="1"/>
    <col min="40" max="40" width="17.443378448486328" customWidth="1"/>
    <col min="41" max="41" width="17.660905838012695" customWidth="1"/>
    <col min="42" max="42" width="27.849763870239258" customWidth="1"/>
    <col min="43" max="43" width="24.163497924804688" customWidth="1"/>
    <col min="44" max="44" width="27.541410446166992" customWidth="1"/>
    <col min="45" max="45" width="21.439895629882812" customWidth="1"/>
    <col min="46" max="46" width="17.443378448486328" customWidth="1"/>
    <col min="47" max="47" width="17.491825103759766" customWidth="1"/>
    <col min="48" max="48" width="20.747098922729492" customWidth="1"/>
    <col min="49" max="49" width="21.17921257019043" customWidth="1"/>
    <col min="50" max="50" width="26.943134307861328" customWidth="1"/>
    <col min="51" max="51" width="31.35341453552246" customWidth="1"/>
    <col min="52" max="52" width="23.35041618347168" customWidth="1"/>
    <col min="53" max="53" width="20.12349510192871" customWidth="1"/>
    <col min="54" max="54" width="19.850061416625977" customWidth="1"/>
    <col min="55" max="55" width="22.132854461669922" customWidth="1"/>
    <col min="56" max="56" width="29.28501319885254" customWidth="1"/>
    <col min="57" max="57" width="28.012454986572266" customWidth="1"/>
    <col min="58" max="58" width="25.28095054626465" customWidth="1"/>
    <col min="59" max="59" width="34.329708099365234" customWidth="1"/>
    <col min="60" max="60" width="25.60809898376465" customWidth="1"/>
    <col min="61" max="61" width="35.620548248291016" customWidth="1"/>
    <col min="62" max="62" width="34.71349334716797" customWidth="1"/>
    <col min="63" max="63" width="40.70363998413086" customWidth="1"/>
    <col min="64" max="64" width="18.44802474975586" customWidth="1"/>
    <col min="65" max="65" width="23.339160919189453" customWidth="1"/>
    <col min="66" max="66" width="28.176898956298828" customWidth="1"/>
    <col min="67" max="67" width="20.666500091552734" customWidth="1"/>
    <col min="68" max="68" width="25.403196334838867" customWidth="1"/>
    <col min="69" max="69" width="30.009748458862305" customWidth="1"/>
    <col min="70" max="70" width="28.757068634033203" customWidth="1"/>
    <col min="71" max="71" width="23.22011947631836" customWidth="1"/>
    <col min="72" max="72" width="21.913434982299805" customWidth="1"/>
    <col min="73" max="73" width="24.99332046508789" customWidth="1"/>
    <col min="74" max="74" width="29.388891220092773" customWidth="1"/>
    <col min="75" max="75" width="19.673070907592773" customWidth="1"/>
    <col min="76" max="76" width="34.72513961791992" customWidth="1"/>
    <col min="77" max="77" width="21.054323196411133" customWidth="1"/>
    <col min="78" max="78" width="19.15142250061035" customWidth="1"/>
    <col min="79" max="79" width="25.158809661865234" customWidth="1"/>
    <col min="80" max="80" width="48.1507568359375" customWidth="1"/>
  </cols>
  <sheetData>
    <row r="1">
      <c r="A1" s="1" t="s">
        <v>1083</v>
      </c>
      <c r="B1" s="1" t="s">
        <v>1</v>
      </c>
      <c r="C1" s="1" t="s">
        <v>477</v>
      </c>
      <c r="D1" s="1" t="s">
        <v>747</v>
      </c>
      <c r="E1" s="1" t="s">
        <v>1084</v>
      </c>
      <c r="F1" s="1" t="s">
        <v>782</v>
      </c>
      <c r="G1" s="1" t="s">
        <v>1085</v>
      </c>
      <c r="H1" s="1" t="s">
        <v>1086</v>
      </c>
      <c r="I1" s="1" t="s">
        <v>1087</v>
      </c>
      <c r="J1" s="1" t="s">
        <v>255</v>
      </c>
      <c r="K1" s="1" t="s">
        <v>256</v>
      </c>
      <c r="L1" s="1" t="s">
        <v>8</v>
      </c>
      <c r="M1" s="1" t="s">
        <v>1088</v>
      </c>
      <c r="N1" s="1" t="s">
        <v>258</v>
      </c>
      <c r="O1" s="1" t="s">
        <v>92</v>
      </c>
      <c r="P1" s="1" t="s">
        <v>260</v>
      </c>
      <c r="Q1" s="1" t="s">
        <v>1089</v>
      </c>
      <c r="R1" s="1" t="s">
        <v>1090</v>
      </c>
      <c r="S1" s="1" t="s">
        <v>1091</v>
      </c>
      <c r="T1" s="1" t="s">
        <v>1092</v>
      </c>
      <c r="U1" s="1" t="s">
        <v>1093</v>
      </c>
      <c r="V1" s="1" t="s">
        <v>1094</v>
      </c>
      <c r="W1" s="1" t="s">
        <v>1095</v>
      </c>
      <c r="X1" s="1" t="s">
        <v>1096</v>
      </c>
      <c r="Y1" s="1" t="s">
        <v>1097</v>
      </c>
      <c r="Z1" s="1" t="s">
        <v>1098</v>
      </c>
      <c r="AA1" s="1" t="s">
        <v>1099</v>
      </c>
      <c r="AB1" s="1" t="s">
        <v>1100</v>
      </c>
      <c r="AC1" s="1" t="s">
        <v>1101</v>
      </c>
      <c r="AD1" s="1" t="s">
        <v>1102</v>
      </c>
      <c r="AE1" s="1" t="s">
        <v>1103</v>
      </c>
      <c r="AF1" s="1" t="s">
        <v>1104</v>
      </c>
      <c r="AG1" s="1" t="s">
        <v>1105</v>
      </c>
      <c r="AH1" s="1" t="s">
        <v>1106</v>
      </c>
      <c r="AI1" s="1" t="s">
        <v>1107</v>
      </c>
      <c r="AJ1" s="1" t="s">
        <v>1108</v>
      </c>
      <c r="AK1" s="1" t="s">
        <v>1109</v>
      </c>
      <c r="AL1" s="1" t="s">
        <v>1110</v>
      </c>
      <c r="AM1" s="1" t="s">
        <v>1111</v>
      </c>
      <c r="AN1" s="1" t="s">
        <v>1112</v>
      </c>
      <c r="AO1" s="1" t="s">
        <v>1113</v>
      </c>
      <c r="AP1" s="1" t="s">
        <v>1114</v>
      </c>
      <c r="AQ1" s="1" t="s">
        <v>1115</v>
      </c>
      <c r="AR1" s="1" t="s">
        <v>1116</v>
      </c>
      <c r="AS1" s="1" t="s">
        <v>1117</v>
      </c>
      <c r="AT1" s="1" t="s">
        <v>1118</v>
      </c>
      <c r="AU1" s="1" t="s">
        <v>1119</v>
      </c>
      <c r="AV1" s="1" t="s">
        <v>1120</v>
      </c>
      <c r="AW1" s="1" t="s">
        <v>1121</v>
      </c>
      <c r="AX1" s="1" t="s">
        <v>1122</v>
      </c>
      <c r="AY1" s="1" t="s">
        <v>1123</v>
      </c>
      <c r="AZ1" s="1" t="s">
        <v>1124</v>
      </c>
      <c r="BA1" s="1" t="s">
        <v>1125</v>
      </c>
      <c r="BB1" s="1" t="s">
        <v>1126</v>
      </c>
      <c r="BC1" s="1" t="s">
        <v>1127</v>
      </c>
      <c r="BD1" s="1" t="s">
        <v>1128</v>
      </c>
      <c r="BE1" s="1" t="s">
        <v>1129</v>
      </c>
      <c r="BF1" s="1" t="s">
        <v>1130</v>
      </c>
      <c r="BG1" s="1" t="s">
        <v>1131</v>
      </c>
      <c r="BH1" s="1" t="s">
        <v>1132</v>
      </c>
      <c r="BI1" s="1" t="s">
        <v>1133</v>
      </c>
      <c r="BJ1" s="1" t="s">
        <v>1134</v>
      </c>
      <c r="BK1" s="1" t="s">
        <v>1135</v>
      </c>
      <c r="BL1" s="1" t="s">
        <v>1136</v>
      </c>
      <c r="BM1" s="1" t="s">
        <v>1137</v>
      </c>
      <c r="BN1" s="1" t="s">
        <v>1138</v>
      </c>
      <c r="BO1" s="1" t="s">
        <v>1139</v>
      </c>
      <c r="BP1" s="1" t="s">
        <v>1140</v>
      </c>
      <c r="BQ1" s="1" t="s">
        <v>1141</v>
      </c>
      <c r="BR1" s="1" t="s">
        <v>1142</v>
      </c>
      <c r="BS1" s="1" t="s">
        <v>1143</v>
      </c>
      <c r="BT1" s="1" t="s">
        <v>1144</v>
      </c>
      <c r="BU1" s="1" t="s">
        <v>1145</v>
      </c>
      <c r="BV1" s="1" t="s">
        <v>1146</v>
      </c>
      <c r="BW1" s="1" t="s">
        <v>1147</v>
      </c>
      <c r="BX1" s="1" t="s">
        <v>1148</v>
      </c>
      <c r="BY1" s="1" t="s">
        <v>1149</v>
      </c>
      <c r="BZ1" s="1" t="s">
        <v>1150</v>
      </c>
      <c r="CA1" s="1" t="s">
        <v>1151</v>
      </c>
      <c r="CB1" s="1" t="s">
        <v>94</v>
      </c>
    </row>
    <row r="2">
      <c r="A2" s="2" t="s">
        <v>1152</v>
      </c>
      <c r="B2" s="3" t="str">
        <f>E2 &amp; ": " &amp; LEFT(F2, 60)</f>
        <v>Tacit: When FX variance spikes near a daylight-saving cutover, comp</v>
      </c>
      <c r="C2" s="2" t="s">
        <v>369</v>
      </c>
      <c r="D2" s="2" t="s">
        <v>554</v>
      </c>
      <c r="E2" s="2" t="s">
        <v>1153</v>
      </c>
      <c r="F2" s="2" t="s">
        <v>1154</v>
      </c>
      <c r="G2" s="2" t="s">
        <v>1073</v>
      </c>
      <c r="H2" s="2" t="s">
        <v>145</v>
      </c>
      <c r="I2" s="2" t="s">
        <v>1155</v>
      </c>
      <c r="J2" s="4">
        <v>46115.708333333336</v>
      </c>
      <c r="K2" s="4"/>
      <c r="L2" s="2" t="s">
        <v>461</v>
      </c>
      <c r="M2" s="2" t="s">
        <v>208</v>
      </c>
      <c r="N2" s="2" t="s">
        <v>95</v>
      </c>
      <c r="O2" s="6">
        <f>_xlfn.IFNA(INDEX(EvaluationContexts!D2:D999, MATCH(N2,EvaluationContexts!A2:A999, 0)), "")</f>
        <v>46222.75</v>
      </c>
      <c r="P2" s="3" t="b">
        <f>AND(J2 &lt;= O2, OR(K2 = "", K2 &gt; O2), L2 = "Approved")</f>
        <v>1</v>
      </c>
      <c r="Q2" s="3" t="b">
        <f>_xlfn.IFNA(INDEX(Agents!I2:I999, MATCH(H2,Agents!A2:A999, 0)), "")</f>
        <v>1</v>
      </c>
      <c r="R2" s="3" t="str">
        <f>_xlfn.IFNA(INDEX(Agents!D2:D999, MATCH(H2,Agents!A2:A999, 0)), "")</f>
        <v>Human</v>
      </c>
      <c r="S2" s="3" t="b">
        <f>R2 = "Human"</f>
        <v>1</v>
      </c>
      <c r="T2" s="3" t="b">
        <f>AND(P2, NOT(Q2))</f>
        <v>0</v>
      </c>
      <c r="U2" s="3" t="b">
        <f>AND(T2, OR(E2 = "Tacit", E2 = "SituatedJudgment"))</f>
        <v>0</v>
      </c>
      <c r="V2" s="3" t="b">
        <f>L2 = "Approved"</f>
        <v>1</v>
      </c>
      <c r="W2" s="3" t="b">
        <f>AND(J2 &lt;= O2, OR(K2 = "", K2 &gt; O2))</f>
        <v>1</v>
      </c>
      <c r="X2" s="3" t="b">
        <f>AND(D2 &lt;&gt; "", W2)</f>
        <v>1</v>
      </c>
      <c r="Y2" s="3" t="str">
        <f>_xlfn.IFNA(INDEX(Steps!C2:C999, MATCH(D2,Steps!A2:A999, 0)), "")</f>
        <v>close-v1.1.0</v>
      </c>
      <c r="Z2" s="3" t="b">
        <f>_xlfn.IFNA(INDEX(ProcedureVersions!Y2:Y999, MATCH(C2,ProcedureVersions!A2:A999, 0)), "")</f>
        <v>1</v>
      </c>
      <c r="AA2" s="3" t="b">
        <f>AND(X2, Z2, NOT(V2))</f>
        <v>0</v>
      </c>
      <c r="AB2" s="5">
        <f>_xlfn.IFNA(INDEX(ElicitationSessions!M2:M999, MATCH(G2,ElicitationSessions!A2:A999, 0)), "")</f>
        <v>107</v>
      </c>
      <c r="AC2" s="3" t="b">
        <f>G2 &lt;&gt; ""</f>
        <v>1</v>
      </c>
      <c r="AD2" s="3" t="b">
        <f>_xlfn.IFNA(INDEX(ElicitationSessions!N2:N999, MATCH(G2,ElicitationSessions!A2:A999, 0)), "")</f>
        <v>1</v>
      </c>
      <c r="AE2" s="5">
        <f>IF(AD2, 180, 365)</f>
        <v>180</v>
      </c>
      <c r="AF2" s="3" t="b">
        <f>AND(AC2, AB2 &gt; AE2)</f>
        <v>0</v>
      </c>
      <c r="AG2" s="3" t="str">
        <f>_xlfn.IFNA(INDEX(Roles!E2:E999, MATCH(M2,Roles!A2:A999, 0)), "")</f>
        <v>devon-okafor</v>
      </c>
      <c r="AH2" s="3" t="b">
        <f>L2 = "Reviewed"</f>
        <v>0</v>
      </c>
      <c r="AI2" s="3" t="b">
        <f>M2 = "hr-policy-owner"</f>
        <v>0</v>
      </c>
      <c r="AJ2" s="3" t="b">
        <f>AND(AI2, AH2)</f>
        <v>0</v>
      </c>
      <c r="AK2" s="5">
        <f>COUNTIFS(Exceptions!D2:D999,D2)</f>
        <v>0</v>
      </c>
      <c r="AL2" s="3" t="b">
        <f>AK2 &gt; 0</f>
        <v>0</v>
      </c>
      <c r="AM2" s="3" t="b">
        <f>AND(AJ2, AL2)</f>
        <v>0</v>
      </c>
      <c r="AN2" s="5">
        <f>(INT(O2) - INT(J2))</f>
        <v>107</v>
      </c>
      <c r="AO2" s="3" t="b">
        <f>OR(I2 = "Medium", I2 = "Low")</f>
        <v>0</v>
      </c>
      <c r="AP2" s="5">
        <f>_xlfn.IFNA(INDEX(ProcedureVersions!V2:V999, MATCH(C2,ProcedureVersions!A2:A999, 0)), "")</f>
        <v>90</v>
      </c>
      <c r="AQ2" s="3" t="b">
        <f>AN2 &gt; AP2</f>
        <v>1</v>
      </c>
      <c r="AR2" s="3" t="b">
        <f>AND(AQ2, AO2)</f>
        <v>0</v>
      </c>
      <c r="AS2" s="3" t="str">
        <f>_xlfn.IFNA(INDEX(Roles!F2:F999, MATCH(M2,Roles!A2:A999, 0)), "")</f>
        <v>Human</v>
      </c>
      <c r="AT2" s="3" t="b">
        <f>AS2 = "Human"</f>
        <v>1</v>
      </c>
      <c r="AU2" s="3" t="b">
        <f>AND(NOT(R2 = "Human"), NOT(AT2))</f>
        <v>0</v>
      </c>
      <c r="AV2" s="5">
        <f>_xlfn.IFNA(INDEX(ProcedureVersions!V2:V999, MATCH(C2,ProcedureVersions!A2:A999, 0)), "")</f>
        <v>90</v>
      </c>
      <c r="AW2" s="3" t="b">
        <f>AND(P2, AN2 &gt; AV2)</f>
        <v>1</v>
      </c>
      <c r="AX2" s="3" t="b">
        <f>AND(AS2 &lt;&gt; "", J2 &lt; AY2)</f>
        <v>0</v>
      </c>
      <c r="AY2" s="6">
        <f>_xlfn.IFNA(INDEX(Roles!M2:M999, MATCH(M2,Roles!A2:A999, 0)), "")</f>
        <v>46023.25</v>
      </c>
      <c r="AZ2" s="4">
        <v>46205.875</v>
      </c>
      <c r="BA2" s="5">
        <f>IF(AD2, 1, 0) + IF(AW2, 1, 0) + IF(AO2, 1, 0) + IF(AL2, 1, 0)</f>
        <v>2</v>
      </c>
      <c r="BB2" s="3" t="b">
        <f>BA2 &gt;= 3</f>
        <v>0</v>
      </c>
      <c r="BC2" s="3" t="b">
        <f>AND(AD2, AL2)</f>
        <v>0</v>
      </c>
      <c r="BD2" s="3" t="b">
        <f>AND(BC2, AW2)</f>
        <v>0</v>
      </c>
      <c r="BE2" s="3" t="str">
        <f>IF(BB2, C2, "")</f>
      </c>
      <c r="BF2" s="3" t="str">
        <f>IF(P2, G2, "")</f>
        <v>elicit-close-shadow</v>
      </c>
      <c r="BG2" s="3" t="b">
        <f>_xlfn.IFNA(INDEX(Steps!W2:W999, MATCH(D2,Steps!A2:A999, 0)), "")</f>
        <v>1</v>
      </c>
      <c r="BH2" s="3" t="str">
        <f>_xlfn.IFNA(INDEX(Steps!I2:I999, MATCH(D2,Steps!A2:A999, 0)), "")</f>
        <v>AIAgent</v>
      </c>
      <c r="BI2" s="3" t="b">
        <f>AND(AA2, BG2)</f>
        <v>0</v>
      </c>
      <c r="BJ2" s="3" t="b">
        <f>AND(AA2, NOT(BG2))</f>
        <v>0</v>
      </c>
      <c r="BK2" s="3" t="str">
        <f>IF(BI2, C2, "")</f>
      </c>
      <c r="BL2" s="3" t="b">
        <f>AZ2 &lt;&gt; ""</f>
        <v>1</v>
      </c>
      <c r="BM2" s="5">
        <f>IF(BL2, (INT(O2) - INT(AZ2)), 0)</f>
        <v>17</v>
      </c>
      <c r="BN2" s="3" t="b">
        <f>AND(P2, NOT(BL2))</f>
        <v>0</v>
      </c>
      <c r="BO2" s="3" t="b">
        <f>AND(P2, BL2, BM2 &gt; AV2)</f>
        <v>0</v>
      </c>
      <c r="BP2" s="3" t="b">
        <f>AND(AW2, NOT(BL2))</f>
        <v>0</v>
      </c>
      <c r="BQ2" s="3" t="b">
        <f>AND(BL2, AW2, NOT(BO2))</f>
        <v>1</v>
      </c>
      <c r="BR2" s="3" t="str">
        <f>IF(BO2, C2, "")</f>
      </c>
      <c r="BS2" s="3">
        <f>COUNTIFS(AuthorityBoundaries!AA2:AA999, A2)</f>
        <v>0</v>
      </c>
      <c r="BT2" s="5">
        <f>AK2 + BS2</f>
        <v>0</v>
      </c>
      <c r="BU2" s="5">
        <f>IF(AJ2, (INT(O2) - INT(J2)), 0)</f>
        <v>0</v>
      </c>
      <c r="BV2" s="3" t="b">
        <f>AND(AM2, BT2 &gt; 1)</f>
        <v>0</v>
      </c>
      <c r="BW2" s="3" t="b">
        <f>AND(AJ2, BU2 &gt; 30)</f>
        <v>0</v>
      </c>
      <c r="BX2" s="3" t="str">
        <f>IF(BV2, C2, "")</f>
      </c>
      <c r="BY2" s="3" t="b">
        <f>_xlfn.IFNA(INDEX(Roles!R2:R999, MATCH(M2,Roles!A2:A999, 0)), "")</f>
        <v>0</v>
      </c>
      <c r="BZ2" s="3" t="b">
        <f>AND(P2, BY2)</f>
        <v>0</v>
      </c>
      <c r="CA2" s="3" t="str">
        <f>IF(P2, C2, "")</f>
        <v>close-v1.1.0</v>
      </c>
      <c r="CB2" s="2" t="s">
        <v>1156</v>
      </c>
    </row>
    <row r="3">
      <c r="A3" s="2" t="s">
        <v>1157</v>
      </c>
      <c r="B3" s="3" t="str">
        <f>E3 &amp; ": " &amp; LEFT(F3, 60)</f>
        <v>Implicit: The controller normally reviews the ten largest unexplained </v>
      </c>
      <c r="C3" s="2" t="s">
        <v>369</v>
      </c>
      <c r="D3" s="2" t="s">
        <v>554</v>
      </c>
      <c r="E3" s="2" t="s">
        <v>1158</v>
      </c>
      <c r="F3" s="2" t="s">
        <v>1159</v>
      </c>
      <c r="G3" s="2" t="s">
        <v>1073</v>
      </c>
      <c r="H3" s="2" t="s">
        <v>145</v>
      </c>
      <c r="I3" s="2" t="s">
        <v>1160</v>
      </c>
      <c r="J3" s="4">
        <v>46115.708333333336</v>
      </c>
      <c r="K3" s="4"/>
      <c r="L3" s="2" t="s">
        <v>461</v>
      </c>
      <c r="M3" s="2" t="s">
        <v>208</v>
      </c>
      <c r="N3" s="2" t="s">
        <v>95</v>
      </c>
      <c r="O3" s="6">
        <f>_xlfn.IFNA(INDEX(EvaluationContexts!D2:D999, MATCH(N3,EvaluationContexts!A2:A999, 0)), "")</f>
        <v>46222.75</v>
      </c>
      <c r="P3" s="3" t="b">
        <f>AND(J3 &lt;= O3, OR(K3 = "", K3 &gt; O3), L3 = "Approved")</f>
        <v>1</v>
      </c>
      <c r="Q3" s="3" t="b">
        <f>_xlfn.IFNA(INDEX(Agents!I2:I999, MATCH(H3,Agents!A2:A999, 0)), "")</f>
        <v>1</v>
      </c>
      <c r="R3" s="3" t="str">
        <f>_xlfn.IFNA(INDEX(Agents!D2:D999, MATCH(H3,Agents!A2:A999, 0)), "")</f>
        <v>Human</v>
      </c>
      <c r="S3" s="3" t="b">
        <f>R3 = "Human"</f>
        <v>1</v>
      </c>
      <c r="T3" s="3" t="b">
        <f>AND(P3, NOT(Q3))</f>
        <v>0</v>
      </c>
      <c r="U3" s="3" t="b">
        <f>AND(T3, OR(E3 = "Tacit", E3 = "SituatedJudgment"))</f>
        <v>0</v>
      </c>
      <c r="V3" s="3" t="b">
        <f>L3 = "Approved"</f>
        <v>1</v>
      </c>
      <c r="W3" s="3" t="b">
        <f>AND(J3 &lt;= O3, OR(K3 = "", K3 &gt; O3))</f>
        <v>1</v>
      </c>
      <c r="X3" s="3" t="b">
        <f>AND(D3 &lt;&gt; "", W3)</f>
        <v>1</v>
      </c>
      <c r="Y3" s="3" t="str">
        <f>_xlfn.IFNA(INDEX(Steps!C2:C999, MATCH(D3,Steps!A2:A999, 0)), "")</f>
        <v>close-v1.1.0</v>
      </c>
      <c r="Z3" s="3" t="b">
        <f>_xlfn.IFNA(INDEX(ProcedureVersions!Y2:Y999, MATCH(C3,ProcedureVersions!A2:A999, 0)), "")</f>
        <v>1</v>
      </c>
      <c r="AA3" s="3" t="b">
        <f>AND(X3, Z3, NOT(V3))</f>
        <v>0</v>
      </c>
      <c r="AB3" s="5">
        <f>_xlfn.IFNA(INDEX(ElicitationSessions!M2:M999, MATCH(G3,ElicitationSessions!A2:A999, 0)), "")</f>
        <v>107</v>
      </c>
      <c r="AC3" s="3" t="b">
        <f>G3 &lt;&gt; ""</f>
        <v>1</v>
      </c>
      <c r="AD3" s="3" t="b">
        <f>_xlfn.IFNA(INDEX(ElicitationSessions!N2:N999, MATCH(G3,ElicitationSessions!A2:A999, 0)), "")</f>
        <v>1</v>
      </c>
      <c r="AE3" s="5">
        <f>IF(AD3, 180, 365)</f>
        <v>180</v>
      </c>
      <c r="AF3" s="3" t="b">
        <f>AND(AC3, AB3 &gt; AE3)</f>
        <v>0</v>
      </c>
      <c r="AG3" s="3" t="str">
        <f>_xlfn.IFNA(INDEX(Roles!E2:E999, MATCH(M3,Roles!A2:A999, 0)), "")</f>
        <v>devon-okafor</v>
      </c>
      <c r="AH3" s="3" t="b">
        <f>L3 = "Reviewed"</f>
        <v>0</v>
      </c>
      <c r="AI3" s="3" t="b">
        <f>M3 = "hr-policy-owner"</f>
        <v>0</v>
      </c>
      <c r="AJ3" s="3" t="b">
        <f>AND(AI3, AH3)</f>
        <v>0</v>
      </c>
      <c r="AK3" s="5">
        <f>COUNTIFS(Exceptions!D2:D999,D3)</f>
        <v>0</v>
      </c>
      <c r="AL3" s="3" t="b">
        <f>AK3 &gt; 0</f>
        <v>0</v>
      </c>
      <c r="AM3" s="3" t="b">
        <f>AND(AJ3, AL3)</f>
        <v>0</v>
      </c>
      <c r="AN3" s="5">
        <f>(INT(O3) - INT(J3))</f>
        <v>107</v>
      </c>
      <c r="AO3" s="3" t="b">
        <f>OR(I3 = "Medium", I3 = "Low")</f>
        <v>1</v>
      </c>
      <c r="AP3" s="5">
        <f>_xlfn.IFNA(INDEX(ProcedureVersions!V2:V999, MATCH(C3,ProcedureVersions!A2:A999, 0)), "")</f>
        <v>90</v>
      </c>
      <c r="AQ3" s="3" t="b">
        <f>AN3 &gt; AP3</f>
        <v>1</v>
      </c>
      <c r="AR3" s="3" t="b">
        <f>AND(AQ3, AO3)</f>
        <v>1</v>
      </c>
      <c r="AS3" s="3" t="str">
        <f>_xlfn.IFNA(INDEX(Roles!F2:F999, MATCH(M3,Roles!A2:A999, 0)), "")</f>
        <v>Human</v>
      </c>
      <c r="AT3" s="3" t="b">
        <f>AS3 = "Human"</f>
        <v>1</v>
      </c>
      <c r="AU3" s="3" t="b">
        <f>AND(NOT(R3 = "Human"), NOT(AT3))</f>
        <v>0</v>
      </c>
      <c r="AV3" s="5">
        <f>_xlfn.IFNA(INDEX(ProcedureVersions!V2:V999, MATCH(C3,ProcedureVersions!A2:A999, 0)), "")</f>
        <v>90</v>
      </c>
      <c r="AW3" s="3" t="b">
        <f>AND(P3, AN3 &gt; AV3)</f>
        <v>1</v>
      </c>
      <c r="AX3" s="3" t="b">
        <f>AND(AS3 &lt;&gt; "", J3 &lt; AY3)</f>
        <v>0</v>
      </c>
      <c r="AY3" s="6">
        <f>_xlfn.IFNA(INDEX(Roles!M2:M999, MATCH(M3,Roles!A2:A999, 0)), "")</f>
        <v>46023.25</v>
      </c>
      <c r="AZ3" s="4">
        <v>46205.875</v>
      </c>
      <c r="BA3" s="5">
        <f>IF(AD3, 1, 0) + IF(AW3, 1, 0) + IF(AO3, 1, 0) + IF(AL3, 1, 0)</f>
        <v>3</v>
      </c>
      <c r="BB3" s="3" t="b">
        <f>BA3 &gt;= 3</f>
        <v>1</v>
      </c>
      <c r="BC3" s="3" t="b">
        <f>AND(AD3, AL3)</f>
        <v>0</v>
      </c>
      <c r="BD3" s="3" t="b">
        <f>AND(BC3, AW3)</f>
        <v>0</v>
      </c>
      <c r="BE3" s="3" t="str">
        <f>IF(BB3, C3, "")</f>
        <v>close-v1.1.0</v>
      </c>
      <c r="BF3" s="3" t="str">
        <f>IF(P3, G3, "")</f>
        <v>elicit-close-shadow</v>
      </c>
      <c r="BG3" s="3" t="b">
        <f>_xlfn.IFNA(INDEX(Steps!W2:W999, MATCH(D3,Steps!A2:A999, 0)), "")</f>
        <v>1</v>
      </c>
      <c r="BH3" s="3" t="str">
        <f>_xlfn.IFNA(INDEX(Steps!I2:I999, MATCH(D3,Steps!A2:A999, 0)), "")</f>
        <v>AIAgent</v>
      </c>
      <c r="BI3" s="3" t="b">
        <f>AND(AA3, BG3)</f>
        <v>0</v>
      </c>
      <c r="BJ3" s="3" t="b">
        <f>AND(AA3, NOT(BG3))</f>
        <v>0</v>
      </c>
      <c r="BK3" s="3" t="str">
        <f>IF(BI3, C3, "")</f>
      </c>
      <c r="BL3" s="3" t="b">
        <f>AZ3 &lt;&gt; ""</f>
        <v>1</v>
      </c>
      <c r="BM3" s="5">
        <f>IF(BL3, (INT(O3) - INT(AZ3)), 0)</f>
        <v>17</v>
      </c>
      <c r="BN3" s="3" t="b">
        <f>AND(P3, NOT(BL3))</f>
        <v>0</v>
      </c>
      <c r="BO3" s="3" t="b">
        <f>AND(P3, BL3, BM3 &gt; AV3)</f>
        <v>0</v>
      </c>
      <c r="BP3" s="3" t="b">
        <f>AND(AW3, NOT(BL3))</f>
        <v>0</v>
      </c>
      <c r="BQ3" s="3" t="b">
        <f>AND(BL3, AW3, NOT(BO3))</f>
        <v>1</v>
      </c>
      <c r="BR3" s="3" t="str">
        <f>IF(BO3, C3, "")</f>
      </c>
      <c r="BS3" s="3">
        <f>COUNTIFS(AuthorityBoundaries!AA2:AA999, A3)</f>
        <v>0</v>
      </c>
      <c r="BT3" s="5">
        <f>AK3 + BS3</f>
        <v>0</v>
      </c>
      <c r="BU3" s="5">
        <f>IF(AJ3, (INT(O3) - INT(J3)), 0)</f>
        <v>0</v>
      </c>
      <c r="BV3" s="3" t="b">
        <f>AND(AM3, BT3 &gt; 1)</f>
        <v>0</v>
      </c>
      <c r="BW3" s="3" t="b">
        <f>AND(AJ3, BU3 &gt; 30)</f>
        <v>0</v>
      </c>
      <c r="BX3" s="3" t="str">
        <f>IF(BV3, C3, "")</f>
      </c>
      <c r="BY3" s="3" t="b">
        <f>_xlfn.IFNA(INDEX(Roles!R2:R999, MATCH(M3,Roles!A2:A999, 0)), "")</f>
        <v>0</v>
      </c>
      <c r="BZ3" s="3" t="b">
        <f>AND(P3, BY3)</f>
        <v>0</v>
      </c>
      <c r="CA3" s="3" t="str">
        <f>IF(P3, C3, "")</f>
        <v>close-v1.1.0</v>
      </c>
      <c r="CB3" s="2" t="s">
        <v>1156</v>
      </c>
    </row>
    <row r="4">
      <c r="A4" s="2" t="s">
        <v>1161</v>
      </c>
      <c r="B4" s="3" t="str">
        <f>E4 &amp; ": " &amp; LEFT(F4, 60)</f>
        <v>Explicit: Close evidence is retained for seven years and must remain l</v>
      </c>
      <c r="C4" s="2" t="s">
        <v>369</v>
      </c>
      <c r="D4" s="2" t="s">
        <v>573</v>
      </c>
      <c r="E4" s="2" t="s">
        <v>1162</v>
      </c>
      <c r="F4" s="2" t="s">
        <v>1163</v>
      </c>
      <c r="G4" s="2"/>
      <c r="H4" s="2" t="s">
        <v>145</v>
      </c>
      <c r="I4" s="2" t="s">
        <v>1155</v>
      </c>
      <c r="J4" s="4">
        <v>46127.583333333336</v>
      </c>
      <c r="K4" s="4"/>
      <c r="L4" s="2" t="s">
        <v>461</v>
      </c>
      <c r="M4" s="2" t="s">
        <v>208</v>
      </c>
      <c r="N4" s="2" t="s">
        <v>95</v>
      </c>
      <c r="O4" s="6">
        <f>_xlfn.IFNA(INDEX(EvaluationContexts!D2:D999, MATCH(N4,EvaluationContexts!A2:A999, 0)), "")</f>
        <v>46222.75</v>
      </c>
      <c r="P4" s="3" t="b">
        <f>AND(J4 &lt;= O4, OR(K4 = "", K4 &gt; O4), L4 = "Approved")</f>
        <v>1</v>
      </c>
      <c r="Q4" s="3" t="b">
        <f>_xlfn.IFNA(INDEX(Agents!I2:I999, MATCH(H4,Agents!A2:A999, 0)), "")</f>
        <v>1</v>
      </c>
      <c r="R4" s="3" t="str">
        <f>_xlfn.IFNA(INDEX(Agents!D2:D999, MATCH(H4,Agents!A2:A999, 0)), "")</f>
        <v>Human</v>
      </c>
      <c r="S4" s="3" t="b">
        <f>R4 = "Human"</f>
        <v>1</v>
      </c>
      <c r="T4" s="3" t="b">
        <f>AND(P4, NOT(Q4))</f>
        <v>0</v>
      </c>
      <c r="U4" s="3" t="b">
        <f>AND(T4, OR(E4 = "Tacit", E4 = "SituatedJudgment"))</f>
        <v>0</v>
      </c>
      <c r="V4" s="3" t="b">
        <f>L4 = "Approved"</f>
        <v>1</v>
      </c>
      <c r="W4" s="3" t="b">
        <f>AND(J4 &lt;= O4, OR(K4 = "", K4 &gt; O4))</f>
        <v>1</v>
      </c>
      <c r="X4" s="3" t="b">
        <f>AND(D4 &lt;&gt; "", W4)</f>
        <v>1</v>
      </c>
      <c r="Y4" s="3" t="str">
        <f>_xlfn.IFNA(INDEX(Steps!C2:C999, MATCH(D4,Steps!A2:A999, 0)), "")</f>
        <v>close-v1.1.0</v>
      </c>
      <c r="Z4" s="3" t="b">
        <f>_xlfn.IFNA(INDEX(ProcedureVersions!Y2:Y999, MATCH(C4,ProcedureVersions!A2:A999, 0)), "")</f>
        <v>1</v>
      </c>
      <c r="AA4" s="3" t="b">
        <f>AND(X4, Z4, NOT(V4))</f>
        <v>0</v>
      </c>
      <c r="AB4" s="5" t="str">
        <f>_xlfn.IFNA(INDEX(ElicitationSessions!M2:M999, MATCH(G4,ElicitationSessions!A2:A999, 0)), "")</f>
      </c>
      <c r="AC4" s="3" t="b">
        <f>G4 &lt;&gt; ""</f>
        <v>0</v>
      </c>
      <c r="AD4" s="3" t="str">
        <f>_xlfn.IFNA(INDEX(ElicitationSessions!N2:N999, MATCH(G4,ElicitationSessions!A2:A999, 0)), "")</f>
      </c>
      <c r="AE4" s="5" t="e">
        <f>IF(AD4, 180, 365)</f>
        <v>#VALUE!</v>
      </c>
      <c r="AF4" s="3" t="e">
        <f>AND(AC4, AB4 &gt; AE4)</f>
        <v>#VALUE!</v>
      </c>
      <c r="AG4" s="3" t="str">
        <f>_xlfn.IFNA(INDEX(Roles!E2:E999, MATCH(M4,Roles!A2:A999, 0)), "")</f>
        <v>devon-okafor</v>
      </c>
      <c r="AH4" s="3" t="b">
        <f>L4 = "Reviewed"</f>
        <v>0</v>
      </c>
      <c r="AI4" s="3" t="b">
        <f>M4 = "hr-policy-owner"</f>
        <v>0</v>
      </c>
      <c r="AJ4" s="3" t="b">
        <f>AND(AI4, AH4)</f>
        <v>0</v>
      </c>
      <c r="AK4" s="5">
        <f>COUNTIFS(Exceptions!D2:D999,D4)</f>
        <v>0</v>
      </c>
      <c r="AL4" s="3" t="b">
        <f>AK4 &gt; 0</f>
        <v>0</v>
      </c>
      <c r="AM4" s="3" t="b">
        <f>AND(AJ4, AL4)</f>
        <v>0</v>
      </c>
      <c r="AN4" s="5">
        <f>(INT(O4) - INT(J4))</f>
        <v>95</v>
      </c>
      <c r="AO4" s="3" t="b">
        <f>OR(I4 = "Medium", I4 = "Low")</f>
        <v>0</v>
      </c>
      <c r="AP4" s="5">
        <f>_xlfn.IFNA(INDEX(ProcedureVersions!V2:V999, MATCH(C4,ProcedureVersions!A2:A999, 0)), "")</f>
        <v>90</v>
      </c>
      <c r="AQ4" s="3" t="b">
        <f>AN4 &gt; AP4</f>
        <v>1</v>
      </c>
      <c r="AR4" s="3" t="b">
        <f>AND(AQ4, AO4)</f>
        <v>0</v>
      </c>
      <c r="AS4" s="3" t="str">
        <f>_xlfn.IFNA(INDEX(Roles!F2:F999, MATCH(M4,Roles!A2:A999, 0)), "")</f>
        <v>Human</v>
      </c>
      <c r="AT4" s="3" t="b">
        <f>AS4 = "Human"</f>
        <v>1</v>
      </c>
      <c r="AU4" s="3" t="b">
        <f>AND(NOT(R4 = "Human"), NOT(AT4))</f>
        <v>0</v>
      </c>
      <c r="AV4" s="5">
        <f>_xlfn.IFNA(INDEX(ProcedureVersions!V2:V999, MATCH(C4,ProcedureVersions!A2:A999, 0)), "")</f>
        <v>90</v>
      </c>
      <c r="AW4" s="3" t="b">
        <f>AND(P4, AN4 &gt; AV4)</f>
        <v>1</v>
      </c>
      <c r="AX4" s="3" t="b">
        <f>AND(AS4 &lt;&gt; "", J4 &lt; AY4)</f>
        <v>0</v>
      </c>
      <c r="AY4" s="6">
        <f>_xlfn.IFNA(INDEX(Roles!M2:M999, MATCH(M4,Roles!A2:A999, 0)), "")</f>
        <v>46023.25</v>
      </c>
      <c r="AZ4" s="4"/>
      <c r="BA4" s="5" t="e">
        <f>IF(AD4, 1, 0) + IF(AW4, 1, 0) + IF(AO4, 1, 0) + IF(AL4, 1, 0)</f>
        <v>#VALUE!</v>
      </c>
      <c r="BB4" s="3" t="e">
        <f>BA4 &gt;= 3</f>
        <v>#VALUE!</v>
      </c>
      <c r="BC4" s="3" t="b">
        <f>AND(AD4, AL4)</f>
        <v>0</v>
      </c>
      <c r="BD4" s="3" t="b">
        <f>AND(BC4, AW4)</f>
        <v>0</v>
      </c>
      <c r="BE4" s="3" t="e">
        <f>IF(BB4, C4, "")</f>
        <v>#VALUE!</v>
      </c>
      <c r="BF4" s="3">
        <f>IF(P4, G4, "")</f>
        <v>0</v>
      </c>
      <c r="BG4" s="3" t="b">
        <f>_xlfn.IFNA(INDEX(Steps!W2:W999, MATCH(D4,Steps!A2:A999, 0)), "")</f>
        <v>0</v>
      </c>
      <c r="BH4" s="3" t="str">
        <f>_xlfn.IFNA(INDEX(Steps!I2:I999, MATCH(D4,Steps!A2:A999, 0)), "")</f>
        <v>Human</v>
      </c>
      <c r="BI4" s="3" t="b">
        <f>AND(AA4, BG4)</f>
        <v>0</v>
      </c>
      <c r="BJ4" s="3" t="b">
        <f>AND(AA4, NOT(BG4))</f>
        <v>0</v>
      </c>
      <c r="BK4" s="3" t="str">
        <f>IF(BI4, C4, "")</f>
      </c>
      <c r="BL4" s="3" t="b">
        <f>AZ4 &lt;&gt; ""</f>
        <v>0</v>
      </c>
      <c r="BM4" s="5">
        <f>IF(BL4, (INT(O4) - INT(AZ4)), 0)</f>
        <v>0</v>
      </c>
      <c r="BN4" s="3" t="b">
        <f>AND(P4, NOT(BL4))</f>
        <v>1</v>
      </c>
      <c r="BO4" s="3" t="b">
        <f>AND(P4, BL4, BM4 &gt; AV4)</f>
        <v>0</v>
      </c>
      <c r="BP4" s="3" t="b">
        <f>AND(AW4, NOT(BL4))</f>
        <v>1</v>
      </c>
      <c r="BQ4" s="3" t="b">
        <f>AND(BL4, AW4, NOT(BO4))</f>
        <v>0</v>
      </c>
      <c r="BR4" s="3" t="str">
        <f>IF(BO4, C4, "")</f>
      </c>
      <c r="BS4" s="3">
        <f>COUNTIFS(AuthorityBoundaries!AA2:AA999, A4)</f>
        <v>0</v>
      </c>
      <c r="BT4" s="5">
        <f>AK4 + BS4</f>
        <v>0</v>
      </c>
      <c r="BU4" s="5">
        <f>IF(AJ4, (INT(O4) - INT(J4)), 0)</f>
        <v>0</v>
      </c>
      <c r="BV4" s="3" t="b">
        <f>AND(AM4, BT4 &gt; 1)</f>
        <v>0</v>
      </c>
      <c r="BW4" s="3" t="b">
        <f>AND(AJ4, BU4 &gt; 30)</f>
        <v>0</v>
      </c>
      <c r="BX4" s="3" t="str">
        <f>IF(BV4, C4, "")</f>
      </c>
      <c r="BY4" s="3" t="b">
        <f>_xlfn.IFNA(INDEX(Roles!R2:R999, MATCH(M4,Roles!A2:A999, 0)), "")</f>
        <v>0</v>
      </c>
      <c r="BZ4" s="3" t="b">
        <f>AND(P4, BY4)</f>
        <v>0</v>
      </c>
      <c r="CA4" s="3" t="str">
        <f>IF(P4, C4, "")</f>
        <v>close-v1.1.0</v>
      </c>
      <c r="CB4" s="2" t="s">
        <v>1156</v>
      </c>
    </row>
    <row r="5">
      <c r="A5" s="2" t="s">
        <v>1164</v>
      </c>
      <c r="B5" s="3" t="str">
        <f>E5 &amp; ": " &amp; LEFT(F5, 60)</f>
        <v>SituatedJudgment: Escalate a variance when its pattern is anomalous or recurri</v>
      </c>
      <c r="C5" s="2" t="s">
        <v>369</v>
      </c>
      <c r="D5" s="2" t="s">
        <v>554</v>
      </c>
      <c r="E5" s="2" t="s">
        <v>1165</v>
      </c>
      <c r="F5" s="2" t="s">
        <v>1166</v>
      </c>
      <c r="G5" s="2" t="s">
        <v>1073</v>
      </c>
      <c r="H5" s="2" t="s">
        <v>145</v>
      </c>
      <c r="I5" s="2" t="s">
        <v>1155</v>
      </c>
      <c r="J5" s="4">
        <v>46115.708333333336</v>
      </c>
      <c r="K5" s="4"/>
      <c r="L5" s="2" t="s">
        <v>461</v>
      </c>
      <c r="M5" s="2" t="s">
        <v>208</v>
      </c>
      <c r="N5" s="2" t="s">
        <v>95</v>
      </c>
      <c r="O5" s="6">
        <f>_xlfn.IFNA(INDEX(EvaluationContexts!D2:D999, MATCH(N5,EvaluationContexts!A2:A999, 0)), "")</f>
        <v>46222.75</v>
      </c>
      <c r="P5" s="3" t="b">
        <f>AND(J5 &lt;= O5, OR(K5 = "", K5 &gt; O5), L5 = "Approved")</f>
        <v>1</v>
      </c>
      <c r="Q5" s="3" t="b">
        <f>_xlfn.IFNA(INDEX(Agents!I2:I999, MATCH(H5,Agents!A2:A999, 0)), "")</f>
        <v>1</v>
      </c>
      <c r="R5" s="3" t="str">
        <f>_xlfn.IFNA(INDEX(Agents!D2:D999, MATCH(H5,Agents!A2:A999, 0)), "")</f>
        <v>Human</v>
      </c>
      <c r="S5" s="3" t="b">
        <f>R5 = "Human"</f>
        <v>1</v>
      </c>
      <c r="T5" s="3" t="b">
        <f>AND(P5, NOT(Q5))</f>
        <v>0</v>
      </c>
      <c r="U5" s="3" t="b">
        <f>AND(T5, OR(E5 = "Tacit", E5 = "SituatedJudgment"))</f>
        <v>0</v>
      </c>
      <c r="V5" s="3" t="b">
        <f>L5 = "Approved"</f>
        <v>1</v>
      </c>
      <c r="W5" s="3" t="b">
        <f>AND(J5 &lt;= O5, OR(K5 = "", K5 &gt; O5))</f>
        <v>1</v>
      </c>
      <c r="X5" s="3" t="b">
        <f>AND(D5 &lt;&gt; "", W5)</f>
        <v>1</v>
      </c>
      <c r="Y5" s="3" t="str">
        <f>_xlfn.IFNA(INDEX(Steps!C2:C999, MATCH(D5,Steps!A2:A999, 0)), "")</f>
        <v>close-v1.1.0</v>
      </c>
      <c r="Z5" s="3" t="b">
        <f>_xlfn.IFNA(INDEX(ProcedureVersions!Y2:Y999, MATCH(C5,ProcedureVersions!A2:A999, 0)), "")</f>
        <v>1</v>
      </c>
      <c r="AA5" s="3" t="b">
        <f>AND(X5, Z5, NOT(V5))</f>
        <v>0</v>
      </c>
      <c r="AB5" s="5">
        <f>_xlfn.IFNA(INDEX(ElicitationSessions!M2:M999, MATCH(G5,ElicitationSessions!A2:A999, 0)), "")</f>
        <v>107</v>
      </c>
      <c r="AC5" s="3" t="b">
        <f>G5 &lt;&gt; ""</f>
        <v>1</v>
      </c>
      <c r="AD5" s="3" t="b">
        <f>_xlfn.IFNA(INDEX(ElicitationSessions!N2:N999, MATCH(G5,ElicitationSessions!A2:A999, 0)), "")</f>
        <v>1</v>
      </c>
      <c r="AE5" s="5">
        <f>IF(AD5, 180, 365)</f>
        <v>180</v>
      </c>
      <c r="AF5" s="3" t="b">
        <f>AND(AC5, AB5 &gt; AE5)</f>
        <v>0</v>
      </c>
      <c r="AG5" s="3" t="str">
        <f>_xlfn.IFNA(INDEX(Roles!E2:E999, MATCH(M5,Roles!A2:A999, 0)), "")</f>
        <v>devon-okafor</v>
      </c>
      <c r="AH5" s="3" t="b">
        <f>L5 = "Reviewed"</f>
        <v>0</v>
      </c>
      <c r="AI5" s="3" t="b">
        <f>M5 = "hr-policy-owner"</f>
        <v>0</v>
      </c>
      <c r="AJ5" s="3" t="b">
        <f>AND(AI5, AH5)</f>
        <v>0</v>
      </c>
      <c r="AK5" s="5">
        <f>COUNTIFS(Exceptions!D2:D999,D5)</f>
        <v>0</v>
      </c>
      <c r="AL5" s="3" t="b">
        <f>AK5 &gt; 0</f>
        <v>0</v>
      </c>
      <c r="AM5" s="3" t="b">
        <f>AND(AJ5, AL5)</f>
        <v>0</v>
      </c>
      <c r="AN5" s="5">
        <f>(INT(O5) - INT(J5))</f>
        <v>107</v>
      </c>
      <c r="AO5" s="3" t="b">
        <f>OR(I5 = "Medium", I5 = "Low")</f>
        <v>0</v>
      </c>
      <c r="AP5" s="5">
        <f>_xlfn.IFNA(INDEX(ProcedureVersions!V2:V999, MATCH(C5,ProcedureVersions!A2:A999, 0)), "")</f>
        <v>90</v>
      </c>
      <c r="AQ5" s="3" t="b">
        <f>AN5 &gt; AP5</f>
        <v>1</v>
      </c>
      <c r="AR5" s="3" t="b">
        <f>AND(AQ5, AO5)</f>
        <v>0</v>
      </c>
      <c r="AS5" s="3" t="str">
        <f>_xlfn.IFNA(INDEX(Roles!F2:F999, MATCH(M5,Roles!A2:A999, 0)), "")</f>
        <v>Human</v>
      </c>
      <c r="AT5" s="3" t="b">
        <f>AS5 = "Human"</f>
        <v>1</v>
      </c>
      <c r="AU5" s="3" t="b">
        <f>AND(NOT(R5 = "Human"), NOT(AT5))</f>
        <v>0</v>
      </c>
      <c r="AV5" s="5">
        <f>_xlfn.IFNA(INDEX(ProcedureVersions!V2:V999, MATCH(C5,ProcedureVersions!A2:A999, 0)), "")</f>
        <v>90</v>
      </c>
      <c r="AW5" s="3" t="b">
        <f>AND(P5, AN5 &gt; AV5)</f>
        <v>1</v>
      </c>
      <c r="AX5" s="3" t="b">
        <f>AND(AS5 &lt;&gt; "", J5 &lt; AY5)</f>
        <v>0</v>
      </c>
      <c r="AY5" s="6">
        <f>_xlfn.IFNA(INDEX(Roles!M2:M999, MATCH(M5,Roles!A2:A999, 0)), "")</f>
        <v>46023.25</v>
      </c>
      <c r="AZ5" s="4"/>
      <c r="BA5" s="5">
        <f>IF(AD5, 1, 0) + IF(AW5, 1, 0) + IF(AO5, 1, 0) + IF(AL5, 1, 0)</f>
        <v>2</v>
      </c>
      <c r="BB5" s="3" t="b">
        <f>BA5 &gt;= 3</f>
        <v>0</v>
      </c>
      <c r="BC5" s="3" t="b">
        <f>AND(AD5, AL5)</f>
        <v>0</v>
      </c>
      <c r="BD5" s="3" t="b">
        <f>AND(BC5, AW5)</f>
        <v>0</v>
      </c>
      <c r="BE5" s="3" t="str">
        <f>IF(BB5, C5, "")</f>
      </c>
      <c r="BF5" s="3" t="str">
        <f>IF(P5, G5, "")</f>
        <v>elicit-close-shadow</v>
      </c>
      <c r="BG5" s="3" t="b">
        <f>_xlfn.IFNA(INDEX(Steps!W2:W999, MATCH(D5,Steps!A2:A999, 0)), "")</f>
        <v>1</v>
      </c>
      <c r="BH5" s="3" t="str">
        <f>_xlfn.IFNA(INDEX(Steps!I2:I999, MATCH(D5,Steps!A2:A999, 0)), "")</f>
        <v>AIAgent</v>
      </c>
      <c r="BI5" s="3" t="b">
        <f>AND(AA5, BG5)</f>
        <v>0</v>
      </c>
      <c r="BJ5" s="3" t="b">
        <f>AND(AA5, NOT(BG5))</f>
        <v>0</v>
      </c>
      <c r="BK5" s="3" t="str">
        <f>IF(BI5, C5, "")</f>
      </c>
      <c r="BL5" s="3" t="b">
        <f>AZ5 &lt;&gt; ""</f>
        <v>0</v>
      </c>
      <c r="BM5" s="5">
        <f>IF(BL5, (INT(O5) - INT(AZ5)), 0)</f>
        <v>0</v>
      </c>
      <c r="BN5" s="3" t="b">
        <f>AND(P5, NOT(BL5))</f>
        <v>1</v>
      </c>
      <c r="BO5" s="3" t="b">
        <f>AND(P5, BL5, BM5 &gt; AV5)</f>
        <v>0</v>
      </c>
      <c r="BP5" s="3" t="b">
        <f>AND(AW5, NOT(BL5))</f>
        <v>1</v>
      </c>
      <c r="BQ5" s="3" t="b">
        <f>AND(BL5, AW5, NOT(BO5))</f>
        <v>0</v>
      </c>
      <c r="BR5" s="3" t="str">
        <f>IF(BO5, C5, "")</f>
      </c>
      <c r="BS5" s="3">
        <f>COUNTIFS(AuthorityBoundaries!AA2:AA999, A5)</f>
        <v>1</v>
      </c>
      <c r="BT5" s="5">
        <f>AK5 + BS5</f>
        <v>1</v>
      </c>
      <c r="BU5" s="5">
        <f>IF(AJ5, (INT(O5) - INT(J5)), 0)</f>
        <v>0</v>
      </c>
      <c r="BV5" s="3" t="b">
        <f>AND(AM5, BT5 &gt; 1)</f>
        <v>0</v>
      </c>
      <c r="BW5" s="3" t="b">
        <f>AND(AJ5, BU5 &gt; 30)</f>
        <v>0</v>
      </c>
      <c r="BX5" s="3" t="str">
        <f>IF(BV5, C5, "")</f>
      </c>
      <c r="BY5" s="3" t="b">
        <f>_xlfn.IFNA(INDEX(Roles!R2:R999, MATCH(M5,Roles!A2:A999, 0)), "")</f>
        <v>0</v>
      </c>
      <c r="BZ5" s="3" t="b">
        <f>AND(P5, BY5)</f>
        <v>0</v>
      </c>
      <c r="CA5" s="3" t="str">
        <f>IF(P5, C5, "")</f>
        <v>close-v1.1.0</v>
      </c>
      <c r="CB5" s="2" t="s">
        <v>1156</v>
      </c>
    </row>
    <row r="6">
      <c r="A6" s="2" t="s">
        <v>1167</v>
      </c>
      <c r="B6" s="3" t="str">
        <f>E6 &amp; ": " &amp; LEFT(F6, 60)</f>
        <v>Explicit: AI may draft from approved sources but may not create new le</v>
      </c>
      <c r="C6" s="2" t="s">
        <v>375</v>
      </c>
      <c r="D6" s="2" t="s">
        <v>584</v>
      </c>
      <c r="E6" s="2" t="s">
        <v>1162</v>
      </c>
      <c r="F6" s="2" t="s">
        <v>1168</v>
      </c>
      <c r="G6" s="2" t="s">
        <v>1080</v>
      </c>
      <c r="H6" s="2" t="s">
        <v>157</v>
      </c>
      <c r="I6" s="2" t="s">
        <v>1155</v>
      </c>
      <c r="J6" s="4">
        <v>46154.8125</v>
      </c>
      <c r="K6" s="4"/>
      <c r="L6" s="2" t="s">
        <v>461</v>
      </c>
      <c r="M6" s="2" t="s">
        <v>220</v>
      </c>
      <c r="N6" s="2" t="s">
        <v>95</v>
      </c>
      <c r="O6" s="6">
        <f>_xlfn.IFNA(INDEX(EvaluationContexts!D2:D999, MATCH(N6,EvaluationContexts!A2:A999, 0)), "")</f>
        <v>46222.75</v>
      </c>
      <c r="P6" s="3" t="b">
        <f>AND(J6 &lt;= O6, OR(K6 = "", K6 &gt; O6), L6 = "Approved")</f>
        <v>1</v>
      </c>
      <c r="Q6" s="3" t="b">
        <f>_xlfn.IFNA(INDEX(Agents!I2:I999, MATCH(H6,Agents!A2:A999, 0)), "")</f>
        <v>1</v>
      </c>
      <c r="R6" s="3" t="str">
        <f>_xlfn.IFNA(INDEX(Agents!D2:D999, MATCH(H6,Agents!A2:A999, 0)), "")</f>
        <v>Human</v>
      </c>
      <c r="S6" s="3" t="b">
        <f>R6 = "Human"</f>
        <v>1</v>
      </c>
      <c r="T6" s="3" t="b">
        <f>AND(P6, NOT(Q6))</f>
        <v>0</v>
      </c>
      <c r="U6" s="3" t="b">
        <f>AND(T6, OR(E6 = "Tacit", E6 = "SituatedJudgment"))</f>
        <v>0</v>
      </c>
      <c r="V6" s="3" t="b">
        <f>L6 = "Approved"</f>
        <v>1</v>
      </c>
      <c r="W6" s="3" t="b">
        <f>AND(J6 &lt;= O6, OR(K6 = "", K6 &gt; O6))</f>
        <v>1</v>
      </c>
      <c r="X6" s="3" t="b">
        <f>AND(D6 &lt;&gt; "", W6)</f>
        <v>1</v>
      </c>
      <c r="Y6" s="3" t="str">
        <f>_xlfn.IFNA(INDEX(Steps!C2:C999, MATCH(D6,Steps!A2:A999, 0)), "")</f>
        <v>policy-v1.0.0</v>
      </c>
      <c r="Z6" s="3" t="b">
        <f>_xlfn.IFNA(INDEX(ProcedureVersions!Y2:Y999, MATCH(C6,ProcedureVersions!A2:A999, 0)), "")</f>
        <v>1</v>
      </c>
      <c r="AA6" s="3" t="b">
        <f>AND(X6, Z6, NOT(V6))</f>
        <v>0</v>
      </c>
      <c r="AB6" s="5">
        <f>_xlfn.IFNA(INDEX(ElicitationSessions!M2:M999, MATCH(G6,ElicitationSessions!A2:A999, 0)), "")</f>
        <v>68</v>
      </c>
      <c r="AC6" s="3" t="b">
        <f>G6 &lt;&gt; ""</f>
        <v>1</v>
      </c>
      <c r="AD6" s="3" t="b">
        <f>_xlfn.IFNA(INDEX(ElicitationSessions!N2:N999, MATCH(G6,ElicitationSessions!A2:A999, 0)), "")</f>
        <v>1</v>
      </c>
      <c r="AE6" s="5">
        <f>IF(AD6, 180, 365)</f>
        <v>180</v>
      </c>
      <c r="AF6" s="3" t="b">
        <f>AND(AC6, AB6 &gt; AE6)</f>
        <v>0</v>
      </c>
      <c r="AG6" s="3" t="str">
        <f>_xlfn.IFNA(INDEX(Roles!E2:E999, MATCH(M6,Roles!A2:A999, 0)), "")</f>
        <v>noah-williams</v>
      </c>
      <c r="AH6" s="3" t="b">
        <f>L6 = "Reviewed"</f>
        <v>0</v>
      </c>
      <c r="AI6" s="3" t="b">
        <f>M6 = "hr-policy-owner"</f>
        <v>0</v>
      </c>
      <c r="AJ6" s="3" t="b">
        <f>AND(AI6, AH6)</f>
        <v>0</v>
      </c>
      <c r="AK6" s="5">
        <f>COUNTIFS(Exceptions!D2:D999,D6)</f>
        <v>0</v>
      </c>
      <c r="AL6" s="3" t="b">
        <f>AK6 &gt; 0</f>
        <v>0</v>
      </c>
      <c r="AM6" s="3" t="b">
        <f>AND(AJ6, AL6)</f>
        <v>0</v>
      </c>
      <c r="AN6" s="5">
        <f>(INT(O6) - INT(J6))</f>
        <v>68</v>
      </c>
      <c r="AO6" s="3" t="b">
        <f>OR(I6 = "Medium", I6 = "Low")</f>
        <v>0</v>
      </c>
      <c r="AP6" s="5">
        <f>_xlfn.IFNA(INDEX(ProcedureVersions!V2:V999, MATCH(C6,ProcedureVersions!A2:A999, 0)), "")</f>
        <v>60</v>
      </c>
      <c r="AQ6" s="3" t="b">
        <f>AN6 &gt; AP6</f>
        <v>1</v>
      </c>
      <c r="AR6" s="3" t="b">
        <f>AND(AQ6, AO6)</f>
        <v>0</v>
      </c>
      <c r="AS6" s="3" t="str">
        <f>_xlfn.IFNA(INDEX(Roles!F2:F999, MATCH(M6,Roles!A2:A999, 0)), "")</f>
        <v>Human</v>
      </c>
      <c r="AT6" s="3" t="b">
        <f>AS6 = "Human"</f>
        <v>1</v>
      </c>
      <c r="AU6" s="3" t="b">
        <f>AND(NOT(R6 = "Human"), NOT(AT6))</f>
        <v>0</v>
      </c>
      <c r="AV6" s="5">
        <f>_xlfn.IFNA(INDEX(ProcedureVersions!V2:V999, MATCH(C6,ProcedureVersions!A2:A999, 0)), "")</f>
        <v>60</v>
      </c>
      <c r="AW6" s="3" t="b">
        <f>AND(P6, AN6 &gt; AV6)</f>
        <v>1</v>
      </c>
      <c r="AX6" s="3" t="b">
        <f>AND(AS6 &lt;&gt; "", J6 &lt; AY6)</f>
        <v>0</v>
      </c>
      <c r="AY6" s="6">
        <f>_xlfn.IFNA(INDEX(Roles!M2:M999, MATCH(M6,Roles!A2:A999, 0)), "")</f>
        <v>46037.25</v>
      </c>
      <c r="AZ6" s="4"/>
      <c r="BA6" s="5">
        <f>IF(AD6, 1, 0) + IF(AW6, 1, 0) + IF(AO6, 1, 0) + IF(AL6, 1, 0)</f>
        <v>2</v>
      </c>
      <c r="BB6" s="3" t="b">
        <f>BA6 &gt;= 3</f>
        <v>0</v>
      </c>
      <c r="BC6" s="3" t="b">
        <f>AND(AD6, AL6)</f>
        <v>0</v>
      </c>
      <c r="BD6" s="3" t="b">
        <f>AND(BC6, AW6)</f>
        <v>0</v>
      </c>
      <c r="BE6" s="3" t="str">
        <f>IF(BB6, C6, "")</f>
      </c>
      <c r="BF6" s="3" t="str">
        <f>IF(P6, G6, "")</f>
        <v>elicit-policy-interview</v>
      </c>
      <c r="BG6" s="3" t="b">
        <f>_xlfn.IFNA(INDEX(Steps!W2:W999, MATCH(D6,Steps!A2:A999, 0)), "")</f>
        <v>1</v>
      </c>
      <c r="BH6" s="3" t="str">
        <f>_xlfn.IFNA(INDEX(Steps!I2:I999, MATCH(D6,Steps!A2:A999, 0)), "")</f>
        <v>AIAgent</v>
      </c>
      <c r="BI6" s="3" t="b">
        <f>AND(AA6, BG6)</f>
        <v>0</v>
      </c>
      <c r="BJ6" s="3" t="b">
        <f>AND(AA6, NOT(BG6))</f>
        <v>0</v>
      </c>
      <c r="BK6" s="3" t="str">
        <f>IF(BI6, C6, "")</f>
      </c>
      <c r="BL6" s="3" t="b">
        <f>AZ6 &lt;&gt; ""</f>
        <v>0</v>
      </c>
      <c r="BM6" s="5">
        <f>IF(BL6, (INT(O6) - INT(AZ6)), 0)</f>
        <v>0</v>
      </c>
      <c r="BN6" s="3" t="b">
        <f>AND(P6, NOT(BL6))</f>
        <v>1</v>
      </c>
      <c r="BO6" s="3" t="b">
        <f>AND(P6, BL6, BM6 &gt; AV6)</f>
        <v>0</v>
      </c>
      <c r="BP6" s="3" t="b">
        <f>AND(AW6, NOT(BL6))</f>
        <v>1</v>
      </c>
      <c r="BQ6" s="3" t="b">
        <f>AND(BL6, AW6, NOT(BO6))</f>
        <v>0</v>
      </c>
      <c r="BR6" s="3" t="str">
        <f>IF(BO6, C6, "")</f>
      </c>
      <c r="BS6" s="3">
        <f>COUNTIFS(AuthorityBoundaries!AA2:AA999, A6)</f>
        <v>1</v>
      </c>
      <c r="BT6" s="5">
        <f>AK6 + BS6</f>
        <v>1</v>
      </c>
      <c r="BU6" s="5">
        <f>IF(AJ6, (INT(O6) - INT(J6)), 0)</f>
        <v>0</v>
      </c>
      <c r="BV6" s="3" t="b">
        <f>AND(AM6, BT6 &gt; 1)</f>
        <v>0</v>
      </c>
      <c r="BW6" s="3" t="b">
        <f>AND(AJ6, BU6 &gt; 30)</f>
        <v>0</v>
      </c>
      <c r="BX6" s="3" t="str">
        <f>IF(BV6, C6, "")</f>
      </c>
      <c r="BY6" s="3" t="b">
        <f>_xlfn.IFNA(INDEX(Roles!R2:R999, MATCH(M6,Roles!A2:A999, 0)), "")</f>
        <v>0</v>
      </c>
      <c r="BZ6" s="3" t="b">
        <f>AND(P6, BY6)</f>
        <v>0</v>
      </c>
      <c r="CA6" s="3" t="str">
        <f>IF(P6, C6, "")</f>
        <v>policy-v1.0.0</v>
      </c>
      <c r="CB6" s="2" t="s">
        <v>1156</v>
      </c>
    </row>
    <row r="7">
      <c r="A7" s="2" t="s">
        <v>1169</v>
      </c>
      <c r="B7" s="3" t="str">
        <f>E7 &amp; ": " &amp; LEFT(F7, 60)</f>
        <v>Tacit: Employees respond faster to concise SMS notices, but dispute</v>
      </c>
      <c r="C7" s="2" t="s">
        <v>375</v>
      </c>
      <c r="D7" s="2" t="s">
        <v>597</v>
      </c>
      <c r="E7" s="2" t="s">
        <v>1153</v>
      </c>
      <c r="F7" s="2" t="s">
        <v>1170</v>
      </c>
      <c r="G7" s="2" t="s">
        <v>1077</v>
      </c>
      <c r="H7" s="2" t="s">
        <v>161</v>
      </c>
      <c r="I7" s="2" t="s">
        <v>1155</v>
      </c>
      <c r="J7" s="4">
        <v>46152.791666666664</v>
      </c>
      <c r="K7" s="4"/>
      <c r="L7" s="2" t="s">
        <v>461</v>
      </c>
      <c r="M7" s="2" t="s">
        <v>224</v>
      </c>
      <c r="N7" s="2" t="s">
        <v>95</v>
      </c>
      <c r="O7" s="6">
        <f>_xlfn.IFNA(INDEX(EvaluationContexts!D2:D999, MATCH(N7,EvaluationContexts!A2:A999, 0)), "")</f>
        <v>46222.75</v>
      </c>
      <c r="P7" s="3" t="b">
        <f>AND(J7 &lt;= O7, OR(K7 = "", K7 &gt; O7), L7 = "Approved")</f>
        <v>1</v>
      </c>
      <c r="Q7" s="3" t="b">
        <f>_xlfn.IFNA(INDEX(Agents!I2:I999, MATCH(H7,Agents!A2:A999, 0)), "")</f>
        <v>1</v>
      </c>
      <c r="R7" s="3" t="str">
        <f>_xlfn.IFNA(INDEX(Agents!D2:D999, MATCH(H7,Agents!A2:A999, 0)), "")</f>
        <v>Human</v>
      </c>
      <c r="S7" s="3" t="b">
        <f>R7 = "Human"</f>
        <v>1</v>
      </c>
      <c r="T7" s="3" t="b">
        <f>AND(P7, NOT(Q7))</f>
        <v>0</v>
      </c>
      <c r="U7" s="3" t="b">
        <f>AND(T7, OR(E7 = "Tacit", E7 = "SituatedJudgment"))</f>
        <v>0</v>
      </c>
      <c r="V7" s="3" t="b">
        <f>L7 = "Approved"</f>
        <v>1</v>
      </c>
      <c r="W7" s="3" t="b">
        <f>AND(J7 &lt;= O7, OR(K7 = "", K7 &gt; O7))</f>
        <v>1</v>
      </c>
      <c r="X7" s="3" t="b">
        <f>AND(D7 &lt;&gt; "", W7)</f>
        <v>1</v>
      </c>
      <c r="Y7" s="3" t="str">
        <f>_xlfn.IFNA(INDEX(Steps!C2:C999, MATCH(D7,Steps!A2:A999, 0)), "")</f>
        <v>policy-v1.0.0</v>
      </c>
      <c r="Z7" s="3" t="b">
        <f>_xlfn.IFNA(INDEX(ProcedureVersions!Y2:Y999, MATCH(C7,ProcedureVersions!A2:A999, 0)), "")</f>
        <v>1</v>
      </c>
      <c r="AA7" s="3" t="b">
        <f>AND(X7, Z7, NOT(V7))</f>
        <v>0</v>
      </c>
      <c r="AB7" s="5">
        <f>_xlfn.IFNA(INDEX(ElicitationSessions!M2:M999, MATCH(G7,ElicitationSessions!A2:A999, 0)), "")</f>
        <v>70</v>
      </c>
      <c r="AC7" s="3" t="b">
        <f>G7 &lt;&gt; ""</f>
        <v>1</v>
      </c>
      <c r="AD7" s="3" t="b">
        <f>_xlfn.IFNA(INDEX(ElicitationSessions!N2:N999, MATCH(G7,ElicitationSessions!A2:A999, 0)), "")</f>
        <v>0</v>
      </c>
      <c r="AE7" s="5">
        <f>IF(AD7, 180, 365)</f>
        <v>365</v>
      </c>
      <c r="AF7" s="3" t="b">
        <f>AND(AC7, AB7 &gt; AE7)</f>
        <v>0</v>
      </c>
      <c r="AG7" s="3" t="str">
        <f>_xlfn.IFNA(INDEX(Roles!E2:E999, MATCH(M7,Roles!A2:A999, 0)), "")</f>
        <v>amina-yusuf</v>
      </c>
      <c r="AH7" s="3" t="b">
        <f>L7 = "Reviewed"</f>
        <v>0</v>
      </c>
      <c r="AI7" s="3" t="b">
        <f>M7 = "hr-policy-owner"</f>
        <v>0</v>
      </c>
      <c r="AJ7" s="3" t="b">
        <f>AND(AI7, AH7)</f>
        <v>0</v>
      </c>
      <c r="AK7" s="5">
        <f>COUNTIFS(Exceptions!D2:D999,D7)</f>
        <v>1</v>
      </c>
      <c r="AL7" s="3" t="b">
        <f>AK7 &gt; 0</f>
        <v>1</v>
      </c>
      <c r="AM7" s="3" t="b">
        <f>AND(AJ7, AL7)</f>
        <v>0</v>
      </c>
      <c r="AN7" s="5">
        <f>(INT(O7) - INT(J7))</f>
        <v>70</v>
      </c>
      <c r="AO7" s="3" t="b">
        <f>OR(I7 = "Medium", I7 = "Low")</f>
        <v>0</v>
      </c>
      <c r="AP7" s="5">
        <f>_xlfn.IFNA(INDEX(ProcedureVersions!V2:V999, MATCH(C7,ProcedureVersions!A2:A999, 0)), "")</f>
        <v>60</v>
      </c>
      <c r="AQ7" s="3" t="b">
        <f>AN7 &gt; AP7</f>
        <v>1</v>
      </c>
      <c r="AR7" s="3" t="b">
        <f>AND(AQ7, AO7)</f>
        <v>0</v>
      </c>
      <c r="AS7" s="3" t="str">
        <f>_xlfn.IFNA(INDEX(Roles!F2:F999, MATCH(M7,Roles!A2:A999, 0)), "")</f>
        <v>Human</v>
      </c>
      <c r="AT7" s="3" t="b">
        <f>AS7 = "Human"</f>
        <v>1</v>
      </c>
      <c r="AU7" s="3" t="b">
        <f>AND(NOT(R7 = "Human"), NOT(AT7))</f>
        <v>0</v>
      </c>
      <c r="AV7" s="5">
        <f>_xlfn.IFNA(INDEX(ProcedureVersions!V2:V999, MATCH(C7,ProcedureVersions!A2:A999, 0)), "")</f>
        <v>60</v>
      </c>
      <c r="AW7" s="3" t="b">
        <f>AND(P7, AN7 &gt; AV7)</f>
        <v>1</v>
      </c>
      <c r="AX7" s="3" t="b">
        <f>AND(AS7 &lt;&gt; "", J7 &lt; AY7)</f>
        <v>0</v>
      </c>
      <c r="AY7" s="6">
        <f>_xlfn.IFNA(INDEX(Roles!M2:M999, MATCH(M7,Roles!A2:A999, 0)), "")</f>
        <v>46054.25</v>
      </c>
      <c r="AZ7" s="4">
        <v>46221.875</v>
      </c>
      <c r="BA7" s="5">
        <f>IF(AD7, 1, 0) + IF(AW7, 1, 0) + IF(AO7, 1, 0) + IF(AL7, 1, 0)</f>
        <v>2</v>
      </c>
      <c r="BB7" s="3" t="b">
        <f>BA7 &gt;= 3</f>
        <v>0</v>
      </c>
      <c r="BC7" s="3" t="b">
        <f>AND(AD7, AL7)</f>
        <v>0</v>
      </c>
      <c r="BD7" s="3" t="b">
        <f>AND(BC7, AW7)</f>
        <v>0</v>
      </c>
      <c r="BE7" s="3" t="str">
        <f>IF(BB7, C7, "")</f>
      </c>
      <c r="BF7" s="3" t="str">
        <f>IF(P7, G7, "")</f>
        <v>elicit-policy-workshop</v>
      </c>
      <c r="BG7" s="3" t="b">
        <f>_xlfn.IFNA(INDEX(Steps!W2:W999, MATCH(D7,Steps!A2:A999, 0)), "")</f>
        <v>1</v>
      </c>
      <c r="BH7" s="3" t="str">
        <f>_xlfn.IFNA(INDEX(Steps!I2:I999, MATCH(D7,Steps!A2:A999, 0)), "")</f>
        <v>AutomatedPipeline</v>
      </c>
      <c r="BI7" s="3" t="b">
        <f>AND(AA7, BG7)</f>
        <v>0</v>
      </c>
      <c r="BJ7" s="3" t="b">
        <f>AND(AA7, NOT(BG7))</f>
        <v>0</v>
      </c>
      <c r="BK7" s="3" t="str">
        <f>IF(BI7, C7, "")</f>
      </c>
      <c r="BL7" s="3" t="b">
        <f>AZ7 &lt;&gt; ""</f>
        <v>1</v>
      </c>
      <c r="BM7" s="5">
        <f>IF(BL7, (INT(O7) - INT(AZ7)), 0)</f>
        <v>1</v>
      </c>
      <c r="BN7" s="3" t="b">
        <f>AND(P7, NOT(BL7))</f>
        <v>0</v>
      </c>
      <c r="BO7" s="3" t="b">
        <f>AND(P7, BL7, BM7 &gt; AV7)</f>
        <v>0</v>
      </c>
      <c r="BP7" s="3" t="b">
        <f>AND(AW7, NOT(BL7))</f>
        <v>0</v>
      </c>
      <c r="BQ7" s="3" t="b">
        <f>AND(BL7, AW7, NOT(BO7))</f>
        <v>1</v>
      </c>
      <c r="BR7" s="3" t="str">
        <f>IF(BO7, C7, "")</f>
      </c>
      <c r="BS7" s="3">
        <f>COUNTIFS(AuthorityBoundaries!AA2:AA999, A7)</f>
        <v>0</v>
      </c>
      <c r="BT7" s="5">
        <f>AK7 + BS7</f>
        <v>1</v>
      </c>
      <c r="BU7" s="5">
        <f>IF(AJ7, (INT(O7) - INT(J7)), 0)</f>
        <v>0</v>
      </c>
      <c r="BV7" s="3" t="b">
        <f>AND(AM7, BT7 &gt; 1)</f>
        <v>0</v>
      </c>
      <c r="BW7" s="3" t="b">
        <f>AND(AJ7, BU7 &gt; 30)</f>
        <v>0</v>
      </c>
      <c r="BX7" s="3" t="str">
        <f>IF(BV7, C7, "")</f>
      </c>
      <c r="BY7" s="3" t="b">
        <f>_xlfn.IFNA(INDEX(Roles!R2:R999, MATCH(M7,Roles!A2:A999, 0)), "")</f>
        <v>0</v>
      </c>
      <c r="BZ7" s="3" t="b">
        <f>AND(P7, BY7)</f>
        <v>0</v>
      </c>
      <c r="CA7" s="3" t="str">
        <f>IF(P7, C7, "")</f>
        <v>policy-v1.0.0</v>
      </c>
      <c r="CB7" s="2" t="s">
        <v>1156</v>
      </c>
    </row>
    <row r="8">
      <c r="A8" s="2" t="s">
        <v>1171</v>
      </c>
      <c r="B8" s="3" t="str">
        <f>E8 &amp; ": " &amp; LEFT(F8, 60)</f>
        <v>Implicit: When an employee is unreachable for 48 hours, the communicat</v>
      </c>
      <c r="C8" s="2" t="s">
        <v>375</v>
      </c>
      <c r="D8" s="2" t="s">
        <v>600</v>
      </c>
      <c r="E8" s="2" t="s">
        <v>1158</v>
      </c>
      <c r="F8" s="2" t="s">
        <v>1172</v>
      </c>
      <c r="G8" s="2" t="s">
        <v>1077</v>
      </c>
      <c r="H8" s="2" t="s">
        <v>161</v>
      </c>
      <c r="I8" s="2" t="s">
        <v>1160</v>
      </c>
      <c r="J8" s="4">
        <v>46152.791666666664</v>
      </c>
      <c r="K8" s="4"/>
      <c r="L8" s="2" t="s">
        <v>1173</v>
      </c>
      <c r="M8" s="2" t="s">
        <v>216</v>
      </c>
      <c r="N8" s="2" t="s">
        <v>95</v>
      </c>
      <c r="O8" s="6">
        <f>_xlfn.IFNA(INDEX(EvaluationContexts!D2:D999, MATCH(N8,EvaluationContexts!A2:A999, 0)), "")</f>
        <v>46222.75</v>
      </c>
      <c r="P8" s="3" t="b">
        <f>AND(J8 &lt;= O8, OR(K8 = "", K8 &gt; O8), L8 = "Approved")</f>
        <v>0</v>
      </c>
      <c r="Q8" s="3" t="b">
        <f>_xlfn.IFNA(INDEX(Agents!I2:I999, MATCH(H8,Agents!A2:A999, 0)), "")</f>
        <v>1</v>
      </c>
      <c r="R8" s="3" t="str">
        <f>_xlfn.IFNA(INDEX(Agents!D2:D999, MATCH(H8,Agents!A2:A999, 0)), "")</f>
        <v>Human</v>
      </c>
      <c r="S8" s="3" t="b">
        <f>R8 = "Human"</f>
        <v>1</v>
      </c>
      <c r="T8" s="3" t="b">
        <f>AND(P8, NOT(Q8))</f>
        <v>0</v>
      </c>
      <c r="U8" s="3" t="b">
        <f>AND(T8, OR(E8 = "Tacit", E8 = "SituatedJudgment"))</f>
        <v>0</v>
      </c>
      <c r="V8" s="3" t="b">
        <f>L8 = "Approved"</f>
        <v>0</v>
      </c>
      <c r="W8" s="3" t="b">
        <f>AND(J8 &lt;= O8, OR(K8 = "", K8 &gt; O8))</f>
        <v>1</v>
      </c>
      <c r="X8" s="3" t="b">
        <f>AND(D8 &lt;&gt; "", W8)</f>
        <v>1</v>
      </c>
      <c r="Y8" s="3" t="str">
        <f>_xlfn.IFNA(INDEX(Steps!C2:C999, MATCH(D8,Steps!A2:A999, 0)), "")</f>
        <v>policy-v1.0.0</v>
      </c>
      <c r="Z8" s="3" t="b">
        <f>_xlfn.IFNA(INDEX(ProcedureVersions!Y2:Y999, MATCH(C8,ProcedureVersions!A2:A999, 0)), "")</f>
        <v>1</v>
      </c>
      <c r="AA8" s="3" t="b">
        <f>AND(X8, Z8, NOT(V8))</f>
        <v>1</v>
      </c>
      <c r="AB8" s="5">
        <f>_xlfn.IFNA(INDEX(ElicitationSessions!M2:M999, MATCH(G8,ElicitationSessions!A2:A999, 0)), "")</f>
        <v>70</v>
      </c>
      <c r="AC8" s="3" t="b">
        <f>G8 &lt;&gt; ""</f>
        <v>1</v>
      </c>
      <c r="AD8" s="3" t="b">
        <f>_xlfn.IFNA(INDEX(ElicitationSessions!N2:N999, MATCH(G8,ElicitationSessions!A2:A999, 0)), "")</f>
        <v>0</v>
      </c>
      <c r="AE8" s="5">
        <f>IF(AD8, 180, 365)</f>
        <v>365</v>
      </c>
      <c r="AF8" s="3" t="b">
        <f>AND(AC8, AB8 &gt; AE8)</f>
        <v>0</v>
      </c>
      <c r="AG8" s="3" t="str">
        <f>_xlfn.IFNA(INDEX(Roles!E2:E999, MATCH(M8,Roles!A2:A999, 0)), "")</f>
        <v>elena-garcia</v>
      </c>
      <c r="AH8" s="3" t="b">
        <f>L8 = "Reviewed"</f>
        <v>1</v>
      </c>
      <c r="AI8" s="3" t="b">
        <f>M8 = "hr-policy-owner"</f>
        <v>1</v>
      </c>
      <c r="AJ8" s="3" t="b">
        <f>AND(AI8, AH8)</f>
        <v>1</v>
      </c>
      <c r="AK8" s="5">
        <f>COUNTIFS(Exceptions!D2:D999,D8)</f>
        <v>1</v>
      </c>
      <c r="AL8" s="3" t="b">
        <f>AK8 &gt; 0</f>
        <v>1</v>
      </c>
      <c r="AM8" s="3" t="b">
        <f>AND(AJ8, AL8)</f>
        <v>1</v>
      </c>
      <c r="AN8" s="5">
        <f>(INT(O8) - INT(J8))</f>
        <v>70</v>
      </c>
      <c r="AO8" s="3" t="b">
        <f>OR(I8 = "Medium", I8 = "Low")</f>
        <v>1</v>
      </c>
      <c r="AP8" s="5">
        <f>_xlfn.IFNA(INDEX(ProcedureVersions!V2:V999, MATCH(C8,ProcedureVersions!A2:A999, 0)), "")</f>
        <v>60</v>
      </c>
      <c r="AQ8" s="3" t="b">
        <f>AN8 &gt; AP8</f>
        <v>1</v>
      </c>
      <c r="AR8" s="3" t="b">
        <f>AND(AQ8, AO8)</f>
        <v>1</v>
      </c>
      <c r="AS8" s="3" t="str">
        <f>_xlfn.IFNA(INDEX(Roles!F2:F999, MATCH(M8,Roles!A2:A999, 0)), "")</f>
        <v>Human</v>
      </c>
      <c r="AT8" s="3" t="b">
        <f>AS8 = "Human"</f>
        <v>1</v>
      </c>
      <c r="AU8" s="3" t="b">
        <f>AND(NOT(R8 = "Human"), NOT(AT8))</f>
        <v>0</v>
      </c>
      <c r="AV8" s="5">
        <f>_xlfn.IFNA(INDEX(ProcedureVersions!V2:V999, MATCH(C8,ProcedureVersions!A2:A999, 0)), "")</f>
        <v>60</v>
      </c>
      <c r="AW8" s="3" t="b">
        <f>AND(P8, AN8 &gt; AV8)</f>
        <v>0</v>
      </c>
      <c r="AX8" s="3" t="b">
        <f>AND(AS8 &lt;&gt; "", J8 &lt; AY8)</f>
        <v>0</v>
      </c>
      <c r="AY8" s="6">
        <f>_xlfn.IFNA(INDEX(Roles!M2:M999, MATCH(M8,Roles!A2:A999, 0)), "")</f>
        <v>46054.25</v>
      </c>
      <c r="AZ8" s="4"/>
      <c r="BA8" s="5">
        <f>IF(AD8, 1, 0) + IF(AW8, 1, 0) + IF(AO8, 1, 0) + IF(AL8, 1, 0)</f>
        <v>2</v>
      </c>
      <c r="BB8" s="3" t="b">
        <f>BA8 &gt;= 3</f>
        <v>0</v>
      </c>
      <c r="BC8" s="3" t="b">
        <f>AND(AD8, AL8)</f>
        <v>0</v>
      </c>
      <c r="BD8" s="3" t="b">
        <f>AND(BC8, AW8)</f>
        <v>0</v>
      </c>
      <c r="BE8" s="3" t="str">
        <f>IF(BB8, C8, "")</f>
      </c>
      <c r="BF8" s="3" t="str">
        <f>IF(P8, G8, "")</f>
      </c>
      <c r="BG8" s="3" t="b">
        <f>_xlfn.IFNA(INDEX(Steps!W2:W999, MATCH(D8,Steps!A2:A999, 0)), "")</f>
        <v>1</v>
      </c>
      <c r="BH8" s="3" t="str">
        <f>_xlfn.IFNA(INDEX(Steps!I2:I999, MATCH(D8,Steps!A2:A999, 0)), "")</f>
        <v>AutomatedPipeline</v>
      </c>
      <c r="BI8" s="3" t="b">
        <f>AND(AA8, BG8)</f>
        <v>1</v>
      </c>
      <c r="BJ8" s="3" t="b">
        <f>AND(AA8, NOT(BG8))</f>
        <v>0</v>
      </c>
      <c r="BK8" s="3" t="str">
        <f>IF(BI8, C8, "")</f>
        <v>policy-v1.0.0</v>
      </c>
      <c r="BL8" s="3" t="b">
        <f>AZ8 &lt;&gt; ""</f>
        <v>0</v>
      </c>
      <c r="BM8" s="5">
        <f>IF(BL8, (INT(O8) - INT(AZ8)), 0)</f>
        <v>0</v>
      </c>
      <c r="BN8" s="3" t="b">
        <f>AND(P8, NOT(BL8))</f>
        <v>0</v>
      </c>
      <c r="BO8" s="3" t="b">
        <f>AND(P8, BL8, BM8 &gt; AV8)</f>
        <v>0</v>
      </c>
      <c r="BP8" s="3" t="b">
        <f>AND(AW8, NOT(BL8))</f>
        <v>0</v>
      </c>
      <c r="BQ8" s="3" t="b">
        <f>AND(BL8, AW8, NOT(BO8))</f>
        <v>0</v>
      </c>
      <c r="BR8" s="3" t="str">
        <f>IF(BO8, C8, "")</f>
      </c>
      <c r="BS8" s="3">
        <f>COUNTIFS(AuthorityBoundaries!AA2:AA999, A8)</f>
        <v>0</v>
      </c>
      <c r="BT8" s="5">
        <f>AK8 + BS8</f>
        <v>1</v>
      </c>
      <c r="BU8" s="5">
        <f>IF(AJ8, (INT(O8) - INT(J8)), 0)</f>
        <v>70</v>
      </c>
      <c r="BV8" s="3" t="b">
        <f>AND(AM8, BT8 &gt; 1)</f>
        <v>0</v>
      </c>
      <c r="BW8" s="3" t="b">
        <f>AND(AJ8, BU8 &gt; 30)</f>
        <v>1</v>
      </c>
      <c r="BX8" s="3" t="str">
        <f>IF(BV8, C8, "")</f>
      </c>
      <c r="BY8" s="3" t="b">
        <f>_xlfn.IFNA(INDEX(Roles!R2:R999, MATCH(M8,Roles!A2:A999, 0)), "")</f>
        <v>0</v>
      </c>
      <c r="BZ8" s="3" t="b">
        <f>AND(P8, BY8)</f>
        <v>0</v>
      </c>
      <c r="CA8" s="3" t="str">
        <f>IF(P8, C8, "")</f>
      </c>
      <c r="CB8" s="2" t="s">
        <v>1156</v>
      </c>
    </row>
  </sheetData>
  <autoFilter ref="A1:CB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B9"/>
  <sheetViews>
    <sheetView workbookViewId="0">
      <pane ySplit="1" topLeftCell="A2" state="frozen" activePane="bottomLeft"/>
      <selection pane="bottomLeft" activeCell="A1" sqref="A1"/>
    </sheetView>
  </sheetViews>
  <sheetFormatPr defaultRowHeight="15"/>
  <cols>
    <col min="1" max="1" width="32.94160079956055" customWidth="1"/>
    <col min="2" max="2" width="71.79535675048828" customWidth="1"/>
    <col min="3" max="3" width="18.236316680908203" customWidth="1"/>
    <col min="4" max="4" width="17.443378448486328" customWidth="1"/>
    <col min="5" max="5" width="256" customWidth="1"/>
    <col min="6" max="6" width="17.443378448486328" customWidth="1"/>
    <col min="7" max="7" width="17.443378448486328" customWidth="1"/>
    <col min="8" max="8" width="17.443378448486328" customWidth="1"/>
    <col min="9" max="9" width="25.59624671936035" customWidth="1"/>
    <col min="10" max="10" width="24.629854202270508" customWidth="1"/>
    <col min="11" max="11" width="256" customWidth="1"/>
    <col min="12" max="12" width="17.443378448486328" customWidth="1"/>
    <col min="13" max="13" width="20.748981475830078" customWidth="1"/>
    <col min="14" max="14" width="17.443378448486328" customWidth="1"/>
    <col min="15" max="15" width="19.851272583007812" customWidth="1"/>
    <col min="16" max="16" width="18.547500610351562" customWidth="1"/>
    <col min="17" max="17" width="23.35041618347168" customWidth="1"/>
    <col min="18" max="18" width="17.443378448486328" customWidth="1"/>
    <col min="19" max="19" width="17.443378448486328" customWidth="1"/>
    <col min="20" max="20" width="17.443378448486328" customWidth="1"/>
    <col min="21" max="21" width="17.443378448486328" customWidth="1"/>
    <col min="22" max="22" width="21.103633880615234" customWidth="1"/>
    <col min="23" max="23" width="18.94011116027832" customWidth="1"/>
    <col min="24" max="24" width="22.956594467163086" customWidth="1"/>
    <col min="25" max="25" width="28.12940788269043" customWidth="1"/>
    <col min="26" max="26" width="21.054323196411133" customWidth="1"/>
    <col min="27" max="27" width="21.816478729248047" customWidth="1"/>
    <col min="28" max="28" width="42.67026901245117" customWidth="1"/>
  </cols>
  <sheetData>
    <row r="1">
      <c r="A1" s="1" t="s">
        <v>1174</v>
      </c>
      <c r="B1" s="1" t="s">
        <v>1</v>
      </c>
      <c r="C1" s="1" t="s">
        <v>477</v>
      </c>
      <c r="D1" s="1" t="s">
        <v>747</v>
      </c>
      <c r="E1" s="1" t="s">
        <v>782</v>
      </c>
      <c r="F1" s="1" t="s">
        <v>1175</v>
      </c>
      <c r="G1" s="1" t="s">
        <v>1176</v>
      </c>
      <c r="H1" s="1" t="s">
        <v>8</v>
      </c>
      <c r="I1" s="1" t="s">
        <v>1088</v>
      </c>
      <c r="J1" s="1" t="s">
        <v>1177</v>
      </c>
      <c r="K1" s="1" t="s">
        <v>1178</v>
      </c>
      <c r="L1" s="1" t="s">
        <v>1179</v>
      </c>
      <c r="M1" s="1" t="s">
        <v>1180</v>
      </c>
      <c r="N1" s="1" t="s">
        <v>783</v>
      </c>
      <c r="O1" s="1" t="s">
        <v>1181</v>
      </c>
      <c r="P1" s="1" t="s">
        <v>258</v>
      </c>
      <c r="Q1" s="1" t="s">
        <v>92</v>
      </c>
      <c r="R1" s="1" t="s">
        <v>1182</v>
      </c>
      <c r="S1" s="1" t="s">
        <v>1183</v>
      </c>
      <c r="T1" s="1" t="s">
        <v>1184</v>
      </c>
      <c r="U1" s="1" t="s">
        <v>1105</v>
      </c>
      <c r="V1" s="1" t="s">
        <v>1185</v>
      </c>
      <c r="W1" s="1" t="s">
        <v>1186</v>
      </c>
      <c r="X1" s="1" t="s">
        <v>1187</v>
      </c>
      <c r="Y1" s="1" t="s">
        <v>1188</v>
      </c>
      <c r="Z1" s="1" t="s">
        <v>1149</v>
      </c>
      <c r="AA1" s="1" t="s">
        <v>1189</v>
      </c>
      <c r="AB1" s="1" t="s">
        <v>94</v>
      </c>
    </row>
    <row r="2">
      <c r="A2" s="2" t="s">
        <v>1190</v>
      </c>
      <c r="B2" s="3" t="str">
        <f>F2 &amp; ": " &amp; LEFT(E2, 60)</f>
        <v>High: No validated fallback exists for simultaneous ERP and signed</v>
      </c>
      <c r="C2" s="2" t="s">
        <v>369</v>
      </c>
      <c r="D2" s="2" t="s">
        <v>543</v>
      </c>
      <c r="E2" s="2" t="s">
        <v>1191</v>
      </c>
      <c r="F2" s="2" t="s">
        <v>1155</v>
      </c>
      <c r="G2" s="2" t="s">
        <v>1192</v>
      </c>
      <c r="H2" s="2" t="s">
        <v>1193</v>
      </c>
      <c r="I2" s="2" t="s">
        <v>208</v>
      </c>
      <c r="J2" s="4">
        <v>46193.583333333336</v>
      </c>
      <c r="K2" s="2" t="s">
        <v>1194</v>
      </c>
      <c r="L2" s="3" t="b">
        <f>OR(H2 = "Open", H2 = "Investigating")</f>
        <v>0</v>
      </c>
      <c r="M2" s="3" t="str">
        <f>IF(AND(L2, F2 = "High"), C2, "")</f>
      </c>
      <c r="N2" s="3" t="b">
        <f>G2 = "Blocking"</f>
        <v>1</v>
      </c>
      <c r="O2" s="3" t="b">
        <f>AND(L2, N2)</f>
        <v>0</v>
      </c>
      <c r="P2" s="2" t="s">
        <v>95</v>
      </c>
      <c r="Q2" s="6">
        <f>_xlfn.IFNA(INDEX(EvaluationContexts!D2:D999, MATCH(P2,EvaluationContexts!A2:A999, 0)), "")</f>
        <v>46222.75</v>
      </c>
      <c r="R2" s="5">
        <f>IF(L2, (INT(Q2) - INT(J2)), 0)</f>
        <v>0</v>
      </c>
      <c r="S2" s="5">
        <f>IF(F2 = "High", 30, IF(F2 = "Medium", 90, 180))</f>
        <v>30</v>
      </c>
      <c r="T2" s="3" t="b">
        <f>R2 &gt; S2</f>
        <v>0</v>
      </c>
      <c r="U2" s="3" t="str">
        <f>_xlfn.IFNA(INDEX(Roles!E2:E999, MATCH(I2,Roles!A2:A999, 0)), "")</f>
        <v>devon-okafor</v>
      </c>
      <c r="V2" s="3" t="b">
        <f>_xlfn.IFNA(INDEX(Agents!I2:I999, MATCH(U2,Agents!A2:A999, 0)), "")</f>
        <v>1</v>
      </c>
      <c r="W2" s="3" t="b">
        <f>K2 &lt;&gt; ""</f>
        <v>1</v>
      </c>
      <c r="X2" s="3" t="b">
        <f>AND(T2, OR(NOT(W2), NOT(V2)))</f>
        <v>0</v>
      </c>
      <c r="Y2" s="3" t="str">
        <f>IF(O2, C2, "")</f>
      </c>
      <c r="Z2" s="3" t="b">
        <f>_xlfn.IFNA(INDEX(Roles!R2:R999, MATCH(I2,Roles!A2:A999, 0)), "")</f>
        <v>0</v>
      </c>
      <c r="AA2" s="3" t="b">
        <f>AND(L2, Z2)</f>
        <v>0</v>
      </c>
      <c r="AB2" s="2" t="s">
        <v>1195</v>
      </c>
    </row>
    <row r="3">
      <c r="A3" s="2" t="s">
        <v>1196</v>
      </c>
      <c r="B3" s="3" t="str">
        <f>F3 &amp; ": " &amp; LEFT(E3, 60)</f>
        <v>Medium: SMS provider delivery receipts are not always final for port</v>
      </c>
      <c r="C3" s="2" t="s">
        <v>375</v>
      </c>
      <c r="D3" s="2" t="s">
        <v>600</v>
      </c>
      <c r="E3" s="2" t="s">
        <v>1197</v>
      </c>
      <c r="F3" s="2" t="s">
        <v>1160</v>
      </c>
      <c r="G3" s="2" t="s">
        <v>1198</v>
      </c>
      <c r="H3" s="2" t="s">
        <v>1199</v>
      </c>
      <c r="I3" s="2" t="s">
        <v>224</v>
      </c>
      <c r="J3" s="4">
        <v>46221.875</v>
      </c>
      <c r="K3" s="2" t="s">
        <v>1200</v>
      </c>
      <c r="L3" s="3" t="b">
        <f>OR(H3 = "Open", H3 = "Investigating")</f>
        <v>1</v>
      </c>
      <c r="M3" s="3" t="str">
        <f>IF(AND(L3, F3 = "High"), C3, "")</f>
      </c>
      <c r="N3" s="3" t="b">
        <f>G3 = "Blocking"</f>
        <v>0</v>
      </c>
      <c r="O3" s="3" t="b">
        <f>AND(L3, N3)</f>
        <v>0</v>
      </c>
      <c r="P3" s="2" t="s">
        <v>95</v>
      </c>
      <c r="Q3" s="6">
        <f>_xlfn.IFNA(INDEX(EvaluationContexts!D2:D999, MATCH(P3,EvaluationContexts!A2:A999, 0)), "")</f>
        <v>46222.75</v>
      </c>
      <c r="R3" s="5">
        <f>IF(L3, (INT(Q3) - INT(J3)), 0)</f>
        <v>1</v>
      </c>
      <c r="S3" s="5">
        <f>IF(F3 = "High", 30, IF(F3 = "Medium", 90, 180))</f>
        <v>90</v>
      </c>
      <c r="T3" s="3" t="b">
        <f>R3 &gt; S3</f>
        <v>0</v>
      </c>
      <c r="U3" s="3" t="str">
        <f>_xlfn.IFNA(INDEX(Roles!E2:E999, MATCH(I3,Roles!A2:A999, 0)), "")</f>
        <v>amina-yusuf</v>
      </c>
      <c r="V3" s="3" t="b">
        <f>_xlfn.IFNA(INDEX(Agents!I2:I999, MATCH(U3,Agents!A2:A999, 0)), "")</f>
        <v>1</v>
      </c>
      <c r="W3" s="3" t="b">
        <f>K3 &lt;&gt; ""</f>
        <v>1</v>
      </c>
      <c r="X3" s="3" t="b">
        <f>AND(T3, OR(NOT(W3), NOT(V3)))</f>
        <v>0</v>
      </c>
      <c r="Y3" s="3" t="str">
        <f>IF(O3, C3, "")</f>
      </c>
      <c r="Z3" s="3" t="b">
        <f>_xlfn.IFNA(INDEX(Roles!R2:R999, MATCH(I3,Roles!A2:A999, 0)), "")</f>
        <v>0</v>
      </c>
      <c r="AA3" s="3" t="b">
        <f>AND(L3, Z3)</f>
        <v>0</v>
      </c>
      <c r="AB3" s="2" t="s">
        <v>1195</v>
      </c>
    </row>
    <row r="4">
      <c r="A4" s="2" t="s">
        <v>1201</v>
      </c>
      <c r="B4" s="3" t="str">
        <f>F4 &amp; ": " &amp; LEFT(E4, 60)</f>
        <v>High: req-close-separation stated the preparer may not be the fina</v>
      </c>
      <c r="C4" s="2" t="s">
        <v>369</v>
      </c>
      <c r="D4" s="2" t="s">
        <v>559</v>
      </c>
      <c r="E4" s="2" t="s">
        <v>1202</v>
      </c>
      <c r="F4" s="2" t="s">
        <v>1155</v>
      </c>
      <c r="G4" s="2" t="s">
        <v>1192</v>
      </c>
      <c r="H4" s="2" t="s">
        <v>1193</v>
      </c>
      <c r="I4" s="2" t="s">
        <v>208</v>
      </c>
      <c r="J4" s="4">
        <v>46222.9375</v>
      </c>
      <c r="K4" s="2" t="s">
        <v>1203</v>
      </c>
      <c r="L4" s="3" t="b">
        <f>OR(H4 = "Open", H4 = "Investigating")</f>
        <v>0</v>
      </c>
      <c r="M4" s="3" t="str">
        <f>IF(AND(L4, F4 = "High"), C4, "")</f>
      </c>
      <c r="N4" s="3" t="b">
        <f>G4 = "Blocking"</f>
        <v>1</v>
      </c>
      <c r="O4" s="3" t="b">
        <f>AND(L4, N4)</f>
        <v>0</v>
      </c>
      <c r="P4" s="2" t="s">
        <v>95</v>
      </c>
      <c r="Q4" s="6">
        <f>_xlfn.IFNA(INDEX(EvaluationContexts!D2:D999, MATCH(P4,EvaluationContexts!A2:A999, 0)), "")</f>
        <v>46222.75</v>
      </c>
      <c r="R4" s="5">
        <f>IF(L4, (INT(Q4) - INT(J4)), 0)</f>
        <v>0</v>
      </c>
      <c r="S4" s="5">
        <f>IF(F4 = "High", 30, IF(F4 = "Medium", 90, 180))</f>
        <v>30</v>
      </c>
      <c r="T4" s="3" t="b">
        <f>R4 &gt; S4</f>
        <v>0</v>
      </c>
      <c r="U4" s="3" t="str">
        <f>_xlfn.IFNA(INDEX(Roles!E2:E999, MATCH(I4,Roles!A2:A999, 0)), "")</f>
        <v>devon-okafor</v>
      </c>
      <c r="V4" s="3" t="b">
        <f>_xlfn.IFNA(INDEX(Agents!I2:I999, MATCH(U4,Agents!A2:A999, 0)), "")</f>
        <v>1</v>
      </c>
      <c r="W4" s="3" t="b">
        <f>K4 &lt;&gt; ""</f>
        <v>1</v>
      </c>
      <c r="X4" s="3" t="b">
        <f>AND(T4, OR(NOT(W4), NOT(V4)))</f>
        <v>0</v>
      </c>
      <c r="Y4" s="3" t="str">
        <f>IF(O4, C4, "")</f>
      </c>
      <c r="Z4" s="3" t="b">
        <f>_xlfn.IFNA(INDEX(Roles!R2:R999, MATCH(I4,Roles!A2:A999, 0)), "")</f>
        <v>0</v>
      </c>
      <c r="AA4" s="3" t="b">
        <f>AND(L4, Z4)</f>
        <v>0</v>
      </c>
      <c r="AB4" s="2" t="s">
        <v>1195</v>
      </c>
    </row>
    <row r="5">
      <c r="A5" s="2" t="s">
        <v>1204</v>
      </c>
      <c r="B5" s="3" t="str">
        <f>F5 &amp; ": " &amp; LEFT(E5, 60)</f>
        <v>Medium: StewardshipAssignments promised a 90-day review cadence for </v>
      </c>
      <c r="C5" s="2" t="s">
        <v>369</v>
      </c>
      <c r="D5" s="2"/>
      <c r="E5" s="2" t="s">
        <v>1205</v>
      </c>
      <c r="F5" s="2" t="s">
        <v>1160</v>
      </c>
      <c r="G5" s="2" t="s">
        <v>1198</v>
      </c>
      <c r="H5" s="2" t="s">
        <v>1193</v>
      </c>
      <c r="I5" s="2" t="s">
        <v>244</v>
      </c>
      <c r="J5" s="4">
        <v>46222.958333333336</v>
      </c>
      <c r="K5" s="2" t="s">
        <v>1206</v>
      </c>
      <c r="L5" s="3" t="b">
        <f>OR(H5 = "Open", H5 = "Investigating")</f>
        <v>0</v>
      </c>
      <c r="M5" s="3" t="str">
        <f>IF(AND(L5, F5 = "High"), C5, "")</f>
      </c>
      <c r="N5" s="3" t="b">
        <f>G5 = "Blocking"</f>
        <v>0</v>
      </c>
      <c r="O5" s="3" t="b">
        <f>AND(L5, N5)</f>
        <v>0</v>
      </c>
      <c r="P5" s="2" t="s">
        <v>95</v>
      </c>
      <c r="Q5" s="6">
        <f>_xlfn.IFNA(INDEX(EvaluationContexts!D2:D999, MATCH(P5,EvaluationContexts!A2:A999, 0)), "")</f>
        <v>46222.75</v>
      </c>
      <c r="R5" s="5">
        <f>IF(L5, (INT(Q5) - INT(J5)), 0)</f>
        <v>0</v>
      </c>
      <c r="S5" s="5">
        <f>IF(F5 = "High", 30, IF(F5 = "Medium", 90, 180))</f>
        <v>90</v>
      </c>
      <c r="T5" s="3" t="b">
        <f>R5 &gt; S5</f>
        <v>0</v>
      </c>
      <c r="U5" s="3" t="str">
        <f>_xlfn.IFNA(INDEX(Roles!E2:E999, MATCH(I5,Roles!A2:A999, 0)), "")</f>
        <v>elena-garcia</v>
      </c>
      <c r="V5" s="3" t="b">
        <f>_xlfn.IFNA(INDEX(Agents!I2:I999, MATCH(U5,Agents!A2:A999, 0)), "")</f>
        <v>1</v>
      </c>
      <c r="W5" s="3" t="b">
        <f>K5 &lt;&gt; ""</f>
        <v>1</v>
      </c>
      <c r="X5" s="3" t="b">
        <f>AND(T5, OR(NOT(W5), NOT(V5)))</f>
        <v>0</v>
      </c>
      <c r="Y5" s="3" t="str">
        <f>IF(O5, C5, "")</f>
      </c>
      <c r="Z5" s="3" t="b">
        <f>_xlfn.IFNA(INDEX(Roles!R2:R999, MATCH(I5,Roles!A2:A999, 0)), "")</f>
        <v>0</v>
      </c>
      <c r="AA5" s="3" t="b">
        <f>AND(L5, Z5)</f>
        <v>0</v>
      </c>
      <c r="AB5" s="2" t="s">
        <v>1195</v>
      </c>
    </row>
    <row r="6">
      <c r="A6" s="2" t="s">
        <v>1207</v>
      </c>
      <c r="B6" s="3" t="str">
        <f>F6 &amp; ": " &amp; LEFT(E6, 60)</f>
        <v>High: Five of twelve roles were held only by a denormalized Roles.</v>
      </c>
      <c r="C6" s="2" t="s">
        <v>369</v>
      </c>
      <c r="D6" s="2"/>
      <c r="E6" s="2" t="s">
        <v>1208</v>
      </c>
      <c r="F6" s="2" t="s">
        <v>1155</v>
      </c>
      <c r="G6" s="2" t="s">
        <v>1198</v>
      </c>
      <c r="H6" s="2" t="s">
        <v>1193</v>
      </c>
      <c r="I6" s="2" t="s">
        <v>248</v>
      </c>
      <c r="J6" s="4">
        <v>46222.97222222222</v>
      </c>
      <c r="K6" s="2" t="s">
        <v>1209</v>
      </c>
      <c r="L6" s="3" t="b">
        <f>OR(H6 = "Open", H6 = "Investigating")</f>
        <v>0</v>
      </c>
      <c r="M6" s="3" t="str">
        <f>IF(AND(L6, F6 = "High"), C6, "")</f>
      </c>
      <c r="N6" s="3" t="b">
        <f>G6 = "Blocking"</f>
        <v>0</v>
      </c>
      <c r="O6" s="3" t="b">
        <f>AND(L6, N6)</f>
        <v>0</v>
      </c>
      <c r="P6" s="2" t="s">
        <v>95</v>
      </c>
      <c r="Q6" s="6">
        <f>_xlfn.IFNA(INDEX(EvaluationContexts!D2:D999, MATCH(P6,EvaluationContexts!A2:A999, 0)), "")</f>
        <v>46222.75</v>
      </c>
      <c r="R6" s="5">
        <f>IF(L6, (INT(Q6) - INT(J6)), 0)</f>
        <v>0</v>
      </c>
      <c r="S6" s="5">
        <f>IF(F6 = "High", 30, IF(F6 = "Medium", 90, 180))</f>
        <v>30</v>
      </c>
      <c r="T6" s="3" t="b">
        <f>R6 &gt; S6</f>
        <v>0</v>
      </c>
      <c r="U6" s="3" t="str">
        <f>_xlfn.IFNA(INDEX(Roles!E2:E999, MATCH(I6,Roles!A2:A999, 0)), "")</f>
        <v>priya-raman</v>
      </c>
      <c r="V6" s="3" t="b">
        <f>_xlfn.IFNA(INDEX(Agents!I2:I999, MATCH(U6,Agents!A2:A999, 0)), "")</f>
        <v>1</v>
      </c>
      <c r="W6" s="3" t="b">
        <f>K6 &lt;&gt; ""</f>
        <v>1</v>
      </c>
      <c r="X6" s="3" t="b">
        <f>AND(T6, OR(NOT(W6), NOT(V6)))</f>
        <v>0</v>
      </c>
      <c r="Y6" s="3" t="str">
        <f>IF(O6, C6, "")</f>
      </c>
      <c r="Z6" s="3" t="b">
        <f>_xlfn.IFNA(INDEX(Roles!R2:R999, MATCH(I6,Roles!A2:A999, 0)), "")</f>
        <v>0</v>
      </c>
      <c r="AA6" s="3" t="b">
        <f>AND(L6, Z6)</f>
        <v>0</v>
      </c>
      <c r="AB6" s="2" t="s">
        <v>1195</v>
      </c>
    </row>
    <row r="7">
      <c r="A7" s="2" t="s">
        <v>1210</v>
      </c>
      <c r="B7" s="3" t="str">
        <f>F7 &amp; ": " &amp; LEFT(E7, 60)</f>
        <v>Critical: comm-sms-policy set ConsentRequired=true and exc-no-sms-cons</v>
      </c>
      <c r="C7" s="2" t="s">
        <v>375</v>
      </c>
      <c r="D7" s="2" t="s">
        <v>597</v>
      </c>
      <c r="E7" s="2" t="s">
        <v>1211</v>
      </c>
      <c r="F7" s="2" t="s">
        <v>1212</v>
      </c>
      <c r="G7" s="2" t="s">
        <v>1192</v>
      </c>
      <c r="H7" s="2" t="s">
        <v>1193</v>
      </c>
      <c r="I7" s="2" t="s">
        <v>220</v>
      </c>
      <c r="J7" s="4">
        <v>46222.98611111111</v>
      </c>
      <c r="K7" s="2" t="s">
        <v>1213</v>
      </c>
      <c r="L7" s="3" t="b">
        <f>OR(H7 = "Open", H7 = "Investigating")</f>
        <v>0</v>
      </c>
      <c r="M7" s="3" t="str">
        <f>IF(AND(L7, F7 = "High"), C7, "")</f>
      </c>
      <c r="N7" s="3" t="b">
        <f>G7 = "Blocking"</f>
        <v>1</v>
      </c>
      <c r="O7" s="3" t="b">
        <f>AND(L7, N7)</f>
        <v>0</v>
      </c>
      <c r="P7" s="2" t="s">
        <v>95</v>
      </c>
      <c r="Q7" s="6">
        <f>_xlfn.IFNA(INDEX(EvaluationContexts!D2:D999, MATCH(P7,EvaluationContexts!A2:A999, 0)), "")</f>
        <v>46222.75</v>
      </c>
      <c r="R7" s="5">
        <f>IF(L7, (INT(Q7) - INT(J7)), 0)</f>
        <v>0</v>
      </c>
      <c r="S7" s="5">
        <f>IF(F7 = "High", 30, IF(F7 = "Medium", 90, 180))</f>
        <v>180</v>
      </c>
      <c r="T7" s="3" t="b">
        <f>R7 &gt; S7</f>
        <v>0</v>
      </c>
      <c r="U7" s="3" t="str">
        <f>_xlfn.IFNA(INDEX(Roles!E2:E999, MATCH(I7,Roles!A2:A999, 0)), "")</f>
        <v>noah-williams</v>
      </c>
      <c r="V7" s="3" t="b">
        <f>_xlfn.IFNA(INDEX(Agents!I2:I999, MATCH(U7,Agents!A2:A999, 0)), "")</f>
        <v>1</v>
      </c>
      <c r="W7" s="3" t="b">
        <f>K7 &lt;&gt; ""</f>
        <v>1</v>
      </c>
      <c r="X7" s="3" t="b">
        <f>AND(T7, OR(NOT(W7), NOT(V7)))</f>
        <v>0</v>
      </c>
      <c r="Y7" s="3" t="str">
        <f>IF(O7, C7, "")</f>
      </c>
      <c r="Z7" s="3" t="b">
        <f>_xlfn.IFNA(INDEX(Roles!R2:R999, MATCH(I7,Roles!A2:A999, 0)), "")</f>
        <v>0</v>
      </c>
      <c r="AA7" s="3" t="b">
        <f>AND(L7, Z7)</f>
        <v>0</v>
      </c>
      <c r="AB7" s="2" t="s">
        <v>1195</v>
      </c>
    </row>
    <row r="8">
      <c r="A8" s="2" t="s">
        <v>1214</v>
      </c>
      <c r="B8" s="3" t="str">
        <f>F8 &amp; ": " &amp; LEFT(E8, 60)</f>
        <v>High: comm-sms-policy defined a 20:00-08:00 quiet window and nothi</v>
      </c>
      <c r="C8" s="2" t="s">
        <v>375</v>
      </c>
      <c r="D8" s="2" t="s">
        <v>597</v>
      </c>
      <c r="E8" s="2" t="s">
        <v>1215</v>
      </c>
      <c r="F8" s="2" t="s">
        <v>1155</v>
      </c>
      <c r="G8" s="2" t="s">
        <v>1192</v>
      </c>
      <c r="H8" s="2" t="s">
        <v>1193</v>
      </c>
      <c r="I8" s="2" t="s">
        <v>220</v>
      </c>
      <c r="J8" s="4">
        <v>46222.98611111111</v>
      </c>
      <c r="K8" s="2" t="s">
        <v>1216</v>
      </c>
      <c r="L8" s="3" t="b">
        <f>OR(H8 = "Open", H8 = "Investigating")</f>
        <v>0</v>
      </c>
      <c r="M8" s="3" t="str">
        <f>IF(AND(L8, F8 = "High"), C8, "")</f>
      </c>
      <c r="N8" s="3" t="b">
        <f>G8 = "Blocking"</f>
        <v>1</v>
      </c>
      <c r="O8" s="3" t="b">
        <f>AND(L8, N8)</f>
        <v>0</v>
      </c>
      <c r="P8" s="2" t="s">
        <v>95</v>
      </c>
      <c r="Q8" s="6">
        <f>_xlfn.IFNA(INDEX(EvaluationContexts!D2:D999, MATCH(P8,EvaluationContexts!A2:A999, 0)), "")</f>
        <v>46222.75</v>
      </c>
      <c r="R8" s="5">
        <f>IF(L8, (INT(Q8) - INT(J8)), 0)</f>
        <v>0</v>
      </c>
      <c r="S8" s="5">
        <f>IF(F8 = "High", 30, IF(F8 = "Medium", 90, 180))</f>
        <v>30</v>
      </c>
      <c r="T8" s="3" t="b">
        <f>R8 &gt; S8</f>
        <v>0</v>
      </c>
      <c r="U8" s="3" t="str">
        <f>_xlfn.IFNA(INDEX(Roles!E2:E999, MATCH(I8,Roles!A2:A999, 0)), "")</f>
        <v>noah-williams</v>
      </c>
      <c r="V8" s="3" t="b">
        <f>_xlfn.IFNA(INDEX(Agents!I2:I999, MATCH(U8,Agents!A2:A999, 0)), "")</f>
        <v>1</v>
      </c>
      <c r="W8" s="3" t="b">
        <f>K8 &lt;&gt; ""</f>
        <v>1</v>
      </c>
      <c r="X8" s="3" t="b">
        <f>AND(T8, OR(NOT(W8), NOT(V8)))</f>
        <v>0</v>
      </c>
      <c r="Y8" s="3" t="str">
        <f>IF(O8, C8, "")</f>
      </c>
      <c r="Z8" s="3" t="b">
        <f>_xlfn.IFNA(INDEX(Roles!R2:R999, MATCH(I8,Roles!A2:A999, 0)), "")</f>
        <v>0</v>
      </c>
      <c r="AA8" s="3" t="b">
        <f>AND(L8, Z8)</f>
        <v>0</v>
      </c>
      <c r="AB8" s="2" t="s">
        <v>1195</v>
      </c>
    </row>
    <row r="9">
      <c r="A9" s="2" t="s">
        <v>1217</v>
      </c>
      <c r="B9" s="3" t="str">
        <f>F9 &amp; ": " &amp; LEFT(E9, 60)</f>
        <v>Critical: MessageTemplates carried Status="Approved" as a bare string </v>
      </c>
      <c r="C9" s="2" t="s">
        <v>375</v>
      </c>
      <c r="D9" s="2" t="s">
        <v>597</v>
      </c>
      <c r="E9" s="2" t="s">
        <v>1218</v>
      </c>
      <c r="F9" s="2" t="s">
        <v>1212</v>
      </c>
      <c r="G9" s="2" t="s">
        <v>1192</v>
      </c>
      <c r="H9" s="2" t="s">
        <v>1193</v>
      </c>
      <c r="I9" s="2" t="s">
        <v>224</v>
      </c>
      <c r="J9" s="4">
        <v>46223</v>
      </c>
      <c r="K9" s="2" t="s">
        <v>1219</v>
      </c>
      <c r="L9" s="3" t="b">
        <f>OR(H9 = "Open", H9 = "Investigating")</f>
        <v>0</v>
      </c>
      <c r="M9" s="3" t="str">
        <f>IF(AND(L9, F9 = "High"), C9, "")</f>
      </c>
      <c r="N9" s="3" t="b">
        <f>G9 = "Blocking"</f>
        <v>1</v>
      </c>
      <c r="O9" s="3" t="b">
        <f>AND(L9, N9)</f>
        <v>0</v>
      </c>
      <c r="P9" s="2" t="s">
        <v>95</v>
      </c>
      <c r="Q9" s="6">
        <f>_xlfn.IFNA(INDEX(EvaluationContexts!D2:D999, MATCH(P9,EvaluationContexts!A2:A999, 0)), "")</f>
        <v>46222.75</v>
      </c>
      <c r="R9" s="5">
        <f>IF(L9, (INT(Q9) - INT(J9)), 0)</f>
        <v>0</v>
      </c>
      <c r="S9" s="5">
        <f>IF(F9 = "High", 30, IF(F9 = "Medium", 90, 180))</f>
        <v>180</v>
      </c>
      <c r="T9" s="3" t="b">
        <f>R9 &gt; S9</f>
        <v>0</v>
      </c>
      <c r="U9" s="3" t="str">
        <f>_xlfn.IFNA(INDEX(Roles!E2:E999, MATCH(I9,Roles!A2:A999, 0)), "")</f>
        <v>amina-yusuf</v>
      </c>
      <c r="V9" s="3" t="b">
        <f>_xlfn.IFNA(INDEX(Agents!I2:I999, MATCH(U9,Agents!A2:A999, 0)), "")</f>
        <v>1</v>
      </c>
      <c r="W9" s="3" t="b">
        <f>K9 &lt;&gt; ""</f>
        <v>1</v>
      </c>
      <c r="X9" s="3" t="b">
        <f>AND(T9, OR(NOT(W9), NOT(V9)))</f>
        <v>0</v>
      </c>
      <c r="Y9" s="3" t="str">
        <f>IF(O9, C9, "")</f>
      </c>
      <c r="Z9" s="3" t="b">
        <f>_xlfn.IFNA(INDEX(Roles!R2:R999, MATCH(I9,Roles!A2:A999, 0)), "")</f>
        <v>0</v>
      </c>
      <c r="AA9" s="3" t="b">
        <f>AND(L9, Z9)</f>
        <v>0</v>
      </c>
      <c r="AB9" s="2" t="s">
        <v>1195</v>
      </c>
    </row>
  </sheetData>
  <autoFilter ref="A1:AB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4"/>
  <sheetViews>
    <sheetView workbookViewId="0">
      <pane ySplit="1" topLeftCell="A2" state="frozen" activePane="bottomLeft"/>
      <selection pane="bottomLeft" activeCell="A1" sqref="A1"/>
    </sheetView>
  </sheetViews>
  <sheetFormatPr defaultRowHeight="15"/>
  <cols>
    <col min="1" max="1" width="21.48943519592285" customWidth="1"/>
    <col min="2" max="2" width="49.125301361083984" customWidth="1"/>
    <col min="3" max="3" width="18.236316680908203" customWidth="1"/>
    <col min="4" max="4" width="17.443378448486328" customWidth="1"/>
    <col min="5" max="5" width="17.443378448486328" customWidth="1"/>
    <col min="6" max="6" width="17.443378448486328" customWidth="1"/>
    <col min="7" max="7" width="49.125301361083984" customWidth="1"/>
    <col min="8" max="8" width="120.47403717041016" customWidth="1"/>
    <col min="9" max="9" width="45.410953521728516" customWidth="1"/>
  </cols>
  <sheetData>
    <row r="1">
      <c r="A1" s="1" t="s">
        <v>1220</v>
      </c>
      <c r="B1" s="1" t="s">
        <v>1</v>
      </c>
      <c r="C1" s="1" t="s">
        <v>477</v>
      </c>
      <c r="D1" s="1" t="s">
        <v>747</v>
      </c>
      <c r="E1" s="1" t="s">
        <v>1221</v>
      </c>
      <c r="F1" s="1" t="s">
        <v>1222</v>
      </c>
      <c r="G1" s="1" t="s">
        <v>1223</v>
      </c>
      <c r="H1" s="1" t="s">
        <v>1224</v>
      </c>
      <c r="I1" s="1" t="s">
        <v>94</v>
      </c>
    </row>
    <row r="2">
      <c r="A2" s="2" t="s">
        <v>1225</v>
      </c>
      <c r="B2" s="3" t="str">
        <f>G2</f>
        <v>Where are close workpapers stored?</v>
      </c>
      <c r="C2" s="2" t="s">
        <v>369</v>
      </c>
      <c r="D2" s="2" t="s">
        <v>573</v>
      </c>
      <c r="E2" s="2" t="s">
        <v>1226</v>
      </c>
      <c r="F2" s="2" t="s">
        <v>377</v>
      </c>
      <c r="G2" s="2" t="s">
        <v>1227</v>
      </c>
      <c r="H2" s="2" t="s">
        <v>1228</v>
      </c>
      <c r="I2" s="2" t="s">
        <v>1229</v>
      </c>
    </row>
    <row r="3">
      <c r="A3" s="2" t="s">
        <v>1230</v>
      </c>
      <c r="B3" s="3" t="str">
        <f>G3</f>
        <v>Can the drafting AI approve a workforce policy?</v>
      </c>
      <c r="C3" s="2" t="s">
        <v>375</v>
      </c>
      <c r="D3" s="2" t="s">
        <v>584</v>
      </c>
      <c r="E3" s="2" t="s">
        <v>1231</v>
      </c>
      <c r="F3" s="2" t="s">
        <v>377</v>
      </c>
      <c r="G3" s="2" t="s">
        <v>1232</v>
      </c>
      <c r="H3" s="2" t="s">
        <v>1233</v>
      </c>
      <c r="I3" s="2" t="s">
        <v>1229</v>
      </c>
    </row>
    <row r="4">
      <c r="A4" s="2" t="s">
        <v>1234</v>
      </c>
      <c r="B4" s="3" t="str">
        <f>G4</f>
        <v>What happens when an employee opts out of SMS?</v>
      </c>
      <c r="C4" s="2" t="s">
        <v>375</v>
      </c>
      <c r="D4" s="2" t="s">
        <v>597</v>
      </c>
      <c r="E4" s="2" t="s">
        <v>1235</v>
      </c>
      <c r="F4" s="2" t="s">
        <v>747</v>
      </c>
      <c r="G4" s="2" t="s">
        <v>1236</v>
      </c>
      <c r="H4" s="2" t="s">
        <v>1237</v>
      </c>
      <c r="I4" s="2" t="s">
        <v>1229</v>
      </c>
    </row>
  </sheetData>
  <autoFilter ref="A1:I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3"/>
  <sheetViews>
    <sheetView workbookViewId="0">
      <pane ySplit="1" topLeftCell="A2" state="frozen" activePane="bottomLeft"/>
      <selection pane="bottomLeft" activeCell="A1" sqref="A1"/>
    </sheetView>
  </sheetViews>
  <sheetFormatPr defaultRowHeight="15"/>
  <cols>
    <col min="1" max="1" width="19.008342742919922" customWidth="1"/>
    <col min="2" max="2" width="30.35392189025879" customWidth="1"/>
    <col min="3" max="3" width="18.236316680908203" customWidth="1"/>
    <col min="4" max="4" width="17.443378448486328" customWidth="1"/>
    <col min="5" max="5" width="30.35392189025879" customWidth="1"/>
    <col min="6" max="6" width="123.67989349365234" customWidth="1"/>
    <col min="7" max="7" width="32.4808349609375" customWidth="1"/>
  </cols>
  <sheetData>
    <row r="1">
      <c r="A1" s="1" t="s">
        <v>1238</v>
      </c>
      <c r="B1" s="1" t="s">
        <v>1</v>
      </c>
      <c r="C1" s="1" t="s">
        <v>477</v>
      </c>
      <c r="D1" s="1" t="s">
        <v>747</v>
      </c>
      <c r="E1" s="1" t="s">
        <v>358</v>
      </c>
      <c r="F1" s="1" t="s">
        <v>1003</v>
      </c>
      <c r="G1" s="1" t="s">
        <v>94</v>
      </c>
    </row>
    <row r="2">
      <c r="A2" s="2" t="s">
        <v>1239</v>
      </c>
      <c r="B2" s="3" t="str">
        <f>E2</f>
        <v>Variance escalation explanation</v>
      </c>
      <c r="C2" s="2" t="s">
        <v>369</v>
      </c>
      <c r="D2" s="2" t="s">
        <v>554</v>
      </c>
      <c r="E2" s="2" t="s">
        <v>1240</v>
      </c>
      <c r="F2" s="2" t="s">
        <v>1241</v>
      </c>
      <c r="G2" s="2" t="s">
        <v>1242</v>
      </c>
    </row>
    <row r="3">
      <c r="A3" s="2" t="s">
        <v>1243</v>
      </c>
      <c r="B3" s="3" t="str">
        <f>E3</f>
        <v>Channel eligibility explanation</v>
      </c>
      <c r="C3" s="2" t="s">
        <v>375</v>
      </c>
      <c r="D3" s="2" t="s">
        <v>597</v>
      </c>
      <c r="E3" s="2" t="s">
        <v>1244</v>
      </c>
      <c r="F3" s="2" t="s">
        <v>1245</v>
      </c>
      <c r="G3" s="2" t="s">
        <v>1242</v>
      </c>
    </row>
  </sheetData>
  <autoFilter ref="A1:G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Z3"/>
  <sheetViews>
    <sheetView workbookViewId="0">
      <pane ySplit="1" topLeftCell="A2" state="frozen" activePane="bottomLeft"/>
      <selection pane="bottomLeft" activeCell="A1" sqref="A1"/>
    </sheetView>
  </sheetViews>
  <sheetFormatPr defaultRowHeight="15"/>
  <cols>
    <col min="1" max="1" width="22.41928482055664" customWidth="1"/>
    <col min="2" max="2" width="51.44719314575195" customWidth="1"/>
    <col min="3" max="3" width="18.236316680908203" customWidth="1"/>
    <col min="4" max="4" width="17.443378448486328" customWidth="1"/>
    <col min="5" max="5" width="24.515466690063477" customWidth="1"/>
    <col min="6" max="6" width="22.170156478881836" customWidth="1"/>
    <col min="7" max="7" width="17.923480987548828" customWidth="1"/>
    <col min="8" max="8" width="36.7623176574707" customWidth="1"/>
    <col min="9" max="9" width="33.93267059326172" customWidth="1"/>
    <col min="10" max="10" width="19.98171043395996" customWidth="1"/>
    <col min="11" max="11" width="21.313312530517578" customWidth="1"/>
    <col min="12" max="12" width="20.417789459228516" customWidth="1"/>
    <col min="13" max="13" width="17.443378448486328" customWidth="1"/>
    <col min="14" max="14" width="22.763277053833008" customWidth="1"/>
    <col min="15" max="15" width="26.341135025024414" customWidth="1"/>
    <col min="16" max="16" width="28.027902603149414" customWidth="1"/>
    <col min="17" max="17" width="25.4498348236084" customWidth="1"/>
    <col min="18" max="18" width="23.883312225341797" customWidth="1"/>
    <col min="19" max="19" width="25.087411880493164" customWidth="1"/>
    <col min="20" max="20" width="19.249799728393555" customWidth="1"/>
    <col min="21" max="21" width="46.725860595703125" customWidth="1"/>
    <col min="22" max="22" width="21.14959144592285" customWidth="1"/>
    <col min="23" max="23" width="25.98513412475586" customWidth="1"/>
    <col min="24" max="24" width="26.060359954833984" customWidth="1"/>
    <col min="25" max="25" width="26.705249786376953" customWidth="1"/>
    <col min="26" max="26" width="32.71039962768555" customWidth="1"/>
    <col min="27" max="27" width="22.5468692779541" customWidth="1"/>
    <col min="28" max="28" width="25.52438735961914" customWidth="1"/>
    <col min="29" max="29" width="23.584518432617188" customWidth="1"/>
    <col min="30" max="30" width="23.964298248291016" customWidth="1"/>
    <col min="31" max="31" width="17.443378448486328" customWidth="1"/>
    <col min="32" max="32" width="26.463695526123047" customWidth="1"/>
    <col min="33" max="33" width="22.918155670166016" customWidth="1"/>
    <col min="34" max="34" width="24.38258171081543" customWidth="1"/>
    <col min="35" max="35" width="18.76327133178711" customWidth="1"/>
    <col min="36" max="36" width="17.443378448486328" customWidth="1"/>
    <col min="37" max="37" width="27.423418045043945" customWidth="1"/>
    <col min="38" max="38" width="20.186824798583984" customWidth="1"/>
    <col min="39" max="39" width="26.702816009521484" customWidth="1"/>
    <col min="40" max="40" width="17.443378448486328" customWidth="1"/>
    <col min="41" max="41" width="25.814828872680664" customWidth="1"/>
    <col min="42" max="42" width="21.787185668945312" customWidth="1"/>
    <col min="43" max="43" width="25.405195236206055" customWidth="1"/>
    <col min="44" max="44" width="25.650558471679688" customWidth="1"/>
    <col min="45" max="45" width="22.294696807861328" customWidth="1"/>
    <col min="46" max="46" width="19.7232666015625" customWidth="1"/>
    <col min="47" max="47" width="23.341121673583984" customWidth="1"/>
    <col min="48" max="48" width="25.404830932617188" customWidth="1"/>
    <col min="49" max="49" width="28.173124313354492" customWidth="1"/>
    <col min="50" max="50" width="51.343360900878906" customWidth="1"/>
    <col min="51" max="51" width="28.718015670776367" customWidth="1"/>
    <col min="52" max="52" width="28.990163803100586" customWidth="1"/>
    <col min="53" max="53" width="34.196475982666016" customWidth="1"/>
    <col min="54" max="54" width="23.094982147216797" customWidth="1"/>
    <col min="55" max="55" width="25.36208724975586" customWidth="1"/>
    <col min="56" max="56" width="29.82344627380371" customWidth="1"/>
    <col min="57" max="57" width="62.2984504699707" customWidth="1"/>
    <col min="58" max="58" width="31.5391845703125" customWidth="1"/>
    <col min="59" max="59" width="36.927223205566406" customWidth="1"/>
    <col min="60" max="60" width="31.485868453979492" customWidth="1"/>
    <col min="61" max="61" width="26.346614837646484" customWidth="1"/>
    <col min="62" max="62" width="24.962371826171875" customWidth="1"/>
    <col min="63" max="63" width="25.7781982421875" customWidth="1"/>
    <col min="64" max="64" width="17.443378448486328" customWidth="1"/>
    <col min="65" max="65" width="17.443378448486328" customWidth="1"/>
    <col min="66" max="66" width="26.349191665649414" customWidth="1"/>
    <col min="67" max="67" width="27.703603744506836" customWidth="1"/>
    <col min="68" max="68" width="22.21432113647461" customWidth="1"/>
    <col min="69" max="69" width="24.135900497436523" customWidth="1"/>
    <col min="70" max="70" width="23.592411041259766" customWidth="1"/>
    <col min="71" max="71" width="22.041290283203125" customWidth="1"/>
    <col min="72" max="72" width="20.633113861083984" customWidth="1"/>
    <col min="73" max="73" width="29.3138427734375" customWidth="1"/>
    <col min="74" max="74" width="24.874217987060547" customWidth="1"/>
    <col min="75" max="75" width="23.838735580444336" customWidth="1"/>
    <col min="76" max="76" width="35.771827697753906" customWidth="1"/>
    <col min="77" max="77" width="37.84779739379883" customWidth="1"/>
    <col min="78" max="78" width="40.30033493041992" customWidth="1"/>
  </cols>
  <sheetData>
    <row r="1">
      <c r="A1" s="1" t="s">
        <v>1246</v>
      </c>
      <c r="B1" s="1" t="s">
        <v>1</v>
      </c>
      <c r="C1" s="1" t="s">
        <v>477</v>
      </c>
      <c r="D1" s="1" t="s">
        <v>1247</v>
      </c>
      <c r="E1" s="1" t="s">
        <v>1060</v>
      </c>
      <c r="F1" s="1" t="s">
        <v>1061</v>
      </c>
      <c r="G1" s="1" t="s">
        <v>1248</v>
      </c>
      <c r="H1" s="1" t="s">
        <v>1249</v>
      </c>
      <c r="I1" s="1" t="s">
        <v>1250</v>
      </c>
      <c r="J1" s="1" t="s">
        <v>1251</v>
      </c>
      <c r="K1" s="1" t="s">
        <v>1252</v>
      </c>
      <c r="L1" s="1" t="s">
        <v>1253</v>
      </c>
      <c r="M1" s="1" t="s">
        <v>1254</v>
      </c>
      <c r="N1" s="1" t="s">
        <v>1255</v>
      </c>
      <c r="O1" s="1" t="s">
        <v>1256</v>
      </c>
      <c r="P1" s="1" t="s">
        <v>1257</v>
      </c>
      <c r="Q1" s="1" t="s">
        <v>1258</v>
      </c>
      <c r="R1" s="1" t="s">
        <v>1259</v>
      </c>
      <c r="S1" s="1" t="s">
        <v>1260</v>
      </c>
      <c r="T1" s="1" t="s">
        <v>1261</v>
      </c>
      <c r="U1" s="1" t="s">
        <v>1262</v>
      </c>
      <c r="V1" s="1" t="s">
        <v>1263</v>
      </c>
      <c r="W1" s="1" t="s">
        <v>1264</v>
      </c>
      <c r="X1" s="1" t="s">
        <v>1265</v>
      </c>
      <c r="Y1" s="1" t="s">
        <v>1266</v>
      </c>
      <c r="Z1" s="1" t="s">
        <v>1267</v>
      </c>
      <c r="AA1" s="1" t="s">
        <v>1268</v>
      </c>
      <c r="AB1" s="1" t="s">
        <v>1269</v>
      </c>
      <c r="AC1" s="1" t="s">
        <v>1270</v>
      </c>
      <c r="AD1" s="1" t="s">
        <v>1271</v>
      </c>
      <c r="AE1" s="1" t="s">
        <v>1272</v>
      </c>
      <c r="AF1" s="1" t="s">
        <v>1273</v>
      </c>
      <c r="AG1" s="1" t="s">
        <v>1274</v>
      </c>
      <c r="AH1" s="1" t="s">
        <v>1275</v>
      </c>
      <c r="AI1" s="1" t="s">
        <v>1276</v>
      </c>
      <c r="AJ1" s="1" t="s">
        <v>1277</v>
      </c>
      <c r="AK1" s="1" t="s">
        <v>1278</v>
      </c>
      <c r="AL1" s="1" t="s">
        <v>1279</v>
      </c>
      <c r="AM1" s="1" t="s">
        <v>1280</v>
      </c>
      <c r="AN1" s="1" t="s">
        <v>1281</v>
      </c>
      <c r="AO1" s="1" t="s">
        <v>1282</v>
      </c>
      <c r="AP1" s="1" t="s">
        <v>1283</v>
      </c>
      <c r="AQ1" s="1" t="s">
        <v>1284</v>
      </c>
      <c r="AR1" s="1" t="s">
        <v>1285</v>
      </c>
      <c r="AS1" s="1" t="s">
        <v>1286</v>
      </c>
      <c r="AT1" s="1" t="s">
        <v>1287</v>
      </c>
      <c r="AU1" s="1" t="s">
        <v>1288</v>
      </c>
      <c r="AV1" s="1" t="s">
        <v>1289</v>
      </c>
      <c r="AW1" s="1" t="s">
        <v>1290</v>
      </c>
      <c r="AX1" s="1" t="s">
        <v>1291</v>
      </c>
      <c r="AY1" s="1" t="s">
        <v>1292</v>
      </c>
      <c r="AZ1" s="1" t="s">
        <v>1293</v>
      </c>
      <c r="BA1" s="1" t="s">
        <v>1294</v>
      </c>
      <c r="BB1" s="1" t="s">
        <v>1295</v>
      </c>
      <c r="BC1" s="1" t="s">
        <v>1296</v>
      </c>
      <c r="BD1" s="1" t="s">
        <v>1297</v>
      </c>
      <c r="BE1" s="1" t="s">
        <v>1298</v>
      </c>
      <c r="BF1" s="1" t="s">
        <v>1299</v>
      </c>
      <c r="BG1" s="1" t="s">
        <v>1300</v>
      </c>
      <c r="BH1" s="1" t="s">
        <v>1301</v>
      </c>
      <c r="BI1" s="1" t="s">
        <v>1302</v>
      </c>
      <c r="BJ1" s="1" t="s">
        <v>1303</v>
      </c>
      <c r="BK1" s="1" t="s">
        <v>1304</v>
      </c>
      <c r="BL1" s="1" t="s">
        <v>1305</v>
      </c>
      <c r="BM1" s="1" t="s">
        <v>1306</v>
      </c>
      <c r="BN1" s="1" t="s">
        <v>1307</v>
      </c>
      <c r="BO1" s="1" t="s">
        <v>1308</v>
      </c>
      <c r="BP1" s="1" t="s">
        <v>1309</v>
      </c>
      <c r="BQ1" s="1" t="s">
        <v>1310</v>
      </c>
      <c r="BR1" s="1" t="s">
        <v>1311</v>
      </c>
      <c r="BS1" s="1" t="s">
        <v>1312</v>
      </c>
      <c r="BT1" s="1" t="s">
        <v>1313</v>
      </c>
      <c r="BU1" s="1" t="s">
        <v>1314</v>
      </c>
      <c r="BV1" s="1" t="s">
        <v>1315</v>
      </c>
      <c r="BW1" s="1" t="s">
        <v>1316</v>
      </c>
      <c r="BX1" s="1" t="s">
        <v>1317</v>
      </c>
      <c r="BY1" s="1" t="s">
        <v>1318</v>
      </c>
      <c r="BZ1" s="1" t="s">
        <v>94</v>
      </c>
    </row>
    <row r="2">
      <c r="A2" s="2" t="s">
        <v>1319</v>
      </c>
      <c r="B2" s="3" t="str">
        <f>C2 &amp; " / " &amp; H2</f>
        <v>close-v1.1.0 / Quarter ended 2026-06-30</v>
      </c>
      <c r="C2" s="2" t="s">
        <v>369</v>
      </c>
      <c r="D2" s="2" t="s">
        <v>1320</v>
      </c>
      <c r="E2" s="4">
        <v>46203.916666666664</v>
      </c>
      <c r="F2" s="4">
        <v>46205.90625</v>
      </c>
      <c r="G2" s="2" t="s">
        <v>145</v>
      </c>
      <c r="H2" s="2" t="s">
        <v>1321</v>
      </c>
      <c r="I2" s="2" t="s">
        <v>1322</v>
      </c>
      <c r="J2" s="3">
        <f>_xlfn.IFNA(INDEX(ProcedureVersions!Q2:Q999, MATCH(C2,ProcedureVersions!A2:A999, 0)), "")</f>
        <v>8</v>
      </c>
      <c r="K2" s="3">
        <f>COUNTIFS(StepExecutions!AQ2:AQ999, A2)</f>
        <v>8</v>
      </c>
      <c r="L2" s="3">
        <f>COUNTIFS(StepExecutions!AR2:AR999, A2)</f>
        <v>2</v>
      </c>
      <c r="M2" s="3">
        <f>COUNTIFS(StepExecutions!AS2:AS999, A2)</f>
        <v>0</v>
      </c>
      <c r="N2" s="3" t="b">
        <f>K2 &gt;= J2</f>
        <v>1</v>
      </c>
      <c r="O2" s="3" t="b">
        <f>OR(NOT(N2), L2 &gt; 0)</f>
        <v>1</v>
      </c>
      <c r="P2" s="3" t="b">
        <f>Q2 = 0</f>
        <v>1</v>
      </c>
      <c r="Q2" s="3">
        <f>COUNTIFS(StepExecutions!AY2:AY999, A2)</f>
        <v>0</v>
      </c>
      <c r="R2" s="3" t="b">
        <f>S2 = 0</f>
        <v>1</v>
      </c>
      <c r="S2" s="3">
        <f>COUNTIFS(StepExecutions!AZ2:AZ999, A2)</f>
        <v>0</v>
      </c>
      <c r="T2" s="3" t="b">
        <f>AND(N2, NOT(O2), P2, R2)</f>
        <v>0</v>
      </c>
      <c r="U2" s="3" t="str">
        <f>IF(T2, "", IF(NOT(N2), "Incomplete: specified steps did not all complete.", IF(S2 &gt; 0, "Segregation of duties violated.", IF(Q2 &gt; 0, "Blocking controls were never evaluated.", "Control breach recorded on one or more steps."))))</f>
        <v>Control breach recorded on one or more steps.</v>
      </c>
      <c r="V2" s="3" t="b">
        <f>_xlfn.IFNA(INDEX(ProcedureVersions!U2:U999, MATCH(C2,ProcedureVersions!A2:A999, 0)), "")</f>
        <v>0</v>
      </c>
      <c r="W2" s="3" t="b">
        <f>AND(D2 = "Completed", NOT(V2))</f>
        <v>1</v>
      </c>
      <c r="X2" s="3">
        <f>COUNTIFS(RequirementSatisfactions!S2:S999, A2)</f>
        <v>1</v>
      </c>
      <c r="Y2" s="3" t="b">
        <f>X2 &gt; 0</f>
        <v>1</v>
      </c>
      <c r="Z2" s="3">
        <f>COUNTIFS(MessageDeliveries!AI2:AI999, A2)</f>
        <v>0</v>
      </c>
      <c r="AA2" s="3">
        <f>COUNTIFS(MessageDeliveries!AR2:AR999, A2)</f>
        <v>0</v>
      </c>
      <c r="AB2" s="3">
        <f>COUNTIFS(StepExecutions!BI2:BI999, A2)</f>
        <v>0</v>
      </c>
      <c r="AC2" s="3" t="b">
        <f>AB2 &gt; 0</f>
        <v>0</v>
      </c>
      <c r="AD2" s="3">
        <f>COUNTIFS(MessageDeliveries!BN2:BN999, A2)</f>
        <v>0</v>
      </c>
      <c r="AE2" s="3">
        <f>COUNTIFS(MessageDeliveries!BO2:BO999, A2)</f>
        <v>0</v>
      </c>
      <c r="AF2" s="3">
        <f>COUNTIFS(MessageDeliveries!C2:C999, A2)</f>
        <v>0</v>
      </c>
      <c r="AG2" s="3" t="b">
        <f>AD2 &gt; 0</f>
        <v>0</v>
      </c>
      <c r="AH2" s="3">
        <f>COUNTIFS(SendIntents!AZ2:AZ999, A2)</f>
        <v>0</v>
      </c>
      <c r="AI2" s="3">
        <f>COUNTIFS(StepExecutions!BR2:BR999, A2)</f>
        <v>0</v>
      </c>
      <c r="AJ2" s="3" t="b">
        <f>AI2 = 0</f>
        <v>1</v>
      </c>
      <c r="AK2" s="5">
        <f>COUNTIFS(StepExecutions!BZ2:BZ999, TRUE)</f>
        <v>1</v>
      </c>
      <c r="AL2" s="3" t="b">
        <f>AK2 &gt; 0</f>
        <v>1</v>
      </c>
      <c r="AM2" s="5">
        <f>COUNTIFS(StepExecutions!D2:D999, "policy-07")</f>
        <v>0</v>
      </c>
      <c r="AN2" s="3" t="b">
        <f>AM2 &gt; 0</f>
        <v>0</v>
      </c>
      <c r="AO2" s="3" t="b">
        <f>AND(AN2, NOT(AL2))</f>
        <v>0</v>
      </c>
      <c r="AP2" s="3">
        <f>COUNTIFS(RequirementSatisfactions!Z2:Z999, A2)</f>
        <v>0</v>
      </c>
      <c r="AQ2" s="3" t="b">
        <f>AP2 = 0</f>
        <v>1</v>
      </c>
      <c r="AR2" s="3">
        <f>COUNTIFS(StepExecutions!CT2:CT999, A2)</f>
        <v>0</v>
      </c>
      <c r="AS2" s="3">
        <f>COUNTIFS(StepExecutions!CW2:CW999, A2)</f>
        <v>2</v>
      </c>
      <c r="AT2" s="3">
        <f>COUNTIFS(StepExecutions!CX2:CX999, A2)</f>
        <v>2</v>
      </c>
      <c r="AU2" s="3" t="b">
        <f>AND(AS2 &gt; 0, AT2 &gt; 0)</f>
        <v>1</v>
      </c>
      <c r="AV2" s="3" t="b">
        <f>AND(AU2, R2)</f>
        <v>1</v>
      </c>
      <c r="AW2" s="3" t="b">
        <f>AND(R2, NOT(AU2))</f>
        <v>0</v>
      </c>
      <c r="AX2" s="3" t="str">
        <f>IF(S2 &gt; 0, "Violated: same agent prepared and approved.", IF(AW2, "Not tested: this run had no preparation/approval pair.", "Held under test."))</f>
        <v>Held under test.</v>
      </c>
      <c r="AY2" s="3">
        <f>COUNTIFS(StepExecutions!DC2:DC999, A2)</f>
        <v>0</v>
      </c>
      <c r="AZ2" s="3" t="b">
        <f>AND(O2, AY2 = 0)</f>
        <v>1</v>
      </c>
      <c r="BA2" s="3">
        <f>COUNTIFS(RequirementSatisfactions!AO2:AO999, A2)</f>
        <v>5</v>
      </c>
      <c r="BB2" s="3">
        <f>BA2 + X2</f>
        <v>6</v>
      </c>
      <c r="BC2" s="3">
        <f>IF(BB2 = 0, 0, BA2 / BB2)</f>
        <v>0.8333333333333334</v>
      </c>
      <c r="BD2" s="3">
        <f>COUNTIFS(RequirementSatisfactions!AM2:AM999, A2)</f>
        <v>1</v>
      </c>
      <c r="BE2" s="3" t="str">
        <f>IF(BB2 = 0, "None: no blocking control was evaluated.", IF(BD2 &gt; 0, "Weak: at least one control rests on an interested-party assertion.", IF(BC2 &lt; 0.5, "Thin: most controls rest on human assertion.", IF(BC2 &lt; 1, "Mixed: computed and asserted controls.", "Computed: every evaluated control has a witness."))))</f>
        <v>Weak: at least one control rests on an interested-party assertion.</v>
      </c>
      <c r="BF2" s="3" t="b">
        <f>AND(T2, OR(BD2 &gt; 0, BC2 &lt; 0.5))</f>
        <v>0</v>
      </c>
      <c r="BG2" s="3">
        <f>COUNTIFS(VerificationOutcomes!X2:X999, A2)</f>
        <v>1</v>
      </c>
      <c r="BH2" s="3" t="b">
        <f>BG2 &gt; 0</f>
        <v>1</v>
      </c>
      <c r="BI2" s="3">
        <f>COUNTIFS(StepExecutions!DD2:DD999, A2)</f>
        <v>2</v>
      </c>
      <c r="BJ2" s="3" t="b">
        <f>AND(BI2 &gt; 0, NOT(BH2))</f>
        <v>0</v>
      </c>
      <c r="BK2" s="6">
        <f>_xlfn.MAXIFS(Attestations!E2:E999,Attestations!C2:C999, A2)</f>
        <v>0</v>
      </c>
      <c r="BL2" s="3" t="b">
        <f>BM2 &gt; 0</f>
        <v>0</v>
      </c>
      <c r="BM2" s="3">
        <f>COUNTIFS(Attestations!C2:C999, A2)</f>
        <v>0</v>
      </c>
      <c r="BN2" s="3">
        <f>COUNTIFS(RequirementSatisfactions!AS2:AS999, A2)</f>
        <v>0</v>
      </c>
      <c r="BO2" s="3" t="b">
        <f>AND(BL2, BN2 &gt; 0)</f>
        <v>0</v>
      </c>
      <c r="BP2" s="3" t="b">
        <f>AND(BO2, NOT(T2))</f>
        <v>0</v>
      </c>
      <c r="BQ2" s="3">
        <f>COUNTIFS(SendIntents!BA2:BA999, A2)</f>
        <v>0</v>
      </c>
      <c r="BR2" s="3">
        <f>COUNTIFS(SendIntents!BB2:BB999, A2)</f>
        <v>0</v>
      </c>
      <c r="BS2" s="3">
        <f>COUNTIFS(SendIntents!BC2:BC999, A2)</f>
        <v>0</v>
      </c>
      <c r="BT2" s="3">
        <f>IF(BQ2 &gt; 0, BR2 * 100 / BQ2, 0)</f>
        <v>0</v>
      </c>
      <c r="BU2" s="3" t="b">
        <f>(BS2 &gt; 0)</f>
        <v>0</v>
      </c>
      <c r="BV2" s="3">
        <f>COUNTIFS(SendIntents!BZ2:BZ999, A2)</f>
        <v>0</v>
      </c>
      <c r="BW2" s="3" t="b">
        <f>(BV2 &gt; 0)</f>
        <v>0</v>
      </c>
      <c r="BX2" s="3">
        <f>COUNTIFS(SendIntents!CU2:CU999, A2)</f>
        <v>0</v>
      </c>
      <c r="BY2" s="3" t="b">
        <f>AND(BQ2 &gt; 0, BX2 = 0)</f>
        <v>0</v>
      </c>
      <c r="BZ2" s="2" t="s">
        <v>1323</v>
      </c>
    </row>
    <row r="3">
      <c r="A3" s="2" t="s">
        <v>1324</v>
      </c>
      <c r="B3" s="3" t="str">
        <f>C3 &amp; " / " &amp; H3</f>
        <v>policy-v1.0.0 / Remote-work policy revision HR-4821</v>
      </c>
      <c r="C3" s="2" t="s">
        <v>375</v>
      </c>
      <c r="D3" s="2" t="s">
        <v>1325</v>
      </c>
      <c r="E3" s="4">
        <v>46221.583333333336</v>
      </c>
      <c r="F3" s="4"/>
      <c r="G3" s="2" t="s">
        <v>153</v>
      </c>
      <c r="H3" s="2" t="s">
        <v>1326</v>
      </c>
      <c r="I3" s="2" t="s">
        <v>1327</v>
      </c>
      <c r="J3" s="3">
        <f>_xlfn.IFNA(INDEX(ProcedureVersions!Q2:Q999, MATCH(C3,ProcedureVersions!A2:A999, 0)), "")</f>
        <v>9</v>
      </c>
      <c r="K3" s="3">
        <f>COUNTIFS(StepExecutions!AQ2:AQ999, A3)</f>
        <v>4</v>
      </c>
      <c r="L3" s="3">
        <f>COUNTIFS(StepExecutions!AR2:AR999, A3)</f>
        <v>2</v>
      </c>
      <c r="M3" s="3">
        <f>COUNTIFS(StepExecutions!AS2:AS999, A3)</f>
        <v>0</v>
      </c>
      <c r="N3" s="3" t="b">
        <f>K3 &gt;= J3</f>
        <v>0</v>
      </c>
      <c r="O3" s="3" t="b">
        <f>OR(NOT(N3), L3 &gt; 0)</f>
        <v>1</v>
      </c>
      <c r="P3" s="3" t="b">
        <f>Q3 = 0</f>
        <v>1</v>
      </c>
      <c r="Q3" s="3">
        <f>COUNTIFS(StepExecutions!AY2:AY999, A3)</f>
        <v>0</v>
      </c>
      <c r="R3" s="3" t="b">
        <f>S3 = 0</f>
        <v>1</v>
      </c>
      <c r="S3" s="3">
        <f>COUNTIFS(StepExecutions!AZ2:AZ999, A3)</f>
        <v>0</v>
      </c>
      <c r="T3" s="3" t="b">
        <f>AND(N3, NOT(O3), P3, R3)</f>
        <v>0</v>
      </c>
      <c r="U3" s="3" t="str">
        <f>IF(T3, "", IF(NOT(N3), "Incomplete: specified steps did not all complete.", IF(S3 &gt; 0, "Segregation of duties violated.", IF(Q3 &gt; 0, "Blocking controls were never evaluated.", "Control breach recorded on one or more steps."))))</f>
        <v>Incomplete: specified steps did not all complete.</v>
      </c>
      <c r="V3" s="3" t="b">
        <f>_xlfn.IFNA(INDEX(ProcedureVersions!U2:U999, MATCH(C3,ProcedureVersions!A2:A999, 0)), "")</f>
        <v>0</v>
      </c>
      <c r="W3" s="3" t="b">
        <f>AND(D3 = "Completed", NOT(V3))</f>
        <v>0</v>
      </c>
      <c r="X3" s="3">
        <f>COUNTIFS(RequirementSatisfactions!S2:S999, A3)</f>
        <v>2</v>
      </c>
      <c r="Y3" s="3" t="b">
        <f>X3 &gt; 0</f>
        <v>1</v>
      </c>
      <c r="Z3" s="3">
        <f>COUNTIFS(MessageDeliveries!AI2:AI999, A3)</f>
        <v>0</v>
      </c>
      <c r="AA3" s="3">
        <f>COUNTIFS(MessageDeliveries!AR2:AR999, A3)</f>
        <v>0</v>
      </c>
      <c r="AB3" s="3">
        <f>COUNTIFS(StepExecutions!BI2:BI999, A3)</f>
        <v>1</v>
      </c>
      <c r="AC3" s="3" t="b">
        <f>AB3 &gt; 0</f>
        <v>1</v>
      </c>
      <c r="AD3" s="3">
        <f>COUNTIFS(MessageDeliveries!BN2:BN999, A3)</f>
        <v>0</v>
      </c>
      <c r="AE3" s="3">
        <f>COUNTIFS(MessageDeliveries!BO2:BO999, A3)</f>
        <v>4</v>
      </c>
      <c r="AF3" s="3">
        <f>COUNTIFS(MessageDeliveries!C2:C999, A3)</f>
        <v>6</v>
      </c>
      <c r="AG3" s="3" t="b">
        <f>AD3 &gt; 0</f>
        <v>0</v>
      </c>
      <c r="AH3" s="3">
        <f>COUNTIFS(SendIntents!AZ2:AZ999, A3)</f>
        <v>5</v>
      </c>
      <c r="AI3" s="3">
        <f>COUNTIFS(StepExecutions!BR2:BR999, A3)</f>
        <v>0</v>
      </c>
      <c r="AJ3" s="3" t="b">
        <f>AI3 = 0</f>
        <v>1</v>
      </c>
      <c r="AK3" s="5">
        <f>COUNTIFS(StepExecutions!BZ2:BZ999, TRUE)</f>
        <v>1</v>
      </c>
      <c r="AL3" s="3" t="b">
        <f>AK3 &gt; 0</f>
        <v>1</v>
      </c>
      <c r="AM3" s="5">
        <f>COUNTIFS(StepExecutions!D2:D999, "policy-07")</f>
        <v>0</v>
      </c>
      <c r="AN3" s="3" t="b">
        <f>AM3 &gt; 0</f>
        <v>0</v>
      </c>
      <c r="AO3" s="3" t="b">
        <f>AND(AN3, NOT(AL3))</f>
        <v>0</v>
      </c>
      <c r="AP3" s="3">
        <f>COUNTIFS(RequirementSatisfactions!Z2:Z999, A3)</f>
        <v>0</v>
      </c>
      <c r="AQ3" s="3" t="b">
        <f>AP3 = 0</f>
        <v>1</v>
      </c>
      <c r="AR3" s="3">
        <f>COUNTIFS(StepExecutions!CT2:CT999, A3)</f>
        <v>0</v>
      </c>
      <c r="AS3" s="3">
        <f>COUNTIFS(StepExecutions!CW2:CW999, A3)</f>
        <v>0</v>
      </c>
      <c r="AT3" s="3">
        <f>COUNTIFS(StepExecutions!CX2:CX999, A3)</f>
        <v>0</v>
      </c>
      <c r="AU3" s="3" t="b">
        <f>AND(AS3 &gt; 0, AT3 &gt; 0)</f>
        <v>0</v>
      </c>
      <c r="AV3" s="3" t="b">
        <f>AND(AU3, R3)</f>
        <v>0</v>
      </c>
      <c r="AW3" s="3" t="b">
        <f>AND(R3, NOT(AU3))</f>
        <v>1</v>
      </c>
      <c r="AX3" s="3" t="str">
        <f>IF(S3 &gt; 0, "Violated: same agent prepared and approved.", IF(AW3, "Not tested: this run had no preparation/approval pair.", "Held under test."))</f>
        <v>Not tested: this run had no preparation/approval pair.</v>
      </c>
      <c r="AY3" s="3">
        <f>COUNTIFS(StepExecutions!DC2:DC999, A3)</f>
        <v>0</v>
      </c>
      <c r="AZ3" s="3" t="b">
        <f>AND(O3, AY3 = 0)</f>
        <v>1</v>
      </c>
      <c r="BA3" s="3">
        <f>COUNTIFS(RequirementSatisfactions!AO2:AO999, A3)</f>
        <v>0</v>
      </c>
      <c r="BB3" s="3">
        <f>BA3 + X3</f>
        <v>2</v>
      </c>
      <c r="BC3" s="3">
        <f>IF(BB3 = 0, 0, BA3 / BB3)</f>
        <v>0</v>
      </c>
      <c r="BD3" s="3">
        <f>COUNTIFS(RequirementSatisfactions!AM2:AM999, A3)</f>
        <v>2</v>
      </c>
      <c r="BE3" s="3" t="str">
        <f>IF(BB3 = 0, "None: no blocking control was evaluated.", IF(BD3 &gt; 0, "Weak: at least one control rests on an interested-party assertion.", IF(BC3 &lt; 0.5, "Thin: most controls rest on human assertion.", IF(BC3 &lt; 1, "Mixed: computed and asserted controls.", "Computed: every evaluated control has a witness."))))</f>
        <v>Weak: at least one control rests on an interested-party assertion.</v>
      </c>
      <c r="BF3" s="3" t="b">
        <f>AND(T3, OR(BD3 &gt; 0, BC3 &lt; 0.5))</f>
        <v>0</v>
      </c>
      <c r="BG3" s="3">
        <f>COUNTIFS(VerificationOutcomes!X2:X999, A3)</f>
        <v>0</v>
      </c>
      <c r="BH3" s="3" t="b">
        <f>BG3 &gt; 0</f>
        <v>0</v>
      </c>
      <c r="BI3" s="3">
        <f>COUNTIFS(StepExecutions!DD2:DD999, A3)</f>
        <v>0</v>
      </c>
      <c r="BJ3" s="3" t="b">
        <f>AND(BI3 &gt; 0, NOT(BH3))</f>
        <v>0</v>
      </c>
      <c r="BK3" s="6">
        <f>_xlfn.MAXIFS(Attestations!E2:E999,Attestations!C2:C999, A3)</f>
        <v>0</v>
      </c>
      <c r="BL3" s="3" t="b">
        <f>BM3 &gt; 0</f>
        <v>0</v>
      </c>
      <c r="BM3" s="3">
        <f>COUNTIFS(Attestations!C2:C999, A3)</f>
        <v>0</v>
      </c>
      <c r="BN3" s="3">
        <f>COUNTIFS(RequirementSatisfactions!AS2:AS999, A3)</f>
        <v>0</v>
      </c>
      <c r="BO3" s="3" t="b">
        <f>AND(BL3, BN3 &gt; 0)</f>
        <v>0</v>
      </c>
      <c r="BP3" s="3" t="b">
        <f>AND(BO3, NOT(T3))</f>
        <v>0</v>
      </c>
      <c r="BQ3" s="3">
        <f>COUNTIFS(SendIntents!BA2:BA999, A3)</f>
        <v>7</v>
      </c>
      <c r="BR3" s="3">
        <f>COUNTIFS(SendIntents!BB2:BB999, A3)</f>
        <v>2</v>
      </c>
      <c r="BS3" s="3">
        <f>COUNTIFS(SendIntents!BC2:BC999, A3)</f>
        <v>4</v>
      </c>
      <c r="BT3" s="3">
        <f>IF(BQ3 &gt; 0, BR3 * 100 / BQ3, 0)</f>
        <v>28.571428571428573</v>
      </c>
      <c r="BU3" s="3" t="b">
        <f>(BS3 &gt; 0)</f>
        <v>1</v>
      </c>
      <c r="BV3" s="3">
        <f>COUNTIFS(SendIntents!BZ2:BZ999, A3)</f>
        <v>4</v>
      </c>
      <c r="BW3" s="3" t="b">
        <f>(BV3 &gt; 0)</f>
        <v>1</v>
      </c>
      <c r="BX3" s="3">
        <f>COUNTIFS(SendIntents!CU2:CU999, A3)</f>
        <v>2</v>
      </c>
      <c r="BY3" s="3" t="b">
        <f>AND(BQ3 &gt; 0, BX3 = 0)</f>
        <v>0</v>
      </c>
      <c r="BZ3" s="2" t="s">
        <v>1323</v>
      </c>
    </row>
  </sheetData>
  <autoFilter ref="A1:BZ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E13"/>
  <sheetViews>
    <sheetView workbookViewId="0">
      <pane ySplit="1" topLeftCell="A2" state="frozen" activePane="bottomLeft"/>
      <selection pane="bottomLeft" activeCell="A1" sqref="A1"/>
    </sheetView>
  </sheetViews>
  <sheetFormatPr defaultRowHeight="15"/>
  <cols>
    <col min="1" max="1" width="17.443378448486328" customWidth="1"/>
    <col min="2" max="2" width="29.675477981567383" customWidth="1"/>
    <col min="3" max="3" width="20.414697647094727" customWidth="1"/>
    <col min="4" max="4" width="17.443378448486328" customWidth="1"/>
    <col min="5" max="5" width="17.923480987548828" customWidth="1"/>
    <col min="6" max="6" width="17.443378448486328" customWidth="1"/>
    <col min="7" max="7" width="24.515466690063477" customWidth="1"/>
    <col min="8" max="8" width="24.515466690063477" customWidth="1"/>
    <col min="9" max="9" width="17.675466537475586" customWidth="1"/>
    <col min="10" max="10" width="61.75228500366211" customWidth="1"/>
    <col min="11" max="11" width="22.593080520629883" customWidth="1"/>
    <col min="12" max="12" width="25.40670394897461" customWidth="1"/>
    <col min="13" max="13" width="17.443378448486328" customWidth="1"/>
    <col min="14" max="14" width="21.05838394165039" customWidth="1"/>
    <col min="15" max="15" width="24.99631118774414" customWidth="1"/>
    <col min="16" max="16" width="29.549055099487305" customWidth="1"/>
    <col min="17" max="17" width="23.468830108642578" customWidth="1"/>
    <col min="18" max="18" width="24.010377883911133" customWidth="1"/>
    <col min="19" max="19" width="26.299619674682617" customWidth="1"/>
    <col min="20" max="20" width="30.731321334838867" customWidth="1"/>
    <col min="21" max="21" width="29.592470169067383" customWidth="1"/>
    <col min="22" max="22" width="30.329341888427734" customWidth="1"/>
    <col min="23" max="23" width="18.363283157348633" customWidth="1"/>
    <col min="24" max="24" width="22.416217803955078" customWidth="1"/>
    <col min="25" max="25" width="31.184785842895508" customWidth="1"/>
    <col min="26" max="26" width="31.986541748046875" customWidth="1"/>
    <col min="27" max="27" width="25.862255096435547" customWidth="1"/>
    <col min="28" max="28" width="27.109943389892578" customWidth="1"/>
    <col min="29" max="29" width="24.84225082397461" customWidth="1"/>
    <col min="30" max="30" width="22.887237548828125" customWidth="1"/>
    <col min="31" max="31" width="27.06416893005371" customWidth="1"/>
    <col min="32" max="32" width="18.547666549682617" customWidth="1"/>
    <col min="33" max="33" width="17.443378448486328" customWidth="1"/>
    <col min="34" max="34" width="30.948745727539062" customWidth="1"/>
    <col min="35" max="35" width="32.54715347290039" customWidth="1"/>
    <col min="36" max="36" width="27.021183013916016" customWidth="1"/>
    <col min="37" max="37" width="26.62740135192871" customWidth="1"/>
    <col min="38" max="38" width="22.35959815979004" customWidth="1"/>
    <col min="39" max="39" width="36.94147491455078" customWidth="1"/>
    <col min="40" max="40" width="24.013687133789062" customWidth="1"/>
    <col min="41" max="41" width="26.418333053588867" customWidth="1"/>
    <col min="42" max="42" width="24.134410858154297" customWidth="1"/>
    <col min="43" max="43" width="23.962478637695312" customWidth="1"/>
    <col min="44" max="44" width="27.06389808654785" customWidth="1"/>
    <col min="45" max="45" width="18.101459503173828" customWidth="1"/>
    <col min="46" max="46" width="19.463441848754883" customWidth="1"/>
    <col min="47" max="47" width="18.449125289916992" customWidth="1"/>
    <col min="48" max="48" width="32.2105712890625" customWidth="1"/>
    <col min="49" max="49" width="26.60011863708496" customWidth="1"/>
    <col min="50" max="50" width="20.574527740478516" customWidth="1"/>
    <col min="51" max="51" width="32.9788703918457" customWidth="1"/>
    <col min="52" max="52" width="31.63748550415039" customWidth="1"/>
    <col min="53" max="53" width="29.867584228515625" customWidth="1"/>
    <col min="54" max="54" width="26.465900421142578" customWidth="1"/>
    <col min="55" max="55" width="30.51555824279785" customWidth="1"/>
    <col min="56" max="56" width="26.06052017211914" customWidth="1"/>
    <col min="57" max="57" width="20.10980796813965" customWidth="1"/>
    <col min="58" max="58" width="17.443378448486328" customWidth="1"/>
    <col min="59" max="59" width="20.252012252807617" customWidth="1"/>
    <col min="60" max="60" width="19.198049545288086" customWidth="1"/>
    <col min="61" max="61" width="23.46017837524414" customWidth="1"/>
    <col min="62" max="62" width="22.35959815979004" customWidth="1"/>
    <col min="63" max="63" width="18.238035202026367" customWidth="1"/>
    <col min="64" max="64" width="27.301942825317383" customWidth="1"/>
    <col min="65" max="65" width="23.42338752746582" customWidth="1"/>
    <col min="66" max="66" width="18.630861282348633" customWidth="1"/>
    <col min="67" max="67" width="22.671112060546875" customWidth="1"/>
    <col min="68" max="68" width="17.443378448486328" customWidth="1"/>
    <col min="69" max="69" width="17.443378448486328" customWidth="1"/>
    <col min="70" max="70" width="32.61447525024414" customWidth="1"/>
    <col min="71" max="71" width="27.8951416015625" customWidth="1"/>
    <col min="72" max="72" width="23.34478759765625" customWidth="1"/>
    <col min="73" max="73" width="36.03265380859375" customWidth="1"/>
    <col min="74" max="74" width="20.287948608398438" customWidth="1"/>
    <col min="75" max="75" width="24.704252243041992" customWidth="1"/>
    <col min="76" max="76" width="24.259387969970703" customWidth="1"/>
    <col min="77" max="77" width="24.78120994567871" customWidth="1"/>
    <col min="78" max="78" width="20.847288131713867" customWidth="1"/>
    <col min="79" max="79" width="17.443378448486328" customWidth="1"/>
    <col min="80" max="80" width="37.197608947753906" customWidth="1"/>
    <col min="81" max="81" width="28.131574630737305" customWidth="1"/>
    <col min="82" max="82" width="26.901395797729492" customWidth="1"/>
    <col min="83" max="83" width="28.248353958129883" customWidth="1"/>
    <col min="84" max="84" width="18.76164436340332" customWidth="1"/>
    <col min="85" max="85" width="26.540740966796875" customWidth="1"/>
    <col min="86" max="86" width="17.443378448486328" customWidth="1"/>
    <col min="87" max="87" width="25.617780685424805" customWidth="1"/>
    <col min="88" max="88" width="26.189706802368164" customWidth="1"/>
    <col min="89" max="89" width="17.443378448486328" customWidth="1"/>
    <col min="90" max="90" width="21.4399356842041" customWidth="1"/>
    <col min="91" max="91" width="34.45730972290039" customWidth="1"/>
    <col min="92" max="92" width="22.366497039794922" customWidth="1"/>
    <col min="93" max="93" width="22.6243953704834" customWidth="1"/>
    <col min="94" max="94" width="20.926023483276367" customWidth="1"/>
    <col min="95" max="95" width="22.24381446838379" customWidth="1"/>
    <col min="96" max="96" width="17.839473724365234" customWidth="1"/>
    <col min="97" max="97" width="20.892730712890625" customWidth="1"/>
    <col min="98" max="98" width="28.17344093322754" customWidth="1"/>
    <col min="99" max="99" width="26.13736915588379" customWidth="1"/>
    <col min="100" max="100" width="24.13258934020996" customWidth="1"/>
    <col min="101" max="101" width="24.915815353393555" customWidth="1"/>
    <col min="102" max="102" width="22.417268753051758" customWidth="1"/>
    <col min="103" max="103" width="25.23748779296875" customWidth="1"/>
    <col min="104" max="104" width="29.530969619750977" customWidth="1"/>
    <col min="105" max="105" width="17.443378448486328" customWidth="1"/>
    <col min="106" max="106" width="25.235488891601562" customWidth="1"/>
    <col min="107" max="107" width="35.71369552612305" customWidth="1"/>
    <col min="108" max="108" width="33.031253814697266" customWidth="1"/>
    <col min="109" max="109" width="34.81904220581055" customWidth="1"/>
  </cols>
  <sheetData>
    <row r="1">
      <c r="A1" s="1" t="s">
        <v>1328</v>
      </c>
      <c r="B1" s="1" t="s">
        <v>1</v>
      </c>
      <c r="C1" s="1" t="s">
        <v>1329</v>
      </c>
      <c r="D1" s="1" t="s">
        <v>747</v>
      </c>
      <c r="E1" s="1" t="s">
        <v>1248</v>
      </c>
      <c r="F1" s="1" t="s">
        <v>1247</v>
      </c>
      <c r="G1" s="1" t="s">
        <v>1060</v>
      </c>
      <c r="H1" s="1" t="s">
        <v>1061</v>
      </c>
      <c r="I1" s="1" t="s">
        <v>1330</v>
      </c>
      <c r="J1" s="1" t="s">
        <v>1331</v>
      </c>
      <c r="K1" s="1" t="s">
        <v>1332</v>
      </c>
      <c r="L1" s="1" t="s">
        <v>504</v>
      </c>
      <c r="M1" s="1" t="s">
        <v>1333</v>
      </c>
      <c r="N1" s="1" t="s">
        <v>1334</v>
      </c>
      <c r="O1" s="1" t="s">
        <v>1335</v>
      </c>
      <c r="P1" s="1" t="s">
        <v>1336</v>
      </c>
      <c r="Q1" s="1" t="s">
        <v>1337</v>
      </c>
      <c r="R1" s="1" t="s">
        <v>1338</v>
      </c>
      <c r="S1" s="1" t="s">
        <v>1339</v>
      </c>
      <c r="T1" s="1" t="s">
        <v>1340</v>
      </c>
      <c r="U1" s="1" t="s">
        <v>1341</v>
      </c>
      <c r="V1" s="1" t="s">
        <v>1342</v>
      </c>
      <c r="W1" s="1" t="s">
        <v>1343</v>
      </c>
      <c r="X1" s="1" t="s">
        <v>1344</v>
      </c>
      <c r="Y1" s="1" t="s">
        <v>1345</v>
      </c>
      <c r="Z1" s="1" t="s">
        <v>1346</v>
      </c>
      <c r="AA1" s="1" t="s">
        <v>1347</v>
      </c>
      <c r="AB1" s="1" t="s">
        <v>1348</v>
      </c>
      <c r="AC1" s="1" t="s">
        <v>1349</v>
      </c>
      <c r="AD1" s="1" t="s">
        <v>1350</v>
      </c>
      <c r="AE1" s="1" t="s">
        <v>1351</v>
      </c>
      <c r="AF1" s="1" t="s">
        <v>1352</v>
      </c>
      <c r="AG1" s="1" t="s">
        <v>1353</v>
      </c>
      <c r="AH1" s="1" t="s">
        <v>1354</v>
      </c>
      <c r="AI1" s="1" t="s">
        <v>1355</v>
      </c>
      <c r="AJ1" s="1" t="s">
        <v>1356</v>
      </c>
      <c r="AK1" s="1" t="s">
        <v>1357</v>
      </c>
      <c r="AL1" s="1" t="s">
        <v>1358</v>
      </c>
      <c r="AM1" s="1" t="s">
        <v>1359</v>
      </c>
      <c r="AN1" s="1" t="s">
        <v>1360</v>
      </c>
      <c r="AO1" s="1" t="s">
        <v>1361</v>
      </c>
      <c r="AP1" s="1" t="s">
        <v>1362</v>
      </c>
      <c r="AQ1" s="1" t="s">
        <v>1363</v>
      </c>
      <c r="AR1" s="1" t="s">
        <v>1364</v>
      </c>
      <c r="AS1" s="1" t="s">
        <v>1365</v>
      </c>
      <c r="AT1" s="1" t="s">
        <v>1366</v>
      </c>
      <c r="AU1" s="1" t="s">
        <v>1367</v>
      </c>
      <c r="AV1" s="1" t="s">
        <v>1368</v>
      </c>
      <c r="AW1" s="1" t="s">
        <v>1369</v>
      </c>
      <c r="AX1" s="1" t="s">
        <v>1370</v>
      </c>
      <c r="AY1" s="1" t="s">
        <v>1371</v>
      </c>
      <c r="AZ1" s="1" t="s">
        <v>1372</v>
      </c>
      <c r="BA1" s="1" t="s">
        <v>1373</v>
      </c>
      <c r="BB1" s="1" t="s">
        <v>1374</v>
      </c>
      <c r="BC1" s="1" t="s">
        <v>1375</v>
      </c>
      <c r="BD1" s="1" t="s">
        <v>1376</v>
      </c>
      <c r="BE1" s="1" t="s">
        <v>1377</v>
      </c>
      <c r="BF1" s="1" t="s">
        <v>1378</v>
      </c>
      <c r="BG1" s="1" t="s">
        <v>1379</v>
      </c>
      <c r="BH1" s="1" t="s">
        <v>1380</v>
      </c>
      <c r="BI1" s="1" t="s">
        <v>1381</v>
      </c>
      <c r="BJ1" s="1" t="s">
        <v>500</v>
      </c>
      <c r="BK1" s="1" t="s">
        <v>1382</v>
      </c>
      <c r="BL1" s="1" t="s">
        <v>1383</v>
      </c>
      <c r="BM1" s="1" t="s">
        <v>1384</v>
      </c>
      <c r="BN1" s="1" t="s">
        <v>1385</v>
      </c>
      <c r="BO1" s="1" t="s">
        <v>1386</v>
      </c>
      <c r="BP1" s="1" t="s">
        <v>1387</v>
      </c>
      <c r="BQ1" s="1" t="s">
        <v>1388</v>
      </c>
      <c r="BR1" s="1" t="s">
        <v>1389</v>
      </c>
      <c r="BS1" s="1" t="s">
        <v>1390</v>
      </c>
      <c r="BT1" s="1" t="s">
        <v>1391</v>
      </c>
      <c r="BU1" s="1" t="s">
        <v>1392</v>
      </c>
      <c r="BV1" s="1" t="s">
        <v>1393</v>
      </c>
      <c r="BW1" s="1" t="s">
        <v>1394</v>
      </c>
      <c r="BX1" s="1" t="s">
        <v>1395</v>
      </c>
      <c r="BY1" s="1" t="s">
        <v>1396</v>
      </c>
      <c r="BZ1" s="1" t="s">
        <v>1397</v>
      </c>
      <c r="CA1" s="1" t="s">
        <v>1398</v>
      </c>
      <c r="CB1" s="1" t="s">
        <v>1399</v>
      </c>
      <c r="CC1" s="1" t="s">
        <v>506</v>
      </c>
      <c r="CD1" s="1" t="s">
        <v>1400</v>
      </c>
      <c r="CE1" s="1" t="s">
        <v>1401</v>
      </c>
      <c r="CF1" s="1" t="s">
        <v>1402</v>
      </c>
      <c r="CG1" s="1" t="s">
        <v>1403</v>
      </c>
      <c r="CH1" s="1" t="s">
        <v>1404</v>
      </c>
      <c r="CI1" s="1" t="s">
        <v>1405</v>
      </c>
      <c r="CJ1" s="1" t="s">
        <v>1406</v>
      </c>
      <c r="CK1" s="1" t="s">
        <v>1407</v>
      </c>
      <c r="CL1" s="1" t="s">
        <v>1408</v>
      </c>
      <c r="CM1" s="1" t="s">
        <v>1409</v>
      </c>
      <c r="CN1" s="1" t="s">
        <v>1410</v>
      </c>
      <c r="CO1" s="1" t="s">
        <v>1411</v>
      </c>
      <c r="CP1" s="1" t="s">
        <v>1412</v>
      </c>
      <c r="CQ1" s="1" t="s">
        <v>1413</v>
      </c>
      <c r="CR1" s="1" t="s">
        <v>1414</v>
      </c>
      <c r="CS1" s="1" t="s">
        <v>1415</v>
      </c>
      <c r="CT1" s="1" t="s">
        <v>1416</v>
      </c>
      <c r="CU1" s="1" t="s">
        <v>1417</v>
      </c>
      <c r="CV1" s="1" t="s">
        <v>1418</v>
      </c>
      <c r="CW1" s="1" t="s">
        <v>1419</v>
      </c>
      <c r="CX1" s="1" t="s">
        <v>1420</v>
      </c>
      <c r="CY1" s="1" t="s">
        <v>1421</v>
      </c>
      <c r="CZ1" s="1" t="s">
        <v>1422</v>
      </c>
      <c r="DA1" s="1" t="s">
        <v>1423</v>
      </c>
      <c r="DB1" s="1" t="s">
        <v>1424</v>
      </c>
      <c r="DC1" s="1" t="s">
        <v>1425</v>
      </c>
      <c r="DD1" s="1" t="s">
        <v>1426</v>
      </c>
      <c r="DE1" s="1" t="s">
        <v>94</v>
      </c>
    </row>
    <row r="2">
      <c r="A2" s="2" t="s">
        <v>1427</v>
      </c>
      <c r="B2" s="3" t="str">
        <f>C2 &amp; " / " &amp; D2</f>
        <v>exec-close-2026-q2 / close-01</v>
      </c>
      <c r="C2" s="2" t="s">
        <v>1319</v>
      </c>
      <c r="D2" s="2" t="s">
        <v>535</v>
      </c>
      <c r="E2" s="2" t="s">
        <v>165</v>
      </c>
      <c r="F2" s="2" t="s">
        <v>1320</v>
      </c>
      <c r="G2" s="4">
        <v>46203.916666666664</v>
      </c>
      <c r="H2" s="4">
        <v>46203.919444444444</v>
      </c>
      <c r="I2" s="2" t="s">
        <v>1428</v>
      </c>
      <c r="J2" s="2" t="s">
        <v>168</v>
      </c>
      <c r="K2" s="5" t="e">
        <f>IF(H2 = "", 0, DATETIME_DIFF(H2, G2, "minutes"))</f>
        <v>#NAME?</v>
      </c>
      <c r="L2" s="5">
        <f>_xlfn.IFNA(INDEX(Steps!K2:K999, MATCH(D2,Steps!A2:A999, 0)), "")</f>
        <v>5</v>
      </c>
      <c r="M2" s="3" t="e">
        <f>K2 &gt; L2</f>
        <v>#NAME?</v>
      </c>
      <c r="N2" s="3">
        <f>COUNTIFS(RequirementSatisfactions!C2:C999, A2,RequirementSatisfactions!K2:K999, TRUE)</f>
        <v>0</v>
      </c>
      <c r="O2" s="3">
        <f>COUNTIFS(RequirementSatisfactions!L2:L999, A2)</f>
        <v>0</v>
      </c>
      <c r="P2" s="3" t="b">
        <f>AND(F2 = "Completed", O2 &gt; 0)</f>
        <v>0</v>
      </c>
      <c r="Q2" s="3">
        <f>_xlfn.IFNA(INDEX(Steps!N2:N999, MATCH(D2,Steps!A2:A999, 0)), "")</f>
        <v>1</v>
      </c>
      <c r="R2" s="3">
        <f>COUNTIFS(RequirementSatisfactions!M2:M999, A2)</f>
        <v>1</v>
      </c>
      <c r="S2" s="3">
        <f>Q2 - R2</f>
        <v>0</v>
      </c>
      <c r="T2" s="3" t="b">
        <f>S2 &gt; 0</f>
        <v>0</v>
      </c>
      <c r="U2" s="3">
        <f>_xlfn.IFNA(INDEX(Steps!P2:P999, MATCH(D2,Steps!A2:A999, 0)), "")</f>
        <v>0</v>
      </c>
      <c r="V2" s="3" t="b">
        <f>U2 &gt; 0</f>
        <v>0</v>
      </c>
      <c r="W2" s="3" t="b">
        <f>J2 &lt;&gt; ""</f>
        <v>0</v>
      </c>
      <c r="X2" s="3" t="e">
        <f>AND(M2, NOT(W2))</f>
        <v>#NAME?</v>
      </c>
      <c r="Y2" s="3">
        <f>_xlfn.IFNA(INDEX(Steps!Q2:Q999, MATCH(D2,Steps!A2:A999, 0)), "")</f>
        <v>0</v>
      </c>
      <c r="Z2" s="3" t="e">
        <f>AND(X2, Y2 &gt; 0)</f>
        <v>#NAME?</v>
      </c>
      <c r="AA2" s="3">
        <f>_xlfn.IFNA(INDEX(Steps!R2:R999, MATCH(D2,Steps!A2:A999, 0)), "")</f>
        <v>1</v>
      </c>
      <c r="AB2" s="3">
        <f>COUNTIFS(VerificationOutcomes!C2:C999, A2)</f>
        <v>1</v>
      </c>
      <c r="AC2" s="3">
        <f>AA2 - AB2</f>
        <v>0</v>
      </c>
      <c r="AD2" s="3" t="b">
        <f>AC2 &gt; 0</f>
        <v>0</v>
      </c>
      <c r="AE2" s="3" t="b">
        <f>AND(I2 = "PASS", AD2)</f>
        <v>0</v>
      </c>
      <c r="AF2" s="3" t="b">
        <f>_xlfn.IFNA(INDEX(Steps!S2:S999, MATCH(D2,Steps!A2:A999, 0)), "")</f>
        <v>0</v>
      </c>
      <c r="AG2" s="3" t="b">
        <f>_xlfn.IFNA(INDEX(Steps!T2:T999, MATCH(D2,Steps!A2:A999, 0)), "")</f>
        <v>0</v>
      </c>
      <c r="AH2" s="3" t="str">
        <f>IF(AF2, C2 &amp; "|" &amp; E2, "")</f>
      </c>
      <c r="AI2" s="3" t="str">
        <f>IF(AG2, C2 &amp; "|" &amp; E2, "")</f>
      </c>
      <c r="AJ2" s="3">
        <f>COUNTIFS(AH2:AH999, AI2)</f>
        <v>10</v>
      </c>
      <c r="AK2" s="3" t="b">
        <f>AND(AG2, AJ2 &gt; 0)</f>
        <v>0</v>
      </c>
      <c r="AL2" s="3" t="str">
        <f>_xlfn.IFNA(INDEX(Steps!G2:G999, MATCH(D2,Steps!A2:A999, 0)), "")</f>
        <v>close-automation</v>
      </c>
      <c r="AM2" s="3" t="str">
        <f>E2 &amp; "|" &amp; AL2</f>
        <v>close-pipeline|close-automation</v>
      </c>
      <c r="AN2" s="3">
        <f>COUNTIFS(RoleAssignments!N2:N999, AM2)</f>
        <v>1</v>
      </c>
      <c r="AO2" s="3" t="b">
        <f>AN2 &gt; 0</f>
        <v>1</v>
      </c>
      <c r="AP2" s="3" t="b">
        <f>AND(AG2, NOT(AO2))</f>
        <v>0</v>
      </c>
      <c r="AQ2" s="3" t="str">
        <f>IF(F2 = "Completed", C2, "")</f>
        <v>exec-close-2026-q2</v>
      </c>
      <c r="AR2" s="3" t="str">
        <f>IF(OR(P2, AK2, AP2, AE2), C2, "")</f>
      </c>
      <c r="AS2" s="3" t="e">
        <f>IF(M2, C2, "")</f>
        <v>#NAME?</v>
      </c>
      <c r="AT2" s="3" t="str">
        <f>_xlfn.IFNA(INDEX(Agents!D2:D999, MATCH(E2,Agents!A2:A999, 0)), "")</f>
        <v>AutomatedPipeline</v>
      </c>
      <c r="AU2" s="3" t="b">
        <f>AT2 = "Human"</f>
        <v>0</v>
      </c>
      <c r="AV2" s="3" t="b">
        <f>_xlfn.IFNA(INDEX(Steps!M2:M999, MATCH(D2,Steps!A2:A999, 0)), "")</f>
        <v>0</v>
      </c>
      <c r="AW2" s="3" t="b">
        <f>AND(AV2, NOT(AU2))</f>
        <v>0</v>
      </c>
      <c r="AX2" s="3" t="b">
        <f>AND(AG2, NOT(AU2))</f>
        <v>0</v>
      </c>
      <c r="AY2" s="3" t="str">
        <f>IF(T2, C2, "")</f>
      </c>
      <c r="AZ2" s="3" t="str">
        <f>IF(AK2, C2, "")</f>
      </c>
      <c r="BA2" s="3">
        <f>COUNTIFS(VerificationOutcomes!P2:P999, A2)</f>
        <v>0</v>
      </c>
      <c r="BB2" s="3">
        <f>COUNTIFS(VerificationOutcomes!Q2:Q999, A2)</f>
        <v>0</v>
      </c>
      <c r="BC2" s="3" t="b">
        <f>AND(AG2, OR(BA2 &gt; 0, AD2))</f>
        <v>0</v>
      </c>
      <c r="BD2" s="3">
        <f>COUNTIFS(ExceptionInvocations!C2:C999, A2)</f>
        <v>0</v>
      </c>
      <c r="BE2" s="3" t="b">
        <f>BD2 &gt; 0</f>
        <v>0</v>
      </c>
      <c r="BF2" s="3" t="b">
        <f>F2 = "Completed"</f>
        <v>1</v>
      </c>
      <c r="BG2" s="3" t="b">
        <f>I2 = "PASS"</f>
        <v>1</v>
      </c>
      <c r="BH2" s="3" t="b">
        <f>D2 = "policy-04"</f>
        <v>0</v>
      </c>
      <c r="BI2" s="3" t="str">
        <f>IF(AND(BH2, BG2), C2, "")</f>
      </c>
      <c r="BJ2" s="3" t="str">
        <f>_xlfn.IFNA(INDEX(Steps!G2:G999, MATCH(D2,Steps!A2:A999, 0)), "")</f>
        <v>close-automation</v>
      </c>
      <c r="BK2" s="3" t="str">
        <f>_xlfn.IFNA(INDEX(Roles!E2:E999, MATCH(BJ2,Roles!A2:A999, 0)), "")</f>
        <v>close-pipeline</v>
      </c>
      <c r="BL2" s="3" t="b">
        <f>E2 = BK2</f>
        <v>1</v>
      </c>
      <c r="BM2" s="3" t="b">
        <f>_xlfn.IFNA(INDEX(Steps!V2:V999, MATCH(D2,Steps!A2:A999, 0)), "")</f>
        <v>1</v>
      </c>
      <c r="BN2" s="3" t="b">
        <f>AND(F2 = "Completed", NOT(BM2))</f>
        <v>0</v>
      </c>
      <c r="BO2" s="3">
        <f>COUNTIFS(IssueOccurrences!K2:K999, A2)</f>
        <v>0</v>
      </c>
      <c r="BP2" s="3" t="b">
        <f>J2 &lt;&gt; ""</f>
        <v>0</v>
      </c>
      <c r="BQ2" s="3" t="e">
        <f>AND(I2 = "PASS", NOT(BP2), BO2 = 0, NOT(M2))</f>
        <v>#NAME?</v>
      </c>
      <c r="BR2" s="3" t="e">
        <f>IF(BQ2, "", C2)</f>
        <v>#NAME?</v>
      </c>
      <c r="BS2" s="3">
        <f>COUNTIFS(RequirementSatisfactions!U2:U999, A2)</f>
        <v>1</v>
      </c>
      <c r="BT2" s="5">
        <f>_xlfn.IFNA(INDEX(Steps!N2:N999, MATCH(D2,Steps!A2:A999, 0)), "")</f>
        <v>1</v>
      </c>
      <c r="BU2" s="3" t="b">
        <f>BS2 &lt; BT2</f>
        <v>0</v>
      </c>
      <c r="BV2" s="3" t="str">
        <f>_xlfn.IFNA(INDEX(Agents!D2:D999, MATCH(E2,Agents!A2:A999, 0)), "")</f>
        <v>AutomatedPipeline</v>
      </c>
      <c r="BW2" s="3" t="b">
        <f>OR(BV2 = "AIAgent", BV2 = "AutomatedPipeline")</f>
        <v>1</v>
      </c>
      <c r="BX2" s="3" t="b">
        <f>_xlfn.IFNA(INDEX(Steps!W2:W999, MATCH(D2,Steps!A2:A999, 0)), "")</f>
        <v>1</v>
      </c>
      <c r="BY2" s="3" t="b">
        <f>AND(BW2, NOT(BX2))</f>
        <v>0</v>
      </c>
      <c r="BZ2" s="3" t="b">
        <f>_xlfn.IFNA(INDEX(Steps!X2:X999, MATCH(D2,Steps!A2:A999, 0)), "")</f>
        <v>0</v>
      </c>
      <c r="CA2" s="3" t="b">
        <f>AND(I2 &lt;&gt; "", I2 &lt;&gt; "PENDING", I2 &lt;&gt; "FAIL")</f>
        <v>1</v>
      </c>
      <c r="CB2" s="3">
        <f>COUNTIFS(AgentDecisionRecords!AA2:AA999, A2)</f>
        <v>0</v>
      </c>
      <c r="CC2" s="3" t="b">
        <f>_xlfn.IFNA(INDEX(Steps!M2:M999, MATCH(D2,Steps!A2:A999, 0)), "")</f>
        <v>0</v>
      </c>
      <c r="CD2" s="3" t="b">
        <f>AND(CC2, CB2 &gt; 0)</f>
        <v>0</v>
      </c>
      <c r="CE2" s="3" t="b">
        <f>AND(F2 = "Completed", NOT(CF2))</f>
        <v>0</v>
      </c>
      <c r="CF2" s="3" t="b">
        <f>_xlfn.IFNA(INDEX(Steps!AC2:AC999, MATCH(D2,Steps!A2:A999, 0)), "")</f>
        <v>1</v>
      </c>
      <c r="CG2" s="3" t="str">
        <f>IF(BW2, D2, "")</f>
        <v>close-01</v>
      </c>
      <c r="CH2" s="3" t="str">
        <f>_xlfn.IFNA(INDEX(Steps!AD2:AD999, MATCH(D2,Steps!A2:A999, 0)), "")</f>
        <v>Extraction</v>
      </c>
      <c r="CI2" s="3">
        <f>COUNTIFS(RequirementSatisfactions!AC2:AC999, A2)</f>
        <v>1</v>
      </c>
      <c r="CJ2" s="3" t="b">
        <f>AND(R2 &gt; 0, CI2 &gt;= R2)</f>
        <v>1</v>
      </c>
      <c r="CK2" s="3">
        <f>COUNTIFS(BindingObservations!K2:K999, A2)</f>
        <v>0</v>
      </c>
      <c r="CL2" s="3" t="b">
        <f>CK2 &gt; 0</f>
        <v>0</v>
      </c>
      <c r="CM2" s="3" t="b">
        <f>NOT(CL2 = V2)</f>
        <v>0</v>
      </c>
      <c r="CN2" s="3" t="b">
        <f>OR(AA2 &gt; 0, Q2 &gt; 0)</f>
        <v>1</v>
      </c>
      <c r="CO2" s="3">
        <f>AB2 + R2</f>
        <v>2</v>
      </c>
      <c r="CP2" s="3">
        <f>AA2 + Q2</f>
        <v>2</v>
      </c>
      <c r="CQ2" s="3" t="b">
        <f>CP2 = 0</f>
        <v>0</v>
      </c>
      <c r="CR2" s="3" t="e">
        <f>AND(BQ2, CQ2)</f>
        <v>#NAME?</v>
      </c>
      <c r="CS2" s="3" t="e">
        <f>AND(BQ2, CO2 &gt;= CP2, CP2 &gt; 0)</f>
        <v>#NAME?</v>
      </c>
      <c r="CT2" s="3" t="e">
        <f>IF(CR2, C2, "")</f>
        <v>#NAME?</v>
      </c>
      <c r="CU2" s="3">
        <f>COUNTIFS(VerificationOutcomes!T2:T999, A2)</f>
        <v>0</v>
      </c>
      <c r="CV2" s="3" t="b">
        <f>AND(AB2 &gt; 0, CU2 &gt;= AB2)</f>
        <v>0</v>
      </c>
      <c r="CW2" s="3" t="str">
        <f>IF(AF2, C2, "")</f>
      </c>
      <c r="CX2" s="3" t="str">
        <f>IF(AG2, C2, "")</f>
      </c>
      <c r="CY2" s="3" t="b">
        <f>OR(BE2, CZ2)</f>
        <v>1</v>
      </c>
      <c r="CZ2" s="3" t="b">
        <f>_xlfn.IFNA(INDEX(ProcedureVersions!CB2:CB999, MATCH(DA2,ProcedureVersions!A2:A999, 0)), "")</f>
        <v>1</v>
      </c>
      <c r="DA2" s="3" t="str">
        <f>_xlfn.IFNA(INDEX(Steps!C2:C999, MATCH(D2,Steps!A2:A999, 0)), "")</f>
        <v>close-v1.1.0</v>
      </c>
      <c r="DB2" s="3" t="e">
        <f>AND(OR(BP2, M2, P2), NOT(CY2))</f>
        <v>#NAME?</v>
      </c>
      <c r="DC2" s="3" t="e">
        <f>IF(DB2, C2, "")</f>
        <v>#NAME?</v>
      </c>
      <c r="DD2" s="3" t="str">
        <f>IF(BC2, C2, "")</f>
      </c>
      <c r="DE2" s="2" t="s">
        <v>1429</v>
      </c>
    </row>
    <row r="3">
      <c r="A3" s="2" t="s">
        <v>1430</v>
      </c>
      <c r="B3" s="3" t="str">
        <f>C3 &amp; " / " &amp; D3</f>
        <v>exec-close-2026-q2 / close-02</v>
      </c>
      <c r="C3" s="2" t="s">
        <v>1319</v>
      </c>
      <c r="D3" s="2" t="s">
        <v>543</v>
      </c>
      <c r="E3" s="2" t="s">
        <v>165</v>
      </c>
      <c r="F3" s="2" t="s">
        <v>1320</v>
      </c>
      <c r="G3" s="4">
        <v>46203.919444444444</v>
      </c>
      <c r="H3" s="4">
        <v>46203.92916666667</v>
      </c>
      <c r="I3" s="2" t="s">
        <v>1431</v>
      </c>
      <c r="J3" s="2" t="s">
        <v>1432</v>
      </c>
      <c r="K3" s="5" t="e">
        <f>IF(H3 = "", 0, DATETIME_DIFF(H3, G3, "minutes"))</f>
        <v>#NAME?</v>
      </c>
      <c r="L3" s="5">
        <f>_xlfn.IFNA(INDEX(Steps!K2:K999, MATCH(D3,Steps!A2:A999, 0)), "")</f>
        <v>10</v>
      </c>
      <c r="M3" s="3" t="e">
        <f>K3 &gt; L3</f>
        <v>#NAME?</v>
      </c>
      <c r="N3" s="3">
        <f>COUNTIFS(RequirementSatisfactions!C2:C999, A3,RequirementSatisfactions!K2:K999, TRUE)</f>
        <v>0</v>
      </c>
      <c r="O3" s="3">
        <f>COUNTIFS(RequirementSatisfactions!L2:L999, A3)</f>
        <v>0</v>
      </c>
      <c r="P3" s="3" t="b">
        <f>AND(F3 = "Completed", O3 &gt; 0)</f>
        <v>0</v>
      </c>
      <c r="Q3" s="3">
        <f>_xlfn.IFNA(INDEX(Steps!N2:N999, MATCH(D3,Steps!A2:A999, 0)), "")</f>
        <v>0</v>
      </c>
      <c r="R3" s="3">
        <f>COUNTIFS(RequirementSatisfactions!M2:M999, A3)</f>
        <v>0</v>
      </c>
      <c r="S3" s="3">
        <f>Q3 - R3</f>
        <v>0</v>
      </c>
      <c r="T3" s="3" t="b">
        <f>S3 &gt; 0</f>
        <v>0</v>
      </c>
      <c r="U3" s="3">
        <f>_xlfn.IFNA(INDEX(Steps!P2:P999, MATCH(D3,Steps!A2:A999, 0)), "")</f>
        <v>0</v>
      </c>
      <c r="V3" s="3" t="b">
        <f>U3 &gt; 0</f>
        <v>0</v>
      </c>
      <c r="W3" s="3" t="b">
        <f>J3 &lt;&gt; ""</f>
        <v>1</v>
      </c>
      <c r="X3" s="3" t="e">
        <f>AND(M3, NOT(W3))</f>
        <v>#NAME?</v>
      </c>
      <c r="Y3" s="3">
        <f>_xlfn.IFNA(INDEX(Steps!Q2:Q999, MATCH(D3,Steps!A2:A999, 0)), "")</f>
        <v>1</v>
      </c>
      <c r="Z3" s="3" t="e">
        <f>AND(X3, Y3 &gt; 0)</f>
        <v>#NAME?</v>
      </c>
      <c r="AA3" s="3">
        <f>_xlfn.IFNA(INDEX(Steps!R2:R999, MATCH(D3,Steps!A2:A999, 0)), "")</f>
        <v>1</v>
      </c>
      <c r="AB3" s="3">
        <f>COUNTIFS(VerificationOutcomes!C2:C999, A3)</f>
        <v>1</v>
      </c>
      <c r="AC3" s="3">
        <f>AA3 - AB3</f>
        <v>0</v>
      </c>
      <c r="AD3" s="3" t="b">
        <f>AC3 &gt; 0</f>
        <v>0</v>
      </c>
      <c r="AE3" s="3" t="b">
        <f>AND(I3 = "PASS", AD3)</f>
        <v>0</v>
      </c>
      <c r="AF3" s="3" t="b">
        <f>_xlfn.IFNA(INDEX(Steps!S2:S999, MATCH(D3,Steps!A2:A999, 0)), "")</f>
        <v>0</v>
      </c>
      <c r="AG3" s="3" t="b">
        <f>_xlfn.IFNA(INDEX(Steps!T2:T999, MATCH(D3,Steps!A2:A999, 0)), "")</f>
        <v>0</v>
      </c>
      <c r="AH3" s="3" t="str">
        <f>IF(AF3, C3 &amp; "|" &amp; E3, "")</f>
      </c>
      <c r="AI3" s="3" t="str">
        <f>IF(AG3, C3 &amp; "|" &amp; E3, "")</f>
      </c>
      <c r="AJ3" s="3">
        <f>COUNTIFS(AH2:AH999, AI3)</f>
        <v>10</v>
      </c>
      <c r="AK3" s="3" t="b">
        <f>AND(AG3, AJ3 &gt; 0)</f>
        <v>0</v>
      </c>
      <c r="AL3" s="3" t="str">
        <f>_xlfn.IFNA(INDEX(Steps!G2:G999, MATCH(D3,Steps!A2:A999, 0)), "")</f>
        <v>close-automation</v>
      </c>
      <c r="AM3" s="3" t="str">
        <f>E3 &amp; "|" &amp; AL3</f>
        <v>close-pipeline|close-automation</v>
      </c>
      <c r="AN3" s="3">
        <f>COUNTIFS(RoleAssignments!N2:N999, AM3)</f>
        <v>1</v>
      </c>
      <c r="AO3" s="3" t="b">
        <f>AN3 &gt; 0</f>
        <v>1</v>
      </c>
      <c r="AP3" s="3" t="b">
        <f>AND(AG3, NOT(AO3))</f>
        <v>0</v>
      </c>
      <c r="AQ3" s="3" t="str">
        <f>IF(F3 = "Completed", C3, "")</f>
        <v>exec-close-2026-q2</v>
      </c>
      <c r="AR3" s="3" t="str">
        <f>IF(OR(P3, AK3, AP3, AE3), C3, "")</f>
      </c>
      <c r="AS3" s="3" t="e">
        <f>IF(M3, C3, "")</f>
        <v>#NAME?</v>
      </c>
      <c r="AT3" s="3" t="str">
        <f>_xlfn.IFNA(INDEX(Agents!D2:D999, MATCH(E3,Agents!A2:A999, 0)), "")</f>
        <v>AutomatedPipeline</v>
      </c>
      <c r="AU3" s="3" t="b">
        <f>AT3 = "Human"</f>
        <v>0</v>
      </c>
      <c r="AV3" s="3" t="b">
        <f>_xlfn.IFNA(INDEX(Steps!M2:M999, MATCH(D3,Steps!A2:A999, 0)), "")</f>
        <v>0</v>
      </c>
      <c r="AW3" s="3" t="b">
        <f>AND(AV3, NOT(AU3))</f>
        <v>0</v>
      </c>
      <c r="AX3" s="3" t="b">
        <f>AND(AG3, NOT(AU3))</f>
        <v>0</v>
      </c>
      <c r="AY3" s="3" t="str">
        <f>IF(T3, C3, "")</f>
      </c>
      <c r="AZ3" s="3" t="str">
        <f>IF(AK3, C3, "")</f>
      </c>
      <c r="BA3" s="3">
        <f>COUNTIFS(VerificationOutcomes!P2:P999, A3)</f>
        <v>1</v>
      </c>
      <c r="BB3" s="3">
        <f>COUNTIFS(VerificationOutcomes!Q2:Q999, A3)</f>
        <v>0</v>
      </c>
      <c r="BC3" s="3" t="b">
        <f>AND(AG3, OR(BA3 &gt; 0, AD3))</f>
        <v>0</v>
      </c>
      <c r="BD3" s="3">
        <f>COUNTIFS(ExceptionInvocations!C2:C999, A3)</f>
        <v>1</v>
      </c>
      <c r="BE3" s="3" t="b">
        <f>BD3 &gt; 0</f>
        <v>1</v>
      </c>
      <c r="BF3" s="3" t="b">
        <f>F3 = "Completed"</f>
        <v>1</v>
      </c>
      <c r="BG3" s="3" t="b">
        <f>I3 = "PASS"</f>
        <v>0</v>
      </c>
      <c r="BH3" s="3" t="b">
        <f>D3 = "policy-04"</f>
        <v>0</v>
      </c>
      <c r="BI3" s="3" t="str">
        <f>IF(AND(BH3, BG3), C3, "")</f>
      </c>
      <c r="BJ3" s="3" t="str">
        <f>_xlfn.IFNA(INDEX(Steps!G2:G999, MATCH(D3,Steps!A2:A999, 0)), "")</f>
        <v>close-automation</v>
      </c>
      <c r="BK3" s="3" t="str">
        <f>_xlfn.IFNA(INDEX(Roles!E2:E999, MATCH(BJ3,Roles!A2:A999, 0)), "")</f>
        <v>close-pipeline</v>
      </c>
      <c r="BL3" s="3" t="b">
        <f>E3 = BK3</f>
        <v>1</v>
      </c>
      <c r="BM3" s="3" t="b">
        <f>_xlfn.IFNA(INDEX(Steps!V2:V999, MATCH(D3,Steps!A2:A999, 0)), "")</f>
        <v>1</v>
      </c>
      <c r="BN3" s="3" t="b">
        <f>AND(F3 = "Completed", NOT(BM3))</f>
        <v>0</v>
      </c>
      <c r="BO3" s="3">
        <f>COUNTIFS(IssueOccurrences!K2:K999, A3)</f>
        <v>0</v>
      </c>
      <c r="BP3" s="3" t="b">
        <f>J3 &lt;&gt; ""</f>
        <v>1</v>
      </c>
      <c r="BQ3" s="3" t="e">
        <f>AND(I3 = "PASS", NOT(BP3), BO3 = 0, NOT(M3))</f>
        <v>#NAME?</v>
      </c>
      <c r="BR3" s="3" t="e">
        <f>IF(BQ3, "", C3)</f>
        <v>#NAME?</v>
      </c>
      <c r="BS3" s="3">
        <f>COUNTIFS(RequirementSatisfactions!U2:U999, A3)</f>
        <v>0</v>
      </c>
      <c r="BT3" s="5">
        <f>_xlfn.IFNA(INDEX(Steps!N2:N999, MATCH(D3,Steps!A2:A999, 0)), "")</f>
        <v>0</v>
      </c>
      <c r="BU3" s="3" t="b">
        <f>BS3 &lt; BT3</f>
        <v>0</v>
      </c>
      <c r="BV3" s="3" t="str">
        <f>_xlfn.IFNA(INDEX(Agents!D2:D999, MATCH(E3,Agents!A2:A999, 0)), "")</f>
        <v>AutomatedPipeline</v>
      </c>
      <c r="BW3" s="3" t="b">
        <f>OR(BV3 = "AIAgent", BV3 = "AutomatedPipeline")</f>
        <v>1</v>
      </c>
      <c r="BX3" s="3" t="b">
        <f>_xlfn.IFNA(INDEX(Steps!W2:W999, MATCH(D3,Steps!A2:A999, 0)), "")</f>
        <v>1</v>
      </c>
      <c r="BY3" s="3" t="b">
        <f>AND(BW3, NOT(BX3))</f>
        <v>0</v>
      </c>
      <c r="BZ3" s="3" t="b">
        <f>_xlfn.IFNA(INDEX(Steps!X2:X999, MATCH(D3,Steps!A2:A999, 0)), "")</f>
        <v>0</v>
      </c>
      <c r="CA3" s="3" t="b">
        <f>AND(I3 &lt;&gt; "", I3 &lt;&gt; "PENDING", I3 &lt;&gt; "FAIL")</f>
        <v>1</v>
      </c>
      <c r="CB3" s="3">
        <f>COUNTIFS(AgentDecisionRecords!AA2:AA999, A3)</f>
        <v>0</v>
      </c>
      <c r="CC3" s="3" t="b">
        <f>_xlfn.IFNA(INDEX(Steps!M2:M999, MATCH(D3,Steps!A2:A999, 0)), "")</f>
        <v>0</v>
      </c>
      <c r="CD3" s="3" t="b">
        <f>AND(CC3, CB3 &gt; 0)</f>
        <v>0</v>
      </c>
      <c r="CE3" s="3" t="b">
        <f>AND(F3 = "Completed", NOT(CF3))</f>
        <v>0</v>
      </c>
      <c r="CF3" s="3" t="b">
        <f>_xlfn.IFNA(INDEX(Steps!AC2:AC999, MATCH(D3,Steps!A2:A999, 0)), "")</f>
        <v>1</v>
      </c>
      <c r="CG3" s="3" t="str">
        <f>IF(BW3, D3, "")</f>
        <v>close-02</v>
      </c>
      <c r="CH3" s="3" t="str">
        <f>_xlfn.IFNA(INDEX(Steps!AD2:AD999, MATCH(D3,Steps!A2:A999, 0)), "")</f>
        <v>Extraction</v>
      </c>
      <c r="CI3" s="3">
        <f>COUNTIFS(RequirementSatisfactions!AC2:AC999, A3)</f>
        <v>0</v>
      </c>
      <c r="CJ3" s="3" t="b">
        <f>AND(R3 &gt; 0, CI3 &gt;= R3)</f>
        <v>0</v>
      </c>
      <c r="CK3" s="3">
        <f>COUNTIFS(BindingObservations!K2:K999, A3)</f>
        <v>0</v>
      </c>
      <c r="CL3" s="3" t="b">
        <f>CK3 &gt; 0</f>
        <v>0</v>
      </c>
      <c r="CM3" s="3" t="b">
        <f>NOT(CL3 = V3)</f>
        <v>0</v>
      </c>
      <c r="CN3" s="3" t="b">
        <f>OR(AA3 &gt; 0, Q3 &gt; 0)</f>
        <v>1</v>
      </c>
      <c r="CO3" s="3">
        <f>AB3 + R3</f>
        <v>1</v>
      </c>
      <c r="CP3" s="3">
        <f>AA3 + Q3</f>
        <v>1</v>
      </c>
      <c r="CQ3" s="3" t="b">
        <f>CP3 = 0</f>
        <v>0</v>
      </c>
      <c r="CR3" s="3" t="e">
        <f>AND(BQ3, CQ3)</f>
        <v>#NAME?</v>
      </c>
      <c r="CS3" s="3" t="e">
        <f>AND(BQ3, CO3 &gt;= CP3, CP3 &gt; 0)</f>
        <v>#NAME?</v>
      </c>
      <c r="CT3" s="3" t="e">
        <f>IF(CR3, C3, "")</f>
        <v>#NAME?</v>
      </c>
      <c r="CU3" s="3">
        <f>COUNTIFS(VerificationOutcomes!T2:T999, A3)</f>
        <v>0</v>
      </c>
      <c r="CV3" s="3" t="b">
        <f>AND(AB3 &gt; 0, CU3 &gt;= AB3)</f>
        <v>0</v>
      </c>
      <c r="CW3" s="3" t="str">
        <f>IF(AF3, C3, "")</f>
      </c>
      <c r="CX3" s="3" t="str">
        <f>IF(AG3, C3, "")</f>
      </c>
      <c r="CY3" s="3" t="b">
        <f>OR(BE3, CZ3)</f>
        <v>1</v>
      </c>
      <c r="CZ3" s="3" t="b">
        <f>_xlfn.IFNA(INDEX(ProcedureVersions!CB2:CB999, MATCH(DA3,ProcedureVersions!A2:A999, 0)), "")</f>
        <v>1</v>
      </c>
      <c r="DA3" s="3" t="str">
        <f>_xlfn.IFNA(INDEX(Steps!C2:C999, MATCH(D3,Steps!A2:A999, 0)), "")</f>
        <v>close-v1.1.0</v>
      </c>
      <c r="DB3" s="3" t="e">
        <f>AND(OR(BP3, M3, P3), NOT(CY3))</f>
        <v>#NAME?</v>
      </c>
      <c r="DC3" s="3" t="e">
        <f>IF(DB3, C3, "")</f>
        <v>#NAME?</v>
      </c>
      <c r="DD3" s="3" t="str">
        <f>IF(BC3, C3, "")</f>
      </c>
      <c r="DE3" s="2" t="s">
        <v>1429</v>
      </c>
    </row>
    <row r="4">
      <c r="A4" s="2" t="s">
        <v>1433</v>
      </c>
      <c r="B4" s="3" t="str">
        <f>C4 &amp; " / " &amp; D4</f>
        <v>exec-close-2026-q2 / close-03</v>
      </c>
      <c r="C4" s="2" t="s">
        <v>1319</v>
      </c>
      <c r="D4" s="2" t="s">
        <v>547</v>
      </c>
      <c r="E4" s="2" t="s">
        <v>139</v>
      </c>
      <c r="F4" s="2" t="s">
        <v>1320</v>
      </c>
      <c r="G4" s="4">
        <v>46203.92916666667</v>
      </c>
      <c r="H4" s="4">
        <v>46204.71875</v>
      </c>
      <c r="I4" s="2" t="s">
        <v>1428</v>
      </c>
      <c r="J4" s="2" t="s">
        <v>168</v>
      </c>
      <c r="K4" s="5" t="e">
        <f>IF(H4 = "", 0, DATETIME_DIFF(H4, G4, "minutes"))</f>
        <v>#NAME?</v>
      </c>
      <c r="L4" s="5">
        <f>_xlfn.IFNA(INDEX(Steps!K2:K999, MATCH(D4,Steps!A2:A999, 0)), "")</f>
        <v>120</v>
      </c>
      <c r="M4" s="3" t="e">
        <f>K4 &gt; L4</f>
        <v>#NAME?</v>
      </c>
      <c r="N4" s="3">
        <f>COUNTIFS(RequirementSatisfactions!C2:C999, A4,RequirementSatisfactions!K2:K999, TRUE)</f>
        <v>1</v>
      </c>
      <c r="O4" s="3">
        <f>COUNTIFS(RequirementSatisfactions!L2:L999, A4)</f>
        <v>1</v>
      </c>
      <c r="P4" s="3" t="b">
        <f>AND(F4 = "Completed", O4 &gt; 0)</f>
        <v>1</v>
      </c>
      <c r="Q4" s="3">
        <f>_xlfn.IFNA(INDEX(Steps!N2:N999, MATCH(D4,Steps!A2:A999, 0)), "")</f>
        <v>2</v>
      </c>
      <c r="R4" s="3">
        <f>COUNTIFS(RequirementSatisfactions!M2:M999, A4)</f>
        <v>2</v>
      </c>
      <c r="S4" s="3">
        <f>Q4 - R4</f>
        <v>0</v>
      </c>
      <c r="T4" s="3" t="b">
        <f>S4 &gt; 0</f>
        <v>0</v>
      </c>
      <c r="U4" s="3">
        <f>_xlfn.IFNA(INDEX(Steps!P2:P999, MATCH(D4,Steps!A2:A999, 0)), "")</f>
        <v>0</v>
      </c>
      <c r="V4" s="3" t="b">
        <f>U4 &gt; 0</f>
        <v>0</v>
      </c>
      <c r="W4" s="3" t="b">
        <f>J4 &lt;&gt; ""</f>
        <v>0</v>
      </c>
      <c r="X4" s="3" t="e">
        <f>AND(M4, NOT(W4))</f>
        <v>#NAME?</v>
      </c>
      <c r="Y4" s="3">
        <f>_xlfn.IFNA(INDEX(Steps!Q2:Q999, MATCH(D4,Steps!A2:A999, 0)), "")</f>
        <v>0</v>
      </c>
      <c r="Z4" s="3" t="e">
        <f>AND(X4, Y4 &gt; 0)</f>
        <v>#NAME?</v>
      </c>
      <c r="AA4" s="3">
        <f>_xlfn.IFNA(INDEX(Steps!R2:R999, MATCH(D4,Steps!A2:A999, 0)), "")</f>
        <v>1</v>
      </c>
      <c r="AB4" s="3">
        <f>COUNTIFS(VerificationOutcomes!C2:C999, A4)</f>
        <v>1</v>
      </c>
      <c r="AC4" s="3">
        <f>AA4 - AB4</f>
        <v>0</v>
      </c>
      <c r="AD4" s="3" t="b">
        <f>AC4 &gt; 0</f>
        <v>0</v>
      </c>
      <c r="AE4" s="3" t="b">
        <f>AND(I4 = "PASS", AD4)</f>
        <v>0</v>
      </c>
      <c r="AF4" s="3" t="b">
        <f>_xlfn.IFNA(INDEX(Steps!S2:S999, MATCH(D4,Steps!A2:A999, 0)), "")</f>
        <v>1</v>
      </c>
      <c r="AG4" s="3" t="b">
        <f>_xlfn.IFNA(INDEX(Steps!T2:T999, MATCH(D4,Steps!A2:A999, 0)), "")</f>
        <v>0</v>
      </c>
      <c r="AH4" s="3" t="str">
        <f>IF(AF4, C4 &amp; "|" &amp; E4, "")</f>
        <v>exec-close-2026-q2|maria-chen</v>
      </c>
      <c r="AI4" s="3" t="str">
        <f>IF(AG4, C4 &amp; "|" &amp; E4, "")</f>
      </c>
      <c r="AJ4" s="3">
        <f>COUNTIFS(AH2:AH999, AI4)</f>
        <v>10</v>
      </c>
      <c r="AK4" s="3" t="b">
        <f>AND(AG4, AJ4 &gt; 0)</f>
        <v>0</v>
      </c>
      <c r="AL4" s="3" t="str">
        <f>_xlfn.IFNA(INDEX(Steps!G2:G999, MATCH(D4,Steps!A2:A999, 0)), "")</f>
        <v>finance-analyst</v>
      </c>
      <c r="AM4" s="3" t="str">
        <f>E4 &amp; "|" &amp; AL4</f>
        <v>maria-chen|finance-analyst</v>
      </c>
      <c r="AN4" s="3">
        <f>COUNTIFS(RoleAssignments!N2:N999, AM4)</f>
        <v>1</v>
      </c>
      <c r="AO4" s="3" t="b">
        <f>AN4 &gt; 0</f>
        <v>1</v>
      </c>
      <c r="AP4" s="3" t="b">
        <f>AND(AG4, NOT(AO4))</f>
        <v>0</v>
      </c>
      <c r="AQ4" s="3" t="str">
        <f>IF(F4 = "Completed", C4, "")</f>
        <v>exec-close-2026-q2</v>
      </c>
      <c r="AR4" s="3" t="str">
        <f>IF(OR(P4, AK4, AP4, AE4), C4, "")</f>
        <v>exec-close-2026-q2</v>
      </c>
      <c r="AS4" s="3" t="e">
        <f>IF(M4, C4, "")</f>
        <v>#NAME?</v>
      </c>
      <c r="AT4" s="3" t="str">
        <f>_xlfn.IFNA(INDEX(Agents!D2:D999, MATCH(E4,Agents!A2:A999, 0)), "")</f>
        <v>Human</v>
      </c>
      <c r="AU4" s="3" t="b">
        <f>AT4 = "Human"</f>
        <v>1</v>
      </c>
      <c r="AV4" s="3" t="b">
        <f>_xlfn.IFNA(INDEX(Steps!M2:M999, MATCH(D4,Steps!A2:A999, 0)), "")</f>
        <v>0</v>
      </c>
      <c r="AW4" s="3" t="b">
        <f>AND(AV4, NOT(AU4))</f>
        <v>0</v>
      </c>
      <c r="AX4" s="3" t="b">
        <f>AND(AG4, NOT(AU4))</f>
        <v>0</v>
      </c>
      <c r="AY4" s="3" t="str">
        <f>IF(T4, C4, "")</f>
      </c>
      <c r="AZ4" s="3" t="str">
        <f>IF(AK4, C4, "")</f>
      </c>
      <c r="BA4" s="3">
        <f>COUNTIFS(VerificationOutcomes!P2:P999, A4)</f>
        <v>1</v>
      </c>
      <c r="BB4" s="3">
        <f>COUNTIFS(VerificationOutcomes!Q2:Q999, A4)</f>
        <v>1</v>
      </c>
      <c r="BC4" s="3" t="b">
        <f>AND(AG4, OR(BA4 &gt; 0, AD4))</f>
        <v>0</v>
      </c>
      <c r="BD4" s="3">
        <f>COUNTIFS(ExceptionInvocations!C2:C999, A4)</f>
        <v>0</v>
      </c>
      <c r="BE4" s="3" t="b">
        <f>BD4 &gt; 0</f>
        <v>0</v>
      </c>
      <c r="BF4" s="3" t="b">
        <f>F4 = "Completed"</f>
        <v>1</v>
      </c>
      <c r="BG4" s="3" t="b">
        <f>I4 = "PASS"</f>
        <v>1</v>
      </c>
      <c r="BH4" s="3" t="b">
        <f>D4 = "policy-04"</f>
        <v>0</v>
      </c>
      <c r="BI4" s="3" t="str">
        <f>IF(AND(BH4, BG4), C4, "")</f>
      </c>
      <c r="BJ4" s="3" t="str">
        <f>_xlfn.IFNA(INDEX(Steps!G2:G999, MATCH(D4,Steps!A2:A999, 0)), "")</f>
        <v>finance-analyst</v>
      </c>
      <c r="BK4" s="3" t="str">
        <f>_xlfn.IFNA(INDEX(Roles!E2:E999, MATCH(BJ4,Roles!A2:A999, 0)), "")</f>
        <v>maria-chen</v>
      </c>
      <c r="BL4" s="3" t="b">
        <f>E4 = BK4</f>
        <v>1</v>
      </c>
      <c r="BM4" s="3" t="b">
        <f>_xlfn.IFNA(INDEX(Steps!V2:V999, MATCH(D4,Steps!A2:A999, 0)), "")</f>
        <v>1</v>
      </c>
      <c r="BN4" s="3" t="b">
        <f>AND(F4 = "Completed", NOT(BM4))</f>
        <v>0</v>
      </c>
      <c r="BO4" s="3">
        <f>COUNTIFS(IssueOccurrences!K2:K999, A4)</f>
        <v>0</v>
      </c>
      <c r="BP4" s="3" t="b">
        <f>J4 &lt;&gt; ""</f>
        <v>0</v>
      </c>
      <c r="BQ4" s="3" t="e">
        <f>AND(I4 = "PASS", NOT(BP4), BO4 = 0, NOT(M4))</f>
        <v>#NAME?</v>
      </c>
      <c r="BR4" s="3" t="e">
        <f>IF(BQ4, "", C4)</f>
        <v>#NAME?</v>
      </c>
      <c r="BS4" s="3">
        <f>COUNTIFS(RequirementSatisfactions!U2:U999, A4)</f>
        <v>2</v>
      </c>
      <c r="BT4" s="5">
        <f>_xlfn.IFNA(INDEX(Steps!N2:N999, MATCH(D4,Steps!A2:A999, 0)), "")</f>
        <v>2</v>
      </c>
      <c r="BU4" s="3" t="b">
        <f>BS4 &lt; BT4</f>
        <v>0</v>
      </c>
      <c r="BV4" s="3" t="str">
        <f>_xlfn.IFNA(INDEX(Agents!D2:D999, MATCH(E4,Agents!A2:A999, 0)), "")</f>
        <v>Human</v>
      </c>
      <c r="BW4" s="3" t="b">
        <f>OR(BV4 = "AIAgent", BV4 = "AutomatedPipeline")</f>
        <v>0</v>
      </c>
      <c r="BX4" s="3" t="b">
        <f>_xlfn.IFNA(INDEX(Steps!W2:W999, MATCH(D4,Steps!A2:A999, 0)), "")</f>
        <v>0</v>
      </c>
      <c r="BY4" s="3" t="b">
        <f>AND(BW4, NOT(BX4))</f>
        <v>0</v>
      </c>
      <c r="BZ4" s="3" t="b">
        <f>_xlfn.IFNA(INDEX(Steps!X2:X999, MATCH(D4,Steps!A2:A999, 0)), "")</f>
        <v>0</v>
      </c>
      <c r="CA4" s="3" t="b">
        <f>AND(I4 &lt;&gt; "", I4 &lt;&gt; "PENDING", I4 &lt;&gt; "FAIL")</f>
        <v>1</v>
      </c>
      <c r="CB4" s="3">
        <f>COUNTIFS(AgentDecisionRecords!AA2:AA999, A4)</f>
        <v>0</v>
      </c>
      <c r="CC4" s="3" t="b">
        <f>_xlfn.IFNA(INDEX(Steps!M2:M999, MATCH(D4,Steps!A2:A999, 0)), "")</f>
        <v>0</v>
      </c>
      <c r="CD4" s="3" t="b">
        <f>AND(CC4, CB4 &gt; 0)</f>
        <v>0</v>
      </c>
      <c r="CE4" s="3" t="b">
        <f>AND(F4 = "Completed", NOT(CF4))</f>
        <v>0</v>
      </c>
      <c r="CF4" s="3" t="b">
        <f>_xlfn.IFNA(INDEX(Steps!AC2:AC999, MATCH(D4,Steps!A2:A999, 0)), "")</f>
        <v>1</v>
      </c>
      <c r="CG4" s="3" t="str">
        <f>IF(BW4, D4, "")</f>
      </c>
      <c r="CH4" s="3" t="str">
        <f>_xlfn.IFNA(INDEX(Steps!AD2:AD999, MATCH(D4,Steps!A2:A999, 0)), "")</f>
        <v>Preparation</v>
      </c>
      <c r="CI4" s="3">
        <f>COUNTIFS(RequirementSatisfactions!AC2:AC999, A4)</f>
        <v>1</v>
      </c>
      <c r="CJ4" s="3" t="b">
        <f>AND(R4 &gt; 0, CI4 &gt;= R4)</f>
        <v>0</v>
      </c>
      <c r="CK4" s="3">
        <f>COUNTIFS(BindingObservations!K2:K999, A4)</f>
        <v>0</v>
      </c>
      <c r="CL4" s="3" t="b">
        <f>CK4 &gt; 0</f>
        <v>0</v>
      </c>
      <c r="CM4" s="3" t="b">
        <f>NOT(CL4 = V4)</f>
        <v>0</v>
      </c>
      <c r="CN4" s="3" t="b">
        <f>OR(AA4 &gt; 0, Q4 &gt; 0)</f>
        <v>1</v>
      </c>
      <c r="CO4" s="3">
        <f>AB4 + R4</f>
        <v>3</v>
      </c>
      <c r="CP4" s="3">
        <f>AA4 + Q4</f>
        <v>3</v>
      </c>
      <c r="CQ4" s="3" t="b">
        <f>CP4 = 0</f>
        <v>0</v>
      </c>
      <c r="CR4" s="3" t="e">
        <f>AND(BQ4, CQ4)</f>
        <v>#NAME?</v>
      </c>
      <c r="CS4" s="3" t="e">
        <f>AND(BQ4, CO4 &gt;= CP4, CP4 &gt; 0)</f>
        <v>#NAME?</v>
      </c>
      <c r="CT4" s="3" t="e">
        <f>IF(CR4, C4, "")</f>
        <v>#NAME?</v>
      </c>
      <c r="CU4" s="3">
        <f>COUNTIFS(VerificationOutcomes!T2:T999, A4)</f>
        <v>1</v>
      </c>
      <c r="CV4" s="3" t="b">
        <f>AND(AB4 &gt; 0, CU4 &gt;= AB4)</f>
        <v>1</v>
      </c>
      <c r="CW4" s="3" t="str">
        <f>IF(AF4, C4, "")</f>
        <v>exec-close-2026-q2</v>
      </c>
      <c r="CX4" s="3" t="str">
        <f>IF(AG4, C4, "")</f>
      </c>
      <c r="CY4" s="3" t="b">
        <f>OR(BE4, CZ4)</f>
        <v>1</v>
      </c>
      <c r="CZ4" s="3" t="b">
        <f>_xlfn.IFNA(INDEX(ProcedureVersions!CB2:CB999, MATCH(DA4,ProcedureVersions!A2:A999, 0)), "")</f>
        <v>1</v>
      </c>
      <c r="DA4" s="3" t="str">
        <f>_xlfn.IFNA(INDEX(Steps!C2:C999, MATCH(D4,Steps!A2:A999, 0)), "")</f>
        <v>close-v1.1.0</v>
      </c>
      <c r="DB4" s="3" t="e">
        <f>AND(OR(BP4, M4, P4), NOT(CY4))</f>
        <v>#NAME?</v>
      </c>
      <c r="DC4" s="3" t="e">
        <f>IF(DB4, C4, "")</f>
        <v>#NAME?</v>
      </c>
      <c r="DD4" s="3" t="str">
        <f>IF(BC4, C4, "")</f>
      </c>
      <c r="DE4" s="2" t="s">
        <v>1429</v>
      </c>
    </row>
    <row r="5">
      <c r="A5" s="2" t="s">
        <v>1434</v>
      </c>
      <c r="B5" s="3" t="str">
        <f>C5 &amp; " / " &amp; D5</f>
        <v>exec-close-2026-q2 / close-04</v>
      </c>
      <c r="C5" s="2" t="s">
        <v>1319</v>
      </c>
      <c r="D5" s="2" t="s">
        <v>554</v>
      </c>
      <c r="E5" s="2" t="s">
        <v>171</v>
      </c>
      <c r="F5" s="2" t="s">
        <v>1320</v>
      </c>
      <c r="G5" s="4">
        <v>46204.71875</v>
      </c>
      <c r="H5" s="4">
        <v>46204.836805555555</v>
      </c>
      <c r="I5" s="2" t="s">
        <v>1428</v>
      </c>
      <c r="J5" s="2" t="s">
        <v>1435</v>
      </c>
      <c r="K5" s="5" t="e">
        <f>IF(H5 = "", 0, DATETIME_DIFF(H5, G5, "minutes"))</f>
        <v>#NAME?</v>
      </c>
      <c r="L5" s="5">
        <f>_xlfn.IFNA(INDEX(Steps!K2:K999, MATCH(D5,Steps!A2:A999, 0)), "")</f>
        <v>90</v>
      </c>
      <c r="M5" s="3" t="e">
        <f>K5 &gt; L5</f>
        <v>#NAME?</v>
      </c>
      <c r="N5" s="3">
        <f>COUNTIFS(RequirementSatisfactions!C2:C999, A5,RequirementSatisfactions!K2:K999, TRUE)</f>
        <v>0</v>
      </c>
      <c r="O5" s="3">
        <f>COUNTIFS(RequirementSatisfactions!L2:L999, A5)</f>
        <v>0</v>
      </c>
      <c r="P5" s="3" t="b">
        <f>AND(F5 = "Completed", O5 &gt; 0)</f>
        <v>0</v>
      </c>
      <c r="Q5" s="3">
        <f>_xlfn.IFNA(INDEX(Steps!N2:N999, MATCH(D5,Steps!A2:A999, 0)), "")</f>
        <v>0</v>
      </c>
      <c r="R5" s="3">
        <f>COUNTIFS(RequirementSatisfactions!M2:M999, A5)</f>
        <v>0</v>
      </c>
      <c r="S5" s="3">
        <f>Q5 - R5</f>
        <v>0</v>
      </c>
      <c r="T5" s="3" t="b">
        <f>S5 &gt; 0</f>
        <v>0</v>
      </c>
      <c r="U5" s="3">
        <f>_xlfn.IFNA(INDEX(Steps!P2:P999, MATCH(D5,Steps!A2:A999, 0)), "")</f>
        <v>0</v>
      </c>
      <c r="V5" s="3" t="b">
        <f>U5 &gt; 0</f>
        <v>0</v>
      </c>
      <c r="W5" s="3" t="b">
        <f>J5 &lt;&gt; ""</f>
        <v>1</v>
      </c>
      <c r="X5" s="3" t="e">
        <f>AND(M5, NOT(W5))</f>
        <v>#NAME?</v>
      </c>
      <c r="Y5" s="3">
        <f>_xlfn.IFNA(INDEX(Steps!Q2:Q999, MATCH(D5,Steps!A2:A999, 0)), "")</f>
        <v>0</v>
      </c>
      <c r="Z5" s="3" t="e">
        <f>AND(X5, Y5 &gt; 0)</f>
        <v>#NAME?</v>
      </c>
      <c r="AA5" s="3">
        <f>_xlfn.IFNA(INDEX(Steps!R2:R999, MATCH(D5,Steps!A2:A999, 0)), "")</f>
        <v>0</v>
      </c>
      <c r="AB5" s="3">
        <f>COUNTIFS(VerificationOutcomes!C2:C999, A5)</f>
        <v>0</v>
      </c>
      <c r="AC5" s="3">
        <f>AA5 - AB5</f>
        <v>0</v>
      </c>
      <c r="AD5" s="3" t="b">
        <f>AC5 &gt; 0</f>
        <v>0</v>
      </c>
      <c r="AE5" s="3" t="b">
        <f>AND(I5 = "PASS", AD5)</f>
        <v>0</v>
      </c>
      <c r="AF5" s="3" t="b">
        <f>_xlfn.IFNA(INDEX(Steps!S2:S999, MATCH(D5,Steps!A2:A999, 0)), "")</f>
        <v>1</v>
      </c>
      <c r="AG5" s="3" t="b">
        <f>_xlfn.IFNA(INDEX(Steps!T2:T999, MATCH(D5,Steps!A2:A999, 0)), "")</f>
        <v>0</v>
      </c>
      <c r="AH5" s="3" t="str">
        <f>IF(AF5, C5 &amp; "|" &amp; E5, "")</f>
        <v>exec-close-2026-q2|variance-ai</v>
      </c>
      <c r="AI5" s="3" t="str">
        <f>IF(AG5, C5 &amp; "|" &amp; E5, "")</f>
      </c>
      <c r="AJ5" s="3">
        <f>COUNTIFS(AH2:AH999, AI5)</f>
        <v>10</v>
      </c>
      <c r="AK5" s="3" t="b">
        <f>AND(AG5, AJ5 &gt; 0)</f>
        <v>0</v>
      </c>
      <c r="AL5" s="3" t="str">
        <f>_xlfn.IFNA(INDEX(Steps!G2:G999, MATCH(D5,Steps!A2:A999, 0)), "")</f>
        <v>variance-review-agent</v>
      </c>
      <c r="AM5" s="3" t="str">
        <f>E5 &amp; "|" &amp; AL5</f>
        <v>variance-ai|variance-review-agent</v>
      </c>
      <c r="AN5" s="3">
        <f>COUNTIFS(RoleAssignments!N2:N999, AM5)</f>
        <v>1</v>
      </c>
      <c r="AO5" s="3" t="b">
        <f>AN5 &gt; 0</f>
        <v>1</v>
      </c>
      <c r="AP5" s="3" t="b">
        <f>AND(AG5, NOT(AO5))</f>
        <v>0</v>
      </c>
      <c r="AQ5" s="3" t="str">
        <f>IF(F5 = "Completed", C5, "")</f>
        <v>exec-close-2026-q2</v>
      </c>
      <c r="AR5" s="3" t="str">
        <f>IF(OR(P5, AK5, AP5, AE5), C5, "")</f>
      </c>
      <c r="AS5" s="3" t="e">
        <f>IF(M5, C5, "")</f>
        <v>#NAME?</v>
      </c>
      <c r="AT5" s="3" t="str">
        <f>_xlfn.IFNA(INDEX(Agents!D2:D999, MATCH(E5,Agents!A2:A999, 0)), "")</f>
        <v>AIAgent</v>
      </c>
      <c r="AU5" s="3" t="b">
        <f>AT5 = "Human"</f>
        <v>0</v>
      </c>
      <c r="AV5" s="3" t="b">
        <f>_xlfn.IFNA(INDEX(Steps!M2:M999, MATCH(D5,Steps!A2:A999, 0)), "")</f>
        <v>0</v>
      </c>
      <c r="AW5" s="3" t="b">
        <f>AND(AV5, NOT(AU5))</f>
        <v>0</v>
      </c>
      <c r="AX5" s="3" t="b">
        <f>AND(AG5, NOT(AU5))</f>
        <v>0</v>
      </c>
      <c r="AY5" s="3" t="str">
        <f>IF(T5, C5, "")</f>
      </c>
      <c r="AZ5" s="3" t="str">
        <f>IF(AK5, C5, "")</f>
      </c>
      <c r="BA5" s="3">
        <f>COUNTIFS(VerificationOutcomes!P2:P999, A5)</f>
        <v>0</v>
      </c>
      <c r="BB5" s="3">
        <f>COUNTIFS(VerificationOutcomes!Q2:Q999, A5)</f>
        <v>0</v>
      </c>
      <c r="BC5" s="3" t="b">
        <f>AND(AG5, OR(BA5 &gt; 0, AD5))</f>
        <v>0</v>
      </c>
      <c r="BD5" s="3">
        <f>COUNTIFS(ExceptionInvocations!C2:C999, A5)</f>
        <v>0</v>
      </c>
      <c r="BE5" s="3" t="b">
        <f>BD5 &gt; 0</f>
        <v>0</v>
      </c>
      <c r="BF5" s="3" t="b">
        <f>F5 = "Completed"</f>
        <v>1</v>
      </c>
      <c r="BG5" s="3" t="b">
        <f>I5 = "PASS"</f>
        <v>1</v>
      </c>
      <c r="BH5" s="3" t="b">
        <f>D5 = "policy-04"</f>
        <v>0</v>
      </c>
      <c r="BI5" s="3" t="str">
        <f>IF(AND(BH5, BG5), C5, "")</f>
      </c>
      <c r="BJ5" s="3" t="str">
        <f>_xlfn.IFNA(INDEX(Steps!G2:G999, MATCH(D5,Steps!A2:A999, 0)), "")</f>
        <v>variance-review-agent</v>
      </c>
      <c r="BK5" s="3" t="str">
        <f>_xlfn.IFNA(INDEX(Roles!E2:E999, MATCH(BJ5,Roles!A2:A999, 0)), "")</f>
        <v>variance-ai</v>
      </c>
      <c r="BL5" s="3" t="b">
        <f>E5 = BK5</f>
        <v>1</v>
      </c>
      <c r="BM5" s="3" t="b">
        <f>_xlfn.IFNA(INDEX(Steps!V2:V999, MATCH(D5,Steps!A2:A999, 0)), "")</f>
        <v>1</v>
      </c>
      <c r="BN5" s="3" t="b">
        <f>AND(F5 = "Completed", NOT(BM5))</f>
        <v>0</v>
      </c>
      <c r="BO5" s="3">
        <f>COUNTIFS(IssueOccurrences!K2:K999, A5)</f>
        <v>0</v>
      </c>
      <c r="BP5" s="3" t="b">
        <f>J5 &lt;&gt; ""</f>
        <v>1</v>
      </c>
      <c r="BQ5" s="3" t="e">
        <f>AND(I5 = "PASS", NOT(BP5), BO5 = 0, NOT(M5))</f>
        <v>#NAME?</v>
      </c>
      <c r="BR5" s="3" t="e">
        <f>IF(BQ5, "", C5)</f>
        <v>#NAME?</v>
      </c>
      <c r="BS5" s="3">
        <f>COUNTIFS(RequirementSatisfactions!U2:U999, A5)</f>
        <v>0</v>
      </c>
      <c r="BT5" s="5">
        <f>_xlfn.IFNA(INDEX(Steps!N2:N999, MATCH(D5,Steps!A2:A999, 0)), "")</f>
        <v>0</v>
      </c>
      <c r="BU5" s="3" t="b">
        <f>BS5 &lt; BT5</f>
        <v>0</v>
      </c>
      <c r="BV5" s="3" t="str">
        <f>_xlfn.IFNA(INDEX(Agents!D2:D999, MATCH(E5,Agents!A2:A999, 0)), "")</f>
        <v>AIAgent</v>
      </c>
      <c r="BW5" s="3" t="b">
        <f>OR(BV5 = "AIAgent", BV5 = "AutomatedPipeline")</f>
        <v>1</v>
      </c>
      <c r="BX5" s="3" t="b">
        <f>_xlfn.IFNA(INDEX(Steps!W2:W999, MATCH(D5,Steps!A2:A999, 0)), "")</f>
        <v>1</v>
      </c>
      <c r="BY5" s="3" t="b">
        <f>AND(BW5, NOT(BX5))</f>
        <v>0</v>
      </c>
      <c r="BZ5" s="3" t="b">
        <f>_xlfn.IFNA(INDEX(Steps!X2:X999, MATCH(D5,Steps!A2:A999, 0)), "")</f>
        <v>0</v>
      </c>
      <c r="CA5" s="3" t="b">
        <f>AND(I5 &lt;&gt; "", I5 &lt;&gt; "PENDING", I5 &lt;&gt; "FAIL")</f>
        <v>1</v>
      </c>
      <c r="CB5" s="3">
        <f>COUNTIFS(AgentDecisionRecords!AA2:AA999, A5)</f>
        <v>0</v>
      </c>
      <c r="CC5" s="3" t="b">
        <f>_xlfn.IFNA(INDEX(Steps!M2:M999, MATCH(D5,Steps!A2:A999, 0)), "")</f>
        <v>0</v>
      </c>
      <c r="CD5" s="3" t="b">
        <f>AND(CC5, CB5 &gt; 0)</f>
        <v>0</v>
      </c>
      <c r="CE5" s="3" t="b">
        <f>AND(F5 = "Completed", NOT(CF5))</f>
        <v>0</v>
      </c>
      <c r="CF5" s="3" t="b">
        <f>_xlfn.IFNA(INDEX(Steps!AC2:AC999, MATCH(D5,Steps!A2:A999, 0)), "")</f>
        <v>1</v>
      </c>
      <c r="CG5" s="3" t="str">
        <f>IF(BW5, D5, "")</f>
        <v>close-04</v>
      </c>
      <c r="CH5" s="3" t="str">
        <f>_xlfn.IFNA(INDEX(Steps!AD2:AD999, MATCH(D5,Steps!A2:A999, 0)), "")</f>
        <v>Preparation</v>
      </c>
      <c r="CI5" s="3">
        <f>COUNTIFS(RequirementSatisfactions!AC2:AC999, A5)</f>
        <v>0</v>
      </c>
      <c r="CJ5" s="3" t="b">
        <f>AND(R5 &gt; 0, CI5 &gt;= R5)</f>
        <v>0</v>
      </c>
      <c r="CK5" s="3">
        <f>COUNTIFS(BindingObservations!K2:K999, A5)</f>
        <v>0</v>
      </c>
      <c r="CL5" s="3" t="b">
        <f>CK5 &gt; 0</f>
        <v>0</v>
      </c>
      <c r="CM5" s="3" t="b">
        <f>NOT(CL5 = V5)</f>
        <v>0</v>
      </c>
      <c r="CN5" s="3" t="b">
        <f>OR(AA5 &gt; 0, Q5 &gt; 0)</f>
        <v>0</v>
      </c>
      <c r="CO5" s="3">
        <f>AB5 + R5</f>
        <v>0</v>
      </c>
      <c r="CP5" s="3">
        <f>AA5 + Q5</f>
        <v>0</v>
      </c>
      <c r="CQ5" s="3" t="b">
        <f>CP5 = 0</f>
        <v>1</v>
      </c>
      <c r="CR5" s="3" t="e">
        <f>AND(BQ5, CQ5)</f>
        <v>#NAME?</v>
      </c>
      <c r="CS5" s="3" t="e">
        <f>AND(BQ5, CO5 &gt;= CP5, CP5 &gt; 0)</f>
        <v>#NAME?</v>
      </c>
      <c r="CT5" s="3" t="e">
        <f>IF(CR5, C5, "")</f>
        <v>#NAME?</v>
      </c>
      <c r="CU5" s="3">
        <f>COUNTIFS(VerificationOutcomes!T2:T999, A5)</f>
        <v>0</v>
      </c>
      <c r="CV5" s="3" t="b">
        <f>AND(AB5 &gt; 0, CU5 &gt;= AB5)</f>
        <v>0</v>
      </c>
      <c r="CW5" s="3" t="str">
        <f>IF(AF5, C5, "")</f>
        <v>exec-close-2026-q2</v>
      </c>
      <c r="CX5" s="3" t="str">
        <f>IF(AG5, C5, "")</f>
      </c>
      <c r="CY5" s="3" t="b">
        <f>OR(BE5, CZ5)</f>
        <v>1</v>
      </c>
      <c r="CZ5" s="3" t="b">
        <f>_xlfn.IFNA(INDEX(ProcedureVersions!CB2:CB999, MATCH(DA5,ProcedureVersions!A2:A999, 0)), "")</f>
        <v>1</v>
      </c>
      <c r="DA5" s="3" t="str">
        <f>_xlfn.IFNA(INDEX(Steps!C2:C999, MATCH(D5,Steps!A2:A999, 0)), "")</f>
        <v>close-v1.1.0</v>
      </c>
      <c r="DB5" s="3" t="e">
        <f>AND(OR(BP5, M5, P5), NOT(CY5))</f>
        <v>#NAME?</v>
      </c>
      <c r="DC5" s="3" t="e">
        <f>IF(DB5, C5, "")</f>
        <v>#NAME?</v>
      </c>
      <c r="DD5" s="3" t="str">
        <f>IF(BC5, C5, "")</f>
      </c>
      <c r="DE5" s="2" t="s">
        <v>1429</v>
      </c>
    </row>
    <row r="6">
      <c r="A6" s="2" t="s">
        <v>1436</v>
      </c>
      <c r="B6" s="3" t="str">
        <f>C6 &amp; " / " &amp; D6</f>
        <v>exec-close-2026-q2 / close-05</v>
      </c>
      <c r="C6" s="2" t="s">
        <v>1319</v>
      </c>
      <c r="D6" s="2" t="s">
        <v>559</v>
      </c>
      <c r="E6" s="2" t="s">
        <v>145</v>
      </c>
      <c r="F6" s="2" t="s">
        <v>1320</v>
      </c>
      <c r="G6" s="4">
        <v>46204.836805555555</v>
      </c>
      <c r="H6" s="4">
        <v>46204.881944444445</v>
      </c>
      <c r="I6" s="2" t="s">
        <v>1428</v>
      </c>
      <c r="J6" s="2" t="s">
        <v>168</v>
      </c>
      <c r="K6" s="5" t="e">
        <f>IF(H6 = "", 0, DATETIME_DIFF(H6, G6, "minutes"))</f>
        <v>#NAME?</v>
      </c>
      <c r="L6" s="5">
        <f>_xlfn.IFNA(INDEX(Steps!K2:K999, MATCH(D6,Steps!A2:A999, 0)), "")</f>
        <v>60</v>
      </c>
      <c r="M6" s="3" t="e">
        <f>K6 &gt; L6</f>
        <v>#NAME?</v>
      </c>
      <c r="N6" s="3">
        <f>COUNTIFS(RequirementSatisfactions!C2:C999, A6,RequirementSatisfactions!K2:K999, TRUE)</f>
        <v>0</v>
      </c>
      <c r="O6" s="3">
        <f>COUNTIFS(RequirementSatisfactions!L2:L999, A6)</f>
        <v>0</v>
      </c>
      <c r="P6" s="3" t="b">
        <f>AND(F6 = "Completed", O6 &gt; 0)</f>
        <v>0</v>
      </c>
      <c r="Q6" s="3">
        <f>_xlfn.IFNA(INDEX(Steps!N2:N999, MATCH(D6,Steps!A2:A999, 0)), "")</f>
        <v>1</v>
      </c>
      <c r="R6" s="3">
        <f>COUNTIFS(RequirementSatisfactions!M2:M999, A6)</f>
        <v>1</v>
      </c>
      <c r="S6" s="3">
        <f>Q6 - R6</f>
        <v>0</v>
      </c>
      <c r="T6" s="3" t="b">
        <f>S6 &gt; 0</f>
        <v>0</v>
      </c>
      <c r="U6" s="3">
        <f>_xlfn.IFNA(INDEX(Steps!P2:P999, MATCH(D6,Steps!A2:A999, 0)), "")</f>
        <v>0</v>
      </c>
      <c r="V6" s="3" t="b">
        <f>U6 &gt; 0</f>
        <v>0</v>
      </c>
      <c r="W6" s="3" t="b">
        <f>J6 &lt;&gt; ""</f>
        <v>0</v>
      </c>
      <c r="X6" s="3" t="e">
        <f>AND(M6, NOT(W6))</f>
        <v>#NAME?</v>
      </c>
      <c r="Y6" s="3">
        <f>_xlfn.IFNA(INDEX(Steps!Q2:Q999, MATCH(D6,Steps!A2:A999, 0)), "")</f>
        <v>0</v>
      </c>
      <c r="Z6" s="3" t="e">
        <f>AND(X6, Y6 &gt; 0)</f>
        <v>#NAME?</v>
      </c>
      <c r="AA6" s="3">
        <f>_xlfn.IFNA(INDEX(Steps!R2:R999, MATCH(D6,Steps!A2:A999, 0)), "")</f>
        <v>1</v>
      </c>
      <c r="AB6" s="3">
        <f>COUNTIFS(VerificationOutcomes!C2:C999, A6)</f>
        <v>1</v>
      </c>
      <c r="AC6" s="3">
        <f>AA6 - AB6</f>
        <v>0</v>
      </c>
      <c r="AD6" s="3" t="b">
        <f>AC6 &gt; 0</f>
        <v>0</v>
      </c>
      <c r="AE6" s="3" t="b">
        <f>AND(I6 = "PASS", AD6)</f>
        <v>0</v>
      </c>
      <c r="AF6" s="3" t="b">
        <f>_xlfn.IFNA(INDEX(Steps!S2:S999, MATCH(D6,Steps!A2:A999, 0)), "")</f>
        <v>0</v>
      </c>
      <c r="AG6" s="3" t="b">
        <f>_xlfn.IFNA(INDEX(Steps!T2:T999, MATCH(D6,Steps!A2:A999, 0)), "")</f>
        <v>1</v>
      </c>
      <c r="AH6" s="3" t="str">
        <f>IF(AF6, C6 &amp; "|" &amp; E6, "")</f>
      </c>
      <c r="AI6" s="3" t="str">
        <f>IF(AG6, C6 &amp; "|" &amp; E6, "")</f>
        <v>exec-close-2026-q2|devon-okafor</v>
      </c>
      <c r="AJ6" s="3">
        <f>COUNTIFS(AH2:AH999, AI6)</f>
        <v>0</v>
      </c>
      <c r="AK6" s="3" t="b">
        <f>AND(AG6, AJ6 &gt; 0)</f>
        <v>0</v>
      </c>
      <c r="AL6" s="3" t="str">
        <f>_xlfn.IFNA(INDEX(Steps!G2:G999, MATCH(D6,Steps!A2:A999, 0)), "")</f>
        <v>controller</v>
      </c>
      <c r="AM6" s="3" t="str">
        <f>E6 &amp; "|" &amp; AL6</f>
        <v>devon-okafor|controller</v>
      </c>
      <c r="AN6" s="3">
        <f>COUNTIFS(RoleAssignments!N2:N999, AM6)</f>
        <v>1</v>
      </c>
      <c r="AO6" s="3" t="b">
        <f>AN6 &gt; 0</f>
        <v>1</v>
      </c>
      <c r="AP6" s="3" t="b">
        <f>AND(AG6, NOT(AO6))</f>
        <v>0</v>
      </c>
      <c r="AQ6" s="3" t="str">
        <f>IF(F6 = "Completed", C6, "")</f>
        <v>exec-close-2026-q2</v>
      </c>
      <c r="AR6" s="3" t="str">
        <f>IF(OR(P6, AK6, AP6, AE6), C6, "")</f>
      </c>
      <c r="AS6" s="3" t="e">
        <f>IF(M6, C6, "")</f>
        <v>#NAME?</v>
      </c>
      <c r="AT6" s="3" t="str">
        <f>_xlfn.IFNA(INDEX(Agents!D2:D999, MATCH(E6,Agents!A2:A999, 0)), "")</f>
        <v>Human</v>
      </c>
      <c r="AU6" s="3" t="b">
        <f>AT6 = "Human"</f>
        <v>1</v>
      </c>
      <c r="AV6" s="3" t="b">
        <f>_xlfn.IFNA(INDEX(Steps!M2:M999, MATCH(D6,Steps!A2:A999, 0)), "")</f>
        <v>1</v>
      </c>
      <c r="AW6" s="3" t="b">
        <f>AND(AV6, NOT(AU6))</f>
        <v>0</v>
      </c>
      <c r="AX6" s="3" t="b">
        <f>AND(AG6, NOT(AU6))</f>
        <v>0</v>
      </c>
      <c r="AY6" s="3" t="str">
        <f>IF(T6, C6, "")</f>
      </c>
      <c r="AZ6" s="3" t="str">
        <f>IF(AK6, C6, "")</f>
      </c>
      <c r="BA6" s="3">
        <f>COUNTIFS(VerificationOutcomes!P2:P999, A6)</f>
        <v>1</v>
      </c>
      <c r="BB6" s="3">
        <f>COUNTIFS(VerificationOutcomes!Q2:Q999, A6)</f>
        <v>0</v>
      </c>
      <c r="BC6" s="3" t="b">
        <f>AND(AG6, OR(BA6 &gt; 0, AD6))</f>
        <v>1</v>
      </c>
      <c r="BD6" s="3">
        <f>COUNTIFS(ExceptionInvocations!C2:C999, A6)</f>
        <v>0</v>
      </c>
      <c r="BE6" s="3" t="b">
        <f>BD6 &gt; 0</f>
        <v>0</v>
      </c>
      <c r="BF6" s="3" t="b">
        <f>F6 = "Completed"</f>
        <v>1</v>
      </c>
      <c r="BG6" s="3" t="b">
        <f>I6 = "PASS"</f>
        <v>1</v>
      </c>
      <c r="BH6" s="3" t="b">
        <f>D6 = "policy-04"</f>
        <v>0</v>
      </c>
      <c r="BI6" s="3" t="str">
        <f>IF(AND(BH6, BG6), C6, "")</f>
      </c>
      <c r="BJ6" s="3" t="str">
        <f>_xlfn.IFNA(INDEX(Steps!G2:G999, MATCH(D6,Steps!A2:A999, 0)), "")</f>
        <v>controller</v>
      </c>
      <c r="BK6" s="3" t="str">
        <f>_xlfn.IFNA(INDEX(Roles!E2:E999, MATCH(BJ6,Roles!A2:A999, 0)), "")</f>
        <v>devon-okafor</v>
      </c>
      <c r="BL6" s="3" t="b">
        <f>E6 = BK6</f>
        <v>1</v>
      </c>
      <c r="BM6" s="3" t="b">
        <f>_xlfn.IFNA(INDEX(Steps!V2:V999, MATCH(D6,Steps!A2:A999, 0)), "")</f>
        <v>1</v>
      </c>
      <c r="BN6" s="3" t="b">
        <f>AND(F6 = "Completed", NOT(BM6))</f>
        <v>0</v>
      </c>
      <c r="BO6" s="3">
        <f>COUNTIFS(IssueOccurrences!K2:K999, A6)</f>
        <v>0</v>
      </c>
      <c r="BP6" s="3" t="b">
        <f>J6 &lt;&gt; ""</f>
        <v>0</v>
      </c>
      <c r="BQ6" s="3" t="e">
        <f>AND(I6 = "PASS", NOT(BP6), BO6 = 0, NOT(M6))</f>
        <v>#NAME?</v>
      </c>
      <c r="BR6" s="3" t="e">
        <f>IF(BQ6, "", C6)</f>
        <v>#NAME?</v>
      </c>
      <c r="BS6" s="3">
        <f>COUNTIFS(RequirementSatisfactions!U2:U999, A6)</f>
        <v>1</v>
      </c>
      <c r="BT6" s="5">
        <f>_xlfn.IFNA(INDEX(Steps!N2:N999, MATCH(D6,Steps!A2:A999, 0)), "")</f>
        <v>1</v>
      </c>
      <c r="BU6" s="3" t="b">
        <f>BS6 &lt; BT6</f>
        <v>0</v>
      </c>
      <c r="BV6" s="3" t="str">
        <f>_xlfn.IFNA(INDEX(Agents!D2:D999, MATCH(E6,Agents!A2:A999, 0)), "")</f>
        <v>Human</v>
      </c>
      <c r="BW6" s="3" t="b">
        <f>OR(BV6 = "AIAgent", BV6 = "AutomatedPipeline")</f>
        <v>0</v>
      </c>
      <c r="BX6" s="3" t="b">
        <f>_xlfn.IFNA(INDEX(Steps!W2:W999, MATCH(D6,Steps!A2:A999, 0)), "")</f>
        <v>0</v>
      </c>
      <c r="BY6" s="3" t="b">
        <f>AND(BW6, NOT(BX6))</f>
        <v>0</v>
      </c>
      <c r="BZ6" s="3" t="b">
        <f>_xlfn.IFNA(INDEX(Steps!X2:X999, MATCH(D6,Steps!A2:A999, 0)), "")</f>
        <v>0</v>
      </c>
      <c r="CA6" s="3" t="b">
        <f>AND(I6 &lt;&gt; "", I6 &lt;&gt; "PENDING", I6 &lt;&gt; "FAIL")</f>
        <v>1</v>
      </c>
      <c r="CB6" s="3">
        <f>COUNTIFS(AgentDecisionRecords!AA2:AA999, A6)</f>
        <v>0</v>
      </c>
      <c r="CC6" s="3" t="b">
        <f>_xlfn.IFNA(INDEX(Steps!M2:M999, MATCH(D6,Steps!A2:A999, 0)), "")</f>
        <v>1</v>
      </c>
      <c r="CD6" s="3" t="b">
        <f>AND(CC6, CB6 &gt; 0)</f>
        <v>0</v>
      </c>
      <c r="CE6" s="3" t="b">
        <f>AND(F6 = "Completed", NOT(CF6))</f>
        <v>0</v>
      </c>
      <c r="CF6" s="3" t="b">
        <f>_xlfn.IFNA(INDEX(Steps!AC2:AC999, MATCH(D6,Steps!A2:A999, 0)), "")</f>
        <v>1</v>
      </c>
      <c r="CG6" s="3" t="str">
        <f>IF(BW6, D6, "")</f>
      </c>
      <c r="CH6" s="3" t="str">
        <f>_xlfn.IFNA(INDEX(Steps!AD2:AD999, MATCH(D6,Steps!A2:A999, 0)), "")</f>
        <v>Approval</v>
      </c>
      <c r="CI6" s="3">
        <f>COUNTIFS(RequirementSatisfactions!AC2:AC999, A6)</f>
        <v>1</v>
      </c>
      <c r="CJ6" s="3" t="b">
        <f>AND(R6 &gt; 0, CI6 &gt;= R6)</f>
        <v>1</v>
      </c>
      <c r="CK6" s="3">
        <f>COUNTIFS(BindingObservations!K2:K999, A6)</f>
        <v>0</v>
      </c>
      <c r="CL6" s="3" t="b">
        <f>CK6 &gt; 0</f>
        <v>0</v>
      </c>
      <c r="CM6" s="3" t="b">
        <f>NOT(CL6 = V6)</f>
        <v>0</v>
      </c>
      <c r="CN6" s="3" t="b">
        <f>OR(AA6 &gt; 0, Q6 &gt; 0)</f>
        <v>1</v>
      </c>
      <c r="CO6" s="3">
        <f>AB6 + R6</f>
        <v>2</v>
      </c>
      <c r="CP6" s="3">
        <f>AA6 + Q6</f>
        <v>2</v>
      </c>
      <c r="CQ6" s="3" t="b">
        <f>CP6 = 0</f>
        <v>0</v>
      </c>
      <c r="CR6" s="3" t="e">
        <f>AND(BQ6, CQ6)</f>
        <v>#NAME?</v>
      </c>
      <c r="CS6" s="3" t="e">
        <f>AND(BQ6, CO6 &gt;= CP6, CP6 &gt; 0)</f>
        <v>#NAME?</v>
      </c>
      <c r="CT6" s="3" t="e">
        <f>IF(CR6, C6, "")</f>
        <v>#NAME?</v>
      </c>
      <c r="CU6" s="3">
        <f>COUNTIFS(VerificationOutcomes!T2:T999, A6)</f>
        <v>0</v>
      </c>
      <c r="CV6" s="3" t="b">
        <f>AND(AB6 &gt; 0, CU6 &gt;= AB6)</f>
        <v>0</v>
      </c>
      <c r="CW6" s="3" t="str">
        <f>IF(AF6, C6, "")</f>
      </c>
      <c r="CX6" s="3" t="str">
        <f>IF(AG6, C6, "")</f>
        <v>exec-close-2026-q2</v>
      </c>
      <c r="CY6" s="3" t="b">
        <f>OR(BE6, CZ6)</f>
        <v>1</v>
      </c>
      <c r="CZ6" s="3" t="b">
        <f>_xlfn.IFNA(INDEX(ProcedureVersions!CB2:CB999, MATCH(DA6,ProcedureVersions!A2:A999, 0)), "")</f>
        <v>1</v>
      </c>
      <c r="DA6" s="3" t="str">
        <f>_xlfn.IFNA(INDEX(Steps!C2:C999, MATCH(D6,Steps!A2:A999, 0)), "")</f>
        <v>close-v1.1.0</v>
      </c>
      <c r="DB6" s="3" t="e">
        <f>AND(OR(BP6, M6, P6), NOT(CY6))</f>
        <v>#NAME?</v>
      </c>
      <c r="DC6" s="3" t="e">
        <f>IF(DB6, C6, "")</f>
        <v>#NAME?</v>
      </c>
      <c r="DD6" s="3" t="str">
        <f>IF(BC6, C6, "")</f>
        <v>exec-close-2026-q2</v>
      </c>
      <c r="DE6" s="2" t="s">
        <v>1429</v>
      </c>
    </row>
    <row r="7">
      <c r="A7" s="2" t="s">
        <v>1437</v>
      </c>
      <c r="B7" s="3" t="str">
        <f>C7 &amp; " / " &amp; D7</f>
        <v>exec-close-2026-q2 / close-06</v>
      </c>
      <c r="C7" s="2" t="s">
        <v>1319</v>
      </c>
      <c r="D7" s="2" t="s">
        <v>563</v>
      </c>
      <c r="E7" s="2" t="s">
        <v>149</v>
      </c>
      <c r="F7" s="2" t="s">
        <v>1320</v>
      </c>
      <c r="G7" s="4">
        <v>46205.583333333336</v>
      </c>
      <c r="H7" s="4">
        <v>46205.59861111111</v>
      </c>
      <c r="I7" s="2" t="s">
        <v>1428</v>
      </c>
      <c r="J7" s="2" t="s">
        <v>168</v>
      </c>
      <c r="K7" s="5" t="e">
        <f>IF(H7 = "", 0, DATETIME_DIFF(H7, G7, "minutes"))</f>
        <v>#NAME?</v>
      </c>
      <c r="L7" s="5">
        <f>_xlfn.IFNA(INDEX(Steps!K2:K999, MATCH(D7,Steps!A2:A999, 0)), "")</f>
        <v>30</v>
      </c>
      <c r="M7" s="3" t="e">
        <f>K7 &gt; L7</f>
        <v>#NAME?</v>
      </c>
      <c r="N7" s="3">
        <f>COUNTIFS(RequirementSatisfactions!C2:C999, A7,RequirementSatisfactions!K2:K999, TRUE)</f>
        <v>0</v>
      </c>
      <c r="O7" s="3">
        <f>COUNTIFS(RequirementSatisfactions!L2:L999, A7)</f>
        <v>0</v>
      </c>
      <c r="P7" s="3" t="b">
        <f>AND(F7 = "Completed", O7 &gt; 0)</f>
        <v>0</v>
      </c>
      <c r="Q7" s="3">
        <f>_xlfn.IFNA(INDEX(Steps!N2:N999, MATCH(D7,Steps!A2:A999, 0)), "")</f>
        <v>1</v>
      </c>
      <c r="R7" s="3">
        <f>COUNTIFS(RequirementSatisfactions!M2:M999, A7)</f>
        <v>1</v>
      </c>
      <c r="S7" s="3">
        <f>Q7 - R7</f>
        <v>0</v>
      </c>
      <c r="T7" s="3" t="b">
        <f>S7 &gt; 0</f>
        <v>0</v>
      </c>
      <c r="U7" s="3">
        <f>_xlfn.IFNA(INDEX(Steps!P2:P999, MATCH(D7,Steps!A2:A999, 0)), "")</f>
        <v>0</v>
      </c>
      <c r="V7" s="3" t="b">
        <f>U7 &gt; 0</f>
        <v>0</v>
      </c>
      <c r="W7" s="3" t="b">
        <f>J7 &lt;&gt; ""</f>
        <v>0</v>
      </c>
      <c r="X7" s="3" t="e">
        <f>AND(M7, NOT(W7))</f>
        <v>#NAME?</v>
      </c>
      <c r="Y7" s="3">
        <f>_xlfn.IFNA(INDEX(Steps!Q2:Q999, MATCH(D7,Steps!A2:A999, 0)), "")</f>
        <v>1</v>
      </c>
      <c r="Z7" s="3" t="e">
        <f>AND(X7, Y7 &gt; 0)</f>
        <v>#NAME?</v>
      </c>
      <c r="AA7" s="3">
        <f>_xlfn.IFNA(INDEX(Steps!R2:R999, MATCH(D7,Steps!A2:A999, 0)), "")</f>
        <v>1</v>
      </c>
      <c r="AB7" s="3">
        <f>COUNTIFS(VerificationOutcomes!C2:C999, A7)</f>
        <v>0</v>
      </c>
      <c r="AC7" s="3">
        <f>AA7 - AB7</f>
        <v>1</v>
      </c>
      <c r="AD7" s="3" t="b">
        <f>AC7 &gt; 0</f>
        <v>1</v>
      </c>
      <c r="AE7" s="3" t="b">
        <f>AND(I7 = "PASS", AD7)</f>
        <v>1</v>
      </c>
      <c r="AF7" s="3" t="b">
        <f>_xlfn.IFNA(INDEX(Steps!S2:S999, MATCH(D7,Steps!A2:A999, 0)), "")</f>
        <v>0</v>
      </c>
      <c r="AG7" s="3" t="b">
        <f>_xlfn.IFNA(INDEX(Steps!T2:T999, MATCH(D7,Steps!A2:A999, 0)), "")</f>
        <v>1</v>
      </c>
      <c r="AH7" s="3" t="str">
        <f>IF(AF7, C7 &amp; "|" &amp; E7, "")</f>
      </c>
      <c r="AI7" s="3" t="str">
        <f>IF(AG7, C7 &amp; "|" &amp; E7, "")</f>
        <v>exec-close-2026-q2|priya-raman</v>
      </c>
      <c r="AJ7" s="3">
        <f>COUNTIFS(AH2:AH999, AI7)</f>
        <v>0</v>
      </c>
      <c r="AK7" s="3" t="b">
        <f>AND(AG7, AJ7 &gt; 0)</f>
        <v>0</v>
      </c>
      <c r="AL7" s="3" t="str">
        <f>_xlfn.IFNA(INDEX(Steps!G2:G999, MATCH(D7,Steps!A2:A999, 0)), "")</f>
        <v>cfo</v>
      </c>
      <c r="AM7" s="3" t="str">
        <f>E7 &amp; "|" &amp; AL7</f>
        <v>priya-raman|cfo</v>
      </c>
      <c r="AN7" s="3">
        <f>COUNTIFS(RoleAssignments!N2:N999, AM7)</f>
        <v>1</v>
      </c>
      <c r="AO7" s="3" t="b">
        <f>AN7 &gt; 0</f>
        <v>1</v>
      </c>
      <c r="AP7" s="3" t="b">
        <f>AND(AG7, NOT(AO7))</f>
        <v>0</v>
      </c>
      <c r="AQ7" s="3" t="str">
        <f>IF(F7 = "Completed", C7, "")</f>
        <v>exec-close-2026-q2</v>
      </c>
      <c r="AR7" s="3" t="str">
        <f>IF(OR(P7, AK7, AP7, AE7), C7, "")</f>
        <v>exec-close-2026-q2</v>
      </c>
      <c r="AS7" s="3" t="e">
        <f>IF(M7, C7, "")</f>
        <v>#NAME?</v>
      </c>
      <c r="AT7" s="3" t="str">
        <f>_xlfn.IFNA(INDEX(Agents!D2:D999, MATCH(E7,Agents!A2:A999, 0)), "")</f>
        <v>Human</v>
      </c>
      <c r="AU7" s="3" t="b">
        <f>AT7 = "Human"</f>
        <v>1</v>
      </c>
      <c r="AV7" s="3" t="b">
        <f>_xlfn.IFNA(INDEX(Steps!M2:M999, MATCH(D7,Steps!A2:A999, 0)), "")</f>
        <v>1</v>
      </c>
      <c r="AW7" s="3" t="b">
        <f>AND(AV7, NOT(AU7))</f>
        <v>0</v>
      </c>
      <c r="AX7" s="3" t="b">
        <f>AND(AG7, NOT(AU7))</f>
        <v>0</v>
      </c>
      <c r="AY7" s="3" t="str">
        <f>IF(T7, C7, "")</f>
      </c>
      <c r="AZ7" s="3" t="str">
        <f>IF(AK7, C7, "")</f>
      </c>
      <c r="BA7" s="3">
        <f>COUNTIFS(VerificationOutcomes!P2:P999, A7)</f>
        <v>0</v>
      </c>
      <c r="BB7" s="3">
        <f>COUNTIFS(VerificationOutcomes!Q2:Q999, A7)</f>
        <v>0</v>
      </c>
      <c r="BC7" s="3" t="b">
        <f>AND(AG7, OR(BA7 &gt; 0, AD7))</f>
        <v>1</v>
      </c>
      <c r="BD7" s="3">
        <f>COUNTIFS(ExceptionInvocations!C2:C999, A7)</f>
        <v>0</v>
      </c>
      <c r="BE7" s="3" t="b">
        <f>BD7 &gt; 0</f>
        <v>0</v>
      </c>
      <c r="BF7" s="3" t="b">
        <f>F7 = "Completed"</f>
        <v>1</v>
      </c>
      <c r="BG7" s="3" t="b">
        <f>I7 = "PASS"</f>
        <v>1</v>
      </c>
      <c r="BH7" s="3" t="b">
        <f>D7 = "policy-04"</f>
        <v>0</v>
      </c>
      <c r="BI7" s="3" t="str">
        <f>IF(AND(BH7, BG7), C7, "")</f>
      </c>
      <c r="BJ7" s="3" t="str">
        <f>_xlfn.IFNA(INDEX(Steps!G2:G999, MATCH(D7,Steps!A2:A999, 0)), "")</f>
        <v>cfo</v>
      </c>
      <c r="BK7" s="3" t="str">
        <f>_xlfn.IFNA(INDEX(Roles!E2:E999, MATCH(BJ7,Roles!A2:A999, 0)), "")</f>
        <v>priya-raman</v>
      </c>
      <c r="BL7" s="3" t="b">
        <f>E7 = BK7</f>
        <v>1</v>
      </c>
      <c r="BM7" s="3" t="b">
        <f>_xlfn.IFNA(INDEX(Steps!V2:V999, MATCH(D7,Steps!A2:A999, 0)), "")</f>
        <v>1</v>
      </c>
      <c r="BN7" s="3" t="b">
        <f>AND(F7 = "Completed", NOT(BM7))</f>
        <v>0</v>
      </c>
      <c r="BO7" s="3">
        <f>COUNTIFS(IssueOccurrences!K2:K999, A7)</f>
        <v>0</v>
      </c>
      <c r="BP7" s="3" t="b">
        <f>J7 &lt;&gt; ""</f>
        <v>0</v>
      </c>
      <c r="BQ7" s="3" t="e">
        <f>AND(I7 = "PASS", NOT(BP7), BO7 = 0, NOT(M7))</f>
        <v>#NAME?</v>
      </c>
      <c r="BR7" s="3" t="e">
        <f>IF(BQ7, "", C7)</f>
        <v>#NAME?</v>
      </c>
      <c r="BS7" s="3">
        <f>COUNTIFS(RequirementSatisfactions!U2:U999, A7)</f>
        <v>1</v>
      </c>
      <c r="BT7" s="5">
        <f>_xlfn.IFNA(INDEX(Steps!N2:N999, MATCH(D7,Steps!A2:A999, 0)), "")</f>
        <v>1</v>
      </c>
      <c r="BU7" s="3" t="b">
        <f>BS7 &lt; BT7</f>
        <v>0</v>
      </c>
      <c r="BV7" s="3" t="str">
        <f>_xlfn.IFNA(INDEX(Agents!D2:D999, MATCH(E7,Agents!A2:A999, 0)), "")</f>
        <v>Human</v>
      </c>
      <c r="BW7" s="3" t="b">
        <f>OR(BV7 = "AIAgent", BV7 = "AutomatedPipeline")</f>
        <v>0</v>
      </c>
      <c r="BX7" s="3" t="b">
        <f>_xlfn.IFNA(INDEX(Steps!W2:W999, MATCH(D7,Steps!A2:A999, 0)), "")</f>
        <v>0</v>
      </c>
      <c r="BY7" s="3" t="b">
        <f>AND(BW7, NOT(BX7))</f>
        <v>0</v>
      </c>
      <c r="BZ7" s="3" t="b">
        <f>_xlfn.IFNA(INDEX(Steps!X2:X999, MATCH(D7,Steps!A2:A999, 0)), "")</f>
        <v>1</v>
      </c>
      <c r="CA7" s="3" t="b">
        <f>AND(I7 &lt;&gt; "", I7 &lt;&gt; "PENDING", I7 &lt;&gt; "FAIL")</f>
        <v>1</v>
      </c>
      <c r="CB7" s="3">
        <f>COUNTIFS(AgentDecisionRecords!AA2:AA999, A7)</f>
        <v>0</v>
      </c>
      <c r="CC7" s="3" t="b">
        <f>_xlfn.IFNA(INDEX(Steps!M2:M999, MATCH(D7,Steps!A2:A999, 0)), "")</f>
        <v>1</v>
      </c>
      <c r="CD7" s="3" t="b">
        <f>AND(CC7, CB7 &gt; 0)</f>
        <v>0</v>
      </c>
      <c r="CE7" s="3" t="b">
        <f>AND(F7 = "Completed", NOT(CF7))</f>
        <v>0</v>
      </c>
      <c r="CF7" s="3" t="b">
        <f>_xlfn.IFNA(INDEX(Steps!AC2:AC999, MATCH(D7,Steps!A2:A999, 0)), "")</f>
        <v>1</v>
      </c>
      <c r="CG7" s="3" t="str">
        <f>IF(BW7, D7, "")</f>
      </c>
      <c r="CH7" s="3" t="str">
        <f>_xlfn.IFNA(INDEX(Steps!AD2:AD999, MATCH(D7,Steps!A2:A999, 0)), "")</f>
        <v>Approval</v>
      </c>
      <c r="CI7" s="3">
        <f>COUNTIFS(RequirementSatisfactions!AC2:AC999, A7)</f>
        <v>1</v>
      </c>
      <c r="CJ7" s="3" t="b">
        <f>AND(R7 &gt; 0, CI7 &gt;= R7)</f>
        <v>1</v>
      </c>
      <c r="CK7" s="3">
        <f>COUNTIFS(BindingObservations!K2:K999, A7)</f>
        <v>0</v>
      </c>
      <c r="CL7" s="3" t="b">
        <f>CK7 &gt; 0</f>
        <v>0</v>
      </c>
      <c r="CM7" s="3" t="b">
        <f>NOT(CL7 = V7)</f>
        <v>0</v>
      </c>
      <c r="CN7" s="3" t="b">
        <f>OR(AA7 &gt; 0, Q7 &gt; 0)</f>
        <v>1</v>
      </c>
      <c r="CO7" s="3">
        <f>AB7 + R7</f>
        <v>1</v>
      </c>
      <c r="CP7" s="3">
        <f>AA7 + Q7</f>
        <v>2</v>
      </c>
      <c r="CQ7" s="3" t="b">
        <f>CP7 = 0</f>
        <v>0</v>
      </c>
      <c r="CR7" s="3" t="e">
        <f>AND(BQ7, CQ7)</f>
        <v>#NAME?</v>
      </c>
      <c r="CS7" s="3" t="e">
        <f>AND(BQ7, CO7 &gt;= CP7, CP7 &gt; 0)</f>
        <v>#NAME?</v>
      </c>
      <c r="CT7" s="3" t="e">
        <f>IF(CR7, C7, "")</f>
        <v>#NAME?</v>
      </c>
      <c r="CU7" s="3">
        <f>COUNTIFS(VerificationOutcomes!T2:T999, A7)</f>
        <v>0</v>
      </c>
      <c r="CV7" s="3" t="b">
        <f>AND(AB7 &gt; 0, CU7 &gt;= AB7)</f>
        <v>0</v>
      </c>
      <c r="CW7" s="3" t="str">
        <f>IF(AF7, C7, "")</f>
      </c>
      <c r="CX7" s="3" t="str">
        <f>IF(AG7, C7, "")</f>
        <v>exec-close-2026-q2</v>
      </c>
      <c r="CY7" s="3" t="b">
        <f>OR(BE7, CZ7)</f>
        <v>1</v>
      </c>
      <c r="CZ7" s="3" t="b">
        <f>_xlfn.IFNA(INDEX(ProcedureVersions!CB2:CB999, MATCH(DA7,ProcedureVersions!A2:A999, 0)), "")</f>
        <v>1</v>
      </c>
      <c r="DA7" s="3" t="str">
        <f>_xlfn.IFNA(INDEX(Steps!C2:C999, MATCH(D7,Steps!A2:A999, 0)), "")</f>
        <v>close-v1.1.0</v>
      </c>
      <c r="DB7" s="3" t="e">
        <f>AND(OR(BP7, M7, P7), NOT(CY7))</f>
        <v>#NAME?</v>
      </c>
      <c r="DC7" s="3" t="e">
        <f>IF(DB7, C7, "")</f>
        <v>#NAME?</v>
      </c>
      <c r="DD7" s="3" t="str">
        <f>IF(BC7, C7, "")</f>
        <v>exec-close-2026-q2</v>
      </c>
      <c r="DE7" s="2" t="s">
        <v>1429</v>
      </c>
    </row>
    <row r="8">
      <c r="A8" s="2" t="s">
        <v>1438</v>
      </c>
      <c r="B8" s="3" t="str">
        <f>C8 &amp; " / " &amp; D8</f>
        <v>exec-close-2026-q2 / close-07</v>
      </c>
      <c r="C8" s="2" t="s">
        <v>1319</v>
      </c>
      <c r="D8" s="2" t="s">
        <v>568</v>
      </c>
      <c r="E8" s="2" t="s">
        <v>165</v>
      </c>
      <c r="F8" s="2" t="s">
        <v>1320</v>
      </c>
      <c r="G8" s="4">
        <v>46205.59861111111</v>
      </c>
      <c r="H8" s="4">
        <v>46205.61041666667</v>
      </c>
      <c r="I8" s="2" t="s">
        <v>1428</v>
      </c>
      <c r="J8" s="2" t="s">
        <v>168</v>
      </c>
      <c r="K8" s="5" t="e">
        <f>IF(H8 = "", 0, DATETIME_DIFF(H8, G8, "minutes"))</f>
        <v>#NAME?</v>
      </c>
      <c r="L8" s="5">
        <f>_xlfn.IFNA(INDEX(Steps!K2:K999, MATCH(D8,Steps!A2:A999, 0)), "")</f>
        <v>20</v>
      </c>
      <c r="M8" s="3" t="e">
        <f>K8 &gt; L8</f>
        <v>#NAME?</v>
      </c>
      <c r="N8" s="3">
        <f>COUNTIFS(RequirementSatisfactions!C2:C999, A8,RequirementSatisfactions!K2:K999, TRUE)</f>
        <v>0</v>
      </c>
      <c r="O8" s="3">
        <f>COUNTIFS(RequirementSatisfactions!L2:L999, A8)</f>
        <v>0</v>
      </c>
      <c r="P8" s="3" t="b">
        <f>AND(F8 = "Completed", O8 &gt; 0)</f>
        <v>0</v>
      </c>
      <c r="Q8" s="3">
        <f>_xlfn.IFNA(INDEX(Steps!N2:N999, MATCH(D8,Steps!A2:A999, 0)), "")</f>
        <v>0</v>
      </c>
      <c r="R8" s="3">
        <f>COUNTIFS(RequirementSatisfactions!M2:M999, A8)</f>
        <v>0</v>
      </c>
      <c r="S8" s="3">
        <f>Q8 - R8</f>
        <v>0</v>
      </c>
      <c r="T8" s="3" t="b">
        <f>S8 &gt; 0</f>
        <v>0</v>
      </c>
      <c r="U8" s="3">
        <f>_xlfn.IFNA(INDEX(Steps!P2:P999, MATCH(D8,Steps!A2:A999, 0)), "")</f>
        <v>0</v>
      </c>
      <c r="V8" s="3" t="b">
        <f>U8 &gt; 0</f>
        <v>0</v>
      </c>
      <c r="W8" s="3" t="b">
        <f>J8 &lt;&gt; ""</f>
        <v>0</v>
      </c>
      <c r="X8" s="3" t="e">
        <f>AND(M8, NOT(W8))</f>
        <v>#NAME?</v>
      </c>
      <c r="Y8" s="3">
        <f>_xlfn.IFNA(INDEX(Steps!Q2:Q999, MATCH(D8,Steps!A2:A999, 0)), "")</f>
        <v>0</v>
      </c>
      <c r="Z8" s="3" t="e">
        <f>AND(X8, Y8 &gt; 0)</f>
        <v>#NAME?</v>
      </c>
      <c r="AA8" s="3">
        <f>_xlfn.IFNA(INDEX(Steps!R2:R999, MATCH(D8,Steps!A2:A999, 0)), "")</f>
        <v>0</v>
      </c>
      <c r="AB8" s="3">
        <f>COUNTIFS(VerificationOutcomes!C2:C999, A8)</f>
        <v>0</v>
      </c>
      <c r="AC8" s="3">
        <f>AA8 - AB8</f>
        <v>0</v>
      </c>
      <c r="AD8" s="3" t="b">
        <f>AC8 &gt; 0</f>
        <v>0</v>
      </c>
      <c r="AE8" s="3" t="b">
        <f>AND(I8 = "PASS", AD8)</f>
        <v>0</v>
      </c>
      <c r="AF8" s="3" t="b">
        <f>_xlfn.IFNA(INDEX(Steps!S2:S999, MATCH(D8,Steps!A2:A999, 0)), "")</f>
        <v>0</v>
      </c>
      <c r="AG8" s="3" t="b">
        <f>_xlfn.IFNA(INDEX(Steps!T2:T999, MATCH(D8,Steps!A2:A999, 0)), "")</f>
        <v>0</v>
      </c>
      <c r="AH8" s="3" t="str">
        <f>IF(AF8, C8 &amp; "|" &amp; E8, "")</f>
      </c>
      <c r="AI8" s="3" t="str">
        <f>IF(AG8, C8 &amp; "|" &amp; E8, "")</f>
      </c>
      <c r="AJ8" s="3">
        <f>COUNTIFS(AH2:AH999, AI8)</f>
        <v>10</v>
      </c>
      <c r="AK8" s="3" t="b">
        <f>AND(AG8, AJ8 &gt; 0)</f>
        <v>0</v>
      </c>
      <c r="AL8" s="3" t="str">
        <f>_xlfn.IFNA(INDEX(Steps!G2:G999, MATCH(D8,Steps!A2:A999, 0)), "")</f>
        <v>close-automation</v>
      </c>
      <c r="AM8" s="3" t="str">
        <f>E8 &amp; "|" &amp; AL8</f>
        <v>close-pipeline|close-automation</v>
      </c>
      <c r="AN8" s="3">
        <f>COUNTIFS(RoleAssignments!N2:N999, AM8)</f>
        <v>1</v>
      </c>
      <c r="AO8" s="3" t="b">
        <f>AN8 &gt; 0</f>
        <v>1</v>
      </c>
      <c r="AP8" s="3" t="b">
        <f>AND(AG8, NOT(AO8))</f>
        <v>0</v>
      </c>
      <c r="AQ8" s="3" t="str">
        <f>IF(F8 = "Completed", C8, "")</f>
        <v>exec-close-2026-q2</v>
      </c>
      <c r="AR8" s="3" t="str">
        <f>IF(OR(P8, AK8, AP8, AE8), C8, "")</f>
      </c>
      <c r="AS8" s="3" t="e">
        <f>IF(M8, C8, "")</f>
        <v>#NAME?</v>
      </c>
      <c r="AT8" s="3" t="str">
        <f>_xlfn.IFNA(INDEX(Agents!D2:D999, MATCH(E8,Agents!A2:A999, 0)), "")</f>
        <v>AutomatedPipeline</v>
      </c>
      <c r="AU8" s="3" t="b">
        <f>AT8 = "Human"</f>
        <v>0</v>
      </c>
      <c r="AV8" s="3" t="b">
        <f>_xlfn.IFNA(INDEX(Steps!M2:M999, MATCH(D8,Steps!A2:A999, 0)), "")</f>
        <v>0</v>
      </c>
      <c r="AW8" s="3" t="b">
        <f>AND(AV8, NOT(AU8))</f>
        <v>0</v>
      </c>
      <c r="AX8" s="3" t="b">
        <f>AND(AG8, NOT(AU8))</f>
        <v>0</v>
      </c>
      <c r="AY8" s="3" t="str">
        <f>IF(T8, C8, "")</f>
      </c>
      <c r="AZ8" s="3" t="str">
        <f>IF(AK8, C8, "")</f>
      </c>
      <c r="BA8" s="3">
        <f>COUNTIFS(VerificationOutcomes!P2:P999, A8)</f>
        <v>0</v>
      </c>
      <c r="BB8" s="3">
        <f>COUNTIFS(VerificationOutcomes!Q2:Q999, A8)</f>
        <v>0</v>
      </c>
      <c r="BC8" s="3" t="b">
        <f>AND(AG8, OR(BA8 &gt; 0, AD8))</f>
        <v>0</v>
      </c>
      <c r="BD8" s="3">
        <f>COUNTIFS(ExceptionInvocations!C2:C999, A8)</f>
        <v>0</v>
      </c>
      <c r="BE8" s="3" t="b">
        <f>BD8 &gt; 0</f>
        <v>0</v>
      </c>
      <c r="BF8" s="3" t="b">
        <f>F8 = "Completed"</f>
        <v>1</v>
      </c>
      <c r="BG8" s="3" t="b">
        <f>I8 = "PASS"</f>
        <v>1</v>
      </c>
      <c r="BH8" s="3" t="b">
        <f>D8 = "policy-04"</f>
        <v>0</v>
      </c>
      <c r="BI8" s="3" t="str">
        <f>IF(AND(BH8, BG8), C8, "")</f>
      </c>
      <c r="BJ8" s="3" t="str">
        <f>_xlfn.IFNA(INDEX(Steps!G2:G999, MATCH(D8,Steps!A2:A999, 0)), "")</f>
        <v>close-automation</v>
      </c>
      <c r="BK8" s="3" t="str">
        <f>_xlfn.IFNA(INDEX(Roles!E2:E999, MATCH(BJ8,Roles!A2:A999, 0)), "")</f>
        <v>close-pipeline</v>
      </c>
      <c r="BL8" s="3" t="b">
        <f>E8 = BK8</f>
        <v>1</v>
      </c>
      <c r="BM8" s="3" t="b">
        <f>_xlfn.IFNA(INDEX(Steps!V2:V999, MATCH(D8,Steps!A2:A999, 0)), "")</f>
        <v>1</v>
      </c>
      <c r="BN8" s="3" t="b">
        <f>AND(F8 = "Completed", NOT(BM8))</f>
        <v>0</v>
      </c>
      <c r="BO8" s="3">
        <f>COUNTIFS(IssueOccurrences!K2:K999, A8)</f>
        <v>0</v>
      </c>
      <c r="BP8" s="3" t="b">
        <f>J8 &lt;&gt; ""</f>
        <v>0</v>
      </c>
      <c r="BQ8" s="3" t="e">
        <f>AND(I8 = "PASS", NOT(BP8), BO8 = 0, NOT(M8))</f>
        <v>#NAME?</v>
      </c>
      <c r="BR8" s="3" t="e">
        <f>IF(BQ8, "", C8)</f>
        <v>#NAME?</v>
      </c>
      <c r="BS8" s="3">
        <f>COUNTIFS(RequirementSatisfactions!U2:U999, A8)</f>
        <v>0</v>
      </c>
      <c r="BT8" s="5">
        <f>_xlfn.IFNA(INDEX(Steps!N2:N999, MATCH(D8,Steps!A2:A999, 0)), "")</f>
        <v>0</v>
      </c>
      <c r="BU8" s="3" t="b">
        <f>BS8 &lt; BT8</f>
        <v>0</v>
      </c>
      <c r="BV8" s="3" t="str">
        <f>_xlfn.IFNA(INDEX(Agents!D2:D999, MATCH(E8,Agents!A2:A999, 0)), "")</f>
        <v>AutomatedPipeline</v>
      </c>
      <c r="BW8" s="3" t="b">
        <f>OR(BV8 = "AIAgent", BV8 = "AutomatedPipeline")</f>
        <v>1</v>
      </c>
      <c r="BX8" s="3" t="b">
        <f>_xlfn.IFNA(INDEX(Steps!W2:W999, MATCH(D8,Steps!A2:A999, 0)), "")</f>
        <v>1</v>
      </c>
      <c r="BY8" s="3" t="b">
        <f>AND(BW8, NOT(BX8))</f>
        <v>0</v>
      </c>
      <c r="BZ8" s="3" t="b">
        <f>_xlfn.IFNA(INDEX(Steps!X2:X999, MATCH(D8,Steps!A2:A999, 0)), "")</f>
        <v>0</v>
      </c>
      <c r="CA8" s="3" t="b">
        <f>AND(I8 &lt;&gt; "", I8 &lt;&gt; "PENDING", I8 &lt;&gt; "FAIL")</f>
        <v>1</v>
      </c>
      <c r="CB8" s="3">
        <f>COUNTIFS(AgentDecisionRecords!AA2:AA999, A8)</f>
        <v>0</v>
      </c>
      <c r="CC8" s="3" t="b">
        <f>_xlfn.IFNA(INDEX(Steps!M2:M999, MATCH(D8,Steps!A2:A999, 0)), "")</f>
        <v>0</v>
      </c>
      <c r="CD8" s="3" t="b">
        <f>AND(CC8, CB8 &gt; 0)</f>
        <v>0</v>
      </c>
      <c r="CE8" s="3" t="b">
        <f>AND(F8 = "Completed", NOT(CF8))</f>
        <v>0</v>
      </c>
      <c r="CF8" s="3" t="b">
        <f>_xlfn.IFNA(INDEX(Steps!AC2:AC999, MATCH(D8,Steps!A2:A999, 0)), "")</f>
        <v>1</v>
      </c>
      <c r="CG8" s="3" t="str">
        <f>IF(BW8, D8, "")</f>
        <v>close-07</v>
      </c>
      <c r="CH8" s="3" t="str">
        <f>_xlfn.IFNA(INDEX(Steps!AD2:AD999, MATCH(D8,Steps!A2:A999, 0)), "")</f>
        <v>Publication</v>
      </c>
      <c r="CI8" s="3">
        <f>COUNTIFS(RequirementSatisfactions!AC2:AC999, A8)</f>
        <v>0</v>
      </c>
      <c r="CJ8" s="3" t="b">
        <f>AND(R8 &gt; 0, CI8 &gt;= R8)</f>
        <v>0</v>
      </c>
      <c r="CK8" s="3">
        <f>COUNTIFS(BindingObservations!K2:K999, A8)</f>
        <v>0</v>
      </c>
      <c r="CL8" s="3" t="b">
        <f>CK8 &gt; 0</f>
        <v>0</v>
      </c>
      <c r="CM8" s="3" t="b">
        <f>NOT(CL8 = V8)</f>
        <v>0</v>
      </c>
      <c r="CN8" s="3" t="b">
        <f>OR(AA8 &gt; 0, Q8 &gt; 0)</f>
        <v>0</v>
      </c>
      <c r="CO8" s="3">
        <f>AB8 + R8</f>
        <v>0</v>
      </c>
      <c r="CP8" s="3">
        <f>AA8 + Q8</f>
        <v>0</v>
      </c>
      <c r="CQ8" s="3" t="b">
        <f>CP8 = 0</f>
        <v>1</v>
      </c>
      <c r="CR8" s="3" t="e">
        <f>AND(BQ8, CQ8)</f>
        <v>#NAME?</v>
      </c>
      <c r="CS8" s="3" t="e">
        <f>AND(BQ8, CO8 &gt;= CP8, CP8 &gt; 0)</f>
        <v>#NAME?</v>
      </c>
      <c r="CT8" s="3" t="e">
        <f>IF(CR8, C8, "")</f>
        <v>#NAME?</v>
      </c>
      <c r="CU8" s="3">
        <f>COUNTIFS(VerificationOutcomes!T2:T999, A8)</f>
        <v>0</v>
      </c>
      <c r="CV8" s="3" t="b">
        <f>AND(AB8 &gt; 0, CU8 &gt;= AB8)</f>
        <v>0</v>
      </c>
      <c r="CW8" s="3" t="str">
        <f>IF(AF8, C8, "")</f>
      </c>
      <c r="CX8" s="3" t="str">
        <f>IF(AG8, C8, "")</f>
      </c>
      <c r="CY8" s="3" t="b">
        <f>OR(BE8, CZ8)</f>
        <v>1</v>
      </c>
      <c r="CZ8" s="3" t="b">
        <f>_xlfn.IFNA(INDEX(ProcedureVersions!CB2:CB999, MATCH(DA8,ProcedureVersions!A2:A999, 0)), "")</f>
        <v>1</v>
      </c>
      <c r="DA8" s="3" t="str">
        <f>_xlfn.IFNA(INDEX(Steps!C2:C999, MATCH(D8,Steps!A2:A999, 0)), "")</f>
        <v>close-v1.1.0</v>
      </c>
      <c r="DB8" s="3" t="e">
        <f>AND(OR(BP8, M8, P8), NOT(CY8))</f>
        <v>#NAME?</v>
      </c>
      <c r="DC8" s="3" t="e">
        <f>IF(DB8, C8, "")</f>
        <v>#NAME?</v>
      </c>
      <c r="DD8" s="3" t="str">
        <f>IF(BC8, C8, "")</f>
      </c>
      <c r="DE8" s="2" t="s">
        <v>1429</v>
      </c>
    </row>
    <row r="9">
      <c r="A9" s="2" t="s">
        <v>1439</v>
      </c>
      <c r="B9" s="3" t="str">
        <f>C9 &amp; " / " &amp; D9</f>
        <v>exec-close-2026-q2 / close-08</v>
      </c>
      <c r="C9" s="2" t="s">
        <v>1319</v>
      </c>
      <c r="D9" s="2" t="s">
        <v>573</v>
      </c>
      <c r="E9" s="2" t="s">
        <v>153</v>
      </c>
      <c r="F9" s="2" t="s">
        <v>1320</v>
      </c>
      <c r="G9" s="4">
        <v>46205.791666666664</v>
      </c>
      <c r="H9" s="4">
        <v>46205.90625</v>
      </c>
      <c r="I9" s="2" t="s">
        <v>1428</v>
      </c>
      <c r="J9" s="2" t="s">
        <v>1440</v>
      </c>
      <c r="K9" s="5" t="e">
        <f>IF(H9 = "", 0, DATETIME_DIFF(H9, G9, "minutes"))</f>
        <v>#NAME?</v>
      </c>
      <c r="L9" s="5">
        <f>_xlfn.IFNA(INDEX(Steps!K2:K999, MATCH(D9,Steps!A2:A999, 0)), "")</f>
        <v>45</v>
      </c>
      <c r="M9" s="3" t="e">
        <f>K9 &gt; L9</f>
        <v>#NAME?</v>
      </c>
      <c r="N9" s="3">
        <f>COUNTIFS(RequirementSatisfactions!C2:C999, A9,RequirementSatisfactions!K2:K999, TRUE)</f>
        <v>0</v>
      </c>
      <c r="O9" s="3">
        <f>COUNTIFS(RequirementSatisfactions!L2:L999, A9)</f>
        <v>0</v>
      </c>
      <c r="P9" s="3" t="b">
        <f>AND(F9 = "Completed", O9 &gt; 0)</f>
        <v>0</v>
      </c>
      <c r="Q9" s="3">
        <f>_xlfn.IFNA(INDEX(Steps!N2:N999, MATCH(D9,Steps!A2:A999, 0)), "")</f>
        <v>1</v>
      </c>
      <c r="R9" s="3">
        <f>COUNTIFS(RequirementSatisfactions!M2:M999, A9)</f>
        <v>1</v>
      </c>
      <c r="S9" s="3">
        <f>Q9 - R9</f>
        <v>0</v>
      </c>
      <c r="T9" s="3" t="b">
        <f>S9 &gt; 0</f>
        <v>0</v>
      </c>
      <c r="U9" s="3">
        <f>_xlfn.IFNA(INDEX(Steps!P2:P999, MATCH(D9,Steps!A2:A999, 0)), "")</f>
        <v>0</v>
      </c>
      <c r="V9" s="3" t="b">
        <f>U9 &gt; 0</f>
        <v>0</v>
      </c>
      <c r="W9" s="3" t="b">
        <f>J9 &lt;&gt; ""</f>
        <v>1</v>
      </c>
      <c r="X9" s="3" t="e">
        <f>AND(M9, NOT(W9))</f>
        <v>#NAME?</v>
      </c>
      <c r="Y9" s="3">
        <f>_xlfn.IFNA(INDEX(Steps!Q2:Q999, MATCH(D9,Steps!A2:A999, 0)), "")</f>
        <v>0</v>
      </c>
      <c r="Z9" s="3" t="e">
        <f>AND(X9, Y9 &gt; 0)</f>
        <v>#NAME?</v>
      </c>
      <c r="AA9" s="3">
        <f>_xlfn.IFNA(INDEX(Steps!R2:R999, MATCH(D9,Steps!A2:A999, 0)), "")</f>
        <v>0</v>
      </c>
      <c r="AB9" s="3">
        <f>COUNTIFS(VerificationOutcomes!C2:C999, A9)</f>
        <v>0</v>
      </c>
      <c r="AC9" s="3">
        <f>AA9 - AB9</f>
        <v>0</v>
      </c>
      <c r="AD9" s="3" t="b">
        <f>AC9 &gt; 0</f>
        <v>0</v>
      </c>
      <c r="AE9" s="3" t="b">
        <f>AND(I9 = "PASS", AD9)</f>
        <v>0</v>
      </c>
      <c r="AF9" s="3" t="b">
        <f>_xlfn.IFNA(INDEX(Steps!S2:S999, MATCH(D9,Steps!A2:A999, 0)), "")</f>
        <v>0</v>
      </c>
      <c r="AG9" s="3" t="b">
        <f>_xlfn.IFNA(INDEX(Steps!T2:T999, MATCH(D9,Steps!A2:A999, 0)), "")</f>
        <v>0</v>
      </c>
      <c r="AH9" s="3" t="str">
        <f>IF(AF9, C9 &amp; "|" &amp; E9, "")</f>
      </c>
      <c r="AI9" s="3" t="str">
        <f>IF(AG9, C9 &amp; "|" &amp; E9, "")</f>
      </c>
      <c r="AJ9" s="3">
        <f>COUNTIFS(AH2:AH999, AI9)</f>
        <v>10</v>
      </c>
      <c r="AK9" s="3" t="b">
        <f>AND(AG9, AJ9 &gt; 0)</f>
        <v>0</v>
      </c>
      <c r="AL9" s="3" t="str">
        <f>_xlfn.IFNA(INDEX(Steps!G2:G999, MATCH(D9,Steps!A2:A999, 0)), "")</f>
        <v>process-steward</v>
      </c>
      <c r="AM9" s="3" t="str">
        <f>E9 &amp; "|" &amp; AL9</f>
        <v>elena-garcia|process-steward</v>
      </c>
      <c r="AN9" s="3">
        <f>COUNTIFS(RoleAssignments!N2:N999, AM9)</f>
        <v>1</v>
      </c>
      <c r="AO9" s="3" t="b">
        <f>AN9 &gt; 0</f>
        <v>1</v>
      </c>
      <c r="AP9" s="3" t="b">
        <f>AND(AG9, NOT(AO9))</f>
        <v>0</v>
      </c>
      <c r="AQ9" s="3" t="str">
        <f>IF(F9 = "Completed", C9, "")</f>
        <v>exec-close-2026-q2</v>
      </c>
      <c r="AR9" s="3" t="str">
        <f>IF(OR(P9, AK9, AP9, AE9), C9, "")</f>
      </c>
      <c r="AS9" s="3" t="e">
        <f>IF(M9, C9, "")</f>
        <v>#NAME?</v>
      </c>
      <c r="AT9" s="3" t="str">
        <f>_xlfn.IFNA(INDEX(Agents!D2:D999, MATCH(E9,Agents!A2:A999, 0)), "")</f>
        <v>Human</v>
      </c>
      <c r="AU9" s="3" t="b">
        <f>AT9 = "Human"</f>
        <v>1</v>
      </c>
      <c r="AV9" s="3" t="b">
        <f>_xlfn.IFNA(INDEX(Steps!M2:M999, MATCH(D9,Steps!A2:A999, 0)), "")</f>
        <v>0</v>
      </c>
      <c r="AW9" s="3" t="b">
        <f>AND(AV9, NOT(AU9))</f>
        <v>0</v>
      </c>
      <c r="AX9" s="3" t="b">
        <f>AND(AG9, NOT(AU9))</f>
        <v>0</v>
      </c>
      <c r="AY9" s="3" t="str">
        <f>IF(T9, C9, "")</f>
      </c>
      <c r="AZ9" s="3" t="str">
        <f>IF(AK9, C9, "")</f>
      </c>
      <c r="BA9" s="3">
        <f>COUNTIFS(VerificationOutcomes!P2:P999, A9)</f>
        <v>0</v>
      </c>
      <c r="BB9" s="3">
        <f>COUNTIFS(VerificationOutcomes!Q2:Q999, A9)</f>
        <v>0</v>
      </c>
      <c r="BC9" s="3" t="b">
        <f>AND(AG9, OR(BA9 &gt; 0, AD9))</f>
        <v>0</v>
      </c>
      <c r="BD9" s="3">
        <f>COUNTIFS(ExceptionInvocations!C2:C999, A9)</f>
        <v>0</v>
      </c>
      <c r="BE9" s="3" t="b">
        <f>BD9 &gt; 0</f>
        <v>0</v>
      </c>
      <c r="BF9" s="3" t="b">
        <f>F9 = "Completed"</f>
        <v>1</v>
      </c>
      <c r="BG9" s="3" t="b">
        <f>I9 = "PASS"</f>
        <v>1</v>
      </c>
      <c r="BH9" s="3" t="b">
        <f>D9 = "policy-04"</f>
        <v>0</v>
      </c>
      <c r="BI9" s="3" t="str">
        <f>IF(AND(BH9, BG9), C9, "")</f>
      </c>
      <c r="BJ9" s="3" t="str">
        <f>_xlfn.IFNA(INDEX(Steps!G2:G999, MATCH(D9,Steps!A2:A999, 0)), "")</f>
        <v>process-steward</v>
      </c>
      <c r="BK9" s="3" t="str">
        <f>_xlfn.IFNA(INDEX(Roles!E2:E999, MATCH(BJ9,Roles!A2:A999, 0)), "")</f>
        <v>elena-garcia</v>
      </c>
      <c r="BL9" s="3" t="b">
        <f>E9 = BK9</f>
        <v>1</v>
      </c>
      <c r="BM9" s="3" t="b">
        <f>_xlfn.IFNA(INDEX(Steps!V2:V999, MATCH(D9,Steps!A2:A999, 0)), "")</f>
        <v>1</v>
      </c>
      <c r="BN9" s="3" t="b">
        <f>AND(F9 = "Completed", NOT(BM9))</f>
        <v>0</v>
      </c>
      <c r="BO9" s="3">
        <f>COUNTIFS(IssueOccurrences!K2:K999, A9)</f>
        <v>0</v>
      </c>
      <c r="BP9" s="3" t="b">
        <f>J9 &lt;&gt; ""</f>
        <v>1</v>
      </c>
      <c r="BQ9" s="3" t="e">
        <f>AND(I9 = "PASS", NOT(BP9), BO9 = 0, NOT(M9))</f>
        <v>#NAME?</v>
      </c>
      <c r="BR9" s="3" t="e">
        <f>IF(BQ9, "", C9)</f>
        <v>#NAME?</v>
      </c>
      <c r="BS9" s="3">
        <f>COUNTIFS(RequirementSatisfactions!U2:U999, A9)</f>
        <v>1</v>
      </c>
      <c r="BT9" s="5">
        <f>_xlfn.IFNA(INDEX(Steps!N2:N999, MATCH(D9,Steps!A2:A999, 0)), "")</f>
        <v>1</v>
      </c>
      <c r="BU9" s="3" t="b">
        <f>BS9 &lt; BT9</f>
        <v>0</v>
      </c>
      <c r="BV9" s="3" t="str">
        <f>_xlfn.IFNA(INDEX(Agents!D2:D999, MATCH(E9,Agents!A2:A999, 0)), "")</f>
        <v>Human</v>
      </c>
      <c r="BW9" s="3" t="b">
        <f>OR(BV9 = "AIAgent", BV9 = "AutomatedPipeline")</f>
        <v>0</v>
      </c>
      <c r="BX9" s="3" t="b">
        <f>_xlfn.IFNA(INDEX(Steps!W2:W999, MATCH(D9,Steps!A2:A999, 0)), "")</f>
        <v>0</v>
      </c>
      <c r="BY9" s="3" t="b">
        <f>AND(BW9, NOT(BX9))</f>
        <v>0</v>
      </c>
      <c r="BZ9" s="3" t="b">
        <f>_xlfn.IFNA(INDEX(Steps!X2:X999, MATCH(D9,Steps!A2:A999, 0)), "")</f>
        <v>0</v>
      </c>
      <c r="CA9" s="3" t="b">
        <f>AND(I9 &lt;&gt; "", I9 &lt;&gt; "PENDING", I9 &lt;&gt; "FAIL")</f>
        <v>1</v>
      </c>
      <c r="CB9" s="3">
        <f>COUNTIFS(AgentDecisionRecords!AA2:AA999, A9)</f>
        <v>0</v>
      </c>
      <c r="CC9" s="3" t="b">
        <f>_xlfn.IFNA(INDEX(Steps!M2:M999, MATCH(D9,Steps!A2:A999, 0)), "")</f>
        <v>0</v>
      </c>
      <c r="CD9" s="3" t="b">
        <f>AND(CC9, CB9 &gt; 0)</f>
        <v>0</v>
      </c>
      <c r="CE9" s="3" t="b">
        <f>AND(F9 = "Completed", NOT(CF9))</f>
        <v>0</v>
      </c>
      <c r="CF9" s="3" t="b">
        <f>_xlfn.IFNA(INDEX(Steps!AC2:AC999, MATCH(D9,Steps!A2:A999, 0)), "")</f>
        <v>1</v>
      </c>
      <c r="CG9" s="3" t="str">
        <f>IF(BW9, D9, "")</f>
      </c>
      <c r="CH9" s="3" t="str">
        <f>_xlfn.IFNA(INDEX(Steps!AD2:AD999, MATCH(D9,Steps!A2:A999, 0)), "")</f>
        <v>Retrospective</v>
      </c>
      <c r="CI9" s="3">
        <f>COUNTIFS(RequirementSatisfactions!AC2:AC999, A9)</f>
        <v>0</v>
      </c>
      <c r="CJ9" s="3" t="b">
        <f>AND(R9 &gt; 0, CI9 &gt;= R9)</f>
        <v>0</v>
      </c>
      <c r="CK9" s="3">
        <f>COUNTIFS(BindingObservations!K2:K999, A9)</f>
        <v>0</v>
      </c>
      <c r="CL9" s="3" t="b">
        <f>CK9 &gt; 0</f>
        <v>0</v>
      </c>
      <c r="CM9" s="3" t="b">
        <f>NOT(CL9 = V9)</f>
        <v>0</v>
      </c>
      <c r="CN9" s="3" t="b">
        <f>OR(AA9 &gt; 0, Q9 &gt; 0)</f>
        <v>1</v>
      </c>
      <c r="CO9" s="3">
        <f>AB9 + R9</f>
        <v>1</v>
      </c>
      <c r="CP9" s="3">
        <f>AA9 + Q9</f>
        <v>1</v>
      </c>
      <c r="CQ9" s="3" t="b">
        <f>CP9 = 0</f>
        <v>0</v>
      </c>
      <c r="CR9" s="3" t="e">
        <f>AND(BQ9, CQ9)</f>
        <v>#NAME?</v>
      </c>
      <c r="CS9" s="3" t="e">
        <f>AND(BQ9, CO9 &gt;= CP9, CP9 &gt; 0)</f>
        <v>#NAME?</v>
      </c>
      <c r="CT9" s="3" t="e">
        <f>IF(CR9, C9, "")</f>
        <v>#NAME?</v>
      </c>
      <c r="CU9" s="3">
        <f>COUNTIFS(VerificationOutcomes!T2:T999, A9)</f>
        <v>0</v>
      </c>
      <c r="CV9" s="3" t="b">
        <f>AND(AB9 &gt; 0, CU9 &gt;= AB9)</f>
        <v>0</v>
      </c>
      <c r="CW9" s="3" t="str">
        <f>IF(AF9, C9, "")</f>
      </c>
      <c r="CX9" s="3" t="str">
        <f>IF(AG9, C9, "")</f>
      </c>
      <c r="CY9" s="3" t="b">
        <f>OR(BE9, CZ9)</f>
        <v>1</v>
      </c>
      <c r="CZ9" s="3" t="b">
        <f>_xlfn.IFNA(INDEX(ProcedureVersions!CB2:CB999, MATCH(DA9,ProcedureVersions!A2:A999, 0)), "")</f>
        <v>1</v>
      </c>
      <c r="DA9" s="3" t="str">
        <f>_xlfn.IFNA(INDEX(Steps!C2:C999, MATCH(D9,Steps!A2:A999, 0)), "")</f>
        <v>close-v1.1.0</v>
      </c>
      <c r="DB9" s="3" t="e">
        <f>AND(OR(BP9, M9, P9), NOT(CY9))</f>
        <v>#NAME?</v>
      </c>
      <c r="DC9" s="3" t="e">
        <f>IF(DB9, C9, "")</f>
        <v>#NAME?</v>
      </c>
      <c r="DD9" s="3" t="str">
        <f>IF(BC9, C9, "")</f>
      </c>
      <c r="DE9" s="2" t="s">
        <v>1429</v>
      </c>
    </row>
    <row r="10">
      <c r="A10" s="2" t="s">
        <v>1441</v>
      </c>
      <c r="B10" s="3" t="str">
        <f>C10 &amp; " / " &amp; D10</f>
        <v>exec-policy-hr4821 / policy-01</v>
      </c>
      <c r="C10" s="2" t="s">
        <v>1324</v>
      </c>
      <c r="D10" s="2" t="s">
        <v>578</v>
      </c>
      <c r="E10" s="2" t="s">
        <v>153</v>
      </c>
      <c r="F10" s="2" t="s">
        <v>1320</v>
      </c>
      <c r="G10" s="4">
        <v>46221.583333333336</v>
      </c>
      <c r="H10" s="4">
        <v>46221.6</v>
      </c>
      <c r="I10" s="2" t="s">
        <v>1428</v>
      </c>
      <c r="J10" s="2" t="s">
        <v>168</v>
      </c>
      <c r="K10" s="5" t="e">
        <f>IF(H10 = "", 0, DATETIME_DIFF(H10, G10, "minutes"))</f>
        <v>#NAME?</v>
      </c>
      <c r="L10" s="5">
        <f>_xlfn.IFNA(INDEX(Steps!K2:K999, MATCH(D10,Steps!A2:A999, 0)), "")</f>
        <v>30</v>
      </c>
      <c r="M10" s="3" t="e">
        <f>K10 &gt; L10</f>
        <v>#NAME?</v>
      </c>
      <c r="N10" s="3">
        <f>COUNTIFS(RequirementSatisfactions!C2:C999, A10,RequirementSatisfactions!K2:K999, TRUE)</f>
        <v>0</v>
      </c>
      <c r="O10" s="3">
        <f>COUNTIFS(RequirementSatisfactions!L2:L999, A10)</f>
        <v>0</v>
      </c>
      <c r="P10" s="3" t="b">
        <f>AND(F10 = "Completed", O10 &gt; 0)</f>
        <v>0</v>
      </c>
      <c r="Q10" s="3">
        <f>_xlfn.IFNA(INDEX(Steps!N2:N999, MATCH(D10,Steps!A2:A999, 0)), "")</f>
        <v>0</v>
      </c>
      <c r="R10" s="3">
        <f>COUNTIFS(RequirementSatisfactions!M2:M999, A10)</f>
        <v>0</v>
      </c>
      <c r="S10" s="3">
        <f>Q10 - R10</f>
        <v>0</v>
      </c>
      <c r="T10" s="3" t="b">
        <f>S10 &gt; 0</f>
        <v>0</v>
      </c>
      <c r="U10" s="3">
        <f>_xlfn.IFNA(INDEX(Steps!P2:P999, MATCH(D10,Steps!A2:A999, 0)), "")</f>
        <v>0</v>
      </c>
      <c r="V10" s="3" t="b">
        <f>U10 &gt; 0</f>
        <v>0</v>
      </c>
      <c r="W10" s="3" t="b">
        <f>J10 &lt;&gt; ""</f>
        <v>0</v>
      </c>
      <c r="X10" s="3" t="e">
        <f>AND(M10, NOT(W10))</f>
        <v>#NAME?</v>
      </c>
      <c r="Y10" s="3">
        <f>_xlfn.IFNA(INDEX(Steps!Q2:Q999, MATCH(D10,Steps!A2:A999, 0)), "")</f>
        <v>0</v>
      </c>
      <c r="Z10" s="3" t="e">
        <f>AND(X10, Y10 &gt; 0)</f>
        <v>#NAME?</v>
      </c>
      <c r="AA10" s="3">
        <f>_xlfn.IFNA(INDEX(Steps!R2:R999, MATCH(D10,Steps!A2:A999, 0)), "")</f>
        <v>0</v>
      </c>
      <c r="AB10" s="3">
        <f>COUNTIFS(VerificationOutcomes!C2:C999, A10)</f>
        <v>0</v>
      </c>
      <c r="AC10" s="3">
        <f>AA10 - AB10</f>
        <v>0</v>
      </c>
      <c r="AD10" s="3" t="b">
        <f>AC10 &gt; 0</f>
        <v>0</v>
      </c>
      <c r="AE10" s="3" t="b">
        <f>AND(I10 = "PASS", AD10)</f>
        <v>0</v>
      </c>
      <c r="AF10" s="3" t="b">
        <f>_xlfn.IFNA(INDEX(Steps!S2:S999, MATCH(D10,Steps!A2:A999, 0)), "")</f>
        <v>0</v>
      </c>
      <c r="AG10" s="3" t="b">
        <f>_xlfn.IFNA(INDEX(Steps!T2:T999, MATCH(D10,Steps!A2:A999, 0)), "")</f>
        <v>0</v>
      </c>
      <c r="AH10" s="3" t="str">
        <f>IF(AF10, C10 &amp; "|" &amp; E10, "")</f>
      </c>
      <c r="AI10" s="3" t="str">
        <f>IF(AG10, C10 &amp; "|" &amp; E10, "")</f>
      </c>
      <c r="AJ10" s="3">
        <f>COUNTIFS(AH2:AH999, AI10)</f>
        <v>10</v>
      </c>
      <c r="AK10" s="3" t="b">
        <f>AND(AG10, AJ10 &gt; 0)</f>
        <v>0</v>
      </c>
      <c r="AL10" s="3" t="str">
        <f>_xlfn.IFNA(INDEX(Steps!G2:G999, MATCH(D10,Steps!A2:A999, 0)), "")</f>
        <v>hr-policy-owner</v>
      </c>
      <c r="AM10" s="3" t="str">
        <f>E10 &amp; "|" &amp; AL10</f>
        <v>elena-garcia|hr-policy-owner</v>
      </c>
      <c r="AN10" s="3">
        <f>COUNTIFS(RoleAssignments!N2:N999, AM10)</f>
        <v>1</v>
      </c>
      <c r="AO10" s="3" t="b">
        <f>AN10 &gt; 0</f>
        <v>1</v>
      </c>
      <c r="AP10" s="3" t="b">
        <f>AND(AG10, NOT(AO10))</f>
        <v>0</v>
      </c>
      <c r="AQ10" s="3" t="str">
        <f>IF(F10 = "Completed", C10, "")</f>
        <v>exec-policy-hr4821</v>
      </c>
      <c r="AR10" s="3" t="str">
        <f>IF(OR(P10, AK10, AP10, AE10), C10, "")</f>
      </c>
      <c r="AS10" s="3" t="e">
        <f>IF(M10, C10, "")</f>
        <v>#NAME?</v>
      </c>
      <c r="AT10" s="3" t="str">
        <f>_xlfn.IFNA(INDEX(Agents!D2:D999, MATCH(E10,Agents!A2:A999, 0)), "")</f>
        <v>Human</v>
      </c>
      <c r="AU10" s="3" t="b">
        <f>AT10 = "Human"</f>
        <v>1</v>
      </c>
      <c r="AV10" s="3" t="b">
        <f>_xlfn.IFNA(INDEX(Steps!M2:M999, MATCH(D10,Steps!A2:A999, 0)), "")</f>
        <v>0</v>
      </c>
      <c r="AW10" s="3" t="b">
        <f>AND(AV10, NOT(AU10))</f>
        <v>0</v>
      </c>
      <c r="AX10" s="3" t="b">
        <f>AND(AG10, NOT(AU10))</f>
        <v>0</v>
      </c>
      <c r="AY10" s="3" t="str">
        <f>IF(T10, C10, "")</f>
      </c>
      <c r="AZ10" s="3" t="str">
        <f>IF(AK10, C10, "")</f>
      </c>
      <c r="BA10" s="3">
        <f>COUNTIFS(VerificationOutcomes!P2:P999, A10)</f>
        <v>0</v>
      </c>
      <c r="BB10" s="3">
        <f>COUNTIFS(VerificationOutcomes!Q2:Q999, A10)</f>
        <v>0</v>
      </c>
      <c r="BC10" s="3" t="b">
        <f>AND(AG10, OR(BA10 &gt; 0, AD10))</f>
        <v>0</v>
      </c>
      <c r="BD10" s="3">
        <f>COUNTIFS(ExceptionInvocations!C2:C999, A10)</f>
        <v>0</v>
      </c>
      <c r="BE10" s="3" t="b">
        <f>BD10 &gt; 0</f>
        <v>0</v>
      </c>
      <c r="BF10" s="3" t="b">
        <f>F10 = "Completed"</f>
        <v>1</v>
      </c>
      <c r="BG10" s="3" t="b">
        <f>I10 = "PASS"</f>
        <v>1</v>
      </c>
      <c r="BH10" s="3" t="b">
        <f>D10 = "policy-04"</f>
        <v>0</v>
      </c>
      <c r="BI10" s="3" t="str">
        <f>IF(AND(BH10, BG10), C10, "")</f>
      </c>
      <c r="BJ10" s="3" t="str">
        <f>_xlfn.IFNA(INDEX(Steps!G2:G999, MATCH(D10,Steps!A2:A999, 0)), "")</f>
        <v>hr-policy-owner</v>
      </c>
      <c r="BK10" s="3" t="str">
        <f>_xlfn.IFNA(INDEX(Roles!E2:E999, MATCH(BJ10,Roles!A2:A999, 0)), "")</f>
        <v>elena-garcia</v>
      </c>
      <c r="BL10" s="3" t="b">
        <f>E10 = BK10</f>
        <v>1</v>
      </c>
      <c r="BM10" s="3" t="b">
        <f>_xlfn.IFNA(INDEX(Steps!V2:V999, MATCH(D10,Steps!A2:A999, 0)), "")</f>
        <v>1</v>
      </c>
      <c r="BN10" s="3" t="b">
        <f>AND(F10 = "Completed", NOT(BM10))</f>
        <v>0</v>
      </c>
      <c r="BO10" s="3">
        <f>COUNTIFS(IssueOccurrences!K2:K999, A10)</f>
        <v>0</v>
      </c>
      <c r="BP10" s="3" t="b">
        <f>J10 &lt;&gt; ""</f>
        <v>0</v>
      </c>
      <c r="BQ10" s="3" t="e">
        <f>AND(I10 = "PASS", NOT(BP10), BO10 = 0, NOT(M10))</f>
        <v>#NAME?</v>
      </c>
      <c r="BR10" s="3" t="e">
        <f>IF(BQ10, "", C10)</f>
        <v>#NAME?</v>
      </c>
      <c r="BS10" s="3">
        <f>COUNTIFS(RequirementSatisfactions!U2:U999, A10)</f>
        <v>0</v>
      </c>
      <c r="BT10" s="5">
        <f>_xlfn.IFNA(INDEX(Steps!N2:N999, MATCH(D10,Steps!A2:A999, 0)), "")</f>
        <v>0</v>
      </c>
      <c r="BU10" s="3" t="b">
        <f>BS10 &lt; BT10</f>
        <v>0</v>
      </c>
      <c r="BV10" s="3" t="str">
        <f>_xlfn.IFNA(INDEX(Agents!D2:D999, MATCH(E10,Agents!A2:A999, 0)), "")</f>
        <v>Human</v>
      </c>
      <c r="BW10" s="3" t="b">
        <f>OR(BV10 = "AIAgent", BV10 = "AutomatedPipeline")</f>
        <v>0</v>
      </c>
      <c r="BX10" s="3" t="b">
        <f>_xlfn.IFNA(INDEX(Steps!W2:W999, MATCH(D10,Steps!A2:A999, 0)), "")</f>
        <v>0</v>
      </c>
      <c r="BY10" s="3" t="b">
        <f>AND(BW10, NOT(BX10))</f>
        <v>0</v>
      </c>
      <c r="BZ10" s="3" t="b">
        <f>_xlfn.IFNA(INDEX(Steps!X2:X999, MATCH(D10,Steps!A2:A999, 0)), "")</f>
        <v>0</v>
      </c>
      <c r="CA10" s="3" t="b">
        <f>AND(I10 &lt;&gt; "", I10 &lt;&gt; "PENDING", I10 &lt;&gt; "FAIL")</f>
        <v>1</v>
      </c>
      <c r="CB10" s="3">
        <f>COUNTIFS(AgentDecisionRecords!AA2:AA999, A10)</f>
        <v>0</v>
      </c>
      <c r="CC10" s="3" t="b">
        <f>_xlfn.IFNA(INDEX(Steps!M2:M999, MATCH(D10,Steps!A2:A999, 0)), "")</f>
        <v>0</v>
      </c>
      <c r="CD10" s="3" t="b">
        <f>AND(CC10, CB10 &gt; 0)</f>
        <v>0</v>
      </c>
      <c r="CE10" s="3" t="b">
        <f>AND(F10 = "Completed", NOT(CF10))</f>
        <v>0</v>
      </c>
      <c r="CF10" s="3" t="b">
        <f>_xlfn.IFNA(INDEX(Steps!AC2:AC999, MATCH(D10,Steps!A2:A999, 0)), "")</f>
        <v>1</v>
      </c>
      <c r="CG10" s="3" t="str">
        <f>IF(BW10, D10, "")</f>
      </c>
      <c r="CH10" s="3" t="str">
        <f>_xlfn.IFNA(INDEX(Steps!AD2:AD999, MATCH(D10,Steps!A2:A999, 0)), "")</f>
        <v>Preparation</v>
      </c>
      <c r="CI10" s="3">
        <f>COUNTIFS(RequirementSatisfactions!AC2:AC999, A10)</f>
        <v>0</v>
      </c>
      <c r="CJ10" s="3" t="b">
        <f>AND(R10 &gt; 0, CI10 &gt;= R10)</f>
        <v>0</v>
      </c>
      <c r="CK10" s="3">
        <f>COUNTIFS(BindingObservations!K2:K999, A10)</f>
        <v>0</v>
      </c>
      <c r="CL10" s="3" t="b">
        <f>CK10 &gt; 0</f>
        <v>0</v>
      </c>
      <c r="CM10" s="3" t="b">
        <f>NOT(CL10 = V10)</f>
        <v>0</v>
      </c>
      <c r="CN10" s="3" t="b">
        <f>OR(AA10 &gt; 0, Q10 &gt; 0)</f>
        <v>0</v>
      </c>
      <c r="CO10" s="3">
        <f>AB10 + R10</f>
        <v>0</v>
      </c>
      <c r="CP10" s="3">
        <f>AA10 + Q10</f>
        <v>0</v>
      </c>
      <c r="CQ10" s="3" t="b">
        <f>CP10 = 0</f>
        <v>1</v>
      </c>
      <c r="CR10" s="3" t="e">
        <f>AND(BQ10, CQ10)</f>
        <v>#NAME?</v>
      </c>
      <c r="CS10" s="3" t="e">
        <f>AND(BQ10, CO10 &gt;= CP10, CP10 &gt; 0)</f>
        <v>#NAME?</v>
      </c>
      <c r="CT10" s="3" t="e">
        <f>IF(CR10, C10, "")</f>
        <v>#NAME?</v>
      </c>
      <c r="CU10" s="3">
        <f>COUNTIFS(VerificationOutcomes!T2:T999, A10)</f>
        <v>0</v>
      </c>
      <c r="CV10" s="3" t="b">
        <f>AND(AB10 &gt; 0, CU10 &gt;= AB10)</f>
        <v>0</v>
      </c>
      <c r="CW10" s="3" t="str">
        <f>IF(AF10, C10, "")</f>
      </c>
      <c r="CX10" s="3" t="str">
        <f>IF(AG10, C10, "")</f>
      </c>
      <c r="CY10" s="3" t="b">
        <f>OR(BE10, CZ10)</f>
        <v>0</v>
      </c>
      <c r="CZ10" s="3" t="b">
        <f>_xlfn.IFNA(INDEX(ProcedureVersions!CB2:CB999, MATCH(DA10,ProcedureVersions!A2:A999, 0)), "")</f>
        <v>0</v>
      </c>
      <c r="DA10" s="3" t="str">
        <f>_xlfn.IFNA(INDEX(Steps!C2:C999, MATCH(D10,Steps!A2:A999, 0)), "")</f>
        <v>policy-v1.0.0</v>
      </c>
      <c r="DB10" s="3" t="e">
        <f>AND(OR(BP10, M10, P10), NOT(CY10))</f>
        <v>#NAME?</v>
      </c>
      <c r="DC10" s="3" t="e">
        <f>IF(DB10, C10, "")</f>
        <v>#NAME?</v>
      </c>
      <c r="DD10" s="3" t="str">
        <f>IF(BC10, C10, "")</f>
      </c>
      <c r="DE10" s="2" t="s">
        <v>1429</v>
      </c>
    </row>
    <row r="11">
      <c r="A11" s="2" t="s">
        <v>1442</v>
      </c>
      <c r="B11" s="3" t="str">
        <f>C11 &amp; " / " &amp; D11</f>
        <v>exec-policy-hr4821 / policy-02</v>
      </c>
      <c r="C11" s="2" t="s">
        <v>1324</v>
      </c>
      <c r="D11" s="2" t="s">
        <v>581</v>
      </c>
      <c r="E11" s="2" t="s">
        <v>153</v>
      </c>
      <c r="F11" s="2" t="s">
        <v>1320</v>
      </c>
      <c r="G11" s="4">
        <v>46221.604166666664</v>
      </c>
      <c r="H11" s="4">
        <v>46221.739583333336</v>
      </c>
      <c r="I11" s="2" t="s">
        <v>1428</v>
      </c>
      <c r="J11" s="2" t="s">
        <v>168</v>
      </c>
      <c r="K11" s="5" t="e">
        <f>IF(H11 = "", 0, DATETIME_DIFF(H11, G11, "minutes"))</f>
        <v>#NAME?</v>
      </c>
      <c r="L11" s="5">
        <f>_xlfn.IFNA(INDEX(Steps!K2:K999, MATCH(D11,Steps!A2:A999, 0)), "")</f>
        <v>180</v>
      </c>
      <c r="M11" s="3" t="e">
        <f>K11 &gt; L11</f>
        <v>#NAME?</v>
      </c>
      <c r="N11" s="3">
        <f>COUNTIFS(RequirementSatisfactions!C2:C999, A11,RequirementSatisfactions!K2:K999, TRUE)</f>
        <v>0</v>
      </c>
      <c r="O11" s="3">
        <f>COUNTIFS(RequirementSatisfactions!L2:L999, A11)</f>
        <v>0</v>
      </c>
      <c r="P11" s="3" t="b">
        <f>AND(F11 = "Completed", O11 &gt; 0)</f>
        <v>0</v>
      </c>
      <c r="Q11" s="3">
        <f>_xlfn.IFNA(INDEX(Steps!N2:N999, MATCH(D11,Steps!A2:A999, 0)), "")</f>
        <v>0</v>
      </c>
      <c r="R11" s="3">
        <f>COUNTIFS(RequirementSatisfactions!M2:M999, A11)</f>
        <v>0</v>
      </c>
      <c r="S11" s="3">
        <f>Q11 - R11</f>
        <v>0</v>
      </c>
      <c r="T11" s="3" t="b">
        <f>S11 &gt; 0</f>
        <v>0</v>
      </c>
      <c r="U11" s="3">
        <f>_xlfn.IFNA(INDEX(Steps!P2:P999, MATCH(D11,Steps!A2:A999, 0)), "")</f>
        <v>0</v>
      </c>
      <c r="V11" s="3" t="b">
        <f>U11 &gt; 0</f>
        <v>0</v>
      </c>
      <c r="W11" s="3" t="b">
        <f>J11 &lt;&gt; ""</f>
        <v>0</v>
      </c>
      <c r="X11" s="3" t="e">
        <f>AND(M11, NOT(W11))</f>
        <v>#NAME?</v>
      </c>
      <c r="Y11" s="3">
        <f>_xlfn.IFNA(INDEX(Steps!Q2:Q999, MATCH(D11,Steps!A2:A999, 0)), "")</f>
        <v>0</v>
      </c>
      <c r="Z11" s="3" t="e">
        <f>AND(X11, Y11 &gt; 0)</f>
        <v>#NAME?</v>
      </c>
      <c r="AA11" s="3">
        <f>_xlfn.IFNA(INDEX(Steps!R2:R999, MATCH(D11,Steps!A2:A999, 0)), "")</f>
        <v>0</v>
      </c>
      <c r="AB11" s="3">
        <f>COUNTIFS(VerificationOutcomes!C2:C999, A11)</f>
        <v>0</v>
      </c>
      <c r="AC11" s="3">
        <f>AA11 - AB11</f>
        <v>0</v>
      </c>
      <c r="AD11" s="3" t="b">
        <f>AC11 &gt; 0</f>
        <v>0</v>
      </c>
      <c r="AE11" s="3" t="b">
        <f>AND(I11 = "PASS", AD11)</f>
        <v>0</v>
      </c>
      <c r="AF11" s="3" t="b">
        <f>_xlfn.IFNA(INDEX(Steps!S2:S999, MATCH(D11,Steps!A2:A999, 0)), "")</f>
        <v>0</v>
      </c>
      <c r="AG11" s="3" t="b">
        <f>_xlfn.IFNA(INDEX(Steps!T2:T999, MATCH(D11,Steps!A2:A999, 0)), "")</f>
        <v>0</v>
      </c>
      <c r="AH11" s="3" t="str">
        <f>IF(AF11, C11 &amp; "|" &amp; E11, "")</f>
      </c>
      <c r="AI11" s="3" t="str">
        <f>IF(AG11, C11 &amp; "|" &amp; E11, "")</f>
      </c>
      <c r="AJ11" s="3">
        <f>COUNTIFS(AH2:AH999, AI11)</f>
        <v>10</v>
      </c>
      <c r="AK11" s="3" t="b">
        <f>AND(AG11, AJ11 &gt; 0)</f>
        <v>0</v>
      </c>
      <c r="AL11" s="3" t="str">
        <f>_xlfn.IFNA(INDEX(Steps!G2:G999, MATCH(D11,Steps!A2:A999, 0)), "")</f>
        <v>process-steward</v>
      </c>
      <c r="AM11" s="3" t="str">
        <f>E11 &amp; "|" &amp; AL11</f>
        <v>elena-garcia|process-steward</v>
      </c>
      <c r="AN11" s="3">
        <f>COUNTIFS(RoleAssignments!N2:N999, AM11)</f>
        <v>1</v>
      </c>
      <c r="AO11" s="3" t="b">
        <f>AN11 &gt; 0</f>
        <v>1</v>
      </c>
      <c r="AP11" s="3" t="b">
        <f>AND(AG11, NOT(AO11))</f>
        <v>0</v>
      </c>
      <c r="AQ11" s="3" t="str">
        <f>IF(F11 = "Completed", C11, "")</f>
        <v>exec-policy-hr4821</v>
      </c>
      <c r="AR11" s="3" t="str">
        <f>IF(OR(P11, AK11, AP11, AE11), C11, "")</f>
      </c>
      <c r="AS11" s="3" t="e">
        <f>IF(M11, C11, "")</f>
        <v>#NAME?</v>
      </c>
      <c r="AT11" s="3" t="str">
        <f>_xlfn.IFNA(INDEX(Agents!D2:D999, MATCH(E11,Agents!A2:A999, 0)), "")</f>
        <v>Human</v>
      </c>
      <c r="AU11" s="3" t="b">
        <f>AT11 = "Human"</f>
        <v>1</v>
      </c>
      <c r="AV11" s="3" t="b">
        <f>_xlfn.IFNA(INDEX(Steps!M2:M999, MATCH(D11,Steps!A2:A999, 0)), "")</f>
        <v>0</v>
      </c>
      <c r="AW11" s="3" t="b">
        <f>AND(AV11, NOT(AU11))</f>
        <v>0</v>
      </c>
      <c r="AX11" s="3" t="b">
        <f>AND(AG11, NOT(AU11))</f>
        <v>0</v>
      </c>
      <c r="AY11" s="3" t="str">
        <f>IF(T11, C11, "")</f>
      </c>
      <c r="AZ11" s="3" t="str">
        <f>IF(AK11, C11, "")</f>
      </c>
      <c r="BA11" s="3">
        <f>COUNTIFS(VerificationOutcomes!P2:P999, A11)</f>
        <v>0</v>
      </c>
      <c r="BB11" s="3">
        <f>COUNTIFS(VerificationOutcomes!Q2:Q999, A11)</f>
        <v>0</v>
      </c>
      <c r="BC11" s="3" t="b">
        <f>AND(AG11, OR(BA11 &gt; 0, AD11))</f>
        <v>0</v>
      </c>
      <c r="BD11" s="3">
        <f>COUNTIFS(ExceptionInvocations!C2:C999, A11)</f>
        <v>0</v>
      </c>
      <c r="BE11" s="3" t="b">
        <f>BD11 &gt; 0</f>
        <v>0</v>
      </c>
      <c r="BF11" s="3" t="b">
        <f>F11 = "Completed"</f>
        <v>1</v>
      </c>
      <c r="BG11" s="3" t="b">
        <f>I11 = "PASS"</f>
        <v>1</v>
      </c>
      <c r="BH11" s="3" t="b">
        <f>D11 = "policy-04"</f>
        <v>0</v>
      </c>
      <c r="BI11" s="3" t="str">
        <f>IF(AND(BH11, BG11), C11, "")</f>
      </c>
      <c r="BJ11" s="3" t="str">
        <f>_xlfn.IFNA(INDEX(Steps!G2:G999, MATCH(D11,Steps!A2:A999, 0)), "")</f>
        <v>process-steward</v>
      </c>
      <c r="BK11" s="3" t="str">
        <f>_xlfn.IFNA(INDEX(Roles!E2:E999, MATCH(BJ11,Roles!A2:A999, 0)), "")</f>
        <v>elena-garcia</v>
      </c>
      <c r="BL11" s="3" t="b">
        <f>E11 = BK11</f>
        <v>1</v>
      </c>
      <c r="BM11" s="3" t="b">
        <f>_xlfn.IFNA(INDEX(Steps!V2:V999, MATCH(D11,Steps!A2:A999, 0)), "")</f>
        <v>1</v>
      </c>
      <c r="BN11" s="3" t="b">
        <f>AND(F11 = "Completed", NOT(BM11))</f>
        <v>0</v>
      </c>
      <c r="BO11" s="3">
        <f>COUNTIFS(IssueOccurrences!K2:K999, A11)</f>
        <v>0</v>
      </c>
      <c r="BP11" s="3" t="b">
        <f>J11 &lt;&gt; ""</f>
        <v>0</v>
      </c>
      <c r="BQ11" s="3" t="e">
        <f>AND(I11 = "PASS", NOT(BP11), BO11 = 0, NOT(M11))</f>
        <v>#NAME?</v>
      </c>
      <c r="BR11" s="3" t="e">
        <f>IF(BQ11, "", C11)</f>
        <v>#NAME?</v>
      </c>
      <c r="BS11" s="3">
        <f>COUNTIFS(RequirementSatisfactions!U2:U999, A11)</f>
        <v>0</v>
      </c>
      <c r="BT11" s="5">
        <f>_xlfn.IFNA(INDEX(Steps!N2:N999, MATCH(D11,Steps!A2:A999, 0)), "")</f>
        <v>0</v>
      </c>
      <c r="BU11" s="3" t="b">
        <f>BS11 &lt; BT11</f>
        <v>0</v>
      </c>
      <c r="BV11" s="3" t="str">
        <f>_xlfn.IFNA(INDEX(Agents!D2:D999, MATCH(E11,Agents!A2:A999, 0)), "")</f>
        <v>Human</v>
      </c>
      <c r="BW11" s="3" t="b">
        <f>OR(BV11 = "AIAgent", BV11 = "AutomatedPipeline")</f>
        <v>0</v>
      </c>
      <c r="BX11" s="3" t="b">
        <f>_xlfn.IFNA(INDEX(Steps!W2:W999, MATCH(D11,Steps!A2:A999, 0)), "")</f>
        <v>0</v>
      </c>
      <c r="BY11" s="3" t="b">
        <f>AND(BW11, NOT(BX11))</f>
        <v>0</v>
      </c>
      <c r="BZ11" s="3" t="b">
        <f>_xlfn.IFNA(INDEX(Steps!X2:X999, MATCH(D11,Steps!A2:A999, 0)), "")</f>
        <v>0</v>
      </c>
      <c r="CA11" s="3" t="b">
        <f>AND(I11 &lt;&gt; "", I11 &lt;&gt; "PENDING", I11 &lt;&gt; "FAIL")</f>
        <v>1</v>
      </c>
      <c r="CB11" s="3">
        <f>COUNTIFS(AgentDecisionRecords!AA2:AA999, A11)</f>
        <v>0</v>
      </c>
      <c r="CC11" s="3" t="b">
        <f>_xlfn.IFNA(INDEX(Steps!M2:M999, MATCH(D11,Steps!A2:A999, 0)), "")</f>
        <v>0</v>
      </c>
      <c r="CD11" s="3" t="b">
        <f>AND(CC11, CB11 &gt; 0)</f>
        <v>0</v>
      </c>
      <c r="CE11" s="3" t="b">
        <f>AND(F11 = "Completed", NOT(CF11))</f>
        <v>0</v>
      </c>
      <c r="CF11" s="3" t="b">
        <f>_xlfn.IFNA(INDEX(Steps!AC2:AC999, MATCH(D11,Steps!A2:A999, 0)), "")</f>
        <v>1</v>
      </c>
      <c r="CG11" s="3" t="str">
        <f>IF(BW11, D11, "")</f>
      </c>
      <c r="CH11" s="3" t="str">
        <f>_xlfn.IFNA(INDEX(Steps!AD2:AD999, MATCH(D11,Steps!A2:A999, 0)), "")</f>
        <v>Preparation</v>
      </c>
      <c r="CI11" s="3">
        <f>COUNTIFS(RequirementSatisfactions!AC2:AC999, A11)</f>
        <v>0</v>
      </c>
      <c r="CJ11" s="3" t="b">
        <f>AND(R11 &gt; 0, CI11 &gt;= R11)</f>
        <v>0</v>
      </c>
      <c r="CK11" s="3">
        <f>COUNTIFS(BindingObservations!K2:K999, A11)</f>
        <v>0</v>
      </c>
      <c r="CL11" s="3" t="b">
        <f>CK11 &gt; 0</f>
        <v>0</v>
      </c>
      <c r="CM11" s="3" t="b">
        <f>NOT(CL11 = V11)</f>
        <v>0</v>
      </c>
      <c r="CN11" s="3" t="b">
        <f>OR(AA11 &gt; 0, Q11 &gt; 0)</f>
        <v>0</v>
      </c>
      <c r="CO11" s="3">
        <f>AB11 + R11</f>
        <v>0</v>
      </c>
      <c r="CP11" s="3">
        <f>AA11 + Q11</f>
        <v>0</v>
      </c>
      <c r="CQ11" s="3" t="b">
        <f>CP11 = 0</f>
        <v>1</v>
      </c>
      <c r="CR11" s="3" t="e">
        <f>AND(BQ11, CQ11)</f>
        <v>#NAME?</v>
      </c>
      <c r="CS11" s="3" t="e">
        <f>AND(BQ11, CO11 &gt;= CP11, CP11 &gt; 0)</f>
        <v>#NAME?</v>
      </c>
      <c r="CT11" s="3" t="e">
        <f>IF(CR11, C11, "")</f>
        <v>#NAME?</v>
      </c>
      <c r="CU11" s="3">
        <f>COUNTIFS(VerificationOutcomes!T2:T999, A11)</f>
        <v>0</v>
      </c>
      <c r="CV11" s="3" t="b">
        <f>AND(AB11 &gt; 0, CU11 &gt;= AB11)</f>
        <v>0</v>
      </c>
      <c r="CW11" s="3" t="str">
        <f>IF(AF11, C11, "")</f>
      </c>
      <c r="CX11" s="3" t="str">
        <f>IF(AG11, C11, "")</f>
      </c>
      <c r="CY11" s="3" t="b">
        <f>OR(BE11, CZ11)</f>
        <v>0</v>
      </c>
      <c r="CZ11" s="3" t="b">
        <f>_xlfn.IFNA(INDEX(ProcedureVersions!CB2:CB999, MATCH(DA11,ProcedureVersions!A2:A999, 0)), "")</f>
        <v>0</v>
      </c>
      <c r="DA11" s="3" t="str">
        <f>_xlfn.IFNA(INDEX(Steps!C2:C999, MATCH(D11,Steps!A2:A999, 0)), "")</f>
        <v>policy-v1.0.0</v>
      </c>
      <c r="DB11" s="3" t="e">
        <f>AND(OR(BP11, M11, P11), NOT(CY11))</f>
        <v>#NAME?</v>
      </c>
      <c r="DC11" s="3" t="e">
        <f>IF(DB11, C11, "")</f>
        <v>#NAME?</v>
      </c>
      <c r="DD11" s="3" t="str">
        <f>IF(BC11, C11, "")</f>
      </c>
      <c r="DE11" s="2" t="s">
        <v>1429</v>
      </c>
    </row>
    <row r="12">
      <c r="A12" s="2" t="s">
        <v>1443</v>
      </c>
      <c r="B12" s="3" t="str">
        <f>C12 &amp; " / " &amp; D12</f>
        <v>exec-policy-hr4821 / policy-03</v>
      </c>
      <c r="C12" s="2" t="s">
        <v>1324</v>
      </c>
      <c r="D12" s="2" t="s">
        <v>584</v>
      </c>
      <c r="E12" s="2" t="s">
        <v>175</v>
      </c>
      <c r="F12" s="2" t="s">
        <v>1320</v>
      </c>
      <c r="G12" s="4">
        <v>46221.75</v>
      </c>
      <c r="H12" s="4">
        <v>46221.79305555556</v>
      </c>
      <c r="I12" s="2" t="s">
        <v>1428</v>
      </c>
      <c r="J12" s="2" t="s">
        <v>168</v>
      </c>
      <c r="K12" s="5" t="e">
        <f>IF(H12 = "", 0, DATETIME_DIFF(H12, G12, "minutes"))</f>
        <v>#NAME?</v>
      </c>
      <c r="L12" s="5">
        <f>_xlfn.IFNA(INDEX(Steps!K2:K999, MATCH(D12,Steps!A2:A999, 0)), "")</f>
        <v>90</v>
      </c>
      <c r="M12" s="3" t="e">
        <f>K12 &gt; L12</f>
        <v>#NAME?</v>
      </c>
      <c r="N12" s="3">
        <f>COUNTIFS(RequirementSatisfactions!C2:C999, A12,RequirementSatisfactions!K2:K999, TRUE)</f>
        <v>0</v>
      </c>
      <c r="O12" s="3">
        <f>COUNTIFS(RequirementSatisfactions!L2:L999, A12)</f>
        <v>0</v>
      </c>
      <c r="P12" s="3" t="b">
        <f>AND(F12 = "Completed", O12 &gt; 0)</f>
        <v>0</v>
      </c>
      <c r="Q12" s="3">
        <f>_xlfn.IFNA(INDEX(Steps!N2:N999, MATCH(D12,Steps!A2:A999, 0)), "")</f>
        <v>1</v>
      </c>
      <c r="R12" s="3">
        <f>COUNTIFS(RequirementSatisfactions!M2:M999, A12)</f>
        <v>1</v>
      </c>
      <c r="S12" s="3">
        <f>Q12 - R12</f>
        <v>0</v>
      </c>
      <c r="T12" s="3" t="b">
        <f>S12 &gt; 0</f>
        <v>0</v>
      </c>
      <c r="U12" s="3">
        <f>_xlfn.IFNA(INDEX(Steps!P2:P999, MATCH(D12,Steps!A2:A999, 0)), "")</f>
        <v>0</v>
      </c>
      <c r="V12" s="3" t="b">
        <f>U12 &gt; 0</f>
        <v>0</v>
      </c>
      <c r="W12" s="3" t="b">
        <f>J12 &lt;&gt; ""</f>
        <v>0</v>
      </c>
      <c r="X12" s="3" t="e">
        <f>AND(M12, NOT(W12))</f>
        <v>#NAME?</v>
      </c>
      <c r="Y12" s="3">
        <f>_xlfn.IFNA(INDEX(Steps!Q2:Q999, MATCH(D12,Steps!A2:A999, 0)), "")</f>
        <v>0</v>
      </c>
      <c r="Z12" s="3" t="e">
        <f>AND(X12, Y12 &gt; 0)</f>
        <v>#NAME?</v>
      </c>
      <c r="AA12" s="3">
        <f>_xlfn.IFNA(INDEX(Steps!R2:R999, MATCH(D12,Steps!A2:A999, 0)), "")</f>
        <v>1</v>
      </c>
      <c r="AB12" s="3">
        <f>COUNTIFS(VerificationOutcomes!C2:C999, A12)</f>
        <v>0</v>
      </c>
      <c r="AC12" s="3">
        <f>AA12 - AB12</f>
        <v>1</v>
      </c>
      <c r="AD12" s="3" t="b">
        <f>AC12 &gt; 0</f>
        <v>1</v>
      </c>
      <c r="AE12" s="3" t="b">
        <f>AND(I12 = "PASS", AD12)</f>
        <v>1</v>
      </c>
      <c r="AF12" s="3" t="b">
        <f>_xlfn.IFNA(INDEX(Steps!S2:S999, MATCH(D12,Steps!A2:A999, 0)), "")</f>
        <v>0</v>
      </c>
      <c r="AG12" s="3" t="b">
        <f>_xlfn.IFNA(INDEX(Steps!T2:T999, MATCH(D12,Steps!A2:A999, 0)), "")</f>
        <v>0</v>
      </c>
      <c r="AH12" s="3" t="str">
        <f>IF(AF12, C12 &amp; "|" &amp; E12, "")</f>
      </c>
      <c r="AI12" s="3" t="str">
        <f>IF(AG12, C12 &amp; "|" &amp; E12, "")</f>
      </c>
      <c r="AJ12" s="3">
        <f>COUNTIFS(AH2:AH999, AI12)</f>
        <v>10</v>
      </c>
      <c r="AK12" s="3" t="b">
        <f>AND(AG12, AJ12 &gt; 0)</f>
        <v>0</v>
      </c>
      <c r="AL12" s="3" t="str">
        <f>_xlfn.IFNA(INDEX(Steps!G2:G999, MATCH(D12,Steps!A2:A999, 0)), "")</f>
        <v>policy-drafting-agent</v>
      </c>
      <c r="AM12" s="3" t="str">
        <f>E12 &amp; "|" &amp; AL12</f>
        <v>policy-drafting-ai|policy-drafting-agent</v>
      </c>
      <c r="AN12" s="3">
        <f>COUNTIFS(RoleAssignments!N2:N999, AM12)</f>
        <v>1</v>
      </c>
      <c r="AO12" s="3" t="b">
        <f>AN12 &gt; 0</f>
        <v>1</v>
      </c>
      <c r="AP12" s="3" t="b">
        <f>AND(AG12, NOT(AO12))</f>
        <v>0</v>
      </c>
      <c r="AQ12" s="3" t="str">
        <f>IF(F12 = "Completed", C12, "")</f>
        <v>exec-policy-hr4821</v>
      </c>
      <c r="AR12" s="3" t="str">
        <f>IF(OR(P12, AK12, AP12, AE12), C12, "")</f>
        <v>exec-policy-hr4821</v>
      </c>
      <c r="AS12" s="3" t="e">
        <f>IF(M12, C12, "")</f>
        <v>#NAME?</v>
      </c>
      <c r="AT12" s="3" t="str">
        <f>_xlfn.IFNA(INDEX(Agents!D2:D999, MATCH(E12,Agents!A2:A999, 0)), "")</f>
        <v>AIAgent</v>
      </c>
      <c r="AU12" s="3" t="b">
        <f>AT12 = "Human"</f>
        <v>0</v>
      </c>
      <c r="AV12" s="3" t="b">
        <f>_xlfn.IFNA(INDEX(Steps!M2:M999, MATCH(D12,Steps!A2:A999, 0)), "")</f>
        <v>0</v>
      </c>
      <c r="AW12" s="3" t="b">
        <f>AND(AV12, NOT(AU12))</f>
        <v>0</v>
      </c>
      <c r="AX12" s="3" t="b">
        <f>AND(AG12, NOT(AU12))</f>
        <v>0</v>
      </c>
      <c r="AY12" s="3" t="str">
        <f>IF(T12, C12, "")</f>
      </c>
      <c r="AZ12" s="3" t="str">
        <f>IF(AK12, C12, "")</f>
      </c>
      <c r="BA12" s="3">
        <f>COUNTIFS(VerificationOutcomes!P2:P999, A12)</f>
        <v>0</v>
      </c>
      <c r="BB12" s="3">
        <f>COUNTIFS(VerificationOutcomes!Q2:Q999, A12)</f>
        <v>0</v>
      </c>
      <c r="BC12" s="3" t="b">
        <f>AND(AG12, OR(BA12 &gt; 0, AD12))</f>
        <v>0</v>
      </c>
      <c r="BD12" s="3">
        <f>COUNTIFS(ExceptionInvocations!C2:C999, A12)</f>
        <v>0</v>
      </c>
      <c r="BE12" s="3" t="b">
        <f>BD12 &gt; 0</f>
        <v>0</v>
      </c>
      <c r="BF12" s="3" t="b">
        <f>F12 = "Completed"</f>
        <v>1</v>
      </c>
      <c r="BG12" s="3" t="b">
        <f>I12 = "PASS"</f>
        <v>1</v>
      </c>
      <c r="BH12" s="3" t="b">
        <f>D12 = "policy-04"</f>
        <v>0</v>
      </c>
      <c r="BI12" s="3" t="str">
        <f>IF(AND(BH12, BG12), C12, "")</f>
      </c>
      <c r="BJ12" s="3" t="str">
        <f>_xlfn.IFNA(INDEX(Steps!G2:G999, MATCH(D12,Steps!A2:A999, 0)), "")</f>
        <v>policy-drafting-agent</v>
      </c>
      <c r="BK12" s="3" t="str">
        <f>_xlfn.IFNA(INDEX(Roles!E2:E999, MATCH(BJ12,Roles!A2:A999, 0)), "")</f>
        <v>policy-drafting-ai</v>
      </c>
      <c r="BL12" s="3" t="b">
        <f>E12 = BK12</f>
        <v>1</v>
      </c>
      <c r="BM12" s="3" t="b">
        <f>_xlfn.IFNA(INDEX(Steps!V2:V999, MATCH(D12,Steps!A2:A999, 0)), "")</f>
        <v>1</v>
      </c>
      <c r="BN12" s="3" t="b">
        <f>AND(F12 = "Completed", NOT(BM12))</f>
        <v>0</v>
      </c>
      <c r="BO12" s="3">
        <f>COUNTIFS(IssueOccurrences!K2:K999, A12)</f>
        <v>0</v>
      </c>
      <c r="BP12" s="3" t="b">
        <f>J12 &lt;&gt; ""</f>
        <v>0</v>
      </c>
      <c r="BQ12" s="3" t="e">
        <f>AND(I12 = "PASS", NOT(BP12), BO12 = 0, NOT(M12))</f>
        <v>#NAME?</v>
      </c>
      <c r="BR12" s="3" t="e">
        <f>IF(BQ12, "", C12)</f>
        <v>#NAME?</v>
      </c>
      <c r="BS12" s="3">
        <f>COUNTIFS(RequirementSatisfactions!U2:U999, A12)</f>
        <v>1</v>
      </c>
      <c r="BT12" s="5">
        <f>_xlfn.IFNA(INDEX(Steps!N2:N999, MATCH(D12,Steps!A2:A999, 0)), "")</f>
        <v>1</v>
      </c>
      <c r="BU12" s="3" t="b">
        <f>BS12 &lt; BT12</f>
        <v>0</v>
      </c>
      <c r="BV12" s="3" t="str">
        <f>_xlfn.IFNA(INDEX(Agents!D2:D999, MATCH(E12,Agents!A2:A999, 0)), "")</f>
        <v>AIAgent</v>
      </c>
      <c r="BW12" s="3" t="b">
        <f>OR(BV12 = "AIAgent", BV12 = "AutomatedPipeline")</f>
        <v>1</v>
      </c>
      <c r="BX12" s="3" t="b">
        <f>_xlfn.IFNA(INDEX(Steps!W2:W999, MATCH(D12,Steps!A2:A999, 0)), "")</f>
        <v>1</v>
      </c>
      <c r="BY12" s="3" t="b">
        <f>AND(BW12, NOT(BX12))</f>
        <v>0</v>
      </c>
      <c r="BZ12" s="3" t="b">
        <f>_xlfn.IFNA(INDEX(Steps!X2:X999, MATCH(D12,Steps!A2:A999, 0)), "")</f>
        <v>0</v>
      </c>
      <c r="CA12" s="3" t="b">
        <f>AND(I12 &lt;&gt; "", I12 &lt;&gt; "PENDING", I12 &lt;&gt; "FAIL")</f>
        <v>1</v>
      </c>
      <c r="CB12" s="3">
        <f>COUNTIFS(AgentDecisionRecords!AA2:AA999, A12)</f>
        <v>0</v>
      </c>
      <c r="CC12" s="3" t="b">
        <f>_xlfn.IFNA(INDEX(Steps!M2:M999, MATCH(D12,Steps!A2:A999, 0)), "")</f>
        <v>0</v>
      </c>
      <c r="CD12" s="3" t="b">
        <f>AND(CC12, CB12 &gt; 0)</f>
        <v>0</v>
      </c>
      <c r="CE12" s="3" t="b">
        <f>AND(F12 = "Completed", NOT(CF12))</f>
        <v>0</v>
      </c>
      <c r="CF12" s="3" t="b">
        <f>_xlfn.IFNA(INDEX(Steps!AC2:AC999, MATCH(D12,Steps!A2:A999, 0)), "")</f>
        <v>1</v>
      </c>
      <c r="CG12" s="3" t="str">
        <f>IF(BW12, D12, "")</f>
        <v>policy-03</v>
      </c>
      <c r="CH12" s="3" t="str">
        <f>_xlfn.IFNA(INDEX(Steps!AD2:AD999, MATCH(D12,Steps!A2:A999, 0)), "")</f>
        <v>Preparation</v>
      </c>
      <c r="CI12" s="3">
        <f>COUNTIFS(RequirementSatisfactions!AC2:AC999, A12)</f>
        <v>1</v>
      </c>
      <c r="CJ12" s="3" t="b">
        <f>AND(R12 &gt; 0, CI12 &gt;= R12)</f>
        <v>1</v>
      </c>
      <c r="CK12" s="3">
        <f>COUNTIFS(BindingObservations!K2:K999, A12)</f>
        <v>0</v>
      </c>
      <c r="CL12" s="3" t="b">
        <f>CK12 &gt; 0</f>
        <v>0</v>
      </c>
      <c r="CM12" s="3" t="b">
        <f>NOT(CL12 = V12)</f>
        <v>0</v>
      </c>
      <c r="CN12" s="3" t="b">
        <f>OR(AA12 &gt; 0, Q12 &gt; 0)</f>
        <v>1</v>
      </c>
      <c r="CO12" s="3">
        <f>AB12 + R12</f>
        <v>1</v>
      </c>
      <c r="CP12" s="3">
        <f>AA12 + Q12</f>
        <v>2</v>
      </c>
      <c r="CQ12" s="3" t="b">
        <f>CP12 = 0</f>
        <v>0</v>
      </c>
      <c r="CR12" s="3" t="e">
        <f>AND(BQ12, CQ12)</f>
        <v>#NAME?</v>
      </c>
      <c r="CS12" s="3" t="e">
        <f>AND(BQ12, CO12 &gt;= CP12, CP12 &gt; 0)</f>
        <v>#NAME?</v>
      </c>
      <c r="CT12" s="3" t="e">
        <f>IF(CR12, C12, "")</f>
        <v>#NAME?</v>
      </c>
      <c r="CU12" s="3">
        <f>COUNTIFS(VerificationOutcomes!T2:T999, A12)</f>
        <v>0</v>
      </c>
      <c r="CV12" s="3" t="b">
        <f>AND(AB12 &gt; 0, CU12 &gt;= AB12)</f>
        <v>0</v>
      </c>
      <c r="CW12" s="3" t="str">
        <f>IF(AF12, C12, "")</f>
      </c>
      <c r="CX12" s="3" t="str">
        <f>IF(AG12, C12, "")</f>
      </c>
      <c r="CY12" s="3" t="b">
        <f>OR(BE12, CZ12)</f>
        <v>0</v>
      </c>
      <c r="CZ12" s="3" t="b">
        <f>_xlfn.IFNA(INDEX(ProcedureVersions!CB2:CB999, MATCH(DA12,ProcedureVersions!A2:A999, 0)), "")</f>
        <v>0</v>
      </c>
      <c r="DA12" s="3" t="str">
        <f>_xlfn.IFNA(INDEX(Steps!C2:C999, MATCH(D12,Steps!A2:A999, 0)), "")</f>
        <v>policy-v1.0.0</v>
      </c>
      <c r="DB12" s="3" t="e">
        <f>AND(OR(BP12, M12, P12), NOT(CY12))</f>
        <v>#NAME?</v>
      </c>
      <c r="DC12" s="3" t="e">
        <f>IF(DB12, C12, "")</f>
        <v>#NAME?</v>
      </c>
      <c r="DD12" s="3" t="str">
        <f>IF(BC12, C12, "")</f>
      </c>
      <c r="DE12" s="2" t="s">
        <v>1429</v>
      </c>
    </row>
    <row r="13">
      <c r="A13" s="2" t="s">
        <v>1444</v>
      </c>
      <c r="B13" s="3" t="str">
        <f>C13 &amp; " / " &amp; D13</f>
        <v>exec-policy-hr4821 / policy-04</v>
      </c>
      <c r="C13" s="2" t="s">
        <v>1324</v>
      </c>
      <c r="D13" s="2" t="s">
        <v>587</v>
      </c>
      <c r="E13" s="2" t="s">
        <v>157</v>
      </c>
      <c r="F13" s="2" t="s">
        <v>1320</v>
      </c>
      <c r="G13" s="4">
        <v>46222.583333333336</v>
      </c>
      <c r="H13" s="4">
        <v>46222.78125</v>
      </c>
      <c r="I13" s="2" t="s">
        <v>1428</v>
      </c>
      <c r="J13" s="2" t="s">
        <v>1445</v>
      </c>
      <c r="K13" s="5" t="e">
        <f>IF(H13 = "", 0, DATETIME_DIFF(H13, G13, "minutes"))</f>
        <v>#NAME?</v>
      </c>
      <c r="L13" s="5">
        <f>_xlfn.IFNA(INDEX(Steps!K2:K999, MATCH(D13,Steps!A2:A999, 0)), "")</f>
        <v>120</v>
      </c>
      <c r="M13" s="3" t="e">
        <f>K13 &gt; L13</f>
        <v>#NAME?</v>
      </c>
      <c r="N13" s="3">
        <f>COUNTIFS(RequirementSatisfactions!C2:C999, A13,RequirementSatisfactions!K2:K999, TRUE)</f>
        <v>0</v>
      </c>
      <c r="O13" s="3">
        <f>COUNTIFS(RequirementSatisfactions!L2:L999, A13)</f>
        <v>0</v>
      </c>
      <c r="P13" s="3" t="b">
        <f>AND(F13 = "Completed", O13 &gt; 0)</f>
        <v>0</v>
      </c>
      <c r="Q13" s="3">
        <f>_xlfn.IFNA(INDEX(Steps!N2:N999, MATCH(D13,Steps!A2:A999, 0)), "")</f>
        <v>1</v>
      </c>
      <c r="R13" s="3">
        <f>COUNTIFS(RequirementSatisfactions!M2:M999, A13)</f>
        <v>1</v>
      </c>
      <c r="S13" s="3">
        <f>Q13 - R13</f>
        <v>0</v>
      </c>
      <c r="T13" s="3" t="b">
        <f>S13 &gt; 0</f>
        <v>0</v>
      </c>
      <c r="U13" s="3">
        <f>_xlfn.IFNA(INDEX(Steps!P2:P999, MATCH(D13,Steps!A2:A999, 0)), "")</f>
        <v>0</v>
      </c>
      <c r="V13" s="3" t="b">
        <f>U13 &gt; 0</f>
        <v>0</v>
      </c>
      <c r="W13" s="3" t="b">
        <f>J13 &lt;&gt; ""</f>
        <v>1</v>
      </c>
      <c r="X13" s="3" t="e">
        <f>AND(M13, NOT(W13))</f>
        <v>#NAME?</v>
      </c>
      <c r="Y13" s="3">
        <f>_xlfn.IFNA(INDEX(Steps!Q2:Q999, MATCH(D13,Steps!A2:A999, 0)), "")</f>
        <v>0</v>
      </c>
      <c r="Z13" s="3" t="e">
        <f>AND(X13, Y13 &gt; 0)</f>
        <v>#NAME?</v>
      </c>
      <c r="AA13" s="3">
        <f>_xlfn.IFNA(INDEX(Steps!R2:R999, MATCH(D13,Steps!A2:A999, 0)), "")</f>
        <v>1</v>
      </c>
      <c r="AB13" s="3">
        <f>COUNTIFS(VerificationOutcomes!C2:C999, A13)</f>
        <v>0</v>
      </c>
      <c r="AC13" s="3">
        <f>AA13 - AB13</f>
        <v>1</v>
      </c>
      <c r="AD13" s="3" t="b">
        <f>AC13 &gt; 0</f>
        <v>1</v>
      </c>
      <c r="AE13" s="3" t="b">
        <f>AND(I13 = "PASS", AD13)</f>
        <v>1</v>
      </c>
      <c r="AF13" s="3" t="b">
        <f>_xlfn.IFNA(INDEX(Steps!S2:S999, MATCH(D13,Steps!A2:A999, 0)), "")</f>
        <v>0</v>
      </c>
      <c r="AG13" s="3" t="b">
        <f>_xlfn.IFNA(INDEX(Steps!T2:T999, MATCH(D13,Steps!A2:A999, 0)), "")</f>
        <v>0</v>
      </c>
      <c r="AH13" s="3" t="str">
        <f>IF(AF13, C13 &amp; "|" &amp; E13, "")</f>
      </c>
      <c r="AI13" s="3" t="str">
        <f>IF(AG13, C13 &amp; "|" &amp; E13, "")</f>
      </c>
      <c r="AJ13" s="3">
        <f>COUNTIFS(AH2:AH999, AI13)</f>
        <v>10</v>
      </c>
      <c r="AK13" s="3" t="b">
        <f>AND(AG13, AJ13 &gt; 0)</f>
        <v>0</v>
      </c>
      <c r="AL13" s="3" t="str">
        <f>_xlfn.IFNA(INDEX(Steps!G2:G999, MATCH(D13,Steps!A2:A999, 0)), "")</f>
        <v>employment-counsel</v>
      </c>
      <c r="AM13" s="3" t="str">
        <f>E13 &amp; "|" &amp; AL13</f>
        <v>noah-williams|employment-counsel</v>
      </c>
      <c r="AN13" s="3">
        <f>COUNTIFS(RoleAssignments!N2:N999, AM13)</f>
        <v>1</v>
      </c>
      <c r="AO13" s="3" t="b">
        <f>AN13 &gt; 0</f>
        <v>1</v>
      </c>
      <c r="AP13" s="3" t="b">
        <f>AND(AG13, NOT(AO13))</f>
        <v>0</v>
      </c>
      <c r="AQ13" s="3" t="str">
        <f>IF(F13 = "Completed", C13, "")</f>
        <v>exec-policy-hr4821</v>
      </c>
      <c r="AR13" s="3" t="str">
        <f>IF(OR(P13, AK13, AP13, AE13), C13, "")</f>
        <v>exec-policy-hr4821</v>
      </c>
      <c r="AS13" s="3" t="e">
        <f>IF(M13, C13, "")</f>
        <v>#NAME?</v>
      </c>
      <c r="AT13" s="3" t="str">
        <f>_xlfn.IFNA(INDEX(Agents!D2:D999, MATCH(E13,Agents!A2:A999, 0)), "")</f>
        <v>Human</v>
      </c>
      <c r="AU13" s="3" t="b">
        <f>AT13 = "Human"</f>
        <v>1</v>
      </c>
      <c r="AV13" s="3" t="b">
        <f>_xlfn.IFNA(INDEX(Steps!M2:M999, MATCH(D13,Steps!A2:A999, 0)), "")</f>
        <v>1</v>
      </c>
      <c r="AW13" s="3" t="b">
        <f>AND(AV13, NOT(AU13))</f>
        <v>0</v>
      </c>
      <c r="AX13" s="3" t="b">
        <f>AND(AG13, NOT(AU13))</f>
        <v>0</v>
      </c>
      <c r="AY13" s="3" t="str">
        <f>IF(T13, C13, "")</f>
      </c>
      <c r="AZ13" s="3" t="str">
        <f>IF(AK13, C13, "")</f>
      </c>
      <c r="BA13" s="3">
        <f>COUNTIFS(VerificationOutcomes!P2:P999, A13)</f>
        <v>0</v>
      </c>
      <c r="BB13" s="3">
        <f>COUNTIFS(VerificationOutcomes!Q2:Q999, A13)</f>
        <v>0</v>
      </c>
      <c r="BC13" s="3" t="b">
        <f>AND(AG13, OR(BA13 &gt; 0, AD13))</f>
        <v>0</v>
      </c>
      <c r="BD13" s="3">
        <f>COUNTIFS(ExceptionInvocations!C2:C999, A13)</f>
        <v>0</v>
      </c>
      <c r="BE13" s="3" t="b">
        <f>BD13 &gt; 0</f>
        <v>0</v>
      </c>
      <c r="BF13" s="3" t="b">
        <f>F13 = "Completed"</f>
        <v>1</v>
      </c>
      <c r="BG13" s="3" t="b">
        <f>I13 = "PASS"</f>
        <v>1</v>
      </c>
      <c r="BH13" s="3" t="b">
        <f>D13 = "policy-04"</f>
        <v>1</v>
      </c>
      <c r="BI13" s="3" t="str">
        <f>IF(AND(BH13, BG13), C13, "")</f>
        <v>exec-policy-hr4821</v>
      </c>
      <c r="BJ13" s="3" t="str">
        <f>_xlfn.IFNA(INDEX(Steps!G2:G999, MATCH(D13,Steps!A2:A999, 0)), "")</f>
        <v>employment-counsel</v>
      </c>
      <c r="BK13" s="3" t="str">
        <f>_xlfn.IFNA(INDEX(Roles!E2:E999, MATCH(BJ13,Roles!A2:A999, 0)), "")</f>
        <v>noah-williams</v>
      </c>
      <c r="BL13" s="3" t="b">
        <f>E13 = BK13</f>
        <v>1</v>
      </c>
      <c r="BM13" s="3" t="b">
        <f>_xlfn.IFNA(INDEX(Steps!V2:V999, MATCH(D13,Steps!A2:A999, 0)), "")</f>
        <v>1</v>
      </c>
      <c r="BN13" s="3" t="b">
        <f>AND(F13 = "Completed", NOT(BM13))</f>
        <v>0</v>
      </c>
      <c r="BO13" s="3">
        <f>COUNTIFS(IssueOccurrences!K2:K999, A13)</f>
        <v>1</v>
      </c>
      <c r="BP13" s="3" t="b">
        <f>J13 &lt;&gt; ""</f>
        <v>1</v>
      </c>
      <c r="BQ13" s="3" t="e">
        <f>AND(I13 = "PASS", NOT(BP13), BO13 = 0, NOT(M13))</f>
        <v>#NAME?</v>
      </c>
      <c r="BR13" s="3" t="e">
        <f>IF(BQ13, "", C13)</f>
        <v>#NAME?</v>
      </c>
      <c r="BS13" s="3">
        <f>COUNTIFS(RequirementSatisfactions!U2:U999, A13)</f>
        <v>1</v>
      </c>
      <c r="BT13" s="5">
        <f>_xlfn.IFNA(INDEX(Steps!N2:N999, MATCH(D13,Steps!A2:A999, 0)), "")</f>
        <v>1</v>
      </c>
      <c r="BU13" s="3" t="b">
        <f>BS13 &lt; BT13</f>
        <v>0</v>
      </c>
      <c r="BV13" s="3" t="str">
        <f>_xlfn.IFNA(INDEX(Agents!D2:D999, MATCH(E13,Agents!A2:A999, 0)), "")</f>
        <v>Human</v>
      </c>
      <c r="BW13" s="3" t="b">
        <f>OR(BV13 = "AIAgent", BV13 = "AutomatedPipeline")</f>
        <v>0</v>
      </c>
      <c r="BX13" s="3" t="b">
        <f>_xlfn.IFNA(INDEX(Steps!W2:W999, MATCH(D13,Steps!A2:A999, 0)), "")</f>
        <v>0</v>
      </c>
      <c r="BY13" s="3" t="b">
        <f>AND(BW13, NOT(BX13))</f>
        <v>0</v>
      </c>
      <c r="BZ13" s="3" t="b">
        <f>_xlfn.IFNA(INDEX(Steps!X2:X999, MATCH(D13,Steps!A2:A999, 0)), "")</f>
        <v>0</v>
      </c>
      <c r="CA13" s="3" t="b">
        <f>AND(I13 &lt;&gt; "", I13 &lt;&gt; "PENDING", I13 &lt;&gt; "FAIL")</f>
        <v>1</v>
      </c>
      <c r="CB13" s="3">
        <f>COUNTIFS(AgentDecisionRecords!AA2:AA999, A13)</f>
        <v>0</v>
      </c>
      <c r="CC13" s="3" t="b">
        <f>_xlfn.IFNA(INDEX(Steps!M2:M999, MATCH(D13,Steps!A2:A999, 0)), "")</f>
        <v>1</v>
      </c>
      <c r="CD13" s="3" t="b">
        <f>AND(CC13, CB13 &gt; 0)</f>
        <v>0</v>
      </c>
      <c r="CE13" s="3" t="b">
        <f>AND(F13 = "Completed", NOT(CF13))</f>
        <v>0</v>
      </c>
      <c r="CF13" s="3" t="b">
        <f>_xlfn.IFNA(INDEX(Steps!AC2:AC999, MATCH(D13,Steps!A2:A999, 0)), "")</f>
        <v>1</v>
      </c>
      <c r="CG13" s="3" t="str">
        <f>IF(BW13, D13, "")</f>
      </c>
      <c r="CH13" s="3" t="str">
        <f>_xlfn.IFNA(INDEX(Steps!AD2:AD999, MATCH(D13,Steps!A2:A999, 0)), "")</f>
        <v>LegalReview</v>
      </c>
      <c r="CI13" s="3">
        <f>COUNTIFS(RequirementSatisfactions!AC2:AC999, A13)</f>
        <v>1</v>
      </c>
      <c r="CJ13" s="3" t="b">
        <f>AND(R13 &gt; 0, CI13 &gt;= R13)</f>
        <v>1</v>
      </c>
      <c r="CK13" s="3">
        <f>COUNTIFS(BindingObservations!K2:K999, A13)</f>
        <v>0</v>
      </c>
      <c r="CL13" s="3" t="b">
        <f>CK13 &gt; 0</f>
        <v>0</v>
      </c>
      <c r="CM13" s="3" t="b">
        <f>NOT(CL13 = V13)</f>
        <v>0</v>
      </c>
      <c r="CN13" s="3" t="b">
        <f>OR(AA13 &gt; 0, Q13 &gt; 0)</f>
        <v>1</v>
      </c>
      <c r="CO13" s="3">
        <f>AB13 + R13</f>
        <v>1</v>
      </c>
      <c r="CP13" s="3">
        <f>AA13 + Q13</f>
        <v>2</v>
      </c>
      <c r="CQ13" s="3" t="b">
        <f>CP13 = 0</f>
        <v>0</v>
      </c>
      <c r="CR13" s="3" t="e">
        <f>AND(BQ13, CQ13)</f>
        <v>#NAME?</v>
      </c>
      <c r="CS13" s="3" t="e">
        <f>AND(BQ13, CO13 &gt;= CP13, CP13 &gt; 0)</f>
        <v>#NAME?</v>
      </c>
      <c r="CT13" s="3" t="e">
        <f>IF(CR13, C13, "")</f>
        <v>#NAME?</v>
      </c>
      <c r="CU13" s="3">
        <f>COUNTIFS(VerificationOutcomes!T2:T999, A13)</f>
        <v>0</v>
      </c>
      <c r="CV13" s="3" t="b">
        <f>AND(AB13 &gt; 0, CU13 &gt;= AB13)</f>
        <v>0</v>
      </c>
      <c r="CW13" s="3" t="str">
        <f>IF(AF13, C13, "")</f>
      </c>
      <c r="CX13" s="3" t="str">
        <f>IF(AG13, C13, "")</f>
      </c>
      <c r="CY13" s="3" t="b">
        <f>OR(BE13, CZ13)</f>
        <v>0</v>
      </c>
      <c r="CZ13" s="3" t="b">
        <f>_xlfn.IFNA(INDEX(ProcedureVersions!CB2:CB999, MATCH(DA13,ProcedureVersions!A2:A999, 0)), "")</f>
        <v>0</v>
      </c>
      <c r="DA13" s="3" t="str">
        <f>_xlfn.IFNA(INDEX(Steps!C2:C999, MATCH(D13,Steps!A2:A999, 0)), "")</f>
        <v>policy-v1.0.0</v>
      </c>
      <c r="DB13" s="3" t="e">
        <f>AND(OR(BP13, M13, P13), NOT(CY13))</f>
        <v>#NAME?</v>
      </c>
      <c r="DC13" s="3" t="e">
        <f>IF(DB13, C13, "")</f>
        <v>#NAME?</v>
      </c>
      <c r="DD13" s="3" t="str">
        <f>IF(BC13, C13, "")</f>
      </c>
      <c r="DE13" s="2" t="s">
        <v>1429</v>
      </c>
    </row>
  </sheetData>
  <autoFilter ref="A1:DE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T9"/>
  <sheetViews>
    <sheetView workbookViewId="0">
      <pane ySplit="1" topLeftCell="A2" state="frozen" activePane="bottomLeft"/>
      <selection pane="bottomLeft" activeCell="A1" sqref="A1"/>
    </sheetView>
  </sheetViews>
  <sheetFormatPr defaultRowHeight="15"/>
  <cols>
    <col min="1" max="1" width="26.103200912475586" customWidth="1"/>
    <col min="2" max="2" width="35.46586227416992" customWidth="1"/>
    <col min="3" max="3" width="17.443378448486328" customWidth="1"/>
    <col min="4" max="4" width="25.8189697265625" customWidth="1"/>
    <col min="5" max="5" width="17.443378448486328" customWidth="1"/>
    <col min="6" max="6" width="180.3440399169922" customWidth="1"/>
    <col min="7" max="7" width="18.497451782226562" customWidth="1"/>
    <col min="8" max="8" width="23.35041618347168" customWidth="1"/>
    <col min="9" max="9" width="23.09225845336914" customWidth="1"/>
    <col min="10" max="10" width="17.443378448486328" customWidth="1"/>
    <col min="11" max="11" width="20.929574966430664" customWidth="1"/>
    <col min="12" max="12" width="23.046051025390625" customWidth="1"/>
    <col min="13" max="13" width="27.391361236572266" customWidth="1"/>
    <col min="14" max="14" width="33.009864807128906" customWidth="1"/>
    <col min="15" max="15" width="20.028593063354492" customWidth="1"/>
    <col min="16" max="16" width="34.49167251586914" customWidth="1"/>
    <col min="17" max="17" width="33.4196891784668" customWidth="1"/>
    <col min="18" max="18" width="17.443378448486328" customWidth="1"/>
    <col min="19" max="19" width="26.17622184753418" customWidth="1"/>
    <col min="20" max="20" width="26.299177169799805" customWidth="1"/>
    <col min="21" max="21" width="26.6179141998291" customWidth="1"/>
    <col min="22" max="22" width="19.279874801635742" customWidth="1"/>
    <col min="23" max="23" width="27.893712997436523" customWidth="1"/>
    <col min="24" max="24" width="18.020063400268555" customWidth="1"/>
    <col min="25" max="25" width="32.764400482177734" customWidth="1"/>
    <col min="26" max="26" width="25.239686965942383" customWidth="1"/>
    <col min="27" max="27" width="24.83987045288086" customWidth="1"/>
    <col min="28" max="28" width="30.562856674194336" customWidth="1"/>
    <col min="29" max="29" width="27.506624221801758" customWidth="1"/>
    <col min="30" max="30" width="21.61345100402832" customWidth="1"/>
    <col min="31" max="31" width="17.443378448486328" customWidth="1"/>
    <col min="32" max="32" width="25.893770217895508" customWidth="1"/>
    <col min="33" max="33" width="24.671812057495117" customWidth="1"/>
    <col min="34" max="34" width="17.443378448486328" customWidth="1"/>
    <col min="35" max="35" width="23.000850677490234" customWidth="1"/>
    <col min="36" max="36" width="26.3885440826416" customWidth="1"/>
    <col min="37" max="37" width="20.284631729125977" customWidth="1"/>
    <col min="38" max="38" width="17.443378448486328" customWidth="1"/>
    <col min="39" max="39" width="31.906484603881836" customWidth="1"/>
    <col min="40" max="40" width="23.964914321899414" customWidth="1"/>
    <col min="41" max="41" width="30.365907669067383" customWidth="1"/>
    <col min="42" max="42" width="19.592836380004883" customWidth="1"/>
    <col min="43" max="43" width="26.34737777709961" customWidth="1"/>
    <col min="44" max="44" width="25.7781982421875" customWidth="1"/>
    <col min="45" max="45" width="33.034122467041016" customWidth="1"/>
    <col min="46" max="46" width="44.66933822631836" customWidth="1"/>
  </cols>
  <sheetData>
    <row r="1">
      <c r="A1" s="1" t="s">
        <v>1446</v>
      </c>
      <c r="B1" s="1" t="s">
        <v>1</v>
      </c>
      <c r="C1" s="1" t="s">
        <v>1447</v>
      </c>
      <c r="D1" s="1" t="s">
        <v>894</v>
      </c>
      <c r="E1" s="1" t="s">
        <v>1448</v>
      </c>
      <c r="F1" s="1" t="s">
        <v>1449</v>
      </c>
      <c r="G1" s="1" t="s">
        <v>1450</v>
      </c>
      <c r="H1" s="1" t="s">
        <v>1451</v>
      </c>
      <c r="I1" s="1" t="s">
        <v>895</v>
      </c>
      <c r="J1" s="1" t="s">
        <v>1452</v>
      </c>
      <c r="K1" s="1" t="s">
        <v>1453</v>
      </c>
      <c r="L1" s="1" t="s">
        <v>1454</v>
      </c>
      <c r="M1" s="1" t="s">
        <v>1455</v>
      </c>
      <c r="N1" s="1" t="s">
        <v>1456</v>
      </c>
      <c r="O1" s="1" t="s">
        <v>1457</v>
      </c>
      <c r="P1" s="1" t="s">
        <v>1458</v>
      </c>
      <c r="Q1" s="1" t="s">
        <v>1459</v>
      </c>
      <c r="R1" s="1" t="s">
        <v>1460</v>
      </c>
      <c r="S1" s="1" t="s">
        <v>1461</v>
      </c>
      <c r="T1" s="1" t="s">
        <v>1462</v>
      </c>
      <c r="U1" s="1" t="s">
        <v>1463</v>
      </c>
      <c r="V1" s="1" t="s">
        <v>1464</v>
      </c>
      <c r="W1" s="1" t="s">
        <v>1465</v>
      </c>
      <c r="X1" s="1" t="s">
        <v>1466</v>
      </c>
      <c r="Y1" s="1" t="s">
        <v>1467</v>
      </c>
      <c r="Z1" s="1" t="s">
        <v>1468</v>
      </c>
      <c r="AA1" s="1" t="s">
        <v>1469</v>
      </c>
      <c r="AB1" s="1" t="s">
        <v>1470</v>
      </c>
      <c r="AC1" s="1" t="s">
        <v>1471</v>
      </c>
      <c r="AD1" s="1" t="s">
        <v>1472</v>
      </c>
      <c r="AE1" s="1" t="s">
        <v>1473</v>
      </c>
      <c r="AF1" s="1" t="s">
        <v>1474</v>
      </c>
      <c r="AG1" s="1" t="s">
        <v>1475</v>
      </c>
      <c r="AH1" s="1" t="s">
        <v>1476</v>
      </c>
      <c r="AI1" s="1" t="s">
        <v>1477</v>
      </c>
      <c r="AJ1" s="1" t="s">
        <v>1478</v>
      </c>
      <c r="AK1" s="1" t="s">
        <v>1479</v>
      </c>
      <c r="AL1" s="1" t="s">
        <v>1480</v>
      </c>
      <c r="AM1" s="1" t="s">
        <v>1481</v>
      </c>
      <c r="AN1" s="1" t="s">
        <v>1482</v>
      </c>
      <c r="AO1" s="1" t="s">
        <v>1483</v>
      </c>
      <c r="AP1" s="1" t="s">
        <v>1484</v>
      </c>
      <c r="AQ1" s="1" t="s">
        <v>1485</v>
      </c>
      <c r="AR1" s="1" t="s">
        <v>1486</v>
      </c>
      <c r="AS1" s="1" t="s">
        <v>1487</v>
      </c>
      <c r="AT1" s="1" t="s">
        <v>94</v>
      </c>
    </row>
    <row r="2">
      <c r="A2" s="2" t="s">
        <v>1488</v>
      </c>
      <c r="B2" s="3" t="str">
        <f>D2 &amp; " / " &amp; E2</f>
        <v>req-close-cutoff / Satisfied</v>
      </c>
      <c r="C2" s="2" t="s">
        <v>1427</v>
      </c>
      <c r="D2" s="2" t="s">
        <v>819</v>
      </c>
      <c r="E2" s="2" t="s">
        <v>1489</v>
      </c>
      <c r="F2" s="2" t="s">
        <v>1490</v>
      </c>
      <c r="G2" s="2" t="s">
        <v>145</v>
      </c>
      <c r="H2" s="4">
        <v>46222.625</v>
      </c>
      <c r="I2" s="3" t="b">
        <f>_xlfn.IFNA(INDEX(Requirements!G2:G999, MATCH(D2,Requirements!A2:A999, 0)), "")</f>
        <v>1</v>
      </c>
      <c r="J2" s="3" t="b">
        <f>E2 = "Satisfied"</f>
        <v>1</v>
      </c>
      <c r="K2" s="3" t="b">
        <f>AND(I2, NOT(J2))</f>
        <v>0</v>
      </c>
      <c r="L2" s="3" t="str">
        <f>IF(K2, C2, "")</f>
      </c>
      <c r="M2" s="3" t="str">
        <f>IF(I2, C2, "")</f>
        <v>se-close01</v>
      </c>
      <c r="N2" s="3" t="str">
        <f>IF(NOT(J2), D2, "")</f>
      </c>
      <c r="O2" s="3" t="str">
        <f>_xlfn.IFNA(INDEX(Agents!D2:D999, MATCH(G2,Agents!A2:A999, 0)), "")</f>
        <v>Human</v>
      </c>
      <c r="P2" s="3" t="b">
        <f>AND(I2, O2 &lt;&gt; "Human")</f>
        <v>0</v>
      </c>
      <c r="Q2" s="3" t="b">
        <f>_xlfn.IFNA(INDEX(Requirements!O2:O999, MATCH(D2,Requirements!A2:A999, 0)), "")</f>
        <v>1</v>
      </c>
      <c r="R2" s="3" t="b">
        <f>AND(I2, J2, NOT(Q2))</f>
        <v>0</v>
      </c>
      <c r="S2" s="3" t="str">
        <f>IF(R2, T2, "")</f>
      </c>
      <c r="T2" s="3" t="str">
        <f>_xlfn.IFNA(INDEX(StepExecutions!C2:C999, MATCH(C2,StepExecutions!A2:A999, 0)), "")</f>
        <v>exec-close-2026-q2</v>
      </c>
      <c r="U2" s="3" t="str">
        <f>IF(E2 &lt;&gt; "", C2, "")</f>
        <v>se-close01</v>
      </c>
      <c r="V2" s="3" t="b">
        <f>O2 = "Human"</f>
        <v>1</v>
      </c>
      <c r="W2" s="3" t="str">
        <f>_xlfn.IFNA(INDEX(Requirements!D2:D999, MATCH(D2,Requirements!A2:A999, 0)), "")</f>
        <v>Control</v>
      </c>
      <c r="X2" s="3" t="b">
        <f>AND(W2 = "Approval", OR(NOT(J2), NOT(V2)))</f>
        <v>0</v>
      </c>
      <c r="Y2" s="3" t="str">
        <f>_xlfn.IFNA(INDEX(StepExecutions!C2:C999, MATCH(C2,StepExecutions!A2:A999, 0)), "")</f>
        <v>exec-close-2026-q2</v>
      </c>
      <c r="Z2" s="3" t="str">
        <f>IF(X2, Y2, "")</f>
      </c>
      <c r="AA2" s="3" t="b">
        <f>_xlfn.IFNA(INDEX(Requirements!R2:R999, MATCH(D2,Requirements!A2:A999, 0)), "")</f>
        <v>1</v>
      </c>
      <c r="AB2" s="3" t="b">
        <f>AND(J2, I2, AA2)</f>
        <v>1</v>
      </c>
      <c r="AC2" s="3" t="str">
        <f>IF(AB2, C2, "")</f>
        <v>se-close01</v>
      </c>
      <c r="AD2" s="3" t="str">
        <f>_xlfn.IFNA(INDEX(StepExecutions!D2:D999, MATCH(C2,StepExecutions!A2:A999, 0)), "")</f>
        <v>close-01</v>
      </c>
      <c r="AE2" s="3" t="str">
        <f>_xlfn.IFNA(INDEX(StepRequirements!A2:A999, MATCH(A2,StepRequirements!A2:A999, 0)), "")</f>
      </c>
      <c r="AF2" s="3" t="str">
        <f>_xlfn.IFNA(INDEX(StepExecutions!E2:E999, MATCH(C2,StepExecutions!A2:A999, 0)), "")</f>
        <v>close-pipeline</v>
      </c>
      <c r="AG2" s="3" t="b">
        <f>G2 = AF2</f>
        <v>0</v>
      </c>
      <c r="AH2" s="3" t="str">
        <f>_xlfn.IFNA(INDEX(ProcedureExecutions!G2:G999, MATCH(T2,ProcedureExecutions!A2:A999, 0)), "")</f>
        <v>devon-okafor</v>
      </c>
      <c r="AI2" s="3" t="b">
        <f>G2 = AH2</f>
        <v>1</v>
      </c>
      <c r="AJ2" s="3" t="b">
        <f>AND(R2, OR(AG2, AI2))</f>
        <v>0</v>
      </c>
      <c r="AK2" s="3" t="b">
        <f>F2 &lt;&gt; ""</f>
        <v>1</v>
      </c>
      <c r="AL2" s="3" t="b">
        <f>AND(R2, NOT(AK2))</f>
        <v>0</v>
      </c>
      <c r="AM2" s="3" t="str">
        <f>IF(AJ2, T2, "")</f>
      </c>
      <c r="AN2" s="3" t="b">
        <f>AND(I2, Q2)</f>
        <v>1</v>
      </c>
      <c r="AO2" s="3" t="str">
        <f>IF(AN2, T2, "")</f>
        <v>exec-close-2026-q2</v>
      </c>
      <c r="AP2" s="3" t="str">
        <f>_xlfn.IFNA(INDEX(StepExecutions!E2:E999, MATCH(C2,StepExecutions!A2:A999, 0)), "")</f>
        <v>close-pipeline</v>
      </c>
      <c r="AQ2" s="3" t="e">
        <f>DATETIME_DIFF(H2, AR2, "minutes") &gt; 0</f>
        <v>#NAME?</v>
      </c>
      <c r="AR2" s="6">
        <f>_xlfn.IFNA(INDEX(ProcedureExecutions!BK2:BK999, MATCH(T2,ProcedureExecutions!A2:A999, 0)), "")</f>
        <v>0</v>
      </c>
      <c r="AS2" s="3" t="e">
        <f>IF(AQ2, T2, "")</f>
        <v>#NAME?</v>
      </c>
      <c r="AT2" s="2" t="s">
        <v>1491</v>
      </c>
    </row>
    <row r="3">
      <c r="A3" s="2" t="s">
        <v>1492</v>
      </c>
      <c r="B3" s="3" t="str">
        <f>D3 &amp; " / " &amp; E3</f>
        <v>req-close-balance / Satisfied</v>
      </c>
      <c r="C3" s="2" t="s">
        <v>1433</v>
      </c>
      <c r="D3" s="2" t="s">
        <v>827</v>
      </c>
      <c r="E3" s="2" t="s">
        <v>1489</v>
      </c>
      <c r="F3" s="2" t="s">
        <v>1493</v>
      </c>
      <c r="G3" s="2" t="s">
        <v>145</v>
      </c>
      <c r="H3" s="4">
        <v>46222.625</v>
      </c>
      <c r="I3" s="3" t="b">
        <f>_xlfn.IFNA(INDEX(Requirements!G2:G999, MATCH(D3,Requirements!A2:A999, 0)), "")</f>
        <v>1</v>
      </c>
      <c r="J3" s="3" t="b">
        <f>E3 = "Satisfied"</f>
        <v>1</v>
      </c>
      <c r="K3" s="3" t="b">
        <f>AND(I3, NOT(J3))</f>
        <v>0</v>
      </c>
      <c r="L3" s="3" t="str">
        <f>IF(K3, C3, "")</f>
      </c>
      <c r="M3" s="3" t="str">
        <f>IF(I3, C3, "")</f>
        <v>se-close03</v>
      </c>
      <c r="N3" s="3" t="str">
        <f>IF(NOT(J3), D3, "")</f>
      </c>
      <c r="O3" s="3" t="str">
        <f>_xlfn.IFNA(INDEX(Agents!D2:D999, MATCH(G3,Agents!A2:A999, 0)), "")</f>
        <v>Human</v>
      </c>
      <c r="P3" s="3" t="b">
        <f>AND(I3, O3 &lt;&gt; "Human")</f>
        <v>0</v>
      </c>
      <c r="Q3" s="3" t="b">
        <f>_xlfn.IFNA(INDEX(Requirements!O2:O999, MATCH(D3,Requirements!A2:A999, 0)), "")</f>
        <v>1</v>
      </c>
      <c r="R3" s="3" t="b">
        <f>AND(I3, J3, NOT(Q3))</f>
        <v>0</v>
      </c>
      <c r="S3" s="3" t="str">
        <f>IF(R3, T3, "")</f>
      </c>
      <c r="T3" s="3" t="str">
        <f>_xlfn.IFNA(INDEX(StepExecutions!C2:C999, MATCH(C3,StepExecutions!A2:A999, 0)), "")</f>
        <v>exec-close-2026-q2</v>
      </c>
      <c r="U3" s="3" t="str">
        <f>IF(E3 &lt;&gt; "", C3, "")</f>
        <v>se-close03</v>
      </c>
      <c r="V3" s="3" t="b">
        <f>O3 = "Human"</f>
        <v>1</v>
      </c>
      <c r="W3" s="3" t="str">
        <f>_xlfn.IFNA(INDEX(Requirements!D2:D999, MATCH(D3,Requirements!A2:A999, 0)), "")</f>
        <v>Verification</v>
      </c>
      <c r="X3" s="3" t="b">
        <f>AND(W3 = "Approval", OR(NOT(J3), NOT(V3)))</f>
        <v>0</v>
      </c>
      <c r="Y3" s="3" t="str">
        <f>_xlfn.IFNA(INDEX(StepExecutions!C2:C999, MATCH(C3,StepExecutions!A2:A999, 0)), "")</f>
        <v>exec-close-2026-q2</v>
      </c>
      <c r="Z3" s="3" t="str">
        <f>IF(X3, Y3, "")</f>
      </c>
      <c r="AA3" s="3" t="b">
        <f>_xlfn.IFNA(INDEX(Requirements!R2:R999, MATCH(D3,Requirements!A2:A999, 0)), "")</f>
        <v>1</v>
      </c>
      <c r="AB3" s="3" t="b">
        <f>AND(J3, I3, AA3)</f>
        <v>1</v>
      </c>
      <c r="AC3" s="3" t="str">
        <f>IF(AB3, C3, "")</f>
        <v>se-close03</v>
      </c>
      <c r="AD3" s="3" t="str">
        <f>_xlfn.IFNA(INDEX(StepExecutions!D2:D999, MATCH(C3,StepExecutions!A2:A999, 0)), "")</f>
        <v>close-03</v>
      </c>
      <c r="AE3" s="3" t="str">
        <f>_xlfn.IFNA(INDEX(StepRequirements!A2:A999, MATCH(A3,StepRequirements!A2:A999, 0)), "")</f>
      </c>
      <c r="AF3" s="3" t="str">
        <f>_xlfn.IFNA(INDEX(StepExecutions!E2:E999, MATCH(C3,StepExecutions!A2:A999, 0)), "")</f>
        <v>maria-chen</v>
      </c>
      <c r="AG3" s="3" t="b">
        <f>G3 = AF3</f>
        <v>0</v>
      </c>
      <c r="AH3" s="3" t="str">
        <f>_xlfn.IFNA(INDEX(ProcedureExecutions!G2:G999, MATCH(T3,ProcedureExecutions!A2:A999, 0)), "")</f>
        <v>devon-okafor</v>
      </c>
      <c r="AI3" s="3" t="b">
        <f>G3 = AH3</f>
        <v>1</v>
      </c>
      <c r="AJ3" s="3" t="b">
        <f>AND(R3, OR(AG3, AI3))</f>
        <v>0</v>
      </c>
      <c r="AK3" s="3" t="b">
        <f>F3 &lt;&gt; ""</f>
        <v>1</v>
      </c>
      <c r="AL3" s="3" t="b">
        <f>AND(R3, NOT(AK3))</f>
        <v>0</v>
      </c>
      <c r="AM3" s="3" t="str">
        <f>IF(AJ3, T3, "")</f>
      </c>
      <c r="AN3" s="3" t="b">
        <f>AND(I3, Q3)</f>
        <v>1</v>
      </c>
      <c r="AO3" s="3" t="str">
        <f>IF(AN3, T3, "")</f>
        <v>exec-close-2026-q2</v>
      </c>
      <c r="AP3" s="3" t="str">
        <f>_xlfn.IFNA(INDEX(StepExecutions!E2:E999, MATCH(C3,StepExecutions!A2:A999, 0)), "")</f>
        <v>maria-chen</v>
      </c>
      <c r="AQ3" s="3" t="e">
        <f>DATETIME_DIFF(H3, AR3, "minutes") &gt; 0</f>
        <v>#NAME?</v>
      </c>
      <c r="AR3" s="6">
        <f>_xlfn.IFNA(INDEX(ProcedureExecutions!BK2:BK999, MATCH(T3,ProcedureExecutions!A2:A999, 0)), "")</f>
        <v>0</v>
      </c>
      <c r="AS3" s="3" t="e">
        <f>IF(AQ3, T3, "")</f>
        <v>#NAME?</v>
      </c>
      <c r="AT3" s="2" t="s">
        <v>1491</v>
      </c>
    </row>
    <row r="4">
      <c r="A4" s="2" t="s">
        <v>1494</v>
      </c>
      <c r="B4" s="3" t="str">
        <f>D4 &amp; " / " &amp; E4</f>
        <v>req-close-separation / Satisfied</v>
      </c>
      <c r="C4" s="2" t="s">
        <v>1436</v>
      </c>
      <c r="D4" s="2" t="s">
        <v>833</v>
      </c>
      <c r="E4" s="2" t="s">
        <v>1489</v>
      </c>
      <c r="F4" s="2" t="s">
        <v>1495</v>
      </c>
      <c r="G4" s="2" t="s">
        <v>149</v>
      </c>
      <c r="H4" s="4">
        <v>46222.625</v>
      </c>
      <c r="I4" s="3" t="b">
        <f>_xlfn.IFNA(INDEX(Requirements!G2:G999, MATCH(D4,Requirements!A2:A999, 0)), "")</f>
        <v>1</v>
      </c>
      <c r="J4" s="3" t="b">
        <f>E4 = "Satisfied"</f>
        <v>1</v>
      </c>
      <c r="K4" s="3" t="b">
        <f>AND(I4, NOT(J4))</f>
        <v>0</v>
      </c>
      <c r="L4" s="3" t="str">
        <f>IF(K4, C4, "")</f>
      </c>
      <c r="M4" s="3" t="str">
        <f>IF(I4, C4, "")</f>
        <v>se-close05</v>
      </c>
      <c r="N4" s="3" t="str">
        <f>IF(NOT(J4), D4, "")</f>
      </c>
      <c r="O4" s="3" t="str">
        <f>_xlfn.IFNA(INDEX(Agents!D2:D999, MATCH(G4,Agents!A2:A999, 0)), "")</f>
        <v>Human</v>
      </c>
      <c r="P4" s="3" t="b">
        <f>AND(I4, O4 &lt;&gt; "Human")</f>
        <v>0</v>
      </c>
      <c r="Q4" s="3" t="b">
        <f>_xlfn.IFNA(INDEX(Requirements!O2:O999, MATCH(D4,Requirements!A2:A999, 0)), "")</f>
        <v>1</v>
      </c>
      <c r="R4" s="3" t="b">
        <f>AND(I4, J4, NOT(Q4))</f>
        <v>0</v>
      </c>
      <c r="S4" s="3" t="str">
        <f>IF(R4, T4, "")</f>
      </c>
      <c r="T4" s="3" t="str">
        <f>_xlfn.IFNA(INDEX(StepExecutions!C2:C999, MATCH(C4,StepExecutions!A2:A999, 0)), "")</f>
        <v>exec-close-2026-q2</v>
      </c>
      <c r="U4" s="3" t="str">
        <f>IF(E4 &lt;&gt; "", C4, "")</f>
        <v>se-close05</v>
      </c>
      <c r="V4" s="3" t="b">
        <f>O4 = "Human"</f>
        <v>1</v>
      </c>
      <c r="W4" s="3" t="str">
        <f>_xlfn.IFNA(INDEX(Requirements!D2:D999, MATCH(D4,Requirements!A2:A999, 0)), "")</f>
        <v>Governance</v>
      </c>
      <c r="X4" s="3" t="b">
        <f>AND(W4 = "Approval", OR(NOT(J4), NOT(V4)))</f>
        <v>0</v>
      </c>
      <c r="Y4" s="3" t="str">
        <f>_xlfn.IFNA(INDEX(StepExecutions!C2:C999, MATCH(C4,StepExecutions!A2:A999, 0)), "")</f>
        <v>exec-close-2026-q2</v>
      </c>
      <c r="Z4" s="3" t="str">
        <f>IF(X4, Y4, "")</f>
      </c>
      <c r="AA4" s="3" t="b">
        <f>_xlfn.IFNA(INDEX(Requirements!R2:R999, MATCH(D4,Requirements!A2:A999, 0)), "")</f>
        <v>1</v>
      </c>
      <c r="AB4" s="3" t="b">
        <f>AND(J4, I4, AA4)</f>
        <v>1</v>
      </c>
      <c r="AC4" s="3" t="str">
        <f>IF(AB4, C4, "")</f>
        <v>se-close05</v>
      </c>
      <c r="AD4" s="3" t="str">
        <f>_xlfn.IFNA(INDEX(StepExecutions!D2:D999, MATCH(C4,StepExecutions!A2:A999, 0)), "")</f>
        <v>close-05</v>
      </c>
      <c r="AE4" s="3" t="str">
        <f>_xlfn.IFNA(INDEX(StepRequirements!A2:A999, MATCH(A4,StepRequirements!A2:A999, 0)), "")</f>
      </c>
      <c r="AF4" s="3" t="str">
        <f>_xlfn.IFNA(INDEX(StepExecutions!E2:E999, MATCH(C4,StepExecutions!A2:A999, 0)), "")</f>
        <v>devon-okafor</v>
      </c>
      <c r="AG4" s="3" t="b">
        <f>G4 = AF4</f>
        <v>0</v>
      </c>
      <c r="AH4" s="3" t="str">
        <f>_xlfn.IFNA(INDEX(ProcedureExecutions!G2:G999, MATCH(T4,ProcedureExecutions!A2:A999, 0)), "")</f>
        <v>devon-okafor</v>
      </c>
      <c r="AI4" s="3" t="b">
        <f>G4 = AH4</f>
        <v>0</v>
      </c>
      <c r="AJ4" s="3" t="b">
        <f>AND(R4, OR(AG4, AI4))</f>
        <v>0</v>
      </c>
      <c r="AK4" s="3" t="b">
        <f>F4 &lt;&gt; ""</f>
        <v>1</v>
      </c>
      <c r="AL4" s="3" t="b">
        <f>AND(R4, NOT(AK4))</f>
        <v>0</v>
      </c>
      <c r="AM4" s="3" t="str">
        <f>IF(AJ4, T4, "")</f>
      </c>
      <c r="AN4" s="3" t="b">
        <f>AND(I4, Q4)</f>
        <v>1</v>
      </c>
      <c r="AO4" s="3" t="str">
        <f>IF(AN4, T4, "")</f>
        <v>exec-close-2026-q2</v>
      </c>
      <c r="AP4" s="3" t="str">
        <f>_xlfn.IFNA(INDEX(StepExecutions!E2:E999, MATCH(C4,StepExecutions!A2:A999, 0)), "")</f>
        <v>devon-okafor</v>
      </c>
      <c r="AQ4" s="3" t="e">
        <f>DATETIME_DIFF(H4, AR4, "minutes") &gt; 0</f>
        <v>#NAME?</v>
      </c>
      <c r="AR4" s="6">
        <f>_xlfn.IFNA(INDEX(ProcedureExecutions!BK2:BK999, MATCH(T4,ProcedureExecutions!A2:A999, 0)), "")</f>
        <v>0</v>
      </c>
      <c r="AS4" s="3" t="e">
        <f>IF(AQ4, T4, "")</f>
        <v>#NAME?</v>
      </c>
      <c r="AT4" s="2" t="s">
        <v>1491</v>
      </c>
    </row>
    <row r="5">
      <c r="A5" s="2" t="s">
        <v>1496</v>
      </c>
      <c r="B5" s="3" t="str">
        <f>D5 &amp; " / " &amp; E5</f>
        <v>req-close-human-approval / Satisfied</v>
      </c>
      <c r="C5" s="2" t="s">
        <v>1437</v>
      </c>
      <c r="D5" s="2" t="s">
        <v>847</v>
      </c>
      <c r="E5" s="2" t="s">
        <v>1489</v>
      </c>
      <c r="F5" s="2" t="s">
        <v>1497</v>
      </c>
      <c r="G5" s="2" t="s">
        <v>149</v>
      </c>
      <c r="H5" s="4">
        <v>46222.625</v>
      </c>
      <c r="I5" s="3" t="b">
        <f>_xlfn.IFNA(INDEX(Requirements!G2:G999, MATCH(D5,Requirements!A2:A999, 0)), "")</f>
        <v>1</v>
      </c>
      <c r="J5" s="3" t="b">
        <f>E5 = "Satisfied"</f>
        <v>1</v>
      </c>
      <c r="K5" s="3" t="b">
        <f>AND(I5, NOT(J5))</f>
        <v>0</v>
      </c>
      <c r="L5" s="3" t="str">
        <f>IF(K5, C5, "")</f>
      </c>
      <c r="M5" s="3" t="str">
        <f>IF(I5, C5, "")</f>
        <v>se-close06</v>
      </c>
      <c r="N5" s="3" t="str">
        <f>IF(NOT(J5), D5, "")</f>
      </c>
      <c r="O5" s="3" t="str">
        <f>_xlfn.IFNA(INDEX(Agents!D2:D999, MATCH(G5,Agents!A2:A999, 0)), "")</f>
        <v>Human</v>
      </c>
      <c r="P5" s="3" t="b">
        <f>AND(I5, O5 &lt;&gt; "Human")</f>
        <v>0</v>
      </c>
      <c r="Q5" s="3" t="b">
        <f>_xlfn.IFNA(INDEX(Requirements!O2:O999, MATCH(D5,Requirements!A2:A999, 0)), "")</f>
        <v>0</v>
      </c>
      <c r="R5" s="3" t="b">
        <f>AND(I5, J5, NOT(Q5))</f>
        <v>1</v>
      </c>
      <c r="S5" s="3" t="str">
        <f>IF(R5, T5, "")</f>
        <v>exec-close-2026-q2</v>
      </c>
      <c r="T5" s="3" t="str">
        <f>_xlfn.IFNA(INDEX(StepExecutions!C2:C999, MATCH(C5,StepExecutions!A2:A999, 0)), "")</f>
        <v>exec-close-2026-q2</v>
      </c>
      <c r="U5" s="3" t="str">
        <f>IF(E5 &lt;&gt; "", C5, "")</f>
        <v>se-close06</v>
      </c>
      <c r="V5" s="3" t="b">
        <f>O5 = "Human"</f>
        <v>1</v>
      </c>
      <c r="W5" s="3" t="str">
        <f>_xlfn.IFNA(INDEX(Requirements!D2:D999, MATCH(D5,Requirements!A2:A999, 0)), "")</f>
        <v>Approval</v>
      </c>
      <c r="X5" s="3" t="b">
        <f>AND(W5 = "Approval", OR(NOT(J5), NOT(V5)))</f>
        <v>0</v>
      </c>
      <c r="Y5" s="3" t="str">
        <f>_xlfn.IFNA(INDEX(StepExecutions!C2:C999, MATCH(C5,StepExecutions!A2:A999, 0)), "")</f>
        <v>exec-close-2026-q2</v>
      </c>
      <c r="Z5" s="3" t="str">
        <f>IF(X5, Y5, "")</f>
      </c>
      <c r="AA5" s="3" t="b">
        <f>_xlfn.IFNA(INDEX(Requirements!R2:R999, MATCH(D5,Requirements!A2:A999, 0)), "")</f>
        <v>1</v>
      </c>
      <c r="AB5" s="3" t="b">
        <f>AND(J5, I5, AA5)</f>
        <v>1</v>
      </c>
      <c r="AC5" s="3" t="str">
        <f>IF(AB5, C5, "")</f>
        <v>se-close06</v>
      </c>
      <c r="AD5" s="3" t="str">
        <f>_xlfn.IFNA(INDEX(StepExecutions!D2:D999, MATCH(C5,StepExecutions!A2:A999, 0)), "")</f>
        <v>close-06</v>
      </c>
      <c r="AE5" s="3" t="str">
        <f>_xlfn.IFNA(INDEX(StepRequirements!A2:A999, MATCH(A5,StepRequirements!A2:A999, 0)), "")</f>
      </c>
      <c r="AF5" s="3" t="str">
        <f>_xlfn.IFNA(INDEX(StepExecutions!E2:E999, MATCH(C5,StepExecutions!A2:A999, 0)), "")</f>
        <v>priya-raman</v>
      </c>
      <c r="AG5" s="3" t="b">
        <f>G5 = AF5</f>
        <v>1</v>
      </c>
      <c r="AH5" s="3" t="str">
        <f>_xlfn.IFNA(INDEX(ProcedureExecutions!G2:G999, MATCH(T5,ProcedureExecutions!A2:A999, 0)), "")</f>
        <v>devon-okafor</v>
      </c>
      <c r="AI5" s="3" t="b">
        <f>G5 = AH5</f>
        <v>0</v>
      </c>
      <c r="AJ5" s="3" t="b">
        <f>AND(R5, OR(AG5, AI5))</f>
        <v>1</v>
      </c>
      <c r="AK5" s="3" t="b">
        <f>F5 &lt;&gt; ""</f>
        <v>1</v>
      </c>
      <c r="AL5" s="3" t="b">
        <f>AND(R5, NOT(AK5))</f>
        <v>0</v>
      </c>
      <c r="AM5" s="3" t="str">
        <f>IF(AJ5, T5, "")</f>
        <v>exec-close-2026-q2</v>
      </c>
      <c r="AN5" s="3" t="b">
        <f>AND(I5, Q5)</f>
        <v>0</v>
      </c>
      <c r="AO5" s="3" t="str">
        <f>IF(AN5, T5, "")</f>
      </c>
      <c r="AP5" s="3" t="str">
        <f>_xlfn.IFNA(INDEX(StepExecutions!E2:E999, MATCH(C5,StepExecutions!A2:A999, 0)), "")</f>
        <v>priya-raman</v>
      </c>
      <c r="AQ5" s="3" t="e">
        <f>DATETIME_DIFF(H5, AR5, "minutes") &gt; 0</f>
        <v>#NAME?</v>
      </c>
      <c r="AR5" s="6">
        <f>_xlfn.IFNA(INDEX(ProcedureExecutions!BK2:BK999, MATCH(T5,ProcedureExecutions!A2:A999, 0)), "")</f>
        <v>0</v>
      </c>
      <c r="AS5" s="3" t="e">
        <f>IF(AQ5, T5, "")</f>
        <v>#NAME?</v>
      </c>
      <c r="AT5" s="2" t="s">
        <v>1491</v>
      </c>
    </row>
    <row r="6">
      <c r="A6" s="2" t="s">
        <v>1498</v>
      </c>
      <c r="B6" s="3" t="str">
        <f>D6 &amp; " / " &amp; E6</f>
        <v>req-policy-source / Satisfied</v>
      </c>
      <c r="C6" s="2" t="s">
        <v>1443</v>
      </c>
      <c r="D6" s="2" t="s">
        <v>852</v>
      </c>
      <c r="E6" s="2" t="s">
        <v>1489</v>
      </c>
      <c r="F6" s="2" t="s">
        <v>1499</v>
      </c>
      <c r="G6" s="2" t="s">
        <v>153</v>
      </c>
      <c r="H6" s="4">
        <v>46222.625</v>
      </c>
      <c r="I6" s="3" t="b">
        <f>_xlfn.IFNA(INDEX(Requirements!G2:G999, MATCH(D6,Requirements!A2:A999, 0)), "")</f>
        <v>1</v>
      </c>
      <c r="J6" s="3" t="b">
        <f>E6 = "Satisfied"</f>
        <v>1</v>
      </c>
      <c r="K6" s="3" t="b">
        <f>AND(I6, NOT(J6))</f>
        <v>0</v>
      </c>
      <c r="L6" s="3" t="str">
        <f>IF(K6, C6, "")</f>
      </c>
      <c r="M6" s="3" t="str">
        <f>IF(I6, C6, "")</f>
        <v>se-policy03</v>
      </c>
      <c r="N6" s="3" t="str">
        <f>IF(NOT(J6), D6, "")</f>
      </c>
      <c r="O6" s="3" t="str">
        <f>_xlfn.IFNA(INDEX(Agents!D2:D999, MATCH(G6,Agents!A2:A999, 0)), "")</f>
        <v>Human</v>
      </c>
      <c r="P6" s="3" t="b">
        <f>AND(I6, O6 &lt;&gt; "Human")</f>
        <v>0</v>
      </c>
      <c r="Q6" s="3" t="b">
        <f>_xlfn.IFNA(INDEX(Requirements!O2:O999, MATCH(D6,Requirements!A2:A999, 0)), "")</f>
        <v>0</v>
      </c>
      <c r="R6" s="3" t="b">
        <f>AND(I6, J6, NOT(Q6))</f>
        <v>1</v>
      </c>
      <c r="S6" s="3" t="str">
        <f>IF(R6, T6, "")</f>
        <v>exec-policy-hr4821</v>
      </c>
      <c r="T6" s="3" t="str">
        <f>_xlfn.IFNA(INDEX(StepExecutions!C2:C999, MATCH(C6,StepExecutions!A2:A999, 0)), "")</f>
        <v>exec-policy-hr4821</v>
      </c>
      <c r="U6" s="3" t="str">
        <f>IF(E6 &lt;&gt; "", C6, "")</f>
        <v>se-policy03</v>
      </c>
      <c r="V6" s="3" t="b">
        <f>O6 = "Human"</f>
        <v>1</v>
      </c>
      <c r="W6" s="3" t="str">
        <f>_xlfn.IFNA(INDEX(Requirements!D2:D999, MATCH(D6,Requirements!A2:A999, 0)), "")</f>
        <v>Provenance</v>
      </c>
      <c r="X6" s="3" t="b">
        <f>AND(W6 = "Approval", OR(NOT(J6), NOT(V6)))</f>
        <v>0</v>
      </c>
      <c r="Y6" s="3" t="str">
        <f>_xlfn.IFNA(INDEX(StepExecutions!C2:C999, MATCH(C6,StepExecutions!A2:A999, 0)), "")</f>
        <v>exec-policy-hr4821</v>
      </c>
      <c r="Z6" s="3" t="str">
        <f>IF(X6, Y6, "")</f>
      </c>
      <c r="AA6" s="3" t="b">
        <f>_xlfn.IFNA(INDEX(Requirements!R2:R999, MATCH(D6,Requirements!A2:A999, 0)), "")</f>
        <v>1</v>
      </c>
      <c r="AB6" s="3" t="b">
        <f>AND(J6, I6, AA6)</f>
        <v>1</v>
      </c>
      <c r="AC6" s="3" t="str">
        <f>IF(AB6, C6, "")</f>
        <v>se-policy03</v>
      </c>
      <c r="AD6" s="3" t="str">
        <f>_xlfn.IFNA(INDEX(StepExecutions!D2:D999, MATCH(C6,StepExecutions!A2:A999, 0)), "")</f>
        <v>policy-03</v>
      </c>
      <c r="AE6" s="3" t="str">
        <f>_xlfn.IFNA(INDEX(StepRequirements!A2:A999, MATCH(A6,StepRequirements!A2:A999, 0)), "")</f>
      </c>
      <c r="AF6" s="3" t="str">
        <f>_xlfn.IFNA(INDEX(StepExecutions!E2:E999, MATCH(C6,StepExecutions!A2:A999, 0)), "")</f>
        <v>policy-drafting-ai</v>
      </c>
      <c r="AG6" s="3" t="b">
        <f>G6 = AF6</f>
        <v>0</v>
      </c>
      <c r="AH6" s="3" t="str">
        <f>_xlfn.IFNA(INDEX(ProcedureExecutions!G2:G999, MATCH(T6,ProcedureExecutions!A2:A999, 0)), "")</f>
        <v>elena-garcia</v>
      </c>
      <c r="AI6" s="3" t="b">
        <f>G6 = AH6</f>
        <v>1</v>
      </c>
      <c r="AJ6" s="3" t="b">
        <f>AND(R6, OR(AG6, AI6))</f>
        <v>1</v>
      </c>
      <c r="AK6" s="3" t="b">
        <f>F6 &lt;&gt; ""</f>
        <v>1</v>
      </c>
      <c r="AL6" s="3" t="b">
        <f>AND(R6, NOT(AK6))</f>
        <v>0</v>
      </c>
      <c r="AM6" s="3" t="str">
        <f>IF(AJ6, T6, "")</f>
        <v>exec-policy-hr4821</v>
      </c>
      <c r="AN6" s="3" t="b">
        <f>AND(I6, Q6)</f>
        <v>0</v>
      </c>
      <c r="AO6" s="3" t="str">
        <f>IF(AN6, T6, "")</f>
      </c>
      <c r="AP6" s="3" t="str">
        <f>_xlfn.IFNA(INDEX(StepExecutions!E2:E999, MATCH(C6,StepExecutions!A2:A999, 0)), "")</f>
        <v>policy-drafting-ai</v>
      </c>
      <c r="AQ6" s="3" t="e">
        <f>DATETIME_DIFF(H6, AR6, "minutes") &gt; 0</f>
        <v>#NAME?</v>
      </c>
      <c r="AR6" s="6">
        <f>_xlfn.IFNA(INDEX(ProcedureExecutions!BK2:BK999, MATCH(T6,ProcedureExecutions!A2:A999, 0)), "")</f>
        <v>0</v>
      </c>
      <c r="AS6" s="3" t="e">
        <f>IF(AQ6, T6, "")</f>
        <v>#NAME?</v>
      </c>
      <c r="AT6" s="2" t="s">
        <v>1491</v>
      </c>
    </row>
    <row r="7">
      <c r="A7" s="2" t="s">
        <v>1500</v>
      </c>
      <c r="B7" s="3" t="str">
        <f>D7 &amp; " / " &amp; E7</f>
        <v>req-policy-legal / Satisfied</v>
      </c>
      <c r="C7" s="2" t="s">
        <v>1444</v>
      </c>
      <c r="D7" s="2" t="s">
        <v>857</v>
      </c>
      <c r="E7" s="2" t="s">
        <v>1489</v>
      </c>
      <c r="F7" s="2" t="s">
        <v>1501</v>
      </c>
      <c r="G7" s="2" t="s">
        <v>157</v>
      </c>
      <c r="H7" s="4">
        <v>46222.78125</v>
      </c>
      <c r="I7" s="3" t="b">
        <f>_xlfn.IFNA(INDEX(Requirements!G2:G999, MATCH(D7,Requirements!A2:A999, 0)), "")</f>
        <v>1</v>
      </c>
      <c r="J7" s="3" t="b">
        <f>E7 = "Satisfied"</f>
        <v>1</v>
      </c>
      <c r="K7" s="3" t="b">
        <f>AND(I7, NOT(J7))</f>
        <v>0</v>
      </c>
      <c r="L7" s="3" t="str">
        <f>IF(K7, C7, "")</f>
      </c>
      <c r="M7" s="3" t="str">
        <f>IF(I7, C7, "")</f>
        <v>se-policy04</v>
      </c>
      <c r="N7" s="3" t="str">
        <f>IF(NOT(J7), D7, "")</f>
      </c>
      <c r="O7" s="3" t="str">
        <f>_xlfn.IFNA(INDEX(Agents!D2:D999, MATCH(G7,Agents!A2:A999, 0)), "")</f>
        <v>Human</v>
      </c>
      <c r="P7" s="3" t="b">
        <f>AND(I7, O7 &lt;&gt; "Human")</f>
        <v>0</v>
      </c>
      <c r="Q7" s="3" t="b">
        <f>_xlfn.IFNA(INDEX(Requirements!O2:O999, MATCH(D7,Requirements!A2:A999, 0)), "")</f>
        <v>0</v>
      </c>
      <c r="R7" s="3" t="b">
        <f>AND(I7, J7, NOT(Q7))</f>
        <v>1</v>
      </c>
      <c r="S7" s="3" t="str">
        <f>IF(R7, T7, "")</f>
        <v>exec-policy-hr4821</v>
      </c>
      <c r="T7" s="3" t="str">
        <f>_xlfn.IFNA(INDEX(StepExecutions!C2:C999, MATCH(C7,StepExecutions!A2:A999, 0)), "")</f>
        <v>exec-policy-hr4821</v>
      </c>
      <c r="U7" s="3" t="str">
        <f>IF(E7 &lt;&gt; "", C7, "")</f>
        <v>se-policy04</v>
      </c>
      <c r="V7" s="3" t="b">
        <f>O7 = "Human"</f>
        <v>1</v>
      </c>
      <c r="W7" s="3" t="str">
        <f>_xlfn.IFNA(INDEX(Requirements!D2:D999, MATCH(D7,Requirements!A2:A999, 0)), "")</f>
        <v>Approval</v>
      </c>
      <c r="X7" s="3" t="b">
        <f>AND(W7 = "Approval", OR(NOT(J7), NOT(V7)))</f>
        <v>0</v>
      </c>
      <c r="Y7" s="3" t="str">
        <f>_xlfn.IFNA(INDEX(StepExecutions!C2:C999, MATCH(C7,StepExecutions!A2:A999, 0)), "")</f>
        <v>exec-policy-hr4821</v>
      </c>
      <c r="Z7" s="3" t="str">
        <f>IF(X7, Y7, "")</f>
      </c>
      <c r="AA7" s="3" t="b">
        <f>_xlfn.IFNA(INDEX(Requirements!R2:R999, MATCH(D7,Requirements!A2:A999, 0)), "")</f>
        <v>1</v>
      </c>
      <c r="AB7" s="3" t="b">
        <f>AND(J7, I7, AA7)</f>
        <v>1</v>
      </c>
      <c r="AC7" s="3" t="str">
        <f>IF(AB7, C7, "")</f>
        <v>se-policy04</v>
      </c>
      <c r="AD7" s="3" t="str">
        <f>_xlfn.IFNA(INDEX(StepExecutions!D2:D999, MATCH(C7,StepExecutions!A2:A999, 0)), "")</f>
        <v>policy-04</v>
      </c>
      <c r="AE7" s="3" t="str">
        <f>_xlfn.IFNA(INDEX(StepRequirements!A2:A999, MATCH(A7,StepRequirements!A2:A999, 0)), "")</f>
      </c>
      <c r="AF7" s="3" t="str">
        <f>_xlfn.IFNA(INDEX(StepExecutions!E2:E999, MATCH(C7,StepExecutions!A2:A999, 0)), "")</f>
        <v>noah-williams</v>
      </c>
      <c r="AG7" s="3" t="b">
        <f>G7 = AF7</f>
        <v>1</v>
      </c>
      <c r="AH7" s="3" t="str">
        <f>_xlfn.IFNA(INDEX(ProcedureExecutions!G2:G999, MATCH(T7,ProcedureExecutions!A2:A999, 0)), "")</f>
        <v>elena-garcia</v>
      </c>
      <c r="AI7" s="3" t="b">
        <f>G7 = AH7</f>
        <v>0</v>
      </c>
      <c r="AJ7" s="3" t="b">
        <f>AND(R7, OR(AG7, AI7))</f>
        <v>1</v>
      </c>
      <c r="AK7" s="3" t="b">
        <f>F7 &lt;&gt; ""</f>
        <v>1</v>
      </c>
      <c r="AL7" s="3" t="b">
        <f>AND(R7, NOT(AK7))</f>
        <v>0</v>
      </c>
      <c r="AM7" s="3" t="str">
        <f>IF(AJ7, T7, "")</f>
        <v>exec-policy-hr4821</v>
      </c>
      <c r="AN7" s="3" t="b">
        <f>AND(I7, Q7)</f>
        <v>0</v>
      </c>
      <c r="AO7" s="3" t="str">
        <f>IF(AN7, T7, "")</f>
      </c>
      <c r="AP7" s="3" t="str">
        <f>_xlfn.IFNA(INDEX(StepExecutions!E2:E999, MATCH(C7,StepExecutions!A2:A999, 0)), "")</f>
        <v>noah-williams</v>
      </c>
      <c r="AQ7" s="3" t="e">
        <f>DATETIME_DIFF(H7, AR7, "minutes") &gt; 0</f>
        <v>#NAME?</v>
      </c>
      <c r="AR7" s="6">
        <f>_xlfn.IFNA(INDEX(ProcedureExecutions!BK2:BK999, MATCH(T7,ProcedureExecutions!A2:A999, 0)), "")</f>
        <v>0</v>
      </c>
      <c r="AS7" s="3" t="e">
        <f>IF(AQ7, T7, "")</f>
        <v>#NAME?</v>
      </c>
      <c r="AT7" s="2" t="s">
        <v>1491</v>
      </c>
    </row>
    <row r="8">
      <c r="A8" s="2" t="s">
        <v>1502</v>
      </c>
      <c r="B8" s="3" t="str">
        <f>D8 &amp; " / " &amp; E8</f>
        <v>req-close-evidence / Unsatisfied</v>
      </c>
      <c r="C8" s="2" t="s">
        <v>1433</v>
      </c>
      <c r="D8" s="2" t="s">
        <v>840</v>
      </c>
      <c r="E8" s="2" t="s">
        <v>1503</v>
      </c>
      <c r="F8" s="2" t="s">
        <v>1504</v>
      </c>
      <c r="G8" s="2" t="s">
        <v>145</v>
      </c>
      <c r="H8" s="4">
        <v>46222.625</v>
      </c>
      <c r="I8" s="3" t="b">
        <f>_xlfn.IFNA(INDEX(Requirements!G2:G999, MATCH(D8,Requirements!A2:A999, 0)), "")</f>
        <v>1</v>
      </c>
      <c r="J8" s="3" t="b">
        <f>E8 = "Satisfied"</f>
        <v>0</v>
      </c>
      <c r="K8" s="3" t="b">
        <f>AND(I8, NOT(J8))</f>
        <v>1</v>
      </c>
      <c r="L8" s="3" t="str">
        <f>IF(K8, C8, "")</f>
        <v>se-close03</v>
      </c>
      <c r="M8" s="3" t="str">
        <f>IF(I8, C8, "")</f>
        <v>se-close03</v>
      </c>
      <c r="N8" s="3" t="str">
        <f>IF(NOT(J8), D8, "")</f>
        <v>req-close-evidence</v>
      </c>
      <c r="O8" s="3" t="str">
        <f>_xlfn.IFNA(INDEX(Agents!D2:D999, MATCH(G8,Agents!A2:A999, 0)), "")</f>
        <v>Human</v>
      </c>
      <c r="P8" s="3" t="b">
        <f>AND(I8, O8 &lt;&gt; "Human")</f>
        <v>0</v>
      </c>
      <c r="Q8" s="3" t="b">
        <f>_xlfn.IFNA(INDEX(Requirements!O2:O999, MATCH(D8,Requirements!A2:A999, 0)), "")</f>
        <v>1</v>
      </c>
      <c r="R8" s="3" t="b">
        <f>AND(I8, J8, NOT(Q8))</f>
        <v>0</v>
      </c>
      <c r="S8" s="3" t="str">
        <f>IF(R8, T8, "")</f>
      </c>
      <c r="T8" s="3" t="str">
        <f>_xlfn.IFNA(INDEX(StepExecutions!C2:C999, MATCH(C8,StepExecutions!A2:A999, 0)), "")</f>
        <v>exec-close-2026-q2</v>
      </c>
      <c r="U8" s="3" t="str">
        <f>IF(E8 &lt;&gt; "", C8, "")</f>
        <v>se-close03</v>
      </c>
      <c r="V8" s="3" t="b">
        <f>O8 = "Human"</f>
        <v>1</v>
      </c>
      <c r="W8" s="3" t="str">
        <f>_xlfn.IFNA(INDEX(Requirements!D2:D999, MATCH(D8,Requirements!A2:A999, 0)), "")</f>
        <v>Retention</v>
      </c>
      <c r="X8" s="3" t="b">
        <f>AND(W8 = "Approval", OR(NOT(J8), NOT(V8)))</f>
        <v>0</v>
      </c>
      <c r="Y8" s="3" t="str">
        <f>_xlfn.IFNA(INDEX(StepExecutions!C2:C999, MATCH(C8,StepExecutions!A2:A999, 0)), "")</f>
        <v>exec-close-2026-q2</v>
      </c>
      <c r="Z8" s="3" t="str">
        <f>IF(X8, Y8, "")</f>
      </c>
      <c r="AA8" s="3" t="b">
        <f>_xlfn.IFNA(INDEX(Requirements!R2:R999, MATCH(D8,Requirements!A2:A999, 0)), "")</f>
        <v>0</v>
      </c>
      <c r="AB8" s="3" t="b">
        <f>AND(J8, I8, AA8)</f>
        <v>0</v>
      </c>
      <c r="AC8" s="3" t="str">
        <f>IF(AB8, C8, "")</f>
      </c>
      <c r="AD8" s="3" t="str">
        <f>_xlfn.IFNA(INDEX(StepExecutions!D2:D999, MATCH(C8,StepExecutions!A2:A999, 0)), "")</f>
        <v>close-03</v>
      </c>
      <c r="AE8" s="3" t="str">
        <f>_xlfn.IFNA(INDEX(StepRequirements!A2:A999, MATCH(A8,StepRequirements!A2:A999, 0)), "")</f>
      </c>
      <c r="AF8" s="3" t="str">
        <f>_xlfn.IFNA(INDEX(StepExecutions!E2:E999, MATCH(C8,StepExecutions!A2:A999, 0)), "")</f>
        <v>maria-chen</v>
      </c>
      <c r="AG8" s="3" t="b">
        <f>G8 = AF8</f>
        <v>0</v>
      </c>
      <c r="AH8" s="3" t="str">
        <f>_xlfn.IFNA(INDEX(ProcedureExecutions!G2:G999, MATCH(T8,ProcedureExecutions!A2:A999, 0)), "")</f>
        <v>devon-okafor</v>
      </c>
      <c r="AI8" s="3" t="b">
        <f>G8 = AH8</f>
        <v>1</v>
      </c>
      <c r="AJ8" s="3" t="b">
        <f>AND(R8, OR(AG8, AI8))</f>
        <v>0</v>
      </c>
      <c r="AK8" s="3" t="b">
        <f>F8 &lt;&gt; ""</f>
        <v>1</v>
      </c>
      <c r="AL8" s="3" t="b">
        <f>AND(R8, NOT(AK8))</f>
        <v>0</v>
      </c>
      <c r="AM8" s="3" t="str">
        <f>IF(AJ8, T8, "")</f>
      </c>
      <c r="AN8" s="3" t="b">
        <f>AND(I8, Q8)</f>
        <v>1</v>
      </c>
      <c r="AO8" s="3" t="str">
        <f>IF(AN8, T8, "")</f>
        <v>exec-close-2026-q2</v>
      </c>
      <c r="AP8" s="3" t="str">
        <f>_xlfn.IFNA(INDEX(StepExecutions!E2:E999, MATCH(C8,StepExecutions!A2:A999, 0)), "")</f>
        <v>maria-chen</v>
      </c>
      <c r="AQ8" s="3" t="e">
        <f>DATETIME_DIFF(H8, AR8, "minutes") &gt; 0</f>
        <v>#NAME?</v>
      </c>
      <c r="AR8" s="6">
        <f>_xlfn.IFNA(INDEX(ProcedureExecutions!BK2:BK999, MATCH(T8,ProcedureExecutions!A2:A999, 0)), "")</f>
        <v>0</v>
      </c>
      <c r="AS8" s="3" t="e">
        <f>IF(AQ8, T8, "")</f>
        <v>#NAME?</v>
      </c>
      <c r="AT8" s="2" t="s">
        <v>826</v>
      </c>
    </row>
    <row r="9">
      <c r="A9" s="2" t="s">
        <v>1505</v>
      </c>
      <c r="B9" s="3" t="str">
        <f>D9 &amp; " / " &amp; E9</f>
        <v>req-close-evidence / Satisfied</v>
      </c>
      <c r="C9" s="2" t="s">
        <v>1439</v>
      </c>
      <c r="D9" s="2" t="s">
        <v>840</v>
      </c>
      <c r="E9" s="2" t="s">
        <v>1489</v>
      </c>
      <c r="F9" s="2" t="s">
        <v>1506</v>
      </c>
      <c r="G9" s="2" t="s">
        <v>145</v>
      </c>
      <c r="H9" s="4">
        <v>46222.79513888889</v>
      </c>
      <c r="I9" s="3" t="b">
        <f>_xlfn.IFNA(INDEX(Requirements!G2:G999, MATCH(D9,Requirements!A2:A999, 0)), "")</f>
        <v>1</v>
      </c>
      <c r="J9" s="3" t="b">
        <f>E9 = "Satisfied"</f>
        <v>1</v>
      </c>
      <c r="K9" s="3" t="b">
        <f>AND(I9, NOT(J9))</f>
        <v>0</v>
      </c>
      <c r="L9" s="3" t="str">
        <f>IF(K9, C9, "")</f>
      </c>
      <c r="M9" s="3" t="str">
        <f>IF(I9, C9, "")</f>
        <v>se-close08</v>
      </c>
      <c r="N9" s="3" t="str">
        <f>IF(NOT(J9), D9, "")</f>
      </c>
      <c r="O9" s="3" t="str">
        <f>_xlfn.IFNA(INDEX(Agents!D2:D999, MATCH(G9,Agents!A2:A999, 0)), "")</f>
        <v>Human</v>
      </c>
      <c r="P9" s="3" t="b">
        <f>AND(I9, O9 &lt;&gt; "Human")</f>
        <v>0</v>
      </c>
      <c r="Q9" s="3" t="b">
        <f>_xlfn.IFNA(INDEX(Requirements!O2:O999, MATCH(D9,Requirements!A2:A999, 0)), "")</f>
        <v>1</v>
      </c>
      <c r="R9" s="3" t="b">
        <f>AND(I9, J9, NOT(Q9))</f>
        <v>0</v>
      </c>
      <c r="S9" s="3" t="str">
        <f>IF(R9, T9, "")</f>
      </c>
      <c r="T9" s="3" t="str">
        <f>_xlfn.IFNA(INDEX(StepExecutions!C2:C999, MATCH(C9,StepExecutions!A2:A999, 0)), "")</f>
        <v>exec-close-2026-q2</v>
      </c>
      <c r="U9" s="3" t="str">
        <f>IF(E9 &lt;&gt; "", C9, "")</f>
        <v>se-close08</v>
      </c>
      <c r="V9" s="3" t="b">
        <f>O9 = "Human"</f>
        <v>1</v>
      </c>
      <c r="W9" s="3" t="str">
        <f>_xlfn.IFNA(INDEX(Requirements!D2:D999, MATCH(D9,Requirements!A2:A999, 0)), "")</f>
        <v>Retention</v>
      </c>
      <c r="X9" s="3" t="b">
        <f>AND(W9 = "Approval", OR(NOT(J9), NOT(V9)))</f>
        <v>0</v>
      </c>
      <c r="Y9" s="3" t="str">
        <f>_xlfn.IFNA(INDEX(StepExecutions!C2:C999, MATCH(C9,StepExecutions!A2:A999, 0)), "")</f>
        <v>exec-close-2026-q2</v>
      </c>
      <c r="Z9" s="3" t="str">
        <f>IF(X9, Y9, "")</f>
      </c>
      <c r="AA9" s="3" t="b">
        <f>_xlfn.IFNA(INDEX(Requirements!R2:R999, MATCH(D9,Requirements!A2:A999, 0)), "")</f>
        <v>0</v>
      </c>
      <c r="AB9" s="3" t="b">
        <f>AND(J9, I9, AA9)</f>
        <v>0</v>
      </c>
      <c r="AC9" s="3" t="str">
        <f>IF(AB9, C9, "")</f>
      </c>
      <c r="AD9" s="3" t="str">
        <f>_xlfn.IFNA(INDEX(StepExecutions!D2:D999, MATCH(C9,StepExecutions!A2:A999, 0)), "")</f>
        <v>close-08</v>
      </c>
      <c r="AE9" s="3" t="str">
        <f>_xlfn.IFNA(INDEX(StepRequirements!A2:A999, MATCH(A9,StepRequirements!A2:A999, 0)), "")</f>
      </c>
      <c r="AF9" s="3" t="str">
        <f>_xlfn.IFNA(INDEX(StepExecutions!E2:E999, MATCH(C9,StepExecutions!A2:A999, 0)), "")</f>
        <v>elena-garcia</v>
      </c>
      <c r="AG9" s="3" t="b">
        <f>G9 = AF9</f>
        <v>0</v>
      </c>
      <c r="AH9" s="3" t="str">
        <f>_xlfn.IFNA(INDEX(ProcedureExecutions!G2:G999, MATCH(T9,ProcedureExecutions!A2:A999, 0)), "")</f>
        <v>devon-okafor</v>
      </c>
      <c r="AI9" s="3" t="b">
        <f>G9 = AH9</f>
        <v>1</v>
      </c>
      <c r="AJ9" s="3" t="b">
        <f>AND(R9, OR(AG9, AI9))</f>
        <v>0</v>
      </c>
      <c r="AK9" s="3" t="b">
        <f>F9 &lt;&gt; ""</f>
        <v>1</v>
      </c>
      <c r="AL9" s="3" t="b">
        <f>AND(R9, NOT(AK9))</f>
        <v>0</v>
      </c>
      <c r="AM9" s="3" t="str">
        <f>IF(AJ9, T9, "")</f>
      </c>
      <c r="AN9" s="3" t="b">
        <f>AND(I9, Q9)</f>
        <v>1</v>
      </c>
      <c r="AO9" s="3" t="str">
        <f>IF(AN9, T9, "")</f>
        <v>exec-close-2026-q2</v>
      </c>
      <c r="AP9" s="3" t="str">
        <f>_xlfn.IFNA(INDEX(StepExecutions!E2:E999, MATCH(C9,StepExecutions!A2:A999, 0)), "")</f>
        <v>elena-garcia</v>
      </c>
      <c r="AQ9" s="3" t="e">
        <f>DATETIME_DIFF(H9, AR9, "minutes") &gt; 0</f>
        <v>#NAME?</v>
      </c>
      <c r="AR9" s="6">
        <f>_xlfn.IFNA(INDEX(ProcedureExecutions!BK2:BK999, MATCH(T9,ProcedureExecutions!A2:A999, 0)), "")</f>
        <v>0</v>
      </c>
      <c r="AS9" s="3" t="e">
        <f>IF(AQ9, T9, "")</f>
        <v>#NAME?</v>
      </c>
      <c r="AT9" s="2" t="s">
        <v>826</v>
      </c>
    </row>
  </sheetData>
  <autoFilter ref="A1:AT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3"/>
  <sheetViews>
    <sheetView workbookViewId="0">
      <pane ySplit="1" topLeftCell="A2" state="frozen" activePane="bottomLeft"/>
      <selection pane="bottomLeft" activeCell="A1" sqref="A1"/>
    </sheetView>
  </sheetViews>
  <sheetFormatPr defaultRowHeight="15"/>
  <cols>
    <col min="1" max="1" width="17.443378448486328" customWidth="1"/>
    <col min="2" max="2" width="43.843196868896484" customWidth="1"/>
    <col min="3" max="3" width="29.983989715576172" customWidth="1"/>
    <col min="4" max="4" width="17.443378448486328" customWidth="1"/>
    <col min="5" max="5" width="69.32452392578125" customWidth="1"/>
    <col min="6" max="6" width="26.67625617980957" customWidth="1"/>
  </cols>
  <sheetData>
    <row r="1">
      <c r="A1" s="1" t="s">
        <v>1507</v>
      </c>
      <c r="B1" s="1" t="s">
        <v>1</v>
      </c>
      <c r="C1" s="1" t="s">
        <v>19</v>
      </c>
      <c r="D1" s="1" t="s">
        <v>1508</v>
      </c>
      <c r="E1" s="1" t="s">
        <v>1509</v>
      </c>
      <c r="F1" s="1" t="s">
        <v>94</v>
      </c>
    </row>
    <row r="2">
      <c r="A2" s="2" t="s">
        <v>1510</v>
      </c>
      <c r="B2" s="3" t="str">
        <f>D2 &amp; " - " &amp; C2</f>
        <v>FEED-STALE - Source feed timestamp too old</v>
      </c>
      <c r="C2" s="2" t="s">
        <v>1511</v>
      </c>
      <c r="D2" s="2" t="s">
        <v>1512</v>
      </c>
      <c r="E2" s="2" t="s">
        <v>1513</v>
      </c>
      <c r="F2" s="2" t="s">
        <v>1514</v>
      </c>
    </row>
    <row r="3">
      <c r="A3" s="2" t="s">
        <v>1515</v>
      </c>
      <c r="B3" s="3" t="str">
        <f>D3 &amp; " - " &amp; C3</f>
        <v>SMS-429 - SMS provider throttled requests</v>
      </c>
      <c r="C3" s="2" t="s">
        <v>1516</v>
      </c>
      <c r="D3" s="2" t="s">
        <v>1517</v>
      </c>
      <c r="E3" s="2" t="s">
        <v>1518</v>
      </c>
      <c r="F3" s="2" t="s">
        <v>1514</v>
      </c>
    </row>
  </sheetData>
  <autoFilter ref="A1:F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
  <sheetViews>
    <sheetView workbookViewId="0">
      <pane ySplit="1" topLeftCell="A2" state="frozen" activePane="bottomLeft"/>
      <selection pane="bottomLeft" activeCell="A1" sqref="A1"/>
    </sheetView>
  </sheetViews>
  <sheetFormatPr defaultRowHeight="15"/>
  <cols>
    <col min="1" max="1" width="19.330045700073242" customWidth="1"/>
    <col min="2" max="2" width="44.167476654052734" customWidth="1"/>
    <col min="3" max="3" width="17.443378448486328" customWidth="1"/>
    <col min="4" max="4" width="17.443378448486328" customWidth="1"/>
    <col min="5" max="5" width="21.3126277923584" customWidth="1"/>
    <col min="6" max="6" width="24.515466690063477" customWidth="1"/>
    <col min="7" max="7" width="48.754356384277344" customWidth="1"/>
    <col min="8" max="8" width="96.78050231933594" customWidth="1"/>
    <col min="9" max="9" width="17.443378448486328" customWidth="1"/>
    <col min="10" max="10" width="17.443378448486328" customWidth="1"/>
    <col min="11" max="11" width="30.231090545654297" customWidth="1"/>
    <col min="12" max="12" width="37.28308868408203" customWidth="1"/>
  </cols>
  <sheetData>
    <row r="1">
      <c r="A1" s="1" t="s">
        <v>1519</v>
      </c>
      <c r="B1" s="1" t="s">
        <v>1</v>
      </c>
      <c r="C1" s="1" t="s">
        <v>1447</v>
      </c>
      <c r="D1" s="1" t="s">
        <v>1520</v>
      </c>
      <c r="E1" s="1" t="s">
        <v>1521</v>
      </c>
      <c r="F1" s="1" t="s">
        <v>1522</v>
      </c>
      <c r="G1" s="1" t="s">
        <v>1523</v>
      </c>
      <c r="H1" s="1" t="s">
        <v>1524</v>
      </c>
      <c r="I1" s="1" t="s">
        <v>8</v>
      </c>
      <c r="J1" s="1" t="s">
        <v>1525</v>
      </c>
      <c r="K1" s="1" t="s">
        <v>1526</v>
      </c>
      <c r="L1" s="1" t="s">
        <v>94</v>
      </c>
    </row>
    <row r="2">
      <c r="A2" s="2" t="s">
        <v>1527</v>
      </c>
      <c r="B2" s="3" t="str">
        <f>D2 &amp; " @ " &amp; TEXT(F2, "yyyy-mm-dd hh:mm:ss")&amp;"+00"</f>
        <v>err-feed-stale @ 2026-06-30 22:12:00+00</v>
      </c>
      <c r="C2" s="2" t="s">
        <v>1430</v>
      </c>
      <c r="D2" s="2" t="s">
        <v>1510</v>
      </c>
      <c r="E2" s="2" t="s">
        <v>165</v>
      </c>
      <c r="F2" s="4">
        <v>46203.925</v>
      </c>
      <c r="G2" s="2" t="s">
        <v>1528</v>
      </c>
      <c r="H2" s="2" t="s">
        <v>1529</v>
      </c>
      <c r="I2" s="2" t="s">
        <v>1193</v>
      </c>
      <c r="J2" s="3" t="b">
        <f>OR(I2 = "Open", I2 = "Investigating", I2 = "Monitoring")</f>
        <v>0</v>
      </c>
      <c r="K2" s="3" t="str">
        <f>IF(J2, C2, "")</f>
      </c>
      <c r="L2" s="2" t="s">
        <v>1530</v>
      </c>
    </row>
    <row r="3">
      <c r="A3" s="2" t="s">
        <v>1531</v>
      </c>
      <c r="B3" s="3" t="str">
        <f>D3 &amp; " @ " &amp; TEXT(F3, "yyyy-mm-dd hh:mm:ss")&amp;"+00"</f>
        <v>err-sms-throttle @ 2026-07-19 14:30:00+00</v>
      </c>
      <c r="C3" s="2" t="s">
        <v>1444</v>
      </c>
      <c r="D3" s="2" t="s">
        <v>1515</v>
      </c>
      <c r="E3" s="2" t="s">
        <v>178</v>
      </c>
      <c r="F3" s="4">
        <v>46222.604166666664</v>
      </c>
      <c r="G3" s="2" t="s">
        <v>1532</v>
      </c>
      <c r="H3" s="2" t="s">
        <v>1533</v>
      </c>
      <c r="I3" s="2" t="s">
        <v>1534</v>
      </c>
      <c r="J3" s="3" t="b">
        <f>OR(I3 = "Open", I3 = "Investigating", I3 = "Monitoring")</f>
        <v>1</v>
      </c>
      <c r="K3" s="3" t="str">
        <f>IF(J3, C3, "")</f>
        <v>se-policy04</v>
      </c>
      <c r="L3" s="2" t="s">
        <v>1530</v>
      </c>
    </row>
  </sheetData>
  <autoFilter ref="A1:L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17.443378448486328" customWidth="1"/>
    <col min="2" max="2" width="66.7963638305664" customWidth="1"/>
    <col min="3" max="3" width="17.443378448486328" customWidth="1"/>
    <col min="4" max="4" width="17.443378448486328" customWidth="1"/>
    <col min="5" max="5" width="23.35041618347168" customWidth="1"/>
    <col min="6" max="6" width="66.7963638305664" customWidth="1"/>
    <col min="7" max="7" width="21.48943519592285" customWidth="1"/>
    <col min="8" max="8" width="22.37116813659668" customWidth="1"/>
    <col min="9" max="9" width="17.443378448486328" customWidth="1"/>
    <col min="10" max="10" width="44.979515075683594" customWidth="1"/>
  </cols>
  <sheetData>
    <row r="1">
      <c r="A1" s="1" t="s">
        <v>1535</v>
      </c>
      <c r="B1" s="1" t="s">
        <v>1</v>
      </c>
      <c r="C1" s="1" t="s">
        <v>1447</v>
      </c>
      <c r="D1" s="1" t="s">
        <v>1536</v>
      </c>
      <c r="E1" s="1" t="s">
        <v>1537</v>
      </c>
      <c r="F1" s="1" t="s">
        <v>1538</v>
      </c>
      <c r="G1" s="1" t="s">
        <v>1539</v>
      </c>
      <c r="H1" s="1" t="s">
        <v>1540</v>
      </c>
      <c r="I1" s="1" t="s">
        <v>8</v>
      </c>
      <c r="J1" s="1" t="s">
        <v>94</v>
      </c>
    </row>
    <row r="2">
      <c r="A2" s="2" t="s">
        <v>1541</v>
      </c>
      <c r="B2" s="3" t="str">
        <f>LEFT(F2, 70)</f>
        <v>Why did the FX variance appear only after the cutover?</v>
      </c>
      <c r="C2" s="2" t="s">
        <v>1434</v>
      </c>
      <c r="D2" s="2" t="s">
        <v>145</v>
      </c>
      <c r="E2" s="4">
        <v>46204.756944444445</v>
      </c>
      <c r="F2" s="2" t="s">
        <v>1542</v>
      </c>
      <c r="G2" s="2" t="s">
        <v>1225</v>
      </c>
      <c r="H2" s="2" t="s">
        <v>1006</v>
      </c>
      <c r="I2" s="2" t="s">
        <v>1543</v>
      </c>
      <c r="J2" s="2" t="s">
        <v>1544</v>
      </c>
    </row>
    <row r="3">
      <c r="A3" s="2" t="s">
        <v>1545</v>
      </c>
      <c r="B3" s="3" t="str">
        <f>LEFT(F3, 70)</f>
        <v>Can the drafting AI add a new legal exception if it seems reasonable?</v>
      </c>
      <c r="C3" s="2" t="s">
        <v>1443</v>
      </c>
      <c r="D3" s="2" t="s">
        <v>153</v>
      </c>
      <c r="E3" s="4">
        <v>46221.76388888889</v>
      </c>
      <c r="F3" s="2" t="s">
        <v>1546</v>
      </c>
      <c r="G3" s="2" t="s">
        <v>1230</v>
      </c>
      <c r="H3" s="2" t="s">
        <v>1022</v>
      </c>
      <c r="I3" s="2" t="s">
        <v>1543</v>
      </c>
      <c r="J3" s="2" t="s">
        <v>1544</v>
      </c>
    </row>
  </sheetData>
  <autoFilter ref="A1:J1"/>
  <headerFooter/>
  <legacyDrawing r:id="rId1"/>
</worksheet>
</file>

<file path=xl/worksheets/sheet4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7.443378448486328" customWidth="1"/>
    <col min="2" max="2" width="74.06449890136719" customWidth="1"/>
    <col min="3" max="3" width="20.414697647094727" customWidth="1"/>
    <col min="4" max="4" width="17.659626007080078" customWidth="1"/>
    <col min="5" max="5" width="23.35041618347168" customWidth="1"/>
    <col min="6" max="6" width="85.51029205322266" customWidth="1"/>
    <col min="7" max="7" width="17.443378448486328" customWidth="1"/>
    <col min="8" max="8" width="19.671518325805664" customWidth="1"/>
    <col min="9" max="9" width="45.71768569946289" customWidth="1"/>
  </cols>
  <sheetData>
    <row r="1">
      <c r="A1" s="1" t="s">
        <v>1547</v>
      </c>
      <c r="B1" s="1" t="s">
        <v>1</v>
      </c>
      <c r="C1" s="1" t="s">
        <v>1329</v>
      </c>
      <c r="D1" s="1" t="s">
        <v>1548</v>
      </c>
      <c r="E1" s="1" t="s">
        <v>1549</v>
      </c>
      <c r="F1" s="1" t="s">
        <v>1550</v>
      </c>
      <c r="G1" s="1" t="s">
        <v>1551</v>
      </c>
      <c r="H1" s="1" t="s">
        <v>1552</v>
      </c>
      <c r="I1" s="1" t="s">
        <v>94</v>
      </c>
    </row>
    <row r="2">
      <c r="A2" s="2" t="s">
        <v>1553</v>
      </c>
      <c r="B2" s="3" t="str">
        <f>G2 &amp; ": " &amp; LEFT(F2, 60)</f>
        <v>Accepted: The feed timestamp check should be a required precondition, </v>
      </c>
      <c r="C2" s="2" t="s">
        <v>1319</v>
      </c>
      <c r="D2" s="2" t="s">
        <v>145</v>
      </c>
      <c r="E2" s="4">
        <v>46205.895833333336</v>
      </c>
      <c r="F2" s="2" t="s">
        <v>1554</v>
      </c>
      <c r="G2" s="2" t="s">
        <v>1555</v>
      </c>
      <c r="H2" s="2" t="s">
        <v>1556</v>
      </c>
      <c r="I2" s="2" t="s">
        <v>1557</v>
      </c>
    </row>
    <row r="3">
      <c r="A3" s="2" t="s">
        <v>1558</v>
      </c>
      <c r="B3" s="3" t="str">
        <f>G3 &amp; ": " &amp; LEFT(F3, 60)</f>
        <v>UnderReview: Add a secondary path for employees whose carrier reports a d</v>
      </c>
      <c r="C3" s="2" t="s">
        <v>1324</v>
      </c>
      <c r="D3" s="2" t="s">
        <v>161</v>
      </c>
      <c r="E3" s="4">
        <v>46222.645833333336</v>
      </c>
      <c r="F3" s="2" t="s">
        <v>1559</v>
      </c>
      <c r="G3" s="2" t="s">
        <v>1560</v>
      </c>
      <c r="H3" s="2" t="s">
        <v>1561</v>
      </c>
      <c r="I3" s="2" t="s">
        <v>1557</v>
      </c>
    </row>
  </sheetData>
  <autoFilter ref="A1:I1"/>
  <headerFooter/>
  <legacyDrawing r:id="rId1"/>
</worksheet>
</file>

<file path=xl/worksheets/sheet4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
  <sheetViews>
    <sheetView workbookViewId="0">
      <pane ySplit="1" topLeftCell="A2" state="frozen" activePane="bottomLeft"/>
      <selection pane="bottomLeft" activeCell="A1" sqref="A1"/>
    </sheetView>
  </sheetViews>
  <sheetFormatPr defaultRowHeight="15"/>
  <cols>
    <col min="1" max="1" width="25.773014068603516" customWidth="1"/>
    <col min="2" max="2" width="39.498321533203125" customWidth="1"/>
    <col min="3" max="3" width="18.236316680908203" customWidth="1"/>
    <col min="4" max="4" width="17.443378448486328" customWidth="1"/>
    <col min="5" max="5" width="20.49138832092285" customWidth="1"/>
    <col min="6" max="6" width="23.35041618347168" customWidth="1"/>
    <col min="7" max="7" width="17.443378448486328" customWidth="1"/>
    <col min="8" max="8" width="20.747098922729492" customWidth="1"/>
    <col min="9" max="9" width="22.246395111083984" customWidth="1"/>
    <col min="10" max="10" width="22.869173049926758" customWidth="1"/>
    <col min="11" max="11" width="18.547500610351562" customWidth="1"/>
    <col min="12" max="12" width="23.35041618347168" customWidth="1"/>
    <col min="13" max="13" width="21.23250389099121" customWidth="1"/>
    <col min="14" max="14" width="50.9825553894043" customWidth="1"/>
  </cols>
  <sheetData>
    <row r="1">
      <c r="A1" s="1" t="s">
        <v>1562</v>
      </c>
      <c r="B1" s="1" t="s">
        <v>1</v>
      </c>
      <c r="C1" s="1" t="s">
        <v>477</v>
      </c>
      <c r="D1" s="1" t="s">
        <v>326</v>
      </c>
      <c r="E1" s="1" t="s">
        <v>966</v>
      </c>
      <c r="F1" s="1" t="s">
        <v>255</v>
      </c>
      <c r="G1" s="1" t="s">
        <v>256</v>
      </c>
      <c r="H1" s="1" t="s">
        <v>1120</v>
      </c>
      <c r="I1" s="1" t="s">
        <v>406</v>
      </c>
      <c r="J1" s="1" t="s">
        <v>1563</v>
      </c>
      <c r="K1" s="1" t="s">
        <v>258</v>
      </c>
      <c r="L1" s="1" t="s">
        <v>92</v>
      </c>
      <c r="M1" s="1" t="s">
        <v>1564</v>
      </c>
      <c r="N1" s="1" t="s">
        <v>94</v>
      </c>
    </row>
    <row r="2">
      <c r="A2" s="2" t="s">
        <v>1565</v>
      </c>
      <c r="B2" s="3" t="str">
        <f>C2 &amp; " / steward=" &amp; D2</f>
        <v>close-v1.1.0 / steward=process-steward</v>
      </c>
      <c r="C2" s="2" t="s">
        <v>369</v>
      </c>
      <c r="D2" s="2" t="s">
        <v>244</v>
      </c>
      <c r="E2" s="2" t="s">
        <v>248</v>
      </c>
      <c r="F2" s="4">
        <v>46127.583333333336</v>
      </c>
      <c r="G2" s="4"/>
      <c r="H2" s="7">
        <v>90</v>
      </c>
      <c r="I2" s="5">
        <f>COUNTIFS(ReviewEvents!C2:C999,C2)</f>
        <v>2</v>
      </c>
      <c r="J2" s="3" t="b">
        <f>I2 &gt; 0</f>
        <v>1</v>
      </c>
      <c r="K2" s="2" t="s">
        <v>95</v>
      </c>
      <c r="L2" s="6">
        <f>_xlfn.IFNA(INDEX(EvaluationContexts!D2:D999, MATCH(K2,EvaluationContexts!A2:A999, 0)), "")</f>
        <v>46222.75</v>
      </c>
      <c r="M2" s="3" t="b">
        <f>AND(F2 &lt;= L2, OR(G2 = "", G2 &gt; L2))</f>
        <v>1</v>
      </c>
      <c r="N2" s="2" t="s">
        <v>1566</v>
      </c>
    </row>
    <row r="3">
      <c r="A3" s="2" t="s">
        <v>1567</v>
      </c>
      <c r="B3" s="3" t="str">
        <f>C3 &amp; " / steward=" &amp; D3</f>
        <v>policy-v1.0.0 / steward=process-steward</v>
      </c>
      <c r="C3" s="2" t="s">
        <v>375</v>
      </c>
      <c r="D3" s="2" t="s">
        <v>244</v>
      </c>
      <c r="E3" s="2" t="s">
        <v>216</v>
      </c>
      <c r="F3" s="4">
        <v>46174.583333333336</v>
      </c>
      <c r="G3" s="4"/>
      <c r="H3" s="7">
        <v>60</v>
      </c>
      <c r="I3" s="5">
        <f>COUNTIFS(ReviewEvents!C2:C999,C3)</f>
        <v>1</v>
      </c>
      <c r="J3" s="3" t="b">
        <f>I3 &gt; 0</f>
        <v>1</v>
      </c>
      <c r="K3" s="2" t="s">
        <v>95</v>
      </c>
      <c r="L3" s="6">
        <f>_xlfn.IFNA(INDEX(EvaluationContexts!D2:D999, MATCH(K3,EvaluationContexts!A2:A999, 0)), "")</f>
        <v>46222.75</v>
      </c>
      <c r="M3" s="3" t="b">
        <f>AND(F3 &lt;= L3, OR(G3 = "", G3 &gt; L3))</f>
        <v>1</v>
      </c>
      <c r="N3" s="2" t="s">
        <v>1566</v>
      </c>
    </row>
  </sheetData>
  <autoFilter ref="A1:N1"/>
  <headerFooter/>
  <legacyDrawing r:id="rId1"/>
</worksheet>
</file>

<file path=xl/worksheets/sheet4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S3"/>
  <sheetViews>
    <sheetView workbookViewId="0">
      <pane ySplit="1" topLeftCell="A2" state="frozen" activePane="bottomLeft"/>
      <selection pane="bottomLeft" activeCell="A1" sqref="A1"/>
    </sheetView>
  </sheetViews>
  <sheetFormatPr defaultRowHeight="15"/>
  <cols>
    <col min="1" max="1" width="19.486738204956055" customWidth="1"/>
    <col min="2" max="2" width="44.020084381103516" customWidth="1"/>
    <col min="3" max="3" width="18.236316680908203" customWidth="1"/>
    <col min="4" max="4" width="44.020084381103516" customWidth="1"/>
    <col min="5" max="5" width="17.443378448486328" customWidth="1"/>
    <col min="6" max="6" width="17.443378448486328" customWidth="1"/>
    <col min="7" max="7" width="19.283315658569336" customWidth="1"/>
    <col min="8" max="8" width="20.49138832092285" customWidth="1"/>
    <col min="9" max="9" width="23.35041618347168" customWidth="1"/>
    <col min="10" max="10" width="22.170156478881836" customWidth="1"/>
    <col min="11" max="11" width="58.734649658203125" customWidth="1"/>
    <col min="12" max="12" width="17.443378448486328" customWidth="1"/>
    <col min="13" max="13" width="23.915712356567383" customWidth="1"/>
    <col min="14" max="14" width="17.443378448486328" customWidth="1"/>
    <col min="15" max="15" width="18.547500610351562" customWidth="1"/>
    <col min="16" max="16" width="23.35041618347168" customWidth="1"/>
    <col min="17" max="17" width="17.443378448486328" customWidth="1"/>
    <col min="18" max="18" width="17.443378448486328" customWidth="1"/>
    <col min="19" max="19" width="17.443378448486328" customWidth="1"/>
    <col min="20" max="20" width="17.443378448486328" customWidth="1"/>
    <col min="21" max="21" width="21.534048080444336" customWidth="1"/>
    <col min="22" max="22" width="23.933610916137695" customWidth="1"/>
    <col min="23" max="23" width="30.664316177368164" customWidth="1"/>
    <col min="24" max="24" width="20.154987335205078" customWidth="1"/>
    <col min="25" max="25" width="22.082599639892578" customWidth="1"/>
    <col min="26" max="26" width="18.71109390258789" customWidth="1"/>
    <col min="27" max="27" width="22.170156478881836" customWidth="1"/>
    <col min="28" max="28" width="19.199268341064453" customWidth="1"/>
    <col min="29" max="29" width="21.485599517822266" customWidth="1"/>
    <col min="30" max="30" width="21.102947235107422" customWidth="1"/>
    <col min="31" max="31" width="21.30789566040039" customWidth="1"/>
    <col min="32" max="32" width="17.443378448486328" customWidth="1"/>
    <col min="33" max="33" width="21.182111740112305" customWidth="1"/>
    <col min="34" max="34" width="25.36081886291504" customWidth="1"/>
    <col min="35" max="35" width="21.225006103515625" customWidth="1"/>
    <col min="36" max="36" width="27.77187728881836" customWidth="1"/>
    <col min="37" max="37" width="25.189844131469727" customWidth="1"/>
    <col min="38" max="38" width="20.798704147338867" customWidth="1"/>
    <col min="39" max="39" width="27.850521087646484" customWidth="1"/>
    <col min="40" max="40" width="19.458404541015625" customWidth="1"/>
    <col min="41" max="41" width="24.177471160888672" customWidth="1"/>
    <col min="42" max="42" width="32.30685043334961" customWidth="1"/>
    <col min="43" max="43" width="21.054668426513672" customWidth="1"/>
    <col min="44" max="44" width="20.285015106201172" customWidth="1"/>
    <col min="45" max="45" width="43.223487854003906" customWidth="1"/>
  </cols>
  <sheetData>
    <row r="1">
      <c r="A1" s="1" t="s">
        <v>1568</v>
      </c>
      <c r="B1" s="1" t="s">
        <v>1</v>
      </c>
      <c r="C1" s="1" t="s">
        <v>477</v>
      </c>
      <c r="D1" s="1" t="s">
        <v>358</v>
      </c>
      <c r="E1" s="1" t="s">
        <v>1569</v>
      </c>
      <c r="F1" s="1" t="s">
        <v>8</v>
      </c>
      <c r="G1" s="1" t="s">
        <v>1570</v>
      </c>
      <c r="H1" s="1" t="s">
        <v>966</v>
      </c>
      <c r="I1" s="1" t="s">
        <v>1571</v>
      </c>
      <c r="J1" s="1" t="s">
        <v>1572</v>
      </c>
      <c r="K1" s="1" t="s">
        <v>1573</v>
      </c>
      <c r="L1" s="1" t="s">
        <v>1179</v>
      </c>
      <c r="M1" s="1" t="s">
        <v>1574</v>
      </c>
      <c r="N1" s="1" t="s">
        <v>1575</v>
      </c>
      <c r="O1" s="1" t="s">
        <v>258</v>
      </c>
      <c r="P1" s="1" t="s">
        <v>92</v>
      </c>
      <c r="Q1" s="1" t="s">
        <v>1576</v>
      </c>
      <c r="R1" s="1" t="s">
        <v>1577</v>
      </c>
      <c r="S1" s="1" t="s">
        <v>1578</v>
      </c>
      <c r="T1" s="1" t="s">
        <v>1579</v>
      </c>
      <c r="U1" s="1" t="s">
        <v>1580</v>
      </c>
      <c r="V1" s="1" t="s">
        <v>1581</v>
      </c>
      <c r="W1" s="1" t="s">
        <v>1582</v>
      </c>
      <c r="X1" s="1" t="s">
        <v>1583</v>
      </c>
      <c r="Y1" s="1" t="s">
        <v>1584</v>
      </c>
      <c r="Z1" s="1" t="s">
        <v>1585</v>
      </c>
      <c r="AA1" s="1" t="s">
        <v>1586</v>
      </c>
      <c r="AB1" s="1" t="s">
        <v>1587</v>
      </c>
      <c r="AC1" s="1" t="s">
        <v>1588</v>
      </c>
      <c r="AD1" s="1" t="s">
        <v>1589</v>
      </c>
      <c r="AE1" s="1" t="s">
        <v>1590</v>
      </c>
      <c r="AF1" s="1" t="s">
        <v>1591</v>
      </c>
      <c r="AG1" s="1" t="s">
        <v>1592</v>
      </c>
      <c r="AH1" s="1" t="s">
        <v>1593</v>
      </c>
      <c r="AI1" s="1" t="s">
        <v>1594</v>
      </c>
      <c r="AJ1" s="1" t="s">
        <v>1595</v>
      </c>
      <c r="AK1" s="1" t="s">
        <v>1596</v>
      </c>
      <c r="AL1" s="1" t="s">
        <v>1597</v>
      </c>
      <c r="AM1" s="1" t="s">
        <v>1598</v>
      </c>
      <c r="AN1" s="1" t="s">
        <v>1599</v>
      </c>
      <c r="AO1" s="1" t="s">
        <v>1600</v>
      </c>
      <c r="AP1" s="1" t="s">
        <v>1601</v>
      </c>
      <c r="AQ1" s="1" t="s">
        <v>1602</v>
      </c>
      <c r="AR1" s="1" t="s">
        <v>1603</v>
      </c>
      <c r="AS1" s="1" t="s">
        <v>94</v>
      </c>
    </row>
    <row r="2">
      <c r="A2" s="2" t="s">
        <v>1556</v>
      </c>
      <c r="B2" s="3" t="str">
        <f>D2</f>
        <v>Add source timestamp as blocking verification</v>
      </c>
      <c r="C2" s="2" t="s">
        <v>369</v>
      </c>
      <c r="D2" s="2" t="s">
        <v>1604</v>
      </c>
      <c r="E2" s="2" t="s">
        <v>1605</v>
      </c>
      <c r="F2" s="2" t="s">
        <v>461</v>
      </c>
      <c r="G2" s="2" t="s">
        <v>145</v>
      </c>
      <c r="H2" s="2" t="s">
        <v>248</v>
      </c>
      <c r="I2" s="4">
        <v>46205.895833333336</v>
      </c>
      <c r="J2" s="4">
        <v>46206.666666666664</v>
      </c>
      <c r="K2" s="2" t="s">
        <v>1606</v>
      </c>
      <c r="L2" s="3" t="b">
        <f>AND(OR(F2 = "Draft", F2 = "UnderReview", F2 = "Approved"), AA2 = "")</f>
        <v>0</v>
      </c>
      <c r="M2" s="3" t="str">
        <f>IF(L2, C2, "")</f>
      </c>
      <c r="N2" s="3" t="b">
        <f>J2 &lt;&gt; ""</f>
        <v>1</v>
      </c>
      <c r="O2" s="2" t="s">
        <v>95</v>
      </c>
      <c r="P2" s="6">
        <f>_xlfn.IFNA(INDEX(EvaluationContexts!D2:D999, MATCH(O2,EvaluationContexts!A2:A999, 0)), "")</f>
        <v>46222.75</v>
      </c>
      <c r="Q2" s="5">
        <f>IF(N2, (INT(J2) - INT(I2)), (INT(P2) - INT(I2)))</f>
        <v>1</v>
      </c>
      <c r="R2" s="3" t="b">
        <f>AND(L2, NOT(N2))</f>
        <v>0</v>
      </c>
      <c r="S2" s="3" t="b">
        <f>AND(R2, Q2 &gt; 14)</f>
        <v>0</v>
      </c>
      <c r="T2" s="3" t="str">
        <f>_xlfn.IFNA(INDEX(Roles!E2:E999, MATCH(H2,Roles!A2:A999, 0)), "")</f>
        <v>priya-raman</v>
      </c>
      <c r="U2" s="3" t="b">
        <f>G2 = T2</f>
        <v>0</v>
      </c>
      <c r="V2" s="3" t="b">
        <f>AND(F2 = "UnderReview", NOT(N2))</f>
        <v>0</v>
      </c>
      <c r="W2" s="3" t="str">
        <f>_xlfn.IFNA(INDEX(Roles!C2:C999, MATCH(H2,Roles!A2:A999, 0)), "")</f>
        <v>Procedural Knowledge Authority</v>
      </c>
      <c r="X2" s="3" t="b">
        <f>_xlfn.IFNA(INDEX(ProcedureVersions!Y2:Y999, MATCH(C2,ProcedureVersions!A2:A999, 0)), "")</f>
        <v>1</v>
      </c>
      <c r="Y2" s="3" t="b">
        <f>AND(V2, X2)</f>
        <v>0</v>
      </c>
      <c r="Z2" s="3" t="b">
        <f>AND(Y2, E2 = "Enhancement")</f>
        <v>0</v>
      </c>
      <c r="AA2" s="4">
        <v>46206.833333333336</v>
      </c>
      <c r="AB2" s="3" t="str">
        <f>IF(Y2, C2, "")</f>
      </c>
      <c r="AC2" s="3" t="b">
        <f>AND(H2 = "hr-policy-owner", V2)</f>
        <v>0</v>
      </c>
      <c r="AD2" s="3" t="b">
        <f>AND(AC2, Z2)</f>
        <v>0</v>
      </c>
      <c r="AE2" s="3" t="b">
        <f>AND(AD2, Q2 &gt; 14)</f>
        <v>0</v>
      </c>
      <c r="AF2" s="3" t="b">
        <f>AA2 &lt;&gt; ""</f>
        <v>1</v>
      </c>
      <c r="AG2" s="3" t="b">
        <f>AND(H2 = "hr-policy-owner", N2)</f>
        <v>0</v>
      </c>
      <c r="AH2" s="3" t="b">
        <f>AND(AG2, NOT(AF2))</f>
        <v>0</v>
      </c>
      <c r="AI2" s="5">
        <f>IF(N2, (INT(J2) - INT(I2)), 0)</f>
        <v>1</v>
      </c>
      <c r="AJ2" s="5">
        <f>IF(AF2, (INT(AA2) - INT(J2)), 0)</f>
        <v>0</v>
      </c>
      <c r="AK2" s="3" t="b">
        <f>AND(AH2, AI2 &lt;= 14)</f>
        <v>0</v>
      </c>
      <c r="AL2" s="3" t="str">
        <f>IF(AH2, C2, "")</f>
      </c>
      <c r="AM2" s="3" t="b">
        <f>AND(F2 = "Approved", NOT(AF2))</f>
        <v>0</v>
      </c>
      <c r="AN2" s="5">
        <f>IF(N2, (INT(P2) - INT(J2)), 0)</f>
        <v>16</v>
      </c>
      <c r="AO2" s="3" t="b">
        <f>AND(AM2, AN2 &gt; 14)</f>
        <v>0</v>
      </c>
      <c r="AP2" s="3" t="str">
        <f>IF(AO2, C2, "")</f>
      </c>
      <c r="AQ2" s="3" t="str">
        <f>IF(AR2, C2, "")</f>
        <v>close-v1.1.0</v>
      </c>
      <c r="AR2" s="3" t="b">
        <f>F2 = "Approved"</f>
        <v>1</v>
      </c>
      <c r="AS2" s="2" t="s">
        <v>1607</v>
      </c>
    </row>
    <row r="3">
      <c r="A3" s="2" t="s">
        <v>1561</v>
      </c>
      <c r="B3" s="3" t="str">
        <f>D3</f>
        <v>Add secondary delivery receipt reconciliation</v>
      </c>
      <c r="C3" s="2" t="s">
        <v>375</v>
      </c>
      <c r="D3" s="2" t="s">
        <v>1608</v>
      </c>
      <c r="E3" s="2" t="s">
        <v>1609</v>
      </c>
      <c r="F3" s="2" t="s">
        <v>1560</v>
      </c>
      <c r="G3" s="2" t="s">
        <v>161</v>
      </c>
      <c r="H3" s="2" t="s">
        <v>216</v>
      </c>
      <c r="I3" s="4">
        <v>46222.645833333336</v>
      </c>
      <c r="J3" s="4"/>
      <c r="K3" s="2" t="s">
        <v>1610</v>
      </c>
      <c r="L3" s="3" t="b">
        <f>AND(OR(F3 = "Draft", F3 = "UnderReview", F3 = "Approved"), AA3 = "")</f>
        <v>1</v>
      </c>
      <c r="M3" s="3" t="str">
        <f>IF(L3, C3, "")</f>
        <v>policy-v1.0.0</v>
      </c>
      <c r="N3" s="3" t="b">
        <f>J3 &lt;&gt; ""</f>
        <v>0</v>
      </c>
      <c r="O3" s="2" t="s">
        <v>95</v>
      </c>
      <c r="P3" s="6">
        <f>_xlfn.IFNA(INDEX(EvaluationContexts!D2:D999, MATCH(O3,EvaluationContexts!A2:A999, 0)), "")</f>
        <v>46222.75</v>
      </c>
      <c r="Q3" s="5">
        <f>IF(N3, (INT(J3) - INT(I3)), (INT(P3) - INT(I3)))</f>
        <v>0</v>
      </c>
      <c r="R3" s="3" t="b">
        <f>AND(L3, NOT(N3))</f>
        <v>1</v>
      </c>
      <c r="S3" s="3" t="b">
        <f>AND(R3, Q3 &gt; 14)</f>
        <v>0</v>
      </c>
      <c r="T3" s="3" t="str">
        <f>_xlfn.IFNA(INDEX(Roles!E2:E999, MATCH(H3,Roles!A2:A999, 0)), "")</f>
        <v>elena-garcia</v>
      </c>
      <c r="U3" s="3" t="b">
        <f>G3 = T3</f>
        <v>0</v>
      </c>
      <c r="V3" s="3" t="b">
        <f>AND(F3 = "UnderReview", NOT(N3))</f>
        <v>1</v>
      </c>
      <c r="W3" s="3" t="str">
        <f>_xlfn.IFNA(INDEX(Roles!C2:C999, MATCH(H3,Roles!A2:A999, 0)), "")</f>
        <v>People Policy Owner</v>
      </c>
      <c r="X3" s="3" t="b">
        <f>_xlfn.IFNA(INDEX(ProcedureVersions!Y2:Y999, MATCH(C3,ProcedureVersions!A2:A999, 0)), "")</f>
        <v>1</v>
      </c>
      <c r="Y3" s="3" t="b">
        <f>AND(V3, X3)</f>
        <v>1</v>
      </c>
      <c r="Z3" s="3" t="b">
        <f>AND(Y3, E3 = "Enhancement")</f>
        <v>1</v>
      </c>
      <c r="AA3" s="4"/>
      <c r="AB3" s="3" t="str">
        <f>IF(Y3, C3, "")</f>
        <v>policy-v1.0.0</v>
      </c>
      <c r="AC3" s="3" t="b">
        <f>AND(H3 = "hr-policy-owner", V3)</f>
        <v>1</v>
      </c>
      <c r="AD3" s="3" t="b">
        <f>AND(AC3, Z3)</f>
        <v>1</v>
      </c>
      <c r="AE3" s="3" t="b">
        <f>AND(AD3, Q3 &gt; 14)</f>
        <v>0</v>
      </c>
      <c r="AF3" s="3" t="b">
        <f>AA3 &lt;&gt; ""</f>
        <v>0</v>
      </c>
      <c r="AG3" s="3" t="b">
        <f>AND(H3 = "hr-policy-owner", N3)</f>
        <v>0</v>
      </c>
      <c r="AH3" s="3" t="b">
        <f>AND(AG3, NOT(AF3))</f>
        <v>0</v>
      </c>
      <c r="AI3" s="5">
        <f>IF(N3, (INT(J3) - INT(I3)), 0)</f>
        <v>0</v>
      </c>
      <c r="AJ3" s="5">
        <f>IF(AF3, (INT(AA3) - INT(J3)), 0)</f>
        <v>0</v>
      </c>
      <c r="AK3" s="3" t="b">
        <f>AND(AH3, AI3 &lt;= 14)</f>
        <v>0</v>
      </c>
      <c r="AL3" s="3" t="str">
        <f>IF(AH3, C3, "")</f>
      </c>
      <c r="AM3" s="3" t="b">
        <f>AND(F3 = "Approved", NOT(AF3))</f>
        <v>0</v>
      </c>
      <c r="AN3" s="5">
        <f>IF(N3, (INT(P3) - INT(J3)), 0)</f>
        <v>0</v>
      </c>
      <c r="AO3" s="3" t="b">
        <f>AND(AM3, AN3 &gt; 14)</f>
        <v>0</v>
      </c>
      <c r="AP3" s="3" t="str">
        <f>IF(AO3, C3, "")</f>
      </c>
      <c r="AQ3" s="3" t="str">
        <f>IF(AR3, C3, "")</f>
      </c>
      <c r="AR3" s="3" t="b">
        <f>F3 = "Approved"</f>
        <v>0</v>
      </c>
      <c r="AS3" s="2" t="s">
        <v>1607</v>
      </c>
    </row>
  </sheetData>
  <autoFilter ref="A1:AS1"/>
  <headerFooter/>
  <legacyDrawing r:id="rId1"/>
</worksheet>
</file>

<file path=xl/worksheets/sheet4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4"/>
  <sheetViews>
    <sheetView workbookViewId="0">
      <pane ySplit="1" topLeftCell="A2" state="frozen" activePane="bottomLeft"/>
      <selection pane="bottomLeft" activeCell="A1" sqref="A1"/>
    </sheetView>
  </sheetViews>
  <sheetFormatPr defaultRowHeight="15"/>
  <cols>
    <col min="1" max="1" width="23.736373901367188" customWidth="1"/>
    <col min="2" max="2" width="38.82146072387695" customWidth="1"/>
    <col min="3" max="3" width="18.236316680908203" customWidth="1"/>
    <col min="4" max="4" width="25.426326751708984" customWidth="1"/>
    <col min="5" max="5" width="23.35041618347168" customWidth="1"/>
    <col min="6" max="6" width="18.317533493041992" customWidth="1"/>
    <col min="7" max="7" width="19.129940032958984" customWidth="1"/>
    <col min="8" max="8" width="23.170251846313477" customWidth="1"/>
    <col min="9" max="9" width="23.35041618347168" customWidth="1"/>
    <col min="10" max="10" width="18.547500610351562" customWidth="1"/>
    <col min="11" max="11" width="23.35041618347168" customWidth="1"/>
    <col min="12" max="12" width="17.443378448486328" customWidth="1"/>
    <col min="13" max="13" width="19.97600746154785" customWidth="1"/>
    <col min="14" max="14" width="22.745187759399414" customWidth="1"/>
    <col min="15" max="15" width="20.10454750061035" customWidth="1"/>
    <col min="16" max="16" width="25.600950241088867" customWidth="1"/>
    <col min="17" max="17" width="18.232805252075195" customWidth="1"/>
    <col min="18" max="18" width="28.64180564880371" customWidth="1"/>
    <col min="19" max="19" width="26.009693145751953" customWidth="1"/>
    <col min="20" max="20" width="34.941070556640625" customWidth="1"/>
  </cols>
  <sheetData>
    <row r="1">
      <c r="A1" s="1" t="s">
        <v>1611</v>
      </c>
      <c r="B1" s="1" t="s">
        <v>1</v>
      </c>
      <c r="C1" s="1" t="s">
        <v>477</v>
      </c>
      <c r="D1" s="1" t="s">
        <v>1612</v>
      </c>
      <c r="E1" s="1" t="s">
        <v>1613</v>
      </c>
      <c r="F1" s="1" t="s">
        <v>1614</v>
      </c>
      <c r="G1" s="1" t="s">
        <v>1615</v>
      </c>
      <c r="H1" s="1" t="s">
        <v>1616</v>
      </c>
      <c r="I1" s="1" t="s">
        <v>1617</v>
      </c>
      <c r="J1" s="1" t="s">
        <v>258</v>
      </c>
      <c r="K1" s="1" t="s">
        <v>92</v>
      </c>
      <c r="L1" s="1" t="s">
        <v>1618</v>
      </c>
      <c r="M1" s="1" t="s">
        <v>1619</v>
      </c>
      <c r="N1" s="1" t="s">
        <v>1620</v>
      </c>
      <c r="O1" s="1" t="s">
        <v>1621</v>
      </c>
      <c r="P1" s="1" t="s">
        <v>1622</v>
      </c>
      <c r="Q1" s="1" t="s">
        <v>1623</v>
      </c>
      <c r="R1" s="1" t="s">
        <v>1624</v>
      </c>
      <c r="S1" s="1" t="s">
        <v>1625</v>
      </c>
      <c r="T1" s="1" t="s">
        <v>94</v>
      </c>
    </row>
    <row r="2">
      <c r="A2" s="2" t="s">
        <v>1626</v>
      </c>
      <c r="B2" s="3" t="str">
        <f>C2 &amp; " / " &amp; D2</f>
        <v>close-v1.1.0 / QuarterlySemanticReview</v>
      </c>
      <c r="C2" s="2" t="s">
        <v>369</v>
      </c>
      <c r="D2" s="2" t="s">
        <v>1627</v>
      </c>
      <c r="E2" s="4">
        <v>46101.875</v>
      </c>
      <c r="F2" s="2" t="s">
        <v>145</v>
      </c>
      <c r="G2" s="2" t="s">
        <v>1628</v>
      </c>
      <c r="H2" s="2"/>
      <c r="I2" s="4">
        <v>46191.875</v>
      </c>
      <c r="J2" s="2" t="s">
        <v>95</v>
      </c>
      <c r="K2" s="6">
        <f>_xlfn.IFNA(INDEX(EvaluationContexts!D2:D999, MATCH(J2,EvaluationContexts!A2:A999, 0)), "")</f>
        <v>46222.75</v>
      </c>
      <c r="L2" s="3" t="b">
        <f>I2 &lt; K2</f>
        <v>1</v>
      </c>
      <c r="M2" s="3" t="str">
        <f>IF(L2, C2, "")</f>
        <v>close-v1.1.0</v>
      </c>
      <c r="N2" s="5">
        <f>_xlfn.IFNA(INDEX(ProcedureVersions!V2:V999, MATCH(C2,ProcedureVersions!A2:A999, 0)), "")</f>
        <v>90</v>
      </c>
      <c r="O2" s="5">
        <f>(INT(K2) - INT(E2))</f>
        <v>121</v>
      </c>
      <c r="P2" s="3" t="b">
        <f>O2 &gt; N2</f>
        <v>1</v>
      </c>
      <c r="Q2" s="5">
        <f>O2 - N2</f>
        <v>31</v>
      </c>
      <c r="R2" s="3" t="b">
        <f>AND(P2, NOT(L2))</f>
        <v>0</v>
      </c>
      <c r="S2" s="3" t="str">
        <f>IF(P2, C2, "")</f>
        <v>close-v1.1.0</v>
      </c>
      <c r="T2" s="2" t="s">
        <v>1629</v>
      </c>
    </row>
    <row r="3">
      <c r="A3" s="2" t="s">
        <v>1630</v>
      </c>
      <c r="B3" s="3" t="str">
        <f>C3 &amp; " / " &amp; D3</f>
        <v>close-v1.1.0 / QuarterlySemanticReview</v>
      </c>
      <c r="C3" s="2" t="s">
        <v>369</v>
      </c>
      <c r="D3" s="2" t="s">
        <v>1627</v>
      </c>
      <c r="E3" s="4">
        <v>46205.875</v>
      </c>
      <c r="F3" s="2" t="s">
        <v>145</v>
      </c>
      <c r="G3" s="2" t="s">
        <v>1631</v>
      </c>
      <c r="H3" s="2" t="s">
        <v>1556</v>
      </c>
      <c r="I3" s="4">
        <v>46295.875</v>
      </c>
      <c r="J3" s="2" t="s">
        <v>95</v>
      </c>
      <c r="K3" s="6">
        <f>_xlfn.IFNA(INDEX(EvaluationContexts!D2:D999, MATCH(J3,EvaluationContexts!A2:A999, 0)), "")</f>
        <v>46222.75</v>
      </c>
      <c r="L3" s="3" t="b">
        <f>I3 &lt; K3</f>
        <v>0</v>
      </c>
      <c r="M3" s="3" t="str">
        <f>IF(L3, C3, "")</f>
      </c>
      <c r="N3" s="5">
        <f>_xlfn.IFNA(INDEX(ProcedureVersions!V2:V999, MATCH(C3,ProcedureVersions!A2:A999, 0)), "")</f>
        <v>90</v>
      </c>
      <c r="O3" s="5">
        <f>(INT(K3) - INT(E3))</f>
        <v>17</v>
      </c>
      <c r="P3" s="3" t="b">
        <f>O3 &gt; N3</f>
        <v>0</v>
      </c>
      <c r="Q3" s="5">
        <f>O3 - N3</f>
        <v>-73</v>
      </c>
      <c r="R3" s="3" t="b">
        <f>AND(P3, NOT(L3))</f>
        <v>0</v>
      </c>
      <c r="S3" s="3" t="str">
        <f>IF(P3, C3, "")</f>
      </c>
      <c r="T3" s="2" t="s">
        <v>1076</v>
      </c>
    </row>
    <row r="4">
      <c r="A4" s="2" t="s">
        <v>1632</v>
      </c>
      <c r="B4" s="3" t="str">
        <f>C4 &amp; " / " &amp; D4</f>
        <v>policy-v1.0.0 / PreLaunchReview</v>
      </c>
      <c r="C4" s="2" t="s">
        <v>375</v>
      </c>
      <c r="D4" s="2" t="s">
        <v>1633</v>
      </c>
      <c r="E4" s="4">
        <v>46221.875</v>
      </c>
      <c r="F4" s="2" t="s">
        <v>153</v>
      </c>
      <c r="G4" s="2" t="s">
        <v>1628</v>
      </c>
      <c r="H4" s="2" t="s">
        <v>1561</v>
      </c>
      <c r="I4" s="4">
        <v>46281.875</v>
      </c>
      <c r="J4" s="2" t="s">
        <v>95</v>
      </c>
      <c r="K4" s="6">
        <f>_xlfn.IFNA(INDEX(EvaluationContexts!D2:D999, MATCH(J4,EvaluationContexts!A2:A999, 0)), "")</f>
        <v>46222.75</v>
      </c>
      <c r="L4" s="3" t="b">
        <f>I4 &lt; K4</f>
        <v>0</v>
      </c>
      <c r="M4" s="3" t="str">
        <f>IF(L4, C4, "")</f>
      </c>
      <c r="N4" s="5">
        <f>_xlfn.IFNA(INDEX(ProcedureVersions!V2:V999, MATCH(C4,ProcedureVersions!A2:A999, 0)), "")</f>
        <v>60</v>
      </c>
      <c r="O4" s="5">
        <f>(INT(K4) - INT(E4))</f>
        <v>1</v>
      </c>
      <c r="P4" s="3" t="b">
        <f>O4 &gt; N4</f>
        <v>0</v>
      </c>
      <c r="Q4" s="5">
        <f>O4 - N4</f>
        <v>-59</v>
      </c>
      <c r="R4" s="3" t="b">
        <f>AND(P4, NOT(L4))</f>
        <v>0</v>
      </c>
      <c r="S4" s="3" t="str">
        <f>IF(P4, C4, "")</f>
      </c>
      <c r="T4" s="2" t="s">
        <v>1076</v>
      </c>
    </row>
  </sheetData>
  <autoFilter ref="A1:T1"/>
  <headerFooter/>
  <legacyDrawing r:id="rId1"/>
</worksheet>
</file>

<file path=xl/worksheets/sheet4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20.7275390625" customWidth="1"/>
    <col min="2" max="2" width="44.2929573059082" customWidth="1"/>
    <col min="3" max="3" width="21.721866607666016" customWidth="1"/>
    <col min="4" max="4" width="18.236316680908203" customWidth="1"/>
    <col min="5" max="5" width="17.443546295166016" customWidth="1"/>
    <col min="6" max="6" width="23.35041618347168" customWidth="1"/>
    <col min="7" max="7" width="17.443378448486328" customWidth="1"/>
    <col min="8" max="8" width="64.39659118652344" customWidth="1"/>
    <col min="9" max="9" width="18.62822914123535" customWidth="1"/>
    <col min="10" max="10" width="34.941070556640625" customWidth="1"/>
  </cols>
  <sheetData>
    <row r="1">
      <c r="A1" s="1" t="s">
        <v>1634</v>
      </c>
      <c r="B1" s="1" t="s">
        <v>1</v>
      </c>
      <c r="C1" s="1" t="s">
        <v>339</v>
      </c>
      <c r="D1" s="1" t="s">
        <v>477</v>
      </c>
      <c r="E1" s="1" t="s">
        <v>1635</v>
      </c>
      <c r="F1" s="1" t="s">
        <v>1522</v>
      </c>
      <c r="G1" s="1" t="s">
        <v>1063</v>
      </c>
      <c r="H1" s="1" t="s">
        <v>1615</v>
      </c>
      <c r="I1" s="1" t="s">
        <v>1636</v>
      </c>
      <c r="J1" s="1" t="s">
        <v>94</v>
      </c>
    </row>
    <row r="2">
      <c r="A2" s="2" t="s">
        <v>1637</v>
      </c>
      <c r="B2" s="3" t="str">
        <f>E2 &amp; " / " &amp; TEXT(F2, "yyyy-mm-dd hh:mm:ss")&amp;"+00"</f>
        <v>Retrospective / 2026-07-02 20:30:00+00</v>
      </c>
      <c r="C2" s="2" t="s">
        <v>329</v>
      </c>
      <c r="D2" s="2" t="s">
        <v>369</v>
      </c>
      <c r="E2" s="2" t="s">
        <v>577</v>
      </c>
      <c r="F2" s="4">
        <v>46205.854166666664</v>
      </c>
      <c r="G2" s="2" t="s">
        <v>145</v>
      </c>
      <c r="H2" s="2" t="s">
        <v>1638</v>
      </c>
      <c r="I2" s="2" t="s">
        <v>1017</v>
      </c>
      <c r="J2" s="2" t="s">
        <v>1076</v>
      </c>
    </row>
    <row r="3">
      <c r="A3" s="2" t="s">
        <v>1639</v>
      </c>
      <c r="B3" s="3" t="str">
        <f>E3 &amp; " / " &amp; TEXT(F3, "yyyy-mm-dd hh:mm:ss")&amp;"+00"</f>
        <v>TabletopExercise / 2026-07-15 18:00:00+00</v>
      </c>
      <c r="C3" s="2" t="s">
        <v>334</v>
      </c>
      <c r="D3" s="2" t="s">
        <v>375</v>
      </c>
      <c r="E3" s="2" t="s">
        <v>1640</v>
      </c>
      <c r="F3" s="4">
        <v>46218.75</v>
      </c>
      <c r="G3" s="2" t="s">
        <v>153</v>
      </c>
      <c r="H3" s="2" t="s">
        <v>1641</v>
      </c>
      <c r="I3" s="2" t="s">
        <v>1036</v>
      </c>
      <c r="J3" s="2" t="s">
        <v>1076</v>
      </c>
    </row>
  </sheetData>
  <autoFilter ref="A1:J1"/>
  <headerFooter/>
  <legacyDrawing r:id="rId1"/>
</worksheet>
</file>

<file path=xl/worksheets/sheet4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6"/>
  <sheetViews>
    <sheetView workbookViewId="0">
      <pane ySplit="1" topLeftCell="A2" state="frozen" activePane="bottomLeft"/>
      <selection pane="bottomLeft" activeCell="A1" sqref="A1"/>
    </sheetView>
  </sheetViews>
  <sheetFormatPr defaultRowHeight="15"/>
  <cols>
    <col min="1" max="1" width="21.405590057373047" customWidth="1"/>
    <col min="2" max="2" width="37.19440841674805" customWidth="1"/>
    <col min="3" max="3" width="18.236316680908203" customWidth="1"/>
    <col min="4" max="4" width="17.443378448486328" customWidth="1"/>
    <col min="5" max="5" width="19.96071434020996" customWidth="1"/>
    <col min="6" max="6" width="17.443378448486328" customWidth="1"/>
    <col min="7" max="7" width="27.033769607543945" customWidth="1"/>
    <col min="8" max="8" width="23.35041618347168" customWidth="1"/>
    <col min="9" max="9" width="20.974369049072266" customWidth="1"/>
    <col min="10" max="10" width="17.443378448486328" customWidth="1"/>
    <col min="11" max="11" width="18.547500610351562" customWidth="1"/>
    <col min="12" max="12" width="23.35041618347168" customWidth="1"/>
    <col min="13" max="13" width="17.443378448486328" customWidth="1"/>
    <col min="14" max="14" width="17.443378448486328" customWidth="1"/>
    <col min="15" max="15" width="20.71888542175293" customWidth="1"/>
    <col min="16" max="16" width="25.495189666748047" customWidth="1"/>
    <col min="17" max="17" width="23.435773849487305" customWidth="1"/>
    <col min="18" max="18" width="17.443378448486328" customWidth="1"/>
    <col min="19" max="19" width="21.183435440063477" customWidth="1"/>
    <col min="20" max="20" width="20.332569122314453" customWidth="1"/>
    <col min="21" max="21" width="19.804044723510742" customWidth="1"/>
    <col min="22" max="22" width="46.61151885986328" customWidth="1"/>
  </cols>
  <sheetData>
    <row r="1">
      <c r="A1" s="1" t="s">
        <v>1642</v>
      </c>
      <c r="B1" s="1" t="s">
        <v>1</v>
      </c>
      <c r="C1" s="1" t="s">
        <v>477</v>
      </c>
      <c r="D1" s="1" t="s">
        <v>747</v>
      </c>
      <c r="E1" s="1" t="s">
        <v>1046</v>
      </c>
      <c r="F1" s="1" t="s">
        <v>1643</v>
      </c>
      <c r="G1" s="1" t="s">
        <v>1644</v>
      </c>
      <c r="H1" s="1" t="s">
        <v>1645</v>
      </c>
      <c r="I1" s="1" t="s">
        <v>1646</v>
      </c>
      <c r="J1" s="1" t="s">
        <v>1647</v>
      </c>
      <c r="K1" s="1" t="s">
        <v>258</v>
      </c>
      <c r="L1" s="1" t="s">
        <v>92</v>
      </c>
      <c r="M1" s="1" t="s">
        <v>1648</v>
      </c>
      <c r="N1" s="1" t="s">
        <v>1649</v>
      </c>
      <c r="O1" s="1" t="s">
        <v>1650</v>
      </c>
      <c r="P1" s="1" t="s">
        <v>1651</v>
      </c>
      <c r="Q1" s="1" t="s">
        <v>1652</v>
      </c>
      <c r="R1" s="1" t="s">
        <v>1653</v>
      </c>
      <c r="S1" s="1" t="s">
        <v>1654</v>
      </c>
      <c r="T1" s="1" t="s">
        <v>1655</v>
      </c>
      <c r="U1" s="1" t="s">
        <v>1656</v>
      </c>
      <c r="V1" s="1" t="s">
        <v>94</v>
      </c>
    </row>
    <row r="2">
      <c r="A2" s="2" t="s">
        <v>1657</v>
      </c>
      <c r="B2" s="3" t="str">
        <f>D2 &amp; " / " &amp; G2</f>
        <v>close-02 / GeneralLedger.TrialBalance</v>
      </c>
      <c r="C2" s="2" t="s">
        <v>369</v>
      </c>
      <c r="D2" s="2" t="s">
        <v>543</v>
      </c>
      <c r="E2" s="2" t="s">
        <v>1012</v>
      </c>
      <c r="F2" s="2" t="s">
        <v>1658</v>
      </c>
      <c r="G2" s="2" t="s">
        <v>1659</v>
      </c>
      <c r="H2" s="4">
        <v>46222.73819444444</v>
      </c>
      <c r="I2" s="7">
        <v>15</v>
      </c>
      <c r="J2" s="2" t="b">
        <v>1</v>
      </c>
      <c r="K2" s="2" t="s">
        <v>95</v>
      </c>
      <c r="L2" s="6">
        <f>_xlfn.IFNA(INDEX(EvaluationContexts!D2:D999, MATCH(K2,EvaluationContexts!A2:A999, 0)), "")</f>
        <v>46222.75</v>
      </c>
      <c r="M2" s="5" t="e">
        <f>DATETIME_DIFF(L2, H2, "minutes")</f>
        <v>#NAME?</v>
      </c>
      <c r="N2" s="3" t="e">
        <f>M2 &lt;= I2</f>
        <v>#NAME?</v>
      </c>
      <c r="O2" s="3" t="e">
        <f>IF(NOT(N2), D2, "")</f>
        <v>#NAME?</v>
      </c>
      <c r="P2" s="3" t="e">
        <f>IF(AND(NOT(N2), J2), D2, "")</f>
        <v>#NAME?</v>
      </c>
      <c r="Q2" s="3" t="e">
        <f>AND(J2, NOT(N2))</f>
        <v>#NAME?</v>
      </c>
      <c r="R2" s="3" t="e">
        <f>IF(Q2, D2, "")</f>
        <v>#NAME?</v>
      </c>
      <c r="S2" s="3" t="b">
        <f>_xlfn.IFNA(INDEX(Resources!J2:J999, MATCH(E2,Resources!A2:A999, 0)), "")</f>
        <v>0</v>
      </c>
      <c r="T2" s="3" t="e">
        <f>AND(S2, N2)</f>
        <v>#NAME?</v>
      </c>
      <c r="U2" s="3" t="e">
        <f>IF(T2, "", D2)</f>
        <v>#NAME?</v>
      </c>
      <c r="V2" s="2" t="s">
        <v>1660</v>
      </c>
    </row>
    <row r="3">
      <c r="A3" s="2" t="s">
        <v>1661</v>
      </c>
      <c r="B3" s="3" t="str">
        <f>D3 &amp; " / " &amp; G3</f>
        <v>policy-01 / HR.ChangeTicket</v>
      </c>
      <c r="C3" s="2" t="s">
        <v>375</v>
      </c>
      <c r="D3" s="2" t="s">
        <v>578</v>
      </c>
      <c r="E3" s="2" t="s">
        <v>1040</v>
      </c>
      <c r="F3" s="2" t="s">
        <v>1662</v>
      </c>
      <c r="G3" s="2" t="s">
        <v>1663</v>
      </c>
      <c r="H3" s="4">
        <v>46222.70138888889</v>
      </c>
      <c r="I3" s="7">
        <v>30</v>
      </c>
      <c r="J3" s="2" t="b">
        <v>1</v>
      </c>
      <c r="K3" s="2" t="s">
        <v>95</v>
      </c>
      <c r="L3" s="6">
        <f>_xlfn.IFNA(INDEX(EvaluationContexts!D2:D999, MATCH(K3,EvaluationContexts!A2:A999, 0)), "")</f>
        <v>46222.75</v>
      </c>
      <c r="M3" s="5" t="e">
        <f>DATETIME_DIFF(L3, H3, "minutes")</f>
        <v>#NAME?</v>
      </c>
      <c r="N3" s="3" t="e">
        <f>M3 &lt;= I3</f>
        <v>#NAME?</v>
      </c>
      <c r="O3" s="3" t="e">
        <f>IF(NOT(N3), D3, "")</f>
        <v>#NAME?</v>
      </c>
      <c r="P3" s="3" t="e">
        <f>IF(AND(NOT(N3), J3), D3, "")</f>
        <v>#NAME?</v>
      </c>
      <c r="Q3" s="3" t="e">
        <f>AND(J3, NOT(N3))</f>
        <v>#NAME?</v>
      </c>
      <c r="R3" s="3" t="e">
        <f>IF(Q3, D3, "")</f>
        <v>#NAME?</v>
      </c>
      <c r="S3" s="3" t="b">
        <f>_xlfn.IFNA(INDEX(Resources!J2:J999, MATCH(E3,Resources!A2:A999, 0)), "")</f>
        <v>0</v>
      </c>
      <c r="T3" s="3" t="e">
        <f>AND(S3, N3)</f>
        <v>#NAME?</v>
      </c>
      <c r="U3" s="3" t="e">
        <f>IF(T3, "", D3)</f>
        <v>#NAME?</v>
      </c>
      <c r="V3" s="2" t="s">
        <v>1660</v>
      </c>
    </row>
    <row r="4">
      <c r="A4" s="2" t="s">
        <v>1664</v>
      </c>
      <c r="B4" s="3" t="str">
        <f>D4 &amp; " / " &amp; G4</f>
        <v>policy-07 / HR.CommunicationConsent</v>
      </c>
      <c r="C4" s="2" t="s">
        <v>375</v>
      </c>
      <c r="D4" s="2" t="s">
        <v>597</v>
      </c>
      <c r="E4" s="2" t="s">
        <v>1026</v>
      </c>
      <c r="F4" s="2" t="s">
        <v>1658</v>
      </c>
      <c r="G4" s="2" t="s">
        <v>1665</v>
      </c>
      <c r="H4" s="4">
        <v>46222.697916666664</v>
      </c>
      <c r="I4" s="7">
        <v>15</v>
      </c>
      <c r="J4" s="2" t="b">
        <v>1</v>
      </c>
      <c r="K4" s="2" t="s">
        <v>95</v>
      </c>
      <c r="L4" s="6">
        <f>_xlfn.IFNA(INDEX(EvaluationContexts!D2:D999, MATCH(K4,EvaluationContexts!A2:A999, 0)), "")</f>
        <v>46222.75</v>
      </c>
      <c r="M4" s="5" t="e">
        <f>DATETIME_DIFF(L4, H4, "minutes")</f>
        <v>#NAME?</v>
      </c>
      <c r="N4" s="3" t="e">
        <f>M4 &lt;= I4</f>
        <v>#NAME?</v>
      </c>
      <c r="O4" s="3" t="e">
        <f>IF(NOT(N4), D4, "")</f>
        <v>#NAME?</v>
      </c>
      <c r="P4" s="3" t="e">
        <f>IF(AND(NOT(N4), J4), D4, "")</f>
        <v>#NAME?</v>
      </c>
      <c r="Q4" s="3" t="e">
        <f>AND(J4, NOT(N4))</f>
        <v>#NAME?</v>
      </c>
      <c r="R4" s="3" t="e">
        <f>IF(Q4, D4, "")</f>
        <v>#NAME?</v>
      </c>
      <c r="S4" s="3" t="b">
        <f>_xlfn.IFNA(INDEX(Resources!J2:J999, MATCH(E4,Resources!A2:A999, 0)), "")</f>
        <v>0</v>
      </c>
      <c r="T4" s="3" t="e">
        <f>AND(S4, N4)</f>
        <v>#NAME?</v>
      </c>
      <c r="U4" s="3" t="e">
        <f>IF(T4, "", D4)</f>
        <v>#NAME?</v>
      </c>
      <c r="V4" s="2" t="s">
        <v>1660</v>
      </c>
    </row>
    <row r="5">
      <c r="A5" s="2" t="s">
        <v>1666</v>
      </c>
      <c r="B5" s="3" t="str">
        <f>D5 &amp; " / " &amp; G5</f>
        <v>policy-07 / People.EmailTemplate</v>
      </c>
      <c r="C5" s="2" t="s">
        <v>375</v>
      </c>
      <c r="D5" s="2" t="s">
        <v>597</v>
      </c>
      <c r="E5" s="2" t="s">
        <v>1031</v>
      </c>
      <c r="F5" s="2" t="s">
        <v>1658</v>
      </c>
      <c r="G5" s="2" t="s">
        <v>1667</v>
      </c>
      <c r="H5" s="4">
        <v>46221.895833333336</v>
      </c>
      <c r="I5" s="7">
        <v>1440</v>
      </c>
      <c r="J5" s="2" t="b">
        <v>1</v>
      </c>
      <c r="K5" s="2" t="s">
        <v>95</v>
      </c>
      <c r="L5" s="6">
        <f>_xlfn.IFNA(INDEX(EvaluationContexts!D2:D999, MATCH(K5,EvaluationContexts!A2:A999, 0)), "")</f>
        <v>46222.75</v>
      </c>
      <c r="M5" s="5" t="e">
        <f>DATETIME_DIFF(L5, H5, "minutes")</f>
        <v>#NAME?</v>
      </c>
      <c r="N5" s="3" t="e">
        <f>M5 &lt;= I5</f>
        <v>#NAME?</v>
      </c>
      <c r="O5" s="3" t="e">
        <f>IF(NOT(N5), D5, "")</f>
        <v>#NAME?</v>
      </c>
      <c r="P5" s="3" t="e">
        <f>IF(AND(NOT(N5), J5), D5, "")</f>
        <v>#NAME?</v>
      </c>
      <c r="Q5" s="3" t="e">
        <f>AND(J5, NOT(N5))</f>
        <v>#NAME?</v>
      </c>
      <c r="R5" s="3" t="e">
        <f>IF(Q5, D5, "")</f>
        <v>#NAME?</v>
      </c>
      <c r="S5" s="3" t="b">
        <f>_xlfn.IFNA(INDEX(Resources!J2:J999, MATCH(E5,Resources!A2:A999, 0)), "")</f>
        <v>0</v>
      </c>
      <c r="T5" s="3" t="e">
        <f>AND(S5, N5)</f>
        <v>#NAME?</v>
      </c>
      <c r="U5" s="3" t="e">
        <f>IF(T5, "", D5)</f>
        <v>#NAME?</v>
      </c>
      <c r="V5" s="2" t="s">
        <v>1660</v>
      </c>
    </row>
    <row r="6">
      <c r="A6" s="2" t="s">
        <v>1668</v>
      </c>
      <c r="B6" s="3" t="str">
        <f>D6 &amp; " / " &amp; G6</f>
        <v>policy-07 / People.SmsTemplate</v>
      </c>
      <c r="C6" s="2" t="s">
        <v>375</v>
      </c>
      <c r="D6" s="2" t="s">
        <v>597</v>
      </c>
      <c r="E6" s="2" t="s">
        <v>1036</v>
      </c>
      <c r="F6" s="2" t="s">
        <v>1658</v>
      </c>
      <c r="G6" s="2" t="s">
        <v>1669</v>
      </c>
      <c r="H6" s="4">
        <v>46221.895833333336</v>
      </c>
      <c r="I6" s="7">
        <v>1440</v>
      </c>
      <c r="J6" s="2" t="b">
        <v>1</v>
      </c>
      <c r="K6" s="2" t="s">
        <v>95</v>
      </c>
      <c r="L6" s="6">
        <f>_xlfn.IFNA(INDEX(EvaluationContexts!D2:D999, MATCH(K6,EvaluationContexts!A2:A999, 0)), "")</f>
        <v>46222.75</v>
      </c>
      <c r="M6" s="5" t="e">
        <f>DATETIME_DIFF(L6, H6, "minutes")</f>
        <v>#NAME?</v>
      </c>
      <c r="N6" s="3" t="e">
        <f>M6 &lt;= I6</f>
        <v>#NAME?</v>
      </c>
      <c r="O6" s="3" t="e">
        <f>IF(NOT(N6), D6, "")</f>
        <v>#NAME?</v>
      </c>
      <c r="P6" s="3" t="e">
        <f>IF(AND(NOT(N6), J6), D6, "")</f>
        <v>#NAME?</v>
      </c>
      <c r="Q6" s="3" t="e">
        <f>AND(J6, NOT(N6))</f>
        <v>#NAME?</v>
      </c>
      <c r="R6" s="3" t="e">
        <f>IF(Q6, D6, "")</f>
        <v>#NAME?</v>
      </c>
      <c r="S6" s="3" t="b">
        <f>_xlfn.IFNA(INDEX(Resources!J2:J999, MATCH(E6,Resources!A2:A999, 0)), "")</f>
        <v>0</v>
      </c>
      <c r="T6" s="3" t="e">
        <f>AND(S6, N6)</f>
        <v>#NAME?</v>
      </c>
      <c r="U6" s="3" t="e">
        <f>IF(T6, "", D6)</f>
        <v>#NAME?</v>
      </c>
      <c r="V6" s="2" t="s">
        <v>1660</v>
      </c>
    </row>
  </sheetData>
  <autoFilter ref="A1:V1"/>
  <headerFooter/>
  <legacyDrawing r:id="rId1"/>
</worksheet>
</file>

<file path=xl/worksheets/sheet4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3"/>
  <sheetViews>
    <sheetView workbookViewId="0">
      <pane ySplit="1" topLeftCell="A2" state="frozen" activePane="bottomLeft"/>
      <selection pane="bottomLeft" activeCell="A1" sqref="A1"/>
    </sheetView>
  </sheetViews>
  <sheetFormatPr defaultRowHeight="15"/>
  <cols>
    <col min="1" max="1" width="23.34316062927246" customWidth="1"/>
    <col min="2" max="2" width="26.839580535888672" customWidth="1"/>
    <col min="3" max="3" width="18.236316680908203" customWidth="1"/>
    <col min="4" max="4" width="17.443378448486328" customWidth="1"/>
    <col min="5" max="5" width="49.43636703491211" customWidth="1"/>
    <col min="6" max="6" width="17.660818099975586" customWidth="1"/>
    <col min="7" max="7" width="17.443378448486328" customWidth="1"/>
    <col min="8" max="8" width="17.443378448486328" customWidth="1"/>
    <col min="9" max="9" width="19.929874420166016" customWidth="1"/>
    <col min="10" max="10" width="17.443378448486328" customWidth="1"/>
    <col min="11" max="11" width="17.443378448486328" customWidth="1"/>
    <col min="12" max="12" width="25.59624671936035" customWidth="1"/>
    <col min="13" max="13" width="65.06096649169922" customWidth="1"/>
    <col min="14" max="14" width="66.67237091064453" customWidth="1"/>
    <col min="15" max="15" width="17.443378448486328" customWidth="1"/>
    <col min="16" max="16" width="22.72109031677246" customWidth="1"/>
    <col min="17" max="17" width="21.485902786254883" customWidth="1"/>
    <col min="18" max="18" width="20.624557495117188" customWidth="1"/>
    <col min="19" max="19" width="25.575180053710938" customWidth="1"/>
    <col min="20" max="20" width="23.17095947265625" customWidth="1"/>
    <col min="21" max="21" width="17.443378448486328" customWidth="1"/>
    <col min="22" max="22" width="34.297874450683594" customWidth="1"/>
  </cols>
  <sheetData>
    <row r="1">
      <c r="A1" s="1" t="s">
        <v>1670</v>
      </c>
      <c r="B1" s="1" t="s">
        <v>1</v>
      </c>
      <c r="C1" s="1" t="s">
        <v>477</v>
      </c>
      <c r="D1" s="1" t="s">
        <v>1671</v>
      </c>
      <c r="E1" s="1" t="s">
        <v>1672</v>
      </c>
      <c r="F1" s="1" t="s">
        <v>1673</v>
      </c>
      <c r="G1" s="1" t="s">
        <v>1674</v>
      </c>
      <c r="H1" s="1" t="s">
        <v>1675</v>
      </c>
      <c r="I1" s="1" t="s">
        <v>1676</v>
      </c>
      <c r="J1" s="1" t="s">
        <v>1677</v>
      </c>
      <c r="K1" s="1" t="s">
        <v>1678</v>
      </c>
      <c r="L1" s="1" t="s">
        <v>983</v>
      </c>
      <c r="M1" s="1" t="s">
        <v>1679</v>
      </c>
      <c r="N1" s="1" t="s">
        <v>1680</v>
      </c>
      <c r="O1" s="1" t="s">
        <v>8</v>
      </c>
      <c r="P1" s="1" t="s">
        <v>1681</v>
      </c>
      <c r="Q1" s="1" t="s">
        <v>1682</v>
      </c>
      <c r="R1" s="1" t="s">
        <v>1683</v>
      </c>
      <c r="S1" s="1" t="s">
        <v>1684</v>
      </c>
      <c r="T1" s="1" t="s">
        <v>1685</v>
      </c>
      <c r="U1" s="1" t="s">
        <v>1686</v>
      </c>
      <c r="V1" s="1" t="s">
        <v>94</v>
      </c>
    </row>
    <row r="2">
      <c r="A2" s="2" t="s">
        <v>1687</v>
      </c>
      <c r="B2" s="3" t="str">
        <f>D2 &amp; " policy / " &amp; C2</f>
        <v>Email policy / policy-v1.0.0</v>
      </c>
      <c r="C2" s="2" t="s">
        <v>375</v>
      </c>
      <c r="D2" s="2" t="s">
        <v>1688</v>
      </c>
      <c r="E2" s="2" t="s">
        <v>1689</v>
      </c>
      <c r="F2" s="2" t="b">
        <v>0</v>
      </c>
      <c r="G2" s="2" t="s">
        <v>1690</v>
      </c>
      <c r="H2" s="2" t="s">
        <v>1690</v>
      </c>
      <c r="I2" s="7">
        <v>100000</v>
      </c>
      <c r="J2" s="7">
        <v>1</v>
      </c>
      <c r="K2" s="7">
        <v>2555</v>
      </c>
      <c r="L2" s="2" t="s">
        <v>224</v>
      </c>
      <c r="M2" s="2" t="s">
        <v>1691</v>
      </c>
      <c r="N2" s="2" t="s">
        <v>1692</v>
      </c>
      <c r="O2" s="2" t="s">
        <v>309</v>
      </c>
      <c r="P2" s="3">
        <f>COUNTIFS(MessageDeliveries!O2:O999, A2,MessageDeliveries!T2:T999, TRUE)</f>
        <v>0</v>
      </c>
      <c r="Q2" s="7">
        <v>0</v>
      </c>
      <c r="R2" s="7">
        <v>0</v>
      </c>
      <c r="S2" s="3">
        <f>COUNTIFS(MessageDeliveries!AB2:AB999, A2)</f>
        <v>0</v>
      </c>
      <c r="T2" s="2"/>
      <c r="U2" s="3" t="b">
        <f>O2 = "Active"</f>
        <v>1</v>
      </c>
      <c r="V2" s="2" t="s">
        <v>1693</v>
      </c>
    </row>
    <row r="3">
      <c r="A3" s="2" t="s">
        <v>1694</v>
      </c>
      <c r="B3" s="3" t="str">
        <f>D3 &amp; " policy / " &amp; C3</f>
        <v>SMS policy / policy-v1.0.0</v>
      </c>
      <c r="C3" s="2" t="s">
        <v>375</v>
      </c>
      <c r="D3" s="2" t="s">
        <v>1695</v>
      </c>
      <c r="E3" s="2" t="s">
        <v>1696</v>
      </c>
      <c r="F3" s="2" t="b">
        <v>1</v>
      </c>
      <c r="G3" s="2" t="s">
        <v>1697</v>
      </c>
      <c r="H3" s="2" t="s">
        <v>1698</v>
      </c>
      <c r="I3" s="7">
        <v>160</v>
      </c>
      <c r="J3" s="7">
        <v>3</v>
      </c>
      <c r="K3" s="7">
        <v>2555</v>
      </c>
      <c r="L3" s="2" t="s">
        <v>224</v>
      </c>
      <c r="M3" s="2" t="s">
        <v>1699</v>
      </c>
      <c r="N3" s="2" t="s">
        <v>1700</v>
      </c>
      <c r="O3" s="2" t="s">
        <v>309</v>
      </c>
      <c r="P3" s="3">
        <f>COUNTIFS(MessageDeliveries!O2:O999, A3,MessageDeliveries!T2:T999, TRUE)</f>
        <v>0</v>
      </c>
      <c r="Q3" s="7">
        <v>20</v>
      </c>
      <c r="R3" s="7">
        <v>8</v>
      </c>
      <c r="S3" s="3">
        <f>COUNTIFS(MessageDeliveries!AB2:AB999, A3)</f>
        <v>1</v>
      </c>
      <c r="T3" s="2" t="s">
        <v>1701</v>
      </c>
      <c r="U3" s="3" t="b">
        <f>O3 = "Active"</f>
        <v>1</v>
      </c>
      <c r="V3" s="2" t="s">
        <v>1693</v>
      </c>
    </row>
  </sheetData>
  <autoFilter ref="A1:V1"/>
  <headerFooter/>
  <legacyDrawing r:id="rId1"/>
</worksheet>
</file>

<file path=xl/worksheets/sheet4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3"/>
  <sheetViews>
    <sheetView workbookViewId="0">
      <pane ySplit="1" topLeftCell="A2" state="frozen" activePane="bottomLeft"/>
      <selection pane="bottomLeft" activeCell="A1" sqref="A1"/>
    </sheetView>
  </sheetViews>
  <sheetFormatPr defaultRowHeight="15"/>
  <cols>
    <col min="1" max="1" width="20.235198974609375" customWidth="1"/>
    <col min="2" max="2" width="26.867507934570312" customWidth="1"/>
    <col min="3" max="3" width="21.358522415161133" customWidth="1"/>
    <col min="4" max="4" width="19.368671417236328" customWidth="1"/>
    <col min="5" max="5" width="53.0019645690918" customWidth="1"/>
    <col min="6" max="6" width="161.4154815673828" customWidth="1"/>
    <col min="7" max="7" width="17.443378448486328" customWidth="1"/>
    <col min="8" max="8" width="17.443378448486328" customWidth="1"/>
    <col min="9" max="9" width="25.11454963684082" customWidth="1"/>
    <col min="10" max="10" width="19.97812271118164" customWidth="1"/>
    <col min="11" max="11" width="21.436670303344727" customWidth="1"/>
    <col min="12" max="12" width="22.916988372802734" customWidth="1"/>
    <col min="13" max="13" width="19.899776458740234" customWidth="1"/>
    <col min="14" max="14" width="17.838417053222656" customWidth="1"/>
    <col min="15" max="15" width="28.291688919067383" customWidth="1"/>
    <col min="16" max="16" width="18.18752670288086" customWidth="1"/>
    <col min="17" max="17" width="23.916210174560547" customWidth="1"/>
    <col min="18" max="18" width="18.151525497436523" customWidth="1"/>
    <col min="19" max="19" width="17.443378448486328" customWidth="1"/>
    <col min="20" max="20" width="25.769695281982422" customWidth="1"/>
    <col min="21" max="21" width="18.370132446289062" customWidth="1"/>
    <col min="22" max="22" width="26.131759643554688" customWidth="1"/>
    <col min="23" max="23" width="25.692188262939453" customWidth="1"/>
    <col min="24" max="24" width="27.568450927734375" customWidth="1"/>
    <col min="25" max="25" width="23.35041618347168" customWidth="1"/>
    <col min="26" max="26" width="36.788185119628906" customWidth="1"/>
  </cols>
  <sheetData>
    <row r="1">
      <c r="A1" s="1" t="s">
        <v>1702</v>
      </c>
      <c r="B1" s="1" t="s">
        <v>1</v>
      </c>
      <c r="C1" s="1" t="s">
        <v>1703</v>
      </c>
      <c r="D1" s="1" t="s">
        <v>1046</v>
      </c>
      <c r="E1" s="1" t="s">
        <v>1704</v>
      </c>
      <c r="F1" s="1" t="s">
        <v>1705</v>
      </c>
      <c r="G1" s="1" t="s">
        <v>1706</v>
      </c>
      <c r="H1" s="1" t="s">
        <v>8</v>
      </c>
      <c r="I1" s="1" t="s">
        <v>1707</v>
      </c>
      <c r="J1" s="1" t="s">
        <v>1708</v>
      </c>
      <c r="K1" s="1" t="s">
        <v>1709</v>
      </c>
      <c r="L1" s="1" t="s">
        <v>1710</v>
      </c>
      <c r="M1" s="1" t="s">
        <v>1711</v>
      </c>
      <c r="N1" s="1" t="s">
        <v>1712</v>
      </c>
      <c r="O1" s="1" t="s">
        <v>1713</v>
      </c>
      <c r="P1" s="1" t="s">
        <v>1714</v>
      </c>
      <c r="Q1" s="1" t="s">
        <v>1715</v>
      </c>
      <c r="R1" s="1" t="s">
        <v>1716</v>
      </c>
      <c r="S1" s="1" t="s">
        <v>1717</v>
      </c>
      <c r="T1" s="1" t="s">
        <v>1718</v>
      </c>
      <c r="U1" s="1" t="s">
        <v>1719</v>
      </c>
      <c r="V1" s="1" t="s">
        <v>1720</v>
      </c>
      <c r="W1" s="1" t="s">
        <v>1721</v>
      </c>
      <c r="X1" s="1" t="s">
        <v>1722</v>
      </c>
      <c r="Y1" s="1" t="s">
        <v>1723</v>
      </c>
      <c r="Z1" s="1" t="s">
        <v>94</v>
      </c>
    </row>
    <row r="2">
      <c r="A2" s="2" t="s">
        <v>1724</v>
      </c>
      <c r="B2" s="3" t="str">
        <f>C2 &amp; " / " &amp; G2</f>
        <v>comm-email-policy / en-US</v>
      </c>
      <c r="C2" s="2" t="s">
        <v>1687</v>
      </c>
      <c r="D2" s="2" t="s">
        <v>1031</v>
      </c>
      <c r="E2" s="2" t="s">
        <v>1725</v>
      </c>
      <c r="F2" s="2" t="s">
        <v>1726</v>
      </c>
      <c r="G2" s="2" t="s">
        <v>1727</v>
      </c>
      <c r="H2" s="2" t="s">
        <v>461</v>
      </c>
      <c r="I2" s="5">
        <f>_xlfn.IFNA(INDEX(CommunicationPolicies!I2:I999, MATCH(C2,CommunicationPolicies!A2:A999, 0)), "")</f>
        <v>100000</v>
      </c>
      <c r="J2" s="5">
        <f>_xlfn.IFNA(INDEX(CommunicationPolicies!J2:J999, MATCH(C2,CommunicationPolicies!A2:A999, 0)), "")</f>
        <v>1</v>
      </c>
      <c r="K2" s="5">
        <f>LEN(F2)</f>
        <v>164</v>
      </c>
      <c r="L2" s="3" t="b">
        <f>K2 &gt; I2</f>
        <v>0</v>
      </c>
      <c r="M2" s="3">
        <f>COUNTIFS(TemplateApprovals!N2:N999, A2)</f>
        <v>1</v>
      </c>
      <c r="N2" s="3" t="b">
        <f>M2 &gt; 0</f>
        <v>1</v>
      </c>
      <c r="O2" s="3" t="b">
        <f>AND(H2 = "Approved", NOT(N2))</f>
        <v>0</v>
      </c>
      <c r="P2" s="2" t="s">
        <v>1728</v>
      </c>
      <c r="Q2" s="3" t="str">
        <f>_xlfn.IFNA(INDEX(TemplateApprovals!H2:H999, MATCH(R2,TemplateApprovals!A2:A999, 0)), "")</f>
        <v>h-email-v1</v>
      </c>
      <c r="R2" s="2" t="s">
        <v>1729</v>
      </c>
      <c r="S2" s="3" t="b">
        <f>AND(Q2 &lt;&gt; "", P2 &lt;&gt; Q2)</f>
        <v>0</v>
      </c>
      <c r="T2" s="3" t="b">
        <f>AND(H2 = "Approved", AND(N2, NOT(S2)))</f>
        <v>1</v>
      </c>
      <c r="U2" s="3">
        <f>COUNTIFS(MessageDeliveries!BR2:BR999, A2)</f>
        <v>0</v>
      </c>
      <c r="V2" s="3">
        <f>COUNTIFS(MessageDeliveries!BW2:BW999, A2)</f>
        <v>1</v>
      </c>
      <c r="W2" s="3">
        <f>COUNTIFS(MessageDeliveries!BX2:BX999, A2)</f>
        <v>2</v>
      </c>
      <c r="X2" s="3" t="b">
        <f>AND(W2 &gt; 0, V2 = W2)</f>
        <v>0</v>
      </c>
      <c r="Y2" s="6">
        <f>_xlfn.IFNA(INDEX(TemplateApprovals!G2:G999, MATCH(R2,TemplateApprovals!A2:A999, 0)), "")</f>
        <v>46220.666666666664</v>
      </c>
      <c r="Z2" s="2" t="s">
        <v>1011</v>
      </c>
    </row>
    <row r="3">
      <c r="A3" s="2" t="s">
        <v>1730</v>
      </c>
      <c r="B3" s="3" t="str">
        <f>C3 &amp; " / " &amp; G3</f>
        <v>comm-sms-policy / en-US</v>
      </c>
      <c r="C3" s="2" t="s">
        <v>1694</v>
      </c>
      <c r="D3" s="2" t="s">
        <v>1036</v>
      </c>
      <c r="E3" s="2" t="s">
        <v>168</v>
      </c>
      <c r="F3" s="2" t="s">
        <v>1731</v>
      </c>
      <c r="G3" s="2" t="s">
        <v>1727</v>
      </c>
      <c r="H3" s="2" t="s">
        <v>461</v>
      </c>
      <c r="I3" s="5">
        <f>_xlfn.IFNA(INDEX(CommunicationPolicies!I2:I999, MATCH(C3,CommunicationPolicies!A2:A999, 0)), "")</f>
        <v>160</v>
      </c>
      <c r="J3" s="5">
        <f>_xlfn.IFNA(INDEX(CommunicationPolicies!J2:J999, MATCH(C3,CommunicationPolicies!A2:A999, 0)), "")</f>
        <v>3</v>
      </c>
      <c r="K3" s="5">
        <f>LEN(F3)</f>
        <v>123</v>
      </c>
      <c r="L3" s="3" t="b">
        <f>K3 &gt; I3</f>
        <v>0</v>
      </c>
      <c r="M3" s="3">
        <f>COUNTIFS(TemplateApprovals!N2:N999, A3)</f>
        <v>1</v>
      </c>
      <c r="N3" s="3" t="b">
        <f>M3 &gt; 0</f>
        <v>1</v>
      </c>
      <c r="O3" s="3" t="b">
        <f>AND(H3 = "Approved", NOT(N3))</f>
        <v>0</v>
      </c>
      <c r="P3" s="2" t="s">
        <v>1732</v>
      </c>
      <c r="Q3" s="3" t="str">
        <f>_xlfn.IFNA(INDEX(TemplateApprovals!H2:H999, MATCH(R3,TemplateApprovals!A2:A999, 0)), "")</f>
        <v>h-sms-v1</v>
      </c>
      <c r="R3" s="2" t="s">
        <v>1733</v>
      </c>
      <c r="S3" s="3" t="b">
        <f>AND(Q3 &lt;&gt; "", P3 &lt;&gt; Q3)</f>
        <v>0</v>
      </c>
      <c r="T3" s="3" t="b">
        <f>AND(H3 = "Approved", AND(N3, NOT(S3)))</f>
        <v>1</v>
      </c>
      <c r="U3" s="3">
        <f>COUNTIFS(MessageDeliveries!BR2:BR999, A3)</f>
        <v>0</v>
      </c>
      <c r="V3" s="3">
        <f>COUNTIFS(MessageDeliveries!BW2:BW999, A3)</f>
        <v>2</v>
      </c>
      <c r="W3" s="3">
        <f>COUNTIFS(MessageDeliveries!BX2:BX999, A3)</f>
        <v>2</v>
      </c>
      <c r="X3" s="3" t="b">
        <f>AND(W3 &gt; 0, V3 = W3)</f>
        <v>1</v>
      </c>
      <c r="Y3" s="6">
        <f>_xlfn.IFNA(INDEX(TemplateApprovals!G2:G999, MATCH(R3,TemplateApprovals!A2:A999, 0)), "")</f>
        <v>46222.625</v>
      </c>
      <c r="Z3" s="2" t="s">
        <v>1011</v>
      </c>
    </row>
  </sheetData>
  <autoFilter ref="A1:Z1"/>
  <headerFooter/>
  <legacyDrawing r:id="rId1"/>
</worksheet>
</file>

<file path=xl/worksheets/sheet4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48"/>
  <sheetViews>
    <sheetView workbookViewId="0">
      <pane ySplit="1" topLeftCell="A2" state="frozen" activePane="bottomLeft"/>
      <selection pane="bottomLeft" activeCell="A1" sqref="A1"/>
    </sheetView>
  </sheetViews>
  <sheetFormatPr defaultRowHeight="15"/>
  <cols>
    <col min="1" max="1" width="30.544466018676758" customWidth="1"/>
    <col min="2" max="2" width="78.32158660888672" customWidth="1"/>
    <col min="3" max="3" width="33.07079315185547" customWidth="1"/>
    <col min="4" max="4" width="17.443378448486328" customWidth="1"/>
    <col min="5" max="5" width="50.9825553894043" customWidth="1"/>
    <col min="6" max="6" width="17.443378448486328" customWidth="1"/>
    <col min="7" max="7" width="23.879928588867188" customWidth="1"/>
    <col min="8" max="8" width="166.21559143066406" customWidth="1"/>
  </cols>
  <sheetData>
    <row r="1">
      <c r="A1" s="1" t="s">
        <v>1734</v>
      </c>
      <c r="B1" s="1" t="s">
        <v>1</v>
      </c>
      <c r="C1" s="1" t="s">
        <v>1735</v>
      </c>
      <c r="D1" s="1" t="s">
        <v>1736</v>
      </c>
      <c r="E1" s="1" t="s">
        <v>1737</v>
      </c>
      <c r="F1" s="1" t="s">
        <v>1738</v>
      </c>
      <c r="G1" s="1" t="s">
        <v>1739</v>
      </c>
      <c r="H1" s="1" t="s">
        <v>1740</v>
      </c>
    </row>
    <row r="2">
      <c r="A2" s="2" t="s">
        <v>1741</v>
      </c>
      <c r="B2" s="3" t="str">
        <f>C2 &amp; " -&gt; " &amp; E2</f>
        <v>Procedures -&gt; https://w3id.org/pko#Procedure</v>
      </c>
      <c r="C2" s="2" t="s">
        <v>1742</v>
      </c>
      <c r="D2" s="2" t="s">
        <v>1743</v>
      </c>
      <c r="E2" s="2" t="s">
        <v>370</v>
      </c>
      <c r="F2" s="2" t="s">
        <v>1744</v>
      </c>
      <c r="G2" s="2" t="s">
        <v>25</v>
      </c>
      <c r="H2" s="2" t="s">
        <v>1745</v>
      </c>
    </row>
    <row r="3">
      <c r="A3" s="2" t="s">
        <v>1746</v>
      </c>
      <c r="B3" s="3" t="str">
        <f>C3 &amp; " -&gt; " &amp; E3</f>
        <v>ProcedureVersions -&gt; https://w3id.org/pko#Procedure</v>
      </c>
      <c r="C3" s="2" t="s">
        <v>1747</v>
      </c>
      <c r="D3" s="2" t="s">
        <v>1743</v>
      </c>
      <c r="E3" s="2" t="s">
        <v>370</v>
      </c>
      <c r="F3" s="2" t="s">
        <v>1744</v>
      </c>
      <c r="G3" s="2" t="s">
        <v>25</v>
      </c>
      <c r="H3" s="2" t="s">
        <v>1748</v>
      </c>
    </row>
    <row r="4">
      <c r="A4" s="2" t="s">
        <v>1749</v>
      </c>
      <c r="B4" s="3" t="str">
        <f>C4 &amp; " -&gt; " &amp; E4</f>
        <v>ProcedureVersions.VersionNumber -&gt; https://w3id.org/pko#versionNumber</v>
      </c>
      <c r="C4" s="2" t="s">
        <v>1750</v>
      </c>
      <c r="D4" s="2" t="s">
        <v>1751</v>
      </c>
      <c r="E4" s="2" t="s">
        <v>1752</v>
      </c>
      <c r="F4" s="2" t="s">
        <v>1744</v>
      </c>
      <c r="G4" s="2" t="s">
        <v>25</v>
      </c>
      <c r="H4" s="2" t="s">
        <v>1753</v>
      </c>
    </row>
    <row r="5">
      <c r="A5" s="2" t="s">
        <v>1754</v>
      </c>
      <c r="B5" s="3" t="str">
        <f>C5 &amp; " -&gt; " &amp; E5</f>
        <v>ProcedureStatusChanges -&gt; https://w3id.org/pko#ChangeOfStatus</v>
      </c>
      <c r="C5" s="2" t="s">
        <v>1755</v>
      </c>
      <c r="D5" s="2" t="s">
        <v>1743</v>
      </c>
      <c r="E5" s="2" t="s">
        <v>487</v>
      </c>
      <c r="F5" s="2" t="s">
        <v>1744</v>
      </c>
      <c r="G5" s="2" t="s">
        <v>25</v>
      </c>
      <c r="H5" s="2" t="s">
        <v>1756</v>
      </c>
    </row>
    <row r="6">
      <c r="A6" s="2" t="s">
        <v>1757</v>
      </c>
      <c r="B6" s="3" t="str">
        <f>C6 &amp; " -&gt; " &amp; E6</f>
        <v>Steps -&gt; http://purl.org/net/p-plan#Step</v>
      </c>
      <c r="C6" s="2" t="s">
        <v>1758</v>
      </c>
      <c r="D6" s="2" t="s">
        <v>1743</v>
      </c>
      <c r="E6" s="2" t="s">
        <v>542</v>
      </c>
      <c r="F6" s="2" t="s">
        <v>1744</v>
      </c>
      <c r="G6" s="2" t="s">
        <v>35</v>
      </c>
      <c r="H6" s="2" t="s">
        <v>1759</v>
      </c>
    </row>
    <row r="7">
      <c r="A7" s="2" t="s">
        <v>1760</v>
      </c>
      <c r="B7" s="3" t="str">
        <f>C7 &amp; " -&gt; " &amp; E7</f>
        <v>Steps.StepKind=MultiStep -&gt; http://purl.org/net/p-plan#MultiStep</v>
      </c>
      <c r="C7" s="2" t="s">
        <v>1761</v>
      </c>
      <c r="D7" s="2" t="s">
        <v>1743</v>
      </c>
      <c r="E7" s="2" t="s">
        <v>553</v>
      </c>
      <c r="F7" s="2" t="s">
        <v>1744</v>
      </c>
      <c r="G7" s="2" t="s">
        <v>35</v>
      </c>
      <c r="H7" s="2" t="s">
        <v>1762</v>
      </c>
    </row>
    <row r="8">
      <c r="A8" s="2" t="s">
        <v>1763</v>
      </c>
      <c r="B8" s="3" t="str">
        <f>C8 &amp; " -&gt; " &amp; E8</f>
        <v>StepTransitions -&gt; https://w3id.org/pko#Transition</v>
      </c>
      <c r="C8" s="2" t="s">
        <v>1764</v>
      </c>
      <c r="D8" s="2" t="s">
        <v>1743</v>
      </c>
      <c r="E8" s="2" t="s">
        <v>631</v>
      </c>
      <c r="F8" s="2" t="s">
        <v>1744</v>
      </c>
      <c r="G8" s="2" t="s">
        <v>25</v>
      </c>
      <c r="H8" s="2" t="s">
        <v>1765</v>
      </c>
    </row>
    <row r="9">
      <c r="A9" s="2" t="s">
        <v>1766</v>
      </c>
      <c r="B9" s="3" t="str">
        <f>C9 &amp; " -&gt; " &amp; E9</f>
        <v>StepTransitions.FromStep -&gt; https://w3id.org/pko#fromStep</v>
      </c>
      <c r="C9" s="2" t="s">
        <v>1767</v>
      </c>
      <c r="D9" s="2" t="s">
        <v>1768</v>
      </c>
      <c r="E9" s="2" t="s">
        <v>1769</v>
      </c>
      <c r="F9" s="2" t="s">
        <v>1744</v>
      </c>
      <c r="G9" s="2" t="s">
        <v>25</v>
      </c>
      <c r="H9" s="2" t="s">
        <v>1770</v>
      </c>
    </row>
    <row r="10">
      <c r="A10" s="2" t="s">
        <v>1771</v>
      </c>
      <c r="B10" s="3" t="str">
        <f>C10 &amp; " -&gt; " &amp; E10</f>
        <v>StepTransitions.ToStep -&gt; https://w3id.org/pko#toStep</v>
      </c>
      <c r="C10" s="2" t="s">
        <v>1772</v>
      </c>
      <c r="D10" s="2" t="s">
        <v>1768</v>
      </c>
      <c r="E10" s="2" t="s">
        <v>1773</v>
      </c>
      <c r="F10" s="2" t="s">
        <v>1744</v>
      </c>
      <c r="G10" s="2" t="s">
        <v>25</v>
      </c>
      <c r="H10" s="2" t="s">
        <v>1774</v>
      </c>
    </row>
    <row r="11">
      <c r="A11" s="2" t="s">
        <v>1775</v>
      </c>
      <c r="B11" s="3" t="str">
        <f>C11 &amp; " -&gt; " &amp; E11</f>
        <v>Actions -&gt; https://w3id.org/pko#Action</v>
      </c>
      <c r="C11" s="2" t="s">
        <v>1776</v>
      </c>
      <c r="D11" s="2" t="s">
        <v>1743</v>
      </c>
      <c r="E11" s="2" t="s">
        <v>660</v>
      </c>
      <c r="F11" s="2" t="s">
        <v>1744</v>
      </c>
      <c r="G11" s="2" t="s">
        <v>25</v>
      </c>
      <c r="H11" s="2" t="s">
        <v>1777</v>
      </c>
    </row>
    <row r="12">
      <c r="A12" s="2" t="s">
        <v>1778</v>
      </c>
      <c r="B12" s="3" t="str">
        <f>C12 &amp; " -&gt; " &amp; E12</f>
        <v>Functions -&gt; https://w3id.org/pko#Function</v>
      </c>
      <c r="C12" s="2" t="s">
        <v>1779</v>
      </c>
      <c r="D12" s="2" t="s">
        <v>1743</v>
      </c>
      <c r="E12" s="2" t="s">
        <v>691</v>
      </c>
      <c r="F12" s="2" t="s">
        <v>1744</v>
      </c>
      <c r="G12" s="2" t="s">
        <v>25</v>
      </c>
      <c r="H12" s="2" t="s">
        <v>1780</v>
      </c>
    </row>
    <row r="13">
      <c r="A13" s="2" t="s">
        <v>1781</v>
      </c>
      <c r="B13" s="3" t="str">
        <f>C13 &amp; " -&gt; " &amp; E13</f>
        <v>Tools -&gt; http://w3id.org/nfdi4ing/metadata4ing#Tool</v>
      </c>
      <c r="C13" s="2" t="s">
        <v>1782</v>
      </c>
      <c r="D13" s="2" t="s">
        <v>1743</v>
      </c>
      <c r="E13" s="2" t="s">
        <v>724</v>
      </c>
      <c r="F13" s="2" t="s">
        <v>1744</v>
      </c>
      <c r="G13" s="2" t="s">
        <v>74</v>
      </c>
      <c r="H13" s="2" t="s">
        <v>1783</v>
      </c>
    </row>
    <row r="14">
      <c r="A14" s="2" t="s">
        <v>1784</v>
      </c>
      <c r="B14" s="3" t="str">
        <f>C14 &amp; " -&gt; " &amp; E14</f>
        <v>Requirements -&gt; https://w3id.org/pko#Requirement</v>
      </c>
      <c r="C14" s="2" t="s">
        <v>1785</v>
      </c>
      <c r="D14" s="2" t="s">
        <v>1743</v>
      </c>
      <c r="E14" s="2" t="s">
        <v>826</v>
      </c>
      <c r="F14" s="2" t="s">
        <v>1744</v>
      </c>
      <c r="G14" s="2" t="s">
        <v>25</v>
      </c>
      <c r="H14" s="2" t="s">
        <v>1786</v>
      </c>
    </row>
    <row r="15">
      <c r="A15" s="2" t="s">
        <v>1787</v>
      </c>
      <c r="B15" s="3" t="str">
        <f>C15 &amp; " -&gt; " &amp; E15</f>
        <v>StepVerifications -&gt; https://w3id.org/pko#StepVerification</v>
      </c>
      <c r="C15" s="2" t="s">
        <v>1788</v>
      </c>
      <c r="D15" s="2" t="s">
        <v>1743</v>
      </c>
      <c r="E15" s="2" t="s">
        <v>942</v>
      </c>
      <c r="F15" s="2" t="s">
        <v>1744</v>
      </c>
      <c r="G15" s="2" t="s">
        <v>25</v>
      </c>
      <c r="H15" s="2" t="s">
        <v>1789</v>
      </c>
    </row>
    <row r="16">
      <c r="A16" s="2" t="s">
        <v>1790</v>
      </c>
      <c r="B16" s="3" t="str">
        <f>C16 &amp; " -&gt; " &amp; E16</f>
        <v>Resources -&gt; http://www.w3.org/ns/dcat#Resource</v>
      </c>
      <c r="C16" s="2" t="s">
        <v>1791</v>
      </c>
      <c r="D16" s="2" t="s">
        <v>1743</v>
      </c>
      <c r="E16" s="2" t="s">
        <v>1011</v>
      </c>
      <c r="F16" s="2" t="s">
        <v>1744</v>
      </c>
      <c r="G16" s="2" t="s">
        <v>49</v>
      </c>
      <c r="H16" s="2" t="s">
        <v>1792</v>
      </c>
    </row>
    <row r="17">
      <c r="A17" s="2" t="s">
        <v>1793</v>
      </c>
      <c r="B17" s="3" t="str">
        <f>C17 &amp; " -&gt; " &amp; E17</f>
        <v>Agents -&gt; http://www.w3.org/ns/prov#Agent</v>
      </c>
      <c r="C17" s="2" t="s">
        <v>1794</v>
      </c>
      <c r="D17" s="2" t="s">
        <v>1743</v>
      </c>
      <c r="E17" s="2" t="s">
        <v>1795</v>
      </c>
      <c r="F17" s="2" t="s">
        <v>1744</v>
      </c>
      <c r="G17" s="2" t="s">
        <v>42</v>
      </c>
      <c r="H17" s="2" t="s">
        <v>1796</v>
      </c>
    </row>
    <row r="18">
      <c r="A18" s="2" t="s">
        <v>1797</v>
      </c>
      <c r="B18" s="3" t="str">
        <f>C18 &amp; " -&gt; " &amp; E18</f>
        <v>Roles -&gt; http://purl.org/spar/pro/Role</v>
      </c>
      <c r="C18" s="2" t="s">
        <v>1798</v>
      </c>
      <c r="D18" s="2" t="s">
        <v>1743</v>
      </c>
      <c r="E18" s="2" t="s">
        <v>207</v>
      </c>
      <c r="F18" s="2" t="s">
        <v>1744</v>
      </c>
      <c r="G18" s="2" t="s">
        <v>68</v>
      </c>
      <c r="H18" s="2" t="s">
        <v>1799</v>
      </c>
    </row>
    <row r="19">
      <c r="A19" s="2" t="s">
        <v>1800</v>
      </c>
      <c r="B19" s="3" t="str">
        <f>C19 &amp; " -&gt; " &amp; E19</f>
        <v>RoleAssignments -&gt; http://purl.org/spar/pro/RoleInTime</v>
      </c>
      <c r="C19" s="2" t="s">
        <v>1801</v>
      </c>
      <c r="D19" s="2" t="s">
        <v>1743</v>
      </c>
      <c r="E19" s="2" t="s">
        <v>310</v>
      </c>
      <c r="F19" s="2" t="s">
        <v>1744</v>
      </c>
      <c r="G19" s="2" t="s">
        <v>68</v>
      </c>
      <c r="H19" s="2" t="s">
        <v>1802</v>
      </c>
    </row>
    <row r="20">
      <c r="A20" s="2" t="s">
        <v>1803</v>
      </c>
      <c r="B20" s="3" t="str">
        <f>C20 &amp; " -&gt; " &amp; E20</f>
        <v>ProcedureExecutions -&gt; https://w3id.org/pko#ProcedureExecution</v>
      </c>
      <c r="C20" s="2" t="s">
        <v>1804</v>
      </c>
      <c r="D20" s="2" t="s">
        <v>1743</v>
      </c>
      <c r="E20" s="2" t="s">
        <v>1323</v>
      </c>
      <c r="F20" s="2" t="s">
        <v>1744</v>
      </c>
      <c r="G20" s="2" t="s">
        <v>25</v>
      </c>
      <c r="H20" s="2" t="s">
        <v>1805</v>
      </c>
    </row>
    <row r="21">
      <c r="A21" s="2" t="s">
        <v>1806</v>
      </c>
      <c r="B21" s="3" t="str">
        <f>C21 &amp; " -&gt; " &amp; E21</f>
        <v>StepExecutions -&gt; https://w3id.org/pko#StepExecution</v>
      </c>
      <c r="C21" s="2" t="s">
        <v>1807</v>
      </c>
      <c r="D21" s="2" t="s">
        <v>1743</v>
      </c>
      <c r="E21" s="2" t="s">
        <v>1429</v>
      </c>
      <c r="F21" s="2" t="s">
        <v>1744</v>
      </c>
      <c r="G21" s="2" t="s">
        <v>25</v>
      </c>
      <c r="H21" s="2" t="s">
        <v>1808</v>
      </c>
    </row>
    <row r="22">
      <c r="A22" s="2" t="s">
        <v>1809</v>
      </c>
      <c r="B22" s="3" t="str">
        <f>C22 &amp; " -&gt; " &amp; E22</f>
        <v>RequirementSatisfactions -&gt; https://w3id.org/pko#RequirementSatisfaction</v>
      </c>
      <c r="C22" s="2" t="s">
        <v>1810</v>
      </c>
      <c r="D22" s="2" t="s">
        <v>1743</v>
      </c>
      <c r="E22" s="2" t="s">
        <v>1491</v>
      </c>
      <c r="F22" s="2" t="s">
        <v>1744</v>
      </c>
      <c r="G22" s="2" t="s">
        <v>25</v>
      </c>
      <c r="H22" s="2" t="s">
        <v>1811</v>
      </c>
    </row>
    <row r="23">
      <c r="A23" s="2" t="s">
        <v>1812</v>
      </c>
      <c r="B23" s="3" t="str">
        <f>C23 &amp; " -&gt; " &amp; E23</f>
        <v>Errors -&gt; https://w3id.org/pko#Error</v>
      </c>
      <c r="C23" s="2" t="s">
        <v>1813</v>
      </c>
      <c r="D23" s="2" t="s">
        <v>1743</v>
      </c>
      <c r="E23" s="2" t="s">
        <v>1514</v>
      </c>
      <c r="F23" s="2" t="s">
        <v>1744</v>
      </c>
      <c r="G23" s="2" t="s">
        <v>25</v>
      </c>
      <c r="H23" s="2" t="s">
        <v>1814</v>
      </c>
    </row>
    <row r="24">
      <c r="A24" s="2" t="s">
        <v>1815</v>
      </c>
      <c r="B24" s="3" t="str">
        <f>C24 &amp; " -&gt; " &amp; E24</f>
        <v>IssueOccurrences -&gt; https://w3id.org/pko#IssueOccurrence</v>
      </c>
      <c r="C24" s="2" t="s">
        <v>1816</v>
      </c>
      <c r="D24" s="2" t="s">
        <v>1743</v>
      </c>
      <c r="E24" s="2" t="s">
        <v>1530</v>
      </c>
      <c r="F24" s="2" t="s">
        <v>1744</v>
      </c>
      <c r="G24" s="2" t="s">
        <v>25</v>
      </c>
      <c r="H24" s="2" t="s">
        <v>1817</v>
      </c>
    </row>
    <row r="25">
      <c r="A25" s="2" t="s">
        <v>1818</v>
      </c>
      <c r="B25" s="3" t="str">
        <f>C25 &amp; " -&gt; " &amp; E25</f>
        <v>UserQuestions -&gt; https://w3id.org/pko#UserQuestionOccurrence</v>
      </c>
      <c r="C25" s="2" t="s">
        <v>1819</v>
      </c>
      <c r="D25" s="2" t="s">
        <v>1743</v>
      </c>
      <c r="E25" s="2" t="s">
        <v>1544</v>
      </c>
      <c r="F25" s="2" t="s">
        <v>1744</v>
      </c>
      <c r="G25" s="2" t="s">
        <v>25</v>
      </c>
      <c r="H25" s="2" t="s">
        <v>1820</v>
      </c>
    </row>
    <row r="26">
      <c r="A26" s="2" t="s">
        <v>1821</v>
      </c>
      <c r="B26" s="3" t="str">
        <f>C26 &amp; " -&gt; " &amp; E26</f>
        <v>UserFeedback -&gt; https://w3id.org/pko#UserFeedbackOccurrence</v>
      </c>
      <c r="C26" s="2" t="s">
        <v>1822</v>
      </c>
      <c r="D26" s="2" t="s">
        <v>1743</v>
      </c>
      <c r="E26" s="2" t="s">
        <v>1557</v>
      </c>
      <c r="F26" s="2" t="s">
        <v>1744</v>
      </c>
      <c r="G26" s="2" t="s">
        <v>25</v>
      </c>
      <c r="H26" s="2" t="s">
        <v>1823</v>
      </c>
    </row>
    <row r="27">
      <c r="A27" s="2" t="s">
        <v>1824</v>
      </c>
      <c r="B27" s="3" t="str">
        <f>C27 &amp; " -&gt; " &amp; E27</f>
        <v>FAQs -&gt; https://w3id.org/pko#FrequentlyAskedQuestion</v>
      </c>
      <c r="C27" s="2" t="s">
        <v>1825</v>
      </c>
      <c r="D27" s="2" t="s">
        <v>1743</v>
      </c>
      <c r="E27" s="2" t="s">
        <v>1229</v>
      </c>
      <c r="F27" s="2" t="s">
        <v>1744</v>
      </c>
      <c r="G27" s="2" t="s">
        <v>25</v>
      </c>
      <c r="H27" s="2" t="s">
        <v>1826</v>
      </c>
    </row>
    <row r="28">
      <c r="A28" s="2" t="s">
        <v>1827</v>
      </c>
      <c r="B28" s="3" t="str">
        <f>C28 &amp; " -&gt; " &amp; E28</f>
        <v>Explanations -&gt; https://w3id.org/pko#Explanation</v>
      </c>
      <c r="C28" s="2" t="s">
        <v>1828</v>
      </c>
      <c r="D28" s="2" t="s">
        <v>1743</v>
      </c>
      <c r="E28" s="2" t="s">
        <v>1242</v>
      </c>
      <c r="F28" s="2" t="s">
        <v>1744</v>
      </c>
      <c r="G28" s="2" t="s">
        <v>25</v>
      </c>
      <c r="H28" s="2" t="s">
        <v>1829</v>
      </c>
    </row>
    <row r="29">
      <c r="A29" s="2" t="s">
        <v>1830</v>
      </c>
      <c r="B29" s="3" t="str">
        <f>C29 &amp; " -&gt; " &amp; E29</f>
        <v>KnowledgeFragments -&gt; urn:effortless:pko-extension#KnowledgeFragment</v>
      </c>
      <c r="C29" s="2" t="s">
        <v>1831</v>
      </c>
      <c r="D29" s="2" t="s">
        <v>1743</v>
      </c>
      <c r="E29" s="2" t="s">
        <v>1156</v>
      </c>
      <c r="F29" s="2" t="s">
        <v>1832</v>
      </c>
      <c r="G29" s="2" t="s">
        <v>85</v>
      </c>
      <c r="H29" s="2" t="s">
        <v>1833</v>
      </c>
    </row>
    <row r="30">
      <c r="A30" s="2" t="s">
        <v>1834</v>
      </c>
      <c r="B30" s="3" t="str">
        <f>C30 &amp; " -&gt; " &amp; E30</f>
        <v>ElicitationSessions -&gt; urn:effortless:pko-extension#ElicitationSession</v>
      </c>
      <c r="C30" s="2" t="s">
        <v>1835</v>
      </c>
      <c r="D30" s="2" t="s">
        <v>1743</v>
      </c>
      <c r="E30" s="2" t="s">
        <v>1836</v>
      </c>
      <c r="F30" s="2" t="s">
        <v>1832</v>
      </c>
      <c r="G30" s="2" t="s">
        <v>85</v>
      </c>
      <c r="H30" s="2" t="s">
        <v>1837</v>
      </c>
    </row>
    <row r="31">
      <c r="A31" s="2" t="s">
        <v>1838</v>
      </c>
      <c r="B31" s="3" t="str">
        <f>C31 &amp; " -&gt; " &amp; E31</f>
        <v>StewardshipAssignments -&gt; urn:effortless:pko-extension#StewardshipAssignment</v>
      </c>
      <c r="C31" s="2" t="s">
        <v>1839</v>
      </c>
      <c r="D31" s="2" t="s">
        <v>1743</v>
      </c>
      <c r="E31" s="2" t="s">
        <v>1566</v>
      </c>
      <c r="F31" s="2" t="s">
        <v>1832</v>
      </c>
      <c r="G31" s="2" t="s">
        <v>85</v>
      </c>
      <c r="H31" s="2" t="s">
        <v>1840</v>
      </c>
    </row>
    <row r="32">
      <c r="A32" s="2" t="s">
        <v>1841</v>
      </c>
      <c r="B32" s="3" t="str">
        <f>C32 &amp; " -&gt; " &amp; E32</f>
        <v>OperationalBindings -&gt; urn:effortless:pko-extension#OperationalBinding</v>
      </c>
      <c r="C32" s="2" t="s">
        <v>1842</v>
      </c>
      <c r="D32" s="2" t="s">
        <v>1743</v>
      </c>
      <c r="E32" s="2" t="s">
        <v>1660</v>
      </c>
      <c r="F32" s="2" t="s">
        <v>1832</v>
      </c>
      <c r="G32" s="2" t="s">
        <v>85</v>
      </c>
      <c r="H32" s="2" t="s">
        <v>1843</v>
      </c>
    </row>
    <row r="33">
      <c r="A33" s="2" t="s">
        <v>1844</v>
      </c>
      <c r="B33" s="3" t="str">
        <f>C33 &amp; " -&gt; " &amp; E33</f>
        <v>CommunicationPolicies -&gt; http://www.w3.org/ns/odrl/2/Policy</v>
      </c>
      <c r="C33" s="2" t="s">
        <v>1845</v>
      </c>
      <c r="D33" s="2" t="s">
        <v>1743</v>
      </c>
      <c r="E33" s="2" t="s">
        <v>1693</v>
      </c>
      <c r="F33" s="2" t="s">
        <v>1846</v>
      </c>
      <c r="G33" s="2" t="s">
        <v>79</v>
      </c>
      <c r="H33" s="2" t="s">
        <v>1847</v>
      </c>
    </row>
    <row r="34">
      <c r="A34" s="2" t="s">
        <v>1848</v>
      </c>
      <c r="B34" s="3" t="str">
        <f>C34 &amp; " -&gt; " &amp; E34</f>
        <v>AppRoleProfiles -&gt; urn:effortless:pko-extension#AppRoleProfile</v>
      </c>
      <c r="C34" s="2" t="s">
        <v>1849</v>
      </c>
      <c r="D34" s="2" t="s">
        <v>1743</v>
      </c>
      <c r="E34" s="2" t="s">
        <v>1850</v>
      </c>
      <c r="F34" s="2" t="s">
        <v>1832</v>
      </c>
      <c r="G34" s="2" t="s">
        <v>85</v>
      </c>
      <c r="H34" s="2" t="s">
        <v>1851</v>
      </c>
    </row>
    <row r="35">
      <c r="A35" s="2" t="s">
        <v>1852</v>
      </c>
      <c r="B35" s="3" t="str">
        <f>C35 &amp; " -&gt; " &amp; E35</f>
        <v>AppNavGroups -&gt; urn:effortless:pko-extension#AppNavGroup</v>
      </c>
      <c r="C35" s="2" t="s">
        <v>1853</v>
      </c>
      <c r="D35" s="2" t="s">
        <v>1743</v>
      </c>
      <c r="E35" s="2" t="s">
        <v>1854</v>
      </c>
      <c r="F35" s="2" t="s">
        <v>1832</v>
      </c>
      <c r="G35" s="2" t="s">
        <v>85</v>
      </c>
      <c r="H35" s="2" t="s">
        <v>1855</v>
      </c>
    </row>
    <row r="36">
      <c r="A36" s="2" t="s">
        <v>1856</v>
      </c>
      <c r="B36" s="3" t="str">
        <f>C36 &amp; " -&gt; " &amp; E36</f>
        <v>AppRoutes -&gt; urn:effortless:pko-extension#AppRoute</v>
      </c>
      <c r="C36" s="2" t="s">
        <v>1857</v>
      </c>
      <c r="D36" s="2" t="s">
        <v>1743</v>
      </c>
      <c r="E36" s="2" t="s">
        <v>1858</v>
      </c>
      <c r="F36" s="2" t="s">
        <v>1832</v>
      </c>
      <c r="G36" s="2" t="s">
        <v>85</v>
      </c>
      <c r="H36" s="2" t="s">
        <v>1859</v>
      </c>
    </row>
    <row r="37">
      <c r="A37" s="2" t="s">
        <v>1860</v>
      </c>
      <c r="B37" s="3" t="str">
        <f>C37 &amp; " -&gt; " &amp; E37</f>
        <v>AppRouteQuestions -&gt; urn:effortless:pko-extension#AppRouteQuestion</v>
      </c>
      <c r="C37" s="2" t="s">
        <v>1861</v>
      </c>
      <c r="D37" s="2" t="s">
        <v>1743</v>
      </c>
      <c r="E37" s="2" t="s">
        <v>1862</v>
      </c>
      <c r="F37" s="2" t="s">
        <v>1832</v>
      </c>
      <c r="G37" s="2" t="s">
        <v>85</v>
      </c>
      <c r="H37" s="2" t="s">
        <v>1863</v>
      </c>
    </row>
    <row r="38">
      <c r="A38" s="2" t="s">
        <v>1864</v>
      </c>
      <c r="B38" s="3" t="str">
        <f>C38 &amp; " -&gt; " &amp; E38</f>
        <v>AppRouteReferences -&gt; urn:effortless:pko-extension#AppRouteReference</v>
      </c>
      <c r="C38" s="2" t="s">
        <v>1865</v>
      </c>
      <c r="D38" s="2" t="s">
        <v>1743</v>
      </c>
      <c r="E38" s="2" t="s">
        <v>1866</v>
      </c>
      <c r="F38" s="2" t="s">
        <v>1832</v>
      </c>
      <c r="G38" s="2" t="s">
        <v>85</v>
      </c>
      <c r="H38" s="2" t="s">
        <v>1867</v>
      </c>
    </row>
    <row r="39">
      <c r="A39" s="2" t="s">
        <v>1868</v>
      </c>
      <c r="B39" s="3" t="str">
        <f>C39 &amp; " -&gt; " &amp; E39</f>
        <v>ProcessMiningRuns -&gt; urn:effortless:pko-extension#ProcessMiningRun</v>
      </c>
      <c r="C39" s="2" t="s">
        <v>1869</v>
      </c>
      <c r="D39" s="2" t="s">
        <v>1743</v>
      </c>
      <c r="E39" s="2" t="s">
        <v>1870</v>
      </c>
      <c r="F39" s="2" t="s">
        <v>1832</v>
      </c>
      <c r="G39" s="2" t="s">
        <v>85</v>
      </c>
      <c r="H39" s="2" t="s">
        <v>1871</v>
      </c>
    </row>
    <row r="40">
      <c r="A40" s="2" t="s">
        <v>1872</v>
      </c>
      <c r="B40" s="3" t="str">
        <f>C40 &amp; " -&gt; " &amp; E40</f>
        <v>Vocabularies -&gt; urn:effortless:pko-extension#Vocabulary</v>
      </c>
      <c r="C40" s="2" t="s">
        <v>1873</v>
      </c>
      <c r="D40" s="2" t="s">
        <v>1743</v>
      </c>
      <c r="E40" s="2" t="s">
        <v>1874</v>
      </c>
      <c r="F40" s="2" t="s">
        <v>1832</v>
      </c>
      <c r="G40" s="2" t="s">
        <v>85</v>
      </c>
      <c r="H40" s="2" t="s">
        <v>1875</v>
      </c>
    </row>
    <row r="41">
      <c r="A41" s="2" t="s">
        <v>1876</v>
      </c>
      <c r="B41" s="3" t="str">
        <f>C41 &amp; " -&gt; " &amp; E41</f>
        <v>VocabularyTerms -&gt; urn:effortless:pko-extension#VocabularyTerm</v>
      </c>
      <c r="C41" s="2" t="s">
        <v>1877</v>
      </c>
      <c r="D41" s="2" t="s">
        <v>1743</v>
      </c>
      <c r="E41" s="2" t="s">
        <v>1878</v>
      </c>
      <c r="F41" s="2" t="s">
        <v>1832</v>
      </c>
      <c r="G41" s="2" t="s">
        <v>85</v>
      </c>
      <c r="H41" s="2" t="s">
        <v>1879</v>
      </c>
    </row>
    <row r="42">
      <c r="A42" s="2" t="s">
        <v>1880</v>
      </c>
      <c r="B42" s="3" t="str">
        <f>C42 &amp; " -&gt; " &amp; E42</f>
        <v>KnowledgeBrokerLinks -&gt; urn:effortless:pko-extension#KnowledgeBrokerLink</v>
      </c>
      <c r="C42" s="2" t="s">
        <v>1881</v>
      </c>
      <c r="D42" s="2" t="s">
        <v>1743</v>
      </c>
      <c r="E42" s="2" t="s">
        <v>1882</v>
      </c>
      <c r="F42" s="2" t="s">
        <v>1832</v>
      </c>
      <c r="G42" s="2" t="s">
        <v>85</v>
      </c>
      <c r="H42" s="2" t="s">
        <v>1883</v>
      </c>
    </row>
    <row r="43">
      <c r="A43" s="2" t="s">
        <v>1884</v>
      </c>
      <c r="B43" s="3" t="str">
        <f>C43 &amp; " -&gt; " &amp; E43</f>
        <v>ConformanceSubstrates -&gt; urn:effortless:pko-extension#ConformanceSubstrate</v>
      </c>
      <c r="C43" s="2" t="s">
        <v>1885</v>
      </c>
      <c r="D43" s="2" t="s">
        <v>1743</v>
      </c>
      <c r="E43" s="2" t="s">
        <v>1886</v>
      </c>
      <c r="F43" s="2" t="s">
        <v>1832</v>
      </c>
      <c r="G43" s="2" t="s">
        <v>85</v>
      </c>
      <c r="H43" s="2" t="s">
        <v>1887</v>
      </c>
    </row>
    <row r="44">
      <c r="A44" s="2" t="s">
        <v>1888</v>
      </c>
      <c r="B44" s="3" t="str">
        <f>C44 &amp; " -&gt; " &amp; E44</f>
        <v>ConformanceRuns -&gt; urn:effortless:pko-extension#ConformanceRun</v>
      </c>
      <c r="C44" s="2" t="s">
        <v>1889</v>
      </c>
      <c r="D44" s="2" t="s">
        <v>1743</v>
      </c>
      <c r="E44" s="2" t="s">
        <v>1890</v>
      </c>
      <c r="F44" s="2" t="s">
        <v>1832</v>
      </c>
      <c r="G44" s="2" t="s">
        <v>85</v>
      </c>
      <c r="H44" s="2" t="s">
        <v>1891</v>
      </c>
    </row>
    <row r="45">
      <c r="A45" s="2" t="s">
        <v>1892</v>
      </c>
      <c r="B45" s="3" t="str">
        <f>C45 &amp; " -&gt; " &amp; E45</f>
        <v>SubstrateRunScores -&gt; urn:effortless:pko-extension#SubstrateRunScore</v>
      </c>
      <c r="C45" s="2" t="s">
        <v>1893</v>
      </c>
      <c r="D45" s="2" t="s">
        <v>1743</v>
      </c>
      <c r="E45" s="2" t="s">
        <v>1894</v>
      </c>
      <c r="F45" s="2" t="s">
        <v>1832</v>
      </c>
      <c r="G45" s="2" t="s">
        <v>85</v>
      </c>
      <c r="H45" s="2" t="s">
        <v>1895</v>
      </c>
    </row>
    <row r="46">
      <c r="A46" s="2" t="s">
        <v>1896</v>
      </c>
      <c r="B46" s="3" t="str">
        <f>C46 &amp; " -&gt; " &amp; E46</f>
        <v>TableConformance -&gt; urn:effortless:pko-extension#TableConformance</v>
      </c>
      <c r="C46" s="2" t="s">
        <v>1897</v>
      </c>
      <c r="D46" s="2" t="s">
        <v>1743</v>
      </c>
      <c r="E46" s="2" t="s">
        <v>1898</v>
      </c>
      <c r="F46" s="2" t="s">
        <v>1832</v>
      </c>
      <c r="G46" s="2" t="s">
        <v>85</v>
      </c>
      <c r="H46" s="2" t="s">
        <v>1899</v>
      </c>
    </row>
    <row r="47">
      <c r="A47" s="2" t="s">
        <v>1900</v>
      </c>
      <c r="B47" s="3" t="str">
        <f>C47 &amp; " -&gt; " &amp; E47</f>
        <v>FieldDisagreements -&gt; urn:effortless:pko-extension#FieldDisagreement</v>
      </c>
      <c r="C47" s="2" t="s">
        <v>1901</v>
      </c>
      <c r="D47" s="2" t="s">
        <v>1743</v>
      </c>
      <c r="E47" s="2" t="s">
        <v>1902</v>
      </c>
      <c r="F47" s="2" t="s">
        <v>1832</v>
      </c>
      <c r="G47" s="2" t="s">
        <v>85</v>
      </c>
      <c r="H47" s="2" t="s">
        <v>1903</v>
      </c>
    </row>
    <row r="48">
      <c r="A48" s="2" t="s">
        <v>1904</v>
      </c>
      <c r="B48" s="3" t="str">
        <f>C48 &amp; " -&gt; " &amp; E48</f>
        <v>CellDisagreements -&gt; urn:effortless:pko-extension#CellDisagreement</v>
      </c>
      <c r="C48" s="2" t="s">
        <v>1905</v>
      </c>
      <c r="D48" s="2" t="s">
        <v>1743</v>
      </c>
      <c r="E48" s="2" t="s">
        <v>1906</v>
      </c>
      <c r="F48" s="2" t="s">
        <v>1832</v>
      </c>
      <c r="G48" s="2" t="s">
        <v>85</v>
      </c>
      <c r="H48" s="2" t="s">
        <v>1907</v>
      </c>
    </row>
  </sheetData>
  <autoFilter ref="A1:H1"/>
  <headerFooter/>
  <legacyDrawing r:id="rId1"/>
</worksheet>
</file>

<file path=xl/worksheets/sheet5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17.443378448486328" customWidth="1"/>
    <col min="2" max="2" width="80.83112335205078" customWidth="1"/>
    <col min="3" max="3" width="17.443378448486328" customWidth="1"/>
    <col min="4" max="4" width="72.85804748535156" customWidth="1"/>
    <col min="5" max="5" width="256" customWidth="1"/>
    <col min="6" max="6" width="24.629854202270508" customWidth="1"/>
    <col min="7" max="7" width="24.629854202270508" customWidth="1"/>
    <col min="8" max="8" width="17.443378448486328" customWidth="1"/>
    <col min="9" max="9" width="17.443378448486328" customWidth="1"/>
    <col min="10" max="10" width="17.443378448486328" customWidth="1"/>
    <col min="11" max="11" width="17.443378448486328" customWidth="1"/>
    <col min="12" max="12" width="17.443378448486328" customWidth="1"/>
    <col min="13" max="13" width="40.38935089111328" customWidth="1"/>
  </cols>
  <sheetData>
    <row r="1">
      <c r="A1" s="1" t="s">
        <v>1908</v>
      </c>
      <c r="B1" s="1" t="s">
        <v>1</v>
      </c>
      <c r="C1" s="1" t="s">
        <v>1909</v>
      </c>
      <c r="D1" s="1" t="s">
        <v>358</v>
      </c>
      <c r="E1" s="1" t="s">
        <v>1910</v>
      </c>
      <c r="F1" s="1" t="s">
        <v>1060</v>
      </c>
      <c r="G1" s="1" t="s">
        <v>1911</v>
      </c>
      <c r="H1" s="1" t="s">
        <v>1912</v>
      </c>
      <c r="I1" s="1" t="s">
        <v>1913</v>
      </c>
      <c r="J1" s="1" t="s">
        <v>1914</v>
      </c>
      <c r="K1" s="1" t="s">
        <v>1915</v>
      </c>
      <c r="L1" s="1" t="s">
        <v>1916</v>
      </c>
      <c r="M1" s="1" t="s">
        <v>94</v>
      </c>
    </row>
    <row r="2">
      <c r="A2" s="2" t="s">
        <v>1917</v>
      </c>
      <c r="B2" s="3" t="str">
        <f>"Loop " &amp; C2 &amp; ": " &amp; D2</f>
        <v>Loop 1: The founding questions</v>
      </c>
      <c r="C2" s="2">
        <v>1</v>
      </c>
      <c r="D2" s="2" t="s">
        <v>1918</v>
      </c>
      <c r="E2" s="2" t="s">
        <v>1919</v>
      </c>
      <c r="F2" s="4">
        <v>46222.916666666664</v>
      </c>
      <c r="G2" s="4">
        <v>46223.020833333336</v>
      </c>
      <c r="H2" s="3">
        <f>COUNTIFS(RoleQuestions!D2:D999, A2)</f>
        <v>60</v>
      </c>
      <c r="I2" s="3" t="b">
        <f>G2 &lt;&gt; ""</f>
        <v>1</v>
      </c>
      <c r="J2" s="2">
        <v>1096</v>
      </c>
      <c r="K2" s="2">
        <v>559</v>
      </c>
      <c r="L2" s="2">
        <v>462</v>
      </c>
      <c r="M2" s="2" t="s">
        <v>1920</v>
      </c>
    </row>
    <row r="3">
      <c r="A3" s="2" t="s">
        <v>1921</v>
      </c>
      <c r="B3" s="3" t="str">
        <f>"Loop " &amp; C3 &amp; ": " &amp; D3</f>
        <v>Loop 2: Questions only loop 1 made askable</v>
      </c>
      <c r="C3" s="2">
        <v>2</v>
      </c>
      <c r="D3" s="2" t="s">
        <v>1922</v>
      </c>
      <c r="E3" s="2" t="s">
        <v>1923</v>
      </c>
      <c r="F3" s="4">
        <v>46223.03125</v>
      </c>
      <c r="G3" s="4">
        <v>46223.0625</v>
      </c>
      <c r="H3" s="3">
        <f>COUNTIFS(RoleQuestions!D2:D999, A3)</f>
        <v>45</v>
      </c>
      <c r="I3" s="3" t="b">
        <f>G3 &lt;&gt; ""</f>
        <v>1</v>
      </c>
      <c r="J3" s="2">
        <v>1479</v>
      </c>
      <c r="K3" s="2">
        <v>906</v>
      </c>
      <c r="L3" s="2">
        <v>836</v>
      </c>
      <c r="M3" s="2" t="s">
        <v>1920</v>
      </c>
    </row>
    <row r="4">
      <c r="A4" s="2" t="s">
        <v>1924</v>
      </c>
      <c r="B4" s="3" t="str">
        <f>"Loop " &amp; C4 &amp; ": " &amp; D4</f>
        <v>Loop 3: Loop 3: the three gaps the source articles named and the model didn't have</v>
      </c>
      <c r="C4" s="2">
        <v>3</v>
      </c>
      <c r="D4" s="2" t="s">
        <v>1925</v>
      </c>
      <c r="E4" s="2" t="s">
        <v>1926</v>
      </c>
      <c r="F4" s="4"/>
      <c r="G4" s="4"/>
      <c r="H4" s="3">
        <f>COUNTIFS(RoleQuestions!D2:D999, A4)</f>
        <v>3</v>
      </c>
      <c r="I4" s="3" t="b">
        <f>G4 &lt;&gt; ""</f>
        <v>0</v>
      </c>
      <c r="J4" s="2">
        <v>1771</v>
      </c>
      <c r="K4" s="2">
        <v>1033</v>
      </c>
      <c r="L4" s="2">
        <v>900</v>
      </c>
      <c r="M4" s="2" t="s">
        <v>1920</v>
      </c>
    </row>
  </sheetData>
  <autoFilter ref="A1:M1"/>
  <headerFooter/>
  <legacyDrawing r:id="rId1"/>
</worksheet>
</file>

<file path=xl/worksheets/sheet5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10"/>
  <sheetViews>
    <sheetView workbookViewId="0">
      <pane ySplit="1" topLeftCell="A2" state="frozen" activePane="bottomLeft"/>
      <selection pane="bottomLeft" activeCell="A1" sqref="A1"/>
    </sheetView>
  </sheetViews>
  <sheetFormatPr defaultRowHeight="15"/>
  <cols>
    <col min="1" max="1" width="53.72490310668945" customWidth="1"/>
    <col min="2" max="2" width="87.91703796386719" customWidth="1"/>
    <col min="3" max="3" width="25.59624671936035" customWidth="1"/>
    <col min="4" max="4" width="17.443378448486328" customWidth="1"/>
    <col min="5" max="5" width="256" customWidth="1"/>
    <col min="6" max="6" width="256" customWidth="1"/>
    <col min="7" max="7" width="162.82606506347656" customWidth="1"/>
    <col min="8" max="8" width="17.443378448486328" customWidth="1"/>
    <col min="9" max="9" width="17.443378448486328" customWidth="1"/>
    <col min="10" max="10" width="256" customWidth="1"/>
    <col min="11" max="11" width="41.06734085083008" customWidth="1"/>
  </cols>
  <sheetData>
    <row r="1">
      <c r="A1" s="1" t="s">
        <v>1927</v>
      </c>
      <c r="B1" s="1" t="s">
        <v>1</v>
      </c>
      <c r="C1" s="1" t="s">
        <v>1928</v>
      </c>
      <c r="D1" s="1" t="s">
        <v>1929</v>
      </c>
      <c r="E1" s="1" t="s">
        <v>1538</v>
      </c>
      <c r="F1" s="1" t="s">
        <v>1930</v>
      </c>
      <c r="G1" s="1" t="s">
        <v>1931</v>
      </c>
      <c r="H1" s="1" t="s">
        <v>1932</v>
      </c>
      <c r="I1" s="1" t="s">
        <v>1933</v>
      </c>
      <c r="J1" s="1" t="s">
        <v>1934</v>
      </c>
      <c r="K1" s="1" t="s">
        <v>94</v>
      </c>
    </row>
    <row r="2">
      <c r="A2" s="2" t="s">
        <v>1935</v>
      </c>
      <c r="B2" s="3" t="str">
        <f>C2 &amp; ": " &amp; LEFT(E2, 60)</f>
        <v>finance-analyst: On the steps I personally executed, did any of them close ou</v>
      </c>
      <c r="C2" s="2" t="s">
        <v>203</v>
      </c>
      <c r="D2" s="2" t="s">
        <v>1917</v>
      </c>
      <c r="E2" s="2" t="s">
        <v>1936</v>
      </c>
      <c r="F2" s="2" t="s">
        <v>1937</v>
      </c>
      <c r="G2" s="2" t="b">
        <v>0</v>
      </c>
      <c r="H2" s="3">
        <f>COUNTIFS(RulebookFields!H2:H999, A2)</f>
        <v>7</v>
      </c>
      <c r="I2" s="3" t="b">
        <f>H2 &gt; 0</f>
        <v>1</v>
      </c>
      <c r="J2" s="2" t="s">
        <v>1938</v>
      </c>
      <c r="K2" s="2" t="s">
        <v>1939</v>
      </c>
    </row>
    <row r="3">
      <c r="A3" s="2" t="s">
        <v>1940</v>
      </c>
      <c r="B3" s="3" t="str">
        <f>C3 &amp; ": " &amp; LEFT(E3, 60)</f>
        <v>finance-analyst: Which blocking requirements were attached to a step I ran bu</v>
      </c>
      <c r="C3" s="2" t="s">
        <v>203</v>
      </c>
      <c r="D3" s="2" t="s">
        <v>1917</v>
      </c>
      <c r="E3" s="2" t="s">
        <v>1941</v>
      </c>
      <c r="F3" s="2" t="s">
        <v>1942</v>
      </c>
      <c r="G3" s="2" t="b">
        <v>0</v>
      </c>
      <c r="H3" s="3">
        <f>COUNTIFS(RulebookFields!H2:H999, A3)</f>
        <v>8</v>
      </c>
      <c r="I3" s="3" t="b">
        <f>H3 &gt; 0</f>
        <v>1</v>
      </c>
      <c r="J3" s="2" t="s">
        <v>1943</v>
      </c>
      <c r="K3" s="2" t="s">
        <v>1939</v>
      </c>
    </row>
    <row r="4">
      <c r="A4" s="2" t="s">
        <v>1944</v>
      </c>
      <c r="B4" s="3" t="str">
        <f>C4 &amp; ": " &amp; LEFT(E4, 60)</f>
        <v>finance-analyst: When I attested my reconciliation, was the underlying ledger</v>
      </c>
      <c r="C4" s="2" t="s">
        <v>203</v>
      </c>
      <c r="D4" s="2" t="s">
        <v>1917</v>
      </c>
      <c r="E4" s="2" t="s">
        <v>1945</v>
      </c>
      <c r="F4" s="2" t="s">
        <v>1946</v>
      </c>
      <c r="G4" s="2" t="b">
        <v>0</v>
      </c>
      <c r="H4" s="3">
        <f>COUNTIFS(RulebookFields!H2:H999, A4)</f>
        <v>6</v>
      </c>
      <c r="I4" s="3" t="b">
        <f>H4 &gt; 0</f>
        <v>1</v>
      </c>
      <c r="J4" s="2" t="s">
        <v>1947</v>
      </c>
      <c r="K4" s="2" t="s">
        <v>1939</v>
      </c>
    </row>
    <row r="5">
      <c r="A5" s="2" t="s">
        <v>1948</v>
      </c>
      <c r="B5" s="3" t="str">
        <f>C5 &amp; ": " &amp; LEFT(E5, 60)</f>
        <v>finance-analyst: Which of my steps ran long without anybody recording why — a</v>
      </c>
      <c r="C5" s="2" t="s">
        <v>203</v>
      </c>
      <c r="D5" s="2" t="s">
        <v>1917</v>
      </c>
      <c r="E5" s="2" t="s">
        <v>1949</v>
      </c>
      <c r="F5" s="2" t="s">
        <v>1950</v>
      </c>
      <c r="G5" s="2" t="b">
        <v>0</v>
      </c>
      <c r="H5" s="3">
        <f>COUNTIFS(RulebookFields!H2:H999, A5)</f>
        <v>6</v>
      </c>
      <c r="I5" s="3" t="b">
        <f>H5 &gt; 0</f>
        <v>1</v>
      </c>
      <c r="J5" s="2" t="s">
        <v>1951</v>
      </c>
      <c r="K5" s="2" t="s">
        <v>1939</v>
      </c>
    </row>
    <row r="6">
      <c r="A6" s="2" t="s">
        <v>1952</v>
      </c>
      <c r="B6" s="3" t="str">
        <f>C6 &amp; ": " &amp; LEFT(E6, 60)</f>
        <v>finance-analyst: For every step I ran that had a declared verification, did a</v>
      </c>
      <c r="C6" s="2" t="s">
        <v>203</v>
      </c>
      <c r="D6" s="2" t="s">
        <v>1917</v>
      </c>
      <c r="E6" s="2" t="s">
        <v>1953</v>
      </c>
      <c r="F6" s="2" t="s">
        <v>1954</v>
      </c>
      <c r="G6" s="2" t="b">
        <v>0</v>
      </c>
      <c r="H6" s="3">
        <f>COUNTIFS(RulebookFields!H2:H999, A6)</f>
        <v>6</v>
      </c>
      <c r="I6" s="3" t="b">
        <f>H6 &gt; 0</f>
        <v>1</v>
      </c>
      <c r="J6" s="2" t="s">
        <v>1955</v>
      </c>
      <c r="K6" s="2" t="s">
        <v>1939</v>
      </c>
    </row>
    <row r="7">
      <c r="A7" s="2" t="s">
        <v>1956</v>
      </c>
      <c r="B7" s="3" t="str">
        <f>C7 &amp; ": " &amp; LEFT(E7, 60)</f>
        <v>controller: Did the same agent both prepare and approve any part of this</v>
      </c>
      <c r="C7" s="2" t="s">
        <v>208</v>
      </c>
      <c r="D7" s="2" t="s">
        <v>1917</v>
      </c>
      <c r="E7" s="2" t="s">
        <v>1957</v>
      </c>
      <c r="F7" s="2" t="s">
        <v>1958</v>
      </c>
      <c r="G7" s="2" t="b">
        <v>0</v>
      </c>
      <c r="H7" s="3">
        <f>COUNTIFS(RulebookFields!H2:H999, A7)</f>
        <v>8</v>
      </c>
      <c r="I7" s="3" t="b">
        <f>H7 &gt; 0</f>
        <v>1</v>
      </c>
      <c r="J7" s="2" t="s">
        <v>1959</v>
      </c>
      <c r="K7" s="2" t="s">
        <v>1939</v>
      </c>
    </row>
    <row r="8">
      <c r="A8" s="2" t="s">
        <v>1960</v>
      </c>
      <c r="B8" s="3" t="str">
        <f>C8 &amp; ": " &amp; LEFT(E8, 60)</f>
        <v>controller: Every approval on this close — was it given by an agent who </v>
      </c>
      <c r="C8" s="2" t="s">
        <v>208</v>
      </c>
      <c r="D8" s="2" t="s">
        <v>1917</v>
      </c>
      <c r="E8" s="2" t="s">
        <v>1961</v>
      </c>
      <c r="F8" s="2" t="s">
        <v>1962</v>
      </c>
      <c r="G8" s="2" t="b">
        <v>0</v>
      </c>
      <c r="H8" s="3">
        <f>COUNTIFS(RulebookFields!H2:H999, A8)</f>
        <v>7</v>
      </c>
      <c r="I8" s="3" t="b">
        <f>H8 &gt; 0</f>
        <v>1</v>
      </c>
      <c r="J8" s="2" t="s">
        <v>1963</v>
      </c>
      <c r="K8" s="2" t="s">
        <v>1939</v>
      </c>
    </row>
    <row r="9">
      <c r="A9" s="2" t="s">
        <v>1964</v>
      </c>
      <c r="B9" s="3" t="str">
        <f>C9 &amp; ": " &amp; LEFT(E9, 60)</f>
        <v>controller: Which of my blocking close controls are structurally incapab</v>
      </c>
      <c r="C9" s="2" t="s">
        <v>208</v>
      </c>
      <c r="D9" s="2" t="s">
        <v>1917</v>
      </c>
      <c r="E9" s="2" t="s">
        <v>1965</v>
      </c>
      <c r="F9" s="2" t="s">
        <v>1966</v>
      </c>
      <c r="G9" s="2" t="b">
        <v>0</v>
      </c>
      <c r="H9" s="3">
        <f>COUNTIFS(RulebookFields!H2:H999, A9)</f>
        <v>8</v>
      </c>
      <c r="I9" s="3" t="b">
        <f>H9 &gt; 0</f>
        <v>1</v>
      </c>
      <c r="J9" s="2" t="s">
        <v>1967</v>
      </c>
      <c r="K9" s="2" t="s">
        <v>1939</v>
      </c>
    </row>
    <row r="10">
      <c r="A10" s="2" t="s">
        <v>1968</v>
      </c>
      <c r="B10" s="3" t="str">
        <f>C10 &amp; ": " &amp; LEFT(E10, 60)</f>
        <v>controller: Give me one number per close: did exec-close-2026-q2 actuall</v>
      </c>
      <c r="C10" s="2" t="s">
        <v>208</v>
      </c>
      <c r="D10" s="2" t="s">
        <v>1917</v>
      </c>
      <c r="E10" s="2" t="s">
        <v>1969</v>
      </c>
      <c r="F10" s="2" t="s">
        <v>1970</v>
      </c>
      <c r="G10" s="2" t="b">
        <v>0</v>
      </c>
      <c r="H10" s="3">
        <f>COUNTIFS(RulebookFields!H2:H999, A10)</f>
        <v>10</v>
      </c>
      <c r="I10" s="3" t="b">
        <f>H10 &gt; 0</f>
        <v>1</v>
      </c>
      <c r="J10" s="2" t="s">
        <v>1971</v>
      </c>
      <c r="K10" s="2" t="s">
        <v>1939</v>
      </c>
    </row>
    <row r="11">
      <c r="A11" s="2" t="s">
        <v>1972</v>
      </c>
      <c r="B11" s="3" t="str">
        <f>C11 &amp; ": " &amp; LEFT(E11, 60)</f>
        <v>controller: Did any AI agent or automated pipeline execute a step that r</v>
      </c>
      <c r="C11" s="2" t="s">
        <v>208</v>
      </c>
      <c r="D11" s="2" t="s">
        <v>1917</v>
      </c>
      <c r="E11" s="2" t="s">
        <v>1973</v>
      </c>
      <c r="F11" s="2" t="s">
        <v>1974</v>
      </c>
      <c r="G11" s="2" t="b">
        <v>0</v>
      </c>
      <c r="H11" s="3">
        <f>COUNTIFS(RulebookFields!H2:H999, A11)</f>
        <v>7</v>
      </c>
      <c r="I11" s="3" t="b">
        <f>H11 &gt; 0</f>
        <v>1</v>
      </c>
      <c r="J11" s="2" t="s">
        <v>1975</v>
      </c>
      <c r="K11" s="2" t="s">
        <v>1939</v>
      </c>
    </row>
    <row r="12">
      <c r="A12" s="2" t="s">
        <v>1976</v>
      </c>
      <c r="B12" s="3" t="str">
        <f>C12 &amp; ": " &amp; LEFT(E12, 60)</f>
        <v>cfo: Can I sign the attestation for exec-close-2026-q2 — yes or n</v>
      </c>
      <c r="C12" s="2" t="s">
        <v>212</v>
      </c>
      <c r="D12" s="2" t="s">
        <v>1917</v>
      </c>
      <c r="E12" s="2" t="s">
        <v>1977</v>
      </c>
      <c r="F12" s="2" t="s">
        <v>1978</v>
      </c>
      <c r="G12" s="2" t="b">
        <v>0</v>
      </c>
      <c r="H12" s="3">
        <f>COUNTIFS(RulebookFields!H2:H999, A12)</f>
        <v>8</v>
      </c>
      <c r="I12" s="3" t="b">
        <f>H12 &gt; 0</f>
        <v>1</v>
      </c>
      <c r="J12" s="2" t="s">
        <v>1979</v>
      </c>
      <c r="K12" s="2" t="s">
        <v>1939</v>
      </c>
    </row>
    <row r="13">
      <c r="A13" s="2" t="s">
        <v>1980</v>
      </c>
      <c r="B13" s="3" t="str">
        <f>C13 &amp; ": " &amp; LEFT(E13, 60)</f>
        <v>cfo: Am I being asked to approve an execution of a procedure vers</v>
      </c>
      <c r="C13" s="2" t="s">
        <v>212</v>
      </c>
      <c r="D13" s="2" t="s">
        <v>1917</v>
      </c>
      <c r="E13" s="2" t="s">
        <v>1981</v>
      </c>
      <c r="F13" s="2" t="s">
        <v>1982</v>
      </c>
      <c r="G13" s="2" t="b">
        <v>0</v>
      </c>
      <c r="H13" s="3">
        <f>COUNTIFS(RulebookFields!H2:H999, A13)</f>
        <v>9</v>
      </c>
      <c r="I13" s="3" t="b">
        <f>H13 &gt; 0</f>
        <v>1</v>
      </c>
      <c r="J13" s="2" t="s">
        <v>1983</v>
      </c>
      <c r="K13" s="2" t="s">
        <v>1939</v>
      </c>
    </row>
    <row r="14">
      <c r="A14" s="2" t="s">
        <v>1984</v>
      </c>
      <c r="B14" s="3" t="str">
        <f>C14 &amp; ": " &amp; LEFT(E14, 60)</f>
        <v>cfo: My own approval on se-close06 — is there anything behind it </v>
      </c>
      <c r="C14" s="2" t="s">
        <v>212</v>
      </c>
      <c r="D14" s="2" t="s">
        <v>1917</v>
      </c>
      <c r="E14" s="2" t="s">
        <v>1985</v>
      </c>
      <c r="F14" s="2" t="s">
        <v>1986</v>
      </c>
      <c r="G14" s="2" t="b">
        <v>0</v>
      </c>
      <c r="H14" s="3">
        <f>COUNTIFS(RulebookFields!H2:H999, A14)</f>
        <v>3</v>
      </c>
      <c r="I14" s="3" t="b">
        <f>H14 &gt; 0</f>
        <v>1</v>
      </c>
      <c r="J14" s="2" t="s">
        <v>1987</v>
      </c>
      <c r="K14" s="2" t="s">
        <v>1939</v>
      </c>
    </row>
    <row r="15">
      <c r="A15" s="2" t="s">
        <v>1988</v>
      </c>
      <c r="B15" s="3" t="str">
        <f>C15 &amp; ": " &amp; LEFT(E15, 60)</f>
        <v>cfo: For every approval in this close, tell me the human who was </v>
      </c>
      <c r="C15" s="2" t="s">
        <v>212</v>
      </c>
      <c r="D15" s="2" t="s">
        <v>1917</v>
      </c>
      <c r="E15" s="2" t="s">
        <v>1989</v>
      </c>
      <c r="F15" s="2" t="s">
        <v>1990</v>
      </c>
      <c r="G15" s="2" t="b">
        <v>0</v>
      </c>
      <c r="H15" s="3">
        <f>COUNTIFS(RulebookFields!H2:H999, A15)</f>
        <v>2</v>
      </c>
      <c r="I15" s="3" t="b">
        <f>H15 &gt; 0</f>
        <v>1</v>
      </c>
      <c r="J15" s="2" t="s">
        <v>1991</v>
      </c>
      <c r="K15" s="2" t="s">
        <v>1939</v>
      </c>
    </row>
    <row r="16">
      <c r="A16" s="2" t="s">
        <v>1992</v>
      </c>
      <c r="B16" s="3" t="str">
        <f>C16 &amp; ": " &amp; LEFT(E16, 60)</f>
        <v>cfo: Across everything I am signing, is there any control claim i</v>
      </c>
      <c r="C16" s="2" t="s">
        <v>212</v>
      </c>
      <c r="D16" s="2" t="s">
        <v>1917</v>
      </c>
      <c r="E16" s="2" t="s">
        <v>1993</v>
      </c>
      <c r="F16" s="2" t="s">
        <v>1994</v>
      </c>
      <c r="G16" s="2" t="b">
        <v>0</v>
      </c>
      <c r="H16" s="3">
        <f>COUNTIFS(RulebookFields!H2:H999, A16)</f>
        <v>8</v>
      </c>
      <c r="I16" s="3" t="b">
        <f>H16 &gt; 0</f>
        <v>1</v>
      </c>
      <c r="J16" s="2" t="s">
        <v>1995</v>
      </c>
      <c r="K16" s="2" t="s">
        <v>1939</v>
      </c>
    </row>
    <row r="17">
      <c r="A17" s="2" t="s">
        <v>1996</v>
      </c>
      <c r="B17" s="3" t="str">
        <f>C17 &amp; ": " &amp; LEFT(E17, 60)</f>
        <v>process-steward: For close-v1.1.0 I promised a 90-day review cadence and for </v>
      </c>
      <c r="C17" s="2" t="s">
        <v>244</v>
      </c>
      <c r="D17" s="2" t="s">
        <v>1917</v>
      </c>
      <c r="E17" s="2" t="s">
        <v>1997</v>
      </c>
      <c r="F17" s="2" t="s">
        <v>1998</v>
      </c>
      <c r="G17" s="2" t="b">
        <v>0</v>
      </c>
      <c r="H17" s="3">
        <f>COUNTIFS(RulebookFields!H2:H999, A17)</f>
        <v>8</v>
      </c>
      <c r="I17" s="3" t="b">
        <f>H17 &gt; 0</f>
        <v>1</v>
      </c>
      <c r="J17" s="2" t="s">
        <v>1999</v>
      </c>
      <c r="K17" s="2" t="s">
        <v>1939</v>
      </c>
    </row>
    <row r="18">
      <c r="A18" s="2" t="s">
        <v>2000</v>
      </c>
      <c r="B18" s="3" t="str">
        <f>C18 &amp; ": " &amp; LEFT(E18, 60)</f>
        <v>process-steward: Which procedure versions have no steward at all? close-v1.0.</v>
      </c>
      <c r="C18" s="2" t="s">
        <v>244</v>
      </c>
      <c r="D18" s="2" t="s">
        <v>1917</v>
      </c>
      <c r="E18" s="2" t="s">
        <v>2001</v>
      </c>
      <c r="F18" s="2" t="s">
        <v>2002</v>
      </c>
      <c r="G18" s="2" t="b">
        <v>0</v>
      </c>
      <c r="H18" s="3">
        <f>COUNTIFS(RulebookFields!H2:H999, A18)</f>
        <v>6</v>
      </c>
      <c r="I18" s="3" t="b">
        <f>H18 &gt; 0</f>
        <v>1</v>
      </c>
      <c r="J18" s="2" t="s">
        <v>2003</v>
      </c>
      <c r="K18" s="2" t="s">
        <v>1939</v>
      </c>
    </row>
    <row r="19">
      <c r="A19" s="2" t="s">
        <v>2004</v>
      </c>
      <c r="B19" s="3" t="str">
        <f>C19 &amp; ": " &amp; LEFT(E19, 60)</f>
        <v>process-steward: close-04-fallback-close-03 and policy-07-fallback-policy-06 </v>
      </c>
      <c r="C19" s="2" t="s">
        <v>244</v>
      </c>
      <c r="D19" s="2" t="s">
        <v>1917</v>
      </c>
      <c r="E19" s="2" t="s">
        <v>2005</v>
      </c>
      <c r="F19" s="2" t="s">
        <v>2006</v>
      </c>
      <c r="G19" s="2" t="b">
        <v>0</v>
      </c>
      <c r="H19" s="3">
        <f>COUNTIFS(RulebookFields!H2:H999, A19)</f>
        <v>11</v>
      </c>
      <c r="I19" s="3" t="b">
        <f>H19 &gt; 0</f>
        <v>1</v>
      </c>
      <c r="J19" s="2" t="s">
        <v>2007</v>
      </c>
      <c r="K19" s="2" t="s">
        <v>1939</v>
      </c>
    </row>
    <row r="20">
      <c r="A20" s="2" t="s">
        <v>2008</v>
      </c>
      <c r="B20" s="3" t="str">
        <f>C20 &amp; ": " &amp; LEFT(E20, 60)</f>
        <v>process-steward: Is any procedure version live with an Open BLOCKING knowledg</v>
      </c>
      <c r="C20" s="2" t="s">
        <v>244</v>
      </c>
      <c r="D20" s="2" t="s">
        <v>1917</v>
      </c>
      <c r="E20" s="2" t="s">
        <v>2009</v>
      </c>
      <c r="F20" s="2" t="s">
        <v>2010</v>
      </c>
      <c r="G20" s="2" t="b">
        <v>0</v>
      </c>
      <c r="H20" s="3">
        <f>COUNTIFS(RulebookFields!H2:H999, A20)</f>
        <v>6</v>
      </c>
      <c r="I20" s="3" t="b">
        <f>H20 &gt; 0</f>
        <v>1</v>
      </c>
      <c r="J20" s="2" t="s">
        <v>2011</v>
      </c>
      <c r="K20" s="2" t="s">
        <v>1939</v>
      </c>
    </row>
    <row r="21">
      <c r="A21" s="2" t="s">
        <v>2012</v>
      </c>
      <c r="B21" s="3" t="str">
        <f>C21 &amp; ": " &amp; LEFT(E21, 60)</f>
        <v>process-steward: cr-policy-delivery was requested on 2026-07-19 and has no De</v>
      </c>
      <c r="C21" s="2" t="s">
        <v>244</v>
      </c>
      <c r="D21" s="2" t="s">
        <v>1917</v>
      </c>
      <c r="E21" s="2" t="s">
        <v>2013</v>
      </c>
      <c r="F21" s="2" t="s">
        <v>2014</v>
      </c>
      <c r="G21" s="2" t="b">
        <v>0</v>
      </c>
      <c r="H21" s="3">
        <f>COUNTIFS(RulebookFields!H2:H999, A21)</f>
        <v>6</v>
      </c>
      <c r="I21" s="3" t="b">
        <f>H21 &gt; 0</f>
        <v>1</v>
      </c>
      <c r="J21" s="2" t="s">
        <v>2015</v>
      </c>
      <c r="K21" s="2" t="s">
        <v>1939</v>
      </c>
    </row>
    <row r="22">
      <c r="A22" s="2" t="s">
        <v>2016</v>
      </c>
      <c r="B22" s="3" t="str">
        <f>C22 &amp; ": " &amp; LEFT(E22, 60)</f>
        <v>knowledge-authority: kf-close-fx-time, kf-close-top-ten and kf-close-judgment all</v>
      </c>
      <c r="C22" s="2" t="s">
        <v>248</v>
      </c>
      <c r="D22" s="2" t="s">
        <v>1917</v>
      </c>
      <c r="E22" s="2" t="s">
        <v>2017</v>
      </c>
      <c r="F22" s="2" t="s">
        <v>2018</v>
      </c>
      <c r="G22" s="2" t="b">
        <v>0</v>
      </c>
      <c r="H22" s="3">
        <f>COUNTIFS(RulebookFields!H2:H999, A22)</f>
        <v>8</v>
      </c>
      <c r="I22" s="3" t="b">
        <f>H22 &gt; 0</f>
        <v>1</v>
      </c>
      <c r="J22" s="2" t="s">
        <v>2019</v>
      </c>
      <c r="K22" s="2" t="s">
        <v>1939</v>
      </c>
    </row>
    <row r="23">
      <c r="A23" s="2" t="s">
        <v>2020</v>
      </c>
      <c r="B23" s="3" t="str">
        <f>C23 &amp; ": " &amp; LEFT(E23, 60)</f>
        <v>knowledge-authority: kf-policy-manager-route is Status=Reviewed, not Approved, so</v>
      </c>
      <c r="C23" s="2" t="s">
        <v>248</v>
      </c>
      <c r="D23" s="2" t="s">
        <v>1917</v>
      </c>
      <c r="E23" s="2" t="s">
        <v>2021</v>
      </c>
      <c r="F23" s="2" t="s">
        <v>2022</v>
      </c>
      <c r="G23" s="2" t="b">
        <v>0</v>
      </c>
      <c r="H23" s="3">
        <f>COUNTIFS(RulebookFields!H2:H999, A23)</f>
        <v>8</v>
      </c>
      <c r="I23" s="3" t="b">
        <f>H23 &gt; 0</f>
        <v>1</v>
      </c>
      <c r="J23" s="2" t="s">
        <v>2023</v>
      </c>
      <c r="K23" s="2" t="s">
        <v>1939</v>
      </c>
    </row>
    <row r="24">
      <c r="A24" s="2" t="s">
        <v>2024</v>
      </c>
      <c r="B24" s="3" t="str">
        <f>C24 &amp; ": " &amp; LEFT(E24, 60)</f>
        <v>knowledge-authority: elicit-close-shadow ran on 2026-04-03 and elicit-policy-work</v>
      </c>
      <c r="C24" s="2" t="s">
        <v>248</v>
      </c>
      <c r="D24" s="2" t="s">
        <v>1917</v>
      </c>
      <c r="E24" s="2" t="s">
        <v>2025</v>
      </c>
      <c r="F24" s="2" t="s">
        <v>2026</v>
      </c>
      <c r="G24" s="2" t="b">
        <v>0</v>
      </c>
      <c r="H24" s="3">
        <f>COUNTIFS(RulebookFields!H2:H999, A24)</f>
        <v>8</v>
      </c>
      <c r="I24" s="3" t="b">
        <f>H24 &gt; 0</f>
        <v>1</v>
      </c>
      <c r="J24" s="2" t="s">
        <v>2027</v>
      </c>
      <c r="K24" s="2" t="s">
        <v>1939</v>
      </c>
    </row>
    <row r="25">
      <c r="A25" s="2" t="s">
        <v>2028</v>
      </c>
      <c r="B25" s="3" t="str">
        <f>C25 &amp; ": " &amp; LEFT(E25, 60)</f>
        <v>knowledge-authority: What do we know that we do not know? gap-policy-delivery-rec</v>
      </c>
      <c r="C25" s="2" t="s">
        <v>248</v>
      </c>
      <c r="D25" s="2" t="s">
        <v>1917</v>
      </c>
      <c r="E25" s="2" t="s">
        <v>2029</v>
      </c>
      <c r="F25" s="2" t="s">
        <v>2030</v>
      </c>
      <c r="G25" s="2" t="b">
        <v>0</v>
      </c>
      <c r="H25" s="3">
        <f>COUNTIFS(RulebookFields!H2:H999, A25)</f>
        <v>8</v>
      </c>
      <c r="I25" s="3" t="b">
        <f>H25 &gt; 0</f>
        <v>1</v>
      </c>
      <c r="J25" s="2" t="s">
        <v>2031</v>
      </c>
      <c r="K25" s="2" t="s">
        <v>1939</v>
      </c>
    </row>
    <row r="26">
      <c r="A26" s="2" t="s">
        <v>2032</v>
      </c>
      <c r="B26" s="3" t="str">
        <f>C26 &amp; ": " &amp; LEFT(E26, 60)</f>
        <v>knowledge-authority: cr-close-timestamp altered a blocking control on close-v1.1.</v>
      </c>
      <c r="C26" s="2" t="s">
        <v>248</v>
      </c>
      <c r="D26" s="2" t="s">
        <v>1917</v>
      </c>
      <c r="E26" s="2" t="s">
        <v>2033</v>
      </c>
      <c r="F26" s="2" t="s">
        <v>2034</v>
      </c>
      <c r="G26" s="2" t="b">
        <v>0</v>
      </c>
      <c r="H26" s="3">
        <f>COUNTIFS(RulebookFields!H2:H999, A26)</f>
        <v>8</v>
      </c>
      <c r="I26" s="3" t="b">
        <f>H26 &gt; 0</f>
        <v>1</v>
      </c>
      <c r="J26" s="2" t="s">
        <v>2035</v>
      </c>
      <c r="K26" s="2" t="s">
        <v>1939</v>
      </c>
    </row>
    <row r="27">
      <c r="A27" s="2" t="s">
        <v>2036</v>
      </c>
      <c r="B27" s="3" t="str">
        <f>C27 &amp; ": " &amp; LEFT(E27, 60)</f>
        <v>employment-counsel: Did we send an SMS to any recipient who had not given SMS co</v>
      </c>
      <c r="C27" s="2" t="s">
        <v>220</v>
      </c>
      <c r="D27" s="2" t="s">
        <v>1917</v>
      </c>
      <c r="E27" s="2" t="s">
        <v>2037</v>
      </c>
      <c r="F27" s="2" t="s">
        <v>2038</v>
      </c>
      <c r="G27" s="2" t="b">
        <v>0</v>
      </c>
      <c r="H27" s="3">
        <f>COUNTIFS(RulebookFields!H2:H999, A27)</f>
        <v>0</v>
      </c>
      <c r="I27" s="3" t="b">
        <f>H27 &gt; 0</f>
        <v>0</v>
      </c>
      <c r="J27" s="2" t="s">
        <v>2039</v>
      </c>
      <c r="K27" s="2" t="s">
        <v>1939</v>
      </c>
    </row>
    <row r="28">
      <c r="A28" s="2" t="s">
        <v>2040</v>
      </c>
      <c r="B28" s="3" t="str">
        <f>C28 &amp; ": " &amp; LEFT(E28, 60)</f>
        <v>employment-counsel: Did any SMS go out between 20:00 and 08:00 in the recipient'</v>
      </c>
      <c r="C28" s="2" t="s">
        <v>220</v>
      </c>
      <c r="D28" s="2" t="s">
        <v>1917</v>
      </c>
      <c r="E28" s="2" t="s">
        <v>2041</v>
      </c>
      <c r="F28" s="2" t="s">
        <v>2042</v>
      </c>
      <c r="G28" s="2" t="b">
        <v>0</v>
      </c>
      <c r="H28" s="3">
        <f>COUNTIFS(RulebookFields!H2:H999, A28)</f>
        <v>0</v>
      </c>
      <c r="I28" s="3" t="b">
        <f>H28 &gt; 0</f>
        <v>0</v>
      </c>
      <c r="J28" s="2" t="s">
        <v>2043</v>
      </c>
      <c r="K28" s="2" t="s">
        <v>1939</v>
      </c>
    </row>
    <row r="29">
      <c r="A29" s="2" t="s">
        <v>2044</v>
      </c>
      <c r="B29" s="3" t="str">
        <f>C29 &amp; ": " &amp; LEFT(E29, 60)</f>
        <v>employment-counsel: For every recipient we could not reach, did we correctly ref</v>
      </c>
      <c r="C29" s="2" t="s">
        <v>220</v>
      </c>
      <c r="D29" s="2" t="s">
        <v>1917</v>
      </c>
      <c r="E29" s="2" t="s">
        <v>2045</v>
      </c>
      <c r="F29" s="2" t="s">
        <v>2046</v>
      </c>
      <c r="G29" s="2" t="b">
        <v>0</v>
      </c>
      <c r="H29" s="3">
        <f>COUNTIFS(RulebookFields!H2:H999, A29)</f>
        <v>1</v>
      </c>
      <c r="I29" s="3" t="b">
        <f>H29 &gt; 0</f>
        <v>1</v>
      </c>
      <c r="J29" s="2" t="s">
        <v>2047</v>
      </c>
      <c r="K29" s="2" t="s">
        <v>1939</v>
      </c>
    </row>
    <row r="30">
      <c r="A30" s="2" t="s">
        <v>2048</v>
      </c>
      <c r="B30" s="3" t="str">
        <f>C30 &amp; ": " &amp; LEFT(E30, 60)</f>
        <v>employment-counsel: Do we still hold the exact text of every message we sent, fo</v>
      </c>
      <c r="C30" s="2" t="s">
        <v>220</v>
      </c>
      <c r="D30" s="2" t="s">
        <v>1917</v>
      </c>
      <c r="E30" s="2" t="s">
        <v>2049</v>
      </c>
      <c r="F30" s="2" t="s">
        <v>2050</v>
      </c>
      <c r="G30" s="2" t="b">
        <v>0</v>
      </c>
      <c r="H30" s="3">
        <f>COUNTIFS(RulebookFields!H2:H999, A30)</f>
        <v>1</v>
      </c>
      <c r="I30" s="3" t="b">
        <f>H30 &gt; 0</f>
        <v>1</v>
      </c>
      <c r="J30" s="2" t="s">
        <v>2051</v>
      </c>
      <c r="K30" s="2" t="s">
        <v>1939</v>
      </c>
    </row>
    <row r="31">
      <c r="A31" s="2" t="s">
        <v>2052</v>
      </c>
      <c r="B31" s="3" t="str">
        <f>C31 &amp; ": " &amp; LEFT(E31, 60)</f>
        <v>employment-counsel: Did any message go out before my legal review of the underly</v>
      </c>
      <c r="C31" s="2" t="s">
        <v>220</v>
      </c>
      <c r="D31" s="2" t="s">
        <v>1917</v>
      </c>
      <c r="E31" s="2" t="s">
        <v>2053</v>
      </c>
      <c r="F31" s="2" t="s">
        <v>2054</v>
      </c>
      <c r="G31" s="2" t="b">
        <v>0</v>
      </c>
      <c r="H31" s="3">
        <f>COUNTIFS(RulebookFields!H2:H999, A31)</f>
        <v>5</v>
      </c>
      <c r="I31" s="3" t="b">
        <f>H31 &gt; 0</f>
        <v>1</v>
      </c>
      <c r="J31" s="2" t="s">
        <v>2055</v>
      </c>
      <c r="K31" s="2" t="s">
        <v>1939</v>
      </c>
    </row>
    <row r="32">
      <c r="A32" s="2" t="s">
        <v>2056</v>
      </c>
      <c r="B32" s="3" t="str">
        <f>C32 &amp; ": " &amp; LEFT(E32, 60)</f>
        <v>communications-manager: Did any SMS we sent exceed 160 characters or split into more</v>
      </c>
      <c r="C32" s="2" t="s">
        <v>224</v>
      </c>
      <c r="D32" s="2" t="s">
        <v>1917</v>
      </c>
      <c r="E32" s="2" t="s">
        <v>2057</v>
      </c>
      <c r="F32" s="2" t="s">
        <v>2058</v>
      </c>
      <c r="G32" s="2" t="b">
        <v>0</v>
      </c>
      <c r="H32" s="3">
        <f>COUNTIFS(RulebookFields!H2:H999, A32)</f>
        <v>0</v>
      </c>
      <c r="I32" s="3" t="b">
        <f>H32 &gt; 0</f>
        <v>0</v>
      </c>
      <c r="J32" s="2" t="s">
        <v>2059</v>
      </c>
      <c r="K32" s="2" t="s">
        <v>1939</v>
      </c>
    </row>
    <row r="33">
      <c r="A33" s="2" t="s">
        <v>2060</v>
      </c>
      <c r="B33" s="3" t="str">
        <f>C33 &amp; ": " &amp; LEFT(E33, 60)</f>
        <v>communications-manager: Was every template we actually sent approved by me -- the Ap</v>
      </c>
      <c r="C33" s="2" t="s">
        <v>224</v>
      </c>
      <c r="D33" s="2" t="s">
        <v>1917</v>
      </c>
      <c r="E33" s="2" t="s">
        <v>2061</v>
      </c>
      <c r="F33" s="2" t="s">
        <v>2062</v>
      </c>
      <c r="G33" s="2" t="b">
        <v>0</v>
      </c>
      <c r="H33" s="3">
        <f>COUNTIFS(RulebookFields!H2:H999, A33)</f>
        <v>0</v>
      </c>
      <c r="I33" s="3" t="b">
        <f>H33 &gt; 0</f>
        <v>0</v>
      </c>
      <c r="J33" s="2" t="s">
        <v>2063</v>
      </c>
      <c r="K33" s="2" t="s">
        <v>1939</v>
      </c>
    </row>
    <row r="34">
      <c r="A34" s="2" t="s">
        <v>2064</v>
      </c>
      <c r="B34" s="3" t="str">
        <f>C34 &amp; ": " &amp; LEFT(E34, 60)</f>
        <v>communications-manager: Did every SMS we actually transmitted carry the approved opt</v>
      </c>
      <c r="C34" s="2" t="s">
        <v>224</v>
      </c>
      <c r="D34" s="2" t="s">
        <v>1917</v>
      </c>
      <c r="E34" s="2" t="s">
        <v>2065</v>
      </c>
      <c r="F34" s="2" t="s">
        <v>2066</v>
      </c>
      <c r="G34" s="2" t="b">
        <v>0</v>
      </c>
      <c r="H34" s="3">
        <f>COUNTIFS(RulebookFields!H2:H999, A34)</f>
        <v>0</v>
      </c>
      <c r="I34" s="3" t="b">
        <f>H34 &gt; 0</f>
        <v>0</v>
      </c>
      <c r="J34" s="2" t="s">
        <v>2067</v>
      </c>
      <c r="K34" s="2" t="s">
        <v>1939</v>
      </c>
    </row>
    <row r="35">
      <c r="A35" s="2" t="s">
        <v>2068</v>
      </c>
      <c r="B35" s="3" t="str">
        <f>C35 &amp; ": " &amp; LEFT(E35, 60)</f>
        <v>communications-manager: For this policy run, what fraction of the affected populatio</v>
      </c>
      <c r="C35" s="2" t="s">
        <v>224</v>
      </c>
      <c r="D35" s="2" t="s">
        <v>1917</v>
      </c>
      <c r="E35" s="2" t="s">
        <v>2069</v>
      </c>
      <c r="F35" s="2" t="s">
        <v>2070</v>
      </c>
      <c r="G35" s="2" t="b">
        <v>0</v>
      </c>
      <c r="H35" s="3">
        <f>COUNTIFS(RulebookFields!H2:H999, A35)</f>
        <v>4</v>
      </c>
      <c r="I35" s="3" t="b">
        <f>H35 &gt; 0</f>
        <v>1</v>
      </c>
      <c r="J35" s="2" t="s">
        <v>2071</v>
      </c>
      <c r="K35" s="2" t="s">
        <v>1939</v>
      </c>
    </row>
    <row r="36">
      <c r="A36" s="2" t="s">
        <v>2072</v>
      </c>
      <c r="B36" s="3" t="str">
        <f>C36 &amp; ": " &amp; LEFT(E36, 60)</f>
        <v>communications-manager: Has any template been edited since I approved it, and did we</v>
      </c>
      <c r="C36" s="2" t="s">
        <v>224</v>
      </c>
      <c r="D36" s="2" t="s">
        <v>1917</v>
      </c>
      <c r="E36" s="2" t="s">
        <v>2073</v>
      </c>
      <c r="F36" s="2" t="s">
        <v>2074</v>
      </c>
      <c r="G36" s="2" t="b">
        <v>0</v>
      </c>
      <c r="H36" s="3">
        <f>COUNTIFS(RulebookFields!H2:H999, A36)</f>
        <v>0</v>
      </c>
      <c r="I36" s="3" t="b">
        <f>H36 &gt; 0</f>
        <v>0</v>
      </c>
      <c r="J36" s="2" t="s">
        <v>2075</v>
      </c>
      <c r="K36" s="2" t="s">
        <v>1939</v>
      </c>
    </row>
    <row r="37">
      <c r="A37" s="2" t="s">
        <v>2076</v>
      </c>
      <c r="B37" s="3" t="str">
        <f>C37 &amp; ": " &amp; LEFT(E37, 60)</f>
        <v>notification-publisher: Before I transmit, am I permitted to use this channel for th</v>
      </c>
      <c r="C37" s="2" t="s">
        <v>240</v>
      </c>
      <c r="D37" s="2" t="s">
        <v>1917</v>
      </c>
      <c r="E37" s="2" t="s">
        <v>2077</v>
      </c>
      <c r="F37" s="2" t="s">
        <v>2078</v>
      </c>
      <c r="G37" s="2" t="b">
        <v>0</v>
      </c>
      <c r="H37" s="3">
        <f>COUNTIFS(RulebookFields!H2:H999, A37)</f>
        <v>0</v>
      </c>
      <c r="I37" s="3" t="b">
        <f>H37 &gt; 0</f>
        <v>0</v>
      </c>
      <c r="J37" s="2" t="s">
        <v>2079</v>
      </c>
      <c r="K37" s="2" t="s">
        <v>1939</v>
      </c>
    </row>
    <row r="38">
      <c r="A38" s="2" t="s">
        <v>2080</v>
      </c>
      <c r="B38" s="3" t="str">
        <f>C38 &amp; ": " &amp; LEFT(E38, 60)</f>
        <v>notification-publisher: Before I transmit, is the current moment inside a window thi</v>
      </c>
      <c r="C38" s="2" t="s">
        <v>240</v>
      </c>
      <c r="D38" s="2" t="s">
        <v>1917</v>
      </c>
      <c r="E38" s="2" t="s">
        <v>2081</v>
      </c>
      <c r="F38" s="2" t="s">
        <v>2082</v>
      </c>
      <c r="G38" s="2" t="b">
        <v>0</v>
      </c>
      <c r="H38" s="3">
        <f>COUNTIFS(RulebookFields!H2:H999, A38)</f>
        <v>0</v>
      </c>
      <c r="I38" s="3" t="b">
        <f>H38 &gt; 0</f>
        <v>0</v>
      </c>
      <c r="J38" s="2" t="s">
        <v>2083</v>
      </c>
      <c r="K38" s="2" t="s">
        <v>1939</v>
      </c>
    </row>
    <row r="39">
      <c r="A39" s="2" t="s">
        <v>2084</v>
      </c>
      <c r="B39" s="3" t="str">
        <f>C39 &amp; ": " &amp; LEFT(E39, 60)</f>
        <v>notification-publisher: Before I transmit, is the exact text I am holding within thi</v>
      </c>
      <c r="C39" s="2" t="s">
        <v>240</v>
      </c>
      <c r="D39" s="2" t="s">
        <v>1917</v>
      </c>
      <c r="E39" s="2" t="s">
        <v>2085</v>
      </c>
      <c r="F39" s="2" t="s">
        <v>2086</v>
      </c>
      <c r="G39" s="2" t="b">
        <v>0</v>
      </c>
      <c r="H39" s="3">
        <f>COUNTIFS(RulebookFields!H2:H999, A39)</f>
        <v>0</v>
      </c>
      <c r="I39" s="3" t="b">
        <f>H39 &gt; 0</f>
        <v>0</v>
      </c>
      <c r="J39" s="2" t="s">
        <v>2087</v>
      </c>
      <c r="K39" s="2" t="s">
        <v>1939</v>
      </c>
    </row>
    <row r="40">
      <c r="A40" s="2" t="s">
        <v>2088</v>
      </c>
      <c r="B40" s="3" t="str">
        <f>C40 &amp; ": " &amp; LEFT(E40, 60)</f>
        <v>notification-publisher: Before I transmit, has every human authorization my instruct</v>
      </c>
      <c r="C40" s="2" t="s">
        <v>240</v>
      </c>
      <c r="D40" s="2" t="s">
        <v>1917</v>
      </c>
      <c r="E40" s="2" t="s">
        <v>2089</v>
      </c>
      <c r="F40" s="2" t="s">
        <v>2090</v>
      </c>
      <c r="G40" s="2" t="b">
        <v>0</v>
      </c>
      <c r="H40" s="3">
        <f>COUNTIFS(RulebookFields!H2:H999, A40)</f>
        <v>0</v>
      </c>
      <c r="I40" s="3" t="b">
        <f>H40 &gt; 0</f>
        <v>0</v>
      </c>
      <c r="J40" s="2" t="s">
        <v>2091</v>
      </c>
      <c r="K40" s="2" t="s">
        <v>1939</v>
      </c>
    </row>
    <row r="41">
      <c r="A41" s="2" t="s">
        <v>2092</v>
      </c>
      <c r="B41" s="3" t="str">
        <f>C41 &amp; ": " &amp; LEFT(E41, 60)</f>
        <v>notification-publisher: When a gate refused, did the transmission actually stop -- a</v>
      </c>
      <c r="C41" s="2" t="s">
        <v>240</v>
      </c>
      <c r="D41" s="2" t="s">
        <v>1917</v>
      </c>
      <c r="E41" s="2" t="s">
        <v>2093</v>
      </c>
      <c r="F41" s="2" t="s">
        <v>2094</v>
      </c>
      <c r="G41" s="2" t="b">
        <v>0</v>
      </c>
      <c r="H41" s="3">
        <f>COUNTIFS(RulebookFields!H2:H999, A41)</f>
        <v>1</v>
      </c>
      <c r="I41" s="3" t="b">
        <f>H41 &gt; 0</f>
        <v>1</v>
      </c>
      <c r="J41" s="2" t="s">
        <v>2095</v>
      </c>
      <c r="K41" s="2" t="s">
        <v>1939</v>
      </c>
    </row>
    <row r="42">
      <c r="A42" s="2" t="s">
        <v>2096</v>
      </c>
      <c r="B42" s="3" t="str">
        <f>C42 &amp; ": " &amp; LEFT(E42, 60)</f>
        <v>close-automation: Before I execute close-01, close-02, or close-07: is my own </v>
      </c>
      <c r="C42" s="2" t="s">
        <v>228</v>
      </c>
      <c r="D42" s="2" t="s">
        <v>1917</v>
      </c>
      <c r="E42" s="2" t="s">
        <v>2097</v>
      </c>
      <c r="F42" s="2" t="s">
        <v>2098</v>
      </c>
      <c r="G42" s="2" t="b">
        <v>0</v>
      </c>
      <c r="H42" s="3">
        <f>COUNTIFS(RulebookFields!H2:H999, A42)</f>
        <v>8</v>
      </c>
      <c r="I42" s="3" t="b">
        <f>H42 &gt; 0</f>
        <v>1</v>
      </c>
      <c r="J42" s="2" t="s">
        <v>2099</v>
      </c>
      <c r="K42" s="2" t="s">
        <v>1939</v>
      </c>
    </row>
    <row r="43">
      <c r="A43" s="2" t="s">
        <v>2100</v>
      </c>
      <c r="B43" s="3" t="str">
        <f>C43 &amp; ": " &amp; LEFT(E43, 60)</f>
        <v>close-automation: Before I extract in close-02: is every operational binding t</v>
      </c>
      <c r="C43" s="2" t="s">
        <v>228</v>
      </c>
      <c r="D43" s="2" t="s">
        <v>1917</v>
      </c>
      <c r="E43" s="2" t="s">
        <v>2101</v>
      </c>
      <c r="F43" s="2" t="s">
        <v>2102</v>
      </c>
      <c r="G43" s="2" t="b">
        <v>0</v>
      </c>
      <c r="H43" s="3">
        <f>COUNTIFS(RulebookFields!H2:H999, A43)</f>
        <v>6</v>
      </c>
      <c r="I43" s="3" t="b">
        <f>H43 &gt; 0</f>
        <v>1</v>
      </c>
      <c r="J43" s="2" t="s">
        <v>2103</v>
      </c>
      <c r="K43" s="2" t="s">
        <v>1939</v>
      </c>
    </row>
    <row r="44">
      <c r="A44" s="2" t="s">
        <v>2104</v>
      </c>
      <c r="B44" s="3" t="str">
        <f>C44 &amp; ": " &amp; LEFT(E44, 60)</f>
        <v>close-automation: Did my previous run leave anything unresolved — an open issu</v>
      </c>
      <c r="C44" s="2" t="s">
        <v>228</v>
      </c>
      <c r="D44" s="2" t="s">
        <v>1917</v>
      </c>
      <c r="E44" s="2" t="s">
        <v>2105</v>
      </c>
      <c r="F44" s="2" t="s">
        <v>2106</v>
      </c>
      <c r="G44" s="2" t="b">
        <v>0</v>
      </c>
      <c r="H44" s="3">
        <f>COUNTIFS(RulebookFields!H2:H999, A44)</f>
        <v>8</v>
      </c>
      <c r="I44" s="3" t="b">
        <f>H44 &gt; 0</f>
        <v>1</v>
      </c>
      <c r="J44" s="2" t="s">
        <v>2107</v>
      </c>
      <c r="K44" s="2" t="s">
        <v>1939</v>
      </c>
    </row>
    <row r="45">
      <c r="A45" s="2" t="s">
        <v>2108</v>
      </c>
      <c r="B45" s="3" t="str">
        <f>C45 &amp; ": " &amp; LEFT(E45, 60)</f>
        <v>close-automation: For each step I am about to run, has every blocking requirem</v>
      </c>
      <c r="C45" s="2" t="s">
        <v>228</v>
      </c>
      <c r="D45" s="2" t="s">
        <v>1917</v>
      </c>
      <c r="E45" s="2" t="s">
        <v>2109</v>
      </c>
      <c r="F45" s="2" t="s">
        <v>2110</v>
      </c>
      <c r="G45" s="2" t="b">
        <v>0</v>
      </c>
      <c r="H45" s="3">
        <f>COUNTIFS(RulebookFields!H2:H999, A45)</f>
        <v>5</v>
      </c>
      <c r="I45" s="3" t="b">
        <f>H45 &gt; 0</f>
        <v>1</v>
      </c>
      <c r="J45" s="2" t="s">
        <v>2111</v>
      </c>
      <c r="K45" s="2" t="s">
        <v>1939</v>
      </c>
    </row>
    <row r="46">
      <c r="A46" s="2" t="s">
        <v>2112</v>
      </c>
      <c r="B46" s="3" t="str">
        <f>C46 &amp; ": " &amp; LEFT(E46, 60)</f>
        <v>close-automation: Am I drifting? Are humans overriding or correcting my output</v>
      </c>
      <c r="C46" s="2" t="s">
        <v>228</v>
      </c>
      <c r="D46" s="2" t="s">
        <v>1917</v>
      </c>
      <c r="E46" s="2" t="s">
        <v>2113</v>
      </c>
      <c r="F46" s="2" t="s">
        <v>2114</v>
      </c>
      <c r="G46" s="2" t="b">
        <v>0</v>
      </c>
      <c r="H46" s="3">
        <f>COUNTIFS(RulebookFields!H2:H999, A46)</f>
        <v>4</v>
      </c>
      <c r="I46" s="3" t="b">
        <f>H46 &gt; 0</f>
        <v>1</v>
      </c>
      <c r="J46" s="2" t="s">
        <v>2115</v>
      </c>
      <c r="K46" s="2" t="s">
        <v>1939</v>
      </c>
    </row>
    <row r="47">
      <c r="A47" s="2" t="s">
        <v>2116</v>
      </c>
      <c r="B47" s="3" t="str">
        <f>C47 &amp; ": " &amp; LEFT(E47, 60)</f>
        <v>hr-policy-owner: I am the AuthorityRole on cr-policy-delivery and it has been</v>
      </c>
      <c r="C47" s="2" t="s">
        <v>216</v>
      </c>
      <c r="D47" s="2" t="s">
        <v>1917</v>
      </c>
      <c r="E47" s="2" t="s">
        <v>2117</v>
      </c>
      <c r="F47" s="2" t="s">
        <v>2118</v>
      </c>
      <c r="G47" s="2" t="b">
        <v>0</v>
      </c>
      <c r="H47" s="3">
        <f>COUNTIFS(RulebookFields!H2:H999, A47)</f>
        <v>6</v>
      </c>
      <c r="I47" s="3" t="b">
        <f>H47 &gt; 0</f>
        <v>1</v>
      </c>
      <c r="J47" s="2" t="s">
        <v>2119</v>
      </c>
      <c r="K47" s="2" t="s">
        <v>1939</v>
      </c>
    </row>
    <row r="48">
      <c r="A48" s="2" t="s">
        <v>2120</v>
      </c>
      <c r="B48" s="3" t="str">
        <f>C48 &amp; ": " &amp; LEFT(E48, 60)</f>
        <v>hr-policy-owner: kf-policy-ai-boundary says AI may draft but may not create l</v>
      </c>
      <c r="C48" s="2" t="s">
        <v>216</v>
      </c>
      <c r="D48" s="2" t="s">
        <v>1917</v>
      </c>
      <c r="E48" s="2" t="s">
        <v>2121</v>
      </c>
      <c r="F48" s="2" t="s">
        <v>2122</v>
      </c>
      <c r="G48" s="2" t="b">
        <v>0</v>
      </c>
      <c r="H48" s="3">
        <f>COUNTIFS(RulebookFields!H2:H999, A48)</f>
        <v>7</v>
      </c>
      <c r="I48" s="3" t="b">
        <f>H48 &gt; 0</f>
        <v>1</v>
      </c>
      <c r="J48" s="2" t="s">
        <v>2123</v>
      </c>
      <c r="K48" s="2" t="s">
        <v>1939</v>
      </c>
    </row>
    <row r="49">
      <c r="A49" s="2" t="s">
        <v>2124</v>
      </c>
      <c r="B49" s="3" t="str">
        <f>C49 &amp; ": " &amp; LEFT(E49, 60)</f>
        <v>hr-policy-owner: kf-policy-manager-route is Status=Reviewed and I am its Owne</v>
      </c>
      <c r="C49" s="2" t="s">
        <v>216</v>
      </c>
      <c r="D49" s="2" t="s">
        <v>1917</v>
      </c>
      <c r="E49" s="2" t="s">
        <v>2125</v>
      </c>
      <c r="F49" s="2" t="s">
        <v>2126</v>
      </c>
      <c r="G49" s="2" t="b">
        <v>0</v>
      </c>
      <c r="H49" s="3">
        <f>COUNTIFS(RulebookFields!H2:H999, A49)</f>
        <v>7</v>
      </c>
      <c r="I49" s="3" t="b">
        <f>H49 &gt; 0</f>
        <v>1</v>
      </c>
      <c r="J49" s="2" t="s">
        <v>2127</v>
      </c>
      <c r="K49" s="2" t="s">
        <v>1939</v>
      </c>
    </row>
    <row r="50">
      <c r="A50" s="2" t="s">
        <v>2128</v>
      </c>
      <c r="B50" s="3" t="str">
        <f>C50 &amp; ": " &amp; LEFT(E50, 60)</f>
        <v>hr-policy-owner: policy-07 sends approved communications under channel contro</v>
      </c>
      <c r="C50" s="2" t="s">
        <v>216</v>
      </c>
      <c r="D50" s="2" t="s">
        <v>1917</v>
      </c>
      <c r="E50" s="2" t="s">
        <v>2129</v>
      </c>
      <c r="F50" s="2" t="s">
        <v>2130</v>
      </c>
      <c r="G50" s="2" t="b">
        <v>0</v>
      </c>
      <c r="H50" s="3">
        <f>COUNTIFS(RulebookFields!H2:H999, A50)</f>
        <v>7</v>
      </c>
      <c r="I50" s="3" t="b">
        <f>H50 &gt; 0</f>
        <v>1</v>
      </c>
      <c r="J50" s="2" t="s">
        <v>2131</v>
      </c>
      <c r="K50" s="2" t="s">
        <v>1939</v>
      </c>
    </row>
    <row r="51">
      <c r="A51" s="2" t="s">
        <v>2132</v>
      </c>
      <c r="B51" s="3" t="str">
        <f>C51 &amp; ": " &amp; LEFT(E51, 60)</f>
        <v>hr-policy-owner: policy-v1.0.0 was issued 2026-06-01 on knowledge elicited in</v>
      </c>
      <c r="C51" s="2" t="s">
        <v>216</v>
      </c>
      <c r="D51" s="2" t="s">
        <v>1917</v>
      </c>
      <c r="E51" s="2" t="s">
        <v>2133</v>
      </c>
      <c r="F51" s="2" t="s">
        <v>2134</v>
      </c>
      <c r="G51" s="2" t="b">
        <v>0</v>
      </c>
      <c r="H51" s="3">
        <f>COUNTIFS(RulebookFields!H2:H999, A51)</f>
        <v>7</v>
      </c>
      <c r="I51" s="3" t="b">
        <f>H51 &gt; 0</f>
        <v>1</v>
      </c>
      <c r="J51" s="2" t="s">
        <v>2135</v>
      </c>
      <c r="K51" s="2" t="s">
        <v>1939</v>
      </c>
    </row>
    <row r="52">
      <c r="A52" s="2" t="s">
        <v>2136</v>
      </c>
      <c r="B52" s="3" t="str">
        <f>C52 &amp; ": " &amp; LEFT(E52, 60)</f>
        <v>variance-review-agent: By what authority am I executing close-04, when did that aut</v>
      </c>
      <c r="C52" s="2" t="s">
        <v>232</v>
      </c>
      <c r="D52" s="2" t="s">
        <v>1917</v>
      </c>
      <c r="E52" s="2" t="s">
        <v>2137</v>
      </c>
      <c r="F52" s="2" t="s">
        <v>2138</v>
      </c>
      <c r="G52" s="2" t="b">
        <v>0</v>
      </c>
      <c r="H52" s="3">
        <f>COUNTIFS(RulebookFields!H2:H999, A52)</f>
        <v>8</v>
      </c>
      <c r="I52" s="3" t="b">
        <f>H52 &gt; 0</f>
        <v>1</v>
      </c>
      <c r="J52" s="2" t="s">
        <v>2139</v>
      </c>
      <c r="K52" s="2" t="s">
        <v>1939</v>
      </c>
    </row>
    <row r="53">
      <c r="A53" s="2" t="s">
        <v>2140</v>
      </c>
      <c r="B53" s="3" t="str">
        <f>C53 &amp; ": " &amp; LEFT(E53, 60)</f>
        <v>variance-review-agent: Since I took over on 2026-04-01, is my triage quality better</v>
      </c>
      <c r="C53" s="2" t="s">
        <v>232</v>
      </c>
      <c r="D53" s="2" t="s">
        <v>1917</v>
      </c>
      <c r="E53" s="2" t="s">
        <v>2141</v>
      </c>
      <c r="F53" s="2" t="s">
        <v>2142</v>
      </c>
      <c r="G53" s="2" t="b">
        <v>0</v>
      </c>
      <c r="H53" s="3">
        <f>COUNTIFS(RulebookFields!H2:H999, A53)</f>
        <v>5</v>
      </c>
      <c r="I53" s="3" t="b">
        <f>H53 &gt; 0</f>
        <v>1</v>
      </c>
      <c r="J53" s="2" t="s">
        <v>2143</v>
      </c>
      <c r="K53" s="2" t="s">
        <v>1939</v>
      </c>
    </row>
    <row r="54">
      <c r="A54" s="2" t="s">
        <v>2144</v>
      </c>
      <c r="B54" s="3" t="str">
        <f>C54 &amp; ": " &amp; LEFT(E54, 60)</f>
        <v>variance-review-agent: Am I operating inside my approved boundary — or have I made </v>
      </c>
      <c r="C54" s="2" t="s">
        <v>232</v>
      </c>
      <c r="D54" s="2" t="s">
        <v>1917</v>
      </c>
      <c r="E54" s="2" t="s">
        <v>2145</v>
      </c>
      <c r="F54" s="2" t="s">
        <v>2146</v>
      </c>
      <c r="G54" s="2" t="b">
        <v>0</v>
      </c>
      <c r="H54" s="3">
        <f>COUNTIFS(RulebookFields!H2:H999, A54)</f>
        <v>1</v>
      </c>
      <c r="I54" s="3" t="b">
        <f>H54 &gt; 0</f>
        <v>1</v>
      </c>
      <c r="J54" s="2" t="s">
        <v>2147</v>
      </c>
      <c r="K54" s="2" t="s">
        <v>1939</v>
      </c>
    </row>
    <row r="55">
      <c r="A55" s="2" t="s">
        <v>2148</v>
      </c>
      <c r="B55" s="3" t="str">
        <f>C55 &amp; ": " &amp; LEFT(E55, 60)</f>
        <v>variance-review-agent: close-04's instruction says 'Use AI triage, then apply human</v>
      </c>
      <c r="C55" s="2" t="s">
        <v>232</v>
      </c>
      <c r="D55" s="2" t="s">
        <v>1917</v>
      </c>
      <c r="E55" s="2" t="s">
        <v>2149</v>
      </c>
      <c r="F55" s="2" t="s">
        <v>2150</v>
      </c>
      <c r="G55" s="2" t="b">
        <v>0</v>
      </c>
      <c r="H55" s="3">
        <f>COUNTIFS(RulebookFields!H2:H999, A55)</f>
        <v>3</v>
      </c>
      <c r="I55" s="3" t="b">
        <f>H55 &gt; 0</f>
        <v>1</v>
      </c>
      <c r="J55" s="2" t="s">
        <v>2151</v>
      </c>
      <c r="K55" s="2" t="s">
        <v>1939</v>
      </c>
    </row>
    <row r="56">
      <c r="A56" s="2" t="s">
        <v>2152</v>
      </c>
      <c r="B56" s="3" t="str">
        <f>C56 &amp; ": " &amp; LEFT(E56, 60)</f>
        <v>variance-review-agent: Is the judgment knowledge I triage against still valid, stil</v>
      </c>
      <c r="C56" s="2" t="s">
        <v>232</v>
      </c>
      <c r="D56" s="2" t="s">
        <v>1917</v>
      </c>
      <c r="E56" s="2" t="s">
        <v>2153</v>
      </c>
      <c r="F56" s="2" t="s">
        <v>2154</v>
      </c>
      <c r="G56" s="2" t="b">
        <v>0</v>
      </c>
      <c r="H56" s="3">
        <f>COUNTIFS(RulebookFields!H2:H999, A56)</f>
        <v>8</v>
      </c>
      <c r="I56" s="3" t="b">
        <f>H56 &gt; 0</f>
        <v>1</v>
      </c>
      <c r="J56" s="2" t="s">
        <v>2155</v>
      </c>
      <c r="K56" s="2" t="s">
        <v>1939</v>
      </c>
    </row>
    <row r="57">
      <c r="A57" s="2" t="s">
        <v>2156</v>
      </c>
      <c r="B57" s="3" t="str">
        <f>C57 &amp; ": " &amp; LEFT(E57, 60)</f>
        <v>policy-drafting-agent: I am named as `policy-drafting-agent`.CurrentAgent and I exe</v>
      </c>
      <c r="C57" s="2" t="s">
        <v>236</v>
      </c>
      <c r="D57" s="2" t="s">
        <v>1917</v>
      </c>
      <c r="E57" s="2" t="s">
        <v>2157</v>
      </c>
      <c r="F57" s="2" t="s">
        <v>2158</v>
      </c>
      <c r="G57" s="2" t="b">
        <v>0</v>
      </c>
      <c r="H57" s="3">
        <f>COUNTIFS(RulebookFields!H2:H999, A57)</f>
        <v>3</v>
      </c>
      <c r="I57" s="3" t="b">
        <f>H57 &gt; 0</f>
        <v>1</v>
      </c>
      <c r="J57" s="2" t="s">
        <v>2159</v>
      </c>
      <c r="K57" s="2" t="s">
        <v>1939</v>
      </c>
    </row>
    <row r="58">
      <c r="A58" s="2" t="s">
        <v>2160</v>
      </c>
      <c r="B58" s="3" t="str">
        <f>C58 &amp; ": " &amp; LEFT(E58, 60)</f>
        <v>policy-drafting-agent: Before I draft: is every resource I am about to read an appr</v>
      </c>
      <c r="C58" s="2" t="s">
        <v>236</v>
      </c>
      <c r="D58" s="2" t="s">
        <v>1917</v>
      </c>
      <c r="E58" s="2" t="s">
        <v>2161</v>
      </c>
      <c r="F58" s="2" t="s">
        <v>2162</v>
      </c>
      <c r="G58" s="2" t="b">
        <v>0</v>
      </c>
      <c r="H58" s="3">
        <f>COUNTIFS(RulebookFields!H2:H999, A58)</f>
        <v>8</v>
      </c>
      <c r="I58" s="3" t="b">
        <f>H58 &gt; 0</f>
        <v>1</v>
      </c>
      <c r="J58" s="2" t="s">
        <v>2163</v>
      </c>
      <c r="K58" s="2" t="s">
        <v>1939</v>
      </c>
    </row>
    <row r="59">
      <c r="A59" s="2" t="s">
        <v>2164</v>
      </c>
      <c r="B59" s="3" t="str">
        <f>C59 &amp; ": " &amp; LEFT(E59, 60)</f>
        <v>policy-drafting-agent: Did I draft language that creates a new legal commitment — t</v>
      </c>
      <c r="C59" s="2" t="s">
        <v>236</v>
      </c>
      <c r="D59" s="2" t="s">
        <v>1917</v>
      </c>
      <c r="E59" s="2" t="s">
        <v>2165</v>
      </c>
      <c r="F59" s="2" t="s">
        <v>2166</v>
      </c>
      <c r="G59" s="2" t="b">
        <v>0</v>
      </c>
      <c r="H59" s="3">
        <f>COUNTIFS(RulebookFields!H2:H999, A59)</f>
        <v>2</v>
      </c>
      <c r="I59" s="3" t="b">
        <f>H59 &gt; 0</f>
        <v>1</v>
      </c>
      <c r="J59" s="2" t="s">
        <v>2167</v>
      </c>
      <c r="K59" s="2" t="s">
        <v>1939</v>
      </c>
    </row>
    <row r="60">
      <c r="A60" s="2" t="s">
        <v>2168</v>
      </c>
      <c r="B60" s="3" t="str">
        <f>C60 &amp; ": " &amp; LEFT(E60, 60)</f>
        <v>policy-drafting-agent: Is my draft surviving human review, or is `noah-williams` re</v>
      </c>
      <c r="C60" s="2" t="s">
        <v>236</v>
      </c>
      <c r="D60" s="2" t="s">
        <v>1917</v>
      </c>
      <c r="E60" s="2" t="s">
        <v>2169</v>
      </c>
      <c r="F60" s="2" t="s">
        <v>2170</v>
      </c>
      <c r="G60" s="2" t="b">
        <v>0</v>
      </c>
      <c r="H60" s="3">
        <f>COUNTIFS(RulebookFields!H2:H999, A60)</f>
        <v>3</v>
      </c>
      <c r="I60" s="3" t="b">
        <f>H60 &gt; 0</f>
        <v>1</v>
      </c>
      <c r="J60" s="2" t="s">
        <v>2171</v>
      </c>
      <c r="K60" s="2" t="s">
        <v>1939</v>
      </c>
    </row>
    <row r="61">
      <c r="A61" s="2" t="s">
        <v>2172</v>
      </c>
      <c r="B61" s="3" t="str">
        <f>C61 &amp; ": " &amp; LEFT(E61, 60)</f>
        <v>policy-drafting-agent: Before `notification-pipeline` sends anything I rendered at </v>
      </c>
      <c r="C61" s="2" t="s">
        <v>236</v>
      </c>
      <c r="D61" s="2" t="s">
        <v>1917</v>
      </c>
      <c r="E61" s="2" t="s">
        <v>2173</v>
      </c>
      <c r="F61" s="2" t="s">
        <v>2174</v>
      </c>
      <c r="G61" s="2" t="b">
        <v>0</v>
      </c>
      <c r="H61" s="3">
        <f>COUNTIFS(RulebookFields!H2:H999, A61)</f>
        <v>7</v>
      </c>
      <c r="I61" s="3" t="b">
        <f>H61 &gt; 0</f>
        <v>1</v>
      </c>
      <c r="J61" s="2" t="s">
        <v>2175</v>
      </c>
      <c r="K61" s="2" t="s">
        <v>1939</v>
      </c>
    </row>
    <row r="62">
      <c r="A62" s="2" t="s">
        <v>2176</v>
      </c>
      <c r="B62" s="3" t="str">
        <f>C62 &amp; ": " &amp; LEFT(E62, 60)</f>
        <v>knowledge-authority: Loop 1 gave me four separate decay signals on knowledge frag</v>
      </c>
      <c r="C62" s="2" t="s">
        <v>248</v>
      </c>
      <c r="D62" s="2" t="s">
        <v>1921</v>
      </c>
      <c r="E62" s="2" t="s">
        <v>2177</v>
      </c>
      <c r="F62" s="2" t="s">
        <v>2178</v>
      </c>
      <c r="G62" s="2" t="b">
        <v>0</v>
      </c>
      <c r="H62" s="3">
        <f>COUNTIFS(RulebookFields!H2:H999, A62)</f>
        <v>7</v>
      </c>
      <c r="I62" s="3" t="b">
        <f>H62 &gt; 0</f>
        <v>1</v>
      </c>
      <c r="J62" s="2" t="s">
        <v>2179</v>
      </c>
      <c r="K62" s="2" t="s">
        <v>1939</v>
      </c>
    </row>
    <row r="63">
      <c r="A63" s="2" t="s">
        <v>2180</v>
      </c>
      <c r="B63" s="3" t="str">
        <f>C63 &amp; ": " &amp; LEFT(E63, 60)</f>
        <v>knowledge-authority: AuthorityBoundaries.RatifyingFragmentIsValid reads 2 of 3. O</v>
      </c>
      <c r="C63" s="2" t="s">
        <v>248</v>
      </c>
      <c r="D63" s="2" t="s">
        <v>1921</v>
      </c>
      <c r="E63" s="2" t="s">
        <v>2181</v>
      </c>
      <c r="F63" s="2" t="s">
        <v>2182</v>
      </c>
      <c r="G63" s="2" t="b">
        <v>0</v>
      </c>
      <c r="H63" s="3">
        <f>COUNTIFS(RulebookFields!H2:H999, A63)</f>
        <v>2</v>
      </c>
      <c r="I63" s="3" t="b">
        <f>H63 &gt; 0</f>
        <v>1</v>
      </c>
      <c r="J63" s="2" t="s">
        <v>2183</v>
      </c>
      <c r="K63" s="2" t="s">
        <v>1939</v>
      </c>
    </row>
    <row r="64">
      <c r="A64" s="2" t="s">
        <v>2184</v>
      </c>
      <c r="B64" s="3" t="str">
        <f>C64 &amp; ": " &amp; LEFT(E64, 60)</f>
        <v>knowledge-authority: Loop 1 says 2 of 3 elicitation sessions used a single-witnes</v>
      </c>
      <c r="C64" s="2" t="s">
        <v>248</v>
      </c>
      <c r="D64" s="2" t="s">
        <v>1921</v>
      </c>
      <c r="E64" s="2" t="s">
        <v>2185</v>
      </c>
      <c r="F64" s="2" t="s">
        <v>2186</v>
      </c>
      <c r="G64" s="2" t="b">
        <v>0</v>
      </c>
      <c r="H64" s="3">
        <f>COUNTIFS(RulebookFields!H2:H999, A64)</f>
        <v>8</v>
      </c>
      <c r="I64" s="3" t="b">
        <f>H64 &gt; 0</f>
        <v>1</v>
      </c>
      <c r="J64" s="2" t="s">
        <v>2187</v>
      </c>
      <c r="K64" s="2" t="s">
        <v>1939</v>
      </c>
    </row>
    <row r="65">
      <c r="A65" s="2" t="s">
        <v>2188</v>
      </c>
      <c r="B65" s="3" t="str">
        <f>C65 &amp; ": " &amp; LEFT(E65, 60)</f>
        <v>knowledge-authority: Loop 1 found exactly one fragment that is unapproved and ope</v>
      </c>
      <c r="C65" s="2" t="s">
        <v>248</v>
      </c>
      <c r="D65" s="2" t="s">
        <v>1921</v>
      </c>
      <c r="E65" s="2" t="s">
        <v>2189</v>
      </c>
      <c r="F65" s="2" t="s">
        <v>2190</v>
      </c>
      <c r="G65" s="2" t="b">
        <v>0</v>
      </c>
      <c r="H65" s="3">
        <f>COUNTIFS(RulebookFields!H2:H999, A65)</f>
        <v>7</v>
      </c>
      <c r="I65" s="3" t="b">
        <f>H65 &gt; 0</f>
        <v>1</v>
      </c>
      <c r="J65" s="2" t="s">
        <v>2191</v>
      </c>
      <c r="K65" s="2" t="s">
        <v>1939</v>
      </c>
    </row>
    <row r="66">
      <c r="A66" s="2" t="s">
        <v>2192</v>
      </c>
      <c r="B66" s="3" t="str">
        <f>C66 &amp; ": " &amp; LEFT(E66, 60)</f>
        <v>knowledge-authority: Loop 1 reports IsOverdueForReview=6/7, and I do not trust th</v>
      </c>
      <c r="C66" s="2" t="s">
        <v>248</v>
      </c>
      <c r="D66" s="2" t="s">
        <v>1921</v>
      </c>
      <c r="E66" s="2" t="s">
        <v>2193</v>
      </c>
      <c r="F66" s="2" t="s">
        <v>2194</v>
      </c>
      <c r="G66" s="2" t="b">
        <v>0</v>
      </c>
      <c r="H66" s="3">
        <f>COUNTIFS(RulebookFields!H2:H999, A66)</f>
        <v>8</v>
      </c>
      <c r="I66" s="3" t="b">
        <f>H66 &gt; 0</f>
        <v>1</v>
      </c>
      <c r="J66" s="2" t="s">
        <v>2195</v>
      </c>
      <c r="K66" s="2" t="s">
        <v>1939</v>
      </c>
    </row>
    <row r="67">
      <c r="A67" s="2" t="s">
        <v>2196</v>
      </c>
      <c r="B67" s="3" t="str">
        <f>C67 &amp; ": " &amp; LEFT(E67, 60)</f>
        <v>hr-policy-owner: Loop 1 confirmed one live decision is waiting on me and that</v>
      </c>
      <c r="C67" s="2" t="s">
        <v>216</v>
      </c>
      <c r="D67" s="2" t="s">
        <v>1921</v>
      </c>
      <c r="E67" s="2" t="s">
        <v>2197</v>
      </c>
      <c r="F67" s="2" t="s">
        <v>2198</v>
      </c>
      <c r="G67" s="2" t="b">
        <v>0</v>
      </c>
      <c r="H67" s="3">
        <f>COUNTIFS(RulebookFields!H2:H999, A67)</f>
        <v>8</v>
      </c>
      <c r="I67" s="3" t="b">
        <f>H67 &gt; 0</f>
        <v>1</v>
      </c>
      <c r="J67" s="2" t="s">
        <v>2199</v>
      </c>
      <c r="K67" s="2" t="s">
        <v>1939</v>
      </c>
    </row>
    <row r="68">
      <c r="A68" s="2" t="s">
        <v>2200</v>
      </c>
      <c r="B68" s="3" t="str">
        <f>C68 &amp; ": " &amp; LEFT(E68, 60)</f>
        <v>hr-policy-owner: Loop 1 told me SoftwareDidHumanWork=0/12 and IsUntested=3/3 </v>
      </c>
      <c r="C68" s="2" t="s">
        <v>216</v>
      </c>
      <c r="D68" s="2" t="s">
        <v>1921</v>
      </c>
      <c r="E68" s="2" t="s">
        <v>2201</v>
      </c>
      <c r="F68" s="2" t="s">
        <v>2202</v>
      </c>
      <c r="G68" s="2" t="b">
        <v>0</v>
      </c>
      <c r="H68" s="3">
        <f>COUNTIFS(RulebookFields!H2:H999, A68)</f>
        <v>8</v>
      </c>
      <c r="I68" s="3" t="b">
        <f>H68 &gt; 0</f>
        <v>1</v>
      </c>
      <c r="J68" s="2" t="s">
        <v>2203</v>
      </c>
      <c r="K68" s="2" t="s">
        <v>1939</v>
      </c>
    </row>
    <row r="69">
      <c r="A69" s="2" t="s">
        <v>2204</v>
      </c>
      <c r="B69" s="3" t="str">
        <f>C69 &amp; ": " &amp; LEFT(E69, 60)</f>
        <v>hr-policy-owner: Loop 1 found exactly one claim that is mine, unapproved, and</v>
      </c>
      <c r="C69" s="2" t="s">
        <v>216</v>
      </c>
      <c r="D69" s="2" t="s">
        <v>1921</v>
      </c>
      <c r="E69" s="2" t="s">
        <v>2205</v>
      </c>
      <c r="F69" s="2" t="s">
        <v>2206</v>
      </c>
      <c r="G69" s="2" t="b">
        <v>0</v>
      </c>
      <c r="H69" s="3">
        <f>COUNTIFS(RulebookFields!H2:H999, A69)</f>
        <v>7</v>
      </c>
      <c r="I69" s="3" t="b">
        <f>H69 &gt; 0</f>
        <v>1</v>
      </c>
      <c r="J69" s="2" t="s">
        <v>2207</v>
      </c>
      <c r="K69" s="2" t="s">
        <v>1939</v>
      </c>
    </row>
    <row r="70">
      <c r="A70" s="2" t="s">
        <v>2208</v>
      </c>
      <c r="B70" s="3" t="str">
        <f>C70 &amp; ": " &amp; LEFT(E70, 60)</f>
        <v>hr-policy-owner: When I approve a change request it stays Approved forever an</v>
      </c>
      <c r="C70" s="2" t="s">
        <v>216</v>
      </c>
      <c r="D70" s="2" t="s">
        <v>1921</v>
      </c>
      <c r="E70" s="2" t="s">
        <v>2209</v>
      </c>
      <c r="F70" s="2" t="s">
        <v>2210</v>
      </c>
      <c r="G70" s="2" t="b">
        <v>0</v>
      </c>
      <c r="H70" s="3">
        <f>COUNTIFS(RulebookFields!H2:H999, A70)</f>
        <v>8</v>
      </c>
      <c r="I70" s="3" t="b">
        <f>H70 &gt; 0</f>
        <v>1</v>
      </c>
      <c r="J70" s="2" t="s">
        <v>2211</v>
      </c>
      <c r="K70" s="2" t="s">
        <v>1939</v>
      </c>
    </row>
    <row r="71">
      <c r="A71" s="2" t="s">
        <v>2212</v>
      </c>
      <c r="B71" s="3" t="str">
        <f>C71 &amp; ": " &amp; LEFT(E71, 60)</f>
        <v>hr-policy-owner: Loop 1 found one role assignment with HasDeparted=TRUE and s</v>
      </c>
      <c r="C71" s="2" t="s">
        <v>216</v>
      </c>
      <c r="D71" s="2" t="s">
        <v>1921</v>
      </c>
      <c r="E71" s="2" t="s">
        <v>2213</v>
      </c>
      <c r="F71" s="2" t="s">
        <v>2214</v>
      </c>
      <c r="G71" s="2" t="b">
        <v>0</v>
      </c>
      <c r="H71" s="3">
        <f>COUNTIFS(RulebookFields!H2:H999, A71)</f>
        <v>8</v>
      </c>
      <c r="I71" s="3" t="b">
        <f>H71 &gt; 0</f>
        <v>1</v>
      </c>
      <c r="J71" s="2" t="s">
        <v>2215</v>
      </c>
      <c r="K71" s="2" t="s">
        <v>1939</v>
      </c>
    </row>
    <row r="72">
      <c r="A72" s="2" t="s">
        <v>2216</v>
      </c>
      <c r="B72" s="3" t="str">
        <f>C72 &amp; ": " &amp; LEFT(E72, 60)</f>
        <v>process-steward: Loop 1 told me four recovery paths have never been walked. T</v>
      </c>
      <c r="C72" s="2" t="s">
        <v>244</v>
      </c>
      <c r="D72" s="2" t="s">
        <v>1921</v>
      </c>
      <c r="E72" s="2" t="s">
        <v>2217</v>
      </c>
      <c r="F72" s="2" t="s">
        <v>2218</v>
      </c>
      <c r="G72" s="2" t="b">
        <v>0</v>
      </c>
      <c r="H72" s="3">
        <f>COUNTIFS(RulebookFields!H2:H999, A72)</f>
        <v>7</v>
      </c>
      <c r="I72" s="3" t="b">
        <f>H72 &gt; 0</f>
        <v>1</v>
      </c>
      <c r="J72" s="2" t="s">
        <v>2219</v>
      </c>
      <c r="K72" s="2" t="s">
        <v>1939</v>
      </c>
    </row>
    <row r="73">
      <c r="A73" s="2" t="s">
        <v>2220</v>
      </c>
      <c r="B73" s="3" t="str">
        <f>C73 &amp; ": " &amp; LEFT(E73, 60)</f>
        <v>process-steward: Loop 1 showed me one review event that exceeds the cadence I</v>
      </c>
      <c r="C73" s="2" t="s">
        <v>244</v>
      </c>
      <c r="D73" s="2" t="s">
        <v>1921</v>
      </c>
      <c r="E73" s="2" t="s">
        <v>2221</v>
      </c>
      <c r="F73" s="2" t="s">
        <v>2222</v>
      </c>
      <c r="G73" s="2" t="b">
        <v>0</v>
      </c>
      <c r="H73" s="3">
        <f>COUNTIFS(RulebookFields!H2:H999, A73)</f>
        <v>7</v>
      </c>
      <c r="I73" s="3" t="b">
        <f>H73 &gt; 0</f>
        <v>1</v>
      </c>
      <c r="J73" s="2" t="s">
        <v>2223</v>
      </c>
      <c r="K73" s="2" t="s">
        <v>1939</v>
      </c>
    </row>
    <row r="74">
      <c r="A74" s="2" t="s">
        <v>2224</v>
      </c>
      <c r="B74" s="3" t="str">
        <f>C74 &amp; ": " &amp; LEFT(E74, 60)</f>
        <v>process-steward: close-v1.0.0 is Archived and unstewarded — loop 1 confirmed </v>
      </c>
      <c r="C74" s="2" t="s">
        <v>244</v>
      </c>
      <c r="D74" s="2" t="s">
        <v>1921</v>
      </c>
      <c r="E74" s="2" t="s">
        <v>2225</v>
      </c>
      <c r="F74" s="2" t="s">
        <v>2226</v>
      </c>
      <c r="G74" s="2" t="b">
        <v>0</v>
      </c>
      <c r="H74" s="3">
        <f>COUNTIFS(RulebookFields!H2:H999, A74)</f>
        <v>8</v>
      </c>
      <c r="I74" s="3" t="b">
        <f>H74 &gt; 0</f>
        <v>1</v>
      </c>
      <c r="J74" s="2" t="s">
        <v>2227</v>
      </c>
      <c r="K74" s="2" t="s">
        <v>1939</v>
      </c>
    </row>
    <row r="75">
      <c r="A75" s="2" t="s">
        <v>2228</v>
      </c>
      <c r="B75" s="3" t="str">
        <f>C75 &amp; ": " &amp; LEFT(E75, 60)</f>
        <v>process-steward: cr-close-timestamp is Approved. Loop 1 reads it as still OPE</v>
      </c>
      <c r="C75" s="2" t="s">
        <v>244</v>
      </c>
      <c r="D75" s="2" t="s">
        <v>1921</v>
      </c>
      <c r="E75" s="2" t="s">
        <v>2229</v>
      </c>
      <c r="F75" s="2" t="s">
        <v>2230</v>
      </c>
      <c r="G75" s="2" t="b">
        <v>0</v>
      </c>
      <c r="H75" s="3">
        <f>COUNTIFS(RulebookFields!H2:H999, A75)</f>
        <v>6</v>
      </c>
      <c r="I75" s="3" t="b">
        <f>H75 &gt; 0</f>
        <v>1</v>
      </c>
      <c r="J75" s="2" t="s">
        <v>2231</v>
      </c>
      <c r="K75" s="2" t="s">
        <v>1939</v>
      </c>
    </row>
    <row r="76">
      <c r="A76" s="2" t="s">
        <v>2232</v>
      </c>
      <c r="B76" s="3" t="str">
        <f>C76 &amp; ": " &amp; LEFT(E76, 60)</f>
        <v>process-steward: Several of my loop-1 predicates name individual steps by id </v>
      </c>
      <c r="C76" s="2" t="s">
        <v>244</v>
      </c>
      <c r="D76" s="2" t="s">
        <v>1921</v>
      </c>
      <c r="E76" s="2" t="s">
        <v>2233</v>
      </c>
      <c r="F76" s="2" t="s">
        <v>2234</v>
      </c>
      <c r="G76" s="2" t="b">
        <v>0</v>
      </c>
      <c r="H76" s="3">
        <f>COUNTIFS(RulebookFields!H2:H999, A76)</f>
        <v>6</v>
      </c>
      <c r="I76" s="3" t="b">
        <f>H76 &gt; 0</f>
        <v>1</v>
      </c>
      <c r="J76" s="2" t="s">
        <v>2235</v>
      </c>
      <c r="K76" s="2" t="s">
        <v>1939</v>
      </c>
    </row>
    <row r="77">
      <c r="A77" s="2" t="s">
        <v>2236</v>
      </c>
      <c r="B77" s="3" t="str">
        <f>C77 &amp; ": " &amp; LEFT(E77, 60)</f>
        <v>finance-analyst: On the steps I personally executed, how many of the blocking</v>
      </c>
      <c r="C77" s="2" t="s">
        <v>203</v>
      </c>
      <c r="D77" s="2" t="s">
        <v>1921</v>
      </c>
      <c r="E77" s="2" t="s">
        <v>2237</v>
      </c>
      <c r="F77" s="2" t="s">
        <v>2238</v>
      </c>
      <c r="G77" s="2" t="b">
        <v>0</v>
      </c>
      <c r="H77" s="3">
        <f>COUNTIFS(RulebookFields!H2:H999, A77)</f>
        <v>7</v>
      </c>
      <c r="I77" s="3" t="b">
        <f>H77 &gt; 0</f>
        <v>1</v>
      </c>
      <c r="J77" s="2" t="s">
        <v>2239</v>
      </c>
      <c r="K77" s="2" t="s">
        <v>1939</v>
      </c>
    </row>
    <row r="78">
      <c r="A78" s="2" t="s">
        <v>2240</v>
      </c>
      <c r="B78" s="3" t="str">
        <f>C78 &amp; ": " &amp; LEFT(E78, 60)</f>
        <v>finance-analyst: Loop 1 told me two of my steps ran on a stale authoritative </v>
      </c>
      <c r="C78" s="2" t="s">
        <v>203</v>
      </c>
      <c r="D78" s="2" t="s">
        <v>1921</v>
      </c>
      <c r="E78" s="2" t="s">
        <v>2241</v>
      </c>
      <c r="F78" s="2" t="s">
        <v>2242</v>
      </c>
      <c r="G78" s="2" t="b">
        <v>0</v>
      </c>
      <c r="H78" s="3">
        <f>COUNTIFS(RulebookFields!H2:H999, A78)</f>
        <v>3</v>
      </c>
      <c r="I78" s="3" t="b">
        <f>H78 &gt; 0</f>
        <v>1</v>
      </c>
      <c r="J78" s="2" t="s">
        <v>2243</v>
      </c>
      <c r="K78" s="2" t="s">
        <v>1939</v>
      </c>
    </row>
    <row r="79">
      <c r="A79" s="2" t="s">
        <v>2244</v>
      </c>
      <c r="B79" s="3" t="str">
        <f>C79 &amp; ": " &amp; LEFT(E79, 60)</f>
        <v>finance-analyst: Nine of thirteen requirements have no computed witness at al</v>
      </c>
      <c r="C79" s="2" t="s">
        <v>203</v>
      </c>
      <c r="D79" s="2" t="s">
        <v>1921</v>
      </c>
      <c r="E79" s="2" t="s">
        <v>2245</v>
      </c>
      <c r="F79" s="2" t="s">
        <v>2246</v>
      </c>
      <c r="G79" s="2" t="b">
        <v>0</v>
      </c>
      <c r="H79" s="3">
        <f>COUNTIFS(RulebookFields!H2:H999, A79)</f>
        <v>8</v>
      </c>
      <c r="I79" s="3" t="b">
        <f>H79 &gt; 0</f>
        <v>1</v>
      </c>
      <c r="J79" s="2" t="s">
        <v>2247</v>
      </c>
      <c r="K79" s="2" t="s">
        <v>1939</v>
      </c>
    </row>
    <row r="80">
      <c r="A80" s="2" t="s">
        <v>2248</v>
      </c>
      <c r="B80" s="3" t="str">
        <f>C80 &amp; ": " &amp; LEFT(E80, 60)</f>
        <v>finance-analyst: Only 5 of 12 executions are `IsClean`. Invert it: of the exe</v>
      </c>
      <c r="C80" s="2" t="s">
        <v>203</v>
      </c>
      <c r="D80" s="2" t="s">
        <v>1921</v>
      </c>
      <c r="E80" s="2" t="s">
        <v>2249</v>
      </c>
      <c r="F80" s="2" t="s">
        <v>2250</v>
      </c>
      <c r="G80" s="2" t="b">
        <v>0</v>
      </c>
      <c r="H80" s="3">
        <f>COUNTIFS(RulebookFields!H2:H999, A80)</f>
        <v>8</v>
      </c>
      <c r="I80" s="3" t="b">
        <f>H80 &gt; 0</f>
        <v>1</v>
      </c>
      <c r="J80" s="2" t="s">
        <v>2251</v>
      </c>
      <c r="K80" s="2" t="s">
        <v>1939</v>
      </c>
    </row>
    <row r="81">
      <c r="A81" s="2" t="s">
        <v>2252</v>
      </c>
      <c r="B81" s="3" t="str">
        <f>C81 &amp; ": " &amp; LEFT(E81, 60)</f>
        <v>finance-analyst: Three of four verification outcomes in this model are self-w</v>
      </c>
      <c r="C81" s="2" t="s">
        <v>203</v>
      </c>
      <c r="D81" s="2" t="s">
        <v>1921</v>
      </c>
      <c r="E81" s="2" t="s">
        <v>2253</v>
      </c>
      <c r="F81" s="2" t="s">
        <v>2254</v>
      </c>
      <c r="G81" s="2" t="b">
        <v>0</v>
      </c>
      <c r="H81" s="3">
        <f>COUNTIFS(RulebookFields!H2:H999, A81)</f>
        <v>2</v>
      </c>
      <c r="I81" s="3" t="b">
        <f>H81 &gt; 0</f>
        <v>1</v>
      </c>
      <c r="J81" s="2" t="s">
        <v>2255</v>
      </c>
      <c r="K81" s="2" t="s">
        <v>1939</v>
      </c>
    </row>
    <row r="82">
      <c r="A82" s="2" t="s">
        <v>2256</v>
      </c>
      <c r="B82" s="3" t="str">
        <f>C82 &amp; ": " &amp; LEFT(E82, 60)</f>
        <v>controller: Of my four requirements that have a computed witness, on how</v>
      </c>
      <c r="C82" s="2" t="s">
        <v>208</v>
      </c>
      <c r="D82" s="2" t="s">
        <v>1921</v>
      </c>
      <c r="E82" s="2" t="s">
        <v>2257</v>
      </c>
      <c r="F82" s="2" t="s">
        <v>2258</v>
      </c>
      <c r="G82" s="2" t="b">
        <v>0</v>
      </c>
      <c r="H82" s="3">
        <f>COUNTIFS(RulebookFields!H2:H999, A82)</f>
        <v>8</v>
      </c>
      <c r="I82" s="3" t="b">
        <f>H82 &gt; 0</f>
        <v>1</v>
      </c>
      <c r="J82" s="2" t="s">
        <v>2259</v>
      </c>
      <c r="K82" s="2" t="s">
        <v>1939</v>
      </c>
    </row>
    <row r="83">
      <c r="A83" s="2" t="s">
        <v>2260</v>
      </c>
      <c r="B83" s="3" t="str">
        <f>C83 &amp; ": " &amp; LEFT(E83, 60)</f>
        <v>controller: For each control that has a witness, is the witness even eva</v>
      </c>
      <c r="C83" s="2" t="s">
        <v>208</v>
      </c>
      <c r="D83" s="2" t="s">
        <v>1921</v>
      </c>
      <c r="E83" s="2" t="s">
        <v>2261</v>
      </c>
      <c r="F83" s="2" t="s">
        <v>2262</v>
      </c>
      <c r="G83" s="2" t="b">
        <v>0</v>
      </c>
      <c r="H83" s="3">
        <f>COUNTIFS(RulebookFields!H2:H999, A83)</f>
        <v>8</v>
      </c>
      <c r="I83" s="3" t="b">
        <f>H83 &gt; 0</f>
        <v>1</v>
      </c>
      <c r="J83" s="2" t="s">
        <v>2263</v>
      </c>
      <c r="K83" s="2" t="s">
        <v>1939</v>
      </c>
    </row>
    <row r="84">
      <c r="A84" s="2" t="s">
        <v>2264</v>
      </c>
      <c r="B84" s="3" t="str">
        <f>C84 &amp; ": " &amp; LEFT(E84, 60)</f>
        <v>controller: SeparationOfDutiesHeld reads 2 of 2 and ViolatesSeparationOf</v>
      </c>
      <c r="C84" s="2" t="s">
        <v>208</v>
      </c>
      <c r="D84" s="2" t="s">
        <v>1921</v>
      </c>
      <c r="E84" s="2" t="s">
        <v>2265</v>
      </c>
      <c r="F84" s="2" t="s">
        <v>2266</v>
      </c>
      <c r="G84" s="2" t="b">
        <v>0</v>
      </c>
      <c r="H84" s="3">
        <f>COUNTIFS(RulebookFields!H2:H999, A84)</f>
        <v>8</v>
      </c>
      <c r="I84" s="3" t="b">
        <f>H84 &gt; 0</f>
        <v>1</v>
      </c>
      <c r="J84" s="2" t="s">
        <v>2267</v>
      </c>
      <c r="K84" s="2" t="s">
        <v>1939</v>
      </c>
    </row>
    <row r="85">
      <c r="A85" s="2" t="s">
        <v>2268</v>
      </c>
      <c r="B85" s="3" t="str">
        <f>C85 &amp; ": " &amp; LEFT(E85, 60)</f>
        <v>controller: Three satisfaction records are asserted-only. For each one, </v>
      </c>
      <c r="C85" s="2" t="s">
        <v>208</v>
      </c>
      <c r="D85" s="2" t="s">
        <v>1921</v>
      </c>
      <c r="E85" s="2" t="s">
        <v>2269</v>
      </c>
      <c r="F85" s="2" t="s">
        <v>2270</v>
      </c>
      <c r="G85" s="2" t="b">
        <v>0</v>
      </c>
      <c r="H85" s="3">
        <f>COUNTIFS(RulebookFields!H2:H999, A85)</f>
        <v>8</v>
      </c>
      <c r="I85" s="3" t="b">
        <f>H85 &gt; 0</f>
        <v>1</v>
      </c>
      <c r="J85" s="2" t="s">
        <v>2271</v>
      </c>
      <c r="K85" s="2" t="s">
        <v>1939</v>
      </c>
    </row>
    <row r="86">
      <c r="A86" s="2" t="s">
        <v>2272</v>
      </c>
      <c r="B86" s="3" t="str">
        <f>C86 &amp; ": " &amp; LEFT(E86, 60)</f>
        <v>controller: Both executions diverged from specification. For each diverg</v>
      </c>
      <c r="C86" s="2" t="s">
        <v>208</v>
      </c>
      <c r="D86" s="2" t="s">
        <v>1921</v>
      </c>
      <c r="E86" s="2" t="s">
        <v>2273</v>
      </c>
      <c r="F86" s="2" t="s">
        <v>2274</v>
      </c>
      <c r="G86" s="2" t="b">
        <v>0</v>
      </c>
      <c r="H86" s="3">
        <f>COUNTIFS(RulebookFields!H2:H999, A86)</f>
        <v>11</v>
      </c>
      <c r="I86" s="3" t="b">
        <f>H86 &gt; 0</f>
        <v>1</v>
      </c>
      <c r="J86" s="2" t="s">
        <v>2275</v>
      </c>
      <c r="K86" s="2" t="s">
        <v>1939</v>
      </c>
    </row>
    <row r="87">
      <c r="A87" s="2" t="s">
        <v>2276</v>
      </c>
      <c r="B87" s="3" t="str">
        <f>C87 &amp; ": " &amp; LEFT(E87, 60)</f>
        <v>cfo: When IsAttestationReady eventually reads TRUE, what proporti</v>
      </c>
      <c r="C87" s="2" t="s">
        <v>212</v>
      </c>
      <c r="D87" s="2" t="s">
        <v>1921</v>
      </c>
      <c r="E87" s="2" t="s">
        <v>2277</v>
      </c>
      <c r="F87" s="2" t="s">
        <v>2278</v>
      </c>
      <c r="G87" s="2" t="b">
        <v>0</v>
      </c>
      <c r="H87" s="3">
        <f>COUNTIFS(RulebookFields!H2:H999, A87)</f>
        <v>9</v>
      </c>
      <c r="I87" s="3" t="b">
        <f>H87 &gt; 0</f>
        <v>1</v>
      </c>
      <c r="J87" s="2" t="s">
        <v>2279</v>
      </c>
      <c r="K87" s="2" t="s">
        <v>1939</v>
      </c>
    </row>
    <row r="88">
      <c r="A88" s="2" t="s">
        <v>2280</v>
      </c>
      <c r="B88" s="3" t="str">
        <f>C88 &amp; ": " &amp; LEFT(E88, 60)</f>
        <v>cfo: If I re-run every attestation column against this same data </v>
      </c>
      <c r="C88" s="2" t="s">
        <v>212</v>
      </c>
      <c r="D88" s="2" t="s">
        <v>1921</v>
      </c>
      <c r="E88" s="2" t="s">
        <v>2281</v>
      </c>
      <c r="F88" s="2" t="s">
        <v>2282</v>
      </c>
      <c r="G88" s="2" t="b">
        <v>0</v>
      </c>
      <c r="H88" s="3">
        <f>COUNTIFS(RulebookFields!H2:H999, A88)</f>
        <v>0</v>
      </c>
      <c r="I88" s="3" t="b">
        <f>H88 &gt; 0</f>
        <v>0</v>
      </c>
      <c r="J88" s="2" t="s">
        <v>2283</v>
      </c>
      <c r="K88" s="2" t="s">
        <v>1939</v>
      </c>
    </row>
    <row r="89">
      <c r="A89" s="2" t="s">
        <v>2284</v>
      </c>
      <c r="B89" s="3" t="str">
        <f>C89 &amp; ": " &amp; LEFT(E89, 60)</f>
        <v>cfo: Three of four verification outcomes are self-witnessed and t</v>
      </c>
      <c r="C89" s="2" t="s">
        <v>212</v>
      </c>
      <c r="D89" s="2" t="s">
        <v>1921</v>
      </c>
      <c r="E89" s="2" t="s">
        <v>2285</v>
      </c>
      <c r="F89" s="2" t="s">
        <v>2286</v>
      </c>
      <c r="G89" s="2" t="b">
        <v>0</v>
      </c>
      <c r="H89" s="3">
        <f>COUNTIFS(RulebookFields!H2:H999, A89)</f>
        <v>5</v>
      </c>
      <c r="I89" s="3" t="b">
        <f>H89 &gt; 0</f>
        <v>1</v>
      </c>
      <c r="J89" s="2" t="s">
        <v>2287</v>
      </c>
      <c r="K89" s="2" t="s">
        <v>1939</v>
      </c>
    </row>
    <row r="90">
      <c r="A90" s="2" t="s">
        <v>2288</v>
      </c>
      <c r="B90" s="3" t="str">
        <f>C90 &amp; ": " &amp; LEFT(E90, 60)</f>
        <v>cfo: Nine of thirteen requirements have no computed witness and s</v>
      </c>
      <c r="C90" s="2" t="s">
        <v>212</v>
      </c>
      <c r="D90" s="2" t="s">
        <v>1921</v>
      </c>
      <c r="E90" s="2" t="s">
        <v>2289</v>
      </c>
      <c r="F90" s="2" t="s">
        <v>2290</v>
      </c>
      <c r="G90" s="2" t="b">
        <v>0</v>
      </c>
      <c r="H90" s="3">
        <f>COUNTIFS(RulebookFields!H2:H999, A90)</f>
        <v>8</v>
      </c>
      <c r="I90" s="3" t="b">
        <f>H90 &gt; 0</f>
        <v>1</v>
      </c>
      <c r="J90" s="2" t="s">
        <v>2291</v>
      </c>
      <c r="K90" s="2" t="s">
        <v>1939</v>
      </c>
    </row>
    <row r="91">
      <c r="A91" s="2" t="s">
        <v>2292</v>
      </c>
      <c r="B91" s="3" t="str">
        <f>C91 &amp; ": " &amp; LEFT(E91, 60)</f>
        <v>cfo: Since the moment I signed, has anything in this model change</v>
      </c>
      <c r="C91" s="2" t="s">
        <v>212</v>
      </c>
      <c r="D91" s="2" t="s">
        <v>1921</v>
      </c>
      <c r="E91" s="2" t="s">
        <v>2293</v>
      </c>
      <c r="F91" s="2" t="s">
        <v>2294</v>
      </c>
      <c r="G91" s="2" t="b">
        <v>0</v>
      </c>
      <c r="H91" s="3">
        <f>COUNTIFS(RulebookFields!H2:H999, A91)</f>
        <v>9</v>
      </c>
      <c r="I91" s="3" t="b">
        <f>H91 &gt; 0</f>
        <v>1</v>
      </c>
      <c r="J91" s="2" t="s">
        <v>2295</v>
      </c>
      <c r="K91" s="2" t="s">
        <v>1939</v>
      </c>
    </row>
    <row r="92">
      <c r="A92" s="2" t="s">
        <v>2296</v>
      </c>
      <c r="B92" s="3" t="str">
        <f>C92 &amp; ": " &amp; LEFT(E92, 60)</f>
        <v>communications-manager: I approved a template and authorized a campaign. Of everybod</v>
      </c>
      <c r="C92" s="2" t="s">
        <v>224</v>
      </c>
      <c r="D92" s="2" t="s">
        <v>1921</v>
      </c>
      <c r="E92" s="2" t="s">
        <v>2297</v>
      </c>
      <c r="F92" s="2" t="s">
        <v>2298</v>
      </c>
      <c r="G92" s="2" t="b">
        <v>0</v>
      </c>
      <c r="H92" s="3">
        <f>COUNTIFS(RulebookFields!H2:H999, A92)</f>
        <v>5</v>
      </c>
      <c r="I92" s="3" t="b">
        <f>H92 &gt; 0</f>
        <v>1</v>
      </c>
      <c r="J92" s="2" t="s">
        <v>2299</v>
      </c>
      <c r="K92" s="2" t="s">
        <v>1939</v>
      </c>
    </row>
    <row r="93">
      <c r="A93" s="2" t="s">
        <v>2300</v>
      </c>
      <c r="B93" s="3" t="str">
        <f>C93 &amp; ": " &amp; LEFT(E93, 60)</f>
        <v>communications-manager: One acknowledgement out of six deliveries. Is that because e</v>
      </c>
      <c r="C93" s="2" t="s">
        <v>224</v>
      </c>
      <c r="D93" s="2" t="s">
        <v>1921</v>
      </c>
      <c r="E93" s="2" t="s">
        <v>2301</v>
      </c>
      <c r="F93" s="2" t="s">
        <v>2302</v>
      </c>
      <c r="G93" s="2" t="b">
        <v>0</v>
      </c>
      <c r="H93" s="3">
        <f>COUNTIFS(RulebookFields!H2:H999, A93)</f>
        <v>0</v>
      </c>
      <c r="I93" s="3" t="b">
        <f>H93 &gt; 0</f>
        <v>0</v>
      </c>
      <c r="J93" s="2" t="s">
        <v>2303</v>
      </c>
      <c r="K93" s="2" t="s">
        <v>1939</v>
      </c>
    </row>
    <row r="94">
      <c r="A94" s="2" t="s">
        <v>2304</v>
      </c>
      <c r="B94" s="3" t="str">
        <f>C94 &amp; ": " &amp; LEFT(E94, 60)</f>
        <v>communications-manager: When the pipeline refused to send, was it refusing on a rule</v>
      </c>
      <c r="C94" s="2" t="s">
        <v>224</v>
      </c>
      <c r="D94" s="2" t="s">
        <v>1921</v>
      </c>
      <c r="E94" s="2" t="s">
        <v>2305</v>
      </c>
      <c r="F94" s="2" t="s">
        <v>2306</v>
      </c>
      <c r="G94" s="2" t="b">
        <v>0</v>
      </c>
      <c r="H94" s="3">
        <f>COUNTIFS(RulebookFields!H2:H999, A94)</f>
        <v>0</v>
      </c>
      <c r="I94" s="3" t="b">
        <f>H94 &gt; 0</f>
        <v>0</v>
      </c>
      <c r="J94" s="2" t="s">
        <v>2307</v>
      </c>
      <c r="K94" s="2" t="s">
        <v>1939</v>
      </c>
    </row>
    <row r="95">
      <c r="A95" s="2" t="s">
        <v>2308</v>
      </c>
      <c r="B95" s="3" t="str">
        <f>C95 &amp; ": " &amp; LEFT(E95, 60)</f>
        <v>communications-manager: For a message we sent last month, can I still show what I ap</v>
      </c>
      <c r="C95" s="2" t="s">
        <v>224</v>
      </c>
      <c r="D95" s="2" t="s">
        <v>1921</v>
      </c>
      <c r="E95" s="2" t="s">
        <v>2309</v>
      </c>
      <c r="F95" s="2" t="s">
        <v>2310</v>
      </c>
      <c r="G95" s="2" t="b">
        <v>0</v>
      </c>
      <c r="H95" s="3">
        <f>COUNTIFS(RulebookFields!H2:H999, A95)</f>
        <v>0</v>
      </c>
      <c r="I95" s="3" t="b">
        <f>H95 &gt; 0</f>
        <v>0</v>
      </c>
      <c r="J95" s="2" t="s">
        <v>2311</v>
      </c>
      <c r="K95" s="2" t="s">
        <v>1939</v>
      </c>
    </row>
    <row r="96">
      <c r="A96" s="2" t="s">
        <v>2312</v>
      </c>
      <c r="B96" s="3" t="str">
        <f>C96 &amp; ": " &amp; LEFT(E96, 60)</f>
        <v>communications-manager: When we correctly refused to reach somebody, did anyone ever</v>
      </c>
      <c r="C96" s="2" t="s">
        <v>224</v>
      </c>
      <c r="D96" s="2" t="s">
        <v>1921</v>
      </c>
      <c r="E96" s="2" t="s">
        <v>2313</v>
      </c>
      <c r="F96" s="2" t="s">
        <v>2314</v>
      </c>
      <c r="G96" s="2" t="b">
        <v>0</v>
      </c>
      <c r="H96" s="3">
        <f>COUNTIFS(RulebookFields!H2:H999, A96)</f>
        <v>0</v>
      </c>
      <c r="I96" s="3" t="b">
        <f>H96 &gt; 0</f>
        <v>0</v>
      </c>
      <c r="J96" s="2" t="s">
        <v>2315</v>
      </c>
      <c r="K96" s="2" t="s">
        <v>1939</v>
      </c>
    </row>
    <row r="97">
      <c r="A97" s="2" t="s">
        <v>2316</v>
      </c>
      <c r="B97" s="3" t="str">
        <f>C97 &amp; ": " &amp; LEFT(E97, 60)</f>
        <v>variance-review-agent: QualityRegressedVsPredecessor says I have not regressed. It </v>
      </c>
      <c r="C97" s="2" t="s">
        <v>232</v>
      </c>
      <c r="D97" s="2" t="s">
        <v>1921</v>
      </c>
      <c r="E97" s="2" t="s">
        <v>2317</v>
      </c>
      <c r="F97" s="2" t="s">
        <v>2318</v>
      </c>
      <c r="G97" s="2" t="b">
        <v>0</v>
      </c>
      <c r="H97" s="3">
        <f>COUNTIFS(RulebookFields!H2:H999, A97)</f>
        <v>8</v>
      </c>
      <c r="I97" s="3" t="b">
        <f>H97 &gt; 0</f>
        <v>1</v>
      </c>
      <c r="J97" s="2" t="s">
        <v>2319</v>
      </c>
      <c r="K97" s="2" t="s">
        <v>1939</v>
      </c>
    </row>
    <row r="98">
      <c r="A98" s="2" t="s">
        <v>2320</v>
      </c>
      <c r="B98" s="3" t="str">
        <f>C98 &amp; ": " &amp; LEFT(E98, 60)</f>
        <v>variance-review-agent: The boundary that constrains what I am allowed to decide is </v>
      </c>
      <c r="C98" s="2" t="s">
        <v>232</v>
      </c>
      <c r="D98" s="2" t="s">
        <v>1921</v>
      </c>
      <c r="E98" s="2" t="s">
        <v>2321</v>
      </c>
      <c r="F98" s="2" t="s">
        <v>2322</v>
      </c>
      <c r="G98" s="2" t="b">
        <v>0</v>
      </c>
      <c r="H98" s="3">
        <f>COUNTIFS(RulebookFields!H2:H999, A98)</f>
        <v>2</v>
      </c>
      <c r="I98" s="3" t="b">
        <f>H98 &gt; 0</f>
        <v>1</v>
      </c>
      <c r="J98" s="2" t="s">
        <v>2323</v>
      </c>
      <c r="K98" s="2" t="s">
        <v>1939</v>
      </c>
    </row>
    <row r="99">
      <c r="A99" s="2" t="s">
        <v>2324</v>
      </c>
      <c r="B99" s="3" t="str">
        <f>C99 &amp; ": " &amp; LEFT(E99, 60)</f>
        <v>variance-review-agent: One of my three decisions was overridden. Was that a correct</v>
      </c>
      <c r="C99" s="2" t="s">
        <v>232</v>
      </c>
      <c r="D99" s="2" t="s">
        <v>1921</v>
      </c>
      <c r="E99" s="2" t="s">
        <v>2325</v>
      </c>
      <c r="F99" s="2" t="s">
        <v>2326</v>
      </c>
      <c r="G99" s="2" t="b">
        <v>0</v>
      </c>
      <c r="H99" s="3">
        <f>COUNTIFS(RulebookFields!H2:H999, A99)</f>
        <v>2</v>
      </c>
      <c r="I99" s="3" t="b">
        <f>H99 &gt; 0</f>
        <v>1</v>
      </c>
      <c r="J99" s="2" t="s">
        <v>2327</v>
      </c>
      <c r="K99" s="2" t="s">
        <v>1939</v>
      </c>
    </row>
    <row r="100">
      <c r="A100" s="2" t="s">
        <v>2328</v>
      </c>
      <c r="B100" s="3" t="str">
        <f>C100 &amp; ": " &amp; LEFT(E100, 60)</f>
        <v>variance-review-agent: Mine is the one non-human assignment with a recorded approvi</v>
      </c>
      <c r="C100" s="2" t="s">
        <v>232</v>
      </c>
      <c r="D100" s="2" t="s">
        <v>1921</v>
      </c>
      <c r="E100" s="2" t="s">
        <v>2329</v>
      </c>
      <c r="F100" s="2" t="s">
        <v>2330</v>
      </c>
      <c r="G100" s="2" t="b">
        <v>0</v>
      </c>
      <c r="H100" s="3">
        <f>COUNTIFS(RulebookFields!H2:H999, A100)</f>
        <v>8</v>
      </c>
      <c r="I100" s="3" t="b">
        <f>H100 &gt; 0</f>
        <v>1</v>
      </c>
      <c r="J100" s="2" t="s">
        <v>2331</v>
      </c>
      <c r="K100" s="2" t="s">
        <v>1939</v>
      </c>
    </row>
    <row r="101">
      <c r="A101" s="2" t="s">
        <v>2332</v>
      </c>
      <c r="B101" s="3" t="str">
        <f>C101 &amp; ": " &amp; LEFT(E101, 60)</f>
        <v>variance-review-agent: Every witness in this model detects something after it has h</v>
      </c>
      <c r="C101" s="2" t="s">
        <v>232</v>
      </c>
      <c r="D101" s="2" t="s">
        <v>1921</v>
      </c>
      <c r="E101" s="2" t="s">
        <v>2333</v>
      </c>
      <c r="F101" s="2" t="s">
        <v>2334</v>
      </c>
      <c r="G101" s="2" t="b">
        <v>0</v>
      </c>
      <c r="H101" s="3">
        <f>COUNTIFS(RulebookFields!H2:H999, A101)</f>
        <v>8</v>
      </c>
      <c r="I101" s="3" t="b">
        <f>H101 &gt; 0</f>
        <v>1</v>
      </c>
      <c r="J101" s="2" t="s">
        <v>2335</v>
      </c>
      <c r="K101" s="2" t="s">
        <v>1939</v>
      </c>
    </row>
    <row r="102">
      <c r="A102" s="2" t="s">
        <v>2336</v>
      </c>
      <c r="B102" s="3" t="str">
        <f>C102 &amp; ": " &amp; LEFT(E102, 60)</f>
        <v>notification-publisher: For every intent I refused, did I emit an artifact -- a supp</v>
      </c>
      <c r="C102" s="2" t="s">
        <v>240</v>
      </c>
      <c r="D102" s="2" t="s">
        <v>1921</v>
      </c>
      <c r="E102" s="2" t="s">
        <v>2337</v>
      </c>
      <c r="F102" s="2" t="s">
        <v>2338</v>
      </c>
      <c r="G102" s="2" t="b">
        <v>0</v>
      </c>
      <c r="H102" s="3">
        <f>COUNTIFS(RulebookFields!H2:H999, A102)</f>
        <v>3</v>
      </c>
      <c r="I102" s="3" t="b">
        <f>H102 &gt; 0</f>
        <v>1</v>
      </c>
      <c r="J102" s="2" t="s">
        <v>2339</v>
      </c>
      <c r="K102" s="2" t="s">
        <v>1939</v>
      </c>
    </row>
    <row r="103">
      <c r="A103" s="2" t="s">
        <v>2340</v>
      </c>
      <c r="B103" s="3" t="str">
        <f>C103 &amp; ": " &amp; LEFT(E103, 60)</f>
        <v>notification-publisher: The timing gate is the only gate whose refusal is temporary </v>
      </c>
      <c r="C103" s="2" t="s">
        <v>240</v>
      </c>
      <c r="D103" s="2" t="s">
        <v>1921</v>
      </c>
      <c r="E103" s="2" t="s">
        <v>2341</v>
      </c>
      <c r="F103" s="2" t="s">
        <v>2342</v>
      </c>
      <c r="G103" s="2" t="b">
        <v>0</v>
      </c>
      <c r="H103" s="3">
        <f>COUNTIFS(RulebookFields!H2:H999, A103)</f>
        <v>0</v>
      </c>
      <c r="I103" s="3" t="b">
        <f>H103 &gt; 0</f>
        <v>0</v>
      </c>
      <c r="J103" s="2" t="s">
        <v>2343</v>
      </c>
      <c r="K103" s="2" t="s">
        <v>1939</v>
      </c>
    </row>
    <row r="104">
      <c r="A104" s="2" t="s">
        <v>2344</v>
      </c>
      <c r="B104" s="3" t="str">
        <f>C104 &amp; ": " &amp; LEFT(E104, 60)</f>
        <v>notification-publisher: I enforce authorization rules on every message I touch. By w</v>
      </c>
      <c r="C104" s="2" t="s">
        <v>240</v>
      </c>
      <c r="D104" s="2" t="s">
        <v>1921</v>
      </c>
      <c r="E104" s="2" t="s">
        <v>2345</v>
      </c>
      <c r="F104" s="2" t="s">
        <v>2346</v>
      </c>
      <c r="G104" s="2" t="b">
        <v>0</v>
      </c>
      <c r="H104" s="3">
        <f>COUNTIFS(RulebookFields!H2:H999, A104)</f>
        <v>8</v>
      </c>
      <c r="I104" s="3" t="b">
        <f>H104 &gt; 0</f>
        <v>1</v>
      </c>
      <c r="J104" s="2" t="s">
        <v>2347</v>
      </c>
      <c r="K104" s="2" t="s">
        <v>1939</v>
      </c>
    </row>
    <row r="105">
      <c r="A105" s="2" t="s">
        <v>2348</v>
      </c>
      <c r="B105" s="3" t="str">
        <f>C105 &amp; ": " &amp; LEFT(E105, 60)</f>
        <v>notification-publisher: Every gate I evaluate, I evaluate alone, and every result I </v>
      </c>
      <c r="C105" s="2" t="s">
        <v>240</v>
      </c>
      <c r="D105" s="2" t="s">
        <v>1921</v>
      </c>
      <c r="E105" s="2" t="s">
        <v>2349</v>
      </c>
      <c r="F105" s="2" t="s">
        <v>2350</v>
      </c>
      <c r="G105" s="2" t="b">
        <v>0</v>
      </c>
      <c r="H105" s="3">
        <f>COUNTIFS(RulebookFields!H2:H999, A105)</f>
        <v>2</v>
      </c>
      <c r="I105" s="3" t="b">
        <f>H105 &gt; 0</f>
        <v>1</v>
      </c>
      <c r="J105" s="2" t="s">
        <v>2351</v>
      </c>
      <c r="K105" s="2" t="s">
        <v>1939</v>
      </c>
    </row>
    <row r="106">
      <c r="A106" s="2" t="s">
        <v>2352</v>
      </c>
      <c r="B106" s="3" t="str">
        <f>C106 &amp; ": " &amp; LEFT(E106, 60)</f>
        <v>notification-publisher: policy-08 makes me responsible for collecting acknowledgemen</v>
      </c>
      <c r="C106" s="2" t="s">
        <v>240</v>
      </c>
      <c r="D106" s="2" t="s">
        <v>1921</v>
      </c>
      <c r="E106" s="2" t="s">
        <v>2353</v>
      </c>
      <c r="F106" s="2" t="s">
        <v>2354</v>
      </c>
      <c r="G106" s="2" t="b">
        <v>0</v>
      </c>
      <c r="H106" s="3">
        <f>COUNTIFS(RulebookFields!H2:H999, A106)</f>
        <v>0</v>
      </c>
      <c r="I106" s="3" t="b">
        <f>H106 &gt; 0</f>
        <v>0</v>
      </c>
      <c r="J106" s="2" t="s">
        <v>2355</v>
      </c>
      <c r="K106" s="2" t="s">
        <v>1939</v>
      </c>
    </row>
    <row r="107">
      <c r="A107" s="2" t="s">
        <v>2356</v>
      </c>
      <c r="B107" s="3" t="str">
        <f>C107 &amp; ": " &amp; LEFT(E107, 60)</f>
        <v>process-steward: The event log from the ERP shows close-v1.1.0 running with 8</v>
      </c>
      <c r="C107" s="2" t="s">
        <v>244</v>
      </c>
      <c r="D107" s="2" t="s">
        <v>1924</v>
      </c>
      <c r="E107" s="2" t="s">
        <v>2357</v>
      </c>
      <c r="F107" s="2" t="s">
        <v>2358</v>
      </c>
      <c r="G107" s="2" t="b">
        <v>0</v>
      </c>
      <c r="H107" s="3">
        <f>COUNTIFS(RulebookFields!H2:H999, A107)</f>
        <v>3</v>
      </c>
      <c r="I107" s="3" t="b">
        <f>H107 &gt; 0</f>
        <v>1</v>
      </c>
      <c r="J107" s="2" t="s">
        <v>2359</v>
      </c>
      <c r="K107" s="2" t="s">
        <v>1939</v>
      </c>
    </row>
    <row r="108">
      <c r="A108" s="2" t="s">
        <v>2360</v>
      </c>
      <c r="B108" s="3" t="str">
        <f>C108 &amp; ": " &amp; LEFT(E108, 60)</f>
        <v>knowledge-authority: req-close-evidence and req-policy-retention both restate the</v>
      </c>
      <c r="C108" s="2" t="s">
        <v>248</v>
      </c>
      <c r="D108" s="2" t="s">
        <v>1924</v>
      </c>
      <c r="E108" s="2" t="s">
        <v>2361</v>
      </c>
      <c r="F108" s="2" t="s">
        <v>2362</v>
      </c>
      <c r="G108" s="2" t="b">
        <v>0</v>
      </c>
      <c r="H108" s="3">
        <f>COUNTIFS(RulebookFields!H2:H999, A108)</f>
        <v>2</v>
      </c>
      <c r="I108" s="3" t="b">
        <f>H108 &gt; 0</f>
        <v>1</v>
      </c>
      <c r="J108" s="2" t="s">
        <v>2363</v>
      </c>
      <c r="K108" s="2" t="s">
        <v>1939</v>
      </c>
    </row>
    <row r="109">
      <c r="A109" s="2" t="s">
        <v>2364</v>
      </c>
      <c r="B109" s="3" t="str">
        <f>C109 &amp; ": " &amp; LEFT(E109, 60)</f>
        <v>knowledge-authority: RoleAssignments says who is FORMALLY responsible for reconci</v>
      </c>
      <c r="C109" s="2" t="s">
        <v>248</v>
      </c>
      <c r="D109" s="2" t="s">
        <v>1924</v>
      </c>
      <c r="E109" s="2" t="s">
        <v>2365</v>
      </c>
      <c r="F109" s="2" t="s">
        <v>2366</v>
      </c>
      <c r="G109" s="2" t="b">
        <v>0</v>
      </c>
      <c r="H109" s="3">
        <f>COUNTIFS(RulebookFields!H2:H999, A109)</f>
        <v>4</v>
      </c>
      <c r="I109" s="3" t="b">
        <f>H109 &gt; 0</f>
        <v>1</v>
      </c>
      <c r="J109" s="2" t="s">
        <v>2367</v>
      </c>
      <c r="K109" s="2" t="s">
        <v>1939</v>
      </c>
    </row>
    <row r="110">
      <c r="A110" s="2" t="s">
        <v>2368</v>
      </c>
      <c r="B110" s="3" t="str">
        <f>C110 &amp; ": " &amp; LEFT(E110, 60)</f>
        <v>knowledge-authority: This rulebook compiles into Postgres, Python, Go, TypeScript</v>
      </c>
      <c r="C110" s="2" t="s">
        <v>248</v>
      </c>
      <c r="D110" s="2"/>
      <c r="E110" s="2" t="s">
        <v>2369</v>
      </c>
      <c r="F110" s="2" t="s">
        <v>2370</v>
      </c>
      <c r="G110" s="2" t="s">
        <v>2371</v>
      </c>
      <c r="H110" s="3">
        <f>COUNTIFS(RulebookFields!H2:H999, A110)</f>
        <v>0</v>
      </c>
      <c r="I110" s="3" t="b">
        <f>H110 &gt; 0</f>
        <v>0</v>
      </c>
      <c r="J110" s="2"/>
      <c r="K110" s="2" t="s">
        <v>1939</v>
      </c>
    </row>
  </sheetData>
  <autoFilter ref="A1:K1"/>
  <headerFooter/>
  <legacyDrawing r:id="rId1"/>
</worksheet>
</file>

<file path=xl/worksheets/sheet5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880"/>
  <sheetViews>
    <sheetView workbookViewId="0">
      <pane ySplit="1" topLeftCell="A2" state="frozen" activePane="bottomLeft"/>
      <selection pane="bottomLeft" activeCell="A1" sqref="A1"/>
    </sheetView>
  </sheetViews>
  <sheetFormatPr defaultRowHeight="15"/>
  <cols>
    <col min="1" max="1" width="61.33533477783203" customWidth="1"/>
    <col min="2" max="2" width="61.33533477783203" customWidth="1"/>
    <col min="3" max="3" width="25.653127670288086" customWidth="1"/>
    <col min="4" max="4" width="41.25803756713867" customWidth="1"/>
    <col min="5" max="5" width="17.443378448486328" customWidth="1"/>
    <col min="6" max="6" width="17.443378448486328" customWidth="1"/>
    <col min="7" max="7" width="256" customWidth="1"/>
    <col min="8" max="8" width="53.72490310668945" customWidth="1"/>
    <col min="9" max="9" width="17.443378448486328" customWidth="1"/>
    <col min="10" max="10" width="17.443378448486328" customWidth="1"/>
    <col min="11" max="11" width="26.94477653503418" customWidth="1"/>
    <col min="12" max="12" width="21.788711547851562" customWidth="1"/>
    <col min="13" max="13" width="41.86791229248047" customWidth="1"/>
  </cols>
  <sheetData>
    <row r="1">
      <c r="A1" s="1" t="s">
        <v>2372</v>
      </c>
      <c r="B1" s="1" t="s">
        <v>1</v>
      </c>
      <c r="C1" s="1" t="s">
        <v>2373</v>
      </c>
      <c r="D1" s="1" t="s">
        <v>2374</v>
      </c>
      <c r="E1" s="1" t="s">
        <v>2375</v>
      </c>
      <c r="F1" s="1" t="s">
        <v>2376</v>
      </c>
      <c r="G1" s="1" t="s">
        <v>2377</v>
      </c>
      <c r="H1" s="1" t="s">
        <v>2378</v>
      </c>
      <c r="I1" s="1" t="s">
        <v>2379</v>
      </c>
      <c r="J1" s="1" t="s">
        <v>2380</v>
      </c>
      <c r="K1" s="1" t="s">
        <v>2381</v>
      </c>
      <c r="L1" s="1" t="s">
        <v>2382</v>
      </c>
      <c r="M1" s="1" t="s">
        <v>94</v>
      </c>
    </row>
    <row r="2">
      <c r="A2" s="2" t="s">
        <v>2383</v>
      </c>
      <c r="B2" s="3" t="str">
        <f>C2 &amp; "." &amp; D2</f>
        <v>RulebookReleases.RulebookReleaseId</v>
      </c>
      <c r="C2" s="2" t="s">
        <v>2384</v>
      </c>
      <c r="D2" s="2" t="s">
        <v>0</v>
      </c>
      <c r="E2" s="2" t="s">
        <v>2385</v>
      </c>
      <c r="F2" s="2" t="s">
        <v>2386</v>
      </c>
      <c r="G2" s="2"/>
      <c r="H2" s="2"/>
      <c r="I2" s="3" t="b">
        <f>OR(E2 = "calculated", E2 = "lookup", E2 = "aggregation")</f>
        <v>0</v>
      </c>
      <c r="J2" s="3" t="b">
        <f>H2 &lt;&gt; ""</f>
        <v>0</v>
      </c>
      <c r="K2" s="3">
        <f>COUNTIFS(FieldDisagreements!D2:D999, A2)</f>
        <v>0</v>
      </c>
      <c r="L2" s="3" t="b">
        <f>K2 &gt; 0</f>
        <v>0</v>
      </c>
      <c r="M2" s="2" t="s">
        <v>2387</v>
      </c>
    </row>
    <row r="3">
      <c r="A3" s="2" t="s">
        <v>2388</v>
      </c>
      <c r="B3" s="3" t="str">
        <f>C3 &amp; "." &amp; D3</f>
        <v>RulebookReleases.Name</v>
      </c>
      <c r="C3" s="2" t="s">
        <v>2384</v>
      </c>
      <c r="D3" s="2" t="s">
        <v>1</v>
      </c>
      <c r="E3" s="2" t="s">
        <v>2389</v>
      </c>
      <c r="F3" s="2" t="s">
        <v>2386</v>
      </c>
      <c r="G3" s="2" t="s">
        <v>2390</v>
      </c>
      <c r="H3" s="2"/>
      <c r="I3" s="3" t="b">
        <f>OR(E3 = "calculated", E3 = "lookup", E3 = "aggregation")</f>
        <v>1</v>
      </c>
      <c r="J3" s="3" t="b">
        <f>H3 &lt;&gt; ""</f>
        <v>0</v>
      </c>
      <c r="K3" s="3">
        <f>COUNTIFS(FieldDisagreements!D2:D999, A3)</f>
        <v>1</v>
      </c>
      <c r="L3" s="3" t="b">
        <f>K3 &gt; 0</f>
        <v>1</v>
      </c>
      <c r="M3" s="2" t="s">
        <v>2387</v>
      </c>
    </row>
    <row r="4">
      <c r="A4" s="2" t="s">
        <v>2391</v>
      </c>
      <c r="B4" s="3" t="str">
        <f>C4 &amp; "." &amp; D4</f>
        <v>RulebookReleases.RulebookVersion</v>
      </c>
      <c r="C4" s="2" t="s">
        <v>2384</v>
      </c>
      <c r="D4" s="2" t="s">
        <v>2</v>
      </c>
      <c r="E4" s="2" t="s">
        <v>2385</v>
      </c>
      <c r="F4" s="2" t="s">
        <v>2386</v>
      </c>
      <c r="G4" s="2"/>
      <c r="H4" s="2"/>
      <c r="I4" s="3" t="b">
        <f>OR(E4 = "calculated", E4 = "lookup", E4 = "aggregation")</f>
        <v>0</v>
      </c>
      <c r="J4" s="3" t="b">
        <f>H4 &lt;&gt; ""</f>
        <v>0</v>
      </c>
      <c r="K4" s="3">
        <f>COUNTIFS(FieldDisagreements!D2:D999, A4)</f>
        <v>0</v>
      </c>
      <c r="L4" s="3" t="b">
        <f>K4 &gt; 0</f>
        <v>0</v>
      </c>
      <c r="M4" s="2" t="s">
        <v>2387</v>
      </c>
    </row>
    <row r="5">
      <c r="A5" s="2" t="s">
        <v>2392</v>
      </c>
      <c r="B5" s="3" t="str">
        <f>C5 &amp; "." &amp; D5</f>
        <v>RulebookReleases.ProfileVersion</v>
      </c>
      <c r="C5" s="2" t="s">
        <v>2384</v>
      </c>
      <c r="D5" s="2" t="s">
        <v>3</v>
      </c>
      <c r="E5" s="2" t="s">
        <v>2385</v>
      </c>
      <c r="F5" s="2" t="s">
        <v>2386</v>
      </c>
      <c r="G5" s="2"/>
      <c r="H5" s="2"/>
      <c r="I5" s="3" t="b">
        <f>OR(E5 = "calculated", E5 = "lookup", E5 = "aggregation")</f>
        <v>0</v>
      </c>
      <c r="J5" s="3" t="b">
        <f>H5 &lt;&gt; ""</f>
        <v>0</v>
      </c>
      <c r="K5" s="3">
        <f>COUNTIFS(FieldDisagreements!D2:D999, A5)</f>
        <v>0</v>
      </c>
      <c r="L5" s="3" t="b">
        <f>K5 &gt; 0</f>
        <v>0</v>
      </c>
      <c r="M5" s="2" t="s">
        <v>2387</v>
      </c>
    </row>
    <row r="6">
      <c r="A6" s="2" t="s">
        <v>2393</v>
      </c>
      <c r="B6" s="3" t="str">
        <f>C6 &amp; "." &amp; D6</f>
        <v>RulebookReleases.ProfileSchemaPath</v>
      </c>
      <c r="C6" s="2" t="s">
        <v>2384</v>
      </c>
      <c r="D6" s="2" t="s">
        <v>4</v>
      </c>
      <c r="E6" s="2" t="s">
        <v>2385</v>
      </c>
      <c r="F6" s="2" t="s">
        <v>2386</v>
      </c>
      <c r="G6" s="2"/>
      <c r="H6" s="2"/>
      <c r="I6" s="3" t="b">
        <f>OR(E6 = "calculated", E6 = "lookup", E6 = "aggregation")</f>
        <v>0</v>
      </c>
      <c r="J6" s="3" t="b">
        <f>H6 &lt;&gt; ""</f>
        <v>0</v>
      </c>
      <c r="K6" s="3">
        <f>COUNTIFS(FieldDisagreements!D2:D999, A6)</f>
        <v>0</v>
      </c>
      <c r="L6" s="3" t="b">
        <f>K6 &gt; 0</f>
        <v>0</v>
      </c>
      <c r="M6" s="2" t="s">
        <v>2387</v>
      </c>
    </row>
    <row r="7">
      <c r="A7" s="2" t="s">
        <v>2394</v>
      </c>
      <c r="B7" s="3" t="str">
        <f>C7 &amp; "." &amp; D7</f>
        <v>RulebookReleases.PkoCoreVersionIri</v>
      </c>
      <c r="C7" s="2" t="s">
        <v>2384</v>
      </c>
      <c r="D7" s="2" t="s">
        <v>5</v>
      </c>
      <c r="E7" s="2" t="s">
        <v>2385</v>
      </c>
      <c r="F7" s="2" t="s">
        <v>2386</v>
      </c>
      <c r="G7" s="2"/>
      <c r="H7" s="2"/>
      <c r="I7" s="3" t="b">
        <f>OR(E7 = "calculated", E7 = "lookup", E7 = "aggregation")</f>
        <v>0</v>
      </c>
      <c r="J7" s="3" t="b">
        <f>H7 &lt;&gt; ""</f>
        <v>0</v>
      </c>
      <c r="K7" s="3">
        <f>COUNTIFS(FieldDisagreements!D2:D999, A7)</f>
        <v>0</v>
      </c>
      <c r="L7" s="3" t="b">
        <f>K7 &gt; 0</f>
        <v>0</v>
      </c>
      <c r="M7" s="2" t="s">
        <v>2387</v>
      </c>
    </row>
    <row r="8">
      <c r="A8" s="2" t="s">
        <v>2395</v>
      </c>
      <c r="B8" s="3" t="str">
        <f>C8 &amp; "." &amp; D8</f>
        <v>RulebookReleases.PkoIndustryVersionIri</v>
      </c>
      <c r="C8" s="2" t="s">
        <v>2384</v>
      </c>
      <c r="D8" s="2" t="s">
        <v>6</v>
      </c>
      <c r="E8" s="2" t="s">
        <v>2385</v>
      </c>
      <c r="F8" s="2" t="s">
        <v>2386</v>
      </c>
      <c r="G8" s="2"/>
      <c r="H8" s="2"/>
      <c r="I8" s="3" t="b">
        <f>OR(E8 = "calculated", E8 = "lookup", E8 = "aggregation")</f>
        <v>0</v>
      </c>
      <c r="J8" s="3" t="b">
        <f>H8 &lt;&gt; ""</f>
        <v>0</v>
      </c>
      <c r="K8" s="3">
        <f>COUNTIFS(FieldDisagreements!D2:D999, A8)</f>
        <v>0</v>
      </c>
      <c r="L8" s="3" t="b">
        <f>K8 &gt; 0</f>
        <v>0</v>
      </c>
      <c r="M8" s="2" t="s">
        <v>2387</v>
      </c>
    </row>
    <row r="9">
      <c r="A9" s="2" t="s">
        <v>2396</v>
      </c>
      <c r="B9" s="3" t="str">
        <f>C9 &amp; "." &amp; D9</f>
        <v>RulebookReleases.IssuedAt</v>
      </c>
      <c r="C9" s="2" t="s">
        <v>2384</v>
      </c>
      <c r="D9" s="2" t="s">
        <v>7</v>
      </c>
      <c r="E9" s="2" t="s">
        <v>2385</v>
      </c>
      <c r="F9" s="2" t="s">
        <v>2397</v>
      </c>
      <c r="G9" s="2"/>
      <c r="H9" s="2"/>
      <c r="I9" s="3" t="b">
        <f>OR(E9 = "calculated", E9 = "lookup", E9 = "aggregation")</f>
        <v>0</v>
      </c>
      <c r="J9" s="3" t="b">
        <f>H9 &lt;&gt; ""</f>
        <v>0</v>
      </c>
      <c r="K9" s="3">
        <f>COUNTIFS(FieldDisagreements!D2:D999, A9)</f>
        <v>0</v>
      </c>
      <c r="L9" s="3" t="b">
        <f>K9 &gt; 0</f>
        <v>0</v>
      </c>
      <c r="M9" s="2" t="s">
        <v>2387</v>
      </c>
    </row>
    <row r="10">
      <c r="A10" s="2" t="s">
        <v>2398</v>
      </c>
      <c r="B10" s="3" t="str">
        <f>C10 &amp; "." &amp; D10</f>
        <v>RulebookReleases.Status</v>
      </c>
      <c r="C10" s="2" t="s">
        <v>2384</v>
      </c>
      <c r="D10" s="2" t="s">
        <v>8</v>
      </c>
      <c r="E10" s="2" t="s">
        <v>2385</v>
      </c>
      <c r="F10" s="2" t="s">
        <v>2386</v>
      </c>
      <c r="G10" s="2"/>
      <c r="H10" s="2"/>
      <c r="I10" s="3" t="b">
        <f>OR(E10 = "calculated", E10 = "lookup", E10 = "aggregation")</f>
        <v>0</v>
      </c>
      <c r="J10" s="3" t="b">
        <f>H10 &lt;&gt; ""</f>
        <v>0</v>
      </c>
      <c r="K10" s="3">
        <f>COUNTIFS(FieldDisagreements!D2:D999, A10)</f>
        <v>0</v>
      </c>
      <c r="L10" s="3" t="b">
        <f>K10 &gt; 0</f>
        <v>0</v>
      </c>
      <c r="M10" s="2" t="s">
        <v>2387</v>
      </c>
    </row>
    <row r="11">
      <c r="A11" s="2" t="s">
        <v>2399</v>
      </c>
      <c r="B11" s="3" t="str">
        <f>C11 &amp; "." &amp; D11</f>
        <v>RulebookReleases.Changelog</v>
      </c>
      <c r="C11" s="2" t="s">
        <v>2384</v>
      </c>
      <c r="D11" s="2" t="s">
        <v>9</v>
      </c>
      <c r="E11" s="2" t="s">
        <v>2385</v>
      </c>
      <c r="F11" s="2" t="s">
        <v>2386</v>
      </c>
      <c r="G11" s="2"/>
      <c r="H11" s="2"/>
      <c r="I11" s="3" t="b">
        <f>OR(E11 = "calculated", E11 = "lookup", E11 = "aggregation")</f>
        <v>0</v>
      </c>
      <c r="J11" s="3" t="b">
        <f>H11 &lt;&gt; ""</f>
        <v>0</v>
      </c>
      <c r="K11" s="3">
        <f>COUNTIFS(FieldDisagreements!D2:D999, A11)</f>
        <v>0</v>
      </c>
      <c r="L11" s="3" t="b">
        <f>K11 &gt; 0</f>
        <v>0</v>
      </c>
      <c r="M11" s="2" t="s">
        <v>2387</v>
      </c>
    </row>
    <row r="12">
      <c r="A12" s="2" t="s">
        <v>2400</v>
      </c>
      <c r="B12" s="3" t="str">
        <f>C12 &amp; "." &amp; D12</f>
        <v>RulebookReleases.IsCurrent</v>
      </c>
      <c r="C12" s="2" t="s">
        <v>2384</v>
      </c>
      <c r="D12" s="2" t="s">
        <v>10</v>
      </c>
      <c r="E12" s="2" t="s">
        <v>2385</v>
      </c>
      <c r="F12" s="2" t="s">
        <v>2401</v>
      </c>
      <c r="G12" s="2"/>
      <c r="H12" s="2"/>
      <c r="I12" s="3" t="b">
        <f>OR(E12 = "calculated", E12 = "lookup", E12 = "aggregation")</f>
        <v>0</v>
      </c>
      <c r="J12" s="3" t="b">
        <f>H12 &lt;&gt; ""</f>
        <v>0</v>
      </c>
      <c r="K12" s="3">
        <f>COUNTIFS(FieldDisagreements!D2:D999, A12)</f>
        <v>0</v>
      </c>
      <c r="L12" s="3" t="b">
        <f>K12 &gt; 0</f>
        <v>0</v>
      </c>
      <c r="M12" s="2" t="s">
        <v>2387</v>
      </c>
    </row>
    <row r="13">
      <c r="A13" s="2" t="s">
        <v>2402</v>
      </c>
      <c r="B13" s="3" t="str">
        <f>C13 &amp; "." &amp; D13</f>
        <v>OntologyProfiles.OntologyProfileId</v>
      </c>
      <c r="C13" s="2" t="s">
        <v>2403</v>
      </c>
      <c r="D13" s="2" t="s">
        <v>18</v>
      </c>
      <c r="E13" s="2" t="s">
        <v>2385</v>
      </c>
      <c r="F13" s="2" t="s">
        <v>2386</v>
      </c>
      <c r="G13" s="2"/>
      <c r="H13" s="2"/>
      <c r="I13" s="3" t="b">
        <f>OR(E13 = "calculated", E13 = "lookup", E13 = "aggregation")</f>
        <v>0</v>
      </c>
      <c r="J13" s="3" t="b">
        <f>H13 &lt;&gt; ""</f>
        <v>0</v>
      </c>
      <c r="K13" s="3">
        <f>COUNTIFS(FieldDisagreements!D2:D999, A13)</f>
        <v>0</v>
      </c>
      <c r="L13" s="3" t="b">
        <f>K13 &gt; 0</f>
        <v>0</v>
      </c>
      <c r="M13" s="2" t="s">
        <v>2387</v>
      </c>
    </row>
    <row r="14">
      <c r="A14" s="2" t="s">
        <v>2404</v>
      </c>
      <c r="B14" s="3" t="str">
        <f>C14 &amp; "." &amp; D14</f>
        <v>OntologyProfiles.Name</v>
      </c>
      <c r="C14" s="2" t="s">
        <v>2403</v>
      </c>
      <c r="D14" s="2" t="s">
        <v>1</v>
      </c>
      <c r="E14" s="2" t="s">
        <v>2389</v>
      </c>
      <c r="F14" s="2" t="s">
        <v>2386</v>
      </c>
      <c r="G14" s="2" t="s">
        <v>2405</v>
      </c>
      <c r="H14" s="2"/>
      <c r="I14" s="3" t="b">
        <f>OR(E14 = "calculated", E14 = "lookup", E14 = "aggregation")</f>
        <v>1</v>
      </c>
      <c r="J14" s="3" t="b">
        <f>H14 &lt;&gt; ""</f>
        <v>0</v>
      </c>
      <c r="K14" s="3">
        <f>COUNTIFS(FieldDisagreements!D2:D999, A14)</f>
        <v>0</v>
      </c>
      <c r="L14" s="3" t="b">
        <f>K14 &gt; 0</f>
        <v>0</v>
      </c>
      <c r="M14" s="2" t="s">
        <v>2387</v>
      </c>
    </row>
    <row r="15">
      <c r="A15" s="2" t="s">
        <v>2406</v>
      </c>
      <c r="B15" s="3" t="str">
        <f>C15 &amp; "." &amp; D15</f>
        <v>OntologyProfiles.Label</v>
      </c>
      <c r="C15" s="2" t="s">
        <v>2403</v>
      </c>
      <c r="D15" s="2" t="s">
        <v>19</v>
      </c>
      <c r="E15" s="2" t="s">
        <v>2385</v>
      </c>
      <c r="F15" s="2" t="s">
        <v>2386</v>
      </c>
      <c r="G15" s="2"/>
      <c r="H15" s="2"/>
      <c r="I15" s="3" t="b">
        <f>OR(E15 = "calculated", E15 = "lookup", E15 = "aggregation")</f>
        <v>0</v>
      </c>
      <c r="J15" s="3" t="b">
        <f>H15 &lt;&gt; ""</f>
        <v>0</v>
      </c>
      <c r="K15" s="3">
        <f>COUNTIFS(FieldDisagreements!D2:D999, A15)</f>
        <v>0</v>
      </c>
      <c r="L15" s="3" t="b">
        <f>K15 &gt; 0</f>
        <v>0</v>
      </c>
      <c r="M15" s="2" t="s">
        <v>2387</v>
      </c>
    </row>
    <row r="16">
      <c r="A16" s="2" t="s">
        <v>2407</v>
      </c>
      <c r="B16" s="3" t="str">
        <f>C16 &amp; "." &amp; D16</f>
        <v>OntologyProfiles.Version</v>
      </c>
      <c r="C16" s="2" t="s">
        <v>2403</v>
      </c>
      <c r="D16" s="2" t="s">
        <v>20</v>
      </c>
      <c r="E16" s="2" t="s">
        <v>2385</v>
      </c>
      <c r="F16" s="2" t="s">
        <v>2386</v>
      </c>
      <c r="G16" s="2"/>
      <c r="H16" s="2"/>
      <c r="I16" s="3" t="b">
        <f>OR(E16 = "calculated", E16 = "lookup", E16 = "aggregation")</f>
        <v>0</v>
      </c>
      <c r="J16" s="3" t="b">
        <f>H16 &lt;&gt; ""</f>
        <v>0</v>
      </c>
      <c r="K16" s="3">
        <f>COUNTIFS(FieldDisagreements!D2:D999, A16)</f>
        <v>0</v>
      </c>
      <c r="L16" s="3" t="b">
        <f>K16 &gt; 0</f>
        <v>0</v>
      </c>
      <c r="M16" s="2" t="s">
        <v>2387</v>
      </c>
    </row>
    <row r="17">
      <c r="A17" s="2" t="s">
        <v>2408</v>
      </c>
      <c r="B17" s="3" t="str">
        <f>C17 &amp; "." &amp; D17</f>
        <v>OntologyProfiles.VersionIri</v>
      </c>
      <c r="C17" s="2" t="s">
        <v>2403</v>
      </c>
      <c r="D17" s="2" t="s">
        <v>21</v>
      </c>
      <c r="E17" s="2" t="s">
        <v>2385</v>
      </c>
      <c r="F17" s="2" t="s">
        <v>2386</v>
      </c>
      <c r="G17" s="2"/>
      <c r="H17" s="2"/>
      <c r="I17" s="3" t="b">
        <f>OR(E17 = "calculated", E17 = "lookup", E17 = "aggregation")</f>
        <v>0</v>
      </c>
      <c r="J17" s="3" t="b">
        <f>H17 &lt;&gt; ""</f>
        <v>0</v>
      </c>
      <c r="K17" s="3">
        <f>COUNTIFS(FieldDisagreements!D2:D999, A17)</f>
        <v>0</v>
      </c>
      <c r="L17" s="3" t="b">
        <f>K17 &gt; 0</f>
        <v>0</v>
      </c>
      <c r="M17" s="2" t="s">
        <v>2387</v>
      </c>
    </row>
    <row r="18">
      <c r="A18" s="2" t="s">
        <v>2409</v>
      </c>
      <c r="B18" s="3" t="str">
        <f>C18 &amp; "." &amp; D18</f>
        <v>OntologyProfiles.NamespaceIri</v>
      </c>
      <c r="C18" s="2" t="s">
        <v>2403</v>
      </c>
      <c r="D18" s="2" t="s">
        <v>22</v>
      </c>
      <c r="E18" s="2" t="s">
        <v>2385</v>
      </c>
      <c r="F18" s="2" t="s">
        <v>2386</v>
      </c>
      <c r="G18" s="2"/>
      <c r="H18" s="2"/>
      <c r="I18" s="3" t="b">
        <f>OR(E18 = "calculated", E18 = "lookup", E18 = "aggregation")</f>
        <v>0</v>
      </c>
      <c r="J18" s="3" t="b">
        <f>H18 &lt;&gt; ""</f>
        <v>0</v>
      </c>
      <c r="K18" s="3">
        <f>COUNTIFS(FieldDisagreements!D2:D999, A18)</f>
        <v>0</v>
      </c>
      <c r="L18" s="3" t="b">
        <f>K18 &gt; 0</f>
        <v>0</v>
      </c>
      <c r="M18" s="2" t="s">
        <v>2387</v>
      </c>
    </row>
    <row r="19">
      <c r="A19" s="2" t="s">
        <v>2410</v>
      </c>
      <c r="B19" s="3" t="str">
        <f>C19 &amp; "." &amp; D19</f>
        <v>OntologyProfiles.License</v>
      </c>
      <c r="C19" s="2" t="s">
        <v>2403</v>
      </c>
      <c r="D19" s="2" t="s">
        <v>23</v>
      </c>
      <c r="E19" s="2" t="s">
        <v>2385</v>
      </c>
      <c r="F19" s="2" t="s">
        <v>2386</v>
      </c>
      <c r="G19" s="2"/>
      <c r="H19" s="2"/>
      <c r="I19" s="3" t="b">
        <f>OR(E19 = "calculated", E19 = "lookup", E19 = "aggregation")</f>
        <v>0</v>
      </c>
      <c r="J19" s="3" t="b">
        <f>H19 &lt;&gt; ""</f>
        <v>0</v>
      </c>
      <c r="K19" s="3">
        <f>COUNTIFS(FieldDisagreements!D2:D999, A19)</f>
        <v>0</v>
      </c>
      <c r="L19" s="3" t="b">
        <f>K19 &gt; 0</f>
        <v>0</v>
      </c>
      <c r="M19" s="2" t="s">
        <v>2387</v>
      </c>
    </row>
    <row r="20">
      <c r="A20" s="2" t="s">
        <v>2411</v>
      </c>
      <c r="B20" s="3" t="str">
        <f>C20 &amp; "." &amp; D20</f>
        <v>OntologyProfiles.Scope</v>
      </c>
      <c r="C20" s="2" t="s">
        <v>2403</v>
      </c>
      <c r="D20" s="2" t="s">
        <v>24</v>
      </c>
      <c r="E20" s="2" t="s">
        <v>2385</v>
      </c>
      <c r="F20" s="2" t="s">
        <v>2386</v>
      </c>
      <c r="G20" s="2"/>
      <c r="H20" s="2"/>
      <c r="I20" s="3" t="b">
        <f>OR(E20 = "calculated", E20 = "lookup", E20 = "aggregation")</f>
        <v>0</v>
      </c>
      <c r="J20" s="3" t="b">
        <f>H20 &lt;&gt; ""</f>
        <v>0</v>
      </c>
      <c r="K20" s="3">
        <f>COUNTIFS(FieldDisagreements!D2:D999, A20)</f>
        <v>0</v>
      </c>
      <c r="L20" s="3" t="b">
        <f>K20 &gt; 0</f>
        <v>0</v>
      </c>
      <c r="M20" s="2" t="s">
        <v>2387</v>
      </c>
    </row>
    <row r="21">
      <c r="A21" s="2" t="s">
        <v>2412</v>
      </c>
      <c r="B21" s="3" t="str">
        <f>C21 &amp; "." &amp; D21</f>
        <v>EvaluationContexts.EvaluationContextId</v>
      </c>
      <c r="C21" s="2" t="s">
        <v>2413</v>
      </c>
      <c r="D21" s="2" t="s">
        <v>91</v>
      </c>
      <c r="E21" s="2" t="s">
        <v>2385</v>
      </c>
      <c r="F21" s="2" t="s">
        <v>2386</v>
      </c>
      <c r="G21" s="2"/>
      <c r="H21" s="2"/>
      <c r="I21" s="3" t="b">
        <f>OR(E21 = "calculated", E21 = "lookup", E21 = "aggregation")</f>
        <v>0</v>
      </c>
      <c r="J21" s="3" t="b">
        <f>H21 &lt;&gt; ""</f>
        <v>0</v>
      </c>
      <c r="K21" s="3">
        <f>COUNTIFS(FieldDisagreements!D2:D999, A21)</f>
        <v>0</v>
      </c>
      <c r="L21" s="3" t="b">
        <f>K21 &gt; 0</f>
        <v>0</v>
      </c>
      <c r="M21" s="2" t="s">
        <v>2387</v>
      </c>
    </row>
    <row r="22">
      <c r="A22" s="2" t="s">
        <v>2414</v>
      </c>
      <c r="B22" s="3" t="str">
        <f>C22 &amp; "." &amp; D22</f>
        <v>EvaluationContexts.Name</v>
      </c>
      <c r="C22" s="2" t="s">
        <v>2413</v>
      </c>
      <c r="D22" s="2" t="s">
        <v>1</v>
      </c>
      <c r="E22" s="2" t="s">
        <v>2389</v>
      </c>
      <c r="F22" s="2" t="s">
        <v>2386</v>
      </c>
      <c r="G22" s="2" t="s">
        <v>2415</v>
      </c>
      <c r="H22" s="2"/>
      <c r="I22" s="3" t="b">
        <f>OR(E22 = "calculated", E22 = "lookup", E22 = "aggregation")</f>
        <v>1</v>
      </c>
      <c r="J22" s="3" t="b">
        <f>H22 &lt;&gt; ""</f>
        <v>0</v>
      </c>
      <c r="K22" s="3">
        <f>COUNTIFS(FieldDisagreements!D2:D999, A22)</f>
        <v>6</v>
      </c>
      <c r="L22" s="3" t="b">
        <f>K22 &gt; 0</f>
        <v>1</v>
      </c>
      <c r="M22" s="2" t="s">
        <v>2387</v>
      </c>
    </row>
    <row r="23">
      <c r="A23" s="2" t="s">
        <v>2416</v>
      </c>
      <c r="B23" s="3" t="str">
        <f>C23 &amp; "." &amp; D23</f>
        <v>EvaluationContexts.Label</v>
      </c>
      <c r="C23" s="2" t="s">
        <v>2413</v>
      </c>
      <c r="D23" s="2" t="s">
        <v>19</v>
      </c>
      <c r="E23" s="2" t="s">
        <v>2385</v>
      </c>
      <c r="F23" s="2" t="s">
        <v>2386</v>
      </c>
      <c r="G23" s="2"/>
      <c r="H23" s="2"/>
      <c r="I23" s="3" t="b">
        <f>OR(E23 = "calculated", E23 = "lookup", E23 = "aggregation")</f>
        <v>0</v>
      </c>
      <c r="J23" s="3" t="b">
        <f>H23 &lt;&gt; ""</f>
        <v>0</v>
      </c>
      <c r="K23" s="3">
        <f>COUNTIFS(FieldDisagreements!D2:D999, A23)</f>
        <v>0</v>
      </c>
      <c r="L23" s="3" t="b">
        <f>K23 &gt; 0</f>
        <v>0</v>
      </c>
      <c r="M23" s="2" t="s">
        <v>2387</v>
      </c>
    </row>
    <row r="24">
      <c r="A24" s="2" t="s">
        <v>2417</v>
      </c>
      <c r="B24" s="3" t="str">
        <f>C24 &amp; "." &amp; D24</f>
        <v>EvaluationContexts.AsOfInstant</v>
      </c>
      <c r="C24" s="2" t="s">
        <v>2413</v>
      </c>
      <c r="D24" s="2" t="s">
        <v>92</v>
      </c>
      <c r="E24" s="2" t="s">
        <v>2385</v>
      </c>
      <c r="F24" s="2" t="s">
        <v>2397</v>
      </c>
      <c r="G24" s="2"/>
      <c r="H24" s="2"/>
      <c r="I24" s="3" t="b">
        <f>OR(E24 = "calculated", E24 = "lookup", E24 = "aggregation")</f>
        <v>0</v>
      </c>
      <c r="J24" s="3" t="b">
        <f>H24 &lt;&gt; ""</f>
        <v>0</v>
      </c>
      <c r="K24" s="3">
        <f>COUNTIFS(FieldDisagreements!D2:D999, A24)</f>
        <v>0</v>
      </c>
      <c r="L24" s="3" t="b">
        <f>K24 &gt; 0</f>
        <v>0</v>
      </c>
      <c r="M24" s="2" t="s">
        <v>2387</v>
      </c>
    </row>
    <row r="25">
      <c r="A25" s="2" t="s">
        <v>2418</v>
      </c>
      <c r="B25" s="3" t="str">
        <f>C25 &amp; "." &amp; D25</f>
        <v>EvaluationContexts.IsCurrent</v>
      </c>
      <c r="C25" s="2" t="s">
        <v>2413</v>
      </c>
      <c r="D25" s="2" t="s">
        <v>10</v>
      </c>
      <c r="E25" s="2" t="s">
        <v>2385</v>
      </c>
      <c r="F25" s="2" t="s">
        <v>2401</v>
      </c>
      <c r="G25" s="2"/>
      <c r="H25" s="2"/>
      <c r="I25" s="3" t="b">
        <f>OR(E25 = "calculated", E25 = "lookup", E25 = "aggregation")</f>
        <v>0</v>
      </c>
      <c r="J25" s="3" t="b">
        <f>H25 &lt;&gt; ""</f>
        <v>0</v>
      </c>
      <c r="K25" s="3">
        <f>COUNTIFS(FieldDisagreements!D2:D999, A25)</f>
        <v>0</v>
      </c>
      <c r="L25" s="3" t="b">
        <f>K25 &gt; 0</f>
        <v>0</v>
      </c>
      <c r="M25" s="2" t="s">
        <v>2387</v>
      </c>
    </row>
    <row r="26">
      <c r="A26" s="2" t="s">
        <v>2419</v>
      </c>
      <c r="B26" s="3" t="str">
        <f>C26 &amp; "." &amp; D26</f>
        <v>EvaluationContexts.Rationale</v>
      </c>
      <c r="C26" s="2" t="s">
        <v>2413</v>
      </c>
      <c r="D26" s="2" t="s">
        <v>93</v>
      </c>
      <c r="E26" s="2" t="s">
        <v>2385</v>
      </c>
      <c r="F26" s="2" t="s">
        <v>2386</v>
      </c>
      <c r="G26" s="2"/>
      <c r="H26" s="2"/>
      <c r="I26" s="3" t="b">
        <f>OR(E26 = "calculated", E26 = "lookup", E26 = "aggregation")</f>
        <v>0</v>
      </c>
      <c r="J26" s="3" t="b">
        <f>H26 &lt;&gt; ""</f>
        <v>0</v>
      </c>
      <c r="K26" s="3">
        <f>COUNTIFS(FieldDisagreements!D2:D999, A26)</f>
        <v>0</v>
      </c>
      <c r="L26" s="3" t="b">
        <f>K26 &gt; 0</f>
        <v>0</v>
      </c>
      <c r="M26" s="2" t="s">
        <v>2387</v>
      </c>
    </row>
    <row r="27">
      <c r="A27" s="2" t="s">
        <v>2420</v>
      </c>
      <c r="B27" s="3" t="str">
        <f>C27 &amp; "." &amp; D27</f>
        <v>EvaluationContexts.SemanticTypeIri</v>
      </c>
      <c r="C27" s="2" t="s">
        <v>2413</v>
      </c>
      <c r="D27" s="2" t="s">
        <v>94</v>
      </c>
      <c r="E27" s="2" t="s">
        <v>2385</v>
      </c>
      <c r="F27" s="2" t="s">
        <v>2386</v>
      </c>
      <c r="G27" s="2"/>
      <c r="H27" s="2"/>
      <c r="I27" s="3" t="b">
        <f>OR(E27 = "calculated", E27 = "lookup", E27 = "aggregation")</f>
        <v>0</v>
      </c>
      <c r="J27" s="3" t="b">
        <f>H27 &lt;&gt; ""</f>
        <v>0</v>
      </c>
      <c r="K27" s="3">
        <f>COUNTIFS(FieldDisagreements!D2:D999, A27)</f>
        <v>0</v>
      </c>
      <c r="L27" s="3" t="b">
        <f>K27 &gt; 0</f>
        <v>0</v>
      </c>
      <c r="M27" s="2" t="s">
        <v>2387</v>
      </c>
    </row>
    <row r="28">
      <c r="A28" s="2" t="s">
        <v>2421</v>
      </c>
      <c r="B28" s="3" t="str">
        <f>C28 &amp; "." &amp; D28</f>
        <v>Organizations.OrganizationId</v>
      </c>
      <c r="C28" s="2" t="s">
        <v>2422</v>
      </c>
      <c r="D28" s="2" t="s">
        <v>99</v>
      </c>
      <c r="E28" s="2" t="s">
        <v>2385</v>
      </c>
      <c r="F28" s="2" t="s">
        <v>2386</v>
      </c>
      <c r="G28" s="2"/>
      <c r="H28" s="2"/>
      <c r="I28" s="3" t="b">
        <f>OR(E28 = "calculated", E28 = "lookup", E28 = "aggregation")</f>
        <v>0</v>
      </c>
      <c r="J28" s="3" t="b">
        <f>H28 &lt;&gt; ""</f>
        <v>0</v>
      </c>
      <c r="K28" s="3">
        <f>COUNTIFS(FieldDisagreements!D2:D999, A28)</f>
        <v>0</v>
      </c>
      <c r="L28" s="3" t="b">
        <f>K28 &gt; 0</f>
        <v>0</v>
      </c>
      <c r="M28" s="2" t="s">
        <v>2387</v>
      </c>
    </row>
    <row r="29">
      <c r="A29" s="2" t="s">
        <v>2423</v>
      </c>
      <c r="B29" s="3" t="str">
        <f>C29 &amp; "." &amp; D29</f>
        <v>Organizations.Name</v>
      </c>
      <c r="C29" s="2" t="s">
        <v>2422</v>
      </c>
      <c r="D29" s="2" t="s">
        <v>1</v>
      </c>
      <c r="E29" s="2" t="s">
        <v>2389</v>
      </c>
      <c r="F29" s="2" t="s">
        <v>2386</v>
      </c>
      <c r="G29" s="2" t="s">
        <v>2424</v>
      </c>
      <c r="H29" s="2"/>
      <c r="I29" s="3" t="b">
        <f>OR(E29 = "calculated", E29 = "lookup", E29 = "aggregation")</f>
        <v>1</v>
      </c>
      <c r="J29" s="3" t="b">
        <f>H29 &lt;&gt; ""</f>
        <v>0</v>
      </c>
      <c r="K29" s="3">
        <f>COUNTIFS(FieldDisagreements!D2:D999, A29)</f>
        <v>0</v>
      </c>
      <c r="L29" s="3" t="b">
        <f>K29 &gt; 0</f>
        <v>0</v>
      </c>
      <c r="M29" s="2" t="s">
        <v>2387</v>
      </c>
    </row>
    <row r="30">
      <c r="A30" s="2" t="s">
        <v>2425</v>
      </c>
      <c r="B30" s="3" t="str">
        <f>C30 &amp; "." &amp; D30</f>
        <v>Organizations.DisplayName</v>
      </c>
      <c r="C30" s="2" t="s">
        <v>2422</v>
      </c>
      <c r="D30" s="2" t="s">
        <v>100</v>
      </c>
      <c r="E30" s="2" t="s">
        <v>2385</v>
      </c>
      <c r="F30" s="2" t="s">
        <v>2386</v>
      </c>
      <c r="G30" s="2"/>
      <c r="H30" s="2"/>
      <c r="I30" s="3" t="b">
        <f>OR(E30 = "calculated", E30 = "lookup", E30 = "aggregation")</f>
        <v>0</v>
      </c>
      <c r="J30" s="3" t="b">
        <f>H30 &lt;&gt; ""</f>
        <v>0</v>
      </c>
      <c r="K30" s="3">
        <f>COUNTIFS(FieldDisagreements!D2:D999, A30)</f>
        <v>0</v>
      </c>
      <c r="L30" s="3" t="b">
        <f>K30 &gt; 0</f>
        <v>0</v>
      </c>
      <c r="M30" s="2" t="s">
        <v>2387</v>
      </c>
    </row>
    <row r="31">
      <c r="A31" s="2" t="s">
        <v>2426</v>
      </c>
      <c r="B31" s="3" t="str">
        <f>C31 &amp; "." &amp; D31</f>
        <v>Organizations.OrganizationType</v>
      </c>
      <c r="C31" s="2" t="s">
        <v>2422</v>
      </c>
      <c r="D31" s="2" t="s">
        <v>101</v>
      </c>
      <c r="E31" s="2" t="s">
        <v>2385</v>
      </c>
      <c r="F31" s="2" t="s">
        <v>2386</v>
      </c>
      <c r="G31" s="2"/>
      <c r="H31" s="2"/>
      <c r="I31" s="3" t="b">
        <f>OR(E31 = "calculated", E31 = "lookup", E31 = "aggregation")</f>
        <v>0</v>
      </c>
      <c r="J31" s="3" t="b">
        <f>H31 &lt;&gt; ""</f>
        <v>0</v>
      </c>
      <c r="K31" s="3">
        <f>COUNTIFS(FieldDisagreements!D2:D999, A31)</f>
        <v>0</v>
      </c>
      <c r="L31" s="3" t="b">
        <f>K31 &gt; 0</f>
        <v>0</v>
      </c>
      <c r="M31" s="2" t="s">
        <v>2387</v>
      </c>
    </row>
    <row r="32">
      <c r="A32" s="2" t="s">
        <v>2427</v>
      </c>
      <c r="B32" s="3" t="str">
        <f>C32 &amp; "." &amp; D32</f>
        <v>Organizations.ExternalIdentifier</v>
      </c>
      <c r="C32" s="2" t="s">
        <v>2422</v>
      </c>
      <c r="D32" s="2" t="s">
        <v>102</v>
      </c>
      <c r="E32" s="2" t="s">
        <v>2385</v>
      </c>
      <c r="F32" s="2" t="s">
        <v>2386</v>
      </c>
      <c r="G32" s="2"/>
      <c r="H32" s="2"/>
      <c r="I32" s="3" t="b">
        <f>OR(E32 = "calculated", E32 = "lookup", E32 = "aggregation")</f>
        <v>0</v>
      </c>
      <c r="J32" s="3" t="b">
        <f>H32 &lt;&gt; ""</f>
        <v>0</v>
      </c>
      <c r="K32" s="3">
        <f>COUNTIFS(FieldDisagreements!D2:D999, A32)</f>
        <v>0</v>
      </c>
      <c r="L32" s="3" t="b">
        <f>K32 &gt; 0</f>
        <v>0</v>
      </c>
      <c r="M32" s="2" t="s">
        <v>2387</v>
      </c>
    </row>
    <row r="33">
      <c r="A33" s="2" t="s">
        <v>2428</v>
      </c>
      <c r="B33" s="3" t="str">
        <f>C33 &amp; "." &amp; D33</f>
        <v>Organizations.SemanticTypeIri</v>
      </c>
      <c r="C33" s="2" t="s">
        <v>2422</v>
      </c>
      <c r="D33" s="2" t="s">
        <v>94</v>
      </c>
      <c r="E33" s="2" t="s">
        <v>2385</v>
      </c>
      <c r="F33" s="2" t="s">
        <v>2386</v>
      </c>
      <c r="G33" s="2"/>
      <c r="H33" s="2"/>
      <c r="I33" s="3" t="b">
        <f>OR(E33 = "calculated", E33 = "lookup", E33 = "aggregation")</f>
        <v>0</v>
      </c>
      <c r="J33" s="3" t="b">
        <f>H33 &lt;&gt; ""</f>
        <v>0</v>
      </c>
      <c r="K33" s="3">
        <f>COUNTIFS(FieldDisagreements!D2:D999, A33)</f>
        <v>0</v>
      </c>
      <c r="L33" s="3" t="b">
        <f>K33 &gt; 0</f>
        <v>0</v>
      </c>
      <c r="M33" s="2" t="s">
        <v>2387</v>
      </c>
    </row>
    <row r="34">
      <c r="A34" s="2" t="s">
        <v>2429</v>
      </c>
      <c r="B34" s="3" t="str">
        <f>C34 &amp; "." &amp; D34</f>
        <v>Agents.AgentId</v>
      </c>
      <c r="C34" s="2" t="s">
        <v>1794</v>
      </c>
      <c r="D34" s="2" t="s">
        <v>119</v>
      </c>
      <c r="E34" s="2" t="s">
        <v>2385</v>
      </c>
      <c r="F34" s="2" t="s">
        <v>2386</v>
      </c>
      <c r="G34" s="2"/>
      <c r="H34" s="2"/>
      <c r="I34" s="3" t="b">
        <f>OR(E34 = "calculated", E34 = "lookup", E34 = "aggregation")</f>
        <v>0</v>
      </c>
      <c r="J34" s="3" t="b">
        <f>H34 &lt;&gt; ""</f>
        <v>0</v>
      </c>
      <c r="K34" s="3">
        <f>COUNTIFS(FieldDisagreements!D2:D999, A34)</f>
        <v>0</v>
      </c>
      <c r="L34" s="3" t="b">
        <f>K34 &gt; 0</f>
        <v>0</v>
      </c>
      <c r="M34" s="2" t="s">
        <v>2387</v>
      </c>
    </row>
    <row r="35">
      <c r="A35" s="2" t="s">
        <v>2430</v>
      </c>
      <c r="B35" s="3" t="str">
        <f>C35 &amp; "." &amp; D35</f>
        <v>Agents.Name</v>
      </c>
      <c r="C35" s="2" t="s">
        <v>1794</v>
      </c>
      <c r="D35" s="2" t="s">
        <v>1</v>
      </c>
      <c r="E35" s="2" t="s">
        <v>2389</v>
      </c>
      <c r="F35" s="2" t="s">
        <v>2386</v>
      </c>
      <c r="G35" s="2" t="s">
        <v>2424</v>
      </c>
      <c r="H35" s="2"/>
      <c r="I35" s="3" t="b">
        <f>OR(E35 = "calculated", E35 = "lookup", E35 = "aggregation")</f>
        <v>1</v>
      </c>
      <c r="J35" s="3" t="b">
        <f>H35 &lt;&gt; ""</f>
        <v>0</v>
      </c>
      <c r="K35" s="3">
        <f>COUNTIFS(FieldDisagreements!D2:D999, A35)</f>
        <v>0</v>
      </c>
      <c r="L35" s="3" t="b">
        <f>K35 &gt; 0</f>
        <v>0</v>
      </c>
      <c r="M35" s="2" t="s">
        <v>2387</v>
      </c>
    </row>
    <row r="36">
      <c r="A36" s="2" t="s">
        <v>2431</v>
      </c>
      <c r="B36" s="3" t="str">
        <f>C36 &amp; "." &amp; D36</f>
        <v>Agents.DisplayName</v>
      </c>
      <c r="C36" s="2" t="s">
        <v>1794</v>
      </c>
      <c r="D36" s="2" t="s">
        <v>100</v>
      </c>
      <c r="E36" s="2" t="s">
        <v>2385</v>
      </c>
      <c r="F36" s="2" t="s">
        <v>2386</v>
      </c>
      <c r="G36" s="2"/>
      <c r="H36" s="2"/>
      <c r="I36" s="3" t="b">
        <f>OR(E36 = "calculated", E36 = "lookup", E36 = "aggregation")</f>
        <v>0</v>
      </c>
      <c r="J36" s="3" t="b">
        <f>H36 &lt;&gt; ""</f>
        <v>0</v>
      </c>
      <c r="K36" s="3">
        <f>COUNTIFS(FieldDisagreements!D2:D999, A36)</f>
        <v>0</v>
      </c>
      <c r="L36" s="3" t="b">
        <f>K36 &gt; 0</f>
        <v>0</v>
      </c>
      <c r="M36" s="2" t="s">
        <v>2387</v>
      </c>
    </row>
    <row r="37">
      <c r="A37" s="2" t="s">
        <v>2432</v>
      </c>
      <c r="B37" s="3" t="str">
        <f>C37 &amp; "." &amp; D37</f>
        <v>Agents.AgentKind</v>
      </c>
      <c r="C37" s="2" t="s">
        <v>1794</v>
      </c>
      <c r="D37" s="2" t="s">
        <v>120</v>
      </c>
      <c r="E37" s="2" t="s">
        <v>2385</v>
      </c>
      <c r="F37" s="2" t="s">
        <v>2386</v>
      </c>
      <c r="G37" s="2"/>
      <c r="H37" s="2"/>
      <c r="I37" s="3" t="b">
        <f>OR(E37 = "calculated", E37 = "lookup", E37 = "aggregation")</f>
        <v>0</v>
      </c>
      <c r="J37" s="3" t="b">
        <f>H37 &lt;&gt; ""</f>
        <v>0</v>
      </c>
      <c r="K37" s="3">
        <f>COUNTIFS(FieldDisagreements!D2:D999, A37)</f>
        <v>0</v>
      </c>
      <c r="L37" s="3" t="b">
        <f>K37 &gt; 0</f>
        <v>0</v>
      </c>
      <c r="M37" s="2" t="s">
        <v>2387</v>
      </c>
    </row>
    <row r="38">
      <c r="A38" s="2" t="s">
        <v>2433</v>
      </c>
      <c r="B38" s="3" t="str">
        <f>C38 &amp; "." &amp; D38</f>
        <v>Agents.Organization</v>
      </c>
      <c r="C38" s="2" t="s">
        <v>1794</v>
      </c>
      <c r="D38" s="2" t="s">
        <v>121</v>
      </c>
      <c r="E38" s="2" t="s">
        <v>2434</v>
      </c>
      <c r="F38" s="2" t="s">
        <v>2386</v>
      </c>
      <c r="G38" s="2"/>
      <c r="H38" s="2"/>
      <c r="I38" s="3" t="b">
        <f>OR(E38 = "calculated", E38 = "lookup", E38 = "aggregation")</f>
        <v>0</v>
      </c>
      <c r="J38" s="3" t="b">
        <f>H38 &lt;&gt; ""</f>
        <v>0</v>
      </c>
      <c r="K38" s="3">
        <f>COUNTIFS(FieldDisagreements!D2:D999, A38)</f>
        <v>0</v>
      </c>
      <c r="L38" s="3" t="b">
        <f>K38 &gt; 0</f>
        <v>0</v>
      </c>
      <c r="M38" s="2" t="s">
        <v>2387</v>
      </c>
    </row>
    <row r="39">
      <c r="A39" s="2" t="s">
        <v>2435</v>
      </c>
      <c r="B39" s="3" t="str">
        <f>C39 &amp; "." &amp; D39</f>
        <v>Agents.ContactAddress</v>
      </c>
      <c r="C39" s="2" t="s">
        <v>1794</v>
      </c>
      <c r="D39" s="2" t="s">
        <v>122</v>
      </c>
      <c r="E39" s="2" t="s">
        <v>2385</v>
      </c>
      <c r="F39" s="2" t="s">
        <v>2386</v>
      </c>
      <c r="G39" s="2"/>
      <c r="H39" s="2"/>
      <c r="I39" s="3" t="b">
        <f>OR(E39 = "calculated", E39 = "lookup", E39 = "aggregation")</f>
        <v>0</v>
      </c>
      <c r="J39" s="3" t="b">
        <f>H39 &lt;&gt; ""</f>
        <v>0</v>
      </c>
      <c r="K39" s="3">
        <f>COUNTIFS(FieldDisagreements!D2:D999, A39)</f>
        <v>0</v>
      </c>
      <c r="L39" s="3" t="b">
        <f>K39 &gt; 0</f>
        <v>0</v>
      </c>
      <c r="M39" s="2" t="s">
        <v>2387</v>
      </c>
    </row>
    <row r="40">
      <c r="A40" s="2" t="s">
        <v>2436</v>
      </c>
      <c r="B40" s="3" t="str">
        <f>C40 &amp; "." &amp; D40</f>
        <v>Agents.VersionOrEmploymentKey</v>
      </c>
      <c r="C40" s="2" t="s">
        <v>1794</v>
      </c>
      <c r="D40" s="2" t="s">
        <v>123</v>
      </c>
      <c r="E40" s="2" t="s">
        <v>2385</v>
      </c>
      <c r="F40" s="2" t="s">
        <v>2386</v>
      </c>
      <c r="G40" s="2"/>
      <c r="H40" s="2"/>
      <c r="I40" s="3" t="b">
        <f>OR(E40 = "calculated", E40 = "lookup", E40 = "aggregation")</f>
        <v>0</v>
      </c>
      <c r="J40" s="3" t="b">
        <f>H40 &lt;&gt; ""</f>
        <v>0</v>
      </c>
      <c r="K40" s="3">
        <f>COUNTIFS(FieldDisagreements!D2:D999, A40)</f>
        <v>0</v>
      </c>
      <c r="L40" s="3" t="b">
        <f>K40 &gt; 0</f>
        <v>0</v>
      </c>
      <c r="M40" s="2" t="s">
        <v>2387</v>
      </c>
    </row>
    <row r="41">
      <c r="A41" s="2" t="s">
        <v>2437</v>
      </c>
      <c r="B41" s="3" t="str">
        <f>C41 &amp; "." &amp; D41</f>
        <v>Agents.CountOfCurrentRoleAssignments</v>
      </c>
      <c r="C41" s="2" t="s">
        <v>1794</v>
      </c>
      <c r="D41" s="2" t="s">
        <v>124</v>
      </c>
      <c r="E41" s="2" t="s">
        <v>2438</v>
      </c>
      <c r="F41" s="2" t="s">
        <v>2439</v>
      </c>
      <c r="G41" s="2" t="s">
        <v>2440</v>
      </c>
      <c r="H41" s="2" t="s">
        <v>2016</v>
      </c>
      <c r="I41" s="3" t="b">
        <f>OR(E41 = "calculated", E41 = "lookup", E41 = "aggregation")</f>
        <v>1</v>
      </c>
      <c r="J41" s="3" t="b">
        <f>H41 &lt;&gt; ""</f>
        <v>1</v>
      </c>
      <c r="K41" s="3">
        <f>COUNTIFS(FieldDisagreements!D2:D999, A41)</f>
        <v>0</v>
      </c>
      <c r="L41" s="3" t="b">
        <f>K41 &gt; 0</f>
        <v>0</v>
      </c>
      <c r="M41" s="2" t="s">
        <v>2387</v>
      </c>
    </row>
    <row r="42">
      <c r="A42" s="2" t="s">
        <v>2441</v>
      </c>
      <c r="B42" s="3" t="str">
        <f>C42 &amp; "." &amp; D42</f>
        <v>Agents.IsStillEngaged</v>
      </c>
      <c r="C42" s="2" t="s">
        <v>1794</v>
      </c>
      <c r="D42" s="2" t="s">
        <v>125</v>
      </c>
      <c r="E42" s="2" t="s">
        <v>2389</v>
      </c>
      <c r="F42" s="2" t="s">
        <v>2401</v>
      </c>
      <c r="G42" s="2" t="s">
        <v>2442</v>
      </c>
      <c r="H42" s="2" t="s">
        <v>2016</v>
      </c>
      <c r="I42" s="3" t="b">
        <f>OR(E42 = "calculated", E42 = "lookup", E42 = "aggregation")</f>
        <v>1</v>
      </c>
      <c r="J42" s="3" t="b">
        <f>H42 &lt;&gt; ""</f>
        <v>1</v>
      </c>
      <c r="K42" s="3">
        <f>COUNTIFS(FieldDisagreements!D2:D999, A42)</f>
        <v>0</v>
      </c>
      <c r="L42" s="3" t="b">
        <f>K42 &gt; 0</f>
        <v>0</v>
      </c>
      <c r="M42" s="2" t="s">
        <v>2387</v>
      </c>
    </row>
    <row r="43">
      <c r="A43" s="2" t="s">
        <v>2443</v>
      </c>
      <c r="B43" s="3" t="str">
        <f>C43 &amp; "." &amp; D43</f>
        <v>Agents.DecisionCount</v>
      </c>
      <c r="C43" s="2" t="s">
        <v>1794</v>
      </c>
      <c r="D43" s="2" t="s">
        <v>126</v>
      </c>
      <c r="E43" s="2" t="s">
        <v>2438</v>
      </c>
      <c r="F43" s="2" t="s">
        <v>2444</v>
      </c>
      <c r="G43" s="2" t="s">
        <v>2445</v>
      </c>
      <c r="H43" s="2" t="s">
        <v>2112</v>
      </c>
      <c r="I43" s="3" t="b">
        <f>OR(E43 = "calculated", E43 = "lookup", E43 = "aggregation")</f>
        <v>1</v>
      </c>
      <c r="J43" s="3" t="b">
        <f>H43 &lt;&gt; ""</f>
        <v>1</v>
      </c>
      <c r="K43" s="3">
        <f>COUNTIFS(FieldDisagreements!D2:D999, A43)</f>
        <v>0</v>
      </c>
      <c r="L43" s="3" t="b">
        <f>K43 &gt; 0</f>
        <v>0</v>
      </c>
      <c r="M43" s="2" t="s">
        <v>2387</v>
      </c>
    </row>
    <row r="44">
      <c r="A44" s="2" t="s">
        <v>2446</v>
      </c>
      <c r="B44" s="3" t="str">
        <f>C44 &amp; "." &amp; D44</f>
        <v>Agents.OverriddenDecisionCount</v>
      </c>
      <c r="C44" s="2" t="s">
        <v>1794</v>
      </c>
      <c r="D44" s="2" t="s">
        <v>127</v>
      </c>
      <c r="E44" s="2" t="s">
        <v>2438</v>
      </c>
      <c r="F44" s="2" t="s">
        <v>2444</v>
      </c>
      <c r="G44" s="2" t="s">
        <v>2447</v>
      </c>
      <c r="H44" s="2" t="s">
        <v>2112</v>
      </c>
      <c r="I44" s="3" t="b">
        <f>OR(E44 = "calculated", E44 = "lookup", E44 = "aggregation")</f>
        <v>1</v>
      </c>
      <c r="J44" s="3" t="b">
        <f>H44 &lt;&gt; ""</f>
        <v>1</v>
      </c>
      <c r="K44" s="3">
        <f>COUNTIFS(FieldDisagreements!D2:D999, A44)</f>
        <v>0</v>
      </c>
      <c r="L44" s="3" t="b">
        <f>K44 &gt; 0</f>
        <v>0</v>
      </c>
      <c r="M44" s="2" t="s">
        <v>2387</v>
      </c>
    </row>
    <row r="45">
      <c r="A45" s="2" t="s">
        <v>2448</v>
      </c>
      <c r="B45" s="3" t="str">
        <f>C45 &amp; "." &amp; D45</f>
        <v>Agents.OverrideRatePercent</v>
      </c>
      <c r="C45" s="2" t="s">
        <v>1794</v>
      </c>
      <c r="D45" s="2" t="s">
        <v>128</v>
      </c>
      <c r="E45" s="2" t="s">
        <v>2389</v>
      </c>
      <c r="F45" s="2" t="s">
        <v>2444</v>
      </c>
      <c r="G45" s="2" t="s">
        <v>2449</v>
      </c>
      <c r="H45" s="2" t="s">
        <v>2112</v>
      </c>
      <c r="I45" s="3" t="b">
        <f>OR(E45 = "calculated", E45 = "lookup", E45 = "aggregation")</f>
        <v>1</v>
      </c>
      <c r="J45" s="3" t="b">
        <f>H45 &lt;&gt; ""</f>
        <v>1</v>
      </c>
      <c r="K45" s="3">
        <f>COUNTIFS(FieldDisagreements!D2:D999, A45)</f>
        <v>0</v>
      </c>
      <c r="L45" s="3" t="b">
        <f>K45 &gt; 0</f>
        <v>0</v>
      </c>
      <c r="M45" s="2" t="s">
        <v>2387</v>
      </c>
    </row>
    <row r="46">
      <c r="A46" s="2" t="s">
        <v>2450</v>
      </c>
      <c r="B46" s="3" t="str">
        <f>C46 &amp; "." &amp; D46</f>
        <v>Agents.IsNonHuman</v>
      </c>
      <c r="C46" s="2" t="s">
        <v>1794</v>
      </c>
      <c r="D46" s="2" t="s">
        <v>129</v>
      </c>
      <c r="E46" s="2" t="s">
        <v>2389</v>
      </c>
      <c r="F46" s="2" t="s">
        <v>2401</v>
      </c>
      <c r="G46" s="2" t="s">
        <v>2451</v>
      </c>
      <c r="H46" s="2" t="s">
        <v>2112</v>
      </c>
      <c r="I46" s="3" t="b">
        <f>OR(E46 = "calculated", E46 = "lookup", E46 = "aggregation")</f>
        <v>1</v>
      </c>
      <c r="J46" s="3" t="b">
        <f>H46 &lt;&gt; ""</f>
        <v>1</v>
      </c>
      <c r="K46" s="3">
        <f>COUNTIFS(FieldDisagreements!D2:D999, A46)</f>
        <v>0</v>
      </c>
      <c r="L46" s="3" t="b">
        <f>K46 &gt; 0</f>
        <v>0</v>
      </c>
      <c r="M46" s="2" t="s">
        <v>2387</v>
      </c>
    </row>
    <row r="47">
      <c r="A47" s="2" t="s">
        <v>2452</v>
      </c>
      <c r="B47" s="3" t="str">
        <f>C47 &amp; "." &amp; D47</f>
        <v>Agents.BoundaryViolationCount</v>
      </c>
      <c r="C47" s="2" t="s">
        <v>1794</v>
      </c>
      <c r="D47" s="2" t="s">
        <v>130</v>
      </c>
      <c r="E47" s="2" t="s">
        <v>2438</v>
      </c>
      <c r="F47" s="2" t="s">
        <v>2444</v>
      </c>
      <c r="G47" s="2" t="s">
        <v>2453</v>
      </c>
      <c r="H47" s="2" t="s">
        <v>2164</v>
      </c>
      <c r="I47" s="3" t="b">
        <f>OR(E47 = "calculated", E47 = "lookup", E47 = "aggregation")</f>
        <v>1</v>
      </c>
      <c r="J47" s="3" t="b">
        <f>H47 &lt;&gt; ""</f>
        <v>1</v>
      </c>
      <c r="K47" s="3">
        <f>COUNTIFS(FieldDisagreements!D2:D999, A47)</f>
        <v>0</v>
      </c>
      <c r="L47" s="3" t="b">
        <f>K47 &gt; 0</f>
        <v>0</v>
      </c>
      <c r="M47" s="2" t="s">
        <v>2387</v>
      </c>
    </row>
    <row r="48">
      <c r="A48" s="2" t="s">
        <v>2454</v>
      </c>
      <c r="B48" s="3" t="str">
        <f>C48 &amp; "." &amp; D48</f>
        <v>Agents.IsOperatingOutsideBoundary</v>
      </c>
      <c r="C48" s="2" t="s">
        <v>1794</v>
      </c>
      <c r="D48" s="2" t="s">
        <v>131</v>
      </c>
      <c r="E48" s="2" t="s">
        <v>2389</v>
      </c>
      <c r="F48" s="2" t="s">
        <v>2401</v>
      </c>
      <c r="G48" s="2" t="s">
        <v>2455</v>
      </c>
      <c r="H48" s="2" t="s">
        <v>2164</v>
      </c>
      <c r="I48" s="3" t="b">
        <f>OR(E48 = "calculated", E48 = "lookup", E48 = "aggregation")</f>
        <v>1</v>
      </c>
      <c r="J48" s="3" t="b">
        <f>H48 &lt;&gt; ""</f>
        <v>1</v>
      </c>
      <c r="K48" s="3">
        <f>COUNTIFS(FieldDisagreements!D2:D999, A48)</f>
        <v>0</v>
      </c>
      <c r="L48" s="3" t="b">
        <f>K48 &gt; 0</f>
        <v>0</v>
      </c>
      <c r="M48" s="2" t="s">
        <v>2387</v>
      </c>
    </row>
    <row r="49">
      <c r="A49" s="2" t="s">
        <v>2456</v>
      </c>
      <c r="B49" s="3" t="str">
        <f>C49 &amp; "." &amp; D49</f>
        <v>Agents.DraftDecisionCount</v>
      </c>
      <c r="C49" s="2" t="s">
        <v>1794</v>
      </c>
      <c r="D49" s="2" t="s">
        <v>132</v>
      </c>
      <c r="E49" s="2" t="s">
        <v>2438</v>
      </c>
      <c r="F49" s="2" t="s">
        <v>2444</v>
      </c>
      <c r="G49" s="2" t="s">
        <v>2457</v>
      </c>
      <c r="H49" s="2" t="s">
        <v>2168</v>
      </c>
      <c r="I49" s="3" t="b">
        <f>OR(E49 = "calculated", E49 = "lookup", E49 = "aggregation")</f>
        <v>1</v>
      </c>
      <c r="J49" s="3" t="b">
        <f>H49 &lt;&gt; ""</f>
        <v>1</v>
      </c>
      <c r="K49" s="3">
        <f>COUNTIFS(FieldDisagreements!D2:D999, A49)</f>
        <v>0</v>
      </c>
      <c r="L49" s="3" t="b">
        <f>K49 &gt; 0</f>
        <v>0</v>
      </c>
      <c r="M49" s="2" t="s">
        <v>2387</v>
      </c>
    </row>
    <row r="50">
      <c r="A50" s="2" t="s">
        <v>2458</v>
      </c>
      <c r="B50" s="3" t="str">
        <f>C50 &amp; "." &amp; D50</f>
        <v>Agents.OverriddenDraftCount</v>
      </c>
      <c r="C50" s="2" t="s">
        <v>1794</v>
      </c>
      <c r="D50" s="2" t="s">
        <v>133</v>
      </c>
      <c r="E50" s="2" t="s">
        <v>2438</v>
      </c>
      <c r="F50" s="2" t="s">
        <v>2444</v>
      </c>
      <c r="G50" s="2" t="s">
        <v>2459</v>
      </c>
      <c r="H50" s="2" t="s">
        <v>2168</v>
      </c>
      <c r="I50" s="3" t="b">
        <f>OR(E50 = "calculated", E50 = "lookup", E50 = "aggregation")</f>
        <v>1</v>
      </c>
      <c r="J50" s="3" t="b">
        <f>H50 &lt;&gt; ""</f>
        <v>1</v>
      </c>
      <c r="K50" s="3">
        <f>COUNTIFS(FieldDisagreements!D2:D999, A50)</f>
        <v>0</v>
      </c>
      <c r="L50" s="3" t="b">
        <f>K50 &gt; 0</f>
        <v>0</v>
      </c>
      <c r="M50" s="2" t="s">
        <v>2387</v>
      </c>
    </row>
    <row r="51">
      <c r="A51" s="2" t="s">
        <v>2460</v>
      </c>
      <c r="B51" s="3" t="str">
        <f>C51 &amp; "." &amp; D51</f>
        <v>Agents.DraftRewriteRatePercent</v>
      </c>
      <c r="C51" s="2" t="s">
        <v>1794</v>
      </c>
      <c r="D51" s="2" t="s">
        <v>134</v>
      </c>
      <c r="E51" s="2" t="s">
        <v>2389</v>
      </c>
      <c r="F51" s="2" t="s">
        <v>2444</v>
      </c>
      <c r="G51" s="2" t="s">
        <v>2461</v>
      </c>
      <c r="H51" s="2" t="s">
        <v>2168</v>
      </c>
      <c r="I51" s="3" t="b">
        <f>OR(E51 = "calculated", E51 = "lookup", E51 = "aggregation")</f>
        <v>1</v>
      </c>
      <c r="J51" s="3" t="b">
        <f>H51 &lt;&gt; ""</f>
        <v>1</v>
      </c>
      <c r="K51" s="3">
        <f>COUNTIFS(FieldDisagreements!D2:D999, A51)</f>
        <v>0</v>
      </c>
      <c r="L51" s="3" t="b">
        <f>K51 &gt; 0</f>
        <v>0</v>
      </c>
      <c r="M51" s="2" t="s">
        <v>2387</v>
      </c>
    </row>
    <row r="52">
      <c r="A52" s="2" t="s">
        <v>2462</v>
      </c>
      <c r="B52" s="3" t="str">
        <f>C52 &amp; "." &amp; D52</f>
        <v>Agents.TimesNamedAsBroker</v>
      </c>
      <c r="C52" s="2" t="s">
        <v>1794</v>
      </c>
      <c r="D52" s="2" t="s">
        <v>135</v>
      </c>
      <c r="E52" s="2" t="s">
        <v>2438</v>
      </c>
      <c r="F52" s="2" t="s">
        <v>2444</v>
      </c>
      <c r="G52" s="2" t="s">
        <v>2463</v>
      </c>
      <c r="H52" s="2" t="s">
        <v>2364</v>
      </c>
      <c r="I52" s="3" t="b">
        <f>OR(E52 = "calculated", E52 = "lookup", E52 = "aggregation")</f>
        <v>1</v>
      </c>
      <c r="J52" s="3" t="b">
        <f>H52 &lt;&gt; ""</f>
        <v>1</v>
      </c>
      <c r="K52" s="3">
        <f>COUNTIFS(FieldDisagreements!D2:D999, A52)</f>
        <v>0</v>
      </c>
      <c r="L52" s="3" t="b">
        <f>K52 &gt; 0</f>
        <v>0</v>
      </c>
      <c r="M52" s="2" t="s">
        <v>2387</v>
      </c>
    </row>
    <row r="53">
      <c r="A53" s="2" t="s">
        <v>2464</v>
      </c>
      <c r="B53" s="3" t="str">
        <f>C53 &amp; "." &amp; D53</f>
        <v>Agents.IsRecognizedBroker</v>
      </c>
      <c r="C53" s="2" t="s">
        <v>1794</v>
      </c>
      <c r="D53" s="2" t="s">
        <v>136</v>
      </c>
      <c r="E53" s="2" t="s">
        <v>2389</v>
      </c>
      <c r="F53" s="2" t="s">
        <v>2401</v>
      </c>
      <c r="G53" s="2" t="s">
        <v>2465</v>
      </c>
      <c r="H53" s="2" t="s">
        <v>2364</v>
      </c>
      <c r="I53" s="3" t="b">
        <f>OR(E53 = "calculated", E53 = "lookup", E53 = "aggregation")</f>
        <v>1</v>
      </c>
      <c r="J53" s="3" t="b">
        <f>H53 &lt;&gt; ""</f>
        <v>1</v>
      </c>
      <c r="K53" s="3">
        <f>COUNTIFS(FieldDisagreements!D2:D999, A53)</f>
        <v>0</v>
      </c>
      <c r="L53" s="3" t="b">
        <f>K53 &gt; 0</f>
        <v>0</v>
      </c>
      <c r="M53" s="2" t="s">
        <v>2387</v>
      </c>
    </row>
    <row r="54">
      <c r="A54" s="2" t="s">
        <v>2466</v>
      </c>
      <c r="B54" s="3" t="str">
        <f>C54 &amp; "." &amp; D54</f>
        <v>Agents.AtRiskRelianceCount</v>
      </c>
      <c r="C54" s="2" t="s">
        <v>1794</v>
      </c>
      <c r="D54" s="2" t="s">
        <v>137</v>
      </c>
      <c r="E54" s="2" t="s">
        <v>2438</v>
      </c>
      <c r="F54" s="2" t="s">
        <v>2444</v>
      </c>
      <c r="G54" s="2" t="s">
        <v>2467</v>
      </c>
      <c r="H54" s="2" t="s">
        <v>2364</v>
      </c>
      <c r="I54" s="3" t="b">
        <f>OR(E54 = "calculated", E54 = "lookup", E54 = "aggregation")</f>
        <v>1</v>
      </c>
      <c r="J54" s="3" t="b">
        <f>H54 &lt;&gt; ""</f>
        <v>1</v>
      </c>
      <c r="K54" s="3">
        <f>COUNTIFS(FieldDisagreements!D2:D999, A54)</f>
        <v>0</v>
      </c>
      <c r="L54" s="3" t="b">
        <f>K54 &gt; 0</f>
        <v>0</v>
      </c>
      <c r="M54" s="2" t="s">
        <v>2387</v>
      </c>
    </row>
    <row r="55">
      <c r="A55" s="2" t="s">
        <v>2468</v>
      </c>
      <c r="B55" s="3" t="str">
        <f>C55 &amp; "." &amp; D55</f>
        <v>Agents.HasAtRiskKnowledgeReliance</v>
      </c>
      <c r="C55" s="2" t="s">
        <v>1794</v>
      </c>
      <c r="D55" s="2" t="s">
        <v>138</v>
      </c>
      <c r="E55" s="2" t="s">
        <v>2389</v>
      </c>
      <c r="F55" s="2" t="s">
        <v>2401</v>
      </c>
      <c r="G55" s="2" t="s">
        <v>2469</v>
      </c>
      <c r="H55" s="2" t="s">
        <v>2364</v>
      </c>
      <c r="I55" s="3" t="b">
        <f>OR(E55 = "calculated", E55 = "lookup", E55 = "aggregation")</f>
        <v>1</v>
      </c>
      <c r="J55" s="3" t="b">
        <f>H55 &lt;&gt; ""</f>
        <v>1</v>
      </c>
      <c r="K55" s="3">
        <f>COUNTIFS(FieldDisagreements!D2:D999, A55)</f>
        <v>0</v>
      </c>
      <c r="L55" s="3" t="b">
        <f>K55 &gt; 0</f>
        <v>0</v>
      </c>
      <c r="M55" s="2" t="s">
        <v>2387</v>
      </c>
    </row>
    <row r="56">
      <c r="A56" s="2" t="s">
        <v>2470</v>
      </c>
      <c r="B56" s="3" t="str">
        <f>C56 &amp; "." &amp; D56</f>
        <v>Agents.SemanticTypeIri</v>
      </c>
      <c r="C56" s="2" t="s">
        <v>1794</v>
      </c>
      <c r="D56" s="2" t="s">
        <v>94</v>
      </c>
      <c r="E56" s="2" t="s">
        <v>2385</v>
      </c>
      <c r="F56" s="2" t="s">
        <v>2386</v>
      </c>
      <c r="G56" s="2"/>
      <c r="H56" s="2"/>
      <c r="I56" s="3" t="b">
        <f>OR(E56 = "calculated", E56 = "lookup", E56 = "aggregation")</f>
        <v>0</v>
      </c>
      <c r="J56" s="3" t="b">
        <f>H56 &lt;&gt; ""</f>
        <v>0</v>
      </c>
      <c r="K56" s="3">
        <f>COUNTIFS(FieldDisagreements!D2:D999, A56)</f>
        <v>0</v>
      </c>
      <c r="L56" s="3" t="b">
        <f>K56 &gt; 0</f>
        <v>0</v>
      </c>
      <c r="M56" s="2" t="s">
        <v>2387</v>
      </c>
    </row>
    <row r="57">
      <c r="A57" s="2" t="s">
        <v>2471</v>
      </c>
      <c r="B57" s="3" t="str">
        <f>C57 &amp; "." &amp; D57</f>
        <v>Roles.RoleId</v>
      </c>
      <c r="C57" s="2" t="s">
        <v>1798</v>
      </c>
      <c r="D57" s="2" t="s">
        <v>183</v>
      </c>
      <c r="E57" s="2" t="s">
        <v>2385</v>
      </c>
      <c r="F57" s="2" t="s">
        <v>2386</v>
      </c>
      <c r="G57" s="2"/>
      <c r="H57" s="2"/>
      <c r="I57" s="3" t="b">
        <f>OR(E57 = "calculated", E57 = "lookup", E57 = "aggregation")</f>
        <v>0</v>
      </c>
      <c r="J57" s="3" t="b">
        <f>H57 &lt;&gt; ""</f>
        <v>0</v>
      </c>
      <c r="K57" s="3">
        <f>COUNTIFS(FieldDisagreements!D2:D999, A57)</f>
        <v>0</v>
      </c>
      <c r="L57" s="3" t="b">
        <f>K57 &gt; 0</f>
        <v>0</v>
      </c>
      <c r="M57" s="2" t="s">
        <v>2387</v>
      </c>
    </row>
    <row r="58">
      <c r="A58" s="2" t="s">
        <v>2472</v>
      </c>
      <c r="B58" s="3" t="str">
        <f>C58 &amp; "." &amp; D58</f>
        <v>Roles.Name</v>
      </c>
      <c r="C58" s="2" t="s">
        <v>1798</v>
      </c>
      <c r="D58" s="2" t="s">
        <v>1</v>
      </c>
      <c r="E58" s="2" t="s">
        <v>2389</v>
      </c>
      <c r="F58" s="2" t="s">
        <v>2386</v>
      </c>
      <c r="G58" s="2" t="s">
        <v>2473</v>
      </c>
      <c r="H58" s="2"/>
      <c r="I58" s="3" t="b">
        <f>OR(E58 = "calculated", E58 = "lookup", E58 = "aggregation")</f>
        <v>1</v>
      </c>
      <c r="J58" s="3" t="b">
        <f>H58 &lt;&gt; ""</f>
        <v>0</v>
      </c>
      <c r="K58" s="3">
        <f>COUNTIFS(FieldDisagreements!D2:D999, A58)</f>
        <v>0</v>
      </c>
      <c r="L58" s="3" t="b">
        <f>K58 &gt; 0</f>
        <v>0</v>
      </c>
      <c r="M58" s="2" t="s">
        <v>2387</v>
      </c>
    </row>
    <row r="59">
      <c r="A59" s="2" t="s">
        <v>2474</v>
      </c>
      <c r="B59" s="3" t="str">
        <f>C59 &amp; "." &amp; D59</f>
        <v>Roles.Label</v>
      </c>
      <c r="C59" s="2" t="s">
        <v>1798</v>
      </c>
      <c r="D59" s="2" t="s">
        <v>19</v>
      </c>
      <c r="E59" s="2" t="s">
        <v>2385</v>
      </c>
      <c r="F59" s="2" t="s">
        <v>2386</v>
      </c>
      <c r="G59" s="2"/>
      <c r="H59" s="2"/>
      <c r="I59" s="3" t="b">
        <f>OR(E59 = "calculated", E59 = "lookup", E59 = "aggregation")</f>
        <v>0</v>
      </c>
      <c r="J59" s="3" t="b">
        <f>H59 &lt;&gt; ""</f>
        <v>0</v>
      </c>
      <c r="K59" s="3">
        <f>COUNTIFS(FieldDisagreements!D2:D999, A59)</f>
        <v>0</v>
      </c>
      <c r="L59" s="3" t="b">
        <f>K59 &gt; 0</f>
        <v>0</v>
      </c>
      <c r="M59" s="2" t="s">
        <v>2387</v>
      </c>
    </row>
    <row r="60">
      <c r="A60" s="2" t="s">
        <v>2475</v>
      </c>
      <c r="B60" s="3" t="str">
        <f>C60 &amp; "." &amp; D60</f>
        <v>Roles.Organization</v>
      </c>
      <c r="C60" s="2" t="s">
        <v>1798</v>
      </c>
      <c r="D60" s="2" t="s">
        <v>121</v>
      </c>
      <c r="E60" s="2" t="s">
        <v>2434</v>
      </c>
      <c r="F60" s="2" t="s">
        <v>2386</v>
      </c>
      <c r="G60" s="2"/>
      <c r="H60" s="2"/>
      <c r="I60" s="3" t="b">
        <f>OR(E60 = "calculated", E60 = "lookup", E60 = "aggregation")</f>
        <v>0</v>
      </c>
      <c r="J60" s="3" t="b">
        <f>H60 &lt;&gt; ""</f>
        <v>0</v>
      </c>
      <c r="K60" s="3">
        <f>COUNTIFS(FieldDisagreements!D2:D999, A60)</f>
        <v>0</v>
      </c>
      <c r="L60" s="3" t="b">
        <f>K60 &gt; 0</f>
        <v>0</v>
      </c>
      <c r="M60" s="2" t="s">
        <v>2387</v>
      </c>
    </row>
    <row r="61">
      <c r="A61" s="2" t="s">
        <v>2476</v>
      </c>
      <c r="B61" s="3" t="str">
        <f>C61 &amp; "." &amp; D61</f>
        <v>Roles.CurrentAgent</v>
      </c>
      <c r="C61" s="2" t="s">
        <v>1798</v>
      </c>
      <c r="D61" s="2" t="s">
        <v>184</v>
      </c>
      <c r="E61" s="2" t="s">
        <v>2434</v>
      </c>
      <c r="F61" s="2" t="s">
        <v>2386</v>
      </c>
      <c r="G61" s="2"/>
      <c r="H61" s="2"/>
      <c r="I61" s="3" t="b">
        <f>OR(E61 = "calculated", E61 = "lookup", E61 = "aggregation")</f>
        <v>0</v>
      </c>
      <c r="J61" s="3" t="b">
        <f>H61 &lt;&gt; ""</f>
        <v>0</v>
      </c>
      <c r="K61" s="3">
        <f>COUNTIFS(FieldDisagreements!D2:D999, A61)</f>
        <v>0</v>
      </c>
      <c r="L61" s="3" t="b">
        <f>K61 &gt; 0</f>
        <v>0</v>
      </c>
      <c r="M61" s="2" t="s">
        <v>2387</v>
      </c>
    </row>
    <row r="62">
      <c r="A62" s="2" t="s">
        <v>2477</v>
      </c>
      <c r="B62" s="3" t="str">
        <f>C62 &amp; "." &amp; D62</f>
        <v>Roles.CurrentAgentKind</v>
      </c>
      <c r="C62" s="2" t="s">
        <v>1798</v>
      </c>
      <c r="D62" s="2" t="s">
        <v>185</v>
      </c>
      <c r="E62" s="2" t="s">
        <v>2478</v>
      </c>
      <c r="F62" s="2" t="s">
        <v>2386</v>
      </c>
      <c r="G62" s="2" t="s">
        <v>2479</v>
      </c>
      <c r="H62" s="2"/>
      <c r="I62" s="3" t="b">
        <f>OR(E62 = "calculated", E62 = "lookup", E62 = "aggregation")</f>
        <v>1</v>
      </c>
      <c r="J62" s="3" t="b">
        <f>H62 &lt;&gt; ""</f>
        <v>0</v>
      </c>
      <c r="K62" s="3">
        <f>COUNTIFS(FieldDisagreements!D2:D999, A62)</f>
        <v>0</v>
      </c>
      <c r="L62" s="3" t="b">
        <f>K62 &gt; 0</f>
        <v>0</v>
      </c>
      <c r="M62" s="2" t="s">
        <v>2387</v>
      </c>
    </row>
    <row r="63">
      <c r="A63" s="2" t="s">
        <v>2480</v>
      </c>
      <c r="B63" s="3" t="str">
        <f>C63 &amp; "." &amp; D63</f>
        <v>Roles.Responsibility</v>
      </c>
      <c r="C63" s="2" t="s">
        <v>1798</v>
      </c>
      <c r="D63" s="2" t="s">
        <v>186</v>
      </c>
      <c r="E63" s="2" t="s">
        <v>2385</v>
      </c>
      <c r="F63" s="2" t="s">
        <v>2386</v>
      </c>
      <c r="G63" s="2"/>
      <c r="H63" s="2"/>
      <c r="I63" s="3" t="b">
        <f>OR(E63 = "calculated", E63 = "lookup", E63 = "aggregation")</f>
        <v>0</v>
      </c>
      <c r="J63" s="3" t="b">
        <f>H63 &lt;&gt; ""</f>
        <v>0</v>
      </c>
      <c r="K63" s="3">
        <f>COUNTIFS(FieldDisagreements!D2:D999, A63)</f>
        <v>0</v>
      </c>
      <c r="L63" s="3" t="b">
        <f>K63 &gt; 0</f>
        <v>0</v>
      </c>
      <c r="M63" s="2" t="s">
        <v>2387</v>
      </c>
    </row>
    <row r="64">
      <c r="A64" s="2" t="s">
        <v>2481</v>
      </c>
      <c r="B64" s="3" t="str">
        <f>C64 &amp; "." &amp; D64</f>
        <v>Roles.ActiveAssignmentCount</v>
      </c>
      <c r="C64" s="2" t="s">
        <v>1798</v>
      </c>
      <c r="D64" s="2" t="s">
        <v>187</v>
      </c>
      <c r="E64" s="2" t="s">
        <v>2438</v>
      </c>
      <c r="F64" s="2" t="s">
        <v>2444</v>
      </c>
      <c r="G64" s="2" t="s">
        <v>2482</v>
      </c>
      <c r="H64" s="2" t="s">
        <v>2096</v>
      </c>
      <c r="I64" s="3" t="b">
        <f>OR(E64 = "calculated", E64 = "lookup", E64 = "aggregation")</f>
        <v>1</v>
      </c>
      <c r="J64" s="3" t="b">
        <f>H64 &lt;&gt; ""</f>
        <v>1</v>
      </c>
      <c r="K64" s="3">
        <f>COUNTIFS(FieldDisagreements!D2:D999, A64)</f>
        <v>0</v>
      </c>
      <c r="L64" s="3" t="b">
        <f>K64 &gt; 0</f>
        <v>0</v>
      </c>
      <c r="M64" s="2" t="s">
        <v>2387</v>
      </c>
    </row>
    <row r="65">
      <c r="A65" s="2" t="s">
        <v>2483</v>
      </c>
      <c r="B65" s="3" t="str">
        <f>C65 &amp; "." &amp; D65</f>
        <v>Roles.CurrentlyCoveredAssignmentCount</v>
      </c>
      <c r="C65" s="2" t="s">
        <v>1798</v>
      </c>
      <c r="D65" s="2" t="s">
        <v>188</v>
      </c>
      <c r="E65" s="2" t="s">
        <v>2438</v>
      </c>
      <c r="F65" s="2" t="s">
        <v>2444</v>
      </c>
      <c r="G65" s="2" t="s">
        <v>2484</v>
      </c>
      <c r="H65" s="2" t="s">
        <v>2096</v>
      </c>
      <c r="I65" s="3" t="b">
        <f>OR(E65 = "calculated", E65 = "lookup", E65 = "aggregation")</f>
        <v>1</v>
      </c>
      <c r="J65" s="3" t="b">
        <f>H65 &lt;&gt; ""</f>
        <v>1</v>
      </c>
      <c r="K65" s="3">
        <f>COUNTIFS(FieldDisagreements!D2:D999, A65)</f>
        <v>0</v>
      </c>
      <c r="L65" s="3" t="b">
        <f>K65 &gt; 0</f>
        <v>0</v>
      </c>
      <c r="M65" s="2" t="s">
        <v>2387</v>
      </c>
    </row>
    <row r="66">
      <c r="A66" s="2" t="s">
        <v>2485</v>
      </c>
      <c r="B66" s="3" t="str">
        <f>C66 &amp; "." &amp; D66</f>
        <v>Roles.HasNoCurrentHolder</v>
      </c>
      <c r="C66" s="2" t="s">
        <v>1798</v>
      </c>
      <c r="D66" s="2" t="s">
        <v>189</v>
      </c>
      <c r="E66" s="2" t="s">
        <v>2389</v>
      </c>
      <c r="F66" s="2" t="s">
        <v>2401</v>
      </c>
      <c r="G66" s="2" t="s">
        <v>2486</v>
      </c>
      <c r="H66" s="2" t="s">
        <v>2096</v>
      </c>
      <c r="I66" s="3" t="b">
        <f>OR(E66 = "calculated", E66 = "lookup", E66 = "aggregation")</f>
        <v>1</v>
      </c>
      <c r="J66" s="3" t="b">
        <f>H66 &lt;&gt; ""</f>
        <v>1</v>
      </c>
      <c r="K66" s="3">
        <f>COUNTIFS(FieldDisagreements!D2:D999, A66)</f>
        <v>0</v>
      </c>
      <c r="L66" s="3" t="b">
        <f>K66 &gt; 0</f>
        <v>0</v>
      </c>
      <c r="M66" s="2" t="s">
        <v>2387</v>
      </c>
    </row>
    <row r="67">
      <c r="A67" s="2" t="s">
        <v>2487</v>
      </c>
      <c r="B67" s="3" t="str">
        <f>C67 &amp; "." &amp; D67</f>
        <v>Roles.CountOfAwaitedDecisions</v>
      </c>
      <c r="C67" s="2" t="s">
        <v>1798</v>
      </c>
      <c r="D67" s="2" t="s">
        <v>190</v>
      </c>
      <c r="E67" s="2" t="s">
        <v>2438</v>
      </c>
      <c r="F67" s="2" t="s">
        <v>2439</v>
      </c>
      <c r="G67" s="2" t="s">
        <v>2488</v>
      </c>
      <c r="H67" s="2" t="s">
        <v>2116</v>
      </c>
      <c r="I67" s="3" t="b">
        <f>OR(E67 = "calculated", E67 = "lookup", E67 = "aggregation")</f>
        <v>1</v>
      </c>
      <c r="J67" s="3" t="b">
        <f>H67 &lt;&gt; ""</f>
        <v>1</v>
      </c>
      <c r="K67" s="3">
        <f>COUNTIFS(FieldDisagreements!D2:D999, A67)</f>
        <v>0</v>
      </c>
      <c r="L67" s="3" t="b">
        <f>K67 &gt; 0</f>
        <v>0</v>
      </c>
      <c r="M67" s="2" t="s">
        <v>2387</v>
      </c>
    </row>
    <row r="68">
      <c r="A68" s="2" t="s">
        <v>2489</v>
      </c>
      <c r="B68" s="3" t="str">
        <f>C68 &amp; "." &amp; D68</f>
        <v>Roles.CurrentAssignment</v>
      </c>
      <c r="C68" s="2" t="s">
        <v>1798</v>
      </c>
      <c r="D68" s="2" t="s">
        <v>191</v>
      </c>
      <c r="E68" s="2" t="s">
        <v>2385</v>
      </c>
      <c r="F68" s="2" t="s">
        <v>2386</v>
      </c>
      <c r="G68" s="2"/>
      <c r="H68" s="2"/>
      <c r="I68" s="3" t="b">
        <f>OR(E68 = "calculated", E68 = "lookup", E68 = "aggregation")</f>
        <v>0</v>
      </c>
      <c r="J68" s="3" t="b">
        <f>H68 &lt;&gt; ""</f>
        <v>0</v>
      </c>
      <c r="K68" s="3">
        <f>COUNTIFS(FieldDisagreements!D2:D999, A68)</f>
        <v>0</v>
      </c>
      <c r="L68" s="3" t="b">
        <f>K68 &gt; 0</f>
        <v>0</v>
      </c>
      <c r="M68" s="2" t="s">
        <v>2387</v>
      </c>
    </row>
    <row r="69">
      <c r="A69" s="2" t="s">
        <v>2490</v>
      </c>
      <c r="B69" s="3" t="str">
        <f>C69 &amp; "." &amp; D69</f>
        <v>Roles.CurrentAssignmentValidFrom</v>
      </c>
      <c r="C69" s="2" t="s">
        <v>1798</v>
      </c>
      <c r="D69" s="2" t="s">
        <v>192</v>
      </c>
      <c r="E69" s="2" t="s">
        <v>2478</v>
      </c>
      <c r="F69" s="2" t="s">
        <v>2397</v>
      </c>
      <c r="G69" s="2" t="s">
        <v>2491</v>
      </c>
      <c r="H69" s="2" t="s">
        <v>2152</v>
      </c>
      <c r="I69" s="3" t="b">
        <f>OR(E69 = "calculated", E69 = "lookup", E69 = "aggregation")</f>
        <v>1</v>
      </c>
      <c r="J69" s="3" t="b">
        <f>H69 &lt;&gt; ""</f>
        <v>1</v>
      </c>
      <c r="K69" s="3">
        <f>COUNTIFS(FieldDisagreements!D2:D999, A69)</f>
        <v>1</v>
      </c>
      <c r="L69" s="3" t="b">
        <f>K69 &gt; 0</f>
        <v>1</v>
      </c>
      <c r="M69" s="2" t="s">
        <v>2387</v>
      </c>
    </row>
    <row r="70">
      <c r="A70" s="2" t="s">
        <v>2492</v>
      </c>
      <c r="B70" s="3" t="str">
        <f>C70 &amp; "." &amp; D70</f>
        <v>Roles.IsNonHumanHeld</v>
      </c>
      <c r="C70" s="2" t="s">
        <v>1798</v>
      </c>
      <c r="D70" s="2" t="s">
        <v>193</v>
      </c>
      <c r="E70" s="2" t="s">
        <v>2389</v>
      </c>
      <c r="F70" s="2" t="s">
        <v>2401</v>
      </c>
      <c r="G70" s="2" t="s">
        <v>2493</v>
      </c>
      <c r="H70" s="2" t="s">
        <v>2156</v>
      </c>
      <c r="I70" s="3" t="b">
        <f>OR(E70 = "calculated", E70 = "lookup", E70 = "aggregation")</f>
        <v>1</v>
      </c>
      <c r="J70" s="3" t="b">
        <f>H70 &lt;&gt; ""</f>
        <v>1</v>
      </c>
      <c r="K70" s="3">
        <f>COUNTIFS(FieldDisagreements!D2:D999, A70)</f>
        <v>0</v>
      </c>
      <c r="L70" s="3" t="b">
        <f>K70 &gt; 0</f>
        <v>0</v>
      </c>
      <c r="M70" s="2" t="s">
        <v>2387</v>
      </c>
    </row>
    <row r="71">
      <c r="A71" s="2" t="s">
        <v>2494</v>
      </c>
      <c r="B71" s="3" t="str">
        <f>C71 &amp; "." &amp; D71</f>
        <v>Roles.IsUngovernedNonHumanRole</v>
      </c>
      <c r="C71" s="2" t="s">
        <v>1798</v>
      </c>
      <c r="D71" s="2" t="s">
        <v>194</v>
      </c>
      <c r="E71" s="2" t="s">
        <v>2389</v>
      </c>
      <c r="F71" s="2" t="s">
        <v>2401</v>
      </c>
      <c r="G71" s="2" t="s">
        <v>2495</v>
      </c>
      <c r="H71" s="2" t="s">
        <v>2156</v>
      </c>
      <c r="I71" s="3" t="b">
        <f>OR(E71 = "calculated", E71 = "lookup", E71 = "aggregation")</f>
        <v>1</v>
      </c>
      <c r="J71" s="3" t="b">
        <f>H71 &lt;&gt; ""</f>
        <v>1</v>
      </c>
      <c r="K71" s="3">
        <f>COUNTIFS(FieldDisagreements!D2:D999, A71)</f>
        <v>0</v>
      </c>
      <c r="L71" s="3" t="b">
        <f>K71 &gt; 0</f>
        <v>0</v>
      </c>
      <c r="M71" s="2" t="s">
        <v>2387</v>
      </c>
    </row>
    <row r="72">
      <c r="A72" s="2" t="s">
        <v>2496</v>
      </c>
      <c r="B72" s="3" t="str">
        <f>C72 &amp; "." &amp; D72</f>
        <v>Roles.DepartedAssignmentCount</v>
      </c>
      <c r="C72" s="2" t="s">
        <v>1798</v>
      </c>
      <c r="D72" s="2" t="s">
        <v>195</v>
      </c>
      <c r="E72" s="2" t="s">
        <v>2438</v>
      </c>
      <c r="F72" s="2" t="s">
        <v>2444</v>
      </c>
      <c r="G72" s="2" t="s">
        <v>2497</v>
      </c>
      <c r="H72" s="2" t="s">
        <v>2212</v>
      </c>
      <c r="I72" s="3" t="b">
        <f>OR(E72 = "calculated", E72 = "lookup", E72 = "aggregation")</f>
        <v>1</v>
      </c>
      <c r="J72" s="3" t="b">
        <f>H72 &lt;&gt; ""</f>
        <v>1</v>
      </c>
      <c r="K72" s="3">
        <f>COUNTIFS(FieldDisagreements!D2:D999, A72)</f>
        <v>0</v>
      </c>
      <c r="L72" s="3" t="b">
        <f>K72 &gt; 0</f>
        <v>0</v>
      </c>
      <c r="M72" s="2" t="s">
        <v>2387</v>
      </c>
    </row>
    <row r="73">
      <c r="A73" s="2" t="s">
        <v>2498</v>
      </c>
      <c r="B73" s="3" t="str">
        <f>C73 &amp; "." &amp; D73</f>
        <v>Roles.HasLostAHolder</v>
      </c>
      <c r="C73" s="2" t="s">
        <v>1798</v>
      </c>
      <c r="D73" s="2" t="s">
        <v>196</v>
      </c>
      <c r="E73" s="2" t="s">
        <v>2389</v>
      </c>
      <c r="F73" s="2" t="s">
        <v>2401</v>
      </c>
      <c r="G73" s="2" t="s">
        <v>2499</v>
      </c>
      <c r="H73" s="2" t="s">
        <v>2212</v>
      </c>
      <c r="I73" s="3" t="b">
        <f>OR(E73 = "calculated", E73 = "lookup", E73 = "aggregation")</f>
        <v>1</v>
      </c>
      <c r="J73" s="3" t="b">
        <f>H73 &lt;&gt; ""</f>
        <v>1</v>
      </c>
      <c r="K73" s="3">
        <f>COUNTIFS(FieldDisagreements!D2:D999, A73)</f>
        <v>0</v>
      </c>
      <c r="L73" s="3" t="b">
        <f>K73 &gt; 0</f>
        <v>0</v>
      </c>
      <c r="M73" s="2" t="s">
        <v>2387</v>
      </c>
    </row>
    <row r="74">
      <c r="A74" s="2" t="s">
        <v>2500</v>
      </c>
      <c r="B74" s="3" t="str">
        <f>C74 &amp; "." &amp; D74</f>
        <v>Roles.IsVacatedRole</v>
      </c>
      <c r="C74" s="2" t="s">
        <v>1798</v>
      </c>
      <c r="D74" s="2" t="s">
        <v>197</v>
      </c>
      <c r="E74" s="2" t="s">
        <v>2389</v>
      </c>
      <c r="F74" s="2" t="s">
        <v>2401</v>
      </c>
      <c r="G74" s="2" t="s">
        <v>2501</v>
      </c>
      <c r="H74" s="2" t="s">
        <v>2212</v>
      </c>
      <c r="I74" s="3" t="b">
        <f>OR(E74 = "calculated", E74 = "lookup", E74 = "aggregation")</f>
        <v>1</v>
      </c>
      <c r="J74" s="3" t="b">
        <f>H74 &lt;&gt; ""</f>
        <v>1</v>
      </c>
      <c r="K74" s="3">
        <f>COUNTIFS(FieldDisagreements!D2:D999, A74)</f>
        <v>0</v>
      </c>
      <c r="L74" s="3" t="b">
        <f>K74 &gt; 0</f>
        <v>0</v>
      </c>
      <c r="M74" s="2" t="s">
        <v>2387</v>
      </c>
    </row>
    <row r="75">
      <c r="A75" s="2" t="s">
        <v>2502</v>
      </c>
      <c r="B75" s="3" t="str">
        <f>C75 &amp; "." &amp; D75</f>
        <v>Roles.UngroundedBoundaryCount</v>
      </c>
      <c r="C75" s="2" t="s">
        <v>1798</v>
      </c>
      <c r="D75" s="2" t="s">
        <v>198</v>
      </c>
      <c r="E75" s="2" t="s">
        <v>2438</v>
      </c>
      <c r="F75" s="2" t="s">
        <v>2444</v>
      </c>
      <c r="G75" s="2" t="s">
        <v>2503</v>
      </c>
      <c r="H75" s="2" t="s">
        <v>2320</v>
      </c>
      <c r="I75" s="3" t="b">
        <f>OR(E75 = "calculated", E75 = "lookup", E75 = "aggregation")</f>
        <v>1</v>
      </c>
      <c r="J75" s="3" t="b">
        <f>H75 &lt;&gt; ""</f>
        <v>1</v>
      </c>
      <c r="K75" s="3">
        <f>COUNTIFS(FieldDisagreements!D2:D999, A75)</f>
        <v>0</v>
      </c>
      <c r="L75" s="3" t="b">
        <f>K75 &gt; 0</f>
        <v>0</v>
      </c>
      <c r="M75" s="2" t="s">
        <v>2387</v>
      </c>
    </row>
    <row r="76">
      <c r="A76" s="2" t="s">
        <v>2504</v>
      </c>
      <c r="B76" s="3" t="str">
        <f>C76 &amp; "." &amp; D76</f>
        <v>Roles.IsGovernedByLapsedAuthority</v>
      </c>
      <c r="C76" s="2" t="s">
        <v>1798</v>
      </c>
      <c r="D76" s="2" t="s">
        <v>199</v>
      </c>
      <c r="E76" s="2" t="s">
        <v>2389</v>
      </c>
      <c r="F76" s="2" t="s">
        <v>2401</v>
      </c>
      <c r="G76" s="2" t="s">
        <v>2505</v>
      </c>
      <c r="H76" s="2" t="s">
        <v>2320</v>
      </c>
      <c r="I76" s="3" t="b">
        <f>OR(E76 = "calculated", E76 = "lookup", E76 = "aggregation")</f>
        <v>1</v>
      </c>
      <c r="J76" s="3" t="b">
        <f>H76 &lt;&gt; ""</f>
        <v>1</v>
      </c>
      <c r="K76" s="3">
        <f>COUNTIFS(FieldDisagreements!D2:D999, A76)</f>
        <v>0</v>
      </c>
      <c r="L76" s="3" t="b">
        <f>K76 &gt; 0</f>
        <v>0</v>
      </c>
      <c r="M76" s="2" t="s">
        <v>2387</v>
      </c>
    </row>
    <row r="77">
      <c r="A77" s="2" t="s">
        <v>2506</v>
      </c>
      <c r="B77" s="3" t="str">
        <f>C77 &amp; "." &amp; D77</f>
        <v>Roles.UnescalatedRefusalCount</v>
      </c>
      <c r="C77" s="2" t="s">
        <v>1798</v>
      </c>
      <c r="D77" s="2" t="s">
        <v>200</v>
      </c>
      <c r="E77" s="2" t="s">
        <v>2438</v>
      </c>
      <c r="F77" s="2" t="s">
        <v>2444</v>
      </c>
      <c r="G77" s="2" t="s">
        <v>2507</v>
      </c>
      <c r="H77" s="2" t="s">
        <v>2336</v>
      </c>
      <c r="I77" s="3" t="b">
        <f>OR(E77 = "calculated", E77 = "lookup", E77 = "aggregation")</f>
        <v>1</v>
      </c>
      <c r="J77" s="3" t="b">
        <f>H77 &lt;&gt; ""</f>
        <v>1</v>
      </c>
      <c r="K77" s="3">
        <f>COUNTIFS(FieldDisagreements!D2:D999, A77)</f>
        <v>0</v>
      </c>
      <c r="L77" s="3" t="b">
        <f>K77 &gt; 0</f>
        <v>0</v>
      </c>
      <c r="M77" s="2" t="s">
        <v>2387</v>
      </c>
    </row>
    <row r="78">
      <c r="A78" s="2" t="s">
        <v>2508</v>
      </c>
      <c r="B78" s="3" t="str">
        <f>C78 &amp; "." &amp; D78</f>
        <v>Roles.UnauthorizedEnforcementAssignmentCount</v>
      </c>
      <c r="C78" s="2" t="s">
        <v>1798</v>
      </c>
      <c r="D78" s="2" t="s">
        <v>201</v>
      </c>
      <c r="E78" s="2" t="s">
        <v>2438</v>
      </c>
      <c r="F78" s="2" t="s">
        <v>2444</v>
      </c>
      <c r="G78" s="2" t="s">
        <v>2509</v>
      </c>
      <c r="H78" s="2" t="s">
        <v>2344</v>
      </c>
      <c r="I78" s="3" t="b">
        <f>OR(E78 = "calculated", E78 = "lookup", E78 = "aggregation")</f>
        <v>1</v>
      </c>
      <c r="J78" s="3" t="b">
        <f>H78 &lt;&gt; ""</f>
        <v>1</v>
      </c>
      <c r="K78" s="3">
        <f>COUNTIFS(FieldDisagreements!D2:D999, A78)</f>
        <v>0</v>
      </c>
      <c r="L78" s="3" t="b">
        <f>K78 &gt; 0</f>
        <v>0</v>
      </c>
      <c r="M78" s="2" t="s">
        <v>2387</v>
      </c>
    </row>
    <row r="79">
      <c r="A79" s="2" t="s">
        <v>2510</v>
      </c>
      <c r="B79" s="3" t="str">
        <f>C79 &amp; "." &amp; D79</f>
        <v>Roles.IsUngovernedEnforcementRole</v>
      </c>
      <c r="C79" s="2" t="s">
        <v>1798</v>
      </c>
      <c r="D79" s="2" t="s">
        <v>202</v>
      </c>
      <c r="E79" s="2" t="s">
        <v>2389</v>
      </c>
      <c r="F79" s="2" t="s">
        <v>2401</v>
      </c>
      <c r="G79" s="2" t="s">
        <v>2511</v>
      </c>
      <c r="H79" s="2" t="s">
        <v>2344</v>
      </c>
      <c r="I79" s="3" t="b">
        <f>OR(E79 = "calculated", E79 = "lookup", E79 = "aggregation")</f>
        <v>1</v>
      </c>
      <c r="J79" s="3" t="b">
        <f>H79 &lt;&gt; ""</f>
        <v>1</v>
      </c>
      <c r="K79" s="3">
        <f>COUNTIFS(FieldDisagreements!D2:D999, A79)</f>
        <v>0</v>
      </c>
      <c r="L79" s="3" t="b">
        <f>K79 &gt; 0</f>
        <v>0</v>
      </c>
      <c r="M79" s="2" t="s">
        <v>2387</v>
      </c>
    </row>
    <row r="80">
      <c r="A80" s="2" t="s">
        <v>2512</v>
      </c>
      <c r="B80" s="3" t="str">
        <f>C80 &amp; "." &amp; D80</f>
        <v>Roles.SemanticTypeIri</v>
      </c>
      <c r="C80" s="2" t="s">
        <v>1798</v>
      </c>
      <c r="D80" s="2" t="s">
        <v>94</v>
      </c>
      <c r="E80" s="2" t="s">
        <v>2385</v>
      </c>
      <c r="F80" s="2" t="s">
        <v>2386</v>
      </c>
      <c r="G80" s="2"/>
      <c r="H80" s="2"/>
      <c r="I80" s="3" t="b">
        <f>OR(E80 = "calculated", E80 = "lookup", E80 = "aggregation")</f>
        <v>0</v>
      </c>
      <c r="J80" s="3" t="b">
        <f>H80 &lt;&gt; ""</f>
        <v>0</v>
      </c>
      <c r="K80" s="3">
        <f>COUNTIFS(FieldDisagreements!D2:D999, A80)</f>
        <v>0</v>
      </c>
      <c r="L80" s="3" t="b">
        <f>K80 &gt; 0</f>
        <v>0</v>
      </c>
      <c r="M80" s="2" t="s">
        <v>2387</v>
      </c>
    </row>
    <row r="81">
      <c r="A81" s="2" t="s">
        <v>2513</v>
      </c>
      <c r="B81" s="3" t="str">
        <f>C81 &amp; "." &amp; D81</f>
        <v>RoleAssignments.RoleAssignmentId</v>
      </c>
      <c r="C81" s="2" t="s">
        <v>1801</v>
      </c>
      <c r="D81" s="2" t="s">
        <v>252</v>
      </c>
      <c r="E81" s="2" t="s">
        <v>2385</v>
      </c>
      <c r="F81" s="2" t="s">
        <v>2386</v>
      </c>
      <c r="G81" s="2"/>
      <c r="H81" s="2"/>
      <c r="I81" s="3" t="b">
        <f>OR(E81 = "calculated", E81 = "lookup", E81 = "aggregation")</f>
        <v>0</v>
      </c>
      <c r="J81" s="3" t="b">
        <f>H81 &lt;&gt; ""</f>
        <v>0</v>
      </c>
      <c r="K81" s="3">
        <f>COUNTIFS(FieldDisagreements!D2:D999, A81)</f>
        <v>0</v>
      </c>
      <c r="L81" s="3" t="b">
        <f>K81 &gt; 0</f>
        <v>0</v>
      </c>
      <c r="M81" s="2" t="s">
        <v>2387</v>
      </c>
    </row>
    <row r="82">
      <c r="A82" s="2" t="s">
        <v>2514</v>
      </c>
      <c r="B82" s="3" t="str">
        <f>C82 &amp; "." &amp; D82</f>
        <v>RoleAssignments.Name</v>
      </c>
      <c r="C82" s="2" t="s">
        <v>1801</v>
      </c>
      <c r="D82" s="2" t="s">
        <v>1</v>
      </c>
      <c r="E82" s="2" t="s">
        <v>2389</v>
      </c>
      <c r="F82" s="2" t="s">
        <v>2386</v>
      </c>
      <c r="G82" s="2" t="s">
        <v>2515</v>
      </c>
      <c r="H82" s="2"/>
      <c r="I82" s="3" t="b">
        <f>OR(E82 = "calculated", E82 = "lookup", E82 = "aggregation")</f>
        <v>1</v>
      </c>
      <c r="J82" s="3" t="b">
        <f>H82 &lt;&gt; ""</f>
        <v>0</v>
      </c>
      <c r="K82" s="3">
        <f>COUNTIFS(FieldDisagreements!D2:D999, A82)</f>
        <v>6</v>
      </c>
      <c r="L82" s="3" t="b">
        <f>K82 &gt; 0</f>
        <v>1</v>
      </c>
      <c r="M82" s="2" t="s">
        <v>2387</v>
      </c>
    </row>
    <row r="83">
      <c r="A83" s="2" t="s">
        <v>2516</v>
      </c>
      <c r="B83" s="3" t="str">
        <f>C83 &amp; "." &amp; D83</f>
        <v>RoleAssignments.Role</v>
      </c>
      <c r="C83" s="2" t="s">
        <v>1801</v>
      </c>
      <c r="D83" s="2" t="s">
        <v>253</v>
      </c>
      <c r="E83" s="2" t="s">
        <v>2434</v>
      </c>
      <c r="F83" s="2" t="s">
        <v>2386</v>
      </c>
      <c r="G83" s="2"/>
      <c r="H83" s="2"/>
      <c r="I83" s="3" t="b">
        <f>OR(E83 = "calculated", E83 = "lookup", E83 = "aggregation")</f>
        <v>0</v>
      </c>
      <c r="J83" s="3" t="b">
        <f>H83 &lt;&gt; ""</f>
        <v>0</v>
      </c>
      <c r="K83" s="3">
        <f>COUNTIFS(FieldDisagreements!D2:D999, A83)</f>
        <v>0</v>
      </c>
      <c r="L83" s="3" t="b">
        <f>K83 &gt; 0</f>
        <v>0</v>
      </c>
      <c r="M83" s="2" t="s">
        <v>2387</v>
      </c>
    </row>
    <row r="84">
      <c r="A84" s="2" t="s">
        <v>2517</v>
      </c>
      <c r="B84" s="3" t="str">
        <f>C84 &amp; "." &amp; D84</f>
        <v>RoleAssignments.Agent</v>
      </c>
      <c r="C84" s="2" t="s">
        <v>1801</v>
      </c>
      <c r="D84" s="2" t="s">
        <v>254</v>
      </c>
      <c r="E84" s="2" t="s">
        <v>2434</v>
      </c>
      <c r="F84" s="2" t="s">
        <v>2386</v>
      </c>
      <c r="G84" s="2"/>
      <c r="H84" s="2"/>
      <c r="I84" s="3" t="b">
        <f>OR(E84 = "calculated", E84 = "lookup", E84 = "aggregation")</f>
        <v>0</v>
      </c>
      <c r="J84" s="3" t="b">
        <f>H84 &lt;&gt; ""</f>
        <v>0</v>
      </c>
      <c r="K84" s="3">
        <f>COUNTIFS(FieldDisagreements!D2:D999, A84)</f>
        <v>0</v>
      </c>
      <c r="L84" s="3" t="b">
        <f>K84 &gt; 0</f>
        <v>0</v>
      </c>
      <c r="M84" s="2" t="s">
        <v>2387</v>
      </c>
    </row>
    <row r="85">
      <c r="A85" s="2" t="s">
        <v>2518</v>
      </c>
      <c r="B85" s="3" t="str">
        <f>C85 &amp; "." &amp; D85</f>
        <v>RoleAssignments.ValidFrom</v>
      </c>
      <c r="C85" s="2" t="s">
        <v>1801</v>
      </c>
      <c r="D85" s="2" t="s">
        <v>255</v>
      </c>
      <c r="E85" s="2" t="s">
        <v>2385</v>
      </c>
      <c r="F85" s="2" t="s">
        <v>2397</v>
      </c>
      <c r="G85" s="2"/>
      <c r="H85" s="2"/>
      <c r="I85" s="3" t="b">
        <f>OR(E85 = "calculated", E85 = "lookup", E85 = "aggregation")</f>
        <v>0</v>
      </c>
      <c r="J85" s="3" t="b">
        <f>H85 &lt;&gt; ""</f>
        <v>0</v>
      </c>
      <c r="K85" s="3">
        <f>COUNTIFS(FieldDisagreements!D2:D999, A85)</f>
        <v>0</v>
      </c>
      <c r="L85" s="3" t="b">
        <f>K85 &gt; 0</f>
        <v>0</v>
      </c>
      <c r="M85" s="2" t="s">
        <v>2387</v>
      </c>
    </row>
    <row r="86">
      <c r="A86" s="2" t="s">
        <v>2519</v>
      </c>
      <c r="B86" s="3" t="str">
        <f>C86 &amp; "." &amp; D86</f>
        <v>RoleAssignments.ValidTo</v>
      </c>
      <c r="C86" s="2" t="s">
        <v>1801</v>
      </c>
      <c r="D86" s="2" t="s">
        <v>256</v>
      </c>
      <c r="E86" s="2" t="s">
        <v>2385</v>
      </c>
      <c r="F86" s="2" t="s">
        <v>2397</v>
      </c>
      <c r="G86" s="2"/>
      <c r="H86" s="2"/>
      <c r="I86" s="3" t="b">
        <f>OR(E86 = "calculated", E86 = "lookup", E86 = "aggregation")</f>
        <v>0</v>
      </c>
      <c r="J86" s="3" t="b">
        <f>H86 &lt;&gt; ""</f>
        <v>0</v>
      </c>
      <c r="K86" s="3">
        <f>COUNTIFS(FieldDisagreements!D2:D999, A86)</f>
        <v>0</v>
      </c>
      <c r="L86" s="3" t="b">
        <f>K86 &gt; 0</f>
        <v>0</v>
      </c>
      <c r="M86" s="2" t="s">
        <v>2387</v>
      </c>
    </row>
    <row r="87">
      <c r="A87" s="2" t="s">
        <v>2520</v>
      </c>
      <c r="B87" s="3" t="str">
        <f>C87 &amp; "." &amp; D87</f>
        <v>RoleAssignments.Reason</v>
      </c>
      <c r="C87" s="2" t="s">
        <v>1801</v>
      </c>
      <c r="D87" s="2" t="s">
        <v>257</v>
      </c>
      <c r="E87" s="2" t="s">
        <v>2385</v>
      </c>
      <c r="F87" s="2" t="s">
        <v>2386</v>
      </c>
      <c r="G87" s="2"/>
      <c r="H87" s="2"/>
      <c r="I87" s="3" t="b">
        <f>OR(E87 = "calculated", E87 = "lookup", E87 = "aggregation")</f>
        <v>0</v>
      </c>
      <c r="J87" s="3" t="b">
        <f>H87 &lt;&gt; ""</f>
        <v>0</v>
      </c>
      <c r="K87" s="3">
        <f>COUNTIFS(FieldDisagreements!D2:D999, A87)</f>
        <v>0</v>
      </c>
      <c r="L87" s="3" t="b">
        <f>K87 &gt; 0</f>
        <v>0</v>
      </c>
      <c r="M87" s="2" t="s">
        <v>2387</v>
      </c>
    </row>
    <row r="88">
      <c r="A88" s="2" t="s">
        <v>2521</v>
      </c>
      <c r="B88" s="3" t="str">
        <f>C88 &amp; "." &amp; D88</f>
        <v>RoleAssignments.Status</v>
      </c>
      <c r="C88" s="2" t="s">
        <v>1801</v>
      </c>
      <c r="D88" s="2" t="s">
        <v>8</v>
      </c>
      <c r="E88" s="2" t="s">
        <v>2385</v>
      </c>
      <c r="F88" s="2" t="s">
        <v>2386</v>
      </c>
      <c r="G88" s="2"/>
      <c r="H88" s="2"/>
      <c r="I88" s="3" t="b">
        <f>OR(E88 = "calculated", E88 = "lookup", E88 = "aggregation")</f>
        <v>0</v>
      </c>
      <c r="J88" s="3" t="b">
        <f>H88 &lt;&gt; ""</f>
        <v>0</v>
      </c>
      <c r="K88" s="3">
        <f>COUNTIFS(FieldDisagreements!D2:D999, A88)</f>
        <v>0</v>
      </c>
      <c r="L88" s="3" t="b">
        <f>K88 &gt; 0</f>
        <v>0</v>
      </c>
      <c r="M88" s="2" t="s">
        <v>2387</v>
      </c>
    </row>
    <row r="89">
      <c r="A89" s="2" t="s">
        <v>2522</v>
      </c>
      <c r="B89" s="3" t="str">
        <f>C89 &amp; "." &amp; D89</f>
        <v>RoleAssignments.EvaluationContext</v>
      </c>
      <c r="C89" s="2" t="s">
        <v>1801</v>
      </c>
      <c r="D89" s="2" t="s">
        <v>258</v>
      </c>
      <c r="E89" s="2" t="s">
        <v>2434</v>
      </c>
      <c r="F89" s="2" t="s">
        <v>2386</v>
      </c>
      <c r="G89" s="2"/>
      <c r="H89" s="2"/>
      <c r="I89" s="3" t="b">
        <f>OR(E89 = "calculated", E89 = "lookup", E89 = "aggregation")</f>
        <v>0</v>
      </c>
      <c r="J89" s="3" t="b">
        <f>H89 &lt;&gt; ""</f>
        <v>0</v>
      </c>
      <c r="K89" s="3">
        <f>COUNTIFS(FieldDisagreements!D2:D999, A89)</f>
        <v>0</v>
      </c>
      <c r="L89" s="3" t="b">
        <f>K89 &gt; 0</f>
        <v>0</v>
      </c>
      <c r="M89" s="2" t="s">
        <v>2387</v>
      </c>
    </row>
    <row r="90">
      <c r="A90" s="2" t="s">
        <v>2523</v>
      </c>
      <c r="B90" s="3" t="str">
        <f>C90 &amp; "." &amp; D90</f>
        <v>RoleAssignments.AsOfInstant</v>
      </c>
      <c r="C90" s="2" t="s">
        <v>1801</v>
      </c>
      <c r="D90" s="2" t="s">
        <v>92</v>
      </c>
      <c r="E90" s="2" t="s">
        <v>2478</v>
      </c>
      <c r="F90" s="2" t="s">
        <v>2397</v>
      </c>
      <c r="G90" s="2" t="s">
        <v>2524</v>
      </c>
      <c r="H90" s="2"/>
      <c r="I90" s="3" t="b">
        <f>OR(E90 = "calculated", E90 = "lookup", E90 = "aggregation")</f>
        <v>1</v>
      </c>
      <c r="J90" s="3" t="b">
        <f>H90 &lt;&gt; ""</f>
        <v>0</v>
      </c>
      <c r="K90" s="3">
        <f>COUNTIFS(FieldDisagreements!D2:D999, A90)</f>
        <v>1</v>
      </c>
      <c r="L90" s="3" t="b">
        <f>K90 &gt; 0</f>
        <v>1</v>
      </c>
      <c r="M90" s="2" t="s">
        <v>2387</v>
      </c>
    </row>
    <row r="91">
      <c r="A91" s="2" t="s">
        <v>2525</v>
      </c>
      <c r="B91" s="3" t="str">
        <f>C91 &amp; "." &amp; D91</f>
        <v>RoleAssignments.IsCurrent</v>
      </c>
      <c r="C91" s="2" t="s">
        <v>1801</v>
      </c>
      <c r="D91" s="2" t="s">
        <v>10</v>
      </c>
      <c r="E91" s="2" t="s">
        <v>2389</v>
      </c>
      <c r="F91" s="2" t="s">
        <v>2401</v>
      </c>
      <c r="G91" s="2" t="s">
        <v>2526</v>
      </c>
      <c r="H91" s="2"/>
      <c r="I91" s="3" t="b">
        <f>OR(E91 = "calculated", E91 = "lookup", E91 = "aggregation")</f>
        <v>1</v>
      </c>
      <c r="J91" s="3" t="b">
        <f>H91 &lt;&gt; ""</f>
        <v>0</v>
      </c>
      <c r="K91" s="3">
        <f>COUNTIFS(FieldDisagreements!D2:D999, A91)</f>
        <v>0</v>
      </c>
      <c r="L91" s="3" t="b">
        <f>K91 &gt; 0</f>
        <v>0</v>
      </c>
      <c r="M91" s="2" t="s">
        <v>2387</v>
      </c>
    </row>
    <row r="92">
      <c r="A92" s="2" t="s">
        <v>2527</v>
      </c>
      <c r="B92" s="3" t="str">
        <f>C92 &amp; "." &amp; D92</f>
        <v>RoleAssignments.CurrentAgentKey</v>
      </c>
      <c r="C92" s="2" t="s">
        <v>1801</v>
      </c>
      <c r="D92" s="2" t="s">
        <v>259</v>
      </c>
      <c r="E92" s="2" t="s">
        <v>2389</v>
      </c>
      <c r="F92" s="2" t="s">
        <v>2386</v>
      </c>
      <c r="G92" s="2" t="s">
        <v>2528</v>
      </c>
      <c r="H92" s="2"/>
      <c r="I92" s="3" t="b">
        <f>OR(E92 = "calculated", E92 = "lookup", E92 = "aggregation")</f>
        <v>1</v>
      </c>
      <c r="J92" s="3" t="b">
        <f>H92 &lt;&gt; ""</f>
        <v>0</v>
      </c>
      <c r="K92" s="3">
        <f>COUNTIFS(FieldDisagreements!D2:D999, A92)</f>
        <v>0</v>
      </c>
      <c r="L92" s="3" t="b">
        <f>K92 &gt; 0</f>
        <v>0</v>
      </c>
      <c r="M92" s="2" t="s">
        <v>2387</v>
      </c>
    </row>
    <row r="93">
      <c r="A93" s="2" t="s">
        <v>2529</v>
      </c>
      <c r="B93" s="3" t="str">
        <f>C93 &amp; "." &amp; D93</f>
        <v>RoleAssignments.IsCurrentlyValid</v>
      </c>
      <c r="C93" s="2" t="s">
        <v>1801</v>
      </c>
      <c r="D93" s="2" t="s">
        <v>260</v>
      </c>
      <c r="E93" s="2" t="s">
        <v>2389</v>
      </c>
      <c r="F93" s="2" t="s">
        <v>2401</v>
      </c>
      <c r="G93" s="2" t="s">
        <v>2530</v>
      </c>
      <c r="H93" s="2" t="s">
        <v>1960</v>
      </c>
      <c r="I93" s="3" t="b">
        <f>OR(E93 = "calculated", E93 = "lookup", E93 = "aggregation")</f>
        <v>1</v>
      </c>
      <c r="J93" s="3" t="b">
        <f>H93 &lt;&gt; ""</f>
        <v>1</v>
      </c>
      <c r="K93" s="3">
        <f>COUNTIFS(FieldDisagreements!D2:D999, A93)</f>
        <v>0</v>
      </c>
      <c r="L93" s="3" t="b">
        <f>K93 &gt; 0</f>
        <v>0</v>
      </c>
      <c r="M93" s="2" t="s">
        <v>2387</v>
      </c>
    </row>
    <row r="94">
      <c r="A94" s="2" t="s">
        <v>2531</v>
      </c>
      <c r="B94" s="3" t="str">
        <f>C94 &amp; "." &amp; D94</f>
        <v>RoleAssignments.AgentRoleKey</v>
      </c>
      <c r="C94" s="2" t="s">
        <v>1801</v>
      </c>
      <c r="D94" s="2" t="s">
        <v>261</v>
      </c>
      <c r="E94" s="2" t="s">
        <v>2389</v>
      </c>
      <c r="F94" s="2" t="s">
        <v>2386</v>
      </c>
      <c r="G94" s="2" t="s">
        <v>2532</v>
      </c>
      <c r="H94" s="2" t="s">
        <v>1960</v>
      </c>
      <c r="I94" s="3" t="b">
        <f>OR(E94 = "calculated", E94 = "lookup", E94 = "aggregation")</f>
        <v>1</v>
      </c>
      <c r="J94" s="3" t="b">
        <f>H94 &lt;&gt; ""</f>
        <v>1</v>
      </c>
      <c r="K94" s="3">
        <f>COUNTIFS(FieldDisagreements!D2:D999, A94)</f>
        <v>0</v>
      </c>
      <c r="L94" s="3" t="b">
        <f>K94 &gt; 0</f>
        <v>0</v>
      </c>
      <c r="M94" s="2" t="s">
        <v>2387</v>
      </c>
    </row>
    <row r="95">
      <c r="A95" s="2" t="s">
        <v>2533</v>
      </c>
      <c r="B95" s="3" t="str">
        <f>C95 &amp; "." &amp; D95</f>
        <v>RoleAssignments.HasDeparted</v>
      </c>
      <c r="C95" s="2" t="s">
        <v>1801</v>
      </c>
      <c r="D95" s="2" t="s">
        <v>262</v>
      </c>
      <c r="E95" s="2" t="s">
        <v>2389</v>
      </c>
      <c r="F95" s="2" t="s">
        <v>2401</v>
      </c>
      <c r="G95" s="2" t="s">
        <v>2534</v>
      </c>
      <c r="H95" s="2" t="s">
        <v>2016</v>
      </c>
      <c r="I95" s="3" t="b">
        <f>OR(E95 = "calculated", E95 = "lookup", E95 = "aggregation")</f>
        <v>1</v>
      </c>
      <c r="J95" s="3" t="b">
        <f>H95 &lt;&gt; ""</f>
        <v>1</v>
      </c>
      <c r="K95" s="3">
        <f>COUNTIFS(FieldDisagreements!D2:D999, A95)</f>
        <v>0</v>
      </c>
      <c r="L95" s="3" t="b">
        <f>K95 &gt; 0</f>
        <v>0</v>
      </c>
      <c r="M95" s="2" t="s">
        <v>2387</v>
      </c>
    </row>
    <row r="96">
      <c r="A96" s="2" t="s">
        <v>2535</v>
      </c>
      <c r="B96" s="3" t="str">
        <f>C96 &amp; "." &amp; D96</f>
        <v>RoleAssignments.CoversNow</v>
      </c>
      <c r="C96" s="2" t="s">
        <v>1801</v>
      </c>
      <c r="D96" s="2" t="s">
        <v>263</v>
      </c>
      <c r="E96" s="2" t="s">
        <v>2389</v>
      </c>
      <c r="F96" s="2" t="s">
        <v>2401</v>
      </c>
      <c r="G96" s="2" t="s">
        <v>2536</v>
      </c>
      <c r="H96" s="2" t="s">
        <v>2096</v>
      </c>
      <c r="I96" s="3" t="b">
        <f>OR(E96 = "calculated", E96 = "lookup", E96 = "aggregation")</f>
        <v>1</v>
      </c>
      <c r="J96" s="3" t="b">
        <f>H96 &lt;&gt; ""</f>
        <v>1</v>
      </c>
      <c r="K96" s="3">
        <f>COUNTIFS(FieldDisagreements!D2:D999, A96)</f>
        <v>0</v>
      </c>
      <c r="L96" s="3" t="b">
        <f>K96 &gt; 0</f>
        <v>0</v>
      </c>
      <c r="M96" s="2" t="s">
        <v>2387</v>
      </c>
    </row>
    <row r="97">
      <c r="A97" s="2" t="s">
        <v>2537</v>
      </c>
      <c r="B97" s="3" t="str">
        <f>C97 &amp; "." &amp; D97</f>
        <v>RoleAssignments.RoleWhenCovering</v>
      </c>
      <c r="C97" s="2" t="s">
        <v>1801</v>
      </c>
      <c r="D97" s="2" t="s">
        <v>264</v>
      </c>
      <c r="E97" s="2" t="s">
        <v>2389</v>
      </c>
      <c r="F97" s="2" t="s">
        <v>2386</v>
      </c>
      <c r="G97" s="2" t="s">
        <v>2538</v>
      </c>
      <c r="H97" s="2" t="s">
        <v>2096</v>
      </c>
      <c r="I97" s="3" t="b">
        <f>OR(E97 = "calculated", E97 = "lookup", E97 = "aggregation")</f>
        <v>1</v>
      </c>
      <c r="J97" s="3" t="b">
        <f>H97 &lt;&gt; ""</f>
        <v>1</v>
      </c>
      <c r="K97" s="3">
        <f>COUNTIFS(FieldDisagreements!D2:D999, A97)</f>
        <v>0</v>
      </c>
      <c r="L97" s="3" t="b">
        <f>K97 &gt; 0</f>
        <v>0</v>
      </c>
      <c r="M97" s="2" t="s">
        <v>2387</v>
      </c>
    </row>
    <row r="98">
      <c r="A98" s="2" t="s">
        <v>2539</v>
      </c>
      <c r="B98" s="3" t="str">
        <f>C98 &amp; "." &amp; D98</f>
        <v>RoleAssignments.AgentKind</v>
      </c>
      <c r="C98" s="2" t="s">
        <v>1801</v>
      </c>
      <c r="D98" s="2" t="s">
        <v>120</v>
      </c>
      <c r="E98" s="2" t="s">
        <v>2478</v>
      </c>
      <c r="F98" s="2" t="s">
        <v>2386</v>
      </c>
      <c r="G98" s="2" t="s">
        <v>2540</v>
      </c>
      <c r="H98" s="2" t="s">
        <v>2136</v>
      </c>
      <c r="I98" s="3" t="b">
        <f>OR(E98 = "calculated", E98 = "lookup", E98 = "aggregation")</f>
        <v>1</v>
      </c>
      <c r="J98" s="3" t="b">
        <f>H98 &lt;&gt; ""</f>
        <v>1</v>
      </c>
      <c r="K98" s="3">
        <f>COUNTIFS(FieldDisagreements!D2:D999, A98)</f>
        <v>0</v>
      </c>
      <c r="L98" s="3" t="b">
        <f>K98 &gt; 0</f>
        <v>0</v>
      </c>
      <c r="M98" s="2" t="s">
        <v>2387</v>
      </c>
    </row>
    <row r="99">
      <c r="A99" s="2" t="s">
        <v>2541</v>
      </c>
      <c r="B99" s="3" t="str">
        <f>C99 &amp; "." &amp; D99</f>
        <v>RoleAssignments.IsNonHumanAssignment</v>
      </c>
      <c r="C99" s="2" t="s">
        <v>1801</v>
      </c>
      <c r="D99" s="2" t="s">
        <v>265</v>
      </c>
      <c r="E99" s="2" t="s">
        <v>2389</v>
      </c>
      <c r="F99" s="2" t="s">
        <v>2401</v>
      </c>
      <c r="G99" s="2" t="s">
        <v>2451</v>
      </c>
      <c r="H99" s="2" t="s">
        <v>2136</v>
      </c>
      <c r="I99" s="3" t="b">
        <f>OR(E99 = "calculated", E99 = "lookup", E99 = "aggregation")</f>
        <v>1</v>
      </c>
      <c r="J99" s="3" t="b">
        <f>H99 &lt;&gt; ""</f>
        <v>1</v>
      </c>
      <c r="K99" s="3">
        <f>COUNTIFS(FieldDisagreements!D2:D999, A99)</f>
        <v>0</v>
      </c>
      <c r="L99" s="3" t="b">
        <f>K99 &gt; 0</f>
        <v>0</v>
      </c>
      <c r="M99" s="2" t="s">
        <v>2387</v>
      </c>
    </row>
    <row r="100">
      <c r="A100" s="2" t="s">
        <v>2542</v>
      </c>
      <c r="B100" s="3" t="str">
        <f>C100 &amp; "." &amp; D100</f>
        <v>RoleAssignments.SupersedesAssignment</v>
      </c>
      <c r="C100" s="2" t="s">
        <v>1801</v>
      </c>
      <c r="D100" s="2" t="s">
        <v>266</v>
      </c>
      <c r="E100" s="2" t="s">
        <v>2434</v>
      </c>
      <c r="F100" s="2" t="s">
        <v>2386</v>
      </c>
      <c r="G100" s="2"/>
      <c r="H100" s="2" t="s">
        <v>2136</v>
      </c>
      <c r="I100" s="3" t="b">
        <f>OR(E100 = "calculated", E100 = "lookup", E100 = "aggregation")</f>
        <v>0</v>
      </c>
      <c r="J100" s="3" t="b">
        <f>H100 &lt;&gt; ""</f>
        <v>1</v>
      </c>
      <c r="K100" s="3">
        <f>COUNTIFS(FieldDisagreements!D2:D999, A100)</f>
        <v>0</v>
      </c>
      <c r="L100" s="3" t="b">
        <f>K100 &gt; 0</f>
        <v>0</v>
      </c>
      <c r="M100" s="2" t="s">
        <v>2387</v>
      </c>
    </row>
    <row r="101">
      <c r="A101" s="2" t="s">
        <v>2543</v>
      </c>
      <c r="B101" s="3" t="str">
        <f>C101 &amp; "." &amp; D101</f>
        <v>RoleAssignments.PredecessorAgentKind</v>
      </c>
      <c r="C101" s="2" t="s">
        <v>1801</v>
      </c>
      <c r="D101" s="2" t="s">
        <v>267</v>
      </c>
      <c r="E101" s="2" t="s">
        <v>2478</v>
      </c>
      <c r="F101" s="2" t="s">
        <v>2386</v>
      </c>
      <c r="G101" s="2" t="s">
        <v>2544</v>
      </c>
      <c r="H101" s="2" t="s">
        <v>2136</v>
      </c>
      <c r="I101" s="3" t="b">
        <f>OR(E101 = "calculated", E101 = "lookup", E101 = "aggregation")</f>
        <v>1</v>
      </c>
      <c r="J101" s="3" t="b">
        <f>H101 &lt;&gt; ""</f>
        <v>1</v>
      </c>
      <c r="K101" s="3">
        <f>COUNTIFS(FieldDisagreements!D2:D999, A101)</f>
        <v>1</v>
      </c>
      <c r="L101" s="3" t="b">
        <f>K101 &gt; 0</f>
        <v>1</v>
      </c>
      <c r="M101" s="2" t="s">
        <v>2387</v>
      </c>
    </row>
    <row r="102">
      <c r="A102" s="2" t="s">
        <v>2545</v>
      </c>
      <c r="B102" s="3" t="str">
        <f>C102 &amp; "." &amp; D102</f>
        <v>RoleAssignments.IsHumanToNonHumanHandover</v>
      </c>
      <c r="C102" s="2" t="s">
        <v>1801</v>
      </c>
      <c r="D102" s="2" t="s">
        <v>268</v>
      </c>
      <c r="E102" s="2" t="s">
        <v>2389</v>
      </c>
      <c r="F102" s="2" t="s">
        <v>2401</v>
      </c>
      <c r="G102" s="2" t="s">
        <v>2546</v>
      </c>
      <c r="H102" s="2" t="s">
        <v>2136</v>
      </c>
      <c r="I102" s="3" t="b">
        <f>OR(E102 = "calculated", E102 = "lookup", E102 = "aggregation")</f>
        <v>1</v>
      </c>
      <c r="J102" s="3" t="b">
        <f>H102 &lt;&gt; ""</f>
        <v>1</v>
      </c>
      <c r="K102" s="3">
        <f>COUNTIFS(FieldDisagreements!D2:D999, A102)</f>
        <v>1</v>
      </c>
      <c r="L102" s="3" t="b">
        <f>K102 &gt; 0</f>
        <v>1</v>
      </c>
      <c r="M102" s="2" t="s">
        <v>2387</v>
      </c>
    </row>
    <row r="103">
      <c r="A103" s="2" t="s">
        <v>2547</v>
      </c>
      <c r="B103" s="3" t="str">
        <f>C103 &amp; "." &amp; D103</f>
        <v>RoleAssignments.ApprovingAuthorityRole</v>
      </c>
      <c r="C103" s="2" t="s">
        <v>1801</v>
      </c>
      <c r="D103" s="2" t="s">
        <v>269</v>
      </c>
      <c r="E103" s="2" t="s">
        <v>2434</v>
      </c>
      <c r="F103" s="2" t="s">
        <v>2386</v>
      </c>
      <c r="G103" s="2"/>
      <c r="H103" s="2" t="s">
        <v>2136</v>
      </c>
      <c r="I103" s="3" t="b">
        <f>OR(E103 = "calculated", E103 = "lookup", E103 = "aggregation")</f>
        <v>0</v>
      </c>
      <c r="J103" s="3" t="b">
        <f>H103 &lt;&gt; ""</f>
        <v>1</v>
      </c>
      <c r="K103" s="3">
        <f>COUNTIFS(FieldDisagreements!D2:D999, A103)</f>
        <v>0</v>
      </c>
      <c r="L103" s="3" t="b">
        <f>K103 &gt; 0</f>
        <v>0</v>
      </c>
      <c r="M103" s="2" t="s">
        <v>2387</v>
      </c>
    </row>
    <row r="104">
      <c r="A104" s="2" t="s">
        <v>2548</v>
      </c>
      <c r="B104" s="3" t="str">
        <f>C104 &amp; "." &amp; D104</f>
        <v>RoleAssignments.AuthorizingChangeRequest</v>
      </c>
      <c r="C104" s="2" t="s">
        <v>1801</v>
      </c>
      <c r="D104" s="2" t="s">
        <v>270</v>
      </c>
      <c r="E104" s="2" t="s">
        <v>2434</v>
      </c>
      <c r="F104" s="2" t="s">
        <v>2386</v>
      </c>
      <c r="G104" s="2"/>
      <c r="H104" s="2" t="s">
        <v>2136</v>
      </c>
      <c r="I104" s="3" t="b">
        <f>OR(E104 = "calculated", E104 = "lookup", E104 = "aggregation")</f>
        <v>0</v>
      </c>
      <c r="J104" s="3" t="b">
        <f>H104 &lt;&gt; ""</f>
        <v>1</v>
      </c>
      <c r="K104" s="3">
        <f>COUNTIFS(FieldDisagreements!D2:D999, A104)</f>
        <v>0</v>
      </c>
      <c r="L104" s="3" t="b">
        <f>K104 &gt; 0</f>
        <v>0</v>
      </c>
      <c r="M104" s="2" t="s">
        <v>2387</v>
      </c>
    </row>
    <row r="105">
      <c r="A105" s="2" t="s">
        <v>2549</v>
      </c>
      <c r="B105" s="3" t="str">
        <f>C105 &amp; "." &amp; D105</f>
        <v>RoleAssignments.IsUnauthorizedNonHumanAssignment</v>
      </c>
      <c r="C105" s="2" t="s">
        <v>1801</v>
      </c>
      <c r="D105" s="2" t="s">
        <v>271</v>
      </c>
      <c r="E105" s="2" t="s">
        <v>2389</v>
      </c>
      <c r="F105" s="2" t="s">
        <v>2401</v>
      </c>
      <c r="G105" s="2" t="s">
        <v>2550</v>
      </c>
      <c r="H105" s="2" t="s">
        <v>2136</v>
      </c>
      <c r="I105" s="3" t="b">
        <f>OR(E105 = "calculated", E105 = "lookup", E105 = "aggregation")</f>
        <v>1</v>
      </c>
      <c r="J105" s="3" t="b">
        <f>H105 &lt;&gt; ""</f>
        <v>1</v>
      </c>
      <c r="K105" s="3">
        <f>COUNTIFS(FieldDisagreements!D2:D999, A105)</f>
        <v>0</v>
      </c>
      <c r="L105" s="3" t="b">
        <f>K105 &gt; 0</f>
        <v>0</v>
      </c>
      <c r="M105" s="2" t="s">
        <v>2387</v>
      </c>
    </row>
    <row r="106">
      <c r="A106" s="2" t="s">
        <v>2551</v>
      </c>
      <c r="B106" s="3" t="str">
        <f>C106 &amp; "." &amp; D106</f>
        <v>RoleAssignments.WasAuthorizedByChangeRequest</v>
      </c>
      <c r="C106" s="2" t="s">
        <v>1801</v>
      </c>
      <c r="D106" s="2" t="s">
        <v>272</v>
      </c>
      <c r="E106" s="2" t="s">
        <v>2389</v>
      </c>
      <c r="F106" s="2" t="s">
        <v>2401</v>
      </c>
      <c r="G106" s="2" t="s">
        <v>2552</v>
      </c>
      <c r="H106" s="2"/>
      <c r="I106" s="3" t="b">
        <f>OR(E106 = "calculated", E106 = "lookup", E106 = "aggregation")</f>
        <v>1</v>
      </c>
      <c r="J106" s="3" t="b">
        <f>H106 &lt;&gt; ""</f>
        <v>0</v>
      </c>
      <c r="K106" s="3">
        <f>COUNTIFS(FieldDisagreements!D2:D999, A106)</f>
        <v>0</v>
      </c>
      <c r="L106" s="3" t="b">
        <f>K106 &gt; 0</f>
        <v>0</v>
      </c>
      <c r="M106" s="2" t="s">
        <v>2387</v>
      </c>
    </row>
    <row r="107">
      <c r="A107" s="2" t="s">
        <v>2553</v>
      </c>
      <c r="B107" s="3" t="str">
        <f>C107 &amp; "." &amp; D107</f>
        <v>RoleAssignments.DecisionCount</v>
      </c>
      <c r="C107" s="2" t="s">
        <v>1801</v>
      </c>
      <c r="D107" s="2" t="s">
        <v>126</v>
      </c>
      <c r="E107" s="2" t="s">
        <v>2438</v>
      </c>
      <c r="F107" s="2" t="s">
        <v>2444</v>
      </c>
      <c r="G107" s="2" t="s">
        <v>2554</v>
      </c>
      <c r="H107" s="2" t="s">
        <v>2140</v>
      </c>
      <c r="I107" s="3" t="b">
        <f>OR(E107 = "calculated", E107 = "lookup", E107 = "aggregation")</f>
        <v>1</v>
      </c>
      <c r="J107" s="3" t="b">
        <f>H107 &lt;&gt; ""</f>
        <v>1</v>
      </c>
      <c r="K107" s="3">
        <f>COUNTIFS(FieldDisagreements!D2:D999, A107)</f>
        <v>0</v>
      </c>
      <c r="L107" s="3" t="b">
        <f>K107 &gt; 0</f>
        <v>0</v>
      </c>
      <c r="M107" s="2" t="s">
        <v>2387</v>
      </c>
    </row>
    <row r="108">
      <c r="A108" s="2" t="s">
        <v>2555</v>
      </c>
      <c r="B108" s="3" t="str">
        <f>C108 &amp; "." &amp; D108</f>
        <v>RoleAssignments.OverriddenDecisionCount</v>
      </c>
      <c r="C108" s="2" t="s">
        <v>1801</v>
      </c>
      <c r="D108" s="2" t="s">
        <v>127</v>
      </c>
      <c r="E108" s="2" t="s">
        <v>2438</v>
      </c>
      <c r="F108" s="2" t="s">
        <v>2444</v>
      </c>
      <c r="G108" s="2" t="s">
        <v>2556</v>
      </c>
      <c r="H108" s="2" t="s">
        <v>2140</v>
      </c>
      <c r="I108" s="3" t="b">
        <f>OR(E108 = "calculated", E108 = "lookup", E108 = "aggregation")</f>
        <v>1</v>
      </c>
      <c r="J108" s="3" t="b">
        <f>H108 &lt;&gt; ""</f>
        <v>1</v>
      </c>
      <c r="K108" s="3">
        <f>COUNTIFS(FieldDisagreements!D2:D999, A108)</f>
        <v>0</v>
      </c>
      <c r="L108" s="3" t="b">
        <f>K108 &gt; 0</f>
        <v>0</v>
      </c>
      <c r="M108" s="2" t="s">
        <v>2387</v>
      </c>
    </row>
    <row r="109">
      <c r="A109" s="2" t="s">
        <v>2557</v>
      </c>
      <c r="B109" s="3" t="str">
        <f>C109 &amp; "." &amp; D109</f>
        <v>RoleAssignments.OverrideRatePercent</v>
      </c>
      <c r="C109" s="2" t="s">
        <v>1801</v>
      </c>
      <c r="D109" s="2" t="s">
        <v>128</v>
      </c>
      <c r="E109" s="2" t="s">
        <v>2389</v>
      </c>
      <c r="F109" s="2" t="s">
        <v>2444</v>
      </c>
      <c r="G109" s="2" t="s">
        <v>2449</v>
      </c>
      <c r="H109" s="2" t="s">
        <v>2140</v>
      </c>
      <c r="I109" s="3" t="b">
        <f>OR(E109 = "calculated", E109 = "lookup", E109 = "aggregation")</f>
        <v>1</v>
      </c>
      <c r="J109" s="3" t="b">
        <f>H109 &lt;&gt; ""</f>
        <v>1</v>
      </c>
      <c r="K109" s="3">
        <f>COUNTIFS(FieldDisagreements!D2:D999, A109)</f>
        <v>0</v>
      </c>
      <c r="L109" s="3" t="b">
        <f>K109 &gt; 0</f>
        <v>0</v>
      </c>
      <c r="M109" s="2" t="s">
        <v>2387</v>
      </c>
    </row>
    <row r="110">
      <c r="A110" s="2" t="s">
        <v>2558</v>
      </c>
      <c r="B110" s="3" t="str">
        <f>C110 &amp; "." &amp; D110</f>
        <v>RoleAssignments.PredecessorOverrideRatePercent</v>
      </c>
      <c r="C110" s="2" t="s">
        <v>1801</v>
      </c>
      <c r="D110" s="2" t="s">
        <v>273</v>
      </c>
      <c r="E110" s="2" t="s">
        <v>2478</v>
      </c>
      <c r="F110" s="2" t="s">
        <v>2444</v>
      </c>
      <c r="G110" s="2" t="s">
        <v>2559</v>
      </c>
      <c r="H110" s="2" t="s">
        <v>2140</v>
      </c>
      <c r="I110" s="3" t="b">
        <f>OR(E110 = "calculated", E110 = "lookup", E110 = "aggregation")</f>
        <v>1</v>
      </c>
      <c r="J110" s="3" t="b">
        <f>H110 &lt;&gt; ""</f>
        <v>1</v>
      </c>
      <c r="K110" s="3">
        <f>COUNTIFS(FieldDisagreements!D2:D999, A110)</f>
        <v>0</v>
      </c>
      <c r="L110" s="3" t="b">
        <f>K110 &gt; 0</f>
        <v>0</v>
      </c>
      <c r="M110" s="2" t="s">
        <v>2387</v>
      </c>
    </row>
    <row r="111">
      <c r="A111" s="2" t="s">
        <v>2560</v>
      </c>
      <c r="B111" s="3" t="str">
        <f>C111 &amp; "." &amp; D111</f>
        <v>RoleAssignments.QualityRegressedVsPredecessor</v>
      </c>
      <c r="C111" s="2" t="s">
        <v>1801</v>
      </c>
      <c r="D111" s="2" t="s">
        <v>274</v>
      </c>
      <c r="E111" s="2" t="s">
        <v>2389</v>
      </c>
      <c r="F111" s="2" t="s">
        <v>2401</v>
      </c>
      <c r="G111" s="2" t="s">
        <v>2561</v>
      </c>
      <c r="H111" s="2" t="s">
        <v>2140</v>
      </c>
      <c r="I111" s="3" t="b">
        <f>OR(E111 = "calculated", E111 = "lookup", E111 = "aggregation")</f>
        <v>1</v>
      </c>
      <c r="J111" s="3" t="b">
        <f>H111 &lt;&gt; ""</f>
        <v>1</v>
      </c>
      <c r="K111" s="3">
        <f>COUNTIFS(FieldDisagreements!D2:D999, A111)</f>
        <v>0</v>
      </c>
      <c r="L111" s="3" t="b">
        <f>K111 &gt; 0</f>
        <v>0</v>
      </c>
      <c r="M111" s="2" t="s">
        <v>2387</v>
      </c>
    </row>
    <row r="112">
      <c r="A112" s="2" t="s">
        <v>2562</v>
      </c>
      <c r="B112" s="3" t="str">
        <f>C112 &amp; "." &amp; D112</f>
        <v>RoleAssignments.DepartedRoleKey</v>
      </c>
      <c r="C112" s="2" t="s">
        <v>1801</v>
      </c>
      <c r="D112" s="2" t="s">
        <v>275</v>
      </c>
      <c r="E112" s="2" t="s">
        <v>2389</v>
      </c>
      <c r="F112" s="2" t="s">
        <v>2386</v>
      </c>
      <c r="G112" s="2" t="s">
        <v>2563</v>
      </c>
      <c r="H112" s="2" t="s">
        <v>2212</v>
      </c>
      <c r="I112" s="3" t="b">
        <f>OR(E112 = "calculated", E112 = "lookup", E112 = "aggregation")</f>
        <v>1</v>
      </c>
      <c r="J112" s="3" t="b">
        <f>H112 &lt;&gt; ""</f>
        <v>1</v>
      </c>
      <c r="K112" s="3">
        <f>COUNTIFS(FieldDisagreements!D2:D999, A112)</f>
        <v>0</v>
      </c>
      <c r="L112" s="3" t="b">
        <f>K112 &gt; 0</f>
        <v>0</v>
      </c>
      <c r="M112" s="2" t="s">
        <v>2387</v>
      </c>
    </row>
    <row r="113">
      <c r="A113" s="2" t="s">
        <v>2564</v>
      </c>
      <c r="B113" s="3" t="str">
        <f>C113 &amp; "." &amp; D113</f>
        <v>RoleAssignments.MinimumDecisionsForComparison</v>
      </c>
      <c r="C113" s="2" t="s">
        <v>1801</v>
      </c>
      <c r="D113" s="2" t="s">
        <v>276</v>
      </c>
      <c r="E113" s="2" t="s">
        <v>2385</v>
      </c>
      <c r="F113" s="2" t="s">
        <v>2439</v>
      </c>
      <c r="G113" s="2"/>
      <c r="H113" s="2" t="s">
        <v>2316</v>
      </c>
      <c r="I113" s="3" t="b">
        <f>OR(E113 = "calculated", E113 = "lookup", E113 = "aggregation")</f>
        <v>0</v>
      </c>
      <c r="J113" s="3" t="b">
        <f>H113 &lt;&gt; ""</f>
        <v>1</v>
      </c>
      <c r="K113" s="3">
        <f>COUNTIFS(FieldDisagreements!D2:D999, A113)</f>
        <v>0</v>
      </c>
      <c r="L113" s="3" t="b">
        <f>K113 &gt; 0</f>
        <v>0</v>
      </c>
      <c r="M113" s="2" t="s">
        <v>2387</v>
      </c>
    </row>
    <row r="114">
      <c r="A114" s="2" t="s">
        <v>2565</v>
      </c>
      <c r="B114" s="3" t="str">
        <f>C114 &amp; "." &amp; D114</f>
        <v>RoleAssignments.PredecessorDecisionCount</v>
      </c>
      <c r="C114" s="2" t="s">
        <v>1801</v>
      </c>
      <c r="D114" s="2" t="s">
        <v>277</v>
      </c>
      <c r="E114" s="2" t="s">
        <v>2478</v>
      </c>
      <c r="F114" s="2" t="s">
        <v>2444</v>
      </c>
      <c r="G114" s="2" t="s">
        <v>2566</v>
      </c>
      <c r="H114" s="2" t="s">
        <v>2316</v>
      </c>
      <c r="I114" s="3" t="b">
        <f>OR(E114 = "calculated", E114 = "lookup", E114 = "aggregation")</f>
        <v>1</v>
      </c>
      <c r="J114" s="3" t="b">
        <f>H114 &lt;&gt; ""</f>
        <v>1</v>
      </c>
      <c r="K114" s="3">
        <f>COUNTIFS(FieldDisagreements!D2:D999, A114)</f>
        <v>0</v>
      </c>
      <c r="L114" s="3" t="b">
        <f>K114 &gt; 0</f>
        <v>0</v>
      </c>
      <c r="M114" s="2" t="s">
        <v>2387</v>
      </c>
    </row>
    <row r="115">
      <c r="A115" s="2" t="s">
        <v>2567</v>
      </c>
      <c r="B115" s="3" t="str">
        <f>C115 &amp; "." &amp; D115</f>
        <v>RoleAssignments.HasSufficientSample</v>
      </c>
      <c r="C115" s="2" t="s">
        <v>1801</v>
      </c>
      <c r="D115" s="2" t="s">
        <v>278</v>
      </c>
      <c r="E115" s="2" t="s">
        <v>2389</v>
      </c>
      <c r="F115" s="2" t="s">
        <v>2401</v>
      </c>
      <c r="G115" s="2" t="s">
        <v>2568</v>
      </c>
      <c r="H115" s="2" t="s">
        <v>2316</v>
      </c>
      <c r="I115" s="3" t="b">
        <f>OR(E115 = "calculated", E115 = "lookup", E115 = "aggregation")</f>
        <v>1</v>
      </c>
      <c r="J115" s="3" t="b">
        <f>H115 &lt;&gt; ""</f>
        <v>1</v>
      </c>
      <c r="K115" s="3">
        <f>COUNTIFS(FieldDisagreements!D2:D999, A115)</f>
        <v>1</v>
      </c>
      <c r="L115" s="3" t="b">
        <f>K115 &gt; 0</f>
        <v>1</v>
      </c>
      <c r="M115" s="2" t="s">
        <v>2387</v>
      </c>
    </row>
    <row r="116">
      <c r="A116" s="2" t="s">
        <v>2569</v>
      </c>
      <c r="B116" s="3" t="str">
        <f>C116 &amp; "." &amp; D116</f>
        <v>RoleAssignments.PredecessorHasSufficientSample</v>
      </c>
      <c r="C116" s="2" t="s">
        <v>1801</v>
      </c>
      <c r="D116" s="2" t="s">
        <v>279</v>
      </c>
      <c r="E116" s="2" t="s">
        <v>2389</v>
      </c>
      <c r="F116" s="2" t="s">
        <v>2401</v>
      </c>
      <c r="G116" s="2" t="s">
        <v>2570</v>
      </c>
      <c r="H116" s="2" t="s">
        <v>2316</v>
      </c>
      <c r="I116" s="3" t="b">
        <f>OR(E116 = "calculated", E116 = "lookup", E116 = "aggregation")</f>
        <v>1</v>
      </c>
      <c r="J116" s="3" t="b">
        <f>H116 &lt;&gt; ""</f>
        <v>1</v>
      </c>
      <c r="K116" s="3">
        <f>COUNTIFS(FieldDisagreements!D2:D999, A116)</f>
        <v>1</v>
      </c>
      <c r="L116" s="3" t="b">
        <f>K116 &gt; 0</f>
        <v>1</v>
      </c>
      <c r="M116" s="2" t="s">
        <v>2387</v>
      </c>
    </row>
    <row r="117">
      <c r="A117" s="2" t="s">
        <v>2571</v>
      </c>
      <c r="B117" s="3" t="str">
        <f>C117 &amp; "." &amp; D117</f>
        <v>RoleAssignments.ComparisonIsEvidentiallySound</v>
      </c>
      <c r="C117" s="2" t="s">
        <v>1801</v>
      </c>
      <c r="D117" s="2" t="s">
        <v>280</v>
      </c>
      <c r="E117" s="2" t="s">
        <v>2389</v>
      </c>
      <c r="F117" s="2" t="s">
        <v>2401</v>
      </c>
      <c r="G117" s="2" t="s">
        <v>2572</v>
      </c>
      <c r="H117" s="2" t="s">
        <v>2316</v>
      </c>
      <c r="I117" s="3" t="b">
        <f>OR(E117 = "calculated", E117 = "lookup", E117 = "aggregation")</f>
        <v>1</v>
      </c>
      <c r="J117" s="3" t="b">
        <f>H117 &lt;&gt; ""</f>
        <v>1</v>
      </c>
      <c r="K117" s="3">
        <f>COUNTIFS(FieldDisagreements!D2:D999, A117)</f>
        <v>1</v>
      </c>
      <c r="L117" s="3" t="b">
        <f>K117 &gt; 0</f>
        <v>1</v>
      </c>
      <c r="M117" s="2" t="s">
        <v>2387</v>
      </c>
    </row>
    <row r="118">
      <c r="A118" s="2" t="s">
        <v>2573</v>
      </c>
      <c r="B118" s="3" t="str">
        <f>C118 &amp; "." &amp; D118</f>
        <v>RoleAssignments.SingleOverrideSwingPercent</v>
      </c>
      <c r="C118" s="2" t="s">
        <v>1801</v>
      </c>
      <c r="D118" s="2" t="s">
        <v>281</v>
      </c>
      <c r="E118" s="2" t="s">
        <v>2389</v>
      </c>
      <c r="F118" s="2" t="s">
        <v>2444</v>
      </c>
      <c r="G118" s="2" t="s">
        <v>2574</v>
      </c>
      <c r="H118" s="2" t="s">
        <v>2316</v>
      </c>
      <c r="I118" s="3" t="b">
        <f>OR(E118 = "calculated", E118 = "lookup", E118 = "aggregation")</f>
        <v>1</v>
      </c>
      <c r="J118" s="3" t="b">
        <f>H118 &lt;&gt; ""</f>
        <v>1</v>
      </c>
      <c r="K118" s="3">
        <f>COUNTIFS(FieldDisagreements!D2:D999, A118)</f>
        <v>0</v>
      </c>
      <c r="L118" s="3" t="b">
        <f>K118 &gt; 0</f>
        <v>0</v>
      </c>
      <c r="M118" s="2" t="s">
        <v>2387</v>
      </c>
    </row>
    <row r="119">
      <c r="A119" s="2" t="s">
        <v>2575</v>
      </c>
      <c r="B119" s="3" t="str">
        <f>C119 &amp; "." &amp; D119</f>
        <v>RoleAssignments.QualityVerdictIsUnsupported</v>
      </c>
      <c r="C119" s="2" t="s">
        <v>1801</v>
      </c>
      <c r="D119" s="2" t="s">
        <v>282</v>
      </c>
      <c r="E119" s="2" t="s">
        <v>2389</v>
      </c>
      <c r="F119" s="2" t="s">
        <v>2401</v>
      </c>
      <c r="G119" s="2" t="s">
        <v>2576</v>
      </c>
      <c r="H119" s="2" t="s">
        <v>2316</v>
      </c>
      <c r="I119" s="3" t="b">
        <f>OR(E119 = "calculated", E119 = "lookup", E119 = "aggregation")</f>
        <v>1</v>
      </c>
      <c r="J119" s="3" t="b">
        <f>H119 &lt;&gt; ""</f>
        <v>1</v>
      </c>
      <c r="K119" s="3">
        <f>COUNTIFS(FieldDisagreements!D2:D999, A119)</f>
        <v>7</v>
      </c>
      <c r="L119" s="3" t="b">
        <f>K119 &gt; 0</f>
        <v>1</v>
      </c>
      <c r="M119" s="2" t="s">
        <v>2387</v>
      </c>
    </row>
    <row r="120">
      <c r="A120" s="2" t="s">
        <v>2577</v>
      </c>
      <c r="B120" s="3" t="str">
        <f>C120 &amp; "." &amp; D120</f>
        <v>RoleAssignments.IsUnmeasuredAutomationHandover</v>
      </c>
      <c r="C120" s="2" t="s">
        <v>1801</v>
      </c>
      <c r="D120" s="2" t="s">
        <v>283</v>
      </c>
      <c r="E120" s="2" t="s">
        <v>2389</v>
      </c>
      <c r="F120" s="2" t="s">
        <v>2401</v>
      </c>
      <c r="G120" s="2" t="s">
        <v>2578</v>
      </c>
      <c r="H120" s="2" t="s">
        <v>2316</v>
      </c>
      <c r="I120" s="3" t="b">
        <f>OR(E120 = "calculated", E120 = "lookup", E120 = "aggregation")</f>
        <v>1</v>
      </c>
      <c r="J120" s="3" t="b">
        <f>H120 &lt;&gt; ""</f>
        <v>1</v>
      </c>
      <c r="K120" s="3">
        <f>COUNTIFS(FieldDisagreements!D2:D999, A120)</f>
        <v>7</v>
      </c>
      <c r="L120" s="3" t="b">
        <f>K120 &gt; 0</f>
        <v>1</v>
      </c>
      <c r="M120" s="2" t="s">
        <v>2387</v>
      </c>
    </row>
    <row r="121">
      <c r="A121" s="2" t="s">
        <v>2579</v>
      </c>
      <c r="B121" s="3" t="str">
        <f>C121 &amp; "." &amp; D121</f>
        <v>RoleAssignments.ErrorCorrectionCount</v>
      </c>
      <c r="C121" s="2" t="s">
        <v>1801</v>
      </c>
      <c r="D121" s="2" t="s">
        <v>284</v>
      </c>
      <c r="E121" s="2" t="s">
        <v>2438</v>
      </c>
      <c r="F121" s="2" t="s">
        <v>2444</v>
      </c>
      <c r="G121" s="2" t="s">
        <v>2580</v>
      </c>
      <c r="H121" s="2" t="s">
        <v>2324</v>
      </c>
      <c r="I121" s="3" t="b">
        <f>OR(E121 = "calculated", E121 = "lookup", E121 = "aggregation")</f>
        <v>1</v>
      </c>
      <c r="J121" s="3" t="b">
        <f>H121 &lt;&gt; ""</f>
        <v>1</v>
      </c>
      <c r="K121" s="3">
        <f>COUNTIFS(FieldDisagreements!D2:D999, A121)</f>
        <v>0</v>
      </c>
      <c r="L121" s="3" t="b">
        <f>K121 &gt; 0</f>
        <v>0</v>
      </c>
      <c r="M121" s="2" t="s">
        <v>2387</v>
      </c>
    </row>
    <row r="122">
      <c r="A122" s="2" t="s">
        <v>2581</v>
      </c>
      <c r="B122" s="3" t="str">
        <f>C122 &amp; "." &amp; D122</f>
        <v>RoleAssignments.ErrorRatePercent</v>
      </c>
      <c r="C122" s="2" t="s">
        <v>1801</v>
      </c>
      <c r="D122" s="2" t="s">
        <v>285</v>
      </c>
      <c r="E122" s="2" t="s">
        <v>2389</v>
      </c>
      <c r="F122" s="2" t="s">
        <v>2444</v>
      </c>
      <c r="G122" s="2" t="s">
        <v>2582</v>
      </c>
      <c r="H122" s="2" t="s">
        <v>2324</v>
      </c>
      <c r="I122" s="3" t="b">
        <f>OR(E122 = "calculated", E122 = "lookup", E122 = "aggregation")</f>
        <v>1</v>
      </c>
      <c r="J122" s="3" t="b">
        <f>H122 &lt;&gt; ""</f>
        <v>1</v>
      </c>
      <c r="K122" s="3">
        <f>COUNTIFS(FieldDisagreements!D2:D999, A122)</f>
        <v>0</v>
      </c>
      <c r="L122" s="3" t="b">
        <f>K122 &gt; 0</f>
        <v>0</v>
      </c>
      <c r="M122" s="2" t="s">
        <v>2387</v>
      </c>
    </row>
    <row r="123">
      <c r="A123" s="2" t="s">
        <v>2583</v>
      </c>
      <c r="B123" s="3" t="str">
        <f>C123 &amp; "." &amp; D123</f>
        <v>RoleAssignments.AuthorizationDecidedAt</v>
      </c>
      <c r="C123" s="2" t="s">
        <v>1801</v>
      </c>
      <c r="D123" s="2" t="s">
        <v>286</v>
      </c>
      <c r="E123" s="2" t="s">
        <v>2385</v>
      </c>
      <c r="F123" s="2" t="s">
        <v>2397</v>
      </c>
      <c r="G123" s="2"/>
      <c r="H123" s="2" t="s">
        <v>2328</v>
      </c>
      <c r="I123" s="3" t="b">
        <f>OR(E123 = "calculated", E123 = "lookup", E123 = "aggregation")</f>
        <v>0</v>
      </c>
      <c r="J123" s="3" t="b">
        <f>H123 &lt;&gt; ""</f>
        <v>1</v>
      </c>
      <c r="K123" s="3">
        <f>COUNTIFS(FieldDisagreements!D2:D999, A123)</f>
        <v>0</v>
      </c>
      <c r="L123" s="3" t="b">
        <f>K123 &gt; 0</f>
        <v>0</v>
      </c>
      <c r="M123" s="2" t="s">
        <v>2387</v>
      </c>
    </row>
    <row r="124">
      <c r="A124" s="2" t="s">
        <v>2584</v>
      </c>
      <c r="B124" s="3" t="str">
        <f>C124 &amp; "." &amp; D124</f>
        <v>RoleAssignments.AuthorizationReviewedAt</v>
      </c>
      <c r="C124" s="2" t="s">
        <v>1801</v>
      </c>
      <c r="D124" s="2" t="s">
        <v>287</v>
      </c>
      <c r="E124" s="2" t="s">
        <v>2385</v>
      </c>
      <c r="F124" s="2" t="s">
        <v>2397</v>
      </c>
      <c r="G124" s="2"/>
      <c r="H124" s="2" t="s">
        <v>2328</v>
      </c>
      <c r="I124" s="3" t="b">
        <f>OR(E124 = "calculated", E124 = "lookup", E124 = "aggregation")</f>
        <v>0</v>
      </c>
      <c r="J124" s="3" t="b">
        <f>H124 &lt;&gt; ""</f>
        <v>1</v>
      </c>
      <c r="K124" s="3">
        <f>COUNTIFS(FieldDisagreements!D2:D999, A124)</f>
        <v>0</v>
      </c>
      <c r="L124" s="3" t="b">
        <f>K124 &gt; 0</f>
        <v>0</v>
      </c>
      <c r="M124" s="2" t="s">
        <v>2387</v>
      </c>
    </row>
    <row r="125">
      <c r="A125" s="2" t="s">
        <v>2585</v>
      </c>
      <c r="B125" s="3" t="str">
        <f>C125 &amp; "." &amp; D125</f>
        <v>RoleAssignments.AuthorizationReviewCadenceDays</v>
      </c>
      <c r="C125" s="2" t="s">
        <v>1801</v>
      </c>
      <c r="D125" s="2" t="s">
        <v>288</v>
      </c>
      <c r="E125" s="2" t="s">
        <v>2385</v>
      </c>
      <c r="F125" s="2" t="s">
        <v>2439</v>
      </c>
      <c r="G125" s="2"/>
      <c r="H125" s="2" t="s">
        <v>2328</v>
      </c>
      <c r="I125" s="3" t="b">
        <f>OR(E125 = "calculated", E125 = "lookup", E125 = "aggregation")</f>
        <v>0</v>
      </c>
      <c r="J125" s="3" t="b">
        <f>H125 &lt;&gt; ""</f>
        <v>1</v>
      </c>
      <c r="K125" s="3">
        <f>COUNTIFS(FieldDisagreements!D2:D999, A125)</f>
        <v>0</v>
      </c>
      <c r="L125" s="3" t="b">
        <f>K125 &gt; 0</f>
        <v>0</v>
      </c>
      <c r="M125" s="2" t="s">
        <v>2387</v>
      </c>
    </row>
    <row r="126">
      <c r="A126" s="2" t="s">
        <v>2586</v>
      </c>
      <c r="B126" s="3" t="str">
        <f>C126 &amp; "." &amp; D126</f>
        <v>RoleAssignments.HasDatedAuthorization</v>
      </c>
      <c r="C126" s="2" t="s">
        <v>1801</v>
      </c>
      <c r="D126" s="2" t="s">
        <v>289</v>
      </c>
      <c r="E126" s="2" t="s">
        <v>2389</v>
      </c>
      <c r="F126" s="2" t="s">
        <v>2401</v>
      </c>
      <c r="G126" s="2" t="s">
        <v>2587</v>
      </c>
      <c r="H126" s="2" t="s">
        <v>2328</v>
      </c>
      <c r="I126" s="3" t="b">
        <f>OR(E126 = "calculated", E126 = "lookup", E126 = "aggregation")</f>
        <v>1</v>
      </c>
      <c r="J126" s="3" t="b">
        <f>H126 &lt;&gt; ""</f>
        <v>1</v>
      </c>
      <c r="K126" s="3">
        <f>COUNTIFS(FieldDisagreements!D2:D999, A126)</f>
        <v>0</v>
      </c>
      <c r="L126" s="3" t="b">
        <f>K126 &gt; 0</f>
        <v>0</v>
      </c>
      <c r="M126" s="2" t="s">
        <v>2387</v>
      </c>
    </row>
    <row r="127">
      <c r="A127" s="2" t="s">
        <v>2588</v>
      </c>
      <c r="B127" s="3" t="str">
        <f>C127 &amp; "." &amp; D127</f>
        <v>RoleAssignments.DaysSinceAuthorizationReview</v>
      </c>
      <c r="C127" s="2" t="s">
        <v>1801</v>
      </c>
      <c r="D127" s="2" t="s">
        <v>290</v>
      </c>
      <c r="E127" s="2" t="s">
        <v>2389</v>
      </c>
      <c r="F127" s="2" t="s">
        <v>2439</v>
      </c>
      <c r="G127" s="2" t="s">
        <v>2589</v>
      </c>
      <c r="H127" s="2" t="s">
        <v>2328</v>
      </c>
      <c r="I127" s="3" t="b">
        <f>OR(E127 = "calculated", E127 = "lookup", E127 = "aggregation")</f>
        <v>1</v>
      </c>
      <c r="J127" s="3" t="b">
        <f>H127 &lt;&gt; ""</f>
        <v>1</v>
      </c>
      <c r="K127" s="3">
        <f>COUNTIFS(FieldDisagreements!D2:D999, A127)</f>
        <v>0</v>
      </c>
      <c r="L127" s="3" t="b">
        <f>K127 &gt; 0</f>
        <v>0</v>
      </c>
      <c r="M127" s="2" t="s">
        <v>2387</v>
      </c>
    </row>
    <row r="128">
      <c r="A128" s="2" t="s">
        <v>2590</v>
      </c>
      <c r="B128" s="3" t="str">
        <f>C128 &amp; "." &amp; D128</f>
        <v>RoleAssignments.AuthorizationIsOverdueForReview</v>
      </c>
      <c r="C128" s="2" t="s">
        <v>1801</v>
      </c>
      <c r="D128" s="2" t="s">
        <v>291</v>
      </c>
      <c r="E128" s="2" t="s">
        <v>2389</v>
      </c>
      <c r="F128" s="2" t="s">
        <v>2401</v>
      </c>
      <c r="G128" s="2" t="s">
        <v>2591</v>
      </c>
      <c r="H128" s="2" t="s">
        <v>2328</v>
      </c>
      <c r="I128" s="3" t="b">
        <f>OR(E128 = "calculated", E128 = "lookup", E128 = "aggregation")</f>
        <v>1</v>
      </c>
      <c r="J128" s="3" t="b">
        <f>H128 &lt;&gt; ""</f>
        <v>1</v>
      </c>
      <c r="K128" s="3">
        <f>COUNTIFS(FieldDisagreements!D2:D999, A128)</f>
        <v>0</v>
      </c>
      <c r="L128" s="3" t="b">
        <f>K128 &gt; 0</f>
        <v>0</v>
      </c>
      <c r="M128" s="2" t="s">
        <v>2387</v>
      </c>
    </row>
    <row r="129">
      <c r="A129" s="2" t="s">
        <v>2592</v>
      </c>
      <c r="B129" s="3" t="str">
        <f>C129 &amp; "." &amp; D129</f>
        <v>RoleAssignments.IsStandingUnreviewedAutomation</v>
      </c>
      <c r="C129" s="2" t="s">
        <v>1801</v>
      </c>
      <c r="D129" s="2" t="s">
        <v>292</v>
      </c>
      <c r="E129" s="2" t="s">
        <v>2389</v>
      </c>
      <c r="F129" s="2" t="s">
        <v>2401</v>
      </c>
      <c r="G129" s="2" t="s">
        <v>2593</v>
      </c>
      <c r="H129" s="2" t="s">
        <v>2328</v>
      </c>
      <c r="I129" s="3" t="b">
        <f>OR(E129 = "calculated", E129 = "lookup", E129 = "aggregation")</f>
        <v>1</v>
      </c>
      <c r="J129" s="3" t="b">
        <f>H129 &lt;&gt; ""</f>
        <v>1</v>
      </c>
      <c r="K129" s="3">
        <f>COUNTIFS(FieldDisagreements!D2:D999, A129)</f>
        <v>0</v>
      </c>
      <c r="L129" s="3" t="b">
        <f>K129 &gt; 0</f>
        <v>0</v>
      </c>
      <c r="M129" s="2" t="s">
        <v>2387</v>
      </c>
    </row>
    <row r="130">
      <c r="A130" s="2" t="s">
        <v>2594</v>
      </c>
      <c r="B130" s="3" t="str">
        <f>C130 &amp; "." &amp; D130</f>
        <v>RoleAssignments.IsUnconditionedAutomationHandover</v>
      </c>
      <c r="C130" s="2" t="s">
        <v>1801</v>
      </c>
      <c r="D130" s="2" t="s">
        <v>293</v>
      </c>
      <c r="E130" s="2" t="s">
        <v>2389</v>
      </c>
      <c r="F130" s="2" t="s">
        <v>2401</v>
      </c>
      <c r="G130" s="2" t="s">
        <v>2595</v>
      </c>
      <c r="H130" s="2" t="s">
        <v>2328</v>
      </c>
      <c r="I130" s="3" t="b">
        <f>OR(E130 = "calculated", E130 = "lookup", E130 = "aggregation")</f>
        <v>1</v>
      </c>
      <c r="J130" s="3" t="b">
        <f>H130 &lt;&gt; ""</f>
        <v>1</v>
      </c>
      <c r="K130" s="3">
        <f>COUNTIFS(FieldDisagreements!D2:D999, A130)</f>
        <v>0</v>
      </c>
      <c r="L130" s="3" t="b">
        <f>K130 &gt; 0</f>
        <v>0</v>
      </c>
      <c r="M130" s="2" t="s">
        <v>2387</v>
      </c>
    </row>
    <row r="131">
      <c r="A131" s="2" t="s">
        <v>2596</v>
      </c>
      <c r="B131" s="3" t="str">
        <f>C131 &amp; "." &amp; D131</f>
        <v>RoleAssignments.MaxTolerableErrorRatePercent</v>
      </c>
      <c r="C131" s="2" t="s">
        <v>1801</v>
      </c>
      <c r="D131" s="2" t="s">
        <v>294</v>
      </c>
      <c r="E131" s="2" t="s">
        <v>2385</v>
      </c>
      <c r="F131" s="2" t="s">
        <v>2439</v>
      </c>
      <c r="G131" s="2"/>
      <c r="H131" s="2" t="s">
        <v>2332</v>
      </c>
      <c r="I131" s="3" t="b">
        <f>OR(E131 = "calculated", E131 = "lookup", E131 = "aggregation")</f>
        <v>0</v>
      </c>
      <c r="J131" s="3" t="b">
        <f>H131 &lt;&gt; ""</f>
        <v>1</v>
      </c>
      <c r="K131" s="3">
        <f>COUNTIFS(FieldDisagreements!D2:D999, A131)</f>
        <v>0</v>
      </c>
      <c r="L131" s="3" t="b">
        <f>K131 &gt; 0</f>
        <v>0</v>
      </c>
      <c r="M131" s="2" t="s">
        <v>2387</v>
      </c>
    </row>
    <row r="132">
      <c r="A132" s="2" t="s">
        <v>2597</v>
      </c>
      <c r="B132" s="3" t="str">
        <f>C132 &amp; "." &amp; D132</f>
        <v>RoleAssignments.ExceedsTolerableErrorRate</v>
      </c>
      <c r="C132" s="2" t="s">
        <v>1801</v>
      </c>
      <c r="D132" s="2" t="s">
        <v>295</v>
      </c>
      <c r="E132" s="2" t="s">
        <v>2389</v>
      </c>
      <c r="F132" s="2" t="s">
        <v>2401</v>
      </c>
      <c r="G132" s="2" t="s">
        <v>2598</v>
      </c>
      <c r="H132" s="2" t="s">
        <v>2332</v>
      </c>
      <c r="I132" s="3" t="b">
        <f>OR(E132 = "calculated", E132 = "lookup", E132 = "aggregation")</f>
        <v>1</v>
      </c>
      <c r="J132" s="3" t="b">
        <f>H132 &lt;&gt; ""</f>
        <v>1</v>
      </c>
      <c r="K132" s="3">
        <f>COUNTIFS(FieldDisagreements!D2:D999, A132)</f>
        <v>0</v>
      </c>
      <c r="L132" s="3" t="b">
        <f>K132 &gt; 0</f>
        <v>0</v>
      </c>
      <c r="M132" s="2" t="s">
        <v>2387</v>
      </c>
    </row>
    <row r="133">
      <c r="A133" s="2" t="s">
        <v>2599</v>
      </c>
      <c r="B133" s="3" t="str">
        <f>C133 &amp; "." &amp; D133</f>
        <v>RoleAssignments.BoundaryViolationCountForAssignment</v>
      </c>
      <c r="C133" s="2" t="s">
        <v>1801</v>
      </c>
      <c r="D133" s="2" t="s">
        <v>296</v>
      </c>
      <c r="E133" s="2" t="s">
        <v>2438</v>
      </c>
      <c r="F133" s="2" t="s">
        <v>2444</v>
      </c>
      <c r="G133" s="2" t="s">
        <v>2600</v>
      </c>
      <c r="H133" s="2" t="s">
        <v>2332</v>
      </c>
      <c r="I133" s="3" t="b">
        <f>OR(E133 = "calculated", E133 = "lookup", E133 = "aggregation")</f>
        <v>1</v>
      </c>
      <c r="J133" s="3" t="b">
        <f>H133 &lt;&gt; ""</f>
        <v>1</v>
      </c>
      <c r="K133" s="3">
        <f>COUNTIFS(FieldDisagreements!D2:D999, A133)</f>
        <v>0</v>
      </c>
      <c r="L133" s="3" t="b">
        <f>K133 &gt; 0</f>
        <v>0</v>
      </c>
      <c r="M133" s="2" t="s">
        <v>2387</v>
      </c>
    </row>
    <row r="134">
      <c r="A134" s="2" t="s">
        <v>2601</v>
      </c>
      <c r="B134" s="3" t="str">
        <f>C134 &amp; "." &amp; D134</f>
        <v>RoleAssignments.HasAnyBoundaryViolation</v>
      </c>
      <c r="C134" s="2" t="s">
        <v>1801</v>
      </c>
      <c r="D134" s="2" t="s">
        <v>297</v>
      </c>
      <c r="E134" s="2" t="s">
        <v>2389</v>
      </c>
      <c r="F134" s="2" t="s">
        <v>2401</v>
      </c>
      <c r="G134" s="2" t="s">
        <v>2602</v>
      </c>
      <c r="H134" s="2" t="s">
        <v>2332</v>
      </c>
      <c r="I134" s="3" t="b">
        <f>OR(E134 = "calculated", E134 = "lookup", E134 = "aggregation")</f>
        <v>1</v>
      </c>
      <c r="J134" s="3" t="b">
        <f>H134 &lt;&gt; ""</f>
        <v>1</v>
      </c>
      <c r="K134" s="3">
        <f>COUNTIFS(FieldDisagreements!D2:D999, A134)</f>
        <v>0</v>
      </c>
      <c r="L134" s="3" t="b">
        <f>K134 &gt; 0</f>
        <v>0</v>
      </c>
      <c r="M134" s="2" t="s">
        <v>2387</v>
      </c>
    </row>
    <row r="135">
      <c r="A135" s="2" t="s">
        <v>2603</v>
      </c>
      <c r="B135" s="3" t="str">
        <f>C135 &amp; "." &amp; D135</f>
        <v>RoleAssignments.HasUngroundedGoverningBoundary</v>
      </c>
      <c r="C135" s="2" t="s">
        <v>1801</v>
      </c>
      <c r="D135" s="2" t="s">
        <v>298</v>
      </c>
      <c r="E135" s="2" t="s">
        <v>2478</v>
      </c>
      <c r="F135" s="2" t="s">
        <v>2401</v>
      </c>
      <c r="G135" s="2" t="s">
        <v>2604</v>
      </c>
      <c r="H135" s="2" t="s">
        <v>2332</v>
      </c>
      <c r="I135" s="3" t="b">
        <f>OR(E135 = "calculated", E135 = "lookup", E135 = "aggregation")</f>
        <v>1</v>
      </c>
      <c r="J135" s="3" t="b">
        <f>H135 &lt;&gt; ""</f>
        <v>1</v>
      </c>
      <c r="K135" s="3">
        <f>COUNTIFS(FieldDisagreements!D2:D999, A135)</f>
        <v>0</v>
      </c>
      <c r="L135" s="3" t="b">
        <f>K135 &gt; 0</f>
        <v>0</v>
      </c>
      <c r="M135" s="2" t="s">
        <v>2387</v>
      </c>
    </row>
    <row r="136">
      <c r="A136" s="2" t="s">
        <v>2605</v>
      </c>
      <c r="B136" s="3" t="str">
        <f>C136 &amp; "." &amp; D136</f>
        <v>RoleAssignments.SuspensionConditionMet</v>
      </c>
      <c r="C136" s="2" t="s">
        <v>1801</v>
      </c>
      <c r="D136" s="2" t="s">
        <v>299</v>
      </c>
      <c r="E136" s="2" t="s">
        <v>2389</v>
      </c>
      <c r="F136" s="2" t="s">
        <v>2401</v>
      </c>
      <c r="G136" s="2" t="s">
        <v>2606</v>
      </c>
      <c r="H136" s="2" t="s">
        <v>2332</v>
      </c>
      <c r="I136" s="3" t="b">
        <f>OR(E136 = "calculated", E136 = "lookup", E136 = "aggregation")</f>
        <v>1</v>
      </c>
      <c r="J136" s="3" t="b">
        <f>H136 &lt;&gt; ""</f>
        <v>1</v>
      </c>
      <c r="K136" s="3">
        <f>COUNTIFS(FieldDisagreements!D2:D999, A136)</f>
        <v>0</v>
      </c>
      <c r="L136" s="3" t="b">
        <f>K136 &gt; 0</f>
        <v>0</v>
      </c>
      <c r="M136" s="2" t="s">
        <v>2387</v>
      </c>
    </row>
    <row r="137">
      <c r="A137" s="2" t="s">
        <v>2607</v>
      </c>
      <c r="B137" s="3" t="str">
        <f>C137 &amp; "." &amp; D137</f>
        <v>RoleAssignments.IsOperatingUnderMetSuspensionCondition</v>
      </c>
      <c r="C137" s="2" t="s">
        <v>1801</v>
      </c>
      <c r="D137" s="2" t="s">
        <v>300</v>
      </c>
      <c r="E137" s="2" t="s">
        <v>2389</v>
      </c>
      <c r="F137" s="2" t="s">
        <v>2401</v>
      </c>
      <c r="G137" s="2" t="s">
        <v>2608</v>
      </c>
      <c r="H137" s="2" t="s">
        <v>2332</v>
      </c>
      <c r="I137" s="3" t="b">
        <f>OR(E137 = "calculated", E137 = "lookup", E137 = "aggregation")</f>
        <v>1</v>
      </c>
      <c r="J137" s="3" t="b">
        <f>H137 &lt;&gt; ""</f>
        <v>1</v>
      </c>
      <c r="K137" s="3">
        <f>COUNTIFS(FieldDisagreements!D2:D999, A137)</f>
        <v>0</v>
      </c>
      <c r="L137" s="3" t="b">
        <f>K137 &gt; 0</f>
        <v>0</v>
      </c>
      <c r="M137" s="2" t="s">
        <v>2387</v>
      </c>
    </row>
    <row r="138">
      <c r="A138" s="2" t="s">
        <v>2609</v>
      </c>
      <c r="B138" s="3" t="str">
        <f>C138 &amp; "." &amp; D138</f>
        <v>RoleAssignments.HasDeclaredSuspensionCondition</v>
      </c>
      <c r="C138" s="2" t="s">
        <v>1801</v>
      </c>
      <c r="D138" s="2" t="s">
        <v>301</v>
      </c>
      <c r="E138" s="2" t="s">
        <v>2389</v>
      </c>
      <c r="F138" s="2" t="s">
        <v>2401</v>
      </c>
      <c r="G138" s="2" t="s">
        <v>2610</v>
      </c>
      <c r="H138" s="2" t="s">
        <v>2332</v>
      </c>
      <c r="I138" s="3" t="b">
        <f>OR(E138 = "calculated", E138 = "lookup", E138 = "aggregation")</f>
        <v>1</v>
      </c>
      <c r="J138" s="3" t="b">
        <f>H138 &lt;&gt; ""</f>
        <v>1</v>
      </c>
      <c r="K138" s="3">
        <f>COUNTIFS(FieldDisagreements!D2:D999, A138)</f>
        <v>0</v>
      </c>
      <c r="L138" s="3" t="b">
        <f>K138 &gt; 0</f>
        <v>0</v>
      </c>
      <c r="M138" s="2" t="s">
        <v>2387</v>
      </c>
    </row>
    <row r="139">
      <c r="A139" s="2" t="s">
        <v>2611</v>
      </c>
      <c r="B139" s="3" t="str">
        <f>C139 &amp; "." &amp; D139</f>
        <v>RoleAssignments.HasApprovingAuthority</v>
      </c>
      <c r="C139" s="2" t="s">
        <v>1801</v>
      </c>
      <c r="D139" s="2" t="s">
        <v>302</v>
      </c>
      <c r="E139" s="2" t="s">
        <v>2389</v>
      </c>
      <c r="F139" s="2" t="s">
        <v>2401</v>
      </c>
      <c r="G139" s="2" t="s">
        <v>2612</v>
      </c>
      <c r="H139" s="2" t="s">
        <v>2344</v>
      </c>
      <c r="I139" s="3" t="b">
        <f>OR(E139 = "calculated", E139 = "lookup", E139 = "aggregation")</f>
        <v>1</v>
      </c>
      <c r="J139" s="3" t="b">
        <f>H139 &lt;&gt; ""</f>
        <v>1</v>
      </c>
      <c r="K139" s="3">
        <f>COUNTIFS(FieldDisagreements!D2:D999, A139)</f>
        <v>0</v>
      </c>
      <c r="L139" s="3" t="b">
        <f>K139 &gt; 0</f>
        <v>0</v>
      </c>
      <c r="M139" s="2" t="s">
        <v>2387</v>
      </c>
    </row>
    <row r="140">
      <c r="A140" s="2" t="s">
        <v>2613</v>
      </c>
      <c r="B140" s="3" t="str">
        <f>C140 &amp; "." &amp; D140</f>
        <v>RoleAssignments.HasAuthorizingChangeRequest</v>
      </c>
      <c r="C140" s="2" t="s">
        <v>1801</v>
      </c>
      <c r="D140" s="2" t="s">
        <v>303</v>
      </c>
      <c r="E140" s="2" t="s">
        <v>2389</v>
      </c>
      <c r="F140" s="2" t="s">
        <v>2401</v>
      </c>
      <c r="G140" s="2" t="s">
        <v>2614</v>
      </c>
      <c r="H140" s="2" t="s">
        <v>2344</v>
      </c>
      <c r="I140" s="3" t="b">
        <f>OR(E140 = "calculated", E140 = "lookup", E140 = "aggregation")</f>
        <v>1</v>
      </c>
      <c r="J140" s="3" t="b">
        <f>H140 &lt;&gt; ""</f>
        <v>1</v>
      </c>
      <c r="K140" s="3">
        <f>COUNTIFS(FieldDisagreements!D2:D999, A140)</f>
        <v>0</v>
      </c>
      <c r="L140" s="3" t="b">
        <f>K140 &gt; 0</f>
        <v>0</v>
      </c>
      <c r="M140" s="2" t="s">
        <v>2387</v>
      </c>
    </row>
    <row r="141">
      <c r="A141" s="2" t="s">
        <v>2615</v>
      </c>
      <c r="B141" s="3" t="str">
        <f>C141 &amp; "." &amp; D141</f>
        <v>RoleAssignments.IsEnforcementRole</v>
      </c>
      <c r="C141" s="2" t="s">
        <v>1801</v>
      </c>
      <c r="D141" s="2" t="s">
        <v>304</v>
      </c>
      <c r="E141" s="2" t="s">
        <v>2385</v>
      </c>
      <c r="F141" s="2" t="s">
        <v>2401</v>
      </c>
      <c r="G141" s="2"/>
      <c r="H141" s="2" t="s">
        <v>2344</v>
      </c>
      <c r="I141" s="3" t="b">
        <f>OR(E141 = "calculated", E141 = "lookup", E141 = "aggregation")</f>
        <v>0</v>
      </c>
      <c r="J141" s="3" t="b">
        <f>H141 &lt;&gt; ""</f>
        <v>1</v>
      </c>
      <c r="K141" s="3">
        <f>COUNTIFS(FieldDisagreements!D2:D999, A141)</f>
        <v>0</v>
      </c>
      <c r="L141" s="3" t="b">
        <f>K141 &gt; 0</f>
        <v>0</v>
      </c>
      <c r="M141" s="2" t="s">
        <v>2387</v>
      </c>
    </row>
    <row r="142">
      <c r="A142" s="2" t="s">
        <v>2616</v>
      </c>
      <c r="B142" s="3" t="str">
        <f>C142 &amp; "." &amp; D142</f>
        <v>RoleAssignments.IsUnauthorizedEnforcementAgent</v>
      </c>
      <c r="C142" s="2" t="s">
        <v>1801</v>
      </c>
      <c r="D142" s="2" t="s">
        <v>305</v>
      </c>
      <c r="E142" s="2" t="s">
        <v>2389</v>
      </c>
      <c r="F142" s="2" t="s">
        <v>2401</v>
      </c>
      <c r="G142" s="2" t="s">
        <v>2617</v>
      </c>
      <c r="H142" s="2" t="s">
        <v>2344</v>
      </c>
      <c r="I142" s="3" t="b">
        <f>OR(E142 = "calculated", E142 = "lookup", E142 = "aggregation")</f>
        <v>1</v>
      </c>
      <c r="J142" s="3" t="b">
        <f>H142 &lt;&gt; ""</f>
        <v>1</v>
      </c>
      <c r="K142" s="3">
        <f>COUNTIFS(FieldDisagreements!D2:D999, A142)</f>
        <v>1</v>
      </c>
      <c r="L142" s="3" t="b">
        <f>K142 &gt; 0</f>
        <v>1</v>
      </c>
      <c r="M142" s="2" t="s">
        <v>2387</v>
      </c>
    </row>
    <row r="143">
      <c r="A143" s="2" t="s">
        <v>2618</v>
      </c>
      <c r="B143" s="3" t="str">
        <f>C143 &amp; "." &amp; D143</f>
        <v>RoleAssignments.GovernanceEvidenceCount</v>
      </c>
      <c r="C143" s="2" t="s">
        <v>1801</v>
      </c>
      <c r="D143" s="2" t="s">
        <v>306</v>
      </c>
      <c r="E143" s="2" t="s">
        <v>2389</v>
      </c>
      <c r="F143" s="2" t="s">
        <v>2439</v>
      </c>
      <c r="G143" s="2" t="s">
        <v>2619</v>
      </c>
      <c r="H143" s="2" t="s">
        <v>2344</v>
      </c>
      <c r="I143" s="3" t="b">
        <f>OR(E143 = "calculated", E143 = "lookup", E143 = "aggregation")</f>
        <v>1</v>
      </c>
      <c r="J143" s="3" t="b">
        <f>H143 &lt;&gt; ""</f>
        <v>1</v>
      </c>
      <c r="K143" s="3">
        <f>COUNTIFS(FieldDisagreements!D2:D999, A143)</f>
        <v>0</v>
      </c>
      <c r="L143" s="3" t="b">
        <f>K143 &gt; 0</f>
        <v>0</v>
      </c>
      <c r="M143" s="2" t="s">
        <v>2387</v>
      </c>
    </row>
    <row r="144">
      <c r="A144" s="2" t="s">
        <v>2620</v>
      </c>
      <c r="B144" s="3" t="str">
        <f>C144 &amp; "." &amp; D144</f>
        <v>RoleAssignments.UnauthorizedEnforcementRoleKey</v>
      </c>
      <c r="C144" s="2" t="s">
        <v>1801</v>
      </c>
      <c r="D144" s="2" t="s">
        <v>307</v>
      </c>
      <c r="E144" s="2" t="s">
        <v>2389</v>
      </c>
      <c r="F144" s="2" t="s">
        <v>2386</v>
      </c>
      <c r="G144" s="2" t="s">
        <v>2621</v>
      </c>
      <c r="H144" s="2" t="s">
        <v>2344</v>
      </c>
      <c r="I144" s="3" t="b">
        <f>OR(E144 = "calculated", E144 = "lookup", E144 = "aggregation")</f>
        <v>1</v>
      </c>
      <c r="J144" s="3" t="b">
        <f>H144 &lt;&gt; ""</f>
        <v>1</v>
      </c>
      <c r="K144" s="3">
        <f>COUNTIFS(FieldDisagreements!D2:D999, A144)</f>
        <v>0</v>
      </c>
      <c r="L144" s="3" t="b">
        <f>K144 &gt; 0</f>
        <v>0</v>
      </c>
      <c r="M144" s="2" t="s">
        <v>2387</v>
      </c>
    </row>
    <row r="145">
      <c r="A145" s="2" t="s">
        <v>2622</v>
      </c>
      <c r="B145" s="3" t="str">
        <f>C145 &amp; "." &amp; D145</f>
        <v>RoleAssignments.SemanticTypeIri</v>
      </c>
      <c r="C145" s="2" t="s">
        <v>1801</v>
      </c>
      <c r="D145" s="2" t="s">
        <v>94</v>
      </c>
      <c r="E145" s="2" t="s">
        <v>2385</v>
      </c>
      <c r="F145" s="2" t="s">
        <v>2386</v>
      </c>
      <c r="G145" s="2"/>
      <c r="H145" s="2"/>
      <c r="I145" s="3" t="b">
        <f>OR(E145 = "calculated", E145 = "lookup", E145 = "aggregation")</f>
        <v>0</v>
      </c>
      <c r="J145" s="3" t="b">
        <f>H145 &lt;&gt; ""</f>
        <v>0</v>
      </c>
      <c r="K145" s="3">
        <f>COUNTIFS(FieldDisagreements!D2:D999, A145)</f>
        <v>0</v>
      </c>
      <c r="L145" s="3" t="b">
        <f>K145 &gt; 0</f>
        <v>0</v>
      </c>
      <c r="M145" s="2" t="s">
        <v>2387</v>
      </c>
    </row>
    <row r="146">
      <c r="A146" s="2" t="s">
        <v>2623</v>
      </c>
      <c r="B146" s="3" t="str">
        <f>C146 &amp; "." &amp; D146</f>
        <v>CommunitiesOfPractice.CommunityOfPracticeId</v>
      </c>
      <c r="C146" s="2" t="s">
        <v>2624</v>
      </c>
      <c r="D146" s="2" t="s">
        <v>325</v>
      </c>
      <c r="E146" s="2" t="s">
        <v>2385</v>
      </c>
      <c r="F146" s="2" t="s">
        <v>2386</v>
      </c>
      <c r="G146" s="2"/>
      <c r="H146" s="2"/>
      <c r="I146" s="3" t="b">
        <f>OR(E146 = "calculated", E146 = "lookup", E146 = "aggregation")</f>
        <v>0</v>
      </c>
      <c r="J146" s="3" t="b">
        <f>H146 &lt;&gt; ""</f>
        <v>0</v>
      </c>
      <c r="K146" s="3">
        <f>COUNTIFS(FieldDisagreements!D2:D999, A146)</f>
        <v>0</v>
      </c>
      <c r="L146" s="3" t="b">
        <f>K146 &gt; 0</f>
        <v>0</v>
      </c>
      <c r="M146" s="2" t="s">
        <v>2387</v>
      </c>
    </row>
    <row r="147">
      <c r="A147" s="2" t="s">
        <v>2625</v>
      </c>
      <c r="B147" s="3" t="str">
        <f>C147 &amp; "." &amp; D147</f>
        <v>CommunitiesOfPractice.Name</v>
      </c>
      <c r="C147" s="2" t="s">
        <v>2624</v>
      </c>
      <c r="D147" s="2" t="s">
        <v>1</v>
      </c>
      <c r="E147" s="2" t="s">
        <v>2389</v>
      </c>
      <c r="F147" s="2" t="s">
        <v>2386</v>
      </c>
      <c r="G147" s="2" t="s">
        <v>2473</v>
      </c>
      <c r="H147" s="2"/>
      <c r="I147" s="3" t="b">
        <f>OR(E147 = "calculated", E147 = "lookup", E147 = "aggregation")</f>
        <v>1</v>
      </c>
      <c r="J147" s="3" t="b">
        <f>H147 &lt;&gt; ""</f>
        <v>0</v>
      </c>
      <c r="K147" s="3">
        <f>COUNTIFS(FieldDisagreements!D2:D999, A147)</f>
        <v>0</v>
      </c>
      <c r="L147" s="3" t="b">
        <f>K147 &gt; 0</f>
        <v>0</v>
      </c>
      <c r="M147" s="2" t="s">
        <v>2387</v>
      </c>
    </row>
    <row r="148">
      <c r="A148" s="2" t="s">
        <v>2626</v>
      </c>
      <c r="B148" s="3" t="str">
        <f>C148 &amp; "." &amp; D148</f>
        <v>CommunitiesOfPractice.Label</v>
      </c>
      <c r="C148" s="2" t="s">
        <v>2624</v>
      </c>
      <c r="D148" s="2" t="s">
        <v>19</v>
      </c>
      <c r="E148" s="2" t="s">
        <v>2385</v>
      </c>
      <c r="F148" s="2" t="s">
        <v>2386</v>
      </c>
      <c r="G148" s="2"/>
      <c r="H148" s="2"/>
      <c r="I148" s="3" t="b">
        <f>OR(E148 = "calculated", E148 = "lookup", E148 = "aggregation")</f>
        <v>0</v>
      </c>
      <c r="J148" s="3" t="b">
        <f>H148 &lt;&gt; ""</f>
        <v>0</v>
      </c>
      <c r="K148" s="3">
        <f>COUNTIFS(FieldDisagreements!D2:D999, A148)</f>
        <v>0</v>
      </c>
      <c r="L148" s="3" t="b">
        <f>K148 &gt; 0</f>
        <v>0</v>
      </c>
      <c r="M148" s="2" t="s">
        <v>2387</v>
      </c>
    </row>
    <row r="149">
      <c r="A149" s="2" t="s">
        <v>2627</v>
      </c>
      <c r="B149" s="3" t="str">
        <f>C149 &amp; "." &amp; D149</f>
        <v>CommunitiesOfPractice.Organization</v>
      </c>
      <c r="C149" s="2" t="s">
        <v>2624</v>
      </c>
      <c r="D149" s="2" t="s">
        <v>121</v>
      </c>
      <c r="E149" s="2" t="s">
        <v>2434</v>
      </c>
      <c r="F149" s="2" t="s">
        <v>2386</v>
      </c>
      <c r="G149" s="2"/>
      <c r="H149" s="2"/>
      <c r="I149" s="3" t="b">
        <f>OR(E149 = "calculated", E149 = "lookup", E149 = "aggregation")</f>
        <v>0</v>
      </c>
      <c r="J149" s="3" t="b">
        <f>H149 &lt;&gt; ""</f>
        <v>0</v>
      </c>
      <c r="K149" s="3">
        <f>COUNTIFS(FieldDisagreements!D2:D999, A149)</f>
        <v>0</v>
      </c>
      <c r="L149" s="3" t="b">
        <f>K149 &gt; 0</f>
        <v>0</v>
      </c>
      <c r="M149" s="2" t="s">
        <v>2387</v>
      </c>
    </row>
    <row r="150">
      <c r="A150" s="2" t="s">
        <v>2628</v>
      </c>
      <c r="B150" s="3" t="str">
        <f>C150 &amp; "." &amp; D150</f>
        <v>CommunitiesOfPractice.StewardRole</v>
      </c>
      <c r="C150" s="2" t="s">
        <v>2624</v>
      </c>
      <c r="D150" s="2" t="s">
        <v>326</v>
      </c>
      <c r="E150" s="2" t="s">
        <v>2434</v>
      </c>
      <c r="F150" s="2" t="s">
        <v>2386</v>
      </c>
      <c r="G150" s="2"/>
      <c r="H150" s="2"/>
      <c r="I150" s="3" t="b">
        <f>OR(E150 = "calculated", E150 = "lookup", E150 = "aggregation")</f>
        <v>0</v>
      </c>
      <c r="J150" s="3" t="b">
        <f>H150 &lt;&gt; ""</f>
        <v>0</v>
      </c>
      <c r="K150" s="3">
        <f>COUNTIFS(FieldDisagreements!D2:D999, A150)</f>
        <v>0</v>
      </c>
      <c r="L150" s="3" t="b">
        <f>K150 &gt; 0</f>
        <v>0</v>
      </c>
      <c r="M150" s="2" t="s">
        <v>2387</v>
      </c>
    </row>
    <row r="151">
      <c r="A151" s="2" t="s">
        <v>2629</v>
      </c>
      <c r="B151" s="3" t="str">
        <f>C151 &amp; "." &amp; D151</f>
        <v>CommunitiesOfPractice.Purpose</v>
      </c>
      <c r="C151" s="2" t="s">
        <v>2624</v>
      </c>
      <c r="D151" s="2" t="s">
        <v>327</v>
      </c>
      <c r="E151" s="2" t="s">
        <v>2385</v>
      </c>
      <c r="F151" s="2" t="s">
        <v>2386</v>
      </c>
      <c r="G151" s="2"/>
      <c r="H151" s="2"/>
      <c r="I151" s="3" t="b">
        <f>OR(E151 = "calculated", E151 = "lookup", E151 = "aggregation")</f>
        <v>0</v>
      </c>
      <c r="J151" s="3" t="b">
        <f>H151 &lt;&gt; ""</f>
        <v>0</v>
      </c>
      <c r="K151" s="3">
        <f>COUNTIFS(FieldDisagreements!D2:D999, A151)</f>
        <v>0</v>
      </c>
      <c r="L151" s="3" t="b">
        <f>K151 &gt; 0</f>
        <v>0</v>
      </c>
      <c r="M151" s="2" t="s">
        <v>2387</v>
      </c>
    </row>
    <row r="152">
      <c r="A152" s="2" t="s">
        <v>2630</v>
      </c>
      <c r="B152" s="3" t="str">
        <f>C152 &amp; "." &amp; D152</f>
        <v>CommunitiesOfPractice.Cadence</v>
      </c>
      <c r="C152" s="2" t="s">
        <v>2624</v>
      </c>
      <c r="D152" s="2" t="s">
        <v>328</v>
      </c>
      <c r="E152" s="2" t="s">
        <v>2385</v>
      </c>
      <c r="F152" s="2" t="s">
        <v>2386</v>
      </c>
      <c r="G152" s="2"/>
      <c r="H152" s="2"/>
      <c r="I152" s="3" t="b">
        <f>OR(E152 = "calculated", E152 = "lookup", E152 = "aggregation")</f>
        <v>0</v>
      </c>
      <c r="J152" s="3" t="b">
        <f>H152 &lt;&gt; ""</f>
        <v>0</v>
      </c>
      <c r="K152" s="3">
        <f>COUNTIFS(FieldDisagreements!D2:D999, A152)</f>
        <v>0</v>
      </c>
      <c r="L152" s="3" t="b">
        <f>K152 &gt; 0</f>
        <v>0</v>
      </c>
      <c r="M152" s="2" t="s">
        <v>2387</v>
      </c>
    </row>
    <row r="153">
      <c r="A153" s="2" t="s">
        <v>2631</v>
      </c>
      <c r="B153" s="3" t="str">
        <f>C153 &amp; "." &amp; D153</f>
        <v>CommunitiesOfPractice.SemanticTypeIri</v>
      </c>
      <c r="C153" s="2" t="s">
        <v>2624</v>
      </c>
      <c r="D153" s="2" t="s">
        <v>94</v>
      </c>
      <c r="E153" s="2" t="s">
        <v>2385</v>
      </c>
      <c r="F153" s="2" t="s">
        <v>2386</v>
      </c>
      <c r="G153" s="2"/>
      <c r="H153" s="2"/>
      <c r="I153" s="3" t="b">
        <f>OR(E153 = "calculated", E153 = "lookup", E153 = "aggregation")</f>
        <v>0</v>
      </c>
      <c r="J153" s="3" t="b">
        <f>H153 &lt;&gt; ""</f>
        <v>0</v>
      </c>
      <c r="K153" s="3">
        <f>COUNTIFS(FieldDisagreements!D2:D999, A153)</f>
        <v>0</v>
      </c>
      <c r="L153" s="3" t="b">
        <f>K153 &gt; 0</f>
        <v>0</v>
      </c>
      <c r="M153" s="2" t="s">
        <v>2387</v>
      </c>
    </row>
    <row r="154">
      <c r="A154" s="2" t="s">
        <v>2632</v>
      </c>
      <c r="B154" s="3" t="str">
        <f>C154 &amp; "." &amp; D154</f>
        <v>Mentorships.MentorshipId</v>
      </c>
      <c r="C154" s="2" t="s">
        <v>2633</v>
      </c>
      <c r="D154" s="2" t="s">
        <v>338</v>
      </c>
      <c r="E154" s="2" t="s">
        <v>2385</v>
      </c>
      <c r="F154" s="2" t="s">
        <v>2386</v>
      </c>
      <c r="G154" s="2"/>
      <c r="H154" s="2"/>
      <c r="I154" s="3" t="b">
        <f>OR(E154 = "calculated", E154 = "lookup", E154 = "aggregation")</f>
        <v>0</v>
      </c>
      <c r="J154" s="3" t="b">
        <f>H154 &lt;&gt; ""</f>
        <v>0</v>
      </c>
      <c r="K154" s="3">
        <f>COUNTIFS(FieldDisagreements!D2:D999, A154)</f>
        <v>0</v>
      </c>
      <c r="L154" s="3" t="b">
        <f>K154 &gt; 0</f>
        <v>0</v>
      </c>
      <c r="M154" s="2" t="s">
        <v>2387</v>
      </c>
    </row>
    <row r="155">
      <c r="A155" s="2" t="s">
        <v>2634</v>
      </c>
      <c r="B155" s="3" t="str">
        <f>C155 &amp; "." &amp; D155</f>
        <v>Mentorships.Name</v>
      </c>
      <c r="C155" s="2" t="s">
        <v>2633</v>
      </c>
      <c r="D155" s="2" t="s">
        <v>1</v>
      </c>
      <c r="E155" s="2" t="s">
        <v>2389</v>
      </c>
      <c r="F155" s="2" t="s">
        <v>2386</v>
      </c>
      <c r="G155" s="2" t="s">
        <v>2635</v>
      </c>
      <c r="H155" s="2"/>
      <c r="I155" s="3" t="b">
        <f>OR(E155 = "calculated", E155 = "lookup", E155 = "aggregation")</f>
        <v>1</v>
      </c>
      <c r="J155" s="3" t="b">
        <f>H155 &lt;&gt; ""</f>
        <v>0</v>
      </c>
      <c r="K155" s="3">
        <f>COUNTIFS(FieldDisagreements!D2:D999, A155)</f>
        <v>0</v>
      </c>
      <c r="L155" s="3" t="b">
        <f>K155 &gt; 0</f>
        <v>0</v>
      </c>
      <c r="M155" s="2" t="s">
        <v>2387</v>
      </c>
    </row>
    <row r="156">
      <c r="A156" s="2" t="s">
        <v>2636</v>
      </c>
      <c r="B156" s="3" t="str">
        <f>C156 &amp; "." &amp; D156</f>
        <v>Mentorships.CommunityOfPractice</v>
      </c>
      <c r="C156" s="2" t="s">
        <v>2633</v>
      </c>
      <c r="D156" s="2" t="s">
        <v>339</v>
      </c>
      <c r="E156" s="2" t="s">
        <v>2434</v>
      </c>
      <c r="F156" s="2" t="s">
        <v>2386</v>
      </c>
      <c r="G156" s="2"/>
      <c r="H156" s="2"/>
      <c r="I156" s="3" t="b">
        <f>OR(E156 = "calculated", E156 = "lookup", E156 = "aggregation")</f>
        <v>0</v>
      </c>
      <c r="J156" s="3" t="b">
        <f>H156 &lt;&gt; ""</f>
        <v>0</v>
      </c>
      <c r="K156" s="3">
        <f>COUNTIFS(FieldDisagreements!D2:D999, A156)</f>
        <v>0</v>
      </c>
      <c r="L156" s="3" t="b">
        <f>K156 &gt; 0</f>
        <v>0</v>
      </c>
      <c r="M156" s="2" t="s">
        <v>2387</v>
      </c>
    </row>
    <row r="157">
      <c r="A157" s="2" t="s">
        <v>2637</v>
      </c>
      <c r="B157" s="3" t="str">
        <f>C157 &amp; "." &amp; D157</f>
        <v>Mentorships.MentorAgent</v>
      </c>
      <c r="C157" s="2" t="s">
        <v>2633</v>
      </c>
      <c r="D157" s="2" t="s">
        <v>340</v>
      </c>
      <c r="E157" s="2" t="s">
        <v>2434</v>
      </c>
      <c r="F157" s="2" t="s">
        <v>2386</v>
      </c>
      <c r="G157" s="2"/>
      <c r="H157" s="2"/>
      <c r="I157" s="3" t="b">
        <f>OR(E157 = "calculated", E157 = "lookup", E157 = "aggregation")</f>
        <v>0</v>
      </c>
      <c r="J157" s="3" t="b">
        <f>H157 &lt;&gt; ""</f>
        <v>0</v>
      </c>
      <c r="K157" s="3">
        <f>COUNTIFS(FieldDisagreements!D2:D999, A157)</f>
        <v>0</v>
      </c>
      <c r="L157" s="3" t="b">
        <f>K157 &gt; 0</f>
        <v>0</v>
      </c>
      <c r="M157" s="2" t="s">
        <v>2387</v>
      </c>
    </row>
    <row r="158">
      <c r="A158" s="2" t="s">
        <v>2638</v>
      </c>
      <c r="B158" s="3" t="str">
        <f>C158 &amp; "." &amp; D158</f>
        <v>Mentorships.LearnerAgent</v>
      </c>
      <c r="C158" s="2" t="s">
        <v>2633</v>
      </c>
      <c r="D158" s="2" t="s">
        <v>341</v>
      </c>
      <c r="E158" s="2" t="s">
        <v>2434</v>
      </c>
      <c r="F158" s="2" t="s">
        <v>2386</v>
      </c>
      <c r="G158" s="2"/>
      <c r="H158" s="2"/>
      <c r="I158" s="3" t="b">
        <f>OR(E158 = "calculated", E158 = "lookup", E158 = "aggregation")</f>
        <v>0</v>
      </c>
      <c r="J158" s="3" t="b">
        <f>H158 &lt;&gt; ""</f>
        <v>0</v>
      </c>
      <c r="K158" s="3">
        <f>COUNTIFS(FieldDisagreements!D2:D999, A158)</f>
        <v>0</v>
      </c>
      <c r="L158" s="3" t="b">
        <f>K158 &gt; 0</f>
        <v>0</v>
      </c>
      <c r="M158" s="2" t="s">
        <v>2387</v>
      </c>
    </row>
    <row r="159">
      <c r="A159" s="2" t="s">
        <v>2639</v>
      </c>
      <c r="B159" s="3" t="str">
        <f>C159 &amp; "." &amp; D159</f>
        <v>Mentorships.ValidFrom</v>
      </c>
      <c r="C159" s="2" t="s">
        <v>2633</v>
      </c>
      <c r="D159" s="2" t="s">
        <v>255</v>
      </c>
      <c r="E159" s="2" t="s">
        <v>2385</v>
      </c>
      <c r="F159" s="2" t="s">
        <v>2397</v>
      </c>
      <c r="G159" s="2"/>
      <c r="H159" s="2"/>
      <c r="I159" s="3" t="b">
        <f>OR(E159 = "calculated", E159 = "lookup", E159 = "aggregation")</f>
        <v>0</v>
      </c>
      <c r="J159" s="3" t="b">
        <f>H159 &lt;&gt; ""</f>
        <v>0</v>
      </c>
      <c r="K159" s="3">
        <f>COUNTIFS(FieldDisagreements!D2:D999, A159)</f>
        <v>0</v>
      </c>
      <c r="L159" s="3" t="b">
        <f>K159 &gt; 0</f>
        <v>0</v>
      </c>
      <c r="M159" s="2" t="s">
        <v>2387</v>
      </c>
    </row>
    <row r="160">
      <c r="A160" s="2" t="s">
        <v>2640</v>
      </c>
      <c r="B160" s="3" t="str">
        <f>C160 &amp; "." &amp; D160</f>
        <v>Mentorships.ValidTo</v>
      </c>
      <c r="C160" s="2" t="s">
        <v>2633</v>
      </c>
      <c r="D160" s="2" t="s">
        <v>256</v>
      </c>
      <c r="E160" s="2" t="s">
        <v>2385</v>
      </c>
      <c r="F160" s="2" t="s">
        <v>2397</v>
      </c>
      <c r="G160" s="2"/>
      <c r="H160" s="2"/>
      <c r="I160" s="3" t="b">
        <f>OR(E160 = "calculated", E160 = "lookup", E160 = "aggregation")</f>
        <v>0</v>
      </c>
      <c r="J160" s="3" t="b">
        <f>H160 &lt;&gt; ""</f>
        <v>0</v>
      </c>
      <c r="K160" s="3">
        <f>COUNTIFS(FieldDisagreements!D2:D999, A160)</f>
        <v>0</v>
      </c>
      <c r="L160" s="3" t="b">
        <f>K160 &gt; 0</f>
        <v>0</v>
      </c>
      <c r="M160" s="2" t="s">
        <v>2387</v>
      </c>
    </row>
    <row r="161">
      <c r="A161" s="2" t="s">
        <v>2641</v>
      </c>
      <c r="B161" s="3" t="str">
        <f>C161 &amp; "." &amp; D161</f>
        <v>Mentorships.LearningObjective</v>
      </c>
      <c r="C161" s="2" t="s">
        <v>2633</v>
      </c>
      <c r="D161" s="2" t="s">
        <v>342</v>
      </c>
      <c r="E161" s="2" t="s">
        <v>2385</v>
      </c>
      <c r="F161" s="2" t="s">
        <v>2386</v>
      </c>
      <c r="G161" s="2"/>
      <c r="H161" s="2"/>
      <c r="I161" s="3" t="b">
        <f>OR(E161 = "calculated", E161 = "lookup", E161 = "aggregation")</f>
        <v>0</v>
      </c>
      <c r="J161" s="3" t="b">
        <f>H161 &lt;&gt; ""</f>
        <v>0</v>
      </c>
      <c r="K161" s="3">
        <f>COUNTIFS(FieldDisagreements!D2:D999, A161)</f>
        <v>0</v>
      </c>
      <c r="L161" s="3" t="b">
        <f>K161 &gt; 0</f>
        <v>0</v>
      </c>
      <c r="M161" s="2" t="s">
        <v>2387</v>
      </c>
    </row>
    <row r="162">
      <c r="A162" s="2" t="s">
        <v>2642</v>
      </c>
      <c r="B162" s="3" t="str">
        <f>C162 &amp; "." &amp; D162</f>
        <v>Mentorships.EvidenceOfCompletion</v>
      </c>
      <c r="C162" s="2" t="s">
        <v>2633</v>
      </c>
      <c r="D162" s="2" t="s">
        <v>343</v>
      </c>
      <c r="E162" s="2" t="s">
        <v>2385</v>
      </c>
      <c r="F162" s="2" t="s">
        <v>2386</v>
      </c>
      <c r="G162" s="2"/>
      <c r="H162" s="2"/>
      <c r="I162" s="3" t="b">
        <f>OR(E162 = "calculated", E162 = "lookup", E162 = "aggregation")</f>
        <v>0</v>
      </c>
      <c r="J162" s="3" t="b">
        <f>H162 &lt;&gt; ""</f>
        <v>0</v>
      </c>
      <c r="K162" s="3">
        <f>COUNTIFS(FieldDisagreements!D2:D999, A162)</f>
        <v>0</v>
      </c>
      <c r="L162" s="3" t="b">
        <f>K162 &gt; 0</f>
        <v>0</v>
      </c>
      <c r="M162" s="2" t="s">
        <v>2387</v>
      </c>
    </row>
    <row r="163">
      <c r="A163" s="2" t="s">
        <v>2643</v>
      </c>
      <c r="B163" s="3" t="str">
        <f>C163 &amp; "." &amp; D163</f>
        <v>Mentorships.SemanticTypeIri</v>
      </c>
      <c r="C163" s="2" t="s">
        <v>2633</v>
      </c>
      <c r="D163" s="2" t="s">
        <v>94</v>
      </c>
      <c r="E163" s="2" t="s">
        <v>2385</v>
      </c>
      <c r="F163" s="2" t="s">
        <v>2386</v>
      </c>
      <c r="G163" s="2"/>
      <c r="H163" s="2"/>
      <c r="I163" s="3" t="b">
        <f>OR(E163 = "calculated", E163 = "lookup", E163 = "aggregation")</f>
        <v>0</v>
      </c>
      <c r="J163" s="3" t="b">
        <f>H163 &lt;&gt; ""</f>
        <v>0</v>
      </c>
      <c r="K163" s="3">
        <f>COUNTIFS(FieldDisagreements!D2:D999, A163)</f>
        <v>0</v>
      </c>
      <c r="L163" s="3" t="b">
        <f>K163 &gt; 0</f>
        <v>0</v>
      </c>
      <c r="M163" s="2" t="s">
        <v>2387</v>
      </c>
    </row>
    <row r="164">
      <c r="A164" s="2" t="s">
        <v>2644</v>
      </c>
      <c r="B164" s="3" t="str">
        <f>C164 &amp; "." &amp; D164</f>
        <v>ProcedureTypes.ProcedureTypeId</v>
      </c>
      <c r="C164" s="2" t="s">
        <v>2645</v>
      </c>
      <c r="D164" s="2" t="s">
        <v>348</v>
      </c>
      <c r="E164" s="2" t="s">
        <v>2385</v>
      </c>
      <c r="F164" s="2" t="s">
        <v>2386</v>
      </c>
      <c r="G164" s="2"/>
      <c r="H164" s="2"/>
      <c r="I164" s="3" t="b">
        <f>OR(E164 = "calculated", E164 = "lookup", E164 = "aggregation")</f>
        <v>0</v>
      </c>
      <c r="J164" s="3" t="b">
        <f>H164 &lt;&gt; ""</f>
        <v>0</v>
      </c>
      <c r="K164" s="3">
        <f>COUNTIFS(FieldDisagreements!D2:D999, A164)</f>
        <v>0</v>
      </c>
      <c r="L164" s="3" t="b">
        <f>K164 &gt; 0</f>
        <v>0</v>
      </c>
      <c r="M164" s="2" t="s">
        <v>2387</v>
      </c>
    </row>
    <row r="165">
      <c r="A165" s="2" t="s">
        <v>2646</v>
      </c>
      <c r="B165" s="3" t="str">
        <f>C165 &amp; "." &amp; D165</f>
        <v>ProcedureTypes.Name</v>
      </c>
      <c r="C165" s="2" t="s">
        <v>2645</v>
      </c>
      <c r="D165" s="2" t="s">
        <v>1</v>
      </c>
      <c r="E165" s="2" t="s">
        <v>2389</v>
      </c>
      <c r="F165" s="2" t="s">
        <v>2386</v>
      </c>
      <c r="G165" s="2" t="s">
        <v>2473</v>
      </c>
      <c r="H165" s="2"/>
      <c r="I165" s="3" t="b">
        <f>OR(E165 = "calculated", E165 = "lookup", E165 = "aggregation")</f>
        <v>1</v>
      </c>
      <c r="J165" s="3" t="b">
        <f>H165 &lt;&gt; ""</f>
        <v>0</v>
      </c>
      <c r="K165" s="3">
        <f>COUNTIFS(FieldDisagreements!D2:D999, A165)</f>
        <v>0</v>
      </c>
      <c r="L165" s="3" t="b">
        <f>K165 &gt; 0</f>
        <v>0</v>
      </c>
      <c r="M165" s="2" t="s">
        <v>2387</v>
      </c>
    </row>
    <row r="166">
      <c r="A166" s="2" t="s">
        <v>2647</v>
      </c>
      <c r="B166" s="3" t="str">
        <f>C166 &amp; "." &amp; D166</f>
        <v>ProcedureTypes.Label</v>
      </c>
      <c r="C166" s="2" t="s">
        <v>2645</v>
      </c>
      <c r="D166" s="2" t="s">
        <v>19</v>
      </c>
      <c r="E166" s="2" t="s">
        <v>2385</v>
      </c>
      <c r="F166" s="2" t="s">
        <v>2386</v>
      </c>
      <c r="G166" s="2"/>
      <c r="H166" s="2"/>
      <c r="I166" s="3" t="b">
        <f>OR(E166 = "calculated", E166 = "lookup", E166 = "aggregation")</f>
        <v>0</v>
      </c>
      <c r="J166" s="3" t="b">
        <f>H166 &lt;&gt; ""</f>
        <v>0</v>
      </c>
      <c r="K166" s="3">
        <f>COUNTIFS(FieldDisagreements!D2:D999, A166)</f>
        <v>0</v>
      </c>
      <c r="L166" s="3" t="b">
        <f>K166 &gt; 0</f>
        <v>0</v>
      </c>
      <c r="M166" s="2" t="s">
        <v>2387</v>
      </c>
    </row>
    <row r="167">
      <c r="A167" s="2" t="s">
        <v>2648</v>
      </c>
      <c r="B167" s="3" t="str">
        <f>C167 &amp; "." &amp; D167</f>
        <v>ProcedureTypes.Definition</v>
      </c>
      <c r="C167" s="2" t="s">
        <v>2645</v>
      </c>
      <c r="D167" s="2" t="s">
        <v>349</v>
      </c>
      <c r="E167" s="2" t="s">
        <v>2385</v>
      </c>
      <c r="F167" s="2" t="s">
        <v>2386</v>
      </c>
      <c r="G167" s="2"/>
      <c r="H167" s="2"/>
      <c r="I167" s="3" t="b">
        <f>OR(E167 = "calculated", E167 = "lookup", E167 = "aggregation")</f>
        <v>0</v>
      </c>
      <c r="J167" s="3" t="b">
        <f>H167 &lt;&gt; ""</f>
        <v>0</v>
      </c>
      <c r="K167" s="3">
        <f>COUNTIFS(FieldDisagreements!D2:D999, A167)</f>
        <v>0</v>
      </c>
      <c r="L167" s="3" t="b">
        <f>K167 &gt; 0</f>
        <v>0</v>
      </c>
      <c r="M167" s="2" t="s">
        <v>2387</v>
      </c>
    </row>
    <row r="168">
      <c r="A168" s="2" t="s">
        <v>2649</v>
      </c>
      <c r="B168" s="3" t="str">
        <f>C168 &amp; "." &amp; D168</f>
        <v>ProcedureTypes.SemanticTypeIri</v>
      </c>
      <c r="C168" s="2" t="s">
        <v>2645</v>
      </c>
      <c r="D168" s="2" t="s">
        <v>94</v>
      </c>
      <c r="E168" s="2" t="s">
        <v>2385</v>
      </c>
      <c r="F168" s="2" t="s">
        <v>2386</v>
      </c>
      <c r="G168" s="2"/>
      <c r="H168" s="2"/>
      <c r="I168" s="3" t="b">
        <f>OR(E168 = "calculated", E168 = "lookup", E168 = "aggregation")</f>
        <v>0</v>
      </c>
      <c r="J168" s="3" t="b">
        <f>H168 &lt;&gt; ""</f>
        <v>0</v>
      </c>
      <c r="K168" s="3">
        <f>COUNTIFS(FieldDisagreements!D2:D999, A168)</f>
        <v>0</v>
      </c>
      <c r="L168" s="3" t="b">
        <f>K168 &gt; 0</f>
        <v>0</v>
      </c>
      <c r="M168" s="2" t="s">
        <v>2387</v>
      </c>
    </row>
    <row r="169">
      <c r="A169" s="2" t="s">
        <v>2650</v>
      </c>
      <c r="B169" s="3" t="str">
        <f>C169 &amp; "." &amp; D169</f>
        <v>Procedures.ProcedureId</v>
      </c>
      <c r="C169" s="2" t="s">
        <v>1742</v>
      </c>
      <c r="D169" s="2" t="s">
        <v>357</v>
      </c>
      <c r="E169" s="2" t="s">
        <v>2385</v>
      </c>
      <c r="F169" s="2" t="s">
        <v>2386</v>
      </c>
      <c r="G169" s="2"/>
      <c r="H169" s="2"/>
      <c r="I169" s="3" t="b">
        <f>OR(E169 = "calculated", E169 = "lookup", E169 = "aggregation")</f>
        <v>0</v>
      </c>
      <c r="J169" s="3" t="b">
        <f>H169 &lt;&gt; ""</f>
        <v>0</v>
      </c>
      <c r="K169" s="3">
        <f>COUNTIFS(FieldDisagreements!D2:D999, A169)</f>
        <v>0</v>
      </c>
      <c r="L169" s="3" t="b">
        <f>K169 &gt; 0</f>
        <v>0</v>
      </c>
      <c r="M169" s="2" t="s">
        <v>2387</v>
      </c>
    </row>
    <row r="170">
      <c r="A170" s="2" t="s">
        <v>2651</v>
      </c>
      <c r="B170" s="3" t="str">
        <f>C170 &amp; "." &amp; D170</f>
        <v>Procedures.Name</v>
      </c>
      <c r="C170" s="2" t="s">
        <v>1742</v>
      </c>
      <c r="D170" s="2" t="s">
        <v>1</v>
      </c>
      <c r="E170" s="2" t="s">
        <v>2389</v>
      </c>
      <c r="F170" s="2" t="s">
        <v>2386</v>
      </c>
      <c r="G170" s="2" t="s">
        <v>2652</v>
      </c>
      <c r="H170" s="2"/>
      <c r="I170" s="3" t="b">
        <f>OR(E170 = "calculated", E170 = "lookup", E170 = "aggregation")</f>
        <v>1</v>
      </c>
      <c r="J170" s="3" t="b">
        <f>H170 &lt;&gt; ""</f>
        <v>0</v>
      </c>
      <c r="K170" s="3">
        <f>COUNTIFS(FieldDisagreements!D2:D999, A170)</f>
        <v>0</v>
      </c>
      <c r="L170" s="3" t="b">
        <f>K170 &gt; 0</f>
        <v>0</v>
      </c>
      <c r="M170" s="2" t="s">
        <v>2387</v>
      </c>
    </row>
    <row r="171">
      <c r="A171" s="2" t="s">
        <v>2653</v>
      </c>
      <c r="B171" s="3" t="str">
        <f>C171 &amp; "." &amp; D171</f>
        <v>Procedures.Title</v>
      </c>
      <c r="C171" s="2" t="s">
        <v>1742</v>
      </c>
      <c r="D171" s="2" t="s">
        <v>358</v>
      </c>
      <c r="E171" s="2" t="s">
        <v>2385</v>
      </c>
      <c r="F171" s="2" t="s">
        <v>2386</v>
      </c>
      <c r="G171" s="2"/>
      <c r="H171" s="2"/>
      <c r="I171" s="3" t="b">
        <f>OR(E171 = "calculated", E171 = "lookup", E171 = "aggregation")</f>
        <v>0</v>
      </c>
      <c r="J171" s="3" t="b">
        <f>H171 &lt;&gt; ""</f>
        <v>0</v>
      </c>
      <c r="K171" s="3">
        <f>COUNTIFS(FieldDisagreements!D2:D999, A171)</f>
        <v>0</v>
      </c>
      <c r="L171" s="3" t="b">
        <f>K171 &gt; 0</f>
        <v>0</v>
      </c>
      <c r="M171" s="2" t="s">
        <v>2387</v>
      </c>
    </row>
    <row r="172">
      <c r="A172" s="2" t="s">
        <v>2654</v>
      </c>
      <c r="B172" s="3" t="str">
        <f>C172 &amp; "." &amp; D172</f>
        <v>Procedures.ProcedureType</v>
      </c>
      <c r="C172" s="2" t="s">
        <v>1742</v>
      </c>
      <c r="D172" s="2" t="s">
        <v>359</v>
      </c>
      <c r="E172" s="2" t="s">
        <v>2434</v>
      </c>
      <c r="F172" s="2" t="s">
        <v>2386</v>
      </c>
      <c r="G172" s="2"/>
      <c r="H172" s="2"/>
      <c r="I172" s="3" t="b">
        <f>OR(E172 = "calculated", E172 = "lookup", E172 = "aggregation")</f>
        <v>0</v>
      </c>
      <c r="J172" s="3" t="b">
        <f>H172 &lt;&gt; ""</f>
        <v>0</v>
      </c>
      <c r="K172" s="3">
        <f>COUNTIFS(FieldDisagreements!D2:D999, A172)</f>
        <v>0</v>
      </c>
      <c r="L172" s="3" t="b">
        <f>K172 &gt; 0</f>
        <v>0</v>
      </c>
      <c r="M172" s="2" t="s">
        <v>2387</v>
      </c>
    </row>
    <row r="173">
      <c r="A173" s="2" t="s">
        <v>2655</v>
      </c>
      <c r="B173" s="3" t="str">
        <f>C173 &amp; "." &amp; D173</f>
        <v>Procedures.OwnerOrganization</v>
      </c>
      <c r="C173" s="2" t="s">
        <v>1742</v>
      </c>
      <c r="D173" s="2" t="s">
        <v>360</v>
      </c>
      <c r="E173" s="2" t="s">
        <v>2434</v>
      </c>
      <c r="F173" s="2" t="s">
        <v>2386</v>
      </c>
      <c r="G173" s="2"/>
      <c r="H173" s="2"/>
      <c r="I173" s="3" t="b">
        <f>OR(E173 = "calculated", E173 = "lookup", E173 = "aggregation")</f>
        <v>0</v>
      </c>
      <c r="J173" s="3" t="b">
        <f>H173 &lt;&gt; ""</f>
        <v>0</v>
      </c>
      <c r="K173" s="3">
        <f>COUNTIFS(FieldDisagreements!D2:D999, A173)</f>
        <v>0</v>
      </c>
      <c r="L173" s="3" t="b">
        <f>K173 &gt; 0</f>
        <v>0</v>
      </c>
      <c r="M173" s="2" t="s">
        <v>2387</v>
      </c>
    </row>
    <row r="174">
      <c r="A174" s="2" t="s">
        <v>2656</v>
      </c>
      <c r="B174" s="3" t="str">
        <f>C174 &amp; "." &amp; D174</f>
        <v>Procedures.AdoptedByOrganization</v>
      </c>
      <c r="C174" s="2" t="s">
        <v>1742</v>
      </c>
      <c r="D174" s="2" t="s">
        <v>361</v>
      </c>
      <c r="E174" s="2" t="s">
        <v>2434</v>
      </c>
      <c r="F174" s="2" t="s">
        <v>2386</v>
      </c>
      <c r="G174" s="2"/>
      <c r="H174" s="2"/>
      <c r="I174" s="3" t="b">
        <f>OR(E174 = "calculated", E174 = "lookup", E174 = "aggregation")</f>
        <v>0</v>
      </c>
      <c r="J174" s="3" t="b">
        <f>H174 &lt;&gt; ""</f>
        <v>0</v>
      </c>
      <c r="K174" s="3">
        <f>COUNTIFS(FieldDisagreements!D2:D999, A174)</f>
        <v>0</v>
      </c>
      <c r="L174" s="3" t="b">
        <f>K174 &gt; 0</f>
        <v>0</v>
      </c>
      <c r="M174" s="2" t="s">
        <v>2387</v>
      </c>
    </row>
    <row r="175">
      <c r="A175" s="2" t="s">
        <v>2657</v>
      </c>
      <c r="B175" s="3" t="str">
        <f>C175 &amp; "." &amp; D175</f>
        <v>Procedures.Purpose</v>
      </c>
      <c r="C175" s="2" t="s">
        <v>1742</v>
      </c>
      <c r="D175" s="2" t="s">
        <v>327</v>
      </c>
      <c r="E175" s="2" t="s">
        <v>2385</v>
      </c>
      <c r="F175" s="2" t="s">
        <v>2386</v>
      </c>
      <c r="G175" s="2"/>
      <c r="H175" s="2"/>
      <c r="I175" s="3" t="b">
        <f>OR(E175 = "calculated", E175 = "lookup", E175 = "aggregation")</f>
        <v>0</v>
      </c>
      <c r="J175" s="3" t="b">
        <f>H175 &lt;&gt; ""</f>
        <v>0</v>
      </c>
      <c r="K175" s="3">
        <f>COUNTIFS(FieldDisagreements!D2:D999, A175)</f>
        <v>0</v>
      </c>
      <c r="L175" s="3" t="b">
        <f>K175 &gt; 0</f>
        <v>0</v>
      </c>
      <c r="M175" s="2" t="s">
        <v>2387</v>
      </c>
    </row>
    <row r="176">
      <c r="A176" s="2" t="s">
        <v>2658</v>
      </c>
      <c r="B176" s="3" t="str">
        <f>C176 &amp; "." &amp; D176</f>
        <v>Procedures.Target</v>
      </c>
      <c r="C176" s="2" t="s">
        <v>1742</v>
      </c>
      <c r="D176" s="2" t="s">
        <v>362</v>
      </c>
      <c r="E176" s="2" t="s">
        <v>2385</v>
      </c>
      <c r="F176" s="2" t="s">
        <v>2386</v>
      </c>
      <c r="G176" s="2"/>
      <c r="H176" s="2"/>
      <c r="I176" s="3" t="b">
        <f>OR(E176 = "calculated", E176 = "lookup", E176 = "aggregation")</f>
        <v>0</v>
      </c>
      <c r="J176" s="3" t="b">
        <f>H176 &lt;&gt; ""</f>
        <v>0</v>
      </c>
      <c r="K176" s="3">
        <f>COUNTIFS(FieldDisagreements!D2:D999, A176)</f>
        <v>0</v>
      </c>
      <c r="L176" s="3" t="b">
        <f>K176 &gt; 0</f>
        <v>0</v>
      </c>
      <c r="M176" s="2" t="s">
        <v>2387</v>
      </c>
    </row>
    <row r="177">
      <c r="A177" s="2" t="s">
        <v>2659</v>
      </c>
      <c r="B177" s="3" t="str">
        <f>C177 &amp; "." &amp; D177</f>
        <v>Procedures.IsTemplate</v>
      </c>
      <c r="C177" s="2" t="s">
        <v>1742</v>
      </c>
      <c r="D177" s="2" t="s">
        <v>363</v>
      </c>
      <c r="E177" s="2" t="s">
        <v>2385</v>
      </c>
      <c r="F177" s="2" t="s">
        <v>2401</v>
      </c>
      <c r="G177" s="2"/>
      <c r="H177" s="2"/>
      <c r="I177" s="3" t="b">
        <f>OR(E177 = "calculated", E177 = "lookup", E177 = "aggregation")</f>
        <v>0</v>
      </c>
      <c r="J177" s="3" t="b">
        <f>H177 &lt;&gt; ""</f>
        <v>0</v>
      </c>
      <c r="K177" s="3">
        <f>COUNTIFS(FieldDisagreements!D2:D999, A177)</f>
        <v>0</v>
      </c>
      <c r="L177" s="3" t="b">
        <f>K177 &gt; 0</f>
        <v>0</v>
      </c>
      <c r="M177" s="2" t="s">
        <v>2387</v>
      </c>
    </row>
    <row r="178">
      <c r="A178" s="2" t="s">
        <v>2660</v>
      </c>
      <c r="B178" s="3" t="str">
        <f>C178 &amp; "." &amp; D178</f>
        <v>Procedures.CurrentVersionKey</v>
      </c>
      <c r="C178" s="2" t="s">
        <v>1742</v>
      </c>
      <c r="D178" s="2" t="s">
        <v>364</v>
      </c>
      <c r="E178" s="2" t="s">
        <v>2385</v>
      </c>
      <c r="F178" s="2" t="s">
        <v>2386</v>
      </c>
      <c r="G178" s="2"/>
      <c r="H178" s="2"/>
      <c r="I178" s="3" t="b">
        <f>OR(E178 = "calculated", E178 = "lookup", E178 = "aggregation")</f>
        <v>0</v>
      </c>
      <c r="J178" s="3" t="b">
        <f>H178 &lt;&gt; ""</f>
        <v>0</v>
      </c>
      <c r="K178" s="3">
        <f>COUNTIFS(FieldDisagreements!D2:D999, A178)</f>
        <v>0</v>
      </c>
      <c r="L178" s="3" t="b">
        <f>K178 &gt; 0</f>
        <v>0</v>
      </c>
      <c r="M178" s="2" t="s">
        <v>2387</v>
      </c>
    </row>
    <row r="179">
      <c r="A179" s="2" t="s">
        <v>2661</v>
      </c>
      <c r="B179" s="3" t="str">
        <f>C179 &amp; "." &amp; D179</f>
        <v>Procedures.SemanticTypeIri</v>
      </c>
      <c r="C179" s="2" t="s">
        <v>1742</v>
      </c>
      <c r="D179" s="2" t="s">
        <v>94</v>
      </c>
      <c r="E179" s="2" t="s">
        <v>2385</v>
      </c>
      <c r="F179" s="2" t="s">
        <v>2386</v>
      </c>
      <c r="G179" s="2"/>
      <c r="H179" s="2"/>
      <c r="I179" s="3" t="b">
        <f>OR(E179 = "calculated", E179 = "lookup", E179 = "aggregation")</f>
        <v>0</v>
      </c>
      <c r="J179" s="3" t="b">
        <f>H179 &lt;&gt; ""</f>
        <v>0</v>
      </c>
      <c r="K179" s="3">
        <f>COUNTIFS(FieldDisagreements!D2:D999, A179)</f>
        <v>0</v>
      </c>
      <c r="L179" s="3" t="b">
        <f>K179 &gt; 0</f>
        <v>0</v>
      </c>
      <c r="M179" s="2" t="s">
        <v>2387</v>
      </c>
    </row>
    <row r="180">
      <c r="A180" s="2" t="s">
        <v>2662</v>
      </c>
      <c r="B180" s="3" t="str">
        <f>C180 &amp; "." &amp; D180</f>
        <v>ProcedureVersions.ProcedureVersionId</v>
      </c>
      <c r="C180" s="2" t="s">
        <v>1747</v>
      </c>
      <c r="D180" s="2" t="s">
        <v>376</v>
      </c>
      <c r="E180" s="2" t="s">
        <v>2385</v>
      </c>
      <c r="F180" s="2" t="s">
        <v>2386</v>
      </c>
      <c r="G180" s="2"/>
      <c r="H180" s="2"/>
      <c r="I180" s="3" t="b">
        <f>OR(E180 = "calculated", E180 = "lookup", E180 = "aggregation")</f>
        <v>0</v>
      </c>
      <c r="J180" s="3" t="b">
        <f>H180 &lt;&gt; ""</f>
        <v>0</v>
      </c>
      <c r="K180" s="3">
        <f>COUNTIFS(FieldDisagreements!D2:D999, A180)</f>
        <v>0</v>
      </c>
      <c r="L180" s="3" t="b">
        <f>K180 &gt; 0</f>
        <v>0</v>
      </c>
      <c r="M180" s="2" t="s">
        <v>2387</v>
      </c>
    </row>
    <row r="181">
      <c r="A181" s="2" t="s">
        <v>2663</v>
      </c>
      <c r="B181" s="3" t="str">
        <f>C181 &amp; "." &amp; D181</f>
        <v>ProcedureVersions.Name</v>
      </c>
      <c r="C181" s="2" t="s">
        <v>1747</v>
      </c>
      <c r="D181" s="2" t="s">
        <v>1</v>
      </c>
      <c r="E181" s="2" t="s">
        <v>2389</v>
      </c>
      <c r="F181" s="2" t="s">
        <v>2386</v>
      </c>
      <c r="G181" s="2" t="s">
        <v>2652</v>
      </c>
      <c r="H181" s="2"/>
      <c r="I181" s="3" t="b">
        <f>OR(E181 = "calculated", E181 = "lookup", E181 = "aggregation")</f>
        <v>1</v>
      </c>
      <c r="J181" s="3" t="b">
        <f>H181 &lt;&gt; ""</f>
        <v>0</v>
      </c>
      <c r="K181" s="3">
        <f>COUNTIFS(FieldDisagreements!D2:D999, A181)</f>
        <v>0</v>
      </c>
      <c r="L181" s="3" t="b">
        <f>K181 &gt; 0</f>
        <v>0</v>
      </c>
      <c r="M181" s="2" t="s">
        <v>2387</v>
      </c>
    </row>
    <row r="182">
      <c r="A182" s="2" t="s">
        <v>2664</v>
      </c>
      <c r="B182" s="3" t="str">
        <f>C182 &amp; "." &amp; D182</f>
        <v>ProcedureVersions.Procedure</v>
      </c>
      <c r="C182" s="2" t="s">
        <v>1747</v>
      </c>
      <c r="D182" s="2" t="s">
        <v>377</v>
      </c>
      <c r="E182" s="2" t="s">
        <v>2434</v>
      </c>
      <c r="F182" s="2" t="s">
        <v>2386</v>
      </c>
      <c r="G182" s="2"/>
      <c r="H182" s="2"/>
      <c r="I182" s="3" t="b">
        <f>OR(E182 = "calculated", E182 = "lookup", E182 = "aggregation")</f>
        <v>0</v>
      </c>
      <c r="J182" s="3" t="b">
        <f>H182 &lt;&gt; ""</f>
        <v>0</v>
      </c>
      <c r="K182" s="3">
        <f>COUNTIFS(FieldDisagreements!D2:D999, A182)</f>
        <v>0</v>
      </c>
      <c r="L182" s="3" t="b">
        <f>K182 &gt; 0</f>
        <v>0</v>
      </c>
      <c r="M182" s="2" t="s">
        <v>2387</v>
      </c>
    </row>
    <row r="183">
      <c r="A183" s="2" t="s">
        <v>1750</v>
      </c>
      <c r="B183" s="3" t="str">
        <f>C183 &amp; "." &amp; D183</f>
        <v>ProcedureVersions.VersionNumber</v>
      </c>
      <c r="C183" s="2" t="s">
        <v>1747</v>
      </c>
      <c r="D183" s="2" t="s">
        <v>378</v>
      </c>
      <c r="E183" s="2" t="s">
        <v>2385</v>
      </c>
      <c r="F183" s="2" t="s">
        <v>2386</v>
      </c>
      <c r="G183" s="2"/>
      <c r="H183" s="2"/>
      <c r="I183" s="3" t="b">
        <f>OR(E183 = "calculated", E183 = "lookup", E183 = "aggregation")</f>
        <v>0</v>
      </c>
      <c r="J183" s="3" t="b">
        <f>H183 &lt;&gt; ""</f>
        <v>0</v>
      </c>
      <c r="K183" s="3">
        <f>COUNTIFS(FieldDisagreements!D2:D999, A183)</f>
        <v>0</v>
      </c>
      <c r="L183" s="3" t="b">
        <f>K183 &gt; 0</f>
        <v>0</v>
      </c>
      <c r="M183" s="2" t="s">
        <v>2387</v>
      </c>
    </row>
    <row r="184">
      <c r="A184" s="2" t="s">
        <v>2665</v>
      </c>
      <c r="B184" s="3" t="str">
        <f>C184 &amp; "." &amp; D184</f>
        <v>ProcedureVersions.Title</v>
      </c>
      <c r="C184" s="2" t="s">
        <v>1747</v>
      </c>
      <c r="D184" s="2" t="s">
        <v>358</v>
      </c>
      <c r="E184" s="2" t="s">
        <v>2385</v>
      </c>
      <c r="F184" s="2" t="s">
        <v>2386</v>
      </c>
      <c r="G184" s="2"/>
      <c r="H184" s="2"/>
      <c r="I184" s="3" t="b">
        <f>OR(E184 = "calculated", E184 = "lookup", E184 = "aggregation")</f>
        <v>0</v>
      </c>
      <c r="J184" s="3" t="b">
        <f>H184 &lt;&gt; ""</f>
        <v>0</v>
      </c>
      <c r="K184" s="3">
        <f>COUNTIFS(FieldDisagreements!D2:D999, A184)</f>
        <v>0</v>
      </c>
      <c r="L184" s="3" t="b">
        <f>K184 &gt; 0</f>
        <v>0</v>
      </c>
      <c r="M184" s="2" t="s">
        <v>2387</v>
      </c>
    </row>
    <row r="185">
      <c r="A185" s="2" t="s">
        <v>2666</v>
      </c>
      <c r="B185" s="3" t="str">
        <f>C185 &amp; "." &amp; D185</f>
        <v>ProcedureVersions.Status</v>
      </c>
      <c r="C185" s="2" t="s">
        <v>1747</v>
      </c>
      <c r="D185" s="2" t="s">
        <v>8</v>
      </c>
      <c r="E185" s="2" t="s">
        <v>2385</v>
      </c>
      <c r="F185" s="2" t="s">
        <v>2386</v>
      </c>
      <c r="G185" s="2"/>
      <c r="H185" s="2"/>
      <c r="I185" s="3" t="b">
        <f>OR(E185 = "calculated", E185 = "lookup", E185 = "aggregation")</f>
        <v>0</v>
      </c>
      <c r="J185" s="3" t="b">
        <f>H185 &lt;&gt; ""</f>
        <v>0</v>
      </c>
      <c r="K185" s="3">
        <f>COUNTIFS(FieldDisagreements!D2:D999, A185)</f>
        <v>0</v>
      </c>
      <c r="L185" s="3" t="b">
        <f>K185 &gt; 0</f>
        <v>0</v>
      </c>
      <c r="M185" s="2" t="s">
        <v>2387</v>
      </c>
    </row>
    <row r="186">
      <c r="A186" s="2" t="s">
        <v>2667</v>
      </c>
      <c r="B186" s="3" t="str">
        <f>C186 &amp; "." &amp; D186</f>
        <v>ProcedureVersions.IssuedAt</v>
      </c>
      <c r="C186" s="2" t="s">
        <v>1747</v>
      </c>
      <c r="D186" s="2" t="s">
        <v>7</v>
      </c>
      <c r="E186" s="2" t="s">
        <v>2385</v>
      </c>
      <c r="F186" s="2" t="s">
        <v>2397</v>
      </c>
      <c r="G186" s="2"/>
      <c r="H186" s="2"/>
      <c r="I186" s="3" t="b">
        <f>OR(E186 = "calculated", E186 = "lookup", E186 = "aggregation")</f>
        <v>0</v>
      </c>
      <c r="J186" s="3" t="b">
        <f>H186 &lt;&gt; ""</f>
        <v>0</v>
      </c>
      <c r="K186" s="3">
        <f>COUNTIFS(FieldDisagreements!D2:D999, A186)</f>
        <v>0</v>
      </c>
      <c r="L186" s="3" t="b">
        <f>K186 &gt; 0</f>
        <v>0</v>
      </c>
      <c r="M186" s="2" t="s">
        <v>2387</v>
      </c>
    </row>
    <row r="187">
      <c r="A187" s="2" t="s">
        <v>2668</v>
      </c>
      <c r="B187" s="3" t="str">
        <f>C187 &amp; "." &amp; D187</f>
        <v>ProcedureVersions.ModifiedAt</v>
      </c>
      <c r="C187" s="2" t="s">
        <v>1747</v>
      </c>
      <c r="D187" s="2" t="s">
        <v>379</v>
      </c>
      <c r="E187" s="2" t="s">
        <v>2385</v>
      </c>
      <c r="F187" s="2" t="s">
        <v>2397</v>
      </c>
      <c r="G187" s="2"/>
      <c r="H187" s="2"/>
      <c r="I187" s="3" t="b">
        <f>OR(E187 = "calculated", E187 = "lookup", E187 = "aggregation")</f>
        <v>0</v>
      </c>
      <c r="J187" s="3" t="b">
        <f>H187 &lt;&gt; ""</f>
        <v>0</v>
      </c>
      <c r="K187" s="3">
        <f>COUNTIFS(FieldDisagreements!D2:D999, A187)</f>
        <v>0</v>
      </c>
      <c r="L187" s="3" t="b">
        <f>K187 &gt; 0</f>
        <v>0</v>
      </c>
      <c r="M187" s="2" t="s">
        <v>2387</v>
      </c>
    </row>
    <row r="188">
      <c r="A188" s="2" t="s">
        <v>2669</v>
      </c>
      <c r="B188" s="3" t="str">
        <f>C188 &amp; "." &amp; D188</f>
        <v>ProcedureVersions.CreatedByAgent</v>
      </c>
      <c r="C188" s="2" t="s">
        <v>1747</v>
      </c>
      <c r="D188" s="2" t="s">
        <v>380</v>
      </c>
      <c r="E188" s="2" t="s">
        <v>2434</v>
      </c>
      <c r="F188" s="2" t="s">
        <v>2386</v>
      </c>
      <c r="G188" s="2"/>
      <c r="H188" s="2"/>
      <c r="I188" s="3" t="b">
        <f>OR(E188 = "calculated", E188 = "lookup", E188 = "aggregation")</f>
        <v>0</v>
      </c>
      <c r="J188" s="3" t="b">
        <f>H188 &lt;&gt; ""</f>
        <v>0</v>
      </c>
      <c r="K188" s="3">
        <f>COUNTIFS(FieldDisagreements!D2:D999, A188)</f>
        <v>0</v>
      </c>
      <c r="L188" s="3" t="b">
        <f>K188 &gt; 0</f>
        <v>0</v>
      </c>
      <c r="M188" s="2" t="s">
        <v>2387</v>
      </c>
    </row>
    <row r="189">
      <c r="A189" s="2" t="s">
        <v>2670</v>
      </c>
      <c r="B189" s="3" t="str">
        <f>C189 &amp; "." &amp; D189</f>
        <v>ProcedureVersions.ModifiedByAgent</v>
      </c>
      <c r="C189" s="2" t="s">
        <v>1747</v>
      </c>
      <c r="D189" s="2" t="s">
        <v>381</v>
      </c>
      <c r="E189" s="2" t="s">
        <v>2434</v>
      </c>
      <c r="F189" s="2" t="s">
        <v>2386</v>
      </c>
      <c r="G189" s="2"/>
      <c r="H189" s="2"/>
      <c r="I189" s="3" t="b">
        <f>OR(E189 = "calculated", E189 = "lookup", E189 = "aggregation")</f>
        <v>0</v>
      </c>
      <c r="J189" s="3" t="b">
        <f>H189 &lt;&gt; ""</f>
        <v>0</v>
      </c>
      <c r="K189" s="3">
        <f>COUNTIFS(FieldDisagreements!D2:D999, A189)</f>
        <v>0</v>
      </c>
      <c r="L189" s="3" t="b">
        <f>K189 &gt; 0</f>
        <v>0</v>
      </c>
      <c r="M189" s="2" t="s">
        <v>2387</v>
      </c>
    </row>
    <row r="190">
      <c r="A190" s="2" t="s">
        <v>2671</v>
      </c>
      <c r="B190" s="3" t="str">
        <f>C190 &amp; "." &amp; D190</f>
        <v>ProcedureVersions.NewVersionMotivation</v>
      </c>
      <c r="C190" s="2" t="s">
        <v>1747</v>
      </c>
      <c r="D190" s="2" t="s">
        <v>382</v>
      </c>
      <c r="E190" s="2" t="s">
        <v>2385</v>
      </c>
      <c r="F190" s="2" t="s">
        <v>2386</v>
      </c>
      <c r="G190" s="2"/>
      <c r="H190" s="2"/>
      <c r="I190" s="3" t="b">
        <f>OR(E190 = "calculated", E190 = "lookup", E190 = "aggregation")</f>
        <v>0</v>
      </c>
      <c r="J190" s="3" t="b">
        <f>H190 &lt;&gt; ""</f>
        <v>0</v>
      </c>
      <c r="K190" s="3">
        <f>COUNTIFS(FieldDisagreements!D2:D999, A190)</f>
        <v>0</v>
      </c>
      <c r="L190" s="3" t="b">
        <f>K190 &gt; 0</f>
        <v>0</v>
      </c>
      <c r="M190" s="2" t="s">
        <v>2387</v>
      </c>
    </row>
    <row r="191">
      <c r="A191" s="2" t="s">
        <v>2672</v>
      </c>
      <c r="B191" s="3" t="str">
        <f>C191 &amp; "." &amp; D191</f>
        <v>ProcedureVersions.ChangelogDescription</v>
      </c>
      <c r="C191" s="2" t="s">
        <v>1747</v>
      </c>
      <c r="D191" s="2" t="s">
        <v>383</v>
      </c>
      <c r="E191" s="2" t="s">
        <v>2385</v>
      </c>
      <c r="F191" s="2" t="s">
        <v>2386</v>
      </c>
      <c r="G191" s="2"/>
      <c r="H191" s="2"/>
      <c r="I191" s="3" t="b">
        <f>OR(E191 = "calculated", E191 = "lookup", E191 = "aggregation")</f>
        <v>0</v>
      </c>
      <c r="J191" s="3" t="b">
        <f>H191 &lt;&gt; ""</f>
        <v>0</v>
      </c>
      <c r="K191" s="3">
        <f>COUNTIFS(FieldDisagreements!D2:D999, A191)</f>
        <v>0</v>
      </c>
      <c r="L191" s="3" t="b">
        <f>K191 &gt; 0</f>
        <v>0</v>
      </c>
      <c r="M191" s="2" t="s">
        <v>2387</v>
      </c>
    </row>
    <row r="192">
      <c r="A192" s="2" t="s">
        <v>2673</v>
      </c>
      <c r="B192" s="3" t="str">
        <f>C192 &amp; "." &amp; D192</f>
        <v>ProcedureVersions.IsCurrent</v>
      </c>
      <c r="C192" s="2" t="s">
        <v>1747</v>
      </c>
      <c r="D192" s="2" t="s">
        <v>10</v>
      </c>
      <c r="E192" s="2" t="s">
        <v>2385</v>
      </c>
      <c r="F192" s="2" t="s">
        <v>2401</v>
      </c>
      <c r="G192" s="2"/>
      <c r="H192" s="2"/>
      <c r="I192" s="3" t="b">
        <f>OR(E192 = "calculated", E192 = "lookup", E192 = "aggregation")</f>
        <v>0</v>
      </c>
      <c r="J192" s="3" t="b">
        <f>H192 &lt;&gt; ""</f>
        <v>0</v>
      </c>
      <c r="K192" s="3">
        <f>COUNTIFS(FieldDisagreements!D2:D999, A192)</f>
        <v>0</v>
      </c>
      <c r="L192" s="3" t="b">
        <f>K192 &gt; 0</f>
        <v>0</v>
      </c>
      <c r="M192" s="2" t="s">
        <v>2387</v>
      </c>
    </row>
    <row r="193">
      <c r="A193" s="2" t="s">
        <v>2674</v>
      </c>
      <c r="B193" s="3" t="str">
        <f>C193 &amp; "." &amp; D193</f>
        <v>ProcedureVersions.CountOfSteps</v>
      </c>
      <c r="C193" s="2" t="s">
        <v>1747</v>
      </c>
      <c r="D193" s="2" t="s">
        <v>384</v>
      </c>
      <c r="E193" s="2" t="s">
        <v>2438</v>
      </c>
      <c r="F193" s="2" t="s">
        <v>2439</v>
      </c>
      <c r="G193" s="2" t="s">
        <v>2675</v>
      </c>
      <c r="H193" s="2"/>
      <c r="I193" s="3" t="b">
        <f>OR(E193 = "calculated", E193 = "lookup", E193 = "aggregation")</f>
        <v>1</v>
      </c>
      <c r="J193" s="3" t="b">
        <f>H193 &lt;&gt; ""</f>
        <v>0</v>
      </c>
      <c r="K193" s="3">
        <f>COUNTIFS(FieldDisagreements!D2:D999, A193)</f>
        <v>0</v>
      </c>
      <c r="L193" s="3" t="b">
        <f>K193 &gt; 0</f>
        <v>0</v>
      </c>
      <c r="M193" s="2" t="s">
        <v>2387</v>
      </c>
    </row>
    <row r="194">
      <c r="A194" s="2" t="s">
        <v>2676</v>
      </c>
      <c r="B194" s="3" t="str">
        <f>C194 &amp; "." &amp; D194</f>
        <v>ProcedureVersions.CountOfOpenKnowledgeGaps</v>
      </c>
      <c r="C194" s="2" t="s">
        <v>1747</v>
      </c>
      <c r="D194" s="2" t="s">
        <v>385</v>
      </c>
      <c r="E194" s="2" t="s">
        <v>2438</v>
      </c>
      <c r="F194" s="2" t="s">
        <v>2439</v>
      </c>
      <c r="G194" s="2" t="s">
        <v>2677</v>
      </c>
      <c r="H194" s="2"/>
      <c r="I194" s="3" t="b">
        <f>OR(E194 = "calculated", E194 = "lookup", E194 = "aggregation")</f>
        <v>1</v>
      </c>
      <c r="J194" s="3" t="b">
        <f>H194 &lt;&gt; ""</f>
        <v>0</v>
      </c>
      <c r="K194" s="3">
        <f>COUNTIFS(FieldDisagreements!D2:D999, A194)</f>
        <v>0</v>
      </c>
      <c r="L194" s="3" t="b">
        <f>K194 &gt; 0</f>
        <v>0</v>
      </c>
      <c r="M194" s="2" t="s">
        <v>2387</v>
      </c>
    </row>
    <row r="195">
      <c r="A195" s="2" t="s">
        <v>2678</v>
      </c>
      <c r="B195" s="3" t="str">
        <f>C195 &amp; "." &amp; D195</f>
        <v>ProcedureVersions.IsReadyForExecution</v>
      </c>
      <c r="C195" s="2" t="s">
        <v>1747</v>
      </c>
      <c r="D195" s="2" t="s">
        <v>386</v>
      </c>
      <c r="E195" s="2" t="s">
        <v>2389</v>
      </c>
      <c r="F195" s="2" t="s">
        <v>2401</v>
      </c>
      <c r="G195" s="2" t="s">
        <v>2679</v>
      </c>
      <c r="H195" s="2"/>
      <c r="I195" s="3" t="b">
        <f>OR(E195 = "calculated", E195 = "lookup", E195 = "aggregation")</f>
        <v>1</v>
      </c>
      <c r="J195" s="3" t="b">
        <f>H195 &lt;&gt; ""</f>
        <v>0</v>
      </c>
      <c r="K195" s="3">
        <f>COUNTIFS(FieldDisagreements!D2:D999, A195)</f>
        <v>0</v>
      </c>
      <c r="L195" s="3" t="b">
        <f>K195 &gt; 0</f>
        <v>0</v>
      </c>
      <c r="M195" s="2" t="s">
        <v>2387</v>
      </c>
    </row>
    <row r="196">
      <c r="A196" s="2" t="s">
        <v>2680</v>
      </c>
      <c r="B196" s="3" t="str">
        <f>C196 &amp; "." &amp; D196</f>
        <v>ProcedureVersions.SpecifiedStepCount</v>
      </c>
      <c r="C196" s="2" t="s">
        <v>1747</v>
      </c>
      <c r="D196" s="2" t="s">
        <v>387</v>
      </c>
      <c r="E196" s="2" t="s">
        <v>2438</v>
      </c>
      <c r="F196" s="2" t="s">
        <v>2444</v>
      </c>
      <c r="G196" s="2" t="s">
        <v>2681</v>
      </c>
      <c r="H196" s="2" t="s">
        <v>1968</v>
      </c>
      <c r="I196" s="3" t="b">
        <f>OR(E196 = "calculated", E196 = "lookup", E196 = "aggregation")</f>
        <v>1</v>
      </c>
      <c r="J196" s="3" t="b">
        <f>H196 &lt;&gt; ""</f>
        <v>1</v>
      </c>
      <c r="K196" s="3">
        <f>COUNTIFS(FieldDisagreements!D2:D999, A196)</f>
        <v>0</v>
      </c>
      <c r="L196" s="3" t="b">
        <f>K196 &gt; 0</f>
        <v>0</v>
      </c>
      <c r="M196" s="2" t="s">
        <v>2387</v>
      </c>
    </row>
    <row r="197">
      <c r="A197" s="2" t="s">
        <v>2682</v>
      </c>
      <c r="B197" s="3" t="str">
        <f>C197 &amp; "." &amp; D197</f>
        <v>ProcedureVersions.OverdueReviewCount</v>
      </c>
      <c r="C197" s="2" t="s">
        <v>1747</v>
      </c>
      <c r="D197" s="2" t="s">
        <v>388</v>
      </c>
      <c r="E197" s="2" t="s">
        <v>2438</v>
      </c>
      <c r="F197" s="2" t="s">
        <v>2444</v>
      </c>
      <c r="G197" s="2" t="s">
        <v>2683</v>
      </c>
      <c r="H197" s="2" t="s">
        <v>1980</v>
      </c>
      <c r="I197" s="3" t="b">
        <f>OR(E197 = "calculated", E197 = "lookup", E197 = "aggregation")</f>
        <v>1</v>
      </c>
      <c r="J197" s="3" t="b">
        <f>H197 &lt;&gt; ""</f>
        <v>1</v>
      </c>
      <c r="K197" s="3">
        <f>COUNTIFS(FieldDisagreements!D2:D999, A197)</f>
        <v>0</v>
      </c>
      <c r="L197" s="3" t="b">
        <f>K197 &gt; 0</f>
        <v>0</v>
      </c>
      <c r="M197" s="2" t="s">
        <v>2387</v>
      </c>
    </row>
    <row r="198">
      <c r="A198" s="2" t="s">
        <v>2684</v>
      </c>
      <c r="B198" s="3" t="str">
        <f>C198 &amp; "." &amp; D198</f>
        <v>ProcedureVersions.OpenChangeRequestCount</v>
      </c>
      <c r="C198" s="2" t="s">
        <v>1747</v>
      </c>
      <c r="D198" s="2" t="s">
        <v>389</v>
      </c>
      <c r="E198" s="2" t="s">
        <v>2438</v>
      </c>
      <c r="F198" s="2" t="s">
        <v>2444</v>
      </c>
      <c r="G198" s="2" t="s">
        <v>2685</v>
      </c>
      <c r="H198" s="2" t="s">
        <v>1980</v>
      </c>
      <c r="I198" s="3" t="b">
        <f>OR(E198 = "calculated", E198 = "lookup", E198 = "aggregation")</f>
        <v>1</v>
      </c>
      <c r="J198" s="3" t="b">
        <f>H198 &lt;&gt; ""</f>
        <v>1</v>
      </c>
      <c r="K198" s="3">
        <f>COUNTIFS(FieldDisagreements!D2:D999, A198)</f>
        <v>0</v>
      </c>
      <c r="L198" s="3" t="b">
        <f>K198 &gt; 0</f>
        <v>0</v>
      </c>
      <c r="M198" s="2" t="s">
        <v>2387</v>
      </c>
    </row>
    <row r="199">
      <c r="A199" s="2" t="s">
        <v>2686</v>
      </c>
      <c r="B199" s="3" t="str">
        <f>C199 &amp; "." &amp; D199</f>
        <v>ProcedureVersions.OpenHighSeverityGapCount</v>
      </c>
      <c r="C199" s="2" t="s">
        <v>1747</v>
      </c>
      <c r="D199" s="2" t="s">
        <v>390</v>
      </c>
      <c r="E199" s="2" t="s">
        <v>2438</v>
      </c>
      <c r="F199" s="2" t="s">
        <v>2444</v>
      </c>
      <c r="G199" s="2" t="s">
        <v>2687</v>
      </c>
      <c r="H199" s="2" t="s">
        <v>1980</v>
      </c>
      <c r="I199" s="3" t="b">
        <f>OR(E199 = "calculated", E199 = "lookup", E199 = "aggregation")</f>
        <v>1</v>
      </c>
      <c r="J199" s="3" t="b">
        <f>H199 &lt;&gt; ""</f>
        <v>1</v>
      </c>
      <c r="K199" s="3">
        <f>COUNTIFS(FieldDisagreements!D2:D999, A199)</f>
        <v>0</v>
      </c>
      <c r="L199" s="3" t="b">
        <f>K199 &gt; 0</f>
        <v>0</v>
      </c>
      <c r="M199" s="2" t="s">
        <v>2387</v>
      </c>
    </row>
    <row r="200">
      <c r="A200" s="2" t="s">
        <v>2688</v>
      </c>
      <c r="B200" s="3" t="str">
        <f>C200 &amp; "." &amp; D200</f>
        <v>ProcedureVersions.IsFitToExecute</v>
      </c>
      <c r="C200" s="2" t="s">
        <v>1747</v>
      </c>
      <c r="D200" s="2" t="s">
        <v>391</v>
      </c>
      <c r="E200" s="2" t="s">
        <v>2389</v>
      </c>
      <c r="F200" s="2" t="s">
        <v>2401</v>
      </c>
      <c r="G200" s="2" t="s">
        <v>2689</v>
      </c>
      <c r="H200" s="2" t="s">
        <v>1980</v>
      </c>
      <c r="I200" s="3" t="b">
        <f>OR(E200 = "calculated", E200 = "lookup", E200 = "aggregation")</f>
        <v>1</v>
      </c>
      <c r="J200" s="3" t="b">
        <f>H200 &lt;&gt; ""</f>
        <v>1</v>
      </c>
      <c r="K200" s="3">
        <f>COUNTIFS(FieldDisagreements!D2:D999, A200)</f>
        <v>0</v>
      </c>
      <c r="L200" s="3" t="b">
        <f>K200 &gt; 0</f>
        <v>0</v>
      </c>
      <c r="M200" s="2" t="s">
        <v>2387</v>
      </c>
    </row>
    <row r="201">
      <c r="A201" s="2" t="s">
        <v>2690</v>
      </c>
      <c r="B201" s="3" t="str">
        <f>C201 &amp; "." &amp; D201</f>
        <v>ProcedureVersions.StewardReviewCadenceDays</v>
      </c>
      <c r="C201" s="2" t="s">
        <v>1747</v>
      </c>
      <c r="D201" s="2" t="s">
        <v>392</v>
      </c>
      <c r="E201" s="2" t="s">
        <v>2438</v>
      </c>
      <c r="F201" s="2" t="s">
        <v>2444</v>
      </c>
      <c r="G201" s="2" t="s">
        <v>2691</v>
      </c>
      <c r="H201" s="2" t="s">
        <v>1996</v>
      </c>
      <c r="I201" s="3" t="b">
        <f>OR(E201 = "calculated", E201 = "lookup", E201 = "aggregation")</f>
        <v>1</v>
      </c>
      <c r="J201" s="3" t="b">
        <f>H201 &lt;&gt; ""</f>
        <v>1</v>
      </c>
      <c r="K201" s="3">
        <f>COUNTIFS(FieldDisagreements!D2:D999, A201)</f>
        <v>0</v>
      </c>
      <c r="L201" s="3" t="b">
        <f>K201 &gt; 0</f>
        <v>0</v>
      </c>
      <c r="M201" s="2" t="s">
        <v>2387</v>
      </c>
    </row>
    <row r="202">
      <c r="A202" s="2" t="s">
        <v>2692</v>
      </c>
      <c r="B202" s="3" t="str">
        <f>C202 &amp; "." &amp; D202</f>
        <v>ProcedureVersions.CountOfStewardshipAssignments</v>
      </c>
      <c r="C202" s="2" t="s">
        <v>1747</v>
      </c>
      <c r="D202" s="2" t="s">
        <v>393</v>
      </c>
      <c r="E202" s="2" t="s">
        <v>2438</v>
      </c>
      <c r="F202" s="2" t="s">
        <v>2439</v>
      </c>
      <c r="G202" s="2" t="s">
        <v>2693</v>
      </c>
      <c r="H202" s="2" t="s">
        <v>2000</v>
      </c>
      <c r="I202" s="3" t="b">
        <f>OR(E202 = "calculated", E202 = "lookup", E202 = "aggregation")</f>
        <v>1</v>
      </c>
      <c r="J202" s="3" t="b">
        <f>H202 &lt;&gt; ""</f>
        <v>1</v>
      </c>
      <c r="K202" s="3">
        <f>COUNTIFS(FieldDisagreements!D2:D999, A202)</f>
        <v>0</v>
      </c>
      <c r="L202" s="3" t="b">
        <f>K202 &gt; 0</f>
        <v>0</v>
      </c>
      <c r="M202" s="2" t="s">
        <v>2387</v>
      </c>
    </row>
    <row r="203">
      <c r="A203" s="2" t="s">
        <v>2694</v>
      </c>
      <c r="B203" s="3" t="str">
        <f>C203 &amp; "." &amp; D203</f>
        <v>ProcedureVersions.HasAnySteward</v>
      </c>
      <c r="C203" s="2" t="s">
        <v>1747</v>
      </c>
      <c r="D203" s="2" t="s">
        <v>394</v>
      </c>
      <c r="E203" s="2" t="s">
        <v>2389</v>
      </c>
      <c r="F203" s="2" t="s">
        <v>2401</v>
      </c>
      <c r="G203" s="2" t="s">
        <v>2695</v>
      </c>
      <c r="H203" s="2" t="s">
        <v>2000</v>
      </c>
      <c r="I203" s="3" t="b">
        <f>OR(E203 = "calculated", E203 = "lookup", E203 = "aggregation")</f>
        <v>1</v>
      </c>
      <c r="J203" s="3" t="b">
        <f>H203 &lt;&gt; ""</f>
        <v>1</v>
      </c>
      <c r="K203" s="3">
        <f>COUNTIFS(FieldDisagreements!D2:D999, A203)</f>
        <v>0</v>
      </c>
      <c r="L203" s="3" t="b">
        <f>K203 &gt; 0</f>
        <v>0</v>
      </c>
      <c r="M203" s="2" t="s">
        <v>2387</v>
      </c>
    </row>
    <row r="204">
      <c r="A204" s="2" t="s">
        <v>2696</v>
      </c>
      <c r="B204" s="3" t="str">
        <f>C204 &amp; "." &amp; D204</f>
        <v>ProcedureVersions.IsLive</v>
      </c>
      <c r="C204" s="2" t="s">
        <v>1747</v>
      </c>
      <c r="D204" s="2" t="s">
        <v>395</v>
      </c>
      <c r="E204" s="2" t="s">
        <v>2389</v>
      </c>
      <c r="F204" s="2" t="s">
        <v>2401</v>
      </c>
      <c r="G204" s="2" t="s">
        <v>2697</v>
      </c>
      <c r="H204" s="2" t="s">
        <v>2000</v>
      </c>
      <c r="I204" s="3" t="b">
        <f>OR(E204 = "calculated", E204 = "lookup", E204 = "aggregation")</f>
        <v>1</v>
      </c>
      <c r="J204" s="3" t="b">
        <f>H204 &lt;&gt; ""</f>
        <v>1</v>
      </c>
      <c r="K204" s="3">
        <f>COUNTIFS(FieldDisagreements!D2:D999, A204)</f>
        <v>0</v>
      </c>
      <c r="L204" s="3" t="b">
        <f>K204 &gt; 0</f>
        <v>0</v>
      </c>
      <c r="M204" s="2" t="s">
        <v>2387</v>
      </c>
    </row>
    <row r="205">
      <c r="A205" s="2" t="s">
        <v>2698</v>
      </c>
      <c r="B205" s="3" t="str">
        <f>C205 &amp; "." &amp; D205</f>
        <v>ProcedureVersions.IsUnstewarded</v>
      </c>
      <c r="C205" s="2" t="s">
        <v>1747</v>
      </c>
      <c r="D205" s="2" t="s">
        <v>396</v>
      </c>
      <c r="E205" s="2" t="s">
        <v>2389</v>
      </c>
      <c r="F205" s="2" t="s">
        <v>2401</v>
      </c>
      <c r="G205" s="2" t="s">
        <v>2699</v>
      </c>
      <c r="H205" s="2" t="s">
        <v>2000</v>
      </c>
      <c r="I205" s="3" t="b">
        <f>OR(E205 = "calculated", E205 = "lookup", E205 = "aggregation")</f>
        <v>1</v>
      </c>
      <c r="J205" s="3" t="b">
        <f>H205 &lt;&gt; ""</f>
        <v>1</v>
      </c>
      <c r="K205" s="3">
        <f>COUNTIFS(FieldDisagreements!D2:D999, A205)</f>
        <v>0</v>
      </c>
      <c r="L205" s="3" t="b">
        <f>K205 &gt; 0</f>
        <v>0</v>
      </c>
      <c r="M205" s="2" t="s">
        <v>2387</v>
      </c>
    </row>
    <row r="206">
      <c r="A206" s="2" t="s">
        <v>2700</v>
      </c>
      <c r="B206" s="3" t="str">
        <f>C206 &amp; "." &amp; D206</f>
        <v>ProcedureVersions.IsLiveAndUnstewarded</v>
      </c>
      <c r="C206" s="2" t="s">
        <v>1747</v>
      </c>
      <c r="D206" s="2" t="s">
        <v>397</v>
      </c>
      <c r="E206" s="2" t="s">
        <v>2389</v>
      </c>
      <c r="F206" s="2" t="s">
        <v>2401</v>
      </c>
      <c r="G206" s="2" t="s">
        <v>2701</v>
      </c>
      <c r="H206" s="2" t="s">
        <v>2000</v>
      </c>
      <c r="I206" s="3" t="b">
        <f>OR(E206 = "calculated", E206 = "lookup", E206 = "aggregation")</f>
        <v>1</v>
      </c>
      <c r="J206" s="3" t="b">
        <f>H206 &lt;&gt; ""</f>
        <v>1</v>
      </c>
      <c r="K206" s="3">
        <f>COUNTIFS(FieldDisagreements!D2:D999, A206)</f>
        <v>0</v>
      </c>
      <c r="L206" s="3" t="b">
        <f>K206 &gt; 0</f>
        <v>0</v>
      </c>
      <c r="M206" s="2" t="s">
        <v>2387</v>
      </c>
    </row>
    <row r="207">
      <c r="A207" s="2" t="s">
        <v>2702</v>
      </c>
      <c r="B207" s="3" t="str">
        <f>C207 &amp; "." &amp; D207</f>
        <v>ProcedureVersions.CountOfOpenBlockingGaps</v>
      </c>
      <c r="C207" s="2" t="s">
        <v>1747</v>
      </c>
      <c r="D207" s="2" t="s">
        <v>398</v>
      </c>
      <c r="E207" s="2" t="s">
        <v>2438</v>
      </c>
      <c r="F207" s="2" t="s">
        <v>2439</v>
      </c>
      <c r="G207" s="2" t="s">
        <v>2703</v>
      </c>
      <c r="H207" s="2" t="s">
        <v>2008</v>
      </c>
      <c r="I207" s="3" t="b">
        <f>OR(E207 = "calculated", E207 = "lookup", E207 = "aggregation")</f>
        <v>1</v>
      </c>
      <c r="J207" s="3" t="b">
        <f>H207 &lt;&gt; ""</f>
        <v>1</v>
      </c>
      <c r="K207" s="3">
        <f>COUNTIFS(FieldDisagreements!D2:D999, A207)</f>
        <v>0</v>
      </c>
      <c r="L207" s="3" t="b">
        <f>K207 &gt; 0</f>
        <v>0</v>
      </c>
      <c r="M207" s="2" t="s">
        <v>2387</v>
      </c>
    </row>
    <row r="208">
      <c r="A208" s="2" t="s">
        <v>2704</v>
      </c>
      <c r="B208" s="3" t="str">
        <f>C208 &amp; "." &amp; D208</f>
        <v>ProcedureVersions.HasOpenBlockingGap</v>
      </c>
      <c r="C208" s="2" t="s">
        <v>1747</v>
      </c>
      <c r="D208" s="2" t="s">
        <v>399</v>
      </c>
      <c r="E208" s="2" t="s">
        <v>2389</v>
      </c>
      <c r="F208" s="2" t="s">
        <v>2401</v>
      </c>
      <c r="G208" s="2" t="s">
        <v>2705</v>
      </c>
      <c r="H208" s="2" t="s">
        <v>2008</v>
      </c>
      <c r="I208" s="3" t="b">
        <f>OR(E208 = "calculated", E208 = "lookup", E208 = "aggregation")</f>
        <v>1</v>
      </c>
      <c r="J208" s="3" t="b">
        <f>H208 &lt;&gt; ""</f>
        <v>1</v>
      </c>
      <c r="K208" s="3">
        <f>COUNTIFS(FieldDisagreements!D2:D999, A208)</f>
        <v>0</v>
      </c>
      <c r="L208" s="3" t="b">
        <f>K208 &gt; 0</f>
        <v>0</v>
      </c>
      <c r="M208" s="2" t="s">
        <v>2387</v>
      </c>
    </row>
    <row r="209">
      <c r="A209" s="2" t="s">
        <v>2706</v>
      </c>
      <c r="B209" s="3" t="str">
        <f>C209 &amp; "." &amp; D209</f>
        <v>ProcedureVersions.IsLiveWithBlockingGap</v>
      </c>
      <c r="C209" s="2" t="s">
        <v>1747</v>
      </c>
      <c r="D209" s="2" t="s">
        <v>400</v>
      </c>
      <c r="E209" s="2" t="s">
        <v>2389</v>
      </c>
      <c r="F209" s="2" t="s">
        <v>2401</v>
      </c>
      <c r="G209" s="2" t="s">
        <v>2707</v>
      </c>
      <c r="H209" s="2" t="s">
        <v>2008</v>
      </c>
      <c r="I209" s="3" t="b">
        <f>OR(E209 = "calculated", E209 = "lookup", E209 = "aggregation")</f>
        <v>1</v>
      </c>
      <c r="J209" s="3" t="b">
        <f>H209 &lt;&gt; ""</f>
        <v>1</v>
      </c>
      <c r="K209" s="3">
        <f>COUNTIFS(FieldDisagreements!D2:D999, A209)</f>
        <v>0</v>
      </c>
      <c r="L209" s="3" t="b">
        <f>K209 &gt; 0</f>
        <v>0</v>
      </c>
      <c r="M209" s="2" t="s">
        <v>2387</v>
      </c>
    </row>
    <row r="210">
      <c r="A210" s="2" t="s">
        <v>2708</v>
      </c>
      <c r="B210" s="3" t="str">
        <f>C210 &amp; "." &amp; D210</f>
        <v>ProcedureVersions.ShouldNotBeExecutable</v>
      </c>
      <c r="C210" s="2" t="s">
        <v>1747</v>
      </c>
      <c r="D210" s="2" t="s">
        <v>401</v>
      </c>
      <c r="E210" s="2" t="s">
        <v>2389</v>
      </c>
      <c r="F210" s="2" t="s">
        <v>2401</v>
      </c>
      <c r="G210" s="2" t="s">
        <v>2709</v>
      </c>
      <c r="H210" s="2" t="s">
        <v>2008</v>
      </c>
      <c r="I210" s="3" t="b">
        <f>OR(E210 = "calculated", E210 = "lookup", E210 = "aggregation")</f>
        <v>1</v>
      </c>
      <c r="J210" s="3" t="b">
        <f>H210 &lt;&gt; ""</f>
        <v>1</v>
      </c>
      <c r="K210" s="3">
        <f>COUNTIFS(FieldDisagreements!D2:D999, A210)</f>
        <v>0</v>
      </c>
      <c r="L210" s="3" t="b">
        <f>K210 &gt; 0</f>
        <v>0</v>
      </c>
      <c r="M210" s="2" t="s">
        <v>2387</v>
      </c>
    </row>
    <row r="211">
      <c r="A211" s="2" t="s">
        <v>2710</v>
      </c>
      <c r="B211" s="3" t="str">
        <f>C211 &amp; "." &amp; D211</f>
        <v>ProcedureVersions.CountOfUnapprovedRelianceFragments</v>
      </c>
      <c r="C211" s="2" t="s">
        <v>1747</v>
      </c>
      <c r="D211" s="2" t="s">
        <v>402</v>
      </c>
      <c r="E211" s="2" t="s">
        <v>2438</v>
      </c>
      <c r="F211" s="2" t="s">
        <v>2439</v>
      </c>
      <c r="G211" s="2" t="s">
        <v>2711</v>
      </c>
      <c r="H211" s="2" t="s">
        <v>2020</v>
      </c>
      <c r="I211" s="3" t="b">
        <f>OR(E211 = "calculated", E211 = "lookup", E211 = "aggregation")</f>
        <v>1</v>
      </c>
      <c r="J211" s="3" t="b">
        <f>H211 &lt;&gt; ""</f>
        <v>1</v>
      </c>
      <c r="K211" s="3">
        <f>COUNTIFS(FieldDisagreements!D2:D999, A211)</f>
        <v>0</v>
      </c>
      <c r="L211" s="3" t="b">
        <f>K211 &gt; 0</f>
        <v>0</v>
      </c>
      <c r="M211" s="2" t="s">
        <v>2387</v>
      </c>
    </row>
    <row r="212">
      <c r="A212" s="2" t="s">
        <v>2712</v>
      </c>
      <c r="B212" s="3" t="str">
        <f>C212 &amp; "." &amp; D212</f>
        <v>ProcedureVersions.RunsOnUnapprovedKnowledge</v>
      </c>
      <c r="C212" s="2" t="s">
        <v>1747</v>
      </c>
      <c r="D212" s="2" t="s">
        <v>403</v>
      </c>
      <c r="E212" s="2" t="s">
        <v>2389</v>
      </c>
      <c r="F212" s="2" t="s">
        <v>2401</v>
      </c>
      <c r="G212" s="2" t="s">
        <v>2713</v>
      </c>
      <c r="H212" s="2" t="s">
        <v>2020</v>
      </c>
      <c r="I212" s="3" t="b">
        <f>OR(E212 = "calculated", E212 = "lookup", E212 = "aggregation")</f>
        <v>1</v>
      </c>
      <c r="J212" s="3" t="b">
        <f>H212 &lt;&gt; ""</f>
        <v>1</v>
      </c>
      <c r="K212" s="3">
        <f>COUNTIFS(FieldDisagreements!D2:D999, A212)</f>
        <v>0</v>
      </c>
      <c r="L212" s="3" t="b">
        <f>K212 &gt; 0</f>
        <v>0</v>
      </c>
      <c r="M212" s="2" t="s">
        <v>2387</v>
      </c>
    </row>
    <row r="213">
      <c r="A213" s="2" t="s">
        <v>2714</v>
      </c>
      <c r="B213" s="3" t="str">
        <f>C213 &amp; "." &amp; D213</f>
        <v>ProcedureVersions.CountOfOverdueGaps</v>
      </c>
      <c r="C213" s="2" t="s">
        <v>1747</v>
      </c>
      <c r="D213" s="2" t="s">
        <v>404</v>
      </c>
      <c r="E213" s="2" t="s">
        <v>2438</v>
      </c>
      <c r="F213" s="2" t="s">
        <v>2439</v>
      </c>
      <c r="G213" s="2" t="s">
        <v>2715</v>
      </c>
      <c r="H213" s="2" t="s">
        <v>2028</v>
      </c>
      <c r="I213" s="3" t="b">
        <f>OR(E213 = "calculated", E213 = "lookup", E213 = "aggregation")</f>
        <v>1</v>
      </c>
      <c r="J213" s="3" t="b">
        <f>H213 &lt;&gt; ""</f>
        <v>1</v>
      </c>
      <c r="K213" s="3">
        <f>COUNTIFS(FieldDisagreements!D2:D999, A213)</f>
        <v>0</v>
      </c>
      <c r="L213" s="3" t="b">
        <f>K213 &gt; 0</f>
        <v>0</v>
      </c>
      <c r="M213" s="2" t="s">
        <v>2387</v>
      </c>
    </row>
    <row r="214">
      <c r="A214" s="2" t="s">
        <v>2716</v>
      </c>
      <c r="B214" s="3" t="str">
        <f>C214 &amp; "." &amp; D214</f>
        <v>ProcedureVersions.CountOfChangeRequests</v>
      </c>
      <c r="C214" s="2" t="s">
        <v>1747</v>
      </c>
      <c r="D214" s="2" t="s">
        <v>405</v>
      </c>
      <c r="E214" s="2" t="s">
        <v>2438</v>
      </c>
      <c r="F214" s="2" t="s">
        <v>2439</v>
      </c>
      <c r="G214" s="2" t="s">
        <v>2717</v>
      </c>
      <c r="H214" s="2" t="s">
        <v>2032</v>
      </c>
      <c r="I214" s="3" t="b">
        <f>OR(E214 = "calculated", E214 = "lookup", E214 = "aggregation")</f>
        <v>1</v>
      </c>
      <c r="J214" s="3" t="b">
        <f>H214 &lt;&gt; ""</f>
        <v>1</v>
      </c>
      <c r="K214" s="3">
        <f>COUNTIFS(FieldDisagreements!D2:D999, A214)</f>
        <v>0</v>
      </c>
      <c r="L214" s="3" t="b">
        <f>K214 &gt; 0</f>
        <v>0</v>
      </c>
      <c r="M214" s="2" t="s">
        <v>2387</v>
      </c>
    </row>
    <row r="215">
      <c r="A215" s="2" t="s">
        <v>2718</v>
      </c>
      <c r="B215" s="3" t="str">
        <f>C215 &amp; "." &amp; D215</f>
        <v>ProcedureVersions.CountOfReviewEvents</v>
      </c>
      <c r="C215" s="2" t="s">
        <v>1747</v>
      </c>
      <c r="D215" s="2" t="s">
        <v>406</v>
      </c>
      <c r="E215" s="2" t="s">
        <v>2438</v>
      </c>
      <c r="F215" s="2" t="s">
        <v>2439</v>
      </c>
      <c r="G215" s="2" t="s">
        <v>2719</v>
      </c>
      <c r="H215" s="2" t="s">
        <v>2032</v>
      </c>
      <c r="I215" s="3" t="b">
        <f>OR(E215 = "calculated", E215 = "lookup", E215 = "aggregation")</f>
        <v>1</v>
      </c>
      <c r="J215" s="3" t="b">
        <f>H215 &lt;&gt; ""</f>
        <v>1</v>
      </c>
      <c r="K215" s="3">
        <f>COUNTIFS(FieldDisagreements!D2:D999, A215)</f>
        <v>0</v>
      </c>
      <c r="L215" s="3" t="b">
        <f>K215 &gt; 0</f>
        <v>0</v>
      </c>
      <c r="M215" s="2" t="s">
        <v>2387</v>
      </c>
    </row>
    <row r="216">
      <c r="A216" s="2" t="s">
        <v>2720</v>
      </c>
      <c r="B216" s="3" t="str">
        <f>C216 &amp; "." &amp; D216</f>
        <v>ProcedureVersions.HasGovernanceRecord</v>
      </c>
      <c r="C216" s="2" t="s">
        <v>1747</v>
      </c>
      <c r="D216" s="2" t="s">
        <v>407</v>
      </c>
      <c r="E216" s="2" t="s">
        <v>2389</v>
      </c>
      <c r="F216" s="2" t="s">
        <v>2401</v>
      </c>
      <c r="G216" s="2" t="s">
        <v>2721</v>
      </c>
      <c r="H216" s="2" t="s">
        <v>2032</v>
      </c>
      <c r="I216" s="3" t="b">
        <f>OR(E216 = "calculated", E216 = "lookup", E216 = "aggregation")</f>
        <v>1</v>
      </c>
      <c r="J216" s="3" t="b">
        <f>H216 &lt;&gt; ""</f>
        <v>1</v>
      </c>
      <c r="K216" s="3">
        <f>COUNTIFS(FieldDisagreements!D2:D999, A216)</f>
        <v>0</v>
      </c>
      <c r="L216" s="3" t="b">
        <f>K216 &gt; 0</f>
        <v>0</v>
      </c>
      <c r="M216" s="2" t="s">
        <v>2387</v>
      </c>
    </row>
    <row r="217">
      <c r="A217" s="2" t="s">
        <v>2722</v>
      </c>
      <c r="B217" s="3" t="str">
        <f>C217 &amp; "." &amp; D217</f>
        <v>ProcedureVersions.EvaluationContext</v>
      </c>
      <c r="C217" s="2" t="s">
        <v>1747</v>
      </c>
      <c r="D217" s="2" t="s">
        <v>258</v>
      </c>
      <c r="E217" s="2" t="s">
        <v>2434</v>
      </c>
      <c r="F217" s="2" t="s">
        <v>2386</v>
      </c>
      <c r="G217" s="2"/>
      <c r="H217" s="2"/>
      <c r="I217" s="3" t="b">
        <f>OR(E217 = "calculated", E217 = "lookup", E217 = "aggregation")</f>
        <v>0</v>
      </c>
      <c r="J217" s="3" t="b">
        <f>H217 &lt;&gt; ""</f>
        <v>0</v>
      </c>
      <c r="K217" s="3">
        <f>COUNTIFS(FieldDisagreements!D2:D999, A217)</f>
        <v>0</v>
      </c>
      <c r="L217" s="3" t="b">
        <f>K217 &gt; 0</f>
        <v>0</v>
      </c>
      <c r="M217" s="2" t="s">
        <v>2387</v>
      </c>
    </row>
    <row r="218">
      <c r="A218" s="2" t="s">
        <v>2723</v>
      </c>
      <c r="B218" s="3" t="str">
        <f>C218 &amp; "." &amp; D218</f>
        <v>ProcedureVersions.AsOfInstant</v>
      </c>
      <c r="C218" s="2" t="s">
        <v>1747</v>
      </c>
      <c r="D218" s="2" t="s">
        <v>92</v>
      </c>
      <c r="E218" s="2" t="s">
        <v>2478</v>
      </c>
      <c r="F218" s="2" t="s">
        <v>2397</v>
      </c>
      <c r="G218" s="2" t="s">
        <v>2524</v>
      </c>
      <c r="H218" s="2"/>
      <c r="I218" s="3" t="b">
        <f>OR(E218 = "calculated", E218 = "lookup", E218 = "aggregation")</f>
        <v>1</v>
      </c>
      <c r="J218" s="3" t="b">
        <f>H218 &lt;&gt; ""</f>
        <v>0</v>
      </c>
      <c r="K218" s="3">
        <f>COUNTIFS(FieldDisagreements!D2:D999, A218)</f>
        <v>1</v>
      </c>
      <c r="L218" s="3" t="b">
        <f>K218 &gt; 0</f>
        <v>1</v>
      </c>
      <c r="M218" s="2" t="s">
        <v>2387</v>
      </c>
    </row>
    <row r="219">
      <c r="A219" s="2" t="s">
        <v>2724</v>
      </c>
      <c r="B219" s="3" t="str">
        <f>C219 &amp; "." &amp; D219</f>
        <v>ProcedureVersions.DaysSinceModified</v>
      </c>
      <c r="C219" s="2" t="s">
        <v>1747</v>
      </c>
      <c r="D219" s="2" t="s">
        <v>408</v>
      </c>
      <c r="E219" s="2" t="s">
        <v>2389</v>
      </c>
      <c r="F219" s="2" t="s">
        <v>2439</v>
      </c>
      <c r="G219" s="2" t="s">
        <v>2725</v>
      </c>
      <c r="H219" s="2" t="s">
        <v>2032</v>
      </c>
      <c r="I219" s="3" t="b">
        <f>OR(E219 = "calculated", E219 = "lookup", E219 = "aggregation")</f>
        <v>1</v>
      </c>
      <c r="J219" s="3" t="b">
        <f>H219 &lt;&gt; ""</f>
        <v>1</v>
      </c>
      <c r="K219" s="3">
        <f>COUNTIFS(FieldDisagreements!D2:D999, A219)</f>
        <v>7</v>
      </c>
      <c r="L219" s="3" t="b">
        <f>K219 &gt; 0</f>
        <v>1</v>
      </c>
      <c r="M219" s="2" t="s">
        <v>2387</v>
      </c>
    </row>
    <row r="220">
      <c r="A220" s="2" t="s">
        <v>2726</v>
      </c>
      <c r="B220" s="3" t="str">
        <f>C220 &amp; "." &amp; D220</f>
        <v>ProcedureVersions.DaysSinceLastReview</v>
      </c>
      <c r="C220" s="2" t="s">
        <v>1747</v>
      </c>
      <c r="D220" s="2" t="s">
        <v>409</v>
      </c>
      <c r="E220" s="2" t="s">
        <v>2438</v>
      </c>
      <c r="F220" s="2" t="s">
        <v>2439</v>
      </c>
      <c r="G220" s="2" t="s">
        <v>2727</v>
      </c>
      <c r="H220" s="2" t="s">
        <v>2032</v>
      </c>
      <c r="I220" s="3" t="b">
        <f>OR(E220 = "calculated", E220 = "lookup", E220 = "aggregation")</f>
        <v>1</v>
      </c>
      <c r="J220" s="3" t="b">
        <f>H220 &lt;&gt; ""</f>
        <v>1</v>
      </c>
      <c r="K220" s="3">
        <f>COUNTIFS(FieldDisagreements!D2:D999, A220)</f>
        <v>2</v>
      </c>
      <c r="L220" s="3" t="b">
        <f>K220 &gt; 0</f>
        <v>1</v>
      </c>
      <c r="M220" s="2" t="s">
        <v>2387</v>
      </c>
    </row>
    <row r="221">
      <c r="A221" s="2" t="s">
        <v>2728</v>
      </c>
      <c r="B221" s="3" t="str">
        <f>C221 &amp; "." &amp; D221</f>
        <v>ProcedureVersions.WasModifiedSinceLastReview</v>
      </c>
      <c r="C221" s="2" t="s">
        <v>1747</v>
      </c>
      <c r="D221" s="2" t="s">
        <v>410</v>
      </c>
      <c r="E221" s="2" t="s">
        <v>2389</v>
      </c>
      <c r="F221" s="2" t="s">
        <v>2401</v>
      </c>
      <c r="G221" s="2" t="s">
        <v>2729</v>
      </c>
      <c r="H221" s="2" t="s">
        <v>2032</v>
      </c>
      <c r="I221" s="3" t="b">
        <f>OR(E221 = "calculated", E221 = "lookup", E221 = "aggregation")</f>
        <v>1</v>
      </c>
      <c r="J221" s="3" t="b">
        <f>H221 &lt;&gt; ""</f>
        <v>1</v>
      </c>
      <c r="K221" s="3">
        <f>COUNTIFS(FieldDisagreements!D2:D999, A221)</f>
        <v>7</v>
      </c>
      <c r="L221" s="3" t="b">
        <f>K221 &gt; 0</f>
        <v>1</v>
      </c>
      <c r="M221" s="2" t="s">
        <v>2387</v>
      </c>
    </row>
    <row r="222">
      <c r="A222" s="2" t="s">
        <v>2730</v>
      </c>
      <c r="B222" s="3" t="str">
        <f>C222 &amp; "." &amp; D222</f>
        <v>ProcedureVersions.ModifierIsAuthority</v>
      </c>
      <c r="C222" s="2" t="s">
        <v>1747</v>
      </c>
      <c r="D222" s="2" t="s">
        <v>411</v>
      </c>
      <c r="E222" s="2" t="s">
        <v>2478</v>
      </c>
      <c r="F222" s="2" t="s">
        <v>2386</v>
      </c>
      <c r="G222" s="2" t="s">
        <v>2731</v>
      </c>
      <c r="H222" s="2" t="s">
        <v>2032</v>
      </c>
      <c r="I222" s="3" t="b">
        <f>OR(E222 = "calculated", E222 = "lookup", E222 = "aggregation")</f>
        <v>1</v>
      </c>
      <c r="J222" s="3" t="b">
        <f>H222 &lt;&gt; ""</f>
        <v>1</v>
      </c>
      <c r="K222" s="3">
        <f>COUNTIFS(FieldDisagreements!D2:D999, A222)</f>
        <v>0</v>
      </c>
      <c r="L222" s="3" t="b">
        <f>K222 &gt; 0</f>
        <v>0</v>
      </c>
      <c r="M222" s="2" t="s">
        <v>2387</v>
      </c>
    </row>
    <row r="223">
      <c r="A223" s="2" t="s">
        <v>2732</v>
      </c>
      <c r="B223" s="3" t="str">
        <f>C223 &amp; "." &amp; D223</f>
        <v>ProcedureVersions.HasUnwitnessedChange</v>
      </c>
      <c r="C223" s="2" t="s">
        <v>1747</v>
      </c>
      <c r="D223" s="2" t="s">
        <v>412</v>
      </c>
      <c r="E223" s="2" t="s">
        <v>2389</v>
      </c>
      <c r="F223" s="2" t="s">
        <v>2401</v>
      </c>
      <c r="G223" s="2" t="s">
        <v>2733</v>
      </c>
      <c r="H223" s="2" t="s">
        <v>2032</v>
      </c>
      <c r="I223" s="3" t="b">
        <f>OR(E223 = "calculated", E223 = "lookup", E223 = "aggregation")</f>
        <v>1</v>
      </c>
      <c r="J223" s="3" t="b">
        <f>H223 &lt;&gt; ""</f>
        <v>1</v>
      </c>
      <c r="K223" s="3">
        <f>COUNTIFS(FieldDisagreements!D2:D999, A223)</f>
        <v>7</v>
      </c>
      <c r="L223" s="3" t="b">
        <f>K223 &gt; 0</f>
        <v>1</v>
      </c>
      <c r="M223" s="2" t="s">
        <v>2387</v>
      </c>
    </row>
    <row r="224">
      <c r="A224" s="2" t="s">
        <v>2734</v>
      </c>
      <c r="B224" s="3" t="str">
        <f>C224 &amp; "." &amp; D224</f>
        <v>ProcedureVersions.CountOfStaleFragments</v>
      </c>
      <c r="C224" s="2" t="s">
        <v>1747</v>
      </c>
      <c r="D224" s="2" t="s">
        <v>413</v>
      </c>
      <c r="E224" s="2" t="s">
        <v>2438</v>
      </c>
      <c r="F224" s="2" t="s">
        <v>2439</v>
      </c>
      <c r="G224" s="2" t="s">
        <v>2735</v>
      </c>
      <c r="H224" s="2" t="s">
        <v>2132</v>
      </c>
      <c r="I224" s="3" t="b">
        <f>OR(E224 = "calculated", E224 = "lookup", E224 = "aggregation")</f>
        <v>1</v>
      </c>
      <c r="J224" s="3" t="b">
        <f>H224 &lt;&gt; ""</f>
        <v>1</v>
      </c>
      <c r="K224" s="3">
        <f>COUNTIFS(FieldDisagreements!D2:D999, A224)</f>
        <v>0</v>
      </c>
      <c r="L224" s="3" t="b">
        <f>K224 &gt; 0</f>
        <v>0</v>
      </c>
      <c r="M224" s="2" t="s">
        <v>2387</v>
      </c>
    </row>
    <row r="225">
      <c r="A225" s="2" t="s">
        <v>2736</v>
      </c>
      <c r="B225" s="3" t="str">
        <f>C225 &amp; "." &amp; D225</f>
        <v>ProcedureVersions.KnowledgeIsStalerThanCadence</v>
      </c>
      <c r="C225" s="2" t="s">
        <v>1747</v>
      </c>
      <c r="D225" s="2" t="s">
        <v>414</v>
      </c>
      <c r="E225" s="2" t="s">
        <v>2389</v>
      </c>
      <c r="F225" s="2" t="s">
        <v>2401</v>
      </c>
      <c r="G225" s="2" t="s">
        <v>2737</v>
      </c>
      <c r="H225" s="2" t="s">
        <v>2132</v>
      </c>
      <c r="I225" s="3" t="b">
        <f>OR(E225 = "calculated", E225 = "lookup", E225 = "aggregation")</f>
        <v>1</v>
      </c>
      <c r="J225" s="3" t="b">
        <f>H225 &lt;&gt; ""</f>
        <v>1</v>
      </c>
      <c r="K225" s="3">
        <f>COUNTIFS(FieldDisagreements!D2:D999, A225)</f>
        <v>0</v>
      </c>
      <c r="L225" s="3" t="b">
        <f>K225 &gt; 0</f>
        <v>0</v>
      </c>
      <c r="M225" s="2" t="s">
        <v>2387</v>
      </c>
    </row>
    <row r="226">
      <c r="A226" s="2" t="s">
        <v>2738</v>
      </c>
      <c r="B226" s="3" t="str">
        <f>C226 &amp; "." &amp; D226</f>
        <v>ProcedureVersions.CompoundFragileFragmentCount</v>
      </c>
      <c r="C226" s="2" t="s">
        <v>1747</v>
      </c>
      <c r="D226" s="2" t="s">
        <v>415</v>
      </c>
      <c r="E226" s="2" t="s">
        <v>2438</v>
      </c>
      <c r="F226" s="2" t="s">
        <v>2444</v>
      </c>
      <c r="G226" s="2" t="s">
        <v>2739</v>
      </c>
      <c r="H226" s="2" t="s">
        <v>2176</v>
      </c>
      <c r="I226" s="3" t="b">
        <f>OR(E226 = "calculated", E226 = "lookup", E226 = "aggregation")</f>
        <v>1</v>
      </c>
      <c r="J226" s="3" t="b">
        <f>H226 &lt;&gt; ""</f>
        <v>1</v>
      </c>
      <c r="K226" s="3">
        <f>COUNTIFS(FieldDisagreements!D2:D999, A226)</f>
        <v>0</v>
      </c>
      <c r="L226" s="3" t="b">
        <f>K226 &gt; 0</f>
        <v>0</v>
      </c>
      <c r="M226" s="2" t="s">
        <v>2387</v>
      </c>
    </row>
    <row r="227">
      <c r="A227" s="2" t="s">
        <v>2740</v>
      </c>
      <c r="B227" s="3" t="str">
        <f>C227 &amp; "." &amp; D227</f>
        <v>ProcedureVersions.RestsOnCompoundFragileKnowledge</v>
      </c>
      <c r="C227" s="2" t="s">
        <v>1747</v>
      </c>
      <c r="D227" s="2" t="s">
        <v>416</v>
      </c>
      <c r="E227" s="2" t="s">
        <v>2389</v>
      </c>
      <c r="F227" s="2" t="s">
        <v>2401</v>
      </c>
      <c r="G227" s="2" t="s">
        <v>2741</v>
      </c>
      <c r="H227" s="2" t="s">
        <v>2176</v>
      </c>
      <c r="I227" s="3" t="b">
        <f>OR(E227 = "calculated", E227 = "lookup", E227 = "aggregation")</f>
        <v>1</v>
      </c>
      <c r="J227" s="3" t="b">
        <f>H227 &lt;&gt; ""</f>
        <v>1</v>
      </c>
      <c r="K227" s="3">
        <f>COUNTIFS(FieldDisagreements!D2:D999, A227)</f>
        <v>0</v>
      </c>
      <c r="L227" s="3" t="b">
        <f>K227 &gt; 0</f>
        <v>0</v>
      </c>
      <c r="M227" s="2" t="s">
        <v>2387</v>
      </c>
    </row>
    <row r="228">
      <c r="A228" s="2" t="s">
        <v>2742</v>
      </c>
      <c r="B228" s="3" t="str">
        <f>C228 &amp; "." &amp; D228</f>
        <v>ProcedureVersions.ConcentratedWitnessSessionCount</v>
      </c>
      <c r="C228" s="2" t="s">
        <v>1747</v>
      </c>
      <c r="D228" s="2" t="s">
        <v>417</v>
      </c>
      <c r="E228" s="2" t="s">
        <v>2438</v>
      </c>
      <c r="F228" s="2" t="s">
        <v>2444</v>
      </c>
      <c r="G228" s="2" t="s">
        <v>2743</v>
      </c>
      <c r="H228" s="2" t="s">
        <v>2184</v>
      </c>
      <c r="I228" s="3" t="b">
        <f>OR(E228 = "calculated", E228 = "lookup", E228 = "aggregation")</f>
        <v>1</v>
      </c>
      <c r="J228" s="3" t="b">
        <f>H228 &lt;&gt; ""</f>
        <v>1</v>
      </c>
      <c r="K228" s="3">
        <f>COUNTIFS(FieldDisagreements!D2:D999, A228)</f>
        <v>0</v>
      </c>
      <c r="L228" s="3" t="b">
        <f>K228 &gt; 0</f>
        <v>0</v>
      </c>
      <c r="M228" s="2" t="s">
        <v>2387</v>
      </c>
    </row>
    <row r="229">
      <c r="A229" s="2" t="s">
        <v>2744</v>
      </c>
      <c r="B229" s="3" t="str">
        <f>C229 &amp; "." &amp; D229</f>
        <v>ProcedureVersions.KnowledgeBaseIsConcentrated</v>
      </c>
      <c r="C229" s="2" t="s">
        <v>1747</v>
      </c>
      <c r="D229" s="2" t="s">
        <v>418</v>
      </c>
      <c r="E229" s="2" t="s">
        <v>2389</v>
      </c>
      <c r="F229" s="2" t="s">
        <v>2401</v>
      </c>
      <c r="G229" s="2" t="s">
        <v>2745</v>
      </c>
      <c r="H229" s="2" t="s">
        <v>2184</v>
      </c>
      <c r="I229" s="3" t="b">
        <f>OR(E229 = "calculated", E229 = "lookup", E229 = "aggregation")</f>
        <v>1</v>
      </c>
      <c r="J229" s="3" t="b">
        <f>H229 &lt;&gt; ""</f>
        <v>1</v>
      </c>
      <c r="K229" s="3">
        <f>COUNTIFS(FieldDisagreements!D2:D999, A229)</f>
        <v>0</v>
      </c>
      <c r="L229" s="3" t="b">
        <f>K229 &gt; 0</f>
        <v>0</v>
      </c>
      <c r="M229" s="2" t="s">
        <v>2387</v>
      </c>
    </row>
    <row r="230">
      <c r="A230" s="2" t="s">
        <v>2746</v>
      </c>
      <c r="B230" s="3" t="str">
        <f>C230 &amp; "." &amp; D230</f>
        <v>ProcedureVersions.MachineConsumedUnapprovedCount</v>
      </c>
      <c r="C230" s="2" t="s">
        <v>1747</v>
      </c>
      <c r="D230" s="2" t="s">
        <v>419</v>
      </c>
      <c r="E230" s="2" t="s">
        <v>2438</v>
      </c>
      <c r="F230" s="2" t="s">
        <v>2444</v>
      </c>
      <c r="G230" s="2" t="s">
        <v>2747</v>
      </c>
      <c r="H230" s="2" t="s">
        <v>2188</v>
      </c>
      <c r="I230" s="3" t="b">
        <f>OR(E230 = "calculated", E230 = "lookup", E230 = "aggregation")</f>
        <v>1</v>
      </c>
      <c r="J230" s="3" t="b">
        <f>H230 &lt;&gt; ""</f>
        <v>1</v>
      </c>
      <c r="K230" s="3">
        <f>COUNTIFS(FieldDisagreements!D2:D999, A230)</f>
        <v>0</v>
      </c>
      <c r="L230" s="3" t="b">
        <f>K230 &gt; 0</f>
        <v>0</v>
      </c>
      <c r="M230" s="2" t="s">
        <v>2387</v>
      </c>
    </row>
    <row r="231">
      <c r="A231" s="2" t="s">
        <v>2748</v>
      </c>
      <c r="B231" s="3" t="str">
        <f>C231 &amp; "." &amp; D231</f>
        <v>ProcedureVersions.FeedsUnapprovedKnowledgeToMachines</v>
      </c>
      <c r="C231" s="2" t="s">
        <v>1747</v>
      </c>
      <c r="D231" s="2" t="s">
        <v>420</v>
      </c>
      <c r="E231" s="2" t="s">
        <v>2389</v>
      </c>
      <c r="F231" s="2" t="s">
        <v>2401</v>
      </c>
      <c r="G231" s="2" t="s">
        <v>2749</v>
      </c>
      <c r="H231" s="2" t="s">
        <v>2188</v>
      </c>
      <c r="I231" s="3" t="b">
        <f>OR(E231 = "calculated", E231 = "lookup", E231 = "aggregation")</f>
        <v>1</v>
      </c>
      <c r="J231" s="3" t="b">
        <f>H231 &lt;&gt; ""</f>
        <v>1</v>
      </c>
      <c r="K231" s="3">
        <f>COUNTIFS(FieldDisagreements!D2:D999, A231)</f>
        <v>0</v>
      </c>
      <c r="L231" s="3" t="b">
        <f>K231 &gt; 0</f>
        <v>0</v>
      </c>
      <c r="M231" s="2" t="s">
        <v>2387</v>
      </c>
    </row>
    <row r="232">
      <c r="A232" s="2" t="s">
        <v>2750</v>
      </c>
      <c r="B232" s="3" t="str">
        <f>C232 &amp; "." &amp; D232</f>
        <v>ProcedureVersions.GenuinelyOverdueFragmentCount</v>
      </c>
      <c r="C232" s="2" t="s">
        <v>1747</v>
      </c>
      <c r="D232" s="2" t="s">
        <v>421</v>
      </c>
      <c r="E232" s="2" t="s">
        <v>2438</v>
      </c>
      <c r="F232" s="2" t="s">
        <v>2444</v>
      </c>
      <c r="G232" s="2" t="s">
        <v>2751</v>
      </c>
      <c r="H232" s="2" t="s">
        <v>2192</v>
      </c>
      <c r="I232" s="3" t="b">
        <f>OR(E232 = "calculated", E232 = "lookup", E232 = "aggregation")</f>
        <v>1</v>
      </c>
      <c r="J232" s="3" t="b">
        <f>H232 &lt;&gt; ""</f>
        <v>1</v>
      </c>
      <c r="K232" s="3">
        <f>COUNTIFS(FieldDisagreements!D2:D999, A232)</f>
        <v>0</v>
      </c>
      <c r="L232" s="3" t="b">
        <f>K232 &gt; 0</f>
        <v>0</v>
      </c>
      <c r="M232" s="2" t="s">
        <v>2387</v>
      </c>
    </row>
    <row r="233">
      <c r="A233" s="2" t="s">
        <v>2752</v>
      </c>
      <c r="B233" s="3" t="str">
        <f>C233 &amp; "." &amp; D233</f>
        <v>ProcedureVersions.AwaitedDecisionCount</v>
      </c>
      <c r="C233" s="2" t="s">
        <v>1747</v>
      </c>
      <c r="D233" s="2" t="s">
        <v>422</v>
      </c>
      <c r="E233" s="2" t="s">
        <v>2438</v>
      </c>
      <c r="F233" s="2" t="s">
        <v>2444</v>
      </c>
      <c r="G233" s="2" t="s">
        <v>2753</v>
      </c>
      <c r="H233" s="2" t="s">
        <v>2196</v>
      </c>
      <c r="I233" s="3" t="b">
        <f>OR(E233 = "calculated", E233 = "lookup", E233 = "aggregation")</f>
        <v>1</v>
      </c>
      <c r="J233" s="3" t="b">
        <f>H233 &lt;&gt; ""</f>
        <v>1</v>
      </c>
      <c r="K233" s="3">
        <f>COUNTIFS(FieldDisagreements!D2:D999, A233)</f>
        <v>0</v>
      </c>
      <c r="L233" s="3" t="b">
        <f>K233 &gt; 0</f>
        <v>0</v>
      </c>
      <c r="M233" s="2" t="s">
        <v>2387</v>
      </c>
    </row>
    <row r="234">
      <c r="A234" s="2" t="s">
        <v>2754</v>
      </c>
      <c r="B234" s="3" t="str">
        <f>C234 &amp; "." &amp; D234</f>
        <v>ProcedureVersions.ScopedOpenBlockingGapCount</v>
      </c>
      <c r="C234" s="2" t="s">
        <v>1747</v>
      </c>
      <c r="D234" s="2" t="s">
        <v>423</v>
      </c>
      <c r="E234" s="2" t="s">
        <v>2438</v>
      </c>
      <c r="F234" s="2" t="s">
        <v>2444</v>
      </c>
      <c r="G234" s="2" t="s">
        <v>2755</v>
      </c>
      <c r="H234" s="2" t="s">
        <v>2196</v>
      </c>
      <c r="I234" s="3" t="b">
        <f>OR(E234 = "calculated", E234 = "lookup", E234 = "aggregation")</f>
        <v>1</v>
      </c>
      <c r="J234" s="3" t="b">
        <f>H234 &lt;&gt; ""</f>
        <v>1</v>
      </c>
      <c r="K234" s="3">
        <f>COUNTIFS(FieldDisagreements!D2:D999, A234)</f>
        <v>0</v>
      </c>
      <c r="L234" s="3" t="b">
        <f>K234 &gt; 0</f>
        <v>0</v>
      </c>
      <c r="M234" s="2" t="s">
        <v>2387</v>
      </c>
    </row>
    <row r="235">
      <c r="A235" s="2" t="s">
        <v>2756</v>
      </c>
      <c r="B235" s="3" t="str">
        <f>C235 &amp; "." &amp; D235</f>
        <v>ProcedureVersions.IsBlockedOnPendingDecision</v>
      </c>
      <c r="C235" s="2" t="s">
        <v>1747</v>
      </c>
      <c r="D235" s="2" t="s">
        <v>424</v>
      </c>
      <c r="E235" s="2" t="s">
        <v>2389</v>
      </c>
      <c r="F235" s="2" t="s">
        <v>2401</v>
      </c>
      <c r="G235" s="2" t="s">
        <v>2757</v>
      </c>
      <c r="H235" s="2" t="s">
        <v>2196</v>
      </c>
      <c r="I235" s="3" t="b">
        <f>OR(E235 = "calculated", E235 = "lookup", E235 = "aggregation")</f>
        <v>1</v>
      </c>
      <c r="J235" s="3" t="b">
        <f>H235 &lt;&gt; ""</f>
        <v>1</v>
      </c>
      <c r="K235" s="3">
        <f>COUNTIFS(FieldDisagreements!D2:D999, A235)</f>
        <v>0</v>
      </c>
      <c r="L235" s="3" t="b">
        <f>K235 &gt; 0</f>
        <v>0</v>
      </c>
      <c r="M235" s="2" t="s">
        <v>2387</v>
      </c>
    </row>
    <row r="236">
      <c r="A236" s="2" t="s">
        <v>2758</v>
      </c>
      <c r="B236" s="3" t="str">
        <f>C236 &amp; "." &amp; D236</f>
        <v>ProcedureVersions.UnexercisedHumanGateCount</v>
      </c>
      <c r="C236" s="2" t="s">
        <v>1747</v>
      </c>
      <c r="D236" s="2" t="s">
        <v>425</v>
      </c>
      <c r="E236" s="2" t="s">
        <v>2438</v>
      </c>
      <c r="F236" s="2" t="s">
        <v>2444</v>
      </c>
      <c r="G236" s="2" t="s">
        <v>2759</v>
      </c>
      <c r="H236" s="2" t="s">
        <v>2200</v>
      </c>
      <c r="I236" s="3" t="b">
        <f>OR(E236 = "calculated", E236 = "lookup", E236 = "aggregation")</f>
        <v>1</v>
      </c>
      <c r="J236" s="3" t="b">
        <f>H236 &lt;&gt; ""</f>
        <v>1</v>
      </c>
      <c r="K236" s="3">
        <f>COUNTIFS(FieldDisagreements!D2:D999, A236)</f>
        <v>0</v>
      </c>
      <c r="L236" s="3" t="b">
        <f>K236 &gt; 0</f>
        <v>0</v>
      </c>
      <c r="M236" s="2" t="s">
        <v>2387</v>
      </c>
    </row>
    <row r="237">
      <c r="A237" s="2" t="s">
        <v>2760</v>
      </c>
      <c r="B237" s="3" t="str">
        <f>C237 &amp; "." &amp; D237</f>
        <v>ProcedureVersions.AiBoundaryIsUnevidenced</v>
      </c>
      <c r="C237" s="2" t="s">
        <v>1747</v>
      </c>
      <c r="D237" s="2" t="s">
        <v>426</v>
      </c>
      <c r="E237" s="2" t="s">
        <v>2389</v>
      </c>
      <c r="F237" s="2" t="s">
        <v>2401</v>
      </c>
      <c r="G237" s="2" t="s">
        <v>2761</v>
      </c>
      <c r="H237" s="2" t="s">
        <v>2200</v>
      </c>
      <c r="I237" s="3" t="b">
        <f>OR(E237 = "calculated", E237 = "lookup", E237 = "aggregation")</f>
        <v>1</v>
      </c>
      <c r="J237" s="3" t="b">
        <f>H237 &lt;&gt; ""</f>
        <v>1</v>
      </c>
      <c r="K237" s="3">
        <f>COUNTIFS(FieldDisagreements!D2:D999, A237)</f>
        <v>0</v>
      </c>
      <c r="L237" s="3" t="b">
        <f>K237 &gt; 0</f>
        <v>0</v>
      </c>
      <c r="M237" s="2" t="s">
        <v>2387</v>
      </c>
    </row>
    <row r="238">
      <c r="A238" s="2" t="s">
        <v>2762</v>
      </c>
      <c r="B238" s="3" t="str">
        <f>C238 &amp; "." &amp; D238</f>
        <v>ProcedureVersions.LoadBearingUnapprovedCount</v>
      </c>
      <c r="C238" s="2" t="s">
        <v>1747</v>
      </c>
      <c r="D238" s="2" t="s">
        <v>427</v>
      </c>
      <c r="E238" s="2" t="s">
        <v>2438</v>
      </c>
      <c r="F238" s="2" t="s">
        <v>2444</v>
      </c>
      <c r="G238" s="2" t="s">
        <v>2763</v>
      </c>
      <c r="H238" s="2" t="s">
        <v>2204</v>
      </c>
      <c r="I238" s="3" t="b">
        <f>OR(E238 = "calculated", E238 = "lookup", E238 = "aggregation")</f>
        <v>1</v>
      </c>
      <c r="J238" s="3" t="b">
        <f>H238 &lt;&gt; ""</f>
        <v>1</v>
      </c>
      <c r="K238" s="3">
        <f>COUNTIFS(FieldDisagreements!D2:D999, A238)</f>
        <v>0</v>
      </c>
      <c r="L238" s="3" t="b">
        <f>K238 &gt; 0</f>
        <v>0</v>
      </c>
      <c r="M238" s="2" t="s">
        <v>2387</v>
      </c>
    </row>
    <row r="239">
      <c r="A239" s="2" t="s">
        <v>2764</v>
      </c>
      <c r="B239" s="3" t="str">
        <f>C239 &amp; "." &amp; D239</f>
        <v>ProcedureVersions.UnlandedDecisionCount</v>
      </c>
      <c r="C239" s="2" t="s">
        <v>1747</v>
      </c>
      <c r="D239" s="2" t="s">
        <v>428</v>
      </c>
      <c r="E239" s="2" t="s">
        <v>2438</v>
      </c>
      <c r="F239" s="2" t="s">
        <v>2444</v>
      </c>
      <c r="G239" s="2" t="s">
        <v>2765</v>
      </c>
      <c r="H239" s="2" t="s">
        <v>2208</v>
      </c>
      <c r="I239" s="3" t="b">
        <f>OR(E239 = "calculated", E239 = "lookup", E239 = "aggregation")</f>
        <v>1</v>
      </c>
      <c r="J239" s="3" t="b">
        <f>H239 &lt;&gt; ""</f>
        <v>1</v>
      </c>
      <c r="K239" s="3">
        <f>COUNTIFS(FieldDisagreements!D2:D999, A239)</f>
        <v>0</v>
      </c>
      <c r="L239" s="3" t="b">
        <f>K239 &gt; 0</f>
        <v>0</v>
      </c>
      <c r="M239" s="2" t="s">
        <v>2387</v>
      </c>
    </row>
    <row r="240">
      <c r="A240" s="2" t="s">
        <v>2766</v>
      </c>
      <c r="B240" s="3" t="str">
        <f>C240 &amp; "." &amp; D240</f>
        <v>ProcedureVersions.UnrehearsedControlEntryCount</v>
      </c>
      <c r="C240" s="2" t="s">
        <v>1747</v>
      </c>
      <c r="D240" s="2" t="s">
        <v>429</v>
      </c>
      <c r="E240" s="2" t="s">
        <v>2438</v>
      </c>
      <c r="F240" s="2" t="s">
        <v>2444</v>
      </c>
      <c r="G240" s="2" t="s">
        <v>2767</v>
      </c>
      <c r="H240" s="2" t="s">
        <v>2216</v>
      </c>
      <c r="I240" s="3" t="b">
        <f>OR(E240 = "calculated", E240 = "lookup", E240 = "aggregation")</f>
        <v>1</v>
      </c>
      <c r="J240" s="3" t="b">
        <f>H240 &lt;&gt; ""</f>
        <v>1</v>
      </c>
      <c r="K240" s="3">
        <f>COUNTIFS(FieldDisagreements!D2:D999, A240)</f>
        <v>0</v>
      </c>
      <c r="L240" s="3" t="b">
        <f>K240 &gt; 0</f>
        <v>0</v>
      </c>
      <c r="M240" s="2" t="s">
        <v>2387</v>
      </c>
    </row>
    <row r="241">
      <c r="A241" s="2" t="s">
        <v>2768</v>
      </c>
      <c r="B241" s="3" t="str">
        <f>C241 &amp; "." &amp; D241</f>
        <v>ProcedureVersions.HasUnrehearsedControlEntry</v>
      </c>
      <c r="C241" s="2" t="s">
        <v>1747</v>
      </c>
      <c r="D241" s="2" t="s">
        <v>430</v>
      </c>
      <c r="E241" s="2" t="s">
        <v>2389</v>
      </c>
      <c r="F241" s="2" t="s">
        <v>2401</v>
      </c>
      <c r="G241" s="2" t="s">
        <v>2769</v>
      </c>
      <c r="H241" s="2" t="s">
        <v>2216</v>
      </c>
      <c r="I241" s="3" t="b">
        <f>OR(E241 = "calculated", E241 = "lookup", E241 = "aggregation")</f>
        <v>1</v>
      </c>
      <c r="J241" s="3" t="b">
        <f>H241 &lt;&gt; ""</f>
        <v>1</v>
      </c>
      <c r="K241" s="3">
        <f>COUNTIFS(FieldDisagreements!D2:D999, A241)</f>
        <v>0</v>
      </c>
      <c r="L241" s="3" t="b">
        <f>K241 &gt; 0</f>
        <v>0</v>
      </c>
      <c r="M241" s="2" t="s">
        <v>2387</v>
      </c>
    </row>
    <row r="242">
      <c r="A242" s="2" t="s">
        <v>2770</v>
      </c>
      <c r="B242" s="3" t="str">
        <f>C242 &amp; "." &amp; D242</f>
        <v>ProcedureVersions.IsLiveWithUnrehearsedControl</v>
      </c>
      <c r="C242" s="2" t="s">
        <v>1747</v>
      </c>
      <c r="D242" s="2" t="s">
        <v>431</v>
      </c>
      <c r="E242" s="2" t="s">
        <v>2389</v>
      </c>
      <c r="F242" s="2" t="s">
        <v>2401</v>
      </c>
      <c r="G242" s="2" t="s">
        <v>2771</v>
      </c>
      <c r="H242" s="2" t="s">
        <v>2216</v>
      </c>
      <c r="I242" s="3" t="b">
        <f>OR(E242 = "calculated", E242 = "lookup", E242 = "aggregation")</f>
        <v>1</v>
      </c>
      <c r="J242" s="3" t="b">
        <f>H242 &lt;&gt; ""</f>
        <v>1</v>
      </c>
      <c r="K242" s="3">
        <f>COUNTIFS(FieldDisagreements!D2:D999, A242)</f>
        <v>0</v>
      </c>
      <c r="L242" s="3" t="b">
        <f>K242 &gt; 0</f>
        <v>0</v>
      </c>
      <c r="M242" s="2" t="s">
        <v>2387</v>
      </c>
    </row>
    <row r="243">
      <c r="A243" s="2" t="s">
        <v>2772</v>
      </c>
      <c r="B243" s="3" t="str">
        <f>C243 &amp; "." &amp; D243</f>
        <v>ProcedureVersions.CadenceBreachCount</v>
      </c>
      <c r="C243" s="2" t="s">
        <v>1747</v>
      </c>
      <c r="D243" s="2" t="s">
        <v>432</v>
      </c>
      <c r="E243" s="2" t="s">
        <v>2438</v>
      </c>
      <c r="F243" s="2" t="s">
        <v>2444</v>
      </c>
      <c r="G243" s="2" t="s">
        <v>2773</v>
      </c>
      <c r="H243" s="2" t="s">
        <v>2220</v>
      </c>
      <c r="I243" s="3" t="b">
        <f>OR(E243 = "calculated", E243 = "lookup", E243 = "aggregation")</f>
        <v>1</v>
      </c>
      <c r="J243" s="3" t="b">
        <f>H243 &lt;&gt; ""</f>
        <v>1</v>
      </c>
      <c r="K243" s="3">
        <f>COUNTIFS(FieldDisagreements!D2:D999, A243)</f>
        <v>0</v>
      </c>
      <c r="L243" s="3" t="b">
        <f>K243 &gt; 0</f>
        <v>0</v>
      </c>
      <c r="M243" s="2" t="s">
        <v>2387</v>
      </c>
    </row>
    <row r="244">
      <c r="A244" s="2" t="s">
        <v>2774</v>
      </c>
      <c r="B244" s="3" t="str">
        <f>C244 &amp; "." &amp; D244</f>
        <v>ProcedureVersions.IsInCadenceBreach</v>
      </c>
      <c r="C244" s="2" t="s">
        <v>1747</v>
      </c>
      <c r="D244" s="2" t="s">
        <v>433</v>
      </c>
      <c r="E244" s="2" t="s">
        <v>2389</v>
      </c>
      <c r="F244" s="2" t="s">
        <v>2401</v>
      </c>
      <c r="G244" s="2" t="s">
        <v>2775</v>
      </c>
      <c r="H244" s="2" t="s">
        <v>2220</v>
      </c>
      <c r="I244" s="3" t="b">
        <f>OR(E244 = "calculated", E244 = "lookup", E244 = "aggregation")</f>
        <v>1</v>
      </c>
      <c r="J244" s="3" t="b">
        <f>H244 &lt;&gt; ""</f>
        <v>1</v>
      </c>
      <c r="K244" s="3">
        <f>COUNTIFS(FieldDisagreements!D2:D999, A244)</f>
        <v>0</v>
      </c>
      <c r="L244" s="3" t="b">
        <f>K244 &gt; 0</f>
        <v>0</v>
      </c>
      <c r="M244" s="2" t="s">
        <v>2387</v>
      </c>
    </row>
    <row r="245">
      <c r="A245" s="2" t="s">
        <v>2776</v>
      </c>
      <c r="B245" s="3" t="str">
        <f>C245 &amp; "." &amp; D245</f>
        <v>ProcedureVersions.HasDecisionInFlight</v>
      </c>
      <c r="C245" s="2" t="s">
        <v>1747</v>
      </c>
      <c r="D245" s="2" t="s">
        <v>434</v>
      </c>
      <c r="E245" s="2" t="s">
        <v>2389</v>
      </c>
      <c r="F245" s="2" t="s">
        <v>2401</v>
      </c>
      <c r="G245" s="2" t="s">
        <v>2777</v>
      </c>
      <c r="H245" s="2" t="s">
        <v>2220</v>
      </c>
      <c r="I245" s="3" t="b">
        <f>OR(E245 = "calculated", E245 = "lookup", E245 = "aggregation")</f>
        <v>1</v>
      </c>
      <c r="J245" s="3" t="b">
        <f>H245 &lt;&gt; ""</f>
        <v>1</v>
      </c>
      <c r="K245" s="3">
        <f>COUNTIFS(FieldDisagreements!D2:D999, A245)</f>
        <v>0</v>
      </c>
      <c r="L245" s="3" t="b">
        <f>K245 &gt; 0</f>
        <v>0</v>
      </c>
      <c r="M245" s="2" t="s">
        <v>2387</v>
      </c>
    </row>
    <row r="246">
      <c r="A246" s="2" t="s">
        <v>2778</v>
      </c>
      <c r="B246" s="3" t="str">
        <f>C246 &amp; "." &amp; D246</f>
        <v>ProcedureVersions.IsUnremediatedCadenceBreach</v>
      </c>
      <c r="C246" s="2" t="s">
        <v>1747</v>
      </c>
      <c r="D246" s="2" t="s">
        <v>435</v>
      </c>
      <c r="E246" s="2" t="s">
        <v>2389</v>
      </c>
      <c r="F246" s="2" t="s">
        <v>2401</v>
      </c>
      <c r="G246" s="2" t="s">
        <v>2779</v>
      </c>
      <c r="H246" s="2" t="s">
        <v>2220</v>
      </c>
      <c r="I246" s="3" t="b">
        <f>OR(E246 = "calculated", E246 = "lookup", E246 = "aggregation")</f>
        <v>1</v>
      </c>
      <c r="J246" s="3" t="b">
        <f>H246 &lt;&gt; ""</f>
        <v>1</v>
      </c>
      <c r="K246" s="3">
        <f>COUNTIFS(FieldDisagreements!D2:D999, A246)</f>
        <v>0</v>
      </c>
      <c r="L246" s="3" t="b">
        <f>K246 &gt; 0</f>
        <v>0</v>
      </c>
      <c r="M246" s="2" t="s">
        <v>2387</v>
      </c>
    </row>
    <row r="247">
      <c r="A247" s="2" t="s">
        <v>2780</v>
      </c>
      <c r="B247" s="3" t="str">
        <f>C247 &amp; "." &amp; D247</f>
        <v>ProcedureVersions.IsManagedCadenceBreach</v>
      </c>
      <c r="C247" s="2" t="s">
        <v>1747</v>
      </c>
      <c r="D247" s="2" t="s">
        <v>436</v>
      </c>
      <c r="E247" s="2" t="s">
        <v>2389</v>
      </c>
      <c r="F247" s="2" t="s">
        <v>2401</v>
      </c>
      <c r="G247" s="2" t="s">
        <v>2781</v>
      </c>
      <c r="H247" s="2" t="s">
        <v>2220</v>
      </c>
      <c r="I247" s="3" t="b">
        <f>OR(E247 = "calculated", E247 = "lookup", E247 = "aggregation")</f>
        <v>1</v>
      </c>
      <c r="J247" s="3" t="b">
        <f>H247 &lt;&gt; ""</f>
        <v>1</v>
      </c>
      <c r="K247" s="3">
        <f>COUNTIFS(FieldDisagreements!D2:D999, A247)</f>
        <v>0</v>
      </c>
      <c r="L247" s="3" t="b">
        <f>K247 &gt; 0</f>
        <v>0</v>
      </c>
      <c r="M247" s="2" t="s">
        <v>2387</v>
      </c>
    </row>
    <row r="248">
      <c r="A248" s="2" t="s">
        <v>2782</v>
      </c>
      <c r="B248" s="3" t="str">
        <f>C248 &amp; "." &amp; D248</f>
        <v>ProcedureVersions.GovernanceIsSilent</v>
      </c>
      <c r="C248" s="2" t="s">
        <v>1747</v>
      </c>
      <c r="D248" s="2" t="s">
        <v>437</v>
      </c>
      <c r="E248" s="2" t="s">
        <v>2389</v>
      </c>
      <c r="F248" s="2" t="s">
        <v>2401</v>
      </c>
      <c r="G248" s="2" t="s">
        <v>2783</v>
      </c>
      <c r="H248" s="2" t="s">
        <v>2220</v>
      </c>
      <c r="I248" s="3" t="b">
        <f>OR(E248 = "calculated", E248 = "lookup", E248 = "aggregation")</f>
        <v>1</v>
      </c>
      <c r="J248" s="3" t="b">
        <f>H248 &lt;&gt; ""</f>
        <v>1</v>
      </c>
      <c r="K248" s="3">
        <f>COUNTIFS(FieldDisagreements!D2:D999, A248)</f>
        <v>0</v>
      </c>
      <c r="L248" s="3" t="b">
        <f>K248 &gt; 0</f>
        <v>0</v>
      </c>
      <c r="M248" s="2" t="s">
        <v>2387</v>
      </c>
    </row>
    <row r="249">
      <c r="A249" s="2" t="s">
        <v>2784</v>
      </c>
      <c r="B249" s="3" t="str">
        <f>C249 &amp; "." &amp; D249</f>
        <v>ProcedureVersions.ValidFragmentCount</v>
      </c>
      <c r="C249" s="2" t="s">
        <v>1747</v>
      </c>
      <c r="D249" s="2" t="s">
        <v>438</v>
      </c>
      <c r="E249" s="2" t="s">
        <v>2438</v>
      </c>
      <c r="F249" s="2" t="s">
        <v>2444</v>
      </c>
      <c r="G249" s="2" t="s">
        <v>2785</v>
      </c>
      <c r="H249" s="2" t="s">
        <v>2224</v>
      </c>
      <c r="I249" s="3" t="b">
        <f>OR(E249 = "calculated", E249 = "lookup", E249 = "aggregation")</f>
        <v>1</v>
      </c>
      <c r="J249" s="3" t="b">
        <f>H249 &lt;&gt; ""</f>
        <v>1</v>
      </c>
      <c r="K249" s="3">
        <f>COUNTIFS(FieldDisagreements!D2:D999, A249)</f>
        <v>0</v>
      </c>
      <c r="L249" s="3" t="b">
        <f>K249 &gt; 0</f>
        <v>0</v>
      </c>
      <c r="M249" s="2" t="s">
        <v>2387</v>
      </c>
    </row>
    <row r="250">
      <c r="A250" s="2" t="s">
        <v>2786</v>
      </c>
      <c r="B250" s="3" t="str">
        <f>C250 &amp; "." &amp; D250</f>
        <v>ProcedureVersions.StillOwnsValidKnowledge</v>
      </c>
      <c r="C250" s="2" t="s">
        <v>1747</v>
      </c>
      <c r="D250" s="2" t="s">
        <v>439</v>
      </c>
      <c r="E250" s="2" t="s">
        <v>2389</v>
      </c>
      <c r="F250" s="2" t="s">
        <v>2401</v>
      </c>
      <c r="G250" s="2" t="s">
        <v>2787</v>
      </c>
      <c r="H250" s="2" t="s">
        <v>2224</v>
      </c>
      <c r="I250" s="3" t="b">
        <f>OR(E250 = "calculated", E250 = "lookup", E250 = "aggregation")</f>
        <v>1</v>
      </c>
      <c r="J250" s="3" t="b">
        <f>H250 &lt;&gt; ""</f>
        <v>1</v>
      </c>
      <c r="K250" s="3">
        <f>COUNTIFS(FieldDisagreements!D2:D999, A250)</f>
        <v>0</v>
      </c>
      <c r="L250" s="3" t="b">
        <f>K250 &gt; 0</f>
        <v>0</v>
      </c>
      <c r="M250" s="2" t="s">
        <v>2387</v>
      </c>
    </row>
    <row r="251">
      <c r="A251" s="2" t="s">
        <v>2788</v>
      </c>
      <c r="B251" s="3" t="str">
        <f>C251 &amp; "." &amp; D251</f>
        <v>ProcedureVersions.IncomingSupersessionCount</v>
      </c>
      <c r="C251" s="2" t="s">
        <v>1747</v>
      </c>
      <c r="D251" s="2" t="s">
        <v>440</v>
      </c>
      <c r="E251" s="2" t="s">
        <v>2438</v>
      </c>
      <c r="F251" s="2" t="s">
        <v>2444</v>
      </c>
      <c r="G251" s="2" t="s">
        <v>2789</v>
      </c>
      <c r="H251" s="2" t="s">
        <v>2224</v>
      </c>
      <c r="I251" s="3" t="b">
        <f>OR(E251 = "calculated", E251 = "lookup", E251 = "aggregation")</f>
        <v>1</v>
      </c>
      <c r="J251" s="3" t="b">
        <f>H251 &lt;&gt; ""</f>
        <v>1</v>
      </c>
      <c r="K251" s="3">
        <f>COUNTIFS(FieldDisagreements!D2:D999, A251)</f>
        <v>1</v>
      </c>
      <c r="L251" s="3" t="b">
        <f>K251 &gt; 0</f>
        <v>1</v>
      </c>
      <c r="M251" s="2" t="s">
        <v>2387</v>
      </c>
    </row>
    <row r="252">
      <c r="A252" s="2" t="s">
        <v>2790</v>
      </c>
      <c r="B252" s="3" t="str">
        <f>C252 &amp; "." &amp; D252</f>
        <v>ProcedureVersions.IsStillReferenced</v>
      </c>
      <c r="C252" s="2" t="s">
        <v>1747</v>
      </c>
      <c r="D252" s="2" t="s">
        <v>441</v>
      </c>
      <c r="E252" s="2" t="s">
        <v>2389</v>
      </c>
      <c r="F252" s="2" t="s">
        <v>2401</v>
      </c>
      <c r="G252" s="2" t="s">
        <v>2791</v>
      </c>
      <c r="H252" s="2" t="s">
        <v>2224</v>
      </c>
      <c r="I252" s="3" t="b">
        <f>OR(E252 = "calculated", E252 = "lookup", E252 = "aggregation")</f>
        <v>1</v>
      </c>
      <c r="J252" s="3" t="b">
        <f>H252 &lt;&gt; ""</f>
        <v>1</v>
      </c>
      <c r="K252" s="3">
        <f>COUNTIFS(FieldDisagreements!D2:D999, A252)</f>
        <v>1</v>
      </c>
      <c r="L252" s="3" t="b">
        <f>K252 &gt; 0</f>
        <v>1</v>
      </c>
      <c r="M252" s="2" t="s">
        <v>2387</v>
      </c>
    </row>
    <row r="253">
      <c r="A253" s="2" t="s">
        <v>2792</v>
      </c>
      <c r="B253" s="3" t="str">
        <f>C253 &amp; "." &amp; D253</f>
        <v>ProcedureVersions.IsLoadBearingOrphan</v>
      </c>
      <c r="C253" s="2" t="s">
        <v>1747</v>
      </c>
      <c r="D253" s="2" t="s">
        <v>442</v>
      </c>
      <c r="E253" s="2" t="s">
        <v>2389</v>
      </c>
      <c r="F253" s="2" t="s">
        <v>2401</v>
      </c>
      <c r="G253" s="2" t="s">
        <v>2793</v>
      </c>
      <c r="H253" s="2" t="s">
        <v>2224</v>
      </c>
      <c r="I253" s="3" t="b">
        <f>OR(E253 = "calculated", E253 = "lookup", E253 = "aggregation")</f>
        <v>1</v>
      </c>
      <c r="J253" s="3" t="b">
        <f>H253 &lt;&gt; ""</f>
        <v>1</v>
      </c>
      <c r="K253" s="3">
        <f>COUNTIFS(FieldDisagreements!D2:D999, A253)</f>
        <v>1</v>
      </c>
      <c r="L253" s="3" t="b">
        <f>K253 &gt; 0</f>
        <v>1</v>
      </c>
      <c r="M253" s="2" t="s">
        <v>2387</v>
      </c>
    </row>
    <row r="254">
      <c r="A254" s="2" t="s">
        <v>2794</v>
      </c>
      <c r="B254" s="3" t="str">
        <f>C254 &amp; "." &amp; D254</f>
        <v>ProcedureVersions.IsCleanlyRetired</v>
      </c>
      <c r="C254" s="2" t="s">
        <v>1747</v>
      </c>
      <c r="D254" s="2" t="s">
        <v>443</v>
      </c>
      <c r="E254" s="2" t="s">
        <v>2389</v>
      </c>
      <c r="F254" s="2" t="s">
        <v>2401</v>
      </c>
      <c r="G254" s="2" t="s">
        <v>2795</v>
      </c>
      <c r="H254" s="2" t="s">
        <v>2224</v>
      </c>
      <c r="I254" s="3" t="b">
        <f>OR(E254 = "calculated", E254 = "lookup", E254 = "aggregation")</f>
        <v>1</v>
      </c>
      <c r="J254" s="3" t="b">
        <f>H254 &lt;&gt; ""</f>
        <v>1</v>
      </c>
      <c r="K254" s="3">
        <f>COUNTIFS(FieldDisagreements!D2:D999, A254)</f>
        <v>1</v>
      </c>
      <c r="L254" s="3" t="b">
        <f>K254 &gt; 0</f>
        <v>1</v>
      </c>
      <c r="M254" s="2" t="s">
        <v>2387</v>
      </c>
    </row>
    <row r="255">
      <c r="A255" s="2" t="s">
        <v>2796</v>
      </c>
      <c r="B255" s="3" t="str">
        <f>C255 &amp; "." &amp; D255</f>
        <v>ProcedureVersions.StalledImplementationCount</v>
      </c>
      <c r="C255" s="2" t="s">
        <v>1747</v>
      </c>
      <c r="D255" s="2" t="s">
        <v>444</v>
      </c>
      <c r="E255" s="2" t="s">
        <v>2438</v>
      </c>
      <c r="F255" s="2" t="s">
        <v>2444</v>
      </c>
      <c r="G255" s="2" t="s">
        <v>2797</v>
      </c>
      <c r="H255" s="2" t="s">
        <v>2228</v>
      </c>
      <c r="I255" s="3" t="b">
        <f>OR(E255 = "calculated", E255 = "lookup", E255 = "aggregation")</f>
        <v>1</v>
      </c>
      <c r="J255" s="3" t="b">
        <f>H255 &lt;&gt; ""</f>
        <v>1</v>
      </c>
      <c r="K255" s="3">
        <f>COUNTIFS(FieldDisagreements!D2:D999, A255)</f>
        <v>0</v>
      </c>
      <c r="L255" s="3" t="b">
        <f>K255 &gt; 0</f>
        <v>0</v>
      </c>
      <c r="M255" s="2" t="s">
        <v>2387</v>
      </c>
    </row>
    <row r="256">
      <c r="A256" s="2" t="s">
        <v>2798</v>
      </c>
      <c r="B256" s="3" t="str">
        <f>C256 &amp; "." &amp; D256</f>
        <v>ProcedureVersions.IsHeldUnfitByLandedDecisions</v>
      </c>
      <c r="C256" s="2" t="s">
        <v>1747</v>
      </c>
      <c r="D256" s="2" t="s">
        <v>445</v>
      </c>
      <c r="E256" s="2" t="s">
        <v>2389</v>
      </c>
      <c r="F256" s="2" t="s">
        <v>2401</v>
      </c>
      <c r="G256" s="2" t="s">
        <v>2799</v>
      </c>
      <c r="H256" s="2" t="s">
        <v>2228</v>
      </c>
      <c r="I256" s="3" t="b">
        <f>OR(E256 = "calculated", E256 = "lookup", E256 = "aggregation")</f>
        <v>1</v>
      </c>
      <c r="J256" s="3" t="b">
        <f>H256 &lt;&gt; ""</f>
        <v>1</v>
      </c>
      <c r="K256" s="3">
        <f>COUNTIFS(FieldDisagreements!D2:D999, A256)</f>
        <v>0</v>
      </c>
      <c r="L256" s="3" t="b">
        <f>K256 &gt; 0</f>
        <v>0</v>
      </c>
      <c r="M256" s="2" t="s">
        <v>2387</v>
      </c>
    </row>
    <row r="257">
      <c r="A257" s="2" t="s">
        <v>2800</v>
      </c>
      <c r="B257" s="3" t="str">
        <f>C257 &amp; "." &amp; D257</f>
        <v>ProcedureVersions.UndeclaredControlKindCount</v>
      </c>
      <c r="C257" s="2" t="s">
        <v>1747</v>
      </c>
      <c r="D257" s="2" t="s">
        <v>446</v>
      </c>
      <c r="E257" s="2" t="s">
        <v>2438</v>
      </c>
      <c r="F257" s="2" t="s">
        <v>2444</v>
      </c>
      <c r="G257" s="2" t="s">
        <v>2801</v>
      </c>
      <c r="H257" s="2" t="s">
        <v>2232</v>
      </c>
      <c r="I257" s="3" t="b">
        <f>OR(E257 = "calculated", E257 = "lookup", E257 = "aggregation")</f>
        <v>1</v>
      </c>
      <c r="J257" s="3" t="b">
        <f>H257 &lt;&gt; ""</f>
        <v>1</v>
      </c>
      <c r="K257" s="3">
        <f>COUNTIFS(FieldDisagreements!D2:D999, A257)</f>
        <v>0</v>
      </c>
      <c r="L257" s="3" t="b">
        <f>K257 &gt; 0</f>
        <v>0</v>
      </c>
      <c r="M257" s="2" t="s">
        <v>2387</v>
      </c>
    </row>
    <row r="258">
      <c r="A258" s="2" t="s">
        <v>2802</v>
      </c>
      <c r="B258" s="3" t="str">
        <f>C258 &amp; "." &amp; D258</f>
        <v>ProcedureVersions.ControlTaxonomyIsIncomplete</v>
      </c>
      <c r="C258" s="2" t="s">
        <v>1747</v>
      </c>
      <c r="D258" s="2" t="s">
        <v>447</v>
      </c>
      <c r="E258" s="2" t="s">
        <v>2389</v>
      </c>
      <c r="F258" s="2" t="s">
        <v>2401</v>
      </c>
      <c r="G258" s="2" t="s">
        <v>2803</v>
      </c>
      <c r="H258" s="2" t="s">
        <v>2232</v>
      </c>
      <c r="I258" s="3" t="b">
        <f>OR(E258 = "calculated", E258 = "lookup", E258 = "aggregation")</f>
        <v>1</v>
      </c>
      <c r="J258" s="3" t="b">
        <f>H258 &lt;&gt; ""</f>
        <v>1</v>
      </c>
      <c r="K258" s="3">
        <f>COUNTIFS(FieldDisagreements!D2:D999, A258)</f>
        <v>0</v>
      </c>
      <c r="L258" s="3" t="b">
        <f>K258 &gt; 0</f>
        <v>0</v>
      </c>
      <c r="M258" s="2" t="s">
        <v>2387</v>
      </c>
    </row>
    <row r="259">
      <c r="A259" s="2" t="s">
        <v>2804</v>
      </c>
      <c r="B259" s="3" t="str">
        <f>C259 &amp; "." &amp; D259</f>
        <v>ProcedureVersions.HasApprovedChangeRequest</v>
      </c>
      <c r="C259" s="2" t="s">
        <v>1747</v>
      </c>
      <c r="D259" s="2" t="s">
        <v>448</v>
      </c>
      <c r="E259" s="2" t="s">
        <v>2389</v>
      </c>
      <c r="F259" s="2" t="s">
        <v>2401</v>
      </c>
      <c r="G259" s="2" t="s">
        <v>2805</v>
      </c>
      <c r="H259" s="2" t="s">
        <v>2272</v>
      </c>
      <c r="I259" s="3" t="b">
        <f>OR(E259 = "calculated", E259 = "lookup", E259 = "aggregation")</f>
        <v>1</v>
      </c>
      <c r="J259" s="3" t="b">
        <f>H259 &lt;&gt; ""</f>
        <v>1</v>
      </c>
      <c r="K259" s="3">
        <f>COUNTIFS(FieldDisagreements!D2:D999, A259)</f>
        <v>0</v>
      </c>
      <c r="L259" s="3" t="b">
        <f>K259 &gt; 0</f>
        <v>0</v>
      </c>
      <c r="M259" s="2" t="s">
        <v>2387</v>
      </c>
    </row>
    <row r="260">
      <c r="A260" s="2" t="s">
        <v>2806</v>
      </c>
      <c r="B260" s="3" t="str">
        <f>C260 &amp; "." &amp; D260</f>
        <v>ProcedureVersions.ApprovedChangeRequestCount</v>
      </c>
      <c r="C260" s="2" t="s">
        <v>1747</v>
      </c>
      <c r="D260" s="2" t="s">
        <v>449</v>
      </c>
      <c r="E260" s="2" t="s">
        <v>2438</v>
      </c>
      <c r="F260" s="2" t="s">
        <v>2444</v>
      </c>
      <c r="G260" s="2" t="s">
        <v>2807</v>
      </c>
      <c r="H260" s="2" t="s">
        <v>2272</v>
      </c>
      <c r="I260" s="3" t="b">
        <f>OR(E260 = "calculated", E260 = "lookup", E260 = "aggregation")</f>
        <v>1</v>
      </c>
      <c r="J260" s="3" t="b">
        <f>H260 &lt;&gt; ""</f>
        <v>1</v>
      </c>
      <c r="K260" s="3">
        <f>COUNTIFS(FieldDisagreements!D2:D999, A260)</f>
        <v>0</v>
      </c>
      <c r="L260" s="3" t="b">
        <f>K260 &gt; 0</f>
        <v>0</v>
      </c>
      <c r="M260" s="2" t="s">
        <v>2387</v>
      </c>
    </row>
    <row r="261">
      <c r="A261" s="2" t="s">
        <v>2808</v>
      </c>
      <c r="B261" s="3" t="str">
        <f>C261 &amp; "." &amp; D261</f>
        <v>ProcedureVersions.UnwatchedUnownedControlCount</v>
      </c>
      <c r="C261" s="2" t="s">
        <v>1747</v>
      </c>
      <c r="D261" s="2" t="s">
        <v>450</v>
      </c>
      <c r="E261" s="2" t="s">
        <v>2438</v>
      </c>
      <c r="F261" s="2" t="s">
        <v>2444</v>
      </c>
      <c r="G261" s="2" t="s">
        <v>2809</v>
      </c>
      <c r="H261" s="2" t="s">
        <v>2288</v>
      </c>
      <c r="I261" s="3" t="b">
        <f>OR(E261 = "calculated", E261 = "lookup", E261 = "aggregation")</f>
        <v>1</v>
      </c>
      <c r="J261" s="3" t="b">
        <f>H261 &lt;&gt; ""</f>
        <v>1</v>
      </c>
      <c r="K261" s="3">
        <f>COUNTIFS(FieldDisagreements!D2:D999, A261)</f>
        <v>0</v>
      </c>
      <c r="L261" s="3" t="b">
        <f>K261 &gt; 0</f>
        <v>0</v>
      </c>
      <c r="M261" s="2" t="s">
        <v>2387</v>
      </c>
    </row>
    <row r="262">
      <c r="A262" s="2" t="s">
        <v>2810</v>
      </c>
      <c r="B262" s="3" t="str">
        <f>C262 &amp; "." &amp; D262</f>
        <v>ProcedureVersions.MiningRunCount</v>
      </c>
      <c r="C262" s="2" t="s">
        <v>1747</v>
      </c>
      <c r="D262" s="2" t="s">
        <v>451</v>
      </c>
      <c r="E262" s="2" t="s">
        <v>2438</v>
      </c>
      <c r="F262" s="2" t="s">
        <v>2444</v>
      </c>
      <c r="G262" s="2" t="s">
        <v>2811</v>
      </c>
      <c r="H262" s="2" t="s">
        <v>2356</v>
      </c>
      <c r="I262" s="3" t="b">
        <f>OR(E262 = "calculated", E262 = "lookup", E262 = "aggregation")</f>
        <v>1</v>
      </c>
      <c r="J262" s="3" t="b">
        <f>H262 &lt;&gt; ""</f>
        <v>1</v>
      </c>
      <c r="K262" s="3">
        <f>COUNTIFS(FieldDisagreements!D2:D999, A262)</f>
        <v>0</v>
      </c>
      <c r="L262" s="3" t="b">
        <f>K262 &gt; 0</f>
        <v>0</v>
      </c>
      <c r="M262" s="2" t="s">
        <v>2387</v>
      </c>
    </row>
    <row r="263">
      <c r="A263" s="2" t="s">
        <v>2812</v>
      </c>
      <c r="B263" s="3" t="str">
        <f>C263 &amp; "." &amp; D263</f>
        <v>ProcedureVersions.DriftedMiningRunCount</v>
      </c>
      <c r="C263" s="2" t="s">
        <v>1747</v>
      </c>
      <c r="D263" s="2" t="s">
        <v>452</v>
      </c>
      <c r="E263" s="2" t="s">
        <v>2438</v>
      </c>
      <c r="F263" s="2" t="s">
        <v>2444</v>
      </c>
      <c r="G263" s="2" t="s">
        <v>2813</v>
      </c>
      <c r="H263" s="2" t="s">
        <v>2356</v>
      </c>
      <c r="I263" s="3" t="b">
        <f>OR(E263 = "calculated", E263 = "lookup", E263 = "aggregation")</f>
        <v>1</v>
      </c>
      <c r="J263" s="3" t="b">
        <f>H263 &lt;&gt; ""</f>
        <v>1</v>
      </c>
      <c r="K263" s="3">
        <f>COUNTIFS(FieldDisagreements!D2:D999, A263)</f>
        <v>0</v>
      </c>
      <c r="L263" s="3" t="b">
        <f>K263 &gt; 0</f>
        <v>0</v>
      </c>
      <c r="M263" s="2" t="s">
        <v>2387</v>
      </c>
    </row>
    <row r="264">
      <c r="A264" s="2" t="s">
        <v>2814</v>
      </c>
      <c r="B264" s="3" t="str">
        <f>C264 &amp; "." &amp; D264</f>
        <v>ProcedureVersions.HasUnresolvedMiningDrift</v>
      </c>
      <c r="C264" s="2" t="s">
        <v>1747</v>
      </c>
      <c r="D264" s="2" t="s">
        <v>453</v>
      </c>
      <c r="E264" s="2" t="s">
        <v>2389</v>
      </c>
      <c r="F264" s="2" t="s">
        <v>2401</v>
      </c>
      <c r="G264" s="2" t="s">
        <v>2815</v>
      </c>
      <c r="H264" s="2" t="s">
        <v>2356</v>
      </c>
      <c r="I264" s="3" t="b">
        <f>OR(E264 = "calculated", E264 = "lookup", E264 = "aggregation")</f>
        <v>1</v>
      </c>
      <c r="J264" s="3" t="b">
        <f>H264 &lt;&gt; ""</f>
        <v>1</v>
      </c>
      <c r="K264" s="3">
        <f>COUNTIFS(FieldDisagreements!D2:D999, A264)</f>
        <v>0</v>
      </c>
      <c r="L264" s="3" t="b">
        <f>K264 &gt; 0</f>
        <v>0</v>
      </c>
      <c r="M264" s="2" t="s">
        <v>2387</v>
      </c>
    </row>
    <row r="265">
      <c r="A265" s="2" t="s">
        <v>2816</v>
      </c>
      <c r="B265" s="3" t="str">
        <f>C265 &amp; "." &amp; D265</f>
        <v>ProcedureVersions.SemanticTypeIri</v>
      </c>
      <c r="C265" s="2" t="s">
        <v>1747</v>
      </c>
      <c r="D265" s="2" t="s">
        <v>94</v>
      </c>
      <c r="E265" s="2" t="s">
        <v>2385</v>
      </c>
      <c r="F265" s="2" t="s">
        <v>2386</v>
      </c>
      <c r="G265" s="2"/>
      <c r="H265" s="2"/>
      <c r="I265" s="3" t="b">
        <f>OR(E265 = "calculated", E265 = "lookup", E265 = "aggregation")</f>
        <v>0</v>
      </c>
      <c r="J265" s="3" t="b">
        <f>H265 &lt;&gt; ""</f>
        <v>0</v>
      </c>
      <c r="K265" s="3">
        <f>COUNTIFS(FieldDisagreements!D2:D999, A265)</f>
        <v>0</v>
      </c>
      <c r="L265" s="3" t="b">
        <f>K265 &gt; 0</f>
        <v>0</v>
      </c>
      <c r="M265" s="2" t="s">
        <v>2387</v>
      </c>
    </row>
    <row r="266">
      <c r="A266" s="2" t="s">
        <v>2817</v>
      </c>
      <c r="B266" s="3" t="str">
        <f>C266 &amp; "." &amp; D266</f>
        <v>ProcedureVersionLinks.ProcedureVersionLinkId</v>
      </c>
      <c r="C266" s="2" t="s">
        <v>2818</v>
      </c>
      <c r="D266" s="2" t="s">
        <v>467</v>
      </c>
      <c r="E266" s="2" t="s">
        <v>2385</v>
      </c>
      <c r="F266" s="2" t="s">
        <v>2386</v>
      </c>
      <c r="G266" s="2"/>
      <c r="H266" s="2"/>
      <c r="I266" s="3" t="b">
        <f>OR(E266 = "calculated", E266 = "lookup", E266 = "aggregation")</f>
        <v>0</v>
      </c>
      <c r="J266" s="3" t="b">
        <f>H266 &lt;&gt; ""</f>
        <v>0</v>
      </c>
      <c r="K266" s="3">
        <f>COUNTIFS(FieldDisagreements!D2:D999, A266)</f>
        <v>0</v>
      </c>
      <c r="L266" s="3" t="b">
        <f>K266 &gt; 0</f>
        <v>0</v>
      </c>
      <c r="M266" s="2" t="s">
        <v>2387</v>
      </c>
    </row>
    <row r="267">
      <c r="A267" s="2" t="s">
        <v>2819</v>
      </c>
      <c r="B267" s="3" t="str">
        <f>C267 &amp; "." &amp; D267</f>
        <v>ProcedureVersionLinks.Name</v>
      </c>
      <c r="C267" s="2" t="s">
        <v>2818</v>
      </c>
      <c r="D267" s="2" t="s">
        <v>1</v>
      </c>
      <c r="E267" s="2" t="s">
        <v>2389</v>
      </c>
      <c r="F267" s="2" t="s">
        <v>2386</v>
      </c>
      <c r="G267" s="2" t="s">
        <v>2820</v>
      </c>
      <c r="H267" s="2"/>
      <c r="I267" s="3" t="b">
        <f>OR(E267 = "calculated", E267 = "lookup", E267 = "aggregation")</f>
        <v>1</v>
      </c>
      <c r="J267" s="3" t="b">
        <f>H267 &lt;&gt; ""</f>
        <v>0</v>
      </c>
      <c r="K267" s="3">
        <f>COUNTIFS(FieldDisagreements!D2:D999, A267)</f>
        <v>0</v>
      </c>
      <c r="L267" s="3" t="b">
        <f>K267 &gt; 0</f>
        <v>0</v>
      </c>
      <c r="M267" s="2" t="s">
        <v>2387</v>
      </c>
    </row>
    <row r="268">
      <c r="A268" s="2" t="s">
        <v>2821</v>
      </c>
      <c r="B268" s="3" t="str">
        <f>C268 &amp; "." &amp; D268</f>
        <v>ProcedureVersionLinks.PreviousProcedureVersion</v>
      </c>
      <c r="C268" s="2" t="s">
        <v>2818</v>
      </c>
      <c r="D268" s="2" t="s">
        <v>468</v>
      </c>
      <c r="E268" s="2" t="s">
        <v>2434</v>
      </c>
      <c r="F268" s="2" t="s">
        <v>2386</v>
      </c>
      <c r="G268" s="2"/>
      <c r="H268" s="2"/>
      <c r="I268" s="3" t="b">
        <f>OR(E268 = "calculated", E268 = "lookup", E268 = "aggregation")</f>
        <v>0</v>
      </c>
      <c r="J268" s="3" t="b">
        <f>H268 &lt;&gt; ""</f>
        <v>0</v>
      </c>
      <c r="K268" s="3">
        <f>COUNTIFS(FieldDisagreements!D2:D999, A268)</f>
        <v>0</v>
      </c>
      <c r="L268" s="3" t="b">
        <f>K268 &gt; 0</f>
        <v>0</v>
      </c>
      <c r="M268" s="2" t="s">
        <v>2387</v>
      </c>
    </row>
    <row r="269">
      <c r="A269" s="2" t="s">
        <v>2822</v>
      </c>
      <c r="B269" s="3" t="str">
        <f>C269 &amp; "." &amp; D269</f>
        <v>ProcedureVersionLinks.NextProcedureVersion</v>
      </c>
      <c r="C269" s="2" t="s">
        <v>2818</v>
      </c>
      <c r="D269" s="2" t="s">
        <v>469</v>
      </c>
      <c r="E269" s="2" t="s">
        <v>2434</v>
      </c>
      <c r="F269" s="2" t="s">
        <v>2386</v>
      </c>
      <c r="G269" s="2"/>
      <c r="H269" s="2"/>
      <c r="I269" s="3" t="b">
        <f>OR(E269 = "calculated", E269 = "lookup", E269 = "aggregation")</f>
        <v>0</v>
      </c>
      <c r="J269" s="3" t="b">
        <f>H269 &lt;&gt; ""</f>
        <v>0</v>
      </c>
      <c r="K269" s="3">
        <f>COUNTIFS(FieldDisagreements!D2:D999, A269)</f>
        <v>0</v>
      </c>
      <c r="L269" s="3" t="b">
        <f>K269 &gt; 0</f>
        <v>0</v>
      </c>
      <c r="M269" s="2" t="s">
        <v>2387</v>
      </c>
    </row>
    <row r="270">
      <c r="A270" s="2" t="s">
        <v>2823</v>
      </c>
      <c r="B270" s="3" t="str">
        <f>C270 &amp; "." &amp; D270</f>
        <v>ProcedureVersionLinks.RelationIri</v>
      </c>
      <c r="C270" s="2" t="s">
        <v>2818</v>
      </c>
      <c r="D270" s="2" t="s">
        <v>470</v>
      </c>
      <c r="E270" s="2" t="s">
        <v>2385</v>
      </c>
      <c r="F270" s="2" t="s">
        <v>2386</v>
      </c>
      <c r="G270" s="2"/>
      <c r="H270" s="2"/>
      <c r="I270" s="3" t="b">
        <f>OR(E270 = "calculated", E270 = "lookup", E270 = "aggregation")</f>
        <v>0</v>
      </c>
      <c r="J270" s="3" t="b">
        <f>H270 &lt;&gt; ""</f>
        <v>0</v>
      </c>
      <c r="K270" s="3">
        <f>COUNTIFS(FieldDisagreements!D2:D999, A270)</f>
        <v>0</v>
      </c>
      <c r="L270" s="3" t="b">
        <f>K270 &gt; 0</f>
        <v>0</v>
      </c>
      <c r="M270" s="2" t="s">
        <v>2387</v>
      </c>
    </row>
    <row r="271">
      <c r="A271" s="2" t="s">
        <v>2824</v>
      </c>
      <c r="B271" s="3" t="str">
        <f>C271 &amp; "." &amp; D271</f>
        <v>ProcedureVersionLinks.ChangeSummary</v>
      </c>
      <c r="C271" s="2" t="s">
        <v>2818</v>
      </c>
      <c r="D271" s="2" t="s">
        <v>471</v>
      </c>
      <c r="E271" s="2" t="s">
        <v>2385</v>
      </c>
      <c r="F271" s="2" t="s">
        <v>2386</v>
      </c>
      <c r="G271" s="2"/>
      <c r="H271" s="2"/>
      <c r="I271" s="3" t="b">
        <f>OR(E271 = "calculated", E271 = "lookup", E271 = "aggregation")</f>
        <v>0</v>
      </c>
      <c r="J271" s="3" t="b">
        <f>H271 &lt;&gt; ""</f>
        <v>0</v>
      </c>
      <c r="K271" s="3">
        <f>COUNTIFS(FieldDisagreements!D2:D999, A271)</f>
        <v>0</v>
      </c>
      <c r="L271" s="3" t="b">
        <f>K271 &gt; 0</f>
        <v>0</v>
      </c>
      <c r="M271" s="2" t="s">
        <v>2387</v>
      </c>
    </row>
    <row r="272">
      <c r="A272" s="2" t="s">
        <v>2825</v>
      </c>
      <c r="B272" s="3" t="str">
        <f>C272 &amp; "." &amp; D272</f>
        <v>ProcedureVersionLinks.SupersededVersionKey</v>
      </c>
      <c r="C272" s="2" t="s">
        <v>2818</v>
      </c>
      <c r="D272" s="2" t="s">
        <v>472</v>
      </c>
      <c r="E272" s="2" t="s">
        <v>2389</v>
      </c>
      <c r="F272" s="2" t="s">
        <v>2386</v>
      </c>
      <c r="G272" s="2" t="s">
        <v>2826</v>
      </c>
      <c r="H272" s="2" t="s">
        <v>2224</v>
      </c>
      <c r="I272" s="3" t="b">
        <f>OR(E272 = "calculated", E272 = "lookup", E272 = "aggregation")</f>
        <v>1</v>
      </c>
      <c r="J272" s="3" t="b">
        <f>H272 &lt;&gt; ""</f>
        <v>1</v>
      </c>
      <c r="K272" s="3">
        <f>COUNTIFS(FieldDisagreements!D2:D999, A272)</f>
        <v>1</v>
      </c>
      <c r="L272" s="3" t="b">
        <f>K272 &gt; 0</f>
        <v>1</v>
      </c>
      <c r="M272" s="2" t="s">
        <v>2387</v>
      </c>
    </row>
    <row r="273">
      <c r="A273" s="2" t="s">
        <v>2827</v>
      </c>
      <c r="B273" s="3" t="str">
        <f>C273 &amp; "." &amp; D273</f>
        <v>ProcedureStatusChanges.ProcedureStatusChangeId</v>
      </c>
      <c r="C273" s="2" t="s">
        <v>1755</v>
      </c>
      <c r="D273" s="2" t="s">
        <v>476</v>
      </c>
      <c r="E273" s="2" t="s">
        <v>2385</v>
      </c>
      <c r="F273" s="2" t="s">
        <v>2386</v>
      </c>
      <c r="G273" s="2"/>
      <c r="H273" s="2"/>
      <c r="I273" s="3" t="b">
        <f>OR(E273 = "calculated", E273 = "lookup", E273 = "aggregation")</f>
        <v>0</v>
      </c>
      <c r="J273" s="3" t="b">
        <f>H273 &lt;&gt; ""</f>
        <v>0</v>
      </c>
      <c r="K273" s="3">
        <f>COUNTIFS(FieldDisagreements!D2:D999, A273)</f>
        <v>0</v>
      </c>
      <c r="L273" s="3" t="b">
        <f>K273 &gt; 0</f>
        <v>0</v>
      </c>
      <c r="M273" s="2" t="s">
        <v>2387</v>
      </c>
    </row>
    <row r="274">
      <c r="A274" s="2" t="s">
        <v>2828</v>
      </c>
      <c r="B274" s="3" t="str">
        <f>C274 &amp; "." &amp; D274</f>
        <v>ProcedureStatusChanges.Name</v>
      </c>
      <c r="C274" s="2" t="s">
        <v>1755</v>
      </c>
      <c r="D274" s="2" t="s">
        <v>1</v>
      </c>
      <c r="E274" s="2" t="s">
        <v>2389</v>
      </c>
      <c r="F274" s="2" t="s">
        <v>2386</v>
      </c>
      <c r="G274" s="2" t="s">
        <v>2829</v>
      </c>
      <c r="H274" s="2"/>
      <c r="I274" s="3" t="b">
        <f>OR(E274 = "calculated", E274 = "lookup", E274 = "aggregation")</f>
        <v>1</v>
      </c>
      <c r="J274" s="3" t="b">
        <f>H274 &lt;&gt; ""</f>
        <v>0</v>
      </c>
      <c r="K274" s="3">
        <f>COUNTIFS(FieldDisagreements!D2:D999, A274)</f>
        <v>0</v>
      </c>
      <c r="L274" s="3" t="b">
        <f>K274 &gt; 0</f>
        <v>0</v>
      </c>
      <c r="M274" s="2" t="s">
        <v>2387</v>
      </c>
    </row>
    <row r="275">
      <c r="A275" s="2" t="s">
        <v>2830</v>
      </c>
      <c r="B275" s="3" t="str">
        <f>C275 &amp; "." &amp; D275</f>
        <v>ProcedureStatusChanges.ProcedureVersion</v>
      </c>
      <c r="C275" s="2" t="s">
        <v>1755</v>
      </c>
      <c r="D275" s="2" t="s">
        <v>477</v>
      </c>
      <c r="E275" s="2" t="s">
        <v>2434</v>
      </c>
      <c r="F275" s="2" t="s">
        <v>2386</v>
      </c>
      <c r="G275" s="2"/>
      <c r="H275" s="2"/>
      <c r="I275" s="3" t="b">
        <f>OR(E275 = "calculated", E275 = "lookup", E275 = "aggregation")</f>
        <v>0</v>
      </c>
      <c r="J275" s="3" t="b">
        <f>H275 &lt;&gt; ""</f>
        <v>0</v>
      </c>
      <c r="K275" s="3">
        <f>COUNTIFS(FieldDisagreements!D2:D999, A275)</f>
        <v>0</v>
      </c>
      <c r="L275" s="3" t="b">
        <f>K275 &gt; 0</f>
        <v>0</v>
      </c>
      <c r="M275" s="2" t="s">
        <v>2387</v>
      </c>
    </row>
    <row r="276">
      <c r="A276" s="2" t="s">
        <v>2831</v>
      </c>
      <c r="B276" s="3" t="str">
        <f>C276 &amp; "." &amp; D276</f>
        <v>ProcedureStatusChanges.FromStatus</v>
      </c>
      <c r="C276" s="2" t="s">
        <v>1755</v>
      </c>
      <c r="D276" s="2" t="s">
        <v>478</v>
      </c>
      <c r="E276" s="2" t="s">
        <v>2385</v>
      </c>
      <c r="F276" s="2" t="s">
        <v>2386</v>
      </c>
      <c r="G276" s="2"/>
      <c r="H276" s="2"/>
      <c r="I276" s="3" t="b">
        <f>OR(E276 = "calculated", E276 = "lookup", E276 = "aggregation")</f>
        <v>0</v>
      </c>
      <c r="J276" s="3" t="b">
        <f>H276 &lt;&gt; ""</f>
        <v>0</v>
      </c>
      <c r="K276" s="3">
        <f>COUNTIFS(FieldDisagreements!D2:D999, A276)</f>
        <v>0</v>
      </c>
      <c r="L276" s="3" t="b">
        <f>K276 &gt; 0</f>
        <v>0</v>
      </c>
      <c r="M276" s="2" t="s">
        <v>2387</v>
      </c>
    </row>
    <row r="277">
      <c r="A277" s="2" t="s">
        <v>2832</v>
      </c>
      <c r="B277" s="3" t="str">
        <f>C277 &amp; "." &amp; D277</f>
        <v>ProcedureStatusChanges.ToStatus</v>
      </c>
      <c r="C277" s="2" t="s">
        <v>1755</v>
      </c>
      <c r="D277" s="2" t="s">
        <v>479</v>
      </c>
      <c r="E277" s="2" t="s">
        <v>2385</v>
      </c>
      <c r="F277" s="2" t="s">
        <v>2386</v>
      </c>
      <c r="G277" s="2"/>
      <c r="H277" s="2"/>
      <c r="I277" s="3" t="b">
        <f>OR(E277 = "calculated", E277 = "lookup", E277 = "aggregation")</f>
        <v>0</v>
      </c>
      <c r="J277" s="3" t="b">
        <f>H277 &lt;&gt; ""</f>
        <v>0</v>
      </c>
      <c r="K277" s="3">
        <f>COUNTIFS(FieldDisagreements!D2:D999, A277)</f>
        <v>0</v>
      </c>
      <c r="L277" s="3" t="b">
        <f>K277 &gt; 0</f>
        <v>0</v>
      </c>
      <c r="M277" s="2" t="s">
        <v>2387</v>
      </c>
    </row>
    <row r="278">
      <c r="A278" s="2" t="s">
        <v>2833</v>
      </c>
      <c r="B278" s="3" t="str">
        <f>C278 &amp; "." &amp; D278</f>
        <v>ProcedureStatusChanges.ChangedAt</v>
      </c>
      <c r="C278" s="2" t="s">
        <v>1755</v>
      </c>
      <c r="D278" s="2" t="s">
        <v>480</v>
      </c>
      <c r="E278" s="2" t="s">
        <v>2385</v>
      </c>
      <c r="F278" s="2" t="s">
        <v>2397</v>
      </c>
      <c r="G278" s="2"/>
      <c r="H278" s="2"/>
      <c r="I278" s="3" t="b">
        <f>OR(E278 = "calculated", E278 = "lookup", E278 = "aggregation")</f>
        <v>0</v>
      </c>
      <c r="J278" s="3" t="b">
        <f>H278 &lt;&gt; ""</f>
        <v>0</v>
      </c>
      <c r="K278" s="3">
        <f>COUNTIFS(FieldDisagreements!D2:D999, A278)</f>
        <v>0</v>
      </c>
      <c r="L278" s="3" t="b">
        <f>K278 &gt; 0</f>
        <v>0</v>
      </c>
      <c r="M278" s="2" t="s">
        <v>2387</v>
      </c>
    </row>
    <row r="279">
      <c r="A279" s="2" t="s">
        <v>2834</v>
      </c>
      <c r="B279" s="3" t="str">
        <f>C279 &amp; "." &amp; D279</f>
        <v>ProcedureStatusChanges.ChangedByAgent</v>
      </c>
      <c r="C279" s="2" t="s">
        <v>1755</v>
      </c>
      <c r="D279" s="2" t="s">
        <v>481</v>
      </c>
      <c r="E279" s="2" t="s">
        <v>2434</v>
      </c>
      <c r="F279" s="2" t="s">
        <v>2386</v>
      </c>
      <c r="G279" s="2"/>
      <c r="H279" s="2"/>
      <c r="I279" s="3" t="b">
        <f>OR(E279 = "calculated", E279 = "lookup", E279 = "aggregation")</f>
        <v>0</v>
      </c>
      <c r="J279" s="3" t="b">
        <f>H279 &lt;&gt; ""</f>
        <v>0</v>
      </c>
      <c r="K279" s="3">
        <f>COUNTIFS(FieldDisagreements!D2:D999, A279)</f>
        <v>0</v>
      </c>
      <c r="L279" s="3" t="b">
        <f>K279 &gt; 0</f>
        <v>0</v>
      </c>
      <c r="M279" s="2" t="s">
        <v>2387</v>
      </c>
    </row>
    <row r="280">
      <c r="A280" s="2" t="s">
        <v>2835</v>
      </c>
      <c r="B280" s="3" t="str">
        <f>C280 &amp; "." &amp; D280</f>
        <v>ProcedureStatusChanges.Motivation</v>
      </c>
      <c r="C280" s="2" t="s">
        <v>1755</v>
      </c>
      <c r="D280" s="2" t="s">
        <v>482</v>
      </c>
      <c r="E280" s="2" t="s">
        <v>2385</v>
      </c>
      <c r="F280" s="2" t="s">
        <v>2386</v>
      </c>
      <c r="G280" s="2"/>
      <c r="H280" s="2"/>
      <c r="I280" s="3" t="b">
        <f>OR(E280 = "calculated", E280 = "lookup", E280 = "aggregation")</f>
        <v>0</v>
      </c>
      <c r="J280" s="3" t="b">
        <f>H280 &lt;&gt; ""</f>
        <v>0</v>
      </c>
      <c r="K280" s="3">
        <f>COUNTIFS(FieldDisagreements!D2:D999, A280)</f>
        <v>0</v>
      </c>
      <c r="L280" s="3" t="b">
        <f>K280 &gt; 0</f>
        <v>0</v>
      </c>
      <c r="M280" s="2" t="s">
        <v>2387</v>
      </c>
    </row>
    <row r="281">
      <c r="A281" s="2" t="s">
        <v>2836</v>
      </c>
      <c r="B281" s="3" t="str">
        <f>C281 &amp; "." &amp; D281</f>
        <v>ProcedureStatusChanges.SemanticTypeIri</v>
      </c>
      <c r="C281" s="2" t="s">
        <v>1755</v>
      </c>
      <c r="D281" s="2" t="s">
        <v>94</v>
      </c>
      <c r="E281" s="2" t="s">
        <v>2385</v>
      </c>
      <c r="F281" s="2" t="s">
        <v>2386</v>
      </c>
      <c r="G281" s="2"/>
      <c r="H281" s="2"/>
      <c r="I281" s="3" t="b">
        <f>OR(E281 = "calculated", E281 = "lookup", E281 = "aggregation")</f>
        <v>0</v>
      </c>
      <c r="J281" s="3" t="b">
        <f>H281 &lt;&gt; ""</f>
        <v>0</v>
      </c>
      <c r="K281" s="3">
        <f>COUNTIFS(FieldDisagreements!D2:D999, A281)</f>
        <v>0</v>
      </c>
      <c r="L281" s="3" t="b">
        <f>K281 &gt; 0</f>
        <v>0</v>
      </c>
      <c r="M281" s="2" t="s">
        <v>2387</v>
      </c>
    </row>
    <row r="282">
      <c r="A282" s="2" t="s">
        <v>2837</v>
      </c>
      <c r="B282" s="3" t="str">
        <f>C282 &amp; "." &amp; D282</f>
        <v>Steps.StepId</v>
      </c>
      <c r="C282" s="2" t="s">
        <v>1758</v>
      </c>
      <c r="D282" s="2" t="s">
        <v>497</v>
      </c>
      <c r="E282" s="2" t="s">
        <v>2385</v>
      </c>
      <c r="F282" s="2" t="s">
        <v>2386</v>
      </c>
      <c r="G282" s="2"/>
      <c r="H282" s="2"/>
      <c r="I282" s="3" t="b">
        <f>OR(E282 = "calculated", E282 = "lookup", E282 = "aggregation")</f>
        <v>0</v>
      </c>
      <c r="J282" s="3" t="b">
        <f>H282 &lt;&gt; ""</f>
        <v>0</v>
      </c>
      <c r="K282" s="3">
        <f>COUNTIFS(FieldDisagreements!D2:D999, A282)</f>
        <v>0</v>
      </c>
      <c r="L282" s="3" t="b">
        <f>K282 &gt; 0</f>
        <v>0</v>
      </c>
      <c r="M282" s="2" t="s">
        <v>2387</v>
      </c>
    </row>
    <row r="283">
      <c r="A283" s="2" t="s">
        <v>2838</v>
      </c>
      <c r="B283" s="3" t="str">
        <f>C283 &amp; "." &amp; D283</f>
        <v>Steps.Name</v>
      </c>
      <c r="C283" s="2" t="s">
        <v>1758</v>
      </c>
      <c r="D283" s="2" t="s">
        <v>1</v>
      </c>
      <c r="E283" s="2" t="s">
        <v>2389</v>
      </c>
      <c r="F283" s="2" t="s">
        <v>2386</v>
      </c>
      <c r="G283" s="2" t="s">
        <v>2839</v>
      </c>
      <c r="H283" s="2"/>
      <c r="I283" s="3" t="b">
        <f>OR(E283 = "calculated", E283 = "lookup", E283 = "aggregation")</f>
        <v>1</v>
      </c>
      <c r="J283" s="3" t="b">
        <f>H283 &lt;&gt; ""</f>
        <v>0</v>
      </c>
      <c r="K283" s="3">
        <f>COUNTIFS(FieldDisagreements!D2:D999, A283)</f>
        <v>0</v>
      </c>
      <c r="L283" s="3" t="b">
        <f>K283 &gt; 0</f>
        <v>0</v>
      </c>
      <c r="M283" s="2" t="s">
        <v>2387</v>
      </c>
    </row>
    <row r="284">
      <c r="A284" s="2" t="s">
        <v>2840</v>
      </c>
      <c r="B284" s="3" t="str">
        <f>C284 &amp; "." &amp; D284</f>
        <v>Steps.ProcedureVersion</v>
      </c>
      <c r="C284" s="2" t="s">
        <v>1758</v>
      </c>
      <c r="D284" s="2" t="s">
        <v>477</v>
      </c>
      <c r="E284" s="2" t="s">
        <v>2434</v>
      </c>
      <c r="F284" s="2" t="s">
        <v>2386</v>
      </c>
      <c r="G284" s="2"/>
      <c r="H284" s="2"/>
      <c r="I284" s="3" t="b">
        <f>OR(E284 = "calculated", E284 = "lookup", E284 = "aggregation")</f>
        <v>0</v>
      </c>
      <c r="J284" s="3" t="b">
        <f>H284 &lt;&gt; ""</f>
        <v>0</v>
      </c>
      <c r="K284" s="3">
        <f>COUNTIFS(FieldDisagreements!D2:D999, A284)</f>
        <v>0</v>
      </c>
      <c r="L284" s="3" t="b">
        <f>K284 &gt; 0</f>
        <v>0</v>
      </c>
      <c r="M284" s="2" t="s">
        <v>2387</v>
      </c>
    </row>
    <row r="285">
      <c r="A285" s="2" t="s">
        <v>2841</v>
      </c>
      <c r="B285" s="3" t="str">
        <f>C285 &amp; "." &amp; D285</f>
        <v>Steps.StepNumber</v>
      </c>
      <c r="C285" s="2" t="s">
        <v>1758</v>
      </c>
      <c r="D285" s="2" t="s">
        <v>498</v>
      </c>
      <c r="E285" s="2" t="s">
        <v>2385</v>
      </c>
      <c r="F285" s="2" t="s">
        <v>2386</v>
      </c>
      <c r="G285" s="2"/>
      <c r="H285" s="2"/>
      <c r="I285" s="3" t="b">
        <f>OR(E285 = "calculated", E285 = "lookup", E285 = "aggregation")</f>
        <v>0</v>
      </c>
      <c r="J285" s="3" t="b">
        <f>H285 &lt;&gt; ""</f>
        <v>0</v>
      </c>
      <c r="K285" s="3">
        <f>COUNTIFS(FieldDisagreements!D2:D999, A285)</f>
        <v>0</v>
      </c>
      <c r="L285" s="3" t="b">
        <f>K285 &gt; 0</f>
        <v>0</v>
      </c>
      <c r="M285" s="2" t="s">
        <v>2387</v>
      </c>
    </row>
    <row r="286">
      <c r="A286" s="2" t="s">
        <v>2842</v>
      </c>
      <c r="B286" s="3" t="str">
        <f>C286 &amp; "." &amp; D286</f>
        <v>Steps.Title</v>
      </c>
      <c r="C286" s="2" t="s">
        <v>1758</v>
      </c>
      <c r="D286" s="2" t="s">
        <v>358</v>
      </c>
      <c r="E286" s="2" t="s">
        <v>2385</v>
      </c>
      <c r="F286" s="2" t="s">
        <v>2386</v>
      </c>
      <c r="G286" s="2"/>
      <c r="H286" s="2"/>
      <c r="I286" s="3" t="b">
        <f>OR(E286 = "calculated", E286 = "lookup", E286 = "aggregation")</f>
        <v>0</v>
      </c>
      <c r="J286" s="3" t="b">
        <f>H286 &lt;&gt; ""</f>
        <v>0</v>
      </c>
      <c r="K286" s="3">
        <f>COUNTIFS(FieldDisagreements!D2:D999, A286)</f>
        <v>0</v>
      </c>
      <c r="L286" s="3" t="b">
        <f>K286 &gt; 0</f>
        <v>0</v>
      </c>
      <c r="M286" s="2" t="s">
        <v>2387</v>
      </c>
    </row>
    <row r="287">
      <c r="A287" s="2" t="s">
        <v>2843</v>
      </c>
      <c r="B287" s="3" t="str">
        <f>C287 &amp; "." &amp; D287</f>
        <v>Steps.StepKind</v>
      </c>
      <c r="C287" s="2" t="s">
        <v>1758</v>
      </c>
      <c r="D287" s="2" t="s">
        <v>499</v>
      </c>
      <c r="E287" s="2" t="s">
        <v>2385</v>
      </c>
      <c r="F287" s="2" t="s">
        <v>2386</v>
      </c>
      <c r="G287" s="2"/>
      <c r="H287" s="2"/>
      <c r="I287" s="3" t="b">
        <f>OR(E287 = "calculated", E287 = "lookup", E287 = "aggregation")</f>
        <v>0</v>
      </c>
      <c r="J287" s="3" t="b">
        <f>H287 &lt;&gt; ""</f>
        <v>0</v>
      </c>
      <c r="K287" s="3">
        <f>COUNTIFS(FieldDisagreements!D2:D999, A287)</f>
        <v>0</v>
      </c>
      <c r="L287" s="3" t="b">
        <f>K287 &gt; 0</f>
        <v>0</v>
      </c>
      <c r="M287" s="2" t="s">
        <v>2387</v>
      </c>
    </row>
    <row r="288">
      <c r="A288" s="2" t="s">
        <v>2844</v>
      </c>
      <c r="B288" s="3" t="str">
        <f>C288 &amp; "." &amp; D288</f>
        <v>Steps.AssignedRole</v>
      </c>
      <c r="C288" s="2" t="s">
        <v>1758</v>
      </c>
      <c r="D288" s="2" t="s">
        <v>500</v>
      </c>
      <c r="E288" s="2" t="s">
        <v>2434</v>
      </c>
      <c r="F288" s="2" t="s">
        <v>2386</v>
      </c>
      <c r="G288" s="2"/>
      <c r="H288" s="2"/>
      <c r="I288" s="3" t="b">
        <f>OR(E288 = "calculated", E288 = "lookup", E288 = "aggregation")</f>
        <v>0</v>
      </c>
      <c r="J288" s="3" t="b">
        <f>H288 &lt;&gt; ""</f>
        <v>0</v>
      </c>
      <c r="K288" s="3">
        <f>COUNTIFS(FieldDisagreements!D2:D999, A288)</f>
        <v>0</v>
      </c>
      <c r="L288" s="3" t="b">
        <f>K288 &gt; 0</f>
        <v>0</v>
      </c>
      <c r="M288" s="2" t="s">
        <v>2387</v>
      </c>
    </row>
    <row r="289">
      <c r="A289" s="2" t="s">
        <v>2845</v>
      </c>
      <c r="B289" s="3" t="str">
        <f>C289 &amp; "." &amp; D289</f>
        <v>Steps.AssignedRoleLabel</v>
      </c>
      <c r="C289" s="2" t="s">
        <v>1758</v>
      </c>
      <c r="D289" s="2" t="s">
        <v>501</v>
      </c>
      <c r="E289" s="2" t="s">
        <v>2478</v>
      </c>
      <c r="F289" s="2" t="s">
        <v>2386</v>
      </c>
      <c r="G289" s="2" t="s">
        <v>2846</v>
      </c>
      <c r="H289" s="2"/>
      <c r="I289" s="3" t="b">
        <f>OR(E289 = "calculated", E289 = "lookup", E289 = "aggregation")</f>
        <v>1</v>
      </c>
      <c r="J289" s="3" t="b">
        <f>H289 &lt;&gt; ""</f>
        <v>0</v>
      </c>
      <c r="K289" s="3">
        <f>COUNTIFS(FieldDisagreements!D2:D999, A289)</f>
        <v>0</v>
      </c>
      <c r="L289" s="3" t="b">
        <f>K289 &gt; 0</f>
        <v>0</v>
      </c>
      <c r="M289" s="2" t="s">
        <v>2387</v>
      </c>
    </row>
    <row r="290">
      <c r="A290" s="2" t="s">
        <v>2847</v>
      </c>
      <c r="B290" s="3" t="str">
        <f>C290 &amp; "." &amp; D290</f>
        <v>Steps.AssignedAgentKind</v>
      </c>
      <c r="C290" s="2" t="s">
        <v>1758</v>
      </c>
      <c r="D290" s="2" t="s">
        <v>502</v>
      </c>
      <c r="E290" s="2" t="s">
        <v>2478</v>
      </c>
      <c r="F290" s="2" t="s">
        <v>2386</v>
      </c>
      <c r="G290" s="2" t="s">
        <v>2848</v>
      </c>
      <c r="H290" s="2"/>
      <c r="I290" s="3" t="b">
        <f>OR(E290 = "calculated", E290 = "lookup", E290 = "aggregation")</f>
        <v>1</v>
      </c>
      <c r="J290" s="3" t="b">
        <f>H290 &lt;&gt; ""</f>
        <v>0</v>
      </c>
      <c r="K290" s="3">
        <f>COUNTIFS(FieldDisagreements!D2:D999, A290)</f>
        <v>0</v>
      </c>
      <c r="L290" s="3" t="b">
        <f>K290 &gt; 0</f>
        <v>0</v>
      </c>
      <c r="M290" s="2" t="s">
        <v>2387</v>
      </c>
    </row>
    <row r="291">
      <c r="A291" s="2" t="s">
        <v>2849</v>
      </c>
      <c r="B291" s="3" t="str">
        <f>C291 &amp; "." &amp; D291</f>
        <v>Steps.Instruction</v>
      </c>
      <c r="C291" s="2" t="s">
        <v>1758</v>
      </c>
      <c r="D291" s="2" t="s">
        <v>503</v>
      </c>
      <c r="E291" s="2" t="s">
        <v>2385</v>
      </c>
      <c r="F291" s="2" t="s">
        <v>2386</v>
      </c>
      <c r="G291" s="2"/>
      <c r="H291" s="2"/>
      <c r="I291" s="3" t="b">
        <f>OR(E291 = "calculated", E291 = "lookup", E291 = "aggregation")</f>
        <v>0</v>
      </c>
      <c r="J291" s="3" t="b">
        <f>H291 &lt;&gt; ""</f>
        <v>0</v>
      </c>
      <c r="K291" s="3">
        <f>COUNTIFS(FieldDisagreements!D2:D999, A291)</f>
        <v>0</v>
      </c>
      <c r="L291" s="3" t="b">
        <f>K291 &gt; 0</f>
        <v>0</v>
      </c>
      <c r="M291" s="2" t="s">
        <v>2387</v>
      </c>
    </row>
    <row r="292">
      <c r="A292" s="2" t="s">
        <v>2850</v>
      </c>
      <c r="B292" s="3" t="str">
        <f>C292 &amp; "." &amp; D292</f>
        <v>Steps.ExpectedDurationMinutes</v>
      </c>
      <c r="C292" s="2" t="s">
        <v>1758</v>
      </c>
      <c r="D292" s="2" t="s">
        <v>504</v>
      </c>
      <c r="E292" s="2" t="s">
        <v>2385</v>
      </c>
      <c r="F292" s="2" t="s">
        <v>2439</v>
      </c>
      <c r="G292" s="2"/>
      <c r="H292" s="2"/>
      <c r="I292" s="3" t="b">
        <f>OR(E292 = "calculated", E292 = "lookup", E292 = "aggregation")</f>
        <v>0</v>
      </c>
      <c r="J292" s="3" t="b">
        <f>H292 &lt;&gt; ""</f>
        <v>0</v>
      </c>
      <c r="K292" s="3">
        <f>COUNTIFS(FieldDisagreements!D2:D999, A292)</f>
        <v>0</v>
      </c>
      <c r="L292" s="3" t="b">
        <f>K292 &gt; 0</f>
        <v>0</v>
      </c>
      <c r="M292" s="2" t="s">
        <v>2387</v>
      </c>
    </row>
    <row r="293">
      <c r="A293" s="2" t="s">
        <v>2851</v>
      </c>
      <c r="B293" s="3" t="str">
        <f>C293 &amp; "." &amp; D293</f>
        <v>Steps.ExpertiseLevel</v>
      </c>
      <c r="C293" s="2" t="s">
        <v>1758</v>
      </c>
      <c r="D293" s="2" t="s">
        <v>505</v>
      </c>
      <c r="E293" s="2" t="s">
        <v>2385</v>
      </c>
      <c r="F293" s="2" t="s">
        <v>2386</v>
      </c>
      <c r="G293" s="2"/>
      <c r="H293" s="2"/>
      <c r="I293" s="3" t="b">
        <f>OR(E293 = "calculated", E293 = "lookup", E293 = "aggregation")</f>
        <v>0</v>
      </c>
      <c r="J293" s="3" t="b">
        <f>H293 &lt;&gt; ""</f>
        <v>0</v>
      </c>
      <c r="K293" s="3">
        <f>COUNTIFS(FieldDisagreements!D2:D999, A293)</f>
        <v>0</v>
      </c>
      <c r="L293" s="3" t="b">
        <f>K293 &gt; 0</f>
        <v>0</v>
      </c>
      <c r="M293" s="2" t="s">
        <v>2387</v>
      </c>
    </row>
    <row r="294">
      <c r="A294" s="2" t="s">
        <v>2852</v>
      </c>
      <c r="B294" s="3" t="str">
        <f>C294 &amp; "." &amp; D294</f>
        <v>Steps.RequiresHumanConfirmation</v>
      </c>
      <c r="C294" s="2" t="s">
        <v>1758</v>
      </c>
      <c r="D294" s="2" t="s">
        <v>506</v>
      </c>
      <c r="E294" s="2" t="s">
        <v>2385</v>
      </c>
      <c r="F294" s="2" t="s">
        <v>2401</v>
      </c>
      <c r="G294" s="2"/>
      <c r="H294" s="2"/>
      <c r="I294" s="3" t="b">
        <f>OR(E294 = "calculated", E294 = "lookup", E294 = "aggregation")</f>
        <v>0</v>
      </c>
      <c r="J294" s="3" t="b">
        <f>H294 &lt;&gt; ""</f>
        <v>0</v>
      </c>
      <c r="K294" s="3">
        <f>COUNTIFS(FieldDisagreements!D2:D999, A294)</f>
        <v>0</v>
      </c>
      <c r="L294" s="3" t="b">
        <f>K294 &gt; 0</f>
        <v>0</v>
      </c>
      <c r="M294" s="2" t="s">
        <v>2387</v>
      </c>
    </row>
    <row r="295">
      <c r="A295" s="2" t="s">
        <v>2853</v>
      </c>
      <c r="B295" s="3" t="str">
        <f>C295 &amp; "." &amp; D295</f>
        <v>Steps.BlockingRequirementCount</v>
      </c>
      <c r="C295" s="2" t="s">
        <v>1758</v>
      </c>
      <c r="D295" s="2" t="s">
        <v>507</v>
      </c>
      <c r="E295" s="2" t="s">
        <v>2438</v>
      </c>
      <c r="F295" s="2" t="s">
        <v>2444</v>
      </c>
      <c r="G295" s="2" t="s">
        <v>2854</v>
      </c>
      <c r="H295" s="2" t="s">
        <v>1940</v>
      </c>
      <c r="I295" s="3" t="b">
        <f>OR(E295 = "calculated", E295 = "lookup", E295 = "aggregation")</f>
        <v>1</v>
      </c>
      <c r="J295" s="3" t="b">
        <f>H295 &lt;&gt; ""</f>
        <v>1</v>
      </c>
      <c r="K295" s="3">
        <f>COUNTIFS(FieldDisagreements!D2:D999, A295)</f>
        <v>0</v>
      </c>
      <c r="L295" s="3" t="b">
        <f>K295 &gt; 0</f>
        <v>0</v>
      </c>
      <c r="M295" s="2" t="s">
        <v>2387</v>
      </c>
    </row>
    <row r="296">
      <c r="A296" s="2" t="s">
        <v>2855</v>
      </c>
      <c r="B296" s="3" t="str">
        <f>C296 &amp; "." &amp; D296</f>
        <v>Steps.StaleBindingCount</v>
      </c>
      <c r="C296" s="2" t="s">
        <v>1758</v>
      </c>
      <c r="D296" s="2" t="s">
        <v>508</v>
      </c>
      <c r="E296" s="2" t="s">
        <v>2438</v>
      </c>
      <c r="F296" s="2" t="s">
        <v>2444</v>
      </c>
      <c r="G296" s="2" t="s">
        <v>2856</v>
      </c>
      <c r="H296" s="2" t="s">
        <v>1944</v>
      </c>
      <c r="I296" s="3" t="b">
        <f>OR(E296 = "calculated", E296 = "lookup", E296 = "aggregation")</f>
        <v>1</v>
      </c>
      <c r="J296" s="3" t="b">
        <f>H296 &lt;&gt; ""</f>
        <v>1</v>
      </c>
      <c r="K296" s="3">
        <f>COUNTIFS(FieldDisagreements!D2:D999, A296)</f>
        <v>2</v>
      </c>
      <c r="L296" s="3" t="b">
        <f>K296 &gt; 0</f>
        <v>1</v>
      </c>
      <c r="M296" s="2" t="s">
        <v>2387</v>
      </c>
    </row>
    <row r="297">
      <c r="A297" s="2" t="s">
        <v>2857</v>
      </c>
      <c r="B297" s="3" t="str">
        <f>C297 &amp; "." &amp; D297</f>
        <v>Steps.AuthoritativeStaleCount</v>
      </c>
      <c r="C297" s="2" t="s">
        <v>1758</v>
      </c>
      <c r="D297" s="2" t="s">
        <v>509</v>
      </c>
      <c r="E297" s="2" t="s">
        <v>2438</v>
      </c>
      <c r="F297" s="2" t="s">
        <v>2444</v>
      </c>
      <c r="G297" s="2" t="s">
        <v>2858</v>
      </c>
      <c r="H297" s="2" t="s">
        <v>1944</v>
      </c>
      <c r="I297" s="3" t="b">
        <f>OR(E297 = "calculated", E297 = "lookup", E297 = "aggregation")</f>
        <v>1</v>
      </c>
      <c r="J297" s="3" t="b">
        <f>H297 &lt;&gt; ""</f>
        <v>1</v>
      </c>
      <c r="K297" s="3">
        <f>COUNTIFS(FieldDisagreements!D2:D999, A297)</f>
        <v>2</v>
      </c>
      <c r="L297" s="3" t="b">
        <f>K297 &gt; 0</f>
        <v>1</v>
      </c>
      <c r="M297" s="2" t="s">
        <v>2387</v>
      </c>
    </row>
    <row r="298">
      <c r="A298" s="2" t="s">
        <v>2859</v>
      </c>
      <c r="B298" s="3" t="str">
        <f>C298 &amp; "." &amp; D298</f>
        <v>Steps.AvailableExceptionCount</v>
      </c>
      <c r="C298" s="2" t="s">
        <v>1758</v>
      </c>
      <c r="D298" s="2" t="s">
        <v>510</v>
      </c>
      <c r="E298" s="2" t="s">
        <v>2438</v>
      </c>
      <c r="F298" s="2" t="s">
        <v>2444</v>
      </c>
      <c r="G298" s="2" t="s">
        <v>2860</v>
      </c>
      <c r="H298" s="2" t="s">
        <v>1948</v>
      </c>
      <c r="I298" s="3" t="b">
        <f>OR(E298 = "calculated", E298 = "lookup", E298 = "aggregation")</f>
        <v>1</v>
      </c>
      <c r="J298" s="3" t="b">
        <f>H298 &lt;&gt; ""</f>
        <v>1</v>
      </c>
      <c r="K298" s="3">
        <f>COUNTIFS(FieldDisagreements!D2:D999, A298)</f>
        <v>0</v>
      </c>
      <c r="L298" s="3" t="b">
        <f>K298 &gt; 0</f>
        <v>0</v>
      </c>
      <c r="M298" s="2" t="s">
        <v>2387</v>
      </c>
    </row>
    <row r="299">
      <c r="A299" s="2" t="s">
        <v>2861</v>
      </c>
      <c r="B299" s="3" t="str">
        <f>C299 &amp; "." &amp; D299</f>
        <v>Steps.DeclaredVerificationCount</v>
      </c>
      <c r="C299" s="2" t="s">
        <v>1758</v>
      </c>
      <c r="D299" s="2" t="s">
        <v>511</v>
      </c>
      <c r="E299" s="2" t="s">
        <v>2438</v>
      </c>
      <c r="F299" s="2" t="s">
        <v>2444</v>
      </c>
      <c r="G299" s="2" t="s">
        <v>2862</v>
      </c>
      <c r="H299" s="2" t="s">
        <v>1952</v>
      </c>
      <c r="I299" s="3" t="b">
        <f>OR(E299 = "calculated", E299 = "lookup", E299 = "aggregation")</f>
        <v>1</v>
      </c>
      <c r="J299" s="3" t="b">
        <f>H299 &lt;&gt; ""</f>
        <v>1</v>
      </c>
      <c r="K299" s="3">
        <f>COUNTIFS(FieldDisagreements!D2:D999, A299)</f>
        <v>0</v>
      </c>
      <c r="L299" s="3" t="b">
        <f>K299 &gt; 0</f>
        <v>0</v>
      </c>
      <c r="M299" s="2" t="s">
        <v>2387</v>
      </c>
    </row>
    <row r="300">
      <c r="A300" s="2" t="s">
        <v>2863</v>
      </c>
      <c r="B300" s="3" t="str">
        <f>C300 &amp; "." &amp; D300</f>
        <v>Steps.IsPreparationStep</v>
      </c>
      <c r="C300" s="2" t="s">
        <v>1758</v>
      </c>
      <c r="D300" s="2" t="s">
        <v>512</v>
      </c>
      <c r="E300" s="2" t="s">
        <v>2389</v>
      </c>
      <c r="F300" s="2" t="s">
        <v>2401</v>
      </c>
      <c r="G300" s="2" t="s">
        <v>2864</v>
      </c>
      <c r="H300" s="2" t="s">
        <v>1956</v>
      </c>
      <c r="I300" s="3" t="b">
        <f>OR(E300 = "calculated", E300 = "lookup", E300 = "aggregation")</f>
        <v>1</v>
      </c>
      <c r="J300" s="3" t="b">
        <f>H300 &lt;&gt; ""</f>
        <v>1</v>
      </c>
      <c r="K300" s="3">
        <f>COUNTIFS(FieldDisagreements!D2:D999, A300)</f>
        <v>0</v>
      </c>
      <c r="L300" s="3" t="b">
        <f>K300 &gt; 0</f>
        <v>0</v>
      </c>
      <c r="M300" s="2" t="s">
        <v>2387</v>
      </c>
    </row>
    <row r="301">
      <c r="A301" s="2" t="s">
        <v>2865</v>
      </c>
      <c r="B301" s="3" t="str">
        <f>C301 &amp; "." &amp; D301</f>
        <v>Steps.IsApprovalStep</v>
      </c>
      <c r="C301" s="2" t="s">
        <v>1758</v>
      </c>
      <c r="D301" s="2" t="s">
        <v>513</v>
      </c>
      <c r="E301" s="2" t="s">
        <v>2389</v>
      </c>
      <c r="F301" s="2" t="s">
        <v>2401</v>
      </c>
      <c r="G301" s="2" t="s">
        <v>2866</v>
      </c>
      <c r="H301" s="2" t="s">
        <v>1956</v>
      </c>
      <c r="I301" s="3" t="b">
        <f>OR(E301 = "calculated", E301 = "lookup", E301 = "aggregation")</f>
        <v>1</v>
      </c>
      <c r="J301" s="3" t="b">
        <f>H301 &lt;&gt; ""</f>
        <v>1</v>
      </c>
      <c r="K301" s="3">
        <f>COUNTIFS(FieldDisagreements!D2:D999, A301)</f>
        <v>0</v>
      </c>
      <c r="L301" s="3" t="b">
        <f>K301 &gt; 0</f>
        <v>0</v>
      </c>
      <c r="M301" s="2" t="s">
        <v>2387</v>
      </c>
    </row>
    <row r="302">
      <c r="A302" s="2" t="s">
        <v>2867</v>
      </c>
      <c r="B302" s="3" t="str">
        <f>C302 &amp; "." &amp; D302</f>
        <v>Steps.StaleAuthoritativeBindingCount</v>
      </c>
      <c r="C302" s="2" t="s">
        <v>1758</v>
      </c>
      <c r="D302" s="2" t="s">
        <v>514</v>
      </c>
      <c r="E302" s="2" t="s">
        <v>2438</v>
      </c>
      <c r="F302" s="2" t="s">
        <v>2444</v>
      </c>
      <c r="G302" s="2" t="s">
        <v>2868</v>
      </c>
      <c r="H302" s="2" t="s">
        <v>2100</v>
      </c>
      <c r="I302" s="3" t="b">
        <f>OR(E302 = "calculated", E302 = "lookup", E302 = "aggregation")</f>
        <v>1</v>
      </c>
      <c r="J302" s="3" t="b">
        <f>H302 &lt;&gt; ""</f>
        <v>1</v>
      </c>
      <c r="K302" s="3">
        <f>COUNTIFS(FieldDisagreements!D2:D999, A302)</f>
        <v>2</v>
      </c>
      <c r="L302" s="3" t="b">
        <f>K302 &gt; 0</f>
        <v>1</v>
      </c>
      <c r="M302" s="2" t="s">
        <v>2387</v>
      </c>
    </row>
    <row r="303">
      <c r="A303" s="2" t="s">
        <v>2869</v>
      </c>
      <c r="B303" s="3" t="str">
        <f>C303 &amp; "." &amp; D303</f>
        <v>Steps.InputsAreFresh</v>
      </c>
      <c r="C303" s="2" t="s">
        <v>1758</v>
      </c>
      <c r="D303" s="2" t="s">
        <v>515</v>
      </c>
      <c r="E303" s="2" t="s">
        <v>2389</v>
      </c>
      <c r="F303" s="2" t="s">
        <v>2401</v>
      </c>
      <c r="G303" s="2" t="s">
        <v>2870</v>
      </c>
      <c r="H303" s="2" t="s">
        <v>2100</v>
      </c>
      <c r="I303" s="3" t="b">
        <f>OR(E303 = "calculated", E303 = "lookup", E303 = "aggregation")</f>
        <v>1</v>
      </c>
      <c r="J303" s="3" t="b">
        <f>H303 &lt;&gt; ""</f>
        <v>1</v>
      </c>
      <c r="K303" s="3">
        <f>COUNTIFS(FieldDisagreements!D2:D999, A303)</f>
        <v>2</v>
      </c>
      <c r="L303" s="3" t="b">
        <f>K303 &gt; 0</f>
        <v>1</v>
      </c>
      <c r="M303" s="2" t="s">
        <v>2387</v>
      </c>
    </row>
    <row r="304">
      <c r="A304" s="2" t="s">
        <v>2871</v>
      </c>
      <c r="B304" s="3" t="str">
        <f>C304 &amp; "." &amp; D304</f>
        <v>Steps.IsSoftwareAssigned</v>
      </c>
      <c r="C304" s="2" t="s">
        <v>1758</v>
      </c>
      <c r="D304" s="2" t="s">
        <v>516</v>
      </c>
      <c r="E304" s="2" t="s">
        <v>2389</v>
      </c>
      <c r="F304" s="2" t="s">
        <v>2401</v>
      </c>
      <c r="G304" s="2" t="s">
        <v>2872</v>
      </c>
      <c r="H304" s="2" t="s">
        <v>2120</v>
      </c>
      <c r="I304" s="3" t="b">
        <f>OR(E304 = "calculated", E304 = "lookup", E304 = "aggregation")</f>
        <v>1</v>
      </c>
      <c r="J304" s="3" t="b">
        <f>H304 &lt;&gt; ""</f>
        <v>1</v>
      </c>
      <c r="K304" s="3">
        <f>COUNTIFS(FieldDisagreements!D2:D999, A304)</f>
        <v>0</v>
      </c>
      <c r="L304" s="3" t="b">
        <f>K304 &gt; 0</f>
        <v>0</v>
      </c>
      <c r="M304" s="2" t="s">
        <v>2387</v>
      </c>
    </row>
    <row r="305">
      <c r="A305" s="2" t="s">
        <v>2873</v>
      </c>
      <c r="B305" s="3" t="str">
        <f>C305 &amp; "." &amp; D305</f>
        <v>Steps.IsHumanApprovalGate</v>
      </c>
      <c r="C305" s="2" t="s">
        <v>1758</v>
      </c>
      <c r="D305" s="2" t="s">
        <v>517</v>
      </c>
      <c r="E305" s="2" t="s">
        <v>2389</v>
      </c>
      <c r="F305" s="2" t="s">
        <v>2401</v>
      </c>
      <c r="G305" s="2" t="s">
        <v>2874</v>
      </c>
      <c r="H305" s="2" t="s">
        <v>2120</v>
      </c>
      <c r="I305" s="3" t="b">
        <f>OR(E305 = "calculated", E305 = "lookup", E305 = "aggregation")</f>
        <v>1</v>
      </c>
      <c r="J305" s="3" t="b">
        <f>H305 &lt;&gt; ""</f>
        <v>1</v>
      </c>
      <c r="K305" s="3">
        <f>COUNTIFS(FieldDisagreements!D2:D999, A305)</f>
        <v>0</v>
      </c>
      <c r="L305" s="3" t="b">
        <f>K305 &gt; 0</f>
        <v>0</v>
      </c>
      <c r="M305" s="2" t="s">
        <v>2387</v>
      </c>
    </row>
    <row r="306">
      <c r="A306" s="2" t="s">
        <v>2875</v>
      </c>
      <c r="B306" s="3" t="str">
        <f>C306 &amp; "." &amp; D306</f>
        <v>Steps.GateHeldByHuman</v>
      </c>
      <c r="C306" s="2" t="s">
        <v>1758</v>
      </c>
      <c r="D306" s="2" t="s">
        <v>518</v>
      </c>
      <c r="E306" s="2" t="s">
        <v>2389</v>
      </c>
      <c r="F306" s="2" t="s">
        <v>2401</v>
      </c>
      <c r="G306" s="2" t="s">
        <v>2876</v>
      </c>
      <c r="H306" s="2" t="s">
        <v>2120</v>
      </c>
      <c r="I306" s="3" t="b">
        <f>OR(E306 = "calculated", E306 = "lookup", E306 = "aggregation")</f>
        <v>1</v>
      </c>
      <c r="J306" s="3" t="b">
        <f>H306 &lt;&gt; ""</f>
        <v>1</v>
      </c>
      <c r="K306" s="3">
        <f>COUNTIFS(FieldDisagreements!D2:D999, A306)</f>
        <v>0</v>
      </c>
      <c r="L306" s="3" t="b">
        <f>K306 &gt; 0</f>
        <v>0</v>
      </c>
      <c r="M306" s="2" t="s">
        <v>2387</v>
      </c>
    </row>
    <row r="307">
      <c r="A307" s="2" t="s">
        <v>2877</v>
      </c>
      <c r="B307" s="3" t="str">
        <f>C307 &amp; "." &amp; D307</f>
        <v>Steps.BindingBoundaryCount</v>
      </c>
      <c r="C307" s="2" t="s">
        <v>1758</v>
      </c>
      <c r="D307" s="2" t="s">
        <v>519</v>
      </c>
      <c r="E307" s="2" t="s">
        <v>2438</v>
      </c>
      <c r="F307" s="2" t="s">
        <v>2444</v>
      </c>
      <c r="G307" s="2" t="s">
        <v>2878</v>
      </c>
      <c r="H307" s="2" t="s">
        <v>2144</v>
      </c>
      <c r="I307" s="3" t="b">
        <f>OR(E307 = "calculated", E307 = "lookup", E307 = "aggregation")</f>
        <v>1</v>
      </c>
      <c r="J307" s="3" t="b">
        <f>H307 &lt;&gt; ""</f>
        <v>1</v>
      </c>
      <c r="K307" s="3">
        <f>COUNTIFS(FieldDisagreements!D2:D999, A307)</f>
        <v>0</v>
      </c>
      <c r="L307" s="3" t="b">
        <f>K307 &gt; 0</f>
        <v>0</v>
      </c>
      <c r="M307" s="2" t="s">
        <v>2387</v>
      </c>
    </row>
    <row r="308">
      <c r="A308" s="2" t="s">
        <v>2879</v>
      </c>
      <c r="B308" s="3" t="str">
        <f>C308 &amp; "." &amp; D308</f>
        <v>Steps.AssignedRoleIsUngoverned</v>
      </c>
      <c r="C308" s="2" t="s">
        <v>1758</v>
      </c>
      <c r="D308" s="2" t="s">
        <v>520</v>
      </c>
      <c r="E308" s="2" t="s">
        <v>2478</v>
      </c>
      <c r="F308" s="2" t="s">
        <v>2401</v>
      </c>
      <c r="G308" s="2" t="s">
        <v>2880</v>
      </c>
      <c r="H308" s="2" t="s">
        <v>2156</v>
      </c>
      <c r="I308" s="3" t="b">
        <f>OR(E308 = "calculated", E308 = "lookup", E308 = "aggregation")</f>
        <v>1</v>
      </c>
      <c r="J308" s="3" t="b">
        <f>H308 &lt;&gt; ""</f>
        <v>1</v>
      </c>
      <c r="K308" s="3">
        <f>COUNTIFS(FieldDisagreements!D2:D999, A308)</f>
        <v>0</v>
      </c>
      <c r="L308" s="3" t="b">
        <f>K308 &gt; 0</f>
        <v>0</v>
      </c>
      <c r="M308" s="2" t="s">
        <v>2387</v>
      </c>
    </row>
    <row r="309">
      <c r="A309" s="2" t="s">
        <v>2881</v>
      </c>
      <c r="B309" s="3" t="str">
        <f>C309 &amp; "." &amp; D309</f>
        <v>Steps.UnusableBindingCount</v>
      </c>
      <c r="C309" s="2" t="s">
        <v>1758</v>
      </c>
      <c r="D309" s="2" t="s">
        <v>521</v>
      </c>
      <c r="E309" s="2" t="s">
        <v>2438</v>
      </c>
      <c r="F309" s="2" t="s">
        <v>2444</v>
      </c>
      <c r="G309" s="2" t="s">
        <v>2882</v>
      </c>
      <c r="H309" s="2" t="s">
        <v>2160</v>
      </c>
      <c r="I309" s="3" t="b">
        <f>OR(E309 = "calculated", E309 = "lookup", E309 = "aggregation")</f>
        <v>1</v>
      </c>
      <c r="J309" s="3" t="b">
        <f>H309 &lt;&gt; ""</f>
        <v>1</v>
      </c>
      <c r="K309" s="3">
        <f>COUNTIFS(FieldDisagreements!D2:D999, A309)</f>
        <v>1</v>
      </c>
      <c r="L309" s="3" t="b">
        <f>K309 &gt; 0</f>
        <v>1</v>
      </c>
      <c r="M309" s="2" t="s">
        <v>2387</v>
      </c>
    </row>
    <row r="310">
      <c r="A310" s="2" t="s">
        <v>2883</v>
      </c>
      <c r="B310" s="3" t="str">
        <f>C310 &amp; "." &amp; D310</f>
        <v>Steps.AllSourcesUsable</v>
      </c>
      <c r="C310" s="2" t="s">
        <v>1758</v>
      </c>
      <c r="D310" s="2" t="s">
        <v>522</v>
      </c>
      <c r="E310" s="2" t="s">
        <v>2389</v>
      </c>
      <c r="F310" s="2" t="s">
        <v>2401</v>
      </c>
      <c r="G310" s="2" t="s">
        <v>2884</v>
      </c>
      <c r="H310" s="2" t="s">
        <v>2160</v>
      </c>
      <c r="I310" s="3" t="b">
        <f>OR(E310 = "calculated", E310 = "lookup", E310 = "aggregation")</f>
        <v>1</v>
      </c>
      <c r="J310" s="3" t="b">
        <f>H310 &lt;&gt; ""</f>
        <v>1</v>
      </c>
      <c r="K310" s="3">
        <f>COUNTIFS(FieldDisagreements!D2:D999, A310)</f>
        <v>1</v>
      </c>
      <c r="L310" s="3" t="b">
        <f>K310 &gt; 0</f>
        <v>1</v>
      </c>
      <c r="M310" s="2" t="s">
        <v>2387</v>
      </c>
    </row>
    <row r="311">
      <c r="A311" s="2" t="s">
        <v>2885</v>
      </c>
      <c r="B311" s="3" t="str">
        <f>C311 &amp; "." &amp; D311</f>
        <v>Steps.ControlKind</v>
      </c>
      <c r="C311" s="2" t="s">
        <v>1758</v>
      </c>
      <c r="D311" s="2" t="s">
        <v>523</v>
      </c>
      <c r="E311" s="2" t="s">
        <v>2385</v>
      </c>
      <c r="F311" s="2" t="s">
        <v>2386</v>
      </c>
      <c r="G311" s="2"/>
      <c r="H311" s="2"/>
      <c r="I311" s="3" t="b">
        <f>OR(E311 = "calculated", E311 = "lookup", E311 = "aggregation")</f>
        <v>0</v>
      </c>
      <c r="J311" s="3" t="b">
        <f>H311 &lt;&gt; ""</f>
        <v>0</v>
      </c>
      <c r="K311" s="3">
        <f>COUNTIFS(FieldDisagreements!D2:D999, A311)</f>
        <v>0</v>
      </c>
      <c r="L311" s="3" t="b">
        <f>K311 &gt; 0</f>
        <v>0</v>
      </c>
      <c r="M311" s="2" t="s">
        <v>2387</v>
      </c>
    </row>
    <row r="312">
      <c r="A312" s="2" t="s">
        <v>2886</v>
      </c>
      <c r="B312" s="3" t="str">
        <f>C312 &amp; "." &amp; D312</f>
        <v>Steps.UnwarrantedBoundaryCount</v>
      </c>
      <c r="C312" s="2" t="s">
        <v>1758</v>
      </c>
      <c r="D312" s="2" t="s">
        <v>524</v>
      </c>
      <c r="E312" s="2" t="s">
        <v>2438</v>
      </c>
      <c r="F312" s="2" t="s">
        <v>2444</v>
      </c>
      <c r="G312" s="2" t="s">
        <v>2887</v>
      </c>
      <c r="H312" s="2" t="s">
        <v>2180</v>
      </c>
      <c r="I312" s="3" t="b">
        <f>OR(E312 = "calculated", E312 = "lookup", E312 = "aggregation")</f>
        <v>1</v>
      </c>
      <c r="J312" s="3" t="b">
        <f>H312 &lt;&gt; ""</f>
        <v>1</v>
      </c>
      <c r="K312" s="3">
        <f>COUNTIFS(FieldDisagreements!D2:D999, A312)</f>
        <v>1</v>
      </c>
      <c r="L312" s="3" t="b">
        <f>K312 &gt; 0</f>
        <v>1</v>
      </c>
      <c r="M312" s="2" t="s">
        <v>2387</v>
      </c>
    </row>
    <row r="313">
      <c r="A313" s="2" t="s">
        <v>2888</v>
      </c>
      <c r="B313" s="3" t="str">
        <f>C313 &amp; "." &amp; D313</f>
        <v>Steps.IsGovernedByUnwarrantedBoundary</v>
      </c>
      <c r="C313" s="2" t="s">
        <v>1758</v>
      </c>
      <c r="D313" s="2" t="s">
        <v>525</v>
      </c>
      <c r="E313" s="2" t="s">
        <v>2389</v>
      </c>
      <c r="F313" s="2" t="s">
        <v>2401</v>
      </c>
      <c r="G313" s="2" t="s">
        <v>2889</v>
      </c>
      <c r="H313" s="2" t="s">
        <v>2180</v>
      </c>
      <c r="I313" s="3" t="b">
        <f>OR(E313 = "calculated", E313 = "lookup", E313 = "aggregation")</f>
        <v>1</v>
      </c>
      <c r="J313" s="3" t="b">
        <f>H313 &lt;&gt; ""</f>
        <v>1</v>
      </c>
      <c r="K313" s="3">
        <f>COUNTIFS(FieldDisagreements!D2:D999, A313)</f>
        <v>1</v>
      </c>
      <c r="L313" s="3" t="b">
        <f>K313 &gt; 0</f>
        <v>1</v>
      </c>
      <c r="M313" s="2" t="s">
        <v>2387</v>
      </c>
    </row>
    <row r="314">
      <c r="A314" s="2" t="s">
        <v>2890</v>
      </c>
      <c r="B314" s="3" t="str">
        <f>C314 &amp; "." &amp; D314</f>
        <v>Steps.SoftwareExecutionCount</v>
      </c>
      <c r="C314" s="2" t="s">
        <v>1758</v>
      </c>
      <c r="D314" s="2" t="s">
        <v>526</v>
      </c>
      <c r="E314" s="2" t="s">
        <v>2438</v>
      </c>
      <c r="F314" s="2" t="s">
        <v>2444</v>
      </c>
      <c r="G314" s="2" t="s">
        <v>2891</v>
      </c>
      <c r="H314" s="2" t="s">
        <v>2200</v>
      </c>
      <c r="I314" s="3" t="b">
        <f>OR(E314 = "calculated", E314 = "lookup", E314 = "aggregation")</f>
        <v>1</v>
      </c>
      <c r="J314" s="3" t="b">
        <f>H314 &lt;&gt; ""</f>
        <v>1</v>
      </c>
      <c r="K314" s="3">
        <f>COUNTIFS(FieldDisagreements!D2:D999, A314)</f>
        <v>0</v>
      </c>
      <c r="L314" s="3" t="b">
        <f>K314 &gt; 0</f>
        <v>0</v>
      </c>
      <c r="M314" s="2" t="s">
        <v>2387</v>
      </c>
    </row>
    <row r="315">
      <c r="A315" s="2" t="s">
        <v>2892</v>
      </c>
      <c r="B315" s="3" t="str">
        <f>C315 &amp; "." &amp; D315</f>
        <v>Steps.HasBeenApproachedBySoftware</v>
      </c>
      <c r="C315" s="2" t="s">
        <v>1758</v>
      </c>
      <c r="D315" s="2" t="s">
        <v>527</v>
      </c>
      <c r="E315" s="2" t="s">
        <v>2389</v>
      </c>
      <c r="F315" s="2" t="s">
        <v>2401</v>
      </c>
      <c r="G315" s="2" t="s">
        <v>2893</v>
      </c>
      <c r="H315" s="2" t="s">
        <v>2200</v>
      </c>
      <c r="I315" s="3" t="b">
        <f>OR(E315 = "calculated", E315 = "lookup", E315 = "aggregation")</f>
        <v>1</v>
      </c>
      <c r="J315" s="3" t="b">
        <f>H315 &lt;&gt; ""</f>
        <v>1</v>
      </c>
      <c r="K315" s="3">
        <f>COUNTIFS(FieldDisagreements!D2:D999, A315)</f>
        <v>0</v>
      </c>
      <c r="L315" s="3" t="b">
        <f>K315 &gt; 0</f>
        <v>0</v>
      </c>
      <c r="M315" s="2" t="s">
        <v>2387</v>
      </c>
    </row>
    <row r="316">
      <c r="A316" s="2" t="s">
        <v>2894</v>
      </c>
      <c r="B316" s="3" t="str">
        <f>C316 &amp; "." &amp; D316</f>
        <v>Steps.IsUnexercisedHumanGate</v>
      </c>
      <c r="C316" s="2" t="s">
        <v>1758</v>
      </c>
      <c r="D316" s="2" t="s">
        <v>528</v>
      </c>
      <c r="E316" s="2" t="s">
        <v>2389</v>
      </c>
      <c r="F316" s="2" t="s">
        <v>2401</v>
      </c>
      <c r="G316" s="2" t="s">
        <v>2895</v>
      </c>
      <c r="H316" s="2" t="s">
        <v>2200</v>
      </c>
      <c r="I316" s="3" t="b">
        <f>OR(E316 = "calculated", E316 = "lookup", E316 = "aggregation")</f>
        <v>1</v>
      </c>
      <c r="J316" s="3" t="b">
        <f>H316 &lt;&gt; ""</f>
        <v>1</v>
      </c>
      <c r="K316" s="3">
        <f>COUNTIFS(FieldDisagreements!D2:D999, A316)</f>
        <v>0</v>
      </c>
      <c r="L316" s="3" t="b">
        <f>K316 &gt; 0</f>
        <v>0</v>
      </c>
      <c r="M316" s="2" t="s">
        <v>2387</v>
      </c>
    </row>
    <row r="317">
      <c r="A317" s="2" t="s">
        <v>2896</v>
      </c>
      <c r="B317" s="3" t="str">
        <f>C317 &amp; "." &amp; D317</f>
        <v>Steps.IsDemonstratedHumanGate</v>
      </c>
      <c r="C317" s="2" t="s">
        <v>1758</v>
      </c>
      <c r="D317" s="2" t="s">
        <v>529</v>
      </c>
      <c r="E317" s="2" t="s">
        <v>2389</v>
      </c>
      <c r="F317" s="2" t="s">
        <v>2401</v>
      </c>
      <c r="G317" s="2" t="s">
        <v>2897</v>
      </c>
      <c r="H317" s="2" t="s">
        <v>2200</v>
      </c>
      <c r="I317" s="3" t="b">
        <f>OR(E317 = "calculated", E317 = "lookup", E317 = "aggregation")</f>
        <v>1</v>
      </c>
      <c r="J317" s="3" t="b">
        <f>H317 &lt;&gt; ""</f>
        <v>1</v>
      </c>
      <c r="K317" s="3">
        <f>COUNTIFS(FieldDisagreements!D2:D999, A317)</f>
        <v>0</v>
      </c>
      <c r="L317" s="3" t="b">
        <f>K317 &gt; 0</f>
        <v>0</v>
      </c>
      <c r="M317" s="2" t="s">
        <v>2387</v>
      </c>
    </row>
    <row r="318">
      <c r="A318" s="2" t="s">
        <v>2898</v>
      </c>
      <c r="B318" s="3" t="str">
        <f>C318 &amp; "." &amp; D318</f>
        <v>Steps.UnexercisedGateVersionKey</v>
      </c>
      <c r="C318" s="2" t="s">
        <v>1758</v>
      </c>
      <c r="D318" s="2" t="s">
        <v>530</v>
      </c>
      <c r="E318" s="2" t="s">
        <v>2389</v>
      </c>
      <c r="F318" s="2" t="s">
        <v>2386</v>
      </c>
      <c r="G318" s="2" t="s">
        <v>2899</v>
      </c>
      <c r="H318" s="2" t="s">
        <v>2200</v>
      </c>
      <c r="I318" s="3" t="b">
        <f>OR(E318 = "calculated", E318 = "lookup", E318 = "aggregation")</f>
        <v>1</v>
      </c>
      <c r="J318" s="3" t="b">
        <f>H318 &lt;&gt; ""</f>
        <v>1</v>
      </c>
      <c r="K318" s="3">
        <f>COUNTIFS(FieldDisagreements!D2:D999, A318)</f>
        <v>0</v>
      </c>
      <c r="L318" s="3" t="b">
        <f>K318 &gt; 0</f>
        <v>0</v>
      </c>
      <c r="M318" s="2" t="s">
        <v>2387</v>
      </c>
    </row>
    <row r="319">
      <c r="A319" s="2" t="s">
        <v>2900</v>
      </c>
      <c r="B319" s="3" t="str">
        <f>C319 &amp; "." &amp; D319</f>
        <v>Steps.HasDeclaredControlKind</v>
      </c>
      <c r="C319" s="2" t="s">
        <v>1758</v>
      </c>
      <c r="D319" s="2" t="s">
        <v>531</v>
      </c>
      <c r="E319" s="2" t="s">
        <v>2389</v>
      </c>
      <c r="F319" s="2" t="s">
        <v>2401</v>
      </c>
      <c r="G319" s="2" t="s">
        <v>2901</v>
      </c>
      <c r="H319" s="2" t="s">
        <v>2232</v>
      </c>
      <c r="I319" s="3" t="b">
        <f>OR(E319 = "calculated", E319 = "lookup", E319 = "aggregation")</f>
        <v>1</v>
      </c>
      <c r="J319" s="3" t="b">
        <f>H319 &lt;&gt; ""</f>
        <v>1</v>
      </c>
      <c r="K319" s="3">
        <f>COUNTIFS(FieldDisagreements!D2:D999, A319)</f>
        <v>0</v>
      </c>
      <c r="L319" s="3" t="b">
        <f>K319 &gt; 0</f>
        <v>0</v>
      </c>
      <c r="M319" s="2" t="s">
        <v>2387</v>
      </c>
    </row>
    <row r="320">
      <c r="A320" s="2" t="s">
        <v>2902</v>
      </c>
      <c r="B320" s="3" t="str">
        <f>C320 &amp; "." &amp; D320</f>
        <v>Steps.UndeclaredControlVersionKey</v>
      </c>
      <c r="C320" s="2" t="s">
        <v>1758</v>
      </c>
      <c r="D320" s="2" t="s">
        <v>532</v>
      </c>
      <c r="E320" s="2" t="s">
        <v>2389</v>
      </c>
      <c r="F320" s="2" t="s">
        <v>2386</v>
      </c>
      <c r="G320" s="2" t="s">
        <v>2903</v>
      </c>
      <c r="H320" s="2" t="s">
        <v>2232</v>
      </c>
      <c r="I320" s="3" t="b">
        <f>OR(E320 = "calculated", E320 = "lookup", E320 = "aggregation")</f>
        <v>1</v>
      </c>
      <c r="J320" s="3" t="b">
        <f>H320 &lt;&gt; ""</f>
        <v>1</v>
      </c>
      <c r="K320" s="3">
        <f>COUNTIFS(FieldDisagreements!D2:D999, A320)</f>
        <v>0</v>
      </c>
      <c r="L320" s="3" t="b">
        <f>K320 &gt; 0</f>
        <v>0</v>
      </c>
      <c r="M320" s="2" t="s">
        <v>2387</v>
      </c>
    </row>
    <row r="321">
      <c r="A321" s="2" t="s">
        <v>2904</v>
      </c>
      <c r="B321" s="3" t="str">
        <f>C321 &amp; "." &amp; D321</f>
        <v>Steps.ApprovalStepIsSoftwareAssigned</v>
      </c>
      <c r="C321" s="2" t="s">
        <v>1758</v>
      </c>
      <c r="D321" s="2" t="s">
        <v>533</v>
      </c>
      <c r="E321" s="2" t="s">
        <v>2389</v>
      </c>
      <c r="F321" s="2" t="s">
        <v>2401</v>
      </c>
      <c r="G321" s="2" t="s">
        <v>2905</v>
      </c>
      <c r="H321" s="2" t="s">
        <v>2232</v>
      </c>
      <c r="I321" s="3" t="b">
        <f>OR(E321 = "calculated", E321 = "lookup", E321 = "aggregation")</f>
        <v>1</v>
      </c>
      <c r="J321" s="3" t="b">
        <f>H321 &lt;&gt; ""</f>
        <v>1</v>
      </c>
      <c r="K321" s="3">
        <f>COUNTIFS(FieldDisagreements!D2:D999, A321)</f>
        <v>0</v>
      </c>
      <c r="L321" s="3" t="b">
        <f>K321 &gt; 0</f>
        <v>0</v>
      </c>
      <c r="M321" s="2" t="s">
        <v>2387</v>
      </c>
    </row>
    <row r="322">
      <c r="A322" s="2" t="s">
        <v>2906</v>
      </c>
      <c r="B322" s="3" t="str">
        <f>C322 &amp; "." &amp; D322</f>
        <v>Steps.UnwitnessedBlockingCount</v>
      </c>
      <c r="C322" s="2" t="s">
        <v>1758</v>
      </c>
      <c r="D322" s="2" t="s">
        <v>534</v>
      </c>
      <c r="E322" s="2" t="s">
        <v>2438</v>
      </c>
      <c r="F322" s="2" t="s">
        <v>2444</v>
      </c>
      <c r="G322" s="2" t="s">
        <v>2907</v>
      </c>
      <c r="H322" s="2" t="s">
        <v>2244</v>
      </c>
      <c r="I322" s="3" t="b">
        <f>OR(E322 = "calculated", E322 = "lookup", E322 = "aggregation")</f>
        <v>1</v>
      </c>
      <c r="J322" s="3" t="b">
        <f>H322 &lt;&gt; ""</f>
        <v>1</v>
      </c>
      <c r="K322" s="3">
        <f>COUNTIFS(FieldDisagreements!D2:D999, A322)</f>
        <v>0</v>
      </c>
      <c r="L322" s="3" t="b">
        <f>K322 &gt; 0</f>
        <v>0</v>
      </c>
      <c r="M322" s="2" t="s">
        <v>2387</v>
      </c>
    </row>
    <row r="323">
      <c r="A323" s="2" t="s">
        <v>2908</v>
      </c>
      <c r="B323" s="3" t="str">
        <f>C323 &amp; "." &amp; D323</f>
        <v>Steps.SemanticTypeIri</v>
      </c>
      <c r="C323" s="2" t="s">
        <v>1758</v>
      </c>
      <c r="D323" s="2" t="s">
        <v>94</v>
      </c>
      <c r="E323" s="2" t="s">
        <v>2385</v>
      </c>
      <c r="F323" s="2" t="s">
        <v>2386</v>
      </c>
      <c r="G323" s="2"/>
      <c r="H323" s="2"/>
      <c r="I323" s="3" t="b">
        <f>OR(E323 = "calculated", E323 = "lookup", E323 = "aggregation")</f>
        <v>0</v>
      </c>
      <c r="J323" s="3" t="b">
        <f>H323 &lt;&gt; ""</f>
        <v>0</v>
      </c>
      <c r="K323" s="3">
        <f>COUNTIFS(FieldDisagreements!D2:D999, A323)</f>
        <v>0</v>
      </c>
      <c r="L323" s="3" t="b">
        <f>K323 &gt; 0</f>
        <v>0</v>
      </c>
      <c r="M323" s="2" t="s">
        <v>2387</v>
      </c>
    </row>
    <row r="324">
      <c r="A324" s="2" t="s">
        <v>2909</v>
      </c>
      <c r="B324" s="3" t="str">
        <f>C324 &amp; "." &amp; D324</f>
        <v>StepTransitions.StepTransitionId</v>
      </c>
      <c r="C324" s="2" t="s">
        <v>1764</v>
      </c>
      <c r="D324" s="2" t="s">
        <v>608</v>
      </c>
      <c r="E324" s="2" t="s">
        <v>2385</v>
      </c>
      <c r="F324" s="2" t="s">
        <v>2386</v>
      </c>
      <c r="G324" s="2"/>
      <c r="H324" s="2"/>
      <c r="I324" s="3" t="b">
        <f>OR(E324 = "calculated", E324 = "lookup", E324 = "aggregation")</f>
        <v>0</v>
      </c>
      <c r="J324" s="3" t="b">
        <f>H324 &lt;&gt; ""</f>
        <v>0</v>
      </c>
      <c r="K324" s="3">
        <f>COUNTIFS(FieldDisagreements!D2:D999, A324)</f>
        <v>0</v>
      </c>
      <c r="L324" s="3" t="b">
        <f>K324 &gt; 0</f>
        <v>0</v>
      </c>
      <c r="M324" s="2" t="s">
        <v>2387</v>
      </c>
    </row>
    <row r="325">
      <c r="A325" s="2" t="s">
        <v>2910</v>
      </c>
      <c r="B325" s="3" t="str">
        <f>C325 &amp; "." &amp; D325</f>
        <v>StepTransitions.Name</v>
      </c>
      <c r="C325" s="2" t="s">
        <v>1764</v>
      </c>
      <c r="D325" s="2" t="s">
        <v>1</v>
      </c>
      <c r="E325" s="2" t="s">
        <v>2389</v>
      </c>
      <c r="F325" s="2" t="s">
        <v>2386</v>
      </c>
      <c r="G325" s="2" t="s">
        <v>2911</v>
      </c>
      <c r="H325" s="2"/>
      <c r="I325" s="3" t="b">
        <f>OR(E325 = "calculated", E325 = "lookup", E325 = "aggregation")</f>
        <v>1</v>
      </c>
      <c r="J325" s="3" t="b">
        <f>H325 &lt;&gt; ""</f>
        <v>0</v>
      </c>
      <c r="K325" s="3">
        <f>COUNTIFS(FieldDisagreements!D2:D999, A325)</f>
        <v>0</v>
      </c>
      <c r="L325" s="3" t="b">
        <f>K325 &gt; 0</f>
        <v>0</v>
      </c>
      <c r="M325" s="2" t="s">
        <v>2387</v>
      </c>
    </row>
    <row r="326">
      <c r="A326" s="2" t="s">
        <v>2912</v>
      </c>
      <c r="B326" s="3" t="str">
        <f>C326 &amp; "." &amp; D326</f>
        <v>StepTransitions.ProcedureVersion</v>
      </c>
      <c r="C326" s="2" t="s">
        <v>1764</v>
      </c>
      <c r="D326" s="2" t="s">
        <v>477</v>
      </c>
      <c r="E326" s="2" t="s">
        <v>2434</v>
      </c>
      <c r="F326" s="2" t="s">
        <v>2386</v>
      </c>
      <c r="G326" s="2"/>
      <c r="H326" s="2"/>
      <c r="I326" s="3" t="b">
        <f>OR(E326 = "calculated", E326 = "lookup", E326 = "aggregation")</f>
        <v>0</v>
      </c>
      <c r="J326" s="3" t="b">
        <f>H326 &lt;&gt; ""</f>
        <v>0</v>
      </c>
      <c r="K326" s="3">
        <f>COUNTIFS(FieldDisagreements!D2:D999, A326)</f>
        <v>0</v>
      </c>
      <c r="L326" s="3" t="b">
        <f>K326 &gt; 0</f>
        <v>0</v>
      </c>
      <c r="M326" s="2" t="s">
        <v>2387</v>
      </c>
    </row>
    <row r="327">
      <c r="A327" s="2" t="s">
        <v>1767</v>
      </c>
      <c r="B327" s="3" t="str">
        <f>C327 &amp; "." &amp; D327</f>
        <v>StepTransitions.FromStep</v>
      </c>
      <c r="C327" s="2" t="s">
        <v>1764</v>
      </c>
      <c r="D327" s="2" t="s">
        <v>609</v>
      </c>
      <c r="E327" s="2" t="s">
        <v>2434</v>
      </c>
      <c r="F327" s="2" t="s">
        <v>2386</v>
      </c>
      <c r="G327" s="2"/>
      <c r="H327" s="2"/>
      <c r="I327" s="3" t="b">
        <f>OR(E327 = "calculated", E327 = "lookup", E327 = "aggregation")</f>
        <v>0</v>
      </c>
      <c r="J327" s="3" t="b">
        <f>H327 &lt;&gt; ""</f>
        <v>0</v>
      </c>
      <c r="K327" s="3">
        <f>COUNTIFS(FieldDisagreements!D2:D999, A327)</f>
        <v>0</v>
      </c>
      <c r="L327" s="3" t="b">
        <f>K327 &gt; 0</f>
        <v>0</v>
      </c>
      <c r="M327" s="2" t="s">
        <v>2387</v>
      </c>
    </row>
    <row r="328">
      <c r="A328" s="2" t="s">
        <v>1772</v>
      </c>
      <c r="B328" s="3" t="str">
        <f>C328 &amp; "." &amp; D328</f>
        <v>StepTransitions.ToStep</v>
      </c>
      <c r="C328" s="2" t="s">
        <v>1764</v>
      </c>
      <c r="D328" s="2" t="s">
        <v>610</v>
      </c>
      <c r="E328" s="2" t="s">
        <v>2434</v>
      </c>
      <c r="F328" s="2" t="s">
        <v>2386</v>
      </c>
      <c r="G328" s="2"/>
      <c r="H328" s="2"/>
      <c r="I328" s="3" t="b">
        <f>OR(E328 = "calculated", E328 = "lookup", E328 = "aggregation")</f>
        <v>0</v>
      </c>
      <c r="J328" s="3" t="b">
        <f>H328 &lt;&gt; ""</f>
        <v>0</v>
      </c>
      <c r="K328" s="3">
        <f>COUNTIFS(FieldDisagreements!D2:D999, A328)</f>
        <v>0</v>
      </c>
      <c r="L328" s="3" t="b">
        <f>K328 &gt; 0</f>
        <v>0</v>
      </c>
      <c r="M328" s="2" t="s">
        <v>2387</v>
      </c>
    </row>
    <row r="329">
      <c r="A329" s="2" t="s">
        <v>2913</v>
      </c>
      <c r="B329" s="3" t="str">
        <f>C329 &amp; "." &amp; D329</f>
        <v>StepTransitions.TransitionKind</v>
      </c>
      <c r="C329" s="2" t="s">
        <v>1764</v>
      </c>
      <c r="D329" s="2" t="s">
        <v>611</v>
      </c>
      <c r="E329" s="2" t="s">
        <v>2385</v>
      </c>
      <c r="F329" s="2" t="s">
        <v>2386</v>
      </c>
      <c r="G329" s="2"/>
      <c r="H329" s="2"/>
      <c r="I329" s="3" t="b">
        <f>OR(E329 = "calculated", E329 = "lookup", E329 = "aggregation")</f>
        <v>0</v>
      </c>
      <c r="J329" s="3" t="b">
        <f>H329 &lt;&gt; ""</f>
        <v>0</v>
      </c>
      <c r="K329" s="3">
        <f>COUNTIFS(FieldDisagreements!D2:D999, A329)</f>
        <v>0</v>
      </c>
      <c r="L329" s="3" t="b">
        <f>K329 &gt; 0</f>
        <v>0</v>
      </c>
      <c r="M329" s="2" t="s">
        <v>2387</v>
      </c>
    </row>
    <row r="330">
      <c r="A330" s="2" t="s">
        <v>2914</v>
      </c>
      <c r="B330" s="3" t="str">
        <f>C330 &amp; "." &amp; D330</f>
        <v>StepTransitions.Condition</v>
      </c>
      <c r="C330" s="2" t="s">
        <v>1764</v>
      </c>
      <c r="D330" s="2" t="s">
        <v>612</v>
      </c>
      <c r="E330" s="2" t="s">
        <v>2385</v>
      </c>
      <c r="F330" s="2" t="s">
        <v>2386</v>
      </c>
      <c r="G330" s="2"/>
      <c r="H330" s="2"/>
      <c r="I330" s="3" t="b">
        <f>OR(E330 = "calculated", E330 = "lookup", E330 = "aggregation")</f>
        <v>0</v>
      </c>
      <c r="J330" s="3" t="b">
        <f>H330 &lt;&gt; ""</f>
        <v>0</v>
      </c>
      <c r="K330" s="3">
        <f>COUNTIFS(FieldDisagreements!D2:D999, A330)</f>
        <v>0</v>
      </c>
      <c r="L330" s="3" t="b">
        <f>K330 &gt; 0</f>
        <v>0</v>
      </c>
      <c r="M330" s="2" t="s">
        <v>2387</v>
      </c>
    </row>
    <row r="331">
      <c r="A331" s="2" t="s">
        <v>2915</v>
      </c>
      <c r="B331" s="3" t="str">
        <f>C331 &amp; "." &amp; D331</f>
        <v>StepTransitions.Priority</v>
      </c>
      <c r="C331" s="2" t="s">
        <v>1764</v>
      </c>
      <c r="D331" s="2" t="s">
        <v>613</v>
      </c>
      <c r="E331" s="2" t="s">
        <v>2385</v>
      </c>
      <c r="F331" s="2" t="s">
        <v>2439</v>
      </c>
      <c r="G331" s="2"/>
      <c r="H331" s="2"/>
      <c r="I331" s="3" t="b">
        <f>OR(E331 = "calculated", E331 = "lookup", E331 = "aggregation")</f>
        <v>0</v>
      </c>
      <c r="J331" s="3" t="b">
        <f>H331 &lt;&gt; ""</f>
        <v>0</v>
      </c>
      <c r="K331" s="3">
        <f>COUNTIFS(FieldDisagreements!D2:D999, A331)</f>
        <v>0</v>
      </c>
      <c r="L331" s="3" t="b">
        <f>K331 &gt; 0</f>
        <v>0</v>
      </c>
      <c r="M331" s="2" t="s">
        <v>2387</v>
      </c>
    </row>
    <row r="332">
      <c r="A332" s="2" t="s">
        <v>2916</v>
      </c>
      <c r="B332" s="3" t="str">
        <f>C332 &amp; "." &amp; D332</f>
        <v>StepTransitions.IsRecoveryPath</v>
      </c>
      <c r="C332" s="2" t="s">
        <v>1764</v>
      </c>
      <c r="D332" s="2" t="s">
        <v>614</v>
      </c>
      <c r="E332" s="2" t="s">
        <v>2389</v>
      </c>
      <c r="F332" s="2" t="s">
        <v>2401</v>
      </c>
      <c r="G332" s="2" t="s">
        <v>2917</v>
      </c>
      <c r="H332" s="2" t="s">
        <v>2004</v>
      </c>
      <c r="I332" s="3" t="b">
        <f>OR(E332 = "calculated", E332 = "lookup", E332 = "aggregation")</f>
        <v>1</v>
      </c>
      <c r="J332" s="3" t="b">
        <f>H332 &lt;&gt; ""</f>
        <v>1</v>
      </c>
      <c r="K332" s="3">
        <f>COUNTIFS(FieldDisagreements!D2:D999, A332)</f>
        <v>0</v>
      </c>
      <c r="L332" s="3" t="b">
        <f>K332 &gt; 0</f>
        <v>0</v>
      </c>
      <c r="M332" s="2" t="s">
        <v>2387</v>
      </c>
    </row>
    <row r="333">
      <c r="A333" s="2" t="s">
        <v>2918</v>
      </c>
      <c r="B333" s="3" t="str">
        <f>C333 &amp; "." &amp; D333</f>
        <v>StepTransitions.CountOfFromStepExecutions</v>
      </c>
      <c r="C333" s="2" t="s">
        <v>1764</v>
      </c>
      <c r="D333" s="2" t="s">
        <v>615</v>
      </c>
      <c r="E333" s="2" t="s">
        <v>2438</v>
      </c>
      <c r="F333" s="2" t="s">
        <v>2439</v>
      </c>
      <c r="G333" s="2" t="s">
        <v>2919</v>
      </c>
      <c r="H333" s="2" t="s">
        <v>2004</v>
      </c>
      <c r="I333" s="3" t="b">
        <f>OR(E333 = "calculated", E333 = "lookup", E333 = "aggregation")</f>
        <v>1</v>
      </c>
      <c r="J333" s="3" t="b">
        <f>H333 &lt;&gt; ""</f>
        <v>1</v>
      </c>
      <c r="K333" s="3">
        <f>COUNTIFS(FieldDisagreements!D2:D999, A333)</f>
        <v>1</v>
      </c>
      <c r="L333" s="3" t="b">
        <f>K333 &gt; 0</f>
        <v>1</v>
      </c>
      <c r="M333" s="2" t="s">
        <v>2387</v>
      </c>
    </row>
    <row r="334">
      <c r="A334" s="2" t="s">
        <v>2920</v>
      </c>
      <c r="B334" s="3" t="str">
        <f>C334 &amp; "." &amp; D334</f>
        <v>StepTransitions.CountOfToStepExecutions</v>
      </c>
      <c r="C334" s="2" t="s">
        <v>1764</v>
      </c>
      <c r="D334" s="2" t="s">
        <v>616</v>
      </c>
      <c r="E334" s="2" t="s">
        <v>2438</v>
      </c>
      <c r="F334" s="2" t="s">
        <v>2439</v>
      </c>
      <c r="G334" s="2" t="s">
        <v>2921</v>
      </c>
      <c r="H334" s="2" t="s">
        <v>2004</v>
      </c>
      <c r="I334" s="3" t="b">
        <f>OR(E334 = "calculated", E334 = "lookup", E334 = "aggregation")</f>
        <v>1</v>
      </c>
      <c r="J334" s="3" t="b">
        <f>H334 &lt;&gt; ""</f>
        <v>1</v>
      </c>
      <c r="K334" s="3">
        <f>COUNTIFS(FieldDisagreements!D2:D999, A334)</f>
        <v>1</v>
      </c>
      <c r="L334" s="3" t="b">
        <f>K334 &gt; 0</f>
        <v>1</v>
      </c>
      <c r="M334" s="2" t="s">
        <v>2387</v>
      </c>
    </row>
    <row r="335">
      <c r="A335" s="2" t="s">
        <v>2922</v>
      </c>
      <c r="B335" s="3" t="str">
        <f>C335 &amp; "." &amp; D335</f>
        <v>StepTransitions.HasReachableOrigin</v>
      </c>
      <c r="C335" s="2" t="s">
        <v>1764</v>
      </c>
      <c r="D335" s="2" t="s">
        <v>617</v>
      </c>
      <c r="E335" s="2" t="s">
        <v>2389</v>
      </c>
      <c r="F335" s="2" t="s">
        <v>2401</v>
      </c>
      <c r="G335" s="2" t="s">
        <v>2923</v>
      </c>
      <c r="H335" s="2" t="s">
        <v>2004</v>
      </c>
      <c r="I335" s="3" t="b">
        <f>OR(E335 = "calculated", E335 = "lookup", E335 = "aggregation")</f>
        <v>1</v>
      </c>
      <c r="J335" s="3" t="b">
        <f>H335 &lt;&gt; ""</f>
        <v>1</v>
      </c>
      <c r="K335" s="3">
        <f>COUNTIFS(FieldDisagreements!D2:D999, A335)</f>
        <v>1</v>
      </c>
      <c r="L335" s="3" t="b">
        <f>K335 &gt; 0</f>
        <v>1</v>
      </c>
      <c r="M335" s="2" t="s">
        <v>2387</v>
      </c>
    </row>
    <row r="336">
      <c r="A336" s="2" t="s">
        <v>2924</v>
      </c>
      <c r="B336" s="3" t="str">
        <f>C336 &amp; "." &amp; D336</f>
        <v>StepTransitions.HasReachableTarget</v>
      </c>
      <c r="C336" s="2" t="s">
        <v>1764</v>
      </c>
      <c r="D336" s="2" t="s">
        <v>618</v>
      </c>
      <c r="E336" s="2" t="s">
        <v>2389</v>
      </c>
      <c r="F336" s="2" t="s">
        <v>2401</v>
      </c>
      <c r="G336" s="2" t="s">
        <v>2925</v>
      </c>
      <c r="H336" s="2" t="s">
        <v>2004</v>
      </c>
      <c r="I336" s="3" t="b">
        <f>OR(E336 = "calculated", E336 = "lookup", E336 = "aggregation")</f>
        <v>1</v>
      </c>
      <c r="J336" s="3" t="b">
        <f>H336 &lt;&gt; ""</f>
        <v>1</v>
      </c>
      <c r="K336" s="3">
        <f>COUNTIFS(FieldDisagreements!D2:D999, A336)</f>
        <v>1</v>
      </c>
      <c r="L336" s="3" t="b">
        <f>K336 &gt; 0</f>
        <v>1</v>
      </c>
      <c r="M336" s="2" t="s">
        <v>2387</v>
      </c>
    </row>
    <row r="337">
      <c r="A337" s="2" t="s">
        <v>2926</v>
      </c>
      <c r="B337" s="3" t="str">
        <f>C337 &amp; "." &amp; D337</f>
        <v>StepTransitions.IsNeverExercised</v>
      </c>
      <c r="C337" s="2" t="s">
        <v>1764</v>
      </c>
      <c r="D337" s="2" t="s">
        <v>619</v>
      </c>
      <c r="E337" s="2" t="s">
        <v>2389</v>
      </c>
      <c r="F337" s="2" t="s">
        <v>2401</v>
      </c>
      <c r="G337" s="2" t="s">
        <v>2927</v>
      </c>
      <c r="H337" s="2" t="s">
        <v>2004</v>
      </c>
      <c r="I337" s="3" t="b">
        <f>OR(E337 = "calculated", E337 = "lookup", E337 = "aggregation")</f>
        <v>1</v>
      </c>
      <c r="J337" s="3" t="b">
        <f>H337 &lt;&gt; ""</f>
        <v>1</v>
      </c>
      <c r="K337" s="3">
        <f>COUNTIFS(FieldDisagreements!D2:D999, A337)</f>
        <v>1</v>
      </c>
      <c r="L337" s="3" t="b">
        <f>K337 &gt; 0</f>
        <v>1</v>
      </c>
      <c r="M337" s="2" t="s">
        <v>2387</v>
      </c>
    </row>
    <row r="338">
      <c r="A338" s="2" t="s">
        <v>2928</v>
      </c>
      <c r="B338" s="3" t="str">
        <f>C338 &amp; "." &amp; D338</f>
        <v>StepTransitions.IsUntestedRecoveryPath</v>
      </c>
      <c r="C338" s="2" t="s">
        <v>1764</v>
      </c>
      <c r="D338" s="2" t="s">
        <v>620</v>
      </c>
      <c r="E338" s="2" t="s">
        <v>2389</v>
      </c>
      <c r="F338" s="2" t="s">
        <v>2401</v>
      </c>
      <c r="G338" s="2" t="s">
        <v>2929</v>
      </c>
      <c r="H338" s="2" t="s">
        <v>2004</v>
      </c>
      <c r="I338" s="3" t="b">
        <f>OR(E338 = "calculated", E338 = "lookup", E338 = "aggregation")</f>
        <v>1</v>
      </c>
      <c r="J338" s="3" t="b">
        <f>H338 &lt;&gt; ""</f>
        <v>1</v>
      </c>
      <c r="K338" s="3">
        <f>COUNTIFS(FieldDisagreements!D2:D999, A338)</f>
        <v>1</v>
      </c>
      <c r="L338" s="3" t="b">
        <f>K338 &gt; 0</f>
        <v>1</v>
      </c>
      <c r="M338" s="2" t="s">
        <v>2387</v>
      </c>
    </row>
    <row r="339">
      <c r="A339" s="2" t="s">
        <v>2930</v>
      </c>
      <c r="B339" s="3" t="str">
        <f>C339 &amp; "." &amp; D339</f>
        <v>StepTransitions.CountOfObservedTraversals</v>
      </c>
      <c r="C339" s="2" t="s">
        <v>1764</v>
      </c>
      <c r="D339" s="2" t="s">
        <v>621</v>
      </c>
      <c r="E339" s="2" t="s">
        <v>2438</v>
      </c>
      <c r="F339" s="2" t="s">
        <v>2439</v>
      </c>
      <c r="G339" s="2" t="s">
        <v>2931</v>
      </c>
      <c r="H339" s="2" t="s">
        <v>2004</v>
      </c>
      <c r="I339" s="3" t="b">
        <f>OR(E339 = "calculated", E339 = "lookup", E339 = "aggregation")</f>
        <v>1</v>
      </c>
      <c r="J339" s="3" t="b">
        <f>H339 &lt;&gt; ""</f>
        <v>1</v>
      </c>
      <c r="K339" s="3">
        <f>COUNTIFS(FieldDisagreements!D2:D999, A339)</f>
        <v>0</v>
      </c>
      <c r="L339" s="3" t="b">
        <f>K339 &gt; 0</f>
        <v>0</v>
      </c>
      <c r="M339" s="2" t="s">
        <v>2387</v>
      </c>
    </row>
    <row r="340">
      <c r="A340" s="2" t="s">
        <v>2932</v>
      </c>
      <c r="B340" s="3" t="str">
        <f>C340 &amp; "." &amp; D340</f>
        <v>StepTransitions.HasBeenTraversed</v>
      </c>
      <c r="C340" s="2" t="s">
        <v>1764</v>
      </c>
      <c r="D340" s="2" t="s">
        <v>622</v>
      </c>
      <c r="E340" s="2" t="s">
        <v>2389</v>
      </c>
      <c r="F340" s="2" t="s">
        <v>2401</v>
      </c>
      <c r="G340" s="2" t="s">
        <v>2933</v>
      </c>
      <c r="H340" s="2" t="s">
        <v>2004</v>
      </c>
      <c r="I340" s="3" t="b">
        <f>OR(E340 = "calculated", E340 = "lookup", E340 = "aggregation")</f>
        <v>1</v>
      </c>
      <c r="J340" s="3" t="b">
        <f>H340 &lt;&gt; ""</f>
        <v>1</v>
      </c>
      <c r="K340" s="3">
        <f>COUNTIFS(FieldDisagreements!D2:D999, A340)</f>
        <v>0</v>
      </c>
      <c r="L340" s="3" t="b">
        <f>K340 &gt; 0</f>
        <v>0</v>
      </c>
      <c r="M340" s="2" t="s">
        <v>2387</v>
      </c>
    </row>
    <row r="341">
      <c r="A341" s="2" t="s">
        <v>2934</v>
      </c>
      <c r="B341" s="3" t="str">
        <f>C341 &amp; "." &amp; D341</f>
        <v>StepTransitions.IsUnwalkedRecoveryPath</v>
      </c>
      <c r="C341" s="2" t="s">
        <v>1764</v>
      </c>
      <c r="D341" s="2" t="s">
        <v>623</v>
      </c>
      <c r="E341" s="2" t="s">
        <v>2389</v>
      </c>
      <c r="F341" s="2" t="s">
        <v>2401</v>
      </c>
      <c r="G341" s="2" t="s">
        <v>2935</v>
      </c>
      <c r="H341" s="2" t="s">
        <v>2004</v>
      </c>
      <c r="I341" s="3" t="b">
        <f>OR(E341 = "calculated", E341 = "lookup", E341 = "aggregation")</f>
        <v>1</v>
      </c>
      <c r="J341" s="3" t="b">
        <f>H341 &lt;&gt; ""</f>
        <v>1</v>
      </c>
      <c r="K341" s="3">
        <f>COUNTIFS(FieldDisagreements!D2:D999, A341)</f>
        <v>0</v>
      </c>
      <c r="L341" s="3" t="b">
        <f>K341 &gt; 0</f>
        <v>0</v>
      </c>
      <c r="M341" s="2" t="s">
        <v>2387</v>
      </c>
    </row>
    <row r="342">
      <c r="A342" s="2" t="s">
        <v>2936</v>
      </c>
      <c r="B342" s="3" t="str">
        <f>C342 &amp; "." &amp; D342</f>
        <v>StepTransitions.TargetBlockingRequirementCount</v>
      </c>
      <c r="C342" s="2" t="s">
        <v>1764</v>
      </c>
      <c r="D342" s="2" t="s">
        <v>624</v>
      </c>
      <c r="E342" s="2" t="s">
        <v>2478</v>
      </c>
      <c r="F342" s="2" t="s">
        <v>2444</v>
      </c>
      <c r="G342" s="2" t="s">
        <v>2937</v>
      </c>
      <c r="H342" s="2" t="s">
        <v>2216</v>
      </c>
      <c r="I342" s="3" t="b">
        <f>OR(E342 = "calculated", E342 = "lookup", E342 = "aggregation")</f>
        <v>1</v>
      </c>
      <c r="J342" s="3" t="b">
        <f>H342 &lt;&gt; ""</f>
        <v>1</v>
      </c>
      <c r="K342" s="3">
        <f>COUNTIFS(FieldDisagreements!D2:D999, A342)</f>
        <v>0</v>
      </c>
      <c r="L342" s="3" t="b">
        <f>K342 &gt; 0</f>
        <v>0</v>
      </c>
      <c r="M342" s="2" t="s">
        <v>2387</v>
      </c>
    </row>
    <row r="343">
      <c r="A343" s="2" t="s">
        <v>2938</v>
      </c>
      <c r="B343" s="3" t="str">
        <f>C343 &amp; "." &amp; D343</f>
        <v>StepTransitions.TargetCarriesBlockingControl</v>
      </c>
      <c r="C343" s="2" t="s">
        <v>1764</v>
      </c>
      <c r="D343" s="2" t="s">
        <v>625</v>
      </c>
      <c r="E343" s="2" t="s">
        <v>2389</v>
      </c>
      <c r="F343" s="2" t="s">
        <v>2401</v>
      </c>
      <c r="G343" s="2" t="s">
        <v>2939</v>
      </c>
      <c r="H343" s="2" t="s">
        <v>2216</v>
      </c>
      <c r="I343" s="3" t="b">
        <f>OR(E343 = "calculated", E343 = "lookup", E343 = "aggregation")</f>
        <v>1</v>
      </c>
      <c r="J343" s="3" t="b">
        <f>H343 &lt;&gt; ""</f>
        <v>1</v>
      </c>
      <c r="K343" s="3">
        <f>COUNTIFS(FieldDisagreements!D2:D999, A343)</f>
        <v>0</v>
      </c>
      <c r="L343" s="3" t="b">
        <f>K343 &gt; 0</f>
        <v>0</v>
      </c>
      <c r="M343" s="2" t="s">
        <v>2387</v>
      </c>
    </row>
    <row r="344">
      <c r="A344" s="2" t="s">
        <v>2940</v>
      </c>
      <c r="B344" s="3" t="str">
        <f>C344 &amp; "." &amp; D344</f>
        <v>StepTransitions.IsUnrehearsedControlEntry</v>
      </c>
      <c r="C344" s="2" t="s">
        <v>1764</v>
      </c>
      <c r="D344" s="2" t="s">
        <v>626</v>
      </c>
      <c r="E344" s="2" t="s">
        <v>2389</v>
      </c>
      <c r="F344" s="2" t="s">
        <v>2401</v>
      </c>
      <c r="G344" s="2" t="s">
        <v>2941</v>
      </c>
      <c r="H344" s="2" t="s">
        <v>2216</v>
      </c>
      <c r="I344" s="3" t="b">
        <f>OR(E344 = "calculated", E344 = "lookup", E344 = "aggregation")</f>
        <v>1</v>
      </c>
      <c r="J344" s="3" t="b">
        <f>H344 &lt;&gt; ""</f>
        <v>1</v>
      </c>
      <c r="K344" s="3">
        <f>COUNTIFS(FieldDisagreements!D2:D999, A344)</f>
        <v>0</v>
      </c>
      <c r="L344" s="3" t="b">
        <f>K344 &gt; 0</f>
        <v>0</v>
      </c>
      <c r="M344" s="2" t="s">
        <v>2387</v>
      </c>
    </row>
    <row r="345">
      <c r="A345" s="2" t="s">
        <v>2942</v>
      </c>
      <c r="B345" s="3" t="str">
        <f>C345 &amp; "." &amp; D345</f>
        <v>StepTransitions.UnrehearsedControlVersionKey</v>
      </c>
      <c r="C345" s="2" t="s">
        <v>1764</v>
      </c>
      <c r="D345" s="2" t="s">
        <v>627</v>
      </c>
      <c r="E345" s="2" t="s">
        <v>2389</v>
      </c>
      <c r="F345" s="2" t="s">
        <v>2386</v>
      </c>
      <c r="G345" s="2" t="s">
        <v>2943</v>
      </c>
      <c r="H345" s="2" t="s">
        <v>2216</v>
      </c>
      <c r="I345" s="3" t="b">
        <f>OR(E345 = "calculated", E345 = "lookup", E345 = "aggregation")</f>
        <v>1</v>
      </c>
      <c r="J345" s="3" t="b">
        <f>H345 &lt;&gt; ""</f>
        <v>1</v>
      </c>
      <c r="K345" s="3">
        <f>COUNTIFS(FieldDisagreements!D2:D999, A345)</f>
        <v>0</v>
      </c>
      <c r="L345" s="3" t="b">
        <f>K345 &gt; 0</f>
        <v>0</v>
      </c>
      <c r="M345" s="2" t="s">
        <v>2387</v>
      </c>
    </row>
    <row r="346">
      <c r="A346" s="2" t="s">
        <v>2944</v>
      </c>
      <c r="B346" s="3" t="str">
        <f>C346 &amp; "." &amp; D346</f>
        <v>StepTransitions.SemanticTypeIri</v>
      </c>
      <c r="C346" s="2" t="s">
        <v>1764</v>
      </c>
      <c r="D346" s="2" t="s">
        <v>94</v>
      </c>
      <c r="E346" s="2" t="s">
        <v>2385</v>
      </c>
      <c r="F346" s="2" t="s">
        <v>2386</v>
      </c>
      <c r="G346" s="2"/>
      <c r="H346" s="2"/>
      <c r="I346" s="3" t="b">
        <f>OR(E346 = "calculated", E346 = "lookup", E346 = "aggregation")</f>
        <v>0</v>
      </c>
      <c r="J346" s="3" t="b">
        <f>H346 &lt;&gt; ""</f>
        <v>0</v>
      </c>
      <c r="K346" s="3">
        <f>COUNTIFS(FieldDisagreements!D2:D999, A346)</f>
        <v>0</v>
      </c>
      <c r="L346" s="3" t="b">
        <f>K346 &gt; 0</f>
        <v>0</v>
      </c>
      <c r="M346" s="2" t="s">
        <v>2387</v>
      </c>
    </row>
    <row r="347">
      <c r="A347" s="2" t="s">
        <v>2945</v>
      </c>
      <c r="B347" s="3" t="str">
        <f>C347 &amp; "." &amp; D347</f>
        <v>Actions.ActionId</v>
      </c>
      <c r="C347" s="2" t="s">
        <v>1776</v>
      </c>
      <c r="D347" s="2" t="s">
        <v>656</v>
      </c>
      <c r="E347" s="2" t="s">
        <v>2385</v>
      </c>
      <c r="F347" s="2" t="s">
        <v>2386</v>
      </c>
      <c r="G347" s="2"/>
      <c r="H347" s="2"/>
      <c r="I347" s="3" t="b">
        <f>OR(E347 = "calculated", E347 = "lookup", E347 = "aggregation")</f>
        <v>0</v>
      </c>
      <c r="J347" s="3" t="b">
        <f>H347 &lt;&gt; ""</f>
        <v>0</v>
      </c>
      <c r="K347" s="3">
        <f>COUNTIFS(FieldDisagreements!D2:D999, A347)</f>
        <v>0</v>
      </c>
      <c r="L347" s="3" t="b">
        <f>K347 &gt; 0</f>
        <v>0</v>
      </c>
      <c r="M347" s="2" t="s">
        <v>2387</v>
      </c>
    </row>
    <row r="348">
      <c r="A348" s="2" t="s">
        <v>2946</v>
      </c>
      <c r="B348" s="3" t="str">
        <f>C348 &amp; "." &amp; D348</f>
        <v>Actions.Name</v>
      </c>
      <c r="C348" s="2" t="s">
        <v>1776</v>
      </c>
      <c r="D348" s="2" t="s">
        <v>1</v>
      </c>
      <c r="E348" s="2" t="s">
        <v>2389</v>
      </c>
      <c r="F348" s="2" t="s">
        <v>2386</v>
      </c>
      <c r="G348" s="2" t="s">
        <v>2473</v>
      </c>
      <c r="H348" s="2"/>
      <c r="I348" s="3" t="b">
        <f>OR(E348 = "calculated", E348 = "lookup", E348 = "aggregation")</f>
        <v>1</v>
      </c>
      <c r="J348" s="3" t="b">
        <f>H348 &lt;&gt; ""</f>
        <v>0</v>
      </c>
      <c r="K348" s="3">
        <f>COUNTIFS(FieldDisagreements!D2:D999, A348)</f>
        <v>0</v>
      </c>
      <c r="L348" s="3" t="b">
        <f>K348 &gt; 0</f>
        <v>0</v>
      </c>
      <c r="M348" s="2" t="s">
        <v>2387</v>
      </c>
    </row>
    <row r="349">
      <c r="A349" s="2" t="s">
        <v>2947</v>
      </c>
      <c r="B349" s="3" t="str">
        <f>C349 &amp; "." &amp; D349</f>
        <v>Actions.Label</v>
      </c>
      <c r="C349" s="2" t="s">
        <v>1776</v>
      </c>
      <c r="D349" s="2" t="s">
        <v>19</v>
      </c>
      <c r="E349" s="2" t="s">
        <v>2385</v>
      </c>
      <c r="F349" s="2" t="s">
        <v>2386</v>
      </c>
      <c r="G349" s="2"/>
      <c r="H349" s="2"/>
      <c r="I349" s="3" t="b">
        <f>OR(E349 = "calculated", E349 = "lookup", E349 = "aggregation")</f>
        <v>0</v>
      </c>
      <c r="J349" s="3" t="b">
        <f>H349 &lt;&gt; ""</f>
        <v>0</v>
      </c>
      <c r="K349" s="3">
        <f>COUNTIFS(FieldDisagreements!D2:D999, A349)</f>
        <v>0</v>
      </c>
      <c r="L349" s="3" t="b">
        <f>K349 &gt; 0</f>
        <v>0</v>
      </c>
      <c r="M349" s="2" t="s">
        <v>2387</v>
      </c>
    </row>
    <row r="350">
      <c r="A350" s="2" t="s">
        <v>2948</v>
      </c>
      <c r="B350" s="3" t="str">
        <f>C350 &amp; "." &amp; D350</f>
        <v>Actions.Definition</v>
      </c>
      <c r="C350" s="2" t="s">
        <v>1776</v>
      </c>
      <c r="D350" s="2" t="s">
        <v>349</v>
      </c>
      <c r="E350" s="2" t="s">
        <v>2385</v>
      </c>
      <c r="F350" s="2" t="s">
        <v>2386</v>
      </c>
      <c r="G350" s="2"/>
      <c r="H350" s="2"/>
      <c r="I350" s="3" t="b">
        <f>OR(E350 = "calculated", E350 = "lookup", E350 = "aggregation")</f>
        <v>0</v>
      </c>
      <c r="J350" s="3" t="b">
        <f>H350 &lt;&gt; ""</f>
        <v>0</v>
      </c>
      <c r="K350" s="3">
        <f>COUNTIFS(FieldDisagreements!D2:D999, A350)</f>
        <v>0</v>
      </c>
      <c r="L350" s="3" t="b">
        <f>K350 &gt; 0</f>
        <v>0</v>
      </c>
      <c r="M350" s="2" t="s">
        <v>2387</v>
      </c>
    </row>
    <row r="351">
      <c r="A351" s="2" t="s">
        <v>2949</v>
      </c>
      <c r="B351" s="3" t="str">
        <f>C351 &amp; "." &amp; D351</f>
        <v>Actions.SemanticTypeIri</v>
      </c>
      <c r="C351" s="2" t="s">
        <v>1776</v>
      </c>
      <c r="D351" s="2" t="s">
        <v>94</v>
      </c>
      <c r="E351" s="2" t="s">
        <v>2385</v>
      </c>
      <c r="F351" s="2" t="s">
        <v>2386</v>
      </c>
      <c r="G351" s="2"/>
      <c r="H351" s="2"/>
      <c r="I351" s="3" t="b">
        <f>OR(E351 = "calculated", E351 = "lookup", E351 = "aggregation")</f>
        <v>0</v>
      </c>
      <c r="J351" s="3" t="b">
        <f>H351 &lt;&gt; ""</f>
        <v>0</v>
      </c>
      <c r="K351" s="3">
        <f>COUNTIFS(FieldDisagreements!D2:D999, A351)</f>
        <v>0</v>
      </c>
      <c r="L351" s="3" t="b">
        <f>K351 &gt; 0</f>
        <v>0</v>
      </c>
      <c r="M351" s="2" t="s">
        <v>2387</v>
      </c>
    </row>
    <row r="352">
      <c r="A352" s="2" t="s">
        <v>2950</v>
      </c>
      <c r="B352" s="3" t="str">
        <f>C352 &amp; "." &amp; D352</f>
        <v>Functions.FunctionId</v>
      </c>
      <c r="C352" s="2" t="s">
        <v>1779</v>
      </c>
      <c r="D352" s="2" t="s">
        <v>685</v>
      </c>
      <c r="E352" s="2" t="s">
        <v>2385</v>
      </c>
      <c r="F352" s="2" t="s">
        <v>2386</v>
      </c>
      <c r="G352" s="2"/>
      <c r="H352" s="2"/>
      <c r="I352" s="3" t="b">
        <f>OR(E352 = "calculated", E352 = "lookup", E352 = "aggregation")</f>
        <v>0</v>
      </c>
      <c r="J352" s="3" t="b">
        <f>H352 &lt;&gt; ""</f>
        <v>0</v>
      </c>
      <c r="K352" s="3">
        <f>COUNTIFS(FieldDisagreements!D2:D999, A352)</f>
        <v>0</v>
      </c>
      <c r="L352" s="3" t="b">
        <f>K352 &gt; 0</f>
        <v>0</v>
      </c>
      <c r="M352" s="2" t="s">
        <v>2387</v>
      </c>
    </row>
    <row r="353">
      <c r="A353" s="2" t="s">
        <v>2951</v>
      </c>
      <c r="B353" s="3" t="str">
        <f>C353 &amp; "." &amp; D353</f>
        <v>Functions.Name</v>
      </c>
      <c r="C353" s="2" t="s">
        <v>1779</v>
      </c>
      <c r="D353" s="2" t="s">
        <v>1</v>
      </c>
      <c r="E353" s="2" t="s">
        <v>2389</v>
      </c>
      <c r="F353" s="2" t="s">
        <v>2386</v>
      </c>
      <c r="G353" s="2" t="s">
        <v>2473</v>
      </c>
      <c r="H353" s="2"/>
      <c r="I353" s="3" t="b">
        <f>OR(E353 = "calculated", E353 = "lookup", E353 = "aggregation")</f>
        <v>1</v>
      </c>
      <c r="J353" s="3" t="b">
        <f>H353 &lt;&gt; ""</f>
        <v>0</v>
      </c>
      <c r="K353" s="3">
        <f>COUNTIFS(FieldDisagreements!D2:D999, A353)</f>
        <v>0</v>
      </c>
      <c r="L353" s="3" t="b">
        <f>K353 &gt; 0</f>
        <v>0</v>
      </c>
      <c r="M353" s="2" t="s">
        <v>2387</v>
      </c>
    </row>
    <row r="354">
      <c r="A354" s="2" t="s">
        <v>2952</v>
      </c>
      <c r="B354" s="3" t="str">
        <f>C354 &amp; "." &amp; D354</f>
        <v>Functions.Label</v>
      </c>
      <c r="C354" s="2" t="s">
        <v>1779</v>
      </c>
      <c r="D354" s="2" t="s">
        <v>19</v>
      </c>
      <c r="E354" s="2" t="s">
        <v>2385</v>
      </c>
      <c r="F354" s="2" t="s">
        <v>2386</v>
      </c>
      <c r="G354" s="2"/>
      <c r="H354" s="2"/>
      <c r="I354" s="3" t="b">
        <f>OR(E354 = "calculated", E354 = "lookup", E354 = "aggregation")</f>
        <v>0</v>
      </c>
      <c r="J354" s="3" t="b">
        <f>H354 &lt;&gt; ""</f>
        <v>0</v>
      </c>
      <c r="K354" s="3">
        <f>COUNTIFS(FieldDisagreements!D2:D999, A354)</f>
        <v>0</v>
      </c>
      <c r="L354" s="3" t="b">
        <f>K354 &gt; 0</f>
        <v>0</v>
      </c>
      <c r="M354" s="2" t="s">
        <v>2387</v>
      </c>
    </row>
    <row r="355">
      <c r="A355" s="2" t="s">
        <v>2953</v>
      </c>
      <c r="B355" s="3" t="str">
        <f>C355 &amp; "." &amp; D355</f>
        <v>Functions.Definition</v>
      </c>
      <c r="C355" s="2" t="s">
        <v>1779</v>
      </c>
      <c r="D355" s="2" t="s">
        <v>349</v>
      </c>
      <c r="E355" s="2" t="s">
        <v>2385</v>
      </c>
      <c r="F355" s="2" t="s">
        <v>2386</v>
      </c>
      <c r="G355" s="2"/>
      <c r="H355" s="2"/>
      <c r="I355" s="3" t="b">
        <f>OR(E355 = "calculated", E355 = "lookup", E355 = "aggregation")</f>
        <v>0</v>
      </c>
      <c r="J355" s="3" t="b">
        <f>H355 &lt;&gt; ""</f>
        <v>0</v>
      </c>
      <c r="K355" s="3">
        <f>COUNTIFS(FieldDisagreements!D2:D999, A355)</f>
        <v>0</v>
      </c>
      <c r="L355" s="3" t="b">
        <f>K355 &gt; 0</f>
        <v>0</v>
      </c>
      <c r="M355" s="2" t="s">
        <v>2387</v>
      </c>
    </row>
    <row r="356">
      <c r="A356" s="2" t="s">
        <v>2954</v>
      </c>
      <c r="B356" s="3" t="str">
        <f>C356 &amp; "." &amp; D356</f>
        <v>Functions.ImplementationKey</v>
      </c>
      <c r="C356" s="2" t="s">
        <v>1779</v>
      </c>
      <c r="D356" s="2" t="s">
        <v>686</v>
      </c>
      <c r="E356" s="2" t="s">
        <v>2385</v>
      </c>
      <c r="F356" s="2" t="s">
        <v>2386</v>
      </c>
      <c r="G356" s="2"/>
      <c r="H356" s="2"/>
      <c r="I356" s="3" t="b">
        <f>OR(E356 = "calculated", E356 = "lookup", E356 = "aggregation")</f>
        <v>0</v>
      </c>
      <c r="J356" s="3" t="b">
        <f>H356 &lt;&gt; ""</f>
        <v>0</v>
      </c>
      <c r="K356" s="3">
        <f>COUNTIFS(FieldDisagreements!D2:D999, A356)</f>
        <v>0</v>
      </c>
      <c r="L356" s="3" t="b">
        <f>K356 &gt; 0</f>
        <v>0</v>
      </c>
      <c r="M356" s="2" t="s">
        <v>2387</v>
      </c>
    </row>
    <row r="357">
      <c r="A357" s="2" t="s">
        <v>2955</v>
      </c>
      <c r="B357" s="3" t="str">
        <f>C357 &amp; "." &amp; D357</f>
        <v>Functions.SemanticTypeIri</v>
      </c>
      <c r="C357" s="2" t="s">
        <v>1779</v>
      </c>
      <c r="D357" s="2" t="s">
        <v>94</v>
      </c>
      <c r="E357" s="2" t="s">
        <v>2385</v>
      </c>
      <c r="F357" s="2" t="s">
        <v>2386</v>
      </c>
      <c r="G357" s="2"/>
      <c r="H357" s="2"/>
      <c r="I357" s="3" t="b">
        <f>OR(E357 = "calculated", E357 = "lookup", E357 = "aggregation")</f>
        <v>0</v>
      </c>
      <c r="J357" s="3" t="b">
        <f>H357 &lt;&gt; ""</f>
        <v>0</v>
      </c>
      <c r="K357" s="3">
        <f>COUNTIFS(FieldDisagreements!D2:D999, A357)</f>
        <v>0</v>
      </c>
      <c r="L357" s="3" t="b">
        <f>K357 &gt; 0</f>
        <v>0</v>
      </c>
      <c r="M357" s="2" t="s">
        <v>2387</v>
      </c>
    </row>
    <row r="358">
      <c r="A358" s="2" t="s">
        <v>2956</v>
      </c>
      <c r="B358" s="3" t="str">
        <f>C358 &amp; "." &amp; D358</f>
        <v>Tools.ToolId</v>
      </c>
      <c r="C358" s="2" t="s">
        <v>1782</v>
      </c>
      <c r="D358" s="2" t="s">
        <v>720</v>
      </c>
      <c r="E358" s="2" t="s">
        <v>2385</v>
      </c>
      <c r="F358" s="2" t="s">
        <v>2386</v>
      </c>
      <c r="G358" s="2"/>
      <c r="H358" s="2"/>
      <c r="I358" s="3" t="b">
        <f>OR(E358 = "calculated", E358 = "lookup", E358 = "aggregation")</f>
        <v>0</v>
      </c>
      <c r="J358" s="3" t="b">
        <f>H358 &lt;&gt; ""</f>
        <v>0</v>
      </c>
      <c r="K358" s="3">
        <f>COUNTIFS(FieldDisagreements!D2:D999, A358)</f>
        <v>0</v>
      </c>
      <c r="L358" s="3" t="b">
        <f>K358 &gt; 0</f>
        <v>0</v>
      </c>
      <c r="M358" s="2" t="s">
        <v>2387</v>
      </c>
    </row>
    <row r="359">
      <c r="A359" s="2" t="s">
        <v>2957</v>
      </c>
      <c r="B359" s="3" t="str">
        <f>C359 &amp; "." &amp; D359</f>
        <v>Tools.Name</v>
      </c>
      <c r="C359" s="2" t="s">
        <v>1782</v>
      </c>
      <c r="D359" s="2" t="s">
        <v>1</v>
      </c>
      <c r="E359" s="2" t="s">
        <v>2389</v>
      </c>
      <c r="F359" s="2" t="s">
        <v>2386</v>
      </c>
      <c r="G359" s="2" t="s">
        <v>2473</v>
      </c>
      <c r="H359" s="2"/>
      <c r="I359" s="3" t="b">
        <f>OR(E359 = "calculated", E359 = "lookup", E359 = "aggregation")</f>
        <v>1</v>
      </c>
      <c r="J359" s="3" t="b">
        <f>H359 &lt;&gt; ""</f>
        <v>0</v>
      </c>
      <c r="K359" s="3">
        <f>COUNTIFS(FieldDisagreements!D2:D999, A359)</f>
        <v>0</v>
      </c>
      <c r="L359" s="3" t="b">
        <f>K359 &gt; 0</f>
        <v>0</v>
      </c>
      <c r="M359" s="2" t="s">
        <v>2387</v>
      </c>
    </row>
    <row r="360">
      <c r="A360" s="2" t="s">
        <v>2958</v>
      </c>
      <c r="B360" s="3" t="str">
        <f>C360 &amp; "." &amp; D360</f>
        <v>Tools.Label</v>
      </c>
      <c r="C360" s="2" t="s">
        <v>1782</v>
      </c>
      <c r="D360" s="2" t="s">
        <v>19</v>
      </c>
      <c r="E360" s="2" t="s">
        <v>2385</v>
      </c>
      <c r="F360" s="2" t="s">
        <v>2386</v>
      </c>
      <c r="G360" s="2"/>
      <c r="H360" s="2"/>
      <c r="I360" s="3" t="b">
        <f>OR(E360 = "calculated", E360 = "lookup", E360 = "aggregation")</f>
        <v>0</v>
      </c>
      <c r="J360" s="3" t="b">
        <f>H360 &lt;&gt; ""</f>
        <v>0</v>
      </c>
      <c r="K360" s="3">
        <f>COUNTIFS(FieldDisagreements!D2:D999, A360)</f>
        <v>0</v>
      </c>
      <c r="L360" s="3" t="b">
        <f>K360 &gt; 0</f>
        <v>0</v>
      </c>
      <c r="M360" s="2" t="s">
        <v>2387</v>
      </c>
    </row>
    <row r="361">
      <c r="A361" s="2" t="s">
        <v>2959</v>
      </c>
      <c r="B361" s="3" t="str">
        <f>C361 &amp; "." &amp; D361</f>
        <v>Tools.Purpose</v>
      </c>
      <c r="C361" s="2" t="s">
        <v>1782</v>
      </c>
      <c r="D361" s="2" t="s">
        <v>327</v>
      </c>
      <c r="E361" s="2" t="s">
        <v>2385</v>
      </c>
      <c r="F361" s="2" t="s">
        <v>2386</v>
      </c>
      <c r="G361" s="2"/>
      <c r="H361" s="2"/>
      <c r="I361" s="3" t="b">
        <f>OR(E361 = "calculated", E361 = "lookup", E361 = "aggregation")</f>
        <v>0</v>
      </c>
      <c r="J361" s="3" t="b">
        <f>H361 &lt;&gt; ""</f>
        <v>0</v>
      </c>
      <c r="K361" s="3">
        <f>COUNTIFS(FieldDisagreements!D2:D999, A361)</f>
        <v>0</v>
      </c>
      <c r="L361" s="3" t="b">
        <f>K361 &gt; 0</f>
        <v>0</v>
      </c>
      <c r="M361" s="2" t="s">
        <v>2387</v>
      </c>
    </row>
    <row r="362">
      <c r="A362" s="2" t="s">
        <v>2960</v>
      </c>
      <c r="B362" s="3" t="str">
        <f>C362 &amp; "." &amp; D362</f>
        <v>Tools.SemanticTypeIri</v>
      </c>
      <c r="C362" s="2" t="s">
        <v>1782</v>
      </c>
      <c r="D362" s="2" t="s">
        <v>94</v>
      </c>
      <c r="E362" s="2" t="s">
        <v>2385</v>
      </c>
      <c r="F362" s="2" t="s">
        <v>2386</v>
      </c>
      <c r="G362" s="2"/>
      <c r="H362" s="2"/>
      <c r="I362" s="3" t="b">
        <f>OR(E362 = "calculated", E362 = "lookup", E362 = "aggregation")</f>
        <v>0</v>
      </c>
      <c r="J362" s="3" t="b">
        <f>H362 &lt;&gt; ""</f>
        <v>0</v>
      </c>
      <c r="K362" s="3">
        <f>COUNTIFS(FieldDisagreements!D2:D999, A362)</f>
        <v>0</v>
      </c>
      <c r="L362" s="3" t="b">
        <f>K362 &gt; 0</f>
        <v>0</v>
      </c>
      <c r="M362" s="2" t="s">
        <v>2387</v>
      </c>
    </row>
    <row r="363">
      <c r="A363" s="2" t="s">
        <v>2961</v>
      </c>
      <c r="B363" s="3" t="str">
        <f>C363 &amp; "." &amp; D363</f>
        <v>StepActions.StepActionId</v>
      </c>
      <c r="C363" s="2" t="s">
        <v>2962</v>
      </c>
      <c r="D363" s="2" t="s">
        <v>746</v>
      </c>
      <c r="E363" s="2" t="s">
        <v>2385</v>
      </c>
      <c r="F363" s="2" t="s">
        <v>2386</v>
      </c>
      <c r="G363" s="2"/>
      <c r="H363" s="2"/>
      <c r="I363" s="3" t="b">
        <f>OR(E363 = "calculated", E363 = "lookup", E363 = "aggregation")</f>
        <v>0</v>
      </c>
      <c r="J363" s="3" t="b">
        <f>H363 &lt;&gt; ""</f>
        <v>0</v>
      </c>
      <c r="K363" s="3">
        <f>COUNTIFS(FieldDisagreements!D2:D999, A363)</f>
        <v>0</v>
      </c>
      <c r="L363" s="3" t="b">
        <f>K363 &gt; 0</f>
        <v>0</v>
      </c>
      <c r="M363" s="2" t="s">
        <v>2387</v>
      </c>
    </row>
    <row r="364">
      <c r="A364" s="2" t="s">
        <v>2963</v>
      </c>
      <c r="B364" s="3" t="str">
        <f>C364 &amp; "." &amp; D364</f>
        <v>StepActions.Name</v>
      </c>
      <c r="C364" s="2" t="s">
        <v>2962</v>
      </c>
      <c r="D364" s="2" t="s">
        <v>1</v>
      </c>
      <c r="E364" s="2" t="s">
        <v>2389</v>
      </c>
      <c r="F364" s="2" t="s">
        <v>2386</v>
      </c>
      <c r="G364" s="2" t="s">
        <v>2964</v>
      </c>
      <c r="H364" s="2"/>
      <c r="I364" s="3" t="b">
        <f>OR(E364 = "calculated", E364 = "lookup", E364 = "aggregation")</f>
        <v>1</v>
      </c>
      <c r="J364" s="3" t="b">
        <f>H364 &lt;&gt; ""</f>
        <v>0</v>
      </c>
      <c r="K364" s="3">
        <f>COUNTIFS(FieldDisagreements!D2:D999, A364)</f>
        <v>0</v>
      </c>
      <c r="L364" s="3" t="b">
        <f>K364 &gt; 0</f>
        <v>0</v>
      </c>
      <c r="M364" s="2" t="s">
        <v>2387</v>
      </c>
    </row>
    <row r="365">
      <c r="A365" s="2" t="s">
        <v>2965</v>
      </c>
      <c r="B365" s="3" t="str">
        <f>C365 &amp; "." &amp; D365</f>
        <v>StepActions.Step</v>
      </c>
      <c r="C365" s="2" t="s">
        <v>2962</v>
      </c>
      <c r="D365" s="2" t="s">
        <v>747</v>
      </c>
      <c r="E365" s="2" t="s">
        <v>2434</v>
      </c>
      <c r="F365" s="2" t="s">
        <v>2386</v>
      </c>
      <c r="G365" s="2"/>
      <c r="H365" s="2"/>
      <c r="I365" s="3" t="b">
        <f>OR(E365 = "calculated", E365 = "lookup", E365 = "aggregation")</f>
        <v>0</v>
      </c>
      <c r="J365" s="3" t="b">
        <f>H365 &lt;&gt; ""</f>
        <v>0</v>
      </c>
      <c r="K365" s="3">
        <f>COUNTIFS(FieldDisagreements!D2:D999, A365)</f>
        <v>0</v>
      </c>
      <c r="L365" s="3" t="b">
        <f>K365 &gt; 0</f>
        <v>0</v>
      </c>
      <c r="M365" s="2" t="s">
        <v>2387</v>
      </c>
    </row>
    <row r="366">
      <c r="A366" s="2" t="s">
        <v>2966</v>
      </c>
      <c r="B366" s="3" t="str">
        <f>C366 &amp; "." &amp; D366</f>
        <v>StepActions.Action</v>
      </c>
      <c r="C366" s="2" t="s">
        <v>2962</v>
      </c>
      <c r="D366" s="2" t="s">
        <v>748</v>
      </c>
      <c r="E366" s="2" t="s">
        <v>2434</v>
      </c>
      <c r="F366" s="2" t="s">
        <v>2386</v>
      </c>
      <c r="G366" s="2"/>
      <c r="H366" s="2"/>
      <c r="I366" s="3" t="b">
        <f>OR(E366 = "calculated", E366 = "lookup", E366 = "aggregation")</f>
        <v>0</v>
      </c>
      <c r="J366" s="3" t="b">
        <f>H366 &lt;&gt; ""</f>
        <v>0</v>
      </c>
      <c r="K366" s="3">
        <f>COUNTIFS(FieldDisagreements!D2:D999, A366)</f>
        <v>0</v>
      </c>
      <c r="L366" s="3" t="b">
        <f>K366 &gt; 0</f>
        <v>0</v>
      </c>
      <c r="M366" s="2" t="s">
        <v>2387</v>
      </c>
    </row>
    <row r="367">
      <c r="A367" s="2" t="s">
        <v>2967</v>
      </c>
      <c r="B367" s="3" t="str">
        <f>C367 &amp; "." &amp; D367</f>
        <v>StepFunctions.StepFunctionId</v>
      </c>
      <c r="C367" s="2" t="s">
        <v>2968</v>
      </c>
      <c r="D367" s="2" t="s">
        <v>758</v>
      </c>
      <c r="E367" s="2" t="s">
        <v>2385</v>
      </c>
      <c r="F367" s="2" t="s">
        <v>2386</v>
      </c>
      <c r="G367" s="2"/>
      <c r="H367" s="2"/>
      <c r="I367" s="3" t="b">
        <f>OR(E367 = "calculated", E367 = "lookup", E367 = "aggregation")</f>
        <v>0</v>
      </c>
      <c r="J367" s="3" t="b">
        <f>H367 &lt;&gt; ""</f>
        <v>0</v>
      </c>
      <c r="K367" s="3">
        <f>COUNTIFS(FieldDisagreements!D2:D999, A367)</f>
        <v>0</v>
      </c>
      <c r="L367" s="3" t="b">
        <f>K367 &gt; 0</f>
        <v>0</v>
      </c>
      <c r="M367" s="2" t="s">
        <v>2387</v>
      </c>
    </row>
    <row r="368">
      <c r="A368" s="2" t="s">
        <v>2969</v>
      </c>
      <c r="B368" s="3" t="str">
        <f>C368 &amp; "." &amp; D368</f>
        <v>StepFunctions.Name</v>
      </c>
      <c r="C368" s="2" t="s">
        <v>2968</v>
      </c>
      <c r="D368" s="2" t="s">
        <v>1</v>
      </c>
      <c r="E368" s="2" t="s">
        <v>2389</v>
      </c>
      <c r="F368" s="2" t="s">
        <v>2386</v>
      </c>
      <c r="G368" s="2" t="s">
        <v>2970</v>
      </c>
      <c r="H368" s="2"/>
      <c r="I368" s="3" t="b">
        <f>OR(E368 = "calculated", E368 = "lookup", E368 = "aggregation")</f>
        <v>1</v>
      </c>
      <c r="J368" s="3" t="b">
        <f>H368 &lt;&gt; ""</f>
        <v>0</v>
      </c>
      <c r="K368" s="3">
        <f>COUNTIFS(FieldDisagreements!D2:D999, A368)</f>
        <v>0</v>
      </c>
      <c r="L368" s="3" t="b">
        <f>K368 &gt; 0</f>
        <v>0</v>
      </c>
      <c r="M368" s="2" t="s">
        <v>2387</v>
      </c>
    </row>
    <row r="369">
      <c r="A369" s="2" t="s">
        <v>2971</v>
      </c>
      <c r="B369" s="3" t="str">
        <f>C369 &amp; "." &amp; D369</f>
        <v>StepFunctions.Step</v>
      </c>
      <c r="C369" s="2" t="s">
        <v>2968</v>
      </c>
      <c r="D369" s="2" t="s">
        <v>747</v>
      </c>
      <c r="E369" s="2" t="s">
        <v>2434</v>
      </c>
      <c r="F369" s="2" t="s">
        <v>2386</v>
      </c>
      <c r="G369" s="2"/>
      <c r="H369" s="2"/>
      <c r="I369" s="3" t="b">
        <f>OR(E369 = "calculated", E369 = "lookup", E369 = "aggregation")</f>
        <v>0</v>
      </c>
      <c r="J369" s="3" t="b">
        <f>H369 &lt;&gt; ""</f>
        <v>0</v>
      </c>
      <c r="K369" s="3">
        <f>COUNTIFS(FieldDisagreements!D2:D999, A369)</f>
        <v>0</v>
      </c>
      <c r="L369" s="3" t="b">
        <f>K369 &gt; 0</f>
        <v>0</v>
      </c>
      <c r="M369" s="2" t="s">
        <v>2387</v>
      </c>
    </row>
    <row r="370">
      <c r="A370" s="2" t="s">
        <v>2972</v>
      </c>
      <c r="B370" s="3" t="str">
        <f>C370 &amp; "." &amp; D370</f>
        <v>StepFunctions.Function</v>
      </c>
      <c r="C370" s="2" t="s">
        <v>2968</v>
      </c>
      <c r="D370" s="2" t="s">
        <v>759</v>
      </c>
      <c r="E370" s="2" t="s">
        <v>2434</v>
      </c>
      <c r="F370" s="2" t="s">
        <v>2386</v>
      </c>
      <c r="G370" s="2"/>
      <c r="H370" s="2"/>
      <c r="I370" s="3" t="b">
        <f>OR(E370 = "calculated", E370 = "lookup", E370 = "aggregation")</f>
        <v>0</v>
      </c>
      <c r="J370" s="3" t="b">
        <f>H370 &lt;&gt; ""</f>
        <v>0</v>
      </c>
      <c r="K370" s="3">
        <f>COUNTIFS(FieldDisagreements!D2:D999, A370)</f>
        <v>0</v>
      </c>
      <c r="L370" s="3" t="b">
        <f>K370 &gt; 0</f>
        <v>0</v>
      </c>
      <c r="M370" s="2" t="s">
        <v>2387</v>
      </c>
    </row>
    <row r="371">
      <c r="A371" s="2" t="s">
        <v>2973</v>
      </c>
      <c r="B371" s="3" t="str">
        <f>C371 &amp; "." &amp; D371</f>
        <v>StepTools.StepToolId</v>
      </c>
      <c r="C371" s="2" t="s">
        <v>2974</v>
      </c>
      <c r="D371" s="2" t="s">
        <v>768</v>
      </c>
      <c r="E371" s="2" t="s">
        <v>2385</v>
      </c>
      <c r="F371" s="2" t="s">
        <v>2386</v>
      </c>
      <c r="G371" s="2"/>
      <c r="H371" s="2"/>
      <c r="I371" s="3" t="b">
        <f>OR(E371 = "calculated", E371 = "lookup", E371 = "aggregation")</f>
        <v>0</v>
      </c>
      <c r="J371" s="3" t="b">
        <f>H371 &lt;&gt; ""</f>
        <v>0</v>
      </c>
      <c r="K371" s="3">
        <f>COUNTIFS(FieldDisagreements!D2:D999, A371)</f>
        <v>0</v>
      </c>
      <c r="L371" s="3" t="b">
        <f>K371 &gt; 0</f>
        <v>0</v>
      </c>
      <c r="M371" s="2" t="s">
        <v>2387</v>
      </c>
    </row>
    <row r="372">
      <c r="A372" s="2" t="s">
        <v>2975</v>
      </c>
      <c r="B372" s="3" t="str">
        <f>C372 &amp; "." &amp; D372</f>
        <v>StepTools.Name</v>
      </c>
      <c r="C372" s="2" t="s">
        <v>2974</v>
      </c>
      <c r="D372" s="2" t="s">
        <v>1</v>
      </c>
      <c r="E372" s="2" t="s">
        <v>2389</v>
      </c>
      <c r="F372" s="2" t="s">
        <v>2386</v>
      </c>
      <c r="G372" s="2" t="s">
        <v>2976</v>
      </c>
      <c r="H372" s="2"/>
      <c r="I372" s="3" t="b">
        <f>OR(E372 = "calculated", E372 = "lookup", E372 = "aggregation")</f>
        <v>1</v>
      </c>
      <c r="J372" s="3" t="b">
        <f>H372 &lt;&gt; ""</f>
        <v>0</v>
      </c>
      <c r="K372" s="3">
        <f>COUNTIFS(FieldDisagreements!D2:D999, A372)</f>
        <v>0</v>
      </c>
      <c r="L372" s="3" t="b">
        <f>K372 &gt; 0</f>
        <v>0</v>
      </c>
      <c r="M372" s="2" t="s">
        <v>2387</v>
      </c>
    </row>
    <row r="373">
      <c r="A373" s="2" t="s">
        <v>2977</v>
      </c>
      <c r="B373" s="3" t="str">
        <f>C373 &amp; "." &amp; D373</f>
        <v>StepTools.Step</v>
      </c>
      <c r="C373" s="2" t="s">
        <v>2974</v>
      </c>
      <c r="D373" s="2" t="s">
        <v>747</v>
      </c>
      <c r="E373" s="2" t="s">
        <v>2434</v>
      </c>
      <c r="F373" s="2" t="s">
        <v>2386</v>
      </c>
      <c r="G373" s="2"/>
      <c r="H373" s="2"/>
      <c r="I373" s="3" t="b">
        <f>OR(E373 = "calculated", E373 = "lookup", E373 = "aggregation")</f>
        <v>0</v>
      </c>
      <c r="J373" s="3" t="b">
        <f>H373 &lt;&gt; ""</f>
        <v>0</v>
      </c>
      <c r="K373" s="3">
        <f>COUNTIFS(FieldDisagreements!D2:D999, A373)</f>
        <v>0</v>
      </c>
      <c r="L373" s="3" t="b">
        <f>K373 &gt; 0</f>
        <v>0</v>
      </c>
      <c r="M373" s="2" t="s">
        <v>2387</v>
      </c>
    </row>
    <row r="374">
      <c r="A374" s="2" t="s">
        <v>2978</v>
      </c>
      <c r="B374" s="3" t="str">
        <f>C374 &amp; "." &amp; D374</f>
        <v>StepTools.Tool</v>
      </c>
      <c r="C374" s="2" t="s">
        <v>2974</v>
      </c>
      <c r="D374" s="2" t="s">
        <v>769</v>
      </c>
      <c r="E374" s="2" t="s">
        <v>2434</v>
      </c>
      <c r="F374" s="2" t="s">
        <v>2386</v>
      </c>
      <c r="G374" s="2"/>
      <c r="H374" s="2"/>
      <c r="I374" s="3" t="b">
        <f>OR(E374 = "calculated", E374 = "lookup", E374 = "aggregation")</f>
        <v>0</v>
      </c>
      <c r="J374" s="3" t="b">
        <f>H374 &lt;&gt; ""</f>
        <v>0</v>
      </c>
      <c r="K374" s="3">
        <f>COUNTIFS(FieldDisagreements!D2:D999, A374)</f>
        <v>0</v>
      </c>
      <c r="L374" s="3" t="b">
        <f>K374 &gt; 0</f>
        <v>0</v>
      </c>
      <c r="M374" s="2" t="s">
        <v>2387</v>
      </c>
    </row>
    <row r="375">
      <c r="A375" s="2" t="s">
        <v>2979</v>
      </c>
      <c r="B375" s="3" t="str">
        <f>C375 &amp; "." &amp; D375</f>
        <v>Requirements.RequirementId</v>
      </c>
      <c r="C375" s="2" t="s">
        <v>1785</v>
      </c>
      <c r="D375" s="2" t="s">
        <v>780</v>
      </c>
      <c r="E375" s="2" t="s">
        <v>2385</v>
      </c>
      <c r="F375" s="2" t="s">
        <v>2386</v>
      </c>
      <c r="G375" s="2"/>
      <c r="H375" s="2"/>
      <c r="I375" s="3" t="b">
        <f>OR(E375 = "calculated", E375 = "lookup", E375 = "aggregation")</f>
        <v>0</v>
      </c>
      <c r="J375" s="3" t="b">
        <f>H375 &lt;&gt; ""</f>
        <v>0</v>
      </c>
      <c r="K375" s="3">
        <f>COUNTIFS(FieldDisagreements!D2:D999, A375)</f>
        <v>0</v>
      </c>
      <c r="L375" s="3" t="b">
        <f>K375 &gt; 0</f>
        <v>0</v>
      </c>
      <c r="M375" s="2" t="s">
        <v>2387</v>
      </c>
    </row>
    <row r="376">
      <c r="A376" s="2" t="s">
        <v>2980</v>
      </c>
      <c r="B376" s="3" t="str">
        <f>C376 &amp; "." &amp; D376</f>
        <v>Requirements.Name</v>
      </c>
      <c r="C376" s="2" t="s">
        <v>1785</v>
      </c>
      <c r="D376" s="2" t="s">
        <v>1</v>
      </c>
      <c r="E376" s="2" t="s">
        <v>2389</v>
      </c>
      <c r="F376" s="2" t="s">
        <v>2386</v>
      </c>
      <c r="G376" s="2" t="s">
        <v>2473</v>
      </c>
      <c r="H376" s="2"/>
      <c r="I376" s="3" t="b">
        <f>OR(E376 = "calculated", E376 = "lookup", E376 = "aggregation")</f>
        <v>1</v>
      </c>
      <c r="J376" s="3" t="b">
        <f>H376 &lt;&gt; ""</f>
        <v>0</v>
      </c>
      <c r="K376" s="3">
        <f>COUNTIFS(FieldDisagreements!D2:D999, A376)</f>
        <v>0</v>
      </c>
      <c r="L376" s="3" t="b">
        <f>K376 &gt; 0</f>
        <v>0</v>
      </c>
      <c r="M376" s="2" t="s">
        <v>2387</v>
      </c>
    </row>
    <row r="377">
      <c r="A377" s="2" t="s">
        <v>2981</v>
      </c>
      <c r="B377" s="3" t="str">
        <f>C377 &amp; "." &amp; D377</f>
        <v>Requirements.Label</v>
      </c>
      <c r="C377" s="2" t="s">
        <v>1785</v>
      </c>
      <c r="D377" s="2" t="s">
        <v>19</v>
      </c>
      <c r="E377" s="2" t="s">
        <v>2385</v>
      </c>
      <c r="F377" s="2" t="s">
        <v>2386</v>
      </c>
      <c r="G377" s="2"/>
      <c r="H377" s="2"/>
      <c r="I377" s="3" t="b">
        <f>OR(E377 = "calculated", E377 = "lookup", E377 = "aggregation")</f>
        <v>0</v>
      </c>
      <c r="J377" s="3" t="b">
        <f>H377 &lt;&gt; ""</f>
        <v>0</v>
      </c>
      <c r="K377" s="3">
        <f>COUNTIFS(FieldDisagreements!D2:D999, A377)</f>
        <v>0</v>
      </c>
      <c r="L377" s="3" t="b">
        <f>K377 &gt; 0</f>
        <v>0</v>
      </c>
      <c r="M377" s="2" t="s">
        <v>2387</v>
      </c>
    </row>
    <row r="378">
      <c r="A378" s="2" t="s">
        <v>2982</v>
      </c>
      <c r="B378" s="3" t="str">
        <f>C378 &amp; "." &amp; D378</f>
        <v>Requirements.RequirementType</v>
      </c>
      <c r="C378" s="2" t="s">
        <v>1785</v>
      </c>
      <c r="D378" s="2" t="s">
        <v>781</v>
      </c>
      <c r="E378" s="2" t="s">
        <v>2385</v>
      </c>
      <c r="F378" s="2" t="s">
        <v>2386</v>
      </c>
      <c r="G378" s="2"/>
      <c r="H378" s="2"/>
      <c r="I378" s="3" t="b">
        <f>OR(E378 = "calculated", E378 = "lookup", E378 = "aggregation")</f>
        <v>0</v>
      </c>
      <c r="J378" s="3" t="b">
        <f>H378 &lt;&gt; ""</f>
        <v>0</v>
      </c>
      <c r="K378" s="3">
        <f>COUNTIFS(FieldDisagreements!D2:D999, A378)</f>
        <v>0</v>
      </c>
      <c r="L378" s="3" t="b">
        <f>K378 &gt; 0</f>
        <v>0</v>
      </c>
      <c r="M378" s="2" t="s">
        <v>2387</v>
      </c>
    </row>
    <row r="379">
      <c r="A379" s="2" t="s">
        <v>2983</v>
      </c>
      <c r="B379" s="3" t="str">
        <f>C379 &amp; "." &amp; D379</f>
        <v>Requirements.Statement</v>
      </c>
      <c r="C379" s="2" t="s">
        <v>1785</v>
      </c>
      <c r="D379" s="2" t="s">
        <v>782</v>
      </c>
      <c r="E379" s="2" t="s">
        <v>2385</v>
      </c>
      <c r="F379" s="2" t="s">
        <v>2386</v>
      </c>
      <c r="G379" s="2"/>
      <c r="H379" s="2"/>
      <c r="I379" s="3" t="b">
        <f>OR(E379 = "calculated", E379 = "lookup", E379 = "aggregation")</f>
        <v>0</v>
      </c>
      <c r="J379" s="3" t="b">
        <f>H379 &lt;&gt; ""</f>
        <v>0</v>
      </c>
      <c r="K379" s="3">
        <f>COUNTIFS(FieldDisagreements!D2:D999, A379)</f>
        <v>0</v>
      </c>
      <c r="L379" s="3" t="b">
        <f>K379 &gt; 0</f>
        <v>0</v>
      </c>
      <c r="M379" s="2" t="s">
        <v>2387</v>
      </c>
    </row>
    <row r="380">
      <c r="A380" s="2" t="s">
        <v>2984</v>
      </c>
      <c r="B380" s="3" t="str">
        <f>C380 &amp; "." &amp; D380</f>
        <v>Requirements.Rationale</v>
      </c>
      <c r="C380" s="2" t="s">
        <v>1785</v>
      </c>
      <c r="D380" s="2" t="s">
        <v>93</v>
      </c>
      <c r="E380" s="2" t="s">
        <v>2385</v>
      </c>
      <c r="F380" s="2" t="s">
        <v>2386</v>
      </c>
      <c r="G380" s="2"/>
      <c r="H380" s="2"/>
      <c r="I380" s="3" t="b">
        <f>OR(E380 = "calculated", E380 = "lookup", E380 = "aggregation")</f>
        <v>0</v>
      </c>
      <c r="J380" s="3" t="b">
        <f>H380 &lt;&gt; ""</f>
        <v>0</v>
      </c>
      <c r="K380" s="3">
        <f>COUNTIFS(FieldDisagreements!D2:D999, A380)</f>
        <v>0</v>
      </c>
      <c r="L380" s="3" t="b">
        <f>K380 &gt; 0</f>
        <v>0</v>
      </c>
      <c r="M380" s="2" t="s">
        <v>2387</v>
      </c>
    </row>
    <row r="381">
      <c r="A381" s="2" t="s">
        <v>2985</v>
      </c>
      <c r="B381" s="3" t="str">
        <f>C381 &amp; "." &amp; D381</f>
        <v>Requirements.IsBlocking</v>
      </c>
      <c r="C381" s="2" t="s">
        <v>1785</v>
      </c>
      <c r="D381" s="2" t="s">
        <v>783</v>
      </c>
      <c r="E381" s="2" t="s">
        <v>2385</v>
      </c>
      <c r="F381" s="2" t="s">
        <v>2401</v>
      </c>
      <c r="G381" s="2"/>
      <c r="H381" s="2"/>
      <c r="I381" s="3" t="b">
        <f>OR(E381 = "calculated", E381 = "lookup", E381 = "aggregation")</f>
        <v>0</v>
      </c>
      <c r="J381" s="3" t="b">
        <f>H381 &lt;&gt; ""</f>
        <v>0</v>
      </c>
      <c r="K381" s="3">
        <f>COUNTIFS(FieldDisagreements!D2:D999, A381)</f>
        <v>0</v>
      </c>
      <c r="L381" s="3" t="b">
        <f>K381 &gt; 0</f>
        <v>0</v>
      </c>
      <c r="M381" s="2" t="s">
        <v>2387</v>
      </c>
    </row>
    <row r="382">
      <c r="A382" s="2" t="s">
        <v>2986</v>
      </c>
      <c r="B382" s="3" t="str">
        <f>C382 &amp; "." &amp; D382</f>
        <v>Requirements.SatisfactionRecordCount</v>
      </c>
      <c r="C382" s="2" t="s">
        <v>1785</v>
      </c>
      <c r="D382" s="2" t="s">
        <v>784</v>
      </c>
      <c r="E382" s="2" t="s">
        <v>2438</v>
      </c>
      <c r="F382" s="2" t="s">
        <v>2444</v>
      </c>
      <c r="G382" s="2" t="s">
        <v>2987</v>
      </c>
      <c r="H382" s="2" t="s">
        <v>1964</v>
      </c>
      <c r="I382" s="3" t="b">
        <f>OR(E382 = "calculated", E382 = "lookup", E382 = "aggregation")</f>
        <v>1</v>
      </c>
      <c r="J382" s="3" t="b">
        <f>H382 &lt;&gt; ""</f>
        <v>1</v>
      </c>
      <c r="K382" s="3">
        <f>COUNTIFS(FieldDisagreements!D2:D999, A382)</f>
        <v>0</v>
      </c>
      <c r="L382" s="3" t="b">
        <f>K382 &gt; 0</f>
        <v>0</v>
      </c>
      <c r="M382" s="2" t="s">
        <v>2387</v>
      </c>
    </row>
    <row r="383">
      <c r="A383" s="2" t="s">
        <v>2988</v>
      </c>
      <c r="B383" s="3" t="str">
        <f>C383 &amp; "." &amp; D383</f>
        <v>Requirements.StepBindingCount</v>
      </c>
      <c r="C383" s="2" t="s">
        <v>1785</v>
      </c>
      <c r="D383" s="2" t="s">
        <v>785</v>
      </c>
      <c r="E383" s="2" t="s">
        <v>2438</v>
      </c>
      <c r="F383" s="2" t="s">
        <v>2444</v>
      </c>
      <c r="G383" s="2" t="s">
        <v>2989</v>
      </c>
      <c r="H383" s="2" t="s">
        <v>1964</v>
      </c>
      <c r="I383" s="3" t="b">
        <f>OR(E383 = "calculated", E383 = "lookup", E383 = "aggregation")</f>
        <v>1</v>
      </c>
      <c r="J383" s="3" t="b">
        <f>H383 &lt;&gt; ""</f>
        <v>1</v>
      </c>
      <c r="K383" s="3">
        <f>COUNTIFS(FieldDisagreements!D2:D999, A383)</f>
        <v>0</v>
      </c>
      <c r="L383" s="3" t="b">
        <f>K383 &gt; 0</f>
        <v>0</v>
      </c>
      <c r="M383" s="2" t="s">
        <v>2387</v>
      </c>
    </row>
    <row r="384">
      <c r="A384" s="2" t="s">
        <v>2990</v>
      </c>
      <c r="B384" s="3" t="str">
        <f>C384 &amp; "." &amp; D384</f>
        <v>Requirements.IsBoundToAnyStep</v>
      </c>
      <c r="C384" s="2" t="s">
        <v>1785</v>
      </c>
      <c r="D384" s="2" t="s">
        <v>786</v>
      </c>
      <c r="E384" s="2" t="s">
        <v>2389</v>
      </c>
      <c r="F384" s="2" t="s">
        <v>2401</v>
      </c>
      <c r="G384" s="2" t="s">
        <v>2991</v>
      </c>
      <c r="H384" s="2" t="s">
        <v>1964</v>
      </c>
      <c r="I384" s="3" t="b">
        <f>OR(E384 = "calculated", E384 = "lookup", E384 = "aggregation")</f>
        <v>1</v>
      </c>
      <c r="J384" s="3" t="b">
        <f>H384 &lt;&gt; ""</f>
        <v>1</v>
      </c>
      <c r="K384" s="3">
        <f>COUNTIFS(FieldDisagreements!D2:D999, A384)</f>
        <v>0</v>
      </c>
      <c r="L384" s="3" t="b">
        <f>K384 &gt; 0</f>
        <v>0</v>
      </c>
      <c r="M384" s="2" t="s">
        <v>2387</v>
      </c>
    </row>
    <row r="385">
      <c r="A385" s="2" t="s">
        <v>2992</v>
      </c>
      <c r="B385" s="3" t="str">
        <f>C385 &amp; "." &amp; D385</f>
        <v>Requirements.HasEverBeenEvaluated</v>
      </c>
      <c r="C385" s="2" t="s">
        <v>1785</v>
      </c>
      <c r="D385" s="2" t="s">
        <v>787</v>
      </c>
      <c r="E385" s="2" t="s">
        <v>2389</v>
      </c>
      <c r="F385" s="2" t="s">
        <v>2401</v>
      </c>
      <c r="G385" s="2" t="s">
        <v>2993</v>
      </c>
      <c r="H385" s="2" t="s">
        <v>1964</v>
      </c>
      <c r="I385" s="3" t="b">
        <f>OR(E385 = "calculated", E385 = "lookup", E385 = "aggregation")</f>
        <v>1</v>
      </c>
      <c r="J385" s="3" t="b">
        <f>H385 &lt;&gt; ""</f>
        <v>1</v>
      </c>
      <c r="K385" s="3">
        <f>COUNTIFS(FieldDisagreements!D2:D999, A385)</f>
        <v>0</v>
      </c>
      <c r="L385" s="3" t="b">
        <f>K385 &gt; 0</f>
        <v>0</v>
      </c>
      <c r="M385" s="2" t="s">
        <v>2387</v>
      </c>
    </row>
    <row r="386">
      <c r="A386" s="2" t="s">
        <v>2994</v>
      </c>
      <c r="B386" s="3" t="str">
        <f>C386 &amp; "." &amp; D386</f>
        <v>Requirements.NegativeOutcomeCount</v>
      </c>
      <c r="C386" s="2" t="s">
        <v>1785</v>
      </c>
      <c r="D386" s="2" t="s">
        <v>788</v>
      </c>
      <c r="E386" s="2" t="s">
        <v>2438</v>
      </c>
      <c r="F386" s="2" t="s">
        <v>2444</v>
      </c>
      <c r="G386" s="2" t="s">
        <v>2995</v>
      </c>
      <c r="H386" s="2" t="s">
        <v>1964</v>
      </c>
      <c r="I386" s="3" t="b">
        <f>OR(E386 = "calculated", E386 = "lookup", E386 = "aggregation")</f>
        <v>1</v>
      </c>
      <c r="J386" s="3" t="b">
        <f>H386 &lt;&gt; ""</f>
        <v>1</v>
      </c>
      <c r="K386" s="3">
        <f>COUNTIFS(FieldDisagreements!D2:D999, A386)</f>
        <v>0</v>
      </c>
      <c r="L386" s="3" t="b">
        <f>K386 &gt; 0</f>
        <v>0</v>
      </c>
      <c r="M386" s="2" t="s">
        <v>2387</v>
      </c>
    </row>
    <row r="387">
      <c r="A387" s="2" t="s">
        <v>2996</v>
      </c>
      <c r="B387" s="3" t="str">
        <f>C387 &amp; "." &amp; D387</f>
        <v>Requirements.IsInoperativeControl</v>
      </c>
      <c r="C387" s="2" t="s">
        <v>1785</v>
      </c>
      <c r="D387" s="2" t="s">
        <v>789</v>
      </c>
      <c r="E387" s="2" t="s">
        <v>2389</v>
      </c>
      <c r="F387" s="2" t="s">
        <v>2401</v>
      </c>
      <c r="G387" s="2" t="s">
        <v>2997</v>
      </c>
      <c r="H387" s="2" t="s">
        <v>1964</v>
      </c>
      <c r="I387" s="3" t="b">
        <f>OR(E387 = "calculated", E387 = "lookup", E387 = "aggregation")</f>
        <v>1</v>
      </c>
      <c r="J387" s="3" t="b">
        <f>H387 &lt;&gt; ""</f>
        <v>1</v>
      </c>
      <c r="K387" s="3">
        <f>COUNTIFS(FieldDisagreements!D2:D999, A387)</f>
        <v>0</v>
      </c>
      <c r="L387" s="3" t="b">
        <f>K387 &gt; 0</f>
        <v>0</v>
      </c>
      <c r="M387" s="2" t="s">
        <v>2387</v>
      </c>
    </row>
    <row r="388">
      <c r="A388" s="2" t="s">
        <v>2998</v>
      </c>
      <c r="B388" s="3" t="str">
        <f>C388 &amp; "." &amp; D388</f>
        <v>Requirements.IsDecorativeControl</v>
      </c>
      <c r="C388" s="2" t="s">
        <v>1785</v>
      </c>
      <c r="D388" s="2" t="s">
        <v>790</v>
      </c>
      <c r="E388" s="2" t="s">
        <v>2389</v>
      </c>
      <c r="F388" s="2" t="s">
        <v>2401</v>
      </c>
      <c r="G388" s="2" t="s">
        <v>2999</v>
      </c>
      <c r="H388" s="2" t="s">
        <v>1964</v>
      </c>
      <c r="I388" s="3" t="b">
        <f>OR(E388 = "calculated", E388 = "lookup", E388 = "aggregation")</f>
        <v>1</v>
      </c>
      <c r="J388" s="3" t="b">
        <f>H388 &lt;&gt; ""</f>
        <v>1</v>
      </c>
      <c r="K388" s="3">
        <f>COUNTIFS(FieldDisagreements!D2:D999, A388)</f>
        <v>0</v>
      </c>
      <c r="L388" s="3" t="b">
        <f>K388 &gt; 0</f>
        <v>0</v>
      </c>
      <c r="M388" s="2" t="s">
        <v>2387</v>
      </c>
    </row>
    <row r="389">
      <c r="A389" s="2" t="s">
        <v>3000</v>
      </c>
      <c r="B389" s="3" t="str">
        <f>C389 &amp; "." &amp; D389</f>
        <v>Requirements.HasComputedWitness</v>
      </c>
      <c r="C389" s="2" t="s">
        <v>1785</v>
      </c>
      <c r="D389" s="2" t="s">
        <v>791</v>
      </c>
      <c r="E389" s="2" t="s">
        <v>2385</v>
      </c>
      <c r="F389" s="2" t="s">
        <v>2401</v>
      </c>
      <c r="G389" s="2"/>
      <c r="H389" s="2" t="s">
        <v>1992</v>
      </c>
      <c r="I389" s="3" t="b">
        <f>OR(E389 = "calculated", E389 = "lookup", E389 = "aggregation")</f>
        <v>0</v>
      </c>
      <c r="J389" s="3" t="b">
        <f>H389 &lt;&gt; ""</f>
        <v>1</v>
      </c>
      <c r="K389" s="3">
        <f>COUNTIFS(FieldDisagreements!D2:D999, A389)</f>
        <v>0</v>
      </c>
      <c r="L389" s="3" t="b">
        <f>K389 &gt; 0</f>
        <v>0</v>
      </c>
      <c r="M389" s="2" t="s">
        <v>2387</v>
      </c>
    </row>
    <row r="390">
      <c r="A390" s="2" t="s">
        <v>3001</v>
      </c>
      <c r="B390" s="3" t="str">
        <f>C390 &amp; "." &amp; D390</f>
        <v>Requirements.WitnessFieldName</v>
      </c>
      <c r="C390" s="2" t="s">
        <v>1785</v>
      </c>
      <c r="D390" s="2" t="s">
        <v>792</v>
      </c>
      <c r="E390" s="2" t="s">
        <v>2385</v>
      </c>
      <c r="F390" s="2" t="s">
        <v>2386</v>
      </c>
      <c r="G390" s="2"/>
      <c r="H390" s="2" t="s">
        <v>1992</v>
      </c>
      <c r="I390" s="3" t="b">
        <f>OR(E390 = "calculated", E390 = "lookup", E390 = "aggregation")</f>
        <v>0</v>
      </c>
      <c r="J390" s="3" t="b">
        <f>H390 &lt;&gt; ""</f>
        <v>1</v>
      </c>
      <c r="K390" s="3">
        <f>COUNTIFS(FieldDisagreements!D2:D999, A390)</f>
        <v>0</v>
      </c>
      <c r="L390" s="3" t="b">
        <f>K390 &gt; 0</f>
        <v>0</v>
      </c>
      <c r="M390" s="2" t="s">
        <v>2387</v>
      </c>
    </row>
    <row r="391">
      <c r="A391" s="2" t="s">
        <v>3002</v>
      </c>
      <c r="B391" s="3" t="str">
        <f>C391 &amp; "." &amp; D391</f>
        <v>Requirements.HasEverProducedNegative</v>
      </c>
      <c r="C391" s="2" t="s">
        <v>1785</v>
      </c>
      <c r="D391" s="2" t="s">
        <v>793</v>
      </c>
      <c r="E391" s="2" t="s">
        <v>2389</v>
      </c>
      <c r="F391" s="2" t="s">
        <v>2401</v>
      </c>
      <c r="G391" s="2" t="s">
        <v>3003</v>
      </c>
      <c r="H391" s="2" t="s">
        <v>2236</v>
      </c>
      <c r="I391" s="3" t="b">
        <f>OR(E391 = "calculated", E391 = "lookup", E391 = "aggregation")</f>
        <v>1</v>
      </c>
      <c r="J391" s="3" t="b">
        <f>H391 &lt;&gt; ""</f>
        <v>1</v>
      </c>
      <c r="K391" s="3">
        <f>COUNTIFS(FieldDisagreements!D2:D999, A391)</f>
        <v>0</v>
      </c>
      <c r="L391" s="3" t="b">
        <f>K391 &gt; 0</f>
        <v>0</v>
      </c>
      <c r="M391" s="2" t="s">
        <v>2387</v>
      </c>
    </row>
    <row r="392">
      <c r="A392" s="2" t="s">
        <v>3004</v>
      </c>
      <c r="B392" s="3" t="str">
        <f>C392 &amp; "." &amp; D392</f>
        <v>Requirements.IsUnfalsifiedControl</v>
      </c>
      <c r="C392" s="2" t="s">
        <v>1785</v>
      </c>
      <c r="D392" s="2" t="s">
        <v>794</v>
      </c>
      <c r="E392" s="2" t="s">
        <v>2389</v>
      </c>
      <c r="F392" s="2" t="s">
        <v>2401</v>
      </c>
      <c r="G392" s="2" t="s">
        <v>3005</v>
      </c>
      <c r="H392" s="2" t="s">
        <v>2236</v>
      </c>
      <c r="I392" s="3" t="b">
        <f>OR(E392 = "calculated", E392 = "lookup", E392 = "aggregation")</f>
        <v>1</v>
      </c>
      <c r="J392" s="3" t="b">
        <f>H392 &lt;&gt; ""</f>
        <v>1</v>
      </c>
      <c r="K392" s="3">
        <f>COUNTIFS(FieldDisagreements!D2:D999, A392)</f>
        <v>0</v>
      </c>
      <c r="L392" s="3" t="b">
        <f>K392 &gt; 0</f>
        <v>0</v>
      </c>
      <c r="M392" s="2" t="s">
        <v>2387</v>
      </c>
    </row>
    <row r="393">
      <c r="A393" s="2" t="s">
        <v>3006</v>
      </c>
      <c r="B393" s="3" t="str">
        <f>C393 &amp; "." &amp; D393</f>
        <v>Requirements.ClaimsAWitnessField</v>
      </c>
      <c r="C393" s="2" t="s">
        <v>1785</v>
      </c>
      <c r="D393" s="2" t="s">
        <v>795</v>
      </c>
      <c r="E393" s="2" t="s">
        <v>2389</v>
      </c>
      <c r="F393" s="2" t="s">
        <v>2401</v>
      </c>
      <c r="G393" s="2" t="s">
        <v>3007</v>
      </c>
      <c r="H393" s="2" t="s">
        <v>2244</v>
      </c>
      <c r="I393" s="3" t="b">
        <f>OR(E393 = "calculated", E393 = "lookup", E393 = "aggregation")</f>
        <v>1</v>
      </c>
      <c r="J393" s="3" t="b">
        <f>H393 &lt;&gt; ""</f>
        <v>1</v>
      </c>
      <c r="K393" s="3">
        <f>COUNTIFS(FieldDisagreements!D2:D999, A393)</f>
        <v>0</v>
      </c>
      <c r="L393" s="3" t="b">
        <f>K393 &gt; 0</f>
        <v>0</v>
      </c>
      <c r="M393" s="2" t="s">
        <v>2387</v>
      </c>
    </row>
    <row r="394">
      <c r="A394" s="2" t="s">
        <v>3008</v>
      </c>
      <c r="B394" s="3" t="str">
        <f>C394 &amp; "." &amp; D394</f>
        <v>Requirements.NamedWitnessFieldExists</v>
      </c>
      <c r="C394" s="2" t="s">
        <v>1785</v>
      </c>
      <c r="D394" s="2" t="s">
        <v>796</v>
      </c>
      <c r="E394" s="2" t="s">
        <v>2478</v>
      </c>
      <c r="F394" s="2" t="s">
        <v>2401</v>
      </c>
      <c r="G394" s="2" t="s">
        <v>3009</v>
      </c>
      <c r="H394" s="2" t="s">
        <v>2244</v>
      </c>
      <c r="I394" s="3" t="b">
        <f>OR(E394 = "calculated", E394 = "lookup", E394 = "aggregation")</f>
        <v>1</v>
      </c>
      <c r="J394" s="3" t="b">
        <f>H394 &lt;&gt; ""</f>
        <v>1</v>
      </c>
      <c r="K394" s="3">
        <f>COUNTIFS(FieldDisagreements!D2:D999, A394)</f>
        <v>1</v>
      </c>
      <c r="L394" s="3" t="b">
        <f>K394 &gt; 0</f>
        <v>1</v>
      </c>
      <c r="M394" s="2" t="s">
        <v>2387</v>
      </c>
    </row>
    <row r="395">
      <c r="A395" s="2" t="s">
        <v>3010</v>
      </c>
      <c r="B395" s="3" t="str">
        <f>C395 &amp; "." &amp; D395</f>
        <v>Requirements.DerivedHasComputedWitness</v>
      </c>
      <c r="C395" s="2" t="s">
        <v>1785</v>
      </c>
      <c r="D395" s="2" t="s">
        <v>797</v>
      </c>
      <c r="E395" s="2" t="s">
        <v>2389</v>
      </c>
      <c r="F395" s="2" t="s">
        <v>2401</v>
      </c>
      <c r="G395" s="2" t="s">
        <v>3011</v>
      </c>
      <c r="H395" s="2" t="s">
        <v>2244</v>
      </c>
      <c r="I395" s="3" t="b">
        <f>OR(E395 = "calculated", E395 = "lookup", E395 = "aggregation")</f>
        <v>1</v>
      </c>
      <c r="J395" s="3" t="b">
        <f>H395 &lt;&gt; ""</f>
        <v>1</v>
      </c>
      <c r="K395" s="3">
        <f>COUNTIFS(FieldDisagreements!D2:D999, A395)</f>
        <v>0</v>
      </c>
      <c r="L395" s="3" t="b">
        <f>K395 &gt; 0</f>
        <v>0</v>
      </c>
      <c r="M395" s="2" t="s">
        <v>2387</v>
      </c>
    </row>
    <row r="396">
      <c r="A396" s="2" t="s">
        <v>3012</v>
      </c>
      <c r="B396" s="3" t="str">
        <f>C396 &amp; "." &amp; D396</f>
        <v>Requirements.WitnessClaimIsUnverified</v>
      </c>
      <c r="C396" s="2" t="s">
        <v>1785</v>
      </c>
      <c r="D396" s="2" t="s">
        <v>798</v>
      </c>
      <c r="E396" s="2" t="s">
        <v>2389</v>
      </c>
      <c r="F396" s="2" t="s">
        <v>2401</v>
      </c>
      <c r="G396" s="2" t="s">
        <v>3013</v>
      </c>
      <c r="H396" s="2" t="s">
        <v>2244</v>
      </c>
      <c r="I396" s="3" t="b">
        <f>OR(E396 = "calculated", E396 = "lookup", E396 = "aggregation")</f>
        <v>1</v>
      </c>
      <c r="J396" s="3" t="b">
        <f>H396 &lt;&gt; ""</f>
        <v>1</v>
      </c>
      <c r="K396" s="3">
        <f>COUNTIFS(FieldDisagreements!D2:D999, A396)</f>
        <v>0</v>
      </c>
      <c r="L396" s="3" t="b">
        <f>K396 &gt; 0</f>
        <v>0</v>
      </c>
      <c r="M396" s="2" t="s">
        <v>2387</v>
      </c>
    </row>
    <row r="397">
      <c r="A397" s="2" t="s">
        <v>3014</v>
      </c>
      <c r="B397" s="3" t="str">
        <f>C397 &amp; "." &amp; D397</f>
        <v>Requirements.IsUnwitnessedBlockingControl</v>
      </c>
      <c r="C397" s="2" t="s">
        <v>1785</v>
      </c>
      <c r="D397" s="2" t="s">
        <v>799</v>
      </c>
      <c r="E397" s="2" t="s">
        <v>2389</v>
      </c>
      <c r="F397" s="2" t="s">
        <v>2401</v>
      </c>
      <c r="G397" s="2" t="s">
        <v>3015</v>
      </c>
      <c r="H397" s="2" t="s">
        <v>2244</v>
      </c>
      <c r="I397" s="3" t="b">
        <f>OR(E397 = "calculated", E397 = "lookup", E397 = "aggregation")</f>
        <v>1</v>
      </c>
      <c r="J397" s="3" t="b">
        <f>H397 &lt;&gt; ""</f>
        <v>1</v>
      </c>
      <c r="K397" s="3">
        <f>COUNTIFS(FieldDisagreements!D2:D999, A397)</f>
        <v>0</v>
      </c>
      <c r="L397" s="3" t="b">
        <f>K397 &gt; 0</f>
        <v>0</v>
      </c>
      <c r="M397" s="2" t="s">
        <v>2387</v>
      </c>
    </row>
    <row r="398">
      <c r="A398" s="2" t="s">
        <v>3016</v>
      </c>
      <c r="B398" s="3" t="str">
        <f>C398 &amp; "." &amp; D398</f>
        <v>Requirements.WitnessFireCount</v>
      </c>
      <c r="C398" s="2" t="s">
        <v>1785</v>
      </c>
      <c r="D398" s="2" t="s">
        <v>800</v>
      </c>
      <c r="E398" s="2" t="s">
        <v>2389</v>
      </c>
      <c r="F398" s="2" t="s">
        <v>2444</v>
      </c>
      <c r="G398" s="2" t="s">
        <v>3017</v>
      </c>
      <c r="H398" s="2" t="s">
        <v>2256</v>
      </c>
      <c r="I398" s="3" t="b">
        <f>OR(E398 = "calculated", E398 = "lookup", E398 = "aggregation")</f>
        <v>1</v>
      </c>
      <c r="J398" s="3" t="b">
        <f>H398 &lt;&gt; ""</f>
        <v>1</v>
      </c>
      <c r="K398" s="3">
        <f>COUNTIFS(FieldDisagreements!D2:D999, A398)</f>
        <v>0</v>
      </c>
      <c r="L398" s="3" t="b">
        <f>K398 &gt; 0</f>
        <v>0</v>
      </c>
      <c r="M398" s="2" t="s">
        <v>2387</v>
      </c>
    </row>
    <row r="399">
      <c r="A399" s="2" t="s">
        <v>3018</v>
      </c>
      <c r="B399" s="3" t="str">
        <f>C399 &amp; "." &amp; D399</f>
        <v>Requirements.WitnessHasNeverFired</v>
      </c>
      <c r="C399" s="2" t="s">
        <v>1785</v>
      </c>
      <c r="D399" s="2" t="s">
        <v>801</v>
      </c>
      <c r="E399" s="2" t="s">
        <v>2389</v>
      </c>
      <c r="F399" s="2" t="s">
        <v>2401</v>
      </c>
      <c r="G399" s="2" t="s">
        <v>3019</v>
      </c>
      <c r="H399" s="2" t="s">
        <v>2256</v>
      </c>
      <c r="I399" s="3" t="b">
        <f>OR(E399 = "calculated", E399 = "lookup", E399 = "aggregation")</f>
        <v>1</v>
      </c>
      <c r="J399" s="3" t="b">
        <f>H399 &lt;&gt; ""</f>
        <v>1</v>
      </c>
      <c r="K399" s="3">
        <f>COUNTIFS(FieldDisagreements!D2:D999, A399)</f>
        <v>0</v>
      </c>
      <c r="L399" s="3" t="b">
        <f>K399 &gt; 0</f>
        <v>0</v>
      </c>
      <c r="M399" s="2" t="s">
        <v>2387</v>
      </c>
    </row>
    <row r="400">
      <c r="A400" s="2" t="s">
        <v>3020</v>
      </c>
      <c r="B400" s="3" t="str">
        <f>C400 &amp; "." &amp; D400</f>
        <v>Requirements.EvaluationSampleSize</v>
      </c>
      <c r="C400" s="2" t="s">
        <v>1785</v>
      </c>
      <c r="D400" s="2" t="s">
        <v>802</v>
      </c>
      <c r="E400" s="2" t="s">
        <v>2389</v>
      </c>
      <c r="F400" s="2" t="s">
        <v>2444</v>
      </c>
      <c r="G400" s="2" t="s">
        <v>3021</v>
      </c>
      <c r="H400" s="2" t="s">
        <v>2256</v>
      </c>
      <c r="I400" s="3" t="b">
        <f>OR(E400 = "calculated", E400 = "lookup", E400 = "aggregation")</f>
        <v>1</v>
      </c>
      <c r="J400" s="3" t="b">
        <f>H400 &lt;&gt; ""</f>
        <v>1</v>
      </c>
      <c r="K400" s="3">
        <f>COUNTIFS(FieldDisagreements!D2:D999, A400)</f>
        <v>0</v>
      </c>
      <c r="L400" s="3" t="b">
        <f>K400 &gt; 0</f>
        <v>0</v>
      </c>
      <c r="M400" s="2" t="s">
        <v>2387</v>
      </c>
    </row>
    <row r="401">
      <c r="A401" s="2" t="s">
        <v>3022</v>
      </c>
      <c r="B401" s="3" t="str">
        <f>C401 &amp; "." &amp; D401</f>
        <v>Requirements.HasMeaningfulSample</v>
      </c>
      <c r="C401" s="2" t="s">
        <v>1785</v>
      </c>
      <c r="D401" s="2" t="s">
        <v>803</v>
      </c>
      <c r="E401" s="2" t="s">
        <v>2389</v>
      </c>
      <c r="F401" s="2" t="s">
        <v>2401</v>
      </c>
      <c r="G401" s="2" t="s">
        <v>3023</v>
      </c>
      <c r="H401" s="2" t="s">
        <v>2256</v>
      </c>
      <c r="I401" s="3" t="b">
        <f>OR(E401 = "calculated", E401 = "lookup", E401 = "aggregation")</f>
        <v>1</v>
      </c>
      <c r="J401" s="3" t="b">
        <f>H401 &lt;&gt; ""</f>
        <v>1</v>
      </c>
      <c r="K401" s="3">
        <f>COUNTIFS(FieldDisagreements!D2:D999, A401)</f>
        <v>1</v>
      </c>
      <c r="L401" s="3" t="b">
        <f>K401 &gt; 0</f>
        <v>1</v>
      </c>
      <c r="M401" s="2" t="s">
        <v>2387</v>
      </c>
    </row>
    <row r="402">
      <c r="A402" s="2" t="s">
        <v>3024</v>
      </c>
      <c r="B402" s="3" t="str">
        <f>C402 &amp; "." &amp; D402</f>
        <v>Requirements.MinimumSampleForAssurance</v>
      </c>
      <c r="C402" s="2" t="s">
        <v>1785</v>
      </c>
      <c r="D402" s="2" t="s">
        <v>804</v>
      </c>
      <c r="E402" s="2" t="s">
        <v>2385</v>
      </c>
      <c r="F402" s="2" t="s">
        <v>2439</v>
      </c>
      <c r="G402" s="2"/>
      <c r="H402" s="2" t="s">
        <v>2256</v>
      </c>
      <c r="I402" s="3" t="b">
        <f>OR(E402 = "calculated", E402 = "lookup", E402 = "aggregation")</f>
        <v>0</v>
      </c>
      <c r="J402" s="3" t="b">
        <f>H402 &lt;&gt; ""</f>
        <v>1</v>
      </c>
      <c r="K402" s="3">
        <f>COUNTIFS(FieldDisagreements!D2:D999, A402)</f>
        <v>0</v>
      </c>
      <c r="L402" s="3" t="b">
        <f>K402 &gt; 0</f>
        <v>0</v>
      </c>
      <c r="M402" s="2" t="s">
        <v>2387</v>
      </c>
    </row>
    <row r="403">
      <c r="A403" s="2" t="s">
        <v>3025</v>
      </c>
      <c r="B403" s="3" t="str">
        <f>C403 &amp; "." &amp; D403</f>
        <v>Requirements.IsUntestedWitness</v>
      </c>
      <c r="C403" s="2" t="s">
        <v>1785</v>
      </c>
      <c r="D403" s="2" t="s">
        <v>805</v>
      </c>
      <c r="E403" s="2" t="s">
        <v>2389</v>
      </c>
      <c r="F403" s="2" t="s">
        <v>2401</v>
      </c>
      <c r="G403" s="2" t="s">
        <v>3026</v>
      </c>
      <c r="H403" s="2" t="s">
        <v>2256</v>
      </c>
      <c r="I403" s="3" t="b">
        <f>OR(E403 = "calculated", E403 = "lookup", E403 = "aggregation")</f>
        <v>1</v>
      </c>
      <c r="J403" s="3" t="b">
        <f>H403 &lt;&gt; ""</f>
        <v>1</v>
      </c>
      <c r="K403" s="3">
        <f>COUNTIFS(FieldDisagreements!D2:D999, A403)</f>
        <v>7</v>
      </c>
      <c r="L403" s="3" t="b">
        <f>K403 &gt; 0</f>
        <v>1</v>
      </c>
      <c r="M403" s="2" t="s">
        <v>2387</v>
      </c>
    </row>
    <row r="404">
      <c r="A404" s="2" t="s">
        <v>3027</v>
      </c>
      <c r="B404" s="3" t="str">
        <f>C404 &amp; "." &amp; D404</f>
        <v>Requirements.IsEvidencedHoldingControl</v>
      </c>
      <c r="C404" s="2" t="s">
        <v>1785</v>
      </c>
      <c r="D404" s="2" t="s">
        <v>806</v>
      </c>
      <c r="E404" s="2" t="s">
        <v>2389</v>
      </c>
      <c r="F404" s="2" t="s">
        <v>2401</v>
      </c>
      <c r="G404" s="2" t="s">
        <v>3028</v>
      </c>
      <c r="H404" s="2" t="s">
        <v>2256</v>
      </c>
      <c r="I404" s="3" t="b">
        <f>OR(E404 = "calculated", E404 = "lookup", E404 = "aggregation")</f>
        <v>1</v>
      </c>
      <c r="J404" s="3" t="b">
        <f>H404 &lt;&gt; ""</f>
        <v>1</v>
      </c>
      <c r="K404" s="3">
        <f>COUNTIFS(FieldDisagreements!D2:D999, A404)</f>
        <v>1</v>
      </c>
      <c r="L404" s="3" t="b">
        <f>K404 &gt; 0</f>
        <v>1</v>
      </c>
      <c r="M404" s="2" t="s">
        <v>2387</v>
      </c>
    </row>
    <row r="405">
      <c r="A405" s="2" t="s">
        <v>3029</v>
      </c>
      <c r="B405" s="3" t="str">
        <f>C405 &amp; "." &amp; D405</f>
        <v>Requirements.ControlAssuranceState</v>
      </c>
      <c r="C405" s="2" t="s">
        <v>1785</v>
      </c>
      <c r="D405" s="2" t="s">
        <v>807</v>
      </c>
      <c r="E405" s="2" t="s">
        <v>2389</v>
      </c>
      <c r="F405" s="2" t="s">
        <v>2386</v>
      </c>
      <c r="G405" s="2" t="s">
        <v>3030</v>
      </c>
      <c r="H405" s="2" t="s">
        <v>2256</v>
      </c>
      <c r="I405" s="3" t="b">
        <f>OR(E405 = "calculated", E405 = "lookup", E405 = "aggregation")</f>
        <v>1</v>
      </c>
      <c r="J405" s="3" t="b">
        <f>H405 &lt;&gt; ""</f>
        <v>1</v>
      </c>
      <c r="K405" s="3">
        <f>COUNTIFS(FieldDisagreements!D2:D999, A405)</f>
        <v>2</v>
      </c>
      <c r="L405" s="3" t="b">
        <f>K405 &gt; 0</f>
        <v>1</v>
      </c>
      <c r="M405" s="2" t="s">
        <v>2387</v>
      </c>
    </row>
    <row r="406">
      <c r="A406" s="2" t="s">
        <v>3031</v>
      </c>
      <c r="B406" s="3" t="str">
        <f>C406 &amp; "." &amp; D406</f>
        <v>Requirements.UnexercisedBindingCount</v>
      </c>
      <c r="C406" s="2" t="s">
        <v>1785</v>
      </c>
      <c r="D406" s="2" t="s">
        <v>808</v>
      </c>
      <c r="E406" s="2" t="s">
        <v>2438</v>
      </c>
      <c r="F406" s="2" t="s">
        <v>2444</v>
      </c>
      <c r="G406" s="2" t="s">
        <v>3032</v>
      </c>
      <c r="H406" s="2" t="s">
        <v>2260</v>
      </c>
      <c r="I406" s="3" t="b">
        <f>OR(E406 = "calculated", E406 = "lookup", E406 = "aggregation")</f>
        <v>1</v>
      </c>
      <c r="J406" s="3" t="b">
        <f>H406 &lt;&gt; ""</f>
        <v>1</v>
      </c>
      <c r="K406" s="3">
        <f>COUNTIFS(FieldDisagreements!D2:D999, A406)</f>
        <v>0</v>
      </c>
      <c r="L406" s="3" t="b">
        <f>K406 &gt; 0</f>
        <v>0</v>
      </c>
      <c r="M406" s="2" t="s">
        <v>2387</v>
      </c>
    </row>
    <row r="407">
      <c r="A407" s="2" t="s">
        <v>3033</v>
      </c>
      <c r="B407" s="3" t="str">
        <f>C407 &amp; "." &amp; D407</f>
        <v>Requirements.WitnessIsPartiallyScoped</v>
      </c>
      <c r="C407" s="2" t="s">
        <v>1785</v>
      </c>
      <c r="D407" s="2" t="s">
        <v>809</v>
      </c>
      <c r="E407" s="2" t="s">
        <v>2389</v>
      </c>
      <c r="F407" s="2" t="s">
        <v>2401</v>
      </c>
      <c r="G407" s="2" t="s">
        <v>3034</v>
      </c>
      <c r="H407" s="2" t="s">
        <v>2260</v>
      </c>
      <c r="I407" s="3" t="b">
        <f>OR(E407 = "calculated", E407 = "lookup", E407 = "aggregation")</f>
        <v>1</v>
      </c>
      <c r="J407" s="3" t="b">
        <f>H407 &lt;&gt; ""</f>
        <v>1</v>
      </c>
      <c r="K407" s="3">
        <f>COUNTIFS(FieldDisagreements!D2:D999, A407)</f>
        <v>0</v>
      </c>
      <c r="L407" s="3" t="b">
        <f>K407 &gt; 0</f>
        <v>0</v>
      </c>
      <c r="M407" s="2" t="s">
        <v>2387</v>
      </c>
    </row>
    <row r="408">
      <c r="A408" s="2" t="s">
        <v>3035</v>
      </c>
      <c r="B408" s="3" t="str">
        <f>C408 &amp; "." &amp; D408</f>
        <v>Requirements.AccountableRole</v>
      </c>
      <c r="C408" s="2" t="s">
        <v>1785</v>
      </c>
      <c r="D408" s="2" t="s">
        <v>810</v>
      </c>
      <c r="E408" s="2" t="s">
        <v>2434</v>
      </c>
      <c r="F408" s="2" t="s">
        <v>2386</v>
      </c>
      <c r="G408" s="2"/>
      <c r="H408" s="2" t="s">
        <v>2288</v>
      </c>
      <c r="I408" s="3" t="b">
        <f>OR(E408 = "calculated", E408 = "lookup", E408 = "aggregation")</f>
        <v>0</v>
      </c>
      <c r="J408" s="3" t="b">
        <f>H408 &lt;&gt; ""</f>
        <v>1</v>
      </c>
      <c r="K408" s="3">
        <f>COUNTIFS(FieldDisagreements!D2:D999, A408)</f>
        <v>0</v>
      </c>
      <c r="L408" s="3" t="b">
        <f>K408 &gt; 0</f>
        <v>0</v>
      </c>
      <c r="M408" s="2" t="s">
        <v>2387</v>
      </c>
    </row>
    <row r="409">
      <c r="A409" s="2" t="s">
        <v>3036</v>
      </c>
      <c r="B409" s="3" t="str">
        <f>C409 &amp; "." &amp; D409</f>
        <v>Requirements.AccountableAgent</v>
      </c>
      <c r="C409" s="2" t="s">
        <v>1785</v>
      </c>
      <c r="D409" s="2" t="s">
        <v>811</v>
      </c>
      <c r="E409" s="2" t="s">
        <v>2478</v>
      </c>
      <c r="F409" s="2" t="s">
        <v>2386</v>
      </c>
      <c r="G409" s="2" t="s">
        <v>3037</v>
      </c>
      <c r="H409" s="2" t="s">
        <v>2288</v>
      </c>
      <c r="I409" s="3" t="b">
        <f>OR(E409 = "calculated", E409 = "lookup", E409 = "aggregation")</f>
        <v>1</v>
      </c>
      <c r="J409" s="3" t="b">
        <f>H409 &lt;&gt; ""</f>
        <v>1</v>
      </c>
      <c r="K409" s="3">
        <f>COUNTIFS(FieldDisagreements!D2:D999, A409)</f>
        <v>0</v>
      </c>
      <c r="L409" s="3" t="b">
        <f>K409 &gt; 0</f>
        <v>0</v>
      </c>
      <c r="M409" s="2" t="s">
        <v>2387</v>
      </c>
    </row>
    <row r="410">
      <c r="A410" s="2" t="s">
        <v>3038</v>
      </c>
      <c r="B410" s="3" t="str">
        <f>C410 &amp; "." &amp; D410</f>
        <v>Requirements.HasNamedOwner</v>
      </c>
      <c r="C410" s="2" t="s">
        <v>1785</v>
      </c>
      <c r="D410" s="2" t="s">
        <v>812</v>
      </c>
      <c r="E410" s="2" t="s">
        <v>2389</v>
      </c>
      <c r="F410" s="2" t="s">
        <v>2401</v>
      </c>
      <c r="G410" s="2" t="s">
        <v>3039</v>
      </c>
      <c r="H410" s="2" t="s">
        <v>2288</v>
      </c>
      <c r="I410" s="3" t="b">
        <f>OR(E410 = "calculated", E410 = "lookup", E410 = "aggregation")</f>
        <v>1</v>
      </c>
      <c r="J410" s="3" t="b">
        <f>H410 &lt;&gt; ""</f>
        <v>1</v>
      </c>
      <c r="K410" s="3">
        <f>COUNTIFS(FieldDisagreements!D2:D999, A410)</f>
        <v>0</v>
      </c>
      <c r="L410" s="3" t="b">
        <f>K410 &gt; 0</f>
        <v>0</v>
      </c>
      <c r="M410" s="2" t="s">
        <v>2387</v>
      </c>
    </row>
    <row r="411">
      <c r="A411" s="2" t="s">
        <v>3040</v>
      </c>
      <c r="B411" s="3" t="str">
        <f>C411 &amp; "." &amp; D411</f>
        <v>Requirements.IsOrphanedBlockingControl</v>
      </c>
      <c r="C411" s="2" t="s">
        <v>1785</v>
      </c>
      <c r="D411" s="2" t="s">
        <v>813</v>
      </c>
      <c r="E411" s="2" t="s">
        <v>2389</v>
      </c>
      <c r="F411" s="2" t="s">
        <v>2401</v>
      </c>
      <c r="G411" s="2" t="s">
        <v>3041</v>
      </c>
      <c r="H411" s="2" t="s">
        <v>2288</v>
      </c>
      <c r="I411" s="3" t="b">
        <f>OR(E411 = "calculated", E411 = "lookup", E411 = "aggregation")</f>
        <v>1</v>
      </c>
      <c r="J411" s="3" t="b">
        <f>H411 &lt;&gt; ""</f>
        <v>1</v>
      </c>
      <c r="K411" s="3">
        <f>COUNTIFS(FieldDisagreements!D2:D999, A411)</f>
        <v>0</v>
      </c>
      <c r="L411" s="3" t="b">
        <f>K411 &gt; 0</f>
        <v>0</v>
      </c>
      <c r="M411" s="2" t="s">
        <v>2387</v>
      </c>
    </row>
    <row r="412">
      <c r="A412" s="2" t="s">
        <v>3042</v>
      </c>
      <c r="B412" s="3" t="str">
        <f>C412 &amp; "." &amp; D412</f>
        <v>Requirements.IsUnwatchedAndUnowned</v>
      </c>
      <c r="C412" s="2" t="s">
        <v>1785</v>
      </c>
      <c r="D412" s="2" t="s">
        <v>814</v>
      </c>
      <c r="E412" s="2" t="s">
        <v>2389</v>
      </c>
      <c r="F412" s="2" t="s">
        <v>2401</v>
      </c>
      <c r="G412" s="2" t="s">
        <v>3043</v>
      </c>
      <c r="H412" s="2" t="s">
        <v>2288</v>
      </c>
      <c r="I412" s="3" t="b">
        <f>OR(E412 = "calculated", E412 = "lookup", E412 = "aggregation")</f>
        <v>1</v>
      </c>
      <c r="J412" s="3" t="b">
        <f>H412 &lt;&gt; ""</f>
        <v>1</v>
      </c>
      <c r="K412" s="3">
        <f>COUNTIFS(FieldDisagreements!D2:D999, A412)</f>
        <v>0</v>
      </c>
      <c r="L412" s="3" t="b">
        <f>K412 &gt; 0</f>
        <v>0</v>
      </c>
      <c r="M412" s="2" t="s">
        <v>2387</v>
      </c>
    </row>
    <row r="413">
      <c r="A413" s="2" t="s">
        <v>3044</v>
      </c>
      <c r="B413" s="3" t="str">
        <f>C413 &amp; "." &amp; D413</f>
        <v>Requirements.AttestationExposureNote</v>
      </c>
      <c r="C413" s="2" t="s">
        <v>1785</v>
      </c>
      <c r="D413" s="2" t="s">
        <v>815</v>
      </c>
      <c r="E413" s="2" t="s">
        <v>2389</v>
      </c>
      <c r="F413" s="2" t="s">
        <v>2386</v>
      </c>
      <c r="G413" s="2" t="s">
        <v>3045</v>
      </c>
      <c r="H413" s="2" t="s">
        <v>2288</v>
      </c>
      <c r="I413" s="3" t="b">
        <f>OR(E413 = "calculated", E413 = "lookup", E413 = "aggregation")</f>
        <v>1</v>
      </c>
      <c r="J413" s="3" t="b">
        <f>H413 &lt;&gt; ""</f>
        <v>1</v>
      </c>
      <c r="K413" s="3">
        <f>COUNTIFS(FieldDisagreements!D2:D999, A413)</f>
        <v>0</v>
      </c>
      <c r="L413" s="3" t="b">
        <f>K413 &gt; 0</f>
        <v>0</v>
      </c>
      <c r="M413" s="2" t="s">
        <v>2387</v>
      </c>
    </row>
    <row r="414">
      <c r="A414" s="2" t="s">
        <v>3046</v>
      </c>
      <c r="B414" s="3" t="str">
        <f>C414 &amp; "." &amp; D414</f>
        <v>Requirements.UnwatchedUnownedFlag</v>
      </c>
      <c r="C414" s="2" t="s">
        <v>1785</v>
      </c>
      <c r="D414" s="2" t="s">
        <v>816</v>
      </c>
      <c r="E414" s="2" t="s">
        <v>2389</v>
      </c>
      <c r="F414" s="2" t="s">
        <v>2386</v>
      </c>
      <c r="G414" s="2" t="s">
        <v>3047</v>
      </c>
      <c r="H414" s="2" t="s">
        <v>2288</v>
      </c>
      <c r="I414" s="3" t="b">
        <f>OR(E414 = "calculated", E414 = "lookup", E414 = "aggregation")</f>
        <v>1</v>
      </c>
      <c r="J414" s="3" t="b">
        <f>H414 &lt;&gt; ""</f>
        <v>1</v>
      </c>
      <c r="K414" s="3">
        <f>COUNTIFS(FieldDisagreements!D2:D999, A414)</f>
        <v>0</v>
      </c>
      <c r="L414" s="3" t="b">
        <f>K414 &gt; 0</f>
        <v>0</v>
      </c>
      <c r="M414" s="2" t="s">
        <v>2387</v>
      </c>
    </row>
    <row r="415">
      <c r="A415" s="2" t="s">
        <v>3048</v>
      </c>
      <c r="B415" s="3" t="str">
        <f>C415 &amp; "." &amp; D415</f>
        <v>Requirements.ControlledTerm</v>
      </c>
      <c r="C415" s="2" t="s">
        <v>1785</v>
      </c>
      <c r="D415" s="2" t="s">
        <v>817</v>
      </c>
      <c r="E415" s="2" t="s">
        <v>2434</v>
      </c>
      <c r="F415" s="2" t="s">
        <v>2386</v>
      </c>
      <c r="G415" s="2"/>
      <c r="H415" s="2" t="s">
        <v>2360</v>
      </c>
      <c r="I415" s="3" t="b">
        <f>OR(E415 = "calculated", E415 = "lookup", E415 = "aggregation")</f>
        <v>0</v>
      </c>
      <c r="J415" s="3" t="b">
        <f>H415 &lt;&gt; ""</f>
        <v>1</v>
      </c>
      <c r="K415" s="3">
        <f>COUNTIFS(FieldDisagreements!D2:D999, A415)</f>
        <v>0</v>
      </c>
      <c r="L415" s="3" t="b">
        <f>K415 &gt; 0</f>
        <v>0</v>
      </c>
      <c r="M415" s="2" t="s">
        <v>2387</v>
      </c>
    </row>
    <row r="416">
      <c r="A416" s="2" t="s">
        <v>3049</v>
      </c>
      <c r="B416" s="3" t="str">
        <f>C416 &amp; "." &amp; D416</f>
        <v>Requirements.UsesControlledVocabulary</v>
      </c>
      <c r="C416" s="2" t="s">
        <v>1785</v>
      </c>
      <c r="D416" s="2" t="s">
        <v>818</v>
      </c>
      <c r="E416" s="2" t="s">
        <v>2389</v>
      </c>
      <c r="F416" s="2" t="s">
        <v>2401</v>
      </c>
      <c r="G416" s="2" t="s">
        <v>3050</v>
      </c>
      <c r="H416" s="2" t="s">
        <v>2360</v>
      </c>
      <c r="I416" s="3" t="b">
        <f>OR(E416 = "calculated", E416 = "lookup", E416 = "aggregation")</f>
        <v>1</v>
      </c>
      <c r="J416" s="3" t="b">
        <f>H416 &lt;&gt; ""</f>
        <v>1</v>
      </c>
      <c r="K416" s="3">
        <f>COUNTIFS(FieldDisagreements!D2:D999, A416)</f>
        <v>0</v>
      </c>
      <c r="L416" s="3" t="b">
        <f>K416 &gt; 0</f>
        <v>0</v>
      </c>
      <c r="M416" s="2" t="s">
        <v>2387</v>
      </c>
    </row>
    <row r="417">
      <c r="A417" s="2" t="s">
        <v>3051</v>
      </c>
      <c r="B417" s="3" t="str">
        <f>C417 &amp; "." &amp; D417</f>
        <v>Requirements.SemanticTypeIri</v>
      </c>
      <c r="C417" s="2" t="s">
        <v>1785</v>
      </c>
      <c r="D417" s="2" t="s">
        <v>94</v>
      </c>
      <c r="E417" s="2" t="s">
        <v>2385</v>
      </c>
      <c r="F417" s="2" t="s">
        <v>2386</v>
      </c>
      <c r="G417" s="2"/>
      <c r="H417" s="2"/>
      <c r="I417" s="3" t="b">
        <f>OR(E417 = "calculated", E417 = "lookup", E417 = "aggregation")</f>
        <v>0</v>
      </c>
      <c r="J417" s="3" t="b">
        <f>H417 &lt;&gt; ""</f>
        <v>0</v>
      </c>
      <c r="K417" s="3">
        <f>COUNTIFS(FieldDisagreements!D2:D999, A417)</f>
        <v>0</v>
      </c>
      <c r="L417" s="3" t="b">
        <f>K417 &gt; 0</f>
        <v>0</v>
      </c>
      <c r="M417" s="2" t="s">
        <v>2387</v>
      </c>
    </row>
    <row r="418">
      <c r="A418" s="2" t="s">
        <v>3052</v>
      </c>
      <c r="B418" s="3" t="str">
        <f>C418 &amp; "." &amp; D418</f>
        <v>StepRequirements.StepRequirementId</v>
      </c>
      <c r="C418" s="2" t="s">
        <v>3053</v>
      </c>
      <c r="D418" s="2" t="s">
        <v>893</v>
      </c>
      <c r="E418" s="2" t="s">
        <v>2385</v>
      </c>
      <c r="F418" s="2" t="s">
        <v>2386</v>
      </c>
      <c r="G418" s="2"/>
      <c r="H418" s="2"/>
      <c r="I418" s="3" t="b">
        <f>OR(E418 = "calculated", E418 = "lookup", E418 = "aggregation")</f>
        <v>0</v>
      </c>
      <c r="J418" s="3" t="b">
        <f>H418 &lt;&gt; ""</f>
        <v>0</v>
      </c>
      <c r="K418" s="3">
        <f>COUNTIFS(FieldDisagreements!D2:D999, A418)</f>
        <v>0</v>
      </c>
      <c r="L418" s="3" t="b">
        <f>K418 &gt; 0</f>
        <v>0</v>
      </c>
      <c r="M418" s="2" t="s">
        <v>2387</v>
      </c>
    </row>
    <row r="419">
      <c r="A419" s="2" t="s">
        <v>3054</v>
      </c>
      <c r="B419" s="3" t="str">
        <f>C419 &amp; "." &amp; D419</f>
        <v>StepRequirements.Name</v>
      </c>
      <c r="C419" s="2" t="s">
        <v>3053</v>
      </c>
      <c r="D419" s="2" t="s">
        <v>1</v>
      </c>
      <c r="E419" s="2" t="s">
        <v>2389</v>
      </c>
      <c r="F419" s="2" t="s">
        <v>2386</v>
      </c>
      <c r="G419" s="2" t="s">
        <v>3055</v>
      </c>
      <c r="H419" s="2"/>
      <c r="I419" s="3" t="b">
        <f>OR(E419 = "calculated", E419 = "lookup", E419 = "aggregation")</f>
        <v>1</v>
      </c>
      <c r="J419" s="3" t="b">
        <f>H419 &lt;&gt; ""</f>
        <v>0</v>
      </c>
      <c r="K419" s="3">
        <f>COUNTIFS(FieldDisagreements!D2:D999, A419)</f>
        <v>0</v>
      </c>
      <c r="L419" s="3" t="b">
        <f>K419 &gt; 0</f>
        <v>0</v>
      </c>
      <c r="M419" s="2" t="s">
        <v>2387</v>
      </c>
    </row>
    <row r="420">
      <c r="A420" s="2" t="s">
        <v>3056</v>
      </c>
      <c r="B420" s="3" t="str">
        <f>C420 &amp; "." &amp; D420</f>
        <v>StepRequirements.Step</v>
      </c>
      <c r="C420" s="2" t="s">
        <v>3053</v>
      </c>
      <c r="D420" s="2" t="s">
        <v>747</v>
      </c>
      <c r="E420" s="2" t="s">
        <v>2434</v>
      </c>
      <c r="F420" s="2" t="s">
        <v>2386</v>
      </c>
      <c r="G420" s="2"/>
      <c r="H420" s="2"/>
      <c r="I420" s="3" t="b">
        <f>OR(E420 = "calculated", E420 = "lookup", E420 = "aggregation")</f>
        <v>0</v>
      </c>
      <c r="J420" s="3" t="b">
        <f>H420 &lt;&gt; ""</f>
        <v>0</v>
      </c>
      <c r="K420" s="3">
        <f>COUNTIFS(FieldDisagreements!D2:D999, A420)</f>
        <v>0</v>
      </c>
      <c r="L420" s="3" t="b">
        <f>K420 &gt; 0</f>
        <v>0</v>
      </c>
      <c r="M420" s="2" t="s">
        <v>2387</v>
      </c>
    </row>
    <row r="421">
      <c r="A421" s="2" t="s">
        <v>3057</v>
      </c>
      <c r="B421" s="3" t="str">
        <f>C421 &amp; "." &amp; D421</f>
        <v>StepRequirements.Requirement</v>
      </c>
      <c r="C421" s="2" t="s">
        <v>3053</v>
      </c>
      <c r="D421" s="2" t="s">
        <v>894</v>
      </c>
      <c r="E421" s="2" t="s">
        <v>2434</v>
      </c>
      <c r="F421" s="2" t="s">
        <v>2386</v>
      </c>
      <c r="G421" s="2"/>
      <c r="H421" s="2"/>
      <c r="I421" s="3" t="b">
        <f>OR(E421 = "calculated", E421 = "lookup", E421 = "aggregation")</f>
        <v>0</v>
      </c>
      <c r="J421" s="3" t="b">
        <f>H421 &lt;&gt; ""</f>
        <v>0</v>
      </c>
      <c r="K421" s="3">
        <f>COUNTIFS(FieldDisagreements!D2:D999, A421)</f>
        <v>0</v>
      </c>
      <c r="L421" s="3" t="b">
        <f>K421 &gt; 0</f>
        <v>0</v>
      </c>
      <c r="M421" s="2" t="s">
        <v>2387</v>
      </c>
    </row>
    <row r="422">
      <c r="A422" s="2" t="s">
        <v>3058</v>
      </c>
      <c r="B422" s="3" t="str">
        <f>C422 &amp; "." &amp; D422</f>
        <v>StepRequirements.RequirementIsBlocking</v>
      </c>
      <c r="C422" s="2" t="s">
        <v>3053</v>
      </c>
      <c r="D422" s="2" t="s">
        <v>895</v>
      </c>
      <c r="E422" s="2" t="s">
        <v>2478</v>
      </c>
      <c r="F422" s="2" t="s">
        <v>2401</v>
      </c>
      <c r="G422" s="2" t="s">
        <v>3059</v>
      </c>
      <c r="H422" s="2" t="s">
        <v>1940</v>
      </c>
      <c r="I422" s="3" t="b">
        <f>OR(E422 = "calculated", E422 = "lookup", E422 = "aggregation")</f>
        <v>1</v>
      </c>
      <c r="J422" s="3" t="b">
        <f>H422 &lt;&gt; ""</f>
        <v>1</v>
      </c>
      <c r="K422" s="3">
        <f>COUNTIFS(FieldDisagreements!D2:D999, A422)</f>
        <v>0</v>
      </c>
      <c r="L422" s="3" t="b">
        <f>K422 &gt; 0</f>
        <v>0</v>
      </c>
      <c r="M422" s="2" t="s">
        <v>2387</v>
      </c>
    </row>
    <row r="423">
      <c r="A423" s="2" t="s">
        <v>3060</v>
      </c>
      <c r="B423" s="3" t="str">
        <f>C423 &amp; "." &amp; D423</f>
        <v>StepRequirements.BlockingStepKey</v>
      </c>
      <c r="C423" s="2" t="s">
        <v>3053</v>
      </c>
      <c r="D423" s="2" t="s">
        <v>896</v>
      </c>
      <c r="E423" s="2" t="s">
        <v>2389</v>
      </c>
      <c r="F423" s="2" t="s">
        <v>2386</v>
      </c>
      <c r="G423" s="2" t="s">
        <v>3061</v>
      </c>
      <c r="H423" s="2" t="s">
        <v>1940</v>
      </c>
      <c r="I423" s="3" t="b">
        <f>OR(E423 = "calculated", E423 = "lookup", E423 = "aggregation")</f>
        <v>1</v>
      </c>
      <c r="J423" s="3" t="b">
        <f>H423 &lt;&gt; ""</f>
        <v>1</v>
      </c>
      <c r="K423" s="3">
        <f>COUNTIFS(FieldDisagreements!D2:D999, A423)</f>
        <v>0</v>
      </c>
      <c r="L423" s="3" t="b">
        <f>K423 &gt; 0</f>
        <v>0</v>
      </c>
      <c r="M423" s="2" t="s">
        <v>2387</v>
      </c>
    </row>
    <row r="424">
      <c r="A424" s="2" t="s">
        <v>3062</v>
      </c>
      <c r="B424" s="3" t="str">
        <f>C424 &amp; "." &amp; D424</f>
        <v>StepRequirements.StepWhenBlocking</v>
      </c>
      <c r="C424" s="2" t="s">
        <v>3053</v>
      </c>
      <c r="D424" s="2" t="s">
        <v>897</v>
      </c>
      <c r="E424" s="2" t="s">
        <v>2389</v>
      </c>
      <c r="F424" s="2" t="s">
        <v>2386</v>
      </c>
      <c r="G424" s="2" t="s">
        <v>3061</v>
      </c>
      <c r="H424" s="2" t="s">
        <v>2108</v>
      </c>
      <c r="I424" s="3" t="b">
        <f>OR(E424 = "calculated", E424 = "lookup", E424 = "aggregation")</f>
        <v>1</v>
      </c>
      <c r="J424" s="3" t="b">
        <f>H424 &lt;&gt; ""</f>
        <v>1</v>
      </c>
      <c r="K424" s="3">
        <f>COUNTIFS(FieldDisagreements!D2:D999, A424)</f>
        <v>0</v>
      </c>
      <c r="L424" s="3" t="b">
        <f>K424 &gt; 0</f>
        <v>0</v>
      </c>
      <c r="M424" s="2" t="s">
        <v>2387</v>
      </c>
    </row>
    <row r="425">
      <c r="A425" s="2" t="s">
        <v>3063</v>
      </c>
      <c r="B425" s="3" t="str">
        <f>C425 &amp; "." &amp; D425</f>
        <v>StepRequirements.RequirementLacksWitness</v>
      </c>
      <c r="C425" s="2" t="s">
        <v>3053</v>
      </c>
      <c r="D425" s="2" t="s">
        <v>898</v>
      </c>
      <c r="E425" s="2" t="s">
        <v>2478</v>
      </c>
      <c r="F425" s="2" t="s">
        <v>2401</v>
      </c>
      <c r="G425" s="2" t="s">
        <v>3064</v>
      </c>
      <c r="H425" s="2" t="s">
        <v>2244</v>
      </c>
      <c r="I425" s="3" t="b">
        <f>OR(E425 = "calculated", E425 = "lookup", E425 = "aggregation")</f>
        <v>1</v>
      </c>
      <c r="J425" s="3" t="b">
        <f>H425 &lt;&gt; ""</f>
        <v>1</v>
      </c>
      <c r="K425" s="3">
        <f>COUNTIFS(FieldDisagreements!D2:D999, A425)</f>
        <v>0</v>
      </c>
      <c r="L425" s="3" t="b">
        <f>K425 &gt; 0</f>
        <v>0</v>
      </c>
      <c r="M425" s="2" t="s">
        <v>2387</v>
      </c>
    </row>
    <row r="426">
      <c r="A426" s="2" t="s">
        <v>3065</v>
      </c>
      <c r="B426" s="3" t="str">
        <f>C426 &amp; "." &amp; D426</f>
        <v>StepRequirements.UnwitnessedStepKey</v>
      </c>
      <c r="C426" s="2" t="s">
        <v>3053</v>
      </c>
      <c r="D426" s="2" t="s">
        <v>899</v>
      </c>
      <c r="E426" s="2" t="s">
        <v>2389</v>
      </c>
      <c r="F426" s="2" t="s">
        <v>2386</v>
      </c>
      <c r="G426" s="2" t="s">
        <v>3066</v>
      </c>
      <c r="H426" s="2" t="s">
        <v>2244</v>
      </c>
      <c r="I426" s="3" t="b">
        <f>OR(E426 = "calculated", E426 = "lookup", E426 = "aggregation")</f>
        <v>1</v>
      </c>
      <c r="J426" s="3" t="b">
        <f>H426 &lt;&gt; ""</f>
        <v>1</v>
      </c>
      <c r="K426" s="3">
        <f>COUNTIFS(FieldDisagreements!D2:D999, A426)</f>
        <v>0</v>
      </c>
      <c r="L426" s="3" t="b">
        <f>K426 &gt; 0</f>
        <v>0</v>
      </c>
      <c r="M426" s="2" t="s">
        <v>2387</v>
      </c>
    </row>
    <row r="427">
      <c r="A427" s="2" t="s">
        <v>3067</v>
      </c>
      <c r="B427" s="3" t="str">
        <f>C427 &amp; "." &amp; D427</f>
        <v>StepRequirements.SatisfactionCountForBinding</v>
      </c>
      <c r="C427" s="2" t="s">
        <v>3053</v>
      </c>
      <c r="D427" s="2" t="s">
        <v>900</v>
      </c>
      <c r="E427" s="2" t="s">
        <v>2438</v>
      </c>
      <c r="F427" s="2" t="s">
        <v>2444</v>
      </c>
      <c r="G427" s="2" t="s">
        <v>3068</v>
      </c>
      <c r="H427" s="2" t="s">
        <v>2260</v>
      </c>
      <c r="I427" s="3" t="b">
        <f>OR(E427 = "calculated", E427 = "lookup", E427 = "aggregation")</f>
        <v>1</v>
      </c>
      <c r="J427" s="3" t="b">
        <f>H427 &lt;&gt; ""</f>
        <v>1</v>
      </c>
      <c r="K427" s="3">
        <f>COUNTIFS(FieldDisagreements!D2:D999, A427)</f>
        <v>0</v>
      </c>
      <c r="L427" s="3" t="b">
        <f>K427 &gt; 0</f>
        <v>0</v>
      </c>
      <c r="M427" s="2" t="s">
        <v>2387</v>
      </c>
    </row>
    <row r="428">
      <c r="A428" s="2" t="s">
        <v>3069</v>
      </c>
      <c r="B428" s="3" t="str">
        <f>C428 &amp; "." &amp; D428</f>
        <v>StepRequirements.BindingWasEverExercised</v>
      </c>
      <c r="C428" s="2" t="s">
        <v>3053</v>
      </c>
      <c r="D428" s="2" t="s">
        <v>901</v>
      </c>
      <c r="E428" s="2" t="s">
        <v>2389</v>
      </c>
      <c r="F428" s="2" t="s">
        <v>2401</v>
      </c>
      <c r="G428" s="2" t="s">
        <v>3070</v>
      </c>
      <c r="H428" s="2" t="s">
        <v>2260</v>
      </c>
      <c r="I428" s="3" t="b">
        <f>OR(E428 = "calculated", E428 = "lookup", E428 = "aggregation")</f>
        <v>1</v>
      </c>
      <c r="J428" s="3" t="b">
        <f>H428 &lt;&gt; ""</f>
        <v>1</v>
      </c>
      <c r="K428" s="3">
        <f>COUNTIFS(FieldDisagreements!D2:D999, A428)</f>
        <v>0</v>
      </c>
      <c r="L428" s="3" t="b">
        <f>K428 &gt; 0</f>
        <v>0</v>
      </c>
      <c r="M428" s="2" t="s">
        <v>2387</v>
      </c>
    </row>
    <row r="429">
      <c r="A429" s="2" t="s">
        <v>3071</v>
      </c>
      <c r="B429" s="3" t="str">
        <f>C429 &amp; "." &amp; D429</f>
        <v>StepRequirements.IsUnexercisedBlockingBinding</v>
      </c>
      <c r="C429" s="2" t="s">
        <v>3053</v>
      </c>
      <c r="D429" s="2" t="s">
        <v>902</v>
      </c>
      <c r="E429" s="2" t="s">
        <v>2389</v>
      </c>
      <c r="F429" s="2" t="s">
        <v>2401</v>
      </c>
      <c r="G429" s="2" t="s">
        <v>3072</v>
      </c>
      <c r="H429" s="2" t="s">
        <v>2260</v>
      </c>
      <c r="I429" s="3" t="b">
        <f>OR(E429 = "calculated", E429 = "lookup", E429 = "aggregation")</f>
        <v>1</v>
      </c>
      <c r="J429" s="3" t="b">
        <f>H429 &lt;&gt; ""</f>
        <v>1</v>
      </c>
      <c r="K429" s="3">
        <f>COUNTIFS(FieldDisagreements!D2:D999, A429)</f>
        <v>0</v>
      </c>
      <c r="L429" s="3" t="b">
        <f>K429 &gt; 0</f>
        <v>0</v>
      </c>
      <c r="M429" s="2" t="s">
        <v>2387</v>
      </c>
    </row>
    <row r="430">
      <c r="A430" s="2" t="s">
        <v>3073</v>
      </c>
      <c r="B430" s="3" t="str">
        <f>C430 &amp; "." &amp; D430</f>
        <v>StepRequirements.UnexercisedBindingRequirementKey</v>
      </c>
      <c r="C430" s="2" t="s">
        <v>3053</v>
      </c>
      <c r="D430" s="2" t="s">
        <v>903</v>
      </c>
      <c r="E430" s="2" t="s">
        <v>2389</v>
      </c>
      <c r="F430" s="2" t="s">
        <v>2386</v>
      </c>
      <c r="G430" s="2" t="s">
        <v>3074</v>
      </c>
      <c r="H430" s="2" t="s">
        <v>2260</v>
      </c>
      <c r="I430" s="3" t="b">
        <f>OR(E430 = "calculated", E430 = "lookup", E430 = "aggregation")</f>
        <v>1</v>
      </c>
      <c r="J430" s="3" t="b">
        <f>H430 &lt;&gt; ""</f>
        <v>1</v>
      </c>
      <c r="K430" s="3">
        <f>COUNTIFS(FieldDisagreements!D2:D999, A430)</f>
        <v>0</v>
      </c>
      <c r="L430" s="3" t="b">
        <f>K430 &gt; 0</f>
        <v>0</v>
      </c>
      <c r="M430" s="2" t="s">
        <v>2387</v>
      </c>
    </row>
    <row r="431">
      <c r="A431" s="2" t="s">
        <v>3075</v>
      </c>
      <c r="B431" s="3" t="str">
        <f>C431 &amp; "." &amp; D431</f>
        <v>StepVerifications.StepVerificationId</v>
      </c>
      <c r="C431" s="2" t="s">
        <v>1788</v>
      </c>
      <c r="D431" s="2" t="s">
        <v>919</v>
      </c>
      <c r="E431" s="2" t="s">
        <v>2385</v>
      </c>
      <c r="F431" s="2" t="s">
        <v>2386</v>
      </c>
      <c r="G431" s="2"/>
      <c r="H431" s="2"/>
      <c r="I431" s="3" t="b">
        <f>OR(E431 = "calculated", E431 = "lookup", E431 = "aggregation")</f>
        <v>0</v>
      </c>
      <c r="J431" s="3" t="b">
        <f>H431 &lt;&gt; ""</f>
        <v>0</v>
      </c>
      <c r="K431" s="3">
        <f>COUNTIFS(FieldDisagreements!D2:D999, A431)</f>
        <v>0</v>
      </c>
      <c r="L431" s="3" t="b">
        <f>K431 &gt; 0</f>
        <v>0</v>
      </c>
      <c r="M431" s="2" t="s">
        <v>2387</v>
      </c>
    </row>
    <row r="432">
      <c r="A432" s="2" t="s">
        <v>3076</v>
      </c>
      <c r="B432" s="3" t="str">
        <f>C432 &amp; "." &amp; D432</f>
        <v>StepVerifications.Name</v>
      </c>
      <c r="C432" s="2" t="s">
        <v>1788</v>
      </c>
      <c r="D432" s="2" t="s">
        <v>1</v>
      </c>
      <c r="E432" s="2" t="s">
        <v>2389</v>
      </c>
      <c r="F432" s="2" t="s">
        <v>2386</v>
      </c>
      <c r="G432" s="2" t="s">
        <v>3077</v>
      </c>
      <c r="H432" s="2"/>
      <c r="I432" s="3" t="b">
        <f>OR(E432 = "calculated", E432 = "lookup", E432 = "aggregation")</f>
        <v>1</v>
      </c>
      <c r="J432" s="3" t="b">
        <f>H432 &lt;&gt; ""</f>
        <v>0</v>
      </c>
      <c r="K432" s="3">
        <f>COUNTIFS(FieldDisagreements!D2:D999, A432)</f>
        <v>0</v>
      </c>
      <c r="L432" s="3" t="b">
        <f>K432 &gt; 0</f>
        <v>0</v>
      </c>
      <c r="M432" s="2" t="s">
        <v>2387</v>
      </c>
    </row>
    <row r="433">
      <c r="A433" s="2" t="s">
        <v>3078</v>
      </c>
      <c r="B433" s="3" t="str">
        <f>C433 &amp; "." &amp; D433</f>
        <v>StepVerifications.Step</v>
      </c>
      <c r="C433" s="2" t="s">
        <v>1788</v>
      </c>
      <c r="D433" s="2" t="s">
        <v>747</v>
      </c>
      <c r="E433" s="2" t="s">
        <v>2434</v>
      </c>
      <c r="F433" s="2" t="s">
        <v>2386</v>
      </c>
      <c r="G433" s="2"/>
      <c r="H433" s="2"/>
      <c r="I433" s="3" t="b">
        <f>OR(E433 = "calculated", E433 = "lookup", E433 = "aggregation")</f>
        <v>0</v>
      </c>
      <c r="J433" s="3" t="b">
        <f>H433 &lt;&gt; ""</f>
        <v>0</v>
      </c>
      <c r="K433" s="3">
        <f>COUNTIFS(FieldDisagreements!D2:D999, A433)</f>
        <v>0</v>
      </c>
      <c r="L433" s="3" t="b">
        <f>K433 &gt; 0</f>
        <v>0</v>
      </c>
      <c r="M433" s="2" t="s">
        <v>2387</v>
      </c>
    </row>
    <row r="434">
      <c r="A434" s="2" t="s">
        <v>3079</v>
      </c>
      <c r="B434" s="3" t="str">
        <f>C434 &amp; "." &amp; D434</f>
        <v>StepVerifications.VerificationKind</v>
      </c>
      <c r="C434" s="2" t="s">
        <v>1788</v>
      </c>
      <c r="D434" s="2" t="s">
        <v>920</v>
      </c>
      <c r="E434" s="2" t="s">
        <v>2385</v>
      </c>
      <c r="F434" s="2" t="s">
        <v>2386</v>
      </c>
      <c r="G434" s="2"/>
      <c r="H434" s="2"/>
      <c r="I434" s="3" t="b">
        <f>OR(E434 = "calculated", E434 = "lookup", E434 = "aggregation")</f>
        <v>0</v>
      </c>
      <c r="J434" s="3" t="b">
        <f>H434 &lt;&gt; ""</f>
        <v>0</v>
      </c>
      <c r="K434" s="3">
        <f>COUNTIFS(FieldDisagreements!D2:D999, A434)</f>
        <v>0</v>
      </c>
      <c r="L434" s="3" t="b">
        <f>K434 &gt; 0</f>
        <v>0</v>
      </c>
      <c r="M434" s="2" t="s">
        <v>2387</v>
      </c>
    </row>
    <row r="435">
      <c r="A435" s="2" t="s">
        <v>3080</v>
      </c>
      <c r="B435" s="3" t="str">
        <f>C435 &amp; "." &amp; D435</f>
        <v>StepVerifications.SignalIdentifier</v>
      </c>
      <c r="C435" s="2" t="s">
        <v>1788</v>
      </c>
      <c r="D435" s="2" t="s">
        <v>921</v>
      </c>
      <c r="E435" s="2" t="s">
        <v>2385</v>
      </c>
      <c r="F435" s="2" t="s">
        <v>2386</v>
      </c>
      <c r="G435" s="2"/>
      <c r="H435" s="2"/>
      <c r="I435" s="3" t="b">
        <f>OR(E435 = "calculated", E435 = "lookup", E435 = "aggregation")</f>
        <v>0</v>
      </c>
      <c r="J435" s="3" t="b">
        <f>H435 &lt;&gt; ""</f>
        <v>0</v>
      </c>
      <c r="K435" s="3">
        <f>COUNTIFS(FieldDisagreements!D2:D999, A435)</f>
        <v>0</v>
      </c>
      <c r="L435" s="3" t="b">
        <f>K435 &gt; 0</f>
        <v>0</v>
      </c>
      <c r="M435" s="2" t="s">
        <v>2387</v>
      </c>
    </row>
    <row r="436">
      <c r="A436" s="2" t="s">
        <v>3081</v>
      </c>
      <c r="B436" s="3" t="str">
        <f>C436 &amp; "." &amp; D436</f>
        <v>StepVerifications.ExpectedSignalValue</v>
      </c>
      <c r="C436" s="2" t="s">
        <v>1788</v>
      </c>
      <c r="D436" s="2" t="s">
        <v>922</v>
      </c>
      <c r="E436" s="2" t="s">
        <v>2385</v>
      </c>
      <c r="F436" s="2" t="s">
        <v>2386</v>
      </c>
      <c r="G436" s="2"/>
      <c r="H436" s="2"/>
      <c r="I436" s="3" t="b">
        <f>OR(E436 = "calculated", E436 = "lookup", E436 = "aggregation")</f>
        <v>0</v>
      </c>
      <c r="J436" s="3" t="b">
        <f>H436 &lt;&gt; ""</f>
        <v>0</v>
      </c>
      <c r="K436" s="3">
        <f>COUNTIFS(FieldDisagreements!D2:D999, A436)</f>
        <v>0</v>
      </c>
      <c r="L436" s="3" t="b">
        <f>K436 &gt; 0</f>
        <v>0</v>
      </c>
      <c r="M436" s="2" t="s">
        <v>2387</v>
      </c>
    </row>
    <row r="437">
      <c r="A437" s="2" t="s">
        <v>3082</v>
      </c>
      <c r="B437" s="3" t="str">
        <f>C437 &amp; "." &amp; D437</f>
        <v>StepVerifications.Instruction</v>
      </c>
      <c r="C437" s="2" t="s">
        <v>1788</v>
      </c>
      <c r="D437" s="2" t="s">
        <v>503</v>
      </c>
      <c r="E437" s="2" t="s">
        <v>2385</v>
      </c>
      <c r="F437" s="2" t="s">
        <v>2386</v>
      </c>
      <c r="G437" s="2"/>
      <c r="H437" s="2"/>
      <c r="I437" s="3" t="b">
        <f>OR(E437 = "calculated", E437 = "lookup", E437 = "aggregation")</f>
        <v>0</v>
      </c>
      <c r="J437" s="3" t="b">
        <f>H437 &lt;&gt; ""</f>
        <v>0</v>
      </c>
      <c r="K437" s="3">
        <f>COUNTIFS(FieldDisagreements!D2:D999, A437)</f>
        <v>0</v>
      </c>
      <c r="L437" s="3" t="b">
        <f>K437 &gt; 0</f>
        <v>0</v>
      </c>
      <c r="M437" s="2" t="s">
        <v>2387</v>
      </c>
    </row>
    <row r="438">
      <c r="A438" s="2" t="s">
        <v>3083</v>
      </c>
      <c r="B438" s="3" t="str">
        <f>C438 &amp; "." &amp; D438</f>
        <v>StepVerifications.SemanticTypeIri</v>
      </c>
      <c r="C438" s="2" t="s">
        <v>1788</v>
      </c>
      <c r="D438" s="2" t="s">
        <v>94</v>
      </c>
      <c r="E438" s="2" t="s">
        <v>2385</v>
      </c>
      <c r="F438" s="2" t="s">
        <v>2386</v>
      </c>
      <c r="G438" s="2"/>
      <c r="H438" s="2"/>
      <c r="I438" s="3" t="b">
        <f>OR(E438 = "calculated", E438 = "lookup", E438 = "aggregation")</f>
        <v>0</v>
      </c>
      <c r="J438" s="3" t="b">
        <f>H438 &lt;&gt; ""</f>
        <v>0</v>
      </c>
      <c r="K438" s="3">
        <f>COUNTIFS(FieldDisagreements!D2:D999, A438)</f>
        <v>0</v>
      </c>
      <c r="L438" s="3" t="b">
        <f>K438 &gt; 0</f>
        <v>0</v>
      </c>
      <c r="M438" s="2" t="s">
        <v>2387</v>
      </c>
    </row>
    <row r="439">
      <c r="A439" s="2" t="s">
        <v>3084</v>
      </c>
      <c r="B439" s="3" t="str">
        <f>C439 &amp; "." &amp; D439</f>
        <v>Rationales.RationaleId</v>
      </c>
      <c r="C439" s="2" t="s">
        <v>3085</v>
      </c>
      <c r="D439" s="2" t="s">
        <v>965</v>
      </c>
      <c r="E439" s="2" t="s">
        <v>2385</v>
      </c>
      <c r="F439" s="2" t="s">
        <v>2386</v>
      </c>
      <c r="G439" s="2"/>
      <c r="H439" s="2"/>
      <c r="I439" s="3" t="b">
        <f>OR(E439 = "calculated", E439 = "lookup", E439 = "aggregation")</f>
        <v>0</v>
      </c>
      <c r="J439" s="3" t="b">
        <f>H439 &lt;&gt; ""</f>
        <v>0</v>
      </c>
      <c r="K439" s="3">
        <f>COUNTIFS(FieldDisagreements!D2:D999, A439)</f>
        <v>0</v>
      </c>
      <c r="L439" s="3" t="b">
        <f>K439 &gt; 0</f>
        <v>0</v>
      </c>
      <c r="M439" s="2" t="s">
        <v>2387</v>
      </c>
    </row>
    <row r="440">
      <c r="A440" s="2" t="s">
        <v>3086</v>
      </c>
      <c r="B440" s="3" t="str">
        <f>C440 &amp; "." &amp; D440</f>
        <v>Rationales.Name</v>
      </c>
      <c r="C440" s="2" t="s">
        <v>3085</v>
      </c>
      <c r="D440" s="2" t="s">
        <v>1</v>
      </c>
      <c r="E440" s="2" t="s">
        <v>2389</v>
      </c>
      <c r="F440" s="2" t="s">
        <v>2386</v>
      </c>
      <c r="G440" s="2" t="s">
        <v>2652</v>
      </c>
      <c r="H440" s="2"/>
      <c r="I440" s="3" t="b">
        <f>OR(E440 = "calculated", E440 = "lookup", E440 = "aggregation")</f>
        <v>1</v>
      </c>
      <c r="J440" s="3" t="b">
        <f>H440 &lt;&gt; ""</f>
        <v>0</v>
      </c>
      <c r="K440" s="3">
        <f>COUNTIFS(FieldDisagreements!D2:D999, A440)</f>
        <v>0</v>
      </c>
      <c r="L440" s="3" t="b">
        <f>K440 &gt; 0</f>
        <v>0</v>
      </c>
      <c r="M440" s="2" t="s">
        <v>2387</v>
      </c>
    </row>
    <row r="441">
      <c r="A441" s="2" t="s">
        <v>3087</v>
      </c>
      <c r="B441" s="3" t="str">
        <f>C441 &amp; "." &amp; D441</f>
        <v>Rationales.ProcedureVersion</v>
      </c>
      <c r="C441" s="2" t="s">
        <v>3085</v>
      </c>
      <c r="D441" s="2" t="s">
        <v>477</v>
      </c>
      <c r="E441" s="2" t="s">
        <v>2434</v>
      </c>
      <c r="F441" s="2" t="s">
        <v>2386</v>
      </c>
      <c r="G441" s="2"/>
      <c r="H441" s="2"/>
      <c r="I441" s="3" t="b">
        <f>OR(E441 = "calculated", E441 = "lookup", E441 = "aggregation")</f>
        <v>0</v>
      </c>
      <c r="J441" s="3" t="b">
        <f>H441 &lt;&gt; ""</f>
        <v>0</v>
      </c>
      <c r="K441" s="3">
        <f>COUNTIFS(FieldDisagreements!D2:D999, A441)</f>
        <v>0</v>
      </c>
      <c r="L441" s="3" t="b">
        <f>K441 &gt; 0</f>
        <v>0</v>
      </c>
      <c r="M441" s="2" t="s">
        <v>2387</v>
      </c>
    </row>
    <row r="442">
      <c r="A442" s="2" t="s">
        <v>3088</v>
      </c>
      <c r="B442" s="3" t="str">
        <f>C442 &amp; "." &amp; D442</f>
        <v>Rationales.Step</v>
      </c>
      <c r="C442" s="2" t="s">
        <v>3085</v>
      </c>
      <c r="D442" s="2" t="s">
        <v>747</v>
      </c>
      <c r="E442" s="2" t="s">
        <v>2434</v>
      </c>
      <c r="F442" s="2" t="s">
        <v>2386</v>
      </c>
      <c r="G442" s="2"/>
      <c r="H442" s="2"/>
      <c r="I442" s="3" t="b">
        <f>OR(E442 = "calculated", E442 = "lookup", E442 = "aggregation")</f>
        <v>0</v>
      </c>
      <c r="J442" s="3" t="b">
        <f>H442 &lt;&gt; ""</f>
        <v>0</v>
      </c>
      <c r="K442" s="3">
        <f>COUNTIFS(FieldDisagreements!D2:D999, A442)</f>
        <v>0</v>
      </c>
      <c r="L442" s="3" t="b">
        <f>K442 &gt; 0</f>
        <v>0</v>
      </c>
      <c r="M442" s="2" t="s">
        <v>2387</v>
      </c>
    </row>
    <row r="443">
      <c r="A443" s="2" t="s">
        <v>3089</v>
      </c>
      <c r="B443" s="3" t="str">
        <f>C443 &amp; "." &amp; D443</f>
        <v>Rationales.Title</v>
      </c>
      <c r="C443" s="2" t="s">
        <v>3085</v>
      </c>
      <c r="D443" s="2" t="s">
        <v>358</v>
      </c>
      <c r="E443" s="2" t="s">
        <v>2385</v>
      </c>
      <c r="F443" s="2" t="s">
        <v>2386</v>
      </c>
      <c r="G443" s="2"/>
      <c r="H443" s="2"/>
      <c r="I443" s="3" t="b">
        <f>OR(E443 = "calculated", E443 = "lookup", E443 = "aggregation")</f>
        <v>0</v>
      </c>
      <c r="J443" s="3" t="b">
        <f>H443 &lt;&gt; ""</f>
        <v>0</v>
      </c>
      <c r="K443" s="3">
        <f>COUNTIFS(FieldDisagreements!D2:D999, A443)</f>
        <v>0</v>
      </c>
      <c r="L443" s="3" t="b">
        <f>K443 &gt; 0</f>
        <v>0</v>
      </c>
      <c r="M443" s="2" t="s">
        <v>2387</v>
      </c>
    </row>
    <row r="444">
      <c r="A444" s="2" t="s">
        <v>3090</v>
      </c>
      <c r="B444" s="3" t="str">
        <f>C444 &amp; "." &amp; D444</f>
        <v>Rationales.Statement</v>
      </c>
      <c r="C444" s="2" t="s">
        <v>3085</v>
      </c>
      <c r="D444" s="2" t="s">
        <v>782</v>
      </c>
      <c r="E444" s="2" t="s">
        <v>2385</v>
      </c>
      <c r="F444" s="2" t="s">
        <v>2386</v>
      </c>
      <c r="G444" s="2"/>
      <c r="H444" s="2"/>
      <c r="I444" s="3" t="b">
        <f>OR(E444 = "calculated", E444 = "lookup", E444 = "aggregation")</f>
        <v>0</v>
      </c>
      <c r="J444" s="3" t="b">
        <f>H444 &lt;&gt; ""</f>
        <v>0</v>
      </c>
      <c r="K444" s="3">
        <f>COUNTIFS(FieldDisagreements!D2:D999, A444)</f>
        <v>0</v>
      </c>
      <c r="L444" s="3" t="b">
        <f>K444 &gt; 0</f>
        <v>0</v>
      </c>
      <c r="M444" s="2" t="s">
        <v>2387</v>
      </c>
    </row>
    <row r="445">
      <c r="A445" s="2" t="s">
        <v>3091</v>
      </c>
      <c r="B445" s="3" t="str">
        <f>C445 &amp; "." &amp; D445</f>
        <v>Rationales.Status</v>
      </c>
      <c r="C445" s="2" t="s">
        <v>3085</v>
      </c>
      <c r="D445" s="2" t="s">
        <v>8</v>
      </c>
      <c r="E445" s="2" t="s">
        <v>2385</v>
      </c>
      <c r="F445" s="2" t="s">
        <v>2386</v>
      </c>
      <c r="G445" s="2"/>
      <c r="H445" s="2"/>
      <c r="I445" s="3" t="b">
        <f>OR(E445 = "calculated", E445 = "lookup", E445 = "aggregation")</f>
        <v>0</v>
      </c>
      <c r="J445" s="3" t="b">
        <f>H445 &lt;&gt; ""</f>
        <v>0</v>
      </c>
      <c r="K445" s="3">
        <f>COUNTIFS(FieldDisagreements!D2:D999, A445)</f>
        <v>0</v>
      </c>
      <c r="L445" s="3" t="b">
        <f>K445 &gt; 0</f>
        <v>0</v>
      </c>
      <c r="M445" s="2" t="s">
        <v>2387</v>
      </c>
    </row>
    <row r="446">
      <c r="A446" s="2" t="s">
        <v>3092</v>
      </c>
      <c r="B446" s="3" t="str">
        <f>C446 &amp; "." &amp; D446</f>
        <v>Rationales.AuthorityRole</v>
      </c>
      <c r="C446" s="2" t="s">
        <v>3085</v>
      </c>
      <c r="D446" s="2" t="s">
        <v>966</v>
      </c>
      <c r="E446" s="2" t="s">
        <v>2434</v>
      </c>
      <c r="F446" s="2" t="s">
        <v>2386</v>
      </c>
      <c r="G446" s="2"/>
      <c r="H446" s="2"/>
      <c r="I446" s="3" t="b">
        <f>OR(E446 = "calculated", E446 = "lookup", E446 = "aggregation")</f>
        <v>0</v>
      </c>
      <c r="J446" s="3" t="b">
        <f>H446 &lt;&gt; ""</f>
        <v>0</v>
      </c>
      <c r="K446" s="3">
        <f>COUNTIFS(FieldDisagreements!D2:D999, A446)</f>
        <v>0</v>
      </c>
      <c r="L446" s="3" t="b">
        <f>K446 &gt; 0</f>
        <v>0</v>
      </c>
      <c r="M446" s="2" t="s">
        <v>2387</v>
      </c>
    </row>
    <row r="447">
      <c r="A447" s="2" t="s">
        <v>3093</v>
      </c>
      <c r="B447" s="3" t="str">
        <f>C447 &amp; "." &amp; D447</f>
        <v>Rationales.SemanticTypeIri</v>
      </c>
      <c r="C447" s="2" t="s">
        <v>3085</v>
      </c>
      <c r="D447" s="2" t="s">
        <v>94</v>
      </c>
      <c r="E447" s="2" t="s">
        <v>2385</v>
      </c>
      <c r="F447" s="2" t="s">
        <v>2386</v>
      </c>
      <c r="G447" s="2"/>
      <c r="H447" s="2"/>
      <c r="I447" s="3" t="b">
        <f>OR(E447 = "calculated", E447 = "lookup", E447 = "aggregation")</f>
        <v>0</v>
      </c>
      <c r="J447" s="3" t="b">
        <f>H447 &lt;&gt; ""</f>
        <v>0</v>
      </c>
      <c r="K447" s="3">
        <f>COUNTIFS(FieldDisagreements!D2:D999, A447)</f>
        <v>0</v>
      </c>
      <c r="L447" s="3" t="b">
        <f>K447 &gt; 0</f>
        <v>0</v>
      </c>
      <c r="M447" s="2" t="s">
        <v>2387</v>
      </c>
    </row>
    <row r="448">
      <c r="A448" s="2" t="s">
        <v>3094</v>
      </c>
      <c r="B448" s="3" t="str">
        <f>C448 &amp; "." &amp; D448</f>
        <v>Exceptions.ExceptionId</v>
      </c>
      <c r="C448" s="2" t="s">
        <v>3095</v>
      </c>
      <c r="D448" s="2" t="s">
        <v>980</v>
      </c>
      <c r="E448" s="2" t="s">
        <v>2385</v>
      </c>
      <c r="F448" s="2" t="s">
        <v>2386</v>
      </c>
      <c r="G448" s="2"/>
      <c r="H448" s="2"/>
      <c r="I448" s="3" t="b">
        <f>OR(E448 = "calculated", E448 = "lookup", E448 = "aggregation")</f>
        <v>0</v>
      </c>
      <c r="J448" s="3" t="b">
        <f>H448 &lt;&gt; ""</f>
        <v>0</v>
      </c>
      <c r="K448" s="3">
        <f>COUNTIFS(FieldDisagreements!D2:D999, A448)</f>
        <v>0</v>
      </c>
      <c r="L448" s="3" t="b">
        <f>K448 &gt; 0</f>
        <v>0</v>
      </c>
      <c r="M448" s="2" t="s">
        <v>2387</v>
      </c>
    </row>
    <row r="449">
      <c r="A449" s="2" t="s">
        <v>3096</v>
      </c>
      <c r="B449" s="3" t="str">
        <f>C449 &amp; "." &amp; D449</f>
        <v>Exceptions.Name</v>
      </c>
      <c r="C449" s="2" t="s">
        <v>3095</v>
      </c>
      <c r="D449" s="2" t="s">
        <v>1</v>
      </c>
      <c r="E449" s="2" t="s">
        <v>2389</v>
      </c>
      <c r="F449" s="2" t="s">
        <v>2386</v>
      </c>
      <c r="G449" s="2" t="s">
        <v>3097</v>
      </c>
      <c r="H449" s="2"/>
      <c r="I449" s="3" t="b">
        <f>OR(E449 = "calculated", E449 = "lookup", E449 = "aggregation")</f>
        <v>1</v>
      </c>
      <c r="J449" s="3" t="b">
        <f>H449 &lt;&gt; ""</f>
        <v>0</v>
      </c>
      <c r="K449" s="3">
        <f>COUNTIFS(FieldDisagreements!D2:D999, A449)</f>
        <v>0</v>
      </c>
      <c r="L449" s="3" t="b">
        <f>K449 &gt; 0</f>
        <v>0</v>
      </c>
      <c r="M449" s="2" t="s">
        <v>2387</v>
      </c>
    </row>
    <row r="450">
      <c r="A450" s="2" t="s">
        <v>3098</v>
      </c>
      <c r="B450" s="3" t="str">
        <f>C450 &amp; "." &amp; D450</f>
        <v>Exceptions.ProcedureVersion</v>
      </c>
      <c r="C450" s="2" t="s">
        <v>3095</v>
      </c>
      <c r="D450" s="2" t="s">
        <v>477</v>
      </c>
      <c r="E450" s="2" t="s">
        <v>2434</v>
      </c>
      <c r="F450" s="2" t="s">
        <v>2386</v>
      </c>
      <c r="G450" s="2"/>
      <c r="H450" s="2"/>
      <c r="I450" s="3" t="b">
        <f>OR(E450 = "calculated", E450 = "lookup", E450 = "aggregation")</f>
        <v>0</v>
      </c>
      <c r="J450" s="3" t="b">
        <f>H450 &lt;&gt; ""</f>
        <v>0</v>
      </c>
      <c r="K450" s="3">
        <f>COUNTIFS(FieldDisagreements!D2:D999, A450)</f>
        <v>0</v>
      </c>
      <c r="L450" s="3" t="b">
        <f>K450 &gt; 0</f>
        <v>0</v>
      </c>
      <c r="M450" s="2" t="s">
        <v>2387</v>
      </c>
    </row>
    <row r="451">
      <c r="A451" s="2" t="s">
        <v>3099</v>
      </c>
      <c r="B451" s="3" t="str">
        <f>C451 &amp; "." &amp; D451</f>
        <v>Exceptions.TriggerStep</v>
      </c>
      <c r="C451" s="2" t="s">
        <v>3095</v>
      </c>
      <c r="D451" s="2" t="s">
        <v>981</v>
      </c>
      <c r="E451" s="2" t="s">
        <v>2434</v>
      </c>
      <c r="F451" s="2" t="s">
        <v>2386</v>
      </c>
      <c r="G451" s="2"/>
      <c r="H451" s="2"/>
      <c r="I451" s="3" t="b">
        <f>OR(E451 = "calculated", E451 = "lookup", E451 = "aggregation")</f>
        <v>0</v>
      </c>
      <c r="J451" s="3" t="b">
        <f>H451 &lt;&gt; ""</f>
        <v>0</v>
      </c>
      <c r="K451" s="3">
        <f>COUNTIFS(FieldDisagreements!D2:D999, A451)</f>
        <v>0</v>
      </c>
      <c r="L451" s="3" t="b">
        <f>K451 &gt; 0</f>
        <v>0</v>
      </c>
      <c r="M451" s="2" t="s">
        <v>2387</v>
      </c>
    </row>
    <row r="452">
      <c r="A452" s="2" t="s">
        <v>3100</v>
      </c>
      <c r="B452" s="3" t="str">
        <f>C452 &amp; "." &amp; D452</f>
        <v>Exceptions.Condition</v>
      </c>
      <c r="C452" s="2" t="s">
        <v>3095</v>
      </c>
      <c r="D452" s="2" t="s">
        <v>612</v>
      </c>
      <c r="E452" s="2" t="s">
        <v>2385</v>
      </c>
      <c r="F452" s="2" t="s">
        <v>2386</v>
      </c>
      <c r="G452" s="2"/>
      <c r="H452" s="2"/>
      <c r="I452" s="3" t="b">
        <f>OR(E452 = "calculated", E452 = "lookup", E452 = "aggregation")</f>
        <v>0</v>
      </c>
      <c r="J452" s="3" t="b">
        <f>H452 &lt;&gt; ""</f>
        <v>0</v>
      </c>
      <c r="K452" s="3">
        <f>COUNTIFS(FieldDisagreements!D2:D999, A452)</f>
        <v>0</v>
      </c>
      <c r="L452" s="3" t="b">
        <f>K452 &gt; 0</f>
        <v>0</v>
      </c>
      <c r="M452" s="2" t="s">
        <v>2387</v>
      </c>
    </row>
    <row r="453">
      <c r="A453" s="2" t="s">
        <v>3101</v>
      </c>
      <c r="B453" s="3" t="str">
        <f>C453 &amp; "." &amp; D453</f>
        <v>Exceptions.Handling</v>
      </c>
      <c r="C453" s="2" t="s">
        <v>3095</v>
      </c>
      <c r="D453" s="2" t="s">
        <v>982</v>
      </c>
      <c r="E453" s="2" t="s">
        <v>2385</v>
      </c>
      <c r="F453" s="2" t="s">
        <v>2386</v>
      </c>
      <c r="G453" s="2"/>
      <c r="H453" s="2"/>
      <c r="I453" s="3" t="b">
        <f>OR(E453 = "calculated", E453 = "lookup", E453 = "aggregation")</f>
        <v>0</v>
      </c>
      <c r="J453" s="3" t="b">
        <f>H453 &lt;&gt; ""</f>
        <v>0</v>
      </c>
      <c r="K453" s="3">
        <f>COUNTIFS(FieldDisagreements!D2:D999, A453)</f>
        <v>0</v>
      </c>
      <c r="L453" s="3" t="b">
        <f>K453 &gt; 0</f>
        <v>0</v>
      </c>
      <c r="M453" s="2" t="s">
        <v>2387</v>
      </c>
    </row>
    <row r="454">
      <c r="A454" s="2" t="s">
        <v>3102</v>
      </c>
      <c r="B454" s="3" t="str">
        <f>C454 &amp; "." &amp; D454</f>
        <v>Exceptions.ApprovalRole</v>
      </c>
      <c r="C454" s="2" t="s">
        <v>3095</v>
      </c>
      <c r="D454" s="2" t="s">
        <v>983</v>
      </c>
      <c r="E454" s="2" t="s">
        <v>2434</v>
      </c>
      <c r="F454" s="2" t="s">
        <v>2386</v>
      </c>
      <c r="G454" s="2"/>
      <c r="H454" s="2"/>
      <c r="I454" s="3" t="b">
        <f>OR(E454 = "calculated", E454 = "lookup", E454 = "aggregation")</f>
        <v>0</v>
      </c>
      <c r="J454" s="3" t="b">
        <f>H454 &lt;&gt; ""</f>
        <v>0</v>
      </c>
      <c r="K454" s="3">
        <f>COUNTIFS(FieldDisagreements!D2:D999, A454)</f>
        <v>0</v>
      </c>
      <c r="L454" s="3" t="b">
        <f>K454 &gt; 0</f>
        <v>0</v>
      </c>
      <c r="M454" s="2" t="s">
        <v>2387</v>
      </c>
    </row>
    <row r="455">
      <c r="A455" s="2" t="s">
        <v>3103</v>
      </c>
      <c r="B455" s="3" t="str">
        <f>C455 &amp; "." &amp; D455</f>
        <v>Exceptions.FallbackRole</v>
      </c>
      <c r="C455" s="2" t="s">
        <v>3095</v>
      </c>
      <c r="D455" s="2" t="s">
        <v>984</v>
      </c>
      <c r="E455" s="2" t="s">
        <v>2434</v>
      </c>
      <c r="F455" s="2" t="s">
        <v>2386</v>
      </c>
      <c r="G455" s="2"/>
      <c r="H455" s="2"/>
      <c r="I455" s="3" t="b">
        <f>OR(E455 = "calculated", E455 = "lookup", E455 = "aggregation")</f>
        <v>0</v>
      </c>
      <c r="J455" s="3" t="b">
        <f>H455 &lt;&gt; ""</f>
        <v>0</v>
      </c>
      <c r="K455" s="3">
        <f>COUNTIFS(FieldDisagreements!D2:D999, A455)</f>
        <v>0</v>
      </c>
      <c r="L455" s="3" t="b">
        <f>K455 &gt; 0</f>
        <v>0</v>
      </c>
      <c r="M455" s="2" t="s">
        <v>2387</v>
      </c>
    </row>
    <row r="456">
      <c r="A456" s="2" t="s">
        <v>3104</v>
      </c>
      <c r="B456" s="3" t="str">
        <f>C456 &amp; "." &amp; D456</f>
        <v>Exceptions.Status</v>
      </c>
      <c r="C456" s="2" t="s">
        <v>3095</v>
      </c>
      <c r="D456" s="2" t="s">
        <v>8</v>
      </c>
      <c r="E456" s="2" t="s">
        <v>2385</v>
      </c>
      <c r="F456" s="2" t="s">
        <v>2386</v>
      </c>
      <c r="G456" s="2"/>
      <c r="H456" s="2"/>
      <c r="I456" s="3" t="b">
        <f>OR(E456 = "calculated", E456 = "lookup", E456 = "aggregation")</f>
        <v>0</v>
      </c>
      <c r="J456" s="3" t="b">
        <f>H456 &lt;&gt; ""</f>
        <v>0</v>
      </c>
      <c r="K456" s="3">
        <f>COUNTIFS(FieldDisagreements!D2:D999, A456)</f>
        <v>0</v>
      </c>
      <c r="L456" s="3" t="b">
        <f>K456 &gt; 0</f>
        <v>0</v>
      </c>
      <c r="M456" s="2" t="s">
        <v>2387</v>
      </c>
    </row>
    <row r="457">
      <c r="A457" s="2" t="s">
        <v>3105</v>
      </c>
      <c r="B457" s="3" t="str">
        <f>C457 &amp; "." &amp; D457</f>
        <v>Exceptions.ActiveExceptionStepKey</v>
      </c>
      <c r="C457" s="2" t="s">
        <v>3095</v>
      </c>
      <c r="D457" s="2" t="s">
        <v>985</v>
      </c>
      <c r="E457" s="2" t="s">
        <v>2389</v>
      </c>
      <c r="F457" s="2" t="s">
        <v>2386</v>
      </c>
      <c r="G457" s="2" t="s">
        <v>3106</v>
      </c>
      <c r="H457" s="2" t="s">
        <v>1948</v>
      </c>
      <c r="I457" s="3" t="b">
        <f>OR(E457 = "calculated", E457 = "lookup", E457 = "aggregation")</f>
        <v>1</v>
      </c>
      <c r="J457" s="3" t="b">
        <f>H457 &lt;&gt; ""</f>
        <v>1</v>
      </c>
      <c r="K457" s="3">
        <f>COUNTIFS(FieldDisagreements!D2:D999, A457)</f>
        <v>0</v>
      </c>
      <c r="L457" s="3" t="b">
        <f>K457 &gt; 0</f>
        <v>0</v>
      </c>
      <c r="M457" s="2" t="s">
        <v>2387</v>
      </c>
    </row>
    <row r="458">
      <c r="A458" s="2" t="s">
        <v>3107</v>
      </c>
      <c r="B458" s="3" t="str">
        <f>C458 &amp; "." &amp; D458</f>
        <v>Exceptions.SemanticTypeIri</v>
      </c>
      <c r="C458" s="2" t="s">
        <v>3095</v>
      </c>
      <c r="D458" s="2" t="s">
        <v>94</v>
      </c>
      <c r="E458" s="2" t="s">
        <v>2385</v>
      </c>
      <c r="F458" s="2" t="s">
        <v>2386</v>
      </c>
      <c r="G458" s="2"/>
      <c r="H458" s="2"/>
      <c r="I458" s="3" t="b">
        <f>OR(E458 = "calculated", E458 = "lookup", E458 = "aggregation")</f>
        <v>0</v>
      </c>
      <c r="J458" s="3" t="b">
        <f>H458 &lt;&gt; ""</f>
        <v>0</v>
      </c>
      <c r="K458" s="3">
        <f>COUNTIFS(FieldDisagreements!D2:D999, A458)</f>
        <v>0</v>
      </c>
      <c r="L458" s="3" t="b">
        <f>K458 &gt; 0</f>
        <v>0</v>
      </c>
      <c r="M458" s="2" t="s">
        <v>2387</v>
      </c>
    </row>
    <row r="459">
      <c r="A459" s="2" t="s">
        <v>3108</v>
      </c>
      <c r="B459" s="3" t="str">
        <f>C459 &amp; "." &amp; D459</f>
        <v>Resources.ResourceId</v>
      </c>
      <c r="C459" s="2" t="s">
        <v>1791</v>
      </c>
      <c r="D459" s="2" t="s">
        <v>999</v>
      </c>
      <c r="E459" s="2" t="s">
        <v>2385</v>
      </c>
      <c r="F459" s="2" t="s">
        <v>2386</v>
      </c>
      <c r="G459" s="2"/>
      <c r="H459" s="2"/>
      <c r="I459" s="3" t="b">
        <f>OR(E459 = "calculated", E459 = "lookup", E459 = "aggregation")</f>
        <v>0</v>
      </c>
      <c r="J459" s="3" t="b">
        <f>H459 &lt;&gt; ""</f>
        <v>0</v>
      </c>
      <c r="K459" s="3">
        <f>COUNTIFS(FieldDisagreements!D2:D999, A459)</f>
        <v>0</v>
      </c>
      <c r="L459" s="3" t="b">
        <f>K459 &gt; 0</f>
        <v>0</v>
      </c>
      <c r="M459" s="2" t="s">
        <v>2387</v>
      </c>
    </row>
    <row r="460">
      <c r="A460" s="2" t="s">
        <v>3109</v>
      </c>
      <c r="B460" s="3" t="str">
        <f>C460 &amp; "." &amp; D460</f>
        <v>Resources.Name</v>
      </c>
      <c r="C460" s="2" t="s">
        <v>1791</v>
      </c>
      <c r="D460" s="2" t="s">
        <v>1</v>
      </c>
      <c r="E460" s="2" t="s">
        <v>2389</v>
      </c>
      <c r="F460" s="2" t="s">
        <v>2386</v>
      </c>
      <c r="G460" s="2" t="s">
        <v>2652</v>
      </c>
      <c r="H460" s="2"/>
      <c r="I460" s="3" t="b">
        <f>OR(E460 = "calculated", E460 = "lookup", E460 = "aggregation")</f>
        <v>1</v>
      </c>
      <c r="J460" s="3" t="b">
        <f>H460 &lt;&gt; ""</f>
        <v>0</v>
      </c>
      <c r="K460" s="3">
        <f>COUNTIFS(FieldDisagreements!D2:D999, A460)</f>
        <v>0</v>
      </c>
      <c r="L460" s="3" t="b">
        <f>K460 &gt; 0</f>
        <v>0</v>
      </c>
      <c r="M460" s="2" t="s">
        <v>2387</v>
      </c>
    </row>
    <row r="461">
      <c r="A461" s="2" t="s">
        <v>3110</v>
      </c>
      <c r="B461" s="3" t="str">
        <f>C461 &amp; "." &amp; D461</f>
        <v>Resources.Title</v>
      </c>
      <c r="C461" s="2" t="s">
        <v>1791</v>
      </c>
      <c r="D461" s="2" t="s">
        <v>358</v>
      </c>
      <c r="E461" s="2" t="s">
        <v>2385</v>
      </c>
      <c r="F461" s="2" t="s">
        <v>2386</v>
      </c>
      <c r="G461" s="2"/>
      <c r="H461" s="2"/>
      <c r="I461" s="3" t="b">
        <f>OR(E461 = "calculated", E461 = "lookup", E461 = "aggregation")</f>
        <v>0</v>
      </c>
      <c r="J461" s="3" t="b">
        <f>H461 &lt;&gt; ""</f>
        <v>0</v>
      </c>
      <c r="K461" s="3">
        <f>COUNTIFS(FieldDisagreements!D2:D999, A461)</f>
        <v>0</v>
      </c>
      <c r="L461" s="3" t="b">
        <f>K461 &gt; 0</f>
        <v>0</v>
      </c>
      <c r="M461" s="2" t="s">
        <v>2387</v>
      </c>
    </row>
    <row r="462">
      <c r="A462" s="2" t="s">
        <v>3111</v>
      </c>
      <c r="B462" s="3" t="str">
        <f>C462 &amp; "." &amp; D462</f>
        <v>Resources.ResourceKind</v>
      </c>
      <c r="C462" s="2" t="s">
        <v>1791</v>
      </c>
      <c r="D462" s="2" t="s">
        <v>1000</v>
      </c>
      <c r="E462" s="2" t="s">
        <v>2385</v>
      </c>
      <c r="F462" s="2" t="s">
        <v>2386</v>
      </c>
      <c r="G462" s="2"/>
      <c r="H462" s="2"/>
      <c r="I462" s="3" t="b">
        <f>OR(E462 = "calculated", E462 = "lookup", E462 = "aggregation")</f>
        <v>0</v>
      </c>
      <c r="J462" s="3" t="b">
        <f>H462 &lt;&gt; ""</f>
        <v>0</v>
      </c>
      <c r="K462" s="3">
        <f>COUNTIFS(FieldDisagreements!D2:D999, A462)</f>
        <v>0</v>
      </c>
      <c r="L462" s="3" t="b">
        <f>K462 &gt; 0</f>
        <v>0</v>
      </c>
      <c r="M462" s="2" t="s">
        <v>2387</v>
      </c>
    </row>
    <row r="463">
      <c r="A463" s="2" t="s">
        <v>3112</v>
      </c>
      <c r="B463" s="3" t="str">
        <f>C463 &amp; "." &amp; D463</f>
        <v>Resources.ExternalUri</v>
      </c>
      <c r="C463" s="2" t="s">
        <v>1791</v>
      </c>
      <c r="D463" s="2" t="s">
        <v>1001</v>
      </c>
      <c r="E463" s="2" t="s">
        <v>2385</v>
      </c>
      <c r="F463" s="2" t="s">
        <v>2386</v>
      </c>
      <c r="G463" s="2"/>
      <c r="H463" s="2"/>
      <c r="I463" s="3" t="b">
        <f>OR(E463 = "calculated", E463 = "lookup", E463 = "aggregation")</f>
        <v>0</v>
      </c>
      <c r="J463" s="3" t="b">
        <f>H463 &lt;&gt; ""</f>
        <v>0</v>
      </c>
      <c r="K463" s="3">
        <f>COUNTIFS(FieldDisagreements!D2:D999, A463)</f>
        <v>0</v>
      </c>
      <c r="L463" s="3" t="b">
        <f>K463 &gt; 0</f>
        <v>0</v>
      </c>
      <c r="M463" s="2" t="s">
        <v>2387</v>
      </c>
    </row>
    <row r="464">
      <c r="A464" s="2" t="s">
        <v>3113</v>
      </c>
      <c r="B464" s="3" t="str">
        <f>C464 &amp; "." &amp; D464</f>
        <v>Resources.CreatedAt</v>
      </c>
      <c r="C464" s="2" t="s">
        <v>1791</v>
      </c>
      <c r="D464" s="2" t="s">
        <v>1002</v>
      </c>
      <c r="E464" s="2" t="s">
        <v>2385</v>
      </c>
      <c r="F464" s="2" t="s">
        <v>2397</v>
      </c>
      <c r="G464" s="2"/>
      <c r="H464" s="2"/>
      <c r="I464" s="3" t="b">
        <f>OR(E464 = "calculated", E464 = "lookup", E464 = "aggregation")</f>
        <v>0</v>
      </c>
      <c r="J464" s="3" t="b">
        <f>H464 &lt;&gt; ""</f>
        <v>0</v>
      </c>
      <c r="K464" s="3">
        <f>COUNTIFS(FieldDisagreements!D2:D999, A464)</f>
        <v>0</v>
      </c>
      <c r="L464" s="3" t="b">
        <f>K464 &gt; 0</f>
        <v>0</v>
      </c>
      <c r="M464" s="2" t="s">
        <v>2387</v>
      </c>
    </row>
    <row r="465">
      <c r="A465" s="2" t="s">
        <v>3114</v>
      </c>
      <c r="B465" s="3" t="str">
        <f>C465 &amp; "." &amp; D465</f>
        <v>Resources.ModifiedAt</v>
      </c>
      <c r="C465" s="2" t="s">
        <v>1791</v>
      </c>
      <c r="D465" s="2" t="s">
        <v>379</v>
      </c>
      <c r="E465" s="2" t="s">
        <v>2385</v>
      </c>
      <c r="F465" s="2" t="s">
        <v>2397</v>
      </c>
      <c r="G465" s="2"/>
      <c r="H465" s="2"/>
      <c r="I465" s="3" t="b">
        <f>OR(E465 = "calculated", E465 = "lookup", E465 = "aggregation")</f>
        <v>0</v>
      </c>
      <c r="J465" s="3" t="b">
        <f>H465 &lt;&gt; ""</f>
        <v>0</v>
      </c>
      <c r="K465" s="3">
        <f>COUNTIFS(FieldDisagreements!D2:D999, A465)</f>
        <v>0</v>
      </c>
      <c r="L465" s="3" t="b">
        <f>K465 &gt; 0</f>
        <v>0</v>
      </c>
      <c r="M465" s="2" t="s">
        <v>2387</v>
      </c>
    </row>
    <row r="466">
      <c r="A466" s="2" t="s">
        <v>3115</v>
      </c>
      <c r="B466" s="3" t="str">
        <f>C466 &amp; "." &amp; D466</f>
        <v>Resources.Description</v>
      </c>
      <c r="C466" s="2" t="s">
        <v>1791</v>
      </c>
      <c r="D466" s="2" t="s">
        <v>1003</v>
      </c>
      <c r="E466" s="2" t="s">
        <v>2385</v>
      </c>
      <c r="F466" s="2" t="s">
        <v>2386</v>
      </c>
      <c r="G466" s="2"/>
      <c r="H466" s="2"/>
      <c r="I466" s="3" t="b">
        <f>OR(E466 = "calculated", E466 = "lookup", E466 = "aggregation")</f>
        <v>0</v>
      </c>
      <c r="J466" s="3" t="b">
        <f>H466 &lt;&gt; ""</f>
        <v>0</v>
      </c>
      <c r="K466" s="3">
        <f>COUNTIFS(FieldDisagreements!D2:D999, A466)</f>
        <v>0</v>
      </c>
      <c r="L466" s="3" t="b">
        <f>K466 &gt; 0</f>
        <v>0</v>
      </c>
      <c r="M466" s="2" t="s">
        <v>2387</v>
      </c>
    </row>
    <row r="467">
      <c r="A467" s="2" t="s">
        <v>3116</v>
      </c>
      <c r="B467" s="3" t="str">
        <f>C467 &amp; "." &amp; D467</f>
        <v>Resources.ApprovalStatus</v>
      </c>
      <c r="C467" s="2" t="s">
        <v>1791</v>
      </c>
      <c r="D467" s="2" t="s">
        <v>1004</v>
      </c>
      <c r="E467" s="2" t="s">
        <v>2385</v>
      </c>
      <c r="F467" s="2" t="s">
        <v>2386</v>
      </c>
      <c r="G467" s="2"/>
      <c r="H467" s="2" t="s">
        <v>2160</v>
      </c>
      <c r="I467" s="3" t="b">
        <f>OR(E467 = "calculated", E467 = "lookup", E467 = "aggregation")</f>
        <v>0</v>
      </c>
      <c r="J467" s="3" t="b">
        <f>H467 &lt;&gt; ""</f>
        <v>1</v>
      </c>
      <c r="K467" s="3">
        <f>COUNTIFS(FieldDisagreements!D2:D999, A467)</f>
        <v>0</v>
      </c>
      <c r="L467" s="3" t="b">
        <f>K467 &gt; 0</f>
        <v>0</v>
      </c>
      <c r="M467" s="2" t="s">
        <v>2387</v>
      </c>
    </row>
    <row r="468">
      <c r="A468" s="2" t="s">
        <v>3117</v>
      </c>
      <c r="B468" s="3" t="str">
        <f>C468 &amp; "." &amp; D468</f>
        <v>Resources.IsApprovedSource</v>
      </c>
      <c r="C468" s="2" t="s">
        <v>1791</v>
      </c>
      <c r="D468" s="2" t="s">
        <v>1005</v>
      </c>
      <c r="E468" s="2" t="s">
        <v>2389</v>
      </c>
      <c r="F468" s="2" t="s">
        <v>2401</v>
      </c>
      <c r="G468" s="2" t="s">
        <v>3118</v>
      </c>
      <c r="H468" s="2" t="s">
        <v>2160</v>
      </c>
      <c r="I468" s="3" t="b">
        <f>OR(E468 = "calculated", E468 = "lookup", E468 = "aggregation")</f>
        <v>1</v>
      </c>
      <c r="J468" s="3" t="b">
        <f>H468 &lt;&gt; ""</f>
        <v>1</v>
      </c>
      <c r="K468" s="3">
        <f>COUNTIFS(FieldDisagreements!D2:D999, A468)</f>
        <v>0</v>
      </c>
      <c r="L468" s="3" t="b">
        <f>K468 &gt; 0</f>
        <v>0</v>
      </c>
      <c r="M468" s="2" t="s">
        <v>2387</v>
      </c>
    </row>
    <row r="469">
      <c r="A469" s="2" t="s">
        <v>3119</v>
      </c>
      <c r="B469" s="3" t="str">
        <f>C469 &amp; "." &amp; D469</f>
        <v>Resources.SemanticTypeIri</v>
      </c>
      <c r="C469" s="2" t="s">
        <v>1791</v>
      </c>
      <c r="D469" s="2" t="s">
        <v>94</v>
      </c>
      <c r="E469" s="2" t="s">
        <v>2385</v>
      </c>
      <c r="F469" s="2" t="s">
        <v>2386</v>
      </c>
      <c r="G469" s="2"/>
      <c r="H469" s="2"/>
      <c r="I469" s="3" t="b">
        <f>OR(E469 = "calculated", E469 = "lookup", E469 = "aggregation")</f>
        <v>0</v>
      </c>
      <c r="J469" s="3" t="b">
        <f>H469 &lt;&gt; ""</f>
        <v>0</v>
      </c>
      <c r="K469" s="3">
        <f>COUNTIFS(FieldDisagreements!D2:D999, A469)</f>
        <v>0</v>
      </c>
      <c r="L469" s="3" t="b">
        <f>K469 &gt; 0</f>
        <v>0</v>
      </c>
      <c r="M469" s="2" t="s">
        <v>2387</v>
      </c>
    </row>
    <row r="470">
      <c r="A470" s="2" t="s">
        <v>3120</v>
      </c>
      <c r="B470" s="3" t="str">
        <f>C470 &amp; "." &amp; D470</f>
        <v>ProcedureResources.ProcedureResourceId</v>
      </c>
      <c r="C470" s="2" t="s">
        <v>3121</v>
      </c>
      <c r="D470" s="2" t="s">
        <v>1045</v>
      </c>
      <c r="E470" s="2" t="s">
        <v>2385</v>
      </c>
      <c r="F470" s="2" t="s">
        <v>2386</v>
      </c>
      <c r="G470" s="2"/>
      <c r="H470" s="2"/>
      <c r="I470" s="3" t="b">
        <f>OR(E470 = "calculated", E470 = "lookup", E470 = "aggregation")</f>
        <v>0</v>
      </c>
      <c r="J470" s="3" t="b">
        <f>H470 &lt;&gt; ""</f>
        <v>0</v>
      </c>
      <c r="K470" s="3">
        <f>COUNTIFS(FieldDisagreements!D2:D999, A470)</f>
        <v>0</v>
      </c>
      <c r="L470" s="3" t="b">
        <f>K470 &gt; 0</f>
        <v>0</v>
      </c>
      <c r="M470" s="2" t="s">
        <v>2387</v>
      </c>
    </row>
    <row r="471">
      <c r="A471" s="2" t="s">
        <v>3122</v>
      </c>
      <c r="B471" s="3" t="str">
        <f>C471 &amp; "." &amp; D471</f>
        <v>ProcedureResources.Name</v>
      </c>
      <c r="C471" s="2" t="s">
        <v>3121</v>
      </c>
      <c r="D471" s="2" t="s">
        <v>1</v>
      </c>
      <c r="E471" s="2" t="s">
        <v>2389</v>
      </c>
      <c r="F471" s="2" t="s">
        <v>2386</v>
      </c>
      <c r="G471" s="2" t="s">
        <v>3123</v>
      </c>
      <c r="H471" s="2"/>
      <c r="I471" s="3" t="b">
        <f>OR(E471 = "calculated", E471 = "lookup", E471 = "aggregation")</f>
        <v>1</v>
      </c>
      <c r="J471" s="3" t="b">
        <f>H471 &lt;&gt; ""</f>
        <v>0</v>
      </c>
      <c r="K471" s="3">
        <f>COUNTIFS(FieldDisagreements!D2:D999, A471)</f>
        <v>0</v>
      </c>
      <c r="L471" s="3" t="b">
        <f>K471 &gt; 0</f>
        <v>0</v>
      </c>
      <c r="M471" s="2" t="s">
        <v>2387</v>
      </c>
    </row>
    <row r="472">
      <c r="A472" s="2" t="s">
        <v>3124</v>
      </c>
      <c r="B472" s="3" t="str">
        <f>C472 &amp; "." &amp; D472</f>
        <v>ProcedureResources.ProcedureVersion</v>
      </c>
      <c r="C472" s="2" t="s">
        <v>3121</v>
      </c>
      <c r="D472" s="2" t="s">
        <v>477</v>
      </c>
      <c r="E472" s="2" t="s">
        <v>2434</v>
      </c>
      <c r="F472" s="2" t="s">
        <v>2386</v>
      </c>
      <c r="G472" s="2"/>
      <c r="H472" s="2"/>
      <c r="I472" s="3" t="b">
        <f>OR(E472 = "calculated", E472 = "lookup", E472 = "aggregation")</f>
        <v>0</v>
      </c>
      <c r="J472" s="3" t="b">
        <f>H472 &lt;&gt; ""</f>
        <v>0</v>
      </c>
      <c r="K472" s="3">
        <f>COUNTIFS(FieldDisagreements!D2:D999, A472)</f>
        <v>0</v>
      </c>
      <c r="L472" s="3" t="b">
        <f>K472 &gt; 0</f>
        <v>0</v>
      </c>
      <c r="M472" s="2" t="s">
        <v>2387</v>
      </c>
    </row>
    <row r="473">
      <c r="A473" s="2" t="s">
        <v>3125</v>
      </c>
      <c r="B473" s="3" t="str">
        <f>C473 &amp; "." &amp; D473</f>
        <v>ProcedureResources.Resource</v>
      </c>
      <c r="C473" s="2" t="s">
        <v>3121</v>
      </c>
      <c r="D473" s="2" t="s">
        <v>1046</v>
      </c>
      <c r="E473" s="2" t="s">
        <v>2434</v>
      </c>
      <c r="F473" s="2" t="s">
        <v>2386</v>
      </c>
      <c r="G473" s="2"/>
      <c r="H473" s="2"/>
      <c r="I473" s="3" t="b">
        <f>OR(E473 = "calculated", E473 = "lookup", E473 = "aggregation")</f>
        <v>0</v>
      </c>
      <c r="J473" s="3" t="b">
        <f>H473 &lt;&gt; ""</f>
        <v>0</v>
      </c>
      <c r="K473" s="3">
        <f>COUNTIFS(FieldDisagreements!D2:D999, A473)</f>
        <v>0</v>
      </c>
      <c r="L473" s="3" t="b">
        <f>K473 &gt; 0</f>
        <v>0</v>
      </c>
      <c r="M473" s="2" t="s">
        <v>2387</v>
      </c>
    </row>
    <row r="474">
      <c r="A474" s="2" t="s">
        <v>3126</v>
      </c>
      <c r="B474" s="3" t="str">
        <f>C474 &amp; "." &amp; D474</f>
        <v>ProcedureResources.Relation</v>
      </c>
      <c r="C474" s="2" t="s">
        <v>3121</v>
      </c>
      <c r="D474" s="2" t="s">
        <v>1047</v>
      </c>
      <c r="E474" s="2" t="s">
        <v>2385</v>
      </c>
      <c r="F474" s="2" t="s">
        <v>2386</v>
      </c>
      <c r="G474" s="2"/>
      <c r="H474" s="2"/>
      <c r="I474" s="3" t="b">
        <f>OR(E474 = "calculated", E474 = "lookup", E474 = "aggregation")</f>
        <v>0</v>
      </c>
      <c r="J474" s="3" t="b">
        <f>H474 &lt;&gt; ""</f>
        <v>0</v>
      </c>
      <c r="K474" s="3">
        <f>COUNTIFS(FieldDisagreements!D2:D999, A474)</f>
        <v>0</v>
      </c>
      <c r="L474" s="3" t="b">
        <f>K474 &gt; 0</f>
        <v>0</v>
      </c>
      <c r="M474" s="2" t="s">
        <v>2387</v>
      </c>
    </row>
    <row r="475">
      <c r="A475" s="2" t="s">
        <v>3127</v>
      </c>
      <c r="B475" s="3" t="str">
        <f>C475 &amp; "." &amp; D475</f>
        <v>ProcedureResources.RelationIri</v>
      </c>
      <c r="C475" s="2" t="s">
        <v>3121</v>
      </c>
      <c r="D475" s="2" t="s">
        <v>470</v>
      </c>
      <c r="E475" s="2" t="s">
        <v>2389</v>
      </c>
      <c r="F475" s="2" t="s">
        <v>2386</v>
      </c>
      <c r="G475" s="2" t="s">
        <v>3128</v>
      </c>
      <c r="H475" s="2"/>
      <c r="I475" s="3" t="b">
        <f>OR(E475 = "calculated", E475 = "lookup", E475 = "aggregation")</f>
        <v>1</v>
      </c>
      <c r="J475" s="3" t="b">
        <f>H475 &lt;&gt; ""</f>
        <v>0</v>
      </c>
      <c r="K475" s="3">
        <f>COUNTIFS(FieldDisagreements!D2:D999, A475)</f>
        <v>0</v>
      </c>
      <c r="L475" s="3" t="b">
        <f>K475 &gt; 0</f>
        <v>0</v>
      </c>
      <c r="M475" s="2" t="s">
        <v>2387</v>
      </c>
    </row>
    <row r="476">
      <c r="A476" s="2" t="s">
        <v>3129</v>
      </c>
      <c r="B476" s="3" t="str">
        <f>C476 &amp; "." &amp; D476</f>
        <v>ElicitationSessions.ElicitationSessionId</v>
      </c>
      <c r="C476" s="2" t="s">
        <v>1835</v>
      </c>
      <c r="D476" s="2" t="s">
        <v>1058</v>
      </c>
      <c r="E476" s="2" t="s">
        <v>2385</v>
      </c>
      <c r="F476" s="2" t="s">
        <v>2386</v>
      </c>
      <c r="G476" s="2"/>
      <c r="H476" s="2"/>
      <c r="I476" s="3" t="b">
        <f>OR(E476 = "calculated", E476 = "lookup", E476 = "aggregation")</f>
        <v>0</v>
      </c>
      <c r="J476" s="3" t="b">
        <f>H476 &lt;&gt; ""</f>
        <v>0</v>
      </c>
      <c r="K476" s="3">
        <f>COUNTIFS(FieldDisagreements!D2:D999, A476)</f>
        <v>0</v>
      </c>
      <c r="L476" s="3" t="b">
        <f>K476 &gt; 0</f>
        <v>0</v>
      </c>
      <c r="M476" s="2" t="s">
        <v>2387</v>
      </c>
    </row>
    <row r="477">
      <c r="A477" s="2" t="s">
        <v>3130</v>
      </c>
      <c r="B477" s="3" t="str">
        <f>C477 &amp; "." &amp; D477</f>
        <v>ElicitationSessions.Name</v>
      </c>
      <c r="C477" s="2" t="s">
        <v>1835</v>
      </c>
      <c r="D477" s="2" t="s">
        <v>1</v>
      </c>
      <c r="E477" s="2" t="s">
        <v>2389</v>
      </c>
      <c r="F477" s="2" t="s">
        <v>2386</v>
      </c>
      <c r="G477" s="2" t="s">
        <v>3131</v>
      </c>
      <c r="H477" s="2"/>
      <c r="I477" s="3" t="b">
        <f>OR(E477 = "calculated", E477 = "lookup", E477 = "aggregation")</f>
        <v>1</v>
      </c>
      <c r="J477" s="3" t="b">
        <f>H477 &lt;&gt; ""</f>
        <v>0</v>
      </c>
      <c r="K477" s="3">
        <f>COUNTIFS(FieldDisagreements!D2:D999, A477)</f>
        <v>6</v>
      </c>
      <c r="L477" s="3" t="b">
        <f>K477 &gt; 0</f>
        <v>1</v>
      </c>
      <c r="M477" s="2" t="s">
        <v>2387</v>
      </c>
    </row>
    <row r="478">
      <c r="A478" s="2" t="s">
        <v>3132</v>
      </c>
      <c r="B478" s="3" t="str">
        <f>C478 &amp; "." &amp; D478</f>
        <v>ElicitationSessions.ProcedureVersion</v>
      </c>
      <c r="C478" s="2" t="s">
        <v>1835</v>
      </c>
      <c r="D478" s="2" t="s">
        <v>477</v>
      </c>
      <c r="E478" s="2" t="s">
        <v>2434</v>
      </c>
      <c r="F478" s="2" t="s">
        <v>2386</v>
      </c>
      <c r="G478" s="2"/>
      <c r="H478" s="2"/>
      <c r="I478" s="3" t="b">
        <f>OR(E478 = "calculated", E478 = "lookup", E478 = "aggregation")</f>
        <v>0</v>
      </c>
      <c r="J478" s="3" t="b">
        <f>H478 &lt;&gt; ""</f>
        <v>0</v>
      </c>
      <c r="K478" s="3">
        <f>COUNTIFS(FieldDisagreements!D2:D999, A478)</f>
        <v>0</v>
      </c>
      <c r="L478" s="3" t="b">
        <f>K478 &gt; 0</f>
        <v>0</v>
      </c>
      <c r="M478" s="2" t="s">
        <v>2387</v>
      </c>
    </row>
    <row r="479">
      <c r="A479" s="2" t="s">
        <v>3133</v>
      </c>
      <c r="B479" s="3" t="str">
        <f>C479 &amp; "." &amp; D479</f>
        <v>ElicitationSessions.Method</v>
      </c>
      <c r="C479" s="2" t="s">
        <v>1835</v>
      </c>
      <c r="D479" s="2" t="s">
        <v>1059</v>
      </c>
      <c r="E479" s="2" t="s">
        <v>2385</v>
      </c>
      <c r="F479" s="2" t="s">
        <v>2386</v>
      </c>
      <c r="G479" s="2"/>
      <c r="H479" s="2"/>
      <c r="I479" s="3" t="b">
        <f>OR(E479 = "calculated", E479 = "lookup", E479 = "aggregation")</f>
        <v>0</v>
      </c>
      <c r="J479" s="3" t="b">
        <f>H479 &lt;&gt; ""</f>
        <v>0</v>
      </c>
      <c r="K479" s="3">
        <f>COUNTIFS(FieldDisagreements!D2:D999, A479)</f>
        <v>0</v>
      </c>
      <c r="L479" s="3" t="b">
        <f>K479 &gt; 0</f>
        <v>0</v>
      </c>
      <c r="M479" s="2" t="s">
        <v>2387</v>
      </c>
    </row>
    <row r="480">
      <c r="A480" s="2" t="s">
        <v>3134</v>
      </c>
      <c r="B480" s="3" t="str">
        <f>C480 &amp; "." &amp; D480</f>
        <v>ElicitationSessions.StartedAt</v>
      </c>
      <c r="C480" s="2" t="s">
        <v>1835</v>
      </c>
      <c r="D480" s="2" t="s">
        <v>1060</v>
      </c>
      <c r="E480" s="2" t="s">
        <v>2385</v>
      </c>
      <c r="F480" s="2" t="s">
        <v>2397</v>
      </c>
      <c r="G480" s="2"/>
      <c r="H480" s="2"/>
      <c r="I480" s="3" t="b">
        <f>OR(E480 = "calculated", E480 = "lookup", E480 = "aggregation")</f>
        <v>0</v>
      </c>
      <c r="J480" s="3" t="b">
        <f>H480 &lt;&gt; ""</f>
        <v>0</v>
      </c>
      <c r="K480" s="3">
        <f>COUNTIFS(FieldDisagreements!D2:D999, A480)</f>
        <v>0</v>
      </c>
      <c r="L480" s="3" t="b">
        <f>K480 &gt; 0</f>
        <v>0</v>
      </c>
      <c r="M480" s="2" t="s">
        <v>2387</v>
      </c>
    </row>
    <row r="481">
      <c r="A481" s="2" t="s">
        <v>3135</v>
      </c>
      <c r="B481" s="3" t="str">
        <f>C481 &amp; "." &amp; D481</f>
        <v>ElicitationSessions.EndedAt</v>
      </c>
      <c r="C481" s="2" t="s">
        <v>1835</v>
      </c>
      <c r="D481" s="2" t="s">
        <v>1061</v>
      </c>
      <c r="E481" s="2" t="s">
        <v>2385</v>
      </c>
      <c r="F481" s="2" t="s">
        <v>2397</v>
      </c>
      <c r="G481" s="2"/>
      <c r="H481" s="2"/>
      <c r="I481" s="3" t="b">
        <f>OR(E481 = "calculated", E481 = "lookup", E481 = "aggregation")</f>
        <v>0</v>
      </c>
      <c r="J481" s="3" t="b">
        <f>H481 &lt;&gt; ""</f>
        <v>0</v>
      </c>
      <c r="K481" s="3">
        <f>COUNTIFS(FieldDisagreements!D2:D999, A481)</f>
        <v>0</v>
      </c>
      <c r="L481" s="3" t="b">
        <f>K481 &gt; 0</f>
        <v>0</v>
      </c>
      <c r="M481" s="2" t="s">
        <v>2387</v>
      </c>
    </row>
    <row r="482">
      <c r="A482" s="2" t="s">
        <v>3136</v>
      </c>
      <c r="B482" s="3" t="str">
        <f>C482 &amp; "." &amp; D482</f>
        <v>ElicitationSessions.PractitionerAgent</v>
      </c>
      <c r="C482" s="2" t="s">
        <v>1835</v>
      </c>
      <c r="D482" s="2" t="s">
        <v>1062</v>
      </c>
      <c r="E482" s="2" t="s">
        <v>2434</v>
      </c>
      <c r="F482" s="2" t="s">
        <v>2386</v>
      </c>
      <c r="G482" s="2"/>
      <c r="H482" s="2"/>
      <c r="I482" s="3" t="b">
        <f>OR(E482 = "calculated", E482 = "lookup", E482 = "aggregation")</f>
        <v>0</v>
      </c>
      <c r="J482" s="3" t="b">
        <f>H482 &lt;&gt; ""</f>
        <v>0</v>
      </c>
      <c r="K482" s="3">
        <f>COUNTIFS(FieldDisagreements!D2:D999, A482)</f>
        <v>0</v>
      </c>
      <c r="L482" s="3" t="b">
        <f>K482 &gt; 0</f>
        <v>0</v>
      </c>
      <c r="M482" s="2" t="s">
        <v>2387</v>
      </c>
    </row>
    <row r="483">
      <c r="A483" s="2" t="s">
        <v>3137</v>
      </c>
      <c r="B483" s="3" t="str">
        <f>C483 &amp; "." &amp; D483</f>
        <v>ElicitationSessions.FacilitatorAgent</v>
      </c>
      <c r="C483" s="2" t="s">
        <v>1835</v>
      </c>
      <c r="D483" s="2" t="s">
        <v>1063</v>
      </c>
      <c r="E483" s="2" t="s">
        <v>2434</v>
      </c>
      <c r="F483" s="2" t="s">
        <v>2386</v>
      </c>
      <c r="G483" s="2"/>
      <c r="H483" s="2"/>
      <c r="I483" s="3" t="b">
        <f>OR(E483 = "calculated", E483 = "lookup", E483 = "aggregation")</f>
        <v>0</v>
      </c>
      <c r="J483" s="3" t="b">
        <f>H483 &lt;&gt; ""</f>
        <v>0</v>
      </c>
      <c r="K483" s="3">
        <f>COUNTIFS(FieldDisagreements!D2:D999, A483)</f>
        <v>0</v>
      </c>
      <c r="L483" s="3" t="b">
        <f>K483 &gt; 0</f>
        <v>0</v>
      </c>
      <c r="M483" s="2" t="s">
        <v>2387</v>
      </c>
    </row>
    <row r="484">
      <c r="A484" s="2" t="s">
        <v>3138</v>
      </c>
      <c r="B484" s="3" t="str">
        <f>C484 &amp; "." &amp; D484</f>
        <v>ElicitationSessions.Summary</v>
      </c>
      <c r="C484" s="2" t="s">
        <v>1835</v>
      </c>
      <c r="D484" s="2" t="s">
        <v>1064</v>
      </c>
      <c r="E484" s="2" t="s">
        <v>2385</v>
      </c>
      <c r="F484" s="2" t="s">
        <v>2386</v>
      </c>
      <c r="G484" s="2"/>
      <c r="H484" s="2"/>
      <c r="I484" s="3" t="b">
        <f>OR(E484 = "calculated", E484 = "lookup", E484 = "aggregation")</f>
        <v>0</v>
      </c>
      <c r="J484" s="3" t="b">
        <f>H484 &lt;&gt; ""</f>
        <v>0</v>
      </c>
      <c r="K484" s="3">
        <f>COUNTIFS(FieldDisagreements!D2:D999, A484)</f>
        <v>0</v>
      </c>
      <c r="L484" s="3" t="b">
        <f>K484 &gt; 0</f>
        <v>0</v>
      </c>
      <c r="M484" s="2" t="s">
        <v>2387</v>
      </c>
    </row>
    <row r="485">
      <c r="A485" s="2" t="s">
        <v>3139</v>
      </c>
      <c r="B485" s="3" t="str">
        <f>C485 &amp; "." &amp; D485</f>
        <v>ElicitationSessions.Status</v>
      </c>
      <c r="C485" s="2" t="s">
        <v>1835</v>
      </c>
      <c r="D485" s="2" t="s">
        <v>8</v>
      </c>
      <c r="E485" s="2" t="s">
        <v>2385</v>
      </c>
      <c r="F485" s="2" t="s">
        <v>2386</v>
      </c>
      <c r="G485" s="2"/>
      <c r="H485" s="2"/>
      <c r="I485" s="3" t="b">
        <f>OR(E485 = "calculated", E485 = "lookup", E485 = "aggregation")</f>
        <v>0</v>
      </c>
      <c r="J485" s="3" t="b">
        <f>H485 &lt;&gt; ""</f>
        <v>0</v>
      </c>
      <c r="K485" s="3">
        <f>COUNTIFS(FieldDisagreements!D2:D999, A485)</f>
        <v>0</v>
      </c>
      <c r="L485" s="3" t="b">
        <f>K485 &gt; 0</f>
        <v>0</v>
      </c>
      <c r="M485" s="2" t="s">
        <v>2387</v>
      </c>
    </row>
    <row r="486">
      <c r="A486" s="2" t="s">
        <v>3140</v>
      </c>
      <c r="B486" s="3" t="str">
        <f>C486 &amp; "." &amp; D486</f>
        <v>ElicitationSessions.EvaluationContext</v>
      </c>
      <c r="C486" s="2" t="s">
        <v>1835</v>
      </c>
      <c r="D486" s="2" t="s">
        <v>258</v>
      </c>
      <c r="E486" s="2" t="s">
        <v>2434</v>
      </c>
      <c r="F486" s="2" t="s">
        <v>2386</v>
      </c>
      <c r="G486" s="2"/>
      <c r="H486" s="2"/>
      <c r="I486" s="3" t="b">
        <f>OR(E486 = "calculated", E486 = "lookup", E486 = "aggregation")</f>
        <v>0</v>
      </c>
      <c r="J486" s="3" t="b">
        <f>H486 &lt;&gt; ""</f>
        <v>0</v>
      </c>
      <c r="K486" s="3">
        <f>COUNTIFS(FieldDisagreements!D2:D999, A486)</f>
        <v>0</v>
      </c>
      <c r="L486" s="3" t="b">
        <f>K486 &gt; 0</f>
        <v>0</v>
      </c>
      <c r="M486" s="2" t="s">
        <v>2387</v>
      </c>
    </row>
    <row r="487">
      <c r="A487" s="2" t="s">
        <v>3141</v>
      </c>
      <c r="B487" s="3" t="str">
        <f>C487 &amp; "." &amp; D487</f>
        <v>ElicitationSessions.AsOfInstant</v>
      </c>
      <c r="C487" s="2" t="s">
        <v>1835</v>
      </c>
      <c r="D487" s="2" t="s">
        <v>92</v>
      </c>
      <c r="E487" s="2" t="s">
        <v>2478</v>
      </c>
      <c r="F487" s="2" t="s">
        <v>2397</v>
      </c>
      <c r="G487" s="2" t="s">
        <v>2524</v>
      </c>
      <c r="H487" s="2"/>
      <c r="I487" s="3" t="b">
        <f>OR(E487 = "calculated", E487 = "lookup", E487 = "aggregation")</f>
        <v>1</v>
      </c>
      <c r="J487" s="3" t="b">
        <f>H487 &lt;&gt; ""</f>
        <v>0</v>
      </c>
      <c r="K487" s="3">
        <f>COUNTIFS(FieldDisagreements!D2:D999, A487)</f>
        <v>1</v>
      </c>
      <c r="L487" s="3" t="b">
        <f>K487 &gt; 0</f>
        <v>1</v>
      </c>
      <c r="M487" s="2" t="s">
        <v>2387</v>
      </c>
    </row>
    <row r="488">
      <c r="A488" s="2" t="s">
        <v>3142</v>
      </c>
      <c r="B488" s="3" t="str">
        <f>C488 &amp; "." &amp; D488</f>
        <v>ElicitationSessions.DaysSinceElicited</v>
      </c>
      <c r="C488" s="2" t="s">
        <v>1835</v>
      </c>
      <c r="D488" s="2" t="s">
        <v>1065</v>
      </c>
      <c r="E488" s="2" t="s">
        <v>2389</v>
      </c>
      <c r="F488" s="2" t="s">
        <v>2439</v>
      </c>
      <c r="G488" s="2" t="s">
        <v>3143</v>
      </c>
      <c r="H488" s="2" t="s">
        <v>2024</v>
      </c>
      <c r="I488" s="3" t="b">
        <f>OR(E488 = "calculated", E488 = "lookup", E488 = "aggregation")</f>
        <v>1</v>
      </c>
      <c r="J488" s="3" t="b">
        <f>H488 &lt;&gt; ""</f>
        <v>1</v>
      </c>
      <c r="K488" s="3">
        <f>COUNTIFS(FieldDisagreements!D2:D999, A488)</f>
        <v>7</v>
      </c>
      <c r="L488" s="3" t="b">
        <f>K488 &gt; 0</f>
        <v>1</v>
      </c>
      <c r="M488" s="2" t="s">
        <v>2387</v>
      </c>
    </row>
    <row r="489">
      <c r="A489" s="2" t="s">
        <v>3144</v>
      </c>
      <c r="B489" s="3" t="str">
        <f>C489 &amp; "." &amp; D489</f>
        <v>ElicitationSessions.IsSingleWitnessMethod</v>
      </c>
      <c r="C489" s="2" t="s">
        <v>1835</v>
      </c>
      <c r="D489" s="2" t="s">
        <v>1066</v>
      </c>
      <c r="E489" s="2" t="s">
        <v>2389</v>
      </c>
      <c r="F489" s="2" t="s">
        <v>2401</v>
      </c>
      <c r="G489" s="2" t="s">
        <v>3145</v>
      </c>
      <c r="H489" s="2" t="s">
        <v>2024</v>
      </c>
      <c r="I489" s="3" t="b">
        <f>OR(E489 = "calculated", E489 = "lookup", E489 = "aggregation")</f>
        <v>1</v>
      </c>
      <c r="J489" s="3" t="b">
        <f>H489 &lt;&gt; ""</f>
        <v>1</v>
      </c>
      <c r="K489" s="3">
        <f>COUNTIFS(FieldDisagreements!D2:D999, A489)</f>
        <v>0</v>
      </c>
      <c r="L489" s="3" t="b">
        <f>K489 &gt; 0</f>
        <v>0</v>
      </c>
      <c r="M489" s="2" t="s">
        <v>2387</v>
      </c>
    </row>
    <row r="490">
      <c r="A490" s="2" t="s">
        <v>3146</v>
      </c>
      <c r="B490" s="3" t="str">
        <f>C490 &amp; "." &amp; D490</f>
        <v>ElicitationSessions.PractitionerIsStillEngaged</v>
      </c>
      <c r="C490" s="2" t="s">
        <v>1835</v>
      </c>
      <c r="D490" s="2" t="s">
        <v>1067</v>
      </c>
      <c r="E490" s="2" t="s">
        <v>2478</v>
      </c>
      <c r="F490" s="2" t="s">
        <v>2401</v>
      </c>
      <c r="G490" s="2" t="s">
        <v>3147</v>
      </c>
      <c r="H490" s="2" t="s">
        <v>2024</v>
      </c>
      <c r="I490" s="3" t="b">
        <f>OR(E490 = "calculated", E490 = "lookup", E490 = "aggregation")</f>
        <v>1</v>
      </c>
      <c r="J490" s="3" t="b">
        <f>H490 &lt;&gt; ""</f>
        <v>1</v>
      </c>
      <c r="K490" s="3">
        <f>COUNTIFS(FieldDisagreements!D2:D999, A490)</f>
        <v>0</v>
      </c>
      <c r="L490" s="3" t="b">
        <f>K490 &gt; 0</f>
        <v>0</v>
      </c>
      <c r="M490" s="2" t="s">
        <v>2387</v>
      </c>
    </row>
    <row r="491">
      <c r="A491" s="2" t="s">
        <v>3148</v>
      </c>
      <c r="B491" s="3" t="str">
        <f>C491 &amp; "." &amp; D491</f>
        <v>ElicitationSessions.ValidFragmentsProduced</v>
      </c>
      <c r="C491" s="2" t="s">
        <v>1835</v>
      </c>
      <c r="D491" s="2" t="s">
        <v>1068</v>
      </c>
      <c r="E491" s="2" t="s">
        <v>2438</v>
      </c>
      <c r="F491" s="2" t="s">
        <v>2444</v>
      </c>
      <c r="G491" s="2" t="s">
        <v>3149</v>
      </c>
      <c r="H491" s="2" t="s">
        <v>2184</v>
      </c>
      <c r="I491" s="3" t="b">
        <f>OR(E491 = "calculated", E491 = "lookup", E491 = "aggregation")</f>
        <v>1</v>
      </c>
      <c r="J491" s="3" t="b">
        <f>H491 &lt;&gt; ""</f>
        <v>1</v>
      </c>
      <c r="K491" s="3">
        <f>COUNTIFS(FieldDisagreements!D2:D999, A491)</f>
        <v>0</v>
      </c>
      <c r="L491" s="3" t="b">
        <f>K491 &gt; 0</f>
        <v>0</v>
      </c>
      <c r="M491" s="2" t="s">
        <v>2387</v>
      </c>
    </row>
    <row r="492">
      <c r="A492" s="2" t="s">
        <v>3150</v>
      </c>
      <c r="B492" s="3" t="str">
        <f>C492 &amp; "." &amp; D492</f>
        <v>ElicitationSessions.IsHighYieldSession</v>
      </c>
      <c r="C492" s="2" t="s">
        <v>1835</v>
      </c>
      <c r="D492" s="2" t="s">
        <v>1069</v>
      </c>
      <c r="E492" s="2" t="s">
        <v>2389</v>
      </c>
      <c r="F492" s="2" t="s">
        <v>2401</v>
      </c>
      <c r="G492" s="2" t="s">
        <v>3151</v>
      </c>
      <c r="H492" s="2" t="s">
        <v>2184</v>
      </c>
      <c r="I492" s="3" t="b">
        <f>OR(E492 = "calculated", E492 = "lookup", E492 = "aggregation")</f>
        <v>1</v>
      </c>
      <c r="J492" s="3" t="b">
        <f>H492 &lt;&gt; ""</f>
        <v>1</v>
      </c>
      <c r="K492" s="3">
        <f>COUNTIFS(FieldDisagreements!D2:D999, A492)</f>
        <v>0</v>
      </c>
      <c r="L492" s="3" t="b">
        <f>K492 &gt; 0</f>
        <v>0</v>
      </c>
      <c r="M492" s="2" t="s">
        <v>2387</v>
      </c>
    </row>
    <row r="493">
      <c r="A493" s="2" t="s">
        <v>3152</v>
      </c>
      <c r="B493" s="3" t="str">
        <f>C493 &amp; "." &amp; D493</f>
        <v>ElicitationSessions.IsConcentratedSingleWitness</v>
      </c>
      <c r="C493" s="2" t="s">
        <v>1835</v>
      </c>
      <c r="D493" s="2" t="s">
        <v>1070</v>
      </c>
      <c r="E493" s="2" t="s">
        <v>2389</v>
      </c>
      <c r="F493" s="2" t="s">
        <v>2401</v>
      </c>
      <c r="G493" s="2" t="s">
        <v>3153</v>
      </c>
      <c r="H493" s="2" t="s">
        <v>2184</v>
      </c>
      <c r="I493" s="3" t="b">
        <f>OR(E493 = "calculated", E493 = "lookup", E493 = "aggregation")</f>
        <v>1</v>
      </c>
      <c r="J493" s="3" t="b">
        <f>H493 &lt;&gt; ""</f>
        <v>1</v>
      </c>
      <c r="K493" s="3">
        <f>COUNTIFS(FieldDisagreements!D2:D999, A493)</f>
        <v>0</v>
      </c>
      <c r="L493" s="3" t="b">
        <f>K493 &gt; 0</f>
        <v>0</v>
      </c>
      <c r="M493" s="2" t="s">
        <v>2387</v>
      </c>
    </row>
    <row r="494">
      <c r="A494" s="2" t="s">
        <v>3154</v>
      </c>
      <c r="B494" s="3" t="str">
        <f>C494 &amp; "." &amp; D494</f>
        <v>ElicitationSessions.IsStaleConcentratedWitness</v>
      </c>
      <c r="C494" s="2" t="s">
        <v>1835</v>
      </c>
      <c r="D494" s="2" t="s">
        <v>1071</v>
      </c>
      <c r="E494" s="2" t="s">
        <v>2389</v>
      </c>
      <c r="F494" s="2" t="s">
        <v>2401</v>
      </c>
      <c r="G494" s="2" t="s">
        <v>3155</v>
      </c>
      <c r="H494" s="2" t="s">
        <v>2184</v>
      </c>
      <c r="I494" s="3" t="b">
        <f>OR(E494 = "calculated", E494 = "lookup", E494 = "aggregation")</f>
        <v>1</v>
      </c>
      <c r="J494" s="3" t="b">
        <f>H494 &lt;&gt; ""</f>
        <v>1</v>
      </c>
      <c r="K494" s="3">
        <f>COUNTIFS(FieldDisagreements!D2:D999, A494)</f>
        <v>0</v>
      </c>
      <c r="L494" s="3" t="b">
        <f>K494 &gt; 0</f>
        <v>0</v>
      </c>
      <c r="M494" s="2" t="s">
        <v>2387</v>
      </c>
    </row>
    <row r="495">
      <c r="A495" s="2" t="s">
        <v>3156</v>
      </c>
      <c r="B495" s="3" t="str">
        <f>C495 &amp; "." &amp; D495</f>
        <v>ElicitationSessions.ConcentratedSessionVersionKey</v>
      </c>
      <c r="C495" s="2" t="s">
        <v>1835</v>
      </c>
      <c r="D495" s="2" t="s">
        <v>1072</v>
      </c>
      <c r="E495" s="2" t="s">
        <v>2389</v>
      </c>
      <c r="F495" s="2" t="s">
        <v>2386</v>
      </c>
      <c r="G495" s="2" t="s">
        <v>3157</v>
      </c>
      <c r="H495" s="2" t="s">
        <v>2184</v>
      </c>
      <c r="I495" s="3" t="b">
        <f>OR(E495 = "calculated", E495 = "lookup", E495 = "aggregation")</f>
        <v>1</v>
      </c>
      <c r="J495" s="3" t="b">
        <f>H495 &lt;&gt; ""</f>
        <v>1</v>
      </c>
      <c r="K495" s="3">
        <f>COUNTIFS(FieldDisagreements!D2:D999, A495)</f>
        <v>0</v>
      </c>
      <c r="L495" s="3" t="b">
        <f>K495 &gt; 0</f>
        <v>0</v>
      </c>
      <c r="M495" s="2" t="s">
        <v>2387</v>
      </c>
    </row>
    <row r="496">
      <c r="A496" s="2" t="s">
        <v>3158</v>
      </c>
      <c r="B496" s="3" t="str">
        <f>C496 &amp; "." &amp; D496</f>
        <v>ElicitationSessions.SemanticTypeIri</v>
      </c>
      <c r="C496" s="2" t="s">
        <v>1835</v>
      </c>
      <c r="D496" s="2" t="s">
        <v>94</v>
      </c>
      <c r="E496" s="2" t="s">
        <v>2385</v>
      </c>
      <c r="F496" s="2" t="s">
        <v>2386</v>
      </c>
      <c r="G496" s="2"/>
      <c r="H496" s="2"/>
      <c r="I496" s="3" t="b">
        <f>OR(E496 = "calculated", E496 = "lookup", E496 = "aggregation")</f>
        <v>0</v>
      </c>
      <c r="J496" s="3" t="b">
        <f>H496 &lt;&gt; ""</f>
        <v>0</v>
      </c>
      <c r="K496" s="3">
        <f>COUNTIFS(FieldDisagreements!D2:D999, A496)</f>
        <v>0</v>
      </c>
      <c r="L496" s="3" t="b">
        <f>K496 &gt; 0</f>
        <v>0</v>
      </c>
      <c r="M496" s="2" t="s">
        <v>2387</v>
      </c>
    </row>
    <row r="497">
      <c r="A497" s="2" t="s">
        <v>3159</v>
      </c>
      <c r="B497" s="3" t="str">
        <f>C497 &amp; "." &amp; D497</f>
        <v>KnowledgeFragments.KnowledgeFragmentId</v>
      </c>
      <c r="C497" s="2" t="s">
        <v>1831</v>
      </c>
      <c r="D497" s="2" t="s">
        <v>1083</v>
      </c>
      <c r="E497" s="2" t="s">
        <v>2385</v>
      </c>
      <c r="F497" s="2" t="s">
        <v>2386</v>
      </c>
      <c r="G497" s="2"/>
      <c r="H497" s="2"/>
      <c r="I497" s="3" t="b">
        <f>OR(E497 = "calculated", E497 = "lookup", E497 = "aggregation")</f>
        <v>0</v>
      </c>
      <c r="J497" s="3" t="b">
        <f>H497 &lt;&gt; ""</f>
        <v>0</v>
      </c>
      <c r="K497" s="3">
        <f>COUNTIFS(FieldDisagreements!D2:D999, A497)</f>
        <v>0</v>
      </c>
      <c r="L497" s="3" t="b">
        <f>K497 &gt; 0</f>
        <v>0</v>
      </c>
      <c r="M497" s="2" t="s">
        <v>2387</v>
      </c>
    </row>
    <row r="498">
      <c r="A498" s="2" t="s">
        <v>3160</v>
      </c>
      <c r="B498" s="3" t="str">
        <f>C498 &amp; "." &amp; D498</f>
        <v>KnowledgeFragments.Name</v>
      </c>
      <c r="C498" s="2" t="s">
        <v>1831</v>
      </c>
      <c r="D498" s="2" t="s">
        <v>1</v>
      </c>
      <c r="E498" s="2" t="s">
        <v>2389</v>
      </c>
      <c r="F498" s="2" t="s">
        <v>2386</v>
      </c>
      <c r="G498" s="2" t="s">
        <v>3161</v>
      </c>
      <c r="H498" s="2"/>
      <c r="I498" s="3" t="b">
        <f>OR(E498 = "calculated", E498 = "lookup", E498 = "aggregation")</f>
        <v>1</v>
      </c>
      <c r="J498" s="3" t="b">
        <f>H498 &lt;&gt; ""</f>
        <v>0</v>
      </c>
      <c r="K498" s="3">
        <f>COUNTIFS(FieldDisagreements!D2:D999, A498)</f>
        <v>0</v>
      </c>
      <c r="L498" s="3" t="b">
        <f>K498 &gt; 0</f>
        <v>0</v>
      </c>
      <c r="M498" s="2" t="s">
        <v>2387</v>
      </c>
    </row>
    <row r="499">
      <c r="A499" s="2" t="s">
        <v>3162</v>
      </c>
      <c r="B499" s="3" t="str">
        <f>C499 &amp; "." &amp; D499</f>
        <v>KnowledgeFragments.ProcedureVersion</v>
      </c>
      <c r="C499" s="2" t="s">
        <v>1831</v>
      </c>
      <c r="D499" s="2" t="s">
        <v>477</v>
      </c>
      <c r="E499" s="2" t="s">
        <v>2434</v>
      </c>
      <c r="F499" s="2" t="s">
        <v>2386</v>
      </c>
      <c r="G499" s="2"/>
      <c r="H499" s="2"/>
      <c r="I499" s="3" t="b">
        <f>OR(E499 = "calculated", E499 = "lookup", E499 = "aggregation")</f>
        <v>0</v>
      </c>
      <c r="J499" s="3" t="b">
        <f>H499 &lt;&gt; ""</f>
        <v>0</v>
      </c>
      <c r="K499" s="3">
        <f>COUNTIFS(FieldDisagreements!D2:D999, A499)</f>
        <v>0</v>
      </c>
      <c r="L499" s="3" t="b">
        <f>K499 &gt; 0</f>
        <v>0</v>
      </c>
      <c r="M499" s="2" t="s">
        <v>2387</v>
      </c>
    </row>
    <row r="500">
      <c r="A500" s="2" t="s">
        <v>3163</v>
      </c>
      <c r="B500" s="3" t="str">
        <f>C500 &amp; "." &amp; D500</f>
        <v>KnowledgeFragments.Step</v>
      </c>
      <c r="C500" s="2" t="s">
        <v>1831</v>
      </c>
      <c r="D500" s="2" t="s">
        <v>747</v>
      </c>
      <c r="E500" s="2" t="s">
        <v>2434</v>
      </c>
      <c r="F500" s="2" t="s">
        <v>2386</v>
      </c>
      <c r="G500" s="2"/>
      <c r="H500" s="2"/>
      <c r="I500" s="3" t="b">
        <f>OR(E500 = "calculated", E500 = "lookup", E500 = "aggregation")</f>
        <v>0</v>
      </c>
      <c r="J500" s="3" t="b">
        <f>H500 &lt;&gt; ""</f>
        <v>0</v>
      </c>
      <c r="K500" s="3">
        <f>COUNTIFS(FieldDisagreements!D2:D999, A500)</f>
        <v>0</v>
      </c>
      <c r="L500" s="3" t="b">
        <f>K500 &gt; 0</f>
        <v>0</v>
      </c>
      <c r="M500" s="2" t="s">
        <v>2387</v>
      </c>
    </row>
    <row r="501">
      <c r="A501" s="2" t="s">
        <v>3164</v>
      </c>
      <c r="B501" s="3" t="str">
        <f>C501 &amp; "." &amp; D501</f>
        <v>KnowledgeFragments.KnowledgeForm</v>
      </c>
      <c r="C501" s="2" t="s">
        <v>1831</v>
      </c>
      <c r="D501" s="2" t="s">
        <v>1084</v>
      </c>
      <c r="E501" s="2" t="s">
        <v>2385</v>
      </c>
      <c r="F501" s="2" t="s">
        <v>2386</v>
      </c>
      <c r="G501" s="2"/>
      <c r="H501" s="2"/>
      <c r="I501" s="3" t="b">
        <f>OR(E501 = "calculated", E501 = "lookup", E501 = "aggregation")</f>
        <v>0</v>
      </c>
      <c r="J501" s="3" t="b">
        <f>H501 &lt;&gt; ""</f>
        <v>0</v>
      </c>
      <c r="K501" s="3">
        <f>COUNTIFS(FieldDisagreements!D2:D999, A501)</f>
        <v>0</v>
      </c>
      <c r="L501" s="3" t="b">
        <f>K501 &gt; 0</f>
        <v>0</v>
      </c>
      <c r="M501" s="2" t="s">
        <v>2387</v>
      </c>
    </row>
    <row r="502">
      <c r="A502" s="2" t="s">
        <v>3165</v>
      </c>
      <c r="B502" s="3" t="str">
        <f>C502 &amp; "." &amp; D502</f>
        <v>KnowledgeFragments.Statement</v>
      </c>
      <c r="C502" s="2" t="s">
        <v>1831</v>
      </c>
      <c r="D502" s="2" t="s">
        <v>782</v>
      </c>
      <c r="E502" s="2" t="s">
        <v>2385</v>
      </c>
      <c r="F502" s="2" t="s">
        <v>2386</v>
      </c>
      <c r="G502" s="2"/>
      <c r="H502" s="2"/>
      <c r="I502" s="3" t="b">
        <f>OR(E502 = "calculated", E502 = "lookup", E502 = "aggregation")</f>
        <v>0</v>
      </c>
      <c r="J502" s="3" t="b">
        <f>H502 &lt;&gt; ""</f>
        <v>0</v>
      </c>
      <c r="K502" s="3">
        <f>COUNTIFS(FieldDisagreements!D2:D999, A502)</f>
        <v>0</v>
      </c>
      <c r="L502" s="3" t="b">
        <f>K502 &gt; 0</f>
        <v>0</v>
      </c>
      <c r="M502" s="2" t="s">
        <v>2387</v>
      </c>
    </row>
    <row r="503">
      <c r="A503" s="2" t="s">
        <v>3166</v>
      </c>
      <c r="B503" s="3" t="str">
        <f>C503 &amp; "." &amp; D503</f>
        <v>KnowledgeFragments.ElicitationSession</v>
      </c>
      <c r="C503" s="2" t="s">
        <v>1831</v>
      </c>
      <c r="D503" s="2" t="s">
        <v>1085</v>
      </c>
      <c r="E503" s="2" t="s">
        <v>2434</v>
      </c>
      <c r="F503" s="2" t="s">
        <v>2386</v>
      </c>
      <c r="G503" s="2"/>
      <c r="H503" s="2"/>
      <c r="I503" s="3" t="b">
        <f>OR(E503 = "calculated", E503 = "lookup", E503 = "aggregation")</f>
        <v>0</v>
      </c>
      <c r="J503" s="3" t="b">
        <f>H503 &lt;&gt; ""</f>
        <v>0</v>
      </c>
      <c r="K503" s="3">
        <f>COUNTIFS(FieldDisagreements!D2:D999, A503)</f>
        <v>0</v>
      </c>
      <c r="L503" s="3" t="b">
        <f>K503 &gt; 0</f>
        <v>0</v>
      </c>
      <c r="M503" s="2" t="s">
        <v>2387</v>
      </c>
    </row>
    <row r="504">
      <c r="A504" s="2" t="s">
        <v>3167</v>
      </c>
      <c r="B504" s="3" t="str">
        <f>C504 &amp; "." &amp; D504</f>
        <v>KnowledgeFragments.SourceAgent</v>
      </c>
      <c r="C504" s="2" t="s">
        <v>1831</v>
      </c>
      <c r="D504" s="2" t="s">
        <v>1086</v>
      </c>
      <c r="E504" s="2" t="s">
        <v>2434</v>
      </c>
      <c r="F504" s="2" t="s">
        <v>2386</v>
      </c>
      <c r="G504" s="2"/>
      <c r="H504" s="2"/>
      <c r="I504" s="3" t="b">
        <f>OR(E504 = "calculated", E504 = "lookup", E504 = "aggregation")</f>
        <v>0</v>
      </c>
      <c r="J504" s="3" t="b">
        <f>H504 &lt;&gt; ""</f>
        <v>0</v>
      </c>
      <c r="K504" s="3">
        <f>COUNTIFS(FieldDisagreements!D2:D999, A504)</f>
        <v>0</v>
      </c>
      <c r="L504" s="3" t="b">
        <f>K504 &gt; 0</f>
        <v>0</v>
      </c>
      <c r="M504" s="2" t="s">
        <v>2387</v>
      </c>
    </row>
    <row r="505">
      <c r="A505" s="2" t="s">
        <v>3168</v>
      </c>
      <c r="B505" s="3" t="str">
        <f>C505 &amp; "." &amp; D505</f>
        <v>KnowledgeFragments.Confidence</v>
      </c>
      <c r="C505" s="2" t="s">
        <v>1831</v>
      </c>
      <c r="D505" s="2" t="s">
        <v>1087</v>
      </c>
      <c r="E505" s="2" t="s">
        <v>2385</v>
      </c>
      <c r="F505" s="2" t="s">
        <v>2386</v>
      </c>
      <c r="G505" s="2"/>
      <c r="H505" s="2"/>
      <c r="I505" s="3" t="b">
        <f>OR(E505 = "calculated", E505 = "lookup", E505 = "aggregation")</f>
        <v>0</v>
      </c>
      <c r="J505" s="3" t="b">
        <f>H505 &lt;&gt; ""</f>
        <v>0</v>
      </c>
      <c r="K505" s="3">
        <f>COUNTIFS(FieldDisagreements!D2:D999, A505)</f>
        <v>0</v>
      </c>
      <c r="L505" s="3" t="b">
        <f>K505 &gt; 0</f>
        <v>0</v>
      </c>
      <c r="M505" s="2" t="s">
        <v>2387</v>
      </c>
    </row>
    <row r="506">
      <c r="A506" s="2" t="s">
        <v>3169</v>
      </c>
      <c r="B506" s="3" t="str">
        <f>C506 &amp; "." &amp; D506</f>
        <v>KnowledgeFragments.ValidFrom</v>
      </c>
      <c r="C506" s="2" t="s">
        <v>1831</v>
      </c>
      <c r="D506" s="2" t="s">
        <v>255</v>
      </c>
      <c r="E506" s="2" t="s">
        <v>2385</v>
      </c>
      <c r="F506" s="2" t="s">
        <v>2397</v>
      </c>
      <c r="G506" s="2"/>
      <c r="H506" s="2"/>
      <c r="I506" s="3" t="b">
        <f>OR(E506 = "calculated", E506 = "lookup", E506 = "aggregation")</f>
        <v>0</v>
      </c>
      <c r="J506" s="3" t="b">
        <f>H506 &lt;&gt; ""</f>
        <v>0</v>
      </c>
      <c r="K506" s="3">
        <f>COUNTIFS(FieldDisagreements!D2:D999, A506)</f>
        <v>0</v>
      </c>
      <c r="L506" s="3" t="b">
        <f>K506 &gt; 0</f>
        <v>0</v>
      </c>
      <c r="M506" s="2" t="s">
        <v>2387</v>
      </c>
    </row>
    <row r="507">
      <c r="A507" s="2" t="s">
        <v>3170</v>
      </c>
      <c r="B507" s="3" t="str">
        <f>C507 &amp; "." &amp; D507</f>
        <v>KnowledgeFragments.ValidTo</v>
      </c>
      <c r="C507" s="2" t="s">
        <v>1831</v>
      </c>
      <c r="D507" s="2" t="s">
        <v>256</v>
      </c>
      <c r="E507" s="2" t="s">
        <v>2385</v>
      </c>
      <c r="F507" s="2" t="s">
        <v>2397</v>
      </c>
      <c r="G507" s="2"/>
      <c r="H507" s="2"/>
      <c r="I507" s="3" t="b">
        <f>OR(E507 = "calculated", E507 = "lookup", E507 = "aggregation")</f>
        <v>0</v>
      </c>
      <c r="J507" s="3" t="b">
        <f>H507 &lt;&gt; ""</f>
        <v>0</v>
      </c>
      <c r="K507" s="3">
        <f>COUNTIFS(FieldDisagreements!D2:D999, A507)</f>
        <v>0</v>
      </c>
      <c r="L507" s="3" t="b">
        <f>K507 &gt; 0</f>
        <v>0</v>
      </c>
      <c r="M507" s="2" t="s">
        <v>2387</v>
      </c>
    </row>
    <row r="508">
      <c r="A508" s="2" t="s">
        <v>3171</v>
      </c>
      <c r="B508" s="3" t="str">
        <f>C508 &amp; "." &amp; D508</f>
        <v>KnowledgeFragments.Status</v>
      </c>
      <c r="C508" s="2" t="s">
        <v>1831</v>
      </c>
      <c r="D508" s="2" t="s">
        <v>8</v>
      </c>
      <c r="E508" s="2" t="s">
        <v>2385</v>
      </c>
      <c r="F508" s="2" t="s">
        <v>2386</v>
      </c>
      <c r="G508" s="2"/>
      <c r="H508" s="2"/>
      <c r="I508" s="3" t="b">
        <f>OR(E508 = "calculated", E508 = "lookup", E508 = "aggregation")</f>
        <v>0</v>
      </c>
      <c r="J508" s="3" t="b">
        <f>H508 &lt;&gt; ""</f>
        <v>0</v>
      </c>
      <c r="K508" s="3">
        <f>COUNTIFS(FieldDisagreements!D2:D999, A508)</f>
        <v>0</v>
      </c>
      <c r="L508" s="3" t="b">
        <f>K508 &gt; 0</f>
        <v>0</v>
      </c>
      <c r="M508" s="2" t="s">
        <v>2387</v>
      </c>
    </row>
    <row r="509">
      <c r="A509" s="2" t="s">
        <v>3172</v>
      </c>
      <c r="B509" s="3" t="str">
        <f>C509 &amp; "." &amp; D509</f>
        <v>KnowledgeFragments.OwnerRole</v>
      </c>
      <c r="C509" s="2" t="s">
        <v>1831</v>
      </c>
      <c r="D509" s="2" t="s">
        <v>1088</v>
      </c>
      <c r="E509" s="2" t="s">
        <v>2434</v>
      </c>
      <c r="F509" s="2" t="s">
        <v>2386</v>
      </c>
      <c r="G509" s="2"/>
      <c r="H509" s="2"/>
      <c r="I509" s="3" t="b">
        <f>OR(E509 = "calculated", E509 = "lookup", E509 = "aggregation")</f>
        <v>0</v>
      </c>
      <c r="J509" s="3" t="b">
        <f>H509 &lt;&gt; ""</f>
        <v>0</v>
      </c>
      <c r="K509" s="3">
        <f>COUNTIFS(FieldDisagreements!D2:D999, A509)</f>
        <v>0</v>
      </c>
      <c r="L509" s="3" t="b">
        <f>K509 &gt; 0</f>
        <v>0</v>
      </c>
      <c r="M509" s="2" t="s">
        <v>2387</v>
      </c>
    </row>
    <row r="510">
      <c r="A510" s="2" t="s">
        <v>3173</v>
      </c>
      <c r="B510" s="3" t="str">
        <f>C510 &amp; "." &amp; D510</f>
        <v>KnowledgeFragments.EvaluationContext</v>
      </c>
      <c r="C510" s="2" t="s">
        <v>1831</v>
      </c>
      <c r="D510" s="2" t="s">
        <v>258</v>
      </c>
      <c r="E510" s="2" t="s">
        <v>2434</v>
      </c>
      <c r="F510" s="2" t="s">
        <v>2386</v>
      </c>
      <c r="G510" s="2"/>
      <c r="H510" s="2"/>
      <c r="I510" s="3" t="b">
        <f>OR(E510 = "calculated", E510 = "lookup", E510 = "aggregation")</f>
        <v>0</v>
      </c>
      <c r="J510" s="3" t="b">
        <f>H510 &lt;&gt; ""</f>
        <v>0</v>
      </c>
      <c r="K510" s="3">
        <f>COUNTIFS(FieldDisagreements!D2:D999, A510)</f>
        <v>0</v>
      </c>
      <c r="L510" s="3" t="b">
        <f>K510 &gt; 0</f>
        <v>0</v>
      </c>
      <c r="M510" s="2" t="s">
        <v>2387</v>
      </c>
    </row>
    <row r="511">
      <c r="A511" s="2" t="s">
        <v>3174</v>
      </c>
      <c r="B511" s="3" t="str">
        <f>C511 &amp; "." &amp; D511</f>
        <v>KnowledgeFragments.AsOfInstant</v>
      </c>
      <c r="C511" s="2" t="s">
        <v>1831</v>
      </c>
      <c r="D511" s="2" t="s">
        <v>92</v>
      </c>
      <c r="E511" s="2" t="s">
        <v>2478</v>
      </c>
      <c r="F511" s="2" t="s">
        <v>2397</v>
      </c>
      <c r="G511" s="2" t="s">
        <v>2524</v>
      </c>
      <c r="H511" s="2"/>
      <c r="I511" s="3" t="b">
        <f>OR(E511 = "calculated", E511 = "lookup", E511 = "aggregation")</f>
        <v>1</v>
      </c>
      <c r="J511" s="3" t="b">
        <f>H511 &lt;&gt; ""</f>
        <v>0</v>
      </c>
      <c r="K511" s="3">
        <f>COUNTIFS(FieldDisagreements!D2:D999, A511)</f>
        <v>1</v>
      </c>
      <c r="L511" s="3" t="b">
        <f>K511 &gt; 0</f>
        <v>1</v>
      </c>
      <c r="M511" s="2" t="s">
        <v>2387</v>
      </c>
    </row>
    <row r="512">
      <c r="A512" s="2" t="s">
        <v>3175</v>
      </c>
      <c r="B512" s="3" t="str">
        <f>C512 &amp; "." &amp; D512</f>
        <v>KnowledgeFragments.IsCurrentlyValid</v>
      </c>
      <c r="C512" s="2" t="s">
        <v>1831</v>
      </c>
      <c r="D512" s="2" t="s">
        <v>260</v>
      </c>
      <c r="E512" s="2" t="s">
        <v>2389</v>
      </c>
      <c r="F512" s="2" t="s">
        <v>2401</v>
      </c>
      <c r="G512" s="2" t="s">
        <v>3176</v>
      </c>
      <c r="H512" s="2"/>
      <c r="I512" s="3" t="b">
        <f>OR(E512 = "calculated", E512 = "lookup", E512 = "aggregation")</f>
        <v>1</v>
      </c>
      <c r="J512" s="3" t="b">
        <f>H512 &lt;&gt; ""</f>
        <v>0</v>
      </c>
      <c r="K512" s="3">
        <f>COUNTIFS(FieldDisagreements!D2:D999, A512)</f>
        <v>0</v>
      </c>
      <c r="L512" s="3" t="b">
        <f>K512 &gt; 0</f>
        <v>0</v>
      </c>
      <c r="M512" s="2" t="s">
        <v>2387</v>
      </c>
    </row>
    <row r="513">
      <c r="A513" s="2" t="s">
        <v>3177</v>
      </c>
      <c r="B513" s="3" t="str">
        <f>C513 &amp; "." &amp; D513</f>
        <v>KnowledgeFragments.SourceAgentIsStillEngaged</v>
      </c>
      <c r="C513" s="2" t="s">
        <v>1831</v>
      </c>
      <c r="D513" s="2" t="s">
        <v>1089</v>
      </c>
      <c r="E513" s="2" t="s">
        <v>2478</v>
      </c>
      <c r="F513" s="2" t="s">
        <v>2401</v>
      </c>
      <c r="G513" s="2" t="s">
        <v>3178</v>
      </c>
      <c r="H513" s="2" t="s">
        <v>2016</v>
      </c>
      <c r="I513" s="3" t="b">
        <f>OR(E513 = "calculated", E513 = "lookup", E513 = "aggregation")</f>
        <v>1</v>
      </c>
      <c r="J513" s="3" t="b">
        <f>H513 &lt;&gt; ""</f>
        <v>1</v>
      </c>
      <c r="K513" s="3">
        <f>COUNTIFS(FieldDisagreements!D2:D999, A513)</f>
        <v>0</v>
      </c>
      <c r="L513" s="3" t="b">
        <f>K513 &gt; 0</f>
        <v>0</v>
      </c>
      <c r="M513" s="2" t="s">
        <v>2387</v>
      </c>
    </row>
    <row r="514">
      <c r="A514" s="2" t="s">
        <v>3179</v>
      </c>
      <c r="B514" s="3" t="str">
        <f>C514 &amp; "." &amp; D514</f>
        <v>KnowledgeFragments.SourceAgentKind</v>
      </c>
      <c r="C514" s="2" t="s">
        <v>1831</v>
      </c>
      <c r="D514" s="2" t="s">
        <v>1090</v>
      </c>
      <c r="E514" s="2" t="s">
        <v>2478</v>
      </c>
      <c r="F514" s="2" t="s">
        <v>2386</v>
      </c>
      <c r="G514" s="2" t="s">
        <v>3180</v>
      </c>
      <c r="H514" s="2" t="s">
        <v>2016</v>
      </c>
      <c r="I514" s="3" t="b">
        <f>OR(E514 = "calculated", E514 = "lookup", E514 = "aggregation")</f>
        <v>1</v>
      </c>
      <c r="J514" s="3" t="b">
        <f>H514 &lt;&gt; ""</f>
        <v>1</v>
      </c>
      <c r="K514" s="3">
        <f>COUNTIFS(FieldDisagreements!D2:D999, A514)</f>
        <v>0</v>
      </c>
      <c r="L514" s="3" t="b">
        <f>K514 &gt; 0</f>
        <v>0</v>
      </c>
      <c r="M514" s="2" t="s">
        <v>2387</v>
      </c>
    </row>
    <row r="515">
      <c r="A515" s="2" t="s">
        <v>3181</v>
      </c>
      <c r="B515" s="3" t="str">
        <f>C515 &amp; "." &amp; D515</f>
        <v>KnowledgeFragments.HasHumanSource</v>
      </c>
      <c r="C515" s="2" t="s">
        <v>1831</v>
      </c>
      <c r="D515" s="2" t="s">
        <v>1091</v>
      </c>
      <c r="E515" s="2" t="s">
        <v>2389</v>
      </c>
      <c r="F515" s="2" t="s">
        <v>2401</v>
      </c>
      <c r="G515" s="2" t="s">
        <v>3182</v>
      </c>
      <c r="H515" s="2" t="s">
        <v>2016</v>
      </c>
      <c r="I515" s="3" t="b">
        <f>OR(E515 = "calculated", E515 = "lookup", E515 = "aggregation")</f>
        <v>1</v>
      </c>
      <c r="J515" s="3" t="b">
        <f>H515 &lt;&gt; ""</f>
        <v>1</v>
      </c>
      <c r="K515" s="3">
        <f>COUNTIFS(FieldDisagreements!D2:D999, A515)</f>
        <v>0</v>
      </c>
      <c r="L515" s="3" t="b">
        <f>K515 &gt; 0</f>
        <v>0</v>
      </c>
      <c r="M515" s="2" t="s">
        <v>2387</v>
      </c>
    </row>
    <row r="516">
      <c r="A516" s="2" t="s">
        <v>3183</v>
      </c>
      <c r="B516" s="3" t="str">
        <f>C516 &amp; "." &amp; D516</f>
        <v>KnowledgeFragments.HasOrphanedProvenance</v>
      </c>
      <c r="C516" s="2" t="s">
        <v>1831</v>
      </c>
      <c r="D516" s="2" t="s">
        <v>1092</v>
      </c>
      <c r="E516" s="2" t="s">
        <v>2389</v>
      </c>
      <c r="F516" s="2" t="s">
        <v>2401</v>
      </c>
      <c r="G516" s="2" t="s">
        <v>3184</v>
      </c>
      <c r="H516" s="2" t="s">
        <v>2016</v>
      </c>
      <c r="I516" s="3" t="b">
        <f>OR(E516 = "calculated", E516 = "lookup", E516 = "aggregation")</f>
        <v>1</v>
      </c>
      <c r="J516" s="3" t="b">
        <f>H516 &lt;&gt; ""</f>
        <v>1</v>
      </c>
      <c r="K516" s="3">
        <f>COUNTIFS(FieldDisagreements!D2:D999, A516)</f>
        <v>0</v>
      </c>
      <c r="L516" s="3" t="b">
        <f>K516 &gt; 0</f>
        <v>0</v>
      </c>
      <c r="M516" s="2" t="s">
        <v>2387</v>
      </c>
    </row>
    <row r="517">
      <c r="A517" s="2" t="s">
        <v>3185</v>
      </c>
      <c r="B517" s="3" t="str">
        <f>C517 &amp; "." &amp; D517</f>
        <v>KnowledgeFragments.IsUndefendableTacitClaim</v>
      </c>
      <c r="C517" s="2" t="s">
        <v>1831</v>
      </c>
      <c r="D517" s="2" t="s">
        <v>1093</v>
      </c>
      <c r="E517" s="2" t="s">
        <v>2389</v>
      </c>
      <c r="F517" s="2" t="s">
        <v>2401</v>
      </c>
      <c r="G517" s="2" t="s">
        <v>3186</v>
      </c>
      <c r="H517" s="2" t="s">
        <v>2016</v>
      </c>
      <c r="I517" s="3" t="b">
        <f>OR(E517 = "calculated", E517 = "lookup", E517 = "aggregation")</f>
        <v>1</v>
      </c>
      <c r="J517" s="3" t="b">
        <f>H517 &lt;&gt; ""</f>
        <v>1</v>
      </c>
      <c r="K517" s="3">
        <f>COUNTIFS(FieldDisagreements!D2:D999, A517)</f>
        <v>0</v>
      </c>
      <c r="L517" s="3" t="b">
        <f>K517 &gt; 0</f>
        <v>0</v>
      </c>
      <c r="M517" s="2" t="s">
        <v>2387</v>
      </c>
    </row>
    <row r="518">
      <c r="A518" s="2" t="s">
        <v>3187</v>
      </c>
      <c r="B518" s="3" t="str">
        <f>C518 &amp; "." &amp; D518</f>
        <v>KnowledgeFragments.IsApproved</v>
      </c>
      <c r="C518" s="2" t="s">
        <v>1831</v>
      </c>
      <c r="D518" s="2" t="s">
        <v>1094</v>
      </c>
      <c r="E518" s="2" t="s">
        <v>2389</v>
      </c>
      <c r="F518" s="2" t="s">
        <v>2401</v>
      </c>
      <c r="G518" s="2" t="s">
        <v>3188</v>
      </c>
      <c r="H518" s="2" t="s">
        <v>2020</v>
      </c>
      <c r="I518" s="3" t="b">
        <f>OR(E518 = "calculated", E518 = "lookup", E518 = "aggregation")</f>
        <v>1</v>
      </c>
      <c r="J518" s="3" t="b">
        <f>H518 &lt;&gt; ""</f>
        <v>1</v>
      </c>
      <c r="K518" s="3">
        <f>COUNTIFS(FieldDisagreements!D2:D999, A518)</f>
        <v>0</v>
      </c>
      <c r="L518" s="3" t="b">
        <f>K518 &gt; 0</f>
        <v>0</v>
      </c>
      <c r="M518" s="2" t="s">
        <v>2387</v>
      </c>
    </row>
    <row r="519">
      <c r="A519" s="2" t="s">
        <v>3189</v>
      </c>
      <c r="B519" s="3" t="str">
        <f>C519 &amp; "." &amp; D519</f>
        <v>KnowledgeFragments.IsWithinValidityWindow</v>
      </c>
      <c r="C519" s="2" t="s">
        <v>1831</v>
      </c>
      <c r="D519" s="2" t="s">
        <v>1095</v>
      </c>
      <c r="E519" s="2" t="s">
        <v>2389</v>
      </c>
      <c r="F519" s="2" t="s">
        <v>2401</v>
      </c>
      <c r="G519" s="2" t="s">
        <v>2526</v>
      </c>
      <c r="H519" s="2" t="s">
        <v>2020</v>
      </c>
      <c r="I519" s="3" t="b">
        <f>OR(E519 = "calculated", E519 = "lookup", E519 = "aggregation")</f>
        <v>1</v>
      </c>
      <c r="J519" s="3" t="b">
        <f>H519 &lt;&gt; ""</f>
        <v>1</v>
      </c>
      <c r="K519" s="3">
        <f>COUNTIFS(FieldDisagreements!D2:D999, A519)</f>
        <v>0</v>
      </c>
      <c r="L519" s="3" t="b">
        <f>K519 &gt; 0</f>
        <v>0</v>
      </c>
      <c r="M519" s="2" t="s">
        <v>2387</v>
      </c>
    </row>
    <row r="520">
      <c r="A520" s="2" t="s">
        <v>3190</v>
      </c>
      <c r="B520" s="3" t="str">
        <f>C520 &amp; "." &amp; D520</f>
        <v>KnowledgeFragments.IsReliedUpon</v>
      </c>
      <c r="C520" s="2" t="s">
        <v>1831</v>
      </c>
      <c r="D520" s="2" t="s">
        <v>1096</v>
      </c>
      <c r="E520" s="2" t="s">
        <v>2389</v>
      </c>
      <c r="F520" s="2" t="s">
        <v>2401</v>
      </c>
      <c r="G520" s="2" t="s">
        <v>3191</v>
      </c>
      <c r="H520" s="2" t="s">
        <v>2020</v>
      </c>
      <c r="I520" s="3" t="b">
        <f>OR(E520 = "calculated", E520 = "lookup", E520 = "aggregation")</f>
        <v>1</v>
      </c>
      <c r="J520" s="3" t="b">
        <f>H520 &lt;&gt; ""</f>
        <v>1</v>
      </c>
      <c r="K520" s="3">
        <f>COUNTIFS(FieldDisagreements!D2:D999, A520)</f>
        <v>0</v>
      </c>
      <c r="L520" s="3" t="b">
        <f>K520 &gt; 0</f>
        <v>0</v>
      </c>
      <c r="M520" s="2" t="s">
        <v>2387</v>
      </c>
    </row>
    <row r="521">
      <c r="A521" s="2" t="s">
        <v>3192</v>
      </c>
      <c r="B521" s="3" t="str">
        <f>C521 &amp; "." &amp; D521</f>
        <v>KnowledgeFragments.StepProcedureVersionStatus</v>
      </c>
      <c r="C521" s="2" t="s">
        <v>1831</v>
      </c>
      <c r="D521" s="2" t="s">
        <v>1097</v>
      </c>
      <c r="E521" s="2" t="s">
        <v>2478</v>
      </c>
      <c r="F521" s="2" t="s">
        <v>2386</v>
      </c>
      <c r="G521" s="2" t="s">
        <v>3193</v>
      </c>
      <c r="H521" s="2" t="s">
        <v>2020</v>
      </c>
      <c r="I521" s="3" t="b">
        <f>OR(E521 = "calculated", E521 = "lookup", E521 = "aggregation")</f>
        <v>1</v>
      </c>
      <c r="J521" s="3" t="b">
        <f>H521 &lt;&gt; ""</f>
        <v>1</v>
      </c>
      <c r="K521" s="3">
        <f>COUNTIFS(FieldDisagreements!D2:D999, A521)</f>
        <v>0</v>
      </c>
      <c r="L521" s="3" t="b">
        <f>K521 &gt; 0</f>
        <v>0</v>
      </c>
      <c r="M521" s="2" t="s">
        <v>2387</v>
      </c>
    </row>
    <row r="522">
      <c r="A522" s="2" t="s">
        <v>3194</v>
      </c>
      <c r="B522" s="3" t="str">
        <f>C522 &amp; "." &amp; D522</f>
        <v>KnowledgeFragments.IsAttachedToLiveVersion</v>
      </c>
      <c r="C522" s="2" t="s">
        <v>1831</v>
      </c>
      <c r="D522" s="2" t="s">
        <v>1098</v>
      </c>
      <c r="E522" s="2" t="s">
        <v>2478</v>
      </c>
      <c r="F522" s="2" t="s">
        <v>2401</v>
      </c>
      <c r="G522" s="2" t="s">
        <v>3195</v>
      </c>
      <c r="H522" s="2" t="s">
        <v>2020</v>
      </c>
      <c r="I522" s="3" t="b">
        <f>OR(E522 = "calculated", E522 = "lookup", E522 = "aggregation")</f>
        <v>1</v>
      </c>
      <c r="J522" s="3" t="b">
        <f>H522 &lt;&gt; ""</f>
        <v>1</v>
      </c>
      <c r="K522" s="3">
        <f>COUNTIFS(FieldDisagreements!D2:D999, A522)</f>
        <v>0</v>
      </c>
      <c r="L522" s="3" t="b">
        <f>K522 &gt; 0</f>
        <v>0</v>
      </c>
      <c r="M522" s="2" t="s">
        <v>2387</v>
      </c>
    </row>
    <row r="523">
      <c r="A523" s="2" t="s">
        <v>3196</v>
      </c>
      <c r="B523" s="3" t="str">
        <f>C523 &amp; "." &amp; D523</f>
        <v>KnowledgeFragments.IsUnapprovedButReliedOn</v>
      </c>
      <c r="C523" s="2" t="s">
        <v>1831</v>
      </c>
      <c r="D523" s="2" t="s">
        <v>1099</v>
      </c>
      <c r="E523" s="2" t="s">
        <v>2389</v>
      </c>
      <c r="F523" s="2" t="s">
        <v>2401</v>
      </c>
      <c r="G523" s="2" t="s">
        <v>3197</v>
      </c>
      <c r="H523" s="2" t="s">
        <v>2020</v>
      </c>
      <c r="I523" s="3" t="b">
        <f>OR(E523 = "calculated", E523 = "lookup", E523 = "aggregation")</f>
        <v>1</v>
      </c>
      <c r="J523" s="3" t="b">
        <f>H523 &lt;&gt; ""</f>
        <v>1</v>
      </c>
      <c r="K523" s="3">
        <f>COUNTIFS(FieldDisagreements!D2:D999, A523)</f>
        <v>0</v>
      </c>
      <c r="L523" s="3" t="b">
        <f>K523 &gt; 0</f>
        <v>0</v>
      </c>
      <c r="M523" s="2" t="s">
        <v>2387</v>
      </c>
    </row>
    <row r="524">
      <c r="A524" s="2" t="s">
        <v>3198</v>
      </c>
      <c r="B524" s="3" t="str">
        <f>C524 &amp; "." &amp; D524</f>
        <v>KnowledgeFragments.EvidenceAgeDays</v>
      </c>
      <c r="C524" s="2" t="s">
        <v>1831</v>
      </c>
      <c r="D524" s="2" t="s">
        <v>1100</v>
      </c>
      <c r="E524" s="2" t="s">
        <v>2478</v>
      </c>
      <c r="F524" s="2" t="s">
        <v>2439</v>
      </c>
      <c r="G524" s="2" t="s">
        <v>3199</v>
      </c>
      <c r="H524" s="2" t="s">
        <v>2024</v>
      </c>
      <c r="I524" s="3" t="b">
        <f>OR(E524 = "calculated", E524 = "lookup", E524 = "aggregation")</f>
        <v>1</v>
      </c>
      <c r="J524" s="3" t="b">
        <f>H524 &lt;&gt; ""</f>
        <v>1</v>
      </c>
      <c r="K524" s="3">
        <f>COUNTIFS(FieldDisagreements!D2:D999, A524)</f>
        <v>7</v>
      </c>
      <c r="L524" s="3" t="b">
        <f>K524 &gt; 0</f>
        <v>1</v>
      </c>
      <c r="M524" s="2" t="s">
        <v>2387</v>
      </c>
    </row>
    <row r="525">
      <c r="A525" s="2" t="s">
        <v>3200</v>
      </c>
      <c r="B525" s="3" t="str">
        <f>C525 &amp; "." &amp; D525</f>
        <v>KnowledgeFragments.HasRecordedElicitation</v>
      </c>
      <c r="C525" s="2" t="s">
        <v>1831</v>
      </c>
      <c r="D525" s="2" t="s">
        <v>1101</v>
      </c>
      <c r="E525" s="2" t="s">
        <v>2389</v>
      </c>
      <c r="F525" s="2" t="s">
        <v>2401</v>
      </c>
      <c r="G525" s="2" t="s">
        <v>3201</v>
      </c>
      <c r="H525" s="2" t="s">
        <v>2024</v>
      </c>
      <c r="I525" s="3" t="b">
        <f>OR(E525 = "calculated", E525 = "lookup", E525 = "aggregation")</f>
        <v>1</v>
      </c>
      <c r="J525" s="3" t="b">
        <f>H525 &lt;&gt; ""</f>
        <v>1</v>
      </c>
      <c r="K525" s="3">
        <f>COUNTIFS(FieldDisagreements!D2:D999, A525)</f>
        <v>0</v>
      </c>
      <c r="L525" s="3" t="b">
        <f>K525 &gt; 0</f>
        <v>0</v>
      </c>
      <c r="M525" s="2" t="s">
        <v>2387</v>
      </c>
    </row>
    <row r="526">
      <c r="A526" s="2" t="s">
        <v>3202</v>
      </c>
      <c r="B526" s="3" t="str">
        <f>C526 &amp; "." &amp; D526</f>
        <v>KnowledgeFragments.IsFromSingleWitness</v>
      </c>
      <c r="C526" s="2" t="s">
        <v>1831</v>
      </c>
      <c r="D526" s="2" t="s">
        <v>1102</v>
      </c>
      <c r="E526" s="2" t="s">
        <v>2478</v>
      </c>
      <c r="F526" s="2" t="s">
        <v>2401</v>
      </c>
      <c r="G526" s="2" t="s">
        <v>3203</v>
      </c>
      <c r="H526" s="2" t="s">
        <v>2024</v>
      </c>
      <c r="I526" s="3" t="b">
        <f>OR(E526 = "calculated", E526 = "lookup", E526 = "aggregation")</f>
        <v>1</v>
      </c>
      <c r="J526" s="3" t="b">
        <f>H526 &lt;&gt; ""</f>
        <v>1</v>
      </c>
      <c r="K526" s="3">
        <f>COUNTIFS(FieldDisagreements!D2:D999, A526)</f>
        <v>0</v>
      </c>
      <c r="L526" s="3" t="b">
        <f>K526 &gt; 0</f>
        <v>0</v>
      </c>
      <c r="M526" s="2" t="s">
        <v>2387</v>
      </c>
    </row>
    <row r="527">
      <c r="A527" s="2" t="s">
        <v>3204</v>
      </c>
      <c r="B527" s="3" t="str">
        <f>C527 &amp; "." &amp; D527</f>
        <v>KnowledgeFragments.EvidenceExpiryDays</v>
      </c>
      <c r="C527" s="2" t="s">
        <v>1831</v>
      </c>
      <c r="D527" s="2" t="s">
        <v>1103</v>
      </c>
      <c r="E527" s="2" t="s">
        <v>2389</v>
      </c>
      <c r="F527" s="2" t="s">
        <v>2439</v>
      </c>
      <c r="G527" s="2" t="s">
        <v>3205</v>
      </c>
      <c r="H527" s="2" t="s">
        <v>2024</v>
      </c>
      <c r="I527" s="3" t="b">
        <f>OR(E527 = "calculated", E527 = "lookup", E527 = "aggregation")</f>
        <v>1</v>
      </c>
      <c r="J527" s="3" t="b">
        <f>H527 &lt;&gt; ""</f>
        <v>1</v>
      </c>
      <c r="K527" s="3">
        <f>COUNTIFS(FieldDisagreements!D2:D999, A527)</f>
        <v>2</v>
      </c>
      <c r="L527" s="3" t="b">
        <f>K527 &gt; 0</f>
        <v>1</v>
      </c>
      <c r="M527" s="2" t="s">
        <v>2387</v>
      </c>
    </row>
    <row r="528">
      <c r="A528" s="2" t="s">
        <v>3206</v>
      </c>
      <c r="B528" s="3" t="str">
        <f>C528 &amp; "." &amp; D528</f>
        <v>KnowledgeFragments.EvidenceHasExpired</v>
      </c>
      <c r="C528" s="2" t="s">
        <v>1831</v>
      </c>
      <c r="D528" s="2" t="s">
        <v>1104</v>
      </c>
      <c r="E528" s="2" t="s">
        <v>2389</v>
      </c>
      <c r="F528" s="2" t="s">
        <v>2401</v>
      </c>
      <c r="G528" s="2" t="s">
        <v>3207</v>
      </c>
      <c r="H528" s="2" t="s">
        <v>2024</v>
      </c>
      <c r="I528" s="3" t="b">
        <f>OR(E528 = "calculated", E528 = "lookup", E528 = "aggregation")</f>
        <v>1</v>
      </c>
      <c r="J528" s="3" t="b">
        <f>H528 &lt;&gt; ""</f>
        <v>1</v>
      </c>
      <c r="K528" s="3">
        <f>COUNTIFS(FieldDisagreements!D2:D999, A528)</f>
        <v>1</v>
      </c>
      <c r="L528" s="3" t="b">
        <f>K528 &gt; 0</f>
        <v>1</v>
      </c>
      <c r="M528" s="2" t="s">
        <v>2387</v>
      </c>
    </row>
    <row r="529">
      <c r="A529" s="2" t="s">
        <v>3208</v>
      </c>
      <c r="B529" s="3" t="str">
        <f>C529 &amp; "." &amp; D529</f>
        <v>KnowledgeFragments.OwnerAgent</v>
      </c>
      <c r="C529" s="2" t="s">
        <v>1831</v>
      </c>
      <c r="D529" s="2" t="s">
        <v>1105</v>
      </c>
      <c r="E529" s="2" t="s">
        <v>2478</v>
      </c>
      <c r="F529" s="2" t="s">
        <v>2386</v>
      </c>
      <c r="G529" s="2" t="s">
        <v>3209</v>
      </c>
      <c r="H529" s="2" t="s">
        <v>2124</v>
      </c>
      <c r="I529" s="3" t="b">
        <f>OR(E529 = "calculated", E529 = "lookup", E529 = "aggregation")</f>
        <v>1</v>
      </c>
      <c r="J529" s="3" t="b">
        <f>H529 &lt;&gt; ""</f>
        <v>1</v>
      </c>
      <c r="K529" s="3">
        <f>COUNTIFS(FieldDisagreements!D2:D999, A529)</f>
        <v>0</v>
      </c>
      <c r="L529" s="3" t="b">
        <f>K529 &gt; 0</f>
        <v>0</v>
      </c>
      <c r="M529" s="2" t="s">
        <v>2387</v>
      </c>
    </row>
    <row r="530">
      <c r="A530" s="2" t="s">
        <v>3210</v>
      </c>
      <c r="B530" s="3" t="str">
        <f>C530 &amp; "." &amp; D530</f>
        <v>KnowledgeFragments.IsAwaitingApproval</v>
      </c>
      <c r="C530" s="2" t="s">
        <v>1831</v>
      </c>
      <c r="D530" s="2" t="s">
        <v>1106</v>
      </c>
      <c r="E530" s="2" t="s">
        <v>2389</v>
      </c>
      <c r="F530" s="2" t="s">
        <v>2401</v>
      </c>
      <c r="G530" s="2" t="s">
        <v>3211</v>
      </c>
      <c r="H530" s="2" t="s">
        <v>2124</v>
      </c>
      <c r="I530" s="3" t="b">
        <f>OR(E530 = "calculated", E530 = "lookup", E530 = "aggregation")</f>
        <v>1</v>
      </c>
      <c r="J530" s="3" t="b">
        <f>H530 &lt;&gt; ""</f>
        <v>1</v>
      </c>
      <c r="K530" s="3">
        <f>COUNTIFS(FieldDisagreements!D2:D999, A530)</f>
        <v>0</v>
      </c>
      <c r="L530" s="3" t="b">
        <f>K530 &gt; 0</f>
        <v>0</v>
      </c>
      <c r="M530" s="2" t="s">
        <v>2387</v>
      </c>
    </row>
    <row r="531">
      <c r="A531" s="2" t="s">
        <v>3212</v>
      </c>
      <c r="B531" s="3" t="str">
        <f>C531 &amp; "." &amp; D531</f>
        <v>KnowledgeFragments.OwnerIsMe</v>
      </c>
      <c r="C531" s="2" t="s">
        <v>1831</v>
      </c>
      <c r="D531" s="2" t="s">
        <v>1107</v>
      </c>
      <c r="E531" s="2" t="s">
        <v>2389</v>
      </c>
      <c r="F531" s="2" t="s">
        <v>2401</v>
      </c>
      <c r="G531" s="2" t="s">
        <v>3213</v>
      </c>
      <c r="H531" s="2" t="s">
        <v>2124</v>
      </c>
      <c r="I531" s="3" t="b">
        <f>OR(E531 = "calculated", E531 = "lookup", E531 = "aggregation")</f>
        <v>1</v>
      </c>
      <c r="J531" s="3" t="b">
        <f>H531 &lt;&gt; ""</f>
        <v>1</v>
      </c>
      <c r="K531" s="3">
        <f>COUNTIFS(FieldDisagreements!D2:D999, A531)</f>
        <v>0</v>
      </c>
      <c r="L531" s="3" t="b">
        <f>K531 &gt; 0</f>
        <v>0</v>
      </c>
      <c r="M531" s="2" t="s">
        <v>2387</v>
      </c>
    </row>
    <row r="532">
      <c r="A532" s="2" t="s">
        <v>3214</v>
      </c>
      <c r="B532" s="3" t="str">
        <f>C532 &amp; "." &amp; D532</f>
        <v>KnowledgeFragments.IsMyUnfinishedApproval</v>
      </c>
      <c r="C532" s="2" t="s">
        <v>1831</v>
      </c>
      <c r="D532" s="2" t="s">
        <v>1108</v>
      </c>
      <c r="E532" s="2" t="s">
        <v>2389</v>
      </c>
      <c r="F532" s="2" t="s">
        <v>2401</v>
      </c>
      <c r="G532" s="2" t="s">
        <v>3215</v>
      </c>
      <c r="H532" s="2" t="s">
        <v>2124</v>
      </c>
      <c r="I532" s="3" t="b">
        <f>OR(E532 = "calculated", E532 = "lookup", E532 = "aggregation")</f>
        <v>1</v>
      </c>
      <c r="J532" s="3" t="b">
        <f>H532 &lt;&gt; ""</f>
        <v>1</v>
      </c>
      <c r="K532" s="3">
        <f>COUNTIFS(FieldDisagreements!D2:D999, A532)</f>
        <v>0</v>
      </c>
      <c r="L532" s="3" t="b">
        <f>K532 &gt; 0</f>
        <v>0</v>
      </c>
      <c r="M532" s="2" t="s">
        <v>2387</v>
      </c>
    </row>
    <row r="533">
      <c r="A533" s="2" t="s">
        <v>3216</v>
      </c>
      <c r="B533" s="3" t="str">
        <f>C533 &amp; "." &amp; D533</f>
        <v>KnowledgeFragments.IsInvokedByAnException</v>
      </c>
      <c r="C533" s="2" t="s">
        <v>1831</v>
      </c>
      <c r="D533" s="2" t="s">
        <v>1109</v>
      </c>
      <c r="E533" s="2" t="s">
        <v>2438</v>
      </c>
      <c r="F533" s="2" t="s">
        <v>2439</v>
      </c>
      <c r="G533" s="2" t="s">
        <v>3217</v>
      </c>
      <c r="H533" s="2" t="s">
        <v>2124</v>
      </c>
      <c r="I533" s="3" t="b">
        <f>OR(E533 = "calculated", E533 = "lookup", E533 = "aggregation")</f>
        <v>1</v>
      </c>
      <c r="J533" s="3" t="b">
        <f>H533 &lt;&gt; ""</f>
        <v>1</v>
      </c>
      <c r="K533" s="3">
        <f>COUNTIFS(FieldDisagreements!D2:D999, A533)</f>
        <v>1</v>
      </c>
      <c r="L533" s="3" t="b">
        <f>K533 &gt; 0</f>
        <v>1</v>
      </c>
      <c r="M533" s="2" t="s">
        <v>2387</v>
      </c>
    </row>
    <row r="534">
      <c r="A534" s="2" t="s">
        <v>3218</v>
      </c>
      <c r="B534" s="3" t="str">
        <f>C534 &amp; "." &amp; D534</f>
        <v>KnowledgeFragments.HasOperationalReliance</v>
      </c>
      <c r="C534" s="2" t="s">
        <v>1831</v>
      </c>
      <c r="D534" s="2" t="s">
        <v>1110</v>
      </c>
      <c r="E534" s="2" t="s">
        <v>2389</v>
      </c>
      <c r="F534" s="2" t="s">
        <v>2401</v>
      </c>
      <c r="G534" s="2" t="s">
        <v>3219</v>
      </c>
      <c r="H534" s="2" t="s">
        <v>2124</v>
      </c>
      <c r="I534" s="3" t="b">
        <f>OR(E534 = "calculated", E534 = "lookup", E534 = "aggregation")</f>
        <v>1</v>
      </c>
      <c r="J534" s="3" t="b">
        <f>H534 &lt;&gt; ""</f>
        <v>1</v>
      </c>
      <c r="K534" s="3">
        <f>COUNTIFS(FieldDisagreements!D2:D999, A534)</f>
        <v>1</v>
      </c>
      <c r="L534" s="3" t="b">
        <f>K534 &gt; 0</f>
        <v>1</v>
      </c>
      <c r="M534" s="2" t="s">
        <v>2387</v>
      </c>
    </row>
    <row r="535">
      <c r="A535" s="2" t="s">
        <v>3220</v>
      </c>
      <c r="B535" s="3" t="str">
        <f>C535 &amp; "." &amp; D535</f>
        <v>KnowledgeFragments.IsUnapprovedAndOperationallyLive</v>
      </c>
      <c r="C535" s="2" t="s">
        <v>1831</v>
      </c>
      <c r="D535" s="2" t="s">
        <v>1111</v>
      </c>
      <c r="E535" s="2" t="s">
        <v>2389</v>
      </c>
      <c r="F535" s="2" t="s">
        <v>2401</v>
      </c>
      <c r="G535" s="2" t="s">
        <v>3221</v>
      </c>
      <c r="H535" s="2" t="s">
        <v>2124</v>
      </c>
      <c r="I535" s="3" t="b">
        <f>OR(E535 = "calculated", E535 = "lookup", E535 = "aggregation")</f>
        <v>1</v>
      </c>
      <c r="J535" s="3" t="b">
        <f>H535 &lt;&gt; ""</f>
        <v>1</v>
      </c>
      <c r="K535" s="3">
        <f>COUNTIFS(FieldDisagreements!D2:D999, A535)</f>
        <v>1</v>
      </c>
      <c r="L535" s="3" t="b">
        <f>K535 &gt; 0</f>
        <v>1</v>
      </c>
      <c r="M535" s="2" t="s">
        <v>2387</v>
      </c>
    </row>
    <row r="536">
      <c r="A536" s="2" t="s">
        <v>3222</v>
      </c>
      <c r="B536" s="3" t="str">
        <f>C536 &amp; "." &amp; D536</f>
        <v>KnowledgeFragments.AgeDays</v>
      </c>
      <c r="C536" s="2" t="s">
        <v>1831</v>
      </c>
      <c r="D536" s="2" t="s">
        <v>1112</v>
      </c>
      <c r="E536" s="2" t="s">
        <v>2389</v>
      </c>
      <c r="F536" s="2" t="s">
        <v>2439</v>
      </c>
      <c r="G536" s="2" t="s">
        <v>3223</v>
      </c>
      <c r="H536" s="2" t="s">
        <v>2132</v>
      </c>
      <c r="I536" s="3" t="b">
        <f>OR(E536 = "calculated", E536 = "lookup", E536 = "aggregation")</f>
        <v>1</v>
      </c>
      <c r="J536" s="3" t="b">
        <f>H536 &lt;&gt; ""</f>
        <v>1</v>
      </c>
      <c r="K536" s="3">
        <f>COUNTIFS(FieldDisagreements!D2:D999, A536)</f>
        <v>7</v>
      </c>
      <c r="L536" s="3" t="b">
        <f>K536 &gt; 0</f>
        <v>1</v>
      </c>
      <c r="M536" s="2" t="s">
        <v>2387</v>
      </c>
    </row>
    <row r="537">
      <c r="A537" s="2" t="s">
        <v>3224</v>
      </c>
      <c r="B537" s="3" t="str">
        <f>C537 &amp; "." &amp; D537</f>
        <v>KnowledgeFragments.IsLowConfidence</v>
      </c>
      <c r="C537" s="2" t="s">
        <v>1831</v>
      </c>
      <c r="D537" s="2" t="s">
        <v>1113</v>
      </c>
      <c r="E537" s="2" t="s">
        <v>2389</v>
      </c>
      <c r="F537" s="2" t="s">
        <v>2401</v>
      </c>
      <c r="G537" s="2" t="s">
        <v>3225</v>
      </c>
      <c r="H537" s="2" t="s">
        <v>2132</v>
      </c>
      <c r="I537" s="3" t="b">
        <f>OR(E537 = "calculated", E537 = "lookup", E537 = "aggregation")</f>
        <v>1</v>
      </c>
      <c r="J537" s="3" t="b">
        <f>H537 &lt;&gt; ""</f>
        <v>1</v>
      </c>
      <c r="K537" s="3">
        <f>COUNTIFS(FieldDisagreements!D2:D999, A537)</f>
        <v>0</v>
      </c>
      <c r="L537" s="3" t="b">
        <f>K537 &gt; 0</f>
        <v>0</v>
      </c>
      <c r="M537" s="2" t="s">
        <v>2387</v>
      </c>
    </row>
    <row r="538">
      <c r="A538" s="2" t="s">
        <v>3226</v>
      </c>
      <c r="B538" s="3" t="str">
        <f>C538 &amp; "." &amp; D538</f>
        <v>KnowledgeFragments.OwningVersionCadenceDays</v>
      </c>
      <c r="C538" s="2" t="s">
        <v>1831</v>
      </c>
      <c r="D538" s="2" t="s">
        <v>1114</v>
      </c>
      <c r="E538" s="2" t="s">
        <v>2478</v>
      </c>
      <c r="F538" s="2" t="s">
        <v>2439</v>
      </c>
      <c r="G538" s="2" t="s">
        <v>3227</v>
      </c>
      <c r="H538" s="2" t="s">
        <v>2132</v>
      </c>
      <c r="I538" s="3" t="b">
        <f>OR(E538 = "calculated", E538 = "lookup", E538 = "aggregation")</f>
        <v>1</v>
      </c>
      <c r="J538" s="3" t="b">
        <f>H538 &lt;&gt; ""</f>
        <v>1</v>
      </c>
      <c r="K538" s="3">
        <f>COUNTIFS(FieldDisagreements!D2:D999, A538)</f>
        <v>0</v>
      </c>
      <c r="L538" s="3" t="b">
        <f>K538 &gt; 0</f>
        <v>0</v>
      </c>
      <c r="M538" s="2" t="s">
        <v>2387</v>
      </c>
    </row>
    <row r="539">
      <c r="A539" s="2" t="s">
        <v>3228</v>
      </c>
      <c r="B539" s="3" t="str">
        <f>C539 &amp; "." &amp; D539</f>
        <v>KnowledgeFragments.ExceedsOwningCadence</v>
      </c>
      <c r="C539" s="2" t="s">
        <v>1831</v>
      </c>
      <c r="D539" s="2" t="s">
        <v>1115</v>
      </c>
      <c r="E539" s="2" t="s">
        <v>2389</v>
      </c>
      <c r="F539" s="2" t="s">
        <v>2401</v>
      </c>
      <c r="G539" s="2" t="s">
        <v>3229</v>
      </c>
      <c r="H539" s="2" t="s">
        <v>2132</v>
      </c>
      <c r="I539" s="3" t="b">
        <f>OR(E539 = "calculated", E539 = "lookup", E539 = "aggregation")</f>
        <v>1</v>
      </c>
      <c r="J539" s="3" t="b">
        <f>H539 &lt;&gt; ""</f>
        <v>1</v>
      </c>
      <c r="K539" s="3">
        <f>COUNTIFS(FieldDisagreements!D2:D999, A539)</f>
        <v>0</v>
      </c>
      <c r="L539" s="3" t="b">
        <f>K539 &gt; 0</f>
        <v>0</v>
      </c>
      <c r="M539" s="2" t="s">
        <v>2387</v>
      </c>
    </row>
    <row r="540">
      <c r="A540" s="2" t="s">
        <v>3230</v>
      </c>
      <c r="B540" s="3" t="str">
        <f>C540 &amp; "." &amp; D540</f>
        <v>KnowledgeFragments.IsAgingLowConfidenceClaim</v>
      </c>
      <c r="C540" s="2" t="s">
        <v>1831</v>
      </c>
      <c r="D540" s="2" t="s">
        <v>1116</v>
      </c>
      <c r="E540" s="2" t="s">
        <v>2389</v>
      </c>
      <c r="F540" s="2" t="s">
        <v>2401</v>
      </c>
      <c r="G540" s="2" t="s">
        <v>3231</v>
      </c>
      <c r="H540" s="2" t="s">
        <v>2132</v>
      </c>
      <c r="I540" s="3" t="b">
        <f>OR(E540 = "calculated", E540 = "lookup", E540 = "aggregation")</f>
        <v>1</v>
      </c>
      <c r="J540" s="3" t="b">
        <f>H540 &lt;&gt; ""</f>
        <v>1</v>
      </c>
      <c r="K540" s="3">
        <f>COUNTIFS(FieldDisagreements!D2:D999, A540)</f>
        <v>0</v>
      </c>
      <c r="L540" s="3" t="b">
        <f>K540 &gt; 0</f>
        <v>0</v>
      </c>
      <c r="M540" s="2" t="s">
        <v>2387</v>
      </c>
    </row>
    <row r="541">
      <c r="A541" s="2" t="s">
        <v>3232</v>
      </c>
      <c r="B541" s="3" t="str">
        <f>C541 &amp; "." &amp; D541</f>
        <v>KnowledgeFragments.OwnerRoleAgentKind</v>
      </c>
      <c r="C541" s="2" t="s">
        <v>1831</v>
      </c>
      <c r="D541" s="2" t="s">
        <v>1117</v>
      </c>
      <c r="E541" s="2" t="s">
        <v>2478</v>
      </c>
      <c r="F541" s="2" t="s">
        <v>2386</v>
      </c>
      <c r="G541" s="2" t="s">
        <v>3233</v>
      </c>
      <c r="H541" s="2" t="s">
        <v>2152</v>
      </c>
      <c r="I541" s="3" t="b">
        <f>OR(E541 = "calculated", E541 = "lookup", E541 = "aggregation")</f>
        <v>1</v>
      </c>
      <c r="J541" s="3" t="b">
        <f>H541 &lt;&gt; ""</f>
        <v>1</v>
      </c>
      <c r="K541" s="3">
        <f>COUNTIFS(FieldDisagreements!D2:D999, A541)</f>
        <v>0</v>
      </c>
      <c r="L541" s="3" t="b">
        <f>K541 &gt; 0</f>
        <v>0</v>
      </c>
      <c r="M541" s="2" t="s">
        <v>2387</v>
      </c>
    </row>
    <row r="542">
      <c r="A542" s="2" t="s">
        <v>3234</v>
      </c>
      <c r="B542" s="3" t="str">
        <f>C542 &amp; "." &amp; D542</f>
        <v>KnowledgeFragments.IsHumanOwned</v>
      </c>
      <c r="C542" s="2" t="s">
        <v>1831</v>
      </c>
      <c r="D542" s="2" t="s">
        <v>1118</v>
      </c>
      <c r="E542" s="2" t="s">
        <v>2389</v>
      </c>
      <c r="F542" s="2" t="s">
        <v>2401</v>
      </c>
      <c r="G542" s="2" t="s">
        <v>3235</v>
      </c>
      <c r="H542" s="2" t="s">
        <v>2152</v>
      </c>
      <c r="I542" s="3" t="b">
        <f>OR(E542 = "calculated", E542 = "lookup", E542 = "aggregation")</f>
        <v>1</v>
      </c>
      <c r="J542" s="3" t="b">
        <f>H542 &lt;&gt; ""</f>
        <v>1</v>
      </c>
      <c r="K542" s="3">
        <f>COUNTIFS(FieldDisagreements!D2:D999, A542)</f>
        <v>0</v>
      </c>
      <c r="L542" s="3" t="b">
        <f>K542 &gt; 0</f>
        <v>0</v>
      </c>
      <c r="M542" s="2" t="s">
        <v>2387</v>
      </c>
    </row>
    <row r="543">
      <c r="A543" s="2" t="s">
        <v>3236</v>
      </c>
      <c r="B543" s="3" t="str">
        <f>C543 &amp; "." &amp; D543</f>
        <v>KnowledgeFragments.IsAiValidatedByAi</v>
      </c>
      <c r="C543" s="2" t="s">
        <v>1831</v>
      </c>
      <c r="D543" s="2" t="s">
        <v>1119</v>
      </c>
      <c r="E543" s="2" t="s">
        <v>2389</v>
      </c>
      <c r="F543" s="2" t="s">
        <v>2401</v>
      </c>
      <c r="G543" s="2" t="s">
        <v>3237</v>
      </c>
      <c r="H543" s="2" t="s">
        <v>2152</v>
      </c>
      <c r="I543" s="3" t="b">
        <f>OR(E543 = "calculated", E543 = "lookup", E543 = "aggregation")</f>
        <v>1</v>
      </c>
      <c r="J543" s="3" t="b">
        <f>H543 &lt;&gt; ""</f>
        <v>1</v>
      </c>
      <c r="K543" s="3">
        <f>COUNTIFS(FieldDisagreements!D2:D999, A543)</f>
        <v>0</v>
      </c>
      <c r="L543" s="3" t="b">
        <f>K543 &gt; 0</f>
        <v>0</v>
      </c>
      <c r="M543" s="2" t="s">
        <v>2387</v>
      </c>
    </row>
    <row r="544">
      <c r="A544" s="2" t="s">
        <v>3238</v>
      </c>
      <c r="B544" s="3" t="str">
        <f>C544 &amp; "." &amp; D544</f>
        <v>KnowledgeFragments.ReviewCadenceDays</v>
      </c>
      <c r="C544" s="2" t="s">
        <v>1831</v>
      </c>
      <c r="D544" s="2" t="s">
        <v>1120</v>
      </c>
      <c r="E544" s="2" t="s">
        <v>2478</v>
      </c>
      <c r="F544" s="2" t="s">
        <v>2439</v>
      </c>
      <c r="G544" s="2" t="s">
        <v>3227</v>
      </c>
      <c r="H544" s="2" t="s">
        <v>2152</v>
      </c>
      <c r="I544" s="3" t="b">
        <f>OR(E544 = "calculated", E544 = "lookup", E544 = "aggregation")</f>
        <v>1</v>
      </c>
      <c r="J544" s="3" t="b">
        <f>H544 &lt;&gt; ""</f>
        <v>1</v>
      </c>
      <c r="K544" s="3">
        <f>COUNTIFS(FieldDisagreements!D2:D999, A544)</f>
        <v>0</v>
      </c>
      <c r="L544" s="3" t="b">
        <f>K544 &gt; 0</f>
        <v>0</v>
      </c>
      <c r="M544" s="2" t="s">
        <v>2387</v>
      </c>
    </row>
    <row r="545">
      <c r="A545" s="2" t="s">
        <v>3239</v>
      </c>
      <c r="B545" s="3" t="str">
        <f>C545 &amp; "." &amp; D545</f>
        <v>KnowledgeFragments.IsOverdueForReview</v>
      </c>
      <c r="C545" s="2" t="s">
        <v>1831</v>
      </c>
      <c r="D545" s="2" t="s">
        <v>1121</v>
      </c>
      <c r="E545" s="2" t="s">
        <v>2389</v>
      </c>
      <c r="F545" s="2" t="s">
        <v>2401</v>
      </c>
      <c r="G545" s="2" t="s">
        <v>3240</v>
      </c>
      <c r="H545" s="2" t="s">
        <v>2152</v>
      </c>
      <c r="I545" s="3" t="b">
        <f>OR(E545 = "calculated", E545 = "lookup", E545 = "aggregation")</f>
        <v>1</v>
      </c>
      <c r="J545" s="3" t="b">
        <f>H545 &lt;&gt; ""</f>
        <v>1</v>
      </c>
      <c r="K545" s="3">
        <f>COUNTIFS(FieldDisagreements!D2:D999, A545)</f>
        <v>0</v>
      </c>
      <c r="L545" s="3" t="b">
        <f>K545 &gt; 0</f>
        <v>0</v>
      </c>
      <c r="M545" s="2" t="s">
        <v>2387</v>
      </c>
    </row>
    <row r="546">
      <c r="A546" s="2" t="s">
        <v>3241</v>
      </c>
      <c r="B546" s="3" t="str">
        <f>C546 &amp; "." &amp; D546</f>
        <v>KnowledgeFragments.PredatesCurrentRoleHolder</v>
      </c>
      <c r="C546" s="2" t="s">
        <v>1831</v>
      </c>
      <c r="D546" s="2" t="s">
        <v>1122</v>
      </c>
      <c r="E546" s="2" t="s">
        <v>2389</v>
      </c>
      <c r="F546" s="2" t="s">
        <v>2401</v>
      </c>
      <c r="G546" s="2" t="s">
        <v>3242</v>
      </c>
      <c r="H546" s="2" t="s">
        <v>2152</v>
      </c>
      <c r="I546" s="3" t="b">
        <f>OR(E546 = "calculated", E546 = "lookup", E546 = "aggregation")</f>
        <v>1</v>
      </c>
      <c r="J546" s="3" t="b">
        <f>H546 &lt;&gt; ""</f>
        <v>1</v>
      </c>
      <c r="K546" s="3">
        <f>COUNTIFS(FieldDisagreements!D2:D999, A546)</f>
        <v>0</v>
      </c>
      <c r="L546" s="3" t="b">
        <f>K546 &gt; 0</f>
        <v>0</v>
      </c>
      <c r="M546" s="2" t="s">
        <v>2387</v>
      </c>
    </row>
    <row r="547">
      <c r="A547" s="2" t="s">
        <v>3243</v>
      </c>
      <c r="B547" s="3" t="str">
        <f>C547 &amp; "." &amp; D547</f>
        <v>KnowledgeFragments.OwnerRoleAssignmentValidFrom</v>
      </c>
      <c r="C547" s="2" t="s">
        <v>1831</v>
      </c>
      <c r="D547" s="2" t="s">
        <v>1123</v>
      </c>
      <c r="E547" s="2" t="s">
        <v>2478</v>
      </c>
      <c r="F547" s="2" t="s">
        <v>2397</v>
      </c>
      <c r="G547" s="2" t="s">
        <v>3244</v>
      </c>
      <c r="H547" s="2" t="s">
        <v>2152</v>
      </c>
      <c r="I547" s="3" t="b">
        <f>OR(E547 = "calculated", E547 = "lookup", E547 = "aggregation")</f>
        <v>1</v>
      </c>
      <c r="J547" s="3" t="b">
        <f>H547 &lt;&gt; ""</f>
        <v>1</v>
      </c>
      <c r="K547" s="3">
        <f>COUNTIFS(FieldDisagreements!D2:D999, A547)</f>
        <v>1</v>
      </c>
      <c r="L547" s="3" t="b">
        <f>K547 &gt; 0</f>
        <v>1</v>
      </c>
      <c r="M547" s="2" t="s">
        <v>2387</v>
      </c>
    </row>
    <row r="548">
      <c r="A548" s="2" t="s">
        <v>3245</v>
      </c>
      <c r="B548" s="3" t="str">
        <f>C548 &amp; "." &amp; D548</f>
        <v>KnowledgeFragments.LastReviewedAt</v>
      </c>
      <c r="C548" s="2" t="s">
        <v>1831</v>
      </c>
      <c r="D548" s="2" t="s">
        <v>1124</v>
      </c>
      <c r="E548" s="2" t="s">
        <v>2385</v>
      </c>
      <c r="F548" s="2" t="s">
        <v>2397</v>
      </c>
      <c r="G548" s="2"/>
      <c r="H548" s="2"/>
      <c r="I548" s="3" t="b">
        <f>OR(E548 = "calculated", E548 = "lookup", E548 = "aggregation")</f>
        <v>0</v>
      </c>
      <c r="J548" s="3" t="b">
        <f>H548 &lt;&gt; ""</f>
        <v>0</v>
      </c>
      <c r="K548" s="3">
        <f>COUNTIFS(FieldDisagreements!D2:D999, A548)</f>
        <v>0</v>
      </c>
      <c r="L548" s="3" t="b">
        <f>K548 &gt; 0</f>
        <v>0</v>
      </c>
      <c r="M548" s="2" t="s">
        <v>2387</v>
      </c>
    </row>
    <row r="549">
      <c r="A549" s="2" t="s">
        <v>3246</v>
      </c>
      <c r="B549" s="3" t="str">
        <f>C549 &amp; "." &amp; D549</f>
        <v>KnowledgeFragments.FragilitySignalCount</v>
      </c>
      <c r="C549" s="2" t="s">
        <v>1831</v>
      </c>
      <c r="D549" s="2" t="s">
        <v>1125</v>
      </c>
      <c r="E549" s="2" t="s">
        <v>2389</v>
      </c>
      <c r="F549" s="2" t="s">
        <v>2439</v>
      </c>
      <c r="G549" s="2" t="s">
        <v>3247</v>
      </c>
      <c r="H549" s="2" t="s">
        <v>2176</v>
      </c>
      <c r="I549" s="3" t="b">
        <f>OR(E549 = "calculated", E549 = "lookup", E549 = "aggregation")</f>
        <v>1</v>
      </c>
      <c r="J549" s="3" t="b">
        <f>H549 &lt;&gt; ""</f>
        <v>1</v>
      </c>
      <c r="K549" s="3">
        <f>COUNTIFS(FieldDisagreements!D2:D999, A549)</f>
        <v>2</v>
      </c>
      <c r="L549" s="3" t="b">
        <f>K549 &gt; 0</f>
        <v>1</v>
      </c>
      <c r="M549" s="2" t="s">
        <v>2387</v>
      </c>
    </row>
    <row r="550">
      <c r="A550" s="2" t="s">
        <v>3248</v>
      </c>
      <c r="B550" s="3" t="str">
        <f>C550 &amp; "." &amp; D550</f>
        <v>KnowledgeFragments.IsCompoundFragile</v>
      </c>
      <c r="C550" s="2" t="s">
        <v>1831</v>
      </c>
      <c r="D550" s="2" t="s">
        <v>1126</v>
      </c>
      <c r="E550" s="2" t="s">
        <v>2389</v>
      </c>
      <c r="F550" s="2" t="s">
        <v>2401</v>
      </c>
      <c r="G550" s="2" t="s">
        <v>3249</v>
      </c>
      <c r="H550" s="2" t="s">
        <v>2176</v>
      </c>
      <c r="I550" s="3" t="b">
        <f>OR(E550 = "calculated", E550 = "lookup", E550 = "aggregation")</f>
        <v>1</v>
      </c>
      <c r="J550" s="3" t="b">
        <f>H550 &lt;&gt; ""</f>
        <v>1</v>
      </c>
      <c r="K550" s="3">
        <f>COUNTIFS(FieldDisagreements!D2:D999, A550)</f>
        <v>1</v>
      </c>
      <c r="L550" s="3" t="b">
        <f>K550 &gt; 0</f>
        <v>1</v>
      </c>
      <c r="M550" s="2" t="s">
        <v>2387</v>
      </c>
    </row>
    <row r="551">
      <c r="A551" s="2" t="s">
        <v>3250</v>
      </c>
      <c r="B551" s="3" t="str">
        <f>C551 &amp; "." &amp; D551</f>
        <v>KnowledgeFragments.IsSinglePointOfFailure</v>
      </c>
      <c r="C551" s="2" t="s">
        <v>1831</v>
      </c>
      <c r="D551" s="2" t="s">
        <v>1127</v>
      </c>
      <c r="E551" s="2" t="s">
        <v>2389</v>
      </c>
      <c r="F551" s="2" t="s">
        <v>2401</v>
      </c>
      <c r="G551" s="2" t="s">
        <v>3251</v>
      </c>
      <c r="H551" s="2" t="s">
        <v>2176</v>
      </c>
      <c r="I551" s="3" t="b">
        <f>OR(E551 = "calculated", E551 = "lookup", E551 = "aggregation")</f>
        <v>1</v>
      </c>
      <c r="J551" s="3" t="b">
        <f>H551 &lt;&gt; ""</f>
        <v>1</v>
      </c>
      <c r="K551" s="3">
        <f>COUNTIFS(FieldDisagreements!D2:D999, A551)</f>
        <v>0</v>
      </c>
      <c r="L551" s="3" t="b">
        <f>K551 &gt; 0</f>
        <v>0</v>
      </c>
      <c r="M551" s="2" t="s">
        <v>2387</v>
      </c>
    </row>
    <row r="552">
      <c r="A552" s="2" t="s">
        <v>3252</v>
      </c>
      <c r="B552" s="3" t="str">
        <f>C552 &amp; "." &amp; D552</f>
        <v>KnowledgeFragments.IsExpiringSinglePointOfFailure</v>
      </c>
      <c r="C552" s="2" t="s">
        <v>1831</v>
      </c>
      <c r="D552" s="2" t="s">
        <v>1128</v>
      </c>
      <c r="E552" s="2" t="s">
        <v>2389</v>
      </c>
      <c r="F552" s="2" t="s">
        <v>2401</v>
      </c>
      <c r="G552" s="2" t="s">
        <v>3253</v>
      </c>
      <c r="H552" s="2" t="s">
        <v>2176</v>
      </c>
      <c r="I552" s="3" t="b">
        <f>OR(E552 = "calculated", E552 = "lookup", E552 = "aggregation")</f>
        <v>1</v>
      </c>
      <c r="J552" s="3" t="b">
        <f>H552 &lt;&gt; ""</f>
        <v>1</v>
      </c>
      <c r="K552" s="3">
        <f>COUNTIFS(FieldDisagreements!D2:D999, A552)</f>
        <v>0</v>
      </c>
      <c r="L552" s="3" t="b">
        <f>K552 &gt; 0</f>
        <v>0</v>
      </c>
      <c r="M552" s="2" t="s">
        <v>2387</v>
      </c>
    </row>
    <row r="553">
      <c r="A553" s="2" t="s">
        <v>3254</v>
      </c>
      <c r="B553" s="3" t="str">
        <f>C553 &amp; "." &amp; D553</f>
        <v>KnowledgeFragments.CompoundFragileVersionKey</v>
      </c>
      <c r="C553" s="2" t="s">
        <v>1831</v>
      </c>
      <c r="D553" s="2" t="s">
        <v>1129</v>
      </c>
      <c r="E553" s="2" t="s">
        <v>2389</v>
      </c>
      <c r="F553" s="2" t="s">
        <v>2386</v>
      </c>
      <c r="G553" s="2" t="s">
        <v>3255</v>
      </c>
      <c r="H553" s="2" t="s">
        <v>2176</v>
      </c>
      <c r="I553" s="3" t="b">
        <f>OR(E553 = "calculated", E553 = "lookup", E553 = "aggregation")</f>
        <v>1</v>
      </c>
      <c r="J553" s="3" t="b">
        <f>H553 &lt;&gt; ""</f>
        <v>1</v>
      </c>
      <c r="K553" s="3">
        <f>COUNTIFS(FieldDisagreements!D2:D999, A553)</f>
        <v>1</v>
      </c>
      <c r="L553" s="3" t="b">
        <f>K553 &gt; 0</f>
        <v>1</v>
      </c>
      <c r="M553" s="2" t="s">
        <v>2387</v>
      </c>
    </row>
    <row r="554">
      <c r="A554" s="2" t="s">
        <v>3256</v>
      </c>
      <c r="B554" s="3" t="str">
        <f>C554 &amp; "." &amp; D554</f>
        <v>KnowledgeFragments.ValidFragmentSessionKey</v>
      </c>
      <c r="C554" s="2" t="s">
        <v>1831</v>
      </c>
      <c r="D554" s="2" t="s">
        <v>1130</v>
      </c>
      <c r="E554" s="2" t="s">
        <v>2389</v>
      </c>
      <c r="F554" s="2" t="s">
        <v>2386</v>
      </c>
      <c r="G554" s="2" t="s">
        <v>3257</v>
      </c>
      <c r="H554" s="2" t="s">
        <v>2184</v>
      </c>
      <c r="I554" s="3" t="b">
        <f>OR(E554 = "calculated", E554 = "lookup", E554 = "aggregation")</f>
        <v>1</v>
      </c>
      <c r="J554" s="3" t="b">
        <f>H554 &lt;&gt; ""</f>
        <v>1</v>
      </c>
      <c r="K554" s="3">
        <f>COUNTIFS(FieldDisagreements!D2:D999, A554)</f>
        <v>0</v>
      </c>
      <c r="L554" s="3" t="b">
        <f>K554 &gt; 0</f>
        <v>0</v>
      </c>
      <c r="M554" s="2" t="s">
        <v>2387</v>
      </c>
    </row>
    <row r="555">
      <c r="A555" s="2" t="s">
        <v>3258</v>
      </c>
      <c r="B555" s="3" t="str">
        <f>C555 &amp; "." &amp; D555</f>
        <v>KnowledgeFragments.ConsumingStepIsSoftwareAssigned</v>
      </c>
      <c r="C555" s="2" t="s">
        <v>1831</v>
      </c>
      <c r="D555" s="2" t="s">
        <v>1131</v>
      </c>
      <c r="E555" s="2" t="s">
        <v>2478</v>
      </c>
      <c r="F555" s="2" t="s">
        <v>2401</v>
      </c>
      <c r="G555" s="2" t="s">
        <v>3259</v>
      </c>
      <c r="H555" s="2" t="s">
        <v>2188</v>
      </c>
      <c r="I555" s="3" t="b">
        <f>OR(E555 = "calculated", E555 = "lookup", E555 = "aggregation")</f>
        <v>1</v>
      </c>
      <c r="J555" s="3" t="b">
        <f>H555 &lt;&gt; ""</f>
        <v>1</v>
      </c>
      <c r="K555" s="3">
        <f>COUNTIFS(FieldDisagreements!D2:D999, A555)</f>
        <v>0</v>
      </c>
      <c r="L555" s="3" t="b">
        <f>K555 &gt; 0</f>
        <v>0</v>
      </c>
      <c r="M555" s="2" t="s">
        <v>2387</v>
      </c>
    </row>
    <row r="556">
      <c r="A556" s="2" t="s">
        <v>3260</v>
      </c>
      <c r="B556" s="3" t="str">
        <f>C556 &amp; "." &amp; D556</f>
        <v>KnowledgeFragments.ConsumingStepAgentKind</v>
      </c>
      <c r="C556" s="2" t="s">
        <v>1831</v>
      </c>
      <c r="D556" s="2" t="s">
        <v>1132</v>
      </c>
      <c r="E556" s="2" t="s">
        <v>2478</v>
      </c>
      <c r="F556" s="2" t="s">
        <v>2386</v>
      </c>
      <c r="G556" s="2" t="s">
        <v>3261</v>
      </c>
      <c r="H556" s="2" t="s">
        <v>2188</v>
      </c>
      <c r="I556" s="3" t="b">
        <f>OR(E556 = "calculated", E556 = "lookup", E556 = "aggregation")</f>
        <v>1</v>
      </c>
      <c r="J556" s="3" t="b">
        <f>H556 &lt;&gt; ""</f>
        <v>1</v>
      </c>
      <c r="K556" s="3">
        <f>COUNTIFS(FieldDisagreements!D2:D999, A556)</f>
        <v>0</v>
      </c>
      <c r="L556" s="3" t="b">
        <f>K556 &gt; 0</f>
        <v>0</v>
      </c>
      <c r="M556" s="2" t="s">
        <v>2387</v>
      </c>
    </row>
    <row r="557">
      <c r="A557" s="2" t="s">
        <v>3262</v>
      </c>
      <c r="B557" s="3" t="str">
        <f>C557 &amp; "." &amp; D557</f>
        <v>KnowledgeFragments.IsUnapprovedAndMachineConsumed</v>
      </c>
      <c r="C557" s="2" t="s">
        <v>1831</v>
      </c>
      <c r="D557" s="2" t="s">
        <v>1133</v>
      </c>
      <c r="E557" s="2" t="s">
        <v>2389</v>
      </c>
      <c r="F557" s="2" t="s">
        <v>2401</v>
      </c>
      <c r="G557" s="2" t="s">
        <v>3263</v>
      </c>
      <c r="H557" s="2" t="s">
        <v>2188</v>
      </c>
      <c r="I557" s="3" t="b">
        <f>OR(E557 = "calculated", E557 = "lookup", E557 = "aggregation")</f>
        <v>1</v>
      </c>
      <c r="J557" s="3" t="b">
        <f>H557 &lt;&gt; ""</f>
        <v>1</v>
      </c>
      <c r="K557" s="3">
        <f>COUNTIFS(FieldDisagreements!D2:D999, A557)</f>
        <v>0</v>
      </c>
      <c r="L557" s="3" t="b">
        <f>K557 &gt; 0</f>
        <v>0</v>
      </c>
      <c r="M557" s="2" t="s">
        <v>2387</v>
      </c>
    </row>
    <row r="558">
      <c r="A558" s="2" t="s">
        <v>3264</v>
      </c>
      <c r="B558" s="3" t="str">
        <f>C558 &amp; "." &amp; D558</f>
        <v>KnowledgeFragments.IsUnapprovedAndHumanConsumed</v>
      </c>
      <c r="C558" s="2" t="s">
        <v>1831</v>
      </c>
      <c r="D558" s="2" t="s">
        <v>1134</v>
      </c>
      <c r="E558" s="2" t="s">
        <v>2389</v>
      </c>
      <c r="F558" s="2" t="s">
        <v>2401</v>
      </c>
      <c r="G558" s="2" t="s">
        <v>3265</v>
      </c>
      <c r="H558" s="2" t="s">
        <v>2188</v>
      </c>
      <c r="I558" s="3" t="b">
        <f>OR(E558 = "calculated", E558 = "lookup", E558 = "aggregation")</f>
        <v>1</v>
      </c>
      <c r="J558" s="3" t="b">
        <f>H558 &lt;&gt; ""</f>
        <v>1</v>
      </c>
      <c r="K558" s="3">
        <f>COUNTIFS(FieldDisagreements!D2:D999, A558)</f>
        <v>0</v>
      </c>
      <c r="L558" s="3" t="b">
        <f>K558 &gt; 0</f>
        <v>0</v>
      </c>
      <c r="M558" s="2" t="s">
        <v>2387</v>
      </c>
    </row>
    <row r="559">
      <c r="A559" s="2" t="s">
        <v>3266</v>
      </c>
      <c r="B559" s="3" t="str">
        <f>C559 &amp; "." &amp; D559</f>
        <v>KnowledgeFragments.MachineConsumedUnapprovedVersionKey</v>
      </c>
      <c r="C559" s="2" t="s">
        <v>1831</v>
      </c>
      <c r="D559" s="2" t="s">
        <v>1135</v>
      </c>
      <c r="E559" s="2" t="s">
        <v>2389</v>
      </c>
      <c r="F559" s="2" t="s">
        <v>2386</v>
      </c>
      <c r="G559" s="2" t="s">
        <v>3267</v>
      </c>
      <c r="H559" s="2" t="s">
        <v>2188</v>
      </c>
      <c r="I559" s="3" t="b">
        <f>OR(E559 = "calculated", E559 = "lookup", E559 = "aggregation")</f>
        <v>1</v>
      </c>
      <c r="J559" s="3" t="b">
        <f>H559 &lt;&gt; ""</f>
        <v>1</v>
      </c>
      <c r="K559" s="3">
        <f>COUNTIFS(FieldDisagreements!D2:D999, A559)</f>
        <v>0</v>
      </c>
      <c r="L559" s="3" t="b">
        <f>K559 &gt; 0</f>
        <v>0</v>
      </c>
      <c r="M559" s="2" t="s">
        <v>2387</v>
      </c>
    </row>
    <row r="560">
      <c r="A560" s="2" t="s">
        <v>3268</v>
      </c>
      <c r="B560" s="3" t="str">
        <f>C560 &amp; "." &amp; D560</f>
        <v>KnowledgeFragments.HasReviewRecord</v>
      </c>
      <c r="C560" s="2" t="s">
        <v>1831</v>
      </c>
      <c r="D560" s="2" t="s">
        <v>1136</v>
      </c>
      <c r="E560" s="2" t="s">
        <v>2389</v>
      </c>
      <c r="F560" s="2" t="s">
        <v>2401</v>
      </c>
      <c r="G560" s="2" t="s">
        <v>3269</v>
      </c>
      <c r="H560" s="2" t="s">
        <v>2192</v>
      </c>
      <c r="I560" s="3" t="b">
        <f>OR(E560 = "calculated", E560 = "lookup", E560 = "aggregation")</f>
        <v>1</v>
      </c>
      <c r="J560" s="3" t="b">
        <f>H560 &lt;&gt; ""</f>
        <v>1</v>
      </c>
      <c r="K560" s="3">
        <f>COUNTIFS(FieldDisagreements!D2:D999, A560)</f>
        <v>0</v>
      </c>
      <c r="L560" s="3" t="b">
        <f>K560 &gt; 0</f>
        <v>0</v>
      </c>
      <c r="M560" s="2" t="s">
        <v>2387</v>
      </c>
    </row>
    <row r="561">
      <c r="A561" s="2" t="s">
        <v>3270</v>
      </c>
      <c r="B561" s="3" t="str">
        <f>C561 &amp; "." &amp; D561</f>
        <v>KnowledgeFragments.DaysSinceActualReview</v>
      </c>
      <c r="C561" s="2" t="s">
        <v>1831</v>
      </c>
      <c r="D561" s="2" t="s">
        <v>1137</v>
      </c>
      <c r="E561" s="2" t="s">
        <v>2389</v>
      </c>
      <c r="F561" s="2" t="s">
        <v>2439</v>
      </c>
      <c r="G561" s="2" t="s">
        <v>3271</v>
      </c>
      <c r="H561" s="2" t="s">
        <v>2192</v>
      </c>
      <c r="I561" s="3" t="b">
        <f>OR(E561 = "calculated", E561 = "lookup", E561 = "aggregation")</f>
        <v>1</v>
      </c>
      <c r="J561" s="3" t="b">
        <f>H561 &lt;&gt; ""</f>
        <v>1</v>
      </c>
      <c r="K561" s="3">
        <f>COUNTIFS(FieldDisagreements!D2:D999, A561)</f>
        <v>7</v>
      </c>
      <c r="L561" s="3" t="b">
        <f>K561 &gt; 0</f>
        <v>1</v>
      </c>
      <c r="M561" s="2" t="s">
        <v>2387</v>
      </c>
    </row>
    <row r="562">
      <c r="A562" s="2" t="s">
        <v>3272</v>
      </c>
      <c r="B562" s="3" t="str">
        <f>C562 &amp; "." &amp; D562</f>
        <v>KnowledgeFragments.IsUnreviewedSinceAuthoring</v>
      </c>
      <c r="C562" s="2" t="s">
        <v>1831</v>
      </c>
      <c r="D562" s="2" t="s">
        <v>1138</v>
      </c>
      <c r="E562" s="2" t="s">
        <v>2389</v>
      </c>
      <c r="F562" s="2" t="s">
        <v>2401</v>
      </c>
      <c r="G562" s="2" t="s">
        <v>3273</v>
      </c>
      <c r="H562" s="2" t="s">
        <v>2192</v>
      </c>
      <c r="I562" s="3" t="b">
        <f>OR(E562 = "calculated", E562 = "lookup", E562 = "aggregation")</f>
        <v>1</v>
      </c>
      <c r="J562" s="3" t="b">
        <f>H562 &lt;&gt; ""</f>
        <v>1</v>
      </c>
      <c r="K562" s="3">
        <f>COUNTIFS(FieldDisagreements!D2:D999, A562)</f>
        <v>0</v>
      </c>
      <c r="L562" s="3" t="b">
        <f>K562 &gt; 0</f>
        <v>0</v>
      </c>
      <c r="M562" s="2" t="s">
        <v>2387</v>
      </c>
    </row>
    <row r="563">
      <c r="A563" s="2" t="s">
        <v>3274</v>
      </c>
      <c r="B563" s="3" t="str">
        <f>C563 &amp; "." &amp; D563</f>
        <v>KnowledgeFragments.IsGenuinelyOverdue</v>
      </c>
      <c r="C563" s="2" t="s">
        <v>1831</v>
      </c>
      <c r="D563" s="2" t="s">
        <v>1139</v>
      </c>
      <c r="E563" s="2" t="s">
        <v>2389</v>
      </c>
      <c r="F563" s="2" t="s">
        <v>2401</v>
      </c>
      <c r="G563" s="2" t="s">
        <v>3275</v>
      </c>
      <c r="H563" s="2" t="s">
        <v>2192</v>
      </c>
      <c r="I563" s="3" t="b">
        <f>OR(E563 = "calculated", E563 = "lookup", E563 = "aggregation")</f>
        <v>1</v>
      </c>
      <c r="J563" s="3" t="b">
        <f>H563 &lt;&gt; ""</f>
        <v>1</v>
      </c>
      <c r="K563" s="3">
        <f>COUNTIFS(FieldDisagreements!D2:D999, A563)</f>
        <v>0</v>
      </c>
      <c r="L563" s="3" t="b">
        <f>K563 &gt; 0</f>
        <v>0</v>
      </c>
      <c r="M563" s="2" t="s">
        <v>2387</v>
      </c>
    </row>
    <row r="564">
      <c r="A564" s="2" t="s">
        <v>3276</v>
      </c>
      <c r="B564" s="3" t="str">
        <f>C564 &amp; "." &amp; D564</f>
        <v>KnowledgeFragments.ReviewRecencyIsInferred</v>
      </c>
      <c r="C564" s="2" t="s">
        <v>1831</v>
      </c>
      <c r="D564" s="2" t="s">
        <v>1140</v>
      </c>
      <c r="E564" s="2" t="s">
        <v>2389</v>
      </c>
      <c r="F564" s="2" t="s">
        <v>2401</v>
      </c>
      <c r="G564" s="2" t="s">
        <v>3277</v>
      </c>
      <c r="H564" s="2" t="s">
        <v>2192</v>
      </c>
      <c r="I564" s="3" t="b">
        <f>OR(E564 = "calculated", E564 = "lookup", E564 = "aggregation")</f>
        <v>1</v>
      </c>
      <c r="J564" s="3" t="b">
        <f>H564 &lt;&gt; ""</f>
        <v>1</v>
      </c>
      <c r="K564" s="3">
        <f>COUNTIFS(FieldDisagreements!D2:D999, A564)</f>
        <v>0</v>
      </c>
      <c r="L564" s="3" t="b">
        <f>K564 &gt; 0</f>
        <v>0</v>
      </c>
      <c r="M564" s="2" t="s">
        <v>2387</v>
      </c>
    </row>
    <row r="565">
      <c r="A565" s="2" t="s">
        <v>3278</v>
      </c>
      <c r="B565" s="3" t="str">
        <f>C565 &amp; "." &amp; D565</f>
        <v>KnowledgeFragments.InferenceDisagreesWithRecord</v>
      </c>
      <c r="C565" s="2" t="s">
        <v>1831</v>
      </c>
      <c r="D565" s="2" t="s">
        <v>1141</v>
      </c>
      <c r="E565" s="2" t="s">
        <v>2389</v>
      </c>
      <c r="F565" s="2" t="s">
        <v>2401</v>
      </c>
      <c r="G565" s="2" t="s">
        <v>3279</v>
      </c>
      <c r="H565" s="2" t="s">
        <v>2192</v>
      </c>
      <c r="I565" s="3" t="b">
        <f>OR(E565 = "calculated", E565 = "lookup", E565 = "aggregation")</f>
        <v>1</v>
      </c>
      <c r="J565" s="3" t="b">
        <f>H565 &lt;&gt; ""</f>
        <v>1</v>
      </c>
      <c r="K565" s="3">
        <f>COUNTIFS(FieldDisagreements!D2:D999, A565)</f>
        <v>0</v>
      </c>
      <c r="L565" s="3" t="b">
        <f>K565 &gt; 0</f>
        <v>0</v>
      </c>
      <c r="M565" s="2" t="s">
        <v>2387</v>
      </c>
    </row>
    <row r="566">
      <c r="A566" s="2" t="s">
        <v>3280</v>
      </c>
      <c r="B566" s="3" t="str">
        <f>C566 &amp; "." &amp; D566</f>
        <v>KnowledgeFragments.GenuinelyOverdueVersionKey</v>
      </c>
      <c r="C566" s="2" t="s">
        <v>1831</v>
      </c>
      <c r="D566" s="2" t="s">
        <v>1142</v>
      </c>
      <c r="E566" s="2" t="s">
        <v>2389</v>
      </c>
      <c r="F566" s="2" t="s">
        <v>2386</v>
      </c>
      <c r="G566" s="2" t="s">
        <v>3281</v>
      </c>
      <c r="H566" s="2" t="s">
        <v>2192</v>
      </c>
      <c r="I566" s="3" t="b">
        <f>OR(E566 = "calculated", E566 = "lookup", E566 = "aggregation")</f>
        <v>1</v>
      </c>
      <c r="J566" s="3" t="b">
        <f>H566 &lt;&gt; ""</f>
        <v>1</v>
      </c>
      <c r="K566" s="3">
        <f>COUNTIFS(FieldDisagreements!D2:D999, A566)</f>
        <v>0</v>
      </c>
      <c r="L566" s="3" t="b">
        <f>K566 &gt; 0</f>
        <v>0</v>
      </c>
      <c r="M566" s="2" t="s">
        <v>2387</v>
      </c>
    </row>
    <row r="567">
      <c r="A567" s="2" t="s">
        <v>3282</v>
      </c>
      <c r="B567" s="3" t="str">
        <f>C567 &amp; "." &amp; D567</f>
        <v>KnowledgeFragments.RatifiedBoundaryCount</v>
      </c>
      <c r="C567" s="2" t="s">
        <v>1831</v>
      </c>
      <c r="D567" s="2" t="s">
        <v>1143</v>
      </c>
      <c r="E567" s="2" t="s">
        <v>2438</v>
      </c>
      <c r="F567" s="2" t="s">
        <v>2444</v>
      </c>
      <c r="G567" s="2" t="s">
        <v>3283</v>
      </c>
      <c r="H567" s="2" t="s">
        <v>2204</v>
      </c>
      <c r="I567" s="3" t="b">
        <f>OR(E567 = "calculated", E567 = "lookup", E567 = "aggregation")</f>
        <v>1</v>
      </c>
      <c r="J567" s="3" t="b">
        <f>H567 &lt;&gt; ""</f>
        <v>1</v>
      </c>
      <c r="K567" s="3">
        <f>COUNTIFS(FieldDisagreements!D2:D999, A567)</f>
        <v>0</v>
      </c>
      <c r="L567" s="3" t="b">
        <f>K567 &gt; 0</f>
        <v>0</v>
      </c>
      <c r="M567" s="2" t="s">
        <v>2387</v>
      </c>
    </row>
    <row r="568">
      <c r="A568" s="2" t="s">
        <v>3284</v>
      </c>
      <c r="B568" s="3" t="str">
        <f>C568 &amp; "." &amp; D568</f>
        <v>KnowledgeFragments.RelianceSurfaceCount</v>
      </c>
      <c r="C568" s="2" t="s">
        <v>1831</v>
      </c>
      <c r="D568" s="2" t="s">
        <v>1144</v>
      </c>
      <c r="E568" s="2" t="s">
        <v>2389</v>
      </c>
      <c r="F568" s="2" t="s">
        <v>2439</v>
      </c>
      <c r="G568" s="2" t="s">
        <v>3285</v>
      </c>
      <c r="H568" s="2" t="s">
        <v>2204</v>
      </c>
      <c r="I568" s="3" t="b">
        <f>OR(E568 = "calculated", E568 = "lookup", E568 = "aggregation")</f>
        <v>1</v>
      </c>
      <c r="J568" s="3" t="b">
        <f>H568 &lt;&gt; ""</f>
        <v>1</v>
      </c>
      <c r="K568" s="3">
        <f>COUNTIFS(FieldDisagreements!D2:D999, A568)</f>
        <v>1</v>
      </c>
      <c r="L568" s="3" t="b">
        <f>K568 &gt; 0</f>
        <v>1</v>
      </c>
      <c r="M568" s="2" t="s">
        <v>2387</v>
      </c>
    </row>
    <row r="569">
      <c r="A569" s="2" t="s">
        <v>3286</v>
      </c>
      <c r="B569" s="3" t="str">
        <f>C569 &amp; "." &amp; D569</f>
        <v>KnowledgeFragments.DaysAwaitingMyApproval</v>
      </c>
      <c r="C569" s="2" t="s">
        <v>1831</v>
      </c>
      <c r="D569" s="2" t="s">
        <v>1145</v>
      </c>
      <c r="E569" s="2" t="s">
        <v>2389</v>
      </c>
      <c r="F569" s="2" t="s">
        <v>2439</v>
      </c>
      <c r="G569" s="2" t="s">
        <v>3287</v>
      </c>
      <c r="H569" s="2" t="s">
        <v>2204</v>
      </c>
      <c r="I569" s="3" t="b">
        <f>OR(E569 = "calculated", E569 = "lookup", E569 = "aggregation")</f>
        <v>1</v>
      </c>
      <c r="J569" s="3" t="b">
        <f>H569 &lt;&gt; ""</f>
        <v>1</v>
      </c>
      <c r="K569" s="3">
        <f>COUNTIFS(FieldDisagreements!D2:D999, A569)</f>
        <v>7</v>
      </c>
      <c r="L569" s="3" t="b">
        <f>K569 &gt; 0</f>
        <v>1</v>
      </c>
      <c r="M569" s="2" t="s">
        <v>2387</v>
      </c>
    </row>
    <row r="570">
      <c r="A570" s="2" t="s">
        <v>3288</v>
      </c>
      <c r="B570" s="3" t="str">
        <f>C570 &amp; "." &amp; D570</f>
        <v>KnowledgeFragments.IsHighBlastRadiusUnapproved</v>
      </c>
      <c r="C570" s="2" t="s">
        <v>1831</v>
      </c>
      <c r="D570" s="2" t="s">
        <v>1146</v>
      </c>
      <c r="E570" s="2" t="s">
        <v>2389</v>
      </c>
      <c r="F570" s="2" t="s">
        <v>2401</v>
      </c>
      <c r="G570" s="2" t="s">
        <v>3289</v>
      </c>
      <c r="H570" s="2" t="s">
        <v>2204</v>
      </c>
      <c r="I570" s="3" t="b">
        <f>OR(E570 = "calculated", E570 = "lookup", E570 = "aggregation")</f>
        <v>1</v>
      </c>
      <c r="J570" s="3" t="b">
        <f>H570 &lt;&gt; ""</f>
        <v>1</v>
      </c>
      <c r="K570" s="3">
        <f>COUNTIFS(FieldDisagreements!D2:D999, A570)</f>
        <v>0</v>
      </c>
      <c r="L570" s="3" t="b">
        <f>K570 &gt; 0</f>
        <v>0</v>
      </c>
      <c r="M570" s="2" t="s">
        <v>2387</v>
      </c>
    </row>
    <row r="571">
      <c r="A571" s="2" t="s">
        <v>3290</v>
      </c>
      <c r="B571" s="3" t="str">
        <f>C571 &amp; "." &amp; D571</f>
        <v>KnowledgeFragments.IsLongUnapproved</v>
      </c>
      <c r="C571" s="2" t="s">
        <v>1831</v>
      </c>
      <c r="D571" s="2" t="s">
        <v>1147</v>
      </c>
      <c r="E571" s="2" t="s">
        <v>2389</v>
      </c>
      <c r="F571" s="2" t="s">
        <v>2401</v>
      </c>
      <c r="G571" s="2" t="s">
        <v>3291</v>
      </c>
      <c r="H571" s="2" t="s">
        <v>2204</v>
      </c>
      <c r="I571" s="3" t="b">
        <f>OR(E571 = "calculated", E571 = "lookup", E571 = "aggregation")</f>
        <v>1</v>
      </c>
      <c r="J571" s="3" t="b">
        <f>H571 &lt;&gt; ""</f>
        <v>1</v>
      </c>
      <c r="K571" s="3">
        <f>COUNTIFS(FieldDisagreements!D2:D999, A571)</f>
        <v>0</v>
      </c>
      <c r="L571" s="3" t="b">
        <f>K571 &gt; 0</f>
        <v>0</v>
      </c>
      <c r="M571" s="2" t="s">
        <v>2387</v>
      </c>
    </row>
    <row r="572">
      <c r="A572" s="2" t="s">
        <v>3292</v>
      </c>
      <c r="B572" s="3" t="str">
        <f>C572 &amp; "." &amp; D572</f>
        <v>KnowledgeFragments.UnapprovedLoadBearingVersionKey</v>
      </c>
      <c r="C572" s="2" t="s">
        <v>1831</v>
      </c>
      <c r="D572" s="2" t="s">
        <v>1148</v>
      </c>
      <c r="E572" s="2" t="s">
        <v>2389</v>
      </c>
      <c r="F572" s="2" t="s">
        <v>2386</v>
      </c>
      <c r="G572" s="2" t="s">
        <v>3293</v>
      </c>
      <c r="H572" s="2" t="s">
        <v>2204</v>
      </c>
      <c r="I572" s="3" t="b">
        <f>OR(E572 = "calculated", E572 = "lookup", E572 = "aggregation")</f>
        <v>1</v>
      </c>
      <c r="J572" s="3" t="b">
        <f>H572 &lt;&gt; ""</f>
        <v>1</v>
      </c>
      <c r="K572" s="3">
        <f>COUNTIFS(FieldDisagreements!D2:D999, A572)</f>
        <v>0</v>
      </c>
      <c r="L572" s="3" t="b">
        <f>K572 &gt; 0</f>
        <v>0</v>
      </c>
      <c r="M572" s="2" t="s">
        <v>2387</v>
      </c>
    </row>
    <row r="573">
      <c r="A573" s="2" t="s">
        <v>3294</v>
      </c>
      <c r="B573" s="3" t="str">
        <f>C573 &amp; "." &amp; D573</f>
        <v>KnowledgeFragments.OwnerRoleIsVacated</v>
      </c>
      <c r="C573" s="2" t="s">
        <v>1831</v>
      </c>
      <c r="D573" s="2" t="s">
        <v>1149</v>
      </c>
      <c r="E573" s="2" t="s">
        <v>2478</v>
      </c>
      <c r="F573" s="2" t="s">
        <v>2401</v>
      </c>
      <c r="G573" s="2" t="s">
        <v>3295</v>
      </c>
      <c r="H573" s="2" t="s">
        <v>2212</v>
      </c>
      <c r="I573" s="3" t="b">
        <f>OR(E573 = "calculated", E573 = "lookup", E573 = "aggregation")</f>
        <v>1</v>
      </c>
      <c r="J573" s="3" t="b">
        <f>H573 &lt;&gt; ""</f>
        <v>1</v>
      </c>
      <c r="K573" s="3">
        <f>COUNTIFS(FieldDisagreements!D2:D999, A573)</f>
        <v>0</v>
      </c>
      <c r="L573" s="3" t="b">
        <f>K573 &gt; 0</f>
        <v>0</v>
      </c>
      <c r="M573" s="2" t="s">
        <v>2387</v>
      </c>
    </row>
    <row r="574">
      <c r="A574" s="2" t="s">
        <v>3296</v>
      </c>
      <c r="B574" s="3" t="str">
        <f>C574 &amp; "." &amp; D574</f>
        <v>KnowledgeFragments.IsOrphanedByRole</v>
      </c>
      <c r="C574" s="2" t="s">
        <v>1831</v>
      </c>
      <c r="D574" s="2" t="s">
        <v>1150</v>
      </c>
      <c r="E574" s="2" t="s">
        <v>2389</v>
      </c>
      <c r="F574" s="2" t="s">
        <v>2401</v>
      </c>
      <c r="G574" s="2" t="s">
        <v>3297</v>
      </c>
      <c r="H574" s="2" t="s">
        <v>2212</v>
      </c>
      <c r="I574" s="3" t="b">
        <f>OR(E574 = "calculated", E574 = "lookup", E574 = "aggregation")</f>
        <v>1</v>
      </c>
      <c r="J574" s="3" t="b">
        <f>H574 &lt;&gt; ""</f>
        <v>1</v>
      </c>
      <c r="K574" s="3">
        <f>COUNTIFS(FieldDisagreements!D2:D999, A574)</f>
        <v>0</v>
      </c>
      <c r="L574" s="3" t="b">
        <f>K574 &gt; 0</f>
        <v>0</v>
      </c>
      <c r="M574" s="2" t="s">
        <v>2387</v>
      </c>
    </row>
    <row r="575">
      <c r="A575" s="2" t="s">
        <v>3298</v>
      </c>
      <c r="B575" s="3" t="str">
        <f>C575 &amp; "." &amp; D575</f>
        <v>KnowledgeFragments.ValidFragmentVersionKey</v>
      </c>
      <c r="C575" s="2" t="s">
        <v>1831</v>
      </c>
      <c r="D575" s="2" t="s">
        <v>1151</v>
      </c>
      <c r="E575" s="2" t="s">
        <v>2389</v>
      </c>
      <c r="F575" s="2" t="s">
        <v>2386</v>
      </c>
      <c r="G575" s="2" t="s">
        <v>3299</v>
      </c>
      <c r="H575" s="2" t="s">
        <v>2224</v>
      </c>
      <c r="I575" s="3" t="b">
        <f>OR(E575 = "calculated", E575 = "lookup", E575 = "aggregation")</f>
        <v>1</v>
      </c>
      <c r="J575" s="3" t="b">
        <f>H575 &lt;&gt; ""</f>
        <v>1</v>
      </c>
      <c r="K575" s="3">
        <f>COUNTIFS(FieldDisagreements!D2:D999, A575)</f>
        <v>0</v>
      </c>
      <c r="L575" s="3" t="b">
        <f>K575 &gt; 0</f>
        <v>0</v>
      </c>
      <c r="M575" s="2" t="s">
        <v>2387</v>
      </c>
    </row>
    <row r="576">
      <c r="A576" s="2" t="s">
        <v>3300</v>
      </c>
      <c r="B576" s="3" t="str">
        <f>C576 &amp; "." &amp; D576</f>
        <v>KnowledgeFragments.SemanticTypeIri</v>
      </c>
      <c r="C576" s="2" t="s">
        <v>1831</v>
      </c>
      <c r="D576" s="2" t="s">
        <v>94</v>
      </c>
      <c r="E576" s="2" t="s">
        <v>2385</v>
      </c>
      <c r="F576" s="2" t="s">
        <v>2386</v>
      </c>
      <c r="G576" s="2"/>
      <c r="H576" s="2"/>
      <c r="I576" s="3" t="b">
        <f>OR(E576 = "calculated", E576 = "lookup", E576 = "aggregation")</f>
        <v>0</v>
      </c>
      <c r="J576" s="3" t="b">
        <f>H576 &lt;&gt; ""</f>
        <v>0</v>
      </c>
      <c r="K576" s="3">
        <f>COUNTIFS(FieldDisagreements!D2:D999, A576)</f>
        <v>0</v>
      </c>
      <c r="L576" s="3" t="b">
        <f>K576 &gt; 0</f>
        <v>0</v>
      </c>
      <c r="M576" s="2" t="s">
        <v>2387</v>
      </c>
    </row>
    <row r="577">
      <c r="A577" s="2" t="s">
        <v>3301</v>
      </c>
      <c r="B577" s="3" t="str">
        <f>C577 &amp; "." &amp; D577</f>
        <v>KnowledgeGaps.KnowledgeGapId</v>
      </c>
      <c r="C577" s="2" t="s">
        <v>3302</v>
      </c>
      <c r="D577" s="2" t="s">
        <v>1174</v>
      </c>
      <c r="E577" s="2" t="s">
        <v>2385</v>
      </c>
      <c r="F577" s="2" t="s">
        <v>2386</v>
      </c>
      <c r="G577" s="2"/>
      <c r="H577" s="2"/>
      <c r="I577" s="3" t="b">
        <f>OR(E577 = "calculated", E577 = "lookup", E577 = "aggregation")</f>
        <v>0</v>
      </c>
      <c r="J577" s="3" t="b">
        <f>H577 &lt;&gt; ""</f>
        <v>0</v>
      </c>
      <c r="K577" s="3">
        <f>COUNTIFS(FieldDisagreements!D2:D999, A577)</f>
        <v>0</v>
      </c>
      <c r="L577" s="3" t="b">
        <f>K577 &gt; 0</f>
        <v>0</v>
      </c>
      <c r="M577" s="2" t="s">
        <v>2387</v>
      </c>
    </row>
    <row r="578">
      <c r="A578" s="2" t="s">
        <v>3303</v>
      </c>
      <c r="B578" s="3" t="str">
        <f>C578 &amp; "." &amp; D578</f>
        <v>KnowledgeGaps.Name</v>
      </c>
      <c r="C578" s="2" t="s">
        <v>3302</v>
      </c>
      <c r="D578" s="2" t="s">
        <v>1</v>
      </c>
      <c r="E578" s="2" t="s">
        <v>2389</v>
      </c>
      <c r="F578" s="2" t="s">
        <v>2386</v>
      </c>
      <c r="G578" s="2" t="s">
        <v>3304</v>
      </c>
      <c r="H578" s="2"/>
      <c r="I578" s="3" t="b">
        <f>OR(E578 = "calculated", E578 = "lookup", E578 = "aggregation")</f>
        <v>1</v>
      </c>
      <c r="J578" s="3" t="b">
        <f>H578 &lt;&gt; ""</f>
        <v>0</v>
      </c>
      <c r="K578" s="3">
        <f>COUNTIFS(FieldDisagreements!D2:D999, A578)</f>
        <v>0</v>
      </c>
      <c r="L578" s="3" t="b">
        <f>K578 &gt; 0</f>
        <v>0</v>
      </c>
      <c r="M578" s="2" t="s">
        <v>2387</v>
      </c>
    </row>
    <row r="579">
      <c r="A579" s="2" t="s">
        <v>3305</v>
      </c>
      <c r="B579" s="3" t="str">
        <f>C579 &amp; "." &amp; D579</f>
        <v>KnowledgeGaps.ProcedureVersion</v>
      </c>
      <c r="C579" s="2" t="s">
        <v>3302</v>
      </c>
      <c r="D579" s="2" t="s">
        <v>477</v>
      </c>
      <c r="E579" s="2" t="s">
        <v>2434</v>
      </c>
      <c r="F579" s="2" t="s">
        <v>2386</v>
      </c>
      <c r="G579" s="2"/>
      <c r="H579" s="2"/>
      <c r="I579" s="3" t="b">
        <f>OR(E579 = "calculated", E579 = "lookup", E579 = "aggregation")</f>
        <v>0</v>
      </c>
      <c r="J579" s="3" t="b">
        <f>H579 &lt;&gt; ""</f>
        <v>0</v>
      </c>
      <c r="K579" s="3">
        <f>COUNTIFS(FieldDisagreements!D2:D999, A579)</f>
        <v>0</v>
      </c>
      <c r="L579" s="3" t="b">
        <f>K579 &gt; 0</f>
        <v>0</v>
      </c>
      <c r="M579" s="2" t="s">
        <v>2387</v>
      </c>
    </row>
    <row r="580">
      <c r="A580" s="2" t="s">
        <v>3306</v>
      </c>
      <c r="B580" s="3" t="str">
        <f>C580 &amp; "." &amp; D580</f>
        <v>KnowledgeGaps.Step</v>
      </c>
      <c r="C580" s="2" t="s">
        <v>3302</v>
      </c>
      <c r="D580" s="2" t="s">
        <v>747</v>
      </c>
      <c r="E580" s="2" t="s">
        <v>2434</v>
      </c>
      <c r="F580" s="2" t="s">
        <v>2386</v>
      </c>
      <c r="G580" s="2"/>
      <c r="H580" s="2"/>
      <c r="I580" s="3" t="b">
        <f>OR(E580 = "calculated", E580 = "lookup", E580 = "aggregation")</f>
        <v>0</v>
      </c>
      <c r="J580" s="3" t="b">
        <f>H580 &lt;&gt; ""</f>
        <v>0</v>
      </c>
      <c r="K580" s="3">
        <f>COUNTIFS(FieldDisagreements!D2:D999, A580)</f>
        <v>0</v>
      </c>
      <c r="L580" s="3" t="b">
        <f>K580 &gt; 0</f>
        <v>0</v>
      </c>
      <c r="M580" s="2" t="s">
        <v>2387</v>
      </c>
    </row>
    <row r="581">
      <c r="A581" s="2" t="s">
        <v>3307</v>
      </c>
      <c r="B581" s="3" t="str">
        <f>C581 &amp; "." &amp; D581</f>
        <v>KnowledgeGaps.Statement</v>
      </c>
      <c r="C581" s="2" t="s">
        <v>3302</v>
      </c>
      <c r="D581" s="2" t="s">
        <v>782</v>
      </c>
      <c r="E581" s="2" t="s">
        <v>2385</v>
      </c>
      <c r="F581" s="2" t="s">
        <v>2386</v>
      </c>
      <c r="G581" s="2"/>
      <c r="H581" s="2"/>
      <c r="I581" s="3" t="b">
        <f>OR(E581 = "calculated", E581 = "lookup", E581 = "aggregation")</f>
        <v>0</v>
      </c>
      <c r="J581" s="3" t="b">
        <f>H581 &lt;&gt; ""</f>
        <v>0</v>
      </c>
      <c r="K581" s="3">
        <f>COUNTIFS(FieldDisagreements!D2:D999, A581)</f>
        <v>0</v>
      </c>
      <c r="L581" s="3" t="b">
        <f>K581 &gt; 0</f>
        <v>0</v>
      </c>
      <c r="M581" s="2" t="s">
        <v>2387</v>
      </c>
    </row>
    <row r="582">
      <c r="A582" s="2" t="s">
        <v>3308</v>
      </c>
      <c r="B582" s="3" t="str">
        <f>C582 &amp; "." &amp; D582</f>
        <v>KnowledgeGaps.Severity</v>
      </c>
      <c r="C582" s="2" t="s">
        <v>3302</v>
      </c>
      <c r="D582" s="2" t="s">
        <v>1175</v>
      </c>
      <c r="E582" s="2" t="s">
        <v>2385</v>
      </c>
      <c r="F582" s="2" t="s">
        <v>2386</v>
      </c>
      <c r="G582" s="2"/>
      <c r="H582" s="2"/>
      <c r="I582" s="3" t="b">
        <f>OR(E582 = "calculated", E582 = "lookup", E582 = "aggregation")</f>
        <v>0</v>
      </c>
      <c r="J582" s="3" t="b">
        <f>H582 &lt;&gt; ""</f>
        <v>0</v>
      </c>
      <c r="K582" s="3">
        <f>COUNTIFS(FieldDisagreements!D2:D999, A582)</f>
        <v>0</v>
      </c>
      <c r="L582" s="3" t="b">
        <f>K582 &gt; 0</f>
        <v>0</v>
      </c>
      <c r="M582" s="2" t="s">
        <v>2387</v>
      </c>
    </row>
    <row r="583">
      <c r="A583" s="2" t="s">
        <v>3309</v>
      </c>
      <c r="B583" s="3" t="str">
        <f>C583 &amp; "." &amp; D583</f>
        <v>KnowledgeGaps.BlockingKind</v>
      </c>
      <c r="C583" s="2" t="s">
        <v>3302</v>
      </c>
      <c r="D583" s="2" t="s">
        <v>1176</v>
      </c>
      <c r="E583" s="2" t="s">
        <v>2385</v>
      </c>
      <c r="F583" s="2" t="s">
        <v>2386</v>
      </c>
      <c r="G583" s="2"/>
      <c r="H583" s="2"/>
      <c r="I583" s="3" t="b">
        <f>OR(E583 = "calculated", E583 = "lookup", E583 = "aggregation")</f>
        <v>0</v>
      </c>
      <c r="J583" s="3" t="b">
        <f>H583 &lt;&gt; ""</f>
        <v>0</v>
      </c>
      <c r="K583" s="3">
        <f>COUNTIFS(FieldDisagreements!D2:D999, A583)</f>
        <v>0</v>
      </c>
      <c r="L583" s="3" t="b">
        <f>K583 &gt; 0</f>
        <v>0</v>
      </c>
      <c r="M583" s="2" t="s">
        <v>2387</v>
      </c>
    </row>
    <row r="584">
      <c r="A584" s="2" t="s">
        <v>3310</v>
      </c>
      <c r="B584" s="3" t="str">
        <f>C584 &amp; "." &amp; D584</f>
        <v>KnowledgeGaps.Status</v>
      </c>
      <c r="C584" s="2" t="s">
        <v>3302</v>
      </c>
      <c r="D584" s="2" t="s">
        <v>8</v>
      </c>
      <c r="E584" s="2" t="s">
        <v>2385</v>
      </c>
      <c r="F584" s="2" t="s">
        <v>2386</v>
      </c>
      <c r="G584" s="2"/>
      <c r="H584" s="2"/>
      <c r="I584" s="3" t="b">
        <f>OR(E584 = "calculated", E584 = "lookup", E584 = "aggregation")</f>
        <v>0</v>
      </c>
      <c r="J584" s="3" t="b">
        <f>H584 &lt;&gt; ""</f>
        <v>0</v>
      </c>
      <c r="K584" s="3">
        <f>COUNTIFS(FieldDisagreements!D2:D999, A584)</f>
        <v>0</v>
      </c>
      <c r="L584" s="3" t="b">
        <f>K584 &gt; 0</f>
        <v>0</v>
      </c>
      <c r="M584" s="2" t="s">
        <v>2387</v>
      </c>
    </row>
    <row r="585">
      <c r="A585" s="2" t="s">
        <v>3311</v>
      </c>
      <c r="B585" s="3" t="str">
        <f>C585 &amp; "." &amp; D585</f>
        <v>KnowledgeGaps.OwnerRole</v>
      </c>
      <c r="C585" s="2" t="s">
        <v>3302</v>
      </c>
      <c r="D585" s="2" t="s">
        <v>1088</v>
      </c>
      <c r="E585" s="2" t="s">
        <v>2434</v>
      </c>
      <c r="F585" s="2" t="s">
        <v>2386</v>
      </c>
      <c r="G585" s="2"/>
      <c r="H585" s="2"/>
      <c r="I585" s="3" t="b">
        <f>OR(E585 = "calculated", E585 = "lookup", E585 = "aggregation")</f>
        <v>0</v>
      </c>
      <c r="J585" s="3" t="b">
        <f>H585 &lt;&gt; ""</f>
        <v>0</v>
      </c>
      <c r="K585" s="3">
        <f>COUNTIFS(FieldDisagreements!D2:D999, A585)</f>
        <v>0</v>
      </c>
      <c r="L585" s="3" t="b">
        <f>K585 &gt; 0</f>
        <v>0</v>
      </c>
      <c r="M585" s="2" t="s">
        <v>2387</v>
      </c>
    </row>
    <row r="586">
      <c r="A586" s="2" t="s">
        <v>3312</v>
      </c>
      <c r="B586" s="3" t="str">
        <f>C586 &amp; "." &amp; D586</f>
        <v>KnowledgeGaps.IdentifiedAt</v>
      </c>
      <c r="C586" s="2" t="s">
        <v>3302</v>
      </c>
      <c r="D586" s="2" t="s">
        <v>1177</v>
      </c>
      <c r="E586" s="2" t="s">
        <v>2385</v>
      </c>
      <c r="F586" s="2" t="s">
        <v>2397</v>
      </c>
      <c r="G586" s="2"/>
      <c r="H586" s="2"/>
      <c r="I586" s="3" t="b">
        <f>OR(E586 = "calculated", E586 = "lookup", E586 = "aggregation")</f>
        <v>0</v>
      </c>
      <c r="J586" s="3" t="b">
        <f>H586 &lt;&gt; ""</f>
        <v>0</v>
      </c>
      <c r="K586" s="3">
        <f>COUNTIFS(FieldDisagreements!D2:D999, A586)</f>
        <v>0</v>
      </c>
      <c r="L586" s="3" t="b">
        <f>K586 &gt; 0</f>
        <v>0</v>
      </c>
      <c r="M586" s="2" t="s">
        <v>2387</v>
      </c>
    </row>
    <row r="587">
      <c r="A587" s="2" t="s">
        <v>3313</v>
      </c>
      <c r="B587" s="3" t="str">
        <f>C587 &amp; "." &amp; D587</f>
        <v>KnowledgeGaps.ResolutionPlan</v>
      </c>
      <c r="C587" s="2" t="s">
        <v>3302</v>
      </c>
      <c r="D587" s="2" t="s">
        <v>1178</v>
      </c>
      <c r="E587" s="2" t="s">
        <v>2385</v>
      </c>
      <c r="F587" s="2" t="s">
        <v>2386</v>
      </c>
      <c r="G587" s="2"/>
      <c r="H587" s="2"/>
      <c r="I587" s="3" t="b">
        <f>OR(E587 = "calculated", E587 = "lookup", E587 = "aggregation")</f>
        <v>0</v>
      </c>
      <c r="J587" s="3" t="b">
        <f>H587 &lt;&gt; ""</f>
        <v>0</v>
      </c>
      <c r="K587" s="3">
        <f>COUNTIFS(FieldDisagreements!D2:D999, A587)</f>
        <v>0</v>
      </c>
      <c r="L587" s="3" t="b">
        <f>K587 &gt; 0</f>
        <v>0</v>
      </c>
      <c r="M587" s="2" t="s">
        <v>2387</v>
      </c>
    </row>
    <row r="588">
      <c r="A588" s="2" t="s">
        <v>3314</v>
      </c>
      <c r="B588" s="3" t="str">
        <f>C588 &amp; "." &amp; D588</f>
        <v>KnowledgeGaps.IsOpen</v>
      </c>
      <c r="C588" s="2" t="s">
        <v>3302</v>
      </c>
      <c r="D588" s="2" t="s">
        <v>1179</v>
      </c>
      <c r="E588" s="2" t="s">
        <v>2389</v>
      </c>
      <c r="F588" s="2" t="s">
        <v>2401</v>
      </c>
      <c r="G588" s="2" t="s">
        <v>3315</v>
      </c>
      <c r="H588" s="2"/>
      <c r="I588" s="3" t="b">
        <f>OR(E588 = "calculated", E588 = "lookup", E588 = "aggregation")</f>
        <v>1</v>
      </c>
      <c r="J588" s="3" t="b">
        <f>H588 &lt;&gt; ""</f>
        <v>0</v>
      </c>
      <c r="K588" s="3">
        <f>COUNTIFS(FieldDisagreements!D2:D999, A588)</f>
        <v>0</v>
      </c>
      <c r="L588" s="3" t="b">
        <f>K588 &gt; 0</f>
        <v>0</v>
      </c>
      <c r="M588" s="2" t="s">
        <v>2387</v>
      </c>
    </row>
    <row r="589">
      <c r="A589" s="2" t="s">
        <v>3316</v>
      </c>
      <c r="B589" s="3" t="str">
        <f>C589 &amp; "." &amp; D589</f>
        <v>KnowledgeGaps.OpenGapVersionKey</v>
      </c>
      <c r="C589" s="2" t="s">
        <v>3302</v>
      </c>
      <c r="D589" s="2" t="s">
        <v>1180</v>
      </c>
      <c r="E589" s="2" t="s">
        <v>2389</v>
      </c>
      <c r="F589" s="2" t="s">
        <v>2386</v>
      </c>
      <c r="G589" s="2" t="s">
        <v>3317</v>
      </c>
      <c r="H589" s="2" t="s">
        <v>1980</v>
      </c>
      <c r="I589" s="3" t="b">
        <f>OR(E589 = "calculated", E589 = "lookup", E589 = "aggregation")</f>
        <v>1</v>
      </c>
      <c r="J589" s="3" t="b">
        <f>H589 &lt;&gt; ""</f>
        <v>1</v>
      </c>
      <c r="K589" s="3">
        <f>COUNTIFS(FieldDisagreements!D2:D999, A589)</f>
        <v>0</v>
      </c>
      <c r="L589" s="3" t="b">
        <f>K589 &gt; 0</f>
        <v>0</v>
      </c>
      <c r="M589" s="2" t="s">
        <v>2387</v>
      </c>
    </row>
    <row r="590">
      <c r="A590" s="2" t="s">
        <v>3318</v>
      </c>
      <c r="B590" s="3" t="str">
        <f>C590 &amp; "." &amp; D590</f>
        <v>KnowledgeGaps.IsBlocking</v>
      </c>
      <c r="C590" s="2" t="s">
        <v>3302</v>
      </c>
      <c r="D590" s="2" t="s">
        <v>783</v>
      </c>
      <c r="E590" s="2" t="s">
        <v>2389</v>
      </c>
      <c r="F590" s="2" t="s">
        <v>2401</v>
      </c>
      <c r="G590" s="2" t="s">
        <v>3319</v>
      </c>
      <c r="H590" s="2" t="s">
        <v>2008</v>
      </c>
      <c r="I590" s="3" t="b">
        <f>OR(E590 = "calculated", E590 = "lookup", E590 = "aggregation")</f>
        <v>1</v>
      </c>
      <c r="J590" s="3" t="b">
        <f>H590 &lt;&gt; ""</f>
        <v>1</v>
      </c>
      <c r="K590" s="3">
        <f>COUNTIFS(FieldDisagreements!D2:D999, A590)</f>
        <v>0</v>
      </c>
      <c r="L590" s="3" t="b">
        <f>K590 &gt; 0</f>
        <v>0</v>
      </c>
      <c r="M590" s="2" t="s">
        <v>2387</v>
      </c>
    </row>
    <row r="591">
      <c r="A591" s="2" t="s">
        <v>3320</v>
      </c>
      <c r="B591" s="3" t="str">
        <f>C591 &amp; "." &amp; D591</f>
        <v>KnowledgeGaps.IsOpenAndBlocking</v>
      </c>
      <c r="C591" s="2" t="s">
        <v>3302</v>
      </c>
      <c r="D591" s="2" t="s">
        <v>1181</v>
      </c>
      <c r="E591" s="2" t="s">
        <v>2389</v>
      </c>
      <c r="F591" s="2" t="s">
        <v>2401</v>
      </c>
      <c r="G591" s="2" t="s">
        <v>3321</v>
      </c>
      <c r="H591" s="2" t="s">
        <v>2008</v>
      </c>
      <c r="I591" s="3" t="b">
        <f>OR(E591 = "calculated", E591 = "lookup", E591 = "aggregation")</f>
        <v>1</v>
      </c>
      <c r="J591" s="3" t="b">
        <f>H591 &lt;&gt; ""</f>
        <v>1</v>
      </c>
      <c r="K591" s="3">
        <f>COUNTIFS(FieldDisagreements!D2:D999, A591)</f>
        <v>0</v>
      </c>
      <c r="L591" s="3" t="b">
        <f>K591 &gt; 0</f>
        <v>0</v>
      </c>
      <c r="M591" s="2" t="s">
        <v>2387</v>
      </c>
    </row>
    <row r="592">
      <c r="A592" s="2" t="s">
        <v>3322</v>
      </c>
      <c r="B592" s="3" t="str">
        <f>C592 &amp; "." &amp; D592</f>
        <v>KnowledgeGaps.EvaluationContext</v>
      </c>
      <c r="C592" s="2" t="s">
        <v>3302</v>
      </c>
      <c r="D592" s="2" t="s">
        <v>258</v>
      </c>
      <c r="E592" s="2" t="s">
        <v>2434</v>
      </c>
      <c r="F592" s="2" t="s">
        <v>2386</v>
      </c>
      <c r="G592" s="2"/>
      <c r="H592" s="2"/>
      <c r="I592" s="3" t="b">
        <f>OR(E592 = "calculated", E592 = "lookup", E592 = "aggregation")</f>
        <v>0</v>
      </c>
      <c r="J592" s="3" t="b">
        <f>H592 &lt;&gt; ""</f>
        <v>0</v>
      </c>
      <c r="K592" s="3">
        <f>COUNTIFS(FieldDisagreements!D2:D999, A592)</f>
        <v>0</v>
      </c>
      <c r="L592" s="3" t="b">
        <f>K592 &gt; 0</f>
        <v>0</v>
      </c>
      <c r="M592" s="2" t="s">
        <v>2387</v>
      </c>
    </row>
    <row r="593">
      <c r="A593" s="2" t="s">
        <v>3323</v>
      </c>
      <c r="B593" s="3" t="str">
        <f>C593 &amp; "." &amp; D593</f>
        <v>KnowledgeGaps.AsOfInstant</v>
      </c>
      <c r="C593" s="2" t="s">
        <v>3302</v>
      </c>
      <c r="D593" s="2" t="s">
        <v>92</v>
      </c>
      <c r="E593" s="2" t="s">
        <v>2478</v>
      </c>
      <c r="F593" s="2" t="s">
        <v>2397</v>
      </c>
      <c r="G593" s="2" t="s">
        <v>2524</v>
      </c>
      <c r="H593" s="2"/>
      <c r="I593" s="3" t="b">
        <f>OR(E593 = "calculated", E593 = "lookup", E593 = "aggregation")</f>
        <v>1</v>
      </c>
      <c r="J593" s="3" t="b">
        <f>H593 &lt;&gt; ""</f>
        <v>0</v>
      </c>
      <c r="K593" s="3">
        <f>COUNTIFS(FieldDisagreements!D2:D999, A593)</f>
        <v>1</v>
      </c>
      <c r="L593" s="3" t="b">
        <f>K593 &gt; 0</f>
        <v>1</v>
      </c>
      <c r="M593" s="2" t="s">
        <v>2387</v>
      </c>
    </row>
    <row r="594">
      <c r="A594" s="2" t="s">
        <v>3324</v>
      </c>
      <c r="B594" s="3" t="str">
        <f>C594 &amp; "." &amp; D594</f>
        <v>KnowledgeGaps.DaysOpen</v>
      </c>
      <c r="C594" s="2" t="s">
        <v>3302</v>
      </c>
      <c r="D594" s="2" t="s">
        <v>1182</v>
      </c>
      <c r="E594" s="2" t="s">
        <v>2389</v>
      </c>
      <c r="F594" s="2" t="s">
        <v>2439</v>
      </c>
      <c r="G594" s="2" t="s">
        <v>3325</v>
      </c>
      <c r="H594" s="2" t="s">
        <v>2028</v>
      </c>
      <c r="I594" s="3" t="b">
        <f>OR(E594 = "calculated", E594 = "lookup", E594 = "aggregation")</f>
        <v>1</v>
      </c>
      <c r="J594" s="3" t="b">
        <f>H594 &lt;&gt; ""</f>
        <v>1</v>
      </c>
      <c r="K594" s="3">
        <f>COUNTIFS(FieldDisagreements!D2:D999, A594)</f>
        <v>7</v>
      </c>
      <c r="L594" s="3" t="b">
        <f>K594 &gt; 0</f>
        <v>1</v>
      </c>
      <c r="M594" s="2" t="s">
        <v>2387</v>
      </c>
    </row>
    <row r="595">
      <c r="A595" s="2" t="s">
        <v>3326</v>
      </c>
      <c r="B595" s="3" t="str">
        <f>C595 &amp; "." &amp; D595</f>
        <v>KnowledgeGaps.ToleranceDays</v>
      </c>
      <c r="C595" s="2" t="s">
        <v>3302</v>
      </c>
      <c r="D595" s="2" t="s">
        <v>1183</v>
      </c>
      <c r="E595" s="2" t="s">
        <v>2389</v>
      </c>
      <c r="F595" s="2" t="s">
        <v>2439</v>
      </c>
      <c r="G595" s="2" t="s">
        <v>3327</v>
      </c>
      <c r="H595" s="2" t="s">
        <v>2028</v>
      </c>
      <c r="I595" s="3" t="b">
        <f>OR(E595 = "calculated", E595 = "lookup", E595 = "aggregation")</f>
        <v>1</v>
      </c>
      <c r="J595" s="3" t="b">
        <f>H595 &lt;&gt; ""</f>
        <v>1</v>
      </c>
      <c r="K595" s="3">
        <f>COUNTIFS(FieldDisagreements!D2:D999, A595)</f>
        <v>0</v>
      </c>
      <c r="L595" s="3" t="b">
        <f>K595 &gt; 0</f>
        <v>0</v>
      </c>
      <c r="M595" s="2" t="s">
        <v>2387</v>
      </c>
    </row>
    <row r="596">
      <c r="A596" s="2" t="s">
        <v>3328</v>
      </c>
      <c r="B596" s="3" t="str">
        <f>C596 &amp; "." &amp; D596</f>
        <v>KnowledgeGaps.IsOverdueGap</v>
      </c>
      <c r="C596" s="2" t="s">
        <v>3302</v>
      </c>
      <c r="D596" s="2" t="s">
        <v>1184</v>
      </c>
      <c r="E596" s="2" t="s">
        <v>2389</v>
      </c>
      <c r="F596" s="2" t="s">
        <v>2401</v>
      </c>
      <c r="G596" s="2" t="s">
        <v>3329</v>
      </c>
      <c r="H596" s="2" t="s">
        <v>2028</v>
      </c>
      <c r="I596" s="3" t="b">
        <f>OR(E596 = "calculated", E596 = "lookup", E596 = "aggregation")</f>
        <v>1</v>
      </c>
      <c r="J596" s="3" t="b">
        <f>H596 &lt;&gt; ""</f>
        <v>1</v>
      </c>
      <c r="K596" s="3">
        <f>COUNTIFS(FieldDisagreements!D2:D999, A596)</f>
        <v>0</v>
      </c>
      <c r="L596" s="3" t="b">
        <f>K596 &gt; 0</f>
        <v>0</v>
      </c>
      <c r="M596" s="2" t="s">
        <v>2387</v>
      </c>
    </row>
    <row r="597">
      <c r="A597" s="2" t="s">
        <v>3330</v>
      </c>
      <c r="B597" s="3" t="str">
        <f>C597 &amp; "." &amp; D597</f>
        <v>KnowledgeGaps.OwnerAgent</v>
      </c>
      <c r="C597" s="2" t="s">
        <v>3302</v>
      </c>
      <c r="D597" s="2" t="s">
        <v>1105</v>
      </c>
      <c r="E597" s="2" t="s">
        <v>2478</v>
      </c>
      <c r="F597" s="2" t="s">
        <v>2386</v>
      </c>
      <c r="G597" s="2" t="s">
        <v>3209</v>
      </c>
      <c r="H597" s="2" t="s">
        <v>2028</v>
      </c>
      <c r="I597" s="3" t="b">
        <f>OR(E597 = "calculated", E597 = "lookup", E597 = "aggregation")</f>
        <v>1</v>
      </c>
      <c r="J597" s="3" t="b">
        <f>H597 &lt;&gt; ""</f>
        <v>1</v>
      </c>
      <c r="K597" s="3">
        <f>COUNTIFS(FieldDisagreements!D2:D999, A597)</f>
        <v>0</v>
      </c>
      <c r="L597" s="3" t="b">
        <f>K597 &gt; 0</f>
        <v>0</v>
      </c>
      <c r="M597" s="2" t="s">
        <v>2387</v>
      </c>
    </row>
    <row r="598">
      <c r="A598" s="2" t="s">
        <v>3331</v>
      </c>
      <c r="B598" s="3" t="str">
        <f>C598 &amp; "." &amp; D598</f>
        <v>KnowledgeGaps.OwnerIsStillEngaged</v>
      </c>
      <c r="C598" s="2" t="s">
        <v>3302</v>
      </c>
      <c r="D598" s="2" t="s">
        <v>1185</v>
      </c>
      <c r="E598" s="2" t="s">
        <v>2478</v>
      </c>
      <c r="F598" s="2" t="s">
        <v>2401</v>
      </c>
      <c r="G598" s="2" t="s">
        <v>3332</v>
      </c>
      <c r="H598" s="2" t="s">
        <v>2028</v>
      </c>
      <c r="I598" s="3" t="b">
        <f>OR(E598 = "calculated", E598 = "lookup", E598 = "aggregation")</f>
        <v>1</v>
      </c>
      <c r="J598" s="3" t="b">
        <f>H598 &lt;&gt; ""</f>
        <v>1</v>
      </c>
      <c r="K598" s="3">
        <f>COUNTIFS(FieldDisagreements!D2:D999, A598)</f>
        <v>0</v>
      </c>
      <c r="L598" s="3" t="b">
        <f>K598 &gt; 0</f>
        <v>0</v>
      </c>
      <c r="M598" s="2" t="s">
        <v>2387</v>
      </c>
    </row>
    <row r="599">
      <c r="A599" s="2" t="s">
        <v>3333</v>
      </c>
      <c r="B599" s="3" t="str">
        <f>C599 &amp; "." &amp; D599</f>
        <v>KnowledgeGaps.HasResolutionPlan</v>
      </c>
      <c r="C599" s="2" t="s">
        <v>3302</v>
      </c>
      <c r="D599" s="2" t="s">
        <v>1186</v>
      </c>
      <c r="E599" s="2" t="s">
        <v>2389</v>
      </c>
      <c r="F599" s="2" t="s">
        <v>2401</v>
      </c>
      <c r="G599" s="2" t="s">
        <v>3334</v>
      </c>
      <c r="H599" s="2" t="s">
        <v>2028</v>
      </c>
      <c r="I599" s="3" t="b">
        <f>OR(E599 = "calculated", E599 = "lookup", E599 = "aggregation")</f>
        <v>1</v>
      </c>
      <c r="J599" s="3" t="b">
        <f>H599 &lt;&gt; ""</f>
        <v>1</v>
      </c>
      <c r="K599" s="3">
        <f>COUNTIFS(FieldDisagreements!D2:D999, A599)</f>
        <v>0</v>
      </c>
      <c r="L599" s="3" t="b">
        <f>K599 &gt; 0</f>
        <v>0</v>
      </c>
      <c r="M599" s="2" t="s">
        <v>2387</v>
      </c>
    </row>
    <row r="600">
      <c r="A600" s="2" t="s">
        <v>3335</v>
      </c>
      <c r="B600" s="3" t="str">
        <f>C600 &amp; "." &amp; D600</f>
        <v>KnowledgeGaps.IsAbandonedUnknown</v>
      </c>
      <c r="C600" s="2" t="s">
        <v>3302</v>
      </c>
      <c r="D600" s="2" t="s">
        <v>1187</v>
      </c>
      <c r="E600" s="2" t="s">
        <v>2389</v>
      </c>
      <c r="F600" s="2" t="s">
        <v>2401</v>
      </c>
      <c r="G600" s="2" t="s">
        <v>3336</v>
      </c>
      <c r="H600" s="2" t="s">
        <v>2028</v>
      </c>
      <c r="I600" s="3" t="b">
        <f>OR(E600 = "calculated", E600 = "lookup", E600 = "aggregation")</f>
        <v>1</v>
      </c>
      <c r="J600" s="3" t="b">
        <f>H600 &lt;&gt; ""</f>
        <v>1</v>
      </c>
      <c r="K600" s="3">
        <f>COUNTIFS(FieldDisagreements!D2:D999, A600)</f>
        <v>0</v>
      </c>
      <c r="L600" s="3" t="b">
        <f>K600 &gt; 0</f>
        <v>0</v>
      </c>
      <c r="M600" s="2" t="s">
        <v>2387</v>
      </c>
    </row>
    <row r="601">
      <c r="A601" s="2" t="s">
        <v>3337</v>
      </c>
      <c r="B601" s="3" t="str">
        <f>C601 &amp; "." &amp; D601</f>
        <v>KnowledgeGaps.OpenBlockingGapVersionKey</v>
      </c>
      <c r="C601" s="2" t="s">
        <v>3302</v>
      </c>
      <c r="D601" s="2" t="s">
        <v>1188</v>
      </c>
      <c r="E601" s="2" t="s">
        <v>2389</v>
      </c>
      <c r="F601" s="2" t="s">
        <v>2386</v>
      </c>
      <c r="G601" s="2" t="s">
        <v>3338</v>
      </c>
      <c r="H601" s="2" t="s">
        <v>2196</v>
      </c>
      <c r="I601" s="3" t="b">
        <f>OR(E601 = "calculated", E601 = "lookup", E601 = "aggregation")</f>
        <v>1</v>
      </c>
      <c r="J601" s="3" t="b">
        <f>H601 &lt;&gt; ""</f>
        <v>1</v>
      </c>
      <c r="K601" s="3">
        <f>COUNTIFS(FieldDisagreements!D2:D999, A601)</f>
        <v>0</v>
      </c>
      <c r="L601" s="3" t="b">
        <f>K601 &gt; 0</f>
        <v>0</v>
      </c>
      <c r="M601" s="2" t="s">
        <v>2387</v>
      </c>
    </row>
    <row r="602">
      <c r="A602" s="2" t="s">
        <v>3339</v>
      </c>
      <c r="B602" s="3" t="str">
        <f>C602 &amp; "." &amp; D602</f>
        <v>KnowledgeGaps.OwnerRoleIsVacated</v>
      </c>
      <c r="C602" s="2" t="s">
        <v>3302</v>
      </c>
      <c r="D602" s="2" t="s">
        <v>1149</v>
      </c>
      <c r="E602" s="2" t="s">
        <v>2478</v>
      </c>
      <c r="F602" s="2" t="s">
        <v>2401</v>
      </c>
      <c r="G602" s="2" t="s">
        <v>3295</v>
      </c>
      <c r="H602" s="2" t="s">
        <v>2212</v>
      </c>
      <c r="I602" s="3" t="b">
        <f>OR(E602 = "calculated", E602 = "lookup", E602 = "aggregation")</f>
        <v>1</v>
      </c>
      <c r="J602" s="3" t="b">
        <f>H602 &lt;&gt; ""</f>
        <v>1</v>
      </c>
      <c r="K602" s="3">
        <f>COUNTIFS(FieldDisagreements!D2:D999, A602)</f>
        <v>0</v>
      </c>
      <c r="L602" s="3" t="b">
        <f>K602 &gt; 0</f>
        <v>0</v>
      </c>
      <c r="M602" s="2" t="s">
        <v>2387</v>
      </c>
    </row>
    <row r="603">
      <c r="A603" s="2" t="s">
        <v>3340</v>
      </c>
      <c r="B603" s="3" t="str">
        <f>C603 &amp; "." &amp; D603</f>
        <v>KnowledgeGaps.IsOwnerlessOpenGap</v>
      </c>
      <c r="C603" s="2" t="s">
        <v>3302</v>
      </c>
      <c r="D603" s="2" t="s">
        <v>1189</v>
      </c>
      <c r="E603" s="2" t="s">
        <v>2389</v>
      </c>
      <c r="F603" s="2" t="s">
        <v>2401</v>
      </c>
      <c r="G603" s="2" t="s">
        <v>3341</v>
      </c>
      <c r="H603" s="2" t="s">
        <v>2212</v>
      </c>
      <c r="I603" s="3" t="b">
        <f>OR(E603 = "calculated", E603 = "lookup", E603 = "aggregation")</f>
        <v>1</v>
      </c>
      <c r="J603" s="3" t="b">
        <f>H603 &lt;&gt; ""</f>
        <v>1</v>
      </c>
      <c r="K603" s="3">
        <f>COUNTIFS(FieldDisagreements!D2:D999, A603)</f>
        <v>0</v>
      </c>
      <c r="L603" s="3" t="b">
        <f>K603 &gt; 0</f>
        <v>0</v>
      </c>
      <c r="M603" s="2" t="s">
        <v>2387</v>
      </c>
    </row>
    <row r="604">
      <c r="A604" s="2" t="s">
        <v>3342</v>
      </c>
      <c r="B604" s="3" t="str">
        <f>C604 &amp; "." &amp; D604</f>
        <v>KnowledgeGaps.SemanticTypeIri</v>
      </c>
      <c r="C604" s="2" t="s">
        <v>3302</v>
      </c>
      <c r="D604" s="2" t="s">
        <v>94</v>
      </c>
      <c r="E604" s="2" t="s">
        <v>2385</v>
      </c>
      <c r="F604" s="2" t="s">
        <v>2386</v>
      </c>
      <c r="G604" s="2"/>
      <c r="H604" s="2"/>
      <c r="I604" s="3" t="b">
        <f>OR(E604 = "calculated", E604 = "lookup", E604 = "aggregation")</f>
        <v>0</v>
      </c>
      <c r="J604" s="3" t="b">
        <f>H604 &lt;&gt; ""</f>
        <v>0</v>
      </c>
      <c r="K604" s="3">
        <f>COUNTIFS(FieldDisagreements!D2:D999, A604)</f>
        <v>0</v>
      </c>
      <c r="L604" s="3" t="b">
        <f>K604 &gt; 0</f>
        <v>0</v>
      </c>
      <c r="M604" s="2" t="s">
        <v>2387</v>
      </c>
    </row>
    <row r="605">
      <c r="A605" s="2" t="s">
        <v>3343</v>
      </c>
      <c r="B605" s="3" t="str">
        <f>C605 &amp; "." &amp; D605</f>
        <v>FAQs.FaqId</v>
      </c>
      <c r="C605" s="2" t="s">
        <v>1825</v>
      </c>
      <c r="D605" s="2" t="s">
        <v>1220</v>
      </c>
      <c r="E605" s="2" t="s">
        <v>2385</v>
      </c>
      <c r="F605" s="2" t="s">
        <v>2386</v>
      </c>
      <c r="G605" s="2"/>
      <c r="H605" s="2"/>
      <c r="I605" s="3" t="b">
        <f>OR(E605 = "calculated", E605 = "lookup", E605 = "aggregation")</f>
        <v>0</v>
      </c>
      <c r="J605" s="3" t="b">
        <f>H605 &lt;&gt; ""</f>
        <v>0</v>
      </c>
      <c r="K605" s="3">
        <f>COUNTIFS(FieldDisagreements!D2:D999, A605)</f>
        <v>0</v>
      </c>
      <c r="L605" s="3" t="b">
        <f>K605 &gt; 0</f>
        <v>0</v>
      </c>
      <c r="M605" s="2" t="s">
        <v>2387</v>
      </c>
    </row>
    <row r="606">
      <c r="A606" s="2" t="s">
        <v>3344</v>
      </c>
      <c r="B606" s="3" t="str">
        <f>C606 &amp; "." &amp; D606</f>
        <v>FAQs.Name</v>
      </c>
      <c r="C606" s="2" t="s">
        <v>1825</v>
      </c>
      <c r="D606" s="2" t="s">
        <v>1</v>
      </c>
      <c r="E606" s="2" t="s">
        <v>2389</v>
      </c>
      <c r="F606" s="2" t="s">
        <v>2386</v>
      </c>
      <c r="G606" s="2" t="s">
        <v>3345</v>
      </c>
      <c r="H606" s="2"/>
      <c r="I606" s="3" t="b">
        <f>OR(E606 = "calculated", E606 = "lookup", E606 = "aggregation")</f>
        <v>1</v>
      </c>
      <c r="J606" s="3" t="b">
        <f>H606 &lt;&gt; ""</f>
        <v>0</v>
      </c>
      <c r="K606" s="3">
        <f>COUNTIFS(FieldDisagreements!D2:D999, A606)</f>
        <v>1</v>
      </c>
      <c r="L606" s="3" t="b">
        <f>K606 &gt; 0</f>
        <v>1</v>
      </c>
      <c r="M606" s="2" t="s">
        <v>2387</v>
      </c>
    </row>
    <row r="607">
      <c r="A607" s="2" t="s">
        <v>3346</v>
      </c>
      <c r="B607" s="3" t="str">
        <f>C607 &amp; "." &amp; D607</f>
        <v>FAQs.ProcedureVersion</v>
      </c>
      <c r="C607" s="2" t="s">
        <v>1825</v>
      </c>
      <c r="D607" s="2" t="s">
        <v>477</v>
      </c>
      <c r="E607" s="2" t="s">
        <v>2434</v>
      </c>
      <c r="F607" s="2" t="s">
        <v>2386</v>
      </c>
      <c r="G607" s="2"/>
      <c r="H607" s="2"/>
      <c r="I607" s="3" t="b">
        <f>OR(E607 = "calculated", E607 = "lookup", E607 = "aggregation")</f>
        <v>0</v>
      </c>
      <c r="J607" s="3" t="b">
        <f>H607 &lt;&gt; ""</f>
        <v>0</v>
      </c>
      <c r="K607" s="3">
        <f>COUNTIFS(FieldDisagreements!D2:D999, A607)</f>
        <v>0</v>
      </c>
      <c r="L607" s="3" t="b">
        <f>K607 &gt; 0</f>
        <v>0</v>
      </c>
      <c r="M607" s="2" t="s">
        <v>2387</v>
      </c>
    </row>
    <row r="608">
      <c r="A608" s="2" t="s">
        <v>3347</v>
      </c>
      <c r="B608" s="3" t="str">
        <f>C608 &amp; "." &amp; D608</f>
        <v>FAQs.Step</v>
      </c>
      <c r="C608" s="2" t="s">
        <v>1825</v>
      </c>
      <c r="D608" s="2" t="s">
        <v>747</v>
      </c>
      <c r="E608" s="2" t="s">
        <v>2434</v>
      </c>
      <c r="F608" s="2" t="s">
        <v>2386</v>
      </c>
      <c r="G608" s="2"/>
      <c r="H608" s="2"/>
      <c r="I608" s="3" t="b">
        <f>OR(E608 = "calculated", E608 = "lookup", E608 = "aggregation")</f>
        <v>0</v>
      </c>
      <c r="J608" s="3" t="b">
        <f>H608 &lt;&gt; ""</f>
        <v>0</v>
      </c>
      <c r="K608" s="3">
        <f>COUNTIFS(FieldDisagreements!D2:D999, A608)</f>
        <v>0</v>
      </c>
      <c r="L608" s="3" t="b">
        <f>K608 &gt; 0</f>
        <v>0</v>
      </c>
      <c r="M608" s="2" t="s">
        <v>2387</v>
      </c>
    </row>
    <row r="609">
      <c r="A609" s="2" t="s">
        <v>3348</v>
      </c>
      <c r="B609" s="3" t="str">
        <f>C609 &amp; "." &amp; D609</f>
        <v>FAQs.Category</v>
      </c>
      <c r="C609" s="2" t="s">
        <v>1825</v>
      </c>
      <c r="D609" s="2" t="s">
        <v>1221</v>
      </c>
      <c r="E609" s="2" t="s">
        <v>2385</v>
      </c>
      <c r="F609" s="2" t="s">
        <v>2386</v>
      </c>
      <c r="G609" s="2"/>
      <c r="H609" s="2"/>
      <c r="I609" s="3" t="b">
        <f>OR(E609 = "calculated", E609 = "lookup", E609 = "aggregation")</f>
        <v>0</v>
      </c>
      <c r="J609" s="3" t="b">
        <f>H609 &lt;&gt; ""</f>
        <v>0</v>
      </c>
      <c r="K609" s="3">
        <f>COUNTIFS(FieldDisagreements!D2:D999, A609)</f>
        <v>0</v>
      </c>
      <c r="L609" s="3" t="b">
        <f>K609 &gt; 0</f>
        <v>0</v>
      </c>
      <c r="M609" s="2" t="s">
        <v>2387</v>
      </c>
    </row>
    <row r="610">
      <c r="A610" s="2" t="s">
        <v>3349</v>
      </c>
      <c r="B610" s="3" t="str">
        <f>C610 &amp; "." &amp; D610</f>
        <v>FAQs.TargetKind</v>
      </c>
      <c r="C610" s="2" t="s">
        <v>1825</v>
      </c>
      <c r="D610" s="2" t="s">
        <v>1222</v>
      </c>
      <c r="E610" s="2" t="s">
        <v>2385</v>
      </c>
      <c r="F610" s="2" t="s">
        <v>2386</v>
      </c>
      <c r="G610" s="2"/>
      <c r="H610" s="2"/>
      <c r="I610" s="3" t="b">
        <f>OR(E610 = "calculated", E610 = "lookup", E610 = "aggregation")</f>
        <v>0</v>
      </c>
      <c r="J610" s="3" t="b">
        <f>H610 &lt;&gt; ""</f>
        <v>0</v>
      </c>
      <c r="K610" s="3">
        <f>COUNTIFS(FieldDisagreements!D2:D999, A610)</f>
        <v>0</v>
      </c>
      <c r="L610" s="3" t="b">
        <f>K610 &gt; 0</f>
        <v>0</v>
      </c>
      <c r="M610" s="2" t="s">
        <v>2387</v>
      </c>
    </row>
    <row r="611">
      <c r="A611" s="2" t="s">
        <v>3350</v>
      </c>
      <c r="B611" s="3" t="str">
        <f>C611 &amp; "." &amp; D611</f>
        <v>FAQs.Question</v>
      </c>
      <c r="C611" s="2" t="s">
        <v>1825</v>
      </c>
      <c r="D611" s="2" t="s">
        <v>1223</v>
      </c>
      <c r="E611" s="2" t="s">
        <v>2385</v>
      </c>
      <c r="F611" s="2" t="s">
        <v>2386</v>
      </c>
      <c r="G611" s="2"/>
      <c r="H611" s="2"/>
      <c r="I611" s="3" t="b">
        <f>OR(E611 = "calculated", E611 = "lookup", E611 = "aggregation")</f>
        <v>0</v>
      </c>
      <c r="J611" s="3" t="b">
        <f>H611 &lt;&gt; ""</f>
        <v>0</v>
      </c>
      <c r="K611" s="3">
        <f>COUNTIFS(FieldDisagreements!D2:D999, A611)</f>
        <v>0</v>
      </c>
      <c r="L611" s="3" t="b">
        <f>K611 &gt; 0</f>
        <v>0</v>
      </c>
      <c r="M611" s="2" t="s">
        <v>2387</v>
      </c>
    </row>
    <row r="612">
      <c r="A612" s="2" t="s">
        <v>3351</v>
      </c>
      <c r="B612" s="3" t="str">
        <f>C612 &amp; "." &amp; D612</f>
        <v>FAQs.Answer</v>
      </c>
      <c r="C612" s="2" t="s">
        <v>1825</v>
      </c>
      <c r="D612" s="2" t="s">
        <v>1224</v>
      </c>
      <c r="E612" s="2" t="s">
        <v>2385</v>
      </c>
      <c r="F612" s="2" t="s">
        <v>2386</v>
      </c>
      <c r="G612" s="2"/>
      <c r="H612" s="2"/>
      <c r="I612" s="3" t="b">
        <f>OR(E612 = "calculated", E612 = "lookup", E612 = "aggregation")</f>
        <v>0</v>
      </c>
      <c r="J612" s="3" t="b">
        <f>H612 &lt;&gt; ""</f>
        <v>0</v>
      </c>
      <c r="K612" s="3">
        <f>COUNTIFS(FieldDisagreements!D2:D999, A612)</f>
        <v>0</v>
      </c>
      <c r="L612" s="3" t="b">
        <f>K612 &gt; 0</f>
        <v>0</v>
      </c>
      <c r="M612" s="2" t="s">
        <v>2387</v>
      </c>
    </row>
    <row r="613">
      <c r="A613" s="2" t="s">
        <v>3352</v>
      </c>
      <c r="B613" s="3" t="str">
        <f>C613 &amp; "." &amp; D613</f>
        <v>FAQs.SemanticTypeIri</v>
      </c>
      <c r="C613" s="2" t="s">
        <v>1825</v>
      </c>
      <c r="D613" s="2" t="s">
        <v>94</v>
      </c>
      <c r="E613" s="2" t="s">
        <v>2385</v>
      </c>
      <c r="F613" s="2" t="s">
        <v>2386</v>
      </c>
      <c r="G613" s="2"/>
      <c r="H613" s="2"/>
      <c r="I613" s="3" t="b">
        <f>OR(E613 = "calculated", E613 = "lookup", E613 = "aggregation")</f>
        <v>0</v>
      </c>
      <c r="J613" s="3" t="b">
        <f>H613 &lt;&gt; ""</f>
        <v>0</v>
      </c>
      <c r="K613" s="3">
        <f>COUNTIFS(FieldDisagreements!D2:D999, A613)</f>
        <v>0</v>
      </c>
      <c r="L613" s="3" t="b">
        <f>K613 &gt; 0</f>
        <v>0</v>
      </c>
      <c r="M613" s="2" t="s">
        <v>2387</v>
      </c>
    </row>
    <row r="614">
      <c r="A614" s="2" t="s">
        <v>3353</v>
      </c>
      <c r="B614" s="3" t="str">
        <f>C614 &amp; "." &amp; D614</f>
        <v>Explanations.ExplanationId</v>
      </c>
      <c r="C614" s="2" t="s">
        <v>1828</v>
      </c>
      <c r="D614" s="2" t="s">
        <v>1238</v>
      </c>
      <c r="E614" s="2" t="s">
        <v>2385</v>
      </c>
      <c r="F614" s="2" t="s">
        <v>2386</v>
      </c>
      <c r="G614" s="2"/>
      <c r="H614" s="2"/>
      <c r="I614" s="3" t="b">
        <f>OR(E614 = "calculated", E614 = "lookup", E614 = "aggregation")</f>
        <v>0</v>
      </c>
      <c r="J614" s="3" t="b">
        <f>H614 &lt;&gt; ""</f>
        <v>0</v>
      </c>
      <c r="K614" s="3">
        <f>COUNTIFS(FieldDisagreements!D2:D999, A614)</f>
        <v>0</v>
      </c>
      <c r="L614" s="3" t="b">
        <f>K614 &gt; 0</f>
        <v>0</v>
      </c>
      <c r="M614" s="2" t="s">
        <v>2387</v>
      </c>
    </row>
    <row r="615">
      <c r="A615" s="2" t="s">
        <v>3354</v>
      </c>
      <c r="B615" s="3" t="str">
        <f>C615 &amp; "." &amp; D615</f>
        <v>Explanations.Name</v>
      </c>
      <c r="C615" s="2" t="s">
        <v>1828</v>
      </c>
      <c r="D615" s="2" t="s">
        <v>1</v>
      </c>
      <c r="E615" s="2" t="s">
        <v>2389</v>
      </c>
      <c r="F615" s="2" t="s">
        <v>2386</v>
      </c>
      <c r="G615" s="2" t="s">
        <v>2652</v>
      </c>
      <c r="H615" s="2"/>
      <c r="I615" s="3" t="b">
        <f>OR(E615 = "calculated", E615 = "lookup", E615 = "aggregation")</f>
        <v>1</v>
      </c>
      <c r="J615" s="3" t="b">
        <f>H615 &lt;&gt; ""</f>
        <v>0</v>
      </c>
      <c r="K615" s="3">
        <f>COUNTIFS(FieldDisagreements!D2:D999, A615)</f>
        <v>0</v>
      </c>
      <c r="L615" s="3" t="b">
        <f>K615 &gt; 0</f>
        <v>0</v>
      </c>
      <c r="M615" s="2" t="s">
        <v>2387</v>
      </c>
    </row>
    <row r="616">
      <c r="A616" s="2" t="s">
        <v>3355</v>
      </c>
      <c r="B616" s="3" t="str">
        <f>C616 &amp; "." &amp; D616</f>
        <v>Explanations.ProcedureVersion</v>
      </c>
      <c r="C616" s="2" t="s">
        <v>1828</v>
      </c>
      <c r="D616" s="2" t="s">
        <v>477</v>
      </c>
      <c r="E616" s="2" t="s">
        <v>2434</v>
      </c>
      <c r="F616" s="2" t="s">
        <v>2386</v>
      </c>
      <c r="G616" s="2"/>
      <c r="H616" s="2"/>
      <c r="I616" s="3" t="b">
        <f>OR(E616 = "calculated", E616 = "lookup", E616 = "aggregation")</f>
        <v>0</v>
      </c>
      <c r="J616" s="3" t="b">
        <f>H616 &lt;&gt; ""</f>
        <v>0</v>
      </c>
      <c r="K616" s="3">
        <f>COUNTIFS(FieldDisagreements!D2:D999, A616)</f>
        <v>0</v>
      </c>
      <c r="L616" s="3" t="b">
        <f>K616 &gt; 0</f>
        <v>0</v>
      </c>
      <c r="M616" s="2" t="s">
        <v>2387</v>
      </c>
    </row>
    <row r="617">
      <c r="A617" s="2" t="s">
        <v>3356</v>
      </c>
      <c r="B617" s="3" t="str">
        <f>C617 &amp; "." &amp; D617</f>
        <v>Explanations.Step</v>
      </c>
      <c r="C617" s="2" t="s">
        <v>1828</v>
      </c>
      <c r="D617" s="2" t="s">
        <v>747</v>
      </c>
      <c r="E617" s="2" t="s">
        <v>2434</v>
      </c>
      <c r="F617" s="2" t="s">
        <v>2386</v>
      </c>
      <c r="G617" s="2"/>
      <c r="H617" s="2"/>
      <c r="I617" s="3" t="b">
        <f>OR(E617 = "calculated", E617 = "lookup", E617 = "aggregation")</f>
        <v>0</v>
      </c>
      <c r="J617" s="3" t="b">
        <f>H617 &lt;&gt; ""</f>
        <v>0</v>
      </c>
      <c r="K617" s="3">
        <f>COUNTIFS(FieldDisagreements!D2:D999, A617)</f>
        <v>0</v>
      </c>
      <c r="L617" s="3" t="b">
        <f>K617 &gt; 0</f>
        <v>0</v>
      </c>
      <c r="M617" s="2" t="s">
        <v>2387</v>
      </c>
    </row>
    <row r="618">
      <c r="A618" s="2" t="s">
        <v>3357</v>
      </c>
      <c r="B618" s="3" t="str">
        <f>C618 &amp; "." &amp; D618</f>
        <v>Explanations.Title</v>
      </c>
      <c r="C618" s="2" t="s">
        <v>1828</v>
      </c>
      <c r="D618" s="2" t="s">
        <v>358</v>
      </c>
      <c r="E618" s="2" t="s">
        <v>2385</v>
      </c>
      <c r="F618" s="2" t="s">
        <v>2386</v>
      </c>
      <c r="G618" s="2"/>
      <c r="H618" s="2"/>
      <c r="I618" s="3" t="b">
        <f>OR(E618 = "calculated", E618 = "lookup", E618 = "aggregation")</f>
        <v>0</v>
      </c>
      <c r="J618" s="3" t="b">
        <f>H618 &lt;&gt; ""</f>
        <v>0</v>
      </c>
      <c r="K618" s="3">
        <f>COUNTIFS(FieldDisagreements!D2:D999, A618)</f>
        <v>0</v>
      </c>
      <c r="L618" s="3" t="b">
        <f>K618 &gt; 0</f>
        <v>0</v>
      </c>
      <c r="M618" s="2" t="s">
        <v>2387</v>
      </c>
    </row>
    <row r="619">
      <c r="A619" s="2" t="s">
        <v>3358</v>
      </c>
      <c r="B619" s="3" t="str">
        <f>C619 &amp; "." &amp; D619</f>
        <v>Explanations.Description</v>
      </c>
      <c r="C619" s="2" t="s">
        <v>1828</v>
      </c>
      <c r="D619" s="2" t="s">
        <v>1003</v>
      </c>
      <c r="E619" s="2" t="s">
        <v>2385</v>
      </c>
      <c r="F619" s="2" t="s">
        <v>2386</v>
      </c>
      <c r="G619" s="2"/>
      <c r="H619" s="2"/>
      <c r="I619" s="3" t="b">
        <f>OR(E619 = "calculated", E619 = "lookup", E619 = "aggregation")</f>
        <v>0</v>
      </c>
      <c r="J619" s="3" t="b">
        <f>H619 &lt;&gt; ""</f>
        <v>0</v>
      </c>
      <c r="K619" s="3">
        <f>COUNTIFS(FieldDisagreements!D2:D999, A619)</f>
        <v>0</v>
      </c>
      <c r="L619" s="3" t="b">
        <f>K619 &gt; 0</f>
        <v>0</v>
      </c>
      <c r="M619" s="2" t="s">
        <v>2387</v>
      </c>
    </row>
    <row r="620">
      <c r="A620" s="2" t="s">
        <v>3359</v>
      </c>
      <c r="B620" s="3" t="str">
        <f>C620 &amp; "." &amp; D620</f>
        <v>Explanations.SemanticTypeIri</v>
      </c>
      <c r="C620" s="2" t="s">
        <v>1828</v>
      </c>
      <c r="D620" s="2" t="s">
        <v>94</v>
      </c>
      <c r="E620" s="2" t="s">
        <v>2385</v>
      </c>
      <c r="F620" s="2" t="s">
        <v>2386</v>
      </c>
      <c r="G620" s="2"/>
      <c r="H620" s="2"/>
      <c r="I620" s="3" t="b">
        <f>OR(E620 = "calculated", E620 = "lookup", E620 = "aggregation")</f>
        <v>0</v>
      </c>
      <c r="J620" s="3" t="b">
        <f>H620 &lt;&gt; ""</f>
        <v>0</v>
      </c>
      <c r="K620" s="3">
        <f>COUNTIFS(FieldDisagreements!D2:D999, A620)</f>
        <v>0</v>
      </c>
      <c r="L620" s="3" t="b">
        <f>K620 &gt; 0</f>
        <v>0</v>
      </c>
      <c r="M620" s="2" t="s">
        <v>2387</v>
      </c>
    </row>
    <row r="621">
      <c r="A621" s="2" t="s">
        <v>3360</v>
      </c>
      <c r="B621" s="3" t="str">
        <f>C621 &amp; "." &amp; D621</f>
        <v>ProcedureExecutions.ProcedureExecutionId</v>
      </c>
      <c r="C621" s="2" t="s">
        <v>1804</v>
      </c>
      <c r="D621" s="2" t="s">
        <v>1246</v>
      </c>
      <c r="E621" s="2" t="s">
        <v>2385</v>
      </c>
      <c r="F621" s="2" t="s">
        <v>2386</v>
      </c>
      <c r="G621" s="2"/>
      <c r="H621" s="2"/>
      <c r="I621" s="3" t="b">
        <f>OR(E621 = "calculated", E621 = "lookup", E621 = "aggregation")</f>
        <v>0</v>
      </c>
      <c r="J621" s="3" t="b">
        <f>H621 &lt;&gt; ""</f>
        <v>0</v>
      </c>
      <c r="K621" s="3">
        <f>COUNTIFS(FieldDisagreements!D2:D999, A621)</f>
        <v>0</v>
      </c>
      <c r="L621" s="3" t="b">
        <f>K621 &gt; 0</f>
        <v>0</v>
      </c>
      <c r="M621" s="2" t="s">
        <v>2387</v>
      </c>
    </row>
    <row r="622">
      <c r="A622" s="2" t="s">
        <v>3361</v>
      </c>
      <c r="B622" s="3" t="str">
        <f>C622 &amp; "." &amp; D622</f>
        <v>ProcedureExecutions.Name</v>
      </c>
      <c r="C622" s="2" t="s">
        <v>1804</v>
      </c>
      <c r="D622" s="2" t="s">
        <v>1</v>
      </c>
      <c r="E622" s="2" t="s">
        <v>2389</v>
      </c>
      <c r="F622" s="2" t="s">
        <v>2386</v>
      </c>
      <c r="G622" s="2" t="s">
        <v>3362</v>
      </c>
      <c r="H622" s="2"/>
      <c r="I622" s="3" t="b">
        <f>OR(E622 = "calculated", E622 = "lookup", E622 = "aggregation")</f>
        <v>1</v>
      </c>
      <c r="J622" s="3" t="b">
        <f>H622 &lt;&gt; ""</f>
        <v>0</v>
      </c>
      <c r="K622" s="3">
        <f>COUNTIFS(FieldDisagreements!D2:D999, A622)</f>
        <v>0</v>
      </c>
      <c r="L622" s="3" t="b">
        <f>K622 &gt; 0</f>
        <v>0</v>
      </c>
      <c r="M622" s="2" t="s">
        <v>2387</v>
      </c>
    </row>
    <row r="623">
      <c r="A623" s="2" t="s">
        <v>3363</v>
      </c>
      <c r="B623" s="3" t="str">
        <f>C623 &amp; "." &amp; D623</f>
        <v>ProcedureExecutions.ProcedureVersion</v>
      </c>
      <c r="C623" s="2" t="s">
        <v>1804</v>
      </c>
      <c r="D623" s="2" t="s">
        <v>477</v>
      </c>
      <c r="E623" s="2" t="s">
        <v>2434</v>
      </c>
      <c r="F623" s="2" t="s">
        <v>2386</v>
      </c>
      <c r="G623" s="2"/>
      <c r="H623" s="2"/>
      <c r="I623" s="3" t="b">
        <f>OR(E623 = "calculated", E623 = "lookup", E623 = "aggregation")</f>
        <v>0</v>
      </c>
      <c r="J623" s="3" t="b">
        <f>H623 &lt;&gt; ""</f>
        <v>0</v>
      </c>
      <c r="K623" s="3">
        <f>COUNTIFS(FieldDisagreements!D2:D999, A623)</f>
        <v>0</v>
      </c>
      <c r="L623" s="3" t="b">
        <f>K623 &gt; 0</f>
        <v>0</v>
      </c>
      <c r="M623" s="2" t="s">
        <v>2387</v>
      </c>
    </row>
    <row r="624">
      <c r="A624" s="2" t="s">
        <v>3364</v>
      </c>
      <c r="B624" s="3" t="str">
        <f>C624 &amp; "." &amp; D624</f>
        <v>ProcedureExecutions.ExecutionStatus</v>
      </c>
      <c r="C624" s="2" t="s">
        <v>1804</v>
      </c>
      <c r="D624" s="2" t="s">
        <v>1247</v>
      </c>
      <c r="E624" s="2" t="s">
        <v>2385</v>
      </c>
      <c r="F624" s="2" t="s">
        <v>2386</v>
      </c>
      <c r="G624" s="2"/>
      <c r="H624" s="2"/>
      <c r="I624" s="3" t="b">
        <f>OR(E624 = "calculated", E624 = "lookup", E624 = "aggregation")</f>
        <v>0</v>
      </c>
      <c r="J624" s="3" t="b">
        <f>H624 &lt;&gt; ""</f>
        <v>0</v>
      </c>
      <c r="K624" s="3">
        <f>COUNTIFS(FieldDisagreements!D2:D999, A624)</f>
        <v>0</v>
      </c>
      <c r="L624" s="3" t="b">
        <f>K624 &gt; 0</f>
        <v>0</v>
      </c>
      <c r="M624" s="2" t="s">
        <v>2387</v>
      </c>
    </row>
    <row r="625">
      <c r="A625" s="2" t="s">
        <v>3365</v>
      </c>
      <c r="B625" s="3" t="str">
        <f>C625 &amp; "." &amp; D625</f>
        <v>ProcedureExecutions.StartedAt</v>
      </c>
      <c r="C625" s="2" t="s">
        <v>1804</v>
      </c>
      <c r="D625" s="2" t="s">
        <v>1060</v>
      </c>
      <c r="E625" s="2" t="s">
        <v>2385</v>
      </c>
      <c r="F625" s="2" t="s">
        <v>2397</v>
      </c>
      <c r="G625" s="2"/>
      <c r="H625" s="2"/>
      <c r="I625" s="3" t="b">
        <f>OR(E625 = "calculated", E625 = "lookup", E625 = "aggregation")</f>
        <v>0</v>
      </c>
      <c r="J625" s="3" t="b">
        <f>H625 &lt;&gt; ""</f>
        <v>0</v>
      </c>
      <c r="K625" s="3">
        <f>COUNTIFS(FieldDisagreements!D2:D999, A625)</f>
        <v>0</v>
      </c>
      <c r="L625" s="3" t="b">
        <f>K625 &gt; 0</f>
        <v>0</v>
      </c>
      <c r="M625" s="2" t="s">
        <v>2387</v>
      </c>
    </row>
    <row r="626">
      <c r="A626" s="2" t="s">
        <v>3366</v>
      </c>
      <c r="B626" s="3" t="str">
        <f>C626 &amp; "." &amp; D626</f>
        <v>ProcedureExecutions.EndedAt</v>
      </c>
      <c r="C626" s="2" t="s">
        <v>1804</v>
      </c>
      <c r="D626" s="2" t="s">
        <v>1061</v>
      </c>
      <c r="E626" s="2" t="s">
        <v>2385</v>
      </c>
      <c r="F626" s="2" t="s">
        <v>2397</v>
      </c>
      <c r="G626" s="2"/>
      <c r="H626" s="2"/>
      <c r="I626" s="3" t="b">
        <f>OR(E626 = "calculated", E626 = "lookup", E626 = "aggregation")</f>
        <v>0</v>
      </c>
      <c r="J626" s="3" t="b">
        <f>H626 &lt;&gt; ""</f>
        <v>0</v>
      </c>
      <c r="K626" s="3">
        <f>COUNTIFS(FieldDisagreements!D2:D999, A626)</f>
        <v>0</v>
      </c>
      <c r="L626" s="3" t="b">
        <f>K626 &gt; 0</f>
        <v>0</v>
      </c>
      <c r="M626" s="2" t="s">
        <v>2387</v>
      </c>
    </row>
    <row r="627">
      <c r="A627" s="2" t="s">
        <v>3367</v>
      </c>
      <c r="B627" s="3" t="str">
        <f>C627 &amp; "." &amp; D627</f>
        <v>ProcedureExecutions.ExecutedByAgent</v>
      </c>
      <c r="C627" s="2" t="s">
        <v>1804</v>
      </c>
      <c r="D627" s="2" t="s">
        <v>1248</v>
      </c>
      <c r="E627" s="2" t="s">
        <v>2434</v>
      </c>
      <c r="F627" s="2" t="s">
        <v>2386</v>
      </c>
      <c r="G627" s="2"/>
      <c r="H627" s="2"/>
      <c r="I627" s="3" t="b">
        <f>OR(E627 = "calculated", E627 = "lookup", E627 = "aggregation")</f>
        <v>0</v>
      </c>
      <c r="J627" s="3" t="b">
        <f>H627 &lt;&gt; ""</f>
        <v>0</v>
      </c>
      <c r="K627" s="3">
        <f>COUNTIFS(FieldDisagreements!D2:D999, A627)</f>
        <v>0</v>
      </c>
      <c r="L627" s="3" t="b">
        <f>K627 &gt; 0</f>
        <v>0</v>
      </c>
      <c r="M627" s="2" t="s">
        <v>2387</v>
      </c>
    </row>
    <row r="628">
      <c r="A628" s="2" t="s">
        <v>3368</v>
      </c>
      <c r="B628" s="3" t="str">
        <f>C628 &amp; "." &amp; D628</f>
        <v>ProcedureExecutions.Context</v>
      </c>
      <c r="C628" s="2" t="s">
        <v>1804</v>
      </c>
      <c r="D628" s="2" t="s">
        <v>1249</v>
      </c>
      <c r="E628" s="2" t="s">
        <v>2385</v>
      </c>
      <c r="F628" s="2" t="s">
        <v>2386</v>
      </c>
      <c r="G628" s="2"/>
      <c r="H628" s="2"/>
      <c r="I628" s="3" t="b">
        <f>OR(E628 = "calculated", E628 = "lookup", E628 = "aggregation")</f>
        <v>0</v>
      </c>
      <c r="J628" s="3" t="b">
        <f>H628 &lt;&gt; ""</f>
        <v>0</v>
      </c>
      <c r="K628" s="3">
        <f>COUNTIFS(FieldDisagreements!D2:D999, A628)</f>
        <v>0</v>
      </c>
      <c r="L628" s="3" t="b">
        <f>K628 &gt; 0</f>
        <v>0</v>
      </c>
      <c r="M628" s="2" t="s">
        <v>2387</v>
      </c>
    </row>
    <row r="629">
      <c r="A629" s="2" t="s">
        <v>3369</v>
      </c>
      <c r="B629" s="3" t="str">
        <f>C629 &amp; "." &amp; D629</f>
        <v>ProcedureExecutions.OperationalRecordUri</v>
      </c>
      <c r="C629" s="2" t="s">
        <v>1804</v>
      </c>
      <c r="D629" s="2" t="s">
        <v>1250</v>
      </c>
      <c r="E629" s="2" t="s">
        <v>2385</v>
      </c>
      <c r="F629" s="2" t="s">
        <v>2386</v>
      </c>
      <c r="G629" s="2"/>
      <c r="H629" s="2"/>
      <c r="I629" s="3" t="b">
        <f>OR(E629 = "calculated", E629 = "lookup", E629 = "aggregation")</f>
        <v>0</v>
      </c>
      <c r="J629" s="3" t="b">
        <f>H629 &lt;&gt; ""</f>
        <v>0</v>
      </c>
      <c r="K629" s="3">
        <f>COUNTIFS(FieldDisagreements!D2:D999, A629)</f>
        <v>0</v>
      </c>
      <c r="L629" s="3" t="b">
        <f>K629 &gt; 0</f>
        <v>0</v>
      </c>
      <c r="M629" s="2" t="s">
        <v>2387</v>
      </c>
    </row>
    <row r="630">
      <c r="A630" s="2" t="s">
        <v>3370</v>
      </c>
      <c r="B630" s="3" t="str">
        <f>C630 &amp; "." &amp; D630</f>
        <v>ProcedureExecutions.ExpectedStepCount</v>
      </c>
      <c r="C630" s="2" t="s">
        <v>1804</v>
      </c>
      <c r="D630" s="2" t="s">
        <v>1251</v>
      </c>
      <c r="E630" s="2" t="s">
        <v>2478</v>
      </c>
      <c r="F630" s="2" t="s">
        <v>2444</v>
      </c>
      <c r="G630" s="2" t="s">
        <v>3371</v>
      </c>
      <c r="H630" s="2" t="s">
        <v>1968</v>
      </c>
      <c r="I630" s="3" t="b">
        <f>OR(E630 = "calculated", E630 = "lookup", E630 = "aggregation")</f>
        <v>1</v>
      </c>
      <c r="J630" s="3" t="b">
        <f>H630 &lt;&gt; ""</f>
        <v>1</v>
      </c>
      <c r="K630" s="3">
        <f>COUNTIFS(FieldDisagreements!D2:D999, A630)</f>
        <v>0</v>
      </c>
      <c r="L630" s="3" t="b">
        <f>K630 &gt; 0</f>
        <v>0</v>
      </c>
      <c r="M630" s="2" t="s">
        <v>2387</v>
      </c>
    </row>
    <row r="631">
      <c r="A631" s="2" t="s">
        <v>3372</v>
      </c>
      <c r="B631" s="3" t="str">
        <f>C631 &amp; "." &amp; D631</f>
        <v>ProcedureExecutions.CompletedStepCount</v>
      </c>
      <c r="C631" s="2" t="s">
        <v>1804</v>
      </c>
      <c r="D631" s="2" t="s">
        <v>1252</v>
      </c>
      <c r="E631" s="2" t="s">
        <v>2438</v>
      </c>
      <c r="F631" s="2" t="s">
        <v>2444</v>
      </c>
      <c r="G631" s="2" t="s">
        <v>3373</v>
      </c>
      <c r="H631" s="2" t="s">
        <v>1968</v>
      </c>
      <c r="I631" s="3" t="b">
        <f>OR(E631 = "calculated", E631 = "lookup", E631 = "aggregation")</f>
        <v>1</v>
      </c>
      <c r="J631" s="3" t="b">
        <f>H631 &lt;&gt; ""</f>
        <v>1</v>
      </c>
      <c r="K631" s="3">
        <f>COUNTIFS(FieldDisagreements!D2:D999, A631)</f>
        <v>0</v>
      </c>
      <c r="L631" s="3" t="b">
        <f>K631 &gt; 0</f>
        <v>0</v>
      </c>
      <c r="M631" s="2" t="s">
        <v>2387</v>
      </c>
    </row>
    <row r="632">
      <c r="A632" s="2" t="s">
        <v>3374</v>
      </c>
      <c r="B632" s="3" t="str">
        <f>C632 &amp; "." &amp; D632</f>
        <v>ProcedureExecutions.ControlBreachCount</v>
      </c>
      <c r="C632" s="2" t="s">
        <v>1804</v>
      </c>
      <c r="D632" s="2" t="s">
        <v>1253</v>
      </c>
      <c r="E632" s="2" t="s">
        <v>2438</v>
      </c>
      <c r="F632" s="2" t="s">
        <v>2444</v>
      </c>
      <c r="G632" s="2" t="s">
        <v>3375</v>
      </c>
      <c r="H632" s="2" t="s">
        <v>1968</v>
      </c>
      <c r="I632" s="3" t="b">
        <f>OR(E632 = "calculated", E632 = "lookup", E632 = "aggregation")</f>
        <v>1</v>
      </c>
      <c r="J632" s="3" t="b">
        <f>H632 &lt;&gt; ""</f>
        <v>1</v>
      </c>
      <c r="K632" s="3">
        <f>COUNTIFS(FieldDisagreements!D2:D999, A632)</f>
        <v>0</v>
      </c>
      <c r="L632" s="3" t="b">
        <f>K632 &gt; 0</f>
        <v>0</v>
      </c>
      <c r="M632" s="2" t="s">
        <v>2387</v>
      </c>
    </row>
    <row r="633">
      <c r="A633" s="2" t="s">
        <v>3376</v>
      </c>
      <c r="B633" s="3" t="str">
        <f>C633 &amp; "." &amp; D633</f>
        <v>ProcedureExecutions.LateStepCount</v>
      </c>
      <c r="C633" s="2" t="s">
        <v>1804</v>
      </c>
      <c r="D633" s="2" t="s">
        <v>1254</v>
      </c>
      <c r="E633" s="2" t="s">
        <v>2438</v>
      </c>
      <c r="F633" s="2" t="s">
        <v>2444</v>
      </c>
      <c r="G633" s="2" t="s">
        <v>3377</v>
      </c>
      <c r="H633" s="2" t="s">
        <v>1968</v>
      </c>
      <c r="I633" s="3" t="b">
        <f>OR(E633 = "calculated", E633 = "lookup", E633 = "aggregation")</f>
        <v>1</v>
      </c>
      <c r="J633" s="3" t="b">
        <f>H633 &lt;&gt; ""</f>
        <v>1</v>
      </c>
      <c r="K633" s="3">
        <f>COUNTIFS(FieldDisagreements!D2:D999, A633)</f>
        <v>2</v>
      </c>
      <c r="L633" s="3" t="b">
        <f>K633 &gt; 0</f>
        <v>1</v>
      </c>
      <c r="M633" s="2" t="s">
        <v>2387</v>
      </c>
    </row>
    <row r="634">
      <c r="A634" s="2" t="s">
        <v>3378</v>
      </c>
      <c r="B634" s="3" t="str">
        <f>C634 &amp; "." &amp; D634</f>
        <v>ProcedureExecutions.IsStructurallyComplete</v>
      </c>
      <c r="C634" s="2" t="s">
        <v>1804</v>
      </c>
      <c r="D634" s="2" t="s">
        <v>1255</v>
      </c>
      <c r="E634" s="2" t="s">
        <v>2389</v>
      </c>
      <c r="F634" s="2" t="s">
        <v>2401</v>
      </c>
      <c r="G634" s="2" t="s">
        <v>3379</v>
      </c>
      <c r="H634" s="2" t="s">
        <v>1968</v>
      </c>
      <c r="I634" s="3" t="b">
        <f>OR(E634 = "calculated", E634 = "lookup", E634 = "aggregation")</f>
        <v>1</v>
      </c>
      <c r="J634" s="3" t="b">
        <f>H634 &lt;&gt; ""</f>
        <v>1</v>
      </c>
      <c r="K634" s="3">
        <f>COUNTIFS(FieldDisagreements!D2:D999, A634)</f>
        <v>0</v>
      </c>
      <c r="L634" s="3" t="b">
        <f>K634 &gt; 0</f>
        <v>0</v>
      </c>
      <c r="M634" s="2" t="s">
        <v>2387</v>
      </c>
    </row>
    <row r="635">
      <c r="A635" s="2" t="s">
        <v>3380</v>
      </c>
      <c r="B635" s="3" t="str">
        <f>C635 &amp; "." &amp; D635</f>
        <v>ProcedureExecutions.DivergedFromSpecification</v>
      </c>
      <c r="C635" s="2" t="s">
        <v>1804</v>
      </c>
      <c r="D635" s="2" t="s">
        <v>1256</v>
      </c>
      <c r="E635" s="2" t="s">
        <v>2389</v>
      </c>
      <c r="F635" s="2" t="s">
        <v>2401</v>
      </c>
      <c r="G635" s="2" t="s">
        <v>3381</v>
      </c>
      <c r="H635" s="2" t="s">
        <v>1968</v>
      </c>
      <c r="I635" s="3" t="b">
        <f>OR(E635 = "calculated", E635 = "lookup", E635 = "aggregation")</f>
        <v>1</v>
      </c>
      <c r="J635" s="3" t="b">
        <f>H635 &lt;&gt; ""</f>
        <v>1</v>
      </c>
      <c r="K635" s="3">
        <f>COUNTIFS(FieldDisagreements!D2:D999, A635)</f>
        <v>0</v>
      </c>
      <c r="L635" s="3" t="b">
        <f>K635 &gt; 0</f>
        <v>0</v>
      </c>
      <c r="M635" s="2" t="s">
        <v>2387</v>
      </c>
    </row>
    <row r="636">
      <c r="A636" s="2" t="s">
        <v>3382</v>
      </c>
      <c r="B636" s="3" t="str">
        <f>C636 &amp; "." &amp; D636</f>
        <v>ProcedureExecutions.AllBlockingControlsEvaluated</v>
      </c>
      <c r="C636" s="2" t="s">
        <v>1804</v>
      </c>
      <c r="D636" s="2" t="s">
        <v>1257</v>
      </c>
      <c r="E636" s="2" t="s">
        <v>2389</v>
      </c>
      <c r="F636" s="2" t="s">
        <v>2401</v>
      </c>
      <c r="G636" s="2" t="s">
        <v>3383</v>
      </c>
      <c r="H636" s="2" t="s">
        <v>1976</v>
      </c>
      <c r="I636" s="3" t="b">
        <f>OR(E636 = "calculated", E636 = "lookup", E636 = "aggregation")</f>
        <v>1</v>
      </c>
      <c r="J636" s="3" t="b">
        <f>H636 &lt;&gt; ""</f>
        <v>1</v>
      </c>
      <c r="K636" s="3">
        <f>COUNTIFS(FieldDisagreements!D2:D999, A636)</f>
        <v>0</v>
      </c>
      <c r="L636" s="3" t="b">
        <f>K636 &gt; 0</f>
        <v>0</v>
      </c>
      <c r="M636" s="2" t="s">
        <v>2387</v>
      </c>
    </row>
    <row r="637">
      <c r="A637" s="2" t="s">
        <v>3384</v>
      </c>
      <c r="B637" s="3" t="str">
        <f>C637 &amp; "." &amp; D637</f>
        <v>ProcedureExecutions.UnevaluatedBlockingTotal</v>
      </c>
      <c r="C637" s="2" t="s">
        <v>1804</v>
      </c>
      <c r="D637" s="2" t="s">
        <v>1258</v>
      </c>
      <c r="E637" s="2" t="s">
        <v>2438</v>
      </c>
      <c r="F637" s="2" t="s">
        <v>2444</v>
      </c>
      <c r="G637" s="2" t="s">
        <v>3385</v>
      </c>
      <c r="H637" s="2" t="s">
        <v>1976</v>
      </c>
      <c r="I637" s="3" t="b">
        <f>OR(E637 = "calculated", E637 = "lookup", E637 = "aggregation")</f>
        <v>1</v>
      </c>
      <c r="J637" s="3" t="b">
        <f>H637 &lt;&gt; ""</f>
        <v>1</v>
      </c>
      <c r="K637" s="3">
        <f>COUNTIFS(FieldDisagreements!D2:D999, A637)</f>
        <v>0</v>
      </c>
      <c r="L637" s="3" t="b">
        <f>K637 &gt; 0</f>
        <v>0</v>
      </c>
      <c r="M637" s="2" t="s">
        <v>2387</v>
      </c>
    </row>
    <row r="638">
      <c r="A638" s="2" t="s">
        <v>3386</v>
      </c>
      <c r="B638" s="3" t="str">
        <f>C638 &amp; "." &amp; D638</f>
        <v>ProcedureExecutions.SeparationOfDutiesHeld</v>
      </c>
      <c r="C638" s="2" t="s">
        <v>1804</v>
      </c>
      <c r="D638" s="2" t="s">
        <v>1259</v>
      </c>
      <c r="E638" s="2" t="s">
        <v>2389</v>
      </c>
      <c r="F638" s="2" t="s">
        <v>2401</v>
      </c>
      <c r="G638" s="2" t="s">
        <v>3387</v>
      </c>
      <c r="H638" s="2" t="s">
        <v>1976</v>
      </c>
      <c r="I638" s="3" t="b">
        <f>OR(E638 = "calculated", E638 = "lookup", E638 = "aggregation")</f>
        <v>1</v>
      </c>
      <c r="J638" s="3" t="b">
        <f>H638 &lt;&gt; ""</f>
        <v>1</v>
      </c>
      <c r="K638" s="3">
        <f>COUNTIFS(FieldDisagreements!D2:D999, A638)</f>
        <v>0</v>
      </c>
      <c r="L638" s="3" t="b">
        <f>K638 &gt; 0</f>
        <v>0</v>
      </c>
      <c r="M638" s="2" t="s">
        <v>2387</v>
      </c>
    </row>
    <row r="639">
      <c r="A639" s="2" t="s">
        <v>3388</v>
      </c>
      <c r="B639" s="3" t="str">
        <f>C639 &amp; "." &amp; D639</f>
        <v>ProcedureExecutions.SeparationViolationCount</v>
      </c>
      <c r="C639" s="2" t="s">
        <v>1804</v>
      </c>
      <c r="D639" s="2" t="s">
        <v>1260</v>
      </c>
      <c r="E639" s="2" t="s">
        <v>2438</v>
      </c>
      <c r="F639" s="2" t="s">
        <v>2444</v>
      </c>
      <c r="G639" s="2" t="s">
        <v>3389</v>
      </c>
      <c r="H639" s="2" t="s">
        <v>1976</v>
      </c>
      <c r="I639" s="3" t="b">
        <f>OR(E639 = "calculated", E639 = "lookup", E639 = "aggregation")</f>
        <v>1</v>
      </c>
      <c r="J639" s="3" t="b">
        <f>H639 &lt;&gt; ""</f>
        <v>1</v>
      </c>
      <c r="K639" s="3">
        <f>COUNTIFS(FieldDisagreements!D2:D999, A639)</f>
        <v>0</v>
      </c>
      <c r="L639" s="3" t="b">
        <f>K639 &gt; 0</f>
        <v>0</v>
      </c>
      <c r="M639" s="2" t="s">
        <v>2387</v>
      </c>
    </row>
    <row r="640">
      <c r="A640" s="2" t="s">
        <v>3390</v>
      </c>
      <c r="B640" s="3" t="str">
        <f>C640 &amp; "." &amp; D640</f>
        <v>ProcedureExecutions.IsAttestationReady</v>
      </c>
      <c r="C640" s="2" t="s">
        <v>1804</v>
      </c>
      <c r="D640" s="2" t="s">
        <v>1261</v>
      </c>
      <c r="E640" s="2" t="s">
        <v>2389</v>
      </c>
      <c r="F640" s="2" t="s">
        <v>2401</v>
      </c>
      <c r="G640" s="2" t="s">
        <v>3391</v>
      </c>
      <c r="H640" s="2" t="s">
        <v>1976</v>
      </c>
      <c r="I640" s="3" t="b">
        <f>OR(E640 = "calculated", E640 = "lookup", E640 = "aggregation")</f>
        <v>1</v>
      </c>
      <c r="J640" s="3" t="b">
        <f>H640 &lt;&gt; ""</f>
        <v>1</v>
      </c>
      <c r="K640" s="3">
        <f>COUNTIFS(FieldDisagreements!D2:D999, A640)</f>
        <v>0</v>
      </c>
      <c r="L640" s="3" t="b">
        <f>K640 &gt; 0</f>
        <v>0</v>
      </c>
      <c r="M640" s="2" t="s">
        <v>2387</v>
      </c>
    </row>
    <row r="641">
      <c r="A641" s="2" t="s">
        <v>3392</v>
      </c>
      <c r="B641" s="3" t="str">
        <f>C641 &amp; "." &amp; D641</f>
        <v>ProcedureExecutions.AttestationBlockerSummary</v>
      </c>
      <c r="C641" s="2" t="s">
        <v>1804</v>
      </c>
      <c r="D641" s="2" t="s">
        <v>1262</v>
      </c>
      <c r="E641" s="2" t="s">
        <v>2389</v>
      </c>
      <c r="F641" s="2" t="s">
        <v>2386</v>
      </c>
      <c r="G641" s="2" t="s">
        <v>3393</v>
      </c>
      <c r="H641" s="2" t="s">
        <v>1976</v>
      </c>
      <c r="I641" s="3" t="b">
        <f>OR(E641 = "calculated", E641 = "lookup", E641 = "aggregation")</f>
        <v>1</v>
      </c>
      <c r="J641" s="3" t="b">
        <f>H641 &lt;&gt; ""</f>
        <v>1</v>
      </c>
      <c r="K641" s="3">
        <f>COUNTIFS(FieldDisagreements!D2:D999, A641)</f>
        <v>0</v>
      </c>
      <c r="L641" s="3" t="b">
        <f>K641 &gt; 0</f>
        <v>0</v>
      </c>
      <c r="M641" s="2" t="s">
        <v>2387</v>
      </c>
    </row>
    <row r="642">
      <c r="A642" s="2" t="s">
        <v>3394</v>
      </c>
      <c r="B642" s="3" t="str">
        <f>C642 &amp; "." &amp; D642</f>
        <v>ProcedureExecutions.ExecutedVersionIsFit</v>
      </c>
      <c r="C642" s="2" t="s">
        <v>1804</v>
      </c>
      <c r="D642" s="2" t="s">
        <v>1263</v>
      </c>
      <c r="E642" s="2" t="s">
        <v>2478</v>
      </c>
      <c r="F642" s="2" t="s">
        <v>2401</v>
      </c>
      <c r="G642" s="2" t="s">
        <v>3395</v>
      </c>
      <c r="H642" s="2" t="s">
        <v>1980</v>
      </c>
      <c r="I642" s="3" t="b">
        <f>OR(E642 = "calculated", E642 = "lookup", E642 = "aggregation")</f>
        <v>1</v>
      </c>
      <c r="J642" s="3" t="b">
        <f>H642 &lt;&gt; ""</f>
        <v>1</v>
      </c>
      <c r="K642" s="3">
        <f>COUNTIFS(FieldDisagreements!D2:D999, A642)</f>
        <v>0</v>
      </c>
      <c r="L642" s="3" t="b">
        <f>K642 &gt; 0</f>
        <v>0</v>
      </c>
      <c r="M642" s="2" t="s">
        <v>2387</v>
      </c>
    </row>
    <row r="643">
      <c r="A643" s="2" t="s">
        <v>3396</v>
      </c>
      <c r="B643" s="3" t="str">
        <f>C643 &amp; "." &amp; D643</f>
        <v>ProcedureExecutions.SignedAgainstUnfitVersion</v>
      </c>
      <c r="C643" s="2" t="s">
        <v>1804</v>
      </c>
      <c r="D643" s="2" t="s">
        <v>1264</v>
      </c>
      <c r="E643" s="2" t="s">
        <v>2389</v>
      </c>
      <c r="F643" s="2" t="s">
        <v>2401</v>
      </c>
      <c r="G643" s="2" t="s">
        <v>3397</v>
      </c>
      <c r="H643" s="2" t="s">
        <v>1980</v>
      </c>
      <c r="I643" s="3" t="b">
        <f>OR(E643 = "calculated", E643 = "lookup", E643 = "aggregation")</f>
        <v>1</v>
      </c>
      <c r="J643" s="3" t="b">
        <f>H643 &lt;&gt; ""</f>
        <v>1</v>
      </c>
      <c r="K643" s="3">
        <f>COUNTIFS(FieldDisagreements!D2:D999, A643)</f>
        <v>0</v>
      </c>
      <c r="L643" s="3" t="b">
        <f>K643 &gt; 0</f>
        <v>0</v>
      </c>
      <c r="M643" s="2" t="s">
        <v>2387</v>
      </c>
    </row>
    <row r="644">
      <c r="A644" s="2" t="s">
        <v>3398</v>
      </c>
      <c r="B644" s="3" t="str">
        <f>C644 &amp; "." &amp; D644</f>
        <v>ProcedureExecutions.AssertedOnlyControlCount</v>
      </c>
      <c r="C644" s="2" t="s">
        <v>1804</v>
      </c>
      <c r="D644" s="2" t="s">
        <v>1265</v>
      </c>
      <c r="E644" s="2" t="s">
        <v>2438</v>
      </c>
      <c r="F644" s="2" t="s">
        <v>2444</v>
      </c>
      <c r="G644" s="2" t="s">
        <v>3399</v>
      </c>
      <c r="H644" s="2" t="s">
        <v>1992</v>
      </c>
      <c r="I644" s="3" t="b">
        <f>OR(E644 = "calculated", E644 = "lookup", E644 = "aggregation")</f>
        <v>1</v>
      </c>
      <c r="J644" s="3" t="b">
        <f>H644 &lt;&gt; ""</f>
        <v>1</v>
      </c>
      <c r="K644" s="3">
        <f>COUNTIFS(FieldDisagreements!D2:D999, A644)</f>
        <v>0</v>
      </c>
      <c r="L644" s="3" t="b">
        <f>K644 &gt; 0</f>
        <v>0</v>
      </c>
      <c r="M644" s="2" t="s">
        <v>2387</v>
      </c>
    </row>
    <row r="645">
      <c r="A645" s="2" t="s">
        <v>3400</v>
      </c>
      <c r="B645" s="3" t="str">
        <f>C645 &amp; "." &amp; D645</f>
        <v>ProcedureExecutions.AssuranceIsMostlyAsserted</v>
      </c>
      <c r="C645" s="2" t="s">
        <v>1804</v>
      </c>
      <c r="D645" s="2" t="s">
        <v>1266</v>
      </c>
      <c r="E645" s="2" t="s">
        <v>2389</v>
      </c>
      <c r="F645" s="2" t="s">
        <v>2401</v>
      </c>
      <c r="G645" s="2" t="s">
        <v>3401</v>
      </c>
      <c r="H645" s="2" t="s">
        <v>1992</v>
      </c>
      <c r="I645" s="3" t="b">
        <f>OR(E645 = "calculated", E645 = "lookup", E645 = "aggregation")</f>
        <v>1</v>
      </c>
      <c r="J645" s="3" t="b">
        <f>H645 &lt;&gt; ""</f>
        <v>1</v>
      </c>
      <c r="K645" s="3">
        <f>COUNTIFS(FieldDisagreements!D2:D999, A645)</f>
        <v>0</v>
      </c>
      <c r="L645" s="3" t="b">
        <f>K645 &gt; 0</f>
        <v>0</v>
      </c>
      <c r="M645" s="2" t="s">
        <v>2387</v>
      </c>
    </row>
    <row r="646">
      <c r="A646" s="2" t="s">
        <v>3402</v>
      </c>
      <c r="B646" s="3" t="str">
        <f>C646 &amp; "." &amp; D646</f>
        <v>ProcedureExecutions.UnreachableHandlingFailureCount</v>
      </c>
      <c r="C646" s="2" t="s">
        <v>1804</v>
      </c>
      <c r="D646" s="2" t="s">
        <v>1267</v>
      </c>
      <c r="E646" s="2" t="s">
        <v>2438</v>
      </c>
      <c r="F646" s="2" t="s">
        <v>2444</v>
      </c>
      <c r="G646" s="2" t="s">
        <v>3403</v>
      </c>
      <c r="H646" s="2" t="s">
        <v>2044</v>
      </c>
      <c r="I646" s="3" t="b">
        <f>OR(E646 = "calculated", E646 = "lookup", E646 = "aggregation")</f>
        <v>1</v>
      </c>
      <c r="J646" s="3" t="b">
        <f>H646 &lt;&gt; ""</f>
        <v>1</v>
      </c>
      <c r="K646" s="3">
        <f>COUNTIFS(FieldDisagreements!D2:D999, A646)</f>
        <v>0</v>
      </c>
      <c r="L646" s="3" t="b">
        <f>K646 &gt; 0</f>
        <v>0</v>
      </c>
      <c r="M646" s="2" t="s">
        <v>2387</v>
      </c>
    </row>
    <row r="647">
      <c r="A647" s="2" t="s">
        <v>3404</v>
      </c>
      <c r="B647" s="3" t="str">
        <f>C647 &amp; "." &amp; D647</f>
        <v>ProcedureExecutions.RetentionBreachCount</v>
      </c>
      <c r="C647" s="2" t="s">
        <v>1804</v>
      </c>
      <c r="D647" s="2" t="s">
        <v>1268</v>
      </c>
      <c r="E647" s="2" t="s">
        <v>2438</v>
      </c>
      <c r="F647" s="2" t="s">
        <v>2444</v>
      </c>
      <c r="G647" s="2" t="s">
        <v>3405</v>
      </c>
      <c r="H647" s="2" t="s">
        <v>2048</v>
      </c>
      <c r="I647" s="3" t="b">
        <f>OR(E647 = "calculated", E647 = "lookup", E647 = "aggregation")</f>
        <v>1</v>
      </c>
      <c r="J647" s="3" t="b">
        <f>H647 &lt;&gt; ""</f>
        <v>1</v>
      </c>
      <c r="K647" s="3">
        <f>COUNTIFS(FieldDisagreements!D2:D999, A647)</f>
        <v>0</v>
      </c>
      <c r="L647" s="3" t="b">
        <f>K647 &gt; 0</f>
        <v>0</v>
      </c>
      <c r="M647" s="2" t="s">
        <v>2387</v>
      </c>
    </row>
    <row r="648">
      <c r="A648" s="2" t="s">
        <v>3406</v>
      </c>
      <c r="B648" s="3" t="str">
        <f>C648 &amp; "." &amp; D648</f>
        <v>ProcedureExecutions.ClearedLegalReviewCount</v>
      </c>
      <c r="C648" s="2" t="s">
        <v>1804</v>
      </c>
      <c r="D648" s="2" t="s">
        <v>1269</v>
      </c>
      <c r="E648" s="2" t="s">
        <v>2438</v>
      </c>
      <c r="F648" s="2" t="s">
        <v>2444</v>
      </c>
      <c r="G648" s="2" t="s">
        <v>3407</v>
      </c>
      <c r="H648" s="2" t="s">
        <v>2052</v>
      </c>
      <c r="I648" s="3" t="b">
        <f>OR(E648 = "calculated", E648 = "lookup", E648 = "aggregation")</f>
        <v>1</v>
      </c>
      <c r="J648" s="3" t="b">
        <f>H648 &lt;&gt; ""</f>
        <v>1</v>
      </c>
      <c r="K648" s="3">
        <f>COUNTIFS(FieldDisagreements!D2:D999, A648)</f>
        <v>0</v>
      </c>
      <c r="L648" s="3" t="b">
        <f>K648 &gt; 0</f>
        <v>0</v>
      </c>
      <c r="M648" s="2" t="s">
        <v>2387</v>
      </c>
    </row>
    <row r="649">
      <c r="A649" s="2" t="s">
        <v>3408</v>
      </c>
      <c r="B649" s="3" t="str">
        <f>C649 &amp; "." &amp; D649</f>
        <v>ProcedureExecutions.HasClearedLegalReview</v>
      </c>
      <c r="C649" s="2" t="s">
        <v>1804</v>
      </c>
      <c r="D649" s="2" t="s">
        <v>1270</v>
      </c>
      <c r="E649" s="2" t="s">
        <v>2389</v>
      </c>
      <c r="F649" s="2" t="s">
        <v>2401</v>
      </c>
      <c r="G649" s="2" t="s">
        <v>3409</v>
      </c>
      <c r="H649" s="2" t="s">
        <v>2052</v>
      </c>
      <c r="I649" s="3" t="b">
        <f>OR(E649 = "calculated", E649 = "lookup", E649 = "aggregation")</f>
        <v>1</v>
      </c>
      <c r="J649" s="3" t="b">
        <f>H649 &lt;&gt; ""</f>
        <v>1</v>
      </c>
      <c r="K649" s="3">
        <f>COUNTIFS(FieldDisagreements!D2:D999, A649)</f>
        <v>0</v>
      </c>
      <c r="L649" s="3" t="b">
        <f>K649 &gt; 0</f>
        <v>0</v>
      </c>
      <c r="M649" s="2" t="s">
        <v>2387</v>
      </c>
    </row>
    <row r="650">
      <c r="A650" s="2" t="s">
        <v>3410</v>
      </c>
      <c r="B650" s="3" t="str">
        <f>C650 &amp; "." &amp; D650</f>
        <v>ProcedureExecutions.AbandonedFailureCount</v>
      </c>
      <c r="C650" s="2" t="s">
        <v>1804</v>
      </c>
      <c r="D650" s="2" t="s">
        <v>1271</v>
      </c>
      <c r="E650" s="2" t="s">
        <v>2438</v>
      </c>
      <c r="F650" s="2" t="s">
        <v>2444</v>
      </c>
      <c r="G650" s="2" t="s">
        <v>3411</v>
      </c>
      <c r="H650" s="2" t="s">
        <v>2068</v>
      </c>
      <c r="I650" s="3" t="b">
        <f>OR(E650 = "calculated", E650 = "lookup", E650 = "aggregation")</f>
        <v>1</v>
      </c>
      <c r="J650" s="3" t="b">
        <f>H650 &lt;&gt; ""</f>
        <v>1</v>
      </c>
      <c r="K650" s="3">
        <f>COUNTIFS(FieldDisagreements!D2:D999, A650)</f>
        <v>0</v>
      </c>
      <c r="L650" s="3" t="b">
        <f>K650 &gt; 0</f>
        <v>0</v>
      </c>
      <c r="M650" s="2" t="s">
        <v>2387</v>
      </c>
    </row>
    <row r="651">
      <c r="A651" s="2" t="s">
        <v>3412</v>
      </c>
      <c r="B651" s="3" t="str">
        <f>C651 &amp; "." &amp; D651</f>
        <v>ProcedureExecutions.DeliveredCount</v>
      </c>
      <c r="C651" s="2" t="s">
        <v>1804</v>
      </c>
      <c r="D651" s="2" t="s">
        <v>1272</v>
      </c>
      <c r="E651" s="2" t="s">
        <v>2438</v>
      </c>
      <c r="F651" s="2" t="s">
        <v>2444</v>
      </c>
      <c r="G651" s="2" t="s">
        <v>3413</v>
      </c>
      <c r="H651" s="2" t="s">
        <v>2068</v>
      </c>
      <c r="I651" s="3" t="b">
        <f>OR(E651 = "calculated", E651 = "lookup", E651 = "aggregation")</f>
        <v>1</v>
      </c>
      <c r="J651" s="3" t="b">
        <f>H651 &lt;&gt; ""</f>
        <v>1</v>
      </c>
      <c r="K651" s="3">
        <f>COUNTIFS(FieldDisagreements!D2:D999, A651)</f>
        <v>0</v>
      </c>
      <c r="L651" s="3" t="b">
        <f>K651 &gt; 0</f>
        <v>0</v>
      </c>
      <c r="M651" s="2" t="s">
        <v>2387</v>
      </c>
    </row>
    <row r="652">
      <c r="A652" s="2" t="s">
        <v>3414</v>
      </c>
      <c r="B652" s="3" t="str">
        <f>C652 &amp; "." &amp; D652</f>
        <v>ProcedureExecutions.TotalDeliveryAttemptCount</v>
      </c>
      <c r="C652" s="2" t="s">
        <v>1804</v>
      </c>
      <c r="D652" s="2" t="s">
        <v>1273</v>
      </c>
      <c r="E652" s="2" t="s">
        <v>2438</v>
      </c>
      <c r="F652" s="2" t="s">
        <v>2444</v>
      </c>
      <c r="G652" s="2" t="s">
        <v>3415</v>
      </c>
      <c r="H652" s="2" t="s">
        <v>2068</v>
      </c>
      <c r="I652" s="3" t="b">
        <f>OR(E652 = "calculated", E652 = "lookup", E652 = "aggregation")</f>
        <v>1</v>
      </c>
      <c r="J652" s="3" t="b">
        <f>H652 &lt;&gt; ""</f>
        <v>1</v>
      </c>
      <c r="K652" s="3">
        <f>COUNTIFS(FieldDisagreements!D2:D999, A652)</f>
        <v>0</v>
      </c>
      <c r="L652" s="3" t="b">
        <f>K652 &gt; 0</f>
        <v>0</v>
      </c>
      <c r="M652" s="2" t="s">
        <v>2387</v>
      </c>
    </row>
    <row r="653">
      <c r="A653" s="2" t="s">
        <v>3416</v>
      </c>
      <c r="B653" s="3" t="str">
        <f>C653 &amp; "." &amp; D653</f>
        <v>ProcedureExecutions.HasAbandonedFailures</v>
      </c>
      <c r="C653" s="2" t="s">
        <v>1804</v>
      </c>
      <c r="D653" s="2" t="s">
        <v>1274</v>
      </c>
      <c r="E653" s="2" t="s">
        <v>2389</v>
      </c>
      <c r="F653" s="2" t="s">
        <v>2401</v>
      </c>
      <c r="G653" s="2" t="s">
        <v>3417</v>
      </c>
      <c r="H653" s="2" t="s">
        <v>2068</v>
      </c>
      <c r="I653" s="3" t="b">
        <f>OR(E653 = "calculated", E653 = "lookup", E653 = "aggregation")</f>
        <v>1</v>
      </c>
      <c r="J653" s="3" t="b">
        <f>H653 &lt;&gt; ""</f>
        <v>1</v>
      </c>
      <c r="K653" s="3">
        <f>COUNTIFS(FieldDisagreements!D2:D999, A653)</f>
        <v>0</v>
      </c>
      <c r="L653" s="3" t="b">
        <f>K653 &gt; 0</f>
        <v>0</v>
      </c>
      <c r="M653" s="2" t="s">
        <v>2387</v>
      </c>
    </row>
    <row r="654">
      <c r="A654" s="2" t="s">
        <v>3418</v>
      </c>
      <c r="B654" s="3" t="str">
        <f>C654 &amp; "." &amp; D654</f>
        <v>ProcedureExecutions.MishandledRefusalCount</v>
      </c>
      <c r="C654" s="2" t="s">
        <v>1804</v>
      </c>
      <c r="D654" s="2" t="s">
        <v>1275</v>
      </c>
      <c r="E654" s="2" t="s">
        <v>2438</v>
      </c>
      <c r="F654" s="2" t="s">
        <v>2444</v>
      </c>
      <c r="G654" s="2" t="s">
        <v>3419</v>
      </c>
      <c r="H654" s="2" t="s">
        <v>2092</v>
      </c>
      <c r="I654" s="3" t="b">
        <f>OR(E654 = "calculated", E654 = "lookup", E654 = "aggregation")</f>
        <v>1</v>
      </c>
      <c r="J654" s="3" t="b">
        <f>H654 &lt;&gt; ""</f>
        <v>1</v>
      </c>
      <c r="K654" s="3">
        <f>COUNTIFS(FieldDisagreements!D2:D999, A654)</f>
        <v>1</v>
      </c>
      <c r="L654" s="3" t="b">
        <f>K654 &gt; 0</f>
        <v>1</v>
      </c>
      <c r="M654" s="2" t="s">
        <v>2387</v>
      </c>
    </row>
    <row r="655">
      <c r="A655" s="2" t="s">
        <v>3420</v>
      </c>
      <c r="B655" s="3" t="str">
        <f>C655 &amp; "." &amp; D655</f>
        <v>ProcedureExecutions.UncleanStepCount</v>
      </c>
      <c r="C655" s="2" t="s">
        <v>1804</v>
      </c>
      <c r="D655" s="2" t="s">
        <v>1276</v>
      </c>
      <c r="E655" s="2" t="s">
        <v>2438</v>
      </c>
      <c r="F655" s="2" t="s">
        <v>2444</v>
      </c>
      <c r="G655" s="2" t="s">
        <v>3421</v>
      </c>
      <c r="H655" s="2" t="s">
        <v>2104</v>
      </c>
      <c r="I655" s="3" t="b">
        <f>OR(E655 = "calculated", E655 = "lookup", E655 = "aggregation")</f>
        <v>1</v>
      </c>
      <c r="J655" s="3" t="b">
        <f>H655 &lt;&gt; ""</f>
        <v>1</v>
      </c>
      <c r="K655" s="3">
        <f>COUNTIFS(FieldDisagreements!D2:D999, A655)</f>
        <v>2</v>
      </c>
      <c r="L655" s="3" t="b">
        <f>K655 &gt; 0</f>
        <v>1</v>
      </c>
      <c r="M655" s="2" t="s">
        <v>2387</v>
      </c>
    </row>
    <row r="656">
      <c r="A656" s="2" t="s">
        <v>3422</v>
      </c>
      <c r="B656" s="3" t="str">
        <f>C656 &amp; "." &amp; D656</f>
        <v>ProcedureExecutions.RanClean</v>
      </c>
      <c r="C656" s="2" t="s">
        <v>1804</v>
      </c>
      <c r="D656" s="2" t="s">
        <v>1277</v>
      </c>
      <c r="E656" s="2" t="s">
        <v>2389</v>
      </c>
      <c r="F656" s="2" t="s">
        <v>2401</v>
      </c>
      <c r="G656" s="2" t="s">
        <v>3423</v>
      </c>
      <c r="H656" s="2" t="s">
        <v>2104</v>
      </c>
      <c r="I656" s="3" t="b">
        <f>OR(E656 = "calculated", E656 = "lookup", E656 = "aggregation")</f>
        <v>1</v>
      </c>
      <c r="J656" s="3" t="b">
        <f>H656 &lt;&gt; ""</f>
        <v>1</v>
      </c>
      <c r="K656" s="3">
        <f>COUNTIFS(FieldDisagreements!D2:D999, A656)</f>
        <v>1</v>
      </c>
      <c r="L656" s="3" t="b">
        <f>K656 &gt; 0</f>
        <v>1</v>
      </c>
      <c r="M656" s="2" t="s">
        <v>2387</v>
      </c>
    </row>
    <row r="657">
      <c r="A657" s="2" t="s">
        <v>3424</v>
      </c>
      <c r="B657" s="3" t="str">
        <f>C657 &amp; "." &amp; D657</f>
        <v>ProcedureExecutions.CountOfApprovalExecutions</v>
      </c>
      <c r="C657" s="2" t="s">
        <v>1804</v>
      </c>
      <c r="D657" s="2" t="s">
        <v>1278</v>
      </c>
      <c r="E657" s="2" t="s">
        <v>2438</v>
      </c>
      <c r="F657" s="2" t="s">
        <v>2439</v>
      </c>
      <c r="G657" s="2" t="s">
        <v>3425</v>
      </c>
      <c r="H657" s="2" t="s">
        <v>2128</v>
      </c>
      <c r="I657" s="3" t="b">
        <f>OR(E657 = "calculated", E657 = "lookup", E657 = "aggregation")</f>
        <v>1</v>
      </c>
      <c r="J657" s="3" t="b">
        <f>H657 &lt;&gt; ""</f>
        <v>1</v>
      </c>
      <c r="K657" s="3">
        <f>COUNTIFS(FieldDisagreements!D2:D999, A657)</f>
        <v>0</v>
      </c>
      <c r="L657" s="3" t="b">
        <f>K657 &gt; 0</f>
        <v>0</v>
      </c>
      <c r="M657" s="2" t="s">
        <v>2387</v>
      </c>
    </row>
    <row r="658">
      <c r="A658" s="2" t="s">
        <v>3426</v>
      </c>
      <c r="B658" s="3" t="str">
        <f>C658 &amp; "." &amp; D658</f>
        <v>ProcedureExecutions.HasHumanApproval</v>
      </c>
      <c r="C658" s="2" t="s">
        <v>1804</v>
      </c>
      <c r="D658" s="2" t="s">
        <v>1279</v>
      </c>
      <c r="E658" s="2" t="s">
        <v>2389</v>
      </c>
      <c r="F658" s="2" t="s">
        <v>2401</v>
      </c>
      <c r="G658" s="2" t="s">
        <v>3427</v>
      </c>
      <c r="H658" s="2" t="s">
        <v>2128</v>
      </c>
      <c r="I658" s="3" t="b">
        <f>OR(E658 = "calculated", E658 = "lookup", E658 = "aggregation")</f>
        <v>1</v>
      </c>
      <c r="J658" s="3" t="b">
        <f>H658 &lt;&gt; ""</f>
        <v>1</v>
      </c>
      <c r="K658" s="3">
        <f>COUNTIFS(FieldDisagreements!D2:D999, A658)</f>
        <v>0</v>
      </c>
      <c r="L658" s="3" t="b">
        <f>K658 &gt; 0</f>
        <v>0</v>
      </c>
      <c r="M658" s="2" t="s">
        <v>2387</v>
      </c>
    </row>
    <row r="659">
      <c r="A659" s="2" t="s">
        <v>3428</v>
      </c>
      <c r="B659" s="3" t="str">
        <f>C659 &amp; "." &amp; D659</f>
        <v>ProcedureExecutions.CountOfDeliveryExecutions</v>
      </c>
      <c r="C659" s="2" t="s">
        <v>1804</v>
      </c>
      <c r="D659" s="2" t="s">
        <v>1280</v>
      </c>
      <c r="E659" s="2" t="s">
        <v>2438</v>
      </c>
      <c r="F659" s="2" t="s">
        <v>2439</v>
      </c>
      <c r="G659" s="2" t="s">
        <v>3429</v>
      </c>
      <c r="H659" s="2" t="s">
        <v>2128</v>
      </c>
      <c r="I659" s="3" t="b">
        <f>OR(E659 = "calculated", E659 = "lookup", E659 = "aggregation")</f>
        <v>1</v>
      </c>
      <c r="J659" s="3" t="b">
        <f>H659 &lt;&gt; ""</f>
        <v>1</v>
      </c>
      <c r="K659" s="3">
        <f>COUNTIFS(FieldDisagreements!D2:D999, A659)</f>
        <v>0</v>
      </c>
      <c r="L659" s="3" t="b">
        <f>K659 &gt; 0</f>
        <v>0</v>
      </c>
      <c r="M659" s="2" t="s">
        <v>2387</v>
      </c>
    </row>
    <row r="660">
      <c r="A660" s="2" t="s">
        <v>3430</v>
      </c>
      <c r="B660" s="3" t="str">
        <f>C660 &amp; "." &amp; D660</f>
        <v>ProcedureExecutions.HasDelivered</v>
      </c>
      <c r="C660" s="2" t="s">
        <v>1804</v>
      </c>
      <c r="D660" s="2" t="s">
        <v>1281</v>
      </c>
      <c r="E660" s="2" t="s">
        <v>2389</v>
      </c>
      <c r="F660" s="2" t="s">
        <v>2401</v>
      </c>
      <c r="G660" s="2" t="s">
        <v>3431</v>
      </c>
      <c r="H660" s="2" t="s">
        <v>2128</v>
      </c>
      <c r="I660" s="3" t="b">
        <f>OR(E660 = "calculated", E660 = "lookup", E660 = "aggregation")</f>
        <v>1</v>
      </c>
      <c r="J660" s="3" t="b">
        <f>H660 &lt;&gt; ""</f>
        <v>1</v>
      </c>
      <c r="K660" s="3">
        <f>COUNTIFS(FieldDisagreements!D2:D999, A660)</f>
        <v>0</v>
      </c>
      <c r="L660" s="3" t="b">
        <f>K660 &gt; 0</f>
        <v>0</v>
      </c>
      <c r="M660" s="2" t="s">
        <v>2387</v>
      </c>
    </row>
    <row r="661">
      <c r="A661" s="2" t="s">
        <v>3432</v>
      </c>
      <c r="B661" s="3" t="str">
        <f>C661 &amp; "." &amp; D661</f>
        <v>ProcedureExecutions.DeliveredWithoutApproval</v>
      </c>
      <c r="C661" s="2" t="s">
        <v>1804</v>
      </c>
      <c r="D661" s="2" t="s">
        <v>1282</v>
      </c>
      <c r="E661" s="2" t="s">
        <v>2389</v>
      </c>
      <c r="F661" s="2" t="s">
        <v>2401</v>
      </c>
      <c r="G661" s="2" t="s">
        <v>3433</v>
      </c>
      <c r="H661" s="2" t="s">
        <v>2128</v>
      </c>
      <c r="I661" s="3" t="b">
        <f>OR(E661 = "calculated", E661 = "lookup", E661 = "aggregation")</f>
        <v>1</v>
      </c>
      <c r="J661" s="3" t="b">
        <f>H661 &lt;&gt; ""</f>
        <v>1</v>
      </c>
      <c r="K661" s="3">
        <f>COUNTIFS(FieldDisagreements!D2:D999, A661)</f>
        <v>0</v>
      </c>
      <c r="L661" s="3" t="b">
        <f>K661 &gt; 0</f>
        <v>0</v>
      </c>
      <c r="M661" s="2" t="s">
        <v>2387</v>
      </c>
    </row>
    <row r="662">
      <c r="A662" s="2" t="s">
        <v>3434</v>
      </c>
      <c r="B662" s="3" t="str">
        <f>C662 &amp; "." &amp; D662</f>
        <v>ProcedureExecutions.InvalidApprovalCount</v>
      </c>
      <c r="C662" s="2" t="s">
        <v>1804</v>
      </c>
      <c r="D662" s="2" t="s">
        <v>1283</v>
      </c>
      <c r="E662" s="2" t="s">
        <v>2438</v>
      </c>
      <c r="F662" s="2" t="s">
        <v>2444</v>
      </c>
      <c r="G662" s="2" t="s">
        <v>3435</v>
      </c>
      <c r="H662" s="2" t="s">
        <v>2172</v>
      </c>
      <c r="I662" s="3" t="b">
        <f>OR(E662 = "calculated", E662 = "lookup", E662 = "aggregation")</f>
        <v>1</v>
      </c>
      <c r="J662" s="3" t="b">
        <f>H662 &lt;&gt; ""</f>
        <v>1</v>
      </c>
      <c r="K662" s="3">
        <f>COUNTIFS(FieldDisagreements!D2:D999, A662)</f>
        <v>0</v>
      </c>
      <c r="L662" s="3" t="b">
        <f>K662 &gt; 0</f>
        <v>0</v>
      </c>
      <c r="M662" s="2" t="s">
        <v>2387</v>
      </c>
    </row>
    <row r="663">
      <c r="A663" s="2" t="s">
        <v>3436</v>
      </c>
      <c r="B663" s="3" t="str">
        <f>C663 &amp; "." &amp; D663</f>
        <v>ProcedureExecutions.ApprovalChainIsComplete</v>
      </c>
      <c r="C663" s="2" t="s">
        <v>1804</v>
      </c>
      <c r="D663" s="2" t="s">
        <v>1284</v>
      </c>
      <c r="E663" s="2" t="s">
        <v>2389</v>
      </c>
      <c r="F663" s="2" t="s">
        <v>2401</v>
      </c>
      <c r="G663" s="2" t="s">
        <v>3437</v>
      </c>
      <c r="H663" s="2" t="s">
        <v>2172</v>
      </c>
      <c r="I663" s="3" t="b">
        <f>OR(E663 = "calculated", E663 = "lookup", E663 = "aggregation")</f>
        <v>1</v>
      </c>
      <c r="J663" s="3" t="b">
        <f>H663 &lt;&gt; ""</f>
        <v>1</v>
      </c>
      <c r="K663" s="3">
        <f>COUNTIFS(FieldDisagreements!D2:D999, A663)</f>
        <v>0</v>
      </c>
      <c r="L663" s="3" t="b">
        <f>K663 &gt; 0</f>
        <v>0</v>
      </c>
      <c r="M663" s="2" t="s">
        <v>2387</v>
      </c>
    </row>
    <row r="664">
      <c r="A664" s="2" t="s">
        <v>3438</v>
      </c>
      <c r="B664" s="3" t="str">
        <f>C664 &amp; "." &amp; D664</f>
        <v>ProcedureExecutions.VacuouslyCleanStepCount</v>
      </c>
      <c r="C664" s="2" t="s">
        <v>1804</v>
      </c>
      <c r="D664" s="2" t="s">
        <v>1285</v>
      </c>
      <c r="E664" s="2" t="s">
        <v>2438</v>
      </c>
      <c r="F664" s="2" t="s">
        <v>2444</v>
      </c>
      <c r="G664" s="2" t="s">
        <v>3439</v>
      </c>
      <c r="H664" s="2" t="s">
        <v>2248</v>
      </c>
      <c r="I664" s="3" t="b">
        <f>OR(E664 = "calculated", E664 = "lookup", E664 = "aggregation")</f>
        <v>1</v>
      </c>
      <c r="J664" s="3" t="b">
        <f>H664 &lt;&gt; ""</f>
        <v>1</v>
      </c>
      <c r="K664" s="3">
        <f>COUNTIFS(FieldDisagreements!D2:D999, A664)</f>
        <v>2</v>
      </c>
      <c r="L664" s="3" t="b">
        <f>K664 &gt; 0</f>
        <v>1</v>
      </c>
      <c r="M664" s="2" t="s">
        <v>2387</v>
      </c>
    </row>
    <row r="665">
      <c r="A665" s="2" t="s">
        <v>3440</v>
      </c>
      <c r="B665" s="3" t="str">
        <f>C665 &amp; "." &amp; D665</f>
        <v>ProcedureExecutions.PreparationStepCount</v>
      </c>
      <c r="C665" s="2" t="s">
        <v>1804</v>
      </c>
      <c r="D665" s="2" t="s">
        <v>1286</v>
      </c>
      <c r="E665" s="2" t="s">
        <v>2438</v>
      </c>
      <c r="F665" s="2" t="s">
        <v>2444</v>
      </c>
      <c r="G665" s="2" t="s">
        <v>3441</v>
      </c>
      <c r="H665" s="2" t="s">
        <v>2264</v>
      </c>
      <c r="I665" s="3" t="b">
        <f>OR(E665 = "calculated", E665 = "lookup", E665 = "aggregation")</f>
        <v>1</v>
      </c>
      <c r="J665" s="3" t="b">
        <f>H665 &lt;&gt; ""</f>
        <v>1</v>
      </c>
      <c r="K665" s="3">
        <f>COUNTIFS(FieldDisagreements!D2:D999, A665)</f>
        <v>0</v>
      </c>
      <c r="L665" s="3" t="b">
        <f>K665 &gt; 0</f>
        <v>0</v>
      </c>
      <c r="M665" s="2" t="s">
        <v>2387</v>
      </c>
    </row>
    <row r="666">
      <c r="A666" s="2" t="s">
        <v>3442</v>
      </c>
      <c r="B666" s="3" t="str">
        <f>C666 &amp; "." &amp; D666</f>
        <v>ProcedureExecutions.ApprovalStepCount</v>
      </c>
      <c r="C666" s="2" t="s">
        <v>1804</v>
      </c>
      <c r="D666" s="2" t="s">
        <v>1287</v>
      </c>
      <c r="E666" s="2" t="s">
        <v>2438</v>
      </c>
      <c r="F666" s="2" t="s">
        <v>2444</v>
      </c>
      <c r="G666" s="2" t="s">
        <v>3443</v>
      </c>
      <c r="H666" s="2" t="s">
        <v>2264</v>
      </c>
      <c r="I666" s="3" t="b">
        <f>OR(E666 = "calculated", E666 = "lookup", E666 = "aggregation")</f>
        <v>1</v>
      </c>
      <c r="J666" s="3" t="b">
        <f>H666 &lt;&gt; ""</f>
        <v>1</v>
      </c>
      <c r="K666" s="3">
        <f>COUNTIFS(FieldDisagreements!D2:D999, A666)</f>
        <v>0</v>
      </c>
      <c r="L666" s="3" t="b">
        <f>K666 &gt; 0</f>
        <v>0</v>
      </c>
      <c r="M666" s="2" t="s">
        <v>2387</v>
      </c>
    </row>
    <row r="667">
      <c r="A667" s="2" t="s">
        <v>3444</v>
      </c>
      <c r="B667" s="3" t="str">
        <f>C667 &amp; "." &amp; D667</f>
        <v>ProcedureExecutions.SeparationWasTestable</v>
      </c>
      <c r="C667" s="2" t="s">
        <v>1804</v>
      </c>
      <c r="D667" s="2" t="s">
        <v>1288</v>
      </c>
      <c r="E667" s="2" t="s">
        <v>2389</v>
      </c>
      <c r="F667" s="2" t="s">
        <v>2401</v>
      </c>
      <c r="G667" s="2" t="s">
        <v>3445</v>
      </c>
      <c r="H667" s="2" t="s">
        <v>2264</v>
      </c>
      <c r="I667" s="3" t="b">
        <f>OR(E667 = "calculated", E667 = "lookup", E667 = "aggregation")</f>
        <v>1</v>
      </c>
      <c r="J667" s="3" t="b">
        <f>H667 &lt;&gt; ""</f>
        <v>1</v>
      </c>
      <c r="K667" s="3">
        <f>COUNTIFS(FieldDisagreements!D2:D999, A667)</f>
        <v>0</v>
      </c>
      <c r="L667" s="3" t="b">
        <f>K667 &gt; 0</f>
        <v>0</v>
      </c>
      <c r="M667" s="2" t="s">
        <v>2387</v>
      </c>
    </row>
    <row r="668">
      <c r="A668" s="2" t="s">
        <v>3446</v>
      </c>
      <c r="B668" s="3" t="str">
        <f>C668 &amp; "." &amp; D668</f>
        <v>ProcedureExecutions.SeparationHeldUnderTest</v>
      </c>
      <c r="C668" s="2" t="s">
        <v>1804</v>
      </c>
      <c r="D668" s="2" t="s">
        <v>1289</v>
      </c>
      <c r="E668" s="2" t="s">
        <v>2389</v>
      </c>
      <c r="F668" s="2" t="s">
        <v>2401</v>
      </c>
      <c r="G668" s="2" t="s">
        <v>3447</v>
      </c>
      <c r="H668" s="2" t="s">
        <v>2264</v>
      </c>
      <c r="I668" s="3" t="b">
        <f>OR(E668 = "calculated", E668 = "lookup", E668 = "aggregation")</f>
        <v>1</v>
      </c>
      <c r="J668" s="3" t="b">
        <f>H668 &lt;&gt; ""</f>
        <v>1</v>
      </c>
      <c r="K668" s="3">
        <f>COUNTIFS(FieldDisagreements!D2:D999, A668)</f>
        <v>0</v>
      </c>
      <c r="L668" s="3" t="b">
        <f>K668 &gt; 0</f>
        <v>0</v>
      </c>
      <c r="M668" s="2" t="s">
        <v>2387</v>
      </c>
    </row>
    <row r="669">
      <c r="A669" s="2" t="s">
        <v>3448</v>
      </c>
      <c r="B669" s="3" t="str">
        <f>C669 &amp; "." &amp; D669</f>
        <v>ProcedureExecutions.SeparationIsVacuouslyGreen</v>
      </c>
      <c r="C669" s="2" t="s">
        <v>1804</v>
      </c>
      <c r="D669" s="2" t="s">
        <v>1290</v>
      </c>
      <c r="E669" s="2" t="s">
        <v>2389</v>
      </c>
      <c r="F669" s="2" t="s">
        <v>2401</v>
      </c>
      <c r="G669" s="2" t="s">
        <v>3449</v>
      </c>
      <c r="H669" s="2" t="s">
        <v>2264</v>
      </c>
      <c r="I669" s="3" t="b">
        <f>OR(E669 = "calculated", E669 = "lookup", E669 = "aggregation")</f>
        <v>1</v>
      </c>
      <c r="J669" s="3" t="b">
        <f>H669 &lt;&gt; ""</f>
        <v>1</v>
      </c>
      <c r="K669" s="3">
        <f>COUNTIFS(FieldDisagreements!D2:D999, A669)</f>
        <v>0</v>
      </c>
      <c r="L669" s="3" t="b">
        <f>K669 &gt; 0</f>
        <v>0</v>
      </c>
      <c r="M669" s="2" t="s">
        <v>2387</v>
      </c>
    </row>
    <row r="670">
      <c r="A670" s="2" t="s">
        <v>3450</v>
      </c>
      <c r="B670" s="3" t="str">
        <f>C670 &amp; "." &amp; D670</f>
        <v>ProcedureExecutions.SeparationAssuranceNote</v>
      </c>
      <c r="C670" s="2" t="s">
        <v>1804</v>
      </c>
      <c r="D670" s="2" t="s">
        <v>1291</v>
      </c>
      <c r="E670" s="2" t="s">
        <v>2389</v>
      </c>
      <c r="F670" s="2" t="s">
        <v>2386</v>
      </c>
      <c r="G670" s="2" t="s">
        <v>3451</v>
      </c>
      <c r="H670" s="2" t="s">
        <v>2264</v>
      </c>
      <c r="I670" s="3" t="b">
        <f>OR(E670 = "calculated", E670 = "lookup", E670 = "aggregation")</f>
        <v>1</v>
      </c>
      <c r="J670" s="3" t="b">
        <f>H670 &lt;&gt; ""</f>
        <v>1</v>
      </c>
      <c r="K670" s="3">
        <f>COUNTIFS(FieldDisagreements!D2:D999, A670)</f>
        <v>0</v>
      </c>
      <c r="L670" s="3" t="b">
        <f>K670 &gt; 0</f>
        <v>0</v>
      </c>
      <c r="M670" s="2" t="s">
        <v>2387</v>
      </c>
    </row>
    <row r="671">
      <c r="A671" s="2" t="s">
        <v>3452</v>
      </c>
      <c r="B671" s="3" t="str">
        <f>C671 &amp; "." &amp; D671</f>
        <v>ProcedureExecutions.UngovernedDivergenceCount</v>
      </c>
      <c r="C671" s="2" t="s">
        <v>1804</v>
      </c>
      <c r="D671" s="2" t="s">
        <v>1292</v>
      </c>
      <c r="E671" s="2" t="s">
        <v>2438</v>
      </c>
      <c r="F671" s="2" t="s">
        <v>2444</v>
      </c>
      <c r="G671" s="2" t="s">
        <v>3453</v>
      </c>
      <c r="H671" s="2" t="s">
        <v>2272</v>
      </c>
      <c r="I671" s="3" t="b">
        <f>OR(E671 = "calculated", E671 = "lookup", E671 = "aggregation")</f>
        <v>1</v>
      </c>
      <c r="J671" s="3" t="b">
        <f>H671 &lt;&gt; ""</f>
        <v>1</v>
      </c>
      <c r="K671" s="3">
        <f>COUNTIFS(FieldDisagreements!D2:D999, A671)</f>
        <v>2</v>
      </c>
      <c r="L671" s="3" t="b">
        <f>K671 &gt; 0</f>
        <v>1</v>
      </c>
      <c r="M671" s="2" t="s">
        <v>2387</v>
      </c>
    </row>
    <row r="672">
      <c r="A672" s="2" t="s">
        <v>3454</v>
      </c>
      <c r="B672" s="3" t="str">
        <f>C672 &amp; "." &amp; D672</f>
        <v>ProcedureExecutions.DivergenceWasFullyGoverned</v>
      </c>
      <c r="C672" s="2" t="s">
        <v>1804</v>
      </c>
      <c r="D672" s="2" t="s">
        <v>1293</v>
      </c>
      <c r="E672" s="2" t="s">
        <v>2389</v>
      </c>
      <c r="F672" s="2" t="s">
        <v>2401</v>
      </c>
      <c r="G672" s="2" t="s">
        <v>3455</v>
      </c>
      <c r="H672" s="2" t="s">
        <v>2272</v>
      </c>
      <c r="I672" s="3" t="b">
        <f>OR(E672 = "calculated", E672 = "lookup", E672 = "aggregation")</f>
        <v>1</v>
      </c>
      <c r="J672" s="3" t="b">
        <f>H672 &lt;&gt; ""</f>
        <v>1</v>
      </c>
      <c r="K672" s="3">
        <f>COUNTIFS(FieldDisagreements!D2:D999, A672)</f>
        <v>1</v>
      </c>
      <c r="L672" s="3" t="b">
        <f>K672 &gt; 0</f>
        <v>1</v>
      </c>
      <c r="M672" s="2" t="s">
        <v>2387</v>
      </c>
    </row>
    <row r="673">
      <c r="A673" s="2" t="s">
        <v>3456</v>
      </c>
      <c r="B673" s="3" t="str">
        <f>C673 &amp; "." &amp; D673</f>
        <v>ProcedureExecutions.ComputedlyWitnessedControlCount</v>
      </c>
      <c r="C673" s="2" t="s">
        <v>1804</v>
      </c>
      <c r="D673" s="2" t="s">
        <v>1294</v>
      </c>
      <c r="E673" s="2" t="s">
        <v>2438</v>
      </c>
      <c r="F673" s="2" t="s">
        <v>2444</v>
      </c>
      <c r="G673" s="2" t="s">
        <v>3457</v>
      </c>
      <c r="H673" s="2" t="s">
        <v>2276</v>
      </c>
      <c r="I673" s="3" t="b">
        <f>OR(E673 = "calculated", E673 = "lookup", E673 = "aggregation")</f>
        <v>1</v>
      </c>
      <c r="J673" s="3" t="b">
        <f>H673 &lt;&gt; ""</f>
        <v>1</v>
      </c>
      <c r="K673" s="3">
        <f>COUNTIFS(FieldDisagreements!D2:D999, A673)</f>
        <v>0</v>
      </c>
      <c r="L673" s="3" t="b">
        <f>K673 &gt; 0</f>
        <v>0</v>
      </c>
      <c r="M673" s="2" t="s">
        <v>2387</v>
      </c>
    </row>
    <row r="674">
      <c r="A674" s="2" t="s">
        <v>3458</v>
      </c>
      <c r="B674" s="3" t="str">
        <f>C674 &amp; "." &amp; D674</f>
        <v>ProcedureExecutions.EvaluatedControlCount</v>
      </c>
      <c r="C674" s="2" t="s">
        <v>1804</v>
      </c>
      <c r="D674" s="2" t="s">
        <v>1295</v>
      </c>
      <c r="E674" s="2" t="s">
        <v>2389</v>
      </c>
      <c r="F674" s="2" t="s">
        <v>2444</v>
      </c>
      <c r="G674" s="2" t="s">
        <v>3459</v>
      </c>
      <c r="H674" s="2" t="s">
        <v>2276</v>
      </c>
      <c r="I674" s="3" t="b">
        <f>OR(E674 = "calculated", E674 = "lookup", E674 = "aggregation")</f>
        <v>1</v>
      </c>
      <c r="J674" s="3" t="b">
        <f>H674 &lt;&gt; ""</f>
        <v>1</v>
      </c>
      <c r="K674" s="3">
        <f>COUNTIFS(FieldDisagreements!D2:D999, A674)</f>
        <v>0</v>
      </c>
      <c r="L674" s="3" t="b">
        <f>K674 &gt; 0</f>
        <v>0</v>
      </c>
      <c r="M674" s="2" t="s">
        <v>2387</v>
      </c>
    </row>
    <row r="675">
      <c r="A675" s="2" t="s">
        <v>3460</v>
      </c>
      <c r="B675" s="3" t="str">
        <f>C675 &amp; "." &amp; D675</f>
        <v>ProcedureExecutions.ComputedAssuranceRatio</v>
      </c>
      <c r="C675" s="2" t="s">
        <v>1804</v>
      </c>
      <c r="D675" s="2" t="s">
        <v>1296</v>
      </c>
      <c r="E675" s="2" t="s">
        <v>2389</v>
      </c>
      <c r="F675" s="2" t="s">
        <v>2444</v>
      </c>
      <c r="G675" s="2" t="s">
        <v>3461</v>
      </c>
      <c r="H675" s="2" t="s">
        <v>2276</v>
      </c>
      <c r="I675" s="3" t="b">
        <f>OR(E675 = "calculated", E675 = "lookup", E675 = "aggregation")</f>
        <v>1</v>
      </c>
      <c r="J675" s="3" t="b">
        <f>H675 &lt;&gt; ""</f>
        <v>1</v>
      </c>
      <c r="K675" s="3">
        <f>COUNTIFS(FieldDisagreements!D2:D999, A675)</f>
        <v>1</v>
      </c>
      <c r="L675" s="3" t="b">
        <f>K675 &gt; 0</f>
        <v>1</v>
      </c>
      <c r="M675" s="2" t="s">
        <v>2387</v>
      </c>
    </row>
    <row r="676">
      <c r="A676" s="2" t="s">
        <v>3462</v>
      </c>
      <c r="B676" s="3" t="str">
        <f>C676 &amp; "." &amp; D676</f>
        <v>ProcedureExecutions.InterestedPartyAssertionCount</v>
      </c>
      <c r="C676" s="2" t="s">
        <v>1804</v>
      </c>
      <c r="D676" s="2" t="s">
        <v>1297</v>
      </c>
      <c r="E676" s="2" t="s">
        <v>2438</v>
      </c>
      <c r="F676" s="2" t="s">
        <v>2444</v>
      </c>
      <c r="G676" s="2" t="s">
        <v>3463</v>
      </c>
      <c r="H676" s="2" t="s">
        <v>2276</v>
      </c>
      <c r="I676" s="3" t="b">
        <f>OR(E676 = "calculated", E676 = "lookup", E676 = "aggregation")</f>
        <v>1</v>
      </c>
      <c r="J676" s="3" t="b">
        <f>H676 &lt;&gt; ""</f>
        <v>1</v>
      </c>
      <c r="K676" s="3">
        <f>COUNTIFS(FieldDisagreements!D2:D999, A676)</f>
        <v>0</v>
      </c>
      <c r="L676" s="3" t="b">
        <f>K676 &gt; 0</f>
        <v>0</v>
      </c>
      <c r="M676" s="2" t="s">
        <v>2387</v>
      </c>
    </row>
    <row r="677">
      <c r="A677" s="2" t="s">
        <v>3464</v>
      </c>
      <c r="B677" s="3" t="str">
        <f>C677 &amp; "." &amp; D677</f>
        <v>ProcedureExecutions.AssuranceGrade</v>
      </c>
      <c r="C677" s="2" t="s">
        <v>1804</v>
      </c>
      <c r="D677" s="2" t="s">
        <v>1298</v>
      </c>
      <c r="E677" s="2" t="s">
        <v>2389</v>
      </c>
      <c r="F677" s="2" t="s">
        <v>2386</v>
      </c>
      <c r="G677" s="2" t="s">
        <v>3465</v>
      </c>
      <c r="H677" s="2" t="s">
        <v>2276</v>
      </c>
      <c r="I677" s="3" t="b">
        <f>OR(E677 = "calculated", E677 = "lookup", E677 = "aggregation")</f>
        <v>1</v>
      </c>
      <c r="J677" s="3" t="b">
        <f>H677 &lt;&gt; ""</f>
        <v>1</v>
      </c>
      <c r="K677" s="3">
        <f>COUNTIFS(FieldDisagreements!D2:D999, A677)</f>
        <v>0</v>
      </c>
      <c r="L677" s="3" t="b">
        <f>K677 &gt; 0</f>
        <v>0</v>
      </c>
      <c r="M677" s="2" t="s">
        <v>2387</v>
      </c>
    </row>
    <row r="678">
      <c r="A678" s="2" t="s">
        <v>3466</v>
      </c>
      <c r="B678" s="3" t="str">
        <f>C678 &amp; "." &amp; D678</f>
        <v>ProcedureExecutions.AttestationWouldBeWeaklyBased</v>
      </c>
      <c r="C678" s="2" t="s">
        <v>1804</v>
      </c>
      <c r="D678" s="2" t="s">
        <v>1299</v>
      </c>
      <c r="E678" s="2" t="s">
        <v>2389</v>
      </c>
      <c r="F678" s="2" t="s">
        <v>2401</v>
      </c>
      <c r="G678" s="2" t="s">
        <v>3467</v>
      </c>
      <c r="H678" s="2" t="s">
        <v>2276</v>
      </c>
      <c r="I678" s="3" t="b">
        <f>OR(E678 = "calculated", E678 = "lookup", E678 = "aggregation")</f>
        <v>1</v>
      </c>
      <c r="J678" s="3" t="b">
        <f>H678 &lt;&gt; ""</f>
        <v>1</v>
      </c>
      <c r="K678" s="3">
        <f>COUNTIFS(FieldDisagreements!D2:D999, A678)</f>
        <v>0</v>
      </c>
      <c r="L678" s="3" t="b">
        <f>K678 &gt; 0</f>
        <v>0</v>
      </c>
      <c r="M678" s="2" t="s">
        <v>2387</v>
      </c>
    </row>
    <row r="679">
      <c r="A679" s="2" t="s">
        <v>3468</v>
      </c>
      <c r="B679" s="3" t="str">
        <f>C679 &amp; "." &amp; D679</f>
        <v>ProcedureExecutions.IndependentHumanObservationCount</v>
      </c>
      <c r="C679" s="2" t="s">
        <v>1804</v>
      </c>
      <c r="D679" s="2" t="s">
        <v>1300</v>
      </c>
      <c r="E679" s="2" t="s">
        <v>2438</v>
      </c>
      <c r="F679" s="2" t="s">
        <v>2444</v>
      </c>
      <c r="G679" s="2" t="s">
        <v>3469</v>
      </c>
      <c r="H679" s="2" t="s">
        <v>2284</v>
      </c>
      <c r="I679" s="3" t="b">
        <f>OR(E679 = "calculated", E679 = "lookup", E679 = "aggregation")</f>
        <v>1</v>
      </c>
      <c r="J679" s="3" t="b">
        <f>H679 &lt;&gt; ""</f>
        <v>1</v>
      </c>
      <c r="K679" s="3">
        <f>COUNTIFS(FieldDisagreements!D2:D999, A679)</f>
        <v>0</v>
      </c>
      <c r="L679" s="3" t="b">
        <f>K679 &gt; 0</f>
        <v>0</v>
      </c>
      <c r="M679" s="2" t="s">
        <v>2387</v>
      </c>
    </row>
    <row r="680">
      <c r="A680" s="2" t="s">
        <v>3470</v>
      </c>
      <c r="B680" s="3" t="str">
        <f>C680 &amp; "." &amp; D680</f>
        <v>ProcedureExecutions.HasAnyIndependentObservation</v>
      </c>
      <c r="C680" s="2" t="s">
        <v>1804</v>
      </c>
      <c r="D680" s="2" t="s">
        <v>1301</v>
      </c>
      <c r="E680" s="2" t="s">
        <v>2389</v>
      </c>
      <c r="F680" s="2" t="s">
        <v>2401</v>
      </c>
      <c r="G680" s="2" t="s">
        <v>3471</v>
      </c>
      <c r="H680" s="2" t="s">
        <v>2284</v>
      </c>
      <c r="I680" s="3" t="b">
        <f>OR(E680 = "calculated", E680 = "lookup", E680 = "aggregation")</f>
        <v>1</v>
      </c>
      <c r="J680" s="3" t="b">
        <f>H680 &lt;&gt; ""</f>
        <v>1</v>
      </c>
      <c r="K680" s="3">
        <f>COUNTIFS(FieldDisagreements!D2:D999, A680)</f>
        <v>0</v>
      </c>
      <c r="L680" s="3" t="b">
        <f>K680 &gt; 0</f>
        <v>0</v>
      </c>
      <c r="M680" s="2" t="s">
        <v>2387</v>
      </c>
    </row>
    <row r="681">
      <c r="A681" s="2" t="s">
        <v>3472</v>
      </c>
      <c r="B681" s="3" t="str">
        <f>C681 &amp; "." &amp; D681</f>
        <v>ProcedureExecutions.SelfAttestedApprovalCount</v>
      </c>
      <c r="C681" s="2" t="s">
        <v>1804</v>
      </c>
      <c r="D681" s="2" t="s">
        <v>1302</v>
      </c>
      <c r="E681" s="2" t="s">
        <v>2438</v>
      </c>
      <c r="F681" s="2" t="s">
        <v>2444</v>
      </c>
      <c r="G681" s="2" t="s">
        <v>3473</v>
      </c>
      <c r="H681" s="2" t="s">
        <v>2284</v>
      </c>
      <c r="I681" s="3" t="b">
        <f>OR(E681 = "calculated", E681 = "lookup", E681 = "aggregation")</f>
        <v>1</v>
      </c>
      <c r="J681" s="3" t="b">
        <f>H681 &lt;&gt; ""</f>
        <v>1</v>
      </c>
      <c r="K681" s="3">
        <f>COUNTIFS(FieldDisagreements!D2:D999, A681)</f>
        <v>0</v>
      </c>
      <c r="L681" s="3" t="b">
        <f>K681 &gt; 0</f>
        <v>0</v>
      </c>
      <c r="M681" s="2" t="s">
        <v>2387</v>
      </c>
    </row>
    <row r="682">
      <c r="A682" s="2" t="s">
        <v>3474</v>
      </c>
      <c r="B682" s="3" t="str">
        <f>C682 &amp; "." &amp; D682</f>
        <v>ProcedureExecutions.AssuranceChainIsCircular</v>
      </c>
      <c r="C682" s="2" t="s">
        <v>1804</v>
      </c>
      <c r="D682" s="2" t="s">
        <v>1303</v>
      </c>
      <c r="E682" s="2" t="s">
        <v>2389</v>
      </c>
      <c r="F682" s="2" t="s">
        <v>2401</v>
      </c>
      <c r="G682" s="2" t="s">
        <v>3475</v>
      </c>
      <c r="H682" s="2" t="s">
        <v>2284</v>
      </c>
      <c r="I682" s="3" t="b">
        <f>OR(E682 = "calculated", E682 = "lookup", E682 = "aggregation")</f>
        <v>1</v>
      </c>
      <c r="J682" s="3" t="b">
        <f>H682 &lt;&gt; ""</f>
        <v>1</v>
      </c>
      <c r="K682" s="3">
        <f>COUNTIFS(FieldDisagreements!D2:D999, A682)</f>
        <v>0</v>
      </c>
      <c r="L682" s="3" t="b">
        <f>K682 &gt; 0</f>
        <v>0</v>
      </c>
      <c r="M682" s="2" t="s">
        <v>2387</v>
      </c>
    </row>
    <row r="683">
      <c r="A683" s="2" t="s">
        <v>3476</v>
      </c>
      <c r="B683" s="3" t="str">
        <f>C683 &amp; "." &amp; D683</f>
        <v>ProcedureExecutions.LatestAttestationInstant</v>
      </c>
      <c r="C683" s="2" t="s">
        <v>1804</v>
      </c>
      <c r="D683" s="2" t="s">
        <v>1304</v>
      </c>
      <c r="E683" s="2" t="s">
        <v>2438</v>
      </c>
      <c r="F683" s="2" t="s">
        <v>2397</v>
      </c>
      <c r="G683" s="2" t="s">
        <v>3477</v>
      </c>
      <c r="H683" s="2" t="s">
        <v>2292</v>
      </c>
      <c r="I683" s="3" t="b">
        <f>OR(E683 = "calculated", E683 = "lookup", E683 = "aggregation")</f>
        <v>1</v>
      </c>
      <c r="J683" s="3" t="b">
        <f>H683 &lt;&gt; ""</f>
        <v>1</v>
      </c>
      <c r="K683" s="3">
        <f>COUNTIFS(FieldDisagreements!D2:D999, A683)</f>
        <v>1</v>
      </c>
      <c r="L683" s="3" t="b">
        <f>K683 &gt; 0</f>
        <v>1</v>
      </c>
      <c r="M683" s="2" t="s">
        <v>2387</v>
      </c>
    </row>
    <row r="684">
      <c r="A684" s="2" t="s">
        <v>3478</v>
      </c>
      <c r="B684" s="3" t="str">
        <f>C684 &amp; "." &amp; D684</f>
        <v>ProcedureExecutions.HasBeenAttested</v>
      </c>
      <c r="C684" s="2" t="s">
        <v>1804</v>
      </c>
      <c r="D684" s="2" t="s">
        <v>1305</v>
      </c>
      <c r="E684" s="2" t="s">
        <v>2389</v>
      </c>
      <c r="F684" s="2" t="s">
        <v>2401</v>
      </c>
      <c r="G684" s="2" t="s">
        <v>3479</v>
      </c>
      <c r="H684" s="2" t="s">
        <v>2292</v>
      </c>
      <c r="I684" s="3" t="b">
        <f>OR(E684 = "calculated", E684 = "lookup", E684 = "aggregation")</f>
        <v>1</v>
      </c>
      <c r="J684" s="3" t="b">
        <f>H684 &lt;&gt; ""</f>
        <v>1</v>
      </c>
      <c r="K684" s="3">
        <f>COUNTIFS(FieldDisagreements!D2:D999, A684)</f>
        <v>0</v>
      </c>
      <c r="L684" s="3" t="b">
        <f>K684 &gt; 0</f>
        <v>0</v>
      </c>
      <c r="M684" s="2" t="s">
        <v>2387</v>
      </c>
    </row>
    <row r="685">
      <c r="A685" s="2" t="s">
        <v>3480</v>
      </c>
      <c r="B685" s="3" t="str">
        <f>C685 &amp; "." &amp; D685</f>
        <v>ProcedureExecutions.AttestationCount</v>
      </c>
      <c r="C685" s="2" t="s">
        <v>1804</v>
      </c>
      <c r="D685" s="2" t="s">
        <v>1306</v>
      </c>
      <c r="E685" s="2" t="s">
        <v>2438</v>
      </c>
      <c r="F685" s="2" t="s">
        <v>2444</v>
      </c>
      <c r="G685" s="2" t="s">
        <v>3481</v>
      </c>
      <c r="H685" s="2" t="s">
        <v>2292</v>
      </c>
      <c r="I685" s="3" t="b">
        <f>OR(E685 = "calculated", E685 = "lookup", E685 = "aggregation")</f>
        <v>1</v>
      </c>
      <c r="J685" s="3" t="b">
        <f>H685 &lt;&gt; ""</f>
        <v>1</v>
      </c>
      <c r="K685" s="3">
        <f>COUNTIFS(FieldDisagreements!D2:D999, A685)</f>
        <v>0</v>
      </c>
      <c r="L685" s="3" t="b">
        <f>K685 &gt; 0</f>
        <v>0</v>
      </c>
      <c r="M685" s="2" t="s">
        <v>2387</v>
      </c>
    </row>
    <row r="686">
      <c r="A686" s="2" t="s">
        <v>3482</v>
      </c>
      <c r="B686" s="3" t="str">
        <f>C686 &amp; "." &amp; D686</f>
        <v>ProcedureExecutions.PostAttestationScoreCount</v>
      </c>
      <c r="C686" s="2" t="s">
        <v>1804</v>
      </c>
      <c r="D686" s="2" t="s">
        <v>1307</v>
      </c>
      <c r="E686" s="2" t="s">
        <v>2438</v>
      </c>
      <c r="F686" s="2" t="s">
        <v>2444</v>
      </c>
      <c r="G686" s="2" t="s">
        <v>3483</v>
      </c>
      <c r="H686" s="2" t="s">
        <v>2292</v>
      </c>
      <c r="I686" s="3" t="b">
        <f>OR(E686 = "calculated", E686 = "lookup", E686 = "aggregation")</f>
        <v>1</v>
      </c>
      <c r="J686" s="3" t="b">
        <f>H686 &lt;&gt; ""</f>
        <v>1</v>
      </c>
      <c r="K686" s="3">
        <f>COUNTIFS(FieldDisagreements!D2:D999, A686)</f>
        <v>0</v>
      </c>
      <c r="L686" s="3" t="b">
        <f>K686 &gt; 0</f>
        <v>0</v>
      </c>
      <c r="M686" s="2" t="s">
        <v>2387</v>
      </c>
    </row>
    <row r="687">
      <c r="A687" s="2" t="s">
        <v>3484</v>
      </c>
      <c r="B687" s="3" t="str">
        <f>C687 &amp; "." &amp; D687</f>
        <v>ProcedureExecutions.BasisChangedAfterSignature</v>
      </c>
      <c r="C687" s="2" t="s">
        <v>1804</v>
      </c>
      <c r="D687" s="2" t="s">
        <v>1308</v>
      </c>
      <c r="E687" s="2" t="s">
        <v>2389</v>
      </c>
      <c r="F687" s="2" t="s">
        <v>2401</v>
      </c>
      <c r="G687" s="2" t="s">
        <v>3485</v>
      </c>
      <c r="H687" s="2" t="s">
        <v>2292</v>
      </c>
      <c r="I687" s="3" t="b">
        <f>OR(E687 = "calculated", E687 = "lookup", E687 = "aggregation")</f>
        <v>1</v>
      </c>
      <c r="J687" s="3" t="b">
        <f>H687 &lt;&gt; ""</f>
        <v>1</v>
      </c>
      <c r="K687" s="3">
        <f>COUNTIFS(FieldDisagreements!D2:D999, A687)</f>
        <v>0</v>
      </c>
      <c r="L687" s="3" t="b">
        <f>K687 &gt; 0</f>
        <v>0</v>
      </c>
      <c r="M687" s="2" t="s">
        <v>2387</v>
      </c>
    </row>
    <row r="688">
      <c r="A688" s="2" t="s">
        <v>3486</v>
      </c>
      <c r="B688" s="3" t="str">
        <f>C688 &amp; "." &amp; D688</f>
        <v>ProcedureExecutions.RequiresReAttestation</v>
      </c>
      <c r="C688" s="2" t="s">
        <v>1804</v>
      </c>
      <c r="D688" s="2" t="s">
        <v>1309</v>
      </c>
      <c r="E688" s="2" t="s">
        <v>2389</v>
      </c>
      <c r="F688" s="2" t="s">
        <v>2401</v>
      </c>
      <c r="G688" s="2" t="s">
        <v>3487</v>
      </c>
      <c r="H688" s="2" t="s">
        <v>2292</v>
      </c>
      <c r="I688" s="3" t="b">
        <f>OR(E688 = "calculated", E688 = "lookup", E688 = "aggregation")</f>
        <v>1</v>
      </c>
      <c r="J688" s="3" t="b">
        <f>H688 &lt;&gt; ""</f>
        <v>1</v>
      </c>
      <c r="K688" s="3">
        <f>COUNTIFS(FieldDisagreements!D2:D999, A688)</f>
        <v>0</v>
      </c>
      <c r="L688" s="3" t="b">
        <f>K688 &gt; 0</f>
        <v>0</v>
      </c>
      <c r="M688" s="2" t="s">
        <v>2387</v>
      </c>
    </row>
    <row r="689">
      <c r="A689" s="2" t="s">
        <v>3488</v>
      </c>
      <c r="B689" s="3" t="str">
        <f>C689 &amp; "." &amp; D689</f>
        <v>ProcedureExecutions.IntendedRecipientCount</v>
      </c>
      <c r="C689" s="2" t="s">
        <v>1804</v>
      </c>
      <c r="D689" s="2" t="s">
        <v>1310</v>
      </c>
      <c r="E689" s="2" t="s">
        <v>2438</v>
      </c>
      <c r="F689" s="2" t="s">
        <v>2444</v>
      </c>
      <c r="G689" s="2" t="s">
        <v>3489</v>
      </c>
      <c r="H689" s="2" t="s">
        <v>2296</v>
      </c>
      <c r="I689" s="3" t="b">
        <f>OR(E689 = "calculated", E689 = "lookup", E689 = "aggregation")</f>
        <v>1</v>
      </c>
      <c r="J689" s="3" t="b">
        <f>H689 &lt;&gt; ""</f>
        <v>1</v>
      </c>
      <c r="K689" s="3">
        <f>COUNTIFS(FieldDisagreements!D2:D999, A689)</f>
        <v>0</v>
      </c>
      <c r="L689" s="3" t="b">
        <f>K689 &gt; 0</f>
        <v>0</v>
      </c>
      <c r="M689" s="2" t="s">
        <v>2387</v>
      </c>
    </row>
    <row r="690">
      <c r="A690" s="2" t="s">
        <v>3490</v>
      </c>
      <c r="B690" s="3" t="str">
        <f>C690 &amp; "." &amp; D690</f>
        <v>ProcedureExecutions.ReachedRecipientCount</v>
      </c>
      <c r="C690" s="2" t="s">
        <v>1804</v>
      </c>
      <c r="D690" s="2" t="s">
        <v>1311</v>
      </c>
      <c r="E690" s="2" t="s">
        <v>2438</v>
      </c>
      <c r="F690" s="2" t="s">
        <v>2444</v>
      </c>
      <c r="G690" s="2" t="s">
        <v>3491</v>
      </c>
      <c r="H690" s="2" t="s">
        <v>2296</v>
      </c>
      <c r="I690" s="3" t="b">
        <f>OR(E690 = "calculated", E690 = "lookup", E690 = "aggregation")</f>
        <v>1</v>
      </c>
      <c r="J690" s="3" t="b">
        <f>H690 &lt;&gt; ""</f>
        <v>1</v>
      </c>
      <c r="K690" s="3">
        <f>COUNTIFS(FieldDisagreements!D2:D999, A690)</f>
        <v>0</v>
      </c>
      <c r="L690" s="3" t="b">
        <f>K690 &gt; 0</f>
        <v>0</v>
      </c>
      <c r="M690" s="2" t="s">
        <v>2387</v>
      </c>
    </row>
    <row r="691">
      <c r="A691" s="2" t="s">
        <v>3492</v>
      </c>
      <c r="B691" s="3" t="str">
        <f>C691 &amp; "." &amp; D691</f>
        <v>ProcedureExecutions.SilentlyDroppedCount</v>
      </c>
      <c r="C691" s="2" t="s">
        <v>1804</v>
      </c>
      <c r="D691" s="2" t="s">
        <v>1312</v>
      </c>
      <c r="E691" s="2" t="s">
        <v>2438</v>
      </c>
      <c r="F691" s="2" t="s">
        <v>2444</v>
      </c>
      <c r="G691" s="2" t="s">
        <v>3493</v>
      </c>
      <c r="H691" s="2" t="s">
        <v>2296</v>
      </c>
      <c r="I691" s="3" t="b">
        <f>OR(E691 = "calculated", E691 = "lookup", E691 = "aggregation")</f>
        <v>1</v>
      </c>
      <c r="J691" s="3" t="b">
        <f>H691 &lt;&gt; ""</f>
        <v>1</v>
      </c>
      <c r="K691" s="3">
        <f>COUNTIFS(FieldDisagreements!D2:D999, A691)</f>
        <v>0</v>
      </c>
      <c r="L691" s="3" t="b">
        <f>K691 &gt; 0</f>
        <v>0</v>
      </c>
      <c r="M691" s="2" t="s">
        <v>2387</v>
      </c>
    </row>
    <row r="692">
      <c r="A692" s="2" t="s">
        <v>3494</v>
      </c>
      <c r="B692" s="3" t="str">
        <f>C692 &amp; "." &amp; D692</f>
        <v>ProcedureExecutions.DeliveryYieldPercent</v>
      </c>
      <c r="C692" s="2" t="s">
        <v>1804</v>
      </c>
      <c r="D692" s="2" t="s">
        <v>1313</v>
      </c>
      <c r="E692" s="2" t="s">
        <v>2389</v>
      </c>
      <c r="F692" s="2" t="s">
        <v>2444</v>
      </c>
      <c r="G692" s="2" t="s">
        <v>3495</v>
      </c>
      <c r="H692" s="2" t="s">
        <v>2296</v>
      </c>
      <c r="I692" s="3" t="b">
        <f>OR(E692 = "calculated", E692 = "lookup", E692 = "aggregation")</f>
        <v>1</v>
      </c>
      <c r="J692" s="3" t="b">
        <f>H692 &lt;&gt; ""</f>
        <v>1</v>
      </c>
      <c r="K692" s="3">
        <f>COUNTIFS(FieldDisagreements!D2:D999, A692)</f>
        <v>0</v>
      </c>
      <c r="L692" s="3" t="b">
        <f>K692 &gt; 0</f>
        <v>0</v>
      </c>
      <c r="M692" s="2" t="s">
        <v>2387</v>
      </c>
    </row>
    <row r="693">
      <c r="A693" s="2" t="s">
        <v>3496</v>
      </c>
      <c r="B693" s="3" t="str">
        <f>C693 &amp; "." &amp; D693</f>
        <v>ProcedureExecutions.CampaignSilentlyLostAudience</v>
      </c>
      <c r="C693" s="2" t="s">
        <v>1804</v>
      </c>
      <c r="D693" s="2" t="s">
        <v>1314</v>
      </c>
      <c r="E693" s="2" t="s">
        <v>2389</v>
      </c>
      <c r="F693" s="2" t="s">
        <v>2401</v>
      </c>
      <c r="G693" s="2" t="s">
        <v>3497</v>
      </c>
      <c r="H693" s="2" t="s">
        <v>2296</v>
      </c>
      <c r="I693" s="3" t="b">
        <f>OR(E693 = "calculated", E693 = "lookup", E693 = "aggregation")</f>
        <v>1</v>
      </c>
      <c r="J693" s="3" t="b">
        <f>H693 &lt;&gt; ""</f>
        <v>1</v>
      </c>
      <c r="K693" s="3">
        <f>COUNTIFS(FieldDisagreements!D2:D999, A693)</f>
        <v>0</v>
      </c>
      <c r="L693" s="3" t="b">
        <f>K693 &gt; 0</f>
        <v>0</v>
      </c>
      <c r="M693" s="2" t="s">
        <v>2387</v>
      </c>
    </row>
    <row r="694">
      <c r="A694" s="2" t="s">
        <v>3498</v>
      </c>
      <c r="B694" s="3" t="str">
        <f>C694 &amp; "." &amp; D694</f>
        <v>ProcedureExecutions.UnrecordedRefusalCount</v>
      </c>
      <c r="C694" s="2" t="s">
        <v>1804</v>
      </c>
      <c r="D694" s="2" t="s">
        <v>1315</v>
      </c>
      <c r="E694" s="2" t="s">
        <v>2438</v>
      </c>
      <c r="F694" s="2" t="s">
        <v>2444</v>
      </c>
      <c r="G694" s="2" t="s">
        <v>3499</v>
      </c>
      <c r="H694" s="2" t="s">
        <v>2336</v>
      </c>
      <c r="I694" s="3" t="b">
        <f>OR(E694 = "calculated", E694 = "lookup", E694 = "aggregation")</f>
        <v>1</v>
      </c>
      <c r="J694" s="3" t="b">
        <f>H694 &lt;&gt; ""</f>
        <v>1</v>
      </c>
      <c r="K694" s="3">
        <f>COUNTIFS(FieldDisagreements!D2:D999, A694)</f>
        <v>0</v>
      </c>
      <c r="L694" s="3" t="b">
        <f>K694 &gt; 0</f>
        <v>0</v>
      </c>
      <c r="M694" s="2" t="s">
        <v>2387</v>
      </c>
    </row>
    <row r="695">
      <c r="A695" s="2" t="s">
        <v>3500</v>
      </c>
      <c r="B695" s="3" t="str">
        <f>C695 &amp; "." &amp; D695</f>
        <v>ProcedureExecutions.HasUnrecordedRefusals</v>
      </c>
      <c r="C695" s="2" t="s">
        <v>1804</v>
      </c>
      <c r="D695" s="2" t="s">
        <v>1316</v>
      </c>
      <c r="E695" s="2" t="s">
        <v>2389</v>
      </c>
      <c r="F695" s="2" t="s">
        <v>2401</v>
      </c>
      <c r="G695" s="2" t="s">
        <v>3501</v>
      </c>
      <c r="H695" s="2" t="s">
        <v>2336</v>
      </c>
      <c r="I695" s="3" t="b">
        <f>OR(E695 = "calculated", E695 = "lookup", E695 = "aggregation")</f>
        <v>1</v>
      </c>
      <c r="J695" s="3" t="b">
        <f>H695 &lt;&gt; ""</f>
        <v>1</v>
      </c>
      <c r="K695" s="3">
        <f>COUNTIFS(FieldDisagreements!D2:D999, A695)</f>
        <v>0</v>
      </c>
      <c r="L695" s="3" t="b">
        <f>K695 &gt; 0</f>
        <v>0</v>
      </c>
      <c r="M695" s="2" t="s">
        <v>2387</v>
      </c>
    </row>
    <row r="696">
      <c r="A696" s="2" t="s">
        <v>3502</v>
      </c>
      <c r="B696" s="3" t="str">
        <f>C696 &amp; "." &amp; D696</f>
        <v>ProcedureExecutions.IndependentlyConfirmedIntentCount</v>
      </c>
      <c r="C696" s="2" t="s">
        <v>1804</v>
      </c>
      <c r="D696" s="2" t="s">
        <v>1317</v>
      </c>
      <c r="E696" s="2" t="s">
        <v>2438</v>
      </c>
      <c r="F696" s="2" t="s">
        <v>2444</v>
      </c>
      <c r="G696" s="2" t="s">
        <v>3503</v>
      </c>
      <c r="H696" s="2" t="s">
        <v>2348</v>
      </c>
      <c r="I696" s="3" t="b">
        <f>OR(E696 = "calculated", E696 = "lookup", E696 = "aggregation")</f>
        <v>1</v>
      </c>
      <c r="J696" s="3" t="b">
        <f>H696 &lt;&gt; ""</f>
        <v>1</v>
      </c>
      <c r="K696" s="3">
        <f>COUNTIFS(FieldDisagreements!D2:D999, A696)</f>
        <v>0</v>
      </c>
      <c r="L696" s="3" t="b">
        <f>K696 &gt; 0</f>
        <v>0</v>
      </c>
      <c r="M696" s="2" t="s">
        <v>2387</v>
      </c>
    </row>
    <row r="697">
      <c r="A697" s="2" t="s">
        <v>3504</v>
      </c>
      <c r="B697" s="3" t="str">
        <f>C697 &amp; "." &amp; D697</f>
        <v>ProcedureExecutions.SendDecisionsAreEntirelySelfWitnessed</v>
      </c>
      <c r="C697" s="2" t="s">
        <v>1804</v>
      </c>
      <c r="D697" s="2" t="s">
        <v>1318</v>
      </c>
      <c r="E697" s="2" t="s">
        <v>2389</v>
      </c>
      <c r="F697" s="2" t="s">
        <v>2401</v>
      </c>
      <c r="G697" s="2" t="s">
        <v>3505</v>
      </c>
      <c r="H697" s="2" t="s">
        <v>2348</v>
      </c>
      <c r="I697" s="3" t="b">
        <f>OR(E697 = "calculated", E697 = "lookup", E697 = "aggregation")</f>
        <v>1</v>
      </c>
      <c r="J697" s="3" t="b">
        <f>H697 &lt;&gt; ""</f>
        <v>1</v>
      </c>
      <c r="K697" s="3">
        <f>COUNTIFS(FieldDisagreements!D2:D999, A697)</f>
        <v>0</v>
      </c>
      <c r="L697" s="3" t="b">
        <f>K697 &gt; 0</f>
        <v>0</v>
      </c>
      <c r="M697" s="2" t="s">
        <v>2387</v>
      </c>
    </row>
    <row r="698">
      <c r="A698" s="2" t="s">
        <v>3506</v>
      </c>
      <c r="B698" s="3" t="str">
        <f>C698 &amp; "." &amp; D698</f>
        <v>ProcedureExecutions.SemanticTypeIri</v>
      </c>
      <c r="C698" s="2" t="s">
        <v>1804</v>
      </c>
      <c r="D698" s="2" t="s">
        <v>94</v>
      </c>
      <c r="E698" s="2" t="s">
        <v>2385</v>
      </c>
      <c r="F698" s="2" t="s">
        <v>2386</v>
      </c>
      <c r="G698" s="2"/>
      <c r="H698" s="2"/>
      <c r="I698" s="3" t="b">
        <f>OR(E698 = "calculated", E698 = "lookup", E698 = "aggregation")</f>
        <v>0</v>
      </c>
      <c r="J698" s="3" t="b">
        <f>H698 &lt;&gt; ""</f>
        <v>0</v>
      </c>
      <c r="K698" s="3">
        <f>COUNTIFS(FieldDisagreements!D2:D999, A698)</f>
        <v>0</v>
      </c>
      <c r="L698" s="3" t="b">
        <f>K698 &gt; 0</f>
        <v>0</v>
      </c>
      <c r="M698" s="2" t="s">
        <v>2387</v>
      </c>
    </row>
    <row r="699">
      <c r="A699" s="2" t="s">
        <v>3507</v>
      </c>
      <c r="B699" s="3" t="str">
        <f>C699 &amp; "." &amp; D699</f>
        <v>StepExecutions.StepExecutionId</v>
      </c>
      <c r="C699" s="2" t="s">
        <v>1807</v>
      </c>
      <c r="D699" s="2" t="s">
        <v>1328</v>
      </c>
      <c r="E699" s="2" t="s">
        <v>2385</v>
      </c>
      <c r="F699" s="2" t="s">
        <v>2386</v>
      </c>
      <c r="G699" s="2"/>
      <c r="H699" s="2"/>
      <c r="I699" s="3" t="b">
        <f>OR(E699 = "calculated", E699 = "lookup", E699 = "aggregation")</f>
        <v>0</v>
      </c>
      <c r="J699" s="3" t="b">
        <f>H699 &lt;&gt; ""</f>
        <v>0</v>
      </c>
      <c r="K699" s="3">
        <f>COUNTIFS(FieldDisagreements!D2:D999, A699)</f>
        <v>0</v>
      </c>
      <c r="L699" s="3" t="b">
        <f>K699 &gt; 0</f>
        <v>0</v>
      </c>
      <c r="M699" s="2" t="s">
        <v>2387</v>
      </c>
    </row>
    <row r="700">
      <c r="A700" s="2" t="s">
        <v>3508</v>
      </c>
      <c r="B700" s="3" t="str">
        <f>C700 &amp; "." &amp; D700</f>
        <v>StepExecutions.Name</v>
      </c>
      <c r="C700" s="2" t="s">
        <v>1807</v>
      </c>
      <c r="D700" s="2" t="s">
        <v>1</v>
      </c>
      <c r="E700" s="2" t="s">
        <v>2389</v>
      </c>
      <c r="F700" s="2" t="s">
        <v>2386</v>
      </c>
      <c r="G700" s="2" t="s">
        <v>3509</v>
      </c>
      <c r="H700" s="2"/>
      <c r="I700" s="3" t="b">
        <f>OR(E700 = "calculated", E700 = "lookup", E700 = "aggregation")</f>
        <v>1</v>
      </c>
      <c r="J700" s="3" t="b">
        <f>H700 &lt;&gt; ""</f>
        <v>0</v>
      </c>
      <c r="K700" s="3">
        <f>COUNTIFS(FieldDisagreements!D2:D999, A700)</f>
        <v>0</v>
      </c>
      <c r="L700" s="3" t="b">
        <f>K700 &gt; 0</f>
        <v>0</v>
      </c>
      <c r="M700" s="2" t="s">
        <v>2387</v>
      </c>
    </row>
    <row r="701">
      <c r="A701" s="2" t="s">
        <v>3510</v>
      </c>
      <c r="B701" s="3" t="str">
        <f>C701 &amp; "." &amp; D701</f>
        <v>StepExecutions.ProcedureExecution</v>
      </c>
      <c r="C701" s="2" t="s">
        <v>1807</v>
      </c>
      <c r="D701" s="2" t="s">
        <v>1329</v>
      </c>
      <c r="E701" s="2" t="s">
        <v>2434</v>
      </c>
      <c r="F701" s="2" t="s">
        <v>2386</v>
      </c>
      <c r="G701" s="2"/>
      <c r="H701" s="2"/>
      <c r="I701" s="3" t="b">
        <f>OR(E701 = "calculated", E701 = "lookup", E701 = "aggregation")</f>
        <v>0</v>
      </c>
      <c r="J701" s="3" t="b">
        <f>H701 &lt;&gt; ""</f>
        <v>0</v>
      </c>
      <c r="K701" s="3">
        <f>COUNTIFS(FieldDisagreements!D2:D999, A701)</f>
        <v>0</v>
      </c>
      <c r="L701" s="3" t="b">
        <f>K701 &gt; 0</f>
        <v>0</v>
      </c>
      <c r="M701" s="2" t="s">
        <v>2387</v>
      </c>
    </row>
    <row r="702">
      <c r="A702" s="2" t="s">
        <v>3511</v>
      </c>
      <c r="B702" s="3" t="str">
        <f>C702 &amp; "." &amp; D702</f>
        <v>StepExecutions.Step</v>
      </c>
      <c r="C702" s="2" t="s">
        <v>1807</v>
      </c>
      <c r="D702" s="2" t="s">
        <v>747</v>
      </c>
      <c r="E702" s="2" t="s">
        <v>2434</v>
      </c>
      <c r="F702" s="2" t="s">
        <v>2386</v>
      </c>
      <c r="G702" s="2"/>
      <c r="H702" s="2"/>
      <c r="I702" s="3" t="b">
        <f>OR(E702 = "calculated", E702 = "lookup", E702 = "aggregation")</f>
        <v>0</v>
      </c>
      <c r="J702" s="3" t="b">
        <f>H702 &lt;&gt; ""</f>
        <v>0</v>
      </c>
      <c r="K702" s="3">
        <f>COUNTIFS(FieldDisagreements!D2:D999, A702)</f>
        <v>0</v>
      </c>
      <c r="L702" s="3" t="b">
        <f>K702 &gt; 0</f>
        <v>0</v>
      </c>
      <c r="M702" s="2" t="s">
        <v>2387</v>
      </c>
    </row>
    <row r="703">
      <c r="A703" s="2" t="s">
        <v>3512</v>
      </c>
      <c r="B703" s="3" t="str">
        <f>C703 &amp; "." &amp; D703</f>
        <v>StepExecutions.ExecutedByAgent</v>
      </c>
      <c r="C703" s="2" t="s">
        <v>1807</v>
      </c>
      <c r="D703" s="2" t="s">
        <v>1248</v>
      </c>
      <c r="E703" s="2" t="s">
        <v>2434</v>
      </c>
      <c r="F703" s="2" t="s">
        <v>2386</v>
      </c>
      <c r="G703" s="2"/>
      <c r="H703" s="2"/>
      <c r="I703" s="3" t="b">
        <f>OR(E703 = "calculated", E703 = "lookup", E703 = "aggregation")</f>
        <v>0</v>
      </c>
      <c r="J703" s="3" t="b">
        <f>H703 &lt;&gt; ""</f>
        <v>0</v>
      </c>
      <c r="K703" s="3">
        <f>COUNTIFS(FieldDisagreements!D2:D999, A703)</f>
        <v>0</v>
      </c>
      <c r="L703" s="3" t="b">
        <f>K703 &gt; 0</f>
        <v>0</v>
      </c>
      <c r="M703" s="2" t="s">
        <v>2387</v>
      </c>
    </row>
    <row r="704">
      <c r="A704" s="2" t="s">
        <v>3513</v>
      </c>
      <c r="B704" s="3" t="str">
        <f>C704 &amp; "." &amp; D704</f>
        <v>StepExecutions.ExecutionStatus</v>
      </c>
      <c r="C704" s="2" t="s">
        <v>1807</v>
      </c>
      <c r="D704" s="2" t="s">
        <v>1247</v>
      </c>
      <c r="E704" s="2" t="s">
        <v>2385</v>
      </c>
      <c r="F704" s="2" t="s">
        <v>2386</v>
      </c>
      <c r="G704" s="2"/>
      <c r="H704" s="2"/>
      <c r="I704" s="3" t="b">
        <f>OR(E704 = "calculated", E704 = "lookup", E704 = "aggregation")</f>
        <v>0</v>
      </c>
      <c r="J704" s="3" t="b">
        <f>H704 &lt;&gt; ""</f>
        <v>0</v>
      </c>
      <c r="K704" s="3">
        <f>COUNTIFS(FieldDisagreements!D2:D999, A704)</f>
        <v>0</v>
      </c>
      <c r="L704" s="3" t="b">
        <f>K704 &gt; 0</f>
        <v>0</v>
      </c>
      <c r="M704" s="2" t="s">
        <v>2387</v>
      </c>
    </row>
    <row r="705">
      <c r="A705" s="2" t="s">
        <v>3514</v>
      </c>
      <c r="B705" s="3" t="str">
        <f>C705 &amp; "." &amp; D705</f>
        <v>StepExecutions.StartedAt</v>
      </c>
      <c r="C705" s="2" t="s">
        <v>1807</v>
      </c>
      <c r="D705" s="2" t="s">
        <v>1060</v>
      </c>
      <c r="E705" s="2" t="s">
        <v>2385</v>
      </c>
      <c r="F705" s="2" t="s">
        <v>2397</v>
      </c>
      <c r="G705" s="2"/>
      <c r="H705" s="2"/>
      <c r="I705" s="3" t="b">
        <f>OR(E705 = "calculated", E705 = "lookup", E705 = "aggregation")</f>
        <v>0</v>
      </c>
      <c r="J705" s="3" t="b">
        <f>H705 &lt;&gt; ""</f>
        <v>0</v>
      </c>
      <c r="K705" s="3">
        <f>COUNTIFS(FieldDisagreements!D2:D999, A705)</f>
        <v>0</v>
      </c>
      <c r="L705" s="3" t="b">
        <f>K705 &gt; 0</f>
        <v>0</v>
      </c>
      <c r="M705" s="2" t="s">
        <v>2387</v>
      </c>
    </row>
    <row r="706">
      <c r="A706" s="2" t="s">
        <v>3515</v>
      </c>
      <c r="B706" s="3" t="str">
        <f>C706 &amp; "." &amp; D706</f>
        <v>StepExecutions.EndedAt</v>
      </c>
      <c r="C706" s="2" t="s">
        <v>1807</v>
      </c>
      <c r="D706" s="2" t="s">
        <v>1061</v>
      </c>
      <c r="E706" s="2" t="s">
        <v>2385</v>
      </c>
      <c r="F706" s="2" t="s">
        <v>2397</v>
      </c>
      <c r="G706" s="2"/>
      <c r="H706" s="2"/>
      <c r="I706" s="3" t="b">
        <f>OR(E706 = "calculated", E706 = "lookup", E706 = "aggregation")</f>
        <v>0</v>
      </c>
      <c r="J706" s="3" t="b">
        <f>H706 &lt;&gt; ""</f>
        <v>0</v>
      </c>
      <c r="K706" s="3">
        <f>COUNTIFS(FieldDisagreements!D2:D999, A706)</f>
        <v>0</v>
      </c>
      <c r="L706" s="3" t="b">
        <f>K706 &gt; 0</f>
        <v>0</v>
      </c>
      <c r="M706" s="2" t="s">
        <v>2387</v>
      </c>
    </row>
    <row r="707">
      <c r="A707" s="2" t="s">
        <v>3516</v>
      </c>
      <c r="B707" s="3" t="str">
        <f>C707 &amp; "." &amp; D707</f>
        <v>StepExecutions.VerificationResult</v>
      </c>
      <c r="C707" s="2" t="s">
        <v>1807</v>
      </c>
      <c r="D707" s="2" t="s">
        <v>1330</v>
      </c>
      <c r="E707" s="2" t="s">
        <v>2385</v>
      </c>
      <c r="F707" s="2" t="s">
        <v>2386</v>
      </c>
      <c r="G707" s="2"/>
      <c r="H707" s="2"/>
      <c r="I707" s="3" t="b">
        <f>OR(E707 = "calculated", E707 = "lookup", E707 = "aggregation")</f>
        <v>0</v>
      </c>
      <c r="J707" s="3" t="b">
        <f>H707 &lt;&gt; ""</f>
        <v>0</v>
      </c>
      <c r="K707" s="3">
        <f>COUNTIFS(FieldDisagreements!D2:D999, A707)</f>
        <v>0</v>
      </c>
      <c r="L707" s="3" t="b">
        <f>K707 &gt; 0</f>
        <v>0</v>
      </c>
      <c r="M707" s="2" t="s">
        <v>2387</v>
      </c>
    </row>
    <row r="708">
      <c r="A708" s="2" t="s">
        <v>3517</v>
      </c>
      <c r="B708" s="3" t="str">
        <f>C708 &amp; "." &amp; D708</f>
        <v>StepExecutions.Deviation</v>
      </c>
      <c r="C708" s="2" t="s">
        <v>1807</v>
      </c>
      <c r="D708" s="2" t="s">
        <v>1331</v>
      </c>
      <c r="E708" s="2" t="s">
        <v>2385</v>
      </c>
      <c r="F708" s="2" t="s">
        <v>2386</v>
      </c>
      <c r="G708" s="2"/>
      <c r="H708" s="2"/>
      <c r="I708" s="3" t="b">
        <f>OR(E708 = "calculated", E708 = "lookup", E708 = "aggregation")</f>
        <v>0</v>
      </c>
      <c r="J708" s="3" t="b">
        <f>H708 &lt;&gt; ""</f>
        <v>0</v>
      </c>
      <c r="K708" s="3">
        <f>COUNTIFS(FieldDisagreements!D2:D999, A708)</f>
        <v>0</v>
      </c>
      <c r="L708" s="3" t="b">
        <f>K708 &gt; 0</f>
        <v>0</v>
      </c>
      <c r="M708" s="2" t="s">
        <v>2387</v>
      </c>
    </row>
    <row r="709">
      <c r="A709" s="2" t="s">
        <v>3518</v>
      </c>
      <c r="B709" s="3" t="str">
        <f>C709 &amp; "." &amp; D709</f>
        <v>StepExecutions.ActualDurationMinutes</v>
      </c>
      <c r="C709" s="2" t="s">
        <v>1807</v>
      </c>
      <c r="D709" s="2" t="s">
        <v>1332</v>
      </c>
      <c r="E709" s="2" t="s">
        <v>2389</v>
      </c>
      <c r="F709" s="2" t="s">
        <v>2439</v>
      </c>
      <c r="G709" s="2" t="s">
        <v>3519</v>
      </c>
      <c r="H709" s="2"/>
      <c r="I709" s="3" t="b">
        <f>OR(E709 = "calculated", E709 = "lookup", E709 = "aggregation")</f>
        <v>1</v>
      </c>
      <c r="J709" s="3" t="b">
        <f>H709 &lt;&gt; ""</f>
        <v>0</v>
      </c>
      <c r="K709" s="3">
        <f>COUNTIFS(FieldDisagreements!D2:D999, A709)</f>
        <v>2</v>
      </c>
      <c r="L709" s="3" t="b">
        <f>K709 &gt; 0</f>
        <v>1</v>
      </c>
      <c r="M709" s="2" t="s">
        <v>2387</v>
      </c>
    </row>
    <row r="710">
      <c r="A710" s="2" t="s">
        <v>3520</v>
      </c>
      <c r="B710" s="3" t="str">
        <f>C710 &amp; "." &amp; D710</f>
        <v>StepExecutions.ExpectedDurationMinutes</v>
      </c>
      <c r="C710" s="2" t="s">
        <v>1807</v>
      </c>
      <c r="D710" s="2" t="s">
        <v>504</v>
      </c>
      <c r="E710" s="2" t="s">
        <v>2478</v>
      </c>
      <c r="F710" s="2" t="s">
        <v>2439</v>
      </c>
      <c r="G710" s="2" t="s">
        <v>3521</v>
      </c>
      <c r="H710" s="2"/>
      <c r="I710" s="3" t="b">
        <f>OR(E710 = "calculated", E710 = "lookup", E710 = "aggregation")</f>
        <v>1</v>
      </c>
      <c r="J710" s="3" t="b">
        <f>H710 &lt;&gt; ""</f>
        <v>0</v>
      </c>
      <c r="K710" s="3">
        <f>COUNTIFS(FieldDisagreements!D2:D999, A710)</f>
        <v>0</v>
      </c>
      <c r="L710" s="3" t="b">
        <f>K710 &gt; 0</f>
        <v>0</v>
      </c>
      <c r="M710" s="2" t="s">
        <v>2387</v>
      </c>
    </row>
    <row r="711">
      <c r="A711" s="2" t="s">
        <v>3522</v>
      </c>
      <c r="B711" s="3" t="str">
        <f>C711 &amp; "." &amp; D711</f>
        <v>StepExecutions.IsLate</v>
      </c>
      <c r="C711" s="2" t="s">
        <v>1807</v>
      </c>
      <c r="D711" s="2" t="s">
        <v>1333</v>
      </c>
      <c r="E711" s="2" t="s">
        <v>2389</v>
      </c>
      <c r="F711" s="2" t="s">
        <v>2401</v>
      </c>
      <c r="G711" s="2" t="s">
        <v>3523</v>
      </c>
      <c r="H711" s="2"/>
      <c r="I711" s="3" t="b">
        <f>OR(E711 = "calculated", E711 = "lookup", E711 = "aggregation")</f>
        <v>1</v>
      </c>
      <c r="J711" s="3" t="b">
        <f>H711 &lt;&gt; ""</f>
        <v>0</v>
      </c>
      <c r="K711" s="3">
        <f>COUNTIFS(FieldDisagreements!D2:D999, A711)</f>
        <v>2</v>
      </c>
      <c r="L711" s="3" t="b">
        <f>K711 &gt; 0</f>
        <v>1</v>
      </c>
      <c r="M711" s="2" t="s">
        <v>2387</v>
      </c>
    </row>
    <row r="712">
      <c r="A712" s="2" t="s">
        <v>3524</v>
      </c>
      <c r="B712" s="3" t="str">
        <f>C712 &amp; "." &amp; D712</f>
        <v>StepExecutions.BlockingUnmetCount</v>
      </c>
      <c r="C712" s="2" t="s">
        <v>1807</v>
      </c>
      <c r="D712" s="2" t="s">
        <v>1334</v>
      </c>
      <c r="E712" s="2" t="s">
        <v>2438</v>
      </c>
      <c r="F712" s="2" t="s">
        <v>2444</v>
      </c>
      <c r="G712" s="2" t="s">
        <v>3525</v>
      </c>
      <c r="H712" s="2" t="s">
        <v>1935</v>
      </c>
      <c r="I712" s="3" t="b">
        <f>OR(E712 = "calculated", E712 = "lookup", E712 = "aggregation")</f>
        <v>1</v>
      </c>
      <c r="J712" s="3" t="b">
        <f>H712 &lt;&gt; ""</f>
        <v>1</v>
      </c>
      <c r="K712" s="3">
        <f>COUNTIFS(FieldDisagreements!D2:D999, A712)</f>
        <v>0</v>
      </c>
      <c r="L712" s="3" t="b">
        <f>K712 &gt; 0</f>
        <v>0</v>
      </c>
      <c r="M712" s="2" t="s">
        <v>2387</v>
      </c>
    </row>
    <row r="713">
      <c r="A713" s="2" t="s">
        <v>3526</v>
      </c>
      <c r="B713" s="3" t="str">
        <f>C713 &amp; "." &amp; D713</f>
        <v>StepExecutions.BlockingUnmetCountSafe</v>
      </c>
      <c r="C713" s="2" t="s">
        <v>1807</v>
      </c>
      <c r="D713" s="2" t="s">
        <v>1335</v>
      </c>
      <c r="E713" s="2" t="s">
        <v>2438</v>
      </c>
      <c r="F713" s="2" t="s">
        <v>2444</v>
      </c>
      <c r="G713" s="2" t="s">
        <v>3527</v>
      </c>
      <c r="H713" s="2" t="s">
        <v>1935</v>
      </c>
      <c r="I713" s="3" t="b">
        <f>OR(E713 = "calculated", E713 = "lookup", E713 = "aggregation")</f>
        <v>1</v>
      </c>
      <c r="J713" s="3" t="b">
        <f>H713 &lt;&gt; ""</f>
        <v>1</v>
      </c>
      <c r="K713" s="3">
        <f>COUNTIFS(FieldDisagreements!D2:D999, A713)</f>
        <v>0</v>
      </c>
      <c r="L713" s="3" t="b">
        <f>K713 &gt; 0</f>
        <v>0</v>
      </c>
      <c r="M713" s="2" t="s">
        <v>2387</v>
      </c>
    </row>
    <row r="714">
      <c r="A714" s="2" t="s">
        <v>3528</v>
      </c>
      <c r="B714" s="3" t="str">
        <f>C714 &amp; "." &amp; D714</f>
        <v>StepExecutions.ProceededPastBlockingControl</v>
      </c>
      <c r="C714" s="2" t="s">
        <v>1807</v>
      </c>
      <c r="D714" s="2" t="s">
        <v>1336</v>
      </c>
      <c r="E714" s="2" t="s">
        <v>2389</v>
      </c>
      <c r="F714" s="2" t="s">
        <v>2401</v>
      </c>
      <c r="G714" s="2" t="s">
        <v>3529</v>
      </c>
      <c r="H714" s="2" t="s">
        <v>1935</v>
      </c>
      <c r="I714" s="3" t="b">
        <f>OR(E714 = "calculated", E714 = "lookup", E714 = "aggregation")</f>
        <v>1</v>
      </c>
      <c r="J714" s="3" t="b">
        <f>H714 &lt;&gt; ""</f>
        <v>1</v>
      </c>
      <c r="K714" s="3">
        <f>COUNTIFS(FieldDisagreements!D2:D999, A714)</f>
        <v>0</v>
      </c>
      <c r="L714" s="3" t="b">
        <f>K714 &gt; 0</f>
        <v>0</v>
      </c>
      <c r="M714" s="2" t="s">
        <v>2387</v>
      </c>
    </row>
    <row r="715">
      <c r="A715" s="2" t="s">
        <v>3530</v>
      </c>
      <c r="B715" s="3" t="str">
        <f>C715 &amp; "." &amp; D715</f>
        <v>StepExecutions.ExpectedBlockingCount</v>
      </c>
      <c r="C715" s="2" t="s">
        <v>1807</v>
      </c>
      <c r="D715" s="2" t="s">
        <v>1337</v>
      </c>
      <c r="E715" s="2" t="s">
        <v>2478</v>
      </c>
      <c r="F715" s="2" t="s">
        <v>2444</v>
      </c>
      <c r="G715" s="2" t="s">
        <v>3531</v>
      </c>
      <c r="H715" s="2" t="s">
        <v>1940</v>
      </c>
      <c r="I715" s="3" t="b">
        <f>OR(E715 = "calculated", E715 = "lookup", E715 = "aggregation")</f>
        <v>1</v>
      </c>
      <c r="J715" s="3" t="b">
        <f>H715 &lt;&gt; ""</f>
        <v>1</v>
      </c>
      <c r="K715" s="3">
        <f>COUNTIFS(FieldDisagreements!D2:D999, A715)</f>
        <v>0</v>
      </c>
      <c r="L715" s="3" t="b">
        <f>K715 &gt; 0</f>
        <v>0</v>
      </c>
      <c r="M715" s="2" t="s">
        <v>2387</v>
      </c>
    </row>
    <row r="716">
      <c r="A716" s="2" t="s">
        <v>3532</v>
      </c>
      <c r="B716" s="3" t="str">
        <f>C716 &amp; "." &amp; D716</f>
        <v>StepExecutions.EvaluatedBlockingCount</v>
      </c>
      <c r="C716" s="2" t="s">
        <v>1807</v>
      </c>
      <c r="D716" s="2" t="s">
        <v>1338</v>
      </c>
      <c r="E716" s="2" t="s">
        <v>2438</v>
      </c>
      <c r="F716" s="2" t="s">
        <v>2444</v>
      </c>
      <c r="G716" s="2" t="s">
        <v>3533</v>
      </c>
      <c r="H716" s="2" t="s">
        <v>1940</v>
      </c>
      <c r="I716" s="3" t="b">
        <f>OR(E716 = "calculated", E716 = "lookup", E716 = "aggregation")</f>
        <v>1</v>
      </c>
      <c r="J716" s="3" t="b">
        <f>H716 &lt;&gt; ""</f>
        <v>1</v>
      </c>
      <c r="K716" s="3">
        <f>COUNTIFS(FieldDisagreements!D2:D999, A716)</f>
        <v>0</v>
      </c>
      <c r="L716" s="3" t="b">
        <f>K716 &gt; 0</f>
        <v>0</v>
      </c>
      <c r="M716" s="2" t="s">
        <v>2387</v>
      </c>
    </row>
    <row r="717">
      <c r="A717" s="2" t="s">
        <v>3534</v>
      </c>
      <c r="B717" s="3" t="str">
        <f>C717 &amp; "." &amp; D717</f>
        <v>StepExecutions.UnevaluatedBlockingCount</v>
      </c>
      <c r="C717" s="2" t="s">
        <v>1807</v>
      </c>
      <c r="D717" s="2" t="s">
        <v>1339</v>
      </c>
      <c r="E717" s="2" t="s">
        <v>2389</v>
      </c>
      <c r="F717" s="2" t="s">
        <v>2444</v>
      </c>
      <c r="G717" s="2" t="s">
        <v>3535</v>
      </c>
      <c r="H717" s="2" t="s">
        <v>1940</v>
      </c>
      <c r="I717" s="3" t="b">
        <f>OR(E717 = "calculated", E717 = "lookup", E717 = "aggregation")</f>
        <v>1</v>
      </c>
      <c r="J717" s="3" t="b">
        <f>H717 &lt;&gt; ""</f>
        <v>1</v>
      </c>
      <c r="K717" s="3">
        <f>COUNTIFS(FieldDisagreements!D2:D999, A717)</f>
        <v>0</v>
      </c>
      <c r="L717" s="3" t="b">
        <f>K717 &gt; 0</f>
        <v>0</v>
      </c>
      <c r="M717" s="2" t="s">
        <v>2387</v>
      </c>
    </row>
    <row r="718">
      <c r="A718" s="2" t="s">
        <v>3536</v>
      </c>
      <c r="B718" s="3" t="str">
        <f>C718 &amp; "." &amp; D718</f>
        <v>StepExecutions.HasUnevaluatedBlockingControl</v>
      </c>
      <c r="C718" s="2" t="s">
        <v>1807</v>
      </c>
      <c r="D718" s="2" t="s">
        <v>1340</v>
      </c>
      <c r="E718" s="2" t="s">
        <v>2389</v>
      </c>
      <c r="F718" s="2" t="s">
        <v>2401</v>
      </c>
      <c r="G718" s="2" t="s">
        <v>3537</v>
      </c>
      <c r="H718" s="2" t="s">
        <v>1940</v>
      </c>
      <c r="I718" s="3" t="b">
        <f>OR(E718 = "calculated", E718 = "lookup", E718 = "aggregation")</f>
        <v>1</v>
      </c>
      <c r="J718" s="3" t="b">
        <f>H718 &lt;&gt; ""</f>
        <v>1</v>
      </c>
      <c r="K718" s="3">
        <f>COUNTIFS(FieldDisagreements!D2:D999, A718)</f>
        <v>0</v>
      </c>
      <c r="L718" s="3" t="b">
        <f>K718 &gt; 0</f>
        <v>0</v>
      </c>
      <c r="M718" s="2" t="s">
        <v>2387</v>
      </c>
    </row>
    <row r="719">
      <c r="A719" s="2" t="s">
        <v>3538</v>
      </c>
      <c r="B719" s="3" t="str">
        <f>C719 &amp; "." &amp; D719</f>
        <v>StepExecutions.StaleAuthoritativeSourceCount</v>
      </c>
      <c r="C719" s="2" t="s">
        <v>1807</v>
      </c>
      <c r="D719" s="2" t="s">
        <v>1341</v>
      </c>
      <c r="E719" s="2" t="s">
        <v>2478</v>
      </c>
      <c r="F719" s="2" t="s">
        <v>2444</v>
      </c>
      <c r="G719" s="2" t="s">
        <v>3539</v>
      </c>
      <c r="H719" s="2" t="s">
        <v>1944</v>
      </c>
      <c r="I719" s="3" t="b">
        <f>OR(E719 = "calculated", E719 = "lookup", E719 = "aggregation")</f>
        <v>1</v>
      </c>
      <c r="J719" s="3" t="b">
        <f>H719 &lt;&gt; ""</f>
        <v>1</v>
      </c>
      <c r="K719" s="3">
        <f>COUNTIFS(FieldDisagreements!D2:D999, A719)</f>
        <v>2</v>
      </c>
      <c r="L719" s="3" t="b">
        <f>K719 &gt; 0</f>
        <v>1</v>
      </c>
      <c r="M719" s="2" t="s">
        <v>2387</v>
      </c>
    </row>
    <row r="720">
      <c r="A720" s="2" t="s">
        <v>3540</v>
      </c>
      <c r="B720" s="3" t="str">
        <f>C720 &amp; "." &amp; D720</f>
        <v>StepExecutions.RanOnStaleAuthoritativeSource</v>
      </c>
      <c r="C720" s="2" t="s">
        <v>1807</v>
      </c>
      <c r="D720" s="2" t="s">
        <v>1342</v>
      </c>
      <c r="E720" s="2" t="s">
        <v>2389</v>
      </c>
      <c r="F720" s="2" t="s">
        <v>2401</v>
      </c>
      <c r="G720" s="2" t="s">
        <v>3541</v>
      </c>
      <c r="H720" s="2" t="s">
        <v>1944</v>
      </c>
      <c r="I720" s="3" t="b">
        <f>OR(E720 = "calculated", E720 = "lookup", E720 = "aggregation")</f>
        <v>1</v>
      </c>
      <c r="J720" s="3" t="b">
        <f>H720 &lt;&gt; ""</f>
        <v>1</v>
      </c>
      <c r="K720" s="3">
        <f>COUNTIFS(FieldDisagreements!D2:D999, A720)</f>
        <v>2</v>
      </c>
      <c r="L720" s="3" t="b">
        <f>K720 &gt; 0</f>
        <v>1</v>
      </c>
      <c r="M720" s="2" t="s">
        <v>2387</v>
      </c>
    </row>
    <row r="721">
      <c r="A721" s="2" t="s">
        <v>3542</v>
      </c>
      <c r="B721" s="3" t="str">
        <f>C721 &amp; "." &amp; D721</f>
        <v>StepExecutions.HasDeviationNote</v>
      </c>
      <c r="C721" s="2" t="s">
        <v>1807</v>
      </c>
      <c r="D721" s="2" t="s">
        <v>1343</v>
      </c>
      <c r="E721" s="2" t="s">
        <v>2389</v>
      </c>
      <c r="F721" s="2" t="s">
        <v>2401</v>
      </c>
      <c r="G721" s="2" t="s">
        <v>3543</v>
      </c>
      <c r="H721" s="2" t="s">
        <v>1948</v>
      </c>
      <c r="I721" s="3" t="b">
        <f>OR(E721 = "calculated", E721 = "lookup", E721 = "aggregation")</f>
        <v>1</v>
      </c>
      <c r="J721" s="3" t="b">
        <f>H721 &lt;&gt; ""</f>
        <v>1</v>
      </c>
      <c r="K721" s="3">
        <f>COUNTIFS(FieldDisagreements!D2:D999, A721)</f>
        <v>0</v>
      </c>
      <c r="L721" s="3" t="b">
        <f>K721 &gt; 0</f>
        <v>0</v>
      </c>
      <c r="M721" s="2" t="s">
        <v>2387</v>
      </c>
    </row>
    <row r="722">
      <c r="A722" s="2" t="s">
        <v>3544</v>
      </c>
      <c r="B722" s="3" t="str">
        <f>C722 &amp; "." &amp; D722</f>
        <v>StepExecutions.IsLateAndUnexplained</v>
      </c>
      <c r="C722" s="2" t="s">
        <v>1807</v>
      </c>
      <c r="D722" s="2" t="s">
        <v>1344</v>
      </c>
      <c r="E722" s="2" t="s">
        <v>2389</v>
      </c>
      <c r="F722" s="2" t="s">
        <v>2401</v>
      </c>
      <c r="G722" s="2" t="s">
        <v>3545</v>
      </c>
      <c r="H722" s="2" t="s">
        <v>1948</v>
      </c>
      <c r="I722" s="3" t="b">
        <f>OR(E722 = "calculated", E722 = "lookup", E722 = "aggregation")</f>
        <v>1</v>
      </c>
      <c r="J722" s="3" t="b">
        <f>H722 &lt;&gt; ""</f>
        <v>1</v>
      </c>
      <c r="K722" s="3">
        <f>COUNTIFS(FieldDisagreements!D2:D999, A722)</f>
        <v>2</v>
      </c>
      <c r="L722" s="3" t="b">
        <f>K722 &gt; 0</f>
        <v>1</v>
      </c>
      <c r="M722" s="2" t="s">
        <v>2387</v>
      </c>
    </row>
    <row r="723">
      <c r="A723" s="2" t="s">
        <v>3546</v>
      </c>
      <c r="B723" s="3" t="str">
        <f>C723 &amp; "." &amp; D723</f>
        <v>StepExecutions.AvailableExceptionCountForStep</v>
      </c>
      <c r="C723" s="2" t="s">
        <v>1807</v>
      </c>
      <c r="D723" s="2" t="s">
        <v>1345</v>
      </c>
      <c r="E723" s="2" t="s">
        <v>2478</v>
      </c>
      <c r="F723" s="2" t="s">
        <v>2444</v>
      </c>
      <c r="G723" s="2" t="s">
        <v>3547</v>
      </c>
      <c r="H723" s="2" t="s">
        <v>1948</v>
      </c>
      <c r="I723" s="3" t="b">
        <f>OR(E723 = "calculated", E723 = "lookup", E723 = "aggregation")</f>
        <v>1</v>
      </c>
      <c r="J723" s="3" t="b">
        <f>H723 &lt;&gt; ""</f>
        <v>1</v>
      </c>
      <c r="K723" s="3">
        <f>COUNTIFS(FieldDisagreements!D2:D999, A723)</f>
        <v>0</v>
      </c>
      <c r="L723" s="3" t="b">
        <f>K723 &gt; 0</f>
        <v>0</v>
      </c>
      <c r="M723" s="2" t="s">
        <v>2387</v>
      </c>
    </row>
    <row r="724">
      <c r="A724" s="2" t="s">
        <v>3548</v>
      </c>
      <c r="B724" s="3" t="str">
        <f>C724 &amp; "." &amp; D724</f>
        <v>StepExecutions.HadUninvokedExceptionAvailable</v>
      </c>
      <c r="C724" s="2" t="s">
        <v>1807</v>
      </c>
      <c r="D724" s="2" t="s">
        <v>1346</v>
      </c>
      <c r="E724" s="2" t="s">
        <v>2389</v>
      </c>
      <c r="F724" s="2" t="s">
        <v>2401</v>
      </c>
      <c r="G724" s="2" t="s">
        <v>3549</v>
      </c>
      <c r="H724" s="2" t="s">
        <v>1948</v>
      </c>
      <c r="I724" s="3" t="b">
        <f>OR(E724 = "calculated", E724 = "lookup", E724 = "aggregation")</f>
        <v>1</v>
      </c>
      <c r="J724" s="3" t="b">
        <f>H724 &lt;&gt; ""</f>
        <v>1</v>
      </c>
      <c r="K724" s="3">
        <f>COUNTIFS(FieldDisagreements!D2:D999, A724)</f>
        <v>1</v>
      </c>
      <c r="L724" s="3" t="b">
        <f>K724 &gt; 0</f>
        <v>1</v>
      </c>
      <c r="M724" s="2" t="s">
        <v>2387</v>
      </c>
    </row>
    <row r="725">
      <c r="A725" s="2" t="s">
        <v>3550</v>
      </c>
      <c r="B725" s="3" t="str">
        <f>C725 &amp; "." &amp; D725</f>
        <v>StepExecutions.ExpectedVerificationCount</v>
      </c>
      <c r="C725" s="2" t="s">
        <v>1807</v>
      </c>
      <c r="D725" s="2" t="s">
        <v>1347</v>
      </c>
      <c r="E725" s="2" t="s">
        <v>2478</v>
      </c>
      <c r="F725" s="2" t="s">
        <v>2444</v>
      </c>
      <c r="G725" s="2" t="s">
        <v>3551</v>
      </c>
      <c r="H725" s="2" t="s">
        <v>1952</v>
      </c>
      <c r="I725" s="3" t="b">
        <f>OR(E725 = "calculated", E725 = "lookup", E725 = "aggregation")</f>
        <v>1</v>
      </c>
      <c r="J725" s="3" t="b">
        <f>H725 &lt;&gt; ""</f>
        <v>1</v>
      </c>
      <c r="K725" s="3">
        <f>COUNTIFS(FieldDisagreements!D2:D999, A725)</f>
        <v>0</v>
      </c>
      <c r="L725" s="3" t="b">
        <f>K725 &gt; 0</f>
        <v>0</v>
      </c>
      <c r="M725" s="2" t="s">
        <v>2387</v>
      </c>
    </row>
    <row r="726">
      <c r="A726" s="2" t="s">
        <v>3552</v>
      </c>
      <c r="B726" s="3" t="str">
        <f>C726 &amp; "." &amp; D726</f>
        <v>StepExecutions.PerformedVerificationCount</v>
      </c>
      <c r="C726" s="2" t="s">
        <v>1807</v>
      </c>
      <c r="D726" s="2" t="s">
        <v>1348</v>
      </c>
      <c r="E726" s="2" t="s">
        <v>2438</v>
      </c>
      <c r="F726" s="2" t="s">
        <v>2444</v>
      </c>
      <c r="G726" s="2" t="s">
        <v>3553</v>
      </c>
      <c r="H726" s="2" t="s">
        <v>1952</v>
      </c>
      <c r="I726" s="3" t="b">
        <f>OR(E726 = "calculated", E726 = "lookup", E726 = "aggregation")</f>
        <v>1</v>
      </c>
      <c r="J726" s="3" t="b">
        <f>H726 &lt;&gt; ""</f>
        <v>1</v>
      </c>
      <c r="K726" s="3">
        <f>COUNTIFS(FieldDisagreements!D2:D999, A726)</f>
        <v>0</v>
      </c>
      <c r="L726" s="3" t="b">
        <f>K726 &gt; 0</f>
        <v>0</v>
      </c>
      <c r="M726" s="2" t="s">
        <v>2387</v>
      </c>
    </row>
    <row r="727">
      <c r="A727" s="2" t="s">
        <v>3554</v>
      </c>
      <c r="B727" s="3" t="str">
        <f>C727 &amp; "." &amp; D727</f>
        <v>StepExecutions.SkippedVerificationCount</v>
      </c>
      <c r="C727" s="2" t="s">
        <v>1807</v>
      </c>
      <c r="D727" s="2" t="s">
        <v>1349</v>
      </c>
      <c r="E727" s="2" t="s">
        <v>2389</v>
      </c>
      <c r="F727" s="2" t="s">
        <v>2444</v>
      </c>
      <c r="G727" s="2" t="s">
        <v>3555</v>
      </c>
      <c r="H727" s="2" t="s">
        <v>1952</v>
      </c>
      <c r="I727" s="3" t="b">
        <f>OR(E727 = "calculated", E727 = "lookup", E727 = "aggregation")</f>
        <v>1</v>
      </c>
      <c r="J727" s="3" t="b">
        <f>H727 &lt;&gt; ""</f>
        <v>1</v>
      </c>
      <c r="K727" s="3">
        <f>COUNTIFS(FieldDisagreements!D2:D999, A727)</f>
        <v>0</v>
      </c>
      <c r="L727" s="3" t="b">
        <f>K727 &gt; 0</f>
        <v>0</v>
      </c>
      <c r="M727" s="2" t="s">
        <v>2387</v>
      </c>
    </row>
    <row r="728">
      <c r="A728" s="2" t="s">
        <v>3556</v>
      </c>
      <c r="B728" s="3" t="str">
        <f>C728 &amp; "." &amp; D728</f>
        <v>StepExecutions.HasSkippedVerification</v>
      </c>
      <c r="C728" s="2" t="s">
        <v>1807</v>
      </c>
      <c r="D728" s="2" t="s">
        <v>1350</v>
      </c>
      <c r="E728" s="2" t="s">
        <v>2389</v>
      </c>
      <c r="F728" s="2" t="s">
        <v>2401</v>
      </c>
      <c r="G728" s="2" t="s">
        <v>3557</v>
      </c>
      <c r="H728" s="2" t="s">
        <v>1952</v>
      </c>
      <c r="I728" s="3" t="b">
        <f>OR(E728 = "calculated", E728 = "lookup", E728 = "aggregation")</f>
        <v>1</v>
      </c>
      <c r="J728" s="3" t="b">
        <f>H728 &lt;&gt; ""</f>
        <v>1</v>
      </c>
      <c r="K728" s="3">
        <f>COUNTIFS(FieldDisagreements!D2:D999, A728)</f>
        <v>0</v>
      </c>
      <c r="L728" s="3" t="b">
        <f>K728 &gt; 0</f>
        <v>0</v>
      </c>
      <c r="M728" s="2" t="s">
        <v>2387</v>
      </c>
    </row>
    <row r="729">
      <c r="A729" s="2" t="s">
        <v>3558</v>
      </c>
      <c r="B729" s="3" t="str">
        <f>C729 &amp; "." &amp; D729</f>
        <v>StepExecutions.ClaimsPassWithoutEvidence</v>
      </c>
      <c r="C729" s="2" t="s">
        <v>1807</v>
      </c>
      <c r="D729" s="2" t="s">
        <v>1351</v>
      </c>
      <c r="E729" s="2" t="s">
        <v>2389</v>
      </c>
      <c r="F729" s="2" t="s">
        <v>2401</v>
      </c>
      <c r="G729" s="2" t="s">
        <v>3559</v>
      </c>
      <c r="H729" s="2" t="s">
        <v>1952</v>
      </c>
      <c r="I729" s="3" t="b">
        <f>OR(E729 = "calculated", E729 = "lookup", E729 = "aggregation")</f>
        <v>1</v>
      </c>
      <c r="J729" s="3" t="b">
        <f>H729 &lt;&gt; ""</f>
        <v>1</v>
      </c>
      <c r="K729" s="3">
        <f>COUNTIFS(FieldDisagreements!D2:D999, A729)</f>
        <v>0</v>
      </c>
      <c r="L729" s="3" t="b">
        <f>K729 &gt; 0</f>
        <v>0</v>
      </c>
      <c r="M729" s="2" t="s">
        <v>2387</v>
      </c>
    </row>
    <row r="730">
      <c r="A730" s="2" t="s">
        <v>3560</v>
      </c>
      <c r="B730" s="3" t="str">
        <f>C730 &amp; "." &amp; D730</f>
        <v>StepExecutions.StepIsPreparation</v>
      </c>
      <c r="C730" s="2" t="s">
        <v>1807</v>
      </c>
      <c r="D730" s="2" t="s">
        <v>1352</v>
      </c>
      <c r="E730" s="2" t="s">
        <v>2478</v>
      </c>
      <c r="F730" s="2" t="s">
        <v>2401</v>
      </c>
      <c r="G730" s="2" t="s">
        <v>3561</v>
      </c>
      <c r="H730" s="2" t="s">
        <v>1956</v>
      </c>
      <c r="I730" s="3" t="b">
        <f>OR(E730 = "calculated", E730 = "lookup", E730 = "aggregation")</f>
        <v>1</v>
      </c>
      <c r="J730" s="3" t="b">
        <f>H730 &lt;&gt; ""</f>
        <v>1</v>
      </c>
      <c r="K730" s="3">
        <f>COUNTIFS(FieldDisagreements!D2:D999, A730)</f>
        <v>0</v>
      </c>
      <c r="L730" s="3" t="b">
        <f>K730 &gt; 0</f>
        <v>0</v>
      </c>
      <c r="M730" s="2" t="s">
        <v>2387</v>
      </c>
    </row>
    <row r="731">
      <c r="A731" s="2" t="s">
        <v>3562</v>
      </c>
      <c r="B731" s="3" t="str">
        <f>C731 &amp; "." &amp; D731</f>
        <v>StepExecutions.StepIsApproval</v>
      </c>
      <c r="C731" s="2" t="s">
        <v>1807</v>
      </c>
      <c r="D731" s="2" t="s">
        <v>1353</v>
      </c>
      <c r="E731" s="2" t="s">
        <v>2478</v>
      </c>
      <c r="F731" s="2" t="s">
        <v>2401</v>
      </c>
      <c r="G731" s="2" t="s">
        <v>3563</v>
      </c>
      <c r="H731" s="2" t="s">
        <v>1956</v>
      </c>
      <c r="I731" s="3" t="b">
        <f>OR(E731 = "calculated", E731 = "lookup", E731 = "aggregation")</f>
        <v>1</v>
      </c>
      <c r="J731" s="3" t="b">
        <f>H731 &lt;&gt; ""</f>
        <v>1</v>
      </c>
      <c r="K731" s="3">
        <f>COUNTIFS(FieldDisagreements!D2:D999, A731)</f>
        <v>0</v>
      </c>
      <c r="L731" s="3" t="b">
        <f>K731 &gt; 0</f>
        <v>0</v>
      </c>
      <c r="M731" s="2" t="s">
        <v>2387</v>
      </c>
    </row>
    <row r="732">
      <c r="A732" s="2" t="s">
        <v>3564</v>
      </c>
      <c r="B732" s="3" t="str">
        <f>C732 &amp; "." &amp; D732</f>
        <v>StepExecutions.PreparerAgentKey</v>
      </c>
      <c r="C732" s="2" t="s">
        <v>1807</v>
      </c>
      <c r="D732" s="2" t="s">
        <v>1354</v>
      </c>
      <c r="E732" s="2" t="s">
        <v>2389</v>
      </c>
      <c r="F732" s="2" t="s">
        <v>2386</v>
      </c>
      <c r="G732" s="2" t="s">
        <v>3565</v>
      </c>
      <c r="H732" s="2" t="s">
        <v>1956</v>
      </c>
      <c r="I732" s="3" t="b">
        <f>OR(E732 = "calculated", E732 = "lookup", E732 = "aggregation")</f>
        <v>1</v>
      </c>
      <c r="J732" s="3" t="b">
        <f>H732 &lt;&gt; ""</f>
        <v>1</v>
      </c>
      <c r="K732" s="3">
        <f>COUNTIFS(FieldDisagreements!D2:D999, A732)</f>
        <v>0</v>
      </c>
      <c r="L732" s="3" t="b">
        <f>K732 &gt; 0</f>
        <v>0</v>
      </c>
      <c r="M732" s="2" t="s">
        <v>2387</v>
      </c>
    </row>
    <row r="733">
      <c r="A733" s="2" t="s">
        <v>3566</v>
      </c>
      <c r="B733" s="3" t="str">
        <f>C733 &amp; "." &amp; D733</f>
        <v>StepExecutions.ApproverAgentKey</v>
      </c>
      <c r="C733" s="2" t="s">
        <v>1807</v>
      </c>
      <c r="D733" s="2" t="s">
        <v>1355</v>
      </c>
      <c r="E733" s="2" t="s">
        <v>2389</v>
      </c>
      <c r="F733" s="2" t="s">
        <v>2386</v>
      </c>
      <c r="G733" s="2" t="s">
        <v>3567</v>
      </c>
      <c r="H733" s="2" t="s">
        <v>1956</v>
      </c>
      <c r="I733" s="3" t="b">
        <f>OR(E733 = "calculated", E733 = "lookup", E733 = "aggregation")</f>
        <v>1</v>
      </c>
      <c r="J733" s="3" t="b">
        <f>H733 &lt;&gt; ""</f>
        <v>1</v>
      </c>
      <c r="K733" s="3">
        <f>COUNTIFS(FieldDisagreements!D2:D999, A733)</f>
        <v>0</v>
      </c>
      <c r="L733" s="3" t="b">
        <f>K733 &gt; 0</f>
        <v>0</v>
      </c>
      <c r="M733" s="2" t="s">
        <v>2387</v>
      </c>
    </row>
    <row r="734">
      <c r="A734" s="2" t="s">
        <v>3568</v>
      </c>
      <c r="B734" s="3" t="str">
        <f>C734 &amp; "." &amp; D734</f>
        <v>StepExecutions.PreparedByThisAgentCount</v>
      </c>
      <c r="C734" s="2" t="s">
        <v>1807</v>
      </c>
      <c r="D734" s="2" t="s">
        <v>1356</v>
      </c>
      <c r="E734" s="2" t="s">
        <v>2438</v>
      </c>
      <c r="F734" s="2" t="s">
        <v>2444</v>
      </c>
      <c r="G734" s="2" t="s">
        <v>3569</v>
      </c>
      <c r="H734" s="2" t="s">
        <v>1956</v>
      </c>
      <c r="I734" s="3" t="b">
        <f>OR(E734 = "calculated", E734 = "lookup", E734 = "aggregation")</f>
        <v>1</v>
      </c>
      <c r="J734" s="3" t="b">
        <f>H734 &lt;&gt; ""</f>
        <v>1</v>
      </c>
      <c r="K734" s="3">
        <f>COUNTIFS(FieldDisagreements!D2:D999, A734)</f>
        <v>0</v>
      </c>
      <c r="L734" s="3" t="b">
        <f>K734 &gt; 0</f>
        <v>0</v>
      </c>
      <c r="M734" s="2" t="s">
        <v>2387</v>
      </c>
    </row>
    <row r="735">
      <c r="A735" s="2" t="s">
        <v>838</v>
      </c>
      <c r="B735" s="3" t="str">
        <f>C735 &amp; "." &amp; D735</f>
        <v>StepExecutions.ViolatesSeparationOfDuties</v>
      </c>
      <c r="C735" s="2" t="s">
        <v>1807</v>
      </c>
      <c r="D735" s="2" t="s">
        <v>1357</v>
      </c>
      <c r="E735" s="2" t="s">
        <v>2389</v>
      </c>
      <c r="F735" s="2" t="s">
        <v>2401</v>
      </c>
      <c r="G735" s="2" t="s">
        <v>3570</v>
      </c>
      <c r="H735" s="2" t="s">
        <v>1956</v>
      </c>
      <c r="I735" s="3" t="b">
        <f>OR(E735 = "calculated", E735 = "lookup", E735 = "aggregation")</f>
        <v>1</v>
      </c>
      <c r="J735" s="3" t="b">
        <f>H735 &lt;&gt; ""</f>
        <v>1</v>
      </c>
      <c r="K735" s="3">
        <f>COUNTIFS(FieldDisagreements!D2:D999, A735)</f>
        <v>0</v>
      </c>
      <c r="L735" s="3" t="b">
        <f>K735 &gt; 0</f>
        <v>0</v>
      </c>
      <c r="M735" s="2" t="s">
        <v>2387</v>
      </c>
    </row>
    <row r="736">
      <c r="A736" s="2" t="s">
        <v>3571</v>
      </c>
      <c r="B736" s="3" t="str">
        <f>C736 &amp; "." &amp; D736</f>
        <v>StepExecutions.RequiredRoleForStep</v>
      </c>
      <c r="C736" s="2" t="s">
        <v>1807</v>
      </c>
      <c r="D736" s="2" t="s">
        <v>1358</v>
      </c>
      <c r="E736" s="2" t="s">
        <v>2478</v>
      </c>
      <c r="F736" s="2" t="s">
        <v>2386</v>
      </c>
      <c r="G736" s="2" t="s">
        <v>3572</v>
      </c>
      <c r="H736" s="2" t="s">
        <v>1960</v>
      </c>
      <c r="I736" s="3" t="b">
        <f>OR(E736 = "calculated", E736 = "lookup", E736 = "aggregation")</f>
        <v>1</v>
      </c>
      <c r="J736" s="3" t="b">
        <f>H736 &lt;&gt; ""</f>
        <v>1</v>
      </c>
      <c r="K736" s="3">
        <f>COUNTIFS(FieldDisagreements!D2:D999, A736)</f>
        <v>0</v>
      </c>
      <c r="L736" s="3" t="b">
        <f>K736 &gt; 0</f>
        <v>0</v>
      </c>
      <c r="M736" s="2" t="s">
        <v>2387</v>
      </c>
    </row>
    <row r="737">
      <c r="A737" s="2" t="s">
        <v>3573</v>
      </c>
      <c r="B737" s="3" t="str">
        <f>C737 &amp; "." &amp; D737</f>
        <v>StepExecutions.ExecutorRoleKey</v>
      </c>
      <c r="C737" s="2" t="s">
        <v>1807</v>
      </c>
      <c r="D737" s="2" t="s">
        <v>1359</v>
      </c>
      <c r="E737" s="2" t="s">
        <v>2389</v>
      </c>
      <c r="F737" s="2" t="s">
        <v>2386</v>
      </c>
      <c r="G737" s="2" t="s">
        <v>3574</v>
      </c>
      <c r="H737" s="2" t="s">
        <v>1960</v>
      </c>
      <c r="I737" s="3" t="b">
        <f>OR(E737 = "calculated", E737 = "lookup", E737 = "aggregation")</f>
        <v>1</v>
      </c>
      <c r="J737" s="3" t="b">
        <f>H737 &lt;&gt; ""</f>
        <v>1</v>
      </c>
      <c r="K737" s="3">
        <f>COUNTIFS(FieldDisagreements!D2:D999, A737)</f>
        <v>0</v>
      </c>
      <c r="L737" s="3" t="b">
        <f>K737 &gt; 0</f>
        <v>0</v>
      </c>
      <c r="M737" s="2" t="s">
        <v>2387</v>
      </c>
    </row>
    <row r="738">
      <c r="A738" s="2" t="s">
        <v>3575</v>
      </c>
      <c r="B738" s="3" t="str">
        <f>C738 &amp; "." &amp; D738</f>
        <v>StepExecutions.ExecutorAuthorityCount</v>
      </c>
      <c r="C738" s="2" t="s">
        <v>1807</v>
      </c>
      <c r="D738" s="2" t="s">
        <v>1360</v>
      </c>
      <c r="E738" s="2" t="s">
        <v>2438</v>
      </c>
      <c r="F738" s="2" t="s">
        <v>2444</v>
      </c>
      <c r="G738" s="2" t="s">
        <v>3576</v>
      </c>
      <c r="H738" s="2" t="s">
        <v>1960</v>
      </c>
      <c r="I738" s="3" t="b">
        <f>OR(E738 = "calculated", E738 = "lookup", E738 = "aggregation")</f>
        <v>1</v>
      </c>
      <c r="J738" s="3" t="b">
        <f>H738 &lt;&gt; ""</f>
        <v>1</v>
      </c>
      <c r="K738" s="3">
        <f>COUNTIFS(FieldDisagreements!D2:D999, A738)</f>
        <v>0</v>
      </c>
      <c r="L738" s="3" t="b">
        <f>K738 &gt; 0</f>
        <v>0</v>
      </c>
      <c r="M738" s="2" t="s">
        <v>2387</v>
      </c>
    </row>
    <row r="739">
      <c r="A739" s="2" t="s">
        <v>3577</v>
      </c>
      <c r="B739" s="3" t="str">
        <f>C739 &amp; "." &amp; D739</f>
        <v>StepExecutions.ExecutorHeldRequiredRole</v>
      </c>
      <c r="C739" s="2" t="s">
        <v>1807</v>
      </c>
      <c r="D739" s="2" t="s">
        <v>1361</v>
      </c>
      <c r="E739" s="2" t="s">
        <v>2389</v>
      </c>
      <c r="F739" s="2" t="s">
        <v>2401</v>
      </c>
      <c r="G739" s="2" t="s">
        <v>3578</v>
      </c>
      <c r="H739" s="2" t="s">
        <v>1960</v>
      </c>
      <c r="I739" s="3" t="b">
        <f>OR(E739 = "calculated", E739 = "lookup", E739 = "aggregation")</f>
        <v>1</v>
      </c>
      <c r="J739" s="3" t="b">
        <f>H739 &lt;&gt; ""</f>
        <v>1</v>
      </c>
      <c r="K739" s="3">
        <f>COUNTIFS(FieldDisagreements!D2:D999, A739)</f>
        <v>0</v>
      </c>
      <c r="L739" s="3" t="b">
        <f>K739 &gt; 0</f>
        <v>0</v>
      </c>
      <c r="M739" s="2" t="s">
        <v>2387</v>
      </c>
    </row>
    <row r="740">
      <c r="A740" s="2" t="s">
        <v>3579</v>
      </c>
      <c r="B740" s="3" t="str">
        <f>C740 &amp; "." &amp; D740</f>
        <v>StepExecutions.IsUnauthorizedApproval</v>
      </c>
      <c r="C740" s="2" t="s">
        <v>1807</v>
      </c>
      <c r="D740" s="2" t="s">
        <v>1362</v>
      </c>
      <c r="E740" s="2" t="s">
        <v>2389</v>
      </c>
      <c r="F740" s="2" t="s">
        <v>2401</v>
      </c>
      <c r="G740" s="2" t="s">
        <v>3580</v>
      </c>
      <c r="H740" s="2" t="s">
        <v>1960</v>
      </c>
      <c r="I740" s="3" t="b">
        <f>OR(E740 = "calculated", E740 = "lookup", E740 = "aggregation")</f>
        <v>1</v>
      </c>
      <c r="J740" s="3" t="b">
        <f>H740 &lt;&gt; ""</f>
        <v>1</v>
      </c>
      <c r="K740" s="3">
        <f>COUNTIFS(FieldDisagreements!D2:D999, A740)</f>
        <v>0</v>
      </c>
      <c r="L740" s="3" t="b">
        <f>K740 &gt; 0</f>
        <v>0</v>
      </c>
      <c r="M740" s="2" t="s">
        <v>2387</v>
      </c>
    </row>
    <row r="741">
      <c r="A741" s="2" t="s">
        <v>3581</v>
      </c>
      <c r="B741" s="3" t="str">
        <f>C741 &amp; "." &amp; D741</f>
        <v>StepExecutions.CompletedExecutionKey</v>
      </c>
      <c r="C741" s="2" t="s">
        <v>1807</v>
      </c>
      <c r="D741" s="2" t="s">
        <v>1363</v>
      </c>
      <c r="E741" s="2" t="s">
        <v>2389</v>
      </c>
      <c r="F741" s="2" t="s">
        <v>2386</v>
      </c>
      <c r="G741" s="2" t="s">
        <v>3582</v>
      </c>
      <c r="H741" s="2" t="s">
        <v>1968</v>
      </c>
      <c r="I741" s="3" t="b">
        <f>OR(E741 = "calculated", E741 = "lookup", E741 = "aggregation")</f>
        <v>1</v>
      </c>
      <c r="J741" s="3" t="b">
        <f>H741 &lt;&gt; ""</f>
        <v>1</v>
      </c>
      <c r="K741" s="3">
        <f>COUNTIFS(FieldDisagreements!D2:D999, A741)</f>
        <v>0</v>
      </c>
      <c r="L741" s="3" t="b">
        <f>K741 &gt; 0</f>
        <v>0</v>
      </c>
      <c r="M741" s="2" t="s">
        <v>2387</v>
      </c>
    </row>
    <row r="742">
      <c r="A742" s="2" t="s">
        <v>3583</v>
      </c>
      <c r="B742" s="3" t="str">
        <f>C742 &amp; "." &amp; D742</f>
        <v>StepExecutions.ControlBreachExecutionKey</v>
      </c>
      <c r="C742" s="2" t="s">
        <v>1807</v>
      </c>
      <c r="D742" s="2" t="s">
        <v>1364</v>
      </c>
      <c r="E742" s="2" t="s">
        <v>2389</v>
      </c>
      <c r="F742" s="2" t="s">
        <v>2386</v>
      </c>
      <c r="G742" s="2" t="s">
        <v>3584</v>
      </c>
      <c r="H742" s="2" t="s">
        <v>1968</v>
      </c>
      <c r="I742" s="3" t="b">
        <f>OR(E742 = "calculated", E742 = "lookup", E742 = "aggregation")</f>
        <v>1</v>
      </c>
      <c r="J742" s="3" t="b">
        <f>H742 &lt;&gt; ""</f>
        <v>1</v>
      </c>
      <c r="K742" s="3">
        <f>COUNTIFS(FieldDisagreements!D2:D999, A742)</f>
        <v>0</v>
      </c>
      <c r="L742" s="3" t="b">
        <f>K742 &gt; 0</f>
        <v>0</v>
      </c>
      <c r="M742" s="2" t="s">
        <v>2387</v>
      </c>
    </row>
    <row r="743">
      <c r="A743" s="2" t="s">
        <v>3585</v>
      </c>
      <c r="B743" s="3" t="str">
        <f>C743 &amp; "." &amp; D743</f>
        <v>StepExecutions.LateExecutionKey</v>
      </c>
      <c r="C743" s="2" t="s">
        <v>1807</v>
      </c>
      <c r="D743" s="2" t="s">
        <v>1365</v>
      </c>
      <c r="E743" s="2" t="s">
        <v>2389</v>
      </c>
      <c r="F743" s="2" t="s">
        <v>2386</v>
      </c>
      <c r="G743" s="2" t="s">
        <v>3586</v>
      </c>
      <c r="H743" s="2" t="s">
        <v>1968</v>
      </c>
      <c r="I743" s="3" t="b">
        <f>OR(E743 = "calculated", E743 = "lookup", E743 = "aggregation")</f>
        <v>1</v>
      </c>
      <c r="J743" s="3" t="b">
        <f>H743 &lt;&gt; ""</f>
        <v>1</v>
      </c>
      <c r="K743" s="3">
        <f>COUNTIFS(FieldDisagreements!D2:D999, A743)</f>
        <v>2</v>
      </c>
      <c r="L743" s="3" t="b">
        <f>K743 &gt; 0</f>
        <v>1</v>
      </c>
      <c r="M743" s="2" t="s">
        <v>2387</v>
      </c>
    </row>
    <row r="744">
      <c r="A744" s="2" t="s">
        <v>3587</v>
      </c>
      <c r="B744" s="3" t="str">
        <f>C744 &amp; "." &amp; D744</f>
        <v>StepExecutions.ExecutorAgentKind</v>
      </c>
      <c r="C744" s="2" t="s">
        <v>1807</v>
      </c>
      <c r="D744" s="2" t="s">
        <v>1366</v>
      </c>
      <c r="E744" s="2" t="s">
        <v>2478</v>
      </c>
      <c r="F744" s="2" t="s">
        <v>2386</v>
      </c>
      <c r="G744" s="2" t="s">
        <v>3588</v>
      </c>
      <c r="H744" s="2" t="s">
        <v>1972</v>
      </c>
      <c r="I744" s="3" t="b">
        <f>OR(E744 = "calculated", E744 = "lookup", E744 = "aggregation")</f>
        <v>1</v>
      </c>
      <c r="J744" s="3" t="b">
        <f>H744 &lt;&gt; ""</f>
        <v>1</v>
      </c>
      <c r="K744" s="3">
        <f>COUNTIFS(FieldDisagreements!D2:D999, A744)</f>
        <v>0</v>
      </c>
      <c r="L744" s="3" t="b">
        <f>K744 &gt; 0</f>
        <v>0</v>
      </c>
      <c r="M744" s="2" t="s">
        <v>2387</v>
      </c>
    </row>
    <row r="745">
      <c r="A745" s="2" t="s">
        <v>3589</v>
      </c>
      <c r="B745" s="3" t="str">
        <f>C745 &amp; "." &amp; D745</f>
        <v>StepExecutions.ExecutorIsHuman</v>
      </c>
      <c r="C745" s="2" t="s">
        <v>1807</v>
      </c>
      <c r="D745" s="2" t="s">
        <v>1367</v>
      </c>
      <c r="E745" s="2" t="s">
        <v>2389</v>
      </c>
      <c r="F745" s="2" t="s">
        <v>2401</v>
      </c>
      <c r="G745" s="2" t="s">
        <v>3590</v>
      </c>
      <c r="H745" s="2" t="s">
        <v>1972</v>
      </c>
      <c r="I745" s="3" t="b">
        <f>OR(E745 = "calculated", E745 = "lookup", E745 = "aggregation")</f>
        <v>1</v>
      </c>
      <c r="J745" s="3" t="b">
        <f>H745 &lt;&gt; ""</f>
        <v>1</v>
      </c>
      <c r="K745" s="3">
        <f>COUNTIFS(FieldDisagreements!D2:D999, A745)</f>
        <v>0</v>
      </c>
      <c r="L745" s="3" t="b">
        <f>K745 &gt; 0</f>
        <v>0</v>
      </c>
      <c r="M745" s="2" t="s">
        <v>2387</v>
      </c>
    </row>
    <row r="746">
      <c r="A746" s="2" t="s">
        <v>3591</v>
      </c>
      <c r="B746" s="3" t="str">
        <f>C746 &amp; "." &amp; D746</f>
        <v>StepExecutions.StepRequiresHumanConfirmation</v>
      </c>
      <c r="C746" s="2" t="s">
        <v>1807</v>
      </c>
      <c r="D746" s="2" t="s">
        <v>1368</v>
      </c>
      <c r="E746" s="2" t="s">
        <v>2478</v>
      </c>
      <c r="F746" s="2" t="s">
        <v>2401</v>
      </c>
      <c r="G746" s="2" t="s">
        <v>3592</v>
      </c>
      <c r="H746" s="2" t="s">
        <v>1972</v>
      </c>
      <c r="I746" s="3" t="b">
        <f>OR(E746 = "calculated", E746 = "lookup", E746 = "aggregation")</f>
        <v>1</v>
      </c>
      <c r="J746" s="3" t="b">
        <f>H746 &lt;&gt; ""</f>
        <v>1</v>
      </c>
      <c r="K746" s="3">
        <f>COUNTIFS(FieldDisagreements!D2:D999, A746)</f>
        <v>0</v>
      </c>
      <c r="L746" s="3" t="b">
        <f>K746 &gt; 0</f>
        <v>0</v>
      </c>
      <c r="M746" s="2" t="s">
        <v>2387</v>
      </c>
    </row>
    <row r="747">
      <c r="A747" s="2" t="s">
        <v>3593</v>
      </c>
      <c r="B747" s="3" t="str">
        <f>C747 &amp; "." &amp; D747</f>
        <v>StepExecutions.NonHumanRanHumanStep</v>
      </c>
      <c r="C747" s="2" t="s">
        <v>1807</v>
      </c>
      <c r="D747" s="2" t="s">
        <v>1369</v>
      </c>
      <c r="E747" s="2" t="s">
        <v>2389</v>
      </c>
      <c r="F747" s="2" t="s">
        <v>2401</v>
      </c>
      <c r="G747" s="2" t="s">
        <v>3594</v>
      </c>
      <c r="H747" s="2" t="s">
        <v>1972</v>
      </c>
      <c r="I747" s="3" t="b">
        <f>OR(E747 = "calculated", E747 = "lookup", E747 = "aggregation")</f>
        <v>1</v>
      </c>
      <c r="J747" s="3" t="b">
        <f>H747 &lt;&gt; ""</f>
        <v>1</v>
      </c>
      <c r="K747" s="3">
        <f>COUNTIFS(FieldDisagreements!D2:D999, A747)</f>
        <v>0</v>
      </c>
      <c r="L747" s="3" t="b">
        <f>K747 &gt; 0</f>
        <v>0</v>
      </c>
      <c r="M747" s="2" t="s">
        <v>2387</v>
      </c>
    </row>
    <row r="748">
      <c r="A748" s="2" t="s">
        <v>3595</v>
      </c>
      <c r="B748" s="3" t="str">
        <f>C748 &amp; "." &amp; D748</f>
        <v>StepExecutions.NonHumanApproval</v>
      </c>
      <c r="C748" s="2" t="s">
        <v>1807</v>
      </c>
      <c r="D748" s="2" t="s">
        <v>1370</v>
      </c>
      <c r="E748" s="2" t="s">
        <v>2389</v>
      </c>
      <c r="F748" s="2" t="s">
        <v>2401</v>
      </c>
      <c r="G748" s="2" t="s">
        <v>3596</v>
      </c>
      <c r="H748" s="2" t="s">
        <v>1972</v>
      </c>
      <c r="I748" s="3" t="b">
        <f>OR(E748 = "calculated", E748 = "lookup", E748 = "aggregation")</f>
        <v>1</v>
      </c>
      <c r="J748" s="3" t="b">
        <f>H748 &lt;&gt; ""</f>
        <v>1</v>
      </c>
      <c r="K748" s="3">
        <f>COUNTIFS(FieldDisagreements!D2:D999, A748)</f>
        <v>0</v>
      </c>
      <c r="L748" s="3" t="b">
        <f>K748 &gt; 0</f>
        <v>0</v>
      </c>
      <c r="M748" s="2" t="s">
        <v>2387</v>
      </c>
    </row>
    <row r="749">
      <c r="A749" s="2" t="s">
        <v>3597</v>
      </c>
      <c r="B749" s="3" t="str">
        <f>C749 &amp; "." &amp; D749</f>
        <v>StepExecutions.UnevaluatedBlockingExecutionKey</v>
      </c>
      <c r="C749" s="2" t="s">
        <v>1807</v>
      </c>
      <c r="D749" s="2" t="s">
        <v>1371</v>
      </c>
      <c r="E749" s="2" t="s">
        <v>2389</v>
      </c>
      <c r="F749" s="2" t="s">
        <v>2386</v>
      </c>
      <c r="G749" s="2" t="s">
        <v>3598</v>
      </c>
      <c r="H749" s="2" t="s">
        <v>1976</v>
      </c>
      <c r="I749" s="3" t="b">
        <f>OR(E749 = "calculated", E749 = "lookup", E749 = "aggregation")</f>
        <v>1</v>
      </c>
      <c r="J749" s="3" t="b">
        <f>H749 &lt;&gt; ""</f>
        <v>1</v>
      </c>
      <c r="K749" s="3">
        <f>COUNTIFS(FieldDisagreements!D2:D999, A749)</f>
        <v>0</v>
      </c>
      <c r="L749" s="3" t="b">
        <f>K749 &gt; 0</f>
        <v>0</v>
      </c>
      <c r="M749" s="2" t="s">
        <v>2387</v>
      </c>
    </row>
    <row r="750">
      <c r="A750" s="2" t="s">
        <v>3599</v>
      </c>
      <c r="B750" s="3" t="str">
        <f>C750 &amp; "." &amp; D750</f>
        <v>StepExecutions.SeparationViolationExecutionKey</v>
      </c>
      <c r="C750" s="2" t="s">
        <v>1807</v>
      </c>
      <c r="D750" s="2" t="s">
        <v>1372</v>
      </c>
      <c r="E750" s="2" t="s">
        <v>2389</v>
      </c>
      <c r="F750" s="2" t="s">
        <v>2386</v>
      </c>
      <c r="G750" s="2" t="s">
        <v>3600</v>
      </c>
      <c r="H750" s="2" t="s">
        <v>1976</v>
      </c>
      <c r="I750" s="3" t="b">
        <f>OR(E750 = "calculated", E750 = "lookup", E750 = "aggregation")</f>
        <v>1</v>
      </c>
      <c r="J750" s="3" t="b">
        <f>H750 &lt;&gt; ""</f>
        <v>1</v>
      </c>
      <c r="K750" s="3">
        <f>COUNTIFS(FieldDisagreements!D2:D999, A750)</f>
        <v>0</v>
      </c>
      <c r="L750" s="3" t="b">
        <f>K750 &gt; 0</f>
        <v>0</v>
      </c>
      <c r="M750" s="2" t="s">
        <v>2387</v>
      </c>
    </row>
    <row r="751">
      <c r="A751" s="2" t="s">
        <v>3601</v>
      </c>
      <c r="B751" s="3" t="str">
        <f>C751 &amp; "." &amp; D751</f>
        <v>StepExecutions.SelfWitnessedVerificationCount</v>
      </c>
      <c r="C751" s="2" t="s">
        <v>1807</v>
      </c>
      <c r="D751" s="2" t="s">
        <v>1373</v>
      </c>
      <c r="E751" s="2" t="s">
        <v>2438</v>
      </c>
      <c r="F751" s="2" t="s">
        <v>2444</v>
      </c>
      <c r="G751" s="2" t="s">
        <v>3602</v>
      </c>
      <c r="H751" s="2" t="s">
        <v>1984</v>
      </c>
      <c r="I751" s="3" t="b">
        <f>OR(E751 = "calculated", E751 = "lookup", E751 = "aggregation")</f>
        <v>1</v>
      </c>
      <c r="J751" s="3" t="b">
        <f>H751 &lt;&gt; ""</f>
        <v>1</v>
      </c>
      <c r="K751" s="3">
        <f>COUNTIFS(FieldDisagreements!D2:D999, A751)</f>
        <v>0</v>
      </c>
      <c r="L751" s="3" t="b">
        <f>K751 &gt; 0</f>
        <v>0</v>
      </c>
      <c r="M751" s="2" t="s">
        <v>2387</v>
      </c>
    </row>
    <row r="752">
      <c r="A752" s="2" t="s">
        <v>3603</v>
      </c>
      <c r="B752" s="3" t="str">
        <f>C752 &amp; "." &amp; D752</f>
        <v>StepExecutions.UnbackedVerificationCount</v>
      </c>
      <c r="C752" s="2" t="s">
        <v>1807</v>
      </c>
      <c r="D752" s="2" t="s">
        <v>1374</v>
      </c>
      <c r="E752" s="2" t="s">
        <v>2438</v>
      </c>
      <c r="F752" s="2" t="s">
        <v>2444</v>
      </c>
      <c r="G752" s="2" t="s">
        <v>3604</v>
      </c>
      <c r="H752" s="2" t="s">
        <v>1984</v>
      </c>
      <c r="I752" s="3" t="b">
        <f>OR(E752 = "calculated", E752 = "lookup", E752 = "aggregation")</f>
        <v>1</v>
      </c>
      <c r="J752" s="3" t="b">
        <f>H752 &lt;&gt; ""</f>
        <v>1</v>
      </c>
      <c r="K752" s="3">
        <f>COUNTIFS(FieldDisagreements!D2:D999, A752)</f>
        <v>0</v>
      </c>
      <c r="L752" s="3" t="b">
        <f>K752 &gt; 0</f>
        <v>0</v>
      </c>
      <c r="M752" s="2" t="s">
        <v>2387</v>
      </c>
    </row>
    <row r="753">
      <c r="A753" s="2" t="s">
        <v>3605</v>
      </c>
      <c r="B753" s="3" t="str">
        <f>C753 &amp; "." &amp; D753</f>
        <v>StepExecutions.ApprovalRestsOnSelfAttestation</v>
      </c>
      <c r="C753" s="2" t="s">
        <v>1807</v>
      </c>
      <c r="D753" s="2" t="s">
        <v>1375</v>
      </c>
      <c r="E753" s="2" t="s">
        <v>2389</v>
      </c>
      <c r="F753" s="2" t="s">
        <v>2401</v>
      </c>
      <c r="G753" s="2" t="s">
        <v>3606</v>
      </c>
      <c r="H753" s="2" t="s">
        <v>1984</v>
      </c>
      <c r="I753" s="3" t="b">
        <f>OR(E753 = "calculated", E753 = "lookup", E753 = "aggregation")</f>
        <v>1</v>
      </c>
      <c r="J753" s="3" t="b">
        <f>H753 &lt;&gt; ""</f>
        <v>1</v>
      </c>
      <c r="K753" s="3">
        <f>COUNTIFS(FieldDisagreements!D2:D999, A753)</f>
        <v>0</v>
      </c>
      <c r="L753" s="3" t="b">
        <f>K753 &gt; 0</f>
        <v>0</v>
      </c>
      <c r="M753" s="2" t="s">
        <v>2387</v>
      </c>
    </row>
    <row r="754">
      <c r="A754" s="2" t="s">
        <v>3607</v>
      </c>
      <c r="B754" s="3" t="str">
        <f>C754 &amp; "." &amp; D754</f>
        <v>StepExecutions.ExceptionInvocationCount</v>
      </c>
      <c r="C754" s="2" t="s">
        <v>1807</v>
      </c>
      <c r="D754" s="2" t="s">
        <v>1376</v>
      </c>
      <c r="E754" s="2" t="s">
        <v>2438</v>
      </c>
      <c r="F754" s="2" t="s">
        <v>2444</v>
      </c>
      <c r="G754" s="2" t="s">
        <v>3608</v>
      </c>
      <c r="H754" s="2" t="s">
        <v>1988</v>
      </c>
      <c r="I754" s="3" t="b">
        <f>OR(E754 = "calculated", E754 = "lookup", E754 = "aggregation")</f>
        <v>1</v>
      </c>
      <c r="J754" s="3" t="b">
        <f>H754 &lt;&gt; ""</f>
        <v>1</v>
      </c>
      <c r="K754" s="3">
        <f>COUNTIFS(FieldDisagreements!D2:D999, A754)</f>
        <v>0</v>
      </c>
      <c r="L754" s="3" t="b">
        <f>K754 &gt; 0</f>
        <v>0</v>
      </c>
      <c r="M754" s="2" t="s">
        <v>2387</v>
      </c>
    </row>
    <row r="755">
      <c r="A755" s="2" t="s">
        <v>3609</v>
      </c>
      <c r="B755" s="3" t="str">
        <f>C755 &amp; "." &amp; D755</f>
        <v>StepExecutions.RanUnderException</v>
      </c>
      <c r="C755" s="2" t="s">
        <v>1807</v>
      </c>
      <c r="D755" s="2" t="s">
        <v>1377</v>
      </c>
      <c r="E755" s="2" t="s">
        <v>2389</v>
      </c>
      <c r="F755" s="2" t="s">
        <v>2401</v>
      </c>
      <c r="G755" s="2" t="s">
        <v>3610</v>
      </c>
      <c r="H755" s="2" t="s">
        <v>1988</v>
      </c>
      <c r="I755" s="3" t="b">
        <f>OR(E755 = "calculated", E755 = "lookup", E755 = "aggregation")</f>
        <v>1</v>
      </c>
      <c r="J755" s="3" t="b">
        <f>H755 &lt;&gt; ""</f>
        <v>1</v>
      </c>
      <c r="K755" s="3">
        <f>COUNTIFS(FieldDisagreements!D2:D999, A755)</f>
        <v>0</v>
      </c>
      <c r="L755" s="3" t="b">
        <f>K755 &gt; 0</f>
        <v>0</v>
      </c>
      <c r="M755" s="2" t="s">
        <v>2387</v>
      </c>
    </row>
    <row r="756">
      <c r="A756" s="2" t="s">
        <v>3611</v>
      </c>
      <c r="B756" s="3" t="str">
        <f>C756 &amp; "." &amp; D756</f>
        <v>StepExecutions.IsCompleted</v>
      </c>
      <c r="C756" s="2" t="s">
        <v>1807</v>
      </c>
      <c r="D756" s="2" t="s">
        <v>1378</v>
      </c>
      <c r="E756" s="2" t="s">
        <v>2389</v>
      </c>
      <c r="F756" s="2" t="s">
        <v>2401</v>
      </c>
      <c r="G756" s="2" t="s">
        <v>3612</v>
      </c>
      <c r="H756" s="2" t="s">
        <v>2004</v>
      </c>
      <c r="I756" s="3" t="b">
        <f>OR(E756 = "calculated", E756 = "lookup", E756 = "aggregation")</f>
        <v>1</v>
      </c>
      <c r="J756" s="3" t="b">
        <f>H756 &lt;&gt; ""</f>
        <v>1</v>
      </c>
      <c r="K756" s="3">
        <f>COUNTIFS(FieldDisagreements!D2:D999, A756)</f>
        <v>0</v>
      </c>
      <c r="L756" s="3" t="b">
        <f>K756 &gt; 0</f>
        <v>0</v>
      </c>
      <c r="M756" s="2" t="s">
        <v>2387</v>
      </c>
    </row>
    <row r="757">
      <c r="A757" s="2" t="s">
        <v>3613</v>
      </c>
      <c r="B757" s="3" t="str">
        <f>C757 &amp; "." &amp; D757</f>
        <v>StepExecutions.IsVerificationPassed</v>
      </c>
      <c r="C757" s="2" t="s">
        <v>1807</v>
      </c>
      <c r="D757" s="2" t="s">
        <v>1379</v>
      </c>
      <c r="E757" s="2" t="s">
        <v>2389</v>
      </c>
      <c r="F757" s="2" t="s">
        <v>2401</v>
      </c>
      <c r="G757" s="2" t="s">
        <v>3614</v>
      </c>
      <c r="H757" s="2" t="s">
        <v>2052</v>
      </c>
      <c r="I757" s="3" t="b">
        <f>OR(E757 = "calculated", E757 = "lookup", E757 = "aggregation")</f>
        <v>1</v>
      </c>
      <c r="J757" s="3" t="b">
        <f>H757 &lt;&gt; ""</f>
        <v>1</v>
      </c>
      <c r="K757" s="3">
        <f>COUNTIFS(FieldDisagreements!D2:D999, A757)</f>
        <v>0</v>
      </c>
      <c r="L757" s="3" t="b">
        <f>K757 &gt; 0</f>
        <v>0</v>
      </c>
      <c r="M757" s="2" t="s">
        <v>2387</v>
      </c>
    </row>
    <row r="758">
      <c r="A758" s="2" t="s">
        <v>3615</v>
      </c>
      <c r="B758" s="3" t="str">
        <f>C758 &amp; "." &amp; D758</f>
        <v>StepExecutions.IsLegalReviewStep</v>
      </c>
      <c r="C758" s="2" t="s">
        <v>1807</v>
      </c>
      <c r="D758" s="2" t="s">
        <v>1380</v>
      </c>
      <c r="E758" s="2" t="s">
        <v>2389</v>
      </c>
      <c r="F758" s="2" t="s">
        <v>2401</v>
      </c>
      <c r="G758" s="2" t="s">
        <v>3616</v>
      </c>
      <c r="H758" s="2" t="s">
        <v>2052</v>
      </c>
      <c r="I758" s="3" t="b">
        <f>OR(E758 = "calculated", E758 = "lookup", E758 = "aggregation")</f>
        <v>1</v>
      </c>
      <c r="J758" s="3" t="b">
        <f>H758 &lt;&gt; ""</f>
        <v>1</v>
      </c>
      <c r="K758" s="3">
        <f>COUNTIFS(FieldDisagreements!D2:D999, A758)</f>
        <v>0</v>
      </c>
      <c r="L758" s="3" t="b">
        <f>K758 &gt; 0</f>
        <v>0</v>
      </c>
      <c r="M758" s="2" t="s">
        <v>2387</v>
      </c>
    </row>
    <row r="759">
      <c r="A759" s="2" t="s">
        <v>3617</v>
      </c>
      <c r="B759" s="3" t="str">
        <f>C759 &amp; "." &amp; D759</f>
        <v>StepExecutions.ClearedLegalReviewKey</v>
      </c>
      <c r="C759" s="2" t="s">
        <v>1807</v>
      </c>
      <c r="D759" s="2" t="s">
        <v>1381</v>
      </c>
      <c r="E759" s="2" t="s">
        <v>2389</v>
      </c>
      <c r="F759" s="2" t="s">
        <v>2386</v>
      </c>
      <c r="G759" s="2" t="s">
        <v>3618</v>
      </c>
      <c r="H759" s="2" t="s">
        <v>2052</v>
      </c>
      <c r="I759" s="3" t="b">
        <f>OR(E759 = "calculated", E759 = "lookup", E759 = "aggregation")</f>
        <v>1</v>
      </c>
      <c r="J759" s="3" t="b">
        <f>H759 &lt;&gt; ""</f>
        <v>1</v>
      </c>
      <c r="K759" s="3">
        <f>COUNTIFS(FieldDisagreements!D2:D999, A759)</f>
        <v>0</v>
      </c>
      <c r="L759" s="3" t="b">
        <f>K759 &gt; 0</f>
        <v>0</v>
      </c>
      <c r="M759" s="2" t="s">
        <v>2387</v>
      </c>
    </row>
    <row r="760">
      <c r="A760" s="2" t="s">
        <v>3619</v>
      </c>
      <c r="B760" s="3" t="str">
        <f>C760 &amp; "." &amp; D760</f>
        <v>StepExecutions.AssignedRole</v>
      </c>
      <c r="C760" s="2" t="s">
        <v>1807</v>
      </c>
      <c r="D760" s="2" t="s">
        <v>500</v>
      </c>
      <c r="E760" s="2" t="s">
        <v>2478</v>
      </c>
      <c r="F760" s="2" t="s">
        <v>2386</v>
      </c>
      <c r="G760" s="2" t="s">
        <v>3572</v>
      </c>
      <c r="H760" s="2" t="s">
        <v>2096</v>
      </c>
      <c r="I760" s="3" t="b">
        <f>OR(E760 = "calculated", E760 = "lookup", E760 = "aggregation")</f>
        <v>1</v>
      </c>
      <c r="J760" s="3" t="b">
        <f>H760 &lt;&gt; ""</f>
        <v>1</v>
      </c>
      <c r="K760" s="3">
        <f>COUNTIFS(FieldDisagreements!D2:D999, A760)</f>
        <v>0</v>
      </c>
      <c r="L760" s="3" t="b">
        <f>K760 &gt; 0</f>
        <v>0</v>
      </c>
      <c r="M760" s="2" t="s">
        <v>2387</v>
      </c>
    </row>
    <row r="761">
      <c r="A761" s="2" t="s">
        <v>3620</v>
      </c>
      <c r="B761" s="3" t="str">
        <f>C761 &amp; "." &amp; D761</f>
        <v>StepExecutions.RoleCurrentAgent</v>
      </c>
      <c r="C761" s="2" t="s">
        <v>1807</v>
      </c>
      <c r="D761" s="2" t="s">
        <v>1382</v>
      </c>
      <c r="E761" s="2" t="s">
        <v>2478</v>
      </c>
      <c r="F761" s="2" t="s">
        <v>2386</v>
      </c>
      <c r="G761" s="2" t="s">
        <v>3621</v>
      </c>
      <c r="H761" s="2" t="s">
        <v>2096</v>
      </c>
      <c r="I761" s="3" t="b">
        <f>OR(E761 = "calculated", E761 = "lookup", E761 = "aggregation")</f>
        <v>1</v>
      </c>
      <c r="J761" s="3" t="b">
        <f>H761 &lt;&gt; ""</f>
        <v>1</v>
      </c>
      <c r="K761" s="3">
        <f>COUNTIFS(FieldDisagreements!D2:D999, A761)</f>
        <v>0</v>
      </c>
      <c r="L761" s="3" t="b">
        <f>K761 &gt; 0</f>
        <v>0</v>
      </c>
      <c r="M761" s="2" t="s">
        <v>2387</v>
      </c>
    </row>
    <row r="762">
      <c r="A762" s="2" t="s">
        <v>3622</v>
      </c>
      <c r="B762" s="3" t="str">
        <f>C762 &amp; "." &amp; D762</f>
        <v>StepExecutions.ExecutorIsDesignatedAgent</v>
      </c>
      <c r="C762" s="2" t="s">
        <v>1807</v>
      </c>
      <c r="D762" s="2" t="s">
        <v>1383</v>
      </c>
      <c r="E762" s="2" t="s">
        <v>2389</v>
      </c>
      <c r="F762" s="2" t="s">
        <v>2401</v>
      </c>
      <c r="G762" s="2" t="s">
        <v>3623</v>
      </c>
      <c r="H762" s="2" t="s">
        <v>2096</v>
      </c>
      <c r="I762" s="3" t="b">
        <f>OR(E762 = "calculated", E762 = "lookup", E762 = "aggregation")</f>
        <v>1</v>
      </c>
      <c r="J762" s="3" t="b">
        <f>H762 &lt;&gt; ""</f>
        <v>1</v>
      </c>
      <c r="K762" s="3">
        <f>COUNTIFS(FieldDisagreements!D2:D999, A762)</f>
        <v>0</v>
      </c>
      <c r="L762" s="3" t="b">
        <f>K762 &gt; 0</f>
        <v>0</v>
      </c>
      <c r="M762" s="2" t="s">
        <v>2387</v>
      </c>
    </row>
    <row r="763">
      <c r="A763" s="2" t="s">
        <v>3624</v>
      </c>
      <c r="B763" s="3" t="str">
        <f>C763 &amp; "." &amp; D763</f>
        <v>StepExecutions.InputsWereFreshAtRun</v>
      </c>
      <c r="C763" s="2" t="s">
        <v>1807</v>
      </c>
      <c r="D763" s="2" t="s">
        <v>1384</v>
      </c>
      <c r="E763" s="2" t="s">
        <v>2478</v>
      </c>
      <c r="F763" s="2" t="s">
        <v>2401</v>
      </c>
      <c r="G763" s="2" t="s">
        <v>3625</v>
      </c>
      <c r="H763" s="2" t="s">
        <v>2100</v>
      </c>
      <c r="I763" s="3" t="b">
        <f>OR(E763 = "calculated", E763 = "lookup", E763 = "aggregation")</f>
        <v>1</v>
      </c>
      <c r="J763" s="3" t="b">
        <f>H763 &lt;&gt; ""</f>
        <v>1</v>
      </c>
      <c r="K763" s="3">
        <f>COUNTIFS(FieldDisagreements!D2:D999, A763)</f>
        <v>2</v>
      </c>
      <c r="L763" s="3" t="b">
        <f>K763 &gt; 0</f>
        <v>1</v>
      </c>
      <c r="M763" s="2" t="s">
        <v>2387</v>
      </c>
    </row>
    <row r="764">
      <c r="A764" s="2" t="s">
        <v>3626</v>
      </c>
      <c r="B764" s="3" t="str">
        <f>C764 &amp; "." &amp; D764</f>
        <v>StepExecutions.RanOnStaleInputs</v>
      </c>
      <c r="C764" s="2" t="s">
        <v>1807</v>
      </c>
      <c r="D764" s="2" t="s">
        <v>1385</v>
      </c>
      <c r="E764" s="2" t="s">
        <v>2389</v>
      </c>
      <c r="F764" s="2" t="s">
        <v>2401</v>
      </c>
      <c r="G764" s="2" t="s">
        <v>3627</v>
      </c>
      <c r="H764" s="2" t="s">
        <v>2100</v>
      </c>
      <c r="I764" s="3" t="b">
        <f>OR(E764 = "calculated", E764 = "lookup", E764 = "aggregation")</f>
        <v>1</v>
      </c>
      <c r="J764" s="3" t="b">
        <f>H764 &lt;&gt; ""</f>
        <v>1</v>
      </c>
      <c r="K764" s="3">
        <f>COUNTIFS(FieldDisagreements!D2:D999, A764)</f>
        <v>2</v>
      </c>
      <c r="L764" s="3" t="b">
        <f>K764 &gt; 0</f>
        <v>1</v>
      </c>
      <c r="M764" s="2" t="s">
        <v>2387</v>
      </c>
    </row>
    <row r="765">
      <c r="A765" s="2" t="s">
        <v>3628</v>
      </c>
      <c r="B765" s="3" t="str">
        <f>C765 &amp; "." &amp; D765</f>
        <v>StepExecutions.UnresolvedIssueCount</v>
      </c>
      <c r="C765" s="2" t="s">
        <v>1807</v>
      </c>
      <c r="D765" s="2" t="s">
        <v>1386</v>
      </c>
      <c r="E765" s="2" t="s">
        <v>2438</v>
      </c>
      <c r="F765" s="2" t="s">
        <v>2444</v>
      </c>
      <c r="G765" s="2" t="s">
        <v>3629</v>
      </c>
      <c r="H765" s="2" t="s">
        <v>2104</v>
      </c>
      <c r="I765" s="3" t="b">
        <f>OR(E765 = "calculated", E765 = "lookup", E765 = "aggregation")</f>
        <v>1</v>
      </c>
      <c r="J765" s="3" t="b">
        <f>H765 &lt;&gt; ""</f>
        <v>1</v>
      </c>
      <c r="K765" s="3">
        <f>COUNTIFS(FieldDisagreements!D2:D999, A765)</f>
        <v>0</v>
      </c>
      <c r="L765" s="3" t="b">
        <f>K765 &gt; 0</f>
        <v>0</v>
      </c>
      <c r="M765" s="2" t="s">
        <v>2387</v>
      </c>
    </row>
    <row r="766">
      <c r="A766" s="2" t="s">
        <v>3630</v>
      </c>
      <c r="B766" s="3" t="str">
        <f>C766 &amp; "." &amp; D766</f>
        <v>StepExecutions.HasDeviation</v>
      </c>
      <c r="C766" s="2" t="s">
        <v>1807</v>
      </c>
      <c r="D766" s="2" t="s">
        <v>1387</v>
      </c>
      <c r="E766" s="2" t="s">
        <v>2389</v>
      </c>
      <c r="F766" s="2" t="s">
        <v>2401</v>
      </c>
      <c r="G766" s="2" t="s">
        <v>3543</v>
      </c>
      <c r="H766" s="2" t="s">
        <v>2104</v>
      </c>
      <c r="I766" s="3" t="b">
        <f>OR(E766 = "calculated", E766 = "lookup", E766 = "aggregation")</f>
        <v>1</v>
      </c>
      <c r="J766" s="3" t="b">
        <f>H766 &lt;&gt; ""</f>
        <v>1</v>
      </c>
      <c r="K766" s="3">
        <f>COUNTIFS(FieldDisagreements!D2:D999, A766)</f>
        <v>0</v>
      </c>
      <c r="L766" s="3" t="b">
        <f>K766 &gt; 0</f>
        <v>0</v>
      </c>
      <c r="M766" s="2" t="s">
        <v>2387</v>
      </c>
    </row>
    <row r="767">
      <c r="A767" s="2" t="s">
        <v>3631</v>
      </c>
      <c r="B767" s="3" t="str">
        <f>C767 &amp; "." &amp; D767</f>
        <v>StepExecutions.IsClean</v>
      </c>
      <c r="C767" s="2" t="s">
        <v>1807</v>
      </c>
      <c r="D767" s="2" t="s">
        <v>1388</v>
      </c>
      <c r="E767" s="2" t="s">
        <v>2389</v>
      </c>
      <c r="F767" s="2" t="s">
        <v>2401</v>
      </c>
      <c r="G767" s="2" t="s">
        <v>3632</v>
      </c>
      <c r="H767" s="2" t="s">
        <v>2104</v>
      </c>
      <c r="I767" s="3" t="b">
        <f>OR(E767 = "calculated", E767 = "lookup", E767 = "aggregation")</f>
        <v>1</v>
      </c>
      <c r="J767" s="3" t="b">
        <f>H767 &lt;&gt; ""</f>
        <v>1</v>
      </c>
      <c r="K767" s="3">
        <f>COUNTIFS(FieldDisagreements!D2:D999, A767)</f>
        <v>2</v>
      </c>
      <c r="L767" s="3" t="b">
        <f>K767 &gt; 0</f>
        <v>1</v>
      </c>
      <c r="M767" s="2" t="s">
        <v>2387</v>
      </c>
    </row>
    <row r="768">
      <c r="A768" s="2" t="s">
        <v>3633</v>
      </c>
      <c r="B768" s="3" t="str">
        <f>C768 &amp; "." &amp; D768</f>
        <v>StepExecutions.ProcedureExecutionWhenUnclean</v>
      </c>
      <c r="C768" s="2" t="s">
        <v>1807</v>
      </c>
      <c r="D768" s="2" t="s">
        <v>1389</v>
      </c>
      <c r="E768" s="2" t="s">
        <v>2389</v>
      </c>
      <c r="F768" s="2" t="s">
        <v>2386</v>
      </c>
      <c r="G768" s="2" t="s">
        <v>3634</v>
      </c>
      <c r="H768" s="2" t="s">
        <v>2104</v>
      </c>
      <c r="I768" s="3" t="b">
        <f>OR(E768 = "calculated", E768 = "lookup", E768 = "aggregation")</f>
        <v>1</v>
      </c>
      <c r="J768" s="3" t="b">
        <f>H768 &lt;&gt; ""</f>
        <v>1</v>
      </c>
      <c r="K768" s="3">
        <f>COUNTIFS(FieldDisagreements!D2:D999, A768)</f>
        <v>2</v>
      </c>
      <c r="L768" s="3" t="b">
        <f>K768 &gt; 0</f>
        <v>1</v>
      </c>
      <c r="M768" s="2" t="s">
        <v>2387</v>
      </c>
    </row>
    <row r="769">
      <c r="A769" s="2" t="s">
        <v>3635</v>
      </c>
      <c r="B769" s="3" t="str">
        <f>C769 &amp; "." &amp; D769</f>
        <v>StepExecutions.EvaluatedRequirementCount</v>
      </c>
      <c r="C769" s="2" t="s">
        <v>1807</v>
      </c>
      <c r="D769" s="2" t="s">
        <v>1390</v>
      </c>
      <c r="E769" s="2" t="s">
        <v>2438</v>
      </c>
      <c r="F769" s="2" t="s">
        <v>2444</v>
      </c>
      <c r="G769" s="2" t="s">
        <v>3636</v>
      </c>
      <c r="H769" s="2" t="s">
        <v>2108</v>
      </c>
      <c r="I769" s="3" t="b">
        <f>OR(E769 = "calculated", E769 = "lookup", E769 = "aggregation")</f>
        <v>1</v>
      </c>
      <c r="J769" s="3" t="b">
        <f>H769 &lt;&gt; ""</f>
        <v>1</v>
      </c>
      <c r="K769" s="3">
        <f>COUNTIFS(FieldDisagreements!D2:D999, A769)</f>
        <v>0</v>
      </c>
      <c r="L769" s="3" t="b">
        <f>K769 &gt; 0</f>
        <v>0</v>
      </c>
      <c r="M769" s="2" t="s">
        <v>2387</v>
      </c>
    </row>
    <row r="770">
      <c r="A770" s="2" t="s">
        <v>3637</v>
      </c>
      <c r="B770" s="3" t="str">
        <f>C770 &amp; "." &amp; D770</f>
        <v>StepExecutions.RequiredBlockingCount</v>
      </c>
      <c r="C770" s="2" t="s">
        <v>1807</v>
      </c>
      <c r="D770" s="2" t="s">
        <v>1391</v>
      </c>
      <c r="E770" s="2" t="s">
        <v>2478</v>
      </c>
      <c r="F770" s="2" t="s">
        <v>2439</v>
      </c>
      <c r="G770" s="2" t="s">
        <v>3531</v>
      </c>
      <c r="H770" s="2" t="s">
        <v>2108</v>
      </c>
      <c r="I770" s="3" t="b">
        <f>OR(E770 = "calculated", E770 = "lookup", E770 = "aggregation")</f>
        <v>1</v>
      </c>
      <c r="J770" s="3" t="b">
        <f>H770 &lt;&gt; ""</f>
        <v>1</v>
      </c>
      <c r="K770" s="3">
        <f>COUNTIFS(FieldDisagreements!D2:D999, A770)</f>
        <v>0</v>
      </c>
      <c r="L770" s="3" t="b">
        <f>K770 &gt; 0</f>
        <v>0</v>
      </c>
      <c r="M770" s="2" t="s">
        <v>2387</v>
      </c>
    </row>
    <row r="771">
      <c r="A771" s="2" t="s">
        <v>3638</v>
      </c>
      <c r="B771" s="3" t="str">
        <f>C771 &amp; "." &amp; D771</f>
        <v>StepExecutions.HasUnevaluatedBlockingRequirement</v>
      </c>
      <c r="C771" s="2" t="s">
        <v>1807</v>
      </c>
      <c r="D771" s="2" t="s">
        <v>1392</v>
      </c>
      <c r="E771" s="2" t="s">
        <v>2389</v>
      </c>
      <c r="F771" s="2" t="s">
        <v>2401</v>
      </c>
      <c r="G771" s="2" t="s">
        <v>3639</v>
      </c>
      <c r="H771" s="2" t="s">
        <v>2108</v>
      </c>
      <c r="I771" s="3" t="b">
        <f>OR(E771 = "calculated", E771 = "lookup", E771 = "aggregation")</f>
        <v>1</v>
      </c>
      <c r="J771" s="3" t="b">
        <f>H771 &lt;&gt; ""</f>
        <v>1</v>
      </c>
      <c r="K771" s="3">
        <f>COUNTIFS(FieldDisagreements!D2:D999, A771)</f>
        <v>0</v>
      </c>
      <c r="L771" s="3" t="b">
        <f>K771 &gt; 0</f>
        <v>0</v>
      </c>
      <c r="M771" s="2" t="s">
        <v>2387</v>
      </c>
    </row>
    <row r="772">
      <c r="A772" s="2" t="s">
        <v>3640</v>
      </c>
      <c r="B772" s="3" t="str">
        <f>C772 &amp; "." &amp; D772</f>
        <v>StepExecutions.ExecutingAgentKind</v>
      </c>
      <c r="C772" s="2" t="s">
        <v>1807</v>
      </c>
      <c r="D772" s="2" t="s">
        <v>1393</v>
      </c>
      <c r="E772" s="2" t="s">
        <v>2478</v>
      </c>
      <c r="F772" s="2" t="s">
        <v>2386</v>
      </c>
      <c r="G772" s="2" t="s">
        <v>3588</v>
      </c>
      <c r="H772" s="2" t="s">
        <v>2120</v>
      </c>
      <c r="I772" s="3" t="b">
        <f>OR(E772 = "calculated", E772 = "lookup", E772 = "aggregation")</f>
        <v>1</v>
      </c>
      <c r="J772" s="3" t="b">
        <f>H772 &lt;&gt; ""</f>
        <v>1</v>
      </c>
      <c r="K772" s="3">
        <f>COUNTIFS(FieldDisagreements!D2:D999, A772)</f>
        <v>0</v>
      </c>
      <c r="L772" s="3" t="b">
        <f>K772 &gt; 0</f>
        <v>0</v>
      </c>
      <c r="M772" s="2" t="s">
        <v>2387</v>
      </c>
    </row>
    <row r="773">
      <c r="A773" s="2" t="s">
        <v>3641</v>
      </c>
      <c r="B773" s="3" t="str">
        <f>C773 &amp; "." &amp; D773</f>
        <v>StepExecutions.WasExecutedBySoftware</v>
      </c>
      <c r="C773" s="2" t="s">
        <v>1807</v>
      </c>
      <c r="D773" s="2" t="s">
        <v>1394</v>
      </c>
      <c r="E773" s="2" t="s">
        <v>2389</v>
      </c>
      <c r="F773" s="2" t="s">
        <v>2401</v>
      </c>
      <c r="G773" s="2" t="s">
        <v>3642</v>
      </c>
      <c r="H773" s="2" t="s">
        <v>2120</v>
      </c>
      <c r="I773" s="3" t="b">
        <f>OR(E773 = "calculated", E773 = "lookup", E773 = "aggregation")</f>
        <v>1</v>
      </c>
      <c r="J773" s="3" t="b">
        <f>H773 &lt;&gt; ""</f>
        <v>1</v>
      </c>
      <c r="K773" s="3">
        <f>COUNTIFS(FieldDisagreements!D2:D999, A773)</f>
        <v>0</v>
      </c>
      <c r="L773" s="3" t="b">
        <f>K773 &gt; 0</f>
        <v>0</v>
      </c>
      <c r="M773" s="2" t="s">
        <v>2387</v>
      </c>
    </row>
    <row r="774">
      <c r="A774" s="2" t="s">
        <v>3643</v>
      </c>
      <c r="B774" s="3" t="str">
        <f>C774 &amp; "." &amp; D774</f>
        <v>StepExecutions.StepIsSoftwareAssigned</v>
      </c>
      <c r="C774" s="2" t="s">
        <v>1807</v>
      </c>
      <c r="D774" s="2" t="s">
        <v>1395</v>
      </c>
      <c r="E774" s="2" t="s">
        <v>2478</v>
      </c>
      <c r="F774" s="2" t="s">
        <v>2401</v>
      </c>
      <c r="G774" s="2" t="s">
        <v>3259</v>
      </c>
      <c r="H774" s="2" t="s">
        <v>2120</v>
      </c>
      <c r="I774" s="3" t="b">
        <f>OR(E774 = "calculated", E774 = "lookup", E774 = "aggregation")</f>
        <v>1</v>
      </c>
      <c r="J774" s="3" t="b">
        <f>H774 &lt;&gt; ""</f>
        <v>1</v>
      </c>
      <c r="K774" s="3">
        <f>COUNTIFS(FieldDisagreements!D2:D999, A774)</f>
        <v>0</v>
      </c>
      <c r="L774" s="3" t="b">
        <f>K774 &gt; 0</f>
        <v>0</v>
      </c>
      <c r="M774" s="2" t="s">
        <v>2387</v>
      </c>
    </row>
    <row r="775">
      <c r="A775" s="2" t="s">
        <v>3644</v>
      </c>
      <c r="B775" s="3" t="str">
        <f>C775 &amp; "." &amp; D775</f>
        <v>StepExecutions.SoftwareDidHumanWork</v>
      </c>
      <c r="C775" s="2" t="s">
        <v>1807</v>
      </c>
      <c r="D775" s="2" t="s">
        <v>1396</v>
      </c>
      <c r="E775" s="2" t="s">
        <v>2389</v>
      </c>
      <c r="F775" s="2" t="s">
        <v>2401</v>
      </c>
      <c r="G775" s="2" t="s">
        <v>3645</v>
      </c>
      <c r="H775" s="2" t="s">
        <v>2120</v>
      </c>
      <c r="I775" s="3" t="b">
        <f>OR(E775 = "calculated", E775 = "lookup", E775 = "aggregation")</f>
        <v>1</v>
      </c>
      <c r="J775" s="3" t="b">
        <f>H775 &lt;&gt; ""</f>
        <v>1</v>
      </c>
      <c r="K775" s="3">
        <f>COUNTIFS(FieldDisagreements!D2:D999, A775)</f>
        <v>0</v>
      </c>
      <c r="L775" s="3" t="b">
        <f>K775 &gt; 0</f>
        <v>0</v>
      </c>
      <c r="M775" s="2" t="s">
        <v>2387</v>
      </c>
    </row>
    <row r="776">
      <c r="A776" s="2" t="s">
        <v>3646</v>
      </c>
      <c r="B776" s="3" t="str">
        <f>C776 &amp; "." &amp; D776</f>
        <v>StepExecutions.IsApprovalExecution</v>
      </c>
      <c r="C776" s="2" t="s">
        <v>1807</v>
      </c>
      <c r="D776" s="2" t="s">
        <v>1397</v>
      </c>
      <c r="E776" s="2" t="s">
        <v>2478</v>
      </c>
      <c r="F776" s="2" t="s">
        <v>2401</v>
      </c>
      <c r="G776" s="2" t="s">
        <v>3647</v>
      </c>
      <c r="H776" s="2" t="s">
        <v>2128</v>
      </c>
      <c r="I776" s="3" t="b">
        <f>OR(E776 = "calculated", E776 = "lookup", E776 = "aggregation")</f>
        <v>1</v>
      </c>
      <c r="J776" s="3" t="b">
        <f>H776 &lt;&gt; ""</f>
        <v>1</v>
      </c>
      <c r="K776" s="3">
        <f>COUNTIFS(FieldDisagreements!D2:D999, A776)</f>
        <v>0</v>
      </c>
      <c r="L776" s="3" t="b">
        <f>K776 &gt; 0</f>
        <v>0</v>
      </c>
      <c r="M776" s="2" t="s">
        <v>2387</v>
      </c>
    </row>
    <row r="777">
      <c r="A777" s="2" t="s">
        <v>3648</v>
      </c>
      <c r="B777" s="3" t="str">
        <f>C777 &amp; "." &amp; D777</f>
        <v>StepExecutions.IsVerified</v>
      </c>
      <c r="C777" s="2" t="s">
        <v>1807</v>
      </c>
      <c r="D777" s="2" t="s">
        <v>1398</v>
      </c>
      <c r="E777" s="2" t="s">
        <v>2389</v>
      </c>
      <c r="F777" s="2" t="s">
        <v>2401</v>
      </c>
      <c r="G777" s="2" t="s">
        <v>3649</v>
      </c>
      <c r="H777" s="2" t="s">
        <v>2128</v>
      </c>
      <c r="I777" s="3" t="b">
        <f>OR(E777 = "calculated", E777 = "lookup", E777 = "aggregation")</f>
        <v>1</v>
      </c>
      <c r="J777" s="3" t="b">
        <f>H777 &lt;&gt; ""</f>
        <v>1</v>
      </c>
      <c r="K777" s="3">
        <f>COUNTIFS(FieldDisagreements!D2:D999, A777)</f>
        <v>0</v>
      </c>
      <c r="L777" s="3" t="b">
        <f>K777 &gt; 0</f>
        <v>0</v>
      </c>
      <c r="M777" s="2" t="s">
        <v>2387</v>
      </c>
    </row>
    <row r="778">
      <c r="A778" s="2" t="s">
        <v>3650</v>
      </c>
      <c r="B778" s="3" t="str">
        <f>C778 &amp; "." &amp; D778</f>
        <v>StepExecutions.UnconfirmedNonHumanDecisionCount</v>
      </c>
      <c r="C778" s="2" t="s">
        <v>1807</v>
      </c>
      <c r="D778" s="2" t="s">
        <v>1399</v>
      </c>
      <c r="E778" s="2" t="s">
        <v>2438</v>
      </c>
      <c r="F778" s="2" t="s">
        <v>2444</v>
      </c>
      <c r="G778" s="2" t="s">
        <v>3651</v>
      </c>
      <c r="H778" s="2" t="s">
        <v>2148</v>
      </c>
      <c r="I778" s="3" t="b">
        <f>OR(E778 = "calculated", E778 = "lookup", E778 = "aggregation")</f>
        <v>1</v>
      </c>
      <c r="J778" s="3" t="b">
        <f>H778 &lt;&gt; ""</f>
        <v>1</v>
      </c>
      <c r="K778" s="3">
        <f>COUNTIFS(FieldDisagreements!D2:D999, A778)</f>
        <v>0</v>
      </c>
      <c r="L778" s="3" t="b">
        <f>K778 &gt; 0</f>
        <v>0</v>
      </c>
      <c r="M778" s="2" t="s">
        <v>2387</v>
      </c>
    </row>
    <row r="779">
      <c r="A779" s="2" t="s">
        <v>3652</v>
      </c>
      <c r="B779" s="3" t="str">
        <f>C779 &amp; "." &amp; D779</f>
        <v>StepExecutions.RequiresHumanConfirmation</v>
      </c>
      <c r="C779" s="2" t="s">
        <v>1807</v>
      </c>
      <c r="D779" s="2" t="s">
        <v>506</v>
      </c>
      <c r="E779" s="2" t="s">
        <v>2478</v>
      </c>
      <c r="F779" s="2" t="s">
        <v>2401</v>
      </c>
      <c r="G779" s="2" t="s">
        <v>3592</v>
      </c>
      <c r="H779" s="2" t="s">
        <v>2148</v>
      </c>
      <c r="I779" s="3" t="b">
        <f>OR(E779 = "calculated", E779 = "lookup", E779 = "aggregation")</f>
        <v>1</v>
      </c>
      <c r="J779" s="3" t="b">
        <f>H779 &lt;&gt; ""</f>
        <v>1</v>
      </c>
      <c r="K779" s="3">
        <f>COUNTIFS(FieldDisagreements!D2:D999, A779)</f>
        <v>0</v>
      </c>
      <c r="L779" s="3" t="b">
        <f>K779 &gt; 0</f>
        <v>0</v>
      </c>
      <c r="M779" s="2" t="s">
        <v>2387</v>
      </c>
    </row>
    <row r="780">
      <c r="A780" s="2" t="s">
        <v>3653</v>
      </c>
      <c r="B780" s="3" t="str">
        <f>C780 &amp; "." &amp; D780</f>
        <v>StepExecutions.HumanConfirmationMissing</v>
      </c>
      <c r="C780" s="2" t="s">
        <v>1807</v>
      </c>
      <c r="D780" s="2" t="s">
        <v>1400</v>
      </c>
      <c r="E780" s="2" t="s">
        <v>2389</v>
      </c>
      <c r="F780" s="2" t="s">
        <v>2401</v>
      </c>
      <c r="G780" s="2" t="s">
        <v>3654</v>
      </c>
      <c r="H780" s="2" t="s">
        <v>2148</v>
      </c>
      <c r="I780" s="3" t="b">
        <f>OR(E780 = "calculated", E780 = "lookup", E780 = "aggregation")</f>
        <v>1</v>
      </c>
      <c r="J780" s="3" t="b">
        <f>H780 &lt;&gt; ""</f>
        <v>1</v>
      </c>
      <c r="K780" s="3">
        <f>COUNTIFS(FieldDisagreements!D2:D999, A780)</f>
        <v>0</v>
      </c>
      <c r="L780" s="3" t="b">
        <f>K780 &gt; 0</f>
        <v>0</v>
      </c>
      <c r="M780" s="2" t="s">
        <v>2387</v>
      </c>
    </row>
    <row r="781">
      <c r="A781" s="2" t="s">
        <v>3655</v>
      </c>
      <c r="B781" s="3" t="str">
        <f>C781 &amp; "." &amp; D781</f>
        <v>StepExecutions.DraftedFromUnusableSource</v>
      </c>
      <c r="C781" s="2" t="s">
        <v>1807</v>
      </c>
      <c r="D781" s="2" t="s">
        <v>1401</v>
      </c>
      <c r="E781" s="2" t="s">
        <v>2389</v>
      </c>
      <c r="F781" s="2" t="s">
        <v>2401</v>
      </c>
      <c r="G781" s="2" t="s">
        <v>3656</v>
      </c>
      <c r="H781" s="2" t="s">
        <v>2160</v>
      </c>
      <c r="I781" s="3" t="b">
        <f>OR(E781 = "calculated", E781 = "lookup", E781 = "aggregation")</f>
        <v>1</v>
      </c>
      <c r="J781" s="3" t="b">
        <f>H781 &lt;&gt; ""</f>
        <v>1</v>
      </c>
      <c r="K781" s="3">
        <f>COUNTIFS(FieldDisagreements!D2:D999, A781)</f>
        <v>1</v>
      </c>
      <c r="L781" s="3" t="b">
        <f>K781 &gt; 0</f>
        <v>1</v>
      </c>
      <c r="M781" s="2" t="s">
        <v>2387</v>
      </c>
    </row>
    <row r="782">
      <c r="A782" s="2" t="s">
        <v>3657</v>
      </c>
      <c r="B782" s="3" t="str">
        <f>C782 &amp; "." &amp; D782</f>
        <v>StepExecutions.InputsWereUsable</v>
      </c>
      <c r="C782" s="2" t="s">
        <v>1807</v>
      </c>
      <c r="D782" s="2" t="s">
        <v>1402</v>
      </c>
      <c r="E782" s="2" t="s">
        <v>2478</v>
      </c>
      <c r="F782" s="2" t="s">
        <v>2401</v>
      </c>
      <c r="G782" s="2" t="s">
        <v>3658</v>
      </c>
      <c r="H782" s="2" t="s">
        <v>2160</v>
      </c>
      <c r="I782" s="3" t="b">
        <f>OR(E782 = "calculated", E782 = "lookup", E782 = "aggregation")</f>
        <v>1</v>
      </c>
      <c r="J782" s="3" t="b">
        <f>H782 &lt;&gt; ""</f>
        <v>1</v>
      </c>
      <c r="K782" s="3">
        <f>COUNTIFS(FieldDisagreements!D2:D999, A782)</f>
        <v>1</v>
      </c>
      <c r="L782" s="3" t="b">
        <f>K782 &gt; 0</f>
        <v>1</v>
      </c>
      <c r="M782" s="2" t="s">
        <v>2387</v>
      </c>
    </row>
    <row r="783">
      <c r="A783" s="2" t="s">
        <v>3659</v>
      </c>
      <c r="B783" s="3" t="str">
        <f>C783 &amp; "." &amp; D783</f>
        <v>StepExecutions.SoftwareExecutionStepKey</v>
      </c>
      <c r="C783" s="2" t="s">
        <v>1807</v>
      </c>
      <c r="D783" s="2" t="s">
        <v>1403</v>
      </c>
      <c r="E783" s="2" t="s">
        <v>2389</v>
      </c>
      <c r="F783" s="2" t="s">
        <v>2386</v>
      </c>
      <c r="G783" s="2" t="s">
        <v>3660</v>
      </c>
      <c r="H783" s="2" t="s">
        <v>2200</v>
      </c>
      <c r="I783" s="3" t="b">
        <f>OR(E783 = "calculated", E783 = "lookup", E783 = "aggregation")</f>
        <v>1</v>
      </c>
      <c r="J783" s="3" t="b">
        <f>H783 &lt;&gt; ""</f>
        <v>1</v>
      </c>
      <c r="K783" s="3">
        <f>COUNTIFS(FieldDisagreements!D2:D999, A783)</f>
        <v>0</v>
      </c>
      <c r="L783" s="3" t="b">
        <f>K783 &gt; 0</f>
        <v>0</v>
      </c>
      <c r="M783" s="2" t="s">
        <v>2387</v>
      </c>
    </row>
    <row r="784">
      <c r="A784" s="2" t="s">
        <v>3661</v>
      </c>
      <c r="B784" s="3" t="str">
        <f>C784 &amp; "." &amp; D784</f>
        <v>StepExecutions.StepControlKind</v>
      </c>
      <c r="C784" s="2" t="s">
        <v>1807</v>
      </c>
      <c r="D784" s="2" t="s">
        <v>1404</v>
      </c>
      <c r="E784" s="2" t="s">
        <v>2478</v>
      </c>
      <c r="F784" s="2" t="s">
        <v>2386</v>
      </c>
      <c r="G784" s="2" t="s">
        <v>3662</v>
      </c>
      <c r="H784" s="2" t="s">
        <v>2232</v>
      </c>
      <c r="I784" s="3" t="b">
        <f>OR(E784 = "calculated", E784 = "lookup", E784 = "aggregation")</f>
        <v>1</v>
      </c>
      <c r="J784" s="3" t="b">
        <f>H784 &lt;&gt; ""</f>
        <v>1</v>
      </c>
      <c r="K784" s="3">
        <f>COUNTIFS(FieldDisagreements!D2:D999, A784)</f>
        <v>0</v>
      </c>
      <c r="L784" s="3" t="b">
        <f>K784 &gt; 0</f>
        <v>0</v>
      </c>
      <c r="M784" s="2" t="s">
        <v>2387</v>
      </c>
    </row>
    <row r="785">
      <c r="A785" s="2" t="s">
        <v>3663</v>
      </c>
      <c r="B785" s="3" t="str">
        <f>C785 &amp; "." &amp; D785</f>
        <v>StepExecutions.UnfalsifiedClearanceCount</v>
      </c>
      <c r="C785" s="2" t="s">
        <v>1807</v>
      </c>
      <c r="D785" s="2" t="s">
        <v>1405</v>
      </c>
      <c r="E785" s="2" t="s">
        <v>2438</v>
      </c>
      <c r="F785" s="2" t="s">
        <v>2444</v>
      </c>
      <c r="G785" s="2" t="s">
        <v>3664</v>
      </c>
      <c r="H785" s="2" t="s">
        <v>2236</v>
      </c>
      <c r="I785" s="3" t="b">
        <f>OR(E785 = "calculated", E785 = "lookup", E785 = "aggregation")</f>
        <v>1</v>
      </c>
      <c r="J785" s="3" t="b">
        <f>H785 &lt;&gt; ""</f>
        <v>1</v>
      </c>
      <c r="K785" s="3">
        <f>COUNTIFS(FieldDisagreements!D2:D999, A785)</f>
        <v>0</v>
      </c>
      <c r="L785" s="3" t="b">
        <f>K785 &gt; 0</f>
        <v>0</v>
      </c>
      <c r="M785" s="2" t="s">
        <v>2387</v>
      </c>
    </row>
    <row r="786">
      <c r="A786" s="2" t="s">
        <v>3665</v>
      </c>
      <c r="B786" s="3" t="str">
        <f>C786 &amp; "." &amp; D786</f>
        <v>StepExecutions.AllClearancesAreUnfalsified</v>
      </c>
      <c r="C786" s="2" t="s">
        <v>1807</v>
      </c>
      <c r="D786" s="2" t="s">
        <v>1406</v>
      </c>
      <c r="E786" s="2" t="s">
        <v>2389</v>
      </c>
      <c r="F786" s="2" t="s">
        <v>2401</v>
      </c>
      <c r="G786" s="2" t="s">
        <v>3666</v>
      </c>
      <c r="H786" s="2" t="s">
        <v>2236</v>
      </c>
      <c r="I786" s="3" t="b">
        <f>OR(E786 = "calculated", E786 = "lookup", E786 = "aggregation")</f>
        <v>1</v>
      </c>
      <c r="J786" s="3" t="b">
        <f>H786 &lt;&gt; ""</f>
        <v>1</v>
      </c>
      <c r="K786" s="3">
        <f>COUNTIFS(FieldDisagreements!D2:D999, A786)</f>
        <v>0</v>
      </c>
      <c r="L786" s="3" t="b">
        <f>K786 &gt; 0</f>
        <v>0</v>
      </c>
      <c r="M786" s="2" t="s">
        <v>2387</v>
      </c>
    </row>
    <row r="787">
      <c r="A787" s="2" t="s">
        <v>3667</v>
      </c>
      <c r="B787" s="3" t="str">
        <f>C787 &amp; "." &amp; D787</f>
        <v>StepExecutions.StaleAtRunCount</v>
      </c>
      <c r="C787" s="2" t="s">
        <v>1807</v>
      </c>
      <c r="D787" s="2" t="s">
        <v>1407</v>
      </c>
      <c r="E787" s="2" t="s">
        <v>2438</v>
      </c>
      <c r="F787" s="2" t="s">
        <v>2444</v>
      </c>
      <c r="G787" s="2" t="s">
        <v>3668</v>
      </c>
      <c r="H787" s="2" t="s">
        <v>2240</v>
      </c>
      <c r="I787" s="3" t="b">
        <f>OR(E787 = "calculated", E787 = "lookup", E787 = "aggregation")</f>
        <v>1</v>
      </c>
      <c r="J787" s="3" t="b">
        <f>H787 &lt;&gt; ""</f>
        <v>1</v>
      </c>
      <c r="K787" s="3">
        <f>COUNTIFS(FieldDisagreements!D2:D999, A787)</f>
        <v>0</v>
      </c>
      <c r="L787" s="3" t="b">
        <f>K787 &gt; 0</f>
        <v>0</v>
      </c>
      <c r="M787" s="2" t="s">
        <v>2387</v>
      </c>
    </row>
    <row r="788">
      <c r="A788" s="2" t="s">
        <v>3669</v>
      </c>
      <c r="B788" s="3" t="str">
        <f>C788 &amp; "." &amp; D788</f>
        <v>StepExecutions.WasStaleWhenIRanIt</v>
      </c>
      <c r="C788" s="2" t="s">
        <v>1807</v>
      </c>
      <c r="D788" s="2" t="s">
        <v>1408</v>
      </c>
      <c r="E788" s="2" t="s">
        <v>2389</v>
      </c>
      <c r="F788" s="2" t="s">
        <v>2401</v>
      </c>
      <c r="G788" s="2" t="s">
        <v>3670</v>
      </c>
      <c r="H788" s="2" t="s">
        <v>2240</v>
      </c>
      <c r="I788" s="3" t="b">
        <f>OR(E788 = "calculated", E788 = "lookup", E788 = "aggregation")</f>
        <v>1</v>
      </c>
      <c r="J788" s="3" t="b">
        <f>H788 &lt;&gt; ""</f>
        <v>1</v>
      </c>
      <c r="K788" s="3">
        <f>COUNTIFS(FieldDisagreements!D2:D999, A788)</f>
        <v>0</v>
      </c>
      <c r="L788" s="3" t="b">
        <f>K788 &gt; 0</f>
        <v>0</v>
      </c>
      <c r="M788" s="2" t="s">
        <v>2387</v>
      </c>
    </row>
    <row r="789">
      <c r="A789" s="2" t="s">
        <v>3671</v>
      </c>
      <c r="B789" s="3" t="str">
        <f>C789 &amp; "." &amp; D789</f>
        <v>StepExecutions.StalenessAnswerIsTenseDependent</v>
      </c>
      <c r="C789" s="2" t="s">
        <v>1807</v>
      </c>
      <c r="D789" s="2" t="s">
        <v>1409</v>
      </c>
      <c r="E789" s="2" t="s">
        <v>2389</v>
      </c>
      <c r="F789" s="2" t="s">
        <v>2401</v>
      </c>
      <c r="G789" s="2" t="s">
        <v>3672</v>
      </c>
      <c r="H789" s="2" t="s">
        <v>2240</v>
      </c>
      <c r="I789" s="3" t="b">
        <f>OR(E789 = "calculated", E789 = "lookup", E789 = "aggregation")</f>
        <v>1</v>
      </c>
      <c r="J789" s="3" t="b">
        <f>H789 &lt;&gt; ""</f>
        <v>1</v>
      </c>
      <c r="K789" s="3">
        <f>COUNTIFS(FieldDisagreements!D2:D999, A789)</f>
        <v>2</v>
      </c>
      <c r="L789" s="3" t="b">
        <f>K789 &gt; 0</f>
        <v>1</v>
      </c>
      <c r="M789" s="2" t="s">
        <v>2387</v>
      </c>
    </row>
    <row r="790">
      <c r="A790" s="2" t="s">
        <v>3673</v>
      </c>
      <c r="B790" s="3" t="str">
        <f>C790 &amp; "." &amp; D790</f>
        <v>StepExecutions.HasAnyDeclaredCheck</v>
      </c>
      <c r="C790" s="2" t="s">
        <v>1807</v>
      </c>
      <c r="D790" s="2" t="s">
        <v>1410</v>
      </c>
      <c r="E790" s="2" t="s">
        <v>2389</v>
      </c>
      <c r="F790" s="2" t="s">
        <v>2401</v>
      </c>
      <c r="G790" s="2" t="s">
        <v>3674</v>
      </c>
      <c r="H790" s="2" t="s">
        <v>2248</v>
      </c>
      <c r="I790" s="3" t="b">
        <f>OR(E790 = "calculated", E790 = "lookup", E790 = "aggregation")</f>
        <v>1</v>
      </c>
      <c r="J790" s="3" t="b">
        <f>H790 &lt;&gt; ""</f>
        <v>1</v>
      </c>
      <c r="K790" s="3">
        <f>COUNTIFS(FieldDisagreements!D2:D999, A790)</f>
        <v>0</v>
      </c>
      <c r="L790" s="3" t="b">
        <f>K790 &gt; 0</f>
        <v>0</v>
      </c>
      <c r="M790" s="2" t="s">
        <v>2387</v>
      </c>
    </row>
    <row r="791">
      <c r="A791" s="2" t="s">
        <v>3675</v>
      </c>
      <c r="B791" s="3" t="str">
        <f>C791 &amp; "." &amp; D791</f>
        <v>StepExecutions.PerformedCheckCount</v>
      </c>
      <c r="C791" s="2" t="s">
        <v>1807</v>
      </c>
      <c r="D791" s="2" t="s">
        <v>1411</v>
      </c>
      <c r="E791" s="2" t="s">
        <v>2389</v>
      </c>
      <c r="F791" s="2" t="s">
        <v>2444</v>
      </c>
      <c r="G791" s="2" t="s">
        <v>3676</v>
      </c>
      <c r="H791" s="2" t="s">
        <v>2248</v>
      </c>
      <c r="I791" s="3" t="b">
        <f>OR(E791 = "calculated", E791 = "lookup", E791 = "aggregation")</f>
        <v>1</v>
      </c>
      <c r="J791" s="3" t="b">
        <f>H791 &lt;&gt; ""</f>
        <v>1</v>
      </c>
      <c r="K791" s="3">
        <f>COUNTIFS(FieldDisagreements!D2:D999, A791)</f>
        <v>0</v>
      </c>
      <c r="L791" s="3" t="b">
        <f>K791 &gt; 0</f>
        <v>0</v>
      </c>
      <c r="M791" s="2" t="s">
        <v>2387</v>
      </c>
    </row>
    <row r="792">
      <c r="A792" s="2" t="s">
        <v>3677</v>
      </c>
      <c r="B792" s="3" t="str">
        <f>C792 &amp; "." &amp; D792</f>
        <v>StepExecutions.DeclaredCheckCount</v>
      </c>
      <c r="C792" s="2" t="s">
        <v>1807</v>
      </c>
      <c r="D792" s="2" t="s">
        <v>1412</v>
      </c>
      <c r="E792" s="2" t="s">
        <v>2389</v>
      </c>
      <c r="F792" s="2" t="s">
        <v>2444</v>
      </c>
      <c r="G792" s="2" t="s">
        <v>3678</v>
      </c>
      <c r="H792" s="2" t="s">
        <v>2248</v>
      </c>
      <c r="I792" s="3" t="b">
        <f>OR(E792 = "calculated", E792 = "lookup", E792 = "aggregation")</f>
        <v>1</v>
      </c>
      <c r="J792" s="3" t="b">
        <f>H792 &lt;&gt; ""</f>
        <v>1</v>
      </c>
      <c r="K792" s="3">
        <f>COUNTIFS(FieldDisagreements!D2:D999, A792)</f>
        <v>0</v>
      </c>
      <c r="L792" s="3" t="b">
        <f>K792 &gt; 0</f>
        <v>0</v>
      </c>
      <c r="M792" s="2" t="s">
        <v>2387</v>
      </c>
    </row>
    <row r="793">
      <c r="A793" s="2" t="s">
        <v>3679</v>
      </c>
      <c r="B793" s="3" t="str">
        <f>C793 &amp; "." &amp; D793</f>
        <v>StepExecutions.IsUncheckedByDesign</v>
      </c>
      <c r="C793" s="2" t="s">
        <v>1807</v>
      </c>
      <c r="D793" s="2" t="s">
        <v>1413</v>
      </c>
      <c r="E793" s="2" t="s">
        <v>2389</v>
      </c>
      <c r="F793" s="2" t="s">
        <v>2401</v>
      </c>
      <c r="G793" s="2" t="s">
        <v>3680</v>
      </c>
      <c r="H793" s="2" t="s">
        <v>2248</v>
      </c>
      <c r="I793" s="3" t="b">
        <f>OR(E793 = "calculated", E793 = "lookup", E793 = "aggregation")</f>
        <v>1</v>
      </c>
      <c r="J793" s="3" t="b">
        <f>H793 &lt;&gt; ""</f>
        <v>1</v>
      </c>
      <c r="K793" s="3">
        <f>COUNTIFS(FieldDisagreements!D2:D999, A793)</f>
        <v>0</v>
      </c>
      <c r="L793" s="3" t="b">
        <f>K793 &gt; 0</f>
        <v>0</v>
      </c>
      <c r="M793" s="2" t="s">
        <v>2387</v>
      </c>
    </row>
    <row r="794">
      <c r="A794" s="2" t="s">
        <v>3681</v>
      </c>
      <c r="B794" s="3" t="str">
        <f>C794 &amp; "." &amp; D794</f>
        <v>StepExecutions.IsVacuouslyClean</v>
      </c>
      <c r="C794" s="2" t="s">
        <v>1807</v>
      </c>
      <c r="D794" s="2" t="s">
        <v>1414</v>
      </c>
      <c r="E794" s="2" t="s">
        <v>2389</v>
      </c>
      <c r="F794" s="2" t="s">
        <v>2401</v>
      </c>
      <c r="G794" s="2" t="s">
        <v>3682</v>
      </c>
      <c r="H794" s="2" t="s">
        <v>2248</v>
      </c>
      <c r="I794" s="3" t="b">
        <f>OR(E794 = "calculated", E794 = "lookup", E794 = "aggregation")</f>
        <v>1</v>
      </c>
      <c r="J794" s="3" t="b">
        <f>H794 &lt;&gt; ""</f>
        <v>1</v>
      </c>
      <c r="K794" s="3">
        <f>COUNTIFS(FieldDisagreements!D2:D999, A794)</f>
        <v>2</v>
      </c>
      <c r="L794" s="3" t="b">
        <f>K794 &gt; 0</f>
        <v>1</v>
      </c>
      <c r="M794" s="2" t="s">
        <v>2387</v>
      </c>
    </row>
    <row r="795">
      <c r="A795" s="2" t="s">
        <v>3683</v>
      </c>
      <c r="B795" s="3" t="str">
        <f>C795 &amp; "." &amp; D795</f>
        <v>StepExecutions.IsSubstantivelyClean</v>
      </c>
      <c r="C795" s="2" t="s">
        <v>1807</v>
      </c>
      <c r="D795" s="2" t="s">
        <v>1415</v>
      </c>
      <c r="E795" s="2" t="s">
        <v>2389</v>
      </c>
      <c r="F795" s="2" t="s">
        <v>2401</v>
      </c>
      <c r="G795" s="2" t="s">
        <v>3684</v>
      </c>
      <c r="H795" s="2" t="s">
        <v>2248</v>
      </c>
      <c r="I795" s="3" t="b">
        <f>OR(E795 = "calculated", E795 = "lookup", E795 = "aggregation")</f>
        <v>1</v>
      </c>
      <c r="J795" s="3" t="b">
        <f>H795 &lt;&gt; ""</f>
        <v>1</v>
      </c>
      <c r="K795" s="3">
        <f>COUNTIFS(FieldDisagreements!D2:D999, A795)</f>
        <v>2</v>
      </c>
      <c r="L795" s="3" t="b">
        <f>K795 &gt; 0</f>
        <v>1</v>
      </c>
      <c r="M795" s="2" t="s">
        <v>2387</v>
      </c>
    </row>
    <row r="796">
      <c r="A796" s="2" t="s">
        <v>3685</v>
      </c>
      <c r="B796" s="3" t="str">
        <f>C796 &amp; "." &amp; D796</f>
        <v>StepExecutions.VacuouslyCleanExecutionKey</v>
      </c>
      <c r="C796" s="2" t="s">
        <v>1807</v>
      </c>
      <c r="D796" s="2" t="s">
        <v>1416</v>
      </c>
      <c r="E796" s="2" t="s">
        <v>2389</v>
      </c>
      <c r="F796" s="2" t="s">
        <v>2386</v>
      </c>
      <c r="G796" s="2" t="s">
        <v>3686</v>
      </c>
      <c r="H796" s="2" t="s">
        <v>2248</v>
      </c>
      <c r="I796" s="3" t="b">
        <f>OR(E796 = "calculated", E796 = "lookup", E796 = "aggregation")</f>
        <v>1</v>
      </c>
      <c r="J796" s="3" t="b">
        <f>H796 &lt;&gt; ""</f>
        <v>1</v>
      </c>
      <c r="K796" s="3">
        <f>COUNTIFS(FieldDisagreements!D2:D999, A796)</f>
        <v>2</v>
      </c>
      <c r="L796" s="3" t="b">
        <f>K796 &gt; 0</f>
        <v>1</v>
      </c>
      <c r="M796" s="2" t="s">
        <v>2387</v>
      </c>
    </row>
    <row r="797">
      <c r="A797" s="2" t="s">
        <v>3687</v>
      </c>
      <c r="B797" s="3" t="str">
        <f>C797 &amp; "." &amp; D797</f>
        <v>StepExecutions.UncorroboratedPassCount</v>
      </c>
      <c r="C797" s="2" t="s">
        <v>1807</v>
      </c>
      <c r="D797" s="2" t="s">
        <v>1417</v>
      </c>
      <c r="E797" s="2" t="s">
        <v>2438</v>
      </c>
      <c r="F797" s="2" t="s">
        <v>2444</v>
      </c>
      <c r="G797" s="2" t="s">
        <v>3688</v>
      </c>
      <c r="H797" s="2" t="s">
        <v>2252</v>
      </c>
      <c r="I797" s="3" t="b">
        <f>OR(E797 = "calculated", E797 = "lookup", E797 = "aggregation")</f>
        <v>1</v>
      </c>
      <c r="J797" s="3" t="b">
        <f>H797 &lt;&gt; ""</f>
        <v>1</v>
      </c>
      <c r="K797" s="3">
        <f>COUNTIFS(FieldDisagreements!D2:D999, A797)</f>
        <v>0</v>
      </c>
      <c r="L797" s="3" t="b">
        <f>K797 &gt; 0</f>
        <v>0</v>
      </c>
      <c r="M797" s="2" t="s">
        <v>2387</v>
      </c>
    </row>
    <row r="798">
      <c r="A798" s="2" t="s">
        <v>3689</v>
      </c>
      <c r="B798" s="3" t="str">
        <f>C798 &amp; "." &amp; D798</f>
        <v>StepExecutions.EvidencePositionIsWeak</v>
      </c>
      <c r="C798" s="2" t="s">
        <v>1807</v>
      </c>
      <c r="D798" s="2" t="s">
        <v>1418</v>
      </c>
      <c r="E798" s="2" t="s">
        <v>2389</v>
      </c>
      <c r="F798" s="2" t="s">
        <v>2401</v>
      </c>
      <c r="G798" s="2" t="s">
        <v>3690</v>
      </c>
      <c r="H798" s="2" t="s">
        <v>2252</v>
      </c>
      <c r="I798" s="3" t="b">
        <f>OR(E798 = "calculated", E798 = "lookup", E798 = "aggregation")</f>
        <v>1</v>
      </c>
      <c r="J798" s="3" t="b">
        <f>H798 &lt;&gt; ""</f>
        <v>1</v>
      </c>
      <c r="K798" s="3">
        <f>COUNTIFS(FieldDisagreements!D2:D999, A798)</f>
        <v>0</v>
      </c>
      <c r="L798" s="3" t="b">
        <f>K798 &gt; 0</f>
        <v>0</v>
      </c>
      <c r="M798" s="2" t="s">
        <v>2387</v>
      </c>
    </row>
    <row r="799">
      <c r="A799" s="2" t="s">
        <v>3691</v>
      </c>
      <c r="B799" s="3" t="str">
        <f>C799 &amp; "." &amp; D799</f>
        <v>StepExecutions.PreparationExecutionKey</v>
      </c>
      <c r="C799" s="2" t="s">
        <v>1807</v>
      </c>
      <c r="D799" s="2" t="s">
        <v>1419</v>
      </c>
      <c r="E799" s="2" t="s">
        <v>2389</v>
      </c>
      <c r="F799" s="2" t="s">
        <v>2386</v>
      </c>
      <c r="G799" s="2" t="s">
        <v>3692</v>
      </c>
      <c r="H799" s="2" t="s">
        <v>2264</v>
      </c>
      <c r="I799" s="3" t="b">
        <f>OR(E799 = "calculated", E799 = "lookup", E799 = "aggregation")</f>
        <v>1</v>
      </c>
      <c r="J799" s="3" t="b">
        <f>H799 &lt;&gt; ""</f>
        <v>1</v>
      </c>
      <c r="K799" s="3">
        <f>COUNTIFS(FieldDisagreements!D2:D999, A799)</f>
        <v>0</v>
      </c>
      <c r="L799" s="3" t="b">
        <f>K799 &gt; 0</f>
        <v>0</v>
      </c>
      <c r="M799" s="2" t="s">
        <v>2387</v>
      </c>
    </row>
    <row r="800">
      <c r="A800" s="2" t="s">
        <v>3693</v>
      </c>
      <c r="B800" s="3" t="str">
        <f>C800 &amp; "." &amp; D800</f>
        <v>StepExecutions.ApprovalExecutionKey</v>
      </c>
      <c r="C800" s="2" t="s">
        <v>1807</v>
      </c>
      <c r="D800" s="2" t="s">
        <v>1420</v>
      </c>
      <c r="E800" s="2" t="s">
        <v>2389</v>
      </c>
      <c r="F800" s="2" t="s">
        <v>2386</v>
      </c>
      <c r="G800" s="2" t="s">
        <v>3694</v>
      </c>
      <c r="H800" s="2" t="s">
        <v>2264</v>
      </c>
      <c r="I800" s="3" t="b">
        <f>OR(E800 = "calculated", E800 = "lookup", E800 = "aggregation")</f>
        <v>1</v>
      </c>
      <c r="J800" s="3" t="b">
        <f>H800 &lt;&gt; ""</f>
        <v>1</v>
      </c>
      <c r="K800" s="3">
        <f>COUNTIFS(FieldDisagreements!D2:D999, A800)</f>
        <v>0</v>
      </c>
      <c r="L800" s="3" t="b">
        <f>K800 &gt; 0</f>
        <v>0</v>
      </c>
      <c r="M800" s="2" t="s">
        <v>2387</v>
      </c>
    </row>
    <row r="801">
      <c r="A801" s="2" t="s">
        <v>3695</v>
      </c>
      <c r="B801" s="3" t="str">
        <f>C801 &amp; "." &amp; D801</f>
        <v>StepExecutions.HasGoverningInstrument</v>
      </c>
      <c r="C801" s="2" t="s">
        <v>1807</v>
      </c>
      <c r="D801" s="2" t="s">
        <v>1421</v>
      </c>
      <c r="E801" s="2" t="s">
        <v>2389</v>
      </c>
      <c r="F801" s="2" t="s">
        <v>2401</v>
      </c>
      <c r="G801" s="2" t="s">
        <v>3696</v>
      </c>
      <c r="H801" s="2" t="s">
        <v>2272</v>
      </c>
      <c r="I801" s="3" t="b">
        <f>OR(E801 = "calculated", E801 = "lookup", E801 = "aggregation")</f>
        <v>1</v>
      </c>
      <c r="J801" s="3" t="b">
        <f>H801 &lt;&gt; ""</f>
        <v>1</v>
      </c>
      <c r="K801" s="3">
        <f>COUNTIFS(FieldDisagreements!D2:D999, A801)</f>
        <v>0</v>
      </c>
      <c r="L801" s="3" t="b">
        <f>K801 &gt; 0</f>
        <v>0</v>
      </c>
      <c r="M801" s="2" t="s">
        <v>2387</v>
      </c>
    </row>
    <row r="802">
      <c r="A802" s="2" t="s">
        <v>3697</v>
      </c>
      <c r="B802" s="3" t="str">
        <f>C802 &amp; "." &amp; D802</f>
        <v>StepExecutions.HasApprovedChangeCoverage</v>
      </c>
      <c r="C802" s="2" t="s">
        <v>1807</v>
      </c>
      <c r="D802" s="2" t="s">
        <v>1422</v>
      </c>
      <c r="E802" s="2" t="s">
        <v>2478</v>
      </c>
      <c r="F802" s="2" t="s">
        <v>2401</v>
      </c>
      <c r="G802" s="2" t="s">
        <v>3698</v>
      </c>
      <c r="H802" s="2" t="s">
        <v>2272</v>
      </c>
      <c r="I802" s="3" t="b">
        <f>OR(E802 = "calculated", E802 = "lookup", E802 = "aggregation")</f>
        <v>1</v>
      </c>
      <c r="J802" s="3" t="b">
        <f>H802 &lt;&gt; ""</f>
        <v>1</v>
      </c>
      <c r="K802" s="3">
        <f>COUNTIFS(FieldDisagreements!D2:D999, A802)</f>
        <v>0</v>
      </c>
      <c r="L802" s="3" t="b">
        <f>K802 &gt; 0</f>
        <v>0</v>
      </c>
      <c r="M802" s="2" t="s">
        <v>2387</v>
      </c>
    </row>
    <row r="803">
      <c r="A803" s="2" t="s">
        <v>3699</v>
      </c>
      <c r="B803" s="3" t="str">
        <f>C803 &amp; "." &amp; D803</f>
        <v>StepExecutions.VersionOfStep</v>
      </c>
      <c r="C803" s="2" t="s">
        <v>1807</v>
      </c>
      <c r="D803" s="2" t="s">
        <v>1423</v>
      </c>
      <c r="E803" s="2" t="s">
        <v>2478</v>
      </c>
      <c r="F803" s="2" t="s">
        <v>2386</v>
      </c>
      <c r="G803" s="2" t="s">
        <v>3193</v>
      </c>
      <c r="H803" s="2" t="s">
        <v>2272</v>
      </c>
      <c r="I803" s="3" t="b">
        <f>OR(E803 = "calculated", E803 = "lookup", E803 = "aggregation")</f>
        <v>1</v>
      </c>
      <c r="J803" s="3" t="b">
        <f>H803 &lt;&gt; ""</f>
        <v>1</v>
      </c>
      <c r="K803" s="3">
        <f>COUNTIFS(FieldDisagreements!D2:D999, A803)</f>
        <v>0</v>
      </c>
      <c r="L803" s="3" t="b">
        <f>K803 &gt; 0</f>
        <v>0</v>
      </c>
      <c r="M803" s="2" t="s">
        <v>2387</v>
      </c>
    </row>
    <row r="804">
      <c r="A804" s="2" t="s">
        <v>3700</v>
      </c>
      <c r="B804" s="3" t="str">
        <f>C804 &amp; "." &amp; D804</f>
        <v>StepExecutions.IsUngovernedDivergence</v>
      </c>
      <c r="C804" s="2" t="s">
        <v>1807</v>
      </c>
      <c r="D804" s="2" t="s">
        <v>1424</v>
      </c>
      <c r="E804" s="2" t="s">
        <v>2389</v>
      </c>
      <c r="F804" s="2" t="s">
        <v>2401</v>
      </c>
      <c r="G804" s="2" t="s">
        <v>3701</v>
      </c>
      <c r="H804" s="2" t="s">
        <v>2272</v>
      </c>
      <c r="I804" s="3" t="b">
        <f>OR(E804 = "calculated", E804 = "lookup", E804 = "aggregation")</f>
        <v>1</v>
      </c>
      <c r="J804" s="3" t="b">
        <f>H804 &lt;&gt; ""</f>
        <v>1</v>
      </c>
      <c r="K804" s="3">
        <f>COUNTIFS(FieldDisagreements!D2:D999, A804)</f>
        <v>2</v>
      </c>
      <c r="L804" s="3" t="b">
        <f>K804 &gt; 0</f>
        <v>1</v>
      </c>
      <c r="M804" s="2" t="s">
        <v>2387</v>
      </c>
    </row>
    <row r="805">
      <c r="A805" s="2" t="s">
        <v>3702</v>
      </c>
      <c r="B805" s="3" t="str">
        <f>C805 &amp; "." &amp; D805</f>
        <v>StepExecutions.UngovernedDivergenceExecutionKey</v>
      </c>
      <c r="C805" s="2" t="s">
        <v>1807</v>
      </c>
      <c r="D805" s="2" t="s">
        <v>1425</v>
      </c>
      <c r="E805" s="2" t="s">
        <v>2389</v>
      </c>
      <c r="F805" s="2" t="s">
        <v>2386</v>
      </c>
      <c r="G805" s="2" t="s">
        <v>3703</v>
      </c>
      <c r="H805" s="2" t="s">
        <v>2272</v>
      </c>
      <c r="I805" s="3" t="b">
        <f>OR(E805 = "calculated", E805 = "lookup", E805 = "aggregation")</f>
        <v>1</v>
      </c>
      <c r="J805" s="3" t="b">
        <f>H805 &lt;&gt; ""</f>
        <v>1</v>
      </c>
      <c r="K805" s="3">
        <f>COUNTIFS(FieldDisagreements!D2:D999, A805)</f>
        <v>2</v>
      </c>
      <c r="L805" s="3" t="b">
        <f>K805 &gt; 0</f>
        <v>1</v>
      </c>
      <c r="M805" s="2" t="s">
        <v>2387</v>
      </c>
    </row>
    <row r="806">
      <c r="A806" s="2" t="s">
        <v>3704</v>
      </c>
      <c r="B806" s="3" t="str">
        <f>C806 &amp; "." &amp; D806</f>
        <v>StepExecutions.SelfAttestedApprovalExecutionKey</v>
      </c>
      <c r="C806" s="2" t="s">
        <v>1807</v>
      </c>
      <c r="D806" s="2" t="s">
        <v>1426</v>
      </c>
      <c r="E806" s="2" t="s">
        <v>2389</v>
      </c>
      <c r="F806" s="2" t="s">
        <v>2386</v>
      </c>
      <c r="G806" s="2" t="s">
        <v>3705</v>
      </c>
      <c r="H806" s="2" t="s">
        <v>2284</v>
      </c>
      <c r="I806" s="3" t="b">
        <f>OR(E806 = "calculated", E806 = "lookup", E806 = "aggregation")</f>
        <v>1</v>
      </c>
      <c r="J806" s="3" t="b">
        <f>H806 &lt;&gt; ""</f>
        <v>1</v>
      </c>
      <c r="K806" s="3">
        <f>COUNTIFS(FieldDisagreements!D2:D999, A806)</f>
        <v>0</v>
      </c>
      <c r="L806" s="3" t="b">
        <f>K806 &gt; 0</f>
        <v>0</v>
      </c>
      <c r="M806" s="2" t="s">
        <v>2387</v>
      </c>
    </row>
    <row r="807">
      <c r="A807" s="2" t="s">
        <v>3706</v>
      </c>
      <c r="B807" s="3" t="str">
        <f>C807 &amp; "." &amp; D807</f>
        <v>StepExecutions.SemanticTypeIri</v>
      </c>
      <c r="C807" s="2" t="s">
        <v>1807</v>
      </c>
      <c r="D807" s="2" t="s">
        <v>94</v>
      </c>
      <c r="E807" s="2" t="s">
        <v>2385</v>
      </c>
      <c r="F807" s="2" t="s">
        <v>2386</v>
      </c>
      <c r="G807" s="2"/>
      <c r="H807" s="2"/>
      <c r="I807" s="3" t="b">
        <f>OR(E807 = "calculated", E807 = "lookup", E807 = "aggregation")</f>
        <v>0</v>
      </c>
      <c r="J807" s="3" t="b">
        <f>H807 &lt;&gt; ""</f>
        <v>0</v>
      </c>
      <c r="K807" s="3">
        <f>COUNTIFS(FieldDisagreements!D2:D999, A807)</f>
        <v>0</v>
      </c>
      <c r="L807" s="3" t="b">
        <f>K807 &gt; 0</f>
        <v>0</v>
      </c>
      <c r="M807" s="2" t="s">
        <v>2387</v>
      </c>
    </row>
    <row r="808">
      <c r="A808" s="2" t="s">
        <v>3707</v>
      </c>
      <c r="B808" s="3" t="str">
        <f>C808 &amp; "." &amp; D808</f>
        <v>RequirementSatisfactions.RequirementSatisfactionId</v>
      </c>
      <c r="C808" s="2" t="s">
        <v>1810</v>
      </c>
      <c r="D808" s="2" t="s">
        <v>1446</v>
      </c>
      <c r="E808" s="2" t="s">
        <v>2385</v>
      </c>
      <c r="F808" s="2" t="s">
        <v>2386</v>
      </c>
      <c r="G808" s="2"/>
      <c r="H808" s="2"/>
      <c r="I808" s="3" t="b">
        <f>OR(E808 = "calculated", E808 = "lookup", E808 = "aggregation")</f>
        <v>0</v>
      </c>
      <c r="J808" s="3" t="b">
        <f>H808 &lt;&gt; ""</f>
        <v>0</v>
      </c>
      <c r="K808" s="3">
        <f>COUNTIFS(FieldDisagreements!D2:D999, A808)</f>
        <v>0</v>
      </c>
      <c r="L808" s="3" t="b">
        <f>K808 &gt; 0</f>
        <v>0</v>
      </c>
      <c r="M808" s="2" t="s">
        <v>2387</v>
      </c>
    </row>
    <row r="809">
      <c r="A809" s="2" t="s">
        <v>3708</v>
      </c>
      <c r="B809" s="3" t="str">
        <f>C809 &amp; "." &amp; D809</f>
        <v>RequirementSatisfactions.Name</v>
      </c>
      <c r="C809" s="2" t="s">
        <v>1810</v>
      </c>
      <c r="D809" s="2" t="s">
        <v>1</v>
      </c>
      <c r="E809" s="2" t="s">
        <v>2389</v>
      </c>
      <c r="F809" s="2" t="s">
        <v>2386</v>
      </c>
      <c r="G809" s="2" t="s">
        <v>3709</v>
      </c>
      <c r="H809" s="2"/>
      <c r="I809" s="3" t="b">
        <f>OR(E809 = "calculated", E809 = "lookup", E809 = "aggregation")</f>
        <v>1</v>
      </c>
      <c r="J809" s="3" t="b">
        <f>H809 &lt;&gt; ""</f>
        <v>0</v>
      </c>
      <c r="K809" s="3">
        <f>COUNTIFS(FieldDisagreements!D2:D999, A809)</f>
        <v>0</v>
      </c>
      <c r="L809" s="3" t="b">
        <f>K809 &gt; 0</f>
        <v>0</v>
      </c>
      <c r="M809" s="2" t="s">
        <v>2387</v>
      </c>
    </row>
    <row r="810">
      <c r="A810" s="2" t="s">
        <v>3710</v>
      </c>
      <c r="B810" s="3" t="str">
        <f>C810 &amp; "." &amp; D810</f>
        <v>RequirementSatisfactions.StepExecution</v>
      </c>
      <c r="C810" s="2" t="s">
        <v>1810</v>
      </c>
      <c r="D810" s="2" t="s">
        <v>1447</v>
      </c>
      <c r="E810" s="2" t="s">
        <v>2434</v>
      </c>
      <c r="F810" s="2" t="s">
        <v>2386</v>
      </c>
      <c r="G810" s="2"/>
      <c r="H810" s="2"/>
      <c r="I810" s="3" t="b">
        <f>OR(E810 = "calculated", E810 = "lookup", E810 = "aggregation")</f>
        <v>0</v>
      </c>
      <c r="J810" s="3" t="b">
        <f>H810 &lt;&gt; ""</f>
        <v>0</v>
      </c>
      <c r="K810" s="3">
        <f>COUNTIFS(FieldDisagreements!D2:D999, A810)</f>
        <v>0</v>
      </c>
      <c r="L810" s="3" t="b">
        <f>K810 &gt; 0</f>
        <v>0</v>
      </c>
      <c r="M810" s="2" t="s">
        <v>2387</v>
      </c>
    </row>
    <row r="811">
      <c r="A811" s="2" t="s">
        <v>3711</v>
      </c>
      <c r="B811" s="3" t="str">
        <f>C811 &amp; "." &amp; D811</f>
        <v>RequirementSatisfactions.Requirement</v>
      </c>
      <c r="C811" s="2" t="s">
        <v>1810</v>
      </c>
      <c r="D811" s="2" t="s">
        <v>894</v>
      </c>
      <c r="E811" s="2" t="s">
        <v>2434</v>
      </c>
      <c r="F811" s="2" t="s">
        <v>2386</v>
      </c>
      <c r="G811" s="2"/>
      <c r="H811" s="2"/>
      <c r="I811" s="3" t="b">
        <f>OR(E811 = "calculated", E811 = "lookup", E811 = "aggregation")</f>
        <v>0</v>
      </c>
      <c r="J811" s="3" t="b">
        <f>H811 &lt;&gt; ""</f>
        <v>0</v>
      </c>
      <c r="K811" s="3">
        <f>COUNTIFS(FieldDisagreements!D2:D999, A811)</f>
        <v>0</v>
      </c>
      <c r="L811" s="3" t="b">
        <f>K811 &gt; 0</f>
        <v>0</v>
      </c>
      <c r="M811" s="2" t="s">
        <v>2387</v>
      </c>
    </row>
    <row r="812">
      <c r="A812" s="2" t="s">
        <v>3712</v>
      </c>
      <c r="B812" s="3" t="str">
        <f>C812 &amp; "." &amp; D812</f>
        <v>RequirementSatisfactions.SatisfactionLevel</v>
      </c>
      <c r="C812" s="2" t="s">
        <v>1810</v>
      </c>
      <c r="D812" s="2" t="s">
        <v>1448</v>
      </c>
      <c r="E812" s="2" t="s">
        <v>2385</v>
      </c>
      <c r="F812" s="2" t="s">
        <v>2386</v>
      </c>
      <c r="G812" s="2"/>
      <c r="H812" s="2"/>
      <c r="I812" s="3" t="b">
        <f>OR(E812 = "calculated", E812 = "lookup", E812 = "aggregation")</f>
        <v>0</v>
      </c>
      <c r="J812" s="3" t="b">
        <f>H812 &lt;&gt; ""</f>
        <v>0</v>
      </c>
      <c r="K812" s="3">
        <f>COUNTIFS(FieldDisagreements!D2:D999, A812)</f>
        <v>0</v>
      </c>
      <c r="L812" s="3" t="b">
        <f>K812 &gt; 0</f>
        <v>0</v>
      </c>
      <c r="M812" s="2" t="s">
        <v>2387</v>
      </c>
    </row>
    <row r="813">
      <c r="A813" s="2" t="s">
        <v>3713</v>
      </c>
      <c r="B813" s="3" t="str">
        <f>C813 &amp; "." &amp; D813</f>
        <v>RequirementSatisfactions.Evidence</v>
      </c>
      <c r="C813" s="2" t="s">
        <v>1810</v>
      </c>
      <c r="D813" s="2" t="s">
        <v>1449</v>
      </c>
      <c r="E813" s="2" t="s">
        <v>2385</v>
      </c>
      <c r="F813" s="2" t="s">
        <v>2386</v>
      </c>
      <c r="G813" s="2"/>
      <c r="H813" s="2"/>
      <c r="I813" s="3" t="b">
        <f>OR(E813 = "calculated", E813 = "lookup", E813 = "aggregation")</f>
        <v>0</v>
      </c>
      <c r="J813" s="3" t="b">
        <f>H813 &lt;&gt; ""</f>
        <v>0</v>
      </c>
      <c r="K813" s="3">
        <f>COUNTIFS(FieldDisagreements!D2:D999, A813)</f>
        <v>0</v>
      </c>
      <c r="L813" s="3" t="b">
        <f>K813 &gt; 0</f>
        <v>0</v>
      </c>
      <c r="M813" s="2" t="s">
        <v>2387</v>
      </c>
    </row>
    <row r="814">
      <c r="A814" s="2" t="s">
        <v>3714</v>
      </c>
      <c r="B814" s="3" t="str">
        <f>C814 &amp; "." &amp; D814</f>
        <v>RequirementSatisfactions.EvaluatedByAgent</v>
      </c>
      <c r="C814" s="2" t="s">
        <v>1810</v>
      </c>
      <c r="D814" s="2" t="s">
        <v>1450</v>
      </c>
      <c r="E814" s="2" t="s">
        <v>2434</v>
      </c>
      <c r="F814" s="2" t="s">
        <v>2386</v>
      </c>
      <c r="G814" s="2"/>
      <c r="H814" s="2"/>
      <c r="I814" s="3" t="b">
        <f>OR(E814 = "calculated", E814 = "lookup", E814 = "aggregation")</f>
        <v>0</v>
      </c>
      <c r="J814" s="3" t="b">
        <f>H814 &lt;&gt; ""</f>
        <v>0</v>
      </c>
      <c r="K814" s="3">
        <f>COUNTIFS(FieldDisagreements!D2:D999, A814)</f>
        <v>0</v>
      </c>
      <c r="L814" s="3" t="b">
        <f>K814 &gt; 0</f>
        <v>0</v>
      </c>
      <c r="M814" s="2" t="s">
        <v>2387</v>
      </c>
    </row>
    <row r="815">
      <c r="A815" s="2" t="s">
        <v>3715</v>
      </c>
      <c r="B815" s="3" t="str">
        <f>C815 &amp; "." &amp; D815</f>
        <v>RequirementSatisfactions.EvaluatedAt</v>
      </c>
      <c r="C815" s="2" t="s">
        <v>1810</v>
      </c>
      <c r="D815" s="2" t="s">
        <v>1451</v>
      </c>
      <c r="E815" s="2" t="s">
        <v>2385</v>
      </c>
      <c r="F815" s="2" t="s">
        <v>2397</v>
      </c>
      <c r="G815" s="2"/>
      <c r="H815" s="2"/>
      <c r="I815" s="3" t="b">
        <f>OR(E815 = "calculated", E815 = "lookup", E815 = "aggregation")</f>
        <v>0</v>
      </c>
      <c r="J815" s="3" t="b">
        <f>H815 &lt;&gt; ""</f>
        <v>0</v>
      </c>
      <c r="K815" s="3">
        <f>COUNTIFS(FieldDisagreements!D2:D999, A815)</f>
        <v>0</v>
      </c>
      <c r="L815" s="3" t="b">
        <f>K815 &gt; 0</f>
        <v>0</v>
      </c>
      <c r="M815" s="2" t="s">
        <v>2387</v>
      </c>
    </row>
    <row r="816">
      <c r="A816" s="2" t="s">
        <v>3716</v>
      </c>
      <c r="B816" s="3" t="str">
        <f>C816 &amp; "." &amp; D816</f>
        <v>RequirementSatisfactions.RequirementIsBlocking</v>
      </c>
      <c r="C816" s="2" t="s">
        <v>1810</v>
      </c>
      <c r="D816" s="2" t="s">
        <v>895</v>
      </c>
      <c r="E816" s="2" t="s">
        <v>2478</v>
      </c>
      <c r="F816" s="2" t="s">
        <v>2401</v>
      </c>
      <c r="G816" s="2" t="s">
        <v>3059</v>
      </c>
      <c r="H816" s="2" t="s">
        <v>1935</v>
      </c>
      <c r="I816" s="3" t="b">
        <f>OR(E816 = "calculated", E816 = "lookup", E816 = "aggregation")</f>
        <v>1</v>
      </c>
      <c r="J816" s="3" t="b">
        <f>H816 &lt;&gt; ""</f>
        <v>1</v>
      </c>
      <c r="K816" s="3">
        <f>COUNTIFS(FieldDisagreements!D2:D999, A816)</f>
        <v>0</v>
      </c>
      <c r="L816" s="3" t="b">
        <f>K816 &gt; 0</f>
        <v>0</v>
      </c>
      <c r="M816" s="2" t="s">
        <v>2387</v>
      </c>
    </row>
    <row r="817">
      <c r="A817" s="2" t="s">
        <v>3717</v>
      </c>
      <c r="B817" s="3" t="str">
        <f>C817 &amp; "." &amp; D817</f>
        <v>RequirementSatisfactions.IsFullySatisfied</v>
      </c>
      <c r="C817" s="2" t="s">
        <v>1810</v>
      </c>
      <c r="D817" s="2" t="s">
        <v>1452</v>
      </c>
      <c r="E817" s="2" t="s">
        <v>2389</v>
      </c>
      <c r="F817" s="2" t="s">
        <v>2401</v>
      </c>
      <c r="G817" s="2" t="s">
        <v>3718</v>
      </c>
      <c r="H817" s="2" t="s">
        <v>1935</v>
      </c>
      <c r="I817" s="3" t="b">
        <f>OR(E817 = "calculated", E817 = "lookup", E817 = "aggregation")</f>
        <v>1</v>
      </c>
      <c r="J817" s="3" t="b">
        <f>H817 &lt;&gt; ""</f>
        <v>1</v>
      </c>
      <c r="K817" s="3">
        <f>COUNTIFS(FieldDisagreements!D2:D999, A817)</f>
        <v>0</v>
      </c>
      <c r="L817" s="3" t="b">
        <f>K817 &gt; 0</f>
        <v>0</v>
      </c>
      <c r="M817" s="2" t="s">
        <v>2387</v>
      </c>
    </row>
    <row r="818">
      <c r="A818" s="2" t="s">
        <v>845</v>
      </c>
      <c r="B818" s="3" t="str">
        <f>C818 &amp; "." &amp; D818</f>
        <v>RequirementSatisfactions.IsBlockingAndUnmet</v>
      </c>
      <c r="C818" s="2" t="s">
        <v>1810</v>
      </c>
      <c r="D818" s="2" t="s">
        <v>1453</v>
      </c>
      <c r="E818" s="2" t="s">
        <v>2389</v>
      </c>
      <c r="F818" s="2" t="s">
        <v>2401</v>
      </c>
      <c r="G818" s="2" t="s">
        <v>3719</v>
      </c>
      <c r="H818" s="2" t="s">
        <v>1935</v>
      </c>
      <c r="I818" s="3" t="b">
        <f>OR(E818 = "calculated", E818 = "lookup", E818 = "aggregation")</f>
        <v>1</v>
      </c>
      <c r="J818" s="3" t="b">
        <f>H818 &lt;&gt; ""</f>
        <v>1</v>
      </c>
      <c r="K818" s="3">
        <f>COUNTIFS(FieldDisagreements!D2:D999, A818)</f>
        <v>0</v>
      </c>
      <c r="L818" s="3" t="b">
        <f>K818 &gt; 0</f>
        <v>0</v>
      </c>
      <c r="M818" s="2" t="s">
        <v>2387</v>
      </c>
    </row>
    <row r="819">
      <c r="A819" s="2" t="s">
        <v>3720</v>
      </c>
      <c r="B819" s="3" t="str">
        <f>C819 &amp; "." &amp; D819</f>
        <v>RequirementSatisfactions.BlockingUnmetStepKey</v>
      </c>
      <c r="C819" s="2" t="s">
        <v>1810</v>
      </c>
      <c r="D819" s="2" t="s">
        <v>1454</v>
      </c>
      <c r="E819" s="2" t="s">
        <v>2389</v>
      </c>
      <c r="F819" s="2" t="s">
        <v>2386</v>
      </c>
      <c r="G819" s="2" t="s">
        <v>3721</v>
      </c>
      <c r="H819" s="2" t="s">
        <v>1935</v>
      </c>
      <c r="I819" s="3" t="b">
        <f>OR(E819 = "calculated", E819 = "lookup", E819 = "aggregation")</f>
        <v>1</v>
      </c>
      <c r="J819" s="3" t="b">
        <f>H819 &lt;&gt; ""</f>
        <v>1</v>
      </c>
      <c r="K819" s="3">
        <f>COUNTIFS(FieldDisagreements!D2:D999, A819)</f>
        <v>0</v>
      </c>
      <c r="L819" s="3" t="b">
        <f>K819 &gt; 0</f>
        <v>0</v>
      </c>
      <c r="M819" s="2" t="s">
        <v>2387</v>
      </c>
    </row>
    <row r="820">
      <c r="A820" s="2" t="s">
        <v>3722</v>
      </c>
      <c r="B820" s="3" t="str">
        <f>C820 &amp; "." &amp; D820</f>
        <v>RequirementSatisfactions.BlockingSatisfactionStepKey</v>
      </c>
      <c r="C820" s="2" t="s">
        <v>1810</v>
      </c>
      <c r="D820" s="2" t="s">
        <v>1455</v>
      </c>
      <c r="E820" s="2" t="s">
        <v>2389</v>
      </c>
      <c r="F820" s="2" t="s">
        <v>2386</v>
      </c>
      <c r="G820" s="2" t="s">
        <v>3723</v>
      </c>
      <c r="H820" s="2" t="s">
        <v>1940</v>
      </c>
      <c r="I820" s="3" t="b">
        <f>OR(E820 = "calculated", E820 = "lookup", E820 = "aggregation")</f>
        <v>1</v>
      </c>
      <c r="J820" s="3" t="b">
        <f>H820 &lt;&gt; ""</f>
        <v>1</v>
      </c>
      <c r="K820" s="3">
        <f>COUNTIFS(FieldDisagreements!D2:D999, A820)</f>
        <v>0</v>
      </c>
      <c r="L820" s="3" t="b">
        <f>K820 &gt; 0</f>
        <v>0</v>
      </c>
      <c r="M820" s="2" t="s">
        <v>2387</v>
      </c>
    </row>
    <row r="821">
      <c r="A821" s="2" t="s">
        <v>3724</v>
      </c>
      <c r="B821" s="3" t="str">
        <f>C821 &amp; "." &amp; D821</f>
        <v>RequirementSatisfactions.NegativeOutcomeRequirementKey</v>
      </c>
      <c r="C821" s="2" t="s">
        <v>1810</v>
      </c>
      <c r="D821" s="2" t="s">
        <v>1456</v>
      </c>
      <c r="E821" s="2" t="s">
        <v>2389</v>
      </c>
      <c r="F821" s="2" t="s">
        <v>2386</v>
      </c>
      <c r="G821" s="2" t="s">
        <v>3725</v>
      </c>
      <c r="H821" s="2" t="s">
        <v>1964</v>
      </c>
      <c r="I821" s="3" t="b">
        <f>OR(E821 = "calculated", E821 = "lookup", E821 = "aggregation")</f>
        <v>1</v>
      </c>
      <c r="J821" s="3" t="b">
        <f>H821 &lt;&gt; ""</f>
        <v>1</v>
      </c>
      <c r="K821" s="3">
        <f>COUNTIFS(FieldDisagreements!D2:D999, A821)</f>
        <v>0</v>
      </c>
      <c r="L821" s="3" t="b">
        <f>K821 &gt; 0</f>
        <v>0</v>
      </c>
      <c r="M821" s="2" t="s">
        <v>2387</v>
      </c>
    </row>
    <row r="822">
      <c r="A822" s="2" t="s">
        <v>3726</v>
      </c>
      <c r="B822" s="3" t="str">
        <f>C822 &amp; "." &amp; D822</f>
        <v>RequirementSatisfactions.EvaluatorAgentKind</v>
      </c>
      <c r="C822" s="2" t="s">
        <v>1810</v>
      </c>
      <c r="D822" s="2" t="s">
        <v>1457</v>
      </c>
      <c r="E822" s="2" t="s">
        <v>2478</v>
      </c>
      <c r="F822" s="2" t="s">
        <v>2386</v>
      </c>
      <c r="G822" s="2" t="s">
        <v>3727</v>
      </c>
      <c r="H822" s="2" t="s">
        <v>1972</v>
      </c>
      <c r="I822" s="3" t="b">
        <f>OR(E822 = "calculated", E822 = "lookup", E822 = "aggregation")</f>
        <v>1</v>
      </c>
      <c r="J822" s="3" t="b">
        <f>H822 &lt;&gt; ""</f>
        <v>1</v>
      </c>
      <c r="K822" s="3">
        <f>COUNTIFS(FieldDisagreements!D2:D999, A822)</f>
        <v>0</v>
      </c>
      <c r="L822" s="3" t="b">
        <f>K822 &gt; 0</f>
        <v>0</v>
      </c>
      <c r="M822" s="2" t="s">
        <v>2387</v>
      </c>
    </row>
    <row r="823">
      <c r="A823" s="2" t="s">
        <v>3728</v>
      </c>
      <c r="B823" s="3" t="str">
        <f>C823 &amp; "." &amp; D823</f>
        <v>RequirementSatisfactions.NonHumanEvaluatedHumanControl</v>
      </c>
      <c r="C823" s="2" t="s">
        <v>1810</v>
      </c>
      <c r="D823" s="2" t="s">
        <v>1458</v>
      </c>
      <c r="E823" s="2" t="s">
        <v>2389</v>
      </c>
      <c r="F823" s="2" t="s">
        <v>2401</v>
      </c>
      <c r="G823" s="2" t="s">
        <v>3729</v>
      </c>
      <c r="H823" s="2" t="s">
        <v>1972</v>
      </c>
      <c r="I823" s="3" t="b">
        <f>OR(E823 = "calculated", E823 = "lookup", E823 = "aggregation")</f>
        <v>1</v>
      </c>
      <c r="J823" s="3" t="b">
        <f>H823 &lt;&gt; ""</f>
        <v>1</v>
      </c>
      <c r="K823" s="3">
        <f>COUNTIFS(FieldDisagreements!D2:D999, A823)</f>
        <v>0</v>
      </c>
      <c r="L823" s="3" t="b">
        <f>K823 &gt; 0</f>
        <v>0</v>
      </c>
      <c r="M823" s="2" t="s">
        <v>2387</v>
      </c>
    </row>
    <row r="824">
      <c r="A824" s="2" t="s">
        <v>3730</v>
      </c>
      <c r="B824" s="3" t="str">
        <f>C824 &amp; "." &amp; D824</f>
        <v>RequirementSatisfactions.RequirementHasComputedWitness</v>
      </c>
      <c r="C824" s="2" t="s">
        <v>1810</v>
      </c>
      <c r="D824" s="2" t="s">
        <v>1459</v>
      </c>
      <c r="E824" s="2" t="s">
        <v>2478</v>
      </c>
      <c r="F824" s="2" t="s">
        <v>2401</v>
      </c>
      <c r="G824" s="2" t="s">
        <v>3731</v>
      </c>
      <c r="H824" s="2" t="s">
        <v>1992</v>
      </c>
      <c r="I824" s="3" t="b">
        <f>OR(E824 = "calculated", E824 = "lookup", E824 = "aggregation")</f>
        <v>1</v>
      </c>
      <c r="J824" s="3" t="b">
        <f>H824 &lt;&gt; ""</f>
        <v>1</v>
      </c>
      <c r="K824" s="3">
        <f>COUNTIFS(FieldDisagreements!D2:D999, A824)</f>
        <v>0</v>
      </c>
      <c r="L824" s="3" t="b">
        <f>K824 &gt; 0</f>
        <v>0</v>
      </c>
      <c r="M824" s="2" t="s">
        <v>2387</v>
      </c>
    </row>
    <row r="825">
      <c r="A825" s="2" t="s">
        <v>3732</v>
      </c>
      <c r="B825" s="3" t="str">
        <f>C825 &amp; "." &amp; D825</f>
        <v>RequirementSatisfactions.IsAssertedOnly</v>
      </c>
      <c r="C825" s="2" t="s">
        <v>1810</v>
      </c>
      <c r="D825" s="2" t="s">
        <v>1460</v>
      </c>
      <c r="E825" s="2" t="s">
        <v>2389</v>
      </c>
      <c r="F825" s="2" t="s">
        <v>2401</v>
      </c>
      <c r="G825" s="2" t="s">
        <v>3733</v>
      </c>
      <c r="H825" s="2" t="s">
        <v>1992</v>
      </c>
      <c r="I825" s="3" t="b">
        <f>OR(E825 = "calculated", E825 = "lookup", E825 = "aggregation")</f>
        <v>1</v>
      </c>
      <c r="J825" s="3" t="b">
        <f>H825 &lt;&gt; ""</f>
        <v>1</v>
      </c>
      <c r="K825" s="3">
        <f>COUNTIFS(FieldDisagreements!D2:D999, A825)</f>
        <v>0</v>
      </c>
      <c r="L825" s="3" t="b">
        <f>K825 &gt; 0</f>
        <v>0</v>
      </c>
      <c r="M825" s="2" t="s">
        <v>2387</v>
      </c>
    </row>
    <row r="826">
      <c r="A826" s="2" t="s">
        <v>3734</v>
      </c>
      <c r="B826" s="3" t="str">
        <f>C826 &amp; "." &amp; D826</f>
        <v>RequirementSatisfactions.AssertedOnlyExecutionKey</v>
      </c>
      <c r="C826" s="2" t="s">
        <v>1810</v>
      </c>
      <c r="D826" s="2" t="s">
        <v>1461</v>
      </c>
      <c r="E826" s="2" t="s">
        <v>2389</v>
      </c>
      <c r="F826" s="2" t="s">
        <v>2386</v>
      </c>
      <c r="G826" s="2" t="s">
        <v>3735</v>
      </c>
      <c r="H826" s="2" t="s">
        <v>1992</v>
      </c>
      <c r="I826" s="3" t="b">
        <f>OR(E826 = "calculated", E826 = "lookup", E826 = "aggregation")</f>
        <v>1</v>
      </c>
      <c r="J826" s="3" t="b">
        <f>H826 &lt;&gt; ""</f>
        <v>1</v>
      </c>
      <c r="K826" s="3">
        <f>COUNTIFS(FieldDisagreements!D2:D999, A826)</f>
        <v>0</v>
      </c>
      <c r="L826" s="3" t="b">
        <f>K826 &gt; 0</f>
        <v>0</v>
      </c>
      <c r="M826" s="2" t="s">
        <v>2387</v>
      </c>
    </row>
    <row r="827">
      <c r="A827" s="2" t="s">
        <v>3736</v>
      </c>
      <c r="B827" s="3" t="str">
        <f>C827 &amp; "." &amp; D827</f>
        <v>RequirementSatisfactions.ParentProcedureExecution</v>
      </c>
      <c r="C827" s="2" t="s">
        <v>1810</v>
      </c>
      <c r="D827" s="2" t="s">
        <v>1462</v>
      </c>
      <c r="E827" s="2" t="s">
        <v>2478</v>
      </c>
      <c r="F827" s="2" t="s">
        <v>2386</v>
      </c>
      <c r="G827" s="2" t="s">
        <v>3737</v>
      </c>
      <c r="H827" s="2" t="s">
        <v>1992</v>
      </c>
      <c r="I827" s="3" t="b">
        <f>OR(E827 = "calculated", E827 = "lookup", E827 = "aggregation")</f>
        <v>1</v>
      </c>
      <c r="J827" s="3" t="b">
        <f>H827 &lt;&gt; ""</f>
        <v>1</v>
      </c>
      <c r="K827" s="3">
        <f>COUNTIFS(FieldDisagreements!D2:D999, A827)</f>
        <v>0</v>
      </c>
      <c r="L827" s="3" t="b">
        <f>K827 &gt; 0</f>
        <v>0</v>
      </c>
      <c r="M827" s="2" t="s">
        <v>2387</v>
      </c>
    </row>
    <row r="828">
      <c r="A828" s="2" t="s">
        <v>3738</v>
      </c>
      <c r="B828" s="3" t="str">
        <f>C828 &amp; "." &amp; D828</f>
        <v>RequirementSatisfactions.StepExecutionWhenScored</v>
      </c>
      <c r="C828" s="2" t="s">
        <v>1810</v>
      </c>
      <c r="D828" s="2" t="s">
        <v>1463</v>
      </c>
      <c r="E828" s="2" t="s">
        <v>2389</v>
      </c>
      <c r="F828" s="2" t="s">
        <v>2386</v>
      </c>
      <c r="G828" s="2" t="s">
        <v>3739</v>
      </c>
      <c r="H828" s="2" t="s">
        <v>2108</v>
      </c>
      <c r="I828" s="3" t="b">
        <f>OR(E828 = "calculated", E828 = "lookup", E828 = "aggregation")</f>
        <v>1</v>
      </c>
      <c r="J828" s="3" t="b">
        <f>H828 &lt;&gt; ""</f>
        <v>1</v>
      </c>
      <c r="K828" s="3">
        <f>COUNTIFS(FieldDisagreements!D2:D999, A828)</f>
        <v>0</v>
      </c>
      <c r="L828" s="3" t="b">
        <f>K828 &gt; 0</f>
        <v>0</v>
      </c>
      <c r="M828" s="2" t="s">
        <v>2387</v>
      </c>
    </row>
    <row r="829">
      <c r="A829" s="2" t="s">
        <v>3740</v>
      </c>
      <c r="B829" s="3" t="str">
        <f>C829 &amp; "." &amp; D829</f>
        <v>RequirementSatisfactions.IsHumanEvaluated</v>
      </c>
      <c r="C829" s="2" t="s">
        <v>1810</v>
      </c>
      <c r="D829" s="2" t="s">
        <v>1464</v>
      </c>
      <c r="E829" s="2" t="s">
        <v>2389</v>
      </c>
      <c r="F829" s="2" t="s">
        <v>2401</v>
      </c>
      <c r="G829" s="2" t="s">
        <v>3741</v>
      </c>
      <c r="H829" s="2" t="s">
        <v>2172</v>
      </c>
      <c r="I829" s="3" t="b">
        <f>OR(E829 = "calculated", E829 = "lookup", E829 = "aggregation")</f>
        <v>1</v>
      </c>
      <c r="J829" s="3" t="b">
        <f>H829 &lt;&gt; ""</f>
        <v>1</v>
      </c>
      <c r="K829" s="3">
        <f>COUNTIFS(FieldDisagreements!D2:D999, A829)</f>
        <v>0</v>
      </c>
      <c r="L829" s="3" t="b">
        <f>K829 &gt; 0</f>
        <v>0</v>
      </c>
      <c r="M829" s="2" t="s">
        <v>2387</v>
      </c>
    </row>
    <row r="830">
      <c r="A830" s="2" t="s">
        <v>3742</v>
      </c>
      <c r="B830" s="3" t="str">
        <f>C830 &amp; "." &amp; D830</f>
        <v>RequirementSatisfactions.RequirementIsApprovalType</v>
      </c>
      <c r="C830" s="2" t="s">
        <v>1810</v>
      </c>
      <c r="D830" s="2" t="s">
        <v>1465</v>
      </c>
      <c r="E830" s="2" t="s">
        <v>2478</v>
      </c>
      <c r="F830" s="2" t="s">
        <v>2386</v>
      </c>
      <c r="G830" s="2" t="s">
        <v>3743</v>
      </c>
      <c r="H830" s="2" t="s">
        <v>2172</v>
      </c>
      <c r="I830" s="3" t="b">
        <f>OR(E830 = "calculated", E830 = "lookup", E830 = "aggregation")</f>
        <v>1</v>
      </c>
      <c r="J830" s="3" t="b">
        <f>H830 &lt;&gt; ""</f>
        <v>1</v>
      </c>
      <c r="K830" s="3">
        <f>COUNTIFS(FieldDisagreements!D2:D999, A830)</f>
        <v>0</v>
      </c>
      <c r="L830" s="3" t="b">
        <f>K830 &gt; 0</f>
        <v>0</v>
      </c>
      <c r="M830" s="2" t="s">
        <v>2387</v>
      </c>
    </row>
    <row r="831">
      <c r="A831" s="2" t="s">
        <v>3744</v>
      </c>
      <c r="B831" s="3" t="str">
        <f>C831 &amp; "." &amp; D831</f>
        <v>RequirementSatisfactions.IsInvalidApproval</v>
      </c>
      <c r="C831" s="2" t="s">
        <v>1810</v>
      </c>
      <c r="D831" s="2" t="s">
        <v>1466</v>
      </c>
      <c r="E831" s="2" t="s">
        <v>2389</v>
      </c>
      <c r="F831" s="2" t="s">
        <v>2401</v>
      </c>
      <c r="G831" s="2" t="s">
        <v>3745</v>
      </c>
      <c r="H831" s="2" t="s">
        <v>2172</v>
      </c>
      <c r="I831" s="3" t="b">
        <f>OR(E831 = "calculated", E831 = "lookup", E831 = "aggregation")</f>
        <v>1</v>
      </c>
      <c r="J831" s="3" t="b">
        <f>H831 &lt;&gt; ""</f>
        <v>1</v>
      </c>
      <c r="K831" s="3">
        <f>COUNTIFS(FieldDisagreements!D2:D999, A831)</f>
        <v>0</v>
      </c>
      <c r="L831" s="3" t="b">
        <f>K831 &gt; 0</f>
        <v>0</v>
      </c>
      <c r="M831" s="2" t="s">
        <v>2387</v>
      </c>
    </row>
    <row r="832">
      <c r="A832" s="2" t="s">
        <v>3746</v>
      </c>
      <c r="B832" s="3" t="str">
        <f>C832 &amp; "." &amp; D832</f>
        <v>RequirementSatisfactions.ProcedureExecutionOfSatisfaction</v>
      </c>
      <c r="C832" s="2" t="s">
        <v>1810</v>
      </c>
      <c r="D832" s="2" t="s">
        <v>1467</v>
      </c>
      <c r="E832" s="2" t="s">
        <v>2478</v>
      </c>
      <c r="F832" s="2" t="s">
        <v>2386</v>
      </c>
      <c r="G832" s="2" t="s">
        <v>3737</v>
      </c>
      <c r="H832" s="2" t="s">
        <v>2172</v>
      </c>
      <c r="I832" s="3" t="b">
        <f>OR(E832 = "calculated", E832 = "lookup", E832 = "aggregation")</f>
        <v>1</v>
      </c>
      <c r="J832" s="3" t="b">
        <f>H832 &lt;&gt; ""</f>
        <v>1</v>
      </c>
      <c r="K832" s="3">
        <f>COUNTIFS(FieldDisagreements!D2:D999, A832)</f>
        <v>0</v>
      </c>
      <c r="L832" s="3" t="b">
        <f>K832 &gt; 0</f>
        <v>0</v>
      </c>
      <c r="M832" s="2" t="s">
        <v>2387</v>
      </c>
    </row>
    <row r="833">
      <c r="A833" s="2" t="s">
        <v>3747</v>
      </c>
      <c r="B833" s="3" t="str">
        <f>C833 &amp; "." &amp; D833</f>
        <v>RequirementSatisfactions.RunWhenInvalidApproval</v>
      </c>
      <c r="C833" s="2" t="s">
        <v>1810</v>
      </c>
      <c r="D833" s="2" t="s">
        <v>1468</v>
      </c>
      <c r="E833" s="2" t="s">
        <v>2389</v>
      </c>
      <c r="F833" s="2" t="s">
        <v>2386</v>
      </c>
      <c r="G833" s="2" t="s">
        <v>3748</v>
      </c>
      <c r="H833" s="2" t="s">
        <v>2172</v>
      </c>
      <c r="I833" s="3" t="b">
        <f>OR(E833 = "calculated", E833 = "lookup", E833 = "aggregation")</f>
        <v>1</v>
      </c>
      <c r="J833" s="3" t="b">
        <f>H833 &lt;&gt; ""</f>
        <v>1</v>
      </c>
      <c r="K833" s="3">
        <f>COUNTIFS(FieldDisagreements!D2:D999, A833)</f>
        <v>0</v>
      </c>
      <c r="L833" s="3" t="b">
        <f>K833 &gt; 0</f>
        <v>0</v>
      </c>
      <c r="M833" s="2" t="s">
        <v>2387</v>
      </c>
    </row>
    <row r="834">
      <c r="A834" s="2" t="s">
        <v>3749</v>
      </c>
      <c r="B834" s="3" t="str">
        <f>C834 &amp; "." &amp; D834</f>
        <v>RequirementSatisfactions.RequirementIsUnfalsified</v>
      </c>
      <c r="C834" s="2" t="s">
        <v>1810</v>
      </c>
      <c r="D834" s="2" t="s">
        <v>1469</v>
      </c>
      <c r="E834" s="2" t="s">
        <v>2478</v>
      </c>
      <c r="F834" s="2" t="s">
        <v>2401</v>
      </c>
      <c r="G834" s="2" t="s">
        <v>3750</v>
      </c>
      <c r="H834" s="2" t="s">
        <v>2236</v>
      </c>
      <c r="I834" s="3" t="b">
        <f>OR(E834 = "calculated", E834 = "lookup", E834 = "aggregation")</f>
        <v>1</v>
      </c>
      <c r="J834" s="3" t="b">
        <f>H834 &lt;&gt; ""</f>
        <v>1</v>
      </c>
      <c r="K834" s="3">
        <f>COUNTIFS(FieldDisagreements!D2:D999, A834)</f>
        <v>0</v>
      </c>
      <c r="L834" s="3" t="b">
        <f>K834 &gt; 0</f>
        <v>0</v>
      </c>
      <c r="M834" s="2" t="s">
        <v>2387</v>
      </c>
    </row>
    <row r="835">
      <c r="A835" s="2" t="s">
        <v>3751</v>
      </c>
      <c r="B835" s="3" t="str">
        <f>C835 &amp; "." &amp; D835</f>
        <v>RequirementSatisfactions.IsClearanceByUnfalsifiedControl</v>
      </c>
      <c r="C835" s="2" t="s">
        <v>1810</v>
      </c>
      <c r="D835" s="2" t="s">
        <v>1470</v>
      </c>
      <c r="E835" s="2" t="s">
        <v>2389</v>
      </c>
      <c r="F835" s="2" t="s">
        <v>2401</v>
      </c>
      <c r="G835" s="2" t="s">
        <v>3752</v>
      </c>
      <c r="H835" s="2" t="s">
        <v>2236</v>
      </c>
      <c r="I835" s="3" t="b">
        <f>OR(E835 = "calculated", E835 = "lookup", E835 = "aggregation")</f>
        <v>1</v>
      </c>
      <c r="J835" s="3" t="b">
        <f>H835 &lt;&gt; ""</f>
        <v>1</v>
      </c>
      <c r="K835" s="3">
        <f>COUNTIFS(FieldDisagreements!D2:D999, A835)</f>
        <v>0</v>
      </c>
      <c r="L835" s="3" t="b">
        <f>K835 &gt; 0</f>
        <v>0</v>
      </c>
      <c r="M835" s="2" t="s">
        <v>2387</v>
      </c>
    </row>
    <row r="836">
      <c r="A836" s="2" t="s">
        <v>3753</v>
      </c>
      <c r="B836" s="3" t="str">
        <f>C836 &amp; "." &amp; D836</f>
        <v>RequirementSatisfactions.UnfalsifiedClearanceStepKey</v>
      </c>
      <c r="C836" s="2" t="s">
        <v>1810</v>
      </c>
      <c r="D836" s="2" t="s">
        <v>1471</v>
      </c>
      <c r="E836" s="2" t="s">
        <v>2389</v>
      </c>
      <c r="F836" s="2" t="s">
        <v>2386</v>
      </c>
      <c r="G836" s="2" t="s">
        <v>3754</v>
      </c>
      <c r="H836" s="2" t="s">
        <v>2236</v>
      </c>
      <c r="I836" s="3" t="b">
        <f>OR(E836 = "calculated", E836 = "lookup", E836 = "aggregation")</f>
        <v>1</v>
      </c>
      <c r="J836" s="3" t="b">
        <f>H836 &lt;&gt; ""</f>
        <v>1</v>
      </c>
      <c r="K836" s="3">
        <f>COUNTIFS(FieldDisagreements!D2:D999, A836)</f>
        <v>0</v>
      </c>
      <c r="L836" s="3" t="b">
        <f>K836 &gt; 0</f>
        <v>0</v>
      </c>
      <c r="M836" s="2" t="s">
        <v>2387</v>
      </c>
    </row>
    <row r="837">
      <c r="A837" s="2" t="s">
        <v>3755</v>
      </c>
      <c r="B837" s="3" t="str">
        <f>C837 &amp; "." &amp; D837</f>
        <v>RequirementSatisfactions.SpecStepOfExecution</v>
      </c>
      <c r="C837" s="2" t="s">
        <v>1810</v>
      </c>
      <c r="D837" s="2" t="s">
        <v>1472</v>
      </c>
      <c r="E837" s="2" t="s">
        <v>2478</v>
      </c>
      <c r="F837" s="2" t="s">
        <v>2386</v>
      </c>
      <c r="G837" s="2" t="s">
        <v>3756</v>
      </c>
      <c r="H837" s="2" t="s">
        <v>2260</v>
      </c>
      <c r="I837" s="3" t="b">
        <f>OR(E837 = "calculated", E837 = "lookup", E837 = "aggregation")</f>
        <v>1</v>
      </c>
      <c r="J837" s="3" t="b">
        <f>H837 &lt;&gt; ""</f>
        <v>1</v>
      </c>
      <c r="K837" s="3">
        <f>COUNTIFS(FieldDisagreements!D2:D999, A837)</f>
        <v>0</v>
      </c>
      <c r="L837" s="3" t="b">
        <f>K837 &gt; 0</f>
        <v>0</v>
      </c>
      <c r="M837" s="2" t="s">
        <v>2387</v>
      </c>
    </row>
    <row r="838">
      <c r="A838" s="2" t="s">
        <v>3757</v>
      </c>
      <c r="B838" s="3" t="str">
        <f>C838 &amp; "." &amp; D838</f>
        <v>RequirementSatisfactions.BindingKey</v>
      </c>
      <c r="C838" s="2" t="s">
        <v>1810</v>
      </c>
      <c r="D838" s="2" t="s">
        <v>1473</v>
      </c>
      <c r="E838" s="2" t="s">
        <v>2478</v>
      </c>
      <c r="F838" s="2" t="s">
        <v>2386</v>
      </c>
      <c r="G838" s="2" t="s">
        <v>3758</v>
      </c>
      <c r="H838" s="2" t="s">
        <v>2260</v>
      </c>
      <c r="I838" s="3" t="b">
        <f>OR(E838 = "calculated", E838 = "lookup", E838 = "aggregation")</f>
        <v>1</v>
      </c>
      <c r="J838" s="3" t="b">
        <f>H838 &lt;&gt; ""</f>
        <v>1</v>
      </c>
      <c r="K838" s="3">
        <f>COUNTIFS(FieldDisagreements!D2:D999, A838)</f>
        <v>0</v>
      </c>
      <c r="L838" s="3" t="b">
        <f>K838 &gt; 0</f>
        <v>0</v>
      </c>
      <c r="M838" s="2" t="s">
        <v>2387</v>
      </c>
    </row>
    <row r="839">
      <c r="A839" s="2" t="s">
        <v>3759</v>
      </c>
      <c r="B839" s="3" t="str">
        <f>C839 &amp; "." &amp; D839</f>
        <v>RequirementSatisfactions.ScoredStepExecutorAgent</v>
      </c>
      <c r="C839" s="2" t="s">
        <v>1810</v>
      </c>
      <c r="D839" s="2" t="s">
        <v>1474</v>
      </c>
      <c r="E839" s="2" t="s">
        <v>2478</v>
      </c>
      <c r="F839" s="2" t="s">
        <v>2386</v>
      </c>
      <c r="G839" s="2" t="s">
        <v>3760</v>
      </c>
      <c r="H839" s="2" t="s">
        <v>2268</v>
      </c>
      <c r="I839" s="3" t="b">
        <f>OR(E839 = "calculated", E839 = "lookup", E839 = "aggregation")</f>
        <v>1</v>
      </c>
      <c r="J839" s="3" t="b">
        <f>H839 &lt;&gt; ""</f>
        <v>1</v>
      </c>
      <c r="K839" s="3">
        <f>COUNTIFS(FieldDisagreements!D2:D999, A839)</f>
        <v>0</v>
      </c>
      <c r="L839" s="3" t="b">
        <f>K839 &gt; 0</f>
        <v>0</v>
      </c>
      <c r="M839" s="2" t="s">
        <v>2387</v>
      </c>
    </row>
    <row r="840">
      <c r="A840" s="2" t="s">
        <v>3761</v>
      </c>
      <c r="B840" s="3" t="str">
        <f>C840 &amp; "." &amp; D840</f>
        <v>RequirementSatisfactions.EvaluatorIsStepExecutor</v>
      </c>
      <c r="C840" s="2" t="s">
        <v>1810</v>
      </c>
      <c r="D840" s="2" t="s">
        <v>1475</v>
      </c>
      <c r="E840" s="2" t="s">
        <v>2389</v>
      </c>
      <c r="F840" s="2" t="s">
        <v>2401</v>
      </c>
      <c r="G840" s="2" t="s">
        <v>3762</v>
      </c>
      <c r="H840" s="2" t="s">
        <v>2268</v>
      </c>
      <c r="I840" s="3" t="b">
        <f>OR(E840 = "calculated", E840 = "lookup", E840 = "aggregation")</f>
        <v>1</v>
      </c>
      <c r="J840" s="3" t="b">
        <f>H840 &lt;&gt; ""</f>
        <v>1</v>
      </c>
      <c r="K840" s="3">
        <f>COUNTIFS(FieldDisagreements!D2:D999, A840)</f>
        <v>0</v>
      </c>
      <c r="L840" s="3" t="b">
        <f>K840 &gt; 0</f>
        <v>0</v>
      </c>
      <c r="M840" s="2" t="s">
        <v>2387</v>
      </c>
    </row>
    <row r="841">
      <c r="A841" s="2" t="s">
        <v>3763</v>
      </c>
      <c r="B841" s="3" t="str">
        <f>C841 &amp; "." &amp; D841</f>
        <v>RequirementSatisfactions.RunOwnerAgent</v>
      </c>
      <c r="C841" s="2" t="s">
        <v>1810</v>
      </c>
      <c r="D841" s="2" t="s">
        <v>1476</v>
      </c>
      <c r="E841" s="2" t="s">
        <v>2478</v>
      </c>
      <c r="F841" s="2" t="s">
        <v>2386</v>
      </c>
      <c r="G841" s="2" t="s">
        <v>3764</v>
      </c>
      <c r="H841" s="2" t="s">
        <v>2268</v>
      </c>
      <c r="I841" s="3" t="b">
        <f>OR(E841 = "calculated", E841 = "lookup", E841 = "aggregation")</f>
        <v>1</v>
      </c>
      <c r="J841" s="3" t="b">
        <f>H841 &lt;&gt; ""</f>
        <v>1</v>
      </c>
      <c r="K841" s="3">
        <f>COUNTIFS(FieldDisagreements!D2:D999, A841)</f>
        <v>0</v>
      </c>
      <c r="L841" s="3" t="b">
        <f>K841 &gt; 0</f>
        <v>0</v>
      </c>
      <c r="M841" s="2" t="s">
        <v>2387</v>
      </c>
    </row>
    <row r="842">
      <c r="A842" s="2" t="s">
        <v>3765</v>
      </c>
      <c r="B842" s="3" t="str">
        <f>C842 &amp; "." &amp; D842</f>
        <v>RequirementSatisfactions.EvaluatorOwnsTheRun</v>
      </c>
      <c r="C842" s="2" t="s">
        <v>1810</v>
      </c>
      <c r="D842" s="2" t="s">
        <v>1477</v>
      </c>
      <c r="E842" s="2" t="s">
        <v>2389</v>
      </c>
      <c r="F842" s="2" t="s">
        <v>2401</v>
      </c>
      <c r="G842" s="2" t="s">
        <v>3766</v>
      </c>
      <c r="H842" s="2" t="s">
        <v>2268</v>
      </c>
      <c r="I842" s="3" t="b">
        <f>OR(E842 = "calculated", E842 = "lookup", E842 = "aggregation")</f>
        <v>1</v>
      </c>
      <c r="J842" s="3" t="b">
        <f>H842 &lt;&gt; ""</f>
        <v>1</v>
      </c>
      <c r="K842" s="3">
        <f>COUNTIFS(FieldDisagreements!D2:D999, A842)</f>
        <v>0</v>
      </c>
      <c r="L842" s="3" t="b">
        <f>K842 &gt; 0</f>
        <v>0</v>
      </c>
      <c r="M842" s="2" t="s">
        <v>2387</v>
      </c>
    </row>
    <row r="843">
      <c r="A843" s="2" t="s">
        <v>3767</v>
      </c>
      <c r="B843" s="3" t="str">
        <f>C843 &amp; "." &amp; D843</f>
        <v>RequirementSatisfactions.IsInterestedPartyAssertion</v>
      </c>
      <c r="C843" s="2" t="s">
        <v>1810</v>
      </c>
      <c r="D843" s="2" t="s">
        <v>1478</v>
      </c>
      <c r="E843" s="2" t="s">
        <v>2389</v>
      </c>
      <c r="F843" s="2" t="s">
        <v>2401</v>
      </c>
      <c r="G843" s="2" t="s">
        <v>3768</v>
      </c>
      <c r="H843" s="2" t="s">
        <v>2268</v>
      </c>
      <c r="I843" s="3" t="b">
        <f>OR(E843 = "calculated", E843 = "lookup", E843 = "aggregation")</f>
        <v>1</v>
      </c>
      <c r="J843" s="3" t="b">
        <f>H843 &lt;&gt; ""</f>
        <v>1</v>
      </c>
      <c r="K843" s="3">
        <f>COUNTIFS(FieldDisagreements!D2:D999, A843)</f>
        <v>0</v>
      </c>
      <c r="L843" s="3" t="b">
        <f>K843 &gt; 0</f>
        <v>0</v>
      </c>
      <c r="M843" s="2" t="s">
        <v>2387</v>
      </c>
    </row>
    <row r="844">
      <c r="A844" s="2" t="s">
        <v>3769</v>
      </c>
      <c r="B844" s="3" t="str">
        <f>C844 &amp; "." &amp; D844</f>
        <v>RequirementSatisfactions.HasWrittenEvidence</v>
      </c>
      <c r="C844" s="2" t="s">
        <v>1810</v>
      </c>
      <c r="D844" s="2" t="s">
        <v>1479</v>
      </c>
      <c r="E844" s="2" t="s">
        <v>2389</v>
      </c>
      <c r="F844" s="2" t="s">
        <v>2401</v>
      </c>
      <c r="G844" s="2" t="s">
        <v>3770</v>
      </c>
      <c r="H844" s="2" t="s">
        <v>2268</v>
      </c>
      <c r="I844" s="3" t="b">
        <f>OR(E844 = "calculated", E844 = "lookup", E844 = "aggregation")</f>
        <v>1</v>
      </c>
      <c r="J844" s="3" t="b">
        <f>H844 &lt;&gt; ""</f>
        <v>1</v>
      </c>
      <c r="K844" s="3">
        <f>COUNTIFS(FieldDisagreements!D2:D999, A844)</f>
        <v>0</v>
      </c>
      <c r="L844" s="3" t="b">
        <f>K844 &gt; 0</f>
        <v>0</v>
      </c>
      <c r="M844" s="2" t="s">
        <v>2387</v>
      </c>
    </row>
    <row r="845">
      <c r="A845" s="2" t="s">
        <v>3771</v>
      </c>
      <c r="B845" s="3" t="str">
        <f>C845 &amp; "." &amp; D845</f>
        <v>RequirementSatisfactions.IsBareAssertion</v>
      </c>
      <c r="C845" s="2" t="s">
        <v>1810</v>
      </c>
      <c r="D845" s="2" t="s">
        <v>1480</v>
      </c>
      <c r="E845" s="2" t="s">
        <v>2389</v>
      </c>
      <c r="F845" s="2" t="s">
        <v>2401</v>
      </c>
      <c r="G845" s="2" t="s">
        <v>3772</v>
      </c>
      <c r="H845" s="2" t="s">
        <v>2268</v>
      </c>
      <c r="I845" s="3" t="b">
        <f>OR(E845 = "calculated", E845 = "lookup", E845 = "aggregation")</f>
        <v>1</v>
      </c>
      <c r="J845" s="3" t="b">
        <f>H845 &lt;&gt; ""</f>
        <v>1</v>
      </c>
      <c r="K845" s="3">
        <f>COUNTIFS(FieldDisagreements!D2:D999, A845)</f>
        <v>0</v>
      </c>
      <c r="L845" s="3" t="b">
        <f>K845 &gt; 0</f>
        <v>0</v>
      </c>
      <c r="M845" s="2" t="s">
        <v>2387</v>
      </c>
    </row>
    <row r="846">
      <c r="A846" s="2" t="s">
        <v>3773</v>
      </c>
      <c r="B846" s="3" t="str">
        <f>C846 &amp; "." &amp; D846</f>
        <v>RequirementSatisfactions.InterestedAssertionExecutionKey</v>
      </c>
      <c r="C846" s="2" t="s">
        <v>1810</v>
      </c>
      <c r="D846" s="2" t="s">
        <v>1481</v>
      </c>
      <c r="E846" s="2" t="s">
        <v>2389</v>
      </c>
      <c r="F846" s="2" t="s">
        <v>2386</v>
      </c>
      <c r="G846" s="2" t="s">
        <v>3774</v>
      </c>
      <c r="H846" s="2" t="s">
        <v>2268</v>
      </c>
      <c r="I846" s="3" t="b">
        <f>OR(E846 = "calculated", E846 = "lookup", E846 = "aggregation")</f>
        <v>1</v>
      </c>
      <c r="J846" s="3" t="b">
        <f>H846 &lt;&gt; ""</f>
        <v>1</v>
      </c>
      <c r="K846" s="3">
        <f>COUNTIFS(FieldDisagreements!D2:D999, A846)</f>
        <v>0</v>
      </c>
      <c r="L846" s="3" t="b">
        <f>K846 &gt; 0</f>
        <v>0</v>
      </c>
      <c r="M846" s="2" t="s">
        <v>2387</v>
      </c>
    </row>
    <row r="847">
      <c r="A847" s="2" t="s">
        <v>3775</v>
      </c>
      <c r="B847" s="3" t="str">
        <f>C847 &amp; "." &amp; D847</f>
        <v>RequirementSatisfactions.IsComputedlyWitnessed</v>
      </c>
      <c r="C847" s="2" t="s">
        <v>1810</v>
      </c>
      <c r="D847" s="2" t="s">
        <v>1482</v>
      </c>
      <c r="E847" s="2" t="s">
        <v>2389</v>
      </c>
      <c r="F847" s="2" t="s">
        <v>2401</v>
      </c>
      <c r="G847" s="2" t="s">
        <v>3776</v>
      </c>
      <c r="H847" s="2" t="s">
        <v>2276</v>
      </c>
      <c r="I847" s="3" t="b">
        <f>OR(E847 = "calculated", E847 = "lookup", E847 = "aggregation")</f>
        <v>1</v>
      </c>
      <c r="J847" s="3" t="b">
        <f>H847 &lt;&gt; ""</f>
        <v>1</v>
      </c>
      <c r="K847" s="3">
        <f>COUNTIFS(FieldDisagreements!D2:D999, A847)</f>
        <v>0</v>
      </c>
      <c r="L847" s="3" t="b">
        <f>K847 &gt; 0</f>
        <v>0</v>
      </c>
      <c r="M847" s="2" t="s">
        <v>2387</v>
      </c>
    </row>
    <row r="848">
      <c r="A848" s="2" t="s">
        <v>3777</v>
      </c>
      <c r="B848" s="3" t="str">
        <f>C848 &amp; "." &amp; D848</f>
        <v>RequirementSatisfactions.ComputedWitnessExecutionKey</v>
      </c>
      <c r="C848" s="2" t="s">
        <v>1810</v>
      </c>
      <c r="D848" s="2" t="s">
        <v>1483</v>
      </c>
      <c r="E848" s="2" t="s">
        <v>2389</v>
      </c>
      <c r="F848" s="2" t="s">
        <v>2386</v>
      </c>
      <c r="G848" s="2" t="s">
        <v>3778</v>
      </c>
      <c r="H848" s="2" t="s">
        <v>2276</v>
      </c>
      <c r="I848" s="3" t="b">
        <f>OR(E848 = "calculated", E848 = "lookup", E848 = "aggregation")</f>
        <v>1</v>
      </c>
      <c r="J848" s="3" t="b">
        <f>H848 &lt;&gt; ""</f>
        <v>1</v>
      </c>
      <c r="K848" s="3">
        <f>COUNTIFS(FieldDisagreements!D2:D999, A848)</f>
        <v>0</v>
      </c>
      <c r="L848" s="3" t="b">
        <f>K848 &gt; 0</f>
        <v>0</v>
      </c>
      <c r="M848" s="2" t="s">
        <v>2387</v>
      </c>
    </row>
    <row r="849">
      <c r="A849" s="2" t="s">
        <v>3779</v>
      </c>
      <c r="B849" s="3" t="str">
        <f>C849 &amp; "." &amp; D849</f>
        <v>RequirementSatisfactions.StepExecutorAgent</v>
      </c>
      <c r="C849" s="2" t="s">
        <v>1810</v>
      </c>
      <c r="D849" s="2" t="s">
        <v>1484</v>
      </c>
      <c r="E849" s="2" t="s">
        <v>2478</v>
      </c>
      <c r="F849" s="2" t="s">
        <v>2386</v>
      </c>
      <c r="G849" s="2" t="s">
        <v>3760</v>
      </c>
      <c r="H849" s="2" t="s">
        <v>2276</v>
      </c>
      <c r="I849" s="3" t="b">
        <f>OR(E849 = "calculated", E849 = "lookup", E849 = "aggregation")</f>
        <v>1</v>
      </c>
      <c r="J849" s="3" t="b">
        <f>H849 &lt;&gt; ""</f>
        <v>1</v>
      </c>
      <c r="K849" s="3">
        <f>COUNTIFS(FieldDisagreements!D2:D999, A849)</f>
        <v>0</v>
      </c>
      <c r="L849" s="3" t="b">
        <f>K849 &gt; 0</f>
        <v>0</v>
      </c>
      <c r="M849" s="2" t="s">
        <v>2387</v>
      </c>
    </row>
    <row r="850">
      <c r="A850" s="2" t="s">
        <v>3780</v>
      </c>
      <c r="B850" s="3" t="str">
        <f>C850 &amp; "." &amp; D850</f>
        <v>RequirementSatisfactions.WasScoredAfterAttestation</v>
      </c>
      <c r="C850" s="2" t="s">
        <v>1810</v>
      </c>
      <c r="D850" s="2" t="s">
        <v>1485</v>
      </c>
      <c r="E850" s="2" t="s">
        <v>2389</v>
      </c>
      <c r="F850" s="2" t="s">
        <v>2401</v>
      </c>
      <c r="G850" s="2" t="s">
        <v>3781</v>
      </c>
      <c r="H850" s="2" t="s">
        <v>2292</v>
      </c>
      <c r="I850" s="3" t="b">
        <f>OR(E850 = "calculated", E850 = "lookup", E850 = "aggregation")</f>
        <v>1</v>
      </c>
      <c r="J850" s="3" t="b">
        <f>H850 &lt;&gt; ""</f>
        <v>1</v>
      </c>
      <c r="K850" s="3">
        <f>COUNTIFS(FieldDisagreements!D2:D999, A850)</f>
        <v>1</v>
      </c>
      <c r="L850" s="3" t="b">
        <f>K850 &gt; 0</f>
        <v>1</v>
      </c>
      <c r="M850" s="2" t="s">
        <v>2387</v>
      </c>
    </row>
    <row r="851">
      <c r="A851" s="2" t="s">
        <v>3782</v>
      </c>
      <c r="B851" s="3" t="str">
        <f>C851 &amp; "." &amp; D851</f>
        <v>RequirementSatisfactions.AttestationInstantForRun</v>
      </c>
      <c r="C851" s="2" t="s">
        <v>1810</v>
      </c>
      <c r="D851" s="2" t="s">
        <v>1486</v>
      </c>
      <c r="E851" s="2" t="s">
        <v>2478</v>
      </c>
      <c r="F851" s="2" t="s">
        <v>2397</v>
      </c>
      <c r="G851" s="2" t="s">
        <v>3783</v>
      </c>
      <c r="H851" s="2" t="s">
        <v>2292</v>
      </c>
      <c r="I851" s="3" t="b">
        <f>OR(E851 = "calculated", E851 = "lookup", E851 = "aggregation")</f>
        <v>1</v>
      </c>
      <c r="J851" s="3" t="b">
        <f>H851 &lt;&gt; ""</f>
        <v>1</v>
      </c>
      <c r="K851" s="3">
        <f>COUNTIFS(FieldDisagreements!D2:D999, A851)</f>
        <v>1</v>
      </c>
      <c r="L851" s="3" t="b">
        <f>K851 &gt; 0</f>
        <v>1</v>
      </c>
      <c r="M851" s="2" t="s">
        <v>2387</v>
      </c>
    </row>
    <row r="852">
      <c r="A852" s="2" t="s">
        <v>3784</v>
      </c>
      <c r="B852" s="3" t="str">
        <f>C852 &amp; "." &amp; D852</f>
        <v>RequirementSatisfactions.PostAttestationScoreExecutionKey</v>
      </c>
      <c r="C852" s="2" t="s">
        <v>1810</v>
      </c>
      <c r="D852" s="2" t="s">
        <v>1487</v>
      </c>
      <c r="E852" s="2" t="s">
        <v>2389</v>
      </c>
      <c r="F852" s="2" t="s">
        <v>2386</v>
      </c>
      <c r="G852" s="2" t="s">
        <v>3785</v>
      </c>
      <c r="H852" s="2" t="s">
        <v>2292</v>
      </c>
      <c r="I852" s="3" t="b">
        <f>OR(E852 = "calculated", E852 = "lookup", E852 = "aggregation")</f>
        <v>1</v>
      </c>
      <c r="J852" s="3" t="b">
        <f>H852 &lt;&gt; ""</f>
        <v>1</v>
      </c>
      <c r="K852" s="3">
        <f>COUNTIFS(FieldDisagreements!D2:D999, A852)</f>
        <v>1</v>
      </c>
      <c r="L852" s="3" t="b">
        <f>K852 &gt; 0</f>
        <v>1</v>
      </c>
      <c r="M852" s="2" t="s">
        <v>2387</v>
      </c>
    </row>
    <row r="853">
      <c r="A853" s="2" t="s">
        <v>3786</v>
      </c>
      <c r="B853" s="3" t="str">
        <f>C853 &amp; "." &amp; D853</f>
        <v>RequirementSatisfactions.SemanticTypeIri</v>
      </c>
      <c r="C853" s="2" t="s">
        <v>1810</v>
      </c>
      <c r="D853" s="2" t="s">
        <v>94</v>
      </c>
      <c r="E853" s="2" t="s">
        <v>2385</v>
      </c>
      <c r="F853" s="2" t="s">
        <v>2386</v>
      </c>
      <c r="G853" s="2"/>
      <c r="H853" s="2"/>
      <c r="I853" s="3" t="b">
        <f>OR(E853 = "calculated", E853 = "lookup", E853 = "aggregation")</f>
        <v>0</v>
      </c>
      <c r="J853" s="3" t="b">
        <f>H853 &lt;&gt; ""</f>
        <v>0</v>
      </c>
      <c r="K853" s="3">
        <f>COUNTIFS(FieldDisagreements!D2:D999, A853)</f>
        <v>0</v>
      </c>
      <c r="L853" s="3" t="b">
        <f>K853 &gt; 0</f>
        <v>0</v>
      </c>
      <c r="M853" s="2" t="s">
        <v>2387</v>
      </c>
    </row>
    <row r="854">
      <c r="A854" s="2" t="s">
        <v>3787</v>
      </c>
      <c r="B854" s="3" t="str">
        <f>C854 &amp; "." &amp; D854</f>
        <v>Errors.ErrorId</v>
      </c>
      <c r="C854" s="2" t="s">
        <v>1813</v>
      </c>
      <c r="D854" s="2" t="s">
        <v>1507</v>
      </c>
      <c r="E854" s="2" t="s">
        <v>2385</v>
      </c>
      <c r="F854" s="2" t="s">
        <v>2386</v>
      </c>
      <c r="G854" s="2"/>
      <c r="H854" s="2"/>
      <c r="I854" s="3" t="b">
        <f>OR(E854 = "calculated", E854 = "lookup", E854 = "aggregation")</f>
        <v>0</v>
      </c>
      <c r="J854" s="3" t="b">
        <f>H854 &lt;&gt; ""</f>
        <v>0</v>
      </c>
      <c r="K854" s="3">
        <f>COUNTIFS(FieldDisagreements!D2:D999, A854)</f>
        <v>0</v>
      </c>
      <c r="L854" s="3" t="b">
        <f>K854 &gt; 0</f>
        <v>0</v>
      </c>
      <c r="M854" s="2" t="s">
        <v>2387</v>
      </c>
    </row>
    <row r="855">
      <c r="A855" s="2" t="s">
        <v>3788</v>
      </c>
      <c r="B855" s="3" t="str">
        <f>C855 &amp; "." &amp; D855</f>
        <v>Errors.Name</v>
      </c>
      <c r="C855" s="2" t="s">
        <v>1813</v>
      </c>
      <c r="D855" s="2" t="s">
        <v>1</v>
      </c>
      <c r="E855" s="2" t="s">
        <v>2389</v>
      </c>
      <c r="F855" s="2" t="s">
        <v>2386</v>
      </c>
      <c r="G855" s="2" t="s">
        <v>3789</v>
      </c>
      <c r="H855" s="2"/>
      <c r="I855" s="3" t="b">
        <f>OR(E855 = "calculated", E855 = "lookup", E855 = "aggregation")</f>
        <v>1</v>
      </c>
      <c r="J855" s="3" t="b">
        <f>H855 &lt;&gt; ""</f>
        <v>0</v>
      </c>
      <c r="K855" s="3">
        <f>COUNTIFS(FieldDisagreements!D2:D999, A855)</f>
        <v>0</v>
      </c>
      <c r="L855" s="3" t="b">
        <f>K855 &gt; 0</f>
        <v>0</v>
      </c>
      <c r="M855" s="2" t="s">
        <v>2387</v>
      </c>
    </row>
    <row r="856">
      <c r="A856" s="2" t="s">
        <v>3790</v>
      </c>
      <c r="B856" s="3" t="str">
        <f>C856 &amp; "." &amp; D856</f>
        <v>Errors.Label</v>
      </c>
      <c r="C856" s="2" t="s">
        <v>1813</v>
      </c>
      <c r="D856" s="2" t="s">
        <v>19</v>
      </c>
      <c r="E856" s="2" t="s">
        <v>2385</v>
      </c>
      <c r="F856" s="2" t="s">
        <v>2386</v>
      </c>
      <c r="G856" s="2"/>
      <c r="H856" s="2"/>
      <c r="I856" s="3" t="b">
        <f>OR(E856 = "calculated", E856 = "lookup", E856 = "aggregation")</f>
        <v>0</v>
      </c>
      <c r="J856" s="3" t="b">
        <f>H856 &lt;&gt; ""</f>
        <v>0</v>
      </c>
      <c r="K856" s="3">
        <f>COUNTIFS(FieldDisagreements!D2:D999, A856)</f>
        <v>0</v>
      </c>
      <c r="L856" s="3" t="b">
        <f>K856 &gt; 0</f>
        <v>0</v>
      </c>
      <c r="M856" s="2" t="s">
        <v>2387</v>
      </c>
    </row>
    <row r="857">
      <c r="A857" s="2" t="s">
        <v>3791</v>
      </c>
      <c r="B857" s="3" t="str">
        <f>C857 &amp; "." &amp; D857</f>
        <v>Errors.ErrorCode</v>
      </c>
      <c r="C857" s="2" t="s">
        <v>1813</v>
      </c>
      <c r="D857" s="2" t="s">
        <v>1508</v>
      </c>
      <c r="E857" s="2" t="s">
        <v>2385</v>
      </c>
      <c r="F857" s="2" t="s">
        <v>2386</v>
      </c>
      <c r="G857" s="2"/>
      <c r="H857" s="2"/>
      <c r="I857" s="3" t="b">
        <f>OR(E857 = "calculated", E857 = "lookup", E857 = "aggregation")</f>
        <v>0</v>
      </c>
      <c r="J857" s="3" t="b">
        <f>H857 &lt;&gt; ""</f>
        <v>0</v>
      </c>
      <c r="K857" s="3">
        <f>COUNTIFS(FieldDisagreements!D2:D999, A857)</f>
        <v>0</v>
      </c>
      <c r="L857" s="3" t="b">
        <f>K857 &gt; 0</f>
        <v>0</v>
      </c>
      <c r="M857" s="2" t="s">
        <v>2387</v>
      </c>
    </row>
    <row r="858">
      <c r="A858" s="2" t="s">
        <v>3792</v>
      </c>
      <c r="B858" s="3" t="str">
        <f>C858 &amp; "." &amp; D858</f>
        <v>Errors.ErrorCause</v>
      </c>
      <c r="C858" s="2" t="s">
        <v>1813</v>
      </c>
      <c r="D858" s="2" t="s">
        <v>1509</v>
      </c>
      <c r="E858" s="2" t="s">
        <v>2385</v>
      </c>
      <c r="F858" s="2" t="s">
        <v>2386</v>
      </c>
      <c r="G858" s="2"/>
      <c r="H858" s="2"/>
      <c r="I858" s="3" t="b">
        <f>OR(E858 = "calculated", E858 = "lookup", E858 = "aggregation")</f>
        <v>0</v>
      </c>
      <c r="J858" s="3" t="b">
        <f>H858 &lt;&gt; ""</f>
        <v>0</v>
      </c>
      <c r="K858" s="3">
        <f>COUNTIFS(FieldDisagreements!D2:D999, A858)</f>
        <v>0</v>
      </c>
      <c r="L858" s="3" t="b">
        <f>K858 &gt; 0</f>
        <v>0</v>
      </c>
      <c r="M858" s="2" t="s">
        <v>2387</v>
      </c>
    </row>
    <row r="859">
      <c r="A859" s="2" t="s">
        <v>3793</v>
      </c>
      <c r="B859" s="3" t="str">
        <f>C859 &amp; "." &amp; D859</f>
        <v>Errors.SemanticTypeIri</v>
      </c>
      <c r="C859" s="2" t="s">
        <v>1813</v>
      </c>
      <c r="D859" s="2" t="s">
        <v>94</v>
      </c>
      <c r="E859" s="2" t="s">
        <v>2385</v>
      </c>
      <c r="F859" s="2" t="s">
        <v>2386</v>
      </c>
      <c r="G859" s="2"/>
      <c r="H859" s="2"/>
      <c r="I859" s="3" t="b">
        <f>OR(E859 = "calculated", E859 = "lookup", E859 = "aggregation")</f>
        <v>0</v>
      </c>
      <c r="J859" s="3" t="b">
        <f>H859 &lt;&gt; ""</f>
        <v>0</v>
      </c>
      <c r="K859" s="3">
        <f>COUNTIFS(FieldDisagreements!D2:D999, A859)</f>
        <v>0</v>
      </c>
      <c r="L859" s="3" t="b">
        <f>K859 &gt; 0</f>
        <v>0</v>
      </c>
      <c r="M859" s="2" t="s">
        <v>2387</v>
      </c>
    </row>
    <row r="860">
      <c r="A860" s="2" t="s">
        <v>3794</v>
      </c>
      <c r="B860" s="3" t="str">
        <f>C860 &amp; "." &amp; D860</f>
        <v>IssueOccurrences.IssueOccurrenceId</v>
      </c>
      <c r="C860" s="2" t="s">
        <v>1816</v>
      </c>
      <c r="D860" s="2" t="s">
        <v>1519</v>
      </c>
      <c r="E860" s="2" t="s">
        <v>2385</v>
      </c>
      <c r="F860" s="2" t="s">
        <v>2386</v>
      </c>
      <c r="G860" s="2"/>
      <c r="H860" s="2"/>
      <c r="I860" s="3" t="b">
        <f>OR(E860 = "calculated", E860 = "lookup", E860 = "aggregation")</f>
        <v>0</v>
      </c>
      <c r="J860" s="3" t="b">
        <f>H860 &lt;&gt; ""</f>
        <v>0</v>
      </c>
      <c r="K860" s="3">
        <f>COUNTIFS(FieldDisagreements!D2:D999, A860)</f>
        <v>0</v>
      </c>
      <c r="L860" s="3" t="b">
        <f>K860 &gt; 0</f>
        <v>0</v>
      </c>
      <c r="M860" s="2" t="s">
        <v>2387</v>
      </c>
    </row>
    <row r="861">
      <c r="A861" s="2" t="s">
        <v>3795</v>
      </c>
      <c r="B861" s="3" t="str">
        <f>C861 &amp; "." &amp; D861</f>
        <v>IssueOccurrences.Name</v>
      </c>
      <c r="C861" s="2" t="s">
        <v>1816</v>
      </c>
      <c r="D861" s="2" t="s">
        <v>1</v>
      </c>
      <c r="E861" s="2" t="s">
        <v>2389</v>
      </c>
      <c r="F861" s="2" t="s">
        <v>2386</v>
      </c>
      <c r="G861" s="2" t="s">
        <v>3796</v>
      </c>
      <c r="H861" s="2"/>
      <c r="I861" s="3" t="b">
        <f>OR(E861 = "calculated", E861 = "lookup", E861 = "aggregation")</f>
        <v>1</v>
      </c>
      <c r="J861" s="3" t="b">
        <f>H861 &lt;&gt; ""</f>
        <v>0</v>
      </c>
      <c r="K861" s="3">
        <f>COUNTIFS(FieldDisagreements!D2:D999, A861)</f>
        <v>6</v>
      </c>
      <c r="L861" s="3" t="b">
        <f>K861 &gt; 0</f>
        <v>1</v>
      </c>
      <c r="M861" s="2" t="s">
        <v>2387</v>
      </c>
    </row>
    <row r="862">
      <c r="A862" s="2" t="s">
        <v>3797</v>
      </c>
      <c r="B862" s="3" t="str">
        <f>C862 &amp; "." &amp; D862</f>
        <v>IssueOccurrences.StepExecution</v>
      </c>
      <c r="C862" s="2" t="s">
        <v>1816</v>
      </c>
      <c r="D862" s="2" t="s">
        <v>1447</v>
      </c>
      <c r="E862" s="2" t="s">
        <v>2434</v>
      </c>
      <c r="F862" s="2" t="s">
        <v>2386</v>
      </c>
      <c r="G862" s="2"/>
      <c r="H862" s="2"/>
      <c r="I862" s="3" t="b">
        <f>OR(E862 = "calculated", E862 = "lookup", E862 = "aggregation")</f>
        <v>0</v>
      </c>
      <c r="J862" s="3" t="b">
        <f>H862 &lt;&gt; ""</f>
        <v>0</v>
      </c>
      <c r="K862" s="3">
        <f>COUNTIFS(FieldDisagreements!D2:D999, A862)</f>
        <v>0</v>
      </c>
      <c r="L862" s="3" t="b">
        <f>K862 &gt; 0</f>
        <v>0</v>
      </c>
      <c r="M862" s="2" t="s">
        <v>2387</v>
      </c>
    </row>
    <row r="863">
      <c r="A863" s="2" t="s">
        <v>3798</v>
      </c>
      <c r="B863" s="3" t="str">
        <f>C863 &amp; "." &amp; D863</f>
        <v>IssueOccurrences.Error</v>
      </c>
      <c r="C863" s="2" t="s">
        <v>1816</v>
      </c>
      <c r="D863" s="2" t="s">
        <v>1520</v>
      </c>
      <c r="E863" s="2" t="s">
        <v>2434</v>
      </c>
      <c r="F863" s="2" t="s">
        <v>2386</v>
      </c>
      <c r="G863" s="2"/>
      <c r="H863" s="2"/>
      <c r="I863" s="3" t="b">
        <f>OR(E863 = "calculated", E863 = "lookup", E863 = "aggregation")</f>
        <v>0</v>
      </c>
      <c r="J863" s="3" t="b">
        <f>H863 &lt;&gt; ""</f>
        <v>0</v>
      </c>
      <c r="K863" s="3">
        <f>COUNTIFS(FieldDisagreements!D2:D999, A863)</f>
        <v>0</v>
      </c>
      <c r="L863" s="3" t="b">
        <f>K863 &gt; 0</f>
        <v>0</v>
      </c>
      <c r="M863" s="2" t="s">
        <v>2387</v>
      </c>
    </row>
    <row r="864">
      <c r="A864" s="2" t="s">
        <v>3799</v>
      </c>
      <c r="B864" s="3" t="str">
        <f>C864 &amp; "." &amp; D864</f>
        <v>IssueOccurrences.EncounteredByAgent</v>
      </c>
      <c r="C864" s="2" t="s">
        <v>1816</v>
      </c>
      <c r="D864" s="2" t="s">
        <v>1521</v>
      </c>
      <c r="E864" s="2" t="s">
        <v>2434</v>
      </c>
      <c r="F864" s="2" t="s">
        <v>2386</v>
      </c>
      <c r="G864" s="2"/>
      <c r="H864" s="2"/>
      <c r="I864" s="3" t="b">
        <f>OR(E864 = "calculated", E864 = "lookup", E864 = "aggregation")</f>
        <v>0</v>
      </c>
      <c r="J864" s="3" t="b">
        <f>H864 &lt;&gt; ""</f>
        <v>0</v>
      </c>
      <c r="K864" s="3">
        <f>COUNTIFS(FieldDisagreements!D2:D999, A864)</f>
        <v>0</v>
      </c>
      <c r="L864" s="3" t="b">
        <f>K864 &gt; 0</f>
        <v>0</v>
      </c>
      <c r="M864" s="2" t="s">
        <v>2387</v>
      </c>
    </row>
    <row r="865">
      <c r="A865" s="2" t="s">
        <v>3800</v>
      </c>
      <c r="B865" s="3" t="str">
        <f>C865 &amp; "." &amp; D865</f>
        <v>IssueOccurrences.OccurredAt</v>
      </c>
      <c r="C865" s="2" t="s">
        <v>1816</v>
      </c>
      <c r="D865" s="2" t="s">
        <v>1522</v>
      </c>
      <c r="E865" s="2" t="s">
        <v>2385</v>
      </c>
      <c r="F865" s="2" t="s">
        <v>2397</v>
      </c>
      <c r="G865" s="2"/>
      <c r="H865" s="2"/>
      <c r="I865" s="3" t="b">
        <f>OR(E865 = "calculated", E865 = "lookup", E865 = "aggregation")</f>
        <v>0</v>
      </c>
      <c r="J865" s="3" t="b">
        <f>H865 &lt;&gt; ""</f>
        <v>0</v>
      </c>
      <c r="K865" s="3">
        <f>COUNTIFS(FieldDisagreements!D2:D999, A865)</f>
        <v>0</v>
      </c>
      <c r="L865" s="3" t="b">
        <f>K865 &gt; 0</f>
        <v>0</v>
      </c>
      <c r="M865" s="2" t="s">
        <v>2387</v>
      </c>
    </row>
    <row r="866">
      <c r="A866" s="2" t="s">
        <v>3801</v>
      </c>
      <c r="B866" s="3" t="str">
        <f>C866 &amp; "." &amp; D866</f>
        <v>IssueOccurrences.IssueCause</v>
      </c>
      <c r="C866" s="2" t="s">
        <v>1816</v>
      </c>
      <c r="D866" s="2" t="s">
        <v>1523</v>
      </c>
      <c r="E866" s="2" t="s">
        <v>2385</v>
      </c>
      <c r="F866" s="2" t="s">
        <v>2386</v>
      </c>
      <c r="G866" s="2"/>
      <c r="H866" s="2"/>
      <c r="I866" s="3" t="b">
        <f>OR(E866 = "calculated", E866 = "lookup", E866 = "aggregation")</f>
        <v>0</v>
      </c>
      <c r="J866" s="3" t="b">
        <f>H866 &lt;&gt; ""</f>
        <v>0</v>
      </c>
      <c r="K866" s="3">
        <f>COUNTIFS(FieldDisagreements!D2:D999, A866)</f>
        <v>0</v>
      </c>
      <c r="L866" s="3" t="b">
        <f>K866 &gt; 0</f>
        <v>0</v>
      </c>
      <c r="M866" s="2" t="s">
        <v>2387</v>
      </c>
    </row>
    <row r="867">
      <c r="A867" s="2" t="s">
        <v>3802</v>
      </c>
      <c r="B867" s="3" t="str">
        <f>C867 &amp; "." &amp; D867</f>
        <v>IssueOccurrences.IssueSolution</v>
      </c>
      <c r="C867" s="2" t="s">
        <v>1816</v>
      </c>
      <c r="D867" s="2" t="s">
        <v>1524</v>
      </c>
      <c r="E867" s="2" t="s">
        <v>2385</v>
      </c>
      <c r="F867" s="2" t="s">
        <v>2386</v>
      </c>
      <c r="G867" s="2"/>
      <c r="H867" s="2"/>
      <c r="I867" s="3" t="b">
        <f>OR(E867 = "calculated", E867 = "lookup", E867 = "aggregation")</f>
        <v>0</v>
      </c>
      <c r="J867" s="3" t="b">
        <f>H867 &lt;&gt; ""</f>
        <v>0</v>
      </c>
      <c r="K867" s="3">
        <f>COUNTIFS(FieldDisagreements!D2:D999, A867)</f>
        <v>0</v>
      </c>
      <c r="L867" s="3" t="b">
        <f>K867 &gt; 0</f>
        <v>0</v>
      </c>
      <c r="M867" s="2" t="s">
        <v>2387</v>
      </c>
    </row>
    <row r="868">
      <c r="A868" s="2" t="s">
        <v>3803</v>
      </c>
      <c r="B868" s="3" t="str">
        <f>C868 &amp; "." &amp; D868</f>
        <v>IssueOccurrences.Status</v>
      </c>
      <c r="C868" s="2" t="s">
        <v>1816</v>
      </c>
      <c r="D868" s="2" t="s">
        <v>8</v>
      </c>
      <c r="E868" s="2" t="s">
        <v>2385</v>
      </c>
      <c r="F868" s="2" t="s">
        <v>2386</v>
      </c>
      <c r="G868" s="2"/>
      <c r="H868" s="2"/>
      <c r="I868" s="3" t="b">
        <f>OR(E868 = "calculated", E868 = "lookup", E868 = "aggregation")</f>
        <v>0</v>
      </c>
      <c r="J868" s="3" t="b">
        <f>H868 &lt;&gt; ""</f>
        <v>0</v>
      </c>
      <c r="K868" s="3">
        <f>COUNTIFS(FieldDisagreements!D2:D999, A868)</f>
        <v>0</v>
      </c>
      <c r="L868" s="3" t="b">
        <f>K868 &gt; 0</f>
        <v>0</v>
      </c>
      <c r="M868" s="2" t="s">
        <v>2387</v>
      </c>
    </row>
    <row r="869">
      <c r="A869" s="2" t="s">
        <v>3804</v>
      </c>
      <c r="B869" s="3" t="str">
        <f>C869 &amp; "." &amp; D869</f>
        <v>IssueOccurrences.IsUnresolved</v>
      </c>
      <c r="C869" s="2" t="s">
        <v>1816</v>
      </c>
      <c r="D869" s="2" t="s">
        <v>1525</v>
      </c>
      <c r="E869" s="2" t="s">
        <v>2389</v>
      </c>
      <c r="F869" s="2" t="s">
        <v>2401</v>
      </c>
      <c r="G869" s="2" t="s">
        <v>3805</v>
      </c>
      <c r="H869" s="2" t="s">
        <v>2104</v>
      </c>
      <c r="I869" s="3" t="b">
        <f>OR(E869 = "calculated", E869 = "lookup", E869 = "aggregation")</f>
        <v>1</v>
      </c>
      <c r="J869" s="3" t="b">
        <f>H869 &lt;&gt; ""</f>
        <v>1</v>
      </c>
      <c r="K869" s="3">
        <f>COUNTIFS(FieldDisagreements!D2:D999, A869)</f>
        <v>0</v>
      </c>
      <c r="L869" s="3" t="b">
        <f>K869 &gt; 0</f>
        <v>0</v>
      </c>
      <c r="M869" s="2" t="s">
        <v>2387</v>
      </c>
    </row>
    <row r="870">
      <c r="A870" s="2" t="s">
        <v>3806</v>
      </c>
      <c r="B870" s="3" t="str">
        <f>C870 &amp; "." &amp; D870</f>
        <v>IssueOccurrences.StepExecutionWhenUnresolved</v>
      </c>
      <c r="C870" s="2" t="s">
        <v>1816</v>
      </c>
      <c r="D870" s="2" t="s">
        <v>1526</v>
      </c>
      <c r="E870" s="2" t="s">
        <v>2389</v>
      </c>
      <c r="F870" s="2" t="s">
        <v>2386</v>
      </c>
      <c r="G870" s="2" t="s">
        <v>3807</v>
      </c>
      <c r="H870" s="2" t="s">
        <v>2104</v>
      </c>
      <c r="I870" s="3" t="b">
        <f>OR(E870 = "calculated", E870 = "lookup", E870 = "aggregation")</f>
        <v>1</v>
      </c>
      <c r="J870" s="3" t="b">
        <f>H870 &lt;&gt; ""</f>
        <v>1</v>
      </c>
      <c r="K870" s="3">
        <f>COUNTIFS(FieldDisagreements!D2:D999, A870)</f>
        <v>0</v>
      </c>
      <c r="L870" s="3" t="b">
        <f>K870 &gt; 0</f>
        <v>0</v>
      </c>
      <c r="M870" s="2" t="s">
        <v>2387</v>
      </c>
    </row>
    <row r="871">
      <c r="A871" s="2" t="s">
        <v>3808</v>
      </c>
      <c r="B871" s="3" t="str">
        <f>C871 &amp; "." &amp; D871</f>
        <v>IssueOccurrences.SemanticTypeIri</v>
      </c>
      <c r="C871" s="2" t="s">
        <v>1816</v>
      </c>
      <c r="D871" s="2" t="s">
        <v>94</v>
      </c>
      <c r="E871" s="2" t="s">
        <v>2385</v>
      </c>
      <c r="F871" s="2" t="s">
        <v>2386</v>
      </c>
      <c r="G871" s="2"/>
      <c r="H871" s="2"/>
      <c r="I871" s="3" t="b">
        <f>OR(E871 = "calculated", E871 = "lookup", E871 = "aggregation")</f>
        <v>0</v>
      </c>
      <c r="J871" s="3" t="b">
        <f>H871 &lt;&gt; ""</f>
        <v>0</v>
      </c>
      <c r="K871" s="3">
        <f>COUNTIFS(FieldDisagreements!D2:D999, A871)</f>
        <v>0</v>
      </c>
      <c r="L871" s="3" t="b">
        <f>K871 &gt; 0</f>
        <v>0</v>
      </c>
      <c r="M871" s="2" t="s">
        <v>2387</v>
      </c>
    </row>
    <row r="872">
      <c r="A872" s="2" t="s">
        <v>3809</v>
      </c>
      <c r="B872" s="3" t="str">
        <f>C872 &amp; "." &amp; D872</f>
        <v>UserQuestions.UserQuestionId</v>
      </c>
      <c r="C872" s="2" t="s">
        <v>1819</v>
      </c>
      <c r="D872" s="2" t="s">
        <v>1535</v>
      </c>
      <c r="E872" s="2" t="s">
        <v>2385</v>
      </c>
      <c r="F872" s="2" t="s">
        <v>2386</v>
      </c>
      <c r="G872" s="2"/>
      <c r="H872" s="2"/>
      <c r="I872" s="3" t="b">
        <f>OR(E872 = "calculated", E872 = "lookup", E872 = "aggregation")</f>
        <v>0</v>
      </c>
      <c r="J872" s="3" t="b">
        <f>H872 &lt;&gt; ""</f>
        <v>0</v>
      </c>
      <c r="K872" s="3">
        <f>COUNTIFS(FieldDisagreements!D2:D999, A872)</f>
        <v>0</v>
      </c>
      <c r="L872" s="3" t="b">
        <f>K872 &gt; 0</f>
        <v>0</v>
      </c>
      <c r="M872" s="2" t="s">
        <v>2387</v>
      </c>
    </row>
    <row r="873">
      <c r="A873" s="2" t="s">
        <v>3810</v>
      </c>
      <c r="B873" s="3" t="str">
        <f>C873 &amp; "." &amp; D873</f>
        <v>UserQuestions.Name</v>
      </c>
      <c r="C873" s="2" t="s">
        <v>1819</v>
      </c>
      <c r="D873" s="2" t="s">
        <v>1</v>
      </c>
      <c r="E873" s="2" t="s">
        <v>2389</v>
      </c>
      <c r="F873" s="2" t="s">
        <v>2386</v>
      </c>
      <c r="G873" s="2" t="s">
        <v>3811</v>
      </c>
      <c r="H873" s="2"/>
      <c r="I873" s="3" t="b">
        <f>OR(E873 = "calculated", E873 = "lookup", E873 = "aggregation")</f>
        <v>1</v>
      </c>
      <c r="J873" s="3" t="b">
        <f>H873 &lt;&gt; ""</f>
        <v>0</v>
      </c>
      <c r="K873" s="3">
        <f>COUNTIFS(FieldDisagreements!D2:D999, A873)</f>
        <v>0</v>
      </c>
      <c r="L873" s="3" t="b">
        <f>K873 &gt; 0</f>
        <v>0</v>
      </c>
      <c r="M873" s="2" t="s">
        <v>2387</v>
      </c>
    </row>
    <row r="874">
      <c r="A874" s="2" t="s">
        <v>3812</v>
      </c>
      <c r="B874" s="3" t="str">
        <f>C874 &amp; "." &amp; D874</f>
        <v>UserQuestions.StepExecution</v>
      </c>
      <c r="C874" s="2" t="s">
        <v>1819</v>
      </c>
      <c r="D874" s="2" t="s">
        <v>1447</v>
      </c>
      <c r="E874" s="2" t="s">
        <v>2434</v>
      </c>
      <c r="F874" s="2" t="s">
        <v>2386</v>
      </c>
      <c r="G874" s="2"/>
      <c r="H874" s="2"/>
      <c r="I874" s="3" t="b">
        <f>OR(E874 = "calculated", E874 = "lookup", E874 = "aggregation")</f>
        <v>0</v>
      </c>
      <c r="J874" s="3" t="b">
        <f>H874 &lt;&gt; ""</f>
        <v>0</v>
      </c>
      <c r="K874" s="3">
        <f>COUNTIFS(FieldDisagreements!D2:D999, A874)</f>
        <v>0</v>
      </c>
      <c r="L874" s="3" t="b">
        <f>K874 &gt; 0</f>
        <v>0</v>
      </c>
      <c r="M874" s="2" t="s">
        <v>2387</v>
      </c>
    </row>
    <row r="875">
      <c r="A875" s="2" t="s">
        <v>3813</v>
      </c>
      <c r="B875" s="3" t="str">
        <f>C875 &amp; "." &amp; D875</f>
        <v>UserQuestions.AskedByAgent</v>
      </c>
      <c r="C875" s="2" t="s">
        <v>1819</v>
      </c>
      <c r="D875" s="2" t="s">
        <v>1536</v>
      </c>
      <c r="E875" s="2" t="s">
        <v>2434</v>
      </c>
      <c r="F875" s="2" t="s">
        <v>2386</v>
      </c>
      <c r="G875" s="2"/>
      <c r="H875" s="2"/>
      <c r="I875" s="3" t="b">
        <f>OR(E875 = "calculated", E875 = "lookup", E875 = "aggregation")</f>
        <v>0</v>
      </c>
      <c r="J875" s="3" t="b">
        <f>H875 &lt;&gt; ""</f>
        <v>0</v>
      </c>
      <c r="K875" s="3">
        <f>COUNTIFS(FieldDisagreements!D2:D999, A875)</f>
        <v>0</v>
      </c>
      <c r="L875" s="3" t="b">
        <f>K875 &gt; 0</f>
        <v>0</v>
      </c>
      <c r="M875" s="2" t="s">
        <v>2387</v>
      </c>
    </row>
    <row r="876">
      <c r="A876" s="2" t="s">
        <v>3814</v>
      </c>
      <c r="B876" s="3" t="str">
        <f>C876 &amp; "." &amp; D876</f>
        <v>UserQuestions.AskedAt</v>
      </c>
      <c r="C876" s="2" t="s">
        <v>1819</v>
      </c>
      <c r="D876" s="2" t="s">
        <v>1537</v>
      </c>
      <c r="E876" s="2" t="s">
        <v>2385</v>
      </c>
      <c r="F876" s="2" t="s">
        <v>2397</v>
      </c>
      <c r="G876" s="2"/>
      <c r="H876" s="2"/>
      <c r="I876" s="3" t="b">
        <f>OR(E876 = "calculated", E876 = "lookup", E876 = "aggregation")</f>
        <v>0</v>
      </c>
      <c r="J876" s="3" t="b">
        <f>H876 &lt;&gt; ""</f>
        <v>0</v>
      </c>
      <c r="K876" s="3">
        <f>COUNTIFS(FieldDisagreements!D2:D999, A876)</f>
        <v>0</v>
      </c>
      <c r="L876" s="3" t="b">
        <f>K876 &gt; 0</f>
        <v>0</v>
      </c>
      <c r="M876" s="2" t="s">
        <v>2387</v>
      </c>
    </row>
    <row r="877">
      <c r="A877" s="2" t="s">
        <v>3815</v>
      </c>
      <c r="B877" s="3" t="str">
        <f>C877 &amp; "." &amp; D877</f>
        <v>UserQuestions.QuestionText</v>
      </c>
      <c r="C877" s="2" t="s">
        <v>1819</v>
      </c>
      <c r="D877" s="2" t="s">
        <v>1538</v>
      </c>
      <c r="E877" s="2" t="s">
        <v>2385</v>
      </c>
      <c r="F877" s="2" t="s">
        <v>2386</v>
      </c>
      <c r="G877" s="2"/>
      <c r="H877" s="2"/>
      <c r="I877" s="3" t="b">
        <f>OR(E877 = "calculated", E877 = "lookup", E877 = "aggregation")</f>
        <v>0</v>
      </c>
      <c r="J877" s="3" t="b">
        <f>H877 &lt;&gt; ""</f>
        <v>0</v>
      </c>
      <c r="K877" s="3">
        <f>COUNTIFS(FieldDisagreements!D2:D999, A877)</f>
        <v>0</v>
      </c>
      <c r="L877" s="3" t="b">
        <f>K877 &gt; 0</f>
        <v>0</v>
      </c>
      <c r="M877" s="2" t="s">
        <v>2387</v>
      </c>
    </row>
    <row r="878">
      <c r="A878" s="2" t="s">
        <v>3816</v>
      </c>
      <c r="B878" s="3" t="str">
        <f>C878 &amp; "." &amp; D878</f>
        <v>UserQuestions.ResolvedByFaq</v>
      </c>
      <c r="C878" s="2" t="s">
        <v>1819</v>
      </c>
      <c r="D878" s="2" t="s">
        <v>1539</v>
      </c>
      <c r="E878" s="2" t="s">
        <v>2434</v>
      </c>
      <c r="F878" s="2" t="s">
        <v>2386</v>
      </c>
      <c r="G878" s="2"/>
      <c r="H878" s="2"/>
      <c r="I878" s="3" t="b">
        <f>OR(E878 = "calculated", E878 = "lookup", E878 = "aggregation")</f>
        <v>0</v>
      </c>
      <c r="J878" s="3" t="b">
        <f>H878 &lt;&gt; ""</f>
        <v>0</v>
      </c>
      <c r="K878" s="3">
        <f>COUNTIFS(FieldDisagreements!D2:D999, A878)</f>
        <v>0</v>
      </c>
      <c r="L878" s="3" t="b">
        <f>K878 &gt; 0</f>
        <v>0</v>
      </c>
      <c r="M878" s="2" t="s">
        <v>2387</v>
      </c>
    </row>
    <row r="879">
      <c r="A879" s="2" t="s">
        <v>3817</v>
      </c>
      <c r="B879" s="3" t="str">
        <f>C879 &amp; "." &amp; D879</f>
        <v>UserQuestions.AddressedByResource</v>
      </c>
      <c r="C879" s="2" t="s">
        <v>1819</v>
      </c>
      <c r="D879" s="2" t="s">
        <v>1540</v>
      </c>
      <c r="E879" s="2" t="s">
        <v>2434</v>
      </c>
      <c r="F879" s="2" t="s">
        <v>2386</v>
      </c>
      <c r="G879" s="2"/>
      <c r="H879" s="2"/>
      <c r="I879" s="3" t="b">
        <f>OR(E879 = "calculated", E879 = "lookup", E879 = "aggregation")</f>
        <v>0</v>
      </c>
      <c r="J879" s="3" t="b">
        <f>H879 &lt;&gt; ""</f>
        <v>0</v>
      </c>
      <c r="K879" s="3">
        <f>COUNTIFS(FieldDisagreements!D2:D999, A879)</f>
        <v>0</v>
      </c>
      <c r="L879" s="3" t="b">
        <f>K879 &gt; 0</f>
        <v>0</v>
      </c>
      <c r="M879" s="2" t="s">
        <v>2387</v>
      </c>
    </row>
    <row r="880">
      <c r="A880" s="2" t="s">
        <v>3818</v>
      </c>
      <c r="B880" s="3" t="str">
        <f>C880 &amp; "." &amp; D880</f>
        <v>UserQuestions.Status</v>
      </c>
      <c r="C880" s="2" t="s">
        <v>1819</v>
      </c>
      <c r="D880" s="2" t="s">
        <v>8</v>
      </c>
      <c r="E880" s="2" t="s">
        <v>2385</v>
      </c>
      <c r="F880" s="2" t="s">
        <v>2386</v>
      </c>
      <c r="G880" s="2"/>
      <c r="H880" s="2"/>
      <c r="I880" s="3" t="b">
        <f>OR(E880 = "calculated", E880 = "lookup", E880 = "aggregation")</f>
        <v>0</v>
      </c>
      <c r="J880" s="3" t="b">
        <f>H880 &lt;&gt; ""</f>
        <v>0</v>
      </c>
      <c r="K880" s="3">
        <f>COUNTIFS(FieldDisagreements!D2:D999, A880)</f>
        <v>0</v>
      </c>
      <c r="L880" s="3" t="b">
        <f>K880 &gt; 0</f>
        <v>0</v>
      </c>
      <c r="M880" s="2" t="s">
        <v>2387</v>
      </c>
    </row>
    <row r="881">
      <c r="A881" s="2" t="s">
        <v>3819</v>
      </c>
      <c r="B881" s="3" t="str">
        <f>C881 &amp; "." &amp; D881</f>
        <v>UserQuestions.SemanticTypeIri</v>
      </c>
      <c r="C881" s="2" t="s">
        <v>1819</v>
      </c>
      <c r="D881" s="2" t="s">
        <v>94</v>
      </c>
      <c r="E881" s="2" t="s">
        <v>2385</v>
      </c>
      <c r="F881" s="2" t="s">
        <v>2386</v>
      </c>
      <c r="G881" s="2"/>
      <c r="H881" s="2"/>
      <c r="I881" s="3" t="b">
        <f>OR(E881 = "calculated", E881 = "lookup", E881 = "aggregation")</f>
        <v>0</v>
      </c>
      <c r="J881" s="3" t="b">
        <f>H881 &lt;&gt; ""</f>
        <v>0</v>
      </c>
      <c r="K881" s="3">
        <f>COUNTIFS(FieldDisagreements!D2:D999, A881)</f>
        <v>0</v>
      </c>
      <c r="L881" s="3" t="b">
        <f>K881 &gt; 0</f>
        <v>0</v>
      </c>
      <c r="M881" s="2" t="s">
        <v>2387</v>
      </c>
    </row>
    <row r="882">
      <c r="A882" s="2" t="s">
        <v>3820</v>
      </c>
      <c r="B882" s="3" t="str">
        <f>C882 &amp; "." &amp; D882</f>
        <v>UserFeedback.UserFeedbackId</v>
      </c>
      <c r="C882" s="2" t="s">
        <v>1822</v>
      </c>
      <c r="D882" s="2" t="s">
        <v>1547</v>
      </c>
      <c r="E882" s="2" t="s">
        <v>2385</v>
      </c>
      <c r="F882" s="2" t="s">
        <v>2386</v>
      </c>
      <c r="G882" s="2"/>
      <c r="H882" s="2"/>
      <c r="I882" s="3" t="b">
        <f>OR(E882 = "calculated", E882 = "lookup", E882 = "aggregation")</f>
        <v>0</v>
      </c>
      <c r="J882" s="3" t="b">
        <f>H882 &lt;&gt; ""</f>
        <v>0</v>
      </c>
      <c r="K882" s="3">
        <f>COUNTIFS(FieldDisagreements!D2:D999, A882)</f>
        <v>0</v>
      </c>
      <c r="L882" s="3" t="b">
        <f>K882 &gt; 0</f>
        <v>0</v>
      </c>
      <c r="M882" s="2" t="s">
        <v>2387</v>
      </c>
    </row>
    <row r="883">
      <c r="A883" s="2" t="s">
        <v>3821</v>
      </c>
      <c r="B883" s="3" t="str">
        <f>C883 &amp; "." &amp; D883</f>
        <v>UserFeedback.Name</v>
      </c>
      <c r="C883" s="2" t="s">
        <v>1822</v>
      </c>
      <c r="D883" s="2" t="s">
        <v>1</v>
      </c>
      <c r="E883" s="2" t="s">
        <v>2389</v>
      </c>
      <c r="F883" s="2" t="s">
        <v>2386</v>
      </c>
      <c r="G883" s="2" t="s">
        <v>3822</v>
      </c>
      <c r="H883" s="2"/>
      <c r="I883" s="3" t="b">
        <f>OR(E883 = "calculated", E883 = "lookup", E883 = "aggregation")</f>
        <v>1</v>
      </c>
      <c r="J883" s="3" t="b">
        <f>H883 &lt;&gt; ""</f>
        <v>0</v>
      </c>
      <c r="K883" s="3">
        <f>COUNTIFS(FieldDisagreements!D2:D999, A883)</f>
        <v>0</v>
      </c>
      <c r="L883" s="3" t="b">
        <f>K883 &gt; 0</f>
        <v>0</v>
      </c>
      <c r="M883" s="2" t="s">
        <v>2387</v>
      </c>
    </row>
    <row r="884">
      <c r="A884" s="2" t="s">
        <v>3823</v>
      </c>
      <c r="B884" s="3" t="str">
        <f>C884 &amp; "." &amp; D884</f>
        <v>UserFeedback.ProcedureExecution</v>
      </c>
      <c r="C884" s="2" t="s">
        <v>1822</v>
      </c>
      <c r="D884" s="2" t="s">
        <v>1329</v>
      </c>
      <c r="E884" s="2" t="s">
        <v>2434</v>
      </c>
      <c r="F884" s="2" t="s">
        <v>2386</v>
      </c>
      <c r="G884" s="2"/>
      <c r="H884" s="2"/>
      <c r="I884" s="3" t="b">
        <f>OR(E884 = "calculated", E884 = "lookup", E884 = "aggregation")</f>
        <v>0</v>
      </c>
      <c r="J884" s="3" t="b">
        <f>H884 &lt;&gt; ""</f>
        <v>0</v>
      </c>
      <c r="K884" s="3">
        <f>COUNTIFS(FieldDisagreements!D2:D999, A884)</f>
        <v>0</v>
      </c>
      <c r="L884" s="3" t="b">
        <f>K884 &gt; 0</f>
        <v>0</v>
      </c>
      <c r="M884" s="2" t="s">
        <v>2387</v>
      </c>
    </row>
    <row r="885">
      <c r="A885" s="2" t="s">
        <v>3824</v>
      </c>
      <c r="B885" s="3" t="str">
        <f>C885 &amp; "." &amp; D885</f>
        <v>UserFeedback.ProvidedByAgent</v>
      </c>
      <c r="C885" s="2" t="s">
        <v>1822</v>
      </c>
      <c r="D885" s="2" t="s">
        <v>1548</v>
      </c>
      <c r="E885" s="2" t="s">
        <v>2434</v>
      </c>
      <c r="F885" s="2" t="s">
        <v>2386</v>
      </c>
      <c r="G885" s="2"/>
      <c r="H885" s="2"/>
      <c r="I885" s="3" t="b">
        <f>OR(E885 = "calculated", E885 = "lookup", E885 = "aggregation")</f>
        <v>0</v>
      </c>
      <c r="J885" s="3" t="b">
        <f>H885 &lt;&gt; ""</f>
        <v>0</v>
      </c>
      <c r="K885" s="3">
        <f>COUNTIFS(FieldDisagreements!D2:D999, A885)</f>
        <v>0</v>
      </c>
      <c r="L885" s="3" t="b">
        <f>K885 &gt; 0</f>
        <v>0</v>
      </c>
      <c r="M885" s="2" t="s">
        <v>2387</v>
      </c>
    </row>
    <row r="886">
      <c r="A886" s="2" t="s">
        <v>3825</v>
      </c>
      <c r="B886" s="3" t="str">
        <f>C886 &amp; "." &amp; D886</f>
        <v>UserFeedback.ProvidedAt</v>
      </c>
      <c r="C886" s="2" t="s">
        <v>1822</v>
      </c>
      <c r="D886" s="2" t="s">
        <v>1549</v>
      </c>
      <c r="E886" s="2" t="s">
        <v>2385</v>
      </c>
      <c r="F886" s="2" t="s">
        <v>2397</v>
      </c>
      <c r="G886" s="2"/>
      <c r="H886" s="2"/>
      <c r="I886" s="3" t="b">
        <f>OR(E886 = "calculated", E886 = "lookup", E886 = "aggregation")</f>
        <v>0</v>
      </c>
      <c r="J886" s="3" t="b">
        <f>H886 &lt;&gt; ""</f>
        <v>0</v>
      </c>
      <c r="K886" s="3">
        <f>COUNTIFS(FieldDisagreements!D2:D999, A886)</f>
        <v>0</v>
      </c>
      <c r="L886" s="3" t="b">
        <f>K886 &gt; 0</f>
        <v>0</v>
      </c>
      <c r="M886" s="2" t="s">
        <v>2387</v>
      </c>
    </row>
    <row r="887">
      <c r="A887" s="2" t="s">
        <v>3826</v>
      </c>
      <c r="B887" s="3" t="str">
        <f>C887 &amp; "." &amp; D887</f>
        <v>UserFeedback.FeedbackText</v>
      </c>
      <c r="C887" s="2" t="s">
        <v>1822</v>
      </c>
      <c r="D887" s="2" t="s">
        <v>1550</v>
      </c>
      <c r="E887" s="2" t="s">
        <v>2385</v>
      </c>
      <c r="F887" s="2" t="s">
        <v>2386</v>
      </c>
      <c r="G887" s="2"/>
      <c r="H887" s="2"/>
      <c r="I887" s="3" t="b">
        <f>OR(E887 = "calculated", E887 = "lookup", E887 = "aggregation")</f>
        <v>0</v>
      </c>
      <c r="J887" s="3" t="b">
        <f>H887 &lt;&gt; ""</f>
        <v>0</v>
      </c>
      <c r="K887" s="3">
        <f>COUNTIFS(FieldDisagreements!D2:D999, A887)</f>
        <v>0</v>
      </c>
      <c r="L887" s="3" t="b">
        <f>K887 &gt; 0</f>
        <v>0</v>
      </c>
      <c r="M887" s="2" t="s">
        <v>2387</v>
      </c>
    </row>
    <row r="888">
      <c r="A888" s="2" t="s">
        <v>3827</v>
      </c>
      <c r="B888" s="3" t="str">
        <f>C888 &amp; "." &amp; D888</f>
        <v>UserFeedback.Disposition</v>
      </c>
      <c r="C888" s="2" t="s">
        <v>1822</v>
      </c>
      <c r="D888" s="2" t="s">
        <v>1551</v>
      </c>
      <c r="E888" s="2" t="s">
        <v>2385</v>
      </c>
      <c r="F888" s="2" t="s">
        <v>2386</v>
      </c>
      <c r="G888" s="2"/>
      <c r="H888" s="2"/>
      <c r="I888" s="3" t="b">
        <f>OR(E888 = "calculated", E888 = "lookup", E888 = "aggregation")</f>
        <v>0</v>
      </c>
      <c r="J888" s="3" t="b">
        <f>H888 &lt;&gt; ""</f>
        <v>0</v>
      </c>
      <c r="K888" s="3">
        <f>COUNTIFS(FieldDisagreements!D2:D999, A888)</f>
        <v>0</v>
      </c>
      <c r="L888" s="3" t="b">
        <f>K888 &gt; 0</f>
        <v>0</v>
      </c>
      <c r="M888" s="2" t="s">
        <v>2387</v>
      </c>
    </row>
    <row r="889">
      <c r="A889" s="2" t="s">
        <v>3828</v>
      </c>
      <c r="B889" s="3" t="str">
        <f>C889 &amp; "." &amp; D889</f>
        <v>UserFeedback.ChangeRequestKey</v>
      </c>
      <c r="C889" s="2" t="s">
        <v>1822</v>
      </c>
      <c r="D889" s="2" t="s">
        <v>1552</v>
      </c>
      <c r="E889" s="2" t="s">
        <v>2385</v>
      </c>
      <c r="F889" s="2" t="s">
        <v>2386</v>
      </c>
      <c r="G889" s="2"/>
      <c r="H889" s="2"/>
      <c r="I889" s="3" t="b">
        <f>OR(E889 = "calculated", E889 = "lookup", E889 = "aggregation")</f>
        <v>0</v>
      </c>
      <c r="J889" s="3" t="b">
        <f>H889 &lt;&gt; ""</f>
        <v>0</v>
      </c>
      <c r="K889" s="3">
        <f>COUNTIFS(FieldDisagreements!D2:D999, A889)</f>
        <v>0</v>
      </c>
      <c r="L889" s="3" t="b">
        <f>K889 &gt; 0</f>
        <v>0</v>
      </c>
      <c r="M889" s="2" t="s">
        <v>2387</v>
      </c>
    </row>
    <row r="890">
      <c r="A890" s="2" t="s">
        <v>3829</v>
      </c>
      <c r="B890" s="3" t="str">
        <f>C890 &amp; "." &amp; D890</f>
        <v>UserFeedback.SemanticTypeIri</v>
      </c>
      <c r="C890" s="2" t="s">
        <v>1822</v>
      </c>
      <c r="D890" s="2" t="s">
        <v>94</v>
      </c>
      <c r="E890" s="2" t="s">
        <v>2385</v>
      </c>
      <c r="F890" s="2" t="s">
        <v>2386</v>
      </c>
      <c r="G890" s="2"/>
      <c r="H890" s="2"/>
      <c r="I890" s="3" t="b">
        <f>OR(E890 = "calculated", E890 = "lookup", E890 = "aggregation")</f>
        <v>0</v>
      </c>
      <c r="J890" s="3" t="b">
        <f>H890 &lt;&gt; ""</f>
        <v>0</v>
      </c>
      <c r="K890" s="3">
        <f>COUNTIFS(FieldDisagreements!D2:D999, A890)</f>
        <v>0</v>
      </c>
      <c r="L890" s="3" t="b">
        <f>K890 &gt; 0</f>
        <v>0</v>
      </c>
      <c r="M890" s="2" t="s">
        <v>2387</v>
      </c>
    </row>
    <row r="891">
      <c r="A891" s="2" t="s">
        <v>3830</v>
      </c>
      <c r="B891" s="3" t="str">
        <f>C891 &amp; "." &amp; D891</f>
        <v>StewardshipAssignments.StewardshipAssignmentId</v>
      </c>
      <c r="C891" s="2" t="s">
        <v>1839</v>
      </c>
      <c r="D891" s="2" t="s">
        <v>1562</v>
      </c>
      <c r="E891" s="2" t="s">
        <v>2385</v>
      </c>
      <c r="F891" s="2" t="s">
        <v>2386</v>
      </c>
      <c r="G891" s="2"/>
      <c r="H891" s="2"/>
      <c r="I891" s="3" t="b">
        <f>OR(E891 = "calculated", E891 = "lookup", E891 = "aggregation")</f>
        <v>0</v>
      </c>
      <c r="J891" s="3" t="b">
        <f>H891 &lt;&gt; ""</f>
        <v>0</v>
      </c>
      <c r="K891" s="3">
        <f>COUNTIFS(FieldDisagreements!D2:D999, A891)</f>
        <v>0</v>
      </c>
      <c r="L891" s="3" t="b">
        <f>K891 &gt; 0</f>
        <v>0</v>
      </c>
      <c r="M891" s="2" t="s">
        <v>2387</v>
      </c>
    </row>
    <row r="892">
      <c r="A892" s="2" t="s">
        <v>3831</v>
      </c>
      <c r="B892" s="3" t="str">
        <f>C892 &amp; "." &amp; D892</f>
        <v>StewardshipAssignments.Name</v>
      </c>
      <c r="C892" s="2" t="s">
        <v>1839</v>
      </c>
      <c r="D892" s="2" t="s">
        <v>1</v>
      </c>
      <c r="E892" s="2" t="s">
        <v>2389</v>
      </c>
      <c r="F892" s="2" t="s">
        <v>2386</v>
      </c>
      <c r="G892" s="2" t="s">
        <v>3832</v>
      </c>
      <c r="H892" s="2"/>
      <c r="I892" s="3" t="b">
        <f>OR(E892 = "calculated", E892 = "lookup", E892 = "aggregation")</f>
        <v>1</v>
      </c>
      <c r="J892" s="3" t="b">
        <f>H892 &lt;&gt; ""</f>
        <v>0</v>
      </c>
      <c r="K892" s="3">
        <f>COUNTIFS(FieldDisagreements!D2:D999, A892)</f>
        <v>0</v>
      </c>
      <c r="L892" s="3" t="b">
        <f>K892 &gt; 0</f>
        <v>0</v>
      </c>
      <c r="M892" s="2" t="s">
        <v>2387</v>
      </c>
    </row>
    <row r="893">
      <c r="A893" s="2" t="s">
        <v>3833</v>
      </c>
      <c r="B893" s="3" t="str">
        <f>C893 &amp; "." &amp; D893</f>
        <v>StewardshipAssignments.ProcedureVersion</v>
      </c>
      <c r="C893" s="2" t="s">
        <v>1839</v>
      </c>
      <c r="D893" s="2" t="s">
        <v>477</v>
      </c>
      <c r="E893" s="2" t="s">
        <v>2434</v>
      </c>
      <c r="F893" s="2" t="s">
        <v>2386</v>
      </c>
      <c r="G893" s="2"/>
      <c r="H893" s="2"/>
      <c r="I893" s="3" t="b">
        <f>OR(E893 = "calculated", E893 = "lookup", E893 = "aggregation")</f>
        <v>0</v>
      </c>
      <c r="J893" s="3" t="b">
        <f>H893 &lt;&gt; ""</f>
        <v>0</v>
      </c>
      <c r="K893" s="3">
        <f>COUNTIFS(FieldDisagreements!D2:D999, A893)</f>
        <v>0</v>
      </c>
      <c r="L893" s="3" t="b">
        <f>K893 &gt; 0</f>
        <v>0</v>
      </c>
      <c r="M893" s="2" t="s">
        <v>2387</v>
      </c>
    </row>
    <row r="894">
      <c r="A894" s="2" t="s">
        <v>3834</v>
      </c>
      <c r="B894" s="3" t="str">
        <f>C894 &amp; "." &amp; D894</f>
        <v>StewardshipAssignments.StewardRole</v>
      </c>
      <c r="C894" s="2" t="s">
        <v>1839</v>
      </c>
      <c r="D894" s="2" t="s">
        <v>326</v>
      </c>
      <c r="E894" s="2" t="s">
        <v>2434</v>
      </c>
      <c r="F894" s="2" t="s">
        <v>2386</v>
      </c>
      <c r="G894" s="2"/>
      <c r="H894" s="2"/>
      <c r="I894" s="3" t="b">
        <f>OR(E894 = "calculated", E894 = "lookup", E894 = "aggregation")</f>
        <v>0</v>
      </c>
      <c r="J894" s="3" t="b">
        <f>H894 &lt;&gt; ""</f>
        <v>0</v>
      </c>
      <c r="K894" s="3">
        <f>COUNTIFS(FieldDisagreements!D2:D999, A894)</f>
        <v>0</v>
      </c>
      <c r="L894" s="3" t="b">
        <f>K894 &gt; 0</f>
        <v>0</v>
      </c>
      <c r="M894" s="2" t="s">
        <v>2387</v>
      </c>
    </row>
    <row r="895">
      <c r="A895" s="2" t="s">
        <v>3835</v>
      </c>
      <c r="B895" s="3" t="str">
        <f>C895 &amp; "." &amp; D895</f>
        <v>StewardshipAssignments.AuthorityRole</v>
      </c>
      <c r="C895" s="2" t="s">
        <v>1839</v>
      </c>
      <c r="D895" s="2" t="s">
        <v>966</v>
      </c>
      <c r="E895" s="2" t="s">
        <v>2434</v>
      </c>
      <c r="F895" s="2" t="s">
        <v>2386</v>
      </c>
      <c r="G895" s="2"/>
      <c r="H895" s="2"/>
      <c r="I895" s="3" t="b">
        <f>OR(E895 = "calculated", E895 = "lookup", E895 = "aggregation")</f>
        <v>0</v>
      </c>
      <c r="J895" s="3" t="b">
        <f>H895 &lt;&gt; ""</f>
        <v>0</v>
      </c>
      <c r="K895" s="3">
        <f>COUNTIFS(FieldDisagreements!D2:D999, A895)</f>
        <v>0</v>
      </c>
      <c r="L895" s="3" t="b">
        <f>K895 &gt; 0</f>
        <v>0</v>
      </c>
      <c r="M895" s="2" t="s">
        <v>2387</v>
      </c>
    </row>
    <row r="896">
      <c r="A896" s="2" t="s">
        <v>3836</v>
      </c>
      <c r="B896" s="3" t="str">
        <f>C896 &amp; "." &amp; D896</f>
        <v>StewardshipAssignments.ValidFrom</v>
      </c>
      <c r="C896" s="2" t="s">
        <v>1839</v>
      </c>
      <c r="D896" s="2" t="s">
        <v>255</v>
      </c>
      <c r="E896" s="2" t="s">
        <v>2385</v>
      </c>
      <c r="F896" s="2" t="s">
        <v>2397</v>
      </c>
      <c r="G896" s="2"/>
      <c r="H896" s="2"/>
      <c r="I896" s="3" t="b">
        <f>OR(E896 = "calculated", E896 = "lookup", E896 = "aggregation")</f>
        <v>0</v>
      </c>
      <c r="J896" s="3" t="b">
        <f>H896 &lt;&gt; ""</f>
        <v>0</v>
      </c>
      <c r="K896" s="3">
        <f>COUNTIFS(FieldDisagreements!D2:D999, A896)</f>
        <v>0</v>
      </c>
      <c r="L896" s="3" t="b">
        <f>K896 &gt; 0</f>
        <v>0</v>
      </c>
      <c r="M896" s="2" t="s">
        <v>2387</v>
      </c>
    </row>
    <row r="897">
      <c r="A897" s="2" t="s">
        <v>3837</v>
      </c>
      <c r="B897" s="3" t="str">
        <f>C897 &amp; "." &amp; D897</f>
        <v>StewardshipAssignments.ValidTo</v>
      </c>
      <c r="C897" s="2" t="s">
        <v>1839</v>
      </c>
      <c r="D897" s="2" t="s">
        <v>256</v>
      </c>
      <c r="E897" s="2" t="s">
        <v>2385</v>
      </c>
      <c r="F897" s="2" t="s">
        <v>2397</v>
      </c>
      <c r="G897" s="2"/>
      <c r="H897" s="2"/>
      <c r="I897" s="3" t="b">
        <f>OR(E897 = "calculated", E897 = "lookup", E897 = "aggregation")</f>
        <v>0</v>
      </c>
      <c r="J897" s="3" t="b">
        <f>H897 &lt;&gt; ""</f>
        <v>0</v>
      </c>
      <c r="K897" s="3">
        <f>COUNTIFS(FieldDisagreements!D2:D999, A897)</f>
        <v>0</v>
      </c>
      <c r="L897" s="3" t="b">
        <f>K897 &gt; 0</f>
        <v>0</v>
      </c>
      <c r="M897" s="2" t="s">
        <v>2387</v>
      </c>
    </row>
    <row r="898">
      <c r="A898" s="2" t="s">
        <v>3838</v>
      </c>
      <c r="B898" s="3" t="str">
        <f>C898 &amp; "." &amp; D898</f>
        <v>StewardshipAssignments.ReviewCadenceDays</v>
      </c>
      <c r="C898" s="2" t="s">
        <v>1839</v>
      </c>
      <c r="D898" s="2" t="s">
        <v>1120</v>
      </c>
      <c r="E898" s="2" t="s">
        <v>2385</v>
      </c>
      <c r="F898" s="2" t="s">
        <v>2439</v>
      </c>
      <c r="G898" s="2"/>
      <c r="H898" s="2"/>
      <c r="I898" s="3" t="b">
        <f>OR(E898 = "calculated", E898 = "lookup", E898 = "aggregation")</f>
        <v>0</v>
      </c>
      <c r="J898" s="3" t="b">
        <f>H898 &lt;&gt; ""</f>
        <v>0</v>
      </c>
      <c r="K898" s="3">
        <f>COUNTIFS(FieldDisagreements!D2:D999, A898)</f>
        <v>0</v>
      </c>
      <c r="L898" s="3" t="b">
        <f>K898 &gt; 0</f>
        <v>0</v>
      </c>
      <c r="M898" s="2" t="s">
        <v>2387</v>
      </c>
    </row>
    <row r="899">
      <c r="A899" s="2" t="s">
        <v>3839</v>
      </c>
      <c r="B899" s="3" t="str">
        <f>C899 &amp; "." &amp; D899</f>
        <v>StewardshipAssignments.CountOfReviewEvents</v>
      </c>
      <c r="C899" s="2" t="s">
        <v>1839</v>
      </c>
      <c r="D899" s="2" t="s">
        <v>406</v>
      </c>
      <c r="E899" s="2" t="s">
        <v>2438</v>
      </c>
      <c r="F899" s="2" t="s">
        <v>2439</v>
      </c>
      <c r="G899" s="2" t="s">
        <v>3840</v>
      </c>
      <c r="H899" s="2" t="s">
        <v>1996</v>
      </c>
      <c r="I899" s="3" t="b">
        <f>OR(E899 = "calculated", E899 = "lookup", E899 = "aggregation")</f>
        <v>1</v>
      </c>
      <c r="J899" s="3" t="b">
        <f>H899 &lt;&gt; ""</f>
        <v>1</v>
      </c>
      <c r="K899" s="3">
        <f>COUNTIFS(FieldDisagreements!D2:D999, A899)</f>
        <v>0</v>
      </c>
      <c r="L899" s="3" t="b">
        <f>K899 &gt; 0</f>
        <v>0</v>
      </c>
      <c r="M899" s="2" t="s">
        <v>2387</v>
      </c>
    </row>
    <row r="900">
      <c r="A900" s="2" t="s">
        <v>3841</v>
      </c>
      <c r="B900" s="3" t="str">
        <f>C900 &amp; "." &amp; D900</f>
        <v>StewardshipAssignments.HasEverBeenReviewed</v>
      </c>
      <c r="C900" s="2" t="s">
        <v>1839</v>
      </c>
      <c r="D900" s="2" t="s">
        <v>1563</v>
      </c>
      <c r="E900" s="2" t="s">
        <v>2389</v>
      </c>
      <c r="F900" s="2" t="s">
        <v>2401</v>
      </c>
      <c r="G900" s="2" t="s">
        <v>3842</v>
      </c>
      <c r="H900" s="2" t="s">
        <v>1996</v>
      </c>
      <c r="I900" s="3" t="b">
        <f>OR(E900 = "calculated", E900 = "lookup", E900 = "aggregation")</f>
        <v>1</v>
      </c>
      <c r="J900" s="3" t="b">
        <f>H900 &lt;&gt; ""</f>
        <v>1</v>
      </c>
      <c r="K900" s="3">
        <f>COUNTIFS(FieldDisagreements!D2:D999, A900)</f>
        <v>0</v>
      </c>
      <c r="L900" s="3" t="b">
        <f>K900 &gt; 0</f>
        <v>0</v>
      </c>
      <c r="M900" s="2" t="s">
        <v>2387</v>
      </c>
    </row>
    <row r="901">
      <c r="A901" s="2" t="s">
        <v>3843</v>
      </c>
      <c r="B901" s="3" t="str">
        <f>C901 &amp; "." &amp; D901</f>
        <v>StewardshipAssignments.EvaluationContext</v>
      </c>
      <c r="C901" s="2" t="s">
        <v>1839</v>
      </c>
      <c r="D901" s="2" t="s">
        <v>258</v>
      </c>
      <c r="E901" s="2" t="s">
        <v>2434</v>
      </c>
      <c r="F901" s="2" t="s">
        <v>2386</v>
      </c>
      <c r="G901" s="2"/>
      <c r="H901" s="2"/>
      <c r="I901" s="3" t="b">
        <f>OR(E901 = "calculated", E901 = "lookup", E901 = "aggregation")</f>
        <v>0</v>
      </c>
      <c r="J901" s="3" t="b">
        <f>H901 &lt;&gt; ""</f>
        <v>0</v>
      </c>
      <c r="K901" s="3">
        <f>COUNTIFS(FieldDisagreements!D2:D999, A901)</f>
        <v>0</v>
      </c>
      <c r="L901" s="3" t="b">
        <f>K901 &gt; 0</f>
        <v>0</v>
      </c>
      <c r="M901" s="2" t="s">
        <v>2387</v>
      </c>
    </row>
    <row r="902">
      <c r="A902" s="2" t="s">
        <v>3844</v>
      </c>
      <c r="B902" s="3" t="str">
        <f>C902 &amp; "." &amp; D902</f>
        <v>StewardshipAssignments.AsOfInstant</v>
      </c>
      <c r="C902" s="2" t="s">
        <v>1839</v>
      </c>
      <c r="D902" s="2" t="s">
        <v>92</v>
      </c>
      <c r="E902" s="2" t="s">
        <v>2478</v>
      </c>
      <c r="F902" s="2" t="s">
        <v>2397</v>
      </c>
      <c r="G902" s="2" t="s">
        <v>2524</v>
      </c>
      <c r="H902" s="2"/>
      <c r="I902" s="3" t="b">
        <f>OR(E902 = "calculated", E902 = "lookup", E902 = "aggregation")</f>
        <v>1</v>
      </c>
      <c r="J902" s="3" t="b">
        <f>H902 &lt;&gt; ""</f>
        <v>0</v>
      </c>
      <c r="K902" s="3">
        <f>COUNTIFS(FieldDisagreements!D2:D999, A902)</f>
        <v>1</v>
      </c>
      <c r="L902" s="3" t="b">
        <f>K902 &gt; 0</f>
        <v>1</v>
      </c>
      <c r="M902" s="2" t="s">
        <v>2387</v>
      </c>
    </row>
    <row r="903">
      <c r="A903" s="2" t="s">
        <v>3845</v>
      </c>
      <c r="B903" s="3" t="str">
        <f>C903 &amp; "." &amp; D903</f>
        <v>StewardshipAssignments.IsCurrentAssignment</v>
      </c>
      <c r="C903" s="2" t="s">
        <v>1839</v>
      </c>
      <c r="D903" s="2" t="s">
        <v>1564</v>
      </c>
      <c r="E903" s="2" t="s">
        <v>2389</v>
      </c>
      <c r="F903" s="2" t="s">
        <v>2401</v>
      </c>
      <c r="G903" s="2" t="s">
        <v>2526</v>
      </c>
      <c r="H903" s="2" t="s">
        <v>2000</v>
      </c>
      <c r="I903" s="3" t="b">
        <f>OR(E903 = "calculated", E903 = "lookup", E903 = "aggregation")</f>
        <v>1</v>
      </c>
      <c r="J903" s="3" t="b">
        <f>H903 &lt;&gt; ""</f>
        <v>1</v>
      </c>
      <c r="K903" s="3">
        <f>COUNTIFS(FieldDisagreements!D2:D999, A903)</f>
        <v>0</v>
      </c>
      <c r="L903" s="3" t="b">
        <f>K903 &gt; 0</f>
        <v>0</v>
      </c>
      <c r="M903" s="2" t="s">
        <v>2387</v>
      </c>
    </row>
    <row r="904">
      <c r="A904" s="2" t="s">
        <v>3846</v>
      </c>
      <c r="B904" s="3" t="str">
        <f>C904 &amp; "." &amp; D904</f>
        <v>StewardshipAssignments.SemanticTypeIri</v>
      </c>
      <c r="C904" s="2" t="s">
        <v>1839</v>
      </c>
      <c r="D904" s="2" t="s">
        <v>94</v>
      </c>
      <c r="E904" s="2" t="s">
        <v>2385</v>
      </c>
      <c r="F904" s="2" t="s">
        <v>2386</v>
      </c>
      <c r="G904" s="2"/>
      <c r="H904" s="2"/>
      <c r="I904" s="3" t="b">
        <f>OR(E904 = "calculated", E904 = "lookup", E904 = "aggregation")</f>
        <v>0</v>
      </c>
      <c r="J904" s="3" t="b">
        <f>H904 &lt;&gt; ""</f>
        <v>0</v>
      </c>
      <c r="K904" s="3">
        <f>COUNTIFS(FieldDisagreements!D2:D999, A904)</f>
        <v>0</v>
      </c>
      <c r="L904" s="3" t="b">
        <f>K904 &gt; 0</f>
        <v>0</v>
      </c>
      <c r="M904" s="2" t="s">
        <v>2387</v>
      </c>
    </row>
    <row r="905">
      <c r="A905" s="2" t="s">
        <v>3847</v>
      </c>
      <c r="B905" s="3" t="str">
        <f>C905 &amp; "." &amp; D905</f>
        <v>ChangeRequests.ChangeRequestId</v>
      </c>
      <c r="C905" s="2" t="s">
        <v>3848</v>
      </c>
      <c r="D905" s="2" t="s">
        <v>1568</v>
      </c>
      <c r="E905" s="2" t="s">
        <v>2385</v>
      </c>
      <c r="F905" s="2" t="s">
        <v>2386</v>
      </c>
      <c r="G905" s="2"/>
      <c r="H905" s="2"/>
      <c r="I905" s="3" t="b">
        <f>OR(E905 = "calculated", E905 = "lookup", E905 = "aggregation")</f>
        <v>0</v>
      </c>
      <c r="J905" s="3" t="b">
        <f>H905 &lt;&gt; ""</f>
        <v>0</v>
      </c>
      <c r="K905" s="3">
        <f>COUNTIFS(FieldDisagreements!D2:D999, A905)</f>
        <v>0</v>
      </c>
      <c r="L905" s="3" t="b">
        <f>K905 &gt; 0</f>
        <v>0</v>
      </c>
      <c r="M905" s="2" t="s">
        <v>2387</v>
      </c>
    </row>
    <row r="906">
      <c r="A906" s="2" t="s">
        <v>3849</v>
      </c>
      <c r="B906" s="3" t="str">
        <f>C906 &amp; "." &amp; D906</f>
        <v>ChangeRequests.Name</v>
      </c>
      <c r="C906" s="2" t="s">
        <v>3848</v>
      </c>
      <c r="D906" s="2" t="s">
        <v>1</v>
      </c>
      <c r="E906" s="2" t="s">
        <v>2389</v>
      </c>
      <c r="F906" s="2" t="s">
        <v>2386</v>
      </c>
      <c r="G906" s="2" t="s">
        <v>2652</v>
      </c>
      <c r="H906" s="2"/>
      <c r="I906" s="3" t="b">
        <f>OR(E906 = "calculated", E906 = "lookup", E906 = "aggregation")</f>
        <v>1</v>
      </c>
      <c r="J906" s="3" t="b">
        <f>H906 &lt;&gt; ""</f>
        <v>0</v>
      </c>
      <c r="K906" s="3">
        <f>COUNTIFS(FieldDisagreements!D2:D999, A906)</f>
        <v>0</v>
      </c>
      <c r="L906" s="3" t="b">
        <f>K906 &gt; 0</f>
        <v>0</v>
      </c>
      <c r="M906" s="2" t="s">
        <v>2387</v>
      </c>
    </row>
    <row r="907">
      <c r="A907" s="2" t="s">
        <v>3850</v>
      </c>
      <c r="B907" s="3" t="str">
        <f>C907 &amp; "." &amp; D907</f>
        <v>ChangeRequests.ProcedureVersion</v>
      </c>
      <c r="C907" s="2" t="s">
        <v>3848</v>
      </c>
      <c r="D907" s="2" t="s">
        <v>477</v>
      </c>
      <c r="E907" s="2" t="s">
        <v>2434</v>
      </c>
      <c r="F907" s="2" t="s">
        <v>2386</v>
      </c>
      <c r="G907" s="2"/>
      <c r="H907" s="2"/>
      <c r="I907" s="3" t="b">
        <f>OR(E907 = "calculated", E907 = "lookup", E907 = "aggregation")</f>
        <v>0</v>
      </c>
      <c r="J907" s="3" t="b">
        <f>H907 &lt;&gt; ""</f>
        <v>0</v>
      </c>
      <c r="K907" s="3">
        <f>COUNTIFS(FieldDisagreements!D2:D999, A907)</f>
        <v>0</v>
      </c>
      <c r="L907" s="3" t="b">
        <f>K907 &gt; 0</f>
        <v>0</v>
      </c>
      <c r="M907" s="2" t="s">
        <v>2387</v>
      </c>
    </row>
    <row r="908">
      <c r="A908" s="2" t="s">
        <v>3851</v>
      </c>
      <c r="B908" s="3" t="str">
        <f>C908 &amp; "." &amp; D908</f>
        <v>ChangeRequests.Title</v>
      </c>
      <c r="C908" s="2" t="s">
        <v>3848</v>
      </c>
      <c r="D908" s="2" t="s">
        <v>358</v>
      </c>
      <c r="E908" s="2" t="s">
        <v>2385</v>
      </c>
      <c r="F908" s="2" t="s">
        <v>2386</v>
      </c>
      <c r="G908" s="2"/>
      <c r="H908" s="2"/>
      <c r="I908" s="3" t="b">
        <f>OR(E908 = "calculated", E908 = "lookup", E908 = "aggregation")</f>
        <v>0</v>
      </c>
      <c r="J908" s="3" t="b">
        <f>H908 &lt;&gt; ""</f>
        <v>0</v>
      </c>
      <c r="K908" s="3">
        <f>COUNTIFS(FieldDisagreements!D2:D999, A908)</f>
        <v>0</v>
      </c>
      <c r="L908" s="3" t="b">
        <f>K908 &gt; 0</f>
        <v>0</v>
      </c>
      <c r="M908" s="2" t="s">
        <v>2387</v>
      </c>
    </row>
    <row r="909">
      <c r="A909" s="2" t="s">
        <v>3852</v>
      </c>
      <c r="B909" s="3" t="str">
        <f>C909 &amp; "." &amp; D909</f>
        <v>ChangeRequests.ChangeKind</v>
      </c>
      <c r="C909" s="2" t="s">
        <v>3848</v>
      </c>
      <c r="D909" s="2" t="s">
        <v>1569</v>
      </c>
      <c r="E909" s="2" t="s">
        <v>2385</v>
      </c>
      <c r="F909" s="2" t="s">
        <v>2386</v>
      </c>
      <c r="G909" s="2"/>
      <c r="H909" s="2"/>
      <c r="I909" s="3" t="b">
        <f>OR(E909 = "calculated", E909 = "lookup", E909 = "aggregation")</f>
        <v>0</v>
      </c>
      <c r="J909" s="3" t="b">
        <f>H909 &lt;&gt; ""</f>
        <v>0</v>
      </c>
      <c r="K909" s="3">
        <f>COUNTIFS(FieldDisagreements!D2:D999, A909)</f>
        <v>0</v>
      </c>
      <c r="L909" s="3" t="b">
        <f>K909 &gt; 0</f>
        <v>0</v>
      </c>
      <c r="M909" s="2" t="s">
        <v>2387</v>
      </c>
    </row>
    <row r="910">
      <c r="A910" s="2" t="s">
        <v>3853</v>
      </c>
      <c r="B910" s="3" t="str">
        <f>C910 &amp; "." &amp; D910</f>
        <v>ChangeRequests.Status</v>
      </c>
      <c r="C910" s="2" t="s">
        <v>3848</v>
      </c>
      <c r="D910" s="2" t="s">
        <v>8</v>
      </c>
      <c r="E910" s="2" t="s">
        <v>2385</v>
      </c>
      <c r="F910" s="2" t="s">
        <v>2386</v>
      </c>
      <c r="G910" s="2"/>
      <c r="H910" s="2"/>
      <c r="I910" s="3" t="b">
        <f>OR(E910 = "calculated", E910 = "lookup", E910 = "aggregation")</f>
        <v>0</v>
      </c>
      <c r="J910" s="3" t="b">
        <f>H910 &lt;&gt; ""</f>
        <v>0</v>
      </c>
      <c r="K910" s="3">
        <f>COUNTIFS(FieldDisagreements!D2:D999, A910)</f>
        <v>0</v>
      </c>
      <c r="L910" s="3" t="b">
        <f>K910 &gt; 0</f>
        <v>0</v>
      </c>
      <c r="M910" s="2" t="s">
        <v>2387</v>
      </c>
    </row>
    <row r="911">
      <c r="A911" s="2" t="s">
        <v>3854</v>
      </c>
      <c r="B911" s="3" t="str">
        <f>C911 &amp; "." &amp; D911</f>
        <v>ChangeRequests.RequestedByAgent</v>
      </c>
      <c r="C911" s="2" t="s">
        <v>3848</v>
      </c>
      <c r="D911" s="2" t="s">
        <v>1570</v>
      </c>
      <c r="E911" s="2" t="s">
        <v>2434</v>
      </c>
      <c r="F911" s="2" t="s">
        <v>2386</v>
      </c>
      <c r="G911" s="2"/>
      <c r="H911" s="2"/>
      <c r="I911" s="3" t="b">
        <f>OR(E911 = "calculated", E911 = "lookup", E911 = "aggregation")</f>
        <v>0</v>
      </c>
      <c r="J911" s="3" t="b">
        <f>H911 &lt;&gt; ""</f>
        <v>0</v>
      </c>
      <c r="K911" s="3">
        <f>COUNTIFS(FieldDisagreements!D2:D999, A911)</f>
        <v>0</v>
      </c>
      <c r="L911" s="3" t="b">
        <f>K911 &gt; 0</f>
        <v>0</v>
      </c>
      <c r="M911" s="2" t="s">
        <v>2387</v>
      </c>
    </row>
    <row r="912">
      <c r="A912" s="2" t="s">
        <v>3855</v>
      </c>
      <c r="B912" s="3" t="str">
        <f>C912 &amp; "." &amp; D912</f>
        <v>ChangeRequests.AuthorityRole</v>
      </c>
      <c r="C912" s="2" t="s">
        <v>3848</v>
      </c>
      <c r="D912" s="2" t="s">
        <v>966</v>
      </c>
      <c r="E912" s="2" t="s">
        <v>2434</v>
      </c>
      <c r="F912" s="2" t="s">
        <v>2386</v>
      </c>
      <c r="G912" s="2"/>
      <c r="H912" s="2"/>
      <c r="I912" s="3" t="b">
        <f>OR(E912 = "calculated", E912 = "lookup", E912 = "aggregation")</f>
        <v>0</v>
      </c>
      <c r="J912" s="3" t="b">
        <f>H912 &lt;&gt; ""</f>
        <v>0</v>
      </c>
      <c r="K912" s="3">
        <f>COUNTIFS(FieldDisagreements!D2:D999, A912)</f>
        <v>0</v>
      </c>
      <c r="L912" s="3" t="b">
        <f>K912 &gt; 0</f>
        <v>0</v>
      </c>
      <c r="M912" s="2" t="s">
        <v>2387</v>
      </c>
    </row>
    <row r="913">
      <c r="A913" s="2" t="s">
        <v>3856</v>
      </c>
      <c r="B913" s="3" t="str">
        <f>C913 &amp; "." &amp; D913</f>
        <v>ChangeRequests.RequestedAt</v>
      </c>
      <c r="C913" s="2" t="s">
        <v>3848</v>
      </c>
      <c r="D913" s="2" t="s">
        <v>1571</v>
      </c>
      <c r="E913" s="2" t="s">
        <v>2385</v>
      </c>
      <c r="F913" s="2" t="s">
        <v>2397</v>
      </c>
      <c r="G913" s="2"/>
      <c r="H913" s="2"/>
      <c r="I913" s="3" t="b">
        <f>OR(E913 = "calculated", E913 = "lookup", E913 = "aggregation")</f>
        <v>0</v>
      </c>
      <c r="J913" s="3" t="b">
        <f>H913 &lt;&gt; ""</f>
        <v>0</v>
      </c>
      <c r="K913" s="3">
        <f>COUNTIFS(FieldDisagreements!D2:D999, A913)</f>
        <v>0</v>
      </c>
      <c r="L913" s="3" t="b">
        <f>K913 &gt; 0</f>
        <v>0</v>
      </c>
      <c r="M913" s="2" t="s">
        <v>2387</v>
      </c>
    </row>
    <row r="914">
      <c r="A914" s="2" t="s">
        <v>3857</v>
      </c>
      <c r="B914" s="3" t="str">
        <f>C914 &amp; "." &amp; D914</f>
        <v>ChangeRequests.DecidedAt</v>
      </c>
      <c r="C914" s="2" t="s">
        <v>3848</v>
      </c>
      <c r="D914" s="2" t="s">
        <v>1572</v>
      </c>
      <c r="E914" s="2" t="s">
        <v>2385</v>
      </c>
      <c r="F914" s="2" t="s">
        <v>2397</v>
      </c>
      <c r="G914" s="2"/>
      <c r="H914" s="2"/>
      <c r="I914" s="3" t="b">
        <f>OR(E914 = "calculated", E914 = "lookup", E914 = "aggregation")</f>
        <v>0</v>
      </c>
      <c r="J914" s="3" t="b">
        <f>H914 &lt;&gt; ""</f>
        <v>0</v>
      </c>
      <c r="K914" s="3">
        <f>COUNTIFS(FieldDisagreements!D2:D999, A914)</f>
        <v>0</v>
      </c>
      <c r="L914" s="3" t="b">
        <f>K914 &gt; 0</f>
        <v>0</v>
      </c>
      <c r="M914" s="2" t="s">
        <v>2387</v>
      </c>
    </row>
    <row r="915">
      <c r="A915" s="2" t="s">
        <v>3858</v>
      </c>
      <c r="B915" s="3" t="str">
        <f>C915 &amp; "." &amp; D915</f>
        <v>ChangeRequests.ImpactAssessment</v>
      </c>
      <c r="C915" s="2" t="s">
        <v>3848</v>
      </c>
      <c r="D915" s="2" t="s">
        <v>1573</v>
      </c>
      <c r="E915" s="2" t="s">
        <v>2385</v>
      </c>
      <c r="F915" s="2" t="s">
        <v>2386</v>
      </c>
      <c r="G915" s="2"/>
      <c r="H915" s="2"/>
      <c r="I915" s="3" t="b">
        <f>OR(E915 = "calculated", E915 = "lookup", E915 = "aggregation")</f>
        <v>0</v>
      </c>
      <c r="J915" s="3" t="b">
        <f>H915 &lt;&gt; ""</f>
        <v>0</v>
      </c>
      <c r="K915" s="3">
        <f>COUNTIFS(FieldDisagreements!D2:D999, A915)</f>
        <v>0</v>
      </c>
      <c r="L915" s="3" t="b">
        <f>K915 &gt; 0</f>
        <v>0</v>
      </c>
      <c r="M915" s="2" t="s">
        <v>2387</v>
      </c>
    </row>
    <row r="916">
      <c r="A916" s="2" t="s">
        <v>3859</v>
      </c>
      <c r="B916" s="3" t="str">
        <f>C916 &amp; "." &amp; D916</f>
        <v>ChangeRequests.IsOpen</v>
      </c>
      <c r="C916" s="2" t="s">
        <v>3848</v>
      </c>
      <c r="D916" s="2" t="s">
        <v>1179</v>
      </c>
      <c r="E916" s="2" t="s">
        <v>2389</v>
      </c>
      <c r="F916" s="2" t="s">
        <v>2401</v>
      </c>
      <c r="G916" s="2" t="s">
        <v>3860</v>
      </c>
      <c r="H916" s="2"/>
      <c r="I916" s="3" t="b">
        <f>OR(E916 = "calculated", E916 = "lookup", E916 = "aggregation")</f>
        <v>1</v>
      </c>
      <c r="J916" s="3" t="b">
        <f>H916 &lt;&gt; ""</f>
        <v>0</v>
      </c>
      <c r="K916" s="3">
        <f>COUNTIFS(FieldDisagreements!D2:D999, A916)</f>
        <v>0</v>
      </c>
      <c r="L916" s="3" t="b">
        <f>K916 &gt; 0</f>
        <v>0</v>
      </c>
      <c r="M916" s="2" t="s">
        <v>2387</v>
      </c>
    </row>
    <row r="917">
      <c r="A917" s="2" t="s">
        <v>3861</v>
      </c>
      <c r="B917" s="3" t="str">
        <f>C917 &amp; "." &amp; D917</f>
        <v>ChangeRequests.OpenChangeVersionKey</v>
      </c>
      <c r="C917" s="2" t="s">
        <v>3848</v>
      </c>
      <c r="D917" s="2" t="s">
        <v>1574</v>
      </c>
      <c r="E917" s="2" t="s">
        <v>2389</v>
      </c>
      <c r="F917" s="2" t="s">
        <v>2386</v>
      </c>
      <c r="G917" s="2" t="s">
        <v>3862</v>
      </c>
      <c r="H917" s="2" t="s">
        <v>1980</v>
      </c>
      <c r="I917" s="3" t="b">
        <f>OR(E917 = "calculated", E917 = "lookup", E917 = "aggregation")</f>
        <v>1</v>
      </c>
      <c r="J917" s="3" t="b">
        <f>H917 &lt;&gt; ""</f>
        <v>1</v>
      </c>
      <c r="K917" s="3">
        <f>COUNTIFS(FieldDisagreements!D2:D999, A917)</f>
        <v>0</v>
      </c>
      <c r="L917" s="3" t="b">
        <f>K917 &gt; 0</f>
        <v>0</v>
      </c>
      <c r="M917" s="2" t="s">
        <v>2387</v>
      </c>
    </row>
    <row r="918">
      <c r="A918" s="2" t="s">
        <v>3863</v>
      </c>
      <c r="B918" s="3" t="str">
        <f>C918 &amp; "." &amp; D918</f>
        <v>ChangeRequests.IsDecided</v>
      </c>
      <c r="C918" s="2" t="s">
        <v>3848</v>
      </c>
      <c r="D918" s="2" t="s">
        <v>1575</v>
      </c>
      <c r="E918" s="2" t="s">
        <v>2389</v>
      </c>
      <c r="F918" s="2" t="s">
        <v>2401</v>
      </c>
      <c r="G918" s="2" t="s">
        <v>3864</v>
      </c>
      <c r="H918" s="2" t="s">
        <v>2012</v>
      </c>
      <c r="I918" s="3" t="b">
        <f>OR(E918 = "calculated", E918 = "lookup", E918 = "aggregation")</f>
        <v>1</v>
      </c>
      <c r="J918" s="3" t="b">
        <f>H918 &lt;&gt; ""</f>
        <v>1</v>
      </c>
      <c r="K918" s="3">
        <f>COUNTIFS(FieldDisagreements!D2:D999, A918)</f>
        <v>0</v>
      </c>
      <c r="L918" s="3" t="b">
        <f>K918 &gt; 0</f>
        <v>0</v>
      </c>
      <c r="M918" s="2" t="s">
        <v>2387</v>
      </c>
    </row>
    <row r="919">
      <c r="A919" s="2" t="s">
        <v>3865</v>
      </c>
      <c r="B919" s="3" t="str">
        <f>C919 &amp; "." &amp; D919</f>
        <v>ChangeRequests.EvaluationContext</v>
      </c>
      <c r="C919" s="2" t="s">
        <v>3848</v>
      </c>
      <c r="D919" s="2" t="s">
        <v>258</v>
      </c>
      <c r="E919" s="2" t="s">
        <v>2434</v>
      </c>
      <c r="F919" s="2" t="s">
        <v>2386</v>
      </c>
      <c r="G919" s="2"/>
      <c r="H919" s="2"/>
      <c r="I919" s="3" t="b">
        <f>OR(E919 = "calculated", E919 = "lookup", E919 = "aggregation")</f>
        <v>0</v>
      </c>
      <c r="J919" s="3" t="b">
        <f>H919 &lt;&gt; ""</f>
        <v>0</v>
      </c>
      <c r="K919" s="3">
        <f>COUNTIFS(FieldDisagreements!D2:D999, A919)</f>
        <v>0</v>
      </c>
      <c r="L919" s="3" t="b">
        <f>K919 &gt; 0</f>
        <v>0</v>
      </c>
      <c r="M919" s="2" t="s">
        <v>2387</v>
      </c>
    </row>
    <row r="920">
      <c r="A920" s="2" t="s">
        <v>3866</v>
      </c>
      <c r="B920" s="3" t="str">
        <f>C920 &amp; "." &amp; D920</f>
        <v>ChangeRequests.AsOfInstant</v>
      </c>
      <c r="C920" s="2" t="s">
        <v>3848</v>
      </c>
      <c r="D920" s="2" t="s">
        <v>92</v>
      </c>
      <c r="E920" s="2" t="s">
        <v>2478</v>
      </c>
      <c r="F920" s="2" t="s">
        <v>2397</v>
      </c>
      <c r="G920" s="2" t="s">
        <v>2524</v>
      </c>
      <c r="H920" s="2"/>
      <c r="I920" s="3" t="b">
        <f>OR(E920 = "calculated", E920 = "lookup", E920 = "aggregation")</f>
        <v>1</v>
      </c>
      <c r="J920" s="3" t="b">
        <f>H920 &lt;&gt; ""</f>
        <v>0</v>
      </c>
      <c r="K920" s="3">
        <f>COUNTIFS(FieldDisagreements!D2:D999, A920)</f>
        <v>1</v>
      </c>
      <c r="L920" s="3" t="b">
        <f>K920 &gt; 0</f>
        <v>1</v>
      </c>
      <c r="M920" s="2" t="s">
        <v>2387</v>
      </c>
    </row>
    <row r="921">
      <c r="A921" s="2" t="s">
        <v>3867</v>
      </c>
      <c r="B921" s="3" t="str">
        <f>C921 &amp; "." &amp; D921</f>
        <v>ChangeRequests.DaysPending</v>
      </c>
      <c r="C921" s="2" t="s">
        <v>3848</v>
      </c>
      <c r="D921" s="2" t="s">
        <v>1576</v>
      </c>
      <c r="E921" s="2" t="s">
        <v>2389</v>
      </c>
      <c r="F921" s="2" t="s">
        <v>2439</v>
      </c>
      <c r="G921" s="2" t="s">
        <v>3868</v>
      </c>
      <c r="H921" s="2" t="s">
        <v>2012</v>
      </c>
      <c r="I921" s="3" t="b">
        <f>OR(E921 = "calculated", E921 = "lookup", E921 = "aggregation")</f>
        <v>1</v>
      </c>
      <c r="J921" s="3" t="b">
        <f>H921 &lt;&gt; ""</f>
        <v>1</v>
      </c>
      <c r="K921" s="3">
        <f>COUNTIFS(FieldDisagreements!D2:D999, A921)</f>
        <v>7</v>
      </c>
      <c r="L921" s="3" t="b">
        <f>K921 &gt; 0</f>
        <v>1</v>
      </c>
      <c r="M921" s="2" t="s">
        <v>2387</v>
      </c>
    </row>
    <row r="922">
      <c r="A922" s="2" t="s">
        <v>3869</v>
      </c>
      <c r="B922" s="3" t="str">
        <f>C922 &amp; "." &amp; D922</f>
        <v>ChangeRequests.IsStillPending</v>
      </c>
      <c r="C922" s="2" t="s">
        <v>3848</v>
      </c>
      <c r="D922" s="2" t="s">
        <v>1577</v>
      </c>
      <c r="E922" s="2" t="s">
        <v>2389</v>
      </c>
      <c r="F922" s="2" t="s">
        <v>2401</v>
      </c>
      <c r="G922" s="2" t="s">
        <v>3870</v>
      </c>
      <c r="H922" s="2" t="s">
        <v>2012</v>
      </c>
      <c r="I922" s="3" t="b">
        <f>OR(E922 = "calculated", E922 = "lookup", E922 = "aggregation")</f>
        <v>1</v>
      </c>
      <c r="J922" s="3" t="b">
        <f>H922 &lt;&gt; ""</f>
        <v>1</v>
      </c>
      <c r="K922" s="3">
        <f>COUNTIFS(FieldDisagreements!D2:D999, A922)</f>
        <v>0</v>
      </c>
      <c r="L922" s="3" t="b">
        <f>K922 &gt; 0</f>
        <v>0</v>
      </c>
      <c r="M922" s="2" t="s">
        <v>2387</v>
      </c>
    </row>
    <row r="923">
      <c r="A923" s="2" t="s">
        <v>3871</v>
      </c>
      <c r="B923" s="3" t="str">
        <f>C923 &amp; "." &amp; D923</f>
        <v>ChangeRequests.IsStalled</v>
      </c>
      <c r="C923" s="2" t="s">
        <v>3848</v>
      </c>
      <c r="D923" s="2" t="s">
        <v>1578</v>
      </c>
      <c r="E923" s="2" t="s">
        <v>2389</v>
      </c>
      <c r="F923" s="2" t="s">
        <v>2401</v>
      </c>
      <c r="G923" s="2" t="s">
        <v>3872</v>
      </c>
      <c r="H923" s="2" t="s">
        <v>2012</v>
      </c>
      <c r="I923" s="3" t="b">
        <f>OR(E923 = "calculated", E923 = "lookup", E923 = "aggregation")</f>
        <v>1</v>
      </c>
      <c r="J923" s="3" t="b">
        <f>H923 &lt;&gt; ""</f>
        <v>1</v>
      </c>
      <c r="K923" s="3">
        <f>COUNTIFS(FieldDisagreements!D2:D999, A923)</f>
        <v>0</v>
      </c>
      <c r="L923" s="3" t="b">
        <f>K923 &gt; 0</f>
        <v>0</v>
      </c>
      <c r="M923" s="2" t="s">
        <v>2387</v>
      </c>
    </row>
    <row r="924">
      <c r="A924" s="2" t="s">
        <v>3873</v>
      </c>
      <c r="B924" s="3" t="str">
        <f>C924 &amp; "." &amp; D924</f>
        <v>ChangeRequests.AuthorityAgent</v>
      </c>
      <c r="C924" s="2" t="s">
        <v>3848</v>
      </c>
      <c r="D924" s="2" t="s">
        <v>1579</v>
      </c>
      <c r="E924" s="2" t="s">
        <v>2478</v>
      </c>
      <c r="F924" s="2" t="s">
        <v>2386</v>
      </c>
      <c r="G924" s="2" t="s">
        <v>3874</v>
      </c>
      <c r="H924" s="2" t="s">
        <v>2012</v>
      </c>
      <c r="I924" s="3" t="b">
        <f>OR(E924 = "calculated", E924 = "lookup", E924 = "aggregation")</f>
        <v>1</v>
      </c>
      <c r="J924" s="3" t="b">
        <f>H924 &lt;&gt; ""</f>
        <v>1</v>
      </c>
      <c r="K924" s="3">
        <f>COUNTIFS(FieldDisagreements!D2:D999, A924)</f>
        <v>0</v>
      </c>
      <c r="L924" s="3" t="b">
        <f>K924 &gt; 0</f>
        <v>0</v>
      </c>
      <c r="M924" s="2" t="s">
        <v>2387</v>
      </c>
    </row>
    <row r="925">
      <c r="A925" s="2" t="s">
        <v>3875</v>
      </c>
      <c r="B925" s="3" t="str">
        <f>C925 &amp; "." &amp; D925</f>
        <v>ChangeRequests.RequesterIsAuthority</v>
      </c>
      <c r="C925" s="2" t="s">
        <v>3848</v>
      </c>
      <c r="D925" s="2" t="s">
        <v>1580</v>
      </c>
      <c r="E925" s="2" t="s">
        <v>2389</v>
      </c>
      <c r="F925" s="2" t="s">
        <v>2401</v>
      </c>
      <c r="G925" s="2" t="s">
        <v>3876</v>
      </c>
      <c r="H925" s="2" t="s">
        <v>2012</v>
      </c>
      <c r="I925" s="3" t="b">
        <f>OR(E925 = "calculated", E925 = "lookup", E925 = "aggregation")</f>
        <v>1</v>
      </c>
      <c r="J925" s="3" t="b">
        <f>H925 &lt;&gt; ""</f>
        <v>1</v>
      </c>
      <c r="K925" s="3">
        <f>COUNTIFS(FieldDisagreements!D2:D999, A925)</f>
        <v>0</v>
      </c>
      <c r="L925" s="3" t="b">
        <f>K925 &gt; 0</f>
        <v>0</v>
      </c>
      <c r="M925" s="2" t="s">
        <v>2387</v>
      </c>
    </row>
    <row r="926">
      <c r="A926" s="2" t="s">
        <v>3877</v>
      </c>
      <c r="B926" s="3" t="str">
        <f>C926 &amp; "." &amp; D926</f>
        <v>ChangeRequests.AwaitsAuthorityDecision</v>
      </c>
      <c r="C926" s="2" t="s">
        <v>3848</v>
      </c>
      <c r="D926" s="2" t="s">
        <v>1581</v>
      </c>
      <c r="E926" s="2" t="s">
        <v>2389</v>
      </c>
      <c r="F926" s="2" t="s">
        <v>2401</v>
      </c>
      <c r="G926" s="2" t="s">
        <v>3878</v>
      </c>
      <c r="H926" s="2" t="s">
        <v>2116</v>
      </c>
      <c r="I926" s="3" t="b">
        <f>OR(E926 = "calculated", E926 = "lookup", E926 = "aggregation")</f>
        <v>1</v>
      </c>
      <c r="J926" s="3" t="b">
        <f>H926 &lt;&gt; ""</f>
        <v>1</v>
      </c>
      <c r="K926" s="3">
        <f>COUNTIFS(FieldDisagreements!D2:D999, A926)</f>
        <v>0</v>
      </c>
      <c r="L926" s="3" t="b">
        <f>K926 &gt; 0</f>
        <v>0</v>
      </c>
      <c r="M926" s="2" t="s">
        <v>2387</v>
      </c>
    </row>
    <row r="927">
      <c r="A927" s="2" t="s">
        <v>3879</v>
      </c>
      <c r="B927" s="3" t="str">
        <f>C927 &amp; "." &amp; D927</f>
        <v>ChangeRequests.AuthorityRoleLabel</v>
      </c>
      <c r="C927" s="2" t="s">
        <v>3848</v>
      </c>
      <c r="D927" s="2" t="s">
        <v>1582</v>
      </c>
      <c r="E927" s="2" t="s">
        <v>2478</v>
      </c>
      <c r="F927" s="2" t="s">
        <v>2386</v>
      </c>
      <c r="G927" s="2" t="s">
        <v>3880</v>
      </c>
      <c r="H927" s="2" t="s">
        <v>2116</v>
      </c>
      <c r="I927" s="3" t="b">
        <f>OR(E927 = "calculated", E927 = "lookup", E927 = "aggregation")</f>
        <v>1</v>
      </c>
      <c r="J927" s="3" t="b">
        <f>H927 &lt;&gt; ""</f>
        <v>1</v>
      </c>
      <c r="K927" s="3">
        <f>COUNTIFS(FieldDisagreements!D2:D999, A927)</f>
        <v>0</v>
      </c>
      <c r="L927" s="3" t="b">
        <f>K927 &gt; 0</f>
        <v>0</v>
      </c>
      <c r="M927" s="2" t="s">
        <v>2387</v>
      </c>
    </row>
    <row r="928">
      <c r="A928" s="2" t="s">
        <v>3881</v>
      </c>
      <c r="B928" s="3" t="str">
        <f>C928 &amp; "." &amp; D928</f>
        <v>ChangeRequests.TouchesLiveVersion</v>
      </c>
      <c r="C928" s="2" t="s">
        <v>3848</v>
      </c>
      <c r="D928" s="2" t="s">
        <v>1583</v>
      </c>
      <c r="E928" s="2" t="s">
        <v>2478</v>
      </c>
      <c r="F928" s="2" t="s">
        <v>2401</v>
      </c>
      <c r="G928" s="2" t="s">
        <v>3195</v>
      </c>
      <c r="H928" s="2" t="s">
        <v>2116</v>
      </c>
      <c r="I928" s="3" t="b">
        <f>OR(E928 = "calculated", E928 = "lookup", E928 = "aggregation")</f>
        <v>1</v>
      </c>
      <c r="J928" s="3" t="b">
        <f>H928 &lt;&gt; ""</f>
        <v>1</v>
      </c>
      <c r="K928" s="3">
        <f>COUNTIFS(FieldDisagreements!D2:D999, A928)</f>
        <v>0</v>
      </c>
      <c r="L928" s="3" t="b">
        <f>K928 &gt; 0</f>
        <v>0</v>
      </c>
      <c r="M928" s="2" t="s">
        <v>2387</v>
      </c>
    </row>
    <row r="929">
      <c r="A929" s="2" t="s">
        <v>3882</v>
      </c>
      <c r="B929" s="3" t="str">
        <f>C929 &amp; "." &amp; D929</f>
        <v>ChangeRequests.IsLiveDecisionBacklog</v>
      </c>
      <c r="C929" s="2" t="s">
        <v>3848</v>
      </c>
      <c r="D929" s="2" t="s">
        <v>1584</v>
      </c>
      <c r="E929" s="2" t="s">
        <v>2389</v>
      </c>
      <c r="F929" s="2" t="s">
        <v>2401</v>
      </c>
      <c r="G929" s="2" t="s">
        <v>3883</v>
      </c>
      <c r="H929" s="2" t="s">
        <v>2116</v>
      </c>
      <c r="I929" s="3" t="b">
        <f>OR(E929 = "calculated", E929 = "lookup", E929 = "aggregation")</f>
        <v>1</v>
      </c>
      <c r="J929" s="3" t="b">
        <f>H929 &lt;&gt; ""</f>
        <v>1</v>
      </c>
      <c r="K929" s="3">
        <f>COUNTIFS(FieldDisagreements!D2:D999, A929)</f>
        <v>0</v>
      </c>
      <c r="L929" s="3" t="b">
        <f>K929 &gt; 0</f>
        <v>0</v>
      </c>
      <c r="M929" s="2" t="s">
        <v>2387</v>
      </c>
    </row>
    <row r="930">
      <c r="A930" s="2" t="s">
        <v>3884</v>
      </c>
      <c r="B930" s="3" t="str">
        <f>C930 &amp; "." &amp; D930</f>
        <v>ChangeRequests.BlocksAnOpenGap</v>
      </c>
      <c r="C930" s="2" t="s">
        <v>3848</v>
      </c>
      <c r="D930" s="2" t="s">
        <v>1585</v>
      </c>
      <c r="E930" s="2" t="s">
        <v>2389</v>
      </c>
      <c r="F930" s="2" t="s">
        <v>2401</v>
      </c>
      <c r="G930" s="2" t="s">
        <v>3885</v>
      </c>
      <c r="H930" s="2" t="s">
        <v>2116</v>
      </c>
      <c r="I930" s="3" t="b">
        <f>OR(E930 = "calculated", E930 = "lookup", E930 = "aggregation")</f>
        <v>1</v>
      </c>
      <c r="J930" s="3" t="b">
        <f>H930 &lt;&gt; ""</f>
        <v>1</v>
      </c>
      <c r="K930" s="3">
        <f>COUNTIFS(FieldDisagreements!D2:D999, A930)</f>
        <v>0</v>
      </c>
      <c r="L930" s="3" t="b">
        <f>K930 &gt; 0</f>
        <v>0</v>
      </c>
      <c r="M930" s="2" t="s">
        <v>2387</v>
      </c>
    </row>
    <row r="931">
      <c r="A931" s="2" t="s">
        <v>3886</v>
      </c>
      <c r="B931" s="3" t="str">
        <f>C931 &amp; "." &amp; D931</f>
        <v>ChangeRequests.ImplementedAt</v>
      </c>
      <c r="C931" s="2" t="s">
        <v>3848</v>
      </c>
      <c r="D931" s="2" t="s">
        <v>1586</v>
      </c>
      <c r="E931" s="2" t="s">
        <v>2385</v>
      </c>
      <c r="F931" s="2" t="s">
        <v>2397</v>
      </c>
      <c r="G931" s="2"/>
      <c r="H931" s="2"/>
      <c r="I931" s="3" t="b">
        <f>OR(E931 = "calculated", E931 = "lookup", E931 = "aggregation")</f>
        <v>0</v>
      </c>
      <c r="J931" s="3" t="b">
        <f>H931 &lt;&gt; ""</f>
        <v>0</v>
      </c>
      <c r="K931" s="3">
        <f>COUNTIFS(FieldDisagreements!D2:D999, A931)</f>
        <v>0</v>
      </c>
      <c r="L931" s="3" t="b">
        <f>K931 &gt; 0</f>
        <v>0</v>
      </c>
      <c r="M931" s="2" t="s">
        <v>2387</v>
      </c>
    </row>
    <row r="932">
      <c r="A932" s="2" t="s">
        <v>3887</v>
      </c>
      <c r="B932" s="3" t="str">
        <f>C932 &amp; "." &amp; D932</f>
        <v>ChangeRequests.BacklogVersionKey</v>
      </c>
      <c r="C932" s="2" t="s">
        <v>3848</v>
      </c>
      <c r="D932" s="2" t="s">
        <v>1587</v>
      </c>
      <c r="E932" s="2" t="s">
        <v>2389</v>
      </c>
      <c r="F932" s="2" t="s">
        <v>2386</v>
      </c>
      <c r="G932" s="2" t="s">
        <v>3888</v>
      </c>
      <c r="H932" s="2" t="s">
        <v>2196</v>
      </c>
      <c r="I932" s="3" t="b">
        <f>OR(E932 = "calculated", E932 = "lookup", E932 = "aggregation")</f>
        <v>1</v>
      </c>
      <c r="J932" s="3" t="b">
        <f>H932 &lt;&gt; ""</f>
        <v>1</v>
      </c>
      <c r="K932" s="3">
        <f>COUNTIFS(FieldDisagreements!D2:D999, A932)</f>
        <v>0</v>
      </c>
      <c r="L932" s="3" t="b">
        <f>K932 &gt; 0</f>
        <v>0</v>
      </c>
      <c r="M932" s="2" t="s">
        <v>2387</v>
      </c>
    </row>
    <row r="933">
      <c r="A933" s="2" t="s">
        <v>3889</v>
      </c>
      <c r="B933" s="3" t="str">
        <f>C933 &amp; "." &amp; D933</f>
        <v>ChangeRequests.IsMyPendingDecision</v>
      </c>
      <c r="C933" s="2" t="s">
        <v>3848</v>
      </c>
      <c r="D933" s="2" t="s">
        <v>1588</v>
      </c>
      <c r="E933" s="2" t="s">
        <v>2389</v>
      </c>
      <c r="F933" s="2" t="s">
        <v>2401</v>
      </c>
      <c r="G933" s="2" t="s">
        <v>3890</v>
      </c>
      <c r="H933" s="2" t="s">
        <v>2196</v>
      </c>
      <c r="I933" s="3" t="b">
        <f>OR(E933 = "calculated", E933 = "lookup", E933 = "aggregation")</f>
        <v>1</v>
      </c>
      <c r="J933" s="3" t="b">
        <f>H933 &lt;&gt; ""</f>
        <v>1</v>
      </c>
      <c r="K933" s="3">
        <f>COUNTIFS(FieldDisagreements!D2:D999, A933)</f>
        <v>0</v>
      </c>
      <c r="L933" s="3" t="b">
        <f>K933 &gt; 0</f>
        <v>0</v>
      </c>
      <c r="M933" s="2" t="s">
        <v>2387</v>
      </c>
    </row>
    <row r="934">
      <c r="A934" s="2" t="s">
        <v>3891</v>
      </c>
      <c r="B934" s="3" t="str">
        <f>C934 &amp; "." &amp; D934</f>
        <v>ChangeRequests.IsMyBlockingBacklog</v>
      </c>
      <c r="C934" s="2" t="s">
        <v>3848</v>
      </c>
      <c r="D934" s="2" t="s">
        <v>1589</v>
      </c>
      <c r="E934" s="2" t="s">
        <v>2389</v>
      </c>
      <c r="F934" s="2" t="s">
        <v>2401</v>
      </c>
      <c r="G934" s="2" t="s">
        <v>3892</v>
      </c>
      <c r="H934" s="2" t="s">
        <v>2196</v>
      </c>
      <c r="I934" s="3" t="b">
        <f>OR(E934 = "calculated", E934 = "lookup", E934 = "aggregation")</f>
        <v>1</v>
      </c>
      <c r="J934" s="3" t="b">
        <f>H934 &lt;&gt; ""</f>
        <v>1</v>
      </c>
      <c r="K934" s="3">
        <f>COUNTIFS(FieldDisagreements!D2:D999, A934)</f>
        <v>0</v>
      </c>
      <c r="L934" s="3" t="b">
        <f>K934 &gt; 0</f>
        <v>0</v>
      </c>
      <c r="M934" s="2" t="s">
        <v>2387</v>
      </c>
    </row>
    <row r="935">
      <c r="A935" s="2" t="s">
        <v>3893</v>
      </c>
      <c r="B935" s="3" t="str">
        <f>C935 &amp; "." &amp; D935</f>
        <v>ChangeRequests.IsMyOverdueBacklog</v>
      </c>
      <c r="C935" s="2" t="s">
        <v>3848</v>
      </c>
      <c r="D935" s="2" t="s">
        <v>1590</v>
      </c>
      <c r="E935" s="2" t="s">
        <v>2389</v>
      </c>
      <c r="F935" s="2" t="s">
        <v>2401</v>
      </c>
      <c r="G935" s="2" t="s">
        <v>3894</v>
      </c>
      <c r="H935" s="2" t="s">
        <v>2196</v>
      </c>
      <c r="I935" s="3" t="b">
        <f>OR(E935 = "calculated", E935 = "lookup", E935 = "aggregation")</f>
        <v>1</v>
      </c>
      <c r="J935" s="3" t="b">
        <f>H935 &lt;&gt; ""</f>
        <v>1</v>
      </c>
      <c r="K935" s="3">
        <f>COUNTIFS(FieldDisagreements!D2:D999, A935)</f>
        <v>0</v>
      </c>
      <c r="L935" s="3" t="b">
        <f>K935 &gt; 0</f>
        <v>0</v>
      </c>
      <c r="M935" s="2" t="s">
        <v>2387</v>
      </c>
    </row>
    <row r="936">
      <c r="A936" s="2" t="s">
        <v>3895</v>
      </c>
      <c r="B936" s="3" t="str">
        <f>C936 &amp; "." &amp; D936</f>
        <v>ChangeRequests.IsImplemented</v>
      </c>
      <c r="C936" s="2" t="s">
        <v>3848</v>
      </c>
      <c r="D936" s="2" t="s">
        <v>1591</v>
      </c>
      <c r="E936" s="2" t="s">
        <v>2389</v>
      </c>
      <c r="F936" s="2" t="s">
        <v>2401</v>
      </c>
      <c r="G936" s="2" t="s">
        <v>3896</v>
      </c>
      <c r="H936" s="2" t="s">
        <v>2208</v>
      </c>
      <c r="I936" s="3" t="b">
        <f>OR(E936 = "calculated", E936 = "lookup", E936 = "aggregation")</f>
        <v>1</v>
      </c>
      <c r="J936" s="3" t="b">
        <f>H936 &lt;&gt; ""</f>
        <v>1</v>
      </c>
      <c r="K936" s="3">
        <f>COUNTIFS(FieldDisagreements!D2:D999, A936)</f>
        <v>0</v>
      </c>
      <c r="L936" s="3" t="b">
        <f>K936 &gt; 0</f>
        <v>0</v>
      </c>
      <c r="M936" s="2" t="s">
        <v>2387</v>
      </c>
    </row>
    <row r="937">
      <c r="A937" s="2" t="s">
        <v>3897</v>
      </c>
      <c r="B937" s="3" t="str">
        <f>C937 &amp; "." &amp; D937</f>
        <v>ChangeRequests.IsMyDecidedRequest</v>
      </c>
      <c r="C937" s="2" t="s">
        <v>3848</v>
      </c>
      <c r="D937" s="2" t="s">
        <v>1592</v>
      </c>
      <c r="E937" s="2" t="s">
        <v>2389</v>
      </c>
      <c r="F937" s="2" t="s">
        <v>2401</v>
      </c>
      <c r="G937" s="2" t="s">
        <v>3898</v>
      </c>
      <c r="H937" s="2" t="s">
        <v>2208</v>
      </c>
      <c r="I937" s="3" t="b">
        <f>OR(E937 = "calculated", E937 = "lookup", E937 = "aggregation")</f>
        <v>1</v>
      </c>
      <c r="J937" s="3" t="b">
        <f>H937 &lt;&gt; ""</f>
        <v>1</v>
      </c>
      <c r="K937" s="3">
        <f>COUNTIFS(FieldDisagreements!D2:D999, A937)</f>
        <v>0</v>
      </c>
      <c r="L937" s="3" t="b">
        <f>K937 &gt; 0</f>
        <v>0</v>
      </c>
      <c r="M937" s="2" t="s">
        <v>2387</v>
      </c>
    </row>
    <row r="938">
      <c r="A938" s="2" t="s">
        <v>3899</v>
      </c>
      <c r="B938" s="3" t="str">
        <f>C938 &amp; "." &amp; D938</f>
        <v>ChangeRequests.IsMyDecidedButUnlanded</v>
      </c>
      <c r="C938" s="2" t="s">
        <v>3848</v>
      </c>
      <c r="D938" s="2" t="s">
        <v>1593</v>
      </c>
      <c r="E938" s="2" t="s">
        <v>2389</v>
      </c>
      <c r="F938" s="2" t="s">
        <v>2401</v>
      </c>
      <c r="G938" s="2" t="s">
        <v>3900</v>
      </c>
      <c r="H938" s="2" t="s">
        <v>2208</v>
      </c>
      <c r="I938" s="3" t="b">
        <f>OR(E938 = "calculated", E938 = "lookup", E938 = "aggregation")</f>
        <v>1</v>
      </c>
      <c r="J938" s="3" t="b">
        <f>H938 &lt;&gt; ""</f>
        <v>1</v>
      </c>
      <c r="K938" s="3">
        <f>COUNTIFS(FieldDisagreements!D2:D999, A938)</f>
        <v>0</v>
      </c>
      <c r="L938" s="3" t="b">
        <f>K938 &gt; 0</f>
        <v>0</v>
      </c>
      <c r="M938" s="2" t="s">
        <v>2387</v>
      </c>
    </row>
    <row r="939">
      <c r="A939" s="2" t="s">
        <v>3901</v>
      </c>
      <c r="B939" s="3" t="str">
        <f>C939 &amp; "." &amp; D939</f>
        <v>ChangeRequests.DecisionLatencyDays</v>
      </c>
      <c r="C939" s="2" t="s">
        <v>3848</v>
      </c>
      <c r="D939" s="2" t="s">
        <v>1594</v>
      </c>
      <c r="E939" s="2" t="s">
        <v>2389</v>
      </c>
      <c r="F939" s="2" t="s">
        <v>2439</v>
      </c>
      <c r="G939" s="2" t="s">
        <v>3902</v>
      </c>
      <c r="H939" s="2" t="s">
        <v>2208</v>
      </c>
      <c r="I939" s="3" t="b">
        <f>OR(E939 = "calculated", E939 = "lookup", E939 = "aggregation")</f>
        <v>1</v>
      </c>
      <c r="J939" s="3" t="b">
        <f>H939 &lt;&gt; ""</f>
        <v>1</v>
      </c>
      <c r="K939" s="3">
        <f>COUNTIFS(FieldDisagreements!D2:D999, A939)</f>
        <v>7</v>
      </c>
      <c r="L939" s="3" t="b">
        <f>K939 &gt; 0</f>
        <v>1</v>
      </c>
      <c r="M939" s="2" t="s">
        <v>2387</v>
      </c>
    </row>
    <row r="940">
      <c r="A940" s="2" t="s">
        <v>3903</v>
      </c>
      <c r="B940" s="3" t="str">
        <f>C940 &amp; "." &amp; D940</f>
        <v>ChangeRequests.ImplementationLatencyDays</v>
      </c>
      <c r="C940" s="2" t="s">
        <v>3848</v>
      </c>
      <c r="D940" s="2" t="s">
        <v>1595</v>
      </c>
      <c r="E940" s="2" t="s">
        <v>2389</v>
      </c>
      <c r="F940" s="2" t="s">
        <v>2439</v>
      </c>
      <c r="G940" s="2" t="s">
        <v>3904</v>
      </c>
      <c r="H940" s="2" t="s">
        <v>2208</v>
      </c>
      <c r="I940" s="3" t="b">
        <f>OR(E940 = "calculated", E940 = "lookup", E940 = "aggregation")</f>
        <v>1</v>
      </c>
      <c r="J940" s="3" t="b">
        <f>H940 &lt;&gt; ""</f>
        <v>1</v>
      </c>
      <c r="K940" s="3">
        <f>COUNTIFS(FieldDisagreements!D2:D999, A940)</f>
        <v>0</v>
      </c>
      <c r="L940" s="3" t="b">
        <f>K940 &gt; 0</f>
        <v>0</v>
      </c>
      <c r="M940" s="2" t="s">
        <v>2387</v>
      </c>
    </row>
    <row r="941">
      <c r="A941" s="2" t="s">
        <v>3905</v>
      </c>
      <c r="B941" s="3" t="str">
        <f>C941 &amp; "." &amp; D941</f>
        <v>ChangeRequests.DelayIsDownstreamOfMe</v>
      </c>
      <c r="C941" s="2" t="s">
        <v>3848</v>
      </c>
      <c r="D941" s="2" t="s">
        <v>1596</v>
      </c>
      <c r="E941" s="2" t="s">
        <v>2389</v>
      </c>
      <c r="F941" s="2" t="s">
        <v>2401</v>
      </c>
      <c r="G941" s="2" t="s">
        <v>3906</v>
      </c>
      <c r="H941" s="2" t="s">
        <v>2208</v>
      </c>
      <c r="I941" s="3" t="b">
        <f>OR(E941 = "calculated", E941 = "lookup", E941 = "aggregation")</f>
        <v>1</v>
      </c>
      <c r="J941" s="3" t="b">
        <f>H941 &lt;&gt; ""</f>
        <v>1</v>
      </c>
      <c r="K941" s="3">
        <f>COUNTIFS(FieldDisagreements!D2:D999, A941)</f>
        <v>0</v>
      </c>
      <c r="L941" s="3" t="b">
        <f>K941 &gt; 0</f>
        <v>0</v>
      </c>
      <c r="M941" s="2" t="s">
        <v>2387</v>
      </c>
    </row>
    <row r="942">
      <c r="A942" s="2" t="s">
        <v>3907</v>
      </c>
      <c r="B942" s="3" t="str">
        <f>C942 &amp; "." &amp; D942</f>
        <v>ChangeRequests.UnlandedVersionKey</v>
      </c>
      <c r="C942" s="2" t="s">
        <v>3848</v>
      </c>
      <c r="D942" s="2" t="s">
        <v>1597</v>
      </c>
      <c r="E942" s="2" t="s">
        <v>2389</v>
      </c>
      <c r="F942" s="2" t="s">
        <v>2386</v>
      </c>
      <c r="G942" s="2" t="s">
        <v>3908</v>
      </c>
      <c r="H942" s="2" t="s">
        <v>2208</v>
      </c>
      <c r="I942" s="3" t="b">
        <f>OR(E942 = "calculated", E942 = "lookup", E942 = "aggregation")</f>
        <v>1</v>
      </c>
      <c r="J942" s="3" t="b">
        <f>H942 &lt;&gt; ""</f>
        <v>1</v>
      </c>
      <c r="K942" s="3">
        <f>COUNTIFS(FieldDisagreements!D2:D999, A942)</f>
        <v>0</v>
      </c>
      <c r="L942" s="3" t="b">
        <f>K942 &gt; 0</f>
        <v>0</v>
      </c>
      <c r="M942" s="2" t="s">
        <v>2387</v>
      </c>
    </row>
    <row r="943">
      <c r="A943" s="2" t="s">
        <v>3909</v>
      </c>
      <c r="B943" s="3" t="str">
        <f>C943 &amp; "." &amp; D943</f>
        <v>ChangeRequests.IsApprovedNotImplemented</v>
      </c>
      <c r="C943" s="2" t="s">
        <v>3848</v>
      </c>
      <c r="D943" s="2" t="s">
        <v>1598</v>
      </c>
      <c r="E943" s="2" t="s">
        <v>2389</v>
      </c>
      <c r="F943" s="2" t="s">
        <v>2401</v>
      </c>
      <c r="G943" s="2" t="s">
        <v>3910</v>
      </c>
      <c r="H943" s="2" t="s">
        <v>2228</v>
      </c>
      <c r="I943" s="3" t="b">
        <f>OR(E943 = "calculated", E943 = "lookup", E943 = "aggregation")</f>
        <v>1</v>
      </c>
      <c r="J943" s="3" t="b">
        <f>H943 &lt;&gt; ""</f>
        <v>1</v>
      </c>
      <c r="K943" s="3">
        <f>COUNTIFS(FieldDisagreements!D2:D999, A943)</f>
        <v>0</v>
      </c>
      <c r="L943" s="3" t="b">
        <f>K943 &gt; 0</f>
        <v>0</v>
      </c>
      <c r="M943" s="2" t="s">
        <v>2387</v>
      </c>
    </row>
    <row r="944">
      <c r="A944" s="2" t="s">
        <v>3911</v>
      </c>
      <c r="B944" s="3" t="str">
        <f>C944 &amp; "." &amp; D944</f>
        <v>ChangeRequests.DaysSinceApproval</v>
      </c>
      <c r="C944" s="2" t="s">
        <v>3848</v>
      </c>
      <c r="D944" s="2" t="s">
        <v>1599</v>
      </c>
      <c r="E944" s="2" t="s">
        <v>2389</v>
      </c>
      <c r="F944" s="2" t="s">
        <v>2439</v>
      </c>
      <c r="G944" s="2" t="s">
        <v>3912</v>
      </c>
      <c r="H944" s="2" t="s">
        <v>2228</v>
      </c>
      <c r="I944" s="3" t="b">
        <f>OR(E944 = "calculated", E944 = "lookup", E944 = "aggregation")</f>
        <v>1</v>
      </c>
      <c r="J944" s="3" t="b">
        <f>H944 &lt;&gt; ""</f>
        <v>1</v>
      </c>
      <c r="K944" s="3">
        <f>COUNTIFS(FieldDisagreements!D2:D999, A944)</f>
        <v>0</v>
      </c>
      <c r="L944" s="3" t="b">
        <f>K944 &gt; 0</f>
        <v>0</v>
      </c>
      <c r="M944" s="2" t="s">
        <v>2387</v>
      </c>
    </row>
    <row r="945">
      <c r="A945" s="2" t="s">
        <v>3913</v>
      </c>
      <c r="B945" s="3" t="str">
        <f>C945 &amp; "." &amp; D945</f>
        <v>ChangeRequests.IsStalledImplementation</v>
      </c>
      <c r="C945" s="2" t="s">
        <v>3848</v>
      </c>
      <c r="D945" s="2" t="s">
        <v>1600</v>
      </c>
      <c r="E945" s="2" t="s">
        <v>2389</v>
      </c>
      <c r="F945" s="2" t="s">
        <v>2401</v>
      </c>
      <c r="G945" s="2" t="s">
        <v>3914</v>
      </c>
      <c r="H945" s="2" t="s">
        <v>2228</v>
      </c>
      <c r="I945" s="3" t="b">
        <f>OR(E945 = "calculated", E945 = "lookup", E945 = "aggregation")</f>
        <v>1</v>
      </c>
      <c r="J945" s="3" t="b">
        <f>H945 &lt;&gt; ""</f>
        <v>1</v>
      </c>
      <c r="K945" s="3">
        <f>COUNTIFS(FieldDisagreements!D2:D999, A945)</f>
        <v>0</v>
      </c>
      <c r="L945" s="3" t="b">
        <f>K945 &gt; 0</f>
        <v>0</v>
      </c>
      <c r="M945" s="2" t="s">
        <v>2387</v>
      </c>
    </row>
    <row r="946">
      <c r="A946" s="2" t="s">
        <v>3915</v>
      </c>
      <c r="B946" s="3" t="str">
        <f>C946 &amp; "." &amp; D946</f>
        <v>ChangeRequests.StalledImplementationVersionKey</v>
      </c>
      <c r="C946" s="2" t="s">
        <v>3848</v>
      </c>
      <c r="D946" s="2" t="s">
        <v>1601</v>
      </c>
      <c r="E946" s="2" t="s">
        <v>2389</v>
      </c>
      <c r="F946" s="2" t="s">
        <v>2386</v>
      </c>
      <c r="G946" s="2" t="s">
        <v>3916</v>
      </c>
      <c r="H946" s="2" t="s">
        <v>2228</v>
      </c>
      <c r="I946" s="3" t="b">
        <f>OR(E946 = "calculated", E946 = "lookup", E946 = "aggregation")</f>
        <v>1</v>
      </c>
      <c r="J946" s="3" t="b">
        <f>H946 &lt;&gt; ""</f>
        <v>1</v>
      </c>
      <c r="K946" s="3">
        <f>COUNTIFS(FieldDisagreements!D2:D999, A946)</f>
        <v>0</v>
      </c>
      <c r="L946" s="3" t="b">
        <f>K946 &gt; 0</f>
        <v>0</v>
      </c>
      <c r="M946" s="2" t="s">
        <v>2387</v>
      </c>
    </row>
    <row r="947">
      <c r="A947" s="2" t="s">
        <v>3917</v>
      </c>
      <c r="B947" s="3" t="str">
        <f>C947 &amp; "." &amp; D947</f>
        <v>ChangeRequests.ApprovedVersionKey</v>
      </c>
      <c r="C947" s="2" t="s">
        <v>3848</v>
      </c>
      <c r="D947" s="2" t="s">
        <v>1602</v>
      </c>
      <c r="E947" s="2" t="s">
        <v>2389</v>
      </c>
      <c r="F947" s="2" t="s">
        <v>2386</v>
      </c>
      <c r="G947" s="2" t="s">
        <v>3918</v>
      </c>
      <c r="H947" s="2" t="s">
        <v>2272</v>
      </c>
      <c r="I947" s="3" t="b">
        <f>OR(E947 = "calculated", E947 = "lookup", E947 = "aggregation")</f>
        <v>1</v>
      </c>
      <c r="J947" s="3" t="b">
        <f>H947 &lt;&gt; ""</f>
        <v>1</v>
      </c>
      <c r="K947" s="3">
        <f>COUNTIFS(FieldDisagreements!D2:D999, A947)</f>
        <v>0</v>
      </c>
      <c r="L947" s="3" t="b">
        <f>K947 &gt; 0</f>
        <v>0</v>
      </c>
      <c r="M947" s="2" t="s">
        <v>2387</v>
      </c>
    </row>
    <row r="948">
      <c r="A948" s="2" t="s">
        <v>3919</v>
      </c>
      <c r="B948" s="3" t="str">
        <f>C948 &amp; "." &amp; D948</f>
        <v>ChangeRequests.IsApprovedDecision</v>
      </c>
      <c r="C948" s="2" t="s">
        <v>3848</v>
      </c>
      <c r="D948" s="2" t="s">
        <v>1603</v>
      </c>
      <c r="E948" s="2" t="s">
        <v>2389</v>
      </c>
      <c r="F948" s="2" t="s">
        <v>2401</v>
      </c>
      <c r="G948" s="2" t="s">
        <v>3188</v>
      </c>
      <c r="H948" s="2" t="s">
        <v>2272</v>
      </c>
      <c r="I948" s="3" t="b">
        <f>OR(E948 = "calculated", E948 = "lookup", E948 = "aggregation")</f>
        <v>1</v>
      </c>
      <c r="J948" s="3" t="b">
        <f>H948 &lt;&gt; ""</f>
        <v>1</v>
      </c>
      <c r="K948" s="3">
        <f>COUNTIFS(FieldDisagreements!D2:D999, A948)</f>
        <v>0</v>
      </c>
      <c r="L948" s="3" t="b">
        <f>K948 &gt; 0</f>
        <v>0</v>
      </c>
      <c r="M948" s="2" t="s">
        <v>2387</v>
      </c>
    </row>
    <row r="949">
      <c r="A949" s="2" t="s">
        <v>3920</v>
      </c>
      <c r="B949" s="3" t="str">
        <f>C949 &amp; "." &amp; D949</f>
        <v>ChangeRequests.SemanticTypeIri</v>
      </c>
      <c r="C949" s="2" t="s">
        <v>3848</v>
      </c>
      <c r="D949" s="2" t="s">
        <v>94</v>
      </c>
      <c r="E949" s="2" t="s">
        <v>2385</v>
      </c>
      <c r="F949" s="2" t="s">
        <v>2386</v>
      </c>
      <c r="G949" s="2"/>
      <c r="H949" s="2"/>
      <c r="I949" s="3" t="b">
        <f>OR(E949 = "calculated", E949 = "lookup", E949 = "aggregation")</f>
        <v>0</v>
      </c>
      <c r="J949" s="3" t="b">
        <f>H949 &lt;&gt; ""</f>
        <v>0</v>
      </c>
      <c r="K949" s="3">
        <f>COUNTIFS(FieldDisagreements!D2:D999, A949)</f>
        <v>0</v>
      </c>
      <c r="L949" s="3" t="b">
        <f>K949 &gt; 0</f>
        <v>0</v>
      </c>
      <c r="M949" s="2" t="s">
        <v>2387</v>
      </c>
    </row>
    <row r="950">
      <c r="A950" s="2" t="s">
        <v>3921</v>
      </c>
      <c r="B950" s="3" t="str">
        <f>C950 &amp; "." &amp; D950</f>
        <v>ReviewEvents.ReviewEventId</v>
      </c>
      <c r="C950" s="2" t="s">
        <v>3922</v>
      </c>
      <c r="D950" s="2" t="s">
        <v>1611</v>
      </c>
      <c r="E950" s="2" t="s">
        <v>2385</v>
      </c>
      <c r="F950" s="2" t="s">
        <v>2386</v>
      </c>
      <c r="G950" s="2"/>
      <c r="H950" s="2"/>
      <c r="I950" s="3" t="b">
        <f>OR(E950 = "calculated", E950 = "lookup", E950 = "aggregation")</f>
        <v>0</v>
      </c>
      <c r="J950" s="3" t="b">
        <f>H950 &lt;&gt; ""</f>
        <v>0</v>
      </c>
      <c r="K950" s="3">
        <f>COUNTIFS(FieldDisagreements!D2:D999, A950)</f>
        <v>0</v>
      </c>
      <c r="L950" s="3" t="b">
        <f>K950 &gt; 0</f>
        <v>0</v>
      </c>
      <c r="M950" s="2" t="s">
        <v>2387</v>
      </c>
    </row>
    <row r="951">
      <c r="A951" s="2" t="s">
        <v>3923</v>
      </c>
      <c r="B951" s="3" t="str">
        <f>C951 &amp; "." &amp; D951</f>
        <v>ReviewEvents.Name</v>
      </c>
      <c r="C951" s="2" t="s">
        <v>3922</v>
      </c>
      <c r="D951" s="2" t="s">
        <v>1</v>
      </c>
      <c r="E951" s="2" t="s">
        <v>2389</v>
      </c>
      <c r="F951" s="2" t="s">
        <v>2386</v>
      </c>
      <c r="G951" s="2" t="s">
        <v>3924</v>
      </c>
      <c r="H951" s="2"/>
      <c r="I951" s="3" t="b">
        <f>OR(E951 = "calculated", E951 = "lookup", E951 = "aggregation")</f>
        <v>1</v>
      </c>
      <c r="J951" s="3" t="b">
        <f>H951 &lt;&gt; ""</f>
        <v>0</v>
      </c>
      <c r="K951" s="3">
        <f>COUNTIFS(FieldDisagreements!D2:D999, A951)</f>
        <v>0</v>
      </c>
      <c r="L951" s="3" t="b">
        <f>K951 &gt; 0</f>
        <v>0</v>
      </c>
      <c r="M951" s="2" t="s">
        <v>2387</v>
      </c>
    </row>
    <row r="952">
      <c r="A952" s="2" t="s">
        <v>3925</v>
      </c>
      <c r="B952" s="3" t="str">
        <f>C952 &amp; "." &amp; D952</f>
        <v>ReviewEvents.ProcedureVersion</v>
      </c>
      <c r="C952" s="2" t="s">
        <v>3922</v>
      </c>
      <c r="D952" s="2" t="s">
        <v>477</v>
      </c>
      <c r="E952" s="2" t="s">
        <v>2434</v>
      </c>
      <c r="F952" s="2" t="s">
        <v>2386</v>
      </c>
      <c r="G952" s="2"/>
      <c r="H952" s="2"/>
      <c r="I952" s="3" t="b">
        <f>OR(E952 = "calculated", E952 = "lookup", E952 = "aggregation")</f>
        <v>0</v>
      </c>
      <c r="J952" s="3" t="b">
        <f>H952 &lt;&gt; ""</f>
        <v>0</v>
      </c>
      <c r="K952" s="3">
        <f>COUNTIFS(FieldDisagreements!D2:D999, A952)</f>
        <v>0</v>
      </c>
      <c r="L952" s="3" t="b">
        <f>K952 &gt; 0</f>
        <v>0</v>
      </c>
      <c r="M952" s="2" t="s">
        <v>2387</v>
      </c>
    </row>
    <row r="953">
      <c r="A953" s="2" t="s">
        <v>3926</v>
      </c>
      <c r="B953" s="3" t="str">
        <f>C953 &amp; "." &amp; D953</f>
        <v>ReviewEvents.ReviewKind</v>
      </c>
      <c r="C953" s="2" t="s">
        <v>3922</v>
      </c>
      <c r="D953" s="2" t="s">
        <v>1612</v>
      </c>
      <c r="E953" s="2" t="s">
        <v>2385</v>
      </c>
      <c r="F953" s="2" t="s">
        <v>2386</v>
      </c>
      <c r="G953" s="2"/>
      <c r="H953" s="2"/>
      <c r="I953" s="3" t="b">
        <f>OR(E953 = "calculated", E953 = "lookup", E953 = "aggregation")</f>
        <v>0</v>
      </c>
      <c r="J953" s="3" t="b">
        <f>H953 &lt;&gt; ""</f>
        <v>0</v>
      </c>
      <c r="K953" s="3">
        <f>COUNTIFS(FieldDisagreements!D2:D999, A953)</f>
        <v>0</v>
      </c>
      <c r="L953" s="3" t="b">
        <f>K953 &gt; 0</f>
        <v>0</v>
      </c>
      <c r="M953" s="2" t="s">
        <v>2387</v>
      </c>
    </row>
    <row r="954">
      <c r="A954" s="2" t="s">
        <v>3927</v>
      </c>
      <c r="B954" s="3" t="str">
        <f>C954 &amp; "." &amp; D954</f>
        <v>ReviewEvents.ReviewedAt</v>
      </c>
      <c r="C954" s="2" t="s">
        <v>3922</v>
      </c>
      <c r="D954" s="2" t="s">
        <v>1613</v>
      </c>
      <c r="E954" s="2" t="s">
        <v>2385</v>
      </c>
      <c r="F954" s="2" t="s">
        <v>2397</v>
      </c>
      <c r="G954" s="2"/>
      <c r="H954" s="2"/>
      <c r="I954" s="3" t="b">
        <f>OR(E954 = "calculated", E954 = "lookup", E954 = "aggregation")</f>
        <v>0</v>
      </c>
      <c r="J954" s="3" t="b">
        <f>H954 &lt;&gt; ""</f>
        <v>0</v>
      </c>
      <c r="K954" s="3">
        <f>COUNTIFS(FieldDisagreements!D2:D999, A954)</f>
        <v>0</v>
      </c>
      <c r="L954" s="3" t="b">
        <f>K954 &gt; 0</f>
        <v>0</v>
      </c>
      <c r="M954" s="2" t="s">
        <v>2387</v>
      </c>
    </row>
    <row r="955">
      <c r="A955" s="2" t="s">
        <v>3928</v>
      </c>
      <c r="B955" s="3" t="str">
        <f>C955 &amp; "." &amp; D955</f>
        <v>ReviewEvents.ReviewedByAgent</v>
      </c>
      <c r="C955" s="2" t="s">
        <v>3922</v>
      </c>
      <c r="D955" s="2" t="s">
        <v>1614</v>
      </c>
      <c r="E955" s="2" t="s">
        <v>2434</v>
      </c>
      <c r="F955" s="2" t="s">
        <v>2386</v>
      </c>
      <c r="G955" s="2"/>
      <c r="H955" s="2"/>
      <c r="I955" s="3" t="b">
        <f>OR(E955 = "calculated", E955 = "lookup", E955 = "aggregation")</f>
        <v>0</v>
      </c>
      <c r="J955" s="3" t="b">
        <f>H955 &lt;&gt; ""</f>
        <v>0</v>
      </c>
      <c r="K955" s="3">
        <f>COUNTIFS(FieldDisagreements!D2:D999, A955)</f>
        <v>0</v>
      </c>
      <c r="L955" s="3" t="b">
        <f>K955 &gt; 0</f>
        <v>0</v>
      </c>
      <c r="M955" s="2" t="s">
        <v>2387</v>
      </c>
    </row>
    <row r="956">
      <c r="A956" s="2" t="s">
        <v>3929</v>
      </c>
      <c r="B956" s="3" t="str">
        <f>C956 &amp; "." &amp; D956</f>
        <v>ReviewEvents.Outcome</v>
      </c>
      <c r="C956" s="2" t="s">
        <v>3922</v>
      </c>
      <c r="D956" s="2" t="s">
        <v>1615</v>
      </c>
      <c r="E956" s="2" t="s">
        <v>2385</v>
      </c>
      <c r="F956" s="2" t="s">
        <v>2386</v>
      </c>
      <c r="G956" s="2"/>
      <c r="H956" s="2"/>
      <c r="I956" s="3" t="b">
        <f>OR(E956 = "calculated", E956 = "lookup", E956 = "aggregation")</f>
        <v>0</v>
      </c>
      <c r="J956" s="3" t="b">
        <f>H956 &lt;&gt; ""</f>
        <v>0</v>
      </c>
      <c r="K956" s="3">
        <f>COUNTIFS(FieldDisagreements!D2:D999, A956)</f>
        <v>0</v>
      </c>
      <c r="L956" s="3" t="b">
        <f>K956 &gt; 0</f>
        <v>0</v>
      </c>
      <c r="M956" s="2" t="s">
        <v>2387</v>
      </c>
    </row>
    <row r="957">
      <c r="A957" s="2" t="s">
        <v>3930</v>
      </c>
      <c r="B957" s="3" t="str">
        <f>C957 &amp; "." &amp; D957</f>
        <v>ReviewEvents.RelatedChangeRequest</v>
      </c>
      <c r="C957" s="2" t="s">
        <v>3922</v>
      </c>
      <c r="D957" s="2" t="s">
        <v>1616</v>
      </c>
      <c r="E957" s="2" t="s">
        <v>2434</v>
      </c>
      <c r="F957" s="2" t="s">
        <v>2386</v>
      </c>
      <c r="G957" s="2"/>
      <c r="H957" s="2"/>
      <c r="I957" s="3" t="b">
        <f>OR(E957 = "calculated", E957 = "lookup", E957 = "aggregation")</f>
        <v>0</v>
      </c>
      <c r="J957" s="3" t="b">
        <f>H957 &lt;&gt; ""</f>
        <v>0</v>
      </c>
      <c r="K957" s="3">
        <f>COUNTIFS(FieldDisagreements!D2:D999, A957)</f>
        <v>0</v>
      </c>
      <c r="L957" s="3" t="b">
        <f>K957 &gt; 0</f>
        <v>0</v>
      </c>
      <c r="M957" s="2" t="s">
        <v>2387</v>
      </c>
    </row>
    <row r="958">
      <c r="A958" s="2" t="s">
        <v>3931</v>
      </c>
      <c r="B958" s="3" t="str">
        <f>C958 &amp; "." &amp; D958</f>
        <v>ReviewEvents.NextReviewDue</v>
      </c>
      <c r="C958" s="2" t="s">
        <v>3922</v>
      </c>
      <c r="D958" s="2" t="s">
        <v>1617</v>
      </c>
      <c r="E958" s="2" t="s">
        <v>2385</v>
      </c>
      <c r="F958" s="2" t="s">
        <v>2397</v>
      </c>
      <c r="G958" s="2"/>
      <c r="H958" s="2"/>
      <c r="I958" s="3" t="b">
        <f>OR(E958 = "calculated", E958 = "lookup", E958 = "aggregation")</f>
        <v>0</v>
      </c>
      <c r="J958" s="3" t="b">
        <f>H958 &lt;&gt; ""</f>
        <v>0</v>
      </c>
      <c r="K958" s="3">
        <f>COUNTIFS(FieldDisagreements!D2:D999, A958)</f>
        <v>0</v>
      </c>
      <c r="L958" s="3" t="b">
        <f>K958 &gt; 0</f>
        <v>0</v>
      </c>
      <c r="M958" s="2" t="s">
        <v>2387</v>
      </c>
    </row>
    <row r="959">
      <c r="A959" s="2" t="s">
        <v>3932</v>
      </c>
      <c r="B959" s="3" t="str">
        <f>C959 &amp; "." &amp; D959</f>
        <v>ReviewEvents.EvaluationContext</v>
      </c>
      <c r="C959" s="2" t="s">
        <v>3922</v>
      </c>
      <c r="D959" s="2" t="s">
        <v>258</v>
      </c>
      <c r="E959" s="2" t="s">
        <v>2434</v>
      </c>
      <c r="F959" s="2" t="s">
        <v>2386</v>
      </c>
      <c r="G959" s="2"/>
      <c r="H959" s="2"/>
      <c r="I959" s="3" t="b">
        <f>OR(E959 = "calculated", E959 = "lookup", E959 = "aggregation")</f>
        <v>0</v>
      </c>
      <c r="J959" s="3" t="b">
        <f>H959 &lt;&gt; ""</f>
        <v>0</v>
      </c>
      <c r="K959" s="3">
        <f>COUNTIFS(FieldDisagreements!D2:D999, A959)</f>
        <v>0</v>
      </c>
      <c r="L959" s="3" t="b">
        <f>K959 &gt; 0</f>
        <v>0</v>
      </c>
      <c r="M959" s="2" t="s">
        <v>2387</v>
      </c>
    </row>
    <row r="960">
      <c r="A960" s="2" t="s">
        <v>3933</v>
      </c>
      <c r="B960" s="3" t="str">
        <f>C960 &amp; "." &amp; D960</f>
        <v>ReviewEvents.AsOfInstant</v>
      </c>
      <c r="C960" s="2" t="s">
        <v>3922</v>
      </c>
      <c r="D960" s="2" t="s">
        <v>92</v>
      </c>
      <c r="E960" s="2" t="s">
        <v>2478</v>
      </c>
      <c r="F960" s="2" t="s">
        <v>2397</v>
      </c>
      <c r="G960" s="2" t="s">
        <v>2524</v>
      </c>
      <c r="H960" s="2"/>
      <c r="I960" s="3" t="b">
        <f>OR(E960 = "calculated", E960 = "lookup", E960 = "aggregation")</f>
        <v>1</v>
      </c>
      <c r="J960" s="3" t="b">
        <f>H960 &lt;&gt; ""</f>
        <v>0</v>
      </c>
      <c r="K960" s="3">
        <f>COUNTIFS(FieldDisagreements!D2:D999, A960)</f>
        <v>1</v>
      </c>
      <c r="L960" s="3" t="b">
        <f>K960 &gt; 0</f>
        <v>1</v>
      </c>
      <c r="M960" s="2" t="s">
        <v>2387</v>
      </c>
    </row>
    <row r="961">
      <c r="A961" s="2" t="s">
        <v>3934</v>
      </c>
      <c r="B961" s="3" t="str">
        <f>C961 &amp; "." &amp; D961</f>
        <v>ReviewEvents.IsOverdue</v>
      </c>
      <c r="C961" s="2" t="s">
        <v>3922</v>
      </c>
      <c r="D961" s="2" t="s">
        <v>1618</v>
      </c>
      <c r="E961" s="2" t="s">
        <v>2389</v>
      </c>
      <c r="F961" s="2" t="s">
        <v>2401</v>
      </c>
      <c r="G961" s="2" t="s">
        <v>3935</v>
      </c>
      <c r="H961" s="2"/>
      <c r="I961" s="3" t="b">
        <f>OR(E961 = "calculated", E961 = "lookup", E961 = "aggregation")</f>
        <v>1</v>
      </c>
      <c r="J961" s="3" t="b">
        <f>H961 &lt;&gt; ""</f>
        <v>0</v>
      </c>
      <c r="K961" s="3">
        <f>COUNTIFS(FieldDisagreements!D2:D999, A961)</f>
        <v>0</v>
      </c>
      <c r="L961" s="3" t="b">
        <f>K961 &gt; 0</f>
        <v>0</v>
      </c>
      <c r="M961" s="2" t="s">
        <v>2387</v>
      </c>
    </row>
    <row r="962">
      <c r="A962" s="2" t="s">
        <v>3936</v>
      </c>
      <c r="B962" s="3" t="str">
        <f>C962 &amp; "." &amp; D962</f>
        <v>ReviewEvents.OverdueVersionKey</v>
      </c>
      <c r="C962" s="2" t="s">
        <v>3922</v>
      </c>
      <c r="D962" s="2" t="s">
        <v>1619</v>
      </c>
      <c r="E962" s="2" t="s">
        <v>2389</v>
      </c>
      <c r="F962" s="2" t="s">
        <v>2386</v>
      </c>
      <c r="G962" s="2" t="s">
        <v>3937</v>
      </c>
      <c r="H962" s="2" t="s">
        <v>1980</v>
      </c>
      <c r="I962" s="3" t="b">
        <f>OR(E962 = "calculated", E962 = "lookup", E962 = "aggregation")</f>
        <v>1</v>
      </c>
      <c r="J962" s="3" t="b">
        <f>H962 &lt;&gt; ""</f>
        <v>1</v>
      </c>
      <c r="K962" s="3">
        <f>COUNTIFS(FieldDisagreements!D2:D999, A962)</f>
        <v>0</v>
      </c>
      <c r="L962" s="3" t="b">
        <f>K962 &gt; 0</f>
        <v>0</v>
      </c>
      <c r="M962" s="2" t="s">
        <v>2387</v>
      </c>
    </row>
    <row r="963">
      <c r="A963" s="2" t="s">
        <v>3938</v>
      </c>
      <c r="B963" s="3" t="str">
        <f>C963 &amp; "." &amp; D963</f>
        <v>ReviewEvents.PromisedCadenceDays</v>
      </c>
      <c r="C963" s="2" t="s">
        <v>3922</v>
      </c>
      <c r="D963" s="2" t="s">
        <v>1620</v>
      </c>
      <c r="E963" s="2" t="s">
        <v>2478</v>
      </c>
      <c r="F963" s="2" t="s">
        <v>2439</v>
      </c>
      <c r="G963" s="2" t="s">
        <v>3227</v>
      </c>
      <c r="H963" s="2" t="s">
        <v>1996</v>
      </c>
      <c r="I963" s="3" t="b">
        <f>OR(E963 = "calculated", E963 = "lookup", E963 = "aggregation")</f>
        <v>1</v>
      </c>
      <c r="J963" s="3" t="b">
        <f>H963 &lt;&gt; ""</f>
        <v>1</v>
      </c>
      <c r="K963" s="3">
        <f>COUNTIFS(FieldDisagreements!D2:D999, A963)</f>
        <v>0</v>
      </c>
      <c r="L963" s="3" t="b">
        <f>K963 &gt; 0</f>
        <v>0</v>
      </c>
      <c r="M963" s="2" t="s">
        <v>2387</v>
      </c>
    </row>
    <row r="964">
      <c r="A964" s="2" t="s">
        <v>3939</v>
      </c>
      <c r="B964" s="3" t="str">
        <f>C964 &amp; "." &amp; D964</f>
        <v>ReviewEvents.DaysSinceReviewed</v>
      </c>
      <c r="C964" s="2" t="s">
        <v>3922</v>
      </c>
      <c r="D964" s="2" t="s">
        <v>1621</v>
      </c>
      <c r="E964" s="2" t="s">
        <v>2389</v>
      </c>
      <c r="F964" s="2" t="s">
        <v>2439</v>
      </c>
      <c r="G964" s="2" t="s">
        <v>3940</v>
      </c>
      <c r="H964" s="2" t="s">
        <v>1996</v>
      </c>
      <c r="I964" s="3" t="b">
        <f>OR(E964 = "calculated", E964 = "lookup", E964 = "aggregation")</f>
        <v>1</v>
      </c>
      <c r="J964" s="3" t="b">
        <f>H964 &lt;&gt; ""</f>
        <v>1</v>
      </c>
      <c r="K964" s="3">
        <f>COUNTIFS(FieldDisagreements!D2:D999, A964)</f>
        <v>7</v>
      </c>
      <c r="L964" s="3" t="b">
        <f>K964 &gt; 0</f>
        <v>1</v>
      </c>
      <c r="M964" s="2" t="s">
        <v>2387</v>
      </c>
    </row>
    <row r="965">
      <c r="A965" s="2" t="s">
        <v>3941</v>
      </c>
      <c r="B965" s="3" t="str">
        <f>C965 &amp; "." &amp; D965</f>
        <v>ReviewEvents.ExceedsPromisedCadence</v>
      </c>
      <c r="C965" s="2" t="s">
        <v>3922</v>
      </c>
      <c r="D965" s="2" t="s">
        <v>1622</v>
      </c>
      <c r="E965" s="2" t="s">
        <v>2389</v>
      </c>
      <c r="F965" s="2" t="s">
        <v>2401</v>
      </c>
      <c r="G965" s="2" t="s">
        <v>3942</v>
      </c>
      <c r="H965" s="2" t="s">
        <v>1996</v>
      </c>
      <c r="I965" s="3" t="b">
        <f>OR(E965 = "calculated", E965 = "lookup", E965 = "aggregation")</f>
        <v>1</v>
      </c>
      <c r="J965" s="3" t="b">
        <f>H965 &lt;&gt; ""</f>
        <v>1</v>
      </c>
      <c r="K965" s="3">
        <f>COUNTIFS(FieldDisagreements!D2:D999, A965)</f>
        <v>0</v>
      </c>
      <c r="L965" s="3" t="b">
        <f>K965 &gt; 0</f>
        <v>0</v>
      </c>
      <c r="M965" s="2" t="s">
        <v>2387</v>
      </c>
    </row>
    <row r="966">
      <c r="A966" s="2" t="s">
        <v>3943</v>
      </c>
      <c r="B966" s="3" t="str">
        <f>C966 &amp; "." &amp; D966</f>
        <v>ReviewEvents.CadenceDriftDays</v>
      </c>
      <c r="C966" s="2" t="s">
        <v>3922</v>
      </c>
      <c r="D966" s="2" t="s">
        <v>1623</v>
      </c>
      <c r="E966" s="2" t="s">
        <v>2389</v>
      </c>
      <c r="F966" s="2" t="s">
        <v>2439</v>
      </c>
      <c r="G966" s="2" t="s">
        <v>3944</v>
      </c>
      <c r="H966" s="2" t="s">
        <v>1996</v>
      </c>
      <c r="I966" s="3" t="b">
        <f>OR(E966 = "calculated", E966 = "lookup", E966 = "aggregation")</f>
        <v>1</v>
      </c>
      <c r="J966" s="3" t="b">
        <f>H966 &lt;&gt; ""</f>
        <v>1</v>
      </c>
      <c r="K966" s="3">
        <f>COUNTIFS(FieldDisagreements!D2:D999, A966)</f>
        <v>7</v>
      </c>
      <c r="L966" s="3" t="b">
        <f>K966 &gt; 0</f>
        <v>1</v>
      </c>
      <c r="M966" s="2" t="s">
        <v>2387</v>
      </c>
    </row>
    <row r="967">
      <c r="A967" s="2" t="s">
        <v>3945</v>
      </c>
      <c r="B967" s="3" t="str">
        <f>C967 &amp; "." &amp; D967</f>
        <v>ReviewEvents.PromiseAndBehaviorDisagree</v>
      </c>
      <c r="C967" s="2" t="s">
        <v>3922</v>
      </c>
      <c r="D967" s="2" t="s">
        <v>1624</v>
      </c>
      <c r="E967" s="2" t="s">
        <v>2389</v>
      </c>
      <c r="F967" s="2" t="s">
        <v>2401</v>
      </c>
      <c r="G967" s="2" t="s">
        <v>3946</v>
      </c>
      <c r="H967" s="2" t="s">
        <v>1996</v>
      </c>
      <c r="I967" s="3" t="b">
        <f>OR(E967 = "calculated", E967 = "lookup", E967 = "aggregation")</f>
        <v>1</v>
      </c>
      <c r="J967" s="3" t="b">
        <f>H967 &lt;&gt; ""</f>
        <v>1</v>
      </c>
      <c r="K967" s="3">
        <f>COUNTIFS(FieldDisagreements!D2:D999, A967)</f>
        <v>0</v>
      </c>
      <c r="L967" s="3" t="b">
        <f>K967 &gt; 0</f>
        <v>0</v>
      </c>
      <c r="M967" s="2" t="s">
        <v>2387</v>
      </c>
    </row>
    <row r="968">
      <c r="A968" s="2" t="s">
        <v>3947</v>
      </c>
      <c r="B968" s="3" t="str">
        <f>C968 &amp; "." &amp; D968</f>
        <v>ReviewEvents.CadenceBreachVersionKey</v>
      </c>
      <c r="C968" s="2" t="s">
        <v>3922</v>
      </c>
      <c r="D968" s="2" t="s">
        <v>1625</v>
      </c>
      <c r="E968" s="2" t="s">
        <v>2389</v>
      </c>
      <c r="F968" s="2" t="s">
        <v>2386</v>
      </c>
      <c r="G968" s="2" t="s">
        <v>3948</v>
      </c>
      <c r="H968" s="2" t="s">
        <v>2220</v>
      </c>
      <c r="I968" s="3" t="b">
        <f>OR(E968 = "calculated", E968 = "lookup", E968 = "aggregation")</f>
        <v>1</v>
      </c>
      <c r="J968" s="3" t="b">
        <f>H968 &lt;&gt; ""</f>
        <v>1</v>
      </c>
      <c r="K968" s="3">
        <f>COUNTIFS(FieldDisagreements!D2:D999, A968)</f>
        <v>0</v>
      </c>
      <c r="L968" s="3" t="b">
        <f>K968 &gt; 0</f>
        <v>0</v>
      </c>
      <c r="M968" s="2" t="s">
        <v>2387</v>
      </c>
    </row>
    <row r="969">
      <c r="A969" s="2" t="s">
        <v>3949</v>
      </c>
      <c r="B969" s="3" t="str">
        <f>C969 &amp; "." &amp; D969</f>
        <v>ReviewEvents.SemanticTypeIri</v>
      </c>
      <c r="C969" s="2" t="s">
        <v>3922</v>
      </c>
      <c r="D969" s="2" t="s">
        <v>94</v>
      </c>
      <c r="E969" s="2" t="s">
        <v>2385</v>
      </c>
      <c r="F969" s="2" t="s">
        <v>2386</v>
      </c>
      <c r="G969" s="2"/>
      <c r="H969" s="2"/>
      <c r="I969" s="3" t="b">
        <f>OR(E969 = "calculated", E969 = "lookup", E969 = "aggregation")</f>
        <v>0</v>
      </c>
      <c r="J969" s="3" t="b">
        <f>H969 &lt;&gt; ""</f>
        <v>0</v>
      </c>
      <c r="K969" s="3">
        <f>COUNTIFS(FieldDisagreements!D2:D999, A969)</f>
        <v>0</v>
      </c>
      <c r="L969" s="3" t="b">
        <f>K969 &gt; 0</f>
        <v>0</v>
      </c>
      <c r="M969" s="2" t="s">
        <v>2387</v>
      </c>
    </row>
    <row r="970">
      <c r="A970" s="2" t="s">
        <v>3950</v>
      </c>
      <c r="B970" s="3" t="str">
        <f>C970 &amp; "." &amp; D970</f>
        <v>LearningActivities.LearningActivityId</v>
      </c>
      <c r="C970" s="2" t="s">
        <v>3951</v>
      </c>
      <c r="D970" s="2" t="s">
        <v>1634</v>
      </c>
      <c r="E970" s="2" t="s">
        <v>2385</v>
      </c>
      <c r="F970" s="2" t="s">
        <v>2386</v>
      </c>
      <c r="G970" s="2"/>
      <c r="H970" s="2"/>
      <c r="I970" s="3" t="b">
        <f>OR(E970 = "calculated", E970 = "lookup", E970 = "aggregation")</f>
        <v>0</v>
      </c>
      <c r="J970" s="3" t="b">
        <f>H970 &lt;&gt; ""</f>
        <v>0</v>
      </c>
      <c r="K970" s="3">
        <f>COUNTIFS(FieldDisagreements!D2:D999, A970)</f>
        <v>0</v>
      </c>
      <c r="L970" s="3" t="b">
        <f>K970 &gt; 0</f>
        <v>0</v>
      </c>
      <c r="M970" s="2" t="s">
        <v>2387</v>
      </c>
    </row>
    <row r="971">
      <c r="A971" s="2" t="s">
        <v>3952</v>
      </c>
      <c r="B971" s="3" t="str">
        <f>C971 &amp; "." &amp; D971</f>
        <v>LearningActivities.Name</v>
      </c>
      <c r="C971" s="2" t="s">
        <v>3951</v>
      </c>
      <c r="D971" s="2" t="s">
        <v>1</v>
      </c>
      <c r="E971" s="2" t="s">
        <v>2389</v>
      </c>
      <c r="F971" s="2" t="s">
        <v>2386</v>
      </c>
      <c r="G971" s="2" t="s">
        <v>3953</v>
      </c>
      <c r="H971" s="2"/>
      <c r="I971" s="3" t="b">
        <f>OR(E971 = "calculated", E971 = "lookup", E971 = "aggregation")</f>
        <v>1</v>
      </c>
      <c r="J971" s="3" t="b">
        <f>H971 &lt;&gt; ""</f>
        <v>0</v>
      </c>
      <c r="K971" s="3">
        <f>COUNTIFS(FieldDisagreements!D2:D999, A971)</f>
        <v>6</v>
      </c>
      <c r="L971" s="3" t="b">
        <f>K971 &gt; 0</f>
        <v>1</v>
      </c>
      <c r="M971" s="2" t="s">
        <v>2387</v>
      </c>
    </row>
    <row r="972">
      <c r="A972" s="2" t="s">
        <v>3954</v>
      </c>
      <c r="B972" s="3" t="str">
        <f>C972 &amp; "." &amp; D972</f>
        <v>LearningActivities.CommunityOfPractice</v>
      </c>
      <c r="C972" s="2" t="s">
        <v>3951</v>
      </c>
      <c r="D972" s="2" t="s">
        <v>339</v>
      </c>
      <c r="E972" s="2" t="s">
        <v>2434</v>
      </c>
      <c r="F972" s="2" t="s">
        <v>2386</v>
      </c>
      <c r="G972" s="2"/>
      <c r="H972" s="2"/>
      <c r="I972" s="3" t="b">
        <f>OR(E972 = "calculated", E972 = "lookup", E972 = "aggregation")</f>
        <v>0</v>
      </c>
      <c r="J972" s="3" t="b">
        <f>H972 &lt;&gt; ""</f>
        <v>0</v>
      </c>
      <c r="K972" s="3">
        <f>COUNTIFS(FieldDisagreements!D2:D999, A972)</f>
        <v>0</v>
      </c>
      <c r="L972" s="3" t="b">
        <f>K972 &gt; 0</f>
        <v>0</v>
      </c>
      <c r="M972" s="2" t="s">
        <v>2387</v>
      </c>
    </row>
    <row r="973">
      <c r="A973" s="2" t="s">
        <v>3955</v>
      </c>
      <c r="B973" s="3" t="str">
        <f>C973 &amp; "." &amp; D973</f>
        <v>LearningActivities.ProcedureVersion</v>
      </c>
      <c r="C973" s="2" t="s">
        <v>3951</v>
      </c>
      <c r="D973" s="2" t="s">
        <v>477</v>
      </c>
      <c r="E973" s="2" t="s">
        <v>2434</v>
      </c>
      <c r="F973" s="2" t="s">
        <v>2386</v>
      </c>
      <c r="G973" s="2"/>
      <c r="H973" s="2"/>
      <c r="I973" s="3" t="b">
        <f>OR(E973 = "calculated", E973 = "lookup", E973 = "aggregation")</f>
        <v>0</v>
      </c>
      <c r="J973" s="3" t="b">
        <f>H973 &lt;&gt; ""</f>
        <v>0</v>
      </c>
      <c r="K973" s="3">
        <f>COUNTIFS(FieldDisagreements!D2:D999, A973)</f>
        <v>0</v>
      </c>
      <c r="L973" s="3" t="b">
        <f>K973 &gt; 0</f>
        <v>0</v>
      </c>
      <c r="M973" s="2" t="s">
        <v>2387</v>
      </c>
    </row>
    <row r="974">
      <c r="A974" s="2" t="s">
        <v>3956</v>
      </c>
      <c r="B974" s="3" t="str">
        <f>C974 &amp; "." &amp; D974</f>
        <v>LearningActivities.ActivityKind</v>
      </c>
      <c r="C974" s="2" t="s">
        <v>3951</v>
      </c>
      <c r="D974" s="2" t="s">
        <v>1635</v>
      </c>
      <c r="E974" s="2" t="s">
        <v>2385</v>
      </c>
      <c r="F974" s="2" t="s">
        <v>2386</v>
      </c>
      <c r="G974" s="2"/>
      <c r="H974" s="2"/>
      <c r="I974" s="3" t="b">
        <f>OR(E974 = "calculated", E974 = "lookup", E974 = "aggregation")</f>
        <v>0</v>
      </c>
      <c r="J974" s="3" t="b">
        <f>H974 &lt;&gt; ""</f>
        <v>0</v>
      </c>
      <c r="K974" s="3">
        <f>COUNTIFS(FieldDisagreements!D2:D999, A974)</f>
        <v>0</v>
      </c>
      <c r="L974" s="3" t="b">
        <f>K974 &gt; 0</f>
        <v>0</v>
      </c>
      <c r="M974" s="2" t="s">
        <v>2387</v>
      </c>
    </row>
    <row r="975">
      <c r="A975" s="2" t="s">
        <v>3957</v>
      </c>
      <c r="B975" s="3" t="str">
        <f>C975 &amp; "." &amp; D975</f>
        <v>LearningActivities.OccurredAt</v>
      </c>
      <c r="C975" s="2" t="s">
        <v>3951</v>
      </c>
      <c r="D975" s="2" t="s">
        <v>1522</v>
      </c>
      <c r="E975" s="2" t="s">
        <v>2385</v>
      </c>
      <c r="F975" s="2" t="s">
        <v>2397</v>
      </c>
      <c r="G975" s="2"/>
      <c r="H975" s="2"/>
      <c r="I975" s="3" t="b">
        <f>OR(E975 = "calculated", E975 = "lookup", E975 = "aggregation")</f>
        <v>0</v>
      </c>
      <c r="J975" s="3" t="b">
        <f>H975 &lt;&gt; ""</f>
        <v>0</v>
      </c>
      <c r="K975" s="3">
        <f>COUNTIFS(FieldDisagreements!D2:D999, A975)</f>
        <v>0</v>
      </c>
      <c r="L975" s="3" t="b">
        <f>K975 &gt; 0</f>
        <v>0</v>
      </c>
      <c r="M975" s="2" t="s">
        <v>2387</v>
      </c>
    </row>
    <row r="976">
      <c r="A976" s="2" t="s">
        <v>3958</v>
      </c>
      <c r="B976" s="3" t="str">
        <f>C976 &amp; "." &amp; D976</f>
        <v>LearningActivities.FacilitatorAgent</v>
      </c>
      <c r="C976" s="2" t="s">
        <v>3951</v>
      </c>
      <c r="D976" s="2" t="s">
        <v>1063</v>
      </c>
      <c r="E976" s="2" t="s">
        <v>2434</v>
      </c>
      <c r="F976" s="2" t="s">
        <v>2386</v>
      </c>
      <c r="G976" s="2"/>
      <c r="H976" s="2"/>
      <c r="I976" s="3" t="b">
        <f>OR(E976 = "calculated", E976 = "lookup", E976 = "aggregation")</f>
        <v>0</v>
      </c>
      <c r="J976" s="3" t="b">
        <f>H976 &lt;&gt; ""</f>
        <v>0</v>
      </c>
      <c r="K976" s="3">
        <f>COUNTIFS(FieldDisagreements!D2:D999, A976)</f>
        <v>0</v>
      </c>
      <c r="L976" s="3" t="b">
        <f>K976 &gt; 0</f>
        <v>0</v>
      </c>
      <c r="M976" s="2" t="s">
        <v>2387</v>
      </c>
    </row>
    <row r="977">
      <c r="A977" s="2" t="s">
        <v>3959</v>
      </c>
      <c r="B977" s="3" t="str">
        <f>C977 &amp; "." &amp; D977</f>
        <v>LearningActivities.Outcome</v>
      </c>
      <c r="C977" s="2" t="s">
        <v>3951</v>
      </c>
      <c r="D977" s="2" t="s">
        <v>1615</v>
      </c>
      <c r="E977" s="2" t="s">
        <v>2385</v>
      </c>
      <c r="F977" s="2" t="s">
        <v>2386</v>
      </c>
      <c r="G977" s="2"/>
      <c r="H977" s="2"/>
      <c r="I977" s="3" t="b">
        <f>OR(E977 = "calculated", E977 = "lookup", E977 = "aggregation")</f>
        <v>0</v>
      </c>
      <c r="J977" s="3" t="b">
        <f>H977 &lt;&gt; ""</f>
        <v>0</v>
      </c>
      <c r="K977" s="3">
        <f>COUNTIFS(FieldDisagreements!D2:D999, A977)</f>
        <v>0</v>
      </c>
      <c r="L977" s="3" t="b">
        <f>K977 &gt; 0</f>
        <v>0</v>
      </c>
      <c r="M977" s="2" t="s">
        <v>2387</v>
      </c>
    </row>
    <row r="978">
      <c r="A978" s="2" t="s">
        <v>3960</v>
      </c>
      <c r="B978" s="3" t="str">
        <f>C978 &amp; "." &amp; D978</f>
        <v>LearningActivities.EvidenceResource</v>
      </c>
      <c r="C978" s="2" t="s">
        <v>3951</v>
      </c>
      <c r="D978" s="2" t="s">
        <v>1636</v>
      </c>
      <c r="E978" s="2" t="s">
        <v>2434</v>
      </c>
      <c r="F978" s="2" t="s">
        <v>2386</v>
      </c>
      <c r="G978" s="2"/>
      <c r="H978" s="2"/>
      <c r="I978" s="3" t="b">
        <f>OR(E978 = "calculated", E978 = "lookup", E978 = "aggregation")</f>
        <v>0</v>
      </c>
      <c r="J978" s="3" t="b">
        <f>H978 &lt;&gt; ""</f>
        <v>0</v>
      </c>
      <c r="K978" s="3">
        <f>COUNTIFS(FieldDisagreements!D2:D999, A978)</f>
        <v>0</v>
      </c>
      <c r="L978" s="3" t="b">
        <f>K978 &gt; 0</f>
        <v>0</v>
      </c>
      <c r="M978" s="2" t="s">
        <v>2387</v>
      </c>
    </row>
    <row r="979">
      <c r="A979" s="2" t="s">
        <v>3961</v>
      </c>
      <c r="B979" s="3" t="str">
        <f>C979 &amp; "." &amp; D979</f>
        <v>LearningActivities.SemanticTypeIri</v>
      </c>
      <c r="C979" s="2" t="s">
        <v>3951</v>
      </c>
      <c r="D979" s="2" t="s">
        <v>94</v>
      </c>
      <c r="E979" s="2" t="s">
        <v>2385</v>
      </c>
      <c r="F979" s="2" t="s">
        <v>2386</v>
      </c>
      <c r="G979" s="2"/>
      <c r="H979" s="2"/>
      <c r="I979" s="3" t="b">
        <f>OR(E979 = "calculated", E979 = "lookup", E979 = "aggregation")</f>
        <v>0</v>
      </c>
      <c r="J979" s="3" t="b">
        <f>H979 &lt;&gt; ""</f>
        <v>0</v>
      </c>
      <c r="K979" s="3">
        <f>COUNTIFS(FieldDisagreements!D2:D999, A979)</f>
        <v>0</v>
      </c>
      <c r="L979" s="3" t="b">
        <f>K979 &gt; 0</f>
        <v>0</v>
      </c>
      <c r="M979" s="2" t="s">
        <v>2387</v>
      </c>
    </row>
    <row r="980">
      <c r="A980" s="2" t="s">
        <v>3962</v>
      </c>
      <c r="B980" s="3" t="str">
        <f>C980 &amp; "." &amp; D980</f>
        <v>OperationalBindings.OperationalBindingId</v>
      </c>
      <c r="C980" s="2" t="s">
        <v>1842</v>
      </c>
      <c r="D980" s="2" t="s">
        <v>1642</v>
      </c>
      <c r="E980" s="2" t="s">
        <v>2385</v>
      </c>
      <c r="F980" s="2" t="s">
        <v>2386</v>
      </c>
      <c r="G980" s="2"/>
      <c r="H980" s="2"/>
      <c r="I980" s="3" t="b">
        <f>OR(E980 = "calculated", E980 = "lookup", E980 = "aggregation")</f>
        <v>0</v>
      </c>
      <c r="J980" s="3" t="b">
        <f>H980 &lt;&gt; ""</f>
        <v>0</v>
      </c>
      <c r="K980" s="3">
        <f>COUNTIFS(FieldDisagreements!D2:D999, A980)</f>
        <v>0</v>
      </c>
      <c r="L980" s="3" t="b">
        <f>K980 &gt; 0</f>
        <v>0</v>
      </c>
      <c r="M980" s="2" t="s">
        <v>2387</v>
      </c>
    </row>
    <row r="981">
      <c r="A981" s="2" t="s">
        <v>3963</v>
      </c>
      <c r="B981" s="3" t="str">
        <f>C981 &amp; "." &amp; D981</f>
        <v>OperationalBindings.Name</v>
      </c>
      <c r="C981" s="2" t="s">
        <v>1842</v>
      </c>
      <c r="D981" s="2" t="s">
        <v>1</v>
      </c>
      <c r="E981" s="2" t="s">
        <v>2389</v>
      </c>
      <c r="F981" s="2" t="s">
        <v>2386</v>
      </c>
      <c r="G981" s="2" t="s">
        <v>3964</v>
      </c>
      <c r="H981" s="2"/>
      <c r="I981" s="3" t="b">
        <f>OR(E981 = "calculated", E981 = "lookup", E981 = "aggregation")</f>
        <v>1</v>
      </c>
      <c r="J981" s="3" t="b">
        <f>H981 &lt;&gt; ""</f>
        <v>0</v>
      </c>
      <c r="K981" s="3">
        <f>COUNTIFS(FieldDisagreements!D2:D999, A981)</f>
        <v>0</v>
      </c>
      <c r="L981" s="3" t="b">
        <f>K981 &gt; 0</f>
        <v>0</v>
      </c>
      <c r="M981" s="2" t="s">
        <v>2387</v>
      </c>
    </row>
    <row r="982">
      <c r="A982" s="2" t="s">
        <v>3965</v>
      </c>
      <c r="B982" s="3" t="str">
        <f>C982 &amp; "." &amp; D982</f>
        <v>OperationalBindings.ProcedureVersion</v>
      </c>
      <c r="C982" s="2" t="s">
        <v>1842</v>
      </c>
      <c r="D982" s="2" t="s">
        <v>477</v>
      </c>
      <c r="E982" s="2" t="s">
        <v>2434</v>
      </c>
      <c r="F982" s="2" t="s">
        <v>2386</v>
      </c>
      <c r="G982" s="2"/>
      <c r="H982" s="2"/>
      <c r="I982" s="3" t="b">
        <f>OR(E982 = "calculated", E982 = "lookup", E982 = "aggregation")</f>
        <v>0</v>
      </c>
      <c r="J982" s="3" t="b">
        <f>H982 &lt;&gt; ""</f>
        <v>0</v>
      </c>
      <c r="K982" s="3">
        <f>COUNTIFS(FieldDisagreements!D2:D999, A982)</f>
        <v>0</v>
      </c>
      <c r="L982" s="3" t="b">
        <f>K982 &gt; 0</f>
        <v>0</v>
      </c>
      <c r="M982" s="2" t="s">
        <v>2387</v>
      </c>
    </row>
    <row r="983">
      <c r="A983" s="2" t="s">
        <v>3966</v>
      </c>
      <c r="B983" s="3" t="str">
        <f>C983 &amp; "." &amp; D983</f>
        <v>OperationalBindings.Step</v>
      </c>
      <c r="C983" s="2" t="s">
        <v>1842</v>
      </c>
      <c r="D983" s="2" t="s">
        <v>747</v>
      </c>
      <c r="E983" s="2" t="s">
        <v>2434</v>
      </c>
      <c r="F983" s="2" t="s">
        <v>2386</v>
      </c>
      <c r="G983" s="2"/>
      <c r="H983" s="2"/>
      <c r="I983" s="3" t="b">
        <f>OR(E983 = "calculated", E983 = "lookup", E983 = "aggregation")</f>
        <v>0</v>
      </c>
      <c r="J983" s="3" t="b">
        <f>H983 &lt;&gt; ""</f>
        <v>0</v>
      </c>
      <c r="K983" s="3">
        <f>COUNTIFS(FieldDisagreements!D2:D999, A983)</f>
        <v>0</v>
      </c>
      <c r="L983" s="3" t="b">
        <f>K983 &gt; 0</f>
        <v>0</v>
      </c>
      <c r="M983" s="2" t="s">
        <v>2387</v>
      </c>
    </row>
    <row r="984">
      <c r="A984" s="2" t="s">
        <v>3967</v>
      </c>
      <c r="B984" s="3" t="str">
        <f>C984 &amp; "." &amp; D984</f>
        <v>OperationalBindings.Resource</v>
      </c>
      <c r="C984" s="2" t="s">
        <v>1842</v>
      </c>
      <c r="D984" s="2" t="s">
        <v>1046</v>
      </c>
      <c r="E984" s="2" t="s">
        <v>2434</v>
      </c>
      <c r="F984" s="2" t="s">
        <v>2386</v>
      </c>
      <c r="G984" s="2"/>
      <c r="H984" s="2"/>
      <c r="I984" s="3" t="b">
        <f>OR(E984 = "calculated", E984 = "lookup", E984 = "aggregation")</f>
        <v>0</v>
      </c>
      <c r="J984" s="3" t="b">
        <f>H984 &lt;&gt; ""</f>
        <v>0</v>
      </c>
      <c r="K984" s="3">
        <f>COUNTIFS(FieldDisagreements!D2:D999, A984)</f>
        <v>0</v>
      </c>
      <c r="L984" s="3" t="b">
        <f>K984 &gt; 0</f>
        <v>0</v>
      </c>
      <c r="M984" s="2" t="s">
        <v>2387</v>
      </c>
    </row>
    <row r="985">
      <c r="A985" s="2" t="s">
        <v>3968</v>
      </c>
      <c r="B985" s="3" t="str">
        <f>C985 &amp; "." &amp; D985</f>
        <v>OperationalBindings.AccessMode</v>
      </c>
      <c r="C985" s="2" t="s">
        <v>1842</v>
      </c>
      <c r="D985" s="2" t="s">
        <v>1643</v>
      </c>
      <c r="E985" s="2" t="s">
        <v>2385</v>
      </c>
      <c r="F985" s="2" t="s">
        <v>2386</v>
      </c>
      <c r="G985" s="2"/>
      <c r="H985" s="2"/>
      <c r="I985" s="3" t="b">
        <f>OR(E985 = "calculated", E985 = "lookup", E985 = "aggregation")</f>
        <v>0</v>
      </c>
      <c r="J985" s="3" t="b">
        <f>H985 &lt;&gt; ""</f>
        <v>0</v>
      </c>
      <c r="K985" s="3">
        <f>COUNTIFS(FieldDisagreements!D2:D999, A985)</f>
        <v>0</v>
      </c>
      <c r="L985" s="3" t="b">
        <f>K985 &gt; 0</f>
        <v>0</v>
      </c>
      <c r="M985" s="2" t="s">
        <v>2387</v>
      </c>
    </row>
    <row r="986">
      <c r="A986" s="2" t="s">
        <v>3969</v>
      </c>
      <c r="B986" s="3" t="str">
        <f>C986 &amp; "." &amp; D986</f>
        <v>OperationalBindings.RecordOrSchemaKey</v>
      </c>
      <c r="C986" s="2" t="s">
        <v>1842</v>
      </c>
      <c r="D986" s="2" t="s">
        <v>1644</v>
      </c>
      <c r="E986" s="2" t="s">
        <v>2385</v>
      </c>
      <c r="F986" s="2" t="s">
        <v>2386</v>
      </c>
      <c r="G986" s="2"/>
      <c r="H986" s="2"/>
      <c r="I986" s="3" t="b">
        <f>OR(E986 = "calculated", E986 = "lookup", E986 = "aggregation")</f>
        <v>0</v>
      </c>
      <c r="J986" s="3" t="b">
        <f>H986 &lt;&gt; ""</f>
        <v>0</v>
      </c>
      <c r="K986" s="3">
        <f>COUNTIFS(FieldDisagreements!D2:D999, A986)</f>
        <v>0</v>
      </c>
      <c r="L986" s="3" t="b">
        <f>K986 &gt; 0</f>
        <v>0</v>
      </c>
      <c r="M986" s="2" t="s">
        <v>2387</v>
      </c>
    </row>
    <row r="987">
      <c r="A987" s="2" t="s">
        <v>3970</v>
      </c>
      <c r="B987" s="3" t="str">
        <f>C987 &amp; "." &amp; D987</f>
        <v>OperationalBindings.LastObservedAt</v>
      </c>
      <c r="C987" s="2" t="s">
        <v>1842</v>
      </c>
      <c r="D987" s="2" t="s">
        <v>1645</v>
      </c>
      <c r="E987" s="2" t="s">
        <v>2385</v>
      </c>
      <c r="F987" s="2" t="s">
        <v>2397</v>
      </c>
      <c r="G987" s="2"/>
      <c r="H987" s="2"/>
      <c r="I987" s="3" t="b">
        <f>OR(E987 = "calculated", E987 = "lookup", E987 = "aggregation")</f>
        <v>0</v>
      </c>
      <c r="J987" s="3" t="b">
        <f>H987 &lt;&gt; ""</f>
        <v>0</v>
      </c>
      <c r="K987" s="3">
        <f>COUNTIFS(FieldDisagreements!D2:D999, A987)</f>
        <v>0</v>
      </c>
      <c r="L987" s="3" t="b">
        <f>K987 &gt; 0</f>
        <v>0</v>
      </c>
      <c r="M987" s="2" t="s">
        <v>2387</v>
      </c>
    </row>
    <row r="988">
      <c r="A988" s="2" t="s">
        <v>3971</v>
      </c>
      <c r="B988" s="3" t="str">
        <f>C988 &amp; "." &amp; D988</f>
        <v>OperationalBindings.FreshnessSlaMinutes</v>
      </c>
      <c r="C988" s="2" t="s">
        <v>1842</v>
      </c>
      <c r="D988" s="2" t="s">
        <v>1646</v>
      </c>
      <c r="E988" s="2" t="s">
        <v>2385</v>
      </c>
      <c r="F988" s="2" t="s">
        <v>2439</v>
      </c>
      <c r="G988" s="2"/>
      <c r="H988" s="2"/>
      <c r="I988" s="3" t="b">
        <f>OR(E988 = "calculated", E988 = "lookup", E988 = "aggregation")</f>
        <v>0</v>
      </c>
      <c r="J988" s="3" t="b">
        <f>H988 &lt;&gt; ""</f>
        <v>0</v>
      </c>
      <c r="K988" s="3">
        <f>COUNTIFS(FieldDisagreements!D2:D999, A988)</f>
        <v>0</v>
      </c>
      <c r="L988" s="3" t="b">
        <f>K988 &gt; 0</f>
        <v>0</v>
      </c>
      <c r="M988" s="2" t="s">
        <v>2387</v>
      </c>
    </row>
    <row r="989">
      <c r="A989" s="2" t="s">
        <v>3972</v>
      </c>
      <c r="B989" s="3" t="str">
        <f>C989 &amp; "." &amp; D989</f>
        <v>OperationalBindings.IsAuthoritative</v>
      </c>
      <c r="C989" s="2" t="s">
        <v>1842</v>
      </c>
      <c r="D989" s="2" t="s">
        <v>1647</v>
      </c>
      <c r="E989" s="2" t="s">
        <v>2385</v>
      </c>
      <c r="F989" s="2" t="s">
        <v>2401</v>
      </c>
      <c r="G989" s="2"/>
      <c r="H989" s="2"/>
      <c r="I989" s="3" t="b">
        <f>OR(E989 = "calculated", E989 = "lookup", E989 = "aggregation")</f>
        <v>0</v>
      </c>
      <c r="J989" s="3" t="b">
        <f>H989 &lt;&gt; ""</f>
        <v>0</v>
      </c>
      <c r="K989" s="3">
        <f>COUNTIFS(FieldDisagreements!D2:D999, A989)</f>
        <v>0</v>
      </c>
      <c r="L989" s="3" t="b">
        <f>K989 &gt; 0</f>
        <v>0</v>
      </c>
      <c r="M989" s="2" t="s">
        <v>2387</v>
      </c>
    </row>
    <row r="990">
      <c r="A990" s="2" t="s">
        <v>3973</v>
      </c>
      <c r="B990" s="3" t="str">
        <f>C990 &amp; "." &amp; D990</f>
        <v>OperationalBindings.EvaluationContext</v>
      </c>
      <c r="C990" s="2" t="s">
        <v>1842</v>
      </c>
      <c r="D990" s="2" t="s">
        <v>258</v>
      </c>
      <c r="E990" s="2" t="s">
        <v>2434</v>
      </c>
      <c r="F990" s="2" t="s">
        <v>2386</v>
      </c>
      <c r="G990" s="2"/>
      <c r="H990" s="2"/>
      <c r="I990" s="3" t="b">
        <f>OR(E990 = "calculated", E990 = "lookup", E990 = "aggregation")</f>
        <v>0</v>
      </c>
      <c r="J990" s="3" t="b">
        <f>H990 &lt;&gt; ""</f>
        <v>0</v>
      </c>
      <c r="K990" s="3">
        <f>COUNTIFS(FieldDisagreements!D2:D999, A990)</f>
        <v>0</v>
      </c>
      <c r="L990" s="3" t="b">
        <f>K990 &gt; 0</f>
        <v>0</v>
      </c>
      <c r="M990" s="2" t="s">
        <v>2387</v>
      </c>
    </row>
    <row r="991">
      <c r="A991" s="2" t="s">
        <v>3974</v>
      </c>
      <c r="B991" s="3" t="str">
        <f>C991 &amp; "." &amp; D991</f>
        <v>OperationalBindings.AsOfInstant</v>
      </c>
      <c r="C991" s="2" t="s">
        <v>1842</v>
      </c>
      <c r="D991" s="2" t="s">
        <v>92</v>
      </c>
      <c r="E991" s="2" t="s">
        <v>2478</v>
      </c>
      <c r="F991" s="2" t="s">
        <v>2397</v>
      </c>
      <c r="G991" s="2" t="s">
        <v>2524</v>
      </c>
      <c r="H991" s="2"/>
      <c r="I991" s="3" t="b">
        <f>OR(E991 = "calculated", E991 = "lookup", E991 = "aggregation")</f>
        <v>1</v>
      </c>
      <c r="J991" s="3" t="b">
        <f>H991 &lt;&gt; ""</f>
        <v>0</v>
      </c>
      <c r="K991" s="3">
        <f>COUNTIFS(FieldDisagreements!D2:D999, A991)</f>
        <v>1</v>
      </c>
      <c r="L991" s="3" t="b">
        <f>K991 &gt; 0</f>
        <v>1</v>
      </c>
      <c r="M991" s="2" t="s">
        <v>2387</v>
      </c>
    </row>
    <row r="992">
      <c r="A992" s="2" t="s">
        <v>3975</v>
      </c>
      <c r="B992" s="3" t="str">
        <f>C992 &amp; "." &amp; D992</f>
        <v>OperationalBindings.AgeMinutes</v>
      </c>
      <c r="C992" s="2" t="s">
        <v>1842</v>
      </c>
      <c r="D992" s="2" t="s">
        <v>1648</v>
      </c>
      <c r="E992" s="2" t="s">
        <v>2389</v>
      </c>
      <c r="F992" s="2" t="s">
        <v>2439</v>
      </c>
      <c r="G992" s="2" t="s">
        <v>3976</v>
      </c>
      <c r="H992" s="2"/>
      <c r="I992" s="3" t="b">
        <f>OR(E992 = "calculated", E992 = "lookup", E992 = "aggregation")</f>
        <v>1</v>
      </c>
      <c r="J992" s="3" t="b">
        <f>H992 &lt;&gt; ""</f>
        <v>0</v>
      </c>
      <c r="K992" s="3">
        <f>COUNTIFS(FieldDisagreements!D2:D999, A992)</f>
        <v>2</v>
      </c>
      <c r="L992" s="3" t="b">
        <f>K992 &gt; 0</f>
        <v>1</v>
      </c>
      <c r="M992" s="2" t="s">
        <v>2387</v>
      </c>
    </row>
    <row r="993">
      <c r="A993" s="2" t="s">
        <v>3977</v>
      </c>
      <c r="B993" s="3" t="str">
        <f>C993 &amp; "." &amp; D993</f>
        <v>OperationalBindings.IsFresh</v>
      </c>
      <c r="C993" s="2" t="s">
        <v>1842</v>
      </c>
      <c r="D993" s="2" t="s">
        <v>1649</v>
      </c>
      <c r="E993" s="2" t="s">
        <v>2389</v>
      </c>
      <c r="F993" s="2" t="s">
        <v>2401</v>
      </c>
      <c r="G993" s="2" t="s">
        <v>3978</v>
      </c>
      <c r="H993" s="2"/>
      <c r="I993" s="3" t="b">
        <f>OR(E993 = "calculated", E993 = "lookup", E993 = "aggregation")</f>
        <v>1</v>
      </c>
      <c r="J993" s="3" t="b">
        <f>H993 &lt;&gt; ""</f>
        <v>0</v>
      </c>
      <c r="K993" s="3">
        <f>COUNTIFS(FieldDisagreements!D2:D999, A993)</f>
        <v>2</v>
      </c>
      <c r="L993" s="3" t="b">
        <f>K993 &gt; 0</f>
        <v>1</v>
      </c>
      <c r="M993" s="2" t="s">
        <v>2387</v>
      </c>
    </row>
    <row r="994">
      <c r="A994" s="2" t="s">
        <v>3979</v>
      </c>
      <c r="B994" s="3" t="str">
        <f>C994 &amp; "." &amp; D994</f>
        <v>OperationalBindings.StaleBindingStepKey</v>
      </c>
      <c r="C994" s="2" t="s">
        <v>1842</v>
      </c>
      <c r="D994" s="2" t="s">
        <v>1650</v>
      </c>
      <c r="E994" s="2" t="s">
        <v>2389</v>
      </c>
      <c r="F994" s="2" t="s">
        <v>2386</v>
      </c>
      <c r="G994" s="2" t="s">
        <v>3980</v>
      </c>
      <c r="H994" s="2" t="s">
        <v>1944</v>
      </c>
      <c r="I994" s="3" t="b">
        <f>OR(E994 = "calculated", E994 = "lookup", E994 = "aggregation")</f>
        <v>1</v>
      </c>
      <c r="J994" s="3" t="b">
        <f>H994 &lt;&gt; ""</f>
        <v>1</v>
      </c>
      <c r="K994" s="3">
        <f>COUNTIFS(FieldDisagreements!D2:D999, A994)</f>
        <v>2</v>
      </c>
      <c r="L994" s="3" t="b">
        <f>K994 &gt; 0</f>
        <v>1</v>
      </c>
      <c r="M994" s="2" t="s">
        <v>2387</v>
      </c>
    </row>
    <row r="995">
      <c r="A995" s="2" t="s">
        <v>3981</v>
      </c>
      <c r="B995" s="3" t="str">
        <f>C995 &amp; "." &amp; D995</f>
        <v>OperationalBindings.AuthoritativeStaleStepKey</v>
      </c>
      <c r="C995" s="2" t="s">
        <v>1842</v>
      </c>
      <c r="D995" s="2" t="s">
        <v>1651</v>
      </c>
      <c r="E995" s="2" t="s">
        <v>2389</v>
      </c>
      <c r="F995" s="2" t="s">
        <v>2386</v>
      </c>
      <c r="G995" s="2" t="s">
        <v>3982</v>
      </c>
      <c r="H995" s="2" t="s">
        <v>1944</v>
      </c>
      <c r="I995" s="3" t="b">
        <f>OR(E995 = "calculated", E995 = "lookup", E995 = "aggregation")</f>
        <v>1</v>
      </c>
      <c r="J995" s="3" t="b">
        <f>H995 &lt;&gt; ""</f>
        <v>1</v>
      </c>
      <c r="K995" s="3">
        <f>COUNTIFS(FieldDisagreements!D2:D999, A995)</f>
        <v>2</v>
      </c>
      <c r="L995" s="3" t="b">
        <f>K995 &gt; 0</f>
        <v>1</v>
      </c>
      <c r="M995" s="2" t="s">
        <v>2387</v>
      </c>
    </row>
    <row r="996">
      <c r="A996" s="2" t="s">
        <v>3983</v>
      </c>
      <c r="B996" s="3" t="str">
        <f>C996 &amp; "." &amp; D996</f>
        <v>OperationalBindings.IsStaleAndAuthoritative</v>
      </c>
      <c r="C996" s="2" t="s">
        <v>1842</v>
      </c>
      <c r="D996" s="2" t="s">
        <v>1652</v>
      </c>
      <c r="E996" s="2" t="s">
        <v>2389</v>
      </c>
      <c r="F996" s="2" t="s">
        <v>2401</v>
      </c>
      <c r="G996" s="2" t="s">
        <v>3984</v>
      </c>
      <c r="H996" s="2" t="s">
        <v>2100</v>
      </c>
      <c r="I996" s="3" t="b">
        <f>OR(E996 = "calculated", E996 = "lookup", E996 = "aggregation")</f>
        <v>1</v>
      </c>
      <c r="J996" s="3" t="b">
        <f>H996 &lt;&gt; ""</f>
        <v>1</v>
      </c>
      <c r="K996" s="3">
        <f>COUNTIFS(FieldDisagreements!D2:D999, A996)</f>
        <v>2</v>
      </c>
      <c r="L996" s="3" t="b">
        <f>K996 &gt; 0</f>
        <v>1</v>
      </c>
      <c r="M996" s="2" t="s">
        <v>2387</v>
      </c>
    </row>
    <row r="997">
      <c r="A997" s="2" t="s">
        <v>3985</v>
      </c>
      <c r="B997" s="3" t="str">
        <f>C997 &amp; "." &amp; D997</f>
        <v>OperationalBindings.StepWhenStale</v>
      </c>
      <c r="C997" s="2" t="s">
        <v>1842</v>
      </c>
      <c r="D997" s="2" t="s">
        <v>1653</v>
      </c>
      <c r="E997" s="2" t="s">
        <v>2389</v>
      </c>
      <c r="F997" s="2" t="s">
        <v>2386</v>
      </c>
      <c r="G997" s="2" t="s">
        <v>3986</v>
      </c>
      <c r="H997" s="2" t="s">
        <v>2100</v>
      </c>
      <c r="I997" s="3" t="b">
        <f>OR(E997 = "calculated", E997 = "lookup", E997 = "aggregation")</f>
        <v>1</v>
      </c>
      <c r="J997" s="3" t="b">
        <f>H997 &lt;&gt; ""</f>
        <v>1</v>
      </c>
      <c r="K997" s="3">
        <f>COUNTIFS(FieldDisagreements!D2:D999, A997)</f>
        <v>2</v>
      </c>
      <c r="L997" s="3" t="b">
        <f>K997 &gt; 0</f>
        <v>1</v>
      </c>
      <c r="M997" s="2" t="s">
        <v>2387</v>
      </c>
    </row>
    <row r="998">
      <c r="A998" s="2" t="s">
        <v>3987</v>
      </c>
      <c r="B998" s="3" t="str">
        <f>C998 &amp; "." &amp; D998</f>
        <v>OperationalBindings.ResourceIsApproved</v>
      </c>
      <c r="C998" s="2" t="s">
        <v>1842</v>
      </c>
      <c r="D998" s="2" t="s">
        <v>1654</v>
      </c>
      <c r="E998" s="2" t="s">
        <v>2478</v>
      </c>
      <c r="F998" s="2" t="s">
        <v>2401</v>
      </c>
      <c r="G998" s="2" t="s">
        <v>3988</v>
      </c>
      <c r="H998" s="2" t="s">
        <v>2160</v>
      </c>
      <c r="I998" s="3" t="b">
        <f>OR(E998 = "calculated", E998 = "lookup", E998 = "aggregation")</f>
        <v>1</v>
      </c>
      <c r="J998" s="3" t="b">
        <f>H998 &lt;&gt; ""</f>
        <v>1</v>
      </c>
      <c r="K998" s="3">
        <f>COUNTIFS(FieldDisagreements!D2:D999, A998)</f>
        <v>0</v>
      </c>
      <c r="L998" s="3" t="b">
        <f>K998 &gt; 0</f>
        <v>0</v>
      </c>
      <c r="M998" s="2" t="s">
        <v>2387</v>
      </c>
    </row>
    <row r="999">
      <c r="A999" s="2" t="s">
        <v>3989</v>
      </c>
      <c r="B999" s="3" t="str">
        <f>C999 &amp; "." &amp; D999</f>
        <v>OperationalBindings.IsUsableForDrafting</v>
      </c>
      <c r="C999" s="2" t="s">
        <v>1842</v>
      </c>
      <c r="D999" s="2" t="s">
        <v>1655</v>
      </c>
      <c r="E999" s="2" t="s">
        <v>2389</v>
      </c>
      <c r="F999" s="2" t="s">
        <v>2401</v>
      </c>
      <c r="G999" s="2" t="s">
        <v>3990</v>
      </c>
      <c r="H999" s="2" t="s">
        <v>2160</v>
      </c>
      <c r="I999" s="3" t="b">
        <f>OR(E999 = "calculated", E999 = "lookup", E999 = "aggregation")</f>
        <v>1</v>
      </c>
      <c r="J999" s="3" t="b">
        <f>H999 &lt;&gt; ""</f>
        <v>1</v>
      </c>
      <c r="K999" s="3">
        <f>COUNTIFS(FieldDisagreements!D2:D999, A999)</f>
        <v>1</v>
      </c>
      <c r="L999" s="3" t="b">
        <f>K999 &gt; 0</f>
        <v>1</v>
      </c>
      <c r="M999" s="2" t="s">
        <v>2387</v>
      </c>
    </row>
    <row r="1000">
      <c r="A1000" s="2" t="s">
        <v>3991</v>
      </c>
      <c r="B1000" s="3" t="str">
        <f>C1000 &amp; "." &amp; D1000</f>
        <v>OperationalBindings.StepWhenUnusable</v>
      </c>
      <c r="C1000" s="2" t="s">
        <v>1842</v>
      </c>
      <c r="D1000" s="2" t="s">
        <v>1656</v>
      </c>
      <c r="E1000" s="2" t="s">
        <v>2389</v>
      </c>
      <c r="F1000" s="2" t="s">
        <v>2386</v>
      </c>
      <c r="G1000" s="2" t="s">
        <v>3992</v>
      </c>
      <c r="H1000" s="2" t="s">
        <v>2160</v>
      </c>
      <c r="I1000" s="3" t="b">
        <f>OR(E1000 = "calculated", E1000 = "lookup", E1000 = "aggregation")</f>
        <v>1</v>
      </c>
      <c r="J1000" s="3" t="b">
        <f>H1000 &lt;&gt; ""</f>
        <v>1</v>
      </c>
      <c r="K1000" s="3">
        <f>COUNTIFS(FieldDisagreements!D2:D999, A1000)</f>
        <v>1</v>
      </c>
      <c r="L1000" s="3" t="b">
        <f>K1000 &gt; 0</f>
        <v>1</v>
      </c>
      <c r="M1000" s="2" t="s">
        <v>2387</v>
      </c>
    </row>
    <row r="1001">
      <c r="A1001" s="2" t="s">
        <v>3993</v>
      </c>
      <c r="B1001" s="3" t="str">
        <f>C1001 &amp; "." &amp; D1001</f>
        <v>OperationalBindings.SemanticTypeIri</v>
      </c>
      <c r="C1001" s="2" t="s">
        <v>1842</v>
      </c>
      <c r="D1001" s="2" t="s">
        <v>94</v>
      </c>
      <c r="E1001" s="2" t="s">
        <v>2385</v>
      </c>
      <c r="F1001" s="2" t="s">
        <v>2386</v>
      </c>
      <c r="G1001" s="2"/>
      <c r="H1001" s="2"/>
      <c r="I1001" s="3" t="b">
        <f>OR(E1001 = "calculated", E1001 = "lookup", E1001 = "aggregation")</f>
        <v>0</v>
      </c>
      <c r="J1001" s="3" t="b">
        <f>H1001 &lt;&gt; ""</f>
        <v>0</v>
      </c>
      <c r="K1001" s="3">
        <f>COUNTIFS(FieldDisagreements!D2:D999, A1001)</f>
        <v>0</v>
      </c>
      <c r="L1001" s="3" t="b">
        <f>K1001 &gt; 0</f>
        <v>0</v>
      </c>
      <c r="M1001" s="2" t="s">
        <v>2387</v>
      </c>
    </row>
    <row r="1002">
      <c r="A1002" s="2" t="s">
        <v>3994</v>
      </c>
      <c r="B1002" s="3" t="str">
        <f>C1002 &amp; "." &amp; D1002</f>
        <v>CommunicationPolicies.CommunicationPolicyId</v>
      </c>
      <c r="C1002" s="2" t="s">
        <v>1845</v>
      </c>
      <c r="D1002" s="2" t="s">
        <v>1670</v>
      </c>
      <c r="E1002" s="2" t="s">
        <v>2385</v>
      </c>
      <c r="F1002" s="2" t="s">
        <v>2386</v>
      </c>
      <c r="G1002" s="2"/>
      <c r="H1002" s="2"/>
      <c r="I1002" s="3" t="b">
        <f>OR(E1002 = "calculated", E1002 = "lookup", E1002 = "aggregation")</f>
        <v>0</v>
      </c>
      <c r="J1002" s="3" t="b">
        <f>H1002 &lt;&gt; ""</f>
        <v>0</v>
      </c>
      <c r="K1002" s="3">
        <f>COUNTIFS(FieldDisagreements!D2:D999, A1002)</f>
        <v>0</v>
      </c>
      <c r="L1002" s="3" t="b">
        <f>K1002 &gt; 0</f>
        <v>0</v>
      </c>
      <c r="M1002" s="2" t="s">
        <v>2387</v>
      </c>
    </row>
    <row r="1003">
      <c r="A1003" s="2" t="s">
        <v>3995</v>
      </c>
      <c r="B1003" s="3" t="str">
        <f>C1003 &amp; "." &amp; D1003</f>
        <v>CommunicationPolicies.Name</v>
      </c>
      <c r="C1003" s="2" t="s">
        <v>1845</v>
      </c>
      <c r="D1003" s="2" t="s">
        <v>1</v>
      </c>
      <c r="E1003" s="2" t="s">
        <v>2389</v>
      </c>
      <c r="F1003" s="2" t="s">
        <v>2386</v>
      </c>
      <c r="G1003" s="2" t="s">
        <v>3996</v>
      </c>
      <c r="H1003" s="2"/>
      <c r="I1003" s="3" t="b">
        <f>OR(E1003 = "calculated", E1003 = "lookup", E1003 = "aggregation")</f>
        <v>1</v>
      </c>
      <c r="J1003" s="3" t="b">
        <f>H1003 &lt;&gt; ""</f>
        <v>0</v>
      </c>
      <c r="K1003" s="3">
        <f>COUNTIFS(FieldDisagreements!D2:D999, A1003)</f>
        <v>0</v>
      </c>
      <c r="L1003" s="3" t="b">
        <f>K1003 &gt; 0</f>
        <v>0</v>
      </c>
      <c r="M1003" s="2" t="s">
        <v>2387</v>
      </c>
    </row>
    <row r="1004">
      <c r="A1004" s="2" t="s">
        <v>3997</v>
      </c>
      <c r="B1004" s="3" t="str">
        <f>C1004 &amp; "." &amp; D1004</f>
        <v>CommunicationPolicies.ProcedureVersion</v>
      </c>
      <c r="C1004" s="2" t="s">
        <v>1845</v>
      </c>
      <c r="D1004" s="2" t="s">
        <v>477</v>
      </c>
      <c r="E1004" s="2" t="s">
        <v>2434</v>
      </c>
      <c r="F1004" s="2" t="s">
        <v>2386</v>
      </c>
      <c r="G1004" s="2"/>
      <c r="H1004" s="2"/>
      <c r="I1004" s="3" t="b">
        <f>OR(E1004 = "calculated", E1004 = "lookup", E1004 = "aggregation")</f>
        <v>0</v>
      </c>
      <c r="J1004" s="3" t="b">
        <f>H1004 &lt;&gt; ""</f>
        <v>0</v>
      </c>
      <c r="K1004" s="3">
        <f>COUNTIFS(FieldDisagreements!D2:D999, A1004)</f>
        <v>0</v>
      </c>
      <c r="L1004" s="3" t="b">
        <f>K1004 &gt; 0</f>
        <v>0</v>
      </c>
      <c r="M1004" s="2" t="s">
        <v>2387</v>
      </c>
    </row>
    <row r="1005">
      <c r="A1005" s="2" t="s">
        <v>3998</v>
      </c>
      <c r="B1005" s="3" t="str">
        <f>C1005 &amp; "." &amp; D1005</f>
        <v>CommunicationPolicies.Channel</v>
      </c>
      <c r="C1005" s="2" t="s">
        <v>1845</v>
      </c>
      <c r="D1005" s="2" t="s">
        <v>1671</v>
      </c>
      <c r="E1005" s="2" t="s">
        <v>2385</v>
      </c>
      <c r="F1005" s="2" t="s">
        <v>2386</v>
      </c>
      <c r="G1005" s="2"/>
      <c r="H1005" s="2"/>
      <c r="I1005" s="3" t="b">
        <f>OR(E1005 = "calculated", E1005 = "lookup", E1005 = "aggregation")</f>
        <v>0</v>
      </c>
      <c r="J1005" s="3" t="b">
        <f>H1005 &lt;&gt; ""</f>
        <v>0</v>
      </c>
      <c r="K1005" s="3">
        <f>COUNTIFS(FieldDisagreements!D2:D999, A1005)</f>
        <v>0</v>
      </c>
      <c r="L1005" s="3" t="b">
        <f>K1005 &gt; 0</f>
        <v>0</v>
      </c>
      <c r="M1005" s="2" t="s">
        <v>2387</v>
      </c>
    </row>
    <row r="1006">
      <c r="A1006" s="2" t="s">
        <v>3999</v>
      </c>
      <c r="B1006" s="3" t="str">
        <f>C1006 &amp; "." &amp; D1006</f>
        <v>CommunicationPolicies.AudienceRule</v>
      </c>
      <c r="C1006" s="2" t="s">
        <v>1845</v>
      </c>
      <c r="D1006" s="2" t="s">
        <v>1672</v>
      </c>
      <c r="E1006" s="2" t="s">
        <v>2385</v>
      </c>
      <c r="F1006" s="2" t="s">
        <v>2386</v>
      </c>
      <c r="G1006" s="2"/>
      <c r="H1006" s="2"/>
      <c r="I1006" s="3" t="b">
        <f>OR(E1006 = "calculated", E1006 = "lookup", E1006 = "aggregation")</f>
        <v>0</v>
      </c>
      <c r="J1006" s="3" t="b">
        <f>H1006 &lt;&gt; ""</f>
        <v>0</v>
      </c>
      <c r="K1006" s="3">
        <f>COUNTIFS(FieldDisagreements!D2:D999, A1006)</f>
        <v>0</v>
      </c>
      <c r="L1006" s="3" t="b">
        <f>K1006 &gt; 0</f>
        <v>0</v>
      </c>
      <c r="M1006" s="2" t="s">
        <v>2387</v>
      </c>
    </row>
    <row r="1007">
      <c r="A1007" s="2" t="s">
        <v>4000</v>
      </c>
      <c r="B1007" s="3" t="str">
        <f>C1007 &amp; "." &amp; D1007</f>
        <v>CommunicationPolicies.ConsentRequired</v>
      </c>
      <c r="C1007" s="2" t="s">
        <v>1845</v>
      </c>
      <c r="D1007" s="2" t="s">
        <v>1673</v>
      </c>
      <c r="E1007" s="2" t="s">
        <v>2385</v>
      </c>
      <c r="F1007" s="2" t="s">
        <v>2401</v>
      </c>
      <c r="G1007" s="2"/>
      <c r="H1007" s="2"/>
      <c r="I1007" s="3" t="b">
        <f>OR(E1007 = "calculated", E1007 = "lookup", E1007 = "aggregation")</f>
        <v>0</v>
      </c>
      <c r="J1007" s="3" t="b">
        <f>H1007 &lt;&gt; ""</f>
        <v>0</v>
      </c>
      <c r="K1007" s="3">
        <f>COUNTIFS(FieldDisagreements!D2:D999, A1007)</f>
        <v>0</v>
      </c>
      <c r="L1007" s="3" t="b">
        <f>K1007 &gt; 0</f>
        <v>0</v>
      </c>
      <c r="M1007" s="2" t="s">
        <v>2387</v>
      </c>
    </row>
    <row r="1008">
      <c r="A1008" s="2" t="s">
        <v>4001</v>
      </c>
      <c r="B1008" s="3" t="str">
        <f>C1008 &amp; "." &amp; D1008</f>
        <v>CommunicationPolicies.QuietHoursStart</v>
      </c>
      <c r="C1008" s="2" t="s">
        <v>1845</v>
      </c>
      <c r="D1008" s="2" t="s">
        <v>1674</v>
      </c>
      <c r="E1008" s="2" t="s">
        <v>2385</v>
      </c>
      <c r="F1008" s="2" t="s">
        <v>2386</v>
      </c>
      <c r="G1008" s="2"/>
      <c r="H1008" s="2"/>
      <c r="I1008" s="3" t="b">
        <f>OR(E1008 = "calculated", E1008 = "lookup", E1008 = "aggregation")</f>
        <v>0</v>
      </c>
      <c r="J1008" s="3" t="b">
        <f>H1008 &lt;&gt; ""</f>
        <v>0</v>
      </c>
      <c r="K1008" s="3">
        <f>COUNTIFS(FieldDisagreements!D2:D999, A1008)</f>
        <v>0</v>
      </c>
      <c r="L1008" s="3" t="b">
        <f>K1008 &gt; 0</f>
        <v>0</v>
      </c>
      <c r="M1008" s="2" t="s">
        <v>2387</v>
      </c>
    </row>
    <row r="1009">
      <c r="A1009" s="2" t="s">
        <v>4002</v>
      </c>
      <c r="B1009" s="3" t="str">
        <f>C1009 &amp; "." &amp; D1009</f>
        <v>CommunicationPolicies.QuietHoursEnd</v>
      </c>
      <c r="C1009" s="2" t="s">
        <v>1845</v>
      </c>
      <c r="D1009" s="2" t="s">
        <v>1675</v>
      </c>
      <c r="E1009" s="2" t="s">
        <v>2385</v>
      </c>
      <c r="F1009" s="2" t="s">
        <v>2386</v>
      </c>
      <c r="G1009" s="2"/>
      <c r="H1009" s="2"/>
      <c r="I1009" s="3" t="b">
        <f>OR(E1009 = "calculated", E1009 = "lookup", E1009 = "aggregation")</f>
        <v>0</v>
      </c>
      <c r="J1009" s="3" t="b">
        <f>H1009 &lt;&gt; ""</f>
        <v>0</v>
      </c>
      <c r="K1009" s="3">
        <f>COUNTIFS(FieldDisagreements!D2:D999, A1009)</f>
        <v>0</v>
      </c>
      <c r="L1009" s="3" t="b">
        <f>K1009 &gt; 0</f>
        <v>0</v>
      </c>
      <c r="M1009" s="2" t="s">
        <v>2387</v>
      </c>
    </row>
    <row r="1010">
      <c r="A1010" s="2" t="s">
        <v>4003</v>
      </c>
      <c r="B1010" s="3" t="str">
        <f>C1010 &amp; "." &amp; D1010</f>
        <v>CommunicationPolicies.MaxMessageLength</v>
      </c>
      <c r="C1010" s="2" t="s">
        <v>1845</v>
      </c>
      <c r="D1010" s="2" t="s">
        <v>1676</v>
      </c>
      <c r="E1010" s="2" t="s">
        <v>2385</v>
      </c>
      <c r="F1010" s="2" t="s">
        <v>2439</v>
      </c>
      <c r="G1010" s="2"/>
      <c r="H1010" s="2"/>
      <c r="I1010" s="3" t="b">
        <f>OR(E1010 = "calculated", E1010 = "lookup", E1010 = "aggregation")</f>
        <v>0</v>
      </c>
      <c r="J1010" s="3" t="b">
        <f>H1010 &lt;&gt; ""</f>
        <v>0</v>
      </c>
      <c r="K1010" s="3">
        <f>COUNTIFS(FieldDisagreements!D2:D999, A1010)</f>
        <v>0</v>
      </c>
      <c r="L1010" s="3" t="b">
        <f>K1010 &gt; 0</f>
        <v>0</v>
      </c>
      <c r="M1010" s="2" t="s">
        <v>2387</v>
      </c>
    </row>
    <row r="1011">
      <c r="A1011" s="2" t="s">
        <v>4004</v>
      </c>
      <c r="B1011" s="3" t="str">
        <f>C1011 &amp; "." &amp; D1011</f>
        <v>CommunicationPolicies.MaxSegments</v>
      </c>
      <c r="C1011" s="2" t="s">
        <v>1845</v>
      </c>
      <c r="D1011" s="2" t="s">
        <v>1677</v>
      </c>
      <c r="E1011" s="2" t="s">
        <v>2385</v>
      </c>
      <c r="F1011" s="2" t="s">
        <v>2439</v>
      </c>
      <c r="G1011" s="2"/>
      <c r="H1011" s="2"/>
      <c r="I1011" s="3" t="b">
        <f>OR(E1011 = "calculated", E1011 = "lookup", E1011 = "aggregation")</f>
        <v>0</v>
      </c>
      <c r="J1011" s="3" t="b">
        <f>H1011 &lt;&gt; ""</f>
        <v>0</v>
      </c>
      <c r="K1011" s="3">
        <f>COUNTIFS(FieldDisagreements!D2:D999, A1011)</f>
        <v>0</v>
      </c>
      <c r="L1011" s="3" t="b">
        <f>K1011 &gt; 0</f>
        <v>0</v>
      </c>
      <c r="M1011" s="2" t="s">
        <v>2387</v>
      </c>
    </row>
    <row r="1012">
      <c r="A1012" s="2" t="s">
        <v>4005</v>
      </c>
      <c r="B1012" s="3" t="str">
        <f>C1012 &amp; "." &amp; D1012</f>
        <v>CommunicationPolicies.RetentionDays</v>
      </c>
      <c r="C1012" s="2" t="s">
        <v>1845</v>
      </c>
      <c r="D1012" s="2" t="s">
        <v>1678</v>
      </c>
      <c r="E1012" s="2" t="s">
        <v>2385</v>
      </c>
      <c r="F1012" s="2" t="s">
        <v>2439</v>
      </c>
      <c r="G1012" s="2"/>
      <c r="H1012" s="2"/>
      <c r="I1012" s="3" t="b">
        <f>OR(E1012 = "calculated", E1012 = "lookup", E1012 = "aggregation")</f>
        <v>0</v>
      </c>
      <c r="J1012" s="3" t="b">
        <f>H1012 &lt;&gt; ""</f>
        <v>0</v>
      </c>
      <c r="K1012" s="3">
        <f>COUNTIFS(FieldDisagreements!D2:D999, A1012)</f>
        <v>0</v>
      </c>
      <c r="L1012" s="3" t="b">
        <f>K1012 &gt; 0</f>
        <v>0</v>
      </c>
      <c r="M1012" s="2" t="s">
        <v>2387</v>
      </c>
    </row>
    <row r="1013">
      <c r="A1013" s="2" t="s">
        <v>4006</v>
      </c>
      <c r="B1013" s="3" t="str">
        <f>C1013 &amp; "." &amp; D1013</f>
        <v>CommunicationPolicies.ApprovalRole</v>
      </c>
      <c r="C1013" s="2" t="s">
        <v>1845</v>
      </c>
      <c r="D1013" s="2" t="s">
        <v>983</v>
      </c>
      <c r="E1013" s="2" t="s">
        <v>2434</v>
      </c>
      <c r="F1013" s="2" t="s">
        <v>2386</v>
      </c>
      <c r="G1013" s="2"/>
      <c r="H1013" s="2"/>
      <c r="I1013" s="3" t="b">
        <f>OR(E1013 = "calculated", E1013 = "lookup", E1013 = "aggregation")</f>
        <v>0</v>
      </c>
      <c r="J1013" s="3" t="b">
        <f>H1013 &lt;&gt; ""</f>
        <v>0</v>
      </c>
      <c r="K1013" s="3">
        <f>COUNTIFS(FieldDisagreements!D2:D999, A1013)</f>
        <v>0</v>
      </c>
      <c r="L1013" s="3" t="b">
        <f>K1013 &gt; 0</f>
        <v>0</v>
      </c>
      <c r="M1013" s="2" t="s">
        <v>2387</v>
      </c>
    </row>
    <row r="1014">
      <c r="A1014" s="2" t="s">
        <v>4007</v>
      </c>
      <c r="B1014" s="3" t="str">
        <f>C1014 &amp; "." &amp; D1014</f>
        <v>CommunicationPolicies.RequiredContent</v>
      </c>
      <c r="C1014" s="2" t="s">
        <v>1845</v>
      </c>
      <c r="D1014" s="2" t="s">
        <v>1679</v>
      </c>
      <c r="E1014" s="2" t="s">
        <v>2385</v>
      </c>
      <c r="F1014" s="2" t="s">
        <v>2386</v>
      </c>
      <c r="G1014" s="2"/>
      <c r="H1014" s="2"/>
      <c r="I1014" s="3" t="b">
        <f>OR(E1014 = "calculated", E1014 = "lookup", E1014 = "aggregation")</f>
        <v>0</v>
      </c>
      <c r="J1014" s="3" t="b">
        <f>H1014 &lt;&gt; ""</f>
        <v>0</v>
      </c>
      <c r="K1014" s="3">
        <f>COUNTIFS(FieldDisagreements!D2:D999, A1014)</f>
        <v>0</v>
      </c>
      <c r="L1014" s="3" t="b">
        <f>K1014 &gt; 0</f>
        <v>0</v>
      </c>
      <c r="M1014" s="2" t="s">
        <v>2387</v>
      </c>
    </row>
    <row r="1015">
      <c r="A1015" s="2" t="s">
        <v>4008</v>
      </c>
      <c r="B1015" s="3" t="str">
        <f>C1015 &amp; "." &amp; D1015</f>
        <v>CommunicationPolicies.AuthorityStatement</v>
      </c>
      <c r="C1015" s="2" t="s">
        <v>1845</v>
      </c>
      <c r="D1015" s="2" t="s">
        <v>1680</v>
      </c>
      <c r="E1015" s="2" t="s">
        <v>2385</v>
      </c>
      <c r="F1015" s="2" t="s">
        <v>2386</v>
      </c>
      <c r="G1015" s="2"/>
      <c r="H1015" s="2"/>
      <c r="I1015" s="3" t="b">
        <f>OR(E1015 = "calculated", E1015 = "lookup", E1015 = "aggregation")</f>
        <v>0</v>
      </c>
      <c r="J1015" s="3" t="b">
        <f>H1015 &lt;&gt; ""</f>
        <v>0</v>
      </c>
      <c r="K1015" s="3">
        <f>COUNTIFS(FieldDisagreements!D2:D999, A1015)</f>
        <v>0</v>
      </c>
      <c r="L1015" s="3" t="b">
        <f>K1015 &gt; 0</f>
        <v>0</v>
      </c>
      <c r="M1015" s="2" t="s">
        <v>2387</v>
      </c>
    </row>
    <row r="1016">
      <c r="A1016" s="2" t="s">
        <v>4009</v>
      </c>
      <c r="B1016" s="3" t="str">
        <f>C1016 &amp; "." &amp; D1016</f>
        <v>CommunicationPolicies.Status</v>
      </c>
      <c r="C1016" s="2" t="s">
        <v>1845</v>
      </c>
      <c r="D1016" s="2" t="s">
        <v>8</v>
      </c>
      <c r="E1016" s="2" t="s">
        <v>2385</v>
      </c>
      <c r="F1016" s="2" t="s">
        <v>2386</v>
      </c>
      <c r="G1016" s="2"/>
      <c r="H1016" s="2"/>
      <c r="I1016" s="3" t="b">
        <f>OR(E1016 = "calculated", E1016 = "lookup", E1016 = "aggregation")</f>
        <v>0</v>
      </c>
      <c r="J1016" s="3" t="b">
        <f>H1016 &lt;&gt; ""</f>
        <v>0</v>
      </c>
      <c r="K1016" s="3">
        <f>COUNTIFS(FieldDisagreements!D2:D999, A1016)</f>
        <v>0</v>
      </c>
      <c r="L1016" s="3" t="b">
        <f>K1016 &gt; 0</f>
        <v>0</v>
      </c>
      <c r="M1016" s="2" t="s">
        <v>2387</v>
      </c>
    </row>
    <row r="1017">
      <c r="A1017" s="2" t="s">
        <v>4010</v>
      </c>
      <c r="B1017" s="3" t="str">
        <f>C1017 &amp; "." &amp; D1017</f>
        <v>CommunicationPolicies.ConsentViolationCount</v>
      </c>
      <c r="C1017" s="2" t="s">
        <v>1845</v>
      </c>
      <c r="D1017" s="2" t="s">
        <v>1681</v>
      </c>
      <c r="E1017" s="2" t="s">
        <v>2438</v>
      </c>
      <c r="F1017" s="2" t="s">
        <v>2444</v>
      </c>
      <c r="G1017" s="2" t="s">
        <v>4011</v>
      </c>
      <c r="H1017" s="2" t="s">
        <v>2036</v>
      </c>
      <c r="I1017" s="3" t="b">
        <f>OR(E1017 = "calculated", E1017 = "lookup", E1017 = "aggregation")</f>
        <v>1</v>
      </c>
      <c r="J1017" s="3" t="b">
        <f>H1017 &lt;&gt; ""</f>
        <v>1</v>
      </c>
      <c r="K1017" s="3">
        <f>COUNTIFS(FieldDisagreements!D2:D999, A1017)</f>
        <v>0</v>
      </c>
      <c r="L1017" s="3" t="b">
        <f>K1017 &gt; 0</f>
        <v>0</v>
      </c>
      <c r="M1017" s="2" t="s">
        <v>2387</v>
      </c>
    </row>
    <row r="1018">
      <c r="A1018" s="2" t="s">
        <v>4012</v>
      </c>
      <c r="B1018" s="3" t="str">
        <f>C1018 &amp; "." &amp; D1018</f>
        <v>CommunicationPolicies.QuietHoursStartHour</v>
      </c>
      <c r="C1018" s="2" t="s">
        <v>1845</v>
      </c>
      <c r="D1018" s="2" t="s">
        <v>1682</v>
      </c>
      <c r="E1018" s="2" t="s">
        <v>2385</v>
      </c>
      <c r="F1018" s="2" t="s">
        <v>2439</v>
      </c>
      <c r="G1018" s="2"/>
      <c r="H1018" s="2" t="s">
        <v>2040</v>
      </c>
      <c r="I1018" s="3" t="b">
        <f>OR(E1018 = "calculated", E1018 = "lookup", E1018 = "aggregation")</f>
        <v>0</v>
      </c>
      <c r="J1018" s="3" t="b">
        <f>H1018 &lt;&gt; ""</f>
        <v>1</v>
      </c>
      <c r="K1018" s="3">
        <f>COUNTIFS(FieldDisagreements!D2:D999, A1018)</f>
        <v>0</v>
      </c>
      <c r="L1018" s="3" t="b">
        <f>K1018 &gt; 0</f>
        <v>0</v>
      </c>
      <c r="M1018" s="2" t="s">
        <v>2387</v>
      </c>
    </row>
    <row r="1019">
      <c r="A1019" s="2" t="s">
        <v>4013</v>
      </c>
      <c r="B1019" s="3" t="str">
        <f>C1019 &amp; "." &amp; D1019</f>
        <v>CommunicationPolicies.QuietHoursEndHour</v>
      </c>
      <c r="C1019" s="2" t="s">
        <v>1845</v>
      </c>
      <c r="D1019" s="2" t="s">
        <v>1683</v>
      </c>
      <c r="E1019" s="2" t="s">
        <v>2385</v>
      </c>
      <c r="F1019" s="2" t="s">
        <v>2439</v>
      </c>
      <c r="G1019" s="2"/>
      <c r="H1019" s="2" t="s">
        <v>2040</v>
      </c>
      <c r="I1019" s="3" t="b">
        <f>OR(E1019 = "calculated", E1019 = "lookup", E1019 = "aggregation")</f>
        <v>0</v>
      </c>
      <c r="J1019" s="3" t="b">
        <f>H1019 &lt;&gt; ""</f>
        <v>1</v>
      </c>
      <c r="K1019" s="3">
        <f>COUNTIFS(FieldDisagreements!D2:D999, A1019)</f>
        <v>0</v>
      </c>
      <c r="L1019" s="3" t="b">
        <f>K1019 &gt; 0</f>
        <v>0</v>
      </c>
      <c r="M1019" s="2" t="s">
        <v>2387</v>
      </c>
    </row>
    <row r="1020">
      <c r="A1020" s="2" t="s">
        <v>4014</v>
      </c>
      <c r="B1020" s="3" t="str">
        <f>C1020 &amp; "." &amp; D1020</f>
        <v>CommunicationPolicies.QuietHoursViolationCount</v>
      </c>
      <c r="C1020" s="2" t="s">
        <v>1845</v>
      </c>
      <c r="D1020" s="2" t="s">
        <v>1684</v>
      </c>
      <c r="E1020" s="2" t="s">
        <v>2438</v>
      </c>
      <c r="F1020" s="2" t="s">
        <v>2444</v>
      </c>
      <c r="G1020" s="2" t="s">
        <v>4015</v>
      </c>
      <c r="H1020" s="2" t="s">
        <v>2040</v>
      </c>
      <c r="I1020" s="3" t="b">
        <f>OR(E1020 = "calculated", E1020 = "lookup", E1020 = "aggregation")</f>
        <v>1</v>
      </c>
      <c r="J1020" s="3" t="b">
        <f>H1020 &lt;&gt; ""</f>
        <v>1</v>
      </c>
      <c r="K1020" s="3">
        <f>COUNTIFS(FieldDisagreements!D2:D999, A1020)</f>
        <v>0</v>
      </c>
      <c r="L1020" s="3" t="b">
        <f>K1020 &gt; 0</f>
        <v>0</v>
      </c>
      <c r="M1020" s="2" t="s">
        <v>2387</v>
      </c>
    </row>
    <row r="1021">
      <c r="A1021" s="2" t="s">
        <v>4016</v>
      </c>
      <c r="B1021" s="3" t="str">
        <f>C1021 &amp; "." &amp; D1021</f>
        <v>CommunicationPolicies.RequiredOptOutPhrase</v>
      </c>
      <c r="C1021" s="2" t="s">
        <v>1845</v>
      </c>
      <c r="D1021" s="2" t="s">
        <v>1685</v>
      </c>
      <c r="E1021" s="2" t="s">
        <v>2385</v>
      </c>
      <c r="F1021" s="2" t="s">
        <v>2386</v>
      </c>
      <c r="G1021" s="2"/>
      <c r="H1021" s="2" t="s">
        <v>2064</v>
      </c>
      <c r="I1021" s="3" t="b">
        <f>OR(E1021 = "calculated", E1021 = "lookup", E1021 = "aggregation")</f>
        <v>0</v>
      </c>
      <c r="J1021" s="3" t="b">
        <f>H1021 &lt;&gt; ""</f>
        <v>1</v>
      </c>
      <c r="K1021" s="3">
        <f>COUNTIFS(FieldDisagreements!D2:D999, A1021)</f>
        <v>0</v>
      </c>
      <c r="L1021" s="3" t="b">
        <f>K1021 &gt; 0</f>
        <v>0</v>
      </c>
      <c r="M1021" s="2" t="s">
        <v>2387</v>
      </c>
    </row>
    <row r="1022">
      <c r="A1022" s="2" t="s">
        <v>4017</v>
      </c>
      <c r="B1022" s="3" t="str">
        <f>C1022 &amp; "." &amp; D1022</f>
        <v>CommunicationPolicies.IsActivePolicy</v>
      </c>
      <c r="C1022" s="2" t="s">
        <v>1845</v>
      </c>
      <c r="D1022" s="2" t="s">
        <v>1686</v>
      </c>
      <c r="E1022" s="2" t="s">
        <v>2389</v>
      </c>
      <c r="F1022" s="2" t="s">
        <v>2401</v>
      </c>
      <c r="G1022" s="2" t="s">
        <v>4018</v>
      </c>
      <c r="H1022" s="2" t="s">
        <v>2076</v>
      </c>
      <c r="I1022" s="3" t="b">
        <f>OR(E1022 = "calculated", E1022 = "lookup", E1022 = "aggregation")</f>
        <v>1</v>
      </c>
      <c r="J1022" s="3" t="b">
        <f>H1022 &lt;&gt; ""</f>
        <v>1</v>
      </c>
      <c r="K1022" s="3">
        <f>COUNTIFS(FieldDisagreements!D2:D999, A1022)</f>
        <v>0</v>
      </c>
      <c r="L1022" s="3" t="b">
        <f>K1022 &gt; 0</f>
        <v>0</v>
      </c>
      <c r="M1022" s="2" t="s">
        <v>2387</v>
      </c>
    </row>
    <row r="1023">
      <c r="A1023" s="2" t="s">
        <v>4019</v>
      </c>
      <c r="B1023" s="3" t="str">
        <f>C1023 &amp; "." &amp; D1023</f>
        <v>CommunicationPolicies.SemanticTypeIri</v>
      </c>
      <c r="C1023" s="2" t="s">
        <v>1845</v>
      </c>
      <c r="D1023" s="2" t="s">
        <v>94</v>
      </c>
      <c r="E1023" s="2" t="s">
        <v>2385</v>
      </c>
      <c r="F1023" s="2" t="s">
        <v>2386</v>
      </c>
      <c r="G1023" s="2"/>
      <c r="H1023" s="2"/>
      <c r="I1023" s="3" t="b">
        <f>OR(E1023 = "calculated", E1023 = "lookup", E1023 = "aggregation")</f>
        <v>0</v>
      </c>
      <c r="J1023" s="3" t="b">
        <f>H1023 &lt;&gt; ""</f>
        <v>0</v>
      </c>
      <c r="K1023" s="3">
        <f>COUNTIFS(FieldDisagreements!D2:D999, A1023)</f>
        <v>0</v>
      </c>
      <c r="L1023" s="3" t="b">
        <f>K1023 &gt; 0</f>
        <v>0</v>
      </c>
      <c r="M1023" s="2" t="s">
        <v>2387</v>
      </c>
    </row>
    <row r="1024">
      <c r="A1024" s="2" t="s">
        <v>4020</v>
      </c>
      <c r="B1024" s="3" t="str">
        <f>C1024 &amp; "." &amp; D1024</f>
        <v>MessageTemplates.MessageTemplateId</v>
      </c>
      <c r="C1024" s="2" t="s">
        <v>4021</v>
      </c>
      <c r="D1024" s="2" t="s">
        <v>1702</v>
      </c>
      <c r="E1024" s="2" t="s">
        <v>2385</v>
      </c>
      <c r="F1024" s="2" t="s">
        <v>2386</v>
      </c>
      <c r="G1024" s="2"/>
      <c r="H1024" s="2"/>
      <c r="I1024" s="3" t="b">
        <f>OR(E1024 = "calculated", E1024 = "lookup", E1024 = "aggregation")</f>
        <v>0</v>
      </c>
      <c r="J1024" s="3" t="b">
        <f>H1024 &lt;&gt; ""</f>
        <v>0</v>
      </c>
      <c r="K1024" s="3">
        <f>COUNTIFS(FieldDisagreements!D2:D999, A1024)</f>
        <v>0</v>
      </c>
      <c r="L1024" s="3" t="b">
        <f>K1024 &gt; 0</f>
        <v>0</v>
      </c>
      <c r="M1024" s="2" t="s">
        <v>2387</v>
      </c>
    </row>
    <row r="1025">
      <c r="A1025" s="2" t="s">
        <v>4022</v>
      </c>
      <c r="B1025" s="3" t="str">
        <f>C1025 &amp; "." &amp; D1025</f>
        <v>MessageTemplates.Name</v>
      </c>
      <c r="C1025" s="2" t="s">
        <v>4021</v>
      </c>
      <c r="D1025" s="2" t="s">
        <v>1</v>
      </c>
      <c r="E1025" s="2" t="s">
        <v>2389</v>
      </c>
      <c r="F1025" s="2" t="s">
        <v>2386</v>
      </c>
      <c r="G1025" s="2" t="s">
        <v>4023</v>
      </c>
      <c r="H1025" s="2"/>
      <c r="I1025" s="3" t="b">
        <f>OR(E1025 = "calculated", E1025 = "lookup", E1025 = "aggregation")</f>
        <v>1</v>
      </c>
      <c r="J1025" s="3" t="b">
        <f>H1025 &lt;&gt; ""</f>
        <v>0</v>
      </c>
      <c r="K1025" s="3">
        <f>COUNTIFS(FieldDisagreements!D2:D999, A1025)</f>
        <v>0</v>
      </c>
      <c r="L1025" s="3" t="b">
        <f>K1025 &gt; 0</f>
        <v>0</v>
      </c>
      <c r="M1025" s="2" t="s">
        <v>2387</v>
      </c>
    </row>
    <row r="1026">
      <c r="A1026" s="2" t="s">
        <v>4024</v>
      </c>
      <c r="B1026" s="3" t="str">
        <f>C1026 &amp; "." &amp; D1026</f>
        <v>MessageTemplates.CommunicationPolicy</v>
      </c>
      <c r="C1026" s="2" t="s">
        <v>4021</v>
      </c>
      <c r="D1026" s="2" t="s">
        <v>1703</v>
      </c>
      <c r="E1026" s="2" t="s">
        <v>2434</v>
      </c>
      <c r="F1026" s="2" t="s">
        <v>2386</v>
      </c>
      <c r="G1026" s="2"/>
      <c r="H1026" s="2"/>
      <c r="I1026" s="3" t="b">
        <f>OR(E1026 = "calculated", E1026 = "lookup", E1026 = "aggregation")</f>
        <v>0</v>
      </c>
      <c r="J1026" s="3" t="b">
        <f>H1026 &lt;&gt; ""</f>
        <v>0</v>
      </c>
      <c r="K1026" s="3">
        <f>COUNTIFS(FieldDisagreements!D2:D999, A1026)</f>
        <v>0</v>
      </c>
      <c r="L1026" s="3" t="b">
        <f>K1026 &gt; 0</f>
        <v>0</v>
      </c>
      <c r="M1026" s="2" t="s">
        <v>2387</v>
      </c>
    </row>
    <row r="1027">
      <c r="A1027" s="2" t="s">
        <v>4025</v>
      </c>
      <c r="B1027" s="3" t="str">
        <f>C1027 &amp; "." &amp; D1027</f>
        <v>MessageTemplates.Resource</v>
      </c>
      <c r="C1027" s="2" t="s">
        <v>4021</v>
      </c>
      <c r="D1027" s="2" t="s">
        <v>1046</v>
      </c>
      <c r="E1027" s="2" t="s">
        <v>2434</v>
      </c>
      <c r="F1027" s="2" t="s">
        <v>2386</v>
      </c>
      <c r="G1027" s="2"/>
      <c r="H1027" s="2"/>
      <c r="I1027" s="3" t="b">
        <f>OR(E1027 = "calculated", E1027 = "lookup", E1027 = "aggregation")</f>
        <v>0</v>
      </c>
      <c r="J1027" s="3" t="b">
        <f>H1027 &lt;&gt; ""</f>
        <v>0</v>
      </c>
      <c r="K1027" s="3">
        <f>COUNTIFS(FieldDisagreements!D2:D999, A1027)</f>
        <v>0</v>
      </c>
      <c r="L1027" s="3" t="b">
        <f>K1027 &gt; 0</f>
        <v>0</v>
      </c>
      <c r="M1027" s="2" t="s">
        <v>2387</v>
      </c>
    </row>
    <row r="1028">
      <c r="A1028" s="2" t="s">
        <v>4026</v>
      </c>
      <c r="B1028" s="3" t="str">
        <f>C1028 &amp; "." &amp; D1028</f>
        <v>MessageTemplates.SubjectTemplate</v>
      </c>
      <c r="C1028" s="2" t="s">
        <v>4021</v>
      </c>
      <c r="D1028" s="2" t="s">
        <v>1704</v>
      </c>
      <c r="E1028" s="2" t="s">
        <v>2385</v>
      </c>
      <c r="F1028" s="2" t="s">
        <v>2386</v>
      </c>
      <c r="G1028" s="2"/>
      <c r="H1028" s="2"/>
      <c r="I1028" s="3" t="b">
        <f>OR(E1028 = "calculated", E1028 = "lookup", E1028 = "aggregation")</f>
        <v>0</v>
      </c>
      <c r="J1028" s="3" t="b">
        <f>H1028 &lt;&gt; ""</f>
        <v>0</v>
      </c>
      <c r="K1028" s="3">
        <f>COUNTIFS(FieldDisagreements!D2:D999, A1028)</f>
        <v>0</v>
      </c>
      <c r="L1028" s="3" t="b">
        <f>K1028 &gt; 0</f>
        <v>0</v>
      </c>
      <c r="M1028" s="2" t="s">
        <v>2387</v>
      </c>
    </row>
    <row r="1029">
      <c r="A1029" s="2" t="s">
        <v>4027</v>
      </c>
      <c r="B1029" s="3" t="str">
        <f>C1029 &amp; "." &amp; D1029</f>
        <v>MessageTemplates.BodyTemplate</v>
      </c>
      <c r="C1029" s="2" t="s">
        <v>4021</v>
      </c>
      <c r="D1029" s="2" t="s">
        <v>1705</v>
      </c>
      <c r="E1029" s="2" t="s">
        <v>2385</v>
      </c>
      <c r="F1029" s="2" t="s">
        <v>2386</v>
      </c>
      <c r="G1029" s="2"/>
      <c r="H1029" s="2"/>
      <c r="I1029" s="3" t="b">
        <f>OR(E1029 = "calculated", E1029 = "lookup", E1029 = "aggregation")</f>
        <v>0</v>
      </c>
      <c r="J1029" s="3" t="b">
        <f>H1029 &lt;&gt; ""</f>
        <v>0</v>
      </c>
      <c r="K1029" s="3">
        <f>COUNTIFS(FieldDisagreements!D2:D999, A1029)</f>
        <v>0</v>
      </c>
      <c r="L1029" s="3" t="b">
        <f>K1029 &gt; 0</f>
        <v>0</v>
      </c>
      <c r="M1029" s="2" t="s">
        <v>2387</v>
      </c>
    </row>
    <row r="1030">
      <c r="A1030" s="2" t="s">
        <v>4028</v>
      </c>
      <c r="B1030" s="3" t="str">
        <f>C1030 &amp; "." &amp; D1030</f>
        <v>MessageTemplates.Locale</v>
      </c>
      <c r="C1030" s="2" t="s">
        <v>4021</v>
      </c>
      <c r="D1030" s="2" t="s">
        <v>1706</v>
      </c>
      <c r="E1030" s="2" t="s">
        <v>2385</v>
      </c>
      <c r="F1030" s="2" t="s">
        <v>2386</v>
      </c>
      <c r="G1030" s="2"/>
      <c r="H1030" s="2"/>
      <c r="I1030" s="3" t="b">
        <f>OR(E1030 = "calculated", E1030 = "lookup", E1030 = "aggregation")</f>
        <v>0</v>
      </c>
      <c r="J1030" s="3" t="b">
        <f>H1030 &lt;&gt; ""</f>
        <v>0</v>
      </c>
      <c r="K1030" s="3">
        <f>COUNTIFS(FieldDisagreements!D2:D999, A1030)</f>
        <v>0</v>
      </c>
      <c r="L1030" s="3" t="b">
        <f>K1030 &gt; 0</f>
        <v>0</v>
      </c>
      <c r="M1030" s="2" t="s">
        <v>2387</v>
      </c>
    </row>
    <row r="1031">
      <c r="A1031" s="2" t="s">
        <v>4029</v>
      </c>
      <c r="B1031" s="3" t="str">
        <f>C1031 &amp; "." &amp; D1031</f>
        <v>MessageTemplates.Status</v>
      </c>
      <c r="C1031" s="2" t="s">
        <v>4021</v>
      </c>
      <c r="D1031" s="2" t="s">
        <v>8</v>
      </c>
      <c r="E1031" s="2" t="s">
        <v>2385</v>
      </c>
      <c r="F1031" s="2" t="s">
        <v>2386</v>
      </c>
      <c r="G1031" s="2"/>
      <c r="H1031" s="2"/>
      <c r="I1031" s="3" t="b">
        <f>OR(E1031 = "calculated", E1031 = "lookup", E1031 = "aggregation")</f>
        <v>0</v>
      </c>
      <c r="J1031" s="3" t="b">
        <f>H1031 &lt;&gt; ""</f>
        <v>0</v>
      </c>
      <c r="K1031" s="3">
        <f>COUNTIFS(FieldDisagreements!D2:D999, A1031)</f>
        <v>0</v>
      </c>
      <c r="L1031" s="3" t="b">
        <f>K1031 &gt; 0</f>
        <v>0</v>
      </c>
      <c r="M1031" s="2" t="s">
        <v>2387</v>
      </c>
    </row>
    <row r="1032">
      <c r="A1032" s="2" t="s">
        <v>4030</v>
      </c>
      <c r="B1032" s="3" t="str">
        <f>C1032 &amp; "." &amp; D1032</f>
        <v>MessageTemplates.PolicyMaxMessageLength</v>
      </c>
      <c r="C1032" s="2" t="s">
        <v>4021</v>
      </c>
      <c r="D1032" s="2" t="s">
        <v>1707</v>
      </c>
      <c r="E1032" s="2" t="s">
        <v>2478</v>
      </c>
      <c r="F1032" s="2" t="s">
        <v>2439</v>
      </c>
      <c r="G1032" s="2" t="s">
        <v>4031</v>
      </c>
      <c r="H1032" s="2" t="s">
        <v>2056</v>
      </c>
      <c r="I1032" s="3" t="b">
        <f>OR(E1032 = "calculated", E1032 = "lookup", E1032 = "aggregation")</f>
        <v>1</v>
      </c>
      <c r="J1032" s="3" t="b">
        <f>H1032 &lt;&gt; ""</f>
        <v>1</v>
      </c>
      <c r="K1032" s="3">
        <f>COUNTIFS(FieldDisagreements!D2:D999, A1032)</f>
        <v>0</v>
      </c>
      <c r="L1032" s="3" t="b">
        <f>K1032 &gt; 0</f>
        <v>0</v>
      </c>
      <c r="M1032" s="2" t="s">
        <v>2387</v>
      </c>
    </row>
    <row r="1033">
      <c r="A1033" s="2" t="s">
        <v>4032</v>
      </c>
      <c r="B1033" s="3" t="str">
        <f>C1033 &amp; "." &amp; D1033</f>
        <v>MessageTemplates.PolicyMaxSegments</v>
      </c>
      <c r="C1033" s="2" t="s">
        <v>4021</v>
      </c>
      <c r="D1033" s="2" t="s">
        <v>1708</v>
      </c>
      <c r="E1033" s="2" t="s">
        <v>2478</v>
      </c>
      <c r="F1033" s="2" t="s">
        <v>2439</v>
      </c>
      <c r="G1033" s="2" t="s">
        <v>4033</v>
      </c>
      <c r="H1033" s="2" t="s">
        <v>2056</v>
      </c>
      <c r="I1033" s="3" t="b">
        <f>OR(E1033 = "calculated", E1033 = "lookup", E1033 = "aggregation")</f>
        <v>1</v>
      </c>
      <c r="J1033" s="3" t="b">
        <f>H1033 &lt;&gt; ""</f>
        <v>1</v>
      </c>
      <c r="K1033" s="3">
        <f>COUNTIFS(FieldDisagreements!D2:D999, A1033)</f>
        <v>0</v>
      </c>
      <c r="L1033" s="3" t="b">
        <f>K1033 &gt; 0</f>
        <v>0</v>
      </c>
      <c r="M1033" s="2" t="s">
        <v>2387</v>
      </c>
    </row>
    <row r="1034">
      <c r="A1034" s="2" t="s">
        <v>4034</v>
      </c>
      <c r="B1034" s="3" t="str">
        <f>C1034 &amp; "." &amp; D1034</f>
        <v>MessageTemplates.BodyTemplateLength</v>
      </c>
      <c r="C1034" s="2" t="s">
        <v>4021</v>
      </c>
      <c r="D1034" s="2" t="s">
        <v>1709</v>
      </c>
      <c r="E1034" s="2" t="s">
        <v>2389</v>
      </c>
      <c r="F1034" s="2" t="s">
        <v>2439</v>
      </c>
      <c r="G1034" s="2" t="s">
        <v>4035</v>
      </c>
      <c r="H1034" s="2" t="s">
        <v>2056</v>
      </c>
      <c r="I1034" s="3" t="b">
        <f>OR(E1034 = "calculated", E1034 = "lookup", E1034 = "aggregation")</f>
        <v>1</v>
      </c>
      <c r="J1034" s="3" t="b">
        <f>H1034 &lt;&gt; ""</f>
        <v>1</v>
      </c>
      <c r="K1034" s="3">
        <f>COUNTIFS(FieldDisagreements!D2:D999, A1034)</f>
        <v>0</v>
      </c>
      <c r="L1034" s="3" t="b">
        <f>K1034 &gt; 0</f>
        <v>0</v>
      </c>
      <c r="M1034" s="2" t="s">
        <v>2387</v>
      </c>
    </row>
    <row r="1035">
      <c r="A1035" s="2" t="s">
        <v>4036</v>
      </c>
      <c r="B1035" s="3" t="str">
        <f>C1035 &amp; "." &amp; D1035</f>
        <v>MessageTemplates.IsTemplateOverLength</v>
      </c>
      <c r="C1035" s="2" t="s">
        <v>4021</v>
      </c>
      <c r="D1035" s="2" t="s">
        <v>1710</v>
      </c>
      <c r="E1035" s="2" t="s">
        <v>2389</v>
      </c>
      <c r="F1035" s="2" t="s">
        <v>2401</v>
      </c>
      <c r="G1035" s="2" t="s">
        <v>4037</v>
      </c>
      <c r="H1035" s="2" t="s">
        <v>2056</v>
      </c>
      <c r="I1035" s="3" t="b">
        <f>OR(E1035 = "calculated", E1035 = "lookup", E1035 = "aggregation")</f>
        <v>1</v>
      </c>
      <c r="J1035" s="3" t="b">
        <f>H1035 &lt;&gt; ""</f>
        <v>1</v>
      </c>
      <c r="K1035" s="3">
        <f>COUNTIFS(FieldDisagreements!D2:D999, A1035)</f>
        <v>0</v>
      </c>
      <c r="L1035" s="3" t="b">
        <f>K1035 &gt; 0</f>
        <v>0</v>
      </c>
      <c r="M1035" s="2" t="s">
        <v>2387</v>
      </c>
    </row>
    <row r="1036">
      <c r="A1036" s="2" t="s">
        <v>4038</v>
      </c>
      <c r="B1036" s="3" t="str">
        <f>C1036 &amp; "." &amp; D1036</f>
        <v>MessageTemplates.ValidApprovalCount</v>
      </c>
      <c r="C1036" s="2" t="s">
        <v>4021</v>
      </c>
      <c r="D1036" s="2" t="s">
        <v>1711</v>
      </c>
      <c r="E1036" s="2" t="s">
        <v>2438</v>
      </c>
      <c r="F1036" s="2" t="s">
        <v>2444</v>
      </c>
      <c r="G1036" s="2" t="s">
        <v>4039</v>
      </c>
      <c r="H1036" s="2" t="s">
        <v>2060</v>
      </c>
      <c r="I1036" s="3" t="b">
        <f>OR(E1036 = "calculated", E1036 = "lookup", E1036 = "aggregation")</f>
        <v>1</v>
      </c>
      <c r="J1036" s="3" t="b">
        <f>H1036 &lt;&gt; ""</f>
        <v>1</v>
      </c>
      <c r="K1036" s="3">
        <f>COUNTIFS(FieldDisagreements!D2:D999, A1036)</f>
        <v>0</v>
      </c>
      <c r="L1036" s="3" t="b">
        <f>K1036 &gt; 0</f>
        <v>0</v>
      </c>
      <c r="M1036" s="2" t="s">
        <v>2387</v>
      </c>
    </row>
    <row r="1037">
      <c r="A1037" s="2" t="s">
        <v>4040</v>
      </c>
      <c r="B1037" s="3" t="str">
        <f>C1037 &amp; "." &amp; D1037</f>
        <v>MessageTemplates.HasValidApproval</v>
      </c>
      <c r="C1037" s="2" t="s">
        <v>4021</v>
      </c>
      <c r="D1037" s="2" t="s">
        <v>1712</v>
      </c>
      <c r="E1037" s="2" t="s">
        <v>2389</v>
      </c>
      <c r="F1037" s="2" t="s">
        <v>2401</v>
      </c>
      <c r="G1037" s="2" t="s">
        <v>4041</v>
      </c>
      <c r="H1037" s="2" t="s">
        <v>2060</v>
      </c>
      <c r="I1037" s="3" t="b">
        <f>OR(E1037 = "calculated", E1037 = "lookup", E1037 = "aggregation")</f>
        <v>1</v>
      </c>
      <c r="J1037" s="3" t="b">
        <f>H1037 &lt;&gt; ""</f>
        <v>1</v>
      </c>
      <c r="K1037" s="3">
        <f>COUNTIFS(FieldDisagreements!D2:D999, A1037)</f>
        <v>0</v>
      </c>
      <c r="L1037" s="3" t="b">
        <f>K1037 &gt; 0</f>
        <v>0</v>
      </c>
      <c r="M1037" s="2" t="s">
        <v>2387</v>
      </c>
    </row>
    <row r="1038">
      <c r="A1038" s="2" t="s">
        <v>4042</v>
      </c>
      <c r="B1038" s="3" t="str">
        <f>C1038 &amp; "." &amp; D1038</f>
        <v>MessageTemplates.IsClaimingUnbackedApproval</v>
      </c>
      <c r="C1038" s="2" t="s">
        <v>4021</v>
      </c>
      <c r="D1038" s="2" t="s">
        <v>1713</v>
      </c>
      <c r="E1038" s="2" t="s">
        <v>2389</v>
      </c>
      <c r="F1038" s="2" t="s">
        <v>2401</v>
      </c>
      <c r="G1038" s="2" t="s">
        <v>4043</v>
      </c>
      <c r="H1038" s="2" t="s">
        <v>2060</v>
      </c>
      <c r="I1038" s="3" t="b">
        <f>OR(E1038 = "calculated", E1038 = "lookup", E1038 = "aggregation")</f>
        <v>1</v>
      </c>
      <c r="J1038" s="3" t="b">
        <f>H1038 &lt;&gt; ""</f>
        <v>1</v>
      </c>
      <c r="K1038" s="3">
        <f>COUNTIFS(FieldDisagreements!D2:D999, A1038)</f>
        <v>0</v>
      </c>
      <c r="L1038" s="3" t="b">
        <f>K1038 &gt; 0</f>
        <v>0</v>
      </c>
      <c r="M1038" s="2" t="s">
        <v>2387</v>
      </c>
    </row>
    <row r="1039">
      <c r="A1039" s="2" t="s">
        <v>4044</v>
      </c>
      <c r="B1039" s="3" t="str">
        <f>C1039 &amp; "." &amp; D1039</f>
        <v>MessageTemplates.CurrentBodyHash</v>
      </c>
      <c r="C1039" s="2" t="s">
        <v>4021</v>
      </c>
      <c r="D1039" s="2" t="s">
        <v>1714</v>
      </c>
      <c r="E1039" s="2" t="s">
        <v>2385</v>
      </c>
      <c r="F1039" s="2" t="s">
        <v>2386</v>
      </c>
      <c r="G1039" s="2"/>
      <c r="H1039" s="2" t="s">
        <v>2072</v>
      </c>
      <c r="I1039" s="3" t="b">
        <f>OR(E1039 = "calculated", E1039 = "lookup", E1039 = "aggregation")</f>
        <v>0</v>
      </c>
      <c r="J1039" s="3" t="b">
        <f>H1039 &lt;&gt; ""</f>
        <v>1</v>
      </c>
      <c r="K1039" s="3">
        <f>COUNTIFS(FieldDisagreements!D2:D999, A1039)</f>
        <v>0</v>
      </c>
      <c r="L1039" s="3" t="b">
        <f>K1039 &gt; 0</f>
        <v>0</v>
      </c>
      <c r="M1039" s="2" t="s">
        <v>2387</v>
      </c>
    </row>
    <row r="1040">
      <c r="A1040" s="2" t="s">
        <v>4045</v>
      </c>
      <c r="B1040" s="3" t="str">
        <f>C1040 &amp; "." &amp; D1040</f>
        <v>MessageTemplates.LastApprovedBodyHash</v>
      </c>
      <c r="C1040" s="2" t="s">
        <v>4021</v>
      </c>
      <c r="D1040" s="2" t="s">
        <v>1715</v>
      </c>
      <c r="E1040" s="2" t="s">
        <v>2478</v>
      </c>
      <c r="F1040" s="2" t="s">
        <v>2386</v>
      </c>
      <c r="G1040" s="2" t="s">
        <v>4046</v>
      </c>
      <c r="H1040" s="2" t="s">
        <v>2072</v>
      </c>
      <c r="I1040" s="3" t="b">
        <f>OR(E1040 = "calculated", E1040 = "lookup", E1040 = "aggregation")</f>
        <v>1</v>
      </c>
      <c r="J1040" s="3" t="b">
        <f>H1040 &lt;&gt; ""</f>
        <v>1</v>
      </c>
      <c r="K1040" s="3">
        <f>COUNTIFS(FieldDisagreements!D2:D999, A1040)</f>
        <v>0</v>
      </c>
      <c r="L1040" s="3" t="b">
        <f>K1040 &gt; 0</f>
        <v>0</v>
      </c>
      <c r="M1040" s="2" t="s">
        <v>2387</v>
      </c>
    </row>
    <row r="1041">
      <c r="A1041" s="2" t="s">
        <v>4047</v>
      </c>
      <c r="B1041" s="3" t="str">
        <f>C1041 &amp; "." &amp; D1041</f>
        <v>MessageTemplates.LastValidApproval</v>
      </c>
      <c r="C1041" s="2" t="s">
        <v>4021</v>
      </c>
      <c r="D1041" s="2" t="s">
        <v>1716</v>
      </c>
      <c r="E1041" s="2" t="s">
        <v>2385</v>
      </c>
      <c r="F1041" s="2" t="s">
        <v>2386</v>
      </c>
      <c r="G1041" s="2"/>
      <c r="H1041" s="2" t="s">
        <v>2072</v>
      </c>
      <c r="I1041" s="3" t="b">
        <f>OR(E1041 = "calculated", E1041 = "lookup", E1041 = "aggregation")</f>
        <v>0</v>
      </c>
      <c r="J1041" s="3" t="b">
        <f>H1041 &lt;&gt; ""</f>
        <v>1</v>
      </c>
      <c r="K1041" s="3">
        <f>COUNTIFS(FieldDisagreements!D2:D999, A1041)</f>
        <v>0</v>
      </c>
      <c r="L1041" s="3" t="b">
        <f>K1041 &gt; 0</f>
        <v>0</v>
      </c>
      <c r="M1041" s="2" t="s">
        <v>2387</v>
      </c>
    </row>
    <row r="1042">
      <c r="A1042" s="2" t="s">
        <v>4048</v>
      </c>
      <c r="B1042" s="3" t="str">
        <f>C1042 &amp; "." &amp; D1042</f>
        <v>MessageTemplates.HasBodyDrifted</v>
      </c>
      <c r="C1042" s="2" t="s">
        <v>4021</v>
      </c>
      <c r="D1042" s="2" t="s">
        <v>1717</v>
      </c>
      <c r="E1042" s="2" t="s">
        <v>2389</v>
      </c>
      <c r="F1042" s="2" t="s">
        <v>2401</v>
      </c>
      <c r="G1042" s="2" t="s">
        <v>4049</v>
      </c>
      <c r="H1042" s="2" t="s">
        <v>2072</v>
      </c>
      <c r="I1042" s="3" t="b">
        <f>OR(E1042 = "calculated", E1042 = "lookup", E1042 = "aggregation")</f>
        <v>1</v>
      </c>
      <c r="J1042" s="3" t="b">
        <f>H1042 &lt;&gt; ""</f>
        <v>1</v>
      </c>
      <c r="K1042" s="3">
        <f>COUNTIFS(FieldDisagreements!D2:D999, A1042)</f>
        <v>0</v>
      </c>
      <c r="L1042" s="3" t="b">
        <f>K1042 &gt; 0</f>
        <v>0</v>
      </c>
      <c r="M1042" s="2" t="s">
        <v>2387</v>
      </c>
    </row>
    <row r="1043">
      <c r="A1043" s="2" t="s">
        <v>4050</v>
      </c>
      <c r="B1043" s="3" t="str">
        <f>C1043 &amp; "." &amp; D1043</f>
        <v>MessageTemplates.IsSendableUnderApproval</v>
      </c>
      <c r="C1043" s="2" t="s">
        <v>4021</v>
      </c>
      <c r="D1043" s="2" t="s">
        <v>1718</v>
      </c>
      <c r="E1043" s="2" t="s">
        <v>2389</v>
      </c>
      <c r="F1043" s="2" t="s">
        <v>2401</v>
      </c>
      <c r="G1043" s="2" t="s">
        <v>4051</v>
      </c>
      <c r="H1043" s="2" t="s">
        <v>2072</v>
      </c>
      <c r="I1043" s="3" t="b">
        <f>OR(E1043 = "calculated", E1043 = "lookup", E1043 = "aggregation")</f>
        <v>1</v>
      </c>
      <c r="J1043" s="3" t="b">
        <f>H1043 &lt;&gt; ""</f>
        <v>1</v>
      </c>
      <c r="K1043" s="3">
        <f>COUNTIFS(FieldDisagreements!D2:D999, A1043)</f>
        <v>0</v>
      </c>
      <c r="L1043" s="3" t="b">
        <f>K1043 &gt; 0</f>
        <v>0</v>
      </c>
      <c r="M1043" s="2" t="s">
        <v>2387</v>
      </c>
    </row>
    <row r="1044">
      <c r="A1044" s="2" t="s">
        <v>4052</v>
      </c>
      <c r="B1044" s="3" t="str">
        <f>C1044 &amp; "." &amp; D1044</f>
        <v>MessageTemplates.DriftedSendCount</v>
      </c>
      <c r="C1044" s="2" t="s">
        <v>4021</v>
      </c>
      <c r="D1044" s="2" t="s">
        <v>1719</v>
      </c>
      <c r="E1044" s="2" t="s">
        <v>2438</v>
      </c>
      <c r="F1044" s="2" t="s">
        <v>2444</v>
      </c>
      <c r="G1044" s="2" t="s">
        <v>4053</v>
      </c>
      <c r="H1044" s="2" t="s">
        <v>2072</v>
      </c>
      <c r="I1044" s="3" t="b">
        <f>OR(E1044 = "calculated", E1044 = "lookup", E1044 = "aggregation")</f>
        <v>1</v>
      </c>
      <c r="J1044" s="3" t="b">
        <f>H1044 &lt;&gt; ""</f>
        <v>1</v>
      </c>
      <c r="K1044" s="3">
        <f>COUNTIFS(FieldDisagreements!D2:D999, A1044)</f>
        <v>0</v>
      </c>
      <c r="L1044" s="3" t="b">
        <f>K1044 &gt; 0</f>
        <v>0</v>
      </c>
      <c r="M1044" s="2" t="s">
        <v>2387</v>
      </c>
    </row>
    <row r="1045">
      <c r="A1045" s="2" t="s">
        <v>4054</v>
      </c>
      <c r="B1045" s="3" t="str">
        <f>C1045 &amp; "." &amp; D1045</f>
        <v>MessageTemplates.UnansweredDeliveryCount</v>
      </c>
      <c r="C1045" s="2" t="s">
        <v>4021</v>
      </c>
      <c r="D1045" s="2" t="s">
        <v>1720</v>
      </c>
      <c r="E1045" s="2" t="s">
        <v>2438</v>
      </c>
      <c r="F1045" s="2" t="s">
        <v>2444</v>
      </c>
      <c r="G1045" s="2" t="s">
        <v>4055</v>
      </c>
      <c r="H1045" s="2" t="s">
        <v>2300</v>
      </c>
      <c r="I1045" s="3" t="b">
        <f>OR(E1045 = "calculated", E1045 = "lookup", E1045 = "aggregation")</f>
        <v>1</v>
      </c>
      <c r="J1045" s="3" t="b">
        <f>H1045 &lt;&gt; ""</f>
        <v>1</v>
      </c>
      <c r="K1045" s="3">
        <f>COUNTIFS(FieldDisagreements!D2:D999, A1045)</f>
        <v>0</v>
      </c>
      <c r="L1045" s="3" t="b">
        <f>K1045 &gt; 0</f>
        <v>0</v>
      </c>
      <c r="M1045" s="2" t="s">
        <v>2387</v>
      </c>
    </row>
    <row r="1046">
      <c r="A1046" s="2" t="s">
        <v>4056</v>
      </c>
      <c r="B1046" s="3" t="str">
        <f>C1046 &amp; "." &amp; D1046</f>
        <v>MessageTemplates.TransmittedDeliveryCount</v>
      </c>
      <c r="C1046" s="2" t="s">
        <v>4021</v>
      </c>
      <c r="D1046" s="2" t="s">
        <v>1721</v>
      </c>
      <c r="E1046" s="2" t="s">
        <v>2438</v>
      </c>
      <c r="F1046" s="2" t="s">
        <v>2444</v>
      </c>
      <c r="G1046" s="2" t="s">
        <v>4057</v>
      </c>
      <c r="H1046" s="2" t="s">
        <v>2300</v>
      </c>
      <c r="I1046" s="3" t="b">
        <f>OR(E1046 = "calculated", E1046 = "lookup", E1046 = "aggregation")</f>
        <v>1</v>
      </c>
      <c r="J1046" s="3" t="b">
        <f>H1046 &lt;&gt; ""</f>
        <v>1</v>
      </c>
      <c r="K1046" s="3">
        <f>COUNTIFS(FieldDisagreements!D2:D999, A1046)</f>
        <v>0</v>
      </c>
      <c r="L1046" s="3" t="b">
        <f>K1046 &gt; 0</f>
        <v>0</v>
      </c>
      <c r="M1046" s="2" t="s">
        <v>2387</v>
      </c>
    </row>
    <row r="1047">
      <c r="A1047" s="2" t="s">
        <v>4058</v>
      </c>
      <c r="B1047" s="3" t="str">
        <f>C1047 &amp; "." &amp; D1047</f>
        <v>MessageTemplates.TemplateDrawsNoResponse</v>
      </c>
      <c r="C1047" s="2" t="s">
        <v>4021</v>
      </c>
      <c r="D1047" s="2" t="s">
        <v>1722</v>
      </c>
      <c r="E1047" s="2" t="s">
        <v>2389</v>
      </c>
      <c r="F1047" s="2" t="s">
        <v>2401</v>
      </c>
      <c r="G1047" s="2" t="s">
        <v>4059</v>
      </c>
      <c r="H1047" s="2" t="s">
        <v>2300</v>
      </c>
      <c r="I1047" s="3" t="b">
        <f>OR(E1047 = "calculated", E1047 = "lookup", E1047 = "aggregation")</f>
        <v>1</v>
      </c>
      <c r="J1047" s="3" t="b">
        <f>H1047 &lt;&gt; ""</f>
        <v>1</v>
      </c>
      <c r="K1047" s="3">
        <f>COUNTIFS(FieldDisagreements!D2:D999, A1047)</f>
        <v>0</v>
      </c>
      <c r="L1047" s="3" t="b">
        <f>K1047 &gt; 0</f>
        <v>0</v>
      </c>
      <c r="M1047" s="2" t="s">
        <v>2387</v>
      </c>
    </row>
    <row r="1048">
      <c r="A1048" s="2" t="s">
        <v>4060</v>
      </c>
      <c r="B1048" s="3" t="str">
        <f>C1048 &amp; "." &amp; D1048</f>
        <v>MessageTemplates.LastApprovalAt</v>
      </c>
      <c r="C1048" s="2" t="s">
        <v>4021</v>
      </c>
      <c r="D1048" s="2" t="s">
        <v>1723</v>
      </c>
      <c r="E1048" s="2" t="s">
        <v>2478</v>
      </c>
      <c r="F1048" s="2" t="s">
        <v>2397</v>
      </c>
      <c r="G1048" s="2" t="s">
        <v>4061</v>
      </c>
      <c r="H1048" s="2" t="s">
        <v>2308</v>
      </c>
      <c r="I1048" s="3" t="b">
        <f>OR(E1048 = "calculated", E1048 = "lookup", E1048 = "aggregation")</f>
        <v>1</v>
      </c>
      <c r="J1048" s="3" t="b">
        <f>H1048 &lt;&gt; ""</f>
        <v>1</v>
      </c>
      <c r="K1048" s="3">
        <f>COUNTIFS(FieldDisagreements!D2:D999, A1048)</f>
        <v>1</v>
      </c>
      <c r="L1048" s="3" t="b">
        <f>K1048 &gt; 0</f>
        <v>1</v>
      </c>
      <c r="M1048" s="2" t="s">
        <v>2387</v>
      </c>
    </row>
    <row r="1049">
      <c r="A1049" s="2" t="s">
        <v>4062</v>
      </c>
      <c r="B1049" s="3" t="str">
        <f>C1049 &amp; "." &amp; D1049</f>
        <v>MessageTemplates.SemanticTypeIri</v>
      </c>
      <c r="C1049" s="2" t="s">
        <v>4021</v>
      </c>
      <c r="D1049" s="2" t="s">
        <v>94</v>
      </c>
      <c r="E1049" s="2" t="s">
        <v>2385</v>
      </c>
      <c r="F1049" s="2" t="s">
        <v>2386</v>
      </c>
      <c r="G1049" s="2"/>
      <c r="H1049" s="2"/>
      <c r="I1049" s="3" t="b">
        <f>OR(E1049 = "calculated", E1049 = "lookup", E1049 = "aggregation")</f>
        <v>0</v>
      </c>
      <c r="J1049" s="3" t="b">
        <f>H1049 &lt;&gt; ""</f>
        <v>0</v>
      </c>
      <c r="K1049" s="3">
        <f>COUNTIFS(FieldDisagreements!D2:D999, A1049)</f>
        <v>0</v>
      </c>
      <c r="L1049" s="3" t="b">
        <f>K1049 &gt; 0</f>
        <v>0</v>
      </c>
      <c r="M1049" s="2" t="s">
        <v>2387</v>
      </c>
    </row>
    <row r="1050">
      <c r="A1050" s="2" t="s">
        <v>4063</v>
      </c>
      <c r="B1050" s="3" t="str">
        <f>C1050 &amp; "." &amp; D1050</f>
        <v>SemanticMappings.SemanticMappingId</v>
      </c>
      <c r="C1050" s="2" t="s">
        <v>4064</v>
      </c>
      <c r="D1050" s="2" t="s">
        <v>1734</v>
      </c>
      <c r="E1050" s="2" t="s">
        <v>2385</v>
      </c>
      <c r="F1050" s="2" t="s">
        <v>2386</v>
      </c>
      <c r="G1050" s="2"/>
      <c r="H1050" s="2"/>
      <c r="I1050" s="3" t="b">
        <f>OR(E1050 = "calculated", E1050 = "lookup", E1050 = "aggregation")</f>
        <v>0</v>
      </c>
      <c r="J1050" s="3" t="b">
        <f>H1050 &lt;&gt; ""</f>
        <v>0</v>
      </c>
      <c r="K1050" s="3">
        <f>COUNTIFS(FieldDisagreements!D2:D999, A1050)</f>
        <v>0</v>
      </c>
      <c r="L1050" s="3" t="b">
        <f>K1050 &gt; 0</f>
        <v>0</v>
      </c>
      <c r="M1050" s="2" t="s">
        <v>2387</v>
      </c>
    </row>
    <row r="1051">
      <c r="A1051" s="2" t="s">
        <v>4065</v>
      </c>
      <c r="B1051" s="3" t="str">
        <f>C1051 &amp; "." &amp; D1051</f>
        <v>SemanticMappings.Name</v>
      </c>
      <c r="C1051" s="2" t="s">
        <v>4064</v>
      </c>
      <c r="D1051" s="2" t="s">
        <v>1</v>
      </c>
      <c r="E1051" s="2" t="s">
        <v>2389</v>
      </c>
      <c r="F1051" s="2" t="s">
        <v>2386</v>
      </c>
      <c r="G1051" s="2" t="s">
        <v>4066</v>
      </c>
      <c r="H1051" s="2"/>
      <c r="I1051" s="3" t="b">
        <f>OR(E1051 = "calculated", E1051 = "lookup", E1051 = "aggregation")</f>
        <v>1</v>
      </c>
      <c r="J1051" s="3" t="b">
        <f>H1051 &lt;&gt; ""</f>
        <v>0</v>
      </c>
      <c r="K1051" s="3">
        <f>COUNTIFS(FieldDisagreements!D2:D999, A1051)</f>
        <v>0</v>
      </c>
      <c r="L1051" s="3" t="b">
        <f>K1051 &gt; 0</f>
        <v>0</v>
      </c>
      <c r="M1051" s="2" t="s">
        <v>2387</v>
      </c>
    </row>
    <row r="1052">
      <c r="A1052" s="2" t="s">
        <v>4067</v>
      </c>
      <c r="B1052" s="3" t="str">
        <f>C1052 &amp; "." &amp; D1052</f>
        <v>SemanticMappings.SourcePath</v>
      </c>
      <c r="C1052" s="2" t="s">
        <v>4064</v>
      </c>
      <c r="D1052" s="2" t="s">
        <v>1735</v>
      </c>
      <c r="E1052" s="2" t="s">
        <v>2385</v>
      </c>
      <c r="F1052" s="2" t="s">
        <v>2386</v>
      </c>
      <c r="G1052" s="2"/>
      <c r="H1052" s="2"/>
      <c r="I1052" s="3" t="b">
        <f>OR(E1052 = "calculated", E1052 = "lookup", E1052 = "aggregation")</f>
        <v>0</v>
      </c>
      <c r="J1052" s="3" t="b">
        <f>H1052 &lt;&gt; ""</f>
        <v>0</v>
      </c>
      <c r="K1052" s="3">
        <f>COUNTIFS(FieldDisagreements!D2:D999, A1052)</f>
        <v>0</v>
      </c>
      <c r="L1052" s="3" t="b">
        <f>K1052 &gt; 0</f>
        <v>0</v>
      </c>
      <c r="M1052" s="2" t="s">
        <v>2387</v>
      </c>
    </row>
    <row r="1053">
      <c r="A1053" s="2" t="s">
        <v>4068</v>
      </c>
      <c r="B1053" s="3" t="str">
        <f>C1053 &amp; "." &amp; D1053</f>
        <v>SemanticMappings.MappingKind</v>
      </c>
      <c r="C1053" s="2" t="s">
        <v>4064</v>
      </c>
      <c r="D1053" s="2" t="s">
        <v>1736</v>
      </c>
      <c r="E1053" s="2" t="s">
        <v>2385</v>
      </c>
      <c r="F1053" s="2" t="s">
        <v>2386</v>
      </c>
      <c r="G1053" s="2"/>
      <c r="H1053" s="2"/>
      <c r="I1053" s="3" t="b">
        <f>OR(E1053 = "calculated", E1053 = "lookup", E1053 = "aggregation")</f>
        <v>0</v>
      </c>
      <c r="J1053" s="3" t="b">
        <f>H1053 &lt;&gt; ""</f>
        <v>0</v>
      </c>
      <c r="K1053" s="3">
        <f>COUNTIFS(FieldDisagreements!D2:D999, A1053)</f>
        <v>0</v>
      </c>
      <c r="L1053" s="3" t="b">
        <f>K1053 &gt; 0</f>
        <v>0</v>
      </c>
      <c r="M1053" s="2" t="s">
        <v>2387</v>
      </c>
    </row>
    <row r="1054">
      <c r="A1054" s="2" t="s">
        <v>4069</v>
      </c>
      <c r="B1054" s="3" t="str">
        <f>C1054 &amp; "." &amp; D1054</f>
        <v>SemanticMappings.TargetIri</v>
      </c>
      <c r="C1054" s="2" t="s">
        <v>4064</v>
      </c>
      <c r="D1054" s="2" t="s">
        <v>1737</v>
      </c>
      <c r="E1054" s="2" t="s">
        <v>2385</v>
      </c>
      <c r="F1054" s="2" t="s">
        <v>2386</v>
      </c>
      <c r="G1054" s="2"/>
      <c r="H1054" s="2"/>
      <c r="I1054" s="3" t="b">
        <f>OR(E1054 = "calculated", E1054 = "lookup", E1054 = "aggregation")</f>
        <v>0</v>
      </c>
      <c r="J1054" s="3" t="b">
        <f>H1054 &lt;&gt; ""</f>
        <v>0</v>
      </c>
      <c r="K1054" s="3">
        <f>COUNTIFS(FieldDisagreements!D2:D999, A1054)</f>
        <v>0</v>
      </c>
      <c r="L1054" s="3" t="b">
        <f>K1054 &gt; 0</f>
        <v>0</v>
      </c>
      <c r="M1054" s="2" t="s">
        <v>2387</v>
      </c>
    </row>
    <row r="1055">
      <c r="A1055" s="2" t="s">
        <v>4070</v>
      </c>
      <c r="B1055" s="3" t="str">
        <f>C1055 &amp; "." &amp; D1055</f>
        <v>SemanticMappings.MappingRelation</v>
      </c>
      <c r="C1055" s="2" t="s">
        <v>4064</v>
      </c>
      <c r="D1055" s="2" t="s">
        <v>1738</v>
      </c>
      <c r="E1055" s="2" t="s">
        <v>2385</v>
      </c>
      <c r="F1055" s="2" t="s">
        <v>2386</v>
      </c>
      <c r="G1055" s="2"/>
      <c r="H1055" s="2"/>
      <c r="I1055" s="3" t="b">
        <f>OR(E1055 = "calculated", E1055 = "lookup", E1055 = "aggregation")</f>
        <v>0</v>
      </c>
      <c r="J1055" s="3" t="b">
        <f>H1055 &lt;&gt; ""</f>
        <v>0</v>
      </c>
      <c r="K1055" s="3">
        <f>COUNTIFS(FieldDisagreements!D2:D999, A1055)</f>
        <v>0</v>
      </c>
      <c r="L1055" s="3" t="b">
        <f>K1055 &gt; 0</f>
        <v>0</v>
      </c>
      <c r="M1055" s="2" t="s">
        <v>2387</v>
      </c>
    </row>
    <row r="1056">
      <c r="A1056" s="2" t="s">
        <v>4071</v>
      </c>
      <c r="B1056" s="3" t="str">
        <f>C1056 &amp; "." &amp; D1056</f>
        <v>SemanticMappings.OntologyProfile</v>
      </c>
      <c r="C1056" s="2" t="s">
        <v>4064</v>
      </c>
      <c r="D1056" s="2" t="s">
        <v>1739</v>
      </c>
      <c r="E1056" s="2" t="s">
        <v>2434</v>
      </c>
      <c r="F1056" s="2" t="s">
        <v>2386</v>
      </c>
      <c r="G1056" s="2"/>
      <c r="H1056" s="2"/>
      <c r="I1056" s="3" t="b">
        <f>OR(E1056 = "calculated", E1056 = "lookup", E1056 = "aggregation")</f>
        <v>0</v>
      </c>
      <c r="J1056" s="3" t="b">
        <f>H1056 &lt;&gt; ""</f>
        <v>0</v>
      </c>
      <c r="K1056" s="3">
        <f>COUNTIFS(FieldDisagreements!D2:D999, A1056)</f>
        <v>0</v>
      </c>
      <c r="L1056" s="3" t="b">
        <f>K1056 &gt; 0</f>
        <v>0</v>
      </c>
      <c r="M1056" s="2" t="s">
        <v>2387</v>
      </c>
    </row>
    <row r="1057">
      <c r="A1057" s="2" t="s">
        <v>4072</v>
      </c>
      <c r="B1057" s="3" t="str">
        <f>C1057 &amp; "." &amp; D1057</f>
        <v>SemanticMappings.Notes</v>
      </c>
      <c r="C1057" s="2" t="s">
        <v>4064</v>
      </c>
      <c r="D1057" s="2" t="s">
        <v>1740</v>
      </c>
      <c r="E1057" s="2" t="s">
        <v>2385</v>
      </c>
      <c r="F1057" s="2" t="s">
        <v>2386</v>
      </c>
      <c r="G1057" s="2"/>
      <c r="H1057" s="2"/>
      <c r="I1057" s="3" t="b">
        <f>OR(E1057 = "calculated", E1057 = "lookup", E1057 = "aggregation")</f>
        <v>0</v>
      </c>
      <c r="J1057" s="3" t="b">
        <f>H1057 &lt;&gt; ""</f>
        <v>0</v>
      </c>
      <c r="K1057" s="3">
        <f>COUNTIFS(FieldDisagreements!D2:D999, A1057)</f>
        <v>0</v>
      </c>
      <c r="L1057" s="3" t="b">
        <f>K1057 &gt; 0</f>
        <v>0</v>
      </c>
      <c r="M1057" s="2" t="s">
        <v>2387</v>
      </c>
    </row>
    <row r="1058">
      <c r="A1058" s="2" t="s">
        <v>4073</v>
      </c>
      <c r="B1058" s="3" t="str">
        <f>C1058 &amp; "." &amp; D1058</f>
        <v>WitnessLoops.WitnessLoopId</v>
      </c>
      <c r="C1058" s="2" t="s">
        <v>4074</v>
      </c>
      <c r="D1058" s="2" t="s">
        <v>1908</v>
      </c>
      <c r="E1058" s="2" t="s">
        <v>2385</v>
      </c>
      <c r="F1058" s="2" t="s">
        <v>2386</v>
      </c>
      <c r="G1058" s="2"/>
      <c r="H1058" s="2"/>
      <c r="I1058" s="3" t="b">
        <f>OR(E1058 = "calculated", E1058 = "lookup", E1058 = "aggregation")</f>
        <v>0</v>
      </c>
      <c r="J1058" s="3" t="b">
        <f>H1058 &lt;&gt; ""</f>
        <v>0</v>
      </c>
      <c r="K1058" s="3">
        <f>COUNTIFS(FieldDisagreements!D2:D999, A1058)</f>
        <v>0</v>
      </c>
      <c r="L1058" s="3" t="b">
        <f>K1058 &gt; 0</f>
        <v>0</v>
      </c>
      <c r="M1058" s="2" t="s">
        <v>2387</v>
      </c>
    </row>
    <row r="1059">
      <c r="A1059" s="2" t="s">
        <v>4075</v>
      </c>
      <c r="B1059" s="3" t="str">
        <f>C1059 &amp; "." &amp; D1059</f>
        <v>WitnessLoops.Name</v>
      </c>
      <c r="C1059" s="2" t="s">
        <v>4074</v>
      </c>
      <c r="D1059" s="2" t="s">
        <v>1</v>
      </c>
      <c r="E1059" s="2" t="s">
        <v>2389</v>
      </c>
      <c r="F1059" s="2" t="s">
        <v>2386</v>
      </c>
      <c r="G1059" s="2" t="s">
        <v>4076</v>
      </c>
      <c r="H1059" s="2"/>
      <c r="I1059" s="3" t="b">
        <f>OR(E1059 = "calculated", E1059 = "lookup", E1059 = "aggregation")</f>
        <v>1</v>
      </c>
      <c r="J1059" s="3" t="b">
        <f>H1059 &lt;&gt; ""</f>
        <v>0</v>
      </c>
      <c r="K1059" s="3">
        <f>COUNTIFS(FieldDisagreements!D2:D999, A1059)</f>
        <v>0</v>
      </c>
      <c r="L1059" s="3" t="b">
        <f>K1059 &gt; 0</f>
        <v>0</v>
      </c>
      <c r="M1059" s="2" t="s">
        <v>2387</v>
      </c>
    </row>
    <row r="1060">
      <c r="A1060" s="2" t="s">
        <v>4077</v>
      </c>
      <c r="B1060" s="3" t="str">
        <f>C1060 &amp; "." &amp; D1060</f>
        <v>WitnessLoops.LoopNumber</v>
      </c>
      <c r="C1060" s="2" t="s">
        <v>4074</v>
      </c>
      <c r="D1060" s="2" t="s">
        <v>1909</v>
      </c>
      <c r="E1060" s="2" t="s">
        <v>2385</v>
      </c>
      <c r="F1060" s="2" t="s">
        <v>2444</v>
      </c>
      <c r="G1060" s="2"/>
      <c r="H1060" s="2"/>
      <c r="I1060" s="3" t="b">
        <f>OR(E1060 = "calculated", E1060 = "lookup", E1060 = "aggregation")</f>
        <v>0</v>
      </c>
      <c r="J1060" s="3" t="b">
        <f>H1060 &lt;&gt; ""</f>
        <v>0</v>
      </c>
      <c r="K1060" s="3">
        <f>COUNTIFS(FieldDisagreements!D2:D999, A1060)</f>
        <v>0</v>
      </c>
      <c r="L1060" s="3" t="b">
        <f>K1060 &gt; 0</f>
        <v>0</v>
      </c>
      <c r="M1060" s="2" t="s">
        <v>2387</v>
      </c>
    </row>
    <row r="1061">
      <c r="A1061" s="2" t="s">
        <v>4078</v>
      </c>
      <c r="B1061" s="3" t="str">
        <f>C1061 &amp; "." &amp; D1061</f>
        <v>WitnessLoops.Title</v>
      </c>
      <c r="C1061" s="2" t="s">
        <v>4074</v>
      </c>
      <c r="D1061" s="2" t="s">
        <v>358</v>
      </c>
      <c r="E1061" s="2" t="s">
        <v>2385</v>
      </c>
      <c r="F1061" s="2" t="s">
        <v>2386</v>
      </c>
      <c r="G1061" s="2"/>
      <c r="H1061" s="2"/>
      <c r="I1061" s="3" t="b">
        <f>OR(E1061 = "calculated", E1061 = "lookup", E1061 = "aggregation")</f>
        <v>0</v>
      </c>
      <c r="J1061" s="3" t="b">
        <f>H1061 &lt;&gt; ""</f>
        <v>0</v>
      </c>
      <c r="K1061" s="3">
        <f>COUNTIFS(FieldDisagreements!D2:D999, A1061)</f>
        <v>0</v>
      </c>
      <c r="L1061" s="3" t="b">
        <f>K1061 &gt; 0</f>
        <v>0</v>
      </c>
      <c r="M1061" s="2" t="s">
        <v>2387</v>
      </c>
    </row>
    <row r="1062">
      <c r="A1062" s="2" t="s">
        <v>4079</v>
      </c>
      <c r="B1062" s="3" t="str">
        <f>C1062 &amp; "." &amp; D1062</f>
        <v>WitnessLoops.Premise</v>
      </c>
      <c r="C1062" s="2" t="s">
        <v>4074</v>
      </c>
      <c r="D1062" s="2" t="s">
        <v>1910</v>
      </c>
      <c r="E1062" s="2" t="s">
        <v>2385</v>
      </c>
      <c r="F1062" s="2" t="s">
        <v>2386</v>
      </c>
      <c r="G1062" s="2"/>
      <c r="H1062" s="2"/>
      <c r="I1062" s="3" t="b">
        <f>OR(E1062 = "calculated", E1062 = "lookup", E1062 = "aggregation")</f>
        <v>0</v>
      </c>
      <c r="J1062" s="3" t="b">
        <f>H1062 &lt;&gt; ""</f>
        <v>0</v>
      </c>
      <c r="K1062" s="3">
        <f>COUNTIFS(FieldDisagreements!D2:D999, A1062)</f>
        <v>0</v>
      </c>
      <c r="L1062" s="3" t="b">
        <f>K1062 &gt; 0</f>
        <v>0</v>
      </c>
      <c r="M1062" s="2" t="s">
        <v>2387</v>
      </c>
    </row>
    <row r="1063">
      <c r="A1063" s="2" t="s">
        <v>4080</v>
      </c>
      <c r="B1063" s="3" t="str">
        <f>C1063 &amp; "." &amp; D1063</f>
        <v>WitnessLoops.StartedAt</v>
      </c>
      <c r="C1063" s="2" t="s">
        <v>4074</v>
      </c>
      <c r="D1063" s="2" t="s">
        <v>1060</v>
      </c>
      <c r="E1063" s="2" t="s">
        <v>2385</v>
      </c>
      <c r="F1063" s="2" t="s">
        <v>2397</v>
      </c>
      <c r="G1063" s="2"/>
      <c r="H1063" s="2"/>
      <c r="I1063" s="3" t="b">
        <f>OR(E1063 = "calculated", E1063 = "lookup", E1063 = "aggregation")</f>
        <v>0</v>
      </c>
      <c r="J1063" s="3" t="b">
        <f>H1063 &lt;&gt; ""</f>
        <v>0</v>
      </c>
      <c r="K1063" s="3">
        <f>COUNTIFS(FieldDisagreements!D2:D999, A1063)</f>
        <v>0</v>
      </c>
      <c r="L1063" s="3" t="b">
        <f>K1063 &gt; 0</f>
        <v>0</v>
      </c>
      <c r="M1063" s="2" t="s">
        <v>2387</v>
      </c>
    </row>
    <row r="1064">
      <c r="A1064" s="2" t="s">
        <v>4081</v>
      </c>
      <c r="B1064" s="3" t="str">
        <f>C1064 &amp; "." &amp; D1064</f>
        <v>WitnessLoops.CompletedAt</v>
      </c>
      <c r="C1064" s="2" t="s">
        <v>4074</v>
      </c>
      <c r="D1064" s="2" t="s">
        <v>1911</v>
      </c>
      <c r="E1064" s="2" t="s">
        <v>2385</v>
      </c>
      <c r="F1064" s="2" t="s">
        <v>2397</v>
      </c>
      <c r="G1064" s="2"/>
      <c r="H1064" s="2"/>
      <c r="I1064" s="3" t="b">
        <f>OR(E1064 = "calculated", E1064 = "lookup", E1064 = "aggregation")</f>
        <v>0</v>
      </c>
      <c r="J1064" s="3" t="b">
        <f>H1064 &lt;&gt; ""</f>
        <v>0</v>
      </c>
      <c r="K1064" s="3">
        <f>COUNTIFS(FieldDisagreements!D2:D999, A1064)</f>
        <v>0</v>
      </c>
      <c r="L1064" s="3" t="b">
        <f>K1064 &gt; 0</f>
        <v>0</v>
      </c>
      <c r="M1064" s="2" t="s">
        <v>2387</v>
      </c>
    </row>
    <row r="1065">
      <c r="A1065" s="2" t="s">
        <v>4082</v>
      </c>
      <c r="B1065" s="3" t="str">
        <f>C1065 &amp; "." &amp; D1065</f>
        <v>WitnessLoops.QuestionCount</v>
      </c>
      <c r="C1065" s="2" t="s">
        <v>4074</v>
      </c>
      <c r="D1065" s="2" t="s">
        <v>1912</v>
      </c>
      <c r="E1065" s="2" t="s">
        <v>2438</v>
      </c>
      <c r="F1065" s="2" t="s">
        <v>2444</v>
      </c>
      <c r="G1065" s="2" t="s">
        <v>4083</v>
      </c>
      <c r="H1065" s="2"/>
      <c r="I1065" s="3" t="b">
        <f>OR(E1065 = "calculated", E1065 = "lookup", E1065 = "aggregation")</f>
        <v>1</v>
      </c>
      <c r="J1065" s="3" t="b">
        <f>H1065 &lt;&gt; ""</f>
        <v>0</v>
      </c>
      <c r="K1065" s="3">
        <f>COUNTIFS(FieldDisagreements!D2:D999, A1065)</f>
        <v>0</v>
      </c>
      <c r="L1065" s="3" t="b">
        <f>K1065 &gt; 0</f>
        <v>0</v>
      </c>
      <c r="M1065" s="2" t="s">
        <v>2387</v>
      </c>
    </row>
    <row r="1066">
      <c r="A1066" s="2" t="s">
        <v>4084</v>
      </c>
      <c r="B1066" s="3" t="str">
        <f>C1066 &amp; "." &amp; D1066</f>
        <v>WitnessLoops.IsComplete</v>
      </c>
      <c r="C1066" s="2" t="s">
        <v>4074</v>
      </c>
      <c r="D1066" s="2" t="s">
        <v>1913</v>
      </c>
      <c r="E1066" s="2" t="s">
        <v>2389</v>
      </c>
      <c r="F1066" s="2" t="s">
        <v>2401</v>
      </c>
      <c r="G1066" s="2" t="s">
        <v>4085</v>
      </c>
      <c r="H1066" s="2"/>
      <c r="I1066" s="3" t="b">
        <f>OR(E1066 = "calculated", E1066 = "lookup", E1066 = "aggregation")</f>
        <v>1</v>
      </c>
      <c r="J1066" s="3" t="b">
        <f>H1066 &lt;&gt; ""</f>
        <v>0</v>
      </c>
      <c r="K1066" s="3">
        <f>COUNTIFS(FieldDisagreements!D2:D999, A1066)</f>
        <v>0</v>
      </c>
      <c r="L1066" s="3" t="b">
        <f>K1066 &gt; 0</f>
        <v>0</v>
      </c>
      <c r="M1066" s="2" t="s">
        <v>2387</v>
      </c>
    </row>
    <row r="1067">
      <c r="A1067" s="2" t="s">
        <v>4086</v>
      </c>
      <c r="B1067" s="3" t="str">
        <f>C1067 &amp; "." &amp; D1067</f>
        <v>WitnessLoops.FieldsAfter</v>
      </c>
      <c r="C1067" s="2" t="s">
        <v>4074</v>
      </c>
      <c r="D1067" s="2" t="s">
        <v>1914</v>
      </c>
      <c r="E1067" s="2" t="s">
        <v>2385</v>
      </c>
      <c r="F1067" s="2" t="s">
        <v>2444</v>
      </c>
      <c r="G1067" s="2"/>
      <c r="H1067" s="2"/>
      <c r="I1067" s="3" t="b">
        <f>OR(E1067 = "calculated", E1067 = "lookup", E1067 = "aggregation")</f>
        <v>0</v>
      </c>
      <c r="J1067" s="3" t="b">
        <f>H1067 &lt;&gt; ""</f>
        <v>0</v>
      </c>
      <c r="K1067" s="3">
        <f>COUNTIFS(FieldDisagreements!D2:D999, A1067)</f>
        <v>0</v>
      </c>
      <c r="L1067" s="3" t="b">
        <f>K1067 &gt; 0</f>
        <v>0</v>
      </c>
      <c r="M1067" s="2" t="s">
        <v>2387</v>
      </c>
    </row>
    <row r="1068">
      <c r="A1068" s="2" t="s">
        <v>4087</v>
      </c>
      <c r="B1068" s="3" t="str">
        <f>C1068 &amp; "." &amp; D1068</f>
        <v>WitnessLoops.DerivedAfter</v>
      </c>
      <c r="C1068" s="2" t="s">
        <v>4074</v>
      </c>
      <c r="D1068" s="2" t="s">
        <v>1915</v>
      </c>
      <c r="E1068" s="2" t="s">
        <v>2385</v>
      </c>
      <c r="F1068" s="2" t="s">
        <v>2444</v>
      </c>
      <c r="G1068" s="2"/>
      <c r="H1068" s="2"/>
      <c r="I1068" s="3" t="b">
        <f>OR(E1068 = "calculated", E1068 = "lookup", E1068 = "aggregation")</f>
        <v>0</v>
      </c>
      <c r="J1068" s="3" t="b">
        <f>H1068 &lt;&gt; ""</f>
        <v>0</v>
      </c>
      <c r="K1068" s="3">
        <f>COUNTIFS(FieldDisagreements!D2:D999, A1068)</f>
        <v>0</v>
      </c>
      <c r="L1068" s="3" t="b">
        <f>K1068 &gt; 0</f>
        <v>0</v>
      </c>
      <c r="M1068" s="2" t="s">
        <v>2387</v>
      </c>
    </row>
    <row r="1069">
      <c r="A1069" s="2" t="s">
        <v>4088</v>
      </c>
      <c r="B1069" s="3" t="str">
        <f>C1069 &amp; "." &amp; D1069</f>
        <v>WitnessLoops.WitnessedAfter</v>
      </c>
      <c r="C1069" s="2" t="s">
        <v>4074</v>
      </c>
      <c r="D1069" s="2" t="s">
        <v>1916</v>
      </c>
      <c r="E1069" s="2" t="s">
        <v>2385</v>
      </c>
      <c r="F1069" s="2" t="s">
        <v>2444</v>
      </c>
      <c r="G1069" s="2"/>
      <c r="H1069" s="2"/>
      <c r="I1069" s="3" t="b">
        <f>OR(E1069 = "calculated", E1069 = "lookup", E1069 = "aggregation")</f>
        <v>0</v>
      </c>
      <c r="J1069" s="3" t="b">
        <f>H1069 &lt;&gt; ""</f>
        <v>0</v>
      </c>
      <c r="K1069" s="3">
        <f>COUNTIFS(FieldDisagreements!D2:D999, A1069)</f>
        <v>0</v>
      </c>
      <c r="L1069" s="3" t="b">
        <f>K1069 &gt; 0</f>
        <v>0</v>
      </c>
      <c r="M1069" s="2" t="s">
        <v>2387</v>
      </c>
    </row>
    <row r="1070">
      <c r="A1070" s="2" t="s">
        <v>4089</v>
      </c>
      <c r="B1070" s="3" t="str">
        <f>C1070 &amp; "." &amp; D1070</f>
        <v>WitnessLoops.SemanticTypeIri</v>
      </c>
      <c r="C1070" s="2" t="s">
        <v>4074</v>
      </c>
      <c r="D1070" s="2" t="s">
        <v>94</v>
      </c>
      <c r="E1070" s="2" t="s">
        <v>2385</v>
      </c>
      <c r="F1070" s="2" t="s">
        <v>2386</v>
      </c>
      <c r="G1070" s="2"/>
      <c r="H1070" s="2"/>
      <c r="I1070" s="3" t="b">
        <f>OR(E1070 = "calculated", E1070 = "lookup", E1070 = "aggregation")</f>
        <v>0</v>
      </c>
      <c r="J1070" s="3" t="b">
        <f>H1070 &lt;&gt; ""</f>
        <v>0</v>
      </c>
      <c r="K1070" s="3">
        <f>COUNTIFS(FieldDisagreements!D2:D999, A1070)</f>
        <v>0</v>
      </c>
      <c r="L1070" s="3" t="b">
        <f>K1070 &gt; 0</f>
        <v>0</v>
      </c>
      <c r="M1070" s="2" t="s">
        <v>2387</v>
      </c>
    </row>
    <row r="1071">
      <c r="A1071" s="2" t="s">
        <v>4090</v>
      </c>
      <c r="B1071" s="3" t="str">
        <f>C1071 &amp; "." &amp; D1071</f>
        <v>RoleQuestions.RoleQuestionId</v>
      </c>
      <c r="C1071" s="2" t="s">
        <v>4091</v>
      </c>
      <c r="D1071" s="2" t="s">
        <v>1927</v>
      </c>
      <c r="E1071" s="2" t="s">
        <v>2385</v>
      </c>
      <c r="F1071" s="2" t="s">
        <v>2386</v>
      </c>
      <c r="G1071" s="2"/>
      <c r="H1071" s="2"/>
      <c r="I1071" s="3" t="b">
        <f>OR(E1071 = "calculated", E1071 = "lookup", E1071 = "aggregation")</f>
        <v>0</v>
      </c>
      <c r="J1071" s="3" t="b">
        <f>H1071 &lt;&gt; ""</f>
        <v>0</v>
      </c>
      <c r="K1071" s="3">
        <f>COUNTIFS(FieldDisagreements!D2:D999, A1071)</f>
        <v>0</v>
      </c>
      <c r="L1071" s="3" t="b">
        <f>K1071 &gt; 0</f>
        <v>0</v>
      </c>
      <c r="M1071" s="2" t="s">
        <v>2387</v>
      </c>
    </row>
    <row r="1072">
      <c r="A1072" s="2" t="s">
        <v>4092</v>
      </c>
      <c r="B1072" s="3" t="str">
        <f>C1072 &amp; "." &amp; D1072</f>
        <v>RoleQuestions.Name</v>
      </c>
      <c r="C1072" s="2" t="s">
        <v>4091</v>
      </c>
      <c r="D1072" s="2" t="s">
        <v>1</v>
      </c>
      <c r="E1072" s="2" t="s">
        <v>2389</v>
      </c>
      <c r="F1072" s="2" t="s">
        <v>2386</v>
      </c>
      <c r="G1072" s="2" t="s">
        <v>4093</v>
      </c>
      <c r="H1072" s="2"/>
      <c r="I1072" s="3" t="b">
        <f>OR(E1072 = "calculated", E1072 = "lookup", E1072 = "aggregation")</f>
        <v>1</v>
      </c>
      <c r="J1072" s="3" t="b">
        <f>H1072 &lt;&gt; ""</f>
        <v>0</v>
      </c>
      <c r="K1072" s="3">
        <f>COUNTIFS(FieldDisagreements!D2:D999, A1072)</f>
        <v>0</v>
      </c>
      <c r="L1072" s="3" t="b">
        <f>K1072 &gt; 0</f>
        <v>0</v>
      </c>
      <c r="M1072" s="2" t="s">
        <v>2387</v>
      </c>
    </row>
    <row r="1073">
      <c r="A1073" s="2" t="s">
        <v>4094</v>
      </c>
      <c r="B1073" s="3" t="str">
        <f>C1073 &amp; "." &amp; D1073</f>
        <v>RoleQuestions.AskingRole</v>
      </c>
      <c r="C1073" s="2" t="s">
        <v>4091</v>
      </c>
      <c r="D1073" s="2" t="s">
        <v>1928</v>
      </c>
      <c r="E1073" s="2" t="s">
        <v>2434</v>
      </c>
      <c r="F1073" s="2" t="s">
        <v>2386</v>
      </c>
      <c r="G1073" s="2"/>
      <c r="H1073" s="2"/>
      <c r="I1073" s="3" t="b">
        <f>OR(E1073 = "calculated", E1073 = "lookup", E1073 = "aggregation")</f>
        <v>0</v>
      </c>
      <c r="J1073" s="3" t="b">
        <f>H1073 &lt;&gt; ""</f>
        <v>0</v>
      </c>
      <c r="K1073" s="3">
        <f>COUNTIFS(FieldDisagreements!D2:D999, A1073)</f>
        <v>0</v>
      </c>
      <c r="L1073" s="3" t="b">
        <f>K1073 &gt; 0</f>
        <v>0</v>
      </c>
      <c r="M1073" s="2" t="s">
        <v>2387</v>
      </c>
    </row>
    <row r="1074">
      <c r="A1074" s="2" t="s">
        <v>4095</v>
      </c>
      <c r="B1074" s="3" t="str">
        <f>C1074 &amp; "." &amp; D1074</f>
        <v>RoleQuestions.WitnessLoop</v>
      </c>
      <c r="C1074" s="2" t="s">
        <v>4091</v>
      </c>
      <c r="D1074" s="2" t="s">
        <v>1929</v>
      </c>
      <c r="E1074" s="2" t="s">
        <v>2434</v>
      </c>
      <c r="F1074" s="2" t="s">
        <v>2386</v>
      </c>
      <c r="G1074" s="2"/>
      <c r="H1074" s="2"/>
      <c r="I1074" s="3" t="b">
        <f>OR(E1074 = "calculated", E1074 = "lookup", E1074 = "aggregation")</f>
        <v>0</v>
      </c>
      <c r="J1074" s="3" t="b">
        <f>H1074 &lt;&gt; ""</f>
        <v>0</v>
      </c>
      <c r="K1074" s="3">
        <f>COUNTIFS(FieldDisagreements!D2:D999, A1074)</f>
        <v>0</v>
      </c>
      <c r="L1074" s="3" t="b">
        <f>K1074 &gt; 0</f>
        <v>0</v>
      </c>
      <c r="M1074" s="2" t="s">
        <v>2387</v>
      </c>
    </row>
    <row r="1075">
      <c r="A1075" s="2" t="s">
        <v>4096</v>
      </c>
      <c r="B1075" s="3" t="str">
        <f>C1075 &amp; "." &amp; D1075</f>
        <v>RoleQuestions.QuestionText</v>
      </c>
      <c r="C1075" s="2" t="s">
        <v>4091</v>
      </c>
      <c r="D1075" s="2" t="s">
        <v>1538</v>
      </c>
      <c r="E1075" s="2" t="s">
        <v>2385</v>
      </c>
      <c r="F1075" s="2" t="s">
        <v>2386</v>
      </c>
      <c r="G1075" s="2"/>
      <c r="H1075" s="2"/>
      <c r="I1075" s="3" t="b">
        <f>OR(E1075 = "calculated", E1075 = "lookup", E1075 = "aggregation")</f>
        <v>0</v>
      </c>
      <c r="J1075" s="3" t="b">
        <f>H1075 &lt;&gt; ""</f>
        <v>0</v>
      </c>
      <c r="K1075" s="3">
        <f>COUNTIFS(FieldDisagreements!D2:D999, A1075)</f>
        <v>0</v>
      </c>
      <c r="L1075" s="3" t="b">
        <f>K1075 &gt; 0</f>
        <v>0</v>
      </c>
      <c r="M1075" s="2" t="s">
        <v>2387</v>
      </c>
    </row>
    <row r="1076">
      <c r="A1076" s="2" t="s">
        <v>4097</v>
      </c>
      <c r="B1076" s="3" t="str">
        <f>C1076 &amp; "." &amp; D1076</f>
        <v>RoleQuestions.WhyItMatters</v>
      </c>
      <c r="C1076" s="2" t="s">
        <v>4091</v>
      </c>
      <c r="D1076" s="2" t="s">
        <v>1930</v>
      </c>
      <c r="E1076" s="2" t="s">
        <v>2385</v>
      </c>
      <c r="F1076" s="2" t="s">
        <v>2386</v>
      </c>
      <c r="G1076" s="2"/>
      <c r="H1076" s="2"/>
      <c r="I1076" s="3" t="b">
        <f>OR(E1076 = "calculated", E1076 = "lookup", E1076 = "aggregation")</f>
        <v>0</v>
      </c>
      <c r="J1076" s="3" t="b">
        <f>H1076 &lt;&gt; ""</f>
        <v>0</v>
      </c>
      <c r="K1076" s="3">
        <f>COUNTIFS(FieldDisagreements!D2:D999, A1076)</f>
        <v>0</v>
      </c>
      <c r="L1076" s="3" t="b">
        <f>K1076 &gt; 0</f>
        <v>0</v>
      </c>
      <c r="M1076" s="2" t="s">
        <v>2387</v>
      </c>
    </row>
    <row r="1077">
      <c r="A1077" s="2" t="s">
        <v>4098</v>
      </c>
      <c r="B1077" s="3" t="str">
        <f>C1077 &amp; "." &amp; D1077</f>
        <v>RoleQuestions.AnswerableBefore</v>
      </c>
      <c r="C1077" s="2" t="s">
        <v>4091</v>
      </c>
      <c r="D1077" s="2" t="s">
        <v>1931</v>
      </c>
      <c r="E1077" s="2" t="s">
        <v>2385</v>
      </c>
      <c r="F1077" s="2" t="s">
        <v>2401</v>
      </c>
      <c r="G1077" s="2"/>
      <c r="H1077" s="2"/>
      <c r="I1077" s="3" t="b">
        <f>OR(E1077 = "calculated", E1077 = "lookup", E1077 = "aggregation")</f>
        <v>0</v>
      </c>
      <c r="J1077" s="3" t="b">
        <f>H1077 &lt;&gt; ""</f>
        <v>0</v>
      </c>
      <c r="K1077" s="3">
        <f>COUNTIFS(FieldDisagreements!D2:D999, A1077)</f>
        <v>0</v>
      </c>
      <c r="L1077" s="3" t="b">
        <f>K1077 &gt; 0</f>
        <v>0</v>
      </c>
      <c r="M1077" s="2" t="s">
        <v>2387</v>
      </c>
    </row>
    <row r="1078">
      <c r="A1078" s="2" t="s">
        <v>4099</v>
      </c>
      <c r="B1078" s="3" t="str">
        <f>C1078 &amp; "." &amp; D1078</f>
        <v>RoleQuestions.PredicateCount</v>
      </c>
      <c r="C1078" s="2" t="s">
        <v>4091</v>
      </c>
      <c r="D1078" s="2" t="s">
        <v>1932</v>
      </c>
      <c r="E1078" s="2" t="s">
        <v>2438</v>
      </c>
      <c r="F1078" s="2" t="s">
        <v>2444</v>
      </c>
      <c r="G1078" s="2" t="s">
        <v>4100</v>
      </c>
      <c r="H1078" s="2"/>
      <c r="I1078" s="3" t="b">
        <f>OR(E1078 = "calculated", E1078 = "lookup", E1078 = "aggregation")</f>
        <v>1</v>
      </c>
      <c r="J1078" s="3" t="b">
        <f>H1078 &lt;&gt; ""</f>
        <v>0</v>
      </c>
      <c r="K1078" s="3">
        <f>COUNTIFS(FieldDisagreements!D2:D999, A1078)</f>
        <v>1</v>
      </c>
      <c r="L1078" s="3" t="b">
        <f>K1078 &gt; 0</f>
        <v>1</v>
      </c>
      <c r="M1078" s="2" t="s">
        <v>2387</v>
      </c>
    </row>
    <row r="1079">
      <c r="A1079" s="2" t="s">
        <v>4101</v>
      </c>
      <c r="B1079" s="3" t="str">
        <f>C1079 &amp; "." &amp; D1079</f>
        <v>RoleQuestions.IsAnswered</v>
      </c>
      <c r="C1079" s="2" t="s">
        <v>4091</v>
      </c>
      <c r="D1079" s="2" t="s">
        <v>1933</v>
      </c>
      <c r="E1079" s="2" t="s">
        <v>2389</v>
      </c>
      <c r="F1079" s="2" t="s">
        <v>2401</v>
      </c>
      <c r="G1079" s="2" t="s">
        <v>4102</v>
      </c>
      <c r="H1079" s="2"/>
      <c r="I1079" s="3" t="b">
        <f>OR(E1079 = "calculated", E1079 = "lookup", E1079 = "aggregation")</f>
        <v>1</v>
      </c>
      <c r="J1079" s="3" t="b">
        <f>H1079 &lt;&gt; ""</f>
        <v>0</v>
      </c>
      <c r="K1079" s="3">
        <f>COUNTIFS(FieldDisagreements!D2:D999, A1079)</f>
        <v>1</v>
      </c>
      <c r="L1079" s="3" t="b">
        <f>K1079 &gt; 0</f>
        <v>1</v>
      </c>
      <c r="M1079" s="2" t="s">
        <v>2387</v>
      </c>
    </row>
    <row r="1080">
      <c r="A1080" s="2" t="s">
        <v>4103</v>
      </c>
      <c r="B1080" s="3" t="str">
        <f>C1080 &amp; "." &amp; D1080</f>
        <v>RoleQuestions.WitnessedAnswer</v>
      </c>
      <c r="C1080" s="2" t="s">
        <v>4091</v>
      </c>
      <c r="D1080" s="2" t="s">
        <v>1934</v>
      </c>
      <c r="E1080" s="2" t="s">
        <v>2385</v>
      </c>
      <c r="F1080" s="2" t="s">
        <v>2386</v>
      </c>
      <c r="G1080" s="2"/>
      <c r="H1080" s="2"/>
      <c r="I1080" s="3" t="b">
        <f>OR(E1080 = "calculated", E1080 = "lookup", E1080 = "aggregation")</f>
        <v>0</v>
      </c>
      <c r="J1080" s="3" t="b">
        <f>H1080 &lt;&gt; ""</f>
        <v>0</v>
      </c>
      <c r="K1080" s="3">
        <f>COUNTIFS(FieldDisagreements!D2:D999, A1080)</f>
        <v>0</v>
      </c>
      <c r="L1080" s="3" t="b">
        <f>K1080 &gt; 0</f>
        <v>0</v>
      </c>
      <c r="M1080" s="2" t="s">
        <v>2387</v>
      </c>
    </row>
    <row r="1081">
      <c r="A1081" s="2" t="s">
        <v>4104</v>
      </c>
      <c r="B1081" s="3" t="str">
        <f>C1081 &amp; "." &amp; D1081</f>
        <v>RoleQuestions.SemanticTypeIri</v>
      </c>
      <c r="C1081" s="2" t="s">
        <v>4091</v>
      </c>
      <c r="D1081" s="2" t="s">
        <v>94</v>
      </c>
      <c r="E1081" s="2" t="s">
        <v>2385</v>
      </c>
      <c r="F1081" s="2" t="s">
        <v>2386</v>
      </c>
      <c r="G1081" s="2"/>
      <c r="H1081" s="2"/>
      <c r="I1081" s="3" t="b">
        <f>OR(E1081 = "calculated", E1081 = "lookup", E1081 = "aggregation")</f>
        <v>0</v>
      </c>
      <c r="J1081" s="3" t="b">
        <f>H1081 &lt;&gt; ""</f>
        <v>0</v>
      </c>
      <c r="K1081" s="3">
        <f>COUNTIFS(FieldDisagreements!D2:D999, A1081)</f>
        <v>0</v>
      </c>
      <c r="L1081" s="3" t="b">
        <f>K1081 &gt; 0</f>
        <v>0</v>
      </c>
      <c r="M1081" s="2" t="s">
        <v>2387</v>
      </c>
    </row>
    <row r="1082">
      <c r="A1082" s="2" t="s">
        <v>4105</v>
      </c>
      <c r="B1082" s="3" t="str">
        <f>C1082 &amp; "." &amp; D1082</f>
        <v>RulebookFields.RulebookFieldId</v>
      </c>
      <c r="C1082" s="2" t="s">
        <v>4106</v>
      </c>
      <c r="D1082" s="2" t="s">
        <v>2372</v>
      </c>
      <c r="E1082" s="2" t="s">
        <v>2385</v>
      </c>
      <c r="F1082" s="2" t="s">
        <v>2386</v>
      </c>
      <c r="G1082" s="2"/>
      <c r="H1082" s="2"/>
      <c r="I1082" s="3" t="b">
        <f>OR(E1082 = "calculated", E1082 = "lookup", E1082 = "aggregation")</f>
        <v>0</v>
      </c>
      <c r="J1082" s="3" t="b">
        <f>H1082 &lt;&gt; ""</f>
        <v>0</v>
      </c>
      <c r="K1082" s="3">
        <f>COUNTIFS(FieldDisagreements!D2:D999, A1082)</f>
        <v>0</v>
      </c>
      <c r="L1082" s="3" t="b">
        <f>K1082 &gt; 0</f>
        <v>0</v>
      </c>
      <c r="M1082" s="2" t="s">
        <v>2387</v>
      </c>
    </row>
    <row r="1083">
      <c r="A1083" s="2" t="s">
        <v>4107</v>
      </c>
      <c r="B1083" s="3" t="str">
        <f>C1083 &amp; "." &amp; D1083</f>
        <v>RulebookFields.Name</v>
      </c>
      <c r="C1083" s="2" t="s">
        <v>4106</v>
      </c>
      <c r="D1083" s="2" t="s">
        <v>1</v>
      </c>
      <c r="E1083" s="2" t="s">
        <v>2389</v>
      </c>
      <c r="F1083" s="2" t="s">
        <v>2386</v>
      </c>
      <c r="G1083" s="2" t="s">
        <v>4108</v>
      </c>
      <c r="H1083" s="2"/>
      <c r="I1083" s="3" t="b">
        <f>OR(E1083 = "calculated", E1083 = "lookup", E1083 = "aggregation")</f>
        <v>1</v>
      </c>
      <c r="J1083" s="3" t="b">
        <f>H1083 &lt;&gt; ""</f>
        <v>0</v>
      </c>
      <c r="K1083" s="3">
        <f>COUNTIFS(FieldDisagreements!D2:D999, A1083)</f>
        <v>0</v>
      </c>
      <c r="L1083" s="3" t="b">
        <f>K1083 &gt; 0</f>
        <v>0</v>
      </c>
      <c r="M1083" s="2" t="s">
        <v>2387</v>
      </c>
    </row>
    <row r="1084">
      <c r="A1084" s="2" t="s">
        <v>4109</v>
      </c>
      <c r="B1084" s="3" t="str">
        <f>C1084 &amp; "." &amp; D1084</f>
        <v>RulebookFields.TargetTable</v>
      </c>
      <c r="C1084" s="2" t="s">
        <v>4106</v>
      </c>
      <c r="D1084" s="2" t="s">
        <v>2373</v>
      </c>
      <c r="E1084" s="2" t="s">
        <v>2385</v>
      </c>
      <c r="F1084" s="2" t="s">
        <v>2386</v>
      </c>
      <c r="G1084" s="2"/>
      <c r="H1084" s="2"/>
      <c r="I1084" s="3" t="b">
        <f>OR(E1084 = "calculated", E1084 = "lookup", E1084 = "aggregation")</f>
        <v>0</v>
      </c>
      <c r="J1084" s="3" t="b">
        <f>H1084 &lt;&gt; ""</f>
        <v>0</v>
      </c>
      <c r="K1084" s="3">
        <f>COUNTIFS(FieldDisagreements!D2:D999, A1084)</f>
        <v>0</v>
      </c>
      <c r="L1084" s="3" t="b">
        <f>K1084 &gt; 0</f>
        <v>0</v>
      </c>
      <c r="M1084" s="2" t="s">
        <v>2387</v>
      </c>
    </row>
    <row r="1085">
      <c r="A1085" s="2" t="s">
        <v>4110</v>
      </c>
      <c r="B1085" s="3" t="str">
        <f>C1085 &amp; "." &amp; D1085</f>
        <v>RulebookFields.FieldName</v>
      </c>
      <c r="C1085" s="2" t="s">
        <v>4106</v>
      </c>
      <c r="D1085" s="2" t="s">
        <v>2374</v>
      </c>
      <c r="E1085" s="2" t="s">
        <v>2385</v>
      </c>
      <c r="F1085" s="2" t="s">
        <v>2386</v>
      </c>
      <c r="G1085" s="2"/>
      <c r="H1085" s="2"/>
      <c r="I1085" s="3" t="b">
        <f>OR(E1085 = "calculated", E1085 = "lookup", E1085 = "aggregation")</f>
        <v>0</v>
      </c>
      <c r="J1085" s="3" t="b">
        <f>H1085 &lt;&gt; ""</f>
        <v>0</v>
      </c>
      <c r="K1085" s="3">
        <f>COUNTIFS(FieldDisagreements!D2:D999, A1085)</f>
        <v>0</v>
      </c>
      <c r="L1085" s="3" t="b">
        <f>K1085 &gt; 0</f>
        <v>0</v>
      </c>
      <c r="M1085" s="2" t="s">
        <v>2387</v>
      </c>
    </row>
    <row r="1086">
      <c r="A1086" s="2" t="s">
        <v>4111</v>
      </c>
      <c r="B1086" s="3" t="str">
        <f>C1086 &amp; "." &amp; D1086</f>
        <v>RulebookFields.FieldType</v>
      </c>
      <c r="C1086" s="2" t="s">
        <v>4106</v>
      </c>
      <c r="D1086" s="2" t="s">
        <v>2375</v>
      </c>
      <c r="E1086" s="2" t="s">
        <v>2385</v>
      </c>
      <c r="F1086" s="2" t="s">
        <v>2386</v>
      </c>
      <c r="G1086" s="2"/>
      <c r="H1086" s="2"/>
      <c r="I1086" s="3" t="b">
        <f>OR(E1086 = "calculated", E1086 = "lookup", E1086 = "aggregation")</f>
        <v>0</v>
      </c>
      <c r="J1086" s="3" t="b">
        <f>H1086 &lt;&gt; ""</f>
        <v>0</v>
      </c>
      <c r="K1086" s="3">
        <f>COUNTIFS(FieldDisagreements!D2:D999, A1086)</f>
        <v>0</v>
      </c>
      <c r="L1086" s="3" t="b">
        <f>K1086 &gt; 0</f>
        <v>0</v>
      </c>
      <c r="M1086" s="2" t="s">
        <v>2387</v>
      </c>
    </row>
    <row r="1087">
      <c r="A1087" s="2" t="s">
        <v>4112</v>
      </c>
      <c r="B1087" s="3" t="str">
        <f>C1087 &amp; "." &amp; D1087</f>
        <v>RulebookFields.Datatype</v>
      </c>
      <c r="C1087" s="2" t="s">
        <v>4106</v>
      </c>
      <c r="D1087" s="2" t="s">
        <v>2376</v>
      </c>
      <c r="E1087" s="2" t="s">
        <v>2385</v>
      </c>
      <c r="F1087" s="2" t="s">
        <v>2386</v>
      </c>
      <c r="G1087" s="2"/>
      <c r="H1087" s="2"/>
      <c r="I1087" s="3" t="b">
        <f>OR(E1087 = "calculated", E1087 = "lookup", E1087 = "aggregation")</f>
        <v>0</v>
      </c>
      <c r="J1087" s="3" t="b">
        <f>H1087 &lt;&gt; ""</f>
        <v>0</v>
      </c>
      <c r="K1087" s="3">
        <f>COUNTIFS(FieldDisagreements!D2:D999, A1087)</f>
        <v>0</v>
      </c>
      <c r="L1087" s="3" t="b">
        <f>K1087 &gt; 0</f>
        <v>0</v>
      </c>
      <c r="M1087" s="2" t="s">
        <v>2387</v>
      </c>
    </row>
    <row r="1088">
      <c r="A1088" s="2" t="s">
        <v>4113</v>
      </c>
      <c r="B1088" s="3" t="str">
        <f>C1088 &amp; "." &amp; D1088</f>
        <v>RulebookFields.Formula</v>
      </c>
      <c r="C1088" s="2" t="s">
        <v>4106</v>
      </c>
      <c r="D1088" s="2" t="s">
        <v>2377</v>
      </c>
      <c r="E1088" s="2" t="s">
        <v>2385</v>
      </c>
      <c r="F1088" s="2" t="s">
        <v>2386</v>
      </c>
      <c r="G1088" s="2"/>
      <c r="H1088" s="2"/>
      <c r="I1088" s="3" t="b">
        <f>OR(E1088 = "calculated", E1088 = "lookup", E1088 = "aggregation")</f>
        <v>0</v>
      </c>
      <c r="J1088" s="3" t="b">
        <f>H1088 &lt;&gt; ""</f>
        <v>0</v>
      </c>
      <c r="K1088" s="3">
        <f>COUNTIFS(FieldDisagreements!D2:D999, A1088)</f>
        <v>0</v>
      </c>
      <c r="L1088" s="3" t="b">
        <f>K1088 &gt; 0</f>
        <v>0</v>
      </c>
      <c r="M1088" s="2" t="s">
        <v>2387</v>
      </c>
    </row>
    <row r="1089">
      <c r="A1089" s="2" t="s">
        <v>4114</v>
      </c>
      <c r="B1089" s="3" t="str">
        <f>C1089 &amp; "." &amp; D1089</f>
        <v>RulebookFields.InventedForQuestion</v>
      </c>
      <c r="C1089" s="2" t="s">
        <v>4106</v>
      </c>
      <c r="D1089" s="2" t="s">
        <v>2378</v>
      </c>
      <c r="E1089" s="2" t="s">
        <v>2434</v>
      </c>
      <c r="F1089" s="2" t="s">
        <v>2386</v>
      </c>
      <c r="G1089" s="2"/>
      <c r="H1089" s="2"/>
      <c r="I1089" s="3" t="b">
        <f>OR(E1089 = "calculated", E1089 = "lookup", E1089 = "aggregation")</f>
        <v>0</v>
      </c>
      <c r="J1089" s="3" t="b">
        <f>H1089 &lt;&gt; ""</f>
        <v>0</v>
      </c>
      <c r="K1089" s="3">
        <f>COUNTIFS(FieldDisagreements!D2:D999, A1089)</f>
        <v>0</v>
      </c>
      <c r="L1089" s="3" t="b">
        <f>K1089 &gt; 0</f>
        <v>0</v>
      </c>
      <c r="M1089" s="2" t="s">
        <v>2387</v>
      </c>
    </row>
    <row r="1090">
      <c r="A1090" s="2" t="s">
        <v>4115</v>
      </c>
      <c r="B1090" s="3" t="str">
        <f>C1090 &amp; "." &amp; D1090</f>
        <v>RulebookFields.IsDerived</v>
      </c>
      <c r="C1090" s="2" t="s">
        <v>4106</v>
      </c>
      <c r="D1090" s="2" t="s">
        <v>2379</v>
      </c>
      <c r="E1090" s="2" t="s">
        <v>2389</v>
      </c>
      <c r="F1090" s="2" t="s">
        <v>2401</v>
      </c>
      <c r="G1090" s="2" t="s">
        <v>4116</v>
      </c>
      <c r="H1090" s="2"/>
      <c r="I1090" s="3" t="b">
        <f>OR(E1090 = "calculated", E1090 = "lookup", E1090 = "aggregation")</f>
        <v>1</v>
      </c>
      <c r="J1090" s="3" t="b">
        <f>H1090 &lt;&gt; ""</f>
        <v>0</v>
      </c>
      <c r="K1090" s="3">
        <f>COUNTIFS(FieldDisagreements!D2:D999, A1090)</f>
        <v>0</v>
      </c>
      <c r="L1090" s="3" t="b">
        <f>K1090 &gt; 0</f>
        <v>0</v>
      </c>
      <c r="M1090" s="2" t="s">
        <v>2387</v>
      </c>
    </row>
    <row r="1091">
      <c r="A1091" s="2" t="s">
        <v>4117</v>
      </c>
      <c r="B1091" s="3" t="str">
        <f>C1091 &amp; "." &amp; D1091</f>
        <v>RulebookFields.IsWitness</v>
      </c>
      <c r="C1091" s="2" t="s">
        <v>4106</v>
      </c>
      <c r="D1091" s="2" t="s">
        <v>2380</v>
      </c>
      <c r="E1091" s="2" t="s">
        <v>2389</v>
      </c>
      <c r="F1091" s="2" t="s">
        <v>2401</v>
      </c>
      <c r="G1091" s="2" t="s">
        <v>4118</v>
      </c>
      <c r="H1091" s="2"/>
      <c r="I1091" s="3" t="b">
        <f>OR(E1091 = "calculated", E1091 = "lookup", E1091 = "aggregation")</f>
        <v>1</v>
      </c>
      <c r="J1091" s="3" t="b">
        <f>H1091 &lt;&gt; ""</f>
        <v>0</v>
      </c>
      <c r="K1091" s="3">
        <f>COUNTIFS(FieldDisagreements!D2:D999, A1091)</f>
        <v>0</v>
      </c>
      <c r="L1091" s="3" t="b">
        <f>K1091 &gt; 0</f>
        <v>0</v>
      </c>
      <c r="M1091" s="2" t="s">
        <v>2387</v>
      </c>
    </row>
    <row r="1092">
      <c r="A1092" s="2" t="s">
        <v>4119</v>
      </c>
      <c r="B1092" s="3" t="str">
        <f>C1092 &amp; "." &amp; D1092</f>
        <v>RulebookFields.DisagreeingSubstrateCount</v>
      </c>
      <c r="C1092" s="2" t="s">
        <v>4106</v>
      </c>
      <c r="D1092" s="2" t="s">
        <v>2381</v>
      </c>
      <c r="E1092" s="2" t="s">
        <v>2438</v>
      </c>
      <c r="F1092" s="2" t="s">
        <v>2444</v>
      </c>
      <c r="G1092" s="2" t="s">
        <v>4120</v>
      </c>
      <c r="H1092" s="2" t="s">
        <v>2368</v>
      </c>
      <c r="I1092" s="3" t="b">
        <f>OR(E1092 = "calculated", E1092 = "lookup", E1092 = "aggregation")</f>
        <v>1</v>
      </c>
      <c r="J1092" s="3" t="b">
        <f>H1092 &lt;&gt; ""</f>
        <v>1</v>
      </c>
      <c r="K1092" s="3">
        <f>COUNTIFS(FieldDisagreements!D2:D999, A1092)</f>
        <v>0</v>
      </c>
      <c r="L1092" s="3" t="b">
        <f>K1092 &gt; 0</f>
        <v>0</v>
      </c>
      <c r="M1092" s="2" t="s">
        <v>2387</v>
      </c>
    </row>
    <row r="1093">
      <c r="A1093" s="2" t="s">
        <v>4121</v>
      </c>
      <c r="B1093" s="3" t="str">
        <f>C1093 &amp; "." &amp; D1093</f>
        <v>RulebookFields.IsSubstrateContested</v>
      </c>
      <c r="C1093" s="2" t="s">
        <v>4106</v>
      </c>
      <c r="D1093" s="2" t="s">
        <v>2382</v>
      </c>
      <c r="E1093" s="2" t="s">
        <v>2389</v>
      </c>
      <c r="F1093" s="2" t="s">
        <v>2401</v>
      </c>
      <c r="G1093" s="2" t="s">
        <v>4122</v>
      </c>
      <c r="H1093" s="2" t="s">
        <v>2368</v>
      </c>
      <c r="I1093" s="3" t="b">
        <f>OR(E1093 = "calculated", E1093 = "lookup", E1093 = "aggregation")</f>
        <v>1</v>
      </c>
      <c r="J1093" s="3" t="b">
        <f>H1093 &lt;&gt; ""</f>
        <v>1</v>
      </c>
      <c r="K1093" s="3">
        <f>COUNTIFS(FieldDisagreements!D2:D999, A1093)</f>
        <v>0</v>
      </c>
      <c r="L1093" s="3" t="b">
        <f>K1093 &gt; 0</f>
        <v>0</v>
      </c>
      <c r="M1093" s="2" t="s">
        <v>2387</v>
      </c>
    </row>
    <row r="1094">
      <c r="A1094" s="2" t="s">
        <v>4123</v>
      </c>
      <c r="B1094" s="3" t="str">
        <f>C1094 &amp; "." &amp; D1094</f>
        <v>RulebookFields.SemanticTypeIri</v>
      </c>
      <c r="C1094" s="2" t="s">
        <v>4106</v>
      </c>
      <c r="D1094" s="2" t="s">
        <v>94</v>
      </c>
      <c r="E1094" s="2" t="s">
        <v>2385</v>
      </c>
      <c r="F1094" s="2" t="s">
        <v>2386</v>
      </c>
      <c r="G1094" s="2"/>
      <c r="H1094" s="2"/>
      <c r="I1094" s="3" t="b">
        <f>OR(E1094 = "calculated", E1094 = "lookup", E1094 = "aggregation")</f>
        <v>0</v>
      </c>
      <c r="J1094" s="3" t="b">
        <f>H1094 &lt;&gt; ""</f>
        <v>0</v>
      </c>
      <c r="K1094" s="3">
        <f>COUNTIFS(FieldDisagreements!D2:D999, A1094)</f>
        <v>0</v>
      </c>
      <c r="L1094" s="3" t="b">
        <f>K1094 &gt; 0</f>
        <v>0</v>
      </c>
      <c r="M1094" s="2" t="s">
        <v>2387</v>
      </c>
    </row>
    <row r="1095">
      <c r="A1095" s="2" t="s">
        <v>4124</v>
      </c>
      <c r="B1095" s="3" t="str">
        <f>C1095 &amp; "." &amp; D1095</f>
        <v>TestSuites.TestSuiteId</v>
      </c>
      <c r="C1095" s="2" t="s">
        <v>4125</v>
      </c>
      <c r="D1095" s="2" t="s">
        <v>4126</v>
      </c>
      <c r="E1095" s="2" t="s">
        <v>2385</v>
      </c>
      <c r="F1095" s="2" t="s">
        <v>2386</v>
      </c>
      <c r="G1095" s="2"/>
      <c r="H1095" s="2"/>
      <c r="I1095" s="3" t="b">
        <f>OR(E1095 = "calculated", E1095 = "lookup", E1095 = "aggregation")</f>
        <v>0</v>
      </c>
      <c r="J1095" s="3" t="b">
        <f>H1095 &lt;&gt; ""</f>
        <v>0</v>
      </c>
      <c r="K1095" s="3">
        <f>COUNTIFS(FieldDisagreements!D2:D999, A1095)</f>
        <v>0</v>
      </c>
      <c r="L1095" s="3" t="b">
        <f>K1095 &gt; 0</f>
        <v>0</v>
      </c>
      <c r="M1095" s="2" t="s">
        <v>2387</v>
      </c>
    </row>
    <row r="1096">
      <c r="A1096" s="2" t="s">
        <v>4127</v>
      </c>
      <c r="B1096" s="3" t="str">
        <f>C1096 &amp; "." &amp; D1096</f>
        <v>TestSuites.Name</v>
      </c>
      <c r="C1096" s="2" t="s">
        <v>4125</v>
      </c>
      <c r="D1096" s="2" t="s">
        <v>1</v>
      </c>
      <c r="E1096" s="2" t="s">
        <v>2389</v>
      </c>
      <c r="F1096" s="2" t="s">
        <v>2386</v>
      </c>
      <c r="G1096" s="2" t="s">
        <v>2473</v>
      </c>
      <c r="H1096" s="2"/>
      <c r="I1096" s="3" t="b">
        <f>OR(E1096 = "calculated", E1096 = "lookup", E1096 = "aggregation")</f>
        <v>1</v>
      </c>
      <c r="J1096" s="3" t="b">
        <f>H1096 &lt;&gt; ""</f>
        <v>0</v>
      </c>
      <c r="K1096" s="3">
        <f>COUNTIFS(FieldDisagreements!D2:D999, A1096)</f>
        <v>0</v>
      </c>
      <c r="L1096" s="3" t="b">
        <f>K1096 &gt; 0</f>
        <v>0</v>
      </c>
      <c r="M1096" s="2" t="s">
        <v>2387</v>
      </c>
    </row>
    <row r="1097">
      <c r="A1097" s="2" t="s">
        <v>4128</v>
      </c>
      <c r="B1097" s="3" t="str">
        <f>C1097 &amp; "." &amp; D1097</f>
        <v>TestSuites.Label</v>
      </c>
      <c r="C1097" s="2" t="s">
        <v>4125</v>
      </c>
      <c r="D1097" s="2" t="s">
        <v>19</v>
      </c>
      <c r="E1097" s="2" t="s">
        <v>2385</v>
      </c>
      <c r="F1097" s="2" t="s">
        <v>2386</v>
      </c>
      <c r="G1097" s="2"/>
      <c r="H1097" s="2"/>
      <c r="I1097" s="3" t="b">
        <f>OR(E1097 = "calculated", E1097 = "lookup", E1097 = "aggregation")</f>
        <v>0</v>
      </c>
      <c r="J1097" s="3" t="b">
        <f>H1097 &lt;&gt; ""</f>
        <v>0</v>
      </c>
      <c r="K1097" s="3">
        <f>COUNTIFS(FieldDisagreements!D2:D999, A1097)</f>
        <v>0</v>
      </c>
      <c r="L1097" s="3" t="b">
        <f>K1097 &gt; 0</f>
        <v>0</v>
      </c>
      <c r="M1097" s="2" t="s">
        <v>2387</v>
      </c>
    </row>
    <row r="1098">
      <c r="A1098" s="2" t="s">
        <v>4129</v>
      </c>
      <c r="B1098" s="3" t="str">
        <f>C1098 &amp; "." &amp; D1098</f>
        <v>TestSuites.TestCount</v>
      </c>
      <c r="C1098" s="2" t="s">
        <v>4125</v>
      </c>
      <c r="D1098" s="2" t="s">
        <v>4130</v>
      </c>
      <c r="E1098" s="2" t="s">
        <v>2438</v>
      </c>
      <c r="F1098" s="2" t="s">
        <v>2444</v>
      </c>
      <c r="G1098" s="2" t="s">
        <v>4131</v>
      </c>
      <c r="H1098" s="2"/>
      <c r="I1098" s="3" t="b">
        <f>OR(E1098 = "calculated", E1098 = "lookup", E1098 = "aggregation")</f>
        <v>1</v>
      </c>
      <c r="J1098" s="3" t="b">
        <f>H1098 &lt;&gt; ""</f>
        <v>0</v>
      </c>
      <c r="K1098" s="3">
        <f>COUNTIFS(FieldDisagreements!D2:D999, A1098)</f>
        <v>1</v>
      </c>
      <c r="L1098" s="3" t="b">
        <f>K1098 &gt; 0</f>
        <v>1</v>
      </c>
      <c r="M1098" s="2" t="s">
        <v>2387</v>
      </c>
    </row>
    <row r="1099">
      <c r="A1099" s="2" t="s">
        <v>4132</v>
      </c>
      <c r="B1099" s="3" t="str">
        <f>C1099 &amp; "." &amp; D1099</f>
        <v>TestSuites.PassCount</v>
      </c>
      <c r="C1099" s="2" t="s">
        <v>4125</v>
      </c>
      <c r="D1099" s="2" t="s">
        <v>4133</v>
      </c>
      <c r="E1099" s="2" t="s">
        <v>2438</v>
      </c>
      <c r="F1099" s="2" t="s">
        <v>2444</v>
      </c>
      <c r="G1099" s="2" t="s">
        <v>4134</v>
      </c>
      <c r="H1099" s="2"/>
      <c r="I1099" s="3" t="b">
        <f>OR(E1099 = "calculated", E1099 = "lookup", E1099 = "aggregation")</f>
        <v>1</v>
      </c>
      <c r="J1099" s="3" t="b">
        <f>H1099 &lt;&gt; ""</f>
        <v>0</v>
      </c>
      <c r="K1099" s="3">
        <f>COUNTIFS(FieldDisagreements!D2:D999, A1099)</f>
        <v>1</v>
      </c>
      <c r="L1099" s="3" t="b">
        <f>K1099 &gt; 0</f>
        <v>1</v>
      </c>
      <c r="M1099" s="2" t="s">
        <v>2387</v>
      </c>
    </row>
    <row r="1100">
      <c r="A1100" s="2" t="s">
        <v>4135</v>
      </c>
      <c r="B1100" s="3" t="str">
        <f>C1100 &amp; "." &amp; D1100</f>
        <v>TestSuites.BlockingFailCount</v>
      </c>
      <c r="C1100" s="2" t="s">
        <v>4125</v>
      </c>
      <c r="D1100" s="2" t="s">
        <v>4136</v>
      </c>
      <c r="E1100" s="2" t="s">
        <v>2438</v>
      </c>
      <c r="F1100" s="2" t="s">
        <v>2444</v>
      </c>
      <c r="G1100" s="2" t="s">
        <v>4137</v>
      </c>
      <c r="H1100" s="2"/>
      <c r="I1100" s="3" t="b">
        <f>OR(E1100 = "calculated", E1100 = "lookup", E1100 = "aggregation")</f>
        <v>1</v>
      </c>
      <c r="J1100" s="3" t="b">
        <f>H1100 &lt;&gt; ""</f>
        <v>0</v>
      </c>
      <c r="K1100" s="3">
        <f>COUNTIFS(FieldDisagreements!D2:D999, A1100)</f>
        <v>0</v>
      </c>
      <c r="L1100" s="3" t="b">
        <f>K1100 &gt; 0</f>
        <v>0</v>
      </c>
      <c r="M1100" s="2" t="s">
        <v>2387</v>
      </c>
    </row>
    <row r="1101">
      <c r="A1101" s="2" t="s">
        <v>4138</v>
      </c>
      <c r="B1101" s="3" t="str">
        <f>C1101 &amp; "." &amp; D1101</f>
        <v>TestSuites.IsGreen</v>
      </c>
      <c r="C1101" s="2" t="s">
        <v>4125</v>
      </c>
      <c r="D1101" s="2" t="s">
        <v>4139</v>
      </c>
      <c r="E1101" s="2" t="s">
        <v>2389</v>
      </c>
      <c r="F1101" s="2" t="s">
        <v>2401</v>
      </c>
      <c r="G1101" s="2" t="s">
        <v>4140</v>
      </c>
      <c r="H1101" s="2"/>
      <c r="I1101" s="3" t="b">
        <f>OR(E1101 = "calculated", E1101 = "lookup", E1101 = "aggregation")</f>
        <v>1</v>
      </c>
      <c r="J1101" s="3" t="b">
        <f>H1101 &lt;&gt; ""</f>
        <v>0</v>
      </c>
      <c r="K1101" s="3">
        <f>COUNTIFS(FieldDisagreements!D2:D999, A1101)</f>
        <v>0</v>
      </c>
      <c r="L1101" s="3" t="b">
        <f>K1101 &gt; 0</f>
        <v>0</v>
      </c>
      <c r="M1101" s="2" t="s">
        <v>2387</v>
      </c>
    </row>
    <row r="1102">
      <c r="A1102" s="2" t="s">
        <v>4141</v>
      </c>
      <c r="B1102" s="3" t="str">
        <f>C1102 &amp; "." &amp; D1102</f>
        <v>TestSuites.SemanticTypeIri</v>
      </c>
      <c r="C1102" s="2" t="s">
        <v>4125</v>
      </c>
      <c r="D1102" s="2" t="s">
        <v>94</v>
      </c>
      <c r="E1102" s="2" t="s">
        <v>2385</v>
      </c>
      <c r="F1102" s="2" t="s">
        <v>2386</v>
      </c>
      <c r="G1102" s="2"/>
      <c r="H1102" s="2"/>
      <c r="I1102" s="3" t="b">
        <f>OR(E1102 = "calculated", E1102 = "lookup", E1102 = "aggregation")</f>
        <v>0</v>
      </c>
      <c r="J1102" s="3" t="b">
        <f>H1102 &lt;&gt; ""</f>
        <v>0</v>
      </c>
      <c r="K1102" s="3">
        <f>COUNTIFS(FieldDisagreements!D2:D999, A1102)</f>
        <v>0</v>
      </c>
      <c r="L1102" s="3" t="b">
        <f>K1102 &gt; 0</f>
        <v>0</v>
      </c>
      <c r="M1102" s="2" t="s">
        <v>2387</v>
      </c>
    </row>
    <row r="1103">
      <c r="A1103" s="2" t="s">
        <v>4142</v>
      </c>
      <c r="B1103" s="3" t="str">
        <f>C1103 &amp; "." &amp; D1103</f>
        <v>TestCases.TestCaseId</v>
      </c>
      <c r="C1103" s="2" t="s">
        <v>4143</v>
      </c>
      <c r="D1103" s="2" t="s">
        <v>4144</v>
      </c>
      <c r="E1103" s="2" t="s">
        <v>2385</v>
      </c>
      <c r="F1103" s="2" t="s">
        <v>2386</v>
      </c>
      <c r="G1103" s="2"/>
      <c r="H1103" s="2"/>
      <c r="I1103" s="3" t="b">
        <f>OR(E1103 = "calculated", E1103 = "lookup", E1103 = "aggregation")</f>
        <v>0</v>
      </c>
      <c r="J1103" s="3" t="b">
        <f>H1103 &lt;&gt; ""</f>
        <v>0</v>
      </c>
      <c r="K1103" s="3">
        <f>COUNTIFS(FieldDisagreements!D2:D999, A1103)</f>
        <v>0</v>
      </c>
      <c r="L1103" s="3" t="b">
        <f>K1103 &gt; 0</f>
        <v>0</v>
      </c>
      <c r="M1103" s="2" t="s">
        <v>2387</v>
      </c>
    </row>
    <row r="1104">
      <c r="A1104" s="2" t="s">
        <v>4145</v>
      </c>
      <c r="B1104" s="3" t="str">
        <f>C1104 &amp; "." &amp; D1104</f>
        <v>TestCases.Name</v>
      </c>
      <c r="C1104" s="2" t="s">
        <v>4143</v>
      </c>
      <c r="D1104" s="2" t="s">
        <v>1</v>
      </c>
      <c r="E1104" s="2" t="s">
        <v>2389</v>
      </c>
      <c r="F1104" s="2" t="s">
        <v>2386</v>
      </c>
      <c r="G1104" s="2" t="s">
        <v>4146</v>
      </c>
      <c r="H1104" s="2"/>
      <c r="I1104" s="3" t="b">
        <f>OR(E1104 = "calculated", E1104 = "lookup", E1104 = "aggregation")</f>
        <v>1</v>
      </c>
      <c r="J1104" s="3" t="b">
        <f>H1104 &lt;&gt; ""</f>
        <v>0</v>
      </c>
      <c r="K1104" s="3">
        <f>COUNTIFS(FieldDisagreements!D2:D999, A1104)</f>
        <v>0</v>
      </c>
      <c r="L1104" s="3" t="b">
        <f>K1104 &gt; 0</f>
        <v>0</v>
      </c>
      <c r="M1104" s="2" t="s">
        <v>2387</v>
      </c>
    </row>
    <row r="1105">
      <c r="A1105" s="2" t="s">
        <v>4147</v>
      </c>
      <c r="B1105" s="3" t="str">
        <f>C1105 &amp; "." &amp; D1105</f>
        <v>TestCases.TestKind</v>
      </c>
      <c r="C1105" s="2" t="s">
        <v>4143</v>
      </c>
      <c r="D1105" s="2" t="s">
        <v>4148</v>
      </c>
      <c r="E1105" s="2" t="s">
        <v>2385</v>
      </c>
      <c r="F1105" s="2" t="s">
        <v>2386</v>
      </c>
      <c r="G1105" s="2"/>
      <c r="H1105" s="2"/>
      <c r="I1105" s="3" t="b">
        <f>OR(E1105 = "calculated", E1105 = "lookup", E1105 = "aggregation")</f>
        <v>0</v>
      </c>
      <c r="J1105" s="3" t="b">
        <f>H1105 &lt;&gt; ""</f>
        <v>0</v>
      </c>
      <c r="K1105" s="3">
        <f>COUNTIFS(FieldDisagreements!D2:D999, A1105)</f>
        <v>0</v>
      </c>
      <c r="L1105" s="3" t="b">
        <f>K1105 &gt; 0</f>
        <v>0</v>
      </c>
      <c r="M1105" s="2" t="s">
        <v>2387</v>
      </c>
    </row>
    <row r="1106">
      <c r="A1106" s="2" t="s">
        <v>4149</v>
      </c>
      <c r="B1106" s="3" t="str">
        <f>C1106 &amp; "." &amp; D1106</f>
        <v>TestCases.Subject</v>
      </c>
      <c r="C1106" s="2" t="s">
        <v>4143</v>
      </c>
      <c r="D1106" s="2" t="s">
        <v>4150</v>
      </c>
      <c r="E1106" s="2" t="s">
        <v>2385</v>
      </c>
      <c r="F1106" s="2" t="s">
        <v>2386</v>
      </c>
      <c r="G1106" s="2"/>
      <c r="H1106" s="2"/>
      <c r="I1106" s="3" t="b">
        <f>OR(E1106 = "calculated", E1106 = "lookup", E1106 = "aggregation")</f>
        <v>0</v>
      </c>
      <c r="J1106" s="3" t="b">
        <f>H1106 &lt;&gt; ""</f>
        <v>0</v>
      </c>
      <c r="K1106" s="3">
        <f>COUNTIFS(FieldDisagreements!D2:D999, A1106)</f>
        <v>0</v>
      </c>
      <c r="L1106" s="3" t="b">
        <f>K1106 &gt; 0</f>
        <v>0</v>
      </c>
      <c r="M1106" s="2" t="s">
        <v>2387</v>
      </c>
    </row>
    <row r="1107">
      <c r="A1107" s="2" t="s">
        <v>4151</v>
      </c>
      <c r="B1107" s="3" t="str">
        <f>C1107 &amp; "." &amp; D1107</f>
        <v>TestCases.TargetTable</v>
      </c>
      <c r="C1107" s="2" t="s">
        <v>4143</v>
      </c>
      <c r="D1107" s="2" t="s">
        <v>2373</v>
      </c>
      <c r="E1107" s="2" t="s">
        <v>2385</v>
      </c>
      <c r="F1107" s="2" t="s">
        <v>2386</v>
      </c>
      <c r="G1107" s="2"/>
      <c r="H1107" s="2"/>
      <c r="I1107" s="3" t="b">
        <f>OR(E1107 = "calculated", E1107 = "lookup", E1107 = "aggregation")</f>
        <v>0</v>
      </c>
      <c r="J1107" s="3" t="b">
        <f>H1107 &lt;&gt; ""</f>
        <v>0</v>
      </c>
      <c r="K1107" s="3">
        <f>COUNTIFS(FieldDisagreements!D2:D999, A1107)</f>
        <v>0</v>
      </c>
      <c r="L1107" s="3" t="b">
        <f>K1107 &gt; 0</f>
        <v>0</v>
      </c>
      <c r="M1107" s="2" t="s">
        <v>2387</v>
      </c>
    </row>
    <row r="1108">
      <c r="A1108" s="2" t="s">
        <v>4152</v>
      </c>
      <c r="B1108" s="3" t="str">
        <f>C1108 &amp; "." &amp; D1108</f>
        <v>TestCases.TargetField</v>
      </c>
      <c r="C1108" s="2" t="s">
        <v>4143</v>
      </c>
      <c r="D1108" s="2" t="s">
        <v>4153</v>
      </c>
      <c r="E1108" s="2" t="s">
        <v>2385</v>
      </c>
      <c r="F1108" s="2" t="s">
        <v>2386</v>
      </c>
      <c r="G1108" s="2"/>
      <c r="H1108" s="2"/>
      <c r="I1108" s="3" t="b">
        <f>OR(E1108 = "calculated", E1108 = "lookup", E1108 = "aggregation")</f>
        <v>0</v>
      </c>
      <c r="J1108" s="3" t="b">
        <f>H1108 &lt;&gt; ""</f>
        <v>0</v>
      </c>
      <c r="K1108" s="3">
        <f>COUNTIFS(FieldDisagreements!D2:D999, A1108)</f>
        <v>0</v>
      </c>
      <c r="L1108" s="3" t="b">
        <f>K1108 &gt; 0</f>
        <v>0</v>
      </c>
      <c r="M1108" s="2" t="s">
        <v>2387</v>
      </c>
    </row>
    <row r="1109">
      <c r="A1109" s="2" t="s">
        <v>4154</v>
      </c>
      <c r="B1109" s="3" t="str">
        <f>C1109 &amp; "." &amp; D1109</f>
        <v>TestCases.Assertion</v>
      </c>
      <c r="C1109" s="2" t="s">
        <v>4143</v>
      </c>
      <c r="D1109" s="2" t="s">
        <v>4155</v>
      </c>
      <c r="E1109" s="2" t="s">
        <v>2385</v>
      </c>
      <c r="F1109" s="2" t="s">
        <v>2386</v>
      </c>
      <c r="G1109" s="2"/>
      <c r="H1109" s="2"/>
      <c r="I1109" s="3" t="b">
        <f>OR(E1109 = "calculated", E1109 = "lookup", E1109 = "aggregation")</f>
        <v>0</v>
      </c>
      <c r="J1109" s="3" t="b">
        <f>H1109 &lt;&gt; ""</f>
        <v>0</v>
      </c>
      <c r="K1109" s="3">
        <f>COUNTIFS(FieldDisagreements!D2:D999, A1109)</f>
        <v>0</v>
      </c>
      <c r="L1109" s="3" t="b">
        <f>K1109 &gt; 0</f>
        <v>0</v>
      </c>
      <c r="M1109" s="2" t="s">
        <v>2387</v>
      </c>
    </row>
    <row r="1110">
      <c r="A1110" s="2" t="s">
        <v>4156</v>
      </c>
      <c r="B1110" s="3" t="str">
        <f>C1110 &amp; "." &amp; D1110</f>
        <v>TestCases.DefendsQuestion</v>
      </c>
      <c r="C1110" s="2" t="s">
        <v>4143</v>
      </c>
      <c r="D1110" s="2" t="s">
        <v>4157</v>
      </c>
      <c r="E1110" s="2" t="s">
        <v>2434</v>
      </c>
      <c r="F1110" s="2" t="s">
        <v>2386</v>
      </c>
      <c r="G1110" s="2"/>
      <c r="H1110" s="2"/>
      <c r="I1110" s="3" t="b">
        <f>OR(E1110 = "calculated", E1110 = "lookup", E1110 = "aggregation")</f>
        <v>0</v>
      </c>
      <c r="J1110" s="3" t="b">
        <f>H1110 &lt;&gt; ""</f>
        <v>0</v>
      </c>
      <c r="K1110" s="3">
        <f>COUNTIFS(FieldDisagreements!D2:D999, A1110)</f>
        <v>0</v>
      </c>
      <c r="L1110" s="3" t="b">
        <f>K1110 &gt; 0</f>
        <v>0</v>
      </c>
      <c r="M1110" s="2" t="s">
        <v>2387</v>
      </c>
    </row>
    <row r="1111">
      <c r="A1111" s="2" t="s">
        <v>4158</v>
      </c>
      <c r="B1111" s="3" t="str">
        <f>C1111 &amp; "." &amp; D1111</f>
        <v>TestCases.Suite</v>
      </c>
      <c r="C1111" s="2" t="s">
        <v>4143</v>
      </c>
      <c r="D1111" s="2" t="s">
        <v>4159</v>
      </c>
      <c r="E1111" s="2" t="s">
        <v>2434</v>
      </c>
      <c r="F1111" s="2" t="s">
        <v>2386</v>
      </c>
      <c r="G1111" s="2"/>
      <c r="H1111" s="2"/>
      <c r="I1111" s="3" t="b">
        <f>OR(E1111 = "calculated", E1111 = "lookup", E1111 = "aggregation")</f>
        <v>0</v>
      </c>
      <c r="J1111" s="3" t="b">
        <f>H1111 &lt;&gt; ""</f>
        <v>0</v>
      </c>
      <c r="K1111" s="3">
        <f>COUNTIFS(FieldDisagreements!D2:D999, A1111)</f>
        <v>0</v>
      </c>
      <c r="L1111" s="3" t="b">
        <f>K1111 &gt; 0</f>
        <v>0</v>
      </c>
      <c r="M1111" s="2" t="s">
        <v>2387</v>
      </c>
    </row>
    <row r="1112">
      <c r="A1112" s="2" t="s">
        <v>4160</v>
      </c>
      <c r="B1112" s="3" t="str">
        <f>C1112 &amp; "." &amp; D1112</f>
        <v>TestCases.Severity</v>
      </c>
      <c r="C1112" s="2" t="s">
        <v>4143</v>
      </c>
      <c r="D1112" s="2" t="s">
        <v>1175</v>
      </c>
      <c r="E1112" s="2" t="s">
        <v>2385</v>
      </c>
      <c r="F1112" s="2" t="s">
        <v>2386</v>
      </c>
      <c r="G1112" s="2"/>
      <c r="H1112" s="2"/>
      <c r="I1112" s="3" t="b">
        <f>OR(E1112 = "calculated", E1112 = "lookup", E1112 = "aggregation")</f>
        <v>0</v>
      </c>
      <c r="J1112" s="3" t="b">
        <f>H1112 &lt;&gt; ""</f>
        <v>0</v>
      </c>
      <c r="K1112" s="3">
        <f>COUNTIFS(FieldDisagreements!D2:D999, A1112)</f>
        <v>0</v>
      </c>
      <c r="L1112" s="3" t="b">
        <f>K1112 &gt; 0</f>
        <v>0</v>
      </c>
      <c r="M1112" s="2" t="s">
        <v>2387</v>
      </c>
    </row>
    <row r="1113">
      <c r="A1113" s="2" t="s">
        <v>4161</v>
      </c>
      <c r="B1113" s="3" t="str">
        <f>C1113 &amp; "." &amp; D1113</f>
        <v>TestCases.IsBlocking</v>
      </c>
      <c r="C1113" s="2" t="s">
        <v>4143</v>
      </c>
      <c r="D1113" s="2" t="s">
        <v>783</v>
      </c>
      <c r="E1113" s="2" t="s">
        <v>2389</v>
      </c>
      <c r="F1113" s="2" t="s">
        <v>2401</v>
      </c>
      <c r="G1113" s="2" t="s">
        <v>4162</v>
      </c>
      <c r="H1113" s="2"/>
      <c r="I1113" s="3" t="b">
        <f>OR(E1113 = "calculated", E1113 = "lookup", E1113 = "aggregation")</f>
        <v>1</v>
      </c>
      <c r="J1113" s="3" t="b">
        <f>H1113 &lt;&gt; ""</f>
        <v>0</v>
      </c>
      <c r="K1113" s="3">
        <f>COUNTIFS(FieldDisagreements!D2:D999, A1113)</f>
        <v>0</v>
      </c>
      <c r="L1113" s="3" t="b">
        <f>K1113 &gt; 0</f>
        <v>0</v>
      </c>
      <c r="M1113" s="2" t="s">
        <v>2387</v>
      </c>
    </row>
    <row r="1114">
      <c r="A1114" s="2" t="s">
        <v>4163</v>
      </c>
      <c r="B1114" s="3" t="str">
        <f>C1114 &amp; "." &amp; D1114</f>
        <v>TestCases.LastOutcome</v>
      </c>
      <c r="C1114" s="2" t="s">
        <v>4143</v>
      </c>
      <c r="D1114" s="2" t="s">
        <v>4164</v>
      </c>
      <c r="E1114" s="2" t="s">
        <v>2385</v>
      </c>
      <c r="F1114" s="2" t="s">
        <v>2386</v>
      </c>
      <c r="G1114" s="2"/>
      <c r="H1114" s="2"/>
      <c r="I1114" s="3" t="b">
        <f>OR(E1114 = "calculated", E1114 = "lookup", E1114 = "aggregation")</f>
        <v>0</v>
      </c>
      <c r="J1114" s="3" t="b">
        <f>H1114 &lt;&gt; ""</f>
        <v>0</v>
      </c>
      <c r="K1114" s="3">
        <f>COUNTIFS(FieldDisagreements!D2:D999, A1114)</f>
        <v>0</v>
      </c>
      <c r="L1114" s="3" t="b">
        <f>K1114 &gt; 0</f>
        <v>0</v>
      </c>
      <c r="M1114" s="2" t="s">
        <v>2387</v>
      </c>
    </row>
    <row r="1115">
      <c r="A1115" s="2" t="s">
        <v>4165</v>
      </c>
      <c r="B1115" s="3" t="str">
        <f>C1115 &amp; "." &amp; D1115</f>
        <v>TestCases.LastDetail</v>
      </c>
      <c r="C1115" s="2" t="s">
        <v>4143</v>
      </c>
      <c r="D1115" s="2" t="s">
        <v>4166</v>
      </c>
      <c r="E1115" s="2" t="s">
        <v>2385</v>
      </c>
      <c r="F1115" s="2" t="s">
        <v>2386</v>
      </c>
      <c r="G1115" s="2"/>
      <c r="H1115" s="2"/>
      <c r="I1115" s="3" t="b">
        <f>OR(E1115 = "calculated", E1115 = "lookup", E1115 = "aggregation")</f>
        <v>0</v>
      </c>
      <c r="J1115" s="3" t="b">
        <f>H1115 &lt;&gt; ""</f>
        <v>0</v>
      </c>
      <c r="K1115" s="3">
        <f>COUNTIFS(FieldDisagreements!D2:D999, A1115)</f>
        <v>0</v>
      </c>
      <c r="L1115" s="3" t="b">
        <f>K1115 &gt; 0</f>
        <v>0</v>
      </c>
      <c r="M1115" s="2" t="s">
        <v>2387</v>
      </c>
    </row>
    <row r="1116">
      <c r="A1116" s="2" t="s">
        <v>4167</v>
      </c>
      <c r="B1116" s="3" t="str">
        <f>C1116 &amp; "." &amp; D1116</f>
        <v>TestCases.LastRunAt</v>
      </c>
      <c r="C1116" s="2" t="s">
        <v>4143</v>
      </c>
      <c r="D1116" s="2" t="s">
        <v>4168</v>
      </c>
      <c r="E1116" s="2" t="s">
        <v>2385</v>
      </c>
      <c r="F1116" s="2" t="s">
        <v>2397</v>
      </c>
      <c r="G1116" s="2"/>
      <c r="H1116" s="2"/>
      <c r="I1116" s="3" t="b">
        <f>OR(E1116 = "calculated", E1116 = "lookup", E1116 = "aggregation")</f>
        <v>0</v>
      </c>
      <c r="J1116" s="3" t="b">
        <f>H1116 &lt;&gt; ""</f>
        <v>0</v>
      </c>
      <c r="K1116" s="3">
        <f>COUNTIFS(FieldDisagreements!D2:D999, A1116)</f>
        <v>0</v>
      </c>
      <c r="L1116" s="3" t="b">
        <f>K1116 &gt; 0</f>
        <v>0</v>
      </c>
      <c r="M1116" s="2" t="s">
        <v>2387</v>
      </c>
    </row>
    <row r="1117">
      <c r="A1117" s="2" t="s">
        <v>4169</v>
      </c>
      <c r="B1117" s="3" t="str">
        <f>C1117 &amp; "." &amp; D1117</f>
        <v>TestCases.IsPassing</v>
      </c>
      <c r="C1117" s="2" t="s">
        <v>4143</v>
      </c>
      <c r="D1117" s="2" t="s">
        <v>4170</v>
      </c>
      <c r="E1117" s="2" t="s">
        <v>2389</v>
      </c>
      <c r="F1117" s="2" t="s">
        <v>2401</v>
      </c>
      <c r="G1117" s="2" t="s">
        <v>4171</v>
      </c>
      <c r="H1117" s="2"/>
      <c r="I1117" s="3" t="b">
        <f>OR(E1117 = "calculated", E1117 = "lookup", E1117 = "aggregation")</f>
        <v>1</v>
      </c>
      <c r="J1117" s="3" t="b">
        <f>H1117 &lt;&gt; ""</f>
        <v>0</v>
      </c>
      <c r="K1117" s="3">
        <f>COUNTIFS(FieldDisagreements!D2:D999, A1117)</f>
        <v>0</v>
      </c>
      <c r="L1117" s="3" t="b">
        <f>K1117 &gt; 0</f>
        <v>0</v>
      </c>
      <c r="M1117" s="2" t="s">
        <v>2387</v>
      </c>
    </row>
    <row r="1118">
      <c r="A1118" s="2" t="s">
        <v>4172</v>
      </c>
      <c r="B1118" s="3" t="str">
        <f>C1118 &amp; "." &amp; D1118</f>
        <v>TestCases.IsFailing</v>
      </c>
      <c r="C1118" s="2" t="s">
        <v>4143</v>
      </c>
      <c r="D1118" s="2" t="s">
        <v>4173</v>
      </c>
      <c r="E1118" s="2" t="s">
        <v>2389</v>
      </c>
      <c r="F1118" s="2" t="s">
        <v>2401</v>
      </c>
      <c r="G1118" s="2" t="s">
        <v>4174</v>
      </c>
      <c r="H1118" s="2"/>
      <c r="I1118" s="3" t="b">
        <f>OR(E1118 = "calculated", E1118 = "lookup", E1118 = "aggregation")</f>
        <v>1</v>
      </c>
      <c r="J1118" s="3" t="b">
        <f>H1118 &lt;&gt; ""</f>
        <v>0</v>
      </c>
      <c r="K1118" s="3">
        <f>COUNTIFS(FieldDisagreements!D2:D999, A1118)</f>
        <v>0</v>
      </c>
      <c r="L1118" s="3" t="b">
        <f>K1118 &gt; 0</f>
        <v>0</v>
      </c>
      <c r="M1118" s="2" t="s">
        <v>2387</v>
      </c>
    </row>
    <row r="1119">
      <c r="A1119" s="2" t="s">
        <v>4175</v>
      </c>
      <c r="B1119" s="3" t="str">
        <f>C1119 &amp; "." &amp; D1119</f>
        <v>TestCases.NeedsAttention</v>
      </c>
      <c r="C1119" s="2" t="s">
        <v>4143</v>
      </c>
      <c r="D1119" s="2" t="s">
        <v>4176</v>
      </c>
      <c r="E1119" s="2" t="s">
        <v>2389</v>
      </c>
      <c r="F1119" s="2" t="s">
        <v>2401</v>
      </c>
      <c r="G1119" s="2" t="s">
        <v>4177</v>
      </c>
      <c r="H1119" s="2"/>
      <c r="I1119" s="3" t="b">
        <f>OR(E1119 = "calculated", E1119 = "lookup", E1119 = "aggregation")</f>
        <v>1</v>
      </c>
      <c r="J1119" s="3" t="b">
        <f>H1119 &lt;&gt; ""</f>
        <v>0</v>
      </c>
      <c r="K1119" s="3">
        <f>COUNTIFS(FieldDisagreements!D2:D999, A1119)</f>
        <v>0</v>
      </c>
      <c r="L1119" s="3" t="b">
        <f>K1119 &gt; 0</f>
        <v>0</v>
      </c>
      <c r="M1119" s="2" t="s">
        <v>2387</v>
      </c>
    </row>
    <row r="1120">
      <c r="A1120" s="2" t="s">
        <v>4178</v>
      </c>
      <c r="B1120" s="3" t="str">
        <f>C1120 &amp; "." &amp; D1120</f>
        <v>TestCases.PassingSuiteKey</v>
      </c>
      <c r="C1120" s="2" t="s">
        <v>4143</v>
      </c>
      <c r="D1120" s="2" t="s">
        <v>4179</v>
      </c>
      <c r="E1120" s="2" t="s">
        <v>2389</v>
      </c>
      <c r="F1120" s="2" t="s">
        <v>2386</v>
      </c>
      <c r="G1120" s="2" t="s">
        <v>4180</v>
      </c>
      <c r="H1120" s="2"/>
      <c r="I1120" s="3" t="b">
        <f>OR(E1120 = "calculated", E1120 = "lookup", E1120 = "aggregation")</f>
        <v>1</v>
      </c>
      <c r="J1120" s="3" t="b">
        <f>H1120 &lt;&gt; ""</f>
        <v>0</v>
      </c>
      <c r="K1120" s="3">
        <f>COUNTIFS(FieldDisagreements!D2:D999, A1120)</f>
        <v>0</v>
      </c>
      <c r="L1120" s="3" t="b">
        <f>K1120 &gt; 0</f>
        <v>0</v>
      </c>
      <c r="M1120" s="2" t="s">
        <v>2387</v>
      </c>
    </row>
    <row r="1121">
      <c r="A1121" s="2" t="s">
        <v>4181</v>
      </c>
      <c r="B1121" s="3" t="str">
        <f>C1121 &amp; "." &amp; D1121</f>
        <v>TestCases.NeedsAttentionSuiteKey</v>
      </c>
      <c r="C1121" s="2" t="s">
        <v>4143</v>
      </c>
      <c r="D1121" s="2" t="s">
        <v>4182</v>
      </c>
      <c r="E1121" s="2" t="s">
        <v>2389</v>
      </c>
      <c r="F1121" s="2" t="s">
        <v>2386</v>
      </c>
      <c r="G1121" s="2" t="s">
        <v>4183</v>
      </c>
      <c r="H1121" s="2"/>
      <c r="I1121" s="3" t="b">
        <f>OR(E1121 = "calculated", E1121 = "lookup", E1121 = "aggregation")</f>
        <v>1</v>
      </c>
      <c r="J1121" s="3" t="b">
        <f>H1121 &lt;&gt; ""</f>
        <v>0</v>
      </c>
      <c r="K1121" s="3">
        <f>COUNTIFS(FieldDisagreements!D2:D999, A1121)</f>
        <v>0</v>
      </c>
      <c r="L1121" s="3" t="b">
        <f>K1121 &gt; 0</f>
        <v>0</v>
      </c>
      <c r="M1121" s="2" t="s">
        <v>2387</v>
      </c>
    </row>
    <row r="1122">
      <c r="A1122" s="2" t="s">
        <v>4184</v>
      </c>
      <c r="B1122" s="3" t="str">
        <f>C1122 &amp; "." &amp; D1122</f>
        <v>TestCases.SemanticTypeIri</v>
      </c>
      <c r="C1122" s="2" t="s">
        <v>4143</v>
      </c>
      <c r="D1122" s="2" t="s">
        <v>94</v>
      </c>
      <c r="E1122" s="2" t="s">
        <v>2385</v>
      </c>
      <c r="F1122" s="2" t="s">
        <v>2386</v>
      </c>
      <c r="G1122" s="2"/>
      <c r="H1122" s="2"/>
      <c r="I1122" s="3" t="b">
        <f>OR(E1122 = "calculated", E1122 = "lookup", E1122 = "aggregation")</f>
        <v>0</v>
      </c>
      <c r="J1122" s="3" t="b">
        <f>H1122 &lt;&gt; ""</f>
        <v>0</v>
      </c>
      <c r="K1122" s="3">
        <f>COUNTIFS(FieldDisagreements!D2:D999, A1122)</f>
        <v>0</v>
      </c>
      <c r="L1122" s="3" t="b">
        <f>K1122 &gt; 0</f>
        <v>0</v>
      </c>
      <c r="M1122" s="2" t="s">
        <v>2387</v>
      </c>
    </row>
    <row r="1123">
      <c r="A1123" s="2" t="s">
        <v>4185</v>
      </c>
      <c r="B1123" s="3" t="str">
        <f>C1123 &amp; "." &amp; D1123</f>
        <v>ERBVersions.ERBVersionId</v>
      </c>
      <c r="C1123" s="2" t="s">
        <v>4186</v>
      </c>
      <c r="D1123" s="2" t="s">
        <v>4187</v>
      </c>
      <c r="E1123" s="2" t="s">
        <v>2385</v>
      </c>
      <c r="F1123" s="2" t="s">
        <v>2386</v>
      </c>
      <c r="G1123" s="2"/>
      <c r="H1123" s="2"/>
      <c r="I1123" s="3" t="b">
        <f>OR(E1123 = "calculated", E1123 = "lookup", E1123 = "aggregation")</f>
        <v>0</v>
      </c>
      <c r="J1123" s="3" t="b">
        <f>H1123 &lt;&gt; ""</f>
        <v>0</v>
      </c>
      <c r="K1123" s="3">
        <f>COUNTIFS(FieldDisagreements!D2:D999, A1123)</f>
        <v>0</v>
      </c>
      <c r="L1123" s="3" t="b">
        <f>K1123 &gt; 0</f>
        <v>0</v>
      </c>
      <c r="M1123" s="2" t="s">
        <v>2387</v>
      </c>
    </row>
    <row r="1124">
      <c r="A1124" s="2" t="s">
        <v>4188</v>
      </c>
      <c r="B1124" s="3" t="str">
        <f>C1124 &amp; "." &amp; D1124</f>
        <v>ERBVersions.BaseId</v>
      </c>
      <c r="C1124" s="2" t="s">
        <v>4186</v>
      </c>
      <c r="D1124" s="2" t="s">
        <v>4189</v>
      </c>
      <c r="E1124" s="2" t="s">
        <v>2385</v>
      </c>
      <c r="F1124" s="2" t="s">
        <v>2386</v>
      </c>
      <c r="G1124" s="2"/>
      <c r="H1124" s="2"/>
      <c r="I1124" s="3" t="b">
        <f>OR(E1124 = "calculated", E1124 = "lookup", E1124 = "aggregation")</f>
        <v>0</v>
      </c>
      <c r="J1124" s="3" t="b">
        <f>H1124 &lt;&gt; ""</f>
        <v>0</v>
      </c>
      <c r="K1124" s="3">
        <f>COUNTIFS(FieldDisagreements!D2:D999, A1124)</f>
        <v>0</v>
      </c>
      <c r="L1124" s="3" t="b">
        <f>K1124 &gt; 0</f>
        <v>0</v>
      </c>
      <c r="M1124" s="2" t="s">
        <v>2387</v>
      </c>
    </row>
    <row r="1125">
      <c r="A1125" s="2" t="s">
        <v>4190</v>
      </c>
      <c r="B1125" s="3" t="str">
        <f>C1125 &amp; "." &amp; D1125</f>
        <v>ERBVersions.Name</v>
      </c>
      <c r="C1125" s="2" t="s">
        <v>4186</v>
      </c>
      <c r="D1125" s="2" t="s">
        <v>1</v>
      </c>
      <c r="E1125" s="2" t="s">
        <v>2385</v>
      </c>
      <c r="F1125" s="2" t="s">
        <v>2386</v>
      </c>
      <c r="G1125" s="2"/>
      <c r="H1125" s="2"/>
      <c r="I1125" s="3" t="b">
        <f>OR(E1125 = "calculated", E1125 = "lookup", E1125 = "aggregation")</f>
        <v>0</v>
      </c>
      <c r="J1125" s="3" t="b">
        <f>H1125 &lt;&gt; ""</f>
        <v>0</v>
      </c>
      <c r="K1125" s="3">
        <f>COUNTIFS(FieldDisagreements!D2:D999, A1125)</f>
        <v>0</v>
      </c>
      <c r="L1125" s="3" t="b">
        <f>K1125 &gt; 0</f>
        <v>0</v>
      </c>
      <c r="M1125" s="2" t="s">
        <v>2387</v>
      </c>
    </row>
    <row r="1126">
      <c r="A1126" s="2" t="s">
        <v>4191</v>
      </c>
      <c r="B1126" s="3" t="str">
        <f>C1126 &amp; "." &amp; D1126</f>
        <v>ERBVersions.Message</v>
      </c>
      <c r="C1126" s="2" t="s">
        <v>4186</v>
      </c>
      <c r="D1126" s="2" t="s">
        <v>4192</v>
      </c>
      <c r="E1126" s="2" t="s">
        <v>2385</v>
      </c>
      <c r="F1126" s="2" t="s">
        <v>2386</v>
      </c>
      <c r="G1126" s="2"/>
      <c r="H1126" s="2"/>
      <c r="I1126" s="3" t="b">
        <f>OR(E1126 = "calculated", E1126 = "lookup", E1126 = "aggregation")</f>
        <v>0</v>
      </c>
      <c r="J1126" s="3" t="b">
        <f>H1126 &lt;&gt; ""</f>
        <v>0</v>
      </c>
      <c r="K1126" s="3">
        <f>COUNTIFS(FieldDisagreements!D2:D999, A1126)</f>
        <v>0</v>
      </c>
      <c r="L1126" s="3" t="b">
        <f>K1126 &gt; 0</f>
        <v>0</v>
      </c>
      <c r="M1126" s="2" t="s">
        <v>2387</v>
      </c>
    </row>
    <row r="1127">
      <c r="A1127" s="2" t="s">
        <v>4193</v>
      </c>
      <c r="B1127" s="3" t="str">
        <f>C1127 &amp; "." &amp; D1127</f>
        <v>ERBVersions.Notes</v>
      </c>
      <c r="C1127" s="2" t="s">
        <v>4186</v>
      </c>
      <c r="D1127" s="2" t="s">
        <v>1740</v>
      </c>
      <c r="E1127" s="2" t="s">
        <v>2385</v>
      </c>
      <c r="F1127" s="2" t="s">
        <v>2386</v>
      </c>
      <c r="G1127" s="2"/>
      <c r="H1127" s="2"/>
      <c r="I1127" s="3" t="b">
        <f>OR(E1127 = "calculated", E1127 = "lookup", E1127 = "aggregation")</f>
        <v>0</v>
      </c>
      <c r="J1127" s="3" t="b">
        <f>H1127 &lt;&gt; ""</f>
        <v>0</v>
      </c>
      <c r="K1127" s="3">
        <f>COUNTIFS(FieldDisagreements!D2:D999, A1127)</f>
        <v>0</v>
      </c>
      <c r="L1127" s="3" t="b">
        <f>K1127 &gt; 0</f>
        <v>0</v>
      </c>
      <c r="M1127" s="2" t="s">
        <v>2387</v>
      </c>
    </row>
    <row r="1128">
      <c r="A1128" s="2" t="s">
        <v>4194</v>
      </c>
      <c r="B1128" s="3" t="str">
        <f>C1128 &amp; "." &amp; D1128</f>
        <v>ERBVersions.CommitDate</v>
      </c>
      <c r="C1128" s="2" t="s">
        <v>4186</v>
      </c>
      <c r="D1128" s="2" t="s">
        <v>4195</v>
      </c>
      <c r="E1128" s="2" t="s">
        <v>2385</v>
      </c>
      <c r="F1128" s="2" t="s">
        <v>2397</v>
      </c>
      <c r="G1128" s="2"/>
      <c r="H1128" s="2"/>
      <c r="I1128" s="3" t="b">
        <f>OR(E1128 = "calculated", E1128 = "lookup", E1128 = "aggregation")</f>
        <v>0</v>
      </c>
      <c r="J1128" s="3" t="b">
        <f>H1128 &lt;&gt; ""</f>
        <v>0</v>
      </c>
      <c r="K1128" s="3">
        <f>COUNTIFS(FieldDisagreements!D2:D999, A1128)</f>
        <v>0</v>
      </c>
      <c r="L1128" s="3" t="b">
        <f>K1128 &gt; 0</f>
        <v>0</v>
      </c>
      <c r="M1128" s="2" t="s">
        <v>2387</v>
      </c>
    </row>
    <row r="1129">
      <c r="A1129" s="2" t="s">
        <v>4196</v>
      </c>
      <c r="B1129" s="3" t="str">
        <f>C1129 &amp; "." &amp; D1129</f>
        <v>ERBVersions.IsPublished</v>
      </c>
      <c r="C1129" s="2" t="s">
        <v>4186</v>
      </c>
      <c r="D1129" s="2" t="s">
        <v>4197</v>
      </c>
      <c r="E1129" s="2" t="s">
        <v>2385</v>
      </c>
      <c r="F1129" s="2" t="s">
        <v>2401</v>
      </c>
      <c r="G1129" s="2"/>
      <c r="H1129" s="2"/>
      <c r="I1129" s="3" t="b">
        <f>OR(E1129 = "calculated", E1129 = "lookup", E1129 = "aggregation")</f>
        <v>0</v>
      </c>
      <c r="J1129" s="3" t="b">
        <f>H1129 &lt;&gt; ""</f>
        <v>0</v>
      </c>
      <c r="K1129" s="3">
        <f>COUNTIFS(FieldDisagreements!D2:D999, A1129)</f>
        <v>0</v>
      </c>
      <c r="L1129" s="3" t="b">
        <f>K1129 &gt; 0</f>
        <v>0</v>
      </c>
      <c r="M1129" s="2" t="s">
        <v>2387</v>
      </c>
    </row>
    <row r="1130">
      <c r="A1130" s="2" t="s">
        <v>4198</v>
      </c>
      <c r="B1130" s="3" t="str">
        <f>C1130 &amp; "." &amp; D1130</f>
        <v>ERBCustomizations.ERBCustomizationId</v>
      </c>
      <c r="C1130" s="2" t="s">
        <v>4199</v>
      </c>
      <c r="D1130" s="2" t="s">
        <v>4200</v>
      </c>
      <c r="E1130" s="2" t="s">
        <v>2385</v>
      </c>
      <c r="F1130" s="2" t="s">
        <v>2386</v>
      </c>
      <c r="G1130" s="2"/>
      <c r="H1130" s="2"/>
      <c r="I1130" s="3" t="b">
        <f>OR(E1130 = "calculated", E1130 = "lookup", E1130 = "aggregation")</f>
        <v>0</v>
      </c>
      <c r="J1130" s="3" t="b">
        <f>H1130 &lt;&gt; ""</f>
        <v>0</v>
      </c>
      <c r="K1130" s="3">
        <f>COUNTIFS(FieldDisagreements!D2:D999, A1130)</f>
        <v>0</v>
      </c>
      <c r="L1130" s="3" t="b">
        <f>K1130 &gt; 0</f>
        <v>0</v>
      </c>
      <c r="M1130" s="2" t="s">
        <v>2387</v>
      </c>
    </row>
    <row r="1131">
      <c r="A1131" s="2" t="s">
        <v>4201</v>
      </c>
      <c r="B1131" s="3" t="str">
        <f>C1131 &amp; "." &amp; D1131</f>
        <v>ERBCustomizations.Name</v>
      </c>
      <c r="C1131" s="2" t="s">
        <v>4199</v>
      </c>
      <c r="D1131" s="2" t="s">
        <v>1</v>
      </c>
      <c r="E1131" s="2" t="s">
        <v>2385</v>
      </c>
      <c r="F1131" s="2" t="s">
        <v>2386</v>
      </c>
      <c r="G1131" s="2"/>
      <c r="H1131" s="2"/>
      <c r="I1131" s="3" t="b">
        <f>OR(E1131 = "calculated", E1131 = "lookup", E1131 = "aggregation")</f>
        <v>0</v>
      </c>
      <c r="J1131" s="3" t="b">
        <f>H1131 &lt;&gt; ""</f>
        <v>0</v>
      </c>
      <c r="K1131" s="3">
        <f>COUNTIFS(FieldDisagreements!D2:D999, A1131)</f>
        <v>0</v>
      </c>
      <c r="L1131" s="3" t="b">
        <f>K1131 &gt; 0</f>
        <v>0</v>
      </c>
      <c r="M1131" s="2" t="s">
        <v>2387</v>
      </c>
    </row>
    <row r="1132">
      <c r="A1132" s="2" t="s">
        <v>4202</v>
      </c>
      <c r="B1132" s="3" t="str">
        <f>C1132 &amp; "." &amp; D1132</f>
        <v>ERBCustomizations.Title</v>
      </c>
      <c r="C1132" s="2" t="s">
        <v>4199</v>
      </c>
      <c r="D1132" s="2" t="s">
        <v>358</v>
      </c>
      <c r="E1132" s="2" t="s">
        <v>2385</v>
      </c>
      <c r="F1132" s="2" t="s">
        <v>2386</v>
      </c>
      <c r="G1132" s="2"/>
      <c r="H1132" s="2"/>
      <c r="I1132" s="3" t="b">
        <f>OR(E1132 = "calculated", E1132 = "lookup", E1132 = "aggregation")</f>
        <v>0</v>
      </c>
      <c r="J1132" s="3" t="b">
        <f>H1132 &lt;&gt; ""</f>
        <v>0</v>
      </c>
      <c r="K1132" s="3">
        <f>COUNTIFS(FieldDisagreements!D2:D999, A1132)</f>
        <v>0</v>
      </c>
      <c r="L1132" s="3" t="b">
        <f>K1132 &gt; 0</f>
        <v>0</v>
      </c>
      <c r="M1132" s="2" t="s">
        <v>2387</v>
      </c>
    </row>
    <row r="1133">
      <c r="A1133" s="2" t="s">
        <v>4203</v>
      </c>
      <c r="B1133" s="3" t="str">
        <f>C1133 &amp; "." &amp; D1133</f>
        <v>ERBCustomizations.SQLCode</v>
      </c>
      <c r="C1133" s="2" t="s">
        <v>4199</v>
      </c>
      <c r="D1133" s="2" t="s">
        <v>4204</v>
      </c>
      <c r="E1133" s="2" t="s">
        <v>2385</v>
      </c>
      <c r="F1133" s="2" t="s">
        <v>2386</v>
      </c>
      <c r="G1133" s="2"/>
      <c r="H1133" s="2"/>
      <c r="I1133" s="3" t="b">
        <f>OR(E1133 = "calculated", E1133 = "lookup", E1133 = "aggregation")</f>
        <v>0</v>
      </c>
      <c r="J1133" s="3" t="b">
        <f>H1133 &lt;&gt; ""</f>
        <v>0</v>
      </c>
      <c r="K1133" s="3">
        <f>COUNTIFS(FieldDisagreements!D2:D999, A1133)</f>
        <v>0</v>
      </c>
      <c r="L1133" s="3" t="b">
        <f>K1133 &gt; 0</f>
        <v>0</v>
      </c>
      <c r="M1133" s="2" t="s">
        <v>2387</v>
      </c>
    </row>
    <row r="1134">
      <c r="A1134" s="2" t="s">
        <v>4205</v>
      </c>
      <c r="B1134" s="3" t="str">
        <f>C1134 &amp; "." &amp; D1134</f>
        <v>ERBCustomizations.SQLTarget</v>
      </c>
      <c r="C1134" s="2" t="s">
        <v>4199</v>
      </c>
      <c r="D1134" s="2" t="s">
        <v>4206</v>
      </c>
      <c r="E1134" s="2" t="s">
        <v>2385</v>
      </c>
      <c r="F1134" s="2" t="s">
        <v>2386</v>
      </c>
      <c r="G1134" s="2"/>
      <c r="H1134" s="2"/>
      <c r="I1134" s="3" t="b">
        <f>OR(E1134 = "calculated", E1134 = "lookup", E1134 = "aggregation")</f>
        <v>0</v>
      </c>
      <c r="J1134" s="3" t="b">
        <f>H1134 &lt;&gt; ""</f>
        <v>0</v>
      </c>
      <c r="K1134" s="3">
        <f>COUNTIFS(FieldDisagreements!D2:D999, A1134)</f>
        <v>0</v>
      </c>
      <c r="L1134" s="3" t="b">
        <f>K1134 &gt; 0</f>
        <v>0</v>
      </c>
      <c r="M1134" s="2" t="s">
        <v>2387</v>
      </c>
    </row>
    <row r="1135">
      <c r="A1135" s="2" t="s">
        <v>4207</v>
      </c>
      <c r="B1135" s="3" t="str">
        <f>C1135 &amp; "." &amp; D1135</f>
        <v>ERBCustomizations.CustomizationType</v>
      </c>
      <c r="C1135" s="2" t="s">
        <v>4199</v>
      </c>
      <c r="D1135" s="2" t="s">
        <v>4208</v>
      </c>
      <c r="E1135" s="2" t="s">
        <v>2385</v>
      </c>
      <c r="F1135" s="2" t="s">
        <v>2386</v>
      </c>
      <c r="G1135" s="2"/>
      <c r="H1135" s="2"/>
      <c r="I1135" s="3" t="b">
        <f>OR(E1135 = "calculated", E1135 = "lookup", E1135 = "aggregation")</f>
        <v>0</v>
      </c>
      <c r="J1135" s="3" t="b">
        <f>H1135 &lt;&gt; ""</f>
        <v>0</v>
      </c>
      <c r="K1135" s="3">
        <f>COUNTIFS(FieldDisagreements!D2:D999, A1135)</f>
        <v>0</v>
      </c>
      <c r="L1135" s="3" t="b">
        <f>K1135 &gt; 0</f>
        <v>0</v>
      </c>
      <c r="M1135" s="2" t="s">
        <v>2387</v>
      </c>
    </row>
    <row r="1136">
      <c r="A1136" s="2" t="s">
        <v>4209</v>
      </c>
      <c r="B1136" s="3" t="str">
        <f>C1136 &amp; "." &amp; D1136</f>
        <v>__meta__.MetaKey</v>
      </c>
      <c r="C1136" s="2" t="s">
        <v>4210</v>
      </c>
      <c r="D1136" s="2" t="s">
        <v>4211</v>
      </c>
      <c r="E1136" s="2" t="s">
        <v>2385</v>
      </c>
      <c r="F1136" s="2" t="s">
        <v>2386</v>
      </c>
      <c r="G1136" s="2"/>
      <c r="H1136" s="2"/>
      <c r="I1136" s="3" t="b">
        <f>OR(E1136 = "calculated", E1136 = "lookup", E1136 = "aggregation")</f>
        <v>0</v>
      </c>
      <c r="J1136" s="3" t="b">
        <f>H1136 &lt;&gt; ""</f>
        <v>0</v>
      </c>
      <c r="K1136" s="3">
        <f>COUNTIFS(FieldDisagreements!D2:D999, A1136)</f>
        <v>0</v>
      </c>
      <c r="L1136" s="3" t="b">
        <f>K1136 &gt; 0</f>
        <v>0</v>
      </c>
      <c r="M1136" s="2" t="s">
        <v>2387</v>
      </c>
    </row>
    <row r="1137">
      <c r="A1137" s="2" t="s">
        <v>4212</v>
      </c>
      <c r="B1137" s="3" t="str">
        <f>C1137 &amp; "." &amp; D1137</f>
        <v>__meta__.Name</v>
      </c>
      <c r="C1137" s="2" t="s">
        <v>4210</v>
      </c>
      <c r="D1137" s="2" t="s">
        <v>1</v>
      </c>
      <c r="E1137" s="2" t="s">
        <v>2389</v>
      </c>
      <c r="F1137" s="2" t="s">
        <v>2386</v>
      </c>
      <c r="G1137" s="2" t="s">
        <v>4213</v>
      </c>
      <c r="H1137" s="2"/>
      <c r="I1137" s="3" t="b">
        <f>OR(E1137 = "calculated", E1137 = "lookup", E1137 = "aggregation")</f>
        <v>1</v>
      </c>
      <c r="J1137" s="3" t="b">
        <f>H1137 &lt;&gt; ""</f>
        <v>0</v>
      </c>
      <c r="K1137" s="3">
        <f>COUNTIFS(FieldDisagreements!D2:D999, A1137)</f>
        <v>0</v>
      </c>
      <c r="L1137" s="3" t="b">
        <f>K1137 &gt; 0</f>
        <v>0</v>
      </c>
      <c r="M1137" s="2" t="s">
        <v>2387</v>
      </c>
    </row>
    <row r="1138">
      <c r="A1138" s="2" t="s">
        <v>4214</v>
      </c>
      <c r="B1138" s="3" t="str">
        <f>C1138 &amp; "." &amp; D1138</f>
        <v>__meta__.ValueType</v>
      </c>
      <c r="C1138" s="2" t="s">
        <v>4210</v>
      </c>
      <c r="D1138" s="2" t="s">
        <v>4215</v>
      </c>
      <c r="E1138" s="2" t="s">
        <v>2385</v>
      </c>
      <c r="F1138" s="2" t="s">
        <v>2386</v>
      </c>
      <c r="G1138" s="2"/>
      <c r="H1138" s="2"/>
      <c r="I1138" s="3" t="b">
        <f>OR(E1138 = "calculated", E1138 = "lookup", E1138 = "aggregation")</f>
        <v>0</v>
      </c>
      <c r="J1138" s="3" t="b">
        <f>H1138 &lt;&gt; ""</f>
        <v>0</v>
      </c>
      <c r="K1138" s="3">
        <f>COUNTIFS(FieldDisagreements!D2:D999, A1138)</f>
        <v>0</v>
      </c>
      <c r="L1138" s="3" t="b">
        <f>K1138 &gt; 0</f>
        <v>0</v>
      </c>
      <c r="M1138" s="2" t="s">
        <v>2387</v>
      </c>
    </row>
    <row r="1139">
      <c r="A1139" s="2" t="s">
        <v>4216</v>
      </c>
      <c r="B1139" s="3" t="str">
        <f>C1139 &amp; "." &amp; D1139</f>
        <v>__meta__.StringValue</v>
      </c>
      <c r="C1139" s="2" t="s">
        <v>4210</v>
      </c>
      <c r="D1139" s="2" t="s">
        <v>4217</v>
      </c>
      <c r="E1139" s="2" t="s">
        <v>2385</v>
      </c>
      <c r="F1139" s="2" t="s">
        <v>2386</v>
      </c>
      <c r="G1139" s="2"/>
      <c r="H1139" s="2"/>
      <c r="I1139" s="3" t="b">
        <f>OR(E1139 = "calculated", E1139 = "lookup", E1139 = "aggregation")</f>
        <v>0</v>
      </c>
      <c r="J1139" s="3" t="b">
        <f>H1139 &lt;&gt; ""</f>
        <v>0</v>
      </c>
      <c r="K1139" s="3">
        <f>COUNTIFS(FieldDisagreements!D2:D999, A1139)</f>
        <v>0</v>
      </c>
      <c r="L1139" s="3" t="b">
        <f>K1139 &gt; 0</f>
        <v>0</v>
      </c>
      <c r="M1139" s="2" t="s">
        <v>2387</v>
      </c>
    </row>
    <row r="1140">
      <c r="A1140" s="2" t="s">
        <v>4218</v>
      </c>
      <c r="B1140" s="3" t="str">
        <f>C1140 &amp; "." &amp; D1140</f>
        <v>__meta__.JsonValue</v>
      </c>
      <c r="C1140" s="2" t="s">
        <v>4210</v>
      </c>
      <c r="D1140" s="2" t="s">
        <v>4219</v>
      </c>
      <c r="E1140" s="2" t="s">
        <v>2385</v>
      </c>
      <c r="F1140" s="2" t="s">
        <v>2386</v>
      </c>
      <c r="G1140" s="2"/>
      <c r="H1140" s="2"/>
      <c r="I1140" s="3" t="b">
        <f>OR(E1140 = "calculated", E1140 = "lookup", E1140 = "aggregation")</f>
        <v>0</v>
      </c>
      <c r="J1140" s="3" t="b">
        <f>H1140 &lt;&gt; ""</f>
        <v>0</v>
      </c>
      <c r="K1140" s="3">
        <f>COUNTIFS(FieldDisagreements!D2:D999, A1140)</f>
        <v>0</v>
      </c>
      <c r="L1140" s="3" t="b">
        <f>K1140 &gt; 0</f>
        <v>0</v>
      </c>
      <c r="M1140" s="2" t="s">
        <v>2387</v>
      </c>
    </row>
    <row r="1141">
      <c r="A1141" s="2" t="s">
        <v>4220</v>
      </c>
      <c r="B1141" s="3" t="str">
        <f>C1141 &amp; "." &amp; D1141</f>
        <v>ExceptionInvocations.ExceptionInvocationId</v>
      </c>
      <c r="C1141" s="2" t="s">
        <v>4221</v>
      </c>
      <c r="D1141" s="2" t="s">
        <v>4222</v>
      </c>
      <c r="E1141" s="2" t="s">
        <v>2385</v>
      </c>
      <c r="F1141" s="2" t="s">
        <v>2386</v>
      </c>
      <c r="G1141" s="2"/>
      <c r="H1141" s="2"/>
      <c r="I1141" s="3" t="b">
        <f>OR(E1141 = "calculated", E1141 = "lookup", E1141 = "aggregation")</f>
        <v>0</v>
      </c>
      <c r="J1141" s="3" t="b">
        <f>H1141 &lt;&gt; ""</f>
        <v>0</v>
      </c>
      <c r="K1141" s="3">
        <f>COUNTIFS(FieldDisagreements!D2:D999, A1141)</f>
        <v>0</v>
      </c>
      <c r="L1141" s="3" t="b">
        <f>K1141 &gt; 0</f>
        <v>0</v>
      </c>
      <c r="M1141" s="2" t="s">
        <v>2387</v>
      </c>
    </row>
    <row r="1142">
      <c r="A1142" s="2" t="s">
        <v>4223</v>
      </c>
      <c r="B1142" s="3" t="str">
        <f>C1142 &amp; "." &amp; D1142</f>
        <v>ExceptionInvocations.Name</v>
      </c>
      <c r="C1142" s="2" t="s">
        <v>4221</v>
      </c>
      <c r="D1142" s="2" t="s">
        <v>1</v>
      </c>
      <c r="E1142" s="2" t="s">
        <v>2389</v>
      </c>
      <c r="F1142" s="2" t="s">
        <v>2386</v>
      </c>
      <c r="G1142" s="2" t="s">
        <v>4224</v>
      </c>
      <c r="H1142" s="2"/>
      <c r="I1142" s="3" t="b">
        <f>OR(E1142 = "calculated", E1142 = "lookup", E1142 = "aggregation")</f>
        <v>1</v>
      </c>
      <c r="J1142" s="3" t="b">
        <f>H1142 &lt;&gt; ""</f>
        <v>0</v>
      </c>
      <c r="K1142" s="3">
        <f>COUNTIFS(FieldDisagreements!D2:D999, A1142)</f>
        <v>0</v>
      </c>
      <c r="L1142" s="3" t="b">
        <f>K1142 &gt; 0</f>
        <v>0</v>
      </c>
      <c r="M1142" s="2" t="s">
        <v>2387</v>
      </c>
    </row>
    <row r="1143">
      <c r="A1143" s="2" t="s">
        <v>4225</v>
      </c>
      <c r="B1143" s="3" t="str">
        <f>C1143 &amp; "." &amp; D1143</f>
        <v>ExceptionInvocations.StepExecution</v>
      </c>
      <c r="C1143" s="2" t="s">
        <v>4221</v>
      </c>
      <c r="D1143" s="2" t="s">
        <v>1447</v>
      </c>
      <c r="E1143" s="2" t="s">
        <v>2434</v>
      </c>
      <c r="F1143" s="2" t="s">
        <v>2386</v>
      </c>
      <c r="G1143" s="2"/>
      <c r="H1143" s="2"/>
      <c r="I1143" s="3" t="b">
        <f>OR(E1143 = "calculated", E1143 = "lookup", E1143 = "aggregation")</f>
        <v>0</v>
      </c>
      <c r="J1143" s="3" t="b">
        <f>H1143 &lt;&gt; ""</f>
        <v>0</v>
      </c>
      <c r="K1143" s="3">
        <f>COUNTIFS(FieldDisagreements!D2:D999, A1143)</f>
        <v>0</v>
      </c>
      <c r="L1143" s="3" t="b">
        <f>K1143 &gt; 0</f>
        <v>0</v>
      </c>
      <c r="M1143" s="2" t="s">
        <v>2387</v>
      </c>
    </row>
    <row r="1144">
      <c r="A1144" s="2" t="s">
        <v>4226</v>
      </c>
      <c r="B1144" s="3" t="str">
        <f>C1144 &amp; "." &amp; D1144</f>
        <v>ExceptionInvocations.Exception</v>
      </c>
      <c r="C1144" s="2" t="s">
        <v>4221</v>
      </c>
      <c r="D1144" s="2" t="s">
        <v>4227</v>
      </c>
      <c r="E1144" s="2" t="s">
        <v>2434</v>
      </c>
      <c r="F1144" s="2" t="s">
        <v>2386</v>
      </c>
      <c r="G1144" s="2"/>
      <c r="H1144" s="2"/>
      <c r="I1144" s="3" t="b">
        <f>OR(E1144 = "calculated", E1144 = "lookup", E1144 = "aggregation")</f>
        <v>0</v>
      </c>
      <c r="J1144" s="3" t="b">
        <f>H1144 &lt;&gt; ""</f>
        <v>0</v>
      </c>
      <c r="K1144" s="3">
        <f>COUNTIFS(FieldDisagreements!D2:D999, A1144)</f>
        <v>0</v>
      </c>
      <c r="L1144" s="3" t="b">
        <f>K1144 &gt; 0</f>
        <v>0</v>
      </c>
      <c r="M1144" s="2" t="s">
        <v>2387</v>
      </c>
    </row>
    <row r="1145">
      <c r="A1145" s="2" t="s">
        <v>4228</v>
      </c>
      <c r="B1145" s="3" t="str">
        <f>C1145 &amp; "." &amp; D1145</f>
        <v>ExceptionInvocations.InvokedByAgent</v>
      </c>
      <c r="C1145" s="2" t="s">
        <v>4221</v>
      </c>
      <c r="D1145" s="2" t="s">
        <v>4229</v>
      </c>
      <c r="E1145" s="2" t="s">
        <v>2434</v>
      </c>
      <c r="F1145" s="2" t="s">
        <v>2386</v>
      </c>
      <c r="G1145" s="2"/>
      <c r="H1145" s="2"/>
      <c r="I1145" s="3" t="b">
        <f>OR(E1145 = "calculated", E1145 = "lookup", E1145 = "aggregation")</f>
        <v>0</v>
      </c>
      <c r="J1145" s="3" t="b">
        <f>H1145 &lt;&gt; ""</f>
        <v>0</v>
      </c>
      <c r="K1145" s="3">
        <f>COUNTIFS(FieldDisagreements!D2:D999, A1145)</f>
        <v>0</v>
      </c>
      <c r="L1145" s="3" t="b">
        <f>K1145 &gt; 0</f>
        <v>0</v>
      </c>
      <c r="M1145" s="2" t="s">
        <v>2387</v>
      </c>
    </row>
    <row r="1146">
      <c r="A1146" s="2" t="s">
        <v>4230</v>
      </c>
      <c r="B1146" s="3" t="str">
        <f>C1146 &amp; "." &amp; D1146</f>
        <v>ExceptionInvocations.ApprovedByAgent</v>
      </c>
      <c r="C1146" s="2" t="s">
        <v>4221</v>
      </c>
      <c r="D1146" s="2" t="s">
        <v>4231</v>
      </c>
      <c r="E1146" s="2" t="s">
        <v>2434</v>
      </c>
      <c r="F1146" s="2" t="s">
        <v>2386</v>
      </c>
      <c r="G1146" s="2"/>
      <c r="H1146" s="2"/>
      <c r="I1146" s="3" t="b">
        <f>OR(E1146 = "calculated", E1146 = "lookup", E1146 = "aggregation")</f>
        <v>0</v>
      </c>
      <c r="J1146" s="3" t="b">
        <f>H1146 &lt;&gt; ""</f>
        <v>0</v>
      </c>
      <c r="K1146" s="3">
        <f>COUNTIFS(FieldDisagreements!D2:D999, A1146)</f>
        <v>0</v>
      </c>
      <c r="L1146" s="3" t="b">
        <f>K1146 &gt; 0</f>
        <v>0</v>
      </c>
      <c r="M1146" s="2" t="s">
        <v>2387</v>
      </c>
    </row>
    <row r="1147">
      <c r="A1147" s="2" t="s">
        <v>4232</v>
      </c>
      <c r="B1147" s="3" t="str">
        <f>C1147 &amp; "." &amp; D1147</f>
        <v>ExceptionInvocations.InvokedAt</v>
      </c>
      <c r="C1147" s="2" t="s">
        <v>4221</v>
      </c>
      <c r="D1147" s="2" t="s">
        <v>4233</v>
      </c>
      <c r="E1147" s="2" t="s">
        <v>2385</v>
      </c>
      <c r="F1147" s="2" t="s">
        <v>2397</v>
      </c>
      <c r="G1147" s="2"/>
      <c r="H1147" s="2"/>
      <c r="I1147" s="3" t="b">
        <f>OR(E1147 = "calculated", E1147 = "lookup", E1147 = "aggregation")</f>
        <v>0</v>
      </c>
      <c r="J1147" s="3" t="b">
        <f>H1147 &lt;&gt; ""</f>
        <v>0</v>
      </c>
      <c r="K1147" s="3">
        <f>COUNTIFS(FieldDisagreements!D2:D999, A1147)</f>
        <v>0</v>
      </c>
      <c r="L1147" s="3" t="b">
        <f>K1147 &gt; 0</f>
        <v>0</v>
      </c>
      <c r="M1147" s="2" t="s">
        <v>2387</v>
      </c>
    </row>
    <row r="1148">
      <c r="A1148" s="2" t="s">
        <v>4234</v>
      </c>
      <c r="B1148" s="3" t="str">
        <f>C1148 &amp; "." &amp; D1148</f>
        <v>ExceptionInvocations.HandlingApplied</v>
      </c>
      <c r="C1148" s="2" t="s">
        <v>4221</v>
      </c>
      <c r="D1148" s="2" t="s">
        <v>4235</v>
      </c>
      <c r="E1148" s="2" t="s">
        <v>2385</v>
      </c>
      <c r="F1148" s="2" t="s">
        <v>2386</v>
      </c>
      <c r="G1148" s="2"/>
      <c r="H1148" s="2"/>
      <c r="I1148" s="3" t="b">
        <f>OR(E1148 = "calculated", E1148 = "lookup", E1148 = "aggregation")</f>
        <v>0</v>
      </c>
      <c r="J1148" s="3" t="b">
        <f>H1148 &lt;&gt; ""</f>
        <v>0</v>
      </c>
      <c r="K1148" s="3">
        <f>COUNTIFS(FieldDisagreements!D2:D999, A1148)</f>
        <v>0</v>
      </c>
      <c r="L1148" s="3" t="b">
        <f>K1148 &gt; 0</f>
        <v>0</v>
      </c>
      <c r="M1148" s="2" t="s">
        <v>2387</v>
      </c>
    </row>
    <row r="1149">
      <c r="A1149" s="2" t="s">
        <v>4236</v>
      </c>
      <c r="B1149" s="3" t="str">
        <f>C1149 &amp; "." &amp; D1149</f>
        <v>ExceptionInvocations.ExpectedHandling</v>
      </c>
      <c r="C1149" s="2" t="s">
        <v>4221</v>
      </c>
      <c r="D1149" s="2" t="s">
        <v>4237</v>
      </c>
      <c r="E1149" s="2" t="s">
        <v>2478</v>
      </c>
      <c r="F1149" s="2" t="s">
        <v>2386</v>
      </c>
      <c r="G1149" s="2" t="s">
        <v>4238</v>
      </c>
      <c r="H1149" s="2"/>
      <c r="I1149" s="3" t="b">
        <f>OR(E1149 = "calculated", E1149 = "lookup", E1149 = "aggregation")</f>
        <v>1</v>
      </c>
      <c r="J1149" s="3" t="b">
        <f>H1149 &lt;&gt; ""</f>
        <v>0</v>
      </c>
      <c r="K1149" s="3">
        <f>COUNTIFS(FieldDisagreements!D2:D999, A1149)</f>
        <v>0</v>
      </c>
      <c r="L1149" s="3" t="b">
        <f>K1149 &gt; 0</f>
        <v>0</v>
      </c>
      <c r="M1149" s="2" t="s">
        <v>2387</v>
      </c>
    </row>
    <row r="1150">
      <c r="A1150" s="2" t="s">
        <v>4239</v>
      </c>
      <c r="B1150" s="3" t="str">
        <f>C1150 &amp; "." &amp; D1150</f>
        <v>ExceptionInvocations.RequiredApprovalRole</v>
      </c>
      <c r="C1150" s="2" t="s">
        <v>4221</v>
      </c>
      <c r="D1150" s="2" t="s">
        <v>4240</v>
      </c>
      <c r="E1150" s="2" t="s">
        <v>2478</v>
      </c>
      <c r="F1150" s="2" t="s">
        <v>2386</v>
      </c>
      <c r="G1150" s="2" t="s">
        <v>4241</v>
      </c>
      <c r="H1150" s="2"/>
      <c r="I1150" s="3" t="b">
        <f>OR(E1150 = "calculated", E1150 = "lookup", E1150 = "aggregation")</f>
        <v>1</v>
      </c>
      <c r="J1150" s="3" t="b">
        <f>H1150 &lt;&gt; ""</f>
        <v>0</v>
      </c>
      <c r="K1150" s="3">
        <f>COUNTIFS(FieldDisagreements!D2:D999, A1150)</f>
        <v>0</v>
      </c>
      <c r="L1150" s="3" t="b">
        <f>K1150 &gt; 0</f>
        <v>0</v>
      </c>
      <c r="M1150" s="2" t="s">
        <v>2387</v>
      </c>
    </row>
    <row r="1151">
      <c r="A1151" s="2" t="s">
        <v>4242</v>
      </c>
      <c r="B1151" s="3" t="str">
        <f>C1151 &amp; "." &amp; D1151</f>
        <v>ExceptionInvocations.RequiredApprovalRoleHolder</v>
      </c>
      <c r="C1151" s="2" t="s">
        <v>4221</v>
      </c>
      <c r="D1151" s="2" t="s">
        <v>4243</v>
      </c>
      <c r="E1151" s="2" t="s">
        <v>2478</v>
      </c>
      <c r="F1151" s="2" t="s">
        <v>2386</v>
      </c>
      <c r="G1151" s="2" t="s">
        <v>4244</v>
      </c>
      <c r="H1151" s="2"/>
      <c r="I1151" s="3" t="b">
        <f>OR(E1151 = "calculated", E1151 = "lookup", E1151 = "aggregation")</f>
        <v>1</v>
      </c>
      <c r="J1151" s="3" t="b">
        <f>H1151 &lt;&gt; ""</f>
        <v>0</v>
      </c>
      <c r="K1151" s="3">
        <f>COUNTIFS(FieldDisagreements!D2:D999, A1151)</f>
        <v>0</v>
      </c>
      <c r="L1151" s="3" t="b">
        <f>K1151 &gt; 0</f>
        <v>0</v>
      </c>
      <c r="M1151" s="2" t="s">
        <v>2387</v>
      </c>
    </row>
    <row r="1152">
      <c r="A1152" s="2" t="s">
        <v>4245</v>
      </c>
      <c r="B1152" s="3" t="str">
        <f>C1152 &amp; "." &amp; D1152</f>
        <v>ExceptionInvocations.ApprovalRoleMatches</v>
      </c>
      <c r="C1152" s="2" t="s">
        <v>4221</v>
      </c>
      <c r="D1152" s="2" t="s">
        <v>4246</v>
      </c>
      <c r="E1152" s="2" t="s">
        <v>2389</v>
      </c>
      <c r="F1152" s="2" t="s">
        <v>2401</v>
      </c>
      <c r="G1152" s="2" t="s">
        <v>4247</v>
      </c>
      <c r="H1152" s="2"/>
      <c r="I1152" s="3" t="b">
        <f>OR(E1152 = "calculated", E1152 = "lookup", E1152 = "aggregation")</f>
        <v>1</v>
      </c>
      <c r="J1152" s="3" t="b">
        <f>H1152 &lt;&gt; ""</f>
        <v>0</v>
      </c>
      <c r="K1152" s="3">
        <f>COUNTIFS(FieldDisagreements!D2:D999, A1152)</f>
        <v>0</v>
      </c>
      <c r="L1152" s="3" t="b">
        <f>K1152 &gt; 0</f>
        <v>0</v>
      </c>
      <c r="M1152" s="2" t="s">
        <v>2387</v>
      </c>
    </row>
    <row r="1153">
      <c r="A1153" s="2" t="s">
        <v>4248</v>
      </c>
      <c r="B1153" s="3" t="str">
        <f>C1153 &amp; "." &amp; D1153</f>
        <v>ExceptionInvocations.IsApproved</v>
      </c>
      <c r="C1153" s="2" t="s">
        <v>4221</v>
      </c>
      <c r="D1153" s="2" t="s">
        <v>1094</v>
      </c>
      <c r="E1153" s="2" t="s">
        <v>2389</v>
      </c>
      <c r="F1153" s="2" t="s">
        <v>2401</v>
      </c>
      <c r="G1153" s="2" t="s">
        <v>4249</v>
      </c>
      <c r="H1153" s="2"/>
      <c r="I1153" s="3" t="b">
        <f>OR(E1153 = "calculated", E1153 = "lookup", E1153 = "aggregation")</f>
        <v>1</v>
      </c>
      <c r="J1153" s="3" t="b">
        <f>H1153 &lt;&gt; ""</f>
        <v>0</v>
      </c>
      <c r="K1153" s="3">
        <f>COUNTIFS(FieldDisagreements!D2:D999, A1153)</f>
        <v>0</v>
      </c>
      <c r="L1153" s="3" t="b">
        <f>K1153 &gt; 0</f>
        <v>0</v>
      </c>
      <c r="M1153" s="2" t="s">
        <v>2387</v>
      </c>
    </row>
    <row r="1154">
      <c r="A1154" s="2" t="s">
        <v>4250</v>
      </c>
      <c r="B1154" s="3" t="str">
        <f>C1154 &amp; "." &amp; D1154</f>
        <v>ExceptionInvocations.IsImproperlyApproved</v>
      </c>
      <c r="C1154" s="2" t="s">
        <v>4221</v>
      </c>
      <c r="D1154" s="2" t="s">
        <v>4251</v>
      </c>
      <c r="E1154" s="2" t="s">
        <v>2389</v>
      </c>
      <c r="F1154" s="2" t="s">
        <v>2401</v>
      </c>
      <c r="G1154" s="2" t="s">
        <v>4252</v>
      </c>
      <c r="H1154" s="2"/>
      <c r="I1154" s="3" t="b">
        <f>OR(E1154 = "calculated", E1154 = "lookup", E1154 = "aggregation")</f>
        <v>1</v>
      </c>
      <c r="J1154" s="3" t="b">
        <f>H1154 &lt;&gt; ""</f>
        <v>0</v>
      </c>
      <c r="K1154" s="3">
        <f>COUNTIFS(FieldDisagreements!D2:D999, A1154)</f>
        <v>0</v>
      </c>
      <c r="L1154" s="3" t="b">
        <f>K1154 &gt; 0</f>
        <v>0</v>
      </c>
      <c r="M1154" s="2" t="s">
        <v>2387</v>
      </c>
    </row>
    <row r="1155">
      <c r="A1155" s="2" t="s">
        <v>4253</v>
      </c>
      <c r="B1155" s="3" t="str">
        <f>C1155 &amp; "." &amp; D1155</f>
        <v>ExceptionInvocations.InvokerAgentKind</v>
      </c>
      <c r="C1155" s="2" t="s">
        <v>4221</v>
      </c>
      <c r="D1155" s="2" t="s">
        <v>4254</v>
      </c>
      <c r="E1155" s="2" t="s">
        <v>2478</v>
      </c>
      <c r="F1155" s="2" t="s">
        <v>2386</v>
      </c>
      <c r="G1155" s="2" t="s">
        <v>4255</v>
      </c>
      <c r="H1155" s="2" t="s">
        <v>1988</v>
      </c>
      <c r="I1155" s="3" t="b">
        <f>OR(E1155 = "calculated", E1155 = "lookup", E1155 = "aggregation")</f>
        <v>1</v>
      </c>
      <c r="J1155" s="3" t="b">
        <f>H1155 &lt;&gt; ""</f>
        <v>1</v>
      </c>
      <c r="K1155" s="3">
        <f>COUNTIFS(FieldDisagreements!D2:D999, A1155)</f>
        <v>0</v>
      </c>
      <c r="L1155" s="3" t="b">
        <f>K1155 &gt; 0</f>
        <v>0</v>
      </c>
      <c r="M1155" s="2" t="s">
        <v>2387</v>
      </c>
    </row>
    <row r="1156">
      <c r="A1156" s="2" t="s">
        <v>4256</v>
      </c>
      <c r="B1156" s="3" t="str">
        <f>C1156 &amp; "." &amp; D1156</f>
        <v>ExceptionInvocations.InvokerAlsoPreparedKey</v>
      </c>
      <c r="C1156" s="2" t="s">
        <v>4221</v>
      </c>
      <c r="D1156" s="2" t="s">
        <v>4257</v>
      </c>
      <c r="E1156" s="2" t="s">
        <v>2389</v>
      </c>
      <c r="F1156" s="2" t="s">
        <v>2386</v>
      </c>
      <c r="G1156" s="2" t="s">
        <v>4258</v>
      </c>
      <c r="H1156" s="2" t="s">
        <v>1988</v>
      </c>
      <c r="I1156" s="3" t="b">
        <f>OR(E1156 = "calculated", E1156 = "lookup", E1156 = "aggregation")</f>
        <v>1</v>
      </c>
      <c r="J1156" s="3" t="b">
        <f>H1156 &lt;&gt; ""</f>
        <v>1</v>
      </c>
      <c r="K1156" s="3">
        <f>COUNTIFS(FieldDisagreements!D2:D999, A1156)</f>
        <v>0</v>
      </c>
      <c r="L1156" s="3" t="b">
        <f>K1156 &gt; 0</f>
        <v>0</v>
      </c>
      <c r="M1156" s="2" t="s">
        <v>2387</v>
      </c>
    </row>
    <row r="1157">
      <c r="A1157" s="2" t="s">
        <v>4259</v>
      </c>
      <c r="B1157" s="3" t="str">
        <f>C1157 &amp; "." &amp; D1157</f>
        <v>ExceptionInvocations.ParentProcedureExecution</v>
      </c>
      <c r="C1157" s="2" t="s">
        <v>4221</v>
      </c>
      <c r="D1157" s="2" t="s">
        <v>1462</v>
      </c>
      <c r="E1157" s="2" t="s">
        <v>2478</v>
      </c>
      <c r="F1157" s="2" t="s">
        <v>2386</v>
      </c>
      <c r="G1157" s="2" t="s">
        <v>3737</v>
      </c>
      <c r="H1157" s="2" t="s">
        <v>1988</v>
      </c>
      <c r="I1157" s="3" t="b">
        <f>OR(E1157 = "calculated", E1157 = "lookup", E1157 = "aggregation")</f>
        <v>1</v>
      </c>
      <c r="J1157" s="3" t="b">
        <f>H1157 &lt;&gt; ""</f>
        <v>1</v>
      </c>
      <c r="K1157" s="3">
        <f>COUNTIFS(FieldDisagreements!D2:D999, A1157)</f>
        <v>0</v>
      </c>
      <c r="L1157" s="3" t="b">
        <f>K1157 &gt; 0</f>
        <v>0</v>
      </c>
      <c r="M1157" s="2" t="s">
        <v>2387</v>
      </c>
    </row>
    <row r="1158">
      <c r="A1158" s="2" t="s">
        <v>4260</v>
      </c>
      <c r="B1158" s="3" t="str">
        <f>C1158 &amp; "." &amp; D1158</f>
        <v>ExceptionInvocations.ApproverPreparedCount</v>
      </c>
      <c r="C1158" s="2" t="s">
        <v>4221</v>
      </c>
      <c r="D1158" s="2" t="s">
        <v>4261</v>
      </c>
      <c r="E1158" s="2" t="s">
        <v>2438</v>
      </c>
      <c r="F1158" s="2" t="s">
        <v>2444</v>
      </c>
      <c r="G1158" s="2" t="s">
        <v>4262</v>
      </c>
      <c r="H1158" s="2" t="s">
        <v>1988</v>
      </c>
      <c r="I1158" s="3" t="b">
        <f>OR(E1158 = "calculated", E1158 = "lookup", E1158 = "aggregation")</f>
        <v>1</v>
      </c>
      <c r="J1158" s="3" t="b">
        <f>H1158 &lt;&gt; ""</f>
        <v>1</v>
      </c>
      <c r="K1158" s="3">
        <f>COUNTIFS(FieldDisagreements!D2:D999, A1158)</f>
        <v>0</v>
      </c>
      <c r="L1158" s="3" t="b">
        <f>K1158 &gt; 0</f>
        <v>0</v>
      </c>
      <c r="M1158" s="2" t="s">
        <v>2387</v>
      </c>
    </row>
    <row r="1159">
      <c r="A1159" s="2" t="s">
        <v>4263</v>
      </c>
      <c r="B1159" s="3" t="str">
        <f>C1159 &amp; "." &amp; D1159</f>
        <v>ExceptionInvocations.DelegatedToPreparer</v>
      </c>
      <c r="C1159" s="2" t="s">
        <v>4221</v>
      </c>
      <c r="D1159" s="2" t="s">
        <v>4264</v>
      </c>
      <c r="E1159" s="2" t="s">
        <v>2389</v>
      </c>
      <c r="F1159" s="2" t="s">
        <v>2401</v>
      </c>
      <c r="G1159" s="2" t="s">
        <v>4265</v>
      </c>
      <c r="H1159" s="2" t="s">
        <v>1988</v>
      </c>
      <c r="I1159" s="3" t="b">
        <f>OR(E1159 = "calculated", E1159 = "lookup", E1159 = "aggregation")</f>
        <v>1</v>
      </c>
      <c r="J1159" s="3" t="b">
        <f>H1159 &lt;&gt; ""</f>
        <v>1</v>
      </c>
      <c r="K1159" s="3">
        <f>COUNTIFS(FieldDisagreements!D2:D999, A1159)</f>
        <v>0</v>
      </c>
      <c r="L1159" s="3" t="b">
        <f>K1159 &gt; 0</f>
        <v>0</v>
      </c>
      <c r="M1159" s="2" t="s">
        <v>2387</v>
      </c>
    </row>
    <row r="1160">
      <c r="A1160" s="2" t="s">
        <v>4266</v>
      </c>
      <c r="B1160" s="3" t="str">
        <f>C1160 &amp; "." &amp; D1160</f>
        <v>ExceptionInvocations.IsUngovernedInvocation</v>
      </c>
      <c r="C1160" s="2" t="s">
        <v>4221</v>
      </c>
      <c r="D1160" s="2" t="s">
        <v>4267</v>
      </c>
      <c r="E1160" s="2" t="s">
        <v>2389</v>
      </c>
      <c r="F1160" s="2" t="s">
        <v>2401</v>
      </c>
      <c r="G1160" s="2" t="s">
        <v>4268</v>
      </c>
      <c r="H1160" s="2" t="s">
        <v>1988</v>
      </c>
      <c r="I1160" s="3" t="b">
        <f>OR(E1160 = "calculated", E1160 = "lookup", E1160 = "aggregation")</f>
        <v>1</v>
      </c>
      <c r="J1160" s="3" t="b">
        <f>H1160 &lt;&gt; ""</f>
        <v>1</v>
      </c>
      <c r="K1160" s="3">
        <f>COUNTIFS(FieldDisagreements!D2:D999, A1160)</f>
        <v>0</v>
      </c>
      <c r="L1160" s="3" t="b">
        <f>K1160 &gt; 0</f>
        <v>0</v>
      </c>
      <c r="M1160" s="2" t="s">
        <v>2387</v>
      </c>
    </row>
    <row r="1161">
      <c r="A1161" s="2" t="s">
        <v>4269</v>
      </c>
      <c r="B1161" s="3" t="str">
        <f>C1161 &amp; "." &amp; D1161</f>
        <v>ExceptionInvocations.SemanticTypeIri</v>
      </c>
      <c r="C1161" s="2" t="s">
        <v>4221</v>
      </c>
      <c r="D1161" s="2" t="s">
        <v>94</v>
      </c>
      <c r="E1161" s="2" t="s">
        <v>2385</v>
      </c>
      <c r="F1161" s="2" t="s">
        <v>2386</v>
      </c>
      <c r="G1161" s="2"/>
      <c r="H1161" s="2"/>
      <c r="I1161" s="3" t="b">
        <f>OR(E1161 = "calculated", E1161 = "lookup", E1161 = "aggregation")</f>
        <v>0</v>
      </c>
      <c r="J1161" s="3" t="b">
        <f>H1161 &lt;&gt; ""</f>
        <v>0</v>
      </c>
      <c r="K1161" s="3">
        <f>COUNTIFS(FieldDisagreements!D2:D999, A1161)</f>
        <v>0</v>
      </c>
      <c r="L1161" s="3" t="b">
        <f>K1161 &gt; 0</f>
        <v>0</v>
      </c>
      <c r="M1161" s="2" t="s">
        <v>2387</v>
      </c>
    </row>
    <row r="1162">
      <c r="A1162" s="2" t="s">
        <v>4270</v>
      </c>
      <c r="B1162" s="3" t="str">
        <f>C1162 &amp; "." &amp; D1162</f>
        <v>VerificationOutcomes.VerificationOutcomeId</v>
      </c>
      <c r="C1162" s="2" t="s">
        <v>4271</v>
      </c>
      <c r="D1162" s="2" t="s">
        <v>4272</v>
      </c>
      <c r="E1162" s="2" t="s">
        <v>2385</v>
      </c>
      <c r="F1162" s="2" t="s">
        <v>2386</v>
      </c>
      <c r="G1162" s="2"/>
      <c r="H1162" s="2"/>
      <c r="I1162" s="3" t="b">
        <f>OR(E1162 = "calculated", E1162 = "lookup", E1162 = "aggregation")</f>
        <v>0</v>
      </c>
      <c r="J1162" s="3" t="b">
        <f>H1162 &lt;&gt; ""</f>
        <v>0</v>
      </c>
      <c r="K1162" s="3">
        <f>COUNTIFS(FieldDisagreements!D2:D999, A1162)</f>
        <v>0</v>
      </c>
      <c r="L1162" s="3" t="b">
        <f>K1162 &gt; 0</f>
        <v>0</v>
      </c>
      <c r="M1162" s="2" t="s">
        <v>2387</v>
      </c>
    </row>
    <row r="1163">
      <c r="A1163" s="2" t="s">
        <v>4273</v>
      </c>
      <c r="B1163" s="3" t="str">
        <f>C1163 &amp; "." &amp; D1163</f>
        <v>VerificationOutcomes.Name</v>
      </c>
      <c r="C1163" s="2" t="s">
        <v>4271</v>
      </c>
      <c r="D1163" s="2" t="s">
        <v>1</v>
      </c>
      <c r="E1163" s="2" t="s">
        <v>2389</v>
      </c>
      <c r="F1163" s="2" t="s">
        <v>2386</v>
      </c>
      <c r="G1163" s="2" t="s">
        <v>4274</v>
      </c>
      <c r="H1163" s="2"/>
      <c r="I1163" s="3" t="b">
        <f>OR(E1163 = "calculated", E1163 = "lookup", E1163 = "aggregation")</f>
        <v>1</v>
      </c>
      <c r="J1163" s="3" t="b">
        <f>H1163 &lt;&gt; ""</f>
        <v>0</v>
      </c>
      <c r="K1163" s="3">
        <f>COUNTIFS(FieldDisagreements!D2:D999, A1163)</f>
        <v>0</v>
      </c>
      <c r="L1163" s="3" t="b">
        <f>K1163 &gt; 0</f>
        <v>0</v>
      </c>
      <c r="M1163" s="2" t="s">
        <v>2387</v>
      </c>
    </row>
    <row r="1164">
      <c r="A1164" s="2" t="s">
        <v>4275</v>
      </c>
      <c r="B1164" s="3" t="str">
        <f>C1164 &amp; "." &amp; D1164</f>
        <v>VerificationOutcomes.StepExecution</v>
      </c>
      <c r="C1164" s="2" t="s">
        <v>4271</v>
      </c>
      <c r="D1164" s="2" t="s">
        <v>1447</v>
      </c>
      <c r="E1164" s="2" t="s">
        <v>2434</v>
      </c>
      <c r="F1164" s="2" t="s">
        <v>2386</v>
      </c>
      <c r="G1164" s="2"/>
      <c r="H1164" s="2"/>
      <c r="I1164" s="3" t="b">
        <f>OR(E1164 = "calculated", E1164 = "lookup", E1164 = "aggregation")</f>
        <v>0</v>
      </c>
      <c r="J1164" s="3" t="b">
        <f>H1164 &lt;&gt; ""</f>
        <v>0</v>
      </c>
      <c r="K1164" s="3">
        <f>COUNTIFS(FieldDisagreements!D2:D999, A1164)</f>
        <v>0</v>
      </c>
      <c r="L1164" s="3" t="b">
        <f>K1164 &gt; 0</f>
        <v>0</v>
      </c>
      <c r="M1164" s="2" t="s">
        <v>2387</v>
      </c>
    </row>
    <row r="1165">
      <c r="A1165" s="2" t="s">
        <v>4276</v>
      </c>
      <c r="B1165" s="3" t="str">
        <f>C1165 &amp; "." &amp; D1165</f>
        <v>VerificationOutcomes.StepVerification</v>
      </c>
      <c r="C1165" s="2" t="s">
        <v>4271</v>
      </c>
      <c r="D1165" s="2" t="s">
        <v>4277</v>
      </c>
      <c r="E1165" s="2" t="s">
        <v>2434</v>
      </c>
      <c r="F1165" s="2" t="s">
        <v>2386</v>
      </c>
      <c r="G1165" s="2"/>
      <c r="H1165" s="2"/>
      <c r="I1165" s="3" t="b">
        <f>OR(E1165 = "calculated", E1165 = "lookup", E1165 = "aggregation")</f>
        <v>0</v>
      </c>
      <c r="J1165" s="3" t="b">
        <f>H1165 &lt;&gt; ""</f>
        <v>0</v>
      </c>
      <c r="K1165" s="3">
        <f>COUNTIFS(FieldDisagreements!D2:D999, A1165)</f>
        <v>0</v>
      </c>
      <c r="L1165" s="3" t="b">
        <f>K1165 &gt; 0</f>
        <v>0</v>
      </c>
      <c r="M1165" s="2" t="s">
        <v>2387</v>
      </c>
    </row>
    <row r="1166">
      <c r="A1166" s="2" t="s">
        <v>4278</v>
      </c>
      <c r="B1166" s="3" t="str">
        <f>C1166 &amp; "." &amp; D1166</f>
        <v>VerificationOutcomes.ObservedSignalValue</v>
      </c>
      <c r="C1166" s="2" t="s">
        <v>4271</v>
      </c>
      <c r="D1166" s="2" t="s">
        <v>4279</v>
      </c>
      <c r="E1166" s="2" t="s">
        <v>2385</v>
      </c>
      <c r="F1166" s="2" t="s">
        <v>2386</v>
      </c>
      <c r="G1166" s="2"/>
      <c r="H1166" s="2"/>
      <c r="I1166" s="3" t="b">
        <f>OR(E1166 = "calculated", E1166 = "lookup", E1166 = "aggregation")</f>
        <v>0</v>
      </c>
      <c r="J1166" s="3" t="b">
        <f>H1166 &lt;&gt; ""</f>
        <v>0</v>
      </c>
      <c r="K1166" s="3">
        <f>COUNTIFS(FieldDisagreements!D2:D999, A1166)</f>
        <v>0</v>
      </c>
      <c r="L1166" s="3" t="b">
        <f>K1166 &gt; 0</f>
        <v>0</v>
      </c>
      <c r="M1166" s="2" t="s">
        <v>2387</v>
      </c>
    </row>
    <row r="1167">
      <c r="A1167" s="2" t="s">
        <v>4280</v>
      </c>
      <c r="B1167" s="3" t="str">
        <f>C1167 &amp; "." &amp; D1167</f>
        <v>VerificationOutcomes.ObservedByAgent</v>
      </c>
      <c r="C1167" s="2" t="s">
        <v>4271</v>
      </c>
      <c r="D1167" s="2" t="s">
        <v>4281</v>
      </c>
      <c r="E1167" s="2" t="s">
        <v>2434</v>
      </c>
      <c r="F1167" s="2" t="s">
        <v>2386</v>
      </c>
      <c r="G1167" s="2"/>
      <c r="H1167" s="2"/>
      <c r="I1167" s="3" t="b">
        <f>OR(E1167 = "calculated", E1167 = "lookup", E1167 = "aggregation")</f>
        <v>0</v>
      </c>
      <c r="J1167" s="3" t="b">
        <f>H1167 &lt;&gt; ""</f>
        <v>0</v>
      </c>
      <c r="K1167" s="3">
        <f>COUNTIFS(FieldDisagreements!D2:D999, A1167)</f>
        <v>0</v>
      </c>
      <c r="L1167" s="3" t="b">
        <f>K1167 &gt; 0</f>
        <v>0</v>
      </c>
      <c r="M1167" s="2" t="s">
        <v>2387</v>
      </c>
    </row>
    <row r="1168">
      <c r="A1168" s="2" t="s">
        <v>4282</v>
      </c>
      <c r="B1168" s="3" t="str">
        <f>C1168 &amp; "." &amp; D1168</f>
        <v>VerificationOutcomes.ObservedAt</v>
      </c>
      <c r="C1168" s="2" t="s">
        <v>4271</v>
      </c>
      <c r="D1168" s="2" t="s">
        <v>4283</v>
      </c>
      <c r="E1168" s="2" t="s">
        <v>2385</v>
      </c>
      <c r="F1168" s="2" t="s">
        <v>2397</v>
      </c>
      <c r="G1168" s="2"/>
      <c r="H1168" s="2"/>
      <c r="I1168" s="3" t="b">
        <f>OR(E1168 = "calculated", E1168 = "lookup", E1168 = "aggregation")</f>
        <v>0</v>
      </c>
      <c r="J1168" s="3" t="b">
        <f>H1168 &lt;&gt; ""</f>
        <v>0</v>
      </c>
      <c r="K1168" s="3">
        <f>COUNTIFS(FieldDisagreements!D2:D999, A1168)</f>
        <v>0</v>
      </c>
      <c r="L1168" s="3" t="b">
        <f>K1168 &gt; 0</f>
        <v>0</v>
      </c>
      <c r="M1168" s="2" t="s">
        <v>2387</v>
      </c>
    </row>
    <row r="1169">
      <c r="A1169" s="2" t="s">
        <v>4284</v>
      </c>
      <c r="B1169" s="3" t="str">
        <f>C1169 &amp; "." &amp; D1169</f>
        <v>VerificationOutcomes.EvidenceUri</v>
      </c>
      <c r="C1169" s="2" t="s">
        <v>4271</v>
      </c>
      <c r="D1169" s="2" t="s">
        <v>4285</v>
      </c>
      <c r="E1169" s="2" t="s">
        <v>2385</v>
      </c>
      <c r="F1169" s="2" t="s">
        <v>2386</v>
      </c>
      <c r="G1169" s="2"/>
      <c r="H1169" s="2"/>
      <c r="I1169" s="3" t="b">
        <f>OR(E1169 = "calculated", E1169 = "lookup", E1169 = "aggregation")</f>
        <v>0</v>
      </c>
      <c r="J1169" s="3" t="b">
        <f>H1169 &lt;&gt; ""</f>
        <v>0</v>
      </c>
      <c r="K1169" s="3">
        <f>COUNTIFS(FieldDisagreements!D2:D999, A1169)</f>
        <v>0</v>
      </c>
      <c r="L1169" s="3" t="b">
        <f>K1169 &gt; 0</f>
        <v>0</v>
      </c>
      <c r="M1169" s="2" t="s">
        <v>2387</v>
      </c>
    </row>
    <row r="1170">
      <c r="A1170" s="2" t="s">
        <v>4286</v>
      </c>
      <c r="B1170" s="3" t="str">
        <f>C1170 &amp; "." &amp; D1170</f>
        <v>VerificationOutcomes.ExpectedSignalValue</v>
      </c>
      <c r="C1170" s="2" t="s">
        <v>4271</v>
      </c>
      <c r="D1170" s="2" t="s">
        <v>922</v>
      </c>
      <c r="E1170" s="2" t="s">
        <v>2478</v>
      </c>
      <c r="F1170" s="2" t="s">
        <v>2386</v>
      </c>
      <c r="G1170" s="2" t="s">
        <v>4287</v>
      </c>
      <c r="H1170" s="2"/>
      <c r="I1170" s="3" t="b">
        <f>OR(E1170 = "calculated", E1170 = "lookup", E1170 = "aggregation")</f>
        <v>1</v>
      </c>
      <c r="J1170" s="3" t="b">
        <f>H1170 &lt;&gt; ""</f>
        <v>0</v>
      </c>
      <c r="K1170" s="3">
        <f>COUNTIFS(FieldDisagreements!D2:D999, A1170)</f>
        <v>0</v>
      </c>
      <c r="L1170" s="3" t="b">
        <f>K1170 &gt; 0</f>
        <v>0</v>
      </c>
      <c r="M1170" s="2" t="s">
        <v>2387</v>
      </c>
    </row>
    <row r="1171">
      <c r="A1171" s="2" t="s">
        <v>4288</v>
      </c>
      <c r="B1171" s="3" t="str">
        <f>C1171 &amp; "." &amp; D1171</f>
        <v>VerificationOutcomes.SignalIdentifier</v>
      </c>
      <c r="C1171" s="2" t="s">
        <v>4271</v>
      </c>
      <c r="D1171" s="2" t="s">
        <v>921</v>
      </c>
      <c r="E1171" s="2" t="s">
        <v>2478</v>
      </c>
      <c r="F1171" s="2" t="s">
        <v>2386</v>
      </c>
      <c r="G1171" s="2" t="s">
        <v>4289</v>
      </c>
      <c r="H1171" s="2"/>
      <c r="I1171" s="3" t="b">
        <f>OR(E1171 = "calculated", E1171 = "lookup", E1171 = "aggregation")</f>
        <v>1</v>
      </c>
      <c r="J1171" s="3" t="b">
        <f>H1171 &lt;&gt; ""</f>
        <v>0</v>
      </c>
      <c r="K1171" s="3">
        <f>COUNTIFS(FieldDisagreements!D2:D999, A1171)</f>
        <v>0</v>
      </c>
      <c r="L1171" s="3" t="b">
        <f>K1171 &gt; 0</f>
        <v>0</v>
      </c>
      <c r="M1171" s="2" t="s">
        <v>2387</v>
      </c>
    </row>
    <row r="1172">
      <c r="A1172" s="2" t="s">
        <v>824</v>
      </c>
      <c r="B1172" s="3" t="str">
        <f>C1172 &amp; "." &amp; D1172</f>
        <v>VerificationOutcomes.SignalMatchesExpected</v>
      </c>
      <c r="C1172" s="2" t="s">
        <v>4271</v>
      </c>
      <c r="D1172" s="2" t="s">
        <v>4290</v>
      </c>
      <c r="E1172" s="2" t="s">
        <v>2389</v>
      </c>
      <c r="F1172" s="2" t="s">
        <v>2401</v>
      </c>
      <c r="G1172" s="2" t="s">
        <v>4291</v>
      </c>
      <c r="H1172" s="2"/>
      <c r="I1172" s="3" t="b">
        <f>OR(E1172 = "calculated", E1172 = "lookup", E1172 = "aggregation")</f>
        <v>1</v>
      </c>
      <c r="J1172" s="3" t="b">
        <f>H1172 &lt;&gt; ""</f>
        <v>0</v>
      </c>
      <c r="K1172" s="3">
        <f>COUNTIFS(FieldDisagreements!D2:D999, A1172)</f>
        <v>0</v>
      </c>
      <c r="L1172" s="3" t="b">
        <f>K1172 &gt; 0</f>
        <v>0</v>
      </c>
      <c r="M1172" s="2" t="s">
        <v>2387</v>
      </c>
    </row>
    <row r="1173">
      <c r="A1173" s="2" t="s">
        <v>4292</v>
      </c>
      <c r="B1173" s="3" t="str">
        <f>C1173 &amp; "." &amp; D1173</f>
        <v>VerificationOutcomes.HasEvidence</v>
      </c>
      <c r="C1173" s="2" t="s">
        <v>4271</v>
      </c>
      <c r="D1173" s="2" t="s">
        <v>4293</v>
      </c>
      <c r="E1173" s="2" t="s">
        <v>2389</v>
      </c>
      <c r="F1173" s="2" t="s">
        <v>2401</v>
      </c>
      <c r="G1173" s="2" t="s">
        <v>4294</v>
      </c>
      <c r="H1173" s="2"/>
      <c r="I1173" s="3" t="b">
        <f>OR(E1173 = "calculated", E1173 = "lookup", E1173 = "aggregation")</f>
        <v>1</v>
      </c>
      <c r="J1173" s="3" t="b">
        <f>H1173 &lt;&gt; ""</f>
        <v>0</v>
      </c>
      <c r="K1173" s="3">
        <f>COUNTIFS(FieldDisagreements!D2:D999, A1173)</f>
        <v>0</v>
      </c>
      <c r="L1173" s="3" t="b">
        <f>K1173 &gt; 0</f>
        <v>0</v>
      </c>
      <c r="M1173" s="2" t="s">
        <v>2387</v>
      </c>
    </row>
    <row r="1174">
      <c r="A1174" s="2" t="s">
        <v>831</v>
      </c>
      <c r="B1174" s="3" t="str">
        <f>C1174 &amp; "." &amp; D1174</f>
        <v>VerificationOutcomes.IsUnbackedObservation</v>
      </c>
      <c r="C1174" s="2" t="s">
        <v>4271</v>
      </c>
      <c r="D1174" s="2" t="s">
        <v>4295</v>
      </c>
      <c r="E1174" s="2" t="s">
        <v>2389</v>
      </c>
      <c r="F1174" s="2" t="s">
        <v>2401</v>
      </c>
      <c r="G1174" s="2" t="s">
        <v>4296</v>
      </c>
      <c r="H1174" s="2"/>
      <c r="I1174" s="3" t="b">
        <f>OR(E1174 = "calculated", E1174 = "lookup", E1174 = "aggregation")</f>
        <v>1</v>
      </c>
      <c r="J1174" s="3" t="b">
        <f>H1174 &lt;&gt; ""</f>
        <v>0</v>
      </c>
      <c r="K1174" s="3">
        <f>COUNTIFS(FieldDisagreements!D2:D999, A1174)</f>
        <v>0</v>
      </c>
      <c r="L1174" s="3" t="b">
        <f>K1174 &gt; 0</f>
        <v>0</v>
      </c>
      <c r="M1174" s="2" t="s">
        <v>2387</v>
      </c>
    </row>
    <row r="1175">
      <c r="A1175" s="2" t="s">
        <v>4297</v>
      </c>
      <c r="B1175" s="3" t="str">
        <f>C1175 &amp; "." &amp; D1175</f>
        <v>VerificationOutcomes.IsSelfWitnessed</v>
      </c>
      <c r="C1175" s="2" t="s">
        <v>4271</v>
      </c>
      <c r="D1175" s="2" t="s">
        <v>4298</v>
      </c>
      <c r="E1175" s="2" t="s">
        <v>2389</v>
      </c>
      <c r="F1175" s="2" t="s">
        <v>2401</v>
      </c>
      <c r="G1175" s="2" t="s">
        <v>4299</v>
      </c>
      <c r="H1175" s="2" t="s">
        <v>1984</v>
      </c>
      <c r="I1175" s="3" t="b">
        <f>OR(E1175 = "calculated", E1175 = "lookup", E1175 = "aggregation")</f>
        <v>1</v>
      </c>
      <c r="J1175" s="3" t="b">
        <f>H1175 &lt;&gt; ""</f>
        <v>1</v>
      </c>
      <c r="K1175" s="3">
        <f>COUNTIFS(FieldDisagreements!D2:D999, A1175)</f>
        <v>0</v>
      </c>
      <c r="L1175" s="3" t="b">
        <f>K1175 &gt; 0</f>
        <v>0</v>
      </c>
      <c r="M1175" s="2" t="s">
        <v>2387</v>
      </c>
    </row>
    <row r="1176">
      <c r="A1176" s="2" t="s">
        <v>4300</v>
      </c>
      <c r="B1176" s="3" t="str">
        <f>C1176 &amp; "." &amp; D1176</f>
        <v>VerificationOutcomes.StepExecutorAgent</v>
      </c>
      <c r="C1176" s="2" t="s">
        <v>4271</v>
      </c>
      <c r="D1176" s="2" t="s">
        <v>1484</v>
      </c>
      <c r="E1176" s="2" t="s">
        <v>2478</v>
      </c>
      <c r="F1176" s="2" t="s">
        <v>2386</v>
      </c>
      <c r="G1176" s="2" t="s">
        <v>3760</v>
      </c>
      <c r="H1176" s="2" t="s">
        <v>1984</v>
      </c>
      <c r="I1176" s="3" t="b">
        <f>OR(E1176 = "calculated", E1176 = "lookup", E1176 = "aggregation")</f>
        <v>1</v>
      </c>
      <c r="J1176" s="3" t="b">
        <f>H1176 &lt;&gt; ""</f>
        <v>1</v>
      </c>
      <c r="K1176" s="3">
        <f>COUNTIFS(FieldDisagreements!D2:D999, A1176)</f>
        <v>0</v>
      </c>
      <c r="L1176" s="3" t="b">
        <f>K1176 &gt; 0</f>
        <v>0</v>
      </c>
      <c r="M1176" s="2" t="s">
        <v>2387</v>
      </c>
    </row>
    <row r="1177">
      <c r="A1177" s="2" t="s">
        <v>4301</v>
      </c>
      <c r="B1177" s="3" t="str">
        <f>C1177 &amp; "." &amp; D1177</f>
        <v>VerificationOutcomes.SelfWitnessedStepKey</v>
      </c>
      <c r="C1177" s="2" t="s">
        <v>4271</v>
      </c>
      <c r="D1177" s="2" t="s">
        <v>4302</v>
      </c>
      <c r="E1177" s="2" t="s">
        <v>2389</v>
      </c>
      <c r="F1177" s="2" t="s">
        <v>2386</v>
      </c>
      <c r="G1177" s="2" t="s">
        <v>4303</v>
      </c>
      <c r="H1177" s="2" t="s">
        <v>1984</v>
      </c>
      <c r="I1177" s="3" t="b">
        <f>OR(E1177 = "calculated", E1177 = "lookup", E1177 = "aggregation")</f>
        <v>1</v>
      </c>
      <c r="J1177" s="3" t="b">
        <f>H1177 &lt;&gt; ""</f>
        <v>1</v>
      </c>
      <c r="K1177" s="3">
        <f>COUNTIFS(FieldDisagreements!D2:D999, A1177)</f>
        <v>0</v>
      </c>
      <c r="L1177" s="3" t="b">
        <f>K1177 &gt; 0</f>
        <v>0</v>
      </c>
      <c r="M1177" s="2" t="s">
        <v>2387</v>
      </c>
    </row>
    <row r="1178">
      <c r="A1178" s="2" t="s">
        <v>4304</v>
      </c>
      <c r="B1178" s="3" t="str">
        <f>C1178 &amp; "." &amp; D1178</f>
        <v>VerificationOutcomes.UnbackedStepKey</v>
      </c>
      <c r="C1178" s="2" t="s">
        <v>4271</v>
      </c>
      <c r="D1178" s="2" t="s">
        <v>4305</v>
      </c>
      <c r="E1178" s="2" t="s">
        <v>2389</v>
      </c>
      <c r="F1178" s="2" t="s">
        <v>2386</v>
      </c>
      <c r="G1178" s="2" t="s">
        <v>4306</v>
      </c>
      <c r="H1178" s="2" t="s">
        <v>1984</v>
      </c>
      <c r="I1178" s="3" t="b">
        <f>OR(E1178 = "calculated", E1178 = "lookup", E1178 = "aggregation")</f>
        <v>1</v>
      </c>
      <c r="J1178" s="3" t="b">
        <f>H1178 &lt;&gt; ""</f>
        <v>1</v>
      </c>
      <c r="K1178" s="3">
        <f>COUNTIFS(FieldDisagreements!D2:D999, A1178)</f>
        <v>0</v>
      </c>
      <c r="L1178" s="3" t="b">
        <f>K1178 &gt; 0</f>
        <v>0</v>
      </c>
      <c r="M1178" s="2" t="s">
        <v>2387</v>
      </c>
    </row>
    <row r="1179">
      <c r="A1179" s="2" t="s">
        <v>4307</v>
      </c>
      <c r="B1179" s="3" t="str">
        <f>C1179 &amp; "." &amp; D1179</f>
        <v>VerificationOutcomes.IsSelfWitnessedAndUnbacked</v>
      </c>
      <c r="C1179" s="2" t="s">
        <v>4271</v>
      </c>
      <c r="D1179" s="2" t="s">
        <v>4308</v>
      </c>
      <c r="E1179" s="2" t="s">
        <v>2389</v>
      </c>
      <c r="F1179" s="2" t="s">
        <v>2401</v>
      </c>
      <c r="G1179" s="2" t="s">
        <v>4309</v>
      </c>
      <c r="H1179" s="2" t="s">
        <v>2252</v>
      </c>
      <c r="I1179" s="3" t="b">
        <f>OR(E1179 = "calculated", E1179 = "lookup", E1179 = "aggregation")</f>
        <v>1</v>
      </c>
      <c r="J1179" s="3" t="b">
        <f>H1179 &lt;&gt; ""</f>
        <v>1</v>
      </c>
      <c r="K1179" s="3">
        <f>COUNTIFS(FieldDisagreements!D2:D999, A1179)</f>
        <v>0</v>
      </c>
      <c r="L1179" s="3" t="b">
        <f>K1179 &gt; 0</f>
        <v>0</v>
      </c>
      <c r="M1179" s="2" t="s">
        <v>2387</v>
      </c>
    </row>
    <row r="1180">
      <c r="A1180" s="2" t="s">
        <v>4310</v>
      </c>
      <c r="B1180" s="3" t="str">
        <f>C1180 &amp; "." &amp; D1180</f>
        <v>VerificationOutcomes.IsUncorroboratedPass</v>
      </c>
      <c r="C1180" s="2" t="s">
        <v>4271</v>
      </c>
      <c r="D1180" s="2" t="s">
        <v>4311</v>
      </c>
      <c r="E1180" s="2" t="s">
        <v>2389</v>
      </c>
      <c r="F1180" s="2" t="s">
        <v>2401</v>
      </c>
      <c r="G1180" s="2" t="s">
        <v>4312</v>
      </c>
      <c r="H1180" s="2" t="s">
        <v>2252</v>
      </c>
      <c r="I1180" s="3" t="b">
        <f>OR(E1180 = "calculated", E1180 = "lookup", E1180 = "aggregation")</f>
        <v>1</v>
      </c>
      <c r="J1180" s="3" t="b">
        <f>H1180 &lt;&gt; ""</f>
        <v>1</v>
      </c>
      <c r="K1180" s="3">
        <f>COUNTIFS(FieldDisagreements!D2:D999, A1180)</f>
        <v>0</v>
      </c>
      <c r="L1180" s="3" t="b">
        <f>K1180 &gt; 0</f>
        <v>0</v>
      </c>
      <c r="M1180" s="2" t="s">
        <v>2387</v>
      </c>
    </row>
    <row r="1181">
      <c r="A1181" s="2" t="s">
        <v>4313</v>
      </c>
      <c r="B1181" s="3" t="str">
        <f>C1181 &amp; "." &amp; D1181</f>
        <v>VerificationOutcomes.UncorroboratedPassStepKey</v>
      </c>
      <c r="C1181" s="2" t="s">
        <v>4271</v>
      </c>
      <c r="D1181" s="2" t="s">
        <v>4314</v>
      </c>
      <c r="E1181" s="2" t="s">
        <v>2389</v>
      </c>
      <c r="F1181" s="2" t="s">
        <v>2386</v>
      </c>
      <c r="G1181" s="2" t="s">
        <v>4315</v>
      </c>
      <c r="H1181" s="2" t="s">
        <v>2252</v>
      </c>
      <c r="I1181" s="3" t="b">
        <f>OR(E1181 = "calculated", E1181 = "lookup", E1181 = "aggregation")</f>
        <v>1</v>
      </c>
      <c r="J1181" s="3" t="b">
        <f>H1181 &lt;&gt; ""</f>
        <v>1</v>
      </c>
      <c r="K1181" s="3">
        <f>COUNTIFS(FieldDisagreements!D2:D999, A1181)</f>
        <v>0</v>
      </c>
      <c r="L1181" s="3" t="b">
        <f>K1181 &gt; 0</f>
        <v>0</v>
      </c>
      <c r="M1181" s="2" t="s">
        <v>2387</v>
      </c>
    </row>
    <row r="1182">
      <c r="A1182" s="2" t="s">
        <v>4316</v>
      </c>
      <c r="B1182" s="3" t="str">
        <f>C1182 &amp; "." &amp; D1182</f>
        <v>VerificationOutcomes.ObserverIsNonHuman</v>
      </c>
      <c r="C1182" s="2" t="s">
        <v>4271</v>
      </c>
      <c r="D1182" s="2" t="s">
        <v>4317</v>
      </c>
      <c r="E1182" s="2" t="s">
        <v>2478</v>
      </c>
      <c r="F1182" s="2" t="s">
        <v>2401</v>
      </c>
      <c r="G1182" s="2" t="s">
        <v>4318</v>
      </c>
      <c r="H1182" s="2" t="s">
        <v>2252</v>
      </c>
      <c r="I1182" s="3" t="b">
        <f>OR(E1182 = "calculated", E1182 = "lookup", E1182 = "aggregation")</f>
        <v>1</v>
      </c>
      <c r="J1182" s="3" t="b">
        <f>H1182 &lt;&gt; ""</f>
        <v>1</v>
      </c>
      <c r="K1182" s="3">
        <f>COUNTIFS(FieldDisagreements!D2:D999, A1182)</f>
        <v>0</v>
      </c>
      <c r="L1182" s="3" t="b">
        <f>K1182 &gt; 0</f>
        <v>0</v>
      </c>
      <c r="M1182" s="2" t="s">
        <v>2387</v>
      </c>
    </row>
    <row r="1183">
      <c r="A1183" s="2" t="s">
        <v>4319</v>
      </c>
      <c r="B1183" s="3" t="str">
        <f>C1183 &amp; "." &amp; D1183</f>
        <v>VerificationOutcomes.ObserverIsIndependentOfExecutor</v>
      </c>
      <c r="C1183" s="2" t="s">
        <v>4271</v>
      </c>
      <c r="D1183" s="2" t="s">
        <v>4320</v>
      </c>
      <c r="E1183" s="2" t="s">
        <v>2389</v>
      </c>
      <c r="F1183" s="2" t="s">
        <v>2401</v>
      </c>
      <c r="G1183" s="2" t="s">
        <v>4321</v>
      </c>
      <c r="H1183" s="2" t="s">
        <v>2252</v>
      </c>
      <c r="I1183" s="3" t="b">
        <f>OR(E1183 = "calculated", E1183 = "lookup", E1183 = "aggregation")</f>
        <v>1</v>
      </c>
      <c r="J1183" s="3" t="b">
        <f>H1183 &lt;&gt; ""</f>
        <v>1</v>
      </c>
      <c r="K1183" s="3">
        <f>COUNTIFS(FieldDisagreements!D2:D999, A1183)</f>
        <v>0</v>
      </c>
      <c r="L1183" s="3" t="b">
        <f>K1183 &gt; 0</f>
        <v>0</v>
      </c>
      <c r="M1183" s="2" t="s">
        <v>2387</v>
      </c>
    </row>
    <row r="1184">
      <c r="A1184" s="2" t="s">
        <v>4322</v>
      </c>
      <c r="B1184" s="3" t="str">
        <f>C1184 &amp; "." &amp; D1184</f>
        <v>VerificationOutcomes.IsIndependentHumanObservation</v>
      </c>
      <c r="C1184" s="2" t="s">
        <v>4271</v>
      </c>
      <c r="D1184" s="2" t="s">
        <v>4323</v>
      </c>
      <c r="E1184" s="2" t="s">
        <v>2389</v>
      </c>
      <c r="F1184" s="2" t="s">
        <v>2401</v>
      </c>
      <c r="G1184" s="2" t="s">
        <v>4324</v>
      </c>
      <c r="H1184" s="2" t="s">
        <v>2284</v>
      </c>
      <c r="I1184" s="3" t="b">
        <f>OR(E1184 = "calculated", E1184 = "lookup", E1184 = "aggregation")</f>
        <v>1</v>
      </c>
      <c r="J1184" s="3" t="b">
        <f>H1184 &lt;&gt; ""</f>
        <v>1</v>
      </c>
      <c r="K1184" s="3">
        <f>COUNTIFS(FieldDisagreements!D2:D999, A1184)</f>
        <v>0</v>
      </c>
      <c r="L1184" s="3" t="b">
        <f>K1184 &gt; 0</f>
        <v>0</v>
      </c>
      <c r="M1184" s="2" t="s">
        <v>2387</v>
      </c>
    </row>
    <row r="1185">
      <c r="A1185" s="2" t="s">
        <v>4325</v>
      </c>
      <c r="B1185" s="3" t="str">
        <f>C1185 &amp; "." &amp; D1185</f>
        <v>VerificationOutcomes.IndependentObservationExecutionKey</v>
      </c>
      <c r="C1185" s="2" t="s">
        <v>4271</v>
      </c>
      <c r="D1185" s="2" t="s">
        <v>4326</v>
      </c>
      <c r="E1185" s="2" t="s">
        <v>2389</v>
      </c>
      <c r="F1185" s="2" t="s">
        <v>2386</v>
      </c>
      <c r="G1185" s="2" t="s">
        <v>4327</v>
      </c>
      <c r="H1185" s="2" t="s">
        <v>2284</v>
      </c>
      <c r="I1185" s="3" t="b">
        <f>OR(E1185 = "calculated", E1185 = "lookup", E1185 = "aggregation")</f>
        <v>1</v>
      </c>
      <c r="J1185" s="3" t="b">
        <f>H1185 &lt;&gt; ""</f>
        <v>1</v>
      </c>
      <c r="K1185" s="3">
        <f>COUNTIFS(FieldDisagreements!D2:D999, A1185)</f>
        <v>0</v>
      </c>
      <c r="L1185" s="3" t="b">
        <f>K1185 &gt; 0</f>
        <v>0</v>
      </c>
      <c r="M1185" s="2" t="s">
        <v>2387</v>
      </c>
    </row>
    <row r="1186">
      <c r="A1186" s="2" t="s">
        <v>4328</v>
      </c>
      <c r="B1186" s="3" t="str">
        <f>C1186 &amp; "." &amp; D1186</f>
        <v>VerificationOutcomes.ParentProcedureExecutionOfOutcome</v>
      </c>
      <c r="C1186" s="2" t="s">
        <v>4271</v>
      </c>
      <c r="D1186" s="2" t="s">
        <v>4329</v>
      </c>
      <c r="E1186" s="2" t="s">
        <v>2478</v>
      </c>
      <c r="F1186" s="2" t="s">
        <v>2386</v>
      </c>
      <c r="G1186" s="2" t="s">
        <v>3737</v>
      </c>
      <c r="H1186" s="2" t="s">
        <v>2284</v>
      </c>
      <c r="I1186" s="3" t="b">
        <f>OR(E1186 = "calculated", E1186 = "lookup", E1186 = "aggregation")</f>
        <v>1</v>
      </c>
      <c r="J1186" s="3" t="b">
        <f>H1186 &lt;&gt; ""</f>
        <v>1</v>
      </c>
      <c r="K1186" s="3">
        <f>COUNTIFS(FieldDisagreements!D2:D999, A1186)</f>
        <v>0</v>
      </c>
      <c r="L1186" s="3" t="b">
        <f>K1186 &gt; 0</f>
        <v>0</v>
      </c>
      <c r="M1186" s="2" t="s">
        <v>2387</v>
      </c>
    </row>
    <row r="1187">
      <c r="A1187" s="2" t="s">
        <v>4330</v>
      </c>
      <c r="B1187" s="3" t="str">
        <f>C1187 &amp; "." &amp; D1187</f>
        <v>VerificationOutcomes.SemanticTypeIri</v>
      </c>
      <c r="C1187" s="2" t="s">
        <v>4271</v>
      </c>
      <c r="D1187" s="2" t="s">
        <v>94</v>
      </c>
      <c r="E1187" s="2" t="s">
        <v>2385</v>
      </c>
      <c r="F1187" s="2" t="s">
        <v>2386</v>
      </c>
      <c r="G1187" s="2"/>
      <c r="H1187" s="2"/>
      <c r="I1187" s="3" t="b">
        <f>OR(E1187 = "calculated", E1187 = "lookup", E1187 = "aggregation")</f>
        <v>0</v>
      </c>
      <c r="J1187" s="3" t="b">
        <f>H1187 &lt;&gt; ""</f>
        <v>0</v>
      </c>
      <c r="K1187" s="3">
        <f>COUNTIFS(FieldDisagreements!D2:D999, A1187)</f>
        <v>0</v>
      </c>
      <c r="L1187" s="3" t="b">
        <f>K1187 &gt; 0</f>
        <v>0</v>
      </c>
      <c r="M1187" s="2" t="s">
        <v>2387</v>
      </c>
    </row>
    <row r="1188">
      <c r="A1188" s="2" t="s">
        <v>4331</v>
      </c>
      <c r="B1188" s="3" t="str">
        <f>C1188 &amp; "." &amp; D1188</f>
        <v>ObservedTransitions.ObservedTransitionId</v>
      </c>
      <c r="C1188" s="2" t="s">
        <v>4332</v>
      </c>
      <c r="D1188" s="2" t="s">
        <v>4333</v>
      </c>
      <c r="E1188" s="2" t="s">
        <v>2385</v>
      </c>
      <c r="F1188" s="2" t="s">
        <v>2386</v>
      </c>
      <c r="G1188" s="2"/>
      <c r="H1188" s="2"/>
      <c r="I1188" s="3" t="b">
        <f>OR(E1188 = "calculated", E1188 = "lookup", E1188 = "aggregation")</f>
        <v>0</v>
      </c>
      <c r="J1188" s="3" t="b">
        <f>H1188 &lt;&gt; ""</f>
        <v>0</v>
      </c>
      <c r="K1188" s="3">
        <f>COUNTIFS(FieldDisagreements!D2:D999, A1188)</f>
        <v>0</v>
      </c>
      <c r="L1188" s="3" t="b">
        <f>K1188 &gt; 0</f>
        <v>0</v>
      </c>
      <c r="M1188" s="2" t="s">
        <v>2387</v>
      </c>
    </row>
    <row r="1189">
      <c r="A1189" s="2" t="s">
        <v>4334</v>
      </c>
      <c r="B1189" s="3" t="str">
        <f>C1189 &amp; "." &amp; D1189</f>
        <v>ObservedTransitions.Name</v>
      </c>
      <c r="C1189" s="2" t="s">
        <v>4332</v>
      </c>
      <c r="D1189" s="2" t="s">
        <v>1</v>
      </c>
      <c r="E1189" s="2" t="s">
        <v>2389</v>
      </c>
      <c r="F1189" s="2" t="s">
        <v>2386</v>
      </c>
      <c r="G1189" s="2" t="s">
        <v>4335</v>
      </c>
      <c r="H1189" s="2"/>
      <c r="I1189" s="3" t="b">
        <f>OR(E1189 = "calculated", E1189 = "lookup", E1189 = "aggregation")</f>
        <v>1</v>
      </c>
      <c r="J1189" s="3" t="b">
        <f>H1189 &lt;&gt; ""</f>
        <v>0</v>
      </c>
      <c r="K1189" s="3">
        <f>COUNTIFS(FieldDisagreements!D2:D999, A1189)</f>
        <v>6</v>
      </c>
      <c r="L1189" s="3" t="b">
        <f>K1189 &gt; 0</f>
        <v>1</v>
      </c>
      <c r="M1189" s="2" t="s">
        <v>2387</v>
      </c>
    </row>
    <row r="1190">
      <c r="A1190" s="2" t="s">
        <v>4336</v>
      </c>
      <c r="B1190" s="3" t="str">
        <f>C1190 &amp; "." &amp; D1190</f>
        <v>ObservedTransitions.ProcedureExecution</v>
      </c>
      <c r="C1190" s="2" t="s">
        <v>4332</v>
      </c>
      <c r="D1190" s="2" t="s">
        <v>1329</v>
      </c>
      <c r="E1190" s="2" t="s">
        <v>2434</v>
      </c>
      <c r="F1190" s="2" t="s">
        <v>2386</v>
      </c>
      <c r="G1190" s="2"/>
      <c r="H1190" s="2"/>
      <c r="I1190" s="3" t="b">
        <f>OR(E1190 = "calculated", E1190 = "lookup", E1190 = "aggregation")</f>
        <v>0</v>
      </c>
      <c r="J1190" s="3" t="b">
        <f>H1190 &lt;&gt; ""</f>
        <v>0</v>
      </c>
      <c r="K1190" s="3">
        <f>COUNTIFS(FieldDisagreements!D2:D999, A1190)</f>
        <v>0</v>
      </c>
      <c r="L1190" s="3" t="b">
        <f>K1190 &gt; 0</f>
        <v>0</v>
      </c>
      <c r="M1190" s="2" t="s">
        <v>2387</v>
      </c>
    </row>
    <row r="1191">
      <c r="A1191" s="2" t="s">
        <v>4337</v>
      </c>
      <c r="B1191" s="3" t="str">
        <f>C1191 &amp; "." &amp; D1191</f>
        <v>ObservedTransitions.StepTransition</v>
      </c>
      <c r="C1191" s="2" t="s">
        <v>4332</v>
      </c>
      <c r="D1191" s="2" t="s">
        <v>4338</v>
      </c>
      <c r="E1191" s="2" t="s">
        <v>2434</v>
      </c>
      <c r="F1191" s="2" t="s">
        <v>2386</v>
      </c>
      <c r="G1191" s="2"/>
      <c r="H1191" s="2"/>
      <c r="I1191" s="3" t="b">
        <f>OR(E1191 = "calculated", E1191 = "lookup", E1191 = "aggregation")</f>
        <v>0</v>
      </c>
      <c r="J1191" s="3" t="b">
        <f>H1191 &lt;&gt; ""</f>
        <v>0</v>
      </c>
      <c r="K1191" s="3">
        <f>COUNTIFS(FieldDisagreements!D2:D999, A1191)</f>
        <v>0</v>
      </c>
      <c r="L1191" s="3" t="b">
        <f>K1191 &gt; 0</f>
        <v>0</v>
      </c>
      <c r="M1191" s="2" t="s">
        <v>2387</v>
      </c>
    </row>
    <row r="1192">
      <c r="A1192" s="2" t="s">
        <v>4339</v>
      </c>
      <c r="B1192" s="3" t="str">
        <f>C1192 &amp; "." &amp; D1192</f>
        <v>ObservedTransitions.ArrivingStepExecution</v>
      </c>
      <c r="C1192" s="2" t="s">
        <v>4332</v>
      </c>
      <c r="D1192" s="2" t="s">
        <v>4340</v>
      </c>
      <c r="E1192" s="2" t="s">
        <v>2434</v>
      </c>
      <c r="F1192" s="2" t="s">
        <v>2386</v>
      </c>
      <c r="G1192" s="2"/>
      <c r="H1192" s="2"/>
      <c r="I1192" s="3" t="b">
        <f>OR(E1192 = "calculated", E1192 = "lookup", E1192 = "aggregation")</f>
        <v>0</v>
      </c>
      <c r="J1192" s="3" t="b">
        <f>H1192 &lt;&gt; ""</f>
        <v>0</v>
      </c>
      <c r="K1192" s="3">
        <f>COUNTIFS(FieldDisagreements!D2:D999, A1192)</f>
        <v>0</v>
      </c>
      <c r="L1192" s="3" t="b">
        <f>K1192 &gt; 0</f>
        <v>0</v>
      </c>
      <c r="M1192" s="2" t="s">
        <v>2387</v>
      </c>
    </row>
    <row r="1193">
      <c r="A1193" s="2" t="s">
        <v>4341</v>
      </c>
      <c r="B1193" s="3" t="str">
        <f>C1193 &amp; "." &amp; D1193</f>
        <v>ObservedTransitions.ObservedAt</v>
      </c>
      <c r="C1193" s="2" t="s">
        <v>4332</v>
      </c>
      <c r="D1193" s="2" t="s">
        <v>4283</v>
      </c>
      <c r="E1193" s="2" t="s">
        <v>2385</v>
      </c>
      <c r="F1193" s="2" t="s">
        <v>2397</v>
      </c>
      <c r="G1193" s="2"/>
      <c r="H1193" s="2"/>
      <c r="I1193" s="3" t="b">
        <f>OR(E1193 = "calculated", E1193 = "lookup", E1193 = "aggregation")</f>
        <v>0</v>
      </c>
      <c r="J1193" s="3" t="b">
        <f>H1193 &lt;&gt; ""</f>
        <v>0</v>
      </c>
      <c r="K1193" s="3">
        <f>COUNTIFS(FieldDisagreements!D2:D999, A1193)</f>
        <v>0</v>
      </c>
      <c r="L1193" s="3" t="b">
        <f>K1193 &gt; 0</f>
        <v>0</v>
      </c>
      <c r="M1193" s="2" t="s">
        <v>2387</v>
      </c>
    </row>
    <row r="1194">
      <c r="A1194" s="2" t="s">
        <v>4342</v>
      </c>
      <c r="B1194" s="3" t="str">
        <f>C1194 &amp; "." &amp; D1194</f>
        <v>ObservedTransitions.TriggerReason</v>
      </c>
      <c r="C1194" s="2" t="s">
        <v>4332</v>
      </c>
      <c r="D1194" s="2" t="s">
        <v>4343</v>
      </c>
      <c r="E1194" s="2" t="s">
        <v>2385</v>
      </c>
      <c r="F1194" s="2" t="s">
        <v>2386</v>
      </c>
      <c r="G1194" s="2"/>
      <c r="H1194" s="2"/>
      <c r="I1194" s="3" t="b">
        <f>OR(E1194 = "calculated", E1194 = "lookup", E1194 = "aggregation")</f>
        <v>0</v>
      </c>
      <c r="J1194" s="3" t="b">
        <f>H1194 &lt;&gt; ""</f>
        <v>0</v>
      </c>
      <c r="K1194" s="3">
        <f>COUNTIFS(FieldDisagreements!D2:D999, A1194)</f>
        <v>0</v>
      </c>
      <c r="L1194" s="3" t="b">
        <f>K1194 &gt; 0</f>
        <v>0</v>
      </c>
      <c r="M1194" s="2" t="s">
        <v>2387</v>
      </c>
    </row>
    <row r="1195">
      <c r="A1195" s="2" t="s">
        <v>4344</v>
      </c>
      <c r="B1195" s="3" t="str">
        <f>C1195 &amp; "." &amp; D1195</f>
        <v>ObservedTransitions.SemanticTypeIri</v>
      </c>
      <c r="C1195" s="2" t="s">
        <v>4332</v>
      </c>
      <c r="D1195" s="2" t="s">
        <v>94</v>
      </c>
      <c r="E1195" s="2" t="s">
        <v>2385</v>
      </c>
      <c r="F1195" s="2" t="s">
        <v>2386</v>
      </c>
      <c r="G1195" s="2"/>
      <c r="H1195" s="2"/>
      <c r="I1195" s="3" t="b">
        <f>OR(E1195 = "calculated", E1195 = "lookup", E1195 = "aggregation")</f>
        <v>0</v>
      </c>
      <c r="J1195" s="3" t="b">
        <f>H1195 &lt;&gt; ""</f>
        <v>0</v>
      </c>
      <c r="K1195" s="3">
        <f>COUNTIFS(FieldDisagreements!D2:D999, A1195)</f>
        <v>0</v>
      </c>
      <c r="L1195" s="3" t="b">
        <f>K1195 &gt; 0</f>
        <v>0</v>
      </c>
      <c r="M1195" s="2" t="s">
        <v>2387</v>
      </c>
    </row>
    <row r="1196">
      <c r="A1196" s="2" t="s">
        <v>4345</v>
      </c>
      <c r="B1196" s="3" t="str">
        <f>C1196 &amp; "." &amp; D1196</f>
        <v>Recipients.RecipientId</v>
      </c>
      <c r="C1196" s="2" t="s">
        <v>4346</v>
      </c>
      <c r="D1196" s="2" t="s">
        <v>4347</v>
      </c>
      <c r="E1196" s="2" t="s">
        <v>2385</v>
      </c>
      <c r="F1196" s="2" t="s">
        <v>2386</v>
      </c>
      <c r="G1196" s="2"/>
      <c r="H1196" s="2"/>
      <c r="I1196" s="3" t="b">
        <f>OR(E1196 = "calculated", E1196 = "lookup", E1196 = "aggregation")</f>
        <v>0</v>
      </c>
      <c r="J1196" s="3" t="b">
        <f>H1196 &lt;&gt; ""</f>
        <v>0</v>
      </c>
      <c r="K1196" s="3">
        <f>COUNTIFS(FieldDisagreements!D2:D999, A1196)</f>
        <v>0</v>
      </c>
      <c r="L1196" s="3" t="b">
        <f>K1196 &gt; 0</f>
        <v>0</v>
      </c>
      <c r="M1196" s="2" t="s">
        <v>2387</v>
      </c>
    </row>
    <row r="1197">
      <c r="A1197" s="2" t="s">
        <v>4348</v>
      </c>
      <c r="B1197" s="3" t="str">
        <f>C1197 &amp; "." &amp; D1197</f>
        <v>Recipients.Name</v>
      </c>
      <c r="C1197" s="2" t="s">
        <v>4346</v>
      </c>
      <c r="D1197" s="2" t="s">
        <v>1</v>
      </c>
      <c r="E1197" s="2" t="s">
        <v>2389</v>
      </c>
      <c r="F1197" s="2" t="s">
        <v>2386</v>
      </c>
      <c r="G1197" s="2" t="s">
        <v>2424</v>
      </c>
      <c r="H1197" s="2"/>
      <c r="I1197" s="3" t="b">
        <f>OR(E1197 = "calculated", E1197 = "lookup", E1197 = "aggregation")</f>
        <v>1</v>
      </c>
      <c r="J1197" s="3" t="b">
        <f>H1197 &lt;&gt; ""</f>
        <v>0</v>
      </c>
      <c r="K1197" s="3">
        <f>COUNTIFS(FieldDisagreements!D2:D999, A1197)</f>
        <v>0</v>
      </c>
      <c r="L1197" s="3" t="b">
        <f>K1197 &gt; 0</f>
        <v>0</v>
      </c>
      <c r="M1197" s="2" t="s">
        <v>2387</v>
      </c>
    </row>
    <row r="1198">
      <c r="A1198" s="2" t="s">
        <v>4349</v>
      </c>
      <c r="B1198" s="3" t="str">
        <f>C1198 &amp; "." &amp; D1198</f>
        <v>Recipients.DisplayName</v>
      </c>
      <c r="C1198" s="2" t="s">
        <v>4346</v>
      </c>
      <c r="D1198" s="2" t="s">
        <v>100</v>
      </c>
      <c r="E1198" s="2" t="s">
        <v>2385</v>
      </c>
      <c r="F1198" s="2" t="s">
        <v>2386</v>
      </c>
      <c r="G1198" s="2"/>
      <c r="H1198" s="2"/>
      <c r="I1198" s="3" t="b">
        <f>OR(E1198 = "calculated", E1198 = "lookup", E1198 = "aggregation")</f>
        <v>0</v>
      </c>
      <c r="J1198" s="3" t="b">
        <f>H1198 &lt;&gt; ""</f>
        <v>0</v>
      </c>
      <c r="K1198" s="3">
        <f>COUNTIFS(FieldDisagreements!D2:D999, A1198)</f>
        <v>0</v>
      </c>
      <c r="L1198" s="3" t="b">
        <f>K1198 &gt; 0</f>
        <v>0</v>
      </c>
      <c r="M1198" s="2" t="s">
        <v>2387</v>
      </c>
    </row>
    <row r="1199">
      <c r="A1199" s="2" t="s">
        <v>4350</v>
      </c>
      <c r="B1199" s="3" t="str">
        <f>C1199 &amp; "." &amp; D1199</f>
        <v>Recipients.Organization</v>
      </c>
      <c r="C1199" s="2" t="s">
        <v>4346</v>
      </c>
      <c r="D1199" s="2" t="s">
        <v>121</v>
      </c>
      <c r="E1199" s="2" t="s">
        <v>2434</v>
      </c>
      <c r="F1199" s="2" t="s">
        <v>2386</v>
      </c>
      <c r="G1199" s="2"/>
      <c r="H1199" s="2"/>
      <c r="I1199" s="3" t="b">
        <f>OR(E1199 = "calculated", E1199 = "lookup", E1199 = "aggregation")</f>
        <v>0</v>
      </c>
      <c r="J1199" s="3" t="b">
        <f>H1199 &lt;&gt; ""</f>
        <v>0</v>
      </c>
      <c r="K1199" s="3">
        <f>COUNTIFS(FieldDisagreements!D2:D999, A1199)</f>
        <v>0</v>
      </c>
      <c r="L1199" s="3" t="b">
        <f>K1199 &gt; 0</f>
        <v>0</v>
      </c>
      <c r="M1199" s="2" t="s">
        <v>2387</v>
      </c>
    </row>
    <row r="1200">
      <c r="A1200" s="2" t="s">
        <v>4351</v>
      </c>
      <c r="B1200" s="3" t="str">
        <f>C1200 &amp; "." &amp; D1200</f>
        <v>Recipients.EmailAddress</v>
      </c>
      <c r="C1200" s="2" t="s">
        <v>4346</v>
      </c>
      <c r="D1200" s="2" t="s">
        <v>4352</v>
      </c>
      <c r="E1200" s="2" t="s">
        <v>2385</v>
      </c>
      <c r="F1200" s="2" t="s">
        <v>2386</v>
      </c>
      <c r="G1200" s="2"/>
      <c r="H1200" s="2"/>
      <c r="I1200" s="3" t="b">
        <f>OR(E1200 = "calculated", E1200 = "lookup", E1200 = "aggregation")</f>
        <v>0</v>
      </c>
      <c r="J1200" s="3" t="b">
        <f>H1200 &lt;&gt; ""</f>
        <v>0</v>
      </c>
      <c r="K1200" s="3">
        <f>COUNTIFS(FieldDisagreements!D2:D999, A1200)</f>
        <v>0</v>
      </c>
      <c r="L1200" s="3" t="b">
        <f>K1200 &gt; 0</f>
        <v>0</v>
      </c>
      <c r="M1200" s="2" t="s">
        <v>2387</v>
      </c>
    </row>
    <row r="1201">
      <c r="A1201" s="2" t="s">
        <v>4353</v>
      </c>
      <c r="B1201" s="3" t="str">
        <f>C1201 &amp; "." &amp; D1201</f>
        <v>Recipients.MobileNumber</v>
      </c>
      <c r="C1201" s="2" t="s">
        <v>4346</v>
      </c>
      <c r="D1201" s="2" t="s">
        <v>4354</v>
      </c>
      <c r="E1201" s="2" t="s">
        <v>2385</v>
      </c>
      <c r="F1201" s="2" t="s">
        <v>2386</v>
      </c>
      <c r="G1201" s="2"/>
      <c r="H1201" s="2"/>
      <c r="I1201" s="3" t="b">
        <f>OR(E1201 = "calculated", E1201 = "lookup", E1201 = "aggregation")</f>
        <v>0</v>
      </c>
      <c r="J1201" s="3" t="b">
        <f>H1201 &lt;&gt; ""</f>
        <v>0</v>
      </c>
      <c r="K1201" s="3">
        <f>COUNTIFS(FieldDisagreements!D2:D999, A1201)</f>
        <v>0</v>
      </c>
      <c r="L1201" s="3" t="b">
        <f>K1201 &gt; 0</f>
        <v>0</v>
      </c>
      <c r="M1201" s="2" t="s">
        <v>2387</v>
      </c>
    </row>
    <row r="1202">
      <c r="A1202" s="2" t="s">
        <v>4355</v>
      </c>
      <c r="B1202" s="3" t="str">
        <f>C1202 &amp; "." &amp; D1202</f>
        <v>Recipients.SmsConsentStatus</v>
      </c>
      <c r="C1202" s="2" t="s">
        <v>4346</v>
      </c>
      <c r="D1202" s="2" t="s">
        <v>4356</v>
      </c>
      <c r="E1202" s="2" t="s">
        <v>2385</v>
      </c>
      <c r="F1202" s="2" t="s">
        <v>2386</v>
      </c>
      <c r="G1202" s="2"/>
      <c r="H1202" s="2"/>
      <c r="I1202" s="3" t="b">
        <f>OR(E1202 = "calculated", E1202 = "lookup", E1202 = "aggregation")</f>
        <v>0</v>
      </c>
      <c r="J1202" s="3" t="b">
        <f>H1202 &lt;&gt; ""</f>
        <v>0</v>
      </c>
      <c r="K1202" s="3">
        <f>COUNTIFS(FieldDisagreements!D2:D999, A1202)</f>
        <v>0</v>
      </c>
      <c r="L1202" s="3" t="b">
        <f>K1202 &gt; 0</f>
        <v>0</v>
      </c>
      <c r="M1202" s="2" t="s">
        <v>2387</v>
      </c>
    </row>
    <row r="1203">
      <c r="A1203" s="2" t="s">
        <v>4357</v>
      </c>
      <c r="B1203" s="3" t="str">
        <f>C1203 &amp; "." &amp; D1203</f>
        <v>Recipients.SmsConsentAt</v>
      </c>
      <c r="C1203" s="2" t="s">
        <v>4346</v>
      </c>
      <c r="D1203" s="2" t="s">
        <v>4358</v>
      </c>
      <c r="E1203" s="2" t="s">
        <v>2385</v>
      </c>
      <c r="F1203" s="2" t="s">
        <v>2397</v>
      </c>
      <c r="G1203" s="2"/>
      <c r="H1203" s="2"/>
      <c r="I1203" s="3" t="b">
        <f>OR(E1203 = "calculated", E1203 = "lookup", E1203 = "aggregation")</f>
        <v>0</v>
      </c>
      <c r="J1203" s="3" t="b">
        <f>H1203 &lt;&gt; ""</f>
        <v>0</v>
      </c>
      <c r="K1203" s="3">
        <f>COUNTIFS(FieldDisagreements!D2:D999, A1203)</f>
        <v>0</v>
      </c>
      <c r="L1203" s="3" t="b">
        <f>K1203 &gt; 0</f>
        <v>0</v>
      </c>
      <c r="M1203" s="2" t="s">
        <v>2387</v>
      </c>
    </row>
    <row r="1204">
      <c r="A1204" s="2" t="s">
        <v>4359</v>
      </c>
      <c r="B1204" s="3" t="str">
        <f>C1204 &amp; "." &amp; D1204</f>
        <v>Recipients.ConsentBinding</v>
      </c>
      <c r="C1204" s="2" t="s">
        <v>4346</v>
      </c>
      <c r="D1204" s="2" t="s">
        <v>4360</v>
      </c>
      <c r="E1204" s="2" t="s">
        <v>2434</v>
      </c>
      <c r="F1204" s="2" t="s">
        <v>2386</v>
      </c>
      <c r="G1204" s="2"/>
      <c r="H1204" s="2"/>
      <c r="I1204" s="3" t="b">
        <f>OR(E1204 = "calculated", E1204 = "lookup", E1204 = "aggregation")</f>
        <v>0</v>
      </c>
      <c r="J1204" s="3" t="b">
        <f>H1204 &lt;&gt; ""</f>
        <v>0</v>
      </c>
      <c r="K1204" s="3">
        <f>COUNTIFS(FieldDisagreements!D2:D999, A1204)</f>
        <v>0</v>
      </c>
      <c r="L1204" s="3" t="b">
        <f>K1204 &gt; 0</f>
        <v>0</v>
      </c>
      <c r="M1204" s="2" t="s">
        <v>2387</v>
      </c>
    </row>
    <row r="1205">
      <c r="A1205" s="2" t="s">
        <v>4361</v>
      </c>
      <c r="B1205" s="3" t="str">
        <f>C1205 &amp; "." &amp; D1205</f>
        <v>Recipients.HasSmsConsent</v>
      </c>
      <c r="C1205" s="2" t="s">
        <v>4346</v>
      </c>
      <c r="D1205" s="2" t="s">
        <v>4362</v>
      </c>
      <c r="E1205" s="2" t="s">
        <v>2389</v>
      </c>
      <c r="F1205" s="2" t="s">
        <v>2401</v>
      </c>
      <c r="G1205" s="2" t="s">
        <v>4363</v>
      </c>
      <c r="H1205" s="2"/>
      <c r="I1205" s="3" t="b">
        <f>OR(E1205 = "calculated", E1205 = "lookup", E1205 = "aggregation")</f>
        <v>1</v>
      </c>
      <c r="J1205" s="3" t="b">
        <f>H1205 &lt;&gt; ""</f>
        <v>0</v>
      </c>
      <c r="K1205" s="3">
        <f>COUNTIFS(FieldDisagreements!D2:D999, A1205)</f>
        <v>0</v>
      </c>
      <c r="L1205" s="3" t="b">
        <f>K1205 &gt; 0</f>
        <v>0</v>
      </c>
      <c r="M1205" s="2" t="s">
        <v>2387</v>
      </c>
    </row>
    <row r="1206">
      <c r="A1206" s="2" t="s">
        <v>4364</v>
      </c>
      <c r="B1206" s="3" t="str">
        <f>C1206 &amp; "." &amp; D1206</f>
        <v>Recipients.IsEmailReachable</v>
      </c>
      <c r="C1206" s="2" t="s">
        <v>4346</v>
      </c>
      <c r="D1206" s="2" t="s">
        <v>4365</v>
      </c>
      <c r="E1206" s="2" t="s">
        <v>2389</v>
      </c>
      <c r="F1206" s="2" t="s">
        <v>2401</v>
      </c>
      <c r="G1206" s="2" t="s">
        <v>4366</v>
      </c>
      <c r="H1206" s="2"/>
      <c r="I1206" s="3" t="b">
        <f>OR(E1206 = "calculated", E1206 = "lookup", E1206 = "aggregation")</f>
        <v>1</v>
      </c>
      <c r="J1206" s="3" t="b">
        <f>H1206 &lt;&gt; ""</f>
        <v>0</v>
      </c>
      <c r="K1206" s="3">
        <f>COUNTIFS(FieldDisagreements!D2:D999, A1206)</f>
        <v>0</v>
      </c>
      <c r="L1206" s="3" t="b">
        <f>K1206 &gt; 0</f>
        <v>0</v>
      </c>
      <c r="M1206" s="2" t="s">
        <v>2387</v>
      </c>
    </row>
    <row r="1207">
      <c r="A1207" s="2" t="s">
        <v>4367</v>
      </c>
      <c r="B1207" s="3" t="str">
        <f>C1207 &amp; "." &amp; D1207</f>
        <v>Recipients.IsSmsReachable</v>
      </c>
      <c r="C1207" s="2" t="s">
        <v>4346</v>
      </c>
      <c r="D1207" s="2" t="s">
        <v>4368</v>
      </c>
      <c r="E1207" s="2" t="s">
        <v>2389</v>
      </c>
      <c r="F1207" s="2" t="s">
        <v>2401</v>
      </c>
      <c r="G1207" s="2" t="s">
        <v>4369</v>
      </c>
      <c r="H1207" s="2"/>
      <c r="I1207" s="3" t="b">
        <f>OR(E1207 = "calculated", E1207 = "lookup", E1207 = "aggregation")</f>
        <v>1</v>
      </c>
      <c r="J1207" s="3" t="b">
        <f>H1207 &lt;&gt; ""</f>
        <v>0</v>
      </c>
      <c r="K1207" s="3">
        <f>COUNTIFS(FieldDisagreements!D2:D999, A1207)</f>
        <v>0</v>
      </c>
      <c r="L1207" s="3" t="b">
        <f>K1207 &gt; 0</f>
        <v>0</v>
      </c>
      <c r="M1207" s="2" t="s">
        <v>2387</v>
      </c>
    </row>
    <row r="1208">
      <c r="A1208" s="2" t="s">
        <v>4370</v>
      </c>
      <c r="B1208" s="3" t="str">
        <f>C1208 &amp; "." &amp; D1208</f>
        <v>Recipients.IsUnreachable</v>
      </c>
      <c r="C1208" s="2" t="s">
        <v>4346</v>
      </c>
      <c r="D1208" s="2" t="s">
        <v>4371</v>
      </c>
      <c r="E1208" s="2" t="s">
        <v>2389</v>
      </c>
      <c r="F1208" s="2" t="s">
        <v>2401</v>
      </c>
      <c r="G1208" s="2" t="s">
        <v>4372</v>
      </c>
      <c r="H1208" s="2"/>
      <c r="I1208" s="3" t="b">
        <f>OR(E1208 = "calculated", E1208 = "lookup", E1208 = "aggregation")</f>
        <v>1</v>
      </c>
      <c r="J1208" s="3" t="b">
        <f>H1208 &lt;&gt; ""</f>
        <v>0</v>
      </c>
      <c r="K1208" s="3">
        <f>COUNTIFS(FieldDisagreements!D2:D999, A1208)</f>
        <v>0</v>
      </c>
      <c r="L1208" s="3" t="b">
        <f>K1208 &gt; 0</f>
        <v>0</v>
      </c>
      <c r="M1208" s="2" t="s">
        <v>2387</v>
      </c>
    </row>
    <row r="1209">
      <c r="A1209" s="2" t="s">
        <v>4373</v>
      </c>
      <c r="B1209" s="3" t="str">
        <f>C1209 &amp; "." &amp; D1209</f>
        <v>Recipients.IsCommunicationallyStranded</v>
      </c>
      <c r="C1209" s="2" t="s">
        <v>4346</v>
      </c>
      <c r="D1209" s="2" t="s">
        <v>4374</v>
      </c>
      <c r="E1209" s="2" t="s">
        <v>2389</v>
      </c>
      <c r="F1209" s="2" t="s">
        <v>2401</v>
      </c>
      <c r="G1209" s="2" t="s">
        <v>4375</v>
      </c>
      <c r="H1209" s="2" t="s">
        <v>2312</v>
      </c>
      <c r="I1209" s="3" t="b">
        <f>OR(E1209 = "calculated", E1209 = "lookup", E1209 = "aggregation")</f>
        <v>1</v>
      </c>
      <c r="J1209" s="3" t="b">
        <f>H1209 &lt;&gt; ""</f>
        <v>1</v>
      </c>
      <c r="K1209" s="3">
        <f>COUNTIFS(FieldDisagreements!D2:D999, A1209)</f>
        <v>0</v>
      </c>
      <c r="L1209" s="3" t="b">
        <f>K1209 &gt; 0</f>
        <v>0</v>
      </c>
      <c r="M1209" s="2" t="s">
        <v>2387</v>
      </c>
    </row>
    <row r="1210">
      <c r="A1210" s="2" t="s">
        <v>4376</v>
      </c>
      <c r="B1210" s="3" t="str">
        <f>C1210 &amp; "." &amp; D1210</f>
        <v>Recipients.SemanticTypeIri</v>
      </c>
      <c r="C1210" s="2" t="s">
        <v>4346</v>
      </c>
      <c r="D1210" s="2" t="s">
        <v>94</v>
      </c>
      <c r="E1210" s="2" t="s">
        <v>2385</v>
      </c>
      <c r="F1210" s="2" t="s">
        <v>2386</v>
      </c>
      <c r="G1210" s="2"/>
      <c r="H1210" s="2"/>
      <c r="I1210" s="3" t="b">
        <f>OR(E1210 = "calculated", E1210 = "lookup", E1210 = "aggregation")</f>
        <v>0</v>
      </c>
      <c r="J1210" s="3" t="b">
        <f>H1210 &lt;&gt; ""</f>
        <v>0</v>
      </c>
      <c r="K1210" s="3">
        <f>COUNTIFS(FieldDisagreements!D2:D999, A1210)</f>
        <v>0</v>
      </c>
      <c r="L1210" s="3" t="b">
        <f>K1210 &gt; 0</f>
        <v>0</v>
      </c>
      <c r="M1210" s="2" t="s">
        <v>2387</v>
      </c>
    </row>
    <row r="1211">
      <c r="A1211" s="2" t="s">
        <v>4377</v>
      </c>
      <c r="B1211" s="3" t="str">
        <f>C1211 &amp; "." &amp; D1211</f>
        <v>MessageDeliveries.MessageDeliveryId</v>
      </c>
      <c r="C1211" s="2" t="s">
        <v>4378</v>
      </c>
      <c r="D1211" s="2" t="s">
        <v>4379</v>
      </c>
      <c r="E1211" s="2" t="s">
        <v>2385</v>
      </c>
      <c r="F1211" s="2" t="s">
        <v>2386</v>
      </c>
      <c r="G1211" s="2"/>
      <c r="H1211" s="2"/>
      <c r="I1211" s="3" t="b">
        <f>OR(E1211 = "calculated", E1211 = "lookup", E1211 = "aggregation")</f>
        <v>0</v>
      </c>
      <c r="J1211" s="3" t="b">
        <f>H1211 &lt;&gt; ""</f>
        <v>0</v>
      </c>
      <c r="K1211" s="3">
        <f>COUNTIFS(FieldDisagreements!D2:D999, A1211)</f>
        <v>0</v>
      </c>
      <c r="L1211" s="3" t="b">
        <f>K1211 &gt; 0</f>
        <v>0</v>
      </c>
      <c r="M1211" s="2" t="s">
        <v>2387</v>
      </c>
    </row>
    <row r="1212">
      <c r="A1212" s="2" t="s">
        <v>4380</v>
      </c>
      <c r="B1212" s="3" t="str">
        <f>C1212 &amp; "." &amp; D1212</f>
        <v>MessageDeliveries.Name</v>
      </c>
      <c r="C1212" s="2" t="s">
        <v>4378</v>
      </c>
      <c r="D1212" s="2" t="s">
        <v>1</v>
      </c>
      <c r="E1212" s="2" t="s">
        <v>2389</v>
      </c>
      <c r="F1212" s="2" t="s">
        <v>2386</v>
      </c>
      <c r="G1212" s="2" t="s">
        <v>4381</v>
      </c>
      <c r="H1212" s="2"/>
      <c r="I1212" s="3" t="b">
        <f>OR(E1212 = "calculated", E1212 = "lookup", E1212 = "aggregation")</f>
        <v>1</v>
      </c>
      <c r="J1212" s="3" t="b">
        <f>H1212 &lt;&gt; ""</f>
        <v>0</v>
      </c>
      <c r="K1212" s="3">
        <f>COUNTIFS(FieldDisagreements!D2:D999, A1212)</f>
        <v>6</v>
      </c>
      <c r="L1212" s="3" t="b">
        <f>K1212 &gt; 0</f>
        <v>1</v>
      </c>
      <c r="M1212" s="2" t="s">
        <v>2387</v>
      </c>
    </row>
    <row r="1213">
      <c r="A1213" s="2" t="s">
        <v>4382</v>
      </c>
      <c r="B1213" s="3" t="str">
        <f>C1213 &amp; "." &amp; D1213</f>
        <v>MessageDeliveries.ProcedureExecution</v>
      </c>
      <c r="C1213" s="2" t="s">
        <v>4378</v>
      </c>
      <c r="D1213" s="2" t="s">
        <v>1329</v>
      </c>
      <c r="E1213" s="2" t="s">
        <v>2434</v>
      </c>
      <c r="F1213" s="2" t="s">
        <v>2386</v>
      </c>
      <c r="G1213" s="2"/>
      <c r="H1213" s="2"/>
      <c r="I1213" s="3" t="b">
        <f>OR(E1213 = "calculated", E1213 = "lookup", E1213 = "aggregation")</f>
        <v>0</v>
      </c>
      <c r="J1213" s="3" t="b">
        <f>H1213 &lt;&gt; ""</f>
        <v>0</v>
      </c>
      <c r="K1213" s="3">
        <f>COUNTIFS(FieldDisagreements!D2:D999, A1213)</f>
        <v>0</v>
      </c>
      <c r="L1213" s="3" t="b">
        <f>K1213 &gt; 0</f>
        <v>0</v>
      </c>
      <c r="M1213" s="2" t="s">
        <v>2387</v>
      </c>
    </row>
    <row r="1214">
      <c r="A1214" s="2" t="s">
        <v>4383</v>
      </c>
      <c r="B1214" s="3" t="str">
        <f>C1214 &amp; "." &amp; D1214</f>
        <v>MessageDeliveries.StepExecution</v>
      </c>
      <c r="C1214" s="2" t="s">
        <v>4378</v>
      </c>
      <c r="D1214" s="2" t="s">
        <v>1447</v>
      </c>
      <c r="E1214" s="2" t="s">
        <v>2434</v>
      </c>
      <c r="F1214" s="2" t="s">
        <v>2386</v>
      </c>
      <c r="G1214" s="2"/>
      <c r="H1214" s="2"/>
      <c r="I1214" s="3" t="b">
        <f>OR(E1214 = "calculated", E1214 = "lookup", E1214 = "aggregation")</f>
        <v>0</v>
      </c>
      <c r="J1214" s="3" t="b">
        <f>H1214 &lt;&gt; ""</f>
        <v>0</v>
      </c>
      <c r="K1214" s="3">
        <f>COUNTIFS(FieldDisagreements!D2:D999, A1214)</f>
        <v>0</v>
      </c>
      <c r="L1214" s="3" t="b">
        <f>K1214 &gt; 0</f>
        <v>0</v>
      </c>
      <c r="M1214" s="2" t="s">
        <v>2387</v>
      </c>
    </row>
    <row r="1215">
      <c r="A1215" s="2" t="s">
        <v>4384</v>
      </c>
      <c r="B1215" s="3" t="str">
        <f>C1215 &amp; "." &amp; D1215</f>
        <v>MessageDeliveries.Recipient</v>
      </c>
      <c r="C1215" s="2" t="s">
        <v>4378</v>
      </c>
      <c r="D1215" s="2" t="s">
        <v>4385</v>
      </c>
      <c r="E1215" s="2" t="s">
        <v>2434</v>
      </c>
      <c r="F1215" s="2" t="s">
        <v>2386</v>
      </c>
      <c r="G1215" s="2"/>
      <c r="H1215" s="2"/>
      <c r="I1215" s="3" t="b">
        <f>OR(E1215 = "calculated", E1215 = "lookup", E1215 = "aggregation")</f>
        <v>0</v>
      </c>
      <c r="J1215" s="3" t="b">
        <f>H1215 &lt;&gt; ""</f>
        <v>0</v>
      </c>
      <c r="K1215" s="3">
        <f>COUNTIFS(FieldDisagreements!D2:D999, A1215)</f>
        <v>0</v>
      </c>
      <c r="L1215" s="3" t="b">
        <f>K1215 &gt; 0</f>
        <v>0</v>
      </c>
      <c r="M1215" s="2" t="s">
        <v>2387</v>
      </c>
    </row>
    <row r="1216">
      <c r="A1216" s="2" t="s">
        <v>4386</v>
      </c>
      <c r="B1216" s="3" t="str">
        <f>C1216 &amp; "." &amp; D1216</f>
        <v>MessageDeliveries.MessageTemplate</v>
      </c>
      <c r="C1216" s="2" t="s">
        <v>4378</v>
      </c>
      <c r="D1216" s="2" t="s">
        <v>4387</v>
      </c>
      <c r="E1216" s="2" t="s">
        <v>2434</v>
      </c>
      <c r="F1216" s="2" t="s">
        <v>2386</v>
      </c>
      <c r="G1216" s="2"/>
      <c r="H1216" s="2"/>
      <c r="I1216" s="3" t="b">
        <f>OR(E1216 = "calculated", E1216 = "lookup", E1216 = "aggregation")</f>
        <v>0</v>
      </c>
      <c r="J1216" s="3" t="b">
        <f>H1216 &lt;&gt; ""</f>
        <v>0</v>
      </c>
      <c r="K1216" s="3">
        <f>COUNTIFS(FieldDisagreements!D2:D999, A1216)</f>
        <v>0</v>
      </c>
      <c r="L1216" s="3" t="b">
        <f>K1216 &gt; 0</f>
        <v>0</v>
      </c>
      <c r="M1216" s="2" t="s">
        <v>2387</v>
      </c>
    </row>
    <row r="1217">
      <c r="A1217" s="2" t="s">
        <v>4388</v>
      </c>
      <c r="B1217" s="3" t="str">
        <f>C1217 &amp; "." &amp; D1217</f>
        <v>MessageDeliveries.SentByAgent</v>
      </c>
      <c r="C1217" s="2" t="s">
        <v>4378</v>
      </c>
      <c r="D1217" s="2" t="s">
        <v>4389</v>
      </c>
      <c r="E1217" s="2" t="s">
        <v>2434</v>
      </c>
      <c r="F1217" s="2" t="s">
        <v>2386</v>
      </c>
      <c r="G1217" s="2"/>
      <c r="H1217" s="2"/>
      <c r="I1217" s="3" t="b">
        <f>OR(E1217 = "calculated", E1217 = "lookup", E1217 = "aggregation")</f>
        <v>0</v>
      </c>
      <c r="J1217" s="3" t="b">
        <f>H1217 &lt;&gt; ""</f>
        <v>0</v>
      </c>
      <c r="K1217" s="3">
        <f>COUNTIFS(FieldDisagreements!D2:D999, A1217)</f>
        <v>0</v>
      </c>
      <c r="L1217" s="3" t="b">
        <f>K1217 &gt; 0</f>
        <v>0</v>
      </c>
      <c r="M1217" s="2" t="s">
        <v>2387</v>
      </c>
    </row>
    <row r="1218">
      <c r="A1218" s="2" t="s">
        <v>4390</v>
      </c>
      <c r="B1218" s="3" t="str">
        <f>C1218 &amp; "." &amp; D1218</f>
        <v>MessageDeliveries.RenderedBody</v>
      </c>
      <c r="C1218" s="2" t="s">
        <v>4378</v>
      </c>
      <c r="D1218" s="2" t="s">
        <v>4391</v>
      </c>
      <c r="E1218" s="2" t="s">
        <v>2385</v>
      </c>
      <c r="F1218" s="2" t="s">
        <v>2386</v>
      </c>
      <c r="G1218" s="2"/>
      <c r="H1218" s="2"/>
      <c r="I1218" s="3" t="b">
        <f>OR(E1218 = "calculated", E1218 = "lookup", E1218 = "aggregation")</f>
        <v>0</v>
      </c>
      <c r="J1218" s="3" t="b">
        <f>H1218 &lt;&gt; ""</f>
        <v>0</v>
      </c>
      <c r="K1218" s="3">
        <f>COUNTIFS(FieldDisagreements!D2:D999, A1218)</f>
        <v>0</v>
      </c>
      <c r="L1218" s="3" t="b">
        <f>K1218 &gt; 0</f>
        <v>0</v>
      </c>
      <c r="M1218" s="2" t="s">
        <v>2387</v>
      </c>
    </row>
    <row r="1219">
      <c r="A1219" s="2" t="s">
        <v>4392</v>
      </c>
      <c r="B1219" s="3" t="str">
        <f>C1219 &amp; "." &amp; D1219</f>
        <v>MessageDeliveries.SentAt</v>
      </c>
      <c r="C1219" s="2" t="s">
        <v>4378</v>
      </c>
      <c r="D1219" s="2" t="s">
        <v>4393</v>
      </c>
      <c r="E1219" s="2" t="s">
        <v>2385</v>
      </c>
      <c r="F1219" s="2" t="s">
        <v>2397</v>
      </c>
      <c r="G1219" s="2"/>
      <c r="H1219" s="2"/>
      <c r="I1219" s="3" t="b">
        <f>OR(E1219 = "calculated", E1219 = "lookup", E1219 = "aggregation")</f>
        <v>0</v>
      </c>
      <c r="J1219" s="3" t="b">
        <f>H1219 &lt;&gt; ""</f>
        <v>0</v>
      </c>
      <c r="K1219" s="3">
        <f>COUNTIFS(FieldDisagreements!D2:D999, A1219)</f>
        <v>0</v>
      </c>
      <c r="L1219" s="3" t="b">
        <f>K1219 &gt; 0</f>
        <v>0</v>
      </c>
      <c r="M1219" s="2" t="s">
        <v>2387</v>
      </c>
    </row>
    <row r="1220">
      <c r="A1220" s="2" t="s">
        <v>4394</v>
      </c>
      <c r="B1220" s="3" t="str">
        <f>C1220 &amp; "." &amp; D1220</f>
        <v>MessageDeliveries.SentAtLocalHour</v>
      </c>
      <c r="C1220" s="2" t="s">
        <v>4378</v>
      </c>
      <c r="D1220" s="2" t="s">
        <v>4395</v>
      </c>
      <c r="E1220" s="2" t="s">
        <v>2385</v>
      </c>
      <c r="F1220" s="2" t="s">
        <v>2439</v>
      </c>
      <c r="G1220" s="2"/>
      <c r="H1220" s="2"/>
      <c r="I1220" s="3" t="b">
        <f>OR(E1220 = "calculated", E1220 = "lookup", E1220 = "aggregation")</f>
        <v>0</v>
      </c>
      <c r="J1220" s="3" t="b">
        <f>H1220 &lt;&gt; ""</f>
        <v>0</v>
      </c>
      <c r="K1220" s="3">
        <f>COUNTIFS(FieldDisagreements!D2:D999, A1220)</f>
        <v>0</v>
      </c>
      <c r="L1220" s="3" t="b">
        <f>K1220 &gt; 0</f>
        <v>0</v>
      </c>
      <c r="M1220" s="2" t="s">
        <v>2387</v>
      </c>
    </row>
    <row r="1221">
      <c r="A1221" s="2" t="s">
        <v>4396</v>
      </c>
      <c r="B1221" s="3" t="str">
        <f>C1221 &amp; "." &amp; D1221</f>
        <v>MessageDeliveries.DeliveryStatus</v>
      </c>
      <c r="C1221" s="2" t="s">
        <v>4378</v>
      </c>
      <c r="D1221" s="2" t="s">
        <v>4397</v>
      </c>
      <c r="E1221" s="2" t="s">
        <v>2385</v>
      </c>
      <c r="F1221" s="2" t="s">
        <v>2386</v>
      </c>
      <c r="G1221" s="2"/>
      <c r="H1221" s="2"/>
      <c r="I1221" s="3" t="b">
        <f>OR(E1221 = "calculated", E1221 = "lookup", E1221 = "aggregation")</f>
        <v>0</v>
      </c>
      <c r="J1221" s="3" t="b">
        <f>H1221 &lt;&gt; ""</f>
        <v>0</v>
      </c>
      <c r="K1221" s="3">
        <f>COUNTIFS(FieldDisagreements!D2:D999, A1221)</f>
        <v>0</v>
      </c>
      <c r="L1221" s="3" t="b">
        <f>K1221 &gt; 0</f>
        <v>0</v>
      </c>
      <c r="M1221" s="2" t="s">
        <v>2387</v>
      </c>
    </row>
    <row r="1222">
      <c r="A1222" s="2" t="s">
        <v>4398</v>
      </c>
      <c r="B1222" s="3" t="str">
        <f>C1222 &amp; "." &amp; D1222</f>
        <v>MessageDeliveries.SuppressionReason</v>
      </c>
      <c r="C1222" s="2" t="s">
        <v>4378</v>
      </c>
      <c r="D1222" s="2" t="s">
        <v>4399</v>
      </c>
      <c r="E1222" s="2" t="s">
        <v>2385</v>
      </c>
      <c r="F1222" s="2" t="s">
        <v>2386</v>
      </c>
      <c r="G1222" s="2"/>
      <c r="H1222" s="2"/>
      <c r="I1222" s="3" t="b">
        <f>OR(E1222 = "calculated", E1222 = "lookup", E1222 = "aggregation")</f>
        <v>0</v>
      </c>
      <c r="J1222" s="3" t="b">
        <f>H1222 &lt;&gt; ""</f>
        <v>0</v>
      </c>
      <c r="K1222" s="3">
        <f>COUNTIFS(FieldDisagreements!D2:D999, A1222)</f>
        <v>0</v>
      </c>
      <c r="L1222" s="3" t="b">
        <f>K1222 &gt; 0</f>
        <v>0</v>
      </c>
      <c r="M1222" s="2" t="s">
        <v>2387</v>
      </c>
    </row>
    <row r="1223">
      <c r="A1223" s="2" t="s">
        <v>4400</v>
      </c>
      <c r="B1223" s="3" t="str">
        <f>C1223 &amp; "." &amp; D1223</f>
        <v>MessageDeliveries.InvokedException</v>
      </c>
      <c r="C1223" s="2" t="s">
        <v>4378</v>
      </c>
      <c r="D1223" s="2" t="s">
        <v>4401</v>
      </c>
      <c r="E1223" s="2" t="s">
        <v>2434</v>
      </c>
      <c r="F1223" s="2" t="s">
        <v>2386</v>
      </c>
      <c r="G1223" s="2"/>
      <c r="H1223" s="2"/>
      <c r="I1223" s="3" t="b">
        <f>OR(E1223 = "calculated", E1223 = "lookup", E1223 = "aggregation")</f>
        <v>0</v>
      </c>
      <c r="J1223" s="3" t="b">
        <f>H1223 &lt;&gt; ""</f>
        <v>0</v>
      </c>
      <c r="K1223" s="3">
        <f>COUNTIFS(FieldDisagreements!D2:D999, A1223)</f>
        <v>0</v>
      </c>
      <c r="L1223" s="3" t="b">
        <f>K1223 &gt; 0</f>
        <v>0</v>
      </c>
      <c r="M1223" s="2" t="s">
        <v>2387</v>
      </c>
    </row>
    <row r="1224">
      <c r="A1224" s="2" t="s">
        <v>4402</v>
      </c>
      <c r="B1224" s="3" t="str">
        <f>C1224 &amp; "." &amp; D1224</f>
        <v>MessageDeliveries.AcknowledgedAt</v>
      </c>
      <c r="C1224" s="2" t="s">
        <v>4378</v>
      </c>
      <c r="D1224" s="2" t="s">
        <v>4403</v>
      </c>
      <c r="E1224" s="2" t="s">
        <v>2385</v>
      </c>
      <c r="F1224" s="2" t="s">
        <v>2397</v>
      </c>
      <c r="G1224" s="2"/>
      <c r="H1224" s="2"/>
      <c r="I1224" s="3" t="b">
        <f>OR(E1224 = "calculated", E1224 = "lookup", E1224 = "aggregation")</f>
        <v>0</v>
      </c>
      <c r="J1224" s="3" t="b">
        <f>H1224 &lt;&gt; ""</f>
        <v>0</v>
      </c>
      <c r="K1224" s="3">
        <f>COUNTIFS(FieldDisagreements!D2:D999, A1224)</f>
        <v>0</v>
      </c>
      <c r="L1224" s="3" t="b">
        <f>K1224 &gt; 0</f>
        <v>0</v>
      </c>
      <c r="M1224" s="2" t="s">
        <v>2387</v>
      </c>
    </row>
    <row r="1225">
      <c r="A1225" s="2" t="s">
        <v>4404</v>
      </c>
      <c r="B1225" s="3" t="str">
        <f>C1225 &amp; "." &amp; D1225</f>
        <v>MessageDeliveries.PolicyChannel</v>
      </c>
      <c r="C1225" s="2" t="s">
        <v>4378</v>
      </c>
      <c r="D1225" s="2" t="s">
        <v>4405</v>
      </c>
      <c r="E1225" s="2" t="s">
        <v>2478</v>
      </c>
      <c r="F1225" s="2" t="s">
        <v>2386</v>
      </c>
      <c r="G1225" s="2" t="s">
        <v>4406</v>
      </c>
      <c r="H1225" s="2" t="s">
        <v>2036</v>
      </c>
      <c r="I1225" s="3" t="b">
        <f>OR(E1225 = "calculated", E1225 = "lookup", E1225 = "aggregation")</f>
        <v>1</v>
      </c>
      <c r="J1225" s="3" t="b">
        <f>H1225 &lt;&gt; ""</f>
        <v>1</v>
      </c>
      <c r="K1225" s="3">
        <f>COUNTIFS(FieldDisagreements!D2:D999, A1225)</f>
        <v>0</v>
      </c>
      <c r="L1225" s="3" t="b">
        <f>K1225 &gt; 0</f>
        <v>0</v>
      </c>
      <c r="M1225" s="2" t="s">
        <v>2387</v>
      </c>
    </row>
    <row r="1226">
      <c r="A1226" s="2" t="s">
        <v>4407</v>
      </c>
      <c r="B1226" s="3" t="str">
        <f>C1226 &amp; "." &amp; D1226</f>
        <v>MessageDeliveries.ChannelName</v>
      </c>
      <c r="C1226" s="2" t="s">
        <v>4378</v>
      </c>
      <c r="D1226" s="2" t="s">
        <v>4408</v>
      </c>
      <c r="E1226" s="2" t="s">
        <v>2478</v>
      </c>
      <c r="F1226" s="2" t="s">
        <v>2386</v>
      </c>
      <c r="G1226" s="2" t="s">
        <v>4409</v>
      </c>
      <c r="H1226" s="2" t="s">
        <v>2036</v>
      </c>
      <c r="I1226" s="3" t="b">
        <f>OR(E1226 = "calculated", E1226 = "lookup", E1226 = "aggregation")</f>
        <v>1</v>
      </c>
      <c r="J1226" s="3" t="b">
        <f>H1226 &lt;&gt; ""</f>
        <v>1</v>
      </c>
      <c r="K1226" s="3">
        <f>COUNTIFS(FieldDisagreements!D2:D999, A1226)</f>
        <v>0</v>
      </c>
      <c r="L1226" s="3" t="b">
        <f>K1226 &gt; 0</f>
        <v>0</v>
      </c>
      <c r="M1226" s="2" t="s">
        <v>2387</v>
      </c>
    </row>
    <row r="1227">
      <c r="A1227" s="2" t="s">
        <v>4410</v>
      </c>
      <c r="B1227" s="3" t="str">
        <f>C1227 &amp; "." &amp; D1227</f>
        <v>MessageDeliveries.PolicyRequiresConsent</v>
      </c>
      <c r="C1227" s="2" t="s">
        <v>4378</v>
      </c>
      <c r="D1227" s="2" t="s">
        <v>4411</v>
      </c>
      <c r="E1227" s="2" t="s">
        <v>2478</v>
      </c>
      <c r="F1227" s="2" t="s">
        <v>2401</v>
      </c>
      <c r="G1227" s="2" t="s">
        <v>4412</v>
      </c>
      <c r="H1227" s="2" t="s">
        <v>2036</v>
      </c>
      <c r="I1227" s="3" t="b">
        <f>OR(E1227 = "calculated", E1227 = "lookup", E1227 = "aggregation")</f>
        <v>1</v>
      </c>
      <c r="J1227" s="3" t="b">
        <f>H1227 &lt;&gt; ""</f>
        <v>1</v>
      </c>
      <c r="K1227" s="3">
        <f>COUNTIFS(FieldDisagreements!D2:D999, A1227)</f>
        <v>0</v>
      </c>
      <c r="L1227" s="3" t="b">
        <f>K1227 &gt; 0</f>
        <v>0</v>
      </c>
      <c r="M1227" s="2" t="s">
        <v>2387</v>
      </c>
    </row>
    <row r="1228">
      <c r="A1228" s="2" t="s">
        <v>4413</v>
      </c>
      <c r="B1228" s="3" t="str">
        <f>C1228 &amp; "." &amp; D1228</f>
        <v>MessageDeliveries.RecipientHasSmsConsent</v>
      </c>
      <c r="C1228" s="2" t="s">
        <v>4378</v>
      </c>
      <c r="D1228" s="2" t="s">
        <v>4414</v>
      </c>
      <c r="E1228" s="2" t="s">
        <v>2478</v>
      </c>
      <c r="F1228" s="2" t="s">
        <v>2401</v>
      </c>
      <c r="G1228" s="2" t="s">
        <v>4415</v>
      </c>
      <c r="H1228" s="2" t="s">
        <v>2036</v>
      </c>
      <c r="I1228" s="3" t="b">
        <f>OR(E1228 = "calculated", E1228 = "lookup", E1228 = "aggregation")</f>
        <v>1</v>
      </c>
      <c r="J1228" s="3" t="b">
        <f>H1228 &lt;&gt; ""</f>
        <v>1</v>
      </c>
      <c r="K1228" s="3">
        <f>COUNTIFS(FieldDisagreements!D2:D999, A1228)</f>
        <v>0</v>
      </c>
      <c r="L1228" s="3" t="b">
        <f>K1228 &gt; 0</f>
        <v>0</v>
      </c>
      <c r="M1228" s="2" t="s">
        <v>2387</v>
      </c>
    </row>
    <row r="1229">
      <c r="A1229" s="2" t="s">
        <v>4416</v>
      </c>
      <c r="B1229" s="3" t="str">
        <f>C1229 &amp; "." &amp; D1229</f>
        <v>MessageDeliveries.WasActuallyTransmitted</v>
      </c>
      <c r="C1229" s="2" t="s">
        <v>4378</v>
      </c>
      <c r="D1229" s="2" t="s">
        <v>4417</v>
      </c>
      <c r="E1229" s="2" t="s">
        <v>2389</v>
      </c>
      <c r="F1229" s="2" t="s">
        <v>2401</v>
      </c>
      <c r="G1229" s="2" t="s">
        <v>4418</v>
      </c>
      <c r="H1229" s="2" t="s">
        <v>2036</v>
      </c>
      <c r="I1229" s="3" t="b">
        <f>OR(E1229 = "calculated", E1229 = "lookup", E1229 = "aggregation")</f>
        <v>1</v>
      </c>
      <c r="J1229" s="3" t="b">
        <f>H1229 &lt;&gt; ""</f>
        <v>1</v>
      </c>
      <c r="K1229" s="3">
        <f>COUNTIFS(FieldDisagreements!D2:D999, A1229)</f>
        <v>0</v>
      </c>
      <c r="L1229" s="3" t="b">
        <f>K1229 &gt; 0</f>
        <v>0</v>
      </c>
      <c r="M1229" s="2" t="s">
        <v>2387</v>
      </c>
    </row>
    <row r="1230">
      <c r="A1230" s="2" t="s">
        <v>4419</v>
      </c>
      <c r="B1230" s="3" t="str">
        <f>C1230 &amp; "." &amp; D1230</f>
        <v>MessageDeliveries.IsConsentViolation</v>
      </c>
      <c r="C1230" s="2" t="s">
        <v>4378</v>
      </c>
      <c r="D1230" s="2" t="s">
        <v>4420</v>
      </c>
      <c r="E1230" s="2" t="s">
        <v>2389</v>
      </c>
      <c r="F1230" s="2" t="s">
        <v>2401</v>
      </c>
      <c r="G1230" s="2" t="s">
        <v>4421</v>
      </c>
      <c r="H1230" s="2" t="s">
        <v>2036</v>
      </c>
      <c r="I1230" s="3" t="b">
        <f>OR(E1230 = "calculated", E1230 = "lookup", E1230 = "aggregation")</f>
        <v>1</v>
      </c>
      <c r="J1230" s="3" t="b">
        <f>H1230 &lt;&gt; ""</f>
        <v>1</v>
      </c>
      <c r="K1230" s="3">
        <f>COUNTIFS(FieldDisagreements!D2:D999, A1230)</f>
        <v>0</v>
      </c>
      <c r="L1230" s="3" t="b">
        <f>K1230 &gt; 0</f>
        <v>0</v>
      </c>
      <c r="M1230" s="2" t="s">
        <v>2387</v>
      </c>
    </row>
    <row r="1231">
      <c r="A1231" s="2" t="s">
        <v>4422</v>
      </c>
      <c r="B1231" s="3" t="str">
        <f>C1231 &amp; "." &amp; D1231</f>
        <v>MessageDeliveries.ConsentViolationPolicyKey</v>
      </c>
      <c r="C1231" s="2" t="s">
        <v>4378</v>
      </c>
      <c r="D1231" s="2" t="s">
        <v>4423</v>
      </c>
      <c r="E1231" s="2" t="s">
        <v>2389</v>
      </c>
      <c r="F1231" s="2" t="s">
        <v>2386</v>
      </c>
      <c r="G1231" s="2" t="s">
        <v>4424</v>
      </c>
      <c r="H1231" s="2" t="s">
        <v>2036</v>
      </c>
      <c r="I1231" s="3" t="b">
        <f>OR(E1231 = "calculated", E1231 = "lookup", E1231 = "aggregation")</f>
        <v>1</v>
      </c>
      <c r="J1231" s="3" t="b">
        <f>H1231 &lt;&gt; ""</f>
        <v>1</v>
      </c>
      <c r="K1231" s="3">
        <f>COUNTIFS(FieldDisagreements!D2:D999, A1231)</f>
        <v>0</v>
      </c>
      <c r="L1231" s="3" t="b">
        <f>K1231 &gt; 0</f>
        <v>0</v>
      </c>
      <c r="M1231" s="2" t="s">
        <v>2387</v>
      </c>
    </row>
    <row r="1232">
      <c r="A1232" s="2" t="s">
        <v>4425</v>
      </c>
      <c r="B1232" s="3" t="str">
        <f>C1232 &amp; "." &amp; D1232</f>
        <v>MessageDeliveries.PolicyQuietHoursStartHour</v>
      </c>
      <c r="C1232" s="2" t="s">
        <v>4378</v>
      </c>
      <c r="D1232" s="2" t="s">
        <v>4426</v>
      </c>
      <c r="E1232" s="2" t="s">
        <v>2478</v>
      </c>
      <c r="F1232" s="2" t="s">
        <v>2439</v>
      </c>
      <c r="G1232" s="2" t="s">
        <v>4427</v>
      </c>
      <c r="H1232" s="2" t="s">
        <v>2040</v>
      </c>
      <c r="I1232" s="3" t="b">
        <f>OR(E1232 = "calculated", E1232 = "lookup", E1232 = "aggregation")</f>
        <v>1</v>
      </c>
      <c r="J1232" s="3" t="b">
        <f>H1232 &lt;&gt; ""</f>
        <v>1</v>
      </c>
      <c r="K1232" s="3">
        <f>COUNTIFS(FieldDisagreements!D2:D999, A1232)</f>
        <v>0</v>
      </c>
      <c r="L1232" s="3" t="b">
        <f>K1232 &gt; 0</f>
        <v>0</v>
      </c>
      <c r="M1232" s="2" t="s">
        <v>2387</v>
      </c>
    </row>
    <row r="1233">
      <c r="A1233" s="2" t="s">
        <v>4428</v>
      </c>
      <c r="B1233" s="3" t="str">
        <f>C1233 &amp; "." &amp; D1233</f>
        <v>MessageDeliveries.PolicyQuietHoursEndHour</v>
      </c>
      <c r="C1233" s="2" t="s">
        <v>4378</v>
      </c>
      <c r="D1233" s="2" t="s">
        <v>4429</v>
      </c>
      <c r="E1233" s="2" t="s">
        <v>2478</v>
      </c>
      <c r="F1233" s="2" t="s">
        <v>2439</v>
      </c>
      <c r="G1233" s="2" t="s">
        <v>4430</v>
      </c>
      <c r="H1233" s="2" t="s">
        <v>2040</v>
      </c>
      <c r="I1233" s="3" t="b">
        <f>OR(E1233 = "calculated", E1233 = "lookup", E1233 = "aggregation")</f>
        <v>1</v>
      </c>
      <c r="J1233" s="3" t="b">
        <f>H1233 &lt;&gt; ""</f>
        <v>1</v>
      </c>
      <c r="K1233" s="3">
        <f>COUNTIFS(FieldDisagreements!D2:D999, A1233)</f>
        <v>0</v>
      </c>
      <c r="L1233" s="3" t="b">
        <f>K1233 &gt; 0</f>
        <v>0</v>
      </c>
      <c r="M1233" s="2" t="s">
        <v>2387</v>
      </c>
    </row>
    <row r="1234">
      <c r="A1234" s="2" t="s">
        <v>4431</v>
      </c>
      <c r="B1234" s="3" t="str">
        <f>C1234 &amp; "." &amp; D1234</f>
        <v>MessageDeliveries.PolicyHasQuietHours</v>
      </c>
      <c r="C1234" s="2" t="s">
        <v>4378</v>
      </c>
      <c r="D1234" s="2" t="s">
        <v>4432</v>
      </c>
      <c r="E1234" s="2" t="s">
        <v>2389</v>
      </c>
      <c r="F1234" s="2" t="s">
        <v>2401</v>
      </c>
      <c r="G1234" s="2" t="s">
        <v>4433</v>
      </c>
      <c r="H1234" s="2" t="s">
        <v>2040</v>
      </c>
      <c r="I1234" s="3" t="b">
        <f>OR(E1234 = "calculated", E1234 = "lookup", E1234 = "aggregation")</f>
        <v>1</v>
      </c>
      <c r="J1234" s="3" t="b">
        <f>H1234 &lt;&gt; ""</f>
        <v>1</v>
      </c>
      <c r="K1234" s="3">
        <f>COUNTIFS(FieldDisagreements!D2:D999, A1234)</f>
        <v>0</v>
      </c>
      <c r="L1234" s="3" t="b">
        <f>K1234 &gt; 0</f>
        <v>0</v>
      </c>
      <c r="M1234" s="2" t="s">
        <v>2387</v>
      </c>
    </row>
    <row r="1235">
      <c r="A1235" s="2" t="s">
        <v>4434</v>
      </c>
      <c r="B1235" s="3" t="str">
        <f>C1235 &amp; "." &amp; D1235</f>
        <v>MessageDeliveries.QuietWindowWrapsMidnight</v>
      </c>
      <c r="C1235" s="2" t="s">
        <v>4378</v>
      </c>
      <c r="D1235" s="2" t="s">
        <v>4435</v>
      </c>
      <c r="E1235" s="2" t="s">
        <v>2389</v>
      </c>
      <c r="F1235" s="2" t="s">
        <v>2401</v>
      </c>
      <c r="G1235" s="2" t="s">
        <v>4436</v>
      </c>
      <c r="H1235" s="2" t="s">
        <v>2040</v>
      </c>
      <c r="I1235" s="3" t="b">
        <f>OR(E1235 = "calculated", E1235 = "lookup", E1235 = "aggregation")</f>
        <v>1</v>
      </c>
      <c r="J1235" s="3" t="b">
        <f>H1235 &lt;&gt; ""</f>
        <v>1</v>
      </c>
      <c r="K1235" s="3">
        <f>COUNTIFS(FieldDisagreements!D2:D999, A1235)</f>
        <v>0</v>
      </c>
      <c r="L1235" s="3" t="b">
        <f>K1235 &gt; 0</f>
        <v>0</v>
      </c>
      <c r="M1235" s="2" t="s">
        <v>2387</v>
      </c>
    </row>
    <row r="1236">
      <c r="A1236" s="2" t="s">
        <v>4437</v>
      </c>
      <c r="B1236" s="3" t="str">
        <f>C1236 &amp; "." &amp; D1236</f>
        <v>MessageDeliveries.IsInsideQuietWindow</v>
      </c>
      <c r="C1236" s="2" t="s">
        <v>4378</v>
      </c>
      <c r="D1236" s="2" t="s">
        <v>4438</v>
      </c>
      <c r="E1236" s="2" t="s">
        <v>2389</v>
      </c>
      <c r="F1236" s="2" t="s">
        <v>2401</v>
      </c>
      <c r="G1236" s="2" t="s">
        <v>4439</v>
      </c>
      <c r="H1236" s="2" t="s">
        <v>2040</v>
      </c>
      <c r="I1236" s="3" t="b">
        <f>OR(E1236 = "calculated", E1236 = "lookup", E1236 = "aggregation")</f>
        <v>1</v>
      </c>
      <c r="J1236" s="3" t="b">
        <f>H1236 &lt;&gt; ""</f>
        <v>1</v>
      </c>
      <c r="K1236" s="3">
        <f>COUNTIFS(FieldDisagreements!D2:D999, A1236)</f>
        <v>0</v>
      </c>
      <c r="L1236" s="3" t="b">
        <f>K1236 &gt; 0</f>
        <v>0</v>
      </c>
      <c r="M1236" s="2" t="s">
        <v>2387</v>
      </c>
    </row>
    <row r="1237">
      <c r="A1237" s="2" t="s">
        <v>4440</v>
      </c>
      <c r="B1237" s="3" t="str">
        <f>C1237 &amp; "." &amp; D1237</f>
        <v>MessageDeliveries.IsQuietHoursViolation</v>
      </c>
      <c r="C1237" s="2" t="s">
        <v>4378</v>
      </c>
      <c r="D1237" s="2" t="s">
        <v>4441</v>
      </c>
      <c r="E1237" s="2" t="s">
        <v>2389</v>
      </c>
      <c r="F1237" s="2" t="s">
        <v>2401</v>
      </c>
      <c r="G1237" s="2" t="s">
        <v>4442</v>
      </c>
      <c r="H1237" s="2" t="s">
        <v>2040</v>
      </c>
      <c r="I1237" s="3" t="b">
        <f>OR(E1237 = "calculated", E1237 = "lookup", E1237 = "aggregation")</f>
        <v>1</v>
      </c>
      <c r="J1237" s="3" t="b">
        <f>H1237 &lt;&gt; ""</f>
        <v>1</v>
      </c>
      <c r="K1237" s="3">
        <f>COUNTIFS(FieldDisagreements!D2:D999, A1237)</f>
        <v>0</v>
      </c>
      <c r="L1237" s="3" t="b">
        <f>K1237 &gt; 0</f>
        <v>0</v>
      </c>
      <c r="M1237" s="2" t="s">
        <v>2387</v>
      </c>
    </row>
    <row r="1238">
      <c r="A1238" s="2" t="s">
        <v>4443</v>
      </c>
      <c r="B1238" s="3" t="str">
        <f>C1238 &amp; "." &amp; D1238</f>
        <v>MessageDeliveries.QuietHoursViolationPolicyKey</v>
      </c>
      <c r="C1238" s="2" t="s">
        <v>4378</v>
      </c>
      <c r="D1238" s="2" t="s">
        <v>4444</v>
      </c>
      <c r="E1238" s="2" t="s">
        <v>2389</v>
      </c>
      <c r="F1238" s="2" t="s">
        <v>2386</v>
      </c>
      <c r="G1238" s="2" t="s">
        <v>4445</v>
      </c>
      <c r="H1238" s="2" t="s">
        <v>2040</v>
      </c>
      <c r="I1238" s="3" t="b">
        <f>OR(E1238 = "calculated", E1238 = "lookup", E1238 = "aggregation")</f>
        <v>1</v>
      </c>
      <c r="J1238" s="3" t="b">
        <f>H1238 &lt;&gt; ""</f>
        <v>1</v>
      </c>
      <c r="K1238" s="3">
        <f>COUNTIFS(FieldDisagreements!D2:D999, A1238)</f>
        <v>0</v>
      </c>
      <c r="L1238" s="3" t="b">
        <f>K1238 &gt; 0</f>
        <v>0</v>
      </c>
      <c r="M1238" s="2" t="s">
        <v>2387</v>
      </c>
    </row>
    <row r="1239">
      <c r="A1239" s="2" t="s">
        <v>4446</v>
      </c>
      <c r="B1239" s="3" t="str">
        <f>C1239 &amp; "." &amp; D1239</f>
        <v>MessageDeliveries.RecipientIsUnreachable</v>
      </c>
      <c r="C1239" s="2" t="s">
        <v>4378</v>
      </c>
      <c r="D1239" s="2" t="s">
        <v>4447</v>
      </c>
      <c r="E1239" s="2" t="s">
        <v>2478</v>
      </c>
      <c r="F1239" s="2" t="s">
        <v>2401</v>
      </c>
      <c r="G1239" s="2" t="s">
        <v>4448</v>
      </c>
      <c r="H1239" s="2" t="s">
        <v>2044</v>
      </c>
      <c r="I1239" s="3" t="b">
        <f>OR(E1239 = "calculated", E1239 = "lookup", E1239 = "aggregation")</f>
        <v>1</v>
      </c>
      <c r="J1239" s="3" t="b">
        <f>H1239 &lt;&gt; ""</f>
        <v>1</v>
      </c>
      <c r="K1239" s="3">
        <f>COUNTIFS(FieldDisagreements!D2:D999, A1239)</f>
        <v>0</v>
      </c>
      <c r="L1239" s="3" t="b">
        <f>K1239 &gt; 0</f>
        <v>0</v>
      </c>
      <c r="M1239" s="2" t="s">
        <v>2387</v>
      </c>
    </row>
    <row r="1240">
      <c r="A1240" s="2" t="s">
        <v>4449</v>
      </c>
      <c r="B1240" s="3" t="str">
        <f>C1240 &amp; "." &amp; D1240</f>
        <v>MessageDeliveries.IsAcknowledged</v>
      </c>
      <c r="C1240" s="2" t="s">
        <v>4378</v>
      </c>
      <c r="D1240" s="2" t="s">
        <v>4450</v>
      </c>
      <c r="E1240" s="2" t="s">
        <v>2389</v>
      </c>
      <c r="F1240" s="2" t="s">
        <v>2401</v>
      </c>
      <c r="G1240" s="2" t="s">
        <v>4451</v>
      </c>
      <c r="H1240" s="2" t="s">
        <v>2044</v>
      </c>
      <c r="I1240" s="3" t="b">
        <f>OR(E1240 = "calculated", E1240 = "lookup", E1240 = "aggregation")</f>
        <v>1</v>
      </c>
      <c r="J1240" s="3" t="b">
        <f>H1240 &lt;&gt; ""</f>
        <v>1</v>
      </c>
      <c r="K1240" s="3">
        <f>COUNTIFS(FieldDisagreements!D2:D999, A1240)</f>
        <v>0</v>
      </c>
      <c r="L1240" s="3" t="b">
        <f>K1240 &gt; 0</f>
        <v>0</v>
      </c>
      <c r="M1240" s="2" t="s">
        <v>2387</v>
      </c>
    </row>
    <row r="1241">
      <c r="A1241" s="2" t="s">
        <v>4452</v>
      </c>
      <c r="B1241" s="3" t="str">
        <f>C1241 &amp; "." &amp; D1241</f>
        <v>MessageDeliveries.InvokedExceptionCondition</v>
      </c>
      <c r="C1241" s="2" t="s">
        <v>4378</v>
      </c>
      <c r="D1241" s="2" t="s">
        <v>4453</v>
      </c>
      <c r="E1241" s="2" t="s">
        <v>2478</v>
      </c>
      <c r="F1241" s="2" t="s">
        <v>2386</v>
      </c>
      <c r="G1241" s="2" t="s">
        <v>4454</v>
      </c>
      <c r="H1241" s="2" t="s">
        <v>2044</v>
      </c>
      <c r="I1241" s="3" t="b">
        <f>OR(E1241 = "calculated", E1241 = "lookup", E1241 = "aggregation")</f>
        <v>1</v>
      </c>
      <c r="J1241" s="3" t="b">
        <f>H1241 &lt;&gt; ""</f>
        <v>1</v>
      </c>
      <c r="K1241" s="3">
        <f>COUNTIFS(FieldDisagreements!D2:D999, A1241)</f>
        <v>0</v>
      </c>
      <c r="L1241" s="3" t="b">
        <f>K1241 &gt; 0</f>
        <v>0</v>
      </c>
      <c r="M1241" s="2" t="s">
        <v>2387</v>
      </c>
    </row>
    <row r="1242">
      <c r="A1242" s="2" t="s">
        <v>4455</v>
      </c>
      <c r="B1242" s="3" t="str">
        <f>C1242 &amp; "." &amp; D1242</f>
        <v>MessageDeliveries.HasUnreachableExceptionInvoked</v>
      </c>
      <c r="C1242" s="2" t="s">
        <v>4378</v>
      </c>
      <c r="D1242" s="2" t="s">
        <v>4456</v>
      </c>
      <c r="E1242" s="2" t="s">
        <v>2389</v>
      </c>
      <c r="F1242" s="2" t="s">
        <v>2401</v>
      </c>
      <c r="G1242" s="2" t="s">
        <v>4457</v>
      </c>
      <c r="H1242" s="2" t="s">
        <v>2044</v>
      </c>
      <c r="I1242" s="3" t="b">
        <f>OR(E1242 = "calculated", E1242 = "lookup", E1242 = "aggregation")</f>
        <v>1</v>
      </c>
      <c r="J1242" s="3" t="b">
        <f>H1242 &lt;&gt; ""</f>
        <v>1</v>
      </c>
      <c r="K1242" s="3">
        <f>COUNTIFS(FieldDisagreements!D2:D999, A1242)</f>
        <v>0</v>
      </c>
      <c r="L1242" s="3" t="b">
        <f>K1242 &gt; 0</f>
        <v>0</v>
      </c>
      <c r="M1242" s="2" t="s">
        <v>2387</v>
      </c>
    </row>
    <row r="1243">
      <c r="A1243" s="2" t="s">
        <v>4458</v>
      </c>
      <c r="B1243" s="3" t="str">
        <f>C1243 &amp; "." &amp; D1243</f>
        <v>MessageDeliveries.IsFabricatedAcknowledgement</v>
      </c>
      <c r="C1243" s="2" t="s">
        <v>4378</v>
      </c>
      <c r="D1243" s="2" t="s">
        <v>4459</v>
      </c>
      <c r="E1243" s="2" t="s">
        <v>2389</v>
      </c>
      <c r="F1243" s="2" t="s">
        <v>2401</v>
      </c>
      <c r="G1243" s="2" t="s">
        <v>4460</v>
      </c>
      <c r="H1243" s="2" t="s">
        <v>2044</v>
      </c>
      <c r="I1243" s="3" t="b">
        <f>OR(E1243 = "calculated", E1243 = "lookup", E1243 = "aggregation")</f>
        <v>1</v>
      </c>
      <c r="J1243" s="3" t="b">
        <f>H1243 &lt;&gt; ""</f>
        <v>1</v>
      </c>
      <c r="K1243" s="3">
        <f>COUNTIFS(FieldDisagreements!D2:D999, A1243)</f>
        <v>0</v>
      </c>
      <c r="L1243" s="3" t="b">
        <f>K1243 &gt; 0</f>
        <v>0</v>
      </c>
      <c r="M1243" s="2" t="s">
        <v>2387</v>
      </c>
    </row>
    <row r="1244">
      <c r="A1244" s="2" t="s">
        <v>4461</v>
      </c>
      <c r="B1244" s="3" t="str">
        <f>C1244 &amp; "." &amp; D1244</f>
        <v>MessageDeliveries.IsUnhandledUnreachable</v>
      </c>
      <c r="C1244" s="2" t="s">
        <v>4378</v>
      </c>
      <c r="D1244" s="2" t="s">
        <v>4462</v>
      </c>
      <c r="E1244" s="2" t="s">
        <v>2389</v>
      </c>
      <c r="F1244" s="2" t="s">
        <v>2401</v>
      </c>
      <c r="G1244" s="2" t="s">
        <v>4463</v>
      </c>
      <c r="H1244" s="2" t="s">
        <v>2044</v>
      </c>
      <c r="I1244" s="3" t="b">
        <f>OR(E1244 = "calculated", E1244 = "lookup", E1244 = "aggregation")</f>
        <v>1</v>
      </c>
      <c r="J1244" s="3" t="b">
        <f>H1244 &lt;&gt; ""</f>
        <v>1</v>
      </c>
      <c r="K1244" s="3">
        <f>COUNTIFS(FieldDisagreements!D2:D999, A1244)</f>
        <v>0</v>
      </c>
      <c r="L1244" s="3" t="b">
        <f>K1244 &gt; 0</f>
        <v>0</v>
      </c>
      <c r="M1244" s="2" t="s">
        <v>2387</v>
      </c>
    </row>
    <row r="1245">
      <c r="A1245" s="2" t="s">
        <v>4464</v>
      </c>
      <c r="B1245" s="3" t="str">
        <f>C1245 &amp; "." &amp; D1245</f>
        <v>MessageDeliveries.UnreachableFailureKey</v>
      </c>
      <c r="C1245" s="2" t="s">
        <v>4378</v>
      </c>
      <c r="D1245" s="2" t="s">
        <v>4465</v>
      </c>
      <c r="E1245" s="2" t="s">
        <v>2389</v>
      </c>
      <c r="F1245" s="2" t="s">
        <v>2386</v>
      </c>
      <c r="G1245" s="2" t="s">
        <v>4466</v>
      </c>
      <c r="H1245" s="2" t="s">
        <v>2044</v>
      </c>
      <c r="I1245" s="3" t="b">
        <f>OR(E1245 = "calculated", E1245 = "lookup", E1245 = "aggregation")</f>
        <v>1</v>
      </c>
      <c r="J1245" s="3" t="b">
        <f>H1245 &lt;&gt; ""</f>
        <v>1</v>
      </c>
      <c r="K1245" s="3">
        <f>COUNTIFS(FieldDisagreements!D2:D999, A1245)</f>
        <v>0</v>
      </c>
      <c r="L1245" s="3" t="b">
        <f>K1245 &gt; 0</f>
        <v>0</v>
      </c>
      <c r="M1245" s="2" t="s">
        <v>2387</v>
      </c>
    </row>
    <row r="1246">
      <c r="A1246" s="2" t="s">
        <v>4467</v>
      </c>
      <c r="B1246" s="3" t="str">
        <f>C1246 &amp; "." &amp; D1246</f>
        <v>MessageDeliveries.PolicyRetentionDays</v>
      </c>
      <c r="C1246" s="2" t="s">
        <v>4378</v>
      </c>
      <c r="D1246" s="2" t="s">
        <v>4468</v>
      </c>
      <c r="E1246" s="2" t="s">
        <v>2478</v>
      </c>
      <c r="F1246" s="2" t="s">
        <v>2439</v>
      </c>
      <c r="G1246" s="2" t="s">
        <v>4469</v>
      </c>
      <c r="H1246" s="2" t="s">
        <v>2048</v>
      </c>
      <c r="I1246" s="3" t="b">
        <f>OR(E1246 = "calculated", E1246 = "lookup", E1246 = "aggregation")</f>
        <v>1</v>
      </c>
      <c r="J1246" s="3" t="b">
        <f>H1246 &lt;&gt; ""</f>
        <v>1</v>
      </c>
      <c r="K1246" s="3">
        <f>COUNTIFS(FieldDisagreements!D2:D999, A1246)</f>
        <v>0</v>
      </c>
      <c r="L1246" s="3" t="b">
        <f>K1246 &gt; 0</f>
        <v>0</v>
      </c>
      <c r="M1246" s="2" t="s">
        <v>2387</v>
      </c>
    </row>
    <row r="1247">
      <c r="A1247" s="2" t="s">
        <v>4470</v>
      </c>
      <c r="B1247" s="3" t="str">
        <f>C1247 &amp; "." &amp; D1247</f>
        <v>MessageDeliveries.EvaluationContext</v>
      </c>
      <c r="C1247" s="2" t="s">
        <v>4378</v>
      </c>
      <c r="D1247" s="2" t="s">
        <v>258</v>
      </c>
      <c r="E1247" s="2" t="s">
        <v>2434</v>
      </c>
      <c r="F1247" s="2" t="s">
        <v>2386</v>
      </c>
      <c r="G1247" s="2"/>
      <c r="H1247" s="2"/>
      <c r="I1247" s="3" t="b">
        <f>OR(E1247 = "calculated", E1247 = "lookup", E1247 = "aggregation")</f>
        <v>0</v>
      </c>
      <c r="J1247" s="3" t="b">
        <f>H1247 &lt;&gt; ""</f>
        <v>0</v>
      </c>
      <c r="K1247" s="3">
        <f>COUNTIFS(FieldDisagreements!D2:D999, A1247)</f>
        <v>0</v>
      </c>
      <c r="L1247" s="3" t="b">
        <f>K1247 &gt; 0</f>
        <v>0</v>
      </c>
      <c r="M1247" s="2" t="s">
        <v>2387</v>
      </c>
    </row>
    <row r="1248">
      <c r="A1248" s="2" t="s">
        <v>4471</v>
      </c>
      <c r="B1248" s="3" t="str">
        <f>C1248 &amp; "." &amp; D1248</f>
        <v>MessageDeliveries.AsOfInstant</v>
      </c>
      <c r="C1248" s="2" t="s">
        <v>4378</v>
      </c>
      <c r="D1248" s="2" t="s">
        <v>92</v>
      </c>
      <c r="E1248" s="2" t="s">
        <v>2478</v>
      </c>
      <c r="F1248" s="2" t="s">
        <v>2397</v>
      </c>
      <c r="G1248" s="2" t="s">
        <v>2524</v>
      </c>
      <c r="H1248" s="2"/>
      <c r="I1248" s="3" t="b">
        <f>OR(E1248 = "calculated", E1248 = "lookup", E1248 = "aggregation")</f>
        <v>1</v>
      </c>
      <c r="J1248" s="3" t="b">
        <f>H1248 &lt;&gt; ""</f>
        <v>0</v>
      </c>
      <c r="K1248" s="3">
        <f>COUNTIFS(FieldDisagreements!D2:D999, A1248)</f>
        <v>1</v>
      </c>
      <c r="L1248" s="3" t="b">
        <f>K1248 &gt; 0</f>
        <v>1</v>
      </c>
      <c r="M1248" s="2" t="s">
        <v>2387</v>
      </c>
    </row>
    <row r="1249">
      <c r="A1249" s="2" t="s">
        <v>4472</v>
      </c>
      <c r="B1249" s="3" t="str">
        <f>C1249 &amp; "." &amp; D1249</f>
        <v>MessageDeliveries.AgeDays</v>
      </c>
      <c r="C1249" s="2" t="s">
        <v>4378</v>
      </c>
      <c r="D1249" s="2" t="s">
        <v>1112</v>
      </c>
      <c r="E1249" s="2" t="s">
        <v>2389</v>
      </c>
      <c r="F1249" s="2" t="s">
        <v>2439</v>
      </c>
      <c r="G1249" s="2" t="s">
        <v>4473</v>
      </c>
      <c r="H1249" s="2" t="s">
        <v>2048</v>
      </c>
      <c r="I1249" s="3" t="b">
        <f>OR(E1249 = "calculated", E1249 = "lookup", E1249 = "aggregation")</f>
        <v>1</v>
      </c>
      <c r="J1249" s="3" t="b">
        <f>H1249 &lt;&gt; ""</f>
        <v>1</v>
      </c>
      <c r="K1249" s="3">
        <f>COUNTIFS(FieldDisagreements!D2:D999, A1249)</f>
        <v>7</v>
      </c>
      <c r="L1249" s="3" t="b">
        <f>K1249 &gt; 0</f>
        <v>1</v>
      </c>
      <c r="M1249" s="2" t="s">
        <v>2387</v>
      </c>
    </row>
    <row r="1250">
      <c r="A1250" s="2" t="s">
        <v>4474</v>
      </c>
      <c r="B1250" s="3" t="str">
        <f>C1250 &amp; "." &amp; D1250</f>
        <v>MessageDeliveries.IsWithinRetentionWindow</v>
      </c>
      <c r="C1250" s="2" t="s">
        <v>4378</v>
      </c>
      <c r="D1250" s="2" t="s">
        <v>4475</v>
      </c>
      <c r="E1250" s="2" t="s">
        <v>2389</v>
      </c>
      <c r="F1250" s="2" t="s">
        <v>2401</v>
      </c>
      <c r="G1250" s="2" t="s">
        <v>4476</v>
      </c>
      <c r="H1250" s="2" t="s">
        <v>2048</v>
      </c>
      <c r="I1250" s="3" t="b">
        <f>OR(E1250 = "calculated", E1250 = "lookup", E1250 = "aggregation")</f>
        <v>1</v>
      </c>
      <c r="J1250" s="3" t="b">
        <f>H1250 &lt;&gt; ""</f>
        <v>1</v>
      </c>
      <c r="K1250" s="3">
        <f>COUNTIFS(FieldDisagreements!D2:D999, A1250)</f>
        <v>0</v>
      </c>
      <c r="L1250" s="3" t="b">
        <f>K1250 &gt; 0</f>
        <v>0</v>
      </c>
      <c r="M1250" s="2" t="s">
        <v>2387</v>
      </c>
    </row>
    <row r="1251">
      <c r="A1251" s="2" t="s">
        <v>4477</v>
      </c>
      <c r="B1251" s="3" t="str">
        <f>C1251 &amp; "." &amp; D1251</f>
        <v>MessageDeliveries.HasRenderedBody</v>
      </c>
      <c r="C1251" s="2" t="s">
        <v>4378</v>
      </c>
      <c r="D1251" s="2" t="s">
        <v>4478</v>
      </c>
      <c r="E1251" s="2" t="s">
        <v>2389</v>
      </c>
      <c r="F1251" s="2" t="s">
        <v>2401</v>
      </c>
      <c r="G1251" s="2" t="s">
        <v>4479</v>
      </c>
      <c r="H1251" s="2" t="s">
        <v>2048</v>
      </c>
      <c r="I1251" s="3" t="b">
        <f>OR(E1251 = "calculated", E1251 = "lookup", E1251 = "aggregation")</f>
        <v>1</v>
      </c>
      <c r="J1251" s="3" t="b">
        <f>H1251 &lt;&gt; ""</f>
        <v>1</v>
      </c>
      <c r="K1251" s="3">
        <f>COUNTIFS(FieldDisagreements!D2:D999, A1251)</f>
        <v>0</v>
      </c>
      <c r="L1251" s="3" t="b">
        <f>K1251 &gt; 0</f>
        <v>0</v>
      </c>
      <c r="M1251" s="2" t="s">
        <v>2387</v>
      </c>
    </row>
    <row r="1252">
      <c r="A1252" s="2" t="s">
        <v>4480</v>
      </c>
      <c r="B1252" s="3" t="str">
        <f>C1252 &amp; "." &amp; D1252</f>
        <v>MessageDeliveries.IsEvidenceRequired</v>
      </c>
      <c r="C1252" s="2" t="s">
        <v>4378</v>
      </c>
      <c r="D1252" s="2" t="s">
        <v>4481</v>
      </c>
      <c r="E1252" s="2" t="s">
        <v>2389</v>
      </c>
      <c r="F1252" s="2" t="s">
        <v>2401</v>
      </c>
      <c r="G1252" s="2" t="s">
        <v>4482</v>
      </c>
      <c r="H1252" s="2" t="s">
        <v>2048</v>
      </c>
      <c r="I1252" s="3" t="b">
        <f>OR(E1252 = "calculated", E1252 = "lookup", E1252 = "aggregation")</f>
        <v>1</v>
      </c>
      <c r="J1252" s="3" t="b">
        <f>H1252 &lt;&gt; ""</f>
        <v>1</v>
      </c>
      <c r="K1252" s="3">
        <f>COUNTIFS(FieldDisagreements!D2:D999, A1252)</f>
        <v>0</v>
      </c>
      <c r="L1252" s="3" t="b">
        <f>K1252 &gt; 0</f>
        <v>0</v>
      </c>
      <c r="M1252" s="2" t="s">
        <v>2387</v>
      </c>
    </row>
    <row r="1253">
      <c r="A1253" s="2" t="s">
        <v>4483</v>
      </c>
      <c r="B1253" s="3" t="str">
        <f>C1253 &amp; "." &amp; D1253</f>
        <v>MessageDeliveries.IsRetentionBreach</v>
      </c>
      <c r="C1253" s="2" t="s">
        <v>4378</v>
      </c>
      <c r="D1253" s="2" t="s">
        <v>4484</v>
      </c>
      <c r="E1253" s="2" t="s">
        <v>2389</v>
      </c>
      <c r="F1253" s="2" t="s">
        <v>2401</v>
      </c>
      <c r="G1253" s="2" t="s">
        <v>4485</v>
      </c>
      <c r="H1253" s="2" t="s">
        <v>2048</v>
      </c>
      <c r="I1253" s="3" t="b">
        <f>OR(E1253 = "calculated", E1253 = "lookup", E1253 = "aggregation")</f>
        <v>1</v>
      </c>
      <c r="J1253" s="3" t="b">
        <f>H1253 &lt;&gt; ""</f>
        <v>1</v>
      </c>
      <c r="K1253" s="3">
        <f>COUNTIFS(FieldDisagreements!D2:D999, A1253)</f>
        <v>0</v>
      </c>
      <c r="L1253" s="3" t="b">
        <f>K1253 &gt; 0</f>
        <v>0</v>
      </c>
      <c r="M1253" s="2" t="s">
        <v>2387</v>
      </c>
    </row>
    <row r="1254">
      <c r="A1254" s="2" t="s">
        <v>4486</v>
      </c>
      <c r="B1254" s="3" t="str">
        <f>C1254 &amp; "." &amp; D1254</f>
        <v>MessageDeliveries.RetentionBreachExecutionKey</v>
      </c>
      <c r="C1254" s="2" t="s">
        <v>4378</v>
      </c>
      <c r="D1254" s="2" t="s">
        <v>4487</v>
      </c>
      <c r="E1254" s="2" t="s">
        <v>2389</v>
      </c>
      <c r="F1254" s="2" t="s">
        <v>2386</v>
      </c>
      <c r="G1254" s="2" t="s">
        <v>4488</v>
      </c>
      <c r="H1254" s="2" t="s">
        <v>2048</v>
      </c>
      <c r="I1254" s="3" t="b">
        <f>OR(E1254 = "calculated", E1254 = "lookup", E1254 = "aggregation")</f>
        <v>1</v>
      </c>
      <c r="J1254" s="3" t="b">
        <f>H1254 &lt;&gt; ""</f>
        <v>1</v>
      </c>
      <c r="K1254" s="3">
        <f>COUNTIFS(FieldDisagreements!D2:D999, A1254)</f>
        <v>0</v>
      </c>
      <c r="L1254" s="3" t="b">
        <f>K1254 &gt; 0</f>
        <v>0</v>
      </c>
      <c r="M1254" s="2" t="s">
        <v>2387</v>
      </c>
    </row>
    <row r="1255">
      <c r="A1255" s="2" t="s">
        <v>4489</v>
      </c>
      <c r="B1255" s="3" t="str">
        <f>C1255 &amp; "." &amp; D1255</f>
        <v>MessageDeliveries.SendingStepExecutionStep</v>
      </c>
      <c r="C1255" s="2" t="s">
        <v>4378</v>
      </c>
      <c r="D1255" s="2" t="s">
        <v>4490</v>
      </c>
      <c r="E1255" s="2" t="s">
        <v>2478</v>
      </c>
      <c r="F1255" s="2" t="s">
        <v>2386</v>
      </c>
      <c r="G1255" s="2" t="s">
        <v>3756</v>
      </c>
      <c r="H1255" s="2" t="s">
        <v>2052</v>
      </c>
      <c r="I1255" s="3" t="b">
        <f>OR(E1255 = "calculated", E1255 = "lookup", E1255 = "aggregation")</f>
        <v>1</v>
      </c>
      <c r="J1255" s="3" t="b">
        <f>H1255 &lt;&gt; ""</f>
        <v>1</v>
      </c>
      <c r="K1255" s="3">
        <f>COUNTIFS(FieldDisagreements!D2:D999, A1255)</f>
        <v>0</v>
      </c>
      <c r="L1255" s="3" t="b">
        <f>K1255 &gt; 0</f>
        <v>0</v>
      </c>
      <c r="M1255" s="2" t="s">
        <v>2387</v>
      </c>
    </row>
    <row r="1256">
      <c r="A1256" s="2" t="s">
        <v>4491</v>
      </c>
      <c r="B1256" s="3" t="str">
        <f>C1256 &amp; "." &amp; D1256</f>
        <v>MessageDeliveries.ExecutionHasClearedLegalReview</v>
      </c>
      <c r="C1256" s="2" t="s">
        <v>4378</v>
      </c>
      <c r="D1256" s="2" t="s">
        <v>4492</v>
      </c>
      <c r="E1256" s="2" t="s">
        <v>2478</v>
      </c>
      <c r="F1256" s="2" t="s">
        <v>2401</v>
      </c>
      <c r="G1256" s="2" t="s">
        <v>4493</v>
      </c>
      <c r="H1256" s="2" t="s">
        <v>2052</v>
      </c>
      <c r="I1256" s="3" t="b">
        <f>OR(E1256 = "calculated", E1256 = "lookup", E1256 = "aggregation")</f>
        <v>1</v>
      </c>
      <c r="J1256" s="3" t="b">
        <f>H1256 &lt;&gt; ""</f>
        <v>1</v>
      </c>
      <c r="K1256" s="3">
        <f>COUNTIFS(FieldDisagreements!D2:D999, A1256)</f>
        <v>0</v>
      </c>
      <c r="L1256" s="3" t="b">
        <f>K1256 &gt; 0</f>
        <v>0</v>
      </c>
      <c r="M1256" s="2" t="s">
        <v>2387</v>
      </c>
    </row>
    <row r="1257">
      <c r="A1257" s="2" t="s">
        <v>4494</v>
      </c>
      <c r="B1257" s="3" t="str">
        <f>C1257 &amp; "." &amp; D1257</f>
        <v>MessageDeliveries.IsUnreviewedSend</v>
      </c>
      <c r="C1257" s="2" t="s">
        <v>4378</v>
      </c>
      <c r="D1257" s="2" t="s">
        <v>4495</v>
      </c>
      <c r="E1257" s="2" t="s">
        <v>2389</v>
      </c>
      <c r="F1257" s="2" t="s">
        <v>2401</v>
      </c>
      <c r="G1257" s="2" t="s">
        <v>4496</v>
      </c>
      <c r="H1257" s="2" t="s">
        <v>2052</v>
      </c>
      <c r="I1257" s="3" t="b">
        <f>OR(E1257 = "calculated", E1257 = "lookup", E1257 = "aggregation")</f>
        <v>1</v>
      </c>
      <c r="J1257" s="3" t="b">
        <f>H1257 &lt;&gt; ""</f>
        <v>1</v>
      </c>
      <c r="K1257" s="3">
        <f>COUNTIFS(FieldDisagreements!D2:D999, A1257)</f>
        <v>0</v>
      </c>
      <c r="L1257" s="3" t="b">
        <f>K1257 &gt; 0</f>
        <v>0</v>
      </c>
      <c r="M1257" s="2" t="s">
        <v>2387</v>
      </c>
    </row>
    <row r="1258">
      <c r="A1258" s="2" t="s">
        <v>4497</v>
      </c>
      <c r="B1258" s="3" t="str">
        <f>C1258 &amp; "." &amp; D1258</f>
        <v>MessageDeliveries.RenderedBodyLength</v>
      </c>
      <c r="C1258" s="2" t="s">
        <v>4378</v>
      </c>
      <c r="D1258" s="2" t="s">
        <v>4498</v>
      </c>
      <c r="E1258" s="2" t="s">
        <v>2389</v>
      </c>
      <c r="F1258" s="2" t="s">
        <v>2439</v>
      </c>
      <c r="G1258" s="2" t="s">
        <v>4499</v>
      </c>
      <c r="H1258" s="2" t="s">
        <v>2056</v>
      </c>
      <c r="I1258" s="3" t="b">
        <f>OR(E1258 = "calculated", E1258 = "lookup", E1258 = "aggregation")</f>
        <v>1</v>
      </c>
      <c r="J1258" s="3" t="b">
        <f>H1258 &lt;&gt; ""</f>
        <v>1</v>
      </c>
      <c r="K1258" s="3">
        <f>COUNTIFS(FieldDisagreements!D2:D999, A1258)</f>
        <v>0</v>
      </c>
      <c r="L1258" s="3" t="b">
        <f>K1258 &gt; 0</f>
        <v>0</v>
      </c>
      <c r="M1258" s="2" t="s">
        <v>2387</v>
      </c>
    </row>
    <row r="1259">
      <c r="A1259" s="2" t="s">
        <v>4500</v>
      </c>
      <c r="B1259" s="3" t="str">
        <f>C1259 &amp; "." &amp; D1259</f>
        <v>MessageDeliveries.PolicyMaxMessageLengthAtSend</v>
      </c>
      <c r="C1259" s="2" t="s">
        <v>4378</v>
      </c>
      <c r="D1259" s="2" t="s">
        <v>4501</v>
      </c>
      <c r="E1259" s="2" t="s">
        <v>2478</v>
      </c>
      <c r="F1259" s="2" t="s">
        <v>2439</v>
      </c>
      <c r="G1259" s="2" t="s">
        <v>4502</v>
      </c>
      <c r="H1259" s="2" t="s">
        <v>2056</v>
      </c>
      <c r="I1259" s="3" t="b">
        <f>OR(E1259 = "calculated", E1259 = "lookup", E1259 = "aggregation")</f>
        <v>1</v>
      </c>
      <c r="J1259" s="3" t="b">
        <f>H1259 &lt;&gt; ""</f>
        <v>1</v>
      </c>
      <c r="K1259" s="3">
        <f>COUNTIFS(FieldDisagreements!D2:D999, A1259)</f>
        <v>0</v>
      </c>
      <c r="L1259" s="3" t="b">
        <f>K1259 &gt; 0</f>
        <v>0</v>
      </c>
      <c r="M1259" s="2" t="s">
        <v>2387</v>
      </c>
    </row>
    <row r="1260">
      <c r="A1260" s="2" t="s">
        <v>4503</v>
      </c>
      <c r="B1260" s="3" t="str">
        <f>C1260 &amp; "." &amp; D1260</f>
        <v>MessageDeliveries.SegmentCount</v>
      </c>
      <c r="C1260" s="2" t="s">
        <v>4378</v>
      </c>
      <c r="D1260" s="2" t="s">
        <v>4504</v>
      </c>
      <c r="E1260" s="2" t="s">
        <v>2389</v>
      </c>
      <c r="F1260" s="2" t="s">
        <v>2439</v>
      </c>
      <c r="G1260" s="2" t="s">
        <v>4505</v>
      </c>
      <c r="H1260" s="2" t="s">
        <v>2056</v>
      </c>
      <c r="I1260" s="3" t="b">
        <f>OR(E1260 = "calculated", E1260 = "lookup", E1260 = "aggregation")</f>
        <v>1</v>
      </c>
      <c r="J1260" s="3" t="b">
        <f>H1260 &lt;&gt; ""</f>
        <v>1</v>
      </c>
      <c r="K1260" s="3">
        <f>COUNTIFS(FieldDisagreements!D2:D999, A1260)</f>
        <v>6</v>
      </c>
      <c r="L1260" s="3" t="b">
        <f>K1260 &gt; 0</f>
        <v>1</v>
      </c>
      <c r="M1260" s="2" t="s">
        <v>2387</v>
      </c>
    </row>
    <row r="1261">
      <c r="A1261" s="2" t="s">
        <v>4506</v>
      </c>
      <c r="B1261" s="3" t="str">
        <f>C1261 &amp; "." &amp; D1261</f>
        <v>MessageDeliveries.PolicyMaxSegmentsAtSend</v>
      </c>
      <c r="C1261" s="2" t="s">
        <v>4378</v>
      </c>
      <c r="D1261" s="2" t="s">
        <v>4507</v>
      </c>
      <c r="E1261" s="2" t="s">
        <v>2478</v>
      </c>
      <c r="F1261" s="2" t="s">
        <v>2439</v>
      </c>
      <c r="G1261" s="2" t="s">
        <v>4508</v>
      </c>
      <c r="H1261" s="2" t="s">
        <v>2056</v>
      </c>
      <c r="I1261" s="3" t="b">
        <f>OR(E1261 = "calculated", E1261 = "lookup", E1261 = "aggregation")</f>
        <v>1</v>
      </c>
      <c r="J1261" s="3" t="b">
        <f>H1261 &lt;&gt; ""</f>
        <v>1</v>
      </c>
      <c r="K1261" s="3">
        <f>COUNTIFS(FieldDisagreements!D2:D999, A1261)</f>
        <v>0</v>
      </c>
      <c r="L1261" s="3" t="b">
        <f>K1261 &gt; 0</f>
        <v>0</v>
      </c>
      <c r="M1261" s="2" t="s">
        <v>2387</v>
      </c>
    </row>
    <row r="1262">
      <c r="A1262" s="2" t="s">
        <v>4509</v>
      </c>
      <c r="B1262" s="3" t="str">
        <f>C1262 &amp; "." &amp; D1262</f>
        <v>MessageDeliveries.IsOverSegmentLimit</v>
      </c>
      <c r="C1262" s="2" t="s">
        <v>4378</v>
      </c>
      <c r="D1262" s="2" t="s">
        <v>4510</v>
      </c>
      <c r="E1262" s="2" t="s">
        <v>2389</v>
      </c>
      <c r="F1262" s="2" t="s">
        <v>2401</v>
      </c>
      <c r="G1262" s="2" t="s">
        <v>4511</v>
      </c>
      <c r="H1262" s="2" t="s">
        <v>2056</v>
      </c>
      <c r="I1262" s="3" t="b">
        <f>OR(E1262 = "calculated", E1262 = "lookup", E1262 = "aggregation")</f>
        <v>1</v>
      </c>
      <c r="J1262" s="3" t="b">
        <f>H1262 &lt;&gt; ""</f>
        <v>1</v>
      </c>
      <c r="K1262" s="3">
        <f>COUNTIFS(FieldDisagreements!D2:D999, A1262)</f>
        <v>0</v>
      </c>
      <c r="L1262" s="3" t="b">
        <f>K1262 &gt; 0</f>
        <v>0</v>
      </c>
      <c r="M1262" s="2" t="s">
        <v>2387</v>
      </c>
    </row>
    <row r="1263">
      <c r="A1263" s="2" t="s">
        <v>4512</v>
      </c>
      <c r="B1263" s="3" t="str">
        <f>C1263 &amp; "." &amp; D1263</f>
        <v>MessageDeliveries.TemplateHasValidApproval</v>
      </c>
      <c r="C1263" s="2" t="s">
        <v>4378</v>
      </c>
      <c r="D1263" s="2" t="s">
        <v>4513</v>
      </c>
      <c r="E1263" s="2" t="s">
        <v>2478</v>
      </c>
      <c r="F1263" s="2" t="s">
        <v>2401</v>
      </c>
      <c r="G1263" s="2" t="s">
        <v>4514</v>
      </c>
      <c r="H1263" s="2" t="s">
        <v>2060</v>
      </c>
      <c r="I1263" s="3" t="b">
        <f>OR(E1263 = "calculated", E1263 = "lookup", E1263 = "aggregation")</f>
        <v>1</v>
      </c>
      <c r="J1263" s="3" t="b">
        <f>H1263 &lt;&gt; ""</f>
        <v>1</v>
      </c>
      <c r="K1263" s="3">
        <f>COUNTIFS(FieldDisagreements!D2:D999, A1263)</f>
        <v>0</v>
      </c>
      <c r="L1263" s="3" t="b">
        <f>K1263 &gt; 0</f>
        <v>0</v>
      </c>
      <c r="M1263" s="2" t="s">
        <v>2387</v>
      </c>
    </row>
    <row r="1264">
      <c r="A1264" s="2" t="s">
        <v>4515</v>
      </c>
      <c r="B1264" s="3" t="str">
        <f>C1264 &amp; "." &amp; D1264</f>
        <v>MessageDeliveries.IsUnapprovedSend</v>
      </c>
      <c r="C1264" s="2" t="s">
        <v>4378</v>
      </c>
      <c r="D1264" s="2" t="s">
        <v>4516</v>
      </c>
      <c r="E1264" s="2" t="s">
        <v>2389</v>
      </c>
      <c r="F1264" s="2" t="s">
        <v>2401</v>
      </c>
      <c r="G1264" s="2" t="s">
        <v>4517</v>
      </c>
      <c r="H1264" s="2" t="s">
        <v>2060</v>
      </c>
      <c r="I1264" s="3" t="b">
        <f>OR(E1264 = "calculated", E1264 = "lookup", E1264 = "aggregation")</f>
        <v>1</v>
      </c>
      <c r="J1264" s="3" t="b">
        <f>H1264 &lt;&gt; ""</f>
        <v>1</v>
      </c>
      <c r="K1264" s="3">
        <f>COUNTIFS(FieldDisagreements!D2:D999, A1264)</f>
        <v>0</v>
      </c>
      <c r="L1264" s="3" t="b">
        <f>K1264 &gt; 0</f>
        <v>0</v>
      </c>
      <c r="M1264" s="2" t="s">
        <v>2387</v>
      </c>
    </row>
    <row r="1265">
      <c r="A1265" s="2" t="s">
        <v>4518</v>
      </c>
      <c r="B1265" s="3" t="str">
        <f>C1265 &amp; "." &amp; D1265</f>
        <v>MessageDeliveries.PolicyRequiredOptOutPhrase</v>
      </c>
      <c r="C1265" s="2" t="s">
        <v>4378</v>
      </c>
      <c r="D1265" s="2" t="s">
        <v>4519</v>
      </c>
      <c r="E1265" s="2" t="s">
        <v>2478</v>
      </c>
      <c r="F1265" s="2" t="s">
        <v>2386</v>
      </c>
      <c r="G1265" s="2" t="s">
        <v>4520</v>
      </c>
      <c r="H1265" s="2" t="s">
        <v>2064</v>
      </c>
      <c r="I1265" s="3" t="b">
        <f>OR(E1265 = "calculated", E1265 = "lookup", E1265 = "aggregation")</f>
        <v>1</v>
      </c>
      <c r="J1265" s="3" t="b">
        <f>H1265 &lt;&gt; ""</f>
        <v>1</v>
      </c>
      <c r="K1265" s="3">
        <f>COUNTIFS(FieldDisagreements!D2:D999, A1265)</f>
        <v>0</v>
      </c>
      <c r="L1265" s="3" t="b">
        <f>K1265 &gt; 0</f>
        <v>0</v>
      </c>
      <c r="M1265" s="2" t="s">
        <v>2387</v>
      </c>
    </row>
    <row r="1266">
      <c r="A1266" s="2" t="s">
        <v>4521</v>
      </c>
      <c r="B1266" s="3" t="str">
        <f>C1266 &amp; "." &amp; D1266</f>
        <v>MessageDeliveries.PolicyRequiresOptOut</v>
      </c>
      <c r="C1266" s="2" t="s">
        <v>4378</v>
      </c>
      <c r="D1266" s="2" t="s">
        <v>4522</v>
      </c>
      <c r="E1266" s="2" t="s">
        <v>2389</v>
      </c>
      <c r="F1266" s="2" t="s">
        <v>2401</v>
      </c>
      <c r="G1266" s="2" t="s">
        <v>4523</v>
      </c>
      <c r="H1266" s="2" t="s">
        <v>2064</v>
      </c>
      <c r="I1266" s="3" t="b">
        <f>OR(E1266 = "calculated", E1266 = "lookup", E1266 = "aggregation")</f>
        <v>1</v>
      </c>
      <c r="J1266" s="3" t="b">
        <f>H1266 &lt;&gt; ""</f>
        <v>1</v>
      </c>
      <c r="K1266" s="3">
        <f>COUNTIFS(FieldDisagreements!D2:D999, A1266)</f>
        <v>1</v>
      </c>
      <c r="L1266" s="3" t="b">
        <f>K1266 &gt; 0</f>
        <v>1</v>
      </c>
      <c r="M1266" s="2" t="s">
        <v>2387</v>
      </c>
    </row>
    <row r="1267">
      <c r="A1267" s="2" t="s">
        <v>4524</v>
      </c>
      <c r="B1267" s="3" t="str">
        <f>C1267 &amp; "." &amp; D1267</f>
        <v>MessageDeliveries.OptOutPhrasePosition</v>
      </c>
      <c r="C1267" s="2" t="s">
        <v>4378</v>
      </c>
      <c r="D1267" s="2" t="s">
        <v>4525</v>
      </c>
      <c r="E1267" s="2" t="s">
        <v>2389</v>
      </c>
      <c r="F1267" s="2" t="s">
        <v>2439</v>
      </c>
      <c r="G1267" s="2" t="s">
        <v>4526</v>
      </c>
      <c r="H1267" s="2" t="s">
        <v>2064</v>
      </c>
      <c r="I1267" s="3" t="b">
        <f>OR(E1267 = "calculated", E1267 = "lookup", E1267 = "aggregation")</f>
        <v>1</v>
      </c>
      <c r="J1267" s="3" t="b">
        <f>H1267 &lt;&gt; ""</f>
        <v>1</v>
      </c>
      <c r="K1267" s="3">
        <f>COUNTIFS(FieldDisagreements!D2:D999, A1267)</f>
        <v>6</v>
      </c>
      <c r="L1267" s="3" t="b">
        <f>K1267 &gt; 0</f>
        <v>1</v>
      </c>
      <c r="M1267" s="2" t="s">
        <v>2387</v>
      </c>
    </row>
    <row r="1268">
      <c r="A1268" s="2" t="s">
        <v>4527</v>
      </c>
      <c r="B1268" s="3" t="str">
        <f>C1268 &amp; "." &amp; D1268</f>
        <v>MessageDeliveries.HasOptOutPhrase</v>
      </c>
      <c r="C1268" s="2" t="s">
        <v>4378</v>
      </c>
      <c r="D1268" s="2" t="s">
        <v>4528</v>
      </c>
      <c r="E1268" s="2" t="s">
        <v>2389</v>
      </c>
      <c r="F1268" s="2" t="s">
        <v>2401</v>
      </c>
      <c r="G1268" s="2" t="s">
        <v>4529</v>
      </c>
      <c r="H1268" s="2" t="s">
        <v>2064</v>
      </c>
      <c r="I1268" s="3" t="b">
        <f>OR(E1268 = "calculated", E1268 = "lookup", E1268 = "aggregation")</f>
        <v>1</v>
      </c>
      <c r="J1268" s="3" t="b">
        <f>H1268 &lt;&gt; ""</f>
        <v>1</v>
      </c>
      <c r="K1268" s="3">
        <f>COUNTIFS(FieldDisagreements!D2:D999, A1268)</f>
        <v>2</v>
      </c>
      <c r="L1268" s="3" t="b">
        <f>K1268 &gt; 0</f>
        <v>1</v>
      </c>
      <c r="M1268" s="2" t="s">
        <v>2387</v>
      </c>
    </row>
    <row r="1269">
      <c r="A1269" s="2" t="s">
        <v>4530</v>
      </c>
      <c r="B1269" s="3" t="str">
        <f>C1269 &amp; "." &amp; D1269</f>
        <v>MessageDeliveries.IsOptOutInFirstSegment</v>
      </c>
      <c r="C1269" s="2" t="s">
        <v>4378</v>
      </c>
      <c r="D1269" s="2" t="s">
        <v>4531</v>
      </c>
      <c r="E1269" s="2" t="s">
        <v>2389</v>
      </c>
      <c r="F1269" s="2" t="s">
        <v>2401</v>
      </c>
      <c r="G1269" s="2" t="s">
        <v>4532</v>
      </c>
      <c r="H1269" s="2" t="s">
        <v>2064</v>
      </c>
      <c r="I1269" s="3" t="b">
        <f>OR(E1269 = "calculated", E1269 = "lookup", E1269 = "aggregation")</f>
        <v>1</v>
      </c>
      <c r="J1269" s="3" t="b">
        <f>H1269 &lt;&gt; ""</f>
        <v>1</v>
      </c>
      <c r="K1269" s="3">
        <f>COUNTIFS(FieldDisagreements!D2:D999, A1269)</f>
        <v>2</v>
      </c>
      <c r="L1269" s="3" t="b">
        <f>K1269 &gt; 0</f>
        <v>1</v>
      </c>
      <c r="M1269" s="2" t="s">
        <v>2387</v>
      </c>
    </row>
    <row r="1270">
      <c r="A1270" s="2" t="s">
        <v>4533</v>
      </c>
      <c r="B1270" s="3" t="str">
        <f>C1270 &amp; "." &amp; D1270</f>
        <v>MessageDeliveries.IsMissingRequiredOptOut</v>
      </c>
      <c r="C1270" s="2" t="s">
        <v>4378</v>
      </c>
      <c r="D1270" s="2" t="s">
        <v>4534</v>
      </c>
      <c r="E1270" s="2" t="s">
        <v>2389</v>
      </c>
      <c r="F1270" s="2" t="s">
        <v>2401</v>
      </c>
      <c r="G1270" s="2" t="s">
        <v>4535</v>
      </c>
      <c r="H1270" s="2" t="s">
        <v>2064</v>
      </c>
      <c r="I1270" s="3" t="b">
        <f>OR(E1270 = "calculated", E1270 = "lookup", E1270 = "aggregation")</f>
        <v>1</v>
      </c>
      <c r="J1270" s="3" t="b">
        <f>H1270 &lt;&gt; ""</f>
        <v>1</v>
      </c>
      <c r="K1270" s="3">
        <f>COUNTIFS(FieldDisagreements!D2:D999, A1270)</f>
        <v>2</v>
      </c>
      <c r="L1270" s="3" t="b">
        <f>K1270 &gt; 0</f>
        <v>1</v>
      </c>
      <c r="M1270" s="2" t="s">
        <v>2387</v>
      </c>
    </row>
    <row r="1271">
      <c r="A1271" s="2" t="s">
        <v>4536</v>
      </c>
      <c r="B1271" s="3" t="str">
        <f>C1271 &amp; "." &amp; D1271</f>
        <v>MessageDeliveries.IsOptOutAtRiskOfTruncation</v>
      </c>
      <c r="C1271" s="2" t="s">
        <v>4378</v>
      </c>
      <c r="D1271" s="2" t="s">
        <v>4537</v>
      </c>
      <c r="E1271" s="2" t="s">
        <v>2389</v>
      </c>
      <c r="F1271" s="2" t="s">
        <v>2401</v>
      </c>
      <c r="G1271" s="2" t="s">
        <v>4538</v>
      </c>
      <c r="H1271" s="2" t="s">
        <v>2064</v>
      </c>
      <c r="I1271" s="3" t="b">
        <f>OR(E1271 = "calculated", E1271 = "lookup", E1271 = "aggregation")</f>
        <v>1</v>
      </c>
      <c r="J1271" s="3" t="b">
        <f>H1271 &lt;&gt; ""</f>
        <v>1</v>
      </c>
      <c r="K1271" s="3">
        <f>COUNTIFS(FieldDisagreements!D2:D999, A1271)</f>
        <v>1</v>
      </c>
      <c r="L1271" s="3" t="b">
        <f>K1271 &gt; 0</f>
        <v>1</v>
      </c>
      <c r="M1271" s="2" t="s">
        <v>2387</v>
      </c>
    </row>
    <row r="1272">
      <c r="A1272" s="2" t="s">
        <v>4539</v>
      </c>
      <c r="B1272" s="3" t="str">
        <f>C1272 &amp; "." &amp; D1272</f>
        <v>MessageDeliveries.IsFailedDelivery</v>
      </c>
      <c r="C1272" s="2" t="s">
        <v>4378</v>
      </c>
      <c r="D1272" s="2" t="s">
        <v>4540</v>
      </c>
      <c r="E1272" s="2" t="s">
        <v>2389</v>
      </c>
      <c r="F1272" s="2" t="s">
        <v>2401</v>
      </c>
      <c r="G1272" s="2" t="s">
        <v>4541</v>
      </c>
      <c r="H1272" s="2" t="s">
        <v>2068</v>
      </c>
      <c r="I1272" s="3" t="b">
        <f>OR(E1272 = "calculated", E1272 = "lookup", E1272 = "aggregation")</f>
        <v>1</v>
      </c>
      <c r="J1272" s="3" t="b">
        <f>H1272 &lt;&gt; ""</f>
        <v>1</v>
      </c>
      <c r="K1272" s="3">
        <f>COUNTIFS(FieldDisagreements!D2:D999, A1272)</f>
        <v>0</v>
      </c>
      <c r="L1272" s="3" t="b">
        <f>K1272 &gt; 0</f>
        <v>0</v>
      </c>
      <c r="M1272" s="2" t="s">
        <v>2387</v>
      </c>
    </row>
    <row r="1273">
      <c r="A1273" s="2" t="s">
        <v>4542</v>
      </c>
      <c r="B1273" s="3" t="str">
        <f>C1273 &amp; "." &amp; D1273</f>
        <v>MessageDeliveries.IsSuppressed</v>
      </c>
      <c r="C1273" s="2" t="s">
        <v>4378</v>
      </c>
      <c r="D1273" s="2" t="s">
        <v>4543</v>
      </c>
      <c r="E1273" s="2" t="s">
        <v>2389</v>
      </c>
      <c r="F1273" s="2" t="s">
        <v>2401</v>
      </c>
      <c r="G1273" s="2" t="s">
        <v>4544</v>
      </c>
      <c r="H1273" s="2" t="s">
        <v>2068</v>
      </c>
      <c r="I1273" s="3" t="b">
        <f>OR(E1273 = "calculated", E1273 = "lookup", E1273 = "aggregation")</f>
        <v>1</v>
      </c>
      <c r="J1273" s="3" t="b">
        <f>H1273 &lt;&gt; ""</f>
        <v>1</v>
      </c>
      <c r="K1273" s="3">
        <f>COUNTIFS(FieldDisagreements!D2:D999, A1273)</f>
        <v>0</v>
      </c>
      <c r="L1273" s="3" t="b">
        <f>K1273 &gt; 0</f>
        <v>0</v>
      </c>
      <c r="M1273" s="2" t="s">
        <v>2387</v>
      </c>
    </row>
    <row r="1274">
      <c r="A1274" s="2" t="s">
        <v>4545</v>
      </c>
      <c r="B1274" s="3" t="str">
        <f>C1274 &amp; "." &amp; D1274</f>
        <v>MessageDeliveries.IsTriaged</v>
      </c>
      <c r="C1274" s="2" t="s">
        <v>4378</v>
      </c>
      <c r="D1274" s="2" t="s">
        <v>4546</v>
      </c>
      <c r="E1274" s="2" t="s">
        <v>2389</v>
      </c>
      <c r="F1274" s="2" t="s">
        <v>2401</v>
      </c>
      <c r="G1274" s="2" t="s">
        <v>4547</v>
      </c>
      <c r="H1274" s="2" t="s">
        <v>2068</v>
      </c>
      <c r="I1274" s="3" t="b">
        <f>OR(E1274 = "calculated", E1274 = "lookup", E1274 = "aggregation")</f>
        <v>1</v>
      </c>
      <c r="J1274" s="3" t="b">
        <f>H1274 &lt;&gt; ""</f>
        <v>1</v>
      </c>
      <c r="K1274" s="3">
        <f>COUNTIFS(FieldDisagreements!D2:D999, A1274)</f>
        <v>0</v>
      </c>
      <c r="L1274" s="3" t="b">
        <f>K1274 &gt; 0</f>
        <v>0</v>
      </c>
      <c r="M1274" s="2" t="s">
        <v>2387</v>
      </c>
    </row>
    <row r="1275">
      <c r="A1275" s="2" t="s">
        <v>4548</v>
      </c>
      <c r="B1275" s="3" t="str">
        <f>C1275 &amp; "." &amp; D1275</f>
        <v>MessageDeliveries.IsAbandonedFailure</v>
      </c>
      <c r="C1275" s="2" t="s">
        <v>4378</v>
      </c>
      <c r="D1275" s="2" t="s">
        <v>4549</v>
      </c>
      <c r="E1275" s="2" t="s">
        <v>2389</v>
      </c>
      <c r="F1275" s="2" t="s">
        <v>2401</v>
      </c>
      <c r="G1275" s="2" t="s">
        <v>4550</v>
      </c>
      <c r="H1275" s="2" t="s">
        <v>2068</v>
      </c>
      <c r="I1275" s="3" t="b">
        <f>OR(E1275 = "calculated", E1275 = "lookup", E1275 = "aggregation")</f>
        <v>1</v>
      </c>
      <c r="J1275" s="3" t="b">
        <f>H1275 &lt;&gt; ""</f>
        <v>1</v>
      </c>
      <c r="K1275" s="3">
        <f>COUNTIFS(FieldDisagreements!D2:D999, A1275)</f>
        <v>0</v>
      </c>
      <c r="L1275" s="3" t="b">
        <f>K1275 &gt; 0</f>
        <v>0</v>
      </c>
      <c r="M1275" s="2" t="s">
        <v>2387</v>
      </c>
    </row>
    <row r="1276">
      <c r="A1276" s="2" t="s">
        <v>4551</v>
      </c>
      <c r="B1276" s="3" t="str">
        <f>C1276 &amp; "." &amp; D1276</f>
        <v>MessageDeliveries.AbandonedFailureExecutionKey</v>
      </c>
      <c r="C1276" s="2" t="s">
        <v>4378</v>
      </c>
      <c r="D1276" s="2" t="s">
        <v>4552</v>
      </c>
      <c r="E1276" s="2" t="s">
        <v>2389</v>
      </c>
      <c r="F1276" s="2" t="s">
        <v>2386</v>
      </c>
      <c r="G1276" s="2" t="s">
        <v>4553</v>
      </c>
      <c r="H1276" s="2" t="s">
        <v>2068</v>
      </c>
      <c r="I1276" s="3" t="b">
        <f>OR(E1276 = "calculated", E1276 = "lookup", E1276 = "aggregation")</f>
        <v>1</v>
      </c>
      <c r="J1276" s="3" t="b">
        <f>H1276 &lt;&gt; ""</f>
        <v>1</v>
      </c>
      <c r="K1276" s="3">
        <f>COUNTIFS(FieldDisagreements!D2:D999, A1276)</f>
        <v>0</v>
      </c>
      <c r="L1276" s="3" t="b">
        <f>K1276 &gt; 0</f>
        <v>0</v>
      </c>
      <c r="M1276" s="2" t="s">
        <v>2387</v>
      </c>
    </row>
    <row r="1277">
      <c r="A1277" s="2" t="s">
        <v>4554</v>
      </c>
      <c r="B1277" s="3" t="str">
        <f>C1277 &amp; "." &amp; D1277</f>
        <v>MessageDeliveries.ReachedExecutionKey</v>
      </c>
      <c r="C1277" s="2" t="s">
        <v>4378</v>
      </c>
      <c r="D1277" s="2" t="s">
        <v>4555</v>
      </c>
      <c r="E1277" s="2" t="s">
        <v>2389</v>
      </c>
      <c r="F1277" s="2" t="s">
        <v>2386</v>
      </c>
      <c r="G1277" s="2" t="s">
        <v>4556</v>
      </c>
      <c r="H1277" s="2" t="s">
        <v>2068</v>
      </c>
      <c r="I1277" s="3" t="b">
        <f>OR(E1277 = "calculated", E1277 = "lookup", E1277 = "aggregation")</f>
        <v>1</v>
      </c>
      <c r="J1277" s="3" t="b">
        <f>H1277 &lt;&gt; ""</f>
        <v>1</v>
      </c>
      <c r="K1277" s="3">
        <f>COUNTIFS(FieldDisagreements!D2:D999, A1277)</f>
        <v>0</v>
      </c>
      <c r="L1277" s="3" t="b">
        <f>K1277 &gt; 0</f>
        <v>0</v>
      </c>
      <c r="M1277" s="2" t="s">
        <v>2387</v>
      </c>
    </row>
    <row r="1278">
      <c r="A1278" s="2" t="s">
        <v>4557</v>
      </c>
      <c r="B1278" s="3" t="str">
        <f>C1278 &amp; "." &amp; D1278</f>
        <v>MessageDeliveries.TemplateWasSendable</v>
      </c>
      <c r="C1278" s="2" t="s">
        <v>4378</v>
      </c>
      <c r="D1278" s="2" t="s">
        <v>4558</v>
      </c>
      <c r="E1278" s="2" t="s">
        <v>2478</v>
      </c>
      <c r="F1278" s="2" t="s">
        <v>2401</v>
      </c>
      <c r="G1278" s="2" t="s">
        <v>4559</v>
      </c>
      <c r="H1278" s="2" t="s">
        <v>2072</v>
      </c>
      <c r="I1278" s="3" t="b">
        <f>OR(E1278 = "calculated", E1278 = "lookup", E1278 = "aggregation")</f>
        <v>1</v>
      </c>
      <c r="J1278" s="3" t="b">
        <f>H1278 &lt;&gt; ""</f>
        <v>1</v>
      </c>
      <c r="K1278" s="3">
        <f>COUNTIFS(FieldDisagreements!D2:D999, A1278)</f>
        <v>0</v>
      </c>
      <c r="L1278" s="3" t="b">
        <f>K1278 &gt; 0</f>
        <v>0</v>
      </c>
      <c r="M1278" s="2" t="s">
        <v>2387</v>
      </c>
    </row>
    <row r="1279">
      <c r="A1279" s="2" t="s">
        <v>4560</v>
      </c>
      <c r="B1279" s="3" t="str">
        <f>C1279 &amp; "." &amp; D1279</f>
        <v>MessageDeliveries.IsDriftedSend</v>
      </c>
      <c r="C1279" s="2" t="s">
        <v>4378</v>
      </c>
      <c r="D1279" s="2" t="s">
        <v>4561</v>
      </c>
      <c r="E1279" s="2" t="s">
        <v>2389</v>
      </c>
      <c r="F1279" s="2" t="s">
        <v>2401</v>
      </c>
      <c r="G1279" s="2" t="s">
        <v>4562</v>
      </c>
      <c r="H1279" s="2" t="s">
        <v>2072</v>
      </c>
      <c r="I1279" s="3" t="b">
        <f>OR(E1279 = "calculated", E1279 = "lookup", E1279 = "aggregation")</f>
        <v>1</v>
      </c>
      <c r="J1279" s="3" t="b">
        <f>H1279 &lt;&gt; ""</f>
        <v>1</v>
      </c>
      <c r="K1279" s="3">
        <f>COUNTIFS(FieldDisagreements!D2:D999, A1279)</f>
        <v>0</v>
      </c>
      <c r="L1279" s="3" t="b">
        <f>K1279 &gt; 0</f>
        <v>0</v>
      </c>
      <c r="M1279" s="2" t="s">
        <v>2387</v>
      </c>
    </row>
    <row r="1280">
      <c r="A1280" s="2" t="s">
        <v>4563</v>
      </c>
      <c r="B1280" s="3" t="str">
        <f>C1280 &amp; "." &amp; D1280</f>
        <v>MessageDeliveries.DriftedSendTemplateKey</v>
      </c>
      <c r="C1280" s="2" t="s">
        <v>4378</v>
      </c>
      <c r="D1280" s="2" t="s">
        <v>4564</v>
      </c>
      <c r="E1280" s="2" t="s">
        <v>2389</v>
      </c>
      <c r="F1280" s="2" t="s">
        <v>2386</v>
      </c>
      <c r="G1280" s="2" t="s">
        <v>4565</v>
      </c>
      <c r="H1280" s="2" t="s">
        <v>2072</v>
      </c>
      <c r="I1280" s="3" t="b">
        <f>OR(E1280 = "calculated", E1280 = "lookup", E1280 = "aggregation")</f>
        <v>1</v>
      </c>
      <c r="J1280" s="3" t="b">
        <f>H1280 &lt;&gt; ""</f>
        <v>1</v>
      </c>
      <c r="K1280" s="3">
        <f>COUNTIFS(FieldDisagreements!D2:D999, A1280)</f>
        <v>0</v>
      </c>
      <c r="L1280" s="3" t="b">
        <f>K1280 &gt; 0</f>
        <v>0</v>
      </c>
      <c r="M1280" s="2" t="s">
        <v>2387</v>
      </c>
    </row>
    <row r="1281">
      <c r="A1281" s="2" t="s">
        <v>4566</v>
      </c>
      <c r="B1281" s="3" t="str">
        <f>C1281 &amp; "." &amp; D1281</f>
        <v>MessageDeliveries.WasSentOutsideBusinessHours</v>
      </c>
      <c r="C1281" s="2" t="s">
        <v>4378</v>
      </c>
      <c r="D1281" s="2" t="s">
        <v>4567</v>
      </c>
      <c r="E1281" s="2" t="s">
        <v>2389</v>
      </c>
      <c r="F1281" s="2" t="s">
        <v>2401</v>
      </c>
      <c r="G1281" s="2" t="s">
        <v>4568</v>
      </c>
      <c r="H1281" s="2" t="s">
        <v>2300</v>
      </c>
      <c r="I1281" s="3" t="b">
        <f>OR(E1281 = "calculated", E1281 = "lookup", E1281 = "aggregation")</f>
        <v>1</v>
      </c>
      <c r="J1281" s="3" t="b">
        <f>H1281 &lt;&gt; ""</f>
        <v>1</v>
      </c>
      <c r="K1281" s="3">
        <f>COUNTIFS(FieldDisagreements!D2:D999, A1281)</f>
        <v>0</v>
      </c>
      <c r="L1281" s="3" t="b">
        <f>K1281 &gt; 0</f>
        <v>0</v>
      </c>
      <c r="M1281" s="2" t="s">
        <v>2387</v>
      </c>
    </row>
    <row r="1282">
      <c r="A1282" s="2" t="s">
        <v>4569</v>
      </c>
      <c r="B1282" s="3" t="str">
        <f>C1282 &amp; "." &amp; D1282</f>
        <v>MessageDeliveries.WasDeliveredAndUnanswered</v>
      </c>
      <c r="C1282" s="2" t="s">
        <v>4378</v>
      </c>
      <c r="D1282" s="2" t="s">
        <v>4570</v>
      </c>
      <c r="E1282" s="2" t="s">
        <v>2389</v>
      </c>
      <c r="F1282" s="2" t="s">
        <v>2401</v>
      </c>
      <c r="G1282" s="2" t="s">
        <v>4571</v>
      </c>
      <c r="H1282" s="2" t="s">
        <v>2300</v>
      </c>
      <c r="I1282" s="3" t="b">
        <f>OR(E1282 = "calculated", E1282 = "lookup", E1282 = "aggregation")</f>
        <v>1</v>
      </c>
      <c r="J1282" s="3" t="b">
        <f>H1282 &lt;&gt; ""</f>
        <v>1</v>
      </c>
      <c r="K1282" s="3">
        <f>COUNTIFS(FieldDisagreements!D2:D999, A1282)</f>
        <v>0</v>
      </c>
      <c r="L1282" s="3" t="b">
        <f>K1282 &gt; 0</f>
        <v>0</v>
      </c>
      <c r="M1282" s="2" t="s">
        <v>2387</v>
      </c>
    </row>
    <row r="1283">
      <c r="A1283" s="2" t="s">
        <v>4572</v>
      </c>
      <c r="B1283" s="3" t="str">
        <f>C1283 &amp; "." &amp; D1283</f>
        <v>MessageDeliveries.IsPoorlyTimedUnanswered</v>
      </c>
      <c r="C1283" s="2" t="s">
        <v>4378</v>
      </c>
      <c r="D1283" s="2" t="s">
        <v>4573</v>
      </c>
      <c r="E1283" s="2" t="s">
        <v>2389</v>
      </c>
      <c r="F1283" s="2" t="s">
        <v>2401</v>
      </c>
      <c r="G1283" s="2" t="s">
        <v>4574</v>
      </c>
      <c r="H1283" s="2" t="s">
        <v>2300</v>
      </c>
      <c r="I1283" s="3" t="b">
        <f>OR(E1283 = "calculated", E1283 = "lookup", E1283 = "aggregation")</f>
        <v>1</v>
      </c>
      <c r="J1283" s="3" t="b">
        <f>H1283 &lt;&gt; ""</f>
        <v>1</v>
      </c>
      <c r="K1283" s="3">
        <f>COUNTIFS(FieldDisagreements!D2:D999, A1283)</f>
        <v>0</v>
      </c>
      <c r="L1283" s="3" t="b">
        <f>K1283 &gt; 0</f>
        <v>0</v>
      </c>
      <c r="M1283" s="2" t="s">
        <v>2387</v>
      </c>
    </row>
    <row r="1284">
      <c r="A1284" s="2" t="s">
        <v>4575</v>
      </c>
      <c r="B1284" s="3" t="str">
        <f>C1284 &amp; "." &amp; D1284</f>
        <v>MessageDeliveries.IsWellTimedUnanswered</v>
      </c>
      <c r="C1284" s="2" t="s">
        <v>4378</v>
      </c>
      <c r="D1284" s="2" t="s">
        <v>4576</v>
      </c>
      <c r="E1284" s="2" t="s">
        <v>2389</v>
      </c>
      <c r="F1284" s="2" t="s">
        <v>2401</v>
      </c>
      <c r="G1284" s="2" t="s">
        <v>4577</v>
      </c>
      <c r="H1284" s="2" t="s">
        <v>2300</v>
      </c>
      <c r="I1284" s="3" t="b">
        <f>OR(E1284 = "calculated", E1284 = "lookup", E1284 = "aggregation")</f>
        <v>1</v>
      </c>
      <c r="J1284" s="3" t="b">
        <f>H1284 &lt;&gt; ""</f>
        <v>1</v>
      </c>
      <c r="K1284" s="3">
        <f>COUNTIFS(FieldDisagreements!D2:D999, A1284)</f>
        <v>0</v>
      </c>
      <c r="L1284" s="3" t="b">
        <f>K1284 &gt; 0</f>
        <v>0</v>
      </c>
      <c r="M1284" s="2" t="s">
        <v>2387</v>
      </c>
    </row>
    <row r="1285">
      <c r="A1285" s="2" t="s">
        <v>4578</v>
      </c>
      <c r="B1285" s="3" t="str">
        <f>C1285 &amp; "." &amp; D1285</f>
        <v>MessageDeliveries.UnansweredTemplateKey</v>
      </c>
      <c r="C1285" s="2" t="s">
        <v>4378</v>
      </c>
      <c r="D1285" s="2" t="s">
        <v>4579</v>
      </c>
      <c r="E1285" s="2" t="s">
        <v>2389</v>
      </c>
      <c r="F1285" s="2" t="s">
        <v>2386</v>
      </c>
      <c r="G1285" s="2" t="s">
        <v>4580</v>
      </c>
      <c r="H1285" s="2" t="s">
        <v>2300</v>
      </c>
      <c r="I1285" s="3" t="b">
        <f>OR(E1285 = "calculated", E1285 = "lookup", E1285 = "aggregation")</f>
        <v>1</v>
      </c>
      <c r="J1285" s="3" t="b">
        <f>H1285 &lt;&gt; ""</f>
        <v>1</v>
      </c>
      <c r="K1285" s="3">
        <f>COUNTIFS(FieldDisagreements!D2:D999, A1285)</f>
        <v>0</v>
      </c>
      <c r="L1285" s="3" t="b">
        <f>K1285 &gt; 0</f>
        <v>0</v>
      </c>
      <c r="M1285" s="2" t="s">
        <v>2387</v>
      </c>
    </row>
    <row r="1286">
      <c r="A1286" s="2" t="s">
        <v>4581</v>
      </c>
      <c r="B1286" s="3" t="str">
        <f>C1286 &amp; "." &amp; D1286</f>
        <v>MessageDeliveries.TransmittedTemplateKey</v>
      </c>
      <c r="C1286" s="2" t="s">
        <v>4378</v>
      </c>
      <c r="D1286" s="2" t="s">
        <v>4582</v>
      </c>
      <c r="E1286" s="2" t="s">
        <v>2389</v>
      </c>
      <c r="F1286" s="2" t="s">
        <v>2386</v>
      </c>
      <c r="G1286" s="2" t="s">
        <v>4583</v>
      </c>
      <c r="H1286" s="2" t="s">
        <v>2300</v>
      </c>
      <c r="I1286" s="3" t="b">
        <f>OR(E1286 = "calculated", E1286 = "lookup", E1286 = "aggregation")</f>
        <v>1</v>
      </c>
      <c r="J1286" s="3" t="b">
        <f>H1286 &lt;&gt; ""</f>
        <v>1</v>
      </c>
      <c r="K1286" s="3">
        <f>COUNTIFS(FieldDisagreements!D2:D999, A1286)</f>
        <v>0</v>
      </c>
      <c r="L1286" s="3" t="b">
        <f>K1286 &gt; 0</f>
        <v>0</v>
      </c>
      <c r="M1286" s="2" t="s">
        <v>2387</v>
      </c>
    </row>
    <row r="1287">
      <c r="A1287" s="2" t="s">
        <v>4584</v>
      </c>
      <c r="B1287" s="3" t="str">
        <f>C1287 &amp; "." &amp; D1287</f>
        <v>MessageDeliveries.ApprovingAgentAtSend</v>
      </c>
      <c r="C1287" s="2" t="s">
        <v>4378</v>
      </c>
      <c r="D1287" s="2" t="s">
        <v>4585</v>
      </c>
      <c r="E1287" s="2" t="s">
        <v>2385</v>
      </c>
      <c r="F1287" s="2" t="s">
        <v>2386</v>
      </c>
      <c r="G1287" s="2"/>
      <c r="H1287" s="2" t="s">
        <v>2308</v>
      </c>
      <c r="I1287" s="3" t="b">
        <f>OR(E1287 = "calculated", E1287 = "lookup", E1287 = "aggregation")</f>
        <v>0</v>
      </c>
      <c r="J1287" s="3" t="b">
        <f>H1287 &lt;&gt; ""</f>
        <v>1</v>
      </c>
      <c r="K1287" s="3">
        <f>COUNTIFS(FieldDisagreements!D2:D999, A1287)</f>
        <v>0</v>
      </c>
      <c r="L1287" s="3" t="b">
        <f>K1287 &gt; 0</f>
        <v>0</v>
      </c>
      <c r="M1287" s="2" t="s">
        <v>2387</v>
      </c>
    </row>
    <row r="1288">
      <c r="A1288" s="2" t="s">
        <v>4586</v>
      </c>
      <c r="B1288" s="3" t="str">
        <f>C1288 &amp; "." &amp; D1288</f>
        <v>MessageDeliveries.ApprovingRoleAtSend</v>
      </c>
      <c r="C1288" s="2" t="s">
        <v>4378</v>
      </c>
      <c r="D1288" s="2" t="s">
        <v>4587</v>
      </c>
      <c r="E1288" s="2" t="s">
        <v>2385</v>
      </c>
      <c r="F1288" s="2" t="s">
        <v>2386</v>
      </c>
      <c r="G1288" s="2"/>
      <c r="H1288" s="2" t="s">
        <v>2308</v>
      </c>
      <c r="I1288" s="3" t="b">
        <f>OR(E1288 = "calculated", E1288 = "lookup", E1288 = "aggregation")</f>
        <v>0</v>
      </c>
      <c r="J1288" s="3" t="b">
        <f>H1288 &lt;&gt; ""</f>
        <v>1</v>
      </c>
      <c r="K1288" s="3">
        <f>COUNTIFS(FieldDisagreements!D2:D999, A1288)</f>
        <v>0</v>
      </c>
      <c r="L1288" s="3" t="b">
        <f>K1288 &gt; 0</f>
        <v>0</v>
      </c>
      <c r="M1288" s="2" t="s">
        <v>2387</v>
      </c>
    </row>
    <row r="1289">
      <c r="A1289" s="2" t="s">
        <v>4588</v>
      </c>
      <c r="B1289" s="3" t="str">
        <f>C1289 &amp; "." &amp; D1289</f>
        <v>MessageDeliveries.ApprovalDecidedAtSend</v>
      </c>
      <c r="C1289" s="2" t="s">
        <v>4378</v>
      </c>
      <c r="D1289" s="2" t="s">
        <v>4589</v>
      </c>
      <c r="E1289" s="2" t="s">
        <v>2385</v>
      </c>
      <c r="F1289" s="2" t="s">
        <v>2397</v>
      </c>
      <c r="G1289" s="2"/>
      <c r="H1289" s="2" t="s">
        <v>2308</v>
      </c>
      <c r="I1289" s="3" t="b">
        <f>OR(E1289 = "calculated", E1289 = "lookup", E1289 = "aggregation")</f>
        <v>0</v>
      </c>
      <c r="J1289" s="3" t="b">
        <f>H1289 &lt;&gt; ""</f>
        <v>1</v>
      </c>
      <c r="K1289" s="3">
        <f>COUNTIFS(FieldDisagreements!D2:D999, A1289)</f>
        <v>0</v>
      </c>
      <c r="L1289" s="3" t="b">
        <f>K1289 &gt; 0</f>
        <v>0</v>
      </c>
      <c r="M1289" s="2" t="s">
        <v>2387</v>
      </c>
    </row>
    <row r="1290">
      <c r="A1290" s="2" t="s">
        <v>4590</v>
      </c>
      <c r="B1290" s="3" t="str">
        <f>C1290 &amp; "." &amp; D1290</f>
        <v>MessageDeliveries.ApprovalPrecededSend</v>
      </c>
      <c r="C1290" s="2" t="s">
        <v>4378</v>
      </c>
      <c r="D1290" s="2" t="s">
        <v>4591</v>
      </c>
      <c r="E1290" s="2" t="s">
        <v>2389</v>
      </c>
      <c r="F1290" s="2" t="s">
        <v>2401</v>
      </c>
      <c r="G1290" s="2" t="s">
        <v>4592</v>
      </c>
      <c r="H1290" s="2" t="s">
        <v>2308</v>
      </c>
      <c r="I1290" s="3" t="b">
        <f>OR(E1290 = "calculated", E1290 = "lookup", E1290 = "aggregation")</f>
        <v>1</v>
      </c>
      <c r="J1290" s="3" t="b">
        <f>H1290 &lt;&gt; ""</f>
        <v>1</v>
      </c>
      <c r="K1290" s="3">
        <f>COUNTIFS(FieldDisagreements!D2:D999, A1290)</f>
        <v>0</v>
      </c>
      <c r="L1290" s="3" t="b">
        <f>K1290 &gt; 0</f>
        <v>0</v>
      </c>
      <c r="M1290" s="2" t="s">
        <v>2387</v>
      </c>
    </row>
    <row r="1291">
      <c r="A1291" s="2" t="s">
        <v>4593</v>
      </c>
      <c r="B1291" s="3" t="str">
        <f>C1291 &amp; "." &amp; D1291</f>
        <v>MessageDeliveries.HasFrozenApprovalEvidence</v>
      </c>
      <c r="C1291" s="2" t="s">
        <v>4378</v>
      </c>
      <c r="D1291" s="2" t="s">
        <v>4594</v>
      </c>
      <c r="E1291" s="2" t="s">
        <v>2389</v>
      </c>
      <c r="F1291" s="2" t="s">
        <v>2401</v>
      </c>
      <c r="G1291" s="2" t="s">
        <v>4595</v>
      </c>
      <c r="H1291" s="2" t="s">
        <v>2308</v>
      </c>
      <c r="I1291" s="3" t="b">
        <f>OR(E1291 = "calculated", E1291 = "lookup", E1291 = "aggregation")</f>
        <v>1</v>
      </c>
      <c r="J1291" s="3" t="b">
        <f>H1291 &lt;&gt; ""</f>
        <v>1</v>
      </c>
      <c r="K1291" s="3">
        <f>COUNTIFS(FieldDisagreements!D2:D999, A1291)</f>
        <v>0</v>
      </c>
      <c r="L1291" s="3" t="b">
        <f>K1291 &gt; 0</f>
        <v>0</v>
      </c>
      <c r="M1291" s="2" t="s">
        <v>2387</v>
      </c>
    </row>
    <row r="1292">
      <c r="A1292" s="2" t="s">
        <v>4596</v>
      </c>
      <c r="B1292" s="3" t="str">
        <f>C1292 &amp; "." &amp; D1292</f>
        <v>MessageDeliveries.ProvenanceIsLiveDerived</v>
      </c>
      <c r="C1292" s="2" t="s">
        <v>4378</v>
      </c>
      <c r="D1292" s="2" t="s">
        <v>4597</v>
      </c>
      <c r="E1292" s="2" t="s">
        <v>2389</v>
      </c>
      <c r="F1292" s="2" t="s">
        <v>2401</v>
      </c>
      <c r="G1292" s="2" t="s">
        <v>4598</v>
      </c>
      <c r="H1292" s="2" t="s">
        <v>2308</v>
      </c>
      <c r="I1292" s="3" t="b">
        <f>OR(E1292 = "calculated", E1292 = "lookup", E1292 = "aggregation")</f>
        <v>1</v>
      </c>
      <c r="J1292" s="3" t="b">
        <f>H1292 &lt;&gt; ""</f>
        <v>1</v>
      </c>
      <c r="K1292" s="3">
        <f>COUNTIFS(FieldDisagreements!D2:D999, A1292)</f>
        <v>0</v>
      </c>
      <c r="L1292" s="3" t="b">
        <f>K1292 &gt; 0</f>
        <v>0</v>
      </c>
      <c r="M1292" s="2" t="s">
        <v>2387</v>
      </c>
    </row>
    <row r="1293">
      <c r="A1293" s="2" t="s">
        <v>4599</v>
      </c>
      <c r="B1293" s="3" t="str">
        <f>C1293 &amp; "." &amp; D1293</f>
        <v>MessageDeliveries.CurrentLastApprovalAt</v>
      </c>
      <c r="C1293" s="2" t="s">
        <v>4378</v>
      </c>
      <c r="D1293" s="2" t="s">
        <v>4600</v>
      </c>
      <c r="E1293" s="2" t="s">
        <v>2478</v>
      </c>
      <c r="F1293" s="2" t="s">
        <v>2397</v>
      </c>
      <c r="G1293" s="2" t="s">
        <v>4601</v>
      </c>
      <c r="H1293" s="2" t="s">
        <v>2308</v>
      </c>
      <c r="I1293" s="3" t="b">
        <f>OR(E1293 = "calculated", E1293 = "lookup", E1293 = "aggregation")</f>
        <v>1</v>
      </c>
      <c r="J1293" s="3" t="b">
        <f>H1293 &lt;&gt; ""</f>
        <v>1</v>
      </c>
      <c r="K1293" s="3">
        <f>COUNTIFS(FieldDisagreements!D2:D999, A1293)</f>
        <v>1</v>
      </c>
      <c r="L1293" s="3" t="b">
        <f>K1293 &gt; 0</f>
        <v>1</v>
      </c>
      <c r="M1293" s="2" t="s">
        <v>2387</v>
      </c>
    </row>
    <row r="1294">
      <c r="A1294" s="2" t="s">
        <v>4602</v>
      </c>
      <c r="B1294" s="3" t="str">
        <f>C1294 &amp; "." &amp; D1294</f>
        <v>MessageDeliveries.TemplateReapprovedSinceSend</v>
      </c>
      <c r="C1294" s="2" t="s">
        <v>4378</v>
      </c>
      <c r="D1294" s="2" t="s">
        <v>4603</v>
      </c>
      <c r="E1294" s="2" t="s">
        <v>2389</v>
      </c>
      <c r="F1294" s="2" t="s">
        <v>2401</v>
      </c>
      <c r="G1294" s="2" t="s">
        <v>4604</v>
      </c>
      <c r="H1294" s="2" t="s">
        <v>2308</v>
      </c>
      <c r="I1294" s="3" t="b">
        <f>OR(E1294 = "calculated", E1294 = "lookup", E1294 = "aggregation")</f>
        <v>1</v>
      </c>
      <c r="J1294" s="3" t="b">
        <f>H1294 &lt;&gt; ""</f>
        <v>1</v>
      </c>
      <c r="K1294" s="3">
        <f>COUNTIFS(FieldDisagreements!D2:D999, A1294)</f>
        <v>0</v>
      </c>
      <c r="L1294" s="3" t="b">
        <f>K1294 &gt; 0</f>
        <v>0</v>
      </c>
      <c r="M1294" s="2" t="s">
        <v>2387</v>
      </c>
    </row>
    <row r="1295">
      <c r="A1295" s="2" t="s">
        <v>4605</v>
      </c>
      <c r="B1295" s="3" t="str">
        <f>C1295 &amp; "." &amp; D1295</f>
        <v>MessageDeliveries.IsUnprovableApprovalClaim</v>
      </c>
      <c r="C1295" s="2" t="s">
        <v>4378</v>
      </c>
      <c r="D1295" s="2" t="s">
        <v>4606</v>
      </c>
      <c r="E1295" s="2" t="s">
        <v>2389</v>
      </c>
      <c r="F1295" s="2" t="s">
        <v>2401</v>
      </c>
      <c r="G1295" s="2" t="s">
        <v>4607</v>
      </c>
      <c r="H1295" s="2" t="s">
        <v>2308</v>
      </c>
      <c r="I1295" s="3" t="b">
        <f>OR(E1295 = "calculated", E1295 = "lookup", E1295 = "aggregation")</f>
        <v>1</v>
      </c>
      <c r="J1295" s="3" t="b">
        <f>H1295 &lt;&gt; ""</f>
        <v>1</v>
      </c>
      <c r="K1295" s="3">
        <f>COUNTIFS(FieldDisagreements!D2:D999, A1295)</f>
        <v>0</v>
      </c>
      <c r="L1295" s="3" t="b">
        <f>K1295 &gt; 0</f>
        <v>0</v>
      </c>
      <c r="M1295" s="2" t="s">
        <v>2387</v>
      </c>
    </row>
    <row r="1296">
      <c r="A1296" s="2" t="s">
        <v>4608</v>
      </c>
      <c r="B1296" s="3" t="str">
        <f>C1296 &amp; "." &amp; D1296</f>
        <v>MessageDeliveries.ReminderSentAt</v>
      </c>
      <c r="C1296" s="2" t="s">
        <v>4378</v>
      </c>
      <c r="D1296" s="2" t="s">
        <v>4609</v>
      </c>
      <c r="E1296" s="2" t="s">
        <v>2385</v>
      </c>
      <c r="F1296" s="2" t="s">
        <v>2397</v>
      </c>
      <c r="G1296" s="2"/>
      <c r="H1296" s="2" t="s">
        <v>2352</v>
      </c>
      <c r="I1296" s="3" t="b">
        <f>OR(E1296 = "calculated", E1296 = "lookup", E1296 = "aggregation")</f>
        <v>0</v>
      </c>
      <c r="J1296" s="3" t="b">
        <f>H1296 &lt;&gt; ""</f>
        <v>1</v>
      </c>
      <c r="K1296" s="3">
        <f>COUNTIFS(FieldDisagreements!D2:D999, A1296)</f>
        <v>0</v>
      </c>
      <c r="L1296" s="3" t="b">
        <f>K1296 &gt; 0</f>
        <v>0</v>
      </c>
      <c r="M1296" s="2" t="s">
        <v>2387</v>
      </c>
    </row>
    <row r="1297">
      <c r="A1297" s="2" t="s">
        <v>4610</v>
      </c>
      <c r="B1297" s="3" t="str">
        <f>C1297 &amp; "." &amp; D1297</f>
        <v>MessageDeliveries.ReminderCount</v>
      </c>
      <c r="C1297" s="2" t="s">
        <v>4378</v>
      </c>
      <c r="D1297" s="2" t="s">
        <v>4611</v>
      </c>
      <c r="E1297" s="2" t="s">
        <v>2385</v>
      </c>
      <c r="F1297" s="2" t="s">
        <v>2439</v>
      </c>
      <c r="G1297" s="2"/>
      <c r="H1297" s="2" t="s">
        <v>2352</v>
      </c>
      <c r="I1297" s="3" t="b">
        <f>OR(E1297 = "calculated", E1297 = "lookup", E1297 = "aggregation")</f>
        <v>0</v>
      </c>
      <c r="J1297" s="3" t="b">
        <f>H1297 &lt;&gt; ""</f>
        <v>1</v>
      </c>
      <c r="K1297" s="3">
        <f>COUNTIFS(FieldDisagreements!D2:D999, A1297)</f>
        <v>0</v>
      </c>
      <c r="L1297" s="3" t="b">
        <f>K1297 &gt; 0</f>
        <v>0</v>
      </c>
      <c r="M1297" s="2" t="s">
        <v>2387</v>
      </c>
    </row>
    <row r="1298">
      <c r="A1298" s="2" t="s">
        <v>4612</v>
      </c>
      <c r="B1298" s="3" t="str">
        <f>C1298 &amp; "." &amp; D1298</f>
        <v>MessageDeliveries.HasSentReminder</v>
      </c>
      <c r="C1298" s="2" t="s">
        <v>4378</v>
      </c>
      <c r="D1298" s="2" t="s">
        <v>4613</v>
      </c>
      <c r="E1298" s="2" t="s">
        <v>2389</v>
      </c>
      <c r="F1298" s="2" t="s">
        <v>2401</v>
      </c>
      <c r="G1298" s="2" t="s">
        <v>4614</v>
      </c>
      <c r="H1298" s="2" t="s">
        <v>2352</v>
      </c>
      <c r="I1298" s="3" t="b">
        <f>OR(E1298 = "calculated", E1298 = "lookup", E1298 = "aggregation")</f>
        <v>1</v>
      </c>
      <c r="J1298" s="3" t="b">
        <f>H1298 &lt;&gt; ""</f>
        <v>1</v>
      </c>
      <c r="K1298" s="3">
        <f>COUNTIFS(FieldDisagreements!D2:D999, A1298)</f>
        <v>0</v>
      </c>
      <c r="L1298" s="3" t="b">
        <f>K1298 &gt; 0</f>
        <v>0</v>
      </c>
      <c r="M1298" s="2" t="s">
        <v>2387</v>
      </c>
    </row>
    <row r="1299">
      <c r="A1299" s="2" t="s">
        <v>4615</v>
      </c>
      <c r="B1299" s="3" t="str">
        <f>C1299 &amp; "." &amp; D1299</f>
        <v>MessageDeliveries.AcknowledgementIsOutstanding</v>
      </c>
      <c r="C1299" s="2" t="s">
        <v>4378</v>
      </c>
      <c r="D1299" s="2" t="s">
        <v>4616</v>
      </c>
      <c r="E1299" s="2" t="s">
        <v>2389</v>
      </c>
      <c r="F1299" s="2" t="s">
        <v>2401</v>
      </c>
      <c r="G1299" s="2" t="s">
        <v>4617</v>
      </c>
      <c r="H1299" s="2" t="s">
        <v>2352</v>
      </c>
      <c r="I1299" s="3" t="b">
        <f>OR(E1299 = "calculated", E1299 = "lookup", E1299 = "aggregation")</f>
        <v>1</v>
      </c>
      <c r="J1299" s="3" t="b">
        <f>H1299 &lt;&gt; ""</f>
        <v>1</v>
      </c>
      <c r="K1299" s="3">
        <f>COUNTIFS(FieldDisagreements!D2:D999, A1299)</f>
        <v>0</v>
      </c>
      <c r="L1299" s="3" t="b">
        <f>K1299 &gt; 0</f>
        <v>0</v>
      </c>
      <c r="M1299" s="2" t="s">
        <v>2387</v>
      </c>
    </row>
    <row r="1300">
      <c r="A1300" s="2" t="s">
        <v>4618</v>
      </c>
      <c r="B1300" s="3" t="str">
        <f>C1300 &amp; "." &amp; D1300</f>
        <v>MessageDeliveries.OutstandingAgeDays</v>
      </c>
      <c r="C1300" s="2" t="s">
        <v>4378</v>
      </c>
      <c r="D1300" s="2" t="s">
        <v>4619</v>
      </c>
      <c r="E1300" s="2" t="s">
        <v>2389</v>
      </c>
      <c r="F1300" s="2" t="s">
        <v>2439</v>
      </c>
      <c r="G1300" s="2" t="s">
        <v>4620</v>
      </c>
      <c r="H1300" s="2" t="s">
        <v>2352</v>
      </c>
      <c r="I1300" s="3" t="b">
        <f>OR(E1300 = "calculated", E1300 = "lookup", E1300 = "aggregation")</f>
        <v>1</v>
      </c>
      <c r="J1300" s="3" t="b">
        <f>H1300 &lt;&gt; ""</f>
        <v>1</v>
      </c>
      <c r="K1300" s="3">
        <f>COUNTIFS(FieldDisagreements!D2:D999, A1300)</f>
        <v>7</v>
      </c>
      <c r="L1300" s="3" t="b">
        <f>K1300 &gt; 0</f>
        <v>1</v>
      </c>
      <c r="M1300" s="2" t="s">
        <v>2387</v>
      </c>
    </row>
    <row r="1301">
      <c r="A1301" s="2" t="s">
        <v>4621</v>
      </c>
      <c r="B1301" s="3" t="str">
        <f>C1301 &amp; "." &amp; D1301</f>
        <v>MessageDeliveries.IsUnchasedAcknowledgement</v>
      </c>
      <c r="C1301" s="2" t="s">
        <v>4378</v>
      </c>
      <c r="D1301" s="2" t="s">
        <v>4622</v>
      </c>
      <c r="E1301" s="2" t="s">
        <v>2389</v>
      </c>
      <c r="F1301" s="2" t="s">
        <v>2401</v>
      </c>
      <c r="G1301" s="2" t="s">
        <v>4623</v>
      </c>
      <c r="H1301" s="2" t="s">
        <v>2352</v>
      </c>
      <c r="I1301" s="3" t="b">
        <f>OR(E1301 = "calculated", E1301 = "lookup", E1301 = "aggregation")</f>
        <v>1</v>
      </c>
      <c r="J1301" s="3" t="b">
        <f>H1301 &lt;&gt; ""</f>
        <v>1</v>
      </c>
      <c r="K1301" s="3">
        <f>COUNTIFS(FieldDisagreements!D2:D999, A1301)</f>
        <v>0</v>
      </c>
      <c r="L1301" s="3" t="b">
        <f>K1301 &gt; 0</f>
        <v>0</v>
      </c>
      <c r="M1301" s="2" t="s">
        <v>2387</v>
      </c>
    </row>
    <row r="1302">
      <c r="A1302" s="2" t="s">
        <v>4624</v>
      </c>
      <c r="B1302" s="3" t="str">
        <f>C1302 &amp; "." &amp; D1302</f>
        <v>MessageDeliveries.IsExhaustedFollowUp</v>
      </c>
      <c r="C1302" s="2" t="s">
        <v>4378</v>
      </c>
      <c r="D1302" s="2" t="s">
        <v>4625</v>
      </c>
      <c r="E1302" s="2" t="s">
        <v>2389</v>
      </c>
      <c r="F1302" s="2" t="s">
        <v>2401</v>
      </c>
      <c r="G1302" s="2" t="s">
        <v>4626</v>
      </c>
      <c r="H1302" s="2" t="s">
        <v>2352</v>
      </c>
      <c r="I1302" s="3" t="b">
        <f>OR(E1302 = "calculated", E1302 = "lookup", E1302 = "aggregation")</f>
        <v>1</v>
      </c>
      <c r="J1302" s="3" t="b">
        <f>H1302 &lt;&gt; ""</f>
        <v>1</v>
      </c>
      <c r="K1302" s="3">
        <f>COUNTIFS(FieldDisagreements!D2:D999, A1302)</f>
        <v>0</v>
      </c>
      <c r="L1302" s="3" t="b">
        <f>K1302 &gt; 0</f>
        <v>0</v>
      </c>
      <c r="M1302" s="2" t="s">
        <v>2387</v>
      </c>
    </row>
    <row r="1303">
      <c r="A1303" s="2" t="s">
        <v>4627</v>
      </c>
      <c r="B1303" s="3" t="str">
        <f>C1303 &amp; "." &amp; D1303</f>
        <v>MessageDeliveries.NeedsHumanEscalation</v>
      </c>
      <c r="C1303" s="2" t="s">
        <v>4378</v>
      </c>
      <c r="D1303" s="2" t="s">
        <v>4628</v>
      </c>
      <c r="E1303" s="2" t="s">
        <v>2389</v>
      </c>
      <c r="F1303" s="2" t="s">
        <v>2401</v>
      </c>
      <c r="G1303" s="2" t="s">
        <v>4629</v>
      </c>
      <c r="H1303" s="2" t="s">
        <v>2352</v>
      </c>
      <c r="I1303" s="3" t="b">
        <f>OR(E1303 = "calculated", E1303 = "lookup", E1303 = "aggregation")</f>
        <v>1</v>
      </c>
      <c r="J1303" s="3" t="b">
        <f>H1303 &lt;&gt; ""</f>
        <v>1</v>
      </c>
      <c r="K1303" s="3">
        <f>COUNTIFS(FieldDisagreements!D2:D999, A1303)</f>
        <v>0</v>
      </c>
      <c r="L1303" s="3" t="b">
        <f>K1303 &gt; 0</f>
        <v>0</v>
      </c>
      <c r="M1303" s="2" t="s">
        <v>2387</v>
      </c>
    </row>
    <row r="1304">
      <c r="A1304" s="2" t="s">
        <v>4630</v>
      </c>
      <c r="B1304" s="3" t="str">
        <f>C1304 &amp; "." &amp; D1304</f>
        <v>MessageDeliveries.SemanticTypeIri</v>
      </c>
      <c r="C1304" s="2" t="s">
        <v>4378</v>
      </c>
      <c r="D1304" s="2" t="s">
        <v>94</v>
      </c>
      <c r="E1304" s="2" t="s">
        <v>2385</v>
      </c>
      <c r="F1304" s="2" t="s">
        <v>2386</v>
      </c>
      <c r="G1304" s="2"/>
      <c r="H1304" s="2"/>
      <c r="I1304" s="3" t="b">
        <f>OR(E1304 = "calculated", E1304 = "lookup", E1304 = "aggregation")</f>
        <v>0</v>
      </c>
      <c r="J1304" s="3" t="b">
        <f>H1304 &lt;&gt; ""</f>
        <v>0</v>
      </c>
      <c r="K1304" s="3">
        <f>COUNTIFS(FieldDisagreements!D2:D999, A1304)</f>
        <v>0</v>
      </c>
      <c r="L1304" s="3" t="b">
        <f>K1304 &gt; 0</f>
        <v>0</v>
      </c>
      <c r="M1304" s="2" t="s">
        <v>2387</v>
      </c>
    </row>
    <row r="1305">
      <c r="A1305" s="2" t="s">
        <v>4631</v>
      </c>
      <c r="B1305" s="3" t="str">
        <f>C1305 &amp; "." &amp; D1305</f>
        <v>TemplateApprovals.TemplateApprovalId</v>
      </c>
      <c r="C1305" s="2" t="s">
        <v>4632</v>
      </c>
      <c r="D1305" s="2" t="s">
        <v>4633</v>
      </c>
      <c r="E1305" s="2" t="s">
        <v>2385</v>
      </c>
      <c r="F1305" s="2" t="s">
        <v>2386</v>
      </c>
      <c r="G1305" s="2"/>
      <c r="H1305" s="2"/>
      <c r="I1305" s="3" t="b">
        <f>OR(E1305 = "calculated", E1305 = "lookup", E1305 = "aggregation")</f>
        <v>0</v>
      </c>
      <c r="J1305" s="3" t="b">
        <f>H1305 &lt;&gt; ""</f>
        <v>0</v>
      </c>
      <c r="K1305" s="3">
        <f>COUNTIFS(FieldDisagreements!D2:D999, A1305)</f>
        <v>0</v>
      </c>
      <c r="L1305" s="3" t="b">
        <f>K1305 &gt; 0</f>
        <v>0</v>
      </c>
      <c r="M1305" s="2" t="s">
        <v>2387</v>
      </c>
    </row>
    <row r="1306">
      <c r="A1306" s="2" t="s">
        <v>4634</v>
      </c>
      <c r="B1306" s="3" t="str">
        <f>C1306 &amp; "." &amp; D1306</f>
        <v>TemplateApprovals.Name</v>
      </c>
      <c r="C1306" s="2" t="s">
        <v>4632</v>
      </c>
      <c r="D1306" s="2" t="s">
        <v>1</v>
      </c>
      <c r="E1306" s="2" t="s">
        <v>2389</v>
      </c>
      <c r="F1306" s="2" t="s">
        <v>2386</v>
      </c>
      <c r="G1306" s="2" t="s">
        <v>4635</v>
      </c>
      <c r="H1306" s="2"/>
      <c r="I1306" s="3" t="b">
        <f>OR(E1306 = "calculated", E1306 = "lookup", E1306 = "aggregation")</f>
        <v>1</v>
      </c>
      <c r="J1306" s="3" t="b">
        <f>H1306 &lt;&gt; ""</f>
        <v>0</v>
      </c>
      <c r="K1306" s="3">
        <f>COUNTIFS(FieldDisagreements!D2:D999, A1306)</f>
        <v>6</v>
      </c>
      <c r="L1306" s="3" t="b">
        <f>K1306 &gt; 0</f>
        <v>1</v>
      </c>
      <c r="M1306" s="2" t="s">
        <v>2387</v>
      </c>
    </row>
    <row r="1307">
      <c r="A1307" s="2" t="s">
        <v>4636</v>
      </c>
      <c r="B1307" s="3" t="str">
        <f>C1307 &amp; "." &amp; D1307</f>
        <v>TemplateApprovals.MessageTemplate</v>
      </c>
      <c r="C1307" s="2" t="s">
        <v>4632</v>
      </c>
      <c r="D1307" s="2" t="s">
        <v>4387</v>
      </c>
      <c r="E1307" s="2" t="s">
        <v>2434</v>
      </c>
      <c r="F1307" s="2" t="s">
        <v>2386</v>
      </c>
      <c r="G1307" s="2"/>
      <c r="H1307" s="2"/>
      <c r="I1307" s="3" t="b">
        <f>OR(E1307 = "calculated", E1307 = "lookup", E1307 = "aggregation")</f>
        <v>0</v>
      </c>
      <c r="J1307" s="3" t="b">
        <f>H1307 &lt;&gt; ""</f>
        <v>0</v>
      </c>
      <c r="K1307" s="3">
        <f>COUNTIFS(FieldDisagreements!D2:D999, A1307)</f>
        <v>0</v>
      </c>
      <c r="L1307" s="3" t="b">
        <f>K1307 &gt; 0</f>
        <v>0</v>
      </c>
      <c r="M1307" s="2" t="s">
        <v>2387</v>
      </c>
    </row>
    <row r="1308">
      <c r="A1308" s="2" t="s">
        <v>4637</v>
      </c>
      <c r="B1308" s="3" t="str">
        <f>C1308 &amp; "." &amp; D1308</f>
        <v>TemplateApprovals.DecidedByAgent</v>
      </c>
      <c r="C1308" s="2" t="s">
        <v>4632</v>
      </c>
      <c r="D1308" s="2" t="s">
        <v>4638</v>
      </c>
      <c r="E1308" s="2" t="s">
        <v>2434</v>
      </c>
      <c r="F1308" s="2" t="s">
        <v>2386</v>
      </c>
      <c r="G1308" s="2"/>
      <c r="H1308" s="2"/>
      <c r="I1308" s="3" t="b">
        <f>OR(E1308 = "calculated", E1308 = "lookup", E1308 = "aggregation")</f>
        <v>0</v>
      </c>
      <c r="J1308" s="3" t="b">
        <f>H1308 &lt;&gt; ""</f>
        <v>0</v>
      </c>
      <c r="K1308" s="3">
        <f>COUNTIFS(FieldDisagreements!D2:D999, A1308)</f>
        <v>0</v>
      </c>
      <c r="L1308" s="3" t="b">
        <f>K1308 &gt; 0</f>
        <v>0</v>
      </c>
      <c r="M1308" s="2" t="s">
        <v>2387</v>
      </c>
    </row>
    <row r="1309">
      <c r="A1309" s="2" t="s">
        <v>4639</v>
      </c>
      <c r="B1309" s="3" t="str">
        <f>C1309 &amp; "." &amp; D1309</f>
        <v>TemplateApprovals.DecidedInRole</v>
      </c>
      <c r="C1309" s="2" t="s">
        <v>4632</v>
      </c>
      <c r="D1309" s="2" t="s">
        <v>4640</v>
      </c>
      <c r="E1309" s="2" t="s">
        <v>2434</v>
      </c>
      <c r="F1309" s="2" t="s">
        <v>2386</v>
      </c>
      <c r="G1309" s="2"/>
      <c r="H1309" s="2"/>
      <c r="I1309" s="3" t="b">
        <f>OR(E1309 = "calculated", E1309 = "lookup", E1309 = "aggregation")</f>
        <v>0</v>
      </c>
      <c r="J1309" s="3" t="b">
        <f>H1309 &lt;&gt; ""</f>
        <v>0</v>
      </c>
      <c r="K1309" s="3">
        <f>COUNTIFS(FieldDisagreements!D2:D999, A1309)</f>
        <v>0</v>
      </c>
      <c r="L1309" s="3" t="b">
        <f>K1309 &gt; 0</f>
        <v>0</v>
      </c>
      <c r="M1309" s="2" t="s">
        <v>2387</v>
      </c>
    </row>
    <row r="1310">
      <c r="A1310" s="2" t="s">
        <v>4641</v>
      </c>
      <c r="B1310" s="3" t="str">
        <f>C1310 &amp; "." &amp; D1310</f>
        <v>TemplateApprovals.Decision</v>
      </c>
      <c r="C1310" s="2" t="s">
        <v>4632</v>
      </c>
      <c r="D1310" s="2" t="s">
        <v>4642</v>
      </c>
      <c r="E1310" s="2" t="s">
        <v>2385</v>
      </c>
      <c r="F1310" s="2" t="s">
        <v>2386</v>
      </c>
      <c r="G1310" s="2"/>
      <c r="H1310" s="2"/>
      <c r="I1310" s="3" t="b">
        <f>OR(E1310 = "calculated", E1310 = "lookup", E1310 = "aggregation")</f>
        <v>0</v>
      </c>
      <c r="J1310" s="3" t="b">
        <f>H1310 &lt;&gt; ""</f>
        <v>0</v>
      </c>
      <c r="K1310" s="3">
        <f>COUNTIFS(FieldDisagreements!D2:D999, A1310)</f>
        <v>0</v>
      </c>
      <c r="L1310" s="3" t="b">
        <f>K1310 &gt; 0</f>
        <v>0</v>
      </c>
      <c r="M1310" s="2" t="s">
        <v>2387</v>
      </c>
    </row>
    <row r="1311">
      <c r="A1311" s="2" t="s">
        <v>4643</v>
      </c>
      <c r="B1311" s="3" t="str">
        <f>C1311 &amp; "." &amp; D1311</f>
        <v>TemplateApprovals.DecidedAt</v>
      </c>
      <c r="C1311" s="2" t="s">
        <v>4632</v>
      </c>
      <c r="D1311" s="2" t="s">
        <v>1572</v>
      </c>
      <c r="E1311" s="2" t="s">
        <v>2385</v>
      </c>
      <c r="F1311" s="2" t="s">
        <v>2397</v>
      </c>
      <c r="G1311" s="2"/>
      <c r="H1311" s="2"/>
      <c r="I1311" s="3" t="b">
        <f>OR(E1311 = "calculated", E1311 = "lookup", E1311 = "aggregation")</f>
        <v>0</v>
      </c>
      <c r="J1311" s="3" t="b">
        <f>H1311 &lt;&gt; ""</f>
        <v>0</v>
      </c>
      <c r="K1311" s="3">
        <f>COUNTIFS(FieldDisagreements!D2:D999, A1311)</f>
        <v>0</v>
      </c>
      <c r="L1311" s="3" t="b">
        <f>K1311 &gt; 0</f>
        <v>0</v>
      </c>
      <c r="M1311" s="2" t="s">
        <v>2387</v>
      </c>
    </row>
    <row r="1312">
      <c r="A1312" s="2" t="s">
        <v>4644</v>
      </c>
      <c r="B1312" s="3" t="str">
        <f>C1312 &amp; "." &amp; D1312</f>
        <v>TemplateApprovals.ApprovedBodyHash</v>
      </c>
      <c r="C1312" s="2" t="s">
        <v>4632</v>
      </c>
      <c r="D1312" s="2" t="s">
        <v>4645</v>
      </c>
      <c r="E1312" s="2" t="s">
        <v>2385</v>
      </c>
      <c r="F1312" s="2" t="s">
        <v>2386</v>
      </c>
      <c r="G1312" s="2"/>
      <c r="H1312" s="2"/>
      <c r="I1312" s="3" t="b">
        <f>OR(E1312 = "calculated", E1312 = "lookup", E1312 = "aggregation")</f>
        <v>0</v>
      </c>
      <c r="J1312" s="3" t="b">
        <f>H1312 &lt;&gt; ""</f>
        <v>0</v>
      </c>
      <c r="K1312" s="3">
        <f>COUNTIFS(FieldDisagreements!D2:D999, A1312)</f>
        <v>0</v>
      </c>
      <c r="L1312" s="3" t="b">
        <f>K1312 &gt; 0</f>
        <v>0</v>
      </c>
      <c r="M1312" s="2" t="s">
        <v>2387</v>
      </c>
    </row>
    <row r="1313">
      <c r="A1313" s="2" t="s">
        <v>4646</v>
      </c>
      <c r="B1313" s="3" t="str">
        <f>C1313 &amp; "." &amp; D1313</f>
        <v>TemplateApprovals.Notes</v>
      </c>
      <c r="C1313" s="2" t="s">
        <v>4632</v>
      </c>
      <c r="D1313" s="2" t="s">
        <v>1740</v>
      </c>
      <c r="E1313" s="2" t="s">
        <v>2385</v>
      </c>
      <c r="F1313" s="2" t="s">
        <v>2386</v>
      </c>
      <c r="G1313" s="2"/>
      <c r="H1313" s="2"/>
      <c r="I1313" s="3" t="b">
        <f>OR(E1313 = "calculated", E1313 = "lookup", E1313 = "aggregation")</f>
        <v>0</v>
      </c>
      <c r="J1313" s="3" t="b">
        <f>H1313 &lt;&gt; ""</f>
        <v>0</v>
      </c>
      <c r="K1313" s="3">
        <f>COUNTIFS(FieldDisagreements!D2:D999, A1313)</f>
        <v>0</v>
      </c>
      <c r="L1313" s="3" t="b">
        <f>K1313 &gt; 0</f>
        <v>0</v>
      </c>
      <c r="M1313" s="2" t="s">
        <v>2387</v>
      </c>
    </row>
    <row r="1314">
      <c r="A1314" s="2" t="s">
        <v>4647</v>
      </c>
      <c r="B1314" s="3" t="str">
        <f>C1314 &amp; "." &amp; D1314</f>
        <v>TemplateApprovals.IsApprovalDecision</v>
      </c>
      <c r="C1314" s="2" t="s">
        <v>4632</v>
      </c>
      <c r="D1314" s="2" t="s">
        <v>4648</v>
      </c>
      <c r="E1314" s="2" t="s">
        <v>2389</v>
      </c>
      <c r="F1314" s="2" t="s">
        <v>2401</v>
      </c>
      <c r="G1314" s="2" t="s">
        <v>4649</v>
      </c>
      <c r="H1314" s="2" t="s">
        <v>2060</v>
      </c>
      <c r="I1314" s="3" t="b">
        <f>OR(E1314 = "calculated", E1314 = "lookup", E1314 = "aggregation")</f>
        <v>1</v>
      </c>
      <c r="J1314" s="3" t="b">
        <f>H1314 &lt;&gt; ""</f>
        <v>1</v>
      </c>
      <c r="K1314" s="3">
        <f>COUNTIFS(FieldDisagreements!D2:D999, A1314)</f>
        <v>0</v>
      </c>
      <c r="L1314" s="3" t="b">
        <f>K1314 &gt; 0</f>
        <v>0</v>
      </c>
      <c r="M1314" s="2" t="s">
        <v>2387</v>
      </c>
    </row>
    <row r="1315">
      <c r="A1315" s="2" t="s">
        <v>4650</v>
      </c>
      <c r="B1315" s="3" t="str">
        <f>C1315 &amp; "." &amp; D1315</f>
        <v>TemplateApprovals.TemplatePolicy</v>
      </c>
      <c r="C1315" s="2" t="s">
        <v>4632</v>
      </c>
      <c r="D1315" s="2" t="s">
        <v>4651</v>
      </c>
      <c r="E1315" s="2" t="s">
        <v>2478</v>
      </c>
      <c r="F1315" s="2" t="s">
        <v>2386</v>
      </c>
      <c r="G1315" s="2" t="s">
        <v>4406</v>
      </c>
      <c r="H1315" s="2" t="s">
        <v>2060</v>
      </c>
      <c r="I1315" s="3" t="b">
        <f>OR(E1315 = "calculated", E1315 = "lookup", E1315 = "aggregation")</f>
        <v>1</v>
      </c>
      <c r="J1315" s="3" t="b">
        <f>H1315 &lt;&gt; ""</f>
        <v>1</v>
      </c>
      <c r="K1315" s="3">
        <f>COUNTIFS(FieldDisagreements!D2:D999, A1315)</f>
        <v>0</v>
      </c>
      <c r="L1315" s="3" t="b">
        <f>K1315 &gt; 0</f>
        <v>0</v>
      </c>
      <c r="M1315" s="2" t="s">
        <v>2387</v>
      </c>
    </row>
    <row r="1316">
      <c r="A1316" s="2" t="s">
        <v>4652</v>
      </c>
      <c r="B1316" s="3" t="str">
        <f>C1316 &amp; "." &amp; D1316</f>
        <v>TemplateApprovals.RequiredApprovalRole</v>
      </c>
      <c r="C1316" s="2" t="s">
        <v>4632</v>
      </c>
      <c r="D1316" s="2" t="s">
        <v>4240</v>
      </c>
      <c r="E1316" s="2" t="s">
        <v>2478</v>
      </c>
      <c r="F1316" s="2" t="s">
        <v>2386</v>
      </c>
      <c r="G1316" s="2" t="s">
        <v>4653</v>
      </c>
      <c r="H1316" s="2" t="s">
        <v>2060</v>
      </c>
      <c r="I1316" s="3" t="b">
        <f>OR(E1316 = "calculated", E1316 = "lookup", E1316 = "aggregation")</f>
        <v>1</v>
      </c>
      <c r="J1316" s="3" t="b">
        <f>H1316 &lt;&gt; ""</f>
        <v>1</v>
      </c>
      <c r="K1316" s="3">
        <f>COUNTIFS(FieldDisagreements!D2:D999, A1316)</f>
        <v>0</v>
      </c>
      <c r="L1316" s="3" t="b">
        <f>K1316 &gt; 0</f>
        <v>0</v>
      </c>
      <c r="M1316" s="2" t="s">
        <v>2387</v>
      </c>
    </row>
    <row r="1317">
      <c r="A1317" s="2" t="s">
        <v>4654</v>
      </c>
      <c r="B1317" s="3" t="str">
        <f>C1317 &amp; "." &amp; D1317</f>
        <v>TemplateApprovals.IsDecidedByRequiredRole</v>
      </c>
      <c r="C1317" s="2" t="s">
        <v>4632</v>
      </c>
      <c r="D1317" s="2" t="s">
        <v>4655</v>
      </c>
      <c r="E1317" s="2" t="s">
        <v>2389</v>
      </c>
      <c r="F1317" s="2" t="s">
        <v>2401</v>
      </c>
      <c r="G1317" s="2" t="s">
        <v>4656</v>
      </c>
      <c r="H1317" s="2" t="s">
        <v>2060</v>
      </c>
      <c r="I1317" s="3" t="b">
        <f>OR(E1317 = "calculated", E1317 = "lookup", E1317 = "aggregation")</f>
        <v>1</v>
      </c>
      <c r="J1317" s="3" t="b">
        <f>H1317 &lt;&gt; ""</f>
        <v>1</v>
      </c>
      <c r="K1317" s="3">
        <f>COUNTIFS(FieldDisagreements!D2:D999, A1317)</f>
        <v>0</v>
      </c>
      <c r="L1317" s="3" t="b">
        <f>K1317 &gt; 0</f>
        <v>0</v>
      </c>
      <c r="M1317" s="2" t="s">
        <v>2387</v>
      </c>
    </row>
    <row r="1318">
      <c r="A1318" s="2" t="s">
        <v>4657</v>
      </c>
      <c r="B1318" s="3" t="str">
        <f>C1318 &amp; "." &amp; D1318</f>
        <v>TemplateApprovals.ValidApprovalTemplateKey</v>
      </c>
      <c r="C1318" s="2" t="s">
        <v>4632</v>
      </c>
      <c r="D1318" s="2" t="s">
        <v>4658</v>
      </c>
      <c r="E1318" s="2" t="s">
        <v>2389</v>
      </c>
      <c r="F1318" s="2" t="s">
        <v>2386</v>
      </c>
      <c r="G1318" s="2" t="s">
        <v>4659</v>
      </c>
      <c r="H1318" s="2" t="s">
        <v>2060</v>
      </c>
      <c r="I1318" s="3" t="b">
        <f>OR(E1318 = "calculated", E1318 = "lookup", E1318 = "aggregation")</f>
        <v>1</v>
      </c>
      <c r="J1318" s="3" t="b">
        <f>H1318 &lt;&gt; ""</f>
        <v>1</v>
      </c>
      <c r="K1318" s="3">
        <f>COUNTIFS(FieldDisagreements!D2:D999, A1318)</f>
        <v>0</v>
      </c>
      <c r="L1318" s="3" t="b">
        <f>K1318 &gt; 0</f>
        <v>0</v>
      </c>
      <c r="M1318" s="2" t="s">
        <v>2387</v>
      </c>
    </row>
    <row r="1319">
      <c r="A1319" s="2" t="s">
        <v>4660</v>
      </c>
      <c r="B1319" s="3" t="str">
        <f>C1319 &amp; "." &amp; D1319</f>
        <v>TemplateApprovals.SemanticTypeIri</v>
      </c>
      <c r="C1319" s="2" t="s">
        <v>4632</v>
      </c>
      <c r="D1319" s="2" t="s">
        <v>94</v>
      </c>
      <c r="E1319" s="2" t="s">
        <v>2385</v>
      </c>
      <c r="F1319" s="2" t="s">
        <v>2386</v>
      </c>
      <c r="G1319" s="2"/>
      <c r="H1319" s="2"/>
      <c r="I1319" s="3" t="b">
        <f>OR(E1319 = "calculated", E1319 = "lookup", E1319 = "aggregation")</f>
        <v>0</v>
      </c>
      <c r="J1319" s="3" t="b">
        <f>H1319 &lt;&gt; ""</f>
        <v>0</v>
      </c>
      <c r="K1319" s="3">
        <f>COUNTIFS(FieldDisagreements!D2:D999, A1319)</f>
        <v>0</v>
      </c>
      <c r="L1319" s="3" t="b">
        <f>K1319 &gt; 0</f>
        <v>0</v>
      </c>
      <c r="M1319" s="2" t="s">
        <v>2387</v>
      </c>
    </row>
    <row r="1320">
      <c r="A1320" s="2" t="s">
        <v>4661</v>
      </c>
      <c r="B1320" s="3" t="str">
        <f>C1320 &amp; "." &amp; D1320</f>
        <v>SendIntents.SendIntentId</v>
      </c>
      <c r="C1320" s="2" t="s">
        <v>4662</v>
      </c>
      <c r="D1320" s="2" t="s">
        <v>4663</v>
      </c>
      <c r="E1320" s="2" t="s">
        <v>2385</v>
      </c>
      <c r="F1320" s="2" t="s">
        <v>2386</v>
      </c>
      <c r="G1320" s="2"/>
      <c r="H1320" s="2"/>
      <c r="I1320" s="3" t="b">
        <f>OR(E1320 = "calculated", E1320 = "lookup", E1320 = "aggregation")</f>
        <v>0</v>
      </c>
      <c r="J1320" s="3" t="b">
        <f>H1320 &lt;&gt; ""</f>
        <v>0</v>
      </c>
      <c r="K1320" s="3">
        <f>COUNTIFS(FieldDisagreements!D2:D999, A1320)</f>
        <v>0</v>
      </c>
      <c r="L1320" s="3" t="b">
        <f>K1320 &gt; 0</f>
        <v>0</v>
      </c>
      <c r="M1320" s="2" t="s">
        <v>2387</v>
      </c>
    </row>
    <row r="1321">
      <c r="A1321" s="2" t="s">
        <v>4664</v>
      </c>
      <c r="B1321" s="3" t="str">
        <f>C1321 &amp; "." &amp; D1321</f>
        <v>SendIntents.Name</v>
      </c>
      <c r="C1321" s="2" t="s">
        <v>4662</v>
      </c>
      <c r="D1321" s="2" t="s">
        <v>1</v>
      </c>
      <c r="E1321" s="2" t="s">
        <v>2389</v>
      </c>
      <c r="F1321" s="2" t="s">
        <v>2386</v>
      </c>
      <c r="G1321" s="2" t="s">
        <v>4665</v>
      </c>
      <c r="H1321" s="2"/>
      <c r="I1321" s="3" t="b">
        <f>OR(E1321 = "calculated", E1321 = "lookup", E1321 = "aggregation")</f>
        <v>1</v>
      </c>
      <c r="J1321" s="3" t="b">
        <f>H1321 &lt;&gt; ""</f>
        <v>0</v>
      </c>
      <c r="K1321" s="3">
        <f>COUNTIFS(FieldDisagreements!D2:D999, A1321)</f>
        <v>0</v>
      </c>
      <c r="L1321" s="3" t="b">
        <f>K1321 &gt; 0</f>
        <v>0</v>
      </c>
      <c r="M1321" s="2" t="s">
        <v>2387</v>
      </c>
    </row>
    <row r="1322">
      <c r="A1322" s="2" t="s">
        <v>4666</v>
      </c>
      <c r="B1322" s="3" t="str">
        <f>C1322 &amp; "." &amp; D1322</f>
        <v>SendIntents.ProcedureExecution</v>
      </c>
      <c r="C1322" s="2" t="s">
        <v>4662</v>
      </c>
      <c r="D1322" s="2" t="s">
        <v>1329</v>
      </c>
      <c r="E1322" s="2" t="s">
        <v>2434</v>
      </c>
      <c r="F1322" s="2" t="s">
        <v>2386</v>
      </c>
      <c r="G1322" s="2"/>
      <c r="H1322" s="2"/>
      <c r="I1322" s="3" t="b">
        <f>OR(E1322 = "calculated", E1322 = "lookup", E1322 = "aggregation")</f>
        <v>0</v>
      </c>
      <c r="J1322" s="3" t="b">
        <f>H1322 &lt;&gt; ""</f>
        <v>0</v>
      </c>
      <c r="K1322" s="3">
        <f>COUNTIFS(FieldDisagreements!D2:D999, A1322)</f>
        <v>0</v>
      </c>
      <c r="L1322" s="3" t="b">
        <f>K1322 &gt; 0</f>
        <v>0</v>
      </c>
      <c r="M1322" s="2" t="s">
        <v>2387</v>
      </c>
    </row>
    <row r="1323">
      <c r="A1323" s="2" t="s">
        <v>4667</v>
      </c>
      <c r="B1323" s="3" t="str">
        <f>C1323 &amp; "." &amp; D1323</f>
        <v>SendIntents.StepExecution</v>
      </c>
      <c r="C1323" s="2" t="s">
        <v>4662</v>
      </c>
      <c r="D1323" s="2" t="s">
        <v>1447</v>
      </c>
      <c r="E1323" s="2" t="s">
        <v>2434</v>
      </c>
      <c r="F1323" s="2" t="s">
        <v>2386</v>
      </c>
      <c r="G1323" s="2"/>
      <c r="H1323" s="2"/>
      <c r="I1323" s="3" t="b">
        <f>OR(E1323 = "calculated", E1323 = "lookup", E1323 = "aggregation")</f>
        <v>0</v>
      </c>
      <c r="J1323" s="3" t="b">
        <f>H1323 &lt;&gt; ""</f>
        <v>0</v>
      </c>
      <c r="K1323" s="3">
        <f>COUNTIFS(FieldDisagreements!D2:D999, A1323)</f>
        <v>0</v>
      </c>
      <c r="L1323" s="3" t="b">
        <f>K1323 &gt; 0</f>
        <v>0</v>
      </c>
      <c r="M1323" s="2" t="s">
        <v>2387</v>
      </c>
    </row>
    <row r="1324">
      <c r="A1324" s="2" t="s">
        <v>4668</v>
      </c>
      <c r="B1324" s="3" t="str">
        <f>C1324 &amp; "." &amp; D1324</f>
        <v>SendIntents.Recipient</v>
      </c>
      <c r="C1324" s="2" t="s">
        <v>4662</v>
      </c>
      <c r="D1324" s="2" t="s">
        <v>4385</v>
      </c>
      <c r="E1324" s="2" t="s">
        <v>2434</v>
      </c>
      <c r="F1324" s="2" t="s">
        <v>2386</v>
      </c>
      <c r="G1324" s="2"/>
      <c r="H1324" s="2"/>
      <c r="I1324" s="3" t="b">
        <f>OR(E1324 = "calculated", E1324 = "lookup", E1324 = "aggregation")</f>
        <v>0</v>
      </c>
      <c r="J1324" s="3" t="b">
        <f>H1324 &lt;&gt; ""</f>
        <v>0</v>
      </c>
      <c r="K1324" s="3">
        <f>COUNTIFS(FieldDisagreements!D2:D999, A1324)</f>
        <v>0</v>
      </c>
      <c r="L1324" s="3" t="b">
        <f>K1324 &gt; 0</f>
        <v>0</v>
      </c>
      <c r="M1324" s="2" t="s">
        <v>2387</v>
      </c>
    </row>
    <row r="1325">
      <c r="A1325" s="2" t="s">
        <v>4669</v>
      </c>
      <c r="B1325" s="3" t="str">
        <f>C1325 &amp; "." &amp; D1325</f>
        <v>SendIntents.MessageTemplate</v>
      </c>
      <c r="C1325" s="2" t="s">
        <v>4662</v>
      </c>
      <c r="D1325" s="2" t="s">
        <v>4387</v>
      </c>
      <c r="E1325" s="2" t="s">
        <v>2434</v>
      </c>
      <c r="F1325" s="2" t="s">
        <v>2386</v>
      </c>
      <c r="G1325" s="2"/>
      <c r="H1325" s="2"/>
      <c r="I1325" s="3" t="b">
        <f>OR(E1325 = "calculated", E1325 = "lookup", E1325 = "aggregation")</f>
        <v>0</v>
      </c>
      <c r="J1325" s="3" t="b">
        <f>H1325 &lt;&gt; ""</f>
        <v>0</v>
      </c>
      <c r="K1325" s="3">
        <f>COUNTIFS(FieldDisagreements!D2:D999, A1325)</f>
        <v>0</v>
      </c>
      <c r="L1325" s="3" t="b">
        <f>K1325 &gt; 0</f>
        <v>0</v>
      </c>
      <c r="M1325" s="2" t="s">
        <v>2387</v>
      </c>
    </row>
    <row r="1326">
      <c r="A1326" s="2" t="s">
        <v>4670</v>
      </c>
      <c r="B1326" s="3" t="str">
        <f>C1326 &amp; "." &amp; D1326</f>
        <v>SendIntents.ProposedBody</v>
      </c>
      <c r="C1326" s="2" t="s">
        <v>4662</v>
      </c>
      <c r="D1326" s="2" t="s">
        <v>4671</v>
      </c>
      <c r="E1326" s="2" t="s">
        <v>2385</v>
      </c>
      <c r="F1326" s="2" t="s">
        <v>2386</v>
      </c>
      <c r="G1326" s="2"/>
      <c r="H1326" s="2"/>
      <c r="I1326" s="3" t="b">
        <f>OR(E1326 = "calculated", E1326 = "lookup", E1326 = "aggregation")</f>
        <v>0</v>
      </c>
      <c r="J1326" s="3" t="b">
        <f>H1326 &lt;&gt; ""</f>
        <v>0</v>
      </c>
      <c r="K1326" s="3">
        <f>COUNTIFS(FieldDisagreements!D2:D999, A1326)</f>
        <v>0</v>
      </c>
      <c r="L1326" s="3" t="b">
        <f>K1326 &gt; 0</f>
        <v>0</v>
      </c>
      <c r="M1326" s="2" t="s">
        <v>2387</v>
      </c>
    </row>
    <row r="1327">
      <c r="A1327" s="2" t="s">
        <v>4672</v>
      </c>
      <c r="B1327" s="3" t="str">
        <f>C1327 &amp; "." &amp; D1327</f>
        <v>SendIntents.ProposedSendAtLocalHour</v>
      </c>
      <c r="C1327" s="2" t="s">
        <v>4662</v>
      </c>
      <c r="D1327" s="2" t="s">
        <v>4673</v>
      </c>
      <c r="E1327" s="2" t="s">
        <v>2385</v>
      </c>
      <c r="F1327" s="2" t="s">
        <v>2439</v>
      </c>
      <c r="G1327" s="2"/>
      <c r="H1327" s="2"/>
      <c r="I1327" s="3" t="b">
        <f>OR(E1327 = "calculated", E1327 = "lookup", E1327 = "aggregation")</f>
        <v>0</v>
      </c>
      <c r="J1327" s="3" t="b">
        <f>H1327 &lt;&gt; ""</f>
        <v>0</v>
      </c>
      <c r="K1327" s="3">
        <f>COUNTIFS(FieldDisagreements!D2:D999, A1327)</f>
        <v>0</v>
      </c>
      <c r="L1327" s="3" t="b">
        <f>K1327 &gt; 0</f>
        <v>0</v>
      </c>
      <c r="M1327" s="2" t="s">
        <v>2387</v>
      </c>
    </row>
    <row r="1328">
      <c r="A1328" s="2" t="s">
        <v>4674</v>
      </c>
      <c r="B1328" s="3" t="str">
        <f>C1328 &amp; "." &amp; D1328</f>
        <v>SendIntents.EvaluatedAt</v>
      </c>
      <c r="C1328" s="2" t="s">
        <v>4662</v>
      </c>
      <c r="D1328" s="2" t="s">
        <v>1451</v>
      </c>
      <c r="E1328" s="2" t="s">
        <v>2385</v>
      </c>
      <c r="F1328" s="2" t="s">
        <v>2397</v>
      </c>
      <c r="G1328" s="2"/>
      <c r="H1328" s="2"/>
      <c r="I1328" s="3" t="b">
        <f>OR(E1328 = "calculated", E1328 = "lookup", E1328 = "aggregation")</f>
        <v>0</v>
      </c>
      <c r="J1328" s="3" t="b">
        <f>H1328 &lt;&gt; ""</f>
        <v>0</v>
      </c>
      <c r="K1328" s="3">
        <f>COUNTIFS(FieldDisagreements!D2:D999, A1328)</f>
        <v>0</v>
      </c>
      <c r="L1328" s="3" t="b">
        <f>K1328 &gt; 0</f>
        <v>0</v>
      </c>
      <c r="M1328" s="2" t="s">
        <v>2387</v>
      </c>
    </row>
    <row r="1329">
      <c r="A1329" s="2" t="s">
        <v>4675</v>
      </c>
      <c r="B1329" s="3" t="str">
        <f>C1329 &amp; "." &amp; D1329</f>
        <v>SendIntents.ResultingDelivery</v>
      </c>
      <c r="C1329" s="2" t="s">
        <v>4662</v>
      </c>
      <c r="D1329" s="2" t="s">
        <v>4676</v>
      </c>
      <c r="E1329" s="2" t="s">
        <v>2434</v>
      </c>
      <c r="F1329" s="2" t="s">
        <v>2386</v>
      </c>
      <c r="G1329" s="2"/>
      <c r="H1329" s="2"/>
      <c r="I1329" s="3" t="b">
        <f>OR(E1329 = "calculated", E1329 = "lookup", E1329 = "aggregation")</f>
        <v>0</v>
      </c>
      <c r="J1329" s="3" t="b">
        <f>H1329 &lt;&gt; ""</f>
        <v>0</v>
      </c>
      <c r="K1329" s="3">
        <f>COUNTIFS(FieldDisagreements!D2:D999, A1329)</f>
        <v>0</v>
      </c>
      <c r="L1329" s="3" t="b">
        <f>K1329 &gt; 0</f>
        <v>0</v>
      </c>
      <c r="M1329" s="2" t="s">
        <v>2387</v>
      </c>
    </row>
    <row r="1330">
      <c r="A1330" s="2" t="s">
        <v>4677</v>
      </c>
      <c r="B1330" s="3" t="str">
        <f>C1330 &amp; "." &amp; D1330</f>
        <v>SendIntents.IntentPolicy</v>
      </c>
      <c r="C1330" s="2" t="s">
        <v>4662</v>
      </c>
      <c r="D1330" s="2" t="s">
        <v>4678</v>
      </c>
      <c r="E1330" s="2" t="s">
        <v>2478</v>
      </c>
      <c r="F1330" s="2" t="s">
        <v>2386</v>
      </c>
      <c r="G1330" s="2" t="s">
        <v>4406</v>
      </c>
      <c r="H1330" s="2" t="s">
        <v>2076</v>
      </c>
      <c r="I1330" s="3" t="b">
        <f>OR(E1330 = "calculated", E1330 = "lookup", E1330 = "aggregation")</f>
        <v>1</v>
      </c>
      <c r="J1330" s="3" t="b">
        <f>H1330 &lt;&gt; ""</f>
        <v>1</v>
      </c>
      <c r="K1330" s="3">
        <f>COUNTIFS(FieldDisagreements!D2:D999, A1330)</f>
        <v>0</v>
      </c>
      <c r="L1330" s="3" t="b">
        <f>K1330 &gt; 0</f>
        <v>0</v>
      </c>
      <c r="M1330" s="2" t="s">
        <v>2387</v>
      </c>
    </row>
    <row r="1331">
      <c r="A1331" s="2" t="s">
        <v>4679</v>
      </c>
      <c r="B1331" s="3" t="str">
        <f>C1331 &amp; "." &amp; D1331</f>
        <v>SendIntents.IntentChannel</v>
      </c>
      <c r="C1331" s="2" t="s">
        <v>4662</v>
      </c>
      <c r="D1331" s="2" t="s">
        <v>4680</v>
      </c>
      <c r="E1331" s="2" t="s">
        <v>2478</v>
      </c>
      <c r="F1331" s="2" t="s">
        <v>2386</v>
      </c>
      <c r="G1331" s="2" t="s">
        <v>4681</v>
      </c>
      <c r="H1331" s="2" t="s">
        <v>2076</v>
      </c>
      <c r="I1331" s="3" t="b">
        <f>OR(E1331 = "calculated", E1331 = "lookup", E1331 = "aggregation")</f>
        <v>1</v>
      </c>
      <c r="J1331" s="3" t="b">
        <f>H1331 &lt;&gt; ""</f>
        <v>1</v>
      </c>
      <c r="K1331" s="3">
        <f>COUNTIFS(FieldDisagreements!D2:D999, A1331)</f>
        <v>0</v>
      </c>
      <c r="L1331" s="3" t="b">
        <f>K1331 &gt; 0</f>
        <v>0</v>
      </c>
      <c r="M1331" s="2" t="s">
        <v>2387</v>
      </c>
    </row>
    <row r="1332">
      <c r="A1332" s="2" t="s">
        <v>4682</v>
      </c>
      <c r="B1332" s="3" t="str">
        <f>C1332 &amp; "." &amp; D1332</f>
        <v>SendIntents.PolicyIsActive</v>
      </c>
      <c r="C1332" s="2" t="s">
        <v>4662</v>
      </c>
      <c r="D1332" s="2" t="s">
        <v>4683</v>
      </c>
      <c r="E1332" s="2" t="s">
        <v>2478</v>
      </c>
      <c r="F1332" s="2" t="s">
        <v>2401</v>
      </c>
      <c r="G1332" s="2" t="s">
        <v>4684</v>
      </c>
      <c r="H1332" s="2" t="s">
        <v>2076</v>
      </c>
      <c r="I1332" s="3" t="b">
        <f>OR(E1332 = "calculated", E1332 = "lookup", E1332 = "aggregation")</f>
        <v>1</v>
      </c>
      <c r="J1332" s="3" t="b">
        <f>H1332 &lt;&gt; ""</f>
        <v>1</v>
      </c>
      <c r="K1332" s="3">
        <f>COUNTIFS(FieldDisagreements!D2:D999, A1332)</f>
        <v>0</v>
      </c>
      <c r="L1332" s="3" t="b">
        <f>K1332 &gt; 0</f>
        <v>0</v>
      </c>
      <c r="M1332" s="2" t="s">
        <v>2387</v>
      </c>
    </row>
    <row r="1333">
      <c r="A1333" s="2" t="s">
        <v>4685</v>
      </c>
      <c r="B1333" s="3" t="str">
        <f>C1333 &amp; "." &amp; D1333</f>
        <v>SendIntents.IntentRequiresConsent</v>
      </c>
      <c r="C1333" s="2" t="s">
        <v>4662</v>
      </c>
      <c r="D1333" s="2" t="s">
        <v>4686</v>
      </c>
      <c r="E1333" s="2" t="s">
        <v>2478</v>
      </c>
      <c r="F1333" s="2" t="s">
        <v>2401</v>
      </c>
      <c r="G1333" s="2" t="s">
        <v>4687</v>
      </c>
      <c r="H1333" s="2" t="s">
        <v>2076</v>
      </c>
      <c r="I1333" s="3" t="b">
        <f>OR(E1333 = "calculated", E1333 = "lookup", E1333 = "aggregation")</f>
        <v>1</v>
      </c>
      <c r="J1333" s="3" t="b">
        <f>H1333 &lt;&gt; ""</f>
        <v>1</v>
      </c>
      <c r="K1333" s="3">
        <f>COUNTIFS(FieldDisagreements!D2:D999, A1333)</f>
        <v>0</v>
      </c>
      <c r="L1333" s="3" t="b">
        <f>K1333 &gt; 0</f>
        <v>0</v>
      </c>
      <c r="M1333" s="2" t="s">
        <v>2387</v>
      </c>
    </row>
    <row r="1334">
      <c r="A1334" s="2" t="s">
        <v>4688</v>
      </c>
      <c r="B1334" s="3" t="str">
        <f>C1334 &amp; "." &amp; D1334</f>
        <v>SendIntents.RecipientHasChannelConsent</v>
      </c>
      <c r="C1334" s="2" t="s">
        <v>4662</v>
      </c>
      <c r="D1334" s="2" t="s">
        <v>4689</v>
      </c>
      <c r="E1334" s="2" t="s">
        <v>2478</v>
      </c>
      <c r="F1334" s="2" t="s">
        <v>2401</v>
      </c>
      <c r="G1334" s="2" t="s">
        <v>4415</v>
      </c>
      <c r="H1334" s="2" t="s">
        <v>2076</v>
      </c>
      <c r="I1334" s="3" t="b">
        <f>OR(E1334 = "calculated", E1334 = "lookup", E1334 = "aggregation")</f>
        <v>1</v>
      </c>
      <c r="J1334" s="3" t="b">
        <f>H1334 &lt;&gt; ""</f>
        <v>1</v>
      </c>
      <c r="K1334" s="3">
        <f>COUNTIFS(FieldDisagreements!D2:D999, A1334)</f>
        <v>0</v>
      </c>
      <c r="L1334" s="3" t="b">
        <f>K1334 &gt; 0</f>
        <v>0</v>
      </c>
      <c r="M1334" s="2" t="s">
        <v>2387</v>
      </c>
    </row>
    <row r="1335">
      <c r="A1335" s="2" t="s">
        <v>4690</v>
      </c>
      <c r="B1335" s="3" t="str">
        <f>C1335 &amp; "." &amp; D1335</f>
        <v>SendIntents.ConsentGatePassed</v>
      </c>
      <c r="C1335" s="2" t="s">
        <v>4662</v>
      </c>
      <c r="D1335" s="2" t="s">
        <v>4691</v>
      </c>
      <c r="E1335" s="2" t="s">
        <v>2389</v>
      </c>
      <c r="F1335" s="2" t="s">
        <v>2401</v>
      </c>
      <c r="G1335" s="2" t="s">
        <v>4692</v>
      </c>
      <c r="H1335" s="2" t="s">
        <v>2076</v>
      </c>
      <c r="I1335" s="3" t="b">
        <f>OR(E1335 = "calculated", E1335 = "lookup", E1335 = "aggregation")</f>
        <v>1</v>
      </c>
      <c r="J1335" s="3" t="b">
        <f>H1335 &lt;&gt; ""</f>
        <v>1</v>
      </c>
      <c r="K1335" s="3">
        <f>COUNTIFS(FieldDisagreements!D2:D999, A1335)</f>
        <v>0</v>
      </c>
      <c r="L1335" s="3" t="b">
        <f>K1335 &gt; 0</f>
        <v>0</v>
      </c>
      <c r="M1335" s="2" t="s">
        <v>2387</v>
      </c>
    </row>
    <row r="1336">
      <c r="A1336" s="2" t="s">
        <v>4693</v>
      </c>
      <c r="B1336" s="3" t="str">
        <f>C1336 &amp; "." &amp; D1336</f>
        <v>SendIntents.RecipientIsSmsReachable</v>
      </c>
      <c r="C1336" s="2" t="s">
        <v>4662</v>
      </c>
      <c r="D1336" s="2" t="s">
        <v>4694</v>
      </c>
      <c r="E1336" s="2" t="s">
        <v>2478</v>
      </c>
      <c r="F1336" s="2" t="s">
        <v>2401</v>
      </c>
      <c r="G1336" s="2" t="s">
        <v>4695</v>
      </c>
      <c r="H1336" s="2" t="s">
        <v>2076</v>
      </c>
      <c r="I1336" s="3" t="b">
        <f>OR(E1336 = "calculated", E1336 = "lookup", E1336 = "aggregation")</f>
        <v>1</v>
      </c>
      <c r="J1336" s="3" t="b">
        <f>H1336 &lt;&gt; ""</f>
        <v>1</v>
      </c>
      <c r="K1336" s="3">
        <f>COUNTIFS(FieldDisagreements!D2:D999, A1336)</f>
        <v>0</v>
      </c>
      <c r="L1336" s="3" t="b">
        <f>K1336 &gt; 0</f>
        <v>0</v>
      </c>
      <c r="M1336" s="2" t="s">
        <v>2387</v>
      </c>
    </row>
    <row r="1337">
      <c r="A1337" s="2" t="s">
        <v>4696</v>
      </c>
      <c r="B1337" s="3" t="str">
        <f>C1337 &amp; "." &amp; D1337</f>
        <v>SendIntents.RecipientIsEmailReachable</v>
      </c>
      <c r="C1337" s="2" t="s">
        <v>4662</v>
      </c>
      <c r="D1337" s="2" t="s">
        <v>4697</v>
      </c>
      <c r="E1337" s="2" t="s">
        <v>2478</v>
      </c>
      <c r="F1337" s="2" t="s">
        <v>2401</v>
      </c>
      <c r="G1337" s="2" t="s">
        <v>4698</v>
      </c>
      <c r="H1337" s="2" t="s">
        <v>2076</v>
      </c>
      <c r="I1337" s="3" t="b">
        <f>OR(E1337 = "calculated", E1337 = "lookup", E1337 = "aggregation")</f>
        <v>1</v>
      </c>
      <c r="J1337" s="3" t="b">
        <f>H1337 &lt;&gt; ""</f>
        <v>1</v>
      </c>
      <c r="K1337" s="3">
        <f>COUNTIFS(FieldDisagreements!D2:D999, A1337)</f>
        <v>0</v>
      </c>
      <c r="L1337" s="3" t="b">
        <f>K1337 &gt; 0</f>
        <v>0</v>
      </c>
      <c r="M1337" s="2" t="s">
        <v>2387</v>
      </c>
    </row>
    <row r="1338">
      <c r="A1338" s="2" t="s">
        <v>4699</v>
      </c>
      <c r="B1338" s="3" t="str">
        <f>C1338 &amp; "." &amp; D1338</f>
        <v>SendIntents.ReachabilityGatePassed</v>
      </c>
      <c r="C1338" s="2" t="s">
        <v>4662</v>
      </c>
      <c r="D1338" s="2" t="s">
        <v>4700</v>
      </c>
      <c r="E1338" s="2" t="s">
        <v>2389</v>
      </c>
      <c r="F1338" s="2" t="s">
        <v>2401</v>
      </c>
      <c r="G1338" s="2" t="s">
        <v>4701</v>
      </c>
      <c r="H1338" s="2" t="s">
        <v>2076</v>
      </c>
      <c r="I1338" s="3" t="b">
        <f>OR(E1338 = "calculated", E1338 = "lookup", E1338 = "aggregation")</f>
        <v>1</v>
      </c>
      <c r="J1338" s="3" t="b">
        <f>H1338 &lt;&gt; ""</f>
        <v>1</v>
      </c>
      <c r="K1338" s="3">
        <f>COUNTIFS(FieldDisagreements!D2:D999, A1338)</f>
        <v>0</v>
      </c>
      <c r="L1338" s="3" t="b">
        <f>K1338 &gt; 0</f>
        <v>0</v>
      </c>
      <c r="M1338" s="2" t="s">
        <v>2387</v>
      </c>
    </row>
    <row r="1339">
      <c r="A1339" s="2" t="s">
        <v>4702</v>
      </c>
      <c r="B1339" s="3" t="str">
        <f>C1339 &amp; "." &amp; D1339</f>
        <v>SendIntents.PermissionGatePassed</v>
      </c>
      <c r="C1339" s="2" t="s">
        <v>4662</v>
      </c>
      <c r="D1339" s="2" t="s">
        <v>4703</v>
      </c>
      <c r="E1339" s="2" t="s">
        <v>2389</v>
      </c>
      <c r="F1339" s="2" t="s">
        <v>2401</v>
      </c>
      <c r="G1339" s="2" t="s">
        <v>4704</v>
      </c>
      <c r="H1339" s="2" t="s">
        <v>2076</v>
      </c>
      <c r="I1339" s="3" t="b">
        <f>OR(E1339 = "calculated", E1339 = "lookup", E1339 = "aggregation")</f>
        <v>1</v>
      </c>
      <c r="J1339" s="3" t="b">
        <f>H1339 &lt;&gt; ""</f>
        <v>1</v>
      </c>
      <c r="K1339" s="3">
        <f>COUNTIFS(FieldDisagreements!D2:D999, A1339)</f>
        <v>0</v>
      </c>
      <c r="L1339" s="3" t="b">
        <f>K1339 &gt; 0</f>
        <v>0</v>
      </c>
      <c r="M1339" s="2" t="s">
        <v>2387</v>
      </c>
    </row>
    <row r="1340">
      <c r="A1340" s="2" t="s">
        <v>4705</v>
      </c>
      <c r="B1340" s="3" t="str">
        <f>C1340 &amp; "." &amp; D1340</f>
        <v>SendIntents.IntentQuietStartHour</v>
      </c>
      <c r="C1340" s="2" t="s">
        <v>4662</v>
      </c>
      <c r="D1340" s="2" t="s">
        <v>4706</v>
      </c>
      <c r="E1340" s="2" t="s">
        <v>2478</v>
      </c>
      <c r="F1340" s="2" t="s">
        <v>2439</v>
      </c>
      <c r="G1340" s="2" t="s">
        <v>4707</v>
      </c>
      <c r="H1340" s="2" t="s">
        <v>2080</v>
      </c>
      <c r="I1340" s="3" t="b">
        <f>OR(E1340 = "calculated", E1340 = "lookup", E1340 = "aggregation")</f>
        <v>1</v>
      </c>
      <c r="J1340" s="3" t="b">
        <f>H1340 &lt;&gt; ""</f>
        <v>1</v>
      </c>
      <c r="K1340" s="3">
        <f>COUNTIFS(FieldDisagreements!D2:D999, A1340)</f>
        <v>0</v>
      </c>
      <c r="L1340" s="3" t="b">
        <f>K1340 &gt; 0</f>
        <v>0</v>
      </c>
      <c r="M1340" s="2" t="s">
        <v>2387</v>
      </c>
    </row>
    <row r="1341">
      <c r="A1341" s="2" t="s">
        <v>4708</v>
      </c>
      <c r="B1341" s="3" t="str">
        <f>C1341 &amp; "." &amp; D1341</f>
        <v>SendIntents.IntentQuietEndHour</v>
      </c>
      <c r="C1341" s="2" t="s">
        <v>4662</v>
      </c>
      <c r="D1341" s="2" t="s">
        <v>4709</v>
      </c>
      <c r="E1341" s="2" t="s">
        <v>2478</v>
      </c>
      <c r="F1341" s="2" t="s">
        <v>2439</v>
      </c>
      <c r="G1341" s="2" t="s">
        <v>4710</v>
      </c>
      <c r="H1341" s="2" t="s">
        <v>2080</v>
      </c>
      <c r="I1341" s="3" t="b">
        <f>OR(E1341 = "calculated", E1341 = "lookup", E1341 = "aggregation")</f>
        <v>1</v>
      </c>
      <c r="J1341" s="3" t="b">
        <f>H1341 &lt;&gt; ""</f>
        <v>1</v>
      </c>
      <c r="K1341" s="3">
        <f>COUNTIFS(FieldDisagreements!D2:D999, A1341)</f>
        <v>0</v>
      </c>
      <c r="L1341" s="3" t="b">
        <f>K1341 &gt; 0</f>
        <v>0</v>
      </c>
      <c r="M1341" s="2" t="s">
        <v>2387</v>
      </c>
    </row>
    <row r="1342">
      <c r="A1342" s="2" t="s">
        <v>4711</v>
      </c>
      <c r="B1342" s="3" t="str">
        <f>C1342 &amp; "." &amp; D1342</f>
        <v>SendIntents.IntentPolicyHasQuietHours</v>
      </c>
      <c r="C1342" s="2" t="s">
        <v>4662</v>
      </c>
      <c r="D1342" s="2" t="s">
        <v>4712</v>
      </c>
      <c r="E1342" s="2" t="s">
        <v>2389</v>
      </c>
      <c r="F1342" s="2" t="s">
        <v>2401</v>
      </c>
      <c r="G1342" s="2" t="s">
        <v>4713</v>
      </c>
      <c r="H1342" s="2" t="s">
        <v>2080</v>
      </c>
      <c r="I1342" s="3" t="b">
        <f>OR(E1342 = "calculated", E1342 = "lookup", E1342 = "aggregation")</f>
        <v>1</v>
      </c>
      <c r="J1342" s="3" t="b">
        <f>H1342 &lt;&gt; ""</f>
        <v>1</v>
      </c>
      <c r="K1342" s="3">
        <f>COUNTIFS(FieldDisagreements!D2:D999, A1342)</f>
        <v>0</v>
      </c>
      <c r="L1342" s="3" t="b">
        <f>K1342 &gt; 0</f>
        <v>0</v>
      </c>
      <c r="M1342" s="2" t="s">
        <v>2387</v>
      </c>
    </row>
    <row r="1343">
      <c r="A1343" s="2" t="s">
        <v>4714</v>
      </c>
      <c r="B1343" s="3" t="str">
        <f>C1343 &amp; "." &amp; D1343</f>
        <v>SendIntents.IntentQuietWindowWraps</v>
      </c>
      <c r="C1343" s="2" t="s">
        <v>4662</v>
      </c>
      <c r="D1343" s="2" t="s">
        <v>4715</v>
      </c>
      <c r="E1343" s="2" t="s">
        <v>2389</v>
      </c>
      <c r="F1343" s="2" t="s">
        <v>2401</v>
      </c>
      <c r="G1343" s="2" t="s">
        <v>4716</v>
      </c>
      <c r="H1343" s="2" t="s">
        <v>2080</v>
      </c>
      <c r="I1343" s="3" t="b">
        <f>OR(E1343 = "calculated", E1343 = "lookup", E1343 = "aggregation")</f>
        <v>1</v>
      </c>
      <c r="J1343" s="3" t="b">
        <f>H1343 &lt;&gt; ""</f>
        <v>1</v>
      </c>
      <c r="K1343" s="3">
        <f>COUNTIFS(FieldDisagreements!D2:D999, A1343)</f>
        <v>0</v>
      </c>
      <c r="L1343" s="3" t="b">
        <f>K1343 &gt; 0</f>
        <v>0</v>
      </c>
      <c r="M1343" s="2" t="s">
        <v>2387</v>
      </c>
    </row>
    <row r="1344">
      <c r="A1344" s="2" t="s">
        <v>4717</v>
      </c>
      <c r="B1344" s="3" t="str">
        <f>C1344 &amp; "." &amp; D1344</f>
        <v>SendIntents.IntentIsInsideQuietWindow</v>
      </c>
      <c r="C1344" s="2" t="s">
        <v>4662</v>
      </c>
      <c r="D1344" s="2" t="s">
        <v>4718</v>
      </c>
      <c r="E1344" s="2" t="s">
        <v>2389</v>
      </c>
      <c r="F1344" s="2" t="s">
        <v>2401</v>
      </c>
      <c r="G1344" s="2" t="s">
        <v>4719</v>
      </c>
      <c r="H1344" s="2" t="s">
        <v>2080</v>
      </c>
      <c r="I1344" s="3" t="b">
        <f>OR(E1344 = "calculated", E1344 = "lookup", E1344 = "aggregation")</f>
        <v>1</v>
      </c>
      <c r="J1344" s="3" t="b">
        <f>H1344 &lt;&gt; ""</f>
        <v>1</v>
      </c>
      <c r="K1344" s="3">
        <f>COUNTIFS(FieldDisagreements!D2:D999, A1344)</f>
        <v>0</v>
      </c>
      <c r="L1344" s="3" t="b">
        <f>K1344 &gt; 0</f>
        <v>0</v>
      </c>
      <c r="M1344" s="2" t="s">
        <v>2387</v>
      </c>
    </row>
    <row r="1345">
      <c r="A1345" s="2" t="s">
        <v>4720</v>
      </c>
      <c r="B1345" s="3" t="str">
        <f>C1345 &amp; "." &amp; D1345</f>
        <v>SendIntents.TimingGatePassed</v>
      </c>
      <c r="C1345" s="2" t="s">
        <v>4662</v>
      </c>
      <c r="D1345" s="2" t="s">
        <v>4721</v>
      </c>
      <c r="E1345" s="2" t="s">
        <v>2389</v>
      </c>
      <c r="F1345" s="2" t="s">
        <v>2401</v>
      </c>
      <c r="G1345" s="2" t="s">
        <v>4722</v>
      </c>
      <c r="H1345" s="2" t="s">
        <v>2080</v>
      </c>
      <c r="I1345" s="3" t="b">
        <f>OR(E1345 = "calculated", E1345 = "lookup", E1345 = "aggregation")</f>
        <v>1</v>
      </c>
      <c r="J1345" s="3" t="b">
        <f>H1345 &lt;&gt; ""</f>
        <v>1</v>
      </c>
      <c r="K1345" s="3">
        <f>COUNTIFS(FieldDisagreements!D2:D999, A1345)</f>
        <v>0</v>
      </c>
      <c r="L1345" s="3" t="b">
        <f>K1345 &gt; 0</f>
        <v>0</v>
      </c>
      <c r="M1345" s="2" t="s">
        <v>2387</v>
      </c>
    </row>
    <row r="1346">
      <c r="A1346" s="2" t="s">
        <v>4723</v>
      </c>
      <c r="B1346" s="3" t="str">
        <f>C1346 &amp; "." &amp; D1346</f>
        <v>SendIntents.HoursUntilWindowOpens</v>
      </c>
      <c r="C1346" s="2" t="s">
        <v>4662</v>
      </c>
      <c r="D1346" s="2" t="s">
        <v>4724</v>
      </c>
      <c r="E1346" s="2" t="s">
        <v>2389</v>
      </c>
      <c r="F1346" s="2" t="s">
        <v>2439</v>
      </c>
      <c r="G1346" s="2" t="s">
        <v>4725</v>
      </c>
      <c r="H1346" s="2" t="s">
        <v>2080</v>
      </c>
      <c r="I1346" s="3" t="b">
        <f>OR(E1346 = "calculated", E1346 = "lookup", E1346 = "aggregation")</f>
        <v>1</v>
      </c>
      <c r="J1346" s="3" t="b">
        <f>H1346 &lt;&gt; ""</f>
        <v>1</v>
      </c>
      <c r="K1346" s="3">
        <f>COUNTIFS(FieldDisagreements!D2:D999, A1346)</f>
        <v>0</v>
      </c>
      <c r="L1346" s="3" t="b">
        <f>K1346 &gt; 0</f>
        <v>0</v>
      </c>
      <c r="M1346" s="2" t="s">
        <v>2387</v>
      </c>
    </row>
    <row r="1347">
      <c r="A1347" s="2" t="s">
        <v>4726</v>
      </c>
      <c r="B1347" s="3" t="str">
        <f>C1347 &amp; "." &amp; D1347</f>
        <v>SendIntents.IntentMaxMessageLength</v>
      </c>
      <c r="C1347" s="2" t="s">
        <v>4662</v>
      </c>
      <c r="D1347" s="2" t="s">
        <v>4727</v>
      </c>
      <c r="E1347" s="2" t="s">
        <v>2478</v>
      </c>
      <c r="F1347" s="2" t="s">
        <v>2439</v>
      </c>
      <c r="G1347" s="2" t="s">
        <v>4728</v>
      </c>
      <c r="H1347" s="2" t="s">
        <v>2084</v>
      </c>
      <c r="I1347" s="3" t="b">
        <f>OR(E1347 = "calculated", E1347 = "lookup", E1347 = "aggregation")</f>
        <v>1</v>
      </c>
      <c r="J1347" s="3" t="b">
        <f>H1347 &lt;&gt; ""</f>
        <v>1</v>
      </c>
      <c r="K1347" s="3">
        <f>COUNTIFS(FieldDisagreements!D2:D999, A1347)</f>
        <v>0</v>
      </c>
      <c r="L1347" s="3" t="b">
        <f>K1347 &gt; 0</f>
        <v>0</v>
      </c>
      <c r="M1347" s="2" t="s">
        <v>2387</v>
      </c>
    </row>
    <row r="1348">
      <c r="A1348" s="2" t="s">
        <v>4729</v>
      </c>
      <c r="B1348" s="3" t="str">
        <f>C1348 &amp; "." &amp; D1348</f>
        <v>SendIntents.IntentMaxSegments</v>
      </c>
      <c r="C1348" s="2" t="s">
        <v>4662</v>
      </c>
      <c r="D1348" s="2" t="s">
        <v>4730</v>
      </c>
      <c r="E1348" s="2" t="s">
        <v>2478</v>
      </c>
      <c r="F1348" s="2" t="s">
        <v>2439</v>
      </c>
      <c r="G1348" s="2" t="s">
        <v>4731</v>
      </c>
      <c r="H1348" s="2" t="s">
        <v>2084</v>
      </c>
      <c r="I1348" s="3" t="b">
        <f>OR(E1348 = "calculated", E1348 = "lookup", E1348 = "aggregation")</f>
        <v>1</v>
      </c>
      <c r="J1348" s="3" t="b">
        <f>H1348 &lt;&gt; ""</f>
        <v>1</v>
      </c>
      <c r="K1348" s="3">
        <f>COUNTIFS(FieldDisagreements!D2:D999, A1348)</f>
        <v>0</v>
      </c>
      <c r="L1348" s="3" t="b">
        <f>K1348 &gt; 0</f>
        <v>0</v>
      </c>
      <c r="M1348" s="2" t="s">
        <v>2387</v>
      </c>
    </row>
    <row r="1349">
      <c r="A1349" s="2" t="s">
        <v>4732</v>
      </c>
      <c r="B1349" s="3" t="str">
        <f>C1349 &amp; "." &amp; D1349</f>
        <v>SendIntents.ProposedBodyLength</v>
      </c>
      <c r="C1349" s="2" t="s">
        <v>4662</v>
      </c>
      <c r="D1349" s="2" t="s">
        <v>4733</v>
      </c>
      <c r="E1349" s="2" t="s">
        <v>2385</v>
      </c>
      <c r="F1349" s="2" t="s">
        <v>2439</v>
      </c>
      <c r="G1349" s="2"/>
      <c r="H1349" s="2" t="s">
        <v>2084</v>
      </c>
      <c r="I1349" s="3" t="b">
        <f>OR(E1349 = "calculated", E1349 = "lookup", E1349 = "aggregation")</f>
        <v>0</v>
      </c>
      <c r="J1349" s="3" t="b">
        <f>H1349 &lt;&gt; ""</f>
        <v>1</v>
      </c>
      <c r="K1349" s="3">
        <f>COUNTIFS(FieldDisagreements!D2:D999, A1349)</f>
        <v>0</v>
      </c>
      <c r="L1349" s="3" t="b">
        <f>K1349 &gt; 0</f>
        <v>0</v>
      </c>
      <c r="M1349" s="2" t="s">
        <v>2387</v>
      </c>
    </row>
    <row r="1350">
      <c r="A1350" s="2" t="s">
        <v>4734</v>
      </c>
      <c r="B1350" s="3" t="str">
        <f>C1350 &amp; "." &amp; D1350</f>
        <v>SendIntents.ProposedSegmentCount</v>
      </c>
      <c r="C1350" s="2" t="s">
        <v>4662</v>
      </c>
      <c r="D1350" s="2" t="s">
        <v>4735</v>
      </c>
      <c r="E1350" s="2" t="s">
        <v>2385</v>
      </c>
      <c r="F1350" s="2" t="s">
        <v>2439</v>
      </c>
      <c r="G1350" s="2"/>
      <c r="H1350" s="2" t="s">
        <v>2084</v>
      </c>
      <c r="I1350" s="3" t="b">
        <f>OR(E1350 = "calculated", E1350 = "lookup", E1350 = "aggregation")</f>
        <v>0</v>
      </c>
      <c r="J1350" s="3" t="b">
        <f>H1350 &lt;&gt; ""</f>
        <v>1</v>
      </c>
      <c r="K1350" s="3">
        <f>COUNTIFS(FieldDisagreements!D2:D999, A1350)</f>
        <v>0</v>
      </c>
      <c r="L1350" s="3" t="b">
        <f>K1350 &gt; 0</f>
        <v>0</v>
      </c>
      <c r="M1350" s="2" t="s">
        <v>2387</v>
      </c>
    </row>
    <row r="1351">
      <c r="A1351" s="2" t="s">
        <v>4736</v>
      </c>
      <c r="B1351" s="3" t="str">
        <f>C1351 &amp; "." &amp; D1351</f>
        <v>SendIntents.LengthGatePassed</v>
      </c>
      <c r="C1351" s="2" t="s">
        <v>4662</v>
      </c>
      <c r="D1351" s="2" t="s">
        <v>4737</v>
      </c>
      <c r="E1351" s="2" t="s">
        <v>2389</v>
      </c>
      <c r="F1351" s="2" t="s">
        <v>2401</v>
      </c>
      <c r="G1351" s="2" t="s">
        <v>4738</v>
      </c>
      <c r="H1351" s="2" t="s">
        <v>2084</v>
      </c>
      <c r="I1351" s="3" t="b">
        <f>OR(E1351 = "calculated", E1351 = "lookup", E1351 = "aggregation")</f>
        <v>1</v>
      </c>
      <c r="J1351" s="3" t="b">
        <f>H1351 &lt;&gt; ""</f>
        <v>1</v>
      </c>
      <c r="K1351" s="3">
        <f>COUNTIFS(FieldDisagreements!D2:D999, A1351)</f>
        <v>0</v>
      </c>
      <c r="L1351" s="3" t="b">
        <f>K1351 &gt; 0</f>
        <v>0</v>
      </c>
      <c r="M1351" s="2" t="s">
        <v>2387</v>
      </c>
    </row>
    <row r="1352">
      <c r="A1352" s="2" t="s">
        <v>4739</v>
      </c>
      <c r="B1352" s="3" t="str">
        <f>C1352 &amp; "." &amp; D1352</f>
        <v>SendIntents.IntentRequiredOptOutPhrase</v>
      </c>
      <c r="C1352" s="2" t="s">
        <v>4662</v>
      </c>
      <c r="D1352" s="2" t="s">
        <v>4740</v>
      </c>
      <c r="E1352" s="2" t="s">
        <v>2478</v>
      </c>
      <c r="F1352" s="2" t="s">
        <v>2386</v>
      </c>
      <c r="G1352" s="2" t="s">
        <v>4741</v>
      </c>
      <c r="H1352" s="2" t="s">
        <v>2084</v>
      </c>
      <c r="I1352" s="3" t="b">
        <f>OR(E1352 = "calculated", E1352 = "lookup", E1352 = "aggregation")</f>
        <v>1</v>
      </c>
      <c r="J1352" s="3" t="b">
        <f>H1352 &lt;&gt; ""</f>
        <v>1</v>
      </c>
      <c r="K1352" s="3">
        <f>COUNTIFS(FieldDisagreements!D2:D999, A1352)</f>
        <v>0</v>
      </c>
      <c r="L1352" s="3" t="b">
        <f>K1352 &gt; 0</f>
        <v>0</v>
      </c>
      <c r="M1352" s="2" t="s">
        <v>2387</v>
      </c>
    </row>
    <row r="1353">
      <c r="A1353" s="2" t="s">
        <v>4742</v>
      </c>
      <c r="B1353" s="3" t="str">
        <f>C1353 &amp; "." &amp; D1353</f>
        <v>SendIntents.ProposedOptOutPosition</v>
      </c>
      <c r="C1353" s="2" t="s">
        <v>4662</v>
      </c>
      <c r="D1353" s="2" t="s">
        <v>4743</v>
      </c>
      <c r="E1353" s="2" t="s">
        <v>2385</v>
      </c>
      <c r="F1353" s="2" t="s">
        <v>2439</v>
      </c>
      <c r="G1353" s="2"/>
      <c r="H1353" s="2" t="s">
        <v>2084</v>
      </c>
      <c r="I1353" s="3" t="b">
        <f>OR(E1353 = "calculated", E1353 = "lookup", E1353 = "aggregation")</f>
        <v>0</v>
      </c>
      <c r="J1353" s="3" t="b">
        <f>H1353 &lt;&gt; ""</f>
        <v>1</v>
      </c>
      <c r="K1353" s="3">
        <f>COUNTIFS(FieldDisagreements!D2:D999, A1353)</f>
        <v>0</v>
      </c>
      <c r="L1353" s="3" t="b">
        <f>K1353 &gt; 0</f>
        <v>0</v>
      </c>
      <c r="M1353" s="2" t="s">
        <v>2387</v>
      </c>
    </row>
    <row r="1354">
      <c r="A1354" s="2" t="s">
        <v>4744</v>
      </c>
      <c r="B1354" s="3" t="str">
        <f>C1354 &amp; "." &amp; D1354</f>
        <v>SendIntents.OptOutGatePassed</v>
      </c>
      <c r="C1354" s="2" t="s">
        <v>4662</v>
      </c>
      <c r="D1354" s="2" t="s">
        <v>4745</v>
      </c>
      <c r="E1354" s="2" t="s">
        <v>2389</v>
      </c>
      <c r="F1354" s="2" t="s">
        <v>2401</v>
      </c>
      <c r="G1354" s="2" t="s">
        <v>4746</v>
      </c>
      <c r="H1354" s="2" t="s">
        <v>2084</v>
      </c>
      <c r="I1354" s="3" t="b">
        <f>OR(E1354 = "calculated", E1354 = "lookup", E1354 = "aggregation")</f>
        <v>1</v>
      </c>
      <c r="J1354" s="3" t="b">
        <f>H1354 &lt;&gt; ""</f>
        <v>1</v>
      </c>
      <c r="K1354" s="3">
        <f>COUNTIFS(FieldDisagreements!D2:D999, A1354)</f>
        <v>1</v>
      </c>
      <c r="L1354" s="3" t="b">
        <f>K1354 &gt; 0</f>
        <v>1</v>
      </c>
      <c r="M1354" s="2" t="s">
        <v>2387</v>
      </c>
    </row>
    <row r="1355">
      <c r="A1355" s="2" t="s">
        <v>4747</v>
      </c>
      <c r="B1355" s="3" t="str">
        <f>C1355 &amp; "." &amp; D1355</f>
        <v>SendIntents.ContentGatePassed</v>
      </c>
      <c r="C1355" s="2" t="s">
        <v>4662</v>
      </c>
      <c r="D1355" s="2" t="s">
        <v>4748</v>
      </c>
      <c r="E1355" s="2" t="s">
        <v>2389</v>
      </c>
      <c r="F1355" s="2" t="s">
        <v>2401</v>
      </c>
      <c r="G1355" s="2" t="s">
        <v>4749</v>
      </c>
      <c r="H1355" s="2" t="s">
        <v>2084</v>
      </c>
      <c r="I1355" s="3" t="b">
        <f>OR(E1355 = "calculated", E1355 = "lookup", E1355 = "aggregation")</f>
        <v>1</v>
      </c>
      <c r="J1355" s="3" t="b">
        <f>H1355 &lt;&gt; ""</f>
        <v>1</v>
      </c>
      <c r="K1355" s="3">
        <f>COUNTIFS(FieldDisagreements!D2:D999, A1355)</f>
        <v>1</v>
      </c>
      <c r="L1355" s="3" t="b">
        <f>K1355 &gt; 0</f>
        <v>1</v>
      </c>
      <c r="M1355" s="2" t="s">
        <v>2387</v>
      </c>
    </row>
    <row r="1356">
      <c r="A1356" s="2" t="s">
        <v>4750</v>
      </c>
      <c r="B1356" s="3" t="str">
        <f>C1356 &amp; "." &amp; D1356</f>
        <v>SendIntents.TemplateIsSendable</v>
      </c>
      <c r="C1356" s="2" t="s">
        <v>4662</v>
      </c>
      <c r="D1356" s="2" t="s">
        <v>4751</v>
      </c>
      <c r="E1356" s="2" t="s">
        <v>2478</v>
      </c>
      <c r="F1356" s="2" t="s">
        <v>2401</v>
      </c>
      <c r="G1356" s="2" t="s">
        <v>4559</v>
      </c>
      <c r="H1356" s="2" t="s">
        <v>2088</v>
      </c>
      <c r="I1356" s="3" t="b">
        <f>OR(E1356 = "calculated", E1356 = "lookup", E1356 = "aggregation")</f>
        <v>1</v>
      </c>
      <c r="J1356" s="3" t="b">
        <f>H1356 &lt;&gt; ""</f>
        <v>1</v>
      </c>
      <c r="K1356" s="3">
        <f>COUNTIFS(FieldDisagreements!D2:D999, A1356)</f>
        <v>0</v>
      </c>
      <c r="L1356" s="3" t="b">
        <f>K1356 &gt; 0</f>
        <v>0</v>
      </c>
      <c r="M1356" s="2" t="s">
        <v>2387</v>
      </c>
    </row>
    <row r="1357">
      <c r="A1357" s="2" t="s">
        <v>4752</v>
      </c>
      <c r="B1357" s="3" t="str">
        <f>C1357 &amp; "." &amp; D1357</f>
        <v>SendIntents.ExecutionHasLegalClearance</v>
      </c>
      <c r="C1357" s="2" t="s">
        <v>4662</v>
      </c>
      <c r="D1357" s="2" t="s">
        <v>4753</v>
      </c>
      <c r="E1357" s="2" t="s">
        <v>2478</v>
      </c>
      <c r="F1357" s="2" t="s">
        <v>2401</v>
      </c>
      <c r="G1357" s="2" t="s">
        <v>4493</v>
      </c>
      <c r="H1357" s="2" t="s">
        <v>2088</v>
      </c>
      <c r="I1357" s="3" t="b">
        <f>OR(E1357 = "calculated", E1357 = "lookup", E1357 = "aggregation")</f>
        <v>1</v>
      </c>
      <c r="J1357" s="3" t="b">
        <f>H1357 &lt;&gt; ""</f>
        <v>1</v>
      </c>
      <c r="K1357" s="3">
        <f>COUNTIFS(FieldDisagreements!D2:D999, A1357)</f>
        <v>0</v>
      </c>
      <c r="L1357" s="3" t="b">
        <f>K1357 &gt; 0</f>
        <v>0</v>
      </c>
      <c r="M1357" s="2" t="s">
        <v>2387</v>
      </c>
    </row>
    <row r="1358">
      <c r="A1358" s="2" t="s">
        <v>4754</v>
      </c>
      <c r="B1358" s="3" t="str">
        <f>C1358 &amp; "." &amp; D1358</f>
        <v>SendIntents.IntentApprovalRole</v>
      </c>
      <c r="C1358" s="2" t="s">
        <v>4662</v>
      </c>
      <c r="D1358" s="2" t="s">
        <v>4755</v>
      </c>
      <c r="E1358" s="2" t="s">
        <v>2478</v>
      </c>
      <c r="F1358" s="2" t="s">
        <v>2386</v>
      </c>
      <c r="G1358" s="2" t="s">
        <v>4756</v>
      </c>
      <c r="H1358" s="2" t="s">
        <v>2088</v>
      </c>
      <c r="I1358" s="3" t="b">
        <f>OR(E1358 = "calculated", E1358 = "lookup", E1358 = "aggregation")</f>
        <v>1</v>
      </c>
      <c r="J1358" s="3" t="b">
        <f>H1358 &lt;&gt; ""</f>
        <v>1</v>
      </c>
      <c r="K1358" s="3">
        <f>COUNTIFS(FieldDisagreements!D2:D999, A1358)</f>
        <v>0</v>
      </c>
      <c r="L1358" s="3" t="b">
        <f>K1358 &gt; 0</f>
        <v>0</v>
      </c>
      <c r="M1358" s="2" t="s">
        <v>2387</v>
      </c>
    </row>
    <row r="1359">
      <c r="A1359" s="2" t="s">
        <v>4757</v>
      </c>
      <c r="B1359" s="3" t="str">
        <f>C1359 &amp; "." &amp; D1359</f>
        <v>SendIntents.ApprovalRoleAgentKind</v>
      </c>
      <c r="C1359" s="2" t="s">
        <v>4662</v>
      </c>
      <c r="D1359" s="2" t="s">
        <v>4758</v>
      </c>
      <c r="E1359" s="2" t="s">
        <v>2478</v>
      </c>
      <c r="F1359" s="2" t="s">
        <v>2386</v>
      </c>
      <c r="G1359" s="2" t="s">
        <v>4759</v>
      </c>
      <c r="H1359" s="2" t="s">
        <v>2088</v>
      </c>
      <c r="I1359" s="3" t="b">
        <f>OR(E1359 = "calculated", E1359 = "lookup", E1359 = "aggregation")</f>
        <v>1</v>
      </c>
      <c r="J1359" s="3" t="b">
        <f>H1359 &lt;&gt; ""</f>
        <v>1</v>
      </c>
      <c r="K1359" s="3">
        <f>COUNTIFS(FieldDisagreements!D2:D999, A1359)</f>
        <v>0</v>
      </c>
      <c r="L1359" s="3" t="b">
        <f>K1359 &gt; 0</f>
        <v>0</v>
      </c>
      <c r="M1359" s="2" t="s">
        <v>2387</v>
      </c>
    </row>
    <row r="1360">
      <c r="A1360" s="2" t="s">
        <v>4760</v>
      </c>
      <c r="B1360" s="3" t="str">
        <f>C1360 &amp; "." &amp; D1360</f>
        <v>SendIntents.ApprovalIsHuman</v>
      </c>
      <c r="C1360" s="2" t="s">
        <v>4662</v>
      </c>
      <c r="D1360" s="2" t="s">
        <v>4761</v>
      </c>
      <c r="E1360" s="2" t="s">
        <v>2389</v>
      </c>
      <c r="F1360" s="2" t="s">
        <v>2401</v>
      </c>
      <c r="G1360" s="2" t="s">
        <v>4762</v>
      </c>
      <c r="H1360" s="2" t="s">
        <v>2088</v>
      </c>
      <c r="I1360" s="3" t="b">
        <f>OR(E1360 = "calculated", E1360 = "lookup", E1360 = "aggregation")</f>
        <v>1</v>
      </c>
      <c r="J1360" s="3" t="b">
        <f>H1360 &lt;&gt; ""</f>
        <v>1</v>
      </c>
      <c r="K1360" s="3">
        <f>COUNTIFS(FieldDisagreements!D2:D999, A1360)</f>
        <v>0</v>
      </c>
      <c r="L1360" s="3" t="b">
        <f>K1360 &gt; 0</f>
        <v>0</v>
      </c>
      <c r="M1360" s="2" t="s">
        <v>2387</v>
      </c>
    </row>
    <row r="1361">
      <c r="A1361" s="2" t="s">
        <v>4763</v>
      </c>
      <c r="B1361" s="3" t="str">
        <f>C1361 &amp; "." &amp; D1361</f>
        <v>SendIntents.AuthorizationGatePassed</v>
      </c>
      <c r="C1361" s="2" t="s">
        <v>4662</v>
      </c>
      <c r="D1361" s="2" t="s">
        <v>4764</v>
      </c>
      <c r="E1361" s="2" t="s">
        <v>2389</v>
      </c>
      <c r="F1361" s="2" t="s">
        <v>2401</v>
      </c>
      <c r="G1361" s="2" t="s">
        <v>4765</v>
      </c>
      <c r="H1361" s="2" t="s">
        <v>2088</v>
      </c>
      <c r="I1361" s="3" t="b">
        <f>OR(E1361 = "calculated", E1361 = "lookup", E1361 = "aggregation")</f>
        <v>1</v>
      </c>
      <c r="J1361" s="3" t="b">
        <f>H1361 &lt;&gt; ""</f>
        <v>1</v>
      </c>
      <c r="K1361" s="3">
        <f>COUNTIFS(FieldDisagreements!D2:D999, A1361)</f>
        <v>0</v>
      </c>
      <c r="L1361" s="3" t="b">
        <f>K1361 &gt; 0</f>
        <v>0</v>
      </c>
      <c r="M1361" s="2" t="s">
        <v>2387</v>
      </c>
    </row>
    <row r="1362">
      <c r="A1362" s="2" t="s">
        <v>4766</v>
      </c>
      <c r="B1362" s="3" t="str">
        <f>C1362 &amp; "." &amp; D1362</f>
        <v>SendIntents.IsClearedToSend</v>
      </c>
      <c r="C1362" s="2" t="s">
        <v>4662</v>
      </c>
      <c r="D1362" s="2" t="s">
        <v>4767</v>
      </c>
      <c r="E1362" s="2" t="s">
        <v>2389</v>
      </c>
      <c r="F1362" s="2" t="s">
        <v>2401</v>
      </c>
      <c r="G1362" s="2" t="s">
        <v>4768</v>
      </c>
      <c r="H1362" s="2" t="s">
        <v>2088</v>
      </c>
      <c r="I1362" s="3" t="b">
        <f>OR(E1362 = "calculated", E1362 = "lookup", E1362 = "aggregation")</f>
        <v>1</v>
      </c>
      <c r="J1362" s="3" t="b">
        <f>H1362 &lt;&gt; ""</f>
        <v>1</v>
      </c>
      <c r="K1362" s="3">
        <f>COUNTIFS(FieldDisagreements!D2:D999, A1362)</f>
        <v>1</v>
      </c>
      <c r="L1362" s="3" t="b">
        <f>K1362 &gt; 0</f>
        <v>1</v>
      </c>
      <c r="M1362" s="2" t="s">
        <v>2387</v>
      </c>
    </row>
    <row r="1363">
      <c r="A1363" s="2" t="s">
        <v>4769</v>
      </c>
      <c r="B1363" s="3" t="str">
        <f>C1363 &amp; "." &amp; D1363</f>
        <v>SendIntents.BlockingGateName</v>
      </c>
      <c r="C1363" s="2" t="s">
        <v>4662</v>
      </c>
      <c r="D1363" s="2" t="s">
        <v>4770</v>
      </c>
      <c r="E1363" s="2" t="s">
        <v>2389</v>
      </c>
      <c r="F1363" s="2" t="s">
        <v>2386</v>
      </c>
      <c r="G1363" s="2" t="s">
        <v>4771</v>
      </c>
      <c r="H1363" s="2" t="s">
        <v>2088</v>
      </c>
      <c r="I1363" s="3" t="b">
        <f>OR(E1363 = "calculated", E1363 = "lookup", E1363 = "aggregation")</f>
        <v>1</v>
      </c>
      <c r="J1363" s="3" t="b">
        <f>H1363 &lt;&gt; ""</f>
        <v>1</v>
      </c>
      <c r="K1363" s="3">
        <f>COUNTIFS(FieldDisagreements!D2:D999, A1363)</f>
        <v>1</v>
      </c>
      <c r="L1363" s="3" t="b">
        <f>K1363 &gt; 0</f>
        <v>1</v>
      </c>
      <c r="M1363" s="2" t="s">
        <v>2387</v>
      </c>
    </row>
    <row r="1364">
      <c r="A1364" s="2" t="s">
        <v>4772</v>
      </c>
      <c r="B1364" s="3" t="str">
        <f>C1364 &amp; "." &amp; D1364</f>
        <v>SendIntents.HasResultingDelivery</v>
      </c>
      <c r="C1364" s="2" t="s">
        <v>4662</v>
      </c>
      <c r="D1364" s="2" t="s">
        <v>4773</v>
      </c>
      <c r="E1364" s="2" t="s">
        <v>2389</v>
      </c>
      <c r="F1364" s="2" t="s">
        <v>2401</v>
      </c>
      <c r="G1364" s="2" t="s">
        <v>4774</v>
      </c>
      <c r="H1364" s="2" t="s">
        <v>2092</v>
      </c>
      <c r="I1364" s="3" t="b">
        <f>OR(E1364 = "calculated", E1364 = "lookup", E1364 = "aggregation")</f>
        <v>1</v>
      </c>
      <c r="J1364" s="3" t="b">
        <f>H1364 &lt;&gt; ""</f>
        <v>1</v>
      </c>
      <c r="K1364" s="3">
        <f>COUNTIFS(FieldDisagreements!D2:D999, A1364)</f>
        <v>0</v>
      </c>
      <c r="L1364" s="3" t="b">
        <f>K1364 &gt; 0</f>
        <v>0</v>
      </c>
      <c r="M1364" s="2" t="s">
        <v>2387</v>
      </c>
    </row>
    <row r="1365">
      <c r="A1365" s="2" t="s">
        <v>4775</v>
      </c>
      <c r="B1365" s="3" t="str">
        <f>C1365 &amp; "." &amp; D1365</f>
        <v>SendIntents.ResultingDeliveryWasTransmitted</v>
      </c>
      <c r="C1365" s="2" t="s">
        <v>4662</v>
      </c>
      <c r="D1365" s="2" t="s">
        <v>4776</v>
      </c>
      <c r="E1365" s="2" t="s">
        <v>2478</v>
      </c>
      <c r="F1365" s="2" t="s">
        <v>2401</v>
      </c>
      <c r="G1365" s="2" t="s">
        <v>4777</v>
      </c>
      <c r="H1365" s="2" t="s">
        <v>2092</v>
      </c>
      <c r="I1365" s="3" t="b">
        <f>OR(E1365 = "calculated", E1365 = "lookup", E1365 = "aggregation")</f>
        <v>1</v>
      </c>
      <c r="J1365" s="3" t="b">
        <f>H1365 &lt;&gt; ""</f>
        <v>1</v>
      </c>
      <c r="K1365" s="3">
        <f>COUNTIFS(FieldDisagreements!D2:D999, A1365)</f>
        <v>0</v>
      </c>
      <c r="L1365" s="3" t="b">
        <f>K1365 &gt; 0</f>
        <v>0</v>
      </c>
      <c r="M1365" s="2" t="s">
        <v>2387</v>
      </c>
    </row>
    <row r="1366">
      <c r="A1366" s="2" t="s">
        <v>4778</v>
      </c>
      <c r="B1366" s="3" t="str">
        <f>C1366 &amp; "." &amp; D1366</f>
        <v>SendIntents.IsOverriddenRefusal</v>
      </c>
      <c r="C1366" s="2" t="s">
        <v>4662</v>
      </c>
      <c r="D1366" s="2" t="s">
        <v>4779</v>
      </c>
      <c r="E1366" s="2" t="s">
        <v>2389</v>
      </c>
      <c r="F1366" s="2" t="s">
        <v>2401</v>
      </c>
      <c r="G1366" s="2" t="s">
        <v>4780</v>
      </c>
      <c r="H1366" s="2" t="s">
        <v>2092</v>
      </c>
      <c r="I1366" s="3" t="b">
        <f>OR(E1366 = "calculated", E1366 = "lookup", E1366 = "aggregation")</f>
        <v>1</v>
      </c>
      <c r="J1366" s="3" t="b">
        <f>H1366 &lt;&gt; ""</f>
        <v>1</v>
      </c>
      <c r="K1366" s="3">
        <f>COUNTIFS(FieldDisagreements!D2:D999, A1366)</f>
        <v>1</v>
      </c>
      <c r="L1366" s="3" t="b">
        <f>K1366 &gt; 0</f>
        <v>1</v>
      </c>
      <c r="M1366" s="2" t="s">
        <v>2387</v>
      </c>
    </row>
    <row r="1367">
      <c r="A1367" s="2" t="s">
        <v>4781</v>
      </c>
      <c r="B1367" s="3" t="str">
        <f>C1367 &amp; "." &amp; D1367</f>
        <v>SendIntents.IsSilentlyDropped</v>
      </c>
      <c r="C1367" s="2" t="s">
        <v>4662</v>
      </c>
      <c r="D1367" s="2" t="s">
        <v>4782</v>
      </c>
      <c r="E1367" s="2" t="s">
        <v>2389</v>
      </c>
      <c r="F1367" s="2" t="s">
        <v>2401</v>
      </c>
      <c r="G1367" s="2" t="s">
        <v>4783</v>
      </c>
      <c r="H1367" s="2" t="s">
        <v>2092</v>
      </c>
      <c r="I1367" s="3" t="b">
        <f>OR(E1367 = "calculated", E1367 = "lookup", E1367 = "aggregation")</f>
        <v>1</v>
      </c>
      <c r="J1367" s="3" t="b">
        <f>H1367 &lt;&gt; ""</f>
        <v>1</v>
      </c>
      <c r="K1367" s="3">
        <f>COUNTIFS(FieldDisagreements!D2:D999, A1367)</f>
        <v>0</v>
      </c>
      <c r="L1367" s="3" t="b">
        <f>K1367 &gt; 0</f>
        <v>0</v>
      </c>
      <c r="M1367" s="2" t="s">
        <v>2387</v>
      </c>
    </row>
    <row r="1368">
      <c r="A1368" s="2" t="s">
        <v>4784</v>
      </c>
      <c r="B1368" s="3" t="str">
        <f>C1368 &amp; "." &amp; D1368</f>
        <v>SendIntents.ResultingDeliveryException</v>
      </c>
      <c r="C1368" s="2" t="s">
        <v>4662</v>
      </c>
      <c r="D1368" s="2" t="s">
        <v>4785</v>
      </c>
      <c r="E1368" s="2" t="s">
        <v>2478</v>
      </c>
      <c r="F1368" s="2" t="s">
        <v>2386</v>
      </c>
      <c r="G1368" s="2" t="s">
        <v>4786</v>
      </c>
      <c r="H1368" s="2" t="s">
        <v>2092</v>
      </c>
      <c r="I1368" s="3" t="b">
        <f>OR(E1368 = "calculated", E1368 = "lookup", E1368 = "aggregation")</f>
        <v>1</v>
      </c>
      <c r="J1368" s="3" t="b">
        <f>H1368 &lt;&gt; ""</f>
        <v>1</v>
      </c>
      <c r="K1368" s="3">
        <f>COUNTIFS(FieldDisagreements!D2:D999, A1368)</f>
        <v>0</v>
      </c>
      <c r="L1368" s="3" t="b">
        <f>K1368 &gt; 0</f>
        <v>0</v>
      </c>
      <c r="M1368" s="2" t="s">
        <v>2387</v>
      </c>
    </row>
    <row r="1369">
      <c r="A1369" s="2" t="s">
        <v>4787</v>
      </c>
      <c r="B1369" s="3" t="str">
        <f>C1369 &amp; "." &amp; D1369</f>
        <v>SendIntents.RefusalCitedAnException</v>
      </c>
      <c r="C1369" s="2" t="s">
        <v>4662</v>
      </c>
      <c r="D1369" s="2" t="s">
        <v>4788</v>
      </c>
      <c r="E1369" s="2" t="s">
        <v>2389</v>
      </c>
      <c r="F1369" s="2" t="s">
        <v>2401</v>
      </c>
      <c r="G1369" s="2" t="s">
        <v>4789</v>
      </c>
      <c r="H1369" s="2" t="s">
        <v>2092</v>
      </c>
      <c r="I1369" s="3" t="b">
        <f>OR(E1369 = "calculated", E1369 = "lookup", E1369 = "aggregation")</f>
        <v>1</v>
      </c>
      <c r="J1369" s="3" t="b">
        <f>H1369 &lt;&gt; ""</f>
        <v>1</v>
      </c>
      <c r="K1369" s="3">
        <f>COUNTIFS(FieldDisagreements!D2:D999, A1369)</f>
        <v>1</v>
      </c>
      <c r="L1369" s="3" t="b">
        <f>K1369 &gt; 0</f>
        <v>1</v>
      </c>
      <c r="M1369" s="2" t="s">
        <v>2387</v>
      </c>
    </row>
    <row r="1370">
      <c r="A1370" s="2" t="s">
        <v>4790</v>
      </c>
      <c r="B1370" s="3" t="str">
        <f>C1370 &amp; "." &amp; D1370</f>
        <v>SendIntents.IsProperlyHandledRefusal</v>
      </c>
      <c r="C1370" s="2" t="s">
        <v>4662</v>
      </c>
      <c r="D1370" s="2" t="s">
        <v>4791</v>
      </c>
      <c r="E1370" s="2" t="s">
        <v>2389</v>
      </c>
      <c r="F1370" s="2" t="s">
        <v>2401</v>
      </c>
      <c r="G1370" s="2" t="s">
        <v>4792</v>
      </c>
      <c r="H1370" s="2" t="s">
        <v>2092</v>
      </c>
      <c r="I1370" s="3" t="b">
        <f>OR(E1370 = "calculated", E1370 = "lookup", E1370 = "aggregation")</f>
        <v>1</v>
      </c>
      <c r="J1370" s="3" t="b">
        <f>H1370 &lt;&gt; ""</f>
        <v>1</v>
      </c>
      <c r="K1370" s="3">
        <f>COUNTIFS(FieldDisagreements!D2:D999, A1370)</f>
        <v>1</v>
      </c>
      <c r="L1370" s="3" t="b">
        <f>K1370 &gt; 0</f>
        <v>1</v>
      </c>
      <c r="M1370" s="2" t="s">
        <v>2387</v>
      </c>
    </row>
    <row r="1371">
      <c r="A1371" s="2" t="s">
        <v>4793</v>
      </c>
      <c r="B1371" s="3" t="str">
        <f>C1371 &amp; "." &amp; D1371</f>
        <v>SendIntents.RefusalFailureExecutionKey</v>
      </c>
      <c r="C1371" s="2" t="s">
        <v>4662</v>
      </c>
      <c r="D1371" s="2" t="s">
        <v>4794</v>
      </c>
      <c r="E1371" s="2" t="s">
        <v>2389</v>
      </c>
      <c r="F1371" s="2" t="s">
        <v>2386</v>
      </c>
      <c r="G1371" s="2" t="s">
        <v>4795</v>
      </c>
      <c r="H1371" s="2" t="s">
        <v>2092</v>
      </c>
      <c r="I1371" s="3" t="b">
        <f>OR(E1371 = "calculated", E1371 = "lookup", E1371 = "aggregation")</f>
        <v>1</v>
      </c>
      <c r="J1371" s="3" t="b">
        <f>H1371 &lt;&gt; ""</f>
        <v>1</v>
      </c>
      <c r="K1371" s="3">
        <f>COUNTIFS(FieldDisagreements!D2:D999, A1371)</f>
        <v>1</v>
      </c>
      <c r="L1371" s="3" t="b">
        <f>K1371 &gt; 0</f>
        <v>1</v>
      </c>
      <c r="M1371" s="2" t="s">
        <v>2387</v>
      </c>
    </row>
    <row r="1372">
      <c r="A1372" s="2" t="s">
        <v>4796</v>
      </c>
      <c r="B1372" s="3" t="str">
        <f>C1372 &amp; "." &amp; D1372</f>
        <v>SendIntents.IntentExecutionKey</v>
      </c>
      <c r="C1372" s="2" t="s">
        <v>4662</v>
      </c>
      <c r="D1372" s="2" t="s">
        <v>4797</v>
      </c>
      <c r="E1372" s="2" t="s">
        <v>2389</v>
      </c>
      <c r="F1372" s="2" t="s">
        <v>2386</v>
      </c>
      <c r="G1372" s="2" t="s">
        <v>4798</v>
      </c>
      <c r="H1372" s="2" t="s">
        <v>2296</v>
      </c>
      <c r="I1372" s="3" t="b">
        <f>OR(E1372 = "calculated", E1372 = "lookup", E1372 = "aggregation")</f>
        <v>1</v>
      </c>
      <c r="J1372" s="3" t="b">
        <f>H1372 &lt;&gt; ""</f>
        <v>1</v>
      </c>
      <c r="K1372" s="3">
        <f>COUNTIFS(FieldDisagreements!D2:D999, A1372)</f>
        <v>0</v>
      </c>
      <c r="L1372" s="3" t="b">
        <f>K1372 &gt; 0</f>
        <v>0</v>
      </c>
      <c r="M1372" s="2" t="s">
        <v>2387</v>
      </c>
    </row>
    <row r="1373">
      <c r="A1373" s="2" t="s">
        <v>4799</v>
      </c>
      <c r="B1373" s="3" t="str">
        <f>C1373 &amp; "." &amp; D1373</f>
        <v>SendIntents.DeliveredIntentExecutionKey</v>
      </c>
      <c r="C1373" s="2" t="s">
        <v>4662</v>
      </c>
      <c r="D1373" s="2" t="s">
        <v>4800</v>
      </c>
      <c r="E1373" s="2" t="s">
        <v>2389</v>
      </c>
      <c r="F1373" s="2" t="s">
        <v>2386</v>
      </c>
      <c r="G1373" s="2" t="s">
        <v>4801</v>
      </c>
      <c r="H1373" s="2" t="s">
        <v>2296</v>
      </c>
      <c r="I1373" s="3" t="b">
        <f>OR(E1373 = "calculated", E1373 = "lookup", E1373 = "aggregation")</f>
        <v>1</v>
      </c>
      <c r="J1373" s="3" t="b">
        <f>H1373 &lt;&gt; ""</f>
        <v>1</v>
      </c>
      <c r="K1373" s="3">
        <f>COUNTIFS(FieldDisagreements!D2:D999, A1373)</f>
        <v>0</v>
      </c>
      <c r="L1373" s="3" t="b">
        <f>K1373 &gt; 0</f>
        <v>0</v>
      </c>
      <c r="M1373" s="2" t="s">
        <v>2387</v>
      </c>
    </row>
    <row r="1374">
      <c r="A1374" s="2" t="s">
        <v>4802</v>
      </c>
      <c r="B1374" s="3" t="str">
        <f>C1374 &amp; "." &amp; D1374</f>
        <v>SendIntents.DroppedIntentExecutionKey</v>
      </c>
      <c r="C1374" s="2" t="s">
        <v>4662</v>
      </c>
      <c r="D1374" s="2" t="s">
        <v>4803</v>
      </c>
      <c r="E1374" s="2" t="s">
        <v>2389</v>
      </c>
      <c r="F1374" s="2" t="s">
        <v>2386</v>
      </c>
      <c r="G1374" s="2" t="s">
        <v>4804</v>
      </c>
      <c r="H1374" s="2" t="s">
        <v>2296</v>
      </c>
      <c r="I1374" s="3" t="b">
        <f>OR(E1374 = "calculated", E1374 = "lookup", E1374 = "aggregation")</f>
        <v>1</v>
      </c>
      <c r="J1374" s="3" t="b">
        <f>H1374 &lt;&gt; ""</f>
        <v>1</v>
      </c>
      <c r="K1374" s="3">
        <f>COUNTIFS(FieldDisagreements!D2:D999, A1374)</f>
        <v>0</v>
      </c>
      <c r="L1374" s="3" t="b">
        <f>K1374 &gt; 0</f>
        <v>0</v>
      </c>
      <c r="M1374" s="2" t="s">
        <v>2387</v>
      </c>
    </row>
    <row r="1375">
      <c r="A1375" s="2" t="s">
        <v>4805</v>
      </c>
      <c r="B1375" s="3" t="str">
        <f>C1375 &amp; "." &amp; D1375</f>
        <v>SendIntents.MyApprovalWasInForce</v>
      </c>
      <c r="C1375" s="2" t="s">
        <v>4662</v>
      </c>
      <c r="D1375" s="2" t="s">
        <v>4806</v>
      </c>
      <c r="E1375" s="2" t="s">
        <v>2389</v>
      </c>
      <c r="F1375" s="2" t="s">
        <v>2401</v>
      </c>
      <c r="G1375" s="2" t="s">
        <v>4807</v>
      </c>
      <c r="H1375" s="2" t="s">
        <v>2304</v>
      </c>
      <c r="I1375" s="3" t="b">
        <f>OR(E1375 = "calculated", E1375 = "lookup", E1375 = "aggregation")</f>
        <v>1</v>
      </c>
      <c r="J1375" s="3" t="b">
        <f>H1375 &lt;&gt; ""</f>
        <v>1</v>
      </c>
      <c r="K1375" s="3">
        <f>COUNTIFS(FieldDisagreements!D2:D999, A1375)</f>
        <v>0</v>
      </c>
      <c r="L1375" s="3" t="b">
        <f>K1375 &gt; 0</f>
        <v>0</v>
      </c>
      <c r="M1375" s="2" t="s">
        <v>2387</v>
      </c>
    </row>
    <row r="1376">
      <c r="A1376" s="2" t="s">
        <v>4808</v>
      </c>
      <c r="B1376" s="3" t="str">
        <f>C1376 &amp; "." &amp; D1376</f>
        <v>SendIntents.RefusedOnApprovedContent</v>
      </c>
      <c r="C1376" s="2" t="s">
        <v>4662</v>
      </c>
      <c r="D1376" s="2" t="s">
        <v>4809</v>
      </c>
      <c r="E1376" s="2" t="s">
        <v>2389</v>
      </c>
      <c r="F1376" s="2" t="s">
        <v>2401</v>
      </c>
      <c r="G1376" s="2" t="s">
        <v>4810</v>
      </c>
      <c r="H1376" s="2" t="s">
        <v>2304</v>
      </c>
      <c r="I1376" s="3" t="b">
        <f>OR(E1376 = "calculated", E1376 = "lookup", E1376 = "aggregation")</f>
        <v>1</v>
      </c>
      <c r="J1376" s="3" t="b">
        <f>H1376 &lt;&gt; ""</f>
        <v>1</v>
      </c>
      <c r="K1376" s="3">
        <f>COUNTIFS(FieldDisagreements!D2:D999, A1376)</f>
        <v>1</v>
      </c>
      <c r="L1376" s="3" t="b">
        <f>K1376 &gt; 0</f>
        <v>1</v>
      </c>
      <c r="M1376" s="2" t="s">
        <v>2387</v>
      </c>
    </row>
    <row r="1377">
      <c r="A1377" s="2" t="s">
        <v>4811</v>
      </c>
      <c r="B1377" s="3" t="str">
        <f>C1377 &amp; "." &amp; D1377</f>
        <v>SendIntents.RefusedOnOptOutOnly</v>
      </c>
      <c r="C1377" s="2" t="s">
        <v>4662</v>
      </c>
      <c r="D1377" s="2" t="s">
        <v>4812</v>
      </c>
      <c r="E1377" s="2" t="s">
        <v>2389</v>
      </c>
      <c r="F1377" s="2" t="s">
        <v>2401</v>
      </c>
      <c r="G1377" s="2" t="s">
        <v>4813</v>
      </c>
      <c r="H1377" s="2" t="s">
        <v>2304</v>
      </c>
      <c r="I1377" s="3" t="b">
        <f>OR(E1377 = "calculated", E1377 = "lookup", E1377 = "aggregation")</f>
        <v>1</v>
      </c>
      <c r="J1377" s="3" t="b">
        <f>H1377 &lt;&gt; ""</f>
        <v>1</v>
      </c>
      <c r="K1377" s="3">
        <f>COUNTIFS(FieldDisagreements!D2:D999, A1377)</f>
        <v>1</v>
      </c>
      <c r="L1377" s="3" t="b">
        <f>K1377 &gt; 0</f>
        <v>1</v>
      </c>
      <c r="M1377" s="2" t="s">
        <v>2387</v>
      </c>
    </row>
    <row r="1378">
      <c r="A1378" s="2" t="s">
        <v>4814</v>
      </c>
      <c r="B1378" s="3" t="str">
        <f>C1378 &amp; "." &amp; D1378</f>
        <v>SendIntents.RefusalWasOnMyRules</v>
      </c>
      <c r="C1378" s="2" t="s">
        <v>4662</v>
      </c>
      <c r="D1378" s="2" t="s">
        <v>4815</v>
      </c>
      <c r="E1378" s="2" t="s">
        <v>2389</v>
      </c>
      <c r="F1378" s="2" t="s">
        <v>2401</v>
      </c>
      <c r="G1378" s="2" t="s">
        <v>4816</v>
      </c>
      <c r="H1378" s="2" t="s">
        <v>2304</v>
      </c>
      <c r="I1378" s="3" t="b">
        <f>OR(E1378 = "calculated", E1378 = "lookup", E1378 = "aggregation")</f>
        <v>1</v>
      </c>
      <c r="J1378" s="3" t="b">
        <f>H1378 &lt;&gt; ""</f>
        <v>1</v>
      </c>
      <c r="K1378" s="3">
        <f>COUNTIFS(FieldDisagreements!D2:D999, A1378)</f>
        <v>1</v>
      </c>
      <c r="L1378" s="3" t="b">
        <f>K1378 &gt; 0</f>
        <v>1</v>
      </c>
      <c r="M1378" s="2" t="s">
        <v>2387</v>
      </c>
    </row>
    <row r="1379">
      <c r="A1379" s="2" t="s">
        <v>4817</v>
      </c>
      <c r="B1379" s="3" t="str">
        <f>C1379 &amp; "." &amp; D1379</f>
        <v>SendIntents.RefusalWasOutsideMyControl</v>
      </c>
      <c r="C1379" s="2" t="s">
        <v>4662</v>
      </c>
      <c r="D1379" s="2" t="s">
        <v>4818</v>
      </c>
      <c r="E1379" s="2" t="s">
        <v>2389</v>
      </c>
      <c r="F1379" s="2" t="s">
        <v>2401</v>
      </c>
      <c r="G1379" s="2" t="s">
        <v>4819</v>
      </c>
      <c r="H1379" s="2" t="s">
        <v>2304</v>
      </c>
      <c r="I1379" s="3" t="b">
        <f>OR(E1379 = "calculated", E1379 = "lookup", E1379 = "aggregation")</f>
        <v>1</v>
      </c>
      <c r="J1379" s="3" t="b">
        <f>H1379 &lt;&gt; ""</f>
        <v>1</v>
      </c>
      <c r="K1379" s="3">
        <f>COUNTIFS(FieldDisagreements!D2:D999, A1379)</f>
        <v>0</v>
      </c>
      <c r="L1379" s="3" t="b">
        <f>K1379 &gt; 0</f>
        <v>0</v>
      </c>
      <c r="M1379" s="2" t="s">
        <v>2387</v>
      </c>
    </row>
    <row r="1380">
      <c r="A1380" s="2" t="s">
        <v>4820</v>
      </c>
      <c r="B1380" s="3" t="str">
        <f>C1380 &amp; "." &amp; D1380</f>
        <v>SendIntents.ApproverWasNotified</v>
      </c>
      <c r="C1380" s="2" t="s">
        <v>4662</v>
      </c>
      <c r="D1380" s="2" t="s">
        <v>4821</v>
      </c>
      <c r="E1380" s="2" t="s">
        <v>2385</v>
      </c>
      <c r="F1380" s="2" t="s">
        <v>2401</v>
      </c>
      <c r="G1380" s="2"/>
      <c r="H1380" s="2" t="s">
        <v>2304</v>
      </c>
      <c r="I1380" s="3" t="b">
        <f>OR(E1380 = "calculated", E1380 = "lookup", E1380 = "aggregation")</f>
        <v>0</v>
      </c>
      <c r="J1380" s="3" t="b">
        <f>H1380 &lt;&gt; ""</f>
        <v>1</v>
      </c>
      <c r="K1380" s="3">
        <f>COUNTIFS(FieldDisagreements!D2:D999, A1380)</f>
        <v>0</v>
      </c>
      <c r="L1380" s="3" t="b">
        <f>K1380 &gt; 0</f>
        <v>0</v>
      </c>
      <c r="M1380" s="2" t="s">
        <v>2387</v>
      </c>
    </row>
    <row r="1381">
      <c r="A1381" s="2" t="s">
        <v>4822</v>
      </c>
      <c r="B1381" s="3" t="str">
        <f>C1381 &amp; "." &amp; D1381</f>
        <v>SendIntents.IsUnreportedRefusalOnMyRules</v>
      </c>
      <c r="C1381" s="2" t="s">
        <v>4662</v>
      </c>
      <c r="D1381" s="2" t="s">
        <v>4823</v>
      </c>
      <c r="E1381" s="2" t="s">
        <v>2389</v>
      </c>
      <c r="F1381" s="2" t="s">
        <v>2401</v>
      </c>
      <c r="G1381" s="2" t="s">
        <v>4824</v>
      </c>
      <c r="H1381" s="2" t="s">
        <v>2304</v>
      </c>
      <c r="I1381" s="3" t="b">
        <f>OR(E1381 = "calculated", E1381 = "lookup", E1381 = "aggregation")</f>
        <v>1</v>
      </c>
      <c r="J1381" s="3" t="b">
        <f>H1381 &lt;&gt; ""</f>
        <v>1</v>
      </c>
      <c r="K1381" s="3">
        <f>COUNTIFS(FieldDisagreements!D2:D999, A1381)</f>
        <v>2</v>
      </c>
      <c r="L1381" s="3" t="b">
        <f>K1381 &gt; 0</f>
        <v>1</v>
      </c>
      <c r="M1381" s="2" t="s">
        <v>2387</v>
      </c>
    </row>
    <row r="1382">
      <c r="A1382" s="2" t="s">
        <v>4825</v>
      </c>
      <c r="B1382" s="3" t="str">
        <f>C1382 &amp; "." &amp; D1382</f>
        <v>SendIntents.IsApprovalOverriddenSilently</v>
      </c>
      <c r="C1382" s="2" t="s">
        <v>4662</v>
      </c>
      <c r="D1382" s="2" t="s">
        <v>4826</v>
      </c>
      <c r="E1382" s="2" t="s">
        <v>2389</v>
      </c>
      <c r="F1382" s="2" t="s">
        <v>2401</v>
      </c>
      <c r="G1382" s="2" t="s">
        <v>4827</v>
      </c>
      <c r="H1382" s="2" t="s">
        <v>2304</v>
      </c>
      <c r="I1382" s="3" t="b">
        <f>OR(E1382 = "calculated", E1382 = "lookup", E1382 = "aggregation")</f>
        <v>1</v>
      </c>
      <c r="J1382" s="3" t="b">
        <f>H1382 &lt;&gt; ""</f>
        <v>1</v>
      </c>
      <c r="K1382" s="3">
        <f>COUNTIFS(FieldDisagreements!D2:D999, A1382)</f>
        <v>2</v>
      </c>
      <c r="L1382" s="3" t="b">
        <f>K1382 &gt; 0</f>
        <v>1</v>
      </c>
      <c r="M1382" s="2" t="s">
        <v>2387</v>
      </c>
    </row>
    <row r="1383">
      <c r="A1383" s="2" t="s">
        <v>4828</v>
      </c>
      <c r="B1383" s="3" t="str">
        <f>C1383 &amp; "." &amp; D1383</f>
        <v>SendIntents.AlternateChannelIntent</v>
      </c>
      <c r="C1383" s="2" t="s">
        <v>4662</v>
      </c>
      <c r="D1383" s="2" t="s">
        <v>4829</v>
      </c>
      <c r="E1383" s="2" t="s">
        <v>2385</v>
      </c>
      <c r="F1383" s="2" t="s">
        <v>2386</v>
      </c>
      <c r="G1383" s="2"/>
      <c r="H1383" s="2" t="s">
        <v>2312</v>
      </c>
      <c r="I1383" s="3" t="b">
        <f>OR(E1383 = "calculated", E1383 = "lookup", E1383 = "aggregation")</f>
        <v>0</v>
      </c>
      <c r="J1383" s="3" t="b">
        <f>H1383 &lt;&gt; ""</f>
        <v>1</v>
      </c>
      <c r="K1383" s="3">
        <f>COUNTIFS(FieldDisagreements!D2:D999, A1383)</f>
        <v>0</v>
      </c>
      <c r="L1383" s="3" t="b">
        <f>K1383 &gt; 0</f>
        <v>0</v>
      </c>
      <c r="M1383" s="2" t="s">
        <v>2387</v>
      </c>
    </row>
    <row r="1384">
      <c r="A1384" s="2" t="s">
        <v>4830</v>
      </c>
      <c r="B1384" s="3" t="str">
        <f>C1384 &amp; "." &amp; D1384</f>
        <v>SendIntents.HasAlternateChannelAttempt</v>
      </c>
      <c r="C1384" s="2" t="s">
        <v>4662</v>
      </c>
      <c r="D1384" s="2" t="s">
        <v>4831</v>
      </c>
      <c r="E1384" s="2" t="s">
        <v>2389</v>
      </c>
      <c r="F1384" s="2" t="s">
        <v>2401</v>
      </c>
      <c r="G1384" s="2" t="s">
        <v>4832</v>
      </c>
      <c r="H1384" s="2" t="s">
        <v>2312</v>
      </c>
      <c r="I1384" s="3" t="b">
        <f>OR(E1384 = "calculated", E1384 = "lookup", E1384 = "aggregation")</f>
        <v>1</v>
      </c>
      <c r="J1384" s="3" t="b">
        <f>H1384 &lt;&gt; ""</f>
        <v>1</v>
      </c>
      <c r="K1384" s="3">
        <f>COUNTIFS(FieldDisagreements!D2:D999, A1384)</f>
        <v>0</v>
      </c>
      <c r="L1384" s="3" t="b">
        <f>K1384 &gt; 0</f>
        <v>0</v>
      </c>
      <c r="M1384" s="2" t="s">
        <v>2387</v>
      </c>
    </row>
    <row r="1385">
      <c r="A1385" s="2" t="s">
        <v>4833</v>
      </c>
      <c r="B1385" s="3" t="str">
        <f>C1385 &amp; "." &amp; D1385</f>
        <v>SendIntents.AlternateAttemptWasCleared</v>
      </c>
      <c r="C1385" s="2" t="s">
        <v>4662</v>
      </c>
      <c r="D1385" s="2" t="s">
        <v>4834</v>
      </c>
      <c r="E1385" s="2" t="s">
        <v>2478</v>
      </c>
      <c r="F1385" s="2" t="s">
        <v>2401</v>
      </c>
      <c r="G1385" s="2" t="s">
        <v>4835</v>
      </c>
      <c r="H1385" s="2" t="s">
        <v>2312</v>
      </c>
      <c r="I1385" s="3" t="b">
        <f>OR(E1385 = "calculated", E1385 = "lookup", E1385 = "aggregation")</f>
        <v>1</v>
      </c>
      <c r="J1385" s="3" t="b">
        <f>H1385 &lt;&gt; ""</f>
        <v>1</v>
      </c>
      <c r="K1385" s="3">
        <f>COUNTIFS(FieldDisagreements!D2:D999, A1385)</f>
        <v>0</v>
      </c>
      <c r="L1385" s="3" t="b">
        <f>K1385 &gt; 0</f>
        <v>0</v>
      </c>
      <c r="M1385" s="2" t="s">
        <v>2387</v>
      </c>
    </row>
    <row r="1386">
      <c r="A1386" s="2" t="s">
        <v>4836</v>
      </c>
      <c r="B1386" s="3" t="str">
        <f>C1386 &amp; "." &amp; D1386</f>
        <v>SendIntents.IsRefusedWithNoAlternative</v>
      </c>
      <c r="C1386" s="2" t="s">
        <v>4662</v>
      </c>
      <c r="D1386" s="2" t="s">
        <v>4837</v>
      </c>
      <c r="E1386" s="2" t="s">
        <v>2389</v>
      </c>
      <c r="F1386" s="2" t="s">
        <v>2401</v>
      </c>
      <c r="G1386" s="2" t="s">
        <v>4838</v>
      </c>
      <c r="H1386" s="2" t="s">
        <v>2312</v>
      </c>
      <c r="I1386" s="3" t="b">
        <f>OR(E1386 = "calculated", E1386 = "lookup", E1386 = "aggregation")</f>
        <v>1</v>
      </c>
      <c r="J1386" s="3" t="b">
        <f>H1386 &lt;&gt; ""</f>
        <v>1</v>
      </c>
      <c r="K1386" s="3">
        <f>COUNTIFS(FieldDisagreements!D2:D999, A1386)</f>
        <v>1</v>
      </c>
      <c r="L1386" s="3" t="b">
        <f>K1386 &gt; 0</f>
        <v>1</v>
      </c>
      <c r="M1386" s="2" t="s">
        <v>2387</v>
      </c>
    </row>
    <row r="1387">
      <c r="A1387" s="2" t="s">
        <v>4839</v>
      </c>
      <c r="B1387" s="3" t="str">
        <f>C1387 &amp; "." &amp; D1387</f>
        <v>SendIntents.ExceptionPrescribedAnAlternative</v>
      </c>
      <c r="C1387" s="2" t="s">
        <v>4662</v>
      </c>
      <c r="D1387" s="2" t="s">
        <v>4840</v>
      </c>
      <c r="E1387" s="2" t="s">
        <v>2389</v>
      </c>
      <c r="F1387" s="2" t="s">
        <v>2401</v>
      </c>
      <c r="G1387" s="2" t="s">
        <v>4841</v>
      </c>
      <c r="H1387" s="2" t="s">
        <v>2312</v>
      </c>
      <c r="I1387" s="3" t="b">
        <f>OR(E1387 = "calculated", E1387 = "lookup", E1387 = "aggregation")</f>
        <v>1</v>
      </c>
      <c r="J1387" s="3" t="b">
        <f>H1387 &lt;&gt; ""</f>
        <v>1</v>
      </c>
      <c r="K1387" s="3">
        <f>COUNTIFS(FieldDisagreements!D2:D999, A1387)</f>
        <v>1</v>
      </c>
      <c r="L1387" s="3" t="b">
        <f>K1387 &gt; 0</f>
        <v>1</v>
      </c>
      <c r="M1387" s="2" t="s">
        <v>2387</v>
      </c>
    </row>
    <row r="1388">
      <c r="A1388" s="2" t="s">
        <v>4842</v>
      </c>
      <c r="B1388" s="3" t="str">
        <f>C1388 &amp; "." &amp; D1388</f>
        <v>SendIntents.PrescribedHandlingWasPerformed</v>
      </c>
      <c r="C1388" s="2" t="s">
        <v>4662</v>
      </c>
      <c r="D1388" s="2" t="s">
        <v>4843</v>
      </c>
      <c r="E1388" s="2" t="s">
        <v>2389</v>
      </c>
      <c r="F1388" s="2" t="s">
        <v>2401</v>
      </c>
      <c r="G1388" s="2" t="s">
        <v>4844</v>
      </c>
      <c r="H1388" s="2" t="s">
        <v>2312</v>
      </c>
      <c r="I1388" s="3" t="b">
        <f>OR(E1388 = "calculated", E1388 = "lookup", E1388 = "aggregation")</f>
        <v>1</v>
      </c>
      <c r="J1388" s="3" t="b">
        <f>H1388 &lt;&gt; ""</f>
        <v>1</v>
      </c>
      <c r="K1388" s="3">
        <f>COUNTIFS(FieldDisagreements!D2:D999, A1388)</f>
        <v>0</v>
      </c>
      <c r="L1388" s="3" t="b">
        <f>K1388 &gt; 0</f>
        <v>0</v>
      </c>
      <c r="M1388" s="2" t="s">
        <v>2387</v>
      </c>
    </row>
    <row r="1389">
      <c r="A1389" s="2" t="s">
        <v>4845</v>
      </c>
      <c r="B1389" s="3" t="str">
        <f>C1389 &amp; "." &amp; D1389</f>
        <v>SendIntents.IsSuppressionWithoutRemedy</v>
      </c>
      <c r="C1389" s="2" t="s">
        <v>4662</v>
      </c>
      <c r="D1389" s="2" t="s">
        <v>4846</v>
      </c>
      <c r="E1389" s="2" t="s">
        <v>2389</v>
      </c>
      <c r="F1389" s="2" t="s">
        <v>2401</v>
      </c>
      <c r="G1389" s="2" t="s">
        <v>4847</v>
      </c>
      <c r="H1389" s="2" t="s">
        <v>2312</v>
      </c>
      <c r="I1389" s="3" t="b">
        <f>OR(E1389 = "calculated", E1389 = "lookup", E1389 = "aggregation")</f>
        <v>1</v>
      </c>
      <c r="J1389" s="3" t="b">
        <f>H1389 &lt;&gt; ""</f>
        <v>1</v>
      </c>
      <c r="K1389" s="3">
        <f>COUNTIFS(FieldDisagreements!D2:D999, A1389)</f>
        <v>1</v>
      </c>
      <c r="L1389" s="3" t="b">
        <f>K1389 &gt; 0</f>
        <v>1</v>
      </c>
      <c r="M1389" s="2" t="s">
        <v>2387</v>
      </c>
    </row>
    <row r="1390">
      <c r="A1390" s="2" t="s">
        <v>4848</v>
      </c>
      <c r="B1390" s="3" t="str">
        <f>C1390 &amp; "." &amp; D1390</f>
        <v>SendIntents.RefusalRecordedAt</v>
      </c>
      <c r="C1390" s="2" t="s">
        <v>4662</v>
      </c>
      <c r="D1390" s="2" t="s">
        <v>4849</v>
      </c>
      <c r="E1390" s="2" t="s">
        <v>2385</v>
      </c>
      <c r="F1390" s="2" t="s">
        <v>2397</v>
      </c>
      <c r="G1390" s="2"/>
      <c r="H1390" s="2" t="s">
        <v>2336</v>
      </c>
      <c r="I1390" s="3" t="b">
        <f>OR(E1390 = "calculated", E1390 = "lookup", E1390 = "aggregation")</f>
        <v>0</v>
      </c>
      <c r="J1390" s="3" t="b">
        <f>H1390 &lt;&gt; ""</f>
        <v>1</v>
      </c>
      <c r="K1390" s="3">
        <f>COUNTIFS(FieldDisagreements!D2:D999, A1390)</f>
        <v>0</v>
      </c>
      <c r="L1390" s="3" t="b">
        <f>K1390 &gt; 0</f>
        <v>0</v>
      </c>
      <c r="M1390" s="2" t="s">
        <v>2387</v>
      </c>
    </row>
    <row r="1391">
      <c r="A1391" s="2" t="s">
        <v>4850</v>
      </c>
      <c r="B1391" s="3" t="str">
        <f>C1391 &amp; "." &amp; D1391</f>
        <v>SendIntents.RefusalNotifiedRole</v>
      </c>
      <c r="C1391" s="2" t="s">
        <v>4662</v>
      </c>
      <c r="D1391" s="2" t="s">
        <v>4851</v>
      </c>
      <c r="E1391" s="2" t="s">
        <v>2434</v>
      </c>
      <c r="F1391" s="2" t="s">
        <v>2386</v>
      </c>
      <c r="G1391" s="2"/>
      <c r="H1391" s="2" t="s">
        <v>2336</v>
      </c>
      <c r="I1391" s="3" t="b">
        <f>OR(E1391 = "calculated", E1391 = "lookup", E1391 = "aggregation")</f>
        <v>0</v>
      </c>
      <c r="J1391" s="3" t="b">
        <f>H1391 &lt;&gt; ""</f>
        <v>1</v>
      </c>
      <c r="K1391" s="3">
        <f>COUNTIFS(FieldDisagreements!D2:D999, A1391)</f>
        <v>0</v>
      </c>
      <c r="L1391" s="3" t="b">
        <f>K1391 &gt; 0</f>
        <v>0</v>
      </c>
      <c r="M1391" s="2" t="s">
        <v>2387</v>
      </c>
    </row>
    <row r="1392">
      <c r="A1392" s="2" t="s">
        <v>4852</v>
      </c>
      <c r="B1392" s="3" t="str">
        <f>C1392 &amp; "." &amp; D1392</f>
        <v>SendIntents.HasDurableRefusalRecord</v>
      </c>
      <c r="C1392" s="2" t="s">
        <v>4662</v>
      </c>
      <c r="D1392" s="2" t="s">
        <v>4853</v>
      </c>
      <c r="E1392" s="2" t="s">
        <v>2389</v>
      </c>
      <c r="F1392" s="2" t="s">
        <v>2401</v>
      </c>
      <c r="G1392" s="2" t="s">
        <v>4854</v>
      </c>
      <c r="H1392" s="2" t="s">
        <v>2336</v>
      </c>
      <c r="I1392" s="3" t="b">
        <f>OR(E1392 = "calculated", E1392 = "lookup", E1392 = "aggregation")</f>
        <v>1</v>
      </c>
      <c r="J1392" s="3" t="b">
        <f>H1392 &lt;&gt; ""</f>
        <v>1</v>
      </c>
      <c r="K1392" s="3">
        <f>COUNTIFS(FieldDisagreements!D2:D999, A1392)</f>
        <v>0</v>
      </c>
      <c r="L1392" s="3" t="b">
        <f>K1392 &gt; 0</f>
        <v>0</v>
      </c>
      <c r="M1392" s="2" t="s">
        <v>2387</v>
      </c>
    </row>
    <row r="1393">
      <c r="A1393" s="2" t="s">
        <v>4855</v>
      </c>
      <c r="B1393" s="3" t="str">
        <f>C1393 &amp; "." &amp; D1393</f>
        <v>SendIntents.RefusalWasEscalated</v>
      </c>
      <c r="C1393" s="2" t="s">
        <v>4662</v>
      </c>
      <c r="D1393" s="2" t="s">
        <v>4856</v>
      </c>
      <c r="E1393" s="2" t="s">
        <v>2389</v>
      </c>
      <c r="F1393" s="2" t="s">
        <v>2401</v>
      </c>
      <c r="G1393" s="2" t="s">
        <v>4857</v>
      </c>
      <c r="H1393" s="2" t="s">
        <v>2336</v>
      </c>
      <c r="I1393" s="3" t="b">
        <f>OR(E1393 = "calculated", E1393 = "lookup", E1393 = "aggregation")</f>
        <v>1</v>
      </c>
      <c r="J1393" s="3" t="b">
        <f>H1393 &lt;&gt; ""</f>
        <v>1</v>
      </c>
      <c r="K1393" s="3">
        <f>COUNTIFS(FieldDisagreements!D2:D999, A1393)</f>
        <v>0</v>
      </c>
      <c r="L1393" s="3" t="b">
        <f>K1393 &gt; 0</f>
        <v>0</v>
      </c>
      <c r="M1393" s="2" t="s">
        <v>2387</v>
      </c>
    </row>
    <row r="1394">
      <c r="A1394" s="2" t="s">
        <v>4858</v>
      </c>
      <c r="B1394" s="3" t="str">
        <f>C1394 &amp; "." &amp; D1394</f>
        <v>SendIntents.IsUnrecordedRefusal</v>
      </c>
      <c r="C1394" s="2" t="s">
        <v>4662</v>
      </c>
      <c r="D1394" s="2" t="s">
        <v>4859</v>
      </c>
      <c r="E1394" s="2" t="s">
        <v>2389</v>
      </c>
      <c r="F1394" s="2" t="s">
        <v>2401</v>
      </c>
      <c r="G1394" s="2" t="s">
        <v>4860</v>
      </c>
      <c r="H1394" s="2" t="s">
        <v>2336</v>
      </c>
      <c r="I1394" s="3" t="b">
        <f>OR(E1394 = "calculated", E1394 = "lookup", E1394 = "aggregation")</f>
        <v>1</v>
      </c>
      <c r="J1394" s="3" t="b">
        <f>H1394 &lt;&gt; ""</f>
        <v>1</v>
      </c>
      <c r="K1394" s="3">
        <f>COUNTIFS(FieldDisagreements!D2:D999, A1394)</f>
        <v>0</v>
      </c>
      <c r="L1394" s="3" t="b">
        <f>K1394 &gt; 0</f>
        <v>0</v>
      </c>
      <c r="M1394" s="2" t="s">
        <v>2387</v>
      </c>
    </row>
    <row r="1395">
      <c r="A1395" s="2" t="s">
        <v>4861</v>
      </c>
      <c r="B1395" s="3" t="str">
        <f>C1395 &amp; "." &amp; D1395</f>
        <v>SendIntents.IsUnescalatedRefusal</v>
      </c>
      <c r="C1395" s="2" t="s">
        <v>4662</v>
      </c>
      <c r="D1395" s="2" t="s">
        <v>4862</v>
      </c>
      <c r="E1395" s="2" t="s">
        <v>2389</v>
      </c>
      <c r="F1395" s="2" t="s">
        <v>2401</v>
      </c>
      <c r="G1395" s="2" t="s">
        <v>4863</v>
      </c>
      <c r="H1395" s="2" t="s">
        <v>2336</v>
      </c>
      <c r="I1395" s="3" t="b">
        <f>OR(E1395 = "calculated", E1395 = "lookup", E1395 = "aggregation")</f>
        <v>1</v>
      </c>
      <c r="J1395" s="3" t="b">
        <f>H1395 &lt;&gt; ""</f>
        <v>1</v>
      </c>
      <c r="K1395" s="3">
        <f>COUNTIFS(FieldDisagreements!D2:D999, A1395)</f>
        <v>1</v>
      </c>
      <c r="L1395" s="3" t="b">
        <f>K1395 &gt; 0</f>
        <v>1</v>
      </c>
      <c r="M1395" s="2" t="s">
        <v>2387</v>
      </c>
    </row>
    <row r="1396">
      <c r="A1396" s="2" t="s">
        <v>4864</v>
      </c>
      <c r="B1396" s="3" t="str">
        <f>C1396 &amp; "." &amp; D1396</f>
        <v>SendIntents.UnescalatedRefusalRoleKey</v>
      </c>
      <c r="C1396" s="2" t="s">
        <v>4662</v>
      </c>
      <c r="D1396" s="2" t="s">
        <v>4865</v>
      </c>
      <c r="E1396" s="2" t="s">
        <v>2389</v>
      </c>
      <c r="F1396" s="2" t="s">
        <v>2386</v>
      </c>
      <c r="G1396" s="2" t="s">
        <v>4866</v>
      </c>
      <c r="H1396" s="2" t="s">
        <v>2336</v>
      </c>
      <c r="I1396" s="3" t="b">
        <f>OR(E1396 = "calculated", E1396 = "lookup", E1396 = "aggregation")</f>
        <v>1</v>
      </c>
      <c r="J1396" s="3" t="b">
        <f>H1396 &lt;&gt; ""</f>
        <v>1</v>
      </c>
      <c r="K1396" s="3">
        <f>COUNTIFS(FieldDisagreements!D2:D999, A1396)</f>
        <v>0</v>
      </c>
      <c r="L1396" s="3" t="b">
        <f>K1396 &gt; 0</f>
        <v>0</v>
      </c>
      <c r="M1396" s="2" t="s">
        <v>2387</v>
      </c>
    </row>
    <row r="1397">
      <c r="A1397" s="2" t="s">
        <v>4867</v>
      </c>
      <c r="B1397" s="3" t="str">
        <f>C1397 &amp; "." &amp; D1397</f>
        <v>SendIntents.UnrecordedRefusalExecutionKey</v>
      </c>
      <c r="C1397" s="2" t="s">
        <v>4662</v>
      </c>
      <c r="D1397" s="2" t="s">
        <v>4868</v>
      </c>
      <c r="E1397" s="2" t="s">
        <v>2389</v>
      </c>
      <c r="F1397" s="2" t="s">
        <v>2386</v>
      </c>
      <c r="G1397" s="2" t="s">
        <v>4869</v>
      </c>
      <c r="H1397" s="2" t="s">
        <v>2336</v>
      </c>
      <c r="I1397" s="3" t="b">
        <f>OR(E1397 = "calculated", E1397 = "lookup", E1397 = "aggregation")</f>
        <v>1</v>
      </c>
      <c r="J1397" s="3" t="b">
        <f>H1397 &lt;&gt; ""</f>
        <v>1</v>
      </c>
      <c r="K1397" s="3">
        <f>COUNTIFS(FieldDisagreements!D2:D999, A1397)</f>
        <v>0</v>
      </c>
      <c r="L1397" s="3" t="b">
        <f>K1397 &gt; 0</f>
        <v>0</v>
      </c>
      <c r="M1397" s="2" t="s">
        <v>2387</v>
      </c>
    </row>
    <row r="1398">
      <c r="A1398" s="2" t="s">
        <v>4870</v>
      </c>
      <c r="B1398" s="3" t="str">
        <f>C1398 &amp; "." &amp; D1398</f>
        <v>SendIntents.RetryIntent</v>
      </c>
      <c r="C1398" s="2" t="s">
        <v>4662</v>
      </c>
      <c r="D1398" s="2" t="s">
        <v>4871</v>
      </c>
      <c r="E1398" s="2" t="s">
        <v>2385</v>
      </c>
      <c r="F1398" s="2" t="s">
        <v>2386</v>
      </c>
      <c r="G1398" s="2"/>
      <c r="H1398" s="2" t="s">
        <v>2340</v>
      </c>
      <c r="I1398" s="3" t="b">
        <f>OR(E1398 = "calculated", E1398 = "lookup", E1398 = "aggregation")</f>
        <v>0</v>
      </c>
      <c r="J1398" s="3" t="b">
        <f>H1398 &lt;&gt; ""</f>
        <v>1</v>
      </c>
      <c r="K1398" s="3">
        <f>COUNTIFS(FieldDisagreements!D2:D999, A1398)</f>
        <v>0</v>
      </c>
      <c r="L1398" s="3" t="b">
        <f>K1398 &gt; 0</f>
        <v>0</v>
      </c>
      <c r="M1398" s="2" t="s">
        <v>2387</v>
      </c>
    </row>
    <row r="1399">
      <c r="A1399" s="2" t="s">
        <v>4872</v>
      </c>
      <c r="B1399" s="3" t="str">
        <f>C1399 &amp; "." &amp; D1399</f>
        <v>SendIntents.WasDeferredOnTiming</v>
      </c>
      <c r="C1399" s="2" t="s">
        <v>4662</v>
      </c>
      <c r="D1399" s="2" t="s">
        <v>4873</v>
      </c>
      <c r="E1399" s="2" t="s">
        <v>2389</v>
      </c>
      <c r="F1399" s="2" t="s">
        <v>2401</v>
      </c>
      <c r="G1399" s="2" t="s">
        <v>4874</v>
      </c>
      <c r="H1399" s="2" t="s">
        <v>2340</v>
      </c>
      <c r="I1399" s="3" t="b">
        <f>OR(E1399 = "calculated", E1399 = "lookup", E1399 = "aggregation")</f>
        <v>1</v>
      </c>
      <c r="J1399" s="3" t="b">
        <f>H1399 &lt;&gt; ""</f>
        <v>1</v>
      </c>
      <c r="K1399" s="3">
        <f>COUNTIFS(FieldDisagreements!D2:D999, A1399)</f>
        <v>0</v>
      </c>
      <c r="L1399" s="3" t="b">
        <f>K1399 &gt; 0</f>
        <v>0</v>
      </c>
      <c r="M1399" s="2" t="s">
        <v>2387</v>
      </c>
    </row>
    <row r="1400">
      <c r="A1400" s="2" t="s">
        <v>4875</v>
      </c>
      <c r="B1400" s="3" t="str">
        <f>C1400 &amp; "." &amp; D1400</f>
        <v>SendIntents.EvaluationContext</v>
      </c>
      <c r="C1400" s="2" t="s">
        <v>4662</v>
      </c>
      <c r="D1400" s="2" t="s">
        <v>258</v>
      </c>
      <c r="E1400" s="2" t="s">
        <v>2434</v>
      </c>
      <c r="F1400" s="2" t="s">
        <v>2386</v>
      </c>
      <c r="G1400" s="2"/>
      <c r="H1400" s="2"/>
      <c r="I1400" s="3" t="b">
        <f>OR(E1400 = "calculated", E1400 = "lookup", E1400 = "aggregation")</f>
        <v>0</v>
      </c>
      <c r="J1400" s="3" t="b">
        <f>H1400 &lt;&gt; ""</f>
        <v>0</v>
      </c>
      <c r="K1400" s="3">
        <f>COUNTIFS(FieldDisagreements!D2:D999, A1400)</f>
        <v>0</v>
      </c>
      <c r="L1400" s="3" t="b">
        <f>K1400 &gt; 0</f>
        <v>0</v>
      </c>
      <c r="M1400" s="2" t="s">
        <v>2387</v>
      </c>
    </row>
    <row r="1401">
      <c r="A1401" s="2" t="s">
        <v>4876</v>
      </c>
      <c r="B1401" s="3" t="str">
        <f>C1401 &amp; "." &amp; D1401</f>
        <v>SendIntents.AsOfInstant</v>
      </c>
      <c r="C1401" s="2" t="s">
        <v>4662</v>
      </c>
      <c r="D1401" s="2" t="s">
        <v>92</v>
      </c>
      <c r="E1401" s="2" t="s">
        <v>2478</v>
      </c>
      <c r="F1401" s="2" t="s">
        <v>2397</v>
      </c>
      <c r="G1401" s="2" t="s">
        <v>2524</v>
      </c>
      <c r="H1401" s="2"/>
      <c r="I1401" s="3" t="b">
        <f>OR(E1401 = "calculated", E1401 = "lookup", E1401 = "aggregation")</f>
        <v>1</v>
      </c>
      <c r="J1401" s="3" t="b">
        <f>H1401 &lt;&gt; ""</f>
        <v>0</v>
      </c>
      <c r="K1401" s="3">
        <f>COUNTIFS(FieldDisagreements!D2:D999, A1401)</f>
        <v>1</v>
      </c>
      <c r="L1401" s="3" t="b">
        <f>K1401 &gt; 0</f>
        <v>1</v>
      </c>
      <c r="M1401" s="2" t="s">
        <v>2387</v>
      </c>
    </row>
    <row r="1402">
      <c r="A1402" s="2" t="s">
        <v>4877</v>
      </c>
      <c r="B1402" s="3" t="str">
        <f>C1402 &amp; "." &amp; D1402</f>
        <v>SendIntents.WindowHasSinceReopened</v>
      </c>
      <c r="C1402" s="2" t="s">
        <v>4662</v>
      </c>
      <c r="D1402" s="2" t="s">
        <v>4878</v>
      </c>
      <c r="E1402" s="2" t="s">
        <v>2389</v>
      </c>
      <c r="F1402" s="2" t="s">
        <v>2401</v>
      </c>
      <c r="G1402" s="2" t="s">
        <v>4879</v>
      </c>
      <c r="H1402" s="2" t="s">
        <v>2340</v>
      </c>
      <c r="I1402" s="3" t="b">
        <f>OR(E1402 = "calculated", E1402 = "lookup", E1402 = "aggregation")</f>
        <v>1</v>
      </c>
      <c r="J1402" s="3" t="b">
        <f>H1402 &lt;&gt; ""</f>
        <v>1</v>
      </c>
      <c r="K1402" s="3">
        <f>COUNTIFS(FieldDisagreements!D2:D999, A1402)</f>
        <v>2</v>
      </c>
      <c r="L1402" s="3" t="b">
        <f>K1402 &gt; 0</f>
        <v>1</v>
      </c>
      <c r="M1402" s="2" t="s">
        <v>2387</v>
      </c>
    </row>
    <row r="1403">
      <c r="A1403" s="2" t="s">
        <v>4880</v>
      </c>
      <c r="B1403" s="3" t="str">
        <f>C1403 &amp; "." &amp; D1403</f>
        <v>SendIntents.HasRetryAttempt</v>
      </c>
      <c r="C1403" s="2" t="s">
        <v>4662</v>
      </c>
      <c r="D1403" s="2" t="s">
        <v>4881</v>
      </c>
      <c r="E1403" s="2" t="s">
        <v>2389</v>
      </c>
      <c r="F1403" s="2" t="s">
        <v>2401</v>
      </c>
      <c r="G1403" s="2" t="s">
        <v>4882</v>
      </c>
      <c r="H1403" s="2" t="s">
        <v>2340</v>
      </c>
      <c r="I1403" s="3" t="b">
        <f>OR(E1403 = "calculated", E1403 = "lookup", E1403 = "aggregation")</f>
        <v>1</v>
      </c>
      <c r="J1403" s="3" t="b">
        <f>H1403 &lt;&gt; ""</f>
        <v>1</v>
      </c>
      <c r="K1403" s="3">
        <f>COUNTIFS(FieldDisagreements!D2:D999, A1403)</f>
        <v>0</v>
      </c>
      <c r="L1403" s="3" t="b">
        <f>K1403 &gt; 0</f>
        <v>0</v>
      </c>
      <c r="M1403" s="2" t="s">
        <v>2387</v>
      </c>
    </row>
    <row r="1404">
      <c r="A1404" s="2" t="s">
        <v>4883</v>
      </c>
      <c r="B1404" s="3" t="str">
        <f>C1404 &amp; "." &amp; D1404</f>
        <v>SendIntents.RetryWasCleared</v>
      </c>
      <c r="C1404" s="2" t="s">
        <v>4662</v>
      </c>
      <c r="D1404" s="2" t="s">
        <v>4884</v>
      </c>
      <c r="E1404" s="2" t="s">
        <v>2478</v>
      </c>
      <c r="F1404" s="2" t="s">
        <v>2401</v>
      </c>
      <c r="G1404" s="2" t="s">
        <v>4885</v>
      </c>
      <c r="H1404" s="2" t="s">
        <v>2340</v>
      </c>
      <c r="I1404" s="3" t="b">
        <f>OR(E1404 = "calculated", E1404 = "lookup", E1404 = "aggregation")</f>
        <v>1</v>
      </c>
      <c r="J1404" s="3" t="b">
        <f>H1404 &lt;&gt; ""</f>
        <v>1</v>
      </c>
      <c r="K1404" s="3">
        <f>COUNTIFS(FieldDisagreements!D2:D999, A1404)</f>
        <v>0</v>
      </c>
      <c r="L1404" s="3" t="b">
        <f>K1404 &gt; 0</f>
        <v>0</v>
      </c>
      <c r="M1404" s="2" t="s">
        <v>2387</v>
      </c>
    </row>
    <row r="1405">
      <c r="A1405" s="2" t="s">
        <v>4886</v>
      </c>
      <c r="B1405" s="3" t="str">
        <f>C1405 &amp; "." &amp; D1405</f>
        <v>SendIntents.IsAbandonedDeferral</v>
      </c>
      <c r="C1405" s="2" t="s">
        <v>4662</v>
      </c>
      <c r="D1405" s="2" t="s">
        <v>4887</v>
      </c>
      <c r="E1405" s="2" t="s">
        <v>2389</v>
      </c>
      <c r="F1405" s="2" t="s">
        <v>2401</v>
      </c>
      <c r="G1405" s="2" t="s">
        <v>4888</v>
      </c>
      <c r="H1405" s="2" t="s">
        <v>2340</v>
      </c>
      <c r="I1405" s="3" t="b">
        <f>OR(E1405 = "calculated", E1405 = "lookup", E1405 = "aggregation")</f>
        <v>1</v>
      </c>
      <c r="J1405" s="3" t="b">
        <f>H1405 &lt;&gt; ""</f>
        <v>1</v>
      </c>
      <c r="K1405" s="3">
        <f>COUNTIFS(FieldDisagreements!D2:D999, A1405)</f>
        <v>2</v>
      </c>
      <c r="L1405" s="3" t="b">
        <f>K1405 &gt; 0</f>
        <v>1</v>
      </c>
      <c r="M1405" s="2" t="s">
        <v>2387</v>
      </c>
    </row>
    <row r="1406">
      <c r="A1406" s="2" t="s">
        <v>4889</v>
      </c>
      <c r="B1406" s="3" t="str">
        <f>C1406 &amp; "." &amp; D1406</f>
        <v>SendIntents.DeferralAgeHours</v>
      </c>
      <c r="C1406" s="2" t="s">
        <v>4662</v>
      </c>
      <c r="D1406" s="2" t="s">
        <v>4890</v>
      </c>
      <c r="E1406" s="2" t="s">
        <v>2389</v>
      </c>
      <c r="F1406" s="2" t="s">
        <v>2439</v>
      </c>
      <c r="G1406" s="2" t="s">
        <v>4891</v>
      </c>
      <c r="H1406" s="2" t="s">
        <v>2340</v>
      </c>
      <c r="I1406" s="3" t="b">
        <f>OR(E1406 = "calculated", E1406 = "lookup", E1406 = "aggregation")</f>
        <v>1</v>
      </c>
      <c r="J1406" s="3" t="b">
        <f>H1406 &lt;&gt; ""</f>
        <v>1</v>
      </c>
      <c r="K1406" s="3">
        <f>COUNTIFS(FieldDisagreements!D2:D999, A1406)</f>
        <v>7</v>
      </c>
      <c r="L1406" s="3" t="b">
        <f>K1406 &gt; 0</f>
        <v>1</v>
      </c>
      <c r="M1406" s="2" t="s">
        <v>2387</v>
      </c>
    </row>
    <row r="1407">
      <c r="A1407" s="2" t="s">
        <v>4892</v>
      </c>
      <c r="B1407" s="3" t="str">
        <f>C1407 &amp; "." &amp; D1407</f>
        <v>SendIntents.IsStaleDeferral</v>
      </c>
      <c r="C1407" s="2" t="s">
        <v>4662</v>
      </c>
      <c r="D1407" s="2" t="s">
        <v>4893</v>
      </c>
      <c r="E1407" s="2" t="s">
        <v>2389</v>
      </c>
      <c r="F1407" s="2" t="s">
        <v>2401</v>
      </c>
      <c r="G1407" s="2" t="s">
        <v>4894</v>
      </c>
      <c r="H1407" s="2" t="s">
        <v>2340</v>
      </c>
      <c r="I1407" s="3" t="b">
        <f>OR(E1407 = "calculated", E1407 = "lookup", E1407 = "aggregation")</f>
        <v>1</v>
      </c>
      <c r="J1407" s="3" t="b">
        <f>H1407 &lt;&gt; ""</f>
        <v>1</v>
      </c>
      <c r="K1407" s="3">
        <f>COUNTIFS(FieldDisagreements!D2:D999, A1407)</f>
        <v>1</v>
      </c>
      <c r="L1407" s="3" t="b">
        <f>K1407 &gt; 0</f>
        <v>1</v>
      </c>
      <c r="M1407" s="2" t="s">
        <v>2387</v>
      </c>
    </row>
    <row r="1408">
      <c r="A1408" s="2" t="s">
        <v>4895</v>
      </c>
      <c r="B1408" s="3" t="str">
        <f>C1408 &amp; "." &amp; D1408</f>
        <v>SendIntents.EvaluatingRoleAssignment</v>
      </c>
      <c r="C1408" s="2" t="s">
        <v>4662</v>
      </c>
      <c r="D1408" s="2" t="s">
        <v>4896</v>
      </c>
      <c r="E1408" s="2" t="s">
        <v>2385</v>
      </c>
      <c r="F1408" s="2" t="s">
        <v>2386</v>
      </c>
      <c r="G1408" s="2"/>
      <c r="H1408" s="2" t="s">
        <v>2344</v>
      </c>
      <c r="I1408" s="3" t="b">
        <f>OR(E1408 = "calculated", E1408 = "lookup", E1408 = "aggregation")</f>
        <v>0</v>
      </c>
      <c r="J1408" s="3" t="b">
        <f>H1408 &lt;&gt; ""</f>
        <v>1</v>
      </c>
      <c r="K1408" s="3">
        <f>COUNTIFS(FieldDisagreements!D2:D999, A1408)</f>
        <v>0</v>
      </c>
      <c r="L1408" s="3" t="b">
        <f>K1408 &gt; 0</f>
        <v>0</v>
      </c>
      <c r="M1408" s="2" t="s">
        <v>2387</v>
      </c>
    </row>
    <row r="1409">
      <c r="A1409" s="2" t="s">
        <v>4897</v>
      </c>
      <c r="B1409" s="3" t="str">
        <f>C1409 &amp; "." &amp; D1409</f>
        <v>SendIntents.EnforcedByUnauthorizedAgent</v>
      </c>
      <c r="C1409" s="2" t="s">
        <v>4662</v>
      </c>
      <c r="D1409" s="2" t="s">
        <v>4898</v>
      </c>
      <c r="E1409" s="2" t="s">
        <v>2478</v>
      </c>
      <c r="F1409" s="2" t="s">
        <v>2401</v>
      </c>
      <c r="G1409" s="2" t="s">
        <v>4899</v>
      </c>
      <c r="H1409" s="2" t="s">
        <v>2344</v>
      </c>
      <c r="I1409" s="3" t="b">
        <f>OR(E1409 = "calculated", E1409 = "lookup", E1409 = "aggregation")</f>
        <v>1</v>
      </c>
      <c r="J1409" s="3" t="b">
        <f>H1409 &lt;&gt; ""</f>
        <v>1</v>
      </c>
      <c r="K1409" s="3">
        <f>COUNTIFS(FieldDisagreements!D2:D999, A1409)</f>
        <v>0</v>
      </c>
      <c r="L1409" s="3" t="b">
        <f>K1409 &gt; 0</f>
        <v>0</v>
      </c>
      <c r="M1409" s="2" t="s">
        <v>2387</v>
      </c>
    </row>
    <row r="1410">
      <c r="A1410" s="2" t="s">
        <v>4900</v>
      </c>
      <c r="B1410" s="3" t="str">
        <f>C1410 &amp; "." &amp; D1410</f>
        <v>SendIntents.ConsentInputWasResolvable</v>
      </c>
      <c r="C1410" s="2" t="s">
        <v>4662</v>
      </c>
      <c r="D1410" s="2" t="s">
        <v>4901</v>
      </c>
      <c r="E1410" s="2" t="s">
        <v>2389</v>
      </c>
      <c r="F1410" s="2" t="s">
        <v>2401</v>
      </c>
      <c r="G1410" s="2" t="s">
        <v>4902</v>
      </c>
      <c r="H1410" s="2" t="s">
        <v>2348</v>
      </c>
      <c r="I1410" s="3" t="b">
        <f>OR(E1410 = "calculated", E1410 = "lookup", E1410 = "aggregation")</f>
        <v>1</v>
      </c>
      <c r="J1410" s="3" t="b">
        <f>H1410 &lt;&gt; ""</f>
        <v>1</v>
      </c>
      <c r="K1410" s="3">
        <f>COUNTIFS(FieldDisagreements!D2:D999, A1410)</f>
        <v>0</v>
      </c>
      <c r="L1410" s="3" t="b">
        <f>K1410 &gt; 0</f>
        <v>0</v>
      </c>
      <c r="M1410" s="2" t="s">
        <v>2387</v>
      </c>
    </row>
    <row r="1411">
      <c r="A1411" s="2" t="s">
        <v>4903</v>
      </c>
      <c r="B1411" s="3" t="str">
        <f>C1411 &amp; "." &amp; D1411</f>
        <v>SendIntents.RecipientConsentStatusRaw</v>
      </c>
      <c r="C1411" s="2" t="s">
        <v>4662</v>
      </c>
      <c r="D1411" s="2" t="s">
        <v>4904</v>
      </c>
      <c r="E1411" s="2" t="s">
        <v>2478</v>
      </c>
      <c r="F1411" s="2" t="s">
        <v>2386</v>
      </c>
      <c r="G1411" s="2" t="s">
        <v>4905</v>
      </c>
      <c r="H1411" s="2" t="s">
        <v>2348</v>
      </c>
      <c r="I1411" s="3" t="b">
        <f>OR(E1411 = "calculated", E1411 = "lookup", E1411 = "aggregation")</f>
        <v>1</v>
      </c>
      <c r="J1411" s="3" t="b">
        <f>H1411 &lt;&gt; ""</f>
        <v>1</v>
      </c>
      <c r="K1411" s="3">
        <f>COUNTIFS(FieldDisagreements!D2:D999, A1411)</f>
        <v>0</v>
      </c>
      <c r="L1411" s="3" t="b">
        <f>K1411 &gt; 0</f>
        <v>0</v>
      </c>
      <c r="M1411" s="2" t="s">
        <v>2387</v>
      </c>
    </row>
    <row r="1412">
      <c r="A1412" s="2" t="s">
        <v>4906</v>
      </c>
      <c r="B1412" s="3" t="str">
        <f>C1412 &amp; "." &amp; D1412</f>
        <v>SendIntents.PolicyInputWasResolvable</v>
      </c>
      <c r="C1412" s="2" t="s">
        <v>4662</v>
      </c>
      <c r="D1412" s="2" t="s">
        <v>4907</v>
      </c>
      <c r="E1412" s="2" t="s">
        <v>2389</v>
      </c>
      <c r="F1412" s="2" t="s">
        <v>2401</v>
      </c>
      <c r="G1412" s="2" t="s">
        <v>4908</v>
      </c>
      <c r="H1412" s="2" t="s">
        <v>2348</v>
      </c>
      <c r="I1412" s="3" t="b">
        <f>OR(E1412 = "calculated", E1412 = "lookup", E1412 = "aggregation")</f>
        <v>1</v>
      </c>
      <c r="J1412" s="3" t="b">
        <f>H1412 &lt;&gt; ""</f>
        <v>1</v>
      </c>
      <c r="K1412" s="3">
        <f>COUNTIFS(FieldDisagreements!D2:D999, A1412)</f>
        <v>0</v>
      </c>
      <c r="L1412" s="3" t="b">
        <f>K1412 &gt; 0</f>
        <v>0</v>
      </c>
      <c r="M1412" s="2" t="s">
        <v>2387</v>
      </c>
    </row>
    <row r="1413">
      <c r="A1413" s="2" t="s">
        <v>4909</v>
      </c>
      <c r="B1413" s="3" t="str">
        <f>C1413 &amp; "." &amp; D1413</f>
        <v>SendIntents.AllGateInputsResolved</v>
      </c>
      <c r="C1413" s="2" t="s">
        <v>4662</v>
      </c>
      <c r="D1413" s="2" t="s">
        <v>4910</v>
      </c>
      <c r="E1413" s="2" t="s">
        <v>2389</v>
      </c>
      <c r="F1413" s="2" t="s">
        <v>2401</v>
      </c>
      <c r="G1413" s="2" t="s">
        <v>4911</v>
      </c>
      <c r="H1413" s="2" t="s">
        <v>2348</v>
      </c>
      <c r="I1413" s="3" t="b">
        <f>OR(E1413 = "calculated", E1413 = "lookup", E1413 = "aggregation")</f>
        <v>1</v>
      </c>
      <c r="J1413" s="3" t="b">
        <f>H1413 &lt;&gt; ""</f>
        <v>1</v>
      </c>
      <c r="K1413" s="3">
        <f>COUNTIFS(FieldDisagreements!D2:D999, A1413)</f>
        <v>0</v>
      </c>
      <c r="L1413" s="3" t="b">
        <f>K1413 &gt; 0</f>
        <v>0</v>
      </c>
      <c r="M1413" s="2" t="s">
        <v>2387</v>
      </c>
    </row>
    <row r="1414">
      <c r="A1414" s="2" t="s">
        <v>4912</v>
      </c>
      <c r="B1414" s="3" t="str">
        <f>C1414 &amp; "." &amp; D1414</f>
        <v>SendIntents.IsUnevaluableRefusal</v>
      </c>
      <c r="C1414" s="2" t="s">
        <v>4662</v>
      </c>
      <c r="D1414" s="2" t="s">
        <v>4913</v>
      </c>
      <c r="E1414" s="2" t="s">
        <v>2389</v>
      </c>
      <c r="F1414" s="2" t="s">
        <v>2401</v>
      </c>
      <c r="G1414" s="2" t="s">
        <v>4914</v>
      </c>
      <c r="H1414" s="2" t="s">
        <v>2348</v>
      </c>
      <c r="I1414" s="3" t="b">
        <f>OR(E1414 = "calculated", E1414 = "lookup", E1414 = "aggregation")</f>
        <v>1</v>
      </c>
      <c r="J1414" s="3" t="b">
        <f>H1414 &lt;&gt; ""</f>
        <v>1</v>
      </c>
      <c r="K1414" s="3">
        <f>COUNTIFS(FieldDisagreements!D2:D999, A1414)</f>
        <v>0</v>
      </c>
      <c r="L1414" s="3" t="b">
        <f>K1414 &gt; 0</f>
        <v>0</v>
      </c>
      <c r="M1414" s="2" t="s">
        <v>2387</v>
      </c>
    </row>
    <row r="1415">
      <c r="A1415" s="2" t="s">
        <v>4915</v>
      </c>
      <c r="B1415" s="3" t="str">
        <f>C1415 &amp; "." &amp; D1415</f>
        <v>SendIntents.GateResultWasIndependentlyConfirmed</v>
      </c>
      <c r="C1415" s="2" t="s">
        <v>4662</v>
      </c>
      <c r="D1415" s="2" t="s">
        <v>4916</v>
      </c>
      <c r="E1415" s="2" t="s">
        <v>2385</v>
      </c>
      <c r="F1415" s="2" t="s">
        <v>2401</v>
      </c>
      <c r="G1415" s="2"/>
      <c r="H1415" s="2" t="s">
        <v>2348</v>
      </c>
      <c r="I1415" s="3" t="b">
        <f>OR(E1415 = "calculated", E1415 = "lookup", E1415 = "aggregation")</f>
        <v>0</v>
      </c>
      <c r="J1415" s="3" t="b">
        <f>H1415 &lt;&gt; ""</f>
        <v>1</v>
      </c>
      <c r="K1415" s="3">
        <f>COUNTIFS(FieldDisagreements!D2:D999, A1415)</f>
        <v>0</v>
      </c>
      <c r="L1415" s="3" t="b">
        <f>K1415 &gt; 0</f>
        <v>0</v>
      </c>
      <c r="M1415" s="2" t="s">
        <v>2387</v>
      </c>
    </row>
    <row r="1416">
      <c r="A1416" s="2" t="s">
        <v>4917</v>
      </c>
      <c r="B1416" s="3" t="str">
        <f>C1416 &amp; "." &amp; D1416</f>
        <v>SendIntents.IsSelfWitnessedDecision</v>
      </c>
      <c r="C1416" s="2" t="s">
        <v>4662</v>
      </c>
      <c r="D1416" s="2" t="s">
        <v>4918</v>
      </c>
      <c r="E1416" s="2" t="s">
        <v>2389</v>
      </c>
      <c r="F1416" s="2" t="s">
        <v>2401</v>
      </c>
      <c r="G1416" s="2" t="s">
        <v>4919</v>
      </c>
      <c r="H1416" s="2" t="s">
        <v>2348</v>
      </c>
      <c r="I1416" s="3" t="b">
        <f>OR(E1416 = "calculated", E1416 = "lookup", E1416 = "aggregation")</f>
        <v>1</v>
      </c>
      <c r="J1416" s="3" t="b">
        <f>H1416 &lt;&gt; ""</f>
        <v>1</v>
      </c>
      <c r="K1416" s="3">
        <f>COUNTIFS(FieldDisagreements!D2:D999, A1416)</f>
        <v>2</v>
      </c>
      <c r="L1416" s="3" t="b">
        <f>K1416 &gt; 0</f>
        <v>1</v>
      </c>
      <c r="M1416" s="2" t="s">
        <v>2387</v>
      </c>
    </row>
    <row r="1417">
      <c r="A1417" s="2" t="s">
        <v>4920</v>
      </c>
      <c r="B1417" s="3" t="str">
        <f>C1417 &amp; "." &amp; D1417</f>
        <v>SendIntents.IsIndependentlyConfirmed</v>
      </c>
      <c r="C1417" s="2" t="s">
        <v>4662</v>
      </c>
      <c r="D1417" s="2" t="s">
        <v>4921</v>
      </c>
      <c r="E1417" s="2" t="s">
        <v>2389</v>
      </c>
      <c r="F1417" s="2" t="s">
        <v>2401</v>
      </c>
      <c r="G1417" s="2" t="s">
        <v>4922</v>
      </c>
      <c r="H1417" s="2" t="s">
        <v>2348</v>
      </c>
      <c r="I1417" s="3" t="b">
        <f>OR(E1417 = "calculated", E1417 = "lookup", E1417 = "aggregation")</f>
        <v>1</v>
      </c>
      <c r="J1417" s="3" t="b">
        <f>H1417 &lt;&gt; ""</f>
        <v>1</v>
      </c>
      <c r="K1417" s="3">
        <f>COUNTIFS(FieldDisagreements!D2:D999, A1417)</f>
        <v>0</v>
      </c>
      <c r="L1417" s="3" t="b">
        <f>K1417 &gt; 0</f>
        <v>0</v>
      </c>
      <c r="M1417" s="2" t="s">
        <v>2387</v>
      </c>
    </row>
    <row r="1418">
      <c r="A1418" s="2" t="s">
        <v>4923</v>
      </c>
      <c r="B1418" s="3" t="str">
        <f>C1418 &amp; "." &amp; D1418</f>
        <v>SendIntents.IndependentlyConfirmedExecutionKey</v>
      </c>
      <c r="C1418" s="2" t="s">
        <v>4662</v>
      </c>
      <c r="D1418" s="2" t="s">
        <v>4924</v>
      </c>
      <c r="E1418" s="2" t="s">
        <v>2389</v>
      </c>
      <c r="F1418" s="2" t="s">
        <v>2386</v>
      </c>
      <c r="G1418" s="2" t="s">
        <v>4925</v>
      </c>
      <c r="H1418" s="2" t="s">
        <v>2348</v>
      </c>
      <c r="I1418" s="3" t="b">
        <f>OR(E1418 = "calculated", E1418 = "lookup", E1418 = "aggregation")</f>
        <v>1</v>
      </c>
      <c r="J1418" s="3" t="b">
        <f>H1418 &lt;&gt; ""</f>
        <v>1</v>
      </c>
      <c r="K1418" s="3">
        <f>COUNTIFS(FieldDisagreements!D2:D999, A1418)</f>
        <v>0</v>
      </c>
      <c r="L1418" s="3" t="b">
        <f>K1418 &gt; 0</f>
        <v>0</v>
      </c>
      <c r="M1418" s="2" t="s">
        <v>2387</v>
      </c>
    </row>
    <row r="1419">
      <c r="A1419" s="2" t="s">
        <v>4926</v>
      </c>
      <c r="B1419" s="3" t="str">
        <f>C1419 &amp; "." &amp; D1419</f>
        <v>SendIntents.SemanticTypeIri</v>
      </c>
      <c r="C1419" s="2" t="s">
        <v>4662</v>
      </c>
      <c r="D1419" s="2" t="s">
        <v>94</v>
      </c>
      <c r="E1419" s="2" t="s">
        <v>2385</v>
      </c>
      <c r="F1419" s="2" t="s">
        <v>2386</v>
      </c>
      <c r="G1419" s="2"/>
      <c r="H1419" s="2"/>
      <c r="I1419" s="3" t="b">
        <f>OR(E1419 = "calculated", E1419 = "lookup", E1419 = "aggregation")</f>
        <v>0</v>
      </c>
      <c r="J1419" s="3" t="b">
        <f>H1419 &lt;&gt; ""</f>
        <v>0</v>
      </c>
      <c r="K1419" s="3">
        <f>COUNTIFS(FieldDisagreements!D2:D999, A1419)</f>
        <v>0</v>
      </c>
      <c r="L1419" s="3" t="b">
        <f>K1419 &gt; 0</f>
        <v>0</v>
      </c>
      <c r="M1419" s="2" t="s">
        <v>2387</v>
      </c>
    </row>
    <row r="1420">
      <c r="A1420" s="2" t="s">
        <v>4927</v>
      </c>
      <c r="B1420" s="3" t="str">
        <f>C1420 &amp; "." &amp; D1420</f>
        <v>AgentDecisionRecords.AgentDecisionRecordId</v>
      </c>
      <c r="C1420" s="2" t="s">
        <v>4928</v>
      </c>
      <c r="D1420" s="2" t="s">
        <v>4929</v>
      </c>
      <c r="E1420" s="2" t="s">
        <v>2385</v>
      </c>
      <c r="F1420" s="2" t="s">
        <v>2386</v>
      </c>
      <c r="G1420" s="2"/>
      <c r="H1420" s="2"/>
      <c r="I1420" s="3" t="b">
        <f>OR(E1420 = "calculated", E1420 = "lookup", E1420 = "aggregation")</f>
        <v>0</v>
      </c>
      <c r="J1420" s="3" t="b">
        <f>H1420 &lt;&gt; ""</f>
        <v>0</v>
      </c>
      <c r="K1420" s="3">
        <f>COUNTIFS(FieldDisagreements!D2:D999, A1420)</f>
        <v>0</v>
      </c>
      <c r="L1420" s="3" t="b">
        <f>K1420 &gt; 0</f>
        <v>0</v>
      </c>
      <c r="M1420" s="2" t="s">
        <v>2387</v>
      </c>
    </row>
    <row r="1421">
      <c r="A1421" s="2" t="s">
        <v>4930</v>
      </c>
      <c r="B1421" s="3" t="str">
        <f>C1421 &amp; "." &amp; D1421</f>
        <v>AgentDecisionRecords.Name</v>
      </c>
      <c r="C1421" s="2" t="s">
        <v>4928</v>
      </c>
      <c r="D1421" s="2" t="s">
        <v>1</v>
      </c>
      <c r="E1421" s="2" t="s">
        <v>2389</v>
      </c>
      <c r="F1421" s="2" t="s">
        <v>2386</v>
      </c>
      <c r="G1421" s="2" t="s">
        <v>4931</v>
      </c>
      <c r="H1421" s="2"/>
      <c r="I1421" s="3" t="b">
        <f>OR(E1421 = "calculated", E1421 = "lookup", E1421 = "aggregation")</f>
        <v>1</v>
      </c>
      <c r="J1421" s="3" t="b">
        <f>H1421 &lt;&gt; ""</f>
        <v>0</v>
      </c>
      <c r="K1421" s="3">
        <f>COUNTIFS(FieldDisagreements!D2:D999, A1421)</f>
        <v>0</v>
      </c>
      <c r="L1421" s="3" t="b">
        <f>K1421 &gt; 0</f>
        <v>0</v>
      </c>
      <c r="M1421" s="2" t="s">
        <v>2387</v>
      </c>
    </row>
    <row r="1422">
      <c r="A1422" s="2" t="s">
        <v>4932</v>
      </c>
      <c r="B1422" s="3" t="str">
        <f>C1422 &amp; "." &amp; D1422</f>
        <v>AgentDecisionRecords.StepExecution</v>
      </c>
      <c r="C1422" s="2" t="s">
        <v>4928</v>
      </c>
      <c r="D1422" s="2" t="s">
        <v>1447</v>
      </c>
      <c r="E1422" s="2" t="s">
        <v>2434</v>
      </c>
      <c r="F1422" s="2" t="s">
        <v>2386</v>
      </c>
      <c r="G1422" s="2"/>
      <c r="H1422" s="2"/>
      <c r="I1422" s="3" t="b">
        <f>OR(E1422 = "calculated", E1422 = "lookup", E1422 = "aggregation")</f>
        <v>0</v>
      </c>
      <c r="J1422" s="3" t="b">
        <f>H1422 &lt;&gt; ""</f>
        <v>0</v>
      </c>
      <c r="K1422" s="3">
        <f>COUNTIFS(FieldDisagreements!D2:D999, A1422)</f>
        <v>0</v>
      </c>
      <c r="L1422" s="3" t="b">
        <f>K1422 &gt; 0</f>
        <v>0</v>
      </c>
      <c r="M1422" s="2" t="s">
        <v>2387</v>
      </c>
    </row>
    <row r="1423">
      <c r="A1423" s="2" t="s">
        <v>4933</v>
      </c>
      <c r="B1423" s="3" t="str">
        <f>C1423 &amp; "." &amp; D1423</f>
        <v>AgentDecisionRecords.DecidingAgent</v>
      </c>
      <c r="C1423" s="2" t="s">
        <v>4928</v>
      </c>
      <c r="D1423" s="2" t="s">
        <v>4934</v>
      </c>
      <c r="E1423" s="2" t="s">
        <v>2434</v>
      </c>
      <c r="F1423" s="2" t="s">
        <v>2386</v>
      </c>
      <c r="G1423" s="2"/>
      <c r="H1423" s="2"/>
      <c r="I1423" s="3" t="b">
        <f>OR(E1423 = "calculated", E1423 = "lookup", E1423 = "aggregation")</f>
        <v>0</v>
      </c>
      <c r="J1423" s="3" t="b">
        <f>H1423 &lt;&gt; ""</f>
        <v>0</v>
      </c>
      <c r="K1423" s="3">
        <f>COUNTIFS(FieldDisagreements!D2:D999, A1423)</f>
        <v>0</v>
      </c>
      <c r="L1423" s="3" t="b">
        <f>K1423 &gt; 0</f>
        <v>0</v>
      </c>
      <c r="M1423" s="2" t="s">
        <v>2387</v>
      </c>
    </row>
    <row r="1424">
      <c r="A1424" s="2" t="s">
        <v>4935</v>
      </c>
      <c r="B1424" s="3" t="str">
        <f>C1424 &amp; "." &amp; D1424</f>
        <v>AgentDecisionRecords.DecisionKind</v>
      </c>
      <c r="C1424" s="2" t="s">
        <v>4928</v>
      </c>
      <c r="D1424" s="2" t="s">
        <v>4936</v>
      </c>
      <c r="E1424" s="2" t="s">
        <v>2385</v>
      </c>
      <c r="F1424" s="2" t="s">
        <v>2386</v>
      </c>
      <c r="G1424" s="2"/>
      <c r="H1424" s="2"/>
      <c r="I1424" s="3" t="b">
        <f>OR(E1424 = "calculated", E1424 = "lookup", E1424 = "aggregation")</f>
        <v>0</v>
      </c>
      <c r="J1424" s="3" t="b">
        <f>H1424 &lt;&gt; ""</f>
        <v>0</v>
      </c>
      <c r="K1424" s="3">
        <f>COUNTIFS(FieldDisagreements!D2:D999, A1424)</f>
        <v>0</v>
      </c>
      <c r="L1424" s="3" t="b">
        <f>K1424 &gt; 0</f>
        <v>0</v>
      </c>
      <c r="M1424" s="2" t="s">
        <v>2387</v>
      </c>
    </row>
    <row r="1425">
      <c r="A1425" s="2" t="s">
        <v>4937</v>
      </c>
      <c r="B1425" s="3" t="str">
        <f>C1425 &amp; "." &amp; D1425</f>
        <v>AgentDecisionRecords.DecisionSummary</v>
      </c>
      <c r="C1425" s="2" t="s">
        <v>4928</v>
      </c>
      <c r="D1425" s="2" t="s">
        <v>4938</v>
      </c>
      <c r="E1425" s="2" t="s">
        <v>2385</v>
      </c>
      <c r="F1425" s="2" t="s">
        <v>2386</v>
      </c>
      <c r="G1425" s="2"/>
      <c r="H1425" s="2"/>
      <c r="I1425" s="3" t="b">
        <f>OR(E1425 = "calculated", E1425 = "lookup", E1425 = "aggregation")</f>
        <v>0</v>
      </c>
      <c r="J1425" s="3" t="b">
        <f>H1425 &lt;&gt; ""</f>
        <v>0</v>
      </c>
      <c r="K1425" s="3">
        <f>COUNTIFS(FieldDisagreements!D2:D999, A1425)</f>
        <v>0</v>
      </c>
      <c r="L1425" s="3" t="b">
        <f>K1425 &gt; 0</f>
        <v>0</v>
      </c>
      <c r="M1425" s="2" t="s">
        <v>2387</v>
      </c>
    </row>
    <row r="1426">
      <c r="A1426" s="2" t="s">
        <v>4939</v>
      </c>
      <c r="B1426" s="3" t="str">
        <f>C1426 &amp; "." &amp; D1426</f>
        <v>AgentDecisionRecords.DecidedAt</v>
      </c>
      <c r="C1426" s="2" t="s">
        <v>4928</v>
      </c>
      <c r="D1426" s="2" t="s">
        <v>1572</v>
      </c>
      <c r="E1426" s="2" t="s">
        <v>2385</v>
      </c>
      <c r="F1426" s="2" t="s">
        <v>2397</v>
      </c>
      <c r="G1426" s="2"/>
      <c r="H1426" s="2"/>
      <c r="I1426" s="3" t="b">
        <f>OR(E1426 = "calculated", E1426 = "lookup", E1426 = "aggregation")</f>
        <v>0</v>
      </c>
      <c r="J1426" s="3" t="b">
        <f>H1426 &lt;&gt; ""</f>
        <v>0</v>
      </c>
      <c r="K1426" s="3">
        <f>COUNTIFS(FieldDisagreements!D2:D999, A1426)</f>
        <v>0</v>
      </c>
      <c r="L1426" s="3" t="b">
        <f>K1426 &gt; 0</f>
        <v>0</v>
      </c>
      <c r="M1426" s="2" t="s">
        <v>2387</v>
      </c>
    </row>
    <row r="1427">
      <c r="A1427" s="2" t="s">
        <v>4940</v>
      </c>
      <c r="B1427" s="3" t="str">
        <f>C1427 &amp; "." &amp; D1427</f>
        <v>AgentDecisionRecords.MaterialityBand</v>
      </c>
      <c r="C1427" s="2" t="s">
        <v>4928</v>
      </c>
      <c r="D1427" s="2" t="s">
        <v>4941</v>
      </c>
      <c r="E1427" s="2" t="s">
        <v>2385</v>
      </c>
      <c r="F1427" s="2" t="s">
        <v>2386</v>
      </c>
      <c r="G1427" s="2"/>
      <c r="H1427" s="2"/>
      <c r="I1427" s="3" t="b">
        <f>OR(E1427 = "calculated", E1427 = "lookup", E1427 = "aggregation")</f>
        <v>0</v>
      </c>
      <c r="J1427" s="3" t="b">
        <f>H1427 &lt;&gt; ""</f>
        <v>0</v>
      </c>
      <c r="K1427" s="3">
        <f>COUNTIFS(FieldDisagreements!D2:D999, A1427)</f>
        <v>0</v>
      </c>
      <c r="L1427" s="3" t="b">
        <f>K1427 &gt; 0</f>
        <v>0</v>
      </c>
      <c r="M1427" s="2" t="s">
        <v>2387</v>
      </c>
    </row>
    <row r="1428">
      <c r="A1428" s="2" t="s">
        <v>4942</v>
      </c>
      <c r="B1428" s="3" t="str">
        <f>C1428 &amp; "." &amp; D1428</f>
        <v>AgentDecisionRecords.HumanDisposition</v>
      </c>
      <c r="C1428" s="2" t="s">
        <v>4928</v>
      </c>
      <c r="D1428" s="2" t="s">
        <v>4943</v>
      </c>
      <c r="E1428" s="2" t="s">
        <v>2385</v>
      </c>
      <c r="F1428" s="2" t="s">
        <v>2386</v>
      </c>
      <c r="G1428" s="2"/>
      <c r="H1428" s="2"/>
      <c r="I1428" s="3" t="b">
        <f>OR(E1428 = "calculated", E1428 = "lookup", E1428 = "aggregation")</f>
        <v>0</v>
      </c>
      <c r="J1428" s="3" t="b">
        <f>H1428 &lt;&gt; ""</f>
        <v>0</v>
      </c>
      <c r="K1428" s="3">
        <f>COUNTIFS(FieldDisagreements!D2:D999, A1428)</f>
        <v>0</v>
      </c>
      <c r="L1428" s="3" t="b">
        <f>K1428 &gt; 0</f>
        <v>0</v>
      </c>
      <c r="M1428" s="2" t="s">
        <v>2387</v>
      </c>
    </row>
    <row r="1429">
      <c r="A1429" s="2" t="s">
        <v>4944</v>
      </c>
      <c r="B1429" s="3" t="str">
        <f>C1429 &amp; "." &amp; D1429</f>
        <v>AgentDecisionRecords.ReviewedByAgent</v>
      </c>
      <c r="C1429" s="2" t="s">
        <v>4928</v>
      </c>
      <c r="D1429" s="2" t="s">
        <v>1614</v>
      </c>
      <c r="E1429" s="2" t="s">
        <v>2434</v>
      </c>
      <c r="F1429" s="2" t="s">
        <v>2386</v>
      </c>
      <c r="G1429" s="2"/>
      <c r="H1429" s="2"/>
      <c r="I1429" s="3" t="b">
        <f>OR(E1429 = "calculated", E1429 = "lookup", E1429 = "aggregation")</f>
        <v>0</v>
      </c>
      <c r="J1429" s="3" t="b">
        <f>H1429 &lt;&gt; ""</f>
        <v>0</v>
      </c>
      <c r="K1429" s="3">
        <f>COUNTIFS(FieldDisagreements!D2:D999, A1429)</f>
        <v>0</v>
      </c>
      <c r="L1429" s="3" t="b">
        <f>K1429 &gt; 0</f>
        <v>0</v>
      </c>
      <c r="M1429" s="2" t="s">
        <v>2387</v>
      </c>
    </row>
    <row r="1430">
      <c r="A1430" s="2" t="s">
        <v>4945</v>
      </c>
      <c r="B1430" s="3" t="str">
        <f>C1430 &amp; "." &amp; D1430</f>
        <v>AgentDecisionRecords.ReviewedAt</v>
      </c>
      <c r="C1430" s="2" t="s">
        <v>4928</v>
      </c>
      <c r="D1430" s="2" t="s">
        <v>1613</v>
      </c>
      <c r="E1430" s="2" t="s">
        <v>2385</v>
      </c>
      <c r="F1430" s="2" t="s">
        <v>2397</v>
      </c>
      <c r="G1430" s="2"/>
      <c r="H1430" s="2"/>
      <c r="I1430" s="3" t="b">
        <f>OR(E1430 = "calculated", E1430 = "lookup", E1430 = "aggregation")</f>
        <v>0</v>
      </c>
      <c r="J1430" s="3" t="b">
        <f>H1430 &lt;&gt; ""</f>
        <v>0</v>
      </c>
      <c r="K1430" s="3">
        <f>COUNTIFS(FieldDisagreements!D2:D999, A1430)</f>
        <v>0</v>
      </c>
      <c r="L1430" s="3" t="b">
        <f>K1430 &gt; 0</f>
        <v>0</v>
      </c>
      <c r="M1430" s="2" t="s">
        <v>2387</v>
      </c>
    </row>
    <row r="1431">
      <c r="A1431" s="2" t="s">
        <v>4946</v>
      </c>
      <c r="B1431" s="3" t="str">
        <f>C1431 &amp; "." &amp; D1431</f>
        <v>AgentDecisionRecords.WasOverridden</v>
      </c>
      <c r="C1431" s="2" t="s">
        <v>4928</v>
      </c>
      <c r="D1431" s="2" t="s">
        <v>4947</v>
      </c>
      <c r="E1431" s="2" t="s">
        <v>2389</v>
      </c>
      <c r="F1431" s="2" t="s">
        <v>2401</v>
      </c>
      <c r="G1431" s="2" t="s">
        <v>4948</v>
      </c>
      <c r="H1431" s="2" t="s">
        <v>2112</v>
      </c>
      <c r="I1431" s="3" t="b">
        <f>OR(E1431 = "calculated", E1431 = "lookup", E1431 = "aggregation")</f>
        <v>1</v>
      </c>
      <c r="J1431" s="3" t="b">
        <f>H1431 &lt;&gt; ""</f>
        <v>1</v>
      </c>
      <c r="K1431" s="3">
        <f>COUNTIFS(FieldDisagreements!D2:D999, A1431)</f>
        <v>0</v>
      </c>
      <c r="L1431" s="3" t="b">
        <f>K1431 &gt; 0</f>
        <v>0</v>
      </c>
      <c r="M1431" s="2" t="s">
        <v>2387</v>
      </c>
    </row>
    <row r="1432">
      <c r="A1432" s="2" t="s">
        <v>4949</v>
      </c>
      <c r="B1432" s="3" t="str">
        <f>C1432 &amp; "." &amp; D1432</f>
        <v>AgentDecisionRecords.WasReviewed</v>
      </c>
      <c r="C1432" s="2" t="s">
        <v>4928</v>
      </c>
      <c r="D1432" s="2" t="s">
        <v>4950</v>
      </c>
      <c r="E1432" s="2" t="s">
        <v>2389</v>
      </c>
      <c r="F1432" s="2" t="s">
        <v>2401</v>
      </c>
      <c r="G1432" s="2" t="s">
        <v>4951</v>
      </c>
      <c r="H1432" s="2" t="s">
        <v>2112</v>
      </c>
      <c r="I1432" s="3" t="b">
        <f>OR(E1432 = "calculated", E1432 = "lookup", E1432 = "aggregation")</f>
        <v>1</v>
      </c>
      <c r="J1432" s="3" t="b">
        <f>H1432 &lt;&gt; ""</f>
        <v>1</v>
      </c>
      <c r="K1432" s="3">
        <f>COUNTIFS(FieldDisagreements!D2:D999, A1432)</f>
        <v>0</v>
      </c>
      <c r="L1432" s="3" t="b">
        <f>K1432 &gt; 0</f>
        <v>0</v>
      </c>
      <c r="M1432" s="2" t="s">
        <v>2387</v>
      </c>
    </row>
    <row r="1433">
      <c r="A1433" s="2" t="s">
        <v>4952</v>
      </c>
      <c r="B1433" s="3" t="str">
        <f>C1433 &amp; "." &amp; D1433</f>
        <v>AgentDecisionRecords.DecidingAgentKind</v>
      </c>
      <c r="C1433" s="2" t="s">
        <v>4928</v>
      </c>
      <c r="D1433" s="2" t="s">
        <v>4953</v>
      </c>
      <c r="E1433" s="2" t="s">
        <v>2478</v>
      </c>
      <c r="F1433" s="2" t="s">
        <v>2386</v>
      </c>
      <c r="G1433" s="2" t="s">
        <v>4954</v>
      </c>
      <c r="H1433" s="2" t="s">
        <v>2112</v>
      </c>
      <c r="I1433" s="3" t="b">
        <f>OR(E1433 = "calculated", E1433 = "lookup", E1433 = "aggregation")</f>
        <v>1</v>
      </c>
      <c r="J1433" s="3" t="b">
        <f>H1433 &lt;&gt; ""</f>
        <v>1</v>
      </c>
      <c r="K1433" s="3">
        <f>COUNTIFS(FieldDisagreements!D2:D999, A1433)</f>
        <v>0</v>
      </c>
      <c r="L1433" s="3" t="b">
        <f>K1433 &gt; 0</f>
        <v>0</v>
      </c>
      <c r="M1433" s="2" t="s">
        <v>2387</v>
      </c>
    </row>
    <row r="1434">
      <c r="A1434" s="2" t="s">
        <v>4955</v>
      </c>
      <c r="B1434" s="3" t="str">
        <f>C1434 &amp; "." &amp; D1434</f>
        <v>AgentDecisionRecords.DecidingAgentWhenOverridden</v>
      </c>
      <c r="C1434" s="2" t="s">
        <v>4928</v>
      </c>
      <c r="D1434" s="2" t="s">
        <v>4956</v>
      </c>
      <c r="E1434" s="2" t="s">
        <v>2389</v>
      </c>
      <c r="F1434" s="2" t="s">
        <v>2386</v>
      </c>
      <c r="G1434" s="2" t="s">
        <v>4957</v>
      </c>
      <c r="H1434" s="2" t="s">
        <v>2112</v>
      </c>
      <c r="I1434" s="3" t="b">
        <f>OR(E1434 = "calculated", E1434 = "lookup", E1434 = "aggregation")</f>
        <v>1</v>
      </c>
      <c r="J1434" s="3" t="b">
        <f>H1434 &lt;&gt; ""</f>
        <v>1</v>
      </c>
      <c r="K1434" s="3">
        <f>COUNTIFS(FieldDisagreements!D2:D999, A1434)</f>
        <v>0</v>
      </c>
      <c r="L1434" s="3" t="b">
        <f>K1434 &gt; 0</f>
        <v>0</v>
      </c>
      <c r="M1434" s="2" t="s">
        <v>2387</v>
      </c>
    </row>
    <row r="1435">
      <c r="A1435" s="2" t="s">
        <v>4958</v>
      </c>
      <c r="B1435" s="3" t="str">
        <f>C1435 &amp; "." &amp; D1435</f>
        <v>AgentDecisionRecords.UnderRoleAssignment</v>
      </c>
      <c r="C1435" s="2" t="s">
        <v>4928</v>
      </c>
      <c r="D1435" s="2" t="s">
        <v>4959</v>
      </c>
      <c r="E1435" s="2" t="s">
        <v>2434</v>
      </c>
      <c r="F1435" s="2" t="s">
        <v>2386</v>
      </c>
      <c r="G1435" s="2"/>
      <c r="H1435" s="2"/>
      <c r="I1435" s="3" t="b">
        <f>OR(E1435 = "calculated", E1435 = "lookup", E1435 = "aggregation")</f>
        <v>0</v>
      </c>
      <c r="J1435" s="3" t="b">
        <f>H1435 &lt;&gt; ""</f>
        <v>0</v>
      </c>
      <c r="K1435" s="3">
        <f>COUNTIFS(FieldDisagreements!D2:D999, A1435)</f>
        <v>0</v>
      </c>
      <c r="L1435" s="3" t="b">
        <f>K1435 &gt; 0</f>
        <v>0</v>
      </c>
      <c r="M1435" s="2" t="s">
        <v>2387</v>
      </c>
    </row>
    <row r="1436">
      <c r="A1436" s="2" t="s">
        <v>4960</v>
      </c>
      <c r="B1436" s="3" t="str">
        <f>C1436 &amp; "." &amp; D1436</f>
        <v>AgentDecisionRecords.RoleAssignmentWhenScored</v>
      </c>
      <c r="C1436" s="2" t="s">
        <v>4928</v>
      </c>
      <c r="D1436" s="2" t="s">
        <v>4961</v>
      </c>
      <c r="E1436" s="2" t="s">
        <v>2389</v>
      </c>
      <c r="F1436" s="2" t="s">
        <v>2386</v>
      </c>
      <c r="G1436" s="2" t="s">
        <v>4962</v>
      </c>
      <c r="H1436" s="2" t="s">
        <v>2140</v>
      </c>
      <c r="I1436" s="3" t="b">
        <f>OR(E1436 = "calculated", E1436 = "lookup", E1436 = "aggregation")</f>
        <v>1</v>
      </c>
      <c r="J1436" s="3" t="b">
        <f>H1436 &lt;&gt; ""</f>
        <v>1</v>
      </c>
      <c r="K1436" s="3">
        <f>COUNTIFS(FieldDisagreements!D2:D999, A1436)</f>
        <v>0</v>
      </c>
      <c r="L1436" s="3" t="b">
        <f>K1436 &gt; 0</f>
        <v>0</v>
      </c>
      <c r="M1436" s="2" t="s">
        <v>2387</v>
      </c>
    </row>
    <row r="1437">
      <c r="A1437" s="2" t="s">
        <v>4963</v>
      </c>
      <c r="B1437" s="3" t="str">
        <f>C1437 &amp; "." &amp; D1437</f>
        <v>AgentDecisionRecords.RoleAssignmentWhenOverridden</v>
      </c>
      <c r="C1437" s="2" t="s">
        <v>4928</v>
      </c>
      <c r="D1437" s="2" t="s">
        <v>4964</v>
      </c>
      <c r="E1437" s="2" t="s">
        <v>2389</v>
      </c>
      <c r="F1437" s="2" t="s">
        <v>2386</v>
      </c>
      <c r="G1437" s="2" t="s">
        <v>4965</v>
      </c>
      <c r="H1437" s="2" t="s">
        <v>2140</v>
      </c>
      <c r="I1437" s="3" t="b">
        <f>OR(E1437 = "calculated", E1437 = "lookup", E1437 = "aggregation")</f>
        <v>1</v>
      </c>
      <c r="J1437" s="3" t="b">
        <f>H1437 &lt;&gt; ""</f>
        <v>1</v>
      </c>
      <c r="K1437" s="3">
        <f>COUNTIFS(FieldDisagreements!D2:D999, A1437)</f>
        <v>0</v>
      </c>
      <c r="L1437" s="3" t="b">
        <f>K1437 &gt; 0</f>
        <v>0</v>
      </c>
      <c r="M1437" s="2" t="s">
        <v>2387</v>
      </c>
    </row>
    <row r="1438">
      <c r="A1438" s="2" t="s">
        <v>4966</v>
      </c>
      <c r="B1438" s="3" t="str">
        <f>C1438 &amp; "." &amp; D1438</f>
        <v>AgentDecisionRecords.StepOfDecision</v>
      </c>
      <c r="C1438" s="2" t="s">
        <v>4928</v>
      </c>
      <c r="D1438" s="2" t="s">
        <v>4967</v>
      </c>
      <c r="E1438" s="2" t="s">
        <v>2478</v>
      </c>
      <c r="F1438" s="2" t="s">
        <v>2386</v>
      </c>
      <c r="G1438" s="2" t="s">
        <v>3756</v>
      </c>
      <c r="H1438" s="2" t="s">
        <v>2144</v>
      </c>
      <c r="I1438" s="3" t="b">
        <f>OR(E1438 = "calculated", E1438 = "lookup", E1438 = "aggregation")</f>
        <v>1</v>
      </c>
      <c r="J1438" s="3" t="b">
        <f>H1438 &lt;&gt; ""</f>
        <v>1</v>
      </c>
      <c r="K1438" s="3">
        <f>COUNTIFS(FieldDisagreements!D2:D999, A1438)</f>
        <v>0</v>
      </c>
      <c r="L1438" s="3" t="b">
        <f>K1438 &gt; 0</f>
        <v>0</v>
      </c>
      <c r="M1438" s="2" t="s">
        <v>2387</v>
      </c>
    </row>
    <row r="1439">
      <c r="A1439" s="2" t="s">
        <v>4968</v>
      </c>
      <c r="B1439" s="3" t="str">
        <f>C1439 &amp; "." &amp; D1439</f>
        <v>AgentDecisionRecords.BoundaryMatchKey</v>
      </c>
      <c r="C1439" s="2" t="s">
        <v>4928</v>
      </c>
      <c r="D1439" s="2" t="s">
        <v>4969</v>
      </c>
      <c r="E1439" s="2" t="s">
        <v>2389</v>
      </c>
      <c r="F1439" s="2" t="s">
        <v>2386</v>
      </c>
      <c r="G1439" s="2" t="s">
        <v>4970</v>
      </c>
      <c r="H1439" s="2" t="s">
        <v>2144</v>
      </c>
      <c r="I1439" s="3" t="b">
        <f>OR(E1439 = "calculated", E1439 = "lookup", E1439 = "aggregation")</f>
        <v>1</v>
      </c>
      <c r="J1439" s="3" t="b">
        <f>H1439 &lt;&gt; ""</f>
        <v>1</v>
      </c>
      <c r="K1439" s="3">
        <f>COUNTIFS(FieldDisagreements!D2:D999, A1439)</f>
        <v>0</v>
      </c>
      <c r="L1439" s="3" t="b">
        <f>K1439 &gt; 0</f>
        <v>0</v>
      </c>
      <c r="M1439" s="2" t="s">
        <v>2387</v>
      </c>
    </row>
    <row r="1440">
      <c r="A1440" s="2" t="s">
        <v>4971</v>
      </c>
      <c r="B1440" s="3" t="str">
        <f>C1440 &amp; "." &amp; D1440</f>
        <v>AgentDecisionRecords.MatchingBoundaryCount</v>
      </c>
      <c r="C1440" s="2" t="s">
        <v>4928</v>
      </c>
      <c r="D1440" s="2" t="s">
        <v>4972</v>
      </c>
      <c r="E1440" s="2" t="s">
        <v>2438</v>
      </c>
      <c r="F1440" s="2" t="s">
        <v>2444</v>
      </c>
      <c r="G1440" s="2" t="s">
        <v>4973</v>
      </c>
      <c r="H1440" s="2" t="s">
        <v>2144</v>
      </c>
      <c r="I1440" s="3" t="b">
        <f>OR(E1440 = "calculated", E1440 = "lookup", E1440 = "aggregation")</f>
        <v>1</v>
      </c>
      <c r="J1440" s="3" t="b">
        <f>H1440 &lt;&gt; ""</f>
        <v>1</v>
      </c>
      <c r="K1440" s="3">
        <f>COUNTIFS(FieldDisagreements!D2:D999, A1440)</f>
        <v>0</v>
      </c>
      <c r="L1440" s="3" t="b">
        <f>K1440 &gt; 0</f>
        <v>0</v>
      </c>
      <c r="M1440" s="2" t="s">
        <v>2387</v>
      </c>
    </row>
    <row r="1441">
      <c r="A1441" s="2" t="s">
        <v>4974</v>
      </c>
      <c r="B1441" s="3" t="str">
        <f>C1441 &amp; "." &amp; D1441</f>
        <v>AgentDecisionRecords.ViolatedAuthorityBoundary</v>
      </c>
      <c r="C1441" s="2" t="s">
        <v>4928</v>
      </c>
      <c r="D1441" s="2" t="s">
        <v>4975</v>
      </c>
      <c r="E1441" s="2" t="s">
        <v>2389</v>
      </c>
      <c r="F1441" s="2" t="s">
        <v>2401</v>
      </c>
      <c r="G1441" s="2" t="s">
        <v>4976</v>
      </c>
      <c r="H1441" s="2" t="s">
        <v>2144</v>
      </c>
      <c r="I1441" s="3" t="b">
        <f>OR(E1441 = "calculated", E1441 = "lookup", E1441 = "aggregation")</f>
        <v>1</v>
      </c>
      <c r="J1441" s="3" t="b">
        <f>H1441 &lt;&gt; ""</f>
        <v>1</v>
      </c>
      <c r="K1441" s="3">
        <f>COUNTIFS(FieldDisagreements!D2:D999, A1441)</f>
        <v>0</v>
      </c>
      <c r="L1441" s="3" t="b">
        <f>K1441 &gt; 0</f>
        <v>0</v>
      </c>
      <c r="M1441" s="2" t="s">
        <v>2387</v>
      </c>
    </row>
    <row r="1442">
      <c r="A1442" s="2" t="s">
        <v>4977</v>
      </c>
      <c r="B1442" s="3" t="str">
        <f>C1442 &amp; "." &amp; D1442</f>
        <v>AgentDecisionRecords.ReviewerAgentKind</v>
      </c>
      <c r="C1442" s="2" t="s">
        <v>4928</v>
      </c>
      <c r="D1442" s="2" t="s">
        <v>4978</v>
      </c>
      <c r="E1442" s="2" t="s">
        <v>2478</v>
      </c>
      <c r="F1442" s="2" t="s">
        <v>2386</v>
      </c>
      <c r="G1442" s="2" t="s">
        <v>4979</v>
      </c>
      <c r="H1442" s="2" t="s">
        <v>2148</v>
      </c>
      <c r="I1442" s="3" t="b">
        <f>OR(E1442 = "calculated", E1442 = "lookup", E1442 = "aggregation")</f>
        <v>1</v>
      </c>
      <c r="J1442" s="3" t="b">
        <f>H1442 &lt;&gt; ""</f>
        <v>1</v>
      </c>
      <c r="K1442" s="3">
        <f>COUNTIFS(FieldDisagreements!D2:D999, A1442)</f>
        <v>0</v>
      </c>
      <c r="L1442" s="3" t="b">
        <f>K1442 &gt; 0</f>
        <v>0</v>
      </c>
      <c r="M1442" s="2" t="s">
        <v>2387</v>
      </c>
    </row>
    <row r="1443">
      <c r="A1443" s="2" t="s">
        <v>4980</v>
      </c>
      <c r="B1443" s="3" t="str">
        <f>C1443 &amp; "." &amp; D1443</f>
        <v>AgentDecisionRecords.HasHumanConfirmation</v>
      </c>
      <c r="C1443" s="2" t="s">
        <v>4928</v>
      </c>
      <c r="D1443" s="2" t="s">
        <v>4981</v>
      </c>
      <c r="E1443" s="2" t="s">
        <v>2389</v>
      </c>
      <c r="F1443" s="2" t="s">
        <v>2401</v>
      </c>
      <c r="G1443" s="2" t="s">
        <v>4982</v>
      </c>
      <c r="H1443" s="2" t="s">
        <v>2148</v>
      </c>
      <c r="I1443" s="3" t="b">
        <f>OR(E1443 = "calculated", E1443 = "lookup", E1443 = "aggregation")</f>
        <v>1</v>
      </c>
      <c r="J1443" s="3" t="b">
        <f>H1443 &lt;&gt; ""</f>
        <v>1</v>
      </c>
      <c r="K1443" s="3">
        <f>COUNTIFS(FieldDisagreements!D2:D999, A1443)</f>
        <v>0</v>
      </c>
      <c r="L1443" s="3" t="b">
        <f>K1443 &gt; 0</f>
        <v>0</v>
      </c>
      <c r="M1443" s="2" t="s">
        <v>2387</v>
      </c>
    </row>
    <row r="1444">
      <c r="A1444" s="2" t="s">
        <v>4983</v>
      </c>
      <c r="B1444" s="3" t="str">
        <f>C1444 &amp; "." &amp; D1444</f>
        <v>AgentDecisionRecords.NeedsHumanConfirmation</v>
      </c>
      <c r="C1444" s="2" t="s">
        <v>4928</v>
      </c>
      <c r="D1444" s="2" t="s">
        <v>4984</v>
      </c>
      <c r="E1444" s="2" t="s">
        <v>2389</v>
      </c>
      <c r="F1444" s="2" t="s">
        <v>2401</v>
      </c>
      <c r="G1444" s="2" t="s">
        <v>4985</v>
      </c>
      <c r="H1444" s="2" t="s">
        <v>2148</v>
      </c>
      <c r="I1444" s="3" t="b">
        <f>OR(E1444 = "calculated", E1444 = "lookup", E1444 = "aggregation")</f>
        <v>1</v>
      </c>
      <c r="J1444" s="3" t="b">
        <f>H1444 &lt;&gt; ""</f>
        <v>1</v>
      </c>
      <c r="K1444" s="3">
        <f>COUNTIFS(FieldDisagreements!D2:D999, A1444)</f>
        <v>0</v>
      </c>
      <c r="L1444" s="3" t="b">
        <f>K1444 &gt; 0</f>
        <v>0</v>
      </c>
      <c r="M1444" s="2" t="s">
        <v>2387</v>
      </c>
    </row>
    <row r="1445">
      <c r="A1445" s="2" t="s">
        <v>4986</v>
      </c>
      <c r="B1445" s="3" t="str">
        <f>C1445 &amp; "." &amp; D1445</f>
        <v>AgentDecisionRecords.IsUnconfirmedNonHumanDecision</v>
      </c>
      <c r="C1445" s="2" t="s">
        <v>4928</v>
      </c>
      <c r="D1445" s="2" t="s">
        <v>4987</v>
      </c>
      <c r="E1445" s="2" t="s">
        <v>2389</v>
      </c>
      <c r="F1445" s="2" t="s">
        <v>2401</v>
      </c>
      <c r="G1445" s="2" t="s">
        <v>4988</v>
      </c>
      <c r="H1445" s="2" t="s">
        <v>2148</v>
      </c>
      <c r="I1445" s="3" t="b">
        <f>OR(E1445 = "calculated", E1445 = "lookup", E1445 = "aggregation")</f>
        <v>1</v>
      </c>
      <c r="J1445" s="3" t="b">
        <f>H1445 &lt;&gt; ""</f>
        <v>1</v>
      </c>
      <c r="K1445" s="3">
        <f>COUNTIFS(FieldDisagreements!D2:D999, A1445)</f>
        <v>0</v>
      </c>
      <c r="L1445" s="3" t="b">
        <f>K1445 &gt; 0</f>
        <v>0</v>
      </c>
      <c r="M1445" s="2" t="s">
        <v>2387</v>
      </c>
    </row>
    <row r="1446">
      <c r="A1446" s="2" t="s">
        <v>4989</v>
      </c>
      <c r="B1446" s="3" t="str">
        <f>C1446 &amp; "." &amp; D1446</f>
        <v>AgentDecisionRecords.StepExecutionWhenUnconfirmed</v>
      </c>
      <c r="C1446" s="2" t="s">
        <v>4928</v>
      </c>
      <c r="D1446" s="2" t="s">
        <v>4990</v>
      </c>
      <c r="E1446" s="2" t="s">
        <v>2389</v>
      </c>
      <c r="F1446" s="2" t="s">
        <v>2386</v>
      </c>
      <c r="G1446" s="2" t="s">
        <v>4991</v>
      </c>
      <c r="H1446" s="2" t="s">
        <v>2148</v>
      </c>
      <c r="I1446" s="3" t="b">
        <f>OR(E1446 = "calculated", E1446 = "lookup", E1446 = "aggregation")</f>
        <v>1</v>
      </c>
      <c r="J1446" s="3" t="b">
        <f>H1446 &lt;&gt; ""</f>
        <v>1</v>
      </c>
      <c r="K1446" s="3">
        <f>COUNTIFS(FieldDisagreements!D2:D999, A1446)</f>
        <v>0</v>
      </c>
      <c r="L1446" s="3" t="b">
        <f>K1446 &gt; 0</f>
        <v>0</v>
      </c>
      <c r="M1446" s="2" t="s">
        <v>2387</v>
      </c>
    </row>
    <row r="1447">
      <c r="A1447" s="2" t="s">
        <v>4992</v>
      </c>
      <c r="B1447" s="3" t="str">
        <f>C1447 &amp; "." &amp; D1447</f>
        <v>AgentDecisionRecords.AgentWhenBoundaryViolated</v>
      </c>
      <c r="C1447" s="2" t="s">
        <v>4928</v>
      </c>
      <c r="D1447" s="2" t="s">
        <v>4993</v>
      </c>
      <c r="E1447" s="2" t="s">
        <v>2389</v>
      </c>
      <c r="F1447" s="2" t="s">
        <v>2386</v>
      </c>
      <c r="G1447" s="2" t="s">
        <v>4994</v>
      </c>
      <c r="H1447" s="2" t="s">
        <v>2164</v>
      </c>
      <c r="I1447" s="3" t="b">
        <f>OR(E1447 = "calculated", E1447 = "lookup", E1447 = "aggregation")</f>
        <v>1</v>
      </c>
      <c r="J1447" s="3" t="b">
        <f>H1447 &lt;&gt; ""</f>
        <v>1</v>
      </c>
      <c r="K1447" s="3">
        <f>COUNTIFS(FieldDisagreements!D2:D999, A1447)</f>
        <v>0</v>
      </c>
      <c r="L1447" s="3" t="b">
        <f>K1447 &gt; 0</f>
        <v>0</v>
      </c>
      <c r="M1447" s="2" t="s">
        <v>2387</v>
      </c>
    </row>
    <row r="1448">
      <c r="A1448" s="2" t="s">
        <v>4995</v>
      </c>
      <c r="B1448" s="3" t="str">
        <f>C1448 &amp; "." &amp; D1448</f>
        <v>AgentDecisionRecords.ReviewLatencyMinutes</v>
      </c>
      <c r="C1448" s="2" t="s">
        <v>4928</v>
      </c>
      <c r="D1448" s="2" t="s">
        <v>4996</v>
      </c>
      <c r="E1448" s="2" t="s">
        <v>2389</v>
      </c>
      <c r="F1448" s="2" t="s">
        <v>2444</v>
      </c>
      <c r="G1448" s="2" t="s">
        <v>4997</v>
      </c>
      <c r="H1448" s="2" t="s">
        <v>2168</v>
      </c>
      <c r="I1448" s="3" t="b">
        <f>OR(E1448 = "calculated", E1448 = "lookup", E1448 = "aggregation")</f>
        <v>1</v>
      </c>
      <c r="J1448" s="3" t="b">
        <f>H1448 &lt;&gt; ""</f>
        <v>1</v>
      </c>
      <c r="K1448" s="3">
        <f>COUNTIFS(FieldDisagreements!D2:D999, A1448)</f>
        <v>2</v>
      </c>
      <c r="L1448" s="3" t="b">
        <f>K1448 &gt; 0</f>
        <v>1</v>
      </c>
      <c r="M1448" s="2" t="s">
        <v>2387</v>
      </c>
    </row>
    <row r="1449">
      <c r="A1449" s="2" t="s">
        <v>4998</v>
      </c>
      <c r="B1449" s="3" t="str">
        <f>C1449 &amp; "." &amp; D1449</f>
        <v>AgentDecisionRecords.IsDraftKind</v>
      </c>
      <c r="C1449" s="2" t="s">
        <v>4928</v>
      </c>
      <c r="D1449" s="2" t="s">
        <v>4999</v>
      </c>
      <c r="E1449" s="2" t="s">
        <v>2389</v>
      </c>
      <c r="F1449" s="2" t="s">
        <v>2401</v>
      </c>
      <c r="G1449" s="2" t="s">
        <v>5000</v>
      </c>
      <c r="H1449" s="2" t="s">
        <v>2168</v>
      </c>
      <c r="I1449" s="3" t="b">
        <f>OR(E1449 = "calculated", E1449 = "lookup", E1449 = "aggregation")</f>
        <v>1</v>
      </c>
      <c r="J1449" s="3" t="b">
        <f>H1449 &lt;&gt; ""</f>
        <v>1</v>
      </c>
      <c r="K1449" s="3">
        <f>COUNTIFS(FieldDisagreements!D2:D999, A1449)</f>
        <v>0</v>
      </c>
      <c r="L1449" s="3" t="b">
        <f>K1449 &gt; 0</f>
        <v>0</v>
      </c>
      <c r="M1449" s="2" t="s">
        <v>2387</v>
      </c>
    </row>
    <row r="1450">
      <c r="A1450" s="2" t="s">
        <v>5001</v>
      </c>
      <c r="B1450" s="3" t="str">
        <f>C1450 &amp; "." &amp; D1450</f>
        <v>AgentDecisionRecords.AgentWhenDraftOverridden</v>
      </c>
      <c r="C1450" s="2" t="s">
        <v>4928</v>
      </c>
      <c r="D1450" s="2" t="s">
        <v>5002</v>
      </c>
      <c r="E1450" s="2" t="s">
        <v>2389</v>
      </c>
      <c r="F1450" s="2" t="s">
        <v>2386</v>
      </c>
      <c r="G1450" s="2" t="s">
        <v>5003</v>
      </c>
      <c r="H1450" s="2" t="s">
        <v>2168</v>
      </c>
      <c r="I1450" s="3" t="b">
        <f>OR(E1450 = "calculated", E1450 = "lookup", E1450 = "aggregation")</f>
        <v>1</v>
      </c>
      <c r="J1450" s="3" t="b">
        <f>H1450 &lt;&gt; ""</f>
        <v>1</v>
      </c>
      <c r="K1450" s="3">
        <f>COUNTIFS(FieldDisagreements!D2:D999, A1450)</f>
        <v>0</v>
      </c>
      <c r="L1450" s="3" t="b">
        <f>K1450 &gt; 0</f>
        <v>0</v>
      </c>
      <c r="M1450" s="2" t="s">
        <v>2387</v>
      </c>
    </row>
    <row r="1451">
      <c r="A1451" s="2" t="s">
        <v>5004</v>
      </c>
      <c r="B1451" s="3" t="str">
        <f>C1451 &amp; "." &amp; D1451</f>
        <v>AgentDecisionRecords.AgentWhenDraft</v>
      </c>
      <c r="C1451" s="2" t="s">
        <v>4928</v>
      </c>
      <c r="D1451" s="2" t="s">
        <v>5005</v>
      </c>
      <c r="E1451" s="2" t="s">
        <v>2389</v>
      </c>
      <c r="F1451" s="2" t="s">
        <v>2386</v>
      </c>
      <c r="G1451" s="2" t="s">
        <v>5006</v>
      </c>
      <c r="H1451" s="2" t="s">
        <v>2168</v>
      </c>
      <c r="I1451" s="3" t="b">
        <f>OR(E1451 = "calculated", E1451 = "lookup", E1451 = "aggregation")</f>
        <v>1</v>
      </c>
      <c r="J1451" s="3" t="b">
        <f>H1451 &lt;&gt; ""</f>
        <v>1</v>
      </c>
      <c r="K1451" s="3">
        <f>COUNTIFS(FieldDisagreements!D2:D999, A1451)</f>
        <v>0</v>
      </c>
      <c r="L1451" s="3" t="b">
        <f>K1451 &gt; 0</f>
        <v>0</v>
      </c>
      <c r="M1451" s="2" t="s">
        <v>2387</v>
      </c>
    </row>
    <row r="1452">
      <c r="A1452" s="2" t="s">
        <v>5007</v>
      </c>
      <c r="B1452" s="3" t="str">
        <f>C1452 &amp; "." &amp; D1452</f>
        <v>AgentDecisionRecords.OverrideReasonKind</v>
      </c>
      <c r="C1452" s="2" t="s">
        <v>4928</v>
      </c>
      <c r="D1452" s="2" t="s">
        <v>5008</v>
      </c>
      <c r="E1452" s="2" t="s">
        <v>2385</v>
      </c>
      <c r="F1452" s="2" t="s">
        <v>2386</v>
      </c>
      <c r="G1452" s="2"/>
      <c r="H1452" s="2" t="s">
        <v>2324</v>
      </c>
      <c r="I1452" s="3" t="b">
        <f>OR(E1452 = "calculated", E1452 = "lookup", E1452 = "aggregation")</f>
        <v>0</v>
      </c>
      <c r="J1452" s="3" t="b">
        <f>H1452 &lt;&gt; ""</f>
        <v>1</v>
      </c>
      <c r="K1452" s="3">
        <f>COUNTIFS(FieldDisagreements!D2:D999, A1452)</f>
        <v>0</v>
      </c>
      <c r="L1452" s="3" t="b">
        <f>K1452 &gt; 0</f>
        <v>0</v>
      </c>
      <c r="M1452" s="2" t="s">
        <v>2387</v>
      </c>
    </row>
    <row r="1453">
      <c r="A1453" s="2" t="s">
        <v>5009</v>
      </c>
      <c r="B1453" s="3" t="str">
        <f>C1453 &amp; "." &amp; D1453</f>
        <v>AgentDecisionRecords.IsErrorCorrection</v>
      </c>
      <c r="C1453" s="2" t="s">
        <v>4928</v>
      </c>
      <c r="D1453" s="2" t="s">
        <v>5010</v>
      </c>
      <c r="E1453" s="2" t="s">
        <v>2389</v>
      </c>
      <c r="F1453" s="2" t="s">
        <v>2401</v>
      </c>
      <c r="G1453" s="2" t="s">
        <v>5011</v>
      </c>
      <c r="H1453" s="2" t="s">
        <v>2324</v>
      </c>
      <c r="I1453" s="3" t="b">
        <f>OR(E1453 = "calculated", E1453 = "lookup", E1453 = "aggregation")</f>
        <v>1</v>
      </c>
      <c r="J1453" s="3" t="b">
        <f>H1453 &lt;&gt; ""</f>
        <v>1</v>
      </c>
      <c r="K1453" s="3">
        <f>COUNTIFS(FieldDisagreements!D2:D999, A1453)</f>
        <v>0</v>
      </c>
      <c r="L1453" s="3" t="b">
        <f>K1453 &gt; 0</f>
        <v>0</v>
      </c>
      <c r="M1453" s="2" t="s">
        <v>2387</v>
      </c>
    </row>
    <row r="1454">
      <c r="A1454" s="2" t="s">
        <v>5012</v>
      </c>
      <c r="B1454" s="3" t="str">
        <f>C1454 &amp; "." &amp; D1454</f>
        <v>AgentDecisionRecords.IsReservedJudgmentOverride</v>
      </c>
      <c r="C1454" s="2" t="s">
        <v>4928</v>
      </c>
      <c r="D1454" s="2" t="s">
        <v>5013</v>
      </c>
      <c r="E1454" s="2" t="s">
        <v>2389</v>
      </c>
      <c r="F1454" s="2" t="s">
        <v>2401</v>
      </c>
      <c r="G1454" s="2" t="s">
        <v>5014</v>
      </c>
      <c r="H1454" s="2" t="s">
        <v>2324</v>
      </c>
      <c r="I1454" s="3" t="b">
        <f>OR(E1454 = "calculated", E1454 = "lookup", E1454 = "aggregation")</f>
        <v>1</v>
      </c>
      <c r="J1454" s="3" t="b">
        <f>H1454 &lt;&gt; ""</f>
        <v>1</v>
      </c>
      <c r="K1454" s="3">
        <f>COUNTIFS(FieldDisagreements!D2:D999, A1454)</f>
        <v>0</v>
      </c>
      <c r="L1454" s="3" t="b">
        <f>K1454 &gt; 0</f>
        <v>0</v>
      </c>
      <c r="M1454" s="2" t="s">
        <v>2387</v>
      </c>
    </row>
    <row r="1455">
      <c r="A1455" s="2" t="s">
        <v>5015</v>
      </c>
      <c r="B1455" s="3" t="str">
        <f>C1455 &amp; "." &amp; D1455</f>
        <v>AgentDecisionRecords.OverrideReasonIsRecorded</v>
      </c>
      <c r="C1455" s="2" t="s">
        <v>4928</v>
      </c>
      <c r="D1455" s="2" t="s">
        <v>5016</v>
      </c>
      <c r="E1455" s="2" t="s">
        <v>2389</v>
      </c>
      <c r="F1455" s="2" t="s">
        <v>2401</v>
      </c>
      <c r="G1455" s="2" t="s">
        <v>5017</v>
      </c>
      <c r="H1455" s="2" t="s">
        <v>2324</v>
      </c>
      <c r="I1455" s="3" t="b">
        <f>OR(E1455 = "calculated", E1455 = "lookup", E1455 = "aggregation")</f>
        <v>1</v>
      </c>
      <c r="J1455" s="3" t="b">
        <f>H1455 &lt;&gt; ""</f>
        <v>1</v>
      </c>
      <c r="K1455" s="3">
        <f>COUNTIFS(FieldDisagreements!D2:D999, A1455)</f>
        <v>0</v>
      </c>
      <c r="L1455" s="3" t="b">
        <f>K1455 &gt; 0</f>
        <v>0</v>
      </c>
      <c r="M1455" s="2" t="s">
        <v>2387</v>
      </c>
    </row>
    <row r="1456">
      <c r="A1456" s="2" t="s">
        <v>5018</v>
      </c>
      <c r="B1456" s="3" t="str">
        <f>C1456 &amp; "." &amp; D1456</f>
        <v>AgentDecisionRecords.IsUnexplainedOverride</v>
      </c>
      <c r="C1456" s="2" t="s">
        <v>4928</v>
      </c>
      <c r="D1456" s="2" t="s">
        <v>5019</v>
      </c>
      <c r="E1456" s="2" t="s">
        <v>2389</v>
      </c>
      <c r="F1456" s="2" t="s">
        <v>2401</v>
      </c>
      <c r="G1456" s="2" t="s">
        <v>5020</v>
      </c>
      <c r="H1456" s="2" t="s">
        <v>2324</v>
      </c>
      <c r="I1456" s="3" t="b">
        <f>OR(E1456 = "calculated", E1456 = "lookup", E1456 = "aggregation")</f>
        <v>1</v>
      </c>
      <c r="J1456" s="3" t="b">
        <f>H1456 &lt;&gt; ""</f>
        <v>1</v>
      </c>
      <c r="K1456" s="3">
        <f>COUNTIFS(FieldDisagreements!D2:D999, A1456)</f>
        <v>0</v>
      </c>
      <c r="L1456" s="3" t="b">
        <f>K1456 &gt; 0</f>
        <v>0</v>
      </c>
      <c r="M1456" s="2" t="s">
        <v>2387</v>
      </c>
    </row>
    <row r="1457">
      <c r="A1457" s="2" t="s">
        <v>5021</v>
      </c>
      <c r="B1457" s="3" t="str">
        <f>C1457 &amp; "." &amp; D1457</f>
        <v>AgentDecisionRecords.ErrorCorrectionRoleAssignmentKey</v>
      </c>
      <c r="C1457" s="2" t="s">
        <v>4928</v>
      </c>
      <c r="D1457" s="2" t="s">
        <v>5022</v>
      </c>
      <c r="E1457" s="2" t="s">
        <v>2389</v>
      </c>
      <c r="F1457" s="2" t="s">
        <v>2386</v>
      </c>
      <c r="G1457" s="2" t="s">
        <v>5023</v>
      </c>
      <c r="H1457" s="2" t="s">
        <v>2324</v>
      </c>
      <c r="I1457" s="3" t="b">
        <f>OR(E1457 = "calculated", E1457 = "lookup", E1457 = "aggregation")</f>
        <v>1</v>
      </c>
      <c r="J1457" s="3" t="b">
        <f>H1457 &lt;&gt; ""</f>
        <v>1</v>
      </c>
      <c r="K1457" s="3">
        <f>COUNTIFS(FieldDisagreements!D2:D999, A1457)</f>
        <v>0</v>
      </c>
      <c r="L1457" s="3" t="b">
        <f>K1457 &gt; 0</f>
        <v>0</v>
      </c>
      <c r="M1457" s="2" t="s">
        <v>2387</v>
      </c>
    </row>
    <row r="1458">
      <c r="A1458" s="2" t="s">
        <v>5024</v>
      </c>
      <c r="B1458" s="3" t="str">
        <f>C1458 &amp; "." &amp; D1458</f>
        <v>AgentDecisionRecords.BoundaryViolationRoleAssignmentKey</v>
      </c>
      <c r="C1458" s="2" t="s">
        <v>4928</v>
      </c>
      <c r="D1458" s="2" t="s">
        <v>5025</v>
      </c>
      <c r="E1458" s="2" t="s">
        <v>2389</v>
      </c>
      <c r="F1458" s="2" t="s">
        <v>2386</v>
      </c>
      <c r="G1458" s="2" t="s">
        <v>5026</v>
      </c>
      <c r="H1458" s="2" t="s">
        <v>2332</v>
      </c>
      <c r="I1458" s="3" t="b">
        <f>OR(E1458 = "calculated", E1458 = "lookup", E1458 = "aggregation")</f>
        <v>1</v>
      </c>
      <c r="J1458" s="3" t="b">
        <f>H1458 &lt;&gt; ""</f>
        <v>1</v>
      </c>
      <c r="K1458" s="3">
        <f>COUNTIFS(FieldDisagreements!D2:D999, A1458)</f>
        <v>0</v>
      </c>
      <c r="L1458" s="3" t="b">
        <f>K1458 &gt; 0</f>
        <v>0</v>
      </c>
      <c r="M1458" s="2" t="s">
        <v>2387</v>
      </c>
    </row>
    <row r="1459">
      <c r="A1459" s="2" t="s">
        <v>5027</v>
      </c>
      <c r="B1459" s="3" t="str">
        <f>C1459 &amp; "." &amp; D1459</f>
        <v>AgentDecisionRecords.SemanticTypeIri</v>
      </c>
      <c r="C1459" s="2" t="s">
        <v>4928</v>
      </c>
      <c r="D1459" s="2" t="s">
        <v>94</v>
      </c>
      <c r="E1459" s="2" t="s">
        <v>2385</v>
      </c>
      <c r="F1459" s="2" t="s">
        <v>2386</v>
      </c>
      <c r="G1459" s="2"/>
      <c r="H1459" s="2"/>
      <c r="I1459" s="3" t="b">
        <f>OR(E1459 = "calculated", E1459 = "lookup", E1459 = "aggregation")</f>
        <v>0</v>
      </c>
      <c r="J1459" s="3" t="b">
        <f>H1459 &lt;&gt; ""</f>
        <v>0</v>
      </c>
      <c r="K1459" s="3">
        <f>COUNTIFS(FieldDisagreements!D2:D999, A1459)</f>
        <v>0</v>
      </c>
      <c r="L1459" s="3" t="b">
        <f>K1459 &gt; 0</f>
        <v>0</v>
      </c>
      <c r="M1459" s="2" t="s">
        <v>2387</v>
      </c>
    </row>
    <row r="1460">
      <c r="A1460" s="2" t="s">
        <v>5028</v>
      </c>
      <c r="B1460" s="3" t="str">
        <f>C1460 &amp; "." &amp; D1460</f>
        <v>DeliveredCommunications.DeliveredCommunicationId</v>
      </c>
      <c r="C1460" s="2" t="s">
        <v>5029</v>
      </c>
      <c r="D1460" s="2" t="s">
        <v>5030</v>
      </c>
      <c r="E1460" s="2" t="s">
        <v>2385</v>
      </c>
      <c r="F1460" s="2" t="s">
        <v>2386</v>
      </c>
      <c r="G1460" s="2"/>
      <c r="H1460" s="2"/>
      <c r="I1460" s="3" t="b">
        <f>OR(E1460 = "calculated", E1460 = "lookup", E1460 = "aggregation")</f>
        <v>0</v>
      </c>
      <c r="J1460" s="3" t="b">
        <f>H1460 &lt;&gt; ""</f>
        <v>0</v>
      </c>
      <c r="K1460" s="3">
        <f>COUNTIFS(FieldDisagreements!D2:D999, A1460)</f>
        <v>0</v>
      </c>
      <c r="L1460" s="3" t="b">
        <f>K1460 &gt; 0</f>
        <v>0</v>
      </c>
      <c r="M1460" s="2" t="s">
        <v>2387</v>
      </c>
    </row>
    <row r="1461">
      <c r="A1461" s="2" t="s">
        <v>5031</v>
      </c>
      <c r="B1461" s="3" t="str">
        <f>C1461 &amp; "." &amp; D1461</f>
        <v>DeliveredCommunications.Name</v>
      </c>
      <c r="C1461" s="2" t="s">
        <v>5029</v>
      </c>
      <c r="D1461" s="2" t="s">
        <v>1</v>
      </c>
      <c r="E1461" s="2" t="s">
        <v>2389</v>
      </c>
      <c r="F1461" s="2" t="s">
        <v>2386</v>
      </c>
      <c r="G1461" s="2" t="s">
        <v>5032</v>
      </c>
      <c r="H1461" s="2"/>
      <c r="I1461" s="3" t="b">
        <f>OR(E1461 = "calculated", E1461 = "lookup", E1461 = "aggregation")</f>
        <v>1</v>
      </c>
      <c r="J1461" s="3" t="b">
        <f>H1461 &lt;&gt; ""</f>
        <v>0</v>
      </c>
      <c r="K1461" s="3">
        <f>COUNTIFS(FieldDisagreements!D2:D999, A1461)</f>
        <v>2</v>
      </c>
      <c r="L1461" s="3" t="b">
        <f>K1461 &gt; 0</f>
        <v>1</v>
      </c>
      <c r="M1461" s="2" t="s">
        <v>2387</v>
      </c>
    </row>
    <row r="1462">
      <c r="A1462" s="2" t="s">
        <v>5033</v>
      </c>
      <c r="B1462" s="3" t="str">
        <f>C1462 &amp; "." &amp; D1462</f>
        <v>DeliveredCommunications.ProcedureExecution</v>
      </c>
      <c r="C1462" s="2" t="s">
        <v>5029</v>
      </c>
      <c r="D1462" s="2" t="s">
        <v>1329</v>
      </c>
      <c r="E1462" s="2" t="s">
        <v>2434</v>
      </c>
      <c r="F1462" s="2" t="s">
        <v>2386</v>
      </c>
      <c r="G1462" s="2"/>
      <c r="H1462" s="2"/>
      <c r="I1462" s="3" t="b">
        <f>OR(E1462 = "calculated", E1462 = "lookup", E1462 = "aggregation")</f>
        <v>0</v>
      </c>
      <c r="J1462" s="3" t="b">
        <f>H1462 &lt;&gt; ""</f>
        <v>0</v>
      </c>
      <c r="K1462" s="3">
        <f>COUNTIFS(FieldDisagreements!D2:D999, A1462)</f>
        <v>0</v>
      </c>
      <c r="L1462" s="3" t="b">
        <f>K1462 &gt; 0</f>
        <v>0</v>
      </c>
      <c r="M1462" s="2" t="s">
        <v>2387</v>
      </c>
    </row>
    <row r="1463">
      <c r="A1463" s="2" t="s">
        <v>5034</v>
      </c>
      <c r="B1463" s="3" t="str">
        <f>C1463 &amp; "." &amp; D1463</f>
        <v>DeliveredCommunications.SendingStepExecution</v>
      </c>
      <c r="C1463" s="2" t="s">
        <v>5029</v>
      </c>
      <c r="D1463" s="2" t="s">
        <v>5035</v>
      </c>
      <c r="E1463" s="2" t="s">
        <v>2434</v>
      </c>
      <c r="F1463" s="2" t="s">
        <v>2386</v>
      </c>
      <c r="G1463" s="2"/>
      <c r="H1463" s="2"/>
      <c r="I1463" s="3" t="b">
        <f>OR(E1463 = "calculated", E1463 = "lookup", E1463 = "aggregation")</f>
        <v>0</v>
      </c>
      <c r="J1463" s="3" t="b">
        <f>H1463 &lt;&gt; ""</f>
        <v>0</v>
      </c>
      <c r="K1463" s="3">
        <f>COUNTIFS(FieldDisagreements!D2:D999, A1463)</f>
        <v>0</v>
      </c>
      <c r="L1463" s="3" t="b">
        <f>K1463 &gt; 0</f>
        <v>0</v>
      </c>
      <c r="M1463" s="2" t="s">
        <v>2387</v>
      </c>
    </row>
    <row r="1464">
      <c r="A1464" s="2" t="s">
        <v>5036</v>
      </c>
      <c r="B1464" s="3" t="str">
        <f>C1464 &amp; "." &amp; D1464</f>
        <v>DeliveredCommunications.AuthorizingStepExecution</v>
      </c>
      <c r="C1464" s="2" t="s">
        <v>5029</v>
      </c>
      <c r="D1464" s="2" t="s">
        <v>5037</v>
      </c>
      <c r="E1464" s="2" t="s">
        <v>2434</v>
      </c>
      <c r="F1464" s="2" t="s">
        <v>2386</v>
      </c>
      <c r="G1464" s="2"/>
      <c r="H1464" s="2"/>
      <c r="I1464" s="3" t="b">
        <f>OR(E1464 = "calculated", E1464 = "lookup", E1464 = "aggregation")</f>
        <v>0</v>
      </c>
      <c r="J1464" s="3" t="b">
        <f>H1464 &lt;&gt; ""</f>
        <v>0</v>
      </c>
      <c r="K1464" s="3">
        <f>COUNTIFS(FieldDisagreements!D2:D999, A1464)</f>
        <v>0</v>
      </c>
      <c r="L1464" s="3" t="b">
        <f>K1464 &gt; 0</f>
        <v>0</v>
      </c>
      <c r="M1464" s="2" t="s">
        <v>2387</v>
      </c>
    </row>
    <row r="1465">
      <c r="A1465" s="2" t="s">
        <v>5038</v>
      </c>
      <c r="B1465" s="3" t="str">
        <f>C1465 &amp; "." &amp; D1465</f>
        <v>DeliveredCommunications.MessageTemplate</v>
      </c>
      <c r="C1465" s="2" t="s">
        <v>5029</v>
      </c>
      <c r="D1465" s="2" t="s">
        <v>4387</v>
      </c>
      <c r="E1465" s="2" t="s">
        <v>2434</v>
      </c>
      <c r="F1465" s="2" t="s">
        <v>2386</v>
      </c>
      <c r="G1465" s="2"/>
      <c r="H1465" s="2"/>
      <c r="I1465" s="3" t="b">
        <f>OR(E1465 = "calculated", E1465 = "lookup", E1465 = "aggregation")</f>
        <v>0</v>
      </c>
      <c r="J1465" s="3" t="b">
        <f>H1465 &lt;&gt; ""</f>
        <v>0</v>
      </c>
      <c r="K1465" s="3">
        <f>COUNTIFS(FieldDisagreements!D2:D999, A1465)</f>
        <v>0</v>
      </c>
      <c r="L1465" s="3" t="b">
        <f>K1465 &gt; 0</f>
        <v>0</v>
      </c>
      <c r="M1465" s="2" t="s">
        <v>2387</v>
      </c>
    </row>
    <row r="1466">
      <c r="A1466" s="2" t="s">
        <v>5039</v>
      </c>
      <c r="B1466" s="3" t="str">
        <f>C1466 &amp; "." &amp; D1466</f>
        <v>DeliveredCommunications.Channel</v>
      </c>
      <c r="C1466" s="2" t="s">
        <v>5029</v>
      </c>
      <c r="D1466" s="2" t="s">
        <v>1671</v>
      </c>
      <c r="E1466" s="2" t="s">
        <v>2385</v>
      </c>
      <c r="F1466" s="2" t="s">
        <v>2386</v>
      </c>
      <c r="G1466" s="2"/>
      <c r="H1466" s="2"/>
      <c r="I1466" s="3" t="b">
        <f>OR(E1466 = "calculated", E1466 = "lookup", E1466 = "aggregation")</f>
        <v>0</v>
      </c>
      <c r="J1466" s="3" t="b">
        <f>H1466 &lt;&gt; ""</f>
        <v>0</v>
      </c>
      <c r="K1466" s="3">
        <f>COUNTIFS(FieldDisagreements!D2:D999, A1466)</f>
        <v>0</v>
      </c>
      <c r="L1466" s="3" t="b">
        <f>K1466 &gt; 0</f>
        <v>0</v>
      </c>
      <c r="M1466" s="2" t="s">
        <v>2387</v>
      </c>
    </row>
    <row r="1467">
      <c r="A1467" s="2" t="s">
        <v>5040</v>
      </c>
      <c r="B1467" s="3" t="str">
        <f>C1467 &amp; "." &amp; D1467</f>
        <v>DeliveredCommunications.RecipientKey</v>
      </c>
      <c r="C1467" s="2" t="s">
        <v>5029</v>
      </c>
      <c r="D1467" s="2" t="s">
        <v>5041</v>
      </c>
      <c r="E1467" s="2" t="s">
        <v>2385</v>
      </c>
      <c r="F1467" s="2" t="s">
        <v>2386</v>
      </c>
      <c r="G1467" s="2"/>
      <c r="H1467" s="2"/>
      <c r="I1467" s="3" t="b">
        <f>OR(E1467 = "calculated", E1467 = "lookup", E1467 = "aggregation")</f>
        <v>0</v>
      </c>
      <c r="J1467" s="3" t="b">
        <f>H1467 &lt;&gt; ""</f>
        <v>0</v>
      </c>
      <c r="K1467" s="3">
        <f>COUNTIFS(FieldDisagreements!D2:D999, A1467)</f>
        <v>0</v>
      </c>
      <c r="L1467" s="3" t="b">
        <f>K1467 &gt; 0</f>
        <v>0</v>
      </c>
      <c r="M1467" s="2" t="s">
        <v>2387</v>
      </c>
    </row>
    <row r="1468">
      <c r="A1468" s="2" t="s">
        <v>5042</v>
      </c>
      <c r="B1468" s="3" t="str">
        <f>C1468 &amp; "." &amp; D1468</f>
        <v>DeliveredCommunications.SentAt</v>
      </c>
      <c r="C1468" s="2" t="s">
        <v>5029</v>
      </c>
      <c r="D1468" s="2" t="s">
        <v>4393</v>
      </c>
      <c r="E1468" s="2" t="s">
        <v>2385</v>
      </c>
      <c r="F1468" s="2" t="s">
        <v>2397</v>
      </c>
      <c r="G1468" s="2"/>
      <c r="H1468" s="2"/>
      <c r="I1468" s="3" t="b">
        <f>OR(E1468 = "calculated", E1468 = "lookup", E1468 = "aggregation")</f>
        <v>0</v>
      </c>
      <c r="J1468" s="3" t="b">
        <f>H1468 &lt;&gt; ""</f>
        <v>0</v>
      </c>
      <c r="K1468" s="3">
        <f>COUNTIFS(FieldDisagreements!D2:D999, A1468)</f>
        <v>0</v>
      </c>
      <c r="L1468" s="3" t="b">
        <f>K1468 &gt; 0</f>
        <v>0</v>
      </c>
      <c r="M1468" s="2" t="s">
        <v>2387</v>
      </c>
    </row>
    <row r="1469">
      <c r="A1469" s="2" t="s">
        <v>5043</v>
      </c>
      <c r="B1469" s="3" t="str">
        <f>C1469 &amp; "." &amp; D1469</f>
        <v>DeliveredCommunications.RenderedContentHash</v>
      </c>
      <c r="C1469" s="2" t="s">
        <v>5029</v>
      </c>
      <c r="D1469" s="2" t="s">
        <v>5044</v>
      </c>
      <c r="E1469" s="2" t="s">
        <v>2385</v>
      </c>
      <c r="F1469" s="2" t="s">
        <v>2386</v>
      </c>
      <c r="G1469" s="2"/>
      <c r="H1469" s="2"/>
      <c r="I1469" s="3" t="b">
        <f>OR(E1469 = "calculated", E1469 = "lookup", E1469 = "aggregation")</f>
        <v>0</v>
      </c>
      <c r="J1469" s="3" t="b">
        <f>H1469 &lt;&gt; ""</f>
        <v>0</v>
      </c>
      <c r="K1469" s="3">
        <f>COUNTIFS(FieldDisagreements!D2:D999, A1469)</f>
        <v>0</v>
      </c>
      <c r="L1469" s="3" t="b">
        <f>K1469 &gt; 0</f>
        <v>0</v>
      </c>
      <c r="M1469" s="2" t="s">
        <v>2387</v>
      </c>
    </row>
    <row r="1470">
      <c r="A1470" s="2" t="s">
        <v>5045</v>
      </c>
      <c r="B1470" s="3" t="str">
        <f>C1470 &amp; "." &amp; D1470</f>
        <v>DeliveredCommunications.ApprovedContentHash</v>
      </c>
      <c r="C1470" s="2" t="s">
        <v>5029</v>
      </c>
      <c r="D1470" s="2" t="s">
        <v>5046</v>
      </c>
      <c r="E1470" s="2" t="s">
        <v>2385</v>
      </c>
      <c r="F1470" s="2" t="s">
        <v>2386</v>
      </c>
      <c r="G1470" s="2"/>
      <c r="H1470" s="2"/>
      <c r="I1470" s="3" t="b">
        <f>OR(E1470 = "calculated", E1470 = "lookup", E1470 = "aggregation")</f>
        <v>0</v>
      </c>
      <c r="J1470" s="3" t="b">
        <f>H1470 &lt;&gt; ""</f>
        <v>0</v>
      </c>
      <c r="K1470" s="3">
        <f>COUNTIFS(FieldDisagreements!D2:D999, A1470)</f>
        <v>0</v>
      </c>
      <c r="L1470" s="3" t="b">
        <f>K1470 &gt; 0</f>
        <v>0</v>
      </c>
      <c r="M1470" s="2" t="s">
        <v>2387</v>
      </c>
    </row>
    <row r="1471">
      <c r="A1471" s="2" t="s">
        <v>5047</v>
      </c>
      <c r="B1471" s="3" t="str">
        <f>C1471 &amp; "." &amp; D1471</f>
        <v>DeliveredCommunications.DeliveryStatus</v>
      </c>
      <c r="C1471" s="2" t="s">
        <v>5029</v>
      </c>
      <c r="D1471" s="2" t="s">
        <v>4397</v>
      </c>
      <c r="E1471" s="2" t="s">
        <v>2385</v>
      </c>
      <c r="F1471" s="2" t="s">
        <v>2386</v>
      </c>
      <c r="G1471" s="2"/>
      <c r="H1471" s="2"/>
      <c r="I1471" s="3" t="b">
        <f>OR(E1471 = "calculated", E1471 = "lookup", E1471 = "aggregation")</f>
        <v>0</v>
      </c>
      <c r="J1471" s="3" t="b">
        <f>H1471 &lt;&gt; ""</f>
        <v>0</v>
      </c>
      <c r="K1471" s="3">
        <f>COUNTIFS(FieldDisagreements!D2:D999, A1471)</f>
        <v>0</v>
      </c>
      <c r="L1471" s="3" t="b">
        <f>K1471 &gt; 0</f>
        <v>0</v>
      </c>
      <c r="M1471" s="2" t="s">
        <v>2387</v>
      </c>
    </row>
    <row r="1472">
      <c r="A1472" s="2" t="s">
        <v>5048</v>
      </c>
      <c r="B1472" s="3" t="str">
        <f>C1472 &amp; "." &amp; D1472</f>
        <v>DeliveredCommunications.SemanticTypeIri</v>
      </c>
      <c r="C1472" s="2" t="s">
        <v>5029</v>
      </c>
      <c r="D1472" s="2" t="s">
        <v>94</v>
      </c>
      <c r="E1472" s="2" t="s">
        <v>2385</v>
      </c>
      <c r="F1472" s="2" t="s">
        <v>2386</v>
      </c>
      <c r="G1472" s="2"/>
      <c r="H1472" s="2"/>
      <c r="I1472" s="3" t="b">
        <f>OR(E1472 = "calculated", E1472 = "lookup", E1472 = "aggregation")</f>
        <v>0</v>
      </c>
      <c r="J1472" s="3" t="b">
        <f>H1472 &lt;&gt; ""</f>
        <v>0</v>
      </c>
      <c r="K1472" s="3">
        <f>COUNTIFS(FieldDisagreements!D2:D999, A1472)</f>
        <v>0</v>
      </c>
      <c r="L1472" s="3" t="b">
        <f>K1472 &gt; 0</f>
        <v>0</v>
      </c>
      <c r="M1472" s="2" t="s">
        <v>2387</v>
      </c>
    </row>
    <row r="1473">
      <c r="A1473" s="2" t="s">
        <v>5049</v>
      </c>
      <c r="B1473" s="3" t="str">
        <f>C1473 &amp; "." &amp; D1473</f>
        <v>DeliveredCommunications.HasAuthorization</v>
      </c>
      <c r="C1473" s="2" t="s">
        <v>5029</v>
      </c>
      <c r="D1473" s="2" t="s">
        <v>5050</v>
      </c>
      <c r="E1473" s="2" t="s">
        <v>2389</v>
      </c>
      <c r="F1473" s="2" t="s">
        <v>2401</v>
      </c>
      <c r="G1473" s="2" t="s">
        <v>5051</v>
      </c>
      <c r="H1473" s="2"/>
      <c r="I1473" s="3" t="b">
        <f>OR(E1473 = "calculated", E1473 = "lookup", E1473 = "aggregation")</f>
        <v>1</v>
      </c>
      <c r="J1473" s="3" t="b">
        <f>H1473 &lt;&gt; ""</f>
        <v>0</v>
      </c>
      <c r="K1473" s="3">
        <f>COUNTIFS(FieldDisagreements!D2:D999, A1473)</f>
        <v>0</v>
      </c>
      <c r="L1473" s="3" t="b">
        <f>K1473 &gt; 0</f>
        <v>0</v>
      </c>
      <c r="M1473" s="2" t="s">
        <v>2387</v>
      </c>
    </row>
    <row r="1474">
      <c r="A1474" s="2" t="s">
        <v>5052</v>
      </c>
      <c r="B1474" s="3" t="str">
        <f>C1474 &amp; "." &amp; D1474</f>
        <v>DeliveredCommunications.ContentMatchesApproval</v>
      </c>
      <c r="C1474" s="2" t="s">
        <v>5029</v>
      </c>
      <c r="D1474" s="2" t="s">
        <v>5053</v>
      </c>
      <c r="E1474" s="2" t="s">
        <v>2389</v>
      </c>
      <c r="F1474" s="2" t="s">
        <v>2401</v>
      </c>
      <c r="G1474" s="2" t="s">
        <v>5054</v>
      </c>
      <c r="H1474" s="2"/>
      <c r="I1474" s="3" t="b">
        <f>OR(E1474 = "calculated", E1474 = "lookup", E1474 = "aggregation")</f>
        <v>1</v>
      </c>
      <c r="J1474" s="3" t="b">
        <f>H1474 &lt;&gt; ""</f>
        <v>0</v>
      </c>
      <c r="K1474" s="3">
        <f>COUNTIFS(FieldDisagreements!D2:D999, A1474)</f>
        <v>6</v>
      </c>
      <c r="L1474" s="3" t="b">
        <f>K1474 &gt; 0</f>
        <v>1</v>
      </c>
      <c r="M1474" s="2" t="s">
        <v>2387</v>
      </c>
    </row>
    <row r="1475">
      <c r="A1475" s="2" t="s">
        <v>5055</v>
      </c>
      <c r="B1475" s="3" t="str">
        <f>C1475 &amp; "." &amp; D1475</f>
        <v>DeliveredCommunications.AuthorizedAt</v>
      </c>
      <c r="C1475" s="2" t="s">
        <v>5029</v>
      </c>
      <c r="D1475" s="2" t="s">
        <v>5056</v>
      </c>
      <c r="E1475" s="2" t="s">
        <v>2478</v>
      </c>
      <c r="F1475" s="2" t="s">
        <v>2397</v>
      </c>
      <c r="G1475" s="2" t="s">
        <v>5057</v>
      </c>
      <c r="H1475" s="2"/>
      <c r="I1475" s="3" t="b">
        <f>OR(E1475 = "calculated", E1475 = "lookup", E1475 = "aggregation")</f>
        <v>1</v>
      </c>
      <c r="J1475" s="3" t="b">
        <f>H1475 &lt;&gt; ""</f>
        <v>0</v>
      </c>
      <c r="K1475" s="3">
        <f>COUNTIFS(FieldDisagreements!D2:D999, A1475)</f>
        <v>0</v>
      </c>
      <c r="L1475" s="3" t="b">
        <f>K1475 &gt; 0</f>
        <v>0</v>
      </c>
      <c r="M1475" s="2" t="s">
        <v>2387</v>
      </c>
    </row>
    <row r="1476">
      <c r="A1476" s="2" t="s">
        <v>5058</v>
      </c>
      <c r="B1476" s="3" t="str">
        <f>C1476 &amp; "." &amp; D1476</f>
        <v>DeliveredCommunications.WasApprovedBeforeSending</v>
      </c>
      <c r="C1476" s="2" t="s">
        <v>5029</v>
      </c>
      <c r="D1476" s="2" t="s">
        <v>5059</v>
      </c>
      <c r="E1476" s="2" t="s">
        <v>2389</v>
      </c>
      <c r="F1476" s="2" t="s">
        <v>2401</v>
      </c>
      <c r="G1476" s="2" t="s">
        <v>5060</v>
      </c>
      <c r="H1476" s="2"/>
      <c r="I1476" s="3" t="b">
        <f>OR(E1476 = "calculated", E1476 = "lookup", E1476 = "aggregation")</f>
        <v>1</v>
      </c>
      <c r="J1476" s="3" t="b">
        <f>H1476 &lt;&gt; ""</f>
        <v>0</v>
      </c>
      <c r="K1476" s="3">
        <f>COUNTIFS(FieldDisagreements!D2:D999, A1476)</f>
        <v>1</v>
      </c>
      <c r="L1476" s="3" t="b">
        <f>K1476 &gt; 0</f>
        <v>1</v>
      </c>
      <c r="M1476" s="2" t="s">
        <v>2387</v>
      </c>
    </row>
    <row r="1477">
      <c r="A1477" s="2" t="s">
        <v>5061</v>
      </c>
      <c r="B1477" s="3" t="str">
        <f>C1477 &amp; "." &amp; D1477</f>
        <v>DeliveredCommunications.IsDefensible</v>
      </c>
      <c r="C1477" s="2" t="s">
        <v>5029</v>
      </c>
      <c r="D1477" s="2" t="s">
        <v>5062</v>
      </c>
      <c r="E1477" s="2" t="s">
        <v>2389</v>
      </c>
      <c r="F1477" s="2" t="s">
        <v>2401</v>
      </c>
      <c r="G1477" s="2" t="s">
        <v>5063</v>
      </c>
      <c r="H1477" s="2"/>
      <c r="I1477" s="3" t="b">
        <f>OR(E1477 = "calculated", E1477 = "lookup", E1477 = "aggregation")</f>
        <v>1</v>
      </c>
      <c r="J1477" s="3" t="b">
        <f>H1477 &lt;&gt; ""</f>
        <v>0</v>
      </c>
      <c r="K1477" s="3">
        <f>COUNTIFS(FieldDisagreements!D2:D999, A1477)</f>
        <v>0</v>
      </c>
      <c r="L1477" s="3" t="b">
        <f>K1477 &gt; 0</f>
        <v>0</v>
      </c>
      <c r="M1477" s="2" t="s">
        <v>2387</v>
      </c>
    </row>
    <row r="1478">
      <c r="A1478" s="2" t="s">
        <v>5064</v>
      </c>
      <c r="B1478" s="3" t="str">
        <f>C1478 &amp; "." &amp; D1478</f>
        <v>AuthorityBoundaries.AuthorityBoundaryId</v>
      </c>
      <c r="C1478" s="2" t="s">
        <v>5065</v>
      </c>
      <c r="D1478" s="2" t="s">
        <v>5066</v>
      </c>
      <c r="E1478" s="2" t="s">
        <v>2385</v>
      </c>
      <c r="F1478" s="2" t="s">
        <v>2386</v>
      </c>
      <c r="G1478" s="2"/>
      <c r="H1478" s="2"/>
      <c r="I1478" s="3" t="b">
        <f>OR(E1478 = "calculated", E1478 = "lookup", E1478 = "aggregation")</f>
        <v>0</v>
      </c>
      <c r="J1478" s="3" t="b">
        <f>H1478 &lt;&gt; ""</f>
        <v>0</v>
      </c>
      <c r="K1478" s="3">
        <f>COUNTIFS(FieldDisagreements!D2:D999, A1478)</f>
        <v>0</v>
      </c>
      <c r="L1478" s="3" t="b">
        <f>K1478 &gt; 0</f>
        <v>0</v>
      </c>
      <c r="M1478" s="2" t="s">
        <v>2387</v>
      </c>
    </row>
    <row r="1479">
      <c r="A1479" s="2" t="s">
        <v>5067</v>
      </c>
      <c r="B1479" s="3" t="str">
        <f>C1479 &amp; "." &amp; D1479</f>
        <v>AuthorityBoundaries.Name</v>
      </c>
      <c r="C1479" s="2" t="s">
        <v>5065</v>
      </c>
      <c r="D1479" s="2" t="s">
        <v>1</v>
      </c>
      <c r="E1479" s="2" t="s">
        <v>2389</v>
      </c>
      <c r="F1479" s="2" t="s">
        <v>2386</v>
      </c>
      <c r="G1479" s="2" t="s">
        <v>5068</v>
      </c>
      <c r="H1479" s="2"/>
      <c r="I1479" s="3" t="b">
        <f>OR(E1479 = "calculated", E1479 = "lookup", E1479 = "aggregation")</f>
        <v>1</v>
      </c>
      <c r="J1479" s="3" t="b">
        <f>H1479 &lt;&gt; ""</f>
        <v>0</v>
      </c>
      <c r="K1479" s="3">
        <f>COUNTIFS(FieldDisagreements!D2:D999, A1479)</f>
        <v>0</v>
      </c>
      <c r="L1479" s="3" t="b">
        <f>K1479 &gt; 0</f>
        <v>0</v>
      </c>
      <c r="M1479" s="2" t="s">
        <v>2387</v>
      </c>
    </row>
    <row r="1480">
      <c r="A1480" s="2" t="s">
        <v>5069</v>
      </c>
      <c r="B1480" s="3" t="str">
        <f>C1480 &amp; "." &amp; D1480</f>
        <v>AuthorityBoundaries.Step</v>
      </c>
      <c r="C1480" s="2" t="s">
        <v>5065</v>
      </c>
      <c r="D1480" s="2" t="s">
        <v>747</v>
      </c>
      <c r="E1480" s="2" t="s">
        <v>2434</v>
      </c>
      <c r="F1480" s="2" t="s">
        <v>2386</v>
      </c>
      <c r="G1480" s="2"/>
      <c r="H1480" s="2"/>
      <c r="I1480" s="3" t="b">
        <f>OR(E1480 = "calculated", E1480 = "lookup", E1480 = "aggregation")</f>
        <v>0</v>
      </c>
      <c r="J1480" s="3" t="b">
        <f>H1480 &lt;&gt; ""</f>
        <v>0</v>
      </c>
      <c r="K1480" s="3">
        <f>COUNTIFS(FieldDisagreements!D2:D999, A1480)</f>
        <v>0</v>
      </c>
      <c r="L1480" s="3" t="b">
        <f>K1480 &gt; 0</f>
        <v>0</v>
      </c>
      <c r="M1480" s="2" t="s">
        <v>2387</v>
      </c>
    </row>
    <row r="1481">
      <c r="A1481" s="2" t="s">
        <v>5070</v>
      </c>
      <c r="B1481" s="3" t="str">
        <f>C1481 &amp; "." &amp; D1481</f>
        <v>AuthorityBoundaries.ForbiddenAgentKind</v>
      </c>
      <c r="C1481" s="2" t="s">
        <v>5065</v>
      </c>
      <c r="D1481" s="2" t="s">
        <v>5071</v>
      </c>
      <c r="E1481" s="2" t="s">
        <v>2385</v>
      </c>
      <c r="F1481" s="2" t="s">
        <v>2386</v>
      </c>
      <c r="G1481" s="2"/>
      <c r="H1481" s="2"/>
      <c r="I1481" s="3" t="b">
        <f>OR(E1481 = "calculated", E1481 = "lookup", E1481 = "aggregation")</f>
        <v>0</v>
      </c>
      <c r="J1481" s="3" t="b">
        <f>H1481 &lt;&gt; ""</f>
        <v>0</v>
      </c>
      <c r="K1481" s="3">
        <f>COUNTIFS(FieldDisagreements!D2:D999, A1481)</f>
        <v>0</v>
      </c>
      <c r="L1481" s="3" t="b">
        <f>K1481 &gt; 0</f>
        <v>0</v>
      </c>
      <c r="M1481" s="2" t="s">
        <v>2387</v>
      </c>
    </row>
    <row r="1482">
      <c r="A1482" s="2" t="s">
        <v>5072</v>
      </c>
      <c r="B1482" s="3" t="str">
        <f>C1482 &amp; "." &amp; D1482</f>
        <v>AuthorityBoundaries.ForbiddenDecisionKind</v>
      </c>
      <c r="C1482" s="2" t="s">
        <v>5065</v>
      </c>
      <c r="D1482" s="2" t="s">
        <v>5073</v>
      </c>
      <c r="E1482" s="2" t="s">
        <v>2385</v>
      </c>
      <c r="F1482" s="2" t="s">
        <v>2386</v>
      </c>
      <c r="G1482" s="2"/>
      <c r="H1482" s="2"/>
      <c r="I1482" s="3" t="b">
        <f>OR(E1482 = "calculated", E1482 = "lookup", E1482 = "aggregation")</f>
        <v>0</v>
      </c>
      <c r="J1482" s="3" t="b">
        <f>H1482 &lt;&gt; ""</f>
        <v>0</v>
      </c>
      <c r="K1482" s="3">
        <f>COUNTIFS(FieldDisagreements!D2:D999, A1482)</f>
        <v>0</v>
      </c>
      <c r="L1482" s="3" t="b">
        <f>K1482 &gt; 0</f>
        <v>0</v>
      </c>
      <c r="M1482" s="2" t="s">
        <v>2387</v>
      </c>
    </row>
    <row r="1483">
      <c r="A1483" s="2" t="s">
        <v>5074</v>
      </c>
      <c r="B1483" s="3" t="str">
        <f>C1483 &amp; "." &amp; D1483</f>
        <v>AuthorityBoundaries.RatifiedByKnowledgeFragment</v>
      </c>
      <c r="C1483" s="2" t="s">
        <v>5065</v>
      </c>
      <c r="D1483" s="2" t="s">
        <v>5075</v>
      </c>
      <c r="E1483" s="2" t="s">
        <v>2434</v>
      </c>
      <c r="F1483" s="2" t="s">
        <v>2386</v>
      </c>
      <c r="G1483" s="2"/>
      <c r="H1483" s="2"/>
      <c r="I1483" s="3" t="b">
        <f>OR(E1483 = "calculated", E1483 = "lookup", E1483 = "aggregation")</f>
        <v>0</v>
      </c>
      <c r="J1483" s="3" t="b">
        <f>H1483 &lt;&gt; ""</f>
        <v>0</v>
      </c>
      <c r="K1483" s="3">
        <f>COUNTIFS(FieldDisagreements!D2:D999, A1483)</f>
        <v>0</v>
      </c>
      <c r="L1483" s="3" t="b">
        <f>K1483 &gt; 0</f>
        <v>0</v>
      </c>
      <c r="M1483" s="2" t="s">
        <v>2387</v>
      </c>
    </row>
    <row r="1484">
      <c r="A1484" s="2" t="s">
        <v>5076</v>
      </c>
      <c r="B1484" s="3" t="str">
        <f>C1484 &amp; "." &amp; D1484</f>
        <v>AuthorityBoundaries.EnforcingRequirement</v>
      </c>
      <c r="C1484" s="2" t="s">
        <v>5065</v>
      </c>
      <c r="D1484" s="2" t="s">
        <v>5077</v>
      </c>
      <c r="E1484" s="2" t="s">
        <v>2434</v>
      </c>
      <c r="F1484" s="2" t="s">
        <v>2386</v>
      </c>
      <c r="G1484" s="2"/>
      <c r="H1484" s="2"/>
      <c r="I1484" s="3" t="b">
        <f>OR(E1484 = "calculated", E1484 = "lookup", E1484 = "aggregation")</f>
        <v>0</v>
      </c>
      <c r="J1484" s="3" t="b">
        <f>H1484 &lt;&gt; ""</f>
        <v>0</v>
      </c>
      <c r="K1484" s="3">
        <f>COUNTIFS(FieldDisagreements!D2:D999, A1484)</f>
        <v>0</v>
      </c>
      <c r="L1484" s="3" t="b">
        <f>K1484 &gt; 0</f>
        <v>0</v>
      </c>
      <c r="M1484" s="2" t="s">
        <v>2387</v>
      </c>
    </row>
    <row r="1485">
      <c r="A1485" s="2" t="s">
        <v>5078</v>
      </c>
      <c r="B1485" s="3" t="str">
        <f>C1485 &amp; "." &amp; D1485</f>
        <v>AuthorityBoundaries.AuthorityRole</v>
      </c>
      <c r="C1485" s="2" t="s">
        <v>5065</v>
      </c>
      <c r="D1485" s="2" t="s">
        <v>966</v>
      </c>
      <c r="E1485" s="2" t="s">
        <v>2434</v>
      </c>
      <c r="F1485" s="2" t="s">
        <v>2386</v>
      </c>
      <c r="G1485" s="2"/>
      <c r="H1485" s="2"/>
      <c r="I1485" s="3" t="b">
        <f>OR(E1485 = "calculated", E1485 = "lookup", E1485 = "aggregation")</f>
        <v>0</v>
      </c>
      <c r="J1485" s="3" t="b">
        <f>H1485 &lt;&gt; ""</f>
        <v>0</v>
      </c>
      <c r="K1485" s="3">
        <f>COUNTIFS(FieldDisagreements!D2:D999, A1485)</f>
        <v>0</v>
      </c>
      <c r="L1485" s="3" t="b">
        <f>K1485 &gt; 0</f>
        <v>0</v>
      </c>
      <c r="M1485" s="2" t="s">
        <v>2387</v>
      </c>
    </row>
    <row r="1486">
      <c r="A1486" s="2" t="s">
        <v>5079</v>
      </c>
      <c r="B1486" s="3" t="str">
        <f>C1486 &amp; "." &amp; D1486</f>
        <v>AuthorityBoundaries.ValidFrom</v>
      </c>
      <c r="C1486" s="2" t="s">
        <v>5065</v>
      </c>
      <c r="D1486" s="2" t="s">
        <v>255</v>
      </c>
      <c r="E1486" s="2" t="s">
        <v>2385</v>
      </c>
      <c r="F1486" s="2" t="s">
        <v>2397</v>
      </c>
      <c r="G1486" s="2"/>
      <c r="H1486" s="2"/>
      <c r="I1486" s="3" t="b">
        <f>OR(E1486 = "calculated", E1486 = "lookup", E1486 = "aggregation")</f>
        <v>0</v>
      </c>
      <c r="J1486" s="3" t="b">
        <f>H1486 &lt;&gt; ""</f>
        <v>0</v>
      </c>
      <c r="K1486" s="3">
        <f>COUNTIFS(FieldDisagreements!D2:D999, A1486)</f>
        <v>0</v>
      </c>
      <c r="L1486" s="3" t="b">
        <f>K1486 &gt; 0</f>
        <v>0</v>
      </c>
      <c r="M1486" s="2" t="s">
        <v>2387</v>
      </c>
    </row>
    <row r="1487">
      <c r="A1487" s="2" t="s">
        <v>5080</v>
      </c>
      <c r="B1487" s="3" t="str">
        <f>C1487 &amp; "." &amp; D1487</f>
        <v>AuthorityBoundaries.ValidTo</v>
      </c>
      <c r="C1487" s="2" t="s">
        <v>5065</v>
      </c>
      <c r="D1487" s="2" t="s">
        <v>256</v>
      </c>
      <c r="E1487" s="2" t="s">
        <v>2385</v>
      </c>
      <c r="F1487" s="2" t="s">
        <v>2397</v>
      </c>
      <c r="G1487" s="2"/>
      <c r="H1487" s="2"/>
      <c r="I1487" s="3" t="b">
        <f>OR(E1487 = "calculated", E1487 = "lookup", E1487 = "aggregation")</f>
        <v>0</v>
      </c>
      <c r="J1487" s="3" t="b">
        <f>H1487 &lt;&gt; ""</f>
        <v>0</v>
      </c>
      <c r="K1487" s="3">
        <f>COUNTIFS(FieldDisagreements!D2:D999, A1487)</f>
        <v>0</v>
      </c>
      <c r="L1487" s="3" t="b">
        <f>K1487 &gt; 0</f>
        <v>0</v>
      </c>
      <c r="M1487" s="2" t="s">
        <v>2387</v>
      </c>
    </row>
    <row r="1488">
      <c r="A1488" s="2" t="s">
        <v>5081</v>
      </c>
      <c r="B1488" s="3" t="str">
        <f>C1488 &amp; "." &amp; D1488</f>
        <v>AuthorityBoundaries.Status</v>
      </c>
      <c r="C1488" s="2" t="s">
        <v>5065</v>
      </c>
      <c r="D1488" s="2" t="s">
        <v>8</v>
      </c>
      <c r="E1488" s="2" t="s">
        <v>2385</v>
      </c>
      <c r="F1488" s="2" t="s">
        <v>2386</v>
      </c>
      <c r="G1488" s="2"/>
      <c r="H1488" s="2"/>
      <c r="I1488" s="3" t="b">
        <f>OR(E1488 = "calculated", E1488 = "lookup", E1488 = "aggregation")</f>
        <v>0</v>
      </c>
      <c r="J1488" s="3" t="b">
        <f>H1488 &lt;&gt; ""</f>
        <v>0</v>
      </c>
      <c r="K1488" s="3">
        <f>COUNTIFS(FieldDisagreements!D2:D999, A1488)</f>
        <v>0</v>
      </c>
      <c r="L1488" s="3" t="b">
        <f>K1488 &gt; 0</f>
        <v>0</v>
      </c>
      <c r="M1488" s="2" t="s">
        <v>2387</v>
      </c>
    </row>
    <row r="1489">
      <c r="A1489" s="2" t="s">
        <v>5082</v>
      </c>
      <c r="B1489" s="3" t="str">
        <f>C1489 &amp; "." &amp; D1489</f>
        <v>AuthorityBoundaries.EvaluationContext</v>
      </c>
      <c r="C1489" s="2" t="s">
        <v>5065</v>
      </c>
      <c r="D1489" s="2" t="s">
        <v>258</v>
      </c>
      <c r="E1489" s="2" t="s">
        <v>2434</v>
      </c>
      <c r="F1489" s="2" t="s">
        <v>2386</v>
      </c>
      <c r="G1489" s="2"/>
      <c r="H1489" s="2"/>
      <c r="I1489" s="3" t="b">
        <f>OR(E1489 = "calculated", E1489 = "lookup", E1489 = "aggregation")</f>
        <v>0</v>
      </c>
      <c r="J1489" s="3" t="b">
        <f>H1489 &lt;&gt; ""</f>
        <v>0</v>
      </c>
      <c r="K1489" s="3">
        <f>COUNTIFS(FieldDisagreements!D2:D999, A1489)</f>
        <v>0</v>
      </c>
      <c r="L1489" s="3" t="b">
        <f>K1489 &gt; 0</f>
        <v>0</v>
      </c>
      <c r="M1489" s="2" t="s">
        <v>2387</v>
      </c>
    </row>
    <row r="1490">
      <c r="A1490" s="2" t="s">
        <v>5083</v>
      </c>
      <c r="B1490" s="3" t="str">
        <f>C1490 &amp; "." &amp; D1490</f>
        <v>AuthorityBoundaries.AsOfInstant</v>
      </c>
      <c r="C1490" s="2" t="s">
        <v>5065</v>
      </c>
      <c r="D1490" s="2" t="s">
        <v>92</v>
      </c>
      <c r="E1490" s="2" t="s">
        <v>2478</v>
      </c>
      <c r="F1490" s="2" t="s">
        <v>2397</v>
      </c>
      <c r="G1490" s="2" t="s">
        <v>2524</v>
      </c>
      <c r="H1490" s="2"/>
      <c r="I1490" s="3" t="b">
        <f>OR(E1490 = "calculated", E1490 = "lookup", E1490 = "aggregation")</f>
        <v>1</v>
      </c>
      <c r="J1490" s="3" t="b">
        <f>H1490 &lt;&gt; ""</f>
        <v>0</v>
      </c>
      <c r="K1490" s="3">
        <f>COUNTIFS(FieldDisagreements!D2:D999, A1490)</f>
        <v>1</v>
      </c>
      <c r="L1490" s="3" t="b">
        <f>K1490 &gt; 0</f>
        <v>1</v>
      </c>
      <c r="M1490" s="2" t="s">
        <v>2387</v>
      </c>
    </row>
    <row r="1491">
      <c r="A1491" s="2" t="s">
        <v>5084</v>
      </c>
      <c r="B1491" s="3" t="str">
        <f>C1491 &amp; "." &amp; D1491</f>
        <v>AuthorityBoundaries.IsCurrentlyBinding</v>
      </c>
      <c r="C1491" s="2" t="s">
        <v>5065</v>
      </c>
      <c r="D1491" s="2" t="s">
        <v>5085</v>
      </c>
      <c r="E1491" s="2" t="s">
        <v>2389</v>
      </c>
      <c r="F1491" s="2" t="s">
        <v>2401</v>
      </c>
      <c r="G1491" s="2" t="s">
        <v>5086</v>
      </c>
      <c r="H1491" s="2" t="s">
        <v>2144</v>
      </c>
      <c r="I1491" s="3" t="b">
        <f>OR(E1491 = "calculated", E1491 = "lookup", E1491 = "aggregation")</f>
        <v>1</v>
      </c>
      <c r="J1491" s="3" t="b">
        <f>H1491 &lt;&gt; ""</f>
        <v>1</v>
      </c>
      <c r="K1491" s="3">
        <f>COUNTIFS(FieldDisagreements!D2:D999, A1491)</f>
        <v>0</v>
      </c>
      <c r="L1491" s="3" t="b">
        <f>K1491 &gt; 0</f>
        <v>0</v>
      </c>
      <c r="M1491" s="2" t="s">
        <v>2387</v>
      </c>
    </row>
    <row r="1492">
      <c r="A1492" s="2" t="s">
        <v>5087</v>
      </c>
      <c r="B1492" s="3" t="str">
        <f>C1492 &amp; "." &amp; D1492</f>
        <v>AuthorityBoundaries.RatifyingFragmentIsValid</v>
      </c>
      <c r="C1492" s="2" t="s">
        <v>5065</v>
      </c>
      <c r="D1492" s="2" t="s">
        <v>5088</v>
      </c>
      <c r="E1492" s="2" t="s">
        <v>2478</v>
      </c>
      <c r="F1492" s="2" t="s">
        <v>2401</v>
      </c>
      <c r="G1492" s="2" t="s">
        <v>5089</v>
      </c>
      <c r="H1492" s="2" t="s">
        <v>2144</v>
      </c>
      <c r="I1492" s="3" t="b">
        <f>OR(E1492 = "calculated", E1492 = "lookup", E1492 = "aggregation")</f>
        <v>1</v>
      </c>
      <c r="J1492" s="3" t="b">
        <f>H1492 &lt;&gt; ""</f>
        <v>1</v>
      </c>
      <c r="K1492" s="3">
        <f>COUNTIFS(FieldDisagreements!D2:D999, A1492)</f>
        <v>0</v>
      </c>
      <c r="L1492" s="3" t="b">
        <f>K1492 &gt; 0</f>
        <v>0</v>
      </c>
      <c r="M1492" s="2" t="s">
        <v>2387</v>
      </c>
    </row>
    <row r="1493">
      <c r="A1493" s="2" t="s">
        <v>5090</v>
      </c>
      <c r="B1493" s="3" t="str">
        <f>C1493 &amp; "." &amp; D1493</f>
        <v>AuthorityBoundaries.StepWhenBinding</v>
      </c>
      <c r="C1493" s="2" t="s">
        <v>5065</v>
      </c>
      <c r="D1493" s="2" t="s">
        <v>5091</v>
      </c>
      <c r="E1493" s="2" t="s">
        <v>2389</v>
      </c>
      <c r="F1493" s="2" t="s">
        <v>2386</v>
      </c>
      <c r="G1493" s="2" t="s">
        <v>5092</v>
      </c>
      <c r="H1493" s="2" t="s">
        <v>2144</v>
      </c>
      <c r="I1493" s="3" t="b">
        <f>OR(E1493 = "calculated", E1493 = "lookup", E1493 = "aggregation")</f>
        <v>1</v>
      </c>
      <c r="J1493" s="3" t="b">
        <f>H1493 &lt;&gt; ""</f>
        <v>1</v>
      </c>
      <c r="K1493" s="3">
        <f>COUNTIFS(FieldDisagreements!D2:D999, A1493)</f>
        <v>0</v>
      </c>
      <c r="L1493" s="3" t="b">
        <f>K1493 &gt; 0</f>
        <v>0</v>
      </c>
      <c r="M1493" s="2" t="s">
        <v>2387</v>
      </c>
    </row>
    <row r="1494">
      <c r="A1494" s="2" t="s">
        <v>5093</v>
      </c>
      <c r="B1494" s="3" t="str">
        <f>C1494 &amp; "." &amp; D1494</f>
        <v>AuthorityBoundaries.BoundaryMatchKey</v>
      </c>
      <c r="C1494" s="2" t="s">
        <v>5065</v>
      </c>
      <c r="D1494" s="2" t="s">
        <v>4969</v>
      </c>
      <c r="E1494" s="2" t="s">
        <v>2389</v>
      </c>
      <c r="F1494" s="2" t="s">
        <v>2386</v>
      </c>
      <c r="G1494" s="2" t="s">
        <v>5094</v>
      </c>
      <c r="H1494" s="2" t="s">
        <v>2144</v>
      </c>
      <c r="I1494" s="3" t="b">
        <f>OR(E1494 = "calculated", E1494 = "lookup", E1494 = "aggregation")</f>
        <v>1</v>
      </c>
      <c r="J1494" s="3" t="b">
        <f>H1494 &lt;&gt; ""</f>
        <v>1</v>
      </c>
      <c r="K1494" s="3">
        <f>COUNTIFS(FieldDisagreements!D2:D999, A1494)</f>
        <v>0</v>
      </c>
      <c r="L1494" s="3" t="b">
        <f>K1494 &gt; 0</f>
        <v>0</v>
      </c>
      <c r="M1494" s="2" t="s">
        <v>2387</v>
      </c>
    </row>
    <row r="1495">
      <c r="A1495" s="2" t="s">
        <v>5095</v>
      </c>
      <c r="B1495" s="3" t="str">
        <f>C1495 &amp; "." &amp; D1495</f>
        <v>AuthorityBoundaries.ViolationCount</v>
      </c>
      <c r="C1495" s="2" t="s">
        <v>5065</v>
      </c>
      <c r="D1495" s="2" t="s">
        <v>5096</v>
      </c>
      <c r="E1495" s="2" t="s">
        <v>2438</v>
      </c>
      <c r="F1495" s="2" t="s">
        <v>2444</v>
      </c>
      <c r="G1495" s="2" t="s">
        <v>5097</v>
      </c>
      <c r="H1495" s="2" t="s">
        <v>2164</v>
      </c>
      <c r="I1495" s="3" t="b">
        <f>OR(E1495 = "calculated", E1495 = "lookup", E1495 = "aggregation")</f>
        <v>1</v>
      </c>
      <c r="J1495" s="3" t="b">
        <f>H1495 &lt;&gt; ""</f>
        <v>1</v>
      </c>
      <c r="K1495" s="3">
        <f>COUNTIFS(FieldDisagreements!D2:D999, A1495)</f>
        <v>0</v>
      </c>
      <c r="L1495" s="3" t="b">
        <f>K1495 &gt; 0</f>
        <v>0</v>
      </c>
      <c r="M1495" s="2" t="s">
        <v>2387</v>
      </c>
    </row>
    <row r="1496">
      <c r="A1496" s="2" t="s">
        <v>5098</v>
      </c>
      <c r="B1496" s="3" t="str">
        <f>C1496 &amp; "." &amp; D1496</f>
        <v>AuthorityBoundaries.IsUntested</v>
      </c>
      <c r="C1496" s="2" t="s">
        <v>5065</v>
      </c>
      <c r="D1496" s="2" t="s">
        <v>5099</v>
      </c>
      <c r="E1496" s="2" t="s">
        <v>2389</v>
      </c>
      <c r="F1496" s="2" t="s">
        <v>2401</v>
      </c>
      <c r="G1496" s="2" t="s">
        <v>5100</v>
      </c>
      <c r="H1496" s="2" t="s">
        <v>2164</v>
      </c>
      <c r="I1496" s="3" t="b">
        <f>OR(E1496 = "calculated", E1496 = "lookup", E1496 = "aggregation")</f>
        <v>1</v>
      </c>
      <c r="J1496" s="3" t="b">
        <f>H1496 &lt;&gt; ""</f>
        <v>1</v>
      </c>
      <c r="K1496" s="3">
        <f>COUNTIFS(FieldDisagreements!D2:D999, A1496)</f>
        <v>0</v>
      </c>
      <c r="L1496" s="3" t="b">
        <f>K1496 &gt; 0</f>
        <v>0</v>
      </c>
      <c r="M1496" s="2" t="s">
        <v>2387</v>
      </c>
    </row>
    <row r="1497">
      <c r="A1497" s="2" t="s">
        <v>5101</v>
      </c>
      <c r="B1497" s="3" t="str">
        <f>C1497 &amp; "." &amp; D1497</f>
        <v>AuthorityBoundaries.HasRatifyingFragment</v>
      </c>
      <c r="C1497" s="2" t="s">
        <v>5065</v>
      </c>
      <c r="D1497" s="2" t="s">
        <v>5102</v>
      </c>
      <c r="E1497" s="2" t="s">
        <v>2389</v>
      </c>
      <c r="F1497" s="2" t="s">
        <v>2401</v>
      </c>
      <c r="G1497" s="2" t="s">
        <v>5103</v>
      </c>
      <c r="H1497" s="2"/>
      <c r="I1497" s="3" t="b">
        <f>OR(E1497 = "calculated", E1497 = "lookup", E1497 = "aggregation")</f>
        <v>1</v>
      </c>
      <c r="J1497" s="3" t="b">
        <f>H1497 &lt;&gt; ""</f>
        <v>0</v>
      </c>
      <c r="K1497" s="3">
        <f>COUNTIFS(FieldDisagreements!D2:D999, A1497)</f>
        <v>0</v>
      </c>
      <c r="L1497" s="3" t="b">
        <f>K1497 &gt; 0</f>
        <v>0</v>
      </c>
      <c r="M1497" s="2" t="s">
        <v>2387</v>
      </c>
    </row>
    <row r="1498">
      <c r="A1498" s="2" t="s">
        <v>5104</v>
      </c>
      <c r="B1498" s="3" t="str">
        <f>C1498 &amp; "." &amp; D1498</f>
        <v>AuthorityBoundaries.IsUnwarranted</v>
      </c>
      <c r="C1498" s="2" t="s">
        <v>5065</v>
      </c>
      <c r="D1498" s="2" t="s">
        <v>5105</v>
      </c>
      <c r="E1498" s="2" t="s">
        <v>2389</v>
      </c>
      <c r="F1498" s="2" t="s">
        <v>2401</v>
      </c>
      <c r="G1498" s="2" t="s">
        <v>5106</v>
      </c>
      <c r="H1498" s="2" t="s">
        <v>2180</v>
      </c>
      <c r="I1498" s="3" t="b">
        <f>OR(E1498 = "calculated", E1498 = "lookup", E1498 = "aggregation")</f>
        <v>1</v>
      </c>
      <c r="J1498" s="3" t="b">
        <f>H1498 &lt;&gt; ""</f>
        <v>1</v>
      </c>
      <c r="K1498" s="3">
        <f>COUNTIFS(FieldDisagreements!D2:D999, A1498)</f>
        <v>1</v>
      </c>
      <c r="L1498" s="3" t="b">
        <f>K1498 &gt; 0</f>
        <v>1</v>
      </c>
      <c r="M1498" s="2" t="s">
        <v>2387</v>
      </c>
    </row>
    <row r="1499">
      <c r="A1499" s="2" t="s">
        <v>5107</v>
      </c>
      <c r="B1499" s="3" t="str">
        <f>C1499 &amp; "." &amp; D1499</f>
        <v>AuthorityBoundaries.RatifyingFragmentIsOverdue</v>
      </c>
      <c r="C1499" s="2" t="s">
        <v>5065</v>
      </c>
      <c r="D1499" s="2" t="s">
        <v>5108</v>
      </c>
      <c r="E1499" s="2" t="s">
        <v>2478</v>
      </c>
      <c r="F1499" s="2" t="s">
        <v>2401</v>
      </c>
      <c r="G1499" s="2" t="s">
        <v>5109</v>
      </c>
      <c r="H1499" s="2" t="s">
        <v>2180</v>
      </c>
      <c r="I1499" s="3" t="b">
        <f>OR(E1499 = "calculated", E1499 = "lookup", E1499 = "aggregation")</f>
        <v>1</v>
      </c>
      <c r="J1499" s="3" t="b">
        <f>H1499 &lt;&gt; ""</f>
        <v>1</v>
      </c>
      <c r="K1499" s="3">
        <f>COUNTIFS(FieldDisagreements!D2:D999, A1499)</f>
        <v>0</v>
      </c>
      <c r="L1499" s="3" t="b">
        <f>K1499 &gt; 0</f>
        <v>0</v>
      </c>
      <c r="M1499" s="2" t="s">
        <v>2387</v>
      </c>
    </row>
    <row r="1500">
      <c r="A1500" s="2" t="s">
        <v>5110</v>
      </c>
      <c r="B1500" s="3" t="str">
        <f>C1500 &amp; "." &amp; D1500</f>
        <v>AuthorityBoundaries.RatifyingFragmentIsSingleWitness</v>
      </c>
      <c r="C1500" s="2" t="s">
        <v>5065</v>
      </c>
      <c r="D1500" s="2" t="s">
        <v>5111</v>
      </c>
      <c r="E1500" s="2" t="s">
        <v>2478</v>
      </c>
      <c r="F1500" s="2" t="s">
        <v>2401</v>
      </c>
      <c r="G1500" s="2" t="s">
        <v>5112</v>
      </c>
      <c r="H1500" s="2" t="s">
        <v>2180</v>
      </c>
      <c r="I1500" s="3" t="b">
        <f>OR(E1500 = "calculated", E1500 = "lookup", E1500 = "aggregation")</f>
        <v>1</v>
      </c>
      <c r="J1500" s="3" t="b">
        <f>H1500 &lt;&gt; ""</f>
        <v>1</v>
      </c>
      <c r="K1500" s="3">
        <f>COUNTIFS(FieldDisagreements!D2:D999, A1500)</f>
        <v>0</v>
      </c>
      <c r="L1500" s="3" t="b">
        <f>K1500 &gt; 0</f>
        <v>0</v>
      </c>
      <c r="M1500" s="2" t="s">
        <v>2387</v>
      </c>
    </row>
    <row r="1501">
      <c r="A1501" s="2" t="s">
        <v>5113</v>
      </c>
      <c r="B1501" s="3" t="str">
        <f>C1501 &amp; "." &amp; D1501</f>
        <v>AuthorityBoundaries.WarrantIsThin</v>
      </c>
      <c r="C1501" s="2" t="s">
        <v>5065</v>
      </c>
      <c r="D1501" s="2" t="s">
        <v>5114</v>
      </c>
      <c r="E1501" s="2" t="s">
        <v>2389</v>
      </c>
      <c r="F1501" s="2" t="s">
        <v>2401</v>
      </c>
      <c r="G1501" s="2" t="s">
        <v>5115</v>
      </c>
      <c r="H1501" s="2" t="s">
        <v>2180</v>
      </c>
      <c r="I1501" s="3" t="b">
        <f>OR(E1501 = "calculated", E1501 = "lookup", E1501 = "aggregation")</f>
        <v>1</v>
      </c>
      <c r="J1501" s="3" t="b">
        <f>H1501 &lt;&gt; ""</f>
        <v>1</v>
      </c>
      <c r="K1501" s="3">
        <f>COUNTIFS(FieldDisagreements!D2:D999, A1501)</f>
        <v>1</v>
      </c>
      <c r="L1501" s="3" t="b">
        <f>K1501 &gt; 0</f>
        <v>1</v>
      </c>
      <c r="M1501" s="2" t="s">
        <v>2387</v>
      </c>
    </row>
    <row r="1502">
      <c r="A1502" s="2" t="s">
        <v>5116</v>
      </c>
      <c r="B1502" s="3" t="str">
        <f>C1502 &amp; "." &amp; D1502</f>
        <v>AuthorityBoundaries.IsUnwarrantedAndUntested</v>
      </c>
      <c r="C1502" s="2" t="s">
        <v>5065</v>
      </c>
      <c r="D1502" s="2" t="s">
        <v>5117</v>
      </c>
      <c r="E1502" s="2" t="s">
        <v>2389</v>
      </c>
      <c r="F1502" s="2" t="s">
        <v>2401</v>
      </c>
      <c r="G1502" s="2" t="s">
        <v>5118</v>
      </c>
      <c r="H1502" s="2" t="s">
        <v>2180</v>
      </c>
      <c r="I1502" s="3" t="b">
        <f>OR(E1502 = "calculated", E1502 = "lookup", E1502 = "aggregation")</f>
        <v>1</v>
      </c>
      <c r="J1502" s="3" t="b">
        <f>H1502 &lt;&gt; ""</f>
        <v>1</v>
      </c>
      <c r="K1502" s="3">
        <f>COUNTIFS(FieldDisagreements!D2:D999, A1502)</f>
        <v>1</v>
      </c>
      <c r="L1502" s="3" t="b">
        <f>K1502 &gt; 0</f>
        <v>1</v>
      </c>
      <c r="M1502" s="2" t="s">
        <v>2387</v>
      </c>
    </row>
    <row r="1503">
      <c r="A1503" s="2" t="s">
        <v>5119</v>
      </c>
      <c r="B1503" s="3" t="str">
        <f>C1503 &amp; "." &amp; D1503</f>
        <v>AuthorityBoundaries.UnwarrantedBoundaryStepKey</v>
      </c>
      <c r="C1503" s="2" t="s">
        <v>5065</v>
      </c>
      <c r="D1503" s="2" t="s">
        <v>5120</v>
      </c>
      <c r="E1503" s="2" t="s">
        <v>2389</v>
      </c>
      <c r="F1503" s="2" t="s">
        <v>2386</v>
      </c>
      <c r="G1503" s="2" t="s">
        <v>5121</v>
      </c>
      <c r="H1503" s="2" t="s">
        <v>2180</v>
      </c>
      <c r="I1503" s="3" t="b">
        <f>OR(E1503 = "calculated", E1503 = "lookup", E1503 = "aggregation")</f>
        <v>1</v>
      </c>
      <c r="J1503" s="3" t="b">
        <f>H1503 &lt;&gt; ""</f>
        <v>1</v>
      </c>
      <c r="K1503" s="3">
        <f>COUNTIFS(FieldDisagreements!D2:D999, A1503)</f>
        <v>1</v>
      </c>
      <c r="L1503" s="3" t="b">
        <f>K1503 &gt; 0</f>
        <v>1</v>
      </c>
      <c r="M1503" s="2" t="s">
        <v>2387</v>
      </c>
    </row>
    <row r="1504">
      <c r="A1504" s="2" t="s">
        <v>5122</v>
      </c>
      <c r="B1504" s="3" t="str">
        <f>C1504 &amp; "." &amp; D1504</f>
        <v>AuthorityBoundaries.RatifyingFragmentKey</v>
      </c>
      <c r="C1504" s="2" t="s">
        <v>5065</v>
      </c>
      <c r="D1504" s="2" t="s">
        <v>5123</v>
      </c>
      <c r="E1504" s="2" t="s">
        <v>2389</v>
      </c>
      <c r="F1504" s="2" t="s">
        <v>2386</v>
      </c>
      <c r="G1504" s="2" t="s">
        <v>5124</v>
      </c>
      <c r="H1504" s="2" t="s">
        <v>2204</v>
      </c>
      <c r="I1504" s="3" t="b">
        <f>OR(E1504 = "calculated", E1504 = "lookup", E1504 = "aggregation")</f>
        <v>1</v>
      </c>
      <c r="J1504" s="3" t="b">
        <f>H1504 &lt;&gt; ""</f>
        <v>1</v>
      </c>
      <c r="K1504" s="3">
        <f>COUNTIFS(FieldDisagreements!D2:D999, A1504)</f>
        <v>0</v>
      </c>
      <c r="L1504" s="3" t="b">
        <f>K1504 &gt; 0</f>
        <v>0</v>
      </c>
      <c r="M1504" s="2" t="s">
        <v>2387</v>
      </c>
    </row>
    <row r="1505">
      <c r="A1505" s="2" t="s">
        <v>5125</v>
      </c>
      <c r="B1505" s="3" t="str">
        <f>C1505 &amp; "." &amp; D1505</f>
        <v>AuthorityBoundaries.RatifyingFragmentStatus</v>
      </c>
      <c r="C1505" s="2" t="s">
        <v>5065</v>
      </c>
      <c r="D1505" s="2" t="s">
        <v>5126</v>
      </c>
      <c r="E1505" s="2" t="s">
        <v>2478</v>
      </c>
      <c r="F1505" s="2" t="s">
        <v>2386</v>
      </c>
      <c r="G1505" s="2" t="s">
        <v>5127</v>
      </c>
      <c r="H1505" s="2" t="s">
        <v>2320</v>
      </c>
      <c r="I1505" s="3" t="b">
        <f>OR(E1505 = "calculated", E1505 = "lookup", E1505 = "aggregation")</f>
        <v>1</v>
      </c>
      <c r="J1505" s="3" t="b">
        <f>H1505 &lt;&gt; ""</f>
        <v>1</v>
      </c>
      <c r="K1505" s="3">
        <f>COUNTIFS(FieldDisagreements!D2:D999, A1505)</f>
        <v>0</v>
      </c>
      <c r="L1505" s="3" t="b">
        <f>K1505 &gt; 0</f>
        <v>0</v>
      </c>
      <c r="M1505" s="2" t="s">
        <v>2387</v>
      </c>
    </row>
    <row r="1506">
      <c r="A1506" s="2" t="s">
        <v>5128</v>
      </c>
      <c r="B1506" s="3" t="str">
        <f>C1506 &amp; "." &amp; D1506</f>
        <v>AuthorityBoundaries.RatificationLapsed</v>
      </c>
      <c r="C1506" s="2" t="s">
        <v>5065</v>
      </c>
      <c r="D1506" s="2" t="s">
        <v>5129</v>
      </c>
      <c r="E1506" s="2" t="s">
        <v>2389</v>
      </c>
      <c r="F1506" s="2" t="s">
        <v>2401</v>
      </c>
      <c r="G1506" s="2" t="s">
        <v>5130</v>
      </c>
      <c r="H1506" s="2" t="s">
        <v>2320</v>
      </c>
      <c r="I1506" s="3" t="b">
        <f>OR(E1506 = "calculated", E1506 = "lookup", E1506 = "aggregation")</f>
        <v>1</v>
      </c>
      <c r="J1506" s="3" t="b">
        <f>H1506 &lt;&gt; ""</f>
        <v>1</v>
      </c>
      <c r="K1506" s="3">
        <f>COUNTIFS(FieldDisagreements!D2:D999, A1506)</f>
        <v>1</v>
      </c>
      <c r="L1506" s="3" t="b">
        <f>K1506 &gt; 0</f>
        <v>1</v>
      </c>
      <c r="M1506" s="2" t="s">
        <v>2387</v>
      </c>
    </row>
    <row r="1507">
      <c r="A1507" s="2" t="s">
        <v>5131</v>
      </c>
      <c r="B1507" s="3" t="str">
        <f>C1507 &amp; "." &amp; D1507</f>
        <v>AuthorityBoundaries.BindsDespiteLapsedRatification</v>
      </c>
      <c r="C1507" s="2" t="s">
        <v>5065</v>
      </c>
      <c r="D1507" s="2" t="s">
        <v>5132</v>
      </c>
      <c r="E1507" s="2" t="s">
        <v>2389</v>
      </c>
      <c r="F1507" s="2" t="s">
        <v>2401</v>
      </c>
      <c r="G1507" s="2" t="s">
        <v>5133</v>
      </c>
      <c r="H1507" s="2" t="s">
        <v>2320</v>
      </c>
      <c r="I1507" s="3" t="b">
        <f>OR(E1507 = "calculated", E1507 = "lookup", E1507 = "aggregation")</f>
        <v>1</v>
      </c>
      <c r="J1507" s="3" t="b">
        <f>H1507 &lt;&gt; ""</f>
        <v>1</v>
      </c>
      <c r="K1507" s="3">
        <f>COUNTIFS(FieldDisagreements!D2:D999, A1507)</f>
        <v>1</v>
      </c>
      <c r="L1507" s="3" t="b">
        <f>K1507 &gt; 0</f>
        <v>1</v>
      </c>
      <c r="M1507" s="2" t="s">
        <v>2387</v>
      </c>
    </row>
    <row r="1508">
      <c r="A1508" s="2" t="s">
        <v>5134</v>
      </c>
      <c r="B1508" s="3" t="str">
        <f>C1508 &amp; "." &amp; D1508</f>
        <v>AuthorityBoundaries.IsUngroundedAndUntested</v>
      </c>
      <c r="C1508" s="2" t="s">
        <v>5065</v>
      </c>
      <c r="D1508" s="2" t="s">
        <v>5135</v>
      </c>
      <c r="E1508" s="2" t="s">
        <v>2389</v>
      </c>
      <c r="F1508" s="2" t="s">
        <v>2401</v>
      </c>
      <c r="G1508" s="2" t="s">
        <v>5136</v>
      </c>
      <c r="H1508" s="2" t="s">
        <v>2320</v>
      </c>
      <c r="I1508" s="3" t="b">
        <f>OR(E1508 = "calculated", E1508 = "lookup", E1508 = "aggregation")</f>
        <v>1</v>
      </c>
      <c r="J1508" s="3" t="b">
        <f>H1508 &lt;&gt; ""</f>
        <v>1</v>
      </c>
      <c r="K1508" s="3">
        <f>COUNTIFS(FieldDisagreements!D2:D999, A1508)</f>
        <v>1</v>
      </c>
      <c r="L1508" s="3" t="b">
        <f>K1508 &gt; 0</f>
        <v>1</v>
      </c>
      <c r="M1508" s="2" t="s">
        <v>2387</v>
      </c>
    </row>
    <row r="1509">
      <c r="A1509" s="2" t="s">
        <v>5137</v>
      </c>
      <c r="B1509" s="3" t="str">
        <f>C1509 &amp; "." &amp; D1509</f>
        <v>AuthorityBoundaries.ConstrainedRoleAssignmentKey</v>
      </c>
      <c r="C1509" s="2" t="s">
        <v>5065</v>
      </c>
      <c r="D1509" s="2" t="s">
        <v>5138</v>
      </c>
      <c r="E1509" s="2" t="s">
        <v>2389</v>
      </c>
      <c r="F1509" s="2" t="s">
        <v>2386</v>
      </c>
      <c r="G1509" s="2" t="s">
        <v>5139</v>
      </c>
      <c r="H1509" s="2" t="s">
        <v>2320</v>
      </c>
      <c r="I1509" s="3" t="b">
        <f>OR(E1509 = "calculated", E1509 = "lookup", E1509 = "aggregation")</f>
        <v>1</v>
      </c>
      <c r="J1509" s="3" t="b">
        <f>H1509 &lt;&gt; ""</f>
        <v>1</v>
      </c>
      <c r="K1509" s="3">
        <f>COUNTIFS(FieldDisagreements!D2:D999, A1509)</f>
        <v>1</v>
      </c>
      <c r="L1509" s="3" t="b">
        <f>K1509 &gt; 0</f>
        <v>1</v>
      </c>
      <c r="M1509" s="2" t="s">
        <v>2387</v>
      </c>
    </row>
    <row r="1510">
      <c r="A1510" s="2" t="s">
        <v>5140</v>
      </c>
      <c r="B1510" s="3" t="str">
        <f>C1510 &amp; "." &amp; D1510</f>
        <v>AuthorityBoundaries.SemanticTypeIri</v>
      </c>
      <c r="C1510" s="2" t="s">
        <v>5065</v>
      </c>
      <c r="D1510" s="2" t="s">
        <v>94</v>
      </c>
      <c r="E1510" s="2" t="s">
        <v>2385</v>
      </c>
      <c r="F1510" s="2" t="s">
        <v>2386</v>
      </c>
      <c r="G1510" s="2"/>
      <c r="H1510" s="2"/>
      <c r="I1510" s="3" t="b">
        <f>OR(E1510 = "calculated", E1510 = "lookup", E1510 = "aggregation")</f>
        <v>0</v>
      </c>
      <c r="J1510" s="3" t="b">
        <f>H1510 &lt;&gt; ""</f>
        <v>0</v>
      </c>
      <c r="K1510" s="3">
        <f>COUNTIFS(FieldDisagreements!D2:D999, A1510)</f>
        <v>0</v>
      </c>
      <c r="L1510" s="3" t="b">
        <f>K1510 &gt; 0</f>
        <v>0</v>
      </c>
      <c r="M1510" s="2" t="s">
        <v>2387</v>
      </c>
    </row>
    <row r="1511">
      <c r="A1511" s="2" t="s">
        <v>5141</v>
      </c>
      <c r="B1511" s="3" t="str">
        <f>C1511 &amp; "." &amp; D1511</f>
        <v>BindingObservations.BindingObservationId</v>
      </c>
      <c r="C1511" s="2" t="s">
        <v>5142</v>
      </c>
      <c r="D1511" s="2" t="s">
        <v>5143</v>
      </c>
      <c r="E1511" s="2" t="s">
        <v>2385</v>
      </c>
      <c r="F1511" s="2" t="s">
        <v>2386</v>
      </c>
      <c r="G1511" s="2"/>
      <c r="H1511" s="2" t="s">
        <v>2240</v>
      </c>
      <c r="I1511" s="3" t="b">
        <f>OR(E1511 = "calculated", E1511 = "lookup", E1511 = "aggregation")</f>
        <v>0</v>
      </c>
      <c r="J1511" s="3" t="b">
        <f>H1511 &lt;&gt; ""</f>
        <v>1</v>
      </c>
      <c r="K1511" s="3">
        <f>COUNTIFS(FieldDisagreements!D2:D999, A1511)</f>
        <v>0</v>
      </c>
      <c r="L1511" s="3" t="b">
        <f>K1511 &gt; 0</f>
        <v>0</v>
      </c>
      <c r="M1511" s="2" t="s">
        <v>2387</v>
      </c>
    </row>
    <row r="1512">
      <c r="A1512" s="2" t="s">
        <v>5144</v>
      </c>
      <c r="B1512" s="3" t="str">
        <f>C1512 &amp; "." &amp; D1512</f>
        <v>BindingObservations.Name</v>
      </c>
      <c r="C1512" s="2" t="s">
        <v>5142</v>
      </c>
      <c r="D1512" s="2" t="s">
        <v>1</v>
      </c>
      <c r="E1512" s="2" t="s">
        <v>2389</v>
      </c>
      <c r="F1512" s="2" t="s">
        <v>2386</v>
      </c>
      <c r="G1512" s="2" t="s">
        <v>5145</v>
      </c>
      <c r="H1512" s="2"/>
      <c r="I1512" s="3" t="b">
        <f>OR(E1512 = "calculated", E1512 = "lookup", E1512 = "aggregation")</f>
        <v>1</v>
      </c>
      <c r="J1512" s="3" t="b">
        <f>H1512 &lt;&gt; ""</f>
        <v>0</v>
      </c>
      <c r="K1512" s="3">
        <f>COUNTIFS(FieldDisagreements!D2:D999, A1512)</f>
        <v>0</v>
      </c>
      <c r="L1512" s="3" t="b">
        <f>K1512 &gt; 0</f>
        <v>0</v>
      </c>
      <c r="M1512" s="2" t="s">
        <v>2387</v>
      </c>
    </row>
    <row r="1513">
      <c r="A1513" s="2" t="s">
        <v>5146</v>
      </c>
      <c r="B1513" s="3" t="str">
        <f>C1513 &amp; "." &amp; D1513</f>
        <v>BindingObservations.StepExecution</v>
      </c>
      <c r="C1513" s="2" t="s">
        <v>5142</v>
      </c>
      <c r="D1513" s="2" t="s">
        <v>1447</v>
      </c>
      <c r="E1513" s="2" t="s">
        <v>2434</v>
      </c>
      <c r="F1513" s="2" t="s">
        <v>2386</v>
      </c>
      <c r="G1513" s="2"/>
      <c r="H1513" s="2" t="s">
        <v>2240</v>
      </c>
      <c r="I1513" s="3" t="b">
        <f>OR(E1513 = "calculated", E1513 = "lookup", E1513 = "aggregation")</f>
        <v>0</v>
      </c>
      <c r="J1513" s="3" t="b">
        <f>H1513 &lt;&gt; ""</f>
        <v>1</v>
      </c>
      <c r="K1513" s="3">
        <f>COUNTIFS(FieldDisagreements!D2:D999, A1513)</f>
        <v>0</v>
      </c>
      <c r="L1513" s="3" t="b">
        <f>K1513 &gt; 0</f>
        <v>0</v>
      </c>
      <c r="M1513" s="2" t="s">
        <v>2387</v>
      </c>
    </row>
    <row r="1514">
      <c r="A1514" s="2" t="s">
        <v>5147</v>
      </c>
      <c r="B1514" s="3" t="str">
        <f>C1514 &amp; "." &amp; D1514</f>
        <v>BindingObservations.OperationalBinding</v>
      </c>
      <c r="C1514" s="2" t="s">
        <v>5142</v>
      </c>
      <c r="D1514" s="2" t="s">
        <v>5148</v>
      </c>
      <c r="E1514" s="2" t="s">
        <v>2434</v>
      </c>
      <c r="F1514" s="2" t="s">
        <v>2386</v>
      </c>
      <c r="G1514" s="2"/>
      <c r="H1514" s="2" t="s">
        <v>2240</v>
      </c>
      <c r="I1514" s="3" t="b">
        <f>OR(E1514 = "calculated", E1514 = "lookup", E1514 = "aggregation")</f>
        <v>0</v>
      </c>
      <c r="J1514" s="3" t="b">
        <f>H1514 &lt;&gt; ""</f>
        <v>1</v>
      </c>
      <c r="K1514" s="3">
        <f>COUNTIFS(FieldDisagreements!D2:D999, A1514)</f>
        <v>0</v>
      </c>
      <c r="L1514" s="3" t="b">
        <f>K1514 &gt; 0</f>
        <v>0</v>
      </c>
      <c r="M1514" s="2" t="s">
        <v>2387</v>
      </c>
    </row>
    <row r="1515">
      <c r="A1515" s="2" t="s">
        <v>5149</v>
      </c>
      <c r="B1515" s="3" t="str">
        <f>C1515 &amp; "." &amp; D1515</f>
        <v>BindingObservations.ObservedSourceTimestamp</v>
      </c>
      <c r="C1515" s="2" t="s">
        <v>5142</v>
      </c>
      <c r="D1515" s="2" t="s">
        <v>5150</v>
      </c>
      <c r="E1515" s="2" t="s">
        <v>2385</v>
      </c>
      <c r="F1515" s="2" t="s">
        <v>2397</v>
      </c>
      <c r="G1515" s="2"/>
      <c r="H1515" s="2" t="s">
        <v>2240</v>
      </c>
      <c r="I1515" s="3" t="b">
        <f>OR(E1515 = "calculated", E1515 = "lookup", E1515 = "aggregation")</f>
        <v>0</v>
      </c>
      <c r="J1515" s="3" t="b">
        <f>H1515 &lt;&gt; ""</f>
        <v>1</v>
      </c>
      <c r="K1515" s="3">
        <f>COUNTIFS(FieldDisagreements!D2:D999, A1515)</f>
        <v>0</v>
      </c>
      <c r="L1515" s="3" t="b">
        <f>K1515 &gt; 0</f>
        <v>0</v>
      </c>
      <c r="M1515" s="2" t="s">
        <v>2387</v>
      </c>
    </row>
    <row r="1516">
      <c r="A1516" s="2" t="s">
        <v>5151</v>
      </c>
      <c r="B1516" s="3" t="str">
        <f>C1516 &amp; "." &amp; D1516</f>
        <v>BindingObservations.ReadAt</v>
      </c>
      <c r="C1516" s="2" t="s">
        <v>5142</v>
      </c>
      <c r="D1516" s="2" t="s">
        <v>5152</v>
      </c>
      <c r="E1516" s="2" t="s">
        <v>2385</v>
      </c>
      <c r="F1516" s="2" t="s">
        <v>2397</v>
      </c>
      <c r="G1516" s="2"/>
      <c r="H1516" s="2" t="s">
        <v>2240</v>
      </c>
      <c r="I1516" s="3" t="b">
        <f>OR(E1516 = "calculated", E1516 = "lookup", E1516 = "aggregation")</f>
        <v>0</v>
      </c>
      <c r="J1516" s="3" t="b">
        <f>H1516 &lt;&gt; ""</f>
        <v>1</v>
      </c>
      <c r="K1516" s="3">
        <f>COUNTIFS(FieldDisagreements!D2:D999, A1516)</f>
        <v>0</v>
      </c>
      <c r="L1516" s="3" t="b">
        <f>K1516 &gt; 0</f>
        <v>0</v>
      </c>
      <c r="M1516" s="2" t="s">
        <v>2387</v>
      </c>
    </row>
    <row r="1517">
      <c r="A1517" s="2" t="s">
        <v>5153</v>
      </c>
      <c r="B1517" s="3" t="str">
        <f>C1517 &amp; "." &amp; D1517</f>
        <v>BindingObservations.SlaMinutesAtRun</v>
      </c>
      <c r="C1517" s="2" t="s">
        <v>5142</v>
      </c>
      <c r="D1517" s="2" t="s">
        <v>5154</v>
      </c>
      <c r="E1517" s="2" t="s">
        <v>2478</v>
      </c>
      <c r="F1517" s="2" t="s">
        <v>2439</v>
      </c>
      <c r="G1517" s="2" t="s">
        <v>5155</v>
      </c>
      <c r="H1517" s="2" t="s">
        <v>2240</v>
      </c>
      <c r="I1517" s="3" t="b">
        <f>OR(E1517 = "calculated", E1517 = "lookup", E1517 = "aggregation")</f>
        <v>1</v>
      </c>
      <c r="J1517" s="3" t="b">
        <f>H1517 &lt;&gt; ""</f>
        <v>1</v>
      </c>
      <c r="K1517" s="3">
        <f>COUNTIFS(FieldDisagreements!D2:D999, A1517)</f>
        <v>0</v>
      </c>
      <c r="L1517" s="3" t="b">
        <f>K1517 &gt; 0</f>
        <v>0</v>
      </c>
      <c r="M1517" s="2" t="s">
        <v>2387</v>
      </c>
    </row>
    <row r="1518">
      <c r="A1518" s="2" t="s">
        <v>5156</v>
      </c>
      <c r="B1518" s="3" t="str">
        <f>C1518 &amp; "." &amp; D1518</f>
        <v>BindingObservations.AgeAtRunMinutes</v>
      </c>
      <c r="C1518" s="2" t="s">
        <v>5142</v>
      </c>
      <c r="D1518" s="2" t="s">
        <v>5157</v>
      </c>
      <c r="E1518" s="2" t="s">
        <v>2389</v>
      </c>
      <c r="F1518" s="2" t="s">
        <v>2439</v>
      </c>
      <c r="G1518" s="2" t="s">
        <v>5158</v>
      </c>
      <c r="H1518" s="2" t="s">
        <v>2240</v>
      </c>
      <c r="I1518" s="3" t="b">
        <f>OR(E1518 = "calculated", E1518 = "lookup", E1518 = "aggregation")</f>
        <v>1</v>
      </c>
      <c r="J1518" s="3" t="b">
        <f>H1518 &lt;&gt; ""</f>
        <v>1</v>
      </c>
      <c r="K1518" s="3">
        <f>COUNTIFS(FieldDisagreements!D2:D999, A1518)</f>
        <v>0</v>
      </c>
      <c r="L1518" s="3" t="b">
        <f>K1518 &gt; 0</f>
        <v>0</v>
      </c>
      <c r="M1518" s="2" t="s">
        <v>2387</v>
      </c>
    </row>
    <row r="1519">
      <c r="A1519" s="2" t="s">
        <v>5159</v>
      </c>
      <c r="B1519" s="3" t="str">
        <f>C1519 &amp; "." &amp; D1519</f>
        <v>BindingObservations.WasStaleAtRun</v>
      </c>
      <c r="C1519" s="2" t="s">
        <v>5142</v>
      </c>
      <c r="D1519" s="2" t="s">
        <v>5160</v>
      </c>
      <c r="E1519" s="2" t="s">
        <v>2389</v>
      </c>
      <c r="F1519" s="2" t="s">
        <v>2401</v>
      </c>
      <c r="G1519" s="2" t="s">
        <v>5161</v>
      </c>
      <c r="H1519" s="2" t="s">
        <v>2240</v>
      </c>
      <c r="I1519" s="3" t="b">
        <f>OR(E1519 = "calculated", E1519 = "lookup", E1519 = "aggregation")</f>
        <v>1</v>
      </c>
      <c r="J1519" s="3" t="b">
        <f>H1519 &lt;&gt; ""</f>
        <v>1</v>
      </c>
      <c r="K1519" s="3">
        <f>COUNTIFS(FieldDisagreements!D2:D999, A1519)</f>
        <v>0</v>
      </c>
      <c r="L1519" s="3" t="b">
        <f>K1519 &gt; 0</f>
        <v>0</v>
      </c>
      <c r="M1519" s="2" t="s">
        <v>2387</v>
      </c>
    </row>
    <row r="1520">
      <c r="A1520" s="2" t="s">
        <v>5162</v>
      </c>
      <c r="B1520" s="3" t="str">
        <f>C1520 &amp; "." &amp; D1520</f>
        <v>BindingObservations.IsAuthoritativeBinding</v>
      </c>
      <c r="C1520" s="2" t="s">
        <v>5142</v>
      </c>
      <c r="D1520" s="2" t="s">
        <v>5163</v>
      </c>
      <c r="E1520" s="2" t="s">
        <v>2478</v>
      </c>
      <c r="F1520" s="2" t="s">
        <v>2401</v>
      </c>
      <c r="G1520" s="2" t="s">
        <v>5164</v>
      </c>
      <c r="H1520" s="2" t="s">
        <v>2240</v>
      </c>
      <c r="I1520" s="3" t="b">
        <f>OR(E1520 = "calculated", E1520 = "lookup", E1520 = "aggregation")</f>
        <v>1</v>
      </c>
      <c r="J1520" s="3" t="b">
        <f>H1520 &lt;&gt; ""</f>
        <v>1</v>
      </c>
      <c r="K1520" s="3">
        <f>COUNTIFS(FieldDisagreements!D2:D999, A1520)</f>
        <v>0</v>
      </c>
      <c r="L1520" s="3" t="b">
        <f>K1520 &gt; 0</f>
        <v>0</v>
      </c>
      <c r="M1520" s="2" t="s">
        <v>2387</v>
      </c>
    </row>
    <row r="1521">
      <c r="A1521" s="2" t="s">
        <v>5165</v>
      </c>
      <c r="B1521" s="3" t="str">
        <f>C1521 &amp; "." &amp; D1521</f>
        <v>BindingObservations.StaleAtRunStepKey</v>
      </c>
      <c r="C1521" s="2" t="s">
        <v>5142</v>
      </c>
      <c r="D1521" s="2" t="s">
        <v>5166</v>
      </c>
      <c r="E1521" s="2" t="s">
        <v>2389</v>
      </c>
      <c r="F1521" s="2" t="s">
        <v>2386</v>
      </c>
      <c r="G1521" s="2" t="s">
        <v>5167</v>
      </c>
      <c r="H1521" s="2" t="s">
        <v>2240</v>
      </c>
      <c r="I1521" s="3" t="b">
        <f>OR(E1521 = "calculated", E1521 = "lookup", E1521 = "aggregation")</f>
        <v>1</v>
      </c>
      <c r="J1521" s="3" t="b">
        <f>H1521 &lt;&gt; ""</f>
        <v>1</v>
      </c>
      <c r="K1521" s="3">
        <f>COUNTIFS(FieldDisagreements!D2:D999, A1521)</f>
        <v>0</v>
      </c>
      <c r="L1521" s="3" t="b">
        <f>K1521 &gt; 0</f>
        <v>0</v>
      </c>
      <c r="M1521" s="2" t="s">
        <v>2387</v>
      </c>
    </row>
    <row r="1522">
      <c r="A1522" s="2" t="s">
        <v>5168</v>
      </c>
      <c r="B1522" s="3" t="str">
        <f>C1522 &amp; "." &amp; D1522</f>
        <v>Attestations.AttestationId</v>
      </c>
      <c r="C1522" s="2" t="s">
        <v>5169</v>
      </c>
      <c r="D1522" s="2" t="s">
        <v>5170</v>
      </c>
      <c r="E1522" s="2" t="s">
        <v>2385</v>
      </c>
      <c r="F1522" s="2" t="s">
        <v>2386</v>
      </c>
      <c r="G1522" s="2"/>
      <c r="H1522" s="2" t="s">
        <v>2280</v>
      </c>
      <c r="I1522" s="3" t="b">
        <f>OR(E1522 = "calculated", E1522 = "lookup", E1522 = "aggregation")</f>
        <v>0</v>
      </c>
      <c r="J1522" s="3" t="b">
        <f>H1522 &lt;&gt; ""</f>
        <v>1</v>
      </c>
      <c r="K1522" s="3">
        <f>COUNTIFS(FieldDisagreements!D2:D999, A1522)</f>
        <v>0</v>
      </c>
      <c r="L1522" s="3" t="b">
        <f>K1522 &gt; 0</f>
        <v>0</v>
      </c>
      <c r="M1522" s="2" t="s">
        <v>2387</v>
      </c>
    </row>
    <row r="1523">
      <c r="A1523" s="2" t="s">
        <v>5171</v>
      </c>
      <c r="B1523" s="3" t="str">
        <f>C1523 &amp; "." &amp; D1523</f>
        <v>Attestations.Name</v>
      </c>
      <c r="C1523" s="2" t="s">
        <v>5169</v>
      </c>
      <c r="D1523" s="2" t="s">
        <v>1</v>
      </c>
      <c r="E1523" s="2" t="s">
        <v>2389</v>
      </c>
      <c r="F1523" s="2" t="s">
        <v>2386</v>
      </c>
      <c r="G1523" s="2" t="s">
        <v>5172</v>
      </c>
      <c r="H1523" s="2"/>
      <c r="I1523" s="3" t="b">
        <f>OR(E1523 = "calculated", E1523 = "lookup", E1523 = "aggregation")</f>
        <v>1</v>
      </c>
      <c r="J1523" s="3" t="b">
        <f>H1523 &lt;&gt; ""</f>
        <v>0</v>
      </c>
      <c r="K1523" s="3">
        <f>COUNTIFS(FieldDisagreements!D2:D999, A1523)</f>
        <v>0</v>
      </c>
      <c r="L1523" s="3" t="b">
        <f>K1523 &gt; 0</f>
        <v>0</v>
      </c>
      <c r="M1523" s="2" t="s">
        <v>2387</v>
      </c>
    </row>
    <row r="1524">
      <c r="A1524" s="2" t="s">
        <v>5173</v>
      </c>
      <c r="B1524" s="3" t="str">
        <f>C1524 &amp; "." &amp; D1524</f>
        <v>Attestations.ProcedureExecution</v>
      </c>
      <c r="C1524" s="2" t="s">
        <v>5169</v>
      </c>
      <c r="D1524" s="2" t="s">
        <v>1329</v>
      </c>
      <c r="E1524" s="2" t="s">
        <v>2434</v>
      </c>
      <c r="F1524" s="2" t="s">
        <v>2386</v>
      </c>
      <c r="G1524" s="2"/>
      <c r="H1524" s="2" t="s">
        <v>2280</v>
      </c>
      <c r="I1524" s="3" t="b">
        <f>OR(E1524 = "calculated", E1524 = "lookup", E1524 = "aggregation")</f>
        <v>0</v>
      </c>
      <c r="J1524" s="3" t="b">
        <f>H1524 &lt;&gt; ""</f>
        <v>1</v>
      </c>
      <c r="K1524" s="3">
        <f>COUNTIFS(FieldDisagreements!D2:D999, A1524)</f>
        <v>0</v>
      </c>
      <c r="L1524" s="3" t="b">
        <f>K1524 &gt; 0</f>
        <v>0</v>
      </c>
      <c r="M1524" s="2" t="s">
        <v>2387</v>
      </c>
    </row>
    <row r="1525">
      <c r="A1525" s="2" t="s">
        <v>5174</v>
      </c>
      <c r="B1525" s="3" t="str">
        <f>C1525 &amp; "." &amp; D1525</f>
        <v>Attestations.SignedByAgent</v>
      </c>
      <c r="C1525" s="2" t="s">
        <v>5169</v>
      </c>
      <c r="D1525" s="2" t="s">
        <v>5175</v>
      </c>
      <c r="E1525" s="2" t="s">
        <v>2434</v>
      </c>
      <c r="F1525" s="2" t="s">
        <v>2386</v>
      </c>
      <c r="G1525" s="2"/>
      <c r="H1525" s="2" t="s">
        <v>2280</v>
      </c>
      <c r="I1525" s="3" t="b">
        <f>OR(E1525 = "calculated", E1525 = "lookup", E1525 = "aggregation")</f>
        <v>0</v>
      </c>
      <c r="J1525" s="3" t="b">
        <f>H1525 &lt;&gt; ""</f>
        <v>1</v>
      </c>
      <c r="K1525" s="3">
        <f>COUNTIFS(FieldDisagreements!D2:D999, A1525)</f>
        <v>0</v>
      </c>
      <c r="L1525" s="3" t="b">
        <f>K1525 &gt; 0</f>
        <v>0</v>
      </c>
      <c r="M1525" s="2" t="s">
        <v>2387</v>
      </c>
    </row>
    <row r="1526">
      <c r="A1526" s="2" t="s">
        <v>5176</v>
      </c>
      <c r="B1526" s="3" t="str">
        <f>C1526 &amp; "." &amp; D1526</f>
        <v>Attestations.SignedAt</v>
      </c>
      <c r="C1526" s="2" t="s">
        <v>5169</v>
      </c>
      <c r="D1526" s="2" t="s">
        <v>5177</v>
      </c>
      <c r="E1526" s="2" t="s">
        <v>2385</v>
      </c>
      <c r="F1526" s="2" t="s">
        <v>2397</v>
      </c>
      <c r="G1526" s="2"/>
      <c r="H1526" s="2" t="s">
        <v>2280</v>
      </c>
      <c r="I1526" s="3" t="b">
        <f>OR(E1526 = "calculated", E1526 = "lookup", E1526 = "aggregation")</f>
        <v>0</v>
      </c>
      <c r="J1526" s="3" t="b">
        <f>H1526 &lt;&gt; ""</f>
        <v>1</v>
      </c>
      <c r="K1526" s="3">
        <f>COUNTIFS(FieldDisagreements!D2:D999, A1526)</f>
        <v>0</v>
      </c>
      <c r="L1526" s="3" t="b">
        <f>K1526 &gt; 0</f>
        <v>0</v>
      </c>
      <c r="M1526" s="2" t="s">
        <v>2387</v>
      </c>
    </row>
    <row r="1527">
      <c r="A1527" s="2" t="s">
        <v>5178</v>
      </c>
      <c r="B1527" s="3" t="str">
        <f>C1527 &amp; "." &amp; D1527</f>
        <v>Attestations.AssuranceGradeAtSigning</v>
      </c>
      <c r="C1527" s="2" t="s">
        <v>5169</v>
      </c>
      <c r="D1527" s="2" t="s">
        <v>5179</v>
      </c>
      <c r="E1527" s="2" t="s">
        <v>2385</v>
      </c>
      <c r="F1527" s="2" t="s">
        <v>2386</v>
      </c>
      <c r="G1527" s="2"/>
      <c r="H1527" s="2" t="s">
        <v>2280</v>
      </c>
      <c r="I1527" s="3" t="b">
        <f>OR(E1527 = "calculated", E1527 = "lookup", E1527 = "aggregation")</f>
        <v>0</v>
      </c>
      <c r="J1527" s="3" t="b">
        <f>H1527 &lt;&gt; ""</f>
        <v>1</v>
      </c>
      <c r="K1527" s="3">
        <f>COUNTIFS(FieldDisagreements!D2:D999, A1527)</f>
        <v>0</v>
      </c>
      <c r="L1527" s="3" t="b">
        <f>K1527 &gt; 0</f>
        <v>0</v>
      </c>
      <c r="M1527" s="2" t="s">
        <v>2387</v>
      </c>
    </row>
    <row r="1528">
      <c r="A1528" s="2" t="s">
        <v>5180</v>
      </c>
      <c r="B1528" s="3" t="str">
        <f>C1528 &amp; "." &amp; D1528</f>
        <v>Attestations.VersionWasFitAtSigning</v>
      </c>
      <c r="C1528" s="2" t="s">
        <v>5169</v>
      </c>
      <c r="D1528" s="2" t="s">
        <v>5181</v>
      </c>
      <c r="E1528" s="2" t="s">
        <v>2385</v>
      </c>
      <c r="F1528" s="2" t="s">
        <v>2401</v>
      </c>
      <c r="G1528" s="2"/>
      <c r="H1528" s="2" t="s">
        <v>2280</v>
      </c>
      <c r="I1528" s="3" t="b">
        <f>OR(E1528 = "calculated", E1528 = "lookup", E1528 = "aggregation")</f>
        <v>0</v>
      </c>
      <c r="J1528" s="3" t="b">
        <f>H1528 &lt;&gt; ""</f>
        <v>1</v>
      </c>
      <c r="K1528" s="3">
        <f>COUNTIFS(FieldDisagreements!D2:D999, A1528)</f>
        <v>0</v>
      </c>
      <c r="L1528" s="3" t="b">
        <f>K1528 &gt; 0</f>
        <v>0</v>
      </c>
      <c r="M1528" s="2" t="s">
        <v>2387</v>
      </c>
    </row>
    <row r="1529">
      <c r="A1529" s="2" t="s">
        <v>5182</v>
      </c>
      <c r="B1529" s="3" t="str">
        <f>C1529 &amp; "." &amp; D1529</f>
        <v>Attestations.VersionIsFitNow</v>
      </c>
      <c r="C1529" s="2" t="s">
        <v>5169</v>
      </c>
      <c r="D1529" s="2" t="s">
        <v>5183</v>
      </c>
      <c r="E1529" s="2" t="s">
        <v>2478</v>
      </c>
      <c r="F1529" s="2" t="s">
        <v>2401</v>
      </c>
      <c r="G1529" s="2" t="s">
        <v>5184</v>
      </c>
      <c r="H1529" s="2" t="s">
        <v>2280</v>
      </c>
      <c r="I1529" s="3" t="b">
        <f>OR(E1529 = "calculated", E1529 = "lookup", E1529 = "aggregation")</f>
        <v>1</v>
      </c>
      <c r="J1529" s="3" t="b">
        <f>H1529 &lt;&gt; ""</f>
        <v>1</v>
      </c>
      <c r="K1529" s="3">
        <f>COUNTIFS(FieldDisagreements!D2:D999, A1529)</f>
        <v>0</v>
      </c>
      <c r="L1529" s="3" t="b">
        <f>K1529 &gt; 0</f>
        <v>0</v>
      </c>
      <c r="M1529" s="2" t="s">
        <v>2387</v>
      </c>
    </row>
    <row r="1530">
      <c r="A1530" s="2" t="s">
        <v>5185</v>
      </c>
      <c r="B1530" s="3" t="str">
        <f>C1530 &amp; "." &amp; D1530</f>
        <v>Attestations.FitnessVerdictHasDrifted</v>
      </c>
      <c r="C1530" s="2" t="s">
        <v>5169</v>
      </c>
      <c r="D1530" s="2" t="s">
        <v>5186</v>
      </c>
      <c r="E1530" s="2" t="s">
        <v>2389</v>
      </c>
      <c r="F1530" s="2" t="s">
        <v>2401</v>
      </c>
      <c r="G1530" s="2" t="s">
        <v>5187</v>
      </c>
      <c r="H1530" s="2" t="s">
        <v>2280</v>
      </c>
      <c r="I1530" s="3" t="b">
        <f>OR(E1530 = "calculated", E1530 = "lookup", E1530 = "aggregation")</f>
        <v>1</v>
      </c>
      <c r="J1530" s="3" t="b">
        <f>H1530 &lt;&gt; ""</f>
        <v>1</v>
      </c>
      <c r="K1530" s="3">
        <f>COUNTIFS(FieldDisagreements!D2:D999, A1530)</f>
        <v>0</v>
      </c>
      <c r="L1530" s="3" t="b">
        <f>K1530 &gt; 0</f>
        <v>0</v>
      </c>
      <c r="M1530" s="2" t="s">
        <v>2387</v>
      </c>
    </row>
    <row r="1531">
      <c r="A1531" s="2" t="s">
        <v>5188</v>
      </c>
      <c r="B1531" s="3" t="str">
        <f>C1531 &amp; "." &amp; D1531</f>
        <v>Attestations.AssuranceGradeNow</v>
      </c>
      <c r="C1531" s="2" t="s">
        <v>5169</v>
      </c>
      <c r="D1531" s="2" t="s">
        <v>5189</v>
      </c>
      <c r="E1531" s="2" t="s">
        <v>2478</v>
      </c>
      <c r="F1531" s="2" t="s">
        <v>2386</v>
      </c>
      <c r="G1531" s="2" t="s">
        <v>5190</v>
      </c>
      <c r="H1531" s="2" t="s">
        <v>2280</v>
      </c>
      <c r="I1531" s="3" t="b">
        <f>OR(E1531 = "calculated", E1531 = "lookup", E1531 = "aggregation")</f>
        <v>1</v>
      </c>
      <c r="J1531" s="3" t="b">
        <f>H1531 &lt;&gt; ""</f>
        <v>1</v>
      </c>
      <c r="K1531" s="3">
        <f>COUNTIFS(FieldDisagreements!D2:D999, A1531)</f>
        <v>0</v>
      </c>
      <c r="L1531" s="3" t="b">
        <f>K1531 &gt; 0</f>
        <v>0</v>
      </c>
      <c r="M1531" s="2" t="s">
        <v>2387</v>
      </c>
    </row>
    <row r="1532">
      <c r="A1532" s="2" t="s">
        <v>5191</v>
      </c>
      <c r="B1532" s="3" t="str">
        <f>C1532 &amp; "." &amp; D1532</f>
        <v>Attestations.AssuranceGradeHasDrifted</v>
      </c>
      <c r="C1532" s="2" t="s">
        <v>5169</v>
      </c>
      <c r="D1532" s="2" t="s">
        <v>5192</v>
      </c>
      <c r="E1532" s="2" t="s">
        <v>2389</v>
      </c>
      <c r="F1532" s="2" t="s">
        <v>2401</v>
      </c>
      <c r="G1532" s="2" t="s">
        <v>5193</v>
      </c>
      <c r="H1532" s="2" t="s">
        <v>2280</v>
      </c>
      <c r="I1532" s="3" t="b">
        <f>OR(E1532 = "calculated", E1532 = "lookup", E1532 = "aggregation")</f>
        <v>1</v>
      </c>
      <c r="J1532" s="3" t="b">
        <f>H1532 &lt;&gt; ""</f>
        <v>1</v>
      </c>
      <c r="K1532" s="3">
        <f>COUNTIFS(FieldDisagreements!D2:D999, A1532)</f>
        <v>0</v>
      </c>
      <c r="L1532" s="3" t="b">
        <f>K1532 &gt; 0</f>
        <v>0</v>
      </c>
      <c r="M1532" s="2" t="s">
        <v>2387</v>
      </c>
    </row>
    <row r="1533">
      <c r="A1533" s="2" t="s">
        <v>5194</v>
      </c>
      <c r="B1533" s="3" t="str">
        <f>C1533 &amp; "." &amp; D1533</f>
        <v>Attestations.WouldNotSurviveRestatement</v>
      </c>
      <c r="C1533" s="2" t="s">
        <v>5169</v>
      </c>
      <c r="D1533" s="2" t="s">
        <v>5195</v>
      </c>
      <c r="E1533" s="2" t="s">
        <v>2389</v>
      </c>
      <c r="F1533" s="2" t="s">
        <v>2401</v>
      </c>
      <c r="G1533" s="2" t="s">
        <v>5196</v>
      </c>
      <c r="H1533" s="2" t="s">
        <v>2280</v>
      </c>
      <c r="I1533" s="3" t="b">
        <f>OR(E1533 = "calculated", E1533 = "lookup", E1533 = "aggregation")</f>
        <v>1</v>
      </c>
      <c r="J1533" s="3" t="b">
        <f>H1533 &lt;&gt; ""</f>
        <v>1</v>
      </c>
      <c r="K1533" s="3">
        <f>COUNTIFS(FieldDisagreements!D2:D999, A1533)</f>
        <v>0</v>
      </c>
      <c r="L1533" s="3" t="b">
        <f>K1533 &gt; 0</f>
        <v>0</v>
      </c>
      <c r="M1533" s="2" t="s">
        <v>2387</v>
      </c>
    </row>
    <row r="1534">
      <c r="A1534" s="2" t="s">
        <v>5197</v>
      </c>
      <c r="B1534" s="3" t="str">
        <f>C1534 &amp; "." &amp; D1534</f>
        <v>AppRoleProfiles.AppRoleProfileId</v>
      </c>
      <c r="C1534" s="2" t="s">
        <v>1849</v>
      </c>
      <c r="D1534" s="2" t="s">
        <v>5198</v>
      </c>
      <c r="E1534" s="2" t="s">
        <v>2385</v>
      </c>
      <c r="F1534" s="2" t="s">
        <v>2386</v>
      </c>
      <c r="G1534" s="2"/>
      <c r="H1534" s="2"/>
      <c r="I1534" s="3" t="b">
        <f>OR(E1534 = "calculated", E1534 = "lookup", E1534 = "aggregation")</f>
        <v>0</v>
      </c>
      <c r="J1534" s="3" t="b">
        <f>H1534 &lt;&gt; ""</f>
        <v>0</v>
      </c>
      <c r="K1534" s="3">
        <f>COUNTIFS(FieldDisagreements!D2:D999, A1534)</f>
        <v>0</v>
      </c>
      <c r="L1534" s="3" t="b">
        <f>K1534 &gt; 0</f>
        <v>0</v>
      </c>
      <c r="M1534" s="2" t="s">
        <v>2387</v>
      </c>
    </row>
    <row r="1535">
      <c r="A1535" s="2" t="s">
        <v>5199</v>
      </c>
      <c r="B1535" s="3" t="str">
        <f>C1535 &amp; "." &amp; D1535</f>
        <v>AppRoleProfiles.Name</v>
      </c>
      <c r="C1535" s="2" t="s">
        <v>1849</v>
      </c>
      <c r="D1535" s="2" t="s">
        <v>1</v>
      </c>
      <c r="E1535" s="2" t="s">
        <v>2389</v>
      </c>
      <c r="F1535" s="2" t="s">
        <v>2386</v>
      </c>
      <c r="G1535" s="2" t="s">
        <v>5200</v>
      </c>
      <c r="H1535" s="2"/>
      <c r="I1535" s="3" t="b">
        <f>OR(E1535 = "calculated", E1535 = "lookup", E1535 = "aggregation")</f>
        <v>1</v>
      </c>
      <c r="J1535" s="3" t="b">
        <f>H1535 &lt;&gt; ""</f>
        <v>0</v>
      </c>
      <c r="K1535" s="3">
        <f>COUNTIFS(FieldDisagreements!D2:D999, A1535)</f>
        <v>0</v>
      </c>
      <c r="L1535" s="3" t="b">
        <f>K1535 &gt; 0</f>
        <v>0</v>
      </c>
      <c r="M1535" s="2" t="s">
        <v>2387</v>
      </c>
    </row>
    <row r="1536">
      <c r="A1536" s="2" t="s">
        <v>5201</v>
      </c>
      <c r="B1536" s="3" t="str">
        <f>C1536 &amp; "." &amp; D1536</f>
        <v>AppRoleProfiles.Role</v>
      </c>
      <c r="C1536" s="2" t="s">
        <v>1849</v>
      </c>
      <c r="D1536" s="2" t="s">
        <v>253</v>
      </c>
      <c r="E1536" s="2" t="s">
        <v>2434</v>
      </c>
      <c r="F1536" s="2" t="s">
        <v>2386</v>
      </c>
      <c r="G1536" s="2"/>
      <c r="H1536" s="2"/>
      <c r="I1536" s="3" t="b">
        <f>OR(E1536 = "calculated", E1536 = "lookup", E1536 = "aggregation")</f>
        <v>0</v>
      </c>
      <c r="J1536" s="3" t="b">
        <f>H1536 &lt;&gt; ""</f>
        <v>0</v>
      </c>
      <c r="K1536" s="3">
        <f>COUNTIFS(FieldDisagreements!D2:D999, A1536)</f>
        <v>0</v>
      </c>
      <c r="L1536" s="3" t="b">
        <f>K1536 &gt; 0</f>
        <v>0</v>
      </c>
      <c r="M1536" s="2" t="s">
        <v>2387</v>
      </c>
    </row>
    <row r="1537">
      <c r="A1537" s="2" t="s">
        <v>5202</v>
      </c>
      <c r="B1537" s="3" t="str">
        <f>C1537 &amp; "." &amp; D1537</f>
        <v>AppRoleProfiles.DisplayLabel</v>
      </c>
      <c r="C1537" s="2" t="s">
        <v>1849</v>
      </c>
      <c r="D1537" s="2" t="s">
        <v>5203</v>
      </c>
      <c r="E1537" s="2" t="s">
        <v>2385</v>
      </c>
      <c r="F1537" s="2" t="s">
        <v>2386</v>
      </c>
      <c r="G1537" s="2"/>
      <c r="H1537" s="2"/>
      <c r="I1537" s="3" t="b">
        <f>OR(E1537 = "calculated", E1537 = "lookup", E1537 = "aggregation")</f>
        <v>0</v>
      </c>
      <c r="J1537" s="3" t="b">
        <f>H1537 &lt;&gt; ""</f>
        <v>0</v>
      </c>
      <c r="K1537" s="3">
        <f>COUNTIFS(FieldDisagreements!D2:D999, A1537)</f>
        <v>0</v>
      </c>
      <c r="L1537" s="3" t="b">
        <f>K1537 &gt; 0</f>
        <v>0</v>
      </c>
      <c r="M1537" s="2" t="s">
        <v>2387</v>
      </c>
    </row>
    <row r="1538">
      <c r="A1538" s="2" t="s">
        <v>5204</v>
      </c>
      <c r="B1538" s="3" t="str">
        <f>C1538 &amp; "." &amp; D1538</f>
        <v>AppRoleProfiles.RoleKind</v>
      </c>
      <c r="C1538" s="2" t="s">
        <v>1849</v>
      </c>
      <c r="D1538" s="2" t="s">
        <v>5205</v>
      </c>
      <c r="E1538" s="2" t="s">
        <v>2385</v>
      </c>
      <c r="F1538" s="2" t="s">
        <v>2386</v>
      </c>
      <c r="G1538" s="2"/>
      <c r="H1538" s="2"/>
      <c r="I1538" s="3" t="b">
        <f>OR(E1538 = "calculated", E1538 = "lookup", E1538 = "aggregation")</f>
        <v>0</v>
      </c>
      <c r="J1538" s="3" t="b">
        <f>H1538 &lt;&gt; ""</f>
        <v>0</v>
      </c>
      <c r="K1538" s="3">
        <f>COUNTIFS(FieldDisagreements!D2:D999, A1538)</f>
        <v>0</v>
      </c>
      <c r="L1538" s="3" t="b">
        <f>K1538 &gt; 0</f>
        <v>0</v>
      </c>
      <c r="M1538" s="2" t="s">
        <v>2387</v>
      </c>
    </row>
    <row r="1539">
      <c r="A1539" s="2" t="s">
        <v>5206</v>
      </c>
      <c r="B1539" s="3" t="str">
        <f>C1539 &amp; "." &amp; D1539</f>
        <v>AppRoleProfiles.AccentColor</v>
      </c>
      <c r="C1539" s="2" t="s">
        <v>1849</v>
      </c>
      <c r="D1539" s="2" t="s">
        <v>5207</v>
      </c>
      <c r="E1539" s="2" t="s">
        <v>2385</v>
      </c>
      <c r="F1539" s="2" t="s">
        <v>2386</v>
      </c>
      <c r="G1539" s="2"/>
      <c r="H1539" s="2"/>
      <c r="I1539" s="3" t="b">
        <f>OR(E1539 = "calculated", E1539 = "lookup", E1539 = "aggregation")</f>
        <v>0</v>
      </c>
      <c r="J1539" s="3" t="b">
        <f>H1539 &lt;&gt; ""</f>
        <v>0</v>
      </c>
      <c r="K1539" s="3">
        <f>COUNTIFS(FieldDisagreements!D2:D999, A1539)</f>
        <v>0</v>
      </c>
      <c r="L1539" s="3" t="b">
        <f>K1539 &gt; 0</f>
        <v>0</v>
      </c>
      <c r="M1539" s="2" t="s">
        <v>2387</v>
      </c>
    </row>
    <row r="1540">
      <c r="A1540" s="2" t="s">
        <v>5208</v>
      </c>
      <c r="B1540" s="3" t="str">
        <f>C1540 &amp; "." &amp; D1540</f>
        <v>AppRoleProfiles.IconMark</v>
      </c>
      <c r="C1540" s="2" t="s">
        <v>1849</v>
      </c>
      <c r="D1540" s="2" t="s">
        <v>5209</v>
      </c>
      <c r="E1540" s="2" t="s">
        <v>2385</v>
      </c>
      <c r="F1540" s="2" t="s">
        <v>2386</v>
      </c>
      <c r="G1540" s="2"/>
      <c r="H1540" s="2"/>
      <c r="I1540" s="3" t="b">
        <f>OR(E1540 = "calculated", E1540 = "lookup", E1540 = "aggregation")</f>
        <v>0</v>
      </c>
      <c r="J1540" s="3" t="b">
        <f>H1540 &lt;&gt; ""</f>
        <v>0</v>
      </c>
      <c r="K1540" s="3">
        <f>COUNTIFS(FieldDisagreements!D2:D999, A1540)</f>
        <v>0</v>
      </c>
      <c r="L1540" s="3" t="b">
        <f>K1540 &gt; 0</f>
        <v>0</v>
      </c>
      <c r="M1540" s="2" t="s">
        <v>2387</v>
      </c>
    </row>
    <row r="1541">
      <c r="A1541" s="2" t="s">
        <v>5210</v>
      </c>
      <c r="B1541" s="3" t="str">
        <f>C1541 &amp; "." &amp; D1541</f>
        <v>AppRoleProfiles.IconPngBase64</v>
      </c>
      <c r="C1541" s="2" t="s">
        <v>1849</v>
      </c>
      <c r="D1541" s="2" t="s">
        <v>5211</v>
      </c>
      <c r="E1541" s="2" t="s">
        <v>2385</v>
      </c>
      <c r="F1541" s="2" t="s">
        <v>2386</v>
      </c>
      <c r="G1541" s="2"/>
      <c r="H1541" s="2"/>
      <c r="I1541" s="3" t="b">
        <f>OR(E1541 = "calculated", E1541 = "lookup", E1541 = "aggregation")</f>
        <v>0</v>
      </c>
      <c r="J1541" s="3" t="b">
        <f>H1541 &lt;&gt; ""</f>
        <v>0</v>
      </c>
      <c r="K1541" s="3">
        <f>COUNTIFS(FieldDisagreements!D2:D999, A1541)</f>
        <v>0</v>
      </c>
      <c r="L1541" s="3" t="b">
        <f>K1541 &gt; 0</f>
        <v>0</v>
      </c>
      <c r="M1541" s="2" t="s">
        <v>2387</v>
      </c>
    </row>
    <row r="1542">
      <c r="A1542" s="2" t="s">
        <v>5212</v>
      </c>
      <c r="B1542" s="3" t="str">
        <f>C1542 &amp; "." &amp; D1542</f>
        <v>AppRoleProfiles.Pitch</v>
      </c>
      <c r="C1542" s="2" t="s">
        <v>1849</v>
      </c>
      <c r="D1542" s="2" t="s">
        <v>5213</v>
      </c>
      <c r="E1542" s="2" t="s">
        <v>2385</v>
      </c>
      <c r="F1542" s="2" t="s">
        <v>2386</v>
      </c>
      <c r="G1542" s="2"/>
      <c r="H1542" s="2"/>
      <c r="I1542" s="3" t="b">
        <f>OR(E1542 = "calculated", E1542 = "lookup", E1542 = "aggregation")</f>
        <v>0</v>
      </c>
      <c r="J1542" s="3" t="b">
        <f>H1542 &lt;&gt; ""</f>
        <v>0</v>
      </c>
      <c r="K1542" s="3">
        <f>COUNTIFS(FieldDisagreements!D2:D999, A1542)</f>
        <v>0</v>
      </c>
      <c r="L1542" s="3" t="b">
        <f>K1542 &gt; 0</f>
        <v>0</v>
      </c>
      <c r="M1542" s="2" t="s">
        <v>2387</v>
      </c>
    </row>
    <row r="1543">
      <c r="A1543" s="2" t="s">
        <v>5214</v>
      </c>
      <c r="B1543" s="3" t="str">
        <f>C1543 &amp; "." &amp; D1543</f>
        <v>AppRoleProfiles.SortOrder</v>
      </c>
      <c r="C1543" s="2" t="s">
        <v>1849</v>
      </c>
      <c r="D1543" s="2" t="s">
        <v>5215</v>
      </c>
      <c r="E1543" s="2" t="s">
        <v>2385</v>
      </c>
      <c r="F1543" s="2" t="s">
        <v>2444</v>
      </c>
      <c r="G1543" s="2"/>
      <c r="H1543" s="2"/>
      <c r="I1543" s="3" t="b">
        <f>OR(E1543 = "calculated", E1543 = "lookup", E1543 = "aggregation")</f>
        <v>0</v>
      </c>
      <c r="J1543" s="3" t="b">
        <f>H1543 &lt;&gt; ""</f>
        <v>0</v>
      </c>
      <c r="K1543" s="3">
        <f>COUNTIFS(FieldDisagreements!D2:D999, A1543)</f>
        <v>0</v>
      </c>
      <c r="L1543" s="3" t="b">
        <f>K1543 &gt; 0</f>
        <v>0</v>
      </c>
      <c r="M1543" s="2" t="s">
        <v>2387</v>
      </c>
    </row>
    <row r="1544">
      <c r="A1544" s="2" t="s">
        <v>5216</v>
      </c>
      <c r="B1544" s="3" t="str">
        <f>C1544 &amp; "." &amp; D1544</f>
        <v>AppRoleProfiles.RouteCount</v>
      </c>
      <c r="C1544" s="2" t="s">
        <v>1849</v>
      </c>
      <c r="D1544" s="2" t="s">
        <v>5217</v>
      </c>
      <c r="E1544" s="2" t="s">
        <v>2438</v>
      </c>
      <c r="F1544" s="2" t="s">
        <v>2444</v>
      </c>
      <c r="G1544" s="2" t="s">
        <v>5218</v>
      </c>
      <c r="H1544" s="2"/>
      <c r="I1544" s="3" t="b">
        <f>OR(E1544 = "calculated", E1544 = "lookup", E1544 = "aggregation")</f>
        <v>1</v>
      </c>
      <c r="J1544" s="3" t="b">
        <f>H1544 &lt;&gt; ""</f>
        <v>0</v>
      </c>
      <c r="K1544" s="3">
        <f>COUNTIFS(FieldDisagreements!D2:D999, A1544)</f>
        <v>1</v>
      </c>
      <c r="L1544" s="3" t="b">
        <f>K1544 &gt; 0</f>
        <v>1</v>
      </c>
      <c r="M1544" s="2" t="s">
        <v>2387</v>
      </c>
    </row>
    <row r="1545">
      <c r="A1545" s="2" t="s">
        <v>5219</v>
      </c>
      <c r="B1545" s="3" t="str">
        <f>C1545 &amp; "." &amp; D1545</f>
        <v>AppRoleProfiles.SemanticTypeIri</v>
      </c>
      <c r="C1545" s="2" t="s">
        <v>1849</v>
      </c>
      <c r="D1545" s="2" t="s">
        <v>94</v>
      </c>
      <c r="E1545" s="2" t="s">
        <v>2385</v>
      </c>
      <c r="F1545" s="2" t="s">
        <v>2386</v>
      </c>
      <c r="G1545" s="2"/>
      <c r="H1545" s="2"/>
      <c r="I1545" s="3" t="b">
        <f>OR(E1545 = "calculated", E1545 = "lookup", E1545 = "aggregation")</f>
        <v>0</v>
      </c>
      <c r="J1545" s="3" t="b">
        <f>H1545 &lt;&gt; ""</f>
        <v>0</v>
      </c>
      <c r="K1545" s="3">
        <f>COUNTIFS(FieldDisagreements!D2:D999, A1545)</f>
        <v>0</v>
      </c>
      <c r="L1545" s="3" t="b">
        <f>K1545 &gt; 0</f>
        <v>0</v>
      </c>
      <c r="M1545" s="2" t="s">
        <v>2387</v>
      </c>
    </row>
    <row r="1546">
      <c r="A1546" s="2" t="s">
        <v>5220</v>
      </c>
      <c r="B1546" s="3" t="str">
        <f>C1546 &amp; "." &amp; D1546</f>
        <v>AppNavGroups.AppNavGroupId</v>
      </c>
      <c r="C1546" s="2" t="s">
        <v>1853</v>
      </c>
      <c r="D1546" s="2" t="s">
        <v>5221</v>
      </c>
      <c r="E1546" s="2" t="s">
        <v>2385</v>
      </c>
      <c r="F1546" s="2" t="s">
        <v>2386</v>
      </c>
      <c r="G1546" s="2"/>
      <c r="H1546" s="2"/>
      <c r="I1546" s="3" t="b">
        <f>OR(E1546 = "calculated", E1546 = "lookup", E1546 = "aggregation")</f>
        <v>0</v>
      </c>
      <c r="J1546" s="3" t="b">
        <f>H1546 &lt;&gt; ""</f>
        <v>0</v>
      </c>
      <c r="K1546" s="3">
        <f>COUNTIFS(FieldDisagreements!D2:D999, A1546)</f>
        <v>0</v>
      </c>
      <c r="L1546" s="3" t="b">
        <f>K1546 &gt; 0</f>
        <v>0</v>
      </c>
      <c r="M1546" s="2" t="s">
        <v>2387</v>
      </c>
    </row>
    <row r="1547">
      <c r="A1547" s="2" t="s">
        <v>5222</v>
      </c>
      <c r="B1547" s="3" t="str">
        <f>C1547 &amp; "." &amp; D1547</f>
        <v>AppNavGroups.Name</v>
      </c>
      <c r="C1547" s="2" t="s">
        <v>1853</v>
      </c>
      <c r="D1547" s="2" t="s">
        <v>1</v>
      </c>
      <c r="E1547" s="2" t="s">
        <v>2389</v>
      </c>
      <c r="F1547" s="2" t="s">
        <v>2386</v>
      </c>
      <c r="G1547" s="2" t="s">
        <v>5223</v>
      </c>
      <c r="H1547" s="2"/>
      <c r="I1547" s="3" t="b">
        <f>OR(E1547 = "calculated", E1547 = "lookup", E1547 = "aggregation")</f>
        <v>1</v>
      </c>
      <c r="J1547" s="3" t="b">
        <f>H1547 &lt;&gt; ""</f>
        <v>0</v>
      </c>
      <c r="K1547" s="3">
        <f>COUNTIFS(FieldDisagreements!D2:D999, A1547)</f>
        <v>0</v>
      </c>
      <c r="L1547" s="3" t="b">
        <f>K1547 &gt; 0</f>
        <v>0</v>
      </c>
      <c r="M1547" s="2" t="s">
        <v>2387</v>
      </c>
    </row>
    <row r="1548">
      <c r="A1548" s="2" t="s">
        <v>5224</v>
      </c>
      <c r="B1548" s="3" t="str">
        <f>C1548 &amp; "." &amp; D1548</f>
        <v>AppNavGroups.GroupLabel</v>
      </c>
      <c r="C1548" s="2" t="s">
        <v>1853</v>
      </c>
      <c r="D1548" s="2" t="s">
        <v>5225</v>
      </c>
      <c r="E1548" s="2" t="s">
        <v>2385</v>
      </c>
      <c r="F1548" s="2" t="s">
        <v>2386</v>
      </c>
      <c r="G1548" s="2"/>
      <c r="H1548" s="2"/>
      <c r="I1548" s="3" t="b">
        <f>OR(E1548 = "calculated", E1548 = "lookup", E1548 = "aggregation")</f>
        <v>0</v>
      </c>
      <c r="J1548" s="3" t="b">
        <f>H1548 &lt;&gt; ""</f>
        <v>0</v>
      </c>
      <c r="K1548" s="3">
        <f>COUNTIFS(FieldDisagreements!D2:D999, A1548)</f>
        <v>0</v>
      </c>
      <c r="L1548" s="3" t="b">
        <f>K1548 &gt; 0</f>
        <v>0</v>
      </c>
      <c r="M1548" s="2" t="s">
        <v>2387</v>
      </c>
    </row>
    <row r="1549">
      <c r="A1549" s="2" t="s">
        <v>5226</v>
      </c>
      <c r="B1549" s="3" t="str">
        <f>C1549 &amp; "." &amp; D1549</f>
        <v>AppNavGroups.RouteCount</v>
      </c>
      <c r="C1549" s="2" t="s">
        <v>1853</v>
      </c>
      <c r="D1549" s="2" t="s">
        <v>5217</v>
      </c>
      <c r="E1549" s="2" t="s">
        <v>2438</v>
      </c>
      <c r="F1549" s="2" t="s">
        <v>2444</v>
      </c>
      <c r="G1549" s="2" t="s">
        <v>5227</v>
      </c>
      <c r="H1549" s="2"/>
      <c r="I1549" s="3" t="b">
        <f>OR(E1549 = "calculated", E1549 = "lookup", E1549 = "aggregation")</f>
        <v>1</v>
      </c>
      <c r="J1549" s="3" t="b">
        <f>H1549 &lt;&gt; ""</f>
        <v>0</v>
      </c>
      <c r="K1549" s="3">
        <f>COUNTIFS(FieldDisagreements!D2:D999, A1549)</f>
        <v>0</v>
      </c>
      <c r="L1549" s="3" t="b">
        <f>K1549 &gt; 0</f>
        <v>0</v>
      </c>
      <c r="M1549" s="2" t="s">
        <v>2387</v>
      </c>
    </row>
    <row r="1550">
      <c r="A1550" s="2" t="s">
        <v>5228</v>
      </c>
      <c r="B1550" s="3" t="str">
        <f>C1550 &amp; "." &amp; D1550</f>
        <v>AppNavGroups.SemanticTypeIri</v>
      </c>
      <c r="C1550" s="2" t="s">
        <v>1853</v>
      </c>
      <c r="D1550" s="2" t="s">
        <v>94</v>
      </c>
      <c r="E1550" s="2" t="s">
        <v>2385</v>
      </c>
      <c r="F1550" s="2" t="s">
        <v>2386</v>
      </c>
      <c r="G1550" s="2"/>
      <c r="H1550" s="2"/>
      <c r="I1550" s="3" t="b">
        <f>OR(E1550 = "calculated", E1550 = "lookup", E1550 = "aggregation")</f>
        <v>0</v>
      </c>
      <c r="J1550" s="3" t="b">
        <f>H1550 &lt;&gt; ""</f>
        <v>0</v>
      </c>
      <c r="K1550" s="3">
        <f>COUNTIFS(FieldDisagreements!D2:D999, A1550)</f>
        <v>0</v>
      </c>
      <c r="L1550" s="3" t="b">
        <f>K1550 &gt; 0</f>
        <v>0</v>
      </c>
      <c r="M1550" s="2" t="s">
        <v>2387</v>
      </c>
    </row>
    <row r="1551">
      <c r="A1551" s="2" t="s">
        <v>5229</v>
      </c>
      <c r="B1551" s="3" t="str">
        <f>C1551 &amp; "." &amp; D1551</f>
        <v>AppRoutes.AppRouteId</v>
      </c>
      <c r="C1551" s="2" t="s">
        <v>1857</v>
      </c>
      <c r="D1551" s="2" t="s">
        <v>5230</v>
      </c>
      <c r="E1551" s="2" t="s">
        <v>2385</v>
      </c>
      <c r="F1551" s="2" t="s">
        <v>2386</v>
      </c>
      <c r="G1551" s="2"/>
      <c r="H1551" s="2"/>
      <c r="I1551" s="3" t="b">
        <f>OR(E1551 = "calculated", E1551 = "lookup", E1551 = "aggregation")</f>
        <v>0</v>
      </c>
      <c r="J1551" s="3" t="b">
        <f>H1551 &lt;&gt; ""</f>
        <v>0</v>
      </c>
      <c r="K1551" s="3">
        <f>COUNTIFS(FieldDisagreements!D2:D999, A1551)</f>
        <v>0</v>
      </c>
      <c r="L1551" s="3" t="b">
        <f>K1551 &gt; 0</f>
        <v>0</v>
      </c>
      <c r="M1551" s="2" t="s">
        <v>2387</v>
      </c>
    </row>
    <row r="1552">
      <c r="A1552" s="2" t="s">
        <v>5231</v>
      </c>
      <c r="B1552" s="3" t="str">
        <f>C1552 &amp; "." &amp; D1552</f>
        <v>AppRoutes.Name</v>
      </c>
      <c r="C1552" s="2" t="s">
        <v>1857</v>
      </c>
      <c r="D1552" s="2" t="s">
        <v>1</v>
      </c>
      <c r="E1552" s="2" t="s">
        <v>2389</v>
      </c>
      <c r="F1552" s="2" t="s">
        <v>2386</v>
      </c>
      <c r="G1552" s="2" t="s">
        <v>5232</v>
      </c>
      <c r="H1552" s="2"/>
      <c r="I1552" s="3" t="b">
        <f>OR(E1552 = "calculated", E1552 = "lookup", E1552 = "aggregation")</f>
        <v>1</v>
      </c>
      <c r="J1552" s="3" t="b">
        <f>H1552 &lt;&gt; ""</f>
        <v>0</v>
      </c>
      <c r="K1552" s="3">
        <f>COUNTIFS(FieldDisagreements!D2:D999, A1552)</f>
        <v>0</v>
      </c>
      <c r="L1552" s="3" t="b">
        <f>K1552 &gt; 0</f>
        <v>0</v>
      </c>
      <c r="M1552" s="2" t="s">
        <v>2387</v>
      </c>
    </row>
    <row r="1553">
      <c r="A1553" s="2" t="s">
        <v>5233</v>
      </c>
      <c r="B1553" s="3" t="str">
        <f>C1553 &amp; "." &amp; D1553</f>
        <v>AppRoutes.RoutePath</v>
      </c>
      <c r="C1553" s="2" t="s">
        <v>1857</v>
      </c>
      <c r="D1553" s="2" t="s">
        <v>5234</v>
      </c>
      <c r="E1553" s="2" t="s">
        <v>2385</v>
      </c>
      <c r="F1553" s="2" t="s">
        <v>2386</v>
      </c>
      <c r="G1553" s="2"/>
      <c r="H1553" s="2"/>
      <c r="I1553" s="3" t="b">
        <f>OR(E1553 = "calculated", E1553 = "lookup", E1553 = "aggregation")</f>
        <v>0</v>
      </c>
      <c r="J1553" s="3" t="b">
        <f>H1553 &lt;&gt; ""</f>
        <v>0</v>
      </c>
      <c r="K1553" s="3">
        <f>COUNTIFS(FieldDisagreements!D2:D999, A1553)</f>
        <v>0</v>
      </c>
      <c r="L1553" s="3" t="b">
        <f>K1553 &gt; 0</f>
        <v>0</v>
      </c>
      <c r="M1553" s="2" t="s">
        <v>2387</v>
      </c>
    </row>
    <row r="1554">
      <c r="A1554" s="2" t="s">
        <v>5235</v>
      </c>
      <c r="B1554" s="3" t="str">
        <f>C1554 &amp; "." &amp; D1554</f>
        <v>AppRoutes.RouteName</v>
      </c>
      <c r="C1554" s="2" t="s">
        <v>1857</v>
      </c>
      <c r="D1554" s="2" t="s">
        <v>5236</v>
      </c>
      <c r="E1554" s="2" t="s">
        <v>2385</v>
      </c>
      <c r="F1554" s="2" t="s">
        <v>2386</v>
      </c>
      <c r="G1554" s="2"/>
      <c r="H1554" s="2"/>
      <c r="I1554" s="3" t="b">
        <f>OR(E1554 = "calculated", E1554 = "lookup", E1554 = "aggregation")</f>
        <v>0</v>
      </c>
      <c r="J1554" s="3" t="b">
        <f>H1554 &lt;&gt; ""</f>
        <v>0</v>
      </c>
      <c r="K1554" s="3">
        <f>COUNTIFS(FieldDisagreements!D2:D999, A1554)</f>
        <v>0</v>
      </c>
      <c r="L1554" s="3" t="b">
        <f>K1554 &gt; 0</f>
        <v>0</v>
      </c>
      <c r="M1554" s="2" t="s">
        <v>2387</v>
      </c>
    </row>
    <row r="1555">
      <c r="A1555" s="2" t="s">
        <v>5237</v>
      </c>
      <c r="B1555" s="3" t="str">
        <f>C1555 &amp; "." &amp; D1555</f>
        <v>AppRoutes.Surface</v>
      </c>
      <c r="C1555" s="2" t="s">
        <v>1857</v>
      </c>
      <c r="D1555" s="2" t="s">
        <v>5238</v>
      </c>
      <c r="E1555" s="2" t="s">
        <v>2385</v>
      </c>
      <c r="F1555" s="2" t="s">
        <v>2386</v>
      </c>
      <c r="G1555" s="2"/>
      <c r="H1555" s="2"/>
      <c r="I1555" s="3" t="b">
        <f>OR(E1555 = "calculated", E1555 = "lookup", E1555 = "aggregation")</f>
        <v>0</v>
      </c>
      <c r="J1555" s="3" t="b">
        <f>H1555 &lt;&gt; ""</f>
        <v>0</v>
      </c>
      <c r="K1555" s="3">
        <f>COUNTIFS(FieldDisagreements!D2:D999, A1555)</f>
        <v>0</v>
      </c>
      <c r="L1555" s="3" t="b">
        <f>K1555 &gt; 0</f>
        <v>0</v>
      </c>
      <c r="M1555" s="2" t="s">
        <v>2387</v>
      </c>
    </row>
    <row r="1556">
      <c r="A1556" s="2" t="s">
        <v>5239</v>
      </c>
      <c r="B1556" s="3" t="str">
        <f>C1556 &amp; "." &amp; D1556</f>
        <v>AppRoutes.OwningRole</v>
      </c>
      <c r="C1556" s="2" t="s">
        <v>1857</v>
      </c>
      <c r="D1556" s="2" t="s">
        <v>5240</v>
      </c>
      <c r="E1556" s="2" t="s">
        <v>2434</v>
      </c>
      <c r="F1556" s="2" t="s">
        <v>2386</v>
      </c>
      <c r="G1556" s="2"/>
      <c r="H1556" s="2"/>
      <c r="I1556" s="3" t="b">
        <f>OR(E1556 = "calculated", E1556 = "lookup", E1556 = "aggregation")</f>
        <v>0</v>
      </c>
      <c r="J1556" s="3" t="b">
        <f>H1556 &lt;&gt; ""</f>
        <v>0</v>
      </c>
      <c r="K1556" s="3">
        <f>COUNTIFS(FieldDisagreements!D2:D999, A1556)</f>
        <v>0</v>
      </c>
      <c r="L1556" s="3" t="b">
        <f>K1556 &gt; 0</f>
        <v>0</v>
      </c>
      <c r="M1556" s="2" t="s">
        <v>2387</v>
      </c>
    </row>
    <row r="1557">
      <c r="A1557" s="2" t="s">
        <v>5241</v>
      </c>
      <c r="B1557" s="3" t="str">
        <f>C1557 &amp; "." &amp; D1557</f>
        <v>AppRoutes.NavGroup</v>
      </c>
      <c r="C1557" s="2" t="s">
        <v>1857</v>
      </c>
      <c r="D1557" s="2" t="s">
        <v>5242</v>
      </c>
      <c r="E1557" s="2" t="s">
        <v>2434</v>
      </c>
      <c r="F1557" s="2" t="s">
        <v>2386</v>
      </c>
      <c r="G1557" s="2"/>
      <c r="H1557" s="2"/>
      <c r="I1557" s="3" t="b">
        <f>OR(E1557 = "calculated", E1557 = "lookup", E1557 = "aggregation")</f>
        <v>0</v>
      </c>
      <c r="J1557" s="3" t="b">
        <f>H1557 &lt;&gt; ""</f>
        <v>0</v>
      </c>
      <c r="K1557" s="3">
        <f>COUNTIFS(FieldDisagreements!D2:D999, A1557)</f>
        <v>0</v>
      </c>
      <c r="L1557" s="3" t="b">
        <f>K1557 &gt; 0</f>
        <v>0</v>
      </c>
      <c r="M1557" s="2" t="s">
        <v>2387</v>
      </c>
    </row>
    <row r="1558">
      <c r="A1558" s="2" t="s">
        <v>5243</v>
      </c>
      <c r="B1558" s="3" t="str">
        <f>C1558 &amp; "." &amp; D1558</f>
        <v>AppRoutes.NavOrder</v>
      </c>
      <c r="C1558" s="2" t="s">
        <v>1857</v>
      </c>
      <c r="D1558" s="2" t="s">
        <v>5244</v>
      </c>
      <c r="E1558" s="2" t="s">
        <v>2385</v>
      </c>
      <c r="F1558" s="2" t="s">
        <v>2444</v>
      </c>
      <c r="G1558" s="2"/>
      <c r="H1558" s="2"/>
      <c r="I1558" s="3" t="b">
        <f>OR(E1558 = "calculated", E1558 = "lookup", E1558 = "aggregation")</f>
        <v>0</v>
      </c>
      <c r="J1558" s="3" t="b">
        <f>H1558 &lt;&gt; ""</f>
        <v>0</v>
      </c>
      <c r="K1558" s="3">
        <f>COUNTIFS(FieldDisagreements!D2:D999, A1558)</f>
        <v>0</v>
      </c>
      <c r="L1558" s="3" t="b">
        <f>K1558 &gt; 0</f>
        <v>0</v>
      </c>
      <c r="M1558" s="2" t="s">
        <v>2387</v>
      </c>
    </row>
    <row r="1559">
      <c r="A1559" s="2" t="s">
        <v>5245</v>
      </c>
      <c r="B1559" s="3" t="str">
        <f>C1559 &amp; "." &amp; D1559</f>
        <v>AppRoutes.RouteKind</v>
      </c>
      <c r="C1559" s="2" t="s">
        <v>1857</v>
      </c>
      <c r="D1559" s="2" t="s">
        <v>5246</v>
      </c>
      <c r="E1559" s="2" t="s">
        <v>2385</v>
      </c>
      <c r="F1559" s="2" t="s">
        <v>2386</v>
      </c>
      <c r="G1559" s="2"/>
      <c r="H1559" s="2"/>
      <c r="I1559" s="3" t="b">
        <f>OR(E1559 = "calculated", E1559 = "lookup", E1559 = "aggregation")</f>
        <v>0</v>
      </c>
      <c r="J1559" s="3" t="b">
        <f>H1559 &lt;&gt; ""</f>
        <v>0</v>
      </c>
      <c r="K1559" s="3">
        <f>COUNTIFS(FieldDisagreements!D2:D999, A1559)</f>
        <v>0</v>
      </c>
      <c r="L1559" s="3" t="b">
        <f>K1559 &gt; 0</f>
        <v>0</v>
      </c>
      <c r="M1559" s="2" t="s">
        <v>2387</v>
      </c>
    </row>
    <row r="1560">
      <c r="A1560" s="2" t="s">
        <v>5247</v>
      </c>
      <c r="B1560" s="3" t="str">
        <f>C1560 &amp; "." &amp; D1560</f>
        <v>AppRoutes.Purpose</v>
      </c>
      <c r="C1560" s="2" t="s">
        <v>1857</v>
      </c>
      <c r="D1560" s="2" t="s">
        <v>327</v>
      </c>
      <c r="E1560" s="2" t="s">
        <v>2385</v>
      </c>
      <c r="F1560" s="2" t="s">
        <v>2386</v>
      </c>
      <c r="G1560" s="2"/>
      <c r="H1560" s="2"/>
      <c r="I1560" s="3" t="b">
        <f>OR(E1560 = "calculated", E1560 = "lookup", E1560 = "aggregation")</f>
        <v>0</v>
      </c>
      <c r="J1560" s="3" t="b">
        <f>H1560 &lt;&gt; ""</f>
        <v>0</v>
      </c>
      <c r="K1560" s="3">
        <f>COUNTIFS(FieldDisagreements!D2:D999, A1560)</f>
        <v>0</v>
      </c>
      <c r="L1560" s="3" t="b">
        <f>K1560 &gt; 0</f>
        <v>0</v>
      </c>
      <c r="M1560" s="2" t="s">
        <v>2387</v>
      </c>
    </row>
    <row r="1561">
      <c r="A1561" s="2" t="s">
        <v>5248</v>
      </c>
      <c r="B1561" s="3" t="str">
        <f>C1561 &amp; "." &amp; D1561</f>
        <v>AppRoutes.LayoutHints</v>
      </c>
      <c r="C1561" s="2" t="s">
        <v>1857</v>
      </c>
      <c r="D1561" s="2" t="s">
        <v>5249</v>
      </c>
      <c r="E1561" s="2" t="s">
        <v>2385</v>
      </c>
      <c r="F1561" s="2" t="s">
        <v>2386</v>
      </c>
      <c r="G1561" s="2"/>
      <c r="H1561" s="2"/>
      <c r="I1561" s="3" t="b">
        <f>OR(E1561 = "calculated", E1561 = "lookup", E1561 = "aggregation")</f>
        <v>0</v>
      </c>
      <c r="J1561" s="3" t="b">
        <f>H1561 &lt;&gt; ""</f>
        <v>0</v>
      </c>
      <c r="K1561" s="3">
        <f>COUNTIFS(FieldDisagreements!D2:D999, A1561)</f>
        <v>0</v>
      </c>
      <c r="L1561" s="3" t="b">
        <f>K1561 &gt; 0</f>
        <v>0</v>
      </c>
      <c r="M1561" s="2" t="s">
        <v>2387</v>
      </c>
    </row>
    <row r="1562">
      <c r="A1562" s="2" t="s">
        <v>5250</v>
      </c>
      <c r="B1562" s="3" t="str">
        <f>C1562 &amp; "." &amp; D1562</f>
        <v>AppRoutes.IsInNav</v>
      </c>
      <c r="C1562" s="2" t="s">
        <v>1857</v>
      </c>
      <c r="D1562" s="2" t="s">
        <v>5251</v>
      </c>
      <c r="E1562" s="2" t="s">
        <v>2389</v>
      </c>
      <c r="F1562" s="2" t="s">
        <v>2401</v>
      </c>
      <c r="G1562" s="2" t="s">
        <v>5252</v>
      </c>
      <c r="H1562" s="2"/>
      <c r="I1562" s="3" t="b">
        <f>OR(E1562 = "calculated", E1562 = "lookup", E1562 = "aggregation")</f>
        <v>1</v>
      </c>
      <c r="J1562" s="3" t="b">
        <f>H1562 &lt;&gt; ""</f>
        <v>0</v>
      </c>
      <c r="K1562" s="3">
        <f>COUNTIFS(FieldDisagreements!D2:D999, A1562)</f>
        <v>0</v>
      </c>
      <c r="L1562" s="3" t="b">
        <f>K1562 &gt; 0</f>
        <v>0</v>
      </c>
      <c r="M1562" s="2" t="s">
        <v>2387</v>
      </c>
    </row>
    <row r="1563">
      <c r="A1563" s="2" t="s">
        <v>5253</v>
      </c>
      <c r="B1563" s="3" t="str">
        <f>C1563 &amp; "." &amp; D1563</f>
        <v>AppRoutes.IsShared</v>
      </c>
      <c r="C1563" s="2" t="s">
        <v>1857</v>
      </c>
      <c r="D1563" s="2" t="s">
        <v>5254</v>
      </c>
      <c r="E1563" s="2" t="s">
        <v>2389</v>
      </c>
      <c r="F1563" s="2" t="s">
        <v>2401</v>
      </c>
      <c r="G1563" s="2" t="s">
        <v>5255</v>
      </c>
      <c r="H1563" s="2"/>
      <c r="I1563" s="3" t="b">
        <f>OR(E1563 = "calculated", E1563 = "lookup", E1563 = "aggregation")</f>
        <v>1</v>
      </c>
      <c r="J1563" s="3" t="b">
        <f>H1563 &lt;&gt; ""</f>
        <v>0</v>
      </c>
      <c r="K1563" s="3">
        <f>COUNTIFS(FieldDisagreements!D2:D999, A1563)</f>
        <v>0</v>
      </c>
      <c r="L1563" s="3" t="b">
        <f>K1563 &gt; 0</f>
        <v>0</v>
      </c>
      <c r="M1563" s="2" t="s">
        <v>2387</v>
      </c>
    </row>
    <row r="1564">
      <c r="A1564" s="2" t="s">
        <v>5256</v>
      </c>
      <c r="B1564" s="3" t="str">
        <f>C1564 &amp; "." &amp; D1564</f>
        <v>AppRoutes.IsMaintainer</v>
      </c>
      <c r="C1564" s="2" t="s">
        <v>1857</v>
      </c>
      <c r="D1564" s="2" t="s">
        <v>5257</v>
      </c>
      <c r="E1564" s="2" t="s">
        <v>2389</v>
      </c>
      <c r="F1564" s="2" t="s">
        <v>2401</v>
      </c>
      <c r="G1564" s="2" t="s">
        <v>5258</v>
      </c>
      <c r="H1564" s="2"/>
      <c r="I1564" s="3" t="b">
        <f>OR(E1564 = "calculated", E1564 = "lookup", E1564 = "aggregation")</f>
        <v>1</v>
      </c>
      <c r="J1564" s="3" t="b">
        <f>H1564 &lt;&gt; ""</f>
        <v>0</v>
      </c>
      <c r="K1564" s="3">
        <f>COUNTIFS(FieldDisagreements!D2:D999, A1564)</f>
        <v>0</v>
      </c>
      <c r="L1564" s="3" t="b">
        <f>K1564 &gt; 0</f>
        <v>0</v>
      </c>
      <c r="M1564" s="2" t="s">
        <v>2387</v>
      </c>
    </row>
    <row r="1565">
      <c r="A1565" s="2" t="s">
        <v>5259</v>
      </c>
      <c r="B1565" s="3" t="str">
        <f>C1565 &amp; "." &amp; D1565</f>
        <v>AppRoutes.QuestionCount</v>
      </c>
      <c r="C1565" s="2" t="s">
        <v>1857</v>
      </c>
      <c r="D1565" s="2" t="s">
        <v>1912</v>
      </c>
      <c r="E1565" s="2" t="s">
        <v>2438</v>
      </c>
      <c r="F1565" s="2" t="s">
        <v>2444</v>
      </c>
      <c r="G1565" s="2" t="s">
        <v>5260</v>
      </c>
      <c r="H1565" s="2"/>
      <c r="I1565" s="3" t="b">
        <f>OR(E1565 = "calculated", E1565 = "lookup", E1565 = "aggregation")</f>
        <v>1</v>
      </c>
      <c r="J1565" s="3" t="b">
        <f>H1565 &lt;&gt; ""</f>
        <v>0</v>
      </c>
      <c r="K1565" s="3">
        <f>COUNTIFS(FieldDisagreements!D2:D999, A1565)</f>
        <v>0</v>
      </c>
      <c r="L1565" s="3" t="b">
        <f>K1565 &gt; 0</f>
        <v>0</v>
      </c>
      <c r="M1565" s="2" t="s">
        <v>2387</v>
      </c>
    </row>
    <row r="1566">
      <c r="A1566" s="2" t="s">
        <v>5261</v>
      </c>
      <c r="B1566" s="3" t="str">
        <f>C1566 &amp; "." &amp; D1566</f>
        <v>AppRoutes.ReferenceCount</v>
      </c>
      <c r="C1566" s="2" t="s">
        <v>1857</v>
      </c>
      <c r="D1566" s="2" t="s">
        <v>5262</v>
      </c>
      <c r="E1566" s="2" t="s">
        <v>2438</v>
      </c>
      <c r="F1566" s="2" t="s">
        <v>2444</v>
      </c>
      <c r="G1566" s="2" t="s">
        <v>5263</v>
      </c>
      <c r="H1566" s="2"/>
      <c r="I1566" s="3" t="b">
        <f>OR(E1566 = "calculated", E1566 = "lookup", E1566 = "aggregation")</f>
        <v>1</v>
      </c>
      <c r="J1566" s="3" t="b">
        <f>H1566 &lt;&gt; ""</f>
        <v>0</v>
      </c>
      <c r="K1566" s="3">
        <f>COUNTIFS(FieldDisagreements!D2:D999, A1566)</f>
        <v>0</v>
      </c>
      <c r="L1566" s="3" t="b">
        <f>K1566 &gt; 0</f>
        <v>0</v>
      </c>
      <c r="M1566" s="2" t="s">
        <v>2387</v>
      </c>
    </row>
    <row r="1567">
      <c r="A1567" s="2" t="s">
        <v>5264</v>
      </c>
      <c r="B1567" s="3" t="str">
        <f>C1567 &amp; "." &amp; D1567</f>
        <v>AppRoutes.AnswersNoQuestion</v>
      </c>
      <c r="C1567" s="2" t="s">
        <v>1857</v>
      </c>
      <c r="D1567" s="2" t="s">
        <v>5265</v>
      </c>
      <c r="E1567" s="2" t="s">
        <v>2389</v>
      </c>
      <c r="F1567" s="2" t="s">
        <v>2401</v>
      </c>
      <c r="G1567" s="2" t="s">
        <v>5266</v>
      </c>
      <c r="H1567" s="2"/>
      <c r="I1567" s="3" t="b">
        <f>OR(E1567 = "calculated", E1567 = "lookup", E1567 = "aggregation")</f>
        <v>1</v>
      </c>
      <c r="J1567" s="3" t="b">
        <f>H1567 &lt;&gt; ""</f>
        <v>0</v>
      </c>
      <c r="K1567" s="3">
        <f>COUNTIFS(FieldDisagreements!D2:D999, A1567)</f>
        <v>0</v>
      </c>
      <c r="L1567" s="3" t="b">
        <f>K1567 &gt; 0</f>
        <v>0</v>
      </c>
      <c r="M1567" s="2" t="s">
        <v>2387</v>
      </c>
    </row>
    <row r="1568">
      <c r="A1568" s="2" t="s">
        <v>5267</v>
      </c>
      <c r="B1568" s="3" t="str">
        <f>C1568 &amp; "." &amp; D1568</f>
        <v>AppRoutes.SemanticTypeIri</v>
      </c>
      <c r="C1568" s="2" t="s">
        <v>1857</v>
      </c>
      <c r="D1568" s="2" t="s">
        <v>94</v>
      </c>
      <c r="E1568" s="2" t="s">
        <v>2385</v>
      </c>
      <c r="F1568" s="2" t="s">
        <v>2386</v>
      </c>
      <c r="G1568" s="2"/>
      <c r="H1568" s="2"/>
      <c r="I1568" s="3" t="b">
        <f>OR(E1568 = "calculated", E1568 = "lookup", E1568 = "aggregation")</f>
        <v>0</v>
      </c>
      <c r="J1568" s="3" t="b">
        <f>H1568 &lt;&gt; ""</f>
        <v>0</v>
      </c>
      <c r="K1568" s="3">
        <f>COUNTIFS(FieldDisagreements!D2:D999, A1568)</f>
        <v>0</v>
      </c>
      <c r="L1568" s="3" t="b">
        <f>K1568 &gt; 0</f>
        <v>0</v>
      </c>
      <c r="M1568" s="2" t="s">
        <v>2387</v>
      </c>
    </row>
    <row r="1569">
      <c r="A1569" s="2" t="s">
        <v>5268</v>
      </c>
      <c r="B1569" s="3" t="str">
        <f>C1569 &amp; "." &amp; D1569</f>
        <v>AppRouteQuestions.AppRouteQuestionId</v>
      </c>
      <c r="C1569" s="2" t="s">
        <v>1861</v>
      </c>
      <c r="D1569" s="2" t="s">
        <v>5269</v>
      </c>
      <c r="E1569" s="2" t="s">
        <v>2385</v>
      </c>
      <c r="F1569" s="2" t="s">
        <v>2386</v>
      </c>
      <c r="G1569" s="2"/>
      <c r="H1569" s="2"/>
      <c r="I1569" s="3" t="b">
        <f>OR(E1569 = "calculated", E1569 = "lookup", E1569 = "aggregation")</f>
        <v>0</v>
      </c>
      <c r="J1569" s="3" t="b">
        <f>H1569 &lt;&gt; ""</f>
        <v>0</v>
      </c>
      <c r="K1569" s="3">
        <f>COUNTIFS(FieldDisagreements!D2:D999, A1569)</f>
        <v>0</v>
      </c>
      <c r="L1569" s="3" t="b">
        <f>K1569 &gt; 0</f>
        <v>0</v>
      </c>
      <c r="M1569" s="2" t="s">
        <v>2387</v>
      </c>
    </row>
    <row r="1570">
      <c r="A1570" s="2" t="s">
        <v>5270</v>
      </c>
      <c r="B1570" s="3" t="str">
        <f>C1570 &amp; "." &amp; D1570</f>
        <v>AppRouteQuestions.Name</v>
      </c>
      <c r="C1570" s="2" t="s">
        <v>1861</v>
      </c>
      <c r="D1570" s="2" t="s">
        <v>1</v>
      </c>
      <c r="E1570" s="2" t="s">
        <v>2389</v>
      </c>
      <c r="F1570" s="2" t="s">
        <v>2386</v>
      </c>
      <c r="G1570" s="2" t="s">
        <v>5271</v>
      </c>
      <c r="H1570" s="2"/>
      <c r="I1570" s="3" t="b">
        <f>OR(E1570 = "calculated", E1570 = "lookup", E1570 = "aggregation")</f>
        <v>1</v>
      </c>
      <c r="J1570" s="3" t="b">
        <f>H1570 &lt;&gt; ""</f>
        <v>0</v>
      </c>
      <c r="K1570" s="3">
        <f>COUNTIFS(FieldDisagreements!D2:D999, A1570)</f>
        <v>0</v>
      </c>
      <c r="L1570" s="3" t="b">
        <f>K1570 &gt; 0</f>
        <v>0</v>
      </c>
      <c r="M1570" s="2" t="s">
        <v>2387</v>
      </c>
    </row>
    <row r="1571">
      <c r="A1571" s="2" t="s">
        <v>5272</v>
      </c>
      <c r="B1571" s="3" t="str">
        <f>C1571 &amp; "." &amp; D1571</f>
        <v>AppRouteQuestions.Route</v>
      </c>
      <c r="C1571" s="2" t="s">
        <v>1861</v>
      </c>
      <c r="D1571" s="2" t="s">
        <v>5273</v>
      </c>
      <c r="E1571" s="2" t="s">
        <v>2434</v>
      </c>
      <c r="F1571" s="2" t="s">
        <v>2386</v>
      </c>
      <c r="G1571" s="2"/>
      <c r="H1571" s="2"/>
      <c r="I1571" s="3" t="b">
        <f>OR(E1571 = "calculated", E1571 = "lookup", E1571 = "aggregation")</f>
        <v>0</v>
      </c>
      <c r="J1571" s="3" t="b">
        <f>H1571 &lt;&gt; ""</f>
        <v>0</v>
      </c>
      <c r="K1571" s="3">
        <f>COUNTIFS(FieldDisagreements!D2:D999, A1571)</f>
        <v>0</v>
      </c>
      <c r="L1571" s="3" t="b">
        <f>K1571 &gt; 0</f>
        <v>0</v>
      </c>
      <c r="M1571" s="2" t="s">
        <v>2387</v>
      </c>
    </row>
    <row r="1572">
      <c r="A1572" s="2" t="s">
        <v>5274</v>
      </c>
      <c r="B1572" s="3" t="str">
        <f>C1572 &amp; "." &amp; D1572</f>
        <v>AppRouteQuestions.Question</v>
      </c>
      <c r="C1572" s="2" t="s">
        <v>1861</v>
      </c>
      <c r="D1572" s="2" t="s">
        <v>1223</v>
      </c>
      <c r="E1572" s="2" t="s">
        <v>2434</v>
      </c>
      <c r="F1572" s="2" t="s">
        <v>2386</v>
      </c>
      <c r="G1572" s="2"/>
      <c r="H1572" s="2"/>
      <c r="I1572" s="3" t="b">
        <f>OR(E1572 = "calculated", E1572 = "lookup", E1572 = "aggregation")</f>
        <v>0</v>
      </c>
      <c r="J1572" s="3" t="b">
        <f>H1572 &lt;&gt; ""</f>
        <v>0</v>
      </c>
      <c r="K1572" s="3">
        <f>COUNTIFS(FieldDisagreements!D2:D999, A1572)</f>
        <v>0</v>
      </c>
      <c r="L1572" s="3" t="b">
        <f>K1572 &gt; 0</f>
        <v>0</v>
      </c>
      <c r="M1572" s="2" t="s">
        <v>2387</v>
      </c>
    </row>
    <row r="1573">
      <c r="A1573" s="2" t="s">
        <v>5275</v>
      </c>
      <c r="B1573" s="3" t="str">
        <f>C1573 &amp; "." &amp; D1573</f>
        <v>AppRouteQuestions.SemanticTypeIri</v>
      </c>
      <c r="C1573" s="2" t="s">
        <v>1861</v>
      </c>
      <c r="D1573" s="2" t="s">
        <v>94</v>
      </c>
      <c r="E1573" s="2" t="s">
        <v>2385</v>
      </c>
      <c r="F1573" s="2" t="s">
        <v>2386</v>
      </c>
      <c r="G1573" s="2"/>
      <c r="H1573" s="2"/>
      <c r="I1573" s="3" t="b">
        <f>OR(E1573 = "calculated", E1573 = "lookup", E1573 = "aggregation")</f>
        <v>0</v>
      </c>
      <c r="J1573" s="3" t="b">
        <f>H1573 &lt;&gt; ""</f>
        <v>0</v>
      </c>
      <c r="K1573" s="3">
        <f>COUNTIFS(FieldDisagreements!D2:D999, A1573)</f>
        <v>0</v>
      </c>
      <c r="L1573" s="3" t="b">
        <f>K1573 &gt; 0</f>
        <v>0</v>
      </c>
      <c r="M1573" s="2" t="s">
        <v>2387</v>
      </c>
    </row>
    <row r="1574">
      <c r="A1574" s="2" t="s">
        <v>5276</v>
      </c>
      <c r="B1574" s="3" t="str">
        <f>C1574 &amp; "." &amp; D1574</f>
        <v>AppRouteReferences.AppRouteReferenceId</v>
      </c>
      <c r="C1574" s="2" t="s">
        <v>1865</v>
      </c>
      <c r="D1574" s="2" t="s">
        <v>5277</v>
      </c>
      <c r="E1574" s="2" t="s">
        <v>2385</v>
      </c>
      <c r="F1574" s="2" t="s">
        <v>2386</v>
      </c>
      <c r="G1574" s="2"/>
      <c r="H1574" s="2"/>
      <c r="I1574" s="3" t="b">
        <f>OR(E1574 = "calculated", E1574 = "lookup", E1574 = "aggregation")</f>
        <v>0</v>
      </c>
      <c r="J1574" s="3" t="b">
        <f>H1574 &lt;&gt; ""</f>
        <v>0</v>
      </c>
      <c r="K1574" s="3">
        <f>COUNTIFS(FieldDisagreements!D2:D999, A1574)</f>
        <v>0</v>
      </c>
      <c r="L1574" s="3" t="b">
        <f>K1574 &gt; 0</f>
        <v>0</v>
      </c>
      <c r="M1574" s="2" t="s">
        <v>2387</v>
      </c>
    </row>
    <row r="1575">
      <c r="A1575" s="2" t="s">
        <v>5278</v>
      </c>
      <c r="B1575" s="3" t="str">
        <f>C1575 &amp; "." &amp; D1575</f>
        <v>AppRouteReferences.Name</v>
      </c>
      <c r="C1575" s="2" t="s">
        <v>1865</v>
      </c>
      <c r="D1575" s="2" t="s">
        <v>1</v>
      </c>
      <c r="E1575" s="2" t="s">
        <v>2389</v>
      </c>
      <c r="F1575" s="2" t="s">
        <v>2386</v>
      </c>
      <c r="G1575" s="2" t="s">
        <v>5279</v>
      </c>
      <c r="H1575" s="2"/>
      <c r="I1575" s="3" t="b">
        <f>OR(E1575 = "calculated", E1575 = "lookup", E1575 = "aggregation")</f>
        <v>1</v>
      </c>
      <c r="J1575" s="3" t="b">
        <f>H1575 &lt;&gt; ""</f>
        <v>0</v>
      </c>
      <c r="K1575" s="3">
        <f>COUNTIFS(FieldDisagreements!D2:D999, A1575)</f>
        <v>0</v>
      </c>
      <c r="L1575" s="3" t="b">
        <f>K1575 &gt; 0</f>
        <v>0</v>
      </c>
      <c r="M1575" s="2" t="s">
        <v>2387</v>
      </c>
    </row>
    <row r="1576">
      <c r="A1576" s="2" t="s">
        <v>5280</v>
      </c>
      <c r="B1576" s="3" t="str">
        <f>C1576 &amp; "." &amp; D1576</f>
        <v>AppRouteReferences.FromRoute</v>
      </c>
      <c r="C1576" s="2" t="s">
        <v>1865</v>
      </c>
      <c r="D1576" s="2" t="s">
        <v>5281</v>
      </c>
      <c r="E1576" s="2" t="s">
        <v>2434</v>
      </c>
      <c r="F1576" s="2" t="s">
        <v>2386</v>
      </c>
      <c r="G1576" s="2"/>
      <c r="H1576" s="2"/>
      <c r="I1576" s="3" t="b">
        <f>OR(E1576 = "calculated", E1576 = "lookup", E1576 = "aggregation")</f>
        <v>0</v>
      </c>
      <c r="J1576" s="3" t="b">
        <f>H1576 &lt;&gt; ""</f>
        <v>0</v>
      </c>
      <c r="K1576" s="3">
        <f>COUNTIFS(FieldDisagreements!D2:D999, A1576)</f>
        <v>0</v>
      </c>
      <c r="L1576" s="3" t="b">
        <f>K1576 &gt; 0</f>
        <v>0</v>
      </c>
      <c r="M1576" s="2" t="s">
        <v>2387</v>
      </c>
    </row>
    <row r="1577">
      <c r="A1577" s="2" t="s">
        <v>5282</v>
      </c>
      <c r="B1577" s="3" t="str">
        <f>C1577 &amp; "." &amp; D1577</f>
        <v>AppRouteReferences.ToRoute</v>
      </c>
      <c r="C1577" s="2" t="s">
        <v>1865</v>
      </c>
      <c r="D1577" s="2" t="s">
        <v>5283</v>
      </c>
      <c r="E1577" s="2" t="s">
        <v>2434</v>
      </c>
      <c r="F1577" s="2" t="s">
        <v>2386</v>
      </c>
      <c r="G1577" s="2"/>
      <c r="H1577" s="2"/>
      <c r="I1577" s="3" t="b">
        <f>OR(E1577 = "calculated", E1577 = "lookup", E1577 = "aggregation")</f>
        <v>0</v>
      </c>
      <c r="J1577" s="3" t="b">
        <f>H1577 &lt;&gt; ""</f>
        <v>0</v>
      </c>
      <c r="K1577" s="3">
        <f>COUNTIFS(FieldDisagreements!D2:D999, A1577)</f>
        <v>0</v>
      </c>
      <c r="L1577" s="3" t="b">
        <f>K1577 &gt; 0</f>
        <v>0</v>
      </c>
      <c r="M1577" s="2" t="s">
        <v>2387</v>
      </c>
    </row>
    <row r="1578">
      <c r="A1578" s="2" t="s">
        <v>5284</v>
      </c>
      <c r="B1578" s="3" t="str">
        <f>C1578 &amp; "." &amp; D1578</f>
        <v>AppRouteReferences.SemanticTypeIri</v>
      </c>
      <c r="C1578" s="2" t="s">
        <v>1865</v>
      </c>
      <c r="D1578" s="2" t="s">
        <v>94</v>
      </c>
      <c r="E1578" s="2" t="s">
        <v>2385</v>
      </c>
      <c r="F1578" s="2" t="s">
        <v>2386</v>
      </c>
      <c r="G1578" s="2"/>
      <c r="H1578" s="2"/>
      <c r="I1578" s="3" t="b">
        <f>OR(E1578 = "calculated", E1578 = "lookup", E1578 = "aggregation")</f>
        <v>0</v>
      </c>
      <c r="J1578" s="3" t="b">
        <f>H1578 &lt;&gt; ""</f>
        <v>0</v>
      </c>
      <c r="K1578" s="3">
        <f>COUNTIFS(FieldDisagreements!D2:D999, A1578)</f>
        <v>0</v>
      </c>
      <c r="L1578" s="3" t="b">
        <f>K1578 &gt; 0</f>
        <v>0</v>
      </c>
      <c r="M1578" s="2" t="s">
        <v>2387</v>
      </c>
    </row>
    <row r="1579">
      <c r="A1579" s="2" t="s">
        <v>5285</v>
      </c>
      <c r="B1579" s="3" t="str">
        <f>C1579 &amp; "." &amp; D1579</f>
        <v>RulebookTables.RulebookTableId</v>
      </c>
      <c r="C1579" s="2" t="s">
        <v>5286</v>
      </c>
      <c r="D1579" s="2" t="s">
        <v>5287</v>
      </c>
      <c r="E1579" s="2" t="s">
        <v>2385</v>
      </c>
      <c r="F1579" s="2" t="s">
        <v>2386</v>
      </c>
      <c r="G1579" s="2"/>
      <c r="H1579" s="2"/>
      <c r="I1579" s="3" t="b">
        <f>OR(E1579 = "calculated", E1579 = "lookup", E1579 = "aggregation")</f>
        <v>0</v>
      </c>
      <c r="J1579" s="3" t="b">
        <f>H1579 &lt;&gt; ""</f>
        <v>0</v>
      </c>
      <c r="K1579" s="3">
        <f>COUNTIFS(FieldDisagreements!D2:D999, A1579)</f>
        <v>0</v>
      </c>
      <c r="L1579" s="3" t="b">
        <f>K1579 &gt; 0</f>
        <v>0</v>
      </c>
      <c r="M1579" s="2" t="s">
        <v>2387</v>
      </c>
    </row>
    <row r="1580">
      <c r="A1580" s="2" t="s">
        <v>5288</v>
      </c>
      <c r="B1580" s="3" t="str">
        <f>C1580 &amp; "." &amp; D1580</f>
        <v>RulebookTables.TableName</v>
      </c>
      <c r="C1580" s="2" t="s">
        <v>5286</v>
      </c>
      <c r="D1580" s="2" t="s">
        <v>5289</v>
      </c>
      <c r="E1580" s="2" t="s">
        <v>2385</v>
      </c>
      <c r="F1580" s="2" t="s">
        <v>2386</v>
      </c>
      <c r="G1580" s="2"/>
      <c r="H1580" s="2"/>
      <c r="I1580" s="3" t="b">
        <f>OR(E1580 = "calculated", E1580 = "lookup", E1580 = "aggregation")</f>
        <v>0</v>
      </c>
      <c r="J1580" s="3" t="b">
        <f>H1580 &lt;&gt; ""</f>
        <v>0</v>
      </c>
      <c r="K1580" s="3">
        <f>COUNTIFS(FieldDisagreements!D2:D999, A1580)</f>
        <v>0</v>
      </c>
      <c r="L1580" s="3" t="b">
        <f>K1580 &gt; 0</f>
        <v>0</v>
      </c>
      <c r="M1580" s="2" t="s">
        <v>2387</v>
      </c>
    </row>
    <row r="1581">
      <c r="A1581" s="2" t="s">
        <v>5290</v>
      </c>
      <c r="B1581" s="3" t="str">
        <f>C1581 &amp; "." &amp; D1581</f>
        <v>RulebookTables.Name</v>
      </c>
      <c r="C1581" s="2" t="s">
        <v>5286</v>
      </c>
      <c r="D1581" s="2" t="s">
        <v>1</v>
      </c>
      <c r="E1581" s="2" t="s">
        <v>2389</v>
      </c>
      <c r="F1581" s="2" t="s">
        <v>2386</v>
      </c>
      <c r="G1581" s="2" t="s">
        <v>5291</v>
      </c>
      <c r="H1581" s="2"/>
      <c r="I1581" s="3" t="b">
        <f>OR(E1581 = "calculated", E1581 = "lookup", E1581 = "aggregation")</f>
        <v>1</v>
      </c>
      <c r="J1581" s="3" t="b">
        <f>H1581 &lt;&gt; ""</f>
        <v>0</v>
      </c>
      <c r="K1581" s="3">
        <f>COUNTIFS(FieldDisagreements!D2:D999, A1581)</f>
        <v>0</v>
      </c>
      <c r="L1581" s="3" t="b">
        <f>K1581 &gt; 0</f>
        <v>0</v>
      </c>
      <c r="M1581" s="2" t="s">
        <v>2387</v>
      </c>
    </row>
    <row r="1582">
      <c r="A1582" s="2" t="s">
        <v>5292</v>
      </c>
      <c r="B1582" s="3" t="str">
        <f>C1582 &amp; "." &amp; D1582</f>
        <v>RulebookTables.PhysicalTable</v>
      </c>
      <c r="C1582" s="2" t="s">
        <v>5286</v>
      </c>
      <c r="D1582" s="2" t="s">
        <v>5293</v>
      </c>
      <c r="E1582" s="2" t="s">
        <v>2385</v>
      </c>
      <c r="F1582" s="2" t="s">
        <v>2386</v>
      </c>
      <c r="G1582" s="2"/>
      <c r="H1582" s="2"/>
      <c r="I1582" s="3" t="b">
        <f>OR(E1582 = "calculated", E1582 = "lookup", E1582 = "aggregation")</f>
        <v>0</v>
      </c>
      <c r="J1582" s="3" t="b">
        <f>H1582 &lt;&gt; ""</f>
        <v>0</v>
      </c>
      <c r="K1582" s="3">
        <f>COUNTIFS(FieldDisagreements!D2:D999, A1582)</f>
        <v>0</v>
      </c>
      <c r="L1582" s="3" t="b">
        <f>K1582 &gt; 0</f>
        <v>0</v>
      </c>
      <c r="M1582" s="2" t="s">
        <v>2387</v>
      </c>
    </row>
    <row r="1583">
      <c r="A1583" s="2" t="s">
        <v>5294</v>
      </c>
      <c r="B1583" s="3" t="str">
        <f>C1583 &amp; "." &amp; D1583</f>
        <v>RulebookTables.PhysicalView</v>
      </c>
      <c r="C1583" s="2" t="s">
        <v>5286</v>
      </c>
      <c r="D1583" s="2" t="s">
        <v>5295</v>
      </c>
      <c r="E1583" s="2" t="s">
        <v>2385</v>
      </c>
      <c r="F1583" s="2" t="s">
        <v>2386</v>
      </c>
      <c r="G1583" s="2"/>
      <c r="H1583" s="2"/>
      <c r="I1583" s="3" t="b">
        <f>OR(E1583 = "calculated", E1583 = "lookup", E1583 = "aggregation")</f>
        <v>0</v>
      </c>
      <c r="J1583" s="3" t="b">
        <f>H1583 &lt;&gt; ""</f>
        <v>0</v>
      </c>
      <c r="K1583" s="3">
        <f>COUNTIFS(FieldDisagreements!D2:D999, A1583)</f>
        <v>0</v>
      </c>
      <c r="L1583" s="3" t="b">
        <f>K1583 &gt; 0</f>
        <v>0</v>
      </c>
      <c r="M1583" s="2" t="s">
        <v>2387</v>
      </c>
    </row>
    <row r="1584">
      <c r="A1584" s="2" t="s">
        <v>5296</v>
      </c>
      <c r="B1584" s="3" t="str">
        <f>C1584 &amp; "." &amp; D1584</f>
        <v>RulebookTables.SubjectArea</v>
      </c>
      <c r="C1584" s="2" t="s">
        <v>5286</v>
      </c>
      <c r="D1584" s="2" t="s">
        <v>5297</v>
      </c>
      <c r="E1584" s="2" t="s">
        <v>2385</v>
      </c>
      <c r="F1584" s="2" t="s">
        <v>2386</v>
      </c>
      <c r="G1584" s="2"/>
      <c r="H1584" s="2"/>
      <c r="I1584" s="3" t="b">
        <f>OR(E1584 = "calculated", E1584 = "lookup", E1584 = "aggregation")</f>
        <v>0</v>
      </c>
      <c r="J1584" s="3" t="b">
        <f>H1584 &lt;&gt; ""</f>
        <v>0</v>
      </c>
      <c r="K1584" s="3">
        <f>COUNTIFS(FieldDisagreements!D2:D999, A1584)</f>
        <v>0</v>
      </c>
      <c r="L1584" s="3" t="b">
        <f>K1584 &gt; 0</f>
        <v>0</v>
      </c>
      <c r="M1584" s="2" t="s">
        <v>2387</v>
      </c>
    </row>
    <row r="1585">
      <c r="A1585" s="2" t="s">
        <v>5298</v>
      </c>
      <c r="B1585" s="3" t="str">
        <f>C1585 &amp; "." &amp; D1585</f>
        <v>RulebookTables.IsExtension</v>
      </c>
      <c r="C1585" s="2" t="s">
        <v>5286</v>
      </c>
      <c r="D1585" s="2" t="s">
        <v>5299</v>
      </c>
      <c r="E1585" s="2" t="s">
        <v>2385</v>
      </c>
      <c r="F1585" s="2" t="s">
        <v>2401</v>
      </c>
      <c r="G1585" s="2"/>
      <c r="H1585" s="2"/>
      <c r="I1585" s="3" t="b">
        <f>OR(E1585 = "calculated", E1585 = "lookup", E1585 = "aggregation")</f>
        <v>0</v>
      </c>
      <c r="J1585" s="3" t="b">
        <f>H1585 &lt;&gt; ""</f>
        <v>0</v>
      </c>
      <c r="K1585" s="3">
        <f>COUNTIFS(FieldDisagreements!D2:D999, A1585)</f>
        <v>0</v>
      </c>
      <c r="L1585" s="3" t="b">
        <f>K1585 &gt; 0</f>
        <v>0</v>
      </c>
      <c r="M1585" s="2" t="s">
        <v>2387</v>
      </c>
    </row>
    <row r="1586">
      <c r="A1586" s="2" t="s">
        <v>5300</v>
      </c>
      <c r="B1586" s="3" t="str">
        <f>C1586 &amp; "." &amp; D1586</f>
        <v>RulebookTables.FieldCount</v>
      </c>
      <c r="C1586" s="2" t="s">
        <v>5286</v>
      </c>
      <c r="D1586" s="2" t="s">
        <v>5301</v>
      </c>
      <c r="E1586" s="2" t="s">
        <v>2438</v>
      </c>
      <c r="F1586" s="2" t="s">
        <v>2444</v>
      </c>
      <c r="G1586" s="2" t="s">
        <v>5302</v>
      </c>
      <c r="H1586" s="2"/>
      <c r="I1586" s="3" t="b">
        <f>OR(E1586 = "calculated", E1586 = "lookup", E1586 = "aggregation")</f>
        <v>1</v>
      </c>
      <c r="J1586" s="3" t="b">
        <f>H1586 &lt;&gt; ""</f>
        <v>0</v>
      </c>
      <c r="K1586" s="3">
        <f>COUNTIFS(FieldDisagreements!D2:D999, A1586)</f>
        <v>1</v>
      </c>
      <c r="L1586" s="3" t="b">
        <f>K1586 &gt; 0</f>
        <v>1</v>
      </c>
      <c r="M1586" s="2" t="s">
        <v>2387</v>
      </c>
    </row>
    <row r="1587">
      <c r="A1587" s="2" t="s">
        <v>5303</v>
      </c>
      <c r="B1587" s="3" t="str">
        <f>C1587 &amp; "." &amp; D1587</f>
        <v>RulebookTables.PolicyCount</v>
      </c>
      <c r="C1587" s="2" t="s">
        <v>5286</v>
      </c>
      <c r="D1587" s="2" t="s">
        <v>5304</v>
      </c>
      <c r="E1587" s="2" t="s">
        <v>2438</v>
      </c>
      <c r="F1587" s="2" t="s">
        <v>2444</v>
      </c>
      <c r="G1587" s="2" t="s">
        <v>5305</v>
      </c>
      <c r="H1587" s="2"/>
      <c r="I1587" s="3" t="b">
        <f>OR(E1587 = "calculated", E1587 = "lookup", E1587 = "aggregation")</f>
        <v>1</v>
      </c>
      <c r="J1587" s="3" t="b">
        <f>H1587 &lt;&gt; ""</f>
        <v>0</v>
      </c>
      <c r="K1587" s="3">
        <f>COUNTIFS(FieldDisagreements!D2:D999, A1587)</f>
        <v>0</v>
      </c>
      <c r="L1587" s="3" t="b">
        <f>K1587 &gt; 0</f>
        <v>0</v>
      </c>
      <c r="M1587" s="2" t="s">
        <v>2387</v>
      </c>
    </row>
    <row r="1588">
      <c r="A1588" s="2" t="s">
        <v>5306</v>
      </c>
      <c r="B1588" s="3" t="str">
        <f>C1588 &amp; "." &amp; D1588</f>
        <v>RulebookTables.IsUnsecured</v>
      </c>
      <c r="C1588" s="2" t="s">
        <v>5286</v>
      </c>
      <c r="D1588" s="2" t="s">
        <v>5307</v>
      </c>
      <c r="E1588" s="2" t="s">
        <v>2389</v>
      </c>
      <c r="F1588" s="2" t="s">
        <v>2401</v>
      </c>
      <c r="G1588" s="2" t="s">
        <v>5308</v>
      </c>
      <c r="H1588" s="2"/>
      <c r="I1588" s="3" t="b">
        <f>OR(E1588 = "calculated", E1588 = "lookup", E1588 = "aggregation")</f>
        <v>1</v>
      </c>
      <c r="J1588" s="3" t="b">
        <f>H1588 &lt;&gt; ""</f>
        <v>0</v>
      </c>
      <c r="K1588" s="3">
        <f>COUNTIFS(FieldDisagreements!D2:D999, A1588)</f>
        <v>0</v>
      </c>
      <c r="L1588" s="3" t="b">
        <f>K1588 &gt; 0</f>
        <v>0</v>
      </c>
      <c r="M1588" s="2" t="s">
        <v>2387</v>
      </c>
    </row>
    <row r="1589">
      <c r="A1589" s="2" t="s">
        <v>5309</v>
      </c>
      <c r="B1589" s="3" t="str">
        <f>C1589 &amp; "." &amp; D1589</f>
        <v>RulebookTables.DisagreeingSubstrateCount</v>
      </c>
      <c r="C1589" s="2" t="s">
        <v>5286</v>
      </c>
      <c r="D1589" s="2" t="s">
        <v>2381</v>
      </c>
      <c r="E1589" s="2" t="s">
        <v>2438</v>
      </c>
      <c r="F1589" s="2" t="s">
        <v>2444</v>
      </c>
      <c r="G1589" s="2" t="s">
        <v>5310</v>
      </c>
      <c r="H1589" s="2" t="s">
        <v>2368</v>
      </c>
      <c r="I1589" s="3" t="b">
        <f>OR(E1589 = "calculated", E1589 = "lookup", E1589 = "aggregation")</f>
        <v>1</v>
      </c>
      <c r="J1589" s="3" t="b">
        <f>H1589 &lt;&gt; ""</f>
        <v>1</v>
      </c>
      <c r="K1589" s="3">
        <f>COUNTIFS(FieldDisagreements!D2:D999, A1589)</f>
        <v>0</v>
      </c>
      <c r="L1589" s="3" t="b">
        <f>K1589 &gt; 0</f>
        <v>0</v>
      </c>
      <c r="M1589" s="2" t="s">
        <v>2387</v>
      </c>
    </row>
    <row r="1590">
      <c r="A1590" s="2" t="s">
        <v>5311</v>
      </c>
      <c r="B1590" s="3" t="str">
        <f>C1590 &amp; "." &amp; D1590</f>
        <v>RulebookTables.SemanticTypeIri</v>
      </c>
      <c r="C1590" s="2" t="s">
        <v>5286</v>
      </c>
      <c r="D1590" s="2" t="s">
        <v>94</v>
      </c>
      <c r="E1590" s="2" t="s">
        <v>2385</v>
      </c>
      <c r="F1590" s="2" t="s">
        <v>2386</v>
      </c>
      <c r="G1590" s="2"/>
      <c r="H1590" s="2"/>
      <c r="I1590" s="3" t="b">
        <f>OR(E1590 = "calculated", E1590 = "lookup", E1590 = "aggregation")</f>
        <v>0</v>
      </c>
      <c r="J1590" s="3" t="b">
        <f>H1590 &lt;&gt; ""</f>
        <v>0</v>
      </c>
      <c r="K1590" s="3">
        <f>COUNTIFS(FieldDisagreements!D2:D999, A1590)</f>
        <v>0</v>
      </c>
      <c r="L1590" s="3" t="b">
        <f>K1590 &gt; 0</f>
        <v>0</v>
      </c>
      <c r="M1590" s="2" t="s">
        <v>2387</v>
      </c>
    </row>
    <row r="1591">
      <c r="A1591" s="2" t="s">
        <v>5312</v>
      </c>
      <c r="B1591" s="3" t="str">
        <f>C1591 &amp; "." &amp; D1591</f>
        <v>AccessPrincipals.AccessPrincipalId</v>
      </c>
      <c r="C1591" s="2" t="s">
        <v>5313</v>
      </c>
      <c r="D1591" s="2" t="s">
        <v>5314</v>
      </c>
      <c r="E1591" s="2" t="s">
        <v>2385</v>
      </c>
      <c r="F1591" s="2" t="s">
        <v>2386</v>
      </c>
      <c r="G1591" s="2"/>
      <c r="H1591" s="2"/>
      <c r="I1591" s="3" t="b">
        <f>OR(E1591 = "calculated", E1591 = "lookup", E1591 = "aggregation")</f>
        <v>0</v>
      </c>
      <c r="J1591" s="3" t="b">
        <f>H1591 &lt;&gt; ""</f>
        <v>0</v>
      </c>
      <c r="K1591" s="3">
        <f>COUNTIFS(FieldDisagreements!D2:D999, A1591)</f>
        <v>0</v>
      </c>
      <c r="L1591" s="3" t="b">
        <f>K1591 &gt; 0</f>
        <v>0</v>
      </c>
      <c r="M1591" s="2" t="s">
        <v>2387</v>
      </c>
    </row>
    <row r="1592">
      <c r="A1592" s="2" t="s">
        <v>5315</v>
      </c>
      <c r="B1592" s="3" t="str">
        <f>C1592 &amp; "." &amp; D1592</f>
        <v>AccessPrincipals.Name</v>
      </c>
      <c r="C1592" s="2" t="s">
        <v>5313</v>
      </c>
      <c r="D1592" s="2" t="s">
        <v>1</v>
      </c>
      <c r="E1592" s="2" t="s">
        <v>2389</v>
      </c>
      <c r="F1592" s="2" t="s">
        <v>2386</v>
      </c>
      <c r="G1592" s="2" t="s">
        <v>2473</v>
      </c>
      <c r="H1592" s="2"/>
      <c r="I1592" s="3" t="b">
        <f>OR(E1592 = "calculated", E1592 = "lookup", E1592 = "aggregation")</f>
        <v>1</v>
      </c>
      <c r="J1592" s="3" t="b">
        <f>H1592 &lt;&gt; ""</f>
        <v>0</v>
      </c>
      <c r="K1592" s="3">
        <f>COUNTIFS(FieldDisagreements!D2:D999, A1592)</f>
        <v>0</v>
      </c>
      <c r="L1592" s="3" t="b">
        <f>K1592 &gt; 0</f>
        <v>0</v>
      </c>
      <c r="M1592" s="2" t="s">
        <v>2387</v>
      </c>
    </row>
    <row r="1593">
      <c r="A1593" s="2" t="s">
        <v>5316</v>
      </c>
      <c r="B1593" s="3" t="str">
        <f>C1593 &amp; "." &amp; D1593</f>
        <v>AccessPrincipals.Label</v>
      </c>
      <c r="C1593" s="2" t="s">
        <v>5313</v>
      </c>
      <c r="D1593" s="2" t="s">
        <v>19</v>
      </c>
      <c r="E1593" s="2" t="s">
        <v>2385</v>
      </c>
      <c r="F1593" s="2" t="s">
        <v>2386</v>
      </c>
      <c r="G1593" s="2"/>
      <c r="H1593" s="2"/>
      <c r="I1593" s="3" t="b">
        <f>OR(E1593 = "calculated", E1593 = "lookup", E1593 = "aggregation")</f>
        <v>0</v>
      </c>
      <c r="J1593" s="3" t="b">
        <f>H1593 &lt;&gt; ""</f>
        <v>0</v>
      </c>
      <c r="K1593" s="3">
        <f>COUNTIFS(FieldDisagreements!D2:D999, A1593)</f>
        <v>0</v>
      </c>
      <c r="L1593" s="3" t="b">
        <f>K1593 &gt; 0</f>
        <v>0</v>
      </c>
      <c r="M1593" s="2" t="s">
        <v>2387</v>
      </c>
    </row>
    <row r="1594">
      <c r="A1594" s="2" t="s">
        <v>5317</v>
      </c>
      <c r="B1594" s="3" t="str">
        <f>C1594 &amp; "." &amp; D1594</f>
        <v>AccessPrincipals.DomainRole</v>
      </c>
      <c r="C1594" s="2" t="s">
        <v>5313</v>
      </c>
      <c r="D1594" s="2" t="s">
        <v>5318</v>
      </c>
      <c r="E1594" s="2" t="s">
        <v>2434</v>
      </c>
      <c r="F1594" s="2" t="s">
        <v>2386</v>
      </c>
      <c r="G1594" s="2"/>
      <c r="H1594" s="2"/>
      <c r="I1594" s="3" t="b">
        <f>OR(E1594 = "calculated", E1594 = "lookup", E1594 = "aggregation")</f>
        <v>0</v>
      </c>
      <c r="J1594" s="3" t="b">
        <f>H1594 &lt;&gt; ""</f>
        <v>0</v>
      </c>
      <c r="K1594" s="3">
        <f>COUNTIFS(FieldDisagreements!D2:D999, A1594)</f>
        <v>0</v>
      </c>
      <c r="L1594" s="3" t="b">
        <f>K1594 &gt; 0</f>
        <v>0</v>
      </c>
      <c r="M1594" s="2" t="s">
        <v>2387</v>
      </c>
    </row>
    <row r="1595">
      <c r="A1595" s="2" t="s">
        <v>5319</v>
      </c>
      <c r="B1595" s="3" t="str">
        <f>C1595 &amp; "." &amp; D1595</f>
        <v>AccessPrincipals.PgRoleName</v>
      </c>
      <c r="C1595" s="2" t="s">
        <v>5313</v>
      </c>
      <c r="D1595" s="2" t="s">
        <v>5320</v>
      </c>
      <c r="E1595" s="2" t="s">
        <v>2385</v>
      </c>
      <c r="F1595" s="2" t="s">
        <v>2386</v>
      </c>
      <c r="G1595" s="2"/>
      <c r="H1595" s="2"/>
      <c r="I1595" s="3" t="b">
        <f>OR(E1595 = "calculated", E1595 = "lookup", E1595 = "aggregation")</f>
        <v>0</v>
      </c>
      <c r="J1595" s="3" t="b">
        <f>H1595 &lt;&gt; ""</f>
        <v>0</v>
      </c>
      <c r="K1595" s="3">
        <f>COUNTIFS(FieldDisagreements!D2:D999, A1595)</f>
        <v>0</v>
      </c>
      <c r="L1595" s="3" t="b">
        <f>K1595 &gt; 0</f>
        <v>0</v>
      </c>
      <c r="M1595" s="2" t="s">
        <v>2387</v>
      </c>
    </row>
    <row r="1596">
      <c r="A1596" s="2" t="s">
        <v>5321</v>
      </c>
      <c r="B1596" s="3" t="str">
        <f>C1596 &amp; "." &amp; D1596</f>
        <v>AccessPrincipals.SchemaName</v>
      </c>
      <c r="C1596" s="2" t="s">
        <v>5313</v>
      </c>
      <c r="D1596" s="2" t="s">
        <v>5322</v>
      </c>
      <c r="E1596" s="2" t="s">
        <v>2385</v>
      </c>
      <c r="F1596" s="2" t="s">
        <v>2386</v>
      </c>
      <c r="G1596" s="2"/>
      <c r="H1596" s="2"/>
      <c r="I1596" s="3" t="b">
        <f>OR(E1596 = "calculated", E1596 = "lookup", E1596 = "aggregation")</f>
        <v>0</v>
      </c>
      <c r="J1596" s="3" t="b">
        <f>H1596 &lt;&gt; ""</f>
        <v>0</v>
      </c>
      <c r="K1596" s="3">
        <f>COUNTIFS(FieldDisagreements!D2:D999, A1596)</f>
        <v>0</v>
      </c>
      <c r="L1596" s="3" t="b">
        <f>K1596 &gt; 0</f>
        <v>0</v>
      </c>
      <c r="M1596" s="2" t="s">
        <v>2387</v>
      </c>
    </row>
    <row r="1597">
      <c r="A1597" s="2" t="s">
        <v>5323</v>
      </c>
      <c r="B1597" s="3" t="str">
        <f>C1597 &amp; "." &amp; D1597</f>
        <v>AccessPrincipals.IsAdministrator</v>
      </c>
      <c r="C1597" s="2" t="s">
        <v>5313</v>
      </c>
      <c r="D1597" s="2" t="s">
        <v>5324</v>
      </c>
      <c r="E1597" s="2" t="s">
        <v>2385</v>
      </c>
      <c r="F1597" s="2" t="s">
        <v>2401</v>
      </c>
      <c r="G1597" s="2"/>
      <c r="H1597" s="2"/>
      <c r="I1597" s="3" t="b">
        <f>OR(E1597 = "calculated", E1597 = "lookup", E1597 = "aggregation")</f>
        <v>0</v>
      </c>
      <c r="J1597" s="3" t="b">
        <f>H1597 &lt;&gt; ""</f>
        <v>0</v>
      </c>
      <c r="K1597" s="3">
        <f>COUNTIFS(FieldDisagreements!D2:D999, A1597)</f>
        <v>0</v>
      </c>
      <c r="L1597" s="3" t="b">
        <f>K1597 &gt; 0</f>
        <v>0</v>
      </c>
      <c r="M1597" s="2" t="s">
        <v>2387</v>
      </c>
    </row>
    <row r="1598">
      <c r="A1598" s="2" t="s">
        <v>5325</v>
      </c>
      <c r="B1598" s="3" t="str">
        <f>C1598 &amp; "." &amp; D1598</f>
        <v>AccessPrincipals.OrganizationScope</v>
      </c>
      <c r="C1598" s="2" t="s">
        <v>5313</v>
      </c>
      <c r="D1598" s="2" t="s">
        <v>5326</v>
      </c>
      <c r="E1598" s="2" t="s">
        <v>2478</v>
      </c>
      <c r="F1598" s="2" t="s">
        <v>2386</v>
      </c>
      <c r="G1598" s="2" t="s">
        <v>5327</v>
      </c>
      <c r="H1598" s="2"/>
      <c r="I1598" s="3" t="b">
        <f>OR(E1598 = "calculated", E1598 = "lookup", E1598 = "aggregation")</f>
        <v>1</v>
      </c>
      <c r="J1598" s="3" t="b">
        <f>H1598 &lt;&gt; ""</f>
        <v>0</v>
      </c>
      <c r="K1598" s="3">
        <f>COUNTIFS(FieldDisagreements!D2:D999, A1598)</f>
        <v>0</v>
      </c>
      <c r="L1598" s="3" t="b">
        <f>K1598 &gt; 0</f>
        <v>0</v>
      </c>
      <c r="M1598" s="2" t="s">
        <v>2387</v>
      </c>
    </row>
    <row r="1599">
      <c r="A1599" s="2" t="s">
        <v>5328</v>
      </c>
      <c r="B1599" s="3" t="str">
        <f>C1599 &amp; "." &amp; D1599</f>
        <v>AccessPrincipals.RoleLabel</v>
      </c>
      <c r="C1599" s="2" t="s">
        <v>5313</v>
      </c>
      <c r="D1599" s="2" t="s">
        <v>5329</v>
      </c>
      <c r="E1599" s="2" t="s">
        <v>2478</v>
      </c>
      <c r="F1599" s="2" t="s">
        <v>2386</v>
      </c>
      <c r="G1599" s="2" t="s">
        <v>5330</v>
      </c>
      <c r="H1599" s="2"/>
      <c r="I1599" s="3" t="b">
        <f>OR(E1599 = "calculated", E1599 = "lookup", E1599 = "aggregation")</f>
        <v>1</v>
      </c>
      <c r="J1599" s="3" t="b">
        <f>H1599 &lt;&gt; ""</f>
        <v>0</v>
      </c>
      <c r="K1599" s="3">
        <f>COUNTIFS(FieldDisagreements!D2:D999, A1599)</f>
        <v>0</v>
      </c>
      <c r="L1599" s="3" t="b">
        <f>K1599 &gt; 0</f>
        <v>0</v>
      </c>
      <c r="M1599" s="2" t="s">
        <v>2387</v>
      </c>
    </row>
    <row r="1600">
      <c r="A1600" s="2" t="s">
        <v>5331</v>
      </c>
      <c r="B1600" s="3" t="str">
        <f>C1600 &amp; "." &amp; D1600</f>
        <v>AccessPrincipals.PolicyCount</v>
      </c>
      <c r="C1600" s="2" t="s">
        <v>5313</v>
      </c>
      <c r="D1600" s="2" t="s">
        <v>5304</v>
      </c>
      <c r="E1600" s="2" t="s">
        <v>2438</v>
      </c>
      <c r="F1600" s="2" t="s">
        <v>2444</v>
      </c>
      <c r="G1600" s="2" t="s">
        <v>5332</v>
      </c>
      <c r="H1600" s="2"/>
      <c r="I1600" s="3" t="b">
        <f>OR(E1600 = "calculated", E1600 = "lookup", E1600 = "aggregation")</f>
        <v>1</v>
      </c>
      <c r="J1600" s="3" t="b">
        <f>H1600 &lt;&gt; ""</f>
        <v>0</v>
      </c>
      <c r="K1600" s="3">
        <f>COUNTIFS(FieldDisagreements!D2:D999, A1600)</f>
        <v>0</v>
      </c>
      <c r="L1600" s="3" t="b">
        <f>K1600 &gt; 0</f>
        <v>0</v>
      </c>
      <c r="M1600" s="2" t="s">
        <v>2387</v>
      </c>
    </row>
    <row r="1601">
      <c r="A1601" s="2" t="s">
        <v>5333</v>
      </c>
      <c r="B1601" s="3" t="str">
        <f>C1601 &amp; "." &amp; D1601</f>
        <v>AccessPrincipals.GrantCount</v>
      </c>
      <c r="C1601" s="2" t="s">
        <v>5313</v>
      </c>
      <c r="D1601" s="2" t="s">
        <v>5334</v>
      </c>
      <c r="E1601" s="2" t="s">
        <v>2438</v>
      </c>
      <c r="F1601" s="2" t="s">
        <v>2444</v>
      </c>
      <c r="G1601" s="2" t="s">
        <v>5335</v>
      </c>
      <c r="H1601" s="2"/>
      <c r="I1601" s="3" t="b">
        <f>OR(E1601 = "calculated", E1601 = "lookup", E1601 = "aggregation")</f>
        <v>1</v>
      </c>
      <c r="J1601" s="3" t="b">
        <f>H1601 &lt;&gt; ""</f>
        <v>0</v>
      </c>
      <c r="K1601" s="3">
        <f>COUNTIFS(FieldDisagreements!D2:D999, A1601)</f>
        <v>1</v>
      </c>
      <c r="L1601" s="3" t="b">
        <f>K1601 &gt; 0</f>
        <v>1</v>
      </c>
      <c r="M1601" s="2" t="s">
        <v>2387</v>
      </c>
    </row>
    <row r="1602">
      <c r="A1602" s="2" t="s">
        <v>5336</v>
      </c>
      <c r="B1602" s="3" t="str">
        <f>C1602 &amp; "." &amp; D1602</f>
        <v>AccessPrincipals.VisibleTableCount</v>
      </c>
      <c r="C1602" s="2" t="s">
        <v>5313</v>
      </c>
      <c r="D1602" s="2" t="s">
        <v>5337</v>
      </c>
      <c r="E1602" s="2" t="s">
        <v>2438</v>
      </c>
      <c r="F1602" s="2" t="s">
        <v>2444</v>
      </c>
      <c r="G1602" s="2" t="s">
        <v>5338</v>
      </c>
      <c r="H1602" s="2"/>
      <c r="I1602" s="3" t="b">
        <f>OR(E1602 = "calculated", E1602 = "lookup", E1602 = "aggregation")</f>
        <v>1</v>
      </c>
      <c r="J1602" s="3" t="b">
        <f>H1602 &lt;&gt; ""</f>
        <v>0</v>
      </c>
      <c r="K1602" s="3">
        <f>COUNTIFS(FieldDisagreements!D2:D999, A1602)</f>
        <v>0</v>
      </c>
      <c r="L1602" s="3" t="b">
        <f>K1602 &gt; 0</f>
        <v>0</v>
      </c>
      <c r="M1602" s="2" t="s">
        <v>2387</v>
      </c>
    </row>
    <row r="1603">
      <c r="A1603" s="2" t="s">
        <v>5339</v>
      </c>
      <c r="B1603" s="3" t="str">
        <f>C1603 &amp; "." &amp; D1603</f>
        <v>AccessPrincipals.HasNoAccess</v>
      </c>
      <c r="C1603" s="2" t="s">
        <v>5313</v>
      </c>
      <c r="D1603" s="2" t="s">
        <v>5340</v>
      </c>
      <c r="E1603" s="2" t="s">
        <v>2389</v>
      </c>
      <c r="F1603" s="2" t="s">
        <v>2401</v>
      </c>
      <c r="G1603" s="2" t="s">
        <v>5308</v>
      </c>
      <c r="H1603" s="2"/>
      <c r="I1603" s="3" t="b">
        <f>OR(E1603 = "calculated", E1603 = "lookup", E1603 = "aggregation")</f>
        <v>1</v>
      </c>
      <c r="J1603" s="3" t="b">
        <f>H1603 &lt;&gt; ""</f>
        <v>0</v>
      </c>
      <c r="K1603" s="3">
        <f>COUNTIFS(FieldDisagreements!D2:D999, A1603)</f>
        <v>0</v>
      </c>
      <c r="L1603" s="3" t="b">
        <f>K1603 &gt; 0</f>
        <v>0</v>
      </c>
      <c r="M1603" s="2" t="s">
        <v>2387</v>
      </c>
    </row>
    <row r="1604">
      <c r="A1604" s="2" t="s">
        <v>5341</v>
      </c>
      <c r="B1604" s="3" t="str">
        <f>C1604 &amp; "." &amp; D1604</f>
        <v>AccessPrincipals.IsOverPrivileged</v>
      </c>
      <c r="C1604" s="2" t="s">
        <v>5313</v>
      </c>
      <c r="D1604" s="2" t="s">
        <v>5342</v>
      </c>
      <c r="E1604" s="2" t="s">
        <v>2389</v>
      </c>
      <c r="F1604" s="2" t="s">
        <v>2401</v>
      </c>
      <c r="G1604" s="2" t="s">
        <v>5343</v>
      </c>
      <c r="H1604" s="2"/>
      <c r="I1604" s="3" t="b">
        <f>OR(E1604 = "calculated", E1604 = "lookup", E1604 = "aggregation")</f>
        <v>1</v>
      </c>
      <c r="J1604" s="3" t="b">
        <f>H1604 &lt;&gt; ""</f>
        <v>0</v>
      </c>
      <c r="K1604" s="3">
        <f>COUNTIFS(FieldDisagreements!D2:D999, A1604)</f>
        <v>0</v>
      </c>
      <c r="L1604" s="3" t="b">
        <f>K1604 &gt; 0</f>
        <v>0</v>
      </c>
      <c r="M1604" s="2" t="s">
        <v>2387</v>
      </c>
    </row>
    <row r="1605">
      <c r="A1605" s="2" t="s">
        <v>5344</v>
      </c>
      <c r="B1605" s="3" t="str">
        <f>C1605 &amp; "." &amp; D1605</f>
        <v>AccessPrincipals.SemanticTypeIri</v>
      </c>
      <c r="C1605" s="2" t="s">
        <v>5313</v>
      </c>
      <c r="D1605" s="2" t="s">
        <v>94</v>
      </c>
      <c r="E1605" s="2" t="s">
        <v>2385</v>
      </c>
      <c r="F1605" s="2" t="s">
        <v>2386</v>
      </c>
      <c r="G1605" s="2"/>
      <c r="H1605" s="2"/>
      <c r="I1605" s="3" t="b">
        <f>OR(E1605 = "calculated", E1605 = "lookup", E1605 = "aggregation")</f>
        <v>0</v>
      </c>
      <c r="J1605" s="3" t="b">
        <f>H1605 &lt;&gt; ""</f>
        <v>0</v>
      </c>
      <c r="K1605" s="3">
        <f>COUNTIFS(FieldDisagreements!D2:D999, A1605)</f>
        <v>0</v>
      </c>
      <c r="L1605" s="3" t="b">
        <f>K1605 &gt; 0</f>
        <v>0</v>
      </c>
      <c r="M1605" s="2" t="s">
        <v>2387</v>
      </c>
    </row>
    <row r="1606">
      <c r="A1606" s="2" t="s">
        <v>5345</v>
      </c>
      <c r="B1606" s="3" t="str">
        <f>C1606 &amp; "." &amp; D1606</f>
        <v>AccessPolicies.AccessPolicyId</v>
      </c>
      <c r="C1606" s="2" t="s">
        <v>5346</v>
      </c>
      <c r="D1606" s="2" t="s">
        <v>5347</v>
      </c>
      <c r="E1606" s="2" t="s">
        <v>2385</v>
      </c>
      <c r="F1606" s="2" t="s">
        <v>2386</v>
      </c>
      <c r="G1606" s="2"/>
      <c r="H1606" s="2"/>
      <c r="I1606" s="3" t="b">
        <f>OR(E1606 = "calculated", E1606 = "lookup", E1606 = "aggregation")</f>
        <v>0</v>
      </c>
      <c r="J1606" s="3" t="b">
        <f>H1606 &lt;&gt; ""</f>
        <v>0</v>
      </c>
      <c r="K1606" s="3">
        <f>COUNTIFS(FieldDisagreements!D2:D999, A1606)</f>
        <v>0</v>
      </c>
      <c r="L1606" s="3" t="b">
        <f>K1606 &gt; 0</f>
        <v>0</v>
      </c>
      <c r="M1606" s="2" t="s">
        <v>2387</v>
      </c>
    </row>
    <row r="1607">
      <c r="A1607" s="2" t="s">
        <v>5348</v>
      </c>
      <c r="B1607" s="3" t="str">
        <f>C1607 &amp; "." &amp; D1607</f>
        <v>AccessPolicies.Name</v>
      </c>
      <c r="C1607" s="2" t="s">
        <v>5346</v>
      </c>
      <c r="D1607" s="2" t="s">
        <v>1</v>
      </c>
      <c r="E1607" s="2" t="s">
        <v>2389</v>
      </c>
      <c r="F1607" s="2" t="s">
        <v>2386</v>
      </c>
      <c r="G1607" s="2" t="s">
        <v>5349</v>
      </c>
      <c r="H1607" s="2"/>
      <c r="I1607" s="3" t="b">
        <f>OR(E1607 = "calculated", E1607 = "lookup", E1607 = "aggregation")</f>
        <v>1</v>
      </c>
      <c r="J1607" s="3" t="b">
        <f>H1607 &lt;&gt; ""</f>
        <v>0</v>
      </c>
      <c r="K1607" s="3">
        <f>COUNTIFS(FieldDisagreements!D2:D999, A1607)</f>
        <v>0</v>
      </c>
      <c r="L1607" s="3" t="b">
        <f>K1607 &gt; 0</f>
        <v>0</v>
      </c>
      <c r="M1607" s="2" t="s">
        <v>2387</v>
      </c>
    </row>
    <row r="1608">
      <c r="A1608" s="2" t="s">
        <v>5350</v>
      </c>
      <c r="B1608" s="3" t="str">
        <f>C1608 &amp; "." &amp; D1608</f>
        <v>AccessPolicies.Principal</v>
      </c>
      <c r="C1608" s="2" t="s">
        <v>5346</v>
      </c>
      <c r="D1608" s="2" t="s">
        <v>5351</v>
      </c>
      <c r="E1608" s="2" t="s">
        <v>2434</v>
      </c>
      <c r="F1608" s="2" t="s">
        <v>2386</v>
      </c>
      <c r="G1608" s="2"/>
      <c r="H1608" s="2"/>
      <c r="I1608" s="3" t="b">
        <f>OR(E1608 = "calculated", E1608 = "lookup", E1608 = "aggregation")</f>
        <v>0</v>
      </c>
      <c r="J1608" s="3" t="b">
        <f>H1608 &lt;&gt; ""</f>
        <v>0</v>
      </c>
      <c r="K1608" s="3">
        <f>COUNTIFS(FieldDisagreements!D2:D999, A1608)</f>
        <v>0</v>
      </c>
      <c r="L1608" s="3" t="b">
        <f>K1608 &gt; 0</f>
        <v>0</v>
      </c>
      <c r="M1608" s="2" t="s">
        <v>2387</v>
      </c>
    </row>
    <row r="1609">
      <c r="A1609" s="2" t="s">
        <v>5352</v>
      </c>
      <c r="B1609" s="3" t="str">
        <f>C1609 &amp; "." &amp; D1609</f>
        <v>AccessPolicies.TargetTable</v>
      </c>
      <c r="C1609" s="2" t="s">
        <v>5346</v>
      </c>
      <c r="D1609" s="2" t="s">
        <v>2373</v>
      </c>
      <c r="E1609" s="2" t="s">
        <v>2434</v>
      </c>
      <c r="F1609" s="2" t="s">
        <v>2386</v>
      </c>
      <c r="G1609" s="2"/>
      <c r="H1609" s="2"/>
      <c r="I1609" s="3" t="b">
        <f>OR(E1609 = "calculated", E1609 = "lookup", E1609 = "aggregation")</f>
        <v>0</v>
      </c>
      <c r="J1609" s="3" t="b">
        <f>H1609 &lt;&gt; ""</f>
        <v>0</v>
      </c>
      <c r="K1609" s="3">
        <f>COUNTIFS(FieldDisagreements!D2:D999, A1609)</f>
        <v>0</v>
      </c>
      <c r="L1609" s="3" t="b">
        <f>K1609 &gt; 0</f>
        <v>0</v>
      </c>
      <c r="M1609" s="2" t="s">
        <v>2387</v>
      </c>
    </row>
    <row r="1610">
      <c r="A1610" s="2" t="s">
        <v>5353</v>
      </c>
      <c r="B1610" s="3" t="str">
        <f>C1610 &amp; "." &amp; D1610</f>
        <v>AccessPolicies.Command</v>
      </c>
      <c r="C1610" s="2" t="s">
        <v>5346</v>
      </c>
      <c r="D1610" s="2" t="s">
        <v>5354</v>
      </c>
      <c r="E1610" s="2" t="s">
        <v>2385</v>
      </c>
      <c r="F1610" s="2" t="s">
        <v>2386</v>
      </c>
      <c r="G1610" s="2"/>
      <c r="H1610" s="2"/>
      <c r="I1610" s="3" t="b">
        <f>OR(E1610 = "calculated", E1610 = "lookup", E1610 = "aggregation")</f>
        <v>0</v>
      </c>
      <c r="J1610" s="3" t="b">
        <f>H1610 &lt;&gt; ""</f>
        <v>0</v>
      </c>
      <c r="K1610" s="3">
        <f>COUNTIFS(FieldDisagreements!D2:D999, A1610)</f>
        <v>0</v>
      </c>
      <c r="L1610" s="3" t="b">
        <f>K1610 &gt; 0</f>
        <v>0</v>
      </c>
      <c r="M1610" s="2" t="s">
        <v>2387</v>
      </c>
    </row>
    <row r="1611">
      <c r="A1611" s="2" t="s">
        <v>5355</v>
      </c>
      <c r="B1611" s="3" t="str">
        <f>C1611 &amp; "." &amp; D1611</f>
        <v>AccessPolicies.RowPredicate</v>
      </c>
      <c r="C1611" s="2" t="s">
        <v>5346</v>
      </c>
      <c r="D1611" s="2" t="s">
        <v>5356</v>
      </c>
      <c r="E1611" s="2" t="s">
        <v>2385</v>
      </c>
      <c r="F1611" s="2" t="s">
        <v>2386</v>
      </c>
      <c r="G1611" s="2"/>
      <c r="H1611" s="2"/>
      <c r="I1611" s="3" t="b">
        <f>OR(E1611 = "calculated", E1611 = "lookup", E1611 = "aggregation")</f>
        <v>0</v>
      </c>
      <c r="J1611" s="3" t="b">
        <f>H1611 &lt;&gt; ""</f>
        <v>0</v>
      </c>
      <c r="K1611" s="3">
        <f>COUNTIFS(FieldDisagreements!D2:D999, A1611)</f>
        <v>0</v>
      </c>
      <c r="L1611" s="3" t="b">
        <f>K1611 &gt; 0</f>
        <v>0</v>
      </c>
      <c r="M1611" s="2" t="s">
        <v>2387</v>
      </c>
    </row>
    <row r="1612">
      <c r="A1612" s="2" t="s">
        <v>5357</v>
      </c>
      <c r="B1612" s="3" t="str">
        <f>C1612 &amp; "." &amp; D1612</f>
        <v>AccessPolicies.CheckPredicate</v>
      </c>
      <c r="C1612" s="2" t="s">
        <v>5346</v>
      </c>
      <c r="D1612" s="2" t="s">
        <v>5358</v>
      </c>
      <c r="E1612" s="2" t="s">
        <v>2385</v>
      </c>
      <c r="F1612" s="2" t="s">
        <v>2386</v>
      </c>
      <c r="G1612" s="2"/>
      <c r="H1612" s="2"/>
      <c r="I1612" s="3" t="b">
        <f>OR(E1612 = "calculated", E1612 = "lookup", E1612 = "aggregation")</f>
        <v>0</v>
      </c>
      <c r="J1612" s="3" t="b">
        <f>H1612 &lt;&gt; ""</f>
        <v>0</v>
      </c>
      <c r="K1612" s="3">
        <f>COUNTIFS(FieldDisagreements!D2:D999, A1612)</f>
        <v>0</v>
      </c>
      <c r="L1612" s="3" t="b">
        <f>K1612 &gt; 0</f>
        <v>0</v>
      </c>
      <c r="M1612" s="2" t="s">
        <v>2387</v>
      </c>
    </row>
    <row r="1613">
      <c r="A1613" s="2" t="s">
        <v>5359</v>
      </c>
      <c r="B1613" s="3" t="str">
        <f>C1613 &amp; "." &amp; D1613</f>
        <v>AccessPolicies.Rationale</v>
      </c>
      <c r="C1613" s="2" t="s">
        <v>5346</v>
      </c>
      <c r="D1613" s="2" t="s">
        <v>93</v>
      </c>
      <c r="E1613" s="2" t="s">
        <v>2385</v>
      </c>
      <c r="F1613" s="2" t="s">
        <v>2386</v>
      </c>
      <c r="G1613" s="2"/>
      <c r="H1613" s="2"/>
      <c r="I1613" s="3" t="b">
        <f>OR(E1613 = "calculated", E1613 = "lookup", E1613 = "aggregation")</f>
        <v>0</v>
      </c>
      <c r="J1613" s="3" t="b">
        <f>H1613 &lt;&gt; ""</f>
        <v>0</v>
      </c>
      <c r="K1613" s="3">
        <f>COUNTIFS(FieldDisagreements!D2:D999, A1613)</f>
        <v>0</v>
      </c>
      <c r="L1613" s="3" t="b">
        <f>K1613 &gt; 0</f>
        <v>0</v>
      </c>
      <c r="M1613" s="2" t="s">
        <v>2387</v>
      </c>
    </row>
    <row r="1614">
      <c r="A1614" s="2" t="s">
        <v>5360</v>
      </c>
      <c r="B1614" s="3" t="str">
        <f>C1614 &amp; "." &amp; D1614</f>
        <v>AccessPolicies.ReferencesInference</v>
      </c>
      <c r="C1614" s="2" t="s">
        <v>5346</v>
      </c>
      <c r="D1614" s="2" t="s">
        <v>5361</v>
      </c>
      <c r="E1614" s="2" t="s">
        <v>2385</v>
      </c>
      <c r="F1614" s="2" t="s">
        <v>2401</v>
      </c>
      <c r="G1614" s="2"/>
      <c r="H1614" s="2"/>
      <c r="I1614" s="3" t="b">
        <f>OR(E1614 = "calculated", E1614 = "lookup", E1614 = "aggregation")</f>
        <v>0</v>
      </c>
      <c r="J1614" s="3" t="b">
        <f>H1614 &lt;&gt; ""</f>
        <v>0</v>
      </c>
      <c r="K1614" s="3">
        <f>COUNTIFS(FieldDisagreements!D2:D999, A1614)</f>
        <v>0</v>
      </c>
      <c r="L1614" s="3" t="b">
        <f>K1614 &gt; 0</f>
        <v>0</v>
      </c>
      <c r="M1614" s="2" t="s">
        <v>2387</v>
      </c>
    </row>
    <row r="1615">
      <c r="A1615" s="2" t="s">
        <v>5362</v>
      </c>
      <c r="B1615" s="3" t="str">
        <f>C1615 &amp; "." &amp; D1615</f>
        <v>AccessPolicies.IsWriteCommand</v>
      </c>
      <c r="C1615" s="2" t="s">
        <v>5346</v>
      </c>
      <c r="D1615" s="2" t="s">
        <v>5363</v>
      </c>
      <c r="E1615" s="2" t="s">
        <v>2389</v>
      </c>
      <c r="F1615" s="2" t="s">
        <v>2401</v>
      </c>
      <c r="G1615" s="2" t="s">
        <v>5364</v>
      </c>
      <c r="H1615" s="2"/>
      <c r="I1615" s="3" t="b">
        <f>OR(E1615 = "calculated", E1615 = "lookup", E1615 = "aggregation")</f>
        <v>1</v>
      </c>
      <c r="J1615" s="3" t="b">
        <f>H1615 &lt;&gt; ""</f>
        <v>0</v>
      </c>
      <c r="K1615" s="3">
        <f>COUNTIFS(FieldDisagreements!D2:D999, A1615)</f>
        <v>0</v>
      </c>
      <c r="L1615" s="3" t="b">
        <f>K1615 &gt; 0</f>
        <v>0</v>
      </c>
      <c r="M1615" s="2" t="s">
        <v>2387</v>
      </c>
    </row>
    <row r="1616">
      <c r="A1616" s="2" t="s">
        <v>5365</v>
      </c>
      <c r="B1616" s="3" t="str">
        <f>C1616 &amp; "." &amp; D1616</f>
        <v>AccessPolicies.IsUnrestricted</v>
      </c>
      <c r="C1616" s="2" t="s">
        <v>5346</v>
      </c>
      <c r="D1616" s="2" t="s">
        <v>5366</v>
      </c>
      <c r="E1616" s="2" t="s">
        <v>2389</v>
      </c>
      <c r="F1616" s="2" t="s">
        <v>2401</v>
      </c>
      <c r="G1616" s="2" t="s">
        <v>5367</v>
      </c>
      <c r="H1616" s="2"/>
      <c r="I1616" s="3" t="b">
        <f>OR(E1616 = "calculated", E1616 = "lookup", E1616 = "aggregation")</f>
        <v>1</v>
      </c>
      <c r="J1616" s="3" t="b">
        <f>H1616 &lt;&gt; ""</f>
        <v>0</v>
      </c>
      <c r="K1616" s="3">
        <f>COUNTIFS(FieldDisagreements!D2:D999, A1616)</f>
        <v>0</v>
      </c>
      <c r="L1616" s="3" t="b">
        <f>K1616 &gt; 0</f>
        <v>0</v>
      </c>
      <c r="M1616" s="2" t="s">
        <v>2387</v>
      </c>
    </row>
    <row r="1617">
      <c r="A1617" s="2" t="s">
        <v>5368</v>
      </c>
      <c r="B1617" s="3" t="str">
        <f>C1617 &amp; "." &amp; D1617</f>
        <v>AccessPolicies.PrincipalIsAdmin</v>
      </c>
      <c r="C1617" s="2" t="s">
        <v>5346</v>
      </c>
      <c r="D1617" s="2" t="s">
        <v>5369</v>
      </c>
      <c r="E1617" s="2" t="s">
        <v>2478</v>
      </c>
      <c r="F1617" s="2" t="s">
        <v>2401</v>
      </c>
      <c r="G1617" s="2" t="s">
        <v>5370</v>
      </c>
      <c r="H1617" s="2"/>
      <c r="I1617" s="3" t="b">
        <f>OR(E1617 = "calculated", E1617 = "lookup", E1617 = "aggregation")</f>
        <v>1</v>
      </c>
      <c r="J1617" s="3" t="b">
        <f>H1617 &lt;&gt; ""</f>
        <v>0</v>
      </c>
      <c r="K1617" s="3">
        <f>COUNTIFS(FieldDisagreements!D2:D999, A1617)</f>
        <v>0</v>
      </c>
      <c r="L1617" s="3" t="b">
        <f>K1617 &gt; 0</f>
        <v>0</v>
      </c>
      <c r="M1617" s="2" t="s">
        <v>2387</v>
      </c>
    </row>
    <row r="1618">
      <c r="A1618" s="2" t="s">
        <v>5371</v>
      </c>
      <c r="B1618" s="3" t="str">
        <f>C1618 &amp; "." &amp; D1618</f>
        <v>AccessPolicies.IsUnrestrictedNonAdminGrant</v>
      </c>
      <c r="C1618" s="2" t="s">
        <v>5346</v>
      </c>
      <c r="D1618" s="2" t="s">
        <v>5372</v>
      </c>
      <c r="E1618" s="2" t="s">
        <v>2389</v>
      </c>
      <c r="F1618" s="2" t="s">
        <v>2401</v>
      </c>
      <c r="G1618" s="2" t="s">
        <v>5373</v>
      </c>
      <c r="H1618" s="2"/>
      <c r="I1618" s="3" t="b">
        <f>OR(E1618 = "calculated", E1618 = "lookup", E1618 = "aggregation")</f>
        <v>1</v>
      </c>
      <c r="J1618" s="3" t="b">
        <f>H1618 &lt;&gt; ""</f>
        <v>0</v>
      </c>
      <c r="K1618" s="3">
        <f>COUNTIFS(FieldDisagreements!D2:D999, A1618)</f>
        <v>0</v>
      </c>
      <c r="L1618" s="3" t="b">
        <f>K1618 &gt; 0</f>
        <v>0</v>
      </c>
      <c r="M1618" s="2" t="s">
        <v>2387</v>
      </c>
    </row>
    <row r="1619">
      <c r="A1619" s="2" t="s">
        <v>5374</v>
      </c>
      <c r="B1619" s="3" t="str">
        <f>C1619 &amp; "." &amp; D1619</f>
        <v>AccessPolicies.IsUnwitnessedWrite</v>
      </c>
      <c r="C1619" s="2" t="s">
        <v>5346</v>
      </c>
      <c r="D1619" s="2" t="s">
        <v>5375</v>
      </c>
      <c r="E1619" s="2" t="s">
        <v>2389</v>
      </c>
      <c r="F1619" s="2" t="s">
        <v>2401</v>
      </c>
      <c r="G1619" s="2" t="s">
        <v>5376</v>
      </c>
      <c r="H1619" s="2"/>
      <c r="I1619" s="3" t="b">
        <f>OR(E1619 = "calculated", E1619 = "lookup", E1619 = "aggregation")</f>
        <v>1</v>
      </c>
      <c r="J1619" s="3" t="b">
        <f>H1619 &lt;&gt; ""</f>
        <v>0</v>
      </c>
      <c r="K1619" s="3">
        <f>COUNTIFS(FieldDisagreements!D2:D999, A1619)</f>
        <v>0</v>
      </c>
      <c r="L1619" s="3" t="b">
        <f>K1619 &gt; 0</f>
        <v>0</v>
      </c>
      <c r="M1619" s="2" t="s">
        <v>2387</v>
      </c>
    </row>
    <row r="1620">
      <c r="A1620" s="2" t="s">
        <v>5377</v>
      </c>
      <c r="B1620" s="3" t="str">
        <f>C1620 &amp; "." &amp; D1620</f>
        <v>AccessPolicies.DenialTestCount</v>
      </c>
      <c r="C1620" s="2" t="s">
        <v>5346</v>
      </c>
      <c r="D1620" s="2" t="s">
        <v>5378</v>
      </c>
      <c r="E1620" s="2" t="s">
        <v>2438</v>
      </c>
      <c r="F1620" s="2" t="s">
        <v>2444</v>
      </c>
      <c r="G1620" s="2" t="s">
        <v>5379</v>
      </c>
      <c r="H1620" s="2"/>
      <c r="I1620" s="3" t="b">
        <f>OR(E1620 = "calculated", E1620 = "lookup", E1620 = "aggregation")</f>
        <v>1</v>
      </c>
      <c r="J1620" s="3" t="b">
        <f>H1620 &lt;&gt; ""</f>
        <v>0</v>
      </c>
      <c r="K1620" s="3">
        <f>COUNTIFS(FieldDisagreements!D2:D999, A1620)</f>
        <v>0</v>
      </c>
      <c r="L1620" s="3" t="b">
        <f>K1620 &gt; 0</f>
        <v>0</v>
      </c>
      <c r="M1620" s="2" t="s">
        <v>2387</v>
      </c>
    </row>
    <row r="1621">
      <c r="A1621" s="2" t="s">
        <v>5380</v>
      </c>
      <c r="B1621" s="3" t="str">
        <f>C1621 &amp; "." &amp; D1621</f>
        <v>AccessPolicies.SemanticTypeIri</v>
      </c>
      <c r="C1621" s="2" t="s">
        <v>5346</v>
      </c>
      <c r="D1621" s="2" t="s">
        <v>94</v>
      </c>
      <c r="E1621" s="2" t="s">
        <v>2385</v>
      </c>
      <c r="F1621" s="2" t="s">
        <v>2386</v>
      </c>
      <c r="G1621" s="2"/>
      <c r="H1621" s="2"/>
      <c r="I1621" s="3" t="b">
        <f>OR(E1621 = "calculated", E1621 = "lookup", E1621 = "aggregation")</f>
        <v>0</v>
      </c>
      <c r="J1621" s="3" t="b">
        <f>H1621 &lt;&gt; ""</f>
        <v>0</v>
      </c>
      <c r="K1621" s="3">
        <f>COUNTIFS(FieldDisagreements!D2:D999, A1621)</f>
        <v>0</v>
      </c>
      <c r="L1621" s="3" t="b">
        <f>K1621 &gt; 0</f>
        <v>0</v>
      </c>
      <c r="M1621" s="2" t="s">
        <v>2387</v>
      </c>
    </row>
    <row r="1622">
      <c r="A1622" s="2" t="s">
        <v>5381</v>
      </c>
      <c r="B1622" s="3" t="str">
        <f>C1622 &amp; "." &amp; D1622</f>
        <v>FieldGrants.FieldGrantId</v>
      </c>
      <c r="C1622" s="2" t="s">
        <v>5382</v>
      </c>
      <c r="D1622" s="2" t="s">
        <v>5383</v>
      </c>
      <c r="E1622" s="2" t="s">
        <v>2385</v>
      </c>
      <c r="F1622" s="2" t="s">
        <v>2386</v>
      </c>
      <c r="G1622" s="2"/>
      <c r="H1622" s="2"/>
      <c r="I1622" s="3" t="b">
        <f>OR(E1622 = "calculated", E1622 = "lookup", E1622 = "aggregation")</f>
        <v>0</v>
      </c>
      <c r="J1622" s="3" t="b">
        <f>H1622 &lt;&gt; ""</f>
        <v>0</v>
      </c>
      <c r="K1622" s="3">
        <f>COUNTIFS(FieldDisagreements!D2:D999, A1622)</f>
        <v>0</v>
      </c>
      <c r="L1622" s="3" t="b">
        <f>K1622 &gt; 0</f>
        <v>0</v>
      </c>
      <c r="M1622" s="2" t="s">
        <v>2387</v>
      </c>
    </row>
    <row r="1623">
      <c r="A1623" s="2" t="s">
        <v>5384</v>
      </c>
      <c r="B1623" s="3" t="str">
        <f>C1623 &amp; "." &amp; D1623</f>
        <v>FieldGrants.Name</v>
      </c>
      <c r="C1623" s="2" t="s">
        <v>5382</v>
      </c>
      <c r="D1623" s="2" t="s">
        <v>1</v>
      </c>
      <c r="E1623" s="2" t="s">
        <v>2389</v>
      </c>
      <c r="F1623" s="2" t="s">
        <v>2386</v>
      </c>
      <c r="G1623" s="2" t="s">
        <v>5385</v>
      </c>
      <c r="H1623" s="2"/>
      <c r="I1623" s="3" t="b">
        <f>OR(E1623 = "calculated", E1623 = "lookup", E1623 = "aggregation")</f>
        <v>1</v>
      </c>
      <c r="J1623" s="3" t="b">
        <f>H1623 &lt;&gt; ""</f>
        <v>0</v>
      </c>
      <c r="K1623" s="3">
        <f>COUNTIFS(FieldDisagreements!D2:D999, A1623)</f>
        <v>0</v>
      </c>
      <c r="L1623" s="3" t="b">
        <f>K1623 &gt; 0</f>
        <v>0</v>
      </c>
      <c r="M1623" s="2" t="s">
        <v>2387</v>
      </c>
    </row>
    <row r="1624">
      <c r="A1624" s="2" t="s">
        <v>5386</v>
      </c>
      <c r="B1624" s="3" t="str">
        <f>C1624 &amp; "." &amp; D1624</f>
        <v>FieldGrants.Principal</v>
      </c>
      <c r="C1624" s="2" t="s">
        <v>5382</v>
      </c>
      <c r="D1624" s="2" t="s">
        <v>5351</v>
      </c>
      <c r="E1624" s="2" t="s">
        <v>2434</v>
      </c>
      <c r="F1624" s="2" t="s">
        <v>2386</v>
      </c>
      <c r="G1624" s="2"/>
      <c r="H1624" s="2"/>
      <c r="I1624" s="3" t="b">
        <f>OR(E1624 = "calculated", E1624 = "lookup", E1624 = "aggregation")</f>
        <v>0</v>
      </c>
      <c r="J1624" s="3" t="b">
        <f>H1624 &lt;&gt; ""</f>
        <v>0</v>
      </c>
      <c r="K1624" s="3">
        <f>COUNTIFS(FieldDisagreements!D2:D999, A1624)</f>
        <v>0</v>
      </c>
      <c r="L1624" s="3" t="b">
        <f>K1624 &gt; 0</f>
        <v>0</v>
      </c>
      <c r="M1624" s="2" t="s">
        <v>2387</v>
      </c>
    </row>
    <row r="1625">
      <c r="A1625" s="2" t="s">
        <v>5387</v>
      </c>
      <c r="B1625" s="3" t="str">
        <f>C1625 &amp; "." &amp; D1625</f>
        <v>FieldGrants.TargetField</v>
      </c>
      <c r="C1625" s="2" t="s">
        <v>5382</v>
      </c>
      <c r="D1625" s="2" t="s">
        <v>4153</v>
      </c>
      <c r="E1625" s="2" t="s">
        <v>2434</v>
      </c>
      <c r="F1625" s="2" t="s">
        <v>2386</v>
      </c>
      <c r="G1625" s="2"/>
      <c r="H1625" s="2"/>
      <c r="I1625" s="3" t="b">
        <f>OR(E1625 = "calculated", E1625 = "lookup", E1625 = "aggregation")</f>
        <v>0</v>
      </c>
      <c r="J1625" s="3" t="b">
        <f>H1625 &lt;&gt; ""</f>
        <v>0</v>
      </c>
      <c r="K1625" s="3">
        <f>COUNTIFS(FieldDisagreements!D2:D999, A1625)</f>
        <v>0</v>
      </c>
      <c r="L1625" s="3" t="b">
        <f>K1625 &gt; 0</f>
        <v>0</v>
      </c>
      <c r="M1625" s="2" t="s">
        <v>2387</v>
      </c>
    </row>
    <row r="1626">
      <c r="A1626" s="2" t="s">
        <v>5388</v>
      </c>
      <c r="B1626" s="3" t="str">
        <f>C1626 &amp; "." &amp; D1626</f>
        <v>FieldGrants.CanRead</v>
      </c>
      <c r="C1626" s="2" t="s">
        <v>5382</v>
      </c>
      <c r="D1626" s="2" t="s">
        <v>5389</v>
      </c>
      <c r="E1626" s="2" t="s">
        <v>2385</v>
      </c>
      <c r="F1626" s="2" t="s">
        <v>2401</v>
      </c>
      <c r="G1626" s="2"/>
      <c r="H1626" s="2"/>
      <c r="I1626" s="3" t="b">
        <f>OR(E1626 = "calculated", E1626 = "lookup", E1626 = "aggregation")</f>
        <v>0</v>
      </c>
      <c r="J1626" s="3" t="b">
        <f>H1626 &lt;&gt; ""</f>
        <v>0</v>
      </c>
      <c r="K1626" s="3">
        <f>COUNTIFS(FieldDisagreements!D2:D999, A1626)</f>
        <v>0</v>
      </c>
      <c r="L1626" s="3" t="b">
        <f>K1626 &gt; 0</f>
        <v>0</v>
      </c>
      <c r="M1626" s="2" t="s">
        <v>2387</v>
      </c>
    </row>
    <row r="1627">
      <c r="A1627" s="2" t="s">
        <v>5390</v>
      </c>
      <c r="B1627" s="3" t="str">
        <f>C1627 &amp; "." &amp; D1627</f>
        <v>FieldGrants.CanWrite</v>
      </c>
      <c r="C1627" s="2" t="s">
        <v>5382</v>
      </c>
      <c r="D1627" s="2" t="s">
        <v>5391</v>
      </c>
      <c r="E1627" s="2" t="s">
        <v>2385</v>
      </c>
      <c r="F1627" s="2" t="s">
        <v>2401</v>
      </c>
      <c r="G1627" s="2"/>
      <c r="H1627" s="2"/>
      <c r="I1627" s="3" t="b">
        <f>OR(E1627 = "calculated", E1627 = "lookup", E1627 = "aggregation")</f>
        <v>0</v>
      </c>
      <c r="J1627" s="3" t="b">
        <f>H1627 &lt;&gt; ""</f>
        <v>0</v>
      </c>
      <c r="K1627" s="3">
        <f>COUNTIFS(FieldDisagreements!D2:D999, A1627)</f>
        <v>0</v>
      </c>
      <c r="L1627" s="3" t="b">
        <f>K1627 &gt; 0</f>
        <v>0</v>
      </c>
      <c r="M1627" s="2" t="s">
        <v>2387</v>
      </c>
    </row>
    <row r="1628">
      <c r="A1628" s="2" t="s">
        <v>5392</v>
      </c>
      <c r="B1628" s="3" t="str">
        <f>C1628 &amp; "." &amp; D1628</f>
        <v>FieldGrants.MaskStrategy</v>
      </c>
      <c r="C1628" s="2" t="s">
        <v>5382</v>
      </c>
      <c r="D1628" s="2" t="s">
        <v>5393</v>
      </c>
      <c r="E1628" s="2" t="s">
        <v>2385</v>
      </c>
      <c r="F1628" s="2" t="s">
        <v>2386</v>
      </c>
      <c r="G1628" s="2"/>
      <c r="H1628" s="2"/>
      <c r="I1628" s="3" t="b">
        <f>OR(E1628 = "calculated", E1628 = "lookup", E1628 = "aggregation")</f>
        <v>0</v>
      </c>
      <c r="J1628" s="3" t="b">
        <f>H1628 &lt;&gt; ""</f>
        <v>0</v>
      </c>
      <c r="K1628" s="3">
        <f>COUNTIFS(FieldDisagreements!D2:D999, A1628)</f>
        <v>0</v>
      </c>
      <c r="L1628" s="3" t="b">
        <f>K1628 &gt; 0</f>
        <v>0</v>
      </c>
      <c r="M1628" s="2" t="s">
        <v>2387</v>
      </c>
    </row>
    <row r="1629">
      <c r="A1629" s="2" t="s">
        <v>5394</v>
      </c>
      <c r="B1629" s="3" t="str">
        <f>C1629 &amp; "." &amp; D1629</f>
        <v>FieldGrants.FieldTable</v>
      </c>
      <c r="C1629" s="2" t="s">
        <v>5382</v>
      </c>
      <c r="D1629" s="2" t="s">
        <v>5395</v>
      </c>
      <c r="E1629" s="2" t="s">
        <v>2478</v>
      </c>
      <c r="F1629" s="2" t="s">
        <v>2386</v>
      </c>
      <c r="G1629" s="2" t="s">
        <v>5396</v>
      </c>
      <c r="H1629" s="2"/>
      <c r="I1629" s="3" t="b">
        <f>OR(E1629 = "calculated", E1629 = "lookup", E1629 = "aggregation")</f>
        <v>1</v>
      </c>
      <c r="J1629" s="3" t="b">
        <f>H1629 &lt;&gt; ""</f>
        <v>0</v>
      </c>
      <c r="K1629" s="3">
        <f>COUNTIFS(FieldDisagreements!D2:D999, A1629)</f>
        <v>1</v>
      </c>
      <c r="L1629" s="3" t="b">
        <f>K1629 &gt; 0</f>
        <v>1</v>
      </c>
      <c r="M1629" s="2" t="s">
        <v>2387</v>
      </c>
    </row>
    <row r="1630">
      <c r="A1630" s="2" t="s">
        <v>5397</v>
      </c>
      <c r="B1630" s="3" t="str">
        <f>C1630 &amp; "." &amp; D1630</f>
        <v>FieldGrants.FieldName</v>
      </c>
      <c r="C1630" s="2" t="s">
        <v>5382</v>
      </c>
      <c r="D1630" s="2" t="s">
        <v>2374</v>
      </c>
      <c r="E1630" s="2" t="s">
        <v>2478</v>
      </c>
      <c r="F1630" s="2" t="s">
        <v>2386</v>
      </c>
      <c r="G1630" s="2" t="s">
        <v>5398</v>
      </c>
      <c r="H1630" s="2"/>
      <c r="I1630" s="3" t="b">
        <f>OR(E1630 = "calculated", E1630 = "lookup", E1630 = "aggregation")</f>
        <v>1</v>
      </c>
      <c r="J1630" s="3" t="b">
        <f>H1630 &lt;&gt; ""</f>
        <v>0</v>
      </c>
      <c r="K1630" s="3">
        <f>COUNTIFS(FieldDisagreements!D2:D999, A1630)</f>
        <v>1</v>
      </c>
      <c r="L1630" s="3" t="b">
        <f>K1630 &gt; 0</f>
        <v>1</v>
      </c>
      <c r="M1630" s="2" t="s">
        <v>2387</v>
      </c>
    </row>
    <row r="1631">
      <c r="A1631" s="2" t="s">
        <v>5399</v>
      </c>
      <c r="B1631" s="3" t="str">
        <f>C1631 &amp; "." &amp; D1631</f>
        <v>FieldGrants.FieldIsDerived</v>
      </c>
      <c r="C1631" s="2" t="s">
        <v>5382</v>
      </c>
      <c r="D1631" s="2" t="s">
        <v>5400</v>
      </c>
      <c r="E1631" s="2" t="s">
        <v>2478</v>
      </c>
      <c r="F1631" s="2" t="s">
        <v>2401</v>
      </c>
      <c r="G1631" s="2" t="s">
        <v>5401</v>
      </c>
      <c r="H1631" s="2"/>
      <c r="I1631" s="3" t="b">
        <f>OR(E1631 = "calculated", E1631 = "lookup", E1631 = "aggregation")</f>
        <v>1</v>
      </c>
      <c r="J1631" s="3" t="b">
        <f>H1631 &lt;&gt; ""</f>
        <v>0</v>
      </c>
      <c r="K1631" s="3">
        <f>COUNTIFS(FieldDisagreements!D2:D999, A1631)</f>
        <v>1</v>
      </c>
      <c r="L1631" s="3" t="b">
        <f>K1631 &gt; 0</f>
        <v>1</v>
      </c>
      <c r="M1631" s="2" t="s">
        <v>2387</v>
      </c>
    </row>
    <row r="1632">
      <c r="A1632" s="2" t="s">
        <v>5402</v>
      </c>
      <c r="B1632" s="3" t="str">
        <f>C1632 &amp; "." &amp; D1632</f>
        <v>FieldGrants.IsWritableDerivedField</v>
      </c>
      <c r="C1632" s="2" t="s">
        <v>5382</v>
      </c>
      <c r="D1632" s="2" t="s">
        <v>5403</v>
      </c>
      <c r="E1632" s="2" t="s">
        <v>2389</v>
      </c>
      <c r="F1632" s="2" t="s">
        <v>2401</v>
      </c>
      <c r="G1632" s="2" t="s">
        <v>5404</v>
      </c>
      <c r="H1632" s="2"/>
      <c r="I1632" s="3" t="b">
        <f>OR(E1632 = "calculated", E1632 = "lookup", E1632 = "aggregation")</f>
        <v>1</v>
      </c>
      <c r="J1632" s="3" t="b">
        <f>H1632 &lt;&gt; ""</f>
        <v>0</v>
      </c>
      <c r="K1632" s="3">
        <f>COUNTIFS(FieldDisagreements!D2:D999, A1632)</f>
        <v>0</v>
      </c>
      <c r="L1632" s="3" t="b">
        <f>K1632 &gt; 0</f>
        <v>0</v>
      </c>
      <c r="M1632" s="2" t="s">
        <v>2387</v>
      </c>
    </row>
    <row r="1633">
      <c r="A1633" s="2" t="s">
        <v>5405</v>
      </c>
      <c r="B1633" s="3" t="str">
        <f>C1633 &amp; "." &amp; D1633</f>
        <v>FieldGrants.IsMasked</v>
      </c>
      <c r="C1633" s="2" t="s">
        <v>5382</v>
      </c>
      <c r="D1633" s="2" t="s">
        <v>5406</v>
      </c>
      <c r="E1633" s="2" t="s">
        <v>2389</v>
      </c>
      <c r="F1633" s="2" t="s">
        <v>2401</v>
      </c>
      <c r="G1633" s="2" t="s">
        <v>5407</v>
      </c>
      <c r="H1633" s="2"/>
      <c r="I1633" s="3" t="b">
        <f>OR(E1633 = "calculated", E1633 = "lookup", E1633 = "aggregation")</f>
        <v>1</v>
      </c>
      <c r="J1633" s="3" t="b">
        <f>H1633 &lt;&gt; ""</f>
        <v>0</v>
      </c>
      <c r="K1633" s="3">
        <f>COUNTIFS(FieldDisagreements!D2:D999, A1633)</f>
        <v>0</v>
      </c>
      <c r="L1633" s="3" t="b">
        <f>K1633 &gt; 0</f>
        <v>0</v>
      </c>
      <c r="M1633" s="2" t="s">
        <v>2387</v>
      </c>
    </row>
    <row r="1634">
      <c r="A1634" s="2" t="s">
        <v>5408</v>
      </c>
      <c r="B1634" s="3" t="str">
        <f>C1634 &amp; "." &amp; D1634</f>
        <v>FieldGrants.GrantKeyWhenReadable</v>
      </c>
      <c r="C1634" s="2" t="s">
        <v>5382</v>
      </c>
      <c r="D1634" s="2" t="s">
        <v>5409</v>
      </c>
      <c r="E1634" s="2" t="s">
        <v>2389</v>
      </c>
      <c r="F1634" s="2" t="s">
        <v>2386</v>
      </c>
      <c r="G1634" s="2" t="s">
        <v>5410</v>
      </c>
      <c r="H1634" s="2"/>
      <c r="I1634" s="3" t="b">
        <f>OR(E1634 = "calculated", E1634 = "lookup", E1634 = "aggregation")</f>
        <v>1</v>
      </c>
      <c r="J1634" s="3" t="b">
        <f>H1634 &lt;&gt; ""</f>
        <v>0</v>
      </c>
      <c r="K1634" s="3">
        <f>COUNTIFS(FieldDisagreements!D2:D999, A1634)</f>
        <v>1</v>
      </c>
      <c r="L1634" s="3" t="b">
        <f>K1634 &gt; 0</f>
        <v>1</v>
      </c>
      <c r="M1634" s="2" t="s">
        <v>2387</v>
      </c>
    </row>
    <row r="1635">
      <c r="A1635" s="2" t="s">
        <v>5411</v>
      </c>
      <c r="B1635" s="3" t="str">
        <f>C1635 &amp; "." &amp; D1635</f>
        <v>FieldGrants.SemanticTypeIri</v>
      </c>
      <c r="C1635" s="2" t="s">
        <v>5382</v>
      </c>
      <c r="D1635" s="2" t="s">
        <v>94</v>
      </c>
      <c r="E1635" s="2" t="s">
        <v>2385</v>
      </c>
      <c r="F1635" s="2" t="s">
        <v>2386</v>
      </c>
      <c r="G1635" s="2"/>
      <c r="H1635" s="2"/>
      <c r="I1635" s="3" t="b">
        <f>OR(E1635 = "calculated", E1635 = "lookup", E1635 = "aggregation")</f>
        <v>0</v>
      </c>
      <c r="J1635" s="3" t="b">
        <f>H1635 &lt;&gt; ""</f>
        <v>0</v>
      </c>
      <c r="K1635" s="3">
        <f>COUNTIFS(FieldDisagreements!D2:D999, A1635)</f>
        <v>0</v>
      </c>
      <c r="L1635" s="3" t="b">
        <f>K1635 &gt; 0</f>
        <v>0</v>
      </c>
      <c r="M1635" s="2" t="s">
        <v>2387</v>
      </c>
    </row>
    <row r="1636">
      <c r="A1636" s="2" t="s">
        <v>5412</v>
      </c>
      <c r="B1636" s="3" t="str">
        <f>C1636 &amp; "." &amp; D1636</f>
        <v>RoleSchemas.RoleSchemaId</v>
      </c>
      <c r="C1636" s="2" t="s">
        <v>5413</v>
      </c>
      <c r="D1636" s="2" t="s">
        <v>5414</v>
      </c>
      <c r="E1636" s="2" t="s">
        <v>2385</v>
      </c>
      <c r="F1636" s="2" t="s">
        <v>2386</v>
      </c>
      <c r="G1636" s="2"/>
      <c r="H1636" s="2"/>
      <c r="I1636" s="3" t="b">
        <f>OR(E1636 = "calculated", E1636 = "lookup", E1636 = "aggregation")</f>
        <v>0</v>
      </c>
      <c r="J1636" s="3" t="b">
        <f>H1636 &lt;&gt; ""</f>
        <v>0</v>
      </c>
      <c r="K1636" s="3">
        <f>COUNTIFS(FieldDisagreements!D2:D999, A1636)</f>
        <v>0</v>
      </c>
      <c r="L1636" s="3" t="b">
        <f>K1636 &gt; 0</f>
        <v>0</v>
      </c>
      <c r="M1636" s="2" t="s">
        <v>2387</v>
      </c>
    </row>
    <row r="1637">
      <c r="A1637" s="2" t="s">
        <v>5415</v>
      </c>
      <c r="B1637" s="3" t="str">
        <f>C1637 &amp; "." &amp; D1637</f>
        <v>RoleSchemas.Name</v>
      </c>
      <c r="C1637" s="2" t="s">
        <v>5413</v>
      </c>
      <c r="D1637" s="2" t="s">
        <v>1</v>
      </c>
      <c r="E1637" s="2" t="s">
        <v>2389</v>
      </c>
      <c r="F1637" s="2" t="s">
        <v>2386</v>
      </c>
      <c r="G1637" s="2" t="s">
        <v>5416</v>
      </c>
      <c r="H1637" s="2"/>
      <c r="I1637" s="3" t="b">
        <f>OR(E1637 = "calculated", E1637 = "lookup", E1637 = "aggregation")</f>
        <v>1</v>
      </c>
      <c r="J1637" s="3" t="b">
        <f>H1637 &lt;&gt; ""</f>
        <v>0</v>
      </c>
      <c r="K1637" s="3">
        <f>COUNTIFS(FieldDisagreements!D2:D999, A1637)</f>
        <v>0</v>
      </c>
      <c r="L1637" s="3" t="b">
        <f>K1637 &gt; 0</f>
        <v>0</v>
      </c>
      <c r="M1637" s="2" t="s">
        <v>2387</v>
      </c>
    </row>
    <row r="1638">
      <c r="A1638" s="2" t="s">
        <v>5417</v>
      </c>
      <c r="B1638" s="3" t="str">
        <f>C1638 &amp; "." &amp; D1638</f>
        <v>RoleSchemas.Principal</v>
      </c>
      <c r="C1638" s="2" t="s">
        <v>5413</v>
      </c>
      <c r="D1638" s="2" t="s">
        <v>5351</v>
      </c>
      <c r="E1638" s="2" t="s">
        <v>2434</v>
      </c>
      <c r="F1638" s="2" t="s">
        <v>2386</v>
      </c>
      <c r="G1638" s="2"/>
      <c r="H1638" s="2"/>
      <c r="I1638" s="3" t="b">
        <f>OR(E1638 = "calculated", E1638 = "lookup", E1638 = "aggregation")</f>
        <v>0</v>
      </c>
      <c r="J1638" s="3" t="b">
        <f>H1638 &lt;&gt; ""</f>
        <v>0</v>
      </c>
      <c r="K1638" s="3">
        <f>COUNTIFS(FieldDisagreements!D2:D999, A1638)</f>
        <v>0</v>
      </c>
      <c r="L1638" s="3" t="b">
        <f>K1638 &gt; 0</f>
        <v>0</v>
      </c>
      <c r="M1638" s="2" t="s">
        <v>2387</v>
      </c>
    </row>
    <row r="1639">
      <c r="A1639" s="2" t="s">
        <v>5418</v>
      </c>
      <c r="B1639" s="3" t="str">
        <f>C1639 &amp; "." &amp; D1639</f>
        <v>RoleSchemas.SchemaName</v>
      </c>
      <c r="C1639" s="2" t="s">
        <v>5413</v>
      </c>
      <c r="D1639" s="2" t="s">
        <v>5322</v>
      </c>
      <c r="E1639" s="2" t="s">
        <v>2385</v>
      </c>
      <c r="F1639" s="2" t="s">
        <v>2386</v>
      </c>
      <c r="G1639" s="2"/>
      <c r="H1639" s="2"/>
      <c r="I1639" s="3" t="b">
        <f>OR(E1639 = "calculated", E1639 = "lookup", E1639 = "aggregation")</f>
        <v>0</v>
      </c>
      <c r="J1639" s="3" t="b">
        <f>H1639 &lt;&gt; ""</f>
        <v>0</v>
      </c>
      <c r="K1639" s="3">
        <f>COUNTIFS(FieldDisagreements!D2:D999, A1639)</f>
        <v>0</v>
      </c>
      <c r="L1639" s="3" t="b">
        <f>K1639 &gt; 0</f>
        <v>0</v>
      </c>
      <c r="M1639" s="2" t="s">
        <v>2387</v>
      </c>
    </row>
    <row r="1640">
      <c r="A1640" s="2" t="s">
        <v>5419</v>
      </c>
      <c r="B1640" s="3" t="str">
        <f>C1640 &amp; "." &amp; D1640</f>
        <v>RoleSchemas.SearchPath</v>
      </c>
      <c r="C1640" s="2" t="s">
        <v>5413</v>
      </c>
      <c r="D1640" s="2" t="s">
        <v>5420</v>
      </c>
      <c r="E1640" s="2" t="s">
        <v>2389</v>
      </c>
      <c r="F1640" s="2" t="s">
        <v>2386</v>
      </c>
      <c r="G1640" s="2" t="s">
        <v>5416</v>
      </c>
      <c r="H1640" s="2"/>
      <c r="I1640" s="3" t="b">
        <f>OR(E1640 = "calculated", E1640 = "lookup", E1640 = "aggregation")</f>
        <v>1</v>
      </c>
      <c r="J1640" s="3" t="b">
        <f>H1640 &lt;&gt; ""</f>
        <v>0</v>
      </c>
      <c r="K1640" s="3">
        <f>COUNTIFS(FieldDisagreements!D2:D999, A1640)</f>
        <v>0</v>
      </c>
      <c r="L1640" s="3" t="b">
        <f>K1640 &gt; 0</f>
        <v>0</v>
      </c>
      <c r="M1640" s="2" t="s">
        <v>2387</v>
      </c>
    </row>
    <row r="1641">
      <c r="A1641" s="2" t="s">
        <v>5421</v>
      </c>
      <c r="B1641" s="3" t="str">
        <f>C1641 &amp; "." &amp; D1641</f>
        <v>RoleSchemas.IsSealed</v>
      </c>
      <c r="C1641" s="2" t="s">
        <v>5413</v>
      </c>
      <c r="D1641" s="2" t="s">
        <v>5422</v>
      </c>
      <c r="E1641" s="2" t="s">
        <v>2385</v>
      </c>
      <c r="F1641" s="2" t="s">
        <v>2401</v>
      </c>
      <c r="G1641" s="2"/>
      <c r="H1641" s="2"/>
      <c r="I1641" s="3" t="b">
        <f>OR(E1641 = "calculated", E1641 = "lookup", E1641 = "aggregation")</f>
        <v>0</v>
      </c>
      <c r="J1641" s="3" t="b">
        <f>H1641 &lt;&gt; ""</f>
        <v>0</v>
      </c>
      <c r="K1641" s="3">
        <f>COUNTIFS(FieldDisagreements!D2:D999, A1641)</f>
        <v>0</v>
      </c>
      <c r="L1641" s="3" t="b">
        <f>K1641 &gt; 0</f>
        <v>0</v>
      </c>
      <c r="M1641" s="2" t="s">
        <v>2387</v>
      </c>
    </row>
    <row r="1642">
      <c r="A1642" s="2" t="s">
        <v>5423</v>
      </c>
      <c r="B1642" s="3" t="str">
        <f>C1642 &amp; "." &amp; D1642</f>
        <v>RoleSchemas.ViewCount</v>
      </c>
      <c r="C1642" s="2" t="s">
        <v>5413</v>
      </c>
      <c r="D1642" s="2" t="s">
        <v>5424</v>
      </c>
      <c r="E1642" s="2" t="s">
        <v>2438</v>
      </c>
      <c r="F1642" s="2" t="s">
        <v>2444</v>
      </c>
      <c r="G1642" s="2" t="s">
        <v>5425</v>
      </c>
      <c r="H1642" s="2"/>
      <c r="I1642" s="3" t="b">
        <f>OR(E1642 = "calculated", E1642 = "lookup", E1642 = "aggregation")</f>
        <v>1</v>
      </c>
      <c r="J1642" s="3" t="b">
        <f>H1642 &lt;&gt; ""</f>
        <v>0</v>
      </c>
      <c r="K1642" s="3">
        <f>COUNTIFS(FieldDisagreements!D2:D999, A1642)</f>
        <v>0</v>
      </c>
      <c r="L1642" s="3" t="b">
        <f>K1642 &gt; 0</f>
        <v>0</v>
      </c>
      <c r="M1642" s="2" t="s">
        <v>2387</v>
      </c>
    </row>
    <row r="1643">
      <c r="A1643" s="2" t="s">
        <v>5426</v>
      </c>
      <c r="B1643" s="3" t="str">
        <f>C1643 &amp; "." &amp; D1643</f>
        <v>RoleSchemas.IsEmptySchema</v>
      </c>
      <c r="C1643" s="2" t="s">
        <v>5413</v>
      </c>
      <c r="D1643" s="2" t="s">
        <v>5427</v>
      </c>
      <c r="E1643" s="2" t="s">
        <v>2389</v>
      </c>
      <c r="F1643" s="2" t="s">
        <v>2401</v>
      </c>
      <c r="G1643" s="2" t="s">
        <v>5428</v>
      </c>
      <c r="H1643" s="2"/>
      <c r="I1643" s="3" t="b">
        <f>OR(E1643 = "calculated", E1643 = "lookup", E1643 = "aggregation")</f>
        <v>1</v>
      </c>
      <c r="J1643" s="3" t="b">
        <f>H1643 &lt;&gt; ""</f>
        <v>0</v>
      </c>
      <c r="K1643" s="3">
        <f>COUNTIFS(FieldDisagreements!D2:D999, A1643)</f>
        <v>0</v>
      </c>
      <c r="L1643" s="3" t="b">
        <f>K1643 &gt; 0</f>
        <v>0</v>
      </c>
      <c r="M1643" s="2" t="s">
        <v>2387</v>
      </c>
    </row>
    <row r="1644">
      <c r="A1644" s="2" t="s">
        <v>5429</v>
      </c>
      <c r="B1644" s="3" t="str">
        <f>C1644 &amp; "." &amp; D1644</f>
        <v>RoleSchemas.SemanticTypeIri</v>
      </c>
      <c r="C1644" s="2" t="s">
        <v>5413</v>
      </c>
      <c r="D1644" s="2" t="s">
        <v>94</v>
      </c>
      <c r="E1644" s="2" t="s">
        <v>2385</v>
      </c>
      <c r="F1644" s="2" t="s">
        <v>2386</v>
      </c>
      <c r="G1644" s="2"/>
      <c r="H1644" s="2"/>
      <c r="I1644" s="3" t="b">
        <f>OR(E1644 = "calculated", E1644 = "lookup", E1644 = "aggregation")</f>
        <v>0</v>
      </c>
      <c r="J1644" s="3" t="b">
        <f>H1644 &lt;&gt; ""</f>
        <v>0</v>
      </c>
      <c r="K1644" s="3">
        <f>COUNTIFS(FieldDisagreements!D2:D999, A1644)</f>
        <v>0</v>
      </c>
      <c r="L1644" s="3" t="b">
        <f>K1644 &gt; 0</f>
        <v>0</v>
      </c>
      <c r="M1644" s="2" t="s">
        <v>2387</v>
      </c>
    </row>
    <row r="1645">
      <c r="A1645" s="2" t="s">
        <v>5430</v>
      </c>
      <c r="B1645" s="3" t="str">
        <f>C1645 &amp; "." &amp; D1645</f>
        <v>RoleSchemaViews.RoleSchemaViewId</v>
      </c>
      <c r="C1645" s="2" t="s">
        <v>5431</v>
      </c>
      <c r="D1645" s="2" t="s">
        <v>5432</v>
      </c>
      <c r="E1645" s="2" t="s">
        <v>2385</v>
      </c>
      <c r="F1645" s="2" t="s">
        <v>2386</v>
      </c>
      <c r="G1645" s="2"/>
      <c r="H1645" s="2"/>
      <c r="I1645" s="3" t="b">
        <f>OR(E1645 = "calculated", E1645 = "lookup", E1645 = "aggregation")</f>
        <v>0</v>
      </c>
      <c r="J1645" s="3" t="b">
        <f>H1645 &lt;&gt; ""</f>
        <v>0</v>
      </c>
      <c r="K1645" s="3">
        <f>COUNTIFS(FieldDisagreements!D2:D999, A1645)</f>
        <v>0</v>
      </c>
      <c r="L1645" s="3" t="b">
        <f>K1645 &gt; 0</f>
        <v>0</v>
      </c>
      <c r="M1645" s="2" t="s">
        <v>2387</v>
      </c>
    </row>
    <row r="1646">
      <c r="A1646" s="2" t="s">
        <v>5433</v>
      </c>
      <c r="B1646" s="3" t="str">
        <f>C1646 &amp; "." &amp; D1646</f>
        <v>RoleSchemaViews.Name</v>
      </c>
      <c r="C1646" s="2" t="s">
        <v>5431</v>
      </c>
      <c r="D1646" s="2" t="s">
        <v>1</v>
      </c>
      <c r="E1646" s="2" t="s">
        <v>2389</v>
      </c>
      <c r="F1646" s="2" t="s">
        <v>2386</v>
      </c>
      <c r="G1646" s="2" t="s">
        <v>5434</v>
      </c>
      <c r="H1646" s="2"/>
      <c r="I1646" s="3" t="b">
        <f>OR(E1646 = "calculated", E1646 = "lookup", E1646 = "aggregation")</f>
        <v>1</v>
      </c>
      <c r="J1646" s="3" t="b">
        <f>H1646 &lt;&gt; ""</f>
        <v>0</v>
      </c>
      <c r="K1646" s="3">
        <f>COUNTIFS(FieldDisagreements!D2:D999, A1646)</f>
        <v>0</v>
      </c>
      <c r="L1646" s="3" t="b">
        <f>K1646 &gt; 0</f>
        <v>0</v>
      </c>
      <c r="M1646" s="2" t="s">
        <v>2387</v>
      </c>
    </row>
    <row r="1647">
      <c r="A1647" s="2" t="s">
        <v>5435</v>
      </c>
      <c r="B1647" s="3" t="str">
        <f>C1647 &amp; "." &amp; D1647</f>
        <v>RoleSchemaViews.RoleSchema</v>
      </c>
      <c r="C1647" s="2" t="s">
        <v>5431</v>
      </c>
      <c r="D1647" s="2" t="s">
        <v>5436</v>
      </c>
      <c r="E1647" s="2" t="s">
        <v>2434</v>
      </c>
      <c r="F1647" s="2" t="s">
        <v>2386</v>
      </c>
      <c r="G1647" s="2"/>
      <c r="H1647" s="2"/>
      <c r="I1647" s="3" t="b">
        <f>OR(E1647 = "calculated", E1647 = "lookup", E1647 = "aggregation")</f>
        <v>0</v>
      </c>
      <c r="J1647" s="3" t="b">
        <f>H1647 &lt;&gt; ""</f>
        <v>0</v>
      </c>
      <c r="K1647" s="3">
        <f>COUNTIFS(FieldDisagreements!D2:D999, A1647)</f>
        <v>0</v>
      </c>
      <c r="L1647" s="3" t="b">
        <f>K1647 &gt; 0</f>
        <v>0</v>
      </c>
      <c r="M1647" s="2" t="s">
        <v>2387</v>
      </c>
    </row>
    <row r="1648">
      <c r="A1648" s="2" t="s">
        <v>5437</v>
      </c>
      <c r="B1648" s="3" t="str">
        <f>C1648 &amp; "." &amp; D1648</f>
        <v>RoleSchemaViews.Principal</v>
      </c>
      <c r="C1648" s="2" t="s">
        <v>5431</v>
      </c>
      <c r="D1648" s="2" t="s">
        <v>5351</v>
      </c>
      <c r="E1648" s="2" t="s">
        <v>2434</v>
      </c>
      <c r="F1648" s="2" t="s">
        <v>2386</v>
      </c>
      <c r="G1648" s="2"/>
      <c r="H1648" s="2"/>
      <c r="I1648" s="3" t="b">
        <f>OR(E1648 = "calculated", E1648 = "lookup", E1648 = "aggregation")</f>
        <v>0</v>
      </c>
      <c r="J1648" s="3" t="b">
        <f>H1648 &lt;&gt; ""</f>
        <v>0</v>
      </c>
      <c r="K1648" s="3">
        <f>COUNTIFS(FieldDisagreements!D2:D999, A1648)</f>
        <v>0</v>
      </c>
      <c r="L1648" s="3" t="b">
        <f>K1648 &gt; 0</f>
        <v>0</v>
      </c>
      <c r="M1648" s="2" t="s">
        <v>2387</v>
      </c>
    </row>
    <row r="1649">
      <c r="A1649" s="2" t="s">
        <v>5438</v>
      </c>
      <c r="B1649" s="3" t="str">
        <f>C1649 &amp; "." &amp; D1649</f>
        <v>RoleSchemaViews.TargetTable</v>
      </c>
      <c r="C1649" s="2" t="s">
        <v>5431</v>
      </c>
      <c r="D1649" s="2" t="s">
        <v>2373</v>
      </c>
      <c r="E1649" s="2" t="s">
        <v>2434</v>
      </c>
      <c r="F1649" s="2" t="s">
        <v>2386</v>
      </c>
      <c r="G1649" s="2"/>
      <c r="H1649" s="2"/>
      <c r="I1649" s="3" t="b">
        <f>OR(E1649 = "calculated", E1649 = "lookup", E1649 = "aggregation")</f>
        <v>0</v>
      </c>
      <c r="J1649" s="3" t="b">
        <f>H1649 &lt;&gt; ""</f>
        <v>0</v>
      </c>
      <c r="K1649" s="3">
        <f>COUNTIFS(FieldDisagreements!D2:D999, A1649)</f>
        <v>0</v>
      </c>
      <c r="L1649" s="3" t="b">
        <f>K1649 &gt; 0</f>
        <v>0</v>
      </c>
      <c r="M1649" s="2" t="s">
        <v>2387</v>
      </c>
    </row>
    <row r="1650">
      <c r="A1650" s="2" t="s">
        <v>5439</v>
      </c>
      <c r="B1650" s="3" t="str">
        <f>C1650 &amp; "." &amp; D1650</f>
        <v>RoleSchemaViews.ViewName</v>
      </c>
      <c r="C1650" s="2" t="s">
        <v>5431</v>
      </c>
      <c r="D1650" s="2" t="s">
        <v>5440</v>
      </c>
      <c r="E1650" s="2" t="s">
        <v>2385</v>
      </c>
      <c r="F1650" s="2" t="s">
        <v>2386</v>
      </c>
      <c r="G1650" s="2"/>
      <c r="H1650" s="2"/>
      <c r="I1650" s="3" t="b">
        <f>OR(E1650 = "calculated", E1650 = "lookup", E1650 = "aggregation")</f>
        <v>0</v>
      </c>
      <c r="J1650" s="3" t="b">
        <f>H1650 &lt;&gt; ""</f>
        <v>0</v>
      </c>
      <c r="K1650" s="3">
        <f>COUNTIFS(FieldDisagreements!D2:D999, A1650)</f>
        <v>0</v>
      </c>
      <c r="L1650" s="3" t="b">
        <f>K1650 &gt; 0</f>
        <v>0</v>
      </c>
      <c r="M1650" s="2" t="s">
        <v>2387</v>
      </c>
    </row>
    <row r="1651">
      <c r="A1651" s="2" t="s">
        <v>5441</v>
      </c>
      <c r="B1651" s="3" t="str">
        <f>C1651 &amp; "." &amp; D1651</f>
        <v>RoleSchemaViews.SchemaName</v>
      </c>
      <c r="C1651" s="2" t="s">
        <v>5431</v>
      </c>
      <c r="D1651" s="2" t="s">
        <v>5322</v>
      </c>
      <c r="E1651" s="2" t="s">
        <v>2478</v>
      </c>
      <c r="F1651" s="2" t="s">
        <v>2386</v>
      </c>
      <c r="G1651" s="2" t="s">
        <v>5442</v>
      </c>
      <c r="H1651" s="2"/>
      <c r="I1651" s="3" t="b">
        <f>OR(E1651 = "calculated", E1651 = "lookup", E1651 = "aggregation")</f>
        <v>1</v>
      </c>
      <c r="J1651" s="3" t="b">
        <f>H1651 &lt;&gt; ""</f>
        <v>0</v>
      </c>
      <c r="K1651" s="3">
        <f>COUNTIFS(FieldDisagreements!D2:D999, A1651)</f>
        <v>0</v>
      </c>
      <c r="L1651" s="3" t="b">
        <f>K1651 &gt; 0</f>
        <v>0</v>
      </c>
      <c r="M1651" s="2" t="s">
        <v>2387</v>
      </c>
    </row>
    <row r="1652">
      <c r="A1652" s="2" t="s">
        <v>5443</v>
      </c>
      <c r="B1652" s="3" t="str">
        <f>C1652 &amp; "." &amp; D1652</f>
        <v>RoleSchemaViews.SourceView</v>
      </c>
      <c r="C1652" s="2" t="s">
        <v>5431</v>
      </c>
      <c r="D1652" s="2" t="s">
        <v>5444</v>
      </c>
      <c r="E1652" s="2" t="s">
        <v>2478</v>
      </c>
      <c r="F1652" s="2" t="s">
        <v>2386</v>
      </c>
      <c r="G1652" s="2" t="s">
        <v>5445</v>
      </c>
      <c r="H1652" s="2"/>
      <c r="I1652" s="3" t="b">
        <f>OR(E1652 = "calculated", E1652 = "lookup", E1652 = "aggregation")</f>
        <v>1</v>
      </c>
      <c r="J1652" s="3" t="b">
        <f>H1652 &lt;&gt; ""</f>
        <v>0</v>
      </c>
      <c r="K1652" s="3">
        <f>COUNTIFS(FieldDisagreements!D2:D999, A1652)</f>
        <v>0</v>
      </c>
      <c r="L1652" s="3" t="b">
        <f>K1652 &gt; 0</f>
        <v>0</v>
      </c>
      <c r="M1652" s="2" t="s">
        <v>2387</v>
      </c>
    </row>
    <row r="1653">
      <c r="A1653" s="2" t="s">
        <v>5446</v>
      </c>
      <c r="B1653" s="3" t="str">
        <f>C1653 &amp; "." &amp; D1653</f>
        <v>RoleSchemaViews.GrantKey</v>
      </c>
      <c r="C1653" s="2" t="s">
        <v>5431</v>
      </c>
      <c r="D1653" s="2" t="s">
        <v>5447</v>
      </c>
      <c r="E1653" s="2" t="s">
        <v>2389</v>
      </c>
      <c r="F1653" s="2" t="s">
        <v>2386</v>
      </c>
      <c r="G1653" s="2" t="s">
        <v>5448</v>
      </c>
      <c r="H1653" s="2"/>
      <c r="I1653" s="3" t="b">
        <f>OR(E1653 = "calculated", E1653 = "lookup", E1653 = "aggregation")</f>
        <v>1</v>
      </c>
      <c r="J1653" s="3" t="b">
        <f>H1653 &lt;&gt; ""</f>
        <v>0</v>
      </c>
      <c r="K1653" s="3">
        <f>COUNTIFS(FieldDisagreements!D2:D999, A1653)</f>
        <v>0</v>
      </c>
      <c r="L1653" s="3" t="b">
        <f>K1653 &gt; 0</f>
        <v>0</v>
      </c>
      <c r="M1653" s="2" t="s">
        <v>2387</v>
      </c>
    </row>
    <row r="1654">
      <c r="A1654" s="2" t="s">
        <v>5449</v>
      </c>
      <c r="B1654" s="3" t="str">
        <f>C1654 &amp; "." &amp; D1654</f>
        <v>RoleSchemaViews.ColumnCount</v>
      </c>
      <c r="C1654" s="2" t="s">
        <v>5431</v>
      </c>
      <c r="D1654" s="2" t="s">
        <v>5450</v>
      </c>
      <c r="E1654" s="2" t="s">
        <v>2438</v>
      </c>
      <c r="F1654" s="2" t="s">
        <v>2444</v>
      </c>
      <c r="G1654" s="2" t="s">
        <v>5451</v>
      </c>
      <c r="H1654" s="2"/>
      <c r="I1654" s="3" t="b">
        <f>OR(E1654 = "calculated", E1654 = "lookup", E1654 = "aggregation")</f>
        <v>1</v>
      </c>
      <c r="J1654" s="3" t="b">
        <f>H1654 &lt;&gt; ""</f>
        <v>0</v>
      </c>
      <c r="K1654" s="3">
        <f>COUNTIFS(FieldDisagreements!D2:D999, A1654)</f>
        <v>1</v>
      </c>
      <c r="L1654" s="3" t="b">
        <f>K1654 &gt; 0</f>
        <v>1</v>
      </c>
      <c r="M1654" s="2" t="s">
        <v>2387</v>
      </c>
    </row>
    <row r="1655">
      <c r="A1655" s="2" t="s">
        <v>5452</v>
      </c>
      <c r="B1655" s="3" t="str">
        <f>C1655 &amp; "." &amp; D1655</f>
        <v>RoleSchemaViews.TableFieldCount</v>
      </c>
      <c r="C1655" s="2" t="s">
        <v>5431</v>
      </c>
      <c r="D1655" s="2" t="s">
        <v>5453</v>
      </c>
      <c r="E1655" s="2" t="s">
        <v>2478</v>
      </c>
      <c r="F1655" s="2" t="s">
        <v>2444</v>
      </c>
      <c r="G1655" s="2" t="s">
        <v>5454</v>
      </c>
      <c r="H1655" s="2"/>
      <c r="I1655" s="3" t="b">
        <f>OR(E1655 = "calculated", E1655 = "lookup", E1655 = "aggregation")</f>
        <v>1</v>
      </c>
      <c r="J1655" s="3" t="b">
        <f>H1655 &lt;&gt; ""</f>
        <v>0</v>
      </c>
      <c r="K1655" s="3">
        <f>COUNTIFS(FieldDisagreements!D2:D999, A1655)</f>
        <v>1</v>
      </c>
      <c r="L1655" s="3" t="b">
        <f>K1655 &gt; 0</f>
        <v>1</v>
      </c>
      <c r="M1655" s="2" t="s">
        <v>2387</v>
      </c>
    </row>
    <row r="1656">
      <c r="A1656" s="2" t="s">
        <v>5455</v>
      </c>
      <c r="B1656" s="3" t="str">
        <f>C1656 &amp; "." &amp; D1656</f>
        <v>RoleSchemaViews.IsFullWidth</v>
      </c>
      <c r="C1656" s="2" t="s">
        <v>5431</v>
      </c>
      <c r="D1656" s="2" t="s">
        <v>5456</v>
      </c>
      <c r="E1656" s="2" t="s">
        <v>2389</v>
      </c>
      <c r="F1656" s="2" t="s">
        <v>2401</v>
      </c>
      <c r="G1656" s="2" t="s">
        <v>5457</v>
      </c>
      <c r="H1656" s="2"/>
      <c r="I1656" s="3" t="b">
        <f>OR(E1656 = "calculated", E1656 = "lookup", E1656 = "aggregation")</f>
        <v>1</v>
      </c>
      <c r="J1656" s="3" t="b">
        <f>H1656 &lt;&gt; ""</f>
        <v>0</v>
      </c>
      <c r="K1656" s="3">
        <f>COUNTIFS(FieldDisagreements!D2:D999, A1656)</f>
        <v>1</v>
      </c>
      <c r="L1656" s="3" t="b">
        <f>K1656 &gt; 0</f>
        <v>1</v>
      </c>
      <c r="M1656" s="2" t="s">
        <v>2387</v>
      </c>
    </row>
    <row r="1657">
      <c r="A1657" s="2" t="s">
        <v>5458</v>
      </c>
      <c r="B1657" s="3" t="str">
        <f>C1657 &amp; "." &amp; D1657</f>
        <v>RoleSchemaViews.IsDegenerateView</v>
      </c>
      <c r="C1657" s="2" t="s">
        <v>5431</v>
      </c>
      <c r="D1657" s="2" t="s">
        <v>5459</v>
      </c>
      <c r="E1657" s="2" t="s">
        <v>2389</v>
      </c>
      <c r="F1657" s="2" t="s">
        <v>2401</v>
      </c>
      <c r="G1657" s="2" t="s">
        <v>5460</v>
      </c>
      <c r="H1657" s="2"/>
      <c r="I1657" s="3" t="b">
        <f>OR(E1657 = "calculated", E1657 = "lookup", E1657 = "aggregation")</f>
        <v>1</v>
      </c>
      <c r="J1657" s="3" t="b">
        <f>H1657 &lt;&gt; ""</f>
        <v>0</v>
      </c>
      <c r="K1657" s="3">
        <f>COUNTIFS(FieldDisagreements!D2:D999, A1657)</f>
        <v>1</v>
      </c>
      <c r="L1657" s="3" t="b">
        <f>K1657 &gt; 0</f>
        <v>1</v>
      </c>
      <c r="M1657" s="2" t="s">
        <v>2387</v>
      </c>
    </row>
    <row r="1658">
      <c r="A1658" s="2" t="s">
        <v>5461</v>
      </c>
      <c r="B1658" s="3" t="str">
        <f>C1658 &amp; "." &amp; D1658</f>
        <v>RoleSchemaViews.SemanticTypeIri</v>
      </c>
      <c r="C1658" s="2" t="s">
        <v>5431</v>
      </c>
      <c r="D1658" s="2" t="s">
        <v>94</v>
      </c>
      <c r="E1658" s="2" t="s">
        <v>2385</v>
      </c>
      <c r="F1658" s="2" t="s">
        <v>2386</v>
      </c>
      <c r="G1658" s="2"/>
      <c r="H1658" s="2"/>
      <c r="I1658" s="3" t="b">
        <f>OR(E1658 = "calculated", E1658 = "lookup", E1658 = "aggregation")</f>
        <v>0</v>
      </c>
      <c r="J1658" s="3" t="b">
        <f>H1658 &lt;&gt; ""</f>
        <v>0</v>
      </c>
      <c r="K1658" s="3">
        <f>COUNTIFS(FieldDisagreements!D2:D999, A1658)</f>
        <v>0</v>
      </c>
      <c r="L1658" s="3" t="b">
        <f>K1658 &gt; 0</f>
        <v>0</v>
      </c>
      <c r="M1658" s="2" t="s">
        <v>2387</v>
      </c>
    </row>
    <row r="1659">
      <c r="A1659" s="2" t="s">
        <v>5462</v>
      </c>
      <c r="B1659" s="3" t="str">
        <f>C1659 &amp; "." &amp; D1659</f>
        <v>JwtClaimMappings.JwtClaimMappingId</v>
      </c>
      <c r="C1659" s="2" t="s">
        <v>5463</v>
      </c>
      <c r="D1659" s="2" t="s">
        <v>5464</v>
      </c>
      <c r="E1659" s="2" t="s">
        <v>2385</v>
      </c>
      <c r="F1659" s="2" t="s">
        <v>2386</v>
      </c>
      <c r="G1659" s="2"/>
      <c r="H1659" s="2"/>
      <c r="I1659" s="3" t="b">
        <f>OR(E1659 = "calculated", E1659 = "lookup", E1659 = "aggregation")</f>
        <v>0</v>
      </c>
      <c r="J1659" s="3" t="b">
        <f>H1659 &lt;&gt; ""</f>
        <v>0</v>
      </c>
      <c r="K1659" s="3">
        <f>COUNTIFS(FieldDisagreements!D2:D999, A1659)</f>
        <v>0</v>
      </c>
      <c r="L1659" s="3" t="b">
        <f>K1659 &gt; 0</f>
        <v>0</v>
      </c>
      <c r="M1659" s="2" t="s">
        <v>2387</v>
      </c>
    </row>
    <row r="1660">
      <c r="A1660" s="2" t="s">
        <v>5465</v>
      </c>
      <c r="B1660" s="3" t="str">
        <f>C1660 &amp; "." &amp; D1660</f>
        <v>JwtClaimMappings.Name</v>
      </c>
      <c r="C1660" s="2" t="s">
        <v>5463</v>
      </c>
      <c r="D1660" s="2" t="s">
        <v>1</v>
      </c>
      <c r="E1660" s="2" t="s">
        <v>2389</v>
      </c>
      <c r="F1660" s="2" t="s">
        <v>2386</v>
      </c>
      <c r="G1660" s="2" t="s">
        <v>5466</v>
      </c>
      <c r="H1660" s="2"/>
      <c r="I1660" s="3" t="b">
        <f>OR(E1660 = "calculated", E1660 = "lookup", E1660 = "aggregation")</f>
        <v>1</v>
      </c>
      <c r="J1660" s="3" t="b">
        <f>H1660 &lt;&gt; ""</f>
        <v>0</v>
      </c>
      <c r="K1660" s="3">
        <f>COUNTIFS(FieldDisagreements!D2:D999, A1660)</f>
        <v>0</v>
      </c>
      <c r="L1660" s="3" t="b">
        <f>K1660 &gt; 0</f>
        <v>0</v>
      </c>
      <c r="M1660" s="2" t="s">
        <v>2387</v>
      </c>
    </row>
    <row r="1661">
      <c r="A1661" s="2" t="s">
        <v>5467</v>
      </c>
      <c r="B1661" s="3" t="str">
        <f>C1661 &amp; "." &amp; D1661</f>
        <v>JwtClaimMappings.ClaimName</v>
      </c>
      <c r="C1661" s="2" t="s">
        <v>5463</v>
      </c>
      <c r="D1661" s="2" t="s">
        <v>5468</v>
      </c>
      <c r="E1661" s="2" t="s">
        <v>2385</v>
      </c>
      <c r="F1661" s="2" t="s">
        <v>2386</v>
      </c>
      <c r="G1661" s="2"/>
      <c r="H1661" s="2"/>
      <c r="I1661" s="3" t="b">
        <f>OR(E1661 = "calculated", E1661 = "lookup", E1661 = "aggregation")</f>
        <v>0</v>
      </c>
      <c r="J1661" s="3" t="b">
        <f>H1661 &lt;&gt; ""</f>
        <v>0</v>
      </c>
      <c r="K1661" s="3">
        <f>COUNTIFS(FieldDisagreements!D2:D999, A1661)</f>
        <v>0</v>
      </c>
      <c r="L1661" s="3" t="b">
        <f>K1661 &gt; 0</f>
        <v>0</v>
      </c>
      <c r="M1661" s="2" t="s">
        <v>2387</v>
      </c>
    </row>
    <row r="1662">
      <c r="A1662" s="2" t="s">
        <v>5469</v>
      </c>
      <c r="B1662" s="3" t="str">
        <f>C1662 &amp; "." &amp; D1662</f>
        <v>JwtClaimMappings.SqlAccessor</v>
      </c>
      <c r="C1662" s="2" t="s">
        <v>5463</v>
      </c>
      <c r="D1662" s="2" t="s">
        <v>5470</v>
      </c>
      <c r="E1662" s="2" t="s">
        <v>2385</v>
      </c>
      <c r="F1662" s="2" t="s">
        <v>2386</v>
      </c>
      <c r="G1662" s="2"/>
      <c r="H1662" s="2"/>
      <c r="I1662" s="3" t="b">
        <f>OR(E1662 = "calculated", E1662 = "lookup", E1662 = "aggregation")</f>
        <v>0</v>
      </c>
      <c r="J1662" s="3" t="b">
        <f>H1662 &lt;&gt; ""</f>
        <v>0</v>
      </c>
      <c r="K1662" s="3">
        <f>COUNTIFS(FieldDisagreements!D2:D999, A1662)</f>
        <v>0</v>
      </c>
      <c r="L1662" s="3" t="b">
        <f>K1662 &gt; 0</f>
        <v>0</v>
      </c>
      <c r="M1662" s="2" t="s">
        <v>2387</v>
      </c>
    </row>
    <row r="1663">
      <c r="A1663" s="2" t="s">
        <v>5471</v>
      </c>
      <c r="B1663" s="3" t="str">
        <f>C1663 &amp; "." &amp; D1663</f>
        <v>JwtClaimMappings.IsReservedClaim</v>
      </c>
      <c r="C1663" s="2" t="s">
        <v>5463</v>
      </c>
      <c r="D1663" s="2" t="s">
        <v>5472</v>
      </c>
      <c r="E1663" s="2" t="s">
        <v>2385</v>
      </c>
      <c r="F1663" s="2" t="s">
        <v>2401</v>
      </c>
      <c r="G1663" s="2"/>
      <c r="H1663" s="2"/>
      <c r="I1663" s="3" t="b">
        <f>OR(E1663 = "calculated", E1663 = "lookup", E1663 = "aggregation")</f>
        <v>0</v>
      </c>
      <c r="J1663" s="3" t="b">
        <f>H1663 &lt;&gt; ""</f>
        <v>0</v>
      </c>
      <c r="K1663" s="3">
        <f>COUNTIFS(FieldDisagreements!D2:D999, A1663)</f>
        <v>0</v>
      </c>
      <c r="L1663" s="3" t="b">
        <f>K1663 &gt; 0</f>
        <v>0</v>
      </c>
      <c r="M1663" s="2" t="s">
        <v>2387</v>
      </c>
    </row>
    <row r="1664">
      <c r="A1664" s="2" t="s">
        <v>5473</v>
      </c>
      <c r="B1664" s="3" t="str">
        <f>C1664 &amp; "." &amp; D1664</f>
        <v>JwtClaimMappings.MapsToPrincipal</v>
      </c>
      <c r="C1664" s="2" t="s">
        <v>5463</v>
      </c>
      <c r="D1664" s="2" t="s">
        <v>5474</v>
      </c>
      <c r="E1664" s="2" t="s">
        <v>2385</v>
      </c>
      <c r="F1664" s="2" t="s">
        <v>2401</v>
      </c>
      <c r="G1664" s="2"/>
      <c r="H1664" s="2"/>
      <c r="I1664" s="3" t="b">
        <f>OR(E1664 = "calculated", E1664 = "lookup", E1664 = "aggregation")</f>
        <v>0</v>
      </c>
      <c r="J1664" s="3" t="b">
        <f>H1664 &lt;&gt; ""</f>
        <v>0</v>
      </c>
      <c r="K1664" s="3">
        <f>COUNTIFS(FieldDisagreements!D2:D999, A1664)</f>
        <v>0</v>
      </c>
      <c r="L1664" s="3" t="b">
        <f>K1664 &gt; 0</f>
        <v>0</v>
      </c>
      <c r="M1664" s="2" t="s">
        <v>2387</v>
      </c>
    </row>
    <row r="1665">
      <c r="A1665" s="2" t="s">
        <v>5475</v>
      </c>
      <c r="B1665" s="3" t="str">
        <f>C1665 &amp; "." &amp; D1665</f>
        <v>JwtClaimMappings.Description2</v>
      </c>
      <c r="C1665" s="2" t="s">
        <v>5463</v>
      </c>
      <c r="D1665" s="2" t="s">
        <v>5476</v>
      </c>
      <c r="E1665" s="2" t="s">
        <v>2385</v>
      </c>
      <c r="F1665" s="2" t="s">
        <v>2386</v>
      </c>
      <c r="G1665" s="2"/>
      <c r="H1665" s="2"/>
      <c r="I1665" s="3" t="b">
        <f>OR(E1665 = "calculated", E1665 = "lookup", E1665 = "aggregation")</f>
        <v>0</v>
      </c>
      <c r="J1665" s="3" t="b">
        <f>H1665 &lt;&gt; ""</f>
        <v>0</v>
      </c>
      <c r="K1665" s="3">
        <f>COUNTIFS(FieldDisagreements!D2:D999, A1665)</f>
        <v>0</v>
      </c>
      <c r="L1665" s="3" t="b">
        <f>K1665 &gt; 0</f>
        <v>0</v>
      </c>
      <c r="M1665" s="2" t="s">
        <v>2387</v>
      </c>
    </row>
    <row r="1666">
      <c r="A1666" s="2" t="s">
        <v>5477</v>
      </c>
      <c r="B1666" s="3" t="str">
        <f>C1666 &amp; "." &amp; D1666</f>
        <v>JwtClaimMappings.UsageCount</v>
      </c>
      <c r="C1666" s="2" t="s">
        <v>5463</v>
      </c>
      <c r="D1666" s="2" t="s">
        <v>5478</v>
      </c>
      <c r="E1666" s="2" t="s">
        <v>2438</v>
      </c>
      <c r="F1666" s="2" t="s">
        <v>2444</v>
      </c>
      <c r="G1666" s="2" t="s">
        <v>5479</v>
      </c>
      <c r="H1666" s="2"/>
      <c r="I1666" s="3" t="b">
        <f>OR(E1666 = "calculated", E1666 = "lookup", E1666 = "aggregation")</f>
        <v>1</v>
      </c>
      <c r="J1666" s="3" t="b">
        <f>H1666 &lt;&gt; ""</f>
        <v>0</v>
      </c>
      <c r="K1666" s="3">
        <f>COUNTIFS(FieldDisagreements!D2:D999, A1666)</f>
        <v>0</v>
      </c>
      <c r="L1666" s="3" t="b">
        <f>K1666 &gt; 0</f>
        <v>0</v>
      </c>
      <c r="M1666" s="2" t="s">
        <v>2387</v>
      </c>
    </row>
    <row r="1667">
      <c r="A1667" s="2" t="s">
        <v>5480</v>
      </c>
      <c r="B1667" s="3" t="str">
        <f>C1667 &amp; "." &amp; D1667</f>
        <v>JwtClaimMappings.SemanticTypeIri</v>
      </c>
      <c r="C1667" s="2" t="s">
        <v>5463</v>
      </c>
      <c r="D1667" s="2" t="s">
        <v>94</v>
      </c>
      <c r="E1667" s="2" t="s">
        <v>2385</v>
      </c>
      <c r="F1667" s="2" t="s">
        <v>2386</v>
      </c>
      <c r="G1667" s="2"/>
      <c r="H1667" s="2"/>
      <c r="I1667" s="3" t="b">
        <f>OR(E1667 = "calculated", E1667 = "lookup", E1667 = "aggregation")</f>
        <v>0</v>
      </c>
      <c r="J1667" s="3" t="b">
        <f>H1667 &lt;&gt; ""</f>
        <v>0</v>
      </c>
      <c r="K1667" s="3">
        <f>COUNTIFS(FieldDisagreements!D2:D999, A1667)</f>
        <v>0</v>
      </c>
      <c r="L1667" s="3" t="b">
        <f>K1667 &gt; 0</f>
        <v>0</v>
      </c>
      <c r="M1667" s="2" t="s">
        <v>2387</v>
      </c>
    </row>
    <row r="1668">
      <c r="A1668" s="2" t="s">
        <v>5481</v>
      </c>
      <c r="B1668" s="3" t="str">
        <f>C1668 &amp; "." &amp; D1668</f>
        <v>AccessDenialTests.AccessDenialTestId</v>
      </c>
      <c r="C1668" s="2" t="s">
        <v>5482</v>
      </c>
      <c r="D1668" s="2" t="s">
        <v>5483</v>
      </c>
      <c r="E1668" s="2" t="s">
        <v>2385</v>
      </c>
      <c r="F1668" s="2" t="s">
        <v>2386</v>
      </c>
      <c r="G1668" s="2"/>
      <c r="H1668" s="2"/>
      <c r="I1668" s="3" t="b">
        <f>OR(E1668 = "calculated", E1668 = "lookup", E1668 = "aggregation")</f>
        <v>0</v>
      </c>
      <c r="J1668" s="3" t="b">
        <f>H1668 &lt;&gt; ""</f>
        <v>0</v>
      </c>
      <c r="K1668" s="3">
        <f>COUNTIFS(FieldDisagreements!D2:D999, A1668)</f>
        <v>0</v>
      </c>
      <c r="L1668" s="3" t="b">
        <f>K1668 &gt; 0</f>
        <v>0</v>
      </c>
      <c r="M1668" s="2" t="s">
        <v>2387</v>
      </c>
    </row>
    <row r="1669">
      <c r="A1669" s="2" t="s">
        <v>5484</v>
      </c>
      <c r="B1669" s="3" t="str">
        <f>C1669 &amp; "." &amp; D1669</f>
        <v>AccessDenialTests.Name</v>
      </c>
      <c r="C1669" s="2" t="s">
        <v>5482</v>
      </c>
      <c r="D1669" s="2" t="s">
        <v>1</v>
      </c>
      <c r="E1669" s="2" t="s">
        <v>2389</v>
      </c>
      <c r="F1669" s="2" t="s">
        <v>2386</v>
      </c>
      <c r="G1669" s="2" t="s">
        <v>5485</v>
      </c>
      <c r="H1669" s="2"/>
      <c r="I1669" s="3" t="b">
        <f>OR(E1669 = "calculated", E1669 = "lookup", E1669 = "aggregation")</f>
        <v>1</v>
      </c>
      <c r="J1669" s="3" t="b">
        <f>H1669 &lt;&gt; ""</f>
        <v>0</v>
      </c>
      <c r="K1669" s="3">
        <f>COUNTIFS(FieldDisagreements!D2:D999, A1669)</f>
        <v>1</v>
      </c>
      <c r="L1669" s="3" t="b">
        <f>K1669 &gt; 0</f>
        <v>1</v>
      </c>
      <c r="M1669" s="2" t="s">
        <v>2387</v>
      </c>
    </row>
    <row r="1670">
      <c r="A1670" s="2" t="s">
        <v>5486</v>
      </c>
      <c r="B1670" s="3" t="str">
        <f>C1670 &amp; "." &amp; D1670</f>
        <v>AccessDenialTests.TargetPolicy</v>
      </c>
      <c r="C1670" s="2" t="s">
        <v>5482</v>
      </c>
      <c r="D1670" s="2" t="s">
        <v>5487</v>
      </c>
      <c r="E1670" s="2" t="s">
        <v>2434</v>
      </c>
      <c r="F1670" s="2" t="s">
        <v>2386</v>
      </c>
      <c r="G1670" s="2"/>
      <c r="H1670" s="2"/>
      <c r="I1670" s="3" t="b">
        <f>OR(E1670 = "calculated", E1670 = "lookup", E1670 = "aggregation")</f>
        <v>0</v>
      </c>
      <c r="J1670" s="3" t="b">
        <f>H1670 &lt;&gt; ""</f>
        <v>0</v>
      </c>
      <c r="K1670" s="3">
        <f>COUNTIFS(FieldDisagreements!D2:D999, A1670)</f>
        <v>0</v>
      </c>
      <c r="L1670" s="3" t="b">
        <f>K1670 &gt; 0</f>
        <v>0</v>
      </c>
      <c r="M1670" s="2" t="s">
        <v>2387</v>
      </c>
    </row>
    <row r="1671">
      <c r="A1671" s="2" t="s">
        <v>5488</v>
      </c>
      <c r="B1671" s="3" t="str">
        <f>C1671 &amp; "." &amp; D1671</f>
        <v>AccessDenialTests.Principal</v>
      </c>
      <c r="C1671" s="2" t="s">
        <v>5482</v>
      </c>
      <c r="D1671" s="2" t="s">
        <v>5351</v>
      </c>
      <c r="E1671" s="2" t="s">
        <v>2434</v>
      </c>
      <c r="F1671" s="2" t="s">
        <v>2386</v>
      </c>
      <c r="G1671" s="2"/>
      <c r="H1671" s="2"/>
      <c r="I1671" s="3" t="b">
        <f>OR(E1671 = "calculated", E1671 = "lookup", E1671 = "aggregation")</f>
        <v>0</v>
      </c>
      <c r="J1671" s="3" t="b">
        <f>H1671 &lt;&gt; ""</f>
        <v>0</v>
      </c>
      <c r="K1671" s="3">
        <f>COUNTIFS(FieldDisagreements!D2:D999, A1671)</f>
        <v>0</v>
      </c>
      <c r="L1671" s="3" t="b">
        <f>K1671 &gt; 0</f>
        <v>0</v>
      </c>
      <c r="M1671" s="2" t="s">
        <v>2387</v>
      </c>
    </row>
    <row r="1672">
      <c r="A1672" s="2" t="s">
        <v>5489</v>
      </c>
      <c r="B1672" s="3" t="str">
        <f>C1672 &amp; "." &amp; D1672</f>
        <v>AccessDenialTests.TargetTable</v>
      </c>
      <c r="C1672" s="2" t="s">
        <v>5482</v>
      </c>
      <c r="D1672" s="2" t="s">
        <v>2373</v>
      </c>
      <c r="E1672" s="2" t="s">
        <v>2434</v>
      </c>
      <c r="F1672" s="2" t="s">
        <v>2386</v>
      </c>
      <c r="G1672" s="2"/>
      <c r="H1672" s="2"/>
      <c r="I1672" s="3" t="b">
        <f>OR(E1672 = "calculated", E1672 = "lookup", E1672 = "aggregation")</f>
        <v>0</v>
      </c>
      <c r="J1672" s="3" t="b">
        <f>H1672 &lt;&gt; ""</f>
        <v>0</v>
      </c>
      <c r="K1672" s="3">
        <f>COUNTIFS(FieldDisagreements!D2:D999, A1672)</f>
        <v>0</v>
      </c>
      <c r="L1672" s="3" t="b">
        <f>K1672 &gt; 0</f>
        <v>0</v>
      </c>
      <c r="M1672" s="2" t="s">
        <v>2387</v>
      </c>
    </row>
    <row r="1673">
      <c r="A1673" s="2" t="s">
        <v>5490</v>
      </c>
      <c r="B1673" s="3" t="str">
        <f>C1673 &amp; "." &amp; D1673</f>
        <v>AccessDenialTests.ForbiddenRowId</v>
      </c>
      <c r="C1673" s="2" t="s">
        <v>5482</v>
      </c>
      <c r="D1673" s="2" t="s">
        <v>5491</v>
      </c>
      <c r="E1673" s="2" t="s">
        <v>2385</v>
      </c>
      <c r="F1673" s="2" t="s">
        <v>2386</v>
      </c>
      <c r="G1673" s="2"/>
      <c r="H1673" s="2"/>
      <c r="I1673" s="3" t="b">
        <f>OR(E1673 = "calculated", E1673 = "lookup", E1673 = "aggregation")</f>
        <v>0</v>
      </c>
      <c r="J1673" s="3" t="b">
        <f>H1673 &lt;&gt; ""</f>
        <v>0</v>
      </c>
      <c r="K1673" s="3">
        <f>COUNTIFS(FieldDisagreements!D2:D999, A1673)</f>
        <v>0</v>
      </c>
      <c r="L1673" s="3" t="b">
        <f>K1673 &gt; 0</f>
        <v>0</v>
      </c>
      <c r="M1673" s="2" t="s">
        <v>2387</v>
      </c>
    </row>
    <row r="1674">
      <c r="A1674" s="2" t="s">
        <v>5492</v>
      </c>
      <c r="B1674" s="3" t="str">
        <f>C1674 &amp; "." &amp; D1674</f>
        <v>AccessDenialTests.ExpectedVisible</v>
      </c>
      <c r="C1674" s="2" t="s">
        <v>5482</v>
      </c>
      <c r="D1674" s="2" t="s">
        <v>5493</v>
      </c>
      <c r="E1674" s="2" t="s">
        <v>2385</v>
      </c>
      <c r="F1674" s="2" t="s">
        <v>2401</v>
      </c>
      <c r="G1674" s="2"/>
      <c r="H1674" s="2"/>
      <c r="I1674" s="3" t="b">
        <f>OR(E1674 = "calculated", E1674 = "lookup", E1674 = "aggregation")</f>
        <v>0</v>
      </c>
      <c r="J1674" s="3" t="b">
        <f>H1674 &lt;&gt; ""</f>
        <v>0</v>
      </c>
      <c r="K1674" s="3">
        <f>COUNTIFS(FieldDisagreements!D2:D999, A1674)</f>
        <v>0</v>
      </c>
      <c r="L1674" s="3" t="b">
        <f>K1674 &gt; 0</f>
        <v>0</v>
      </c>
      <c r="M1674" s="2" t="s">
        <v>2387</v>
      </c>
    </row>
    <row r="1675">
      <c r="A1675" s="2" t="s">
        <v>5494</v>
      </c>
      <c r="B1675" s="3" t="str">
        <f>C1675 &amp; "." &amp; D1675</f>
        <v>AccessDenialTests.ObservedVisible</v>
      </c>
      <c r="C1675" s="2" t="s">
        <v>5482</v>
      </c>
      <c r="D1675" s="2" t="s">
        <v>5495</v>
      </c>
      <c r="E1675" s="2" t="s">
        <v>2385</v>
      </c>
      <c r="F1675" s="2" t="s">
        <v>2401</v>
      </c>
      <c r="G1675" s="2"/>
      <c r="H1675" s="2"/>
      <c r="I1675" s="3" t="b">
        <f>OR(E1675 = "calculated", E1675 = "lookup", E1675 = "aggregation")</f>
        <v>0</v>
      </c>
      <c r="J1675" s="3" t="b">
        <f>H1675 &lt;&gt; ""</f>
        <v>0</v>
      </c>
      <c r="K1675" s="3">
        <f>COUNTIFS(FieldDisagreements!D2:D999, A1675)</f>
        <v>0</v>
      </c>
      <c r="L1675" s="3" t="b">
        <f>K1675 &gt; 0</f>
        <v>0</v>
      </c>
      <c r="M1675" s="2" t="s">
        <v>2387</v>
      </c>
    </row>
    <row r="1676">
      <c r="A1676" s="2" t="s">
        <v>5496</v>
      </c>
      <c r="B1676" s="3" t="str">
        <f>C1676 &amp; "." &amp; D1676</f>
        <v>AccessDenialTests.LastRunAt</v>
      </c>
      <c r="C1676" s="2" t="s">
        <v>5482</v>
      </c>
      <c r="D1676" s="2" t="s">
        <v>4168</v>
      </c>
      <c r="E1676" s="2" t="s">
        <v>2385</v>
      </c>
      <c r="F1676" s="2" t="s">
        <v>2397</v>
      </c>
      <c r="G1676" s="2"/>
      <c r="H1676" s="2"/>
      <c r="I1676" s="3" t="b">
        <f>OR(E1676 = "calculated", E1676 = "lookup", E1676 = "aggregation")</f>
        <v>0</v>
      </c>
      <c r="J1676" s="3" t="b">
        <f>H1676 &lt;&gt; ""</f>
        <v>0</v>
      </c>
      <c r="K1676" s="3">
        <f>COUNTIFS(FieldDisagreements!D2:D999, A1676)</f>
        <v>0</v>
      </c>
      <c r="L1676" s="3" t="b">
        <f>K1676 &gt; 0</f>
        <v>0</v>
      </c>
      <c r="M1676" s="2" t="s">
        <v>2387</v>
      </c>
    </row>
    <row r="1677">
      <c r="A1677" s="2" t="s">
        <v>5497</v>
      </c>
      <c r="B1677" s="3" t="str">
        <f>C1677 &amp; "." &amp; D1677</f>
        <v>AccessDenialTests.HasRun</v>
      </c>
      <c r="C1677" s="2" t="s">
        <v>5482</v>
      </c>
      <c r="D1677" s="2" t="s">
        <v>5498</v>
      </c>
      <c r="E1677" s="2" t="s">
        <v>2389</v>
      </c>
      <c r="F1677" s="2" t="s">
        <v>2401</v>
      </c>
      <c r="G1677" s="2" t="s">
        <v>5499</v>
      </c>
      <c r="H1677" s="2"/>
      <c r="I1677" s="3" t="b">
        <f>OR(E1677 = "calculated", E1677 = "lookup", E1677 = "aggregation")</f>
        <v>1</v>
      </c>
      <c r="J1677" s="3" t="b">
        <f>H1677 &lt;&gt; ""</f>
        <v>0</v>
      </c>
      <c r="K1677" s="3">
        <f>COUNTIFS(FieldDisagreements!D2:D999, A1677)</f>
        <v>0</v>
      </c>
      <c r="L1677" s="3" t="b">
        <f>K1677 &gt; 0</f>
        <v>0</v>
      </c>
      <c r="M1677" s="2" t="s">
        <v>2387</v>
      </c>
    </row>
    <row r="1678">
      <c r="A1678" s="2" t="s">
        <v>5500</v>
      </c>
      <c r="B1678" s="3" t="str">
        <f>C1678 &amp; "." &amp; D1678</f>
        <v>AccessDenialTests.IsPassing</v>
      </c>
      <c r="C1678" s="2" t="s">
        <v>5482</v>
      </c>
      <c r="D1678" s="2" t="s">
        <v>4170</v>
      </c>
      <c r="E1678" s="2" t="s">
        <v>2389</v>
      </c>
      <c r="F1678" s="2" t="s">
        <v>2401</v>
      </c>
      <c r="G1678" s="2" t="s">
        <v>5501</v>
      </c>
      <c r="H1678" s="2"/>
      <c r="I1678" s="3" t="b">
        <f>OR(E1678 = "calculated", E1678 = "lookup", E1678 = "aggregation")</f>
        <v>1</v>
      </c>
      <c r="J1678" s="3" t="b">
        <f>H1678 &lt;&gt; ""</f>
        <v>0</v>
      </c>
      <c r="K1678" s="3">
        <f>COUNTIFS(FieldDisagreements!D2:D999, A1678)</f>
        <v>0</v>
      </c>
      <c r="L1678" s="3" t="b">
        <f>K1678 &gt; 0</f>
        <v>0</v>
      </c>
      <c r="M1678" s="2" t="s">
        <v>2387</v>
      </c>
    </row>
    <row r="1679">
      <c r="A1679" s="2" t="s">
        <v>5502</v>
      </c>
      <c r="B1679" s="3" t="str">
        <f>C1679 &amp; "." &amp; D1679</f>
        <v>AccessDenialTests.IsLeak</v>
      </c>
      <c r="C1679" s="2" t="s">
        <v>5482</v>
      </c>
      <c r="D1679" s="2" t="s">
        <v>5503</v>
      </c>
      <c r="E1679" s="2" t="s">
        <v>2389</v>
      </c>
      <c r="F1679" s="2" t="s">
        <v>2401</v>
      </c>
      <c r="G1679" s="2" t="s">
        <v>5504</v>
      </c>
      <c r="H1679" s="2"/>
      <c r="I1679" s="3" t="b">
        <f>OR(E1679 = "calculated", E1679 = "lookup", E1679 = "aggregation")</f>
        <v>1</v>
      </c>
      <c r="J1679" s="3" t="b">
        <f>H1679 &lt;&gt; ""</f>
        <v>0</v>
      </c>
      <c r="K1679" s="3">
        <f>COUNTIFS(FieldDisagreements!D2:D999, A1679)</f>
        <v>0</v>
      </c>
      <c r="L1679" s="3" t="b">
        <f>K1679 &gt; 0</f>
        <v>0</v>
      </c>
      <c r="M1679" s="2" t="s">
        <v>2387</v>
      </c>
    </row>
    <row r="1680">
      <c r="A1680" s="2" t="s">
        <v>5505</v>
      </c>
      <c r="B1680" s="3" t="str">
        <f>C1680 &amp; "." &amp; D1680</f>
        <v>AccessDenialTests.IsUnproven</v>
      </c>
      <c r="C1680" s="2" t="s">
        <v>5482</v>
      </c>
      <c r="D1680" s="2" t="s">
        <v>5506</v>
      </c>
      <c r="E1680" s="2" t="s">
        <v>2389</v>
      </c>
      <c r="F1680" s="2" t="s">
        <v>2401</v>
      </c>
      <c r="G1680" s="2" t="s">
        <v>5507</v>
      </c>
      <c r="H1680" s="2"/>
      <c r="I1680" s="3" t="b">
        <f>OR(E1680 = "calculated", E1680 = "lookup", E1680 = "aggregation")</f>
        <v>1</v>
      </c>
      <c r="J1680" s="3" t="b">
        <f>H1680 &lt;&gt; ""</f>
        <v>0</v>
      </c>
      <c r="K1680" s="3">
        <f>COUNTIFS(FieldDisagreements!D2:D999, A1680)</f>
        <v>0</v>
      </c>
      <c r="L1680" s="3" t="b">
        <f>K1680 &gt; 0</f>
        <v>0</v>
      </c>
      <c r="M1680" s="2" t="s">
        <v>2387</v>
      </c>
    </row>
    <row r="1681">
      <c r="A1681" s="2" t="s">
        <v>5508</v>
      </c>
      <c r="B1681" s="3" t="str">
        <f>C1681 &amp; "." &amp; D1681</f>
        <v>AccessDenialTests.Rationale</v>
      </c>
      <c r="C1681" s="2" t="s">
        <v>5482</v>
      </c>
      <c r="D1681" s="2" t="s">
        <v>93</v>
      </c>
      <c r="E1681" s="2" t="s">
        <v>2385</v>
      </c>
      <c r="F1681" s="2" t="s">
        <v>2386</v>
      </c>
      <c r="G1681" s="2"/>
      <c r="H1681" s="2"/>
      <c r="I1681" s="3" t="b">
        <f>OR(E1681 = "calculated", E1681 = "lookup", E1681 = "aggregation")</f>
        <v>0</v>
      </c>
      <c r="J1681" s="3" t="b">
        <f>H1681 &lt;&gt; ""</f>
        <v>0</v>
      </c>
      <c r="K1681" s="3">
        <f>COUNTIFS(FieldDisagreements!D2:D999, A1681)</f>
        <v>0</v>
      </c>
      <c r="L1681" s="3" t="b">
        <f>K1681 &gt; 0</f>
        <v>0</v>
      </c>
      <c r="M1681" s="2" t="s">
        <v>2387</v>
      </c>
    </row>
    <row r="1682">
      <c r="A1682" s="2" t="s">
        <v>5509</v>
      </c>
      <c r="B1682" s="3" t="str">
        <f>C1682 &amp; "." &amp; D1682</f>
        <v>AccessDenialTests.IsPositiveControl</v>
      </c>
      <c r="C1682" s="2" t="s">
        <v>5482</v>
      </c>
      <c r="D1682" s="2" t="s">
        <v>5510</v>
      </c>
      <c r="E1682" s="2" t="s">
        <v>2389</v>
      </c>
      <c r="F1682" s="2" t="s">
        <v>2401</v>
      </c>
      <c r="G1682" s="2" t="s">
        <v>5511</v>
      </c>
      <c r="H1682" s="2"/>
      <c r="I1682" s="3" t="b">
        <f>OR(E1682 = "calculated", E1682 = "lookup", E1682 = "aggregation")</f>
        <v>1</v>
      </c>
      <c r="J1682" s="3" t="b">
        <f>H1682 &lt;&gt; ""</f>
        <v>0</v>
      </c>
      <c r="K1682" s="3">
        <f>COUNTIFS(FieldDisagreements!D2:D999, A1682)</f>
        <v>0</v>
      </c>
      <c r="L1682" s="3" t="b">
        <f>K1682 &gt; 0</f>
        <v>0</v>
      </c>
      <c r="M1682" s="2" t="s">
        <v>2387</v>
      </c>
    </row>
    <row r="1683">
      <c r="A1683" s="2" t="s">
        <v>5512</v>
      </c>
      <c r="B1683" s="3" t="str">
        <f>C1683 &amp; "." &amp; D1683</f>
        <v>AccessDenialTests.ForbiddenTable</v>
      </c>
      <c r="C1683" s="2" t="s">
        <v>5482</v>
      </c>
      <c r="D1683" s="2" t="s">
        <v>5513</v>
      </c>
      <c r="E1683" s="2" t="s">
        <v>2385</v>
      </c>
      <c r="F1683" s="2" t="s">
        <v>2386</v>
      </c>
      <c r="G1683" s="2"/>
      <c r="H1683" s="2"/>
      <c r="I1683" s="3" t="b">
        <f>OR(E1683 = "calculated", E1683 = "lookup", E1683 = "aggregation")</f>
        <v>0</v>
      </c>
      <c r="J1683" s="3" t="b">
        <f>H1683 &lt;&gt; ""</f>
        <v>0</v>
      </c>
      <c r="K1683" s="3">
        <f>COUNTIFS(FieldDisagreements!D2:D999, A1683)</f>
        <v>0</v>
      </c>
      <c r="L1683" s="3" t="b">
        <f>K1683 &gt; 0</f>
        <v>0</v>
      </c>
      <c r="M1683" s="2" t="s">
        <v>2387</v>
      </c>
    </row>
    <row r="1684">
      <c r="A1684" s="2" t="s">
        <v>5514</v>
      </c>
      <c r="B1684" s="3" t="str">
        <f>C1684 &amp; "." &amp; D1684</f>
        <v>AccessDenialTests.ForbiddenColumn</v>
      </c>
      <c r="C1684" s="2" t="s">
        <v>5482</v>
      </c>
      <c r="D1684" s="2" t="s">
        <v>5515</v>
      </c>
      <c r="E1684" s="2" t="s">
        <v>2385</v>
      </c>
      <c r="F1684" s="2" t="s">
        <v>2386</v>
      </c>
      <c r="G1684" s="2"/>
      <c r="H1684" s="2"/>
      <c r="I1684" s="3" t="b">
        <f>OR(E1684 = "calculated", E1684 = "lookup", E1684 = "aggregation")</f>
        <v>0</v>
      </c>
      <c r="J1684" s="3" t="b">
        <f>H1684 &lt;&gt; ""</f>
        <v>0</v>
      </c>
      <c r="K1684" s="3">
        <f>COUNTIFS(FieldDisagreements!D2:D999, A1684)</f>
        <v>0</v>
      </c>
      <c r="L1684" s="3" t="b">
        <f>K1684 &gt; 0</f>
        <v>0</v>
      </c>
      <c r="M1684" s="2" t="s">
        <v>2387</v>
      </c>
    </row>
    <row r="1685">
      <c r="A1685" s="2" t="s">
        <v>5516</v>
      </c>
      <c r="B1685" s="3" t="str">
        <f>C1685 &amp; "." &amp; D1685</f>
        <v>AccessDenialTests.SemanticTypeIri</v>
      </c>
      <c r="C1685" s="2" t="s">
        <v>5482</v>
      </c>
      <c r="D1685" s="2" t="s">
        <v>94</v>
      </c>
      <c r="E1685" s="2" t="s">
        <v>2385</v>
      </c>
      <c r="F1685" s="2" t="s">
        <v>2386</v>
      </c>
      <c r="G1685" s="2"/>
      <c r="H1685" s="2"/>
      <c r="I1685" s="3" t="b">
        <f>OR(E1685 = "calculated", E1685 = "lookup", E1685 = "aggregation")</f>
        <v>0</v>
      </c>
      <c r="J1685" s="3" t="b">
        <f>H1685 &lt;&gt; ""</f>
        <v>0</v>
      </c>
      <c r="K1685" s="3">
        <f>COUNTIFS(FieldDisagreements!D2:D999, A1685)</f>
        <v>0</v>
      </c>
      <c r="L1685" s="3" t="b">
        <f>K1685 &gt; 0</f>
        <v>0</v>
      </c>
      <c r="M1685" s="2" t="s">
        <v>2387</v>
      </c>
    </row>
    <row r="1686">
      <c r="A1686" s="2" t="s">
        <v>5517</v>
      </c>
      <c r="B1686" s="3" t="str">
        <f>C1686 &amp; "." &amp; D1686</f>
        <v>AppUsers.AppUserId</v>
      </c>
      <c r="C1686" s="2" t="s">
        <v>5518</v>
      </c>
      <c r="D1686" s="2" t="s">
        <v>5519</v>
      </c>
      <c r="E1686" s="2" t="s">
        <v>2385</v>
      </c>
      <c r="F1686" s="2" t="s">
        <v>2386</v>
      </c>
      <c r="G1686" s="2"/>
      <c r="H1686" s="2"/>
      <c r="I1686" s="3" t="b">
        <f>OR(E1686 = "calculated", E1686 = "lookup", E1686 = "aggregation")</f>
        <v>0</v>
      </c>
      <c r="J1686" s="3" t="b">
        <f>H1686 &lt;&gt; ""</f>
        <v>0</v>
      </c>
      <c r="K1686" s="3">
        <f>COUNTIFS(FieldDisagreements!D2:D999, A1686)</f>
        <v>0</v>
      </c>
      <c r="L1686" s="3" t="b">
        <f>K1686 &gt; 0</f>
        <v>0</v>
      </c>
      <c r="M1686" s="2" t="s">
        <v>2387</v>
      </c>
    </row>
    <row r="1687">
      <c r="A1687" s="2" t="s">
        <v>5520</v>
      </c>
      <c r="B1687" s="3" t="str">
        <f>C1687 &amp; "." &amp; D1687</f>
        <v>AppUsers.Name</v>
      </c>
      <c r="C1687" s="2" t="s">
        <v>5518</v>
      </c>
      <c r="D1687" s="2" t="s">
        <v>1</v>
      </c>
      <c r="E1687" s="2" t="s">
        <v>2389</v>
      </c>
      <c r="F1687" s="2" t="s">
        <v>2386</v>
      </c>
      <c r="G1687" s="2" t="s">
        <v>2424</v>
      </c>
      <c r="H1687" s="2"/>
      <c r="I1687" s="3" t="b">
        <f>OR(E1687 = "calculated", E1687 = "lookup", E1687 = "aggregation")</f>
        <v>1</v>
      </c>
      <c r="J1687" s="3" t="b">
        <f>H1687 &lt;&gt; ""</f>
        <v>0</v>
      </c>
      <c r="K1687" s="3">
        <f>COUNTIFS(FieldDisagreements!D2:D999, A1687)</f>
        <v>0</v>
      </c>
      <c r="L1687" s="3" t="b">
        <f>K1687 &gt; 0</f>
        <v>0</v>
      </c>
      <c r="M1687" s="2" t="s">
        <v>2387</v>
      </c>
    </row>
    <row r="1688">
      <c r="A1688" s="2" t="s">
        <v>5521</v>
      </c>
      <c r="B1688" s="3" t="str">
        <f>C1688 &amp; "." &amp; D1688</f>
        <v>AppUsers.EmailAddress</v>
      </c>
      <c r="C1688" s="2" t="s">
        <v>5518</v>
      </c>
      <c r="D1688" s="2" t="s">
        <v>4352</v>
      </c>
      <c r="E1688" s="2" t="s">
        <v>2385</v>
      </c>
      <c r="F1688" s="2" t="s">
        <v>2386</v>
      </c>
      <c r="G1688" s="2"/>
      <c r="H1688" s="2"/>
      <c r="I1688" s="3" t="b">
        <f>OR(E1688 = "calculated", E1688 = "lookup", E1688 = "aggregation")</f>
        <v>0</v>
      </c>
      <c r="J1688" s="3" t="b">
        <f>H1688 &lt;&gt; ""</f>
        <v>0</v>
      </c>
      <c r="K1688" s="3">
        <f>COUNTIFS(FieldDisagreements!D2:D999, A1688)</f>
        <v>0</v>
      </c>
      <c r="L1688" s="3" t="b">
        <f>K1688 &gt; 0</f>
        <v>0</v>
      </c>
      <c r="M1688" s="2" t="s">
        <v>2387</v>
      </c>
    </row>
    <row r="1689">
      <c r="A1689" s="2" t="s">
        <v>5522</v>
      </c>
      <c r="B1689" s="3" t="str">
        <f>C1689 &amp; "." &amp; D1689</f>
        <v>AppUsers.DisplayName</v>
      </c>
      <c r="C1689" s="2" t="s">
        <v>5518</v>
      </c>
      <c r="D1689" s="2" t="s">
        <v>100</v>
      </c>
      <c r="E1689" s="2" t="s">
        <v>2385</v>
      </c>
      <c r="F1689" s="2" t="s">
        <v>2386</v>
      </c>
      <c r="G1689" s="2"/>
      <c r="H1689" s="2"/>
      <c r="I1689" s="3" t="b">
        <f>OR(E1689 = "calculated", E1689 = "lookup", E1689 = "aggregation")</f>
        <v>0</v>
      </c>
      <c r="J1689" s="3" t="b">
        <f>H1689 &lt;&gt; ""</f>
        <v>0</v>
      </c>
      <c r="K1689" s="3">
        <f>COUNTIFS(FieldDisagreements!D2:D999, A1689)</f>
        <v>0</v>
      </c>
      <c r="L1689" s="3" t="b">
        <f>K1689 &gt; 0</f>
        <v>0</v>
      </c>
      <c r="M1689" s="2" t="s">
        <v>2387</v>
      </c>
    </row>
    <row r="1690">
      <c r="A1690" s="2" t="s">
        <v>5523</v>
      </c>
      <c r="B1690" s="3" t="str">
        <f>C1690 &amp; "." &amp; D1690</f>
        <v>AppUsers.LinkedAgent</v>
      </c>
      <c r="C1690" s="2" t="s">
        <v>5518</v>
      </c>
      <c r="D1690" s="2" t="s">
        <v>5524</v>
      </c>
      <c r="E1690" s="2" t="s">
        <v>2434</v>
      </c>
      <c r="F1690" s="2" t="s">
        <v>2386</v>
      </c>
      <c r="G1690" s="2"/>
      <c r="H1690" s="2"/>
      <c r="I1690" s="3" t="b">
        <f>OR(E1690 = "calculated", E1690 = "lookup", E1690 = "aggregation")</f>
        <v>0</v>
      </c>
      <c r="J1690" s="3" t="b">
        <f>H1690 &lt;&gt; ""</f>
        <v>0</v>
      </c>
      <c r="K1690" s="3">
        <f>COUNTIFS(FieldDisagreements!D2:D999, A1690)</f>
        <v>0</v>
      </c>
      <c r="L1690" s="3" t="b">
        <f>K1690 &gt; 0</f>
        <v>0</v>
      </c>
      <c r="M1690" s="2" t="s">
        <v>2387</v>
      </c>
    </row>
    <row r="1691">
      <c r="A1691" s="2" t="s">
        <v>5525</v>
      </c>
      <c r="B1691" s="3" t="str">
        <f>C1691 &amp; "." &amp; D1691</f>
        <v>AppUsers.IsEnabled</v>
      </c>
      <c r="C1691" s="2" t="s">
        <v>5518</v>
      </c>
      <c r="D1691" s="2" t="s">
        <v>5526</v>
      </c>
      <c r="E1691" s="2" t="s">
        <v>2385</v>
      </c>
      <c r="F1691" s="2" t="s">
        <v>2401</v>
      </c>
      <c r="G1691" s="2"/>
      <c r="H1691" s="2"/>
      <c r="I1691" s="3" t="b">
        <f>OR(E1691 = "calculated", E1691 = "lookup", E1691 = "aggregation")</f>
        <v>0</v>
      </c>
      <c r="J1691" s="3" t="b">
        <f>H1691 &lt;&gt; ""</f>
        <v>0</v>
      </c>
      <c r="K1691" s="3">
        <f>COUNTIFS(FieldDisagreements!D2:D999, A1691)</f>
        <v>0</v>
      </c>
      <c r="L1691" s="3" t="b">
        <f>K1691 &gt; 0</f>
        <v>0</v>
      </c>
      <c r="M1691" s="2" t="s">
        <v>2387</v>
      </c>
    </row>
    <row r="1692">
      <c r="A1692" s="2" t="s">
        <v>5527</v>
      </c>
      <c r="B1692" s="3" t="str">
        <f>C1692 &amp; "." &amp; D1692</f>
        <v>AppUsers.AgentKind</v>
      </c>
      <c r="C1692" s="2" t="s">
        <v>5518</v>
      </c>
      <c r="D1692" s="2" t="s">
        <v>120</v>
      </c>
      <c r="E1692" s="2" t="s">
        <v>2478</v>
      </c>
      <c r="F1692" s="2" t="s">
        <v>2386</v>
      </c>
      <c r="G1692" s="2" t="s">
        <v>5528</v>
      </c>
      <c r="H1692" s="2"/>
      <c r="I1692" s="3" t="b">
        <f>OR(E1692 = "calculated", E1692 = "lookup", E1692 = "aggregation")</f>
        <v>1</v>
      </c>
      <c r="J1692" s="3" t="b">
        <f>H1692 &lt;&gt; ""</f>
        <v>0</v>
      </c>
      <c r="K1692" s="3">
        <f>COUNTIFS(FieldDisagreements!D2:D999, A1692)</f>
        <v>0</v>
      </c>
      <c r="L1692" s="3" t="b">
        <f>K1692 &gt; 0</f>
        <v>0</v>
      </c>
      <c r="M1692" s="2" t="s">
        <v>2387</v>
      </c>
    </row>
    <row r="1693">
      <c r="A1693" s="2" t="s">
        <v>5529</v>
      </c>
      <c r="B1693" s="3" t="str">
        <f>C1693 &amp; "." &amp; D1693</f>
        <v>AppUsers.Organization</v>
      </c>
      <c r="C1693" s="2" t="s">
        <v>5518</v>
      </c>
      <c r="D1693" s="2" t="s">
        <v>121</v>
      </c>
      <c r="E1693" s="2" t="s">
        <v>2478</v>
      </c>
      <c r="F1693" s="2" t="s">
        <v>2386</v>
      </c>
      <c r="G1693" s="2" t="s">
        <v>5530</v>
      </c>
      <c r="H1693" s="2"/>
      <c r="I1693" s="3" t="b">
        <f>OR(E1693 = "calculated", E1693 = "lookup", E1693 = "aggregation")</f>
        <v>1</v>
      </c>
      <c r="J1693" s="3" t="b">
        <f>H1693 &lt;&gt; ""</f>
        <v>0</v>
      </c>
      <c r="K1693" s="3">
        <f>COUNTIFS(FieldDisagreements!D2:D999, A1693)</f>
        <v>0</v>
      </c>
      <c r="L1693" s="3" t="b">
        <f>K1693 &gt; 0</f>
        <v>0</v>
      </c>
      <c r="M1693" s="2" t="s">
        <v>2387</v>
      </c>
    </row>
    <row r="1694">
      <c r="A1694" s="2" t="s">
        <v>5531</v>
      </c>
      <c r="B1694" s="3" t="str">
        <f>C1694 &amp; "." &amp; D1694</f>
        <v>AppUsers.AssignmentCount</v>
      </c>
      <c r="C1694" s="2" t="s">
        <v>5518</v>
      </c>
      <c r="D1694" s="2" t="s">
        <v>5532</v>
      </c>
      <c r="E1694" s="2" t="s">
        <v>2438</v>
      </c>
      <c r="F1694" s="2" t="s">
        <v>2444</v>
      </c>
      <c r="G1694" s="2" t="s">
        <v>5533</v>
      </c>
      <c r="H1694" s="2"/>
      <c r="I1694" s="3" t="b">
        <f>OR(E1694 = "calculated", E1694 = "lookup", E1694 = "aggregation")</f>
        <v>1</v>
      </c>
      <c r="J1694" s="3" t="b">
        <f>H1694 &lt;&gt; ""</f>
        <v>0</v>
      </c>
      <c r="K1694" s="3">
        <f>COUNTIFS(FieldDisagreements!D2:D999, A1694)</f>
        <v>0</v>
      </c>
      <c r="L1694" s="3" t="b">
        <f>K1694 &gt; 0</f>
        <v>0</v>
      </c>
      <c r="M1694" s="2" t="s">
        <v>2387</v>
      </c>
    </row>
    <row r="1695">
      <c r="A1695" s="2" t="s">
        <v>5534</v>
      </c>
      <c r="B1695" s="3" t="str">
        <f>C1695 &amp; "." &amp; D1695</f>
        <v>AppUsers.HasNoPrincipal</v>
      </c>
      <c r="C1695" s="2" t="s">
        <v>5518</v>
      </c>
      <c r="D1695" s="2" t="s">
        <v>5535</v>
      </c>
      <c r="E1695" s="2" t="s">
        <v>2389</v>
      </c>
      <c r="F1695" s="2" t="s">
        <v>2401</v>
      </c>
      <c r="G1695" s="2" t="s">
        <v>5536</v>
      </c>
      <c r="H1695" s="2"/>
      <c r="I1695" s="3" t="b">
        <f>OR(E1695 = "calculated", E1695 = "lookup", E1695 = "aggregation")</f>
        <v>1</v>
      </c>
      <c r="J1695" s="3" t="b">
        <f>H1695 &lt;&gt; ""</f>
        <v>0</v>
      </c>
      <c r="K1695" s="3">
        <f>COUNTIFS(FieldDisagreements!D2:D999, A1695)</f>
        <v>0</v>
      </c>
      <c r="L1695" s="3" t="b">
        <f>K1695 &gt; 0</f>
        <v>0</v>
      </c>
      <c r="M1695" s="2" t="s">
        <v>2387</v>
      </c>
    </row>
    <row r="1696">
      <c r="A1696" s="2" t="s">
        <v>5537</v>
      </c>
      <c r="B1696" s="3" t="str">
        <f>C1696 &amp; "." &amp; D1696</f>
        <v>AppUsers.HoldsMultiplePrincipals</v>
      </c>
      <c r="C1696" s="2" t="s">
        <v>5518</v>
      </c>
      <c r="D1696" s="2" t="s">
        <v>5538</v>
      </c>
      <c r="E1696" s="2" t="s">
        <v>2389</v>
      </c>
      <c r="F1696" s="2" t="s">
        <v>2401</v>
      </c>
      <c r="G1696" s="2" t="s">
        <v>5539</v>
      </c>
      <c r="H1696" s="2"/>
      <c r="I1696" s="3" t="b">
        <f>OR(E1696 = "calculated", E1696 = "lookup", E1696 = "aggregation")</f>
        <v>1</v>
      </c>
      <c r="J1696" s="3" t="b">
        <f>H1696 &lt;&gt; ""</f>
        <v>0</v>
      </c>
      <c r="K1696" s="3">
        <f>COUNTIFS(FieldDisagreements!D2:D999, A1696)</f>
        <v>0</v>
      </c>
      <c r="L1696" s="3" t="b">
        <f>K1696 &gt; 0</f>
        <v>0</v>
      </c>
      <c r="M1696" s="2" t="s">
        <v>2387</v>
      </c>
    </row>
    <row r="1697">
      <c r="A1697" s="2" t="s">
        <v>5540</v>
      </c>
      <c r="B1697" s="3" t="str">
        <f>C1697 &amp; "." &amp; D1697</f>
        <v>AppUsers.IsNonHumanSignIn</v>
      </c>
      <c r="C1697" s="2" t="s">
        <v>5518</v>
      </c>
      <c r="D1697" s="2" t="s">
        <v>5541</v>
      </c>
      <c r="E1697" s="2" t="s">
        <v>2389</v>
      </c>
      <c r="F1697" s="2" t="s">
        <v>2401</v>
      </c>
      <c r="G1697" s="2" t="s">
        <v>5542</v>
      </c>
      <c r="H1697" s="2"/>
      <c r="I1697" s="3" t="b">
        <f>OR(E1697 = "calculated", E1697 = "lookup", E1697 = "aggregation")</f>
        <v>1</v>
      </c>
      <c r="J1697" s="3" t="b">
        <f>H1697 &lt;&gt; ""</f>
        <v>0</v>
      </c>
      <c r="K1697" s="3">
        <f>COUNTIFS(FieldDisagreements!D2:D999, A1697)</f>
        <v>0</v>
      </c>
      <c r="L1697" s="3" t="b">
        <f>K1697 &gt; 0</f>
        <v>0</v>
      </c>
      <c r="M1697" s="2" t="s">
        <v>2387</v>
      </c>
    </row>
    <row r="1698">
      <c r="A1698" s="2" t="s">
        <v>5543</v>
      </c>
      <c r="B1698" s="3" t="str">
        <f>C1698 &amp; "." &amp; D1698</f>
        <v>AppUsers.SemanticTypeIri</v>
      </c>
      <c r="C1698" s="2" t="s">
        <v>5518</v>
      </c>
      <c r="D1698" s="2" t="s">
        <v>94</v>
      </c>
      <c r="E1698" s="2" t="s">
        <v>2385</v>
      </c>
      <c r="F1698" s="2" t="s">
        <v>2386</v>
      </c>
      <c r="G1698" s="2"/>
      <c r="H1698" s="2"/>
      <c r="I1698" s="3" t="b">
        <f>OR(E1698 = "calculated", E1698 = "lookup", E1698 = "aggregation")</f>
        <v>0</v>
      </c>
      <c r="J1698" s="3" t="b">
        <f>H1698 &lt;&gt; ""</f>
        <v>0</v>
      </c>
      <c r="K1698" s="3">
        <f>COUNTIFS(FieldDisagreements!D2:D999, A1698)</f>
        <v>0</v>
      </c>
      <c r="L1698" s="3" t="b">
        <f>K1698 &gt; 0</f>
        <v>0</v>
      </c>
      <c r="M1698" s="2" t="s">
        <v>2387</v>
      </c>
    </row>
    <row r="1699">
      <c r="A1699" s="2" t="s">
        <v>5544</v>
      </c>
      <c r="B1699" s="3" t="str">
        <f>C1699 &amp; "." &amp; D1699</f>
        <v>PrincipalAssignments.PrincipalAssignmentId</v>
      </c>
      <c r="C1699" s="2" t="s">
        <v>5545</v>
      </c>
      <c r="D1699" s="2" t="s">
        <v>5546</v>
      </c>
      <c r="E1699" s="2" t="s">
        <v>2385</v>
      </c>
      <c r="F1699" s="2" t="s">
        <v>2386</v>
      </c>
      <c r="G1699" s="2"/>
      <c r="H1699" s="2"/>
      <c r="I1699" s="3" t="b">
        <f>OR(E1699 = "calculated", E1699 = "lookup", E1699 = "aggregation")</f>
        <v>0</v>
      </c>
      <c r="J1699" s="3" t="b">
        <f>H1699 &lt;&gt; ""</f>
        <v>0</v>
      </c>
      <c r="K1699" s="3">
        <f>COUNTIFS(FieldDisagreements!D2:D999, A1699)</f>
        <v>0</v>
      </c>
      <c r="L1699" s="3" t="b">
        <f>K1699 &gt; 0</f>
        <v>0</v>
      </c>
      <c r="M1699" s="2" t="s">
        <v>2387</v>
      </c>
    </row>
    <row r="1700">
      <c r="A1700" s="2" t="s">
        <v>5547</v>
      </c>
      <c r="B1700" s="3" t="str">
        <f>C1700 &amp; "." &amp; D1700</f>
        <v>PrincipalAssignments.Name</v>
      </c>
      <c r="C1700" s="2" t="s">
        <v>5545</v>
      </c>
      <c r="D1700" s="2" t="s">
        <v>1</v>
      </c>
      <c r="E1700" s="2" t="s">
        <v>2389</v>
      </c>
      <c r="F1700" s="2" t="s">
        <v>2386</v>
      </c>
      <c r="G1700" s="2" t="s">
        <v>5548</v>
      </c>
      <c r="H1700" s="2"/>
      <c r="I1700" s="3" t="b">
        <f>OR(E1700 = "calculated", E1700 = "lookup", E1700 = "aggregation")</f>
        <v>1</v>
      </c>
      <c r="J1700" s="3" t="b">
        <f>H1700 &lt;&gt; ""</f>
        <v>0</v>
      </c>
      <c r="K1700" s="3">
        <f>COUNTIFS(FieldDisagreements!D2:D999, A1700)</f>
        <v>0</v>
      </c>
      <c r="L1700" s="3" t="b">
        <f>K1700 &gt; 0</f>
        <v>0</v>
      </c>
      <c r="M1700" s="2" t="s">
        <v>2387</v>
      </c>
    </row>
    <row r="1701">
      <c r="A1701" s="2" t="s">
        <v>5549</v>
      </c>
      <c r="B1701" s="3" t="str">
        <f>C1701 &amp; "." &amp; D1701</f>
        <v>PrincipalAssignments.AppUser</v>
      </c>
      <c r="C1701" s="2" t="s">
        <v>5545</v>
      </c>
      <c r="D1701" s="2" t="s">
        <v>5550</v>
      </c>
      <c r="E1701" s="2" t="s">
        <v>2434</v>
      </c>
      <c r="F1701" s="2" t="s">
        <v>2386</v>
      </c>
      <c r="G1701" s="2"/>
      <c r="H1701" s="2"/>
      <c r="I1701" s="3" t="b">
        <f>OR(E1701 = "calculated", E1701 = "lookup", E1701 = "aggregation")</f>
        <v>0</v>
      </c>
      <c r="J1701" s="3" t="b">
        <f>H1701 &lt;&gt; ""</f>
        <v>0</v>
      </c>
      <c r="K1701" s="3">
        <f>COUNTIFS(FieldDisagreements!D2:D999, A1701)</f>
        <v>0</v>
      </c>
      <c r="L1701" s="3" t="b">
        <f>K1701 &gt; 0</f>
        <v>0</v>
      </c>
      <c r="M1701" s="2" t="s">
        <v>2387</v>
      </c>
    </row>
    <row r="1702">
      <c r="A1702" s="2" t="s">
        <v>5551</v>
      </c>
      <c r="B1702" s="3" t="str">
        <f>C1702 &amp; "." &amp; D1702</f>
        <v>PrincipalAssignments.Principal</v>
      </c>
      <c r="C1702" s="2" t="s">
        <v>5545</v>
      </c>
      <c r="D1702" s="2" t="s">
        <v>5351</v>
      </c>
      <c r="E1702" s="2" t="s">
        <v>2434</v>
      </c>
      <c r="F1702" s="2" t="s">
        <v>2386</v>
      </c>
      <c r="G1702" s="2"/>
      <c r="H1702" s="2"/>
      <c r="I1702" s="3" t="b">
        <f>OR(E1702 = "calculated", E1702 = "lookup", E1702 = "aggregation")</f>
        <v>0</v>
      </c>
      <c r="J1702" s="3" t="b">
        <f>H1702 &lt;&gt; ""</f>
        <v>0</v>
      </c>
      <c r="K1702" s="3">
        <f>COUNTIFS(FieldDisagreements!D2:D999, A1702)</f>
        <v>0</v>
      </c>
      <c r="L1702" s="3" t="b">
        <f>K1702 &gt; 0</f>
        <v>0</v>
      </c>
      <c r="M1702" s="2" t="s">
        <v>2387</v>
      </c>
    </row>
    <row r="1703">
      <c r="A1703" s="2" t="s">
        <v>5552</v>
      </c>
      <c r="B1703" s="3" t="str">
        <f>C1703 &amp; "." &amp; D1703</f>
        <v>PrincipalAssignments.IsDefault</v>
      </c>
      <c r="C1703" s="2" t="s">
        <v>5545</v>
      </c>
      <c r="D1703" s="2" t="s">
        <v>5553</v>
      </c>
      <c r="E1703" s="2" t="s">
        <v>2385</v>
      </c>
      <c r="F1703" s="2" t="s">
        <v>2401</v>
      </c>
      <c r="G1703" s="2"/>
      <c r="H1703" s="2"/>
      <c r="I1703" s="3" t="b">
        <f>OR(E1703 = "calculated", E1703 = "lookup", E1703 = "aggregation")</f>
        <v>0</v>
      </c>
      <c r="J1703" s="3" t="b">
        <f>H1703 &lt;&gt; ""</f>
        <v>0</v>
      </c>
      <c r="K1703" s="3">
        <f>COUNTIFS(FieldDisagreements!D2:D999, A1703)</f>
        <v>0</v>
      </c>
      <c r="L1703" s="3" t="b">
        <f>K1703 &gt; 0</f>
        <v>0</v>
      </c>
      <c r="M1703" s="2" t="s">
        <v>2387</v>
      </c>
    </row>
    <row r="1704">
      <c r="A1704" s="2" t="s">
        <v>5554</v>
      </c>
      <c r="B1704" s="3" t="str">
        <f>C1704 &amp; "." &amp; D1704</f>
        <v>PrincipalAssignments.GrantedRationale</v>
      </c>
      <c r="C1704" s="2" t="s">
        <v>5545</v>
      </c>
      <c r="D1704" s="2" t="s">
        <v>5555</v>
      </c>
      <c r="E1704" s="2" t="s">
        <v>2385</v>
      </c>
      <c r="F1704" s="2" t="s">
        <v>2386</v>
      </c>
      <c r="G1704" s="2"/>
      <c r="H1704" s="2"/>
      <c r="I1704" s="3" t="b">
        <f>OR(E1704 = "calculated", E1704 = "lookup", E1704 = "aggregation")</f>
        <v>0</v>
      </c>
      <c r="J1704" s="3" t="b">
        <f>H1704 &lt;&gt; ""</f>
        <v>0</v>
      </c>
      <c r="K1704" s="3">
        <f>COUNTIFS(FieldDisagreements!D2:D999, A1704)</f>
        <v>0</v>
      </c>
      <c r="L1704" s="3" t="b">
        <f>K1704 &gt; 0</f>
        <v>0</v>
      </c>
      <c r="M1704" s="2" t="s">
        <v>2387</v>
      </c>
    </row>
    <row r="1705">
      <c r="A1705" s="2" t="s">
        <v>5556</v>
      </c>
      <c r="B1705" s="3" t="str">
        <f>C1705 &amp; "." &amp; D1705</f>
        <v>PrincipalAssignments.PrincipalIsAdmin</v>
      </c>
      <c r="C1705" s="2" t="s">
        <v>5545</v>
      </c>
      <c r="D1705" s="2" t="s">
        <v>5369</v>
      </c>
      <c r="E1705" s="2" t="s">
        <v>2478</v>
      </c>
      <c r="F1705" s="2" t="s">
        <v>2401</v>
      </c>
      <c r="G1705" s="2" t="s">
        <v>5370</v>
      </c>
      <c r="H1705" s="2"/>
      <c r="I1705" s="3" t="b">
        <f>OR(E1705 = "calculated", E1705 = "lookup", E1705 = "aggregation")</f>
        <v>1</v>
      </c>
      <c r="J1705" s="3" t="b">
        <f>H1705 &lt;&gt; ""</f>
        <v>0</v>
      </c>
      <c r="K1705" s="3">
        <f>COUNTIFS(FieldDisagreements!D2:D999, A1705)</f>
        <v>0</v>
      </c>
      <c r="L1705" s="3" t="b">
        <f>K1705 &gt; 0</f>
        <v>0</v>
      </c>
      <c r="M1705" s="2" t="s">
        <v>2387</v>
      </c>
    </row>
    <row r="1706">
      <c r="A1706" s="2" t="s">
        <v>5557</v>
      </c>
      <c r="B1706" s="3" t="str">
        <f>C1706 &amp; "." &amp; D1706</f>
        <v>PrincipalAssignments.UserOrganization</v>
      </c>
      <c r="C1706" s="2" t="s">
        <v>5545</v>
      </c>
      <c r="D1706" s="2" t="s">
        <v>5558</v>
      </c>
      <c r="E1706" s="2" t="s">
        <v>2478</v>
      </c>
      <c r="F1706" s="2" t="s">
        <v>2386</v>
      </c>
      <c r="G1706" s="2" t="s">
        <v>5559</v>
      </c>
      <c r="H1706" s="2"/>
      <c r="I1706" s="3" t="b">
        <f>OR(E1706 = "calculated", E1706 = "lookup", E1706 = "aggregation")</f>
        <v>1</v>
      </c>
      <c r="J1706" s="3" t="b">
        <f>H1706 &lt;&gt; ""</f>
        <v>0</v>
      </c>
      <c r="K1706" s="3">
        <f>COUNTIFS(FieldDisagreements!D2:D999, A1706)</f>
        <v>0</v>
      </c>
      <c r="L1706" s="3" t="b">
        <f>K1706 &gt; 0</f>
        <v>0</v>
      </c>
      <c r="M1706" s="2" t="s">
        <v>2387</v>
      </c>
    </row>
    <row r="1707">
      <c r="A1707" s="2" t="s">
        <v>5560</v>
      </c>
      <c r="B1707" s="3" t="str">
        <f>C1707 &amp; "." &amp; D1707</f>
        <v>PrincipalAssignments.PrincipalOrganization</v>
      </c>
      <c r="C1707" s="2" t="s">
        <v>5545</v>
      </c>
      <c r="D1707" s="2" t="s">
        <v>5561</v>
      </c>
      <c r="E1707" s="2" t="s">
        <v>2478</v>
      </c>
      <c r="F1707" s="2" t="s">
        <v>2386</v>
      </c>
      <c r="G1707" s="2" t="s">
        <v>5562</v>
      </c>
      <c r="H1707" s="2"/>
      <c r="I1707" s="3" t="b">
        <f>OR(E1707 = "calculated", E1707 = "lookup", E1707 = "aggregation")</f>
        <v>1</v>
      </c>
      <c r="J1707" s="3" t="b">
        <f>H1707 &lt;&gt; ""</f>
        <v>0</v>
      </c>
      <c r="K1707" s="3">
        <f>COUNTIFS(FieldDisagreements!D2:D999, A1707)</f>
        <v>0</v>
      </c>
      <c r="L1707" s="3" t="b">
        <f>K1707 &gt; 0</f>
        <v>0</v>
      </c>
      <c r="M1707" s="2" t="s">
        <v>2387</v>
      </c>
    </row>
    <row r="1708">
      <c r="A1708" s="2" t="s">
        <v>5563</v>
      </c>
      <c r="B1708" s="3" t="str">
        <f>C1708 &amp; "." &amp; D1708</f>
        <v>PrincipalAssignments.IsCrossOrganizationGrant</v>
      </c>
      <c r="C1708" s="2" t="s">
        <v>5545</v>
      </c>
      <c r="D1708" s="2" t="s">
        <v>5564</v>
      </c>
      <c r="E1708" s="2" t="s">
        <v>2389</v>
      </c>
      <c r="F1708" s="2" t="s">
        <v>2401</v>
      </c>
      <c r="G1708" s="2" t="s">
        <v>5565</v>
      </c>
      <c r="H1708" s="2"/>
      <c r="I1708" s="3" t="b">
        <f>OR(E1708 = "calculated", E1708 = "lookup", E1708 = "aggregation")</f>
        <v>1</v>
      </c>
      <c r="J1708" s="3" t="b">
        <f>H1708 &lt;&gt; ""</f>
        <v>0</v>
      </c>
      <c r="K1708" s="3">
        <f>COUNTIFS(FieldDisagreements!D2:D999, A1708)</f>
        <v>0</v>
      </c>
      <c r="L1708" s="3" t="b">
        <f>K1708 &gt; 0</f>
        <v>0</v>
      </c>
      <c r="M1708" s="2" t="s">
        <v>2387</v>
      </c>
    </row>
    <row r="1709">
      <c r="A1709" s="2" t="s">
        <v>5566</v>
      </c>
      <c r="B1709" s="3" t="str">
        <f>C1709 &amp; "." &amp; D1709</f>
        <v>PrincipalAssignments.SemanticTypeIri</v>
      </c>
      <c r="C1709" s="2" t="s">
        <v>5545</v>
      </c>
      <c r="D1709" s="2" t="s">
        <v>94</v>
      </c>
      <c r="E1709" s="2" t="s">
        <v>2385</v>
      </c>
      <c r="F1709" s="2" t="s">
        <v>2386</v>
      </c>
      <c r="G1709" s="2"/>
      <c r="H1709" s="2"/>
      <c r="I1709" s="3" t="b">
        <f>OR(E1709 = "calculated", E1709 = "lookup", E1709 = "aggregation")</f>
        <v>0</v>
      </c>
      <c r="J1709" s="3" t="b">
        <f>H1709 &lt;&gt; ""</f>
        <v>0</v>
      </c>
      <c r="K1709" s="3">
        <f>COUNTIFS(FieldDisagreements!D2:D999, A1709)</f>
        <v>0</v>
      </c>
      <c r="L1709" s="3" t="b">
        <f>K1709 &gt; 0</f>
        <v>0</v>
      </c>
      <c r="M1709" s="2" t="s">
        <v>2387</v>
      </c>
    </row>
    <row r="1710">
      <c r="A1710" s="2" t="s">
        <v>5567</v>
      </c>
      <c r="B1710" s="3" t="str">
        <f>C1710 &amp; "." &amp; D1710</f>
        <v>IssuedTokens.IssuedTokenId</v>
      </c>
      <c r="C1710" s="2" t="s">
        <v>5568</v>
      </c>
      <c r="D1710" s="2" t="s">
        <v>5569</v>
      </c>
      <c r="E1710" s="2" t="s">
        <v>2385</v>
      </c>
      <c r="F1710" s="2" t="s">
        <v>2386</v>
      </c>
      <c r="G1710" s="2"/>
      <c r="H1710" s="2"/>
      <c r="I1710" s="3" t="b">
        <f>OR(E1710 = "calculated", E1710 = "lookup", E1710 = "aggregation")</f>
        <v>0</v>
      </c>
      <c r="J1710" s="3" t="b">
        <f>H1710 &lt;&gt; ""</f>
        <v>0</v>
      </c>
      <c r="K1710" s="3">
        <f>COUNTIFS(FieldDisagreements!D2:D999, A1710)</f>
        <v>0</v>
      </c>
      <c r="L1710" s="3" t="b">
        <f>K1710 &gt; 0</f>
        <v>0</v>
      </c>
      <c r="M1710" s="2" t="s">
        <v>2387</v>
      </c>
    </row>
    <row r="1711">
      <c r="A1711" s="2" t="s">
        <v>5570</v>
      </c>
      <c r="B1711" s="3" t="str">
        <f>C1711 &amp; "." &amp; D1711</f>
        <v>IssuedTokens.Name</v>
      </c>
      <c r="C1711" s="2" t="s">
        <v>5568</v>
      </c>
      <c r="D1711" s="2" t="s">
        <v>1</v>
      </c>
      <c r="E1711" s="2" t="s">
        <v>2389</v>
      </c>
      <c r="F1711" s="2" t="s">
        <v>2386</v>
      </c>
      <c r="G1711" s="2" t="s">
        <v>5571</v>
      </c>
      <c r="H1711" s="2"/>
      <c r="I1711" s="3" t="b">
        <f>OR(E1711 = "calculated", E1711 = "lookup", E1711 = "aggregation")</f>
        <v>1</v>
      </c>
      <c r="J1711" s="3" t="b">
        <f>H1711 &lt;&gt; ""</f>
        <v>0</v>
      </c>
      <c r="K1711" s="3">
        <f>COUNTIFS(FieldDisagreements!D2:D999, A1711)</f>
        <v>0</v>
      </c>
      <c r="L1711" s="3" t="b">
        <f>K1711 &gt; 0</f>
        <v>0</v>
      </c>
      <c r="M1711" s="2" t="s">
        <v>2387</v>
      </c>
    </row>
    <row r="1712">
      <c r="A1712" s="2" t="s">
        <v>5572</v>
      </c>
      <c r="B1712" s="3" t="str">
        <f>C1712 &amp; "." &amp; D1712</f>
        <v>IssuedTokens.AppUser</v>
      </c>
      <c r="C1712" s="2" t="s">
        <v>5568</v>
      </c>
      <c r="D1712" s="2" t="s">
        <v>5550</v>
      </c>
      <c r="E1712" s="2" t="s">
        <v>2434</v>
      </c>
      <c r="F1712" s="2" t="s">
        <v>2386</v>
      </c>
      <c r="G1712" s="2"/>
      <c r="H1712" s="2"/>
      <c r="I1712" s="3" t="b">
        <f>OR(E1712 = "calculated", E1712 = "lookup", E1712 = "aggregation")</f>
        <v>0</v>
      </c>
      <c r="J1712" s="3" t="b">
        <f>H1712 &lt;&gt; ""</f>
        <v>0</v>
      </c>
      <c r="K1712" s="3">
        <f>COUNTIFS(FieldDisagreements!D2:D999, A1712)</f>
        <v>0</v>
      </c>
      <c r="L1712" s="3" t="b">
        <f>K1712 &gt; 0</f>
        <v>0</v>
      </c>
      <c r="M1712" s="2" t="s">
        <v>2387</v>
      </c>
    </row>
    <row r="1713">
      <c r="A1713" s="2" t="s">
        <v>5573</v>
      </c>
      <c r="B1713" s="3" t="str">
        <f>C1713 &amp; "." &amp; D1713</f>
        <v>IssuedTokens.Principal</v>
      </c>
      <c r="C1713" s="2" t="s">
        <v>5568</v>
      </c>
      <c r="D1713" s="2" t="s">
        <v>5351</v>
      </c>
      <c r="E1713" s="2" t="s">
        <v>2434</v>
      </c>
      <c r="F1713" s="2" t="s">
        <v>2386</v>
      </c>
      <c r="G1713" s="2"/>
      <c r="H1713" s="2"/>
      <c r="I1713" s="3" t="b">
        <f>OR(E1713 = "calculated", E1713 = "lookup", E1713 = "aggregation")</f>
        <v>0</v>
      </c>
      <c r="J1713" s="3" t="b">
        <f>H1713 &lt;&gt; ""</f>
        <v>0</v>
      </c>
      <c r="K1713" s="3">
        <f>COUNTIFS(FieldDisagreements!D2:D999, A1713)</f>
        <v>0</v>
      </c>
      <c r="L1713" s="3" t="b">
        <f>K1713 &gt; 0</f>
        <v>0</v>
      </c>
      <c r="M1713" s="2" t="s">
        <v>2387</v>
      </c>
    </row>
    <row r="1714">
      <c r="A1714" s="2" t="s">
        <v>5574</v>
      </c>
      <c r="B1714" s="3" t="str">
        <f>C1714 &amp; "." &amp; D1714</f>
        <v>IssuedTokens.IssuedAt</v>
      </c>
      <c r="C1714" s="2" t="s">
        <v>5568</v>
      </c>
      <c r="D1714" s="2" t="s">
        <v>7</v>
      </c>
      <c r="E1714" s="2" t="s">
        <v>2385</v>
      </c>
      <c r="F1714" s="2" t="s">
        <v>2397</v>
      </c>
      <c r="G1714" s="2"/>
      <c r="H1714" s="2"/>
      <c r="I1714" s="3" t="b">
        <f>OR(E1714 = "calculated", E1714 = "lookup", E1714 = "aggregation")</f>
        <v>0</v>
      </c>
      <c r="J1714" s="3" t="b">
        <f>H1714 &lt;&gt; ""</f>
        <v>0</v>
      </c>
      <c r="K1714" s="3">
        <f>COUNTIFS(FieldDisagreements!D2:D999, A1714)</f>
        <v>0</v>
      </c>
      <c r="L1714" s="3" t="b">
        <f>K1714 &gt; 0</f>
        <v>0</v>
      </c>
      <c r="M1714" s="2" t="s">
        <v>2387</v>
      </c>
    </row>
    <row r="1715">
      <c r="A1715" s="2" t="s">
        <v>5575</v>
      </c>
      <c r="B1715" s="3" t="str">
        <f>C1715 &amp; "." &amp; D1715</f>
        <v>IssuedTokens.ExpiresAt</v>
      </c>
      <c r="C1715" s="2" t="s">
        <v>5568</v>
      </c>
      <c r="D1715" s="2" t="s">
        <v>5576</v>
      </c>
      <c r="E1715" s="2" t="s">
        <v>2385</v>
      </c>
      <c r="F1715" s="2" t="s">
        <v>2397</v>
      </c>
      <c r="G1715" s="2"/>
      <c r="H1715" s="2"/>
      <c r="I1715" s="3" t="b">
        <f>OR(E1715 = "calculated", E1715 = "lookup", E1715 = "aggregation")</f>
        <v>0</v>
      </c>
      <c r="J1715" s="3" t="b">
        <f>H1715 &lt;&gt; ""</f>
        <v>0</v>
      </c>
      <c r="K1715" s="3">
        <f>COUNTIFS(FieldDisagreements!D2:D999, A1715)</f>
        <v>0</v>
      </c>
      <c r="L1715" s="3" t="b">
        <f>K1715 &gt; 0</f>
        <v>0</v>
      </c>
      <c r="M1715" s="2" t="s">
        <v>2387</v>
      </c>
    </row>
    <row r="1716">
      <c r="A1716" s="2" t="s">
        <v>5577</v>
      </c>
      <c r="B1716" s="3" t="str">
        <f>C1716 &amp; "." &amp; D1716</f>
        <v>IssuedTokens.Issuer</v>
      </c>
      <c r="C1716" s="2" t="s">
        <v>5568</v>
      </c>
      <c r="D1716" s="2" t="s">
        <v>5578</v>
      </c>
      <c r="E1716" s="2" t="s">
        <v>2385</v>
      </c>
      <c r="F1716" s="2" t="s">
        <v>2386</v>
      </c>
      <c r="G1716" s="2"/>
      <c r="H1716" s="2"/>
      <c r="I1716" s="3" t="b">
        <f>OR(E1716 = "calculated", E1716 = "lookup", E1716 = "aggregation")</f>
        <v>0</v>
      </c>
      <c r="J1716" s="3" t="b">
        <f>H1716 &lt;&gt; ""</f>
        <v>0</v>
      </c>
      <c r="K1716" s="3">
        <f>COUNTIFS(FieldDisagreements!D2:D999, A1716)</f>
        <v>0</v>
      </c>
      <c r="L1716" s="3" t="b">
        <f>K1716 &gt; 0</f>
        <v>0</v>
      </c>
      <c r="M1716" s="2" t="s">
        <v>2387</v>
      </c>
    </row>
    <row r="1717">
      <c r="A1717" s="2" t="s">
        <v>5579</v>
      </c>
      <c r="B1717" s="3" t="str">
        <f>C1717 &amp; "." &amp; D1717</f>
        <v>IssuedTokens.SubjectClaim</v>
      </c>
      <c r="C1717" s="2" t="s">
        <v>5568</v>
      </c>
      <c r="D1717" s="2" t="s">
        <v>5580</v>
      </c>
      <c r="E1717" s="2" t="s">
        <v>2385</v>
      </c>
      <c r="F1717" s="2" t="s">
        <v>2386</v>
      </c>
      <c r="G1717" s="2"/>
      <c r="H1717" s="2"/>
      <c r="I1717" s="3" t="b">
        <f>OR(E1717 = "calculated", E1717 = "lookup", E1717 = "aggregation")</f>
        <v>0</v>
      </c>
      <c r="J1717" s="3" t="b">
        <f>H1717 &lt;&gt; ""</f>
        <v>0</v>
      </c>
      <c r="K1717" s="3">
        <f>COUNTIFS(FieldDisagreements!D2:D999, A1717)</f>
        <v>0</v>
      </c>
      <c r="L1717" s="3" t="b">
        <f>K1717 &gt; 0</f>
        <v>0</v>
      </c>
      <c r="M1717" s="2" t="s">
        <v>2387</v>
      </c>
    </row>
    <row r="1718">
      <c r="A1718" s="2" t="s">
        <v>5581</v>
      </c>
      <c r="B1718" s="3" t="str">
        <f>C1718 &amp; "." &amp; D1718</f>
        <v>IssuedTokens.ClaimsSnapshot</v>
      </c>
      <c r="C1718" s="2" t="s">
        <v>5568</v>
      </c>
      <c r="D1718" s="2" t="s">
        <v>5582</v>
      </c>
      <c r="E1718" s="2" t="s">
        <v>2385</v>
      </c>
      <c r="F1718" s="2" t="s">
        <v>2386</v>
      </c>
      <c r="G1718" s="2"/>
      <c r="H1718" s="2"/>
      <c r="I1718" s="3" t="b">
        <f>OR(E1718 = "calculated", E1718 = "lookup", E1718 = "aggregation")</f>
        <v>0</v>
      </c>
      <c r="J1718" s="3" t="b">
        <f>H1718 &lt;&gt; ""</f>
        <v>0</v>
      </c>
      <c r="K1718" s="3">
        <f>COUNTIFS(FieldDisagreements!D2:D999, A1718)</f>
        <v>0</v>
      </c>
      <c r="L1718" s="3" t="b">
        <f>K1718 &gt; 0</f>
        <v>0</v>
      </c>
      <c r="M1718" s="2" t="s">
        <v>2387</v>
      </c>
    </row>
    <row r="1719">
      <c r="A1719" s="2" t="s">
        <v>5583</v>
      </c>
      <c r="B1719" s="3" t="str">
        <f>C1719 &amp; "." &amp; D1719</f>
        <v>IssuedTokens.IsDevMinted</v>
      </c>
      <c r="C1719" s="2" t="s">
        <v>5568</v>
      </c>
      <c r="D1719" s="2" t="s">
        <v>5584</v>
      </c>
      <c r="E1719" s="2" t="s">
        <v>2389</v>
      </c>
      <c r="F1719" s="2" t="s">
        <v>2401</v>
      </c>
      <c r="G1719" s="2" t="s">
        <v>5585</v>
      </c>
      <c r="H1719" s="2"/>
      <c r="I1719" s="3" t="b">
        <f>OR(E1719 = "calculated", E1719 = "lookup", E1719 = "aggregation")</f>
        <v>1</v>
      </c>
      <c r="J1719" s="3" t="b">
        <f>H1719 &lt;&gt; ""</f>
        <v>0</v>
      </c>
      <c r="K1719" s="3">
        <f>COUNTIFS(FieldDisagreements!D2:D999, A1719)</f>
        <v>0</v>
      </c>
      <c r="L1719" s="3" t="b">
        <f>K1719 &gt; 0</f>
        <v>0</v>
      </c>
      <c r="M1719" s="2" t="s">
        <v>2387</v>
      </c>
    </row>
    <row r="1720">
      <c r="A1720" s="2" t="s">
        <v>5586</v>
      </c>
      <c r="B1720" s="3" t="str">
        <f>C1720 &amp; "." &amp; D1720</f>
        <v>IssuedTokens.SemanticTypeIri</v>
      </c>
      <c r="C1720" s="2" t="s">
        <v>5568</v>
      </c>
      <c r="D1720" s="2" t="s">
        <v>94</v>
      </c>
      <c r="E1720" s="2" t="s">
        <v>2385</v>
      </c>
      <c r="F1720" s="2" t="s">
        <v>2386</v>
      </c>
      <c r="G1720" s="2"/>
      <c r="H1720" s="2"/>
      <c r="I1720" s="3" t="b">
        <f>OR(E1720 = "calculated", E1720 = "lookup", E1720 = "aggregation")</f>
        <v>0</v>
      </c>
      <c r="J1720" s="3" t="b">
        <f>H1720 &lt;&gt; ""</f>
        <v>0</v>
      </c>
      <c r="K1720" s="3">
        <f>COUNTIFS(FieldDisagreements!D2:D999, A1720)</f>
        <v>0</v>
      </c>
      <c r="L1720" s="3" t="b">
        <f>K1720 &gt; 0</f>
        <v>0</v>
      </c>
      <c r="M1720" s="2" t="s">
        <v>2387</v>
      </c>
    </row>
    <row r="1721">
      <c r="A1721" s="2" t="s">
        <v>5587</v>
      </c>
      <c r="B1721" s="3" t="str">
        <f>C1721 &amp; "." &amp; D1721</f>
        <v>ProcessMiningRuns.ProcessMiningRunId</v>
      </c>
      <c r="C1721" s="2" t="s">
        <v>1869</v>
      </c>
      <c r="D1721" s="2" t="s">
        <v>5588</v>
      </c>
      <c r="E1721" s="2" t="s">
        <v>2385</v>
      </c>
      <c r="F1721" s="2" t="s">
        <v>2386</v>
      </c>
      <c r="G1721" s="2"/>
      <c r="H1721" s="2" t="s">
        <v>2356</v>
      </c>
      <c r="I1721" s="3" t="b">
        <f>OR(E1721 = "calculated", E1721 = "lookup", E1721 = "aggregation")</f>
        <v>0</v>
      </c>
      <c r="J1721" s="3" t="b">
        <f>H1721 &lt;&gt; ""</f>
        <v>1</v>
      </c>
      <c r="K1721" s="3">
        <f>COUNTIFS(FieldDisagreements!D2:D999, A1721)</f>
        <v>0</v>
      </c>
      <c r="L1721" s="3" t="b">
        <f>K1721 &gt; 0</f>
        <v>0</v>
      </c>
      <c r="M1721" s="2" t="s">
        <v>2387</v>
      </c>
    </row>
    <row r="1722">
      <c r="A1722" s="2" t="s">
        <v>5589</v>
      </c>
      <c r="B1722" s="3" t="str">
        <f>C1722 &amp; "." &amp; D1722</f>
        <v>ProcessMiningRuns.Name</v>
      </c>
      <c r="C1722" s="2" t="s">
        <v>1869</v>
      </c>
      <c r="D1722" s="2" t="s">
        <v>1</v>
      </c>
      <c r="E1722" s="2" t="s">
        <v>2389</v>
      </c>
      <c r="F1722" s="2" t="s">
        <v>2386</v>
      </c>
      <c r="G1722" s="2" t="s">
        <v>5590</v>
      </c>
      <c r="H1722" s="2" t="s">
        <v>2356</v>
      </c>
      <c r="I1722" s="3" t="b">
        <f>OR(E1722 = "calculated", E1722 = "lookup", E1722 = "aggregation")</f>
        <v>1</v>
      </c>
      <c r="J1722" s="3" t="b">
        <f>H1722 &lt;&gt; ""</f>
        <v>1</v>
      </c>
      <c r="K1722" s="3">
        <f>COUNTIFS(FieldDisagreements!D2:D999, A1722)</f>
        <v>6</v>
      </c>
      <c r="L1722" s="3" t="b">
        <f>K1722 &gt; 0</f>
        <v>1</v>
      </c>
      <c r="M1722" s="2" t="s">
        <v>2387</v>
      </c>
    </row>
    <row r="1723">
      <c r="A1723" s="2" t="s">
        <v>5591</v>
      </c>
      <c r="B1723" s="3" t="str">
        <f>C1723 &amp; "." &amp; D1723</f>
        <v>ProcessMiningRuns.ProcedureVersion</v>
      </c>
      <c r="C1723" s="2" t="s">
        <v>1869</v>
      </c>
      <c r="D1723" s="2" t="s">
        <v>477</v>
      </c>
      <c r="E1723" s="2" t="s">
        <v>2434</v>
      </c>
      <c r="F1723" s="2" t="s">
        <v>2386</v>
      </c>
      <c r="G1723" s="2"/>
      <c r="H1723" s="2" t="s">
        <v>2356</v>
      </c>
      <c r="I1723" s="3" t="b">
        <f>OR(E1723 = "calculated", E1723 = "lookup", E1723 = "aggregation")</f>
        <v>0</v>
      </c>
      <c r="J1723" s="3" t="b">
        <f>H1723 &lt;&gt; ""</f>
        <v>1</v>
      </c>
      <c r="K1723" s="3">
        <f>COUNTIFS(FieldDisagreements!D2:D999, A1723)</f>
        <v>0</v>
      </c>
      <c r="L1723" s="3" t="b">
        <f>K1723 &gt; 0</f>
        <v>0</v>
      </c>
      <c r="M1723" s="2" t="s">
        <v>2387</v>
      </c>
    </row>
    <row r="1724">
      <c r="A1724" s="2" t="s">
        <v>5592</v>
      </c>
      <c r="B1724" s="3" t="str">
        <f>C1724 &amp; "." &amp; D1724</f>
        <v>ProcessMiningRuns.EventLogSource</v>
      </c>
      <c r="C1724" s="2" t="s">
        <v>1869</v>
      </c>
      <c r="D1724" s="2" t="s">
        <v>5593</v>
      </c>
      <c r="E1724" s="2" t="s">
        <v>2385</v>
      </c>
      <c r="F1724" s="2" t="s">
        <v>2386</v>
      </c>
      <c r="G1724" s="2"/>
      <c r="H1724" s="2" t="s">
        <v>2356</v>
      </c>
      <c r="I1724" s="3" t="b">
        <f>OR(E1724 = "calculated", E1724 = "lookup", E1724 = "aggregation")</f>
        <v>0</v>
      </c>
      <c r="J1724" s="3" t="b">
        <f>H1724 &lt;&gt; ""</f>
        <v>1</v>
      </c>
      <c r="K1724" s="3">
        <f>COUNTIFS(FieldDisagreements!D2:D999, A1724)</f>
        <v>0</v>
      </c>
      <c r="L1724" s="3" t="b">
        <f>K1724 &gt; 0</f>
        <v>0</v>
      </c>
      <c r="M1724" s="2" t="s">
        <v>2387</v>
      </c>
    </row>
    <row r="1725">
      <c r="A1725" s="2" t="s">
        <v>5594</v>
      </c>
      <c r="B1725" s="3" t="str">
        <f>C1725 &amp; "." &amp; D1725</f>
        <v>ProcessMiningRuns.MinedAt</v>
      </c>
      <c r="C1725" s="2" t="s">
        <v>1869</v>
      </c>
      <c r="D1725" s="2" t="s">
        <v>5595</v>
      </c>
      <c r="E1725" s="2" t="s">
        <v>2385</v>
      </c>
      <c r="F1725" s="2" t="s">
        <v>2397</v>
      </c>
      <c r="G1725" s="2"/>
      <c r="H1725" s="2" t="s">
        <v>2356</v>
      </c>
      <c r="I1725" s="3" t="b">
        <f>OR(E1725 = "calculated", E1725 = "lookup", E1725 = "aggregation")</f>
        <v>0</v>
      </c>
      <c r="J1725" s="3" t="b">
        <f>H1725 &lt;&gt; ""</f>
        <v>1</v>
      </c>
      <c r="K1725" s="3">
        <f>COUNTIFS(FieldDisagreements!D2:D999, A1725)</f>
        <v>0</v>
      </c>
      <c r="L1725" s="3" t="b">
        <f>K1725 &gt; 0</f>
        <v>0</v>
      </c>
      <c r="M1725" s="2" t="s">
        <v>2387</v>
      </c>
    </row>
    <row r="1726">
      <c r="A1726" s="2" t="s">
        <v>5596</v>
      </c>
      <c r="B1726" s="3" t="str">
        <f>C1726 &amp; "." &amp; D1726</f>
        <v>ProcessMiningRuns.DiscoveredVariantCount</v>
      </c>
      <c r="C1726" s="2" t="s">
        <v>1869</v>
      </c>
      <c r="D1726" s="2" t="s">
        <v>5597</v>
      </c>
      <c r="E1726" s="2" t="s">
        <v>2385</v>
      </c>
      <c r="F1726" s="2" t="s">
        <v>2439</v>
      </c>
      <c r="G1726" s="2"/>
      <c r="H1726" s="2" t="s">
        <v>2356</v>
      </c>
      <c r="I1726" s="3" t="b">
        <f>OR(E1726 = "calculated", E1726 = "lookup", E1726 = "aggregation")</f>
        <v>0</v>
      </c>
      <c r="J1726" s="3" t="b">
        <f>H1726 &lt;&gt; ""</f>
        <v>1</v>
      </c>
      <c r="K1726" s="3">
        <f>COUNTIFS(FieldDisagreements!D2:D999, A1726)</f>
        <v>0</v>
      </c>
      <c r="L1726" s="3" t="b">
        <f>K1726 &gt; 0</f>
        <v>0</v>
      </c>
      <c r="M1726" s="2" t="s">
        <v>2387</v>
      </c>
    </row>
    <row r="1727">
      <c r="A1727" s="2" t="s">
        <v>5598</v>
      </c>
      <c r="B1727" s="3" t="str">
        <f>C1727 &amp; "." &amp; D1727</f>
        <v>ProcessMiningRuns.ConformingVariantCount</v>
      </c>
      <c r="C1727" s="2" t="s">
        <v>1869</v>
      </c>
      <c r="D1727" s="2" t="s">
        <v>5599</v>
      </c>
      <c r="E1727" s="2" t="s">
        <v>2385</v>
      </c>
      <c r="F1727" s="2" t="s">
        <v>2439</v>
      </c>
      <c r="G1727" s="2"/>
      <c r="H1727" s="2" t="s">
        <v>2356</v>
      </c>
      <c r="I1727" s="3" t="b">
        <f>OR(E1727 = "calculated", E1727 = "lookup", E1727 = "aggregation")</f>
        <v>0</v>
      </c>
      <c r="J1727" s="3" t="b">
        <f>H1727 &lt;&gt; ""</f>
        <v>1</v>
      </c>
      <c r="K1727" s="3">
        <f>COUNTIFS(FieldDisagreements!D2:D999, A1727)</f>
        <v>0</v>
      </c>
      <c r="L1727" s="3" t="b">
        <f>K1727 &gt; 0</f>
        <v>0</v>
      </c>
      <c r="M1727" s="2" t="s">
        <v>2387</v>
      </c>
    </row>
    <row r="1728">
      <c r="A1728" s="2" t="s">
        <v>5600</v>
      </c>
      <c r="B1728" s="3" t="str">
        <f>C1728 &amp; "." &amp; D1728</f>
        <v>ProcessMiningRuns.DeviationDescription</v>
      </c>
      <c r="C1728" s="2" t="s">
        <v>1869</v>
      </c>
      <c r="D1728" s="2" t="s">
        <v>5601</v>
      </c>
      <c r="E1728" s="2" t="s">
        <v>2385</v>
      </c>
      <c r="F1728" s="2" t="s">
        <v>2386</v>
      </c>
      <c r="G1728" s="2"/>
      <c r="H1728" s="2" t="s">
        <v>2356</v>
      </c>
      <c r="I1728" s="3" t="b">
        <f>OR(E1728 = "calculated", E1728 = "lookup", E1728 = "aggregation")</f>
        <v>0</v>
      </c>
      <c r="J1728" s="3" t="b">
        <f>H1728 &lt;&gt; ""</f>
        <v>1</v>
      </c>
      <c r="K1728" s="3">
        <f>COUNTIFS(FieldDisagreements!D2:D999, A1728)</f>
        <v>0</v>
      </c>
      <c r="L1728" s="3" t="b">
        <f>K1728 &gt; 0</f>
        <v>0</v>
      </c>
      <c r="M1728" s="2" t="s">
        <v>2387</v>
      </c>
    </row>
    <row r="1729">
      <c r="A1729" s="2" t="s">
        <v>5602</v>
      </c>
      <c r="B1729" s="3" t="str">
        <f>C1729 &amp; "." &amp; D1729</f>
        <v>ProcessMiningRuns.EvaluationContext</v>
      </c>
      <c r="C1729" s="2" t="s">
        <v>1869</v>
      </c>
      <c r="D1729" s="2" t="s">
        <v>258</v>
      </c>
      <c r="E1729" s="2" t="s">
        <v>2434</v>
      </c>
      <c r="F1729" s="2" t="s">
        <v>2386</v>
      </c>
      <c r="G1729" s="2"/>
      <c r="H1729" s="2" t="s">
        <v>2356</v>
      </c>
      <c r="I1729" s="3" t="b">
        <f>OR(E1729 = "calculated", E1729 = "lookup", E1729 = "aggregation")</f>
        <v>0</v>
      </c>
      <c r="J1729" s="3" t="b">
        <f>H1729 &lt;&gt; ""</f>
        <v>1</v>
      </c>
      <c r="K1729" s="3">
        <f>COUNTIFS(FieldDisagreements!D2:D999, A1729)</f>
        <v>0</v>
      </c>
      <c r="L1729" s="3" t="b">
        <f>K1729 &gt; 0</f>
        <v>0</v>
      </c>
      <c r="M1729" s="2" t="s">
        <v>2387</v>
      </c>
    </row>
    <row r="1730">
      <c r="A1730" s="2" t="s">
        <v>5603</v>
      </c>
      <c r="B1730" s="3" t="str">
        <f>C1730 &amp; "." &amp; D1730</f>
        <v>ProcessMiningRuns.AsOfInstant</v>
      </c>
      <c r="C1730" s="2" t="s">
        <v>1869</v>
      </c>
      <c r="D1730" s="2" t="s">
        <v>92</v>
      </c>
      <c r="E1730" s="2" t="s">
        <v>2478</v>
      </c>
      <c r="F1730" s="2" t="s">
        <v>2397</v>
      </c>
      <c r="G1730" s="2" t="s">
        <v>2524</v>
      </c>
      <c r="H1730" s="2" t="s">
        <v>2356</v>
      </c>
      <c r="I1730" s="3" t="b">
        <f>OR(E1730 = "calculated", E1730 = "lookup", E1730 = "aggregation")</f>
        <v>1</v>
      </c>
      <c r="J1730" s="3" t="b">
        <f>H1730 &lt;&gt; ""</f>
        <v>1</v>
      </c>
      <c r="K1730" s="3">
        <f>COUNTIFS(FieldDisagreements!D2:D999, A1730)</f>
        <v>1</v>
      </c>
      <c r="L1730" s="3" t="b">
        <f>K1730 &gt; 0</f>
        <v>1</v>
      </c>
      <c r="M1730" s="2" t="s">
        <v>2387</v>
      </c>
    </row>
    <row r="1731">
      <c r="A1731" s="2" t="s">
        <v>5604</v>
      </c>
      <c r="B1731" s="3" t="str">
        <f>C1731 &amp; "." &amp; D1731</f>
        <v>ProcessMiningRuns.ConformanceRate</v>
      </c>
      <c r="C1731" s="2" t="s">
        <v>1869</v>
      </c>
      <c r="D1731" s="2" t="s">
        <v>5605</v>
      </c>
      <c r="E1731" s="2" t="s">
        <v>2389</v>
      </c>
      <c r="F1731" s="2" t="s">
        <v>2444</v>
      </c>
      <c r="G1731" s="2" t="s">
        <v>5606</v>
      </c>
      <c r="H1731" s="2" t="s">
        <v>2356</v>
      </c>
      <c r="I1731" s="3" t="b">
        <f>OR(E1731 = "calculated", E1731 = "lookup", E1731 = "aggregation")</f>
        <v>1</v>
      </c>
      <c r="J1731" s="3" t="b">
        <f>H1731 &lt;&gt; ""</f>
        <v>1</v>
      </c>
      <c r="K1731" s="3">
        <f>COUNTIFS(FieldDisagreements!D2:D999, A1731)</f>
        <v>0</v>
      </c>
      <c r="L1731" s="3" t="b">
        <f>K1731 &gt; 0</f>
        <v>0</v>
      </c>
      <c r="M1731" s="2" t="s">
        <v>2387</v>
      </c>
    </row>
    <row r="1732">
      <c r="A1732" s="2" t="s">
        <v>5607</v>
      </c>
      <c r="B1732" s="3" t="str">
        <f>C1732 &amp; "." &amp; D1732</f>
        <v>ProcessMiningRuns.IsConformant</v>
      </c>
      <c r="C1732" s="2" t="s">
        <v>1869</v>
      </c>
      <c r="D1732" s="2" t="s">
        <v>5608</v>
      </c>
      <c r="E1732" s="2" t="s">
        <v>2389</v>
      </c>
      <c r="F1732" s="2" t="s">
        <v>2401</v>
      </c>
      <c r="G1732" s="2" t="s">
        <v>5609</v>
      </c>
      <c r="H1732" s="2" t="s">
        <v>2356</v>
      </c>
      <c r="I1732" s="3" t="b">
        <f>OR(E1732 = "calculated", E1732 = "lookup", E1732 = "aggregation")</f>
        <v>1</v>
      </c>
      <c r="J1732" s="3" t="b">
        <f>H1732 &lt;&gt; ""</f>
        <v>1</v>
      </c>
      <c r="K1732" s="3">
        <f>COUNTIFS(FieldDisagreements!D2:D999, A1732)</f>
        <v>0</v>
      </c>
      <c r="L1732" s="3" t="b">
        <f>K1732 &gt; 0</f>
        <v>0</v>
      </c>
      <c r="M1732" s="2" t="s">
        <v>2387</v>
      </c>
    </row>
    <row r="1733">
      <c r="A1733" s="2" t="s">
        <v>5610</v>
      </c>
      <c r="B1733" s="3" t="str">
        <f>C1733 &amp; "." &amp; D1733</f>
        <v>ProcessMiningRuns.HasMajorDriftFromDocumentation</v>
      </c>
      <c r="C1733" s="2" t="s">
        <v>1869</v>
      </c>
      <c r="D1733" s="2" t="s">
        <v>5611</v>
      </c>
      <c r="E1733" s="2" t="s">
        <v>2389</v>
      </c>
      <c r="F1733" s="2" t="s">
        <v>2401</v>
      </c>
      <c r="G1733" s="2" t="s">
        <v>5612</v>
      </c>
      <c r="H1733" s="2" t="s">
        <v>2356</v>
      </c>
      <c r="I1733" s="3" t="b">
        <f>OR(E1733 = "calculated", E1733 = "lookup", E1733 = "aggregation")</f>
        <v>1</v>
      </c>
      <c r="J1733" s="3" t="b">
        <f>H1733 &lt;&gt; ""</f>
        <v>1</v>
      </c>
      <c r="K1733" s="3">
        <f>COUNTIFS(FieldDisagreements!D2:D999, A1733)</f>
        <v>0</v>
      </c>
      <c r="L1733" s="3" t="b">
        <f>K1733 &gt; 0</f>
        <v>0</v>
      </c>
      <c r="M1733" s="2" t="s">
        <v>2387</v>
      </c>
    </row>
    <row r="1734">
      <c r="A1734" s="2" t="s">
        <v>5613</v>
      </c>
      <c r="B1734" s="3" t="str">
        <f>C1734 &amp; "." &amp; D1734</f>
        <v>ProcessMiningRuns.DaysSinceMined</v>
      </c>
      <c r="C1734" s="2" t="s">
        <v>1869</v>
      </c>
      <c r="D1734" s="2" t="s">
        <v>5614</v>
      </c>
      <c r="E1734" s="2" t="s">
        <v>2389</v>
      </c>
      <c r="F1734" s="2" t="s">
        <v>2439</v>
      </c>
      <c r="G1734" s="2" t="s">
        <v>5615</v>
      </c>
      <c r="H1734" s="2" t="s">
        <v>2356</v>
      </c>
      <c r="I1734" s="3" t="b">
        <f>OR(E1734 = "calculated", E1734 = "lookup", E1734 = "aggregation")</f>
        <v>1</v>
      </c>
      <c r="J1734" s="3" t="b">
        <f>H1734 &lt;&gt; ""</f>
        <v>1</v>
      </c>
      <c r="K1734" s="3">
        <f>COUNTIFS(FieldDisagreements!D2:D999, A1734)</f>
        <v>0</v>
      </c>
      <c r="L1734" s="3" t="b">
        <f>K1734 &gt; 0</f>
        <v>0</v>
      </c>
      <c r="M1734" s="2" t="s">
        <v>2387</v>
      </c>
    </row>
    <row r="1735">
      <c r="A1735" s="2" t="s">
        <v>5616</v>
      </c>
      <c r="B1735" s="3" t="str">
        <f>C1735 &amp; "." &amp; D1735</f>
        <v>ProcessMiningRuns.IsStaleMiningEvidence</v>
      </c>
      <c r="C1735" s="2" t="s">
        <v>1869</v>
      </c>
      <c r="D1735" s="2" t="s">
        <v>5617</v>
      </c>
      <c r="E1735" s="2" t="s">
        <v>2389</v>
      </c>
      <c r="F1735" s="2" t="s">
        <v>2401</v>
      </c>
      <c r="G1735" s="2" t="s">
        <v>5618</v>
      </c>
      <c r="H1735" s="2" t="s">
        <v>2356</v>
      </c>
      <c r="I1735" s="3" t="b">
        <f>OR(E1735 = "calculated", E1735 = "lookup", E1735 = "aggregation")</f>
        <v>1</v>
      </c>
      <c r="J1735" s="3" t="b">
        <f>H1735 &lt;&gt; ""</f>
        <v>1</v>
      </c>
      <c r="K1735" s="3">
        <f>COUNTIFS(FieldDisagreements!D2:D999, A1735)</f>
        <v>0</v>
      </c>
      <c r="L1735" s="3" t="b">
        <f>K1735 &gt; 0</f>
        <v>0</v>
      </c>
      <c r="M1735" s="2" t="s">
        <v>2387</v>
      </c>
    </row>
    <row r="1736">
      <c r="A1736" s="2" t="s">
        <v>5619</v>
      </c>
      <c r="B1736" s="3" t="str">
        <f>C1736 &amp; "." &amp; D1736</f>
        <v>ProcessMiningRuns.ProcedureVersionIsLive</v>
      </c>
      <c r="C1736" s="2" t="s">
        <v>1869</v>
      </c>
      <c r="D1736" s="2" t="s">
        <v>5620</v>
      </c>
      <c r="E1736" s="2" t="s">
        <v>2478</v>
      </c>
      <c r="F1736" s="2" t="s">
        <v>2401</v>
      </c>
      <c r="G1736" s="2" t="s">
        <v>3195</v>
      </c>
      <c r="H1736" s="2" t="s">
        <v>2356</v>
      </c>
      <c r="I1736" s="3" t="b">
        <f>OR(E1736 = "calculated", E1736 = "lookup", E1736 = "aggregation")</f>
        <v>1</v>
      </c>
      <c r="J1736" s="3" t="b">
        <f>H1736 &lt;&gt; ""</f>
        <v>1</v>
      </c>
      <c r="K1736" s="3">
        <f>COUNTIFS(FieldDisagreements!D2:D999, A1736)</f>
        <v>0</v>
      </c>
      <c r="L1736" s="3" t="b">
        <f>K1736 &gt; 0</f>
        <v>0</v>
      </c>
      <c r="M1736" s="2" t="s">
        <v>2387</v>
      </c>
    </row>
    <row r="1737">
      <c r="A1737" s="2" t="s">
        <v>5621</v>
      </c>
      <c r="B1737" s="3" t="str">
        <f>C1737 &amp; "." &amp; D1737</f>
        <v>ProcessMiningRuns.IsDriftOnLiveVersion</v>
      </c>
      <c r="C1737" s="2" t="s">
        <v>1869</v>
      </c>
      <c r="D1737" s="2" t="s">
        <v>5622</v>
      </c>
      <c r="E1737" s="2" t="s">
        <v>2389</v>
      </c>
      <c r="F1737" s="2" t="s">
        <v>2401</v>
      </c>
      <c r="G1737" s="2" t="s">
        <v>5623</v>
      </c>
      <c r="H1737" s="2" t="s">
        <v>2356</v>
      </c>
      <c r="I1737" s="3" t="b">
        <f>OR(E1737 = "calculated", E1737 = "lookup", E1737 = "aggregation")</f>
        <v>1</v>
      </c>
      <c r="J1737" s="3" t="b">
        <f>H1737 &lt;&gt; ""</f>
        <v>1</v>
      </c>
      <c r="K1737" s="3">
        <f>COUNTIFS(FieldDisagreements!D2:D999, A1737)</f>
        <v>0</v>
      </c>
      <c r="L1737" s="3" t="b">
        <f>K1737 &gt; 0</f>
        <v>0</v>
      </c>
      <c r="M1737" s="2" t="s">
        <v>2387</v>
      </c>
    </row>
    <row r="1738">
      <c r="A1738" s="2" t="s">
        <v>5624</v>
      </c>
      <c r="B1738" s="3" t="str">
        <f>C1738 &amp; "." &amp; D1738</f>
        <v>ProcessMiningRuns.DriftedMiningRunKey</v>
      </c>
      <c r="C1738" s="2" t="s">
        <v>1869</v>
      </c>
      <c r="D1738" s="2" t="s">
        <v>5625</v>
      </c>
      <c r="E1738" s="2" t="s">
        <v>2389</v>
      </c>
      <c r="F1738" s="2" t="s">
        <v>2386</v>
      </c>
      <c r="G1738" s="2" t="s">
        <v>5626</v>
      </c>
      <c r="H1738" s="2" t="s">
        <v>2356</v>
      </c>
      <c r="I1738" s="3" t="b">
        <f>OR(E1738 = "calculated", E1738 = "lookup", E1738 = "aggregation")</f>
        <v>1</v>
      </c>
      <c r="J1738" s="3" t="b">
        <f>H1738 &lt;&gt; ""</f>
        <v>1</v>
      </c>
      <c r="K1738" s="3">
        <f>COUNTIFS(FieldDisagreements!D2:D999, A1738)</f>
        <v>0</v>
      </c>
      <c r="L1738" s="3" t="b">
        <f>K1738 &gt; 0</f>
        <v>0</v>
      </c>
      <c r="M1738" s="2" t="s">
        <v>2387</v>
      </c>
    </row>
    <row r="1739">
      <c r="A1739" s="2" t="s">
        <v>5627</v>
      </c>
      <c r="B1739" s="3" t="str">
        <f>C1739 &amp; "." &amp; D1739</f>
        <v>ProcessMiningRuns.SemanticTypeIri</v>
      </c>
      <c r="C1739" s="2" t="s">
        <v>1869</v>
      </c>
      <c r="D1739" s="2" t="s">
        <v>94</v>
      </c>
      <c r="E1739" s="2" t="s">
        <v>2385</v>
      </c>
      <c r="F1739" s="2" t="s">
        <v>2386</v>
      </c>
      <c r="G1739" s="2"/>
      <c r="H1739" s="2" t="s">
        <v>2356</v>
      </c>
      <c r="I1739" s="3" t="b">
        <f>OR(E1739 = "calculated", E1739 = "lookup", E1739 = "aggregation")</f>
        <v>0</v>
      </c>
      <c r="J1739" s="3" t="b">
        <f>H1739 &lt;&gt; ""</f>
        <v>1</v>
      </c>
      <c r="K1739" s="3">
        <f>COUNTIFS(FieldDisagreements!D2:D999, A1739)</f>
        <v>0</v>
      </c>
      <c r="L1739" s="3" t="b">
        <f>K1739 &gt; 0</f>
        <v>0</v>
      </c>
      <c r="M1739" s="2" t="s">
        <v>2387</v>
      </c>
    </row>
    <row r="1740">
      <c r="A1740" s="2" t="s">
        <v>5628</v>
      </c>
      <c r="B1740" s="3" t="str">
        <f>C1740 &amp; "." &amp; D1740</f>
        <v>Vocabularies.VocabularyId</v>
      </c>
      <c r="C1740" s="2" t="s">
        <v>1873</v>
      </c>
      <c r="D1740" s="2" t="s">
        <v>5629</v>
      </c>
      <c r="E1740" s="2" t="s">
        <v>2385</v>
      </c>
      <c r="F1740" s="2" t="s">
        <v>2386</v>
      </c>
      <c r="G1740" s="2"/>
      <c r="H1740" s="2" t="s">
        <v>2360</v>
      </c>
      <c r="I1740" s="3" t="b">
        <f>OR(E1740 = "calculated", E1740 = "lookup", E1740 = "aggregation")</f>
        <v>0</v>
      </c>
      <c r="J1740" s="3" t="b">
        <f>H1740 &lt;&gt; ""</f>
        <v>1</v>
      </c>
      <c r="K1740" s="3">
        <f>COUNTIFS(FieldDisagreements!D2:D999, A1740)</f>
        <v>0</v>
      </c>
      <c r="L1740" s="3" t="b">
        <f>K1740 &gt; 0</f>
        <v>0</v>
      </c>
      <c r="M1740" s="2" t="s">
        <v>2387</v>
      </c>
    </row>
    <row r="1741">
      <c r="A1741" s="2" t="s">
        <v>5630</v>
      </c>
      <c r="B1741" s="3" t="str">
        <f>C1741 &amp; "." &amp; D1741</f>
        <v>Vocabularies.Name</v>
      </c>
      <c r="C1741" s="2" t="s">
        <v>1873</v>
      </c>
      <c r="D1741" s="2" t="s">
        <v>1</v>
      </c>
      <c r="E1741" s="2" t="s">
        <v>2389</v>
      </c>
      <c r="F1741" s="2" t="s">
        <v>2386</v>
      </c>
      <c r="G1741" s="2" t="s">
        <v>2652</v>
      </c>
      <c r="H1741" s="2" t="s">
        <v>2360</v>
      </c>
      <c r="I1741" s="3" t="b">
        <f>OR(E1741 = "calculated", E1741 = "lookup", E1741 = "aggregation")</f>
        <v>1</v>
      </c>
      <c r="J1741" s="3" t="b">
        <f>H1741 &lt;&gt; ""</f>
        <v>1</v>
      </c>
      <c r="K1741" s="3">
        <f>COUNTIFS(FieldDisagreements!D2:D999, A1741)</f>
        <v>0</v>
      </c>
      <c r="L1741" s="3" t="b">
        <f>K1741 &gt; 0</f>
        <v>0</v>
      </c>
      <c r="M1741" s="2" t="s">
        <v>2387</v>
      </c>
    </row>
    <row r="1742">
      <c r="A1742" s="2" t="s">
        <v>5631</v>
      </c>
      <c r="B1742" s="3" t="str">
        <f>C1742 &amp; "." &amp; D1742</f>
        <v>Vocabularies.Title</v>
      </c>
      <c r="C1742" s="2" t="s">
        <v>1873</v>
      </c>
      <c r="D1742" s="2" t="s">
        <v>358</v>
      </c>
      <c r="E1742" s="2" t="s">
        <v>2385</v>
      </c>
      <c r="F1742" s="2" t="s">
        <v>2386</v>
      </c>
      <c r="G1742" s="2"/>
      <c r="H1742" s="2" t="s">
        <v>2360</v>
      </c>
      <c r="I1742" s="3" t="b">
        <f>OR(E1742 = "calculated", E1742 = "lookup", E1742 = "aggregation")</f>
        <v>0</v>
      </c>
      <c r="J1742" s="3" t="b">
        <f>H1742 &lt;&gt; ""</f>
        <v>1</v>
      </c>
      <c r="K1742" s="3">
        <f>COUNTIFS(FieldDisagreements!D2:D999, A1742)</f>
        <v>0</v>
      </c>
      <c r="L1742" s="3" t="b">
        <f>K1742 &gt; 0</f>
        <v>0</v>
      </c>
      <c r="M1742" s="2" t="s">
        <v>2387</v>
      </c>
    </row>
    <row r="1743">
      <c r="A1743" s="2" t="s">
        <v>5632</v>
      </c>
      <c r="B1743" s="3" t="str">
        <f>C1743 &amp; "." &amp; D1743</f>
        <v>Vocabularies.SchemeUri</v>
      </c>
      <c r="C1743" s="2" t="s">
        <v>1873</v>
      </c>
      <c r="D1743" s="2" t="s">
        <v>5633</v>
      </c>
      <c r="E1743" s="2" t="s">
        <v>2385</v>
      </c>
      <c r="F1743" s="2" t="s">
        <v>2386</v>
      </c>
      <c r="G1743" s="2"/>
      <c r="H1743" s="2" t="s">
        <v>2360</v>
      </c>
      <c r="I1743" s="3" t="b">
        <f>OR(E1743 = "calculated", E1743 = "lookup", E1743 = "aggregation")</f>
        <v>0</v>
      </c>
      <c r="J1743" s="3" t="b">
        <f>H1743 &lt;&gt; ""</f>
        <v>1</v>
      </c>
      <c r="K1743" s="3">
        <f>COUNTIFS(FieldDisagreements!D2:D999, A1743)</f>
        <v>0</v>
      </c>
      <c r="L1743" s="3" t="b">
        <f>K1743 &gt; 0</f>
        <v>0</v>
      </c>
      <c r="M1743" s="2" t="s">
        <v>2387</v>
      </c>
    </row>
    <row r="1744">
      <c r="A1744" s="2" t="s">
        <v>5634</v>
      </c>
      <c r="B1744" s="3" t="str">
        <f>C1744 &amp; "." &amp; D1744</f>
        <v>Vocabularies.GoverningRole</v>
      </c>
      <c r="C1744" s="2" t="s">
        <v>1873</v>
      </c>
      <c r="D1744" s="2" t="s">
        <v>5635</v>
      </c>
      <c r="E1744" s="2" t="s">
        <v>2434</v>
      </c>
      <c r="F1744" s="2" t="s">
        <v>2386</v>
      </c>
      <c r="G1744" s="2"/>
      <c r="H1744" s="2" t="s">
        <v>2360</v>
      </c>
      <c r="I1744" s="3" t="b">
        <f>OR(E1744 = "calculated", E1744 = "lookup", E1744 = "aggregation")</f>
        <v>0</v>
      </c>
      <c r="J1744" s="3" t="b">
        <f>H1744 &lt;&gt; ""</f>
        <v>1</v>
      </c>
      <c r="K1744" s="3">
        <f>COUNTIFS(FieldDisagreements!D2:D999, A1744)</f>
        <v>0</v>
      </c>
      <c r="L1744" s="3" t="b">
        <f>K1744 &gt; 0</f>
        <v>0</v>
      </c>
      <c r="M1744" s="2" t="s">
        <v>2387</v>
      </c>
    </row>
    <row r="1745">
      <c r="A1745" s="2" t="s">
        <v>5636</v>
      </c>
      <c r="B1745" s="3" t="str">
        <f>C1745 &amp; "." &amp; D1745</f>
        <v>Vocabularies.TermCount</v>
      </c>
      <c r="C1745" s="2" t="s">
        <v>1873</v>
      </c>
      <c r="D1745" s="2" t="s">
        <v>5637</v>
      </c>
      <c r="E1745" s="2" t="s">
        <v>2438</v>
      </c>
      <c r="F1745" s="2" t="s">
        <v>2444</v>
      </c>
      <c r="G1745" s="2" t="s">
        <v>5638</v>
      </c>
      <c r="H1745" s="2" t="s">
        <v>2360</v>
      </c>
      <c r="I1745" s="3" t="b">
        <f>OR(E1745 = "calculated", E1745 = "lookup", E1745 = "aggregation")</f>
        <v>1</v>
      </c>
      <c r="J1745" s="3" t="b">
        <f>H1745 &lt;&gt; ""</f>
        <v>1</v>
      </c>
      <c r="K1745" s="3">
        <f>COUNTIFS(FieldDisagreements!D2:D999, A1745)</f>
        <v>0</v>
      </c>
      <c r="L1745" s="3" t="b">
        <f>K1745 &gt; 0</f>
        <v>0</v>
      </c>
      <c r="M1745" s="2" t="s">
        <v>2387</v>
      </c>
    </row>
    <row r="1746">
      <c r="A1746" s="2" t="s">
        <v>5639</v>
      </c>
      <c r="B1746" s="3" t="str">
        <f>C1746 &amp; "." &amp; D1746</f>
        <v>Vocabularies.OrphanTermCount</v>
      </c>
      <c r="C1746" s="2" t="s">
        <v>1873</v>
      </c>
      <c r="D1746" s="2" t="s">
        <v>5640</v>
      </c>
      <c r="E1746" s="2" t="s">
        <v>2438</v>
      </c>
      <c r="F1746" s="2" t="s">
        <v>2444</v>
      </c>
      <c r="G1746" s="2" t="s">
        <v>5641</v>
      </c>
      <c r="H1746" s="2" t="s">
        <v>2360</v>
      </c>
      <c r="I1746" s="3" t="b">
        <f>OR(E1746 = "calculated", E1746 = "lookup", E1746 = "aggregation")</f>
        <v>1</v>
      </c>
      <c r="J1746" s="3" t="b">
        <f>H1746 &lt;&gt; ""</f>
        <v>1</v>
      </c>
      <c r="K1746" s="3">
        <f>COUNTIFS(FieldDisagreements!D2:D999, A1746)</f>
        <v>0</v>
      </c>
      <c r="L1746" s="3" t="b">
        <f>K1746 &gt; 0</f>
        <v>0</v>
      </c>
      <c r="M1746" s="2" t="s">
        <v>2387</v>
      </c>
    </row>
    <row r="1747">
      <c r="A1747" s="2" t="s">
        <v>5642</v>
      </c>
      <c r="B1747" s="3" t="str">
        <f>C1747 &amp; "." &amp; D1747</f>
        <v>Vocabularies.HasOrphanTerms</v>
      </c>
      <c r="C1747" s="2" t="s">
        <v>1873</v>
      </c>
      <c r="D1747" s="2" t="s">
        <v>5643</v>
      </c>
      <c r="E1747" s="2" t="s">
        <v>2389</v>
      </c>
      <c r="F1747" s="2" t="s">
        <v>2401</v>
      </c>
      <c r="G1747" s="2" t="s">
        <v>5644</v>
      </c>
      <c r="H1747" s="2" t="s">
        <v>2360</v>
      </c>
      <c r="I1747" s="3" t="b">
        <f>OR(E1747 = "calculated", E1747 = "lookup", E1747 = "aggregation")</f>
        <v>1</v>
      </c>
      <c r="J1747" s="3" t="b">
        <f>H1747 &lt;&gt; ""</f>
        <v>1</v>
      </c>
      <c r="K1747" s="3">
        <f>COUNTIFS(FieldDisagreements!D2:D999, A1747)</f>
        <v>0</v>
      </c>
      <c r="L1747" s="3" t="b">
        <f>K1747 &gt; 0</f>
        <v>0</v>
      </c>
      <c r="M1747" s="2" t="s">
        <v>2387</v>
      </c>
    </row>
    <row r="1748">
      <c r="A1748" s="2" t="s">
        <v>5645</v>
      </c>
      <c r="B1748" s="3" t="str">
        <f>C1748 &amp; "." &amp; D1748</f>
        <v>Vocabularies.SemanticTypeIri</v>
      </c>
      <c r="C1748" s="2" t="s">
        <v>1873</v>
      </c>
      <c r="D1748" s="2" t="s">
        <v>94</v>
      </c>
      <c r="E1748" s="2" t="s">
        <v>2385</v>
      </c>
      <c r="F1748" s="2" t="s">
        <v>2386</v>
      </c>
      <c r="G1748" s="2"/>
      <c r="H1748" s="2" t="s">
        <v>2360</v>
      </c>
      <c r="I1748" s="3" t="b">
        <f>OR(E1748 = "calculated", E1748 = "lookup", E1748 = "aggregation")</f>
        <v>0</v>
      </c>
      <c r="J1748" s="3" t="b">
        <f>H1748 &lt;&gt; ""</f>
        <v>1</v>
      </c>
      <c r="K1748" s="3">
        <f>COUNTIFS(FieldDisagreements!D2:D999, A1748)</f>
        <v>0</v>
      </c>
      <c r="L1748" s="3" t="b">
        <f>K1748 &gt; 0</f>
        <v>0</v>
      </c>
      <c r="M1748" s="2" t="s">
        <v>2387</v>
      </c>
    </row>
    <row r="1749">
      <c r="A1749" s="2" t="s">
        <v>5646</v>
      </c>
      <c r="B1749" s="3" t="str">
        <f>C1749 &amp; "." &amp; D1749</f>
        <v>VocabularyTerms.VocabularyTermId</v>
      </c>
      <c r="C1749" s="2" t="s">
        <v>1877</v>
      </c>
      <c r="D1749" s="2" t="s">
        <v>5647</v>
      </c>
      <c r="E1749" s="2" t="s">
        <v>2385</v>
      </c>
      <c r="F1749" s="2" t="s">
        <v>2386</v>
      </c>
      <c r="G1749" s="2"/>
      <c r="H1749" s="2" t="s">
        <v>2360</v>
      </c>
      <c r="I1749" s="3" t="b">
        <f>OR(E1749 = "calculated", E1749 = "lookup", E1749 = "aggregation")</f>
        <v>0</v>
      </c>
      <c r="J1749" s="3" t="b">
        <f>H1749 &lt;&gt; ""</f>
        <v>1</v>
      </c>
      <c r="K1749" s="3">
        <f>COUNTIFS(FieldDisagreements!D2:D999, A1749)</f>
        <v>0</v>
      </c>
      <c r="L1749" s="3" t="b">
        <f>K1749 &gt; 0</f>
        <v>0</v>
      </c>
      <c r="M1749" s="2" t="s">
        <v>2387</v>
      </c>
    </row>
    <row r="1750">
      <c r="A1750" s="2" t="s">
        <v>5648</v>
      </c>
      <c r="B1750" s="3" t="str">
        <f>C1750 &amp; "." &amp; D1750</f>
        <v>VocabularyTerms.Name</v>
      </c>
      <c r="C1750" s="2" t="s">
        <v>1877</v>
      </c>
      <c r="D1750" s="2" t="s">
        <v>1</v>
      </c>
      <c r="E1750" s="2" t="s">
        <v>2389</v>
      </c>
      <c r="F1750" s="2" t="s">
        <v>2386</v>
      </c>
      <c r="G1750" s="2" t="s">
        <v>5649</v>
      </c>
      <c r="H1750" s="2" t="s">
        <v>2360</v>
      </c>
      <c r="I1750" s="3" t="b">
        <f>OR(E1750 = "calculated", E1750 = "lookup", E1750 = "aggregation")</f>
        <v>1</v>
      </c>
      <c r="J1750" s="3" t="b">
        <f>H1750 &lt;&gt; ""</f>
        <v>1</v>
      </c>
      <c r="K1750" s="3">
        <f>COUNTIFS(FieldDisagreements!D2:D999, A1750)</f>
        <v>0</v>
      </c>
      <c r="L1750" s="3" t="b">
        <f>K1750 &gt; 0</f>
        <v>0</v>
      </c>
      <c r="M1750" s="2" t="s">
        <v>2387</v>
      </c>
    </row>
    <row r="1751">
      <c r="A1751" s="2" t="s">
        <v>5650</v>
      </c>
      <c r="B1751" s="3" t="str">
        <f>C1751 &amp; "." &amp; D1751</f>
        <v>VocabularyTerms.Vocabulary</v>
      </c>
      <c r="C1751" s="2" t="s">
        <v>1877</v>
      </c>
      <c r="D1751" s="2" t="s">
        <v>5651</v>
      </c>
      <c r="E1751" s="2" t="s">
        <v>2434</v>
      </c>
      <c r="F1751" s="2" t="s">
        <v>2386</v>
      </c>
      <c r="G1751" s="2"/>
      <c r="H1751" s="2" t="s">
        <v>2360</v>
      </c>
      <c r="I1751" s="3" t="b">
        <f>OR(E1751 = "calculated", E1751 = "lookup", E1751 = "aggregation")</f>
        <v>0</v>
      </c>
      <c r="J1751" s="3" t="b">
        <f>H1751 &lt;&gt; ""</f>
        <v>1</v>
      </c>
      <c r="K1751" s="3">
        <f>COUNTIFS(FieldDisagreements!D2:D999, A1751)</f>
        <v>0</v>
      </c>
      <c r="L1751" s="3" t="b">
        <f>K1751 &gt; 0</f>
        <v>0</v>
      </c>
      <c r="M1751" s="2" t="s">
        <v>2387</v>
      </c>
    </row>
    <row r="1752">
      <c r="A1752" s="2" t="s">
        <v>5652</v>
      </c>
      <c r="B1752" s="3" t="str">
        <f>C1752 &amp; "." &amp; D1752</f>
        <v>VocabularyTerms.PrefLabel</v>
      </c>
      <c r="C1752" s="2" t="s">
        <v>1877</v>
      </c>
      <c r="D1752" s="2" t="s">
        <v>5653</v>
      </c>
      <c r="E1752" s="2" t="s">
        <v>2385</v>
      </c>
      <c r="F1752" s="2" t="s">
        <v>2386</v>
      </c>
      <c r="G1752" s="2"/>
      <c r="H1752" s="2" t="s">
        <v>2360</v>
      </c>
      <c r="I1752" s="3" t="b">
        <f>OR(E1752 = "calculated", E1752 = "lookup", E1752 = "aggregation")</f>
        <v>0</v>
      </c>
      <c r="J1752" s="3" t="b">
        <f>H1752 &lt;&gt; ""</f>
        <v>1</v>
      </c>
      <c r="K1752" s="3">
        <f>COUNTIFS(FieldDisagreements!D2:D999, A1752)</f>
        <v>0</v>
      </c>
      <c r="L1752" s="3" t="b">
        <f>K1752 &gt; 0</f>
        <v>0</v>
      </c>
      <c r="M1752" s="2" t="s">
        <v>2387</v>
      </c>
    </row>
    <row r="1753">
      <c r="A1753" s="2" t="s">
        <v>5654</v>
      </c>
      <c r="B1753" s="3" t="str">
        <f>C1753 &amp; "." &amp; D1753</f>
        <v>VocabularyTerms.AltLabels</v>
      </c>
      <c r="C1753" s="2" t="s">
        <v>1877</v>
      </c>
      <c r="D1753" s="2" t="s">
        <v>5655</v>
      </c>
      <c r="E1753" s="2" t="s">
        <v>2385</v>
      </c>
      <c r="F1753" s="2" t="s">
        <v>2386</v>
      </c>
      <c r="G1753" s="2"/>
      <c r="H1753" s="2" t="s">
        <v>2360</v>
      </c>
      <c r="I1753" s="3" t="b">
        <f>OR(E1753 = "calculated", E1753 = "lookup", E1753 = "aggregation")</f>
        <v>0</v>
      </c>
      <c r="J1753" s="3" t="b">
        <f>H1753 &lt;&gt; ""</f>
        <v>1</v>
      </c>
      <c r="K1753" s="3">
        <f>COUNTIFS(FieldDisagreements!D2:D999, A1753)</f>
        <v>0</v>
      </c>
      <c r="L1753" s="3" t="b">
        <f>K1753 &gt; 0</f>
        <v>0</v>
      </c>
      <c r="M1753" s="2" t="s">
        <v>2387</v>
      </c>
    </row>
    <row r="1754">
      <c r="A1754" s="2" t="s">
        <v>5656</v>
      </c>
      <c r="B1754" s="3" t="str">
        <f>C1754 &amp; "." &amp; D1754</f>
        <v>VocabularyTerms.Definition</v>
      </c>
      <c r="C1754" s="2" t="s">
        <v>1877</v>
      </c>
      <c r="D1754" s="2" t="s">
        <v>349</v>
      </c>
      <c r="E1754" s="2" t="s">
        <v>2385</v>
      </c>
      <c r="F1754" s="2" t="s">
        <v>2386</v>
      </c>
      <c r="G1754" s="2"/>
      <c r="H1754" s="2" t="s">
        <v>2360</v>
      </c>
      <c r="I1754" s="3" t="b">
        <f>OR(E1754 = "calculated", E1754 = "lookup", E1754 = "aggregation")</f>
        <v>0</v>
      </c>
      <c r="J1754" s="3" t="b">
        <f>H1754 &lt;&gt; ""</f>
        <v>1</v>
      </c>
      <c r="K1754" s="3">
        <f>COUNTIFS(FieldDisagreements!D2:D999, A1754)</f>
        <v>0</v>
      </c>
      <c r="L1754" s="3" t="b">
        <f>K1754 &gt; 0</f>
        <v>0</v>
      </c>
      <c r="M1754" s="2" t="s">
        <v>2387</v>
      </c>
    </row>
    <row r="1755">
      <c r="A1755" s="2" t="s">
        <v>5657</v>
      </c>
      <c r="B1755" s="3" t="str">
        <f>C1755 &amp; "." &amp; D1755</f>
        <v>VocabularyTerms.UsageCount</v>
      </c>
      <c r="C1755" s="2" t="s">
        <v>1877</v>
      </c>
      <c r="D1755" s="2" t="s">
        <v>5478</v>
      </c>
      <c r="E1755" s="2" t="s">
        <v>2438</v>
      </c>
      <c r="F1755" s="2" t="s">
        <v>2444</v>
      </c>
      <c r="G1755" s="2" t="s">
        <v>5658</v>
      </c>
      <c r="H1755" s="2" t="s">
        <v>2360</v>
      </c>
      <c r="I1755" s="3" t="b">
        <f>OR(E1755 = "calculated", E1755 = "lookup", E1755 = "aggregation")</f>
        <v>1</v>
      </c>
      <c r="J1755" s="3" t="b">
        <f>H1755 &lt;&gt; ""</f>
        <v>1</v>
      </c>
      <c r="K1755" s="3">
        <f>COUNTIFS(FieldDisagreements!D2:D999, A1755)</f>
        <v>0</v>
      </c>
      <c r="L1755" s="3" t="b">
        <f>K1755 &gt; 0</f>
        <v>0</v>
      </c>
      <c r="M1755" s="2" t="s">
        <v>2387</v>
      </c>
    </row>
    <row r="1756">
      <c r="A1756" s="2" t="s">
        <v>5659</v>
      </c>
      <c r="B1756" s="3" t="str">
        <f>C1756 &amp; "." &amp; D1756</f>
        <v>VocabularyTerms.IsOrphanTerm</v>
      </c>
      <c r="C1756" s="2" t="s">
        <v>1877</v>
      </c>
      <c r="D1756" s="2" t="s">
        <v>5660</v>
      </c>
      <c r="E1756" s="2" t="s">
        <v>2389</v>
      </c>
      <c r="F1756" s="2" t="s">
        <v>2401</v>
      </c>
      <c r="G1756" s="2" t="s">
        <v>5661</v>
      </c>
      <c r="H1756" s="2" t="s">
        <v>2360</v>
      </c>
      <c r="I1756" s="3" t="b">
        <f>OR(E1756 = "calculated", E1756 = "lookup", E1756 = "aggregation")</f>
        <v>1</v>
      </c>
      <c r="J1756" s="3" t="b">
        <f>H1756 &lt;&gt; ""</f>
        <v>1</v>
      </c>
      <c r="K1756" s="3">
        <f>COUNTIFS(FieldDisagreements!D2:D999, A1756)</f>
        <v>0</v>
      </c>
      <c r="L1756" s="3" t="b">
        <f>K1756 &gt; 0</f>
        <v>0</v>
      </c>
      <c r="M1756" s="2" t="s">
        <v>2387</v>
      </c>
    </row>
    <row r="1757">
      <c r="A1757" s="2" t="s">
        <v>5662</v>
      </c>
      <c r="B1757" s="3" t="str">
        <f>C1757 &amp; "." &amp; D1757</f>
        <v>VocabularyTerms.IsWidelyAdoptedTerm</v>
      </c>
      <c r="C1757" s="2" t="s">
        <v>1877</v>
      </c>
      <c r="D1757" s="2" t="s">
        <v>5663</v>
      </c>
      <c r="E1757" s="2" t="s">
        <v>2389</v>
      </c>
      <c r="F1757" s="2" t="s">
        <v>2401</v>
      </c>
      <c r="G1757" s="2" t="s">
        <v>5664</v>
      </c>
      <c r="H1757" s="2" t="s">
        <v>2360</v>
      </c>
      <c r="I1757" s="3" t="b">
        <f>OR(E1757 = "calculated", E1757 = "lookup", E1757 = "aggregation")</f>
        <v>1</v>
      </c>
      <c r="J1757" s="3" t="b">
        <f>H1757 &lt;&gt; ""</f>
        <v>1</v>
      </c>
      <c r="K1757" s="3">
        <f>COUNTIFS(FieldDisagreements!D2:D999, A1757)</f>
        <v>0</v>
      </c>
      <c r="L1757" s="3" t="b">
        <f>K1757 &gt; 0</f>
        <v>0</v>
      </c>
      <c r="M1757" s="2" t="s">
        <v>2387</v>
      </c>
    </row>
    <row r="1758">
      <c r="A1758" s="2" t="s">
        <v>5665</v>
      </c>
      <c r="B1758" s="3" t="str">
        <f>C1758 &amp; "." &amp; D1758</f>
        <v>VocabularyTerms.OrphanTermVocabularyKey</v>
      </c>
      <c r="C1758" s="2" t="s">
        <v>1877</v>
      </c>
      <c r="D1758" s="2" t="s">
        <v>5666</v>
      </c>
      <c r="E1758" s="2" t="s">
        <v>2389</v>
      </c>
      <c r="F1758" s="2" t="s">
        <v>2386</v>
      </c>
      <c r="G1758" s="2" t="s">
        <v>5667</v>
      </c>
      <c r="H1758" s="2" t="s">
        <v>2360</v>
      </c>
      <c r="I1758" s="3" t="b">
        <f>OR(E1758 = "calculated", E1758 = "lookup", E1758 = "aggregation")</f>
        <v>1</v>
      </c>
      <c r="J1758" s="3" t="b">
        <f>H1758 &lt;&gt; ""</f>
        <v>1</v>
      </c>
      <c r="K1758" s="3">
        <f>COUNTIFS(FieldDisagreements!D2:D999, A1758)</f>
        <v>0</v>
      </c>
      <c r="L1758" s="3" t="b">
        <f>K1758 &gt; 0</f>
        <v>0</v>
      </c>
      <c r="M1758" s="2" t="s">
        <v>2387</v>
      </c>
    </row>
    <row r="1759">
      <c r="A1759" s="2" t="s">
        <v>5668</v>
      </c>
      <c r="B1759" s="3" t="str">
        <f>C1759 &amp; "." &amp; D1759</f>
        <v>VocabularyTerms.SemanticTypeIri</v>
      </c>
      <c r="C1759" s="2" t="s">
        <v>1877</v>
      </c>
      <c r="D1759" s="2" t="s">
        <v>94</v>
      </c>
      <c r="E1759" s="2" t="s">
        <v>2385</v>
      </c>
      <c r="F1759" s="2" t="s">
        <v>2386</v>
      </c>
      <c r="G1759" s="2"/>
      <c r="H1759" s="2" t="s">
        <v>2360</v>
      </c>
      <c r="I1759" s="3" t="b">
        <f>OR(E1759 = "calculated", E1759 = "lookup", E1759 = "aggregation")</f>
        <v>0</v>
      </c>
      <c r="J1759" s="3" t="b">
        <f>H1759 &lt;&gt; ""</f>
        <v>1</v>
      </c>
      <c r="K1759" s="3">
        <f>COUNTIFS(FieldDisagreements!D2:D999, A1759)</f>
        <v>0</v>
      </c>
      <c r="L1759" s="3" t="b">
        <f>K1759 &gt; 0</f>
        <v>0</v>
      </c>
      <c r="M1759" s="2" t="s">
        <v>2387</v>
      </c>
    </row>
    <row r="1760">
      <c r="A1760" s="2" t="s">
        <v>5669</v>
      </c>
      <c r="B1760" s="3" t="str">
        <f>C1760 &amp; "." &amp; D1760</f>
        <v>KnowledgeBrokerLinks.KnowledgeBrokerLinkId</v>
      </c>
      <c r="C1760" s="2" t="s">
        <v>1881</v>
      </c>
      <c r="D1760" s="2" t="s">
        <v>5670</v>
      </c>
      <c r="E1760" s="2" t="s">
        <v>2385</v>
      </c>
      <c r="F1760" s="2" t="s">
        <v>2386</v>
      </c>
      <c r="G1760" s="2"/>
      <c r="H1760" s="2" t="s">
        <v>2364</v>
      </c>
      <c r="I1760" s="3" t="b">
        <f>OR(E1760 = "calculated", E1760 = "lookup", E1760 = "aggregation")</f>
        <v>0</v>
      </c>
      <c r="J1760" s="3" t="b">
        <f>H1760 &lt;&gt; ""</f>
        <v>1</v>
      </c>
      <c r="K1760" s="3">
        <f>COUNTIFS(FieldDisagreements!D2:D999, A1760)</f>
        <v>0</v>
      </c>
      <c r="L1760" s="3" t="b">
        <f>K1760 &gt; 0</f>
        <v>0</v>
      </c>
      <c r="M1760" s="2" t="s">
        <v>2387</v>
      </c>
    </row>
    <row r="1761">
      <c r="A1761" s="2" t="s">
        <v>5671</v>
      </c>
      <c r="B1761" s="3" t="str">
        <f>C1761 &amp; "." &amp; D1761</f>
        <v>KnowledgeBrokerLinks.Name</v>
      </c>
      <c r="C1761" s="2" t="s">
        <v>1881</v>
      </c>
      <c r="D1761" s="2" t="s">
        <v>1</v>
      </c>
      <c r="E1761" s="2" t="s">
        <v>2389</v>
      </c>
      <c r="F1761" s="2" t="s">
        <v>2386</v>
      </c>
      <c r="G1761" s="2" t="s">
        <v>5672</v>
      </c>
      <c r="H1761" s="2" t="s">
        <v>2364</v>
      </c>
      <c r="I1761" s="3" t="b">
        <f>OR(E1761 = "calculated", E1761 = "lookup", E1761 = "aggregation")</f>
        <v>1</v>
      </c>
      <c r="J1761" s="3" t="b">
        <f>H1761 &lt;&gt; ""</f>
        <v>1</v>
      </c>
      <c r="K1761" s="3">
        <f>COUNTIFS(FieldDisagreements!D2:D999, A1761)</f>
        <v>0</v>
      </c>
      <c r="L1761" s="3" t="b">
        <f>K1761 &gt; 0</f>
        <v>0</v>
      </c>
      <c r="M1761" s="2" t="s">
        <v>2387</v>
      </c>
    </row>
    <row r="1762">
      <c r="A1762" s="2" t="s">
        <v>5673</v>
      </c>
      <c r="B1762" s="3" t="str">
        <f>C1762 &amp; "." &amp; D1762</f>
        <v>KnowledgeBrokerLinks.Seeker</v>
      </c>
      <c r="C1762" s="2" t="s">
        <v>1881</v>
      </c>
      <c r="D1762" s="2" t="s">
        <v>5674</v>
      </c>
      <c r="E1762" s="2" t="s">
        <v>2434</v>
      </c>
      <c r="F1762" s="2" t="s">
        <v>2386</v>
      </c>
      <c r="G1762" s="2"/>
      <c r="H1762" s="2" t="s">
        <v>2364</v>
      </c>
      <c r="I1762" s="3" t="b">
        <f>OR(E1762 = "calculated", E1762 = "lookup", E1762 = "aggregation")</f>
        <v>0</v>
      </c>
      <c r="J1762" s="3" t="b">
        <f>H1762 &lt;&gt; ""</f>
        <v>1</v>
      </c>
      <c r="K1762" s="3">
        <f>COUNTIFS(FieldDisagreements!D2:D999, A1762)</f>
        <v>0</v>
      </c>
      <c r="L1762" s="3" t="b">
        <f>K1762 &gt; 0</f>
        <v>0</v>
      </c>
      <c r="M1762" s="2" t="s">
        <v>2387</v>
      </c>
    </row>
    <row r="1763">
      <c r="A1763" s="2" t="s">
        <v>5675</v>
      </c>
      <c r="B1763" s="3" t="str">
        <f>C1763 &amp; "." &amp; D1763</f>
        <v>KnowledgeBrokerLinks.Broker</v>
      </c>
      <c r="C1763" s="2" t="s">
        <v>1881</v>
      </c>
      <c r="D1763" s="2" t="s">
        <v>5676</v>
      </c>
      <c r="E1763" s="2" t="s">
        <v>2434</v>
      </c>
      <c r="F1763" s="2" t="s">
        <v>2386</v>
      </c>
      <c r="G1763" s="2"/>
      <c r="H1763" s="2" t="s">
        <v>2364</v>
      </c>
      <c r="I1763" s="3" t="b">
        <f>OR(E1763 = "calculated", E1763 = "lookup", E1763 = "aggregation")</f>
        <v>0</v>
      </c>
      <c r="J1763" s="3" t="b">
        <f>H1763 &lt;&gt; ""</f>
        <v>1</v>
      </c>
      <c r="K1763" s="3">
        <f>COUNTIFS(FieldDisagreements!D2:D999, A1763)</f>
        <v>0</v>
      </c>
      <c r="L1763" s="3" t="b">
        <f>K1763 &gt; 0</f>
        <v>0</v>
      </c>
      <c r="M1763" s="2" t="s">
        <v>2387</v>
      </c>
    </row>
    <row r="1764">
      <c r="A1764" s="2" t="s">
        <v>5677</v>
      </c>
      <c r="B1764" s="3" t="str">
        <f>C1764 &amp; "." &amp; D1764</f>
        <v>KnowledgeBrokerLinks.Topic</v>
      </c>
      <c r="C1764" s="2" t="s">
        <v>1881</v>
      </c>
      <c r="D1764" s="2" t="s">
        <v>5678</v>
      </c>
      <c r="E1764" s="2" t="s">
        <v>2434</v>
      </c>
      <c r="F1764" s="2" t="s">
        <v>2386</v>
      </c>
      <c r="G1764" s="2"/>
      <c r="H1764" s="2" t="s">
        <v>2364</v>
      </c>
      <c r="I1764" s="3" t="b">
        <f>OR(E1764 = "calculated", E1764 = "lookup", E1764 = "aggregation")</f>
        <v>0</v>
      </c>
      <c r="J1764" s="3" t="b">
        <f>H1764 &lt;&gt; ""</f>
        <v>1</v>
      </c>
      <c r="K1764" s="3">
        <f>COUNTIFS(FieldDisagreements!D2:D999, A1764)</f>
        <v>0</v>
      </c>
      <c r="L1764" s="3" t="b">
        <f>K1764 &gt; 0</f>
        <v>0</v>
      </c>
      <c r="M1764" s="2" t="s">
        <v>2387</v>
      </c>
    </row>
    <row r="1765">
      <c r="A1765" s="2" t="s">
        <v>5679</v>
      </c>
      <c r="B1765" s="3" t="str">
        <f>C1765 &amp; "." &amp; D1765</f>
        <v>KnowledgeBrokerLinks.Frequency</v>
      </c>
      <c r="C1765" s="2" t="s">
        <v>1881</v>
      </c>
      <c r="D1765" s="2" t="s">
        <v>5680</v>
      </c>
      <c r="E1765" s="2" t="s">
        <v>2385</v>
      </c>
      <c r="F1765" s="2" t="s">
        <v>2386</v>
      </c>
      <c r="G1765" s="2"/>
      <c r="H1765" s="2" t="s">
        <v>2364</v>
      </c>
      <c r="I1765" s="3" t="b">
        <f>OR(E1765 = "calculated", E1765 = "lookup", E1765 = "aggregation")</f>
        <v>0</v>
      </c>
      <c r="J1765" s="3" t="b">
        <f>H1765 &lt;&gt; ""</f>
        <v>1</v>
      </c>
      <c r="K1765" s="3">
        <f>COUNTIFS(FieldDisagreements!D2:D999, A1765)</f>
        <v>0</v>
      </c>
      <c r="L1765" s="3" t="b">
        <f>K1765 &gt; 0</f>
        <v>0</v>
      </c>
      <c r="M1765" s="2" t="s">
        <v>2387</v>
      </c>
    </row>
    <row r="1766">
      <c r="A1766" s="2" t="s">
        <v>5681</v>
      </c>
      <c r="B1766" s="3" t="str">
        <f>C1766 &amp; "." &amp; D1766</f>
        <v>KnowledgeBrokerLinks.LastConsultedAt</v>
      </c>
      <c r="C1766" s="2" t="s">
        <v>1881</v>
      </c>
      <c r="D1766" s="2" t="s">
        <v>5682</v>
      </c>
      <c r="E1766" s="2" t="s">
        <v>2385</v>
      </c>
      <c r="F1766" s="2" t="s">
        <v>2397</v>
      </c>
      <c r="G1766" s="2"/>
      <c r="H1766" s="2" t="s">
        <v>2364</v>
      </c>
      <c r="I1766" s="3" t="b">
        <f>OR(E1766 = "calculated", E1766 = "lookup", E1766 = "aggregation")</f>
        <v>0</v>
      </c>
      <c r="J1766" s="3" t="b">
        <f>H1766 &lt;&gt; ""</f>
        <v>1</v>
      </c>
      <c r="K1766" s="3">
        <f>COUNTIFS(FieldDisagreements!D2:D999, A1766)</f>
        <v>0</v>
      </c>
      <c r="L1766" s="3" t="b">
        <f>K1766 &gt; 0</f>
        <v>0</v>
      </c>
      <c r="M1766" s="2" t="s">
        <v>2387</v>
      </c>
    </row>
    <row r="1767">
      <c r="A1767" s="2" t="s">
        <v>5683</v>
      </c>
      <c r="B1767" s="3" t="str">
        <f>C1767 &amp; "." &amp; D1767</f>
        <v>KnowledgeBrokerLinks.EvaluationContext</v>
      </c>
      <c r="C1767" s="2" t="s">
        <v>1881</v>
      </c>
      <c r="D1767" s="2" t="s">
        <v>258</v>
      </c>
      <c r="E1767" s="2" t="s">
        <v>2434</v>
      </c>
      <c r="F1767" s="2" t="s">
        <v>2386</v>
      </c>
      <c r="G1767" s="2"/>
      <c r="H1767" s="2" t="s">
        <v>2364</v>
      </c>
      <c r="I1767" s="3" t="b">
        <f>OR(E1767 = "calculated", E1767 = "lookup", E1767 = "aggregation")</f>
        <v>0</v>
      </c>
      <c r="J1767" s="3" t="b">
        <f>H1767 &lt;&gt; ""</f>
        <v>1</v>
      </c>
      <c r="K1767" s="3">
        <f>COUNTIFS(FieldDisagreements!D2:D999, A1767)</f>
        <v>0</v>
      </c>
      <c r="L1767" s="3" t="b">
        <f>K1767 &gt; 0</f>
        <v>0</v>
      </c>
      <c r="M1767" s="2" t="s">
        <v>2387</v>
      </c>
    </row>
    <row r="1768">
      <c r="A1768" s="2" t="s">
        <v>5684</v>
      </c>
      <c r="B1768" s="3" t="str">
        <f>C1768 &amp; "." &amp; D1768</f>
        <v>KnowledgeBrokerLinks.AsOfInstant</v>
      </c>
      <c r="C1768" s="2" t="s">
        <v>1881</v>
      </c>
      <c r="D1768" s="2" t="s">
        <v>92</v>
      </c>
      <c r="E1768" s="2" t="s">
        <v>2478</v>
      </c>
      <c r="F1768" s="2" t="s">
        <v>2397</v>
      </c>
      <c r="G1768" s="2" t="s">
        <v>2524</v>
      </c>
      <c r="H1768" s="2" t="s">
        <v>2364</v>
      </c>
      <c r="I1768" s="3" t="b">
        <f>OR(E1768 = "calculated", E1768 = "lookup", E1768 = "aggregation")</f>
        <v>1</v>
      </c>
      <c r="J1768" s="3" t="b">
        <f>H1768 &lt;&gt; ""</f>
        <v>1</v>
      </c>
      <c r="K1768" s="3">
        <f>COUNTIFS(FieldDisagreements!D2:D999, A1768)</f>
        <v>1</v>
      </c>
      <c r="L1768" s="3" t="b">
        <f>K1768 &gt; 0</f>
        <v>1</v>
      </c>
      <c r="M1768" s="2" t="s">
        <v>2387</v>
      </c>
    </row>
    <row r="1769">
      <c r="A1769" s="2" t="s">
        <v>5685</v>
      </c>
      <c r="B1769" s="3" t="str">
        <f>C1769 &amp; "." &amp; D1769</f>
        <v>KnowledgeBrokerLinks.DaysSinceConsulted</v>
      </c>
      <c r="C1769" s="2" t="s">
        <v>1881</v>
      </c>
      <c r="D1769" s="2" t="s">
        <v>5686</v>
      </c>
      <c r="E1769" s="2" t="s">
        <v>2389</v>
      </c>
      <c r="F1769" s="2" t="s">
        <v>2439</v>
      </c>
      <c r="G1769" s="2" t="s">
        <v>5687</v>
      </c>
      <c r="H1769" s="2" t="s">
        <v>2364</v>
      </c>
      <c r="I1769" s="3" t="b">
        <f>OR(E1769 = "calculated", E1769 = "lookup", E1769 = "aggregation")</f>
        <v>1</v>
      </c>
      <c r="J1769" s="3" t="b">
        <f>H1769 &lt;&gt; ""</f>
        <v>1</v>
      </c>
      <c r="K1769" s="3">
        <f>COUNTIFS(FieldDisagreements!D2:D999, A1769)</f>
        <v>0</v>
      </c>
      <c r="L1769" s="3" t="b">
        <f>K1769 &gt; 0</f>
        <v>0</v>
      </c>
      <c r="M1769" s="2" t="s">
        <v>2387</v>
      </c>
    </row>
    <row r="1770">
      <c r="A1770" s="2" t="s">
        <v>5688</v>
      </c>
      <c r="B1770" s="3" t="str">
        <f>C1770 &amp; "." &amp; D1770</f>
        <v>KnowledgeBrokerLinks.IsActiveReliance</v>
      </c>
      <c r="C1770" s="2" t="s">
        <v>1881</v>
      </c>
      <c r="D1770" s="2" t="s">
        <v>5689</v>
      </c>
      <c r="E1770" s="2" t="s">
        <v>2389</v>
      </c>
      <c r="F1770" s="2" t="s">
        <v>2401</v>
      </c>
      <c r="G1770" s="2" t="s">
        <v>5690</v>
      </c>
      <c r="H1770" s="2" t="s">
        <v>2364</v>
      </c>
      <c r="I1770" s="3" t="b">
        <f>OR(E1770 = "calculated", E1770 = "lookup", E1770 = "aggregation")</f>
        <v>1</v>
      </c>
      <c r="J1770" s="3" t="b">
        <f>H1770 &lt;&gt; ""</f>
        <v>1</v>
      </c>
      <c r="K1770" s="3">
        <f>COUNTIFS(FieldDisagreements!D2:D999, A1770)</f>
        <v>0</v>
      </c>
      <c r="L1770" s="3" t="b">
        <f>K1770 &gt; 0</f>
        <v>0</v>
      </c>
      <c r="M1770" s="2" t="s">
        <v>2387</v>
      </c>
    </row>
    <row r="1771">
      <c r="A1771" s="2" t="s">
        <v>5691</v>
      </c>
      <c r="B1771" s="3" t="str">
        <f>C1771 &amp; "." &amp; D1771</f>
        <v>KnowledgeBrokerLinks.BrokerIsStillEngaged</v>
      </c>
      <c r="C1771" s="2" t="s">
        <v>1881</v>
      </c>
      <c r="D1771" s="2" t="s">
        <v>5692</v>
      </c>
      <c r="E1771" s="2" t="s">
        <v>2478</v>
      </c>
      <c r="F1771" s="2" t="s">
        <v>2401</v>
      </c>
      <c r="G1771" s="2" t="s">
        <v>5693</v>
      </c>
      <c r="H1771" s="2" t="s">
        <v>2364</v>
      </c>
      <c r="I1771" s="3" t="b">
        <f>OR(E1771 = "calculated", E1771 = "lookup", E1771 = "aggregation")</f>
        <v>1</v>
      </c>
      <c r="J1771" s="3" t="b">
        <f>H1771 &lt;&gt; ""</f>
        <v>1</v>
      </c>
      <c r="K1771" s="3">
        <f>COUNTIFS(FieldDisagreements!D2:D999, A1771)</f>
        <v>0</v>
      </c>
      <c r="L1771" s="3" t="b">
        <f>K1771 &gt; 0</f>
        <v>0</v>
      </c>
      <c r="M1771" s="2" t="s">
        <v>2387</v>
      </c>
    </row>
    <row r="1772">
      <c r="A1772" s="2" t="s">
        <v>5694</v>
      </c>
      <c r="B1772" s="3" t="str">
        <f>C1772 &amp; "." &amp; D1772</f>
        <v>KnowledgeBrokerLinks.IsAtRiskReliance</v>
      </c>
      <c r="C1772" s="2" t="s">
        <v>1881</v>
      </c>
      <c r="D1772" s="2" t="s">
        <v>5695</v>
      </c>
      <c r="E1772" s="2" t="s">
        <v>2389</v>
      </c>
      <c r="F1772" s="2" t="s">
        <v>2401</v>
      </c>
      <c r="G1772" s="2" t="s">
        <v>5696</v>
      </c>
      <c r="H1772" s="2" t="s">
        <v>2364</v>
      </c>
      <c r="I1772" s="3" t="b">
        <f>OR(E1772 = "calculated", E1772 = "lookup", E1772 = "aggregation")</f>
        <v>1</v>
      </c>
      <c r="J1772" s="3" t="b">
        <f>H1772 &lt;&gt; ""</f>
        <v>1</v>
      </c>
      <c r="K1772" s="3">
        <f>COUNTIFS(FieldDisagreements!D2:D999, A1772)</f>
        <v>0</v>
      </c>
      <c r="L1772" s="3" t="b">
        <f>K1772 &gt; 0</f>
        <v>0</v>
      </c>
      <c r="M1772" s="2" t="s">
        <v>2387</v>
      </c>
    </row>
    <row r="1773">
      <c r="A1773" s="2" t="s">
        <v>5697</v>
      </c>
      <c r="B1773" s="3" t="str">
        <f>C1773 &amp; "." &amp; D1773</f>
        <v>KnowledgeBrokerLinks.ActiveRelianceBrokerKey</v>
      </c>
      <c r="C1773" s="2" t="s">
        <v>1881</v>
      </c>
      <c r="D1773" s="2" t="s">
        <v>5698</v>
      </c>
      <c r="E1773" s="2" t="s">
        <v>2389</v>
      </c>
      <c r="F1773" s="2" t="s">
        <v>2386</v>
      </c>
      <c r="G1773" s="2" t="s">
        <v>5699</v>
      </c>
      <c r="H1773" s="2" t="s">
        <v>2364</v>
      </c>
      <c r="I1773" s="3" t="b">
        <f>OR(E1773 = "calculated", E1773 = "lookup", E1773 = "aggregation")</f>
        <v>1</v>
      </c>
      <c r="J1773" s="3" t="b">
        <f>H1773 &lt;&gt; ""</f>
        <v>1</v>
      </c>
      <c r="K1773" s="3">
        <f>COUNTIFS(FieldDisagreements!D2:D999, A1773)</f>
        <v>0</v>
      </c>
      <c r="L1773" s="3" t="b">
        <f>K1773 &gt; 0</f>
        <v>0</v>
      </c>
      <c r="M1773" s="2" t="s">
        <v>2387</v>
      </c>
    </row>
    <row r="1774">
      <c r="A1774" s="2" t="s">
        <v>5700</v>
      </c>
      <c r="B1774" s="3" t="str">
        <f>C1774 &amp; "." &amp; D1774</f>
        <v>KnowledgeBrokerLinks.AtRiskBrokerKey</v>
      </c>
      <c r="C1774" s="2" t="s">
        <v>1881</v>
      </c>
      <c r="D1774" s="2" t="s">
        <v>5701</v>
      </c>
      <c r="E1774" s="2" t="s">
        <v>2389</v>
      </c>
      <c r="F1774" s="2" t="s">
        <v>2386</v>
      </c>
      <c r="G1774" s="2" t="s">
        <v>5702</v>
      </c>
      <c r="H1774" s="2" t="s">
        <v>2364</v>
      </c>
      <c r="I1774" s="3" t="b">
        <f>OR(E1774 = "calculated", E1774 = "lookup", E1774 = "aggregation")</f>
        <v>1</v>
      </c>
      <c r="J1774" s="3" t="b">
        <f>H1774 &lt;&gt; ""</f>
        <v>1</v>
      </c>
      <c r="K1774" s="3">
        <f>COUNTIFS(FieldDisagreements!D2:D999, A1774)</f>
        <v>0</v>
      </c>
      <c r="L1774" s="3" t="b">
        <f>K1774 &gt; 0</f>
        <v>0</v>
      </c>
      <c r="M1774" s="2" t="s">
        <v>2387</v>
      </c>
    </row>
    <row r="1775">
      <c r="A1775" s="2" t="s">
        <v>5703</v>
      </c>
      <c r="B1775" s="3" t="str">
        <f>C1775 &amp; "." &amp; D1775</f>
        <v>KnowledgeBrokerLinks.SemanticTypeIri</v>
      </c>
      <c r="C1775" s="2" t="s">
        <v>1881</v>
      </c>
      <c r="D1775" s="2" t="s">
        <v>94</v>
      </c>
      <c r="E1775" s="2" t="s">
        <v>2385</v>
      </c>
      <c r="F1775" s="2" t="s">
        <v>2386</v>
      </c>
      <c r="G1775" s="2"/>
      <c r="H1775" s="2" t="s">
        <v>2364</v>
      </c>
      <c r="I1775" s="3" t="b">
        <f>OR(E1775 = "calculated", E1775 = "lookup", E1775 = "aggregation")</f>
        <v>0</v>
      </c>
      <c r="J1775" s="3" t="b">
        <f>H1775 &lt;&gt; ""</f>
        <v>1</v>
      </c>
      <c r="K1775" s="3">
        <f>COUNTIFS(FieldDisagreements!D2:D999, A1775)</f>
        <v>0</v>
      </c>
      <c r="L1775" s="3" t="b">
        <f>K1775 &gt; 0</f>
        <v>0</v>
      </c>
      <c r="M1775" s="2" t="s">
        <v>2387</v>
      </c>
    </row>
    <row r="1776">
      <c r="A1776" s="2" t="s">
        <v>5704</v>
      </c>
      <c r="B1776" s="3" t="str">
        <f>C1776 &amp; "." &amp; D1776</f>
        <v>ConformanceSubstrates.ConformanceSubstrateId</v>
      </c>
      <c r="C1776" s="2" t="s">
        <v>1885</v>
      </c>
      <c r="D1776" s="2" t="s">
        <v>5705</v>
      </c>
      <c r="E1776" s="2" t="s">
        <v>2385</v>
      </c>
      <c r="F1776" s="2" t="s">
        <v>2386</v>
      </c>
      <c r="G1776" s="2"/>
      <c r="H1776" s="2"/>
      <c r="I1776" s="3" t="b">
        <f>OR(E1776 = "calculated", E1776 = "lookup", E1776 = "aggregation")</f>
        <v>0</v>
      </c>
      <c r="J1776" s="3" t="b">
        <f>H1776 &lt;&gt; ""</f>
        <v>0</v>
      </c>
      <c r="K1776" s="3">
        <f>COUNTIFS(FieldDisagreements!D2:D999, A1776)</f>
        <v>0</v>
      </c>
      <c r="L1776" s="3" t="b">
        <f>K1776 &gt; 0</f>
        <v>0</v>
      </c>
      <c r="M1776" s="2" t="s">
        <v>2387</v>
      </c>
    </row>
    <row r="1777">
      <c r="A1777" s="2" t="s">
        <v>5706</v>
      </c>
      <c r="B1777" s="3" t="str">
        <f>C1777 &amp; "." &amp; D1777</f>
        <v>ConformanceSubstrates.Name</v>
      </c>
      <c r="C1777" s="2" t="s">
        <v>1885</v>
      </c>
      <c r="D1777" s="2" t="s">
        <v>1</v>
      </c>
      <c r="E1777" s="2" t="s">
        <v>2389</v>
      </c>
      <c r="F1777" s="2" t="s">
        <v>2386</v>
      </c>
      <c r="G1777" s="2" t="s">
        <v>2473</v>
      </c>
      <c r="H1777" s="2"/>
      <c r="I1777" s="3" t="b">
        <f>OR(E1777 = "calculated", E1777 = "lookup", E1777 = "aggregation")</f>
        <v>1</v>
      </c>
      <c r="J1777" s="3" t="b">
        <f>H1777 &lt;&gt; ""</f>
        <v>0</v>
      </c>
      <c r="K1777" s="3">
        <f>COUNTIFS(FieldDisagreements!D2:D999, A1777)</f>
        <v>0</v>
      </c>
      <c r="L1777" s="3" t="b">
        <f>K1777 &gt; 0</f>
        <v>0</v>
      </c>
      <c r="M1777" s="2" t="s">
        <v>2387</v>
      </c>
    </row>
    <row r="1778">
      <c r="A1778" s="2" t="s">
        <v>5707</v>
      </c>
      <c r="B1778" s="3" t="str">
        <f>C1778 &amp; "." &amp; D1778</f>
        <v>ConformanceSubstrates.Label</v>
      </c>
      <c r="C1778" s="2" t="s">
        <v>1885</v>
      </c>
      <c r="D1778" s="2" t="s">
        <v>19</v>
      </c>
      <c r="E1778" s="2" t="s">
        <v>2385</v>
      </c>
      <c r="F1778" s="2" t="s">
        <v>2386</v>
      </c>
      <c r="G1778" s="2"/>
      <c r="H1778" s="2"/>
      <c r="I1778" s="3" t="b">
        <f>OR(E1778 = "calculated", E1778 = "lookup", E1778 = "aggregation")</f>
        <v>0</v>
      </c>
      <c r="J1778" s="3" t="b">
        <f>H1778 &lt;&gt; ""</f>
        <v>0</v>
      </c>
      <c r="K1778" s="3">
        <f>COUNTIFS(FieldDisagreements!D2:D999, A1778)</f>
        <v>0</v>
      </c>
      <c r="L1778" s="3" t="b">
        <f>K1778 &gt; 0</f>
        <v>0</v>
      </c>
      <c r="M1778" s="2" t="s">
        <v>2387</v>
      </c>
    </row>
    <row r="1779">
      <c r="A1779" s="2" t="s">
        <v>5708</v>
      </c>
      <c r="B1779" s="3" t="str">
        <f>C1779 &amp; "." &amp; D1779</f>
        <v>ConformanceSubstrates.Transpiler</v>
      </c>
      <c r="C1779" s="2" t="s">
        <v>1885</v>
      </c>
      <c r="D1779" s="2" t="s">
        <v>5709</v>
      </c>
      <c r="E1779" s="2" t="s">
        <v>2385</v>
      </c>
      <c r="F1779" s="2" t="s">
        <v>2386</v>
      </c>
      <c r="G1779" s="2"/>
      <c r="H1779" s="2"/>
      <c r="I1779" s="3" t="b">
        <f>OR(E1779 = "calculated", E1779 = "lookup", E1779 = "aggregation")</f>
        <v>0</v>
      </c>
      <c r="J1779" s="3" t="b">
        <f>H1779 &lt;&gt; ""</f>
        <v>0</v>
      </c>
      <c r="K1779" s="3">
        <f>COUNTIFS(FieldDisagreements!D2:D999, A1779)</f>
        <v>0</v>
      </c>
      <c r="L1779" s="3" t="b">
        <f>K1779 &gt; 0</f>
        <v>0</v>
      </c>
      <c r="M1779" s="2" t="s">
        <v>2387</v>
      </c>
    </row>
    <row r="1780">
      <c r="A1780" s="2" t="s">
        <v>5710</v>
      </c>
      <c r="B1780" s="3" t="str">
        <f>C1780 &amp; "." &amp; D1780</f>
        <v>ConformanceSubstrates.OutputFolder</v>
      </c>
      <c r="C1780" s="2" t="s">
        <v>1885</v>
      </c>
      <c r="D1780" s="2" t="s">
        <v>5711</v>
      </c>
      <c r="E1780" s="2" t="s">
        <v>2385</v>
      </c>
      <c r="F1780" s="2" t="s">
        <v>2386</v>
      </c>
      <c r="G1780" s="2"/>
      <c r="H1780" s="2"/>
      <c r="I1780" s="3" t="b">
        <f>OR(E1780 = "calculated", E1780 = "lookup", E1780 = "aggregation")</f>
        <v>0</v>
      </c>
      <c r="J1780" s="3" t="b">
        <f>H1780 &lt;&gt; ""</f>
        <v>0</v>
      </c>
      <c r="K1780" s="3">
        <f>COUNTIFS(FieldDisagreements!D2:D999, A1780)</f>
        <v>0</v>
      </c>
      <c r="L1780" s="3" t="b">
        <f>K1780 &gt; 0</f>
        <v>0</v>
      </c>
      <c r="M1780" s="2" t="s">
        <v>2387</v>
      </c>
    </row>
    <row r="1781">
      <c r="A1781" s="2" t="s">
        <v>5712</v>
      </c>
      <c r="B1781" s="3" t="str">
        <f>C1781 &amp; "." &amp; D1781</f>
        <v>ConformanceSubstrates.Engine</v>
      </c>
      <c r="C1781" s="2" t="s">
        <v>1885</v>
      </c>
      <c r="D1781" s="2" t="s">
        <v>5713</v>
      </c>
      <c r="E1781" s="2" t="s">
        <v>2385</v>
      </c>
      <c r="F1781" s="2" t="s">
        <v>2386</v>
      </c>
      <c r="G1781" s="2"/>
      <c r="H1781" s="2"/>
      <c r="I1781" s="3" t="b">
        <f>OR(E1781 = "calculated", E1781 = "lookup", E1781 = "aggregation")</f>
        <v>0</v>
      </c>
      <c r="J1781" s="3" t="b">
        <f>H1781 &lt;&gt; ""</f>
        <v>0</v>
      </c>
      <c r="K1781" s="3">
        <f>COUNTIFS(FieldDisagreements!D2:D999, A1781)</f>
        <v>0</v>
      </c>
      <c r="L1781" s="3" t="b">
        <f>K1781 &gt; 0</f>
        <v>0</v>
      </c>
      <c r="M1781" s="2" t="s">
        <v>2387</v>
      </c>
    </row>
    <row r="1782">
      <c r="A1782" s="2" t="s">
        <v>5714</v>
      </c>
      <c r="B1782" s="3" t="str">
        <f>C1782 &amp; "." &amp; D1782</f>
        <v>ConformanceSubstrates.HowItComputes</v>
      </c>
      <c r="C1782" s="2" t="s">
        <v>1885</v>
      </c>
      <c r="D1782" s="2" t="s">
        <v>5715</v>
      </c>
      <c r="E1782" s="2" t="s">
        <v>2385</v>
      </c>
      <c r="F1782" s="2" t="s">
        <v>2386</v>
      </c>
      <c r="G1782" s="2"/>
      <c r="H1782" s="2"/>
      <c r="I1782" s="3" t="b">
        <f>OR(E1782 = "calculated", E1782 = "lookup", E1782 = "aggregation")</f>
        <v>0</v>
      </c>
      <c r="J1782" s="3" t="b">
        <f>H1782 &lt;&gt; ""</f>
        <v>0</v>
      </c>
      <c r="K1782" s="3">
        <f>COUNTIFS(FieldDisagreements!D2:D999, A1782)</f>
        <v>0</v>
      </c>
      <c r="L1782" s="3" t="b">
        <f>K1782 &gt; 0</f>
        <v>0</v>
      </c>
      <c r="M1782" s="2" t="s">
        <v>2387</v>
      </c>
    </row>
    <row r="1783">
      <c r="A1783" s="2" t="s">
        <v>5716</v>
      </c>
      <c r="B1783" s="3" t="str">
        <f>C1783 &amp; "." &amp; D1783</f>
        <v>ConformanceSubstrates.Role</v>
      </c>
      <c r="C1783" s="2" t="s">
        <v>1885</v>
      </c>
      <c r="D1783" s="2" t="s">
        <v>253</v>
      </c>
      <c r="E1783" s="2" t="s">
        <v>2385</v>
      </c>
      <c r="F1783" s="2" t="s">
        <v>2386</v>
      </c>
      <c r="G1783" s="2"/>
      <c r="H1783" s="2"/>
      <c r="I1783" s="3" t="b">
        <f>OR(E1783 = "calculated", E1783 = "lookup", E1783 = "aggregation")</f>
        <v>0</v>
      </c>
      <c r="J1783" s="3" t="b">
        <f>H1783 &lt;&gt; ""</f>
        <v>0</v>
      </c>
      <c r="K1783" s="3">
        <f>COUNTIFS(FieldDisagreements!D2:D999, A1783)</f>
        <v>0</v>
      </c>
      <c r="L1783" s="3" t="b">
        <f>K1783 &gt; 0</f>
        <v>0</v>
      </c>
      <c r="M1783" s="2" t="s">
        <v>2387</v>
      </c>
    </row>
    <row r="1784">
      <c r="A1784" s="2" t="s">
        <v>5717</v>
      </c>
      <c r="B1784" s="3" t="str">
        <f>C1784 &amp; "." &amp; D1784</f>
        <v>ConformanceSubstrates.SortOrder</v>
      </c>
      <c r="C1784" s="2" t="s">
        <v>1885</v>
      </c>
      <c r="D1784" s="2" t="s">
        <v>5215</v>
      </c>
      <c r="E1784" s="2" t="s">
        <v>2385</v>
      </c>
      <c r="F1784" s="2" t="s">
        <v>2444</v>
      </c>
      <c r="G1784" s="2"/>
      <c r="H1784" s="2"/>
      <c r="I1784" s="3" t="b">
        <f>OR(E1784 = "calculated", E1784 = "lookup", E1784 = "aggregation")</f>
        <v>0</v>
      </c>
      <c r="J1784" s="3" t="b">
        <f>H1784 &lt;&gt; ""</f>
        <v>0</v>
      </c>
      <c r="K1784" s="3">
        <f>COUNTIFS(FieldDisagreements!D2:D999, A1784)</f>
        <v>0</v>
      </c>
      <c r="L1784" s="3" t="b">
        <f>K1784 &gt; 0</f>
        <v>0</v>
      </c>
      <c r="M1784" s="2" t="s">
        <v>2387</v>
      </c>
    </row>
    <row r="1785">
      <c r="A1785" s="2" t="s">
        <v>5718</v>
      </c>
      <c r="B1785" s="3" t="str">
        <f>C1785 &amp; "." &amp; D1785</f>
        <v>ConformanceSubstrates.IsGraded</v>
      </c>
      <c r="C1785" s="2" t="s">
        <v>1885</v>
      </c>
      <c r="D1785" s="2" t="s">
        <v>5719</v>
      </c>
      <c r="E1785" s="2" t="s">
        <v>2389</v>
      </c>
      <c r="F1785" s="2" t="s">
        <v>2401</v>
      </c>
      <c r="G1785" s="2" t="s">
        <v>5720</v>
      </c>
      <c r="H1785" s="2" t="s">
        <v>2368</v>
      </c>
      <c r="I1785" s="3" t="b">
        <f>OR(E1785 = "calculated", E1785 = "lookup", E1785 = "aggregation")</f>
        <v>1</v>
      </c>
      <c r="J1785" s="3" t="b">
        <f>H1785 &lt;&gt; ""</f>
        <v>1</v>
      </c>
      <c r="K1785" s="3">
        <f>COUNTIFS(FieldDisagreements!D2:D999, A1785)</f>
        <v>0</v>
      </c>
      <c r="L1785" s="3" t="b">
        <f>K1785 &gt; 0</f>
        <v>0</v>
      </c>
      <c r="M1785" s="2" t="s">
        <v>2387</v>
      </c>
    </row>
    <row r="1786">
      <c r="A1786" s="2" t="s">
        <v>5721</v>
      </c>
      <c r="B1786" s="3" t="str">
        <f>C1786 &amp; "." &amp; D1786</f>
        <v>ConformanceSubstrates.RunCount</v>
      </c>
      <c r="C1786" s="2" t="s">
        <v>1885</v>
      </c>
      <c r="D1786" s="2" t="s">
        <v>5722</v>
      </c>
      <c r="E1786" s="2" t="s">
        <v>2438</v>
      </c>
      <c r="F1786" s="2" t="s">
        <v>2444</v>
      </c>
      <c r="G1786" s="2" t="s">
        <v>5723</v>
      </c>
      <c r="H1786" s="2" t="s">
        <v>2368</v>
      </c>
      <c r="I1786" s="3" t="b">
        <f>OR(E1786 = "calculated", E1786 = "lookup", E1786 = "aggregation")</f>
        <v>1</v>
      </c>
      <c r="J1786" s="3" t="b">
        <f>H1786 &lt;&gt; ""</f>
        <v>1</v>
      </c>
      <c r="K1786" s="3">
        <f>COUNTIFS(FieldDisagreements!D2:D999, A1786)</f>
        <v>0</v>
      </c>
      <c r="L1786" s="3" t="b">
        <f>K1786 &gt; 0</f>
        <v>0</v>
      </c>
      <c r="M1786" s="2" t="s">
        <v>2387</v>
      </c>
    </row>
    <row r="1787">
      <c r="A1787" s="2" t="s">
        <v>5724</v>
      </c>
      <c r="B1787" s="3" t="str">
        <f>C1787 &amp; "." &amp; D1787</f>
        <v>ConformanceSubstrates.LatestCellsTested</v>
      </c>
      <c r="C1787" s="2" t="s">
        <v>1885</v>
      </c>
      <c r="D1787" s="2" t="s">
        <v>5725</v>
      </c>
      <c r="E1787" s="2" t="s">
        <v>2438</v>
      </c>
      <c r="F1787" s="2" t="s">
        <v>2444</v>
      </c>
      <c r="G1787" s="2" t="s">
        <v>5726</v>
      </c>
      <c r="H1787" s="2" t="s">
        <v>2368</v>
      </c>
      <c r="I1787" s="3" t="b">
        <f>OR(E1787 = "calculated", E1787 = "lookup", E1787 = "aggregation")</f>
        <v>1</v>
      </c>
      <c r="J1787" s="3" t="b">
        <f>H1787 &lt;&gt; ""</f>
        <v>1</v>
      </c>
      <c r="K1787" s="3">
        <f>COUNTIFS(FieldDisagreements!D2:D999, A1787)</f>
        <v>0</v>
      </c>
      <c r="L1787" s="3" t="b">
        <f>K1787 &gt; 0</f>
        <v>0</v>
      </c>
      <c r="M1787" s="2" t="s">
        <v>2387</v>
      </c>
    </row>
    <row r="1788">
      <c r="A1788" s="2" t="s">
        <v>5727</v>
      </c>
      <c r="B1788" s="3" t="str">
        <f>C1788 &amp; "." &amp; D1788</f>
        <v>ConformanceSubstrates.LatestCellsPassed</v>
      </c>
      <c r="C1788" s="2" t="s">
        <v>1885</v>
      </c>
      <c r="D1788" s="2" t="s">
        <v>5728</v>
      </c>
      <c r="E1788" s="2" t="s">
        <v>2438</v>
      </c>
      <c r="F1788" s="2" t="s">
        <v>2444</v>
      </c>
      <c r="G1788" s="2" t="s">
        <v>5729</v>
      </c>
      <c r="H1788" s="2" t="s">
        <v>2368</v>
      </c>
      <c r="I1788" s="3" t="b">
        <f>OR(E1788 = "calculated", E1788 = "lookup", E1788 = "aggregation")</f>
        <v>1</v>
      </c>
      <c r="J1788" s="3" t="b">
        <f>H1788 &lt;&gt; ""</f>
        <v>1</v>
      </c>
      <c r="K1788" s="3">
        <f>COUNTIFS(FieldDisagreements!D2:D999, A1788)</f>
        <v>0</v>
      </c>
      <c r="L1788" s="3" t="b">
        <f>K1788 &gt; 0</f>
        <v>0</v>
      </c>
      <c r="M1788" s="2" t="s">
        <v>2387</v>
      </c>
    </row>
    <row r="1789">
      <c r="A1789" s="2" t="s">
        <v>5730</v>
      </c>
      <c r="B1789" s="3" t="str">
        <f>C1789 &amp; "." &amp; D1789</f>
        <v>ConformanceSubstrates.LatestHarnessErrors</v>
      </c>
      <c r="C1789" s="2" t="s">
        <v>1885</v>
      </c>
      <c r="D1789" s="2" t="s">
        <v>5731</v>
      </c>
      <c r="E1789" s="2" t="s">
        <v>2438</v>
      </c>
      <c r="F1789" s="2" t="s">
        <v>2444</v>
      </c>
      <c r="G1789" s="2" t="s">
        <v>5732</v>
      </c>
      <c r="H1789" s="2" t="s">
        <v>2368</v>
      </c>
      <c r="I1789" s="3" t="b">
        <f>OR(E1789 = "calculated", E1789 = "lookup", E1789 = "aggregation")</f>
        <v>1</v>
      </c>
      <c r="J1789" s="3" t="b">
        <f>H1789 &lt;&gt; ""</f>
        <v>1</v>
      </c>
      <c r="K1789" s="3">
        <f>COUNTIFS(FieldDisagreements!D2:D999, A1789)</f>
        <v>0</v>
      </c>
      <c r="L1789" s="3" t="b">
        <f>K1789 &gt; 0</f>
        <v>0</v>
      </c>
      <c r="M1789" s="2" t="s">
        <v>2387</v>
      </c>
    </row>
    <row r="1790">
      <c r="A1790" s="2" t="s">
        <v>5733</v>
      </c>
      <c r="B1790" s="3" t="str">
        <f>C1790 &amp; "." &amp; D1790</f>
        <v>ConformanceSubstrates.LatestCellsFailed</v>
      </c>
      <c r="C1790" s="2" t="s">
        <v>1885</v>
      </c>
      <c r="D1790" s="2" t="s">
        <v>5734</v>
      </c>
      <c r="E1790" s="2" t="s">
        <v>2389</v>
      </c>
      <c r="F1790" s="2" t="s">
        <v>2444</v>
      </c>
      <c r="G1790" s="2" t="s">
        <v>5735</v>
      </c>
      <c r="H1790" s="2" t="s">
        <v>2368</v>
      </c>
      <c r="I1790" s="3" t="b">
        <f>OR(E1790 = "calculated", E1790 = "lookup", E1790 = "aggregation")</f>
        <v>1</v>
      </c>
      <c r="J1790" s="3" t="b">
        <f>H1790 &lt;&gt; ""</f>
        <v>1</v>
      </c>
      <c r="K1790" s="3">
        <f>COUNTIFS(FieldDisagreements!D2:D999, A1790)</f>
        <v>0</v>
      </c>
      <c r="L1790" s="3" t="b">
        <f>K1790 &gt; 0</f>
        <v>0</v>
      </c>
      <c r="M1790" s="2" t="s">
        <v>2387</v>
      </c>
    </row>
    <row r="1791">
      <c r="A1791" s="2" t="s">
        <v>5736</v>
      </c>
      <c r="B1791" s="3" t="str">
        <f>C1791 &amp; "." &amp; D1791</f>
        <v>ConformanceSubstrates.LatestScore</v>
      </c>
      <c r="C1791" s="2" t="s">
        <v>1885</v>
      </c>
      <c r="D1791" s="2" t="s">
        <v>5737</v>
      </c>
      <c r="E1791" s="2" t="s">
        <v>2389</v>
      </c>
      <c r="F1791" s="2" t="s">
        <v>2444</v>
      </c>
      <c r="G1791" s="2" t="s">
        <v>5738</v>
      </c>
      <c r="H1791" s="2" t="s">
        <v>2368</v>
      </c>
      <c r="I1791" s="3" t="b">
        <f>OR(E1791 = "calculated", E1791 = "lookup", E1791 = "aggregation")</f>
        <v>1</v>
      </c>
      <c r="J1791" s="3" t="b">
        <f>H1791 &lt;&gt; ""</f>
        <v>1</v>
      </c>
      <c r="K1791" s="3">
        <f>COUNTIFS(FieldDisagreements!D2:D999, A1791)</f>
        <v>0</v>
      </c>
      <c r="L1791" s="3" t="b">
        <f>K1791 &gt; 0</f>
        <v>0</v>
      </c>
      <c r="M1791" s="2" t="s">
        <v>2387</v>
      </c>
    </row>
    <row r="1792">
      <c r="A1792" s="2" t="s">
        <v>5739</v>
      </c>
      <c r="B1792" s="3" t="str">
        <f>C1792 &amp; "." &amp; D1792</f>
        <v>ConformanceSubstrates.DisagreeingFieldCount</v>
      </c>
      <c r="C1792" s="2" t="s">
        <v>1885</v>
      </c>
      <c r="D1792" s="2" t="s">
        <v>5740</v>
      </c>
      <c r="E1792" s="2" t="s">
        <v>2438</v>
      </c>
      <c r="F1792" s="2" t="s">
        <v>2444</v>
      </c>
      <c r="G1792" s="2" t="s">
        <v>5741</v>
      </c>
      <c r="H1792" s="2" t="s">
        <v>2368</v>
      </c>
      <c r="I1792" s="3" t="b">
        <f>OR(E1792 = "calculated", E1792 = "lookup", E1792 = "aggregation")</f>
        <v>1</v>
      </c>
      <c r="J1792" s="3" t="b">
        <f>H1792 &lt;&gt; ""</f>
        <v>1</v>
      </c>
      <c r="K1792" s="3">
        <f>COUNTIFS(FieldDisagreements!D2:D999, A1792)</f>
        <v>0</v>
      </c>
      <c r="L1792" s="3" t="b">
        <f>K1792 &gt; 0</f>
        <v>0</v>
      </c>
      <c r="M1792" s="2" t="s">
        <v>2387</v>
      </c>
    </row>
    <row r="1793">
      <c r="A1793" s="2" t="s">
        <v>5742</v>
      </c>
      <c r="B1793" s="3" t="str">
        <f>C1793 &amp; "." &amp; D1793</f>
        <v>ConformanceSubstrates.DisagreeingTableCount</v>
      </c>
      <c r="C1793" s="2" t="s">
        <v>1885</v>
      </c>
      <c r="D1793" s="2" t="s">
        <v>5743</v>
      </c>
      <c r="E1793" s="2" t="s">
        <v>2438</v>
      </c>
      <c r="F1793" s="2" t="s">
        <v>2444</v>
      </c>
      <c r="G1793" s="2" t="s">
        <v>5744</v>
      </c>
      <c r="H1793" s="2" t="s">
        <v>2368</v>
      </c>
      <c r="I1793" s="3" t="b">
        <f>OR(E1793 = "calculated", E1793 = "lookup", E1793 = "aggregation")</f>
        <v>1</v>
      </c>
      <c r="J1793" s="3" t="b">
        <f>H1793 &lt;&gt; ""</f>
        <v>1</v>
      </c>
      <c r="K1793" s="3">
        <f>COUNTIFS(FieldDisagreements!D2:D999, A1793)</f>
        <v>0</v>
      </c>
      <c r="L1793" s="3" t="b">
        <f>K1793 &gt; 0</f>
        <v>0</v>
      </c>
      <c r="M1793" s="2" t="s">
        <v>2387</v>
      </c>
    </row>
    <row r="1794">
      <c r="A1794" s="2" t="s">
        <v>5745</v>
      </c>
      <c r="B1794" s="3" t="str">
        <f>C1794 &amp; "." &amp; D1794</f>
        <v>ConformanceSubstrates.IsFullyConformant</v>
      </c>
      <c r="C1794" s="2" t="s">
        <v>1885</v>
      </c>
      <c r="D1794" s="2" t="s">
        <v>5746</v>
      </c>
      <c r="E1794" s="2" t="s">
        <v>2389</v>
      </c>
      <c r="F1794" s="2" t="s">
        <v>2401</v>
      </c>
      <c r="G1794" s="2" t="s">
        <v>5747</v>
      </c>
      <c r="H1794" s="2" t="s">
        <v>2368</v>
      </c>
      <c r="I1794" s="3" t="b">
        <f>OR(E1794 = "calculated", E1794 = "lookup", E1794 = "aggregation")</f>
        <v>1</v>
      </c>
      <c r="J1794" s="3" t="b">
        <f>H1794 &lt;&gt; ""</f>
        <v>1</v>
      </c>
      <c r="K1794" s="3">
        <f>COUNTIFS(FieldDisagreements!D2:D999, A1794)</f>
        <v>0</v>
      </c>
      <c r="L1794" s="3" t="b">
        <f>K1794 &gt; 0</f>
        <v>0</v>
      </c>
      <c r="M1794" s="2" t="s">
        <v>2387</v>
      </c>
    </row>
    <row r="1795">
      <c r="A1795" s="2" t="s">
        <v>5748</v>
      </c>
      <c r="B1795" s="3" t="str">
        <f>C1795 &amp; "." &amp; D1795</f>
        <v>ConformanceSubstrates.SemanticTypeIri</v>
      </c>
      <c r="C1795" s="2" t="s">
        <v>1885</v>
      </c>
      <c r="D1795" s="2" t="s">
        <v>94</v>
      </c>
      <c r="E1795" s="2" t="s">
        <v>2385</v>
      </c>
      <c r="F1795" s="2" t="s">
        <v>2386</v>
      </c>
      <c r="G1795" s="2"/>
      <c r="H1795" s="2"/>
      <c r="I1795" s="3" t="b">
        <f>OR(E1795 = "calculated", E1795 = "lookup", E1795 = "aggregation")</f>
        <v>0</v>
      </c>
      <c r="J1795" s="3" t="b">
        <f>H1795 &lt;&gt; ""</f>
        <v>0</v>
      </c>
      <c r="K1795" s="3">
        <f>COUNTIFS(FieldDisagreements!D2:D999, A1795)</f>
        <v>0</v>
      </c>
      <c r="L1795" s="3" t="b">
        <f>K1795 &gt; 0</f>
        <v>0</v>
      </c>
      <c r="M1795" s="2" t="s">
        <v>2387</v>
      </c>
    </row>
    <row r="1796">
      <c r="A1796" s="2" t="s">
        <v>5749</v>
      </c>
      <c r="B1796" s="3" t="str">
        <f>C1796 &amp; "." &amp; D1796</f>
        <v>ConformanceRuns.ConformanceRunId</v>
      </c>
      <c r="C1796" s="2" t="s">
        <v>1889</v>
      </c>
      <c r="D1796" s="2" t="s">
        <v>5750</v>
      </c>
      <c r="E1796" s="2" t="s">
        <v>2385</v>
      </c>
      <c r="F1796" s="2" t="s">
        <v>2386</v>
      </c>
      <c r="G1796" s="2"/>
      <c r="H1796" s="2"/>
      <c r="I1796" s="3" t="b">
        <f>OR(E1796 = "calculated", E1796 = "lookup", E1796 = "aggregation")</f>
        <v>0</v>
      </c>
      <c r="J1796" s="3" t="b">
        <f>H1796 &lt;&gt; ""</f>
        <v>0</v>
      </c>
      <c r="K1796" s="3">
        <f>COUNTIFS(FieldDisagreements!D2:D999, A1796)</f>
        <v>0</v>
      </c>
      <c r="L1796" s="3" t="b">
        <f>K1796 &gt; 0</f>
        <v>0</v>
      </c>
      <c r="M1796" s="2" t="s">
        <v>2387</v>
      </c>
    </row>
    <row r="1797">
      <c r="A1797" s="2" t="s">
        <v>5751</v>
      </c>
      <c r="B1797" s="3" t="str">
        <f>C1797 &amp; "." &amp; D1797</f>
        <v>ConformanceRuns.Name</v>
      </c>
      <c r="C1797" s="2" t="s">
        <v>1889</v>
      </c>
      <c r="D1797" s="2" t="s">
        <v>1</v>
      </c>
      <c r="E1797" s="2" t="s">
        <v>2389</v>
      </c>
      <c r="F1797" s="2" t="s">
        <v>2386</v>
      </c>
      <c r="G1797" s="2" t="s">
        <v>5752</v>
      </c>
      <c r="H1797" s="2"/>
      <c r="I1797" s="3" t="b">
        <f>OR(E1797 = "calculated", E1797 = "lookup", E1797 = "aggregation")</f>
        <v>1</v>
      </c>
      <c r="J1797" s="3" t="b">
        <f>H1797 &lt;&gt; ""</f>
        <v>0</v>
      </c>
      <c r="K1797" s="3">
        <f>COUNTIFS(FieldDisagreements!D2:D999, A1797)</f>
        <v>0</v>
      </c>
      <c r="L1797" s="3" t="b">
        <f>K1797 &gt; 0</f>
        <v>0</v>
      </c>
      <c r="M1797" s="2" t="s">
        <v>2387</v>
      </c>
    </row>
    <row r="1798">
      <c r="A1798" s="2" t="s">
        <v>5753</v>
      </c>
      <c r="B1798" s="3" t="str">
        <f>C1798 &amp; "." &amp; D1798</f>
        <v>ConformanceRuns.RanOn</v>
      </c>
      <c r="C1798" s="2" t="s">
        <v>1889</v>
      </c>
      <c r="D1798" s="2" t="s">
        <v>5754</v>
      </c>
      <c r="E1798" s="2" t="s">
        <v>2385</v>
      </c>
      <c r="F1798" s="2" t="s">
        <v>2397</v>
      </c>
      <c r="G1798" s="2"/>
      <c r="H1798" s="2"/>
      <c r="I1798" s="3" t="b">
        <f>OR(E1798 = "calculated", E1798 = "lookup", E1798 = "aggregation")</f>
        <v>0</v>
      </c>
      <c r="J1798" s="3" t="b">
        <f>H1798 &lt;&gt; ""</f>
        <v>0</v>
      </c>
      <c r="K1798" s="3">
        <f>COUNTIFS(FieldDisagreements!D2:D999, A1798)</f>
        <v>0</v>
      </c>
      <c r="L1798" s="3" t="b">
        <f>K1798 &gt; 0</f>
        <v>0</v>
      </c>
      <c r="M1798" s="2" t="s">
        <v>2387</v>
      </c>
    </row>
    <row r="1799">
      <c r="A1799" s="2" t="s">
        <v>5755</v>
      </c>
      <c r="B1799" s="3" t="str">
        <f>C1799 &amp; "." &amp; D1799</f>
        <v>ConformanceRuns.RulebookCommit</v>
      </c>
      <c r="C1799" s="2" t="s">
        <v>1889</v>
      </c>
      <c r="D1799" s="2" t="s">
        <v>5756</v>
      </c>
      <c r="E1799" s="2" t="s">
        <v>2385</v>
      </c>
      <c r="F1799" s="2" t="s">
        <v>2386</v>
      </c>
      <c r="G1799" s="2"/>
      <c r="H1799" s="2"/>
      <c r="I1799" s="3" t="b">
        <f>OR(E1799 = "calculated", E1799 = "lookup", E1799 = "aggregation")</f>
        <v>0</v>
      </c>
      <c r="J1799" s="3" t="b">
        <f>H1799 &lt;&gt; ""</f>
        <v>0</v>
      </c>
      <c r="K1799" s="3">
        <f>COUNTIFS(FieldDisagreements!D2:D999, A1799)</f>
        <v>0</v>
      </c>
      <c r="L1799" s="3" t="b">
        <f>K1799 &gt; 0</f>
        <v>0</v>
      </c>
      <c r="M1799" s="2" t="s">
        <v>2387</v>
      </c>
    </row>
    <row r="1800">
      <c r="A1800" s="2" t="s">
        <v>5757</v>
      </c>
      <c r="B1800" s="3" t="str">
        <f>C1800 &amp; "." &amp; D1800</f>
        <v>ConformanceRuns.AnswerKeyAuthor</v>
      </c>
      <c r="C1800" s="2" t="s">
        <v>1889</v>
      </c>
      <c r="D1800" s="2" t="s">
        <v>5758</v>
      </c>
      <c r="E1800" s="2" t="s">
        <v>2434</v>
      </c>
      <c r="F1800" s="2" t="s">
        <v>2386</v>
      </c>
      <c r="G1800" s="2"/>
      <c r="H1800" s="2"/>
      <c r="I1800" s="3" t="b">
        <f>OR(E1800 = "calculated", E1800 = "lookup", E1800 = "aggregation")</f>
        <v>0</v>
      </c>
      <c r="J1800" s="3" t="b">
        <f>H1800 &lt;&gt; ""</f>
        <v>0</v>
      </c>
      <c r="K1800" s="3">
        <f>COUNTIFS(FieldDisagreements!D2:D999, A1800)</f>
        <v>0</v>
      </c>
      <c r="L1800" s="3" t="b">
        <f>K1800 &gt; 0</f>
        <v>0</v>
      </c>
      <c r="M1800" s="2" t="s">
        <v>2387</v>
      </c>
    </row>
    <row r="1801">
      <c r="A1801" s="2" t="s">
        <v>5759</v>
      </c>
      <c r="B1801" s="3" t="str">
        <f>C1801 &amp; "." &amp; D1801</f>
        <v>ConformanceRuns.IsLatest</v>
      </c>
      <c r="C1801" s="2" t="s">
        <v>1889</v>
      </c>
      <c r="D1801" s="2" t="s">
        <v>5760</v>
      </c>
      <c r="E1801" s="2" t="s">
        <v>2385</v>
      </c>
      <c r="F1801" s="2" t="s">
        <v>2401</v>
      </c>
      <c r="G1801" s="2"/>
      <c r="H1801" s="2"/>
      <c r="I1801" s="3" t="b">
        <f>OR(E1801 = "calculated", E1801 = "lookup", E1801 = "aggregation")</f>
        <v>0</v>
      </c>
      <c r="J1801" s="3" t="b">
        <f>H1801 &lt;&gt; ""</f>
        <v>0</v>
      </c>
      <c r="K1801" s="3">
        <f>COUNTIFS(FieldDisagreements!D2:D999, A1801)</f>
        <v>0</v>
      </c>
      <c r="L1801" s="3" t="b">
        <f>K1801 &gt; 0</f>
        <v>0</v>
      </c>
      <c r="M1801" s="2" t="s">
        <v>2387</v>
      </c>
    </row>
    <row r="1802">
      <c r="A1802" s="2" t="s">
        <v>5761</v>
      </c>
      <c r="B1802" s="3" t="str">
        <f>C1802 &amp; "." &amp; D1802</f>
        <v>ConformanceRuns.Notes</v>
      </c>
      <c r="C1802" s="2" t="s">
        <v>1889</v>
      </c>
      <c r="D1802" s="2" t="s">
        <v>1740</v>
      </c>
      <c r="E1802" s="2" t="s">
        <v>2385</v>
      </c>
      <c r="F1802" s="2" t="s">
        <v>2386</v>
      </c>
      <c r="G1802" s="2"/>
      <c r="H1802" s="2"/>
      <c r="I1802" s="3" t="b">
        <f>OR(E1802 = "calculated", E1802 = "lookup", E1802 = "aggregation")</f>
        <v>0</v>
      </c>
      <c r="J1802" s="3" t="b">
        <f>H1802 &lt;&gt; ""</f>
        <v>0</v>
      </c>
      <c r="K1802" s="3">
        <f>COUNTIFS(FieldDisagreements!D2:D999, A1802)</f>
        <v>0</v>
      </c>
      <c r="L1802" s="3" t="b">
        <f>K1802 &gt; 0</f>
        <v>0</v>
      </c>
      <c r="M1802" s="2" t="s">
        <v>2387</v>
      </c>
    </row>
    <row r="1803">
      <c r="A1803" s="2" t="s">
        <v>5762</v>
      </c>
      <c r="B1803" s="3" t="str">
        <f>C1803 &amp; "." &amp; D1803</f>
        <v>ConformanceRuns.SubstrateCount</v>
      </c>
      <c r="C1803" s="2" t="s">
        <v>1889</v>
      </c>
      <c r="D1803" s="2" t="s">
        <v>5763</v>
      </c>
      <c r="E1803" s="2" t="s">
        <v>2438</v>
      </c>
      <c r="F1803" s="2" t="s">
        <v>2444</v>
      </c>
      <c r="G1803" s="2" t="s">
        <v>5764</v>
      </c>
      <c r="H1803" s="2" t="s">
        <v>2368</v>
      </c>
      <c r="I1803" s="3" t="b">
        <f>OR(E1803 = "calculated", E1803 = "lookup", E1803 = "aggregation")</f>
        <v>1</v>
      </c>
      <c r="J1803" s="3" t="b">
        <f>H1803 &lt;&gt; ""</f>
        <v>1</v>
      </c>
      <c r="K1803" s="3">
        <f>COUNTIFS(FieldDisagreements!D2:D999, A1803)</f>
        <v>0</v>
      </c>
      <c r="L1803" s="3" t="b">
        <f>K1803 &gt; 0</f>
        <v>0</v>
      </c>
      <c r="M1803" s="2" t="s">
        <v>2387</v>
      </c>
    </row>
    <row r="1804">
      <c r="A1804" s="2" t="s">
        <v>5765</v>
      </c>
      <c r="B1804" s="3" t="str">
        <f>C1804 &amp; "." &amp; D1804</f>
        <v>ConformanceRuns.PerfectSubstrateCount</v>
      </c>
      <c r="C1804" s="2" t="s">
        <v>1889</v>
      </c>
      <c r="D1804" s="2" t="s">
        <v>5766</v>
      </c>
      <c r="E1804" s="2" t="s">
        <v>2438</v>
      </c>
      <c r="F1804" s="2" t="s">
        <v>2444</v>
      </c>
      <c r="G1804" s="2" t="s">
        <v>5767</v>
      </c>
      <c r="H1804" s="2" t="s">
        <v>2368</v>
      </c>
      <c r="I1804" s="3" t="b">
        <f>OR(E1804 = "calculated", E1804 = "lookup", E1804 = "aggregation")</f>
        <v>1</v>
      </c>
      <c r="J1804" s="3" t="b">
        <f>H1804 &lt;&gt; ""</f>
        <v>1</v>
      </c>
      <c r="K1804" s="3">
        <f>COUNTIFS(FieldDisagreements!D2:D999, A1804)</f>
        <v>0</v>
      </c>
      <c r="L1804" s="3" t="b">
        <f>K1804 &gt; 0</f>
        <v>0</v>
      </c>
      <c r="M1804" s="2" t="s">
        <v>2387</v>
      </c>
    </row>
    <row r="1805">
      <c r="A1805" s="2" t="s">
        <v>5768</v>
      </c>
      <c r="B1805" s="3" t="str">
        <f>C1805 &amp; "." &amp; D1805</f>
        <v>ConformanceRuns.CellsTested</v>
      </c>
      <c r="C1805" s="2" t="s">
        <v>1889</v>
      </c>
      <c r="D1805" s="2" t="s">
        <v>5769</v>
      </c>
      <c r="E1805" s="2" t="s">
        <v>2438</v>
      </c>
      <c r="F1805" s="2" t="s">
        <v>2444</v>
      </c>
      <c r="G1805" s="2" t="s">
        <v>5770</v>
      </c>
      <c r="H1805" s="2" t="s">
        <v>2368</v>
      </c>
      <c r="I1805" s="3" t="b">
        <f>OR(E1805 = "calculated", E1805 = "lookup", E1805 = "aggregation")</f>
        <v>1</v>
      </c>
      <c r="J1805" s="3" t="b">
        <f>H1805 &lt;&gt; ""</f>
        <v>1</v>
      </c>
      <c r="K1805" s="3">
        <f>COUNTIFS(FieldDisagreements!D2:D999, A1805)</f>
        <v>0</v>
      </c>
      <c r="L1805" s="3" t="b">
        <f>K1805 &gt; 0</f>
        <v>0</v>
      </c>
      <c r="M1805" s="2" t="s">
        <v>2387</v>
      </c>
    </row>
    <row r="1806">
      <c r="A1806" s="2" t="s">
        <v>5771</v>
      </c>
      <c r="B1806" s="3" t="str">
        <f>C1806 &amp; "." &amp; D1806</f>
        <v>ConformanceRuns.CellsPassed</v>
      </c>
      <c r="C1806" s="2" t="s">
        <v>1889</v>
      </c>
      <c r="D1806" s="2" t="s">
        <v>5772</v>
      </c>
      <c r="E1806" s="2" t="s">
        <v>2438</v>
      </c>
      <c r="F1806" s="2" t="s">
        <v>2444</v>
      </c>
      <c r="G1806" s="2" t="s">
        <v>5773</v>
      </c>
      <c r="H1806" s="2" t="s">
        <v>2368</v>
      </c>
      <c r="I1806" s="3" t="b">
        <f>OR(E1806 = "calculated", E1806 = "lookup", E1806 = "aggregation")</f>
        <v>1</v>
      </c>
      <c r="J1806" s="3" t="b">
        <f>H1806 &lt;&gt; ""</f>
        <v>1</v>
      </c>
      <c r="K1806" s="3">
        <f>COUNTIFS(FieldDisagreements!D2:D999, A1806)</f>
        <v>0</v>
      </c>
      <c r="L1806" s="3" t="b">
        <f>K1806 &gt; 0</f>
        <v>0</v>
      </c>
      <c r="M1806" s="2" t="s">
        <v>2387</v>
      </c>
    </row>
    <row r="1807">
      <c r="A1807" s="2" t="s">
        <v>5774</v>
      </c>
      <c r="B1807" s="3" t="str">
        <f>C1807 &amp; "." &amp; D1807</f>
        <v>ConformanceRuns.CellsFailed</v>
      </c>
      <c r="C1807" s="2" t="s">
        <v>1889</v>
      </c>
      <c r="D1807" s="2" t="s">
        <v>5775</v>
      </c>
      <c r="E1807" s="2" t="s">
        <v>2389</v>
      </c>
      <c r="F1807" s="2" t="s">
        <v>2444</v>
      </c>
      <c r="G1807" s="2" t="s">
        <v>5776</v>
      </c>
      <c r="H1807" s="2" t="s">
        <v>2368</v>
      </c>
      <c r="I1807" s="3" t="b">
        <f>OR(E1807 = "calculated", E1807 = "lookup", E1807 = "aggregation")</f>
        <v>1</v>
      </c>
      <c r="J1807" s="3" t="b">
        <f>H1807 &lt;&gt; ""</f>
        <v>1</v>
      </c>
      <c r="K1807" s="3">
        <f>COUNTIFS(FieldDisagreements!D2:D999, A1807)</f>
        <v>0</v>
      </c>
      <c r="L1807" s="3" t="b">
        <f>K1807 &gt; 0</f>
        <v>0</v>
      </c>
      <c r="M1807" s="2" t="s">
        <v>2387</v>
      </c>
    </row>
    <row r="1808">
      <c r="A1808" s="2" t="s">
        <v>5777</v>
      </c>
      <c r="B1808" s="3" t="str">
        <f>C1808 &amp; "." &amp; D1808</f>
        <v>ConformanceRuns.OverallScore</v>
      </c>
      <c r="C1808" s="2" t="s">
        <v>1889</v>
      </c>
      <c r="D1808" s="2" t="s">
        <v>5778</v>
      </c>
      <c r="E1808" s="2" t="s">
        <v>2389</v>
      </c>
      <c r="F1808" s="2" t="s">
        <v>2444</v>
      </c>
      <c r="G1808" s="2" t="s">
        <v>5779</v>
      </c>
      <c r="H1808" s="2" t="s">
        <v>2368</v>
      </c>
      <c r="I1808" s="3" t="b">
        <f>OR(E1808 = "calculated", E1808 = "lookup", E1808 = "aggregation")</f>
        <v>1</v>
      </c>
      <c r="J1808" s="3" t="b">
        <f>H1808 &lt;&gt; ""</f>
        <v>1</v>
      </c>
      <c r="K1808" s="3">
        <f>COUNTIFS(FieldDisagreements!D2:D999, A1808)</f>
        <v>0</v>
      </c>
      <c r="L1808" s="3" t="b">
        <f>K1808 &gt; 0</f>
        <v>0</v>
      </c>
      <c r="M1808" s="2" t="s">
        <v>2387</v>
      </c>
    </row>
    <row r="1809">
      <c r="A1809" s="2" t="s">
        <v>5780</v>
      </c>
      <c r="B1809" s="3" t="str">
        <f>C1809 &amp; "." &amp; D1809</f>
        <v>ConformanceRuns.ImperfectSubstrateCount</v>
      </c>
      <c r="C1809" s="2" t="s">
        <v>1889</v>
      </c>
      <c r="D1809" s="2" t="s">
        <v>5781</v>
      </c>
      <c r="E1809" s="2" t="s">
        <v>2389</v>
      </c>
      <c r="F1809" s="2" t="s">
        <v>2444</v>
      </c>
      <c r="G1809" s="2" t="s">
        <v>5782</v>
      </c>
      <c r="H1809" s="2" t="s">
        <v>2368</v>
      </c>
      <c r="I1809" s="3" t="b">
        <f>OR(E1809 = "calculated", E1809 = "lookup", E1809 = "aggregation")</f>
        <v>1</v>
      </c>
      <c r="J1809" s="3" t="b">
        <f>H1809 &lt;&gt; ""</f>
        <v>1</v>
      </c>
      <c r="K1809" s="3">
        <f>COUNTIFS(FieldDisagreements!D2:D999, A1809)</f>
        <v>0</v>
      </c>
      <c r="L1809" s="3" t="b">
        <f>K1809 &gt; 0</f>
        <v>0</v>
      </c>
      <c r="M1809" s="2" t="s">
        <v>2387</v>
      </c>
    </row>
    <row r="1810">
      <c r="A1810" s="2" t="s">
        <v>5783</v>
      </c>
      <c r="B1810" s="3" t="str">
        <f>C1810 &amp; "." &amp; D1810</f>
        <v>ConformanceRuns.IsFullyConformant</v>
      </c>
      <c r="C1810" s="2" t="s">
        <v>1889</v>
      </c>
      <c r="D1810" s="2" t="s">
        <v>5746</v>
      </c>
      <c r="E1810" s="2" t="s">
        <v>2389</v>
      </c>
      <c r="F1810" s="2" t="s">
        <v>2401</v>
      </c>
      <c r="G1810" s="2" t="s">
        <v>5784</v>
      </c>
      <c r="H1810" s="2" t="s">
        <v>2368</v>
      </c>
      <c r="I1810" s="3" t="b">
        <f>OR(E1810 = "calculated", E1810 = "lookup", E1810 = "aggregation")</f>
        <v>1</v>
      </c>
      <c r="J1810" s="3" t="b">
        <f>H1810 &lt;&gt; ""</f>
        <v>1</v>
      </c>
      <c r="K1810" s="3">
        <f>COUNTIFS(FieldDisagreements!D2:D999, A1810)</f>
        <v>0</v>
      </c>
      <c r="L1810" s="3" t="b">
        <f>K1810 &gt; 0</f>
        <v>0</v>
      </c>
      <c r="M1810" s="2" t="s">
        <v>2387</v>
      </c>
    </row>
    <row r="1811">
      <c r="A1811" s="2" t="s">
        <v>5785</v>
      </c>
      <c r="B1811" s="3" t="str">
        <f>C1811 &amp; "." &amp; D1811</f>
        <v>ConformanceRuns.SemanticTypeIri</v>
      </c>
      <c r="C1811" s="2" t="s">
        <v>1889</v>
      </c>
      <c r="D1811" s="2" t="s">
        <v>94</v>
      </c>
      <c r="E1811" s="2" t="s">
        <v>2385</v>
      </c>
      <c r="F1811" s="2" t="s">
        <v>2386</v>
      </c>
      <c r="G1811" s="2"/>
      <c r="H1811" s="2"/>
      <c r="I1811" s="3" t="b">
        <f>OR(E1811 = "calculated", E1811 = "lookup", E1811 = "aggregation")</f>
        <v>0</v>
      </c>
      <c r="J1811" s="3" t="b">
        <f>H1811 &lt;&gt; ""</f>
        <v>0</v>
      </c>
      <c r="K1811" s="3">
        <f>COUNTIFS(FieldDisagreements!D2:D999, A1811)</f>
        <v>0</v>
      </c>
      <c r="L1811" s="3" t="b">
        <f>K1811 &gt; 0</f>
        <v>0</v>
      </c>
      <c r="M1811" s="2" t="s">
        <v>2387</v>
      </c>
    </row>
    <row r="1812">
      <c r="A1812" s="2" t="s">
        <v>5786</v>
      </c>
      <c r="B1812" s="3" t="str">
        <f>C1812 &amp; "." &amp; D1812</f>
        <v>SubstrateRunScores.SubstrateRunScoreId</v>
      </c>
      <c r="C1812" s="2" t="s">
        <v>1893</v>
      </c>
      <c r="D1812" s="2" t="s">
        <v>5787</v>
      </c>
      <c r="E1812" s="2" t="s">
        <v>2385</v>
      </c>
      <c r="F1812" s="2" t="s">
        <v>2386</v>
      </c>
      <c r="G1812" s="2"/>
      <c r="H1812" s="2"/>
      <c r="I1812" s="3" t="b">
        <f>OR(E1812 = "calculated", E1812 = "lookup", E1812 = "aggregation")</f>
        <v>0</v>
      </c>
      <c r="J1812" s="3" t="b">
        <f>H1812 &lt;&gt; ""</f>
        <v>0</v>
      </c>
      <c r="K1812" s="3">
        <f>COUNTIFS(FieldDisagreements!D2:D999, A1812)</f>
        <v>0</v>
      </c>
      <c r="L1812" s="3" t="b">
        <f>K1812 &gt; 0</f>
        <v>0</v>
      </c>
      <c r="M1812" s="2" t="s">
        <v>2387</v>
      </c>
    </row>
    <row r="1813">
      <c r="A1813" s="2" t="s">
        <v>5788</v>
      </c>
      <c r="B1813" s="3" t="str">
        <f>C1813 &amp; "." &amp; D1813</f>
        <v>SubstrateRunScores.Name</v>
      </c>
      <c r="C1813" s="2" t="s">
        <v>1893</v>
      </c>
      <c r="D1813" s="2" t="s">
        <v>1</v>
      </c>
      <c r="E1813" s="2" t="s">
        <v>2389</v>
      </c>
      <c r="F1813" s="2" t="s">
        <v>2386</v>
      </c>
      <c r="G1813" s="2" t="s">
        <v>5789</v>
      </c>
      <c r="H1813" s="2"/>
      <c r="I1813" s="3" t="b">
        <f>OR(E1813 = "calculated", E1813 = "lookup", E1813 = "aggregation")</f>
        <v>1</v>
      </c>
      <c r="J1813" s="3" t="b">
        <f>H1813 &lt;&gt; ""</f>
        <v>0</v>
      </c>
      <c r="K1813" s="3">
        <f>COUNTIFS(FieldDisagreements!D2:D999, A1813)</f>
        <v>0</v>
      </c>
      <c r="L1813" s="3" t="b">
        <f>K1813 &gt; 0</f>
        <v>0</v>
      </c>
      <c r="M1813" s="2" t="s">
        <v>2387</v>
      </c>
    </row>
    <row r="1814">
      <c r="A1814" s="2" t="s">
        <v>5790</v>
      </c>
      <c r="B1814" s="3" t="str">
        <f>C1814 &amp; "." &amp; D1814</f>
        <v>SubstrateRunScores.Run</v>
      </c>
      <c r="C1814" s="2" t="s">
        <v>1893</v>
      </c>
      <c r="D1814" s="2" t="s">
        <v>5791</v>
      </c>
      <c r="E1814" s="2" t="s">
        <v>2434</v>
      </c>
      <c r="F1814" s="2" t="s">
        <v>2386</v>
      </c>
      <c r="G1814" s="2"/>
      <c r="H1814" s="2"/>
      <c r="I1814" s="3" t="b">
        <f>OR(E1814 = "calculated", E1814 = "lookup", E1814 = "aggregation")</f>
        <v>0</v>
      </c>
      <c r="J1814" s="3" t="b">
        <f>H1814 &lt;&gt; ""</f>
        <v>0</v>
      </c>
      <c r="K1814" s="3">
        <f>COUNTIFS(FieldDisagreements!D2:D999, A1814)</f>
        <v>0</v>
      </c>
      <c r="L1814" s="3" t="b">
        <f>K1814 &gt; 0</f>
        <v>0</v>
      </c>
      <c r="M1814" s="2" t="s">
        <v>2387</v>
      </c>
    </row>
    <row r="1815">
      <c r="A1815" s="2" t="s">
        <v>5792</v>
      </c>
      <c r="B1815" s="3" t="str">
        <f>C1815 &amp; "." &amp; D1815</f>
        <v>SubstrateRunScores.Substrate</v>
      </c>
      <c r="C1815" s="2" t="s">
        <v>1893</v>
      </c>
      <c r="D1815" s="2" t="s">
        <v>5793</v>
      </c>
      <c r="E1815" s="2" t="s">
        <v>2434</v>
      </c>
      <c r="F1815" s="2" t="s">
        <v>2386</v>
      </c>
      <c r="G1815" s="2"/>
      <c r="H1815" s="2"/>
      <c r="I1815" s="3" t="b">
        <f>OR(E1815 = "calculated", E1815 = "lookup", E1815 = "aggregation")</f>
        <v>0</v>
      </c>
      <c r="J1815" s="3" t="b">
        <f>H1815 &lt;&gt; ""</f>
        <v>0</v>
      </c>
      <c r="K1815" s="3">
        <f>COUNTIFS(FieldDisagreements!D2:D999, A1815)</f>
        <v>0</v>
      </c>
      <c r="L1815" s="3" t="b">
        <f>K1815 &gt; 0</f>
        <v>0</v>
      </c>
      <c r="M1815" s="2" t="s">
        <v>2387</v>
      </c>
    </row>
    <row r="1816">
      <c r="A1816" s="2" t="s">
        <v>5794</v>
      </c>
      <c r="B1816" s="3" t="str">
        <f>C1816 &amp; "." &amp; D1816</f>
        <v>SubstrateRunScores.HarnessError</v>
      </c>
      <c r="C1816" s="2" t="s">
        <v>1893</v>
      </c>
      <c r="D1816" s="2" t="s">
        <v>5795</v>
      </c>
      <c r="E1816" s="2" t="s">
        <v>2385</v>
      </c>
      <c r="F1816" s="2" t="s">
        <v>2386</v>
      </c>
      <c r="G1816" s="2"/>
      <c r="H1816" s="2"/>
      <c r="I1816" s="3" t="b">
        <f>OR(E1816 = "calculated", E1816 = "lookup", E1816 = "aggregation")</f>
        <v>0</v>
      </c>
      <c r="J1816" s="3" t="b">
        <f>H1816 &lt;&gt; ""</f>
        <v>0</v>
      </c>
      <c r="K1816" s="3">
        <f>COUNTIFS(FieldDisagreements!D2:D999, A1816)</f>
        <v>0</v>
      </c>
      <c r="L1816" s="3" t="b">
        <f>K1816 &gt; 0</f>
        <v>0</v>
      </c>
      <c r="M1816" s="2" t="s">
        <v>2387</v>
      </c>
    </row>
    <row r="1817">
      <c r="A1817" s="2" t="s">
        <v>5796</v>
      </c>
      <c r="B1817" s="3" t="str">
        <f>C1817 &amp; "." &amp; D1817</f>
        <v>SubstrateRunScores.DurationSeconds</v>
      </c>
      <c r="C1817" s="2" t="s">
        <v>1893</v>
      </c>
      <c r="D1817" s="2" t="s">
        <v>5797</v>
      </c>
      <c r="E1817" s="2" t="s">
        <v>2385</v>
      </c>
      <c r="F1817" s="2" t="s">
        <v>2444</v>
      </c>
      <c r="G1817" s="2"/>
      <c r="H1817" s="2"/>
      <c r="I1817" s="3" t="b">
        <f>OR(E1817 = "calculated", E1817 = "lookup", E1817 = "aggregation")</f>
        <v>0</v>
      </c>
      <c r="J1817" s="3" t="b">
        <f>H1817 &lt;&gt; ""</f>
        <v>0</v>
      </c>
      <c r="K1817" s="3">
        <f>COUNTIFS(FieldDisagreements!D2:D999, A1817)</f>
        <v>0</v>
      </c>
      <c r="L1817" s="3" t="b">
        <f>K1817 &gt; 0</f>
        <v>0</v>
      </c>
      <c r="M1817" s="2" t="s">
        <v>2387</v>
      </c>
    </row>
    <row r="1818">
      <c r="A1818" s="2" t="s">
        <v>5798</v>
      </c>
      <c r="B1818" s="3" t="str">
        <f>C1818 &amp; "." &amp; D1818</f>
        <v>SubstrateRunScores.CellsTested</v>
      </c>
      <c r="C1818" s="2" t="s">
        <v>1893</v>
      </c>
      <c r="D1818" s="2" t="s">
        <v>5769</v>
      </c>
      <c r="E1818" s="2" t="s">
        <v>2385</v>
      </c>
      <c r="F1818" s="2" t="s">
        <v>2444</v>
      </c>
      <c r="G1818" s="2"/>
      <c r="H1818" s="2"/>
      <c r="I1818" s="3" t="b">
        <f>OR(E1818 = "calculated", E1818 = "lookup", E1818 = "aggregation")</f>
        <v>0</v>
      </c>
      <c r="J1818" s="3" t="b">
        <f>H1818 &lt;&gt; ""</f>
        <v>0</v>
      </c>
      <c r="K1818" s="3">
        <f>COUNTIFS(FieldDisagreements!D2:D999, A1818)</f>
        <v>0</v>
      </c>
      <c r="L1818" s="3" t="b">
        <f>K1818 &gt; 0</f>
        <v>0</v>
      </c>
      <c r="M1818" s="2" t="s">
        <v>2387</v>
      </c>
    </row>
    <row r="1819">
      <c r="A1819" s="2" t="s">
        <v>5799</v>
      </c>
      <c r="B1819" s="3" t="str">
        <f>C1819 &amp; "." &amp; D1819</f>
        <v>SubstrateRunScores.CellsPassed</v>
      </c>
      <c r="C1819" s="2" t="s">
        <v>1893</v>
      </c>
      <c r="D1819" s="2" t="s">
        <v>5772</v>
      </c>
      <c r="E1819" s="2" t="s">
        <v>2385</v>
      </c>
      <c r="F1819" s="2" t="s">
        <v>2444</v>
      </c>
      <c r="G1819" s="2"/>
      <c r="H1819" s="2"/>
      <c r="I1819" s="3" t="b">
        <f>OR(E1819 = "calculated", E1819 = "lookup", E1819 = "aggregation")</f>
        <v>0</v>
      </c>
      <c r="J1819" s="3" t="b">
        <f>H1819 &lt;&gt; ""</f>
        <v>0</v>
      </c>
      <c r="K1819" s="3">
        <f>COUNTIFS(FieldDisagreements!D2:D999, A1819)</f>
        <v>0</v>
      </c>
      <c r="L1819" s="3" t="b">
        <f>K1819 &gt; 0</f>
        <v>0</v>
      </c>
      <c r="M1819" s="2" t="s">
        <v>2387</v>
      </c>
    </row>
    <row r="1820">
      <c r="A1820" s="2" t="s">
        <v>5800</v>
      </c>
      <c r="B1820" s="3" t="str">
        <f>C1820 &amp; "." &amp; D1820</f>
        <v>SubstrateRunScores.CalculatedTested</v>
      </c>
      <c r="C1820" s="2" t="s">
        <v>1893</v>
      </c>
      <c r="D1820" s="2" t="s">
        <v>5801</v>
      </c>
      <c r="E1820" s="2" t="s">
        <v>2385</v>
      </c>
      <c r="F1820" s="2" t="s">
        <v>2444</v>
      </c>
      <c r="G1820" s="2"/>
      <c r="H1820" s="2"/>
      <c r="I1820" s="3" t="b">
        <f>OR(E1820 = "calculated", E1820 = "lookup", E1820 = "aggregation")</f>
        <v>0</v>
      </c>
      <c r="J1820" s="3" t="b">
        <f>H1820 &lt;&gt; ""</f>
        <v>0</v>
      </c>
      <c r="K1820" s="3">
        <f>COUNTIFS(FieldDisagreements!D2:D999, A1820)</f>
        <v>0</v>
      </c>
      <c r="L1820" s="3" t="b">
        <f>K1820 &gt; 0</f>
        <v>0</v>
      </c>
      <c r="M1820" s="2" t="s">
        <v>2387</v>
      </c>
    </row>
    <row r="1821">
      <c r="A1821" s="2" t="s">
        <v>5802</v>
      </c>
      <c r="B1821" s="3" t="str">
        <f>C1821 &amp; "." &amp; D1821</f>
        <v>SubstrateRunScores.CalculatedPassed</v>
      </c>
      <c r="C1821" s="2" t="s">
        <v>1893</v>
      </c>
      <c r="D1821" s="2" t="s">
        <v>5803</v>
      </c>
      <c r="E1821" s="2" t="s">
        <v>2385</v>
      </c>
      <c r="F1821" s="2" t="s">
        <v>2444</v>
      </c>
      <c r="G1821" s="2"/>
      <c r="H1821" s="2"/>
      <c r="I1821" s="3" t="b">
        <f>OR(E1821 = "calculated", E1821 = "lookup", E1821 = "aggregation")</f>
        <v>0</v>
      </c>
      <c r="J1821" s="3" t="b">
        <f>H1821 &lt;&gt; ""</f>
        <v>0</v>
      </c>
      <c r="K1821" s="3">
        <f>COUNTIFS(FieldDisagreements!D2:D999, A1821)</f>
        <v>0</v>
      </c>
      <c r="L1821" s="3" t="b">
        <f>K1821 &gt; 0</f>
        <v>0</v>
      </c>
      <c r="M1821" s="2" t="s">
        <v>2387</v>
      </c>
    </row>
    <row r="1822">
      <c r="A1822" s="2" t="s">
        <v>5804</v>
      </c>
      <c r="B1822" s="3" t="str">
        <f>C1822 &amp; "." &amp; D1822</f>
        <v>SubstrateRunScores.LookupTested</v>
      </c>
      <c r="C1822" s="2" t="s">
        <v>1893</v>
      </c>
      <c r="D1822" s="2" t="s">
        <v>5805</v>
      </c>
      <c r="E1822" s="2" t="s">
        <v>2385</v>
      </c>
      <c r="F1822" s="2" t="s">
        <v>2444</v>
      </c>
      <c r="G1822" s="2"/>
      <c r="H1822" s="2"/>
      <c r="I1822" s="3" t="b">
        <f>OR(E1822 = "calculated", E1822 = "lookup", E1822 = "aggregation")</f>
        <v>0</v>
      </c>
      <c r="J1822" s="3" t="b">
        <f>H1822 &lt;&gt; ""</f>
        <v>0</v>
      </c>
      <c r="K1822" s="3">
        <f>COUNTIFS(FieldDisagreements!D2:D999, A1822)</f>
        <v>0</v>
      </c>
      <c r="L1822" s="3" t="b">
        <f>K1822 &gt; 0</f>
        <v>0</v>
      </c>
      <c r="M1822" s="2" t="s">
        <v>2387</v>
      </c>
    </row>
    <row r="1823">
      <c r="A1823" s="2" t="s">
        <v>5806</v>
      </c>
      <c r="B1823" s="3" t="str">
        <f>C1823 &amp; "." &amp; D1823</f>
        <v>SubstrateRunScores.LookupPassed</v>
      </c>
      <c r="C1823" s="2" t="s">
        <v>1893</v>
      </c>
      <c r="D1823" s="2" t="s">
        <v>5807</v>
      </c>
      <c r="E1823" s="2" t="s">
        <v>2385</v>
      </c>
      <c r="F1823" s="2" t="s">
        <v>2444</v>
      </c>
      <c r="G1823" s="2"/>
      <c r="H1823" s="2"/>
      <c r="I1823" s="3" t="b">
        <f>OR(E1823 = "calculated", E1823 = "lookup", E1823 = "aggregation")</f>
        <v>0</v>
      </c>
      <c r="J1823" s="3" t="b">
        <f>H1823 &lt;&gt; ""</f>
        <v>0</v>
      </c>
      <c r="K1823" s="3">
        <f>COUNTIFS(FieldDisagreements!D2:D999, A1823)</f>
        <v>0</v>
      </c>
      <c r="L1823" s="3" t="b">
        <f>K1823 &gt; 0</f>
        <v>0</v>
      </c>
      <c r="M1823" s="2" t="s">
        <v>2387</v>
      </c>
    </row>
    <row r="1824">
      <c r="A1824" s="2" t="s">
        <v>5808</v>
      </c>
      <c r="B1824" s="3" t="str">
        <f>C1824 &amp; "." &amp; D1824</f>
        <v>SubstrateRunScores.AggregationTested</v>
      </c>
      <c r="C1824" s="2" t="s">
        <v>1893</v>
      </c>
      <c r="D1824" s="2" t="s">
        <v>5809</v>
      </c>
      <c r="E1824" s="2" t="s">
        <v>2385</v>
      </c>
      <c r="F1824" s="2" t="s">
        <v>2444</v>
      </c>
      <c r="G1824" s="2"/>
      <c r="H1824" s="2"/>
      <c r="I1824" s="3" t="b">
        <f>OR(E1824 = "calculated", E1824 = "lookup", E1824 = "aggregation")</f>
        <v>0</v>
      </c>
      <c r="J1824" s="3" t="b">
        <f>H1824 &lt;&gt; ""</f>
        <v>0</v>
      </c>
      <c r="K1824" s="3">
        <f>COUNTIFS(FieldDisagreements!D2:D999, A1824)</f>
        <v>0</v>
      </c>
      <c r="L1824" s="3" t="b">
        <f>K1824 &gt; 0</f>
        <v>0</v>
      </c>
      <c r="M1824" s="2" t="s">
        <v>2387</v>
      </c>
    </row>
    <row r="1825">
      <c r="A1825" s="2" t="s">
        <v>5810</v>
      </c>
      <c r="B1825" s="3" t="str">
        <f>C1825 &amp; "." &amp; D1825</f>
        <v>SubstrateRunScores.AggregationPassed</v>
      </c>
      <c r="C1825" s="2" t="s">
        <v>1893</v>
      </c>
      <c r="D1825" s="2" t="s">
        <v>5811</v>
      </c>
      <c r="E1825" s="2" t="s">
        <v>2385</v>
      </c>
      <c r="F1825" s="2" t="s">
        <v>2444</v>
      </c>
      <c r="G1825" s="2"/>
      <c r="H1825" s="2"/>
      <c r="I1825" s="3" t="b">
        <f>OR(E1825 = "calculated", E1825 = "lookup", E1825 = "aggregation")</f>
        <v>0</v>
      </c>
      <c r="J1825" s="3" t="b">
        <f>H1825 &lt;&gt; ""</f>
        <v>0</v>
      </c>
      <c r="K1825" s="3">
        <f>COUNTIFS(FieldDisagreements!D2:D999, A1825)</f>
        <v>0</v>
      </c>
      <c r="L1825" s="3" t="b">
        <f>K1825 &gt; 0</f>
        <v>0</v>
      </c>
      <c r="M1825" s="2" t="s">
        <v>2387</v>
      </c>
    </row>
    <row r="1826">
      <c r="A1826" s="2" t="s">
        <v>5812</v>
      </c>
      <c r="B1826" s="3" t="str">
        <f>C1826 &amp; "." &amp; D1826</f>
        <v>SubstrateRunScores.CellsFailed</v>
      </c>
      <c r="C1826" s="2" t="s">
        <v>1893</v>
      </c>
      <c r="D1826" s="2" t="s">
        <v>5775</v>
      </c>
      <c r="E1826" s="2" t="s">
        <v>2389</v>
      </c>
      <c r="F1826" s="2" t="s">
        <v>2444</v>
      </c>
      <c r="G1826" s="2" t="s">
        <v>5776</v>
      </c>
      <c r="H1826" s="2" t="s">
        <v>2368</v>
      </c>
      <c r="I1826" s="3" t="b">
        <f>OR(E1826 = "calculated", E1826 = "lookup", E1826 = "aggregation")</f>
        <v>1</v>
      </c>
      <c r="J1826" s="3" t="b">
        <f>H1826 &lt;&gt; ""</f>
        <v>1</v>
      </c>
      <c r="K1826" s="3">
        <f>COUNTIFS(FieldDisagreements!D2:D999, A1826)</f>
        <v>0</v>
      </c>
      <c r="L1826" s="3" t="b">
        <f>K1826 &gt; 0</f>
        <v>0</v>
      </c>
      <c r="M1826" s="2" t="s">
        <v>2387</v>
      </c>
    </row>
    <row r="1827">
      <c r="A1827" s="2" t="s">
        <v>5813</v>
      </c>
      <c r="B1827" s="3" t="str">
        <f>C1827 &amp; "." &amp; D1827</f>
        <v>SubstrateRunScores.Score</v>
      </c>
      <c r="C1827" s="2" t="s">
        <v>1893</v>
      </c>
      <c r="D1827" s="2" t="s">
        <v>5814</v>
      </c>
      <c r="E1827" s="2" t="s">
        <v>2389</v>
      </c>
      <c r="F1827" s="2" t="s">
        <v>2444</v>
      </c>
      <c r="G1827" s="2" t="s">
        <v>5779</v>
      </c>
      <c r="H1827" s="2" t="s">
        <v>2368</v>
      </c>
      <c r="I1827" s="3" t="b">
        <f>OR(E1827 = "calculated", E1827 = "lookup", E1827 = "aggregation")</f>
        <v>1</v>
      </c>
      <c r="J1827" s="3" t="b">
        <f>H1827 &lt;&gt; ""</f>
        <v>1</v>
      </c>
      <c r="K1827" s="3">
        <f>COUNTIFS(FieldDisagreements!D2:D999, A1827)</f>
        <v>0</v>
      </c>
      <c r="L1827" s="3" t="b">
        <f>K1827 &gt; 0</f>
        <v>0</v>
      </c>
      <c r="M1827" s="2" t="s">
        <v>2387</v>
      </c>
    </row>
    <row r="1828">
      <c r="A1828" s="2" t="s">
        <v>5815</v>
      </c>
      <c r="B1828" s="3" t="str">
        <f>C1828 &amp; "." &amp; D1828</f>
        <v>SubstrateRunScores.CalculatedScore</v>
      </c>
      <c r="C1828" s="2" t="s">
        <v>1893</v>
      </c>
      <c r="D1828" s="2" t="s">
        <v>5816</v>
      </c>
      <c r="E1828" s="2" t="s">
        <v>2389</v>
      </c>
      <c r="F1828" s="2" t="s">
        <v>2444</v>
      </c>
      <c r="G1828" s="2" t="s">
        <v>5817</v>
      </c>
      <c r="H1828" s="2" t="s">
        <v>2368</v>
      </c>
      <c r="I1828" s="3" t="b">
        <f>OR(E1828 = "calculated", E1828 = "lookup", E1828 = "aggregation")</f>
        <v>1</v>
      </c>
      <c r="J1828" s="3" t="b">
        <f>H1828 &lt;&gt; ""</f>
        <v>1</v>
      </c>
      <c r="K1828" s="3">
        <f>COUNTIFS(FieldDisagreements!D2:D999, A1828)</f>
        <v>0</v>
      </c>
      <c r="L1828" s="3" t="b">
        <f>K1828 &gt; 0</f>
        <v>0</v>
      </c>
      <c r="M1828" s="2" t="s">
        <v>2387</v>
      </c>
    </row>
    <row r="1829">
      <c r="A1829" s="2" t="s">
        <v>5818</v>
      </c>
      <c r="B1829" s="3" t="str">
        <f>C1829 &amp; "." &amp; D1829</f>
        <v>SubstrateRunScores.LookupScore</v>
      </c>
      <c r="C1829" s="2" t="s">
        <v>1893</v>
      </c>
      <c r="D1829" s="2" t="s">
        <v>5819</v>
      </c>
      <c r="E1829" s="2" t="s">
        <v>2389</v>
      </c>
      <c r="F1829" s="2" t="s">
        <v>2444</v>
      </c>
      <c r="G1829" s="2" t="s">
        <v>5820</v>
      </c>
      <c r="H1829" s="2" t="s">
        <v>2368</v>
      </c>
      <c r="I1829" s="3" t="b">
        <f>OR(E1829 = "calculated", E1829 = "lookup", E1829 = "aggregation")</f>
        <v>1</v>
      </c>
      <c r="J1829" s="3" t="b">
        <f>H1829 &lt;&gt; ""</f>
        <v>1</v>
      </c>
      <c r="K1829" s="3">
        <f>COUNTIFS(FieldDisagreements!D2:D999, A1829)</f>
        <v>0</v>
      </c>
      <c r="L1829" s="3" t="b">
        <f>K1829 &gt; 0</f>
        <v>0</v>
      </c>
      <c r="M1829" s="2" t="s">
        <v>2387</v>
      </c>
    </row>
    <row r="1830">
      <c r="A1830" s="2" t="s">
        <v>5821</v>
      </c>
      <c r="B1830" s="3" t="str">
        <f>C1830 &amp; "." &amp; D1830</f>
        <v>SubstrateRunScores.AggregationScore</v>
      </c>
      <c r="C1830" s="2" t="s">
        <v>1893</v>
      </c>
      <c r="D1830" s="2" t="s">
        <v>5822</v>
      </c>
      <c r="E1830" s="2" t="s">
        <v>2389</v>
      </c>
      <c r="F1830" s="2" t="s">
        <v>2444</v>
      </c>
      <c r="G1830" s="2" t="s">
        <v>5823</v>
      </c>
      <c r="H1830" s="2" t="s">
        <v>2368</v>
      </c>
      <c r="I1830" s="3" t="b">
        <f>OR(E1830 = "calculated", E1830 = "lookup", E1830 = "aggregation")</f>
        <v>1</v>
      </c>
      <c r="J1830" s="3" t="b">
        <f>H1830 &lt;&gt; ""</f>
        <v>1</v>
      </c>
      <c r="K1830" s="3">
        <f>COUNTIFS(FieldDisagreements!D2:D999, A1830)</f>
        <v>0</v>
      </c>
      <c r="L1830" s="3" t="b">
        <f>K1830 &gt; 0</f>
        <v>0</v>
      </c>
      <c r="M1830" s="2" t="s">
        <v>2387</v>
      </c>
    </row>
    <row r="1831">
      <c r="A1831" s="2" t="s">
        <v>5824</v>
      </c>
      <c r="B1831" s="3" t="str">
        <f>C1831 &amp; "." &amp; D1831</f>
        <v>SubstrateRunScores.IsPerfect</v>
      </c>
      <c r="C1831" s="2" t="s">
        <v>1893</v>
      </c>
      <c r="D1831" s="2" t="s">
        <v>5825</v>
      </c>
      <c r="E1831" s="2" t="s">
        <v>2389</v>
      </c>
      <c r="F1831" s="2" t="s">
        <v>2401</v>
      </c>
      <c r="G1831" s="2" t="s">
        <v>5826</v>
      </c>
      <c r="H1831" s="2" t="s">
        <v>2368</v>
      </c>
      <c r="I1831" s="3" t="b">
        <f>OR(E1831 = "calculated", E1831 = "lookup", E1831 = "aggregation")</f>
        <v>1</v>
      </c>
      <c r="J1831" s="3" t="b">
        <f>H1831 &lt;&gt; ""</f>
        <v>1</v>
      </c>
      <c r="K1831" s="3">
        <f>COUNTIFS(FieldDisagreements!D2:D999, A1831)</f>
        <v>0</v>
      </c>
      <c r="L1831" s="3" t="b">
        <f>K1831 &gt; 0</f>
        <v>0</v>
      </c>
      <c r="M1831" s="2" t="s">
        <v>2387</v>
      </c>
    </row>
    <row r="1832">
      <c r="A1832" s="2" t="s">
        <v>5827</v>
      </c>
      <c r="B1832" s="3" t="str">
        <f>C1832 &amp; "." &amp; D1832</f>
        <v>SubstrateRunScores.PerfectRunKey</v>
      </c>
      <c r="C1832" s="2" t="s">
        <v>1893</v>
      </c>
      <c r="D1832" s="2" t="s">
        <v>5828</v>
      </c>
      <c r="E1832" s="2" t="s">
        <v>2389</v>
      </c>
      <c r="F1832" s="2" t="s">
        <v>2386</v>
      </c>
      <c r="G1832" s="2" t="s">
        <v>5829</v>
      </c>
      <c r="H1832" s="2" t="s">
        <v>2368</v>
      </c>
      <c r="I1832" s="3" t="b">
        <f>OR(E1832 = "calculated", E1832 = "lookup", E1832 = "aggregation")</f>
        <v>1</v>
      </c>
      <c r="J1832" s="3" t="b">
        <f>H1832 &lt;&gt; ""</f>
        <v>1</v>
      </c>
      <c r="K1832" s="3">
        <f>COUNTIFS(FieldDisagreements!D2:D999, A1832)</f>
        <v>0</v>
      </c>
      <c r="L1832" s="3" t="b">
        <f>K1832 &gt; 0</f>
        <v>0</v>
      </c>
      <c r="M1832" s="2" t="s">
        <v>2387</v>
      </c>
    </row>
    <row r="1833">
      <c r="A1833" s="2" t="s">
        <v>5830</v>
      </c>
      <c r="B1833" s="3" t="str">
        <f>C1833 &amp; "." &amp; D1833</f>
        <v>SubstrateRunScores.IsInLatestRun</v>
      </c>
      <c r="C1833" s="2" t="s">
        <v>1893</v>
      </c>
      <c r="D1833" s="2" t="s">
        <v>5831</v>
      </c>
      <c r="E1833" s="2" t="s">
        <v>2478</v>
      </c>
      <c r="F1833" s="2" t="s">
        <v>2401</v>
      </c>
      <c r="G1833" s="2" t="s">
        <v>5832</v>
      </c>
      <c r="H1833" s="2" t="s">
        <v>2368</v>
      </c>
      <c r="I1833" s="3" t="b">
        <f>OR(E1833 = "calculated", E1833 = "lookup", E1833 = "aggregation")</f>
        <v>1</v>
      </c>
      <c r="J1833" s="3" t="b">
        <f>H1833 &lt;&gt; ""</f>
        <v>1</v>
      </c>
      <c r="K1833" s="3">
        <f>COUNTIFS(FieldDisagreements!D2:D999, A1833)</f>
        <v>0</v>
      </c>
      <c r="L1833" s="3" t="b">
        <f>K1833 &gt; 0</f>
        <v>0</v>
      </c>
      <c r="M1833" s="2" t="s">
        <v>2387</v>
      </c>
    </row>
    <row r="1834">
      <c r="A1834" s="2" t="s">
        <v>5833</v>
      </c>
      <c r="B1834" s="3" t="str">
        <f>C1834 &amp; "." &amp; D1834</f>
        <v>SubstrateRunScores.LatestCellsTested</v>
      </c>
      <c r="C1834" s="2" t="s">
        <v>1893</v>
      </c>
      <c r="D1834" s="2" t="s">
        <v>5725</v>
      </c>
      <c r="E1834" s="2" t="s">
        <v>2389</v>
      </c>
      <c r="F1834" s="2" t="s">
        <v>2444</v>
      </c>
      <c r="G1834" s="2" t="s">
        <v>5834</v>
      </c>
      <c r="H1834" s="2" t="s">
        <v>2368</v>
      </c>
      <c r="I1834" s="3" t="b">
        <f>OR(E1834 = "calculated", E1834 = "lookup", E1834 = "aggregation")</f>
        <v>1</v>
      </c>
      <c r="J1834" s="3" t="b">
        <f>H1834 &lt;&gt; ""</f>
        <v>1</v>
      </c>
      <c r="K1834" s="3">
        <f>COUNTIFS(FieldDisagreements!D2:D999, A1834)</f>
        <v>0</v>
      </c>
      <c r="L1834" s="3" t="b">
        <f>K1834 &gt; 0</f>
        <v>0</v>
      </c>
      <c r="M1834" s="2" t="s">
        <v>2387</v>
      </c>
    </row>
    <row r="1835">
      <c r="A1835" s="2" t="s">
        <v>5835</v>
      </c>
      <c r="B1835" s="3" t="str">
        <f>C1835 &amp; "." &amp; D1835</f>
        <v>SubstrateRunScores.LatestCellsPassed</v>
      </c>
      <c r="C1835" s="2" t="s">
        <v>1893</v>
      </c>
      <c r="D1835" s="2" t="s">
        <v>5728</v>
      </c>
      <c r="E1835" s="2" t="s">
        <v>2389</v>
      </c>
      <c r="F1835" s="2" t="s">
        <v>2444</v>
      </c>
      <c r="G1835" s="2" t="s">
        <v>5836</v>
      </c>
      <c r="H1835" s="2" t="s">
        <v>2368</v>
      </c>
      <c r="I1835" s="3" t="b">
        <f>OR(E1835 = "calculated", E1835 = "lookup", E1835 = "aggregation")</f>
        <v>1</v>
      </c>
      <c r="J1835" s="3" t="b">
        <f>H1835 &lt;&gt; ""</f>
        <v>1</v>
      </c>
      <c r="K1835" s="3">
        <f>COUNTIFS(FieldDisagreements!D2:D999, A1835)</f>
        <v>0</v>
      </c>
      <c r="L1835" s="3" t="b">
        <f>K1835 &gt; 0</f>
        <v>0</v>
      </c>
      <c r="M1835" s="2" t="s">
        <v>2387</v>
      </c>
    </row>
    <row r="1836">
      <c r="A1836" s="2" t="s">
        <v>5837</v>
      </c>
      <c r="B1836" s="3" t="str">
        <f>C1836 &amp; "." &amp; D1836</f>
        <v>SubstrateRunScores.LatestErrorFlag</v>
      </c>
      <c r="C1836" s="2" t="s">
        <v>1893</v>
      </c>
      <c r="D1836" s="2" t="s">
        <v>5838</v>
      </c>
      <c r="E1836" s="2" t="s">
        <v>2389</v>
      </c>
      <c r="F1836" s="2" t="s">
        <v>2444</v>
      </c>
      <c r="G1836" s="2" t="s">
        <v>5839</v>
      </c>
      <c r="H1836" s="2" t="s">
        <v>2368</v>
      </c>
      <c r="I1836" s="3" t="b">
        <f>OR(E1836 = "calculated", E1836 = "lookup", E1836 = "aggregation")</f>
        <v>1</v>
      </c>
      <c r="J1836" s="3" t="b">
        <f>H1836 &lt;&gt; ""</f>
        <v>1</v>
      </c>
      <c r="K1836" s="3">
        <f>COUNTIFS(FieldDisagreements!D2:D999, A1836)</f>
        <v>0</v>
      </c>
      <c r="L1836" s="3" t="b">
        <f>K1836 &gt; 0</f>
        <v>0</v>
      </c>
      <c r="M1836" s="2" t="s">
        <v>2387</v>
      </c>
    </row>
    <row r="1837">
      <c r="A1837" s="2" t="s">
        <v>5840</v>
      </c>
      <c r="B1837" s="3" t="str">
        <f>C1837 &amp; "." &amp; D1837</f>
        <v>SubstrateRunScores.SubstrateLabel</v>
      </c>
      <c r="C1837" s="2" t="s">
        <v>1893</v>
      </c>
      <c r="D1837" s="2" t="s">
        <v>5841</v>
      </c>
      <c r="E1837" s="2" t="s">
        <v>2478</v>
      </c>
      <c r="F1837" s="2" t="s">
        <v>2386</v>
      </c>
      <c r="G1837" s="2" t="s">
        <v>5842</v>
      </c>
      <c r="H1837" s="2" t="s">
        <v>2368</v>
      </c>
      <c r="I1837" s="3" t="b">
        <f>OR(E1837 = "calculated", E1837 = "lookup", E1837 = "aggregation")</f>
        <v>1</v>
      </c>
      <c r="J1837" s="3" t="b">
        <f>H1837 &lt;&gt; ""</f>
        <v>1</v>
      </c>
      <c r="K1837" s="3">
        <f>COUNTIFS(FieldDisagreements!D2:D999, A1837)</f>
        <v>0</v>
      </c>
      <c r="L1837" s="3" t="b">
        <f>K1837 &gt; 0</f>
        <v>0</v>
      </c>
      <c r="M1837" s="2" t="s">
        <v>2387</v>
      </c>
    </row>
    <row r="1838">
      <c r="A1838" s="2" t="s">
        <v>5843</v>
      </c>
      <c r="B1838" s="3" t="str">
        <f>C1838 &amp; "." &amp; D1838</f>
        <v>SubstrateRunScores.SemanticTypeIri</v>
      </c>
      <c r="C1838" s="2" t="s">
        <v>1893</v>
      </c>
      <c r="D1838" s="2" t="s">
        <v>94</v>
      </c>
      <c r="E1838" s="2" t="s">
        <v>2385</v>
      </c>
      <c r="F1838" s="2" t="s">
        <v>2386</v>
      </c>
      <c r="G1838" s="2"/>
      <c r="H1838" s="2"/>
      <c r="I1838" s="3" t="b">
        <f>OR(E1838 = "calculated", E1838 = "lookup", E1838 = "aggregation")</f>
        <v>0</v>
      </c>
      <c r="J1838" s="3" t="b">
        <f>H1838 &lt;&gt; ""</f>
        <v>0</v>
      </c>
      <c r="K1838" s="3">
        <f>COUNTIFS(FieldDisagreements!D2:D999, A1838)</f>
        <v>0</v>
      </c>
      <c r="L1838" s="3" t="b">
        <f>K1838 &gt; 0</f>
        <v>0</v>
      </c>
      <c r="M1838" s="2" t="s">
        <v>2387</v>
      </c>
    </row>
    <row r="1839">
      <c r="A1839" s="2" t="s">
        <v>5844</v>
      </c>
      <c r="B1839" s="3" t="str">
        <f>C1839 &amp; "." &amp; D1839</f>
        <v>TableConformance.TableConformanceId</v>
      </c>
      <c r="C1839" s="2" t="s">
        <v>1897</v>
      </c>
      <c r="D1839" s="2" t="s">
        <v>5845</v>
      </c>
      <c r="E1839" s="2" t="s">
        <v>2385</v>
      </c>
      <c r="F1839" s="2" t="s">
        <v>2386</v>
      </c>
      <c r="G1839" s="2"/>
      <c r="H1839" s="2"/>
      <c r="I1839" s="3" t="b">
        <f>OR(E1839 = "calculated", E1839 = "lookup", E1839 = "aggregation")</f>
        <v>0</v>
      </c>
      <c r="J1839" s="3" t="b">
        <f>H1839 &lt;&gt; ""</f>
        <v>0</v>
      </c>
      <c r="K1839" s="3">
        <f>COUNTIFS(FieldDisagreements!D2:D999, A1839)</f>
        <v>0</v>
      </c>
      <c r="L1839" s="3" t="b">
        <f>K1839 &gt; 0</f>
        <v>0</v>
      </c>
      <c r="M1839" s="2" t="s">
        <v>2387</v>
      </c>
    </row>
    <row r="1840">
      <c r="A1840" s="2" t="s">
        <v>5846</v>
      </c>
      <c r="B1840" s="3" t="str">
        <f>C1840 &amp; "." &amp; D1840</f>
        <v>TableConformance.Name</v>
      </c>
      <c r="C1840" s="2" t="s">
        <v>1897</v>
      </c>
      <c r="D1840" s="2" t="s">
        <v>1</v>
      </c>
      <c r="E1840" s="2" t="s">
        <v>2389</v>
      </c>
      <c r="F1840" s="2" t="s">
        <v>2386</v>
      </c>
      <c r="G1840" s="2" t="s">
        <v>5847</v>
      </c>
      <c r="H1840" s="2"/>
      <c r="I1840" s="3" t="b">
        <f>OR(E1840 = "calculated", E1840 = "lookup", E1840 = "aggregation")</f>
        <v>1</v>
      </c>
      <c r="J1840" s="3" t="b">
        <f>H1840 &lt;&gt; ""</f>
        <v>0</v>
      </c>
      <c r="K1840" s="3">
        <f>COUNTIFS(FieldDisagreements!D2:D999, A1840)</f>
        <v>0</v>
      </c>
      <c r="L1840" s="3" t="b">
        <f>K1840 &gt; 0</f>
        <v>0</v>
      </c>
      <c r="M1840" s="2" t="s">
        <v>2387</v>
      </c>
    </row>
    <row r="1841">
      <c r="A1841" s="2" t="s">
        <v>5848</v>
      </c>
      <c r="B1841" s="3" t="str">
        <f>C1841 &amp; "." &amp; D1841</f>
        <v>TableConformance.Run</v>
      </c>
      <c r="C1841" s="2" t="s">
        <v>1897</v>
      </c>
      <c r="D1841" s="2" t="s">
        <v>5791</v>
      </c>
      <c r="E1841" s="2" t="s">
        <v>2434</v>
      </c>
      <c r="F1841" s="2" t="s">
        <v>2386</v>
      </c>
      <c r="G1841" s="2"/>
      <c r="H1841" s="2"/>
      <c r="I1841" s="3" t="b">
        <f>OR(E1841 = "calculated", E1841 = "lookup", E1841 = "aggregation")</f>
        <v>0</v>
      </c>
      <c r="J1841" s="3" t="b">
        <f>H1841 &lt;&gt; ""</f>
        <v>0</v>
      </c>
      <c r="K1841" s="3">
        <f>COUNTIFS(FieldDisagreements!D2:D999, A1841)</f>
        <v>0</v>
      </c>
      <c r="L1841" s="3" t="b">
        <f>K1841 &gt; 0</f>
        <v>0</v>
      </c>
      <c r="M1841" s="2" t="s">
        <v>2387</v>
      </c>
    </row>
    <row r="1842">
      <c r="A1842" s="2" t="s">
        <v>5849</v>
      </c>
      <c r="B1842" s="3" t="str">
        <f>C1842 &amp; "." &amp; D1842</f>
        <v>TableConformance.Substrate</v>
      </c>
      <c r="C1842" s="2" t="s">
        <v>1897</v>
      </c>
      <c r="D1842" s="2" t="s">
        <v>5793</v>
      </c>
      <c r="E1842" s="2" t="s">
        <v>2434</v>
      </c>
      <c r="F1842" s="2" t="s">
        <v>2386</v>
      </c>
      <c r="G1842" s="2"/>
      <c r="H1842" s="2"/>
      <c r="I1842" s="3" t="b">
        <f>OR(E1842 = "calculated", E1842 = "lookup", E1842 = "aggregation")</f>
        <v>0</v>
      </c>
      <c r="J1842" s="3" t="b">
        <f>H1842 &lt;&gt; ""</f>
        <v>0</v>
      </c>
      <c r="K1842" s="3">
        <f>COUNTIFS(FieldDisagreements!D2:D999, A1842)</f>
        <v>0</v>
      </c>
      <c r="L1842" s="3" t="b">
        <f>K1842 &gt; 0</f>
        <v>0</v>
      </c>
      <c r="M1842" s="2" t="s">
        <v>2387</v>
      </c>
    </row>
    <row r="1843">
      <c r="A1843" s="2" t="s">
        <v>5850</v>
      </c>
      <c r="B1843" s="3" t="str">
        <f>C1843 &amp; "." &amp; D1843</f>
        <v>TableConformance.RulebookTable</v>
      </c>
      <c r="C1843" s="2" t="s">
        <v>1897</v>
      </c>
      <c r="D1843" s="2" t="s">
        <v>5851</v>
      </c>
      <c r="E1843" s="2" t="s">
        <v>2434</v>
      </c>
      <c r="F1843" s="2" t="s">
        <v>2386</v>
      </c>
      <c r="G1843" s="2"/>
      <c r="H1843" s="2"/>
      <c r="I1843" s="3" t="b">
        <f>OR(E1843 = "calculated", E1843 = "lookup", E1843 = "aggregation")</f>
        <v>0</v>
      </c>
      <c r="J1843" s="3" t="b">
        <f>H1843 &lt;&gt; ""</f>
        <v>0</v>
      </c>
      <c r="K1843" s="3">
        <f>COUNTIFS(FieldDisagreements!D2:D999, A1843)</f>
        <v>0</v>
      </c>
      <c r="L1843" s="3" t="b">
        <f>K1843 &gt; 0</f>
        <v>0</v>
      </c>
      <c r="M1843" s="2" t="s">
        <v>2387</v>
      </c>
    </row>
    <row r="1844">
      <c r="A1844" s="2" t="s">
        <v>5852</v>
      </c>
      <c r="B1844" s="3" t="str">
        <f>C1844 &amp; "." &amp; D1844</f>
        <v>TableConformance.RecordCount</v>
      </c>
      <c r="C1844" s="2" t="s">
        <v>1897</v>
      </c>
      <c r="D1844" s="2" t="s">
        <v>5853</v>
      </c>
      <c r="E1844" s="2" t="s">
        <v>2385</v>
      </c>
      <c r="F1844" s="2" t="s">
        <v>2444</v>
      </c>
      <c r="G1844" s="2"/>
      <c r="H1844" s="2"/>
      <c r="I1844" s="3" t="b">
        <f>OR(E1844 = "calculated", E1844 = "lookup", E1844 = "aggregation")</f>
        <v>0</v>
      </c>
      <c r="J1844" s="3" t="b">
        <f>H1844 &lt;&gt; ""</f>
        <v>0</v>
      </c>
      <c r="K1844" s="3">
        <f>COUNTIFS(FieldDisagreements!D2:D999, A1844)</f>
        <v>0</v>
      </c>
      <c r="L1844" s="3" t="b">
        <f>K1844 &gt; 0</f>
        <v>0</v>
      </c>
      <c r="M1844" s="2" t="s">
        <v>2387</v>
      </c>
    </row>
    <row r="1845">
      <c r="A1845" s="2" t="s">
        <v>5854</v>
      </c>
      <c r="B1845" s="3" t="str">
        <f>C1845 &amp; "." &amp; D1845</f>
        <v>TableConformance.DerivedFieldCount</v>
      </c>
      <c r="C1845" s="2" t="s">
        <v>1897</v>
      </c>
      <c r="D1845" s="2" t="s">
        <v>5855</v>
      </c>
      <c r="E1845" s="2" t="s">
        <v>2385</v>
      </c>
      <c r="F1845" s="2" t="s">
        <v>2444</v>
      </c>
      <c r="G1845" s="2"/>
      <c r="H1845" s="2"/>
      <c r="I1845" s="3" t="b">
        <f>OR(E1845 = "calculated", E1845 = "lookup", E1845 = "aggregation")</f>
        <v>0</v>
      </c>
      <c r="J1845" s="3" t="b">
        <f>H1845 &lt;&gt; ""</f>
        <v>0</v>
      </c>
      <c r="K1845" s="3">
        <f>COUNTIFS(FieldDisagreements!D2:D999, A1845)</f>
        <v>0</v>
      </c>
      <c r="L1845" s="3" t="b">
        <f>K1845 &gt; 0</f>
        <v>0</v>
      </c>
      <c r="M1845" s="2" t="s">
        <v>2387</v>
      </c>
    </row>
    <row r="1846">
      <c r="A1846" s="2" t="s">
        <v>5856</v>
      </c>
      <c r="B1846" s="3" t="str">
        <f>C1846 &amp; "." &amp; D1846</f>
        <v>TableConformance.CellsTested</v>
      </c>
      <c r="C1846" s="2" t="s">
        <v>1897</v>
      </c>
      <c r="D1846" s="2" t="s">
        <v>5769</v>
      </c>
      <c r="E1846" s="2" t="s">
        <v>2385</v>
      </c>
      <c r="F1846" s="2" t="s">
        <v>2444</v>
      </c>
      <c r="G1846" s="2"/>
      <c r="H1846" s="2"/>
      <c r="I1846" s="3" t="b">
        <f>OR(E1846 = "calculated", E1846 = "lookup", E1846 = "aggregation")</f>
        <v>0</v>
      </c>
      <c r="J1846" s="3" t="b">
        <f>H1846 &lt;&gt; ""</f>
        <v>0</v>
      </c>
      <c r="K1846" s="3">
        <f>COUNTIFS(FieldDisagreements!D2:D999, A1846)</f>
        <v>0</v>
      </c>
      <c r="L1846" s="3" t="b">
        <f>K1846 &gt; 0</f>
        <v>0</v>
      </c>
      <c r="M1846" s="2" t="s">
        <v>2387</v>
      </c>
    </row>
    <row r="1847">
      <c r="A1847" s="2" t="s">
        <v>5857</v>
      </c>
      <c r="B1847" s="3" t="str">
        <f>C1847 &amp; "." &amp; D1847</f>
        <v>TableConformance.CellsPassed</v>
      </c>
      <c r="C1847" s="2" t="s">
        <v>1897</v>
      </c>
      <c r="D1847" s="2" t="s">
        <v>5772</v>
      </c>
      <c r="E1847" s="2" t="s">
        <v>2385</v>
      </c>
      <c r="F1847" s="2" t="s">
        <v>2444</v>
      </c>
      <c r="G1847" s="2"/>
      <c r="H1847" s="2"/>
      <c r="I1847" s="3" t="b">
        <f>OR(E1847 = "calculated", E1847 = "lookup", E1847 = "aggregation")</f>
        <v>0</v>
      </c>
      <c r="J1847" s="3" t="b">
        <f>H1847 &lt;&gt; ""</f>
        <v>0</v>
      </c>
      <c r="K1847" s="3">
        <f>COUNTIFS(FieldDisagreements!D2:D999, A1847)</f>
        <v>0</v>
      </c>
      <c r="L1847" s="3" t="b">
        <f>K1847 &gt; 0</f>
        <v>0</v>
      </c>
      <c r="M1847" s="2" t="s">
        <v>2387</v>
      </c>
    </row>
    <row r="1848">
      <c r="A1848" s="2" t="s">
        <v>5858</v>
      </c>
      <c r="B1848" s="3" t="str">
        <f>C1848 &amp; "." &amp; D1848</f>
        <v>TableConformance.IsMissingAnswerFile</v>
      </c>
      <c r="C1848" s="2" t="s">
        <v>1897</v>
      </c>
      <c r="D1848" s="2" t="s">
        <v>5859</v>
      </c>
      <c r="E1848" s="2" t="s">
        <v>2385</v>
      </c>
      <c r="F1848" s="2" t="s">
        <v>2401</v>
      </c>
      <c r="G1848" s="2"/>
      <c r="H1848" s="2"/>
      <c r="I1848" s="3" t="b">
        <f>OR(E1848 = "calculated", E1848 = "lookup", E1848 = "aggregation")</f>
        <v>0</v>
      </c>
      <c r="J1848" s="3" t="b">
        <f>H1848 &lt;&gt; ""</f>
        <v>0</v>
      </c>
      <c r="K1848" s="3">
        <f>COUNTIFS(FieldDisagreements!D2:D999, A1848)</f>
        <v>0</v>
      </c>
      <c r="L1848" s="3" t="b">
        <f>K1848 &gt; 0</f>
        <v>0</v>
      </c>
      <c r="M1848" s="2" t="s">
        <v>2387</v>
      </c>
    </row>
    <row r="1849">
      <c r="A1849" s="2" t="s">
        <v>5860</v>
      </c>
      <c r="B1849" s="3" t="str">
        <f>C1849 &amp; "." &amp; D1849</f>
        <v>TableConformance.CellsFailed</v>
      </c>
      <c r="C1849" s="2" t="s">
        <v>1897</v>
      </c>
      <c r="D1849" s="2" t="s">
        <v>5775</v>
      </c>
      <c r="E1849" s="2" t="s">
        <v>2389</v>
      </c>
      <c r="F1849" s="2" t="s">
        <v>2444</v>
      </c>
      <c r="G1849" s="2" t="s">
        <v>5776</v>
      </c>
      <c r="H1849" s="2" t="s">
        <v>2368</v>
      </c>
      <c r="I1849" s="3" t="b">
        <f>OR(E1849 = "calculated", E1849 = "lookup", E1849 = "aggregation")</f>
        <v>1</v>
      </c>
      <c r="J1849" s="3" t="b">
        <f>H1849 &lt;&gt; ""</f>
        <v>1</v>
      </c>
      <c r="K1849" s="3">
        <f>COUNTIFS(FieldDisagreements!D2:D999, A1849)</f>
        <v>0</v>
      </c>
      <c r="L1849" s="3" t="b">
        <f>K1849 &gt; 0</f>
        <v>0</v>
      </c>
      <c r="M1849" s="2" t="s">
        <v>2387</v>
      </c>
    </row>
    <row r="1850">
      <c r="A1850" s="2" t="s">
        <v>5861</v>
      </c>
      <c r="B1850" s="3" t="str">
        <f>C1850 &amp; "." &amp; D1850</f>
        <v>TableConformance.Score</v>
      </c>
      <c r="C1850" s="2" t="s">
        <v>1897</v>
      </c>
      <c r="D1850" s="2" t="s">
        <v>5814</v>
      </c>
      <c r="E1850" s="2" t="s">
        <v>2389</v>
      </c>
      <c r="F1850" s="2" t="s">
        <v>2444</v>
      </c>
      <c r="G1850" s="2" t="s">
        <v>5779</v>
      </c>
      <c r="H1850" s="2" t="s">
        <v>2368</v>
      </c>
      <c r="I1850" s="3" t="b">
        <f>OR(E1850 = "calculated", E1850 = "lookup", E1850 = "aggregation")</f>
        <v>1</v>
      </c>
      <c r="J1850" s="3" t="b">
        <f>H1850 &lt;&gt; ""</f>
        <v>1</v>
      </c>
      <c r="K1850" s="3">
        <f>COUNTIFS(FieldDisagreements!D2:D999, A1850)</f>
        <v>0</v>
      </c>
      <c r="L1850" s="3" t="b">
        <f>K1850 &gt; 0</f>
        <v>0</v>
      </c>
      <c r="M1850" s="2" t="s">
        <v>2387</v>
      </c>
    </row>
    <row r="1851">
      <c r="A1851" s="2" t="s">
        <v>5862</v>
      </c>
      <c r="B1851" s="3" t="str">
        <f>C1851 &amp; "." &amp; D1851</f>
        <v>TableConformance.IsPerfect</v>
      </c>
      <c r="C1851" s="2" t="s">
        <v>1897</v>
      </c>
      <c r="D1851" s="2" t="s">
        <v>5825</v>
      </c>
      <c r="E1851" s="2" t="s">
        <v>2389</v>
      </c>
      <c r="F1851" s="2" t="s">
        <v>2401</v>
      </c>
      <c r="G1851" s="2" t="s">
        <v>5863</v>
      </c>
      <c r="H1851" s="2" t="s">
        <v>2368</v>
      </c>
      <c r="I1851" s="3" t="b">
        <f>OR(E1851 = "calculated", E1851 = "lookup", E1851 = "aggregation")</f>
        <v>1</v>
      </c>
      <c r="J1851" s="3" t="b">
        <f>H1851 &lt;&gt; ""</f>
        <v>1</v>
      </c>
      <c r="K1851" s="3">
        <f>COUNTIFS(FieldDisagreements!D2:D999, A1851)</f>
        <v>0</v>
      </c>
      <c r="L1851" s="3" t="b">
        <f>K1851 &gt; 0</f>
        <v>0</v>
      </c>
      <c r="M1851" s="2" t="s">
        <v>2387</v>
      </c>
    </row>
    <row r="1852">
      <c r="A1852" s="2" t="s">
        <v>5864</v>
      </c>
      <c r="B1852" s="3" t="str">
        <f>C1852 &amp; "." &amp; D1852</f>
        <v>TableConformance.ImperfectSubstrateKey</v>
      </c>
      <c r="C1852" s="2" t="s">
        <v>1897</v>
      </c>
      <c r="D1852" s="2" t="s">
        <v>5865</v>
      </c>
      <c r="E1852" s="2" t="s">
        <v>2389</v>
      </c>
      <c r="F1852" s="2" t="s">
        <v>2386</v>
      </c>
      <c r="G1852" s="2" t="s">
        <v>5866</v>
      </c>
      <c r="H1852" s="2" t="s">
        <v>2368</v>
      </c>
      <c r="I1852" s="3" t="b">
        <f>OR(E1852 = "calculated", E1852 = "lookup", E1852 = "aggregation")</f>
        <v>1</v>
      </c>
      <c r="J1852" s="3" t="b">
        <f>H1852 &lt;&gt; ""</f>
        <v>1</v>
      </c>
      <c r="K1852" s="3">
        <f>COUNTIFS(FieldDisagreements!D2:D999, A1852)</f>
        <v>0</v>
      </c>
      <c r="L1852" s="3" t="b">
        <f>K1852 &gt; 0</f>
        <v>0</v>
      </c>
      <c r="M1852" s="2" t="s">
        <v>2387</v>
      </c>
    </row>
    <row r="1853">
      <c r="A1853" s="2" t="s">
        <v>5867</v>
      </c>
      <c r="B1853" s="3" t="str">
        <f>C1853 &amp; "." &amp; D1853</f>
        <v>TableConformance.ImperfectTableKey</v>
      </c>
      <c r="C1853" s="2" t="s">
        <v>1897</v>
      </c>
      <c r="D1853" s="2" t="s">
        <v>5868</v>
      </c>
      <c r="E1853" s="2" t="s">
        <v>2389</v>
      </c>
      <c r="F1853" s="2" t="s">
        <v>2386</v>
      </c>
      <c r="G1853" s="2" t="s">
        <v>5869</v>
      </c>
      <c r="H1853" s="2" t="s">
        <v>2368</v>
      </c>
      <c r="I1853" s="3" t="b">
        <f>OR(E1853 = "calculated", E1853 = "lookup", E1853 = "aggregation")</f>
        <v>1</v>
      </c>
      <c r="J1853" s="3" t="b">
        <f>H1853 &lt;&gt; ""</f>
        <v>1</v>
      </c>
      <c r="K1853" s="3">
        <f>COUNTIFS(FieldDisagreements!D2:D999, A1853)</f>
        <v>0</v>
      </c>
      <c r="L1853" s="3" t="b">
        <f>K1853 &gt; 0</f>
        <v>0</v>
      </c>
      <c r="M1853" s="2" t="s">
        <v>2387</v>
      </c>
    </row>
    <row r="1854">
      <c r="A1854" s="2" t="s">
        <v>5870</v>
      </c>
      <c r="B1854" s="3" t="str">
        <f>C1854 &amp; "." &amp; D1854</f>
        <v>TableConformance.DisagreeingFieldCount</v>
      </c>
      <c r="C1854" s="2" t="s">
        <v>1897</v>
      </c>
      <c r="D1854" s="2" t="s">
        <v>5740</v>
      </c>
      <c r="E1854" s="2" t="s">
        <v>2438</v>
      </c>
      <c r="F1854" s="2" t="s">
        <v>2444</v>
      </c>
      <c r="G1854" s="2" t="s">
        <v>5871</v>
      </c>
      <c r="H1854" s="2" t="s">
        <v>2368</v>
      </c>
      <c r="I1854" s="3" t="b">
        <f>OR(E1854 = "calculated", E1854 = "lookup", E1854 = "aggregation")</f>
        <v>1</v>
      </c>
      <c r="J1854" s="3" t="b">
        <f>H1854 &lt;&gt; ""</f>
        <v>1</v>
      </c>
      <c r="K1854" s="3">
        <f>COUNTIFS(FieldDisagreements!D2:D999, A1854)</f>
        <v>0</v>
      </c>
      <c r="L1854" s="3" t="b">
        <f>K1854 &gt; 0</f>
        <v>0</v>
      </c>
      <c r="M1854" s="2" t="s">
        <v>2387</v>
      </c>
    </row>
    <row r="1855">
      <c r="A1855" s="2" t="s">
        <v>5872</v>
      </c>
      <c r="B1855" s="3" t="str">
        <f>C1855 &amp; "." &amp; D1855</f>
        <v>TableConformance.SubstrateLabel</v>
      </c>
      <c r="C1855" s="2" t="s">
        <v>1897</v>
      </c>
      <c r="D1855" s="2" t="s">
        <v>5841</v>
      </c>
      <c r="E1855" s="2" t="s">
        <v>2478</v>
      </c>
      <c r="F1855" s="2" t="s">
        <v>2386</v>
      </c>
      <c r="G1855" s="2" t="s">
        <v>5842</v>
      </c>
      <c r="H1855" s="2" t="s">
        <v>2368</v>
      </c>
      <c r="I1855" s="3" t="b">
        <f>OR(E1855 = "calculated", E1855 = "lookup", E1855 = "aggregation")</f>
        <v>1</v>
      </c>
      <c r="J1855" s="3" t="b">
        <f>H1855 &lt;&gt; ""</f>
        <v>1</v>
      </c>
      <c r="K1855" s="3">
        <f>COUNTIFS(FieldDisagreements!D2:D999, A1855)</f>
        <v>0</v>
      </c>
      <c r="L1855" s="3" t="b">
        <f>K1855 &gt; 0</f>
        <v>0</v>
      </c>
      <c r="M1855" s="2" t="s">
        <v>2387</v>
      </c>
    </row>
    <row r="1856">
      <c r="A1856" s="2" t="s">
        <v>5873</v>
      </c>
      <c r="B1856" s="3" t="str">
        <f>C1856 &amp; "." &amp; D1856</f>
        <v>TableConformance.SubjectArea</v>
      </c>
      <c r="C1856" s="2" t="s">
        <v>1897</v>
      </c>
      <c r="D1856" s="2" t="s">
        <v>5297</v>
      </c>
      <c r="E1856" s="2" t="s">
        <v>2478</v>
      </c>
      <c r="F1856" s="2" t="s">
        <v>2386</v>
      </c>
      <c r="G1856" s="2" t="s">
        <v>5874</v>
      </c>
      <c r="H1856" s="2" t="s">
        <v>2368</v>
      </c>
      <c r="I1856" s="3" t="b">
        <f>OR(E1856 = "calculated", E1856 = "lookup", E1856 = "aggregation")</f>
        <v>1</v>
      </c>
      <c r="J1856" s="3" t="b">
        <f>H1856 &lt;&gt; ""</f>
        <v>1</v>
      </c>
      <c r="K1856" s="3">
        <f>COUNTIFS(FieldDisagreements!D2:D999, A1856)</f>
        <v>0</v>
      </c>
      <c r="L1856" s="3" t="b">
        <f>K1856 &gt; 0</f>
        <v>0</v>
      </c>
      <c r="M1856" s="2" t="s">
        <v>2387</v>
      </c>
    </row>
    <row r="1857">
      <c r="A1857" s="2" t="s">
        <v>5875</v>
      </c>
      <c r="B1857" s="3" t="str">
        <f>C1857 &amp; "." &amp; D1857</f>
        <v>TableConformance.SemanticTypeIri</v>
      </c>
      <c r="C1857" s="2" t="s">
        <v>1897</v>
      </c>
      <c r="D1857" s="2" t="s">
        <v>94</v>
      </c>
      <c r="E1857" s="2" t="s">
        <v>2385</v>
      </c>
      <c r="F1857" s="2" t="s">
        <v>2386</v>
      </c>
      <c r="G1857" s="2"/>
      <c r="H1857" s="2"/>
      <c r="I1857" s="3" t="b">
        <f>OR(E1857 = "calculated", E1857 = "lookup", E1857 = "aggregation")</f>
        <v>0</v>
      </c>
      <c r="J1857" s="3" t="b">
        <f>H1857 &lt;&gt; ""</f>
        <v>0</v>
      </c>
      <c r="K1857" s="3">
        <f>COUNTIFS(FieldDisagreements!D2:D999, A1857)</f>
        <v>0</v>
      </c>
      <c r="L1857" s="3" t="b">
        <f>K1857 &gt; 0</f>
        <v>0</v>
      </c>
      <c r="M1857" s="2" t="s">
        <v>2387</v>
      </c>
    </row>
    <row r="1858">
      <c r="A1858" s="2" t="s">
        <v>5876</v>
      </c>
      <c r="B1858" s="3" t="str">
        <f>C1858 &amp; "." &amp; D1858</f>
        <v>FieldDisagreements.FieldDisagreementId</v>
      </c>
      <c r="C1858" s="2" t="s">
        <v>1901</v>
      </c>
      <c r="D1858" s="2" t="s">
        <v>5877</v>
      </c>
      <c r="E1858" s="2" t="s">
        <v>2385</v>
      </c>
      <c r="F1858" s="2" t="s">
        <v>2386</v>
      </c>
      <c r="G1858" s="2"/>
      <c r="H1858" s="2"/>
      <c r="I1858" s="3" t="b">
        <f>OR(E1858 = "calculated", E1858 = "lookup", E1858 = "aggregation")</f>
        <v>0</v>
      </c>
      <c r="J1858" s="3" t="b">
        <f>H1858 &lt;&gt; ""</f>
        <v>0</v>
      </c>
      <c r="K1858" s="3">
        <f>COUNTIFS(FieldDisagreements!D2:D999, A1858)</f>
        <v>0</v>
      </c>
      <c r="L1858" s="3" t="b">
        <f>K1858 &gt; 0</f>
        <v>0</v>
      </c>
      <c r="M1858" s="2" t="s">
        <v>2387</v>
      </c>
    </row>
    <row r="1859">
      <c r="A1859" s="2" t="s">
        <v>5878</v>
      </c>
      <c r="B1859" s="3" t="str">
        <f>C1859 &amp; "." &amp; D1859</f>
        <v>FieldDisagreements.Name</v>
      </c>
      <c r="C1859" s="2" t="s">
        <v>1901</v>
      </c>
      <c r="D1859" s="2" t="s">
        <v>1</v>
      </c>
      <c r="E1859" s="2" t="s">
        <v>2389</v>
      </c>
      <c r="F1859" s="2" t="s">
        <v>2386</v>
      </c>
      <c r="G1859" s="2" t="s">
        <v>5879</v>
      </c>
      <c r="H1859" s="2"/>
      <c r="I1859" s="3" t="b">
        <f>OR(E1859 = "calculated", E1859 = "lookup", E1859 = "aggregation")</f>
        <v>1</v>
      </c>
      <c r="J1859" s="3" t="b">
        <f>H1859 &lt;&gt; ""</f>
        <v>0</v>
      </c>
      <c r="K1859" s="3">
        <f>COUNTIFS(FieldDisagreements!D2:D999, A1859)</f>
        <v>0</v>
      </c>
      <c r="L1859" s="3" t="b">
        <f>K1859 &gt; 0</f>
        <v>0</v>
      </c>
      <c r="M1859" s="2" t="s">
        <v>2387</v>
      </c>
    </row>
    <row r="1860">
      <c r="A1860" s="2" t="s">
        <v>5880</v>
      </c>
      <c r="B1860" s="3" t="str">
        <f>C1860 &amp; "." &amp; D1860</f>
        <v>FieldDisagreements.Substrate</v>
      </c>
      <c r="C1860" s="2" t="s">
        <v>1901</v>
      </c>
      <c r="D1860" s="2" t="s">
        <v>5793</v>
      </c>
      <c r="E1860" s="2" t="s">
        <v>2434</v>
      </c>
      <c r="F1860" s="2" t="s">
        <v>2386</v>
      </c>
      <c r="G1860" s="2"/>
      <c r="H1860" s="2"/>
      <c r="I1860" s="3" t="b">
        <f>OR(E1860 = "calculated", E1860 = "lookup", E1860 = "aggregation")</f>
        <v>0</v>
      </c>
      <c r="J1860" s="3" t="b">
        <f>H1860 &lt;&gt; ""</f>
        <v>0</v>
      </c>
      <c r="K1860" s="3">
        <f>COUNTIFS(FieldDisagreements!D2:D999, A1860)</f>
        <v>0</v>
      </c>
      <c r="L1860" s="3" t="b">
        <f>K1860 &gt; 0</f>
        <v>0</v>
      </c>
      <c r="M1860" s="2" t="s">
        <v>2387</v>
      </c>
    </row>
    <row r="1861">
      <c r="A1861" s="2" t="s">
        <v>5881</v>
      </c>
      <c r="B1861" s="3" t="str">
        <f>C1861 &amp; "." &amp; D1861</f>
        <v>FieldDisagreements.RulebookField</v>
      </c>
      <c r="C1861" s="2" t="s">
        <v>1901</v>
      </c>
      <c r="D1861" s="2" t="s">
        <v>5882</v>
      </c>
      <c r="E1861" s="2" t="s">
        <v>2434</v>
      </c>
      <c r="F1861" s="2" t="s">
        <v>2386</v>
      </c>
      <c r="G1861" s="2"/>
      <c r="H1861" s="2"/>
      <c r="I1861" s="3" t="b">
        <f>OR(E1861 = "calculated", E1861 = "lookup", E1861 = "aggregation")</f>
        <v>0</v>
      </c>
      <c r="J1861" s="3" t="b">
        <f>H1861 &lt;&gt; ""</f>
        <v>0</v>
      </c>
      <c r="K1861" s="3">
        <f>COUNTIFS(FieldDisagreements!D2:D999, A1861)</f>
        <v>0</v>
      </c>
      <c r="L1861" s="3" t="b">
        <f>K1861 &gt; 0</f>
        <v>0</v>
      </c>
      <c r="M1861" s="2" t="s">
        <v>2387</v>
      </c>
    </row>
    <row r="1862">
      <c r="A1862" s="2" t="s">
        <v>5883</v>
      </c>
      <c r="B1862" s="3" t="str">
        <f>C1862 &amp; "." &amp; D1862</f>
        <v>FieldDisagreements.TableConformance</v>
      </c>
      <c r="C1862" s="2" t="s">
        <v>1901</v>
      </c>
      <c r="D1862" s="2" t="s">
        <v>1897</v>
      </c>
      <c r="E1862" s="2" t="s">
        <v>2434</v>
      </c>
      <c r="F1862" s="2" t="s">
        <v>2386</v>
      </c>
      <c r="G1862" s="2"/>
      <c r="H1862" s="2"/>
      <c r="I1862" s="3" t="b">
        <f>OR(E1862 = "calculated", E1862 = "lookup", E1862 = "aggregation")</f>
        <v>0</v>
      </c>
      <c r="J1862" s="3" t="b">
        <f>H1862 &lt;&gt; ""</f>
        <v>0</v>
      </c>
      <c r="K1862" s="3">
        <f>COUNTIFS(FieldDisagreements!D2:D999, A1862)</f>
        <v>0</v>
      </c>
      <c r="L1862" s="3" t="b">
        <f>K1862 &gt; 0</f>
        <v>0</v>
      </c>
      <c r="M1862" s="2" t="s">
        <v>2387</v>
      </c>
    </row>
    <row r="1863">
      <c r="A1863" s="2" t="s">
        <v>5884</v>
      </c>
      <c r="B1863" s="3" t="str">
        <f>C1863 &amp; "." &amp; D1863</f>
        <v>FieldDisagreements.FieldClass</v>
      </c>
      <c r="C1863" s="2" t="s">
        <v>1901</v>
      </c>
      <c r="D1863" s="2" t="s">
        <v>5885</v>
      </c>
      <c r="E1863" s="2" t="s">
        <v>2385</v>
      </c>
      <c r="F1863" s="2" t="s">
        <v>2386</v>
      </c>
      <c r="G1863" s="2"/>
      <c r="H1863" s="2"/>
      <c r="I1863" s="3" t="b">
        <f>OR(E1863 = "calculated", E1863 = "lookup", E1863 = "aggregation")</f>
        <v>0</v>
      </c>
      <c r="J1863" s="3" t="b">
        <f>H1863 &lt;&gt; ""</f>
        <v>0</v>
      </c>
      <c r="K1863" s="3">
        <f>COUNTIFS(FieldDisagreements!D2:D999, A1863)</f>
        <v>0</v>
      </c>
      <c r="L1863" s="3" t="b">
        <f>K1863 &gt; 0</f>
        <v>0</v>
      </c>
      <c r="M1863" s="2" t="s">
        <v>2387</v>
      </c>
    </row>
    <row r="1864">
      <c r="A1864" s="2" t="s">
        <v>5886</v>
      </c>
      <c r="B1864" s="3" t="str">
        <f>C1864 &amp; "." &amp; D1864</f>
        <v>FieldDisagreements.CellsFailed</v>
      </c>
      <c r="C1864" s="2" t="s">
        <v>1901</v>
      </c>
      <c r="D1864" s="2" t="s">
        <v>5775</v>
      </c>
      <c r="E1864" s="2" t="s">
        <v>2385</v>
      </c>
      <c r="F1864" s="2" t="s">
        <v>2444</v>
      </c>
      <c r="G1864" s="2"/>
      <c r="H1864" s="2"/>
      <c r="I1864" s="3" t="b">
        <f>OR(E1864 = "calculated", E1864 = "lookup", E1864 = "aggregation")</f>
        <v>0</v>
      </c>
      <c r="J1864" s="3" t="b">
        <f>H1864 &lt;&gt; ""</f>
        <v>0</v>
      </c>
      <c r="K1864" s="3">
        <f>COUNTIFS(FieldDisagreements!D2:D999, A1864)</f>
        <v>0</v>
      </c>
      <c r="L1864" s="3" t="b">
        <f>K1864 &gt; 0</f>
        <v>0</v>
      </c>
      <c r="M1864" s="2" t="s">
        <v>2387</v>
      </c>
    </row>
    <row r="1865">
      <c r="A1865" s="2" t="s">
        <v>5887</v>
      </c>
      <c r="B1865" s="3" t="str">
        <f>C1865 &amp; "." &amp; D1865</f>
        <v>FieldDisagreements.DominantReason</v>
      </c>
      <c r="C1865" s="2" t="s">
        <v>1901</v>
      </c>
      <c r="D1865" s="2" t="s">
        <v>5888</v>
      </c>
      <c r="E1865" s="2" t="s">
        <v>2385</v>
      </c>
      <c r="F1865" s="2" t="s">
        <v>2386</v>
      </c>
      <c r="G1865" s="2"/>
      <c r="H1865" s="2"/>
      <c r="I1865" s="3" t="b">
        <f>OR(E1865 = "calculated", E1865 = "lookup", E1865 = "aggregation")</f>
        <v>0</v>
      </c>
      <c r="J1865" s="3" t="b">
        <f>H1865 &lt;&gt; ""</f>
        <v>0</v>
      </c>
      <c r="K1865" s="3">
        <f>COUNTIFS(FieldDisagreements!D2:D999, A1865)</f>
        <v>0</v>
      </c>
      <c r="L1865" s="3" t="b">
        <f>K1865 &gt; 0</f>
        <v>0</v>
      </c>
      <c r="M1865" s="2" t="s">
        <v>2387</v>
      </c>
    </row>
    <row r="1866">
      <c r="A1866" s="2" t="s">
        <v>5889</v>
      </c>
      <c r="B1866" s="3" t="str">
        <f>C1866 &amp; "." &amp; D1866</f>
        <v>FieldDisagreements.SampledCellCount</v>
      </c>
      <c r="C1866" s="2" t="s">
        <v>1901</v>
      </c>
      <c r="D1866" s="2" t="s">
        <v>5890</v>
      </c>
      <c r="E1866" s="2" t="s">
        <v>2438</v>
      </c>
      <c r="F1866" s="2" t="s">
        <v>2444</v>
      </c>
      <c r="G1866" s="2" t="s">
        <v>5891</v>
      </c>
      <c r="H1866" s="2" t="s">
        <v>2368</v>
      </c>
      <c r="I1866" s="3" t="b">
        <f>OR(E1866 = "calculated", E1866 = "lookup", E1866 = "aggregation")</f>
        <v>1</v>
      </c>
      <c r="J1866" s="3" t="b">
        <f>H1866 &lt;&gt; ""</f>
        <v>1</v>
      </c>
      <c r="K1866" s="3">
        <f>COUNTIFS(FieldDisagreements!D2:D999, A1866)</f>
        <v>0</v>
      </c>
      <c r="L1866" s="3" t="b">
        <f>K1866 &gt; 0</f>
        <v>0</v>
      </c>
      <c r="M1866" s="2" t="s">
        <v>2387</v>
      </c>
    </row>
    <row r="1867">
      <c r="A1867" s="2" t="s">
        <v>5892</v>
      </c>
      <c r="B1867" s="3" t="str">
        <f>C1867 &amp; "." &amp; D1867</f>
        <v>FieldDisagreements.IsFullySampled</v>
      </c>
      <c r="C1867" s="2" t="s">
        <v>1901</v>
      </c>
      <c r="D1867" s="2" t="s">
        <v>5893</v>
      </c>
      <c r="E1867" s="2" t="s">
        <v>2389</v>
      </c>
      <c r="F1867" s="2" t="s">
        <v>2401</v>
      </c>
      <c r="G1867" s="2" t="s">
        <v>5894</v>
      </c>
      <c r="H1867" s="2" t="s">
        <v>2368</v>
      </c>
      <c r="I1867" s="3" t="b">
        <f>OR(E1867 = "calculated", E1867 = "lookup", E1867 = "aggregation")</f>
        <v>1</v>
      </c>
      <c r="J1867" s="3" t="b">
        <f>H1867 &lt;&gt; ""</f>
        <v>1</v>
      </c>
      <c r="K1867" s="3">
        <f>COUNTIFS(FieldDisagreements!D2:D999, A1867)</f>
        <v>0</v>
      </c>
      <c r="L1867" s="3" t="b">
        <f>K1867 &gt; 0</f>
        <v>0</v>
      </c>
      <c r="M1867" s="2" t="s">
        <v>2387</v>
      </c>
    </row>
    <row r="1868">
      <c r="A1868" s="2" t="s">
        <v>5895</v>
      </c>
      <c r="B1868" s="3" t="str">
        <f>C1868 &amp; "." &amp; D1868</f>
        <v>FieldDisagreements.Formula</v>
      </c>
      <c r="C1868" s="2" t="s">
        <v>1901</v>
      </c>
      <c r="D1868" s="2" t="s">
        <v>2377</v>
      </c>
      <c r="E1868" s="2" t="s">
        <v>2478</v>
      </c>
      <c r="F1868" s="2" t="s">
        <v>2386</v>
      </c>
      <c r="G1868" s="2" t="s">
        <v>5896</v>
      </c>
      <c r="H1868" s="2" t="s">
        <v>2368</v>
      </c>
      <c r="I1868" s="3" t="b">
        <f>OR(E1868 = "calculated", E1868 = "lookup", E1868 = "aggregation")</f>
        <v>1</v>
      </c>
      <c r="J1868" s="3" t="b">
        <f>H1868 &lt;&gt; ""</f>
        <v>1</v>
      </c>
      <c r="K1868" s="3">
        <f>COUNTIFS(FieldDisagreements!D2:D999, A1868)</f>
        <v>0</v>
      </c>
      <c r="L1868" s="3" t="b">
        <f>K1868 &gt; 0</f>
        <v>0</v>
      </c>
      <c r="M1868" s="2" t="s">
        <v>2387</v>
      </c>
    </row>
    <row r="1869">
      <c r="A1869" s="2" t="s">
        <v>5897</v>
      </c>
      <c r="B1869" s="3" t="str">
        <f>C1869 &amp; "." &amp; D1869</f>
        <v>FieldDisagreements.SubstrateLabel</v>
      </c>
      <c r="C1869" s="2" t="s">
        <v>1901</v>
      </c>
      <c r="D1869" s="2" t="s">
        <v>5841</v>
      </c>
      <c r="E1869" s="2" t="s">
        <v>2478</v>
      </c>
      <c r="F1869" s="2" t="s">
        <v>2386</v>
      </c>
      <c r="G1869" s="2" t="s">
        <v>5842</v>
      </c>
      <c r="H1869" s="2" t="s">
        <v>2368</v>
      </c>
      <c r="I1869" s="3" t="b">
        <f>OR(E1869 = "calculated", E1869 = "lookup", E1869 = "aggregation")</f>
        <v>1</v>
      </c>
      <c r="J1869" s="3" t="b">
        <f>H1869 &lt;&gt; ""</f>
        <v>1</v>
      </c>
      <c r="K1869" s="3">
        <f>COUNTIFS(FieldDisagreements!D2:D999, A1869)</f>
        <v>0</v>
      </c>
      <c r="L1869" s="3" t="b">
        <f>K1869 &gt; 0</f>
        <v>0</v>
      </c>
      <c r="M1869" s="2" t="s">
        <v>2387</v>
      </c>
    </row>
    <row r="1870">
      <c r="A1870" s="2" t="s">
        <v>5898</v>
      </c>
      <c r="B1870" s="3" t="str">
        <f>C1870 &amp; "." &amp; D1870</f>
        <v>FieldDisagreements.SemanticTypeIri</v>
      </c>
      <c r="C1870" s="2" t="s">
        <v>1901</v>
      </c>
      <c r="D1870" s="2" t="s">
        <v>94</v>
      </c>
      <c r="E1870" s="2" t="s">
        <v>2385</v>
      </c>
      <c r="F1870" s="2" t="s">
        <v>2386</v>
      </c>
      <c r="G1870" s="2"/>
      <c r="H1870" s="2"/>
      <c r="I1870" s="3" t="b">
        <f>OR(E1870 = "calculated", E1870 = "lookup", E1870 = "aggregation")</f>
        <v>0</v>
      </c>
      <c r="J1870" s="3" t="b">
        <f>H1870 &lt;&gt; ""</f>
        <v>0</v>
      </c>
      <c r="K1870" s="3">
        <f>COUNTIFS(FieldDisagreements!D2:D999, A1870)</f>
        <v>0</v>
      </c>
      <c r="L1870" s="3" t="b">
        <f>K1870 &gt; 0</f>
        <v>0</v>
      </c>
      <c r="M1870" s="2" t="s">
        <v>2387</v>
      </c>
    </row>
    <row r="1871">
      <c r="A1871" s="2" t="s">
        <v>5899</v>
      </c>
      <c r="B1871" s="3" t="str">
        <f>C1871 &amp; "." &amp; D1871</f>
        <v>CellDisagreements.CellDisagreementId</v>
      </c>
      <c r="C1871" s="2" t="s">
        <v>1905</v>
      </c>
      <c r="D1871" s="2" t="s">
        <v>5900</v>
      </c>
      <c r="E1871" s="2" t="s">
        <v>2385</v>
      </c>
      <c r="F1871" s="2" t="s">
        <v>2386</v>
      </c>
      <c r="G1871" s="2"/>
      <c r="H1871" s="2"/>
      <c r="I1871" s="3" t="b">
        <f>OR(E1871 = "calculated", E1871 = "lookup", E1871 = "aggregation")</f>
        <v>0</v>
      </c>
      <c r="J1871" s="3" t="b">
        <f>H1871 &lt;&gt; ""</f>
        <v>0</v>
      </c>
      <c r="K1871" s="3">
        <f>COUNTIFS(FieldDisagreements!D2:D999, A1871)</f>
        <v>0</v>
      </c>
      <c r="L1871" s="3" t="b">
        <f>K1871 &gt; 0</f>
        <v>0</v>
      </c>
      <c r="M1871" s="2" t="s">
        <v>2387</v>
      </c>
    </row>
    <row r="1872">
      <c r="A1872" s="2" t="s">
        <v>5901</v>
      </c>
      <c r="B1872" s="3" t="str">
        <f>C1872 &amp; "." &amp; D1872</f>
        <v>CellDisagreements.Name</v>
      </c>
      <c r="C1872" s="2" t="s">
        <v>1905</v>
      </c>
      <c r="D1872" s="2" t="s">
        <v>1</v>
      </c>
      <c r="E1872" s="2" t="s">
        <v>2389</v>
      </c>
      <c r="F1872" s="2" t="s">
        <v>2386</v>
      </c>
      <c r="G1872" s="2" t="s">
        <v>5902</v>
      </c>
      <c r="H1872" s="2"/>
      <c r="I1872" s="3" t="b">
        <f>OR(E1872 = "calculated", E1872 = "lookup", E1872 = "aggregation")</f>
        <v>1</v>
      </c>
      <c r="J1872" s="3" t="b">
        <f>H1872 &lt;&gt; ""</f>
        <v>0</v>
      </c>
      <c r="K1872" s="3">
        <f>COUNTIFS(FieldDisagreements!D2:D999, A1872)</f>
        <v>0</v>
      </c>
      <c r="L1872" s="3" t="b">
        <f>K1872 &gt; 0</f>
        <v>0</v>
      </c>
      <c r="M1872" s="2" t="s">
        <v>2387</v>
      </c>
    </row>
    <row r="1873">
      <c r="A1873" s="2" t="s">
        <v>5903</v>
      </c>
      <c r="B1873" s="3" t="str">
        <f>C1873 &amp; "." &amp; D1873</f>
        <v>CellDisagreements.FieldDisagreement</v>
      </c>
      <c r="C1873" s="2" t="s">
        <v>1905</v>
      </c>
      <c r="D1873" s="2" t="s">
        <v>5904</v>
      </c>
      <c r="E1873" s="2" t="s">
        <v>2434</v>
      </c>
      <c r="F1873" s="2" t="s">
        <v>2386</v>
      </c>
      <c r="G1873" s="2"/>
      <c r="H1873" s="2"/>
      <c r="I1873" s="3" t="b">
        <f>OR(E1873 = "calculated", E1873 = "lookup", E1873 = "aggregation")</f>
        <v>0</v>
      </c>
      <c r="J1873" s="3" t="b">
        <f>H1873 &lt;&gt; ""</f>
        <v>0</v>
      </c>
      <c r="K1873" s="3">
        <f>COUNTIFS(FieldDisagreements!D2:D999, A1873)</f>
        <v>0</v>
      </c>
      <c r="L1873" s="3" t="b">
        <f>K1873 &gt; 0</f>
        <v>0</v>
      </c>
      <c r="M1873" s="2" t="s">
        <v>2387</v>
      </c>
    </row>
    <row r="1874">
      <c r="A1874" s="2" t="s">
        <v>5905</v>
      </c>
      <c r="B1874" s="3" t="str">
        <f>C1874 &amp; "." &amp; D1874</f>
        <v>CellDisagreements.RecordId</v>
      </c>
      <c r="C1874" s="2" t="s">
        <v>1905</v>
      </c>
      <c r="D1874" s="2" t="s">
        <v>5906</v>
      </c>
      <c r="E1874" s="2" t="s">
        <v>2385</v>
      </c>
      <c r="F1874" s="2" t="s">
        <v>2386</v>
      </c>
      <c r="G1874" s="2"/>
      <c r="H1874" s="2"/>
      <c r="I1874" s="3" t="b">
        <f>OR(E1874 = "calculated", E1874 = "lookup", E1874 = "aggregation")</f>
        <v>0</v>
      </c>
      <c r="J1874" s="3" t="b">
        <f>H1874 &lt;&gt; ""</f>
        <v>0</v>
      </c>
      <c r="K1874" s="3">
        <f>COUNTIFS(FieldDisagreements!D2:D999, A1874)</f>
        <v>0</v>
      </c>
      <c r="L1874" s="3" t="b">
        <f>K1874 &gt; 0</f>
        <v>0</v>
      </c>
      <c r="M1874" s="2" t="s">
        <v>2387</v>
      </c>
    </row>
    <row r="1875">
      <c r="A1875" s="2" t="s">
        <v>5907</v>
      </c>
      <c r="B1875" s="3" t="str">
        <f>C1875 &amp; "." &amp; D1875</f>
        <v>CellDisagreements.ExpectedValue</v>
      </c>
      <c r="C1875" s="2" t="s">
        <v>1905</v>
      </c>
      <c r="D1875" s="2" t="s">
        <v>5908</v>
      </c>
      <c r="E1875" s="2" t="s">
        <v>2385</v>
      </c>
      <c r="F1875" s="2" t="s">
        <v>2386</v>
      </c>
      <c r="G1875" s="2"/>
      <c r="H1875" s="2"/>
      <c r="I1875" s="3" t="b">
        <f>OR(E1875 = "calculated", E1875 = "lookup", E1875 = "aggregation")</f>
        <v>0</v>
      </c>
      <c r="J1875" s="3" t="b">
        <f>H1875 &lt;&gt; ""</f>
        <v>0</v>
      </c>
      <c r="K1875" s="3">
        <f>COUNTIFS(FieldDisagreements!D2:D999, A1875)</f>
        <v>0</v>
      </c>
      <c r="L1875" s="3" t="b">
        <f>K1875 &gt; 0</f>
        <v>0</v>
      </c>
      <c r="M1875" s="2" t="s">
        <v>2387</v>
      </c>
    </row>
    <row r="1876">
      <c r="A1876" s="2" t="s">
        <v>5909</v>
      </c>
      <c r="B1876" s="3" t="str">
        <f>C1876 &amp; "." &amp; D1876</f>
        <v>CellDisagreements.ActualValue</v>
      </c>
      <c r="C1876" s="2" t="s">
        <v>1905</v>
      </c>
      <c r="D1876" s="2" t="s">
        <v>5910</v>
      </c>
      <c r="E1876" s="2" t="s">
        <v>2385</v>
      </c>
      <c r="F1876" s="2" t="s">
        <v>2386</v>
      </c>
      <c r="G1876" s="2"/>
      <c r="H1876" s="2"/>
      <c r="I1876" s="3" t="b">
        <f>OR(E1876 = "calculated", E1876 = "lookup", E1876 = "aggregation")</f>
        <v>0</v>
      </c>
      <c r="J1876" s="3" t="b">
        <f>H1876 &lt;&gt; ""</f>
        <v>0</v>
      </c>
      <c r="K1876" s="3">
        <f>COUNTIFS(FieldDisagreements!D2:D999, A1876)</f>
        <v>0</v>
      </c>
      <c r="L1876" s="3" t="b">
        <f>K1876 &gt; 0</f>
        <v>0</v>
      </c>
      <c r="M1876" s="2" t="s">
        <v>2387</v>
      </c>
    </row>
    <row r="1877">
      <c r="A1877" s="2" t="s">
        <v>5911</v>
      </c>
      <c r="B1877" s="3" t="str">
        <f>C1877 &amp; "." &amp; D1877</f>
        <v>CellDisagreements.Reason</v>
      </c>
      <c r="C1877" s="2" t="s">
        <v>1905</v>
      </c>
      <c r="D1877" s="2" t="s">
        <v>257</v>
      </c>
      <c r="E1877" s="2" t="s">
        <v>2385</v>
      </c>
      <c r="F1877" s="2" t="s">
        <v>2386</v>
      </c>
      <c r="G1877" s="2"/>
      <c r="H1877" s="2"/>
      <c r="I1877" s="3" t="b">
        <f>OR(E1877 = "calculated", E1877 = "lookup", E1877 = "aggregation")</f>
        <v>0</v>
      </c>
      <c r="J1877" s="3" t="b">
        <f>H1877 &lt;&gt; ""</f>
        <v>0</v>
      </c>
      <c r="K1877" s="3">
        <f>COUNTIFS(FieldDisagreements!D2:D999, A1877)</f>
        <v>0</v>
      </c>
      <c r="L1877" s="3" t="b">
        <f>K1877 &gt; 0</f>
        <v>0</v>
      </c>
      <c r="M1877" s="2" t="s">
        <v>2387</v>
      </c>
    </row>
    <row r="1878">
      <c r="A1878" s="2" t="s">
        <v>5912</v>
      </c>
      <c r="B1878" s="3" t="str">
        <f>C1878 &amp; "." &amp; D1878</f>
        <v>CellDisagreements.Substrate</v>
      </c>
      <c r="C1878" s="2" t="s">
        <v>1905</v>
      </c>
      <c r="D1878" s="2" t="s">
        <v>5793</v>
      </c>
      <c r="E1878" s="2" t="s">
        <v>2478</v>
      </c>
      <c r="F1878" s="2" t="s">
        <v>2386</v>
      </c>
      <c r="G1878" s="2" t="s">
        <v>5913</v>
      </c>
      <c r="H1878" s="2" t="s">
        <v>2368</v>
      </c>
      <c r="I1878" s="3" t="b">
        <f>OR(E1878 = "calculated", E1878 = "lookup", E1878 = "aggregation")</f>
        <v>1</v>
      </c>
      <c r="J1878" s="3" t="b">
        <f>H1878 &lt;&gt; ""</f>
        <v>1</v>
      </c>
      <c r="K1878" s="3">
        <f>COUNTIFS(FieldDisagreements!D2:D999, A1878)</f>
        <v>0</v>
      </c>
      <c r="L1878" s="3" t="b">
        <f>K1878 &gt; 0</f>
        <v>0</v>
      </c>
      <c r="M1878" s="2" t="s">
        <v>2387</v>
      </c>
    </row>
    <row r="1879">
      <c r="A1879" s="2" t="s">
        <v>5914</v>
      </c>
      <c r="B1879" s="3" t="str">
        <f>C1879 &amp; "." &amp; D1879</f>
        <v>CellDisagreements.RulebookField</v>
      </c>
      <c r="C1879" s="2" t="s">
        <v>1905</v>
      </c>
      <c r="D1879" s="2" t="s">
        <v>5882</v>
      </c>
      <c r="E1879" s="2" t="s">
        <v>2478</v>
      </c>
      <c r="F1879" s="2" t="s">
        <v>2386</v>
      </c>
      <c r="G1879" s="2" t="s">
        <v>5915</v>
      </c>
      <c r="H1879" s="2" t="s">
        <v>2368</v>
      </c>
      <c r="I1879" s="3" t="b">
        <f>OR(E1879 = "calculated", E1879 = "lookup", E1879 = "aggregation")</f>
        <v>1</v>
      </c>
      <c r="J1879" s="3" t="b">
        <f>H1879 &lt;&gt; ""</f>
        <v>1</v>
      </c>
      <c r="K1879" s="3">
        <f>COUNTIFS(FieldDisagreements!D2:D999, A1879)</f>
        <v>0</v>
      </c>
      <c r="L1879" s="3" t="b">
        <f>K1879 &gt; 0</f>
        <v>0</v>
      </c>
      <c r="M1879" s="2" t="s">
        <v>2387</v>
      </c>
    </row>
    <row r="1880">
      <c r="A1880" s="2" t="s">
        <v>5916</v>
      </c>
      <c r="B1880" s="3" t="str">
        <f>C1880 &amp; "." &amp; D1880</f>
        <v>CellDisagreements.SemanticTypeIri</v>
      </c>
      <c r="C1880" s="2" t="s">
        <v>1905</v>
      </c>
      <c r="D1880" s="2" t="s">
        <v>94</v>
      </c>
      <c r="E1880" s="2" t="s">
        <v>2385</v>
      </c>
      <c r="F1880" s="2" t="s">
        <v>2386</v>
      </c>
      <c r="G1880" s="2"/>
      <c r="H1880" s="2"/>
      <c r="I1880" s="3" t="b">
        <f>OR(E1880 = "calculated", E1880 = "lookup", E1880 = "aggregation")</f>
        <v>0</v>
      </c>
      <c r="J1880" s="3" t="b">
        <f>H1880 &lt;&gt; ""</f>
        <v>0</v>
      </c>
      <c r="K1880" s="3">
        <f>COUNTIFS(FieldDisagreements!D2:D999, A1880)</f>
        <v>0</v>
      </c>
      <c r="L1880" s="3" t="b">
        <f>K1880 &gt; 0</f>
        <v>0</v>
      </c>
      <c r="M1880" s="2" t="s">
        <v>2387</v>
      </c>
    </row>
  </sheetData>
  <autoFilter ref="A1:M1"/>
  <headerFooter/>
  <legacyDrawing r:id="rId1"/>
</worksheet>
</file>

<file path=xl/worksheets/sheet5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7"/>
  <sheetViews>
    <sheetView workbookViewId="0">
      <pane ySplit="1" topLeftCell="A2" state="frozen" activePane="bottomLeft"/>
      <selection pane="bottomLeft" activeCell="A1" sqref="A1"/>
    </sheetView>
  </sheetViews>
  <sheetFormatPr defaultRowHeight="15"/>
  <cols>
    <col min="1" max="1" width="17.443378448486328" customWidth="1"/>
    <col min="2" max="2" width="21.07895278930664" customWidth="1"/>
    <col min="3" max="3" width="21.07895278930664" customWidth="1"/>
    <col min="4" max="4" width="17.443378448486328" customWidth="1"/>
    <col min="5" max="5" width="17.443378448486328" customWidth="1"/>
    <col min="6" max="6" width="18.02218246459961" customWidth="1"/>
    <col min="7" max="7" width="17.443378448486328" customWidth="1"/>
    <col min="8" max="8" width="37.188419342041016" customWidth="1"/>
  </cols>
  <sheetData>
    <row r="1">
      <c r="A1" s="1" t="s">
        <v>4126</v>
      </c>
      <c r="B1" s="1" t="s">
        <v>1</v>
      </c>
      <c r="C1" s="1" t="s">
        <v>19</v>
      </c>
      <c r="D1" s="1" t="s">
        <v>4130</v>
      </c>
      <c r="E1" s="1" t="s">
        <v>4133</v>
      </c>
      <c r="F1" s="1" t="s">
        <v>4136</v>
      </c>
      <c r="G1" s="1" t="s">
        <v>4139</v>
      </c>
      <c r="H1" s="1" t="s">
        <v>94</v>
      </c>
    </row>
    <row r="2">
      <c r="A2" s="2" t="s">
        <v>5917</v>
      </c>
      <c r="B2" s="3" t="str">
        <f>C2</f>
        <v>Model structure</v>
      </c>
      <c r="C2" s="2" t="s">
        <v>5918</v>
      </c>
      <c r="D2" s="3">
        <f>COUNTIFS(TestCases!I2:I999, A2)</f>
        <v>69</v>
      </c>
      <c r="E2" s="3">
        <f>COUNTIFS(TestCases!R2:R999, A2)</f>
        <v>69</v>
      </c>
      <c r="F2" s="3">
        <f>COUNTIFS(TestCases!S2:S999, A2)</f>
        <v>0</v>
      </c>
      <c r="G2" s="3" t="b">
        <f>F2 = 0</f>
        <v>1</v>
      </c>
      <c r="H2" s="2" t="s">
        <v>5919</v>
      </c>
    </row>
    <row r="3">
      <c r="A3" s="2" t="s">
        <v>5920</v>
      </c>
      <c r="B3" s="3" t="str">
        <f>C3</f>
        <v>Substrate translation</v>
      </c>
      <c r="C3" s="2" t="s">
        <v>5921</v>
      </c>
      <c r="D3" s="3">
        <f>COUNTIFS(TestCases!I2:I999, A3)</f>
        <v>929</v>
      </c>
      <c r="E3" s="3">
        <f>COUNTIFS(TestCases!R2:R999, A3)</f>
        <v>929</v>
      </c>
      <c r="F3" s="3">
        <f>COUNTIFS(TestCases!S2:S999, A3)</f>
        <v>0</v>
      </c>
      <c r="G3" s="3" t="b">
        <f>F3 = 0</f>
        <v>1</v>
      </c>
      <c r="H3" s="2" t="s">
        <v>5919</v>
      </c>
    </row>
    <row r="4">
      <c r="A4" s="2" t="s">
        <v>5922</v>
      </c>
      <c r="B4" s="3" t="str">
        <f>C4</f>
        <v>Referential integrity</v>
      </c>
      <c r="C4" s="2" t="s">
        <v>5923</v>
      </c>
      <c r="D4" s="3">
        <f>COUNTIFS(TestCases!I2:I999, A4)</f>
        <v>0</v>
      </c>
      <c r="E4" s="3">
        <f>COUNTIFS(TestCases!R2:R999, A4)</f>
        <v>0</v>
      </c>
      <c r="F4" s="3">
        <f>COUNTIFS(TestCases!S2:S999, A4)</f>
        <v>0</v>
      </c>
      <c r="G4" s="3" t="b">
        <f>F4 = 0</f>
        <v>1</v>
      </c>
      <c r="H4" s="2" t="s">
        <v>5919</v>
      </c>
    </row>
    <row r="5">
      <c r="A5" s="2" t="s">
        <v>5924</v>
      </c>
      <c r="B5" s="3" t="str">
        <f>C5</f>
        <v>Witness behaviour</v>
      </c>
      <c r="C5" s="2" t="s">
        <v>5925</v>
      </c>
      <c r="D5" s="3">
        <f>COUNTIFS(TestCases!I2:I999, A5)</f>
        <v>0</v>
      </c>
      <c r="E5" s="3">
        <f>COUNTIFS(TestCases!R2:R999, A5)</f>
        <v>0</v>
      </c>
      <c r="F5" s="3">
        <f>COUNTIFS(TestCases!S2:S999, A5)</f>
        <v>0</v>
      </c>
      <c r="G5" s="3" t="b">
        <f>F5 = 0</f>
        <v>1</v>
      </c>
      <c r="H5" s="2" t="s">
        <v>5919</v>
      </c>
    </row>
    <row r="6">
      <c r="A6" s="2" t="s">
        <v>5926</v>
      </c>
      <c r="B6" s="3" t="str">
        <f>C6</f>
        <v>Question provenance</v>
      </c>
      <c r="C6" s="2" t="s">
        <v>5927</v>
      </c>
      <c r="D6" s="3">
        <f>COUNTIFS(TestCases!I2:I999, A6)</f>
        <v>0</v>
      </c>
      <c r="E6" s="3">
        <f>COUNTIFS(TestCases!R2:R999, A6)</f>
        <v>0</v>
      </c>
      <c r="F6" s="3">
        <f>COUNTIFS(TestCases!S2:S999, A6)</f>
        <v>0</v>
      </c>
      <c r="G6" s="3" t="b">
        <f>F6 = 0</f>
        <v>1</v>
      </c>
      <c r="H6" s="2" t="s">
        <v>5919</v>
      </c>
    </row>
    <row r="7">
      <c r="A7" s="2" t="s">
        <v>5928</v>
      </c>
      <c r="B7" s="3" t="str">
        <f>C7</f>
        <v>Domain invariants</v>
      </c>
      <c r="C7" s="2" t="s">
        <v>5929</v>
      </c>
      <c r="D7" s="3">
        <f>COUNTIFS(TestCases!I2:I999, A7)</f>
        <v>0</v>
      </c>
      <c r="E7" s="3">
        <f>COUNTIFS(TestCases!R2:R999, A7)</f>
        <v>0</v>
      </c>
      <c r="F7" s="3">
        <f>COUNTIFS(TestCases!S2:S999, A7)</f>
        <v>0</v>
      </c>
      <c r="G7" s="3" t="b">
        <f>F7 = 0</f>
        <v>1</v>
      </c>
      <c r="H7" s="2" t="s">
        <v>5919</v>
      </c>
    </row>
  </sheetData>
  <autoFilter ref="A1:H1"/>
  <headerFooter/>
  <legacyDrawing r:id="rId1"/>
</worksheet>
</file>

<file path=xl/worksheets/sheet5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1795"/>
  <sheetViews>
    <sheetView workbookViewId="0">
      <pane ySplit="1" topLeftCell="A2" state="frozen" activePane="bottomLeft"/>
      <selection pane="bottomLeft" activeCell="A1" sqref="A1"/>
    </sheetView>
  </sheetViews>
  <sheetFormatPr defaultRowHeight="15"/>
  <cols>
    <col min="1" max="1" width="74.13104248046875" customWidth="1"/>
    <col min="2" max="2" width="85.5906982421875" customWidth="1"/>
    <col min="3" max="3" width="21.431428909301758" customWidth="1"/>
    <col min="4" max="4" width="73.83155059814453" customWidth="1"/>
    <col min="5" max="5" width="25.653127670288086" customWidth="1"/>
    <col min="6" max="6" width="41.25803756713867" customWidth="1"/>
    <col min="7" max="7" width="98.50501251220703" customWidth="1"/>
    <col min="8" max="8" width="53.72490310668945" customWidth="1"/>
    <col min="9" max="9" width="17.443378448486328" customWidth="1"/>
    <col min="10" max="10" width="17.443378448486328" customWidth="1"/>
    <col min="11" max="11" width="17.443378448486328" customWidth="1"/>
    <col min="12" max="12" width="17.443378448486328" customWidth="1"/>
    <col min="13" max="13" width="45.001068115234375" customWidth="1"/>
    <col min="14" max="14" width="23.46630859375" customWidth="1"/>
    <col min="15" max="15" width="17.443378448486328" customWidth="1"/>
    <col min="16" max="16" width="17.443378448486328" customWidth="1"/>
    <col min="17" max="17" width="17.443378448486328" customWidth="1"/>
    <col min="18" max="18" width="17.443378448486328" customWidth="1"/>
    <col min="19" max="19" width="23.88530158996582" customWidth="1"/>
    <col min="20" max="20" width="37.00636672973633" customWidth="1"/>
  </cols>
  <sheetData>
    <row r="1">
      <c r="A1" s="1" t="s">
        <v>4144</v>
      </c>
      <c r="B1" s="1" t="s">
        <v>1</v>
      </c>
      <c r="C1" s="1" t="s">
        <v>4148</v>
      </c>
      <c r="D1" s="1" t="s">
        <v>4150</v>
      </c>
      <c r="E1" s="1" t="s">
        <v>2373</v>
      </c>
      <c r="F1" s="1" t="s">
        <v>4153</v>
      </c>
      <c r="G1" s="1" t="s">
        <v>4155</v>
      </c>
      <c r="H1" s="1" t="s">
        <v>4157</v>
      </c>
      <c r="I1" s="1" t="s">
        <v>4159</v>
      </c>
      <c r="J1" s="1" t="s">
        <v>1175</v>
      </c>
      <c r="K1" s="1" t="s">
        <v>783</v>
      </c>
      <c r="L1" s="1" t="s">
        <v>4164</v>
      </c>
      <c r="M1" s="1" t="s">
        <v>4166</v>
      </c>
      <c r="N1" s="1" t="s">
        <v>4168</v>
      </c>
      <c r="O1" s="1" t="s">
        <v>4170</v>
      </c>
      <c r="P1" s="1" t="s">
        <v>4173</v>
      </c>
      <c r="Q1" s="1" t="s">
        <v>4176</v>
      </c>
      <c r="R1" s="1" t="s">
        <v>4179</v>
      </c>
      <c r="S1" s="1" t="s">
        <v>4182</v>
      </c>
      <c r="T1" s="1" t="s">
        <v>94</v>
      </c>
    </row>
    <row r="2">
      <c r="A2" s="2" t="s">
        <v>5930</v>
      </c>
      <c r="B2" s="3" t="str">
        <f>C2 &amp; ": " &amp; D2</f>
        <v>structural: RulebookReleases</v>
      </c>
      <c r="C2" s="2" t="s">
        <v>5931</v>
      </c>
      <c r="D2" s="2" t="s">
        <v>2384</v>
      </c>
      <c r="E2" s="2" t="s">
        <v>2384</v>
      </c>
      <c r="F2" s="2"/>
      <c r="G2" s="2" t="s">
        <v>5932</v>
      </c>
      <c r="H2" s="2"/>
      <c r="I2" s="2" t="s">
        <v>5917</v>
      </c>
      <c r="J2" s="2" t="s">
        <v>5933</v>
      </c>
      <c r="K2" s="3" t="b">
        <f>J2 = "blocking"</f>
        <v>1</v>
      </c>
      <c r="L2" s="2" t="s">
        <v>1428</v>
      </c>
      <c r="M2" s="2" t="s">
        <v>5934</v>
      </c>
      <c r="N2" s="4">
        <v>46223.1297337963</v>
      </c>
      <c r="O2" s="3" t="b">
        <f>L2 = "PASS"</f>
        <v>1</v>
      </c>
      <c r="P2" s="3" t="b">
        <f>L2 = "FAIL"</f>
        <v>0</v>
      </c>
      <c r="Q2" s="3" t="b">
        <f>AND(P2, K2)</f>
        <v>0</v>
      </c>
      <c r="R2" s="3" t="str">
        <f>IF(O2, I2, "")</f>
        <v>suite-structure</v>
      </c>
      <c r="S2" s="3" t="str">
        <f>IF(Q2, I2, "")</f>
      </c>
      <c r="T2" s="2" t="s">
        <v>5935</v>
      </c>
    </row>
    <row r="3">
      <c r="A3" s="2" t="s">
        <v>5936</v>
      </c>
      <c r="B3" s="3" t="str">
        <f>C3 &amp; ": " &amp; D3</f>
        <v>structural: OntologyProfiles</v>
      </c>
      <c r="C3" s="2" t="s">
        <v>5931</v>
      </c>
      <c r="D3" s="2" t="s">
        <v>2403</v>
      </c>
      <c r="E3" s="2" t="s">
        <v>2403</v>
      </c>
      <c r="F3" s="2"/>
      <c r="G3" s="2" t="s">
        <v>5932</v>
      </c>
      <c r="H3" s="2"/>
      <c r="I3" s="2" t="s">
        <v>5917</v>
      </c>
      <c r="J3" s="2" t="s">
        <v>5933</v>
      </c>
      <c r="K3" s="3" t="b">
        <f>J3 = "blocking"</f>
        <v>1</v>
      </c>
      <c r="L3" s="2" t="s">
        <v>1428</v>
      </c>
      <c r="M3" s="2" t="s">
        <v>5937</v>
      </c>
      <c r="N3" s="4">
        <v>46223.1297337963</v>
      </c>
      <c r="O3" s="3" t="b">
        <f>L3 = "PASS"</f>
        <v>1</v>
      </c>
      <c r="P3" s="3" t="b">
        <f>L3 = "FAIL"</f>
        <v>0</v>
      </c>
      <c r="Q3" s="3" t="b">
        <f>AND(P3, K3)</f>
        <v>0</v>
      </c>
      <c r="R3" s="3" t="str">
        <f>IF(O3, I3, "")</f>
        <v>suite-structure</v>
      </c>
      <c r="S3" s="3" t="str">
        <f>IF(Q3, I3, "")</f>
      </c>
      <c r="T3" s="2" t="s">
        <v>5935</v>
      </c>
    </row>
    <row r="4">
      <c r="A4" s="2" t="s">
        <v>5938</v>
      </c>
      <c r="B4" s="3" t="str">
        <f>C4 &amp; ": " &amp; D4</f>
        <v>structural: EvaluationContexts</v>
      </c>
      <c r="C4" s="2" t="s">
        <v>5931</v>
      </c>
      <c r="D4" s="2" t="s">
        <v>2413</v>
      </c>
      <c r="E4" s="2" t="s">
        <v>2413</v>
      </c>
      <c r="F4" s="2"/>
      <c r="G4" s="2" t="s">
        <v>5932</v>
      </c>
      <c r="H4" s="2"/>
      <c r="I4" s="2" t="s">
        <v>5917</v>
      </c>
      <c r="J4" s="2" t="s">
        <v>5933</v>
      </c>
      <c r="K4" s="3" t="b">
        <f>J4 = "blocking"</f>
        <v>1</v>
      </c>
      <c r="L4" s="2" t="s">
        <v>1428</v>
      </c>
      <c r="M4" s="2" t="s">
        <v>5939</v>
      </c>
      <c r="N4" s="4">
        <v>46223.1297337963</v>
      </c>
      <c r="O4" s="3" t="b">
        <f>L4 = "PASS"</f>
        <v>1</v>
      </c>
      <c r="P4" s="3" t="b">
        <f>L4 = "FAIL"</f>
        <v>0</v>
      </c>
      <c r="Q4" s="3" t="b">
        <f>AND(P4, K4)</f>
        <v>0</v>
      </c>
      <c r="R4" s="3" t="str">
        <f>IF(O4, I4, "")</f>
        <v>suite-structure</v>
      </c>
      <c r="S4" s="3" t="str">
        <f>IF(Q4, I4, "")</f>
      </c>
      <c r="T4" s="2" t="s">
        <v>5935</v>
      </c>
    </row>
    <row r="5">
      <c r="A5" s="2" t="s">
        <v>5940</v>
      </c>
      <c r="B5" s="3" t="str">
        <f>C5 &amp; ": " &amp; D5</f>
        <v>structural: Organizations</v>
      </c>
      <c r="C5" s="2" t="s">
        <v>5931</v>
      </c>
      <c r="D5" s="2" t="s">
        <v>2422</v>
      </c>
      <c r="E5" s="2" t="s">
        <v>2422</v>
      </c>
      <c r="F5" s="2"/>
      <c r="G5" s="2" t="s">
        <v>5932</v>
      </c>
      <c r="H5" s="2"/>
      <c r="I5" s="2" t="s">
        <v>5917</v>
      </c>
      <c r="J5" s="2" t="s">
        <v>5933</v>
      </c>
      <c r="K5" s="3" t="b">
        <f>J5 = "blocking"</f>
        <v>1</v>
      </c>
      <c r="L5" s="2" t="s">
        <v>1428</v>
      </c>
      <c r="M5" s="2" t="s">
        <v>5941</v>
      </c>
      <c r="N5" s="4">
        <v>46223.1297337963</v>
      </c>
      <c r="O5" s="3" t="b">
        <f>L5 = "PASS"</f>
        <v>1</v>
      </c>
      <c r="P5" s="3" t="b">
        <f>L5 = "FAIL"</f>
        <v>0</v>
      </c>
      <c r="Q5" s="3" t="b">
        <f>AND(P5, K5)</f>
        <v>0</v>
      </c>
      <c r="R5" s="3" t="str">
        <f>IF(O5, I5, "")</f>
        <v>suite-structure</v>
      </c>
      <c r="S5" s="3" t="str">
        <f>IF(Q5, I5, "")</f>
      </c>
      <c r="T5" s="2" t="s">
        <v>5935</v>
      </c>
    </row>
    <row r="6">
      <c r="A6" s="2" t="s">
        <v>5942</v>
      </c>
      <c r="B6" s="3" t="str">
        <f>C6 &amp; ": " &amp; D6</f>
        <v>structural: Agents</v>
      </c>
      <c r="C6" s="2" t="s">
        <v>5931</v>
      </c>
      <c r="D6" s="2" t="s">
        <v>1794</v>
      </c>
      <c r="E6" s="2" t="s">
        <v>1794</v>
      </c>
      <c r="F6" s="2"/>
      <c r="G6" s="2" t="s">
        <v>5932</v>
      </c>
      <c r="H6" s="2"/>
      <c r="I6" s="2" t="s">
        <v>5917</v>
      </c>
      <c r="J6" s="2" t="s">
        <v>5933</v>
      </c>
      <c r="K6" s="3" t="b">
        <f>J6 = "blocking"</f>
        <v>1</v>
      </c>
      <c r="L6" s="2" t="s">
        <v>1428</v>
      </c>
      <c r="M6" s="2" t="s">
        <v>5943</v>
      </c>
      <c r="N6" s="4">
        <v>46223.1297337963</v>
      </c>
      <c r="O6" s="3" t="b">
        <f>L6 = "PASS"</f>
        <v>1</v>
      </c>
      <c r="P6" s="3" t="b">
        <f>L6 = "FAIL"</f>
        <v>0</v>
      </c>
      <c r="Q6" s="3" t="b">
        <f>AND(P6, K6)</f>
        <v>0</v>
      </c>
      <c r="R6" s="3" t="str">
        <f>IF(O6, I6, "")</f>
        <v>suite-structure</v>
      </c>
      <c r="S6" s="3" t="str">
        <f>IF(Q6, I6, "")</f>
      </c>
      <c r="T6" s="2" t="s">
        <v>5935</v>
      </c>
    </row>
    <row r="7">
      <c r="A7" s="2" t="s">
        <v>5944</v>
      </c>
      <c r="B7" s="3" t="str">
        <f>C7 &amp; ": " &amp; D7</f>
        <v>structural: Roles</v>
      </c>
      <c r="C7" s="2" t="s">
        <v>5931</v>
      </c>
      <c r="D7" s="2" t="s">
        <v>1798</v>
      </c>
      <c r="E7" s="2" t="s">
        <v>1798</v>
      </c>
      <c r="F7" s="2"/>
      <c r="G7" s="2" t="s">
        <v>5932</v>
      </c>
      <c r="H7" s="2"/>
      <c r="I7" s="2" t="s">
        <v>5917</v>
      </c>
      <c r="J7" s="2" t="s">
        <v>5933</v>
      </c>
      <c r="K7" s="3" t="b">
        <f>J7 = "blocking"</f>
        <v>1</v>
      </c>
      <c r="L7" s="2" t="s">
        <v>1428</v>
      </c>
      <c r="M7" s="2" t="s">
        <v>5945</v>
      </c>
      <c r="N7" s="4">
        <v>46223.1297337963</v>
      </c>
      <c r="O7" s="3" t="b">
        <f>L7 = "PASS"</f>
        <v>1</v>
      </c>
      <c r="P7" s="3" t="b">
        <f>L7 = "FAIL"</f>
        <v>0</v>
      </c>
      <c r="Q7" s="3" t="b">
        <f>AND(P7, K7)</f>
        <v>0</v>
      </c>
      <c r="R7" s="3" t="str">
        <f>IF(O7, I7, "")</f>
        <v>suite-structure</v>
      </c>
      <c r="S7" s="3" t="str">
        <f>IF(Q7, I7, "")</f>
      </c>
      <c r="T7" s="2" t="s">
        <v>5935</v>
      </c>
    </row>
    <row r="8">
      <c r="A8" s="2" t="s">
        <v>5946</v>
      </c>
      <c r="B8" s="3" t="str">
        <f>C8 &amp; ": " &amp; D8</f>
        <v>structural: RoleAssignments</v>
      </c>
      <c r="C8" s="2" t="s">
        <v>5931</v>
      </c>
      <c r="D8" s="2" t="s">
        <v>1801</v>
      </c>
      <c r="E8" s="2" t="s">
        <v>1801</v>
      </c>
      <c r="F8" s="2"/>
      <c r="G8" s="2" t="s">
        <v>5932</v>
      </c>
      <c r="H8" s="2"/>
      <c r="I8" s="2" t="s">
        <v>5917</v>
      </c>
      <c r="J8" s="2" t="s">
        <v>5933</v>
      </c>
      <c r="K8" s="3" t="b">
        <f>J8 = "blocking"</f>
        <v>1</v>
      </c>
      <c r="L8" s="2" t="s">
        <v>1428</v>
      </c>
      <c r="M8" s="2" t="s">
        <v>5947</v>
      </c>
      <c r="N8" s="4">
        <v>46223.1297337963</v>
      </c>
      <c r="O8" s="3" t="b">
        <f>L8 = "PASS"</f>
        <v>1</v>
      </c>
      <c r="P8" s="3" t="b">
        <f>L8 = "FAIL"</f>
        <v>0</v>
      </c>
      <c r="Q8" s="3" t="b">
        <f>AND(P8, K8)</f>
        <v>0</v>
      </c>
      <c r="R8" s="3" t="str">
        <f>IF(O8, I8, "")</f>
        <v>suite-structure</v>
      </c>
      <c r="S8" s="3" t="str">
        <f>IF(Q8, I8, "")</f>
      </c>
      <c r="T8" s="2" t="s">
        <v>5935</v>
      </c>
    </row>
    <row r="9">
      <c r="A9" s="2" t="s">
        <v>5948</v>
      </c>
      <c r="B9" s="3" t="str">
        <f>C9 &amp; ": " &amp; D9</f>
        <v>structural: CommunitiesOfPractice</v>
      </c>
      <c r="C9" s="2" t="s">
        <v>5931</v>
      </c>
      <c r="D9" s="2" t="s">
        <v>2624</v>
      </c>
      <c r="E9" s="2" t="s">
        <v>2624</v>
      </c>
      <c r="F9" s="2"/>
      <c r="G9" s="2" t="s">
        <v>5932</v>
      </c>
      <c r="H9" s="2"/>
      <c r="I9" s="2" t="s">
        <v>5917</v>
      </c>
      <c r="J9" s="2" t="s">
        <v>5933</v>
      </c>
      <c r="K9" s="3" t="b">
        <f>J9 = "blocking"</f>
        <v>1</v>
      </c>
      <c r="L9" s="2" t="s">
        <v>1428</v>
      </c>
      <c r="M9" s="2" t="s">
        <v>5937</v>
      </c>
      <c r="N9" s="4">
        <v>46223.1297337963</v>
      </c>
      <c r="O9" s="3" t="b">
        <f>L9 = "PASS"</f>
        <v>1</v>
      </c>
      <c r="P9" s="3" t="b">
        <f>L9 = "FAIL"</f>
        <v>0</v>
      </c>
      <c r="Q9" s="3" t="b">
        <f>AND(P9, K9)</f>
        <v>0</v>
      </c>
      <c r="R9" s="3" t="str">
        <f>IF(O9, I9, "")</f>
        <v>suite-structure</v>
      </c>
      <c r="S9" s="3" t="str">
        <f>IF(Q9, I9, "")</f>
      </c>
      <c r="T9" s="2" t="s">
        <v>5935</v>
      </c>
    </row>
    <row r="10">
      <c r="A10" s="2" t="s">
        <v>5949</v>
      </c>
      <c r="B10" s="3" t="str">
        <f>C10 &amp; ": " &amp; D10</f>
        <v>structural: Mentorships</v>
      </c>
      <c r="C10" s="2" t="s">
        <v>5931</v>
      </c>
      <c r="D10" s="2" t="s">
        <v>2633</v>
      </c>
      <c r="E10" s="2" t="s">
        <v>2633</v>
      </c>
      <c r="F10" s="2"/>
      <c r="G10" s="2" t="s">
        <v>5932</v>
      </c>
      <c r="H10" s="2"/>
      <c r="I10" s="2" t="s">
        <v>5917</v>
      </c>
      <c r="J10" s="2" t="s">
        <v>5933</v>
      </c>
      <c r="K10" s="3" t="b">
        <f>J10 = "blocking"</f>
        <v>1</v>
      </c>
      <c r="L10" s="2" t="s">
        <v>1428</v>
      </c>
      <c r="M10" s="2" t="s">
        <v>5950</v>
      </c>
      <c r="N10" s="4">
        <v>46223.1297337963</v>
      </c>
      <c r="O10" s="3" t="b">
        <f>L10 = "PASS"</f>
        <v>1</v>
      </c>
      <c r="P10" s="3" t="b">
        <f>L10 = "FAIL"</f>
        <v>0</v>
      </c>
      <c r="Q10" s="3" t="b">
        <f>AND(P10, K10)</f>
        <v>0</v>
      </c>
      <c r="R10" s="3" t="str">
        <f>IF(O10, I10, "")</f>
        <v>suite-structure</v>
      </c>
      <c r="S10" s="3" t="str">
        <f>IF(Q10, I10, "")</f>
      </c>
      <c r="T10" s="2" t="s">
        <v>5935</v>
      </c>
    </row>
    <row r="11">
      <c r="A11" s="2" t="s">
        <v>5951</v>
      </c>
      <c r="B11" s="3" t="str">
        <f>C11 &amp; ": " &amp; D11</f>
        <v>structural: ProcedureTypes</v>
      </c>
      <c r="C11" s="2" t="s">
        <v>5931</v>
      </c>
      <c r="D11" s="2" t="s">
        <v>2645</v>
      </c>
      <c r="E11" s="2" t="s">
        <v>2645</v>
      </c>
      <c r="F11" s="2"/>
      <c r="G11" s="2" t="s">
        <v>5932</v>
      </c>
      <c r="H11" s="2"/>
      <c r="I11" s="2" t="s">
        <v>5917</v>
      </c>
      <c r="J11" s="2" t="s">
        <v>5933</v>
      </c>
      <c r="K11" s="3" t="b">
        <f>J11 = "blocking"</f>
        <v>1</v>
      </c>
      <c r="L11" s="2" t="s">
        <v>1428</v>
      </c>
      <c r="M11" s="2" t="s">
        <v>5952</v>
      </c>
      <c r="N11" s="4">
        <v>46223.1297337963</v>
      </c>
      <c r="O11" s="3" t="b">
        <f>L11 = "PASS"</f>
        <v>1</v>
      </c>
      <c r="P11" s="3" t="b">
        <f>L11 = "FAIL"</f>
        <v>0</v>
      </c>
      <c r="Q11" s="3" t="b">
        <f>AND(P11, K11)</f>
        <v>0</v>
      </c>
      <c r="R11" s="3" t="str">
        <f>IF(O11, I11, "")</f>
        <v>suite-structure</v>
      </c>
      <c r="S11" s="3" t="str">
        <f>IF(Q11, I11, "")</f>
      </c>
      <c r="T11" s="2" t="s">
        <v>5935</v>
      </c>
    </row>
    <row r="12">
      <c r="A12" s="2" t="s">
        <v>5953</v>
      </c>
      <c r="B12" s="3" t="str">
        <f>C12 &amp; ": " &amp; D12</f>
        <v>structural: Procedures</v>
      </c>
      <c r="C12" s="2" t="s">
        <v>5931</v>
      </c>
      <c r="D12" s="2" t="s">
        <v>1742</v>
      </c>
      <c r="E12" s="2" t="s">
        <v>1742</v>
      </c>
      <c r="F12" s="2"/>
      <c r="G12" s="2" t="s">
        <v>5932</v>
      </c>
      <c r="H12" s="2"/>
      <c r="I12" s="2" t="s">
        <v>5917</v>
      </c>
      <c r="J12" s="2" t="s">
        <v>5933</v>
      </c>
      <c r="K12" s="3" t="b">
        <f>J12 = "blocking"</f>
        <v>1</v>
      </c>
      <c r="L12" s="2" t="s">
        <v>1428</v>
      </c>
      <c r="M12" s="2" t="s">
        <v>5934</v>
      </c>
      <c r="N12" s="4">
        <v>46223.1297337963</v>
      </c>
      <c r="O12" s="3" t="b">
        <f>L12 = "PASS"</f>
        <v>1</v>
      </c>
      <c r="P12" s="3" t="b">
        <f>L12 = "FAIL"</f>
        <v>0</v>
      </c>
      <c r="Q12" s="3" t="b">
        <f>AND(P12, K12)</f>
        <v>0</v>
      </c>
      <c r="R12" s="3" t="str">
        <f>IF(O12, I12, "")</f>
        <v>suite-structure</v>
      </c>
      <c r="S12" s="3" t="str">
        <f>IF(Q12, I12, "")</f>
      </c>
      <c r="T12" s="2" t="s">
        <v>5935</v>
      </c>
    </row>
    <row r="13">
      <c r="A13" s="2" t="s">
        <v>5954</v>
      </c>
      <c r="B13" s="3" t="str">
        <f>C13 &amp; ": " &amp; D13</f>
        <v>structural: ProcedureVersions</v>
      </c>
      <c r="C13" s="2" t="s">
        <v>5931</v>
      </c>
      <c r="D13" s="2" t="s">
        <v>1747</v>
      </c>
      <c r="E13" s="2" t="s">
        <v>1747</v>
      </c>
      <c r="F13" s="2"/>
      <c r="G13" s="2" t="s">
        <v>5932</v>
      </c>
      <c r="H13" s="2"/>
      <c r="I13" s="2" t="s">
        <v>5917</v>
      </c>
      <c r="J13" s="2" t="s">
        <v>5933</v>
      </c>
      <c r="K13" s="3" t="b">
        <f>J13 = "blocking"</f>
        <v>1</v>
      </c>
      <c r="L13" s="2" t="s">
        <v>1428</v>
      </c>
      <c r="M13" s="2" t="s">
        <v>5955</v>
      </c>
      <c r="N13" s="4">
        <v>46223.1297337963</v>
      </c>
      <c r="O13" s="3" t="b">
        <f>L13 = "PASS"</f>
        <v>1</v>
      </c>
      <c r="P13" s="3" t="b">
        <f>L13 = "FAIL"</f>
        <v>0</v>
      </c>
      <c r="Q13" s="3" t="b">
        <f>AND(P13, K13)</f>
        <v>0</v>
      </c>
      <c r="R13" s="3" t="str">
        <f>IF(O13, I13, "")</f>
        <v>suite-structure</v>
      </c>
      <c r="S13" s="3" t="str">
        <f>IF(Q13, I13, "")</f>
      </c>
      <c r="T13" s="2" t="s">
        <v>5935</v>
      </c>
    </row>
    <row r="14">
      <c r="A14" s="2" t="s">
        <v>5956</v>
      </c>
      <c r="B14" s="3" t="str">
        <f>C14 &amp; ": " &amp; D14</f>
        <v>structural: ProcedureVersionLinks</v>
      </c>
      <c r="C14" s="2" t="s">
        <v>5931</v>
      </c>
      <c r="D14" s="2" t="s">
        <v>2818</v>
      </c>
      <c r="E14" s="2" t="s">
        <v>2818</v>
      </c>
      <c r="F14" s="2"/>
      <c r="G14" s="2" t="s">
        <v>5932</v>
      </c>
      <c r="H14" s="2"/>
      <c r="I14" s="2" t="s">
        <v>5917</v>
      </c>
      <c r="J14" s="2" t="s">
        <v>5933</v>
      </c>
      <c r="K14" s="3" t="b">
        <f>J14 = "blocking"</f>
        <v>1</v>
      </c>
      <c r="L14" s="2" t="s">
        <v>1428</v>
      </c>
      <c r="M14" s="2" t="s">
        <v>5939</v>
      </c>
      <c r="N14" s="4">
        <v>46223.1297337963</v>
      </c>
      <c r="O14" s="3" t="b">
        <f>L14 = "PASS"</f>
        <v>1</v>
      </c>
      <c r="P14" s="3" t="b">
        <f>L14 = "FAIL"</f>
        <v>0</v>
      </c>
      <c r="Q14" s="3" t="b">
        <f>AND(P14, K14)</f>
        <v>0</v>
      </c>
      <c r="R14" s="3" t="str">
        <f>IF(O14, I14, "")</f>
        <v>suite-structure</v>
      </c>
      <c r="S14" s="3" t="str">
        <f>IF(Q14, I14, "")</f>
      </c>
      <c r="T14" s="2" t="s">
        <v>5935</v>
      </c>
    </row>
    <row r="15">
      <c r="A15" s="2" t="s">
        <v>5957</v>
      </c>
      <c r="B15" s="3" t="str">
        <f>C15 &amp; ": " &amp; D15</f>
        <v>structural: ProcedureStatusChanges</v>
      </c>
      <c r="C15" s="2" t="s">
        <v>5931</v>
      </c>
      <c r="D15" s="2" t="s">
        <v>1755</v>
      </c>
      <c r="E15" s="2" t="s">
        <v>1755</v>
      </c>
      <c r="F15" s="2"/>
      <c r="G15" s="2" t="s">
        <v>5932</v>
      </c>
      <c r="H15" s="2"/>
      <c r="I15" s="2" t="s">
        <v>5917</v>
      </c>
      <c r="J15" s="2" t="s">
        <v>5933</v>
      </c>
      <c r="K15" s="3" t="b">
        <f>J15 = "blocking"</f>
        <v>1</v>
      </c>
      <c r="L15" s="2" t="s">
        <v>1428</v>
      </c>
      <c r="M15" s="2" t="s">
        <v>5958</v>
      </c>
      <c r="N15" s="4">
        <v>46223.1297337963</v>
      </c>
      <c r="O15" s="3" t="b">
        <f>L15 = "PASS"</f>
        <v>1</v>
      </c>
      <c r="P15" s="3" t="b">
        <f>L15 = "FAIL"</f>
        <v>0</v>
      </c>
      <c r="Q15" s="3" t="b">
        <f>AND(P15, K15)</f>
        <v>0</v>
      </c>
      <c r="R15" s="3" t="str">
        <f>IF(O15, I15, "")</f>
        <v>suite-structure</v>
      </c>
      <c r="S15" s="3" t="str">
        <f>IF(Q15, I15, "")</f>
      </c>
      <c r="T15" s="2" t="s">
        <v>5935</v>
      </c>
    </row>
    <row r="16">
      <c r="A16" s="2" t="s">
        <v>5959</v>
      </c>
      <c r="B16" s="3" t="str">
        <f>C16 &amp; ": " &amp; D16</f>
        <v>structural: Steps</v>
      </c>
      <c r="C16" s="2" t="s">
        <v>5931</v>
      </c>
      <c r="D16" s="2" t="s">
        <v>1758</v>
      </c>
      <c r="E16" s="2" t="s">
        <v>1758</v>
      </c>
      <c r="F16" s="2"/>
      <c r="G16" s="2" t="s">
        <v>5932</v>
      </c>
      <c r="H16" s="2"/>
      <c r="I16" s="2" t="s">
        <v>5917</v>
      </c>
      <c r="J16" s="2" t="s">
        <v>5933</v>
      </c>
      <c r="K16" s="3" t="b">
        <f>J16 = "blocking"</f>
        <v>1</v>
      </c>
      <c r="L16" s="2" t="s">
        <v>1428</v>
      </c>
      <c r="M16" s="2" t="s">
        <v>5960</v>
      </c>
      <c r="N16" s="4">
        <v>46223.1297337963</v>
      </c>
      <c r="O16" s="3" t="b">
        <f>L16 = "PASS"</f>
        <v>1</v>
      </c>
      <c r="P16" s="3" t="b">
        <f>L16 = "FAIL"</f>
        <v>0</v>
      </c>
      <c r="Q16" s="3" t="b">
        <f>AND(P16, K16)</f>
        <v>0</v>
      </c>
      <c r="R16" s="3" t="str">
        <f>IF(O16, I16, "")</f>
        <v>suite-structure</v>
      </c>
      <c r="S16" s="3" t="str">
        <f>IF(Q16, I16, "")</f>
      </c>
      <c r="T16" s="2" t="s">
        <v>5935</v>
      </c>
    </row>
    <row r="17">
      <c r="A17" s="2" t="s">
        <v>5961</v>
      </c>
      <c r="B17" s="3" t="str">
        <f>C17 &amp; ": " &amp; D17</f>
        <v>structural: StepTransitions</v>
      </c>
      <c r="C17" s="2" t="s">
        <v>5931</v>
      </c>
      <c r="D17" s="2" t="s">
        <v>1764</v>
      </c>
      <c r="E17" s="2" t="s">
        <v>1764</v>
      </c>
      <c r="F17" s="2"/>
      <c r="G17" s="2" t="s">
        <v>5932</v>
      </c>
      <c r="H17" s="2"/>
      <c r="I17" s="2" t="s">
        <v>5917</v>
      </c>
      <c r="J17" s="2" t="s">
        <v>5933</v>
      </c>
      <c r="K17" s="3" t="b">
        <f>J17 = "blocking"</f>
        <v>1</v>
      </c>
      <c r="L17" s="2" t="s">
        <v>1428</v>
      </c>
      <c r="M17" s="2" t="s">
        <v>5962</v>
      </c>
      <c r="N17" s="4">
        <v>46223.1297337963</v>
      </c>
      <c r="O17" s="3" t="b">
        <f>L17 = "PASS"</f>
        <v>1</v>
      </c>
      <c r="P17" s="3" t="b">
        <f>L17 = "FAIL"</f>
        <v>0</v>
      </c>
      <c r="Q17" s="3" t="b">
        <f>AND(P17, K17)</f>
        <v>0</v>
      </c>
      <c r="R17" s="3" t="str">
        <f>IF(O17, I17, "")</f>
        <v>suite-structure</v>
      </c>
      <c r="S17" s="3" t="str">
        <f>IF(Q17, I17, "")</f>
      </c>
      <c r="T17" s="2" t="s">
        <v>5935</v>
      </c>
    </row>
    <row r="18">
      <c r="A18" s="2" t="s">
        <v>5963</v>
      </c>
      <c r="B18" s="3" t="str">
        <f>C18 &amp; ": " &amp; D18</f>
        <v>structural: Actions</v>
      </c>
      <c r="C18" s="2" t="s">
        <v>5931</v>
      </c>
      <c r="D18" s="2" t="s">
        <v>1776</v>
      </c>
      <c r="E18" s="2" t="s">
        <v>1776</v>
      </c>
      <c r="F18" s="2"/>
      <c r="G18" s="2" t="s">
        <v>5932</v>
      </c>
      <c r="H18" s="2"/>
      <c r="I18" s="2" t="s">
        <v>5917</v>
      </c>
      <c r="J18" s="2" t="s">
        <v>5933</v>
      </c>
      <c r="K18" s="3" t="b">
        <f>J18 = "blocking"</f>
        <v>1</v>
      </c>
      <c r="L18" s="2" t="s">
        <v>1428</v>
      </c>
      <c r="M18" s="2" t="s">
        <v>5952</v>
      </c>
      <c r="N18" s="4">
        <v>46223.1297337963</v>
      </c>
      <c r="O18" s="3" t="b">
        <f>L18 = "PASS"</f>
        <v>1</v>
      </c>
      <c r="P18" s="3" t="b">
        <f>L18 = "FAIL"</f>
        <v>0</v>
      </c>
      <c r="Q18" s="3" t="b">
        <f>AND(P18, K18)</f>
        <v>0</v>
      </c>
      <c r="R18" s="3" t="str">
        <f>IF(O18, I18, "")</f>
        <v>suite-structure</v>
      </c>
      <c r="S18" s="3" t="str">
        <f>IF(Q18, I18, "")</f>
      </c>
      <c r="T18" s="2" t="s">
        <v>5935</v>
      </c>
    </row>
    <row r="19">
      <c r="A19" s="2" t="s">
        <v>5964</v>
      </c>
      <c r="B19" s="3" t="str">
        <f>C19 &amp; ": " &amp; D19</f>
        <v>structural: Functions</v>
      </c>
      <c r="C19" s="2" t="s">
        <v>5931</v>
      </c>
      <c r="D19" s="2" t="s">
        <v>1779</v>
      </c>
      <c r="E19" s="2" t="s">
        <v>1779</v>
      </c>
      <c r="F19" s="2"/>
      <c r="G19" s="2" t="s">
        <v>5932</v>
      </c>
      <c r="H19" s="2"/>
      <c r="I19" s="2" t="s">
        <v>5917</v>
      </c>
      <c r="J19" s="2" t="s">
        <v>5933</v>
      </c>
      <c r="K19" s="3" t="b">
        <f>J19 = "blocking"</f>
        <v>1</v>
      </c>
      <c r="L19" s="2" t="s">
        <v>1428</v>
      </c>
      <c r="M19" s="2" t="s">
        <v>5941</v>
      </c>
      <c r="N19" s="4">
        <v>46223.1297337963</v>
      </c>
      <c r="O19" s="3" t="b">
        <f>L19 = "PASS"</f>
        <v>1</v>
      </c>
      <c r="P19" s="3" t="b">
        <f>L19 = "FAIL"</f>
        <v>0</v>
      </c>
      <c r="Q19" s="3" t="b">
        <f>AND(P19, K19)</f>
        <v>0</v>
      </c>
      <c r="R19" s="3" t="str">
        <f>IF(O19, I19, "")</f>
        <v>suite-structure</v>
      </c>
      <c r="S19" s="3" t="str">
        <f>IF(Q19, I19, "")</f>
      </c>
      <c r="T19" s="2" t="s">
        <v>5935</v>
      </c>
    </row>
    <row r="20">
      <c r="A20" s="2" t="s">
        <v>5965</v>
      </c>
      <c r="B20" s="3" t="str">
        <f>C20 &amp; ": " &amp; D20</f>
        <v>structural: Tools</v>
      </c>
      <c r="C20" s="2" t="s">
        <v>5931</v>
      </c>
      <c r="D20" s="2" t="s">
        <v>1782</v>
      </c>
      <c r="E20" s="2" t="s">
        <v>1782</v>
      </c>
      <c r="F20" s="2"/>
      <c r="G20" s="2" t="s">
        <v>5932</v>
      </c>
      <c r="H20" s="2"/>
      <c r="I20" s="2" t="s">
        <v>5917</v>
      </c>
      <c r="J20" s="2" t="s">
        <v>5933</v>
      </c>
      <c r="K20" s="3" t="b">
        <f>J20 = "blocking"</f>
        <v>1</v>
      </c>
      <c r="L20" s="2" t="s">
        <v>1428</v>
      </c>
      <c r="M20" s="2" t="s">
        <v>5952</v>
      </c>
      <c r="N20" s="4">
        <v>46223.1297337963</v>
      </c>
      <c r="O20" s="3" t="b">
        <f>L20 = "PASS"</f>
        <v>1</v>
      </c>
      <c r="P20" s="3" t="b">
        <f>L20 = "FAIL"</f>
        <v>0</v>
      </c>
      <c r="Q20" s="3" t="b">
        <f>AND(P20, K20)</f>
        <v>0</v>
      </c>
      <c r="R20" s="3" t="str">
        <f>IF(O20, I20, "")</f>
        <v>suite-structure</v>
      </c>
      <c r="S20" s="3" t="str">
        <f>IF(Q20, I20, "")</f>
      </c>
      <c r="T20" s="2" t="s">
        <v>5935</v>
      </c>
    </row>
    <row r="21">
      <c r="A21" s="2" t="s">
        <v>5966</v>
      </c>
      <c r="B21" s="3" t="str">
        <f>C21 &amp; ": " &amp; D21</f>
        <v>structural: StepActions</v>
      </c>
      <c r="C21" s="2" t="s">
        <v>5931</v>
      </c>
      <c r="D21" s="2" t="s">
        <v>2962</v>
      </c>
      <c r="E21" s="2" t="s">
        <v>2962</v>
      </c>
      <c r="F21" s="2"/>
      <c r="G21" s="2" t="s">
        <v>5932</v>
      </c>
      <c r="H21" s="2"/>
      <c r="I21" s="2" t="s">
        <v>5917</v>
      </c>
      <c r="J21" s="2" t="s">
        <v>5933</v>
      </c>
      <c r="K21" s="3" t="b">
        <f>J21 = "blocking"</f>
        <v>1</v>
      </c>
      <c r="L21" s="2" t="s">
        <v>1428</v>
      </c>
      <c r="M21" s="2" t="s">
        <v>5967</v>
      </c>
      <c r="N21" s="4">
        <v>46223.1297337963</v>
      </c>
      <c r="O21" s="3" t="b">
        <f>L21 = "PASS"</f>
        <v>1</v>
      </c>
      <c r="P21" s="3" t="b">
        <f>L21 = "FAIL"</f>
        <v>0</v>
      </c>
      <c r="Q21" s="3" t="b">
        <f>AND(P21, K21)</f>
        <v>0</v>
      </c>
      <c r="R21" s="3" t="str">
        <f>IF(O21, I21, "")</f>
        <v>suite-structure</v>
      </c>
      <c r="S21" s="3" t="str">
        <f>IF(Q21, I21, "")</f>
      </c>
      <c r="T21" s="2" t="s">
        <v>5935</v>
      </c>
    </row>
    <row r="22">
      <c r="A22" s="2" t="s">
        <v>5968</v>
      </c>
      <c r="B22" s="3" t="str">
        <f>C22 &amp; ": " &amp; D22</f>
        <v>structural: StepFunctions</v>
      </c>
      <c r="C22" s="2" t="s">
        <v>5931</v>
      </c>
      <c r="D22" s="2" t="s">
        <v>2968</v>
      </c>
      <c r="E22" s="2" t="s">
        <v>2968</v>
      </c>
      <c r="F22" s="2"/>
      <c r="G22" s="2" t="s">
        <v>5932</v>
      </c>
      <c r="H22" s="2"/>
      <c r="I22" s="2" t="s">
        <v>5917</v>
      </c>
      <c r="J22" s="2" t="s">
        <v>5933</v>
      </c>
      <c r="K22" s="3" t="b">
        <f>J22 = "blocking"</f>
        <v>1</v>
      </c>
      <c r="L22" s="2" t="s">
        <v>1428</v>
      </c>
      <c r="M22" s="2" t="s">
        <v>5967</v>
      </c>
      <c r="N22" s="4">
        <v>46223.1297337963</v>
      </c>
      <c r="O22" s="3" t="b">
        <f>L22 = "PASS"</f>
        <v>1</v>
      </c>
      <c r="P22" s="3" t="b">
        <f>L22 = "FAIL"</f>
        <v>0</v>
      </c>
      <c r="Q22" s="3" t="b">
        <f>AND(P22, K22)</f>
        <v>0</v>
      </c>
      <c r="R22" s="3" t="str">
        <f>IF(O22, I22, "")</f>
        <v>suite-structure</v>
      </c>
      <c r="S22" s="3" t="str">
        <f>IF(Q22, I22, "")</f>
      </c>
      <c r="T22" s="2" t="s">
        <v>5935</v>
      </c>
    </row>
    <row r="23">
      <c r="A23" s="2" t="s">
        <v>5969</v>
      </c>
      <c r="B23" s="3" t="str">
        <f>C23 &amp; ": " &amp; D23</f>
        <v>structural: StepTools</v>
      </c>
      <c r="C23" s="2" t="s">
        <v>5931</v>
      </c>
      <c r="D23" s="2" t="s">
        <v>2974</v>
      </c>
      <c r="E23" s="2" t="s">
        <v>2974</v>
      </c>
      <c r="F23" s="2"/>
      <c r="G23" s="2" t="s">
        <v>5932</v>
      </c>
      <c r="H23" s="2"/>
      <c r="I23" s="2" t="s">
        <v>5917</v>
      </c>
      <c r="J23" s="2" t="s">
        <v>5933</v>
      </c>
      <c r="K23" s="3" t="b">
        <f>J23 = "blocking"</f>
        <v>1</v>
      </c>
      <c r="L23" s="2" t="s">
        <v>1428</v>
      </c>
      <c r="M23" s="2" t="s">
        <v>5967</v>
      </c>
      <c r="N23" s="4">
        <v>46223.1297337963</v>
      </c>
      <c r="O23" s="3" t="b">
        <f>L23 = "PASS"</f>
        <v>1</v>
      </c>
      <c r="P23" s="3" t="b">
        <f>L23 = "FAIL"</f>
        <v>0</v>
      </c>
      <c r="Q23" s="3" t="b">
        <f>AND(P23, K23)</f>
        <v>0</v>
      </c>
      <c r="R23" s="3" t="str">
        <f>IF(O23, I23, "")</f>
        <v>suite-structure</v>
      </c>
      <c r="S23" s="3" t="str">
        <f>IF(Q23, I23, "")</f>
      </c>
      <c r="T23" s="2" t="s">
        <v>5935</v>
      </c>
    </row>
    <row r="24">
      <c r="A24" s="2" t="s">
        <v>5970</v>
      </c>
      <c r="B24" s="3" t="str">
        <f>C24 &amp; ": " &amp; D24</f>
        <v>structural: Requirements</v>
      </c>
      <c r="C24" s="2" t="s">
        <v>5931</v>
      </c>
      <c r="D24" s="2" t="s">
        <v>1785</v>
      </c>
      <c r="E24" s="2" t="s">
        <v>1785</v>
      </c>
      <c r="F24" s="2"/>
      <c r="G24" s="2" t="s">
        <v>5932</v>
      </c>
      <c r="H24" s="2"/>
      <c r="I24" s="2" t="s">
        <v>5917</v>
      </c>
      <c r="J24" s="2" t="s">
        <v>5933</v>
      </c>
      <c r="K24" s="3" t="b">
        <f>J24 = "blocking"</f>
        <v>1</v>
      </c>
      <c r="L24" s="2" t="s">
        <v>1428</v>
      </c>
      <c r="M24" s="2" t="s">
        <v>5971</v>
      </c>
      <c r="N24" s="4">
        <v>46223.1297337963</v>
      </c>
      <c r="O24" s="3" t="b">
        <f>L24 = "PASS"</f>
        <v>1</v>
      </c>
      <c r="P24" s="3" t="b">
        <f>L24 = "FAIL"</f>
        <v>0</v>
      </c>
      <c r="Q24" s="3" t="b">
        <f>AND(P24, K24)</f>
        <v>0</v>
      </c>
      <c r="R24" s="3" t="str">
        <f>IF(O24, I24, "")</f>
        <v>suite-structure</v>
      </c>
      <c r="S24" s="3" t="str">
        <f>IF(Q24, I24, "")</f>
      </c>
      <c r="T24" s="2" t="s">
        <v>5935</v>
      </c>
    </row>
    <row r="25">
      <c r="A25" s="2" t="s">
        <v>5972</v>
      </c>
      <c r="B25" s="3" t="str">
        <f>C25 &amp; ": " &amp; D25</f>
        <v>structural: StepRequirements</v>
      </c>
      <c r="C25" s="2" t="s">
        <v>5931</v>
      </c>
      <c r="D25" s="2" t="s">
        <v>3053</v>
      </c>
      <c r="E25" s="2" t="s">
        <v>3053</v>
      </c>
      <c r="F25" s="2"/>
      <c r="G25" s="2" t="s">
        <v>5932</v>
      </c>
      <c r="H25" s="2"/>
      <c r="I25" s="2" t="s">
        <v>5917</v>
      </c>
      <c r="J25" s="2" t="s">
        <v>5933</v>
      </c>
      <c r="K25" s="3" t="b">
        <f>J25 = "blocking"</f>
        <v>1</v>
      </c>
      <c r="L25" s="2" t="s">
        <v>1428</v>
      </c>
      <c r="M25" s="2" t="s">
        <v>5973</v>
      </c>
      <c r="N25" s="4">
        <v>46223.1297337963</v>
      </c>
      <c r="O25" s="3" t="b">
        <f>L25 = "PASS"</f>
        <v>1</v>
      </c>
      <c r="P25" s="3" t="b">
        <f>L25 = "FAIL"</f>
        <v>0</v>
      </c>
      <c r="Q25" s="3" t="b">
        <f>AND(P25, K25)</f>
        <v>0</v>
      </c>
      <c r="R25" s="3" t="str">
        <f>IF(O25, I25, "")</f>
        <v>suite-structure</v>
      </c>
      <c r="S25" s="3" t="str">
        <f>IF(Q25, I25, "")</f>
      </c>
      <c r="T25" s="2" t="s">
        <v>5935</v>
      </c>
    </row>
    <row r="26">
      <c r="A26" s="2" t="s">
        <v>5974</v>
      </c>
      <c r="B26" s="3" t="str">
        <f>C26 &amp; ": " &amp; D26</f>
        <v>structural: StepVerifications</v>
      </c>
      <c r="C26" s="2" t="s">
        <v>5931</v>
      </c>
      <c r="D26" s="2" t="s">
        <v>1788</v>
      </c>
      <c r="E26" s="2" t="s">
        <v>1788</v>
      </c>
      <c r="F26" s="2"/>
      <c r="G26" s="2" t="s">
        <v>5932</v>
      </c>
      <c r="H26" s="2"/>
      <c r="I26" s="2" t="s">
        <v>5917</v>
      </c>
      <c r="J26" s="2" t="s">
        <v>5933</v>
      </c>
      <c r="K26" s="3" t="b">
        <f>J26 = "blocking"</f>
        <v>1</v>
      </c>
      <c r="L26" s="2" t="s">
        <v>1428</v>
      </c>
      <c r="M26" s="2" t="s">
        <v>5937</v>
      </c>
      <c r="N26" s="4">
        <v>46223.1297337963</v>
      </c>
      <c r="O26" s="3" t="b">
        <f>L26 = "PASS"</f>
        <v>1</v>
      </c>
      <c r="P26" s="3" t="b">
        <f>L26 = "FAIL"</f>
        <v>0</v>
      </c>
      <c r="Q26" s="3" t="b">
        <f>AND(P26, K26)</f>
        <v>0</v>
      </c>
      <c r="R26" s="3" t="str">
        <f>IF(O26, I26, "")</f>
        <v>suite-structure</v>
      </c>
      <c r="S26" s="3" t="str">
        <f>IF(Q26, I26, "")</f>
      </c>
      <c r="T26" s="2" t="s">
        <v>5935</v>
      </c>
    </row>
    <row r="27">
      <c r="A27" s="2" t="s">
        <v>5975</v>
      </c>
      <c r="B27" s="3" t="str">
        <f>C27 &amp; ": " &amp; D27</f>
        <v>structural: Rationales</v>
      </c>
      <c r="C27" s="2" t="s">
        <v>5931</v>
      </c>
      <c r="D27" s="2" t="s">
        <v>3085</v>
      </c>
      <c r="E27" s="2" t="s">
        <v>3085</v>
      </c>
      <c r="F27" s="2"/>
      <c r="G27" s="2" t="s">
        <v>5932</v>
      </c>
      <c r="H27" s="2"/>
      <c r="I27" s="2" t="s">
        <v>5917</v>
      </c>
      <c r="J27" s="2" t="s">
        <v>5933</v>
      </c>
      <c r="K27" s="3" t="b">
        <f>J27 = "blocking"</f>
        <v>1</v>
      </c>
      <c r="L27" s="2" t="s">
        <v>1428</v>
      </c>
      <c r="M27" s="2" t="s">
        <v>5958</v>
      </c>
      <c r="N27" s="4">
        <v>46223.1297337963</v>
      </c>
      <c r="O27" s="3" t="b">
        <f>L27 = "PASS"</f>
        <v>1</v>
      </c>
      <c r="P27" s="3" t="b">
        <f>L27 = "FAIL"</f>
        <v>0</v>
      </c>
      <c r="Q27" s="3" t="b">
        <f>AND(P27, K27)</f>
        <v>0</v>
      </c>
      <c r="R27" s="3" t="str">
        <f>IF(O27, I27, "")</f>
        <v>suite-structure</v>
      </c>
      <c r="S27" s="3" t="str">
        <f>IF(Q27, I27, "")</f>
      </c>
      <c r="T27" s="2" t="s">
        <v>5935</v>
      </c>
    </row>
    <row r="28">
      <c r="A28" s="2" t="s">
        <v>5976</v>
      </c>
      <c r="B28" s="3" t="str">
        <f>C28 &amp; ": " &amp; D28</f>
        <v>structural: Exceptions</v>
      </c>
      <c r="C28" s="2" t="s">
        <v>5931</v>
      </c>
      <c r="D28" s="2" t="s">
        <v>3095</v>
      </c>
      <c r="E28" s="2" t="s">
        <v>3095</v>
      </c>
      <c r="F28" s="2"/>
      <c r="G28" s="2" t="s">
        <v>5932</v>
      </c>
      <c r="H28" s="2"/>
      <c r="I28" s="2" t="s">
        <v>5917</v>
      </c>
      <c r="J28" s="2" t="s">
        <v>5933</v>
      </c>
      <c r="K28" s="3" t="b">
        <f>J28 = "blocking"</f>
        <v>1</v>
      </c>
      <c r="L28" s="2" t="s">
        <v>1428</v>
      </c>
      <c r="M28" s="2" t="s">
        <v>5934</v>
      </c>
      <c r="N28" s="4">
        <v>46223.1297337963</v>
      </c>
      <c r="O28" s="3" t="b">
        <f>L28 = "PASS"</f>
        <v>1</v>
      </c>
      <c r="P28" s="3" t="b">
        <f>L28 = "FAIL"</f>
        <v>0</v>
      </c>
      <c r="Q28" s="3" t="b">
        <f>AND(P28, K28)</f>
        <v>0</v>
      </c>
      <c r="R28" s="3" t="str">
        <f>IF(O28, I28, "")</f>
        <v>suite-structure</v>
      </c>
      <c r="S28" s="3" t="str">
        <f>IF(Q28, I28, "")</f>
      </c>
      <c r="T28" s="2" t="s">
        <v>5935</v>
      </c>
    </row>
    <row r="29">
      <c r="A29" s="2" t="s">
        <v>5977</v>
      </c>
      <c r="B29" s="3" t="str">
        <f>C29 &amp; ": " &amp; D29</f>
        <v>structural: Resources</v>
      </c>
      <c r="C29" s="2" t="s">
        <v>5931</v>
      </c>
      <c r="D29" s="2" t="s">
        <v>1791</v>
      </c>
      <c r="E29" s="2" t="s">
        <v>1791</v>
      </c>
      <c r="F29" s="2"/>
      <c r="G29" s="2" t="s">
        <v>5932</v>
      </c>
      <c r="H29" s="2"/>
      <c r="I29" s="2" t="s">
        <v>5917</v>
      </c>
      <c r="J29" s="2" t="s">
        <v>5933</v>
      </c>
      <c r="K29" s="3" t="b">
        <f>J29 = "blocking"</f>
        <v>1</v>
      </c>
      <c r="L29" s="2" t="s">
        <v>1428</v>
      </c>
      <c r="M29" s="2" t="s">
        <v>5934</v>
      </c>
      <c r="N29" s="4">
        <v>46223.1297337963</v>
      </c>
      <c r="O29" s="3" t="b">
        <f>L29 = "PASS"</f>
        <v>1</v>
      </c>
      <c r="P29" s="3" t="b">
        <f>L29 = "FAIL"</f>
        <v>0</v>
      </c>
      <c r="Q29" s="3" t="b">
        <f>AND(P29, K29)</f>
        <v>0</v>
      </c>
      <c r="R29" s="3" t="str">
        <f>IF(O29, I29, "")</f>
        <v>suite-structure</v>
      </c>
      <c r="S29" s="3" t="str">
        <f>IF(Q29, I29, "")</f>
      </c>
      <c r="T29" s="2" t="s">
        <v>5935</v>
      </c>
    </row>
    <row r="30">
      <c r="A30" s="2" t="s">
        <v>5978</v>
      </c>
      <c r="B30" s="3" t="str">
        <f>C30 &amp; ": " &amp; D30</f>
        <v>structural: ProcedureResources</v>
      </c>
      <c r="C30" s="2" t="s">
        <v>5931</v>
      </c>
      <c r="D30" s="2" t="s">
        <v>3121</v>
      </c>
      <c r="E30" s="2" t="s">
        <v>3121</v>
      </c>
      <c r="F30" s="2"/>
      <c r="G30" s="2" t="s">
        <v>5932</v>
      </c>
      <c r="H30" s="2"/>
      <c r="I30" s="2" t="s">
        <v>5917</v>
      </c>
      <c r="J30" s="2" t="s">
        <v>5933</v>
      </c>
      <c r="K30" s="3" t="b">
        <f>J30 = "blocking"</f>
        <v>1</v>
      </c>
      <c r="L30" s="2" t="s">
        <v>1428</v>
      </c>
      <c r="M30" s="2" t="s">
        <v>5941</v>
      </c>
      <c r="N30" s="4">
        <v>46223.1297337963</v>
      </c>
      <c r="O30" s="3" t="b">
        <f>L30 = "PASS"</f>
        <v>1</v>
      </c>
      <c r="P30" s="3" t="b">
        <f>L30 = "FAIL"</f>
        <v>0</v>
      </c>
      <c r="Q30" s="3" t="b">
        <f>AND(P30, K30)</f>
        <v>0</v>
      </c>
      <c r="R30" s="3" t="str">
        <f>IF(O30, I30, "")</f>
        <v>suite-structure</v>
      </c>
      <c r="S30" s="3" t="str">
        <f>IF(Q30, I30, "")</f>
      </c>
      <c r="T30" s="2" t="s">
        <v>5935</v>
      </c>
    </row>
    <row r="31">
      <c r="A31" s="2" t="s">
        <v>5979</v>
      </c>
      <c r="B31" s="3" t="str">
        <f>C31 &amp; ": " &amp; D31</f>
        <v>structural: ElicitationSessions</v>
      </c>
      <c r="C31" s="2" t="s">
        <v>5931</v>
      </c>
      <c r="D31" s="2" t="s">
        <v>1835</v>
      </c>
      <c r="E31" s="2" t="s">
        <v>1835</v>
      </c>
      <c r="F31" s="2"/>
      <c r="G31" s="2" t="s">
        <v>5932</v>
      </c>
      <c r="H31" s="2"/>
      <c r="I31" s="2" t="s">
        <v>5917</v>
      </c>
      <c r="J31" s="2" t="s">
        <v>5933</v>
      </c>
      <c r="K31" s="3" t="b">
        <f>J31 = "blocking"</f>
        <v>1</v>
      </c>
      <c r="L31" s="2" t="s">
        <v>1428</v>
      </c>
      <c r="M31" s="2" t="s">
        <v>5980</v>
      </c>
      <c r="N31" s="4">
        <v>46223.1297337963</v>
      </c>
      <c r="O31" s="3" t="b">
        <f>L31 = "PASS"</f>
        <v>1</v>
      </c>
      <c r="P31" s="3" t="b">
        <f>L31 = "FAIL"</f>
        <v>0</v>
      </c>
      <c r="Q31" s="3" t="b">
        <f>AND(P31, K31)</f>
        <v>0</v>
      </c>
      <c r="R31" s="3" t="str">
        <f>IF(O31, I31, "")</f>
        <v>suite-structure</v>
      </c>
      <c r="S31" s="3" t="str">
        <f>IF(Q31, I31, "")</f>
      </c>
      <c r="T31" s="2" t="s">
        <v>5935</v>
      </c>
    </row>
    <row r="32">
      <c r="A32" s="2" t="s">
        <v>5981</v>
      </c>
      <c r="B32" s="3" t="str">
        <f>C32 &amp; ": " &amp; D32</f>
        <v>structural: KnowledgeFragments</v>
      </c>
      <c r="C32" s="2" t="s">
        <v>5931</v>
      </c>
      <c r="D32" s="2" t="s">
        <v>1831</v>
      </c>
      <c r="E32" s="2" t="s">
        <v>1831</v>
      </c>
      <c r="F32" s="2"/>
      <c r="G32" s="2" t="s">
        <v>5932</v>
      </c>
      <c r="H32" s="2"/>
      <c r="I32" s="2" t="s">
        <v>5917</v>
      </c>
      <c r="J32" s="2" t="s">
        <v>5933</v>
      </c>
      <c r="K32" s="3" t="b">
        <f>J32 = "blocking"</f>
        <v>1</v>
      </c>
      <c r="L32" s="2" t="s">
        <v>1428</v>
      </c>
      <c r="M32" s="2" t="s">
        <v>5982</v>
      </c>
      <c r="N32" s="4">
        <v>46223.1297337963</v>
      </c>
      <c r="O32" s="3" t="b">
        <f>L32 = "PASS"</f>
        <v>1</v>
      </c>
      <c r="P32" s="3" t="b">
        <f>L32 = "FAIL"</f>
        <v>0</v>
      </c>
      <c r="Q32" s="3" t="b">
        <f>AND(P32, K32)</f>
        <v>0</v>
      </c>
      <c r="R32" s="3" t="str">
        <f>IF(O32, I32, "")</f>
        <v>suite-structure</v>
      </c>
      <c r="S32" s="3" t="str">
        <f>IF(Q32, I32, "")</f>
      </c>
      <c r="T32" s="2" t="s">
        <v>5935</v>
      </c>
    </row>
    <row r="33">
      <c r="A33" s="2" t="s">
        <v>5983</v>
      </c>
      <c r="B33" s="3" t="str">
        <f>C33 &amp; ": " &amp; D33</f>
        <v>structural: KnowledgeGaps</v>
      </c>
      <c r="C33" s="2" t="s">
        <v>5931</v>
      </c>
      <c r="D33" s="2" t="s">
        <v>3302</v>
      </c>
      <c r="E33" s="2" t="s">
        <v>3302</v>
      </c>
      <c r="F33" s="2"/>
      <c r="G33" s="2" t="s">
        <v>5932</v>
      </c>
      <c r="H33" s="2"/>
      <c r="I33" s="2" t="s">
        <v>5917</v>
      </c>
      <c r="J33" s="2" t="s">
        <v>5933</v>
      </c>
      <c r="K33" s="3" t="b">
        <f>J33 = "blocking"</f>
        <v>1</v>
      </c>
      <c r="L33" s="2" t="s">
        <v>1428</v>
      </c>
      <c r="M33" s="2" t="s">
        <v>5984</v>
      </c>
      <c r="N33" s="4">
        <v>46223.1297337963</v>
      </c>
      <c r="O33" s="3" t="b">
        <f>L33 = "PASS"</f>
        <v>1</v>
      </c>
      <c r="P33" s="3" t="b">
        <f>L33 = "FAIL"</f>
        <v>0</v>
      </c>
      <c r="Q33" s="3" t="b">
        <f>AND(P33, K33)</f>
        <v>0</v>
      </c>
      <c r="R33" s="3" t="str">
        <f>IF(O33, I33, "")</f>
        <v>suite-structure</v>
      </c>
      <c r="S33" s="3" t="str">
        <f>IF(Q33, I33, "")</f>
      </c>
      <c r="T33" s="2" t="s">
        <v>5935</v>
      </c>
    </row>
    <row r="34">
      <c r="A34" s="2" t="s">
        <v>5985</v>
      </c>
      <c r="B34" s="3" t="str">
        <f>C34 &amp; ": " &amp; D34</f>
        <v>structural: FAQs</v>
      </c>
      <c r="C34" s="2" t="s">
        <v>5931</v>
      </c>
      <c r="D34" s="2" t="s">
        <v>1825</v>
      </c>
      <c r="E34" s="2" t="s">
        <v>1825</v>
      </c>
      <c r="F34" s="2"/>
      <c r="G34" s="2" t="s">
        <v>5932</v>
      </c>
      <c r="H34" s="2"/>
      <c r="I34" s="2" t="s">
        <v>5917</v>
      </c>
      <c r="J34" s="2" t="s">
        <v>5933</v>
      </c>
      <c r="K34" s="3" t="b">
        <f>J34 = "blocking"</f>
        <v>1</v>
      </c>
      <c r="L34" s="2" t="s">
        <v>1428</v>
      </c>
      <c r="M34" s="2" t="s">
        <v>5958</v>
      </c>
      <c r="N34" s="4">
        <v>46223.1297337963</v>
      </c>
      <c r="O34" s="3" t="b">
        <f>L34 = "PASS"</f>
        <v>1</v>
      </c>
      <c r="P34" s="3" t="b">
        <f>L34 = "FAIL"</f>
        <v>0</v>
      </c>
      <c r="Q34" s="3" t="b">
        <f>AND(P34, K34)</f>
        <v>0</v>
      </c>
      <c r="R34" s="3" t="str">
        <f>IF(O34, I34, "")</f>
        <v>suite-structure</v>
      </c>
      <c r="S34" s="3" t="str">
        <f>IF(Q34, I34, "")</f>
      </c>
      <c r="T34" s="2" t="s">
        <v>5935</v>
      </c>
    </row>
    <row r="35">
      <c r="A35" s="2" t="s">
        <v>5986</v>
      </c>
      <c r="B35" s="3" t="str">
        <f>C35 &amp; ": " &amp; D35</f>
        <v>structural: Explanations</v>
      </c>
      <c r="C35" s="2" t="s">
        <v>5931</v>
      </c>
      <c r="D35" s="2" t="s">
        <v>1828</v>
      </c>
      <c r="E35" s="2" t="s">
        <v>1828</v>
      </c>
      <c r="F35" s="2"/>
      <c r="G35" s="2" t="s">
        <v>5932</v>
      </c>
      <c r="H35" s="2"/>
      <c r="I35" s="2" t="s">
        <v>5917</v>
      </c>
      <c r="J35" s="2" t="s">
        <v>5933</v>
      </c>
      <c r="K35" s="3" t="b">
        <f>J35 = "blocking"</f>
        <v>1</v>
      </c>
      <c r="L35" s="2" t="s">
        <v>1428</v>
      </c>
      <c r="M35" s="2" t="s">
        <v>5939</v>
      </c>
      <c r="N35" s="4">
        <v>46223.1297337963</v>
      </c>
      <c r="O35" s="3" t="b">
        <f>L35 = "PASS"</f>
        <v>1</v>
      </c>
      <c r="P35" s="3" t="b">
        <f>L35 = "FAIL"</f>
        <v>0</v>
      </c>
      <c r="Q35" s="3" t="b">
        <f>AND(P35, K35)</f>
        <v>0</v>
      </c>
      <c r="R35" s="3" t="str">
        <f>IF(O35, I35, "")</f>
        <v>suite-structure</v>
      </c>
      <c r="S35" s="3" t="str">
        <f>IF(Q35, I35, "")</f>
      </c>
      <c r="T35" s="2" t="s">
        <v>5935</v>
      </c>
    </row>
    <row r="36">
      <c r="A36" s="2" t="s">
        <v>5987</v>
      </c>
      <c r="B36" s="3" t="str">
        <f>C36 &amp; ": " &amp; D36</f>
        <v>structural: ProcedureExecutions</v>
      </c>
      <c r="C36" s="2" t="s">
        <v>5931</v>
      </c>
      <c r="D36" s="2" t="s">
        <v>1804</v>
      </c>
      <c r="E36" s="2" t="s">
        <v>1804</v>
      </c>
      <c r="F36" s="2"/>
      <c r="G36" s="2" t="s">
        <v>5932</v>
      </c>
      <c r="H36" s="2"/>
      <c r="I36" s="2" t="s">
        <v>5917</v>
      </c>
      <c r="J36" s="2" t="s">
        <v>5933</v>
      </c>
      <c r="K36" s="3" t="b">
        <f>J36 = "blocking"</f>
        <v>1</v>
      </c>
      <c r="L36" s="2" t="s">
        <v>1428</v>
      </c>
      <c r="M36" s="2" t="s">
        <v>5988</v>
      </c>
      <c r="N36" s="4">
        <v>46223.1297337963</v>
      </c>
      <c r="O36" s="3" t="b">
        <f>L36 = "PASS"</f>
        <v>1</v>
      </c>
      <c r="P36" s="3" t="b">
        <f>L36 = "FAIL"</f>
        <v>0</v>
      </c>
      <c r="Q36" s="3" t="b">
        <f>AND(P36, K36)</f>
        <v>0</v>
      </c>
      <c r="R36" s="3" t="str">
        <f>IF(O36, I36, "")</f>
        <v>suite-structure</v>
      </c>
      <c r="S36" s="3" t="str">
        <f>IF(Q36, I36, "")</f>
      </c>
      <c r="T36" s="2" t="s">
        <v>5935</v>
      </c>
    </row>
    <row r="37">
      <c r="A37" s="2" t="s">
        <v>5989</v>
      </c>
      <c r="B37" s="3" t="str">
        <f>C37 &amp; ": " &amp; D37</f>
        <v>structural: StepExecutions</v>
      </c>
      <c r="C37" s="2" t="s">
        <v>5931</v>
      </c>
      <c r="D37" s="2" t="s">
        <v>1807</v>
      </c>
      <c r="E37" s="2" t="s">
        <v>1807</v>
      </c>
      <c r="F37" s="2"/>
      <c r="G37" s="2" t="s">
        <v>5932</v>
      </c>
      <c r="H37" s="2"/>
      <c r="I37" s="2" t="s">
        <v>5917</v>
      </c>
      <c r="J37" s="2" t="s">
        <v>5933</v>
      </c>
      <c r="K37" s="3" t="b">
        <f>J37 = "blocking"</f>
        <v>1</v>
      </c>
      <c r="L37" s="2" t="s">
        <v>1428</v>
      </c>
      <c r="M37" s="2" t="s">
        <v>5990</v>
      </c>
      <c r="N37" s="4">
        <v>46223.1297337963</v>
      </c>
      <c r="O37" s="3" t="b">
        <f>L37 = "PASS"</f>
        <v>1</v>
      </c>
      <c r="P37" s="3" t="b">
        <f>L37 = "FAIL"</f>
        <v>0</v>
      </c>
      <c r="Q37" s="3" t="b">
        <f>AND(P37, K37)</f>
        <v>0</v>
      </c>
      <c r="R37" s="3" t="str">
        <f>IF(O37, I37, "")</f>
        <v>suite-structure</v>
      </c>
      <c r="S37" s="3" t="str">
        <f>IF(Q37, I37, "")</f>
      </c>
      <c r="T37" s="2" t="s">
        <v>5935</v>
      </c>
    </row>
    <row r="38">
      <c r="A38" s="2" t="s">
        <v>5991</v>
      </c>
      <c r="B38" s="3" t="str">
        <f>C38 &amp; ": " &amp; D38</f>
        <v>structural: RequirementSatisfactions</v>
      </c>
      <c r="C38" s="2" t="s">
        <v>5931</v>
      </c>
      <c r="D38" s="2" t="s">
        <v>1810</v>
      </c>
      <c r="E38" s="2" t="s">
        <v>1810</v>
      </c>
      <c r="F38" s="2"/>
      <c r="G38" s="2" t="s">
        <v>5932</v>
      </c>
      <c r="H38" s="2"/>
      <c r="I38" s="2" t="s">
        <v>5917</v>
      </c>
      <c r="J38" s="2" t="s">
        <v>5933</v>
      </c>
      <c r="K38" s="3" t="b">
        <f>J38 = "blocking"</f>
        <v>1</v>
      </c>
      <c r="L38" s="2" t="s">
        <v>1428</v>
      </c>
      <c r="M38" s="2" t="s">
        <v>5992</v>
      </c>
      <c r="N38" s="4">
        <v>46223.1297337963</v>
      </c>
      <c r="O38" s="3" t="b">
        <f>L38 = "PASS"</f>
        <v>1</v>
      </c>
      <c r="P38" s="3" t="b">
        <f>L38 = "FAIL"</f>
        <v>0</v>
      </c>
      <c r="Q38" s="3" t="b">
        <f>AND(P38, K38)</f>
        <v>0</v>
      </c>
      <c r="R38" s="3" t="str">
        <f>IF(O38, I38, "")</f>
        <v>suite-structure</v>
      </c>
      <c r="S38" s="3" t="str">
        <f>IF(Q38, I38, "")</f>
      </c>
      <c r="T38" s="2" t="s">
        <v>5935</v>
      </c>
    </row>
    <row r="39">
      <c r="A39" s="2" t="s">
        <v>5993</v>
      </c>
      <c r="B39" s="3" t="str">
        <f>C39 &amp; ": " &amp; D39</f>
        <v>structural: Errors</v>
      </c>
      <c r="C39" s="2" t="s">
        <v>5931</v>
      </c>
      <c r="D39" s="2" t="s">
        <v>1813</v>
      </c>
      <c r="E39" s="2" t="s">
        <v>1813</v>
      </c>
      <c r="F39" s="2"/>
      <c r="G39" s="2" t="s">
        <v>5932</v>
      </c>
      <c r="H39" s="2"/>
      <c r="I39" s="2" t="s">
        <v>5917</v>
      </c>
      <c r="J39" s="2" t="s">
        <v>5933</v>
      </c>
      <c r="K39" s="3" t="b">
        <f>J39 = "blocking"</f>
        <v>1</v>
      </c>
      <c r="L39" s="2" t="s">
        <v>1428</v>
      </c>
      <c r="M39" s="2" t="s">
        <v>5941</v>
      </c>
      <c r="N39" s="4">
        <v>46223.1297337963</v>
      </c>
      <c r="O39" s="3" t="b">
        <f>L39 = "PASS"</f>
        <v>1</v>
      </c>
      <c r="P39" s="3" t="b">
        <f>L39 = "FAIL"</f>
        <v>0</v>
      </c>
      <c r="Q39" s="3" t="b">
        <f>AND(P39, K39)</f>
        <v>0</v>
      </c>
      <c r="R39" s="3" t="str">
        <f>IF(O39, I39, "")</f>
        <v>suite-structure</v>
      </c>
      <c r="S39" s="3" t="str">
        <f>IF(Q39, I39, "")</f>
      </c>
      <c r="T39" s="2" t="s">
        <v>5935</v>
      </c>
    </row>
    <row r="40">
      <c r="A40" s="2" t="s">
        <v>5994</v>
      </c>
      <c r="B40" s="3" t="str">
        <f>C40 &amp; ": " &amp; D40</f>
        <v>structural: IssueOccurrences</v>
      </c>
      <c r="C40" s="2" t="s">
        <v>5931</v>
      </c>
      <c r="D40" s="2" t="s">
        <v>1816</v>
      </c>
      <c r="E40" s="2" t="s">
        <v>1816</v>
      </c>
      <c r="F40" s="2"/>
      <c r="G40" s="2" t="s">
        <v>5932</v>
      </c>
      <c r="H40" s="2"/>
      <c r="I40" s="2" t="s">
        <v>5917</v>
      </c>
      <c r="J40" s="2" t="s">
        <v>5933</v>
      </c>
      <c r="K40" s="3" t="b">
        <f>J40 = "blocking"</f>
        <v>1</v>
      </c>
      <c r="L40" s="2" t="s">
        <v>1428</v>
      </c>
      <c r="M40" s="2" t="s">
        <v>5995</v>
      </c>
      <c r="N40" s="4">
        <v>46223.1297337963</v>
      </c>
      <c r="O40" s="3" t="b">
        <f>L40 = "PASS"</f>
        <v>1</v>
      </c>
      <c r="P40" s="3" t="b">
        <f>L40 = "FAIL"</f>
        <v>0</v>
      </c>
      <c r="Q40" s="3" t="b">
        <f>AND(P40, K40)</f>
        <v>0</v>
      </c>
      <c r="R40" s="3" t="str">
        <f>IF(O40, I40, "")</f>
        <v>suite-structure</v>
      </c>
      <c r="S40" s="3" t="str">
        <f>IF(Q40, I40, "")</f>
      </c>
      <c r="T40" s="2" t="s">
        <v>5935</v>
      </c>
    </row>
    <row r="41">
      <c r="A41" s="2" t="s">
        <v>5996</v>
      </c>
      <c r="B41" s="3" t="str">
        <f>C41 &amp; ": " &amp; D41</f>
        <v>structural: UserQuestions</v>
      </c>
      <c r="C41" s="2" t="s">
        <v>5931</v>
      </c>
      <c r="D41" s="2" t="s">
        <v>1819</v>
      </c>
      <c r="E41" s="2" t="s">
        <v>1819</v>
      </c>
      <c r="F41" s="2"/>
      <c r="G41" s="2" t="s">
        <v>5932</v>
      </c>
      <c r="H41" s="2"/>
      <c r="I41" s="2" t="s">
        <v>5917</v>
      </c>
      <c r="J41" s="2" t="s">
        <v>5933</v>
      </c>
      <c r="K41" s="3" t="b">
        <f>J41 = "blocking"</f>
        <v>1</v>
      </c>
      <c r="L41" s="2" t="s">
        <v>1428</v>
      </c>
      <c r="M41" s="2" t="s">
        <v>5950</v>
      </c>
      <c r="N41" s="4">
        <v>46223.1297337963</v>
      </c>
      <c r="O41" s="3" t="b">
        <f>L41 = "PASS"</f>
        <v>1</v>
      </c>
      <c r="P41" s="3" t="b">
        <f>L41 = "FAIL"</f>
        <v>0</v>
      </c>
      <c r="Q41" s="3" t="b">
        <f>AND(P41, K41)</f>
        <v>0</v>
      </c>
      <c r="R41" s="3" t="str">
        <f>IF(O41, I41, "")</f>
        <v>suite-structure</v>
      </c>
      <c r="S41" s="3" t="str">
        <f>IF(Q41, I41, "")</f>
      </c>
      <c r="T41" s="2" t="s">
        <v>5935</v>
      </c>
    </row>
    <row r="42">
      <c r="A42" s="2" t="s">
        <v>5997</v>
      </c>
      <c r="B42" s="3" t="str">
        <f>C42 &amp; ": " &amp; D42</f>
        <v>structural: UserFeedback</v>
      </c>
      <c r="C42" s="2" t="s">
        <v>5931</v>
      </c>
      <c r="D42" s="2" t="s">
        <v>1822</v>
      </c>
      <c r="E42" s="2" t="s">
        <v>1822</v>
      </c>
      <c r="F42" s="2"/>
      <c r="G42" s="2" t="s">
        <v>5932</v>
      </c>
      <c r="H42" s="2"/>
      <c r="I42" s="2" t="s">
        <v>5917</v>
      </c>
      <c r="J42" s="2" t="s">
        <v>5933</v>
      </c>
      <c r="K42" s="3" t="b">
        <f>J42 = "blocking"</f>
        <v>1</v>
      </c>
      <c r="L42" s="2" t="s">
        <v>1428</v>
      </c>
      <c r="M42" s="2" t="s">
        <v>5958</v>
      </c>
      <c r="N42" s="4">
        <v>46223.1297337963</v>
      </c>
      <c r="O42" s="3" t="b">
        <f>L42 = "PASS"</f>
        <v>1</v>
      </c>
      <c r="P42" s="3" t="b">
        <f>L42 = "FAIL"</f>
        <v>0</v>
      </c>
      <c r="Q42" s="3" t="b">
        <f>AND(P42, K42)</f>
        <v>0</v>
      </c>
      <c r="R42" s="3" t="str">
        <f>IF(O42, I42, "")</f>
        <v>suite-structure</v>
      </c>
      <c r="S42" s="3" t="str">
        <f>IF(Q42, I42, "")</f>
      </c>
      <c r="T42" s="2" t="s">
        <v>5935</v>
      </c>
    </row>
    <row r="43">
      <c r="A43" s="2" t="s">
        <v>5998</v>
      </c>
      <c r="B43" s="3" t="str">
        <f>C43 &amp; ": " &amp; D43</f>
        <v>structural: StewardshipAssignments</v>
      </c>
      <c r="C43" s="2" t="s">
        <v>5931</v>
      </c>
      <c r="D43" s="2" t="s">
        <v>1839</v>
      </c>
      <c r="E43" s="2" t="s">
        <v>1839</v>
      </c>
      <c r="F43" s="2"/>
      <c r="G43" s="2" t="s">
        <v>5932</v>
      </c>
      <c r="H43" s="2"/>
      <c r="I43" s="2" t="s">
        <v>5917</v>
      </c>
      <c r="J43" s="2" t="s">
        <v>5933</v>
      </c>
      <c r="K43" s="3" t="b">
        <f>J43 = "blocking"</f>
        <v>1</v>
      </c>
      <c r="L43" s="2" t="s">
        <v>1428</v>
      </c>
      <c r="M43" s="2" t="s">
        <v>5999</v>
      </c>
      <c r="N43" s="4">
        <v>46223.1297337963</v>
      </c>
      <c r="O43" s="3" t="b">
        <f>L43 = "PASS"</f>
        <v>1</v>
      </c>
      <c r="P43" s="3" t="b">
        <f>L43 = "FAIL"</f>
        <v>0</v>
      </c>
      <c r="Q43" s="3" t="b">
        <f>AND(P43, K43)</f>
        <v>0</v>
      </c>
      <c r="R43" s="3" t="str">
        <f>IF(O43, I43, "")</f>
        <v>suite-structure</v>
      </c>
      <c r="S43" s="3" t="str">
        <f>IF(Q43, I43, "")</f>
      </c>
      <c r="T43" s="2" t="s">
        <v>5935</v>
      </c>
    </row>
    <row r="44">
      <c r="A44" s="2" t="s">
        <v>6000</v>
      </c>
      <c r="B44" s="3" t="str">
        <f>C44 &amp; ": " &amp; D44</f>
        <v>structural: ChangeRequests</v>
      </c>
      <c r="C44" s="2" t="s">
        <v>5931</v>
      </c>
      <c r="D44" s="2" t="s">
        <v>3848</v>
      </c>
      <c r="E44" s="2" t="s">
        <v>3848</v>
      </c>
      <c r="F44" s="2"/>
      <c r="G44" s="2" t="s">
        <v>5932</v>
      </c>
      <c r="H44" s="2"/>
      <c r="I44" s="2" t="s">
        <v>5917</v>
      </c>
      <c r="J44" s="2" t="s">
        <v>5933</v>
      </c>
      <c r="K44" s="3" t="b">
        <f>J44 = "blocking"</f>
        <v>1</v>
      </c>
      <c r="L44" s="2" t="s">
        <v>1428</v>
      </c>
      <c r="M44" s="2" t="s">
        <v>6001</v>
      </c>
      <c r="N44" s="4">
        <v>46223.1297337963</v>
      </c>
      <c r="O44" s="3" t="b">
        <f>L44 = "PASS"</f>
        <v>1</v>
      </c>
      <c r="P44" s="3" t="b">
        <f>L44 = "FAIL"</f>
        <v>0</v>
      </c>
      <c r="Q44" s="3" t="b">
        <f>AND(P44, K44)</f>
        <v>0</v>
      </c>
      <c r="R44" s="3" t="str">
        <f>IF(O44, I44, "")</f>
        <v>suite-structure</v>
      </c>
      <c r="S44" s="3" t="str">
        <f>IF(Q44, I44, "")</f>
      </c>
      <c r="T44" s="2" t="s">
        <v>5935</v>
      </c>
    </row>
    <row r="45">
      <c r="A45" s="2" t="s">
        <v>6002</v>
      </c>
      <c r="B45" s="3" t="str">
        <f>C45 &amp; ": " &amp; D45</f>
        <v>structural: ReviewEvents</v>
      </c>
      <c r="C45" s="2" t="s">
        <v>5931</v>
      </c>
      <c r="D45" s="2" t="s">
        <v>3922</v>
      </c>
      <c r="E45" s="2" t="s">
        <v>3922</v>
      </c>
      <c r="F45" s="2"/>
      <c r="G45" s="2" t="s">
        <v>5932</v>
      </c>
      <c r="H45" s="2"/>
      <c r="I45" s="2" t="s">
        <v>5917</v>
      </c>
      <c r="J45" s="2" t="s">
        <v>5933</v>
      </c>
      <c r="K45" s="3" t="b">
        <f>J45 = "blocking"</f>
        <v>1</v>
      </c>
      <c r="L45" s="2" t="s">
        <v>1428</v>
      </c>
      <c r="M45" s="2" t="s">
        <v>6003</v>
      </c>
      <c r="N45" s="4">
        <v>46223.1297337963</v>
      </c>
      <c r="O45" s="3" t="b">
        <f>L45 = "PASS"</f>
        <v>1</v>
      </c>
      <c r="P45" s="3" t="b">
        <f>L45 = "FAIL"</f>
        <v>0</v>
      </c>
      <c r="Q45" s="3" t="b">
        <f>AND(P45, K45)</f>
        <v>0</v>
      </c>
      <c r="R45" s="3" t="str">
        <f>IF(O45, I45, "")</f>
        <v>suite-structure</v>
      </c>
      <c r="S45" s="3" t="str">
        <f>IF(Q45, I45, "")</f>
      </c>
      <c r="T45" s="2" t="s">
        <v>5935</v>
      </c>
    </row>
    <row r="46">
      <c r="A46" s="2" t="s">
        <v>6004</v>
      </c>
      <c r="B46" s="3" t="str">
        <f>C46 &amp; ": " &amp; D46</f>
        <v>structural: LearningActivities</v>
      </c>
      <c r="C46" s="2" t="s">
        <v>5931</v>
      </c>
      <c r="D46" s="2" t="s">
        <v>3951</v>
      </c>
      <c r="E46" s="2" t="s">
        <v>3951</v>
      </c>
      <c r="F46" s="2"/>
      <c r="G46" s="2" t="s">
        <v>5932</v>
      </c>
      <c r="H46" s="2"/>
      <c r="I46" s="2" t="s">
        <v>5917</v>
      </c>
      <c r="J46" s="2" t="s">
        <v>5933</v>
      </c>
      <c r="K46" s="3" t="b">
        <f>J46 = "blocking"</f>
        <v>1</v>
      </c>
      <c r="L46" s="2" t="s">
        <v>1428</v>
      </c>
      <c r="M46" s="2" t="s">
        <v>5950</v>
      </c>
      <c r="N46" s="4">
        <v>46223.1297337963</v>
      </c>
      <c r="O46" s="3" t="b">
        <f>L46 = "PASS"</f>
        <v>1</v>
      </c>
      <c r="P46" s="3" t="b">
        <f>L46 = "FAIL"</f>
        <v>0</v>
      </c>
      <c r="Q46" s="3" t="b">
        <f>AND(P46, K46)</f>
        <v>0</v>
      </c>
      <c r="R46" s="3" t="str">
        <f>IF(O46, I46, "")</f>
        <v>suite-structure</v>
      </c>
      <c r="S46" s="3" t="str">
        <f>IF(Q46, I46, "")</f>
      </c>
      <c r="T46" s="2" t="s">
        <v>5935</v>
      </c>
    </row>
    <row r="47">
      <c r="A47" s="2" t="s">
        <v>6005</v>
      </c>
      <c r="B47" s="3" t="str">
        <f>C47 &amp; ": " &amp; D47</f>
        <v>structural: OperationalBindings</v>
      </c>
      <c r="C47" s="2" t="s">
        <v>5931</v>
      </c>
      <c r="D47" s="2" t="s">
        <v>1842</v>
      </c>
      <c r="E47" s="2" t="s">
        <v>1842</v>
      </c>
      <c r="F47" s="2"/>
      <c r="G47" s="2" t="s">
        <v>5932</v>
      </c>
      <c r="H47" s="2"/>
      <c r="I47" s="2" t="s">
        <v>5917</v>
      </c>
      <c r="J47" s="2" t="s">
        <v>5933</v>
      </c>
      <c r="K47" s="3" t="b">
        <f>J47 = "blocking"</f>
        <v>1</v>
      </c>
      <c r="L47" s="2" t="s">
        <v>1428</v>
      </c>
      <c r="M47" s="2" t="s">
        <v>6006</v>
      </c>
      <c r="N47" s="4">
        <v>46223.1297337963</v>
      </c>
      <c r="O47" s="3" t="b">
        <f>L47 = "PASS"</f>
        <v>1</v>
      </c>
      <c r="P47" s="3" t="b">
        <f>L47 = "FAIL"</f>
        <v>0</v>
      </c>
      <c r="Q47" s="3" t="b">
        <f>AND(P47, K47)</f>
        <v>0</v>
      </c>
      <c r="R47" s="3" t="str">
        <f>IF(O47, I47, "")</f>
        <v>suite-structure</v>
      </c>
      <c r="S47" s="3" t="str">
        <f>IF(Q47, I47, "")</f>
      </c>
      <c r="T47" s="2" t="s">
        <v>5935</v>
      </c>
    </row>
    <row r="48">
      <c r="A48" s="2" t="s">
        <v>6007</v>
      </c>
      <c r="B48" s="3" t="str">
        <f>C48 &amp; ": " &amp; D48</f>
        <v>structural: CommunicationPolicies</v>
      </c>
      <c r="C48" s="2" t="s">
        <v>5931</v>
      </c>
      <c r="D48" s="2" t="s">
        <v>1845</v>
      </c>
      <c r="E48" s="2" t="s">
        <v>1845</v>
      </c>
      <c r="F48" s="2"/>
      <c r="G48" s="2" t="s">
        <v>5932</v>
      </c>
      <c r="H48" s="2"/>
      <c r="I48" s="2" t="s">
        <v>5917</v>
      </c>
      <c r="J48" s="2" t="s">
        <v>5933</v>
      </c>
      <c r="K48" s="3" t="b">
        <f>J48 = "blocking"</f>
        <v>1</v>
      </c>
      <c r="L48" s="2" t="s">
        <v>1428</v>
      </c>
      <c r="M48" s="2" t="s">
        <v>6006</v>
      </c>
      <c r="N48" s="4">
        <v>46223.1297337963</v>
      </c>
      <c r="O48" s="3" t="b">
        <f>L48 = "PASS"</f>
        <v>1</v>
      </c>
      <c r="P48" s="3" t="b">
        <f>L48 = "FAIL"</f>
        <v>0</v>
      </c>
      <c r="Q48" s="3" t="b">
        <f>AND(P48, K48)</f>
        <v>0</v>
      </c>
      <c r="R48" s="3" t="str">
        <f>IF(O48, I48, "")</f>
        <v>suite-structure</v>
      </c>
      <c r="S48" s="3" t="str">
        <f>IF(Q48, I48, "")</f>
      </c>
      <c r="T48" s="2" t="s">
        <v>5935</v>
      </c>
    </row>
    <row r="49">
      <c r="A49" s="2" t="s">
        <v>6008</v>
      </c>
      <c r="B49" s="3" t="str">
        <f>C49 &amp; ": " &amp; D49</f>
        <v>structural: MessageTemplates</v>
      </c>
      <c r="C49" s="2" t="s">
        <v>5931</v>
      </c>
      <c r="D49" s="2" t="s">
        <v>4021</v>
      </c>
      <c r="E49" s="2" t="s">
        <v>4021</v>
      </c>
      <c r="F49" s="2"/>
      <c r="G49" s="2" t="s">
        <v>5932</v>
      </c>
      <c r="H49" s="2"/>
      <c r="I49" s="2" t="s">
        <v>5917</v>
      </c>
      <c r="J49" s="2" t="s">
        <v>5933</v>
      </c>
      <c r="K49" s="3" t="b">
        <f>J49 = "blocking"</f>
        <v>1</v>
      </c>
      <c r="L49" s="2" t="s">
        <v>1428</v>
      </c>
      <c r="M49" s="2" t="s">
        <v>6009</v>
      </c>
      <c r="N49" s="4">
        <v>46223.1297337963</v>
      </c>
      <c r="O49" s="3" t="b">
        <f>L49 = "PASS"</f>
        <v>1</v>
      </c>
      <c r="P49" s="3" t="b">
        <f>L49 = "FAIL"</f>
        <v>0</v>
      </c>
      <c r="Q49" s="3" t="b">
        <f>AND(P49, K49)</f>
        <v>0</v>
      </c>
      <c r="R49" s="3" t="str">
        <f>IF(O49, I49, "")</f>
        <v>suite-structure</v>
      </c>
      <c r="S49" s="3" t="str">
        <f>IF(Q49, I49, "")</f>
      </c>
      <c r="T49" s="2" t="s">
        <v>5935</v>
      </c>
    </row>
    <row r="50">
      <c r="A50" s="2" t="s">
        <v>6010</v>
      </c>
      <c r="B50" s="3" t="str">
        <f>C50 &amp; ": " &amp; D50</f>
        <v>structural: SemanticMappings</v>
      </c>
      <c r="C50" s="2" t="s">
        <v>5931</v>
      </c>
      <c r="D50" s="2" t="s">
        <v>4064</v>
      </c>
      <c r="E50" s="2" t="s">
        <v>4064</v>
      </c>
      <c r="F50" s="2"/>
      <c r="G50" s="2" t="s">
        <v>5932</v>
      </c>
      <c r="H50" s="2"/>
      <c r="I50" s="2" t="s">
        <v>5917</v>
      </c>
      <c r="J50" s="2" t="s">
        <v>5933</v>
      </c>
      <c r="K50" s="3" t="b">
        <f>J50 = "blocking"</f>
        <v>1</v>
      </c>
      <c r="L50" s="2" t="s">
        <v>1428</v>
      </c>
      <c r="M50" s="2" t="s">
        <v>5937</v>
      </c>
      <c r="N50" s="4">
        <v>46223.1297337963</v>
      </c>
      <c r="O50" s="3" t="b">
        <f>L50 = "PASS"</f>
        <v>1</v>
      </c>
      <c r="P50" s="3" t="b">
        <f>L50 = "FAIL"</f>
        <v>0</v>
      </c>
      <c r="Q50" s="3" t="b">
        <f>AND(P50, K50)</f>
        <v>0</v>
      </c>
      <c r="R50" s="3" t="str">
        <f>IF(O50, I50, "")</f>
        <v>suite-structure</v>
      </c>
      <c r="S50" s="3" t="str">
        <f>IF(Q50, I50, "")</f>
      </c>
      <c r="T50" s="2" t="s">
        <v>5935</v>
      </c>
    </row>
    <row r="51">
      <c r="A51" s="2" t="s">
        <v>6011</v>
      </c>
      <c r="B51" s="3" t="str">
        <f>C51 &amp; ": " &amp; D51</f>
        <v>structural: WitnessLoops</v>
      </c>
      <c r="C51" s="2" t="s">
        <v>5931</v>
      </c>
      <c r="D51" s="2" t="s">
        <v>4074</v>
      </c>
      <c r="E51" s="2" t="s">
        <v>4074</v>
      </c>
      <c r="F51" s="2"/>
      <c r="G51" s="2" t="s">
        <v>5932</v>
      </c>
      <c r="H51" s="2"/>
      <c r="I51" s="2" t="s">
        <v>5917</v>
      </c>
      <c r="J51" s="2" t="s">
        <v>5933</v>
      </c>
      <c r="K51" s="3" t="b">
        <f>J51 = "blocking"</f>
        <v>1</v>
      </c>
      <c r="L51" s="2" t="s">
        <v>1428</v>
      </c>
      <c r="M51" s="2" t="s">
        <v>5973</v>
      </c>
      <c r="N51" s="4">
        <v>46223.1297337963</v>
      </c>
      <c r="O51" s="3" t="b">
        <f>L51 = "PASS"</f>
        <v>1</v>
      </c>
      <c r="P51" s="3" t="b">
        <f>L51 = "FAIL"</f>
        <v>0</v>
      </c>
      <c r="Q51" s="3" t="b">
        <f>AND(P51, K51)</f>
        <v>0</v>
      </c>
      <c r="R51" s="3" t="str">
        <f>IF(O51, I51, "")</f>
        <v>suite-structure</v>
      </c>
      <c r="S51" s="3" t="str">
        <f>IF(Q51, I51, "")</f>
      </c>
      <c r="T51" s="2" t="s">
        <v>5935</v>
      </c>
    </row>
    <row r="52">
      <c r="A52" s="2" t="s">
        <v>6012</v>
      </c>
      <c r="B52" s="3" t="str">
        <f>C52 &amp; ": " &amp; D52</f>
        <v>structural: RoleQuestions</v>
      </c>
      <c r="C52" s="2" t="s">
        <v>5931</v>
      </c>
      <c r="D52" s="2" t="s">
        <v>4091</v>
      </c>
      <c r="E52" s="2" t="s">
        <v>4091</v>
      </c>
      <c r="F52" s="2"/>
      <c r="G52" s="2" t="s">
        <v>5932</v>
      </c>
      <c r="H52" s="2"/>
      <c r="I52" s="2" t="s">
        <v>5917</v>
      </c>
      <c r="J52" s="2" t="s">
        <v>5933</v>
      </c>
      <c r="K52" s="3" t="b">
        <f>J52 = "blocking"</f>
        <v>1</v>
      </c>
      <c r="L52" s="2" t="s">
        <v>1428</v>
      </c>
      <c r="M52" s="2" t="s">
        <v>5934</v>
      </c>
      <c r="N52" s="4">
        <v>46223.1297337963</v>
      </c>
      <c r="O52" s="3" t="b">
        <f>L52 = "PASS"</f>
        <v>1</v>
      </c>
      <c r="P52" s="3" t="b">
        <f>L52 = "FAIL"</f>
        <v>0</v>
      </c>
      <c r="Q52" s="3" t="b">
        <f>AND(P52, K52)</f>
        <v>0</v>
      </c>
      <c r="R52" s="3" t="str">
        <f>IF(O52, I52, "")</f>
        <v>suite-structure</v>
      </c>
      <c r="S52" s="3" t="str">
        <f>IF(Q52, I52, "")</f>
      </c>
      <c r="T52" s="2" t="s">
        <v>5935</v>
      </c>
    </row>
    <row r="53">
      <c r="A53" s="2" t="s">
        <v>6013</v>
      </c>
      <c r="B53" s="3" t="str">
        <f>C53 &amp; ": " &amp; D53</f>
        <v>structural: RulebookFields</v>
      </c>
      <c r="C53" s="2" t="s">
        <v>5931</v>
      </c>
      <c r="D53" s="2" t="s">
        <v>4106</v>
      </c>
      <c r="E53" s="2" t="s">
        <v>4106</v>
      </c>
      <c r="F53" s="2"/>
      <c r="G53" s="2" t="s">
        <v>5932</v>
      </c>
      <c r="H53" s="2"/>
      <c r="I53" s="2" t="s">
        <v>5917</v>
      </c>
      <c r="J53" s="2" t="s">
        <v>5933</v>
      </c>
      <c r="K53" s="3" t="b">
        <f>J53 = "blocking"</f>
        <v>1</v>
      </c>
      <c r="L53" s="2" t="s">
        <v>1428</v>
      </c>
      <c r="M53" s="2" t="s">
        <v>5934</v>
      </c>
      <c r="N53" s="4">
        <v>46223.1297337963</v>
      </c>
      <c r="O53" s="3" t="b">
        <f>L53 = "PASS"</f>
        <v>1</v>
      </c>
      <c r="P53" s="3" t="b">
        <f>L53 = "FAIL"</f>
        <v>0</v>
      </c>
      <c r="Q53" s="3" t="b">
        <f>AND(P53, K53)</f>
        <v>0</v>
      </c>
      <c r="R53" s="3" t="str">
        <f>IF(O53, I53, "")</f>
        <v>suite-structure</v>
      </c>
      <c r="S53" s="3" t="str">
        <f>IF(Q53, I53, "")</f>
      </c>
      <c r="T53" s="2" t="s">
        <v>5935</v>
      </c>
    </row>
    <row r="54">
      <c r="A54" s="2" t="s">
        <v>6014</v>
      </c>
      <c r="B54" s="3" t="str">
        <f>C54 &amp; ": " &amp; D54</f>
        <v>structural: TestSuites</v>
      </c>
      <c r="C54" s="2" t="s">
        <v>5931</v>
      </c>
      <c r="D54" s="2" t="s">
        <v>4125</v>
      </c>
      <c r="E54" s="2" t="s">
        <v>4125</v>
      </c>
      <c r="F54" s="2"/>
      <c r="G54" s="2" t="s">
        <v>5932</v>
      </c>
      <c r="H54" s="2"/>
      <c r="I54" s="2" t="s">
        <v>5917</v>
      </c>
      <c r="J54" s="2" t="s">
        <v>5933</v>
      </c>
      <c r="K54" s="3" t="b">
        <f>J54 = "blocking"</f>
        <v>1</v>
      </c>
      <c r="L54" s="2" t="s">
        <v>1428</v>
      </c>
      <c r="M54" s="2" t="s">
        <v>5937</v>
      </c>
      <c r="N54" s="4">
        <v>46223.1297337963</v>
      </c>
      <c r="O54" s="3" t="b">
        <f>L54 = "PASS"</f>
        <v>1</v>
      </c>
      <c r="P54" s="3" t="b">
        <f>L54 = "FAIL"</f>
        <v>0</v>
      </c>
      <c r="Q54" s="3" t="b">
        <f>AND(P54, K54)</f>
        <v>0</v>
      </c>
      <c r="R54" s="3" t="str">
        <f>IF(O54, I54, "")</f>
        <v>suite-structure</v>
      </c>
      <c r="S54" s="3" t="str">
        <f>IF(Q54, I54, "")</f>
      </c>
      <c r="T54" s="2" t="s">
        <v>5935</v>
      </c>
    </row>
    <row r="55">
      <c r="A55" s="2" t="s">
        <v>6015</v>
      </c>
      <c r="B55" s="3" t="str">
        <f>C55 &amp; ": " &amp; D55</f>
        <v>structural: TestCases</v>
      </c>
      <c r="C55" s="2" t="s">
        <v>5931</v>
      </c>
      <c r="D55" s="2" t="s">
        <v>4143</v>
      </c>
      <c r="E55" s="2" t="s">
        <v>4143</v>
      </c>
      <c r="F55" s="2"/>
      <c r="G55" s="2" t="s">
        <v>5932</v>
      </c>
      <c r="H55" s="2"/>
      <c r="I55" s="2" t="s">
        <v>5917</v>
      </c>
      <c r="J55" s="2" t="s">
        <v>5933</v>
      </c>
      <c r="K55" s="3" t="b">
        <f>J55 = "blocking"</f>
        <v>1</v>
      </c>
      <c r="L55" s="2" t="s">
        <v>1428</v>
      </c>
      <c r="M55" s="2" t="s">
        <v>6003</v>
      </c>
      <c r="N55" s="4">
        <v>46223.1297337963</v>
      </c>
      <c r="O55" s="3" t="b">
        <f>L55 = "PASS"</f>
        <v>1</v>
      </c>
      <c r="P55" s="3" t="b">
        <f>L55 = "FAIL"</f>
        <v>0</v>
      </c>
      <c r="Q55" s="3" t="b">
        <f>AND(P55, K55)</f>
        <v>0</v>
      </c>
      <c r="R55" s="3" t="str">
        <f>IF(O55, I55, "")</f>
        <v>suite-structure</v>
      </c>
      <c r="S55" s="3" t="str">
        <f>IF(Q55, I55, "")</f>
      </c>
      <c r="T55" s="2" t="s">
        <v>5935</v>
      </c>
    </row>
    <row r="56">
      <c r="A56" s="2" t="s">
        <v>6016</v>
      </c>
      <c r="B56" s="3" t="str">
        <f>C56 &amp; ": " &amp; D56</f>
        <v>structural: ERBVersions</v>
      </c>
      <c r="C56" s="2" t="s">
        <v>5931</v>
      </c>
      <c r="D56" s="2" t="s">
        <v>4186</v>
      </c>
      <c r="E56" s="2" t="s">
        <v>4186</v>
      </c>
      <c r="F56" s="2"/>
      <c r="G56" s="2" t="s">
        <v>5932</v>
      </c>
      <c r="H56" s="2"/>
      <c r="I56" s="2" t="s">
        <v>5917</v>
      </c>
      <c r="J56" s="2" t="s">
        <v>5933</v>
      </c>
      <c r="K56" s="3" t="b">
        <f>J56 = "blocking"</f>
        <v>1</v>
      </c>
      <c r="L56" s="2" t="s">
        <v>1428</v>
      </c>
      <c r="M56" s="2" t="s">
        <v>5939</v>
      </c>
      <c r="N56" s="4">
        <v>46223.1297337963</v>
      </c>
      <c r="O56" s="3" t="b">
        <f>L56 = "PASS"</f>
        <v>1</v>
      </c>
      <c r="P56" s="3" t="b">
        <f>L56 = "FAIL"</f>
        <v>0</v>
      </c>
      <c r="Q56" s="3" t="b">
        <f>AND(P56, K56)</f>
        <v>0</v>
      </c>
      <c r="R56" s="3" t="str">
        <f>IF(O56, I56, "")</f>
        <v>suite-structure</v>
      </c>
      <c r="S56" s="3" t="str">
        <f>IF(Q56, I56, "")</f>
      </c>
      <c r="T56" s="2" t="s">
        <v>5935</v>
      </c>
    </row>
    <row r="57">
      <c r="A57" s="2" t="s">
        <v>6017</v>
      </c>
      <c r="B57" s="3" t="str">
        <f>C57 &amp; ": " &amp; D57</f>
        <v>structural: ERBCustomizations</v>
      </c>
      <c r="C57" s="2" t="s">
        <v>5931</v>
      </c>
      <c r="D57" s="2" t="s">
        <v>4199</v>
      </c>
      <c r="E57" s="2" t="s">
        <v>4199</v>
      </c>
      <c r="F57" s="2"/>
      <c r="G57" s="2" t="s">
        <v>5932</v>
      </c>
      <c r="H57" s="2"/>
      <c r="I57" s="2" t="s">
        <v>5917</v>
      </c>
      <c r="J57" s="2" t="s">
        <v>5933</v>
      </c>
      <c r="K57" s="3" t="b">
        <f>J57 = "blocking"</f>
        <v>1</v>
      </c>
      <c r="L57" s="2" t="s">
        <v>1428</v>
      </c>
      <c r="M57" s="2" t="s">
        <v>5941</v>
      </c>
      <c r="N57" s="4">
        <v>46223.1297337963</v>
      </c>
      <c r="O57" s="3" t="b">
        <f>L57 = "PASS"</f>
        <v>1</v>
      </c>
      <c r="P57" s="3" t="b">
        <f>L57 = "FAIL"</f>
        <v>0</v>
      </c>
      <c r="Q57" s="3" t="b">
        <f>AND(P57, K57)</f>
        <v>0</v>
      </c>
      <c r="R57" s="3" t="str">
        <f>IF(O57, I57, "")</f>
        <v>suite-structure</v>
      </c>
      <c r="S57" s="3" t="str">
        <f>IF(Q57, I57, "")</f>
      </c>
      <c r="T57" s="2" t="s">
        <v>5935</v>
      </c>
    </row>
    <row r="58">
      <c r="A58" s="2" t="s">
        <v>6018</v>
      </c>
      <c r="B58" s="3" t="str">
        <f>C58 &amp; ": " &amp; D58</f>
        <v>structural: __meta__</v>
      </c>
      <c r="C58" s="2" t="s">
        <v>5931</v>
      </c>
      <c r="D58" s="2" t="s">
        <v>4210</v>
      </c>
      <c r="E58" s="2" t="s">
        <v>4210</v>
      </c>
      <c r="F58" s="2"/>
      <c r="G58" s="2" t="s">
        <v>5932</v>
      </c>
      <c r="H58" s="2"/>
      <c r="I58" s="2" t="s">
        <v>5917</v>
      </c>
      <c r="J58" s="2" t="s">
        <v>5933</v>
      </c>
      <c r="K58" s="3" t="b">
        <f>J58 = "blocking"</f>
        <v>1</v>
      </c>
      <c r="L58" s="2" t="s">
        <v>1428</v>
      </c>
      <c r="M58" s="2" t="s">
        <v>5952</v>
      </c>
      <c r="N58" s="4">
        <v>46223.1297337963</v>
      </c>
      <c r="O58" s="3" t="b">
        <f>L58 = "PASS"</f>
        <v>1</v>
      </c>
      <c r="P58" s="3" t="b">
        <f>L58 = "FAIL"</f>
        <v>0</v>
      </c>
      <c r="Q58" s="3" t="b">
        <f>AND(P58, K58)</f>
        <v>0</v>
      </c>
      <c r="R58" s="3" t="str">
        <f>IF(O58, I58, "")</f>
        <v>suite-structure</v>
      </c>
      <c r="S58" s="3" t="str">
        <f>IF(Q58, I58, "")</f>
      </c>
      <c r="T58" s="2" t="s">
        <v>5935</v>
      </c>
    </row>
    <row r="59">
      <c r="A59" s="2" t="s">
        <v>6019</v>
      </c>
      <c r="B59" s="3" t="str">
        <f>C59 &amp; ": " &amp; D59</f>
        <v>structural: ExceptionInvocations</v>
      </c>
      <c r="C59" s="2" t="s">
        <v>5931</v>
      </c>
      <c r="D59" s="2" t="s">
        <v>4221</v>
      </c>
      <c r="E59" s="2" t="s">
        <v>4221</v>
      </c>
      <c r="F59" s="2"/>
      <c r="G59" s="2" t="s">
        <v>5932</v>
      </c>
      <c r="H59" s="2"/>
      <c r="I59" s="2" t="s">
        <v>5917</v>
      </c>
      <c r="J59" s="2" t="s">
        <v>5933</v>
      </c>
      <c r="K59" s="3" t="b">
        <f>J59 = "blocking"</f>
        <v>1</v>
      </c>
      <c r="L59" s="2" t="s">
        <v>1428</v>
      </c>
      <c r="M59" s="2" t="s">
        <v>5980</v>
      </c>
      <c r="N59" s="4">
        <v>46223.1297337963</v>
      </c>
      <c r="O59" s="3" t="b">
        <f>L59 = "PASS"</f>
        <v>1</v>
      </c>
      <c r="P59" s="3" t="b">
        <f>L59 = "FAIL"</f>
        <v>0</v>
      </c>
      <c r="Q59" s="3" t="b">
        <f>AND(P59, K59)</f>
        <v>0</v>
      </c>
      <c r="R59" s="3" t="str">
        <f>IF(O59, I59, "")</f>
        <v>suite-structure</v>
      </c>
      <c r="S59" s="3" t="str">
        <f>IF(Q59, I59, "")</f>
      </c>
      <c r="T59" s="2" t="s">
        <v>5935</v>
      </c>
    </row>
    <row r="60">
      <c r="A60" s="2" t="s">
        <v>6020</v>
      </c>
      <c r="B60" s="3" t="str">
        <f>C60 &amp; ": " &amp; D60</f>
        <v>structural: VerificationOutcomes</v>
      </c>
      <c r="C60" s="2" t="s">
        <v>5931</v>
      </c>
      <c r="D60" s="2" t="s">
        <v>4271</v>
      </c>
      <c r="E60" s="2" t="s">
        <v>4271</v>
      </c>
      <c r="F60" s="2"/>
      <c r="G60" s="2" t="s">
        <v>5932</v>
      </c>
      <c r="H60" s="2"/>
      <c r="I60" s="2" t="s">
        <v>5917</v>
      </c>
      <c r="J60" s="2" t="s">
        <v>5933</v>
      </c>
      <c r="K60" s="3" t="b">
        <f>J60 = "blocking"</f>
        <v>1</v>
      </c>
      <c r="L60" s="2" t="s">
        <v>1428</v>
      </c>
      <c r="M60" s="2" t="s">
        <v>6009</v>
      </c>
      <c r="N60" s="4">
        <v>46223.1297337963</v>
      </c>
      <c r="O60" s="3" t="b">
        <f>L60 = "PASS"</f>
        <v>1</v>
      </c>
      <c r="P60" s="3" t="b">
        <f>L60 = "FAIL"</f>
        <v>0</v>
      </c>
      <c r="Q60" s="3" t="b">
        <f>AND(P60, K60)</f>
        <v>0</v>
      </c>
      <c r="R60" s="3" t="str">
        <f>IF(O60, I60, "")</f>
        <v>suite-structure</v>
      </c>
      <c r="S60" s="3" t="str">
        <f>IF(Q60, I60, "")</f>
      </c>
      <c r="T60" s="2" t="s">
        <v>5935</v>
      </c>
    </row>
    <row r="61">
      <c r="A61" s="2" t="s">
        <v>6021</v>
      </c>
      <c r="B61" s="3" t="str">
        <f>C61 &amp; ": " &amp; D61</f>
        <v>structural: ObservedTransitions</v>
      </c>
      <c r="C61" s="2" t="s">
        <v>5931</v>
      </c>
      <c r="D61" s="2" t="s">
        <v>4332</v>
      </c>
      <c r="E61" s="2" t="s">
        <v>4332</v>
      </c>
      <c r="F61" s="2"/>
      <c r="G61" s="2" t="s">
        <v>5932</v>
      </c>
      <c r="H61" s="2"/>
      <c r="I61" s="2" t="s">
        <v>5917</v>
      </c>
      <c r="J61" s="2" t="s">
        <v>5933</v>
      </c>
      <c r="K61" s="3" t="b">
        <f>J61 = "blocking"</f>
        <v>1</v>
      </c>
      <c r="L61" s="2" t="s">
        <v>1428</v>
      </c>
      <c r="M61" s="2" t="s">
        <v>5937</v>
      </c>
      <c r="N61" s="4">
        <v>46223.1297337963</v>
      </c>
      <c r="O61" s="3" t="b">
        <f>L61 = "PASS"</f>
        <v>1</v>
      </c>
      <c r="P61" s="3" t="b">
        <f>L61 = "FAIL"</f>
        <v>0</v>
      </c>
      <c r="Q61" s="3" t="b">
        <f>AND(P61, K61)</f>
        <v>0</v>
      </c>
      <c r="R61" s="3" t="str">
        <f>IF(O61, I61, "")</f>
        <v>suite-structure</v>
      </c>
      <c r="S61" s="3" t="str">
        <f>IF(Q61, I61, "")</f>
      </c>
      <c r="T61" s="2" t="s">
        <v>5935</v>
      </c>
    </row>
    <row r="62">
      <c r="A62" s="2" t="s">
        <v>6022</v>
      </c>
      <c r="B62" s="3" t="str">
        <f>C62 &amp; ": " &amp; D62</f>
        <v>structural: Recipients</v>
      </c>
      <c r="C62" s="2" t="s">
        <v>5931</v>
      </c>
      <c r="D62" s="2" t="s">
        <v>4346</v>
      </c>
      <c r="E62" s="2" t="s">
        <v>4346</v>
      </c>
      <c r="F62" s="2"/>
      <c r="G62" s="2" t="s">
        <v>5932</v>
      </c>
      <c r="H62" s="2"/>
      <c r="I62" s="2" t="s">
        <v>5917</v>
      </c>
      <c r="J62" s="2" t="s">
        <v>5933</v>
      </c>
      <c r="K62" s="3" t="b">
        <f>J62 = "blocking"</f>
        <v>1</v>
      </c>
      <c r="L62" s="2" t="s">
        <v>1428</v>
      </c>
      <c r="M62" s="2" t="s">
        <v>6023</v>
      </c>
      <c r="N62" s="4">
        <v>46223.1297337963</v>
      </c>
      <c r="O62" s="3" t="b">
        <f>L62 = "PASS"</f>
        <v>1</v>
      </c>
      <c r="P62" s="3" t="b">
        <f>L62 = "FAIL"</f>
        <v>0</v>
      </c>
      <c r="Q62" s="3" t="b">
        <f>AND(P62, K62)</f>
        <v>0</v>
      </c>
      <c r="R62" s="3" t="str">
        <f>IF(O62, I62, "")</f>
        <v>suite-structure</v>
      </c>
      <c r="S62" s="3" t="str">
        <f>IF(Q62, I62, "")</f>
      </c>
      <c r="T62" s="2" t="s">
        <v>5935</v>
      </c>
    </row>
    <row r="63">
      <c r="A63" s="2" t="s">
        <v>6024</v>
      </c>
      <c r="B63" s="3" t="str">
        <f>C63 &amp; ": " &amp; D63</f>
        <v>structural: MessageDeliveries</v>
      </c>
      <c r="C63" s="2" t="s">
        <v>5931</v>
      </c>
      <c r="D63" s="2" t="s">
        <v>4378</v>
      </c>
      <c r="E63" s="2" t="s">
        <v>4378</v>
      </c>
      <c r="F63" s="2"/>
      <c r="G63" s="2" t="s">
        <v>5932</v>
      </c>
      <c r="H63" s="2"/>
      <c r="I63" s="2" t="s">
        <v>5917</v>
      </c>
      <c r="J63" s="2" t="s">
        <v>5933</v>
      </c>
      <c r="K63" s="3" t="b">
        <f>J63 = "blocking"</f>
        <v>1</v>
      </c>
      <c r="L63" s="2" t="s">
        <v>1428</v>
      </c>
      <c r="M63" s="2" t="s">
        <v>6025</v>
      </c>
      <c r="N63" s="4">
        <v>46223.1297337963</v>
      </c>
      <c r="O63" s="3" t="b">
        <f>L63 = "PASS"</f>
        <v>1</v>
      </c>
      <c r="P63" s="3" t="b">
        <f>L63 = "FAIL"</f>
        <v>0</v>
      </c>
      <c r="Q63" s="3" t="b">
        <f>AND(P63, K63)</f>
        <v>0</v>
      </c>
      <c r="R63" s="3" t="str">
        <f>IF(O63, I63, "")</f>
        <v>suite-structure</v>
      </c>
      <c r="S63" s="3" t="str">
        <f>IF(Q63, I63, "")</f>
      </c>
      <c r="T63" s="2" t="s">
        <v>5935</v>
      </c>
    </row>
    <row r="64">
      <c r="A64" s="2" t="s">
        <v>6026</v>
      </c>
      <c r="B64" s="3" t="str">
        <f>C64 &amp; ": " &amp; D64</f>
        <v>structural: TemplateApprovals</v>
      </c>
      <c r="C64" s="2" t="s">
        <v>5931</v>
      </c>
      <c r="D64" s="2" t="s">
        <v>4632</v>
      </c>
      <c r="E64" s="2" t="s">
        <v>4632</v>
      </c>
      <c r="F64" s="2"/>
      <c r="G64" s="2" t="s">
        <v>5932</v>
      </c>
      <c r="H64" s="2"/>
      <c r="I64" s="2" t="s">
        <v>5917</v>
      </c>
      <c r="J64" s="2" t="s">
        <v>5933</v>
      </c>
      <c r="K64" s="3" t="b">
        <f>J64 = "blocking"</f>
        <v>1</v>
      </c>
      <c r="L64" s="2" t="s">
        <v>1428</v>
      </c>
      <c r="M64" s="2" t="s">
        <v>6023</v>
      </c>
      <c r="N64" s="4">
        <v>46223.1297337963</v>
      </c>
      <c r="O64" s="3" t="b">
        <f>L64 = "PASS"</f>
        <v>1</v>
      </c>
      <c r="P64" s="3" t="b">
        <f>L64 = "FAIL"</f>
        <v>0</v>
      </c>
      <c r="Q64" s="3" t="b">
        <f>AND(P64, K64)</f>
        <v>0</v>
      </c>
      <c r="R64" s="3" t="str">
        <f>IF(O64, I64, "")</f>
        <v>suite-structure</v>
      </c>
      <c r="S64" s="3" t="str">
        <f>IF(Q64, I64, "")</f>
      </c>
      <c r="T64" s="2" t="s">
        <v>5935</v>
      </c>
    </row>
    <row r="65">
      <c r="A65" s="2" t="s">
        <v>6027</v>
      </c>
      <c r="B65" s="3" t="str">
        <f>C65 &amp; ": " &amp; D65</f>
        <v>structural: SendIntents</v>
      </c>
      <c r="C65" s="2" t="s">
        <v>5931</v>
      </c>
      <c r="D65" s="2" t="s">
        <v>4662</v>
      </c>
      <c r="E65" s="2" t="s">
        <v>4662</v>
      </c>
      <c r="F65" s="2"/>
      <c r="G65" s="2" t="s">
        <v>5932</v>
      </c>
      <c r="H65" s="2"/>
      <c r="I65" s="2" t="s">
        <v>5917</v>
      </c>
      <c r="J65" s="2" t="s">
        <v>5933</v>
      </c>
      <c r="K65" s="3" t="b">
        <f>J65 = "blocking"</f>
        <v>1</v>
      </c>
      <c r="L65" s="2" t="s">
        <v>1428</v>
      </c>
      <c r="M65" s="2" t="s">
        <v>6028</v>
      </c>
      <c r="N65" s="4">
        <v>46223.1297337963</v>
      </c>
      <c r="O65" s="3" t="b">
        <f>L65 = "PASS"</f>
        <v>1</v>
      </c>
      <c r="P65" s="3" t="b">
        <f>L65 = "FAIL"</f>
        <v>0</v>
      </c>
      <c r="Q65" s="3" t="b">
        <f>AND(P65, K65)</f>
        <v>0</v>
      </c>
      <c r="R65" s="3" t="str">
        <f>IF(O65, I65, "")</f>
        <v>suite-structure</v>
      </c>
      <c r="S65" s="3" t="str">
        <f>IF(Q65, I65, "")</f>
      </c>
      <c r="T65" s="2" t="s">
        <v>5935</v>
      </c>
    </row>
    <row r="66">
      <c r="A66" s="2" t="s">
        <v>6029</v>
      </c>
      <c r="B66" s="3" t="str">
        <f>C66 &amp; ": " &amp; D66</f>
        <v>structural: AgentDecisionRecords</v>
      </c>
      <c r="C66" s="2" t="s">
        <v>5931</v>
      </c>
      <c r="D66" s="2" t="s">
        <v>4928</v>
      </c>
      <c r="E66" s="2" t="s">
        <v>4928</v>
      </c>
      <c r="F66" s="2"/>
      <c r="G66" s="2" t="s">
        <v>5932</v>
      </c>
      <c r="H66" s="2"/>
      <c r="I66" s="2" t="s">
        <v>5917</v>
      </c>
      <c r="J66" s="2" t="s">
        <v>5933</v>
      </c>
      <c r="K66" s="3" t="b">
        <f>J66 = "blocking"</f>
        <v>1</v>
      </c>
      <c r="L66" s="2" t="s">
        <v>1428</v>
      </c>
      <c r="M66" s="2" t="s">
        <v>6030</v>
      </c>
      <c r="N66" s="4">
        <v>46223.1297337963</v>
      </c>
      <c r="O66" s="3" t="b">
        <f>L66 = "PASS"</f>
        <v>1</v>
      </c>
      <c r="P66" s="3" t="b">
        <f>L66 = "FAIL"</f>
        <v>0</v>
      </c>
      <c r="Q66" s="3" t="b">
        <f>AND(P66, K66)</f>
        <v>0</v>
      </c>
      <c r="R66" s="3" t="str">
        <f>IF(O66, I66, "")</f>
        <v>suite-structure</v>
      </c>
      <c r="S66" s="3" t="str">
        <f>IF(Q66, I66, "")</f>
      </c>
      <c r="T66" s="2" t="s">
        <v>5935</v>
      </c>
    </row>
    <row r="67">
      <c r="A67" s="2" t="s">
        <v>6031</v>
      </c>
      <c r="B67" s="3" t="str">
        <f>C67 &amp; ": " &amp; D67</f>
        <v>structural: DeliveredCommunications</v>
      </c>
      <c r="C67" s="2" t="s">
        <v>5931</v>
      </c>
      <c r="D67" s="2" t="s">
        <v>5029</v>
      </c>
      <c r="E67" s="2" t="s">
        <v>5029</v>
      </c>
      <c r="F67" s="2"/>
      <c r="G67" s="2" t="s">
        <v>5932</v>
      </c>
      <c r="H67" s="2"/>
      <c r="I67" s="2" t="s">
        <v>5917</v>
      </c>
      <c r="J67" s="2" t="s">
        <v>5933</v>
      </c>
      <c r="K67" s="3" t="b">
        <f>J67 = "blocking"</f>
        <v>1</v>
      </c>
      <c r="L67" s="2" t="s">
        <v>1428</v>
      </c>
      <c r="M67" s="2" t="s">
        <v>6032</v>
      </c>
      <c r="N67" s="4">
        <v>46223.1297337963</v>
      </c>
      <c r="O67" s="3" t="b">
        <f>L67 = "PASS"</f>
        <v>1</v>
      </c>
      <c r="P67" s="3" t="b">
        <f>L67 = "FAIL"</f>
        <v>0</v>
      </c>
      <c r="Q67" s="3" t="b">
        <f>AND(P67, K67)</f>
        <v>0</v>
      </c>
      <c r="R67" s="3" t="str">
        <f>IF(O67, I67, "")</f>
        <v>suite-structure</v>
      </c>
      <c r="S67" s="3" t="str">
        <f>IF(Q67, I67, "")</f>
      </c>
      <c r="T67" s="2" t="s">
        <v>5935</v>
      </c>
    </row>
    <row r="68">
      <c r="A68" s="2" t="s">
        <v>6033</v>
      </c>
      <c r="B68" s="3" t="str">
        <f>C68 &amp; ": " &amp; D68</f>
        <v>structural: AuthorityBoundaries</v>
      </c>
      <c r="C68" s="2" t="s">
        <v>5931</v>
      </c>
      <c r="D68" s="2" t="s">
        <v>5065</v>
      </c>
      <c r="E68" s="2" t="s">
        <v>5065</v>
      </c>
      <c r="F68" s="2"/>
      <c r="G68" s="2" t="s">
        <v>5932</v>
      </c>
      <c r="H68" s="2"/>
      <c r="I68" s="2" t="s">
        <v>5917</v>
      </c>
      <c r="J68" s="2" t="s">
        <v>5933</v>
      </c>
      <c r="K68" s="3" t="b">
        <f>J68 = "blocking"</f>
        <v>1</v>
      </c>
      <c r="L68" s="2" t="s">
        <v>1428</v>
      </c>
      <c r="M68" s="2" t="s">
        <v>6034</v>
      </c>
      <c r="N68" s="4">
        <v>46223.1297337963</v>
      </c>
      <c r="O68" s="3" t="b">
        <f>L68 = "PASS"</f>
        <v>1</v>
      </c>
      <c r="P68" s="3" t="b">
        <f>L68 = "FAIL"</f>
        <v>0</v>
      </c>
      <c r="Q68" s="3" t="b">
        <f>AND(P68, K68)</f>
        <v>0</v>
      </c>
      <c r="R68" s="3" t="str">
        <f>IF(O68, I68, "")</f>
        <v>suite-structure</v>
      </c>
      <c r="S68" s="3" t="str">
        <f>IF(Q68, I68, "")</f>
      </c>
      <c r="T68" s="2" t="s">
        <v>5935</v>
      </c>
    </row>
    <row r="69">
      <c r="A69" s="2" t="s">
        <v>6035</v>
      </c>
      <c r="B69" s="3" t="str">
        <f>C69 &amp; ": " &amp; D69</f>
        <v>structural: BindingObservations</v>
      </c>
      <c r="C69" s="2" t="s">
        <v>5931</v>
      </c>
      <c r="D69" s="2" t="s">
        <v>5142</v>
      </c>
      <c r="E69" s="2" t="s">
        <v>5142</v>
      </c>
      <c r="F69" s="2"/>
      <c r="G69" s="2" t="s">
        <v>5932</v>
      </c>
      <c r="H69" s="2"/>
      <c r="I69" s="2" t="s">
        <v>5917</v>
      </c>
      <c r="J69" s="2" t="s">
        <v>5933</v>
      </c>
      <c r="K69" s="3" t="b">
        <f>J69 = "blocking"</f>
        <v>1</v>
      </c>
      <c r="L69" s="2" t="s">
        <v>1428</v>
      </c>
      <c r="M69" s="2" t="s">
        <v>5934</v>
      </c>
      <c r="N69" s="4">
        <v>46223.1297337963</v>
      </c>
      <c r="O69" s="3" t="b">
        <f>L69 = "PASS"</f>
        <v>1</v>
      </c>
      <c r="P69" s="3" t="b">
        <f>L69 = "FAIL"</f>
        <v>0</v>
      </c>
      <c r="Q69" s="3" t="b">
        <f>AND(P69, K69)</f>
        <v>0</v>
      </c>
      <c r="R69" s="3" t="str">
        <f>IF(O69, I69, "")</f>
        <v>suite-structure</v>
      </c>
      <c r="S69" s="3" t="str">
        <f>IF(Q69, I69, "")</f>
      </c>
      <c r="T69" s="2" t="s">
        <v>5935</v>
      </c>
    </row>
    <row r="70">
      <c r="A70" s="2" t="s">
        <v>6036</v>
      </c>
      <c r="B70" s="3" t="str">
        <f>C70 &amp; ": " &amp; D70</f>
        <v>structural: Attestations</v>
      </c>
      <c r="C70" s="2" t="s">
        <v>5931</v>
      </c>
      <c r="D70" s="2" t="s">
        <v>5169</v>
      </c>
      <c r="E70" s="2" t="s">
        <v>5169</v>
      </c>
      <c r="F70" s="2"/>
      <c r="G70" s="2" t="s">
        <v>5932</v>
      </c>
      <c r="H70" s="2"/>
      <c r="I70" s="2" t="s">
        <v>5917</v>
      </c>
      <c r="J70" s="2" t="s">
        <v>5933</v>
      </c>
      <c r="K70" s="3" t="b">
        <f>J70 = "blocking"</f>
        <v>1</v>
      </c>
      <c r="L70" s="2" t="s">
        <v>1428</v>
      </c>
      <c r="M70" s="2" t="s">
        <v>5995</v>
      </c>
      <c r="N70" s="4">
        <v>46223.1297337963</v>
      </c>
      <c r="O70" s="3" t="b">
        <f>L70 = "PASS"</f>
        <v>1</v>
      </c>
      <c r="P70" s="3" t="b">
        <f>L70 = "FAIL"</f>
        <v>0</v>
      </c>
      <c r="Q70" s="3" t="b">
        <f>AND(P70, K70)</f>
        <v>0</v>
      </c>
      <c r="R70" s="3" t="str">
        <f>IF(O70, I70, "")</f>
        <v>suite-structure</v>
      </c>
      <c r="S70" s="3" t="str">
        <f>IF(Q70, I70, "")</f>
      </c>
      <c r="T70" s="2" t="s">
        <v>5935</v>
      </c>
    </row>
    <row r="71">
      <c r="A71" s="2" t="s">
        <v>6037</v>
      </c>
      <c r="B71" s="3" t="str">
        <f>C71 &amp; ": " &amp; D71</f>
        <v>formula-translates: RulebookReleases.Name</v>
      </c>
      <c r="C71" s="2" t="s">
        <v>6038</v>
      </c>
      <c r="D71" s="2" t="s">
        <v>2388</v>
      </c>
      <c r="E71" s="2" t="s">
        <v>2384</v>
      </c>
      <c r="F71" s="2" t="s">
        <v>1</v>
      </c>
      <c r="G71" s="2" t="s">
        <v>6039</v>
      </c>
      <c r="H71" s="2"/>
      <c r="I71" s="2" t="s">
        <v>5920</v>
      </c>
      <c r="J71" s="2" t="s">
        <v>5933</v>
      </c>
      <c r="K71" s="3" t="b">
        <f>J71 = "blocking"</f>
        <v>1</v>
      </c>
      <c r="L71" s="2" t="s">
        <v>1428</v>
      </c>
      <c r="M71" s="2" t="s">
        <v>6040</v>
      </c>
      <c r="N71" s="4">
        <v>46223.1297337963</v>
      </c>
      <c r="O71" s="3" t="b">
        <f>L71 = "PASS"</f>
        <v>1</v>
      </c>
      <c r="P71" s="3" t="b">
        <f>L71 = "FAIL"</f>
        <v>0</v>
      </c>
      <c r="Q71" s="3" t="b">
        <f>AND(P71, K71)</f>
        <v>0</v>
      </c>
      <c r="R71" s="3" t="str">
        <f>IF(O71, I71, "")</f>
        <v>suite-substrate</v>
      </c>
      <c r="S71" s="3" t="str">
        <f>IF(Q71, I71, "")</f>
      </c>
      <c r="T71" s="2" t="s">
        <v>5935</v>
      </c>
    </row>
    <row r="72">
      <c r="A72" s="2" t="s">
        <v>6041</v>
      </c>
      <c r="B72" s="3" t="str">
        <f>C72 &amp; ": " &amp; D72</f>
        <v>formula-translates: OntologyProfiles.Name</v>
      </c>
      <c r="C72" s="2" t="s">
        <v>6038</v>
      </c>
      <c r="D72" s="2" t="s">
        <v>2404</v>
      </c>
      <c r="E72" s="2" t="s">
        <v>2403</v>
      </c>
      <c r="F72" s="2" t="s">
        <v>1</v>
      </c>
      <c r="G72" s="2" t="s">
        <v>6039</v>
      </c>
      <c r="H72" s="2"/>
      <c r="I72" s="2" t="s">
        <v>5920</v>
      </c>
      <c r="J72" s="2" t="s">
        <v>5933</v>
      </c>
      <c r="K72" s="3" t="b">
        <f>J72 = "blocking"</f>
        <v>1</v>
      </c>
      <c r="L72" s="2" t="s">
        <v>1428</v>
      </c>
      <c r="M72" s="2" t="s">
        <v>6040</v>
      </c>
      <c r="N72" s="4">
        <v>46223.1297337963</v>
      </c>
      <c r="O72" s="3" t="b">
        <f>L72 = "PASS"</f>
        <v>1</v>
      </c>
      <c r="P72" s="3" t="b">
        <f>L72 = "FAIL"</f>
        <v>0</v>
      </c>
      <c r="Q72" s="3" t="b">
        <f>AND(P72, K72)</f>
        <v>0</v>
      </c>
      <c r="R72" s="3" t="str">
        <f>IF(O72, I72, "")</f>
        <v>suite-substrate</v>
      </c>
      <c r="S72" s="3" t="str">
        <f>IF(Q72, I72, "")</f>
      </c>
      <c r="T72" s="2" t="s">
        <v>5935</v>
      </c>
    </row>
    <row r="73">
      <c r="A73" s="2" t="s">
        <v>6042</v>
      </c>
      <c r="B73" s="3" t="str">
        <f>C73 &amp; ": " &amp; D73</f>
        <v>formula-translates: EvaluationContexts.Name</v>
      </c>
      <c r="C73" s="2" t="s">
        <v>6038</v>
      </c>
      <c r="D73" s="2" t="s">
        <v>2414</v>
      </c>
      <c r="E73" s="2" t="s">
        <v>2413</v>
      </c>
      <c r="F73" s="2" t="s">
        <v>1</v>
      </c>
      <c r="G73" s="2" t="s">
        <v>6039</v>
      </c>
      <c r="H73" s="2"/>
      <c r="I73" s="2" t="s">
        <v>5920</v>
      </c>
      <c r="J73" s="2" t="s">
        <v>5933</v>
      </c>
      <c r="K73" s="3" t="b">
        <f>J73 = "blocking"</f>
        <v>1</v>
      </c>
      <c r="L73" s="2" t="s">
        <v>1428</v>
      </c>
      <c r="M73" s="2" t="s">
        <v>6040</v>
      </c>
      <c r="N73" s="4">
        <v>46223.1297337963</v>
      </c>
      <c r="O73" s="3" t="b">
        <f>L73 = "PASS"</f>
        <v>1</v>
      </c>
      <c r="P73" s="3" t="b">
        <f>L73 = "FAIL"</f>
        <v>0</v>
      </c>
      <c r="Q73" s="3" t="b">
        <f>AND(P73, K73)</f>
        <v>0</v>
      </c>
      <c r="R73" s="3" t="str">
        <f>IF(O73, I73, "")</f>
        <v>suite-substrate</v>
      </c>
      <c r="S73" s="3" t="str">
        <f>IF(Q73, I73, "")</f>
      </c>
      <c r="T73" s="2" t="s">
        <v>5935</v>
      </c>
    </row>
    <row r="74">
      <c r="A74" s="2" t="s">
        <v>6043</v>
      </c>
      <c r="B74" s="3" t="str">
        <f>C74 &amp; ": " &amp; D74</f>
        <v>formula-translates: Organizations.Name</v>
      </c>
      <c r="C74" s="2" t="s">
        <v>6038</v>
      </c>
      <c r="D74" s="2" t="s">
        <v>2423</v>
      </c>
      <c r="E74" s="2" t="s">
        <v>2422</v>
      </c>
      <c r="F74" s="2" t="s">
        <v>1</v>
      </c>
      <c r="G74" s="2" t="s">
        <v>6039</v>
      </c>
      <c r="H74" s="2"/>
      <c r="I74" s="2" t="s">
        <v>5920</v>
      </c>
      <c r="J74" s="2" t="s">
        <v>5933</v>
      </c>
      <c r="K74" s="3" t="b">
        <f>J74 = "blocking"</f>
        <v>1</v>
      </c>
      <c r="L74" s="2" t="s">
        <v>1428</v>
      </c>
      <c r="M74" s="2" t="s">
        <v>6040</v>
      </c>
      <c r="N74" s="4">
        <v>46223.1297337963</v>
      </c>
      <c r="O74" s="3" t="b">
        <f>L74 = "PASS"</f>
        <v>1</v>
      </c>
      <c r="P74" s="3" t="b">
        <f>L74 = "FAIL"</f>
        <v>0</v>
      </c>
      <c r="Q74" s="3" t="b">
        <f>AND(P74, K74)</f>
        <v>0</v>
      </c>
      <c r="R74" s="3" t="str">
        <f>IF(O74, I74, "")</f>
        <v>suite-substrate</v>
      </c>
      <c r="S74" s="3" t="str">
        <f>IF(Q74, I74, "")</f>
      </c>
      <c r="T74" s="2" t="s">
        <v>5935</v>
      </c>
    </row>
    <row r="75">
      <c r="A75" s="2" t="s">
        <v>6044</v>
      </c>
      <c r="B75" s="3" t="str">
        <f>C75 &amp; ": " &amp; D75</f>
        <v>formula-translates: Agents.Name</v>
      </c>
      <c r="C75" s="2" t="s">
        <v>6038</v>
      </c>
      <c r="D75" s="2" t="s">
        <v>2430</v>
      </c>
      <c r="E75" s="2" t="s">
        <v>1794</v>
      </c>
      <c r="F75" s="2" t="s">
        <v>1</v>
      </c>
      <c r="G75" s="2" t="s">
        <v>6039</v>
      </c>
      <c r="H75" s="2"/>
      <c r="I75" s="2" t="s">
        <v>5920</v>
      </c>
      <c r="J75" s="2" t="s">
        <v>5933</v>
      </c>
      <c r="K75" s="3" t="b">
        <f>J75 = "blocking"</f>
        <v>1</v>
      </c>
      <c r="L75" s="2" t="s">
        <v>1428</v>
      </c>
      <c r="M75" s="2" t="s">
        <v>6040</v>
      </c>
      <c r="N75" s="4">
        <v>46223.1297337963</v>
      </c>
      <c r="O75" s="3" t="b">
        <f>L75 = "PASS"</f>
        <v>1</v>
      </c>
      <c r="P75" s="3" t="b">
        <f>L75 = "FAIL"</f>
        <v>0</v>
      </c>
      <c r="Q75" s="3" t="b">
        <f>AND(P75, K75)</f>
        <v>0</v>
      </c>
      <c r="R75" s="3" t="str">
        <f>IF(O75, I75, "")</f>
        <v>suite-substrate</v>
      </c>
      <c r="S75" s="3" t="str">
        <f>IF(Q75, I75, "")</f>
      </c>
      <c r="T75" s="2" t="s">
        <v>5935</v>
      </c>
    </row>
    <row r="76">
      <c r="A76" s="2" t="s">
        <v>6045</v>
      </c>
      <c r="B76" s="3" t="str">
        <f>C76 &amp; ": " &amp; D76</f>
        <v>formula-translates: Agents.CountOfCurrentRoleAssignments</v>
      </c>
      <c r="C76" s="2" t="s">
        <v>6038</v>
      </c>
      <c r="D76" s="2" t="s">
        <v>2437</v>
      </c>
      <c r="E76" s="2" t="s">
        <v>1794</v>
      </c>
      <c r="F76" s="2" t="s">
        <v>124</v>
      </c>
      <c r="G76" s="2" t="s">
        <v>6039</v>
      </c>
      <c r="H76" s="2" t="s">
        <v>2016</v>
      </c>
      <c r="I76" s="2" t="s">
        <v>5920</v>
      </c>
      <c r="J76" s="2" t="s">
        <v>5933</v>
      </c>
      <c r="K76" s="3" t="b">
        <f>J76 = "blocking"</f>
        <v>1</v>
      </c>
      <c r="L76" s="2" t="s">
        <v>1428</v>
      </c>
      <c r="M76" s="2" t="s">
        <v>6040</v>
      </c>
      <c r="N76" s="4">
        <v>46223.1297337963</v>
      </c>
      <c r="O76" s="3" t="b">
        <f>L76 = "PASS"</f>
        <v>1</v>
      </c>
      <c r="P76" s="3" t="b">
        <f>L76 = "FAIL"</f>
        <v>0</v>
      </c>
      <c r="Q76" s="3" t="b">
        <f>AND(P76, K76)</f>
        <v>0</v>
      </c>
      <c r="R76" s="3" t="str">
        <f>IF(O76, I76, "")</f>
        <v>suite-substrate</v>
      </c>
      <c r="S76" s="3" t="str">
        <f>IF(Q76, I76, "")</f>
      </c>
      <c r="T76" s="2" t="s">
        <v>5935</v>
      </c>
    </row>
    <row r="77">
      <c r="A77" s="2" t="s">
        <v>6046</v>
      </c>
      <c r="B77" s="3" t="str">
        <f>C77 &amp; ": " &amp; D77</f>
        <v>formula-translates: Agents.IsStillEngaged</v>
      </c>
      <c r="C77" s="2" t="s">
        <v>6038</v>
      </c>
      <c r="D77" s="2" t="s">
        <v>2441</v>
      </c>
      <c r="E77" s="2" t="s">
        <v>1794</v>
      </c>
      <c r="F77" s="2" t="s">
        <v>125</v>
      </c>
      <c r="G77" s="2" t="s">
        <v>6039</v>
      </c>
      <c r="H77" s="2" t="s">
        <v>2016</v>
      </c>
      <c r="I77" s="2" t="s">
        <v>5920</v>
      </c>
      <c r="J77" s="2" t="s">
        <v>5933</v>
      </c>
      <c r="K77" s="3" t="b">
        <f>J77 = "blocking"</f>
        <v>1</v>
      </c>
      <c r="L77" s="2" t="s">
        <v>1428</v>
      </c>
      <c r="M77" s="2" t="s">
        <v>6040</v>
      </c>
      <c r="N77" s="4">
        <v>46223.1297337963</v>
      </c>
      <c r="O77" s="3" t="b">
        <f>L77 = "PASS"</f>
        <v>1</v>
      </c>
      <c r="P77" s="3" t="b">
        <f>L77 = "FAIL"</f>
        <v>0</v>
      </c>
      <c r="Q77" s="3" t="b">
        <f>AND(P77, K77)</f>
        <v>0</v>
      </c>
      <c r="R77" s="3" t="str">
        <f>IF(O77, I77, "")</f>
        <v>suite-substrate</v>
      </c>
      <c r="S77" s="3" t="str">
        <f>IF(Q77, I77, "")</f>
      </c>
      <c r="T77" s="2" t="s">
        <v>5935</v>
      </c>
    </row>
    <row r="78">
      <c r="A78" s="2" t="s">
        <v>6047</v>
      </c>
      <c r="B78" s="3" t="str">
        <f>C78 &amp; ": " &amp; D78</f>
        <v>formula-translates: Agents.DecisionCount</v>
      </c>
      <c r="C78" s="2" t="s">
        <v>6038</v>
      </c>
      <c r="D78" s="2" t="s">
        <v>2443</v>
      </c>
      <c r="E78" s="2" t="s">
        <v>1794</v>
      </c>
      <c r="F78" s="2" t="s">
        <v>126</v>
      </c>
      <c r="G78" s="2" t="s">
        <v>6039</v>
      </c>
      <c r="H78" s="2" t="s">
        <v>2112</v>
      </c>
      <c r="I78" s="2" t="s">
        <v>5920</v>
      </c>
      <c r="J78" s="2" t="s">
        <v>5933</v>
      </c>
      <c r="K78" s="3" t="b">
        <f>J78 = "blocking"</f>
        <v>1</v>
      </c>
      <c r="L78" s="2" t="s">
        <v>1428</v>
      </c>
      <c r="M78" s="2" t="s">
        <v>6040</v>
      </c>
      <c r="N78" s="4">
        <v>46223.1297337963</v>
      </c>
      <c r="O78" s="3" t="b">
        <f>L78 = "PASS"</f>
        <v>1</v>
      </c>
      <c r="P78" s="3" t="b">
        <f>L78 = "FAIL"</f>
        <v>0</v>
      </c>
      <c r="Q78" s="3" t="b">
        <f>AND(P78, K78)</f>
        <v>0</v>
      </c>
      <c r="R78" s="3" t="str">
        <f>IF(O78, I78, "")</f>
        <v>suite-substrate</v>
      </c>
      <c r="S78" s="3" t="str">
        <f>IF(Q78, I78, "")</f>
      </c>
      <c r="T78" s="2" t="s">
        <v>5935</v>
      </c>
    </row>
    <row r="79">
      <c r="A79" s="2" t="s">
        <v>6048</v>
      </c>
      <c r="B79" s="3" t="str">
        <f>C79 &amp; ": " &amp; D79</f>
        <v>formula-translates: Agents.OverriddenDecisionCount</v>
      </c>
      <c r="C79" s="2" t="s">
        <v>6038</v>
      </c>
      <c r="D79" s="2" t="s">
        <v>2446</v>
      </c>
      <c r="E79" s="2" t="s">
        <v>1794</v>
      </c>
      <c r="F79" s="2" t="s">
        <v>127</v>
      </c>
      <c r="G79" s="2" t="s">
        <v>6039</v>
      </c>
      <c r="H79" s="2" t="s">
        <v>2112</v>
      </c>
      <c r="I79" s="2" t="s">
        <v>5920</v>
      </c>
      <c r="J79" s="2" t="s">
        <v>5933</v>
      </c>
      <c r="K79" s="3" t="b">
        <f>J79 = "blocking"</f>
        <v>1</v>
      </c>
      <c r="L79" s="2" t="s">
        <v>1428</v>
      </c>
      <c r="M79" s="2" t="s">
        <v>6040</v>
      </c>
      <c r="N79" s="4">
        <v>46223.1297337963</v>
      </c>
      <c r="O79" s="3" t="b">
        <f>L79 = "PASS"</f>
        <v>1</v>
      </c>
      <c r="P79" s="3" t="b">
        <f>L79 = "FAIL"</f>
        <v>0</v>
      </c>
      <c r="Q79" s="3" t="b">
        <f>AND(P79, K79)</f>
        <v>0</v>
      </c>
      <c r="R79" s="3" t="str">
        <f>IF(O79, I79, "")</f>
        <v>suite-substrate</v>
      </c>
      <c r="S79" s="3" t="str">
        <f>IF(Q79, I79, "")</f>
      </c>
      <c r="T79" s="2" t="s">
        <v>5935</v>
      </c>
    </row>
    <row r="80">
      <c r="A80" s="2" t="s">
        <v>6049</v>
      </c>
      <c r="B80" s="3" t="str">
        <f>C80 &amp; ": " &amp; D80</f>
        <v>formula-translates: Agents.OverrideRatePercent</v>
      </c>
      <c r="C80" s="2" t="s">
        <v>6038</v>
      </c>
      <c r="D80" s="2" t="s">
        <v>2448</v>
      </c>
      <c r="E80" s="2" t="s">
        <v>1794</v>
      </c>
      <c r="F80" s="2" t="s">
        <v>128</v>
      </c>
      <c r="G80" s="2" t="s">
        <v>6039</v>
      </c>
      <c r="H80" s="2" t="s">
        <v>2112</v>
      </c>
      <c r="I80" s="2" t="s">
        <v>5920</v>
      </c>
      <c r="J80" s="2" t="s">
        <v>5933</v>
      </c>
      <c r="K80" s="3" t="b">
        <f>J80 = "blocking"</f>
        <v>1</v>
      </c>
      <c r="L80" s="2" t="s">
        <v>1428</v>
      </c>
      <c r="M80" s="2" t="s">
        <v>6040</v>
      </c>
      <c r="N80" s="4">
        <v>46223.1297337963</v>
      </c>
      <c r="O80" s="3" t="b">
        <f>L80 = "PASS"</f>
        <v>1</v>
      </c>
      <c r="P80" s="3" t="b">
        <f>L80 = "FAIL"</f>
        <v>0</v>
      </c>
      <c r="Q80" s="3" t="b">
        <f>AND(P80, K80)</f>
        <v>0</v>
      </c>
      <c r="R80" s="3" t="str">
        <f>IF(O80, I80, "")</f>
        <v>suite-substrate</v>
      </c>
      <c r="S80" s="3" t="str">
        <f>IF(Q80, I80, "")</f>
      </c>
      <c r="T80" s="2" t="s">
        <v>5935</v>
      </c>
    </row>
    <row r="81">
      <c r="A81" s="2" t="s">
        <v>6050</v>
      </c>
      <c r="B81" s="3" t="str">
        <f>C81 &amp; ": " &amp; D81</f>
        <v>formula-translates: Agents.IsNonHuman</v>
      </c>
      <c r="C81" s="2" t="s">
        <v>6038</v>
      </c>
      <c r="D81" s="2" t="s">
        <v>2450</v>
      </c>
      <c r="E81" s="2" t="s">
        <v>1794</v>
      </c>
      <c r="F81" s="2" t="s">
        <v>129</v>
      </c>
      <c r="G81" s="2" t="s">
        <v>6039</v>
      </c>
      <c r="H81" s="2" t="s">
        <v>2112</v>
      </c>
      <c r="I81" s="2" t="s">
        <v>5920</v>
      </c>
      <c r="J81" s="2" t="s">
        <v>5933</v>
      </c>
      <c r="K81" s="3" t="b">
        <f>J81 = "blocking"</f>
        <v>1</v>
      </c>
      <c r="L81" s="2" t="s">
        <v>1428</v>
      </c>
      <c r="M81" s="2" t="s">
        <v>6040</v>
      </c>
      <c r="N81" s="4">
        <v>46223.1297337963</v>
      </c>
      <c r="O81" s="3" t="b">
        <f>L81 = "PASS"</f>
        <v>1</v>
      </c>
      <c r="P81" s="3" t="b">
        <f>L81 = "FAIL"</f>
        <v>0</v>
      </c>
      <c r="Q81" s="3" t="b">
        <f>AND(P81, K81)</f>
        <v>0</v>
      </c>
      <c r="R81" s="3" t="str">
        <f>IF(O81, I81, "")</f>
        <v>suite-substrate</v>
      </c>
      <c r="S81" s="3" t="str">
        <f>IF(Q81, I81, "")</f>
      </c>
      <c r="T81" s="2" t="s">
        <v>5935</v>
      </c>
    </row>
    <row r="82">
      <c r="A82" s="2" t="s">
        <v>6051</v>
      </c>
      <c r="B82" s="3" t="str">
        <f>C82 &amp; ": " &amp; D82</f>
        <v>formula-translates: Agents.BoundaryViolationCount</v>
      </c>
      <c r="C82" s="2" t="s">
        <v>6038</v>
      </c>
      <c r="D82" s="2" t="s">
        <v>2452</v>
      </c>
      <c r="E82" s="2" t="s">
        <v>1794</v>
      </c>
      <c r="F82" s="2" t="s">
        <v>130</v>
      </c>
      <c r="G82" s="2" t="s">
        <v>6039</v>
      </c>
      <c r="H82" s="2" t="s">
        <v>2164</v>
      </c>
      <c r="I82" s="2" t="s">
        <v>5920</v>
      </c>
      <c r="J82" s="2" t="s">
        <v>5933</v>
      </c>
      <c r="K82" s="3" t="b">
        <f>J82 = "blocking"</f>
        <v>1</v>
      </c>
      <c r="L82" s="2" t="s">
        <v>1428</v>
      </c>
      <c r="M82" s="2" t="s">
        <v>6040</v>
      </c>
      <c r="N82" s="4">
        <v>46223.1297337963</v>
      </c>
      <c r="O82" s="3" t="b">
        <f>L82 = "PASS"</f>
        <v>1</v>
      </c>
      <c r="P82" s="3" t="b">
        <f>L82 = "FAIL"</f>
        <v>0</v>
      </c>
      <c r="Q82" s="3" t="b">
        <f>AND(P82, K82)</f>
        <v>0</v>
      </c>
      <c r="R82" s="3" t="str">
        <f>IF(O82, I82, "")</f>
        <v>suite-substrate</v>
      </c>
      <c r="S82" s="3" t="str">
        <f>IF(Q82, I82, "")</f>
      </c>
      <c r="T82" s="2" t="s">
        <v>5935</v>
      </c>
    </row>
    <row r="83">
      <c r="A83" s="2" t="s">
        <v>6052</v>
      </c>
      <c r="B83" s="3" t="str">
        <f>C83 &amp; ": " &amp; D83</f>
        <v>formula-translates: Agents.IsOperatingOutsideBoundary</v>
      </c>
      <c r="C83" s="2" t="s">
        <v>6038</v>
      </c>
      <c r="D83" s="2" t="s">
        <v>2454</v>
      </c>
      <c r="E83" s="2" t="s">
        <v>1794</v>
      </c>
      <c r="F83" s="2" t="s">
        <v>131</v>
      </c>
      <c r="G83" s="2" t="s">
        <v>6039</v>
      </c>
      <c r="H83" s="2" t="s">
        <v>2164</v>
      </c>
      <c r="I83" s="2" t="s">
        <v>5920</v>
      </c>
      <c r="J83" s="2" t="s">
        <v>5933</v>
      </c>
      <c r="K83" s="3" t="b">
        <f>J83 = "blocking"</f>
        <v>1</v>
      </c>
      <c r="L83" s="2" t="s">
        <v>1428</v>
      </c>
      <c r="M83" s="2" t="s">
        <v>6040</v>
      </c>
      <c r="N83" s="4">
        <v>46223.1297337963</v>
      </c>
      <c r="O83" s="3" t="b">
        <f>L83 = "PASS"</f>
        <v>1</v>
      </c>
      <c r="P83" s="3" t="b">
        <f>L83 = "FAIL"</f>
        <v>0</v>
      </c>
      <c r="Q83" s="3" t="b">
        <f>AND(P83, K83)</f>
        <v>0</v>
      </c>
      <c r="R83" s="3" t="str">
        <f>IF(O83, I83, "")</f>
        <v>suite-substrate</v>
      </c>
      <c r="S83" s="3" t="str">
        <f>IF(Q83, I83, "")</f>
      </c>
      <c r="T83" s="2" t="s">
        <v>5935</v>
      </c>
    </row>
    <row r="84">
      <c r="A84" s="2" t="s">
        <v>6053</v>
      </c>
      <c r="B84" s="3" t="str">
        <f>C84 &amp; ": " &amp; D84</f>
        <v>formula-translates: Agents.DraftDecisionCount</v>
      </c>
      <c r="C84" s="2" t="s">
        <v>6038</v>
      </c>
      <c r="D84" s="2" t="s">
        <v>2456</v>
      </c>
      <c r="E84" s="2" t="s">
        <v>1794</v>
      </c>
      <c r="F84" s="2" t="s">
        <v>132</v>
      </c>
      <c r="G84" s="2" t="s">
        <v>6039</v>
      </c>
      <c r="H84" s="2" t="s">
        <v>2168</v>
      </c>
      <c r="I84" s="2" t="s">
        <v>5920</v>
      </c>
      <c r="J84" s="2" t="s">
        <v>5933</v>
      </c>
      <c r="K84" s="3" t="b">
        <f>J84 = "blocking"</f>
        <v>1</v>
      </c>
      <c r="L84" s="2" t="s">
        <v>1428</v>
      </c>
      <c r="M84" s="2" t="s">
        <v>6040</v>
      </c>
      <c r="N84" s="4">
        <v>46223.1297337963</v>
      </c>
      <c r="O84" s="3" t="b">
        <f>L84 = "PASS"</f>
        <v>1</v>
      </c>
      <c r="P84" s="3" t="b">
        <f>L84 = "FAIL"</f>
        <v>0</v>
      </c>
      <c r="Q84" s="3" t="b">
        <f>AND(P84, K84)</f>
        <v>0</v>
      </c>
      <c r="R84" s="3" t="str">
        <f>IF(O84, I84, "")</f>
        <v>suite-substrate</v>
      </c>
      <c r="S84" s="3" t="str">
        <f>IF(Q84, I84, "")</f>
      </c>
      <c r="T84" s="2" t="s">
        <v>5935</v>
      </c>
    </row>
    <row r="85">
      <c r="A85" s="2" t="s">
        <v>6054</v>
      </c>
      <c r="B85" s="3" t="str">
        <f>C85 &amp; ": " &amp; D85</f>
        <v>formula-translates: Agents.OverriddenDraftCount</v>
      </c>
      <c r="C85" s="2" t="s">
        <v>6038</v>
      </c>
      <c r="D85" s="2" t="s">
        <v>2458</v>
      </c>
      <c r="E85" s="2" t="s">
        <v>1794</v>
      </c>
      <c r="F85" s="2" t="s">
        <v>133</v>
      </c>
      <c r="G85" s="2" t="s">
        <v>6039</v>
      </c>
      <c r="H85" s="2" t="s">
        <v>2168</v>
      </c>
      <c r="I85" s="2" t="s">
        <v>5920</v>
      </c>
      <c r="J85" s="2" t="s">
        <v>5933</v>
      </c>
      <c r="K85" s="3" t="b">
        <f>J85 = "blocking"</f>
        <v>1</v>
      </c>
      <c r="L85" s="2" t="s">
        <v>1428</v>
      </c>
      <c r="M85" s="2" t="s">
        <v>6040</v>
      </c>
      <c r="N85" s="4">
        <v>46223.1297337963</v>
      </c>
      <c r="O85" s="3" t="b">
        <f>L85 = "PASS"</f>
        <v>1</v>
      </c>
      <c r="P85" s="3" t="b">
        <f>L85 = "FAIL"</f>
        <v>0</v>
      </c>
      <c r="Q85" s="3" t="b">
        <f>AND(P85, K85)</f>
        <v>0</v>
      </c>
      <c r="R85" s="3" t="str">
        <f>IF(O85, I85, "")</f>
        <v>suite-substrate</v>
      </c>
      <c r="S85" s="3" t="str">
        <f>IF(Q85, I85, "")</f>
      </c>
      <c r="T85" s="2" t="s">
        <v>5935</v>
      </c>
    </row>
    <row r="86">
      <c r="A86" s="2" t="s">
        <v>6055</v>
      </c>
      <c r="B86" s="3" t="str">
        <f>C86 &amp; ": " &amp; D86</f>
        <v>formula-translates: Agents.DraftRewriteRatePercent</v>
      </c>
      <c r="C86" s="2" t="s">
        <v>6038</v>
      </c>
      <c r="D86" s="2" t="s">
        <v>2460</v>
      </c>
      <c r="E86" s="2" t="s">
        <v>1794</v>
      </c>
      <c r="F86" s="2" t="s">
        <v>134</v>
      </c>
      <c r="G86" s="2" t="s">
        <v>6039</v>
      </c>
      <c r="H86" s="2" t="s">
        <v>2168</v>
      </c>
      <c r="I86" s="2" t="s">
        <v>5920</v>
      </c>
      <c r="J86" s="2" t="s">
        <v>5933</v>
      </c>
      <c r="K86" s="3" t="b">
        <f>J86 = "blocking"</f>
        <v>1</v>
      </c>
      <c r="L86" s="2" t="s">
        <v>1428</v>
      </c>
      <c r="M86" s="2" t="s">
        <v>6040</v>
      </c>
      <c r="N86" s="4">
        <v>46223.1297337963</v>
      </c>
      <c r="O86" s="3" t="b">
        <f>L86 = "PASS"</f>
        <v>1</v>
      </c>
      <c r="P86" s="3" t="b">
        <f>L86 = "FAIL"</f>
        <v>0</v>
      </c>
      <c r="Q86" s="3" t="b">
        <f>AND(P86, K86)</f>
        <v>0</v>
      </c>
      <c r="R86" s="3" t="str">
        <f>IF(O86, I86, "")</f>
        <v>suite-substrate</v>
      </c>
      <c r="S86" s="3" t="str">
        <f>IF(Q86, I86, "")</f>
      </c>
      <c r="T86" s="2" t="s">
        <v>5935</v>
      </c>
    </row>
    <row r="87">
      <c r="A87" s="2" t="s">
        <v>6056</v>
      </c>
      <c r="B87" s="3" t="str">
        <f>C87 &amp; ": " &amp; D87</f>
        <v>formula-translates: Roles.Name</v>
      </c>
      <c r="C87" s="2" t="s">
        <v>6038</v>
      </c>
      <c r="D87" s="2" t="s">
        <v>2472</v>
      </c>
      <c r="E87" s="2" t="s">
        <v>1798</v>
      </c>
      <c r="F87" s="2" t="s">
        <v>1</v>
      </c>
      <c r="G87" s="2" t="s">
        <v>6039</v>
      </c>
      <c r="H87" s="2"/>
      <c r="I87" s="2" t="s">
        <v>5920</v>
      </c>
      <c r="J87" s="2" t="s">
        <v>5933</v>
      </c>
      <c r="K87" s="3" t="b">
        <f>J87 = "blocking"</f>
        <v>1</v>
      </c>
      <c r="L87" s="2" t="s">
        <v>1428</v>
      </c>
      <c r="M87" s="2" t="s">
        <v>6040</v>
      </c>
      <c r="N87" s="4">
        <v>46223.1297337963</v>
      </c>
      <c r="O87" s="3" t="b">
        <f>L87 = "PASS"</f>
        <v>1</v>
      </c>
      <c r="P87" s="3" t="b">
        <f>L87 = "FAIL"</f>
        <v>0</v>
      </c>
      <c r="Q87" s="3" t="b">
        <f>AND(P87, K87)</f>
        <v>0</v>
      </c>
      <c r="R87" s="3" t="str">
        <f>IF(O87, I87, "")</f>
        <v>suite-substrate</v>
      </c>
      <c r="S87" s="3" t="str">
        <f>IF(Q87, I87, "")</f>
      </c>
      <c r="T87" s="2" t="s">
        <v>5935</v>
      </c>
    </row>
    <row r="88">
      <c r="A88" s="2" t="s">
        <v>6057</v>
      </c>
      <c r="B88" s="3" t="str">
        <f>C88 &amp; ": " &amp; D88</f>
        <v>formula-translates: Roles.CurrentAgentKind</v>
      </c>
      <c r="C88" s="2" t="s">
        <v>6038</v>
      </c>
      <c r="D88" s="2" t="s">
        <v>2477</v>
      </c>
      <c r="E88" s="2" t="s">
        <v>1798</v>
      </c>
      <c r="F88" s="2" t="s">
        <v>185</v>
      </c>
      <c r="G88" s="2" t="s">
        <v>6039</v>
      </c>
      <c r="H88" s="2"/>
      <c r="I88" s="2" t="s">
        <v>5920</v>
      </c>
      <c r="J88" s="2" t="s">
        <v>5933</v>
      </c>
      <c r="K88" s="3" t="b">
        <f>J88 = "blocking"</f>
        <v>1</v>
      </c>
      <c r="L88" s="2" t="s">
        <v>1428</v>
      </c>
      <c r="M88" s="2" t="s">
        <v>6040</v>
      </c>
      <c r="N88" s="4">
        <v>46223.1297337963</v>
      </c>
      <c r="O88" s="3" t="b">
        <f>L88 = "PASS"</f>
        <v>1</v>
      </c>
      <c r="P88" s="3" t="b">
        <f>L88 = "FAIL"</f>
        <v>0</v>
      </c>
      <c r="Q88" s="3" t="b">
        <f>AND(P88, K88)</f>
        <v>0</v>
      </c>
      <c r="R88" s="3" t="str">
        <f>IF(O88, I88, "")</f>
        <v>suite-substrate</v>
      </c>
      <c r="S88" s="3" t="str">
        <f>IF(Q88, I88, "")</f>
      </c>
      <c r="T88" s="2" t="s">
        <v>5935</v>
      </c>
    </row>
    <row r="89">
      <c r="A89" s="2" t="s">
        <v>6058</v>
      </c>
      <c r="B89" s="3" t="str">
        <f>C89 &amp; ": " &amp; D89</f>
        <v>formula-translates: Roles.ActiveAssignmentCount</v>
      </c>
      <c r="C89" s="2" t="s">
        <v>6038</v>
      </c>
      <c r="D89" s="2" t="s">
        <v>2481</v>
      </c>
      <c r="E89" s="2" t="s">
        <v>1798</v>
      </c>
      <c r="F89" s="2" t="s">
        <v>187</v>
      </c>
      <c r="G89" s="2" t="s">
        <v>6039</v>
      </c>
      <c r="H89" s="2" t="s">
        <v>2096</v>
      </c>
      <c r="I89" s="2" t="s">
        <v>5920</v>
      </c>
      <c r="J89" s="2" t="s">
        <v>5933</v>
      </c>
      <c r="K89" s="3" t="b">
        <f>J89 = "blocking"</f>
        <v>1</v>
      </c>
      <c r="L89" s="2" t="s">
        <v>1428</v>
      </c>
      <c r="M89" s="2" t="s">
        <v>6040</v>
      </c>
      <c r="N89" s="4">
        <v>46223.1297337963</v>
      </c>
      <c r="O89" s="3" t="b">
        <f>L89 = "PASS"</f>
        <v>1</v>
      </c>
      <c r="P89" s="3" t="b">
        <f>L89 = "FAIL"</f>
        <v>0</v>
      </c>
      <c r="Q89" s="3" t="b">
        <f>AND(P89, K89)</f>
        <v>0</v>
      </c>
      <c r="R89" s="3" t="str">
        <f>IF(O89, I89, "")</f>
        <v>suite-substrate</v>
      </c>
      <c r="S89" s="3" t="str">
        <f>IF(Q89, I89, "")</f>
      </c>
      <c r="T89" s="2" t="s">
        <v>5935</v>
      </c>
    </row>
    <row r="90">
      <c r="A90" s="2" t="s">
        <v>6059</v>
      </c>
      <c r="B90" s="3" t="str">
        <f>C90 &amp; ": " &amp; D90</f>
        <v>formula-translates: Roles.CurrentlyCoveredAssignmentCount</v>
      </c>
      <c r="C90" s="2" t="s">
        <v>6038</v>
      </c>
      <c r="D90" s="2" t="s">
        <v>2483</v>
      </c>
      <c r="E90" s="2" t="s">
        <v>1798</v>
      </c>
      <c r="F90" s="2" t="s">
        <v>188</v>
      </c>
      <c r="G90" s="2" t="s">
        <v>6039</v>
      </c>
      <c r="H90" s="2" t="s">
        <v>2096</v>
      </c>
      <c r="I90" s="2" t="s">
        <v>5920</v>
      </c>
      <c r="J90" s="2" t="s">
        <v>5933</v>
      </c>
      <c r="K90" s="3" t="b">
        <f>J90 = "blocking"</f>
        <v>1</v>
      </c>
      <c r="L90" s="2" t="s">
        <v>1428</v>
      </c>
      <c r="M90" s="2" t="s">
        <v>6040</v>
      </c>
      <c r="N90" s="4">
        <v>46223.1297337963</v>
      </c>
      <c r="O90" s="3" t="b">
        <f>L90 = "PASS"</f>
        <v>1</v>
      </c>
      <c r="P90" s="3" t="b">
        <f>L90 = "FAIL"</f>
        <v>0</v>
      </c>
      <c r="Q90" s="3" t="b">
        <f>AND(P90, K90)</f>
        <v>0</v>
      </c>
      <c r="R90" s="3" t="str">
        <f>IF(O90, I90, "")</f>
        <v>suite-substrate</v>
      </c>
      <c r="S90" s="3" t="str">
        <f>IF(Q90, I90, "")</f>
      </c>
      <c r="T90" s="2" t="s">
        <v>5935</v>
      </c>
    </row>
    <row r="91">
      <c r="A91" s="2" t="s">
        <v>6060</v>
      </c>
      <c r="B91" s="3" t="str">
        <f>C91 &amp; ": " &amp; D91</f>
        <v>formula-translates: Roles.HasNoCurrentHolder</v>
      </c>
      <c r="C91" s="2" t="s">
        <v>6038</v>
      </c>
      <c r="D91" s="2" t="s">
        <v>2485</v>
      </c>
      <c r="E91" s="2" t="s">
        <v>1798</v>
      </c>
      <c r="F91" s="2" t="s">
        <v>189</v>
      </c>
      <c r="G91" s="2" t="s">
        <v>6039</v>
      </c>
      <c r="H91" s="2" t="s">
        <v>2096</v>
      </c>
      <c r="I91" s="2" t="s">
        <v>5920</v>
      </c>
      <c r="J91" s="2" t="s">
        <v>5933</v>
      </c>
      <c r="K91" s="3" t="b">
        <f>J91 = "blocking"</f>
        <v>1</v>
      </c>
      <c r="L91" s="2" t="s">
        <v>1428</v>
      </c>
      <c r="M91" s="2" t="s">
        <v>6040</v>
      </c>
      <c r="N91" s="4">
        <v>46223.1297337963</v>
      </c>
      <c r="O91" s="3" t="b">
        <f>L91 = "PASS"</f>
        <v>1</v>
      </c>
      <c r="P91" s="3" t="b">
        <f>L91 = "FAIL"</f>
        <v>0</v>
      </c>
      <c r="Q91" s="3" t="b">
        <f>AND(P91, K91)</f>
        <v>0</v>
      </c>
      <c r="R91" s="3" t="str">
        <f>IF(O91, I91, "")</f>
        <v>suite-substrate</v>
      </c>
      <c r="S91" s="3" t="str">
        <f>IF(Q91, I91, "")</f>
      </c>
      <c r="T91" s="2" t="s">
        <v>5935</v>
      </c>
    </row>
    <row r="92">
      <c r="A92" s="2" t="s">
        <v>6061</v>
      </c>
      <c r="B92" s="3" t="str">
        <f>C92 &amp; ": " &amp; D92</f>
        <v>formula-translates: Roles.CountOfAwaitedDecisions</v>
      </c>
      <c r="C92" s="2" t="s">
        <v>6038</v>
      </c>
      <c r="D92" s="2" t="s">
        <v>2487</v>
      </c>
      <c r="E92" s="2" t="s">
        <v>1798</v>
      </c>
      <c r="F92" s="2" t="s">
        <v>190</v>
      </c>
      <c r="G92" s="2" t="s">
        <v>6039</v>
      </c>
      <c r="H92" s="2" t="s">
        <v>2116</v>
      </c>
      <c r="I92" s="2" t="s">
        <v>5920</v>
      </c>
      <c r="J92" s="2" t="s">
        <v>5933</v>
      </c>
      <c r="K92" s="3" t="b">
        <f>J92 = "blocking"</f>
        <v>1</v>
      </c>
      <c r="L92" s="2" t="s">
        <v>1428</v>
      </c>
      <c r="M92" s="2" t="s">
        <v>6040</v>
      </c>
      <c r="N92" s="4">
        <v>46223.1297337963</v>
      </c>
      <c r="O92" s="3" t="b">
        <f>L92 = "PASS"</f>
        <v>1</v>
      </c>
      <c r="P92" s="3" t="b">
        <f>L92 = "FAIL"</f>
        <v>0</v>
      </c>
      <c r="Q92" s="3" t="b">
        <f>AND(P92, K92)</f>
        <v>0</v>
      </c>
      <c r="R92" s="3" t="str">
        <f>IF(O92, I92, "")</f>
        <v>suite-substrate</v>
      </c>
      <c r="S92" s="3" t="str">
        <f>IF(Q92, I92, "")</f>
      </c>
      <c r="T92" s="2" t="s">
        <v>5935</v>
      </c>
    </row>
    <row r="93">
      <c r="A93" s="2" t="s">
        <v>6062</v>
      </c>
      <c r="B93" s="3" t="str">
        <f>C93 &amp; ": " &amp; D93</f>
        <v>formula-translates: Roles.CurrentAssignmentValidFrom</v>
      </c>
      <c r="C93" s="2" t="s">
        <v>6038</v>
      </c>
      <c r="D93" s="2" t="s">
        <v>2490</v>
      </c>
      <c r="E93" s="2" t="s">
        <v>1798</v>
      </c>
      <c r="F93" s="2" t="s">
        <v>192</v>
      </c>
      <c r="G93" s="2" t="s">
        <v>6039</v>
      </c>
      <c r="H93" s="2" t="s">
        <v>2152</v>
      </c>
      <c r="I93" s="2" t="s">
        <v>5920</v>
      </c>
      <c r="J93" s="2" t="s">
        <v>5933</v>
      </c>
      <c r="K93" s="3" t="b">
        <f>J93 = "blocking"</f>
        <v>1</v>
      </c>
      <c r="L93" s="2" t="s">
        <v>1428</v>
      </c>
      <c r="M93" s="2" t="s">
        <v>6040</v>
      </c>
      <c r="N93" s="4">
        <v>46223.1297337963</v>
      </c>
      <c r="O93" s="3" t="b">
        <f>L93 = "PASS"</f>
        <v>1</v>
      </c>
      <c r="P93" s="3" t="b">
        <f>L93 = "FAIL"</f>
        <v>0</v>
      </c>
      <c r="Q93" s="3" t="b">
        <f>AND(P93, K93)</f>
        <v>0</v>
      </c>
      <c r="R93" s="3" t="str">
        <f>IF(O93, I93, "")</f>
        <v>suite-substrate</v>
      </c>
      <c r="S93" s="3" t="str">
        <f>IF(Q93, I93, "")</f>
      </c>
      <c r="T93" s="2" t="s">
        <v>5935</v>
      </c>
    </row>
    <row r="94">
      <c r="A94" s="2" t="s">
        <v>6063</v>
      </c>
      <c r="B94" s="3" t="str">
        <f>C94 &amp; ": " &amp; D94</f>
        <v>formula-translates: Roles.IsNonHumanHeld</v>
      </c>
      <c r="C94" s="2" t="s">
        <v>6038</v>
      </c>
      <c r="D94" s="2" t="s">
        <v>2492</v>
      </c>
      <c r="E94" s="2" t="s">
        <v>1798</v>
      </c>
      <c r="F94" s="2" t="s">
        <v>193</v>
      </c>
      <c r="G94" s="2" t="s">
        <v>6039</v>
      </c>
      <c r="H94" s="2" t="s">
        <v>2156</v>
      </c>
      <c r="I94" s="2" t="s">
        <v>5920</v>
      </c>
      <c r="J94" s="2" t="s">
        <v>5933</v>
      </c>
      <c r="K94" s="3" t="b">
        <f>J94 = "blocking"</f>
        <v>1</v>
      </c>
      <c r="L94" s="2" t="s">
        <v>1428</v>
      </c>
      <c r="M94" s="2" t="s">
        <v>6040</v>
      </c>
      <c r="N94" s="4">
        <v>46223.1297337963</v>
      </c>
      <c r="O94" s="3" t="b">
        <f>L94 = "PASS"</f>
        <v>1</v>
      </c>
      <c r="P94" s="3" t="b">
        <f>L94 = "FAIL"</f>
        <v>0</v>
      </c>
      <c r="Q94" s="3" t="b">
        <f>AND(P94, K94)</f>
        <v>0</v>
      </c>
      <c r="R94" s="3" t="str">
        <f>IF(O94, I94, "")</f>
        <v>suite-substrate</v>
      </c>
      <c r="S94" s="3" t="str">
        <f>IF(Q94, I94, "")</f>
      </c>
      <c r="T94" s="2" t="s">
        <v>5935</v>
      </c>
    </row>
    <row r="95">
      <c r="A95" s="2" t="s">
        <v>6064</v>
      </c>
      <c r="B95" s="3" t="str">
        <f>C95 &amp; ": " &amp; D95</f>
        <v>formula-translates: Roles.IsUngovernedNonHumanRole</v>
      </c>
      <c r="C95" s="2" t="s">
        <v>6038</v>
      </c>
      <c r="D95" s="2" t="s">
        <v>2494</v>
      </c>
      <c r="E95" s="2" t="s">
        <v>1798</v>
      </c>
      <c r="F95" s="2" t="s">
        <v>194</v>
      </c>
      <c r="G95" s="2" t="s">
        <v>6039</v>
      </c>
      <c r="H95" s="2" t="s">
        <v>2156</v>
      </c>
      <c r="I95" s="2" t="s">
        <v>5920</v>
      </c>
      <c r="J95" s="2" t="s">
        <v>5933</v>
      </c>
      <c r="K95" s="3" t="b">
        <f>J95 = "blocking"</f>
        <v>1</v>
      </c>
      <c r="L95" s="2" t="s">
        <v>1428</v>
      </c>
      <c r="M95" s="2" t="s">
        <v>6040</v>
      </c>
      <c r="N95" s="4">
        <v>46223.1297337963</v>
      </c>
      <c r="O95" s="3" t="b">
        <f>L95 = "PASS"</f>
        <v>1</v>
      </c>
      <c r="P95" s="3" t="b">
        <f>L95 = "FAIL"</f>
        <v>0</v>
      </c>
      <c r="Q95" s="3" t="b">
        <f>AND(P95, K95)</f>
        <v>0</v>
      </c>
      <c r="R95" s="3" t="str">
        <f>IF(O95, I95, "")</f>
        <v>suite-substrate</v>
      </c>
      <c r="S95" s="3" t="str">
        <f>IF(Q95, I95, "")</f>
      </c>
      <c r="T95" s="2" t="s">
        <v>5935</v>
      </c>
    </row>
    <row r="96">
      <c r="A96" s="2" t="s">
        <v>6065</v>
      </c>
      <c r="B96" s="3" t="str">
        <f>C96 &amp; ": " &amp; D96</f>
        <v>formula-translates: Roles.DepartedAssignmentCount</v>
      </c>
      <c r="C96" s="2" t="s">
        <v>6038</v>
      </c>
      <c r="D96" s="2" t="s">
        <v>2496</v>
      </c>
      <c r="E96" s="2" t="s">
        <v>1798</v>
      </c>
      <c r="F96" s="2" t="s">
        <v>195</v>
      </c>
      <c r="G96" s="2" t="s">
        <v>6039</v>
      </c>
      <c r="H96" s="2" t="s">
        <v>2212</v>
      </c>
      <c r="I96" s="2" t="s">
        <v>5920</v>
      </c>
      <c r="J96" s="2" t="s">
        <v>5933</v>
      </c>
      <c r="K96" s="3" t="b">
        <f>J96 = "blocking"</f>
        <v>1</v>
      </c>
      <c r="L96" s="2" t="s">
        <v>1428</v>
      </c>
      <c r="M96" s="2" t="s">
        <v>6040</v>
      </c>
      <c r="N96" s="4">
        <v>46223.1297337963</v>
      </c>
      <c r="O96" s="3" t="b">
        <f>L96 = "PASS"</f>
        <v>1</v>
      </c>
      <c r="P96" s="3" t="b">
        <f>L96 = "FAIL"</f>
        <v>0</v>
      </c>
      <c r="Q96" s="3" t="b">
        <f>AND(P96, K96)</f>
        <v>0</v>
      </c>
      <c r="R96" s="3" t="str">
        <f>IF(O96, I96, "")</f>
        <v>suite-substrate</v>
      </c>
      <c r="S96" s="3" t="str">
        <f>IF(Q96, I96, "")</f>
      </c>
      <c r="T96" s="2" t="s">
        <v>5935</v>
      </c>
    </row>
    <row r="97">
      <c r="A97" s="2" t="s">
        <v>6066</v>
      </c>
      <c r="B97" s="3" t="str">
        <f>C97 &amp; ": " &amp; D97</f>
        <v>formula-translates: Roles.HasLostAHolder</v>
      </c>
      <c r="C97" s="2" t="s">
        <v>6038</v>
      </c>
      <c r="D97" s="2" t="s">
        <v>2498</v>
      </c>
      <c r="E97" s="2" t="s">
        <v>1798</v>
      </c>
      <c r="F97" s="2" t="s">
        <v>196</v>
      </c>
      <c r="G97" s="2" t="s">
        <v>6039</v>
      </c>
      <c r="H97" s="2" t="s">
        <v>2212</v>
      </c>
      <c r="I97" s="2" t="s">
        <v>5920</v>
      </c>
      <c r="J97" s="2" t="s">
        <v>5933</v>
      </c>
      <c r="K97" s="3" t="b">
        <f>J97 = "blocking"</f>
        <v>1</v>
      </c>
      <c r="L97" s="2" t="s">
        <v>1428</v>
      </c>
      <c r="M97" s="2" t="s">
        <v>6040</v>
      </c>
      <c r="N97" s="4">
        <v>46223.1297337963</v>
      </c>
      <c r="O97" s="3" t="b">
        <f>L97 = "PASS"</f>
        <v>1</v>
      </c>
      <c r="P97" s="3" t="b">
        <f>L97 = "FAIL"</f>
        <v>0</v>
      </c>
      <c r="Q97" s="3" t="b">
        <f>AND(P97, K97)</f>
        <v>0</v>
      </c>
      <c r="R97" s="3" t="str">
        <f>IF(O97, I97, "")</f>
        <v>suite-substrate</v>
      </c>
      <c r="S97" s="3" t="str">
        <f>IF(Q97, I97, "")</f>
      </c>
      <c r="T97" s="2" t="s">
        <v>5935</v>
      </c>
    </row>
    <row r="98">
      <c r="A98" s="2" t="s">
        <v>6067</v>
      </c>
      <c r="B98" s="3" t="str">
        <f>C98 &amp; ": " &amp; D98</f>
        <v>formula-translates: Roles.IsVacatedRole</v>
      </c>
      <c r="C98" s="2" t="s">
        <v>6038</v>
      </c>
      <c r="D98" s="2" t="s">
        <v>2500</v>
      </c>
      <c r="E98" s="2" t="s">
        <v>1798</v>
      </c>
      <c r="F98" s="2" t="s">
        <v>197</v>
      </c>
      <c r="G98" s="2" t="s">
        <v>6039</v>
      </c>
      <c r="H98" s="2" t="s">
        <v>2212</v>
      </c>
      <c r="I98" s="2" t="s">
        <v>5920</v>
      </c>
      <c r="J98" s="2" t="s">
        <v>5933</v>
      </c>
      <c r="K98" s="3" t="b">
        <f>J98 = "blocking"</f>
        <v>1</v>
      </c>
      <c r="L98" s="2" t="s">
        <v>1428</v>
      </c>
      <c r="M98" s="2" t="s">
        <v>6040</v>
      </c>
      <c r="N98" s="4">
        <v>46223.1297337963</v>
      </c>
      <c r="O98" s="3" t="b">
        <f>L98 = "PASS"</f>
        <v>1</v>
      </c>
      <c r="P98" s="3" t="b">
        <f>L98 = "FAIL"</f>
        <v>0</v>
      </c>
      <c r="Q98" s="3" t="b">
        <f>AND(P98, K98)</f>
        <v>0</v>
      </c>
      <c r="R98" s="3" t="str">
        <f>IF(O98, I98, "")</f>
        <v>suite-substrate</v>
      </c>
      <c r="S98" s="3" t="str">
        <f>IF(Q98, I98, "")</f>
      </c>
      <c r="T98" s="2" t="s">
        <v>5935</v>
      </c>
    </row>
    <row r="99">
      <c r="A99" s="2" t="s">
        <v>6068</v>
      </c>
      <c r="B99" s="3" t="str">
        <f>C99 &amp; ": " &amp; D99</f>
        <v>formula-translates: Roles.UngroundedBoundaryCount</v>
      </c>
      <c r="C99" s="2" t="s">
        <v>6038</v>
      </c>
      <c r="D99" s="2" t="s">
        <v>2502</v>
      </c>
      <c r="E99" s="2" t="s">
        <v>1798</v>
      </c>
      <c r="F99" s="2" t="s">
        <v>198</v>
      </c>
      <c r="G99" s="2" t="s">
        <v>6039</v>
      </c>
      <c r="H99" s="2" t="s">
        <v>2320</v>
      </c>
      <c r="I99" s="2" t="s">
        <v>5920</v>
      </c>
      <c r="J99" s="2" t="s">
        <v>5933</v>
      </c>
      <c r="K99" s="3" t="b">
        <f>J99 = "blocking"</f>
        <v>1</v>
      </c>
      <c r="L99" s="2" t="s">
        <v>1428</v>
      </c>
      <c r="M99" s="2" t="s">
        <v>6040</v>
      </c>
      <c r="N99" s="4">
        <v>46223.1297337963</v>
      </c>
      <c r="O99" s="3" t="b">
        <f>L99 = "PASS"</f>
        <v>1</v>
      </c>
      <c r="P99" s="3" t="b">
        <f>L99 = "FAIL"</f>
        <v>0</v>
      </c>
      <c r="Q99" s="3" t="b">
        <f>AND(P99, K99)</f>
        <v>0</v>
      </c>
      <c r="R99" s="3" t="str">
        <f>IF(O99, I99, "")</f>
        <v>suite-substrate</v>
      </c>
      <c r="S99" s="3" t="str">
        <f>IF(Q99, I99, "")</f>
      </c>
      <c r="T99" s="2" t="s">
        <v>5935</v>
      </c>
    </row>
    <row r="100">
      <c r="A100" s="2" t="s">
        <v>6069</v>
      </c>
      <c r="B100" s="3" t="str">
        <f>C100 &amp; ": " &amp; D100</f>
        <v>formula-translates: Roles.IsGovernedByLapsedAuthority</v>
      </c>
      <c r="C100" s="2" t="s">
        <v>6038</v>
      </c>
      <c r="D100" s="2" t="s">
        <v>2504</v>
      </c>
      <c r="E100" s="2" t="s">
        <v>1798</v>
      </c>
      <c r="F100" s="2" t="s">
        <v>199</v>
      </c>
      <c r="G100" s="2" t="s">
        <v>6039</v>
      </c>
      <c r="H100" s="2" t="s">
        <v>2320</v>
      </c>
      <c r="I100" s="2" t="s">
        <v>5920</v>
      </c>
      <c r="J100" s="2" t="s">
        <v>5933</v>
      </c>
      <c r="K100" s="3" t="b">
        <f>J100 = "blocking"</f>
        <v>1</v>
      </c>
      <c r="L100" s="2" t="s">
        <v>1428</v>
      </c>
      <c r="M100" s="2" t="s">
        <v>6040</v>
      </c>
      <c r="N100" s="4">
        <v>46223.1297337963</v>
      </c>
      <c r="O100" s="3" t="b">
        <f>L100 = "PASS"</f>
        <v>1</v>
      </c>
      <c r="P100" s="3" t="b">
        <f>L100 = "FAIL"</f>
        <v>0</v>
      </c>
      <c r="Q100" s="3" t="b">
        <f>AND(P100, K100)</f>
        <v>0</v>
      </c>
      <c r="R100" s="3" t="str">
        <f>IF(O100, I100, "")</f>
        <v>suite-substrate</v>
      </c>
      <c r="S100" s="3" t="str">
        <f>IF(Q100, I100, "")</f>
      </c>
      <c r="T100" s="2" t="s">
        <v>5935</v>
      </c>
    </row>
    <row r="101">
      <c r="A101" s="2" t="s">
        <v>6070</v>
      </c>
      <c r="B101" s="3" t="str">
        <f>C101 &amp; ": " &amp; D101</f>
        <v>formula-translates: Roles.UnescalatedRefusalCount</v>
      </c>
      <c r="C101" s="2" t="s">
        <v>6038</v>
      </c>
      <c r="D101" s="2" t="s">
        <v>2506</v>
      </c>
      <c r="E101" s="2" t="s">
        <v>1798</v>
      </c>
      <c r="F101" s="2" t="s">
        <v>200</v>
      </c>
      <c r="G101" s="2" t="s">
        <v>6039</v>
      </c>
      <c r="H101" s="2" t="s">
        <v>2336</v>
      </c>
      <c r="I101" s="2" t="s">
        <v>5920</v>
      </c>
      <c r="J101" s="2" t="s">
        <v>5933</v>
      </c>
      <c r="K101" s="3" t="b">
        <f>J101 = "blocking"</f>
        <v>1</v>
      </c>
      <c r="L101" s="2" t="s">
        <v>1428</v>
      </c>
      <c r="M101" s="2" t="s">
        <v>6040</v>
      </c>
      <c r="N101" s="4">
        <v>46223.1297337963</v>
      </c>
      <c r="O101" s="3" t="b">
        <f>L101 = "PASS"</f>
        <v>1</v>
      </c>
      <c r="P101" s="3" t="b">
        <f>L101 = "FAIL"</f>
        <v>0</v>
      </c>
      <c r="Q101" s="3" t="b">
        <f>AND(P101, K101)</f>
        <v>0</v>
      </c>
      <c r="R101" s="3" t="str">
        <f>IF(O101, I101, "")</f>
        <v>suite-substrate</v>
      </c>
      <c r="S101" s="3" t="str">
        <f>IF(Q101, I101, "")</f>
      </c>
      <c r="T101" s="2" t="s">
        <v>5935</v>
      </c>
    </row>
    <row r="102">
      <c r="A102" s="2" t="s">
        <v>6071</v>
      </c>
      <c r="B102" s="3" t="str">
        <f>C102 &amp; ": " &amp; D102</f>
        <v>formula-translates: Roles.UnauthorizedEnforcementAssignmentCount</v>
      </c>
      <c r="C102" s="2" t="s">
        <v>6038</v>
      </c>
      <c r="D102" s="2" t="s">
        <v>2508</v>
      </c>
      <c r="E102" s="2" t="s">
        <v>1798</v>
      </c>
      <c r="F102" s="2" t="s">
        <v>201</v>
      </c>
      <c r="G102" s="2" t="s">
        <v>6039</v>
      </c>
      <c r="H102" s="2" t="s">
        <v>2344</v>
      </c>
      <c r="I102" s="2" t="s">
        <v>5920</v>
      </c>
      <c r="J102" s="2" t="s">
        <v>5933</v>
      </c>
      <c r="K102" s="3" t="b">
        <f>J102 = "blocking"</f>
        <v>1</v>
      </c>
      <c r="L102" s="2" t="s">
        <v>1428</v>
      </c>
      <c r="M102" s="2" t="s">
        <v>6040</v>
      </c>
      <c r="N102" s="4">
        <v>46223.1297337963</v>
      </c>
      <c r="O102" s="3" t="b">
        <f>L102 = "PASS"</f>
        <v>1</v>
      </c>
      <c r="P102" s="3" t="b">
        <f>L102 = "FAIL"</f>
        <v>0</v>
      </c>
      <c r="Q102" s="3" t="b">
        <f>AND(P102, K102)</f>
        <v>0</v>
      </c>
      <c r="R102" s="3" t="str">
        <f>IF(O102, I102, "")</f>
        <v>suite-substrate</v>
      </c>
      <c r="S102" s="3" t="str">
        <f>IF(Q102, I102, "")</f>
      </c>
      <c r="T102" s="2" t="s">
        <v>5935</v>
      </c>
    </row>
    <row r="103">
      <c r="A103" s="2" t="s">
        <v>6072</v>
      </c>
      <c r="B103" s="3" t="str">
        <f>C103 &amp; ": " &amp; D103</f>
        <v>formula-translates: Roles.IsUngovernedEnforcementRole</v>
      </c>
      <c r="C103" s="2" t="s">
        <v>6038</v>
      </c>
      <c r="D103" s="2" t="s">
        <v>2510</v>
      </c>
      <c r="E103" s="2" t="s">
        <v>1798</v>
      </c>
      <c r="F103" s="2" t="s">
        <v>202</v>
      </c>
      <c r="G103" s="2" t="s">
        <v>6039</v>
      </c>
      <c r="H103" s="2" t="s">
        <v>2344</v>
      </c>
      <c r="I103" s="2" t="s">
        <v>5920</v>
      </c>
      <c r="J103" s="2" t="s">
        <v>5933</v>
      </c>
      <c r="K103" s="3" t="b">
        <f>J103 = "blocking"</f>
        <v>1</v>
      </c>
      <c r="L103" s="2" t="s">
        <v>1428</v>
      </c>
      <c r="M103" s="2" t="s">
        <v>6040</v>
      </c>
      <c r="N103" s="4">
        <v>46223.1297337963</v>
      </c>
      <c r="O103" s="3" t="b">
        <f>L103 = "PASS"</f>
        <v>1</v>
      </c>
      <c r="P103" s="3" t="b">
        <f>L103 = "FAIL"</f>
        <v>0</v>
      </c>
      <c r="Q103" s="3" t="b">
        <f>AND(P103, K103)</f>
        <v>0</v>
      </c>
      <c r="R103" s="3" t="str">
        <f>IF(O103, I103, "")</f>
        <v>suite-substrate</v>
      </c>
      <c r="S103" s="3" t="str">
        <f>IF(Q103, I103, "")</f>
      </c>
      <c r="T103" s="2" t="s">
        <v>5935</v>
      </c>
    </row>
    <row r="104">
      <c r="A104" s="2" t="s">
        <v>6073</v>
      </c>
      <c r="B104" s="3" t="str">
        <f>C104 &amp; ": " &amp; D104</f>
        <v>formula-translates: RoleAssignments.Name</v>
      </c>
      <c r="C104" s="2" t="s">
        <v>6038</v>
      </c>
      <c r="D104" s="2" t="s">
        <v>2514</v>
      </c>
      <c r="E104" s="2" t="s">
        <v>1801</v>
      </c>
      <c r="F104" s="2" t="s">
        <v>1</v>
      </c>
      <c r="G104" s="2" t="s">
        <v>6039</v>
      </c>
      <c r="H104" s="2"/>
      <c r="I104" s="2" t="s">
        <v>5920</v>
      </c>
      <c r="J104" s="2" t="s">
        <v>5933</v>
      </c>
      <c r="K104" s="3" t="b">
        <f>J104 = "blocking"</f>
        <v>1</v>
      </c>
      <c r="L104" s="2" t="s">
        <v>1428</v>
      </c>
      <c r="M104" s="2" t="s">
        <v>6040</v>
      </c>
      <c r="N104" s="4">
        <v>46223.1297337963</v>
      </c>
      <c r="O104" s="3" t="b">
        <f>L104 = "PASS"</f>
        <v>1</v>
      </c>
      <c r="P104" s="3" t="b">
        <f>L104 = "FAIL"</f>
        <v>0</v>
      </c>
      <c r="Q104" s="3" t="b">
        <f>AND(P104, K104)</f>
        <v>0</v>
      </c>
      <c r="R104" s="3" t="str">
        <f>IF(O104, I104, "")</f>
        <v>suite-substrate</v>
      </c>
      <c r="S104" s="3" t="str">
        <f>IF(Q104, I104, "")</f>
      </c>
      <c r="T104" s="2" t="s">
        <v>5935</v>
      </c>
    </row>
    <row r="105">
      <c r="A105" s="2" t="s">
        <v>6074</v>
      </c>
      <c r="B105" s="3" t="str">
        <f>C105 &amp; ": " &amp; D105</f>
        <v>formula-translates: RoleAssignments.AsOfInstant</v>
      </c>
      <c r="C105" s="2" t="s">
        <v>6038</v>
      </c>
      <c r="D105" s="2" t="s">
        <v>2523</v>
      </c>
      <c r="E105" s="2" t="s">
        <v>1801</v>
      </c>
      <c r="F105" s="2" t="s">
        <v>92</v>
      </c>
      <c r="G105" s="2" t="s">
        <v>6039</v>
      </c>
      <c r="H105" s="2"/>
      <c r="I105" s="2" t="s">
        <v>5920</v>
      </c>
      <c r="J105" s="2" t="s">
        <v>5933</v>
      </c>
      <c r="K105" s="3" t="b">
        <f>J105 = "blocking"</f>
        <v>1</v>
      </c>
      <c r="L105" s="2" t="s">
        <v>1428</v>
      </c>
      <c r="M105" s="2" t="s">
        <v>6040</v>
      </c>
      <c r="N105" s="4">
        <v>46223.1297337963</v>
      </c>
      <c r="O105" s="3" t="b">
        <f>L105 = "PASS"</f>
        <v>1</v>
      </c>
      <c r="P105" s="3" t="b">
        <f>L105 = "FAIL"</f>
        <v>0</v>
      </c>
      <c r="Q105" s="3" t="b">
        <f>AND(P105, K105)</f>
        <v>0</v>
      </c>
      <c r="R105" s="3" t="str">
        <f>IF(O105, I105, "")</f>
        <v>suite-substrate</v>
      </c>
      <c r="S105" s="3" t="str">
        <f>IF(Q105, I105, "")</f>
      </c>
      <c r="T105" s="2" t="s">
        <v>5935</v>
      </c>
    </row>
    <row r="106">
      <c r="A106" s="2" t="s">
        <v>6075</v>
      </c>
      <c r="B106" s="3" t="str">
        <f>C106 &amp; ": " &amp; D106</f>
        <v>formula-translates: RoleAssignments.IsCurrent</v>
      </c>
      <c r="C106" s="2" t="s">
        <v>6038</v>
      </c>
      <c r="D106" s="2" t="s">
        <v>2525</v>
      </c>
      <c r="E106" s="2" t="s">
        <v>1801</v>
      </c>
      <c r="F106" s="2" t="s">
        <v>10</v>
      </c>
      <c r="G106" s="2" t="s">
        <v>6039</v>
      </c>
      <c r="H106" s="2"/>
      <c r="I106" s="2" t="s">
        <v>5920</v>
      </c>
      <c r="J106" s="2" t="s">
        <v>5933</v>
      </c>
      <c r="K106" s="3" t="b">
        <f>J106 = "blocking"</f>
        <v>1</v>
      </c>
      <c r="L106" s="2" t="s">
        <v>1428</v>
      </c>
      <c r="M106" s="2" t="s">
        <v>6040</v>
      </c>
      <c r="N106" s="4">
        <v>46223.1297337963</v>
      </c>
      <c r="O106" s="3" t="b">
        <f>L106 = "PASS"</f>
        <v>1</v>
      </c>
      <c r="P106" s="3" t="b">
        <f>L106 = "FAIL"</f>
        <v>0</v>
      </c>
      <c r="Q106" s="3" t="b">
        <f>AND(P106, K106)</f>
        <v>0</v>
      </c>
      <c r="R106" s="3" t="str">
        <f>IF(O106, I106, "")</f>
        <v>suite-substrate</v>
      </c>
      <c r="S106" s="3" t="str">
        <f>IF(Q106, I106, "")</f>
      </c>
      <c r="T106" s="2" t="s">
        <v>5935</v>
      </c>
    </row>
    <row r="107">
      <c r="A107" s="2" t="s">
        <v>6076</v>
      </c>
      <c r="B107" s="3" t="str">
        <f>C107 &amp; ": " &amp; D107</f>
        <v>formula-translates: RoleAssignments.CurrentAgentKey</v>
      </c>
      <c r="C107" s="2" t="s">
        <v>6038</v>
      </c>
      <c r="D107" s="2" t="s">
        <v>2527</v>
      </c>
      <c r="E107" s="2" t="s">
        <v>1801</v>
      </c>
      <c r="F107" s="2" t="s">
        <v>259</v>
      </c>
      <c r="G107" s="2" t="s">
        <v>6039</v>
      </c>
      <c r="H107" s="2"/>
      <c r="I107" s="2" t="s">
        <v>5920</v>
      </c>
      <c r="J107" s="2" t="s">
        <v>5933</v>
      </c>
      <c r="K107" s="3" t="b">
        <f>J107 = "blocking"</f>
        <v>1</v>
      </c>
      <c r="L107" s="2" t="s">
        <v>1428</v>
      </c>
      <c r="M107" s="2" t="s">
        <v>6040</v>
      </c>
      <c r="N107" s="4">
        <v>46223.1297337963</v>
      </c>
      <c r="O107" s="3" t="b">
        <f>L107 = "PASS"</f>
        <v>1</v>
      </c>
      <c r="P107" s="3" t="b">
        <f>L107 = "FAIL"</f>
        <v>0</v>
      </c>
      <c r="Q107" s="3" t="b">
        <f>AND(P107, K107)</f>
        <v>0</v>
      </c>
      <c r="R107" s="3" t="str">
        <f>IF(O107, I107, "")</f>
        <v>suite-substrate</v>
      </c>
      <c r="S107" s="3" t="str">
        <f>IF(Q107, I107, "")</f>
      </c>
      <c r="T107" s="2" t="s">
        <v>5935</v>
      </c>
    </row>
    <row r="108">
      <c r="A108" s="2" t="s">
        <v>6077</v>
      </c>
      <c r="B108" s="3" t="str">
        <f>C108 &amp; ": " &amp; D108</f>
        <v>formula-translates: RoleAssignments.IsCurrentlyValid</v>
      </c>
      <c r="C108" s="2" t="s">
        <v>6038</v>
      </c>
      <c r="D108" s="2" t="s">
        <v>2529</v>
      </c>
      <c r="E108" s="2" t="s">
        <v>1801</v>
      </c>
      <c r="F108" s="2" t="s">
        <v>260</v>
      </c>
      <c r="G108" s="2" t="s">
        <v>6039</v>
      </c>
      <c r="H108" s="2" t="s">
        <v>1960</v>
      </c>
      <c r="I108" s="2" t="s">
        <v>5920</v>
      </c>
      <c r="J108" s="2" t="s">
        <v>5933</v>
      </c>
      <c r="K108" s="3" t="b">
        <f>J108 = "blocking"</f>
        <v>1</v>
      </c>
      <c r="L108" s="2" t="s">
        <v>1428</v>
      </c>
      <c r="M108" s="2" t="s">
        <v>6040</v>
      </c>
      <c r="N108" s="4">
        <v>46223.1297337963</v>
      </c>
      <c r="O108" s="3" t="b">
        <f>L108 = "PASS"</f>
        <v>1</v>
      </c>
      <c r="P108" s="3" t="b">
        <f>L108 = "FAIL"</f>
        <v>0</v>
      </c>
      <c r="Q108" s="3" t="b">
        <f>AND(P108, K108)</f>
        <v>0</v>
      </c>
      <c r="R108" s="3" t="str">
        <f>IF(O108, I108, "")</f>
        <v>suite-substrate</v>
      </c>
      <c r="S108" s="3" t="str">
        <f>IF(Q108, I108, "")</f>
      </c>
      <c r="T108" s="2" t="s">
        <v>5935</v>
      </c>
    </row>
    <row r="109">
      <c r="A109" s="2" t="s">
        <v>6078</v>
      </c>
      <c r="B109" s="3" t="str">
        <f>C109 &amp; ": " &amp; D109</f>
        <v>formula-translates: RoleAssignments.AgentRoleKey</v>
      </c>
      <c r="C109" s="2" t="s">
        <v>6038</v>
      </c>
      <c r="D109" s="2" t="s">
        <v>2531</v>
      </c>
      <c r="E109" s="2" t="s">
        <v>1801</v>
      </c>
      <c r="F109" s="2" t="s">
        <v>261</v>
      </c>
      <c r="G109" s="2" t="s">
        <v>6039</v>
      </c>
      <c r="H109" s="2" t="s">
        <v>1960</v>
      </c>
      <c r="I109" s="2" t="s">
        <v>5920</v>
      </c>
      <c r="J109" s="2" t="s">
        <v>5933</v>
      </c>
      <c r="K109" s="3" t="b">
        <f>J109 = "blocking"</f>
        <v>1</v>
      </c>
      <c r="L109" s="2" t="s">
        <v>1428</v>
      </c>
      <c r="M109" s="2" t="s">
        <v>6040</v>
      </c>
      <c r="N109" s="4">
        <v>46223.1297337963</v>
      </c>
      <c r="O109" s="3" t="b">
        <f>L109 = "PASS"</f>
        <v>1</v>
      </c>
      <c r="P109" s="3" t="b">
        <f>L109 = "FAIL"</f>
        <v>0</v>
      </c>
      <c r="Q109" s="3" t="b">
        <f>AND(P109, K109)</f>
        <v>0</v>
      </c>
      <c r="R109" s="3" t="str">
        <f>IF(O109, I109, "")</f>
        <v>suite-substrate</v>
      </c>
      <c r="S109" s="3" t="str">
        <f>IF(Q109, I109, "")</f>
      </c>
      <c r="T109" s="2" t="s">
        <v>5935</v>
      </c>
    </row>
    <row r="110">
      <c r="A110" s="2" t="s">
        <v>6079</v>
      </c>
      <c r="B110" s="3" t="str">
        <f>C110 &amp; ": " &amp; D110</f>
        <v>formula-translates: RoleAssignments.HasDeparted</v>
      </c>
      <c r="C110" s="2" t="s">
        <v>6038</v>
      </c>
      <c r="D110" s="2" t="s">
        <v>2533</v>
      </c>
      <c r="E110" s="2" t="s">
        <v>1801</v>
      </c>
      <c r="F110" s="2" t="s">
        <v>262</v>
      </c>
      <c r="G110" s="2" t="s">
        <v>6039</v>
      </c>
      <c r="H110" s="2" t="s">
        <v>2016</v>
      </c>
      <c r="I110" s="2" t="s">
        <v>5920</v>
      </c>
      <c r="J110" s="2" t="s">
        <v>5933</v>
      </c>
      <c r="K110" s="3" t="b">
        <f>J110 = "blocking"</f>
        <v>1</v>
      </c>
      <c r="L110" s="2" t="s">
        <v>1428</v>
      </c>
      <c r="M110" s="2" t="s">
        <v>6040</v>
      </c>
      <c r="N110" s="4">
        <v>46223.1297337963</v>
      </c>
      <c r="O110" s="3" t="b">
        <f>L110 = "PASS"</f>
        <v>1</v>
      </c>
      <c r="P110" s="3" t="b">
        <f>L110 = "FAIL"</f>
        <v>0</v>
      </c>
      <c r="Q110" s="3" t="b">
        <f>AND(P110, K110)</f>
        <v>0</v>
      </c>
      <c r="R110" s="3" t="str">
        <f>IF(O110, I110, "")</f>
        <v>suite-substrate</v>
      </c>
      <c r="S110" s="3" t="str">
        <f>IF(Q110, I110, "")</f>
      </c>
      <c r="T110" s="2" t="s">
        <v>5935</v>
      </c>
    </row>
    <row r="111">
      <c r="A111" s="2" t="s">
        <v>6080</v>
      </c>
      <c r="B111" s="3" t="str">
        <f>C111 &amp; ": " &amp; D111</f>
        <v>formula-translates: RoleAssignments.CoversNow</v>
      </c>
      <c r="C111" s="2" t="s">
        <v>6038</v>
      </c>
      <c r="D111" s="2" t="s">
        <v>2535</v>
      </c>
      <c r="E111" s="2" t="s">
        <v>1801</v>
      </c>
      <c r="F111" s="2" t="s">
        <v>263</v>
      </c>
      <c r="G111" s="2" t="s">
        <v>6039</v>
      </c>
      <c r="H111" s="2" t="s">
        <v>2096</v>
      </c>
      <c r="I111" s="2" t="s">
        <v>5920</v>
      </c>
      <c r="J111" s="2" t="s">
        <v>5933</v>
      </c>
      <c r="K111" s="3" t="b">
        <f>J111 = "blocking"</f>
        <v>1</v>
      </c>
      <c r="L111" s="2" t="s">
        <v>1428</v>
      </c>
      <c r="M111" s="2" t="s">
        <v>6040</v>
      </c>
      <c r="N111" s="4">
        <v>46223.1297337963</v>
      </c>
      <c r="O111" s="3" t="b">
        <f>L111 = "PASS"</f>
        <v>1</v>
      </c>
      <c r="P111" s="3" t="b">
        <f>L111 = "FAIL"</f>
        <v>0</v>
      </c>
      <c r="Q111" s="3" t="b">
        <f>AND(P111, K111)</f>
        <v>0</v>
      </c>
      <c r="R111" s="3" t="str">
        <f>IF(O111, I111, "")</f>
        <v>suite-substrate</v>
      </c>
      <c r="S111" s="3" t="str">
        <f>IF(Q111, I111, "")</f>
      </c>
      <c r="T111" s="2" t="s">
        <v>5935</v>
      </c>
    </row>
    <row r="112">
      <c r="A112" s="2" t="s">
        <v>6081</v>
      </c>
      <c r="B112" s="3" t="str">
        <f>C112 &amp; ": " &amp; D112</f>
        <v>formula-translates: RoleAssignments.RoleWhenCovering</v>
      </c>
      <c r="C112" s="2" t="s">
        <v>6038</v>
      </c>
      <c r="D112" s="2" t="s">
        <v>2537</v>
      </c>
      <c r="E112" s="2" t="s">
        <v>1801</v>
      </c>
      <c r="F112" s="2" t="s">
        <v>264</v>
      </c>
      <c r="G112" s="2" t="s">
        <v>6039</v>
      </c>
      <c r="H112" s="2" t="s">
        <v>2096</v>
      </c>
      <c r="I112" s="2" t="s">
        <v>5920</v>
      </c>
      <c r="J112" s="2" t="s">
        <v>5933</v>
      </c>
      <c r="K112" s="3" t="b">
        <f>J112 = "blocking"</f>
        <v>1</v>
      </c>
      <c r="L112" s="2" t="s">
        <v>1428</v>
      </c>
      <c r="M112" s="2" t="s">
        <v>6040</v>
      </c>
      <c r="N112" s="4">
        <v>46223.1297337963</v>
      </c>
      <c r="O112" s="3" t="b">
        <f>L112 = "PASS"</f>
        <v>1</v>
      </c>
      <c r="P112" s="3" t="b">
        <f>L112 = "FAIL"</f>
        <v>0</v>
      </c>
      <c r="Q112" s="3" t="b">
        <f>AND(P112, K112)</f>
        <v>0</v>
      </c>
      <c r="R112" s="3" t="str">
        <f>IF(O112, I112, "")</f>
        <v>suite-substrate</v>
      </c>
      <c r="S112" s="3" t="str">
        <f>IF(Q112, I112, "")</f>
      </c>
      <c r="T112" s="2" t="s">
        <v>5935</v>
      </c>
    </row>
    <row r="113">
      <c r="A113" s="2" t="s">
        <v>6082</v>
      </c>
      <c r="B113" s="3" t="str">
        <f>C113 &amp; ": " &amp; D113</f>
        <v>formula-translates: RoleAssignments.AgentKind</v>
      </c>
      <c r="C113" s="2" t="s">
        <v>6038</v>
      </c>
      <c r="D113" s="2" t="s">
        <v>2539</v>
      </c>
      <c r="E113" s="2" t="s">
        <v>1801</v>
      </c>
      <c r="F113" s="2" t="s">
        <v>120</v>
      </c>
      <c r="G113" s="2" t="s">
        <v>6039</v>
      </c>
      <c r="H113" s="2" t="s">
        <v>2136</v>
      </c>
      <c r="I113" s="2" t="s">
        <v>5920</v>
      </c>
      <c r="J113" s="2" t="s">
        <v>5933</v>
      </c>
      <c r="K113" s="3" t="b">
        <f>J113 = "blocking"</f>
        <v>1</v>
      </c>
      <c r="L113" s="2" t="s">
        <v>1428</v>
      </c>
      <c r="M113" s="2" t="s">
        <v>6040</v>
      </c>
      <c r="N113" s="4">
        <v>46223.1297337963</v>
      </c>
      <c r="O113" s="3" t="b">
        <f>L113 = "PASS"</f>
        <v>1</v>
      </c>
      <c r="P113" s="3" t="b">
        <f>L113 = "FAIL"</f>
        <v>0</v>
      </c>
      <c r="Q113" s="3" t="b">
        <f>AND(P113, K113)</f>
        <v>0</v>
      </c>
      <c r="R113" s="3" t="str">
        <f>IF(O113, I113, "")</f>
        <v>suite-substrate</v>
      </c>
      <c r="S113" s="3" t="str">
        <f>IF(Q113, I113, "")</f>
      </c>
      <c r="T113" s="2" t="s">
        <v>5935</v>
      </c>
    </row>
    <row r="114">
      <c r="A114" s="2" t="s">
        <v>6083</v>
      </c>
      <c r="B114" s="3" t="str">
        <f>C114 &amp; ": " &amp; D114</f>
        <v>formula-translates: RoleAssignments.IsNonHumanAssignment</v>
      </c>
      <c r="C114" s="2" t="s">
        <v>6038</v>
      </c>
      <c r="D114" s="2" t="s">
        <v>2541</v>
      </c>
      <c r="E114" s="2" t="s">
        <v>1801</v>
      </c>
      <c r="F114" s="2" t="s">
        <v>265</v>
      </c>
      <c r="G114" s="2" t="s">
        <v>6039</v>
      </c>
      <c r="H114" s="2" t="s">
        <v>2136</v>
      </c>
      <c r="I114" s="2" t="s">
        <v>5920</v>
      </c>
      <c r="J114" s="2" t="s">
        <v>5933</v>
      </c>
      <c r="K114" s="3" t="b">
        <f>J114 = "blocking"</f>
        <v>1</v>
      </c>
      <c r="L114" s="2" t="s">
        <v>1428</v>
      </c>
      <c r="M114" s="2" t="s">
        <v>6040</v>
      </c>
      <c r="N114" s="4">
        <v>46223.1297337963</v>
      </c>
      <c r="O114" s="3" t="b">
        <f>L114 = "PASS"</f>
        <v>1</v>
      </c>
      <c r="P114" s="3" t="b">
        <f>L114 = "FAIL"</f>
        <v>0</v>
      </c>
      <c r="Q114" s="3" t="b">
        <f>AND(P114, K114)</f>
        <v>0</v>
      </c>
      <c r="R114" s="3" t="str">
        <f>IF(O114, I114, "")</f>
        <v>suite-substrate</v>
      </c>
      <c r="S114" s="3" t="str">
        <f>IF(Q114, I114, "")</f>
      </c>
      <c r="T114" s="2" t="s">
        <v>5935</v>
      </c>
    </row>
    <row r="115">
      <c r="A115" s="2" t="s">
        <v>6084</v>
      </c>
      <c r="B115" s="3" t="str">
        <f>C115 &amp; ": " &amp; D115</f>
        <v>formula-translates: RoleAssignments.PredecessorAgentKind</v>
      </c>
      <c r="C115" s="2" t="s">
        <v>6038</v>
      </c>
      <c r="D115" s="2" t="s">
        <v>2543</v>
      </c>
      <c r="E115" s="2" t="s">
        <v>1801</v>
      </c>
      <c r="F115" s="2" t="s">
        <v>267</v>
      </c>
      <c r="G115" s="2" t="s">
        <v>6039</v>
      </c>
      <c r="H115" s="2" t="s">
        <v>2136</v>
      </c>
      <c r="I115" s="2" t="s">
        <v>5920</v>
      </c>
      <c r="J115" s="2" t="s">
        <v>5933</v>
      </c>
      <c r="K115" s="3" t="b">
        <f>J115 = "blocking"</f>
        <v>1</v>
      </c>
      <c r="L115" s="2" t="s">
        <v>1428</v>
      </c>
      <c r="M115" s="2" t="s">
        <v>6040</v>
      </c>
      <c r="N115" s="4">
        <v>46223.1297337963</v>
      </c>
      <c r="O115" s="3" t="b">
        <f>L115 = "PASS"</f>
        <v>1</v>
      </c>
      <c r="P115" s="3" t="b">
        <f>L115 = "FAIL"</f>
        <v>0</v>
      </c>
      <c r="Q115" s="3" t="b">
        <f>AND(P115, K115)</f>
        <v>0</v>
      </c>
      <c r="R115" s="3" t="str">
        <f>IF(O115, I115, "")</f>
        <v>suite-substrate</v>
      </c>
      <c r="S115" s="3" t="str">
        <f>IF(Q115, I115, "")</f>
      </c>
      <c r="T115" s="2" t="s">
        <v>5935</v>
      </c>
    </row>
    <row r="116">
      <c r="A116" s="2" t="s">
        <v>6085</v>
      </c>
      <c r="B116" s="3" t="str">
        <f>C116 &amp; ": " &amp; D116</f>
        <v>formula-translates: RoleAssignments.IsHumanToNonHumanHandover</v>
      </c>
      <c r="C116" s="2" t="s">
        <v>6038</v>
      </c>
      <c r="D116" s="2" t="s">
        <v>2545</v>
      </c>
      <c r="E116" s="2" t="s">
        <v>1801</v>
      </c>
      <c r="F116" s="2" t="s">
        <v>268</v>
      </c>
      <c r="G116" s="2" t="s">
        <v>6039</v>
      </c>
      <c r="H116" s="2" t="s">
        <v>2136</v>
      </c>
      <c r="I116" s="2" t="s">
        <v>5920</v>
      </c>
      <c r="J116" s="2" t="s">
        <v>5933</v>
      </c>
      <c r="K116" s="3" t="b">
        <f>J116 = "blocking"</f>
        <v>1</v>
      </c>
      <c r="L116" s="2" t="s">
        <v>1428</v>
      </c>
      <c r="M116" s="2" t="s">
        <v>6040</v>
      </c>
      <c r="N116" s="4">
        <v>46223.1297337963</v>
      </c>
      <c r="O116" s="3" t="b">
        <f>L116 = "PASS"</f>
        <v>1</v>
      </c>
      <c r="P116" s="3" t="b">
        <f>L116 = "FAIL"</f>
        <v>0</v>
      </c>
      <c r="Q116" s="3" t="b">
        <f>AND(P116, K116)</f>
        <v>0</v>
      </c>
      <c r="R116" s="3" t="str">
        <f>IF(O116, I116, "")</f>
        <v>suite-substrate</v>
      </c>
      <c r="S116" s="3" t="str">
        <f>IF(Q116, I116, "")</f>
      </c>
      <c r="T116" s="2" t="s">
        <v>5935</v>
      </c>
    </row>
    <row r="117">
      <c r="A117" s="2" t="s">
        <v>6086</v>
      </c>
      <c r="B117" s="3" t="str">
        <f>C117 &amp; ": " &amp; D117</f>
        <v>formula-translates: RoleAssignments.IsUnauthorizedNonHumanAssignment</v>
      </c>
      <c r="C117" s="2" t="s">
        <v>6038</v>
      </c>
      <c r="D117" s="2" t="s">
        <v>2549</v>
      </c>
      <c r="E117" s="2" t="s">
        <v>1801</v>
      </c>
      <c r="F117" s="2" t="s">
        <v>271</v>
      </c>
      <c r="G117" s="2" t="s">
        <v>6039</v>
      </c>
      <c r="H117" s="2" t="s">
        <v>2136</v>
      </c>
      <c r="I117" s="2" t="s">
        <v>5920</v>
      </c>
      <c r="J117" s="2" t="s">
        <v>5933</v>
      </c>
      <c r="K117" s="3" t="b">
        <f>J117 = "blocking"</f>
        <v>1</v>
      </c>
      <c r="L117" s="2" t="s">
        <v>1428</v>
      </c>
      <c r="M117" s="2" t="s">
        <v>6040</v>
      </c>
      <c r="N117" s="4">
        <v>46223.1297337963</v>
      </c>
      <c r="O117" s="3" t="b">
        <f>L117 = "PASS"</f>
        <v>1</v>
      </c>
      <c r="P117" s="3" t="b">
        <f>L117 = "FAIL"</f>
        <v>0</v>
      </c>
      <c r="Q117" s="3" t="b">
        <f>AND(P117, K117)</f>
        <v>0</v>
      </c>
      <c r="R117" s="3" t="str">
        <f>IF(O117, I117, "")</f>
        <v>suite-substrate</v>
      </c>
      <c r="S117" s="3" t="str">
        <f>IF(Q117, I117, "")</f>
      </c>
      <c r="T117" s="2" t="s">
        <v>5935</v>
      </c>
    </row>
    <row r="118">
      <c r="A118" s="2" t="s">
        <v>6087</v>
      </c>
      <c r="B118" s="3" t="str">
        <f>C118 &amp; ": " &amp; D118</f>
        <v>formula-translates: RoleAssignments.WasAuthorizedByChangeRequest</v>
      </c>
      <c r="C118" s="2" t="s">
        <v>6038</v>
      </c>
      <c r="D118" s="2" t="s">
        <v>2551</v>
      </c>
      <c r="E118" s="2" t="s">
        <v>1801</v>
      </c>
      <c r="F118" s="2" t="s">
        <v>272</v>
      </c>
      <c r="G118" s="2" t="s">
        <v>6039</v>
      </c>
      <c r="H118" s="2"/>
      <c r="I118" s="2" t="s">
        <v>5920</v>
      </c>
      <c r="J118" s="2" t="s">
        <v>5933</v>
      </c>
      <c r="K118" s="3" t="b">
        <f>J118 = "blocking"</f>
        <v>1</v>
      </c>
      <c r="L118" s="2" t="s">
        <v>1428</v>
      </c>
      <c r="M118" s="2" t="s">
        <v>6040</v>
      </c>
      <c r="N118" s="4">
        <v>46223.1297337963</v>
      </c>
      <c r="O118" s="3" t="b">
        <f>L118 = "PASS"</f>
        <v>1</v>
      </c>
      <c r="P118" s="3" t="b">
        <f>L118 = "FAIL"</f>
        <v>0</v>
      </c>
      <c r="Q118" s="3" t="b">
        <f>AND(P118, K118)</f>
        <v>0</v>
      </c>
      <c r="R118" s="3" t="str">
        <f>IF(O118, I118, "")</f>
        <v>suite-substrate</v>
      </c>
      <c r="S118" s="3" t="str">
        <f>IF(Q118, I118, "")</f>
      </c>
      <c r="T118" s="2" t="s">
        <v>5935</v>
      </c>
    </row>
    <row r="119">
      <c r="A119" s="2" t="s">
        <v>6088</v>
      </c>
      <c r="B119" s="3" t="str">
        <f>C119 &amp; ": " &amp; D119</f>
        <v>formula-translates: RoleAssignments.DecisionCount</v>
      </c>
      <c r="C119" s="2" t="s">
        <v>6038</v>
      </c>
      <c r="D119" s="2" t="s">
        <v>2553</v>
      </c>
      <c r="E119" s="2" t="s">
        <v>1801</v>
      </c>
      <c r="F119" s="2" t="s">
        <v>126</v>
      </c>
      <c r="G119" s="2" t="s">
        <v>6039</v>
      </c>
      <c r="H119" s="2" t="s">
        <v>2140</v>
      </c>
      <c r="I119" s="2" t="s">
        <v>5920</v>
      </c>
      <c r="J119" s="2" t="s">
        <v>5933</v>
      </c>
      <c r="K119" s="3" t="b">
        <f>J119 = "blocking"</f>
        <v>1</v>
      </c>
      <c r="L119" s="2" t="s">
        <v>1428</v>
      </c>
      <c r="M119" s="2" t="s">
        <v>6040</v>
      </c>
      <c r="N119" s="4">
        <v>46223.1297337963</v>
      </c>
      <c r="O119" s="3" t="b">
        <f>L119 = "PASS"</f>
        <v>1</v>
      </c>
      <c r="P119" s="3" t="b">
        <f>L119 = "FAIL"</f>
        <v>0</v>
      </c>
      <c r="Q119" s="3" t="b">
        <f>AND(P119, K119)</f>
        <v>0</v>
      </c>
      <c r="R119" s="3" t="str">
        <f>IF(O119, I119, "")</f>
        <v>suite-substrate</v>
      </c>
      <c r="S119" s="3" t="str">
        <f>IF(Q119, I119, "")</f>
      </c>
      <c r="T119" s="2" t="s">
        <v>5935</v>
      </c>
    </row>
    <row r="120">
      <c r="A120" s="2" t="s">
        <v>6089</v>
      </c>
      <c r="B120" s="3" t="str">
        <f>C120 &amp; ": " &amp; D120</f>
        <v>formula-translates: RoleAssignments.OverriddenDecisionCount</v>
      </c>
      <c r="C120" s="2" t="s">
        <v>6038</v>
      </c>
      <c r="D120" s="2" t="s">
        <v>2555</v>
      </c>
      <c r="E120" s="2" t="s">
        <v>1801</v>
      </c>
      <c r="F120" s="2" t="s">
        <v>127</v>
      </c>
      <c r="G120" s="2" t="s">
        <v>6039</v>
      </c>
      <c r="H120" s="2" t="s">
        <v>2140</v>
      </c>
      <c r="I120" s="2" t="s">
        <v>5920</v>
      </c>
      <c r="J120" s="2" t="s">
        <v>5933</v>
      </c>
      <c r="K120" s="3" t="b">
        <f>J120 = "blocking"</f>
        <v>1</v>
      </c>
      <c r="L120" s="2" t="s">
        <v>1428</v>
      </c>
      <c r="M120" s="2" t="s">
        <v>6040</v>
      </c>
      <c r="N120" s="4">
        <v>46223.1297337963</v>
      </c>
      <c r="O120" s="3" t="b">
        <f>L120 = "PASS"</f>
        <v>1</v>
      </c>
      <c r="P120" s="3" t="b">
        <f>L120 = "FAIL"</f>
        <v>0</v>
      </c>
      <c r="Q120" s="3" t="b">
        <f>AND(P120, K120)</f>
        <v>0</v>
      </c>
      <c r="R120" s="3" t="str">
        <f>IF(O120, I120, "")</f>
        <v>suite-substrate</v>
      </c>
      <c r="S120" s="3" t="str">
        <f>IF(Q120, I120, "")</f>
      </c>
      <c r="T120" s="2" t="s">
        <v>5935</v>
      </c>
    </row>
    <row r="121">
      <c r="A121" s="2" t="s">
        <v>6090</v>
      </c>
      <c r="B121" s="3" t="str">
        <f>C121 &amp; ": " &amp; D121</f>
        <v>formula-translates: RoleAssignments.OverrideRatePercent</v>
      </c>
      <c r="C121" s="2" t="s">
        <v>6038</v>
      </c>
      <c r="D121" s="2" t="s">
        <v>2557</v>
      </c>
      <c r="E121" s="2" t="s">
        <v>1801</v>
      </c>
      <c r="F121" s="2" t="s">
        <v>128</v>
      </c>
      <c r="G121" s="2" t="s">
        <v>6039</v>
      </c>
      <c r="H121" s="2" t="s">
        <v>2140</v>
      </c>
      <c r="I121" s="2" t="s">
        <v>5920</v>
      </c>
      <c r="J121" s="2" t="s">
        <v>5933</v>
      </c>
      <c r="K121" s="3" t="b">
        <f>J121 = "blocking"</f>
        <v>1</v>
      </c>
      <c r="L121" s="2" t="s">
        <v>1428</v>
      </c>
      <c r="M121" s="2" t="s">
        <v>6040</v>
      </c>
      <c r="N121" s="4">
        <v>46223.1297337963</v>
      </c>
      <c r="O121" s="3" t="b">
        <f>L121 = "PASS"</f>
        <v>1</v>
      </c>
      <c r="P121" s="3" t="b">
        <f>L121 = "FAIL"</f>
        <v>0</v>
      </c>
      <c r="Q121" s="3" t="b">
        <f>AND(P121, K121)</f>
        <v>0</v>
      </c>
      <c r="R121" s="3" t="str">
        <f>IF(O121, I121, "")</f>
        <v>suite-substrate</v>
      </c>
      <c r="S121" s="3" t="str">
        <f>IF(Q121, I121, "")</f>
      </c>
      <c r="T121" s="2" t="s">
        <v>5935</v>
      </c>
    </row>
    <row r="122">
      <c r="A122" s="2" t="s">
        <v>6091</v>
      </c>
      <c r="B122" s="3" t="str">
        <f>C122 &amp; ": " &amp; D122</f>
        <v>formula-translates: RoleAssignments.PredecessorOverrideRatePercent</v>
      </c>
      <c r="C122" s="2" t="s">
        <v>6038</v>
      </c>
      <c r="D122" s="2" t="s">
        <v>2558</v>
      </c>
      <c r="E122" s="2" t="s">
        <v>1801</v>
      </c>
      <c r="F122" s="2" t="s">
        <v>273</v>
      </c>
      <c r="G122" s="2" t="s">
        <v>6039</v>
      </c>
      <c r="H122" s="2" t="s">
        <v>2140</v>
      </c>
      <c r="I122" s="2" t="s">
        <v>5920</v>
      </c>
      <c r="J122" s="2" t="s">
        <v>5933</v>
      </c>
      <c r="K122" s="3" t="b">
        <f>J122 = "blocking"</f>
        <v>1</v>
      </c>
      <c r="L122" s="2" t="s">
        <v>1428</v>
      </c>
      <c r="M122" s="2" t="s">
        <v>6040</v>
      </c>
      <c r="N122" s="4">
        <v>46223.1297337963</v>
      </c>
      <c r="O122" s="3" t="b">
        <f>L122 = "PASS"</f>
        <v>1</v>
      </c>
      <c r="P122" s="3" t="b">
        <f>L122 = "FAIL"</f>
        <v>0</v>
      </c>
      <c r="Q122" s="3" t="b">
        <f>AND(P122, K122)</f>
        <v>0</v>
      </c>
      <c r="R122" s="3" t="str">
        <f>IF(O122, I122, "")</f>
        <v>suite-substrate</v>
      </c>
      <c r="S122" s="3" t="str">
        <f>IF(Q122, I122, "")</f>
      </c>
      <c r="T122" s="2" t="s">
        <v>5935</v>
      </c>
    </row>
    <row r="123">
      <c r="A123" s="2" t="s">
        <v>6092</v>
      </c>
      <c r="B123" s="3" t="str">
        <f>C123 &amp; ": " &amp; D123</f>
        <v>formula-translates: RoleAssignments.QualityRegressedVsPredecessor</v>
      </c>
      <c r="C123" s="2" t="s">
        <v>6038</v>
      </c>
      <c r="D123" s="2" t="s">
        <v>2560</v>
      </c>
      <c r="E123" s="2" t="s">
        <v>1801</v>
      </c>
      <c r="F123" s="2" t="s">
        <v>274</v>
      </c>
      <c r="G123" s="2" t="s">
        <v>6039</v>
      </c>
      <c r="H123" s="2" t="s">
        <v>2140</v>
      </c>
      <c r="I123" s="2" t="s">
        <v>5920</v>
      </c>
      <c r="J123" s="2" t="s">
        <v>5933</v>
      </c>
      <c r="K123" s="3" t="b">
        <f>J123 = "blocking"</f>
        <v>1</v>
      </c>
      <c r="L123" s="2" t="s">
        <v>1428</v>
      </c>
      <c r="M123" s="2" t="s">
        <v>6040</v>
      </c>
      <c r="N123" s="4">
        <v>46223.1297337963</v>
      </c>
      <c r="O123" s="3" t="b">
        <f>L123 = "PASS"</f>
        <v>1</v>
      </c>
      <c r="P123" s="3" t="b">
        <f>L123 = "FAIL"</f>
        <v>0</v>
      </c>
      <c r="Q123" s="3" t="b">
        <f>AND(P123, K123)</f>
        <v>0</v>
      </c>
      <c r="R123" s="3" t="str">
        <f>IF(O123, I123, "")</f>
        <v>suite-substrate</v>
      </c>
      <c r="S123" s="3" t="str">
        <f>IF(Q123, I123, "")</f>
      </c>
      <c r="T123" s="2" t="s">
        <v>5935</v>
      </c>
    </row>
    <row r="124">
      <c r="A124" s="2" t="s">
        <v>6093</v>
      </c>
      <c r="B124" s="3" t="str">
        <f>C124 &amp; ": " &amp; D124</f>
        <v>formula-translates: RoleAssignments.DepartedRoleKey</v>
      </c>
      <c r="C124" s="2" t="s">
        <v>6038</v>
      </c>
      <c r="D124" s="2" t="s">
        <v>2562</v>
      </c>
      <c r="E124" s="2" t="s">
        <v>1801</v>
      </c>
      <c r="F124" s="2" t="s">
        <v>275</v>
      </c>
      <c r="G124" s="2" t="s">
        <v>6039</v>
      </c>
      <c r="H124" s="2" t="s">
        <v>2212</v>
      </c>
      <c r="I124" s="2" t="s">
        <v>5920</v>
      </c>
      <c r="J124" s="2" t="s">
        <v>5933</v>
      </c>
      <c r="K124" s="3" t="b">
        <f>J124 = "blocking"</f>
        <v>1</v>
      </c>
      <c r="L124" s="2" t="s">
        <v>1428</v>
      </c>
      <c r="M124" s="2" t="s">
        <v>6040</v>
      </c>
      <c r="N124" s="4">
        <v>46223.1297337963</v>
      </c>
      <c r="O124" s="3" t="b">
        <f>L124 = "PASS"</f>
        <v>1</v>
      </c>
      <c r="P124" s="3" t="b">
        <f>L124 = "FAIL"</f>
        <v>0</v>
      </c>
      <c r="Q124" s="3" t="b">
        <f>AND(P124, K124)</f>
        <v>0</v>
      </c>
      <c r="R124" s="3" t="str">
        <f>IF(O124, I124, "")</f>
        <v>suite-substrate</v>
      </c>
      <c r="S124" s="3" t="str">
        <f>IF(Q124, I124, "")</f>
      </c>
      <c r="T124" s="2" t="s">
        <v>5935</v>
      </c>
    </row>
    <row r="125">
      <c r="A125" s="2" t="s">
        <v>6094</v>
      </c>
      <c r="B125" s="3" t="str">
        <f>C125 &amp; ": " &amp; D125</f>
        <v>formula-translates: RoleAssignments.PredecessorDecisionCount</v>
      </c>
      <c r="C125" s="2" t="s">
        <v>6038</v>
      </c>
      <c r="D125" s="2" t="s">
        <v>2565</v>
      </c>
      <c r="E125" s="2" t="s">
        <v>1801</v>
      </c>
      <c r="F125" s="2" t="s">
        <v>277</v>
      </c>
      <c r="G125" s="2" t="s">
        <v>6039</v>
      </c>
      <c r="H125" s="2" t="s">
        <v>2316</v>
      </c>
      <c r="I125" s="2" t="s">
        <v>5920</v>
      </c>
      <c r="J125" s="2" t="s">
        <v>5933</v>
      </c>
      <c r="K125" s="3" t="b">
        <f>J125 = "blocking"</f>
        <v>1</v>
      </c>
      <c r="L125" s="2" t="s">
        <v>1428</v>
      </c>
      <c r="M125" s="2" t="s">
        <v>6040</v>
      </c>
      <c r="N125" s="4">
        <v>46223.1297337963</v>
      </c>
      <c r="O125" s="3" t="b">
        <f>L125 = "PASS"</f>
        <v>1</v>
      </c>
      <c r="P125" s="3" t="b">
        <f>L125 = "FAIL"</f>
        <v>0</v>
      </c>
      <c r="Q125" s="3" t="b">
        <f>AND(P125, K125)</f>
        <v>0</v>
      </c>
      <c r="R125" s="3" t="str">
        <f>IF(O125, I125, "")</f>
        <v>suite-substrate</v>
      </c>
      <c r="S125" s="3" t="str">
        <f>IF(Q125, I125, "")</f>
      </c>
      <c r="T125" s="2" t="s">
        <v>5935</v>
      </c>
    </row>
    <row r="126">
      <c r="A126" s="2" t="s">
        <v>6095</v>
      </c>
      <c r="B126" s="3" t="str">
        <f>C126 &amp; ": " &amp; D126</f>
        <v>formula-translates: RoleAssignments.HasSufficientSample</v>
      </c>
      <c r="C126" s="2" t="s">
        <v>6038</v>
      </c>
      <c r="D126" s="2" t="s">
        <v>2567</v>
      </c>
      <c r="E126" s="2" t="s">
        <v>1801</v>
      </c>
      <c r="F126" s="2" t="s">
        <v>278</v>
      </c>
      <c r="G126" s="2" t="s">
        <v>6039</v>
      </c>
      <c r="H126" s="2" t="s">
        <v>2316</v>
      </c>
      <c r="I126" s="2" t="s">
        <v>5920</v>
      </c>
      <c r="J126" s="2" t="s">
        <v>5933</v>
      </c>
      <c r="K126" s="3" t="b">
        <f>J126 = "blocking"</f>
        <v>1</v>
      </c>
      <c r="L126" s="2" t="s">
        <v>1428</v>
      </c>
      <c r="M126" s="2" t="s">
        <v>6040</v>
      </c>
      <c r="N126" s="4">
        <v>46223.1297337963</v>
      </c>
      <c r="O126" s="3" t="b">
        <f>L126 = "PASS"</f>
        <v>1</v>
      </c>
      <c r="P126" s="3" t="b">
        <f>L126 = "FAIL"</f>
        <v>0</v>
      </c>
      <c r="Q126" s="3" t="b">
        <f>AND(P126, K126)</f>
        <v>0</v>
      </c>
      <c r="R126" s="3" t="str">
        <f>IF(O126, I126, "")</f>
        <v>suite-substrate</v>
      </c>
      <c r="S126" s="3" t="str">
        <f>IF(Q126, I126, "")</f>
      </c>
      <c r="T126" s="2" t="s">
        <v>5935</v>
      </c>
    </row>
    <row r="127">
      <c r="A127" s="2" t="s">
        <v>6096</v>
      </c>
      <c r="B127" s="3" t="str">
        <f>C127 &amp; ": " &amp; D127</f>
        <v>formula-translates: RoleAssignments.PredecessorHasSufficientSample</v>
      </c>
      <c r="C127" s="2" t="s">
        <v>6038</v>
      </c>
      <c r="D127" s="2" t="s">
        <v>2569</v>
      </c>
      <c r="E127" s="2" t="s">
        <v>1801</v>
      </c>
      <c r="F127" s="2" t="s">
        <v>279</v>
      </c>
      <c r="G127" s="2" t="s">
        <v>6039</v>
      </c>
      <c r="H127" s="2" t="s">
        <v>2316</v>
      </c>
      <c r="I127" s="2" t="s">
        <v>5920</v>
      </c>
      <c r="J127" s="2" t="s">
        <v>5933</v>
      </c>
      <c r="K127" s="3" t="b">
        <f>J127 = "blocking"</f>
        <v>1</v>
      </c>
      <c r="L127" s="2" t="s">
        <v>1428</v>
      </c>
      <c r="M127" s="2" t="s">
        <v>6040</v>
      </c>
      <c r="N127" s="4">
        <v>46223.1297337963</v>
      </c>
      <c r="O127" s="3" t="b">
        <f>L127 = "PASS"</f>
        <v>1</v>
      </c>
      <c r="P127" s="3" t="b">
        <f>L127 = "FAIL"</f>
        <v>0</v>
      </c>
      <c r="Q127" s="3" t="b">
        <f>AND(P127, K127)</f>
        <v>0</v>
      </c>
      <c r="R127" s="3" t="str">
        <f>IF(O127, I127, "")</f>
        <v>suite-substrate</v>
      </c>
      <c r="S127" s="3" t="str">
        <f>IF(Q127, I127, "")</f>
      </c>
      <c r="T127" s="2" t="s">
        <v>5935</v>
      </c>
    </row>
    <row r="128">
      <c r="A128" s="2" t="s">
        <v>6097</v>
      </c>
      <c r="B128" s="3" t="str">
        <f>C128 &amp; ": " &amp; D128</f>
        <v>formula-translates: RoleAssignments.ComparisonIsEvidentiallySound</v>
      </c>
      <c r="C128" s="2" t="s">
        <v>6038</v>
      </c>
      <c r="D128" s="2" t="s">
        <v>2571</v>
      </c>
      <c r="E128" s="2" t="s">
        <v>1801</v>
      </c>
      <c r="F128" s="2" t="s">
        <v>280</v>
      </c>
      <c r="G128" s="2" t="s">
        <v>6039</v>
      </c>
      <c r="H128" s="2" t="s">
        <v>2316</v>
      </c>
      <c r="I128" s="2" t="s">
        <v>5920</v>
      </c>
      <c r="J128" s="2" t="s">
        <v>5933</v>
      </c>
      <c r="K128" s="3" t="b">
        <f>J128 = "blocking"</f>
        <v>1</v>
      </c>
      <c r="L128" s="2" t="s">
        <v>1428</v>
      </c>
      <c r="M128" s="2" t="s">
        <v>6040</v>
      </c>
      <c r="N128" s="4">
        <v>46223.1297337963</v>
      </c>
      <c r="O128" s="3" t="b">
        <f>L128 = "PASS"</f>
        <v>1</v>
      </c>
      <c r="P128" s="3" t="b">
        <f>L128 = "FAIL"</f>
        <v>0</v>
      </c>
      <c r="Q128" s="3" t="b">
        <f>AND(P128, K128)</f>
        <v>0</v>
      </c>
      <c r="R128" s="3" t="str">
        <f>IF(O128, I128, "")</f>
        <v>suite-substrate</v>
      </c>
      <c r="S128" s="3" t="str">
        <f>IF(Q128, I128, "")</f>
      </c>
      <c r="T128" s="2" t="s">
        <v>5935</v>
      </c>
    </row>
    <row r="129">
      <c r="A129" s="2" t="s">
        <v>6098</v>
      </c>
      <c r="B129" s="3" t="str">
        <f>C129 &amp; ": " &amp; D129</f>
        <v>formula-translates: RoleAssignments.SingleOverrideSwingPercent</v>
      </c>
      <c r="C129" s="2" t="s">
        <v>6038</v>
      </c>
      <c r="D129" s="2" t="s">
        <v>2573</v>
      </c>
      <c r="E129" s="2" t="s">
        <v>1801</v>
      </c>
      <c r="F129" s="2" t="s">
        <v>281</v>
      </c>
      <c r="G129" s="2" t="s">
        <v>6039</v>
      </c>
      <c r="H129" s="2" t="s">
        <v>2316</v>
      </c>
      <c r="I129" s="2" t="s">
        <v>5920</v>
      </c>
      <c r="J129" s="2" t="s">
        <v>5933</v>
      </c>
      <c r="K129" s="3" t="b">
        <f>J129 = "blocking"</f>
        <v>1</v>
      </c>
      <c r="L129" s="2" t="s">
        <v>1428</v>
      </c>
      <c r="M129" s="2" t="s">
        <v>6040</v>
      </c>
      <c r="N129" s="4">
        <v>46223.1297337963</v>
      </c>
      <c r="O129" s="3" t="b">
        <f>L129 = "PASS"</f>
        <v>1</v>
      </c>
      <c r="P129" s="3" t="b">
        <f>L129 = "FAIL"</f>
        <v>0</v>
      </c>
      <c r="Q129" s="3" t="b">
        <f>AND(P129, K129)</f>
        <v>0</v>
      </c>
      <c r="R129" s="3" t="str">
        <f>IF(O129, I129, "")</f>
        <v>suite-substrate</v>
      </c>
      <c r="S129" s="3" t="str">
        <f>IF(Q129, I129, "")</f>
      </c>
      <c r="T129" s="2" t="s">
        <v>5935</v>
      </c>
    </row>
    <row r="130">
      <c r="A130" s="2" t="s">
        <v>6099</v>
      </c>
      <c r="B130" s="3" t="str">
        <f>C130 &amp; ": " &amp; D130</f>
        <v>formula-translates: RoleAssignments.QualityVerdictIsUnsupported</v>
      </c>
      <c r="C130" s="2" t="s">
        <v>6038</v>
      </c>
      <c r="D130" s="2" t="s">
        <v>2575</v>
      </c>
      <c r="E130" s="2" t="s">
        <v>1801</v>
      </c>
      <c r="F130" s="2" t="s">
        <v>282</v>
      </c>
      <c r="G130" s="2" t="s">
        <v>6039</v>
      </c>
      <c r="H130" s="2" t="s">
        <v>2316</v>
      </c>
      <c r="I130" s="2" t="s">
        <v>5920</v>
      </c>
      <c r="J130" s="2" t="s">
        <v>5933</v>
      </c>
      <c r="K130" s="3" t="b">
        <f>J130 = "blocking"</f>
        <v>1</v>
      </c>
      <c r="L130" s="2" t="s">
        <v>1428</v>
      </c>
      <c r="M130" s="2" t="s">
        <v>6040</v>
      </c>
      <c r="N130" s="4">
        <v>46223.1297337963</v>
      </c>
      <c r="O130" s="3" t="b">
        <f>L130 = "PASS"</f>
        <v>1</v>
      </c>
      <c r="P130" s="3" t="b">
        <f>L130 = "FAIL"</f>
        <v>0</v>
      </c>
      <c r="Q130" s="3" t="b">
        <f>AND(P130, K130)</f>
        <v>0</v>
      </c>
      <c r="R130" s="3" t="str">
        <f>IF(O130, I130, "")</f>
        <v>suite-substrate</v>
      </c>
      <c r="S130" s="3" t="str">
        <f>IF(Q130, I130, "")</f>
      </c>
      <c r="T130" s="2" t="s">
        <v>5935</v>
      </c>
    </row>
    <row r="131">
      <c r="A131" s="2" t="s">
        <v>6100</v>
      </c>
      <c r="B131" s="3" t="str">
        <f>C131 &amp; ": " &amp; D131</f>
        <v>formula-translates: RoleAssignments.IsUnmeasuredAutomationHandover</v>
      </c>
      <c r="C131" s="2" t="s">
        <v>6038</v>
      </c>
      <c r="D131" s="2" t="s">
        <v>2577</v>
      </c>
      <c r="E131" s="2" t="s">
        <v>1801</v>
      </c>
      <c r="F131" s="2" t="s">
        <v>283</v>
      </c>
      <c r="G131" s="2" t="s">
        <v>6039</v>
      </c>
      <c r="H131" s="2" t="s">
        <v>2316</v>
      </c>
      <c r="I131" s="2" t="s">
        <v>5920</v>
      </c>
      <c r="J131" s="2" t="s">
        <v>5933</v>
      </c>
      <c r="K131" s="3" t="b">
        <f>J131 = "blocking"</f>
        <v>1</v>
      </c>
      <c r="L131" s="2" t="s">
        <v>1428</v>
      </c>
      <c r="M131" s="2" t="s">
        <v>6040</v>
      </c>
      <c r="N131" s="4">
        <v>46223.1297337963</v>
      </c>
      <c r="O131" s="3" t="b">
        <f>L131 = "PASS"</f>
        <v>1</v>
      </c>
      <c r="P131" s="3" t="b">
        <f>L131 = "FAIL"</f>
        <v>0</v>
      </c>
      <c r="Q131" s="3" t="b">
        <f>AND(P131, K131)</f>
        <v>0</v>
      </c>
      <c r="R131" s="3" t="str">
        <f>IF(O131, I131, "")</f>
        <v>suite-substrate</v>
      </c>
      <c r="S131" s="3" t="str">
        <f>IF(Q131, I131, "")</f>
      </c>
      <c r="T131" s="2" t="s">
        <v>5935</v>
      </c>
    </row>
    <row r="132">
      <c r="A132" s="2" t="s">
        <v>6101</v>
      </c>
      <c r="B132" s="3" t="str">
        <f>C132 &amp; ": " &amp; D132</f>
        <v>formula-translates: RoleAssignments.ErrorCorrectionCount</v>
      </c>
      <c r="C132" s="2" t="s">
        <v>6038</v>
      </c>
      <c r="D132" s="2" t="s">
        <v>2579</v>
      </c>
      <c r="E132" s="2" t="s">
        <v>1801</v>
      </c>
      <c r="F132" s="2" t="s">
        <v>284</v>
      </c>
      <c r="G132" s="2" t="s">
        <v>6039</v>
      </c>
      <c r="H132" s="2" t="s">
        <v>2324</v>
      </c>
      <c r="I132" s="2" t="s">
        <v>5920</v>
      </c>
      <c r="J132" s="2" t="s">
        <v>5933</v>
      </c>
      <c r="K132" s="3" t="b">
        <f>J132 = "blocking"</f>
        <v>1</v>
      </c>
      <c r="L132" s="2" t="s">
        <v>1428</v>
      </c>
      <c r="M132" s="2" t="s">
        <v>6040</v>
      </c>
      <c r="N132" s="4">
        <v>46223.1297337963</v>
      </c>
      <c r="O132" s="3" t="b">
        <f>L132 = "PASS"</f>
        <v>1</v>
      </c>
      <c r="P132" s="3" t="b">
        <f>L132 = "FAIL"</f>
        <v>0</v>
      </c>
      <c r="Q132" s="3" t="b">
        <f>AND(P132, K132)</f>
        <v>0</v>
      </c>
      <c r="R132" s="3" t="str">
        <f>IF(O132, I132, "")</f>
        <v>suite-substrate</v>
      </c>
      <c r="S132" s="3" t="str">
        <f>IF(Q132, I132, "")</f>
      </c>
      <c r="T132" s="2" t="s">
        <v>5935</v>
      </c>
    </row>
    <row r="133">
      <c r="A133" s="2" t="s">
        <v>6102</v>
      </c>
      <c r="B133" s="3" t="str">
        <f>C133 &amp; ": " &amp; D133</f>
        <v>formula-translates: RoleAssignments.ErrorRatePercent</v>
      </c>
      <c r="C133" s="2" t="s">
        <v>6038</v>
      </c>
      <c r="D133" s="2" t="s">
        <v>2581</v>
      </c>
      <c r="E133" s="2" t="s">
        <v>1801</v>
      </c>
      <c r="F133" s="2" t="s">
        <v>285</v>
      </c>
      <c r="G133" s="2" t="s">
        <v>6039</v>
      </c>
      <c r="H133" s="2" t="s">
        <v>2324</v>
      </c>
      <c r="I133" s="2" t="s">
        <v>5920</v>
      </c>
      <c r="J133" s="2" t="s">
        <v>5933</v>
      </c>
      <c r="K133" s="3" t="b">
        <f>J133 = "blocking"</f>
        <v>1</v>
      </c>
      <c r="L133" s="2" t="s">
        <v>1428</v>
      </c>
      <c r="M133" s="2" t="s">
        <v>6040</v>
      </c>
      <c r="N133" s="4">
        <v>46223.1297337963</v>
      </c>
      <c r="O133" s="3" t="b">
        <f>L133 = "PASS"</f>
        <v>1</v>
      </c>
      <c r="P133" s="3" t="b">
        <f>L133 = "FAIL"</f>
        <v>0</v>
      </c>
      <c r="Q133" s="3" t="b">
        <f>AND(P133, K133)</f>
        <v>0</v>
      </c>
      <c r="R133" s="3" t="str">
        <f>IF(O133, I133, "")</f>
        <v>suite-substrate</v>
      </c>
      <c r="S133" s="3" t="str">
        <f>IF(Q133, I133, "")</f>
      </c>
      <c r="T133" s="2" t="s">
        <v>5935</v>
      </c>
    </row>
    <row r="134">
      <c r="A134" s="2" t="s">
        <v>6103</v>
      </c>
      <c r="B134" s="3" t="str">
        <f>C134 &amp; ": " &amp; D134</f>
        <v>formula-translates: RoleAssignments.HasDatedAuthorization</v>
      </c>
      <c r="C134" s="2" t="s">
        <v>6038</v>
      </c>
      <c r="D134" s="2" t="s">
        <v>2586</v>
      </c>
      <c r="E134" s="2" t="s">
        <v>1801</v>
      </c>
      <c r="F134" s="2" t="s">
        <v>289</v>
      </c>
      <c r="G134" s="2" t="s">
        <v>6039</v>
      </c>
      <c r="H134" s="2" t="s">
        <v>2328</v>
      </c>
      <c r="I134" s="2" t="s">
        <v>5920</v>
      </c>
      <c r="J134" s="2" t="s">
        <v>5933</v>
      </c>
      <c r="K134" s="3" t="b">
        <f>J134 = "blocking"</f>
        <v>1</v>
      </c>
      <c r="L134" s="2" t="s">
        <v>1428</v>
      </c>
      <c r="M134" s="2" t="s">
        <v>6040</v>
      </c>
      <c r="N134" s="4">
        <v>46223.1297337963</v>
      </c>
      <c r="O134" s="3" t="b">
        <f>L134 = "PASS"</f>
        <v>1</v>
      </c>
      <c r="P134" s="3" t="b">
        <f>L134 = "FAIL"</f>
        <v>0</v>
      </c>
      <c r="Q134" s="3" t="b">
        <f>AND(P134, K134)</f>
        <v>0</v>
      </c>
      <c r="R134" s="3" t="str">
        <f>IF(O134, I134, "")</f>
        <v>suite-substrate</v>
      </c>
      <c r="S134" s="3" t="str">
        <f>IF(Q134, I134, "")</f>
      </c>
      <c r="T134" s="2" t="s">
        <v>5935</v>
      </c>
    </row>
    <row r="135">
      <c r="A135" s="2" t="s">
        <v>6104</v>
      </c>
      <c r="B135" s="3" t="str">
        <f>C135 &amp; ": " &amp; D135</f>
        <v>formula-translates: RoleAssignments.DaysSinceAuthorizationReview</v>
      </c>
      <c r="C135" s="2" t="s">
        <v>6038</v>
      </c>
      <c r="D135" s="2" t="s">
        <v>2588</v>
      </c>
      <c r="E135" s="2" t="s">
        <v>1801</v>
      </c>
      <c r="F135" s="2" t="s">
        <v>290</v>
      </c>
      <c r="G135" s="2" t="s">
        <v>6039</v>
      </c>
      <c r="H135" s="2" t="s">
        <v>2328</v>
      </c>
      <c r="I135" s="2" t="s">
        <v>5920</v>
      </c>
      <c r="J135" s="2" t="s">
        <v>5933</v>
      </c>
      <c r="K135" s="3" t="b">
        <f>J135 = "blocking"</f>
        <v>1</v>
      </c>
      <c r="L135" s="2" t="s">
        <v>1428</v>
      </c>
      <c r="M135" s="2" t="s">
        <v>6040</v>
      </c>
      <c r="N135" s="4">
        <v>46223.1297337963</v>
      </c>
      <c r="O135" s="3" t="b">
        <f>L135 = "PASS"</f>
        <v>1</v>
      </c>
      <c r="P135" s="3" t="b">
        <f>L135 = "FAIL"</f>
        <v>0</v>
      </c>
      <c r="Q135" s="3" t="b">
        <f>AND(P135, K135)</f>
        <v>0</v>
      </c>
      <c r="R135" s="3" t="str">
        <f>IF(O135, I135, "")</f>
        <v>suite-substrate</v>
      </c>
      <c r="S135" s="3" t="str">
        <f>IF(Q135, I135, "")</f>
      </c>
      <c r="T135" s="2" t="s">
        <v>5935</v>
      </c>
    </row>
    <row r="136">
      <c r="A136" s="2" t="s">
        <v>6105</v>
      </c>
      <c r="B136" s="3" t="str">
        <f>C136 &amp; ": " &amp; D136</f>
        <v>formula-translates: RoleAssignments.AuthorizationIsOverdueForReview</v>
      </c>
      <c r="C136" s="2" t="s">
        <v>6038</v>
      </c>
      <c r="D136" s="2" t="s">
        <v>2590</v>
      </c>
      <c r="E136" s="2" t="s">
        <v>1801</v>
      </c>
      <c r="F136" s="2" t="s">
        <v>291</v>
      </c>
      <c r="G136" s="2" t="s">
        <v>6039</v>
      </c>
      <c r="H136" s="2" t="s">
        <v>2328</v>
      </c>
      <c r="I136" s="2" t="s">
        <v>5920</v>
      </c>
      <c r="J136" s="2" t="s">
        <v>5933</v>
      </c>
      <c r="K136" s="3" t="b">
        <f>J136 = "blocking"</f>
        <v>1</v>
      </c>
      <c r="L136" s="2" t="s">
        <v>1428</v>
      </c>
      <c r="M136" s="2" t="s">
        <v>6040</v>
      </c>
      <c r="N136" s="4">
        <v>46223.1297337963</v>
      </c>
      <c r="O136" s="3" t="b">
        <f>L136 = "PASS"</f>
        <v>1</v>
      </c>
      <c r="P136" s="3" t="b">
        <f>L136 = "FAIL"</f>
        <v>0</v>
      </c>
      <c r="Q136" s="3" t="b">
        <f>AND(P136, K136)</f>
        <v>0</v>
      </c>
      <c r="R136" s="3" t="str">
        <f>IF(O136, I136, "")</f>
        <v>suite-substrate</v>
      </c>
      <c r="S136" s="3" t="str">
        <f>IF(Q136, I136, "")</f>
      </c>
      <c r="T136" s="2" t="s">
        <v>5935</v>
      </c>
    </row>
    <row r="137">
      <c r="A137" s="2" t="s">
        <v>6106</v>
      </c>
      <c r="B137" s="3" t="str">
        <f>C137 &amp; ": " &amp; D137</f>
        <v>formula-translates: RoleAssignments.IsStandingUnreviewedAutomation</v>
      </c>
      <c r="C137" s="2" t="s">
        <v>6038</v>
      </c>
      <c r="D137" s="2" t="s">
        <v>2592</v>
      </c>
      <c r="E137" s="2" t="s">
        <v>1801</v>
      </c>
      <c r="F137" s="2" t="s">
        <v>292</v>
      </c>
      <c r="G137" s="2" t="s">
        <v>6039</v>
      </c>
      <c r="H137" s="2" t="s">
        <v>2328</v>
      </c>
      <c r="I137" s="2" t="s">
        <v>5920</v>
      </c>
      <c r="J137" s="2" t="s">
        <v>5933</v>
      </c>
      <c r="K137" s="3" t="b">
        <f>J137 = "blocking"</f>
        <v>1</v>
      </c>
      <c r="L137" s="2" t="s">
        <v>1428</v>
      </c>
      <c r="M137" s="2" t="s">
        <v>6040</v>
      </c>
      <c r="N137" s="4">
        <v>46223.1297337963</v>
      </c>
      <c r="O137" s="3" t="b">
        <f>L137 = "PASS"</f>
        <v>1</v>
      </c>
      <c r="P137" s="3" t="b">
        <f>L137 = "FAIL"</f>
        <v>0</v>
      </c>
      <c r="Q137" s="3" t="b">
        <f>AND(P137, K137)</f>
        <v>0</v>
      </c>
      <c r="R137" s="3" t="str">
        <f>IF(O137, I137, "")</f>
        <v>suite-substrate</v>
      </c>
      <c r="S137" s="3" t="str">
        <f>IF(Q137, I137, "")</f>
      </c>
      <c r="T137" s="2" t="s">
        <v>5935</v>
      </c>
    </row>
    <row r="138">
      <c r="A138" s="2" t="s">
        <v>6107</v>
      </c>
      <c r="B138" s="3" t="str">
        <f>C138 &amp; ": " &amp; D138</f>
        <v>formula-translates: RoleAssignments.IsUnconditionedAutomationHandover</v>
      </c>
      <c r="C138" s="2" t="s">
        <v>6038</v>
      </c>
      <c r="D138" s="2" t="s">
        <v>2594</v>
      </c>
      <c r="E138" s="2" t="s">
        <v>1801</v>
      </c>
      <c r="F138" s="2" t="s">
        <v>293</v>
      </c>
      <c r="G138" s="2" t="s">
        <v>6039</v>
      </c>
      <c r="H138" s="2" t="s">
        <v>2328</v>
      </c>
      <c r="I138" s="2" t="s">
        <v>5920</v>
      </c>
      <c r="J138" s="2" t="s">
        <v>5933</v>
      </c>
      <c r="K138" s="3" t="b">
        <f>J138 = "blocking"</f>
        <v>1</v>
      </c>
      <c r="L138" s="2" t="s">
        <v>1428</v>
      </c>
      <c r="M138" s="2" t="s">
        <v>6040</v>
      </c>
      <c r="N138" s="4">
        <v>46223.1297337963</v>
      </c>
      <c r="O138" s="3" t="b">
        <f>L138 = "PASS"</f>
        <v>1</v>
      </c>
      <c r="P138" s="3" t="b">
        <f>L138 = "FAIL"</f>
        <v>0</v>
      </c>
      <c r="Q138" s="3" t="b">
        <f>AND(P138, K138)</f>
        <v>0</v>
      </c>
      <c r="R138" s="3" t="str">
        <f>IF(O138, I138, "")</f>
        <v>suite-substrate</v>
      </c>
      <c r="S138" s="3" t="str">
        <f>IF(Q138, I138, "")</f>
      </c>
      <c r="T138" s="2" t="s">
        <v>5935</v>
      </c>
    </row>
    <row r="139">
      <c r="A139" s="2" t="s">
        <v>6108</v>
      </c>
      <c r="B139" s="3" t="str">
        <f>C139 &amp; ": " &amp; D139</f>
        <v>formula-translates: RoleAssignments.ExceedsTolerableErrorRate</v>
      </c>
      <c r="C139" s="2" t="s">
        <v>6038</v>
      </c>
      <c r="D139" s="2" t="s">
        <v>2597</v>
      </c>
      <c r="E139" s="2" t="s">
        <v>1801</v>
      </c>
      <c r="F139" s="2" t="s">
        <v>295</v>
      </c>
      <c r="G139" s="2" t="s">
        <v>6039</v>
      </c>
      <c r="H139" s="2" t="s">
        <v>2332</v>
      </c>
      <c r="I139" s="2" t="s">
        <v>5920</v>
      </c>
      <c r="J139" s="2" t="s">
        <v>5933</v>
      </c>
      <c r="K139" s="3" t="b">
        <f>J139 = "blocking"</f>
        <v>1</v>
      </c>
      <c r="L139" s="2" t="s">
        <v>1428</v>
      </c>
      <c r="M139" s="2" t="s">
        <v>6040</v>
      </c>
      <c r="N139" s="4">
        <v>46223.1297337963</v>
      </c>
      <c r="O139" s="3" t="b">
        <f>L139 = "PASS"</f>
        <v>1</v>
      </c>
      <c r="P139" s="3" t="b">
        <f>L139 = "FAIL"</f>
        <v>0</v>
      </c>
      <c r="Q139" s="3" t="b">
        <f>AND(P139, K139)</f>
        <v>0</v>
      </c>
      <c r="R139" s="3" t="str">
        <f>IF(O139, I139, "")</f>
        <v>suite-substrate</v>
      </c>
      <c r="S139" s="3" t="str">
        <f>IF(Q139, I139, "")</f>
      </c>
      <c r="T139" s="2" t="s">
        <v>5935</v>
      </c>
    </row>
    <row r="140">
      <c r="A140" s="2" t="s">
        <v>6109</v>
      </c>
      <c r="B140" s="3" t="str">
        <f>C140 &amp; ": " &amp; D140</f>
        <v>formula-translates: RoleAssignments.BoundaryViolationCountForAssignment</v>
      </c>
      <c r="C140" s="2" t="s">
        <v>6038</v>
      </c>
      <c r="D140" s="2" t="s">
        <v>2599</v>
      </c>
      <c r="E140" s="2" t="s">
        <v>1801</v>
      </c>
      <c r="F140" s="2" t="s">
        <v>296</v>
      </c>
      <c r="G140" s="2" t="s">
        <v>6039</v>
      </c>
      <c r="H140" s="2" t="s">
        <v>2332</v>
      </c>
      <c r="I140" s="2" t="s">
        <v>5920</v>
      </c>
      <c r="J140" s="2" t="s">
        <v>5933</v>
      </c>
      <c r="K140" s="3" t="b">
        <f>J140 = "blocking"</f>
        <v>1</v>
      </c>
      <c r="L140" s="2" t="s">
        <v>1428</v>
      </c>
      <c r="M140" s="2" t="s">
        <v>6040</v>
      </c>
      <c r="N140" s="4">
        <v>46223.1297337963</v>
      </c>
      <c r="O140" s="3" t="b">
        <f>L140 = "PASS"</f>
        <v>1</v>
      </c>
      <c r="P140" s="3" t="b">
        <f>L140 = "FAIL"</f>
        <v>0</v>
      </c>
      <c r="Q140" s="3" t="b">
        <f>AND(P140, K140)</f>
        <v>0</v>
      </c>
      <c r="R140" s="3" t="str">
        <f>IF(O140, I140, "")</f>
        <v>suite-substrate</v>
      </c>
      <c r="S140" s="3" t="str">
        <f>IF(Q140, I140, "")</f>
      </c>
      <c r="T140" s="2" t="s">
        <v>5935</v>
      </c>
    </row>
    <row r="141">
      <c r="A141" s="2" t="s">
        <v>6110</v>
      </c>
      <c r="B141" s="3" t="str">
        <f>C141 &amp; ": " &amp; D141</f>
        <v>formula-translates: RoleAssignments.HasAnyBoundaryViolation</v>
      </c>
      <c r="C141" s="2" t="s">
        <v>6038</v>
      </c>
      <c r="D141" s="2" t="s">
        <v>2601</v>
      </c>
      <c r="E141" s="2" t="s">
        <v>1801</v>
      </c>
      <c r="F141" s="2" t="s">
        <v>297</v>
      </c>
      <c r="G141" s="2" t="s">
        <v>6039</v>
      </c>
      <c r="H141" s="2" t="s">
        <v>2332</v>
      </c>
      <c r="I141" s="2" t="s">
        <v>5920</v>
      </c>
      <c r="J141" s="2" t="s">
        <v>5933</v>
      </c>
      <c r="K141" s="3" t="b">
        <f>J141 = "blocking"</f>
        <v>1</v>
      </c>
      <c r="L141" s="2" t="s">
        <v>1428</v>
      </c>
      <c r="M141" s="2" t="s">
        <v>6040</v>
      </c>
      <c r="N141" s="4">
        <v>46223.1297337963</v>
      </c>
      <c r="O141" s="3" t="b">
        <f>L141 = "PASS"</f>
        <v>1</v>
      </c>
      <c r="P141" s="3" t="b">
        <f>L141 = "FAIL"</f>
        <v>0</v>
      </c>
      <c r="Q141" s="3" t="b">
        <f>AND(P141, K141)</f>
        <v>0</v>
      </c>
      <c r="R141" s="3" t="str">
        <f>IF(O141, I141, "")</f>
        <v>suite-substrate</v>
      </c>
      <c r="S141" s="3" t="str">
        <f>IF(Q141, I141, "")</f>
      </c>
      <c r="T141" s="2" t="s">
        <v>5935</v>
      </c>
    </row>
    <row r="142">
      <c r="A142" s="2" t="s">
        <v>6111</v>
      </c>
      <c r="B142" s="3" t="str">
        <f>C142 &amp; ": " &amp; D142</f>
        <v>formula-translates: RoleAssignments.HasUngroundedGoverningBoundary</v>
      </c>
      <c r="C142" s="2" t="s">
        <v>6038</v>
      </c>
      <c r="D142" s="2" t="s">
        <v>2603</v>
      </c>
      <c r="E142" s="2" t="s">
        <v>1801</v>
      </c>
      <c r="F142" s="2" t="s">
        <v>298</v>
      </c>
      <c r="G142" s="2" t="s">
        <v>6039</v>
      </c>
      <c r="H142" s="2" t="s">
        <v>2332</v>
      </c>
      <c r="I142" s="2" t="s">
        <v>5920</v>
      </c>
      <c r="J142" s="2" t="s">
        <v>5933</v>
      </c>
      <c r="K142" s="3" t="b">
        <f>J142 = "blocking"</f>
        <v>1</v>
      </c>
      <c r="L142" s="2" t="s">
        <v>1428</v>
      </c>
      <c r="M142" s="2" t="s">
        <v>6040</v>
      </c>
      <c r="N142" s="4">
        <v>46223.1297337963</v>
      </c>
      <c r="O142" s="3" t="b">
        <f>L142 = "PASS"</f>
        <v>1</v>
      </c>
      <c r="P142" s="3" t="b">
        <f>L142 = "FAIL"</f>
        <v>0</v>
      </c>
      <c r="Q142" s="3" t="b">
        <f>AND(P142, K142)</f>
        <v>0</v>
      </c>
      <c r="R142" s="3" t="str">
        <f>IF(O142, I142, "")</f>
        <v>suite-substrate</v>
      </c>
      <c r="S142" s="3" t="str">
        <f>IF(Q142, I142, "")</f>
      </c>
      <c r="T142" s="2" t="s">
        <v>5935</v>
      </c>
    </row>
    <row r="143">
      <c r="A143" s="2" t="s">
        <v>6112</v>
      </c>
      <c r="B143" s="3" t="str">
        <f>C143 &amp; ": " &amp; D143</f>
        <v>formula-translates: RoleAssignments.SuspensionConditionMet</v>
      </c>
      <c r="C143" s="2" t="s">
        <v>6038</v>
      </c>
      <c r="D143" s="2" t="s">
        <v>2605</v>
      </c>
      <c r="E143" s="2" t="s">
        <v>1801</v>
      </c>
      <c r="F143" s="2" t="s">
        <v>299</v>
      </c>
      <c r="G143" s="2" t="s">
        <v>6039</v>
      </c>
      <c r="H143" s="2" t="s">
        <v>2332</v>
      </c>
      <c r="I143" s="2" t="s">
        <v>5920</v>
      </c>
      <c r="J143" s="2" t="s">
        <v>5933</v>
      </c>
      <c r="K143" s="3" t="b">
        <f>J143 = "blocking"</f>
        <v>1</v>
      </c>
      <c r="L143" s="2" t="s">
        <v>1428</v>
      </c>
      <c r="M143" s="2" t="s">
        <v>6040</v>
      </c>
      <c r="N143" s="4">
        <v>46223.1297337963</v>
      </c>
      <c r="O143" s="3" t="b">
        <f>L143 = "PASS"</f>
        <v>1</v>
      </c>
      <c r="P143" s="3" t="b">
        <f>L143 = "FAIL"</f>
        <v>0</v>
      </c>
      <c r="Q143" s="3" t="b">
        <f>AND(P143, K143)</f>
        <v>0</v>
      </c>
      <c r="R143" s="3" t="str">
        <f>IF(O143, I143, "")</f>
        <v>suite-substrate</v>
      </c>
      <c r="S143" s="3" t="str">
        <f>IF(Q143, I143, "")</f>
      </c>
      <c r="T143" s="2" t="s">
        <v>5935</v>
      </c>
    </row>
    <row r="144">
      <c r="A144" s="2" t="s">
        <v>6113</v>
      </c>
      <c r="B144" s="3" t="str">
        <f>C144 &amp; ": " &amp; D144</f>
        <v>formula-translates: RoleAssignments.IsOperatingUnderMetSuspensionCondition</v>
      </c>
      <c r="C144" s="2" t="s">
        <v>6038</v>
      </c>
      <c r="D144" s="2" t="s">
        <v>2607</v>
      </c>
      <c r="E144" s="2" t="s">
        <v>1801</v>
      </c>
      <c r="F144" s="2" t="s">
        <v>300</v>
      </c>
      <c r="G144" s="2" t="s">
        <v>6039</v>
      </c>
      <c r="H144" s="2" t="s">
        <v>2332</v>
      </c>
      <c r="I144" s="2" t="s">
        <v>5920</v>
      </c>
      <c r="J144" s="2" t="s">
        <v>5933</v>
      </c>
      <c r="K144" s="3" t="b">
        <f>J144 = "blocking"</f>
        <v>1</v>
      </c>
      <c r="L144" s="2" t="s">
        <v>1428</v>
      </c>
      <c r="M144" s="2" t="s">
        <v>6040</v>
      </c>
      <c r="N144" s="4">
        <v>46223.1297337963</v>
      </c>
      <c r="O144" s="3" t="b">
        <f>L144 = "PASS"</f>
        <v>1</v>
      </c>
      <c r="P144" s="3" t="b">
        <f>L144 = "FAIL"</f>
        <v>0</v>
      </c>
      <c r="Q144" s="3" t="b">
        <f>AND(P144, K144)</f>
        <v>0</v>
      </c>
      <c r="R144" s="3" t="str">
        <f>IF(O144, I144, "")</f>
        <v>suite-substrate</v>
      </c>
      <c r="S144" s="3" t="str">
        <f>IF(Q144, I144, "")</f>
      </c>
      <c r="T144" s="2" t="s">
        <v>5935</v>
      </c>
    </row>
    <row r="145">
      <c r="A145" s="2" t="s">
        <v>6114</v>
      </c>
      <c r="B145" s="3" t="str">
        <f>C145 &amp; ": " &amp; D145</f>
        <v>formula-translates: RoleAssignments.HasDeclaredSuspensionCondition</v>
      </c>
      <c r="C145" s="2" t="s">
        <v>6038</v>
      </c>
      <c r="D145" s="2" t="s">
        <v>2609</v>
      </c>
      <c r="E145" s="2" t="s">
        <v>1801</v>
      </c>
      <c r="F145" s="2" t="s">
        <v>301</v>
      </c>
      <c r="G145" s="2" t="s">
        <v>6039</v>
      </c>
      <c r="H145" s="2" t="s">
        <v>2332</v>
      </c>
      <c r="I145" s="2" t="s">
        <v>5920</v>
      </c>
      <c r="J145" s="2" t="s">
        <v>5933</v>
      </c>
      <c r="K145" s="3" t="b">
        <f>J145 = "blocking"</f>
        <v>1</v>
      </c>
      <c r="L145" s="2" t="s">
        <v>1428</v>
      </c>
      <c r="M145" s="2" t="s">
        <v>6040</v>
      </c>
      <c r="N145" s="4">
        <v>46223.1297337963</v>
      </c>
      <c r="O145" s="3" t="b">
        <f>L145 = "PASS"</f>
        <v>1</v>
      </c>
      <c r="P145" s="3" t="b">
        <f>L145 = "FAIL"</f>
        <v>0</v>
      </c>
      <c r="Q145" s="3" t="b">
        <f>AND(P145, K145)</f>
        <v>0</v>
      </c>
      <c r="R145" s="3" t="str">
        <f>IF(O145, I145, "")</f>
        <v>suite-substrate</v>
      </c>
      <c r="S145" s="3" t="str">
        <f>IF(Q145, I145, "")</f>
      </c>
      <c r="T145" s="2" t="s">
        <v>5935</v>
      </c>
    </row>
    <row r="146">
      <c r="A146" s="2" t="s">
        <v>6115</v>
      </c>
      <c r="B146" s="3" t="str">
        <f>C146 &amp; ": " &amp; D146</f>
        <v>formula-translates: RoleAssignments.HasApprovingAuthority</v>
      </c>
      <c r="C146" s="2" t="s">
        <v>6038</v>
      </c>
      <c r="D146" s="2" t="s">
        <v>2611</v>
      </c>
      <c r="E146" s="2" t="s">
        <v>1801</v>
      </c>
      <c r="F146" s="2" t="s">
        <v>302</v>
      </c>
      <c r="G146" s="2" t="s">
        <v>6039</v>
      </c>
      <c r="H146" s="2" t="s">
        <v>2344</v>
      </c>
      <c r="I146" s="2" t="s">
        <v>5920</v>
      </c>
      <c r="J146" s="2" t="s">
        <v>5933</v>
      </c>
      <c r="K146" s="3" t="b">
        <f>J146 = "blocking"</f>
        <v>1</v>
      </c>
      <c r="L146" s="2" t="s">
        <v>1428</v>
      </c>
      <c r="M146" s="2" t="s">
        <v>6040</v>
      </c>
      <c r="N146" s="4">
        <v>46223.1297337963</v>
      </c>
      <c r="O146" s="3" t="b">
        <f>L146 = "PASS"</f>
        <v>1</v>
      </c>
      <c r="P146" s="3" t="b">
        <f>L146 = "FAIL"</f>
        <v>0</v>
      </c>
      <c r="Q146" s="3" t="b">
        <f>AND(P146, K146)</f>
        <v>0</v>
      </c>
      <c r="R146" s="3" t="str">
        <f>IF(O146, I146, "")</f>
        <v>suite-substrate</v>
      </c>
      <c r="S146" s="3" t="str">
        <f>IF(Q146, I146, "")</f>
      </c>
      <c r="T146" s="2" t="s">
        <v>5935</v>
      </c>
    </row>
    <row r="147">
      <c r="A147" s="2" t="s">
        <v>6116</v>
      </c>
      <c r="B147" s="3" t="str">
        <f>C147 &amp; ": " &amp; D147</f>
        <v>formula-translates: RoleAssignments.HasAuthorizingChangeRequest</v>
      </c>
      <c r="C147" s="2" t="s">
        <v>6038</v>
      </c>
      <c r="D147" s="2" t="s">
        <v>2613</v>
      </c>
      <c r="E147" s="2" t="s">
        <v>1801</v>
      </c>
      <c r="F147" s="2" t="s">
        <v>303</v>
      </c>
      <c r="G147" s="2" t="s">
        <v>6039</v>
      </c>
      <c r="H147" s="2" t="s">
        <v>2344</v>
      </c>
      <c r="I147" s="2" t="s">
        <v>5920</v>
      </c>
      <c r="J147" s="2" t="s">
        <v>5933</v>
      </c>
      <c r="K147" s="3" t="b">
        <f>J147 = "blocking"</f>
        <v>1</v>
      </c>
      <c r="L147" s="2" t="s">
        <v>1428</v>
      </c>
      <c r="M147" s="2" t="s">
        <v>6040</v>
      </c>
      <c r="N147" s="4">
        <v>46223.1297337963</v>
      </c>
      <c r="O147" s="3" t="b">
        <f>L147 = "PASS"</f>
        <v>1</v>
      </c>
      <c r="P147" s="3" t="b">
        <f>L147 = "FAIL"</f>
        <v>0</v>
      </c>
      <c r="Q147" s="3" t="b">
        <f>AND(P147, K147)</f>
        <v>0</v>
      </c>
      <c r="R147" s="3" t="str">
        <f>IF(O147, I147, "")</f>
        <v>suite-substrate</v>
      </c>
      <c r="S147" s="3" t="str">
        <f>IF(Q147, I147, "")</f>
      </c>
      <c r="T147" s="2" t="s">
        <v>5935</v>
      </c>
    </row>
    <row r="148">
      <c r="A148" s="2" t="s">
        <v>6117</v>
      </c>
      <c r="B148" s="3" t="str">
        <f>C148 &amp; ": " &amp; D148</f>
        <v>formula-translates: RoleAssignments.IsUnauthorizedEnforcementAgent</v>
      </c>
      <c r="C148" s="2" t="s">
        <v>6038</v>
      </c>
      <c r="D148" s="2" t="s">
        <v>2616</v>
      </c>
      <c r="E148" s="2" t="s">
        <v>1801</v>
      </c>
      <c r="F148" s="2" t="s">
        <v>305</v>
      </c>
      <c r="G148" s="2" t="s">
        <v>6039</v>
      </c>
      <c r="H148" s="2" t="s">
        <v>2344</v>
      </c>
      <c r="I148" s="2" t="s">
        <v>5920</v>
      </c>
      <c r="J148" s="2" t="s">
        <v>5933</v>
      </c>
      <c r="K148" s="3" t="b">
        <f>J148 = "blocking"</f>
        <v>1</v>
      </c>
      <c r="L148" s="2" t="s">
        <v>1428</v>
      </c>
      <c r="M148" s="2" t="s">
        <v>6040</v>
      </c>
      <c r="N148" s="4">
        <v>46223.1297337963</v>
      </c>
      <c r="O148" s="3" t="b">
        <f>L148 = "PASS"</f>
        <v>1</v>
      </c>
      <c r="P148" s="3" t="b">
        <f>L148 = "FAIL"</f>
        <v>0</v>
      </c>
      <c r="Q148" s="3" t="b">
        <f>AND(P148, K148)</f>
        <v>0</v>
      </c>
      <c r="R148" s="3" t="str">
        <f>IF(O148, I148, "")</f>
        <v>suite-substrate</v>
      </c>
      <c r="S148" s="3" t="str">
        <f>IF(Q148, I148, "")</f>
      </c>
      <c r="T148" s="2" t="s">
        <v>5935</v>
      </c>
    </row>
    <row r="149">
      <c r="A149" s="2" t="s">
        <v>6118</v>
      </c>
      <c r="B149" s="3" t="str">
        <f>C149 &amp; ": " &amp; D149</f>
        <v>formula-translates: RoleAssignments.GovernanceEvidenceCount</v>
      </c>
      <c r="C149" s="2" t="s">
        <v>6038</v>
      </c>
      <c r="D149" s="2" t="s">
        <v>2618</v>
      </c>
      <c r="E149" s="2" t="s">
        <v>1801</v>
      </c>
      <c r="F149" s="2" t="s">
        <v>306</v>
      </c>
      <c r="G149" s="2" t="s">
        <v>6039</v>
      </c>
      <c r="H149" s="2" t="s">
        <v>2344</v>
      </c>
      <c r="I149" s="2" t="s">
        <v>5920</v>
      </c>
      <c r="J149" s="2" t="s">
        <v>5933</v>
      </c>
      <c r="K149" s="3" t="b">
        <f>J149 = "blocking"</f>
        <v>1</v>
      </c>
      <c r="L149" s="2" t="s">
        <v>1428</v>
      </c>
      <c r="M149" s="2" t="s">
        <v>6040</v>
      </c>
      <c r="N149" s="4">
        <v>46223.1297337963</v>
      </c>
      <c r="O149" s="3" t="b">
        <f>L149 = "PASS"</f>
        <v>1</v>
      </c>
      <c r="P149" s="3" t="b">
        <f>L149 = "FAIL"</f>
        <v>0</v>
      </c>
      <c r="Q149" s="3" t="b">
        <f>AND(P149, K149)</f>
        <v>0</v>
      </c>
      <c r="R149" s="3" t="str">
        <f>IF(O149, I149, "")</f>
        <v>suite-substrate</v>
      </c>
      <c r="S149" s="3" t="str">
        <f>IF(Q149, I149, "")</f>
      </c>
      <c r="T149" s="2" t="s">
        <v>5935</v>
      </c>
    </row>
    <row r="150">
      <c r="A150" s="2" t="s">
        <v>6119</v>
      </c>
      <c r="B150" s="3" t="str">
        <f>C150 &amp; ": " &amp; D150</f>
        <v>formula-translates: RoleAssignments.UnauthorizedEnforcementRoleKey</v>
      </c>
      <c r="C150" s="2" t="s">
        <v>6038</v>
      </c>
      <c r="D150" s="2" t="s">
        <v>2620</v>
      </c>
      <c r="E150" s="2" t="s">
        <v>1801</v>
      </c>
      <c r="F150" s="2" t="s">
        <v>307</v>
      </c>
      <c r="G150" s="2" t="s">
        <v>6039</v>
      </c>
      <c r="H150" s="2" t="s">
        <v>2344</v>
      </c>
      <c r="I150" s="2" t="s">
        <v>5920</v>
      </c>
      <c r="J150" s="2" t="s">
        <v>5933</v>
      </c>
      <c r="K150" s="3" t="b">
        <f>J150 = "blocking"</f>
        <v>1</v>
      </c>
      <c r="L150" s="2" t="s">
        <v>1428</v>
      </c>
      <c r="M150" s="2" t="s">
        <v>6040</v>
      </c>
      <c r="N150" s="4">
        <v>46223.1297337963</v>
      </c>
      <c r="O150" s="3" t="b">
        <f>L150 = "PASS"</f>
        <v>1</v>
      </c>
      <c r="P150" s="3" t="b">
        <f>L150 = "FAIL"</f>
        <v>0</v>
      </c>
      <c r="Q150" s="3" t="b">
        <f>AND(P150, K150)</f>
        <v>0</v>
      </c>
      <c r="R150" s="3" t="str">
        <f>IF(O150, I150, "")</f>
        <v>suite-substrate</v>
      </c>
      <c r="S150" s="3" t="str">
        <f>IF(Q150, I150, "")</f>
      </c>
      <c r="T150" s="2" t="s">
        <v>5935</v>
      </c>
    </row>
    <row r="151">
      <c r="A151" s="2" t="s">
        <v>6120</v>
      </c>
      <c r="B151" s="3" t="str">
        <f>C151 &amp; ": " &amp; D151</f>
        <v>formula-translates: CommunitiesOfPractice.Name</v>
      </c>
      <c r="C151" s="2" t="s">
        <v>6038</v>
      </c>
      <c r="D151" s="2" t="s">
        <v>2625</v>
      </c>
      <c r="E151" s="2" t="s">
        <v>2624</v>
      </c>
      <c r="F151" s="2" t="s">
        <v>1</v>
      </c>
      <c r="G151" s="2" t="s">
        <v>6039</v>
      </c>
      <c r="H151" s="2"/>
      <c r="I151" s="2" t="s">
        <v>5920</v>
      </c>
      <c r="J151" s="2" t="s">
        <v>5933</v>
      </c>
      <c r="K151" s="3" t="b">
        <f>J151 = "blocking"</f>
        <v>1</v>
      </c>
      <c r="L151" s="2" t="s">
        <v>1428</v>
      </c>
      <c r="M151" s="2" t="s">
        <v>6040</v>
      </c>
      <c r="N151" s="4">
        <v>46223.1297337963</v>
      </c>
      <c r="O151" s="3" t="b">
        <f>L151 = "PASS"</f>
        <v>1</v>
      </c>
      <c r="P151" s="3" t="b">
        <f>L151 = "FAIL"</f>
        <v>0</v>
      </c>
      <c r="Q151" s="3" t="b">
        <f>AND(P151, K151)</f>
        <v>0</v>
      </c>
      <c r="R151" s="3" t="str">
        <f>IF(O151, I151, "")</f>
        <v>suite-substrate</v>
      </c>
      <c r="S151" s="3" t="str">
        <f>IF(Q151, I151, "")</f>
      </c>
      <c r="T151" s="2" t="s">
        <v>5935</v>
      </c>
    </row>
    <row r="152">
      <c r="A152" s="2" t="s">
        <v>6121</v>
      </c>
      <c r="B152" s="3" t="str">
        <f>C152 &amp; ": " &amp; D152</f>
        <v>formula-translates: Mentorships.Name</v>
      </c>
      <c r="C152" s="2" t="s">
        <v>6038</v>
      </c>
      <c r="D152" s="2" t="s">
        <v>2634</v>
      </c>
      <c r="E152" s="2" t="s">
        <v>2633</v>
      </c>
      <c r="F152" s="2" t="s">
        <v>1</v>
      </c>
      <c r="G152" s="2" t="s">
        <v>6039</v>
      </c>
      <c r="H152" s="2"/>
      <c r="I152" s="2" t="s">
        <v>5920</v>
      </c>
      <c r="J152" s="2" t="s">
        <v>5933</v>
      </c>
      <c r="K152" s="3" t="b">
        <f>J152 = "blocking"</f>
        <v>1</v>
      </c>
      <c r="L152" s="2" t="s">
        <v>1428</v>
      </c>
      <c r="M152" s="2" t="s">
        <v>6040</v>
      </c>
      <c r="N152" s="4">
        <v>46223.1297337963</v>
      </c>
      <c r="O152" s="3" t="b">
        <f>L152 = "PASS"</f>
        <v>1</v>
      </c>
      <c r="P152" s="3" t="b">
        <f>L152 = "FAIL"</f>
        <v>0</v>
      </c>
      <c r="Q152" s="3" t="b">
        <f>AND(P152, K152)</f>
        <v>0</v>
      </c>
      <c r="R152" s="3" t="str">
        <f>IF(O152, I152, "")</f>
        <v>suite-substrate</v>
      </c>
      <c r="S152" s="3" t="str">
        <f>IF(Q152, I152, "")</f>
      </c>
      <c r="T152" s="2" t="s">
        <v>5935</v>
      </c>
    </row>
    <row r="153">
      <c r="A153" s="2" t="s">
        <v>6122</v>
      </c>
      <c r="B153" s="3" t="str">
        <f>C153 &amp; ": " &amp; D153</f>
        <v>formula-translates: ProcedureTypes.Name</v>
      </c>
      <c r="C153" s="2" t="s">
        <v>6038</v>
      </c>
      <c r="D153" s="2" t="s">
        <v>2646</v>
      </c>
      <c r="E153" s="2" t="s">
        <v>2645</v>
      </c>
      <c r="F153" s="2" t="s">
        <v>1</v>
      </c>
      <c r="G153" s="2" t="s">
        <v>6039</v>
      </c>
      <c r="H153" s="2"/>
      <c r="I153" s="2" t="s">
        <v>5920</v>
      </c>
      <c r="J153" s="2" t="s">
        <v>5933</v>
      </c>
      <c r="K153" s="3" t="b">
        <f>J153 = "blocking"</f>
        <v>1</v>
      </c>
      <c r="L153" s="2" t="s">
        <v>1428</v>
      </c>
      <c r="M153" s="2" t="s">
        <v>6040</v>
      </c>
      <c r="N153" s="4">
        <v>46223.1297337963</v>
      </c>
      <c r="O153" s="3" t="b">
        <f>L153 = "PASS"</f>
        <v>1</v>
      </c>
      <c r="P153" s="3" t="b">
        <f>L153 = "FAIL"</f>
        <v>0</v>
      </c>
      <c r="Q153" s="3" t="b">
        <f>AND(P153, K153)</f>
        <v>0</v>
      </c>
      <c r="R153" s="3" t="str">
        <f>IF(O153, I153, "")</f>
        <v>suite-substrate</v>
      </c>
      <c r="S153" s="3" t="str">
        <f>IF(Q153, I153, "")</f>
      </c>
      <c r="T153" s="2" t="s">
        <v>5935</v>
      </c>
    </row>
    <row r="154">
      <c r="A154" s="2" t="s">
        <v>6123</v>
      </c>
      <c r="B154" s="3" t="str">
        <f>C154 &amp; ": " &amp; D154</f>
        <v>formula-translates: Procedures.Name</v>
      </c>
      <c r="C154" s="2" t="s">
        <v>6038</v>
      </c>
      <c r="D154" s="2" t="s">
        <v>2651</v>
      </c>
      <c r="E154" s="2" t="s">
        <v>1742</v>
      </c>
      <c r="F154" s="2" t="s">
        <v>1</v>
      </c>
      <c r="G154" s="2" t="s">
        <v>6039</v>
      </c>
      <c r="H154" s="2"/>
      <c r="I154" s="2" t="s">
        <v>5920</v>
      </c>
      <c r="J154" s="2" t="s">
        <v>5933</v>
      </c>
      <c r="K154" s="3" t="b">
        <f>J154 = "blocking"</f>
        <v>1</v>
      </c>
      <c r="L154" s="2" t="s">
        <v>1428</v>
      </c>
      <c r="M154" s="2" t="s">
        <v>6040</v>
      </c>
      <c r="N154" s="4">
        <v>46223.1297337963</v>
      </c>
      <c r="O154" s="3" t="b">
        <f>L154 = "PASS"</f>
        <v>1</v>
      </c>
      <c r="P154" s="3" t="b">
        <f>L154 = "FAIL"</f>
        <v>0</v>
      </c>
      <c r="Q154" s="3" t="b">
        <f>AND(P154, K154)</f>
        <v>0</v>
      </c>
      <c r="R154" s="3" t="str">
        <f>IF(O154, I154, "")</f>
        <v>suite-substrate</v>
      </c>
      <c r="S154" s="3" t="str">
        <f>IF(Q154, I154, "")</f>
      </c>
      <c r="T154" s="2" t="s">
        <v>5935</v>
      </c>
    </row>
    <row r="155">
      <c r="A155" s="2" t="s">
        <v>6124</v>
      </c>
      <c r="B155" s="3" t="str">
        <f>C155 &amp; ": " &amp; D155</f>
        <v>formula-translates: ProcedureVersions.Name</v>
      </c>
      <c r="C155" s="2" t="s">
        <v>6038</v>
      </c>
      <c r="D155" s="2" t="s">
        <v>2663</v>
      </c>
      <c r="E155" s="2" t="s">
        <v>1747</v>
      </c>
      <c r="F155" s="2" t="s">
        <v>1</v>
      </c>
      <c r="G155" s="2" t="s">
        <v>6039</v>
      </c>
      <c r="H155" s="2"/>
      <c r="I155" s="2" t="s">
        <v>5920</v>
      </c>
      <c r="J155" s="2" t="s">
        <v>5933</v>
      </c>
      <c r="K155" s="3" t="b">
        <f>J155 = "blocking"</f>
        <v>1</v>
      </c>
      <c r="L155" s="2" t="s">
        <v>1428</v>
      </c>
      <c r="M155" s="2" t="s">
        <v>6040</v>
      </c>
      <c r="N155" s="4">
        <v>46223.1297337963</v>
      </c>
      <c r="O155" s="3" t="b">
        <f>L155 = "PASS"</f>
        <v>1</v>
      </c>
      <c r="P155" s="3" t="b">
        <f>L155 = "FAIL"</f>
        <v>0</v>
      </c>
      <c r="Q155" s="3" t="b">
        <f>AND(P155, K155)</f>
        <v>0</v>
      </c>
      <c r="R155" s="3" t="str">
        <f>IF(O155, I155, "")</f>
        <v>suite-substrate</v>
      </c>
      <c r="S155" s="3" t="str">
        <f>IF(Q155, I155, "")</f>
      </c>
      <c r="T155" s="2" t="s">
        <v>5935</v>
      </c>
    </row>
    <row r="156">
      <c r="A156" s="2" t="s">
        <v>6125</v>
      </c>
      <c r="B156" s="3" t="str">
        <f>C156 &amp; ": " &amp; D156</f>
        <v>formula-translates: ProcedureVersions.CountOfSteps</v>
      </c>
      <c r="C156" s="2" t="s">
        <v>6038</v>
      </c>
      <c r="D156" s="2" t="s">
        <v>2674</v>
      </c>
      <c r="E156" s="2" t="s">
        <v>1747</v>
      </c>
      <c r="F156" s="2" t="s">
        <v>384</v>
      </c>
      <c r="G156" s="2" t="s">
        <v>6039</v>
      </c>
      <c r="H156" s="2"/>
      <c r="I156" s="2" t="s">
        <v>5920</v>
      </c>
      <c r="J156" s="2" t="s">
        <v>5933</v>
      </c>
      <c r="K156" s="3" t="b">
        <f>J156 = "blocking"</f>
        <v>1</v>
      </c>
      <c r="L156" s="2" t="s">
        <v>1428</v>
      </c>
      <c r="M156" s="2" t="s">
        <v>6040</v>
      </c>
      <c r="N156" s="4">
        <v>46223.1297337963</v>
      </c>
      <c r="O156" s="3" t="b">
        <f>L156 = "PASS"</f>
        <v>1</v>
      </c>
      <c r="P156" s="3" t="b">
        <f>L156 = "FAIL"</f>
        <v>0</v>
      </c>
      <c r="Q156" s="3" t="b">
        <f>AND(P156, K156)</f>
        <v>0</v>
      </c>
      <c r="R156" s="3" t="str">
        <f>IF(O156, I156, "")</f>
        <v>suite-substrate</v>
      </c>
      <c r="S156" s="3" t="str">
        <f>IF(Q156, I156, "")</f>
      </c>
      <c r="T156" s="2" t="s">
        <v>5935</v>
      </c>
    </row>
    <row r="157">
      <c r="A157" s="2" t="s">
        <v>6126</v>
      </c>
      <c r="B157" s="3" t="str">
        <f>C157 &amp; ": " &amp; D157</f>
        <v>formula-translates: ProcedureVersions.CountOfOpenKnowledgeGaps</v>
      </c>
      <c r="C157" s="2" t="s">
        <v>6038</v>
      </c>
      <c r="D157" s="2" t="s">
        <v>2676</v>
      </c>
      <c r="E157" s="2" t="s">
        <v>1747</v>
      </c>
      <c r="F157" s="2" t="s">
        <v>385</v>
      </c>
      <c r="G157" s="2" t="s">
        <v>6039</v>
      </c>
      <c r="H157" s="2"/>
      <c r="I157" s="2" t="s">
        <v>5920</v>
      </c>
      <c r="J157" s="2" t="s">
        <v>5933</v>
      </c>
      <c r="K157" s="3" t="b">
        <f>J157 = "blocking"</f>
        <v>1</v>
      </c>
      <c r="L157" s="2" t="s">
        <v>1428</v>
      </c>
      <c r="M157" s="2" t="s">
        <v>6040</v>
      </c>
      <c r="N157" s="4">
        <v>46223.1297337963</v>
      </c>
      <c r="O157" s="3" t="b">
        <f>L157 = "PASS"</f>
        <v>1</v>
      </c>
      <c r="P157" s="3" t="b">
        <f>L157 = "FAIL"</f>
        <v>0</v>
      </c>
      <c r="Q157" s="3" t="b">
        <f>AND(P157, K157)</f>
        <v>0</v>
      </c>
      <c r="R157" s="3" t="str">
        <f>IF(O157, I157, "")</f>
        <v>suite-substrate</v>
      </c>
      <c r="S157" s="3" t="str">
        <f>IF(Q157, I157, "")</f>
      </c>
      <c r="T157" s="2" t="s">
        <v>5935</v>
      </c>
    </row>
    <row r="158">
      <c r="A158" s="2" t="s">
        <v>6127</v>
      </c>
      <c r="B158" s="3" t="str">
        <f>C158 &amp; ": " &amp; D158</f>
        <v>formula-translates: ProcedureVersions.IsReadyForExecution</v>
      </c>
      <c r="C158" s="2" t="s">
        <v>6038</v>
      </c>
      <c r="D158" s="2" t="s">
        <v>2678</v>
      </c>
      <c r="E158" s="2" t="s">
        <v>1747</v>
      </c>
      <c r="F158" s="2" t="s">
        <v>386</v>
      </c>
      <c r="G158" s="2" t="s">
        <v>6039</v>
      </c>
      <c r="H158" s="2"/>
      <c r="I158" s="2" t="s">
        <v>5920</v>
      </c>
      <c r="J158" s="2" t="s">
        <v>5933</v>
      </c>
      <c r="K158" s="3" t="b">
        <f>J158 = "blocking"</f>
        <v>1</v>
      </c>
      <c r="L158" s="2" t="s">
        <v>1428</v>
      </c>
      <c r="M158" s="2" t="s">
        <v>6040</v>
      </c>
      <c r="N158" s="4">
        <v>46223.1297337963</v>
      </c>
      <c r="O158" s="3" t="b">
        <f>L158 = "PASS"</f>
        <v>1</v>
      </c>
      <c r="P158" s="3" t="b">
        <f>L158 = "FAIL"</f>
        <v>0</v>
      </c>
      <c r="Q158" s="3" t="b">
        <f>AND(P158, K158)</f>
        <v>0</v>
      </c>
      <c r="R158" s="3" t="str">
        <f>IF(O158, I158, "")</f>
        <v>suite-substrate</v>
      </c>
      <c r="S158" s="3" t="str">
        <f>IF(Q158, I158, "")</f>
      </c>
      <c r="T158" s="2" t="s">
        <v>5935</v>
      </c>
    </row>
    <row r="159">
      <c r="A159" s="2" t="s">
        <v>6128</v>
      </c>
      <c r="B159" s="3" t="str">
        <f>C159 &amp; ": " &amp; D159</f>
        <v>formula-translates: ProcedureVersions.SpecifiedStepCount</v>
      </c>
      <c r="C159" s="2" t="s">
        <v>6038</v>
      </c>
      <c r="D159" s="2" t="s">
        <v>2680</v>
      </c>
      <c r="E159" s="2" t="s">
        <v>1747</v>
      </c>
      <c r="F159" s="2" t="s">
        <v>387</v>
      </c>
      <c r="G159" s="2" t="s">
        <v>6039</v>
      </c>
      <c r="H159" s="2" t="s">
        <v>1968</v>
      </c>
      <c r="I159" s="2" t="s">
        <v>5920</v>
      </c>
      <c r="J159" s="2" t="s">
        <v>5933</v>
      </c>
      <c r="K159" s="3" t="b">
        <f>J159 = "blocking"</f>
        <v>1</v>
      </c>
      <c r="L159" s="2" t="s">
        <v>1428</v>
      </c>
      <c r="M159" s="2" t="s">
        <v>6040</v>
      </c>
      <c r="N159" s="4">
        <v>46223.1297337963</v>
      </c>
      <c r="O159" s="3" t="b">
        <f>L159 = "PASS"</f>
        <v>1</v>
      </c>
      <c r="P159" s="3" t="b">
        <f>L159 = "FAIL"</f>
        <v>0</v>
      </c>
      <c r="Q159" s="3" t="b">
        <f>AND(P159, K159)</f>
        <v>0</v>
      </c>
      <c r="R159" s="3" t="str">
        <f>IF(O159, I159, "")</f>
        <v>suite-substrate</v>
      </c>
      <c r="S159" s="3" t="str">
        <f>IF(Q159, I159, "")</f>
      </c>
      <c r="T159" s="2" t="s">
        <v>5935</v>
      </c>
    </row>
    <row r="160">
      <c r="A160" s="2" t="s">
        <v>6129</v>
      </c>
      <c r="B160" s="3" t="str">
        <f>C160 &amp; ": " &amp; D160</f>
        <v>formula-translates: ProcedureVersions.OverdueReviewCount</v>
      </c>
      <c r="C160" s="2" t="s">
        <v>6038</v>
      </c>
      <c r="D160" s="2" t="s">
        <v>2682</v>
      </c>
      <c r="E160" s="2" t="s">
        <v>1747</v>
      </c>
      <c r="F160" s="2" t="s">
        <v>388</v>
      </c>
      <c r="G160" s="2" t="s">
        <v>6039</v>
      </c>
      <c r="H160" s="2" t="s">
        <v>1980</v>
      </c>
      <c r="I160" s="2" t="s">
        <v>5920</v>
      </c>
      <c r="J160" s="2" t="s">
        <v>5933</v>
      </c>
      <c r="K160" s="3" t="b">
        <f>J160 = "blocking"</f>
        <v>1</v>
      </c>
      <c r="L160" s="2" t="s">
        <v>1428</v>
      </c>
      <c r="M160" s="2" t="s">
        <v>6040</v>
      </c>
      <c r="N160" s="4">
        <v>46223.1297337963</v>
      </c>
      <c r="O160" s="3" t="b">
        <f>L160 = "PASS"</f>
        <v>1</v>
      </c>
      <c r="P160" s="3" t="b">
        <f>L160 = "FAIL"</f>
        <v>0</v>
      </c>
      <c r="Q160" s="3" t="b">
        <f>AND(P160, K160)</f>
        <v>0</v>
      </c>
      <c r="R160" s="3" t="str">
        <f>IF(O160, I160, "")</f>
        <v>suite-substrate</v>
      </c>
      <c r="S160" s="3" t="str">
        <f>IF(Q160, I160, "")</f>
      </c>
      <c r="T160" s="2" t="s">
        <v>5935</v>
      </c>
    </row>
    <row r="161">
      <c r="A161" s="2" t="s">
        <v>6130</v>
      </c>
      <c r="B161" s="3" t="str">
        <f>C161 &amp; ": " &amp; D161</f>
        <v>formula-translates: ProcedureVersions.OpenChangeRequestCount</v>
      </c>
      <c r="C161" s="2" t="s">
        <v>6038</v>
      </c>
      <c r="D161" s="2" t="s">
        <v>2684</v>
      </c>
      <c r="E161" s="2" t="s">
        <v>1747</v>
      </c>
      <c r="F161" s="2" t="s">
        <v>389</v>
      </c>
      <c r="G161" s="2" t="s">
        <v>6039</v>
      </c>
      <c r="H161" s="2" t="s">
        <v>1980</v>
      </c>
      <c r="I161" s="2" t="s">
        <v>5920</v>
      </c>
      <c r="J161" s="2" t="s">
        <v>5933</v>
      </c>
      <c r="K161" s="3" t="b">
        <f>J161 = "blocking"</f>
        <v>1</v>
      </c>
      <c r="L161" s="2" t="s">
        <v>1428</v>
      </c>
      <c r="M161" s="2" t="s">
        <v>6040</v>
      </c>
      <c r="N161" s="4">
        <v>46223.1297337963</v>
      </c>
      <c r="O161" s="3" t="b">
        <f>L161 = "PASS"</f>
        <v>1</v>
      </c>
      <c r="P161" s="3" t="b">
        <f>L161 = "FAIL"</f>
        <v>0</v>
      </c>
      <c r="Q161" s="3" t="b">
        <f>AND(P161, K161)</f>
        <v>0</v>
      </c>
      <c r="R161" s="3" t="str">
        <f>IF(O161, I161, "")</f>
        <v>suite-substrate</v>
      </c>
      <c r="S161" s="3" t="str">
        <f>IF(Q161, I161, "")</f>
      </c>
      <c r="T161" s="2" t="s">
        <v>5935</v>
      </c>
    </row>
    <row r="162">
      <c r="A162" s="2" t="s">
        <v>6131</v>
      </c>
      <c r="B162" s="3" t="str">
        <f>C162 &amp; ": " &amp; D162</f>
        <v>formula-translates: ProcedureVersions.OpenHighSeverityGapCount</v>
      </c>
      <c r="C162" s="2" t="s">
        <v>6038</v>
      </c>
      <c r="D162" s="2" t="s">
        <v>2686</v>
      </c>
      <c r="E162" s="2" t="s">
        <v>1747</v>
      </c>
      <c r="F162" s="2" t="s">
        <v>390</v>
      </c>
      <c r="G162" s="2" t="s">
        <v>6039</v>
      </c>
      <c r="H162" s="2" t="s">
        <v>1980</v>
      </c>
      <c r="I162" s="2" t="s">
        <v>5920</v>
      </c>
      <c r="J162" s="2" t="s">
        <v>5933</v>
      </c>
      <c r="K162" s="3" t="b">
        <f>J162 = "blocking"</f>
        <v>1</v>
      </c>
      <c r="L162" s="2" t="s">
        <v>1428</v>
      </c>
      <c r="M162" s="2" t="s">
        <v>6040</v>
      </c>
      <c r="N162" s="4">
        <v>46223.1297337963</v>
      </c>
      <c r="O162" s="3" t="b">
        <f>L162 = "PASS"</f>
        <v>1</v>
      </c>
      <c r="P162" s="3" t="b">
        <f>L162 = "FAIL"</f>
        <v>0</v>
      </c>
      <c r="Q162" s="3" t="b">
        <f>AND(P162, K162)</f>
        <v>0</v>
      </c>
      <c r="R162" s="3" t="str">
        <f>IF(O162, I162, "")</f>
        <v>suite-substrate</v>
      </c>
      <c r="S162" s="3" t="str">
        <f>IF(Q162, I162, "")</f>
      </c>
      <c r="T162" s="2" t="s">
        <v>5935</v>
      </c>
    </row>
    <row r="163">
      <c r="A163" s="2" t="s">
        <v>6132</v>
      </c>
      <c r="B163" s="3" t="str">
        <f>C163 &amp; ": " &amp; D163</f>
        <v>formula-translates: ProcedureVersions.IsFitToExecute</v>
      </c>
      <c r="C163" s="2" t="s">
        <v>6038</v>
      </c>
      <c r="D163" s="2" t="s">
        <v>2688</v>
      </c>
      <c r="E163" s="2" t="s">
        <v>1747</v>
      </c>
      <c r="F163" s="2" t="s">
        <v>391</v>
      </c>
      <c r="G163" s="2" t="s">
        <v>6039</v>
      </c>
      <c r="H163" s="2" t="s">
        <v>1980</v>
      </c>
      <c r="I163" s="2" t="s">
        <v>5920</v>
      </c>
      <c r="J163" s="2" t="s">
        <v>5933</v>
      </c>
      <c r="K163" s="3" t="b">
        <f>J163 = "blocking"</f>
        <v>1</v>
      </c>
      <c r="L163" s="2" t="s">
        <v>1428</v>
      </c>
      <c r="M163" s="2" t="s">
        <v>6040</v>
      </c>
      <c r="N163" s="4">
        <v>46223.1297337963</v>
      </c>
      <c r="O163" s="3" t="b">
        <f>L163 = "PASS"</f>
        <v>1</v>
      </c>
      <c r="P163" s="3" t="b">
        <f>L163 = "FAIL"</f>
        <v>0</v>
      </c>
      <c r="Q163" s="3" t="b">
        <f>AND(P163, K163)</f>
        <v>0</v>
      </c>
      <c r="R163" s="3" t="str">
        <f>IF(O163, I163, "")</f>
        <v>suite-substrate</v>
      </c>
      <c r="S163" s="3" t="str">
        <f>IF(Q163, I163, "")</f>
      </c>
      <c r="T163" s="2" t="s">
        <v>5935</v>
      </c>
    </row>
    <row r="164">
      <c r="A164" s="2" t="s">
        <v>6133</v>
      </c>
      <c r="B164" s="3" t="str">
        <f>C164 &amp; ": " &amp; D164</f>
        <v>formula-translates: ProcedureVersions.StewardReviewCadenceDays</v>
      </c>
      <c r="C164" s="2" t="s">
        <v>6038</v>
      </c>
      <c r="D164" s="2" t="s">
        <v>2690</v>
      </c>
      <c r="E164" s="2" t="s">
        <v>1747</v>
      </c>
      <c r="F164" s="2" t="s">
        <v>392</v>
      </c>
      <c r="G164" s="2" t="s">
        <v>6039</v>
      </c>
      <c r="H164" s="2" t="s">
        <v>1996</v>
      </c>
      <c r="I164" s="2" t="s">
        <v>5920</v>
      </c>
      <c r="J164" s="2" t="s">
        <v>5933</v>
      </c>
      <c r="K164" s="3" t="b">
        <f>J164 = "blocking"</f>
        <v>1</v>
      </c>
      <c r="L164" s="2" t="s">
        <v>1428</v>
      </c>
      <c r="M164" s="2" t="s">
        <v>6040</v>
      </c>
      <c r="N164" s="4">
        <v>46223.1297337963</v>
      </c>
      <c r="O164" s="3" t="b">
        <f>L164 = "PASS"</f>
        <v>1</v>
      </c>
      <c r="P164" s="3" t="b">
        <f>L164 = "FAIL"</f>
        <v>0</v>
      </c>
      <c r="Q164" s="3" t="b">
        <f>AND(P164, K164)</f>
        <v>0</v>
      </c>
      <c r="R164" s="3" t="str">
        <f>IF(O164, I164, "")</f>
        <v>suite-substrate</v>
      </c>
      <c r="S164" s="3" t="str">
        <f>IF(Q164, I164, "")</f>
      </c>
      <c r="T164" s="2" t="s">
        <v>5935</v>
      </c>
    </row>
    <row r="165">
      <c r="A165" s="2" t="s">
        <v>6134</v>
      </c>
      <c r="B165" s="3" t="str">
        <f>C165 &amp; ": " &amp; D165</f>
        <v>formula-translates: ProcedureVersions.CountOfStewardshipAssignments</v>
      </c>
      <c r="C165" s="2" t="s">
        <v>6038</v>
      </c>
      <c r="D165" s="2" t="s">
        <v>2692</v>
      </c>
      <c r="E165" s="2" t="s">
        <v>1747</v>
      </c>
      <c r="F165" s="2" t="s">
        <v>393</v>
      </c>
      <c r="G165" s="2" t="s">
        <v>6039</v>
      </c>
      <c r="H165" s="2" t="s">
        <v>2000</v>
      </c>
      <c r="I165" s="2" t="s">
        <v>5920</v>
      </c>
      <c r="J165" s="2" t="s">
        <v>5933</v>
      </c>
      <c r="K165" s="3" t="b">
        <f>J165 = "blocking"</f>
        <v>1</v>
      </c>
      <c r="L165" s="2" t="s">
        <v>1428</v>
      </c>
      <c r="M165" s="2" t="s">
        <v>6040</v>
      </c>
      <c r="N165" s="4">
        <v>46223.1297337963</v>
      </c>
      <c r="O165" s="3" t="b">
        <f>L165 = "PASS"</f>
        <v>1</v>
      </c>
      <c r="P165" s="3" t="b">
        <f>L165 = "FAIL"</f>
        <v>0</v>
      </c>
      <c r="Q165" s="3" t="b">
        <f>AND(P165, K165)</f>
        <v>0</v>
      </c>
      <c r="R165" s="3" t="str">
        <f>IF(O165, I165, "")</f>
        <v>suite-substrate</v>
      </c>
      <c r="S165" s="3" t="str">
        <f>IF(Q165, I165, "")</f>
      </c>
      <c r="T165" s="2" t="s">
        <v>5935</v>
      </c>
    </row>
    <row r="166">
      <c r="A166" s="2" t="s">
        <v>6135</v>
      </c>
      <c r="B166" s="3" t="str">
        <f>C166 &amp; ": " &amp; D166</f>
        <v>formula-translates: ProcedureVersions.HasAnySteward</v>
      </c>
      <c r="C166" s="2" t="s">
        <v>6038</v>
      </c>
      <c r="D166" s="2" t="s">
        <v>2694</v>
      </c>
      <c r="E166" s="2" t="s">
        <v>1747</v>
      </c>
      <c r="F166" s="2" t="s">
        <v>394</v>
      </c>
      <c r="G166" s="2" t="s">
        <v>6039</v>
      </c>
      <c r="H166" s="2" t="s">
        <v>2000</v>
      </c>
      <c r="I166" s="2" t="s">
        <v>5920</v>
      </c>
      <c r="J166" s="2" t="s">
        <v>5933</v>
      </c>
      <c r="K166" s="3" t="b">
        <f>J166 = "blocking"</f>
        <v>1</v>
      </c>
      <c r="L166" s="2" t="s">
        <v>1428</v>
      </c>
      <c r="M166" s="2" t="s">
        <v>6040</v>
      </c>
      <c r="N166" s="4">
        <v>46223.1297337963</v>
      </c>
      <c r="O166" s="3" t="b">
        <f>L166 = "PASS"</f>
        <v>1</v>
      </c>
      <c r="P166" s="3" t="b">
        <f>L166 = "FAIL"</f>
        <v>0</v>
      </c>
      <c r="Q166" s="3" t="b">
        <f>AND(P166, K166)</f>
        <v>0</v>
      </c>
      <c r="R166" s="3" t="str">
        <f>IF(O166, I166, "")</f>
        <v>suite-substrate</v>
      </c>
      <c r="S166" s="3" t="str">
        <f>IF(Q166, I166, "")</f>
      </c>
      <c r="T166" s="2" t="s">
        <v>5935</v>
      </c>
    </row>
    <row r="167">
      <c r="A167" s="2" t="s">
        <v>6136</v>
      </c>
      <c r="B167" s="3" t="str">
        <f>C167 &amp; ": " &amp; D167</f>
        <v>formula-translates: ProcedureVersions.IsLive</v>
      </c>
      <c r="C167" s="2" t="s">
        <v>6038</v>
      </c>
      <c r="D167" s="2" t="s">
        <v>2696</v>
      </c>
      <c r="E167" s="2" t="s">
        <v>1747</v>
      </c>
      <c r="F167" s="2" t="s">
        <v>395</v>
      </c>
      <c r="G167" s="2" t="s">
        <v>6039</v>
      </c>
      <c r="H167" s="2" t="s">
        <v>2000</v>
      </c>
      <c r="I167" s="2" t="s">
        <v>5920</v>
      </c>
      <c r="J167" s="2" t="s">
        <v>5933</v>
      </c>
      <c r="K167" s="3" t="b">
        <f>J167 = "blocking"</f>
        <v>1</v>
      </c>
      <c r="L167" s="2" t="s">
        <v>1428</v>
      </c>
      <c r="M167" s="2" t="s">
        <v>6040</v>
      </c>
      <c r="N167" s="4">
        <v>46223.1297337963</v>
      </c>
      <c r="O167" s="3" t="b">
        <f>L167 = "PASS"</f>
        <v>1</v>
      </c>
      <c r="P167" s="3" t="b">
        <f>L167 = "FAIL"</f>
        <v>0</v>
      </c>
      <c r="Q167" s="3" t="b">
        <f>AND(P167, K167)</f>
        <v>0</v>
      </c>
      <c r="R167" s="3" t="str">
        <f>IF(O167, I167, "")</f>
        <v>suite-substrate</v>
      </c>
      <c r="S167" s="3" t="str">
        <f>IF(Q167, I167, "")</f>
      </c>
      <c r="T167" s="2" t="s">
        <v>5935</v>
      </c>
    </row>
    <row r="168">
      <c r="A168" s="2" t="s">
        <v>6137</v>
      </c>
      <c r="B168" s="3" t="str">
        <f>C168 &amp; ": " &amp; D168</f>
        <v>formula-translates: ProcedureVersions.IsUnstewarded</v>
      </c>
      <c r="C168" s="2" t="s">
        <v>6038</v>
      </c>
      <c r="D168" s="2" t="s">
        <v>2698</v>
      </c>
      <c r="E168" s="2" t="s">
        <v>1747</v>
      </c>
      <c r="F168" s="2" t="s">
        <v>396</v>
      </c>
      <c r="G168" s="2" t="s">
        <v>6039</v>
      </c>
      <c r="H168" s="2" t="s">
        <v>2000</v>
      </c>
      <c r="I168" s="2" t="s">
        <v>5920</v>
      </c>
      <c r="J168" s="2" t="s">
        <v>5933</v>
      </c>
      <c r="K168" s="3" t="b">
        <f>J168 = "blocking"</f>
        <v>1</v>
      </c>
      <c r="L168" s="2" t="s">
        <v>1428</v>
      </c>
      <c r="M168" s="2" t="s">
        <v>6040</v>
      </c>
      <c r="N168" s="4">
        <v>46223.1297337963</v>
      </c>
      <c r="O168" s="3" t="b">
        <f>L168 = "PASS"</f>
        <v>1</v>
      </c>
      <c r="P168" s="3" t="b">
        <f>L168 = "FAIL"</f>
        <v>0</v>
      </c>
      <c r="Q168" s="3" t="b">
        <f>AND(P168, K168)</f>
        <v>0</v>
      </c>
      <c r="R168" s="3" t="str">
        <f>IF(O168, I168, "")</f>
        <v>suite-substrate</v>
      </c>
      <c r="S168" s="3" t="str">
        <f>IF(Q168, I168, "")</f>
      </c>
      <c r="T168" s="2" t="s">
        <v>5935</v>
      </c>
    </row>
    <row r="169">
      <c r="A169" s="2" t="s">
        <v>6138</v>
      </c>
      <c r="B169" s="3" t="str">
        <f>C169 &amp; ": " &amp; D169</f>
        <v>formula-translates: ProcedureVersions.IsLiveAndUnstewarded</v>
      </c>
      <c r="C169" s="2" t="s">
        <v>6038</v>
      </c>
      <c r="D169" s="2" t="s">
        <v>2700</v>
      </c>
      <c r="E169" s="2" t="s">
        <v>1747</v>
      </c>
      <c r="F169" s="2" t="s">
        <v>397</v>
      </c>
      <c r="G169" s="2" t="s">
        <v>6039</v>
      </c>
      <c r="H169" s="2" t="s">
        <v>2000</v>
      </c>
      <c r="I169" s="2" t="s">
        <v>5920</v>
      </c>
      <c r="J169" s="2" t="s">
        <v>5933</v>
      </c>
      <c r="K169" s="3" t="b">
        <f>J169 = "blocking"</f>
        <v>1</v>
      </c>
      <c r="L169" s="2" t="s">
        <v>1428</v>
      </c>
      <c r="M169" s="2" t="s">
        <v>6040</v>
      </c>
      <c r="N169" s="4">
        <v>46223.1297337963</v>
      </c>
      <c r="O169" s="3" t="b">
        <f>L169 = "PASS"</f>
        <v>1</v>
      </c>
      <c r="P169" s="3" t="b">
        <f>L169 = "FAIL"</f>
        <v>0</v>
      </c>
      <c r="Q169" s="3" t="b">
        <f>AND(P169, K169)</f>
        <v>0</v>
      </c>
      <c r="R169" s="3" t="str">
        <f>IF(O169, I169, "")</f>
        <v>suite-substrate</v>
      </c>
      <c r="S169" s="3" t="str">
        <f>IF(Q169, I169, "")</f>
      </c>
      <c r="T169" s="2" t="s">
        <v>5935</v>
      </c>
    </row>
    <row r="170">
      <c r="A170" s="2" t="s">
        <v>6139</v>
      </c>
      <c r="B170" s="3" t="str">
        <f>C170 &amp; ": " &amp; D170</f>
        <v>formula-translates: ProcedureVersions.CountOfOpenBlockingGaps</v>
      </c>
      <c r="C170" s="2" t="s">
        <v>6038</v>
      </c>
      <c r="D170" s="2" t="s">
        <v>2702</v>
      </c>
      <c r="E170" s="2" t="s">
        <v>1747</v>
      </c>
      <c r="F170" s="2" t="s">
        <v>398</v>
      </c>
      <c r="G170" s="2" t="s">
        <v>6039</v>
      </c>
      <c r="H170" s="2" t="s">
        <v>2008</v>
      </c>
      <c r="I170" s="2" t="s">
        <v>5920</v>
      </c>
      <c r="J170" s="2" t="s">
        <v>5933</v>
      </c>
      <c r="K170" s="3" t="b">
        <f>J170 = "blocking"</f>
        <v>1</v>
      </c>
      <c r="L170" s="2" t="s">
        <v>1428</v>
      </c>
      <c r="M170" s="2" t="s">
        <v>6040</v>
      </c>
      <c r="N170" s="4">
        <v>46223.1297337963</v>
      </c>
      <c r="O170" s="3" t="b">
        <f>L170 = "PASS"</f>
        <v>1</v>
      </c>
      <c r="P170" s="3" t="b">
        <f>L170 = "FAIL"</f>
        <v>0</v>
      </c>
      <c r="Q170" s="3" t="b">
        <f>AND(P170, K170)</f>
        <v>0</v>
      </c>
      <c r="R170" s="3" t="str">
        <f>IF(O170, I170, "")</f>
        <v>suite-substrate</v>
      </c>
      <c r="S170" s="3" t="str">
        <f>IF(Q170, I170, "")</f>
      </c>
      <c r="T170" s="2" t="s">
        <v>5935</v>
      </c>
    </row>
    <row r="171">
      <c r="A171" s="2" t="s">
        <v>6140</v>
      </c>
      <c r="B171" s="3" t="str">
        <f>C171 &amp; ": " &amp; D171</f>
        <v>formula-translates: ProcedureVersions.HasOpenBlockingGap</v>
      </c>
      <c r="C171" s="2" t="s">
        <v>6038</v>
      </c>
      <c r="D171" s="2" t="s">
        <v>2704</v>
      </c>
      <c r="E171" s="2" t="s">
        <v>1747</v>
      </c>
      <c r="F171" s="2" t="s">
        <v>399</v>
      </c>
      <c r="G171" s="2" t="s">
        <v>6039</v>
      </c>
      <c r="H171" s="2" t="s">
        <v>2008</v>
      </c>
      <c r="I171" s="2" t="s">
        <v>5920</v>
      </c>
      <c r="J171" s="2" t="s">
        <v>5933</v>
      </c>
      <c r="K171" s="3" t="b">
        <f>J171 = "blocking"</f>
        <v>1</v>
      </c>
      <c r="L171" s="2" t="s">
        <v>1428</v>
      </c>
      <c r="M171" s="2" t="s">
        <v>6040</v>
      </c>
      <c r="N171" s="4">
        <v>46223.1297337963</v>
      </c>
      <c r="O171" s="3" t="b">
        <f>L171 = "PASS"</f>
        <v>1</v>
      </c>
      <c r="P171" s="3" t="b">
        <f>L171 = "FAIL"</f>
        <v>0</v>
      </c>
      <c r="Q171" s="3" t="b">
        <f>AND(P171, K171)</f>
        <v>0</v>
      </c>
      <c r="R171" s="3" t="str">
        <f>IF(O171, I171, "")</f>
        <v>suite-substrate</v>
      </c>
      <c r="S171" s="3" t="str">
        <f>IF(Q171, I171, "")</f>
      </c>
      <c r="T171" s="2" t="s">
        <v>5935</v>
      </c>
    </row>
    <row r="172">
      <c r="A172" s="2" t="s">
        <v>6141</v>
      </c>
      <c r="B172" s="3" t="str">
        <f>C172 &amp; ": " &amp; D172</f>
        <v>formula-translates: ProcedureVersions.IsLiveWithBlockingGap</v>
      </c>
      <c r="C172" s="2" t="s">
        <v>6038</v>
      </c>
      <c r="D172" s="2" t="s">
        <v>2706</v>
      </c>
      <c r="E172" s="2" t="s">
        <v>1747</v>
      </c>
      <c r="F172" s="2" t="s">
        <v>400</v>
      </c>
      <c r="G172" s="2" t="s">
        <v>6039</v>
      </c>
      <c r="H172" s="2" t="s">
        <v>2008</v>
      </c>
      <c r="I172" s="2" t="s">
        <v>5920</v>
      </c>
      <c r="J172" s="2" t="s">
        <v>5933</v>
      </c>
      <c r="K172" s="3" t="b">
        <f>J172 = "blocking"</f>
        <v>1</v>
      </c>
      <c r="L172" s="2" t="s">
        <v>1428</v>
      </c>
      <c r="M172" s="2" t="s">
        <v>6040</v>
      </c>
      <c r="N172" s="4">
        <v>46223.1297337963</v>
      </c>
      <c r="O172" s="3" t="b">
        <f>L172 = "PASS"</f>
        <v>1</v>
      </c>
      <c r="P172" s="3" t="b">
        <f>L172 = "FAIL"</f>
        <v>0</v>
      </c>
      <c r="Q172" s="3" t="b">
        <f>AND(P172, K172)</f>
        <v>0</v>
      </c>
      <c r="R172" s="3" t="str">
        <f>IF(O172, I172, "")</f>
        <v>suite-substrate</v>
      </c>
      <c r="S172" s="3" t="str">
        <f>IF(Q172, I172, "")</f>
      </c>
      <c r="T172" s="2" t="s">
        <v>5935</v>
      </c>
    </row>
    <row r="173">
      <c r="A173" s="2" t="s">
        <v>6142</v>
      </c>
      <c r="B173" s="3" t="str">
        <f>C173 &amp; ": " &amp; D173</f>
        <v>formula-translates: ProcedureVersions.ShouldNotBeExecutable</v>
      </c>
      <c r="C173" s="2" t="s">
        <v>6038</v>
      </c>
      <c r="D173" s="2" t="s">
        <v>2708</v>
      </c>
      <c r="E173" s="2" t="s">
        <v>1747</v>
      </c>
      <c r="F173" s="2" t="s">
        <v>401</v>
      </c>
      <c r="G173" s="2" t="s">
        <v>6039</v>
      </c>
      <c r="H173" s="2" t="s">
        <v>2008</v>
      </c>
      <c r="I173" s="2" t="s">
        <v>5920</v>
      </c>
      <c r="J173" s="2" t="s">
        <v>5933</v>
      </c>
      <c r="K173" s="3" t="b">
        <f>J173 = "blocking"</f>
        <v>1</v>
      </c>
      <c r="L173" s="2" t="s">
        <v>1428</v>
      </c>
      <c r="M173" s="2" t="s">
        <v>6040</v>
      </c>
      <c r="N173" s="4">
        <v>46223.1297337963</v>
      </c>
      <c r="O173" s="3" t="b">
        <f>L173 = "PASS"</f>
        <v>1</v>
      </c>
      <c r="P173" s="3" t="b">
        <f>L173 = "FAIL"</f>
        <v>0</v>
      </c>
      <c r="Q173" s="3" t="b">
        <f>AND(P173, K173)</f>
        <v>0</v>
      </c>
      <c r="R173" s="3" t="str">
        <f>IF(O173, I173, "")</f>
        <v>suite-substrate</v>
      </c>
      <c r="S173" s="3" t="str">
        <f>IF(Q173, I173, "")</f>
      </c>
      <c r="T173" s="2" t="s">
        <v>5935</v>
      </c>
    </row>
    <row r="174">
      <c r="A174" s="2" t="s">
        <v>6143</v>
      </c>
      <c r="B174" s="3" t="str">
        <f>C174 &amp; ": " &amp; D174</f>
        <v>formula-translates: ProcedureVersions.CountOfUnapprovedRelianceFragments</v>
      </c>
      <c r="C174" s="2" t="s">
        <v>6038</v>
      </c>
      <c r="D174" s="2" t="s">
        <v>2710</v>
      </c>
      <c r="E174" s="2" t="s">
        <v>1747</v>
      </c>
      <c r="F174" s="2" t="s">
        <v>402</v>
      </c>
      <c r="G174" s="2" t="s">
        <v>6039</v>
      </c>
      <c r="H174" s="2" t="s">
        <v>2020</v>
      </c>
      <c r="I174" s="2" t="s">
        <v>5920</v>
      </c>
      <c r="J174" s="2" t="s">
        <v>5933</v>
      </c>
      <c r="K174" s="3" t="b">
        <f>J174 = "blocking"</f>
        <v>1</v>
      </c>
      <c r="L174" s="2" t="s">
        <v>1428</v>
      </c>
      <c r="M174" s="2" t="s">
        <v>6040</v>
      </c>
      <c r="N174" s="4">
        <v>46223.1297337963</v>
      </c>
      <c r="O174" s="3" t="b">
        <f>L174 = "PASS"</f>
        <v>1</v>
      </c>
      <c r="P174" s="3" t="b">
        <f>L174 = "FAIL"</f>
        <v>0</v>
      </c>
      <c r="Q174" s="3" t="b">
        <f>AND(P174, K174)</f>
        <v>0</v>
      </c>
      <c r="R174" s="3" t="str">
        <f>IF(O174, I174, "")</f>
        <v>suite-substrate</v>
      </c>
      <c r="S174" s="3" t="str">
        <f>IF(Q174, I174, "")</f>
      </c>
      <c r="T174" s="2" t="s">
        <v>5935</v>
      </c>
    </row>
    <row r="175">
      <c r="A175" s="2" t="s">
        <v>6144</v>
      </c>
      <c r="B175" s="3" t="str">
        <f>C175 &amp; ": " &amp; D175</f>
        <v>formula-translates: ProcedureVersions.RunsOnUnapprovedKnowledge</v>
      </c>
      <c r="C175" s="2" t="s">
        <v>6038</v>
      </c>
      <c r="D175" s="2" t="s">
        <v>2712</v>
      </c>
      <c r="E175" s="2" t="s">
        <v>1747</v>
      </c>
      <c r="F175" s="2" t="s">
        <v>403</v>
      </c>
      <c r="G175" s="2" t="s">
        <v>6039</v>
      </c>
      <c r="H175" s="2" t="s">
        <v>2020</v>
      </c>
      <c r="I175" s="2" t="s">
        <v>5920</v>
      </c>
      <c r="J175" s="2" t="s">
        <v>5933</v>
      </c>
      <c r="K175" s="3" t="b">
        <f>J175 = "blocking"</f>
        <v>1</v>
      </c>
      <c r="L175" s="2" t="s">
        <v>1428</v>
      </c>
      <c r="M175" s="2" t="s">
        <v>6040</v>
      </c>
      <c r="N175" s="4">
        <v>46223.1297337963</v>
      </c>
      <c r="O175" s="3" t="b">
        <f>L175 = "PASS"</f>
        <v>1</v>
      </c>
      <c r="P175" s="3" t="b">
        <f>L175 = "FAIL"</f>
        <v>0</v>
      </c>
      <c r="Q175" s="3" t="b">
        <f>AND(P175, K175)</f>
        <v>0</v>
      </c>
      <c r="R175" s="3" t="str">
        <f>IF(O175, I175, "")</f>
        <v>suite-substrate</v>
      </c>
      <c r="S175" s="3" t="str">
        <f>IF(Q175, I175, "")</f>
      </c>
      <c r="T175" s="2" t="s">
        <v>5935</v>
      </c>
    </row>
    <row r="176">
      <c r="A176" s="2" t="s">
        <v>6145</v>
      </c>
      <c r="B176" s="3" t="str">
        <f>C176 &amp; ": " &amp; D176</f>
        <v>formula-translates: ProcedureVersions.CountOfOverdueGaps</v>
      </c>
      <c r="C176" s="2" t="s">
        <v>6038</v>
      </c>
      <c r="D176" s="2" t="s">
        <v>2714</v>
      </c>
      <c r="E176" s="2" t="s">
        <v>1747</v>
      </c>
      <c r="F176" s="2" t="s">
        <v>404</v>
      </c>
      <c r="G176" s="2" t="s">
        <v>6039</v>
      </c>
      <c r="H176" s="2" t="s">
        <v>2028</v>
      </c>
      <c r="I176" s="2" t="s">
        <v>5920</v>
      </c>
      <c r="J176" s="2" t="s">
        <v>5933</v>
      </c>
      <c r="K176" s="3" t="b">
        <f>J176 = "blocking"</f>
        <v>1</v>
      </c>
      <c r="L176" s="2" t="s">
        <v>1428</v>
      </c>
      <c r="M176" s="2" t="s">
        <v>6040</v>
      </c>
      <c r="N176" s="4">
        <v>46223.1297337963</v>
      </c>
      <c r="O176" s="3" t="b">
        <f>L176 = "PASS"</f>
        <v>1</v>
      </c>
      <c r="P176" s="3" t="b">
        <f>L176 = "FAIL"</f>
        <v>0</v>
      </c>
      <c r="Q176" s="3" t="b">
        <f>AND(P176, K176)</f>
        <v>0</v>
      </c>
      <c r="R176" s="3" t="str">
        <f>IF(O176, I176, "")</f>
        <v>suite-substrate</v>
      </c>
      <c r="S176" s="3" t="str">
        <f>IF(Q176, I176, "")</f>
      </c>
      <c r="T176" s="2" t="s">
        <v>5935</v>
      </c>
    </row>
    <row r="177">
      <c r="A177" s="2" t="s">
        <v>6146</v>
      </c>
      <c r="B177" s="3" t="str">
        <f>C177 &amp; ": " &amp; D177</f>
        <v>formula-translates: ProcedureVersions.CountOfChangeRequests</v>
      </c>
      <c r="C177" s="2" t="s">
        <v>6038</v>
      </c>
      <c r="D177" s="2" t="s">
        <v>2716</v>
      </c>
      <c r="E177" s="2" t="s">
        <v>1747</v>
      </c>
      <c r="F177" s="2" t="s">
        <v>405</v>
      </c>
      <c r="G177" s="2" t="s">
        <v>6039</v>
      </c>
      <c r="H177" s="2" t="s">
        <v>2032</v>
      </c>
      <c r="I177" s="2" t="s">
        <v>5920</v>
      </c>
      <c r="J177" s="2" t="s">
        <v>5933</v>
      </c>
      <c r="K177" s="3" t="b">
        <f>J177 = "blocking"</f>
        <v>1</v>
      </c>
      <c r="L177" s="2" t="s">
        <v>1428</v>
      </c>
      <c r="M177" s="2" t="s">
        <v>6040</v>
      </c>
      <c r="N177" s="4">
        <v>46223.1297337963</v>
      </c>
      <c r="O177" s="3" t="b">
        <f>L177 = "PASS"</f>
        <v>1</v>
      </c>
      <c r="P177" s="3" t="b">
        <f>L177 = "FAIL"</f>
        <v>0</v>
      </c>
      <c r="Q177" s="3" t="b">
        <f>AND(P177, K177)</f>
        <v>0</v>
      </c>
      <c r="R177" s="3" t="str">
        <f>IF(O177, I177, "")</f>
        <v>suite-substrate</v>
      </c>
      <c r="S177" s="3" t="str">
        <f>IF(Q177, I177, "")</f>
      </c>
      <c r="T177" s="2" t="s">
        <v>5935</v>
      </c>
    </row>
    <row r="178">
      <c r="A178" s="2" t="s">
        <v>6147</v>
      </c>
      <c r="B178" s="3" t="str">
        <f>C178 &amp; ": " &amp; D178</f>
        <v>formula-translates: ProcedureVersions.CountOfReviewEvents</v>
      </c>
      <c r="C178" s="2" t="s">
        <v>6038</v>
      </c>
      <c r="D178" s="2" t="s">
        <v>2718</v>
      </c>
      <c r="E178" s="2" t="s">
        <v>1747</v>
      </c>
      <c r="F178" s="2" t="s">
        <v>406</v>
      </c>
      <c r="G178" s="2" t="s">
        <v>6039</v>
      </c>
      <c r="H178" s="2" t="s">
        <v>2032</v>
      </c>
      <c r="I178" s="2" t="s">
        <v>5920</v>
      </c>
      <c r="J178" s="2" t="s">
        <v>5933</v>
      </c>
      <c r="K178" s="3" t="b">
        <f>J178 = "blocking"</f>
        <v>1</v>
      </c>
      <c r="L178" s="2" t="s">
        <v>1428</v>
      </c>
      <c r="M178" s="2" t="s">
        <v>6040</v>
      </c>
      <c r="N178" s="4">
        <v>46223.1297337963</v>
      </c>
      <c r="O178" s="3" t="b">
        <f>L178 = "PASS"</f>
        <v>1</v>
      </c>
      <c r="P178" s="3" t="b">
        <f>L178 = "FAIL"</f>
        <v>0</v>
      </c>
      <c r="Q178" s="3" t="b">
        <f>AND(P178, K178)</f>
        <v>0</v>
      </c>
      <c r="R178" s="3" t="str">
        <f>IF(O178, I178, "")</f>
        <v>suite-substrate</v>
      </c>
      <c r="S178" s="3" t="str">
        <f>IF(Q178, I178, "")</f>
      </c>
      <c r="T178" s="2" t="s">
        <v>5935</v>
      </c>
    </row>
    <row r="179">
      <c r="A179" s="2" t="s">
        <v>6148</v>
      </c>
      <c r="B179" s="3" t="str">
        <f>C179 &amp; ": " &amp; D179</f>
        <v>formula-translates: ProcedureVersions.HasGovernanceRecord</v>
      </c>
      <c r="C179" s="2" t="s">
        <v>6038</v>
      </c>
      <c r="D179" s="2" t="s">
        <v>2720</v>
      </c>
      <c r="E179" s="2" t="s">
        <v>1747</v>
      </c>
      <c r="F179" s="2" t="s">
        <v>407</v>
      </c>
      <c r="G179" s="2" t="s">
        <v>6039</v>
      </c>
      <c r="H179" s="2" t="s">
        <v>2032</v>
      </c>
      <c r="I179" s="2" t="s">
        <v>5920</v>
      </c>
      <c r="J179" s="2" t="s">
        <v>5933</v>
      </c>
      <c r="K179" s="3" t="b">
        <f>J179 = "blocking"</f>
        <v>1</v>
      </c>
      <c r="L179" s="2" t="s">
        <v>1428</v>
      </c>
      <c r="M179" s="2" t="s">
        <v>6040</v>
      </c>
      <c r="N179" s="4">
        <v>46223.1297337963</v>
      </c>
      <c r="O179" s="3" t="b">
        <f>L179 = "PASS"</f>
        <v>1</v>
      </c>
      <c r="P179" s="3" t="b">
        <f>L179 = "FAIL"</f>
        <v>0</v>
      </c>
      <c r="Q179" s="3" t="b">
        <f>AND(P179, K179)</f>
        <v>0</v>
      </c>
      <c r="R179" s="3" t="str">
        <f>IF(O179, I179, "")</f>
        <v>suite-substrate</v>
      </c>
      <c r="S179" s="3" t="str">
        <f>IF(Q179, I179, "")</f>
      </c>
      <c r="T179" s="2" t="s">
        <v>5935</v>
      </c>
    </row>
    <row r="180">
      <c r="A180" s="2" t="s">
        <v>6149</v>
      </c>
      <c r="B180" s="3" t="str">
        <f>C180 &amp; ": " &amp; D180</f>
        <v>formula-translates: ProcedureVersions.AsOfInstant</v>
      </c>
      <c r="C180" s="2" t="s">
        <v>6038</v>
      </c>
      <c r="D180" s="2" t="s">
        <v>2723</v>
      </c>
      <c r="E180" s="2" t="s">
        <v>1747</v>
      </c>
      <c r="F180" s="2" t="s">
        <v>92</v>
      </c>
      <c r="G180" s="2" t="s">
        <v>6039</v>
      </c>
      <c r="H180" s="2"/>
      <c r="I180" s="2" t="s">
        <v>5920</v>
      </c>
      <c r="J180" s="2" t="s">
        <v>5933</v>
      </c>
      <c r="K180" s="3" t="b">
        <f>J180 = "blocking"</f>
        <v>1</v>
      </c>
      <c r="L180" s="2" t="s">
        <v>1428</v>
      </c>
      <c r="M180" s="2" t="s">
        <v>6040</v>
      </c>
      <c r="N180" s="4">
        <v>46223.1297337963</v>
      </c>
      <c r="O180" s="3" t="b">
        <f>L180 = "PASS"</f>
        <v>1</v>
      </c>
      <c r="P180" s="3" t="b">
        <f>L180 = "FAIL"</f>
        <v>0</v>
      </c>
      <c r="Q180" s="3" t="b">
        <f>AND(P180, K180)</f>
        <v>0</v>
      </c>
      <c r="R180" s="3" t="str">
        <f>IF(O180, I180, "")</f>
        <v>suite-substrate</v>
      </c>
      <c r="S180" s="3" t="str">
        <f>IF(Q180, I180, "")</f>
      </c>
      <c r="T180" s="2" t="s">
        <v>5935</v>
      </c>
    </row>
    <row r="181">
      <c r="A181" s="2" t="s">
        <v>6150</v>
      </c>
      <c r="B181" s="3" t="str">
        <f>C181 &amp; ": " &amp; D181</f>
        <v>formula-translates: ProcedureVersions.DaysSinceModified</v>
      </c>
      <c r="C181" s="2" t="s">
        <v>6038</v>
      </c>
      <c r="D181" s="2" t="s">
        <v>2724</v>
      </c>
      <c r="E181" s="2" t="s">
        <v>1747</v>
      </c>
      <c r="F181" s="2" t="s">
        <v>408</v>
      </c>
      <c r="G181" s="2" t="s">
        <v>6039</v>
      </c>
      <c r="H181" s="2" t="s">
        <v>2032</v>
      </c>
      <c r="I181" s="2" t="s">
        <v>5920</v>
      </c>
      <c r="J181" s="2" t="s">
        <v>5933</v>
      </c>
      <c r="K181" s="3" t="b">
        <f>J181 = "blocking"</f>
        <v>1</v>
      </c>
      <c r="L181" s="2" t="s">
        <v>1428</v>
      </c>
      <c r="M181" s="2" t="s">
        <v>6040</v>
      </c>
      <c r="N181" s="4">
        <v>46223.1297337963</v>
      </c>
      <c r="O181" s="3" t="b">
        <f>L181 = "PASS"</f>
        <v>1</v>
      </c>
      <c r="P181" s="3" t="b">
        <f>L181 = "FAIL"</f>
        <v>0</v>
      </c>
      <c r="Q181" s="3" t="b">
        <f>AND(P181, K181)</f>
        <v>0</v>
      </c>
      <c r="R181" s="3" t="str">
        <f>IF(O181, I181, "")</f>
        <v>suite-substrate</v>
      </c>
      <c r="S181" s="3" t="str">
        <f>IF(Q181, I181, "")</f>
      </c>
      <c r="T181" s="2" t="s">
        <v>5935</v>
      </c>
    </row>
    <row r="182">
      <c r="A182" s="2" t="s">
        <v>6151</v>
      </c>
      <c r="B182" s="3" t="str">
        <f>C182 &amp; ": " &amp; D182</f>
        <v>formula-translates: ProcedureVersions.DaysSinceLastReview</v>
      </c>
      <c r="C182" s="2" t="s">
        <v>6038</v>
      </c>
      <c r="D182" s="2" t="s">
        <v>2726</v>
      </c>
      <c r="E182" s="2" t="s">
        <v>1747</v>
      </c>
      <c r="F182" s="2" t="s">
        <v>409</v>
      </c>
      <c r="G182" s="2" t="s">
        <v>6039</v>
      </c>
      <c r="H182" s="2" t="s">
        <v>2032</v>
      </c>
      <c r="I182" s="2" t="s">
        <v>5920</v>
      </c>
      <c r="J182" s="2" t="s">
        <v>5933</v>
      </c>
      <c r="K182" s="3" t="b">
        <f>J182 = "blocking"</f>
        <v>1</v>
      </c>
      <c r="L182" s="2" t="s">
        <v>1428</v>
      </c>
      <c r="M182" s="2" t="s">
        <v>6040</v>
      </c>
      <c r="N182" s="4">
        <v>46223.1297337963</v>
      </c>
      <c r="O182" s="3" t="b">
        <f>L182 = "PASS"</f>
        <v>1</v>
      </c>
      <c r="P182" s="3" t="b">
        <f>L182 = "FAIL"</f>
        <v>0</v>
      </c>
      <c r="Q182" s="3" t="b">
        <f>AND(P182, K182)</f>
        <v>0</v>
      </c>
      <c r="R182" s="3" t="str">
        <f>IF(O182, I182, "")</f>
        <v>suite-substrate</v>
      </c>
      <c r="S182" s="3" t="str">
        <f>IF(Q182, I182, "")</f>
      </c>
      <c r="T182" s="2" t="s">
        <v>5935</v>
      </c>
    </row>
    <row r="183">
      <c r="A183" s="2" t="s">
        <v>6152</v>
      </c>
      <c r="B183" s="3" t="str">
        <f>C183 &amp; ": " &amp; D183</f>
        <v>formula-translates: ProcedureVersions.WasModifiedSinceLastReview</v>
      </c>
      <c r="C183" s="2" t="s">
        <v>6038</v>
      </c>
      <c r="D183" s="2" t="s">
        <v>2728</v>
      </c>
      <c r="E183" s="2" t="s">
        <v>1747</v>
      </c>
      <c r="F183" s="2" t="s">
        <v>410</v>
      </c>
      <c r="G183" s="2" t="s">
        <v>6039</v>
      </c>
      <c r="H183" s="2" t="s">
        <v>2032</v>
      </c>
      <c r="I183" s="2" t="s">
        <v>5920</v>
      </c>
      <c r="J183" s="2" t="s">
        <v>5933</v>
      </c>
      <c r="K183" s="3" t="b">
        <f>J183 = "blocking"</f>
        <v>1</v>
      </c>
      <c r="L183" s="2" t="s">
        <v>1428</v>
      </c>
      <c r="M183" s="2" t="s">
        <v>6040</v>
      </c>
      <c r="N183" s="4">
        <v>46223.1297337963</v>
      </c>
      <c r="O183" s="3" t="b">
        <f>L183 = "PASS"</f>
        <v>1</v>
      </c>
      <c r="P183" s="3" t="b">
        <f>L183 = "FAIL"</f>
        <v>0</v>
      </c>
      <c r="Q183" s="3" t="b">
        <f>AND(P183, K183)</f>
        <v>0</v>
      </c>
      <c r="R183" s="3" t="str">
        <f>IF(O183, I183, "")</f>
        <v>suite-substrate</v>
      </c>
      <c r="S183" s="3" t="str">
        <f>IF(Q183, I183, "")</f>
      </c>
      <c r="T183" s="2" t="s">
        <v>5935</v>
      </c>
    </row>
    <row r="184">
      <c r="A184" s="2" t="s">
        <v>6153</v>
      </c>
      <c r="B184" s="3" t="str">
        <f>C184 &amp; ": " &amp; D184</f>
        <v>formula-translates: ProcedureVersions.ModifierIsAuthority</v>
      </c>
      <c r="C184" s="2" t="s">
        <v>6038</v>
      </c>
      <c r="D184" s="2" t="s">
        <v>2730</v>
      </c>
      <c r="E184" s="2" t="s">
        <v>1747</v>
      </c>
      <c r="F184" s="2" t="s">
        <v>411</v>
      </c>
      <c r="G184" s="2" t="s">
        <v>6039</v>
      </c>
      <c r="H184" s="2" t="s">
        <v>2032</v>
      </c>
      <c r="I184" s="2" t="s">
        <v>5920</v>
      </c>
      <c r="J184" s="2" t="s">
        <v>5933</v>
      </c>
      <c r="K184" s="3" t="b">
        <f>J184 = "blocking"</f>
        <v>1</v>
      </c>
      <c r="L184" s="2" t="s">
        <v>1428</v>
      </c>
      <c r="M184" s="2" t="s">
        <v>6040</v>
      </c>
      <c r="N184" s="4">
        <v>46223.1297337963</v>
      </c>
      <c r="O184" s="3" t="b">
        <f>L184 = "PASS"</f>
        <v>1</v>
      </c>
      <c r="P184" s="3" t="b">
        <f>L184 = "FAIL"</f>
        <v>0</v>
      </c>
      <c r="Q184" s="3" t="b">
        <f>AND(P184, K184)</f>
        <v>0</v>
      </c>
      <c r="R184" s="3" t="str">
        <f>IF(O184, I184, "")</f>
        <v>suite-substrate</v>
      </c>
      <c r="S184" s="3" t="str">
        <f>IF(Q184, I184, "")</f>
      </c>
      <c r="T184" s="2" t="s">
        <v>5935</v>
      </c>
    </row>
    <row r="185">
      <c r="A185" s="2" t="s">
        <v>6154</v>
      </c>
      <c r="B185" s="3" t="str">
        <f>C185 &amp; ": " &amp; D185</f>
        <v>formula-translates: ProcedureVersions.HasUnwitnessedChange</v>
      </c>
      <c r="C185" s="2" t="s">
        <v>6038</v>
      </c>
      <c r="D185" s="2" t="s">
        <v>2732</v>
      </c>
      <c r="E185" s="2" t="s">
        <v>1747</v>
      </c>
      <c r="F185" s="2" t="s">
        <v>412</v>
      </c>
      <c r="G185" s="2" t="s">
        <v>6039</v>
      </c>
      <c r="H185" s="2" t="s">
        <v>2032</v>
      </c>
      <c r="I185" s="2" t="s">
        <v>5920</v>
      </c>
      <c r="J185" s="2" t="s">
        <v>5933</v>
      </c>
      <c r="K185" s="3" t="b">
        <f>J185 = "blocking"</f>
        <v>1</v>
      </c>
      <c r="L185" s="2" t="s">
        <v>1428</v>
      </c>
      <c r="M185" s="2" t="s">
        <v>6040</v>
      </c>
      <c r="N185" s="4">
        <v>46223.1297337963</v>
      </c>
      <c r="O185" s="3" t="b">
        <f>L185 = "PASS"</f>
        <v>1</v>
      </c>
      <c r="P185" s="3" t="b">
        <f>L185 = "FAIL"</f>
        <v>0</v>
      </c>
      <c r="Q185" s="3" t="b">
        <f>AND(P185, K185)</f>
        <v>0</v>
      </c>
      <c r="R185" s="3" t="str">
        <f>IF(O185, I185, "")</f>
        <v>suite-substrate</v>
      </c>
      <c r="S185" s="3" t="str">
        <f>IF(Q185, I185, "")</f>
      </c>
      <c r="T185" s="2" t="s">
        <v>5935</v>
      </c>
    </row>
    <row r="186">
      <c r="A186" s="2" t="s">
        <v>6155</v>
      </c>
      <c r="B186" s="3" t="str">
        <f>C186 &amp; ": " &amp; D186</f>
        <v>formula-translates: ProcedureVersions.CountOfStaleFragments</v>
      </c>
      <c r="C186" s="2" t="s">
        <v>6038</v>
      </c>
      <c r="D186" s="2" t="s">
        <v>2734</v>
      </c>
      <c r="E186" s="2" t="s">
        <v>1747</v>
      </c>
      <c r="F186" s="2" t="s">
        <v>413</v>
      </c>
      <c r="G186" s="2" t="s">
        <v>6039</v>
      </c>
      <c r="H186" s="2" t="s">
        <v>2132</v>
      </c>
      <c r="I186" s="2" t="s">
        <v>5920</v>
      </c>
      <c r="J186" s="2" t="s">
        <v>5933</v>
      </c>
      <c r="K186" s="3" t="b">
        <f>J186 = "blocking"</f>
        <v>1</v>
      </c>
      <c r="L186" s="2" t="s">
        <v>1428</v>
      </c>
      <c r="M186" s="2" t="s">
        <v>6040</v>
      </c>
      <c r="N186" s="4">
        <v>46223.1297337963</v>
      </c>
      <c r="O186" s="3" t="b">
        <f>L186 = "PASS"</f>
        <v>1</v>
      </c>
      <c r="P186" s="3" t="b">
        <f>L186 = "FAIL"</f>
        <v>0</v>
      </c>
      <c r="Q186" s="3" t="b">
        <f>AND(P186, K186)</f>
        <v>0</v>
      </c>
      <c r="R186" s="3" t="str">
        <f>IF(O186, I186, "")</f>
        <v>suite-substrate</v>
      </c>
      <c r="S186" s="3" t="str">
        <f>IF(Q186, I186, "")</f>
      </c>
      <c r="T186" s="2" t="s">
        <v>5935</v>
      </c>
    </row>
    <row r="187">
      <c r="A187" s="2" t="s">
        <v>6156</v>
      </c>
      <c r="B187" s="3" t="str">
        <f>C187 &amp; ": " &amp; D187</f>
        <v>formula-translates: ProcedureVersions.KnowledgeIsStalerThanCadence</v>
      </c>
      <c r="C187" s="2" t="s">
        <v>6038</v>
      </c>
      <c r="D187" s="2" t="s">
        <v>2736</v>
      </c>
      <c r="E187" s="2" t="s">
        <v>1747</v>
      </c>
      <c r="F187" s="2" t="s">
        <v>414</v>
      </c>
      <c r="G187" s="2" t="s">
        <v>6039</v>
      </c>
      <c r="H187" s="2" t="s">
        <v>2132</v>
      </c>
      <c r="I187" s="2" t="s">
        <v>5920</v>
      </c>
      <c r="J187" s="2" t="s">
        <v>5933</v>
      </c>
      <c r="K187" s="3" t="b">
        <f>J187 = "blocking"</f>
        <v>1</v>
      </c>
      <c r="L187" s="2" t="s">
        <v>1428</v>
      </c>
      <c r="M187" s="2" t="s">
        <v>6040</v>
      </c>
      <c r="N187" s="4">
        <v>46223.1297337963</v>
      </c>
      <c r="O187" s="3" t="b">
        <f>L187 = "PASS"</f>
        <v>1</v>
      </c>
      <c r="P187" s="3" t="b">
        <f>L187 = "FAIL"</f>
        <v>0</v>
      </c>
      <c r="Q187" s="3" t="b">
        <f>AND(P187, K187)</f>
        <v>0</v>
      </c>
      <c r="R187" s="3" t="str">
        <f>IF(O187, I187, "")</f>
        <v>suite-substrate</v>
      </c>
      <c r="S187" s="3" t="str">
        <f>IF(Q187, I187, "")</f>
      </c>
      <c r="T187" s="2" t="s">
        <v>5935</v>
      </c>
    </row>
    <row r="188">
      <c r="A188" s="2" t="s">
        <v>6157</v>
      </c>
      <c r="B188" s="3" t="str">
        <f>C188 &amp; ": " &amp; D188</f>
        <v>formula-translates: ProcedureVersions.CompoundFragileFragmentCount</v>
      </c>
      <c r="C188" s="2" t="s">
        <v>6038</v>
      </c>
      <c r="D188" s="2" t="s">
        <v>2738</v>
      </c>
      <c r="E188" s="2" t="s">
        <v>1747</v>
      </c>
      <c r="F188" s="2" t="s">
        <v>415</v>
      </c>
      <c r="G188" s="2" t="s">
        <v>6039</v>
      </c>
      <c r="H188" s="2" t="s">
        <v>2176</v>
      </c>
      <c r="I188" s="2" t="s">
        <v>5920</v>
      </c>
      <c r="J188" s="2" t="s">
        <v>5933</v>
      </c>
      <c r="K188" s="3" t="b">
        <f>J188 = "blocking"</f>
        <v>1</v>
      </c>
      <c r="L188" s="2" t="s">
        <v>1428</v>
      </c>
      <c r="M188" s="2" t="s">
        <v>6040</v>
      </c>
      <c r="N188" s="4">
        <v>46223.1297337963</v>
      </c>
      <c r="O188" s="3" t="b">
        <f>L188 = "PASS"</f>
        <v>1</v>
      </c>
      <c r="P188" s="3" t="b">
        <f>L188 = "FAIL"</f>
        <v>0</v>
      </c>
      <c r="Q188" s="3" t="b">
        <f>AND(P188, K188)</f>
        <v>0</v>
      </c>
      <c r="R188" s="3" t="str">
        <f>IF(O188, I188, "")</f>
        <v>suite-substrate</v>
      </c>
      <c r="S188" s="3" t="str">
        <f>IF(Q188, I188, "")</f>
      </c>
      <c r="T188" s="2" t="s">
        <v>5935</v>
      </c>
    </row>
    <row r="189">
      <c r="A189" s="2" t="s">
        <v>6158</v>
      </c>
      <c r="B189" s="3" t="str">
        <f>C189 &amp; ": " &amp; D189</f>
        <v>formula-translates: ProcedureVersions.RestsOnCompoundFragileKnowledge</v>
      </c>
      <c r="C189" s="2" t="s">
        <v>6038</v>
      </c>
      <c r="D189" s="2" t="s">
        <v>2740</v>
      </c>
      <c r="E189" s="2" t="s">
        <v>1747</v>
      </c>
      <c r="F189" s="2" t="s">
        <v>416</v>
      </c>
      <c r="G189" s="2" t="s">
        <v>6039</v>
      </c>
      <c r="H189" s="2" t="s">
        <v>2176</v>
      </c>
      <c r="I189" s="2" t="s">
        <v>5920</v>
      </c>
      <c r="J189" s="2" t="s">
        <v>5933</v>
      </c>
      <c r="K189" s="3" t="b">
        <f>J189 = "blocking"</f>
        <v>1</v>
      </c>
      <c r="L189" s="2" t="s">
        <v>1428</v>
      </c>
      <c r="M189" s="2" t="s">
        <v>6040</v>
      </c>
      <c r="N189" s="4">
        <v>46223.1297337963</v>
      </c>
      <c r="O189" s="3" t="b">
        <f>L189 = "PASS"</f>
        <v>1</v>
      </c>
      <c r="P189" s="3" t="b">
        <f>L189 = "FAIL"</f>
        <v>0</v>
      </c>
      <c r="Q189" s="3" t="b">
        <f>AND(P189, K189)</f>
        <v>0</v>
      </c>
      <c r="R189" s="3" t="str">
        <f>IF(O189, I189, "")</f>
        <v>suite-substrate</v>
      </c>
      <c r="S189" s="3" t="str">
        <f>IF(Q189, I189, "")</f>
      </c>
      <c r="T189" s="2" t="s">
        <v>5935</v>
      </c>
    </row>
    <row r="190">
      <c r="A190" s="2" t="s">
        <v>6159</v>
      </c>
      <c r="B190" s="3" t="str">
        <f>C190 &amp; ": " &amp; D190</f>
        <v>formula-translates: ProcedureVersions.ConcentratedWitnessSessionCount</v>
      </c>
      <c r="C190" s="2" t="s">
        <v>6038</v>
      </c>
      <c r="D190" s="2" t="s">
        <v>2742</v>
      </c>
      <c r="E190" s="2" t="s">
        <v>1747</v>
      </c>
      <c r="F190" s="2" t="s">
        <v>417</v>
      </c>
      <c r="G190" s="2" t="s">
        <v>6039</v>
      </c>
      <c r="H190" s="2" t="s">
        <v>2184</v>
      </c>
      <c r="I190" s="2" t="s">
        <v>5920</v>
      </c>
      <c r="J190" s="2" t="s">
        <v>5933</v>
      </c>
      <c r="K190" s="3" t="b">
        <f>J190 = "blocking"</f>
        <v>1</v>
      </c>
      <c r="L190" s="2" t="s">
        <v>1428</v>
      </c>
      <c r="M190" s="2" t="s">
        <v>6040</v>
      </c>
      <c r="N190" s="4">
        <v>46223.1297337963</v>
      </c>
      <c r="O190" s="3" t="b">
        <f>L190 = "PASS"</f>
        <v>1</v>
      </c>
      <c r="P190" s="3" t="b">
        <f>L190 = "FAIL"</f>
        <v>0</v>
      </c>
      <c r="Q190" s="3" t="b">
        <f>AND(P190, K190)</f>
        <v>0</v>
      </c>
      <c r="R190" s="3" t="str">
        <f>IF(O190, I190, "")</f>
        <v>suite-substrate</v>
      </c>
      <c r="S190" s="3" t="str">
        <f>IF(Q190, I190, "")</f>
      </c>
      <c r="T190" s="2" t="s">
        <v>5935</v>
      </c>
    </row>
    <row r="191">
      <c r="A191" s="2" t="s">
        <v>6160</v>
      </c>
      <c r="B191" s="3" t="str">
        <f>C191 &amp; ": " &amp; D191</f>
        <v>formula-translates: ProcedureVersions.KnowledgeBaseIsConcentrated</v>
      </c>
      <c r="C191" s="2" t="s">
        <v>6038</v>
      </c>
      <c r="D191" s="2" t="s">
        <v>2744</v>
      </c>
      <c r="E191" s="2" t="s">
        <v>1747</v>
      </c>
      <c r="F191" s="2" t="s">
        <v>418</v>
      </c>
      <c r="G191" s="2" t="s">
        <v>6039</v>
      </c>
      <c r="H191" s="2" t="s">
        <v>2184</v>
      </c>
      <c r="I191" s="2" t="s">
        <v>5920</v>
      </c>
      <c r="J191" s="2" t="s">
        <v>5933</v>
      </c>
      <c r="K191" s="3" t="b">
        <f>J191 = "blocking"</f>
        <v>1</v>
      </c>
      <c r="L191" s="2" t="s">
        <v>1428</v>
      </c>
      <c r="M191" s="2" t="s">
        <v>6040</v>
      </c>
      <c r="N191" s="4">
        <v>46223.1297337963</v>
      </c>
      <c r="O191" s="3" t="b">
        <f>L191 = "PASS"</f>
        <v>1</v>
      </c>
      <c r="P191" s="3" t="b">
        <f>L191 = "FAIL"</f>
        <v>0</v>
      </c>
      <c r="Q191" s="3" t="b">
        <f>AND(P191, K191)</f>
        <v>0</v>
      </c>
      <c r="R191" s="3" t="str">
        <f>IF(O191, I191, "")</f>
        <v>suite-substrate</v>
      </c>
      <c r="S191" s="3" t="str">
        <f>IF(Q191, I191, "")</f>
      </c>
      <c r="T191" s="2" t="s">
        <v>5935</v>
      </c>
    </row>
    <row r="192">
      <c r="A192" s="2" t="s">
        <v>6161</v>
      </c>
      <c r="B192" s="3" t="str">
        <f>C192 &amp; ": " &amp; D192</f>
        <v>formula-translates: ProcedureVersions.MachineConsumedUnapprovedCount</v>
      </c>
      <c r="C192" s="2" t="s">
        <v>6038</v>
      </c>
      <c r="D192" s="2" t="s">
        <v>2746</v>
      </c>
      <c r="E192" s="2" t="s">
        <v>1747</v>
      </c>
      <c r="F192" s="2" t="s">
        <v>419</v>
      </c>
      <c r="G192" s="2" t="s">
        <v>6039</v>
      </c>
      <c r="H192" s="2" t="s">
        <v>2188</v>
      </c>
      <c r="I192" s="2" t="s">
        <v>5920</v>
      </c>
      <c r="J192" s="2" t="s">
        <v>5933</v>
      </c>
      <c r="K192" s="3" t="b">
        <f>J192 = "blocking"</f>
        <v>1</v>
      </c>
      <c r="L192" s="2" t="s">
        <v>1428</v>
      </c>
      <c r="M192" s="2" t="s">
        <v>6040</v>
      </c>
      <c r="N192" s="4">
        <v>46223.1297337963</v>
      </c>
      <c r="O192" s="3" t="b">
        <f>L192 = "PASS"</f>
        <v>1</v>
      </c>
      <c r="P192" s="3" t="b">
        <f>L192 = "FAIL"</f>
        <v>0</v>
      </c>
      <c r="Q192" s="3" t="b">
        <f>AND(P192, K192)</f>
        <v>0</v>
      </c>
      <c r="R192" s="3" t="str">
        <f>IF(O192, I192, "")</f>
        <v>suite-substrate</v>
      </c>
      <c r="S192" s="3" t="str">
        <f>IF(Q192, I192, "")</f>
      </c>
      <c r="T192" s="2" t="s">
        <v>5935</v>
      </c>
    </row>
    <row r="193">
      <c r="A193" s="2" t="s">
        <v>6162</v>
      </c>
      <c r="B193" s="3" t="str">
        <f>C193 &amp; ": " &amp; D193</f>
        <v>formula-translates: ProcedureVersions.FeedsUnapprovedKnowledgeToMachines</v>
      </c>
      <c r="C193" s="2" t="s">
        <v>6038</v>
      </c>
      <c r="D193" s="2" t="s">
        <v>2748</v>
      </c>
      <c r="E193" s="2" t="s">
        <v>1747</v>
      </c>
      <c r="F193" s="2" t="s">
        <v>420</v>
      </c>
      <c r="G193" s="2" t="s">
        <v>6039</v>
      </c>
      <c r="H193" s="2" t="s">
        <v>2188</v>
      </c>
      <c r="I193" s="2" t="s">
        <v>5920</v>
      </c>
      <c r="J193" s="2" t="s">
        <v>5933</v>
      </c>
      <c r="K193" s="3" t="b">
        <f>J193 = "blocking"</f>
        <v>1</v>
      </c>
      <c r="L193" s="2" t="s">
        <v>1428</v>
      </c>
      <c r="M193" s="2" t="s">
        <v>6040</v>
      </c>
      <c r="N193" s="4">
        <v>46223.1297337963</v>
      </c>
      <c r="O193" s="3" t="b">
        <f>L193 = "PASS"</f>
        <v>1</v>
      </c>
      <c r="P193" s="3" t="b">
        <f>L193 = "FAIL"</f>
        <v>0</v>
      </c>
      <c r="Q193" s="3" t="b">
        <f>AND(P193, K193)</f>
        <v>0</v>
      </c>
      <c r="R193" s="3" t="str">
        <f>IF(O193, I193, "")</f>
        <v>suite-substrate</v>
      </c>
      <c r="S193" s="3" t="str">
        <f>IF(Q193, I193, "")</f>
      </c>
      <c r="T193" s="2" t="s">
        <v>5935</v>
      </c>
    </row>
    <row r="194">
      <c r="A194" s="2" t="s">
        <v>6163</v>
      </c>
      <c r="B194" s="3" t="str">
        <f>C194 &amp; ": " &amp; D194</f>
        <v>formula-translates: ProcedureVersions.GenuinelyOverdueFragmentCount</v>
      </c>
      <c r="C194" s="2" t="s">
        <v>6038</v>
      </c>
      <c r="D194" s="2" t="s">
        <v>2750</v>
      </c>
      <c r="E194" s="2" t="s">
        <v>1747</v>
      </c>
      <c r="F194" s="2" t="s">
        <v>421</v>
      </c>
      <c r="G194" s="2" t="s">
        <v>6039</v>
      </c>
      <c r="H194" s="2" t="s">
        <v>2192</v>
      </c>
      <c r="I194" s="2" t="s">
        <v>5920</v>
      </c>
      <c r="J194" s="2" t="s">
        <v>5933</v>
      </c>
      <c r="K194" s="3" t="b">
        <f>J194 = "blocking"</f>
        <v>1</v>
      </c>
      <c r="L194" s="2" t="s">
        <v>1428</v>
      </c>
      <c r="M194" s="2" t="s">
        <v>6040</v>
      </c>
      <c r="N194" s="4">
        <v>46223.1297337963</v>
      </c>
      <c r="O194" s="3" t="b">
        <f>L194 = "PASS"</f>
        <v>1</v>
      </c>
      <c r="P194" s="3" t="b">
        <f>L194 = "FAIL"</f>
        <v>0</v>
      </c>
      <c r="Q194" s="3" t="b">
        <f>AND(P194, K194)</f>
        <v>0</v>
      </c>
      <c r="R194" s="3" t="str">
        <f>IF(O194, I194, "")</f>
        <v>suite-substrate</v>
      </c>
      <c r="S194" s="3" t="str">
        <f>IF(Q194, I194, "")</f>
      </c>
      <c r="T194" s="2" t="s">
        <v>5935</v>
      </c>
    </row>
    <row r="195">
      <c r="A195" s="2" t="s">
        <v>6164</v>
      </c>
      <c r="B195" s="3" t="str">
        <f>C195 &amp; ": " &amp; D195</f>
        <v>formula-translates: ProcedureVersions.AwaitedDecisionCount</v>
      </c>
      <c r="C195" s="2" t="s">
        <v>6038</v>
      </c>
      <c r="D195" s="2" t="s">
        <v>2752</v>
      </c>
      <c r="E195" s="2" t="s">
        <v>1747</v>
      </c>
      <c r="F195" s="2" t="s">
        <v>422</v>
      </c>
      <c r="G195" s="2" t="s">
        <v>6039</v>
      </c>
      <c r="H195" s="2" t="s">
        <v>2196</v>
      </c>
      <c r="I195" s="2" t="s">
        <v>5920</v>
      </c>
      <c r="J195" s="2" t="s">
        <v>5933</v>
      </c>
      <c r="K195" s="3" t="b">
        <f>J195 = "blocking"</f>
        <v>1</v>
      </c>
      <c r="L195" s="2" t="s">
        <v>1428</v>
      </c>
      <c r="M195" s="2" t="s">
        <v>6040</v>
      </c>
      <c r="N195" s="4">
        <v>46223.1297337963</v>
      </c>
      <c r="O195" s="3" t="b">
        <f>L195 = "PASS"</f>
        <v>1</v>
      </c>
      <c r="P195" s="3" t="b">
        <f>L195 = "FAIL"</f>
        <v>0</v>
      </c>
      <c r="Q195" s="3" t="b">
        <f>AND(P195, K195)</f>
        <v>0</v>
      </c>
      <c r="R195" s="3" t="str">
        <f>IF(O195, I195, "")</f>
        <v>suite-substrate</v>
      </c>
      <c r="S195" s="3" t="str">
        <f>IF(Q195, I195, "")</f>
      </c>
      <c r="T195" s="2" t="s">
        <v>5935</v>
      </c>
    </row>
    <row r="196">
      <c r="A196" s="2" t="s">
        <v>6165</v>
      </c>
      <c r="B196" s="3" t="str">
        <f>C196 &amp; ": " &amp; D196</f>
        <v>formula-translates: ProcedureVersions.ScopedOpenBlockingGapCount</v>
      </c>
      <c r="C196" s="2" t="s">
        <v>6038</v>
      </c>
      <c r="D196" s="2" t="s">
        <v>2754</v>
      </c>
      <c r="E196" s="2" t="s">
        <v>1747</v>
      </c>
      <c r="F196" s="2" t="s">
        <v>423</v>
      </c>
      <c r="G196" s="2" t="s">
        <v>6039</v>
      </c>
      <c r="H196" s="2" t="s">
        <v>2196</v>
      </c>
      <c r="I196" s="2" t="s">
        <v>5920</v>
      </c>
      <c r="J196" s="2" t="s">
        <v>5933</v>
      </c>
      <c r="K196" s="3" t="b">
        <f>J196 = "blocking"</f>
        <v>1</v>
      </c>
      <c r="L196" s="2" t="s">
        <v>1428</v>
      </c>
      <c r="M196" s="2" t="s">
        <v>6040</v>
      </c>
      <c r="N196" s="4">
        <v>46223.1297337963</v>
      </c>
      <c r="O196" s="3" t="b">
        <f>L196 = "PASS"</f>
        <v>1</v>
      </c>
      <c r="P196" s="3" t="b">
        <f>L196 = "FAIL"</f>
        <v>0</v>
      </c>
      <c r="Q196" s="3" t="b">
        <f>AND(P196, K196)</f>
        <v>0</v>
      </c>
      <c r="R196" s="3" t="str">
        <f>IF(O196, I196, "")</f>
        <v>suite-substrate</v>
      </c>
      <c r="S196" s="3" t="str">
        <f>IF(Q196, I196, "")</f>
      </c>
      <c r="T196" s="2" t="s">
        <v>5935</v>
      </c>
    </row>
    <row r="197">
      <c r="A197" s="2" t="s">
        <v>6166</v>
      </c>
      <c r="B197" s="3" t="str">
        <f>C197 &amp; ": " &amp; D197</f>
        <v>formula-translates: ProcedureVersions.IsBlockedOnPendingDecision</v>
      </c>
      <c r="C197" s="2" t="s">
        <v>6038</v>
      </c>
      <c r="D197" s="2" t="s">
        <v>2756</v>
      </c>
      <c r="E197" s="2" t="s">
        <v>1747</v>
      </c>
      <c r="F197" s="2" t="s">
        <v>424</v>
      </c>
      <c r="G197" s="2" t="s">
        <v>6039</v>
      </c>
      <c r="H197" s="2" t="s">
        <v>2196</v>
      </c>
      <c r="I197" s="2" t="s">
        <v>5920</v>
      </c>
      <c r="J197" s="2" t="s">
        <v>5933</v>
      </c>
      <c r="K197" s="3" t="b">
        <f>J197 = "blocking"</f>
        <v>1</v>
      </c>
      <c r="L197" s="2" t="s">
        <v>1428</v>
      </c>
      <c r="M197" s="2" t="s">
        <v>6040</v>
      </c>
      <c r="N197" s="4">
        <v>46223.1297337963</v>
      </c>
      <c r="O197" s="3" t="b">
        <f>L197 = "PASS"</f>
        <v>1</v>
      </c>
      <c r="P197" s="3" t="b">
        <f>L197 = "FAIL"</f>
        <v>0</v>
      </c>
      <c r="Q197" s="3" t="b">
        <f>AND(P197, K197)</f>
        <v>0</v>
      </c>
      <c r="R197" s="3" t="str">
        <f>IF(O197, I197, "")</f>
        <v>suite-substrate</v>
      </c>
      <c r="S197" s="3" t="str">
        <f>IF(Q197, I197, "")</f>
      </c>
      <c r="T197" s="2" t="s">
        <v>5935</v>
      </c>
    </row>
    <row r="198">
      <c r="A198" s="2" t="s">
        <v>6167</v>
      </c>
      <c r="B198" s="3" t="str">
        <f>C198 &amp; ": " &amp; D198</f>
        <v>formula-translates: ProcedureVersions.UnexercisedHumanGateCount</v>
      </c>
      <c r="C198" s="2" t="s">
        <v>6038</v>
      </c>
      <c r="D198" s="2" t="s">
        <v>2758</v>
      </c>
      <c r="E198" s="2" t="s">
        <v>1747</v>
      </c>
      <c r="F198" s="2" t="s">
        <v>425</v>
      </c>
      <c r="G198" s="2" t="s">
        <v>6039</v>
      </c>
      <c r="H198" s="2" t="s">
        <v>2200</v>
      </c>
      <c r="I198" s="2" t="s">
        <v>5920</v>
      </c>
      <c r="J198" s="2" t="s">
        <v>5933</v>
      </c>
      <c r="K198" s="3" t="b">
        <f>J198 = "blocking"</f>
        <v>1</v>
      </c>
      <c r="L198" s="2" t="s">
        <v>1428</v>
      </c>
      <c r="M198" s="2" t="s">
        <v>6040</v>
      </c>
      <c r="N198" s="4">
        <v>46223.1297337963</v>
      </c>
      <c r="O198" s="3" t="b">
        <f>L198 = "PASS"</f>
        <v>1</v>
      </c>
      <c r="P198" s="3" t="b">
        <f>L198 = "FAIL"</f>
        <v>0</v>
      </c>
      <c r="Q198" s="3" t="b">
        <f>AND(P198, K198)</f>
        <v>0</v>
      </c>
      <c r="R198" s="3" t="str">
        <f>IF(O198, I198, "")</f>
        <v>suite-substrate</v>
      </c>
      <c r="S198" s="3" t="str">
        <f>IF(Q198, I198, "")</f>
      </c>
      <c r="T198" s="2" t="s">
        <v>5935</v>
      </c>
    </row>
    <row r="199">
      <c r="A199" s="2" t="s">
        <v>6168</v>
      </c>
      <c r="B199" s="3" t="str">
        <f>C199 &amp; ": " &amp; D199</f>
        <v>formula-translates: ProcedureVersions.AiBoundaryIsUnevidenced</v>
      </c>
      <c r="C199" s="2" t="s">
        <v>6038</v>
      </c>
      <c r="D199" s="2" t="s">
        <v>2760</v>
      </c>
      <c r="E199" s="2" t="s">
        <v>1747</v>
      </c>
      <c r="F199" s="2" t="s">
        <v>426</v>
      </c>
      <c r="G199" s="2" t="s">
        <v>6039</v>
      </c>
      <c r="H199" s="2" t="s">
        <v>2200</v>
      </c>
      <c r="I199" s="2" t="s">
        <v>5920</v>
      </c>
      <c r="J199" s="2" t="s">
        <v>5933</v>
      </c>
      <c r="K199" s="3" t="b">
        <f>J199 = "blocking"</f>
        <v>1</v>
      </c>
      <c r="L199" s="2" t="s">
        <v>1428</v>
      </c>
      <c r="M199" s="2" t="s">
        <v>6040</v>
      </c>
      <c r="N199" s="4">
        <v>46223.1297337963</v>
      </c>
      <c r="O199" s="3" t="b">
        <f>L199 = "PASS"</f>
        <v>1</v>
      </c>
      <c r="P199" s="3" t="b">
        <f>L199 = "FAIL"</f>
        <v>0</v>
      </c>
      <c r="Q199" s="3" t="b">
        <f>AND(P199, K199)</f>
        <v>0</v>
      </c>
      <c r="R199" s="3" t="str">
        <f>IF(O199, I199, "")</f>
        <v>suite-substrate</v>
      </c>
      <c r="S199" s="3" t="str">
        <f>IF(Q199, I199, "")</f>
      </c>
      <c r="T199" s="2" t="s">
        <v>5935</v>
      </c>
    </row>
    <row r="200">
      <c r="A200" s="2" t="s">
        <v>6169</v>
      </c>
      <c r="B200" s="3" t="str">
        <f>C200 &amp; ": " &amp; D200</f>
        <v>formula-translates: ProcedureVersions.LoadBearingUnapprovedCount</v>
      </c>
      <c r="C200" s="2" t="s">
        <v>6038</v>
      </c>
      <c r="D200" s="2" t="s">
        <v>2762</v>
      </c>
      <c r="E200" s="2" t="s">
        <v>1747</v>
      </c>
      <c r="F200" s="2" t="s">
        <v>427</v>
      </c>
      <c r="G200" s="2" t="s">
        <v>6039</v>
      </c>
      <c r="H200" s="2" t="s">
        <v>2204</v>
      </c>
      <c r="I200" s="2" t="s">
        <v>5920</v>
      </c>
      <c r="J200" s="2" t="s">
        <v>5933</v>
      </c>
      <c r="K200" s="3" t="b">
        <f>J200 = "blocking"</f>
        <v>1</v>
      </c>
      <c r="L200" s="2" t="s">
        <v>1428</v>
      </c>
      <c r="M200" s="2" t="s">
        <v>6040</v>
      </c>
      <c r="N200" s="4">
        <v>46223.1297337963</v>
      </c>
      <c r="O200" s="3" t="b">
        <f>L200 = "PASS"</f>
        <v>1</v>
      </c>
      <c r="P200" s="3" t="b">
        <f>L200 = "FAIL"</f>
        <v>0</v>
      </c>
      <c r="Q200" s="3" t="b">
        <f>AND(P200, K200)</f>
        <v>0</v>
      </c>
      <c r="R200" s="3" t="str">
        <f>IF(O200, I200, "")</f>
        <v>suite-substrate</v>
      </c>
      <c r="S200" s="3" t="str">
        <f>IF(Q200, I200, "")</f>
      </c>
      <c r="T200" s="2" t="s">
        <v>5935</v>
      </c>
    </row>
    <row r="201">
      <c r="A201" s="2" t="s">
        <v>6170</v>
      </c>
      <c r="B201" s="3" t="str">
        <f>C201 &amp; ": " &amp; D201</f>
        <v>formula-translates: ProcedureVersions.UnlandedDecisionCount</v>
      </c>
      <c r="C201" s="2" t="s">
        <v>6038</v>
      </c>
      <c r="D201" s="2" t="s">
        <v>2764</v>
      </c>
      <c r="E201" s="2" t="s">
        <v>1747</v>
      </c>
      <c r="F201" s="2" t="s">
        <v>428</v>
      </c>
      <c r="G201" s="2" t="s">
        <v>6039</v>
      </c>
      <c r="H201" s="2" t="s">
        <v>2208</v>
      </c>
      <c r="I201" s="2" t="s">
        <v>5920</v>
      </c>
      <c r="J201" s="2" t="s">
        <v>5933</v>
      </c>
      <c r="K201" s="3" t="b">
        <f>J201 = "blocking"</f>
        <v>1</v>
      </c>
      <c r="L201" s="2" t="s">
        <v>1428</v>
      </c>
      <c r="M201" s="2" t="s">
        <v>6040</v>
      </c>
      <c r="N201" s="4">
        <v>46223.1297337963</v>
      </c>
      <c r="O201" s="3" t="b">
        <f>L201 = "PASS"</f>
        <v>1</v>
      </c>
      <c r="P201" s="3" t="b">
        <f>L201 = "FAIL"</f>
        <v>0</v>
      </c>
      <c r="Q201" s="3" t="b">
        <f>AND(P201, K201)</f>
        <v>0</v>
      </c>
      <c r="R201" s="3" t="str">
        <f>IF(O201, I201, "")</f>
        <v>suite-substrate</v>
      </c>
      <c r="S201" s="3" t="str">
        <f>IF(Q201, I201, "")</f>
      </c>
      <c r="T201" s="2" t="s">
        <v>5935</v>
      </c>
    </row>
    <row r="202">
      <c r="A202" s="2" t="s">
        <v>6171</v>
      </c>
      <c r="B202" s="3" t="str">
        <f>C202 &amp; ": " &amp; D202</f>
        <v>formula-translates: ProcedureVersions.UnrehearsedControlEntryCount</v>
      </c>
      <c r="C202" s="2" t="s">
        <v>6038</v>
      </c>
      <c r="D202" s="2" t="s">
        <v>2766</v>
      </c>
      <c r="E202" s="2" t="s">
        <v>1747</v>
      </c>
      <c r="F202" s="2" t="s">
        <v>429</v>
      </c>
      <c r="G202" s="2" t="s">
        <v>6039</v>
      </c>
      <c r="H202" s="2" t="s">
        <v>2216</v>
      </c>
      <c r="I202" s="2" t="s">
        <v>5920</v>
      </c>
      <c r="J202" s="2" t="s">
        <v>5933</v>
      </c>
      <c r="K202" s="3" t="b">
        <f>J202 = "blocking"</f>
        <v>1</v>
      </c>
      <c r="L202" s="2" t="s">
        <v>1428</v>
      </c>
      <c r="M202" s="2" t="s">
        <v>6040</v>
      </c>
      <c r="N202" s="4">
        <v>46223.1297337963</v>
      </c>
      <c r="O202" s="3" t="b">
        <f>L202 = "PASS"</f>
        <v>1</v>
      </c>
      <c r="P202" s="3" t="b">
        <f>L202 = "FAIL"</f>
        <v>0</v>
      </c>
      <c r="Q202" s="3" t="b">
        <f>AND(P202, K202)</f>
        <v>0</v>
      </c>
      <c r="R202" s="3" t="str">
        <f>IF(O202, I202, "")</f>
        <v>suite-substrate</v>
      </c>
      <c r="S202" s="3" t="str">
        <f>IF(Q202, I202, "")</f>
      </c>
      <c r="T202" s="2" t="s">
        <v>5935</v>
      </c>
    </row>
    <row r="203">
      <c r="A203" s="2" t="s">
        <v>6172</v>
      </c>
      <c r="B203" s="3" t="str">
        <f>C203 &amp; ": " &amp; D203</f>
        <v>formula-translates: ProcedureVersions.HasUnrehearsedControlEntry</v>
      </c>
      <c r="C203" s="2" t="s">
        <v>6038</v>
      </c>
      <c r="D203" s="2" t="s">
        <v>2768</v>
      </c>
      <c r="E203" s="2" t="s">
        <v>1747</v>
      </c>
      <c r="F203" s="2" t="s">
        <v>430</v>
      </c>
      <c r="G203" s="2" t="s">
        <v>6039</v>
      </c>
      <c r="H203" s="2" t="s">
        <v>2216</v>
      </c>
      <c r="I203" s="2" t="s">
        <v>5920</v>
      </c>
      <c r="J203" s="2" t="s">
        <v>5933</v>
      </c>
      <c r="K203" s="3" t="b">
        <f>J203 = "blocking"</f>
        <v>1</v>
      </c>
      <c r="L203" s="2" t="s">
        <v>1428</v>
      </c>
      <c r="M203" s="2" t="s">
        <v>6040</v>
      </c>
      <c r="N203" s="4">
        <v>46223.1297337963</v>
      </c>
      <c r="O203" s="3" t="b">
        <f>L203 = "PASS"</f>
        <v>1</v>
      </c>
      <c r="P203" s="3" t="b">
        <f>L203 = "FAIL"</f>
        <v>0</v>
      </c>
      <c r="Q203" s="3" t="b">
        <f>AND(P203, K203)</f>
        <v>0</v>
      </c>
      <c r="R203" s="3" t="str">
        <f>IF(O203, I203, "")</f>
        <v>suite-substrate</v>
      </c>
      <c r="S203" s="3" t="str">
        <f>IF(Q203, I203, "")</f>
      </c>
      <c r="T203" s="2" t="s">
        <v>5935</v>
      </c>
    </row>
    <row r="204">
      <c r="A204" s="2" t="s">
        <v>6173</v>
      </c>
      <c r="B204" s="3" t="str">
        <f>C204 &amp; ": " &amp; D204</f>
        <v>formula-translates: ProcedureVersions.IsLiveWithUnrehearsedControl</v>
      </c>
      <c r="C204" s="2" t="s">
        <v>6038</v>
      </c>
      <c r="D204" s="2" t="s">
        <v>2770</v>
      </c>
      <c r="E204" s="2" t="s">
        <v>1747</v>
      </c>
      <c r="F204" s="2" t="s">
        <v>431</v>
      </c>
      <c r="G204" s="2" t="s">
        <v>6039</v>
      </c>
      <c r="H204" s="2" t="s">
        <v>2216</v>
      </c>
      <c r="I204" s="2" t="s">
        <v>5920</v>
      </c>
      <c r="J204" s="2" t="s">
        <v>5933</v>
      </c>
      <c r="K204" s="3" t="b">
        <f>J204 = "blocking"</f>
        <v>1</v>
      </c>
      <c r="L204" s="2" t="s">
        <v>1428</v>
      </c>
      <c r="M204" s="2" t="s">
        <v>6040</v>
      </c>
      <c r="N204" s="4">
        <v>46223.1297337963</v>
      </c>
      <c r="O204" s="3" t="b">
        <f>L204 = "PASS"</f>
        <v>1</v>
      </c>
      <c r="P204" s="3" t="b">
        <f>L204 = "FAIL"</f>
        <v>0</v>
      </c>
      <c r="Q204" s="3" t="b">
        <f>AND(P204, K204)</f>
        <v>0</v>
      </c>
      <c r="R204" s="3" t="str">
        <f>IF(O204, I204, "")</f>
        <v>suite-substrate</v>
      </c>
      <c r="S204" s="3" t="str">
        <f>IF(Q204, I204, "")</f>
      </c>
      <c r="T204" s="2" t="s">
        <v>5935</v>
      </c>
    </row>
    <row r="205">
      <c r="A205" s="2" t="s">
        <v>6174</v>
      </c>
      <c r="B205" s="3" t="str">
        <f>C205 &amp; ": " &amp; D205</f>
        <v>formula-translates: ProcedureVersions.CadenceBreachCount</v>
      </c>
      <c r="C205" s="2" t="s">
        <v>6038</v>
      </c>
      <c r="D205" s="2" t="s">
        <v>2772</v>
      </c>
      <c r="E205" s="2" t="s">
        <v>1747</v>
      </c>
      <c r="F205" s="2" t="s">
        <v>432</v>
      </c>
      <c r="G205" s="2" t="s">
        <v>6039</v>
      </c>
      <c r="H205" s="2" t="s">
        <v>2220</v>
      </c>
      <c r="I205" s="2" t="s">
        <v>5920</v>
      </c>
      <c r="J205" s="2" t="s">
        <v>5933</v>
      </c>
      <c r="K205" s="3" t="b">
        <f>J205 = "blocking"</f>
        <v>1</v>
      </c>
      <c r="L205" s="2" t="s">
        <v>1428</v>
      </c>
      <c r="M205" s="2" t="s">
        <v>6040</v>
      </c>
      <c r="N205" s="4">
        <v>46223.1297337963</v>
      </c>
      <c r="O205" s="3" t="b">
        <f>L205 = "PASS"</f>
        <v>1</v>
      </c>
      <c r="P205" s="3" t="b">
        <f>L205 = "FAIL"</f>
        <v>0</v>
      </c>
      <c r="Q205" s="3" t="b">
        <f>AND(P205, K205)</f>
        <v>0</v>
      </c>
      <c r="R205" s="3" t="str">
        <f>IF(O205, I205, "")</f>
        <v>suite-substrate</v>
      </c>
      <c r="S205" s="3" t="str">
        <f>IF(Q205, I205, "")</f>
      </c>
      <c r="T205" s="2" t="s">
        <v>5935</v>
      </c>
    </row>
    <row r="206">
      <c r="A206" s="2" t="s">
        <v>6175</v>
      </c>
      <c r="B206" s="3" t="str">
        <f>C206 &amp; ": " &amp; D206</f>
        <v>formula-translates: ProcedureVersions.IsInCadenceBreach</v>
      </c>
      <c r="C206" s="2" t="s">
        <v>6038</v>
      </c>
      <c r="D206" s="2" t="s">
        <v>2774</v>
      </c>
      <c r="E206" s="2" t="s">
        <v>1747</v>
      </c>
      <c r="F206" s="2" t="s">
        <v>433</v>
      </c>
      <c r="G206" s="2" t="s">
        <v>6039</v>
      </c>
      <c r="H206" s="2" t="s">
        <v>2220</v>
      </c>
      <c r="I206" s="2" t="s">
        <v>5920</v>
      </c>
      <c r="J206" s="2" t="s">
        <v>5933</v>
      </c>
      <c r="K206" s="3" t="b">
        <f>J206 = "blocking"</f>
        <v>1</v>
      </c>
      <c r="L206" s="2" t="s">
        <v>1428</v>
      </c>
      <c r="M206" s="2" t="s">
        <v>6040</v>
      </c>
      <c r="N206" s="4">
        <v>46223.1297337963</v>
      </c>
      <c r="O206" s="3" t="b">
        <f>L206 = "PASS"</f>
        <v>1</v>
      </c>
      <c r="P206" s="3" t="b">
        <f>L206 = "FAIL"</f>
        <v>0</v>
      </c>
      <c r="Q206" s="3" t="b">
        <f>AND(P206, K206)</f>
        <v>0</v>
      </c>
      <c r="R206" s="3" t="str">
        <f>IF(O206, I206, "")</f>
        <v>suite-substrate</v>
      </c>
      <c r="S206" s="3" t="str">
        <f>IF(Q206, I206, "")</f>
      </c>
      <c r="T206" s="2" t="s">
        <v>5935</v>
      </c>
    </row>
    <row r="207">
      <c r="A207" s="2" t="s">
        <v>6176</v>
      </c>
      <c r="B207" s="3" t="str">
        <f>C207 &amp; ": " &amp; D207</f>
        <v>formula-translates: ProcedureVersions.HasDecisionInFlight</v>
      </c>
      <c r="C207" s="2" t="s">
        <v>6038</v>
      </c>
      <c r="D207" s="2" t="s">
        <v>2776</v>
      </c>
      <c r="E207" s="2" t="s">
        <v>1747</v>
      </c>
      <c r="F207" s="2" t="s">
        <v>434</v>
      </c>
      <c r="G207" s="2" t="s">
        <v>6039</v>
      </c>
      <c r="H207" s="2" t="s">
        <v>2220</v>
      </c>
      <c r="I207" s="2" t="s">
        <v>5920</v>
      </c>
      <c r="J207" s="2" t="s">
        <v>5933</v>
      </c>
      <c r="K207" s="3" t="b">
        <f>J207 = "blocking"</f>
        <v>1</v>
      </c>
      <c r="L207" s="2" t="s">
        <v>1428</v>
      </c>
      <c r="M207" s="2" t="s">
        <v>6040</v>
      </c>
      <c r="N207" s="4">
        <v>46223.1297337963</v>
      </c>
      <c r="O207" s="3" t="b">
        <f>L207 = "PASS"</f>
        <v>1</v>
      </c>
      <c r="P207" s="3" t="b">
        <f>L207 = "FAIL"</f>
        <v>0</v>
      </c>
      <c r="Q207" s="3" t="b">
        <f>AND(P207, K207)</f>
        <v>0</v>
      </c>
      <c r="R207" s="3" t="str">
        <f>IF(O207, I207, "")</f>
        <v>suite-substrate</v>
      </c>
      <c r="S207" s="3" t="str">
        <f>IF(Q207, I207, "")</f>
      </c>
      <c r="T207" s="2" t="s">
        <v>5935</v>
      </c>
    </row>
    <row r="208">
      <c r="A208" s="2" t="s">
        <v>6177</v>
      </c>
      <c r="B208" s="3" t="str">
        <f>C208 &amp; ": " &amp; D208</f>
        <v>formula-translates: ProcedureVersions.IsUnremediatedCadenceBreach</v>
      </c>
      <c r="C208" s="2" t="s">
        <v>6038</v>
      </c>
      <c r="D208" s="2" t="s">
        <v>2778</v>
      </c>
      <c r="E208" s="2" t="s">
        <v>1747</v>
      </c>
      <c r="F208" s="2" t="s">
        <v>435</v>
      </c>
      <c r="G208" s="2" t="s">
        <v>6039</v>
      </c>
      <c r="H208" s="2" t="s">
        <v>2220</v>
      </c>
      <c r="I208" s="2" t="s">
        <v>5920</v>
      </c>
      <c r="J208" s="2" t="s">
        <v>5933</v>
      </c>
      <c r="K208" s="3" t="b">
        <f>J208 = "blocking"</f>
        <v>1</v>
      </c>
      <c r="L208" s="2" t="s">
        <v>1428</v>
      </c>
      <c r="M208" s="2" t="s">
        <v>6040</v>
      </c>
      <c r="N208" s="4">
        <v>46223.1297337963</v>
      </c>
      <c r="O208" s="3" t="b">
        <f>L208 = "PASS"</f>
        <v>1</v>
      </c>
      <c r="P208" s="3" t="b">
        <f>L208 = "FAIL"</f>
        <v>0</v>
      </c>
      <c r="Q208" s="3" t="b">
        <f>AND(P208, K208)</f>
        <v>0</v>
      </c>
      <c r="R208" s="3" t="str">
        <f>IF(O208, I208, "")</f>
        <v>suite-substrate</v>
      </c>
      <c r="S208" s="3" t="str">
        <f>IF(Q208, I208, "")</f>
      </c>
      <c r="T208" s="2" t="s">
        <v>5935</v>
      </c>
    </row>
    <row r="209">
      <c r="A209" s="2" t="s">
        <v>6178</v>
      </c>
      <c r="B209" s="3" t="str">
        <f>C209 &amp; ": " &amp; D209</f>
        <v>formula-translates: ProcedureVersions.IsManagedCadenceBreach</v>
      </c>
      <c r="C209" s="2" t="s">
        <v>6038</v>
      </c>
      <c r="D209" s="2" t="s">
        <v>2780</v>
      </c>
      <c r="E209" s="2" t="s">
        <v>1747</v>
      </c>
      <c r="F209" s="2" t="s">
        <v>436</v>
      </c>
      <c r="G209" s="2" t="s">
        <v>6039</v>
      </c>
      <c r="H209" s="2" t="s">
        <v>2220</v>
      </c>
      <c r="I209" s="2" t="s">
        <v>5920</v>
      </c>
      <c r="J209" s="2" t="s">
        <v>5933</v>
      </c>
      <c r="K209" s="3" t="b">
        <f>J209 = "blocking"</f>
        <v>1</v>
      </c>
      <c r="L209" s="2" t="s">
        <v>1428</v>
      </c>
      <c r="M209" s="2" t="s">
        <v>6040</v>
      </c>
      <c r="N209" s="4">
        <v>46223.1297337963</v>
      </c>
      <c r="O209" s="3" t="b">
        <f>L209 = "PASS"</f>
        <v>1</v>
      </c>
      <c r="P209" s="3" t="b">
        <f>L209 = "FAIL"</f>
        <v>0</v>
      </c>
      <c r="Q209" s="3" t="b">
        <f>AND(P209, K209)</f>
        <v>0</v>
      </c>
      <c r="R209" s="3" t="str">
        <f>IF(O209, I209, "")</f>
        <v>suite-substrate</v>
      </c>
      <c r="S209" s="3" t="str">
        <f>IF(Q209, I209, "")</f>
      </c>
      <c r="T209" s="2" t="s">
        <v>5935</v>
      </c>
    </row>
    <row r="210">
      <c r="A210" s="2" t="s">
        <v>6179</v>
      </c>
      <c r="B210" s="3" t="str">
        <f>C210 &amp; ": " &amp; D210</f>
        <v>formula-translates: ProcedureVersions.GovernanceIsSilent</v>
      </c>
      <c r="C210" s="2" t="s">
        <v>6038</v>
      </c>
      <c r="D210" s="2" t="s">
        <v>2782</v>
      </c>
      <c r="E210" s="2" t="s">
        <v>1747</v>
      </c>
      <c r="F210" s="2" t="s">
        <v>437</v>
      </c>
      <c r="G210" s="2" t="s">
        <v>6039</v>
      </c>
      <c r="H210" s="2" t="s">
        <v>2220</v>
      </c>
      <c r="I210" s="2" t="s">
        <v>5920</v>
      </c>
      <c r="J210" s="2" t="s">
        <v>5933</v>
      </c>
      <c r="K210" s="3" t="b">
        <f>J210 = "blocking"</f>
        <v>1</v>
      </c>
      <c r="L210" s="2" t="s">
        <v>1428</v>
      </c>
      <c r="M210" s="2" t="s">
        <v>6040</v>
      </c>
      <c r="N210" s="4">
        <v>46223.1297337963</v>
      </c>
      <c r="O210" s="3" t="b">
        <f>L210 = "PASS"</f>
        <v>1</v>
      </c>
      <c r="P210" s="3" t="b">
        <f>L210 = "FAIL"</f>
        <v>0</v>
      </c>
      <c r="Q210" s="3" t="b">
        <f>AND(P210, K210)</f>
        <v>0</v>
      </c>
      <c r="R210" s="3" t="str">
        <f>IF(O210, I210, "")</f>
        <v>suite-substrate</v>
      </c>
      <c r="S210" s="3" t="str">
        <f>IF(Q210, I210, "")</f>
      </c>
      <c r="T210" s="2" t="s">
        <v>5935</v>
      </c>
    </row>
    <row r="211">
      <c r="A211" s="2" t="s">
        <v>6180</v>
      </c>
      <c r="B211" s="3" t="str">
        <f>C211 &amp; ": " &amp; D211</f>
        <v>formula-translates: ProcedureVersions.ValidFragmentCount</v>
      </c>
      <c r="C211" s="2" t="s">
        <v>6038</v>
      </c>
      <c r="D211" s="2" t="s">
        <v>2784</v>
      </c>
      <c r="E211" s="2" t="s">
        <v>1747</v>
      </c>
      <c r="F211" s="2" t="s">
        <v>438</v>
      </c>
      <c r="G211" s="2" t="s">
        <v>6039</v>
      </c>
      <c r="H211" s="2" t="s">
        <v>2224</v>
      </c>
      <c r="I211" s="2" t="s">
        <v>5920</v>
      </c>
      <c r="J211" s="2" t="s">
        <v>5933</v>
      </c>
      <c r="K211" s="3" t="b">
        <f>J211 = "blocking"</f>
        <v>1</v>
      </c>
      <c r="L211" s="2" t="s">
        <v>1428</v>
      </c>
      <c r="M211" s="2" t="s">
        <v>6040</v>
      </c>
      <c r="N211" s="4">
        <v>46223.1297337963</v>
      </c>
      <c r="O211" s="3" t="b">
        <f>L211 = "PASS"</f>
        <v>1</v>
      </c>
      <c r="P211" s="3" t="b">
        <f>L211 = "FAIL"</f>
        <v>0</v>
      </c>
      <c r="Q211" s="3" t="b">
        <f>AND(P211, K211)</f>
        <v>0</v>
      </c>
      <c r="R211" s="3" t="str">
        <f>IF(O211, I211, "")</f>
        <v>suite-substrate</v>
      </c>
      <c r="S211" s="3" t="str">
        <f>IF(Q211, I211, "")</f>
      </c>
      <c r="T211" s="2" t="s">
        <v>5935</v>
      </c>
    </row>
    <row r="212">
      <c r="A212" s="2" t="s">
        <v>6181</v>
      </c>
      <c r="B212" s="3" t="str">
        <f>C212 &amp; ": " &amp; D212</f>
        <v>formula-translates: ProcedureVersions.StillOwnsValidKnowledge</v>
      </c>
      <c r="C212" s="2" t="s">
        <v>6038</v>
      </c>
      <c r="D212" s="2" t="s">
        <v>2786</v>
      </c>
      <c r="E212" s="2" t="s">
        <v>1747</v>
      </c>
      <c r="F212" s="2" t="s">
        <v>439</v>
      </c>
      <c r="G212" s="2" t="s">
        <v>6039</v>
      </c>
      <c r="H212" s="2" t="s">
        <v>2224</v>
      </c>
      <c r="I212" s="2" t="s">
        <v>5920</v>
      </c>
      <c r="J212" s="2" t="s">
        <v>5933</v>
      </c>
      <c r="K212" s="3" t="b">
        <f>J212 = "blocking"</f>
        <v>1</v>
      </c>
      <c r="L212" s="2" t="s">
        <v>1428</v>
      </c>
      <c r="M212" s="2" t="s">
        <v>6040</v>
      </c>
      <c r="N212" s="4">
        <v>46223.1297337963</v>
      </c>
      <c r="O212" s="3" t="b">
        <f>L212 = "PASS"</f>
        <v>1</v>
      </c>
      <c r="P212" s="3" t="b">
        <f>L212 = "FAIL"</f>
        <v>0</v>
      </c>
      <c r="Q212" s="3" t="b">
        <f>AND(P212, K212)</f>
        <v>0</v>
      </c>
      <c r="R212" s="3" t="str">
        <f>IF(O212, I212, "")</f>
        <v>suite-substrate</v>
      </c>
      <c r="S212" s="3" t="str">
        <f>IF(Q212, I212, "")</f>
      </c>
      <c r="T212" s="2" t="s">
        <v>5935</v>
      </c>
    </row>
    <row r="213">
      <c r="A213" s="2" t="s">
        <v>6182</v>
      </c>
      <c r="B213" s="3" t="str">
        <f>C213 &amp; ": " &amp; D213</f>
        <v>formula-translates: ProcedureVersions.IncomingSupersessionCount</v>
      </c>
      <c r="C213" s="2" t="s">
        <v>6038</v>
      </c>
      <c r="D213" s="2" t="s">
        <v>2788</v>
      </c>
      <c r="E213" s="2" t="s">
        <v>1747</v>
      </c>
      <c r="F213" s="2" t="s">
        <v>440</v>
      </c>
      <c r="G213" s="2" t="s">
        <v>6039</v>
      </c>
      <c r="H213" s="2" t="s">
        <v>2224</v>
      </c>
      <c r="I213" s="2" t="s">
        <v>5920</v>
      </c>
      <c r="J213" s="2" t="s">
        <v>5933</v>
      </c>
      <c r="K213" s="3" t="b">
        <f>J213 = "blocking"</f>
        <v>1</v>
      </c>
      <c r="L213" s="2" t="s">
        <v>1428</v>
      </c>
      <c r="M213" s="2" t="s">
        <v>6040</v>
      </c>
      <c r="N213" s="4">
        <v>46223.1297337963</v>
      </c>
      <c r="O213" s="3" t="b">
        <f>L213 = "PASS"</f>
        <v>1</v>
      </c>
      <c r="P213" s="3" t="b">
        <f>L213 = "FAIL"</f>
        <v>0</v>
      </c>
      <c r="Q213" s="3" t="b">
        <f>AND(P213, K213)</f>
        <v>0</v>
      </c>
      <c r="R213" s="3" t="str">
        <f>IF(O213, I213, "")</f>
        <v>suite-substrate</v>
      </c>
      <c r="S213" s="3" t="str">
        <f>IF(Q213, I213, "")</f>
      </c>
      <c r="T213" s="2" t="s">
        <v>5935</v>
      </c>
    </row>
    <row r="214">
      <c r="A214" s="2" t="s">
        <v>6183</v>
      </c>
      <c r="B214" s="3" t="str">
        <f>C214 &amp; ": " &amp; D214</f>
        <v>formula-translates: ProcedureVersions.IsStillReferenced</v>
      </c>
      <c r="C214" s="2" t="s">
        <v>6038</v>
      </c>
      <c r="D214" s="2" t="s">
        <v>2790</v>
      </c>
      <c r="E214" s="2" t="s">
        <v>1747</v>
      </c>
      <c r="F214" s="2" t="s">
        <v>441</v>
      </c>
      <c r="G214" s="2" t="s">
        <v>6039</v>
      </c>
      <c r="H214" s="2" t="s">
        <v>2224</v>
      </c>
      <c r="I214" s="2" t="s">
        <v>5920</v>
      </c>
      <c r="J214" s="2" t="s">
        <v>5933</v>
      </c>
      <c r="K214" s="3" t="b">
        <f>J214 = "blocking"</f>
        <v>1</v>
      </c>
      <c r="L214" s="2" t="s">
        <v>1428</v>
      </c>
      <c r="M214" s="2" t="s">
        <v>6040</v>
      </c>
      <c r="N214" s="4">
        <v>46223.1297337963</v>
      </c>
      <c r="O214" s="3" t="b">
        <f>L214 = "PASS"</f>
        <v>1</v>
      </c>
      <c r="P214" s="3" t="b">
        <f>L214 = "FAIL"</f>
        <v>0</v>
      </c>
      <c r="Q214" s="3" t="b">
        <f>AND(P214, K214)</f>
        <v>0</v>
      </c>
      <c r="R214" s="3" t="str">
        <f>IF(O214, I214, "")</f>
        <v>suite-substrate</v>
      </c>
      <c r="S214" s="3" t="str">
        <f>IF(Q214, I214, "")</f>
      </c>
      <c r="T214" s="2" t="s">
        <v>5935</v>
      </c>
    </row>
    <row r="215">
      <c r="A215" s="2" t="s">
        <v>6184</v>
      </c>
      <c r="B215" s="3" t="str">
        <f>C215 &amp; ": " &amp; D215</f>
        <v>formula-translates: ProcedureVersions.IsLoadBearingOrphan</v>
      </c>
      <c r="C215" s="2" t="s">
        <v>6038</v>
      </c>
      <c r="D215" s="2" t="s">
        <v>2792</v>
      </c>
      <c r="E215" s="2" t="s">
        <v>1747</v>
      </c>
      <c r="F215" s="2" t="s">
        <v>442</v>
      </c>
      <c r="G215" s="2" t="s">
        <v>6039</v>
      </c>
      <c r="H215" s="2" t="s">
        <v>2224</v>
      </c>
      <c r="I215" s="2" t="s">
        <v>5920</v>
      </c>
      <c r="J215" s="2" t="s">
        <v>5933</v>
      </c>
      <c r="K215" s="3" t="b">
        <f>J215 = "blocking"</f>
        <v>1</v>
      </c>
      <c r="L215" s="2" t="s">
        <v>1428</v>
      </c>
      <c r="M215" s="2" t="s">
        <v>6040</v>
      </c>
      <c r="N215" s="4">
        <v>46223.1297337963</v>
      </c>
      <c r="O215" s="3" t="b">
        <f>L215 = "PASS"</f>
        <v>1</v>
      </c>
      <c r="P215" s="3" t="b">
        <f>L215 = "FAIL"</f>
        <v>0</v>
      </c>
      <c r="Q215" s="3" t="b">
        <f>AND(P215, K215)</f>
        <v>0</v>
      </c>
      <c r="R215" s="3" t="str">
        <f>IF(O215, I215, "")</f>
        <v>suite-substrate</v>
      </c>
      <c r="S215" s="3" t="str">
        <f>IF(Q215, I215, "")</f>
      </c>
      <c r="T215" s="2" t="s">
        <v>5935</v>
      </c>
    </row>
    <row r="216">
      <c r="A216" s="2" t="s">
        <v>6185</v>
      </c>
      <c r="B216" s="3" t="str">
        <f>C216 &amp; ": " &amp; D216</f>
        <v>formula-translates: ProcedureVersions.IsCleanlyRetired</v>
      </c>
      <c r="C216" s="2" t="s">
        <v>6038</v>
      </c>
      <c r="D216" s="2" t="s">
        <v>2794</v>
      </c>
      <c r="E216" s="2" t="s">
        <v>1747</v>
      </c>
      <c r="F216" s="2" t="s">
        <v>443</v>
      </c>
      <c r="G216" s="2" t="s">
        <v>6039</v>
      </c>
      <c r="H216" s="2" t="s">
        <v>2224</v>
      </c>
      <c r="I216" s="2" t="s">
        <v>5920</v>
      </c>
      <c r="J216" s="2" t="s">
        <v>5933</v>
      </c>
      <c r="K216" s="3" t="b">
        <f>J216 = "blocking"</f>
        <v>1</v>
      </c>
      <c r="L216" s="2" t="s">
        <v>1428</v>
      </c>
      <c r="M216" s="2" t="s">
        <v>6040</v>
      </c>
      <c r="N216" s="4">
        <v>46223.1297337963</v>
      </c>
      <c r="O216" s="3" t="b">
        <f>L216 = "PASS"</f>
        <v>1</v>
      </c>
      <c r="P216" s="3" t="b">
        <f>L216 = "FAIL"</f>
        <v>0</v>
      </c>
      <c r="Q216" s="3" t="b">
        <f>AND(P216, K216)</f>
        <v>0</v>
      </c>
      <c r="R216" s="3" t="str">
        <f>IF(O216, I216, "")</f>
        <v>suite-substrate</v>
      </c>
      <c r="S216" s="3" t="str">
        <f>IF(Q216, I216, "")</f>
      </c>
      <c r="T216" s="2" t="s">
        <v>5935</v>
      </c>
    </row>
    <row r="217">
      <c r="A217" s="2" t="s">
        <v>6186</v>
      </c>
      <c r="B217" s="3" t="str">
        <f>C217 &amp; ": " &amp; D217</f>
        <v>formula-translates: ProcedureVersions.StalledImplementationCount</v>
      </c>
      <c r="C217" s="2" t="s">
        <v>6038</v>
      </c>
      <c r="D217" s="2" t="s">
        <v>2796</v>
      </c>
      <c r="E217" s="2" t="s">
        <v>1747</v>
      </c>
      <c r="F217" s="2" t="s">
        <v>444</v>
      </c>
      <c r="G217" s="2" t="s">
        <v>6039</v>
      </c>
      <c r="H217" s="2" t="s">
        <v>2228</v>
      </c>
      <c r="I217" s="2" t="s">
        <v>5920</v>
      </c>
      <c r="J217" s="2" t="s">
        <v>5933</v>
      </c>
      <c r="K217" s="3" t="b">
        <f>J217 = "blocking"</f>
        <v>1</v>
      </c>
      <c r="L217" s="2" t="s">
        <v>1428</v>
      </c>
      <c r="M217" s="2" t="s">
        <v>6040</v>
      </c>
      <c r="N217" s="4">
        <v>46223.1297337963</v>
      </c>
      <c r="O217" s="3" t="b">
        <f>L217 = "PASS"</f>
        <v>1</v>
      </c>
      <c r="P217" s="3" t="b">
        <f>L217 = "FAIL"</f>
        <v>0</v>
      </c>
      <c r="Q217" s="3" t="b">
        <f>AND(P217, K217)</f>
        <v>0</v>
      </c>
      <c r="R217" s="3" t="str">
        <f>IF(O217, I217, "")</f>
        <v>suite-substrate</v>
      </c>
      <c r="S217" s="3" t="str">
        <f>IF(Q217, I217, "")</f>
      </c>
      <c r="T217" s="2" t="s">
        <v>5935</v>
      </c>
    </row>
    <row r="218">
      <c r="A218" s="2" t="s">
        <v>6187</v>
      </c>
      <c r="B218" s="3" t="str">
        <f>C218 &amp; ": " &amp; D218</f>
        <v>formula-translates: ProcedureVersions.IsHeldUnfitByLandedDecisions</v>
      </c>
      <c r="C218" s="2" t="s">
        <v>6038</v>
      </c>
      <c r="D218" s="2" t="s">
        <v>2798</v>
      </c>
      <c r="E218" s="2" t="s">
        <v>1747</v>
      </c>
      <c r="F218" s="2" t="s">
        <v>445</v>
      </c>
      <c r="G218" s="2" t="s">
        <v>6039</v>
      </c>
      <c r="H218" s="2" t="s">
        <v>2228</v>
      </c>
      <c r="I218" s="2" t="s">
        <v>5920</v>
      </c>
      <c r="J218" s="2" t="s">
        <v>5933</v>
      </c>
      <c r="K218" s="3" t="b">
        <f>J218 = "blocking"</f>
        <v>1</v>
      </c>
      <c r="L218" s="2" t="s">
        <v>1428</v>
      </c>
      <c r="M218" s="2" t="s">
        <v>6040</v>
      </c>
      <c r="N218" s="4">
        <v>46223.1297337963</v>
      </c>
      <c r="O218" s="3" t="b">
        <f>L218 = "PASS"</f>
        <v>1</v>
      </c>
      <c r="P218" s="3" t="b">
        <f>L218 = "FAIL"</f>
        <v>0</v>
      </c>
      <c r="Q218" s="3" t="b">
        <f>AND(P218, K218)</f>
        <v>0</v>
      </c>
      <c r="R218" s="3" t="str">
        <f>IF(O218, I218, "")</f>
        <v>suite-substrate</v>
      </c>
      <c r="S218" s="3" t="str">
        <f>IF(Q218, I218, "")</f>
      </c>
      <c r="T218" s="2" t="s">
        <v>5935</v>
      </c>
    </row>
    <row r="219">
      <c r="A219" s="2" t="s">
        <v>6188</v>
      </c>
      <c r="B219" s="3" t="str">
        <f>C219 &amp; ": " &amp; D219</f>
        <v>formula-translates: ProcedureVersions.UndeclaredControlKindCount</v>
      </c>
      <c r="C219" s="2" t="s">
        <v>6038</v>
      </c>
      <c r="D219" s="2" t="s">
        <v>2800</v>
      </c>
      <c r="E219" s="2" t="s">
        <v>1747</v>
      </c>
      <c r="F219" s="2" t="s">
        <v>446</v>
      </c>
      <c r="G219" s="2" t="s">
        <v>6039</v>
      </c>
      <c r="H219" s="2" t="s">
        <v>2232</v>
      </c>
      <c r="I219" s="2" t="s">
        <v>5920</v>
      </c>
      <c r="J219" s="2" t="s">
        <v>5933</v>
      </c>
      <c r="K219" s="3" t="b">
        <f>J219 = "blocking"</f>
        <v>1</v>
      </c>
      <c r="L219" s="2" t="s">
        <v>1428</v>
      </c>
      <c r="M219" s="2" t="s">
        <v>6040</v>
      </c>
      <c r="N219" s="4">
        <v>46223.1297337963</v>
      </c>
      <c r="O219" s="3" t="b">
        <f>L219 = "PASS"</f>
        <v>1</v>
      </c>
      <c r="P219" s="3" t="b">
        <f>L219 = "FAIL"</f>
        <v>0</v>
      </c>
      <c r="Q219" s="3" t="b">
        <f>AND(P219, K219)</f>
        <v>0</v>
      </c>
      <c r="R219" s="3" t="str">
        <f>IF(O219, I219, "")</f>
        <v>suite-substrate</v>
      </c>
      <c r="S219" s="3" t="str">
        <f>IF(Q219, I219, "")</f>
      </c>
      <c r="T219" s="2" t="s">
        <v>5935</v>
      </c>
    </row>
    <row r="220">
      <c r="A220" s="2" t="s">
        <v>6189</v>
      </c>
      <c r="B220" s="3" t="str">
        <f>C220 &amp; ": " &amp; D220</f>
        <v>formula-translates: ProcedureVersions.ControlTaxonomyIsIncomplete</v>
      </c>
      <c r="C220" s="2" t="s">
        <v>6038</v>
      </c>
      <c r="D220" s="2" t="s">
        <v>2802</v>
      </c>
      <c r="E220" s="2" t="s">
        <v>1747</v>
      </c>
      <c r="F220" s="2" t="s">
        <v>447</v>
      </c>
      <c r="G220" s="2" t="s">
        <v>6039</v>
      </c>
      <c r="H220" s="2" t="s">
        <v>2232</v>
      </c>
      <c r="I220" s="2" t="s">
        <v>5920</v>
      </c>
      <c r="J220" s="2" t="s">
        <v>5933</v>
      </c>
      <c r="K220" s="3" t="b">
        <f>J220 = "blocking"</f>
        <v>1</v>
      </c>
      <c r="L220" s="2" t="s">
        <v>1428</v>
      </c>
      <c r="M220" s="2" t="s">
        <v>6040</v>
      </c>
      <c r="N220" s="4">
        <v>46223.1297337963</v>
      </c>
      <c r="O220" s="3" t="b">
        <f>L220 = "PASS"</f>
        <v>1</v>
      </c>
      <c r="P220" s="3" t="b">
        <f>L220 = "FAIL"</f>
        <v>0</v>
      </c>
      <c r="Q220" s="3" t="b">
        <f>AND(P220, K220)</f>
        <v>0</v>
      </c>
      <c r="R220" s="3" t="str">
        <f>IF(O220, I220, "")</f>
        <v>suite-substrate</v>
      </c>
      <c r="S220" s="3" t="str">
        <f>IF(Q220, I220, "")</f>
      </c>
      <c r="T220" s="2" t="s">
        <v>5935</v>
      </c>
    </row>
    <row r="221">
      <c r="A221" s="2" t="s">
        <v>6190</v>
      </c>
      <c r="B221" s="3" t="str">
        <f>C221 &amp; ": " &amp; D221</f>
        <v>formula-translates: ProcedureVersions.HasApprovedChangeRequest</v>
      </c>
      <c r="C221" s="2" t="s">
        <v>6038</v>
      </c>
      <c r="D221" s="2" t="s">
        <v>2804</v>
      </c>
      <c r="E221" s="2" t="s">
        <v>1747</v>
      </c>
      <c r="F221" s="2" t="s">
        <v>448</v>
      </c>
      <c r="G221" s="2" t="s">
        <v>6039</v>
      </c>
      <c r="H221" s="2" t="s">
        <v>2272</v>
      </c>
      <c r="I221" s="2" t="s">
        <v>5920</v>
      </c>
      <c r="J221" s="2" t="s">
        <v>5933</v>
      </c>
      <c r="K221" s="3" t="b">
        <f>J221 = "blocking"</f>
        <v>1</v>
      </c>
      <c r="L221" s="2" t="s">
        <v>1428</v>
      </c>
      <c r="M221" s="2" t="s">
        <v>6040</v>
      </c>
      <c r="N221" s="4">
        <v>46223.1297337963</v>
      </c>
      <c r="O221" s="3" t="b">
        <f>L221 = "PASS"</f>
        <v>1</v>
      </c>
      <c r="P221" s="3" t="b">
        <f>L221 = "FAIL"</f>
        <v>0</v>
      </c>
      <c r="Q221" s="3" t="b">
        <f>AND(P221, K221)</f>
        <v>0</v>
      </c>
      <c r="R221" s="3" t="str">
        <f>IF(O221, I221, "")</f>
        <v>suite-substrate</v>
      </c>
      <c r="S221" s="3" t="str">
        <f>IF(Q221, I221, "")</f>
      </c>
      <c r="T221" s="2" t="s">
        <v>5935</v>
      </c>
    </row>
    <row r="222">
      <c r="A222" s="2" t="s">
        <v>6191</v>
      </c>
      <c r="B222" s="3" t="str">
        <f>C222 &amp; ": " &amp; D222</f>
        <v>formula-translates: ProcedureVersions.ApprovedChangeRequestCount</v>
      </c>
      <c r="C222" s="2" t="s">
        <v>6038</v>
      </c>
      <c r="D222" s="2" t="s">
        <v>2806</v>
      </c>
      <c r="E222" s="2" t="s">
        <v>1747</v>
      </c>
      <c r="F222" s="2" t="s">
        <v>449</v>
      </c>
      <c r="G222" s="2" t="s">
        <v>6039</v>
      </c>
      <c r="H222" s="2" t="s">
        <v>2272</v>
      </c>
      <c r="I222" s="2" t="s">
        <v>5920</v>
      </c>
      <c r="J222" s="2" t="s">
        <v>5933</v>
      </c>
      <c r="K222" s="3" t="b">
        <f>J222 = "blocking"</f>
        <v>1</v>
      </c>
      <c r="L222" s="2" t="s">
        <v>1428</v>
      </c>
      <c r="M222" s="2" t="s">
        <v>6040</v>
      </c>
      <c r="N222" s="4">
        <v>46223.1297337963</v>
      </c>
      <c r="O222" s="3" t="b">
        <f>L222 = "PASS"</f>
        <v>1</v>
      </c>
      <c r="P222" s="3" t="b">
        <f>L222 = "FAIL"</f>
        <v>0</v>
      </c>
      <c r="Q222" s="3" t="b">
        <f>AND(P222, K222)</f>
        <v>0</v>
      </c>
      <c r="R222" s="3" t="str">
        <f>IF(O222, I222, "")</f>
        <v>suite-substrate</v>
      </c>
      <c r="S222" s="3" t="str">
        <f>IF(Q222, I222, "")</f>
      </c>
      <c r="T222" s="2" t="s">
        <v>5935</v>
      </c>
    </row>
    <row r="223">
      <c r="A223" s="2" t="s">
        <v>6192</v>
      </c>
      <c r="B223" s="3" t="str">
        <f>C223 &amp; ": " &amp; D223</f>
        <v>formula-translates: ProcedureVersions.UnwatchedUnownedControlCount</v>
      </c>
      <c r="C223" s="2" t="s">
        <v>6038</v>
      </c>
      <c r="D223" s="2" t="s">
        <v>2808</v>
      </c>
      <c r="E223" s="2" t="s">
        <v>1747</v>
      </c>
      <c r="F223" s="2" t="s">
        <v>450</v>
      </c>
      <c r="G223" s="2" t="s">
        <v>6039</v>
      </c>
      <c r="H223" s="2" t="s">
        <v>2288</v>
      </c>
      <c r="I223" s="2" t="s">
        <v>5920</v>
      </c>
      <c r="J223" s="2" t="s">
        <v>5933</v>
      </c>
      <c r="K223" s="3" t="b">
        <f>J223 = "blocking"</f>
        <v>1</v>
      </c>
      <c r="L223" s="2" t="s">
        <v>1428</v>
      </c>
      <c r="M223" s="2" t="s">
        <v>6040</v>
      </c>
      <c r="N223" s="4">
        <v>46223.1297337963</v>
      </c>
      <c r="O223" s="3" t="b">
        <f>L223 = "PASS"</f>
        <v>1</v>
      </c>
      <c r="P223" s="3" t="b">
        <f>L223 = "FAIL"</f>
        <v>0</v>
      </c>
      <c r="Q223" s="3" t="b">
        <f>AND(P223, K223)</f>
        <v>0</v>
      </c>
      <c r="R223" s="3" t="str">
        <f>IF(O223, I223, "")</f>
        <v>suite-substrate</v>
      </c>
      <c r="S223" s="3" t="str">
        <f>IF(Q223, I223, "")</f>
      </c>
      <c r="T223" s="2" t="s">
        <v>5935</v>
      </c>
    </row>
    <row r="224">
      <c r="A224" s="2" t="s">
        <v>6193</v>
      </c>
      <c r="B224" s="3" t="str">
        <f>C224 &amp; ": " &amp; D224</f>
        <v>formula-translates: ProcedureVersionLinks.Name</v>
      </c>
      <c r="C224" s="2" t="s">
        <v>6038</v>
      </c>
      <c r="D224" s="2" t="s">
        <v>2819</v>
      </c>
      <c r="E224" s="2" t="s">
        <v>2818</v>
      </c>
      <c r="F224" s="2" t="s">
        <v>1</v>
      </c>
      <c r="G224" s="2" t="s">
        <v>6039</v>
      </c>
      <c r="H224" s="2"/>
      <c r="I224" s="2" t="s">
        <v>5920</v>
      </c>
      <c r="J224" s="2" t="s">
        <v>5933</v>
      </c>
      <c r="K224" s="3" t="b">
        <f>J224 = "blocking"</f>
        <v>1</v>
      </c>
      <c r="L224" s="2" t="s">
        <v>1428</v>
      </c>
      <c r="M224" s="2" t="s">
        <v>6040</v>
      </c>
      <c r="N224" s="4">
        <v>46223.1297337963</v>
      </c>
      <c r="O224" s="3" t="b">
        <f>L224 = "PASS"</f>
        <v>1</v>
      </c>
      <c r="P224" s="3" t="b">
        <f>L224 = "FAIL"</f>
        <v>0</v>
      </c>
      <c r="Q224" s="3" t="b">
        <f>AND(P224, K224)</f>
        <v>0</v>
      </c>
      <c r="R224" s="3" t="str">
        <f>IF(O224, I224, "")</f>
        <v>suite-substrate</v>
      </c>
      <c r="S224" s="3" t="str">
        <f>IF(Q224, I224, "")</f>
      </c>
      <c r="T224" s="2" t="s">
        <v>5935</v>
      </c>
    </row>
    <row r="225">
      <c r="A225" s="2" t="s">
        <v>6194</v>
      </c>
      <c r="B225" s="3" t="str">
        <f>C225 &amp; ": " &amp; D225</f>
        <v>formula-translates: ProcedureVersionLinks.SupersededVersionKey</v>
      </c>
      <c r="C225" s="2" t="s">
        <v>6038</v>
      </c>
      <c r="D225" s="2" t="s">
        <v>2825</v>
      </c>
      <c r="E225" s="2" t="s">
        <v>2818</v>
      </c>
      <c r="F225" s="2" t="s">
        <v>472</v>
      </c>
      <c r="G225" s="2" t="s">
        <v>6039</v>
      </c>
      <c r="H225" s="2" t="s">
        <v>2224</v>
      </c>
      <c r="I225" s="2" t="s">
        <v>5920</v>
      </c>
      <c r="J225" s="2" t="s">
        <v>5933</v>
      </c>
      <c r="K225" s="3" t="b">
        <f>J225 = "blocking"</f>
        <v>1</v>
      </c>
      <c r="L225" s="2" t="s">
        <v>1428</v>
      </c>
      <c r="M225" s="2" t="s">
        <v>6040</v>
      </c>
      <c r="N225" s="4">
        <v>46223.1297337963</v>
      </c>
      <c r="O225" s="3" t="b">
        <f>L225 = "PASS"</f>
        <v>1</v>
      </c>
      <c r="P225" s="3" t="b">
        <f>L225 = "FAIL"</f>
        <v>0</v>
      </c>
      <c r="Q225" s="3" t="b">
        <f>AND(P225, K225)</f>
        <v>0</v>
      </c>
      <c r="R225" s="3" t="str">
        <f>IF(O225, I225, "")</f>
        <v>suite-substrate</v>
      </c>
      <c r="S225" s="3" t="str">
        <f>IF(Q225, I225, "")</f>
      </c>
      <c r="T225" s="2" t="s">
        <v>5935</v>
      </c>
    </row>
    <row r="226">
      <c r="A226" s="2" t="s">
        <v>6195</v>
      </c>
      <c r="B226" s="3" t="str">
        <f>C226 &amp; ": " &amp; D226</f>
        <v>formula-translates: ProcedureStatusChanges.Name</v>
      </c>
      <c r="C226" s="2" t="s">
        <v>6038</v>
      </c>
      <c r="D226" s="2" t="s">
        <v>2828</v>
      </c>
      <c r="E226" s="2" t="s">
        <v>1755</v>
      </c>
      <c r="F226" s="2" t="s">
        <v>1</v>
      </c>
      <c r="G226" s="2" t="s">
        <v>6039</v>
      </c>
      <c r="H226" s="2"/>
      <c r="I226" s="2" t="s">
        <v>5920</v>
      </c>
      <c r="J226" s="2" t="s">
        <v>5933</v>
      </c>
      <c r="K226" s="3" t="b">
        <f>J226 = "blocking"</f>
        <v>1</v>
      </c>
      <c r="L226" s="2" t="s">
        <v>1428</v>
      </c>
      <c r="M226" s="2" t="s">
        <v>6040</v>
      </c>
      <c r="N226" s="4">
        <v>46223.1297337963</v>
      </c>
      <c r="O226" s="3" t="b">
        <f>L226 = "PASS"</f>
        <v>1</v>
      </c>
      <c r="P226" s="3" t="b">
        <f>L226 = "FAIL"</f>
        <v>0</v>
      </c>
      <c r="Q226" s="3" t="b">
        <f>AND(P226, K226)</f>
        <v>0</v>
      </c>
      <c r="R226" s="3" t="str">
        <f>IF(O226, I226, "")</f>
        <v>suite-substrate</v>
      </c>
      <c r="S226" s="3" t="str">
        <f>IF(Q226, I226, "")</f>
      </c>
      <c r="T226" s="2" t="s">
        <v>5935</v>
      </c>
    </row>
    <row r="227">
      <c r="A227" s="2" t="s">
        <v>6196</v>
      </c>
      <c r="B227" s="3" t="str">
        <f>C227 &amp; ": " &amp; D227</f>
        <v>formula-translates: Steps.Name</v>
      </c>
      <c r="C227" s="2" t="s">
        <v>6038</v>
      </c>
      <c r="D227" s="2" t="s">
        <v>2838</v>
      </c>
      <c r="E227" s="2" t="s">
        <v>1758</v>
      </c>
      <c r="F227" s="2" t="s">
        <v>1</v>
      </c>
      <c r="G227" s="2" t="s">
        <v>6039</v>
      </c>
      <c r="H227" s="2"/>
      <c r="I227" s="2" t="s">
        <v>5920</v>
      </c>
      <c r="J227" s="2" t="s">
        <v>5933</v>
      </c>
      <c r="K227" s="3" t="b">
        <f>J227 = "blocking"</f>
        <v>1</v>
      </c>
      <c r="L227" s="2" t="s">
        <v>1428</v>
      </c>
      <c r="M227" s="2" t="s">
        <v>6040</v>
      </c>
      <c r="N227" s="4">
        <v>46223.1297337963</v>
      </c>
      <c r="O227" s="3" t="b">
        <f>L227 = "PASS"</f>
        <v>1</v>
      </c>
      <c r="P227" s="3" t="b">
        <f>L227 = "FAIL"</f>
        <v>0</v>
      </c>
      <c r="Q227" s="3" t="b">
        <f>AND(P227, K227)</f>
        <v>0</v>
      </c>
      <c r="R227" s="3" t="str">
        <f>IF(O227, I227, "")</f>
        <v>suite-substrate</v>
      </c>
      <c r="S227" s="3" t="str">
        <f>IF(Q227, I227, "")</f>
      </c>
      <c r="T227" s="2" t="s">
        <v>5935</v>
      </c>
    </row>
    <row r="228">
      <c r="A228" s="2" t="s">
        <v>6197</v>
      </c>
      <c r="B228" s="3" t="str">
        <f>C228 &amp; ": " &amp; D228</f>
        <v>formula-translates: Steps.AssignedRoleLabel</v>
      </c>
      <c r="C228" s="2" t="s">
        <v>6038</v>
      </c>
      <c r="D228" s="2" t="s">
        <v>2845</v>
      </c>
      <c r="E228" s="2" t="s">
        <v>1758</v>
      </c>
      <c r="F228" s="2" t="s">
        <v>501</v>
      </c>
      <c r="G228" s="2" t="s">
        <v>6039</v>
      </c>
      <c r="H228" s="2"/>
      <c r="I228" s="2" t="s">
        <v>5920</v>
      </c>
      <c r="J228" s="2" t="s">
        <v>5933</v>
      </c>
      <c r="K228" s="3" t="b">
        <f>J228 = "blocking"</f>
        <v>1</v>
      </c>
      <c r="L228" s="2" t="s">
        <v>1428</v>
      </c>
      <c r="M228" s="2" t="s">
        <v>6040</v>
      </c>
      <c r="N228" s="4">
        <v>46223.1297337963</v>
      </c>
      <c r="O228" s="3" t="b">
        <f>L228 = "PASS"</f>
        <v>1</v>
      </c>
      <c r="P228" s="3" t="b">
        <f>L228 = "FAIL"</f>
        <v>0</v>
      </c>
      <c r="Q228" s="3" t="b">
        <f>AND(P228, K228)</f>
        <v>0</v>
      </c>
      <c r="R228" s="3" t="str">
        <f>IF(O228, I228, "")</f>
        <v>suite-substrate</v>
      </c>
      <c r="S228" s="3" t="str">
        <f>IF(Q228, I228, "")</f>
      </c>
      <c r="T228" s="2" t="s">
        <v>5935</v>
      </c>
    </row>
    <row r="229">
      <c r="A229" s="2" t="s">
        <v>6198</v>
      </c>
      <c r="B229" s="3" t="str">
        <f>C229 &amp; ": " &amp; D229</f>
        <v>formula-translates: Steps.AssignedAgentKind</v>
      </c>
      <c r="C229" s="2" t="s">
        <v>6038</v>
      </c>
      <c r="D229" s="2" t="s">
        <v>2847</v>
      </c>
      <c r="E229" s="2" t="s">
        <v>1758</v>
      </c>
      <c r="F229" s="2" t="s">
        <v>502</v>
      </c>
      <c r="G229" s="2" t="s">
        <v>6039</v>
      </c>
      <c r="H229" s="2"/>
      <c r="I229" s="2" t="s">
        <v>5920</v>
      </c>
      <c r="J229" s="2" t="s">
        <v>5933</v>
      </c>
      <c r="K229" s="3" t="b">
        <f>J229 = "blocking"</f>
        <v>1</v>
      </c>
      <c r="L229" s="2" t="s">
        <v>1428</v>
      </c>
      <c r="M229" s="2" t="s">
        <v>6040</v>
      </c>
      <c r="N229" s="4">
        <v>46223.1297337963</v>
      </c>
      <c r="O229" s="3" t="b">
        <f>L229 = "PASS"</f>
        <v>1</v>
      </c>
      <c r="P229" s="3" t="b">
        <f>L229 = "FAIL"</f>
        <v>0</v>
      </c>
      <c r="Q229" s="3" t="b">
        <f>AND(P229, K229)</f>
        <v>0</v>
      </c>
      <c r="R229" s="3" t="str">
        <f>IF(O229, I229, "")</f>
        <v>suite-substrate</v>
      </c>
      <c r="S229" s="3" t="str">
        <f>IF(Q229, I229, "")</f>
      </c>
      <c r="T229" s="2" t="s">
        <v>5935</v>
      </c>
    </row>
    <row r="230">
      <c r="A230" s="2" t="s">
        <v>6199</v>
      </c>
      <c r="B230" s="3" t="str">
        <f>C230 &amp; ": " &amp; D230</f>
        <v>formula-translates: Steps.BlockingRequirementCount</v>
      </c>
      <c r="C230" s="2" t="s">
        <v>6038</v>
      </c>
      <c r="D230" s="2" t="s">
        <v>2853</v>
      </c>
      <c r="E230" s="2" t="s">
        <v>1758</v>
      </c>
      <c r="F230" s="2" t="s">
        <v>507</v>
      </c>
      <c r="G230" s="2" t="s">
        <v>6039</v>
      </c>
      <c r="H230" s="2" t="s">
        <v>1940</v>
      </c>
      <c r="I230" s="2" t="s">
        <v>5920</v>
      </c>
      <c r="J230" s="2" t="s">
        <v>5933</v>
      </c>
      <c r="K230" s="3" t="b">
        <f>J230 = "blocking"</f>
        <v>1</v>
      </c>
      <c r="L230" s="2" t="s">
        <v>1428</v>
      </c>
      <c r="M230" s="2" t="s">
        <v>6040</v>
      </c>
      <c r="N230" s="4">
        <v>46223.1297337963</v>
      </c>
      <c r="O230" s="3" t="b">
        <f>L230 = "PASS"</f>
        <v>1</v>
      </c>
      <c r="P230" s="3" t="b">
        <f>L230 = "FAIL"</f>
        <v>0</v>
      </c>
      <c r="Q230" s="3" t="b">
        <f>AND(P230, K230)</f>
        <v>0</v>
      </c>
      <c r="R230" s="3" t="str">
        <f>IF(O230, I230, "")</f>
        <v>suite-substrate</v>
      </c>
      <c r="S230" s="3" t="str">
        <f>IF(Q230, I230, "")</f>
      </c>
      <c r="T230" s="2" t="s">
        <v>5935</v>
      </c>
    </row>
    <row r="231">
      <c r="A231" s="2" t="s">
        <v>6200</v>
      </c>
      <c r="B231" s="3" t="str">
        <f>C231 &amp; ": " &amp; D231</f>
        <v>formula-translates: Steps.StaleBindingCount</v>
      </c>
      <c r="C231" s="2" t="s">
        <v>6038</v>
      </c>
      <c r="D231" s="2" t="s">
        <v>2855</v>
      </c>
      <c r="E231" s="2" t="s">
        <v>1758</v>
      </c>
      <c r="F231" s="2" t="s">
        <v>508</v>
      </c>
      <c r="G231" s="2" t="s">
        <v>6039</v>
      </c>
      <c r="H231" s="2" t="s">
        <v>1944</v>
      </c>
      <c r="I231" s="2" t="s">
        <v>5920</v>
      </c>
      <c r="J231" s="2" t="s">
        <v>5933</v>
      </c>
      <c r="K231" s="3" t="b">
        <f>J231 = "blocking"</f>
        <v>1</v>
      </c>
      <c r="L231" s="2" t="s">
        <v>1428</v>
      </c>
      <c r="M231" s="2" t="s">
        <v>6040</v>
      </c>
      <c r="N231" s="4">
        <v>46223.1297337963</v>
      </c>
      <c r="O231" s="3" t="b">
        <f>L231 = "PASS"</f>
        <v>1</v>
      </c>
      <c r="P231" s="3" t="b">
        <f>L231 = "FAIL"</f>
        <v>0</v>
      </c>
      <c r="Q231" s="3" t="b">
        <f>AND(P231, K231)</f>
        <v>0</v>
      </c>
      <c r="R231" s="3" t="str">
        <f>IF(O231, I231, "")</f>
        <v>suite-substrate</v>
      </c>
      <c r="S231" s="3" t="str">
        <f>IF(Q231, I231, "")</f>
      </c>
      <c r="T231" s="2" t="s">
        <v>5935</v>
      </c>
    </row>
    <row r="232">
      <c r="A232" s="2" t="s">
        <v>6201</v>
      </c>
      <c r="B232" s="3" t="str">
        <f>C232 &amp; ": " &amp; D232</f>
        <v>formula-translates: Steps.AuthoritativeStaleCount</v>
      </c>
      <c r="C232" s="2" t="s">
        <v>6038</v>
      </c>
      <c r="D232" s="2" t="s">
        <v>2857</v>
      </c>
      <c r="E232" s="2" t="s">
        <v>1758</v>
      </c>
      <c r="F232" s="2" t="s">
        <v>509</v>
      </c>
      <c r="G232" s="2" t="s">
        <v>6039</v>
      </c>
      <c r="H232" s="2" t="s">
        <v>1944</v>
      </c>
      <c r="I232" s="2" t="s">
        <v>5920</v>
      </c>
      <c r="J232" s="2" t="s">
        <v>5933</v>
      </c>
      <c r="K232" s="3" t="b">
        <f>J232 = "blocking"</f>
        <v>1</v>
      </c>
      <c r="L232" s="2" t="s">
        <v>1428</v>
      </c>
      <c r="M232" s="2" t="s">
        <v>6040</v>
      </c>
      <c r="N232" s="4">
        <v>46223.1297337963</v>
      </c>
      <c r="O232" s="3" t="b">
        <f>L232 = "PASS"</f>
        <v>1</v>
      </c>
      <c r="P232" s="3" t="b">
        <f>L232 = "FAIL"</f>
        <v>0</v>
      </c>
      <c r="Q232" s="3" t="b">
        <f>AND(P232, K232)</f>
        <v>0</v>
      </c>
      <c r="R232" s="3" t="str">
        <f>IF(O232, I232, "")</f>
        <v>suite-substrate</v>
      </c>
      <c r="S232" s="3" t="str">
        <f>IF(Q232, I232, "")</f>
      </c>
      <c r="T232" s="2" t="s">
        <v>5935</v>
      </c>
    </row>
    <row r="233">
      <c r="A233" s="2" t="s">
        <v>6202</v>
      </c>
      <c r="B233" s="3" t="str">
        <f>C233 &amp; ": " &amp; D233</f>
        <v>formula-translates: Steps.AvailableExceptionCount</v>
      </c>
      <c r="C233" s="2" t="s">
        <v>6038</v>
      </c>
      <c r="D233" s="2" t="s">
        <v>2859</v>
      </c>
      <c r="E233" s="2" t="s">
        <v>1758</v>
      </c>
      <c r="F233" s="2" t="s">
        <v>510</v>
      </c>
      <c r="G233" s="2" t="s">
        <v>6039</v>
      </c>
      <c r="H233" s="2" t="s">
        <v>1948</v>
      </c>
      <c r="I233" s="2" t="s">
        <v>5920</v>
      </c>
      <c r="J233" s="2" t="s">
        <v>5933</v>
      </c>
      <c r="K233" s="3" t="b">
        <f>J233 = "blocking"</f>
        <v>1</v>
      </c>
      <c r="L233" s="2" t="s">
        <v>1428</v>
      </c>
      <c r="M233" s="2" t="s">
        <v>6040</v>
      </c>
      <c r="N233" s="4">
        <v>46223.1297337963</v>
      </c>
      <c r="O233" s="3" t="b">
        <f>L233 = "PASS"</f>
        <v>1</v>
      </c>
      <c r="P233" s="3" t="b">
        <f>L233 = "FAIL"</f>
        <v>0</v>
      </c>
      <c r="Q233" s="3" t="b">
        <f>AND(P233, K233)</f>
        <v>0</v>
      </c>
      <c r="R233" s="3" t="str">
        <f>IF(O233, I233, "")</f>
        <v>suite-substrate</v>
      </c>
      <c r="S233" s="3" t="str">
        <f>IF(Q233, I233, "")</f>
      </c>
      <c r="T233" s="2" t="s">
        <v>5935</v>
      </c>
    </row>
    <row r="234">
      <c r="A234" s="2" t="s">
        <v>6203</v>
      </c>
      <c r="B234" s="3" t="str">
        <f>C234 &amp; ": " &amp; D234</f>
        <v>formula-translates: Steps.DeclaredVerificationCount</v>
      </c>
      <c r="C234" s="2" t="s">
        <v>6038</v>
      </c>
      <c r="D234" s="2" t="s">
        <v>2861</v>
      </c>
      <c r="E234" s="2" t="s">
        <v>1758</v>
      </c>
      <c r="F234" s="2" t="s">
        <v>511</v>
      </c>
      <c r="G234" s="2" t="s">
        <v>6039</v>
      </c>
      <c r="H234" s="2" t="s">
        <v>1952</v>
      </c>
      <c r="I234" s="2" t="s">
        <v>5920</v>
      </c>
      <c r="J234" s="2" t="s">
        <v>5933</v>
      </c>
      <c r="K234" s="3" t="b">
        <f>J234 = "blocking"</f>
        <v>1</v>
      </c>
      <c r="L234" s="2" t="s">
        <v>1428</v>
      </c>
      <c r="M234" s="2" t="s">
        <v>6040</v>
      </c>
      <c r="N234" s="4">
        <v>46223.1297337963</v>
      </c>
      <c r="O234" s="3" t="b">
        <f>L234 = "PASS"</f>
        <v>1</v>
      </c>
      <c r="P234" s="3" t="b">
        <f>L234 = "FAIL"</f>
        <v>0</v>
      </c>
      <c r="Q234" s="3" t="b">
        <f>AND(P234, K234)</f>
        <v>0</v>
      </c>
      <c r="R234" s="3" t="str">
        <f>IF(O234, I234, "")</f>
        <v>suite-substrate</v>
      </c>
      <c r="S234" s="3" t="str">
        <f>IF(Q234, I234, "")</f>
      </c>
      <c r="T234" s="2" t="s">
        <v>5935</v>
      </c>
    </row>
    <row r="235">
      <c r="A235" s="2" t="s">
        <v>6204</v>
      </c>
      <c r="B235" s="3" t="str">
        <f>C235 &amp; ": " &amp; D235</f>
        <v>formula-translates: Steps.IsPreparationStep</v>
      </c>
      <c r="C235" s="2" t="s">
        <v>6038</v>
      </c>
      <c r="D235" s="2" t="s">
        <v>2863</v>
      </c>
      <c r="E235" s="2" t="s">
        <v>1758</v>
      </c>
      <c r="F235" s="2" t="s">
        <v>512</v>
      </c>
      <c r="G235" s="2" t="s">
        <v>6039</v>
      </c>
      <c r="H235" s="2" t="s">
        <v>1956</v>
      </c>
      <c r="I235" s="2" t="s">
        <v>5920</v>
      </c>
      <c r="J235" s="2" t="s">
        <v>5933</v>
      </c>
      <c r="K235" s="3" t="b">
        <f>J235 = "blocking"</f>
        <v>1</v>
      </c>
      <c r="L235" s="2" t="s">
        <v>1428</v>
      </c>
      <c r="M235" s="2" t="s">
        <v>6040</v>
      </c>
      <c r="N235" s="4">
        <v>46223.1297337963</v>
      </c>
      <c r="O235" s="3" t="b">
        <f>L235 = "PASS"</f>
        <v>1</v>
      </c>
      <c r="P235" s="3" t="b">
        <f>L235 = "FAIL"</f>
        <v>0</v>
      </c>
      <c r="Q235" s="3" t="b">
        <f>AND(P235, K235)</f>
        <v>0</v>
      </c>
      <c r="R235" s="3" t="str">
        <f>IF(O235, I235, "")</f>
        <v>suite-substrate</v>
      </c>
      <c r="S235" s="3" t="str">
        <f>IF(Q235, I235, "")</f>
      </c>
      <c r="T235" s="2" t="s">
        <v>5935</v>
      </c>
    </row>
    <row r="236">
      <c r="A236" s="2" t="s">
        <v>6205</v>
      </c>
      <c r="B236" s="3" t="str">
        <f>C236 &amp; ": " &amp; D236</f>
        <v>formula-translates: Steps.IsApprovalStep</v>
      </c>
      <c r="C236" s="2" t="s">
        <v>6038</v>
      </c>
      <c r="D236" s="2" t="s">
        <v>2865</v>
      </c>
      <c r="E236" s="2" t="s">
        <v>1758</v>
      </c>
      <c r="F236" s="2" t="s">
        <v>513</v>
      </c>
      <c r="G236" s="2" t="s">
        <v>6039</v>
      </c>
      <c r="H236" s="2" t="s">
        <v>1956</v>
      </c>
      <c r="I236" s="2" t="s">
        <v>5920</v>
      </c>
      <c r="J236" s="2" t="s">
        <v>5933</v>
      </c>
      <c r="K236" s="3" t="b">
        <f>J236 = "blocking"</f>
        <v>1</v>
      </c>
      <c r="L236" s="2" t="s">
        <v>1428</v>
      </c>
      <c r="M236" s="2" t="s">
        <v>6040</v>
      </c>
      <c r="N236" s="4">
        <v>46223.1297337963</v>
      </c>
      <c r="O236" s="3" t="b">
        <f>L236 = "PASS"</f>
        <v>1</v>
      </c>
      <c r="P236" s="3" t="b">
        <f>L236 = "FAIL"</f>
        <v>0</v>
      </c>
      <c r="Q236" s="3" t="b">
        <f>AND(P236, K236)</f>
        <v>0</v>
      </c>
      <c r="R236" s="3" t="str">
        <f>IF(O236, I236, "")</f>
        <v>suite-substrate</v>
      </c>
      <c r="S236" s="3" t="str">
        <f>IF(Q236, I236, "")</f>
      </c>
      <c r="T236" s="2" t="s">
        <v>5935</v>
      </c>
    </row>
    <row r="237">
      <c r="A237" s="2" t="s">
        <v>6206</v>
      </c>
      <c r="B237" s="3" t="str">
        <f>C237 &amp; ": " &amp; D237</f>
        <v>formula-translates: Steps.StaleAuthoritativeBindingCount</v>
      </c>
      <c r="C237" s="2" t="s">
        <v>6038</v>
      </c>
      <c r="D237" s="2" t="s">
        <v>2867</v>
      </c>
      <c r="E237" s="2" t="s">
        <v>1758</v>
      </c>
      <c r="F237" s="2" t="s">
        <v>514</v>
      </c>
      <c r="G237" s="2" t="s">
        <v>6039</v>
      </c>
      <c r="H237" s="2" t="s">
        <v>2100</v>
      </c>
      <c r="I237" s="2" t="s">
        <v>5920</v>
      </c>
      <c r="J237" s="2" t="s">
        <v>5933</v>
      </c>
      <c r="K237" s="3" t="b">
        <f>J237 = "blocking"</f>
        <v>1</v>
      </c>
      <c r="L237" s="2" t="s">
        <v>1428</v>
      </c>
      <c r="M237" s="2" t="s">
        <v>6040</v>
      </c>
      <c r="N237" s="4">
        <v>46223.1297337963</v>
      </c>
      <c r="O237" s="3" t="b">
        <f>L237 = "PASS"</f>
        <v>1</v>
      </c>
      <c r="P237" s="3" t="b">
        <f>L237 = "FAIL"</f>
        <v>0</v>
      </c>
      <c r="Q237" s="3" t="b">
        <f>AND(P237, K237)</f>
        <v>0</v>
      </c>
      <c r="R237" s="3" t="str">
        <f>IF(O237, I237, "")</f>
        <v>suite-substrate</v>
      </c>
      <c r="S237" s="3" t="str">
        <f>IF(Q237, I237, "")</f>
      </c>
      <c r="T237" s="2" t="s">
        <v>5935</v>
      </c>
    </row>
    <row r="238">
      <c r="A238" s="2" t="s">
        <v>6207</v>
      </c>
      <c r="B238" s="3" t="str">
        <f>C238 &amp; ": " &amp; D238</f>
        <v>formula-translates: Steps.InputsAreFresh</v>
      </c>
      <c r="C238" s="2" t="s">
        <v>6038</v>
      </c>
      <c r="D238" s="2" t="s">
        <v>2869</v>
      </c>
      <c r="E238" s="2" t="s">
        <v>1758</v>
      </c>
      <c r="F238" s="2" t="s">
        <v>515</v>
      </c>
      <c r="G238" s="2" t="s">
        <v>6039</v>
      </c>
      <c r="H238" s="2" t="s">
        <v>2100</v>
      </c>
      <c r="I238" s="2" t="s">
        <v>5920</v>
      </c>
      <c r="J238" s="2" t="s">
        <v>5933</v>
      </c>
      <c r="K238" s="3" t="b">
        <f>J238 = "blocking"</f>
        <v>1</v>
      </c>
      <c r="L238" s="2" t="s">
        <v>1428</v>
      </c>
      <c r="M238" s="2" t="s">
        <v>6040</v>
      </c>
      <c r="N238" s="4">
        <v>46223.1297337963</v>
      </c>
      <c r="O238" s="3" t="b">
        <f>L238 = "PASS"</f>
        <v>1</v>
      </c>
      <c r="P238" s="3" t="b">
        <f>L238 = "FAIL"</f>
        <v>0</v>
      </c>
      <c r="Q238" s="3" t="b">
        <f>AND(P238, K238)</f>
        <v>0</v>
      </c>
      <c r="R238" s="3" t="str">
        <f>IF(O238, I238, "")</f>
        <v>suite-substrate</v>
      </c>
      <c r="S238" s="3" t="str">
        <f>IF(Q238, I238, "")</f>
      </c>
      <c r="T238" s="2" t="s">
        <v>5935</v>
      </c>
    </row>
    <row r="239">
      <c r="A239" s="2" t="s">
        <v>6208</v>
      </c>
      <c r="B239" s="3" t="str">
        <f>C239 &amp; ": " &amp; D239</f>
        <v>formula-translates: Steps.IsSoftwareAssigned</v>
      </c>
      <c r="C239" s="2" t="s">
        <v>6038</v>
      </c>
      <c r="D239" s="2" t="s">
        <v>2871</v>
      </c>
      <c r="E239" s="2" t="s">
        <v>1758</v>
      </c>
      <c r="F239" s="2" t="s">
        <v>516</v>
      </c>
      <c r="G239" s="2" t="s">
        <v>6039</v>
      </c>
      <c r="H239" s="2" t="s">
        <v>2120</v>
      </c>
      <c r="I239" s="2" t="s">
        <v>5920</v>
      </c>
      <c r="J239" s="2" t="s">
        <v>5933</v>
      </c>
      <c r="K239" s="3" t="b">
        <f>J239 = "blocking"</f>
        <v>1</v>
      </c>
      <c r="L239" s="2" t="s">
        <v>1428</v>
      </c>
      <c r="M239" s="2" t="s">
        <v>6040</v>
      </c>
      <c r="N239" s="4">
        <v>46223.1297337963</v>
      </c>
      <c r="O239" s="3" t="b">
        <f>L239 = "PASS"</f>
        <v>1</v>
      </c>
      <c r="P239" s="3" t="b">
        <f>L239 = "FAIL"</f>
        <v>0</v>
      </c>
      <c r="Q239" s="3" t="b">
        <f>AND(P239, K239)</f>
        <v>0</v>
      </c>
      <c r="R239" s="3" t="str">
        <f>IF(O239, I239, "")</f>
        <v>suite-substrate</v>
      </c>
      <c r="S239" s="3" t="str">
        <f>IF(Q239, I239, "")</f>
      </c>
      <c r="T239" s="2" t="s">
        <v>5935</v>
      </c>
    </row>
    <row r="240">
      <c r="A240" s="2" t="s">
        <v>6209</v>
      </c>
      <c r="B240" s="3" t="str">
        <f>C240 &amp; ": " &amp; D240</f>
        <v>formula-translates: Steps.IsHumanApprovalGate</v>
      </c>
      <c r="C240" s="2" t="s">
        <v>6038</v>
      </c>
      <c r="D240" s="2" t="s">
        <v>2873</v>
      </c>
      <c r="E240" s="2" t="s">
        <v>1758</v>
      </c>
      <c r="F240" s="2" t="s">
        <v>517</v>
      </c>
      <c r="G240" s="2" t="s">
        <v>6039</v>
      </c>
      <c r="H240" s="2" t="s">
        <v>2120</v>
      </c>
      <c r="I240" s="2" t="s">
        <v>5920</v>
      </c>
      <c r="J240" s="2" t="s">
        <v>5933</v>
      </c>
      <c r="K240" s="3" t="b">
        <f>J240 = "blocking"</f>
        <v>1</v>
      </c>
      <c r="L240" s="2" t="s">
        <v>1428</v>
      </c>
      <c r="M240" s="2" t="s">
        <v>6040</v>
      </c>
      <c r="N240" s="4">
        <v>46223.1297337963</v>
      </c>
      <c r="O240" s="3" t="b">
        <f>L240 = "PASS"</f>
        <v>1</v>
      </c>
      <c r="P240" s="3" t="b">
        <f>L240 = "FAIL"</f>
        <v>0</v>
      </c>
      <c r="Q240" s="3" t="b">
        <f>AND(P240, K240)</f>
        <v>0</v>
      </c>
      <c r="R240" s="3" t="str">
        <f>IF(O240, I240, "")</f>
        <v>suite-substrate</v>
      </c>
      <c r="S240" s="3" t="str">
        <f>IF(Q240, I240, "")</f>
      </c>
      <c r="T240" s="2" t="s">
        <v>5935</v>
      </c>
    </row>
    <row r="241">
      <c r="A241" s="2" t="s">
        <v>6210</v>
      </c>
      <c r="B241" s="3" t="str">
        <f>C241 &amp; ": " &amp; D241</f>
        <v>formula-translates: Steps.GateHeldByHuman</v>
      </c>
      <c r="C241" s="2" t="s">
        <v>6038</v>
      </c>
      <c r="D241" s="2" t="s">
        <v>2875</v>
      </c>
      <c r="E241" s="2" t="s">
        <v>1758</v>
      </c>
      <c r="F241" s="2" t="s">
        <v>518</v>
      </c>
      <c r="G241" s="2" t="s">
        <v>6039</v>
      </c>
      <c r="H241" s="2" t="s">
        <v>2120</v>
      </c>
      <c r="I241" s="2" t="s">
        <v>5920</v>
      </c>
      <c r="J241" s="2" t="s">
        <v>5933</v>
      </c>
      <c r="K241" s="3" t="b">
        <f>J241 = "blocking"</f>
        <v>1</v>
      </c>
      <c r="L241" s="2" t="s">
        <v>1428</v>
      </c>
      <c r="M241" s="2" t="s">
        <v>6040</v>
      </c>
      <c r="N241" s="4">
        <v>46223.1297337963</v>
      </c>
      <c r="O241" s="3" t="b">
        <f>L241 = "PASS"</f>
        <v>1</v>
      </c>
      <c r="P241" s="3" t="b">
        <f>L241 = "FAIL"</f>
        <v>0</v>
      </c>
      <c r="Q241" s="3" t="b">
        <f>AND(P241, K241)</f>
        <v>0</v>
      </c>
      <c r="R241" s="3" t="str">
        <f>IF(O241, I241, "")</f>
        <v>suite-substrate</v>
      </c>
      <c r="S241" s="3" t="str">
        <f>IF(Q241, I241, "")</f>
      </c>
      <c r="T241" s="2" t="s">
        <v>5935</v>
      </c>
    </row>
    <row r="242">
      <c r="A242" s="2" t="s">
        <v>6211</v>
      </c>
      <c r="B242" s="3" t="str">
        <f>C242 &amp; ": " &amp; D242</f>
        <v>formula-translates: Steps.BindingBoundaryCount</v>
      </c>
      <c r="C242" s="2" t="s">
        <v>6038</v>
      </c>
      <c r="D242" s="2" t="s">
        <v>2877</v>
      </c>
      <c r="E242" s="2" t="s">
        <v>1758</v>
      </c>
      <c r="F242" s="2" t="s">
        <v>519</v>
      </c>
      <c r="G242" s="2" t="s">
        <v>6039</v>
      </c>
      <c r="H242" s="2" t="s">
        <v>2144</v>
      </c>
      <c r="I242" s="2" t="s">
        <v>5920</v>
      </c>
      <c r="J242" s="2" t="s">
        <v>5933</v>
      </c>
      <c r="K242" s="3" t="b">
        <f>J242 = "blocking"</f>
        <v>1</v>
      </c>
      <c r="L242" s="2" t="s">
        <v>1428</v>
      </c>
      <c r="M242" s="2" t="s">
        <v>6040</v>
      </c>
      <c r="N242" s="4">
        <v>46223.1297337963</v>
      </c>
      <c r="O242" s="3" t="b">
        <f>L242 = "PASS"</f>
        <v>1</v>
      </c>
      <c r="P242" s="3" t="b">
        <f>L242 = "FAIL"</f>
        <v>0</v>
      </c>
      <c r="Q242" s="3" t="b">
        <f>AND(P242, K242)</f>
        <v>0</v>
      </c>
      <c r="R242" s="3" t="str">
        <f>IF(O242, I242, "")</f>
        <v>suite-substrate</v>
      </c>
      <c r="S242" s="3" t="str">
        <f>IF(Q242, I242, "")</f>
      </c>
      <c r="T242" s="2" t="s">
        <v>5935</v>
      </c>
    </row>
    <row r="243">
      <c r="A243" s="2" t="s">
        <v>6212</v>
      </c>
      <c r="B243" s="3" t="str">
        <f>C243 &amp; ": " &amp; D243</f>
        <v>formula-translates: Steps.AssignedRoleIsUngoverned</v>
      </c>
      <c r="C243" s="2" t="s">
        <v>6038</v>
      </c>
      <c r="D243" s="2" t="s">
        <v>2879</v>
      </c>
      <c r="E243" s="2" t="s">
        <v>1758</v>
      </c>
      <c r="F243" s="2" t="s">
        <v>520</v>
      </c>
      <c r="G243" s="2" t="s">
        <v>6039</v>
      </c>
      <c r="H243" s="2" t="s">
        <v>2156</v>
      </c>
      <c r="I243" s="2" t="s">
        <v>5920</v>
      </c>
      <c r="J243" s="2" t="s">
        <v>5933</v>
      </c>
      <c r="K243" s="3" t="b">
        <f>J243 = "blocking"</f>
        <v>1</v>
      </c>
      <c r="L243" s="2" t="s">
        <v>1428</v>
      </c>
      <c r="M243" s="2" t="s">
        <v>6040</v>
      </c>
      <c r="N243" s="4">
        <v>46223.1297337963</v>
      </c>
      <c r="O243" s="3" t="b">
        <f>L243 = "PASS"</f>
        <v>1</v>
      </c>
      <c r="P243" s="3" t="b">
        <f>L243 = "FAIL"</f>
        <v>0</v>
      </c>
      <c r="Q243" s="3" t="b">
        <f>AND(P243, K243)</f>
        <v>0</v>
      </c>
      <c r="R243" s="3" t="str">
        <f>IF(O243, I243, "")</f>
        <v>suite-substrate</v>
      </c>
      <c r="S243" s="3" t="str">
        <f>IF(Q243, I243, "")</f>
      </c>
      <c r="T243" s="2" t="s">
        <v>5935</v>
      </c>
    </row>
    <row r="244">
      <c r="A244" s="2" t="s">
        <v>6213</v>
      </c>
      <c r="B244" s="3" t="str">
        <f>C244 &amp; ": " &amp; D244</f>
        <v>formula-translates: Steps.UnusableBindingCount</v>
      </c>
      <c r="C244" s="2" t="s">
        <v>6038</v>
      </c>
      <c r="D244" s="2" t="s">
        <v>2881</v>
      </c>
      <c r="E244" s="2" t="s">
        <v>1758</v>
      </c>
      <c r="F244" s="2" t="s">
        <v>521</v>
      </c>
      <c r="G244" s="2" t="s">
        <v>6039</v>
      </c>
      <c r="H244" s="2" t="s">
        <v>2160</v>
      </c>
      <c r="I244" s="2" t="s">
        <v>5920</v>
      </c>
      <c r="J244" s="2" t="s">
        <v>5933</v>
      </c>
      <c r="K244" s="3" t="b">
        <f>J244 = "blocking"</f>
        <v>1</v>
      </c>
      <c r="L244" s="2" t="s">
        <v>1428</v>
      </c>
      <c r="M244" s="2" t="s">
        <v>6040</v>
      </c>
      <c r="N244" s="4">
        <v>46223.1297337963</v>
      </c>
      <c r="O244" s="3" t="b">
        <f>L244 = "PASS"</f>
        <v>1</v>
      </c>
      <c r="P244" s="3" t="b">
        <f>L244 = "FAIL"</f>
        <v>0</v>
      </c>
      <c r="Q244" s="3" t="b">
        <f>AND(P244, K244)</f>
        <v>0</v>
      </c>
      <c r="R244" s="3" t="str">
        <f>IF(O244, I244, "")</f>
        <v>suite-substrate</v>
      </c>
      <c r="S244" s="3" t="str">
        <f>IF(Q244, I244, "")</f>
      </c>
      <c r="T244" s="2" t="s">
        <v>5935</v>
      </c>
    </row>
    <row r="245">
      <c r="A245" s="2" t="s">
        <v>6214</v>
      </c>
      <c r="B245" s="3" t="str">
        <f>C245 &amp; ": " &amp; D245</f>
        <v>formula-translates: Steps.AllSourcesUsable</v>
      </c>
      <c r="C245" s="2" t="s">
        <v>6038</v>
      </c>
      <c r="D245" s="2" t="s">
        <v>2883</v>
      </c>
      <c r="E245" s="2" t="s">
        <v>1758</v>
      </c>
      <c r="F245" s="2" t="s">
        <v>522</v>
      </c>
      <c r="G245" s="2" t="s">
        <v>6039</v>
      </c>
      <c r="H245" s="2" t="s">
        <v>2160</v>
      </c>
      <c r="I245" s="2" t="s">
        <v>5920</v>
      </c>
      <c r="J245" s="2" t="s">
        <v>5933</v>
      </c>
      <c r="K245" s="3" t="b">
        <f>J245 = "blocking"</f>
        <v>1</v>
      </c>
      <c r="L245" s="2" t="s">
        <v>1428</v>
      </c>
      <c r="M245" s="2" t="s">
        <v>6040</v>
      </c>
      <c r="N245" s="4">
        <v>46223.1297337963</v>
      </c>
      <c r="O245" s="3" t="b">
        <f>L245 = "PASS"</f>
        <v>1</v>
      </c>
      <c r="P245" s="3" t="b">
        <f>L245 = "FAIL"</f>
        <v>0</v>
      </c>
      <c r="Q245" s="3" t="b">
        <f>AND(P245, K245)</f>
        <v>0</v>
      </c>
      <c r="R245" s="3" t="str">
        <f>IF(O245, I245, "")</f>
        <v>suite-substrate</v>
      </c>
      <c r="S245" s="3" t="str">
        <f>IF(Q245, I245, "")</f>
      </c>
      <c r="T245" s="2" t="s">
        <v>5935</v>
      </c>
    </row>
    <row r="246">
      <c r="A246" s="2" t="s">
        <v>6215</v>
      </c>
      <c r="B246" s="3" t="str">
        <f>C246 &amp; ": " &amp; D246</f>
        <v>formula-translates: Steps.UnwarrantedBoundaryCount</v>
      </c>
      <c r="C246" s="2" t="s">
        <v>6038</v>
      </c>
      <c r="D246" s="2" t="s">
        <v>2886</v>
      </c>
      <c r="E246" s="2" t="s">
        <v>1758</v>
      </c>
      <c r="F246" s="2" t="s">
        <v>524</v>
      </c>
      <c r="G246" s="2" t="s">
        <v>6039</v>
      </c>
      <c r="H246" s="2" t="s">
        <v>2180</v>
      </c>
      <c r="I246" s="2" t="s">
        <v>5920</v>
      </c>
      <c r="J246" s="2" t="s">
        <v>5933</v>
      </c>
      <c r="K246" s="3" t="b">
        <f>J246 = "blocking"</f>
        <v>1</v>
      </c>
      <c r="L246" s="2" t="s">
        <v>1428</v>
      </c>
      <c r="M246" s="2" t="s">
        <v>6040</v>
      </c>
      <c r="N246" s="4">
        <v>46223.1297337963</v>
      </c>
      <c r="O246" s="3" t="b">
        <f>L246 = "PASS"</f>
        <v>1</v>
      </c>
      <c r="P246" s="3" t="b">
        <f>L246 = "FAIL"</f>
        <v>0</v>
      </c>
      <c r="Q246" s="3" t="b">
        <f>AND(P246, K246)</f>
        <v>0</v>
      </c>
      <c r="R246" s="3" t="str">
        <f>IF(O246, I246, "")</f>
        <v>suite-substrate</v>
      </c>
      <c r="S246" s="3" t="str">
        <f>IF(Q246, I246, "")</f>
      </c>
      <c r="T246" s="2" t="s">
        <v>5935</v>
      </c>
    </row>
    <row r="247">
      <c r="A247" s="2" t="s">
        <v>6216</v>
      </c>
      <c r="B247" s="3" t="str">
        <f>C247 &amp; ": " &amp; D247</f>
        <v>formula-translates: Steps.IsGovernedByUnwarrantedBoundary</v>
      </c>
      <c r="C247" s="2" t="s">
        <v>6038</v>
      </c>
      <c r="D247" s="2" t="s">
        <v>2888</v>
      </c>
      <c r="E247" s="2" t="s">
        <v>1758</v>
      </c>
      <c r="F247" s="2" t="s">
        <v>525</v>
      </c>
      <c r="G247" s="2" t="s">
        <v>6039</v>
      </c>
      <c r="H247" s="2" t="s">
        <v>2180</v>
      </c>
      <c r="I247" s="2" t="s">
        <v>5920</v>
      </c>
      <c r="J247" s="2" t="s">
        <v>5933</v>
      </c>
      <c r="K247" s="3" t="b">
        <f>J247 = "blocking"</f>
        <v>1</v>
      </c>
      <c r="L247" s="2" t="s">
        <v>1428</v>
      </c>
      <c r="M247" s="2" t="s">
        <v>6040</v>
      </c>
      <c r="N247" s="4">
        <v>46223.1297337963</v>
      </c>
      <c r="O247" s="3" t="b">
        <f>L247 = "PASS"</f>
        <v>1</v>
      </c>
      <c r="P247" s="3" t="b">
        <f>L247 = "FAIL"</f>
        <v>0</v>
      </c>
      <c r="Q247" s="3" t="b">
        <f>AND(P247, K247)</f>
        <v>0</v>
      </c>
      <c r="R247" s="3" t="str">
        <f>IF(O247, I247, "")</f>
        <v>suite-substrate</v>
      </c>
      <c r="S247" s="3" t="str">
        <f>IF(Q247, I247, "")</f>
      </c>
      <c r="T247" s="2" t="s">
        <v>5935</v>
      </c>
    </row>
    <row r="248">
      <c r="A248" s="2" t="s">
        <v>6217</v>
      </c>
      <c r="B248" s="3" t="str">
        <f>C248 &amp; ": " &amp; D248</f>
        <v>formula-translates: Steps.SoftwareExecutionCount</v>
      </c>
      <c r="C248" s="2" t="s">
        <v>6038</v>
      </c>
      <c r="D248" s="2" t="s">
        <v>2890</v>
      </c>
      <c r="E248" s="2" t="s">
        <v>1758</v>
      </c>
      <c r="F248" s="2" t="s">
        <v>526</v>
      </c>
      <c r="G248" s="2" t="s">
        <v>6039</v>
      </c>
      <c r="H248" s="2" t="s">
        <v>2200</v>
      </c>
      <c r="I248" s="2" t="s">
        <v>5920</v>
      </c>
      <c r="J248" s="2" t="s">
        <v>5933</v>
      </c>
      <c r="K248" s="3" t="b">
        <f>J248 = "blocking"</f>
        <v>1</v>
      </c>
      <c r="L248" s="2" t="s">
        <v>1428</v>
      </c>
      <c r="M248" s="2" t="s">
        <v>6040</v>
      </c>
      <c r="N248" s="4">
        <v>46223.1297337963</v>
      </c>
      <c r="O248" s="3" t="b">
        <f>L248 = "PASS"</f>
        <v>1</v>
      </c>
      <c r="P248" s="3" t="b">
        <f>L248 = "FAIL"</f>
        <v>0</v>
      </c>
      <c r="Q248" s="3" t="b">
        <f>AND(P248, K248)</f>
        <v>0</v>
      </c>
      <c r="R248" s="3" t="str">
        <f>IF(O248, I248, "")</f>
        <v>suite-substrate</v>
      </c>
      <c r="S248" s="3" t="str">
        <f>IF(Q248, I248, "")</f>
      </c>
      <c r="T248" s="2" t="s">
        <v>5935</v>
      </c>
    </row>
    <row r="249">
      <c r="A249" s="2" t="s">
        <v>6218</v>
      </c>
      <c r="B249" s="3" t="str">
        <f>C249 &amp; ": " &amp; D249</f>
        <v>formula-translates: Steps.HasBeenApproachedBySoftware</v>
      </c>
      <c r="C249" s="2" t="s">
        <v>6038</v>
      </c>
      <c r="D249" s="2" t="s">
        <v>2892</v>
      </c>
      <c r="E249" s="2" t="s">
        <v>1758</v>
      </c>
      <c r="F249" s="2" t="s">
        <v>527</v>
      </c>
      <c r="G249" s="2" t="s">
        <v>6039</v>
      </c>
      <c r="H249" s="2" t="s">
        <v>2200</v>
      </c>
      <c r="I249" s="2" t="s">
        <v>5920</v>
      </c>
      <c r="J249" s="2" t="s">
        <v>5933</v>
      </c>
      <c r="K249" s="3" t="b">
        <f>J249 = "blocking"</f>
        <v>1</v>
      </c>
      <c r="L249" s="2" t="s">
        <v>1428</v>
      </c>
      <c r="M249" s="2" t="s">
        <v>6040</v>
      </c>
      <c r="N249" s="4">
        <v>46223.1297337963</v>
      </c>
      <c r="O249" s="3" t="b">
        <f>L249 = "PASS"</f>
        <v>1</v>
      </c>
      <c r="P249" s="3" t="b">
        <f>L249 = "FAIL"</f>
        <v>0</v>
      </c>
      <c r="Q249" s="3" t="b">
        <f>AND(P249, K249)</f>
        <v>0</v>
      </c>
      <c r="R249" s="3" t="str">
        <f>IF(O249, I249, "")</f>
        <v>suite-substrate</v>
      </c>
      <c r="S249" s="3" t="str">
        <f>IF(Q249, I249, "")</f>
      </c>
      <c r="T249" s="2" t="s">
        <v>5935</v>
      </c>
    </row>
    <row r="250">
      <c r="A250" s="2" t="s">
        <v>6219</v>
      </c>
      <c r="B250" s="3" t="str">
        <f>C250 &amp; ": " &amp; D250</f>
        <v>formula-translates: Steps.IsUnexercisedHumanGate</v>
      </c>
      <c r="C250" s="2" t="s">
        <v>6038</v>
      </c>
      <c r="D250" s="2" t="s">
        <v>2894</v>
      </c>
      <c r="E250" s="2" t="s">
        <v>1758</v>
      </c>
      <c r="F250" s="2" t="s">
        <v>528</v>
      </c>
      <c r="G250" s="2" t="s">
        <v>6039</v>
      </c>
      <c r="H250" s="2" t="s">
        <v>2200</v>
      </c>
      <c r="I250" s="2" t="s">
        <v>5920</v>
      </c>
      <c r="J250" s="2" t="s">
        <v>5933</v>
      </c>
      <c r="K250" s="3" t="b">
        <f>J250 = "blocking"</f>
        <v>1</v>
      </c>
      <c r="L250" s="2" t="s">
        <v>1428</v>
      </c>
      <c r="M250" s="2" t="s">
        <v>6040</v>
      </c>
      <c r="N250" s="4">
        <v>46223.1297337963</v>
      </c>
      <c r="O250" s="3" t="b">
        <f>L250 = "PASS"</f>
        <v>1</v>
      </c>
      <c r="P250" s="3" t="b">
        <f>L250 = "FAIL"</f>
        <v>0</v>
      </c>
      <c r="Q250" s="3" t="b">
        <f>AND(P250, K250)</f>
        <v>0</v>
      </c>
      <c r="R250" s="3" t="str">
        <f>IF(O250, I250, "")</f>
        <v>suite-substrate</v>
      </c>
      <c r="S250" s="3" t="str">
        <f>IF(Q250, I250, "")</f>
      </c>
      <c r="T250" s="2" t="s">
        <v>5935</v>
      </c>
    </row>
    <row r="251">
      <c r="A251" s="2" t="s">
        <v>6220</v>
      </c>
      <c r="B251" s="3" t="str">
        <f>C251 &amp; ": " &amp; D251</f>
        <v>formula-translates: Steps.IsDemonstratedHumanGate</v>
      </c>
      <c r="C251" s="2" t="s">
        <v>6038</v>
      </c>
      <c r="D251" s="2" t="s">
        <v>2896</v>
      </c>
      <c r="E251" s="2" t="s">
        <v>1758</v>
      </c>
      <c r="F251" s="2" t="s">
        <v>529</v>
      </c>
      <c r="G251" s="2" t="s">
        <v>6039</v>
      </c>
      <c r="H251" s="2" t="s">
        <v>2200</v>
      </c>
      <c r="I251" s="2" t="s">
        <v>5920</v>
      </c>
      <c r="J251" s="2" t="s">
        <v>5933</v>
      </c>
      <c r="K251" s="3" t="b">
        <f>J251 = "blocking"</f>
        <v>1</v>
      </c>
      <c r="L251" s="2" t="s">
        <v>1428</v>
      </c>
      <c r="M251" s="2" t="s">
        <v>6040</v>
      </c>
      <c r="N251" s="4">
        <v>46223.1297337963</v>
      </c>
      <c r="O251" s="3" t="b">
        <f>L251 = "PASS"</f>
        <v>1</v>
      </c>
      <c r="P251" s="3" t="b">
        <f>L251 = "FAIL"</f>
        <v>0</v>
      </c>
      <c r="Q251" s="3" t="b">
        <f>AND(P251, K251)</f>
        <v>0</v>
      </c>
      <c r="R251" s="3" t="str">
        <f>IF(O251, I251, "")</f>
        <v>suite-substrate</v>
      </c>
      <c r="S251" s="3" t="str">
        <f>IF(Q251, I251, "")</f>
      </c>
      <c r="T251" s="2" t="s">
        <v>5935</v>
      </c>
    </row>
    <row r="252">
      <c r="A252" s="2" t="s">
        <v>6221</v>
      </c>
      <c r="B252" s="3" t="str">
        <f>C252 &amp; ": " &amp; D252</f>
        <v>formula-translates: Steps.UnexercisedGateVersionKey</v>
      </c>
      <c r="C252" s="2" t="s">
        <v>6038</v>
      </c>
      <c r="D252" s="2" t="s">
        <v>2898</v>
      </c>
      <c r="E252" s="2" t="s">
        <v>1758</v>
      </c>
      <c r="F252" s="2" t="s">
        <v>530</v>
      </c>
      <c r="G252" s="2" t="s">
        <v>6039</v>
      </c>
      <c r="H252" s="2" t="s">
        <v>2200</v>
      </c>
      <c r="I252" s="2" t="s">
        <v>5920</v>
      </c>
      <c r="J252" s="2" t="s">
        <v>5933</v>
      </c>
      <c r="K252" s="3" t="b">
        <f>J252 = "blocking"</f>
        <v>1</v>
      </c>
      <c r="L252" s="2" t="s">
        <v>1428</v>
      </c>
      <c r="M252" s="2" t="s">
        <v>6040</v>
      </c>
      <c r="N252" s="4">
        <v>46223.1297337963</v>
      </c>
      <c r="O252" s="3" t="b">
        <f>L252 = "PASS"</f>
        <v>1</v>
      </c>
      <c r="P252" s="3" t="b">
        <f>L252 = "FAIL"</f>
        <v>0</v>
      </c>
      <c r="Q252" s="3" t="b">
        <f>AND(P252, K252)</f>
        <v>0</v>
      </c>
      <c r="R252" s="3" t="str">
        <f>IF(O252, I252, "")</f>
        <v>suite-substrate</v>
      </c>
      <c r="S252" s="3" t="str">
        <f>IF(Q252, I252, "")</f>
      </c>
      <c r="T252" s="2" t="s">
        <v>5935</v>
      </c>
    </row>
    <row r="253">
      <c r="A253" s="2" t="s">
        <v>6222</v>
      </c>
      <c r="B253" s="3" t="str">
        <f>C253 &amp; ": " &amp; D253</f>
        <v>formula-translates: Steps.HasDeclaredControlKind</v>
      </c>
      <c r="C253" s="2" t="s">
        <v>6038</v>
      </c>
      <c r="D253" s="2" t="s">
        <v>2900</v>
      </c>
      <c r="E253" s="2" t="s">
        <v>1758</v>
      </c>
      <c r="F253" s="2" t="s">
        <v>531</v>
      </c>
      <c r="G253" s="2" t="s">
        <v>6039</v>
      </c>
      <c r="H253" s="2" t="s">
        <v>2232</v>
      </c>
      <c r="I253" s="2" t="s">
        <v>5920</v>
      </c>
      <c r="J253" s="2" t="s">
        <v>5933</v>
      </c>
      <c r="K253" s="3" t="b">
        <f>J253 = "blocking"</f>
        <v>1</v>
      </c>
      <c r="L253" s="2" t="s">
        <v>1428</v>
      </c>
      <c r="M253" s="2" t="s">
        <v>6040</v>
      </c>
      <c r="N253" s="4">
        <v>46223.1297337963</v>
      </c>
      <c r="O253" s="3" t="b">
        <f>L253 = "PASS"</f>
        <v>1</v>
      </c>
      <c r="P253" s="3" t="b">
        <f>L253 = "FAIL"</f>
        <v>0</v>
      </c>
      <c r="Q253" s="3" t="b">
        <f>AND(P253, K253)</f>
        <v>0</v>
      </c>
      <c r="R253" s="3" t="str">
        <f>IF(O253, I253, "")</f>
        <v>suite-substrate</v>
      </c>
      <c r="S253" s="3" t="str">
        <f>IF(Q253, I253, "")</f>
      </c>
      <c r="T253" s="2" t="s">
        <v>5935</v>
      </c>
    </row>
    <row r="254">
      <c r="A254" s="2" t="s">
        <v>6223</v>
      </c>
      <c r="B254" s="3" t="str">
        <f>C254 &amp; ": " &amp; D254</f>
        <v>formula-translates: Steps.UndeclaredControlVersionKey</v>
      </c>
      <c r="C254" s="2" t="s">
        <v>6038</v>
      </c>
      <c r="D254" s="2" t="s">
        <v>2902</v>
      </c>
      <c r="E254" s="2" t="s">
        <v>1758</v>
      </c>
      <c r="F254" s="2" t="s">
        <v>532</v>
      </c>
      <c r="G254" s="2" t="s">
        <v>6039</v>
      </c>
      <c r="H254" s="2" t="s">
        <v>2232</v>
      </c>
      <c r="I254" s="2" t="s">
        <v>5920</v>
      </c>
      <c r="J254" s="2" t="s">
        <v>5933</v>
      </c>
      <c r="K254" s="3" t="b">
        <f>J254 = "blocking"</f>
        <v>1</v>
      </c>
      <c r="L254" s="2" t="s">
        <v>1428</v>
      </c>
      <c r="M254" s="2" t="s">
        <v>6040</v>
      </c>
      <c r="N254" s="4">
        <v>46223.1297337963</v>
      </c>
      <c r="O254" s="3" t="b">
        <f>L254 = "PASS"</f>
        <v>1</v>
      </c>
      <c r="P254" s="3" t="b">
        <f>L254 = "FAIL"</f>
        <v>0</v>
      </c>
      <c r="Q254" s="3" t="b">
        <f>AND(P254, K254)</f>
        <v>0</v>
      </c>
      <c r="R254" s="3" t="str">
        <f>IF(O254, I254, "")</f>
        <v>suite-substrate</v>
      </c>
      <c r="S254" s="3" t="str">
        <f>IF(Q254, I254, "")</f>
      </c>
      <c r="T254" s="2" t="s">
        <v>5935</v>
      </c>
    </row>
    <row r="255">
      <c r="A255" s="2" t="s">
        <v>6224</v>
      </c>
      <c r="B255" s="3" t="str">
        <f>C255 &amp; ": " &amp; D255</f>
        <v>formula-translates: Steps.ApprovalStepIsSoftwareAssigned</v>
      </c>
      <c r="C255" s="2" t="s">
        <v>6038</v>
      </c>
      <c r="D255" s="2" t="s">
        <v>2904</v>
      </c>
      <c r="E255" s="2" t="s">
        <v>1758</v>
      </c>
      <c r="F255" s="2" t="s">
        <v>533</v>
      </c>
      <c r="G255" s="2" t="s">
        <v>6039</v>
      </c>
      <c r="H255" s="2" t="s">
        <v>2232</v>
      </c>
      <c r="I255" s="2" t="s">
        <v>5920</v>
      </c>
      <c r="J255" s="2" t="s">
        <v>5933</v>
      </c>
      <c r="K255" s="3" t="b">
        <f>J255 = "blocking"</f>
        <v>1</v>
      </c>
      <c r="L255" s="2" t="s">
        <v>1428</v>
      </c>
      <c r="M255" s="2" t="s">
        <v>6040</v>
      </c>
      <c r="N255" s="4">
        <v>46223.1297337963</v>
      </c>
      <c r="O255" s="3" t="b">
        <f>L255 = "PASS"</f>
        <v>1</v>
      </c>
      <c r="P255" s="3" t="b">
        <f>L255 = "FAIL"</f>
        <v>0</v>
      </c>
      <c r="Q255" s="3" t="b">
        <f>AND(P255, K255)</f>
        <v>0</v>
      </c>
      <c r="R255" s="3" t="str">
        <f>IF(O255, I255, "")</f>
        <v>suite-substrate</v>
      </c>
      <c r="S255" s="3" t="str">
        <f>IF(Q255, I255, "")</f>
      </c>
      <c r="T255" s="2" t="s">
        <v>5935</v>
      </c>
    </row>
    <row r="256">
      <c r="A256" s="2" t="s">
        <v>6225</v>
      </c>
      <c r="B256" s="3" t="str">
        <f>C256 &amp; ": " &amp; D256</f>
        <v>formula-translates: Steps.UnwitnessedBlockingCount</v>
      </c>
      <c r="C256" s="2" t="s">
        <v>6038</v>
      </c>
      <c r="D256" s="2" t="s">
        <v>2906</v>
      </c>
      <c r="E256" s="2" t="s">
        <v>1758</v>
      </c>
      <c r="F256" s="2" t="s">
        <v>534</v>
      </c>
      <c r="G256" s="2" t="s">
        <v>6039</v>
      </c>
      <c r="H256" s="2" t="s">
        <v>2244</v>
      </c>
      <c r="I256" s="2" t="s">
        <v>5920</v>
      </c>
      <c r="J256" s="2" t="s">
        <v>5933</v>
      </c>
      <c r="K256" s="3" t="b">
        <f>J256 = "blocking"</f>
        <v>1</v>
      </c>
      <c r="L256" s="2" t="s">
        <v>1428</v>
      </c>
      <c r="M256" s="2" t="s">
        <v>6040</v>
      </c>
      <c r="N256" s="4">
        <v>46223.1297337963</v>
      </c>
      <c r="O256" s="3" t="b">
        <f>L256 = "PASS"</f>
        <v>1</v>
      </c>
      <c r="P256" s="3" t="b">
        <f>L256 = "FAIL"</f>
        <v>0</v>
      </c>
      <c r="Q256" s="3" t="b">
        <f>AND(P256, K256)</f>
        <v>0</v>
      </c>
      <c r="R256" s="3" t="str">
        <f>IF(O256, I256, "")</f>
        <v>suite-substrate</v>
      </c>
      <c r="S256" s="3" t="str">
        <f>IF(Q256, I256, "")</f>
      </c>
      <c r="T256" s="2" t="s">
        <v>5935</v>
      </c>
    </row>
    <row r="257">
      <c r="A257" s="2" t="s">
        <v>6226</v>
      </c>
      <c r="B257" s="3" t="str">
        <f>C257 &amp; ": " &amp; D257</f>
        <v>formula-translates: StepTransitions.Name</v>
      </c>
      <c r="C257" s="2" t="s">
        <v>6038</v>
      </c>
      <c r="D257" s="2" t="s">
        <v>2910</v>
      </c>
      <c r="E257" s="2" t="s">
        <v>1764</v>
      </c>
      <c r="F257" s="2" t="s">
        <v>1</v>
      </c>
      <c r="G257" s="2" t="s">
        <v>6039</v>
      </c>
      <c r="H257" s="2"/>
      <c r="I257" s="2" t="s">
        <v>5920</v>
      </c>
      <c r="J257" s="2" t="s">
        <v>5933</v>
      </c>
      <c r="K257" s="3" t="b">
        <f>J257 = "blocking"</f>
        <v>1</v>
      </c>
      <c r="L257" s="2" t="s">
        <v>1428</v>
      </c>
      <c r="M257" s="2" t="s">
        <v>6040</v>
      </c>
      <c r="N257" s="4">
        <v>46223.1297337963</v>
      </c>
      <c r="O257" s="3" t="b">
        <f>L257 = "PASS"</f>
        <v>1</v>
      </c>
      <c r="P257" s="3" t="b">
        <f>L257 = "FAIL"</f>
        <v>0</v>
      </c>
      <c r="Q257" s="3" t="b">
        <f>AND(P257, K257)</f>
        <v>0</v>
      </c>
      <c r="R257" s="3" t="str">
        <f>IF(O257, I257, "")</f>
        <v>suite-substrate</v>
      </c>
      <c r="S257" s="3" t="str">
        <f>IF(Q257, I257, "")</f>
      </c>
      <c r="T257" s="2" t="s">
        <v>5935</v>
      </c>
    </row>
    <row r="258">
      <c r="A258" s="2" t="s">
        <v>6227</v>
      </c>
      <c r="B258" s="3" t="str">
        <f>C258 &amp; ": " &amp; D258</f>
        <v>formula-translates: StepTransitions.IsRecoveryPath</v>
      </c>
      <c r="C258" s="2" t="s">
        <v>6038</v>
      </c>
      <c r="D258" s="2" t="s">
        <v>2916</v>
      </c>
      <c r="E258" s="2" t="s">
        <v>1764</v>
      </c>
      <c r="F258" s="2" t="s">
        <v>614</v>
      </c>
      <c r="G258" s="2" t="s">
        <v>6039</v>
      </c>
      <c r="H258" s="2" t="s">
        <v>2004</v>
      </c>
      <c r="I258" s="2" t="s">
        <v>5920</v>
      </c>
      <c r="J258" s="2" t="s">
        <v>5933</v>
      </c>
      <c r="K258" s="3" t="b">
        <f>J258 = "blocking"</f>
        <v>1</v>
      </c>
      <c r="L258" s="2" t="s">
        <v>1428</v>
      </c>
      <c r="M258" s="2" t="s">
        <v>6040</v>
      </c>
      <c r="N258" s="4">
        <v>46223.1297337963</v>
      </c>
      <c r="O258" s="3" t="b">
        <f>L258 = "PASS"</f>
        <v>1</v>
      </c>
      <c r="P258" s="3" t="b">
        <f>L258 = "FAIL"</f>
        <v>0</v>
      </c>
      <c r="Q258" s="3" t="b">
        <f>AND(P258, K258)</f>
        <v>0</v>
      </c>
      <c r="R258" s="3" t="str">
        <f>IF(O258, I258, "")</f>
        <v>suite-substrate</v>
      </c>
      <c r="S258" s="3" t="str">
        <f>IF(Q258, I258, "")</f>
      </c>
      <c r="T258" s="2" t="s">
        <v>5935</v>
      </c>
    </row>
    <row r="259">
      <c r="A259" s="2" t="s">
        <v>6228</v>
      </c>
      <c r="B259" s="3" t="str">
        <f>C259 &amp; ": " &amp; D259</f>
        <v>formula-translates: StepTransitions.CountOfFromStepExecutions</v>
      </c>
      <c r="C259" s="2" t="s">
        <v>6038</v>
      </c>
      <c r="D259" s="2" t="s">
        <v>2918</v>
      </c>
      <c r="E259" s="2" t="s">
        <v>1764</v>
      </c>
      <c r="F259" s="2" t="s">
        <v>615</v>
      </c>
      <c r="G259" s="2" t="s">
        <v>6039</v>
      </c>
      <c r="H259" s="2" t="s">
        <v>2004</v>
      </c>
      <c r="I259" s="2" t="s">
        <v>5920</v>
      </c>
      <c r="J259" s="2" t="s">
        <v>5933</v>
      </c>
      <c r="K259" s="3" t="b">
        <f>J259 = "blocking"</f>
        <v>1</v>
      </c>
      <c r="L259" s="2" t="s">
        <v>1428</v>
      </c>
      <c r="M259" s="2" t="s">
        <v>6040</v>
      </c>
      <c r="N259" s="4">
        <v>46223.1297337963</v>
      </c>
      <c r="O259" s="3" t="b">
        <f>L259 = "PASS"</f>
        <v>1</v>
      </c>
      <c r="P259" s="3" t="b">
        <f>L259 = "FAIL"</f>
        <v>0</v>
      </c>
      <c r="Q259" s="3" t="b">
        <f>AND(P259, K259)</f>
        <v>0</v>
      </c>
      <c r="R259" s="3" t="str">
        <f>IF(O259, I259, "")</f>
        <v>suite-substrate</v>
      </c>
      <c r="S259" s="3" t="str">
        <f>IF(Q259, I259, "")</f>
      </c>
      <c r="T259" s="2" t="s">
        <v>5935</v>
      </c>
    </row>
    <row r="260">
      <c r="A260" s="2" t="s">
        <v>6229</v>
      </c>
      <c r="B260" s="3" t="str">
        <f>C260 &amp; ": " &amp; D260</f>
        <v>formula-translates: StepTransitions.CountOfToStepExecutions</v>
      </c>
      <c r="C260" s="2" t="s">
        <v>6038</v>
      </c>
      <c r="D260" s="2" t="s">
        <v>2920</v>
      </c>
      <c r="E260" s="2" t="s">
        <v>1764</v>
      </c>
      <c r="F260" s="2" t="s">
        <v>616</v>
      </c>
      <c r="G260" s="2" t="s">
        <v>6039</v>
      </c>
      <c r="H260" s="2" t="s">
        <v>2004</v>
      </c>
      <c r="I260" s="2" t="s">
        <v>5920</v>
      </c>
      <c r="J260" s="2" t="s">
        <v>5933</v>
      </c>
      <c r="K260" s="3" t="b">
        <f>J260 = "blocking"</f>
        <v>1</v>
      </c>
      <c r="L260" s="2" t="s">
        <v>1428</v>
      </c>
      <c r="M260" s="2" t="s">
        <v>6040</v>
      </c>
      <c r="N260" s="4">
        <v>46223.1297337963</v>
      </c>
      <c r="O260" s="3" t="b">
        <f>L260 = "PASS"</f>
        <v>1</v>
      </c>
      <c r="P260" s="3" t="b">
        <f>L260 = "FAIL"</f>
        <v>0</v>
      </c>
      <c r="Q260" s="3" t="b">
        <f>AND(P260, K260)</f>
        <v>0</v>
      </c>
      <c r="R260" s="3" t="str">
        <f>IF(O260, I260, "")</f>
        <v>suite-substrate</v>
      </c>
      <c r="S260" s="3" t="str">
        <f>IF(Q260, I260, "")</f>
      </c>
      <c r="T260" s="2" t="s">
        <v>5935</v>
      </c>
    </row>
    <row r="261">
      <c r="A261" s="2" t="s">
        <v>6230</v>
      </c>
      <c r="B261" s="3" t="str">
        <f>C261 &amp; ": " &amp; D261</f>
        <v>formula-translates: StepTransitions.HasReachableOrigin</v>
      </c>
      <c r="C261" s="2" t="s">
        <v>6038</v>
      </c>
      <c r="D261" s="2" t="s">
        <v>2922</v>
      </c>
      <c r="E261" s="2" t="s">
        <v>1764</v>
      </c>
      <c r="F261" s="2" t="s">
        <v>617</v>
      </c>
      <c r="G261" s="2" t="s">
        <v>6039</v>
      </c>
      <c r="H261" s="2" t="s">
        <v>2004</v>
      </c>
      <c r="I261" s="2" t="s">
        <v>5920</v>
      </c>
      <c r="J261" s="2" t="s">
        <v>5933</v>
      </c>
      <c r="K261" s="3" t="b">
        <f>J261 = "blocking"</f>
        <v>1</v>
      </c>
      <c r="L261" s="2" t="s">
        <v>1428</v>
      </c>
      <c r="M261" s="2" t="s">
        <v>6040</v>
      </c>
      <c r="N261" s="4">
        <v>46223.1297337963</v>
      </c>
      <c r="O261" s="3" t="b">
        <f>L261 = "PASS"</f>
        <v>1</v>
      </c>
      <c r="P261" s="3" t="b">
        <f>L261 = "FAIL"</f>
        <v>0</v>
      </c>
      <c r="Q261" s="3" t="b">
        <f>AND(P261, K261)</f>
        <v>0</v>
      </c>
      <c r="R261" s="3" t="str">
        <f>IF(O261, I261, "")</f>
        <v>suite-substrate</v>
      </c>
      <c r="S261" s="3" t="str">
        <f>IF(Q261, I261, "")</f>
      </c>
      <c r="T261" s="2" t="s">
        <v>5935</v>
      </c>
    </row>
    <row r="262">
      <c r="A262" s="2" t="s">
        <v>6231</v>
      </c>
      <c r="B262" s="3" t="str">
        <f>C262 &amp; ": " &amp; D262</f>
        <v>formula-translates: StepTransitions.HasReachableTarget</v>
      </c>
      <c r="C262" s="2" t="s">
        <v>6038</v>
      </c>
      <c r="D262" s="2" t="s">
        <v>2924</v>
      </c>
      <c r="E262" s="2" t="s">
        <v>1764</v>
      </c>
      <c r="F262" s="2" t="s">
        <v>618</v>
      </c>
      <c r="G262" s="2" t="s">
        <v>6039</v>
      </c>
      <c r="H262" s="2" t="s">
        <v>2004</v>
      </c>
      <c r="I262" s="2" t="s">
        <v>5920</v>
      </c>
      <c r="J262" s="2" t="s">
        <v>5933</v>
      </c>
      <c r="K262" s="3" t="b">
        <f>J262 = "blocking"</f>
        <v>1</v>
      </c>
      <c r="L262" s="2" t="s">
        <v>1428</v>
      </c>
      <c r="M262" s="2" t="s">
        <v>6040</v>
      </c>
      <c r="N262" s="4">
        <v>46223.1297337963</v>
      </c>
      <c r="O262" s="3" t="b">
        <f>L262 = "PASS"</f>
        <v>1</v>
      </c>
      <c r="P262" s="3" t="b">
        <f>L262 = "FAIL"</f>
        <v>0</v>
      </c>
      <c r="Q262" s="3" t="b">
        <f>AND(P262, K262)</f>
        <v>0</v>
      </c>
      <c r="R262" s="3" t="str">
        <f>IF(O262, I262, "")</f>
        <v>suite-substrate</v>
      </c>
      <c r="S262" s="3" t="str">
        <f>IF(Q262, I262, "")</f>
      </c>
      <c r="T262" s="2" t="s">
        <v>5935</v>
      </c>
    </row>
    <row r="263">
      <c r="A263" s="2" t="s">
        <v>6232</v>
      </c>
      <c r="B263" s="3" t="str">
        <f>C263 &amp; ": " &amp; D263</f>
        <v>formula-translates: StepTransitions.IsNeverExercised</v>
      </c>
      <c r="C263" s="2" t="s">
        <v>6038</v>
      </c>
      <c r="D263" s="2" t="s">
        <v>2926</v>
      </c>
      <c r="E263" s="2" t="s">
        <v>1764</v>
      </c>
      <c r="F263" s="2" t="s">
        <v>619</v>
      </c>
      <c r="G263" s="2" t="s">
        <v>6039</v>
      </c>
      <c r="H263" s="2" t="s">
        <v>2004</v>
      </c>
      <c r="I263" s="2" t="s">
        <v>5920</v>
      </c>
      <c r="J263" s="2" t="s">
        <v>5933</v>
      </c>
      <c r="K263" s="3" t="b">
        <f>J263 = "blocking"</f>
        <v>1</v>
      </c>
      <c r="L263" s="2" t="s">
        <v>1428</v>
      </c>
      <c r="M263" s="2" t="s">
        <v>6040</v>
      </c>
      <c r="N263" s="4">
        <v>46223.1297337963</v>
      </c>
      <c r="O263" s="3" t="b">
        <f>L263 = "PASS"</f>
        <v>1</v>
      </c>
      <c r="P263" s="3" t="b">
        <f>L263 = "FAIL"</f>
        <v>0</v>
      </c>
      <c r="Q263" s="3" t="b">
        <f>AND(P263, K263)</f>
        <v>0</v>
      </c>
      <c r="R263" s="3" t="str">
        <f>IF(O263, I263, "")</f>
        <v>suite-substrate</v>
      </c>
      <c r="S263" s="3" t="str">
        <f>IF(Q263, I263, "")</f>
      </c>
      <c r="T263" s="2" t="s">
        <v>5935</v>
      </c>
    </row>
    <row r="264">
      <c r="A264" s="2" t="s">
        <v>6233</v>
      </c>
      <c r="B264" s="3" t="str">
        <f>C264 &amp; ": " &amp; D264</f>
        <v>formula-translates: StepTransitions.IsUntestedRecoveryPath</v>
      </c>
      <c r="C264" s="2" t="s">
        <v>6038</v>
      </c>
      <c r="D264" s="2" t="s">
        <v>2928</v>
      </c>
      <c r="E264" s="2" t="s">
        <v>1764</v>
      </c>
      <c r="F264" s="2" t="s">
        <v>620</v>
      </c>
      <c r="G264" s="2" t="s">
        <v>6039</v>
      </c>
      <c r="H264" s="2" t="s">
        <v>2004</v>
      </c>
      <c r="I264" s="2" t="s">
        <v>5920</v>
      </c>
      <c r="J264" s="2" t="s">
        <v>5933</v>
      </c>
      <c r="K264" s="3" t="b">
        <f>J264 = "blocking"</f>
        <v>1</v>
      </c>
      <c r="L264" s="2" t="s">
        <v>1428</v>
      </c>
      <c r="M264" s="2" t="s">
        <v>6040</v>
      </c>
      <c r="N264" s="4">
        <v>46223.1297337963</v>
      </c>
      <c r="O264" s="3" t="b">
        <f>L264 = "PASS"</f>
        <v>1</v>
      </c>
      <c r="P264" s="3" t="b">
        <f>L264 = "FAIL"</f>
        <v>0</v>
      </c>
      <c r="Q264" s="3" t="b">
        <f>AND(P264, K264)</f>
        <v>0</v>
      </c>
      <c r="R264" s="3" t="str">
        <f>IF(O264, I264, "")</f>
        <v>suite-substrate</v>
      </c>
      <c r="S264" s="3" t="str">
        <f>IF(Q264, I264, "")</f>
      </c>
      <c r="T264" s="2" t="s">
        <v>5935</v>
      </c>
    </row>
    <row r="265">
      <c r="A265" s="2" t="s">
        <v>6234</v>
      </c>
      <c r="B265" s="3" t="str">
        <f>C265 &amp; ": " &amp; D265</f>
        <v>formula-translates: StepTransitions.CountOfObservedTraversals</v>
      </c>
      <c r="C265" s="2" t="s">
        <v>6038</v>
      </c>
      <c r="D265" s="2" t="s">
        <v>2930</v>
      </c>
      <c r="E265" s="2" t="s">
        <v>1764</v>
      </c>
      <c r="F265" s="2" t="s">
        <v>621</v>
      </c>
      <c r="G265" s="2" t="s">
        <v>6039</v>
      </c>
      <c r="H265" s="2" t="s">
        <v>2004</v>
      </c>
      <c r="I265" s="2" t="s">
        <v>5920</v>
      </c>
      <c r="J265" s="2" t="s">
        <v>5933</v>
      </c>
      <c r="K265" s="3" t="b">
        <f>J265 = "blocking"</f>
        <v>1</v>
      </c>
      <c r="L265" s="2" t="s">
        <v>1428</v>
      </c>
      <c r="M265" s="2" t="s">
        <v>6040</v>
      </c>
      <c r="N265" s="4">
        <v>46223.1297337963</v>
      </c>
      <c r="O265" s="3" t="b">
        <f>L265 = "PASS"</f>
        <v>1</v>
      </c>
      <c r="P265" s="3" t="b">
        <f>L265 = "FAIL"</f>
        <v>0</v>
      </c>
      <c r="Q265" s="3" t="b">
        <f>AND(P265, K265)</f>
        <v>0</v>
      </c>
      <c r="R265" s="3" t="str">
        <f>IF(O265, I265, "")</f>
        <v>suite-substrate</v>
      </c>
      <c r="S265" s="3" t="str">
        <f>IF(Q265, I265, "")</f>
      </c>
      <c r="T265" s="2" t="s">
        <v>5935</v>
      </c>
    </row>
    <row r="266">
      <c r="A266" s="2" t="s">
        <v>6235</v>
      </c>
      <c r="B266" s="3" t="str">
        <f>C266 &amp; ": " &amp; D266</f>
        <v>formula-translates: StepTransitions.HasBeenTraversed</v>
      </c>
      <c r="C266" s="2" t="s">
        <v>6038</v>
      </c>
      <c r="D266" s="2" t="s">
        <v>2932</v>
      </c>
      <c r="E266" s="2" t="s">
        <v>1764</v>
      </c>
      <c r="F266" s="2" t="s">
        <v>622</v>
      </c>
      <c r="G266" s="2" t="s">
        <v>6039</v>
      </c>
      <c r="H266" s="2" t="s">
        <v>2004</v>
      </c>
      <c r="I266" s="2" t="s">
        <v>5920</v>
      </c>
      <c r="J266" s="2" t="s">
        <v>5933</v>
      </c>
      <c r="K266" s="3" t="b">
        <f>J266 = "blocking"</f>
        <v>1</v>
      </c>
      <c r="L266" s="2" t="s">
        <v>1428</v>
      </c>
      <c r="M266" s="2" t="s">
        <v>6040</v>
      </c>
      <c r="N266" s="4">
        <v>46223.1297337963</v>
      </c>
      <c r="O266" s="3" t="b">
        <f>L266 = "PASS"</f>
        <v>1</v>
      </c>
      <c r="P266" s="3" t="b">
        <f>L266 = "FAIL"</f>
        <v>0</v>
      </c>
      <c r="Q266" s="3" t="b">
        <f>AND(P266, K266)</f>
        <v>0</v>
      </c>
      <c r="R266" s="3" t="str">
        <f>IF(O266, I266, "")</f>
        <v>suite-substrate</v>
      </c>
      <c r="S266" s="3" t="str">
        <f>IF(Q266, I266, "")</f>
      </c>
      <c r="T266" s="2" t="s">
        <v>5935</v>
      </c>
    </row>
    <row r="267">
      <c r="A267" s="2" t="s">
        <v>6236</v>
      </c>
      <c r="B267" s="3" t="str">
        <f>C267 &amp; ": " &amp; D267</f>
        <v>formula-translates: StepTransitions.IsUnwalkedRecoveryPath</v>
      </c>
      <c r="C267" s="2" t="s">
        <v>6038</v>
      </c>
      <c r="D267" s="2" t="s">
        <v>2934</v>
      </c>
      <c r="E267" s="2" t="s">
        <v>1764</v>
      </c>
      <c r="F267" s="2" t="s">
        <v>623</v>
      </c>
      <c r="G267" s="2" t="s">
        <v>6039</v>
      </c>
      <c r="H267" s="2" t="s">
        <v>2004</v>
      </c>
      <c r="I267" s="2" t="s">
        <v>5920</v>
      </c>
      <c r="J267" s="2" t="s">
        <v>5933</v>
      </c>
      <c r="K267" s="3" t="b">
        <f>J267 = "blocking"</f>
        <v>1</v>
      </c>
      <c r="L267" s="2" t="s">
        <v>1428</v>
      </c>
      <c r="M267" s="2" t="s">
        <v>6040</v>
      </c>
      <c r="N267" s="4">
        <v>46223.1297337963</v>
      </c>
      <c r="O267" s="3" t="b">
        <f>L267 = "PASS"</f>
        <v>1</v>
      </c>
      <c r="P267" s="3" t="b">
        <f>L267 = "FAIL"</f>
        <v>0</v>
      </c>
      <c r="Q267" s="3" t="b">
        <f>AND(P267, K267)</f>
        <v>0</v>
      </c>
      <c r="R267" s="3" t="str">
        <f>IF(O267, I267, "")</f>
        <v>suite-substrate</v>
      </c>
      <c r="S267" s="3" t="str">
        <f>IF(Q267, I267, "")</f>
      </c>
      <c r="T267" s="2" t="s">
        <v>5935</v>
      </c>
    </row>
    <row r="268">
      <c r="A268" s="2" t="s">
        <v>6237</v>
      </c>
      <c r="B268" s="3" t="str">
        <f>C268 &amp; ": " &amp; D268</f>
        <v>formula-translates: StepTransitions.TargetBlockingRequirementCount</v>
      </c>
      <c r="C268" s="2" t="s">
        <v>6038</v>
      </c>
      <c r="D268" s="2" t="s">
        <v>2936</v>
      </c>
      <c r="E268" s="2" t="s">
        <v>1764</v>
      </c>
      <c r="F268" s="2" t="s">
        <v>624</v>
      </c>
      <c r="G268" s="2" t="s">
        <v>6039</v>
      </c>
      <c r="H268" s="2" t="s">
        <v>2216</v>
      </c>
      <c r="I268" s="2" t="s">
        <v>5920</v>
      </c>
      <c r="J268" s="2" t="s">
        <v>5933</v>
      </c>
      <c r="K268" s="3" t="b">
        <f>J268 = "blocking"</f>
        <v>1</v>
      </c>
      <c r="L268" s="2" t="s">
        <v>1428</v>
      </c>
      <c r="M268" s="2" t="s">
        <v>6040</v>
      </c>
      <c r="N268" s="4">
        <v>46223.1297337963</v>
      </c>
      <c r="O268" s="3" t="b">
        <f>L268 = "PASS"</f>
        <v>1</v>
      </c>
      <c r="P268" s="3" t="b">
        <f>L268 = "FAIL"</f>
        <v>0</v>
      </c>
      <c r="Q268" s="3" t="b">
        <f>AND(P268, K268)</f>
        <v>0</v>
      </c>
      <c r="R268" s="3" t="str">
        <f>IF(O268, I268, "")</f>
        <v>suite-substrate</v>
      </c>
      <c r="S268" s="3" t="str">
        <f>IF(Q268, I268, "")</f>
      </c>
      <c r="T268" s="2" t="s">
        <v>5935</v>
      </c>
    </row>
    <row r="269">
      <c r="A269" s="2" t="s">
        <v>6238</v>
      </c>
      <c r="B269" s="3" t="str">
        <f>C269 &amp; ": " &amp; D269</f>
        <v>formula-translates: StepTransitions.TargetCarriesBlockingControl</v>
      </c>
      <c r="C269" s="2" t="s">
        <v>6038</v>
      </c>
      <c r="D269" s="2" t="s">
        <v>2938</v>
      </c>
      <c r="E269" s="2" t="s">
        <v>1764</v>
      </c>
      <c r="F269" s="2" t="s">
        <v>625</v>
      </c>
      <c r="G269" s="2" t="s">
        <v>6039</v>
      </c>
      <c r="H269" s="2" t="s">
        <v>2216</v>
      </c>
      <c r="I269" s="2" t="s">
        <v>5920</v>
      </c>
      <c r="J269" s="2" t="s">
        <v>5933</v>
      </c>
      <c r="K269" s="3" t="b">
        <f>J269 = "blocking"</f>
        <v>1</v>
      </c>
      <c r="L269" s="2" t="s">
        <v>1428</v>
      </c>
      <c r="M269" s="2" t="s">
        <v>6040</v>
      </c>
      <c r="N269" s="4">
        <v>46223.1297337963</v>
      </c>
      <c r="O269" s="3" t="b">
        <f>L269 = "PASS"</f>
        <v>1</v>
      </c>
      <c r="P269" s="3" t="b">
        <f>L269 = "FAIL"</f>
        <v>0</v>
      </c>
      <c r="Q269" s="3" t="b">
        <f>AND(P269, K269)</f>
        <v>0</v>
      </c>
      <c r="R269" s="3" t="str">
        <f>IF(O269, I269, "")</f>
        <v>suite-substrate</v>
      </c>
      <c r="S269" s="3" t="str">
        <f>IF(Q269, I269, "")</f>
      </c>
      <c r="T269" s="2" t="s">
        <v>5935</v>
      </c>
    </row>
    <row r="270">
      <c r="A270" s="2" t="s">
        <v>6239</v>
      </c>
      <c r="B270" s="3" t="str">
        <f>C270 &amp; ": " &amp; D270</f>
        <v>formula-translates: StepTransitions.IsUnrehearsedControlEntry</v>
      </c>
      <c r="C270" s="2" t="s">
        <v>6038</v>
      </c>
      <c r="D270" s="2" t="s">
        <v>2940</v>
      </c>
      <c r="E270" s="2" t="s">
        <v>1764</v>
      </c>
      <c r="F270" s="2" t="s">
        <v>626</v>
      </c>
      <c r="G270" s="2" t="s">
        <v>6039</v>
      </c>
      <c r="H270" s="2" t="s">
        <v>2216</v>
      </c>
      <c r="I270" s="2" t="s">
        <v>5920</v>
      </c>
      <c r="J270" s="2" t="s">
        <v>5933</v>
      </c>
      <c r="K270" s="3" t="b">
        <f>J270 = "blocking"</f>
        <v>1</v>
      </c>
      <c r="L270" s="2" t="s">
        <v>1428</v>
      </c>
      <c r="M270" s="2" t="s">
        <v>6040</v>
      </c>
      <c r="N270" s="4">
        <v>46223.1297337963</v>
      </c>
      <c r="O270" s="3" t="b">
        <f>L270 = "PASS"</f>
        <v>1</v>
      </c>
      <c r="P270" s="3" t="b">
        <f>L270 = "FAIL"</f>
        <v>0</v>
      </c>
      <c r="Q270" s="3" t="b">
        <f>AND(P270, K270)</f>
        <v>0</v>
      </c>
      <c r="R270" s="3" t="str">
        <f>IF(O270, I270, "")</f>
        <v>suite-substrate</v>
      </c>
      <c r="S270" s="3" t="str">
        <f>IF(Q270, I270, "")</f>
      </c>
      <c r="T270" s="2" t="s">
        <v>5935</v>
      </c>
    </row>
    <row r="271">
      <c r="A271" s="2" t="s">
        <v>6240</v>
      </c>
      <c r="B271" s="3" t="str">
        <f>C271 &amp; ": " &amp; D271</f>
        <v>formula-translates: StepTransitions.UnrehearsedControlVersionKey</v>
      </c>
      <c r="C271" s="2" t="s">
        <v>6038</v>
      </c>
      <c r="D271" s="2" t="s">
        <v>2942</v>
      </c>
      <c r="E271" s="2" t="s">
        <v>1764</v>
      </c>
      <c r="F271" s="2" t="s">
        <v>627</v>
      </c>
      <c r="G271" s="2" t="s">
        <v>6039</v>
      </c>
      <c r="H271" s="2" t="s">
        <v>2216</v>
      </c>
      <c r="I271" s="2" t="s">
        <v>5920</v>
      </c>
      <c r="J271" s="2" t="s">
        <v>5933</v>
      </c>
      <c r="K271" s="3" t="b">
        <f>J271 = "blocking"</f>
        <v>1</v>
      </c>
      <c r="L271" s="2" t="s">
        <v>1428</v>
      </c>
      <c r="M271" s="2" t="s">
        <v>6040</v>
      </c>
      <c r="N271" s="4">
        <v>46223.1297337963</v>
      </c>
      <c r="O271" s="3" t="b">
        <f>L271 = "PASS"</f>
        <v>1</v>
      </c>
      <c r="P271" s="3" t="b">
        <f>L271 = "FAIL"</f>
        <v>0</v>
      </c>
      <c r="Q271" s="3" t="b">
        <f>AND(P271, K271)</f>
        <v>0</v>
      </c>
      <c r="R271" s="3" t="str">
        <f>IF(O271, I271, "")</f>
        <v>suite-substrate</v>
      </c>
      <c r="S271" s="3" t="str">
        <f>IF(Q271, I271, "")</f>
      </c>
      <c r="T271" s="2" t="s">
        <v>5935</v>
      </c>
    </row>
    <row r="272">
      <c r="A272" s="2" t="s">
        <v>6241</v>
      </c>
      <c r="B272" s="3" t="str">
        <f>C272 &amp; ": " &amp; D272</f>
        <v>formula-translates: Actions.Name</v>
      </c>
      <c r="C272" s="2" t="s">
        <v>6038</v>
      </c>
      <c r="D272" s="2" t="s">
        <v>2946</v>
      </c>
      <c r="E272" s="2" t="s">
        <v>1776</v>
      </c>
      <c r="F272" s="2" t="s">
        <v>1</v>
      </c>
      <c r="G272" s="2" t="s">
        <v>6039</v>
      </c>
      <c r="H272" s="2"/>
      <c r="I272" s="2" t="s">
        <v>5920</v>
      </c>
      <c r="J272" s="2" t="s">
        <v>5933</v>
      </c>
      <c r="K272" s="3" t="b">
        <f>J272 = "blocking"</f>
        <v>1</v>
      </c>
      <c r="L272" s="2" t="s">
        <v>1428</v>
      </c>
      <c r="M272" s="2" t="s">
        <v>6040</v>
      </c>
      <c r="N272" s="4">
        <v>46223.1297337963</v>
      </c>
      <c r="O272" s="3" t="b">
        <f>L272 = "PASS"</f>
        <v>1</v>
      </c>
      <c r="P272" s="3" t="b">
        <f>L272 = "FAIL"</f>
        <v>0</v>
      </c>
      <c r="Q272" s="3" t="b">
        <f>AND(P272, K272)</f>
        <v>0</v>
      </c>
      <c r="R272" s="3" t="str">
        <f>IF(O272, I272, "")</f>
        <v>suite-substrate</v>
      </c>
      <c r="S272" s="3" t="str">
        <f>IF(Q272, I272, "")</f>
      </c>
      <c r="T272" s="2" t="s">
        <v>5935</v>
      </c>
    </row>
    <row r="273">
      <c r="A273" s="2" t="s">
        <v>6242</v>
      </c>
      <c r="B273" s="3" t="str">
        <f>C273 &amp; ": " &amp; D273</f>
        <v>formula-translates: Functions.Name</v>
      </c>
      <c r="C273" s="2" t="s">
        <v>6038</v>
      </c>
      <c r="D273" s="2" t="s">
        <v>2951</v>
      </c>
      <c r="E273" s="2" t="s">
        <v>1779</v>
      </c>
      <c r="F273" s="2" t="s">
        <v>1</v>
      </c>
      <c r="G273" s="2" t="s">
        <v>6039</v>
      </c>
      <c r="H273" s="2"/>
      <c r="I273" s="2" t="s">
        <v>5920</v>
      </c>
      <c r="J273" s="2" t="s">
        <v>5933</v>
      </c>
      <c r="K273" s="3" t="b">
        <f>J273 = "blocking"</f>
        <v>1</v>
      </c>
      <c r="L273" s="2" t="s">
        <v>1428</v>
      </c>
      <c r="M273" s="2" t="s">
        <v>6040</v>
      </c>
      <c r="N273" s="4">
        <v>46223.1297337963</v>
      </c>
      <c r="O273" s="3" t="b">
        <f>L273 = "PASS"</f>
        <v>1</v>
      </c>
      <c r="P273" s="3" t="b">
        <f>L273 = "FAIL"</f>
        <v>0</v>
      </c>
      <c r="Q273" s="3" t="b">
        <f>AND(P273, K273)</f>
        <v>0</v>
      </c>
      <c r="R273" s="3" t="str">
        <f>IF(O273, I273, "")</f>
        <v>suite-substrate</v>
      </c>
      <c r="S273" s="3" t="str">
        <f>IF(Q273, I273, "")</f>
      </c>
      <c r="T273" s="2" t="s">
        <v>5935</v>
      </c>
    </row>
    <row r="274">
      <c r="A274" s="2" t="s">
        <v>6243</v>
      </c>
      <c r="B274" s="3" t="str">
        <f>C274 &amp; ": " &amp; D274</f>
        <v>formula-translates: Tools.Name</v>
      </c>
      <c r="C274" s="2" t="s">
        <v>6038</v>
      </c>
      <c r="D274" s="2" t="s">
        <v>2957</v>
      </c>
      <c r="E274" s="2" t="s">
        <v>1782</v>
      </c>
      <c r="F274" s="2" t="s">
        <v>1</v>
      </c>
      <c r="G274" s="2" t="s">
        <v>6039</v>
      </c>
      <c r="H274" s="2"/>
      <c r="I274" s="2" t="s">
        <v>5920</v>
      </c>
      <c r="J274" s="2" t="s">
        <v>5933</v>
      </c>
      <c r="K274" s="3" t="b">
        <f>J274 = "blocking"</f>
        <v>1</v>
      </c>
      <c r="L274" s="2" t="s">
        <v>1428</v>
      </c>
      <c r="M274" s="2" t="s">
        <v>6040</v>
      </c>
      <c r="N274" s="4">
        <v>46223.1297337963</v>
      </c>
      <c r="O274" s="3" t="b">
        <f>L274 = "PASS"</f>
        <v>1</v>
      </c>
      <c r="P274" s="3" t="b">
        <f>L274 = "FAIL"</f>
        <v>0</v>
      </c>
      <c r="Q274" s="3" t="b">
        <f>AND(P274, K274)</f>
        <v>0</v>
      </c>
      <c r="R274" s="3" t="str">
        <f>IF(O274, I274, "")</f>
        <v>suite-substrate</v>
      </c>
      <c r="S274" s="3" t="str">
        <f>IF(Q274, I274, "")</f>
      </c>
      <c r="T274" s="2" t="s">
        <v>5935</v>
      </c>
    </row>
    <row r="275">
      <c r="A275" s="2" t="s">
        <v>6244</v>
      </c>
      <c r="B275" s="3" t="str">
        <f>C275 &amp; ": " &amp; D275</f>
        <v>formula-translates: StepActions.Name</v>
      </c>
      <c r="C275" s="2" t="s">
        <v>6038</v>
      </c>
      <c r="D275" s="2" t="s">
        <v>2963</v>
      </c>
      <c r="E275" s="2" t="s">
        <v>2962</v>
      </c>
      <c r="F275" s="2" t="s">
        <v>1</v>
      </c>
      <c r="G275" s="2" t="s">
        <v>6039</v>
      </c>
      <c r="H275" s="2"/>
      <c r="I275" s="2" t="s">
        <v>5920</v>
      </c>
      <c r="J275" s="2" t="s">
        <v>5933</v>
      </c>
      <c r="K275" s="3" t="b">
        <f>J275 = "blocking"</f>
        <v>1</v>
      </c>
      <c r="L275" s="2" t="s">
        <v>1428</v>
      </c>
      <c r="M275" s="2" t="s">
        <v>6040</v>
      </c>
      <c r="N275" s="4">
        <v>46223.1297337963</v>
      </c>
      <c r="O275" s="3" t="b">
        <f>L275 = "PASS"</f>
        <v>1</v>
      </c>
      <c r="P275" s="3" t="b">
        <f>L275 = "FAIL"</f>
        <v>0</v>
      </c>
      <c r="Q275" s="3" t="b">
        <f>AND(P275, K275)</f>
        <v>0</v>
      </c>
      <c r="R275" s="3" t="str">
        <f>IF(O275, I275, "")</f>
        <v>suite-substrate</v>
      </c>
      <c r="S275" s="3" t="str">
        <f>IF(Q275, I275, "")</f>
      </c>
      <c r="T275" s="2" t="s">
        <v>5935</v>
      </c>
    </row>
    <row r="276">
      <c r="A276" s="2" t="s">
        <v>6245</v>
      </c>
      <c r="B276" s="3" t="str">
        <f>C276 &amp; ": " &amp; D276</f>
        <v>formula-translates: StepFunctions.Name</v>
      </c>
      <c r="C276" s="2" t="s">
        <v>6038</v>
      </c>
      <c r="D276" s="2" t="s">
        <v>2969</v>
      </c>
      <c r="E276" s="2" t="s">
        <v>2968</v>
      </c>
      <c r="F276" s="2" t="s">
        <v>1</v>
      </c>
      <c r="G276" s="2" t="s">
        <v>6039</v>
      </c>
      <c r="H276" s="2"/>
      <c r="I276" s="2" t="s">
        <v>5920</v>
      </c>
      <c r="J276" s="2" t="s">
        <v>5933</v>
      </c>
      <c r="K276" s="3" t="b">
        <f>J276 = "blocking"</f>
        <v>1</v>
      </c>
      <c r="L276" s="2" t="s">
        <v>1428</v>
      </c>
      <c r="M276" s="2" t="s">
        <v>6040</v>
      </c>
      <c r="N276" s="4">
        <v>46223.1297337963</v>
      </c>
      <c r="O276" s="3" t="b">
        <f>L276 = "PASS"</f>
        <v>1</v>
      </c>
      <c r="P276" s="3" t="b">
        <f>L276 = "FAIL"</f>
        <v>0</v>
      </c>
      <c r="Q276" s="3" t="b">
        <f>AND(P276, K276)</f>
        <v>0</v>
      </c>
      <c r="R276" s="3" t="str">
        <f>IF(O276, I276, "")</f>
        <v>suite-substrate</v>
      </c>
      <c r="S276" s="3" t="str">
        <f>IF(Q276, I276, "")</f>
      </c>
      <c r="T276" s="2" t="s">
        <v>5935</v>
      </c>
    </row>
    <row r="277">
      <c r="A277" s="2" t="s">
        <v>6246</v>
      </c>
      <c r="B277" s="3" t="str">
        <f>C277 &amp; ": " &amp; D277</f>
        <v>formula-translates: StepTools.Name</v>
      </c>
      <c r="C277" s="2" t="s">
        <v>6038</v>
      </c>
      <c r="D277" s="2" t="s">
        <v>2975</v>
      </c>
      <c r="E277" s="2" t="s">
        <v>2974</v>
      </c>
      <c r="F277" s="2" t="s">
        <v>1</v>
      </c>
      <c r="G277" s="2" t="s">
        <v>6039</v>
      </c>
      <c r="H277" s="2"/>
      <c r="I277" s="2" t="s">
        <v>5920</v>
      </c>
      <c r="J277" s="2" t="s">
        <v>5933</v>
      </c>
      <c r="K277" s="3" t="b">
        <f>J277 = "blocking"</f>
        <v>1</v>
      </c>
      <c r="L277" s="2" t="s">
        <v>1428</v>
      </c>
      <c r="M277" s="2" t="s">
        <v>6040</v>
      </c>
      <c r="N277" s="4">
        <v>46223.1297337963</v>
      </c>
      <c r="O277" s="3" t="b">
        <f>L277 = "PASS"</f>
        <v>1</v>
      </c>
      <c r="P277" s="3" t="b">
        <f>L277 = "FAIL"</f>
        <v>0</v>
      </c>
      <c r="Q277" s="3" t="b">
        <f>AND(P277, K277)</f>
        <v>0</v>
      </c>
      <c r="R277" s="3" t="str">
        <f>IF(O277, I277, "")</f>
        <v>suite-substrate</v>
      </c>
      <c r="S277" s="3" t="str">
        <f>IF(Q277, I277, "")</f>
      </c>
      <c r="T277" s="2" t="s">
        <v>5935</v>
      </c>
    </row>
    <row r="278">
      <c r="A278" s="2" t="s">
        <v>6247</v>
      </c>
      <c r="B278" s="3" t="str">
        <f>C278 &amp; ": " &amp; D278</f>
        <v>formula-translates: Requirements.Name</v>
      </c>
      <c r="C278" s="2" t="s">
        <v>6038</v>
      </c>
      <c r="D278" s="2" t="s">
        <v>2980</v>
      </c>
      <c r="E278" s="2" t="s">
        <v>1785</v>
      </c>
      <c r="F278" s="2" t="s">
        <v>1</v>
      </c>
      <c r="G278" s="2" t="s">
        <v>6039</v>
      </c>
      <c r="H278" s="2"/>
      <c r="I278" s="2" t="s">
        <v>5920</v>
      </c>
      <c r="J278" s="2" t="s">
        <v>5933</v>
      </c>
      <c r="K278" s="3" t="b">
        <f>J278 = "blocking"</f>
        <v>1</v>
      </c>
      <c r="L278" s="2" t="s">
        <v>1428</v>
      </c>
      <c r="M278" s="2" t="s">
        <v>6040</v>
      </c>
      <c r="N278" s="4">
        <v>46223.1297337963</v>
      </c>
      <c r="O278" s="3" t="b">
        <f>L278 = "PASS"</f>
        <v>1</v>
      </c>
      <c r="P278" s="3" t="b">
        <f>L278 = "FAIL"</f>
        <v>0</v>
      </c>
      <c r="Q278" s="3" t="b">
        <f>AND(P278, K278)</f>
        <v>0</v>
      </c>
      <c r="R278" s="3" t="str">
        <f>IF(O278, I278, "")</f>
        <v>suite-substrate</v>
      </c>
      <c r="S278" s="3" t="str">
        <f>IF(Q278, I278, "")</f>
      </c>
      <c r="T278" s="2" t="s">
        <v>5935</v>
      </c>
    </row>
    <row r="279">
      <c r="A279" s="2" t="s">
        <v>6248</v>
      </c>
      <c r="B279" s="3" t="str">
        <f>C279 &amp; ": " &amp; D279</f>
        <v>formula-translates: Requirements.SatisfactionRecordCount</v>
      </c>
      <c r="C279" s="2" t="s">
        <v>6038</v>
      </c>
      <c r="D279" s="2" t="s">
        <v>2986</v>
      </c>
      <c r="E279" s="2" t="s">
        <v>1785</v>
      </c>
      <c r="F279" s="2" t="s">
        <v>784</v>
      </c>
      <c r="G279" s="2" t="s">
        <v>6039</v>
      </c>
      <c r="H279" s="2" t="s">
        <v>1964</v>
      </c>
      <c r="I279" s="2" t="s">
        <v>5920</v>
      </c>
      <c r="J279" s="2" t="s">
        <v>5933</v>
      </c>
      <c r="K279" s="3" t="b">
        <f>J279 = "blocking"</f>
        <v>1</v>
      </c>
      <c r="L279" s="2" t="s">
        <v>1428</v>
      </c>
      <c r="M279" s="2" t="s">
        <v>6040</v>
      </c>
      <c r="N279" s="4">
        <v>46223.1297337963</v>
      </c>
      <c r="O279" s="3" t="b">
        <f>L279 = "PASS"</f>
        <v>1</v>
      </c>
      <c r="P279" s="3" t="b">
        <f>L279 = "FAIL"</f>
        <v>0</v>
      </c>
      <c r="Q279" s="3" t="b">
        <f>AND(P279, K279)</f>
        <v>0</v>
      </c>
      <c r="R279" s="3" t="str">
        <f>IF(O279, I279, "")</f>
        <v>suite-substrate</v>
      </c>
      <c r="S279" s="3" t="str">
        <f>IF(Q279, I279, "")</f>
      </c>
      <c r="T279" s="2" t="s">
        <v>5935</v>
      </c>
    </row>
    <row r="280">
      <c r="A280" s="2" t="s">
        <v>6249</v>
      </c>
      <c r="B280" s="3" t="str">
        <f>C280 &amp; ": " &amp; D280</f>
        <v>formula-translates: Requirements.StepBindingCount</v>
      </c>
      <c r="C280" s="2" t="s">
        <v>6038</v>
      </c>
      <c r="D280" s="2" t="s">
        <v>2988</v>
      </c>
      <c r="E280" s="2" t="s">
        <v>1785</v>
      </c>
      <c r="F280" s="2" t="s">
        <v>785</v>
      </c>
      <c r="G280" s="2" t="s">
        <v>6039</v>
      </c>
      <c r="H280" s="2" t="s">
        <v>1964</v>
      </c>
      <c r="I280" s="2" t="s">
        <v>5920</v>
      </c>
      <c r="J280" s="2" t="s">
        <v>5933</v>
      </c>
      <c r="K280" s="3" t="b">
        <f>J280 = "blocking"</f>
        <v>1</v>
      </c>
      <c r="L280" s="2" t="s">
        <v>1428</v>
      </c>
      <c r="M280" s="2" t="s">
        <v>6040</v>
      </c>
      <c r="N280" s="4">
        <v>46223.1297337963</v>
      </c>
      <c r="O280" s="3" t="b">
        <f>L280 = "PASS"</f>
        <v>1</v>
      </c>
      <c r="P280" s="3" t="b">
        <f>L280 = "FAIL"</f>
        <v>0</v>
      </c>
      <c r="Q280" s="3" t="b">
        <f>AND(P280, K280)</f>
        <v>0</v>
      </c>
      <c r="R280" s="3" t="str">
        <f>IF(O280, I280, "")</f>
        <v>suite-substrate</v>
      </c>
      <c r="S280" s="3" t="str">
        <f>IF(Q280, I280, "")</f>
      </c>
      <c r="T280" s="2" t="s">
        <v>5935</v>
      </c>
    </row>
    <row r="281">
      <c r="A281" s="2" t="s">
        <v>6250</v>
      </c>
      <c r="B281" s="3" t="str">
        <f>C281 &amp; ": " &amp; D281</f>
        <v>formula-translates: Requirements.IsBoundToAnyStep</v>
      </c>
      <c r="C281" s="2" t="s">
        <v>6038</v>
      </c>
      <c r="D281" s="2" t="s">
        <v>2990</v>
      </c>
      <c r="E281" s="2" t="s">
        <v>1785</v>
      </c>
      <c r="F281" s="2" t="s">
        <v>786</v>
      </c>
      <c r="G281" s="2" t="s">
        <v>6039</v>
      </c>
      <c r="H281" s="2" t="s">
        <v>1964</v>
      </c>
      <c r="I281" s="2" t="s">
        <v>5920</v>
      </c>
      <c r="J281" s="2" t="s">
        <v>5933</v>
      </c>
      <c r="K281" s="3" t="b">
        <f>J281 = "blocking"</f>
        <v>1</v>
      </c>
      <c r="L281" s="2" t="s">
        <v>1428</v>
      </c>
      <c r="M281" s="2" t="s">
        <v>6040</v>
      </c>
      <c r="N281" s="4">
        <v>46223.1297337963</v>
      </c>
      <c r="O281" s="3" t="b">
        <f>L281 = "PASS"</f>
        <v>1</v>
      </c>
      <c r="P281" s="3" t="b">
        <f>L281 = "FAIL"</f>
        <v>0</v>
      </c>
      <c r="Q281" s="3" t="b">
        <f>AND(P281, K281)</f>
        <v>0</v>
      </c>
      <c r="R281" s="3" t="str">
        <f>IF(O281, I281, "")</f>
        <v>suite-substrate</v>
      </c>
      <c r="S281" s="3" t="str">
        <f>IF(Q281, I281, "")</f>
      </c>
      <c r="T281" s="2" t="s">
        <v>5935</v>
      </c>
    </row>
    <row r="282">
      <c r="A282" s="2" t="s">
        <v>6251</v>
      </c>
      <c r="B282" s="3" t="str">
        <f>C282 &amp; ": " &amp; D282</f>
        <v>formula-translates: Requirements.HasEverBeenEvaluated</v>
      </c>
      <c r="C282" s="2" t="s">
        <v>6038</v>
      </c>
      <c r="D282" s="2" t="s">
        <v>2992</v>
      </c>
      <c r="E282" s="2" t="s">
        <v>1785</v>
      </c>
      <c r="F282" s="2" t="s">
        <v>787</v>
      </c>
      <c r="G282" s="2" t="s">
        <v>6039</v>
      </c>
      <c r="H282" s="2" t="s">
        <v>1964</v>
      </c>
      <c r="I282" s="2" t="s">
        <v>5920</v>
      </c>
      <c r="J282" s="2" t="s">
        <v>5933</v>
      </c>
      <c r="K282" s="3" t="b">
        <f>J282 = "blocking"</f>
        <v>1</v>
      </c>
      <c r="L282" s="2" t="s">
        <v>1428</v>
      </c>
      <c r="M282" s="2" t="s">
        <v>6040</v>
      </c>
      <c r="N282" s="4">
        <v>46223.1297337963</v>
      </c>
      <c r="O282" s="3" t="b">
        <f>L282 = "PASS"</f>
        <v>1</v>
      </c>
      <c r="P282" s="3" t="b">
        <f>L282 = "FAIL"</f>
        <v>0</v>
      </c>
      <c r="Q282" s="3" t="b">
        <f>AND(P282, K282)</f>
        <v>0</v>
      </c>
      <c r="R282" s="3" t="str">
        <f>IF(O282, I282, "")</f>
        <v>suite-substrate</v>
      </c>
      <c r="S282" s="3" t="str">
        <f>IF(Q282, I282, "")</f>
      </c>
      <c r="T282" s="2" t="s">
        <v>5935</v>
      </c>
    </row>
    <row r="283">
      <c r="A283" s="2" t="s">
        <v>6252</v>
      </c>
      <c r="B283" s="3" t="str">
        <f>C283 &amp; ": " &amp; D283</f>
        <v>formula-translates: Requirements.NegativeOutcomeCount</v>
      </c>
      <c r="C283" s="2" t="s">
        <v>6038</v>
      </c>
      <c r="D283" s="2" t="s">
        <v>2994</v>
      </c>
      <c r="E283" s="2" t="s">
        <v>1785</v>
      </c>
      <c r="F283" s="2" t="s">
        <v>788</v>
      </c>
      <c r="G283" s="2" t="s">
        <v>6039</v>
      </c>
      <c r="H283" s="2" t="s">
        <v>1964</v>
      </c>
      <c r="I283" s="2" t="s">
        <v>5920</v>
      </c>
      <c r="J283" s="2" t="s">
        <v>5933</v>
      </c>
      <c r="K283" s="3" t="b">
        <f>J283 = "blocking"</f>
        <v>1</v>
      </c>
      <c r="L283" s="2" t="s">
        <v>1428</v>
      </c>
      <c r="M283" s="2" t="s">
        <v>6040</v>
      </c>
      <c r="N283" s="4">
        <v>46223.1297337963</v>
      </c>
      <c r="O283" s="3" t="b">
        <f>L283 = "PASS"</f>
        <v>1</v>
      </c>
      <c r="P283" s="3" t="b">
        <f>L283 = "FAIL"</f>
        <v>0</v>
      </c>
      <c r="Q283" s="3" t="b">
        <f>AND(P283, K283)</f>
        <v>0</v>
      </c>
      <c r="R283" s="3" t="str">
        <f>IF(O283, I283, "")</f>
        <v>suite-substrate</v>
      </c>
      <c r="S283" s="3" t="str">
        <f>IF(Q283, I283, "")</f>
      </c>
      <c r="T283" s="2" t="s">
        <v>5935</v>
      </c>
    </row>
    <row r="284">
      <c r="A284" s="2" t="s">
        <v>6253</v>
      </c>
      <c r="B284" s="3" t="str">
        <f>C284 &amp; ": " &amp; D284</f>
        <v>formula-translates: Requirements.IsInoperativeControl</v>
      </c>
      <c r="C284" s="2" t="s">
        <v>6038</v>
      </c>
      <c r="D284" s="2" t="s">
        <v>2996</v>
      </c>
      <c r="E284" s="2" t="s">
        <v>1785</v>
      </c>
      <c r="F284" s="2" t="s">
        <v>789</v>
      </c>
      <c r="G284" s="2" t="s">
        <v>6039</v>
      </c>
      <c r="H284" s="2" t="s">
        <v>1964</v>
      </c>
      <c r="I284" s="2" t="s">
        <v>5920</v>
      </c>
      <c r="J284" s="2" t="s">
        <v>5933</v>
      </c>
      <c r="K284" s="3" t="b">
        <f>J284 = "blocking"</f>
        <v>1</v>
      </c>
      <c r="L284" s="2" t="s">
        <v>1428</v>
      </c>
      <c r="M284" s="2" t="s">
        <v>6040</v>
      </c>
      <c r="N284" s="4">
        <v>46223.1297337963</v>
      </c>
      <c r="O284" s="3" t="b">
        <f>L284 = "PASS"</f>
        <v>1</v>
      </c>
      <c r="P284" s="3" t="b">
        <f>L284 = "FAIL"</f>
        <v>0</v>
      </c>
      <c r="Q284" s="3" t="b">
        <f>AND(P284, K284)</f>
        <v>0</v>
      </c>
      <c r="R284" s="3" t="str">
        <f>IF(O284, I284, "")</f>
        <v>suite-substrate</v>
      </c>
      <c r="S284" s="3" t="str">
        <f>IF(Q284, I284, "")</f>
      </c>
      <c r="T284" s="2" t="s">
        <v>5935</v>
      </c>
    </row>
    <row r="285">
      <c r="A285" s="2" t="s">
        <v>6254</v>
      </c>
      <c r="B285" s="3" t="str">
        <f>C285 &amp; ": " &amp; D285</f>
        <v>formula-translates: Requirements.IsDecorativeControl</v>
      </c>
      <c r="C285" s="2" t="s">
        <v>6038</v>
      </c>
      <c r="D285" s="2" t="s">
        <v>2998</v>
      </c>
      <c r="E285" s="2" t="s">
        <v>1785</v>
      </c>
      <c r="F285" s="2" t="s">
        <v>790</v>
      </c>
      <c r="G285" s="2" t="s">
        <v>6039</v>
      </c>
      <c r="H285" s="2" t="s">
        <v>1964</v>
      </c>
      <c r="I285" s="2" t="s">
        <v>5920</v>
      </c>
      <c r="J285" s="2" t="s">
        <v>5933</v>
      </c>
      <c r="K285" s="3" t="b">
        <f>J285 = "blocking"</f>
        <v>1</v>
      </c>
      <c r="L285" s="2" t="s">
        <v>1428</v>
      </c>
      <c r="M285" s="2" t="s">
        <v>6040</v>
      </c>
      <c r="N285" s="4">
        <v>46223.1297337963</v>
      </c>
      <c r="O285" s="3" t="b">
        <f>L285 = "PASS"</f>
        <v>1</v>
      </c>
      <c r="P285" s="3" t="b">
        <f>L285 = "FAIL"</f>
        <v>0</v>
      </c>
      <c r="Q285" s="3" t="b">
        <f>AND(P285, K285)</f>
        <v>0</v>
      </c>
      <c r="R285" s="3" t="str">
        <f>IF(O285, I285, "")</f>
        <v>suite-substrate</v>
      </c>
      <c r="S285" s="3" t="str">
        <f>IF(Q285, I285, "")</f>
      </c>
      <c r="T285" s="2" t="s">
        <v>5935</v>
      </c>
    </row>
    <row r="286">
      <c r="A286" s="2" t="s">
        <v>6255</v>
      </c>
      <c r="B286" s="3" t="str">
        <f>C286 &amp; ": " &amp; D286</f>
        <v>formula-translates: Requirements.HasEverProducedNegative</v>
      </c>
      <c r="C286" s="2" t="s">
        <v>6038</v>
      </c>
      <c r="D286" s="2" t="s">
        <v>3002</v>
      </c>
      <c r="E286" s="2" t="s">
        <v>1785</v>
      </c>
      <c r="F286" s="2" t="s">
        <v>793</v>
      </c>
      <c r="G286" s="2" t="s">
        <v>6039</v>
      </c>
      <c r="H286" s="2" t="s">
        <v>2236</v>
      </c>
      <c r="I286" s="2" t="s">
        <v>5920</v>
      </c>
      <c r="J286" s="2" t="s">
        <v>5933</v>
      </c>
      <c r="K286" s="3" t="b">
        <f>J286 = "blocking"</f>
        <v>1</v>
      </c>
      <c r="L286" s="2" t="s">
        <v>1428</v>
      </c>
      <c r="M286" s="2" t="s">
        <v>6040</v>
      </c>
      <c r="N286" s="4">
        <v>46223.1297337963</v>
      </c>
      <c r="O286" s="3" t="b">
        <f>L286 = "PASS"</f>
        <v>1</v>
      </c>
      <c r="P286" s="3" t="b">
        <f>L286 = "FAIL"</f>
        <v>0</v>
      </c>
      <c r="Q286" s="3" t="b">
        <f>AND(P286, K286)</f>
        <v>0</v>
      </c>
      <c r="R286" s="3" t="str">
        <f>IF(O286, I286, "")</f>
        <v>suite-substrate</v>
      </c>
      <c r="S286" s="3" t="str">
        <f>IF(Q286, I286, "")</f>
      </c>
      <c r="T286" s="2" t="s">
        <v>5935</v>
      </c>
    </row>
    <row r="287">
      <c r="A287" s="2" t="s">
        <v>6256</v>
      </c>
      <c r="B287" s="3" t="str">
        <f>C287 &amp; ": " &amp; D287</f>
        <v>formula-translates: Requirements.IsUnfalsifiedControl</v>
      </c>
      <c r="C287" s="2" t="s">
        <v>6038</v>
      </c>
      <c r="D287" s="2" t="s">
        <v>3004</v>
      </c>
      <c r="E287" s="2" t="s">
        <v>1785</v>
      </c>
      <c r="F287" s="2" t="s">
        <v>794</v>
      </c>
      <c r="G287" s="2" t="s">
        <v>6039</v>
      </c>
      <c r="H287" s="2" t="s">
        <v>2236</v>
      </c>
      <c r="I287" s="2" t="s">
        <v>5920</v>
      </c>
      <c r="J287" s="2" t="s">
        <v>5933</v>
      </c>
      <c r="K287" s="3" t="b">
        <f>J287 = "blocking"</f>
        <v>1</v>
      </c>
      <c r="L287" s="2" t="s">
        <v>1428</v>
      </c>
      <c r="M287" s="2" t="s">
        <v>6040</v>
      </c>
      <c r="N287" s="4">
        <v>46223.1297337963</v>
      </c>
      <c r="O287" s="3" t="b">
        <f>L287 = "PASS"</f>
        <v>1</v>
      </c>
      <c r="P287" s="3" t="b">
        <f>L287 = "FAIL"</f>
        <v>0</v>
      </c>
      <c r="Q287" s="3" t="b">
        <f>AND(P287, K287)</f>
        <v>0</v>
      </c>
      <c r="R287" s="3" t="str">
        <f>IF(O287, I287, "")</f>
        <v>suite-substrate</v>
      </c>
      <c r="S287" s="3" t="str">
        <f>IF(Q287, I287, "")</f>
      </c>
      <c r="T287" s="2" t="s">
        <v>5935</v>
      </c>
    </row>
    <row r="288">
      <c r="A288" s="2" t="s">
        <v>6257</v>
      </c>
      <c r="B288" s="3" t="str">
        <f>C288 &amp; ": " &amp; D288</f>
        <v>formula-translates: Requirements.ClaimsAWitnessField</v>
      </c>
      <c r="C288" s="2" t="s">
        <v>6038</v>
      </c>
      <c r="D288" s="2" t="s">
        <v>3006</v>
      </c>
      <c r="E288" s="2" t="s">
        <v>1785</v>
      </c>
      <c r="F288" s="2" t="s">
        <v>795</v>
      </c>
      <c r="G288" s="2" t="s">
        <v>6039</v>
      </c>
      <c r="H288" s="2" t="s">
        <v>2244</v>
      </c>
      <c r="I288" s="2" t="s">
        <v>5920</v>
      </c>
      <c r="J288" s="2" t="s">
        <v>5933</v>
      </c>
      <c r="K288" s="3" t="b">
        <f>J288 = "blocking"</f>
        <v>1</v>
      </c>
      <c r="L288" s="2" t="s">
        <v>1428</v>
      </c>
      <c r="M288" s="2" t="s">
        <v>6040</v>
      </c>
      <c r="N288" s="4">
        <v>46223.1297337963</v>
      </c>
      <c r="O288" s="3" t="b">
        <f>L288 = "PASS"</f>
        <v>1</v>
      </c>
      <c r="P288" s="3" t="b">
        <f>L288 = "FAIL"</f>
        <v>0</v>
      </c>
      <c r="Q288" s="3" t="b">
        <f>AND(P288, K288)</f>
        <v>0</v>
      </c>
      <c r="R288" s="3" t="str">
        <f>IF(O288, I288, "")</f>
        <v>suite-substrate</v>
      </c>
      <c r="S288" s="3" t="str">
        <f>IF(Q288, I288, "")</f>
      </c>
      <c r="T288" s="2" t="s">
        <v>5935</v>
      </c>
    </row>
    <row r="289">
      <c r="A289" s="2" t="s">
        <v>6258</v>
      </c>
      <c r="B289" s="3" t="str">
        <f>C289 &amp; ": " &amp; D289</f>
        <v>formula-translates: Requirements.NamedWitnessFieldExists</v>
      </c>
      <c r="C289" s="2" t="s">
        <v>6038</v>
      </c>
      <c r="D289" s="2" t="s">
        <v>3008</v>
      </c>
      <c r="E289" s="2" t="s">
        <v>1785</v>
      </c>
      <c r="F289" s="2" t="s">
        <v>796</v>
      </c>
      <c r="G289" s="2" t="s">
        <v>6039</v>
      </c>
      <c r="H289" s="2" t="s">
        <v>2244</v>
      </c>
      <c r="I289" s="2" t="s">
        <v>5920</v>
      </c>
      <c r="J289" s="2" t="s">
        <v>5933</v>
      </c>
      <c r="K289" s="3" t="b">
        <f>J289 = "blocking"</f>
        <v>1</v>
      </c>
      <c r="L289" s="2" t="s">
        <v>1428</v>
      </c>
      <c r="M289" s="2" t="s">
        <v>6040</v>
      </c>
      <c r="N289" s="4">
        <v>46223.1297337963</v>
      </c>
      <c r="O289" s="3" t="b">
        <f>L289 = "PASS"</f>
        <v>1</v>
      </c>
      <c r="P289" s="3" t="b">
        <f>L289 = "FAIL"</f>
        <v>0</v>
      </c>
      <c r="Q289" s="3" t="b">
        <f>AND(P289, K289)</f>
        <v>0</v>
      </c>
      <c r="R289" s="3" t="str">
        <f>IF(O289, I289, "")</f>
        <v>suite-substrate</v>
      </c>
      <c r="S289" s="3" t="str">
        <f>IF(Q289, I289, "")</f>
      </c>
      <c r="T289" s="2" t="s">
        <v>5935</v>
      </c>
    </row>
    <row r="290">
      <c r="A290" s="2" t="s">
        <v>6259</v>
      </c>
      <c r="B290" s="3" t="str">
        <f>C290 &amp; ": " &amp; D290</f>
        <v>formula-translates: Requirements.DerivedHasComputedWitness</v>
      </c>
      <c r="C290" s="2" t="s">
        <v>6038</v>
      </c>
      <c r="D290" s="2" t="s">
        <v>3010</v>
      </c>
      <c r="E290" s="2" t="s">
        <v>1785</v>
      </c>
      <c r="F290" s="2" t="s">
        <v>797</v>
      </c>
      <c r="G290" s="2" t="s">
        <v>6039</v>
      </c>
      <c r="H290" s="2" t="s">
        <v>2244</v>
      </c>
      <c r="I290" s="2" t="s">
        <v>5920</v>
      </c>
      <c r="J290" s="2" t="s">
        <v>5933</v>
      </c>
      <c r="K290" s="3" t="b">
        <f>J290 = "blocking"</f>
        <v>1</v>
      </c>
      <c r="L290" s="2" t="s">
        <v>1428</v>
      </c>
      <c r="M290" s="2" t="s">
        <v>6040</v>
      </c>
      <c r="N290" s="4">
        <v>46223.1297337963</v>
      </c>
      <c r="O290" s="3" t="b">
        <f>L290 = "PASS"</f>
        <v>1</v>
      </c>
      <c r="P290" s="3" t="b">
        <f>L290 = "FAIL"</f>
        <v>0</v>
      </c>
      <c r="Q290" s="3" t="b">
        <f>AND(P290, K290)</f>
        <v>0</v>
      </c>
      <c r="R290" s="3" t="str">
        <f>IF(O290, I290, "")</f>
        <v>suite-substrate</v>
      </c>
      <c r="S290" s="3" t="str">
        <f>IF(Q290, I290, "")</f>
      </c>
      <c r="T290" s="2" t="s">
        <v>5935</v>
      </c>
    </row>
    <row r="291">
      <c r="A291" s="2" t="s">
        <v>6260</v>
      </c>
      <c r="B291" s="3" t="str">
        <f>C291 &amp; ": " &amp; D291</f>
        <v>formula-translates: Requirements.WitnessClaimIsUnverified</v>
      </c>
      <c r="C291" s="2" t="s">
        <v>6038</v>
      </c>
      <c r="D291" s="2" t="s">
        <v>3012</v>
      </c>
      <c r="E291" s="2" t="s">
        <v>1785</v>
      </c>
      <c r="F291" s="2" t="s">
        <v>798</v>
      </c>
      <c r="G291" s="2" t="s">
        <v>6039</v>
      </c>
      <c r="H291" s="2" t="s">
        <v>2244</v>
      </c>
      <c r="I291" s="2" t="s">
        <v>5920</v>
      </c>
      <c r="J291" s="2" t="s">
        <v>5933</v>
      </c>
      <c r="K291" s="3" t="b">
        <f>J291 = "blocking"</f>
        <v>1</v>
      </c>
      <c r="L291" s="2" t="s">
        <v>1428</v>
      </c>
      <c r="M291" s="2" t="s">
        <v>6040</v>
      </c>
      <c r="N291" s="4">
        <v>46223.1297337963</v>
      </c>
      <c r="O291" s="3" t="b">
        <f>L291 = "PASS"</f>
        <v>1</v>
      </c>
      <c r="P291" s="3" t="b">
        <f>L291 = "FAIL"</f>
        <v>0</v>
      </c>
      <c r="Q291" s="3" t="b">
        <f>AND(P291, K291)</f>
        <v>0</v>
      </c>
      <c r="R291" s="3" t="str">
        <f>IF(O291, I291, "")</f>
        <v>suite-substrate</v>
      </c>
      <c r="S291" s="3" t="str">
        <f>IF(Q291, I291, "")</f>
      </c>
      <c r="T291" s="2" t="s">
        <v>5935</v>
      </c>
    </row>
    <row r="292">
      <c r="A292" s="2" t="s">
        <v>6261</v>
      </c>
      <c r="B292" s="3" t="str">
        <f>C292 &amp; ": " &amp; D292</f>
        <v>formula-translates: Requirements.IsUnwitnessedBlockingControl</v>
      </c>
      <c r="C292" s="2" t="s">
        <v>6038</v>
      </c>
      <c r="D292" s="2" t="s">
        <v>3014</v>
      </c>
      <c r="E292" s="2" t="s">
        <v>1785</v>
      </c>
      <c r="F292" s="2" t="s">
        <v>799</v>
      </c>
      <c r="G292" s="2" t="s">
        <v>6039</v>
      </c>
      <c r="H292" s="2" t="s">
        <v>2244</v>
      </c>
      <c r="I292" s="2" t="s">
        <v>5920</v>
      </c>
      <c r="J292" s="2" t="s">
        <v>5933</v>
      </c>
      <c r="K292" s="3" t="b">
        <f>J292 = "blocking"</f>
        <v>1</v>
      </c>
      <c r="L292" s="2" t="s">
        <v>1428</v>
      </c>
      <c r="M292" s="2" t="s">
        <v>6040</v>
      </c>
      <c r="N292" s="4">
        <v>46223.1297337963</v>
      </c>
      <c r="O292" s="3" t="b">
        <f>L292 = "PASS"</f>
        <v>1</v>
      </c>
      <c r="P292" s="3" t="b">
        <f>L292 = "FAIL"</f>
        <v>0</v>
      </c>
      <c r="Q292" s="3" t="b">
        <f>AND(P292, K292)</f>
        <v>0</v>
      </c>
      <c r="R292" s="3" t="str">
        <f>IF(O292, I292, "")</f>
        <v>suite-substrate</v>
      </c>
      <c r="S292" s="3" t="str">
        <f>IF(Q292, I292, "")</f>
      </c>
      <c r="T292" s="2" t="s">
        <v>5935</v>
      </c>
    </row>
    <row r="293">
      <c r="A293" s="2" t="s">
        <v>6262</v>
      </c>
      <c r="B293" s="3" t="str">
        <f>C293 &amp; ": " &amp; D293</f>
        <v>formula-translates: Requirements.WitnessFireCount</v>
      </c>
      <c r="C293" s="2" t="s">
        <v>6038</v>
      </c>
      <c r="D293" s="2" t="s">
        <v>3016</v>
      </c>
      <c r="E293" s="2" t="s">
        <v>1785</v>
      </c>
      <c r="F293" s="2" t="s">
        <v>800</v>
      </c>
      <c r="G293" s="2" t="s">
        <v>6039</v>
      </c>
      <c r="H293" s="2" t="s">
        <v>2256</v>
      </c>
      <c r="I293" s="2" t="s">
        <v>5920</v>
      </c>
      <c r="J293" s="2" t="s">
        <v>5933</v>
      </c>
      <c r="K293" s="3" t="b">
        <f>J293 = "blocking"</f>
        <v>1</v>
      </c>
      <c r="L293" s="2" t="s">
        <v>1428</v>
      </c>
      <c r="M293" s="2" t="s">
        <v>6040</v>
      </c>
      <c r="N293" s="4">
        <v>46223.1297337963</v>
      </c>
      <c r="O293" s="3" t="b">
        <f>L293 = "PASS"</f>
        <v>1</v>
      </c>
      <c r="P293" s="3" t="b">
        <f>L293 = "FAIL"</f>
        <v>0</v>
      </c>
      <c r="Q293" s="3" t="b">
        <f>AND(P293, K293)</f>
        <v>0</v>
      </c>
      <c r="R293" s="3" t="str">
        <f>IF(O293, I293, "")</f>
        <v>suite-substrate</v>
      </c>
      <c r="S293" s="3" t="str">
        <f>IF(Q293, I293, "")</f>
      </c>
      <c r="T293" s="2" t="s">
        <v>5935</v>
      </c>
    </row>
    <row r="294">
      <c r="A294" s="2" t="s">
        <v>6263</v>
      </c>
      <c r="B294" s="3" t="str">
        <f>C294 &amp; ": " &amp; D294</f>
        <v>formula-translates: Requirements.WitnessHasNeverFired</v>
      </c>
      <c r="C294" s="2" t="s">
        <v>6038</v>
      </c>
      <c r="D294" s="2" t="s">
        <v>3018</v>
      </c>
      <c r="E294" s="2" t="s">
        <v>1785</v>
      </c>
      <c r="F294" s="2" t="s">
        <v>801</v>
      </c>
      <c r="G294" s="2" t="s">
        <v>6039</v>
      </c>
      <c r="H294" s="2" t="s">
        <v>2256</v>
      </c>
      <c r="I294" s="2" t="s">
        <v>5920</v>
      </c>
      <c r="J294" s="2" t="s">
        <v>5933</v>
      </c>
      <c r="K294" s="3" t="b">
        <f>J294 = "blocking"</f>
        <v>1</v>
      </c>
      <c r="L294" s="2" t="s">
        <v>1428</v>
      </c>
      <c r="M294" s="2" t="s">
        <v>6040</v>
      </c>
      <c r="N294" s="4">
        <v>46223.1297337963</v>
      </c>
      <c r="O294" s="3" t="b">
        <f>L294 = "PASS"</f>
        <v>1</v>
      </c>
      <c r="P294" s="3" t="b">
        <f>L294 = "FAIL"</f>
        <v>0</v>
      </c>
      <c r="Q294" s="3" t="b">
        <f>AND(P294, K294)</f>
        <v>0</v>
      </c>
      <c r="R294" s="3" t="str">
        <f>IF(O294, I294, "")</f>
        <v>suite-substrate</v>
      </c>
      <c r="S294" s="3" t="str">
        <f>IF(Q294, I294, "")</f>
      </c>
      <c r="T294" s="2" t="s">
        <v>5935</v>
      </c>
    </row>
    <row r="295">
      <c r="A295" s="2" t="s">
        <v>6264</v>
      </c>
      <c r="B295" s="3" t="str">
        <f>C295 &amp; ": " &amp; D295</f>
        <v>formula-translates: Requirements.EvaluationSampleSize</v>
      </c>
      <c r="C295" s="2" t="s">
        <v>6038</v>
      </c>
      <c r="D295" s="2" t="s">
        <v>3020</v>
      </c>
      <c r="E295" s="2" t="s">
        <v>1785</v>
      </c>
      <c r="F295" s="2" t="s">
        <v>802</v>
      </c>
      <c r="G295" s="2" t="s">
        <v>6039</v>
      </c>
      <c r="H295" s="2" t="s">
        <v>2256</v>
      </c>
      <c r="I295" s="2" t="s">
        <v>5920</v>
      </c>
      <c r="J295" s="2" t="s">
        <v>5933</v>
      </c>
      <c r="K295" s="3" t="b">
        <f>J295 = "blocking"</f>
        <v>1</v>
      </c>
      <c r="L295" s="2" t="s">
        <v>1428</v>
      </c>
      <c r="M295" s="2" t="s">
        <v>6040</v>
      </c>
      <c r="N295" s="4">
        <v>46223.1297337963</v>
      </c>
      <c r="O295" s="3" t="b">
        <f>L295 = "PASS"</f>
        <v>1</v>
      </c>
      <c r="P295" s="3" t="b">
        <f>L295 = "FAIL"</f>
        <v>0</v>
      </c>
      <c r="Q295" s="3" t="b">
        <f>AND(P295, K295)</f>
        <v>0</v>
      </c>
      <c r="R295" s="3" t="str">
        <f>IF(O295, I295, "")</f>
        <v>suite-substrate</v>
      </c>
      <c r="S295" s="3" t="str">
        <f>IF(Q295, I295, "")</f>
      </c>
      <c r="T295" s="2" t="s">
        <v>5935</v>
      </c>
    </row>
    <row r="296">
      <c r="A296" s="2" t="s">
        <v>6265</v>
      </c>
      <c r="B296" s="3" t="str">
        <f>C296 &amp; ": " &amp; D296</f>
        <v>formula-translates: Requirements.HasMeaningfulSample</v>
      </c>
      <c r="C296" s="2" t="s">
        <v>6038</v>
      </c>
      <c r="D296" s="2" t="s">
        <v>3022</v>
      </c>
      <c r="E296" s="2" t="s">
        <v>1785</v>
      </c>
      <c r="F296" s="2" t="s">
        <v>803</v>
      </c>
      <c r="G296" s="2" t="s">
        <v>6039</v>
      </c>
      <c r="H296" s="2" t="s">
        <v>2256</v>
      </c>
      <c r="I296" s="2" t="s">
        <v>5920</v>
      </c>
      <c r="J296" s="2" t="s">
        <v>5933</v>
      </c>
      <c r="K296" s="3" t="b">
        <f>J296 = "blocking"</f>
        <v>1</v>
      </c>
      <c r="L296" s="2" t="s">
        <v>1428</v>
      </c>
      <c r="M296" s="2" t="s">
        <v>6040</v>
      </c>
      <c r="N296" s="4">
        <v>46223.1297337963</v>
      </c>
      <c r="O296" s="3" t="b">
        <f>L296 = "PASS"</f>
        <v>1</v>
      </c>
      <c r="P296" s="3" t="b">
        <f>L296 = "FAIL"</f>
        <v>0</v>
      </c>
      <c r="Q296" s="3" t="b">
        <f>AND(P296, K296)</f>
        <v>0</v>
      </c>
      <c r="R296" s="3" t="str">
        <f>IF(O296, I296, "")</f>
        <v>suite-substrate</v>
      </c>
      <c r="S296" s="3" t="str">
        <f>IF(Q296, I296, "")</f>
      </c>
      <c r="T296" s="2" t="s">
        <v>5935</v>
      </c>
    </row>
    <row r="297">
      <c r="A297" s="2" t="s">
        <v>6266</v>
      </c>
      <c r="B297" s="3" t="str">
        <f>C297 &amp; ": " &amp; D297</f>
        <v>formula-translates: Requirements.IsUntestedWitness</v>
      </c>
      <c r="C297" s="2" t="s">
        <v>6038</v>
      </c>
      <c r="D297" s="2" t="s">
        <v>3025</v>
      </c>
      <c r="E297" s="2" t="s">
        <v>1785</v>
      </c>
      <c r="F297" s="2" t="s">
        <v>805</v>
      </c>
      <c r="G297" s="2" t="s">
        <v>6039</v>
      </c>
      <c r="H297" s="2" t="s">
        <v>2256</v>
      </c>
      <c r="I297" s="2" t="s">
        <v>5920</v>
      </c>
      <c r="J297" s="2" t="s">
        <v>5933</v>
      </c>
      <c r="K297" s="3" t="b">
        <f>J297 = "blocking"</f>
        <v>1</v>
      </c>
      <c r="L297" s="2" t="s">
        <v>1428</v>
      </c>
      <c r="M297" s="2" t="s">
        <v>6040</v>
      </c>
      <c r="N297" s="4">
        <v>46223.1297337963</v>
      </c>
      <c r="O297" s="3" t="b">
        <f>L297 = "PASS"</f>
        <v>1</v>
      </c>
      <c r="P297" s="3" t="b">
        <f>L297 = "FAIL"</f>
        <v>0</v>
      </c>
      <c r="Q297" s="3" t="b">
        <f>AND(P297, K297)</f>
        <v>0</v>
      </c>
      <c r="R297" s="3" t="str">
        <f>IF(O297, I297, "")</f>
        <v>suite-substrate</v>
      </c>
      <c r="S297" s="3" t="str">
        <f>IF(Q297, I297, "")</f>
      </c>
      <c r="T297" s="2" t="s">
        <v>5935</v>
      </c>
    </row>
    <row r="298">
      <c r="A298" s="2" t="s">
        <v>6267</v>
      </c>
      <c r="B298" s="3" t="str">
        <f>C298 &amp; ": " &amp; D298</f>
        <v>formula-translates: Requirements.IsEvidencedHoldingControl</v>
      </c>
      <c r="C298" s="2" t="s">
        <v>6038</v>
      </c>
      <c r="D298" s="2" t="s">
        <v>3027</v>
      </c>
      <c r="E298" s="2" t="s">
        <v>1785</v>
      </c>
      <c r="F298" s="2" t="s">
        <v>806</v>
      </c>
      <c r="G298" s="2" t="s">
        <v>6039</v>
      </c>
      <c r="H298" s="2" t="s">
        <v>2256</v>
      </c>
      <c r="I298" s="2" t="s">
        <v>5920</v>
      </c>
      <c r="J298" s="2" t="s">
        <v>5933</v>
      </c>
      <c r="K298" s="3" t="b">
        <f>J298 = "blocking"</f>
        <v>1</v>
      </c>
      <c r="L298" s="2" t="s">
        <v>1428</v>
      </c>
      <c r="M298" s="2" t="s">
        <v>6040</v>
      </c>
      <c r="N298" s="4">
        <v>46223.1297337963</v>
      </c>
      <c r="O298" s="3" t="b">
        <f>L298 = "PASS"</f>
        <v>1</v>
      </c>
      <c r="P298" s="3" t="b">
        <f>L298 = "FAIL"</f>
        <v>0</v>
      </c>
      <c r="Q298" s="3" t="b">
        <f>AND(P298, K298)</f>
        <v>0</v>
      </c>
      <c r="R298" s="3" t="str">
        <f>IF(O298, I298, "")</f>
        <v>suite-substrate</v>
      </c>
      <c r="S298" s="3" t="str">
        <f>IF(Q298, I298, "")</f>
      </c>
      <c r="T298" s="2" t="s">
        <v>5935</v>
      </c>
    </row>
    <row r="299">
      <c r="A299" s="2" t="s">
        <v>6268</v>
      </c>
      <c r="B299" s="3" t="str">
        <f>C299 &amp; ": " &amp; D299</f>
        <v>formula-translates: Requirements.ControlAssuranceState</v>
      </c>
      <c r="C299" s="2" t="s">
        <v>6038</v>
      </c>
      <c r="D299" s="2" t="s">
        <v>3029</v>
      </c>
      <c r="E299" s="2" t="s">
        <v>1785</v>
      </c>
      <c r="F299" s="2" t="s">
        <v>807</v>
      </c>
      <c r="G299" s="2" t="s">
        <v>6039</v>
      </c>
      <c r="H299" s="2" t="s">
        <v>2256</v>
      </c>
      <c r="I299" s="2" t="s">
        <v>5920</v>
      </c>
      <c r="J299" s="2" t="s">
        <v>5933</v>
      </c>
      <c r="K299" s="3" t="b">
        <f>J299 = "blocking"</f>
        <v>1</v>
      </c>
      <c r="L299" s="2" t="s">
        <v>1428</v>
      </c>
      <c r="M299" s="2" t="s">
        <v>6040</v>
      </c>
      <c r="N299" s="4">
        <v>46223.1297337963</v>
      </c>
      <c r="O299" s="3" t="b">
        <f>L299 = "PASS"</f>
        <v>1</v>
      </c>
      <c r="P299" s="3" t="b">
        <f>L299 = "FAIL"</f>
        <v>0</v>
      </c>
      <c r="Q299" s="3" t="b">
        <f>AND(P299, K299)</f>
        <v>0</v>
      </c>
      <c r="R299" s="3" t="str">
        <f>IF(O299, I299, "")</f>
        <v>suite-substrate</v>
      </c>
      <c r="S299" s="3" t="str">
        <f>IF(Q299, I299, "")</f>
      </c>
      <c r="T299" s="2" t="s">
        <v>5935</v>
      </c>
    </row>
    <row r="300">
      <c r="A300" s="2" t="s">
        <v>6269</v>
      </c>
      <c r="B300" s="3" t="str">
        <f>C300 &amp; ": " &amp; D300</f>
        <v>formula-translates: Requirements.UnexercisedBindingCount</v>
      </c>
      <c r="C300" s="2" t="s">
        <v>6038</v>
      </c>
      <c r="D300" s="2" t="s">
        <v>3031</v>
      </c>
      <c r="E300" s="2" t="s">
        <v>1785</v>
      </c>
      <c r="F300" s="2" t="s">
        <v>808</v>
      </c>
      <c r="G300" s="2" t="s">
        <v>6039</v>
      </c>
      <c r="H300" s="2" t="s">
        <v>2260</v>
      </c>
      <c r="I300" s="2" t="s">
        <v>5920</v>
      </c>
      <c r="J300" s="2" t="s">
        <v>5933</v>
      </c>
      <c r="K300" s="3" t="b">
        <f>J300 = "blocking"</f>
        <v>1</v>
      </c>
      <c r="L300" s="2" t="s">
        <v>1428</v>
      </c>
      <c r="M300" s="2" t="s">
        <v>6040</v>
      </c>
      <c r="N300" s="4">
        <v>46223.1297337963</v>
      </c>
      <c r="O300" s="3" t="b">
        <f>L300 = "PASS"</f>
        <v>1</v>
      </c>
      <c r="P300" s="3" t="b">
        <f>L300 = "FAIL"</f>
        <v>0</v>
      </c>
      <c r="Q300" s="3" t="b">
        <f>AND(P300, K300)</f>
        <v>0</v>
      </c>
      <c r="R300" s="3" t="str">
        <f>IF(O300, I300, "")</f>
        <v>suite-substrate</v>
      </c>
      <c r="S300" s="3" t="str">
        <f>IF(Q300, I300, "")</f>
      </c>
      <c r="T300" s="2" t="s">
        <v>5935</v>
      </c>
    </row>
    <row r="301">
      <c r="A301" s="2" t="s">
        <v>6270</v>
      </c>
      <c r="B301" s="3" t="str">
        <f>C301 &amp; ": " &amp; D301</f>
        <v>formula-translates: Requirements.WitnessIsPartiallyScoped</v>
      </c>
      <c r="C301" s="2" t="s">
        <v>6038</v>
      </c>
      <c r="D301" s="2" t="s">
        <v>3033</v>
      </c>
      <c r="E301" s="2" t="s">
        <v>1785</v>
      </c>
      <c r="F301" s="2" t="s">
        <v>809</v>
      </c>
      <c r="G301" s="2" t="s">
        <v>6039</v>
      </c>
      <c r="H301" s="2" t="s">
        <v>2260</v>
      </c>
      <c r="I301" s="2" t="s">
        <v>5920</v>
      </c>
      <c r="J301" s="2" t="s">
        <v>5933</v>
      </c>
      <c r="K301" s="3" t="b">
        <f>J301 = "blocking"</f>
        <v>1</v>
      </c>
      <c r="L301" s="2" t="s">
        <v>1428</v>
      </c>
      <c r="M301" s="2" t="s">
        <v>6040</v>
      </c>
      <c r="N301" s="4">
        <v>46223.1297337963</v>
      </c>
      <c r="O301" s="3" t="b">
        <f>L301 = "PASS"</f>
        <v>1</v>
      </c>
      <c r="P301" s="3" t="b">
        <f>L301 = "FAIL"</f>
        <v>0</v>
      </c>
      <c r="Q301" s="3" t="b">
        <f>AND(P301, K301)</f>
        <v>0</v>
      </c>
      <c r="R301" s="3" t="str">
        <f>IF(O301, I301, "")</f>
        <v>suite-substrate</v>
      </c>
      <c r="S301" s="3" t="str">
        <f>IF(Q301, I301, "")</f>
      </c>
      <c r="T301" s="2" t="s">
        <v>5935</v>
      </c>
    </row>
    <row r="302">
      <c r="A302" s="2" t="s">
        <v>6271</v>
      </c>
      <c r="B302" s="3" t="str">
        <f>C302 &amp; ": " &amp; D302</f>
        <v>formula-translates: Requirements.AccountableAgent</v>
      </c>
      <c r="C302" s="2" t="s">
        <v>6038</v>
      </c>
      <c r="D302" s="2" t="s">
        <v>3036</v>
      </c>
      <c r="E302" s="2" t="s">
        <v>1785</v>
      </c>
      <c r="F302" s="2" t="s">
        <v>811</v>
      </c>
      <c r="G302" s="2" t="s">
        <v>6039</v>
      </c>
      <c r="H302" s="2" t="s">
        <v>2288</v>
      </c>
      <c r="I302" s="2" t="s">
        <v>5920</v>
      </c>
      <c r="J302" s="2" t="s">
        <v>5933</v>
      </c>
      <c r="K302" s="3" t="b">
        <f>J302 = "blocking"</f>
        <v>1</v>
      </c>
      <c r="L302" s="2" t="s">
        <v>1428</v>
      </c>
      <c r="M302" s="2" t="s">
        <v>6040</v>
      </c>
      <c r="N302" s="4">
        <v>46223.1297337963</v>
      </c>
      <c r="O302" s="3" t="b">
        <f>L302 = "PASS"</f>
        <v>1</v>
      </c>
      <c r="P302" s="3" t="b">
        <f>L302 = "FAIL"</f>
        <v>0</v>
      </c>
      <c r="Q302" s="3" t="b">
        <f>AND(P302, K302)</f>
        <v>0</v>
      </c>
      <c r="R302" s="3" t="str">
        <f>IF(O302, I302, "")</f>
        <v>suite-substrate</v>
      </c>
      <c r="S302" s="3" t="str">
        <f>IF(Q302, I302, "")</f>
      </c>
      <c r="T302" s="2" t="s">
        <v>5935</v>
      </c>
    </row>
    <row r="303">
      <c r="A303" s="2" t="s">
        <v>6272</v>
      </c>
      <c r="B303" s="3" t="str">
        <f>C303 &amp; ": " &amp; D303</f>
        <v>formula-translates: Requirements.HasNamedOwner</v>
      </c>
      <c r="C303" s="2" t="s">
        <v>6038</v>
      </c>
      <c r="D303" s="2" t="s">
        <v>3038</v>
      </c>
      <c r="E303" s="2" t="s">
        <v>1785</v>
      </c>
      <c r="F303" s="2" t="s">
        <v>812</v>
      </c>
      <c r="G303" s="2" t="s">
        <v>6039</v>
      </c>
      <c r="H303" s="2" t="s">
        <v>2288</v>
      </c>
      <c r="I303" s="2" t="s">
        <v>5920</v>
      </c>
      <c r="J303" s="2" t="s">
        <v>5933</v>
      </c>
      <c r="K303" s="3" t="b">
        <f>J303 = "blocking"</f>
        <v>1</v>
      </c>
      <c r="L303" s="2" t="s">
        <v>1428</v>
      </c>
      <c r="M303" s="2" t="s">
        <v>6040</v>
      </c>
      <c r="N303" s="4">
        <v>46223.1297337963</v>
      </c>
      <c r="O303" s="3" t="b">
        <f>L303 = "PASS"</f>
        <v>1</v>
      </c>
      <c r="P303" s="3" t="b">
        <f>L303 = "FAIL"</f>
        <v>0</v>
      </c>
      <c r="Q303" s="3" t="b">
        <f>AND(P303, K303)</f>
        <v>0</v>
      </c>
      <c r="R303" s="3" t="str">
        <f>IF(O303, I303, "")</f>
        <v>suite-substrate</v>
      </c>
      <c r="S303" s="3" t="str">
        <f>IF(Q303, I303, "")</f>
      </c>
      <c r="T303" s="2" t="s">
        <v>5935</v>
      </c>
    </row>
    <row r="304">
      <c r="A304" s="2" t="s">
        <v>6273</v>
      </c>
      <c r="B304" s="3" t="str">
        <f>C304 &amp; ": " &amp; D304</f>
        <v>formula-translates: Requirements.IsOrphanedBlockingControl</v>
      </c>
      <c r="C304" s="2" t="s">
        <v>6038</v>
      </c>
      <c r="D304" s="2" t="s">
        <v>3040</v>
      </c>
      <c r="E304" s="2" t="s">
        <v>1785</v>
      </c>
      <c r="F304" s="2" t="s">
        <v>813</v>
      </c>
      <c r="G304" s="2" t="s">
        <v>6039</v>
      </c>
      <c r="H304" s="2" t="s">
        <v>2288</v>
      </c>
      <c r="I304" s="2" t="s">
        <v>5920</v>
      </c>
      <c r="J304" s="2" t="s">
        <v>5933</v>
      </c>
      <c r="K304" s="3" t="b">
        <f>J304 = "blocking"</f>
        <v>1</v>
      </c>
      <c r="L304" s="2" t="s">
        <v>1428</v>
      </c>
      <c r="M304" s="2" t="s">
        <v>6040</v>
      </c>
      <c r="N304" s="4">
        <v>46223.1297337963</v>
      </c>
      <c r="O304" s="3" t="b">
        <f>L304 = "PASS"</f>
        <v>1</v>
      </c>
      <c r="P304" s="3" t="b">
        <f>L304 = "FAIL"</f>
        <v>0</v>
      </c>
      <c r="Q304" s="3" t="b">
        <f>AND(P304, K304)</f>
        <v>0</v>
      </c>
      <c r="R304" s="3" t="str">
        <f>IF(O304, I304, "")</f>
        <v>suite-substrate</v>
      </c>
      <c r="S304" s="3" t="str">
        <f>IF(Q304, I304, "")</f>
      </c>
      <c r="T304" s="2" t="s">
        <v>5935</v>
      </c>
    </row>
    <row r="305">
      <c r="A305" s="2" t="s">
        <v>6274</v>
      </c>
      <c r="B305" s="3" t="str">
        <f>C305 &amp; ": " &amp; D305</f>
        <v>formula-translates: Requirements.IsUnwatchedAndUnowned</v>
      </c>
      <c r="C305" s="2" t="s">
        <v>6038</v>
      </c>
      <c r="D305" s="2" t="s">
        <v>3042</v>
      </c>
      <c r="E305" s="2" t="s">
        <v>1785</v>
      </c>
      <c r="F305" s="2" t="s">
        <v>814</v>
      </c>
      <c r="G305" s="2" t="s">
        <v>6039</v>
      </c>
      <c r="H305" s="2" t="s">
        <v>2288</v>
      </c>
      <c r="I305" s="2" t="s">
        <v>5920</v>
      </c>
      <c r="J305" s="2" t="s">
        <v>5933</v>
      </c>
      <c r="K305" s="3" t="b">
        <f>J305 = "blocking"</f>
        <v>1</v>
      </c>
      <c r="L305" s="2" t="s">
        <v>1428</v>
      </c>
      <c r="M305" s="2" t="s">
        <v>6040</v>
      </c>
      <c r="N305" s="4">
        <v>46223.1297337963</v>
      </c>
      <c r="O305" s="3" t="b">
        <f>L305 = "PASS"</f>
        <v>1</v>
      </c>
      <c r="P305" s="3" t="b">
        <f>L305 = "FAIL"</f>
        <v>0</v>
      </c>
      <c r="Q305" s="3" t="b">
        <f>AND(P305, K305)</f>
        <v>0</v>
      </c>
      <c r="R305" s="3" t="str">
        <f>IF(O305, I305, "")</f>
        <v>suite-substrate</v>
      </c>
      <c r="S305" s="3" t="str">
        <f>IF(Q305, I305, "")</f>
      </c>
      <c r="T305" s="2" t="s">
        <v>5935</v>
      </c>
    </row>
    <row r="306">
      <c r="A306" s="2" t="s">
        <v>6275</v>
      </c>
      <c r="B306" s="3" t="str">
        <f>C306 &amp; ": " &amp; D306</f>
        <v>formula-translates: Requirements.AttestationExposureNote</v>
      </c>
      <c r="C306" s="2" t="s">
        <v>6038</v>
      </c>
      <c r="D306" s="2" t="s">
        <v>3044</v>
      </c>
      <c r="E306" s="2" t="s">
        <v>1785</v>
      </c>
      <c r="F306" s="2" t="s">
        <v>815</v>
      </c>
      <c r="G306" s="2" t="s">
        <v>6039</v>
      </c>
      <c r="H306" s="2" t="s">
        <v>2288</v>
      </c>
      <c r="I306" s="2" t="s">
        <v>5920</v>
      </c>
      <c r="J306" s="2" t="s">
        <v>5933</v>
      </c>
      <c r="K306" s="3" t="b">
        <f>J306 = "blocking"</f>
        <v>1</v>
      </c>
      <c r="L306" s="2" t="s">
        <v>1428</v>
      </c>
      <c r="M306" s="2" t="s">
        <v>6040</v>
      </c>
      <c r="N306" s="4">
        <v>46223.1297337963</v>
      </c>
      <c r="O306" s="3" t="b">
        <f>L306 = "PASS"</f>
        <v>1</v>
      </c>
      <c r="P306" s="3" t="b">
        <f>L306 = "FAIL"</f>
        <v>0</v>
      </c>
      <c r="Q306" s="3" t="b">
        <f>AND(P306, K306)</f>
        <v>0</v>
      </c>
      <c r="R306" s="3" t="str">
        <f>IF(O306, I306, "")</f>
        <v>suite-substrate</v>
      </c>
      <c r="S306" s="3" t="str">
        <f>IF(Q306, I306, "")</f>
      </c>
      <c r="T306" s="2" t="s">
        <v>5935</v>
      </c>
    </row>
    <row r="307">
      <c r="A307" s="2" t="s">
        <v>6276</v>
      </c>
      <c r="B307" s="3" t="str">
        <f>C307 &amp; ": " &amp; D307</f>
        <v>formula-translates: Requirements.UnwatchedUnownedFlag</v>
      </c>
      <c r="C307" s="2" t="s">
        <v>6038</v>
      </c>
      <c r="D307" s="2" t="s">
        <v>3046</v>
      </c>
      <c r="E307" s="2" t="s">
        <v>1785</v>
      </c>
      <c r="F307" s="2" t="s">
        <v>816</v>
      </c>
      <c r="G307" s="2" t="s">
        <v>6039</v>
      </c>
      <c r="H307" s="2" t="s">
        <v>2288</v>
      </c>
      <c r="I307" s="2" t="s">
        <v>5920</v>
      </c>
      <c r="J307" s="2" t="s">
        <v>5933</v>
      </c>
      <c r="K307" s="3" t="b">
        <f>J307 = "blocking"</f>
        <v>1</v>
      </c>
      <c r="L307" s="2" t="s">
        <v>1428</v>
      </c>
      <c r="M307" s="2" t="s">
        <v>6040</v>
      </c>
      <c r="N307" s="4">
        <v>46223.1297337963</v>
      </c>
      <c r="O307" s="3" t="b">
        <f>L307 = "PASS"</f>
        <v>1</v>
      </c>
      <c r="P307" s="3" t="b">
        <f>L307 = "FAIL"</f>
        <v>0</v>
      </c>
      <c r="Q307" s="3" t="b">
        <f>AND(P307, K307)</f>
        <v>0</v>
      </c>
      <c r="R307" s="3" t="str">
        <f>IF(O307, I307, "")</f>
        <v>suite-substrate</v>
      </c>
      <c r="S307" s="3" t="str">
        <f>IF(Q307, I307, "")</f>
      </c>
      <c r="T307" s="2" t="s">
        <v>5935</v>
      </c>
    </row>
    <row r="308">
      <c r="A308" s="2" t="s">
        <v>6277</v>
      </c>
      <c r="B308" s="3" t="str">
        <f>C308 &amp; ": " &amp; D308</f>
        <v>formula-translates: StepRequirements.Name</v>
      </c>
      <c r="C308" s="2" t="s">
        <v>6038</v>
      </c>
      <c r="D308" s="2" t="s">
        <v>3054</v>
      </c>
      <c r="E308" s="2" t="s">
        <v>3053</v>
      </c>
      <c r="F308" s="2" t="s">
        <v>1</v>
      </c>
      <c r="G308" s="2" t="s">
        <v>6039</v>
      </c>
      <c r="H308" s="2"/>
      <c r="I308" s="2" t="s">
        <v>5920</v>
      </c>
      <c r="J308" s="2" t="s">
        <v>5933</v>
      </c>
      <c r="K308" s="3" t="b">
        <f>J308 = "blocking"</f>
        <v>1</v>
      </c>
      <c r="L308" s="2" t="s">
        <v>1428</v>
      </c>
      <c r="M308" s="2" t="s">
        <v>6040</v>
      </c>
      <c r="N308" s="4">
        <v>46223.1297337963</v>
      </c>
      <c r="O308" s="3" t="b">
        <f>L308 = "PASS"</f>
        <v>1</v>
      </c>
      <c r="P308" s="3" t="b">
        <f>L308 = "FAIL"</f>
        <v>0</v>
      </c>
      <c r="Q308" s="3" t="b">
        <f>AND(P308, K308)</f>
        <v>0</v>
      </c>
      <c r="R308" s="3" t="str">
        <f>IF(O308, I308, "")</f>
        <v>suite-substrate</v>
      </c>
      <c r="S308" s="3" t="str">
        <f>IF(Q308, I308, "")</f>
      </c>
      <c r="T308" s="2" t="s">
        <v>5935</v>
      </c>
    </row>
    <row r="309">
      <c r="A309" s="2" t="s">
        <v>6278</v>
      </c>
      <c r="B309" s="3" t="str">
        <f>C309 &amp; ": " &amp; D309</f>
        <v>formula-translates: StepRequirements.RequirementIsBlocking</v>
      </c>
      <c r="C309" s="2" t="s">
        <v>6038</v>
      </c>
      <c r="D309" s="2" t="s">
        <v>3058</v>
      </c>
      <c r="E309" s="2" t="s">
        <v>3053</v>
      </c>
      <c r="F309" s="2" t="s">
        <v>895</v>
      </c>
      <c r="G309" s="2" t="s">
        <v>6039</v>
      </c>
      <c r="H309" s="2" t="s">
        <v>1940</v>
      </c>
      <c r="I309" s="2" t="s">
        <v>5920</v>
      </c>
      <c r="J309" s="2" t="s">
        <v>5933</v>
      </c>
      <c r="K309" s="3" t="b">
        <f>J309 = "blocking"</f>
        <v>1</v>
      </c>
      <c r="L309" s="2" t="s">
        <v>1428</v>
      </c>
      <c r="M309" s="2" t="s">
        <v>6040</v>
      </c>
      <c r="N309" s="4">
        <v>46223.1297337963</v>
      </c>
      <c r="O309" s="3" t="b">
        <f>L309 = "PASS"</f>
        <v>1</v>
      </c>
      <c r="P309" s="3" t="b">
        <f>L309 = "FAIL"</f>
        <v>0</v>
      </c>
      <c r="Q309" s="3" t="b">
        <f>AND(P309, K309)</f>
        <v>0</v>
      </c>
      <c r="R309" s="3" t="str">
        <f>IF(O309, I309, "")</f>
        <v>suite-substrate</v>
      </c>
      <c r="S309" s="3" t="str">
        <f>IF(Q309, I309, "")</f>
      </c>
      <c r="T309" s="2" t="s">
        <v>5935</v>
      </c>
    </row>
    <row r="310">
      <c r="A310" s="2" t="s">
        <v>6279</v>
      </c>
      <c r="B310" s="3" t="str">
        <f>C310 &amp; ": " &amp; D310</f>
        <v>formula-translates: StepRequirements.BlockingStepKey</v>
      </c>
      <c r="C310" s="2" t="s">
        <v>6038</v>
      </c>
      <c r="D310" s="2" t="s">
        <v>3060</v>
      </c>
      <c r="E310" s="2" t="s">
        <v>3053</v>
      </c>
      <c r="F310" s="2" t="s">
        <v>896</v>
      </c>
      <c r="G310" s="2" t="s">
        <v>6039</v>
      </c>
      <c r="H310" s="2" t="s">
        <v>1940</v>
      </c>
      <c r="I310" s="2" t="s">
        <v>5920</v>
      </c>
      <c r="J310" s="2" t="s">
        <v>5933</v>
      </c>
      <c r="K310" s="3" t="b">
        <f>J310 = "blocking"</f>
        <v>1</v>
      </c>
      <c r="L310" s="2" t="s">
        <v>1428</v>
      </c>
      <c r="M310" s="2" t="s">
        <v>6040</v>
      </c>
      <c r="N310" s="4">
        <v>46223.1297337963</v>
      </c>
      <c r="O310" s="3" t="b">
        <f>L310 = "PASS"</f>
        <v>1</v>
      </c>
      <c r="P310" s="3" t="b">
        <f>L310 = "FAIL"</f>
        <v>0</v>
      </c>
      <c r="Q310" s="3" t="b">
        <f>AND(P310, K310)</f>
        <v>0</v>
      </c>
      <c r="R310" s="3" t="str">
        <f>IF(O310, I310, "")</f>
        <v>suite-substrate</v>
      </c>
      <c r="S310" s="3" t="str">
        <f>IF(Q310, I310, "")</f>
      </c>
      <c r="T310" s="2" t="s">
        <v>5935</v>
      </c>
    </row>
    <row r="311">
      <c r="A311" s="2" t="s">
        <v>6280</v>
      </c>
      <c r="B311" s="3" t="str">
        <f>C311 &amp; ": " &amp; D311</f>
        <v>formula-translates: StepRequirements.StepWhenBlocking</v>
      </c>
      <c r="C311" s="2" t="s">
        <v>6038</v>
      </c>
      <c r="D311" s="2" t="s">
        <v>3062</v>
      </c>
      <c r="E311" s="2" t="s">
        <v>3053</v>
      </c>
      <c r="F311" s="2" t="s">
        <v>897</v>
      </c>
      <c r="G311" s="2" t="s">
        <v>6039</v>
      </c>
      <c r="H311" s="2" t="s">
        <v>2108</v>
      </c>
      <c r="I311" s="2" t="s">
        <v>5920</v>
      </c>
      <c r="J311" s="2" t="s">
        <v>5933</v>
      </c>
      <c r="K311" s="3" t="b">
        <f>J311 = "blocking"</f>
        <v>1</v>
      </c>
      <c r="L311" s="2" t="s">
        <v>1428</v>
      </c>
      <c r="M311" s="2" t="s">
        <v>6040</v>
      </c>
      <c r="N311" s="4">
        <v>46223.1297337963</v>
      </c>
      <c r="O311" s="3" t="b">
        <f>L311 = "PASS"</f>
        <v>1</v>
      </c>
      <c r="P311" s="3" t="b">
        <f>L311 = "FAIL"</f>
        <v>0</v>
      </c>
      <c r="Q311" s="3" t="b">
        <f>AND(P311, K311)</f>
        <v>0</v>
      </c>
      <c r="R311" s="3" t="str">
        <f>IF(O311, I311, "")</f>
        <v>suite-substrate</v>
      </c>
      <c r="S311" s="3" t="str">
        <f>IF(Q311, I311, "")</f>
      </c>
      <c r="T311" s="2" t="s">
        <v>5935</v>
      </c>
    </row>
    <row r="312">
      <c r="A312" s="2" t="s">
        <v>6281</v>
      </c>
      <c r="B312" s="3" t="str">
        <f>C312 &amp; ": " &amp; D312</f>
        <v>formula-translates: StepRequirements.RequirementLacksWitness</v>
      </c>
      <c r="C312" s="2" t="s">
        <v>6038</v>
      </c>
      <c r="D312" s="2" t="s">
        <v>3063</v>
      </c>
      <c r="E312" s="2" t="s">
        <v>3053</v>
      </c>
      <c r="F312" s="2" t="s">
        <v>898</v>
      </c>
      <c r="G312" s="2" t="s">
        <v>6039</v>
      </c>
      <c r="H312" s="2" t="s">
        <v>2244</v>
      </c>
      <c r="I312" s="2" t="s">
        <v>5920</v>
      </c>
      <c r="J312" s="2" t="s">
        <v>5933</v>
      </c>
      <c r="K312" s="3" t="b">
        <f>J312 = "blocking"</f>
        <v>1</v>
      </c>
      <c r="L312" s="2" t="s">
        <v>1428</v>
      </c>
      <c r="M312" s="2" t="s">
        <v>6040</v>
      </c>
      <c r="N312" s="4">
        <v>46223.1297337963</v>
      </c>
      <c r="O312" s="3" t="b">
        <f>L312 = "PASS"</f>
        <v>1</v>
      </c>
      <c r="P312" s="3" t="b">
        <f>L312 = "FAIL"</f>
        <v>0</v>
      </c>
      <c r="Q312" s="3" t="b">
        <f>AND(P312, K312)</f>
        <v>0</v>
      </c>
      <c r="R312" s="3" t="str">
        <f>IF(O312, I312, "")</f>
        <v>suite-substrate</v>
      </c>
      <c r="S312" s="3" t="str">
        <f>IF(Q312, I312, "")</f>
      </c>
      <c r="T312" s="2" t="s">
        <v>5935</v>
      </c>
    </row>
    <row r="313">
      <c r="A313" s="2" t="s">
        <v>6282</v>
      </c>
      <c r="B313" s="3" t="str">
        <f>C313 &amp; ": " &amp; D313</f>
        <v>formula-translates: StepRequirements.UnwitnessedStepKey</v>
      </c>
      <c r="C313" s="2" t="s">
        <v>6038</v>
      </c>
      <c r="D313" s="2" t="s">
        <v>3065</v>
      </c>
      <c r="E313" s="2" t="s">
        <v>3053</v>
      </c>
      <c r="F313" s="2" t="s">
        <v>899</v>
      </c>
      <c r="G313" s="2" t="s">
        <v>6039</v>
      </c>
      <c r="H313" s="2" t="s">
        <v>2244</v>
      </c>
      <c r="I313" s="2" t="s">
        <v>5920</v>
      </c>
      <c r="J313" s="2" t="s">
        <v>5933</v>
      </c>
      <c r="K313" s="3" t="b">
        <f>J313 = "blocking"</f>
        <v>1</v>
      </c>
      <c r="L313" s="2" t="s">
        <v>1428</v>
      </c>
      <c r="M313" s="2" t="s">
        <v>6040</v>
      </c>
      <c r="N313" s="4">
        <v>46223.1297337963</v>
      </c>
      <c r="O313" s="3" t="b">
        <f>L313 = "PASS"</f>
        <v>1</v>
      </c>
      <c r="P313" s="3" t="b">
        <f>L313 = "FAIL"</f>
        <v>0</v>
      </c>
      <c r="Q313" s="3" t="b">
        <f>AND(P313, K313)</f>
        <v>0</v>
      </c>
      <c r="R313" s="3" t="str">
        <f>IF(O313, I313, "")</f>
        <v>suite-substrate</v>
      </c>
      <c r="S313" s="3" t="str">
        <f>IF(Q313, I313, "")</f>
      </c>
      <c r="T313" s="2" t="s">
        <v>5935</v>
      </c>
    </row>
    <row r="314">
      <c r="A314" s="2" t="s">
        <v>6283</v>
      </c>
      <c r="B314" s="3" t="str">
        <f>C314 &amp; ": " &amp; D314</f>
        <v>formula-translates: StepRequirements.SatisfactionCountForBinding</v>
      </c>
      <c r="C314" s="2" t="s">
        <v>6038</v>
      </c>
      <c r="D314" s="2" t="s">
        <v>3067</v>
      </c>
      <c r="E314" s="2" t="s">
        <v>3053</v>
      </c>
      <c r="F314" s="2" t="s">
        <v>900</v>
      </c>
      <c r="G314" s="2" t="s">
        <v>6039</v>
      </c>
      <c r="H314" s="2" t="s">
        <v>2260</v>
      </c>
      <c r="I314" s="2" t="s">
        <v>5920</v>
      </c>
      <c r="J314" s="2" t="s">
        <v>5933</v>
      </c>
      <c r="K314" s="3" t="b">
        <f>J314 = "blocking"</f>
        <v>1</v>
      </c>
      <c r="L314" s="2" t="s">
        <v>1428</v>
      </c>
      <c r="M314" s="2" t="s">
        <v>6040</v>
      </c>
      <c r="N314" s="4">
        <v>46223.1297337963</v>
      </c>
      <c r="O314" s="3" t="b">
        <f>L314 = "PASS"</f>
        <v>1</v>
      </c>
      <c r="P314" s="3" t="b">
        <f>L314 = "FAIL"</f>
        <v>0</v>
      </c>
      <c r="Q314" s="3" t="b">
        <f>AND(P314, K314)</f>
        <v>0</v>
      </c>
      <c r="R314" s="3" t="str">
        <f>IF(O314, I314, "")</f>
        <v>suite-substrate</v>
      </c>
      <c r="S314" s="3" t="str">
        <f>IF(Q314, I314, "")</f>
      </c>
      <c r="T314" s="2" t="s">
        <v>5935</v>
      </c>
    </row>
    <row r="315">
      <c r="A315" s="2" t="s">
        <v>6284</v>
      </c>
      <c r="B315" s="3" t="str">
        <f>C315 &amp; ": " &amp; D315</f>
        <v>formula-translates: StepRequirements.BindingWasEverExercised</v>
      </c>
      <c r="C315" s="2" t="s">
        <v>6038</v>
      </c>
      <c r="D315" s="2" t="s">
        <v>3069</v>
      </c>
      <c r="E315" s="2" t="s">
        <v>3053</v>
      </c>
      <c r="F315" s="2" t="s">
        <v>901</v>
      </c>
      <c r="G315" s="2" t="s">
        <v>6039</v>
      </c>
      <c r="H315" s="2" t="s">
        <v>2260</v>
      </c>
      <c r="I315" s="2" t="s">
        <v>5920</v>
      </c>
      <c r="J315" s="2" t="s">
        <v>5933</v>
      </c>
      <c r="K315" s="3" t="b">
        <f>J315 = "blocking"</f>
        <v>1</v>
      </c>
      <c r="L315" s="2" t="s">
        <v>1428</v>
      </c>
      <c r="M315" s="2" t="s">
        <v>6040</v>
      </c>
      <c r="N315" s="4">
        <v>46223.1297337963</v>
      </c>
      <c r="O315" s="3" t="b">
        <f>L315 = "PASS"</f>
        <v>1</v>
      </c>
      <c r="P315" s="3" t="b">
        <f>L315 = "FAIL"</f>
        <v>0</v>
      </c>
      <c r="Q315" s="3" t="b">
        <f>AND(P315, K315)</f>
        <v>0</v>
      </c>
      <c r="R315" s="3" t="str">
        <f>IF(O315, I315, "")</f>
        <v>suite-substrate</v>
      </c>
      <c r="S315" s="3" t="str">
        <f>IF(Q315, I315, "")</f>
      </c>
      <c r="T315" s="2" t="s">
        <v>5935</v>
      </c>
    </row>
    <row r="316">
      <c r="A316" s="2" t="s">
        <v>6285</v>
      </c>
      <c r="B316" s="3" t="str">
        <f>C316 &amp; ": " &amp; D316</f>
        <v>formula-translates: StepRequirements.IsUnexercisedBlockingBinding</v>
      </c>
      <c r="C316" s="2" t="s">
        <v>6038</v>
      </c>
      <c r="D316" s="2" t="s">
        <v>3071</v>
      </c>
      <c r="E316" s="2" t="s">
        <v>3053</v>
      </c>
      <c r="F316" s="2" t="s">
        <v>902</v>
      </c>
      <c r="G316" s="2" t="s">
        <v>6039</v>
      </c>
      <c r="H316" s="2" t="s">
        <v>2260</v>
      </c>
      <c r="I316" s="2" t="s">
        <v>5920</v>
      </c>
      <c r="J316" s="2" t="s">
        <v>5933</v>
      </c>
      <c r="K316" s="3" t="b">
        <f>J316 = "blocking"</f>
        <v>1</v>
      </c>
      <c r="L316" s="2" t="s">
        <v>1428</v>
      </c>
      <c r="M316" s="2" t="s">
        <v>6040</v>
      </c>
      <c r="N316" s="4">
        <v>46223.1297337963</v>
      </c>
      <c r="O316" s="3" t="b">
        <f>L316 = "PASS"</f>
        <v>1</v>
      </c>
      <c r="P316" s="3" t="b">
        <f>L316 = "FAIL"</f>
        <v>0</v>
      </c>
      <c r="Q316" s="3" t="b">
        <f>AND(P316, K316)</f>
        <v>0</v>
      </c>
      <c r="R316" s="3" t="str">
        <f>IF(O316, I316, "")</f>
        <v>suite-substrate</v>
      </c>
      <c r="S316" s="3" t="str">
        <f>IF(Q316, I316, "")</f>
      </c>
      <c r="T316" s="2" t="s">
        <v>5935</v>
      </c>
    </row>
    <row r="317">
      <c r="A317" s="2" t="s">
        <v>6286</v>
      </c>
      <c r="B317" s="3" t="str">
        <f>C317 &amp; ": " &amp; D317</f>
        <v>formula-translates: StepRequirements.UnexercisedBindingRequirementKey</v>
      </c>
      <c r="C317" s="2" t="s">
        <v>6038</v>
      </c>
      <c r="D317" s="2" t="s">
        <v>3073</v>
      </c>
      <c r="E317" s="2" t="s">
        <v>3053</v>
      </c>
      <c r="F317" s="2" t="s">
        <v>903</v>
      </c>
      <c r="G317" s="2" t="s">
        <v>6039</v>
      </c>
      <c r="H317" s="2" t="s">
        <v>2260</v>
      </c>
      <c r="I317" s="2" t="s">
        <v>5920</v>
      </c>
      <c r="J317" s="2" t="s">
        <v>5933</v>
      </c>
      <c r="K317" s="3" t="b">
        <f>J317 = "blocking"</f>
        <v>1</v>
      </c>
      <c r="L317" s="2" t="s">
        <v>1428</v>
      </c>
      <c r="M317" s="2" t="s">
        <v>6040</v>
      </c>
      <c r="N317" s="4">
        <v>46223.1297337963</v>
      </c>
      <c r="O317" s="3" t="b">
        <f>L317 = "PASS"</f>
        <v>1</v>
      </c>
      <c r="P317" s="3" t="b">
        <f>L317 = "FAIL"</f>
        <v>0</v>
      </c>
      <c r="Q317" s="3" t="b">
        <f>AND(P317, K317)</f>
        <v>0</v>
      </c>
      <c r="R317" s="3" t="str">
        <f>IF(O317, I317, "")</f>
        <v>suite-substrate</v>
      </c>
      <c r="S317" s="3" t="str">
        <f>IF(Q317, I317, "")</f>
      </c>
      <c r="T317" s="2" t="s">
        <v>5935</v>
      </c>
    </row>
    <row r="318">
      <c r="A318" s="2" t="s">
        <v>6287</v>
      </c>
      <c r="B318" s="3" t="str">
        <f>C318 &amp; ": " &amp; D318</f>
        <v>formula-translates: StepVerifications.Name</v>
      </c>
      <c r="C318" s="2" t="s">
        <v>6038</v>
      </c>
      <c r="D318" s="2" t="s">
        <v>3076</v>
      </c>
      <c r="E318" s="2" t="s">
        <v>1788</v>
      </c>
      <c r="F318" s="2" t="s">
        <v>1</v>
      </c>
      <c r="G318" s="2" t="s">
        <v>6039</v>
      </c>
      <c r="H318" s="2"/>
      <c r="I318" s="2" t="s">
        <v>5920</v>
      </c>
      <c r="J318" s="2" t="s">
        <v>5933</v>
      </c>
      <c r="K318" s="3" t="b">
        <f>J318 = "blocking"</f>
        <v>1</v>
      </c>
      <c r="L318" s="2" t="s">
        <v>1428</v>
      </c>
      <c r="M318" s="2" t="s">
        <v>6040</v>
      </c>
      <c r="N318" s="4">
        <v>46223.1297337963</v>
      </c>
      <c r="O318" s="3" t="b">
        <f>L318 = "PASS"</f>
        <v>1</v>
      </c>
      <c r="P318" s="3" t="b">
        <f>L318 = "FAIL"</f>
        <v>0</v>
      </c>
      <c r="Q318" s="3" t="b">
        <f>AND(P318, K318)</f>
        <v>0</v>
      </c>
      <c r="R318" s="3" t="str">
        <f>IF(O318, I318, "")</f>
        <v>suite-substrate</v>
      </c>
      <c r="S318" s="3" t="str">
        <f>IF(Q318, I318, "")</f>
      </c>
      <c r="T318" s="2" t="s">
        <v>5935</v>
      </c>
    </row>
    <row r="319">
      <c r="A319" s="2" t="s">
        <v>6288</v>
      </c>
      <c r="B319" s="3" t="str">
        <f>C319 &amp; ": " &amp; D319</f>
        <v>formula-translates: Rationales.Name</v>
      </c>
      <c r="C319" s="2" t="s">
        <v>6038</v>
      </c>
      <c r="D319" s="2" t="s">
        <v>3086</v>
      </c>
      <c r="E319" s="2" t="s">
        <v>3085</v>
      </c>
      <c r="F319" s="2" t="s">
        <v>1</v>
      </c>
      <c r="G319" s="2" t="s">
        <v>6039</v>
      </c>
      <c r="H319" s="2"/>
      <c r="I319" s="2" t="s">
        <v>5920</v>
      </c>
      <c r="J319" s="2" t="s">
        <v>5933</v>
      </c>
      <c r="K319" s="3" t="b">
        <f>J319 = "blocking"</f>
        <v>1</v>
      </c>
      <c r="L319" s="2" t="s">
        <v>1428</v>
      </c>
      <c r="M319" s="2" t="s">
        <v>6040</v>
      </c>
      <c r="N319" s="4">
        <v>46223.1297337963</v>
      </c>
      <c r="O319" s="3" t="b">
        <f>L319 = "PASS"</f>
        <v>1</v>
      </c>
      <c r="P319" s="3" t="b">
        <f>L319 = "FAIL"</f>
        <v>0</v>
      </c>
      <c r="Q319" s="3" t="b">
        <f>AND(P319, K319)</f>
        <v>0</v>
      </c>
      <c r="R319" s="3" t="str">
        <f>IF(O319, I319, "")</f>
        <v>suite-substrate</v>
      </c>
      <c r="S319" s="3" t="str">
        <f>IF(Q319, I319, "")</f>
      </c>
      <c r="T319" s="2" t="s">
        <v>5935</v>
      </c>
    </row>
    <row r="320">
      <c r="A320" s="2" t="s">
        <v>6289</v>
      </c>
      <c r="B320" s="3" t="str">
        <f>C320 &amp; ": " &amp; D320</f>
        <v>formula-translates: Exceptions.Name</v>
      </c>
      <c r="C320" s="2" t="s">
        <v>6038</v>
      </c>
      <c r="D320" s="2" t="s">
        <v>3096</v>
      </c>
      <c r="E320" s="2" t="s">
        <v>3095</v>
      </c>
      <c r="F320" s="2" t="s">
        <v>1</v>
      </c>
      <c r="G320" s="2" t="s">
        <v>6039</v>
      </c>
      <c r="H320" s="2"/>
      <c r="I320" s="2" t="s">
        <v>5920</v>
      </c>
      <c r="J320" s="2" t="s">
        <v>5933</v>
      </c>
      <c r="K320" s="3" t="b">
        <f>J320 = "blocking"</f>
        <v>1</v>
      </c>
      <c r="L320" s="2" t="s">
        <v>1428</v>
      </c>
      <c r="M320" s="2" t="s">
        <v>6040</v>
      </c>
      <c r="N320" s="4">
        <v>46223.1297337963</v>
      </c>
      <c r="O320" s="3" t="b">
        <f>L320 = "PASS"</f>
        <v>1</v>
      </c>
      <c r="P320" s="3" t="b">
        <f>L320 = "FAIL"</f>
        <v>0</v>
      </c>
      <c r="Q320" s="3" t="b">
        <f>AND(P320, K320)</f>
        <v>0</v>
      </c>
      <c r="R320" s="3" t="str">
        <f>IF(O320, I320, "")</f>
        <v>suite-substrate</v>
      </c>
      <c r="S320" s="3" t="str">
        <f>IF(Q320, I320, "")</f>
      </c>
      <c r="T320" s="2" t="s">
        <v>5935</v>
      </c>
    </row>
    <row r="321">
      <c r="A321" s="2" t="s">
        <v>6290</v>
      </c>
      <c r="B321" s="3" t="str">
        <f>C321 &amp; ": " &amp; D321</f>
        <v>formula-translates: Exceptions.ActiveExceptionStepKey</v>
      </c>
      <c r="C321" s="2" t="s">
        <v>6038</v>
      </c>
      <c r="D321" s="2" t="s">
        <v>3105</v>
      </c>
      <c r="E321" s="2" t="s">
        <v>3095</v>
      </c>
      <c r="F321" s="2" t="s">
        <v>985</v>
      </c>
      <c r="G321" s="2" t="s">
        <v>6039</v>
      </c>
      <c r="H321" s="2" t="s">
        <v>1948</v>
      </c>
      <c r="I321" s="2" t="s">
        <v>5920</v>
      </c>
      <c r="J321" s="2" t="s">
        <v>5933</v>
      </c>
      <c r="K321" s="3" t="b">
        <f>J321 = "blocking"</f>
        <v>1</v>
      </c>
      <c r="L321" s="2" t="s">
        <v>1428</v>
      </c>
      <c r="M321" s="2" t="s">
        <v>6040</v>
      </c>
      <c r="N321" s="4">
        <v>46223.1297337963</v>
      </c>
      <c r="O321" s="3" t="b">
        <f>L321 = "PASS"</f>
        <v>1</v>
      </c>
      <c r="P321" s="3" t="b">
        <f>L321 = "FAIL"</f>
        <v>0</v>
      </c>
      <c r="Q321" s="3" t="b">
        <f>AND(P321, K321)</f>
        <v>0</v>
      </c>
      <c r="R321" s="3" t="str">
        <f>IF(O321, I321, "")</f>
        <v>suite-substrate</v>
      </c>
      <c r="S321" s="3" t="str">
        <f>IF(Q321, I321, "")</f>
      </c>
      <c r="T321" s="2" t="s">
        <v>5935</v>
      </c>
    </row>
    <row r="322">
      <c r="A322" s="2" t="s">
        <v>6291</v>
      </c>
      <c r="B322" s="3" t="str">
        <f>C322 &amp; ": " &amp; D322</f>
        <v>formula-translates: Resources.Name</v>
      </c>
      <c r="C322" s="2" t="s">
        <v>6038</v>
      </c>
      <c r="D322" s="2" t="s">
        <v>3109</v>
      </c>
      <c r="E322" s="2" t="s">
        <v>1791</v>
      </c>
      <c r="F322" s="2" t="s">
        <v>1</v>
      </c>
      <c r="G322" s="2" t="s">
        <v>6039</v>
      </c>
      <c r="H322" s="2"/>
      <c r="I322" s="2" t="s">
        <v>5920</v>
      </c>
      <c r="J322" s="2" t="s">
        <v>5933</v>
      </c>
      <c r="K322" s="3" t="b">
        <f>J322 = "blocking"</f>
        <v>1</v>
      </c>
      <c r="L322" s="2" t="s">
        <v>1428</v>
      </c>
      <c r="M322" s="2" t="s">
        <v>6040</v>
      </c>
      <c r="N322" s="4">
        <v>46223.1297337963</v>
      </c>
      <c r="O322" s="3" t="b">
        <f>L322 = "PASS"</f>
        <v>1</v>
      </c>
      <c r="P322" s="3" t="b">
        <f>L322 = "FAIL"</f>
        <v>0</v>
      </c>
      <c r="Q322" s="3" t="b">
        <f>AND(P322, K322)</f>
        <v>0</v>
      </c>
      <c r="R322" s="3" t="str">
        <f>IF(O322, I322, "")</f>
        <v>suite-substrate</v>
      </c>
      <c r="S322" s="3" t="str">
        <f>IF(Q322, I322, "")</f>
      </c>
      <c r="T322" s="2" t="s">
        <v>5935</v>
      </c>
    </row>
    <row r="323">
      <c r="A323" s="2" t="s">
        <v>6292</v>
      </c>
      <c r="B323" s="3" t="str">
        <f>C323 &amp; ": " &amp; D323</f>
        <v>formula-translates: Resources.IsApprovedSource</v>
      </c>
      <c r="C323" s="2" t="s">
        <v>6038</v>
      </c>
      <c r="D323" s="2" t="s">
        <v>3117</v>
      </c>
      <c r="E323" s="2" t="s">
        <v>1791</v>
      </c>
      <c r="F323" s="2" t="s">
        <v>1005</v>
      </c>
      <c r="G323" s="2" t="s">
        <v>6039</v>
      </c>
      <c r="H323" s="2" t="s">
        <v>2160</v>
      </c>
      <c r="I323" s="2" t="s">
        <v>5920</v>
      </c>
      <c r="J323" s="2" t="s">
        <v>5933</v>
      </c>
      <c r="K323" s="3" t="b">
        <f>J323 = "blocking"</f>
        <v>1</v>
      </c>
      <c r="L323" s="2" t="s">
        <v>1428</v>
      </c>
      <c r="M323" s="2" t="s">
        <v>6040</v>
      </c>
      <c r="N323" s="4">
        <v>46223.1297337963</v>
      </c>
      <c r="O323" s="3" t="b">
        <f>L323 = "PASS"</f>
        <v>1</v>
      </c>
      <c r="P323" s="3" t="b">
        <f>L323 = "FAIL"</f>
        <v>0</v>
      </c>
      <c r="Q323" s="3" t="b">
        <f>AND(P323, K323)</f>
        <v>0</v>
      </c>
      <c r="R323" s="3" t="str">
        <f>IF(O323, I323, "")</f>
        <v>suite-substrate</v>
      </c>
      <c r="S323" s="3" t="str">
        <f>IF(Q323, I323, "")</f>
      </c>
      <c r="T323" s="2" t="s">
        <v>5935</v>
      </c>
    </row>
    <row r="324">
      <c r="A324" s="2" t="s">
        <v>6293</v>
      </c>
      <c r="B324" s="3" t="str">
        <f>C324 &amp; ": " &amp; D324</f>
        <v>formula-translates: ProcedureResources.Name</v>
      </c>
      <c r="C324" s="2" t="s">
        <v>6038</v>
      </c>
      <c r="D324" s="2" t="s">
        <v>3122</v>
      </c>
      <c r="E324" s="2" t="s">
        <v>3121</v>
      </c>
      <c r="F324" s="2" t="s">
        <v>1</v>
      </c>
      <c r="G324" s="2" t="s">
        <v>6039</v>
      </c>
      <c r="H324" s="2"/>
      <c r="I324" s="2" t="s">
        <v>5920</v>
      </c>
      <c r="J324" s="2" t="s">
        <v>5933</v>
      </c>
      <c r="K324" s="3" t="b">
        <f>J324 = "blocking"</f>
        <v>1</v>
      </c>
      <c r="L324" s="2" t="s">
        <v>1428</v>
      </c>
      <c r="M324" s="2" t="s">
        <v>6040</v>
      </c>
      <c r="N324" s="4">
        <v>46223.1297337963</v>
      </c>
      <c r="O324" s="3" t="b">
        <f>L324 = "PASS"</f>
        <v>1</v>
      </c>
      <c r="P324" s="3" t="b">
        <f>L324 = "FAIL"</f>
        <v>0</v>
      </c>
      <c r="Q324" s="3" t="b">
        <f>AND(P324, K324)</f>
        <v>0</v>
      </c>
      <c r="R324" s="3" t="str">
        <f>IF(O324, I324, "")</f>
        <v>suite-substrate</v>
      </c>
      <c r="S324" s="3" t="str">
        <f>IF(Q324, I324, "")</f>
      </c>
      <c r="T324" s="2" t="s">
        <v>5935</v>
      </c>
    </row>
    <row r="325">
      <c r="A325" s="2" t="s">
        <v>6294</v>
      </c>
      <c r="B325" s="3" t="str">
        <f>C325 &amp; ": " &amp; D325</f>
        <v>formula-translates: ProcedureResources.RelationIri</v>
      </c>
      <c r="C325" s="2" t="s">
        <v>6038</v>
      </c>
      <c r="D325" s="2" t="s">
        <v>3127</v>
      </c>
      <c r="E325" s="2" t="s">
        <v>3121</v>
      </c>
      <c r="F325" s="2" t="s">
        <v>470</v>
      </c>
      <c r="G325" s="2" t="s">
        <v>6039</v>
      </c>
      <c r="H325" s="2"/>
      <c r="I325" s="2" t="s">
        <v>5920</v>
      </c>
      <c r="J325" s="2" t="s">
        <v>5933</v>
      </c>
      <c r="K325" s="3" t="b">
        <f>J325 = "blocking"</f>
        <v>1</v>
      </c>
      <c r="L325" s="2" t="s">
        <v>1428</v>
      </c>
      <c r="M325" s="2" t="s">
        <v>6040</v>
      </c>
      <c r="N325" s="4">
        <v>46223.1297337963</v>
      </c>
      <c r="O325" s="3" t="b">
        <f>L325 = "PASS"</f>
        <v>1</v>
      </c>
      <c r="P325" s="3" t="b">
        <f>L325 = "FAIL"</f>
        <v>0</v>
      </c>
      <c r="Q325" s="3" t="b">
        <f>AND(P325, K325)</f>
        <v>0</v>
      </c>
      <c r="R325" s="3" t="str">
        <f>IF(O325, I325, "")</f>
        <v>suite-substrate</v>
      </c>
      <c r="S325" s="3" t="str">
        <f>IF(Q325, I325, "")</f>
      </c>
      <c r="T325" s="2" t="s">
        <v>5935</v>
      </c>
    </row>
    <row r="326">
      <c r="A326" s="2" t="s">
        <v>6295</v>
      </c>
      <c r="B326" s="3" t="str">
        <f>C326 &amp; ": " &amp; D326</f>
        <v>formula-translates: ElicitationSessions.Name</v>
      </c>
      <c r="C326" s="2" t="s">
        <v>6038</v>
      </c>
      <c r="D326" s="2" t="s">
        <v>3130</v>
      </c>
      <c r="E326" s="2" t="s">
        <v>1835</v>
      </c>
      <c r="F326" s="2" t="s">
        <v>1</v>
      </c>
      <c r="G326" s="2" t="s">
        <v>6039</v>
      </c>
      <c r="H326" s="2"/>
      <c r="I326" s="2" t="s">
        <v>5920</v>
      </c>
      <c r="J326" s="2" t="s">
        <v>5933</v>
      </c>
      <c r="K326" s="3" t="b">
        <f>J326 = "blocking"</f>
        <v>1</v>
      </c>
      <c r="L326" s="2" t="s">
        <v>1428</v>
      </c>
      <c r="M326" s="2" t="s">
        <v>6040</v>
      </c>
      <c r="N326" s="4">
        <v>46223.1297337963</v>
      </c>
      <c r="O326" s="3" t="b">
        <f>L326 = "PASS"</f>
        <v>1</v>
      </c>
      <c r="P326" s="3" t="b">
        <f>L326 = "FAIL"</f>
        <v>0</v>
      </c>
      <c r="Q326" s="3" t="b">
        <f>AND(P326, K326)</f>
        <v>0</v>
      </c>
      <c r="R326" s="3" t="str">
        <f>IF(O326, I326, "")</f>
        <v>suite-substrate</v>
      </c>
      <c r="S326" s="3" t="str">
        <f>IF(Q326, I326, "")</f>
      </c>
      <c r="T326" s="2" t="s">
        <v>5935</v>
      </c>
    </row>
    <row r="327">
      <c r="A327" s="2" t="s">
        <v>6296</v>
      </c>
      <c r="B327" s="3" t="str">
        <f>C327 &amp; ": " &amp; D327</f>
        <v>formula-translates: ElicitationSessions.AsOfInstant</v>
      </c>
      <c r="C327" s="2" t="s">
        <v>6038</v>
      </c>
      <c r="D327" s="2" t="s">
        <v>3141</v>
      </c>
      <c r="E327" s="2" t="s">
        <v>1835</v>
      </c>
      <c r="F327" s="2" t="s">
        <v>92</v>
      </c>
      <c r="G327" s="2" t="s">
        <v>6039</v>
      </c>
      <c r="H327" s="2"/>
      <c r="I327" s="2" t="s">
        <v>5920</v>
      </c>
      <c r="J327" s="2" t="s">
        <v>5933</v>
      </c>
      <c r="K327" s="3" t="b">
        <f>J327 = "blocking"</f>
        <v>1</v>
      </c>
      <c r="L327" s="2" t="s">
        <v>1428</v>
      </c>
      <c r="M327" s="2" t="s">
        <v>6040</v>
      </c>
      <c r="N327" s="4">
        <v>46223.1297337963</v>
      </c>
      <c r="O327" s="3" t="b">
        <f>L327 = "PASS"</f>
        <v>1</v>
      </c>
      <c r="P327" s="3" t="b">
        <f>L327 = "FAIL"</f>
        <v>0</v>
      </c>
      <c r="Q327" s="3" t="b">
        <f>AND(P327, K327)</f>
        <v>0</v>
      </c>
      <c r="R327" s="3" t="str">
        <f>IF(O327, I327, "")</f>
        <v>suite-substrate</v>
      </c>
      <c r="S327" s="3" t="str">
        <f>IF(Q327, I327, "")</f>
      </c>
      <c r="T327" s="2" t="s">
        <v>5935</v>
      </c>
    </row>
    <row r="328">
      <c r="A328" s="2" t="s">
        <v>6297</v>
      </c>
      <c r="B328" s="3" t="str">
        <f>C328 &amp; ": " &amp; D328</f>
        <v>formula-translates: ElicitationSessions.DaysSinceElicited</v>
      </c>
      <c r="C328" s="2" t="s">
        <v>6038</v>
      </c>
      <c r="D328" s="2" t="s">
        <v>3142</v>
      </c>
      <c r="E328" s="2" t="s">
        <v>1835</v>
      </c>
      <c r="F328" s="2" t="s">
        <v>1065</v>
      </c>
      <c r="G328" s="2" t="s">
        <v>6039</v>
      </c>
      <c r="H328" s="2" t="s">
        <v>2024</v>
      </c>
      <c r="I328" s="2" t="s">
        <v>5920</v>
      </c>
      <c r="J328" s="2" t="s">
        <v>5933</v>
      </c>
      <c r="K328" s="3" t="b">
        <f>J328 = "blocking"</f>
        <v>1</v>
      </c>
      <c r="L328" s="2" t="s">
        <v>1428</v>
      </c>
      <c r="M328" s="2" t="s">
        <v>6040</v>
      </c>
      <c r="N328" s="4">
        <v>46223.1297337963</v>
      </c>
      <c r="O328" s="3" t="b">
        <f>L328 = "PASS"</f>
        <v>1</v>
      </c>
      <c r="P328" s="3" t="b">
        <f>L328 = "FAIL"</f>
        <v>0</v>
      </c>
      <c r="Q328" s="3" t="b">
        <f>AND(P328, K328)</f>
        <v>0</v>
      </c>
      <c r="R328" s="3" t="str">
        <f>IF(O328, I328, "")</f>
        <v>suite-substrate</v>
      </c>
      <c r="S328" s="3" t="str">
        <f>IF(Q328, I328, "")</f>
      </c>
      <c r="T328" s="2" t="s">
        <v>5935</v>
      </c>
    </row>
    <row r="329">
      <c r="A329" s="2" t="s">
        <v>6298</v>
      </c>
      <c r="B329" s="3" t="str">
        <f>C329 &amp; ": " &amp; D329</f>
        <v>formula-translates: ElicitationSessions.IsSingleWitnessMethod</v>
      </c>
      <c r="C329" s="2" t="s">
        <v>6038</v>
      </c>
      <c r="D329" s="2" t="s">
        <v>3144</v>
      </c>
      <c r="E329" s="2" t="s">
        <v>1835</v>
      </c>
      <c r="F329" s="2" t="s">
        <v>1066</v>
      </c>
      <c r="G329" s="2" t="s">
        <v>6039</v>
      </c>
      <c r="H329" s="2" t="s">
        <v>2024</v>
      </c>
      <c r="I329" s="2" t="s">
        <v>5920</v>
      </c>
      <c r="J329" s="2" t="s">
        <v>5933</v>
      </c>
      <c r="K329" s="3" t="b">
        <f>J329 = "blocking"</f>
        <v>1</v>
      </c>
      <c r="L329" s="2" t="s">
        <v>1428</v>
      </c>
      <c r="M329" s="2" t="s">
        <v>6040</v>
      </c>
      <c r="N329" s="4">
        <v>46223.1297337963</v>
      </c>
      <c r="O329" s="3" t="b">
        <f>L329 = "PASS"</f>
        <v>1</v>
      </c>
      <c r="P329" s="3" t="b">
        <f>L329 = "FAIL"</f>
        <v>0</v>
      </c>
      <c r="Q329" s="3" t="b">
        <f>AND(P329, K329)</f>
        <v>0</v>
      </c>
      <c r="R329" s="3" t="str">
        <f>IF(O329, I329, "")</f>
        <v>suite-substrate</v>
      </c>
      <c r="S329" s="3" t="str">
        <f>IF(Q329, I329, "")</f>
      </c>
      <c r="T329" s="2" t="s">
        <v>5935</v>
      </c>
    </row>
    <row r="330">
      <c r="A330" s="2" t="s">
        <v>6299</v>
      </c>
      <c r="B330" s="3" t="str">
        <f>C330 &amp; ": " &amp; D330</f>
        <v>formula-translates: ElicitationSessions.PractitionerIsStillEngaged</v>
      </c>
      <c r="C330" s="2" t="s">
        <v>6038</v>
      </c>
      <c r="D330" s="2" t="s">
        <v>3146</v>
      </c>
      <c r="E330" s="2" t="s">
        <v>1835</v>
      </c>
      <c r="F330" s="2" t="s">
        <v>1067</v>
      </c>
      <c r="G330" s="2" t="s">
        <v>6039</v>
      </c>
      <c r="H330" s="2" t="s">
        <v>2024</v>
      </c>
      <c r="I330" s="2" t="s">
        <v>5920</v>
      </c>
      <c r="J330" s="2" t="s">
        <v>5933</v>
      </c>
      <c r="K330" s="3" t="b">
        <f>J330 = "blocking"</f>
        <v>1</v>
      </c>
      <c r="L330" s="2" t="s">
        <v>1428</v>
      </c>
      <c r="M330" s="2" t="s">
        <v>6040</v>
      </c>
      <c r="N330" s="4">
        <v>46223.1297337963</v>
      </c>
      <c r="O330" s="3" t="b">
        <f>L330 = "PASS"</f>
        <v>1</v>
      </c>
      <c r="P330" s="3" t="b">
        <f>L330 = "FAIL"</f>
        <v>0</v>
      </c>
      <c r="Q330" s="3" t="b">
        <f>AND(P330, K330)</f>
        <v>0</v>
      </c>
      <c r="R330" s="3" t="str">
        <f>IF(O330, I330, "")</f>
        <v>suite-substrate</v>
      </c>
      <c r="S330" s="3" t="str">
        <f>IF(Q330, I330, "")</f>
      </c>
      <c r="T330" s="2" t="s">
        <v>5935</v>
      </c>
    </row>
    <row r="331">
      <c r="A331" s="2" t="s">
        <v>6300</v>
      </c>
      <c r="B331" s="3" t="str">
        <f>C331 &amp; ": " &amp; D331</f>
        <v>formula-translates: ElicitationSessions.ValidFragmentsProduced</v>
      </c>
      <c r="C331" s="2" t="s">
        <v>6038</v>
      </c>
      <c r="D331" s="2" t="s">
        <v>3148</v>
      </c>
      <c r="E331" s="2" t="s">
        <v>1835</v>
      </c>
      <c r="F331" s="2" t="s">
        <v>1068</v>
      </c>
      <c r="G331" s="2" t="s">
        <v>6039</v>
      </c>
      <c r="H331" s="2" t="s">
        <v>2184</v>
      </c>
      <c r="I331" s="2" t="s">
        <v>5920</v>
      </c>
      <c r="J331" s="2" t="s">
        <v>5933</v>
      </c>
      <c r="K331" s="3" t="b">
        <f>J331 = "blocking"</f>
        <v>1</v>
      </c>
      <c r="L331" s="2" t="s">
        <v>1428</v>
      </c>
      <c r="M331" s="2" t="s">
        <v>6040</v>
      </c>
      <c r="N331" s="4">
        <v>46223.1297337963</v>
      </c>
      <c r="O331" s="3" t="b">
        <f>L331 = "PASS"</f>
        <v>1</v>
      </c>
      <c r="P331" s="3" t="b">
        <f>L331 = "FAIL"</f>
        <v>0</v>
      </c>
      <c r="Q331" s="3" t="b">
        <f>AND(P331, K331)</f>
        <v>0</v>
      </c>
      <c r="R331" s="3" t="str">
        <f>IF(O331, I331, "")</f>
        <v>suite-substrate</v>
      </c>
      <c r="S331" s="3" t="str">
        <f>IF(Q331, I331, "")</f>
      </c>
      <c r="T331" s="2" t="s">
        <v>5935</v>
      </c>
    </row>
    <row r="332">
      <c r="A332" s="2" t="s">
        <v>6301</v>
      </c>
      <c r="B332" s="3" t="str">
        <f>C332 &amp; ": " &amp; D332</f>
        <v>formula-translates: ElicitationSessions.IsHighYieldSession</v>
      </c>
      <c r="C332" s="2" t="s">
        <v>6038</v>
      </c>
      <c r="D332" s="2" t="s">
        <v>3150</v>
      </c>
      <c r="E332" s="2" t="s">
        <v>1835</v>
      </c>
      <c r="F332" s="2" t="s">
        <v>1069</v>
      </c>
      <c r="G332" s="2" t="s">
        <v>6039</v>
      </c>
      <c r="H332" s="2" t="s">
        <v>2184</v>
      </c>
      <c r="I332" s="2" t="s">
        <v>5920</v>
      </c>
      <c r="J332" s="2" t="s">
        <v>5933</v>
      </c>
      <c r="K332" s="3" t="b">
        <f>J332 = "blocking"</f>
        <v>1</v>
      </c>
      <c r="L332" s="2" t="s">
        <v>1428</v>
      </c>
      <c r="M332" s="2" t="s">
        <v>6040</v>
      </c>
      <c r="N332" s="4">
        <v>46223.1297337963</v>
      </c>
      <c r="O332" s="3" t="b">
        <f>L332 = "PASS"</f>
        <v>1</v>
      </c>
      <c r="P332" s="3" t="b">
        <f>L332 = "FAIL"</f>
        <v>0</v>
      </c>
      <c r="Q332" s="3" t="b">
        <f>AND(P332, K332)</f>
        <v>0</v>
      </c>
      <c r="R332" s="3" t="str">
        <f>IF(O332, I332, "")</f>
        <v>suite-substrate</v>
      </c>
      <c r="S332" s="3" t="str">
        <f>IF(Q332, I332, "")</f>
      </c>
      <c r="T332" s="2" t="s">
        <v>5935</v>
      </c>
    </row>
    <row r="333">
      <c r="A333" s="2" t="s">
        <v>6302</v>
      </c>
      <c r="B333" s="3" t="str">
        <f>C333 &amp; ": " &amp; D333</f>
        <v>formula-translates: ElicitationSessions.IsConcentratedSingleWitness</v>
      </c>
      <c r="C333" s="2" t="s">
        <v>6038</v>
      </c>
      <c r="D333" s="2" t="s">
        <v>3152</v>
      </c>
      <c r="E333" s="2" t="s">
        <v>1835</v>
      </c>
      <c r="F333" s="2" t="s">
        <v>1070</v>
      </c>
      <c r="G333" s="2" t="s">
        <v>6039</v>
      </c>
      <c r="H333" s="2" t="s">
        <v>2184</v>
      </c>
      <c r="I333" s="2" t="s">
        <v>5920</v>
      </c>
      <c r="J333" s="2" t="s">
        <v>5933</v>
      </c>
      <c r="K333" s="3" t="b">
        <f>J333 = "blocking"</f>
        <v>1</v>
      </c>
      <c r="L333" s="2" t="s">
        <v>1428</v>
      </c>
      <c r="M333" s="2" t="s">
        <v>6040</v>
      </c>
      <c r="N333" s="4">
        <v>46223.1297337963</v>
      </c>
      <c r="O333" s="3" t="b">
        <f>L333 = "PASS"</f>
        <v>1</v>
      </c>
      <c r="P333" s="3" t="b">
        <f>L333 = "FAIL"</f>
        <v>0</v>
      </c>
      <c r="Q333" s="3" t="b">
        <f>AND(P333, K333)</f>
        <v>0</v>
      </c>
      <c r="R333" s="3" t="str">
        <f>IF(O333, I333, "")</f>
        <v>suite-substrate</v>
      </c>
      <c r="S333" s="3" t="str">
        <f>IF(Q333, I333, "")</f>
      </c>
      <c r="T333" s="2" t="s">
        <v>5935</v>
      </c>
    </row>
    <row r="334">
      <c r="A334" s="2" t="s">
        <v>6303</v>
      </c>
      <c r="B334" s="3" t="str">
        <f>C334 &amp; ": " &amp; D334</f>
        <v>formula-translates: ElicitationSessions.IsStaleConcentratedWitness</v>
      </c>
      <c r="C334" s="2" t="s">
        <v>6038</v>
      </c>
      <c r="D334" s="2" t="s">
        <v>3154</v>
      </c>
      <c r="E334" s="2" t="s">
        <v>1835</v>
      </c>
      <c r="F334" s="2" t="s">
        <v>1071</v>
      </c>
      <c r="G334" s="2" t="s">
        <v>6039</v>
      </c>
      <c r="H334" s="2" t="s">
        <v>2184</v>
      </c>
      <c r="I334" s="2" t="s">
        <v>5920</v>
      </c>
      <c r="J334" s="2" t="s">
        <v>5933</v>
      </c>
      <c r="K334" s="3" t="b">
        <f>J334 = "blocking"</f>
        <v>1</v>
      </c>
      <c r="L334" s="2" t="s">
        <v>1428</v>
      </c>
      <c r="M334" s="2" t="s">
        <v>6040</v>
      </c>
      <c r="N334" s="4">
        <v>46223.1297337963</v>
      </c>
      <c r="O334" s="3" t="b">
        <f>L334 = "PASS"</f>
        <v>1</v>
      </c>
      <c r="P334" s="3" t="b">
        <f>L334 = "FAIL"</f>
        <v>0</v>
      </c>
      <c r="Q334" s="3" t="b">
        <f>AND(P334, K334)</f>
        <v>0</v>
      </c>
      <c r="R334" s="3" t="str">
        <f>IF(O334, I334, "")</f>
        <v>suite-substrate</v>
      </c>
      <c r="S334" s="3" t="str">
        <f>IF(Q334, I334, "")</f>
      </c>
      <c r="T334" s="2" t="s">
        <v>5935</v>
      </c>
    </row>
    <row r="335">
      <c r="A335" s="2" t="s">
        <v>6304</v>
      </c>
      <c r="B335" s="3" t="str">
        <f>C335 &amp; ": " &amp; D335</f>
        <v>formula-translates: ElicitationSessions.ConcentratedSessionVersionKey</v>
      </c>
      <c r="C335" s="2" t="s">
        <v>6038</v>
      </c>
      <c r="D335" s="2" t="s">
        <v>3156</v>
      </c>
      <c r="E335" s="2" t="s">
        <v>1835</v>
      </c>
      <c r="F335" s="2" t="s">
        <v>1072</v>
      </c>
      <c r="G335" s="2" t="s">
        <v>6039</v>
      </c>
      <c r="H335" s="2" t="s">
        <v>2184</v>
      </c>
      <c r="I335" s="2" t="s">
        <v>5920</v>
      </c>
      <c r="J335" s="2" t="s">
        <v>5933</v>
      </c>
      <c r="K335" s="3" t="b">
        <f>J335 = "blocking"</f>
        <v>1</v>
      </c>
      <c r="L335" s="2" t="s">
        <v>1428</v>
      </c>
      <c r="M335" s="2" t="s">
        <v>6040</v>
      </c>
      <c r="N335" s="4">
        <v>46223.1297337963</v>
      </c>
      <c r="O335" s="3" t="b">
        <f>L335 = "PASS"</f>
        <v>1</v>
      </c>
      <c r="P335" s="3" t="b">
        <f>L335 = "FAIL"</f>
        <v>0</v>
      </c>
      <c r="Q335" s="3" t="b">
        <f>AND(P335, K335)</f>
        <v>0</v>
      </c>
      <c r="R335" s="3" t="str">
        <f>IF(O335, I335, "")</f>
        <v>suite-substrate</v>
      </c>
      <c r="S335" s="3" t="str">
        <f>IF(Q335, I335, "")</f>
      </c>
      <c r="T335" s="2" t="s">
        <v>5935</v>
      </c>
    </row>
    <row r="336">
      <c r="A336" s="2" t="s">
        <v>6305</v>
      </c>
      <c r="B336" s="3" t="str">
        <f>C336 &amp; ": " &amp; D336</f>
        <v>formula-translates: KnowledgeFragments.Name</v>
      </c>
      <c r="C336" s="2" t="s">
        <v>6038</v>
      </c>
      <c r="D336" s="2" t="s">
        <v>3160</v>
      </c>
      <c r="E336" s="2" t="s">
        <v>1831</v>
      </c>
      <c r="F336" s="2" t="s">
        <v>1</v>
      </c>
      <c r="G336" s="2" t="s">
        <v>6039</v>
      </c>
      <c r="H336" s="2"/>
      <c r="I336" s="2" t="s">
        <v>5920</v>
      </c>
      <c r="J336" s="2" t="s">
        <v>5933</v>
      </c>
      <c r="K336" s="3" t="b">
        <f>J336 = "blocking"</f>
        <v>1</v>
      </c>
      <c r="L336" s="2" t="s">
        <v>1428</v>
      </c>
      <c r="M336" s="2" t="s">
        <v>6040</v>
      </c>
      <c r="N336" s="4">
        <v>46223.1297337963</v>
      </c>
      <c r="O336" s="3" t="b">
        <f>L336 = "PASS"</f>
        <v>1</v>
      </c>
      <c r="P336" s="3" t="b">
        <f>L336 = "FAIL"</f>
        <v>0</v>
      </c>
      <c r="Q336" s="3" t="b">
        <f>AND(P336, K336)</f>
        <v>0</v>
      </c>
      <c r="R336" s="3" t="str">
        <f>IF(O336, I336, "")</f>
        <v>suite-substrate</v>
      </c>
      <c r="S336" s="3" t="str">
        <f>IF(Q336, I336, "")</f>
      </c>
      <c r="T336" s="2" t="s">
        <v>5935</v>
      </c>
    </row>
    <row r="337">
      <c r="A337" s="2" t="s">
        <v>6306</v>
      </c>
      <c r="B337" s="3" t="str">
        <f>C337 &amp; ": " &amp; D337</f>
        <v>formula-translates: KnowledgeFragments.AsOfInstant</v>
      </c>
      <c r="C337" s="2" t="s">
        <v>6038</v>
      </c>
      <c r="D337" s="2" t="s">
        <v>3174</v>
      </c>
      <c r="E337" s="2" t="s">
        <v>1831</v>
      </c>
      <c r="F337" s="2" t="s">
        <v>92</v>
      </c>
      <c r="G337" s="2" t="s">
        <v>6039</v>
      </c>
      <c r="H337" s="2"/>
      <c r="I337" s="2" t="s">
        <v>5920</v>
      </c>
      <c r="J337" s="2" t="s">
        <v>5933</v>
      </c>
      <c r="K337" s="3" t="b">
        <f>J337 = "blocking"</f>
        <v>1</v>
      </c>
      <c r="L337" s="2" t="s">
        <v>1428</v>
      </c>
      <c r="M337" s="2" t="s">
        <v>6040</v>
      </c>
      <c r="N337" s="4">
        <v>46223.1297337963</v>
      </c>
      <c r="O337" s="3" t="b">
        <f>L337 = "PASS"</f>
        <v>1</v>
      </c>
      <c r="P337" s="3" t="b">
        <f>L337 = "FAIL"</f>
        <v>0</v>
      </c>
      <c r="Q337" s="3" t="b">
        <f>AND(P337, K337)</f>
        <v>0</v>
      </c>
      <c r="R337" s="3" t="str">
        <f>IF(O337, I337, "")</f>
        <v>suite-substrate</v>
      </c>
      <c r="S337" s="3" t="str">
        <f>IF(Q337, I337, "")</f>
      </c>
      <c r="T337" s="2" t="s">
        <v>5935</v>
      </c>
    </row>
    <row r="338">
      <c r="A338" s="2" t="s">
        <v>6307</v>
      </c>
      <c r="B338" s="3" t="str">
        <f>C338 &amp; ": " &amp; D338</f>
        <v>formula-translates: KnowledgeFragments.IsCurrentlyValid</v>
      </c>
      <c r="C338" s="2" t="s">
        <v>6038</v>
      </c>
      <c r="D338" s="2" t="s">
        <v>3175</v>
      </c>
      <c r="E338" s="2" t="s">
        <v>1831</v>
      </c>
      <c r="F338" s="2" t="s">
        <v>260</v>
      </c>
      <c r="G338" s="2" t="s">
        <v>6039</v>
      </c>
      <c r="H338" s="2"/>
      <c r="I338" s="2" t="s">
        <v>5920</v>
      </c>
      <c r="J338" s="2" t="s">
        <v>5933</v>
      </c>
      <c r="K338" s="3" t="b">
        <f>J338 = "blocking"</f>
        <v>1</v>
      </c>
      <c r="L338" s="2" t="s">
        <v>1428</v>
      </c>
      <c r="M338" s="2" t="s">
        <v>6040</v>
      </c>
      <c r="N338" s="4">
        <v>46223.1297337963</v>
      </c>
      <c r="O338" s="3" t="b">
        <f>L338 = "PASS"</f>
        <v>1</v>
      </c>
      <c r="P338" s="3" t="b">
        <f>L338 = "FAIL"</f>
        <v>0</v>
      </c>
      <c r="Q338" s="3" t="b">
        <f>AND(P338, K338)</f>
        <v>0</v>
      </c>
      <c r="R338" s="3" t="str">
        <f>IF(O338, I338, "")</f>
        <v>suite-substrate</v>
      </c>
      <c r="S338" s="3" t="str">
        <f>IF(Q338, I338, "")</f>
      </c>
      <c r="T338" s="2" t="s">
        <v>5935</v>
      </c>
    </row>
    <row r="339">
      <c r="A339" s="2" t="s">
        <v>6308</v>
      </c>
      <c r="B339" s="3" t="str">
        <f>C339 &amp; ": " &amp; D339</f>
        <v>formula-translates: KnowledgeFragments.SourceAgentIsStillEngaged</v>
      </c>
      <c r="C339" s="2" t="s">
        <v>6038</v>
      </c>
      <c r="D339" s="2" t="s">
        <v>3177</v>
      </c>
      <c r="E339" s="2" t="s">
        <v>1831</v>
      </c>
      <c r="F339" s="2" t="s">
        <v>1089</v>
      </c>
      <c r="G339" s="2" t="s">
        <v>6039</v>
      </c>
      <c r="H339" s="2" t="s">
        <v>2016</v>
      </c>
      <c r="I339" s="2" t="s">
        <v>5920</v>
      </c>
      <c r="J339" s="2" t="s">
        <v>5933</v>
      </c>
      <c r="K339" s="3" t="b">
        <f>J339 = "blocking"</f>
        <v>1</v>
      </c>
      <c r="L339" s="2" t="s">
        <v>1428</v>
      </c>
      <c r="M339" s="2" t="s">
        <v>6040</v>
      </c>
      <c r="N339" s="4">
        <v>46223.1297337963</v>
      </c>
      <c r="O339" s="3" t="b">
        <f>L339 = "PASS"</f>
        <v>1</v>
      </c>
      <c r="P339" s="3" t="b">
        <f>L339 = "FAIL"</f>
        <v>0</v>
      </c>
      <c r="Q339" s="3" t="b">
        <f>AND(P339, K339)</f>
        <v>0</v>
      </c>
      <c r="R339" s="3" t="str">
        <f>IF(O339, I339, "")</f>
        <v>suite-substrate</v>
      </c>
      <c r="S339" s="3" t="str">
        <f>IF(Q339, I339, "")</f>
      </c>
      <c r="T339" s="2" t="s">
        <v>5935</v>
      </c>
    </row>
    <row r="340">
      <c r="A340" s="2" t="s">
        <v>6309</v>
      </c>
      <c r="B340" s="3" t="str">
        <f>C340 &amp; ": " &amp; D340</f>
        <v>formula-translates: KnowledgeFragments.SourceAgentKind</v>
      </c>
      <c r="C340" s="2" t="s">
        <v>6038</v>
      </c>
      <c r="D340" s="2" t="s">
        <v>3179</v>
      </c>
      <c r="E340" s="2" t="s">
        <v>1831</v>
      </c>
      <c r="F340" s="2" t="s">
        <v>1090</v>
      </c>
      <c r="G340" s="2" t="s">
        <v>6039</v>
      </c>
      <c r="H340" s="2" t="s">
        <v>2016</v>
      </c>
      <c r="I340" s="2" t="s">
        <v>5920</v>
      </c>
      <c r="J340" s="2" t="s">
        <v>5933</v>
      </c>
      <c r="K340" s="3" t="b">
        <f>J340 = "blocking"</f>
        <v>1</v>
      </c>
      <c r="L340" s="2" t="s">
        <v>1428</v>
      </c>
      <c r="M340" s="2" t="s">
        <v>6040</v>
      </c>
      <c r="N340" s="4">
        <v>46223.1297337963</v>
      </c>
      <c r="O340" s="3" t="b">
        <f>L340 = "PASS"</f>
        <v>1</v>
      </c>
      <c r="P340" s="3" t="b">
        <f>L340 = "FAIL"</f>
        <v>0</v>
      </c>
      <c r="Q340" s="3" t="b">
        <f>AND(P340, K340)</f>
        <v>0</v>
      </c>
      <c r="R340" s="3" t="str">
        <f>IF(O340, I340, "")</f>
        <v>suite-substrate</v>
      </c>
      <c r="S340" s="3" t="str">
        <f>IF(Q340, I340, "")</f>
      </c>
      <c r="T340" s="2" t="s">
        <v>5935</v>
      </c>
    </row>
    <row r="341">
      <c r="A341" s="2" t="s">
        <v>6310</v>
      </c>
      <c r="B341" s="3" t="str">
        <f>C341 &amp; ": " &amp; D341</f>
        <v>formula-translates: KnowledgeFragments.HasHumanSource</v>
      </c>
      <c r="C341" s="2" t="s">
        <v>6038</v>
      </c>
      <c r="D341" s="2" t="s">
        <v>3181</v>
      </c>
      <c r="E341" s="2" t="s">
        <v>1831</v>
      </c>
      <c r="F341" s="2" t="s">
        <v>1091</v>
      </c>
      <c r="G341" s="2" t="s">
        <v>6039</v>
      </c>
      <c r="H341" s="2" t="s">
        <v>2016</v>
      </c>
      <c r="I341" s="2" t="s">
        <v>5920</v>
      </c>
      <c r="J341" s="2" t="s">
        <v>5933</v>
      </c>
      <c r="K341" s="3" t="b">
        <f>J341 = "blocking"</f>
        <v>1</v>
      </c>
      <c r="L341" s="2" t="s">
        <v>1428</v>
      </c>
      <c r="M341" s="2" t="s">
        <v>6040</v>
      </c>
      <c r="N341" s="4">
        <v>46223.1297337963</v>
      </c>
      <c r="O341" s="3" t="b">
        <f>L341 = "PASS"</f>
        <v>1</v>
      </c>
      <c r="P341" s="3" t="b">
        <f>L341 = "FAIL"</f>
        <v>0</v>
      </c>
      <c r="Q341" s="3" t="b">
        <f>AND(P341, K341)</f>
        <v>0</v>
      </c>
      <c r="R341" s="3" t="str">
        <f>IF(O341, I341, "")</f>
        <v>suite-substrate</v>
      </c>
      <c r="S341" s="3" t="str">
        <f>IF(Q341, I341, "")</f>
      </c>
      <c r="T341" s="2" t="s">
        <v>5935</v>
      </c>
    </row>
    <row r="342">
      <c r="A342" s="2" t="s">
        <v>6311</v>
      </c>
      <c r="B342" s="3" t="str">
        <f>C342 &amp; ": " &amp; D342</f>
        <v>formula-translates: KnowledgeFragments.HasOrphanedProvenance</v>
      </c>
      <c r="C342" s="2" t="s">
        <v>6038</v>
      </c>
      <c r="D342" s="2" t="s">
        <v>3183</v>
      </c>
      <c r="E342" s="2" t="s">
        <v>1831</v>
      </c>
      <c r="F342" s="2" t="s">
        <v>1092</v>
      </c>
      <c r="G342" s="2" t="s">
        <v>6039</v>
      </c>
      <c r="H342" s="2" t="s">
        <v>2016</v>
      </c>
      <c r="I342" s="2" t="s">
        <v>5920</v>
      </c>
      <c r="J342" s="2" t="s">
        <v>5933</v>
      </c>
      <c r="K342" s="3" t="b">
        <f>J342 = "blocking"</f>
        <v>1</v>
      </c>
      <c r="L342" s="2" t="s">
        <v>1428</v>
      </c>
      <c r="M342" s="2" t="s">
        <v>6040</v>
      </c>
      <c r="N342" s="4">
        <v>46223.1297337963</v>
      </c>
      <c r="O342" s="3" t="b">
        <f>L342 = "PASS"</f>
        <v>1</v>
      </c>
      <c r="P342" s="3" t="b">
        <f>L342 = "FAIL"</f>
        <v>0</v>
      </c>
      <c r="Q342" s="3" t="b">
        <f>AND(P342, K342)</f>
        <v>0</v>
      </c>
      <c r="R342" s="3" t="str">
        <f>IF(O342, I342, "")</f>
        <v>suite-substrate</v>
      </c>
      <c r="S342" s="3" t="str">
        <f>IF(Q342, I342, "")</f>
      </c>
      <c r="T342" s="2" t="s">
        <v>5935</v>
      </c>
    </row>
    <row r="343">
      <c r="A343" s="2" t="s">
        <v>6312</v>
      </c>
      <c r="B343" s="3" t="str">
        <f>C343 &amp; ": " &amp; D343</f>
        <v>formula-translates: KnowledgeFragments.IsUndefendableTacitClaim</v>
      </c>
      <c r="C343" s="2" t="s">
        <v>6038</v>
      </c>
      <c r="D343" s="2" t="s">
        <v>3185</v>
      </c>
      <c r="E343" s="2" t="s">
        <v>1831</v>
      </c>
      <c r="F343" s="2" t="s">
        <v>1093</v>
      </c>
      <c r="G343" s="2" t="s">
        <v>6039</v>
      </c>
      <c r="H343" s="2" t="s">
        <v>2016</v>
      </c>
      <c r="I343" s="2" t="s">
        <v>5920</v>
      </c>
      <c r="J343" s="2" t="s">
        <v>5933</v>
      </c>
      <c r="K343" s="3" t="b">
        <f>J343 = "blocking"</f>
        <v>1</v>
      </c>
      <c r="L343" s="2" t="s">
        <v>1428</v>
      </c>
      <c r="M343" s="2" t="s">
        <v>6040</v>
      </c>
      <c r="N343" s="4">
        <v>46223.1297337963</v>
      </c>
      <c r="O343" s="3" t="b">
        <f>L343 = "PASS"</f>
        <v>1</v>
      </c>
      <c r="P343" s="3" t="b">
        <f>L343 = "FAIL"</f>
        <v>0</v>
      </c>
      <c r="Q343" s="3" t="b">
        <f>AND(P343, K343)</f>
        <v>0</v>
      </c>
      <c r="R343" s="3" t="str">
        <f>IF(O343, I343, "")</f>
        <v>suite-substrate</v>
      </c>
      <c r="S343" s="3" t="str">
        <f>IF(Q343, I343, "")</f>
      </c>
      <c r="T343" s="2" t="s">
        <v>5935</v>
      </c>
    </row>
    <row r="344">
      <c r="A344" s="2" t="s">
        <v>6313</v>
      </c>
      <c r="B344" s="3" t="str">
        <f>C344 &amp; ": " &amp; D344</f>
        <v>formula-translates: KnowledgeFragments.IsApproved</v>
      </c>
      <c r="C344" s="2" t="s">
        <v>6038</v>
      </c>
      <c r="D344" s="2" t="s">
        <v>3187</v>
      </c>
      <c r="E344" s="2" t="s">
        <v>1831</v>
      </c>
      <c r="F344" s="2" t="s">
        <v>1094</v>
      </c>
      <c r="G344" s="2" t="s">
        <v>6039</v>
      </c>
      <c r="H344" s="2" t="s">
        <v>2020</v>
      </c>
      <c r="I344" s="2" t="s">
        <v>5920</v>
      </c>
      <c r="J344" s="2" t="s">
        <v>5933</v>
      </c>
      <c r="K344" s="3" t="b">
        <f>J344 = "blocking"</f>
        <v>1</v>
      </c>
      <c r="L344" s="2" t="s">
        <v>1428</v>
      </c>
      <c r="M344" s="2" t="s">
        <v>6040</v>
      </c>
      <c r="N344" s="4">
        <v>46223.1297337963</v>
      </c>
      <c r="O344" s="3" t="b">
        <f>L344 = "PASS"</f>
        <v>1</v>
      </c>
      <c r="P344" s="3" t="b">
        <f>L344 = "FAIL"</f>
        <v>0</v>
      </c>
      <c r="Q344" s="3" t="b">
        <f>AND(P344, K344)</f>
        <v>0</v>
      </c>
      <c r="R344" s="3" t="str">
        <f>IF(O344, I344, "")</f>
        <v>suite-substrate</v>
      </c>
      <c r="S344" s="3" t="str">
        <f>IF(Q344, I344, "")</f>
      </c>
      <c r="T344" s="2" t="s">
        <v>5935</v>
      </c>
    </row>
    <row r="345">
      <c r="A345" s="2" t="s">
        <v>6314</v>
      </c>
      <c r="B345" s="3" t="str">
        <f>C345 &amp; ": " &amp; D345</f>
        <v>formula-translates: KnowledgeFragments.IsWithinValidityWindow</v>
      </c>
      <c r="C345" s="2" t="s">
        <v>6038</v>
      </c>
      <c r="D345" s="2" t="s">
        <v>3189</v>
      </c>
      <c r="E345" s="2" t="s">
        <v>1831</v>
      </c>
      <c r="F345" s="2" t="s">
        <v>1095</v>
      </c>
      <c r="G345" s="2" t="s">
        <v>6039</v>
      </c>
      <c r="H345" s="2" t="s">
        <v>2020</v>
      </c>
      <c r="I345" s="2" t="s">
        <v>5920</v>
      </c>
      <c r="J345" s="2" t="s">
        <v>5933</v>
      </c>
      <c r="K345" s="3" t="b">
        <f>J345 = "blocking"</f>
        <v>1</v>
      </c>
      <c r="L345" s="2" t="s">
        <v>1428</v>
      </c>
      <c r="M345" s="2" t="s">
        <v>6040</v>
      </c>
      <c r="N345" s="4">
        <v>46223.1297337963</v>
      </c>
      <c r="O345" s="3" t="b">
        <f>L345 = "PASS"</f>
        <v>1</v>
      </c>
      <c r="P345" s="3" t="b">
        <f>L345 = "FAIL"</f>
        <v>0</v>
      </c>
      <c r="Q345" s="3" t="b">
        <f>AND(P345, K345)</f>
        <v>0</v>
      </c>
      <c r="R345" s="3" t="str">
        <f>IF(O345, I345, "")</f>
        <v>suite-substrate</v>
      </c>
      <c r="S345" s="3" t="str">
        <f>IF(Q345, I345, "")</f>
      </c>
      <c r="T345" s="2" t="s">
        <v>5935</v>
      </c>
    </row>
    <row r="346">
      <c r="A346" s="2" t="s">
        <v>6315</v>
      </c>
      <c r="B346" s="3" t="str">
        <f>C346 &amp; ": " &amp; D346</f>
        <v>formula-translates: KnowledgeFragments.IsReliedUpon</v>
      </c>
      <c r="C346" s="2" t="s">
        <v>6038</v>
      </c>
      <c r="D346" s="2" t="s">
        <v>3190</v>
      </c>
      <c r="E346" s="2" t="s">
        <v>1831</v>
      </c>
      <c r="F346" s="2" t="s">
        <v>1096</v>
      </c>
      <c r="G346" s="2" t="s">
        <v>6039</v>
      </c>
      <c r="H346" s="2" t="s">
        <v>2020</v>
      </c>
      <c r="I346" s="2" t="s">
        <v>5920</v>
      </c>
      <c r="J346" s="2" t="s">
        <v>5933</v>
      </c>
      <c r="K346" s="3" t="b">
        <f>J346 = "blocking"</f>
        <v>1</v>
      </c>
      <c r="L346" s="2" t="s">
        <v>1428</v>
      </c>
      <c r="M346" s="2" t="s">
        <v>6040</v>
      </c>
      <c r="N346" s="4">
        <v>46223.1297337963</v>
      </c>
      <c r="O346" s="3" t="b">
        <f>L346 = "PASS"</f>
        <v>1</v>
      </c>
      <c r="P346" s="3" t="b">
        <f>L346 = "FAIL"</f>
        <v>0</v>
      </c>
      <c r="Q346" s="3" t="b">
        <f>AND(P346, K346)</f>
        <v>0</v>
      </c>
      <c r="R346" s="3" t="str">
        <f>IF(O346, I346, "")</f>
        <v>suite-substrate</v>
      </c>
      <c r="S346" s="3" t="str">
        <f>IF(Q346, I346, "")</f>
      </c>
      <c r="T346" s="2" t="s">
        <v>5935</v>
      </c>
    </row>
    <row r="347">
      <c r="A347" s="2" t="s">
        <v>6316</v>
      </c>
      <c r="B347" s="3" t="str">
        <f>C347 &amp; ": " &amp; D347</f>
        <v>formula-translates: KnowledgeFragments.StepProcedureVersionStatus</v>
      </c>
      <c r="C347" s="2" t="s">
        <v>6038</v>
      </c>
      <c r="D347" s="2" t="s">
        <v>3192</v>
      </c>
      <c r="E347" s="2" t="s">
        <v>1831</v>
      </c>
      <c r="F347" s="2" t="s">
        <v>1097</v>
      </c>
      <c r="G347" s="2" t="s">
        <v>6039</v>
      </c>
      <c r="H347" s="2" t="s">
        <v>2020</v>
      </c>
      <c r="I347" s="2" t="s">
        <v>5920</v>
      </c>
      <c r="J347" s="2" t="s">
        <v>5933</v>
      </c>
      <c r="K347" s="3" t="b">
        <f>J347 = "blocking"</f>
        <v>1</v>
      </c>
      <c r="L347" s="2" t="s">
        <v>1428</v>
      </c>
      <c r="M347" s="2" t="s">
        <v>6040</v>
      </c>
      <c r="N347" s="4">
        <v>46223.1297337963</v>
      </c>
      <c r="O347" s="3" t="b">
        <f>L347 = "PASS"</f>
        <v>1</v>
      </c>
      <c r="P347" s="3" t="b">
        <f>L347 = "FAIL"</f>
        <v>0</v>
      </c>
      <c r="Q347" s="3" t="b">
        <f>AND(P347, K347)</f>
        <v>0</v>
      </c>
      <c r="R347" s="3" t="str">
        <f>IF(O347, I347, "")</f>
        <v>suite-substrate</v>
      </c>
      <c r="S347" s="3" t="str">
        <f>IF(Q347, I347, "")</f>
      </c>
      <c r="T347" s="2" t="s">
        <v>5935</v>
      </c>
    </row>
    <row r="348">
      <c r="A348" s="2" t="s">
        <v>6317</v>
      </c>
      <c r="B348" s="3" t="str">
        <f>C348 &amp; ": " &amp; D348</f>
        <v>formula-translates: KnowledgeFragments.IsAttachedToLiveVersion</v>
      </c>
      <c r="C348" s="2" t="s">
        <v>6038</v>
      </c>
      <c r="D348" s="2" t="s">
        <v>3194</v>
      </c>
      <c r="E348" s="2" t="s">
        <v>1831</v>
      </c>
      <c r="F348" s="2" t="s">
        <v>1098</v>
      </c>
      <c r="G348" s="2" t="s">
        <v>6039</v>
      </c>
      <c r="H348" s="2" t="s">
        <v>2020</v>
      </c>
      <c r="I348" s="2" t="s">
        <v>5920</v>
      </c>
      <c r="J348" s="2" t="s">
        <v>5933</v>
      </c>
      <c r="K348" s="3" t="b">
        <f>J348 = "blocking"</f>
        <v>1</v>
      </c>
      <c r="L348" s="2" t="s">
        <v>1428</v>
      </c>
      <c r="M348" s="2" t="s">
        <v>6040</v>
      </c>
      <c r="N348" s="4">
        <v>46223.1297337963</v>
      </c>
      <c r="O348" s="3" t="b">
        <f>L348 = "PASS"</f>
        <v>1</v>
      </c>
      <c r="P348" s="3" t="b">
        <f>L348 = "FAIL"</f>
        <v>0</v>
      </c>
      <c r="Q348" s="3" t="b">
        <f>AND(P348, K348)</f>
        <v>0</v>
      </c>
      <c r="R348" s="3" t="str">
        <f>IF(O348, I348, "")</f>
        <v>suite-substrate</v>
      </c>
      <c r="S348" s="3" t="str">
        <f>IF(Q348, I348, "")</f>
      </c>
      <c r="T348" s="2" t="s">
        <v>5935</v>
      </c>
    </row>
    <row r="349">
      <c r="A349" s="2" t="s">
        <v>6318</v>
      </c>
      <c r="B349" s="3" t="str">
        <f>C349 &amp; ": " &amp; D349</f>
        <v>formula-translates: KnowledgeFragments.IsUnapprovedButReliedOn</v>
      </c>
      <c r="C349" s="2" t="s">
        <v>6038</v>
      </c>
      <c r="D349" s="2" t="s">
        <v>3196</v>
      </c>
      <c r="E349" s="2" t="s">
        <v>1831</v>
      </c>
      <c r="F349" s="2" t="s">
        <v>1099</v>
      </c>
      <c r="G349" s="2" t="s">
        <v>6039</v>
      </c>
      <c r="H349" s="2" t="s">
        <v>2020</v>
      </c>
      <c r="I349" s="2" t="s">
        <v>5920</v>
      </c>
      <c r="J349" s="2" t="s">
        <v>5933</v>
      </c>
      <c r="K349" s="3" t="b">
        <f>J349 = "blocking"</f>
        <v>1</v>
      </c>
      <c r="L349" s="2" t="s">
        <v>1428</v>
      </c>
      <c r="M349" s="2" t="s">
        <v>6040</v>
      </c>
      <c r="N349" s="4">
        <v>46223.1297337963</v>
      </c>
      <c r="O349" s="3" t="b">
        <f>L349 = "PASS"</f>
        <v>1</v>
      </c>
      <c r="P349" s="3" t="b">
        <f>L349 = "FAIL"</f>
        <v>0</v>
      </c>
      <c r="Q349" s="3" t="b">
        <f>AND(P349, K349)</f>
        <v>0</v>
      </c>
      <c r="R349" s="3" t="str">
        <f>IF(O349, I349, "")</f>
        <v>suite-substrate</v>
      </c>
      <c r="S349" s="3" t="str">
        <f>IF(Q349, I349, "")</f>
      </c>
      <c r="T349" s="2" t="s">
        <v>5935</v>
      </c>
    </row>
    <row r="350">
      <c r="A350" s="2" t="s">
        <v>6319</v>
      </c>
      <c r="B350" s="3" t="str">
        <f>C350 &amp; ": " &amp; D350</f>
        <v>formula-translates: KnowledgeFragments.EvidenceAgeDays</v>
      </c>
      <c r="C350" s="2" t="s">
        <v>6038</v>
      </c>
      <c r="D350" s="2" t="s">
        <v>3198</v>
      </c>
      <c r="E350" s="2" t="s">
        <v>1831</v>
      </c>
      <c r="F350" s="2" t="s">
        <v>1100</v>
      </c>
      <c r="G350" s="2" t="s">
        <v>6039</v>
      </c>
      <c r="H350" s="2" t="s">
        <v>2024</v>
      </c>
      <c r="I350" s="2" t="s">
        <v>5920</v>
      </c>
      <c r="J350" s="2" t="s">
        <v>5933</v>
      </c>
      <c r="K350" s="3" t="b">
        <f>J350 = "blocking"</f>
        <v>1</v>
      </c>
      <c r="L350" s="2" t="s">
        <v>1428</v>
      </c>
      <c r="M350" s="2" t="s">
        <v>6040</v>
      </c>
      <c r="N350" s="4">
        <v>46223.1297337963</v>
      </c>
      <c r="O350" s="3" t="b">
        <f>L350 = "PASS"</f>
        <v>1</v>
      </c>
      <c r="P350" s="3" t="b">
        <f>L350 = "FAIL"</f>
        <v>0</v>
      </c>
      <c r="Q350" s="3" t="b">
        <f>AND(P350, K350)</f>
        <v>0</v>
      </c>
      <c r="R350" s="3" t="str">
        <f>IF(O350, I350, "")</f>
        <v>suite-substrate</v>
      </c>
      <c r="S350" s="3" t="str">
        <f>IF(Q350, I350, "")</f>
      </c>
      <c r="T350" s="2" t="s">
        <v>5935</v>
      </c>
    </row>
    <row r="351">
      <c r="A351" s="2" t="s">
        <v>6320</v>
      </c>
      <c r="B351" s="3" t="str">
        <f>C351 &amp; ": " &amp; D351</f>
        <v>formula-translates: KnowledgeFragments.HasRecordedElicitation</v>
      </c>
      <c r="C351" s="2" t="s">
        <v>6038</v>
      </c>
      <c r="D351" s="2" t="s">
        <v>3200</v>
      </c>
      <c r="E351" s="2" t="s">
        <v>1831</v>
      </c>
      <c r="F351" s="2" t="s">
        <v>1101</v>
      </c>
      <c r="G351" s="2" t="s">
        <v>6039</v>
      </c>
      <c r="H351" s="2" t="s">
        <v>2024</v>
      </c>
      <c r="I351" s="2" t="s">
        <v>5920</v>
      </c>
      <c r="J351" s="2" t="s">
        <v>5933</v>
      </c>
      <c r="K351" s="3" t="b">
        <f>J351 = "blocking"</f>
        <v>1</v>
      </c>
      <c r="L351" s="2" t="s">
        <v>1428</v>
      </c>
      <c r="M351" s="2" t="s">
        <v>6040</v>
      </c>
      <c r="N351" s="4">
        <v>46223.1297337963</v>
      </c>
      <c r="O351" s="3" t="b">
        <f>L351 = "PASS"</f>
        <v>1</v>
      </c>
      <c r="P351" s="3" t="b">
        <f>L351 = "FAIL"</f>
        <v>0</v>
      </c>
      <c r="Q351" s="3" t="b">
        <f>AND(P351, K351)</f>
        <v>0</v>
      </c>
      <c r="R351" s="3" t="str">
        <f>IF(O351, I351, "")</f>
        <v>suite-substrate</v>
      </c>
      <c r="S351" s="3" t="str">
        <f>IF(Q351, I351, "")</f>
      </c>
      <c r="T351" s="2" t="s">
        <v>5935</v>
      </c>
    </row>
    <row r="352">
      <c r="A352" s="2" t="s">
        <v>6321</v>
      </c>
      <c r="B352" s="3" t="str">
        <f>C352 &amp; ": " &amp; D352</f>
        <v>formula-translates: KnowledgeFragments.IsFromSingleWitness</v>
      </c>
      <c r="C352" s="2" t="s">
        <v>6038</v>
      </c>
      <c r="D352" s="2" t="s">
        <v>3202</v>
      </c>
      <c r="E352" s="2" t="s">
        <v>1831</v>
      </c>
      <c r="F352" s="2" t="s">
        <v>1102</v>
      </c>
      <c r="G352" s="2" t="s">
        <v>6039</v>
      </c>
      <c r="H352" s="2" t="s">
        <v>2024</v>
      </c>
      <c r="I352" s="2" t="s">
        <v>5920</v>
      </c>
      <c r="J352" s="2" t="s">
        <v>5933</v>
      </c>
      <c r="K352" s="3" t="b">
        <f>J352 = "blocking"</f>
        <v>1</v>
      </c>
      <c r="L352" s="2" t="s">
        <v>1428</v>
      </c>
      <c r="M352" s="2" t="s">
        <v>6040</v>
      </c>
      <c r="N352" s="4">
        <v>46223.1297337963</v>
      </c>
      <c r="O352" s="3" t="b">
        <f>L352 = "PASS"</f>
        <v>1</v>
      </c>
      <c r="P352" s="3" t="b">
        <f>L352 = "FAIL"</f>
        <v>0</v>
      </c>
      <c r="Q352" s="3" t="b">
        <f>AND(P352, K352)</f>
        <v>0</v>
      </c>
      <c r="R352" s="3" t="str">
        <f>IF(O352, I352, "")</f>
        <v>suite-substrate</v>
      </c>
      <c r="S352" s="3" t="str">
        <f>IF(Q352, I352, "")</f>
      </c>
      <c r="T352" s="2" t="s">
        <v>5935</v>
      </c>
    </row>
    <row r="353">
      <c r="A353" s="2" t="s">
        <v>6322</v>
      </c>
      <c r="B353" s="3" t="str">
        <f>C353 &amp; ": " &amp; D353</f>
        <v>formula-translates: KnowledgeFragments.EvidenceExpiryDays</v>
      </c>
      <c r="C353" s="2" t="s">
        <v>6038</v>
      </c>
      <c r="D353" s="2" t="s">
        <v>3204</v>
      </c>
      <c r="E353" s="2" t="s">
        <v>1831</v>
      </c>
      <c r="F353" s="2" t="s">
        <v>1103</v>
      </c>
      <c r="G353" s="2" t="s">
        <v>6039</v>
      </c>
      <c r="H353" s="2" t="s">
        <v>2024</v>
      </c>
      <c r="I353" s="2" t="s">
        <v>5920</v>
      </c>
      <c r="J353" s="2" t="s">
        <v>5933</v>
      </c>
      <c r="K353" s="3" t="b">
        <f>J353 = "blocking"</f>
        <v>1</v>
      </c>
      <c r="L353" s="2" t="s">
        <v>1428</v>
      </c>
      <c r="M353" s="2" t="s">
        <v>6040</v>
      </c>
      <c r="N353" s="4">
        <v>46223.1297337963</v>
      </c>
      <c r="O353" s="3" t="b">
        <f>L353 = "PASS"</f>
        <v>1</v>
      </c>
      <c r="P353" s="3" t="b">
        <f>L353 = "FAIL"</f>
        <v>0</v>
      </c>
      <c r="Q353" s="3" t="b">
        <f>AND(P353, K353)</f>
        <v>0</v>
      </c>
      <c r="R353" s="3" t="str">
        <f>IF(O353, I353, "")</f>
        <v>suite-substrate</v>
      </c>
      <c r="S353" s="3" t="str">
        <f>IF(Q353, I353, "")</f>
      </c>
      <c r="T353" s="2" t="s">
        <v>5935</v>
      </c>
    </row>
    <row r="354">
      <c r="A354" s="2" t="s">
        <v>6323</v>
      </c>
      <c r="B354" s="3" t="str">
        <f>C354 &amp; ": " &amp; D354</f>
        <v>formula-translates: KnowledgeFragments.EvidenceHasExpired</v>
      </c>
      <c r="C354" s="2" t="s">
        <v>6038</v>
      </c>
      <c r="D354" s="2" t="s">
        <v>3206</v>
      </c>
      <c r="E354" s="2" t="s">
        <v>1831</v>
      </c>
      <c r="F354" s="2" t="s">
        <v>1104</v>
      </c>
      <c r="G354" s="2" t="s">
        <v>6039</v>
      </c>
      <c r="H354" s="2" t="s">
        <v>2024</v>
      </c>
      <c r="I354" s="2" t="s">
        <v>5920</v>
      </c>
      <c r="J354" s="2" t="s">
        <v>5933</v>
      </c>
      <c r="K354" s="3" t="b">
        <f>J354 = "blocking"</f>
        <v>1</v>
      </c>
      <c r="L354" s="2" t="s">
        <v>1428</v>
      </c>
      <c r="M354" s="2" t="s">
        <v>6040</v>
      </c>
      <c r="N354" s="4">
        <v>46223.1297337963</v>
      </c>
      <c r="O354" s="3" t="b">
        <f>L354 = "PASS"</f>
        <v>1</v>
      </c>
      <c r="P354" s="3" t="b">
        <f>L354 = "FAIL"</f>
        <v>0</v>
      </c>
      <c r="Q354" s="3" t="b">
        <f>AND(P354, K354)</f>
        <v>0</v>
      </c>
      <c r="R354" s="3" t="str">
        <f>IF(O354, I354, "")</f>
        <v>suite-substrate</v>
      </c>
      <c r="S354" s="3" t="str">
        <f>IF(Q354, I354, "")</f>
      </c>
      <c r="T354" s="2" t="s">
        <v>5935</v>
      </c>
    </row>
    <row r="355">
      <c r="A355" s="2" t="s">
        <v>6324</v>
      </c>
      <c r="B355" s="3" t="str">
        <f>C355 &amp; ": " &amp; D355</f>
        <v>formula-translates: KnowledgeFragments.OwnerAgent</v>
      </c>
      <c r="C355" s="2" t="s">
        <v>6038</v>
      </c>
      <c r="D355" s="2" t="s">
        <v>3208</v>
      </c>
      <c r="E355" s="2" t="s">
        <v>1831</v>
      </c>
      <c r="F355" s="2" t="s">
        <v>1105</v>
      </c>
      <c r="G355" s="2" t="s">
        <v>6039</v>
      </c>
      <c r="H355" s="2" t="s">
        <v>2124</v>
      </c>
      <c r="I355" s="2" t="s">
        <v>5920</v>
      </c>
      <c r="J355" s="2" t="s">
        <v>5933</v>
      </c>
      <c r="K355" s="3" t="b">
        <f>J355 = "blocking"</f>
        <v>1</v>
      </c>
      <c r="L355" s="2" t="s">
        <v>1428</v>
      </c>
      <c r="M355" s="2" t="s">
        <v>6040</v>
      </c>
      <c r="N355" s="4">
        <v>46223.1297337963</v>
      </c>
      <c r="O355" s="3" t="b">
        <f>L355 = "PASS"</f>
        <v>1</v>
      </c>
      <c r="P355" s="3" t="b">
        <f>L355 = "FAIL"</f>
        <v>0</v>
      </c>
      <c r="Q355" s="3" t="b">
        <f>AND(P355, K355)</f>
        <v>0</v>
      </c>
      <c r="R355" s="3" t="str">
        <f>IF(O355, I355, "")</f>
        <v>suite-substrate</v>
      </c>
      <c r="S355" s="3" t="str">
        <f>IF(Q355, I355, "")</f>
      </c>
      <c r="T355" s="2" t="s">
        <v>5935</v>
      </c>
    </row>
    <row r="356">
      <c r="A356" s="2" t="s">
        <v>6325</v>
      </c>
      <c r="B356" s="3" t="str">
        <f>C356 &amp; ": " &amp; D356</f>
        <v>formula-translates: KnowledgeFragments.IsAwaitingApproval</v>
      </c>
      <c r="C356" s="2" t="s">
        <v>6038</v>
      </c>
      <c r="D356" s="2" t="s">
        <v>3210</v>
      </c>
      <c r="E356" s="2" t="s">
        <v>1831</v>
      </c>
      <c r="F356" s="2" t="s">
        <v>1106</v>
      </c>
      <c r="G356" s="2" t="s">
        <v>6039</v>
      </c>
      <c r="H356" s="2" t="s">
        <v>2124</v>
      </c>
      <c r="I356" s="2" t="s">
        <v>5920</v>
      </c>
      <c r="J356" s="2" t="s">
        <v>5933</v>
      </c>
      <c r="K356" s="3" t="b">
        <f>J356 = "blocking"</f>
        <v>1</v>
      </c>
      <c r="L356" s="2" t="s">
        <v>1428</v>
      </c>
      <c r="M356" s="2" t="s">
        <v>6040</v>
      </c>
      <c r="N356" s="4">
        <v>46223.1297337963</v>
      </c>
      <c r="O356" s="3" t="b">
        <f>L356 = "PASS"</f>
        <v>1</v>
      </c>
      <c r="P356" s="3" t="b">
        <f>L356 = "FAIL"</f>
        <v>0</v>
      </c>
      <c r="Q356" s="3" t="b">
        <f>AND(P356, K356)</f>
        <v>0</v>
      </c>
      <c r="R356" s="3" t="str">
        <f>IF(O356, I356, "")</f>
        <v>suite-substrate</v>
      </c>
      <c r="S356" s="3" t="str">
        <f>IF(Q356, I356, "")</f>
      </c>
      <c r="T356" s="2" t="s">
        <v>5935</v>
      </c>
    </row>
    <row r="357">
      <c r="A357" s="2" t="s">
        <v>6326</v>
      </c>
      <c r="B357" s="3" t="str">
        <f>C357 &amp; ": " &amp; D357</f>
        <v>formula-translates: KnowledgeFragments.OwnerIsMe</v>
      </c>
      <c r="C357" s="2" t="s">
        <v>6038</v>
      </c>
      <c r="D357" s="2" t="s">
        <v>3212</v>
      </c>
      <c r="E357" s="2" t="s">
        <v>1831</v>
      </c>
      <c r="F357" s="2" t="s">
        <v>1107</v>
      </c>
      <c r="G357" s="2" t="s">
        <v>6039</v>
      </c>
      <c r="H357" s="2" t="s">
        <v>2124</v>
      </c>
      <c r="I357" s="2" t="s">
        <v>5920</v>
      </c>
      <c r="J357" s="2" t="s">
        <v>5933</v>
      </c>
      <c r="K357" s="3" t="b">
        <f>J357 = "blocking"</f>
        <v>1</v>
      </c>
      <c r="L357" s="2" t="s">
        <v>1428</v>
      </c>
      <c r="M357" s="2" t="s">
        <v>6040</v>
      </c>
      <c r="N357" s="4">
        <v>46223.1297337963</v>
      </c>
      <c r="O357" s="3" t="b">
        <f>L357 = "PASS"</f>
        <v>1</v>
      </c>
      <c r="P357" s="3" t="b">
        <f>L357 = "FAIL"</f>
        <v>0</v>
      </c>
      <c r="Q357" s="3" t="b">
        <f>AND(P357, K357)</f>
        <v>0</v>
      </c>
      <c r="R357" s="3" t="str">
        <f>IF(O357, I357, "")</f>
        <v>suite-substrate</v>
      </c>
      <c r="S357" s="3" t="str">
        <f>IF(Q357, I357, "")</f>
      </c>
      <c r="T357" s="2" t="s">
        <v>5935</v>
      </c>
    </row>
    <row r="358">
      <c r="A358" s="2" t="s">
        <v>6327</v>
      </c>
      <c r="B358" s="3" t="str">
        <f>C358 &amp; ": " &amp; D358</f>
        <v>formula-translates: KnowledgeFragments.IsMyUnfinishedApproval</v>
      </c>
      <c r="C358" s="2" t="s">
        <v>6038</v>
      </c>
      <c r="D358" s="2" t="s">
        <v>3214</v>
      </c>
      <c r="E358" s="2" t="s">
        <v>1831</v>
      </c>
      <c r="F358" s="2" t="s">
        <v>1108</v>
      </c>
      <c r="G358" s="2" t="s">
        <v>6039</v>
      </c>
      <c r="H358" s="2" t="s">
        <v>2124</v>
      </c>
      <c r="I358" s="2" t="s">
        <v>5920</v>
      </c>
      <c r="J358" s="2" t="s">
        <v>5933</v>
      </c>
      <c r="K358" s="3" t="b">
        <f>J358 = "blocking"</f>
        <v>1</v>
      </c>
      <c r="L358" s="2" t="s">
        <v>1428</v>
      </c>
      <c r="M358" s="2" t="s">
        <v>6040</v>
      </c>
      <c r="N358" s="4">
        <v>46223.1297337963</v>
      </c>
      <c r="O358" s="3" t="b">
        <f>L358 = "PASS"</f>
        <v>1</v>
      </c>
      <c r="P358" s="3" t="b">
        <f>L358 = "FAIL"</f>
        <v>0</v>
      </c>
      <c r="Q358" s="3" t="b">
        <f>AND(P358, K358)</f>
        <v>0</v>
      </c>
      <c r="R358" s="3" t="str">
        <f>IF(O358, I358, "")</f>
        <v>suite-substrate</v>
      </c>
      <c r="S358" s="3" t="str">
        <f>IF(Q358, I358, "")</f>
      </c>
      <c r="T358" s="2" t="s">
        <v>5935</v>
      </c>
    </row>
    <row r="359">
      <c r="A359" s="2" t="s">
        <v>6328</v>
      </c>
      <c r="B359" s="3" t="str">
        <f>C359 &amp; ": " &amp; D359</f>
        <v>formula-translates: KnowledgeFragments.IsInvokedByAnException</v>
      </c>
      <c r="C359" s="2" t="s">
        <v>6038</v>
      </c>
      <c r="D359" s="2" t="s">
        <v>3216</v>
      </c>
      <c r="E359" s="2" t="s">
        <v>1831</v>
      </c>
      <c r="F359" s="2" t="s">
        <v>1109</v>
      </c>
      <c r="G359" s="2" t="s">
        <v>6039</v>
      </c>
      <c r="H359" s="2" t="s">
        <v>2124</v>
      </c>
      <c r="I359" s="2" t="s">
        <v>5920</v>
      </c>
      <c r="J359" s="2" t="s">
        <v>5933</v>
      </c>
      <c r="K359" s="3" t="b">
        <f>J359 = "blocking"</f>
        <v>1</v>
      </c>
      <c r="L359" s="2" t="s">
        <v>1428</v>
      </c>
      <c r="M359" s="2" t="s">
        <v>6040</v>
      </c>
      <c r="N359" s="4">
        <v>46223.1297337963</v>
      </c>
      <c r="O359" s="3" t="b">
        <f>L359 = "PASS"</f>
        <v>1</v>
      </c>
      <c r="P359" s="3" t="b">
        <f>L359 = "FAIL"</f>
        <v>0</v>
      </c>
      <c r="Q359" s="3" t="b">
        <f>AND(P359, K359)</f>
        <v>0</v>
      </c>
      <c r="R359" s="3" t="str">
        <f>IF(O359, I359, "")</f>
        <v>suite-substrate</v>
      </c>
      <c r="S359" s="3" t="str">
        <f>IF(Q359, I359, "")</f>
      </c>
      <c r="T359" s="2" t="s">
        <v>5935</v>
      </c>
    </row>
    <row r="360">
      <c r="A360" s="2" t="s">
        <v>6329</v>
      </c>
      <c r="B360" s="3" t="str">
        <f>C360 &amp; ": " &amp; D360</f>
        <v>formula-translates: KnowledgeFragments.HasOperationalReliance</v>
      </c>
      <c r="C360" s="2" t="s">
        <v>6038</v>
      </c>
      <c r="D360" s="2" t="s">
        <v>3218</v>
      </c>
      <c r="E360" s="2" t="s">
        <v>1831</v>
      </c>
      <c r="F360" s="2" t="s">
        <v>1110</v>
      </c>
      <c r="G360" s="2" t="s">
        <v>6039</v>
      </c>
      <c r="H360" s="2" t="s">
        <v>2124</v>
      </c>
      <c r="I360" s="2" t="s">
        <v>5920</v>
      </c>
      <c r="J360" s="2" t="s">
        <v>5933</v>
      </c>
      <c r="K360" s="3" t="b">
        <f>J360 = "blocking"</f>
        <v>1</v>
      </c>
      <c r="L360" s="2" t="s">
        <v>1428</v>
      </c>
      <c r="M360" s="2" t="s">
        <v>6040</v>
      </c>
      <c r="N360" s="4">
        <v>46223.1297337963</v>
      </c>
      <c r="O360" s="3" t="b">
        <f>L360 = "PASS"</f>
        <v>1</v>
      </c>
      <c r="P360" s="3" t="b">
        <f>L360 = "FAIL"</f>
        <v>0</v>
      </c>
      <c r="Q360" s="3" t="b">
        <f>AND(P360, K360)</f>
        <v>0</v>
      </c>
      <c r="R360" s="3" t="str">
        <f>IF(O360, I360, "")</f>
        <v>suite-substrate</v>
      </c>
      <c r="S360" s="3" t="str">
        <f>IF(Q360, I360, "")</f>
      </c>
      <c r="T360" s="2" t="s">
        <v>5935</v>
      </c>
    </row>
    <row r="361">
      <c r="A361" s="2" t="s">
        <v>6330</v>
      </c>
      <c r="B361" s="3" t="str">
        <f>C361 &amp; ": " &amp; D361</f>
        <v>formula-translates: KnowledgeFragments.IsUnapprovedAndOperationallyLive</v>
      </c>
      <c r="C361" s="2" t="s">
        <v>6038</v>
      </c>
      <c r="D361" s="2" t="s">
        <v>3220</v>
      </c>
      <c r="E361" s="2" t="s">
        <v>1831</v>
      </c>
      <c r="F361" s="2" t="s">
        <v>1111</v>
      </c>
      <c r="G361" s="2" t="s">
        <v>6039</v>
      </c>
      <c r="H361" s="2" t="s">
        <v>2124</v>
      </c>
      <c r="I361" s="2" t="s">
        <v>5920</v>
      </c>
      <c r="J361" s="2" t="s">
        <v>5933</v>
      </c>
      <c r="K361" s="3" t="b">
        <f>J361 = "blocking"</f>
        <v>1</v>
      </c>
      <c r="L361" s="2" t="s">
        <v>1428</v>
      </c>
      <c r="M361" s="2" t="s">
        <v>6040</v>
      </c>
      <c r="N361" s="4">
        <v>46223.1297337963</v>
      </c>
      <c r="O361" s="3" t="b">
        <f>L361 = "PASS"</f>
        <v>1</v>
      </c>
      <c r="P361" s="3" t="b">
        <f>L361 = "FAIL"</f>
        <v>0</v>
      </c>
      <c r="Q361" s="3" t="b">
        <f>AND(P361, K361)</f>
        <v>0</v>
      </c>
      <c r="R361" s="3" t="str">
        <f>IF(O361, I361, "")</f>
        <v>suite-substrate</v>
      </c>
      <c r="S361" s="3" t="str">
        <f>IF(Q361, I361, "")</f>
      </c>
      <c r="T361" s="2" t="s">
        <v>5935</v>
      </c>
    </row>
    <row r="362">
      <c r="A362" s="2" t="s">
        <v>6331</v>
      </c>
      <c r="B362" s="3" t="str">
        <f>C362 &amp; ": " &amp; D362</f>
        <v>formula-translates: KnowledgeFragments.AgeDays</v>
      </c>
      <c r="C362" s="2" t="s">
        <v>6038</v>
      </c>
      <c r="D362" s="2" t="s">
        <v>3222</v>
      </c>
      <c r="E362" s="2" t="s">
        <v>1831</v>
      </c>
      <c r="F362" s="2" t="s">
        <v>1112</v>
      </c>
      <c r="G362" s="2" t="s">
        <v>6039</v>
      </c>
      <c r="H362" s="2" t="s">
        <v>2132</v>
      </c>
      <c r="I362" s="2" t="s">
        <v>5920</v>
      </c>
      <c r="J362" s="2" t="s">
        <v>5933</v>
      </c>
      <c r="K362" s="3" t="b">
        <f>J362 = "blocking"</f>
        <v>1</v>
      </c>
      <c r="L362" s="2" t="s">
        <v>1428</v>
      </c>
      <c r="M362" s="2" t="s">
        <v>6040</v>
      </c>
      <c r="N362" s="4">
        <v>46223.1297337963</v>
      </c>
      <c r="O362" s="3" t="b">
        <f>L362 = "PASS"</f>
        <v>1</v>
      </c>
      <c r="P362" s="3" t="b">
        <f>L362 = "FAIL"</f>
        <v>0</v>
      </c>
      <c r="Q362" s="3" t="b">
        <f>AND(P362, K362)</f>
        <v>0</v>
      </c>
      <c r="R362" s="3" t="str">
        <f>IF(O362, I362, "")</f>
        <v>suite-substrate</v>
      </c>
      <c r="S362" s="3" t="str">
        <f>IF(Q362, I362, "")</f>
      </c>
      <c r="T362" s="2" t="s">
        <v>5935</v>
      </c>
    </row>
    <row r="363">
      <c r="A363" s="2" t="s">
        <v>6332</v>
      </c>
      <c r="B363" s="3" t="str">
        <f>C363 &amp; ": " &amp; D363</f>
        <v>formula-translates: KnowledgeFragments.IsLowConfidence</v>
      </c>
      <c r="C363" s="2" t="s">
        <v>6038</v>
      </c>
      <c r="D363" s="2" t="s">
        <v>3224</v>
      </c>
      <c r="E363" s="2" t="s">
        <v>1831</v>
      </c>
      <c r="F363" s="2" t="s">
        <v>1113</v>
      </c>
      <c r="G363" s="2" t="s">
        <v>6039</v>
      </c>
      <c r="H363" s="2" t="s">
        <v>2132</v>
      </c>
      <c r="I363" s="2" t="s">
        <v>5920</v>
      </c>
      <c r="J363" s="2" t="s">
        <v>5933</v>
      </c>
      <c r="K363" s="3" t="b">
        <f>J363 = "blocking"</f>
        <v>1</v>
      </c>
      <c r="L363" s="2" t="s">
        <v>1428</v>
      </c>
      <c r="M363" s="2" t="s">
        <v>6040</v>
      </c>
      <c r="N363" s="4">
        <v>46223.1297337963</v>
      </c>
      <c r="O363" s="3" t="b">
        <f>L363 = "PASS"</f>
        <v>1</v>
      </c>
      <c r="P363" s="3" t="b">
        <f>L363 = "FAIL"</f>
        <v>0</v>
      </c>
      <c r="Q363" s="3" t="b">
        <f>AND(P363, K363)</f>
        <v>0</v>
      </c>
      <c r="R363" s="3" t="str">
        <f>IF(O363, I363, "")</f>
        <v>suite-substrate</v>
      </c>
      <c r="S363" s="3" t="str">
        <f>IF(Q363, I363, "")</f>
      </c>
      <c r="T363" s="2" t="s">
        <v>5935</v>
      </c>
    </row>
    <row r="364">
      <c r="A364" s="2" t="s">
        <v>6333</v>
      </c>
      <c r="B364" s="3" t="str">
        <f>C364 &amp; ": " &amp; D364</f>
        <v>formula-translates: KnowledgeFragments.OwningVersionCadenceDays</v>
      </c>
      <c r="C364" s="2" t="s">
        <v>6038</v>
      </c>
      <c r="D364" s="2" t="s">
        <v>3226</v>
      </c>
      <c r="E364" s="2" t="s">
        <v>1831</v>
      </c>
      <c r="F364" s="2" t="s">
        <v>1114</v>
      </c>
      <c r="G364" s="2" t="s">
        <v>6039</v>
      </c>
      <c r="H364" s="2" t="s">
        <v>2132</v>
      </c>
      <c r="I364" s="2" t="s">
        <v>5920</v>
      </c>
      <c r="J364" s="2" t="s">
        <v>5933</v>
      </c>
      <c r="K364" s="3" t="b">
        <f>J364 = "blocking"</f>
        <v>1</v>
      </c>
      <c r="L364" s="2" t="s">
        <v>1428</v>
      </c>
      <c r="M364" s="2" t="s">
        <v>6040</v>
      </c>
      <c r="N364" s="4">
        <v>46223.1297337963</v>
      </c>
      <c r="O364" s="3" t="b">
        <f>L364 = "PASS"</f>
        <v>1</v>
      </c>
      <c r="P364" s="3" t="b">
        <f>L364 = "FAIL"</f>
        <v>0</v>
      </c>
      <c r="Q364" s="3" t="b">
        <f>AND(P364, K364)</f>
        <v>0</v>
      </c>
      <c r="R364" s="3" t="str">
        <f>IF(O364, I364, "")</f>
        <v>suite-substrate</v>
      </c>
      <c r="S364" s="3" t="str">
        <f>IF(Q364, I364, "")</f>
      </c>
      <c r="T364" s="2" t="s">
        <v>5935</v>
      </c>
    </row>
    <row r="365">
      <c r="A365" s="2" t="s">
        <v>6334</v>
      </c>
      <c r="B365" s="3" t="str">
        <f>C365 &amp; ": " &amp; D365</f>
        <v>formula-translates: KnowledgeFragments.ExceedsOwningCadence</v>
      </c>
      <c r="C365" s="2" t="s">
        <v>6038</v>
      </c>
      <c r="D365" s="2" t="s">
        <v>3228</v>
      </c>
      <c r="E365" s="2" t="s">
        <v>1831</v>
      </c>
      <c r="F365" s="2" t="s">
        <v>1115</v>
      </c>
      <c r="G365" s="2" t="s">
        <v>6039</v>
      </c>
      <c r="H365" s="2" t="s">
        <v>2132</v>
      </c>
      <c r="I365" s="2" t="s">
        <v>5920</v>
      </c>
      <c r="J365" s="2" t="s">
        <v>5933</v>
      </c>
      <c r="K365" s="3" t="b">
        <f>J365 = "blocking"</f>
        <v>1</v>
      </c>
      <c r="L365" s="2" t="s">
        <v>1428</v>
      </c>
      <c r="M365" s="2" t="s">
        <v>6040</v>
      </c>
      <c r="N365" s="4">
        <v>46223.1297337963</v>
      </c>
      <c r="O365" s="3" t="b">
        <f>L365 = "PASS"</f>
        <v>1</v>
      </c>
      <c r="P365" s="3" t="b">
        <f>L365 = "FAIL"</f>
        <v>0</v>
      </c>
      <c r="Q365" s="3" t="b">
        <f>AND(P365, K365)</f>
        <v>0</v>
      </c>
      <c r="R365" s="3" t="str">
        <f>IF(O365, I365, "")</f>
        <v>suite-substrate</v>
      </c>
      <c r="S365" s="3" t="str">
        <f>IF(Q365, I365, "")</f>
      </c>
      <c r="T365" s="2" t="s">
        <v>5935</v>
      </c>
    </row>
    <row r="366">
      <c r="A366" s="2" t="s">
        <v>6335</v>
      </c>
      <c r="B366" s="3" t="str">
        <f>C366 &amp; ": " &amp; D366</f>
        <v>formula-translates: KnowledgeFragments.IsAgingLowConfidenceClaim</v>
      </c>
      <c r="C366" s="2" t="s">
        <v>6038</v>
      </c>
      <c r="D366" s="2" t="s">
        <v>3230</v>
      </c>
      <c r="E366" s="2" t="s">
        <v>1831</v>
      </c>
      <c r="F366" s="2" t="s">
        <v>1116</v>
      </c>
      <c r="G366" s="2" t="s">
        <v>6039</v>
      </c>
      <c r="H366" s="2" t="s">
        <v>2132</v>
      </c>
      <c r="I366" s="2" t="s">
        <v>5920</v>
      </c>
      <c r="J366" s="2" t="s">
        <v>5933</v>
      </c>
      <c r="K366" s="3" t="b">
        <f>J366 = "blocking"</f>
        <v>1</v>
      </c>
      <c r="L366" s="2" t="s">
        <v>1428</v>
      </c>
      <c r="M366" s="2" t="s">
        <v>6040</v>
      </c>
      <c r="N366" s="4">
        <v>46223.1297337963</v>
      </c>
      <c r="O366" s="3" t="b">
        <f>L366 = "PASS"</f>
        <v>1</v>
      </c>
      <c r="P366" s="3" t="b">
        <f>L366 = "FAIL"</f>
        <v>0</v>
      </c>
      <c r="Q366" s="3" t="b">
        <f>AND(P366, K366)</f>
        <v>0</v>
      </c>
      <c r="R366" s="3" t="str">
        <f>IF(O366, I366, "")</f>
        <v>suite-substrate</v>
      </c>
      <c r="S366" s="3" t="str">
        <f>IF(Q366, I366, "")</f>
      </c>
      <c r="T366" s="2" t="s">
        <v>5935</v>
      </c>
    </row>
    <row r="367">
      <c r="A367" s="2" t="s">
        <v>6336</v>
      </c>
      <c r="B367" s="3" t="str">
        <f>C367 &amp; ": " &amp; D367</f>
        <v>formula-translates: KnowledgeFragments.OwnerRoleAgentKind</v>
      </c>
      <c r="C367" s="2" t="s">
        <v>6038</v>
      </c>
      <c r="D367" s="2" t="s">
        <v>3232</v>
      </c>
      <c r="E367" s="2" t="s">
        <v>1831</v>
      </c>
      <c r="F367" s="2" t="s">
        <v>1117</v>
      </c>
      <c r="G367" s="2" t="s">
        <v>6039</v>
      </c>
      <c r="H367" s="2" t="s">
        <v>2152</v>
      </c>
      <c r="I367" s="2" t="s">
        <v>5920</v>
      </c>
      <c r="J367" s="2" t="s">
        <v>5933</v>
      </c>
      <c r="K367" s="3" t="b">
        <f>J367 = "blocking"</f>
        <v>1</v>
      </c>
      <c r="L367" s="2" t="s">
        <v>1428</v>
      </c>
      <c r="M367" s="2" t="s">
        <v>6040</v>
      </c>
      <c r="N367" s="4">
        <v>46223.1297337963</v>
      </c>
      <c r="O367" s="3" t="b">
        <f>L367 = "PASS"</f>
        <v>1</v>
      </c>
      <c r="P367" s="3" t="b">
        <f>L367 = "FAIL"</f>
        <v>0</v>
      </c>
      <c r="Q367" s="3" t="b">
        <f>AND(P367, K367)</f>
        <v>0</v>
      </c>
      <c r="R367" s="3" t="str">
        <f>IF(O367, I367, "")</f>
        <v>suite-substrate</v>
      </c>
      <c r="S367" s="3" t="str">
        <f>IF(Q367, I367, "")</f>
      </c>
      <c r="T367" s="2" t="s">
        <v>5935</v>
      </c>
    </row>
    <row r="368">
      <c r="A368" s="2" t="s">
        <v>6337</v>
      </c>
      <c r="B368" s="3" t="str">
        <f>C368 &amp; ": " &amp; D368</f>
        <v>formula-translates: KnowledgeFragments.IsHumanOwned</v>
      </c>
      <c r="C368" s="2" t="s">
        <v>6038</v>
      </c>
      <c r="D368" s="2" t="s">
        <v>3234</v>
      </c>
      <c r="E368" s="2" t="s">
        <v>1831</v>
      </c>
      <c r="F368" s="2" t="s">
        <v>1118</v>
      </c>
      <c r="G368" s="2" t="s">
        <v>6039</v>
      </c>
      <c r="H368" s="2" t="s">
        <v>2152</v>
      </c>
      <c r="I368" s="2" t="s">
        <v>5920</v>
      </c>
      <c r="J368" s="2" t="s">
        <v>5933</v>
      </c>
      <c r="K368" s="3" t="b">
        <f>J368 = "blocking"</f>
        <v>1</v>
      </c>
      <c r="L368" s="2" t="s">
        <v>1428</v>
      </c>
      <c r="M368" s="2" t="s">
        <v>6040</v>
      </c>
      <c r="N368" s="4">
        <v>46223.1297337963</v>
      </c>
      <c r="O368" s="3" t="b">
        <f>L368 = "PASS"</f>
        <v>1</v>
      </c>
      <c r="P368" s="3" t="b">
        <f>L368 = "FAIL"</f>
        <v>0</v>
      </c>
      <c r="Q368" s="3" t="b">
        <f>AND(P368, K368)</f>
        <v>0</v>
      </c>
      <c r="R368" s="3" t="str">
        <f>IF(O368, I368, "")</f>
        <v>suite-substrate</v>
      </c>
      <c r="S368" s="3" t="str">
        <f>IF(Q368, I368, "")</f>
      </c>
      <c r="T368" s="2" t="s">
        <v>5935</v>
      </c>
    </row>
    <row r="369">
      <c r="A369" s="2" t="s">
        <v>6338</v>
      </c>
      <c r="B369" s="3" t="str">
        <f>C369 &amp; ": " &amp; D369</f>
        <v>formula-translates: KnowledgeFragments.IsAiValidatedByAi</v>
      </c>
      <c r="C369" s="2" t="s">
        <v>6038</v>
      </c>
      <c r="D369" s="2" t="s">
        <v>3236</v>
      </c>
      <c r="E369" s="2" t="s">
        <v>1831</v>
      </c>
      <c r="F369" s="2" t="s">
        <v>1119</v>
      </c>
      <c r="G369" s="2" t="s">
        <v>6039</v>
      </c>
      <c r="H369" s="2" t="s">
        <v>2152</v>
      </c>
      <c r="I369" s="2" t="s">
        <v>5920</v>
      </c>
      <c r="J369" s="2" t="s">
        <v>5933</v>
      </c>
      <c r="K369" s="3" t="b">
        <f>J369 = "blocking"</f>
        <v>1</v>
      </c>
      <c r="L369" s="2" t="s">
        <v>1428</v>
      </c>
      <c r="M369" s="2" t="s">
        <v>6040</v>
      </c>
      <c r="N369" s="4">
        <v>46223.1297337963</v>
      </c>
      <c r="O369" s="3" t="b">
        <f>L369 = "PASS"</f>
        <v>1</v>
      </c>
      <c r="P369" s="3" t="b">
        <f>L369 = "FAIL"</f>
        <v>0</v>
      </c>
      <c r="Q369" s="3" t="b">
        <f>AND(P369, K369)</f>
        <v>0</v>
      </c>
      <c r="R369" s="3" t="str">
        <f>IF(O369, I369, "")</f>
        <v>suite-substrate</v>
      </c>
      <c r="S369" s="3" t="str">
        <f>IF(Q369, I369, "")</f>
      </c>
      <c r="T369" s="2" t="s">
        <v>5935</v>
      </c>
    </row>
    <row r="370">
      <c r="A370" s="2" t="s">
        <v>6339</v>
      </c>
      <c r="B370" s="3" t="str">
        <f>C370 &amp; ": " &amp; D370</f>
        <v>formula-translates: KnowledgeFragments.ReviewCadenceDays</v>
      </c>
      <c r="C370" s="2" t="s">
        <v>6038</v>
      </c>
      <c r="D370" s="2" t="s">
        <v>3238</v>
      </c>
      <c r="E370" s="2" t="s">
        <v>1831</v>
      </c>
      <c r="F370" s="2" t="s">
        <v>1120</v>
      </c>
      <c r="G370" s="2" t="s">
        <v>6039</v>
      </c>
      <c r="H370" s="2" t="s">
        <v>2152</v>
      </c>
      <c r="I370" s="2" t="s">
        <v>5920</v>
      </c>
      <c r="J370" s="2" t="s">
        <v>5933</v>
      </c>
      <c r="K370" s="3" t="b">
        <f>J370 = "blocking"</f>
        <v>1</v>
      </c>
      <c r="L370" s="2" t="s">
        <v>1428</v>
      </c>
      <c r="M370" s="2" t="s">
        <v>6040</v>
      </c>
      <c r="N370" s="4">
        <v>46223.1297337963</v>
      </c>
      <c r="O370" s="3" t="b">
        <f>L370 = "PASS"</f>
        <v>1</v>
      </c>
      <c r="P370" s="3" t="b">
        <f>L370 = "FAIL"</f>
        <v>0</v>
      </c>
      <c r="Q370" s="3" t="b">
        <f>AND(P370, K370)</f>
        <v>0</v>
      </c>
      <c r="R370" s="3" t="str">
        <f>IF(O370, I370, "")</f>
        <v>suite-substrate</v>
      </c>
      <c r="S370" s="3" t="str">
        <f>IF(Q370, I370, "")</f>
      </c>
      <c r="T370" s="2" t="s">
        <v>5935</v>
      </c>
    </row>
    <row r="371">
      <c r="A371" s="2" t="s">
        <v>6340</v>
      </c>
      <c r="B371" s="3" t="str">
        <f>C371 &amp; ": " &amp; D371</f>
        <v>formula-translates: KnowledgeFragments.IsOverdueForReview</v>
      </c>
      <c r="C371" s="2" t="s">
        <v>6038</v>
      </c>
      <c r="D371" s="2" t="s">
        <v>3239</v>
      </c>
      <c r="E371" s="2" t="s">
        <v>1831</v>
      </c>
      <c r="F371" s="2" t="s">
        <v>1121</v>
      </c>
      <c r="G371" s="2" t="s">
        <v>6039</v>
      </c>
      <c r="H371" s="2" t="s">
        <v>2152</v>
      </c>
      <c r="I371" s="2" t="s">
        <v>5920</v>
      </c>
      <c r="J371" s="2" t="s">
        <v>5933</v>
      </c>
      <c r="K371" s="3" t="b">
        <f>J371 = "blocking"</f>
        <v>1</v>
      </c>
      <c r="L371" s="2" t="s">
        <v>1428</v>
      </c>
      <c r="M371" s="2" t="s">
        <v>6040</v>
      </c>
      <c r="N371" s="4">
        <v>46223.1297337963</v>
      </c>
      <c r="O371" s="3" t="b">
        <f>L371 = "PASS"</f>
        <v>1</v>
      </c>
      <c r="P371" s="3" t="b">
        <f>L371 = "FAIL"</f>
        <v>0</v>
      </c>
      <c r="Q371" s="3" t="b">
        <f>AND(P371, K371)</f>
        <v>0</v>
      </c>
      <c r="R371" s="3" t="str">
        <f>IF(O371, I371, "")</f>
        <v>suite-substrate</v>
      </c>
      <c r="S371" s="3" t="str">
        <f>IF(Q371, I371, "")</f>
      </c>
      <c r="T371" s="2" t="s">
        <v>5935</v>
      </c>
    </row>
    <row r="372">
      <c r="A372" s="2" t="s">
        <v>6341</v>
      </c>
      <c r="B372" s="3" t="str">
        <f>C372 &amp; ": " &amp; D372</f>
        <v>formula-translates: KnowledgeFragments.PredatesCurrentRoleHolder</v>
      </c>
      <c r="C372" s="2" t="s">
        <v>6038</v>
      </c>
      <c r="D372" s="2" t="s">
        <v>3241</v>
      </c>
      <c r="E372" s="2" t="s">
        <v>1831</v>
      </c>
      <c r="F372" s="2" t="s">
        <v>1122</v>
      </c>
      <c r="G372" s="2" t="s">
        <v>6039</v>
      </c>
      <c r="H372" s="2" t="s">
        <v>2152</v>
      </c>
      <c r="I372" s="2" t="s">
        <v>5920</v>
      </c>
      <c r="J372" s="2" t="s">
        <v>5933</v>
      </c>
      <c r="K372" s="3" t="b">
        <f>J372 = "blocking"</f>
        <v>1</v>
      </c>
      <c r="L372" s="2" t="s">
        <v>1428</v>
      </c>
      <c r="M372" s="2" t="s">
        <v>6040</v>
      </c>
      <c r="N372" s="4">
        <v>46223.1297337963</v>
      </c>
      <c r="O372" s="3" t="b">
        <f>L372 = "PASS"</f>
        <v>1</v>
      </c>
      <c r="P372" s="3" t="b">
        <f>L372 = "FAIL"</f>
        <v>0</v>
      </c>
      <c r="Q372" s="3" t="b">
        <f>AND(P372, K372)</f>
        <v>0</v>
      </c>
      <c r="R372" s="3" t="str">
        <f>IF(O372, I372, "")</f>
        <v>suite-substrate</v>
      </c>
      <c r="S372" s="3" t="str">
        <f>IF(Q372, I372, "")</f>
      </c>
      <c r="T372" s="2" t="s">
        <v>5935</v>
      </c>
    </row>
    <row r="373">
      <c r="A373" s="2" t="s">
        <v>6342</v>
      </c>
      <c r="B373" s="3" t="str">
        <f>C373 &amp; ": " &amp; D373</f>
        <v>formula-translates: KnowledgeFragments.OwnerRoleAssignmentValidFrom</v>
      </c>
      <c r="C373" s="2" t="s">
        <v>6038</v>
      </c>
      <c r="D373" s="2" t="s">
        <v>3243</v>
      </c>
      <c r="E373" s="2" t="s">
        <v>1831</v>
      </c>
      <c r="F373" s="2" t="s">
        <v>1123</v>
      </c>
      <c r="G373" s="2" t="s">
        <v>6039</v>
      </c>
      <c r="H373" s="2" t="s">
        <v>2152</v>
      </c>
      <c r="I373" s="2" t="s">
        <v>5920</v>
      </c>
      <c r="J373" s="2" t="s">
        <v>5933</v>
      </c>
      <c r="K373" s="3" t="b">
        <f>J373 = "blocking"</f>
        <v>1</v>
      </c>
      <c r="L373" s="2" t="s">
        <v>1428</v>
      </c>
      <c r="M373" s="2" t="s">
        <v>6040</v>
      </c>
      <c r="N373" s="4">
        <v>46223.1297337963</v>
      </c>
      <c r="O373" s="3" t="b">
        <f>L373 = "PASS"</f>
        <v>1</v>
      </c>
      <c r="P373" s="3" t="b">
        <f>L373 = "FAIL"</f>
        <v>0</v>
      </c>
      <c r="Q373" s="3" t="b">
        <f>AND(P373, K373)</f>
        <v>0</v>
      </c>
      <c r="R373" s="3" t="str">
        <f>IF(O373, I373, "")</f>
        <v>suite-substrate</v>
      </c>
      <c r="S373" s="3" t="str">
        <f>IF(Q373, I373, "")</f>
      </c>
      <c r="T373" s="2" t="s">
        <v>5935</v>
      </c>
    </row>
    <row r="374">
      <c r="A374" s="2" t="s">
        <v>6343</v>
      </c>
      <c r="B374" s="3" t="str">
        <f>C374 &amp; ": " &amp; D374</f>
        <v>formula-translates: KnowledgeFragments.FragilitySignalCount</v>
      </c>
      <c r="C374" s="2" t="s">
        <v>6038</v>
      </c>
      <c r="D374" s="2" t="s">
        <v>3246</v>
      </c>
      <c r="E374" s="2" t="s">
        <v>1831</v>
      </c>
      <c r="F374" s="2" t="s">
        <v>1125</v>
      </c>
      <c r="G374" s="2" t="s">
        <v>6039</v>
      </c>
      <c r="H374" s="2" t="s">
        <v>2176</v>
      </c>
      <c r="I374" s="2" t="s">
        <v>5920</v>
      </c>
      <c r="J374" s="2" t="s">
        <v>5933</v>
      </c>
      <c r="K374" s="3" t="b">
        <f>J374 = "blocking"</f>
        <v>1</v>
      </c>
      <c r="L374" s="2" t="s">
        <v>1428</v>
      </c>
      <c r="M374" s="2" t="s">
        <v>6040</v>
      </c>
      <c r="N374" s="4">
        <v>46223.1297337963</v>
      </c>
      <c r="O374" s="3" t="b">
        <f>L374 = "PASS"</f>
        <v>1</v>
      </c>
      <c r="P374" s="3" t="b">
        <f>L374 = "FAIL"</f>
        <v>0</v>
      </c>
      <c r="Q374" s="3" t="b">
        <f>AND(P374, K374)</f>
        <v>0</v>
      </c>
      <c r="R374" s="3" t="str">
        <f>IF(O374, I374, "")</f>
        <v>suite-substrate</v>
      </c>
      <c r="S374" s="3" t="str">
        <f>IF(Q374, I374, "")</f>
      </c>
      <c r="T374" s="2" t="s">
        <v>5935</v>
      </c>
    </row>
    <row r="375">
      <c r="A375" s="2" t="s">
        <v>6344</v>
      </c>
      <c r="B375" s="3" t="str">
        <f>C375 &amp; ": " &amp; D375</f>
        <v>formula-translates: KnowledgeFragments.IsCompoundFragile</v>
      </c>
      <c r="C375" s="2" t="s">
        <v>6038</v>
      </c>
      <c r="D375" s="2" t="s">
        <v>3248</v>
      </c>
      <c r="E375" s="2" t="s">
        <v>1831</v>
      </c>
      <c r="F375" s="2" t="s">
        <v>1126</v>
      </c>
      <c r="G375" s="2" t="s">
        <v>6039</v>
      </c>
      <c r="H375" s="2" t="s">
        <v>2176</v>
      </c>
      <c r="I375" s="2" t="s">
        <v>5920</v>
      </c>
      <c r="J375" s="2" t="s">
        <v>5933</v>
      </c>
      <c r="K375" s="3" t="b">
        <f>J375 = "blocking"</f>
        <v>1</v>
      </c>
      <c r="L375" s="2" t="s">
        <v>1428</v>
      </c>
      <c r="M375" s="2" t="s">
        <v>6040</v>
      </c>
      <c r="N375" s="4">
        <v>46223.1297337963</v>
      </c>
      <c r="O375" s="3" t="b">
        <f>L375 = "PASS"</f>
        <v>1</v>
      </c>
      <c r="P375" s="3" t="b">
        <f>L375 = "FAIL"</f>
        <v>0</v>
      </c>
      <c r="Q375" s="3" t="b">
        <f>AND(P375, K375)</f>
        <v>0</v>
      </c>
      <c r="R375" s="3" t="str">
        <f>IF(O375, I375, "")</f>
        <v>suite-substrate</v>
      </c>
      <c r="S375" s="3" t="str">
        <f>IF(Q375, I375, "")</f>
      </c>
      <c r="T375" s="2" t="s">
        <v>5935</v>
      </c>
    </row>
    <row r="376">
      <c r="A376" s="2" t="s">
        <v>6345</v>
      </c>
      <c r="B376" s="3" t="str">
        <f>C376 &amp; ": " &amp; D376</f>
        <v>formula-translates: KnowledgeFragments.IsSinglePointOfFailure</v>
      </c>
      <c r="C376" s="2" t="s">
        <v>6038</v>
      </c>
      <c r="D376" s="2" t="s">
        <v>3250</v>
      </c>
      <c r="E376" s="2" t="s">
        <v>1831</v>
      </c>
      <c r="F376" s="2" t="s">
        <v>1127</v>
      </c>
      <c r="G376" s="2" t="s">
        <v>6039</v>
      </c>
      <c r="H376" s="2" t="s">
        <v>2176</v>
      </c>
      <c r="I376" s="2" t="s">
        <v>5920</v>
      </c>
      <c r="J376" s="2" t="s">
        <v>5933</v>
      </c>
      <c r="K376" s="3" t="b">
        <f>J376 = "blocking"</f>
        <v>1</v>
      </c>
      <c r="L376" s="2" t="s">
        <v>1428</v>
      </c>
      <c r="M376" s="2" t="s">
        <v>6040</v>
      </c>
      <c r="N376" s="4">
        <v>46223.1297337963</v>
      </c>
      <c r="O376" s="3" t="b">
        <f>L376 = "PASS"</f>
        <v>1</v>
      </c>
      <c r="P376" s="3" t="b">
        <f>L376 = "FAIL"</f>
        <v>0</v>
      </c>
      <c r="Q376" s="3" t="b">
        <f>AND(P376, K376)</f>
        <v>0</v>
      </c>
      <c r="R376" s="3" t="str">
        <f>IF(O376, I376, "")</f>
        <v>suite-substrate</v>
      </c>
      <c r="S376" s="3" t="str">
        <f>IF(Q376, I376, "")</f>
      </c>
      <c r="T376" s="2" t="s">
        <v>5935</v>
      </c>
    </row>
    <row r="377">
      <c r="A377" s="2" t="s">
        <v>6346</v>
      </c>
      <c r="B377" s="3" t="str">
        <f>C377 &amp; ": " &amp; D377</f>
        <v>formula-translates: KnowledgeFragments.IsExpiringSinglePointOfFailure</v>
      </c>
      <c r="C377" s="2" t="s">
        <v>6038</v>
      </c>
      <c r="D377" s="2" t="s">
        <v>3252</v>
      </c>
      <c r="E377" s="2" t="s">
        <v>1831</v>
      </c>
      <c r="F377" s="2" t="s">
        <v>1128</v>
      </c>
      <c r="G377" s="2" t="s">
        <v>6039</v>
      </c>
      <c r="H377" s="2" t="s">
        <v>2176</v>
      </c>
      <c r="I377" s="2" t="s">
        <v>5920</v>
      </c>
      <c r="J377" s="2" t="s">
        <v>5933</v>
      </c>
      <c r="K377" s="3" t="b">
        <f>J377 = "blocking"</f>
        <v>1</v>
      </c>
      <c r="L377" s="2" t="s">
        <v>1428</v>
      </c>
      <c r="M377" s="2" t="s">
        <v>6040</v>
      </c>
      <c r="N377" s="4">
        <v>46223.1297337963</v>
      </c>
      <c r="O377" s="3" t="b">
        <f>L377 = "PASS"</f>
        <v>1</v>
      </c>
      <c r="P377" s="3" t="b">
        <f>L377 = "FAIL"</f>
        <v>0</v>
      </c>
      <c r="Q377" s="3" t="b">
        <f>AND(P377, K377)</f>
        <v>0</v>
      </c>
      <c r="R377" s="3" t="str">
        <f>IF(O377, I377, "")</f>
        <v>suite-substrate</v>
      </c>
      <c r="S377" s="3" t="str">
        <f>IF(Q377, I377, "")</f>
      </c>
      <c r="T377" s="2" t="s">
        <v>5935</v>
      </c>
    </row>
    <row r="378">
      <c r="A378" s="2" t="s">
        <v>6347</v>
      </c>
      <c r="B378" s="3" t="str">
        <f>C378 &amp; ": " &amp; D378</f>
        <v>formula-translates: KnowledgeFragments.CompoundFragileVersionKey</v>
      </c>
      <c r="C378" s="2" t="s">
        <v>6038</v>
      </c>
      <c r="D378" s="2" t="s">
        <v>3254</v>
      </c>
      <c r="E378" s="2" t="s">
        <v>1831</v>
      </c>
      <c r="F378" s="2" t="s">
        <v>1129</v>
      </c>
      <c r="G378" s="2" t="s">
        <v>6039</v>
      </c>
      <c r="H378" s="2" t="s">
        <v>2176</v>
      </c>
      <c r="I378" s="2" t="s">
        <v>5920</v>
      </c>
      <c r="J378" s="2" t="s">
        <v>5933</v>
      </c>
      <c r="K378" s="3" t="b">
        <f>J378 = "blocking"</f>
        <v>1</v>
      </c>
      <c r="L378" s="2" t="s">
        <v>1428</v>
      </c>
      <c r="M378" s="2" t="s">
        <v>6040</v>
      </c>
      <c r="N378" s="4">
        <v>46223.1297337963</v>
      </c>
      <c r="O378" s="3" t="b">
        <f>L378 = "PASS"</f>
        <v>1</v>
      </c>
      <c r="P378" s="3" t="b">
        <f>L378 = "FAIL"</f>
        <v>0</v>
      </c>
      <c r="Q378" s="3" t="b">
        <f>AND(P378, K378)</f>
        <v>0</v>
      </c>
      <c r="R378" s="3" t="str">
        <f>IF(O378, I378, "")</f>
        <v>suite-substrate</v>
      </c>
      <c r="S378" s="3" t="str">
        <f>IF(Q378, I378, "")</f>
      </c>
      <c r="T378" s="2" t="s">
        <v>5935</v>
      </c>
    </row>
    <row r="379">
      <c r="A379" s="2" t="s">
        <v>6348</v>
      </c>
      <c r="B379" s="3" t="str">
        <f>C379 &amp; ": " &amp; D379</f>
        <v>formula-translates: KnowledgeFragments.ValidFragmentSessionKey</v>
      </c>
      <c r="C379" s="2" t="s">
        <v>6038</v>
      </c>
      <c r="D379" s="2" t="s">
        <v>3256</v>
      </c>
      <c r="E379" s="2" t="s">
        <v>1831</v>
      </c>
      <c r="F379" s="2" t="s">
        <v>1130</v>
      </c>
      <c r="G379" s="2" t="s">
        <v>6039</v>
      </c>
      <c r="H379" s="2" t="s">
        <v>2184</v>
      </c>
      <c r="I379" s="2" t="s">
        <v>5920</v>
      </c>
      <c r="J379" s="2" t="s">
        <v>5933</v>
      </c>
      <c r="K379" s="3" t="b">
        <f>J379 = "blocking"</f>
        <v>1</v>
      </c>
      <c r="L379" s="2" t="s">
        <v>1428</v>
      </c>
      <c r="M379" s="2" t="s">
        <v>6040</v>
      </c>
      <c r="N379" s="4">
        <v>46223.1297337963</v>
      </c>
      <c r="O379" s="3" t="b">
        <f>L379 = "PASS"</f>
        <v>1</v>
      </c>
      <c r="P379" s="3" t="b">
        <f>L379 = "FAIL"</f>
        <v>0</v>
      </c>
      <c r="Q379" s="3" t="b">
        <f>AND(P379, K379)</f>
        <v>0</v>
      </c>
      <c r="R379" s="3" t="str">
        <f>IF(O379, I379, "")</f>
        <v>suite-substrate</v>
      </c>
      <c r="S379" s="3" t="str">
        <f>IF(Q379, I379, "")</f>
      </c>
      <c r="T379" s="2" t="s">
        <v>5935</v>
      </c>
    </row>
    <row r="380">
      <c r="A380" s="2" t="s">
        <v>6349</v>
      </c>
      <c r="B380" s="3" t="str">
        <f>C380 &amp; ": " &amp; D380</f>
        <v>formula-translates: KnowledgeFragments.ConsumingStepIsSoftwareAssigned</v>
      </c>
      <c r="C380" s="2" t="s">
        <v>6038</v>
      </c>
      <c r="D380" s="2" t="s">
        <v>3258</v>
      </c>
      <c r="E380" s="2" t="s">
        <v>1831</v>
      </c>
      <c r="F380" s="2" t="s">
        <v>1131</v>
      </c>
      <c r="G380" s="2" t="s">
        <v>6039</v>
      </c>
      <c r="H380" s="2" t="s">
        <v>2188</v>
      </c>
      <c r="I380" s="2" t="s">
        <v>5920</v>
      </c>
      <c r="J380" s="2" t="s">
        <v>5933</v>
      </c>
      <c r="K380" s="3" t="b">
        <f>J380 = "blocking"</f>
        <v>1</v>
      </c>
      <c r="L380" s="2" t="s">
        <v>1428</v>
      </c>
      <c r="M380" s="2" t="s">
        <v>6040</v>
      </c>
      <c r="N380" s="4">
        <v>46223.1297337963</v>
      </c>
      <c r="O380" s="3" t="b">
        <f>L380 = "PASS"</f>
        <v>1</v>
      </c>
      <c r="P380" s="3" t="b">
        <f>L380 = "FAIL"</f>
        <v>0</v>
      </c>
      <c r="Q380" s="3" t="b">
        <f>AND(P380, K380)</f>
        <v>0</v>
      </c>
      <c r="R380" s="3" t="str">
        <f>IF(O380, I380, "")</f>
        <v>suite-substrate</v>
      </c>
      <c r="S380" s="3" t="str">
        <f>IF(Q380, I380, "")</f>
      </c>
      <c r="T380" s="2" t="s">
        <v>5935</v>
      </c>
    </row>
    <row r="381">
      <c r="A381" s="2" t="s">
        <v>6350</v>
      </c>
      <c r="B381" s="3" t="str">
        <f>C381 &amp; ": " &amp; D381</f>
        <v>formula-translates: KnowledgeFragments.ConsumingStepAgentKind</v>
      </c>
      <c r="C381" s="2" t="s">
        <v>6038</v>
      </c>
      <c r="D381" s="2" t="s">
        <v>3260</v>
      </c>
      <c r="E381" s="2" t="s">
        <v>1831</v>
      </c>
      <c r="F381" s="2" t="s">
        <v>1132</v>
      </c>
      <c r="G381" s="2" t="s">
        <v>6039</v>
      </c>
      <c r="H381" s="2" t="s">
        <v>2188</v>
      </c>
      <c r="I381" s="2" t="s">
        <v>5920</v>
      </c>
      <c r="J381" s="2" t="s">
        <v>5933</v>
      </c>
      <c r="K381" s="3" t="b">
        <f>J381 = "blocking"</f>
        <v>1</v>
      </c>
      <c r="L381" s="2" t="s">
        <v>1428</v>
      </c>
      <c r="M381" s="2" t="s">
        <v>6040</v>
      </c>
      <c r="N381" s="4">
        <v>46223.1297337963</v>
      </c>
      <c r="O381" s="3" t="b">
        <f>L381 = "PASS"</f>
        <v>1</v>
      </c>
      <c r="P381" s="3" t="b">
        <f>L381 = "FAIL"</f>
        <v>0</v>
      </c>
      <c r="Q381" s="3" t="b">
        <f>AND(P381, K381)</f>
        <v>0</v>
      </c>
      <c r="R381" s="3" t="str">
        <f>IF(O381, I381, "")</f>
        <v>suite-substrate</v>
      </c>
      <c r="S381" s="3" t="str">
        <f>IF(Q381, I381, "")</f>
      </c>
      <c r="T381" s="2" t="s">
        <v>5935</v>
      </c>
    </row>
    <row r="382">
      <c r="A382" s="2" t="s">
        <v>6351</v>
      </c>
      <c r="B382" s="3" t="str">
        <f>C382 &amp; ": " &amp; D382</f>
        <v>formula-translates: KnowledgeFragments.IsUnapprovedAndMachineConsumed</v>
      </c>
      <c r="C382" s="2" t="s">
        <v>6038</v>
      </c>
      <c r="D382" s="2" t="s">
        <v>3262</v>
      </c>
      <c r="E382" s="2" t="s">
        <v>1831</v>
      </c>
      <c r="F382" s="2" t="s">
        <v>1133</v>
      </c>
      <c r="G382" s="2" t="s">
        <v>6039</v>
      </c>
      <c r="H382" s="2" t="s">
        <v>2188</v>
      </c>
      <c r="I382" s="2" t="s">
        <v>5920</v>
      </c>
      <c r="J382" s="2" t="s">
        <v>5933</v>
      </c>
      <c r="K382" s="3" t="b">
        <f>J382 = "blocking"</f>
        <v>1</v>
      </c>
      <c r="L382" s="2" t="s">
        <v>1428</v>
      </c>
      <c r="M382" s="2" t="s">
        <v>6040</v>
      </c>
      <c r="N382" s="4">
        <v>46223.1297337963</v>
      </c>
      <c r="O382" s="3" t="b">
        <f>L382 = "PASS"</f>
        <v>1</v>
      </c>
      <c r="P382" s="3" t="b">
        <f>L382 = "FAIL"</f>
        <v>0</v>
      </c>
      <c r="Q382" s="3" t="b">
        <f>AND(P382, K382)</f>
        <v>0</v>
      </c>
      <c r="R382" s="3" t="str">
        <f>IF(O382, I382, "")</f>
        <v>suite-substrate</v>
      </c>
      <c r="S382" s="3" t="str">
        <f>IF(Q382, I382, "")</f>
      </c>
      <c r="T382" s="2" t="s">
        <v>5935</v>
      </c>
    </row>
    <row r="383">
      <c r="A383" s="2" t="s">
        <v>6352</v>
      </c>
      <c r="B383" s="3" t="str">
        <f>C383 &amp; ": " &amp; D383</f>
        <v>formula-translates: KnowledgeFragments.IsUnapprovedAndHumanConsumed</v>
      </c>
      <c r="C383" s="2" t="s">
        <v>6038</v>
      </c>
      <c r="D383" s="2" t="s">
        <v>3264</v>
      </c>
      <c r="E383" s="2" t="s">
        <v>1831</v>
      </c>
      <c r="F383" s="2" t="s">
        <v>1134</v>
      </c>
      <c r="G383" s="2" t="s">
        <v>6039</v>
      </c>
      <c r="H383" s="2" t="s">
        <v>2188</v>
      </c>
      <c r="I383" s="2" t="s">
        <v>5920</v>
      </c>
      <c r="J383" s="2" t="s">
        <v>5933</v>
      </c>
      <c r="K383" s="3" t="b">
        <f>J383 = "blocking"</f>
        <v>1</v>
      </c>
      <c r="L383" s="2" t="s">
        <v>1428</v>
      </c>
      <c r="M383" s="2" t="s">
        <v>6040</v>
      </c>
      <c r="N383" s="4">
        <v>46223.1297337963</v>
      </c>
      <c r="O383" s="3" t="b">
        <f>L383 = "PASS"</f>
        <v>1</v>
      </c>
      <c r="P383" s="3" t="b">
        <f>L383 = "FAIL"</f>
        <v>0</v>
      </c>
      <c r="Q383" s="3" t="b">
        <f>AND(P383, K383)</f>
        <v>0</v>
      </c>
      <c r="R383" s="3" t="str">
        <f>IF(O383, I383, "")</f>
        <v>suite-substrate</v>
      </c>
      <c r="S383" s="3" t="str">
        <f>IF(Q383, I383, "")</f>
      </c>
      <c r="T383" s="2" t="s">
        <v>5935</v>
      </c>
    </row>
    <row r="384">
      <c r="A384" s="2" t="s">
        <v>6353</v>
      </c>
      <c r="B384" s="3" t="str">
        <f>C384 &amp; ": " &amp; D384</f>
        <v>formula-translates: KnowledgeFragments.MachineConsumedUnapprovedVersionKey</v>
      </c>
      <c r="C384" s="2" t="s">
        <v>6038</v>
      </c>
      <c r="D384" s="2" t="s">
        <v>3266</v>
      </c>
      <c r="E384" s="2" t="s">
        <v>1831</v>
      </c>
      <c r="F384" s="2" t="s">
        <v>1135</v>
      </c>
      <c r="G384" s="2" t="s">
        <v>6039</v>
      </c>
      <c r="H384" s="2" t="s">
        <v>2188</v>
      </c>
      <c r="I384" s="2" t="s">
        <v>5920</v>
      </c>
      <c r="J384" s="2" t="s">
        <v>5933</v>
      </c>
      <c r="K384" s="3" t="b">
        <f>J384 = "blocking"</f>
        <v>1</v>
      </c>
      <c r="L384" s="2" t="s">
        <v>1428</v>
      </c>
      <c r="M384" s="2" t="s">
        <v>6040</v>
      </c>
      <c r="N384" s="4">
        <v>46223.1297337963</v>
      </c>
      <c r="O384" s="3" t="b">
        <f>L384 = "PASS"</f>
        <v>1</v>
      </c>
      <c r="P384" s="3" t="b">
        <f>L384 = "FAIL"</f>
        <v>0</v>
      </c>
      <c r="Q384" s="3" t="b">
        <f>AND(P384, K384)</f>
        <v>0</v>
      </c>
      <c r="R384" s="3" t="str">
        <f>IF(O384, I384, "")</f>
        <v>suite-substrate</v>
      </c>
      <c r="S384" s="3" t="str">
        <f>IF(Q384, I384, "")</f>
      </c>
      <c r="T384" s="2" t="s">
        <v>5935</v>
      </c>
    </row>
    <row r="385">
      <c r="A385" s="2" t="s">
        <v>6354</v>
      </c>
      <c r="B385" s="3" t="str">
        <f>C385 &amp; ": " &amp; D385</f>
        <v>formula-translates: KnowledgeFragments.HasReviewRecord</v>
      </c>
      <c r="C385" s="2" t="s">
        <v>6038</v>
      </c>
      <c r="D385" s="2" t="s">
        <v>3268</v>
      </c>
      <c r="E385" s="2" t="s">
        <v>1831</v>
      </c>
      <c r="F385" s="2" t="s">
        <v>1136</v>
      </c>
      <c r="G385" s="2" t="s">
        <v>6039</v>
      </c>
      <c r="H385" s="2" t="s">
        <v>2192</v>
      </c>
      <c r="I385" s="2" t="s">
        <v>5920</v>
      </c>
      <c r="J385" s="2" t="s">
        <v>5933</v>
      </c>
      <c r="K385" s="3" t="b">
        <f>J385 = "blocking"</f>
        <v>1</v>
      </c>
      <c r="L385" s="2" t="s">
        <v>1428</v>
      </c>
      <c r="M385" s="2" t="s">
        <v>6040</v>
      </c>
      <c r="N385" s="4">
        <v>46223.1297337963</v>
      </c>
      <c r="O385" s="3" t="b">
        <f>L385 = "PASS"</f>
        <v>1</v>
      </c>
      <c r="P385" s="3" t="b">
        <f>L385 = "FAIL"</f>
        <v>0</v>
      </c>
      <c r="Q385" s="3" t="b">
        <f>AND(P385, K385)</f>
        <v>0</v>
      </c>
      <c r="R385" s="3" t="str">
        <f>IF(O385, I385, "")</f>
        <v>suite-substrate</v>
      </c>
      <c r="S385" s="3" t="str">
        <f>IF(Q385, I385, "")</f>
      </c>
      <c r="T385" s="2" t="s">
        <v>5935</v>
      </c>
    </row>
    <row r="386">
      <c r="A386" s="2" t="s">
        <v>6355</v>
      </c>
      <c r="B386" s="3" t="str">
        <f>C386 &amp; ": " &amp; D386</f>
        <v>formula-translates: KnowledgeFragments.DaysSinceActualReview</v>
      </c>
      <c r="C386" s="2" t="s">
        <v>6038</v>
      </c>
      <c r="D386" s="2" t="s">
        <v>3270</v>
      </c>
      <c r="E386" s="2" t="s">
        <v>1831</v>
      </c>
      <c r="F386" s="2" t="s">
        <v>1137</v>
      </c>
      <c r="G386" s="2" t="s">
        <v>6039</v>
      </c>
      <c r="H386" s="2" t="s">
        <v>2192</v>
      </c>
      <c r="I386" s="2" t="s">
        <v>5920</v>
      </c>
      <c r="J386" s="2" t="s">
        <v>5933</v>
      </c>
      <c r="K386" s="3" t="b">
        <f>J386 = "blocking"</f>
        <v>1</v>
      </c>
      <c r="L386" s="2" t="s">
        <v>1428</v>
      </c>
      <c r="M386" s="2" t="s">
        <v>6040</v>
      </c>
      <c r="N386" s="4">
        <v>46223.1297337963</v>
      </c>
      <c r="O386" s="3" t="b">
        <f>L386 = "PASS"</f>
        <v>1</v>
      </c>
      <c r="P386" s="3" t="b">
        <f>L386 = "FAIL"</f>
        <v>0</v>
      </c>
      <c r="Q386" s="3" t="b">
        <f>AND(P386, K386)</f>
        <v>0</v>
      </c>
      <c r="R386" s="3" t="str">
        <f>IF(O386, I386, "")</f>
        <v>suite-substrate</v>
      </c>
      <c r="S386" s="3" t="str">
        <f>IF(Q386, I386, "")</f>
      </c>
      <c r="T386" s="2" t="s">
        <v>5935</v>
      </c>
    </row>
    <row r="387">
      <c r="A387" s="2" t="s">
        <v>6356</v>
      </c>
      <c r="B387" s="3" t="str">
        <f>C387 &amp; ": " &amp; D387</f>
        <v>formula-translates: KnowledgeFragments.IsUnreviewedSinceAuthoring</v>
      </c>
      <c r="C387" s="2" t="s">
        <v>6038</v>
      </c>
      <c r="D387" s="2" t="s">
        <v>3272</v>
      </c>
      <c r="E387" s="2" t="s">
        <v>1831</v>
      </c>
      <c r="F387" s="2" t="s">
        <v>1138</v>
      </c>
      <c r="G387" s="2" t="s">
        <v>6039</v>
      </c>
      <c r="H387" s="2" t="s">
        <v>2192</v>
      </c>
      <c r="I387" s="2" t="s">
        <v>5920</v>
      </c>
      <c r="J387" s="2" t="s">
        <v>5933</v>
      </c>
      <c r="K387" s="3" t="b">
        <f>J387 = "blocking"</f>
        <v>1</v>
      </c>
      <c r="L387" s="2" t="s">
        <v>1428</v>
      </c>
      <c r="M387" s="2" t="s">
        <v>6040</v>
      </c>
      <c r="N387" s="4">
        <v>46223.1297337963</v>
      </c>
      <c r="O387" s="3" t="b">
        <f>L387 = "PASS"</f>
        <v>1</v>
      </c>
      <c r="P387" s="3" t="b">
        <f>L387 = "FAIL"</f>
        <v>0</v>
      </c>
      <c r="Q387" s="3" t="b">
        <f>AND(P387, K387)</f>
        <v>0</v>
      </c>
      <c r="R387" s="3" t="str">
        <f>IF(O387, I387, "")</f>
        <v>suite-substrate</v>
      </c>
      <c r="S387" s="3" t="str">
        <f>IF(Q387, I387, "")</f>
      </c>
      <c r="T387" s="2" t="s">
        <v>5935</v>
      </c>
    </row>
    <row r="388">
      <c r="A388" s="2" t="s">
        <v>6357</v>
      </c>
      <c r="B388" s="3" t="str">
        <f>C388 &amp; ": " &amp; D388</f>
        <v>formula-translates: KnowledgeFragments.IsGenuinelyOverdue</v>
      </c>
      <c r="C388" s="2" t="s">
        <v>6038</v>
      </c>
      <c r="D388" s="2" t="s">
        <v>3274</v>
      </c>
      <c r="E388" s="2" t="s">
        <v>1831</v>
      </c>
      <c r="F388" s="2" t="s">
        <v>1139</v>
      </c>
      <c r="G388" s="2" t="s">
        <v>6039</v>
      </c>
      <c r="H388" s="2" t="s">
        <v>2192</v>
      </c>
      <c r="I388" s="2" t="s">
        <v>5920</v>
      </c>
      <c r="J388" s="2" t="s">
        <v>5933</v>
      </c>
      <c r="K388" s="3" t="b">
        <f>J388 = "blocking"</f>
        <v>1</v>
      </c>
      <c r="L388" s="2" t="s">
        <v>1428</v>
      </c>
      <c r="M388" s="2" t="s">
        <v>6040</v>
      </c>
      <c r="N388" s="4">
        <v>46223.1297337963</v>
      </c>
      <c r="O388" s="3" t="b">
        <f>L388 = "PASS"</f>
        <v>1</v>
      </c>
      <c r="P388" s="3" t="b">
        <f>L388 = "FAIL"</f>
        <v>0</v>
      </c>
      <c r="Q388" s="3" t="b">
        <f>AND(P388, K388)</f>
        <v>0</v>
      </c>
      <c r="R388" s="3" t="str">
        <f>IF(O388, I388, "")</f>
        <v>suite-substrate</v>
      </c>
      <c r="S388" s="3" t="str">
        <f>IF(Q388, I388, "")</f>
      </c>
      <c r="T388" s="2" t="s">
        <v>5935</v>
      </c>
    </row>
    <row r="389">
      <c r="A389" s="2" t="s">
        <v>6358</v>
      </c>
      <c r="B389" s="3" t="str">
        <f>C389 &amp; ": " &amp; D389</f>
        <v>formula-translates: KnowledgeFragments.ReviewRecencyIsInferred</v>
      </c>
      <c r="C389" s="2" t="s">
        <v>6038</v>
      </c>
      <c r="D389" s="2" t="s">
        <v>3276</v>
      </c>
      <c r="E389" s="2" t="s">
        <v>1831</v>
      </c>
      <c r="F389" s="2" t="s">
        <v>1140</v>
      </c>
      <c r="G389" s="2" t="s">
        <v>6039</v>
      </c>
      <c r="H389" s="2" t="s">
        <v>2192</v>
      </c>
      <c r="I389" s="2" t="s">
        <v>5920</v>
      </c>
      <c r="J389" s="2" t="s">
        <v>5933</v>
      </c>
      <c r="K389" s="3" t="b">
        <f>J389 = "blocking"</f>
        <v>1</v>
      </c>
      <c r="L389" s="2" t="s">
        <v>1428</v>
      </c>
      <c r="M389" s="2" t="s">
        <v>6040</v>
      </c>
      <c r="N389" s="4">
        <v>46223.1297337963</v>
      </c>
      <c r="O389" s="3" t="b">
        <f>L389 = "PASS"</f>
        <v>1</v>
      </c>
      <c r="P389" s="3" t="b">
        <f>L389 = "FAIL"</f>
        <v>0</v>
      </c>
      <c r="Q389" s="3" t="b">
        <f>AND(P389, K389)</f>
        <v>0</v>
      </c>
      <c r="R389" s="3" t="str">
        <f>IF(O389, I389, "")</f>
        <v>suite-substrate</v>
      </c>
      <c r="S389" s="3" t="str">
        <f>IF(Q389, I389, "")</f>
      </c>
      <c r="T389" s="2" t="s">
        <v>5935</v>
      </c>
    </row>
    <row r="390">
      <c r="A390" s="2" t="s">
        <v>6359</v>
      </c>
      <c r="B390" s="3" t="str">
        <f>C390 &amp; ": " &amp; D390</f>
        <v>formula-translates: KnowledgeFragments.InferenceDisagreesWithRecord</v>
      </c>
      <c r="C390" s="2" t="s">
        <v>6038</v>
      </c>
      <c r="D390" s="2" t="s">
        <v>3278</v>
      </c>
      <c r="E390" s="2" t="s">
        <v>1831</v>
      </c>
      <c r="F390" s="2" t="s">
        <v>1141</v>
      </c>
      <c r="G390" s="2" t="s">
        <v>6039</v>
      </c>
      <c r="H390" s="2" t="s">
        <v>2192</v>
      </c>
      <c r="I390" s="2" t="s">
        <v>5920</v>
      </c>
      <c r="J390" s="2" t="s">
        <v>5933</v>
      </c>
      <c r="K390" s="3" t="b">
        <f>J390 = "blocking"</f>
        <v>1</v>
      </c>
      <c r="L390" s="2" t="s">
        <v>1428</v>
      </c>
      <c r="M390" s="2" t="s">
        <v>6040</v>
      </c>
      <c r="N390" s="4">
        <v>46223.1297337963</v>
      </c>
      <c r="O390" s="3" t="b">
        <f>L390 = "PASS"</f>
        <v>1</v>
      </c>
      <c r="P390" s="3" t="b">
        <f>L390 = "FAIL"</f>
        <v>0</v>
      </c>
      <c r="Q390" s="3" t="b">
        <f>AND(P390, K390)</f>
        <v>0</v>
      </c>
      <c r="R390" s="3" t="str">
        <f>IF(O390, I390, "")</f>
        <v>suite-substrate</v>
      </c>
      <c r="S390" s="3" t="str">
        <f>IF(Q390, I390, "")</f>
      </c>
      <c r="T390" s="2" t="s">
        <v>5935</v>
      </c>
    </row>
    <row r="391">
      <c r="A391" s="2" t="s">
        <v>6360</v>
      </c>
      <c r="B391" s="3" t="str">
        <f>C391 &amp; ": " &amp; D391</f>
        <v>formula-translates: KnowledgeFragments.GenuinelyOverdueVersionKey</v>
      </c>
      <c r="C391" s="2" t="s">
        <v>6038</v>
      </c>
      <c r="D391" s="2" t="s">
        <v>3280</v>
      </c>
      <c r="E391" s="2" t="s">
        <v>1831</v>
      </c>
      <c r="F391" s="2" t="s">
        <v>1142</v>
      </c>
      <c r="G391" s="2" t="s">
        <v>6039</v>
      </c>
      <c r="H391" s="2" t="s">
        <v>2192</v>
      </c>
      <c r="I391" s="2" t="s">
        <v>5920</v>
      </c>
      <c r="J391" s="2" t="s">
        <v>5933</v>
      </c>
      <c r="K391" s="3" t="b">
        <f>J391 = "blocking"</f>
        <v>1</v>
      </c>
      <c r="L391" s="2" t="s">
        <v>1428</v>
      </c>
      <c r="M391" s="2" t="s">
        <v>6040</v>
      </c>
      <c r="N391" s="4">
        <v>46223.1297337963</v>
      </c>
      <c r="O391" s="3" t="b">
        <f>L391 = "PASS"</f>
        <v>1</v>
      </c>
      <c r="P391" s="3" t="b">
        <f>L391 = "FAIL"</f>
        <v>0</v>
      </c>
      <c r="Q391" s="3" t="b">
        <f>AND(P391, K391)</f>
        <v>0</v>
      </c>
      <c r="R391" s="3" t="str">
        <f>IF(O391, I391, "")</f>
        <v>suite-substrate</v>
      </c>
      <c r="S391" s="3" t="str">
        <f>IF(Q391, I391, "")</f>
      </c>
      <c r="T391" s="2" t="s">
        <v>5935</v>
      </c>
    </row>
    <row r="392">
      <c r="A392" s="2" t="s">
        <v>6361</v>
      </c>
      <c r="B392" s="3" t="str">
        <f>C392 &amp; ": " &amp; D392</f>
        <v>formula-translates: KnowledgeFragments.RatifiedBoundaryCount</v>
      </c>
      <c r="C392" s="2" t="s">
        <v>6038</v>
      </c>
      <c r="D392" s="2" t="s">
        <v>3282</v>
      </c>
      <c r="E392" s="2" t="s">
        <v>1831</v>
      </c>
      <c r="F392" s="2" t="s">
        <v>1143</v>
      </c>
      <c r="G392" s="2" t="s">
        <v>6039</v>
      </c>
      <c r="H392" s="2" t="s">
        <v>2204</v>
      </c>
      <c r="I392" s="2" t="s">
        <v>5920</v>
      </c>
      <c r="J392" s="2" t="s">
        <v>5933</v>
      </c>
      <c r="K392" s="3" t="b">
        <f>J392 = "blocking"</f>
        <v>1</v>
      </c>
      <c r="L392" s="2" t="s">
        <v>1428</v>
      </c>
      <c r="M392" s="2" t="s">
        <v>6040</v>
      </c>
      <c r="N392" s="4">
        <v>46223.1297337963</v>
      </c>
      <c r="O392" s="3" t="b">
        <f>L392 = "PASS"</f>
        <v>1</v>
      </c>
      <c r="P392" s="3" t="b">
        <f>L392 = "FAIL"</f>
        <v>0</v>
      </c>
      <c r="Q392" s="3" t="b">
        <f>AND(P392, K392)</f>
        <v>0</v>
      </c>
      <c r="R392" s="3" t="str">
        <f>IF(O392, I392, "")</f>
        <v>suite-substrate</v>
      </c>
      <c r="S392" s="3" t="str">
        <f>IF(Q392, I392, "")</f>
      </c>
      <c r="T392" s="2" t="s">
        <v>5935</v>
      </c>
    </row>
    <row r="393">
      <c r="A393" s="2" t="s">
        <v>6362</v>
      </c>
      <c r="B393" s="3" t="str">
        <f>C393 &amp; ": " &amp; D393</f>
        <v>formula-translates: KnowledgeFragments.RelianceSurfaceCount</v>
      </c>
      <c r="C393" s="2" t="s">
        <v>6038</v>
      </c>
      <c r="D393" s="2" t="s">
        <v>3284</v>
      </c>
      <c r="E393" s="2" t="s">
        <v>1831</v>
      </c>
      <c r="F393" s="2" t="s">
        <v>1144</v>
      </c>
      <c r="G393" s="2" t="s">
        <v>6039</v>
      </c>
      <c r="H393" s="2" t="s">
        <v>2204</v>
      </c>
      <c r="I393" s="2" t="s">
        <v>5920</v>
      </c>
      <c r="J393" s="2" t="s">
        <v>5933</v>
      </c>
      <c r="K393" s="3" t="b">
        <f>J393 = "blocking"</f>
        <v>1</v>
      </c>
      <c r="L393" s="2" t="s">
        <v>1428</v>
      </c>
      <c r="M393" s="2" t="s">
        <v>6040</v>
      </c>
      <c r="N393" s="4">
        <v>46223.1297337963</v>
      </c>
      <c r="O393" s="3" t="b">
        <f>L393 = "PASS"</f>
        <v>1</v>
      </c>
      <c r="P393" s="3" t="b">
        <f>L393 = "FAIL"</f>
        <v>0</v>
      </c>
      <c r="Q393" s="3" t="b">
        <f>AND(P393, K393)</f>
        <v>0</v>
      </c>
      <c r="R393" s="3" t="str">
        <f>IF(O393, I393, "")</f>
        <v>suite-substrate</v>
      </c>
      <c r="S393" s="3" t="str">
        <f>IF(Q393, I393, "")</f>
      </c>
      <c r="T393" s="2" t="s">
        <v>5935</v>
      </c>
    </row>
    <row r="394">
      <c r="A394" s="2" t="s">
        <v>6363</v>
      </c>
      <c r="B394" s="3" t="str">
        <f>C394 &amp; ": " &amp; D394</f>
        <v>formula-translates: KnowledgeFragments.DaysAwaitingMyApproval</v>
      </c>
      <c r="C394" s="2" t="s">
        <v>6038</v>
      </c>
      <c r="D394" s="2" t="s">
        <v>3286</v>
      </c>
      <c r="E394" s="2" t="s">
        <v>1831</v>
      </c>
      <c r="F394" s="2" t="s">
        <v>1145</v>
      </c>
      <c r="G394" s="2" t="s">
        <v>6039</v>
      </c>
      <c r="H394" s="2" t="s">
        <v>2204</v>
      </c>
      <c r="I394" s="2" t="s">
        <v>5920</v>
      </c>
      <c r="J394" s="2" t="s">
        <v>5933</v>
      </c>
      <c r="K394" s="3" t="b">
        <f>J394 = "blocking"</f>
        <v>1</v>
      </c>
      <c r="L394" s="2" t="s">
        <v>1428</v>
      </c>
      <c r="M394" s="2" t="s">
        <v>6040</v>
      </c>
      <c r="N394" s="4">
        <v>46223.1297337963</v>
      </c>
      <c r="O394" s="3" t="b">
        <f>L394 = "PASS"</f>
        <v>1</v>
      </c>
      <c r="P394" s="3" t="b">
        <f>L394 = "FAIL"</f>
        <v>0</v>
      </c>
      <c r="Q394" s="3" t="b">
        <f>AND(P394, K394)</f>
        <v>0</v>
      </c>
      <c r="R394" s="3" t="str">
        <f>IF(O394, I394, "")</f>
        <v>suite-substrate</v>
      </c>
      <c r="S394" s="3" t="str">
        <f>IF(Q394, I394, "")</f>
      </c>
      <c r="T394" s="2" t="s">
        <v>5935</v>
      </c>
    </row>
    <row r="395">
      <c r="A395" s="2" t="s">
        <v>6364</v>
      </c>
      <c r="B395" s="3" t="str">
        <f>C395 &amp; ": " &amp; D395</f>
        <v>formula-translates: KnowledgeFragments.IsHighBlastRadiusUnapproved</v>
      </c>
      <c r="C395" s="2" t="s">
        <v>6038</v>
      </c>
      <c r="D395" s="2" t="s">
        <v>3288</v>
      </c>
      <c r="E395" s="2" t="s">
        <v>1831</v>
      </c>
      <c r="F395" s="2" t="s">
        <v>1146</v>
      </c>
      <c r="G395" s="2" t="s">
        <v>6039</v>
      </c>
      <c r="H395" s="2" t="s">
        <v>2204</v>
      </c>
      <c r="I395" s="2" t="s">
        <v>5920</v>
      </c>
      <c r="J395" s="2" t="s">
        <v>5933</v>
      </c>
      <c r="K395" s="3" t="b">
        <f>J395 = "blocking"</f>
        <v>1</v>
      </c>
      <c r="L395" s="2" t="s">
        <v>1428</v>
      </c>
      <c r="M395" s="2" t="s">
        <v>6040</v>
      </c>
      <c r="N395" s="4">
        <v>46223.1297337963</v>
      </c>
      <c r="O395" s="3" t="b">
        <f>L395 = "PASS"</f>
        <v>1</v>
      </c>
      <c r="P395" s="3" t="b">
        <f>L395 = "FAIL"</f>
        <v>0</v>
      </c>
      <c r="Q395" s="3" t="b">
        <f>AND(P395, K395)</f>
        <v>0</v>
      </c>
      <c r="R395" s="3" t="str">
        <f>IF(O395, I395, "")</f>
        <v>suite-substrate</v>
      </c>
      <c r="S395" s="3" t="str">
        <f>IF(Q395, I395, "")</f>
      </c>
      <c r="T395" s="2" t="s">
        <v>5935</v>
      </c>
    </row>
    <row r="396">
      <c r="A396" s="2" t="s">
        <v>6365</v>
      </c>
      <c r="B396" s="3" t="str">
        <f>C396 &amp; ": " &amp; D396</f>
        <v>formula-translates: KnowledgeFragments.IsLongUnapproved</v>
      </c>
      <c r="C396" s="2" t="s">
        <v>6038</v>
      </c>
      <c r="D396" s="2" t="s">
        <v>3290</v>
      </c>
      <c r="E396" s="2" t="s">
        <v>1831</v>
      </c>
      <c r="F396" s="2" t="s">
        <v>1147</v>
      </c>
      <c r="G396" s="2" t="s">
        <v>6039</v>
      </c>
      <c r="H396" s="2" t="s">
        <v>2204</v>
      </c>
      <c r="I396" s="2" t="s">
        <v>5920</v>
      </c>
      <c r="J396" s="2" t="s">
        <v>5933</v>
      </c>
      <c r="K396" s="3" t="b">
        <f>J396 = "blocking"</f>
        <v>1</v>
      </c>
      <c r="L396" s="2" t="s">
        <v>1428</v>
      </c>
      <c r="M396" s="2" t="s">
        <v>6040</v>
      </c>
      <c r="N396" s="4">
        <v>46223.1297337963</v>
      </c>
      <c r="O396" s="3" t="b">
        <f>L396 = "PASS"</f>
        <v>1</v>
      </c>
      <c r="P396" s="3" t="b">
        <f>L396 = "FAIL"</f>
        <v>0</v>
      </c>
      <c r="Q396" s="3" t="b">
        <f>AND(P396, K396)</f>
        <v>0</v>
      </c>
      <c r="R396" s="3" t="str">
        <f>IF(O396, I396, "")</f>
        <v>suite-substrate</v>
      </c>
      <c r="S396" s="3" t="str">
        <f>IF(Q396, I396, "")</f>
      </c>
      <c r="T396" s="2" t="s">
        <v>5935</v>
      </c>
    </row>
    <row r="397">
      <c r="A397" s="2" t="s">
        <v>6366</v>
      </c>
      <c r="B397" s="3" t="str">
        <f>C397 &amp; ": " &amp; D397</f>
        <v>formula-translates: KnowledgeFragments.UnapprovedLoadBearingVersionKey</v>
      </c>
      <c r="C397" s="2" t="s">
        <v>6038</v>
      </c>
      <c r="D397" s="2" t="s">
        <v>3292</v>
      </c>
      <c r="E397" s="2" t="s">
        <v>1831</v>
      </c>
      <c r="F397" s="2" t="s">
        <v>1148</v>
      </c>
      <c r="G397" s="2" t="s">
        <v>6039</v>
      </c>
      <c r="H397" s="2" t="s">
        <v>2204</v>
      </c>
      <c r="I397" s="2" t="s">
        <v>5920</v>
      </c>
      <c r="J397" s="2" t="s">
        <v>5933</v>
      </c>
      <c r="K397" s="3" t="b">
        <f>J397 = "blocking"</f>
        <v>1</v>
      </c>
      <c r="L397" s="2" t="s">
        <v>1428</v>
      </c>
      <c r="M397" s="2" t="s">
        <v>6040</v>
      </c>
      <c r="N397" s="4">
        <v>46223.1297337963</v>
      </c>
      <c r="O397" s="3" t="b">
        <f>L397 = "PASS"</f>
        <v>1</v>
      </c>
      <c r="P397" s="3" t="b">
        <f>L397 = "FAIL"</f>
        <v>0</v>
      </c>
      <c r="Q397" s="3" t="b">
        <f>AND(P397, K397)</f>
        <v>0</v>
      </c>
      <c r="R397" s="3" t="str">
        <f>IF(O397, I397, "")</f>
        <v>suite-substrate</v>
      </c>
      <c r="S397" s="3" t="str">
        <f>IF(Q397, I397, "")</f>
      </c>
      <c r="T397" s="2" t="s">
        <v>5935</v>
      </c>
    </row>
    <row r="398">
      <c r="A398" s="2" t="s">
        <v>6367</v>
      </c>
      <c r="B398" s="3" t="str">
        <f>C398 &amp; ": " &amp; D398</f>
        <v>formula-translates: KnowledgeFragments.OwnerRoleIsVacated</v>
      </c>
      <c r="C398" s="2" t="s">
        <v>6038</v>
      </c>
      <c r="D398" s="2" t="s">
        <v>3294</v>
      </c>
      <c r="E398" s="2" t="s">
        <v>1831</v>
      </c>
      <c r="F398" s="2" t="s">
        <v>1149</v>
      </c>
      <c r="G398" s="2" t="s">
        <v>6039</v>
      </c>
      <c r="H398" s="2" t="s">
        <v>2212</v>
      </c>
      <c r="I398" s="2" t="s">
        <v>5920</v>
      </c>
      <c r="J398" s="2" t="s">
        <v>5933</v>
      </c>
      <c r="K398" s="3" t="b">
        <f>J398 = "blocking"</f>
        <v>1</v>
      </c>
      <c r="L398" s="2" t="s">
        <v>1428</v>
      </c>
      <c r="M398" s="2" t="s">
        <v>6040</v>
      </c>
      <c r="N398" s="4">
        <v>46223.1297337963</v>
      </c>
      <c r="O398" s="3" t="b">
        <f>L398 = "PASS"</f>
        <v>1</v>
      </c>
      <c r="P398" s="3" t="b">
        <f>L398 = "FAIL"</f>
        <v>0</v>
      </c>
      <c r="Q398" s="3" t="b">
        <f>AND(P398, K398)</f>
        <v>0</v>
      </c>
      <c r="R398" s="3" t="str">
        <f>IF(O398, I398, "")</f>
        <v>suite-substrate</v>
      </c>
      <c r="S398" s="3" t="str">
        <f>IF(Q398, I398, "")</f>
      </c>
      <c r="T398" s="2" t="s">
        <v>5935</v>
      </c>
    </row>
    <row r="399">
      <c r="A399" s="2" t="s">
        <v>6368</v>
      </c>
      <c r="B399" s="3" t="str">
        <f>C399 &amp; ": " &amp; D399</f>
        <v>formula-translates: KnowledgeFragments.IsOrphanedByRole</v>
      </c>
      <c r="C399" s="2" t="s">
        <v>6038</v>
      </c>
      <c r="D399" s="2" t="s">
        <v>3296</v>
      </c>
      <c r="E399" s="2" t="s">
        <v>1831</v>
      </c>
      <c r="F399" s="2" t="s">
        <v>1150</v>
      </c>
      <c r="G399" s="2" t="s">
        <v>6039</v>
      </c>
      <c r="H399" s="2" t="s">
        <v>2212</v>
      </c>
      <c r="I399" s="2" t="s">
        <v>5920</v>
      </c>
      <c r="J399" s="2" t="s">
        <v>5933</v>
      </c>
      <c r="K399" s="3" t="b">
        <f>J399 = "blocking"</f>
        <v>1</v>
      </c>
      <c r="L399" s="2" t="s">
        <v>1428</v>
      </c>
      <c r="M399" s="2" t="s">
        <v>6040</v>
      </c>
      <c r="N399" s="4">
        <v>46223.1297337963</v>
      </c>
      <c r="O399" s="3" t="b">
        <f>L399 = "PASS"</f>
        <v>1</v>
      </c>
      <c r="P399" s="3" t="b">
        <f>L399 = "FAIL"</f>
        <v>0</v>
      </c>
      <c r="Q399" s="3" t="b">
        <f>AND(P399, K399)</f>
        <v>0</v>
      </c>
      <c r="R399" s="3" t="str">
        <f>IF(O399, I399, "")</f>
        <v>suite-substrate</v>
      </c>
      <c r="S399" s="3" t="str">
        <f>IF(Q399, I399, "")</f>
      </c>
      <c r="T399" s="2" t="s">
        <v>5935</v>
      </c>
    </row>
    <row r="400">
      <c r="A400" s="2" t="s">
        <v>6369</v>
      </c>
      <c r="B400" s="3" t="str">
        <f>C400 &amp; ": " &amp; D400</f>
        <v>formula-translates: KnowledgeFragments.ValidFragmentVersionKey</v>
      </c>
      <c r="C400" s="2" t="s">
        <v>6038</v>
      </c>
      <c r="D400" s="2" t="s">
        <v>3298</v>
      </c>
      <c r="E400" s="2" t="s">
        <v>1831</v>
      </c>
      <c r="F400" s="2" t="s">
        <v>1151</v>
      </c>
      <c r="G400" s="2" t="s">
        <v>6039</v>
      </c>
      <c r="H400" s="2" t="s">
        <v>2224</v>
      </c>
      <c r="I400" s="2" t="s">
        <v>5920</v>
      </c>
      <c r="J400" s="2" t="s">
        <v>5933</v>
      </c>
      <c r="K400" s="3" t="b">
        <f>J400 = "blocking"</f>
        <v>1</v>
      </c>
      <c r="L400" s="2" t="s">
        <v>1428</v>
      </c>
      <c r="M400" s="2" t="s">
        <v>6040</v>
      </c>
      <c r="N400" s="4">
        <v>46223.1297337963</v>
      </c>
      <c r="O400" s="3" t="b">
        <f>L400 = "PASS"</f>
        <v>1</v>
      </c>
      <c r="P400" s="3" t="b">
        <f>L400 = "FAIL"</f>
        <v>0</v>
      </c>
      <c r="Q400" s="3" t="b">
        <f>AND(P400, K400)</f>
        <v>0</v>
      </c>
      <c r="R400" s="3" t="str">
        <f>IF(O400, I400, "")</f>
        <v>suite-substrate</v>
      </c>
      <c r="S400" s="3" t="str">
        <f>IF(Q400, I400, "")</f>
      </c>
      <c r="T400" s="2" t="s">
        <v>5935</v>
      </c>
    </row>
    <row r="401">
      <c r="A401" s="2" t="s">
        <v>6370</v>
      </c>
      <c r="B401" s="3" t="str">
        <f>C401 &amp; ": " &amp; D401</f>
        <v>formula-translates: KnowledgeGaps.Name</v>
      </c>
      <c r="C401" s="2" t="s">
        <v>6038</v>
      </c>
      <c r="D401" s="2" t="s">
        <v>3303</v>
      </c>
      <c r="E401" s="2" t="s">
        <v>3302</v>
      </c>
      <c r="F401" s="2" t="s">
        <v>1</v>
      </c>
      <c r="G401" s="2" t="s">
        <v>6039</v>
      </c>
      <c r="H401" s="2"/>
      <c r="I401" s="2" t="s">
        <v>5920</v>
      </c>
      <c r="J401" s="2" t="s">
        <v>5933</v>
      </c>
      <c r="K401" s="3" t="b">
        <f>J401 = "blocking"</f>
        <v>1</v>
      </c>
      <c r="L401" s="2" t="s">
        <v>1428</v>
      </c>
      <c r="M401" s="2" t="s">
        <v>6040</v>
      </c>
      <c r="N401" s="4">
        <v>46223.1297337963</v>
      </c>
      <c r="O401" s="3" t="b">
        <f>L401 = "PASS"</f>
        <v>1</v>
      </c>
      <c r="P401" s="3" t="b">
        <f>L401 = "FAIL"</f>
        <v>0</v>
      </c>
      <c r="Q401" s="3" t="b">
        <f>AND(P401, K401)</f>
        <v>0</v>
      </c>
      <c r="R401" s="3" t="str">
        <f>IF(O401, I401, "")</f>
        <v>suite-substrate</v>
      </c>
      <c r="S401" s="3" t="str">
        <f>IF(Q401, I401, "")</f>
      </c>
      <c r="T401" s="2" t="s">
        <v>5935</v>
      </c>
    </row>
    <row r="402">
      <c r="A402" s="2" t="s">
        <v>6371</v>
      </c>
      <c r="B402" s="3" t="str">
        <f>C402 &amp; ": " &amp; D402</f>
        <v>formula-translates: KnowledgeGaps.IsOpen</v>
      </c>
      <c r="C402" s="2" t="s">
        <v>6038</v>
      </c>
      <c r="D402" s="2" t="s">
        <v>3314</v>
      </c>
      <c r="E402" s="2" t="s">
        <v>3302</v>
      </c>
      <c r="F402" s="2" t="s">
        <v>1179</v>
      </c>
      <c r="G402" s="2" t="s">
        <v>6039</v>
      </c>
      <c r="H402" s="2"/>
      <c r="I402" s="2" t="s">
        <v>5920</v>
      </c>
      <c r="J402" s="2" t="s">
        <v>5933</v>
      </c>
      <c r="K402" s="3" t="b">
        <f>J402 = "blocking"</f>
        <v>1</v>
      </c>
      <c r="L402" s="2" t="s">
        <v>1428</v>
      </c>
      <c r="M402" s="2" t="s">
        <v>6040</v>
      </c>
      <c r="N402" s="4">
        <v>46223.1297337963</v>
      </c>
      <c r="O402" s="3" t="b">
        <f>L402 = "PASS"</f>
        <v>1</v>
      </c>
      <c r="P402" s="3" t="b">
        <f>L402 = "FAIL"</f>
        <v>0</v>
      </c>
      <c r="Q402" s="3" t="b">
        <f>AND(P402, K402)</f>
        <v>0</v>
      </c>
      <c r="R402" s="3" t="str">
        <f>IF(O402, I402, "")</f>
        <v>suite-substrate</v>
      </c>
      <c r="S402" s="3" t="str">
        <f>IF(Q402, I402, "")</f>
      </c>
      <c r="T402" s="2" t="s">
        <v>5935</v>
      </c>
    </row>
    <row r="403">
      <c r="A403" s="2" t="s">
        <v>6372</v>
      </c>
      <c r="B403" s="3" t="str">
        <f>C403 &amp; ": " &amp; D403</f>
        <v>formula-translates: KnowledgeGaps.OpenGapVersionKey</v>
      </c>
      <c r="C403" s="2" t="s">
        <v>6038</v>
      </c>
      <c r="D403" s="2" t="s">
        <v>3316</v>
      </c>
      <c r="E403" s="2" t="s">
        <v>3302</v>
      </c>
      <c r="F403" s="2" t="s">
        <v>1180</v>
      </c>
      <c r="G403" s="2" t="s">
        <v>6039</v>
      </c>
      <c r="H403" s="2" t="s">
        <v>1980</v>
      </c>
      <c r="I403" s="2" t="s">
        <v>5920</v>
      </c>
      <c r="J403" s="2" t="s">
        <v>5933</v>
      </c>
      <c r="K403" s="3" t="b">
        <f>J403 = "blocking"</f>
        <v>1</v>
      </c>
      <c r="L403" s="2" t="s">
        <v>1428</v>
      </c>
      <c r="M403" s="2" t="s">
        <v>6040</v>
      </c>
      <c r="N403" s="4">
        <v>46223.1297337963</v>
      </c>
      <c r="O403" s="3" t="b">
        <f>L403 = "PASS"</f>
        <v>1</v>
      </c>
      <c r="P403" s="3" t="b">
        <f>L403 = "FAIL"</f>
        <v>0</v>
      </c>
      <c r="Q403" s="3" t="b">
        <f>AND(P403, K403)</f>
        <v>0</v>
      </c>
      <c r="R403" s="3" t="str">
        <f>IF(O403, I403, "")</f>
        <v>suite-substrate</v>
      </c>
      <c r="S403" s="3" t="str">
        <f>IF(Q403, I403, "")</f>
      </c>
      <c r="T403" s="2" t="s">
        <v>5935</v>
      </c>
    </row>
    <row r="404">
      <c r="A404" s="2" t="s">
        <v>6373</v>
      </c>
      <c r="B404" s="3" t="str">
        <f>C404 &amp; ": " &amp; D404</f>
        <v>formula-translates: KnowledgeGaps.IsBlocking</v>
      </c>
      <c r="C404" s="2" t="s">
        <v>6038</v>
      </c>
      <c r="D404" s="2" t="s">
        <v>3318</v>
      </c>
      <c r="E404" s="2" t="s">
        <v>3302</v>
      </c>
      <c r="F404" s="2" t="s">
        <v>783</v>
      </c>
      <c r="G404" s="2" t="s">
        <v>6039</v>
      </c>
      <c r="H404" s="2" t="s">
        <v>2008</v>
      </c>
      <c r="I404" s="2" t="s">
        <v>5920</v>
      </c>
      <c r="J404" s="2" t="s">
        <v>5933</v>
      </c>
      <c r="K404" s="3" t="b">
        <f>J404 = "blocking"</f>
        <v>1</v>
      </c>
      <c r="L404" s="2" t="s">
        <v>1428</v>
      </c>
      <c r="M404" s="2" t="s">
        <v>6040</v>
      </c>
      <c r="N404" s="4">
        <v>46223.1297337963</v>
      </c>
      <c r="O404" s="3" t="b">
        <f>L404 = "PASS"</f>
        <v>1</v>
      </c>
      <c r="P404" s="3" t="b">
        <f>L404 = "FAIL"</f>
        <v>0</v>
      </c>
      <c r="Q404" s="3" t="b">
        <f>AND(P404, K404)</f>
        <v>0</v>
      </c>
      <c r="R404" s="3" t="str">
        <f>IF(O404, I404, "")</f>
        <v>suite-substrate</v>
      </c>
      <c r="S404" s="3" t="str">
        <f>IF(Q404, I404, "")</f>
      </c>
      <c r="T404" s="2" t="s">
        <v>5935</v>
      </c>
    </row>
    <row r="405">
      <c r="A405" s="2" t="s">
        <v>6374</v>
      </c>
      <c r="B405" s="3" t="str">
        <f>C405 &amp; ": " &amp; D405</f>
        <v>formula-translates: KnowledgeGaps.IsOpenAndBlocking</v>
      </c>
      <c r="C405" s="2" t="s">
        <v>6038</v>
      </c>
      <c r="D405" s="2" t="s">
        <v>3320</v>
      </c>
      <c r="E405" s="2" t="s">
        <v>3302</v>
      </c>
      <c r="F405" s="2" t="s">
        <v>1181</v>
      </c>
      <c r="G405" s="2" t="s">
        <v>6039</v>
      </c>
      <c r="H405" s="2" t="s">
        <v>2008</v>
      </c>
      <c r="I405" s="2" t="s">
        <v>5920</v>
      </c>
      <c r="J405" s="2" t="s">
        <v>5933</v>
      </c>
      <c r="K405" s="3" t="b">
        <f>J405 = "blocking"</f>
        <v>1</v>
      </c>
      <c r="L405" s="2" t="s">
        <v>1428</v>
      </c>
      <c r="M405" s="2" t="s">
        <v>6040</v>
      </c>
      <c r="N405" s="4">
        <v>46223.1297337963</v>
      </c>
      <c r="O405" s="3" t="b">
        <f>L405 = "PASS"</f>
        <v>1</v>
      </c>
      <c r="P405" s="3" t="b">
        <f>L405 = "FAIL"</f>
        <v>0</v>
      </c>
      <c r="Q405" s="3" t="b">
        <f>AND(P405, K405)</f>
        <v>0</v>
      </c>
      <c r="R405" s="3" t="str">
        <f>IF(O405, I405, "")</f>
        <v>suite-substrate</v>
      </c>
      <c r="S405" s="3" t="str">
        <f>IF(Q405, I405, "")</f>
      </c>
      <c r="T405" s="2" t="s">
        <v>5935</v>
      </c>
    </row>
    <row r="406">
      <c r="A406" s="2" t="s">
        <v>6375</v>
      </c>
      <c r="B406" s="3" t="str">
        <f>C406 &amp; ": " &amp; D406</f>
        <v>formula-translates: KnowledgeGaps.AsOfInstant</v>
      </c>
      <c r="C406" s="2" t="s">
        <v>6038</v>
      </c>
      <c r="D406" s="2" t="s">
        <v>3323</v>
      </c>
      <c r="E406" s="2" t="s">
        <v>3302</v>
      </c>
      <c r="F406" s="2" t="s">
        <v>92</v>
      </c>
      <c r="G406" s="2" t="s">
        <v>6039</v>
      </c>
      <c r="H406" s="2"/>
      <c r="I406" s="2" t="s">
        <v>5920</v>
      </c>
      <c r="J406" s="2" t="s">
        <v>5933</v>
      </c>
      <c r="K406" s="3" t="b">
        <f>J406 = "blocking"</f>
        <v>1</v>
      </c>
      <c r="L406" s="2" t="s">
        <v>1428</v>
      </c>
      <c r="M406" s="2" t="s">
        <v>6040</v>
      </c>
      <c r="N406" s="4">
        <v>46223.1297337963</v>
      </c>
      <c r="O406" s="3" t="b">
        <f>L406 = "PASS"</f>
        <v>1</v>
      </c>
      <c r="P406" s="3" t="b">
        <f>L406 = "FAIL"</f>
        <v>0</v>
      </c>
      <c r="Q406" s="3" t="b">
        <f>AND(P406, K406)</f>
        <v>0</v>
      </c>
      <c r="R406" s="3" t="str">
        <f>IF(O406, I406, "")</f>
        <v>suite-substrate</v>
      </c>
      <c r="S406" s="3" t="str">
        <f>IF(Q406, I406, "")</f>
      </c>
      <c r="T406" s="2" t="s">
        <v>5935</v>
      </c>
    </row>
    <row r="407">
      <c r="A407" s="2" t="s">
        <v>6376</v>
      </c>
      <c r="B407" s="3" t="str">
        <f>C407 &amp; ": " &amp; D407</f>
        <v>formula-translates: KnowledgeGaps.DaysOpen</v>
      </c>
      <c r="C407" s="2" t="s">
        <v>6038</v>
      </c>
      <c r="D407" s="2" t="s">
        <v>3324</v>
      </c>
      <c r="E407" s="2" t="s">
        <v>3302</v>
      </c>
      <c r="F407" s="2" t="s">
        <v>1182</v>
      </c>
      <c r="G407" s="2" t="s">
        <v>6039</v>
      </c>
      <c r="H407" s="2" t="s">
        <v>2028</v>
      </c>
      <c r="I407" s="2" t="s">
        <v>5920</v>
      </c>
      <c r="J407" s="2" t="s">
        <v>5933</v>
      </c>
      <c r="K407" s="3" t="b">
        <f>J407 = "blocking"</f>
        <v>1</v>
      </c>
      <c r="L407" s="2" t="s">
        <v>1428</v>
      </c>
      <c r="M407" s="2" t="s">
        <v>6040</v>
      </c>
      <c r="N407" s="4">
        <v>46223.1297337963</v>
      </c>
      <c r="O407" s="3" t="b">
        <f>L407 = "PASS"</f>
        <v>1</v>
      </c>
      <c r="P407" s="3" t="b">
        <f>L407 = "FAIL"</f>
        <v>0</v>
      </c>
      <c r="Q407" s="3" t="b">
        <f>AND(P407, K407)</f>
        <v>0</v>
      </c>
      <c r="R407" s="3" t="str">
        <f>IF(O407, I407, "")</f>
        <v>suite-substrate</v>
      </c>
      <c r="S407" s="3" t="str">
        <f>IF(Q407, I407, "")</f>
      </c>
      <c r="T407" s="2" t="s">
        <v>5935</v>
      </c>
    </row>
    <row r="408">
      <c r="A408" s="2" t="s">
        <v>6377</v>
      </c>
      <c r="B408" s="3" t="str">
        <f>C408 &amp; ": " &amp; D408</f>
        <v>formula-translates: KnowledgeGaps.ToleranceDays</v>
      </c>
      <c r="C408" s="2" t="s">
        <v>6038</v>
      </c>
      <c r="D408" s="2" t="s">
        <v>3326</v>
      </c>
      <c r="E408" s="2" t="s">
        <v>3302</v>
      </c>
      <c r="F408" s="2" t="s">
        <v>1183</v>
      </c>
      <c r="G408" s="2" t="s">
        <v>6039</v>
      </c>
      <c r="H408" s="2" t="s">
        <v>2028</v>
      </c>
      <c r="I408" s="2" t="s">
        <v>5920</v>
      </c>
      <c r="J408" s="2" t="s">
        <v>5933</v>
      </c>
      <c r="K408" s="3" t="b">
        <f>J408 = "blocking"</f>
        <v>1</v>
      </c>
      <c r="L408" s="2" t="s">
        <v>1428</v>
      </c>
      <c r="M408" s="2" t="s">
        <v>6040</v>
      </c>
      <c r="N408" s="4">
        <v>46223.1297337963</v>
      </c>
      <c r="O408" s="3" t="b">
        <f>L408 = "PASS"</f>
        <v>1</v>
      </c>
      <c r="P408" s="3" t="b">
        <f>L408 = "FAIL"</f>
        <v>0</v>
      </c>
      <c r="Q408" s="3" t="b">
        <f>AND(P408, K408)</f>
        <v>0</v>
      </c>
      <c r="R408" s="3" t="str">
        <f>IF(O408, I408, "")</f>
        <v>suite-substrate</v>
      </c>
      <c r="S408" s="3" t="str">
        <f>IF(Q408, I408, "")</f>
      </c>
      <c r="T408" s="2" t="s">
        <v>5935</v>
      </c>
    </row>
    <row r="409">
      <c r="A409" s="2" t="s">
        <v>6378</v>
      </c>
      <c r="B409" s="3" t="str">
        <f>C409 &amp; ": " &amp; D409</f>
        <v>formula-translates: KnowledgeGaps.IsOverdueGap</v>
      </c>
      <c r="C409" s="2" t="s">
        <v>6038</v>
      </c>
      <c r="D409" s="2" t="s">
        <v>3328</v>
      </c>
      <c r="E409" s="2" t="s">
        <v>3302</v>
      </c>
      <c r="F409" s="2" t="s">
        <v>1184</v>
      </c>
      <c r="G409" s="2" t="s">
        <v>6039</v>
      </c>
      <c r="H409" s="2" t="s">
        <v>2028</v>
      </c>
      <c r="I409" s="2" t="s">
        <v>5920</v>
      </c>
      <c r="J409" s="2" t="s">
        <v>5933</v>
      </c>
      <c r="K409" s="3" t="b">
        <f>J409 = "blocking"</f>
        <v>1</v>
      </c>
      <c r="L409" s="2" t="s">
        <v>1428</v>
      </c>
      <c r="M409" s="2" t="s">
        <v>6040</v>
      </c>
      <c r="N409" s="4">
        <v>46223.1297337963</v>
      </c>
      <c r="O409" s="3" t="b">
        <f>L409 = "PASS"</f>
        <v>1</v>
      </c>
      <c r="P409" s="3" t="b">
        <f>L409 = "FAIL"</f>
        <v>0</v>
      </c>
      <c r="Q409" s="3" t="b">
        <f>AND(P409, K409)</f>
        <v>0</v>
      </c>
      <c r="R409" s="3" t="str">
        <f>IF(O409, I409, "")</f>
        <v>suite-substrate</v>
      </c>
      <c r="S409" s="3" t="str">
        <f>IF(Q409, I409, "")</f>
      </c>
      <c r="T409" s="2" t="s">
        <v>5935</v>
      </c>
    </row>
    <row r="410">
      <c r="A410" s="2" t="s">
        <v>6379</v>
      </c>
      <c r="B410" s="3" t="str">
        <f>C410 &amp; ": " &amp; D410</f>
        <v>formula-translates: KnowledgeGaps.OwnerAgent</v>
      </c>
      <c r="C410" s="2" t="s">
        <v>6038</v>
      </c>
      <c r="D410" s="2" t="s">
        <v>3330</v>
      </c>
      <c r="E410" s="2" t="s">
        <v>3302</v>
      </c>
      <c r="F410" s="2" t="s">
        <v>1105</v>
      </c>
      <c r="G410" s="2" t="s">
        <v>6039</v>
      </c>
      <c r="H410" s="2" t="s">
        <v>2028</v>
      </c>
      <c r="I410" s="2" t="s">
        <v>5920</v>
      </c>
      <c r="J410" s="2" t="s">
        <v>5933</v>
      </c>
      <c r="K410" s="3" t="b">
        <f>J410 = "blocking"</f>
        <v>1</v>
      </c>
      <c r="L410" s="2" t="s">
        <v>1428</v>
      </c>
      <c r="M410" s="2" t="s">
        <v>6040</v>
      </c>
      <c r="N410" s="4">
        <v>46223.1297337963</v>
      </c>
      <c r="O410" s="3" t="b">
        <f>L410 = "PASS"</f>
        <v>1</v>
      </c>
      <c r="P410" s="3" t="b">
        <f>L410 = "FAIL"</f>
        <v>0</v>
      </c>
      <c r="Q410" s="3" t="b">
        <f>AND(P410, K410)</f>
        <v>0</v>
      </c>
      <c r="R410" s="3" t="str">
        <f>IF(O410, I410, "")</f>
        <v>suite-substrate</v>
      </c>
      <c r="S410" s="3" t="str">
        <f>IF(Q410, I410, "")</f>
      </c>
      <c r="T410" s="2" t="s">
        <v>5935</v>
      </c>
    </row>
    <row r="411">
      <c r="A411" s="2" t="s">
        <v>6380</v>
      </c>
      <c r="B411" s="3" t="str">
        <f>C411 &amp; ": " &amp; D411</f>
        <v>formula-translates: KnowledgeGaps.OwnerIsStillEngaged</v>
      </c>
      <c r="C411" s="2" t="s">
        <v>6038</v>
      </c>
      <c r="D411" s="2" t="s">
        <v>3331</v>
      </c>
      <c r="E411" s="2" t="s">
        <v>3302</v>
      </c>
      <c r="F411" s="2" t="s">
        <v>1185</v>
      </c>
      <c r="G411" s="2" t="s">
        <v>6039</v>
      </c>
      <c r="H411" s="2" t="s">
        <v>2028</v>
      </c>
      <c r="I411" s="2" t="s">
        <v>5920</v>
      </c>
      <c r="J411" s="2" t="s">
        <v>5933</v>
      </c>
      <c r="K411" s="3" t="b">
        <f>J411 = "blocking"</f>
        <v>1</v>
      </c>
      <c r="L411" s="2" t="s">
        <v>1428</v>
      </c>
      <c r="M411" s="2" t="s">
        <v>6040</v>
      </c>
      <c r="N411" s="4">
        <v>46223.1297337963</v>
      </c>
      <c r="O411" s="3" t="b">
        <f>L411 = "PASS"</f>
        <v>1</v>
      </c>
      <c r="P411" s="3" t="b">
        <f>L411 = "FAIL"</f>
        <v>0</v>
      </c>
      <c r="Q411" s="3" t="b">
        <f>AND(P411, K411)</f>
        <v>0</v>
      </c>
      <c r="R411" s="3" t="str">
        <f>IF(O411, I411, "")</f>
        <v>suite-substrate</v>
      </c>
      <c r="S411" s="3" t="str">
        <f>IF(Q411, I411, "")</f>
      </c>
      <c r="T411" s="2" t="s">
        <v>5935</v>
      </c>
    </row>
    <row r="412">
      <c r="A412" s="2" t="s">
        <v>6381</v>
      </c>
      <c r="B412" s="3" t="str">
        <f>C412 &amp; ": " &amp; D412</f>
        <v>formula-translates: KnowledgeGaps.HasResolutionPlan</v>
      </c>
      <c r="C412" s="2" t="s">
        <v>6038</v>
      </c>
      <c r="D412" s="2" t="s">
        <v>3333</v>
      </c>
      <c r="E412" s="2" t="s">
        <v>3302</v>
      </c>
      <c r="F412" s="2" t="s">
        <v>1186</v>
      </c>
      <c r="G412" s="2" t="s">
        <v>6039</v>
      </c>
      <c r="H412" s="2" t="s">
        <v>2028</v>
      </c>
      <c r="I412" s="2" t="s">
        <v>5920</v>
      </c>
      <c r="J412" s="2" t="s">
        <v>5933</v>
      </c>
      <c r="K412" s="3" t="b">
        <f>J412 = "blocking"</f>
        <v>1</v>
      </c>
      <c r="L412" s="2" t="s">
        <v>1428</v>
      </c>
      <c r="M412" s="2" t="s">
        <v>6040</v>
      </c>
      <c r="N412" s="4">
        <v>46223.1297337963</v>
      </c>
      <c r="O412" s="3" t="b">
        <f>L412 = "PASS"</f>
        <v>1</v>
      </c>
      <c r="P412" s="3" t="b">
        <f>L412 = "FAIL"</f>
        <v>0</v>
      </c>
      <c r="Q412" s="3" t="b">
        <f>AND(P412, K412)</f>
        <v>0</v>
      </c>
      <c r="R412" s="3" t="str">
        <f>IF(O412, I412, "")</f>
        <v>suite-substrate</v>
      </c>
      <c r="S412" s="3" t="str">
        <f>IF(Q412, I412, "")</f>
      </c>
      <c r="T412" s="2" t="s">
        <v>5935</v>
      </c>
    </row>
    <row r="413">
      <c r="A413" s="2" t="s">
        <v>6382</v>
      </c>
      <c r="B413" s="3" t="str">
        <f>C413 &amp; ": " &amp; D413</f>
        <v>formula-translates: KnowledgeGaps.IsAbandonedUnknown</v>
      </c>
      <c r="C413" s="2" t="s">
        <v>6038</v>
      </c>
      <c r="D413" s="2" t="s">
        <v>3335</v>
      </c>
      <c r="E413" s="2" t="s">
        <v>3302</v>
      </c>
      <c r="F413" s="2" t="s">
        <v>1187</v>
      </c>
      <c r="G413" s="2" t="s">
        <v>6039</v>
      </c>
      <c r="H413" s="2" t="s">
        <v>2028</v>
      </c>
      <c r="I413" s="2" t="s">
        <v>5920</v>
      </c>
      <c r="J413" s="2" t="s">
        <v>5933</v>
      </c>
      <c r="K413" s="3" t="b">
        <f>J413 = "blocking"</f>
        <v>1</v>
      </c>
      <c r="L413" s="2" t="s">
        <v>1428</v>
      </c>
      <c r="M413" s="2" t="s">
        <v>6040</v>
      </c>
      <c r="N413" s="4">
        <v>46223.1297337963</v>
      </c>
      <c r="O413" s="3" t="b">
        <f>L413 = "PASS"</f>
        <v>1</v>
      </c>
      <c r="P413" s="3" t="b">
        <f>L413 = "FAIL"</f>
        <v>0</v>
      </c>
      <c r="Q413" s="3" t="b">
        <f>AND(P413, K413)</f>
        <v>0</v>
      </c>
      <c r="R413" s="3" t="str">
        <f>IF(O413, I413, "")</f>
        <v>suite-substrate</v>
      </c>
      <c r="S413" s="3" t="str">
        <f>IF(Q413, I413, "")</f>
      </c>
      <c r="T413" s="2" t="s">
        <v>5935</v>
      </c>
    </row>
    <row r="414">
      <c r="A414" s="2" t="s">
        <v>6383</v>
      </c>
      <c r="B414" s="3" t="str">
        <f>C414 &amp; ": " &amp; D414</f>
        <v>formula-translates: KnowledgeGaps.OpenBlockingGapVersionKey</v>
      </c>
      <c r="C414" s="2" t="s">
        <v>6038</v>
      </c>
      <c r="D414" s="2" t="s">
        <v>3337</v>
      </c>
      <c r="E414" s="2" t="s">
        <v>3302</v>
      </c>
      <c r="F414" s="2" t="s">
        <v>1188</v>
      </c>
      <c r="G414" s="2" t="s">
        <v>6039</v>
      </c>
      <c r="H414" s="2" t="s">
        <v>2196</v>
      </c>
      <c r="I414" s="2" t="s">
        <v>5920</v>
      </c>
      <c r="J414" s="2" t="s">
        <v>5933</v>
      </c>
      <c r="K414" s="3" t="b">
        <f>J414 = "blocking"</f>
        <v>1</v>
      </c>
      <c r="L414" s="2" t="s">
        <v>1428</v>
      </c>
      <c r="M414" s="2" t="s">
        <v>6040</v>
      </c>
      <c r="N414" s="4">
        <v>46223.1297337963</v>
      </c>
      <c r="O414" s="3" t="b">
        <f>L414 = "PASS"</f>
        <v>1</v>
      </c>
      <c r="P414" s="3" t="b">
        <f>L414 = "FAIL"</f>
        <v>0</v>
      </c>
      <c r="Q414" s="3" t="b">
        <f>AND(P414, K414)</f>
        <v>0</v>
      </c>
      <c r="R414" s="3" t="str">
        <f>IF(O414, I414, "")</f>
        <v>suite-substrate</v>
      </c>
      <c r="S414" s="3" t="str">
        <f>IF(Q414, I414, "")</f>
      </c>
      <c r="T414" s="2" t="s">
        <v>5935</v>
      </c>
    </row>
    <row r="415">
      <c r="A415" s="2" t="s">
        <v>6384</v>
      </c>
      <c r="B415" s="3" t="str">
        <f>C415 &amp; ": " &amp; D415</f>
        <v>formula-translates: KnowledgeGaps.OwnerRoleIsVacated</v>
      </c>
      <c r="C415" s="2" t="s">
        <v>6038</v>
      </c>
      <c r="D415" s="2" t="s">
        <v>3339</v>
      </c>
      <c r="E415" s="2" t="s">
        <v>3302</v>
      </c>
      <c r="F415" s="2" t="s">
        <v>1149</v>
      </c>
      <c r="G415" s="2" t="s">
        <v>6039</v>
      </c>
      <c r="H415" s="2" t="s">
        <v>2212</v>
      </c>
      <c r="I415" s="2" t="s">
        <v>5920</v>
      </c>
      <c r="J415" s="2" t="s">
        <v>5933</v>
      </c>
      <c r="K415" s="3" t="b">
        <f>J415 = "blocking"</f>
        <v>1</v>
      </c>
      <c r="L415" s="2" t="s">
        <v>1428</v>
      </c>
      <c r="M415" s="2" t="s">
        <v>6040</v>
      </c>
      <c r="N415" s="4">
        <v>46223.1297337963</v>
      </c>
      <c r="O415" s="3" t="b">
        <f>L415 = "PASS"</f>
        <v>1</v>
      </c>
      <c r="P415" s="3" t="b">
        <f>L415 = "FAIL"</f>
        <v>0</v>
      </c>
      <c r="Q415" s="3" t="b">
        <f>AND(P415, K415)</f>
        <v>0</v>
      </c>
      <c r="R415" s="3" t="str">
        <f>IF(O415, I415, "")</f>
        <v>suite-substrate</v>
      </c>
      <c r="S415" s="3" t="str">
        <f>IF(Q415, I415, "")</f>
      </c>
      <c r="T415" s="2" t="s">
        <v>5935</v>
      </c>
    </row>
    <row r="416">
      <c r="A416" s="2" t="s">
        <v>6385</v>
      </c>
      <c r="B416" s="3" t="str">
        <f>C416 &amp; ": " &amp; D416</f>
        <v>formula-translates: KnowledgeGaps.IsOwnerlessOpenGap</v>
      </c>
      <c r="C416" s="2" t="s">
        <v>6038</v>
      </c>
      <c r="D416" s="2" t="s">
        <v>3340</v>
      </c>
      <c r="E416" s="2" t="s">
        <v>3302</v>
      </c>
      <c r="F416" s="2" t="s">
        <v>1189</v>
      </c>
      <c r="G416" s="2" t="s">
        <v>6039</v>
      </c>
      <c r="H416" s="2" t="s">
        <v>2212</v>
      </c>
      <c r="I416" s="2" t="s">
        <v>5920</v>
      </c>
      <c r="J416" s="2" t="s">
        <v>5933</v>
      </c>
      <c r="K416" s="3" t="b">
        <f>J416 = "blocking"</f>
        <v>1</v>
      </c>
      <c r="L416" s="2" t="s">
        <v>1428</v>
      </c>
      <c r="M416" s="2" t="s">
        <v>6040</v>
      </c>
      <c r="N416" s="4">
        <v>46223.1297337963</v>
      </c>
      <c r="O416" s="3" t="b">
        <f>L416 = "PASS"</f>
        <v>1</v>
      </c>
      <c r="P416" s="3" t="b">
        <f>L416 = "FAIL"</f>
        <v>0</v>
      </c>
      <c r="Q416" s="3" t="b">
        <f>AND(P416, K416)</f>
        <v>0</v>
      </c>
      <c r="R416" s="3" t="str">
        <f>IF(O416, I416, "")</f>
        <v>suite-substrate</v>
      </c>
      <c r="S416" s="3" t="str">
        <f>IF(Q416, I416, "")</f>
      </c>
      <c r="T416" s="2" t="s">
        <v>5935</v>
      </c>
    </row>
    <row r="417">
      <c r="A417" s="2" t="s">
        <v>6386</v>
      </c>
      <c r="B417" s="3" t="str">
        <f>C417 &amp; ": " &amp; D417</f>
        <v>formula-translates: FAQs.Name</v>
      </c>
      <c r="C417" s="2" t="s">
        <v>6038</v>
      </c>
      <c r="D417" s="2" t="s">
        <v>3344</v>
      </c>
      <c r="E417" s="2" t="s">
        <v>1825</v>
      </c>
      <c r="F417" s="2" t="s">
        <v>1</v>
      </c>
      <c r="G417" s="2" t="s">
        <v>6039</v>
      </c>
      <c r="H417" s="2"/>
      <c r="I417" s="2" t="s">
        <v>5920</v>
      </c>
      <c r="J417" s="2" t="s">
        <v>5933</v>
      </c>
      <c r="K417" s="3" t="b">
        <f>J417 = "blocking"</f>
        <v>1</v>
      </c>
      <c r="L417" s="2" t="s">
        <v>1428</v>
      </c>
      <c r="M417" s="2" t="s">
        <v>6040</v>
      </c>
      <c r="N417" s="4">
        <v>46223.1297337963</v>
      </c>
      <c r="O417" s="3" t="b">
        <f>L417 = "PASS"</f>
        <v>1</v>
      </c>
      <c r="P417" s="3" t="b">
        <f>L417 = "FAIL"</f>
        <v>0</v>
      </c>
      <c r="Q417" s="3" t="b">
        <f>AND(P417, K417)</f>
        <v>0</v>
      </c>
      <c r="R417" s="3" t="str">
        <f>IF(O417, I417, "")</f>
        <v>suite-substrate</v>
      </c>
      <c r="S417" s="3" t="str">
        <f>IF(Q417, I417, "")</f>
      </c>
      <c r="T417" s="2" t="s">
        <v>5935</v>
      </c>
    </row>
    <row r="418">
      <c r="A418" s="2" t="s">
        <v>6387</v>
      </c>
      <c r="B418" s="3" t="str">
        <f>C418 &amp; ": " &amp; D418</f>
        <v>formula-translates: Explanations.Name</v>
      </c>
      <c r="C418" s="2" t="s">
        <v>6038</v>
      </c>
      <c r="D418" s="2" t="s">
        <v>3354</v>
      </c>
      <c r="E418" s="2" t="s">
        <v>1828</v>
      </c>
      <c r="F418" s="2" t="s">
        <v>1</v>
      </c>
      <c r="G418" s="2" t="s">
        <v>6039</v>
      </c>
      <c r="H418" s="2"/>
      <c r="I418" s="2" t="s">
        <v>5920</v>
      </c>
      <c r="J418" s="2" t="s">
        <v>5933</v>
      </c>
      <c r="K418" s="3" t="b">
        <f>J418 = "blocking"</f>
        <v>1</v>
      </c>
      <c r="L418" s="2" t="s">
        <v>1428</v>
      </c>
      <c r="M418" s="2" t="s">
        <v>6040</v>
      </c>
      <c r="N418" s="4">
        <v>46223.1297337963</v>
      </c>
      <c r="O418" s="3" t="b">
        <f>L418 = "PASS"</f>
        <v>1</v>
      </c>
      <c r="P418" s="3" t="b">
        <f>L418 = "FAIL"</f>
        <v>0</v>
      </c>
      <c r="Q418" s="3" t="b">
        <f>AND(P418, K418)</f>
        <v>0</v>
      </c>
      <c r="R418" s="3" t="str">
        <f>IF(O418, I418, "")</f>
        <v>suite-substrate</v>
      </c>
      <c r="S418" s="3" t="str">
        <f>IF(Q418, I418, "")</f>
      </c>
      <c r="T418" s="2" t="s">
        <v>5935</v>
      </c>
    </row>
    <row r="419">
      <c r="A419" s="2" t="s">
        <v>6388</v>
      </c>
      <c r="B419" s="3" t="str">
        <f>C419 &amp; ": " &amp; D419</f>
        <v>formula-translates: ProcedureExecutions.Name</v>
      </c>
      <c r="C419" s="2" t="s">
        <v>6038</v>
      </c>
      <c r="D419" s="2" t="s">
        <v>3361</v>
      </c>
      <c r="E419" s="2" t="s">
        <v>1804</v>
      </c>
      <c r="F419" s="2" t="s">
        <v>1</v>
      </c>
      <c r="G419" s="2" t="s">
        <v>6039</v>
      </c>
      <c r="H419" s="2"/>
      <c r="I419" s="2" t="s">
        <v>5920</v>
      </c>
      <c r="J419" s="2" t="s">
        <v>5933</v>
      </c>
      <c r="K419" s="3" t="b">
        <f>J419 = "blocking"</f>
        <v>1</v>
      </c>
      <c r="L419" s="2" t="s">
        <v>1428</v>
      </c>
      <c r="M419" s="2" t="s">
        <v>6040</v>
      </c>
      <c r="N419" s="4">
        <v>46223.1297337963</v>
      </c>
      <c r="O419" s="3" t="b">
        <f>L419 = "PASS"</f>
        <v>1</v>
      </c>
      <c r="P419" s="3" t="b">
        <f>L419 = "FAIL"</f>
        <v>0</v>
      </c>
      <c r="Q419" s="3" t="b">
        <f>AND(P419, K419)</f>
        <v>0</v>
      </c>
      <c r="R419" s="3" t="str">
        <f>IF(O419, I419, "")</f>
        <v>suite-substrate</v>
      </c>
      <c r="S419" s="3" t="str">
        <f>IF(Q419, I419, "")</f>
      </c>
      <c r="T419" s="2" t="s">
        <v>5935</v>
      </c>
    </row>
    <row r="420">
      <c r="A420" s="2" t="s">
        <v>6389</v>
      </c>
      <c r="B420" s="3" t="str">
        <f>C420 &amp; ": " &amp; D420</f>
        <v>formula-translates: ProcedureExecutions.ExpectedStepCount</v>
      </c>
      <c r="C420" s="2" t="s">
        <v>6038</v>
      </c>
      <c r="D420" s="2" t="s">
        <v>3370</v>
      </c>
      <c r="E420" s="2" t="s">
        <v>1804</v>
      </c>
      <c r="F420" s="2" t="s">
        <v>1251</v>
      </c>
      <c r="G420" s="2" t="s">
        <v>6039</v>
      </c>
      <c r="H420" s="2" t="s">
        <v>1968</v>
      </c>
      <c r="I420" s="2" t="s">
        <v>5920</v>
      </c>
      <c r="J420" s="2" t="s">
        <v>5933</v>
      </c>
      <c r="K420" s="3" t="b">
        <f>J420 = "blocking"</f>
        <v>1</v>
      </c>
      <c r="L420" s="2" t="s">
        <v>1428</v>
      </c>
      <c r="M420" s="2" t="s">
        <v>6040</v>
      </c>
      <c r="N420" s="4">
        <v>46223.1297337963</v>
      </c>
      <c r="O420" s="3" t="b">
        <f>L420 = "PASS"</f>
        <v>1</v>
      </c>
      <c r="P420" s="3" t="b">
        <f>L420 = "FAIL"</f>
        <v>0</v>
      </c>
      <c r="Q420" s="3" t="b">
        <f>AND(P420, K420)</f>
        <v>0</v>
      </c>
      <c r="R420" s="3" t="str">
        <f>IF(O420, I420, "")</f>
        <v>suite-substrate</v>
      </c>
      <c r="S420" s="3" t="str">
        <f>IF(Q420, I420, "")</f>
      </c>
      <c r="T420" s="2" t="s">
        <v>5935</v>
      </c>
    </row>
    <row r="421">
      <c r="A421" s="2" t="s">
        <v>6390</v>
      </c>
      <c r="B421" s="3" t="str">
        <f>C421 &amp; ": " &amp; D421</f>
        <v>formula-translates: ProcedureExecutions.CompletedStepCount</v>
      </c>
      <c r="C421" s="2" t="s">
        <v>6038</v>
      </c>
      <c r="D421" s="2" t="s">
        <v>3372</v>
      </c>
      <c r="E421" s="2" t="s">
        <v>1804</v>
      </c>
      <c r="F421" s="2" t="s">
        <v>1252</v>
      </c>
      <c r="G421" s="2" t="s">
        <v>6039</v>
      </c>
      <c r="H421" s="2" t="s">
        <v>1968</v>
      </c>
      <c r="I421" s="2" t="s">
        <v>5920</v>
      </c>
      <c r="J421" s="2" t="s">
        <v>5933</v>
      </c>
      <c r="K421" s="3" t="b">
        <f>J421 = "blocking"</f>
        <v>1</v>
      </c>
      <c r="L421" s="2" t="s">
        <v>1428</v>
      </c>
      <c r="M421" s="2" t="s">
        <v>6040</v>
      </c>
      <c r="N421" s="4">
        <v>46223.1297337963</v>
      </c>
      <c r="O421" s="3" t="b">
        <f>L421 = "PASS"</f>
        <v>1</v>
      </c>
      <c r="P421" s="3" t="b">
        <f>L421 = "FAIL"</f>
        <v>0</v>
      </c>
      <c r="Q421" s="3" t="b">
        <f>AND(P421, K421)</f>
        <v>0</v>
      </c>
      <c r="R421" s="3" t="str">
        <f>IF(O421, I421, "")</f>
        <v>suite-substrate</v>
      </c>
      <c r="S421" s="3" t="str">
        <f>IF(Q421, I421, "")</f>
      </c>
      <c r="T421" s="2" t="s">
        <v>5935</v>
      </c>
    </row>
    <row r="422">
      <c r="A422" s="2" t="s">
        <v>6391</v>
      </c>
      <c r="B422" s="3" t="str">
        <f>C422 &amp; ": " &amp; D422</f>
        <v>formula-translates: ProcedureExecutions.ControlBreachCount</v>
      </c>
      <c r="C422" s="2" t="s">
        <v>6038</v>
      </c>
      <c r="D422" s="2" t="s">
        <v>3374</v>
      </c>
      <c r="E422" s="2" t="s">
        <v>1804</v>
      </c>
      <c r="F422" s="2" t="s">
        <v>1253</v>
      </c>
      <c r="G422" s="2" t="s">
        <v>6039</v>
      </c>
      <c r="H422" s="2" t="s">
        <v>1968</v>
      </c>
      <c r="I422" s="2" t="s">
        <v>5920</v>
      </c>
      <c r="J422" s="2" t="s">
        <v>5933</v>
      </c>
      <c r="K422" s="3" t="b">
        <f>J422 = "blocking"</f>
        <v>1</v>
      </c>
      <c r="L422" s="2" t="s">
        <v>1428</v>
      </c>
      <c r="M422" s="2" t="s">
        <v>6040</v>
      </c>
      <c r="N422" s="4">
        <v>46223.1297337963</v>
      </c>
      <c r="O422" s="3" t="b">
        <f>L422 = "PASS"</f>
        <v>1</v>
      </c>
      <c r="P422" s="3" t="b">
        <f>L422 = "FAIL"</f>
        <v>0</v>
      </c>
      <c r="Q422" s="3" t="b">
        <f>AND(P422, K422)</f>
        <v>0</v>
      </c>
      <c r="R422" s="3" t="str">
        <f>IF(O422, I422, "")</f>
        <v>suite-substrate</v>
      </c>
      <c r="S422" s="3" t="str">
        <f>IF(Q422, I422, "")</f>
      </c>
      <c r="T422" s="2" t="s">
        <v>5935</v>
      </c>
    </row>
    <row r="423">
      <c r="A423" s="2" t="s">
        <v>6392</v>
      </c>
      <c r="B423" s="3" t="str">
        <f>C423 &amp; ": " &amp; D423</f>
        <v>formula-translates: ProcedureExecutions.LateStepCount</v>
      </c>
      <c r="C423" s="2" t="s">
        <v>6038</v>
      </c>
      <c r="D423" s="2" t="s">
        <v>3376</v>
      </c>
      <c r="E423" s="2" t="s">
        <v>1804</v>
      </c>
      <c r="F423" s="2" t="s">
        <v>1254</v>
      </c>
      <c r="G423" s="2" t="s">
        <v>6039</v>
      </c>
      <c r="H423" s="2" t="s">
        <v>1968</v>
      </c>
      <c r="I423" s="2" t="s">
        <v>5920</v>
      </c>
      <c r="J423" s="2" t="s">
        <v>5933</v>
      </c>
      <c r="K423" s="3" t="b">
        <f>J423 = "blocking"</f>
        <v>1</v>
      </c>
      <c r="L423" s="2" t="s">
        <v>1428</v>
      </c>
      <c r="M423" s="2" t="s">
        <v>6040</v>
      </c>
      <c r="N423" s="4">
        <v>46223.1297337963</v>
      </c>
      <c r="O423" s="3" t="b">
        <f>L423 = "PASS"</f>
        <v>1</v>
      </c>
      <c r="P423" s="3" t="b">
        <f>L423 = "FAIL"</f>
        <v>0</v>
      </c>
      <c r="Q423" s="3" t="b">
        <f>AND(P423, K423)</f>
        <v>0</v>
      </c>
      <c r="R423" s="3" t="str">
        <f>IF(O423, I423, "")</f>
        <v>suite-substrate</v>
      </c>
      <c r="S423" s="3" t="str">
        <f>IF(Q423, I423, "")</f>
      </c>
      <c r="T423" s="2" t="s">
        <v>5935</v>
      </c>
    </row>
    <row r="424">
      <c r="A424" s="2" t="s">
        <v>6393</v>
      </c>
      <c r="B424" s="3" t="str">
        <f>C424 &amp; ": " &amp; D424</f>
        <v>formula-translates: ProcedureExecutions.IsStructurallyComplete</v>
      </c>
      <c r="C424" s="2" t="s">
        <v>6038</v>
      </c>
      <c r="D424" s="2" t="s">
        <v>3378</v>
      </c>
      <c r="E424" s="2" t="s">
        <v>1804</v>
      </c>
      <c r="F424" s="2" t="s">
        <v>1255</v>
      </c>
      <c r="G424" s="2" t="s">
        <v>6039</v>
      </c>
      <c r="H424" s="2" t="s">
        <v>1968</v>
      </c>
      <c r="I424" s="2" t="s">
        <v>5920</v>
      </c>
      <c r="J424" s="2" t="s">
        <v>5933</v>
      </c>
      <c r="K424" s="3" t="b">
        <f>J424 = "blocking"</f>
        <v>1</v>
      </c>
      <c r="L424" s="2" t="s">
        <v>1428</v>
      </c>
      <c r="M424" s="2" t="s">
        <v>6040</v>
      </c>
      <c r="N424" s="4">
        <v>46223.1297337963</v>
      </c>
      <c r="O424" s="3" t="b">
        <f>L424 = "PASS"</f>
        <v>1</v>
      </c>
      <c r="P424" s="3" t="b">
        <f>L424 = "FAIL"</f>
        <v>0</v>
      </c>
      <c r="Q424" s="3" t="b">
        <f>AND(P424, K424)</f>
        <v>0</v>
      </c>
      <c r="R424" s="3" t="str">
        <f>IF(O424, I424, "")</f>
        <v>suite-substrate</v>
      </c>
      <c r="S424" s="3" t="str">
        <f>IF(Q424, I424, "")</f>
      </c>
      <c r="T424" s="2" t="s">
        <v>5935</v>
      </c>
    </row>
    <row r="425">
      <c r="A425" s="2" t="s">
        <v>6394</v>
      </c>
      <c r="B425" s="3" t="str">
        <f>C425 &amp; ": " &amp; D425</f>
        <v>formula-translates: ProcedureExecutions.DivergedFromSpecification</v>
      </c>
      <c r="C425" s="2" t="s">
        <v>6038</v>
      </c>
      <c r="D425" s="2" t="s">
        <v>3380</v>
      </c>
      <c r="E425" s="2" t="s">
        <v>1804</v>
      </c>
      <c r="F425" s="2" t="s">
        <v>1256</v>
      </c>
      <c r="G425" s="2" t="s">
        <v>6039</v>
      </c>
      <c r="H425" s="2" t="s">
        <v>1968</v>
      </c>
      <c r="I425" s="2" t="s">
        <v>5920</v>
      </c>
      <c r="J425" s="2" t="s">
        <v>5933</v>
      </c>
      <c r="K425" s="3" t="b">
        <f>J425 = "blocking"</f>
        <v>1</v>
      </c>
      <c r="L425" s="2" t="s">
        <v>1428</v>
      </c>
      <c r="M425" s="2" t="s">
        <v>6040</v>
      </c>
      <c r="N425" s="4">
        <v>46223.1297337963</v>
      </c>
      <c r="O425" s="3" t="b">
        <f>L425 = "PASS"</f>
        <v>1</v>
      </c>
      <c r="P425" s="3" t="b">
        <f>L425 = "FAIL"</f>
        <v>0</v>
      </c>
      <c r="Q425" s="3" t="b">
        <f>AND(P425, K425)</f>
        <v>0</v>
      </c>
      <c r="R425" s="3" t="str">
        <f>IF(O425, I425, "")</f>
        <v>suite-substrate</v>
      </c>
      <c r="S425" s="3" t="str">
        <f>IF(Q425, I425, "")</f>
      </c>
      <c r="T425" s="2" t="s">
        <v>5935</v>
      </c>
    </row>
    <row r="426">
      <c r="A426" s="2" t="s">
        <v>6395</v>
      </c>
      <c r="B426" s="3" t="str">
        <f>C426 &amp; ": " &amp; D426</f>
        <v>formula-translates: ProcedureExecutions.AllBlockingControlsEvaluated</v>
      </c>
      <c r="C426" s="2" t="s">
        <v>6038</v>
      </c>
      <c r="D426" s="2" t="s">
        <v>3382</v>
      </c>
      <c r="E426" s="2" t="s">
        <v>1804</v>
      </c>
      <c r="F426" s="2" t="s">
        <v>1257</v>
      </c>
      <c r="G426" s="2" t="s">
        <v>6039</v>
      </c>
      <c r="H426" s="2" t="s">
        <v>1976</v>
      </c>
      <c r="I426" s="2" t="s">
        <v>5920</v>
      </c>
      <c r="J426" s="2" t="s">
        <v>5933</v>
      </c>
      <c r="K426" s="3" t="b">
        <f>J426 = "blocking"</f>
        <v>1</v>
      </c>
      <c r="L426" s="2" t="s">
        <v>1428</v>
      </c>
      <c r="M426" s="2" t="s">
        <v>6040</v>
      </c>
      <c r="N426" s="4">
        <v>46223.1297337963</v>
      </c>
      <c r="O426" s="3" t="b">
        <f>L426 = "PASS"</f>
        <v>1</v>
      </c>
      <c r="P426" s="3" t="b">
        <f>L426 = "FAIL"</f>
        <v>0</v>
      </c>
      <c r="Q426" s="3" t="b">
        <f>AND(P426, K426)</f>
        <v>0</v>
      </c>
      <c r="R426" s="3" t="str">
        <f>IF(O426, I426, "")</f>
        <v>suite-substrate</v>
      </c>
      <c r="S426" s="3" t="str">
        <f>IF(Q426, I426, "")</f>
      </c>
      <c r="T426" s="2" t="s">
        <v>5935</v>
      </c>
    </row>
    <row r="427">
      <c r="A427" s="2" t="s">
        <v>6396</v>
      </c>
      <c r="B427" s="3" t="str">
        <f>C427 &amp; ": " &amp; D427</f>
        <v>formula-translates: ProcedureExecutions.UnevaluatedBlockingTotal</v>
      </c>
      <c r="C427" s="2" t="s">
        <v>6038</v>
      </c>
      <c r="D427" s="2" t="s">
        <v>3384</v>
      </c>
      <c r="E427" s="2" t="s">
        <v>1804</v>
      </c>
      <c r="F427" s="2" t="s">
        <v>1258</v>
      </c>
      <c r="G427" s="2" t="s">
        <v>6039</v>
      </c>
      <c r="H427" s="2" t="s">
        <v>1976</v>
      </c>
      <c r="I427" s="2" t="s">
        <v>5920</v>
      </c>
      <c r="J427" s="2" t="s">
        <v>5933</v>
      </c>
      <c r="K427" s="3" t="b">
        <f>J427 = "blocking"</f>
        <v>1</v>
      </c>
      <c r="L427" s="2" t="s">
        <v>1428</v>
      </c>
      <c r="M427" s="2" t="s">
        <v>6040</v>
      </c>
      <c r="N427" s="4">
        <v>46223.1297337963</v>
      </c>
      <c r="O427" s="3" t="b">
        <f>L427 = "PASS"</f>
        <v>1</v>
      </c>
      <c r="P427" s="3" t="b">
        <f>L427 = "FAIL"</f>
        <v>0</v>
      </c>
      <c r="Q427" s="3" t="b">
        <f>AND(P427, K427)</f>
        <v>0</v>
      </c>
      <c r="R427" s="3" t="str">
        <f>IF(O427, I427, "")</f>
        <v>suite-substrate</v>
      </c>
      <c r="S427" s="3" t="str">
        <f>IF(Q427, I427, "")</f>
      </c>
      <c r="T427" s="2" t="s">
        <v>5935</v>
      </c>
    </row>
    <row r="428">
      <c r="A428" s="2" t="s">
        <v>6397</v>
      </c>
      <c r="B428" s="3" t="str">
        <f>C428 &amp; ": " &amp; D428</f>
        <v>formula-translates: ProcedureExecutions.SeparationOfDutiesHeld</v>
      </c>
      <c r="C428" s="2" t="s">
        <v>6038</v>
      </c>
      <c r="D428" s="2" t="s">
        <v>3386</v>
      </c>
      <c r="E428" s="2" t="s">
        <v>1804</v>
      </c>
      <c r="F428" s="2" t="s">
        <v>1259</v>
      </c>
      <c r="G428" s="2" t="s">
        <v>6039</v>
      </c>
      <c r="H428" s="2" t="s">
        <v>1976</v>
      </c>
      <c r="I428" s="2" t="s">
        <v>5920</v>
      </c>
      <c r="J428" s="2" t="s">
        <v>5933</v>
      </c>
      <c r="K428" s="3" t="b">
        <f>J428 = "blocking"</f>
        <v>1</v>
      </c>
      <c r="L428" s="2" t="s">
        <v>1428</v>
      </c>
      <c r="M428" s="2" t="s">
        <v>6040</v>
      </c>
      <c r="N428" s="4">
        <v>46223.1297337963</v>
      </c>
      <c r="O428" s="3" t="b">
        <f>L428 = "PASS"</f>
        <v>1</v>
      </c>
      <c r="P428" s="3" t="b">
        <f>L428 = "FAIL"</f>
        <v>0</v>
      </c>
      <c r="Q428" s="3" t="b">
        <f>AND(P428, K428)</f>
        <v>0</v>
      </c>
      <c r="R428" s="3" t="str">
        <f>IF(O428, I428, "")</f>
        <v>suite-substrate</v>
      </c>
      <c r="S428" s="3" t="str">
        <f>IF(Q428, I428, "")</f>
      </c>
      <c r="T428" s="2" t="s">
        <v>5935</v>
      </c>
    </row>
    <row r="429">
      <c r="A429" s="2" t="s">
        <v>6398</v>
      </c>
      <c r="B429" s="3" t="str">
        <f>C429 &amp; ": " &amp; D429</f>
        <v>formula-translates: ProcedureExecutions.SeparationViolationCount</v>
      </c>
      <c r="C429" s="2" t="s">
        <v>6038</v>
      </c>
      <c r="D429" s="2" t="s">
        <v>3388</v>
      </c>
      <c r="E429" s="2" t="s">
        <v>1804</v>
      </c>
      <c r="F429" s="2" t="s">
        <v>1260</v>
      </c>
      <c r="G429" s="2" t="s">
        <v>6039</v>
      </c>
      <c r="H429" s="2" t="s">
        <v>1976</v>
      </c>
      <c r="I429" s="2" t="s">
        <v>5920</v>
      </c>
      <c r="J429" s="2" t="s">
        <v>5933</v>
      </c>
      <c r="K429" s="3" t="b">
        <f>J429 = "blocking"</f>
        <v>1</v>
      </c>
      <c r="L429" s="2" t="s">
        <v>1428</v>
      </c>
      <c r="M429" s="2" t="s">
        <v>6040</v>
      </c>
      <c r="N429" s="4">
        <v>46223.1297337963</v>
      </c>
      <c r="O429" s="3" t="b">
        <f>L429 = "PASS"</f>
        <v>1</v>
      </c>
      <c r="P429" s="3" t="b">
        <f>L429 = "FAIL"</f>
        <v>0</v>
      </c>
      <c r="Q429" s="3" t="b">
        <f>AND(P429, K429)</f>
        <v>0</v>
      </c>
      <c r="R429" s="3" t="str">
        <f>IF(O429, I429, "")</f>
        <v>suite-substrate</v>
      </c>
      <c r="S429" s="3" t="str">
        <f>IF(Q429, I429, "")</f>
      </c>
      <c r="T429" s="2" t="s">
        <v>5935</v>
      </c>
    </row>
    <row r="430">
      <c r="A430" s="2" t="s">
        <v>6399</v>
      </c>
      <c r="B430" s="3" t="str">
        <f>C430 &amp; ": " &amp; D430</f>
        <v>formula-translates: ProcedureExecutions.IsAttestationReady</v>
      </c>
      <c r="C430" s="2" t="s">
        <v>6038</v>
      </c>
      <c r="D430" s="2" t="s">
        <v>3390</v>
      </c>
      <c r="E430" s="2" t="s">
        <v>1804</v>
      </c>
      <c r="F430" s="2" t="s">
        <v>1261</v>
      </c>
      <c r="G430" s="2" t="s">
        <v>6039</v>
      </c>
      <c r="H430" s="2" t="s">
        <v>1976</v>
      </c>
      <c r="I430" s="2" t="s">
        <v>5920</v>
      </c>
      <c r="J430" s="2" t="s">
        <v>5933</v>
      </c>
      <c r="K430" s="3" t="b">
        <f>J430 = "blocking"</f>
        <v>1</v>
      </c>
      <c r="L430" s="2" t="s">
        <v>1428</v>
      </c>
      <c r="M430" s="2" t="s">
        <v>6040</v>
      </c>
      <c r="N430" s="4">
        <v>46223.1297337963</v>
      </c>
      <c r="O430" s="3" t="b">
        <f>L430 = "PASS"</f>
        <v>1</v>
      </c>
      <c r="P430" s="3" t="b">
        <f>L430 = "FAIL"</f>
        <v>0</v>
      </c>
      <c r="Q430" s="3" t="b">
        <f>AND(P430, K430)</f>
        <v>0</v>
      </c>
      <c r="R430" s="3" t="str">
        <f>IF(O430, I430, "")</f>
        <v>suite-substrate</v>
      </c>
      <c r="S430" s="3" t="str">
        <f>IF(Q430, I430, "")</f>
      </c>
      <c r="T430" s="2" t="s">
        <v>5935</v>
      </c>
    </row>
    <row r="431">
      <c r="A431" s="2" t="s">
        <v>6400</v>
      </c>
      <c r="B431" s="3" t="str">
        <f>C431 &amp; ": " &amp; D431</f>
        <v>formula-translates: ProcedureExecutions.AttestationBlockerSummary</v>
      </c>
      <c r="C431" s="2" t="s">
        <v>6038</v>
      </c>
      <c r="D431" s="2" t="s">
        <v>3392</v>
      </c>
      <c r="E431" s="2" t="s">
        <v>1804</v>
      </c>
      <c r="F431" s="2" t="s">
        <v>1262</v>
      </c>
      <c r="G431" s="2" t="s">
        <v>6039</v>
      </c>
      <c r="H431" s="2" t="s">
        <v>1976</v>
      </c>
      <c r="I431" s="2" t="s">
        <v>5920</v>
      </c>
      <c r="J431" s="2" t="s">
        <v>5933</v>
      </c>
      <c r="K431" s="3" t="b">
        <f>J431 = "blocking"</f>
        <v>1</v>
      </c>
      <c r="L431" s="2" t="s">
        <v>1428</v>
      </c>
      <c r="M431" s="2" t="s">
        <v>6040</v>
      </c>
      <c r="N431" s="4">
        <v>46223.1297337963</v>
      </c>
      <c r="O431" s="3" t="b">
        <f>L431 = "PASS"</f>
        <v>1</v>
      </c>
      <c r="P431" s="3" t="b">
        <f>L431 = "FAIL"</f>
        <v>0</v>
      </c>
      <c r="Q431" s="3" t="b">
        <f>AND(P431, K431)</f>
        <v>0</v>
      </c>
      <c r="R431" s="3" t="str">
        <f>IF(O431, I431, "")</f>
        <v>suite-substrate</v>
      </c>
      <c r="S431" s="3" t="str">
        <f>IF(Q431, I431, "")</f>
      </c>
      <c r="T431" s="2" t="s">
        <v>5935</v>
      </c>
    </row>
    <row r="432">
      <c r="A432" s="2" t="s">
        <v>6401</v>
      </c>
      <c r="B432" s="3" t="str">
        <f>C432 &amp; ": " &amp; D432</f>
        <v>formula-translates: ProcedureExecutions.ExecutedVersionIsFit</v>
      </c>
      <c r="C432" s="2" t="s">
        <v>6038</v>
      </c>
      <c r="D432" s="2" t="s">
        <v>3394</v>
      </c>
      <c r="E432" s="2" t="s">
        <v>1804</v>
      </c>
      <c r="F432" s="2" t="s">
        <v>1263</v>
      </c>
      <c r="G432" s="2" t="s">
        <v>6039</v>
      </c>
      <c r="H432" s="2" t="s">
        <v>1980</v>
      </c>
      <c r="I432" s="2" t="s">
        <v>5920</v>
      </c>
      <c r="J432" s="2" t="s">
        <v>5933</v>
      </c>
      <c r="K432" s="3" t="b">
        <f>J432 = "blocking"</f>
        <v>1</v>
      </c>
      <c r="L432" s="2" t="s">
        <v>1428</v>
      </c>
      <c r="M432" s="2" t="s">
        <v>6040</v>
      </c>
      <c r="N432" s="4">
        <v>46223.1297337963</v>
      </c>
      <c r="O432" s="3" t="b">
        <f>L432 = "PASS"</f>
        <v>1</v>
      </c>
      <c r="P432" s="3" t="b">
        <f>L432 = "FAIL"</f>
        <v>0</v>
      </c>
      <c r="Q432" s="3" t="b">
        <f>AND(P432, K432)</f>
        <v>0</v>
      </c>
      <c r="R432" s="3" t="str">
        <f>IF(O432, I432, "")</f>
        <v>suite-substrate</v>
      </c>
      <c r="S432" s="3" t="str">
        <f>IF(Q432, I432, "")</f>
      </c>
      <c r="T432" s="2" t="s">
        <v>5935</v>
      </c>
    </row>
    <row r="433">
      <c r="A433" s="2" t="s">
        <v>6402</v>
      </c>
      <c r="B433" s="3" t="str">
        <f>C433 &amp; ": " &amp; D433</f>
        <v>formula-translates: ProcedureExecutions.SignedAgainstUnfitVersion</v>
      </c>
      <c r="C433" s="2" t="s">
        <v>6038</v>
      </c>
      <c r="D433" s="2" t="s">
        <v>3396</v>
      </c>
      <c r="E433" s="2" t="s">
        <v>1804</v>
      </c>
      <c r="F433" s="2" t="s">
        <v>1264</v>
      </c>
      <c r="G433" s="2" t="s">
        <v>6039</v>
      </c>
      <c r="H433" s="2" t="s">
        <v>1980</v>
      </c>
      <c r="I433" s="2" t="s">
        <v>5920</v>
      </c>
      <c r="J433" s="2" t="s">
        <v>5933</v>
      </c>
      <c r="K433" s="3" t="b">
        <f>J433 = "blocking"</f>
        <v>1</v>
      </c>
      <c r="L433" s="2" t="s">
        <v>1428</v>
      </c>
      <c r="M433" s="2" t="s">
        <v>6040</v>
      </c>
      <c r="N433" s="4">
        <v>46223.1297337963</v>
      </c>
      <c r="O433" s="3" t="b">
        <f>L433 = "PASS"</f>
        <v>1</v>
      </c>
      <c r="P433" s="3" t="b">
        <f>L433 = "FAIL"</f>
        <v>0</v>
      </c>
      <c r="Q433" s="3" t="b">
        <f>AND(P433, K433)</f>
        <v>0</v>
      </c>
      <c r="R433" s="3" t="str">
        <f>IF(O433, I433, "")</f>
        <v>suite-substrate</v>
      </c>
      <c r="S433" s="3" t="str">
        <f>IF(Q433, I433, "")</f>
      </c>
      <c r="T433" s="2" t="s">
        <v>5935</v>
      </c>
    </row>
    <row r="434">
      <c r="A434" s="2" t="s">
        <v>6403</v>
      </c>
      <c r="B434" s="3" t="str">
        <f>C434 &amp; ": " &amp; D434</f>
        <v>formula-translates: ProcedureExecutions.AssertedOnlyControlCount</v>
      </c>
      <c r="C434" s="2" t="s">
        <v>6038</v>
      </c>
      <c r="D434" s="2" t="s">
        <v>3398</v>
      </c>
      <c r="E434" s="2" t="s">
        <v>1804</v>
      </c>
      <c r="F434" s="2" t="s">
        <v>1265</v>
      </c>
      <c r="G434" s="2" t="s">
        <v>6039</v>
      </c>
      <c r="H434" s="2" t="s">
        <v>1992</v>
      </c>
      <c r="I434" s="2" t="s">
        <v>5920</v>
      </c>
      <c r="J434" s="2" t="s">
        <v>5933</v>
      </c>
      <c r="K434" s="3" t="b">
        <f>J434 = "blocking"</f>
        <v>1</v>
      </c>
      <c r="L434" s="2" t="s">
        <v>1428</v>
      </c>
      <c r="M434" s="2" t="s">
        <v>6040</v>
      </c>
      <c r="N434" s="4">
        <v>46223.1297337963</v>
      </c>
      <c r="O434" s="3" t="b">
        <f>L434 = "PASS"</f>
        <v>1</v>
      </c>
      <c r="P434" s="3" t="b">
        <f>L434 = "FAIL"</f>
        <v>0</v>
      </c>
      <c r="Q434" s="3" t="b">
        <f>AND(P434, K434)</f>
        <v>0</v>
      </c>
      <c r="R434" s="3" t="str">
        <f>IF(O434, I434, "")</f>
        <v>suite-substrate</v>
      </c>
      <c r="S434" s="3" t="str">
        <f>IF(Q434, I434, "")</f>
      </c>
      <c r="T434" s="2" t="s">
        <v>5935</v>
      </c>
    </row>
    <row r="435">
      <c r="A435" s="2" t="s">
        <v>6404</v>
      </c>
      <c r="B435" s="3" t="str">
        <f>C435 &amp; ": " &amp; D435</f>
        <v>formula-translates: ProcedureExecutions.AssuranceIsMostlyAsserted</v>
      </c>
      <c r="C435" s="2" t="s">
        <v>6038</v>
      </c>
      <c r="D435" s="2" t="s">
        <v>3400</v>
      </c>
      <c r="E435" s="2" t="s">
        <v>1804</v>
      </c>
      <c r="F435" s="2" t="s">
        <v>1266</v>
      </c>
      <c r="G435" s="2" t="s">
        <v>6039</v>
      </c>
      <c r="H435" s="2" t="s">
        <v>1992</v>
      </c>
      <c r="I435" s="2" t="s">
        <v>5920</v>
      </c>
      <c r="J435" s="2" t="s">
        <v>5933</v>
      </c>
      <c r="K435" s="3" t="b">
        <f>J435 = "blocking"</f>
        <v>1</v>
      </c>
      <c r="L435" s="2" t="s">
        <v>1428</v>
      </c>
      <c r="M435" s="2" t="s">
        <v>6040</v>
      </c>
      <c r="N435" s="4">
        <v>46223.1297337963</v>
      </c>
      <c r="O435" s="3" t="b">
        <f>L435 = "PASS"</f>
        <v>1</v>
      </c>
      <c r="P435" s="3" t="b">
        <f>L435 = "FAIL"</f>
        <v>0</v>
      </c>
      <c r="Q435" s="3" t="b">
        <f>AND(P435, K435)</f>
        <v>0</v>
      </c>
      <c r="R435" s="3" t="str">
        <f>IF(O435, I435, "")</f>
        <v>suite-substrate</v>
      </c>
      <c r="S435" s="3" t="str">
        <f>IF(Q435, I435, "")</f>
      </c>
      <c r="T435" s="2" t="s">
        <v>5935</v>
      </c>
    </row>
    <row r="436">
      <c r="A436" s="2" t="s">
        <v>6405</v>
      </c>
      <c r="B436" s="3" t="str">
        <f>C436 &amp; ": " &amp; D436</f>
        <v>formula-translates: ProcedureExecutions.UnreachableHandlingFailureCount</v>
      </c>
      <c r="C436" s="2" t="s">
        <v>6038</v>
      </c>
      <c r="D436" s="2" t="s">
        <v>3402</v>
      </c>
      <c r="E436" s="2" t="s">
        <v>1804</v>
      </c>
      <c r="F436" s="2" t="s">
        <v>1267</v>
      </c>
      <c r="G436" s="2" t="s">
        <v>6039</v>
      </c>
      <c r="H436" s="2" t="s">
        <v>2044</v>
      </c>
      <c r="I436" s="2" t="s">
        <v>5920</v>
      </c>
      <c r="J436" s="2" t="s">
        <v>5933</v>
      </c>
      <c r="K436" s="3" t="b">
        <f>J436 = "blocking"</f>
        <v>1</v>
      </c>
      <c r="L436" s="2" t="s">
        <v>1428</v>
      </c>
      <c r="M436" s="2" t="s">
        <v>6040</v>
      </c>
      <c r="N436" s="4">
        <v>46223.1297337963</v>
      </c>
      <c r="O436" s="3" t="b">
        <f>L436 = "PASS"</f>
        <v>1</v>
      </c>
      <c r="P436" s="3" t="b">
        <f>L436 = "FAIL"</f>
        <v>0</v>
      </c>
      <c r="Q436" s="3" t="b">
        <f>AND(P436, K436)</f>
        <v>0</v>
      </c>
      <c r="R436" s="3" t="str">
        <f>IF(O436, I436, "")</f>
        <v>suite-substrate</v>
      </c>
      <c r="S436" s="3" t="str">
        <f>IF(Q436, I436, "")</f>
      </c>
      <c r="T436" s="2" t="s">
        <v>5935</v>
      </c>
    </row>
    <row r="437">
      <c r="A437" s="2" t="s">
        <v>6406</v>
      </c>
      <c r="B437" s="3" t="str">
        <f>C437 &amp; ": " &amp; D437</f>
        <v>formula-translates: ProcedureExecutions.RetentionBreachCount</v>
      </c>
      <c r="C437" s="2" t="s">
        <v>6038</v>
      </c>
      <c r="D437" s="2" t="s">
        <v>3404</v>
      </c>
      <c r="E437" s="2" t="s">
        <v>1804</v>
      </c>
      <c r="F437" s="2" t="s">
        <v>1268</v>
      </c>
      <c r="G437" s="2" t="s">
        <v>6039</v>
      </c>
      <c r="H437" s="2" t="s">
        <v>2048</v>
      </c>
      <c r="I437" s="2" t="s">
        <v>5920</v>
      </c>
      <c r="J437" s="2" t="s">
        <v>5933</v>
      </c>
      <c r="K437" s="3" t="b">
        <f>J437 = "blocking"</f>
        <v>1</v>
      </c>
      <c r="L437" s="2" t="s">
        <v>1428</v>
      </c>
      <c r="M437" s="2" t="s">
        <v>6040</v>
      </c>
      <c r="N437" s="4">
        <v>46223.1297337963</v>
      </c>
      <c r="O437" s="3" t="b">
        <f>L437 = "PASS"</f>
        <v>1</v>
      </c>
      <c r="P437" s="3" t="b">
        <f>L437 = "FAIL"</f>
        <v>0</v>
      </c>
      <c r="Q437" s="3" t="b">
        <f>AND(P437, K437)</f>
        <v>0</v>
      </c>
      <c r="R437" s="3" t="str">
        <f>IF(O437, I437, "")</f>
        <v>suite-substrate</v>
      </c>
      <c r="S437" s="3" t="str">
        <f>IF(Q437, I437, "")</f>
      </c>
      <c r="T437" s="2" t="s">
        <v>5935</v>
      </c>
    </row>
    <row r="438">
      <c r="A438" s="2" t="s">
        <v>6407</v>
      </c>
      <c r="B438" s="3" t="str">
        <f>C438 &amp; ": " &amp; D438</f>
        <v>formula-translates: ProcedureExecutions.ClearedLegalReviewCount</v>
      </c>
      <c r="C438" s="2" t="s">
        <v>6038</v>
      </c>
      <c r="D438" s="2" t="s">
        <v>3406</v>
      </c>
      <c r="E438" s="2" t="s">
        <v>1804</v>
      </c>
      <c r="F438" s="2" t="s">
        <v>1269</v>
      </c>
      <c r="G438" s="2" t="s">
        <v>6039</v>
      </c>
      <c r="H438" s="2" t="s">
        <v>2052</v>
      </c>
      <c r="I438" s="2" t="s">
        <v>5920</v>
      </c>
      <c r="J438" s="2" t="s">
        <v>5933</v>
      </c>
      <c r="K438" s="3" t="b">
        <f>J438 = "blocking"</f>
        <v>1</v>
      </c>
      <c r="L438" s="2" t="s">
        <v>1428</v>
      </c>
      <c r="M438" s="2" t="s">
        <v>6040</v>
      </c>
      <c r="N438" s="4">
        <v>46223.1297337963</v>
      </c>
      <c r="O438" s="3" t="b">
        <f>L438 = "PASS"</f>
        <v>1</v>
      </c>
      <c r="P438" s="3" t="b">
        <f>L438 = "FAIL"</f>
        <v>0</v>
      </c>
      <c r="Q438" s="3" t="b">
        <f>AND(P438, K438)</f>
        <v>0</v>
      </c>
      <c r="R438" s="3" t="str">
        <f>IF(O438, I438, "")</f>
        <v>suite-substrate</v>
      </c>
      <c r="S438" s="3" t="str">
        <f>IF(Q438, I438, "")</f>
      </c>
      <c r="T438" s="2" t="s">
        <v>5935</v>
      </c>
    </row>
    <row r="439">
      <c r="A439" s="2" t="s">
        <v>6408</v>
      </c>
      <c r="B439" s="3" t="str">
        <f>C439 &amp; ": " &amp; D439</f>
        <v>formula-translates: ProcedureExecutions.HasClearedLegalReview</v>
      </c>
      <c r="C439" s="2" t="s">
        <v>6038</v>
      </c>
      <c r="D439" s="2" t="s">
        <v>3408</v>
      </c>
      <c r="E439" s="2" t="s">
        <v>1804</v>
      </c>
      <c r="F439" s="2" t="s">
        <v>1270</v>
      </c>
      <c r="G439" s="2" t="s">
        <v>6039</v>
      </c>
      <c r="H439" s="2" t="s">
        <v>2052</v>
      </c>
      <c r="I439" s="2" t="s">
        <v>5920</v>
      </c>
      <c r="J439" s="2" t="s">
        <v>5933</v>
      </c>
      <c r="K439" s="3" t="b">
        <f>J439 = "blocking"</f>
        <v>1</v>
      </c>
      <c r="L439" s="2" t="s">
        <v>1428</v>
      </c>
      <c r="M439" s="2" t="s">
        <v>6040</v>
      </c>
      <c r="N439" s="4">
        <v>46223.1297337963</v>
      </c>
      <c r="O439" s="3" t="b">
        <f>L439 = "PASS"</f>
        <v>1</v>
      </c>
      <c r="P439" s="3" t="b">
        <f>L439 = "FAIL"</f>
        <v>0</v>
      </c>
      <c r="Q439" s="3" t="b">
        <f>AND(P439, K439)</f>
        <v>0</v>
      </c>
      <c r="R439" s="3" t="str">
        <f>IF(O439, I439, "")</f>
        <v>suite-substrate</v>
      </c>
      <c r="S439" s="3" t="str">
        <f>IF(Q439, I439, "")</f>
      </c>
      <c r="T439" s="2" t="s">
        <v>5935</v>
      </c>
    </row>
    <row r="440">
      <c r="A440" s="2" t="s">
        <v>6409</v>
      </c>
      <c r="B440" s="3" t="str">
        <f>C440 &amp; ": " &amp; D440</f>
        <v>formula-translates: ProcedureExecutions.AbandonedFailureCount</v>
      </c>
      <c r="C440" s="2" t="s">
        <v>6038</v>
      </c>
      <c r="D440" s="2" t="s">
        <v>3410</v>
      </c>
      <c r="E440" s="2" t="s">
        <v>1804</v>
      </c>
      <c r="F440" s="2" t="s">
        <v>1271</v>
      </c>
      <c r="G440" s="2" t="s">
        <v>6039</v>
      </c>
      <c r="H440" s="2" t="s">
        <v>2068</v>
      </c>
      <c r="I440" s="2" t="s">
        <v>5920</v>
      </c>
      <c r="J440" s="2" t="s">
        <v>5933</v>
      </c>
      <c r="K440" s="3" t="b">
        <f>J440 = "blocking"</f>
        <v>1</v>
      </c>
      <c r="L440" s="2" t="s">
        <v>1428</v>
      </c>
      <c r="M440" s="2" t="s">
        <v>6040</v>
      </c>
      <c r="N440" s="4">
        <v>46223.1297337963</v>
      </c>
      <c r="O440" s="3" t="b">
        <f>L440 = "PASS"</f>
        <v>1</v>
      </c>
      <c r="P440" s="3" t="b">
        <f>L440 = "FAIL"</f>
        <v>0</v>
      </c>
      <c r="Q440" s="3" t="b">
        <f>AND(P440, K440)</f>
        <v>0</v>
      </c>
      <c r="R440" s="3" t="str">
        <f>IF(O440, I440, "")</f>
        <v>suite-substrate</v>
      </c>
      <c r="S440" s="3" t="str">
        <f>IF(Q440, I440, "")</f>
      </c>
      <c r="T440" s="2" t="s">
        <v>5935</v>
      </c>
    </row>
    <row r="441">
      <c r="A441" s="2" t="s">
        <v>6410</v>
      </c>
      <c r="B441" s="3" t="str">
        <f>C441 &amp; ": " &amp; D441</f>
        <v>formula-translates: ProcedureExecutions.DeliveredCount</v>
      </c>
      <c r="C441" s="2" t="s">
        <v>6038</v>
      </c>
      <c r="D441" s="2" t="s">
        <v>3412</v>
      </c>
      <c r="E441" s="2" t="s">
        <v>1804</v>
      </c>
      <c r="F441" s="2" t="s">
        <v>1272</v>
      </c>
      <c r="G441" s="2" t="s">
        <v>6039</v>
      </c>
      <c r="H441" s="2" t="s">
        <v>2068</v>
      </c>
      <c r="I441" s="2" t="s">
        <v>5920</v>
      </c>
      <c r="J441" s="2" t="s">
        <v>5933</v>
      </c>
      <c r="K441" s="3" t="b">
        <f>J441 = "blocking"</f>
        <v>1</v>
      </c>
      <c r="L441" s="2" t="s">
        <v>1428</v>
      </c>
      <c r="M441" s="2" t="s">
        <v>6040</v>
      </c>
      <c r="N441" s="4">
        <v>46223.1297337963</v>
      </c>
      <c r="O441" s="3" t="b">
        <f>L441 = "PASS"</f>
        <v>1</v>
      </c>
      <c r="P441" s="3" t="b">
        <f>L441 = "FAIL"</f>
        <v>0</v>
      </c>
      <c r="Q441" s="3" t="b">
        <f>AND(P441, K441)</f>
        <v>0</v>
      </c>
      <c r="R441" s="3" t="str">
        <f>IF(O441, I441, "")</f>
        <v>suite-substrate</v>
      </c>
      <c r="S441" s="3" t="str">
        <f>IF(Q441, I441, "")</f>
      </c>
      <c r="T441" s="2" t="s">
        <v>5935</v>
      </c>
    </row>
    <row r="442">
      <c r="A442" s="2" t="s">
        <v>6411</v>
      </c>
      <c r="B442" s="3" t="str">
        <f>C442 &amp; ": " &amp; D442</f>
        <v>formula-translates: ProcedureExecutions.TotalDeliveryAttemptCount</v>
      </c>
      <c r="C442" s="2" t="s">
        <v>6038</v>
      </c>
      <c r="D442" s="2" t="s">
        <v>3414</v>
      </c>
      <c r="E442" s="2" t="s">
        <v>1804</v>
      </c>
      <c r="F442" s="2" t="s">
        <v>1273</v>
      </c>
      <c r="G442" s="2" t="s">
        <v>6039</v>
      </c>
      <c r="H442" s="2" t="s">
        <v>2068</v>
      </c>
      <c r="I442" s="2" t="s">
        <v>5920</v>
      </c>
      <c r="J442" s="2" t="s">
        <v>5933</v>
      </c>
      <c r="K442" s="3" t="b">
        <f>J442 = "blocking"</f>
        <v>1</v>
      </c>
      <c r="L442" s="2" t="s">
        <v>1428</v>
      </c>
      <c r="M442" s="2" t="s">
        <v>6040</v>
      </c>
      <c r="N442" s="4">
        <v>46223.1297337963</v>
      </c>
      <c r="O442" s="3" t="b">
        <f>L442 = "PASS"</f>
        <v>1</v>
      </c>
      <c r="P442" s="3" t="b">
        <f>L442 = "FAIL"</f>
        <v>0</v>
      </c>
      <c r="Q442" s="3" t="b">
        <f>AND(P442, K442)</f>
        <v>0</v>
      </c>
      <c r="R442" s="3" t="str">
        <f>IF(O442, I442, "")</f>
        <v>suite-substrate</v>
      </c>
      <c r="S442" s="3" t="str">
        <f>IF(Q442, I442, "")</f>
      </c>
      <c r="T442" s="2" t="s">
        <v>5935</v>
      </c>
    </row>
    <row r="443">
      <c r="A443" s="2" t="s">
        <v>6412</v>
      </c>
      <c r="B443" s="3" t="str">
        <f>C443 &amp; ": " &amp; D443</f>
        <v>formula-translates: ProcedureExecutions.HasAbandonedFailures</v>
      </c>
      <c r="C443" s="2" t="s">
        <v>6038</v>
      </c>
      <c r="D443" s="2" t="s">
        <v>3416</v>
      </c>
      <c r="E443" s="2" t="s">
        <v>1804</v>
      </c>
      <c r="F443" s="2" t="s">
        <v>1274</v>
      </c>
      <c r="G443" s="2" t="s">
        <v>6039</v>
      </c>
      <c r="H443" s="2" t="s">
        <v>2068</v>
      </c>
      <c r="I443" s="2" t="s">
        <v>5920</v>
      </c>
      <c r="J443" s="2" t="s">
        <v>5933</v>
      </c>
      <c r="K443" s="3" t="b">
        <f>J443 = "blocking"</f>
        <v>1</v>
      </c>
      <c r="L443" s="2" t="s">
        <v>1428</v>
      </c>
      <c r="M443" s="2" t="s">
        <v>6040</v>
      </c>
      <c r="N443" s="4">
        <v>46223.1297337963</v>
      </c>
      <c r="O443" s="3" t="b">
        <f>L443 = "PASS"</f>
        <v>1</v>
      </c>
      <c r="P443" s="3" t="b">
        <f>L443 = "FAIL"</f>
        <v>0</v>
      </c>
      <c r="Q443" s="3" t="b">
        <f>AND(P443, K443)</f>
        <v>0</v>
      </c>
      <c r="R443" s="3" t="str">
        <f>IF(O443, I443, "")</f>
        <v>suite-substrate</v>
      </c>
      <c r="S443" s="3" t="str">
        <f>IF(Q443, I443, "")</f>
      </c>
      <c r="T443" s="2" t="s">
        <v>5935</v>
      </c>
    </row>
    <row r="444">
      <c r="A444" s="2" t="s">
        <v>6413</v>
      </c>
      <c r="B444" s="3" t="str">
        <f>C444 &amp; ": " &amp; D444</f>
        <v>formula-translates: ProcedureExecutions.MishandledRefusalCount</v>
      </c>
      <c r="C444" s="2" t="s">
        <v>6038</v>
      </c>
      <c r="D444" s="2" t="s">
        <v>3418</v>
      </c>
      <c r="E444" s="2" t="s">
        <v>1804</v>
      </c>
      <c r="F444" s="2" t="s">
        <v>1275</v>
      </c>
      <c r="G444" s="2" t="s">
        <v>6039</v>
      </c>
      <c r="H444" s="2" t="s">
        <v>2092</v>
      </c>
      <c r="I444" s="2" t="s">
        <v>5920</v>
      </c>
      <c r="J444" s="2" t="s">
        <v>5933</v>
      </c>
      <c r="K444" s="3" t="b">
        <f>J444 = "blocking"</f>
        <v>1</v>
      </c>
      <c r="L444" s="2" t="s">
        <v>1428</v>
      </c>
      <c r="M444" s="2" t="s">
        <v>6040</v>
      </c>
      <c r="N444" s="4">
        <v>46223.1297337963</v>
      </c>
      <c r="O444" s="3" t="b">
        <f>L444 = "PASS"</f>
        <v>1</v>
      </c>
      <c r="P444" s="3" t="b">
        <f>L444 = "FAIL"</f>
        <v>0</v>
      </c>
      <c r="Q444" s="3" t="b">
        <f>AND(P444, K444)</f>
        <v>0</v>
      </c>
      <c r="R444" s="3" t="str">
        <f>IF(O444, I444, "")</f>
        <v>suite-substrate</v>
      </c>
      <c r="S444" s="3" t="str">
        <f>IF(Q444, I444, "")</f>
      </c>
      <c r="T444" s="2" t="s">
        <v>5935</v>
      </c>
    </row>
    <row r="445">
      <c r="A445" s="2" t="s">
        <v>6414</v>
      </c>
      <c r="B445" s="3" t="str">
        <f>C445 &amp; ": " &amp; D445</f>
        <v>formula-translates: ProcedureExecutions.UncleanStepCount</v>
      </c>
      <c r="C445" s="2" t="s">
        <v>6038</v>
      </c>
      <c r="D445" s="2" t="s">
        <v>3420</v>
      </c>
      <c r="E445" s="2" t="s">
        <v>1804</v>
      </c>
      <c r="F445" s="2" t="s">
        <v>1276</v>
      </c>
      <c r="G445" s="2" t="s">
        <v>6039</v>
      </c>
      <c r="H445" s="2" t="s">
        <v>2104</v>
      </c>
      <c r="I445" s="2" t="s">
        <v>5920</v>
      </c>
      <c r="J445" s="2" t="s">
        <v>5933</v>
      </c>
      <c r="K445" s="3" t="b">
        <f>J445 = "blocking"</f>
        <v>1</v>
      </c>
      <c r="L445" s="2" t="s">
        <v>1428</v>
      </c>
      <c r="M445" s="2" t="s">
        <v>6040</v>
      </c>
      <c r="N445" s="4">
        <v>46223.1297337963</v>
      </c>
      <c r="O445" s="3" t="b">
        <f>L445 = "PASS"</f>
        <v>1</v>
      </c>
      <c r="P445" s="3" t="b">
        <f>L445 = "FAIL"</f>
        <v>0</v>
      </c>
      <c r="Q445" s="3" t="b">
        <f>AND(P445, K445)</f>
        <v>0</v>
      </c>
      <c r="R445" s="3" t="str">
        <f>IF(O445, I445, "")</f>
        <v>suite-substrate</v>
      </c>
      <c r="S445" s="3" t="str">
        <f>IF(Q445, I445, "")</f>
      </c>
      <c r="T445" s="2" t="s">
        <v>5935</v>
      </c>
    </row>
    <row r="446">
      <c r="A446" s="2" t="s">
        <v>6415</v>
      </c>
      <c r="B446" s="3" t="str">
        <f>C446 &amp; ": " &amp; D446</f>
        <v>formula-translates: ProcedureExecutions.RanClean</v>
      </c>
      <c r="C446" s="2" t="s">
        <v>6038</v>
      </c>
      <c r="D446" s="2" t="s">
        <v>3422</v>
      </c>
      <c r="E446" s="2" t="s">
        <v>1804</v>
      </c>
      <c r="F446" s="2" t="s">
        <v>1277</v>
      </c>
      <c r="G446" s="2" t="s">
        <v>6039</v>
      </c>
      <c r="H446" s="2" t="s">
        <v>2104</v>
      </c>
      <c r="I446" s="2" t="s">
        <v>5920</v>
      </c>
      <c r="J446" s="2" t="s">
        <v>5933</v>
      </c>
      <c r="K446" s="3" t="b">
        <f>J446 = "blocking"</f>
        <v>1</v>
      </c>
      <c r="L446" s="2" t="s">
        <v>1428</v>
      </c>
      <c r="M446" s="2" t="s">
        <v>6040</v>
      </c>
      <c r="N446" s="4">
        <v>46223.1297337963</v>
      </c>
      <c r="O446" s="3" t="b">
        <f>L446 = "PASS"</f>
        <v>1</v>
      </c>
      <c r="P446" s="3" t="b">
        <f>L446 = "FAIL"</f>
        <v>0</v>
      </c>
      <c r="Q446" s="3" t="b">
        <f>AND(P446, K446)</f>
        <v>0</v>
      </c>
      <c r="R446" s="3" t="str">
        <f>IF(O446, I446, "")</f>
        <v>suite-substrate</v>
      </c>
      <c r="S446" s="3" t="str">
        <f>IF(Q446, I446, "")</f>
      </c>
      <c r="T446" s="2" t="s">
        <v>5935</v>
      </c>
    </row>
    <row r="447">
      <c r="A447" s="2" t="s">
        <v>6416</v>
      </c>
      <c r="B447" s="3" t="str">
        <f>C447 &amp; ": " &amp; D447</f>
        <v>formula-translates: ProcedureExecutions.CountOfApprovalExecutions</v>
      </c>
      <c r="C447" s="2" t="s">
        <v>6038</v>
      </c>
      <c r="D447" s="2" t="s">
        <v>3424</v>
      </c>
      <c r="E447" s="2" t="s">
        <v>1804</v>
      </c>
      <c r="F447" s="2" t="s">
        <v>1278</v>
      </c>
      <c r="G447" s="2" t="s">
        <v>6039</v>
      </c>
      <c r="H447" s="2" t="s">
        <v>2128</v>
      </c>
      <c r="I447" s="2" t="s">
        <v>5920</v>
      </c>
      <c r="J447" s="2" t="s">
        <v>5933</v>
      </c>
      <c r="K447" s="3" t="b">
        <f>J447 = "blocking"</f>
        <v>1</v>
      </c>
      <c r="L447" s="2" t="s">
        <v>1428</v>
      </c>
      <c r="M447" s="2" t="s">
        <v>6040</v>
      </c>
      <c r="N447" s="4">
        <v>46223.1297337963</v>
      </c>
      <c r="O447" s="3" t="b">
        <f>L447 = "PASS"</f>
        <v>1</v>
      </c>
      <c r="P447" s="3" t="b">
        <f>L447 = "FAIL"</f>
        <v>0</v>
      </c>
      <c r="Q447" s="3" t="b">
        <f>AND(P447, K447)</f>
        <v>0</v>
      </c>
      <c r="R447" s="3" t="str">
        <f>IF(O447, I447, "")</f>
        <v>suite-substrate</v>
      </c>
      <c r="S447" s="3" t="str">
        <f>IF(Q447, I447, "")</f>
      </c>
      <c r="T447" s="2" t="s">
        <v>5935</v>
      </c>
    </row>
    <row r="448">
      <c r="A448" s="2" t="s">
        <v>6417</v>
      </c>
      <c r="B448" s="3" t="str">
        <f>C448 &amp; ": " &amp; D448</f>
        <v>formula-translates: ProcedureExecutions.HasHumanApproval</v>
      </c>
      <c r="C448" s="2" t="s">
        <v>6038</v>
      </c>
      <c r="D448" s="2" t="s">
        <v>3426</v>
      </c>
      <c r="E448" s="2" t="s">
        <v>1804</v>
      </c>
      <c r="F448" s="2" t="s">
        <v>1279</v>
      </c>
      <c r="G448" s="2" t="s">
        <v>6039</v>
      </c>
      <c r="H448" s="2" t="s">
        <v>2128</v>
      </c>
      <c r="I448" s="2" t="s">
        <v>5920</v>
      </c>
      <c r="J448" s="2" t="s">
        <v>5933</v>
      </c>
      <c r="K448" s="3" t="b">
        <f>J448 = "blocking"</f>
        <v>1</v>
      </c>
      <c r="L448" s="2" t="s">
        <v>1428</v>
      </c>
      <c r="M448" s="2" t="s">
        <v>6040</v>
      </c>
      <c r="N448" s="4">
        <v>46223.1297337963</v>
      </c>
      <c r="O448" s="3" t="b">
        <f>L448 = "PASS"</f>
        <v>1</v>
      </c>
      <c r="P448" s="3" t="b">
        <f>L448 = "FAIL"</f>
        <v>0</v>
      </c>
      <c r="Q448" s="3" t="b">
        <f>AND(P448, K448)</f>
        <v>0</v>
      </c>
      <c r="R448" s="3" t="str">
        <f>IF(O448, I448, "")</f>
        <v>suite-substrate</v>
      </c>
      <c r="S448" s="3" t="str">
        <f>IF(Q448, I448, "")</f>
      </c>
      <c r="T448" s="2" t="s">
        <v>5935</v>
      </c>
    </row>
    <row r="449">
      <c r="A449" s="2" t="s">
        <v>6418</v>
      </c>
      <c r="B449" s="3" t="str">
        <f>C449 &amp; ": " &amp; D449</f>
        <v>formula-translates: ProcedureExecutions.CountOfDeliveryExecutions</v>
      </c>
      <c r="C449" s="2" t="s">
        <v>6038</v>
      </c>
      <c r="D449" s="2" t="s">
        <v>3428</v>
      </c>
      <c r="E449" s="2" t="s">
        <v>1804</v>
      </c>
      <c r="F449" s="2" t="s">
        <v>1280</v>
      </c>
      <c r="G449" s="2" t="s">
        <v>6039</v>
      </c>
      <c r="H449" s="2" t="s">
        <v>2128</v>
      </c>
      <c r="I449" s="2" t="s">
        <v>5920</v>
      </c>
      <c r="J449" s="2" t="s">
        <v>5933</v>
      </c>
      <c r="K449" s="3" t="b">
        <f>J449 = "blocking"</f>
        <v>1</v>
      </c>
      <c r="L449" s="2" t="s">
        <v>1428</v>
      </c>
      <c r="M449" s="2" t="s">
        <v>6040</v>
      </c>
      <c r="N449" s="4">
        <v>46223.1297337963</v>
      </c>
      <c r="O449" s="3" t="b">
        <f>L449 = "PASS"</f>
        <v>1</v>
      </c>
      <c r="P449" s="3" t="b">
        <f>L449 = "FAIL"</f>
        <v>0</v>
      </c>
      <c r="Q449" s="3" t="b">
        <f>AND(P449, K449)</f>
        <v>0</v>
      </c>
      <c r="R449" s="3" t="str">
        <f>IF(O449, I449, "")</f>
        <v>suite-substrate</v>
      </c>
      <c r="S449" s="3" t="str">
        <f>IF(Q449, I449, "")</f>
      </c>
      <c r="T449" s="2" t="s">
        <v>5935</v>
      </c>
    </row>
    <row r="450">
      <c r="A450" s="2" t="s">
        <v>6419</v>
      </c>
      <c r="B450" s="3" t="str">
        <f>C450 &amp; ": " &amp; D450</f>
        <v>formula-translates: ProcedureExecutions.HasDelivered</v>
      </c>
      <c r="C450" s="2" t="s">
        <v>6038</v>
      </c>
      <c r="D450" s="2" t="s">
        <v>3430</v>
      </c>
      <c r="E450" s="2" t="s">
        <v>1804</v>
      </c>
      <c r="F450" s="2" t="s">
        <v>1281</v>
      </c>
      <c r="G450" s="2" t="s">
        <v>6039</v>
      </c>
      <c r="H450" s="2" t="s">
        <v>2128</v>
      </c>
      <c r="I450" s="2" t="s">
        <v>5920</v>
      </c>
      <c r="J450" s="2" t="s">
        <v>5933</v>
      </c>
      <c r="K450" s="3" t="b">
        <f>J450 = "blocking"</f>
        <v>1</v>
      </c>
      <c r="L450" s="2" t="s">
        <v>1428</v>
      </c>
      <c r="M450" s="2" t="s">
        <v>6040</v>
      </c>
      <c r="N450" s="4">
        <v>46223.1297337963</v>
      </c>
      <c r="O450" s="3" t="b">
        <f>L450 = "PASS"</f>
        <v>1</v>
      </c>
      <c r="P450" s="3" t="b">
        <f>L450 = "FAIL"</f>
        <v>0</v>
      </c>
      <c r="Q450" s="3" t="b">
        <f>AND(P450, K450)</f>
        <v>0</v>
      </c>
      <c r="R450" s="3" t="str">
        <f>IF(O450, I450, "")</f>
        <v>suite-substrate</v>
      </c>
      <c r="S450" s="3" t="str">
        <f>IF(Q450, I450, "")</f>
      </c>
      <c r="T450" s="2" t="s">
        <v>5935</v>
      </c>
    </row>
    <row r="451">
      <c r="A451" s="2" t="s">
        <v>6420</v>
      </c>
      <c r="B451" s="3" t="str">
        <f>C451 &amp; ": " &amp; D451</f>
        <v>formula-translates: ProcedureExecutions.DeliveredWithoutApproval</v>
      </c>
      <c r="C451" s="2" t="s">
        <v>6038</v>
      </c>
      <c r="D451" s="2" t="s">
        <v>3432</v>
      </c>
      <c r="E451" s="2" t="s">
        <v>1804</v>
      </c>
      <c r="F451" s="2" t="s">
        <v>1282</v>
      </c>
      <c r="G451" s="2" t="s">
        <v>6039</v>
      </c>
      <c r="H451" s="2" t="s">
        <v>2128</v>
      </c>
      <c r="I451" s="2" t="s">
        <v>5920</v>
      </c>
      <c r="J451" s="2" t="s">
        <v>5933</v>
      </c>
      <c r="K451" s="3" t="b">
        <f>J451 = "blocking"</f>
        <v>1</v>
      </c>
      <c r="L451" s="2" t="s">
        <v>1428</v>
      </c>
      <c r="M451" s="2" t="s">
        <v>6040</v>
      </c>
      <c r="N451" s="4">
        <v>46223.1297337963</v>
      </c>
      <c r="O451" s="3" t="b">
        <f>L451 = "PASS"</f>
        <v>1</v>
      </c>
      <c r="P451" s="3" t="b">
        <f>L451 = "FAIL"</f>
        <v>0</v>
      </c>
      <c r="Q451" s="3" t="b">
        <f>AND(P451, K451)</f>
        <v>0</v>
      </c>
      <c r="R451" s="3" t="str">
        <f>IF(O451, I451, "")</f>
        <v>suite-substrate</v>
      </c>
      <c r="S451" s="3" t="str">
        <f>IF(Q451, I451, "")</f>
      </c>
      <c r="T451" s="2" t="s">
        <v>5935</v>
      </c>
    </row>
    <row r="452">
      <c r="A452" s="2" t="s">
        <v>6421</v>
      </c>
      <c r="B452" s="3" t="str">
        <f>C452 &amp; ": " &amp; D452</f>
        <v>formula-translates: ProcedureExecutions.InvalidApprovalCount</v>
      </c>
      <c r="C452" s="2" t="s">
        <v>6038</v>
      </c>
      <c r="D452" s="2" t="s">
        <v>3434</v>
      </c>
      <c r="E452" s="2" t="s">
        <v>1804</v>
      </c>
      <c r="F452" s="2" t="s">
        <v>1283</v>
      </c>
      <c r="G452" s="2" t="s">
        <v>6039</v>
      </c>
      <c r="H452" s="2" t="s">
        <v>2172</v>
      </c>
      <c r="I452" s="2" t="s">
        <v>5920</v>
      </c>
      <c r="J452" s="2" t="s">
        <v>5933</v>
      </c>
      <c r="K452" s="3" t="b">
        <f>J452 = "blocking"</f>
        <v>1</v>
      </c>
      <c r="L452" s="2" t="s">
        <v>1428</v>
      </c>
      <c r="M452" s="2" t="s">
        <v>6040</v>
      </c>
      <c r="N452" s="4">
        <v>46223.1297337963</v>
      </c>
      <c r="O452" s="3" t="b">
        <f>L452 = "PASS"</f>
        <v>1</v>
      </c>
      <c r="P452" s="3" t="b">
        <f>L452 = "FAIL"</f>
        <v>0</v>
      </c>
      <c r="Q452" s="3" t="b">
        <f>AND(P452, K452)</f>
        <v>0</v>
      </c>
      <c r="R452" s="3" t="str">
        <f>IF(O452, I452, "")</f>
        <v>suite-substrate</v>
      </c>
      <c r="S452" s="3" t="str">
        <f>IF(Q452, I452, "")</f>
      </c>
      <c r="T452" s="2" t="s">
        <v>5935</v>
      </c>
    </row>
    <row r="453">
      <c r="A453" s="2" t="s">
        <v>6422</v>
      </c>
      <c r="B453" s="3" t="str">
        <f>C453 &amp; ": " &amp; D453</f>
        <v>formula-translates: ProcedureExecutions.ApprovalChainIsComplete</v>
      </c>
      <c r="C453" s="2" t="s">
        <v>6038</v>
      </c>
      <c r="D453" s="2" t="s">
        <v>3436</v>
      </c>
      <c r="E453" s="2" t="s">
        <v>1804</v>
      </c>
      <c r="F453" s="2" t="s">
        <v>1284</v>
      </c>
      <c r="G453" s="2" t="s">
        <v>6039</v>
      </c>
      <c r="H453" s="2" t="s">
        <v>2172</v>
      </c>
      <c r="I453" s="2" t="s">
        <v>5920</v>
      </c>
      <c r="J453" s="2" t="s">
        <v>5933</v>
      </c>
      <c r="K453" s="3" t="b">
        <f>J453 = "blocking"</f>
        <v>1</v>
      </c>
      <c r="L453" s="2" t="s">
        <v>1428</v>
      </c>
      <c r="M453" s="2" t="s">
        <v>6040</v>
      </c>
      <c r="N453" s="4">
        <v>46223.1297337963</v>
      </c>
      <c r="O453" s="3" t="b">
        <f>L453 = "PASS"</f>
        <v>1</v>
      </c>
      <c r="P453" s="3" t="b">
        <f>L453 = "FAIL"</f>
        <v>0</v>
      </c>
      <c r="Q453" s="3" t="b">
        <f>AND(P453, K453)</f>
        <v>0</v>
      </c>
      <c r="R453" s="3" t="str">
        <f>IF(O453, I453, "")</f>
        <v>suite-substrate</v>
      </c>
      <c r="S453" s="3" t="str">
        <f>IF(Q453, I453, "")</f>
      </c>
      <c r="T453" s="2" t="s">
        <v>5935</v>
      </c>
    </row>
    <row r="454">
      <c r="A454" s="2" t="s">
        <v>6423</v>
      </c>
      <c r="B454" s="3" t="str">
        <f>C454 &amp; ": " &amp; D454</f>
        <v>formula-translates: ProcedureExecutions.VacuouslyCleanStepCount</v>
      </c>
      <c r="C454" s="2" t="s">
        <v>6038</v>
      </c>
      <c r="D454" s="2" t="s">
        <v>3438</v>
      </c>
      <c r="E454" s="2" t="s">
        <v>1804</v>
      </c>
      <c r="F454" s="2" t="s">
        <v>1285</v>
      </c>
      <c r="G454" s="2" t="s">
        <v>6039</v>
      </c>
      <c r="H454" s="2" t="s">
        <v>2248</v>
      </c>
      <c r="I454" s="2" t="s">
        <v>5920</v>
      </c>
      <c r="J454" s="2" t="s">
        <v>5933</v>
      </c>
      <c r="K454" s="3" t="b">
        <f>J454 = "blocking"</f>
        <v>1</v>
      </c>
      <c r="L454" s="2" t="s">
        <v>1428</v>
      </c>
      <c r="M454" s="2" t="s">
        <v>6040</v>
      </c>
      <c r="N454" s="4">
        <v>46223.1297337963</v>
      </c>
      <c r="O454" s="3" t="b">
        <f>L454 = "PASS"</f>
        <v>1</v>
      </c>
      <c r="P454" s="3" t="b">
        <f>L454 = "FAIL"</f>
        <v>0</v>
      </c>
      <c r="Q454" s="3" t="b">
        <f>AND(P454, K454)</f>
        <v>0</v>
      </c>
      <c r="R454" s="3" t="str">
        <f>IF(O454, I454, "")</f>
        <v>suite-substrate</v>
      </c>
      <c r="S454" s="3" t="str">
        <f>IF(Q454, I454, "")</f>
      </c>
      <c r="T454" s="2" t="s">
        <v>5935</v>
      </c>
    </row>
    <row r="455">
      <c r="A455" s="2" t="s">
        <v>6424</v>
      </c>
      <c r="B455" s="3" t="str">
        <f>C455 &amp; ": " &amp; D455</f>
        <v>formula-translates: ProcedureExecutions.PreparationStepCount</v>
      </c>
      <c r="C455" s="2" t="s">
        <v>6038</v>
      </c>
      <c r="D455" s="2" t="s">
        <v>3440</v>
      </c>
      <c r="E455" s="2" t="s">
        <v>1804</v>
      </c>
      <c r="F455" s="2" t="s">
        <v>1286</v>
      </c>
      <c r="G455" s="2" t="s">
        <v>6039</v>
      </c>
      <c r="H455" s="2" t="s">
        <v>2264</v>
      </c>
      <c r="I455" s="2" t="s">
        <v>5920</v>
      </c>
      <c r="J455" s="2" t="s">
        <v>5933</v>
      </c>
      <c r="K455" s="3" t="b">
        <f>J455 = "blocking"</f>
        <v>1</v>
      </c>
      <c r="L455" s="2" t="s">
        <v>1428</v>
      </c>
      <c r="M455" s="2" t="s">
        <v>6040</v>
      </c>
      <c r="N455" s="4">
        <v>46223.1297337963</v>
      </c>
      <c r="O455" s="3" t="b">
        <f>L455 = "PASS"</f>
        <v>1</v>
      </c>
      <c r="P455" s="3" t="b">
        <f>L455 = "FAIL"</f>
        <v>0</v>
      </c>
      <c r="Q455" s="3" t="b">
        <f>AND(P455, K455)</f>
        <v>0</v>
      </c>
      <c r="R455" s="3" t="str">
        <f>IF(O455, I455, "")</f>
        <v>suite-substrate</v>
      </c>
      <c r="S455" s="3" t="str">
        <f>IF(Q455, I455, "")</f>
      </c>
      <c r="T455" s="2" t="s">
        <v>5935</v>
      </c>
    </row>
    <row r="456">
      <c r="A456" s="2" t="s">
        <v>6425</v>
      </c>
      <c r="B456" s="3" t="str">
        <f>C456 &amp; ": " &amp; D456</f>
        <v>formula-translates: ProcedureExecutions.ApprovalStepCount</v>
      </c>
      <c r="C456" s="2" t="s">
        <v>6038</v>
      </c>
      <c r="D456" s="2" t="s">
        <v>3442</v>
      </c>
      <c r="E456" s="2" t="s">
        <v>1804</v>
      </c>
      <c r="F456" s="2" t="s">
        <v>1287</v>
      </c>
      <c r="G456" s="2" t="s">
        <v>6039</v>
      </c>
      <c r="H456" s="2" t="s">
        <v>2264</v>
      </c>
      <c r="I456" s="2" t="s">
        <v>5920</v>
      </c>
      <c r="J456" s="2" t="s">
        <v>5933</v>
      </c>
      <c r="K456" s="3" t="b">
        <f>J456 = "blocking"</f>
        <v>1</v>
      </c>
      <c r="L456" s="2" t="s">
        <v>1428</v>
      </c>
      <c r="M456" s="2" t="s">
        <v>6040</v>
      </c>
      <c r="N456" s="4">
        <v>46223.1297337963</v>
      </c>
      <c r="O456" s="3" t="b">
        <f>L456 = "PASS"</f>
        <v>1</v>
      </c>
      <c r="P456" s="3" t="b">
        <f>L456 = "FAIL"</f>
        <v>0</v>
      </c>
      <c r="Q456" s="3" t="b">
        <f>AND(P456, K456)</f>
        <v>0</v>
      </c>
      <c r="R456" s="3" t="str">
        <f>IF(O456, I456, "")</f>
        <v>suite-substrate</v>
      </c>
      <c r="S456" s="3" t="str">
        <f>IF(Q456, I456, "")</f>
      </c>
      <c r="T456" s="2" t="s">
        <v>5935</v>
      </c>
    </row>
    <row r="457">
      <c r="A457" s="2" t="s">
        <v>6426</v>
      </c>
      <c r="B457" s="3" t="str">
        <f>C457 &amp; ": " &amp; D457</f>
        <v>formula-translates: ProcedureExecutions.SeparationWasTestable</v>
      </c>
      <c r="C457" s="2" t="s">
        <v>6038</v>
      </c>
      <c r="D457" s="2" t="s">
        <v>3444</v>
      </c>
      <c r="E457" s="2" t="s">
        <v>1804</v>
      </c>
      <c r="F457" s="2" t="s">
        <v>1288</v>
      </c>
      <c r="G457" s="2" t="s">
        <v>6039</v>
      </c>
      <c r="H457" s="2" t="s">
        <v>2264</v>
      </c>
      <c r="I457" s="2" t="s">
        <v>5920</v>
      </c>
      <c r="J457" s="2" t="s">
        <v>5933</v>
      </c>
      <c r="K457" s="3" t="b">
        <f>J457 = "blocking"</f>
        <v>1</v>
      </c>
      <c r="L457" s="2" t="s">
        <v>1428</v>
      </c>
      <c r="M457" s="2" t="s">
        <v>6040</v>
      </c>
      <c r="N457" s="4">
        <v>46223.1297337963</v>
      </c>
      <c r="O457" s="3" t="b">
        <f>L457 = "PASS"</f>
        <v>1</v>
      </c>
      <c r="P457" s="3" t="b">
        <f>L457 = "FAIL"</f>
        <v>0</v>
      </c>
      <c r="Q457" s="3" t="b">
        <f>AND(P457, K457)</f>
        <v>0</v>
      </c>
      <c r="R457" s="3" t="str">
        <f>IF(O457, I457, "")</f>
        <v>suite-substrate</v>
      </c>
      <c r="S457" s="3" t="str">
        <f>IF(Q457, I457, "")</f>
      </c>
      <c r="T457" s="2" t="s">
        <v>5935</v>
      </c>
    </row>
    <row r="458">
      <c r="A458" s="2" t="s">
        <v>6427</v>
      </c>
      <c r="B458" s="3" t="str">
        <f>C458 &amp; ": " &amp; D458</f>
        <v>formula-translates: ProcedureExecutions.SeparationHeldUnderTest</v>
      </c>
      <c r="C458" s="2" t="s">
        <v>6038</v>
      </c>
      <c r="D458" s="2" t="s">
        <v>3446</v>
      </c>
      <c r="E458" s="2" t="s">
        <v>1804</v>
      </c>
      <c r="F458" s="2" t="s">
        <v>1289</v>
      </c>
      <c r="G458" s="2" t="s">
        <v>6039</v>
      </c>
      <c r="H458" s="2" t="s">
        <v>2264</v>
      </c>
      <c r="I458" s="2" t="s">
        <v>5920</v>
      </c>
      <c r="J458" s="2" t="s">
        <v>5933</v>
      </c>
      <c r="K458" s="3" t="b">
        <f>J458 = "blocking"</f>
        <v>1</v>
      </c>
      <c r="L458" s="2" t="s">
        <v>1428</v>
      </c>
      <c r="M458" s="2" t="s">
        <v>6040</v>
      </c>
      <c r="N458" s="4">
        <v>46223.1297337963</v>
      </c>
      <c r="O458" s="3" t="b">
        <f>L458 = "PASS"</f>
        <v>1</v>
      </c>
      <c r="P458" s="3" t="b">
        <f>L458 = "FAIL"</f>
        <v>0</v>
      </c>
      <c r="Q458" s="3" t="b">
        <f>AND(P458, K458)</f>
        <v>0</v>
      </c>
      <c r="R458" s="3" t="str">
        <f>IF(O458, I458, "")</f>
        <v>suite-substrate</v>
      </c>
      <c r="S458" s="3" t="str">
        <f>IF(Q458, I458, "")</f>
      </c>
      <c r="T458" s="2" t="s">
        <v>5935</v>
      </c>
    </row>
    <row r="459">
      <c r="A459" s="2" t="s">
        <v>6428</v>
      </c>
      <c r="B459" s="3" t="str">
        <f>C459 &amp; ": " &amp; D459</f>
        <v>formula-translates: ProcedureExecutions.SeparationIsVacuouslyGreen</v>
      </c>
      <c r="C459" s="2" t="s">
        <v>6038</v>
      </c>
      <c r="D459" s="2" t="s">
        <v>3448</v>
      </c>
      <c r="E459" s="2" t="s">
        <v>1804</v>
      </c>
      <c r="F459" s="2" t="s">
        <v>1290</v>
      </c>
      <c r="G459" s="2" t="s">
        <v>6039</v>
      </c>
      <c r="H459" s="2" t="s">
        <v>2264</v>
      </c>
      <c r="I459" s="2" t="s">
        <v>5920</v>
      </c>
      <c r="J459" s="2" t="s">
        <v>5933</v>
      </c>
      <c r="K459" s="3" t="b">
        <f>J459 = "blocking"</f>
        <v>1</v>
      </c>
      <c r="L459" s="2" t="s">
        <v>1428</v>
      </c>
      <c r="M459" s="2" t="s">
        <v>6040</v>
      </c>
      <c r="N459" s="4">
        <v>46223.1297337963</v>
      </c>
      <c r="O459" s="3" t="b">
        <f>L459 = "PASS"</f>
        <v>1</v>
      </c>
      <c r="P459" s="3" t="b">
        <f>L459 = "FAIL"</f>
        <v>0</v>
      </c>
      <c r="Q459" s="3" t="b">
        <f>AND(P459, K459)</f>
        <v>0</v>
      </c>
      <c r="R459" s="3" t="str">
        <f>IF(O459, I459, "")</f>
        <v>suite-substrate</v>
      </c>
      <c r="S459" s="3" t="str">
        <f>IF(Q459, I459, "")</f>
      </c>
      <c r="T459" s="2" t="s">
        <v>5935</v>
      </c>
    </row>
    <row r="460">
      <c r="A460" s="2" t="s">
        <v>6429</v>
      </c>
      <c r="B460" s="3" t="str">
        <f>C460 &amp; ": " &amp; D460</f>
        <v>formula-translates: ProcedureExecutions.SeparationAssuranceNote</v>
      </c>
      <c r="C460" s="2" t="s">
        <v>6038</v>
      </c>
      <c r="D460" s="2" t="s">
        <v>3450</v>
      </c>
      <c r="E460" s="2" t="s">
        <v>1804</v>
      </c>
      <c r="F460" s="2" t="s">
        <v>1291</v>
      </c>
      <c r="G460" s="2" t="s">
        <v>6039</v>
      </c>
      <c r="H460" s="2" t="s">
        <v>2264</v>
      </c>
      <c r="I460" s="2" t="s">
        <v>5920</v>
      </c>
      <c r="J460" s="2" t="s">
        <v>5933</v>
      </c>
      <c r="K460" s="3" t="b">
        <f>J460 = "blocking"</f>
        <v>1</v>
      </c>
      <c r="L460" s="2" t="s">
        <v>1428</v>
      </c>
      <c r="M460" s="2" t="s">
        <v>6040</v>
      </c>
      <c r="N460" s="4">
        <v>46223.1297337963</v>
      </c>
      <c r="O460" s="3" t="b">
        <f>L460 = "PASS"</f>
        <v>1</v>
      </c>
      <c r="P460" s="3" t="b">
        <f>L460 = "FAIL"</f>
        <v>0</v>
      </c>
      <c r="Q460" s="3" t="b">
        <f>AND(P460, K460)</f>
        <v>0</v>
      </c>
      <c r="R460" s="3" t="str">
        <f>IF(O460, I460, "")</f>
        <v>suite-substrate</v>
      </c>
      <c r="S460" s="3" t="str">
        <f>IF(Q460, I460, "")</f>
      </c>
      <c r="T460" s="2" t="s">
        <v>5935</v>
      </c>
    </row>
    <row r="461">
      <c r="A461" s="2" t="s">
        <v>6430</v>
      </c>
      <c r="B461" s="3" t="str">
        <f>C461 &amp; ": " &amp; D461</f>
        <v>formula-translates: ProcedureExecutions.UngovernedDivergenceCount</v>
      </c>
      <c r="C461" s="2" t="s">
        <v>6038</v>
      </c>
      <c r="D461" s="2" t="s">
        <v>3452</v>
      </c>
      <c r="E461" s="2" t="s">
        <v>1804</v>
      </c>
      <c r="F461" s="2" t="s">
        <v>1292</v>
      </c>
      <c r="G461" s="2" t="s">
        <v>6039</v>
      </c>
      <c r="H461" s="2" t="s">
        <v>2272</v>
      </c>
      <c r="I461" s="2" t="s">
        <v>5920</v>
      </c>
      <c r="J461" s="2" t="s">
        <v>5933</v>
      </c>
      <c r="K461" s="3" t="b">
        <f>J461 = "blocking"</f>
        <v>1</v>
      </c>
      <c r="L461" s="2" t="s">
        <v>1428</v>
      </c>
      <c r="M461" s="2" t="s">
        <v>6040</v>
      </c>
      <c r="N461" s="4">
        <v>46223.1297337963</v>
      </c>
      <c r="O461" s="3" t="b">
        <f>L461 = "PASS"</f>
        <v>1</v>
      </c>
      <c r="P461" s="3" t="b">
        <f>L461 = "FAIL"</f>
        <v>0</v>
      </c>
      <c r="Q461" s="3" t="b">
        <f>AND(P461, K461)</f>
        <v>0</v>
      </c>
      <c r="R461" s="3" t="str">
        <f>IF(O461, I461, "")</f>
        <v>suite-substrate</v>
      </c>
      <c r="S461" s="3" t="str">
        <f>IF(Q461, I461, "")</f>
      </c>
      <c r="T461" s="2" t="s">
        <v>5935</v>
      </c>
    </row>
    <row r="462">
      <c r="A462" s="2" t="s">
        <v>6431</v>
      </c>
      <c r="B462" s="3" t="str">
        <f>C462 &amp; ": " &amp; D462</f>
        <v>formula-translates: ProcedureExecutions.DivergenceWasFullyGoverned</v>
      </c>
      <c r="C462" s="2" t="s">
        <v>6038</v>
      </c>
      <c r="D462" s="2" t="s">
        <v>3454</v>
      </c>
      <c r="E462" s="2" t="s">
        <v>1804</v>
      </c>
      <c r="F462" s="2" t="s">
        <v>1293</v>
      </c>
      <c r="G462" s="2" t="s">
        <v>6039</v>
      </c>
      <c r="H462" s="2" t="s">
        <v>2272</v>
      </c>
      <c r="I462" s="2" t="s">
        <v>5920</v>
      </c>
      <c r="J462" s="2" t="s">
        <v>5933</v>
      </c>
      <c r="K462" s="3" t="b">
        <f>J462 = "blocking"</f>
        <v>1</v>
      </c>
      <c r="L462" s="2" t="s">
        <v>1428</v>
      </c>
      <c r="M462" s="2" t="s">
        <v>6040</v>
      </c>
      <c r="N462" s="4">
        <v>46223.1297337963</v>
      </c>
      <c r="O462" s="3" t="b">
        <f>L462 = "PASS"</f>
        <v>1</v>
      </c>
      <c r="P462" s="3" t="b">
        <f>L462 = "FAIL"</f>
        <v>0</v>
      </c>
      <c r="Q462" s="3" t="b">
        <f>AND(P462, K462)</f>
        <v>0</v>
      </c>
      <c r="R462" s="3" t="str">
        <f>IF(O462, I462, "")</f>
        <v>suite-substrate</v>
      </c>
      <c r="S462" s="3" t="str">
        <f>IF(Q462, I462, "")</f>
      </c>
      <c r="T462" s="2" t="s">
        <v>5935</v>
      </c>
    </row>
    <row r="463">
      <c r="A463" s="2" t="s">
        <v>6432</v>
      </c>
      <c r="B463" s="3" t="str">
        <f>C463 &amp; ": " &amp; D463</f>
        <v>formula-translates: ProcedureExecutions.ComputedlyWitnessedControlCount</v>
      </c>
      <c r="C463" s="2" t="s">
        <v>6038</v>
      </c>
      <c r="D463" s="2" t="s">
        <v>3456</v>
      </c>
      <c r="E463" s="2" t="s">
        <v>1804</v>
      </c>
      <c r="F463" s="2" t="s">
        <v>1294</v>
      </c>
      <c r="G463" s="2" t="s">
        <v>6039</v>
      </c>
      <c r="H463" s="2" t="s">
        <v>2276</v>
      </c>
      <c r="I463" s="2" t="s">
        <v>5920</v>
      </c>
      <c r="J463" s="2" t="s">
        <v>5933</v>
      </c>
      <c r="K463" s="3" t="b">
        <f>J463 = "blocking"</f>
        <v>1</v>
      </c>
      <c r="L463" s="2" t="s">
        <v>1428</v>
      </c>
      <c r="M463" s="2" t="s">
        <v>6040</v>
      </c>
      <c r="N463" s="4">
        <v>46223.1297337963</v>
      </c>
      <c r="O463" s="3" t="b">
        <f>L463 = "PASS"</f>
        <v>1</v>
      </c>
      <c r="P463" s="3" t="b">
        <f>L463 = "FAIL"</f>
        <v>0</v>
      </c>
      <c r="Q463" s="3" t="b">
        <f>AND(P463, K463)</f>
        <v>0</v>
      </c>
      <c r="R463" s="3" t="str">
        <f>IF(O463, I463, "")</f>
        <v>suite-substrate</v>
      </c>
      <c r="S463" s="3" t="str">
        <f>IF(Q463, I463, "")</f>
      </c>
      <c r="T463" s="2" t="s">
        <v>5935</v>
      </c>
    </row>
    <row r="464">
      <c r="A464" s="2" t="s">
        <v>6433</v>
      </c>
      <c r="B464" s="3" t="str">
        <f>C464 &amp; ": " &amp; D464</f>
        <v>formula-translates: ProcedureExecutions.EvaluatedControlCount</v>
      </c>
      <c r="C464" s="2" t="s">
        <v>6038</v>
      </c>
      <c r="D464" s="2" t="s">
        <v>3458</v>
      </c>
      <c r="E464" s="2" t="s">
        <v>1804</v>
      </c>
      <c r="F464" s="2" t="s">
        <v>1295</v>
      </c>
      <c r="G464" s="2" t="s">
        <v>6039</v>
      </c>
      <c r="H464" s="2" t="s">
        <v>2276</v>
      </c>
      <c r="I464" s="2" t="s">
        <v>5920</v>
      </c>
      <c r="J464" s="2" t="s">
        <v>5933</v>
      </c>
      <c r="K464" s="3" t="b">
        <f>J464 = "blocking"</f>
        <v>1</v>
      </c>
      <c r="L464" s="2" t="s">
        <v>1428</v>
      </c>
      <c r="M464" s="2" t="s">
        <v>6040</v>
      </c>
      <c r="N464" s="4">
        <v>46223.1297337963</v>
      </c>
      <c r="O464" s="3" t="b">
        <f>L464 = "PASS"</f>
        <v>1</v>
      </c>
      <c r="P464" s="3" t="b">
        <f>L464 = "FAIL"</f>
        <v>0</v>
      </c>
      <c r="Q464" s="3" t="b">
        <f>AND(P464, K464)</f>
        <v>0</v>
      </c>
      <c r="R464" s="3" t="str">
        <f>IF(O464, I464, "")</f>
        <v>suite-substrate</v>
      </c>
      <c r="S464" s="3" t="str">
        <f>IF(Q464, I464, "")</f>
      </c>
      <c r="T464" s="2" t="s">
        <v>5935</v>
      </c>
    </row>
    <row r="465">
      <c r="A465" s="2" t="s">
        <v>6434</v>
      </c>
      <c r="B465" s="3" t="str">
        <f>C465 &amp; ": " &amp; D465</f>
        <v>formula-translates: ProcedureExecutions.ComputedAssuranceRatio</v>
      </c>
      <c r="C465" s="2" t="s">
        <v>6038</v>
      </c>
      <c r="D465" s="2" t="s">
        <v>3460</v>
      </c>
      <c r="E465" s="2" t="s">
        <v>1804</v>
      </c>
      <c r="F465" s="2" t="s">
        <v>1296</v>
      </c>
      <c r="G465" s="2" t="s">
        <v>6039</v>
      </c>
      <c r="H465" s="2" t="s">
        <v>2276</v>
      </c>
      <c r="I465" s="2" t="s">
        <v>5920</v>
      </c>
      <c r="J465" s="2" t="s">
        <v>5933</v>
      </c>
      <c r="K465" s="3" t="b">
        <f>J465 = "blocking"</f>
        <v>1</v>
      </c>
      <c r="L465" s="2" t="s">
        <v>1428</v>
      </c>
      <c r="M465" s="2" t="s">
        <v>6040</v>
      </c>
      <c r="N465" s="4">
        <v>46223.1297337963</v>
      </c>
      <c r="O465" s="3" t="b">
        <f>L465 = "PASS"</f>
        <v>1</v>
      </c>
      <c r="P465" s="3" t="b">
        <f>L465 = "FAIL"</f>
        <v>0</v>
      </c>
      <c r="Q465" s="3" t="b">
        <f>AND(P465, K465)</f>
        <v>0</v>
      </c>
      <c r="R465" s="3" t="str">
        <f>IF(O465, I465, "")</f>
        <v>suite-substrate</v>
      </c>
      <c r="S465" s="3" t="str">
        <f>IF(Q465, I465, "")</f>
      </c>
      <c r="T465" s="2" t="s">
        <v>5935</v>
      </c>
    </row>
    <row r="466">
      <c r="A466" s="2" t="s">
        <v>6435</v>
      </c>
      <c r="B466" s="3" t="str">
        <f>C466 &amp; ": " &amp; D466</f>
        <v>formula-translates: ProcedureExecutions.InterestedPartyAssertionCount</v>
      </c>
      <c r="C466" s="2" t="s">
        <v>6038</v>
      </c>
      <c r="D466" s="2" t="s">
        <v>3462</v>
      </c>
      <c r="E466" s="2" t="s">
        <v>1804</v>
      </c>
      <c r="F466" s="2" t="s">
        <v>1297</v>
      </c>
      <c r="G466" s="2" t="s">
        <v>6039</v>
      </c>
      <c r="H466" s="2" t="s">
        <v>2276</v>
      </c>
      <c r="I466" s="2" t="s">
        <v>5920</v>
      </c>
      <c r="J466" s="2" t="s">
        <v>5933</v>
      </c>
      <c r="K466" s="3" t="b">
        <f>J466 = "blocking"</f>
        <v>1</v>
      </c>
      <c r="L466" s="2" t="s">
        <v>1428</v>
      </c>
      <c r="M466" s="2" t="s">
        <v>6040</v>
      </c>
      <c r="N466" s="4">
        <v>46223.1297337963</v>
      </c>
      <c r="O466" s="3" t="b">
        <f>L466 = "PASS"</f>
        <v>1</v>
      </c>
      <c r="P466" s="3" t="b">
        <f>L466 = "FAIL"</f>
        <v>0</v>
      </c>
      <c r="Q466" s="3" t="b">
        <f>AND(P466, K466)</f>
        <v>0</v>
      </c>
      <c r="R466" s="3" t="str">
        <f>IF(O466, I466, "")</f>
        <v>suite-substrate</v>
      </c>
      <c r="S466" s="3" t="str">
        <f>IF(Q466, I466, "")</f>
      </c>
      <c r="T466" s="2" t="s">
        <v>5935</v>
      </c>
    </row>
    <row r="467">
      <c r="A467" s="2" t="s">
        <v>6436</v>
      </c>
      <c r="B467" s="3" t="str">
        <f>C467 &amp; ": " &amp; D467</f>
        <v>formula-translates: ProcedureExecutions.AssuranceGrade</v>
      </c>
      <c r="C467" s="2" t="s">
        <v>6038</v>
      </c>
      <c r="D467" s="2" t="s">
        <v>3464</v>
      </c>
      <c r="E467" s="2" t="s">
        <v>1804</v>
      </c>
      <c r="F467" s="2" t="s">
        <v>1298</v>
      </c>
      <c r="G467" s="2" t="s">
        <v>6039</v>
      </c>
      <c r="H467" s="2" t="s">
        <v>2276</v>
      </c>
      <c r="I467" s="2" t="s">
        <v>5920</v>
      </c>
      <c r="J467" s="2" t="s">
        <v>5933</v>
      </c>
      <c r="K467" s="3" t="b">
        <f>J467 = "blocking"</f>
        <v>1</v>
      </c>
      <c r="L467" s="2" t="s">
        <v>1428</v>
      </c>
      <c r="M467" s="2" t="s">
        <v>6040</v>
      </c>
      <c r="N467" s="4">
        <v>46223.1297337963</v>
      </c>
      <c r="O467" s="3" t="b">
        <f>L467 = "PASS"</f>
        <v>1</v>
      </c>
      <c r="P467" s="3" t="b">
        <f>L467 = "FAIL"</f>
        <v>0</v>
      </c>
      <c r="Q467" s="3" t="b">
        <f>AND(P467, K467)</f>
        <v>0</v>
      </c>
      <c r="R467" s="3" t="str">
        <f>IF(O467, I467, "")</f>
        <v>suite-substrate</v>
      </c>
      <c r="S467" s="3" t="str">
        <f>IF(Q467, I467, "")</f>
      </c>
      <c r="T467" s="2" t="s">
        <v>5935</v>
      </c>
    </row>
    <row r="468">
      <c r="A468" s="2" t="s">
        <v>6437</v>
      </c>
      <c r="B468" s="3" t="str">
        <f>C468 &amp; ": " &amp; D468</f>
        <v>formula-translates: ProcedureExecutions.AttestationWouldBeWeaklyBased</v>
      </c>
      <c r="C468" s="2" t="s">
        <v>6038</v>
      </c>
      <c r="D468" s="2" t="s">
        <v>3466</v>
      </c>
      <c r="E468" s="2" t="s">
        <v>1804</v>
      </c>
      <c r="F468" s="2" t="s">
        <v>1299</v>
      </c>
      <c r="G468" s="2" t="s">
        <v>6039</v>
      </c>
      <c r="H468" s="2" t="s">
        <v>2276</v>
      </c>
      <c r="I468" s="2" t="s">
        <v>5920</v>
      </c>
      <c r="J468" s="2" t="s">
        <v>5933</v>
      </c>
      <c r="K468" s="3" t="b">
        <f>J468 = "blocking"</f>
        <v>1</v>
      </c>
      <c r="L468" s="2" t="s">
        <v>1428</v>
      </c>
      <c r="M468" s="2" t="s">
        <v>6040</v>
      </c>
      <c r="N468" s="4">
        <v>46223.1297337963</v>
      </c>
      <c r="O468" s="3" t="b">
        <f>L468 = "PASS"</f>
        <v>1</v>
      </c>
      <c r="P468" s="3" t="b">
        <f>L468 = "FAIL"</f>
        <v>0</v>
      </c>
      <c r="Q468" s="3" t="b">
        <f>AND(P468, K468)</f>
        <v>0</v>
      </c>
      <c r="R468" s="3" t="str">
        <f>IF(O468, I468, "")</f>
        <v>suite-substrate</v>
      </c>
      <c r="S468" s="3" t="str">
        <f>IF(Q468, I468, "")</f>
      </c>
      <c r="T468" s="2" t="s">
        <v>5935</v>
      </c>
    </row>
    <row r="469">
      <c r="A469" s="2" t="s">
        <v>6438</v>
      </c>
      <c r="B469" s="3" t="str">
        <f>C469 &amp; ": " &amp; D469</f>
        <v>formula-translates: ProcedureExecutions.IndependentHumanObservationCount</v>
      </c>
      <c r="C469" s="2" t="s">
        <v>6038</v>
      </c>
      <c r="D469" s="2" t="s">
        <v>3468</v>
      </c>
      <c r="E469" s="2" t="s">
        <v>1804</v>
      </c>
      <c r="F469" s="2" t="s">
        <v>1300</v>
      </c>
      <c r="G469" s="2" t="s">
        <v>6039</v>
      </c>
      <c r="H469" s="2" t="s">
        <v>2284</v>
      </c>
      <c r="I469" s="2" t="s">
        <v>5920</v>
      </c>
      <c r="J469" s="2" t="s">
        <v>5933</v>
      </c>
      <c r="K469" s="3" t="b">
        <f>J469 = "blocking"</f>
        <v>1</v>
      </c>
      <c r="L469" s="2" t="s">
        <v>1428</v>
      </c>
      <c r="M469" s="2" t="s">
        <v>6040</v>
      </c>
      <c r="N469" s="4">
        <v>46223.1297337963</v>
      </c>
      <c r="O469" s="3" t="b">
        <f>L469 = "PASS"</f>
        <v>1</v>
      </c>
      <c r="P469" s="3" t="b">
        <f>L469 = "FAIL"</f>
        <v>0</v>
      </c>
      <c r="Q469" s="3" t="b">
        <f>AND(P469, K469)</f>
        <v>0</v>
      </c>
      <c r="R469" s="3" t="str">
        <f>IF(O469, I469, "")</f>
        <v>suite-substrate</v>
      </c>
      <c r="S469" s="3" t="str">
        <f>IF(Q469, I469, "")</f>
      </c>
      <c r="T469" s="2" t="s">
        <v>5935</v>
      </c>
    </row>
    <row r="470">
      <c r="A470" s="2" t="s">
        <v>6439</v>
      </c>
      <c r="B470" s="3" t="str">
        <f>C470 &amp; ": " &amp; D470</f>
        <v>formula-translates: ProcedureExecutions.HasAnyIndependentObservation</v>
      </c>
      <c r="C470" s="2" t="s">
        <v>6038</v>
      </c>
      <c r="D470" s="2" t="s">
        <v>3470</v>
      </c>
      <c r="E470" s="2" t="s">
        <v>1804</v>
      </c>
      <c r="F470" s="2" t="s">
        <v>1301</v>
      </c>
      <c r="G470" s="2" t="s">
        <v>6039</v>
      </c>
      <c r="H470" s="2" t="s">
        <v>2284</v>
      </c>
      <c r="I470" s="2" t="s">
        <v>5920</v>
      </c>
      <c r="J470" s="2" t="s">
        <v>5933</v>
      </c>
      <c r="K470" s="3" t="b">
        <f>J470 = "blocking"</f>
        <v>1</v>
      </c>
      <c r="L470" s="2" t="s">
        <v>1428</v>
      </c>
      <c r="M470" s="2" t="s">
        <v>6040</v>
      </c>
      <c r="N470" s="4">
        <v>46223.1297337963</v>
      </c>
      <c r="O470" s="3" t="b">
        <f>L470 = "PASS"</f>
        <v>1</v>
      </c>
      <c r="P470" s="3" t="b">
        <f>L470 = "FAIL"</f>
        <v>0</v>
      </c>
      <c r="Q470" s="3" t="b">
        <f>AND(P470, K470)</f>
        <v>0</v>
      </c>
      <c r="R470" s="3" t="str">
        <f>IF(O470, I470, "")</f>
        <v>suite-substrate</v>
      </c>
      <c r="S470" s="3" t="str">
        <f>IF(Q470, I470, "")</f>
      </c>
      <c r="T470" s="2" t="s">
        <v>5935</v>
      </c>
    </row>
    <row r="471">
      <c r="A471" s="2" t="s">
        <v>6440</v>
      </c>
      <c r="B471" s="3" t="str">
        <f>C471 &amp; ": " &amp; D471</f>
        <v>formula-translates: ProcedureExecutions.SelfAttestedApprovalCount</v>
      </c>
      <c r="C471" s="2" t="s">
        <v>6038</v>
      </c>
      <c r="D471" s="2" t="s">
        <v>3472</v>
      </c>
      <c r="E471" s="2" t="s">
        <v>1804</v>
      </c>
      <c r="F471" s="2" t="s">
        <v>1302</v>
      </c>
      <c r="G471" s="2" t="s">
        <v>6039</v>
      </c>
      <c r="H471" s="2" t="s">
        <v>2284</v>
      </c>
      <c r="I471" s="2" t="s">
        <v>5920</v>
      </c>
      <c r="J471" s="2" t="s">
        <v>5933</v>
      </c>
      <c r="K471" s="3" t="b">
        <f>J471 = "blocking"</f>
        <v>1</v>
      </c>
      <c r="L471" s="2" t="s">
        <v>1428</v>
      </c>
      <c r="M471" s="2" t="s">
        <v>6040</v>
      </c>
      <c r="N471" s="4">
        <v>46223.1297337963</v>
      </c>
      <c r="O471" s="3" t="b">
        <f>L471 = "PASS"</f>
        <v>1</v>
      </c>
      <c r="P471" s="3" t="b">
        <f>L471 = "FAIL"</f>
        <v>0</v>
      </c>
      <c r="Q471" s="3" t="b">
        <f>AND(P471, K471)</f>
        <v>0</v>
      </c>
      <c r="R471" s="3" t="str">
        <f>IF(O471, I471, "")</f>
        <v>suite-substrate</v>
      </c>
      <c r="S471" s="3" t="str">
        <f>IF(Q471, I471, "")</f>
      </c>
      <c r="T471" s="2" t="s">
        <v>5935</v>
      </c>
    </row>
    <row r="472">
      <c r="A472" s="2" t="s">
        <v>6441</v>
      </c>
      <c r="B472" s="3" t="str">
        <f>C472 &amp; ": " &amp; D472</f>
        <v>formula-translates: ProcedureExecutions.AssuranceChainIsCircular</v>
      </c>
      <c r="C472" s="2" t="s">
        <v>6038</v>
      </c>
      <c r="D472" s="2" t="s">
        <v>3474</v>
      </c>
      <c r="E472" s="2" t="s">
        <v>1804</v>
      </c>
      <c r="F472" s="2" t="s">
        <v>1303</v>
      </c>
      <c r="G472" s="2" t="s">
        <v>6039</v>
      </c>
      <c r="H472" s="2" t="s">
        <v>2284</v>
      </c>
      <c r="I472" s="2" t="s">
        <v>5920</v>
      </c>
      <c r="J472" s="2" t="s">
        <v>5933</v>
      </c>
      <c r="K472" s="3" t="b">
        <f>J472 = "blocking"</f>
        <v>1</v>
      </c>
      <c r="L472" s="2" t="s">
        <v>1428</v>
      </c>
      <c r="M472" s="2" t="s">
        <v>6040</v>
      </c>
      <c r="N472" s="4">
        <v>46223.1297337963</v>
      </c>
      <c r="O472" s="3" t="b">
        <f>L472 = "PASS"</f>
        <v>1</v>
      </c>
      <c r="P472" s="3" t="b">
        <f>L472 = "FAIL"</f>
        <v>0</v>
      </c>
      <c r="Q472" s="3" t="b">
        <f>AND(P472, K472)</f>
        <v>0</v>
      </c>
      <c r="R472" s="3" t="str">
        <f>IF(O472, I472, "")</f>
        <v>suite-substrate</v>
      </c>
      <c r="S472" s="3" t="str">
        <f>IF(Q472, I472, "")</f>
      </c>
      <c r="T472" s="2" t="s">
        <v>5935</v>
      </c>
    </row>
    <row r="473">
      <c r="A473" s="2" t="s">
        <v>6442</v>
      </c>
      <c r="B473" s="3" t="str">
        <f>C473 &amp; ": " &amp; D473</f>
        <v>formula-translates: ProcedureExecutions.LatestAttestationInstant</v>
      </c>
      <c r="C473" s="2" t="s">
        <v>6038</v>
      </c>
      <c r="D473" s="2" t="s">
        <v>3476</v>
      </c>
      <c r="E473" s="2" t="s">
        <v>1804</v>
      </c>
      <c r="F473" s="2" t="s">
        <v>1304</v>
      </c>
      <c r="G473" s="2" t="s">
        <v>6039</v>
      </c>
      <c r="H473" s="2" t="s">
        <v>2292</v>
      </c>
      <c r="I473" s="2" t="s">
        <v>5920</v>
      </c>
      <c r="J473" s="2" t="s">
        <v>5933</v>
      </c>
      <c r="K473" s="3" t="b">
        <f>J473 = "blocking"</f>
        <v>1</v>
      </c>
      <c r="L473" s="2" t="s">
        <v>1428</v>
      </c>
      <c r="M473" s="2" t="s">
        <v>6040</v>
      </c>
      <c r="N473" s="4">
        <v>46223.1297337963</v>
      </c>
      <c r="O473" s="3" t="b">
        <f>L473 = "PASS"</f>
        <v>1</v>
      </c>
      <c r="P473" s="3" t="b">
        <f>L473 = "FAIL"</f>
        <v>0</v>
      </c>
      <c r="Q473" s="3" t="b">
        <f>AND(P473, K473)</f>
        <v>0</v>
      </c>
      <c r="R473" s="3" t="str">
        <f>IF(O473, I473, "")</f>
        <v>suite-substrate</v>
      </c>
      <c r="S473" s="3" t="str">
        <f>IF(Q473, I473, "")</f>
      </c>
      <c r="T473" s="2" t="s">
        <v>5935</v>
      </c>
    </row>
    <row r="474">
      <c r="A474" s="2" t="s">
        <v>6443</v>
      </c>
      <c r="B474" s="3" t="str">
        <f>C474 &amp; ": " &amp; D474</f>
        <v>formula-translates: ProcedureExecutions.HasBeenAttested</v>
      </c>
      <c r="C474" s="2" t="s">
        <v>6038</v>
      </c>
      <c r="D474" s="2" t="s">
        <v>3478</v>
      </c>
      <c r="E474" s="2" t="s">
        <v>1804</v>
      </c>
      <c r="F474" s="2" t="s">
        <v>1305</v>
      </c>
      <c r="G474" s="2" t="s">
        <v>6039</v>
      </c>
      <c r="H474" s="2" t="s">
        <v>2292</v>
      </c>
      <c r="I474" s="2" t="s">
        <v>5920</v>
      </c>
      <c r="J474" s="2" t="s">
        <v>5933</v>
      </c>
      <c r="K474" s="3" t="b">
        <f>J474 = "blocking"</f>
        <v>1</v>
      </c>
      <c r="L474" s="2" t="s">
        <v>1428</v>
      </c>
      <c r="M474" s="2" t="s">
        <v>6040</v>
      </c>
      <c r="N474" s="4">
        <v>46223.1297337963</v>
      </c>
      <c r="O474" s="3" t="b">
        <f>L474 = "PASS"</f>
        <v>1</v>
      </c>
      <c r="P474" s="3" t="b">
        <f>L474 = "FAIL"</f>
        <v>0</v>
      </c>
      <c r="Q474" s="3" t="b">
        <f>AND(P474, K474)</f>
        <v>0</v>
      </c>
      <c r="R474" s="3" t="str">
        <f>IF(O474, I474, "")</f>
        <v>suite-substrate</v>
      </c>
      <c r="S474" s="3" t="str">
        <f>IF(Q474, I474, "")</f>
      </c>
      <c r="T474" s="2" t="s">
        <v>5935</v>
      </c>
    </row>
    <row r="475">
      <c r="A475" s="2" t="s">
        <v>6444</v>
      </c>
      <c r="B475" s="3" t="str">
        <f>C475 &amp; ": " &amp; D475</f>
        <v>formula-translates: ProcedureExecutions.AttestationCount</v>
      </c>
      <c r="C475" s="2" t="s">
        <v>6038</v>
      </c>
      <c r="D475" s="2" t="s">
        <v>3480</v>
      </c>
      <c r="E475" s="2" t="s">
        <v>1804</v>
      </c>
      <c r="F475" s="2" t="s">
        <v>1306</v>
      </c>
      <c r="G475" s="2" t="s">
        <v>6039</v>
      </c>
      <c r="H475" s="2" t="s">
        <v>2292</v>
      </c>
      <c r="I475" s="2" t="s">
        <v>5920</v>
      </c>
      <c r="J475" s="2" t="s">
        <v>5933</v>
      </c>
      <c r="K475" s="3" t="b">
        <f>J475 = "blocking"</f>
        <v>1</v>
      </c>
      <c r="L475" s="2" t="s">
        <v>1428</v>
      </c>
      <c r="M475" s="2" t="s">
        <v>6040</v>
      </c>
      <c r="N475" s="4">
        <v>46223.1297337963</v>
      </c>
      <c r="O475" s="3" t="b">
        <f>L475 = "PASS"</f>
        <v>1</v>
      </c>
      <c r="P475" s="3" t="b">
        <f>L475 = "FAIL"</f>
        <v>0</v>
      </c>
      <c r="Q475" s="3" t="b">
        <f>AND(P475, K475)</f>
        <v>0</v>
      </c>
      <c r="R475" s="3" t="str">
        <f>IF(O475, I475, "")</f>
        <v>suite-substrate</v>
      </c>
      <c r="S475" s="3" t="str">
        <f>IF(Q475, I475, "")</f>
      </c>
      <c r="T475" s="2" t="s">
        <v>5935</v>
      </c>
    </row>
    <row r="476">
      <c r="A476" s="2" t="s">
        <v>6445</v>
      </c>
      <c r="B476" s="3" t="str">
        <f>C476 &amp; ": " &amp; D476</f>
        <v>formula-translates: ProcedureExecutions.PostAttestationScoreCount</v>
      </c>
      <c r="C476" s="2" t="s">
        <v>6038</v>
      </c>
      <c r="D476" s="2" t="s">
        <v>3482</v>
      </c>
      <c r="E476" s="2" t="s">
        <v>1804</v>
      </c>
      <c r="F476" s="2" t="s">
        <v>1307</v>
      </c>
      <c r="G476" s="2" t="s">
        <v>6039</v>
      </c>
      <c r="H476" s="2" t="s">
        <v>2292</v>
      </c>
      <c r="I476" s="2" t="s">
        <v>5920</v>
      </c>
      <c r="J476" s="2" t="s">
        <v>5933</v>
      </c>
      <c r="K476" s="3" t="b">
        <f>J476 = "blocking"</f>
        <v>1</v>
      </c>
      <c r="L476" s="2" t="s">
        <v>1428</v>
      </c>
      <c r="M476" s="2" t="s">
        <v>6040</v>
      </c>
      <c r="N476" s="4">
        <v>46223.1297337963</v>
      </c>
      <c r="O476" s="3" t="b">
        <f>L476 = "PASS"</f>
        <v>1</v>
      </c>
      <c r="P476" s="3" t="b">
        <f>L476 = "FAIL"</f>
        <v>0</v>
      </c>
      <c r="Q476" s="3" t="b">
        <f>AND(P476, K476)</f>
        <v>0</v>
      </c>
      <c r="R476" s="3" t="str">
        <f>IF(O476, I476, "")</f>
        <v>suite-substrate</v>
      </c>
      <c r="S476" s="3" t="str">
        <f>IF(Q476, I476, "")</f>
      </c>
      <c r="T476" s="2" t="s">
        <v>5935</v>
      </c>
    </row>
    <row r="477">
      <c r="A477" s="2" t="s">
        <v>6446</v>
      </c>
      <c r="B477" s="3" t="str">
        <f>C477 &amp; ": " &amp; D477</f>
        <v>formula-translates: ProcedureExecutions.BasisChangedAfterSignature</v>
      </c>
      <c r="C477" s="2" t="s">
        <v>6038</v>
      </c>
      <c r="D477" s="2" t="s">
        <v>3484</v>
      </c>
      <c r="E477" s="2" t="s">
        <v>1804</v>
      </c>
      <c r="F477" s="2" t="s">
        <v>1308</v>
      </c>
      <c r="G477" s="2" t="s">
        <v>6039</v>
      </c>
      <c r="H477" s="2" t="s">
        <v>2292</v>
      </c>
      <c r="I477" s="2" t="s">
        <v>5920</v>
      </c>
      <c r="J477" s="2" t="s">
        <v>5933</v>
      </c>
      <c r="K477" s="3" t="b">
        <f>J477 = "blocking"</f>
        <v>1</v>
      </c>
      <c r="L477" s="2" t="s">
        <v>1428</v>
      </c>
      <c r="M477" s="2" t="s">
        <v>6040</v>
      </c>
      <c r="N477" s="4">
        <v>46223.1297337963</v>
      </c>
      <c r="O477" s="3" t="b">
        <f>L477 = "PASS"</f>
        <v>1</v>
      </c>
      <c r="P477" s="3" t="b">
        <f>L477 = "FAIL"</f>
        <v>0</v>
      </c>
      <c r="Q477" s="3" t="b">
        <f>AND(P477, K477)</f>
        <v>0</v>
      </c>
      <c r="R477" s="3" t="str">
        <f>IF(O477, I477, "")</f>
        <v>suite-substrate</v>
      </c>
      <c r="S477" s="3" t="str">
        <f>IF(Q477, I477, "")</f>
      </c>
      <c r="T477" s="2" t="s">
        <v>5935</v>
      </c>
    </row>
    <row r="478">
      <c r="A478" s="2" t="s">
        <v>6447</v>
      </c>
      <c r="B478" s="3" t="str">
        <f>C478 &amp; ": " &amp; D478</f>
        <v>formula-translates: ProcedureExecutions.RequiresReAttestation</v>
      </c>
      <c r="C478" s="2" t="s">
        <v>6038</v>
      </c>
      <c r="D478" s="2" t="s">
        <v>3486</v>
      </c>
      <c r="E478" s="2" t="s">
        <v>1804</v>
      </c>
      <c r="F478" s="2" t="s">
        <v>1309</v>
      </c>
      <c r="G478" s="2" t="s">
        <v>6039</v>
      </c>
      <c r="H478" s="2" t="s">
        <v>2292</v>
      </c>
      <c r="I478" s="2" t="s">
        <v>5920</v>
      </c>
      <c r="J478" s="2" t="s">
        <v>5933</v>
      </c>
      <c r="K478" s="3" t="b">
        <f>J478 = "blocking"</f>
        <v>1</v>
      </c>
      <c r="L478" s="2" t="s">
        <v>1428</v>
      </c>
      <c r="M478" s="2" t="s">
        <v>6040</v>
      </c>
      <c r="N478" s="4">
        <v>46223.1297337963</v>
      </c>
      <c r="O478" s="3" t="b">
        <f>L478 = "PASS"</f>
        <v>1</v>
      </c>
      <c r="P478" s="3" t="b">
        <f>L478 = "FAIL"</f>
        <v>0</v>
      </c>
      <c r="Q478" s="3" t="b">
        <f>AND(P478, K478)</f>
        <v>0</v>
      </c>
      <c r="R478" s="3" t="str">
        <f>IF(O478, I478, "")</f>
        <v>suite-substrate</v>
      </c>
      <c r="S478" s="3" t="str">
        <f>IF(Q478, I478, "")</f>
      </c>
      <c r="T478" s="2" t="s">
        <v>5935</v>
      </c>
    </row>
    <row r="479">
      <c r="A479" s="2" t="s">
        <v>6448</v>
      </c>
      <c r="B479" s="3" t="str">
        <f>C479 &amp; ": " &amp; D479</f>
        <v>formula-translates: ProcedureExecutions.IntendedRecipientCount</v>
      </c>
      <c r="C479" s="2" t="s">
        <v>6038</v>
      </c>
      <c r="D479" s="2" t="s">
        <v>3488</v>
      </c>
      <c r="E479" s="2" t="s">
        <v>1804</v>
      </c>
      <c r="F479" s="2" t="s">
        <v>1310</v>
      </c>
      <c r="G479" s="2" t="s">
        <v>6039</v>
      </c>
      <c r="H479" s="2" t="s">
        <v>2296</v>
      </c>
      <c r="I479" s="2" t="s">
        <v>5920</v>
      </c>
      <c r="J479" s="2" t="s">
        <v>5933</v>
      </c>
      <c r="K479" s="3" t="b">
        <f>J479 = "blocking"</f>
        <v>1</v>
      </c>
      <c r="L479" s="2" t="s">
        <v>1428</v>
      </c>
      <c r="M479" s="2" t="s">
        <v>6040</v>
      </c>
      <c r="N479" s="4">
        <v>46223.1297337963</v>
      </c>
      <c r="O479" s="3" t="b">
        <f>L479 = "PASS"</f>
        <v>1</v>
      </c>
      <c r="P479" s="3" t="b">
        <f>L479 = "FAIL"</f>
        <v>0</v>
      </c>
      <c r="Q479" s="3" t="b">
        <f>AND(P479, K479)</f>
        <v>0</v>
      </c>
      <c r="R479" s="3" t="str">
        <f>IF(O479, I479, "")</f>
        <v>suite-substrate</v>
      </c>
      <c r="S479" s="3" t="str">
        <f>IF(Q479, I479, "")</f>
      </c>
      <c r="T479" s="2" t="s">
        <v>5935</v>
      </c>
    </row>
    <row r="480">
      <c r="A480" s="2" t="s">
        <v>6449</v>
      </c>
      <c r="B480" s="3" t="str">
        <f>C480 &amp; ": " &amp; D480</f>
        <v>formula-translates: ProcedureExecutions.ReachedRecipientCount</v>
      </c>
      <c r="C480" s="2" t="s">
        <v>6038</v>
      </c>
      <c r="D480" s="2" t="s">
        <v>3490</v>
      </c>
      <c r="E480" s="2" t="s">
        <v>1804</v>
      </c>
      <c r="F480" s="2" t="s">
        <v>1311</v>
      </c>
      <c r="G480" s="2" t="s">
        <v>6039</v>
      </c>
      <c r="H480" s="2" t="s">
        <v>2296</v>
      </c>
      <c r="I480" s="2" t="s">
        <v>5920</v>
      </c>
      <c r="J480" s="2" t="s">
        <v>5933</v>
      </c>
      <c r="K480" s="3" t="b">
        <f>J480 = "blocking"</f>
        <v>1</v>
      </c>
      <c r="L480" s="2" t="s">
        <v>1428</v>
      </c>
      <c r="M480" s="2" t="s">
        <v>6040</v>
      </c>
      <c r="N480" s="4">
        <v>46223.1297337963</v>
      </c>
      <c r="O480" s="3" t="b">
        <f>L480 = "PASS"</f>
        <v>1</v>
      </c>
      <c r="P480" s="3" t="b">
        <f>L480 = "FAIL"</f>
        <v>0</v>
      </c>
      <c r="Q480" s="3" t="b">
        <f>AND(P480, K480)</f>
        <v>0</v>
      </c>
      <c r="R480" s="3" t="str">
        <f>IF(O480, I480, "")</f>
        <v>suite-substrate</v>
      </c>
      <c r="S480" s="3" t="str">
        <f>IF(Q480, I480, "")</f>
      </c>
      <c r="T480" s="2" t="s">
        <v>5935</v>
      </c>
    </row>
    <row r="481">
      <c r="A481" s="2" t="s">
        <v>6450</v>
      </c>
      <c r="B481" s="3" t="str">
        <f>C481 &amp; ": " &amp; D481</f>
        <v>formula-translates: ProcedureExecutions.SilentlyDroppedCount</v>
      </c>
      <c r="C481" s="2" t="s">
        <v>6038</v>
      </c>
      <c r="D481" s="2" t="s">
        <v>3492</v>
      </c>
      <c r="E481" s="2" t="s">
        <v>1804</v>
      </c>
      <c r="F481" s="2" t="s">
        <v>1312</v>
      </c>
      <c r="G481" s="2" t="s">
        <v>6039</v>
      </c>
      <c r="H481" s="2" t="s">
        <v>2296</v>
      </c>
      <c r="I481" s="2" t="s">
        <v>5920</v>
      </c>
      <c r="J481" s="2" t="s">
        <v>5933</v>
      </c>
      <c r="K481" s="3" t="b">
        <f>J481 = "blocking"</f>
        <v>1</v>
      </c>
      <c r="L481" s="2" t="s">
        <v>1428</v>
      </c>
      <c r="M481" s="2" t="s">
        <v>6040</v>
      </c>
      <c r="N481" s="4">
        <v>46223.1297337963</v>
      </c>
      <c r="O481" s="3" t="b">
        <f>L481 = "PASS"</f>
        <v>1</v>
      </c>
      <c r="P481" s="3" t="b">
        <f>L481 = "FAIL"</f>
        <v>0</v>
      </c>
      <c r="Q481" s="3" t="b">
        <f>AND(P481, K481)</f>
        <v>0</v>
      </c>
      <c r="R481" s="3" t="str">
        <f>IF(O481, I481, "")</f>
        <v>suite-substrate</v>
      </c>
      <c r="S481" s="3" t="str">
        <f>IF(Q481, I481, "")</f>
      </c>
      <c r="T481" s="2" t="s">
        <v>5935</v>
      </c>
    </row>
    <row r="482">
      <c r="A482" s="2" t="s">
        <v>6451</v>
      </c>
      <c r="B482" s="3" t="str">
        <f>C482 &amp; ": " &amp; D482</f>
        <v>formula-translates: ProcedureExecutions.DeliveryYieldPercent</v>
      </c>
      <c r="C482" s="2" t="s">
        <v>6038</v>
      </c>
      <c r="D482" s="2" t="s">
        <v>3494</v>
      </c>
      <c r="E482" s="2" t="s">
        <v>1804</v>
      </c>
      <c r="F482" s="2" t="s">
        <v>1313</v>
      </c>
      <c r="G482" s="2" t="s">
        <v>6039</v>
      </c>
      <c r="H482" s="2" t="s">
        <v>2296</v>
      </c>
      <c r="I482" s="2" t="s">
        <v>5920</v>
      </c>
      <c r="J482" s="2" t="s">
        <v>5933</v>
      </c>
      <c r="K482" s="3" t="b">
        <f>J482 = "blocking"</f>
        <v>1</v>
      </c>
      <c r="L482" s="2" t="s">
        <v>1428</v>
      </c>
      <c r="M482" s="2" t="s">
        <v>6040</v>
      </c>
      <c r="N482" s="4">
        <v>46223.1297337963</v>
      </c>
      <c r="O482" s="3" t="b">
        <f>L482 = "PASS"</f>
        <v>1</v>
      </c>
      <c r="P482" s="3" t="b">
        <f>L482 = "FAIL"</f>
        <v>0</v>
      </c>
      <c r="Q482" s="3" t="b">
        <f>AND(P482, K482)</f>
        <v>0</v>
      </c>
      <c r="R482" s="3" t="str">
        <f>IF(O482, I482, "")</f>
        <v>suite-substrate</v>
      </c>
      <c r="S482" s="3" t="str">
        <f>IF(Q482, I482, "")</f>
      </c>
      <c r="T482" s="2" t="s">
        <v>5935</v>
      </c>
    </row>
    <row r="483">
      <c r="A483" s="2" t="s">
        <v>6452</v>
      </c>
      <c r="B483" s="3" t="str">
        <f>C483 &amp; ": " &amp; D483</f>
        <v>formula-translates: ProcedureExecutions.CampaignSilentlyLostAudience</v>
      </c>
      <c r="C483" s="2" t="s">
        <v>6038</v>
      </c>
      <c r="D483" s="2" t="s">
        <v>3496</v>
      </c>
      <c r="E483" s="2" t="s">
        <v>1804</v>
      </c>
      <c r="F483" s="2" t="s">
        <v>1314</v>
      </c>
      <c r="G483" s="2" t="s">
        <v>6039</v>
      </c>
      <c r="H483" s="2" t="s">
        <v>2296</v>
      </c>
      <c r="I483" s="2" t="s">
        <v>5920</v>
      </c>
      <c r="J483" s="2" t="s">
        <v>5933</v>
      </c>
      <c r="K483" s="3" t="b">
        <f>J483 = "blocking"</f>
        <v>1</v>
      </c>
      <c r="L483" s="2" t="s">
        <v>1428</v>
      </c>
      <c r="M483" s="2" t="s">
        <v>6040</v>
      </c>
      <c r="N483" s="4">
        <v>46223.1297337963</v>
      </c>
      <c r="O483" s="3" t="b">
        <f>L483 = "PASS"</f>
        <v>1</v>
      </c>
      <c r="P483" s="3" t="b">
        <f>L483 = "FAIL"</f>
        <v>0</v>
      </c>
      <c r="Q483" s="3" t="b">
        <f>AND(P483, K483)</f>
        <v>0</v>
      </c>
      <c r="R483" s="3" t="str">
        <f>IF(O483, I483, "")</f>
        <v>suite-substrate</v>
      </c>
      <c r="S483" s="3" t="str">
        <f>IF(Q483, I483, "")</f>
      </c>
      <c r="T483" s="2" t="s">
        <v>5935</v>
      </c>
    </row>
    <row r="484">
      <c r="A484" s="2" t="s">
        <v>6453</v>
      </c>
      <c r="B484" s="3" t="str">
        <f>C484 &amp; ": " &amp; D484</f>
        <v>formula-translates: ProcedureExecutions.UnrecordedRefusalCount</v>
      </c>
      <c r="C484" s="2" t="s">
        <v>6038</v>
      </c>
      <c r="D484" s="2" t="s">
        <v>3498</v>
      </c>
      <c r="E484" s="2" t="s">
        <v>1804</v>
      </c>
      <c r="F484" s="2" t="s">
        <v>1315</v>
      </c>
      <c r="G484" s="2" t="s">
        <v>6039</v>
      </c>
      <c r="H484" s="2" t="s">
        <v>2336</v>
      </c>
      <c r="I484" s="2" t="s">
        <v>5920</v>
      </c>
      <c r="J484" s="2" t="s">
        <v>5933</v>
      </c>
      <c r="K484" s="3" t="b">
        <f>J484 = "blocking"</f>
        <v>1</v>
      </c>
      <c r="L484" s="2" t="s">
        <v>1428</v>
      </c>
      <c r="M484" s="2" t="s">
        <v>6040</v>
      </c>
      <c r="N484" s="4">
        <v>46223.1297337963</v>
      </c>
      <c r="O484" s="3" t="b">
        <f>L484 = "PASS"</f>
        <v>1</v>
      </c>
      <c r="P484" s="3" t="b">
        <f>L484 = "FAIL"</f>
        <v>0</v>
      </c>
      <c r="Q484" s="3" t="b">
        <f>AND(P484, K484)</f>
        <v>0</v>
      </c>
      <c r="R484" s="3" t="str">
        <f>IF(O484, I484, "")</f>
        <v>suite-substrate</v>
      </c>
      <c r="S484" s="3" t="str">
        <f>IF(Q484, I484, "")</f>
      </c>
      <c r="T484" s="2" t="s">
        <v>5935</v>
      </c>
    </row>
    <row r="485">
      <c r="A485" s="2" t="s">
        <v>6454</v>
      </c>
      <c r="B485" s="3" t="str">
        <f>C485 &amp; ": " &amp; D485</f>
        <v>formula-translates: ProcedureExecutions.HasUnrecordedRefusals</v>
      </c>
      <c r="C485" s="2" t="s">
        <v>6038</v>
      </c>
      <c r="D485" s="2" t="s">
        <v>3500</v>
      </c>
      <c r="E485" s="2" t="s">
        <v>1804</v>
      </c>
      <c r="F485" s="2" t="s">
        <v>1316</v>
      </c>
      <c r="G485" s="2" t="s">
        <v>6039</v>
      </c>
      <c r="H485" s="2" t="s">
        <v>2336</v>
      </c>
      <c r="I485" s="2" t="s">
        <v>5920</v>
      </c>
      <c r="J485" s="2" t="s">
        <v>5933</v>
      </c>
      <c r="K485" s="3" t="b">
        <f>J485 = "blocking"</f>
        <v>1</v>
      </c>
      <c r="L485" s="2" t="s">
        <v>1428</v>
      </c>
      <c r="M485" s="2" t="s">
        <v>6040</v>
      </c>
      <c r="N485" s="4">
        <v>46223.1297337963</v>
      </c>
      <c r="O485" s="3" t="b">
        <f>L485 = "PASS"</f>
        <v>1</v>
      </c>
      <c r="P485" s="3" t="b">
        <f>L485 = "FAIL"</f>
        <v>0</v>
      </c>
      <c r="Q485" s="3" t="b">
        <f>AND(P485, K485)</f>
        <v>0</v>
      </c>
      <c r="R485" s="3" t="str">
        <f>IF(O485, I485, "")</f>
        <v>suite-substrate</v>
      </c>
      <c r="S485" s="3" t="str">
        <f>IF(Q485, I485, "")</f>
      </c>
      <c r="T485" s="2" t="s">
        <v>5935</v>
      </c>
    </row>
    <row r="486">
      <c r="A486" s="2" t="s">
        <v>6455</v>
      </c>
      <c r="B486" s="3" t="str">
        <f>C486 &amp; ": " &amp; D486</f>
        <v>formula-translates: ProcedureExecutions.IndependentlyConfirmedIntentCount</v>
      </c>
      <c r="C486" s="2" t="s">
        <v>6038</v>
      </c>
      <c r="D486" s="2" t="s">
        <v>3502</v>
      </c>
      <c r="E486" s="2" t="s">
        <v>1804</v>
      </c>
      <c r="F486" s="2" t="s">
        <v>1317</v>
      </c>
      <c r="G486" s="2" t="s">
        <v>6039</v>
      </c>
      <c r="H486" s="2" t="s">
        <v>2348</v>
      </c>
      <c r="I486" s="2" t="s">
        <v>5920</v>
      </c>
      <c r="J486" s="2" t="s">
        <v>5933</v>
      </c>
      <c r="K486" s="3" t="b">
        <f>J486 = "blocking"</f>
        <v>1</v>
      </c>
      <c r="L486" s="2" t="s">
        <v>1428</v>
      </c>
      <c r="M486" s="2" t="s">
        <v>6040</v>
      </c>
      <c r="N486" s="4">
        <v>46223.1297337963</v>
      </c>
      <c r="O486" s="3" t="b">
        <f>L486 = "PASS"</f>
        <v>1</v>
      </c>
      <c r="P486" s="3" t="b">
        <f>L486 = "FAIL"</f>
        <v>0</v>
      </c>
      <c r="Q486" s="3" t="b">
        <f>AND(P486, K486)</f>
        <v>0</v>
      </c>
      <c r="R486" s="3" t="str">
        <f>IF(O486, I486, "")</f>
        <v>suite-substrate</v>
      </c>
      <c r="S486" s="3" t="str">
        <f>IF(Q486, I486, "")</f>
      </c>
      <c r="T486" s="2" t="s">
        <v>5935</v>
      </c>
    </row>
    <row r="487">
      <c r="A487" s="2" t="s">
        <v>6456</v>
      </c>
      <c r="B487" s="3" t="str">
        <f>C487 &amp; ": " &amp; D487</f>
        <v>formula-translates: ProcedureExecutions.SendDecisionsAreEntirelySelfWitnessed</v>
      </c>
      <c r="C487" s="2" t="s">
        <v>6038</v>
      </c>
      <c r="D487" s="2" t="s">
        <v>3504</v>
      </c>
      <c r="E487" s="2" t="s">
        <v>1804</v>
      </c>
      <c r="F487" s="2" t="s">
        <v>1318</v>
      </c>
      <c r="G487" s="2" t="s">
        <v>6039</v>
      </c>
      <c r="H487" s="2" t="s">
        <v>2348</v>
      </c>
      <c r="I487" s="2" t="s">
        <v>5920</v>
      </c>
      <c r="J487" s="2" t="s">
        <v>5933</v>
      </c>
      <c r="K487" s="3" t="b">
        <f>J487 = "blocking"</f>
        <v>1</v>
      </c>
      <c r="L487" s="2" t="s">
        <v>1428</v>
      </c>
      <c r="M487" s="2" t="s">
        <v>6040</v>
      </c>
      <c r="N487" s="4">
        <v>46223.1297337963</v>
      </c>
      <c r="O487" s="3" t="b">
        <f>L487 = "PASS"</f>
        <v>1</v>
      </c>
      <c r="P487" s="3" t="b">
        <f>L487 = "FAIL"</f>
        <v>0</v>
      </c>
      <c r="Q487" s="3" t="b">
        <f>AND(P487, K487)</f>
        <v>0</v>
      </c>
      <c r="R487" s="3" t="str">
        <f>IF(O487, I487, "")</f>
        <v>suite-substrate</v>
      </c>
      <c r="S487" s="3" t="str">
        <f>IF(Q487, I487, "")</f>
      </c>
      <c r="T487" s="2" t="s">
        <v>5935</v>
      </c>
    </row>
    <row r="488">
      <c r="A488" s="2" t="s">
        <v>6457</v>
      </c>
      <c r="B488" s="3" t="str">
        <f>C488 &amp; ": " &amp; D488</f>
        <v>formula-translates: StepExecutions.Name</v>
      </c>
      <c r="C488" s="2" t="s">
        <v>6038</v>
      </c>
      <c r="D488" s="2" t="s">
        <v>3508</v>
      </c>
      <c r="E488" s="2" t="s">
        <v>1807</v>
      </c>
      <c r="F488" s="2" t="s">
        <v>1</v>
      </c>
      <c r="G488" s="2" t="s">
        <v>6039</v>
      </c>
      <c r="H488" s="2"/>
      <c r="I488" s="2" t="s">
        <v>5920</v>
      </c>
      <c r="J488" s="2" t="s">
        <v>5933</v>
      </c>
      <c r="K488" s="3" t="b">
        <f>J488 = "blocking"</f>
        <v>1</v>
      </c>
      <c r="L488" s="2" t="s">
        <v>1428</v>
      </c>
      <c r="M488" s="2" t="s">
        <v>6040</v>
      </c>
      <c r="N488" s="4">
        <v>46223.1297337963</v>
      </c>
      <c r="O488" s="3" t="b">
        <f>L488 = "PASS"</f>
        <v>1</v>
      </c>
      <c r="P488" s="3" t="b">
        <f>L488 = "FAIL"</f>
        <v>0</v>
      </c>
      <c r="Q488" s="3" t="b">
        <f>AND(P488, K488)</f>
        <v>0</v>
      </c>
      <c r="R488" s="3" t="str">
        <f>IF(O488, I488, "")</f>
        <v>suite-substrate</v>
      </c>
      <c r="S488" s="3" t="str">
        <f>IF(Q488, I488, "")</f>
      </c>
      <c r="T488" s="2" t="s">
        <v>5935</v>
      </c>
    </row>
    <row r="489">
      <c r="A489" s="2" t="s">
        <v>6458</v>
      </c>
      <c r="B489" s="3" t="str">
        <f>C489 &amp; ": " &amp; D489</f>
        <v>formula-translates: StepExecutions.ActualDurationMinutes</v>
      </c>
      <c r="C489" s="2" t="s">
        <v>6038</v>
      </c>
      <c r="D489" s="2" t="s">
        <v>3518</v>
      </c>
      <c r="E489" s="2" t="s">
        <v>1807</v>
      </c>
      <c r="F489" s="2" t="s">
        <v>1332</v>
      </c>
      <c r="G489" s="2" t="s">
        <v>6039</v>
      </c>
      <c r="H489" s="2"/>
      <c r="I489" s="2" t="s">
        <v>5920</v>
      </c>
      <c r="J489" s="2" t="s">
        <v>5933</v>
      </c>
      <c r="K489" s="3" t="b">
        <f>J489 = "blocking"</f>
        <v>1</v>
      </c>
      <c r="L489" s="2" t="s">
        <v>1428</v>
      </c>
      <c r="M489" s="2" t="s">
        <v>6040</v>
      </c>
      <c r="N489" s="4">
        <v>46223.1297337963</v>
      </c>
      <c r="O489" s="3" t="b">
        <f>L489 = "PASS"</f>
        <v>1</v>
      </c>
      <c r="P489" s="3" t="b">
        <f>L489 = "FAIL"</f>
        <v>0</v>
      </c>
      <c r="Q489" s="3" t="b">
        <f>AND(P489, K489)</f>
        <v>0</v>
      </c>
      <c r="R489" s="3" t="str">
        <f>IF(O489, I489, "")</f>
        <v>suite-substrate</v>
      </c>
      <c r="S489" s="3" t="str">
        <f>IF(Q489, I489, "")</f>
      </c>
      <c r="T489" s="2" t="s">
        <v>5935</v>
      </c>
    </row>
    <row r="490">
      <c r="A490" s="2" t="s">
        <v>6459</v>
      </c>
      <c r="B490" s="3" t="str">
        <f>C490 &amp; ": " &amp; D490</f>
        <v>formula-translates: StepExecutions.ExpectedDurationMinutes</v>
      </c>
      <c r="C490" s="2" t="s">
        <v>6038</v>
      </c>
      <c r="D490" s="2" t="s">
        <v>3520</v>
      </c>
      <c r="E490" s="2" t="s">
        <v>1807</v>
      </c>
      <c r="F490" s="2" t="s">
        <v>504</v>
      </c>
      <c r="G490" s="2" t="s">
        <v>6039</v>
      </c>
      <c r="H490" s="2"/>
      <c r="I490" s="2" t="s">
        <v>5920</v>
      </c>
      <c r="J490" s="2" t="s">
        <v>5933</v>
      </c>
      <c r="K490" s="3" t="b">
        <f>J490 = "blocking"</f>
        <v>1</v>
      </c>
      <c r="L490" s="2" t="s">
        <v>1428</v>
      </c>
      <c r="M490" s="2" t="s">
        <v>6040</v>
      </c>
      <c r="N490" s="4">
        <v>46223.1297337963</v>
      </c>
      <c r="O490" s="3" t="b">
        <f>L490 = "PASS"</f>
        <v>1</v>
      </c>
      <c r="P490" s="3" t="b">
        <f>L490 = "FAIL"</f>
        <v>0</v>
      </c>
      <c r="Q490" s="3" t="b">
        <f>AND(P490, K490)</f>
        <v>0</v>
      </c>
      <c r="R490" s="3" t="str">
        <f>IF(O490, I490, "")</f>
        <v>suite-substrate</v>
      </c>
      <c r="S490" s="3" t="str">
        <f>IF(Q490, I490, "")</f>
      </c>
      <c r="T490" s="2" t="s">
        <v>5935</v>
      </c>
    </row>
    <row r="491">
      <c r="A491" s="2" t="s">
        <v>6460</v>
      </c>
      <c r="B491" s="3" t="str">
        <f>C491 &amp; ": " &amp; D491</f>
        <v>formula-translates: StepExecutions.IsLate</v>
      </c>
      <c r="C491" s="2" t="s">
        <v>6038</v>
      </c>
      <c r="D491" s="2" t="s">
        <v>3522</v>
      </c>
      <c r="E491" s="2" t="s">
        <v>1807</v>
      </c>
      <c r="F491" s="2" t="s">
        <v>1333</v>
      </c>
      <c r="G491" s="2" t="s">
        <v>6039</v>
      </c>
      <c r="H491" s="2"/>
      <c r="I491" s="2" t="s">
        <v>5920</v>
      </c>
      <c r="J491" s="2" t="s">
        <v>5933</v>
      </c>
      <c r="K491" s="3" t="b">
        <f>J491 = "blocking"</f>
        <v>1</v>
      </c>
      <c r="L491" s="2" t="s">
        <v>1428</v>
      </c>
      <c r="M491" s="2" t="s">
        <v>6040</v>
      </c>
      <c r="N491" s="4">
        <v>46223.1297337963</v>
      </c>
      <c r="O491" s="3" t="b">
        <f>L491 = "PASS"</f>
        <v>1</v>
      </c>
      <c r="P491" s="3" t="b">
        <f>L491 = "FAIL"</f>
        <v>0</v>
      </c>
      <c r="Q491" s="3" t="b">
        <f>AND(P491, K491)</f>
        <v>0</v>
      </c>
      <c r="R491" s="3" t="str">
        <f>IF(O491, I491, "")</f>
        <v>suite-substrate</v>
      </c>
      <c r="S491" s="3" t="str">
        <f>IF(Q491, I491, "")</f>
      </c>
      <c r="T491" s="2" t="s">
        <v>5935</v>
      </c>
    </row>
    <row r="492">
      <c r="A492" s="2" t="s">
        <v>6461</v>
      </c>
      <c r="B492" s="3" t="str">
        <f>C492 &amp; ": " &amp; D492</f>
        <v>formula-translates: StepExecutions.BlockingUnmetCount</v>
      </c>
      <c r="C492" s="2" t="s">
        <v>6038</v>
      </c>
      <c r="D492" s="2" t="s">
        <v>3524</v>
      </c>
      <c r="E492" s="2" t="s">
        <v>1807</v>
      </c>
      <c r="F492" s="2" t="s">
        <v>1334</v>
      </c>
      <c r="G492" s="2" t="s">
        <v>6039</v>
      </c>
      <c r="H492" s="2" t="s">
        <v>1935</v>
      </c>
      <c r="I492" s="2" t="s">
        <v>5920</v>
      </c>
      <c r="J492" s="2" t="s">
        <v>5933</v>
      </c>
      <c r="K492" s="3" t="b">
        <f>J492 = "blocking"</f>
        <v>1</v>
      </c>
      <c r="L492" s="2" t="s">
        <v>1428</v>
      </c>
      <c r="M492" s="2" t="s">
        <v>6040</v>
      </c>
      <c r="N492" s="4">
        <v>46223.1297337963</v>
      </c>
      <c r="O492" s="3" t="b">
        <f>L492 = "PASS"</f>
        <v>1</v>
      </c>
      <c r="P492" s="3" t="b">
        <f>L492 = "FAIL"</f>
        <v>0</v>
      </c>
      <c r="Q492" s="3" t="b">
        <f>AND(P492, K492)</f>
        <v>0</v>
      </c>
      <c r="R492" s="3" t="str">
        <f>IF(O492, I492, "")</f>
        <v>suite-substrate</v>
      </c>
      <c r="S492" s="3" t="str">
        <f>IF(Q492, I492, "")</f>
      </c>
      <c r="T492" s="2" t="s">
        <v>5935</v>
      </c>
    </row>
    <row r="493">
      <c r="A493" s="2" t="s">
        <v>6462</v>
      </c>
      <c r="B493" s="3" t="str">
        <f>C493 &amp; ": " &amp; D493</f>
        <v>formula-translates: StepExecutions.BlockingUnmetCountSafe</v>
      </c>
      <c r="C493" s="2" t="s">
        <v>6038</v>
      </c>
      <c r="D493" s="2" t="s">
        <v>3526</v>
      </c>
      <c r="E493" s="2" t="s">
        <v>1807</v>
      </c>
      <c r="F493" s="2" t="s">
        <v>1335</v>
      </c>
      <c r="G493" s="2" t="s">
        <v>6039</v>
      </c>
      <c r="H493" s="2" t="s">
        <v>1935</v>
      </c>
      <c r="I493" s="2" t="s">
        <v>5920</v>
      </c>
      <c r="J493" s="2" t="s">
        <v>5933</v>
      </c>
      <c r="K493" s="3" t="b">
        <f>J493 = "blocking"</f>
        <v>1</v>
      </c>
      <c r="L493" s="2" t="s">
        <v>1428</v>
      </c>
      <c r="M493" s="2" t="s">
        <v>6040</v>
      </c>
      <c r="N493" s="4">
        <v>46223.1297337963</v>
      </c>
      <c r="O493" s="3" t="b">
        <f>L493 = "PASS"</f>
        <v>1</v>
      </c>
      <c r="P493" s="3" t="b">
        <f>L493 = "FAIL"</f>
        <v>0</v>
      </c>
      <c r="Q493" s="3" t="b">
        <f>AND(P493, K493)</f>
        <v>0</v>
      </c>
      <c r="R493" s="3" t="str">
        <f>IF(O493, I493, "")</f>
        <v>suite-substrate</v>
      </c>
      <c r="S493" s="3" t="str">
        <f>IF(Q493, I493, "")</f>
      </c>
      <c r="T493" s="2" t="s">
        <v>5935</v>
      </c>
    </row>
    <row r="494">
      <c r="A494" s="2" t="s">
        <v>6463</v>
      </c>
      <c r="B494" s="3" t="str">
        <f>C494 &amp; ": " &amp; D494</f>
        <v>formula-translates: StepExecutions.ProceededPastBlockingControl</v>
      </c>
      <c r="C494" s="2" t="s">
        <v>6038</v>
      </c>
      <c r="D494" s="2" t="s">
        <v>3528</v>
      </c>
      <c r="E494" s="2" t="s">
        <v>1807</v>
      </c>
      <c r="F494" s="2" t="s">
        <v>1336</v>
      </c>
      <c r="G494" s="2" t="s">
        <v>6039</v>
      </c>
      <c r="H494" s="2" t="s">
        <v>1935</v>
      </c>
      <c r="I494" s="2" t="s">
        <v>5920</v>
      </c>
      <c r="J494" s="2" t="s">
        <v>5933</v>
      </c>
      <c r="K494" s="3" t="b">
        <f>J494 = "blocking"</f>
        <v>1</v>
      </c>
      <c r="L494" s="2" t="s">
        <v>1428</v>
      </c>
      <c r="M494" s="2" t="s">
        <v>6040</v>
      </c>
      <c r="N494" s="4">
        <v>46223.1297337963</v>
      </c>
      <c r="O494" s="3" t="b">
        <f>L494 = "PASS"</f>
        <v>1</v>
      </c>
      <c r="P494" s="3" t="b">
        <f>L494 = "FAIL"</f>
        <v>0</v>
      </c>
      <c r="Q494" s="3" t="b">
        <f>AND(P494, K494)</f>
        <v>0</v>
      </c>
      <c r="R494" s="3" t="str">
        <f>IF(O494, I494, "")</f>
        <v>suite-substrate</v>
      </c>
      <c r="S494" s="3" t="str">
        <f>IF(Q494, I494, "")</f>
      </c>
      <c r="T494" s="2" t="s">
        <v>5935</v>
      </c>
    </row>
    <row r="495">
      <c r="A495" s="2" t="s">
        <v>6464</v>
      </c>
      <c r="B495" s="3" t="str">
        <f>C495 &amp; ": " &amp; D495</f>
        <v>formula-translates: StepExecutions.ExpectedBlockingCount</v>
      </c>
      <c r="C495" s="2" t="s">
        <v>6038</v>
      </c>
      <c r="D495" s="2" t="s">
        <v>3530</v>
      </c>
      <c r="E495" s="2" t="s">
        <v>1807</v>
      </c>
      <c r="F495" s="2" t="s">
        <v>1337</v>
      </c>
      <c r="G495" s="2" t="s">
        <v>6039</v>
      </c>
      <c r="H495" s="2" t="s">
        <v>1940</v>
      </c>
      <c r="I495" s="2" t="s">
        <v>5920</v>
      </c>
      <c r="J495" s="2" t="s">
        <v>5933</v>
      </c>
      <c r="K495" s="3" t="b">
        <f>J495 = "blocking"</f>
        <v>1</v>
      </c>
      <c r="L495" s="2" t="s">
        <v>1428</v>
      </c>
      <c r="M495" s="2" t="s">
        <v>6040</v>
      </c>
      <c r="N495" s="4">
        <v>46223.1297337963</v>
      </c>
      <c r="O495" s="3" t="b">
        <f>L495 = "PASS"</f>
        <v>1</v>
      </c>
      <c r="P495" s="3" t="b">
        <f>L495 = "FAIL"</f>
        <v>0</v>
      </c>
      <c r="Q495" s="3" t="b">
        <f>AND(P495, K495)</f>
        <v>0</v>
      </c>
      <c r="R495" s="3" t="str">
        <f>IF(O495, I495, "")</f>
        <v>suite-substrate</v>
      </c>
      <c r="S495" s="3" t="str">
        <f>IF(Q495, I495, "")</f>
      </c>
      <c r="T495" s="2" t="s">
        <v>5935</v>
      </c>
    </row>
    <row r="496">
      <c r="A496" s="2" t="s">
        <v>6465</v>
      </c>
      <c r="B496" s="3" t="str">
        <f>C496 &amp; ": " &amp; D496</f>
        <v>formula-translates: StepExecutions.EvaluatedBlockingCount</v>
      </c>
      <c r="C496" s="2" t="s">
        <v>6038</v>
      </c>
      <c r="D496" s="2" t="s">
        <v>3532</v>
      </c>
      <c r="E496" s="2" t="s">
        <v>1807</v>
      </c>
      <c r="F496" s="2" t="s">
        <v>1338</v>
      </c>
      <c r="G496" s="2" t="s">
        <v>6039</v>
      </c>
      <c r="H496" s="2" t="s">
        <v>1940</v>
      </c>
      <c r="I496" s="2" t="s">
        <v>5920</v>
      </c>
      <c r="J496" s="2" t="s">
        <v>5933</v>
      </c>
      <c r="K496" s="3" t="b">
        <f>J496 = "blocking"</f>
        <v>1</v>
      </c>
      <c r="L496" s="2" t="s">
        <v>1428</v>
      </c>
      <c r="M496" s="2" t="s">
        <v>6040</v>
      </c>
      <c r="N496" s="4">
        <v>46223.1297337963</v>
      </c>
      <c r="O496" s="3" t="b">
        <f>L496 = "PASS"</f>
        <v>1</v>
      </c>
      <c r="P496" s="3" t="b">
        <f>L496 = "FAIL"</f>
        <v>0</v>
      </c>
      <c r="Q496" s="3" t="b">
        <f>AND(P496, K496)</f>
        <v>0</v>
      </c>
      <c r="R496" s="3" t="str">
        <f>IF(O496, I496, "")</f>
        <v>suite-substrate</v>
      </c>
      <c r="S496" s="3" t="str">
        <f>IF(Q496, I496, "")</f>
      </c>
      <c r="T496" s="2" t="s">
        <v>5935</v>
      </c>
    </row>
    <row r="497">
      <c r="A497" s="2" t="s">
        <v>6466</v>
      </c>
      <c r="B497" s="3" t="str">
        <f>C497 &amp; ": " &amp; D497</f>
        <v>formula-translates: StepExecutions.UnevaluatedBlockingCount</v>
      </c>
      <c r="C497" s="2" t="s">
        <v>6038</v>
      </c>
      <c r="D497" s="2" t="s">
        <v>3534</v>
      </c>
      <c r="E497" s="2" t="s">
        <v>1807</v>
      </c>
      <c r="F497" s="2" t="s">
        <v>1339</v>
      </c>
      <c r="G497" s="2" t="s">
        <v>6039</v>
      </c>
      <c r="H497" s="2" t="s">
        <v>1940</v>
      </c>
      <c r="I497" s="2" t="s">
        <v>5920</v>
      </c>
      <c r="J497" s="2" t="s">
        <v>5933</v>
      </c>
      <c r="K497" s="3" t="b">
        <f>J497 = "blocking"</f>
        <v>1</v>
      </c>
      <c r="L497" s="2" t="s">
        <v>1428</v>
      </c>
      <c r="M497" s="2" t="s">
        <v>6040</v>
      </c>
      <c r="N497" s="4">
        <v>46223.1297337963</v>
      </c>
      <c r="O497" s="3" t="b">
        <f>L497 = "PASS"</f>
        <v>1</v>
      </c>
      <c r="P497" s="3" t="b">
        <f>L497 = "FAIL"</f>
        <v>0</v>
      </c>
      <c r="Q497" s="3" t="b">
        <f>AND(P497, K497)</f>
        <v>0</v>
      </c>
      <c r="R497" s="3" t="str">
        <f>IF(O497, I497, "")</f>
        <v>suite-substrate</v>
      </c>
      <c r="S497" s="3" t="str">
        <f>IF(Q497, I497, "")</f>
      </c>
      <c r="T497" s="2" t="s">
        <v>5935</v>
      </c>
    </row>
    <row r="498">
      <c r="A498" s="2" t="s">
        <v>6467</v>
      </c>
      <c r="B498" s="3" t="str">
        <f>C498 &amp; ": " &amp; D498</f>
        <v>formula-translates: StepExecutions.HasUnevaluatedBlockingControl</v>
      </c>
      <c r="C498" s="2" t="s">
        <v>6038</v>
      </c>
      <c r="D498" s="2" t="s">
        <v>3536</v>
      </c>
      <c r="E498" s="2" t="s">
        <v>1807</v>
      </c>
      <c r="F498" s="2" t="s">
        <v>1340</v>
      </c>
      <c r="G498" s="2" t="s">
        <v>6039</v>
      </c>
      <c r="H498" s="2" t="s">
        <v>1940</v>
      </c>
      <c r="I498" s="2" t="s">
        <v>5920</v>
      </c>
      <c r="J498" s="2" t="s">
        <v>5933</v>
      </c>
      <c r="K498" s="3" t="b">
        <f>J498 = "blocking"</f>
        <v>1</v>
      </c>
      <c r="L498" s="2" t="s">
        <v>1428</v>
      </c>
      <c r="M498" s="2" t="s">
        <v>6040</v>
      </c>
      <c r="N498" s="4">
        <v>46223.1297337963</v>
      </c>
      <c r="O498" s="3" t="b">
        <f>L498 = "PASS"</f>
        <v>1</v>
      </c>
      <c r="P498" s="3" t="b">
        <f>L498 = "FAIL"</f>
        <v>0</v>
      </c>
      <c r="Q498" s="3" t="b">
        <f>AND(P498, K498)</f>
        <v>0</v>
      </c>
      <c r="R498" s="3" t="str">
        <f>IF(O498, I498, "")</f>
        <v>suite-substrate</v>
      </c>
      <c r="S498" s="3" t="str">
        <f>IF(Q498, I498, "")</f>
      </c>
      <c r="T498" s="2" t="s">
        <v>5935</v>
      </c>
    </row>
    <row r="499">
      <c r="A499" s="2" t="s">
        <v>6468</v>
      </c>
      <c r="B499" s="3" t="str">
        <f>C499 &amp; ": " &amp; D499</f>
        <v>formula-translates: StepExecutions.StaleAuthoritativeSourceCount</v>
      </c>
      <c r="C499" s="2" t="s">
        <v>6038</v>
      </c>
      <c r="D499" s="2" t="s">
        <v>3538</v>
      </c>
      <c r="E499" s="2" t="s">
        <v>1807</v>
      </c>
      <c r="F499" s="2" t="s">
        <v>1341</v>
      </c>
      <c r="G499" s="2" t="s">
        <v>6039</v>
      </c>
      <c r="H499" s="2" t="s">
        <v>1944</v>
      </c>
      <c r="I499" s="2" t="s">
        <v>5920</v>
      </c>
      <c r="J499" s="2" t="s">
        <v>5933</v>
      </c>
      <c r="K499" s="3" t="b">
        <f>J499 = "blocking"</f>
        <v>1</v>
      </c>
      <c r="L499" s="2" t="s">
        <v>1428</v>
      </c>
      <c r="M499" s="2" t="s">
        <v>6040</v>
      </c>
      <c r="N499" s="4">
        <v>46223.1297337963</v>
      </c>
      <c r="O499" s="3" t="b">
        <f>L499 = "PASS"</f>
        <v>1</v>
      </c>
      <c r="P499" s="3" t="b">
        <f>L499 = "FAIL"</f>
        <v>0</v>
      </c>
      <c r="Q499" s="3" t="b">
        <f>AND(P499, K499)</f>
        <v>0</v>
      </c>
      <c r="R499" s="3" t="str">
        <f>IF(O499, I499, "")</f>
        <v>suite-substrate</v>
      </c>
      <c r="S499" s="3" t="str">
        <f>IF(Q499, I499, "")</f>
      </c>
      <c r="T499" s="2" t="s">
        <v>5935</v>
      </c>
    </row>
    <row r="500">
      <c r="A500" s="2" t="s">
        <v>6469</v>
      </c>
      <c r="B500" s="3" t="str">
        <f>C500 &amp; ": " &amp; D500</f>
        <v>formula-translates: StepExecutions.RanOnStaleAuthoritativeSource</v>
      </c>
      <c r="C500" s="2" t="s">
        <v>6038</v>
      </c>
      <c r="D500" s="2" t="s">
        <v>3540</v>
      </c>
      <c r="E500" s="2" t="s">
        <v>1807</v>
      </c>
      <c r="F500" s="2" t="s">
        <v>1342</v>
      </c>
      <c r="G500" s="2" t="s">
        <v>6039</v>
      </c>
      <c r="H500" s="2" t="s">
        <v>1944</v>
      </c>
      <c r="I500" s="2" t="s">
        <v>5920</v>
      </c>
      <c r="J500" s="2" t="s">
        <v>5933</v>
      </c>
      <c r="K500" s="3" t="b">
        <f>J500 = "blocking"</f>
        <v>1</v>
      </c>
      <c r="L500" s="2" t="s">
        <v>1428</v>
      </c>
      <c r="M500" s="2" t="s">
        <v>6040</v>
      </c>
      <c r="N500" s="4">
        <v>46223.1297337963</v>
      </c>
      <c r="O500" s="3" t="b">
        <f>L500 = "PASS"</f>
        <v>1</v>
      </c>
      <c r="P500" s="3" t="b">
        <f>L500 = "FAIL"</f>
        <v>0</v>
      </c>
      <c r="Q500" s="3" t="b">
        <f>AND(P500, K500)</f>
        <v>0</v>
      </c>
      <c r="R500" s="3" t="str">
        <f>IF(O500, I500, "")</f>
        <v>suite-substrate</v>
      </c>
      <c r="S500" s="3" t="str">
        <f>IF(Q500, I500, "")</f>
      </c>
      <c r="T500" s="2" t="s">
        <v>5935</v>
      </c>
    </row>
    <row r="501">
      <c r="A501" s="2" t="s">
        <v>6470</v>
      </c>
      <c r="B501" s="3" t="str">
        <f>C501 &amp; ": " &amp; D501</f>
        <v>formula-translates: StepExecutions.HasDeviationNote</v>
      </c>
      <c r="C501" s="2" t="s">
        <v>6038</v>
      </c>
      <c r="D501" s="2" t="s">
        <v>3542</v>
      </c>
      <c r="E501" s="2" t="s">
        <v>1807</v>
      </c>
      <c r="F501" s="2" t="s">
        <v>1343</v>
      </c>
      <c r="G501" s="2" t="s">
        <v>6039</v>
      </c>
      <c r="H501" s="2" t="s">
        <v>1948</v>
      </c>
      <c r="I501" s="2" t="s">
        <v>5920</v>
      </c>
      <c r="J501" s="2" t="s">
        <v>5933</v>
      </c>
      <c r="K501" s="3" t="b">
        <f>J501 = "blocking"</f>
        <v>1</v>
      </c>
      <c r="L501" s="2" t="s">
        <v>1428</v>
      </c>
      <c r="M501" s="2" t="s">
        <v>6040</v>
      </c>
      <c r="N501" s="4">
        <v>46223.1297337963</v>
      </c>
      <c r="O501" s="3" t="b">
        <f>L501 = "PASS"</f>
        <v>1</v>
      </c>
      <c r="P501" s="3" t="b">
        <f>L501 = "FAIL"</f>
        <v>0</v>
      </c>
      <c r="Q501" s="3" t="b">
        <f>AND(P501, K501)</f>
        <v>0</v>
      </c>
      <c r="R501" s="3" t="str">
        <f>IF(O501, I501, "")</f>
        <v>suite-substrate</v>
      </c>
      <c r="S501" s="3" t="str">
        <f>IF(Q501, I501, "")</f>
      </c>
      <c r="T501" s="2" t="s">
        <v>5935</v>
      </c>
    </row>
    <row r="502">
      <c r="A502" s="2" t="s">
        <v>6471</v>
      </c>
      <c r="B502" s="3" t="str">
        <f>C502 &amp; ": " &amp; D502</f>
        <v>formula-translates: StepExecutions.IsLateAndUnexplained</v>
      </c>
      <c r="C502" s="2" t="s">
        <v>6038</v>
      </c>
      <c r="D502" s="2" t="s">
        <v>3544</v>
      </c>
      <c r="E502" s="2" t="s">
        <v>1807</v>
      </c>
      <c r="F502" s="2" t="s">
        <v>1344</v>
      </c>
      <c r="G502" s="2" t="s">
        <v>6039</v>
      </c>
      <c r="H502" s="2" t="s">
        <v>1948</v>
      </c>
      <c r="I502" s="2" t="s">
        <v>5920</v>
      </c>
      <c r="J502" s="2" t="s">
        <v>5933</v>
      </c>
      <c r="K502" s="3" t="b">
        <f>J502 = "blocking"</f>
        <v>1</v>
      </c>
      <c r="L502" s="2" t="s">
        <v>1428</v>
      </c>
      <c r="M502" s="2" t="s">
        <v>6040</v>
      </c>
      <c r="N502" s="4">
        <v>46223.1297337963</v>
      </c>
      <c r="O502" s="3" t="b">
        <f>L502 = "PASS"</f>
        <v>1</v>
      </c>
      <c r="P502" s="3" t="b">
        <f>L502 = "FAIL"</f>
        <v>0</v>
      </c>
      <c r="Q502" s="3" t="b">
        <f>AND(P502, K502)</f>
        <v>0</v>
      </c>
      <c r="R502" s="3" t="str">
        <f>IF(O502, I502, "")</f>
        <v>suite-substrate</v>
      </c>
      <c r="S502" s="3" t="str">
        <f>IF(Q502, I502, "")</f>
      </c>
      <c r="T502" s="2" t="s">
        <v>5935</v>
      </c>
    </row>
    <row r="503">
      <c r="A503" s="2" t="s">
        <v>6472</v>
      </c>
      <c r="B503" s="3" t="str">
        <f>C503 &amp; ": " &amp; D503</f>
        <v>formula-translates: StepExecutions.AvailableExceptionCountForStep</v>
      </c>
      <c r="C503" s="2" t="s">
        <v>6038</v>
      </c>
      <c r="D503" s="2" t="s">
        <v>3546</v>
      </c>
      <c r="E503" s="2" t="s">
        <v>1807</v>
      </c>
      <c r="F503" s="2" t="s">
        <v>1345</v>
      </c>
      <c r="G503" s="2" t="s">
        <v>6039</v>
      </c>
      <c r="H503" s="2" t="s">
        <v>1948</v>
      </c>
      <c r="I503" s="2" t="s">
        <v>5920</v>
      </c>
      <c r="J503" s="2" t="s">
        <v>5933</v>
      </c>
      <c r="K503" s="3" t="b">
        <f>J503 = "blocking"</f>
        <v>1</v>
      </c>
      <c r="L503" s="2" t="s">
        <v>1428</v>
      </c>
      <c r="M503" s="2" t="s">
        <v>6040</v>
      </c>
      <c r="N503" s="4">
        <v>46223.1297337963</v>
      </c>
      <c r="O503" s="3" t="b">
        <f>L503 = "PASS"</f>
        <v>1</v>
      </c>
      <c r="P503" s="3" t="b">
        <f>L503 = "FAIL"</f>
        <v>0</v>
      </c>
      <c r="Q503" s="3" t="b">
        <f>AND(P503, K503)</f>
        <v>0</v>
      </c>
      <c r="R503" s="3" t="str">
        <f>IF(O503, I503, "")</f>
        <v>suite-substrate</v>
      </c>
      <c r="S503" s="3" t="str">
        <f>IF(Q503, I503, "")</f>
      </c>
      <c r="T503" s="2" t="s">
        <v>5935</v>
      </c>
    </row>
    <row r="504">
      <c r="A504" s="2" t="s">
        <v>6473</v>
      </c>
      <c r="B504" s="3" t="str">
        <f>C504 &amp; ": " &amp; D504</f>
        <v>formula-translates: StepExecutions.HadUninvokedExceptionAvailable</v>
      </c>
      <c r="C504" s="2" t="s">
        <v>6038</v>
      </c>
      <c r="D504" s="2" t="s">
        <v>3548</v>
      </c>
      <c r="E504" s="2" t="s">
        <v>1807</v>
      </c>
      <c r="F504" s="2" t="s">
        <v>1346</v>
      </c>
      <c r="G504" s="2" t="s">
        <v>6039</v>
      </c>
      <c r="H504" s="2" t="s">
        <v>1948</v>
      </c>
      <c r="I504" s="2" t="s">
        <v>5920</v>
      </c>
      <c r="J504" s="2" t="s">
        <v>5933</v>
      </c>
      <c r="K504" s="3" t="b">
        <f>J504 = "blocking"</f>
        <v>1</v>
      </c>
      <c r="L504" s="2" t="s">
        <v>1428</v>
      </c>
      <c r="M504" s="2" t="s">
        <v>6040</v>
      </c>
      <c r="N504" s="4">
        <v>46223.1297337963</v>
      </c>
      <c r="O504" s="3" t="b">
        <f>L504 = "PASS"</f>
        <v>1</v>
      </c>
      <c r="P504" s="3" t="b">
        <f>L504 = "FAIL"</f>
        <v>0</v>
      </c>
      <c r="Q504" s="3" t="b">
        <f>AND(P504, K504)</f>
        <v>0</v>
      </c>
      <c r="R504" s="3" t="str">
        <f>IF(O504, I504, "")</f>
        <v>suite-substrate</v>
      </c>
      <c r="S504" s="3" t="str">
        <f>IF(Q504, I504, "")</f>
      </c>
      <c r="T504" s="2" t="s">
        <v>5935</v>
      </c>
    </row>
    <row r="505">
      <c r="A505" s="2" t="s">
        <v>6474</v>
      </c>
      <c r="B505" s="3" t="str">
        <f>C505 &amp; ": " &amp; D505</f>
        <v>formula-translates: StepExecutions.ExpectedVerificationCount</v>
      </c>
      <c r="C505" s="2" t="s">
        <v>6038</v>
      </c>
      <c r="D505" s="2" t="s">
        <v>3550</v>
      </c>
      <c r="E505" s="2" t="s">
        <v>1807</v>
      </c>
      <c r="F505" s="2" t="s">
        <v>1347</v>
      </c>
      <c r="G505" s="2" t="s">
        <v>6039</v>
      </c>
      <c r="H505" s="2" t="s">
        <v>1952</v>
      </c>
      <c r="I505" s="2" t="s">
        <v>5920</v>
      </c>
      <c r="J505" s="2" t="s">
        <v>5933</v>
      </c>
      <c r="K505" s="3" t="b">
        <f>J505 = "blocking"</f>
        <v>1</v>
      </c>
      <c r="L505" s="2" t="s">
        <v>1428</v>
      </c>
      <c r="M505" s="2" t="s">
        <v>6040</v>
      </c>
      <c r="N505" s="4">
        <v>46223.1297337963</v>
      </c>
      <c r="O505" s="3" t="b">
        <f>L505 = "PASS"</f>
        <v>1</v>
      </c>
      <c r="P505" s="3" t="b">
        <f>L505 = "FAIL"</f>
        <v>0</v>
      </c>
      <c r="Q505" s="3" t="b">
        <f>AND(P505, K505)</f>
        <v>0</v>
      </c>
      <c r="R505" s="3" t="str">
        <f>IF(O505, I505, "")</f>
        <v>suite-substrate</v>
      </c>
      <c r="S505" s="3" t="str">
        <f>IF(Q505, I505, "")</f>
      </c>
      <c r="T505" s="2" t="s">
        <v>5935</v>
      </c>
    </row>
    <row r="506">
      <c r="A506" s="2" t="s">
        <v>6475</v>
      </c>
      <c r="B506" s="3" t="str">
        <f>C506 &amp; ": " &amp; D506</f>
        <v>formula-translates: StepExecutions.PerformedVerificationCount</v>
      </c>
      <c r="C506" s="2" t="s">
        <v>6038</v>
      </c>
      <c r="D506" s="2" t="s">
        <v>3552</v>
      </c>
      <c r="E506" s="2" t="s">
        <v>1807</v>
      </c>
      <c r="F506" s="2" t="s">
        <v>1348</v>
      </c>
      <c r="G506" s="2" t="s">
        <v>6039</v>
      </c>
      <c r="H506" s="2" t="s">
        <v>1952</v>
      </c>
      <c r="I506" s="2" t="s">
        <v>5920</v>
      </c>
      <c r="J506" s="2" t="s">
        <v>5933</v>
      </c>
      <c r="K506" s="3" t="b">
        <f>J506 = "blocking"</f>
        <v>1</v>
      </c>
      <c r="L506" s="2" t="s">
        <v>1428</v>
      </c>
      <c r="M506" s="2" t="s">
        <v>6040</v>
      </c>
      <c r="N506" s="4">
        <v>46223.1297337963</v>
      </c>
      <c r="O506" s="3" t="b">
        <f>L506 = "PASS"</f>
        <v>1</v>
      </c>
      <c r="P506" s="3" t="b">
        <f>L506 = "FAIL"</f>
        <v>0</v>
      </c>
      <c r="Q506" s="3" t="b">
        <f>AND(P506, K506)</f>
        <v>0</v>
      </c>
      <c r="R506" s="3" t="str">
        <f>IF(O506, I506, "")</f>
        <v>suite-substrate</v>
      </c>
      <c r="S506" s="3" t="str">
        <f>IF(Q506, I506, "")</f>
      </c>
      <c r="T506" s="2" t="s">
        <v>5935</v>
      </c>
    </row>
    <row r="507">
      <c r="A507" s="2" t="s">
        <v>6476</v>
      </c>
      <c r="B507" s="3" t="str">
        <f>C507 &amp; ": " &amp; D507</f>
        <v>formula-translates: StepExecutions.SkippedVerificationCount</v>
      </c>
      <c r="C507" s="2" t="s">
        <v>6038</v>
      </c>
      <c r="D507" s="2" t="s">
        <v>3554</v>
      </c>
      <c r="E507" s="2" t="s">
        <v>1807</v>
      </c>
      <c r="F507" s="2" t="s">
        <v>1349</v>
      </c>
      <c r="G507" s="2" t="s">
        <v>6039</v>
      </c>
      <c r="H507" s="2" t="s">
        <v>1952</v>
      </c>
      <c r="I507" s="2" t="s">
        <v>5920</v>
      </c>
      <c r="J507" s="2" t="s">
        <v>5933</v>
      </c>
      <c r="K507" s="3" t="b">
        <f>J507 = "blocking"</f>
        <v>1</v>
      </c>
      <c r="L507" s="2" t="s">
        <v>1428</v>
      </c>
      <c r="M507" s="2" t="s">
        <v>6040</v>
      </c>
      <c r="N507" s="4">
        <v>46223.1297337963</v>
      </c>
      <c r="O507" s="3" t="b">
        <f>L507 = "PASS"</f>
        <v>1</v>
      </c>
      <c r="P507" s="3" t="b">
        <f>L507 = "FAIL"</f>
        <v>0</v>
      </c>
      <c r="Q507" s="3" t="b">
        <f>AND(P507, K507)</f>
        <v>0</v>
      </c>
      <c r="R507" s="3" t="str">
        <f>IF(O507, I507, "")</f>
        <v>suite-substrate</v>
      </c>
      <c r="S507" s="3" t="str">
        <f>IF(Q507, I507, "")</f>
      </c>
      <c r="T507" s="2" t="s">
        <v>5935</v>
      </c>
    </row>
    <row r="508">
      <c r="A508" s="2" t="s">
        <v>6477</v>
      </c>
      <c r="B508" s="3" t="str">
        <f>C508 &amp; ": " &amp; D508</f>
        <v>formula-translates: StepExecutions.HasSkippedVerification</v>
      </c>
      <c r="C508" s="2" t="s">
        <v>6038</v>
      </c>
      <c r="D508" s="2" t="s">
        <v>3556</v>
      </c>
      <c r="E508" s="2" t="s">
        <v>1807</v>
      </c>
      <c r="F508" s="2" t="s">
        <v>1350</v>
      </c>
      <c r="G508" s="2" t="s">
        <v>6039</v>
      </c>
      <c r="H508" s="2" t="s">
        <v>1952</v>
      </c>
      <c r="I508" s="2" t="s">
        <v>5920</v>
      </c>
      <c r="J508" s="2" t="s">
        <v>5933</v>
      </c>
      <c r="K508" s="3" t="b">
        <f>J508 = "blocking"</f>
        <v>1</v>
      </c>
      <c r="L508" s="2" t="s">
        <v>1428</v>
      </c>
      <c r="M508" s="2" t="s">
        <v>6040</v>
      </c>
      <c r="N508" s="4">
        <v>46223.1297337963</v>
      </c>
      <c r="O508" s="3" t="b">
        <f>L508 = "PASS"</f>
        <v>1</v>
      </c>
      <c r="P508" s="3" t="b">
        <f>L508 = "FAIL"</f>
        <v>0</v>
      </c>
      <c r="Q508" s="3" t="b">
        <f>AND(P508, K508)</f>
        <v>0</v>
      </c>
      <c r="R508" s="3" t="str">
        <f>IF(O508, I508, "")</f>
        <v>suite-substrate</v>
      </c>
      <c r="S508" s="3" t="str">
        <f>IF(Q508, I508, "")</f>
      </c>
      <c r="T508" s="2" t="s">
        <v>5935</v>
      </c>
    </row>
    <row r="509">
      <c r="A509" s="2" t="s">
        <v>6478</v>
      </c>
      <c r="B509" s="3" t="str">
        <f>C509 &amp; ": " &amp; D509</f>
        <v>formula-translates: StepExecutions.ClaimsPassWithoutEvidence</v>
      </c>
      <c r="C509" s="2" t="s">
        <v>6038</v>
      </c>
      <c r="D509" s="2" t="s">
        <v>3558</v>
      </c>
      <c r="E509" s="2" t="s">
        <v>1807</v>
      </c>
      <c r="F509" s="2" t="s">
        <v>1351</v>
      </c>
      <c r="G509" s="2" t="s">
        <v>6039</v>
      </c>
      <c r="H509" s="2" t="s">
        <v>1952</v>
      </c>
      <c r="I509" s="2" t="s">
        <v>5920</v>
      </c>
      <c r="J509" s="2" t="s">
        <v>5933</v>
      </c>
      <c r="K509" s="3" t="b">
        <f>J509 = "blocking"</f>
        <v>1</v>
      </c>
      <c r="L509" s="2" t="s">
        <v>1428</v>
      </c>
      <c r="M509" s="2" t="s">
        <v>6040</v>
      </c>
      <c r="N509" s="4">
        <v>46223.1297337963</v>
      </c>
      <c r="O509" s="3" t="b">
        <f>L509 = "PASS"</f>
        <v>1</v>
      </c>
      <c r="P509" s="3" t="b">
        <f>L509 = "FAIL"</f>
        <v>0</v>
      </c>
      <c r="Q509" s="3" t="b">
        <f>AND(P509, K509)</f>
        <v>0</v>
      </c>
      <c r="R509" s="3" t="str">
        <f>IF(O509, I509, "")</f>
        <v>suite-substrate</v>
      </c>
      <c r="S509" s="3" t="str">
        <f>IF(Q509, I509, "")</f>
      </c>
      <c r="T509" s="2" t="s">
        <v>5935</v>
      </c>
    </row>
    <row r="510">
      <c r="A510" s="2" t="s">
        <v>6479</v>
      </c>
      <c r="B510" s="3" t="str">
        <f>C510 &amp; ": " &amp; D510</f>
        <v>formula-translates: StepExecutions.StepIsPreparation</v>
      </c>
      <c r="C510" s="2" t="s">
        <v>6038</v>
      </c>
      <c r="D510" s="2" t="s">
        <v>3560</v>
      </c>
      <c r="E510" s="2" t="s">
        <v>1807</v>
      </c>
      <c r="F510" s="2" t="s">
        <v>1352</v>
      </c>
      <c r="G510" s="2" t="s">
        <v>6039</v>
      </c>
      <c r="H510" s="2" t="s">
        <v>1956</v>
      </c>
      <c r="I510" s="2" t="s">
        <v>5920</v>
      </c>
      <c r="J510" s="2" t="s">
        <v>5933</v>
      </c>
      <c r="K510" s="3" t="b">
        <f>J510 = "blocking"</f>
        <v>1</v>
      </c>
      <c r="L510" s="2" t="s">
        <v>1428</v>
      </c>
      <c r="M510" s="2" t="s">
        <v>6040</v>
      </c>
      <c r="N510" s="4">
        <v>46223.1297337963</v>
      </c>
      <c r="O510" s="3" t="b">
        <f>L510 = "PASS"</f>
        <v>1</v>
      </c>
      <c r="P510" s="3" t="b">
        <f>L510 = "FAIL"</f>
        <v>0</v>
      </c>
      <c r="Q510" s="3" t="b">
        <f>AND(P510, K510)</f>
        <v>0</v>
      </c>
      <c r="R510" s="3" t="str">
        <f>IF(O510, I510, "")</f>
        <v>suite-substrate</v>
      </c>
      <c r="S510" s="3" t="str">
        <f>IF(Q510, I510, "")</f>
      </c>
      <c r="T510" s="2" t="s">
        <v>5935</v>
      </c>
    </row>
    <row r="511">
      <c r="A511" s="2" t="s">
        <v>6480</v>
      </c>
      <c r="B511" s="3" t="str">
        <f>C511 &amp; ": " &amp; D511</f>
        <v>formula-translates: StepExecutions.StepIsApproval</v>
      </c>
      <c r="C511" s="2" t="s">
        <v>6038</v>
      </c>
      <c r="D511" s="2" t="s">
        <v>3562</v>
      </c>
      <c r="E511" s="2" t="s">
        <v>1807</v>
      </c>
      <c r="F511" s="2" t="s">
        <v>1353</v>
      </c>
      <c r="G511" s="2" t="s">
        <v>6039</v>
      </c>
      <c r="H511" s="2" t="s">
        <v>1956</v>
      </c>
      <c r="I511" s="2" t="s">
        <v>5920</v>
      </c>
      <c r="J511" s="2" t="s">
        <v>5933</v>
      </c>
      <c r="K511" s="3" t="b">
        <f>J511 = "blocking"</f>
        <v>1</v>
      </c>
      <c r="L511" s="2" t="s">
        <v>1428</v>
      </c>
      <c r="M511" s="2" t="s">
        <v>6040</v>
      </c>
      <c r="N511" s="4">
        <v>46223.1297337963</v>
      </c>
      <c r="O511" s="3" t="b">
        <f>L511 = "PASS"</f>
        <v>1</v>
      </c>
      <c r="P511" s="3" t="b">
        <f>L511 = "FAIL"</f>
        <v>0</v>
      </c>
      <c r="Q511" s="3" t="b">
        <f>AND(P511, K511)</f>
        <v>0</v>
      </c>
      <c r="R511" s="3" t="str">
        <f>IF(O511, I511, "")</f>
        <v>suite-substrate</v>
      </c>
      <c r="S511" s="3" t="str">
        <f>IF(Q511, I511, "")</f>
      </c>
      <c r="T511" s="2" t="s">
        <v>5935</v>
      </c>
    </row>
    <row r="512">
      <c r="A512" s="2" t="s">
        <v>6481</v>
      </c>
      <c r="B512" s="3" t="str">
        <f>C512 &amp; ": " &amp; D512</f>
        <v>formula-translates: StepExecutions.PreparerAgentKey</v>
      </c>
      <c r="C512" s="2" t="s">
        <v>6038</v>
      </c>
      <c r="D512" s="2" t="s">
        <v>3564</v>
      </c>
      <c r="E512" s="2" t="s">
        <v>1807</v>
      </c>
      <c r="F512" s="2" t="s">
        <v>1354</v>
      </c>
      <c r="G512" s="2" t="s">
        <v>6039</v>
      </c>
      <c r="H512" s="2" t="s">
        <v>1956</v>
      </c>
      <c r="I512" s="2" t="s">
        <v>5920</v>
      </c>
      <c r="J512" s="2" t="s">
        <v>5933</v>
      </c>
      <c r="K512" s="3" t="b">
        <f>J512 = "blocking"</f>
        <v>1</v>
      </c>
      <c r="L512" s="2" t="s">
        <v>1428</v>
      </c>
      <c r="M512" s="2" t="s">
        <v>6040</v>
      </c>
      <c r="N512" s="4">
        <v>46223.1297337963</v>
      </c>
      <c r="O512" s="3" t="b">
        <f>L512 = "PASS"</f>
        <v>1</v>
      </c>
      <c r="P512" s="3" t="b">
        <f>L512 = "FAIL"</f>
        <v>0</v>
      </c>
      <c r="Q512" s="3" t="b">
        <f>AND(P512, K512)</f>
        <v>0</v>
      </c>
      <c r="R512" s="3" t="str">
        <f>IF(O512, I512, "")</f>
        <v>suite-substrate</v>
      </c>
      <c r="S512" s="3" t="str">
        <f>IF(Q512, I512, "")</f>
      </c>
      <c r="T512" s="2" t="s">
        <v>5935</v>
      </c>
    </row>
    <row r="513">
      <c r="A513" s="2" t="s">
        <v>6482</v>
      </c>
      <c r="B513" s="3" t="str">
        <f>C513 &amp; ": " &amp; D513</f>
        <v>formula-translates: StepExecutions.ApproverAgentKey</v>
      </c>
      <c r="C513" s="2" t="s">
        <v>6038</v>
      </c>
      <c r="D513" s="2" t="s">
        <v>3566</v>
      </c>
      <c r="E513" s="2" t="s">
        <v>1807</v>
      </c>
      <c r="F513" s="2" t="s">
        <v>1355</v>
      </c>
      <c r="G513" s="2" t="s">
        <v>6039</v>
      </c>
      <c r="H513" s="2" t="s">
        <v>1956</v>
      </c>
      <c r="I513" s="2" t="s">
        <v>5920</v>
      </c>
      <c r="J513" s="2" t="s">
        <v>5933</v>
      </c>
      <c r="K513" s="3" t="b">
        <f>J513 = "blocking"</f>
        <v>1</v>
      </c>
      <c r="L513" s="2" t="s">
        <v>1428</v>
      </c>
      <c r="M513" s="2" t="s">
        <v>6040</v>
      </c>
      <c r="N513" s="4">
        <v>46223.1297337963</v>
      </c>
      <c r="O513" s="3" t="b">
        <f>L513 = "PASS"</f>
        <v>1</v>
      </c>
      <c r="P513" s="3" t="b">
        <f>L513 = "FAIL"</f>
        <v>0</v>
      </c>
      <c r="Q513" s="3" t="b">
        <f>AND(P513, K513)</f>
        <v>0</v>
      </c>
      <c r="R513" s="3" t="str">
        <f>IF(O513, I513, "")</f>
        <v>suite-substrate</v>
      </c>
      <c r="S513" s="3" t="str">
        <f>IF(Q513, I513, "")</f>
      </c>
      <c r="T513" s="2" t="s">
        <v>5935</v>
      </c>
    </row>
    <row r="514">
      <c r="A514" s="2" t="s">
        <v>6483</v>
      </c>
      <c r="B514" s="3" t="str">
        <f>C514 &amp; ": " &amp; D514</f>
        <v>formula-translates: StepExecutions.PreparedByThisAgentCount</v>
      </c>
      <c r="C514" s="2" t="s">
        <v>6038</v>
      </c>
      <c r="D514" s="2" t="s">
        <v>3568</v>
      </c>
      <c r="E514" s="2" t="s">
        <v>1807</v>
      </c>
      <c r="F514" s="2" t="s">
        <v>1356</v>
      </c>
      <c r="G514" s="2" t="s">
        <v>6039</v>
      </c>
      <c r="H514" s="2" t="s">
        <v>1956</v>
      </c>
      <c r="I514" s="2" t="s">
        <v>5920</v>
      </c>
      <c r="J514" s="2" t="s">
        <v>5933</v>
      </c>
      <c r="K514" s="3" t="b">
        <f>J514 = "blocking"</f>
        <v>1</v>
      </c>
      <c r="L514" s="2" t="s">
        <v>1428</v>
      </c>
      <c r="M514" s="2" t="s">
        <v>6040</v>
      </c>
      <c r="N514" s="4">
        <v>46223.1297337963</v>
      </c>
      <c r="O514" s="3" t="b">
        <f>L514 = "PASS"</f>
        <v>1</v>
      </c>
      <c r="P514" s="3" t="b">
        <f>L514 = "FAIL"</f>
        <v>0</v>
      </c>
      <c r="Q514" s="3" t="b">
        <f>AND(P514, K514)</f>
        <v>0</v>
      </c>
      <c r="R514" s="3" t="str">
        <f>IF(O514, I514, "")</f>
        <v>suite-substrate</v>
      </c>
      <c r="S514" s="3" t="str">
        <f>IF(Q514, I514, "")</f>
      </c>
      <c r="T514" s="2" t="s">
        <v>5935</v>
      </c>
    </row>
    <row r="515">
      <c r="A515" s="2" t="s">
        <v>6484</v>
      </c>
      <c r="B515" s="3" t="str">
        <f>C515 &amp; ": " &amp; D515</f>
        <v>formula-translates: StepExecutions.ViolatesSeparationOfDuties</v>
      </c>
      <c r="C515" s="2" t="s">
        <v>6038</v>
      </c>
      <c r="D515" s="2" t="s">
        <v>838</v>
      </c>
      <c r="E515" s="2" t="s">
        <v>1807</v>
      </c>
      <c r="F515" s="2" t="s">
        <v>1357</v>
      </c>
      <c r="G515" s="2" t="s">
        <v>6039</v>
      </c>
      <c r="H515" s="2" t="s">
        <v>1956</v>
      </c>
      <c r="I515" s="2" t="s">
        <v>5920</v>
      </c>
      <c r="J515" s="2" t="s">
        <v>5933</v>
      </c>
      <c r="K515" s="3" t="b">
        <f>J515 = "blocking"</f>
        <v>1</v>
      </c>
      <c r="L515" s="2" t="s">
        <v>1428</v>
      </c>
      <c r="M515" s="2" t="s">
        <v>6040</v>
      </c>
      <c r="N515" s="4">
        <v>46223.1297337963</v>
      </c>
      <c r="O515" s="3" t="b">
        <f>L515 = "PASS"</f>
        <v>1</v>
      </c>
      <c r="P515" s="3" t="b">
        <f>L515 = "FAIL"</f>
        <v>0</v>
      </c>
      <c r="Q515" s="3" t="b">
        <f>AND(P515, K515)</f>
        <v>0</v>
      </c>
      <c r="R515" s="3" t="str">
        <f>IF(O515, I515, "")</f>
        <v>suite-substrate</v>
      </c>
      <c r="S515" s="3" t="str">
        <f>IF(Q515, I515, "")</f>
      </c>
      <c r="T515" s="2" t="s">
        <v>5935</v>
      </c>
    </row>
    <row r="516">
      <c r="A516" s="2" t="s">
        <v>6485</v>
      </c>
      <c r="B516" s="3" t="str">
        <f>C516 &amp; ": " &amp; D516</f>
        <v>formula-translates: StepExecutions.RequiredRoleForStep</v>
      </c>
      <c r="C516" s="2" t="s">
        <v>6038</v>
      </c>
      <c r="D516" s="2" t="s">
        <v>3571</v>
      </c>
      <c r="E516" s="2" t="s">
        <v>1807</v>
      </c>
      <c r="F516" s="2" t="s">
        <v>1358</v>
      </c>
      <c r="G516" s="2" t="s">
        <v>6039</v>
      </c>
      <c r="H516" s="2" t="s">
        <v>1960</v>
      </c>
      <c r="I516" s="2" t="s">
        <v>5920</v>
      </c>
      <c r="J516" s="2" t="s">
        <v>5933</v>
      </c>
      <c r="K516" s="3" t="b">
        <f>J516 = "blocking"</f>
        <v>1</v>
      </c>
      <c r="L516" s="2" t="s">
        <v>1428</v>
      </c>
      <c r="M516" s="2" t="s">
        <v>6040</v>
      </c>
      <c r="N516" s="4">
        <v>46223.1297337963</v>
      </c>
      <c r="O516" s="3" t="b">
        <f>L516 = "PASS"</f>
        <v>1</v>
      </c>
      <c r="P516" s="3" t="b">
        <f>L516 = "FAIL"</f>
        <v>0</v>
      </c>
      <c r="Q516" s="3" t="b">
        <f>AND(P516, K516)</f>
        <v>0</v>
      </c>
      <c r="R516" s="3" t="str">
        <f>IF(O516, I516, "")</f>
        <v>suite-substrate</v>
      </c>
      <c r="S516" s="3" t="str">
        <f>IF(Q516, I516, "")</f>
      </c>
      <c r="T516" s="2" t="s">
        <v>5935</v>
      </c>
    </row>
    <row r="517">
      <c r="A517" s="2" t="s">
        <v>6486</v>
      </c>
      <c r="B517" s="3" t="str">
        <f>C517 &amp; ": " &amp; D517</f>
        <v>formula-translates: StepExecutions.ExecutorRoleKey</v>
      </c>
      <c r="C517" s="2" t="s">
        <v>6038</v>
      </c>
      <c r="D517" s="2" t="s">
        <v>3573</v>
      </c>
      <c r="E517" s="2" t="s">
        <v>1807</v>
      </c>
      <c r="F517" s="2" t="s">
        <v>1359</v>
      </c>
      <c r="G517" s="2" t="s">
        <v>6039</v>
      </c>
      <c r="H517" s="2" t="s">
        <v>1960</v>
      </c>
      <c r="I517" s="2" t="s">
        <v>5920</v>
      </c>
      <c r="J517" s="2" t="s">
        <v>5933</v>
      </c>
      <c r="K517" s="3" t="b">
        <f>J517 = "blocking"</f>
        <v>1</v>
      </c>
      <c r="L517" s="2" t="s">
        <v>1428</v>
      </c>
      <c r="M517" s="2" t="s">
        <v>6040</v>
      </c>
      <c r="N517" s="4">
        <v>46223.1297337963</v>
      </c>
      <c r="O517" s="3" t="b">
        <f>L517 = "PASS"</f>
        <v>1</v>
      </c>
      <c r="P517" s="3" t="b">
        <f>L517 = "FAIL"</f>
        <v>0</v>
      </c>
      <c r="Q517" s="3" t="b">
        <f>AND(P517, K517)</f>
        <v>0</v>
      </c>
      <c r="R517" s="3" t="str">
        <f>IF(O517, I517, "")</f>
        <v>suite-substrate</v>
      </c>
      <c r="S517" s="3" t="str">
        <f>IF(Q517, I517, "")</f>
      </c>
      <c r="T517" s="2" t="s">
        <v>5935</v>
      </c>
    </row>
    <row r="518">
      <c r="A518" s="2" t="s">
        <v>6487</v>
      </c>
      <c r="B518" s="3" t="str">
        <f>C518 &amp; ": " &amp; D518</f>
        <v>formula-translates: StepExecutions.ExecutorAuthorityCount</v>
      </c>
      <c r="C518" s="2" t="s">
        <v>6038</v>
      </c>
      <c r="D518" s="2" t="s">
        <v>3575</v>
      </c>
      <c r="E518" s="2" t="s">
        <v>1807</v>
      </c>
      <c r="F518" s="2" t="s">
        <v>1360</v>
      </c>
      <c r="G518" s="2" t="s">
        <v>6039</v>
      </c>
      <c r="H518" s="2" t="s">
        <v>1960</v>
      </c>
      <c r="I518" s="2" t="s">
        <v>5920</v>
      </c>
      <c r="J518" s="2" t="s">
        <v>5933</v>
      </c>
      <c r="K518" s="3" t="b">
        <f>J518 = "blocking"</f>
        <v>1</v>
      </c>
      <c r="L518" s="2" t="s">
        <v>1428</v>
      </c>
      <c r="M518" s="2" t="s">
        <v>6040</v>
      </c>
      <c r="N518" s="4">
        <v>46223.1297337963</v>
      </c>
      <c r="O518" s="3" t="b">
        <f>L518 = "PASS"</f>
        <v>1</v>
      </c>
      <c r="P518" s="3" t="b">
        <f>L518 = "FAIL"</f>
        <v>0</v>
      </c>
      <c r="Q518" s="3" t="b">
        <f>AND(P518, K518)</f>
        <v>0</v>
      </c>
      <c r="R518" s="3" t="str">
        <f>IF(O518, I518, "")</f>
        <v>suite-substrate</v>
      </c>
      <c r="S518" s="3" t="str">
        <f>IF(Q518, I518, "")</f>
      </c>
      <c r="T518" s="2" t="s">
        <v>5935</v>
      </c>
    </row>
    <row r="519">
      <c r="A519" s="2" t="s">
        <v>6488</v>
      </c>
      <c r="B519" s="3" t="str">
        <f>C519 &amp; ": " &amp; D519</f>
        <v>formula-translates: StepExecutions.ExecutorHeldRequiredRole</v>
      </c>
      <c r="C519" s="2" t="s">
        <v>6038</v>
      </c>
      <c r="D519" s="2" t="s">
        <v>3577</v>
      </c>
      <c r="E519" s="2" t="s">
        <v>1807</v>
      </c>
      <c r="F519" s="2" t="s">
        <v>1361</v>
      </c>
      <c r="G519" s="2" t="s">
        <v>6039</v>
      </c>
      <c r="H519" s="2" t="s">
        <v>1960</v>
      </c>
      <c r="I519" s="2" t="s">
        <v>5920</v>
      </c>
      <c r="J519" s="2" t="s">
        <v>5933</v>
      </c>
      <c r="K519" s="3" t="b">
        <f>J519 = "blocking"</f>
        <v>1</v>
      </c>
      <c r="L519" s="2" t="s">
        <v>1428</v>
      </c>
      <c r="M519" s="2" t="s">
        <v>6040</v>
      </c>
      <c r="N519" s="4">
        <v>46223.1297337963</v>
      </c>
      <c r="O519" s="3" t="b">
        <f>L519 = "PASS"</f>
        <v>1</v>
      </c>
      <c r="P519" s="3" t="b">
        <f>L519 = "FAIL"</f>
        <v>0</v>
      </c>
      <c r="Q519" s="3" t="b">
        <f>AND(P519, K519)</f>
        <v>0</v>
      </c>
      <c r="R519" s="3" t="str">
        <f>IF(O519, I519, "")</f>
        <v>suite-substrate</v>
      </c>
      <c r="S519" s="3" t="str">
        <f>IF(Q519, I519, "")</f>
      </c>
      <c r="T519" s="2" t="s">
        <v>5935</v>
      </c>
    </row>
    <row r="520">
      <c r="A520" s="2" t="s">
        <v>6489</v>
      </c>
      <c r="B520" s="3" t="str">
        <f>C520 &amp; ": " &amp; D520</f>
        <v>formula-translates: StepExecutions.IsUnauthorizedApproval</v>
      </c>
      <c r="C520" s="2" t="s">
        <v>6038</v>
      </c>
      <c r="D520" s="2" t="s">
        <v>3579</v>
      </c>
      <c r="E520" s="2" t="s">
        <v>1807</v>
      </c>
      <c r="F520" s="2" t="s">
        <v>1362</v>
      </c>
      <c r="G520" s="2" t="s">
        <v>6039</v>
      </c>
      <c r="H520" s="2" t="s">
        <v>1960</v>
      </c>
      <c r="I520" s="2" t="s">
        <v>5920</v>
      </c>
      <c r="J520" s="2" t="s">
        <v>5933</v>
      </c>
      <c r="K520" s="3" t="b">
        <f>J520 = "blocking"</f>
        <v>1</v>
      </c>
      <c r="L520" s="2" t="s">
        <v>1428</v>
      </c>
      <c r="M520" s="2" t="s">
        <v>6040</v>
      </c>
      <c r="N520" s="4">
        <v>46223.1297337963</v>
      </c>
      <c r="O520" s="3" t="b">
        <f>L520 = "PASS"</f>
        <v>1</v>
      </c>
      <c r="P520" s="3" t="b">
        <f>L520 = "FAIL"</f>
        <v>0</v>
      </c>
      <c r="Q520" s="3" t="b">
        <f>AND(P520, K520)</f>
        <v>0</v>
      </c>
      <c r="R520" s="3" t="str">
        <f>IF(O520, I520, "")</f>
        <v>suite-substrate</v>
      </c>
      <c r="S520" s="3" t="str">
        <f>IF(Q520, I520, "")</f>
      </c>
      <c r="T520" s="2" t="s">
        <v>5935</v>
      </c>
    </row>
    <row r="521">
      <c r="A521" s="2" t="s">
        <v>6490</v>
      </c>
      <c r="B521" s="3" t="str">
        <f>C521 &amp; ": " &amp; D521</f>
        <v>formula-translates: StepExecutions.CompletedExecutionKey</v>
      </c>
      <c r="C521" s="2" t="s">
        <v>6038</v>
      </c>
      <c r="D521" s="2" t="s">
        <v>3581</v>
      </c>
      <c r="E521" s="2" t="s">
        <v>1807</v>
      </c>
      <c r="F521" s="2" t="s">
        <v>1363</v>
      </c>
      <c r="G521" s="2" t="s">
        <v>6039</v>
      </c>
      <c r="H521" s="2" t="s">
        <v>1968</v>
      </c>
      <c r="I521" s="2" t="s">
        <v>5920</v>
      </c>
      <c r="J521" s="2" t="s">
        <v>5933</v>
      </c>
      <c r="K521" s="3" t="b">
        <f>J521 = "blocking"</f>
        <v>1</v>
      </c>
      <c r="L521" s="2" t="s">
        <v>1428</v>
      </c>
      <c r="M521" s="2" t="s">
        <v>6040</v>
      </c>
      <c r="N521" s="4">
        <v>46223.1297337963</v>
      </c>
      <c r="O521" s="3" t="b">
        <f>L521 = "PASS"</f>
        <v>1</v>
      </c>
      <c r="P521" s="3" t="b">
        <f>L521 = "FAIL"</f>
        <v>0</v>
      </c>
      <c r="Q521" s="3" t="b">
        <f>AND(P521, K521)</f>
        <v>0</v>
      </c>
      <c r="R521" s="3" t="str">
        <f>IF(O521, I521, "")</f>
        <v>suite-substrate</v>
      </c>
      <c r="S521" s="3" t="str">
        <f>IF(Q521, I521, "")</f>
      </c>
      <c r="T521" s="2" t="s">
        <v>5935</v>
      </c>
    </row>
    <row r="522">
      <c r="A522" s="2" t="s">
        <v>6491</v>
      </c>
      <c r="B522" s="3" t="str">
        <f>C522 &amp; ": " &amp; D522</f>
        <v>formula-translates: StepExecutions.ControlBreachExecutionKey</v>
      </c>
      <c r="C522" s="2" t="s">
        <v>6038</v>
      </c>
      <c r="D522" s="2" t="s">
        <v>3583</v>
      </c>
      <c r="E522" s="2" t="s">
        <v>1807</v>
      </c>
      <c r="F522" s="2" t="s">
        <v>1364</v>
      </c>
      <c r="G522" s="2" t="s">
        <v>6039</v>
      </c>
      <c r="H522" s="2" t="s">
        <v>1968</v>
      </c>
      <c r="I522" s="2" t="s">
        <v>5920</v>
      </c>
      <c r="J522" s="2" t="s">
        <v>5933</v>
      </c>
      <c r="K522" s="3" t="b">
        <f>J522 = "blocking"</f>
        <v>1</v>
      </c>
      <c r="L522" s="2" t="s">
        <v>1428</v>
      </c>
      <c r="M522" s="2" t="s">
        <v>6040</v>
      </c>
      <c r="N522" s="4">
        <v>46223.1297337963</v>
      </c>
      <c r="O522" s="3" t="b">
        <f>L522 = "PASS"</f>
        <v>1</v>
      </c>
      <c r="P522" s="3" t="b">
        <f>L522 = "FAIL"</f>
        <v>0</v>
      </c>
      <c r="Q522" s="3" t="b">
        <f>AND(P522, K522)</f>
        <v>0</v>
      </c>
      <c r="R522" s="3" t="str">
        <f>IF(O522, I522, "")</f>
        <v>suite-substrate</v>
      </c>
      <c r="S522" s="3" t="str">
        <f>IF(Q522, I522, "")</f>
      </c>
      <c r="T522" s="2" t="s">
        <v>5935</v>
      </c>
    </row>
    <row r="523">
      <c r="A523" s="2" t="s">
        <v>6492</v>
      </c>
      <c r="B523" s="3" t="str">
        <f>C523 &amp; ": " &amp; D523</f>
        <v>formula-translates: StepExecutions.LateExecutionKey</v>
      </c>
      <c r="C523" s="2" t="s">
        <v>6038</v>
      </c>
      <c r="D523" s="2" t="s">
        <v>3585</v>
      </c>
      <c r="E523" s="2" t="s">
        <v>1807</v>
      </c>
      <c r="F523" s="2" t="s">
        <v>1365</v>
      </c>
      <c r="G523" s="2" t="s">
        <v>6039</v>
      </c>
      <c r="H523" s="2" t="s">
        <v>1968</v>
      </c>
      <c r="I523" s="2" t="s">
        <v>5920</v>
      </c>
      <c r="J523" s="2" t="s">
        <v>5933</v>
      </c>
      <c r="K523" s="3" t="b">
        <f>J523 = "blocking"</f>
        <v>1</v>
      </c>
      <c r="L523" s="2" t="s">
        <v>1428</v>
      </c>
      <c r="M523" s="2" t="s">
        <v>6040</v>
      </c>
      <c r="N523" s="4">
        <v>46223.1297337963</v>
      </c>
      <c r="O523" s="3" t="b">
        <f>L523 = "PASS"</f>
        <v>1</v>
      </c>
      <c r="P523" s="3" t="b">
        <f>L523 = "FAIL"</f>
        <v>0</v>
      </c>
      <c r="Q523" s="3" t="b">
        <f>AND(P523, K523)</f>
        <v>0</v>
      </c>
      <c r="R523" s="3" t="str">
        <f>IF(O523, I523, "")</f>
        <v>suite-substrate</v>
      </c>
      <c r="S523" s="3" t="str">
        <f>IF(Q523, I523, "")</f>
      </c>
      <c r="T523" s="2" t="s">
        <v>5935</v>
      </c>
    </row>
    <row r="524">
      <c r="A524" s="2" t="s">
        <v>6493</v>
      </c>
      <c r="B524" s="3" t="str">
        <f>C524 &amp; ": " &amp; D524</f>
        <v>formula-translates: StepExecutions.ExecutorAgentKind</v>
      </c>
      <c r="C524" s="2" t="s">
        <v>6038</v>
      </c>
      <c r="D524" s="2" t="s">
        <v>3587</v>
      </c>
      <c r="E524" s="2" t="s">
        <v>1807</v>
      </c>
      <c r="F524" s="2" t="s">
        <v>1366</v>
      </c>
      <c r="G524" s="2" t="s">
        <v>6039</v>
      </c>
      <c r="H524" s="2" t="s">
        <v>1972</v>
      </c>
      <c r="I524" s="2" t="s">
        <v>5920</v>
      </c>
      <c r="J524" s="2" t="s">
        <v>5933</v>
      </c>
      <c r="K524" s="3" t="b">
        <f>J524 = "blocking"</f>
        <v>1</v>
      </c>
      <c r="L524" s="2" t="s">
        <v>1428</v>
      </c>
      <c r="M524" s="2" t="s">
        <v>6040</v>
      </c>
      <c r="N524" s="4">
        <v>46223.1297337963</v>
      </c>
      <c r="O524" s="3" t="b">
        <f>L524 = "PASS"</f>
        <v>1</v>
      </c>
      <c r="P524" s="3" t="b">
        <f>L524 = "FAIL"</f>
        <v>0</v>
      </c>
      <c r="Q524" s="3" t="b">
        <f>AND(P524, K524)</f>
        <v>0</v>
      </c>
      <c r="R524" s="3" t="str">
        <f>IF(O524, I524, "")</f>
        <v>suite-substrate</v>
      </c>
      <c r="S524" s="3" t="str">
        <f>IF(Q524, I524, "")</f>
      </c>
      <c r="T524" s="2" t="s">
        <v>5935</v>
      </c>
    </row>
    <row r="525">
      <c r="A525" s="2" t="s">
        <v>6494</v>
      </c>
      <c r="B525" s="3" t="str">
        <f>C525 &amp; ": " &amp; D525</f>
        <v>formula-translates: StepExecutions.ExecutorIsHuman</v>
      </c>
      <c r="C525" s="2" t="s">
        <v>6038</v>
      </c>
      <c r="D525" s="2" t="s">
        <v>3589</v>
      </c>
      <c r="E525" s="2" t="s">
        <v>1807</v>
      </c>
      <c r="F525" s="2" t="s">
        <v>1367</v>
      </c>
      <c r="G525" s="2" t="s">
        <v>6039</v>
      </c>
      <c r="H525" s="2" t="s">
        <v>1972</v>
      </c>
      <c r="I525" s="2" t="s">
        <v>5920</v>
      </c>
      <c r="J525" s="2" t="s">
        <v>5933</v>
      </c>
      <c r="K525" s="3" t="b">
        <f>J525 = "blocking"</f>
        <v>1</v>
      </c>
      <c r="L525" s="2" t="s">
        <v>1428</v>
      </c>
      <c r="M525" s="2" t="s">
        <v>6040</v>
      </c>
      <c r="N525" s="4">
        <v>46223.1297337963</v>
      </c>
      <c r="O525" s="3" t="b">
        <f>L525 = "PASS"</f>
        <v>1</v>
      </c>
      <c r="P525" s="3" t="b">
        <f>L525 = "FAIL"</f>
        <v>0</v>
      </c>
      <c r="Q525" s="3" t="b">
        <f>AND(P525, K525)</f>
        <v>0</v>
      </c>
      <c r="R525" s="3" t="str">
        <f>IF(O525, I525, "")</f>
        <v>suite-substrate</v>
      </c>
      <c r="S525" s="3" t="str">
        <f>IF(Q525, I525, "")</f>
      </c>
      <c r="T525" s="2" t="s">
        <v>5935</v>
      </c>
    </row>
    <row r="526">
      <c r="A526" s="2" t="s">
        <v>6495</v>
      </c>
      <c r="B526" s="3" t="str">
        <f>C526 &amp; ": " &amp; D526</f>
        <v>formula-translates: StepExecutions.StepRequiresHumanConfirmation</v>
      </c>
      <c r="C526" s="2" t="s">
        <v>6038</v>
      </c>
      <c r="D526" s="2" t="s">
        <v>3591</v>
      </c>
      <c r="E526" s="2" t="s">
        <v>1807</v>
      </c>
      <c r="F526" s="2" t="s">
        <v>1368</v>
      </c>
      <c r="G526" s="2" t="s">
        <v>6039</v>
      </c>
      <c r="H526" s="2" t="s">
        <v>1972</v>
      </c>
      <c r="I526" s="2" t="s">
        <v>5920</v>
      </c>
      <c r="J526" s="2" t="s">
        <v>5933</v>
      </c>
      <c r="K526" s="3" t="b">
        <f>J526 = "blocking"</f>
        <v>1</v>
      </c>
      <c r="L526" s="2" t="s">
        <v>1428</v>
      </c>
      <c r="M526" s="2" t="s">
        <v>6040</v>
      </c>
      <c r="N526" s="4">
        <v>46223.1297337963</v>
      </c>
      <c r="O526" s="3" t="b">
        <f>L526 = "PASS"</f>
        <v>1</v>
      </c>
      <c r="P526" s="3" t="b">
        <f>L526 = "FAIL"</f>
        <v>0</v>
      </c>
      <c r="Q526" s="3" t="b">
        <f>AND(P526, K526)</f>
        <v>0</v>
      </c>
      <c r="R526" s="3" t="str">
        <f>IF(O526, I526, "")</f>
        <v>suite-substrate</v>
      </c>
      <c r="S526" s="3" t="str">
        <f>IF(Q526, I526, "")</f>
      </c>
      <c r="T526" s="2" t="s">
        <v>5935</v>
      </c>
    </row>
    <row r="527">
      <c r="A527" s="2" t="s">
        <v>6496</v>
      </c>
      <c r="B527" s="3" t="str">
        <f>C527 &amp; ": " &amp; D527</f>
        <v>formula-translates: StepExecutions.NonHumanRanHumanStep</v>
      </c>
      <c r="C527" s="2" t="s">
        <v>6038</v>
      </c>
      <c r="D527" s="2" t="s">
        <v>3593</v>
      </c>
      <c r="E527" s="2" t="s">
        <v>1807</v>
      </c>
      <c r="F527" s="2" t="s">
        <v>1369</v>
      </c>
      <c r="G527" s="2" t="s">
        <v>6039</v>
      </c>
      <c r="H527" s="2" t="s">
        <v>1972</v>
      </c>
      <c r="I527" s="2" t="s">
        <v>5920</v>
      </c>
      <c r="J527" s="2" t="s">
        <v>5933</v>
      </c>
      <c r="K527" s="3" t="b">
        <f>J527 = "blocking"</f>
        <v>1</v>
      </c>
      <c r="L527" s="2" t="s">
        <v>1428</v>
      </c>
      <c r="M527" s="2" t="s">
        <v>6040</v>
      </c>
      <c r="N527" s="4">
        <v>46223.1297337963</v>
      </c>
      <c r="O527" s="3" t="b">
        <f>L527 = "PASS"</f>
        <v>1</v>
      </c>
      <c r="P527" s="3" t="b">
        <f>L527 = "FAIL"</f>
        <v>0</v>
      </c>
      <c r="Q527" s="3" t="b">
        <f>AND(P527, K527)</f>
        <v>0</v>
      </c>
      <c r="R527" s="3" t="str">
        <f>IF(O527, I527, "")</f>
        <v>suite-substrate</v>
      </c>
      <c r="S527" s="3" t="str">
        <f>IF(Q527, I527, "")</f>
      </c>
      <c r="T527" s="2" t="s">
        <v>5935</v>
      </c>
    </row>
    <row r="528">
      <c r="A528" s="2" t="s">
        <v>6497</v>
      </c>
      <c r="B528" s="3" t="str">
        <f>C528 &amp; ": " &amp; D528</f>
        <v>formula-translates: StepExecutions.NonHumanApproval</v>
      </c>
      <c r="C528" s="2" t="s">
        <v>6038</v>
      </c>
      <c r="D528" s="2" t="s">
        <v>3595</v>
      </c>
      <c r="E528" s="2" t="s">
        <v>1807</v>
      </c>
      <c r="F528" s="2" t="s">
        <v>1370</v>
      </c>
      <c r="G528" s="2" t="s">
        <v>6039</v>
      </c>
      <c r="H528" s="2" t="s">
        <v>1972</v>
      </c>
      <c r="I528" s="2" t="s">
        <v>5920</v>
      </c>
      <c r="J528" s="2" t="s">
        <v>5933</v>
      </c>
      <c r="K528" s="3" t="b">
        <f>J528 = "blocking"</f>
        <v>1</v>
      </c>
      <c r="L528" s="2" t="s">
        <v>1428</v>
      </c>
      <c r="M528" s="2" t="s">
        <v>6040</v>
      </c>
      <c r="N528" s="4">
        <v>46223.1297337963</v>
      </c>
      <c r="O528" s="3" t="b">
        <f>L528 = "PASS"</f>
        <v>1</v>
      </c>
      <c r="P528" s="3" t="b">
        <f>L528 = "FAIL"</f>
        <v>0</v>
      </c>
      <c r="Q528" s="3" t="b">
        <f>AND(P528, K528)</f>
        <v>0</v>
      </c>
      <c r="R528" s="3" t="str">
        <f>IF(O528, I528, "")</f>
        <v>suite-substrate</v>
      </c>
      <c r="S528" s="3" t="str">
        <f>IF(Q528, I528, "")</f>
      </c>
      <c r="T528" s="2" t="s">
        <v>5935</v>
      </c>
    </row>
    <row r="529">
      <c r="A529" s="2" t="s">
        <v>6498</v>
      </c>
      <c r="B529" s="3" t="str">
        <f>C529 &amp; ": " &amp; D529</f>
        <v>formula-translates: StepExecutions.UnevaluatedBlockingExecutionKey</v>
      </c>
      <c r="C529" s="2" t="s">
        <v>6038</v>
      </c>
      <c r="D529" s="2" t="s">
        <v>3597</v>
      </c>
      <c r="E529" s="2" t="s">
        <v>1807</v>
      </c>
      <c r="F529" s="2" t="s">
        <v>1371</v>
      </c>
      <c r="G529" s="2" t="s">
        <v>6039</v>
      </c>
      <c r="H529" s="2" t="s">
        <v>1976</v>
      </c>
      <c r="I529" s="2" t="s">
        <v>5920</v>
      </c>
      <c r="J529" s="2" t="s">
        <v>5933</v>
      </c>
      <c r="K529" s="3" t="b">
        <f>J529 = "blocking"</f>
        <v>1</v>
      </c>
      <c r="L529" s="2" t="s">
        <v>1428</v>
      </c>
      <c r="M529" s="2" t="s">
        <v>6040</v>
      </c>
      <c r="N529" s="4">
        <v>46223.1297337963</v>
      </c>
      <c r="O529" s="3" t="b">
        <f>L529 = "PASS"</f>
        <v>1</v>
      </c>
      <c r="P529" s="3" t="b">
        <f>L529 = "FAIL"</f>
        <v>0</v>
      </c>
      <c r="Q529" s="3" t="b">
        <f>AND(P529, K529)</f>
        <v>0</v>
      </c>
      <c r="R529" s="3" t="str">
        <f>IF(O529, I529, "")</f>
        <v>suite-substrate</v>
      </c>
      <c r="S529" s="3" t="str">
        <f>IF(Q529, I529, "")</f>
      </c>
      <c r="T529" s="2" t="s">
        <v>5935</v>
      </c>
    </row>
    <row r="530">
      <c r="A530" s="2" t="s">
        <v>6499</v>
      </c>
      <c r="B530" s="3" t="str">
        <f>C530 &amp; ": " &amp; D530</f>
        <v>formula-translates: StepExecutions.SeparationViolationExecutionKey</v>
      </c>
      <c r="C530" s="2" t="s">
        <v>6038</v>
      </c>
      <c r="D530" s="2" t="s">
        <v>3599</v>
      </c>
      <c r="E530" s="2" t="s">
        <v>1807</v>
      </c>
      <c r="F530" s="2" t="s">
        <v>1372</v>
      </c>
      <c r="G530" s="2" t="s">
        <v>6039</v>
      </c>
      <c r="H530" s="2" t="s">
        <v>1976</v>
      </c>
      <c r="I530" s="2" t="s">
        <v>5920</v>
      </c>
      <c r="J530" s="2" t="s">
        <v>5933</v>
      </c>
      <c r="K530" s="3" t="b">
        <f>J530 = "blocking"</f>
        <v>1</v>
      </c>
      <c r="L530" s="2" t="s">
        <v>1428</v>
      </c>
      <c r="M530" s="2" t="s">
        <v>6040</v>
      </c>
      <c r="N530" s="4">
        <v>46223.1297337963</v>
      </c>
      <c r="O530" s="3" t="b">
        <f>L530 = "PASS"</f>
        <v>1</v>
      </c>
      <c r="P530" s="3" t="b">
        <f>L530 = "FAIL"</f>
        <v>0</v>
      </c>
      <c r="Q530" s="3" t="b">
        <f>AND(P530, K530)</f>
        <v>0</v>
      </c>
      <c r="R530" s="3" t="str">
        <f>IF(O530, I530, "")</f>
        <v>suite-substrate</v>
      </c>
      <c r="S530" s="3" t="str">
        <f>IF(Q530, I530, "")</f>
      </c>
      <c r="T530" s="2" t="s">
        <v>5935</v>
      </c>
    </row>
    <row r="531">
      <c r="A531" s="2" t="s">
        <v>6500</v>
      </c>
      <c r="B531" s="3" t="str">
        <f>C531 &amp; ": " &amp; D531</f>
        <v>formula-translates: StepExecutions.SelfWitnessedVerificationCount</v>
      </c>
      <c r="C531" s="2" t="s">
        <v>6038</v>
      </c>
      <c r="D531" s="2" t="s">
        <v>3601</v>
      </c>
      <c r="E531" s="2" t="s">
        <v>1807</v>
      </c>
      <c r="F531" s="2" t="s">
        <v>1373</v>
      </c>
      <c r="G531" s="2" t="s">
        <v>6039</v>
      </c>
      <c r="H531" s="2" t="s">
        <v>1984</v>
      </c>
      <c r="I531" s="2" t="s">
        <v>5920</v>
      </c>
      <c r="J531" s="2" t="s">
        <v>5933</v>
      </c>
      <c r="K531" s="3" t="b">
        <f>J531 = "blocking"</f>
        <v>1</v>
      </c>
      <c r="L531" s="2" t="s">
        <v>1428</v>
      </c>
      <c r="M531" s="2" t="s">
        <v>6040</v>
      </c>
      <c r="N531" s="4">
        <v>46223.1297337963</v>
      </c>
      <c r="O531" s="3" t="b">
        <f>L531 = "PASS"</f>
        <v>1</v>
      </c>
      <c r="P531" s="3" t="b">
        <f>L531 = "FAIL"</f>
        <v>0</v>
      </c>
      <c r="Q531" s="3" t="b">
        <f>AND(P531, K531)</f>
        <v>0</v>
      </c>
      <c r="R531" s="3" t="str">
        <f>IF(O531, I531, "")</f>
        <v>suite-substrate</v>
      </c>
      <c r="S531" s="3" t="str">
        <f>IF(Q531, I531, "")</f>
      </c>
      <c r="T531" s="2" t="s">
        <v>5935</v>
      </c>
    </row>
    <row r="532">
      <c r="A532" s="2" t="s">
        <v>6501</v>
      </c>
      <c r="B532" s="3" t="str">
        <f>C532 &amp; ": " &amp; D532</f>
        <v>formula-translates: StepExecutions.UnbackedVerificationCount</v>
      </c>
      <c r="C532" s="2" t="s">
        <v>6038</v>
      </c>
      <c r="D532" s="2" t="s">
        <v>3603</v>
      </c>
      <c r="E532" s="2" t="s">
        <v>1807</v>
      </c>
      <c r="F532" s="2" t="s">
        <v>1374</v>
      </c>
      <c r="G532" s="2" t="s">
        <v>6039</v>
      </c>
      <c r="H532" s="2" t="s">
        <v>1984</v>
      </c>
      <c r="I532" s="2" t="s">
        <v>5920</v>
      </c>
      <c r="J532" s="2" t="s">
        <v>5933</v>
      </c>
      <c r="K532" s="3" t="b">
        <f>J532 = "blocking"</f>
        <v>1</v>
      </c>
      <c r="L532" s="2" t="s">
        <v>1428</v>
      </c>
      <c r="M532" s="2" t="s">
        <v>6040</v>
      </c>
      <c r="N532" s="4">
        <v>46223.1297337963</v>
      </c>
      <c r="O532" s="3" t="b">
        <f>L532 = "PASS"</f>
        <v>1</v>
      </c>
      <c r="P532" s="3" t="b">
        <f>L532 = "FAIL"</f>
        <v>0</v>
      </c>
      <c r="Q532" s="3" t="b">
        <f>AND(P532, K532)</f>
        <v>0</v>
      </c>
      <c r="R532" s="3" t="str">
        <f>IF(O532, I532, "")</f>
        <v>suite-substrate</v>
      </c>
      <c r="S532" s="3" t="str">
        <f>IF(Q532, I532, "")</f>
      </c>
      <c r="T532" s="2" t="s">
        <v>5935</v>
      </c>
    </row>
    <row r="533">
      <c r="A533" s="2" t="s">
        <v>6502</v>
      </c>
      <c r="B533" s="3" t="str">
        <f>C533 &amp; ": " &amp; D533</f>
        <v>formula-translates: StepExecutions.ApprovalRestsOnSelfAttestation</v>
      </c>
      <c r="C533" s="2" t="s">
        <v>6038</v>
      </c>
      <c r="D533" s="2" t="s">
        <v>3605</v>
      </c>
      <c r="E533" s="2" t="s">
        <v>1807</v>
      </c>
      <c r="F533" s="2" t="s">
        <v>1375</v>
      </c>
      <c r="G533" s="2" t="s">
        <v>6039</v>
      </c>
      <c r="H533" s="2" t="s">
        <v>1984</v>
      </c>
      <c r="I533" s="2" t="s">
        <v>5920</v>
      </c>
      <c r="J533" s="2" t="s">
        <v>5933</v>
      </c>
      <c r="K533" s="3" t="b">
        <f>J533 = "blocking"</f>
        <v>1</v>
      </c>
      <c r="L533" s="2" t="s">
        <v>1428</v>
      </c>
      <c r="M533" s="2" t="s">
        <v>6040</v>
      </c>
      <c r="N533" s="4">
        <v>46223.1297337963</v>
      </c>
      <c r="O533" s="3" t="b">
        <f>L533 = "PASS"</f>
        <v>1</v>
      </c>
      <c r="P533" s="3" t="b">
        <f>L533 = "FAIL"</f>
        <v>0</v>
      </c>
      <c r="Q533" s="3" t="b">
        <f>AND(P533, K533)</f>
        <v>0</v>
      </c>
      <c r="R533" s="3" t="str">
        <f>IF(O533, I533, "")</f>
        <v>suite-substrate</v>
      </c>
      <c r="S533" s="3" t="str">
        <f>IF(Q533, I533, "")</f>
      </c>
      <c r="T533" s="2" t="s">
        <v>5935</v>
      </c>
    </row>
    <row r="534">
      <c r="A534" s="2" t="s">
        <v>6503</v>
      </c>
      <c r="B534" s="3" t="str">
        <f>C534 &amp; ": " &amp; D534</f>
        <v>formula-translates: StepExecutions.ExceptionInvocationCount</v>
      </c>
      <c r="C534" s="2" t="s">
        <v>6038</v>
      </c>
      <c r="D534" s="2" t="s">
        <v>3607</v>
      </c>
      <c r="E534" s="2" t="s">
        <v>1807</v>
      </c>
      <c r="F534" s="2" t="s">
        <v>1376</v>
      </c>
      <c r="G534" s="2" t="s">
        <v>6039</v>
      </c>
      <c r="H534" s="2" t="s">
        <v>1988</v>
      </c>
      <c r="I534" s="2" t="s">
        <v>5920</v>
      </c>
      <c r="J534" s="2" t="s">
        <v>5933</v>
      </c>
      <c r="K534" s="3" t="b">
        <f>J534 = "blocking"</f>
        <v>1</v>
      </c>
      <c r="L534" s="2" t="s">
        <v>1428</v>
      </c>
      <c r="M534" s="2" t="s">
        <v>6040</v>
      </c>
      <c r="N534" s="4">
        <v>46223.1297337963</v>
      </c>
      <c r="O534" s="3" t="b">
        <f>L534 = "PASS"</f>
        <v>1</v>
      </c>
      <c r="P534" s="3" t="b">
        <f>L534 = "FAIL"</f>
        <v>0</v>
      </c>
      <c r="Q534" s="3" t="b">
        <f>AND(P534, K534)</f>
        <v>0</v>
      </c>
      <c r="R534" s="3" t="str">
        <f>IF(O534, I534, "")</f>
        <v>suite-substrate</v>
      </c>
      <c r="S534" s="3" t="str">
        <f>IF(Q534, I534, "")</f>
      </c>
      <c r="T534" s="2" t="s">
        <v>5935</v>
      </c>
    </row>
    <row r="535">
      <c r="A535" s="2" t="s">
        <v>6504</v>
      </c>
      <c r="B535" s="3" t="str">
        <f>C535 &amp; ": " &amp; D535</f>
        <v>formula-translates: StepExecutions.RanUnderException</v>
      </c>
      <c r="C535" s="2" t="s">
        <v>6038</v>
      </c>
      <c r="D535" s="2" t="s">
        <v>3609</v>
      </c>
      <c r="E535" s="2" t="s">
        <v>1807</v>
      </c>
      <c r="F535" s="2" t="s">
        <v>1377</v>
      </c>
      <c r="G535" s="2" t="s">
        <v>6039</v>
      </c>
      <c r="H535" s="2" t="s">
        <v>1988</v>
      </c>
      <c r="I535" s="2" t="s">
        <v>5920</v>
      </c>
      <c r="J535" s="2" t="s">
        <v>5933</v>
      </c>
      <c r="K535" s="3" t="b">
        <f>J535 = "blocking"</f>
        <v>1</v>
      </c>
      <c r="L535" s="2" t="s">
        <v>1428</v>
      </c>
      <c r="M535" s="2" t="s">
        <v>6040</v>
      </c>
      <c r="N535" s="4">
        <v>46223.1297337963</v>
      </c>
      <c r="O535" s="3" t="b">
        <f>L535 = "PASS"</f>
        <v>1</v>
      </c>
      <c r="P535" s="3" t="b">
        <f>L535 = "FAIL"</f>
        <v>0</v>
      </c>
      <c r="Q535" s="3" t="b">
        <f>AND(P535, K535)</f>
        <v>0</v>
      </c>
      <c r="R535" s="3" t="str">
        <f>IF(O535, I535, "")</f>
        <v>suite-substrate</v>
      </c>
      <c r="S535" s="3" t="str">
        <f>IF(Q535, I535, "")</f>
      </c>
      <c r="T535" s="2" t="s">
        <v>5935</v>
      </c>
    </row>
    <row r="536">
      <c r="A536" s="2" t="s">
        <v>6505</v>
      </c>
      <c r="B536" s="3" t="str">
        <f>C536 &amp; ": " &amp; D536</f>
        <v>formula-translates: StepExecutions.IsCompleted</v>
      </c>
      <c r="C536" s="2" t="s">
        <v>6038</v>
      </c>
      <c r="D536" s="2" t="s">
        <v>3611</v>
      </c>
      <c r="E536" s="2" t="s">
        <v>1807</v>
      </c>
      <c r="F536" s="2" t="s">
        <v>1378</v>
      </c>
      <c r="G536" s="2" t="s">
        <v>6039</v>
      </c>
      <c r="H536" s="2" t="s">
        <v>2004</v>
      </c>
      <c r="I536" s="2" t="s">
        <v>5920</v>
      </c>
      <c r="J536" s="2" t="s">
        <v>5933</v>
      </c>
      <c r="K536" s="3" t="b">
        <f>J536 = "blocking"</f>
        <v>1</v>
      </c>
      <c r="L536" s="2" t="s">
        <v>1428</v>
      </c>
      <c r="M536" s="2" t="s">
        <v>6040</v>
      </c>
      <c r="N536" s="4">
        <v>46223.1297337963</v>
      </c>
      <c r="O536" s="3" t="b">
        <f>L536 = "PASS"</f>
        <v>1</v>
      </c>
      <c r="P536" s="3" t="b">
        <f>L536 = "FAIL"</f>
        <v>0</v>
      </c>
      <c r="Q536" s="3" t="b">
        <f>AND(P536, K536)</f>
        <v>0</v>
      </c>
      <c r="R536" s="3" t="str">
        <f>IF(O536, I536, "")</f>
        <v>suite-substrate</v>
      </c>
      <c r="S536" s="3" t="str">
        <f>IF(Q536, I536, "")</f>
      </c>
      <c r="T536" s="2" t="s">
        <v>5935</v>
      </c>
    </row>
    <row r="537">
      <c r="A537" s="2" t="s">
        <v>6506</v>
      </c>
      <c r="B537" s="3" t="str">
        <f>C537 &amp; ": " &amp; D537</f>
        <v>formula-translates: StepExecutions.IsVerificationPassed</v>
      </c>
      <c r="C537" s="2" t="s">
        <v>6038</v>
      </c>
      <c r="D537" s="2" t="s">
        <v>3613</v>
      </c>
      <c r="E537" s="2" t="s">
        <v>1807</v>
      </c>
      <c r="F537" s="2" t="s">
        <v>1379</v>
      </c>
      <c r="G537" s="2" t="s">
        <v>6039</v>
      </c>
      <c r="H537" s="2" t="s">
        <v>2052</v>
      </c>
      <c r="I537" s="2" t="s">
        <v>5920</v>
      </c>
      <c r="J537" s="2" t="s">
        <v>5933</v>
      </c>
      <c r="K537" s="3" t="b">
        <f>J537 = "blocking"</f>
        <v>1</v>
      </c>
      <c r="L537" s="2" t="s">
        <v>1428</v>
      </c>
      <c r="M537" s="2" t="s">
        <v>6040</v>
      </c>
      <c r="N537" s="4">
        <v>46223.1297337963</v>
      </c>
      <c r="O537" s="3" t="b">
        <f>L537 = "PASS"</f>
        <v>1</v>
      </c>
      <c r="P537" s="3" t="b">
        <f>L537 = "FAIL"</f>
        <v>0</v>
      </c>
      <c r="Q537" s="3" t="b">
        <f>AND(P537, K537)</f>
        <v>0</v>
      </c>
      <c r="R537" s="3" t="str">
        <f>IF(O537, I537, "")</f>
        <v>suite-substrate</v>
      </c>
      <c r="S537" s="3" t="str">
        <f>IF(Q537, I537, "")</f>
      </c>
      <c r="T537" s="2" t="s">
        <v>5935</v>
      </c>
    </row>
    <row r="538">
      <c r="A538" s="2" t="s">
        <v>6507</v>
      </c>
      <c r="B538" s="3" t="str">
        <f>C538 &amp; ": " &amp; D538</f>
        <v>formula-translates: StepExecutions.IsLegalReviewStep</v>
      </c>
      <c r="C538" s="2" t="s">
        <v>6038</v>
      </c>
      <c r="D538" s="2" t="s">
        <v>3615</v>
      </c>
      <c r="E538" s="2" t="s">
        <v>1807</v>
      </c>
      <c r="F538" s="2" t="s">
        <v>1380</v>
      </c>
      <c r="G538" s="2" t="s">
        <v>6039</v>
      </c>
      <c r="H538" s="2" t="s">
        <v>2052</v>
      </c>
      <c r="I538" s="2" t="s">
        <v>5920</v>
      </c>
      <c r="J538" s="2" t="s">
        <v>5933</v>
      </c>
      <c r="K538" s="3" t="b">
        <f>J538 = "blocking"</f>
        <v>1</v>
      </c>
      <c r="L538" s="2" t="s">
        <v>1428</v>
      </c>
      <c r="M538" s="2" t="s">
        <v>6040</v>
      </c>
      <c r="N538" s="4">
        <v>46223.1297337963</v>
      </c>
      <c r="O538" s="3" t="b">
        <f>L538 = "PASS"</f>
        <v>1</v>
      </c>
      <c r="P538" s="3" t="b">
        <f>L538 = "FAIL"</f>
        <v>0</v>
      </c>
      <c r="Q538" s="3" t="b">
        <f>AND(P538, K538)</f>
        <v>0</v>
      </c>
      <c r="R538" s="3" t="str">
        <f>IF(O538, I538, "")</f>
        <v>suite-substrate</v>
      </c>
      <c r="S538" s="3" t="str">
        <f>IF(Q538, I538, "")</f>
      </c>
      <c r="T538" s="2" t="s">
        <v>5935</v>
      </c>
    </row>
    <row r="539">
      <c r="A539" s="2" t="s">
        <v>6508</v>
      </c>
      <c r="B539" s="3" t="str">
        <f>C539 &amp; ": " &amp; D539</f>
        <v>formula-translates: StepExecutions.ClearedLegalReviewKey</v>
      </c>
      <c r="C539" s="2" t="s">
        <v>6038</v>
      </c>
      <c r="D539" s="2" t="s">
        <v>3617</v>
      </c>
      <c r="E539" s="2" t="s">
        <v>1807</v>
      </c>
      <c r="F539" s="2" t="s">
        <v>1381</v>
      </c>
      <c r="G539" s="2" t="s">
        <v>6039</v>
      </c>
      <c r="H539" s="2" t="s">
        <v>2052</v>
      </c>
      <c r="I539" s="2" t="s">
        <v>5920</v>
      </c>
      <c r="J539" s="2" t="s">
        <v>5933</v>
      </c>
      <c r="K539" s="3" t="b">
        <f>J539 = "blocking"</f>
        <v>1</v>
      </c>
      <c r="L539" s="2" t="s">
        <v>1428</v>
      </c>
      <c r="M539" s="2" t="s">
        <v>6040</v>
      </c>
      <c r="N539" s="4">
        <v>46223.1297337963</v>
      </c>
      <c r="O539" s="3" t="b">
        <f>L539 = "PASS"</f>
        <v>1</v>
      </c>
      <c r="P539" s="3" t="b">
        <f>L539 = "FAIL"</f>
        <v>0</v>
      </c>
      <c r="Q539" s="3" t="b">
        <f>AND(P539, K539)</f>
        <v>0</v>
      </c>
      <c r="R539" s="3" t="str">
        <f>IF(O539, I539, "")</f>
        <v>suite-substrate</v>
      </c>
      <c r="S539" s="3" t="str">
        <f>IF(Q539, I539, "")</f>
      </c>
      <c r="T539" s="2" t="s">
        <v>5935</v>
      </c>
    </row>
    <row r="540">
      <c r="A540" s="2" t="s">
        <v>6509</v>
      </c>
      <c r="B540" s="3" t="str">
        <f>C540 &amp; ": " &amp; D540</f>
        <v>formula-translates: StepExecutions.AssignedRole</v>
      </c>
      <c r="C540" s="2" t="s">
        <v>6038</v>
      </c>
      <c r="D540" s="2" t="s">
        <v>3619</v>
      </c>
      <c r="E540" s="2" t="s">
        <v>1807</v>
      </c>
      <c r="F540" s="2" t="s">
        <v>500</v>
      </c>
      <c r="G540" s="2" t="s">
        <v>6039</v>
      </c>
      <c r="H540" s="2" t="s">
        <v>2096</v>
      </c>
      <c r="I540" s="2" t="s">
        <v>5920</v>
      </c>
      <c r="J540" s="2" t="s">
        <v>5933</v>
      </c>
      <c r="K540" s="3" t="b">
        <f>J540 = "blocking"</f>
        <v>1</v>
      </c>
      <c r="L540" s="2" t="s">
        <v>1428</v>
      </c>
      <c r="M540" s="2" t="s">
        <v>6040</v>
      </c>
      <c r="N540" s="4">
        <v>46223.1297337963</v>
      </c>
      <c r="O540" s="3" t="b">
        <f>L540 = "PASS"</f>
        <v>1</v>
      </c>
      <c r="P540" s="3" t="b">
        <f>L540 = "FAIL"</f>
        <v>0</v>
      </c>
      <c r="Q540" s="3" t="b">
        <f>AND(P540, K540)</f>
        <v>0</v>
      </c>
      <c r="R540" s="3" t="str">
        <f>IF(O540, I540, "")</f>
        <v>suite-substrate</v>
      </c>
      <c r="S540" s="3" t="str">
        <f>IF(Q540, I540, "")</f>
      </c>
      <c r="T540" s="2" t="s">
        <v>5935</v>
      </c>
    </row>
    <row r="541">
      <c r="A541" s="2" t="s">
        <v>6510</v>
      </c>
      <c r="B541" s="3" t="str">
        <f>C541 &amp; ": " &amp; D541</f>
        <v>formula-translates: StepExecutions.RoleCurrentAgent</v>
      </c>
      <c r="C541" s="2" t="s">
        <v>6038</v>
      </c>
      <c r="D541" s="2" t="s">
        <v>3620</v>
      </c>
      <c r="E541" s="2" t="s">
        <v>1807</v>
      </c>
      <c r="F541" s="2" t="s">
        <v>1382</v>
      </c>
      <c r="G541" s="2" t="s">
        <v>6039</v>
      </c>
      <c r="H541" s="2" t="s">
        <v>2096</v>
      </c>
      <c r="I541" s="2" t="s">
        <v>5920</v>
      </c>
      <c r="J541" s="2" t="s">
        <v>5933</v>
      </c>
      <c r="K541" s="3" t="b">
        <f>J541 = "blocking"</f>
        <v>1</v>
      </c>
      <c r="L541" s="2" t="s">
        <v>1428</v>
      </c>
      <c r="M541" s="2" t="s">
        <v>6040</v>
      </c>
      <c r="N541" s="4">
        <v>46223.1297337963</v>
      </c>
      <c r="O541" s="3" t="b">
        <f>L541 = "PASS"</f>
        <v>1</v>
      </c>
      <c r="P541" s="3" t="b">
        <f>L541 = "FAIL"</f>
        <v>0</v>
      </c>
      <c r="Q541" s="3" t="b">
        <f>AND(P541, K541)</f>
        <v>0</v>
      </c>
      <c r="R541" s="3" t="str">
        <f>IF(O541, I541, "")</f>
        <v>suite-substrate</v>
      </c>
      <c r="S541" s="3" t="str">
        <f>IF(Q541, I541, "")</f>
      </c>
      <c r="T541" s="2" t="s">
        <v>5935</v>
      </c>
    </row>
    <row r="542">
      <c r="A542" s="2" t="s">
        <v>6511</v>
      </c>
      <c r="B542" s="3" t="str">
        <f>C542 &amp; ": " &amp; D542</f>
        <v>formula-translates: StepExecutions.ExecutorIsDesignatedAgent</v>
      </c>
      <c r="C542" s="2" t="s">
        <v>6038</v>
      </c>
      <c r="D542" s="2" t="s">
        <v>3622</v>
      </c>
      <c r="E542" s="2" t="s">
        <v>1807</v>
      </c>
      <c r="F542" s="2" t="s">
        <v>1383</v>
      </c>
      <c r="G542" s="2" t="s">
        <v>6039</v>
      </c>
      <c r="H542" s="2" t="s">
        <v>2096</v>
      </c>
      <c r="I542" s="2" t="s">
        <v>5920</v>
      </c>
      <c r="J542" s="2" t="s">
        <v>5933</v>
      </c>
      <c r="K542" s="3" t="b">
        <f>J542 = "blocking"</f>
        <v>1</v>
      </c>
      <c r="L542" s="2" t="s">
        <v>1428</v>
      </c>
      <c r="M542" s="2" t="s">
        <v>6040</v>
      </c>
      <c r="N542" s="4">
        <v>46223.1297337963</v>
      </c>
      <c r="O542" s="3" t="b">
        <f>L542 = "PASS"</f>
        <v>1</v>
      </c>
      <c r="P542" s="3" t="b">
        <f>L542 = "FAIL"</f>
        <v>0</v>
      </c>
      <c r="Q542" s="3" t="b">
        <f>AND(P542, K542)</f>
        <v>0</v>
      </c>
      <c r="R542" s="3" t="str">
        <f>IF(O542, I542, "")</f>
        <v>suite-substrate</v>
      </c>
      <c r="S542" s="3" t="str">
        <f>IF(Q542, I542, "")</f>
      </c>
      <c r="T542" s="2" t="s">
        <v>5935</v>
      </c>
    </row>
    <row r="543">
      <c r="A543" s="2" t="s">
        <v>6512</v>
      </c>
      <c r="B543" s="3" t="str">
        <f>C543 &amp; ": " &amp; D543</f>
        <v>formula-translates: StepExecutions.InputsWereFreshAtRun</v>
      </c>
      <c r="C543" s="2" t="s">
        <v>6038</v>
      </c>
      <c r="D543" s="2" t="s">
        <v>3624</v>
      </c>
      <c r="E543" s="2" t="s">
        <v>1807</v>
      </c>
      <c r="F543" s="2" t="s">
        <v>1384</v>
      </c>
      <c r="G543" s="2" t="s">
        <v>6039</v>
      </c>
      <c r="H543" s="2" t="s">
        <v>2100</v>
      </c>
      <c r="I543" s="2" t="s">
        <v>5920</v>
      </c>
      <c r="J543" s="2" t="s">
        <v>5933</v>
      </c>
      <c r="K543" s="3" t="b">
        <f>J543 = "blocking"</f>
        <v>1</v>
      </c>
      <c r="L543" s="2" t="s">
        <v>1428</v>
      </c>
      <c r="M543" s="2" t="s">
        <v>6040</v>
      </c>
      <c r="N543" s="4">
        <v>46223.1297337963</v>
      </c>
      <c r="O543" s="3" t="b">
        <f>L543 = "PASS"</f>
        <v>1</v>
      </c>
      <c r="P543" s="3" t="b">
        <f>L543 = "FAIL"</f>
        <v>0</v>
      </c>
      <c r="Q543" s="3" t="b">
        <f>AND(P543, K543)</f>
        <v>0</v>
      </c>
      <c r="R543" s="3" t="str">
        <f>IF(O543, I543, "")</f>
        <v>suite-substrate</v>
      </c>
      <c r="S543" s="3" t="str">
        <f>IF(Q543, I543, "")</f>
      </c>
      <c r="T543" s="2" t="s">
        <v>5935</v>
      </c>
    </row>
    <row r="544">
      <c r="A544" s="2" t="s">
        <v>6513</v>
      </c>
      <c r="B544" s="3" t="str">
        <f>C544 &amp; ": " &amp; D544</f>
        <v>formula-translates: StepExecutions.RanOnStaleInputs</v>
      </c>
      <c r="C544" s="2" t="s">
        <v>6038</v>
      </c>
      <c r="D544" s="2" t="s">
        <v>3626</v>
      </c>
      <c r="E544" s="2" t="s">
        <v>1807</v>
      </c>
      <c r="F544" s="2" t="s">
        <v>1385</v>
      </c>
      <c r="G544" s="2" t="s">
        <v>6039</v>
      </c>
      <c r="H544" s="2" t="s">
        <v>2100</v>
      </c>
      <c r="I544" s="2" t="s">
        <v>5920</v>
      </c>
      <c r="J544" s="2" t="s">
        <v>5933</v>
      </c>
      <c r="K544" s="3" t="b">
        <f>J544 = "blocking"</f>
        <v>1</v>
      </c>
      <c r="L544" s="2" t="s">
        <v>1428</v>
      </c>
      <c r="M544" s="2" t="s">
        <v>6040</v>
      </c>
      <c r="N544" s="4">
        <v>46223.1297337963</v>
      </c>
      <c r="O544" s="3" t="b">
        <f>L544 = "PASS"</f>
        <v>1</v>
      </c>
      <c r="P544" s="3" t="b">
        <f>L544 = "FAIL"</f>
        <v>0</v>
      </c>
      <c r="Q544" s="3" t="b">
        <f>AND(P544, K544)</f>
        <v>0</v>
      </c>
      <c r="R544" s="3" t="str">
        <f>IF(O544, I544, "")</f>
        <v>suite-substrate</v>
      </c>
      <c r="S544" s="3" t="str">
        <f>IF(Q544, I544, "")</f>
      </c>
      <c r="T544" s="2" t="s">
        <v>5935</v>
      </c>
    </row>
    <row r="545">
      <c r="A545" s="2" t="s">
        <v>6514</v>
      </c>
      <c r="B545" s="3" t="str">
        <f>C545 &amp; ": " &amp; D545</f>
        <v>formula-translates: StepExecutions.UnresolvedIssueCount</v>
      </c>
      <c r="C545" s="2" t="s">
        <v>6038</v>
      </c>
      <c r="D545" s="2" t="s">
        <v>3628</v>
      </c>
      <c r="E545" s="2" t="s">
        <v>1807</v>
      </c>
      <c r="F545" s="2" t="s">
        <v>1386</v>
      </c>
      <c r="G545" s="2" t="s">
        <v>6039</v>
      </c>
      <c r="H545" s="2" t="s">
        <v>2104</v>
      </c>
      <c r="I545" s="2" t="s">
        <v>5920</v>
      </c>
      <c r="J545" s="2" t="s">
        <v>5933</v>
      </c>
      <c r="K545" s="3" t="b">
        <f>J545 = "blocking"</f>
        <v>1</v>
      </c>
      <c r="L545" s="2" t="s">
        <v>1428</v>
      </c>
      <c r="M545" s="2" t="s">
        <v>6040</v>
      </c>
      <c r="N545" s="4">
        <v>46223.1297337963</v>
      </c>
      <c r="O545" s="3" t="b">
        <f>L545 = "PASS"</f>
        <v>1</v>
      </c>
      <c r="P545" s="3" t="b">
        <f>L545 = "FAIL"</f>
        <v>0</v>
      </c>
      <c r="Q545" s="3" t="b">
        <f>AND(P545, K545)</f>
        <v>0</v>
      </c>
      <c r="R545" s="3" t="str">
        <f>IF(O545, I545, "")</f>
        <v>suite-substrate</v>
      </c>
      <c r="S545" s="3" t="str">
        <f>IF(Q545, I545, "")</f>
      </c>
      <c r="T545" s="2" t="s">
        <v>5935</v>
      </c>
    </row>
    <row r="546">
      <c r="A546" s="2" t="s">
        <v>6515</v>
      </c>
      <c r="B546" s="3" t="str">
        <f>C546 &amp; ": " &amp; D546</f>
        <v>formula-translates: StepExecutions.HasDeviation</v>
      </c>
      <c r="C546" s="2" t="s">
        <v>6038</v>
      </c>
      <c r="D546" s="2" t="s">
        <v>3630</v>
      </c>
      <c r="E546" s="2" t="s">
        <v>1807</v>
      </c>
      <c r="F546" s="2" t="s">
        <v>1387</v>
      </c>
      <c r="G546" s="2" t="s">
        <v>6039</v>
      </c>
      <c r="H546" s="2" t="s">
        <v>2104</v>
      </c>
      <c r="I546" s="2" t="s">
        <v>5920</v>
      </c>
      <c r="J546" s="2" t="s">
        <v>5933</v>
      </c>
      <c r="K546" s="3" t="b">
        <f>J546 = "blocking"</f>
        <v>1</v>
      </c>
      <c r="L546" s="2" t="s">
        <v>1428</v>
      </c>
      <c r="M546" s="2" t="s">
        <v>6040</v>
      </c>
      <c r="N546" s="4">
        <v>46223.1297337963</v>
      </c>
      <c r="O546" s="3" t="b">
        <f>L546 = "PASS"</f>
        <v>1</v>
      </c>
      <c r="P546" s="3" t="b">
        <f>L546 = "FAIL"</f>
        <v>0</v>
      </c>
      <c r="Q546" s="3" t="b">
        <f>AND(P546, K546)</f>
        <v>0</v>
      </c>
      <c r="R546" s="3" t="str">
        <f>IF(O546, I546, "")</f>
        <v>suite-substrate</v>
      </c>
      <c r="S546" s="3" t="str">
        <f>IF(Q546, I546, "")</f>
      </c>
      <c r="T546" s="2" t="s">
        <v>5935</v>
      </c>
    </row>
    <row r="547">
      <c r="A547" s="2" t="s">
        <v>6516</v>
      </c>
      <c r="B547" s="3" t="str">
        <f>C547 &amp; ": " &amp; D547</f>
        <v>formula-translates: StepExecutions.IsClean</v>
      </c>
      <c r="C547" s="2" t="s">
        <v>6038</v>
      </c>
      <c r="D547" s="2" t="s">
        <v>3631</v>
      </c>
      <c r="E547" s="2" t="s">
        <v>1807</v>
      </c>
      <c r="F547" s="2" t="s">
        <v>1388</v>
      </c>
      <c r="G547" s="2" t="s">
        <v>6039</v>
      </c>
      <c r="H547" s="2" t="s">
        <v>2104</v>
      </c>
      <c r="I547" s="2" t="s">
        <v>5920</v>
      </c>
      <c r="J547" s="2" t="s">
        <v>5933</v>
      </c>
      <c r="K547" s="3" t="b">
        <f>J547 = "blocking"</f>
        <v>1</v>
      </c>
      <c r="L547" s="2" t="s">
        <v>1428</v>
      </c>
      <c r="M547" s="2" t="s">
        <v>6040</v>
      </c>
      <c r="N547" s="4">
        <v>46223.1297337963</v>
      </c>
      <c r="O547" s="3" t="b">
        <f>L547 = "PASS"</f>
        <v>1</v>
      </c>
      <c r="P547" s="3" t="b">
        <f>L547 = "FAIL"</f>
        <v>0</v>
      </c>
      <c r="Q547" s="3" t="b">
        <f>AND(P547, K547)</f>
        <v>0</v>
      </c>
      <c r="R547" s="3" t="str">
        <f>IF(O547, I547, "")</f>
        <v>suite-substrate</v>
      </c>
      <c r="S547" s="3" t="str">
        <f>IF(Q547, I547, "")</f>
      </c>
      <c r="T547" s="2" t="s">
        <v>5935</v>
      </c>
    </row>
    <row r="548">
      <c r="A548" s="2" t="s">
        <v>6517</v>
      </c>
      <c r="B548" s="3" t="str">
        <f>C548 &amp; ": " &amp; D548</f>
        <v>formula-translates: StepExecutions.ProcedureExecutionWhenUnclean</v>
      </c>
      <c r="C548" s="2" t="s">
        <v>6038</v>
      </c>
      <c r="D548" s="2" t="s">
        <v>3633</v>
      </c>
      <c r="E548" s="2" t="s">
        <v>1807</v>
      </c>
      <c r="F548" s="2" t="s">
        <v>1389</v>
      </c>
      <c r="G548" s="2" t="s">
        <v>6039</v>
      </c>
      <c r="H548" s="2" t="s">
        <v>2104</v>
      </c>
      <c r="I548" s="2" t="s">
        <v>5920</v>
      </c>
      <c r="J548" s="2" t="s">
        <v>5933</v>
      </c>
      <c r="K548" s="3" t="b">
        <f>J548 = "blocking"</f>
        <v>1</v>
      </c>
      <c r="L548" s="2" t="s">
        <v>1428</v>
      </c>
      <c r="M548" s="2" t="s">
        <v>6040</v>
      </c>
      <c r="N548" s="4">
        <v>46223.1297337963</v>
      </c>
      <c r="O548" s="3" t="b">
        <f>L548 = "PASS"</f>
        <v>1</v>
      </c>
      <c r="P548" s="3" t="b">
        <f>L548 = "FAIL"</f>
        <v>0</v>
      </c>
      <c r="Q548" s="3" t="b">
        <f>AND(P548, K548)</f>
        <v>0</v>
      </c>
      <c r="R548" s="3" t="str">
        <f>IF(O548, I548, "")</f>
        <v>suite-substrate</v>
      </c>
      <c r="S548" s="3" t="str">
        <f>IF(Q548, I548, "")</f>
      </c>
      <c r="T548" s="2" t="s">
        <v>5935</v>
      </c>
    </row>
    <row r="549">
      <c r="A549" s="2" t="s">
        <v>6518</v>
      </c>
      <c r="B549" s="3" t="str">
        <f>C549 &amp; ": " &amp; D549</f>
        <v>formula-translates: StepExecutions.EvaluatedRequirementCount</v>
      </c>
      <c r="C549" s="2" t="s">
        <v>6038</v>
      </c>
      <c r="D549" s="2" t="s">
        <v>3635</v>
      </c>
      <c r="E549" s="2" t="s">
        <v>1807</v>
      </c>
      <c r="F549" s="2" t="s">
        <v>1390</v>
      </c>
      <c r="G549" s="2" t="s">
        <v>6039</v>
      </c>
      <c r="H549" s="2" t="s">
        <v>2108</v>
      </c>
      <c r="I549" s="2" t="s">
        <v>5920</v>
      </c>
      <c r="J549" s="2" t="s">
        <v>5933</v>
      </c>
      <c r="K549" s="3" t="b">
        <f>J549 = "blocking"</f>
        <v>1</v>
      </c>
      <c r="L549" s="2" t="s">
        <v>1428</v>
      </c>
      <c r="M549" s="2" t="s">
        <v>6040</v>
      </c>
      <c r="N549" s="4">
        <v>46223.1297337963</v>
      </c>
      <c r="O549" s="3" t="b">
        <f>L549 = "PASS"</f>
        <v>1</v>
      </c>
      <c r="P549" s="3" t="b">
        <f>L549 = "FAIL"</f>
        <v>0</v>
      </c>
      <c r="Q549" s="3" t="b">
        <f>AND(P549, K549)</f>
        <v>0</v>
      </c>
      <c r="R549" s="3" t="str">
        <f>IF(O549, I549, "")</f>
        <v>suite-substrate</v>
      </c>
      <c r="S549" s="3" t="str">
        <f>IF(Q549, I549, "")</f>
      </c>
      <c r="T549" s="2" t="s">
        <v>5935</v>
      </c>
    </row>
    <row r="550">
      <c r="A550" s="2" t="s">
        <v>6519</v>
      </c>
      <c r="B550" s="3" t="str">
        <f>C550 &amp; ": " &amp; D550</f>
        <v>formula-translates: StepExecutions.RequiredBlockingCount</v>
      </c>
      <c r="C550" s="2" t="s">
        <v>6038</v>
      </c>
      <c r="D550" s="2" t="s">
        <v>3637</v>
      </c>
      <c r="E550" s="2" t="s">
        <v>1807</v>
      </c>
      <c r="F550" s="2" t="s">
        <v>1391</v>
      </c>
      <c r="G550" s="2" t="s">
        <v>6039</v>
      </c>
      <c r="H550" s="2" t="s">
        <v>2108</v>
      </c>
      <c r="I550" s="2" t="s">
        <v>5920</v>
      </c>
      <c r="J550" s="2" t="s">
        <v>5933</v>
      </c>
      <c r="K550" s="3" t="b">
        <f>J550 = "blocking"</f>
        <v>1</v>
      </c>
      <c r="L550" s="2" t="s">
        <v>1428</v>
      </c>
      <c r="M550" s="2" t="s">
        <v>6040</v>
      </c>
      <c r="N550" s="4">
        <v>46223.1297337963</v>
      </c>
      <c r="O550" s="3" t="b">
        <f>L550 = "PASS"</f>
        <v>1</v>
      </c>
      <c r="P550" s="3" t="b">
        <f>L550 = "FAIL"</f>
        <v>0</v>
      </c>
      <c r="Q550" s="3" t="b">
        <f>AND(P550, K550)</f>
        <v>0</v>
      </c>
      <c r="R550" s="3" t="str">
        <f>IF(O550, I550, "")</f>
        <v>suite-substrate</v>
      </c>
      <c r="S550" s="3" t="str">
        <f>IF(Q550, I550, "")</f>
      </c>
      <c r="T550" s="2" t="s">
        <v>5935</v>
      </c>
    </row>
    <row r="551">
      <c r="A551" s="2" t="s">
        <v>6520</v>
      </c>
      <c r="B551" s="3" t="str">
        <f>C551 &amp; ": " &amp; D551</f>
        <v>formula-translates: StepExecutions.HasUnevaluatedBlockingRequirement</v>
      </c>
      <c r="C551" s="2" t="s">
        <v>6038</v>
      </c>
      <c r="D551" s="2" t="s">
        <v>3638</v>
      </c>
      <c r="E551" s="2" t="s">
        <v>1807</v>
      </c>
      <c r="F551" s="2" t="s">
        <v>1392</v>
      </c>
      <c r="G551" s="2" t="s">
        <v>6039</v>
      </c>
      <c r="H551" s="2" t="s">
        <v>2108</v>
      </c>
      <c r="I551" s="2" t="s">
        <v>5920</v>
      </c>
      <c r="J551" s="2" t="s">
        <v>5933</v>
      </c>
      <c r="K551" s="3" t="b">
        <f>J551 = "blocking"</f>
        <v>1</v>
      </c>
      <c r="L551" s="2" t="s">
        <v>1428</v>
      </c>
      <c r="M551" s="2" t="s">
        <v>6040</v>
      </c>
      <c r="N551" s="4">
        <v>46223.1297337963</v>
      </c>
      <c r="O551" s="3" t="b">
        <f>L551 = "PASS"</f>
        <v>1</v>
      </c>
      <c r="P551" s="3" t="b">
        <f>L551 = "FAIL"</f>
        <v>0</v>
      </c>
      <c r="Q551" s="3" t="b">
        <f>AND(P551, K551)</f>
        <v>0</v>
      </c>
      <c r="R551" s="3" t="str">
        <f>IF(O551, I551, "")</f>
        <v>suite-substrate</v>
      </c>
      <c r="S551" s="3" t="str">
        <f>IF(Q551, I551, "")</f>
      </c>
      <c r="T551" s="2" t="s">
        <v>5935</v>
      </c>
    </row>
    <row r="552">
      <c r="A552" s="2" t="s">
        <v>6521</v>
      </c>
      <c r="B552" s="3" t="str">
        <f>C552 &amp; ": " &amp; D552</f>
        <v>formula-translates: StepExecutions.ExecutingAgentKind</v>
      </c>
      <c r="C552" s="2" t="s">
        <v>6038</v>
      </c>
      <c r="D552" s="2" t="s">
        <v>3640</v>
      </c>
      <c r="E552" s="2" t="s">
        <v>1807</v>
      </c>
      <c r="F552" s="2" t="s">
        <v>1393</v>
      </c>
      <c r="G552" s="2" t="s">
        <v>6039</v>
      </c>
      <c r="H552" s="2" t="s">
        <v>2120</v>
      </c>
      <c r="I552" s="2" t="s">
        <v>5920</v>
      </c>
      <c r="J552" s="2" t="s">
        <v>5933</v>
      </c>
      <c r="K552" s="3" t="b">
        <f>J552 = "blocking"</f>
        <v>1</v>
      </c>
      <c r="L552" s="2" t="s">
        <v>1428</v>
      </c>
      <c r="M552" s="2" t="s">
        <v>6040</v>
      </c>
      <c r="N552" s="4">
        <v>46223.1297337963</v>
      </c>
      <c r="O552" s="3" t="b">
        <f>L552 = "PASS"</f>
        <v>1</v>
      </c>
      <c r="P552" s="3" t="b">
        <f>L552 = "FAIL"</f>
        <v>0</v>
      </c>
      <c r="Q552" s="3" t="b">
        <f>AND(P552, K552)</f>
        <v>0</v>
      </c>
      <c r="R552" s="3" t="str">
        <f>IF(O552, I552, "")</f>
        <v>suite-substrate</v>
      </c>
      <c r="S552" s="3" t="str">
        <f>IF(Q552, I552, "")</f>
      </c>
      <c r="T552" s="2" t="s">
        <v>5935</v>
      </c>
    </row>
    <row r="553">
      <c r="A553" s="2" t="s">
        <v>6522</v>
      </c>
      <c r="B553" s="3" t="str">
        <f>C553 &amp; ": " &amp; D553</f>
        <v>formula-translates: StepExecutions.WasExecutedBySoftware</v>
      </c>
      <c r="C553" s="2" t="s">
        <v>6038</v>
      </c>
      <c r="D553" s="2" t="s">
        <v>3641</v>
      </c>
      <c r="E553" s="2" t="s">
        <v>1807</v>
      </c>
      <c r="F553" s="2" t="s">
        <v>1394</v>
      </c>
      <c r="G553" s="2" t="s">
        <v>6039</v>
      </c>
      <c r="H553" s="2" t="s">
        <v>2120</v>
      </c>
      <c r="I553" s="2" t="s">
        <v>5920</v>
      </c>
      <c r="J553" s="2" t="s">
        <v>5933</v>
      </c>
      <c r="K553" s="3" t="b">
        <f>J553 = "blocking"</f>
        <v>1</v>
      </c>
      <c r="L553" s="2" t="s">
        <v>1428</v>
      </c>
      <c r="M553" s="2" t="s">
        <v>6040</v>
      </c>
      <c r="N553" s="4">
        <v>46223.1297337963</v>
      </c>
      <c r="O553" s="3" t="b">
        <f>L553 = "PASS"</f>
        <v>1</v>
      </c>
      <c r="P553" s="3" t="b">
        <f>L553 = "FAIL"</f>
        <v>0</v>
      </c>
      <c r="Q553" s="3" t="b">
        <f>AND(P553, K553)</f>
        <v>0</v>
      </c>
      <c r="R553" s="3" t="str">
        <f>IF(O553, I553, "")</f>
        <v>suite-substrate</v>
      </c>
      <c r="S553" s="3" t="str">
        <f>IF(Q553, I553, "")</f>
      </c>
      <c r="T553" s="2" t="s">
        <v>5935</v>
      </c>
    </row>
    <row r="554">
      <c r="A554" s="2" t="s">
        <v>6523</v>
      </c>
      <c r="B554" s="3" t="str">
        <f>C554 &amp; ": " &amp; D554</f>
        <v>formula-translates: StepExecutions.StepIsSoftwareAssigned</v>
      </c>
      <c r="C554" s="2" t="s">
        <v>6038</v>
      </c>
      <c r="D554" s="2" t="s">
        <v>3643</v>
      </c>
      <c r="E554" s="2" t="s">
        <v>1807</v>
      </c>
      <c r="F554" s="2" t="s">
        <v>1395</v>
      </c>
      <c r="G554" s="2" t="s">
        <v>6039</v>
      </c>
      <c r="H554" s="2" t="s">
        <v>2120</v>
      </c>
      <c r="I554" s="2" t="s">
        <v>5920</v>
      </c>
      <c r="J554" s="2" t="s">
        <v>5933</v>
      </c>
      <c r="K554" s="3" t="b">
        <f>J554 = "blocking"</f>
        <v>1</v>
      </c>
      <c r="L554" s="2" t="s">
        <v>1428</v>
      </c>
      <c r="M554" s="2" t="s">
        <v>6040</v>
      </c>
      <c r="N554" s="4">
        <v>46223.1297337963</v>
      </c>
      <c r="O554" s="3" t="b">
        <f>L554 = "PASS"</f>
        <v>1</v>
      </c>
      <c r="P554" s="3" t="b">
        <f>L554 = "FAIL"</f>
        <v>0</v>
      </c>
      <c r="Q554" s="3" t="b">
        <f>AND(P554, K554)</f>
        <v>0</v>
      </c>
      <c r="R554" s="3" t="str">
        <f>IF(O554, I554, "")</f>
        <v>suite-substrate</v>
      </c>
      <c r="S554" s="3" t="str">
        <f>IF(Q554, I554, "")</f>
      </c>
      <c r="T554" s="2" t="s">
        <v>5935</v>
      </c>
    </row>
    <row r="555">
      <c r="A555" s="2" t="s">
        <v>6524</v>
      </c>
      <c r="B555" s="3" t="str">
        <f>C555 &amp; ": " &amp; D555</f>
        <v>formula-translates: StepExecutions.SoftwareDidHumanWork</v>
      </c>
      <c r="C555" s="2" t="s">
        <v>6038</v>
      </c>
      <c r="D555" s="2" t="s">
        <v>3644</v>
      </c>
      <c r="E555" s="2" t="s">
        <v>1807</v>
      </c>
      <c r="F555" s="2" t="s">
        <v>1396</v>
      </c>
      <c r="G555" s="2" t="s">
        <v>6039</v>
      </c>
      <c r="H555" s="2" t="s">
        <v>2120</v>
      </c>
      <c r="I555" s="2" t="s">
        <v>5920</v>
      </c>
      <c r="J555" s="2" t="s">
        <v>5933</v>
      </c>
      <c r="K555" s="3" t="b">
        <f>J555 = "blocking"</f>
        <v>1</v>
      </c>
      <c r="L555" s="2" t="s">
        <v>1428</v>
      </c>
      <c r="M555" s="2" t="s">
        <v>6040</v>
      </c>
      <c r="N555" s="4">
        <v>46223.1297337963</v>
      </c>
      <c r="O555" s="3" t="b">
        <f>L555 = "PASS"</f>
        <v>1</v>
      </c>
      <c r="P555" s="3" t="b">
        <f>L555 = "FAIL"</f>
        <v>0</v>
      </c>
      <c r="Q555" s="3" t="b">
        <f>AND(P555, K555)</f>
        <v>0</v>
      </c>
      <c r="R555" s="3" t="str">
        <f>IF(O555, I555, "")</f>
        <v>suite-substrate</v>
      </c>
      <c r="S555" s="3" t="str">
        <f>IF(Q555, I555, "")</f>
      </c>
      <c r="T555" s="2" t="s">
        <v>5935</v>
      </c>
    </row>
    <row r="556">
      <c r="A556" s="2" t="s">
        <v>6525</v>
      </c>
      <c r="B556" s="3" t="str">
        <f>C556 &amp; ": " &amp; D556</f>
        <v>formula-translates: StepExecutions.IsApprovalExecution</v>
      </c>
      <c r="C556" s="2" t="s">
        <v>6038</v>
      </c>
      <c r="D556" s="2" t="s">
        <v>3646</v>
      </c>
      <c r="E556" s="2" t="s">
        <v>1807</v>
      </c>
      <c r="F556" s="2" t="s">
        <v>1397</v>
      </c>
      <c r="G556" s="2" t="s">
        <v>6039</v>
      </c>
      <c r="H556" s="2" t="s">
        <v>2128</v>
      </c>
      <c r="I556" s="2" t="s">
        <v>5920</v>
      </c>
      <c r="J556" s="2" t="s">
        <v>5933</v>
      </c>
      <c r="K556" s="3" t="b">
        <f>J556 = "blocking"</f>
        <v>1</v>
      </c>
      <c r="L556" s="2" t="s">
        <v>1428</v>
      </c>
      <c r="M556" s="2" t="s">
        <v>6040</v>
      </c>
      <c r="N556" s="4">
        <v>46223.1297337963</v>
      </c>
      <c r="O556" s="3" t="b">
        <f>L556 = "PASS"</f>
        <v>1</v>
      </c>
      <c r="P556" s="3" t="b">
        <f>L556 = "FAIL"</f>
        <v>0</v>
      </c>
      <c r="Q556" s="3" t="b">
        <f>AND(P556, K556)</f>
        <v>0</v>
      </c>
      <c r="R556" s="3" t="str">
        <f>IF(O556, I556, "")</f>
        <v>suite-substrate</v>
      </c>
      <c r="S556" s="3" t="str">
        <f>IF(Q556, I556, "")</f>
      </c>
      <c r="T556" s="2" t="s">
        <v>5935</v>
      </c>
    </row>
    <row r="557">
      <c r="A557" s="2" t="s">
        <v>6526</v>
      </c>
      <c r="B557" s="3" t="str">
        <f>C557 &amp; ": " &amp; D557</f>
        <v>formula-translates: StepExecutions.IsVerified</v>
      </c>
      <c r="C557" s="2" t="s">
        <v>6038</v>
      </c>
      <c r="D557" s="2" t="s">
        <v>3648</v>
      </c>
      <c r="E557" s="2" t="s">
        <v>1807</v>
      </c>
      <c r="F557" s="2" t="s">
        <v>1398</v>
      </c>
      <c r="G557" s="2" t="s">
        <v>6039</v>
      </c>
      <c r="H557" s="2" t="s">
        <v>2128</v>
      </c>
      <c r="I557" s="2" t="s">
        <v>5920</v>
      </c>
      <c r="J557" s="2" t="s">
        <v>5933</v>
      </c>
      <c r="K557" s="3" t="b">
        <f>J557 = "blocking"</f>
        <v>1</v>
      </c>
      <c r="L557" s="2" t="s">
        <v>1428</v>
      </c>
      <c r="M557" s="2" t="s">
        <v>6040</v>
      </c>
      <c r="N557" s="4">
        <v>46223.1297337963</v>
      </c>
      <c r="O557" s="3" t="b">
        <f>L557 = "PASS"</f>
        <v>1</v>
      </c>
      <c r="P557" s="3" t="b">
        <f>L557 = "FAIL"</f>
        <v>0</v>
      </c>
      <c r="Q557" s="3" t="b">
        <f>AND(P557, K557)</f>
        <v>0</v>
      </c>
      <c r="R557" s="3" t="str">
        <f>IF(O557, I557, "")</f>
        <v>suite-substrate</v>
      </c>
      <c r="S557" s="3" t="str">
        <f>IF(Q557, I557, "")</f>
      </c>
      <c r="T557" s="2" t="s">
        <v>5935</v>
      </c>
    </row>
    <row r="558">
      <c r="A558" s="2" t="s">
        <v>6527</v>
      </c>
      <c r="B558" s="3" t="str">
        <f>C558 &amp; ": " &amp; D558</f>
        <v>formula-translates: StepExecutions.UnconfirmedNonHumanDecisionCount</v>
      </c>
      <c r="C558" s="2" t="s">
        <v>6038</v>
      </c>
      <c r="D558" s="2" t="s">
        <v>3650</v>
      </c>
      <c r="E558" s="2" t="s">
        <v>1807</v>
      </c>
      <c r="F558" s="2" t="s">
        <v>1399</v>
      </c>
      <c r="G558" s="2" t="s">
        <v>6039</v>
      </c>
      <c r="H558" s="2" t="s">
        <v>2148</v>
      </c>
      <c r="I558" s="2" t="s">
        <v>5920</v>
      </c>
      <c r="J558" s="2" t="s">
        <v>5933</v>
      </c>
      <c r="K558" s="3" t="b">
        <f>J558 = "blocking"</f>
        <v>1</v>
      </c>
      <c r="L558" s="2" t="s">
        <v>1428</v>
      </c>
      <c r="M558" s="2" t="s">
        <v>6040</v>
      </c>
      <c r="N558" s="4">
        <v>46223.1297337963</v>
      </c>
      <c r="O558" s="3" t="b">
        <f>L558 = "PASS"</f>
        <v>1</v>
      </c>
      <c r="P558" s="3" t="b">
        <f>L558 = "FAIL"</f>
        <v>0</v>
      </c>
      <c r="Q558" s="3" t="b">
        <f>AND(P558, K558)</f>
        <v>0</v>
      </c>
      <c r="R558" s="3" t="str">
        <f>IF(O558, I558, "")</f>
        <v>suite-substrate</v>
      </c>
      <c r="S558" s="3" t="str">
        <f>IF(Q558, I558, "")</f>
      </c>
      <c r="T558" s="2" t="s">
        <v>5935</v>
      </c>
    </row>
    <row r="559">
      <c r="A559" s="2" t="s">
        <v>6528</v>
      </c>
      <c r="B559" s="3" t="str">
        <f>C559 &amp; ": " &amp; D559</f>
        <v>formula-translates: StepExecutions.RequiresHumanConfirmation</v>
      </c>
      <c r="C559" s="2" t="s">
        <v>6038</v>
      </c>
      <c r="D559" s="2" t="s">
        <v>3652</v>
      </c>
      <c r="E559" s="2" t="s">
        <v>1807</v>
      </c>
      <c r="F559" s="2" t="s">
        <v>506</v>
      </c>
      <c r="G559" s="2" t="s">
        <v>6039</v>
      </c>
      <c r="H559" s="2" t="s">
        <v>2148</v>
      </c>
      <c r="I559" s="2" t="s">
        <v>5920</v>
      </c>
      <c r="J559" s="2" t="s">
        <v>5933</v>
      </c>
      <c r="K559" s="3" t="b">
        <f>J559 = "blocking"</f>
        <v>1</v>
      </c>
      <c r="L559" s="2" t="s">
        <v>1428</v>
      </c>
      <c r="M559" s="2" t="s">
        <v>6040</v>
      </c>
      <c r="N559" s="4">
        <v>46223.1297337963</v>
      </c>
      <c r="O559" s="3" t="b">
        <f>L559 = "PASS"</f>
        <v>1</v>
      </c>
      <c r="P559" s="3" t="b">
        <f>L559 = "FAIL"</f>
        <v>0</v>
      </c>
      <c r="Q559" s="3" t="b">
        <f>AND(P559, K559)</f>
        <v>0</v>
      </c>
      <c r="R559" s="3" t="str">
        <f>IF(O559, I559, "")</f>
        <v>suite-substrate</v>
      </c>
      <c r="S559" s="3" t="str">
        <f>IF(Q559, I559, "")</f>
      </c>
      <c r="T559" s="2" t="s">
        <v>5935</v>
      </c>
    </row>
    <row r="560">
      <c r="A560" s="2" t="s">
        <v>6529</v>
      </c>
      <c r="B560" s="3" t="str">
        <f>C560 &amp; ": " &amp; D560</f>
        <v>formula-translates: StepExecutions.HumanConfirmationMissing</v>
      </c>
      <c r="C560" s="2" t="s">
        <v>6038</v>
      </c>
      <c r="D560" s="2" t="s">
        <v>3653</v>
      </c>
      <c r="E560" s="2" t="s">
        <v>1807</v>
      </c>
      <c r="F560" s="2" t="s">
        <v>1400</v>
      </c>
      <c r="G560" s="2" t="s">
        <v>6039</v>
      </c>
      <c r="H560" s="2" t="s">
        <v>2148</v>
      </c>
      <c r="I560" s="2" t="s">
        <v>5920</v>
      </c>
      <c r="J560" s="2" t="s">
        <v>5933</v>
      </c>
      <c r="K560" s="3" t="b">
        <f>J560 = "blocking"</f>
        <v>1</v>
      </c>
      <c r="L560" s="2" t="s">
        <v>1428</v>
      </c>
      <c r="M560" s="2" t="s">
        <v>6040</v>
      </c>
      <c r="N560" s="4">
        <v>46223.1297337963</v>
      </c>
      <c r="O560" s="3" t="b">
        <f>L560 = "PASS"</f>
        <v>1</v>
      </c>
      <c r="P560" s="3" t="b">
        <f>L560 = "FAIL"</f>
        <v>0</v>
      </c>
      <c r="Q560" s="3" t="b">
        <f>AND(P560, K560)</f>
        <v>0</v>
      </c>
      <c r="R560" s="3" t="str">
        <f>IF(O560, I560, "")</f>
        <v>suite-substrate</v>
      </c>
      <c r="S560" s="3" t="str">
        <f>IF(Q560, I560, "")</f>
      </c>
      <c r="T560" s="2" t="s">
        <v>5935</v>
      </c>
    </row>
    <row r="561">
      <c r="A561" s="2" t="s">
        <v>6530</v>
      </c>
      <c r="B561" s="3" t="str">
        <f>C561 &amp; ": " &amp; D561</f>
        <v>formula-translates: StepExecutions.DraftedFromUnusableSource</v>
      </c>
      <c r="C561" s="2" t="s">
        <v>6038</v>
      </c>
      <c r="D561" s="2" t="s">
        <v>3655</v>
      </c>
      <c r="E561" s="2" t="s">
        <v>1807</v>
      </c>
      <c r="F561" s="2" t="s">
        <v>1401</v>
      </c>
      <c r="G561" s="2" t="s">
        <v>6039</v>
      </c>
      <c r="H561" s="2" t="s">
        <v>2160</v>
      </c>
      <c r="I561" s="2" t="s">
        <v>5920</v>
      </c>
      <c r="J561" s="2" t="s">
        <v>5933</v>
      </c>
      <c r="K561" s="3" t="b">
        <f>J561 = "blocking"</f>
        <v>1</v>
      </c>
      <c r="L561" s="2" t="s">
        <v>1428</v>
      </c>
      <c r="M561" s="2" t="s">
        <v>6040</v>
      </c>
      <c r="N561" s="4">
        <v>46223.1297337963</v>
      </c>
      <c r="O561" s="3" t="b">
        <f>L561 = "PASS"</f>
        <v>1</v>
      </c>
      <c r="P561" s="3" t="b">
        <f>L561 = "FAIL"</f>
        <v>0</v>
      </c>
      <c r="Q561" s="3" t="b">
        <f>AND(P561, K561)</f>
        <v>0</v>
      </c>
      <c r="R561" s="3" t="str">
        <f>IF(O561, I561, "")</f>
        <v>suite-substrate</v>
      </c>
      <c r="S561" s="3" t="str">
        <f>IF(Q561, I561, "")</f>
      </c>
      <c r="T561" s="2" t="s">
        <v>5935</v>
      </c>
    </row>
    <row r="562">
      <c r="A562" s="2" t="s">
        <v>6531</v>
      </c>
      <c r="B562" s="3" t="str">
        <f>C562 &amp; ": " &amp; D562</f>
        <v>formula-translates: StepExecutions.InputsWereUsable</v>
      </c>
      <c r="C562" s="2" t="s">
        <v>6038</v>
      </c>
      <c r="D562" s="2" t="s">
        <v>3657</v>
      </c>
      <c r="E562" s="2" t="s">
        <v>1807</v>
      </c>
      <c r="F562" s="2" t="s">
        <v>1402</v>
      </c>
      <c r="G562" s="2" t="s">
        <v>6039</v>
      </c>
      <c r="H562" s="2" t="s">
        <v>2160</v>
      </c>
      <c r="I562" s="2" t="s">
        <v>5920</v>
      </c>
      <c r="J562" s="2" t="s">
        <v>5933</v>
      </c>
      <c r="K562" s="3" t="b">
        <f>J562 = "blocking"</f>
        <v>1</v>
      </c>
      <c r="L562" s="2" t="s">
        <v>1428</v>
      </c>
      <c r="M562" s="2" t="s">
        <v>6040</v>
      </c>
      <c r="N562" s="4">
        <v>46223.1297337963</v>
      </c>
      <c r="O562" s="3" t="b">
        <f>L562 = "PASS"</f>
        <v>1</v>
      </c>
      <c r="P562" s="3" t="b">
        <f>L562 = "FAIL"</f>
        <v>0</v>
      </c>
      <c r="Q562" s="3" t="b">
        <f>AND(P562, K562)</f>
        <v>0</v>
      </c>
      <c r="R562" s="3" t="str">
        <f>IF(O562, I562, "")</f>
        <v>suite-substrate</v>
      </c>
      <c r="S562" s="3" t="str">
        <f>IF(Q562, I562, "")</f>
      </c>
      <c r="T562" s="2" t="s">
        <v>5935</v>
      </c>
    </row>
    <row r="563">
      <c r="A563" s="2" t="s">
        <v>6532</v>
      </c>
      <c r="B563" s="3" t="str">
        <f>C563 &amp; ": " &amp; D563</f>
        <v>formula-translates: StepExecutions.SoftwareExecutionStepKey</v>
      </c>
      <c r="C563" s="2" t="s">
        <v>6038</v>
      </c>
      <c r="D563" s="2" t="s">
        <v>3659</v>
      </c>
      <c r="E563" s="2" t="s">
        <v>1807</v>
      </c>
      <c r="F563" s="2" t="s">
        <v>1403</v>
      </c>
      <c r="G563" s="2" t="s">
        <v>6039</v>
      </c>
      <c r="H563" s="2" t="s">
        <v>2200</v>
      </c>
      <c r="I563" s="2" t="s">
        <v>5920</v>
      </c>
      <c r="J563" s="2" t="s">
        <v>5933</v>
      </c>
      <c r="K563" s="3" t="b">
        <f>J563 = "blocking"</f>
        <v>1</v>
      </c>
      <c r="L563" s="2" t="s">
        <v>1428</v>
      </c>
      <c r="M563" s="2" t="s">
        <v>6040</v>
      </c>
      <c r="N563" s="4">
        <v>46223.1297337963</v>
      </c>
      <c r="O563" s="3" t="b">
        <f>L563 = "PASS"</f>
        <v>1</v>
      </c>
      <c r="P563" s="3" t="b">
        <f>L563 = "FAIL"</f>
        <v>0</v>
      </c>
      <c r="Q563" s="3" t="b">
        <f>AND(P563, K563)</f>
        <v>0</v>
      </c>
      <c r="R563" s="3" t="str">
        <f>IF(O563, I563, "")</f>
        <v>suite-substrate</v>
      </c>
      <c r="S563" s="3" t="str">
        <f>IF(Q563, I563, "")</f>
      </c>
      <c r="T563" s="2" t="s">
        <v>5935</v>
      </c>
    </row>
    <row r="564">
      <c r="A564" s="2" t="s">
        <v>6533</v>
      </c>
      <c r="B564" s="3" t="str">
        <f>C564 &amp; ": " &amp; D564</f>
        <v>formula-translates: StepExecutions.StepControlKind</v>
      </c>
      <c r="C564" s="2" t="s">
        <v>6038</v>
      </c>
      <c r="D564" s="2" t="s">
        <v>3661</v>
      </c>
      <c r="E564" s="2" t="s">
        <v>1807</v>
      </c>
      <c r="F564" s="2" t="s">
        <v>1404</v>
      </c>
      <c r="G564" s="2" t="s">
        <v>6039</v>
      </c>
      <c r="H564" s="2" t="s">
        <v>2232</v>
      </c>
      <c r="I564" s="2" t="s">
        <v>5920</v>
      </c>
      <c r="J564" s="2" t="s">
        <v>5933</v>
      </c>
      <c r="K564" s="3" t="b">
        <f>J564 = "blocking"</f>
        <v>1</v>
      </c>
      <c r="L564" s="2" t="s">
        <v>1428</v>
      </c>
      <c r="M564" s="2" t="s">
        <v>6040</v>
      </c>
      <c r="N564" s="4">
        <v>46223.1297337963</v>
      </c>
      <c r="O564" s="3" t="b">
        <f>L564 = "PASS"</f>
        <v>1</v>
      </c>
      <c r="P564" s="3" t="b">
        <f>L564 = "FAIL"</f>
        <v>0</v>
      </c>
      <c r="Q564" s="3" t="b">
        <f>AND(P564, K564)</f>
        <v>0</v>
      </c>
      <c r="R564" s="3" t="str">
        <f>IF(O564, I564, "")</f>
        <v>suite-substrate</v>
      </c>
      <c r="S564" s="3" t="str">
        <f>IF(Q564, I564, "")</f>
      </c>
      <c r="T564" s="2" t="s">
        <v>5935</v>
      </c>
    </row>
    <row r="565">
      <c r="A565" s="2" t="s">
        <v>6534</v>
      </c>
      <c r="B565" s="3" t="str">
        <f>C565 &amp; ": " &amp; D565</f>
        <v>formula-translates: StepExecutions.UnfalsifiedClearanceCount</v>
      </c>
      <c r="C565" s="2" t="s">
        <v>6038</v>
      </c>
      <c r="D565" s="2" t="s">
        <v>3663</v>
      </c>
      <c r="E565" s="2" t="s">
        <v>1807</v>
      </c>
      <c r="F565" s="2" t="s">
        <v>1405</v>
      </c>
      <c r="G565" s="2" t="s">
        <v>6039</v>
      </c>
      <c r="H565" s="2" t="s">
        <v>2236</v>
      </c>
      <c r="I565" s="2" t="s">
        <v>5920</v>
      </c>
      <c r="J565" s="2" t="s">
        <v>5933</v>
      </c>
      <c r="K565" s="3" t="b">
        <f>J565 = "blocking"</f>
        <v>1</v>
      </c>
      <c r="L565" s="2" t="s">
        <v>1428</v>
      </c>
      <c r="M565" s="2" t="s">
        <v>6040</v>
      </c>
      <c r="N565" s="4">
        <v>46223.1297337963</v>
      </c>
      <c r="O565" s="3" t="b">
        <f>L565 = "PASS"</f>
        <v>1</v>
      </c>
      <c r="P565" s="3" t="b">
        <f>L565 = "FAIL"</f>
        <v>0</v>
      </c>
      <c r="Q565" s="3" t="b">
        <f>AND(P565, K565)</f>
        <v>0</v>
      </c>
      <c r="R565" s="3" t="str">
        <f>IF(O565, I565, "")</f>
        <v>suite-substrate</v>
      </c>
      <c r="S565" s="3" t="str">
        <f>IF(Q565, I565, "")</f>
      </c>
      <c r="T565" s="2" t="s">
        <v>5935</v>
      </c>
    </row>
    <row r="566">
      <c r="A566" s="2" t="s">
        <v>6535</v>
      </c>
      <c r="B566" s="3" t="str">
        <f>C566 &amp; ": " &amp; D566</f>
        <v>formula-translates: StepExecutions.AllClearancesAreUnfalsified</v>
      </c>
      <c r="C566" s="2" t="s">
        <v>6038</v>
      </c>
      <c r="D566" s="2" t="s">
        <v>3665</v>
      </c>
      <c r="E566" s="2" t="s">
        <v>1807</v>
      </c>
      <c r="F566" s="2" t="s">
        <v>1406</v>
      </c>
      <c r="G566" s="2" t="s">
        <v>6039</v>
      </c>
      <c r="H566" s="2" t="s">
        <v>2236</v>
      </c>
      <c r="I566" s="2" t="s">
        <v>5920</v>
      </c>
      <c r="J566" s="2" t="s">
        <v>5933</v>
      </c>
      <c r="K566" s="3" t="b">
        <f>J566 = "blocking"</f>
        <v>1</v>
      </c>
      <c r="L566" s="2" t="s">
        <v>1428</v>
      </c>
      <c r="M566" s="2" t="s">
        <v>6040</v>
      </c>
      <c r="N566" s="4">
        <v>46223.1297337963</v>
      </c>
      <c r="O566" s="3" t="b">
        <f>L566 = "PASS"</f>
        <v>1</v>
      </c>
      <c r="P566" s="3" t="b">
        <f>L566 = "FAIL"</f>
        <v>0</v>
      </c>
      <c r="Q566" s="3" t="b">
        <f>AND(P566, K566)</f>
        <v>0</v>
      </c>
      <c r="R566" s="3" t="str">
        <f>IF(O566, I566, "")</f>
        <v>suite-substrate</v>
      </c>
      <c r="S566" s="3" t="str">
        <f>IF(Q566, I566, "")</f>
      </c>
      <c r="T566" s="2" t="s">
        <v>5935</v>
      </c>
    </row>
    <row r="567">
      <c r="A567" s="2" t="s">
        <v>6536</v>
      </c>
      <c r="B567" s="3" t="str">
        <f>C567 &amp; ": " &amp; D567</f>
        <v>formula-translates: StepExecutions.StaleAtRunCount</v>
      </c>
      <c r="C567" s="2" t="s">
        <v>6038</v>
      </c>
      <c r="D567" s="2" t="s">
        <v>3667</v>
      </c>
      <c r="E567" s="2" t="s">
        <v>1807</v>
      </c>
      <c r="F567" s="2" t="s">
        <v>1407</v>
      </c>
      <c r="G567" s="2" t="s">
        <v>6039</v>
      </c>
      <c r="H567" s="2" t="s">
        <v>2240</v>
      </c>
      <c r="I567" s="2" t="s">
        <v>5920</v>
      </c>
      <c r="J567" s="2" t="s">
        <v>5933</v>
      </c>
      <c r="K567" s="3" t="b">
        <f>J567 = "blocking"</f>
        <v>1</v>
      </c>
      <c r="L567" s="2" t="s">
        <v>1428</v>
      </c>
      <c r="M567" s="2" t="s">
        <v>6040</v>
      </c>
      <c r="N567" s="4">
        <v>46223.1297337963</v>
      </c>
      <c r="O567" s="3" t="b">
        <f>L567 = "PASS"</f>
        <v>1</v>
      </c>
      <c r="P567" s="3" t="b">
        <f>L567 = "FAIL"</f>
        <v>0</v>
      </c>
      <c r="Q567" s="3" t="b">
        <f>AND(P567, K567)</f>
        <v>0</v>
      </c>
      <c r="R567" s="3" t="str">
        <f>IF(O567, I567, "")</f>
        <v>suite-substrate</v>
      </c>
      <c r="S567" s="3" t="str">
        <f>IF(Q567, I567, "")</f>
      </c>
      <c r="T567" s="2" t="s">
        <v>5935</v>
      </c>
    </row>
    <row r="568">
      <c r="A568" s="2" t="s">
        <v>6537</v>
      </c>
      <c r="B568" s="3" t="str">
        <f>C568 &amp; ": " &amp; D568</f>
        <v>formula-translates: StepExecutions.WasStaleWhenIRanIt</v>
      </c>
      <c r="C568" s="2" t="s">
        <v>6038</v>
      </c>
      <c r="D568" s="2" t="s">
        <v>3669</v>
      </c>
      <c r="E568" s="2" t="s">
        <v>1807</v>
      </c>
      <c r="F568" s="2" t="s">
        <v>1408</v>
      </c>
      <c r="G568" s="2" t="s">
        <v>6039</v>
      </c>
      <c r="H568" s="2" t="s">
        <v>2240</v>
      </c>
      <c r="I568" s="2" t="s">
        <v>5920</v>
      </c>
      <c r="J568" s="2" t="s">
        <v>5933</v>
      </c>
      <c r="K568" s="3" t="b">
        <f>J568 = "blocking"</f>
        <v>1</v>
      </c>
      <c r="L568" s="2" t="s">
        <v>1428</v>
      </c>
      <c r="M568" s="2" t="s">
        <v>6040</v>
      </c>
      <c r="N568" s="4">
        <v>46223.1297337963</v>
      </c>
      <c r="O568" s="3" t="b">
        <f>L568 = "PASS"</f>
        <v>1</v>
      </c>
      <c r="P568" s="3" t="b">
        <f>L568 = "FAIL"</f>
        <v>0</v>
      </c>
      <c r="Q568" s="3" t="b">
        <f>AND(P568, K568)</f>
        <v>0</v>
      </c>
      <c r="R568" s="3" t="str">
        <f>IF(O568, I568, "")</f>
        <v>suite-substrate</v>
      </c>
      <c r="S568" s="3" t="str">
        <f>IF(Q568, I568, "")</f>
      </c>
      <c r="T568" s="2" t="s">
        <v>5935</v>
      </c>
    </row>
    <row r="569">
      <c r="A569" s="2" t="s">
        <v>6538</v>
      </c>
      <c r="B569" s="3" t="str">
        <f>C569 &amp; ": " &amp; D569</f>
        <v>formula-translates: StepExecutions.StalenessAnswerIsTenseDependent</v>
      </c>
      <c r="C569" s="2" t="s">
        <v>6038</v>
      </c>
      <c r="D569" s="2" t="s">
        <v>3671</v>
      </c>
      <c r="E569" s="2" t="s">
        <v>1807</v>
      </c>
      <c r="F569" s="2" t="s">
        <v>1409</v>
      </c>
      <c r="G569" s="2" t="s">
        <v>6039</v>
      </c>
      <c r="H569" s="2" t="s">
        <v>2240</v>
      </c>
      <c r="I569" s="2" t="s">
        <v>5920</v>
      </c>
      <c r="J569" s="2" t="s">
        <v>5933</v>
      </c>
      <c r="K569" s="3" t="b">
        <f>J569 = "blocking"</f>
        <v>1</v>
      </c>
      <c r="L569" s="2" t="s">
        <v>1428</v>
      </c>
      <c r="M569" s="2" t="s">
        <v>6040</v>
      </c>
      <c r="N569" s="4">
        <v>46223.1297337963</v>
      </c>
      <c r="O569" s="3" t="b">
        <f>L569 = "PASS"</f>
        <v>1</v>
      </c>
      <c r="P569" s="3" t="b">
        <f>L569 = "FAIL"</f>
        <v>0</v>
      </c>
      <c r="Q569" s="3" t="b">
        <f>AND(P569, K569)</f>
        <v>0</v>
      </c>
      <c r="R569" s="3" t="str">
        <f>IF(O569, I569, "")</f>
        <v>suite-substrate</v>
      </c>
      <c r="S569" s="3" t="str">
        <f>IF(Q569, I569, "")</f>
      </c>
      <c r="T569" s="2" t="s">
        <v>5935</v>
      </c>
    </row>
    <row r="570">
      <c r="A570" s="2" t="s">
        <v>6539</v>
      </c>
      <c r="B570" s="3" t="str">
        <f>C570 &amp; ": " &amp; D570</f>
        <v>formula-translates: StepExecutions.HasAnyDeclaredCheck</v>
      </c>
      <c r="C570" s="2" t="s">
        <v>6038</v>
      </c>
      <c r="D570" s="2" t="s">
        <v>3673</v>
      </c>
      <c r="E570" s="2" t="s">
        <v>1807</v>
      </c>
      <c r="F570" s="2" t="s">
        <v>1410</v>
      </c>
      <c r="G570" s="2" t="s">
        <v>6039</v>
      </c>
      <c r="H570" s="2" t="s">
        <v>2248</v>
      </c>
      <c r="I570" s="2" t="s">
        <v>5920</v>
      </c>
      <c r="J570" s="2" t="s">
        <v>5933</v>
      </c>
      <c r="K570" s="3" t="b">
        <f>J570 = "blocking"</f>
        <v>1</v>
      </c>
      <c r="L570" s="2" t="s">
        <v>1428</v>
      </c>
      <c r="M570" s="2" t="s">
        <v>6040</v>
      </c>
      <c r="N570" s="4">
        <v>46223.1297337963</v>
      </c>
      <c r="O570" s="3" t="b">
        <f>L570 = "PASS"</f>
        <v>1</v>
      </c>
      <c r="P570" s="3" t="b">
        <f>L570 = "FAIL"</f>
        <v>0</v>
      </c>
      <c r="Q570" s="3" t="b">
        <f>AND(P570, K570)</f>
        <v>0</v>
      </c>
      <c r="R570" s="3" t="str">
        <f>IF(O570, I570, "")</f>
        <v>suite-substrate</v>
      </c>
      <c r="S570" s="3" t="str">
        <f>IF(Q570, I570, "")</f>
      </c>
      <c r="T570" s="2" t="s">
        <v>5935</v>
      </c>
    </row>
    <row r="571">
      <c r="A571" s="2" t="s">
        <v>6540</v>
      </c>
      <c r="B571" s="3" t="str">
        <f>C571 &amp; ": " &amp; D571</f>
        <v>formula-translates: StepExecutions.PerformedCheckCount</v>
      </c>
      <c r="C571" s="2" t="s">
        <v>6038</v>
      </c>
      <c r="D571" s="2" t="s">
        <v>3675</v>
      </c>
      <c r="E571" s="2" t="s">
        <v>1807</v>
      </c>
      <c r="F571" s="2" t="s">
        <v>1411</v>
      </c>
      <c r="G571" s="2" t="s">
        <v>6039</v>
      </c>
      <c r="H571" s="2" t="s">
        <v>2248</v>
      </c>
      <c r="I571" s="2" t="s">
        <v>5920</v>
      </c>
      <c r="J571" s="2" t="s">
        <v>5933</v>
      </c>
      <c r="K571" s="3" t="b">
        <f>J571 = "blocking"</f>
        <v>1</v>
      </c>
      <c r="L571" s="2" t="s">
        <v>1428</v>
      </c>
      <c r="M571" s="2" t="s">
        <v>6040</v>
      </c>
      <c r="N571" s="4">
        <v>46223.1297337963</v>
      </c>
      <c r="O571" s="3" t="b">
        <f>L571 = "PASS"</f>
        <v>1</v>
      </c>
      <c r="P571" s="3" t="b">
        <f>L571 = "FAIL"</f>
        <v>0</v>
      </c>
      <c r="Q571" s="3" t="b">
        <f>AND(P571, K571)</f>
        <v>0</v>
      </c>
      <c r="R571" s="3" t="str">
        <f>IF(O571, I571, "")</f>
        <v>suite-substrate</v>
      </c>
      <c r="S571" s="3" t="str">
        <f>IF(Q571, I571, "")</f>
      </c>
      <c r="T571" s="2" t="s">
        <v>5935</v>
      </c>
    </row>
    <row r="572">
      <c r="A572" s="2" t="s">
        <v>6541</v>
      </c>
      <c r="B572" s="3" t="str">
        <f>C572 &amp; ": " &amp; D572</f>
        <v>formula-translates: StepExecutions.DeclaredCheckCount</v>
      </c>
      <c r="C572" s="2" t="s">
        <v>6038</v>
      </c>
      <c r="D572" s="2" t="s">
        <v>3677</v>
      </c>
      <c r="E572" s="2" t="s">
        <v>1807</v>
      </c>
      <c r="F572" s="2" t="s">
        <v>1412</v>
      </c>
      <c r="G572" s="2" t="s">
        <v>6039</v>
      </c>
      <c r="H572" s="2" t="s">
        <v>2248</v>
      </c>
      <c r="I572" s="2" t="s">
        <v>5920</v>
      </c>
      <c r="J572" s="2" t="s">
        <v>5933</v>
      </c>
      <c r="K572" s="3" t="b">
        <f>J572 = "blocking"</f>
        <v>1</v>
      </c>
      <c r="L572" s="2" t="s">
        <v>1428</v>
      </c>
      <c r="M572" s="2" t="s">
        <v>6040</v>
      </c>
      <c r="N572" s="4">
        <v>46223.1297337963</v>
      </c>
      <c r="O572" s="3" t="b">
        <f>L572 = "PASS"</f>
        <v>1</v>
      </c>
      <c r="P572" s="3" t="b">
        <f>L572 = "FAIL"</f>
        <v>0</v>
      </c>
      <c r="Q572" s="3" t="b">
        <f>AND(P572, K572)</f>
        <v>0</v>
      </c>
      <c r="R572" s="3" t="str">
        <f>IF(O572, I572, "")</f>
        <v>suite-substrate</v>
      </c>
      <c r="S572" s="3" t="str">
        <f>IF(Q572, I572, "")</f>
      </c>
      <c r="T572" s="2" t="s">
        <v>5935</v>
      </c>
    </row>
    <row r="573">
      <c r="A573" s="2" t="s">
        <v>6542</v>
      </c>
      <c r="B573" s="3" t="str">
        <f>C573 &amp; ": " &amp; D573</f>
        <v>formula-translates: StepExecutions.IsUncheckedByDesign</v>
      </c>
      <c r="C573" s="2" t="s">
        <v>6038</v>
      </c>
      <c r="D573" s="2" t="s">
        <v>3679</v>
      </c>
      <c r="E573" s="2" t="s">
        <v>1807</v>
      </c>
      <c r="F573" s="2" t="s">
        <v>1413</v>
      </c>
      <c r="G573" s="2" t="s">
        <v>6039</v>
      </c>
      <c r="H573" s="2" t="s">
        <v>2248</v>
      </c>
      <c r="I573" s="2" t="s">
        <v>5920</v>
      </c>
      <c r="J573" s="2" t="s">
        <v>5933</v>
      </c>
      <c r="K573" s="3" t="b">
        <f>J573 = "blocking"</f>
        <v>1</v>
      </c>
      <c r="L573" s="2" t="s">
        <v>1428</v>
      </c>
      <c r="M573" s="2" t="s">
        <v>6040</v>
      </c>
      <c r="N573" s="4">
        <v>46223.1297337963</v>
      </c>
      <c r="O573" s="3" t="b">
        <f>L573 = "PASS"</f>
        <v>1</v>
      </c>
      <c r="P573" s="3" t="b">
        <f>L573 = "FAIL"</f>
        <v>0</v>
      </c>
      <c r="Q573" s="3" t="b">
        <f>AND(P573, K573)</f>
        <v>0</v>
      </c>
      <c r="R573" s="3" t="str">
        <f>IF(O573, I573, "")</f>
        <v>suite-substrate</v>
      </c>
      <c r="S573" s="3" t="str">
        <f>IF(Q573, I573, "")</f>
      </c>
      <c r="T573" s="2" t="s">
        <v>5935</v>
      </c>
    </row>
    <row r="574">
      <c r="A574" s="2" t="s">
        <v>6543</v>
      </c>
      <c r="B574" s="3" t="str">
        <f>C574 &amp; ": " &amp; D574</f>
        <v>formula-translates: StepExecutions.IsVacuouslyClean</v>
      </c>
      <c r="C574" s="2" t="s">
        <v>6038</v>
      </c>
      <c r="D574" s="2" t="s">
        <v>3681</v>
      </c>
      <c r="E574" s="2" t="s">
        <v>1807</v>
      </c>
      <c r="F574" s="2" t="s">
        <v>1414</v>
      </c>
      <c r="G574" s="2" t="s">
        <v>6039</v>
      </c>
      <c r="H574" s="2" t="s">
        <v>2248</v>
      </c>
      <c r="I574" s="2" t="s">
        <v>5920</v>
      </c>
      <c r="J574" s="2" t="s">
        <v>5933</v>
      </c>
      <c r="K574" s="3" t="b">
        <f>J574 = "blocking"</f>
        <v>1</v>
      </c>
      <c r="L574" s="2" t="s">
        <v>1428</v>
      </c>
      <c r="M574" s="2" t="s">
        <v>6040</v>
      </c>
      <c r="N574" s="4">
        <v>46223.1297337963</v>
      </c>
      <c r="O574" s="3" t="b">
        <f>L574 = "PASS"</f>
        <v>1</v>
      </c>
      <c r="P574" s="3" t="b">
        <f>L574 = "FAIL"</f>
        <v>0</v>
      </c>
      <c r="Q574" s="3" t="b">
        <f>AND(P574, K574)</f>
        <v>0</v>
      </c>
      <c r="R574" s="3" t="str">
        <f>IF(O574, I574, "")</f>
        <v>suite-substrate</v>
      </c>
      <c r="S574" s="3" t="str">
        <f>IF(Q574, I574, "")</f>
      </c>
      <c r="T574" s="2" t="s">
        <v>5935</v>
      </c>
    </row>
    <row r="575">
      <c r="A575" s="2" t="s">
        <v>6544</v>
      </c>
      <c r="B575" s="3" t="str">
        <f>C575 &amp; ": " &amp; D575</f>
        <v>formula-translates: StepExecutions.IsSubstantivelyClean</v>
      </c>
      <c r="C575" s="2" t="s">
        <v>6038</v>
      </c>
      <c r="D575" s="2" t="s">
        <v>3683</v>
      </c>
      <c r="E575" s="2" t="s">
        <v>1807</v>
      </c>
      <c r="F575" s="2" t="s">
        <v>1415</v>
      </c>
      <c r="G575" s="2" t="s">
        <v>6039</v>
      </c>
      <c r="H575" s="2" t="s">
        <v>2248</v>
      </c>
      <c r="I575" s="2" t="s">
        <v>5920</v>
      </c>
      <c r="J575" s="2" t="s">
        <v>5933</v>
      </c>
      <c r="K575" s="3" t="b">
        <f>J575 = "blocking"</f>
        <v>1</v>
      </c>
      <c r="L575" s="2" t="s">
        <v>1428</v>
      </c>
      <c r="M575" s="2" t="s">
        <v>6040</v>
      </c>
      <c r="N575" s="4">
        <v>46223.1297337963</v>
      </c>
      <c r="O575" s="3" t="b">
        <f>L575 = "PASS"</f>
        <v>1</v>
      </c>
      <c r="P575" s="3" t="b">
        <f>L575 = "FAIL"</f>
        <v>0</v>
      </c>
      <c r="Q575" s="3" t="b">
        <f>AND(P575, K575)</f>
        <v>0</v>
      </c>
      <c r="R575" s="3" t="str">
        <f>IF(O575, I575, "")</f>
        <v>suite-substrate</v>
      </c>
      <c r="S575" s="3" t="str">
        <f>IF(Q575, I575, "")</f>
      </c>
      <c r="T575" s="2" t="s">
        <v>5935</v>
      </c>
    </row>
    <row r="576">
      <c r="A576" s="2" t="s">
        <v>6545</v>
      </c>
      <c r="B576" s="3" t="str">
        <f>C576 &amp; ": " &amp; D576</f>
        <v>formula-translates: StepExecutions.VacuouslyCleanExecutionKey</v>
      </c>
      <c r="C576" s="2" t="s">
        <v>6038</v>
      </c>
      <c r="D576" s="2" t="s">
        <v>3685</v>
      </c>
      <c r="E576" s="2" t="s">
        <v>1807</v>
      </c>
      <c r="F576" s="2" t="s">
        <v>1416</v>
      </c>
      <c r="G576" s="2" t="s">
        <v>6039</v>
      </c>
      <c r="H576" s="2" t="s">
        <v>2248</v>
      </c>
      <c r="I576" s="2" t="s">
        <v>5920</v>
      </c>
      <c r="J576" s="2" t="s">
        <v>5933</v>
      </c>
      <c r="K576" s="3" t="b">
        <f>J576 = "blocking"</f>
        <v>1</v>
      </c>
      <c r="L576" s="2" t="s">
        <v>1428</v>
      </c>
      <c r="M576" s="2" t="s">
        <v>6040</v>
      </c>
      <c r="N576" s="4">
        <v>46223.1297337963</v>
      </c>
      <c r="O576" s="3" t="b">
        <f>L576 = "PASS"</f>
        <v>1</v>
      </c>
      <c r="P576" s="3" t="b">
        <f>L576 = "FAIL"</f>
        <v>0</v>
      </c>
      <c r="Q576" s="3" t="b">
        <f>AND(P576, K576)</f>
        <v>0</v>
      </c>
      <c r="R576" s="3" t="str">
        <f>IF(O576, I576, "")</f>
        <v>suite-substrate</v>
      </c>
      <c r="S576" s="3" t="str">
        <f>IF(Q576, I576, "")</f>
      </c>
      <c r="T576" s="2" t="s">
        <v>5935</v>
      </c>
    </row>
    <row r="577">
      <c r="A577" s="2" t="s">
        <v>6546</v>
      </c>
      <c r="B577" s="3" t="str">
        <f>C577 &amp; ": " &amp; D577</f>
        <v>formula-translates: StepExecutions.UncorroboratedPassCount</v>
      </c>
      <c r="C577" s="2" t="s">
        <v>6038</v>
      </c>
      <c r="D577" s="2" t="s">
        <v>3687</v>
      </c>
      <c r="E577" s="2" t="s">
        <v>1807</v>
      </c>
      <c r="F577" s="2" t="s">
        <v>1417</v>
      </c>
      <c r="G577" s="2" t="s">
        <v>6039</v>
      </c>
      <c r="H577" s="2" t="s">
        <v>2252</v>
      </c>
      <c r="I577" s="2" t="s">
        <v>5920</v>
      </c>
      <c r="J577" s="2" t="s">
        <v>5933</v>
      </c>
      <c r="K577" s="3" t="b">
        <f>J577 = "blocking"</f>
        <v>1</v>
      </c>
      <c r="L577" s="2" t="s">
        <v>1428</v>
      </c>
      <c r="M577" s="2" t="s">
        <v>6040</v>
      </c>
      <c r="N577" s="4">
        <v>46223.1297337963</v>
      </c>
      <c r="O577" s="3" t="b">
        <f>L577 = "PASS"</f>
        <v>1</v>
      </c>
      <c r="P577" s="3" t="b">
        <f>L577 = "FAIL"</f>
        <v>0</v>
      </c>
      <c r="Q577" s="3" t="b">
        <f>AND(P577, K577)</f>
        <v>0</v>
      </c>
      <c r="R577" s="3" t="str">
        <f>IF(O577, I577, "")</f>
        <v>suite-substrate</v>
      </c>
      <c r="S577" s="3" t="str">
        <f>IF(Q577, I577, "")</f>
      </c>
      <c r="T577" s="2" t="s">
        <v>5935</v>
      </c>
    </row>
    <row r="578">
      <c r="A578" s="2" t="s">
        <v>6547</v>
      </c>
      <c r="B578" s="3" t="str">
        <f>C578 &amp; ": " &amp; D578</f>
        <v>formula-translates: StepExecutions.EvidencePositionIsWeak</v>
      </c>
      <c r="C578" s="2" t="s">
        <v>6038</v>
      </c>
      <c r="D578" s="2" t="s">
        <v>3689</v>
      </c>
      <c r="E578" s="2" t="s">
        <v>1807</v>
      </c>
      <c r="F578" s="2" t="s">
        <v>1418</v>
      </c>
      <c r="G578" s="2" t="s">
        <v>6039</v>
      </c>
      <c r="H578" s="2" t="s">
        <v>2252</v>
      </c>
      <c r="I578" s="2" t="s">
        <v>5920</v>
      </c>
      <c r="J578" s="2" t="s">
        <v>5933</v>
      </c>
      <c r="K578" s="3" t="b">
        <f>J578 = "blocking"</f>
        <v>1</v>
      </c>
      <c r="L578" s="2" t="s">
        <v>1428</v>
      </c>
      <c r="M578" s="2" t="s">
        <v>6040</v>
      </c>
      <c r="N578" s="4">
        <v>46223.1297337963</v>
      </c>
      <c r="O578" s="3" t="b">
        <f>L578 = "PASS"</f>
        <v>1</v>
      </c>
      <c r="P578" s="3" t="b">
        <f>L578 = "FAIL"</f>
        <v>0</v>
      </c>
      <c r="Q578" s="3" t="b">
        <f>AND(P578, K578)</f>
        <v>0</v>
      </c>
      <c r="R578" s="3" t="str">
        <f>IF(O578, I578, "")</f>
        <v>suite-substrate</v>
      </c>
      <c r="S578" s="3" t="str">
        <f>IF(Q578, I578, "")</f>
      </c>
      <c r="T578" s="2" t="s">
        <v>5935</v>
      </c>
    </row>
    <row r="579">
      <c r="A579" s="2" t="s">
        <v>6548</v>
      </c>
      <c r="B579" s="3" t="str">
        <f>C579 &amp; ": " &amp; D579</f>
        <v>formula-translates: StepExecutions.PreparationExecutionKey</v>
      </c>
      <c r="C579" s="2" t="s">
        <v>6038</v>
      </c>
      <c r="D579" s="2" t="s">
        <v>3691</v>
      </c>
      <c r="E579" s="2" t="s">
        <v>1807</v>
      </c>
      <c r="F579" s="2" t="s">
        <v>1419</v>
      </c>
      <c r="G579" s="2" t="s">
        <v>6039</v>
      </c>
      <c r="H579" s="2" t="s">
        <v>2264</v>
      </c>
      <c r="I579" s="2" t="s">
        <v>5920</v>
      </c>
      <c r="J579" s="2" t="s">
        <v>5933</v>
      </c>
      <c r="K579" s="3" t="b">
        <f>J579 = "blocking"</f>
        <v>1</v>
      </c>
      <c r="L579" s="2" t="s">
        <v>1428</v>
      </c>
      <c r="M579" s="2" t="s">
        <v>6040</v>
      </c>
      <c r="N579" s="4">
        <v>46223.1297337963</v>
      </c>
      <c r="O579" s="3" t="b">
        <f>L579 = "PASS"</f>
        <v>1</v>
      </c>
      <c r="P579" s="3" t="b">
        <f>L579 = "FAIL"</f>
        <v>0</v>
      </c>
      <c r="Q579" s="3" t="b">
        <f>AND(P579, K579)</f>
        <v>0</v>
      </c>
      <c r="R579" s="3" t="str">
        <f>IF(O579, I579, "")</f>
        <v>suite-substrate</v>
      </c>
      <c r="S579" s="3" t="str">
        <f>IF(Q579, I579, "")</f>
      </c>
      <c r="T579" s="2" t="s">
        <v>5935</v>
      </c>
    </row>
    <row r="580">
      <c r="A580" s="2" t="s">
        <v>6549</v>
      </c>
      <c r="B580" s="3" t="str">
        <f>C580 &amp; ": " &amp; D580</f>
        <v>formula-translates: StepExecutions.ApprovalExecutionKey</v>
      </c>
      <c r="C580" s="2" t="s">
        <v>6038</v>
      </c>
      <c r="D580" s="2" t="s">
        <v>3693</v>
      </c>
      <c r="E580" s="2" t="s">
        <v>1807</v>
      </c>
      <c r="F580" s="2" t="s">
        <v>1420</v>
      </c>
      <c r="G580" s="2" t="s">
        <v>6039</v>
      </c>
      <c r="H580" s="2" t="s">
        <v>2264</v>
      </c>
      <c r="I580" s="2" t="s">
        <v>5920</v>
      </c>
      <c r="J580" s="2" t="s">
        <v>5933</v>
      </c>
      <c r="K580" s="3" t="b">
        <f>J580 = "blocking"</f>
        <v>1</v>
      </c>
      <c r="L580" s="2" t="s">
        <v>1428</v>
      </c>
      <c r="M580" s="2" t="s">
        <v>6040</v>
      </c>
      <c r="N580" s="4">
        <v>46223.1297337963</v>
      </c>
      <c r="O580" s="3" t="b">
        <f>L580 = "PASS"</f>
        <v>1</v>
      </c>
      <c r="P580" s="3" t="b">
        <f>L580 = "FAIL"</f>
        <v>0</v>
      </c>
      <c r="Q580" s="3" t="b">
        <f>AND(P580, K580)</f>
        <v>0</v>
      </c>
      <c r="R580" s="3" t="str">
        <f>IF(O580, I580, "")</f>
        <v>suite-substrate</v>
      </c>
      <c r="S580" s="3" t="str">
        <f>IF(Q580, I580, "")</f>
      </c>
      <c r="T580" s="2" t="s">
        <v>5935</v>
      </c>
    </row>
    <row r="581">
      <c r="A581" s="2" t="s">
        <v>6550</v>
      </c>
      <c r="B581" s="3" t="str">
        <f>C581 &amp; ": " &amp; D581</f>
        <v>formula-translates: StepExecutions.HasGoverningInstrument</v>
      </c>
      <c r="C581" s="2" t="s">
        <v>6038</v>
      </c>
      <c r="D581" s="2" t="s">
        <v>3695</v>
      </c>
      <c r="E581" s="2" t="s">
        <v>1807</v>
      </c>
      <c r="F581" s="2" t="s">
        <v>1421</v>
      </c>
      <c r="G581" s="2" t="s">
        <v>6039</v>
      </c>
      <c r="H581" s="2" t="s">
        <v>2272</v>
      </c>
      <c r="I581" s="2" t="s">
        <v>5920</v>
      </c>
      <c r="J581" s="2" t="s">
        <v>5933</v>
      </c>
      <c r="K581" s="3" t="b">
        <f>J581 = "blocking"</f>
        <v>1</v>
      </c>
      <c r="L581" s="2" t="s">
        <v>1428</v>
      </c>
      <c r="M581" s="2" t="s">
        <v>6040</v>
      </c>
      <c r="N581" s="4">
        <v>46223.1297337963</v>
      </c>
      <c r="O581" s="3" t="b">
        <f>L581 = "PASS"</f>
        <v>1</v>
      </c>
      <c r="P581" s="3" t="b">
        <f>L581 = "FAIL"</f>
        <v>0</v>
      </c>
      <c r="Q581" s="3" t="b">
        <f>AND(P581, K581)</f>
        <v>0</v>
      </c>
      <c r="R581" s="3" t="str">
        <f>IF(O581, I581, "")</f>
        <v>suite-substrate</v>
      </c>
      <c r="S581" s="3" t="str">
        <f>IF(Q581, I581, "")</f>
      </c>
      <c r="T581" s="2" t="s">
        <v>5935</v>
      </c>
    </row>
    <row r="582">
      <c r="A582" s="2" t="s">
        <v>6551</v>
      </c>
      <c r="B582" s="3" t="str">
        <f>C582 &amp; ": " &amp; D582</f>
        <v>formula-translates: StepExecutions.HasApprovedChangeCoverage</v>
      </c>
      <c r="C582" s="2" t="s">
        <v>6038</v>
      </c>
      <c r="D582" s="2" t="s">
        <v>3697</v>
      </c>
      <c r="E582" s="2" t="s">
        <v>1807</v>
      </c>
      <c r="F582" s="2" t="s">
        <v>1422</v>
      </c>
      <c r="G582" s="2" t="s">
        <v>6039</v>
      </c>
      <c r="H582" s="2" t="s">
        <v>2272</v>
      </c>
      <c r="I582" s="2" t="s">
        <v>5920</v>
      </c>
      <c r="J582" s="2" t="s">
        <v>5933</v>
      </c>
      <c r="K582" s="3" t="b">
        <f>J582 = "blocking"</f>
        <v>1</v>
      </c>
      <c r="L582" s="2" t="s">
        <v>1428</v>
      </c>
      <c r="M582" s="2" t="s">
        <v>6040</v>
      </c>
      <c r="N582" s="4">
        <v>46223.1297337963</v>
      </c>
      <c r="O582" s="3" t="b">
        <f>L582 = "PASS"</f>
        <v>1</v>
      </c>
      <c r="P582" s="3" t="b">
        <f>L582 = "FAIL"</f>
        <v>0</v>
      </c>
      <c r="Q582" s="3" t="b">
        <f>AND(P582, K582)</f>
        <v>0</v>
      </c>
      <c r="R582" s="3" t="str">
        <f>IF(O582, I582, "")</f>
        <v>suite-substrate</v>
      </c>
      <c r="S582" s="3" t="str">
        <f>IF(Q582, I582, "")</f>
      </c>
      <c r="T582" s="2" t="s">
        <v>5935</v>
      </c>
    </row>
    <row r="583">
      <c r="A583" s="2" t="s">
        <v>6552</v>
      </c>
      <c r="B583" s="3" t="str">
        <f>C583 &amp; ": " &amp; D583</f>
        <v>formula-translates: StepExecutions.VersionOfStep</v>
      </c>
      <c r="C583" s="2" t="s">
        <v>6038</v>
      </c>
      <c r="D583" s="2" t="s">
        <v>3699</v>
      </c>
      <c r="E583" s="2" t="s">
        <v>1807</v>
      </c>
      <c r="F583" s="2" t="s">
        <v>1423</v>
      </c>
      <c r="G583" s="2" t="s">
        <v>6039</v>
      </c>
      <c r="H583" s="2" t="s">
        <v>2272</v>
      </c>
      <c r="I583" s="2" t="s">
        <v>5920</v>
      </c>
      <c r="J583" s="2" t="s">
        <v>5933</v>
      </c>
      <c r="K583" s="3" t="b">
        <f>J583 = "blocking"</f>
        <v>1</v>
      </c>
      <c r="L583" s="2" t="s">
        <v>1428</v>
      </c>
      <c r="M583" s="2" t="s">
        <v>6040</v>
      </c>
      <c r="N583" s="4">
        <v>46223.1297337963</v>
      </c>
      <c r="O583" s="3" t="b">
        <f>L583 = "PASS"</f>
        <v>1</v>
      </c>
      <c r="P583" s="3" t="b">
        <f>L583 = "FAIL"</f>
        <v>0</v>
      </c>
      <c r="Q583" s="3" t="b">
        <f>AND(P583, K583)</f>
        <v>0</v>
      </c>
      <c r="R583" s="3" t="str">
        <f>IF(O583, I583, "")</f>
        <v>suite-substrate</v>
      </c>
      <c r="S583" s="3" t="str">
        <f>IF(Q583, I583, "")</f>
      </c>
      <c r="T583" s="2" t="s">
        <v>5935</v>
      </c>
    </row>
    <row r="584">
      <c r="A584" s="2" t="s">
        <v>6553</v>
      </c>
      <c r="B584" s="3" t="str">
        <f>C584 &amp; ": " &amp; D584</f>
        <v>formula-translates: StepExecutions.IsUngovernedDivergence</v>
      </c>
      <c r="C584" s="2" t="s">
        <v>6038</v>
      </c>
      <c r="D584" s="2" t="s">
        <v>3700</v>
      </c>
      <c r="E584" s="2" t="s">
        <v>1807</v>
      </c>
      <c r="F584" s="2" t="s">
        <v>1424</v>
      </c>
      <c r="G584" s="2" t="s">
        <v>6039</v>
      </c>
      <c r="H584" s="2" t="s">
        <v>2272</v>
      </c>
      <c r="I584" s="2" t="s">
        <v>5920</v>
      </c>
      <c r="J584" s="2" t="s">
        <v>5933</v>
      </c>
      <c r="K584" s="3" t="b">
        <f>J584 = "blocking"</f>
        <v>1</v>
      </c>
      <c r="L584" s="2" t="s">
        <v>1428</v>
      </c>
      <c r="M584" s="2" t="s">
        <v>6040</v>
      </c>
      <c r="N584" s="4">
        <v>46223.1297337963</v>
      </c>
      <c r="O584" s="3" t="b">
        <f>L584 = "PASS"</f>
        <v>1</v>
      </c>
      <c r="P584" s="3" t="b">
        <f>L584 = "FAIL"</f>
        <v>0</v>
      </c>
      <c r="Q584" s="3" t="b">
        <f>AND(P584, K584)</f>
        <v>0</v>
      </c>
      <c r="R584" s="3" t="str">
        <f>IF(O584, I584, "")</f>
        <v>suite-substrate</v>
      </c>
      <c r="S584" s="3" t="str">
        <f>IF(Q584, I584, "")</f>
      </c>
      <c r="T584" s="2" t="s">
        <v>5935</v>
      </c>
    </row>
    <row r="585">
      <c r="A585" s="2" t="s">
        <v>6554</v>
      </c>
      <c r="B585" s="3" t="str">
        <f>C585 &amp; ": " &amp; D585</f>
        <v>formula-translates: StepExecutions.UngovernedDivergenceExecutionKey</v>
      </c>
      <c r="C585" s="2" t="s">
        <v>6038</v>
      </c>
      <c r="D585" s="2" t="s">
        <v>3702</v>
      </c>
      <c r="E585" s="2" t="s">
        <v>1807</v>
      </c>
      <c r="F585" s="2" t="s">
        <v>1425</v>
      </c>
      <c r="G585" s="2" t="s">
        <v>6039</v>
      </c>
      <c r="H585" s="2" t="s">
        <v>2272</v>
      </c>
      <c r="I585" s="2" t="s">
        <v>5920</v>
      </c>
      <c r="J585" s="2" t="s">
        <v>5933</v>
      </c>
      <c r="K585" s="3" t="b">
        <f>J585 = "blocking"</f>
        <v>1</v>
      </c>
      <c r="L585" s="2" t="s">
        <v>1428</v>
      </c>
      <c r="M585" s="2" t="s">
        <v>6040</v>
      </c>
      <c r="N585" s="4">
        <v>46223.1297337963</v>
      </c>
      <c r="O585" s="3" t="b">
        <f>L585 = "PASS"</f>
        <v>1</v>
      </c>
      <c r="P585" s="3" t="b">
        <f>L585 = "FAIL"</f>
        <v>0</v>
      </c>
      <c r="Q585" s="3" t="b">
        <f>AND(P585, K585)</f>
        <v>0</v>
      </c>
      <c r="R585" s="3" t="str">
        <f>IF(O585, I585, "")</f>
        <v>suite-substrate</v>
      </c>
      <c r="S585" s="3" t="str">
        <f>IF(Q585, I585, "")</f>
      </c>
      <c r="T585" s="2" t="s">
        <v>5935</v>
      </c>
    </row>
    <row r="586">
      <c r="A586" s="2" t="s">
        <v>6555</v>
      </c>
      <c r="B586" s="3" t="str">
        <f>C586 &amp; ": " &amp; D586</f>
        <v>formula-translates: StepExecutions.SelfAttestedApprovalExecutionKey</v>
      </c>
      <c r="C586" s="2" t="s">
        <v>6038</v>
      </c>
      <c r="D586" s="2" t="s">
        <v>3704</v>
      </c>
      <c r="E586" s="2" t="s">
        <v>1807</v>
      </c>
      <c r="F586" s="2" t="s">
        <v>1426</v>
      </c>
      <c r="G586" s="2" t="s">
        <v>6039</v>
      </c>
      <c r="H586" s="2" t="s">
        <v>2284</v>
      </c>
      <c r="I586" s="2" t="s">
        <v>5920</v>
      </c>
      <c r="J586" s="2" t="s">
        <v>5933</v>
      </c>
      <c r="K586" s="3" t="b">
        <f>J586 = "blocking"</f>
        <v>1</v>
      </c>
      <c r="L586" s="2" t="s">
        <v>1428</v>
      </c>
      <c r="M586" s="2" t="s">
        <v>6040</v>
      </c>
      <c r="N586" s="4">
        <v>46223.1297337963</v>
      </c>
      <c r="O586" s="3" t="b">
        <f>L586 = "PASS"</f>
        <v>1</v>
      </c>
      <c r="P586" s="3" t="b">
        <f>L586 = "FAIL"</f>
        <v>0</v>
      </c>
      <c r="Q586" s="3" t="b">
        <f>AND(P586, K586)</f>
        <v>0</v>
      </c>
      <c r="R586" s="3" t="str">
        <f>IF(O586, I586, "")</f>
        <v>suite-substrate</v>
      </c>
      <c r="S586" s="3" t="str">
        <f>IF(Q586, I586, "")</f>
      </c>
      <c r="T586" s="2" t="s">
        <v>5935</v>
      </c>
    </row>
    <row r="587">
      <c r="A587" s="2" t="s">
        <v>6556</v>
      </c>
      <c r="B587" s="3" t="str">
        <f>C587 &amp; ": " &amp; D587</f>
        <v>formula-translates: RequirementSatisfactions.Name</v>
      </c>
      <c r="C587" s="2" t="s">
        <v>6038</v>
      </c>
      <c r="D587" s="2" t="s">
        <v>3708</v>
      </c>
      <c r="E587" s="2" t="s">
        <v>1810</v>
      </c>
      <c r="F587" s="2" t="s">
        <v>1</v>
      </c>
      <c r="G587" s="2" t="s">
        <v>6039</v>
      </c>
      <c r="H587" s="2"/>
      <c r="I587" s="2" t="s">
        <v>5920</v>
      </c>
      <c r="J587" s="2" t="s">
        <v>5933</v>
      </c>
      <c r="K587" s="3" t="b">
        <f>J587 = "blocking"</f>
        <v>1</v>
      </c>
      <c r="L587" s="2" t="s">
        <v>1428</v>
      </c>
      <c r="M587" s="2" t="s">
        <v>6040</v>
      </c>
      <c r="N587" s="4">
        <v>46223.1297337963</v>
      </c>
      <c r="O587" s="3" t="b">
        <f>L587 = "PASS"</f>
        <v>1</v>
      </c>
      <c r="P587" s="3" t="b">
        <f>L587 = "FAIL"</f>
        <v>0</v>
      </c>
      <c r="Q587" s="3" t="b">
        <f>AND(P587, K587)</f>
        <v>0</v>
      </c>
      <c r="R587" s="3" t="str">
        <f>IF(O587, I587, "")</f>
        <v>suite-substrate</v>
      </c>
      <c r="S587" s="3" t="str">
        <f>IF(Q587, I587, "")</f>
      </c>
      <c r="T587" s="2" t="s">
        <v>5935</v>
      </c>
    </row>
    <row r="588">
      <c r="A588" s="2" t="s">
        <v>6557</v>
      </c>
      <c r="B588" s="3" t="str">
        <f>C588 &amp; ": " &amp; D588</f>
        <v>formula-translates: RequirementSatisfactions.RequirementIsBlocking</v>
      </c>
      <c r="C588" s="2" t="s">
        <v>6038</v>
      </c>
      <c r="D588" s="2" t="s">
        <v>3716</v>
      </c>
      <c r="E588" s="2" t="s">
        <v>1810</v>
      </c>
      <c r="F588" s="2" t="s">
        <v>895</v>
      </c>
      <c r="G588" s="2" t="s">
        <v>6039</v>
      </c>
      <c r="H588" s="2" t="s">
        <v>1935</v>
      </c>
      <c r="I588" s="2" t="s">
        <v>5920</v>
      </c>
      <c r="J588" s="2" t="s">
        <v>5933</v>
      </c>
      <c r="K588" s="3" t="b">
        <f>J588 = "blocking"</f>
        <v>1</v>
      </c>
      <c r="L588" s="2" t="s">
        <v>1428</v>
      </c>
      <c r="M588" s="2" t="s">
        <v>6040</v>
      </c>
      <c r="N588" s="4">
        <v>46223.1297337963</v>
      </c>
      <c r="O588" s="3" t="b">
        <f>L588 = "PASS"</f>
        <v>1</v>
      </c>
      <c r="P588" s="3" t="b">
        <f>L588 = "FAIL"</f>
        <v>0</v>
      </c>
      <c r="Q588" s="3" t="b">
        <f>AND(P588, K588)</f>
        <v>0</v>
      </c>
      <c r="R588" s="3" t="str">
        <f>IF(O588, I588, "")</f>
        <v>suite-substrate</v>
      </c>
      <c r="S588" s="3" t="str">
        <f>IF(Q588, I588, "")</f>
      </c>
      <c r="T588" s="2" t="s">
        <v>5935</v>
      </c>
    </row>
    <row r="589">
      <c r="A589" s="2" t="s">
        <v>6558</v>
      </c>
      <c r="B589" s="3" t="str">
        <f>C589 &amp; ": " &amp; D589</f>
        <v>formula-translates: RequirementSatisfactions.IsFullySatisfied</v>
      </c>
      <c r="C589" s="2" t="s">
        <v>6038</v>
      </c>
      <c r="D589" s="2" t="s">
        <v>3717</v>
      </c>
      <c r="E589" s="2" t="s">
        <v>1810</v>
      </c>
      <c r="F589" s="2" t="s">
        <v>1452</v>
      </c>
      <c r="G589" s="2" t="s">
        <v>6039</v>
      </c>
      <c r="H589" s="2" t="s">
        <v>1935</v>
      </c>
      <c r="I589" s="2" t="s">
        <v>5920</v>
      </c>
      <c r="J589" s="2" t="s">
        <v>5933</v>
      </c>
      <c r="K589" s="3" t="b">
        <f>J589 = "blocking"</f>
        <v>1</v>
      </c>
      <c r="L589" s="2" t="s">
        <v>1428</v>
      </c>
      <c r="M589" s="2" t="s">
        <v>6040</v>
      </c>
      <c r="N589" s="4">
        <v>46223.1297337963</v>
      </c>
      <c r="O589" s="3" t="b">
        <f>L589 = "PASS"</f>
        <v>1</v>
      </c>
      <c r="P589" s="3" t="b">
        <f>L589 = "FAIL"</f>
        <v>0</v>
      </c>
      <c r="Q589" s="3" t="b">
        <f>AND(P589, K589)</f>
        <v>0</v>
      </c>
      <c r="R589" s="3" t="str">
        <f>IF(O589, I589, "")</f>
        <v>suite-substrate</v>
      </c>
      <c r="S589" s="3" t="str">
        <f>IF(Q589, I589, "")</f>
      </c>
      <c r="T589" s="2" t="s">
        <v>5935</v>
      </c>
    </row>
    <row r="590">
      <c r="A590" s="2" t="s">
        <v>6559</v>
      </c>
      <c r="B590" s="3" t="str">
        <f>C590 &amp; ": " &amp; D590</f>
        <v>formula-translates: RequirementSatisfactions.IsBlockingAndUnmet</v>
      </c>
      <c r="C590" s="2" t="s">
        <v>6038</v>
      </c>
      <c r="D590" s="2" t="s">
        <v>845</v>
      </c>
      <c r="E590" s="2" t="s">
        <v>1810</v>
      </c>
      <c r="F590" s="2" t="s">
        <v>1453</v>
      </c>
      <c r="G590" s="2" t="s">
        <v>6039</v>
      </c>
      <c r="H590" s="2" t="s">
        <v>1935</v>
      </c>
      <c r="I590" s="2" t="s">
        <v>5920</v>
      </c>
      <c r="J590" s="2" t="s">
        <v>5933</v>
      </c>
      <c r="K590" s="3" t="b">
        <f>J590 = "blocking"</f>
        <v>1</v>
      </c>
      <c r="L590" s="2" t="s">
        <v>1428</v>
      </c>
      <c r="M590" s="2" t="s">
        <v>6040</v>
      </c>
      <c r="N590" s="4">
        <v>46223.1297337963</v>
      </c>
      <c r="O590" s="3" t="b">
        <f>L590 = "PASS"</f>
        <v>1</v>
      </c>
      <c r="P590" s="3" t="b">
        <f>L590 = "FAIL"</f>
        <v>0</v>
      </c>
      <c r="Q590" s="3" t="b">
        <f>AND(P590, K590)</f>
        <v>0</v>
      </c>
      <c r="R590" s="3" t="str">
        <f>IF(O590, I590, "")</f>
        <v>suite-substrate</v>
      </c>
      <c r="S590" s="3" t="str">
        <f>IF(Q590, I590, "")</f>
      </c>
      <c r="T590" s="2" t="s">
        <v>5935</v>
      </c>
    </row>
    <row r="591">
      <c r="A591" s="2" t="s">
        <v>6560</v>
      </c>
      <c r="B591" s="3" t="str">
        <f>C591 &amp; ": " &amp; D591</f>
        <v>formula-translates: RequirementSatisfactions.BlockingUnmetStepKey</v>
      </c>
      <c r="C591" s="2" t="s">
        <v>6038</v>
      </c>
      <c r="D591" s="2" t="s">
        <v>3720</v>
      </c>
      <c r="E591" s="2" t="s">
        <v>1810</v>
      </c>
      <c r="F591" s="2" t="s">
        <v>1454</v>
      </c>
      <c r="G591" s="2" t="s">
        <v>6039</v>
      </c>
      <c r="H591" s="2" t="s">
        <v>1935</v>
      </c>
      <c r="I591" s="2" t="s">
        <v>5920</v>
      </c>
      <c r="J591" s="2" t="s">
        <v>5933</v>
      </c>
      <c r="K591" s="3" t="b">
        <f>J591 = "blocking"</f>
        <v>1</v>
      </c>
      <c r="L591" s="2" t="s">
        <v>1428</v>
      </c>
      <c r="M591" s="2" t="s">
        <v>6040</v>
      </c>
      <c r="N591" s="4">
        <v>46223.1297337963</v>
      </c>
      <c r="O591" s="3" t="b">
        <f>L591 = "PASS"</f>
        <v>1</v>
      </c>
      <c r="P591" s="3" t="b">
        <f>L591 = "FAIL"</f>
        <v>0</v>
      </c>
      <c r="Q591" s="3" t="b">
        <f>AND(P591, K591)</f>
        <v>0</v>
      </c>
      <c r="R591" s="3" t="str">
        <f>IF(O591, I591, "")</f>
        <v>suite-substrate</v>
      </c>
      <c r="S591" s="3" t="str">
        <f>IF(Q591, I591, "")</f>
      </c>
      <c r="T591" s="2" t="s">
        <v>5935</v>
      </c>
    </row>
    <row r="592">
      <c r="A592" s="2" t="s">
        <v>6561</v>
      </c>
      <c r="B592" s="3" t="str">
        <f>C592 &amp; ": " &amp; D592</f>
        <v>formula-translates: RequirementSatisfactions.BlockingSatisfactionStepKey</v>
      </c>
      <c r="C592" s="2" t="s">
        <v>6038</v>
      </c>
      <c r="D592" s="2" t="s">
        <v>3722</v>
      </c>
      <c r="E592" s="2" t="s">
        <v>1810</v>
      </c>
      <c r="F592" s="2" t="s">
        <v>1455</v>
      </c>
      <c r="G592" s="2" t="s">
        <v>6039</v>
      </c>
      <c r="H592" s="2" t="s">
        <v>1940</v>
      </c>
      <c r="I592" s="2" t="s">
        <v>5920</v>
      </c>
      <c r="J592" s="2" t="s">
        <v>5933</v>
      </c>
      <c r="K592" s="3" t="b">
        <f>J592 = "blocking"</f>
        <v>1</v>
      </c>
      <c r="L592" s="2" t="s">
        <v>1428</v>
      </c>
      <c r="M592" s="2" t="s">
        <v>6040</v>
      </c>
      <c r="N592" s="4">
        <v>46223.1297337963</v>
      </c>
      <c r="O592" s="3" t="b">
        <f>L592 = "PASS"</f>
        <v>1</v>
      </c>
      <c r="P592" s="3" t="b">
        <f>L592 = "FAIL"</f>
        <v>0</v>
      </c>
      <c r="Q592" s="3" t="b">
        <f>AND(P592, K592)</f>
        <v>0</v>
      </c>
      <c r="R592" s="3" t="str">
        <f>IF(O592, I592, "")</f>
        <v>suite-substrate</v>
      </c>
      <c r="S592" s="3" t="str">
        <f>IF(Q592, I592, "")</f>
      </c>
      <c r="T592" s="2" t="s">
        <v>5935</v>
      </c>
    </row>
    <row r="593">
      <c r="A593" s="2" t="s">
        <v>6562</v>
      </c>
      <c r="B593" s="3" t="str">
        <f>C593 &amp; ": " &amp; D593</f>
        <v>formula-translates: RequirementSatisfactions.NegativeOutcomeRequirementKey</v>
      </c>
      <c r="C593" s="2" t="s">
        <v>6038</v>
      </c>
      <c r="D593" s="2" t="s">
        <v>3724</v>
      </c>
      <c r="E593" s="2" t="s">
        <v>1810</v>
      </c>
      <c r="F593" s="2" t="s">
        <v>1456</v>
      </c>
      <c r="G593" s="2" t="s">
        <v>6039</v>
      </c>
      <c r="H593" s="2" t="s">
        <v>1964</v>
      </c>
      <c r="I593" s="2" t="s">
        <v>5920</v>
      </c>
      <c r="J593" s="2" t="s">
        <v>5933</v>
      </c>
      <c r="K593" s="3" t="b">
        <f>J593 = "blocking"</f>
        <v>1</v>
      </c>
      <c r="L593" s="2" t="s">
        <v>1428</v>
      </c>
      <c r="M593" s="2" t="s">
        <v>6040</v>
      </c>
      <c r="N593" s="4">
        <v>46223.1297337963</v>
      </c>
      <c r="O593" s="3" t="b">
        <f>L593 = "PASS"</f>
        <v>1</v>
      </c>
      <c r="P593" s="3" t="b">
        <f>L593 = "FAIL"</f>
        <v>0</v>
      </c>
      <c r="Q593" s="3" t="b">
        <f>AND(P593, K593)</f>
        <v>0</v>
      </c>
      <c r="R593" s="3" t="str">
        <f>IF(O593, I593, "")</f>
        <v>suite-substrate</v>
      </c>
      <c r="S593" s="3" t="str">
        <f>IF(Q593, I593, "")</f>
      </c>
      <c r="T593" s="2" t="s">
        <v>5935</v>
      </c>
    </row>
    <row r="594">
      <c r="A594" s="2" t="s">
        <v>6563</v>
      </c>
      <c r="B594" s="3" t="str">
        <f>C594 &amp; ": " &amp; D594</f>
        <v>formula-translates: RequirementSatisfactions.EvaluatorAgentKind</v>
      </c>
      <c r="C594" s="2" t="s">
        <v>6038</v>
      </c>
      <c r="D594" s="2" t="s">
        <v>3726</v>
      </c>
      <c r="E594" s="2" t="s">
        <v>1810</v>
      </c>
      <c r="F594" s="2" t="s">
        <v>1457</v>
      </c>
      <c r="G594" s="2" t="s">
        <v>6039</v>
      </c>
      <c r="H594" s="2" t="s">
        <v>1972</v>
      </c>
      <c r="I594" s="2" t="s">
        <v>5920</v>
      </c>
      <c r="J594" s="2" t="s">
        <v>5933</v>
      </c>
      <c r="K594" s="3" t="b">
        <f>J594 = "blocking"</f>
        <v>1</v>
      </c>
      <c r="L594" s="2" t="s">
        <v>1428</v>
      </c>
      <c r="M594" s="2" t="s">
        <v>6040</v>
      </c>
      <c r="N594" s="4">
        <v>46223.1297337963</v>
      </c>
      <c r="O594" s="3" t="b">
        <f>L594 = "PASS"</f>
        <v>1</v>
      </c>
      <c r="P594" s="3" t="b">
        <f>L594 = "FAIL"</f>
        <v>0</v>
      </c>
      <c r="Q594" s="3" t="b">
        <f>AND(P594, K594)</f>
        <v>0</v>
      </c>
      <c r="R594" s="3" t="str">
        <f>IF(O594, I594, "")</f>
        <v>suite-substrate</v>
      </c>
      <c r="S594" s="3" t="str">
        <f>IF(Q594, I594, "")</f>
      </c>
      <c r="T594" s="2" t="s">
        <v>5935</v>
      </c>
    </row>
    <row r="595">
      <c r="A595" s="2" t="s">
        <v>6564</v>
      </c>
      <c r="B595" s="3" t="str">
        <f>C595 &amp; ": " &amp; D595</f>
        <v>formula-translates: RequirementSatisfactions.NonHumanEvaluatedHumanControl</v>
      </c>
      <c r="C595" s="2" t="s">
        <v>6038</v>
      </c>
      <c r="D595" s="2" t="s">
        <v>3728</v>
      </c>
      <c r="E595" s="2" t="s">
        <v>1810</v>
      </c>
      <c r="F595" s="2" t="s">
        <v>1458</v>
      </c>
      <c r="G595" s="2" t="s">
        <v>6039</v>
      </c>
      <c r="H595" s="2" t="s">
        <v>1972</v>
      </c>
      <c r="I595" s="2" t="s">
        <v>5920</v>
      </c>
      <c r="J595" s="2" t="s">
        <v>5933</v>
      </c>
      <c r="K595" s="3" t="b">
        <f>J595 = "blocking"</f>
        <v>1</v>
      </c>
      <c r="L595" s="2" t="s">
        <v>1428</v>
      </c>
      <c r="M595" s="2" t="s">
        <v>6040</v>
      </c>
      <c r="N595" s="4">
        <v>46223.1297337963</v>
      </c>
      <c r="O595" s="3" t="b">
        <f>L595 = "PASS"</f>
        <v>1</v>
      </c>
      <c r="P595" s="3" t="b">
        <f>L595 = "FAIL"</f>
        <v>0</v>
      </c>
      <c r="Q595" s="3" t="b">
        <f>AND(P595, K595)</f>
        <v>0</v>
      </c>
      <c r="R595" s="3" t="str">
        <f>IF(O595, I595, "")</f>
        <v>suite-substrate</v>
      </c>
      <c r="S595" s="3" t="str">
        <f>IF(Q595, I595, "")</f>
      </c>
      <c r="T595" s="2" t="s">
        <v>5935</v>
      </c>
    </row>
    <row r="596">
      <c r="A596" s="2" t="s">
        <v>6565</v>
      </c>
      <c r="B596" s="3" t="str">
        <f>C596 &amp; ": " &amp; D596</f>
        <v>formula-translates: RequirementSatisfactions.RequirementHasComputedWitness</v>
      </c>
      <c r="C596" s="2" t="s">
        <v>6038</v>
      </c>
      <c r="D596" s="2" t="s">
        <v>3730</v>
      </c>
      <c r="E596" s="2" t="s">
        <v>1810</v>
      </c>
      <c r="F596" s="2" t="s">
        <v>1459</v>
      </c>
      <c r="G596" s="2" t="s">
        <v>6039</v>
      </c>
      <c r="H596" s="2" t="s">
        <v>1992</v>
      </c>
      <c r="I596" s="2" t="s">
        <v>5920</v>
      </c>
      <c r="J596" s="2" t="s">
        <v>5933</v>
      </c>
      <c r="K596" s="3" t="b">
        <f>J596 = "blocking"</f>
        <v>1</v>
      </c>
      <c r="L596" s="2" t="s">
        <v>1428</v>
      </c>
      <c r="M596" s="2" t="s">
        <v>6040</v>
      </c>
      <c r="N596" s="4">
        <v>46223.1297337963</v>
      </c>
      <c r="O596" s="3" t="b">
        <f>L596 = "PASS"</f>
        <v>1</v>
      </c>
      <c r="P596" s="3" t="b">
        <f>L596 = "FAIL"</f>
        <v>0</v>
      </c>
      <c r="Q596" s="3" t="b">
        <f>AND(P596, K596)</f>
        <v>0</v>
      </c>
      <c r="R596" s="3" t="str">
        <f>IF(O596, I596, "")</f>
        <v>suite-substrate</v>
      </c>
      <c r="S596" s="3" t="str">
        <f>IF(Q596, I596, "")</f>
      </c>
      <c r="T596" s="2" t="s">
        <v>5935</v>
      </c>
    </row>
    <row r="597">
      <c r="A597" s="2" t="s">
        <v>6566</v>
      </c>
      <c r="B597" s="3" t="str">
        <f>C597 &amp; ": " &amp; D597</f>
        <v>formula-translates: RequirementSatisfactions.IsAssertedOnly</v>
      </c>
      <c r="C597" s="2" t="s">
        <v>6038</v>
      </c>
      <c r="D597" s="2" t="s">
        <v>3732</v>
      </c>
      <c r="E597" s="2" t="s">
        <v>1810</v>
      </c>
      <c r="F597" s="2" t="s">
        <v>1460</v>
      </c>
      <c r="G597" s="2" t="s">
        <v>6039</v>
      </c>
      <c r="H597" s="2" t="s">
        <v>1992</v>
      </c>
      <c r="I597" s="2" t="s">
        <v>5920</v>
      </c>
      <c r="J597" s="2" t="s">
        <v>5933</v>
      </c>
      <c r="K597" s="3" t="b">
        <f>J597 = "blocking"</f>
        <v>1</v>
      </c>
      <c r="L597" s="2" t="s">
        <v>1428</v>
      </c>
      <c r="M597" s="2" t="s">
        <v>6040</v>
      </c>
      <c r="N597" s="4">
        <v>46223.1297337963</v>
      </c>
      <c r="O597" s="3" t="b">
        <f>L597 = "PASS"</f>
        <v>1</v>
      </c>
      <c r="P597" s="3" t="b">
        <f>L597 = "FAIL"</f>
        <v>0</v>
      </c>
      <c r="Q597" s="3" t="b">
        <f>AND(P597, K597)</f>
        <v>0</v>
      </c>
      <c r="R597" s="3" t="str">
        <f>IF(O597, I597, "")</f>
        <v>suite-substrate</v>
      </c>
      <c r="S597" s="3" t="str">
        <f>IF(Q597, I597, "")</f>
      </c>
      <c r="T597" s="2" t="s">
        <v>5935</v>
      </c>
    </row>
    <row r="598">
      <c r="A598" s="2" t="s">
        <v>6567</v>
      </c>
      <c r="B598" s="3" t="str">
        <f>C598 &amp; ": " &amp; D598</f>
        <v>formula-translates: RequirementSatisfactions.AssertedOnlyExecutionKey</v>
      </c>
      <c r="C598" s="2" t="s">
        <v>6038</v>
      </c>
      <c r="D598" s="2" t="s">
        <v>3734</v>
      </c>
      <c r="E598" s="2" t="s">
        <v>1810</v>
      </c>
      <c r="F598" s="2" t="s">
        <v>1461</v>
      </c>
      <c r="G598" s="2" t="s">
        <v>6039</v>
      </c>
      <c r="H598" s="2" t="s">
        <v>1992</v>
      </c>
      <c r="I598" s="2" t="s">
        <v>5920</v>
      </c>
      <c r="J598" s="2" t="s">
        <v>5933</v>
      </c>
      <c r="K598" s="3" t="b">
        <f>J598 = "blocking"</f>
        <v>1</v>
      </c>
      <c r="L598" s="2" t="s">
        <v>1428</v>
      </c>
      <c r="M598" s="2" t="s">
        <v>6040</v>
      </c>
      <c r="N598" s="4">
        <v>46223.1297337963</v>
      </c>
      <c r="O598" s="3" t="b">
        <f>L598 = "PASS"</f>
        <v>1</v>
      </c>
      <c r="P598" s="3" t="b">
        <f>L598 = "FAIL"</f>
        <v>0</v>
      </c>
      <c r="Q598" s="3" t="b">
        <f>AND(P598, K598)</f>
        <v>0</v>
      </c>
      <c r="R598" s="3" t="str">
        <f>IF(O598, I598, "")</f>
        <v>suite-substrate</v>
      </c>
      <c r="S598" s="3" t="str">
        <f>IF(Q598, I598, "")</f>
      </c>
      <c r="T598" s="2" t="s">
        <v>5935</v>
      </c>
    </row>
    <row r="599">
      <c r="A599" s="2" t="s">
        <v>6568</v>
      </c>
      <c r="B599" s="3" t="str">
        <f>C599 &amp; ": " &amp; D599</f>
        <v>formula-translates: RequirementSatisfactions.ParentProcedureExecution</v>
      </c>
      <c r="C599" s="2" t="s">
        <v>6038</v>
      </c>
      <c r="D599" s="2" t="s">
        <v>3736</v>
      </c>
      <c r="E599" s="2" t="s">
        <v>1810</v>
      </c>
      <c r="F599" s="2" t="s">
        <v>1462</v>
      </c>
      <c r="G599" s="2" t="s">
        <v>6039</v>
      </c>
      <c r="H599" s="2" t="s">
        <v>1992</v>
      </c>
      <c r="I599" s="2" t="s">
        <v>5920</v>
      </c>
      <c r="J599" s="2" t="s">
        <v>5933</v>
      </c>
      <c r="K599" s="3" t="b">
        <f>J599 = "blocking"</f>
        <v>1</v>
      </c>
      <c r="L599" s="2" t="s">
        <v>1428</v>
      </c>
      <c r="M599" s="2" t="s">
        <v>6040</v>
      </c>
      <c r="N599" s="4">
        <v>46223.1297337963</v>
      </c>
      <c r="O599" s="3" t="b">
        <f>L599 = "PASS"</f>
        <v>1</v>
      </c>
      <c r="P599" s="3" t="b">
        <f>L599 = "FAIL"</f>
        <v>0</v>
      </c>
      <c r="Q599" s="3" t="b">
        <f>AND(P599, K599)</f>
        <v>0</v>
      </c>
      <c r="R599" s="3" t="str">
        <f>IF(O599, I599, "")</f>
        <v>suite-substrate</v>
      </c>
      <c r="S599" s="3" t="str">
        <f>IF(Q599, I599, "")</f>
      </c>
      <c r="T599" s="2" t="s">
        <v>5935</v>
      </c>
    </row>
    <row r="600">
      <c r="A600" s="2" t="s">
        <v>6569</v>
      </c>
      <c r="B600" s="3" t="str">
        <f>C600 &amp; ": " &amp; D600</f>
        <v>formula-translates: RequirementSatisfactions.StepExecutionWhenScored</v>
      </c>
      <c r="C600" s="2" t="s">
        <v>6038</v>
      </c>
      <c r="D600" s="2" t="s">
        <v>3738</v>
      </c>
      <c r="E600" s="2" t="s">
        <v>1810</v>
      </c>
      <c r="F600" s="2" t="s">
        <v>1463</v>
      </c>
      <c r="G600" s="2" t="s">
        <v>6039</v>
      </c>
      <c r="H600" s="2" t="s">
        <v>2108</v>
      </c>
      <c r="I600" s="2" t="s">
        <v>5920</v>
      </c>
      <c r="J600" s="2" t="s">
        <v>5933</v>
      </c>
      <c r="K600" s="3" t="b">
        <f>J600 = "blocking"</f>
        <v>1</v>
      </c>
      <c r="L600" s="2" t="s">
        <v>1428</v>
      </c>
      <c r="M600" s="2" t="s">
        <v>6040</v>
      </c>
      <c r="N600" s="4">
        <v>46223.1297337963</v>
      </c>
      <c r="O600" s="3" t="b">
        <f>L600 = "PASS"</f>
        <v>1</v>
      </c>
      <c r="P600" s="3" t="b">
        <f>L600 = "FAIL"</f>
        <v>0</v>
      </c>
      <c r="Q600" s="3" t="b">
        <f>AND(P600, K600)</f>
        <v>0</v>
      </c>
      <c r="R600" s="3" t="str">
        <f>IF(O600, I600, "")</f>
        <v>suite-substrate</v>
      </c>
      <c r="S600" s="3" t="str">
        <f>IF(Q600, I600, "")</f>
      </c>
      <c r="T600" s="2" t="s">
        <v>5935</v>
      </c>
    </row>
    <row r="601">
      <c r="A601" s="2" t="s">
        <v>6570</v>
      </c>
      <c r="B601" s="3" t="str">
        <f>C601 &amp; ": " &amp; D601</f>
        <v>formula-translates: RequirementSatisfactions.IsHumanEvaluated</v>
      </c>
      <c r="C601" s="2" t="s">
        <v>6038</v>
      </c>
      <c r="D601" s="2" t="s">
        <v>3740</v>
      </c>
      <c r="E601" s="2" t="s">
        <v>1810</v>
      </c>
      <c r="F601" s="2" t="s">
        <v>1464</v>
      </c>
      <c r="G601" s="2" t="s">
        <v>6039</v>
      </c>
      <c r="H601" s="2" t="s">
        <v>2172</v>
      </c>
      <c r="I601" s="2" t="s">
        <v>5920</v>
      </c>
      <c r="J601" s="2" t="s">
        <v>5933</v>
      </c>
      <c r="K601" s="3" t="b">
        <f>J601 = "blocking"</f>
        <v>1</v>
      </c>
      <c r="L601" s="2" t="s">
        <v>1428</v>
      </c>
      <c r="M601" s="2" t="s">
        <v>6040</v>
      </c>
      <c r="N601" s="4">
        <v>46223.1297337963</v>
      </c>
      <c r="O601" s="3" t="b">
        <f>L601 = "PASS"</f>
        <v>1</v>
      </c>
      <c r="P601" s="3" t="b">
        <f>L601 = "FAIL"</f>
        <v>0</v>
      </c>
      <c r="Q601" s="3" t="b">
        <f>AND(P601, K601)</f>
        <v>0</v>
      </c>
      <c r="R601" s="3" t="str">
        <f>IF(O601, I601, "")</f>
        <v>suite-substrate</v>
      </c>
      <c r="S601" s="3" t="str">
        <f>IF(Q601, I601, "")</f>
      </c>
      <c r="T601" s="2" t="s">
        <v>5935</v>
      </c>
    </row>
    <row r="602">
      <c r="A602" s="2" t="s">
        <v>6571</v>
      </c>
      <c r="B602" s="3" t="str">
        <f>C602 &amp; ": " &amp; D602</f>
        <v>formula-translates: RequirementSatisfactions.RequirementIsApprovalType</v>
      </c>
      <c r="C602" s="2" t="s">
        <v>6038</v>
      </c>
      <c r="D602" s="2" t="s">
        <v>3742</v>
      </c>
      <c r="E602" s="2" t="s">
        <v>1810</v>
      </c>
      <c r="F602" s="2" t="s">
        <v>1465</v>
      </c>
      <c r="G602" s="2" t="s">
        <v>6039</v>
      </c>
      <c r="H602" s="2" t="s">
        <v>2172</v>
      </c>
      <c r="I602" s="2" t="s">
        <v>5920</v>
      </c>
      <c r="J602" s="2" t="s">
        <v>5933</v>
      </c>
      <c r="K602" s="3" t="b">
        <f>J602 = "blocking"</f>
        <v>1</v>
      </c>
      <c r="L602" s="2" t="s">
        <v>1428</v>
      </c>
      <c r="M602" s="2" t="s">
        <v>6040</v>
      </c>
      <c r="N602" s="4">
        <v>46223.1297337963</v>
      </c>
      <c r="O602" s="3" t="b">
        <f>L602 = "PASS"</f>
        <v>1</v>
      </c>
      <c r="P602" s="3" t="b">
        <f>L602 = "FAIL"</f>
        <v>0</v>
      </c>
      <c r="Q602" s="3" t="b">
        <f>AND(P602, K602)</f>
        <v>0</v>
      </c>
      <c r="R602" s="3" t="str">
        <f>IF(O602, I602, "")</f>
        <v>suite-substrate</v>
      </c>
      <c r="S602" s="3" t="str">
        <f>IF(Q602, I602, "")</f>
      </c>
      <c r="T602" s="2" t="s">
        <v>5935</v>
      </c>
    </row>
    <row r="603">
      <c r="A603" s="2" t="s">
        <v>6572</v>
      </c>
      <c r="B603" s="3" t="str">
        <f>C603 &amp; ": " &amp; D603</f>
        <v>formula-translates: RequirementSatisfactions.IsInvalidApproval</v>
      </c>
      <c r="C603" s="2" t="s">
        <v>6038</v>
      </c>
      <c r="D603" s="2" t="s">
        <v>3744</v>
      </c>
      <c r="E603" s="2" t="s">
        <v>1810</v>
      </c>
      <c r="F603" s="2" t="s">
        <v>1466</v>
      </c>
      <c r="G603" s="2" t="s">
        <v>6039</v>
      </c>
      <c r="H603" s="2" t="s">
        <v>2172</v>
      </c>
      <c r="I603" s="2" t="s">
        <v>5920</v>
      </c>
      <c r="J603" s="2" t="s">
        <v>5933</v>
      </c>
      <c r="K603" s="3" t="b">
        <f>J603 = "blocking"</f>
        <v>1</v>
      </c>
      <c r="L603" s="2" t="s">
        <v>1428</v>
      </c>
      <c r="M603" s="2" t="s">
        <v>6040</v>
      </c>
      <c r="N603" s="4">
        <v>46223.1297337963</v>
      </c>
      <c r="O603" s="3" t="b">
        <f>L603 = "PASS"</f>
        <v>1</v>
      </c>
      <c r="P603" s="3" t="b">
        <f>L603 = "FAIL"</f>
        <v>0</v>
      </c>
      <c r="Q603" s="3" t="b">
        <f>AND(P603, K603)</f>
        <v>0</v>
      </c>
      <c r="R603" s="3" t="str">
        <f>IF(O603, I603, "")</f>
        <v>suite-substrate</v>
      </c>
      <c r="S603" s="3" t="str">
        <f>IF(Q603, I603, "")</f>
      </c>
      <c r="T603" s="2" t="s">
        <v>5935</v>
      </c>
    </row>
    <row r="604">
      <c r="A604" s="2" t="s">
        <v>6573</v>
      </c>
      <c r="B604" s="3" t="str">
        <f>C604 &amp; ": " &amp; D604</f>
        <v>formula-translates: RequirementSatisfactions.ProcedureExecutionOfSatisfaction</v>
      </c>
      <c r="C604" s="2" t="s">
        <v>6038</v>
      </c>
      <c r="D604" s="2" t="s">
        <v>3746</v>
      </c>
      <c r="E604" s="2" t="s">
        <v>1810</v>
      </c>
      <c r="F604" s="2" t="s">
        <v>1467</v>
      </c>
      <c r="G604" s="2" t="s">
        <v>6039</v>
      </c>
      <c r="H604" s="2" t="s">
        <v>2172</v>
      </c>
      <c r="I604" s="2" t="s">
        <v>5920</v>
      </c>
      <c r="J604" s="2" t="s">
        <v>5933</v>
      </c>
      <c r="K604" s="3" t="b">
        <f>J604 = "blocking"</f>
        <v>1</v>
      </c>
      <c r="L604" s="2" t="s">
        <v>1428</v>
      </c>
      <c r="M604" s="2" t="s">
        <v>6040</v>
      </c>
      <c r="N604" s="4">
        <v>46223.1297337963</v>
      </c>
      <c r="O604" s="3" t="b">
        <f>L604 = "PASS"</f>
        <v>1</v>
      </c>
      <c r="P604" s="3" t="b">
        <f>L604 = "FAIL"</f>
        <v>0</v>
      </c>
      <c r="Q604" s="3" t="b">
        <f>AND(P604, K604)</f>
        <v>0</v>
      </c>
      <c r="R604" s="3" t="str">
        <f>IF(O604, I604, "")</f>
        <v>suite-substrate</v>
      </c>
      <c r="S604" s="3" t="str">
        <f>IF(Q604, I604, "")</f>
      </c>
      <c r="T604" s="2" t="s">
        <v>5935</v>
      </c>
    </row>
    <row r="605">
      <c r="A605" s="2" t="s">
        <v>6574</v>
      </c>
      <c r="B605" s="3" t="str">
        <f>C605 &amp; ": " &amp; D605</f>
        <v>formula-translates: RequirementSatisfactions.RunWhenInvalidApproval</v>
      </c>
      <c r="C605" s="2" t="s">
        <v>6038</v>
      </c>
      <c r="D605" s="2" t="s">
        <v>3747</v>
      </c>
      <c r="E605" s="2" t="s">
        <v>1810</v>
      </c>
      <c r="F605" s="2" t="s">
        <v>1468</v>
      </c>
      <c r="G605" s="2" t="s">
        <v>6039</v>
      </c>
      <c r="H605" s="2" t="s">
        <v>2172</v>
      </c>
      <c r="I605" s="2" t="s">
        <v>5920</v>
      </c>
      <c r="J605" s="2" t="s">
        <v>5933</v>
      </c>
      <c r="K605" s="3" t="b">
        <f>J605 = "blocking"</f>
        <v>1</v>
      </c>
      <c r="L605" s="2" t="s">
        <v>1428</v>
      </c>
      <c r="M605" s="2" t="s">
        <v>6040</v>
      </c>
      <c r="N605" s="4">
        <v>46223.1297337963</v>
      </c>
      <c r="O605" s="3" t="b">
        <f>L605 = "PASS"</f>
        <v>1</v>
      </c>
      <c r="P605" s="3" t="b">
        <f>L605 = "FAIL"</f>
        <v>0</v>
      </c>
      <c r="Q605" s="3" t="b">
        <f>AND(P605, K605)</f>
        <v>0</v>
      </c>
      <c r="R605" s="3" t="str">
        <f>IF(O605, I605, "")</f>
        <v>suite-substrate</v>
      </c>
      <c r="S605" s="3" t="str">
        <f>IF(Q605, I605, "")</f>
      </c>
      <c r="T605" s="2" t="s">
        <v>5935</v>
      </c>
    </row>
    <row r="606">
      <c r="A606" s="2" t="s">
        <v>6575</v>
      </c>
      <c r="B606" s="3" t="str">
        <f>C606 &amp; ": " &amp; D606</f>
        <v>formula-translates: RequirementSatisfactions.RequirementIsUnfalsified</v>
      </c>
      <c r="C606" s="2" t="s">
        <v>6038</v>
      </c>
      <c r="D606" s="2" t="s">
        <v>3749</v>
      </c>
      <c r="E606" s="2" t="s">
        <v>1810</v>
      </c>
      <c r="F606" s="2" t="s">
        <v>1469</v>
      </c>
      <c r="G606" s="2" t="s">
        <v>6039</v>
      </c>
      <c r="H606" s="2" t="s">
        <v>2236</v>
      </c>
      <c r="I606" s="2" t="s">
        <v>5920</v>
      </c>
      <c r="J606" s="2" t="s">
        <v>5933</v>
      </c>
      <c r="K606" s="3" t="b">
        <f>J606 = "blocking"</f>
        <v>1</v>
      </c>
      <c r="L606" s="2" t="s">
        <v>1428</v>
      </c>
      <c r="M606" s="2" t="s">
        <v>6040</v>
      </c>
      <c r="N606" s="4">
        <v>46223.1297337963</v>
      </c>
      <c r="O606" s="3" t="b">
        <f>L606 = "PASS"</f>
        <v>1</v>
      </c>
      <c r="P606" s="3" t="b">
        <f>L606 = "FAIL"</f>
        <v>0</v>
      </c>
      <c r="Q606" s="3" t="b">
        <f>AND(P606, K606)</f>
        <v>0</v>
      </c>
      <c r="R606" s="3" t="str">
        <f>IF(O606, I606, "")</f>
        <v>suite-substrate</v>
      </c>
      <c r="S606" s="3" t="str">
        <f>IF(Q606, I606, "")</f>
      </c>
      <c r="T606" s="2" t="s">
        <v>5935</v>
      </c>
    </row>
    <row r="607">
      <c r="A607" s="2" t="s">
        <v>6576</v>
      </c>
      <c r="B607" s="3" t="str">
        <f>C607 &amp; ": " &amp; D607</f>
        <v>formula-translates: RequirementSatisfactions.IsClearanceByUnfalsifiedControl</v>
      </c>
      <c r="C607" s="2" t="s">
        <v>6038</v>
      </c>
      <c r="D607" s="2" t="s">
        <v>3751</v>
      </c>
      <c r="E607" s="2" t="s">
        <v>1810</v>
      </c>
      <c r="F607" s="2" t="s">
        <v>1470</v>
      </c>
      <c r="G607" s="2" t="s">
        <v>6039</v>
      </c>
      <c r="H607" s="2" t="s">
        <v>2236</v>
      </c>
      <c r="I607" s="2" t="s">
        <v>5920</v>
      </c>
      <c r="J607" s="2" t="s">
        <v>5933</v>
      </c>
      <c r="K607" s="3" t="b">
        <f>J607 = "blocking"</f>
        <v>1</v>
      </c>
      <c r="L607" s="2" t="s">
        <v>1428</v>
      </c>
      <c r="M607" s="2" t="s">
        <v>6040</v>
      </c>
      <c r="N607" s="4">
        <v>46223.1297337963</v>
      </c>
      <c r="O607" s="3" t="b">
        <f>L607 = "PASS"</f>
        <v>1</v>
      </c>
      <c r="P607" s="3" t="b">
        <f>L607 = "FAIL"</f>
        <v>0</v>
      </c>
      <c r="Q607" s="3" t="b">
        <f>AND(P607, K607)</f>
        <v>0</v>
      </c>
      <c r="R607" s="3" t="str">
        <f>IF(O607, I607, "")</f>
        <v>suite-substrate</v>
      </c>
      <c r="S607" s="3" t="str">
        <f>IF(Q607, I607, "")</f>
      </c>
      <c r="T607" s="2" t="s">
        <v>5935</v>
      </c>
    </row>
    <row r="608">
      <c r="A608" s="2" t="s">
        <v>6577</v>
      </c>
      <c r="B608" s="3" t="str">
        <f>C608 &amp; ": " &amp; D608</f>
        <v>formula-translates: RequirementSatisfactions.UnfalsifiedClearanceStepKey</v>
      </c>
      <c r="C608" s="2" t="s">
        <v>6038</v>
      </c>
      <c r="D608" s="2" t="s">
        <v>3753</v>
      </c>
      <c r="E608" s="2" t="s">
        <v>1810</v>
      </c>
      <c r="F608" s="2" t="s">
        <v>1471</v>
      </c>
      <c r="G608" s="2" t="s">
        <v>6039</v>
      </c>
      <c r="H608" s="2" t="s">
        <v>2236</v>
      </c>
      <c r="I608" s="2" t="s">
        <v>5920</v>
      </c>
      <c r="J608" s="2" t="s">
        <v>5933</v>
      </c>
      <c r="K608" s="3" t="b">
        <f>J608 = "blocking"</f>
        <v>1</v>
      </c>
      <c r="L608" s="2" t="s">
        <v>1428</v>
      </c>
      <c r="M608" s="2" t="s">
        <v>6040</v>
      </c>
      <c r="N608" s="4">
        <v>46223.1297337963</v>
      </c>
      <c r="O608" s="3" t="b">
        <f>L608 = "PASS"</f>
        <v>1</v>
      </c>
      <c r="P608" s="3" t="b">
        <f>L608 = "FAIL"</f>
        <v>0</v>
      </c>
      <c r="Q608" s="3" t="b">
        <f>AND(P608, K608)</f>
        <v>0</v>
      </c>
      <c r="R608" s="3" t="str">
        <f>IF(O608, I608, "")</f>
        <v>suite-substrate</v>
      </c>
      <c r="S608" s="3" t="str">
        <f>IF(Q608, I608, "")</f>
      </c>
      <c r="T608" s="2" t="s">
        <v>5935</v>
      </c>
    </row>
    <row r="609">
      <c r="A609" s="2" t="s">
        <v>6578</v>
      </c>
      <c r="B609" s="3" t="str">
        <f>C609 &amp; ": " &amp; D609</f>
        <v>formula-translates: RequirementSatisfactions.SpecStepOfExecution</v>
      </c>
      <c r="C609" s="2" t="s">
        <v>6038</v>
      </c>
      <c r="D609" s="2" t="s">
        <v>3755</v>
      </c>
      <c r="E609" s="2" t="s">
        <v>1810</v>
      </c>
      <c r="F609" s="2" t="s">
        <v>1472</v>
      </c>
      <c r="G609" s="2" t="s">
        <v>6039</v>
      </c>
      <c r="H609" s="2" t="s">
        <v>2260</v>
      </c>
      <c r="I609" s="2" t="s">
        <v>5920</v>
      </c>
      <c r="J609" s="2" t="s">
        <v>5933</v>
      </c>
      <c r="K609" s="3" t="b">
        <f>J609 = "blocking"</f>
        <v>1</v>
      </c>
      <c r="L609" s="2" t="s">
        <v>1428</v>
      </c>
      <c r="M609" s="2" t="s">
        <v>6040</v>
      </c>
      <c r="N609" s="4">
        <v>46223.1297337963</v>
      </c>
      <c r="O609" s="3" t="b">
        <f>L609 = "PASS"</f>
        <v>1</v>
      </c>
      <c r="P609" s="3" t="b">
        <f>L609 = "FAIL"</f>
        <v>0</v>
      </c>
      <c r="Q609" s="3" t="b">
        <f>AND(P609, K609)</f>
        <v>0</v>
      </c>
      <c r="R609" s="3" t="str">
        <f>IF(O609, I609, "")</f>
        <v>suite-substrate</v>
      </c>
      <c r="S609" s="3" t="str">
        <f>IF(Q609, I609, "")</f>
      </c>
      <c r="T609" s="2" t="s">
        <v>5935</v>
      </c>
    </row>
    <row r="610">
      <c r="A610" s="2" t="s">
        <v>6579</v>
      </c>
      <c r="B610" s="3" t="str">
        <f>C610 &amp; ": " &amp; D610</f>
        <v>formula-translates: RequirementSatisfactions.BindingKey</v>
      </c>
      <c r="C610" s="2" t="s">
        <v>6038</v>
      </c>
      <c r="D610" s="2" t="s">
        <v>3757</v>
      </c>
      <c r="E610" s="2" t="s">
        <v>1810</v>
      </c>
      <c r="F610" s="2" t="s">
        <v>1473</v>
      </c>
      <c r="G610" s="2" t="s">
        <v>6039</v>
      </c>
      <c r="H610" s="2" t="s">
        <v>2260</v>
      </c>
      <c r="I610" s="2" t="s">
        <v>5920</v>
      </c>
      <c r="J610" s="2" t="s">
        <v>5933</v>
      </c>
      <c r="K610" s="3" t="b">
        <f>J610 = "blocking"</f>
        <v>1</v>
      </c>
      <c r="L610" s="2" t="s">
        <v>1428</v>
      </c>
      <c r="M610" s="2" t="s">
        <v>6040</v>
      </c>
      <c r="N610" s="4">
        <v>46223.1297337963</v>
      </c>
      <c r="O610" s="3" t="b">
        <f>L610 = "PASS"</f>
        <v>1</v>
      </c>
      <c r="P610" s="3" t="b">
        <f>L610 = "FAIL"</f>
        <v>0</v>
      </c>
      <c r="Q610" s="3" t="b">
        <f>AND(P610, K610)</f>
        <v>0</v>
      </c>
      <c r="R610" s="3" t="str">
        <f>IF(O610, I610, "")</f>
        <v>suite-substrate</v>
      </c>
      <c r="S610" s="3" t="str">
        <f>IF(Q610, I610, "")</f>
      </c>
      <c r="T610" s="2" t="s">
        <v>5935</v>
      </c>
    </row>
    <row r="611">
      <c r="A611" s="2" t="s">
        <v>6580</v>
      </c>
      <c r="B611" s="3" t="str">
        <f>C611 &amp; ": " &amp; D611</f>
        <v>formula-translates: RequirementSatisfactions.ScoredStepExecutorAgent</v>
      </c>
      <c r="C611" s="2" t="s">
        <v>6038</v>
      </c>
      <c r="D611" s="2" t="s">
        <v>3759</v>
      </c>
      <c r="E611" s="2" t="s">
        <v>1810</v>
      </c>
      <c r="F611" s="2" t="s">
        <v>1474</v>
      </c>
      <c r="G611" s="2" t="s">
        <v>6039</v>
      </c>
      <c r="H611" s="2" t="s">
        <v>2268</v>
      </c>
      <c r="I611" s="2" t="s">
        <v>5920</v>
      </c>
      <c r="J611" s="2" t="s">
        <v>5933</v>
      </c>
      <c r="K611" s="3" t="b">
        <f>J611 = "blocking"</f>
        <v>1</v>
      </c>
      <c r="L611" s="2" t="s">
        <v>1428</v>
      </c>
      <c r="M611" s="2" t="s">
        <v>6040</v>
      </c>
      <c r="N611" s="4">
        <v>46223.1297337963</v>
      </c>
      <c r="O611" s="3" t="b">
        <f>L611 = "PASS"</f>
        <v>1</v>
      </c>
      <c r="P611" s="3" t="b">
        <f>L611 = "FAIL"</f>
        <v>0</v>
      </c>
      <c r="Q611" s="3" t="b">
        <f>AND(P611, K611)</f>
        <v>0</v>
      </c>
      <c r="R611" s="3" t="str">
        <f>IF(O611, I611, "")</f>
        <v>suite-substrate</v>
      </c>
      <c r="S611" s="3" t="str">
        <f>IF(Q611, I611, "")</f>
      </c>
      <c r="T611" s="2" t="s">
        <v>5935</v>
      </c>
    </row>
    <row r="612">
      <c r="A612" s="2" t="s">
        <v>6581</v>
      </c>
      <c r="B612" s="3" t="str">
        <f>C612 &amp; ": " &amp; D612</f>
        <v>formula-translates: RequirementSatisfactions.EvaluatorIsStepExecutor</v>
      </c>
      <c r="C612" s="2" t="s">
        <v>6038</v>
      </c>
      <c r="D612" s="2" t="s">
        <v>3761</v>
      </c>
      <c r="E612" s="2" t="s">
        <v>1810</v>
      </c>
      <c r="F612" s="2" t="s">
        <v>1475</v>
      </c>
      <c r="G612" s="2" t="s">
        <v>6039</v>
      </c>
      <c r="H612" s="2" t="s">
        <v>2268</v>
      </c>
      <c r="I612" s="2" t="s">
        <v>5920</v>
      </c>
      <c r="J612" s="2" t="s">
        <v>5933</v>
      </c>
      <c r="K612" s="3" t="b">
        <f>J612 = "blocking"</f>
        <v>1</v>
      </c>
      <c r="L612" s="2" t="s">
        <v>1428</v>
      </c>
      <c r="M612" s="2" t="s">
        <v>6040</v>
      </c>
      <c r="N612" s="4">
        <v>46223.1297337963</v>
      </c>
      <c r="O612" s="3" t="b">
        <f>L612 = "PASS"</f>
        <v>1</v>
      </c>
      <c r="P612" s="3" t="b">
        <f>L612 = "FAIL"</f>
        <v>0</v>
      </c>
      <c r="Q612" s="3" t="b">
        <f>AND(P612, K612)</f>
        <v>0</v>
      </c>
      <c r="R612" s="3" t="str">
        <f>IF(O612, I612, "")</f>
        <v>suite-substrate</v>
      </c>
      <c r="S612" s="3" t="str">
        <f>IF(Q612, I612, "")</f>
      </c>
      <c r="T612" s="2" t="s">
        <v>5935</v>
      </c>
    </row>
    <row r="613">
      <c r="A613" s="2" t="s">
        <v>6582</v>
      </c>
      <c r="B613" s="3" t="str">
        <f>C613 &amp; ": " &amp; D613</f>
        <v>formula-translates: RequirementSatisfactions.RunOwnerAgent</v>
      </c>
      <c r="C613" s="2" t="s">
        <v>6038</v>
      </c>
      <c r="D613" s="2" t="s">
        <v>3763</v>
      </c>
      <c r="E613" s="2" t="s">
        <v>1810</v>
      </c>
      <c r="F613" s="2" t="s">
        <v>1476</v>
      </c>
      <c r="G613" s="2" t="s">
        <v>6039</v>
      </c>
      <c r="H613" s="2" t="s">
        <v>2268</v>
      </c>
      <c r="I613" s="2" t="s">
        <v>5920</v>
      </c>
      <c r="J613" s="2" t="s">
        <v>5933</v>
      </c>
      <c r="K613" s="3" t="b">
        <f>J613 = "blocking"</f>
        <v>1</v>
      </c>
      <c r="L613" s="2" t="s">
        <v>1428</v>
      </c>
      <c r="M613" s="2" t="s">
        <v>6040</v>
      </c>
      <c r="N613" s="4">
        <v>46223.1297337963</v>
      </c>
      <c r="O613" s="3" t="b">
        <f>L613 = "PASS"</f>
        <v>1</v>
      </c>
      <c r="P613" s="3" t="b">
        <f>L613 = "FAIL"</f>
        <v>0</v>
      </c>
      <c r="Q613" s="3" t="b">
        <f>AND(P613, K613)</f>
        <v>0</v>
      </c>
      <c r="R613" s="3" t="str">
        <f>IF(O613, I613, "")</f>
        <v>suite-substrate</v>
      </c>
      <c r="S613" s="3" t="str">
        <f>IF(Q613, I613, "")</f>
      </c>
      <c r="T613" s="2" t="s">
        <v>5935</v>
      </c>
    </row>
    <row r="614">
      <c r="A614" s="2" t="s">
        <v>6583</v>
      </c>
      <c r="B614" s="3" t="str">
        <f>C614 &amp; ": " &amp; D614</f>
        <v>formula-translates: RequirementSatisfactions.EvaluatorOwnsTheRun</v>
      </c>
      <c r="C614" s="2" t="s">
        <v>6038</v>
      </c>
      <c r="D614" s="2" t="s">
        <v>3765</v>
      </c>
      <c r="E614" s="2" t="s">
        <v>1810</v>
      </c>
      <c r="F614" s="2" t="s">
        <v>1477</v>
      </c>
      <c r="G614" s="2" t="s">
        <v>6039</v>
      </c>
      <c r="H614" s="2" t="s">
        <v>2268</v>
      </c>
      <c r="I614" s="2" t="s">
        <v>5920</v>
      </c>
      <c r="J614" s="2" t="s">
        <v>5933</v>
      </c>
      <c r="K614" s="3" t="b">
        <f>J614 = "blocking"</f>
        <v>1</v>
      </c>
      <c r="L614" s="2" t="s">
        <v>1428</v>
      </c>
      <c r="M614" s="2" t="s">
        <v>6040</v>
      </c>
      <c r="N614" s="4">
        <v>46223.1297337963</v>
      </c>
      <c r="O614" s="3" t="b">
        <f>L614 = "PASS"</f>
        <v>1</v>
      </c>
      <c r="P614" s="3" t="b">
        <f>L614 = "FAIL"</f>
        <v>0</v>
      </c>
      <c r="Q614" s="3" t="b">
        <f>AND(P614, K614)</f>
        <v>0</v>
      </c>
      <c r="R614" s="3" t="str">
        <f>IF(O614, I614, "")</f>
        <v>suite-substrate</v>
      </c>
      <c r="S614" s="3" t="str">
        <f>IF(Q614, I614, "")</f>
      </c>
      <c r="T614" s="2" t="s">
        <v>5935</v>
      </c>
    </row>
    <row r="615">
      <c r="A615" s="2" t="s">
        <v>6584</v>
      </c>
      <c r="B615" s="3" t="str">
        <f>C615 &amp; ": " &amp; D615</f>
        <v>formula-translates: RequirementSatisfactions.IsInterestedPartyAssertion</v>
      </c>
      <c r="C615" s="2" t="s">
        <v>6038</v>
      </c>
      <c r="D615" s="2" t="s">
        <v>3767</v>
      </c>
      <c r="E615" s="2" t="s">
        <v>1810</v>
      </c>
      <c r="F615" s="2" t="s">
        <v>1478</v>
      </c>
      <c r="G615" s="2" t="s">
        <v>6039</v>
      </c>
      <c r="H615" s="2" t="s">
        <v>2268</v>
      </c>
      <c r="I615" s="2" t="s">
        <v>5920</v>
      </c>
      <c r="J615" s="2" t="s">
        <v>5933</v>
      </c>
      <c r="K615" s="3" t="b">
        <f>J615 = "blocking"</f>
        <v>1</v>
      </c>
      <c r="L615" s="2" t="s">
        <v>1428</v>
      </c>
      <c r="M615" s="2" t="s">
        <v>6040</v>
      </c>
      <c r="N615" s="4">
        <v>46223.1297337963</v>
      </c>
      <c r="O615" s="3" t="b">
        <f>L615 = "PASS"</f>
        <v>1</v>
      </c>
      <c r="P615" s="3" t="b">
        <f>L615 = "FAIL"</f>
        <v>0</v>
      </c>
      <c r="Q615" s="3" t="b">
        <f>AND(P615, K615)</f>
        <v>0</v>
      </c>
      <c r="R615" s="3" t="str">
        <f>IF(O615, I615, "")</f>
        <v>suite-substrate</v>
      </c>
      <c r="S615" s="3" t="str">
        <f>IF(Q615, I615, "")</f>
      </c>
      <c r="T615" s="2" t="s">
        <v>5935</v>
      </c>
    </row>
    <row r="616">
      <c r="A616" s="2" t="s">
        <v>6585</v>
      </c>
      <c r="B616" s="3" t="str">
        <f>C616 &amp; ": " &amp; D616</f>
        <v>formula-translates: RequirementSatisfactions.HasWrittenEvidence</v>
      </c>
      <c r="C616" s="2" t="s">
        <v>6038</v>
      </c>
      <c r="D616" s="2" t="s">
        <v>3769</v>
      </c>
      <c r="E616" s="2" t="s">
        <v>1810</v>
      </c>
      <c r="F616" s="2" t="s">
        <v>1479</v>
      </c>
      <c r="G616" s="2" t="s">
        <v>6039</v>
      </c>
      <c r="H616" s="2" t="s">
        <v>2268</v>
      </c>
      <c r="I616" s="2" t="s">
        <v>5920</v>
      </c>
      <c r="J616" s="2" t="s">
        <v>5933</v>
      </c>
      <c r="K616" s="3" t="b">
        <f>J616 = "blocking"</f>
        <v>1</v>
      </c>
      <c r="L616" s="2" t="s">
        <v>1428</v>
      </c>
      <c r="M616" s="2" t="s">
        <v>6040</v>
      </c>
      <c r="N616" s="4">
        <v>46223.1297337963</v>
      </c>
      <c r="O616" s="3" t="b">
        <f>L616 = "PASS"</f>
        <v>1</v>
      </c>
      <c r="P616" s="3" t="b">
        <f>L616 = "FAIL"</f>
        <v>0</v>
      </c>
      <c r="Q616" s="3" t="b">
        <f>AND(P616, K616)</f>
        <v>0</v>
      </c>
      <c r="R616" s="3" t="str">
        <f>IF(O616, I616, "")</f>
        <v>suite-substrate</v>
      </c>
      <c r="S616" s="3" t="str">
        <f>IF(Q616, I616, "")</f>
      </c>
      <c r="T616" s="2" t="s">
        <v>5935</v>
      </c>
    </row>
    <row r="617">
      <c r="A617" s="2" t="s">
        <v>6586</v>
      </c>
      <c r="B617" s="3" t="str">
        <f>C617 &amp; ": " &amp; D617</f>
        <v>formula-translates: RequirementSatisfactions.IsBareAssertion</v>
      </c>
      <c r="C617" s="2" t="s">
        <v>6038</v>
      </c>
      <c r="D617" s="2" t="s">
        <v>3771</v>
      </c>
      <c r="E617" s="2" t="s">
        <v>1810</v>
      </c>
      <c r="F617" s="2" t="s">
        <v>1480</v>
      </c>
      <c r="G617" s="2" t="s">
        <v>6039</v>
      </c>
      <c r="H617" s="2" t="s">
        <v>2268</v>
      </c>
      <c r="I617" s="2" t="s">
        <v>5920</v>
      </c>
      <c r="J617" s="2" t="s">
        <v>5933</v>
      </c>
      <c r="K617" s="3" t="b">
        <f>J617 = "blocking"</f>
        <v>1</v>
      </c>
      <c r="L617" s="2" t="s">
        <v>1428</v>
      </c>
      <c r="M617" s="2" t="s">
        <v>6040</v>
      </c>
      <c r="N617" s="4">
        <v>46223.1297337963</v>
      </c>
      <c r="O617" s="3" t="b">
        <f>L617 = "PASS"</f>
        <v>1</v>
      </c>
      <c r="P617" s="3" t="b">
        <f>L617 = "FAIL"</f>
        <v>0</v>
      </c>
      <c r="Q617" s="3" t="b">
        <f>AND(P617, K617)</f>
        <v>0</v>
      </c>
      <c r="R617" s="3" t="str">
        <f>IF(O617, I617, "")</f>
        <v>suite-substrate</v>
      </c>
      <c r="S617" s="3" t="str">
        <f>IF(Q617, I617, "")</f>
      </c>
      <c r="T617" s="2" t="s">
        <v>5935</v>
      </c>
    </row>
    <row r="618">
      <c r="A618" s="2" t="s">
        <v>6587</v>
      </c>
      <c r="B618" s="3" t="str">
        <f>C618 &amp; ": " &amp; D618</f>
        <v>formula-translates: RequirementSatisfactions.InterestedAssertionExecutionKey</v>
      </c>
      <c r="C618" s="2" t="s">
        <v>6038</v>
      </c>
      <c r="D618" s="2" t="s">
        <v>3773</v>
      </c>
      <c r="E618" s="2" t="s">
        <v>1810</v>
      </c>
      <c r="F618" s="2" t="s">
        <v>1481</v>
      </c>
      <c r="G618" s="2" t="s">
        <v>6039</v>
      </c>
      <c r="H618" s="2" t="s">
        <v>2268</v>
      </c>
      <c r="I618" s="2" t="s">
        <v>5920</v>
      </c>
      <c r="J618" s="2" t="s">
        <v>5933</v>
      </c>
      <c r="K618" s="3" t="b">
        <f>J618 = "blocking"</f>
        <v>1</v>
      </c>
      <c r="L618" s="2" t="s">
        <v>1428</v>
      </c>
      <c r="M618" s="2" t="s">
        <v>6040</v>
      </c>
      <c r="N618" s="4">
        <v>46223.1297337963</v>
      </c>
      <c r="O618" s="3" t="b">
        <f>L618 = "PASS"</f>
        <v>1</v>
      </c>
      <c r="P618" s="3" t="b">
        <f>L618 = "FAIL"</f>
        <v>0</v>
      </c>
      <c r="Q618" s="3" t="b">
        <f>AND(P618, K618)</f>
        <v>0</v>
      </c>
      <c r="R618" s="3" t="str">
        <f>IF(O618, I618, "")</f>
        <v>suite-substrate</v>
      </c>
      <c r="S618" s="3" t="str">
        <f>IF(Q618, I618, "")</f>
      </c>
      <c r="T618" s="2" t="s">
        <v>5935</v>
      </c>
    </row>
    <row r="619">
      <c r="A619" s="2" t="s">
        <v>6588</v>
      </c>
      <c r="B619" s="3" t="str">
        <f>C619 &amp; ": " &amp; D619</f>
        <v>formula-translates: RequirementSatisfactions.IsComputedlyWitnessed</v>
      </c>
      <c r="C619" s="2" t="s">
        <v>6038</v>
      </c>
      <c r="D619" s="2" t="s">
        <v>3775</v>
      </c>
      <c r="E619" s="2" t="s">
        <v>1810</v>
      </c>
      <c r="F619" s="2" t="s">
        <v>1482</v>
      </c>
      <c r="G619" s="2" t="s">
        <v>6039</v>
      </c>
      <c r="H619" s="2" t="s">
        <v>2276</v>
      </c>
      <c r="I619" s="2" t="s">
        <v>5920</v>
      </c>
      <c r="J619" s="2" t="s">
        <v>5933</v>
      </c>
      <c r="K619" s="3" t="b">
        <f>J619 = "blocking"</f>
        <v>1</v>
      </c>
      <c r="L619" s="2" t="s">
        <v>1428</v>
      </c>
      <c r="M619" s="2" t="s">
        <v>6040</v>
      </c>
      <c r="N619" s="4">
        <v>46223.1297337963</v>
      </c>
      <c r="O619" s="3" t="b">
        <f>L619 = "PASS"</f>
        <v>1</v>
      </c>
      <c r="P619" s="3" t="b">
        <f>L619 = "FAIL"</f>
        <v>0</v>
      </c>
      <c r="Q619" s="3" t="b">
        <f>AND(P619, K619)</f>
        <v>0</v>
      </c>
      <c r="R619" s="3" t="str">
        <f>IF(O619, I619, "")</f>
        <v>suite-substrate</v>
      </c>
      <c r="S619" s="3" t="str">
        <f>IF(Q619, I619, "")</f>
      </c>
      <c r="T619" s="2" t="s">
        <v>5935</v>
      </c>
    </row>
    <row r="620">
      <c r="A620" s="2" t="s">
        <v>6589</v>
      </c>
      <c r="B620" s="3" t="str">
        <f>C620 &amp; ": " &amp; D620</f>
        <v>formula-translates: RequirementSatisfactions.ComputedWitnessExecutionKey</v>
      </c>
      <c r="C620" s="2" t="s">
        <v>6038</v>
      </c>
      <c r="D620" s="2" t="s">
        <v>3777</v>
      </c>
      <c r="E620" s="2" t="s">
        <v>1810</v>
      </c>
      <c r="F620" s="2" t="s">
        <v>1483</v>
      </c>
      <c r="G620" s="2" t="s">
        <v>6039</v>
      </c>
      <c r="H620" s="2" t="s">
        <v>2276</v>
      </c>
      <c r="I620" s="2" t="s">
        <v>5920</v>
      </c>
      <c r="J620" s="2" t="s">
        <v>5933</v>
      </c>
      <c r="K620" s="3" t="b">
        <f>J620 = "blocking"</f>
        <v>1</v>
      </c>
      <c r="L620" s="2" t="s">
        <v>1428</v>
      </c>
      <c r="M620" s="2" t="s">
        <v>6040</v>
      </c>
      <c r="N620" s="4">
        <v>46223.1297337963</v>
      </c>
      <c r="O620" s="3" t="b">
        <f>L620 = "PASS"</f>
        <v>1</v>
      </c>
      <c r="P620" s="3" t="b">
        <f>L620 = "FAIL"</f>
        <v>0</v>
      </c>
      <c r="Q620" s="3" t="b">
        <f>AND(P620, K620)</f>
        <v>0</v>
      </c>
      <c r="R620" s="3" t="str">
        <f>IF(O620, I620, "")</f>
        <v>suite-substrate</v>
      </c>
      <c r="S620" s="3" t="str">
        <f>IF(Q620, I620, "")</f>
      </c>
      <c r="T620" s="2" t="s">
        <v>5935</v>
      </c>
    </row>
    <row r="621">
      <c r="A621" s="2" t="s">
        <v>6590</v>
      </c>
      <c r="B621" s="3" t="str">
        <f>C621 &amp; ": " &amp; D621</f>
        <v>formula-translates: RequirementSatisfactions.StepExecutorAgent</v>
      </c>
      <c r="C621" s="2" t="s">
        <v>6038</v>
      </c>
      <c r="D621" s="2" t="s">
        <v>3779</v>
      </c>
      <c r="E621" s="2" t="s">
        <v>1810</v>
      </c>
      <c r="F621" s="2" t="s">
        <v>1484</v>
      </c>
      <c r="G621" s="2" t="s">
        <v>6039</v>
      </c>
      <c r="H621" s="2" t="s">
        <v>2276</v>
      </c>
      <c r="I621" s="2" t="s">
        <v>5920</v>
      </c>
      <c r="J621" s="2" t="s">
        <v>5933</v>
      </c>
      <c r="K621" s="3" t="b">
        <f>J621 = "blocking"</f>
        <v>1</v>
      </c>
      <c r="L621" s="2" t="s">
        <v>1428</v>
      </c>
      <c r="M621" s="2" t="s">
        <v>6040</v>
      </c>
      <c r="N621" s="4">
        <v>46223.1297337963</v>
      </c>
      <c r="O621" s="3" t="b">
        <f>L621 = "PASS"</f>
        <v>1</v>
      </c>
      <c r="P621" s="3" t="b">
        <f>L621 = "FAIL"</f>
        <v>0</v>
      </c>
      <c r="Q621" s="3" t="b">
        <f>AND(P621, K621)</f>
        <v>0</v>
      </c>
      <c r="R621" s="3" t="str">
        <f>IF(O621, I621, "")</f>
        <v>suite-substrate</v>
      </c>
      <c r="S621" s="3" t="str">
        <f>IF(Q621, I621, "")</f>
      </c>
      <c r="T621" s="2" t="s">
        <v>5935</v>
      </c>
    </row>
    <row r="622">
      <c r="A622" s="2" t="s">
        <v>6591</v>
      </c>
      <c r="B622" s="3" t="str">
        <f>C622 &amp; ": " &amp; D622</f>
        <v>formula-translates: RequirementSatisfactions.WasScoredAfterAttestation</v>
      </c>
      <c r="C622" s="2" t="s">
        <v>6038</v>
      </c>
      <c r="D622" s="2" t="s">
        <v>3780</v>
      </c>
      <c r="E622" s="2" t="s">
        <v>1810</v>
      </c>
      <c r="F622" s="2" t="s">
        <v>1485</v>
      </c>
      <c r="G622" s="2" t="s">
        <v>6039</v>
      </c>
      <c r="H622" s="2" t="s">
        <v>2292</v>
      </c>
      <c r="I622" s="2" t="s">
        <v>5920</v>
      </c>
      <c r="J622" s="2" t="s">
        <v>5933</v>
      </c>
      <c r="K622" s="3" t="b">
        <f>J622 = "blocking"</f>
        <v>1</v>
      </c>
      <c r="L622" s="2" t="s">
        <v>1428</v>
      </c>
      <c r="M622" s="2" t="s">
        <v>6040</v>
      </c>
      <c r="N622" s="4">
        <v>46223.1297337963</v>
      </c>
      <c r="O622" s="3" t="b">
        <f>L622 = "PASS"</f>
        <v>1</v>
      </c>
      <c r="P622" s="3" t="b">
        <f>L622 = "FAIL"</f>
        <v>0</v>
      </c>
      <c r="Q622" s="3" t="b">
        <f>AND(P622, K622)</f>
        <v>0</v>
      </c>
      <c r="R622" s="3" t="str">
        <f>IF(O622, I622, "")</f>
        <v>suite-substrate</v>
      </c>
      <c r="S622" s="3" t="str">
        <f>IF(Q622, I622, "")</f>
      </c>
      <c r="T622" s="2" t="s">
        <v>5935</v>
      </c>
    </row>
    <row r="623">
      <c r="A623" s="2" t="s">
        <v>6592</v>
      </c>
      <c r="B623" s="3" t="str">
        <f>C623 &amp; ": " &amp; D623</f>
        <v>formula-translates: RequirementSatisfactions.AttestationInstantForRun</v>
      </c>
      <c r="C623" s="2" t="s">
        <v>6038</v>
      </c>
      <c r="D623" s="2" t="s">
        <v>3782</v>
      </c>
      <c r="E623" s="2" t="s">
        <v>1810</v>
      </c>
      <c r="F623" s="2" t="s">
        <v>1486</v>
      </c>
      <c r="G623" s="2" t="s">
        <v>6039</v>
      </c>
      <c r="H623" s="2" t="s">
        <v>2292</v>
      </c>
      <c r="I623" s="2" t="s">
        <v>5920</v>
      </c>
      <c r="J623" s="2" t="s">
        <v>5933</v>
      </c>
      <c r="K623" s="3" t="b">
        <f>J623 = "blocking"</f>
        <v>1</v>
      </c>
      <c r="L623" s="2" t="s">
        <v>1428</v>
      </c>
      <c r="M623" s="2" t="s">
        <v>6040</v>
      </c>
      <c r="N623" s="4">
        <v>46223.1297337963</v>
      </c>
      <c r="O623" s="3" t="b">
        <f>L623 = "PASS"</f>
        <v>1</v>
      </c>
      <c r="P623" s="3" t="b">
        <f>L623 = "FAIL"</f>
        <v>0</v>
      </c>
      <c r="Q623" s="3" t="b">
        <f>AND(P623, K623)</f>
        <v>0</v>
      </c>
      <c r="R623" s="3" t="str">
        <f>IF(O623, I623, "")</f>
        <v>suite-substrate</v>
      </c>
      <c r="S623" s="3" t="str">
        <f>IF(Q623, I623, "")</f>
      </c>
      <c r="T623" s="2" t="s">
        <v>5935</v>
      </c>
    </row>
    <row r="624">
      <c r="A624" s="2" t="s">
        <v>6593</v>
      </c>
      <c r="B624" s="3" t="str">
        <f>C624 &amp; ": " &amp; D624</f>
        <v>formula-translates: RequirementSatisfactions.PostAttestationScoreExecutionKey</v>
      </c>
      <c r="C624" s="2" t="s">
        <v>6038</v>
      </c>
      <c r="D624" s="2" t="s">
        <v>3784</v>
      </c>
      <c r="E624" s="2" t="s">
        <v>1810</v>
      </c>
      <c r="F624" s="2" t="s">
        <v>1487</v>
      </c>
      <c r="G624" s="2" t="s">
        <v>6039</v>
      </c>
      <c r="H624" s="2" t="s">
        <v>2292</v>
      </c>
      <c r="I624" s="2" t="s">
        <v>5920</v>
      </c>
      <c r="J624" s="2" t="s">
        <v>5933</v>
      </c>
      <c r="K624" s="3" t="b">
        <f>J624 = "blocking"</f>
        <v>1</v>
      </c>
      <c r="L624" s="2" t="s">
        <v>1428</v>
      </c>
      <c r="M624" s="2" t="s">
        <v>6040</v>
      </c>
      <c r="N624" s="4">
        <v>46223.1297337963</v>
      </c>
      <c r="O624" s="3" t="b">
        <f>L624 = "PASS"</f>
        <v>1</v>
      </c>
      <c r="P624" s="3" t="b">
        <f>L624 = "FAIL"</f>
        <v>0</v>
      </c>
      <c r="Q624" s="3" t="b">
        <f>AND(P624, K624)</f>
        <v>0</v>
      </c>
      <c r="R624" s="3" t="str">
        <f>IF(O624, I624, "")</f>
        <v>suite-substrate</v>
      </c>
      <c r="S624" s="3" t="str">
        <f>IF(Q624, I624, "")</f>
      </c>
      <c r="T624" s="2" t="s">
        <v>5935</v>
      </c>
    </row>
    <row r="625">
      <c r="A625" s="2" t="s">
        <v>6594</v>
      </c>
      <c r="B625" s="3" t="str">
        <f>C625 &amp; ": " &amp; D625</f>
        <v>formula-translates: Errors.Name</v>
      </c>
      <c r="C625" s="2" t="s">
        <v>6038</v>
      </c>
      <c r="D625" s="2" t="s">
        <v>3788</v>
      </c>
      <c r="E625" s="2" t="s">
        <v>1813</v>
      </c>
      <c r="F625" s="2" t="s">
        <v>1</v>
      </c>
      <c r="G625" s="2" t="s">
        <v>6039</v>
      </c>
      <c r="H625" s="2"/>
      <c r="I625" s="2" t="s">
        <v>5920</v>
      </c>
      <c r="J625" s="2" t="s">
        <v>5933</v>
      </c>
      <c r="K625" s="3" t="b">
        <f>J625 = "blocking"</f>
        <v>1</v>
      </c>
      <c r="L625" s="2" t="s">
        <v>1428</v>
      </c>
      <c r="M625" s="2" t="s">
        <v>6040</v>
      </c>
      <c r="N625" s="4">
        <v>46223.1297337963</v>
      </c>
      <c r="O625" s="3" t="b">
        <f>L625 = "PASS"</f>
        <v>1</v>
      </c>
      <c r="P625" s="3" t="b">
        <f>L625 = "FAIL"</f>
        <v>0</v>
      </c>
      <c r="Q625" s="3" t="b">
        <f>AND(P625, K625)</f>
        <v>0</v>
      </c>
      <c r="R625" s="3" t="str">
        <f>IF(O625, I625, "")</f>
        <v>suite-substrate</v>
      </c>
      <c r="S625" s="3" t="str">
        <f>IF(Q625, I625, "")</f>
      </c>
      <c r="T625" s="2" t="s">
        <v>5935</v>
      </c>
    </row>
    <row r="626">
      <c r="A626" s="2" t="s">
        <v>6595</v>
      </c>
      <c r="B626" s="3" t="str">
        <f>C626 &amp; ": " &amp; D626</f>
        <v>formula-translates: IssueOccurrences.Name</v>
      </c>
      <c r="C626" s="2" t="s">
        <v>6038</v>
      </c>
      <c r="D626" s="2" t="s">
        <v>3795</v>
      </c>
      <c r="E626" s="2" t="s">
        <v>1816</v>
      </c>
      <c r="F626" s="2" t="s">
        <v>1</v>
      </c>
      <c r="G626" s="2" t="s">
        <v>6039</v>
      </c>
      <c r="H626" s="2"/>
      <c r="I626" s="2" t="s">
        <v>5920</v>
      </c>
      <c r="J626" s="2" t="s">
        <v>5933</v>
      </c>
      <c r="K626" s="3" t="b">
        <f>J626 = "blocking"</f>
        <v>1</v>
      </c>
      <c r="L626" s="2" t="s">
        <v>1428</v>
      </c>
      <c r="M626" s="2" t="s">
        <v>6040</v>
      </c>
      <c r="N626" s="4">
        <v>46223.1297337963</v>
      </c>
      <c r="O626" s="3" t="b">
        <f>L626 = "PASS"</f>
        <v>1</v>
      </c>
      <c r="P626" s="3" t="b">
        <f>L626 = "FAIL"</f>
        <v>0</v>
      </c>
      <c r="Q626" s="3" t="b">
        <f>AND(P626, K626)</f>
        <v>0</v>
      </c>
      <c r="R626" s="3" t="str">
        <f>IF(O626, I626, "")</f>
        <v>suite-substrate</v>
      </c>
      <c r="S626" s="3" t="str">
        <f>IF(Q626, I626, "")</f>
      </c>
      <c r="T626" s="2" t="s">
        <v>5935</v>
      </c>
    </row>
    <row r="627">
      <c r="A627" s="2" t="s">
        <v>6596</v>
      </c>
      <c r="B627" s="3" t="str">
        <f>C627 &amp; ": " &amp; D627</f>
        <v>formula-translates: IssueOccurrences.IsUnresolved</v>
      </c>
      <c r="C627" s="2" t="s">
        <v>6038</v>
      </c>
      <c r="D627" s="2" t="s">
        <v>3804</v>
      </c>
      <c r="E627" s="2" t="s">
        <v>1816</v>
      </c>
      <c r="F627" s="2" t="s">
        <v>1525</v>
      </c>
      <c r="G627" s="2" t="s">
        <v>6039</v>
      </c>
      <c r="H627" s="2" t="s">
        <v>2104</v>
      </c>
      <c r="I627" s="2" t="s">
        <v>5920</v>
      </c>
      <c r="J627" s="2" t="s">
        <v>5933</v>
      </c>
      <c r="K627" s="3" t="b">
        <f>J627 = "blocking"</f>
        <v>1</v>
      </c>
      <c r="L627" s="2" t="s">
        <v>1428</v>
      </c>
      <c r="M627" s="2" t="s">
        <v>6040</v>
      </c>
      <c r="N627" s="4">
        <v>46223.1297337963</v>
      </c>
      <c r="O627" s="3" t="b">
        <f>L627 = "PASS"</f>
        <v>1</v>
      </c>
      <c r="P627" s="3" t="b">
        <f>L627 = "FAIL"</f>
        <v>0</v>
      </c>
      <c r="Q627" s="3" t="b">
        <f>AND(P627, K627)</f>
        <v>0</v>
      </c>
      <c r="R627" s="3" t="str">
        <f>IF(O627, I627, "")</f>
        <v>suite-substrate</v>
      </c>
      <c r="S627" s="3" t="str">
        <f>IF(Q627, I627, "")</f>
      </c>
      <c r="T627" s="2" t="s">
        <v>5935</v>
      </c>
    </row>
    <row r="628">
      <c r="A628" s="2" t="s">
        <v>6597</v>
      </c>
      <c r="B628" s="3" t="str">
        <f>C628 &amp; ": " &amp; D628</f>
        <v>formula-translates: IssueOccurrences.StepExecutionWhenUnresolved</v>
      </c>
      <c r="C628" s="2" t="s">
        <v>6038</v>
      </c>
      <c r="D628" s="2" t="s">
        <v>3806</v>
      </c>
      <c r="E628" s="2" t="s">
        <v>1816</v>
      </c>
      <c r="F628" s="2" t="s">
        <v>1526</v>
      </c>
      <c r="G628" s="2" t="s">
        <v>6039</v>
      </c>
      <c r="H628" s="2" t="s">
        <v>2104</v>
      </c>
      <c r="I628" s="2" t="s">
        <v>5920</v>
      </c>
      <c r="J628" s="2" t="s">
        <v>5933</v>
      </c>
      <c r="K628" s="3" t="b">
        <f>J628 = "blocking"</f>
        <v>1</v>
      </c>
      <c r="L628" s="2" t="s">
        <v>1428</v>
      </c>
      <c r="M628" s="2" t="s">
        <v>6040</v>
      </c>
      <c r="N628" s="4">
        <v>46223.1297337963</v>
      </c>
      <c r="O628" s="3" t="b">
        <f>L628 = "PASS"</f>
        <v>1</v>
      </c>
      <c r="P628" s="3" t="b">
        <f>L628 = "FAIL"</f>
        <v>0</v>
      </c>
      <c r="Q628" s="3" t="b">
        <f>AND(P628, K628)</f>
        <v>0</v>
      </c>
      <c r="R628" s="3" t="str">
        <f>IF(O628, I628, "")</f>
        <v>suite-substrate</v>
      </c>
      <c r="S628" s="3" t="str">
        <f>IF(Q628, I628, "")</f>
      </c>
      <c r="T628" s="2" t="s">
        <v>5935</v>
      </c>
    </row>
    <row r="629">
      <c r="A629" s="2" t="s">
        <v>6598</v>
      </c>
      <c r="B629" s="3" t="str">
        <f>C629 &amp; ": " &amp; D629</f>
        <v>formula-translates: UserQuestions.Name</v>
      </c>
      <c r="C629" s="2" t="s">
        <v>6038</v>
      </c>
      <c r="D629" s="2" t="s">
        <v>3810</v>
      </c>
      <c r="E629" s="2" t="s">
        <v>1819</v>
      </c>
      <c r="F629" s="2" t="s">
        <v>1</v>
      </c>
      <c r="G629" s="2" t="s">
        <v>6039</v>
      </c>
      <c r="H629" s="2"/>
      <c r="I629" s="2" t="s">
        <v>5920</v>
      </c>
      <c r="J629" s="2" t="s">
        <v>5933</v>
      </c>
      <c r="K629" s="3" t="b">
        <f>J629 = "blocking"</f>
        <v>1</v>
      </c>
      <c r="L629" s="2" t="s">
        <v>1428</v>
      </c>
      <c r="M629" s="2" t="s">
        <v>6040</v>
      </c>
      <c r="N629" s="4">
        <v>46223.1297337963</v>
      </c>
      <c r="O629" s="3" t="b">
        <f>L629 = "PASS"</f>
        <v>1</v>
      </c>
      <c r="P629" s="3" t="b">
        <f>L629 = "FAIL"</f>
        <v>0</v>
      </c>
      <c r="Q629" s="3" t="b">
        <f>AND(P629, K629)</f>
        <v>0</v>
      </c>
      <c r="R629" s="3" t="str">
        <f>IF(O629, I629, "")</f>
        <v>suite-substrate</v>
      </c>
      <c r="S629" s="3" t="str">
        <f>IF(Q629, I629, "")</f>
      </c>
      <c r="T629" s="2" t="s">
        <v>5935</v>
      </c>
    </row>
    <row r="630">
      <c r="A630" s="2" t="s">
        <v>6599</v>
      </c>
      <c r="B630" s="3" t="str">
        <f>C630 &amp; ": " &amp; D630</f>
        <v>formula-translates: UserFeedback.Name</v>
      </c>
      <c r="C630" s="2" t="s">
        <v>6038</v>
      </c>
      <c r="D630" s="2" t="s">
        <v>3821</v>
      </c>
      <c r="E630" s="2" t="s">
        <v>1822</v>
      </c>
      <c r="F630" s="2" t="s">
        <v>1</v>
      </c>
      <c r="G630" s="2" t="s">
        <v>6039</v>
      </c>
      <c r="H630" s="2"/>
      <c r="I630" s="2" t="s">
        <v>5920</v>
      </c>
      <c r="J630" s="2" t="s">
        <v>5933</v>
      </c>
      <c r="K630" s="3" t="b">
        <f>J630 = "blocking"</f>
        <v>1</v>
      </c>
      <c r="L630" s="2" t="s">
        <v>1428</v>
      </c>
      <c r="M630" s="2" t="s">
        <v>6040</v>
      </c>
      <c r="N630" s="4">
        <v>46223.1297337963</v>
      </c>
      <c r="O630" s="3" t="b">
        <f>L630 = "PASS"</f>
        <v>1</v>
      </c>
      <c r="P630" s="3" t="b">
        <f>L630 = "FAIL"</f>
        <v>0</v>
      </c>
      <c r="Q630" s="3" t="b">
        <f>AND(P630, K630)</f>
        <v>0</v>
      </c>
      <c r="R630" s="3" t="str">
        <f>IF(O630, I630, "")</f>
        <v>suite-substrate</v>
      </c>
      <c r="S630" s="3" t="str">
        <f>IF(Q630, I630, "")</f>
      </c>
      <c r="T630" s="2" t="s">
        <v>5935</v>
      </c>
    </row>
    <row r="631">
      <c r="A631" s="2" t="s">
        <v>6600</v>
      </c>
      <c r="B631" s="3" t="str">
        <f>C631 &amp; ": " &amp; D631</f>
        <v>formula-translates: StewardshipAssignments.Name</v>
      </c>
      <c r="C631" s="2" t="s">
        <v>6038</v>
      </c>
      <c r="D631" s="2" t="s">
        <v>3831</v>
      </c>
      <c r="E631" s="2" t="s">
        <v>1839</v>
      </c>
      <c r="F631" s="2" t="s">
        <v>1</v>
      </c>
      <c r="G631" s="2" t="s">
        <v>6039</v>
      </c>
      <c r="H631" s="2"/>
      <c r="I631" s="2" t="s">
        <v>5920</v>
      </c>
      <c r="J631" s="2" t="s">
        <v>5933</v>
      </c>
      <c r="K631" s="3" t="b">
        <f>J631 = "blocking"</f>
        <v>1</v>
      </c>
      <c r="L631" s="2" t="s">
        <v>1428</v>
      </c>
      <c r="M631" s="2" t="s">
        <v>6040</v>
      </c>
      <c r="N631" s="4">
        <v>46223.1297337963</v>
      </c>
      <c r="O631" s="3" t="b">
        <f>L631 = "PASS"</f>
        <v>1</v>
      </c>
      <c r="P631" s="3" t="b">
        <f>L631 = "FAIL"</f>
        <v>0</v>
      </c>
      <c r="Q631" s="3" t="b">
        <f>AND(P631, K631)</f>
        <v>0</v>
      </c>
      <c r="R631" s="3" t="str">
        <f>IF(O631, I631, "")</f>
        <v>suite-substrate</v>
      </c>
      <c r="S631" s="3" t="str">
        <f>IF(Q631, I631, "")</f>
      </c>
      <c r="T631" s="2" t="s">
        <v>5935</v>
      </c>
    </row>
    <row r="632">
      <c r="A632" s="2" t="s">
        <v>6601</v>
      </c>
      <c r="B632" s="3" t="str">
        <f>C632 &amp; ": " &amp; D632</f>
        <v>formula-translates: StewardshipAssignments.CountOfReviewEvents</v>
      </c>
      <c r="C632" s="2" t="s">
        <v>6038</v>
      </c>
      <c r="D632" s="2" t="s">
        <v>3839</v>
      </c>
      <c r="E632" s="2" t="s">
        <v>1839</v>
      </c>
      <c r="F632" s="2" t="s">
        <v>406</v>
      </c>
      <c r="G632" s="2" t="s">
        <v>6039</v>
      </c>
      <c r="H632" s="2" t="s">
        <v>1996</v>
      </c>
      <c r="I632" s="2" t="s">
        <v>5920</v>
      </c>
      <c r="J632" s="2" t="s">
        <v>5933</v>
      </c>
      <c r="K632" s="3" t="b">
        <f>J632 = "blocking"</f>
        <v>1</v>
      </c>
      <c r="L632" s="2" t="s">
        <v>1428</v>
      </c>
      <c r="M632" s="2" t="s">
        <v>6040</v>
      </c>
      <c r="N632" s="4">
        <v>46223.1297337963</v>
      </c>
      <c r="O632" s="3" t="b">
        <f>L632 = "PASS"</f>
        <v>1</v>
      </c>
      <c r="P632" s="3" t="b">
        <f>L632 = "FAIL"</f>
        <v>0</v>
      </c>
      <c r="Q632" s="3" t="b">
        <f>AND(P632, K632)</f>
        <v>0</v>
      </c>
      <c r="R632" s="3" t="str">
        <f>IF(O632, I632, "")</f>
        <v>suite-substrate</v>
      </c>
      <c r="S632" s="3" t="str">
        <f>IF(Q632, I632, "")</f>
      </c>
      <c r="T632" s="2" t="s">
        <v>5935</v>
      </c>
    </row>
    <row r="633">
      <c r="A633" s="2" t="s">
        <v>6602</v>
      </c>
      <c r="B633" s="3" t="str">
        <f>C633 &amp; ": " &amp; D633</f>
        <v>formula-translates: StewardshipAssignments.HasEverBeenReviewed</v>
      </c>
      <c r="C633" s="2" t="s">
        <v>6038</v>
      </c>
      <c r="D633" s="2" t="s">
        <v>3841</v>
      </c>
      <c r="E633" s="2" t="s">
        <v>1839</v>
      </c>
      <c r="F633" s="2" t="s">
        <v>1563</v>
      </c>
      <c r="G633" s="2" t="s">
        <v>6039</v>
      </c>
      <c r="H633" s="2" t="s">
        <v>1996</v>
      </c>
      <c r="I633" s="2" t="s">
        <v>5920</v>
      </c>
      <c r="J633" s="2" t="s">
        <v>5933</v>
      </c>
      <c r="K633" s="3" t="b">
        <f>J633 = "blocking"</f>
        <v>1</v>
      </c>
      <c r="L633" s="2" t="s">
        <v>1428</v>
      </c>
      <c r="M633" s="2" t="s">
        <v>6040</v>
      </c>
      <c r="N633" s="4">
        <v>46223.1297337963</v>
      </c>
      <c r="O633" s="3" t="b">
        <f>L633 = "PASS"</f>
        <v>1</v>
      </c>
      <c r="P633" s="3" t="b">
        <f>L633 = "FAIL"</f>
        <v>0</v>
      </c>
      <c r="Q633" s="3" t="b">
        <f>AND(P633, K633)</f>
        <v>0</v>
      </c>
      <c r="R633" s="3" t="str">
        <f>IF(O633, I633, "")</f>
        <v>suite-substrate</v>
      </c>
      <c r="S633" s="3" t="str">
        <f>IF(Q633, I633, "")</f>
      </c>
      <c r="T633" s="2" t="s">
        <v>5935</v>
      </c>
    </row>
    <row r="634">
      <c r="A634" s="2" t="s">
        <v>6603</v>
      </c>
      <c r="B634" s="3" t="str">
        <f>C634 &amp; ": " &amp; D634</f>
        <v>formula-translates: StewardshipAssignments.AsOfInstant</v>
      </c>
      <c r="C634" s="2" t="s">
        <v>6038</v>
      </c>
      <c r="D634" s="2" t="s">
        <v>3844</v>
      </c>
      <c r="E634" s="2" t="s">
        <v>1839</v>
      </c>
      <c r="F634" s="2" t="s">
        <v>92</v>
      </c>
      <c r="G634" s="2" t="s">
        <v>6039</v>
      </c>
      <c r="H634" s="2"/>
      <c r="I634" s="2" t="s">
        <v>5920</v>
      </c>
      <c r="J634" s="2" t="s">
        <v>5933</v>
      </c>
      <c r="K634" s="3" t="b">
        <f>J634 = "blocking"</f>
        <v>1</v>
      </c>
      <c r="L634" s="2" t="s">
        <v>1428</v>
      </c>
      <c r="M634" s="2" t="s">
        <v>6040</v>
      </c>
      <c r="N634" s="4">
        <v>46223.1297337963</v>
      </c>
      <c r="O634" s="3" t="b">
        <f>L634 = "PASS"</f>
        <v>1</v>
      </c>
      <c r="P634" s="3" t="b">
        <f>L634 = "FAIL"</f>
        <v>0</v>
      </c>
      <c r="Q634" s="3" t="b">
        <f>AND(P634, K634)</f>
        <v>0</v>
      </c>
      <c r="R634" s="3" t="str">
        <f>IF(O634, I634, "")</f>
        <v>suite-substrate</v>
      </c>
      <c r="S634" s="3" t="str">
        <f>IF(Q634, I634, "")</f>
      </c>
      <c r="T634" s="2" t="s">
        <v>5935</v>
      </c>
    </row>
    <row r="635">
      <c r="A635" s="2" t="s">
        <v>6604</v>
      </c>
      <c r="B635" s="3" t="str">
        <f>C635 &amp; ": " &amp; D635</f>
        <v>formula-translates: StewardshipAssignments.IsCurrentAssignment</v>
      </c>
      <c r="C635" s="2" t="s">
        <v>6038</v>
      </c>
      <c r="D635" s="2" t="s">
        <v>3845</v>
      </c>
      <c r="E635" s="2" t="s">
        <v>1839</v>
      </c>
      <c r="F635" s="2" t="s">
        <v>1564</v>
      </c>
      <c r="G635" s="2" t="s">
        <v>6039</v>
      </c>
      <c r="H635" s="2" t="s">
        <v>2000</v>
      </c>
      <c r="I635" s="2" t="s">
        <v>5920</v>
      </c>
      <c r="J635" s="2" t="s">
        <v>5933</v>
      </c>
      <c r="K635" s="3" t="b">
        <f>J635 = "blocking"</f>
        <v>1</v>
      </c>
      <c r="L635" s="2" t="s">
        <v>1428</v>
      </c>
      <c r="M635" s="2" t="s">
        <v>6040</v>
      </c>
      <c r="N635" s="4">
        <v>46223.1297337963</v>
      </c>
      <c r="O635" s="3" t="b">
        <f>L635 = "PASS"</f>
        <v>1</v>
      </c>
      <c r="P635" s="3" t="b">
        <f>L635 = "FAIL"</f>
        <v>0</v>
      </c>
      <c r="Q635" s="3" t="b">
        <f>AND(P635, K635)</f>
        <v>0</v>
      </c>
      <c r="R635" s="3" t="str">
        <f>IF(O635, I635, "")</f>
        <v>suite-substrate</v>
      </c>
      <c r="S635" s="3" t="str">
        <f>IF(Q635, I635, "")</f>
      </c>
      <c r="T635" s="2" t="s">
        <v>5935</v>
      </c>
    </row>
    <row r="636">
      <c r="A636" s="2" t="s">
        <v>6605</v>
      </c>
      <c r="B636" s="3" t="str">
        <f>C636 &amp; ": " &amp; D636</f>
        <v>formula-translates: ChangeRequests.Name</v>
      </c>
      <c r="C636" s="2" t="s">
        <v>6038</v>
      </c>
      <c r="D636" s="2" t="s">
        <v>3849</v>
      </c>
      <c r="E636" s="2" t="s">
        <v>3848</v>
      </c>
      <c r="F636" s="2" t="s">
        <v>1</v>
      </c>
      <c r="G636" s="2" t="s">
        <v>6039</v>
      </c>
      <c r="H636" s="2"/>
      <c r="I636" s="2" t="s">
        <v>5920</v>
      </c>
      <c r="J636" s="2" t="s">
        <v>5933</v>
      </c>
      <c r="K636" s="3" t="b">
        <f>J636 = "blocking"</f>
        <v>1</v>
      </c>
      <c r="L636" s="2" t="s">
        <v>1428</v>
      </c>
      <c r="M636" s="2" t="s">
        <v>6040</v>
      </c>
      <c r="N636" s="4">
        <v>46223.1297337963</v>
      </c>
      <c r="O636" s="3" t="b">
        <f>L636 = "PASS"</f>
        <v>1</v>
      </c>
      <c r="P636" s="3" t="b">
        <f>L636 = "FAIL"</f>
        <v>0</v>
      </c>
      <c r="Q636" s="3" t="b">
        <f>AND(P636, K636)</f>
        <v>0</v>
      </c>
      <c r="R636" s="3" t="str">
        <f>IF(O636, I636, "")</f>
        <v>suite-substrate</v>
      </c>
      <c r="S636" s="3" t="str">
        <f>IF(Q636, I636, "")</f>
      </c>
      <c r="T636" s="2" t="s">
        <v>5935</v>
      </c>
    </row>
    <row r="637">
      <c r="A637" s="2" t="s">
        <v>6606</v>
      </c>
      <c r="B637" s="3" t="str">
        <f>C637 &amp; ": " &amp; D637</f>
        <v>formula-translates: ChangeRequests.IsOpen</v>
      </c>
      <c r="C637" s="2" t="s">
        <v>6038</v>
      </c>
      <c r="D637" s="2" t="s">
        <v>3859</v>
      </c>
      <c r="E637" s="2" t="s">
        <v>3848</v>
      </c>
      <c r="F637" s="2" t="s">
        <v>1179</v>
      </c>
      <c r="G637" s="2" t="s">
        <v>6039</v>
      </c>
      <c r="H637" s="2"/>
      <c r="I637" s="2" t="s">
        <v>5920</v>
      </c>
      <c r="J637" s="2" t="s">
        <v>5933</v>
      </c>
      <c r="K637" s="3" t="b">
        <f>J637 = "blocking"</f>
        <v>1</v>
      </c>
      <c r="L637" s="2" t="s">
        <v>1428</v>
      </c>
      <c r="M637" s="2" t="s">
        <v>6040</v>
      </c>
      <c r="N637" s="4">
        <v>46223.1297337963</v>
      </c>
      <c r="O637" s="3" t="b">
        <f>L637 = "PASS"</f>
        <v>1</v>
      </c>
      <c r="P637" s="3" t="b">
        <f>L637 = "FAIL"</f>
        <v>0</v>
      </c>
      <c r="Q637" s="3" t="b">
        <f>AND(P637, K637)</f>
        <v>0</v>
      </c>
      <c r="R637" s="3" t="str">
        <f>IF(O637, I637, "")</f>
        <v>suite-substrate</v>
      </c>
      <c r="S637" s="3" t="str">
        <f>IF(Q637, I637, "")</f>
      </c>
      <c r="T637" s="2" t="s">
        <v>5935</v>
      </c>
    </row>
    <row r="638">
      <c r="A638" s="2" t="s">
        <v>6607</v>
      </c>
      <c r="B638" s="3" t="str">
        <f>C638 &amp; ": " &amp; D638</f>
        <v>formula-translates: ChangeRequests.OpenChangeVersionKey</v>
      </c>
      <c r="C638" s="2" t="s">
        <v>6038</v>
      </c>
      <c r="D638" s="2" t="s">
        <v>3861</v>
      </c>
      <c r="E638" s="2" t="s">
        <v>3848</v>
      </c>
      <c r="F638" s="2" t="s">
        <v>1574</v>
      </c>
      <c r="G638" s="2" t="s">
        <v>6039</v>
      </c>
      <c r="H638" s="2" t="s">
        <v>1980</v>
      </c>
      <c r="I638" s="2" t="s">
        <v>5920</v>
      </c>
      <c r="J638" s="2" t="s">
        <v>5933</v>
      </c>
      <c r="K638" s="3" t="b">
        <f>J638 = "blocking"</f>
        <v>1</v>
      </c>
      <c r="L638" s="2" t="s">
        <v>1428</v>
      </c>
      <c r="M638" s="2" t="s">
        <v>6040</v>
      </c>
      <c r="N638" s="4">
        <v>46223.1297337963</v>
      </c>
      <c r="O638" s="3" t="b">
        <f>L638 = "PASS"</f>
        <v>1</v>
      </c>
      <c r="P638" s="3" t="b">
        <f>L638 = "FAIL"</f>
        <v>0</v>
      </c>
      <c r="Q638" s="3" t="b">
        <f>AND(P638, K638)</f>
        <v>0</v>
      </c>
      <c r="R638" s="3" t="str">
        <f>IF(O638, I638, "")</f>
        <v>suite-substrate</v>
      </c>
      <c r="S638" s="3" t="str">
        <f>IF(Q638, I638, "")</f>
      </c>
      <c r="T638" s="2" t="s">
        <v>5935</v>
      </c>
    </row>
    <row r="639">
      <c r="A639" s="2" t="s">
        <v>6608</v>
      </c>
      <c r="B639" s="3" t="str">
        <f>C639 &amp; ": " &amp; D639</f>
        <v>formula-translates: ChangeRequests.IsDecided</v>
      </c>
      <c r="C639" s="2" t="s">
        <v>6038</v>
      </c>
      <c r="D639" s="2" t="s">
        <v>3863</v>
      </c>
      <c r="E639" s="2" t="s">
        <v>3848</v>
      </c>
      <c r="F639" s="2" t="s">
        <v>1575</v>
      </c>
      <c r="G639" s="2" t="s">
        <v>6039</v>
      </c>
      <c r="H639" s="2" t="s">
        <v>2012</v>
      </c>
      <c r="I639" s="2" t="s">
        <v>5920</v>
      </c>
      <c r="J639" s="2" t="s">
        <v>5933</v>
      </c>
      <c r="K639" s="3" t="b">
        <f>J639 = "blocking"</f>
        <v>1</v>
      </c>
      <c r="L639" s="2" t="s">
        <v>1428</v>
      </c>
      <c r="M639" s="2" t="s">
        <v>6040</v>
      </c>
      <c r="N639" s="4">
        <v>46223.1297337963</v>
      </c>
      <c r="O639" s="3" t="b">
        <f>L639 = "PASS"</f>
        <v>1</v>
      </c>
      <c r="P639" s="3" t="b">
        <f>L639 = "FAIL"</f>
        <v>0</v>
      </c>
      <c r="Q639" s="3" t="b">
        <f>AND(P639, K639)</f>
        <v>0</v>
      </c>
      <c r="R639" s="3" t="str">
        <f>IF(O639, I639, "")</f>
        <v>suite-substrate</v>
      </c>
      <c r="S639" s="3" t="str">
        <f>IF(Q639, I639, "")</f>
      </c>
      <c r="T639" s="2" t="s">
        <v>5935</v>
      </c>
    </row>
    <row r="640">
      <c r="A640" s="2" t="s">
        <v>6609</v>
      </c>
      <c r="B640" s="3" t="str">
        <f>C640 &amp; ": " &amp; D640</f>
        <v>formula-translates: ChangeRequests.AsOfInstant</v>
      </c>
      <c r="C640" s="2" t="s">
        <v>6038</v>
      </c>
      <c r="D640" s="2" t="s">
        <v>3866</v>
      </c>
      <c r="E640" s="2" t="s">
        <v>3848</v>
      </c>
      <c r="F640" s="2" t="s">
        <v>92</v>
      </c>
      <c r="G640" s="2" t="s">
        <v>6039</v>
      </c>
      <c r="H640" s="2"/>
      <c r="I640" s="2" t="s">
        <v>5920</v>
      </c>
      <c r="J640" s="2" t="s">
        <v>5933</v>
      </c>
      <c r="K640" s="3" t="b">
        <f>J640 = "blocking"</f>
        <v>1</v>
      </c>
      <c r="L640" s="2" t="s">
        <v>1428</v>
      </c>
      <c r="M640" s="2" t="s">
        <v>6040</v>
      </c>
      <c r="N640" s="4">
        <v>46223.1297337963</v>
      </c>
      <c r="O640" s="3" t="b">
        <f>L640 = "PASS"</f>
        <v>1</v>
      </c>
      <c r="P640" s="3" t="b">
        <f>L640 = "FAIL"</f>
        <v>0</v>
      </c>
      <c r="Q640" s="3" t="b">
        <f>AND(P640, K640)</f>
        <v>0</v>
      </c>
      <c r="R640" s="3" t="str">
        <f>IF(O640, I640, "")</f>
        <v>suite-substrate</v>
      </c>
      <c r="S640" s="3" t="str">
        <f>IF(Q640, I640, "")</f>
      </c>
      <c r="T640" s="2" t="s">
        <v>5935</v>
      </c>
    </row>
    <row r="641">
      <c r="A641" s="2" t="s">
        <v>6610</v>
      </c>
      <c r="B641" s="3" t="str">
        <f>C641 &amp; ": " &amp; D641</f>
        <v>formula-translates: ChangeRequests.DaysPending</v>
      </c>
      <c r="C641" s="2" t="s">
        <v>6038</v>
      </c>
      <c r="D641" s="2" t="s">
        <v>3867</v>
      </c>
      <c r="E641" s="2" t="s">
        <v>3848</v>
      </c>
      <c r="F641" s="2" t="s">
        <v>1576</v>
      </c>
      <c r="G641" s="2" t="s">
        <v>6039</v>
      </c>
      <c r="H641" s="2" t="s">
        <v>2012</v>
      </c>
      <c r="I641" s="2" t="s">
        <v>5920</v>
      </c>
      <c r="J641" s="2" t="s">
        <v>5933</v>
      </c>
      <c r="K641" s="3" t="b">
        <f>J641 = "blocking"</f>
        <v>1</v>
      </c>
      <c r="L641" s="2" t="s">
        <v>1428</v>
      </c>
      <c r="M641" s="2" t="s">
        <v>6040</v>
      </c>
      <c r="N641" s="4">
        <v>46223.1297337963</v>
      </c>
      <c r="O641" s="3" t="b">
        <f>L641 = "PASS"</f>
        <v>1</v>
      </c>
      <c r="P641" s="3" t="b">
        <f>L641 = "FAIL"</f>
        <v>0</v>
      </c>
      <c r="Q641" s="3" t="b">
        <f>AND(P641, K641)</f>
        <v>0</v>
      </c>
      <c r="R641" s="3" t="str">
        <f>IF(O641, I641, "")</f>
        <v>suite-substrate</v>
      </c>
      <c r="S641" s="3" t="str">
        <f>IF(Q641, I641, "")</f>
      </c>
      <c r="T641" s="2" t="s">
        <v>5935</v>
      </c>
    </row>
    <row r="642">
      <c r="A642" s="2" t="s">
        <v>6611</v>
      </c>
      <c r="B642" s="3" t="str">
        <f>C642 &amp; ": " &amp; D642</f>
        <v>formula-translates: ChangeRequests.IsStillPending</v>
      </c>
      <c r="C642" s="2" t="s">
        <v>6038</v>
      </c>
      <c r="D642" s="2" t="s">
        <v>3869</v>
      </c>
      <c r="E642" s="2" t="s">
        <v>3848</v>
      </c>
      <c r="F642" s="2" t="s">
        <v>1577</v>
      </c>
      <c r="G642" s="2" t="s">
        <v>6039</v>
      </c>
      <c r="H642" s="2" t="s">
        <v>2012</v>
      </c>
      <c r="I642" s="2" t="s">
        <v>5920</v>
      </c>
      <c r="J642" s="2" t="s">
        <v>5933</v>
      </c>
      <c r="K642" s="3" t="b">
        <f>J642 = "blocking"</f>
        <v>1</v>
      </c>
      <c r="L642" s="2" t="s">
        <v>1428</v>
      </c>
      <c r="M642" s="2" t="s">
        <v>6040</v>
      </c>
      <c r="N642" s="4">
        <v>46223.1297337963</v>
      </c>
      <c r="O642" s="3" t="b">
        <f>L642 = "PASS"</f>
        <v>1</v>
      </c>
      <c r="P642" s="3" t="b">
        <f>L642 = "FAIL"</f>
        <v>0</v>
      </c>
      <c r="Q642" s="3" t="b">
        <f>AND(P642, K642)</f>
        <v>0</v>
      </c>
      <c r="R642" s="3" t="str">
        <f>IF(O642, I642, "")</f>
        <v>suite-substrate</v>
      </c>
      <c r="S642" s="3" t="str">
        <f>IF(Q642, I642, "")</f>
      </c>
      <c r="T642" s="2" t="s">
        <v>5935</v>
      </c>
    </row>
    <row r="643">
      <c r="A643" s="2" t="s">
        <v>6612</v>
      </c>
      <c r="B643" s="3" t="str">
        <f>C643 &amp; ": " &amp; D643</f>
        <v>formula-translates: ChangeRequests.IsStalled</v>
      </c>
      <c r="C643" s="2" t="s">
        <v>6038</v>
      </c>
      <c r="D643" s="2" t="s">
        <v>3871</v>
      </c>
      <c r="E643" s="2" t="s">
        <v>3848</v>
      </c>
      <c r="F643" s="2" t="s">
        <v>1578</v>
      </c>
      <c r="G643" s="2" t="s">
        <v>6039</v>
      </c>
      <c r="H643" s="2" t="s">
        <v>2012</v>
      </c>
      <c r="I643" s="2" t="s">
        <v>5920</v>
      </c>
      <c r="J643" s="2" t="s">
        <v>5933</v>
      </c>
      <c r="K643" s="3" t="b">
        <f>J643 = "blocking"</f>
        <v>1</v>
      </c>
      <c r="L643" s="2" t="s">
        <v>1428</v>
      </c>
      <c r="M643" s="2" t="s">
        <v>6040</v>
      </c>
      <c r="N643" s="4">
        <v>46223.1297337963</v>
      </c>
      <c r="O643" s="3" t="b">
        <f>L643 = "PASS"</f>
        <v>1</v>
      </c>
      <c r="P643" s="3" t="b">
        <f>L643 = "FAIL"</f>
        <v>0</v>
      </c>
      <c r="Q643" s="3" t="b">
        <f>AND(P643, K643)</f>
        <v>0</v>
      </c>
      <c r="R643" s="3" t="str">
        <f>IF(O643, I643, "")</f>
        <v>suite-substrate</v>
      </c>
      <c r="S643" s="3" t="str">
        <f>IF(Q643, I643, "")</f>
      </c>
      <c r="T643" s="2" t="s">
        <v>5935</v>
      </c>
    </row>
    <row r="644">
      <c r="A644" s="2" t="s">
        <v>6613</v>
      </c>
      <c r="B644" s="3" t="str">
        <f>C644 &amp; ": " &amp; D644</f>
        <v>formula-translates: ChangeRequests.AuthorityAgent</v>
      </c>
      <c r="C644" s="2" t="s">
        <v>6038</v>
      </c>
      <c r="D644" s="2" t="s">
        <v>3873</v>
      </c>
      <c r="E644" s="2" t="s">
        <v>3848</v>
      </c>
      <c r="F644" s="2" t="s">
        <v>1579</v>
      </c>
      <c r="G644" s="2" t="s">
        <v>6039</v>
      </c>
      <c r="H644" s="2" t="s">
        <v>2012</v>
      </c>
      <c r="I644" s="2" t="s">
        <v>5920</v>
      </c>
      <c r="J644" s="2" t="s">
        <v>5933</v>
      </c>
      <c r="K644" s="3" t="b">
        <f>J644 = "blocking"</f>
        <v>1</v>
      </c>
      <c r="L644" s="2" t="s">
        <v>1428</v>
      </c>
      <c r="M644" s="2" t="s">
        <v>6040</v>
      </c>
      <c r="N644" s="4">
        <v>46223.1297337963</v>
      </c>
      <c r="O644" s="3" t="b">
        <f>L644 = "PASS"</f>
        <v>1</v>
      </c>
      <c r="P644" s="3" t="b">
        <f>L644 = "FAIL"</f>
        <v>0</v>
      </c>
      <c r="Q644" s="3" t="b">
        <f>AND(P644, K644)</f>
        <v>0</v>
      </c>
      <c r="R644" s="3" t="str">
        <f>IF(O644, I644, "")</f>
        <v>suite-substrate</v>
      </c>
      <c r="S644" s="3" t="str">
        <f>IF(Q644, I644, "")</f>
      </c>
      <c r="T644" s="2" t="s">
        <v>5935</v>
      </c>
    </row>
    <row r="645">
      <c r="A645" s="2" t="s">
        <v>6614</v>
      </c>
      <c r="B645" s="3" t="str">
        <f>C645 &amp; ": " &amp; D645</f>
        <v>formula-translates: ChangeRequests.RequesterIsAuthority</v>
      </c>
      <c r="C645" s="2" t="s">
        <v>6038</v>
      </c>
      <c r="D645" s="2" t="s">
        <v>3875</v>
      </c>
      <c r="E645" s="2" t="s">
        <v>3848</v>
      </c>
      <c r="F645" s="2" t="s">
        <v>1580</v>
      </c>
      <c r="G645" s="2" t="s">
        <v>6039</v>
      </c>
      <c r="H645" s="2" t="s">
        <v>2012</v>
      </c>
      <c r="I645" s="2" t="s">
        <v>5920</v>
      </c>
      <c r="J645" s="2" t="s">
        <v>5933</v>
      </c>
      <c r="K645" s="3" t="b">
        <f>J645 = "blocking"</f>
        <v>1</v>
      </c>
      <c r="L645" s="2" t="s">
        <v>1428</v>
      </c>
      <c r="M645" s="2" t="s">
        <v>6040</v>
      </c>
      <c r="N645" s="4">
        <v>46223.1297337963</v>
      </c>
      <c r="O645" s="3" t="b">
        <f>L645 = "PASS"</f>
        <v>1</v>
      </c>
      <c r="P645" s="3" t="b">
        <f>L645 = "FAIL"</f>
        <v>0</v>
      </c>
      <c r="Q645" s="3" t="b">
        <f>AND(P645, K645)</f>
        <v>0</v>
      </c>
      <c r="R645" s="3" t="str">
        <f>IF(O645, I645, "")</f>
        <v>suite-substrate</v>
      </c>
      <c r="S645" s="3" t="str">
        <f>IF(Q645, I645, "")</f>
      </c>
      <c r="T645" s="2" t="s">
        <v>5935</v>
      </c>
    </row>
    <row r="646">
      <c r="A646" s="2" t="s">
        <v>6615</v>
      </c>
      <c r="B646" s="3" t="str">
        <f>C646 &amp; ": " &amp; D646</f>
        <v>formula-translates: ChangeRequests.AwaitsAuthorityDecision</v>
      </c>
      <c r="C646" s="2" t="s">
        <v>6038</v>
      </c>
      <c r="D646" s="2" t="s">
        <v>3877</v>
      </c>
      <c r="E646" s="2" t="s">
        <v>3848</v>
      </c>
      <c r="F646" s="2" t="s">
        <v>1581</v>
      </c>
      <c r="G646" s="2" t="s">
        <v>6039</v>
      </c>
      <c r="H646" s="2" t="s">
        <v>2116</v>
      </c>
      <c r="I646" s="2" t="s">
        <v>5920</v>
      </c>
      <c r="J646" s="2" t="s">
        <v>5933</v>
      </c>
      <c r="K646" s="3" t="b">
        <f>J646 = "blocking"</f>
        <v>1</v>
      </c>
      <c r="L646" s="2" t="s">
        <v>1428</v>
      </c>
      <c r="M646" s="2" t="s">
        <v>6040</v>
      </c>
      <c r="N646" s="4">
        <v>46223.1297337963</v>
      </c>
      <c r="O646" s="3" t="b">
        <f>L646 = "PASS"</f>
        <v>1</v>
      </c>
      <c r="P646" s="3" t="b">
        <f>L646 = "FAIL"</f>
        <v>0</v>
      </c>
      <c r="Q646" s="3" t="b">
        <f>AND(P646, K646)</f>
        <v>0</v>
      </c>
      <c r="R646" s="3" t="str">
        <f>IF(O646, I646, "")</f>
        <v>suite-substrate</v>
      </c>
      <c r="S646" s="3" t="str">
        <f>IF(Q646, I646, "")</f>
      </c>
      <c r="T646" s="2" t="s">
        <v>5935</v>
      </c>
    </row>
    <row r="647">
      <c r="A647" s="2" t="s">
        <v>6616</v>
      </c>
      <c r="B647" s="3" t="str">
        <f>C647 &amp; ": " &amp; D647</f>
        <v>formula-translates: ChangeRequests.AuthorityRoleLabel</v>
      </c>
      <c r="C647" s="2" t="s">
        <v>6038</v>
      </c>
      <c r="D647" s="2" t="s">
        <v>3879</v>
      </c>
      <c r="E647" s="2" t="s">
        <v>3848</v>
      </c>
      <c r="F647" s="2" t="s">
        <v>1582</v>
      </c>
      <c r="G647" s="2" t="s">
        <v>6039</v>
      </c>
      <c r="H647" s="2" t="s">
        <v>2116</v>
      </c>
      <c r="I647" s="2" t="s">
        <v>5920</v>
      </c>
      <c r="J647" s="2" t="s">
        <v>5933</v>
      </c>
      <c r="K647" s="3" t="b">
        <f>J647 = "blocking"</f>
        <v>1</v>
      </c>
      <c r="L647" s="2" t="s">
        <v>1428</v>
      </c>
      <c r="M647" s="2" t="s">
        <v>6040</v>
      </c>
      <c r="N647" s="4">
        <v>46223.1297337963</v>
      </c>
      <c r="O647" s="3" t="b">
        <f>L647 = "PASS"</f>
        <v>1</v>
      </c>
      <c r="P647" s="3" t="b">
        <f>L647 = "FAIL"</f>
        <v>0</v>
      </c>
      <c r="Q647" s="3" t="b">
        <f>AND(P647, K647)</f>
        <v>0</v>
      </c>
      <c r="R647" s="3" t="str">
        <f>IF(O647, I647, "")</f>
        <v>suite-substrate</v>
      </c>
      <c r="S647" s="3" t="str">
        <f>IF(Q647, I647, "")</f>
      </c>
      <c r="T647" s="2" t="s">
        <v>5935</v>
      </c>
    </row>
    <row r="648">
      <c r="A648" s="2" t="s">
        <v>6617</v>
      </c>
      <c r="B648" s="3" t="str">
        <f>C648 &amp; ": " &amp; D648</f>
        <v>formula-translates: ChangeRequests.TouchesLiveVersion</v>
      </c>
      <c r="C648" s="2" t="s">
        <v>6038</v>
      </c>
      <c r="D648" s="2" t="s">
        <v>3881</v>
      </c>
      <c r="E648" s="2" t="s">
        <v>3848</v>
      </c>
      <c r="F648" s="2" t="s">
        <v>1583</v>
      </c>
      <c r="G648" s="2" t="s">
        <v>6039</v>
      </c>
      <c r="H648" s="2" t="s">
        <v>2116</v>
      </c>
      <c r="I648" s="2" t="s">
        <v>5920</v>
      </c>
      <c r="J648" s="2" t="s">
        <v>5933</v>
      </c>
      <c r="K648" s="3" t="b">
        <f>J648 = "blocking"</f>
        <v>1</v>
      </c>
      <c r="L648" s="2" t="s">
        <v>1428</v>
      </c>
      <c r="M648" s="2" t="s">
        <v>6040</v>
      </c>
      <c r="N648" s="4">
        <v>46223.1297337963</v>
      </c>
      <c r="O648" s="3" t="b">
        <f>L648 = "PASS"</f>
        <v>1</v>
      </c>
      <c r="P648" s="3" t="b">
        <f>L648 = "FAIL"</f>
        <v>0</v>
      </c>
      <c r="Q648" s="3" t="b">
        <f>AND(P648, K648)</f>
        <v>0</v>
      </c>
      <c r="R648" s="3" t="str">
        <f>IF(O648, I648, "")</f>
        <v>suite-substrate</v>
      </c>
      <c r="S648" s="3" t="str">
        <f>IF(Q648, I648, "")</f>
      </c>
      <c r="T648" s="2" t="s">
        <v>5935</v>
      </c>
    </row>
    <row r="649">
      <c r="A649" s="2" t="s">
        <v>6618</v>
      </c>
      <c r="B649" s="3" t="str">
        <f>C649 &amp; ": " &amp; D649</f>
        <v>formula-translates: ChangeRequests.IsLiveDecisionBacklog</v>
      </c>
      <c r="C649" s="2" t="s">
        <v>6038</v>
      </c>
      <c r="D649" s="2" t="s">
        <v>3882</v>
      </c>
      <c r="E649" s="2" t="s">
        <v>3848</v>
      </c>
      <c r="F649" s="2" t="s">
        <v>1584</v>
      </c>
      <c r="G649" s="2" t="s">
        <v>6039</v>
      </c>
      <c r="H649" s="2" t="s">
        <v>2116</v>
      </c>
      <c r="I649" s="2" t="s">
        <v>5920</v>
      </c>
      <c r="J649" s="2" t="s">
        <v>5933</v>
      </c>
      <c r="K649" s="3" t="b">
        <f>J649 = "blocking"</f>
        <v>1</v>
      </c>
      <c r="L649" s="2" t="s">
        <v>1428</v>
      </c>
      <c r="M649" s="2" t="s">
        <v>6040</v>
      </c>
      <c r="N649" s="4">
        <v>46223.1297337963</v>
      </c>
      <c r="O649" s="3" t="b">
        <f>L649 = "PASS"</f>
        <v>1</v>
      </c>
      <c r="P649" s="3" t="b">
        <f>L649 = "FAIL"</f>
        <v>0</v>
      </c>
      <c r="Q649" s="3" t="b">
        <f>AND(P649, K649)</f>
        <v>0</v>
      </c>
      <c r="R649" s="3" t="str">
        <f>IF(O649, I649, "")</f>
        <v>suite-substrate</v>
      </c>
      <c r="S649" s="3" t="str">
        <f>IF(Q649, I649, "")</f>
      </c>
      <c r="T649" s="2" t="s">
        <v>5935</v>
      </c>
    </row>
    <row r="650">
      <c r="A650" s="2" t="s">
        <v>6619</v>
      </c>
      <c r="B650" s="3" t="str">
        <f>C650 &amp; ": " &amp; D650</f>
        <v>formula-translates: ChangeRequests.BlocksAnOpenGap</v>
      </c>
      <c r="C650" s="2" t="s">
        <v>6038</v>
      </c>
      <c r="D650" s="2" t="s">
        <v>3884</v>
      </c>
      <c r="E650" s="2" t="s">
        <v>3848</v>
      </c>
      <c r="F650" s="2" t="s">
        <v>1585</v>
      </c>
      <c r="G650" s="2" t="s">
        <v>6039</v>
      </c>
      <c r="H650" s="2" t="s">
        <v>2116</v>
      </c>
      <c r="I650" s="2" t="s">
        <v>5920</v>
      </c>
      <c r="J650" s="2" t="s">
        <v>5933</v>
      </c>
      <c r="K650" s="3" t="b">
        <f>J650 = "blocking"</f>
        <v>1</v>
      </c>
      <c r="L650" s="2" t="s">
        <v>1428</v>
      </c>
      <c r="M650" s="2" t="s">
        <v>6040</v>
      </c>
      <c r="N650" s="4">
        <v>46223.1297337963</v>
      </c>
      <c r="O650" s="3" t="b">
        <f>L650 = "PASS"</f>
        <v>1</v>
      </c>
      <c r="P650" s="3" t="b">
        <f>L650 = "FAIL"</f>
        <v>0</v>
      </c>
      <c r="Q650" s="3" t="b">
        <f>AND(P650, K650)</f>
        <v>0</v>
      </c>
      <c r="R650" s="3" t="str">
        <f>IF(O650, I650, "")</f>
        <v>suite-substrate</v>
      </c>
      <c r="S650" s="3" t="str">
        <f>IF(Q650, I650, "")</f>
      </c>
      <c r="T650" s="2" t="s">
        <v>5935</v>
      </c>
    </row>
    <row r="651">
      <c r="A651" s="2" t="s">
        <v>6620</v>
      </c>
      <c r="B651" s="3" t="str">
        <f>C651 &amp; ": " &amp; D651</f>
        <v>formula-translates: ChangeRequests.BacklogVersionKey</v>
      </c>
      <c r="C651" s="2" t="s">
        <v>6038</v>
      </c>
      <c r="D651" s="2" t="s">
        <v>3887</v>
      </c>
      <c r="E651" s="2" t="s">
        <v>3848</v>
      </c>
      <c r="F651" s="2" t="s">
        <v>1587</v>
      </c>
      <c r="G651" s="2" t="s">
        <v>6039</v>
      </c>
      <c r="H651" s="2" t="s">
        <v>2196</v>
      </c>
      <c r="I651" s="2" t="s">
        <v>5920</v>
      </c>
      <c r="J651" s="2" t="s">
        <v>5933</v>
      </c>
      <c r="K651" s="3" t="b">
        <f>J651 = "blocking"</f>
        <v>1</v>
      </c>
      <c r="L651" s="2" t="s">
        <v>1428</v>
      </c>
      <c r="M651" s="2" t="s">
        <v>6040</v>
      </c>
      <c r="N651" s="4">
        <v>46223.1297337963</v>
      </c>
      <c r="O651" s="3" t="b">
        <f>L651 = "PASS"</f>
        <v>1</v>
      </c>
      <c r="P651" s="3" t="b">
        <f>L651 = "FAIL"</f>
        <v>0</v>
      </c>
      <c r="Q651" s="3" t="b">
        <f>AND(P651, K651)</f>
        <v>0</v>
      </c>
      <c r="R651" s="3" t="str">
        <f>IF(O651, I651, "")</f>
        <v>suite-substrate</v>
      </c>
      <c r="S651" s="3" t="str">
        <f>IF(Q651, I651, "")</f>
      </c>
      <c r="T651" s="2" t="s">
        <v>5935</v>
      </c>
    </row>
    <row r="652">
      <c r="A652" s="2" t="s">
        <v>6621</v>
      </c>
      <c r="B652" s="3" t="str">
        <f>C652 &amp; ": " &amp; D652</f>
        <v>formula-translates: ChangeRequests.IsMyPendingDecision</v>
      </c>
      <c r="C652" s="2" t="s">
        <v>6038</v>
      </c>
      <c r="D652" s="2" t="s">
        <v>3889</v>
      </c>
      <c r="E652" s="2" t="s">
        <v>3848</v>
      </c>
      <c r="F652" s="2" t="s">
        <v>1588</v>
      </c>
      <c r="G652" s="2" t="s">
        <v>6039</v>
      </c>
      <c r="H652" s="2" t="s">
        <v>2196</v>
      </c>
      <c r="I652" s="2" t="s">
        <v>5920</v>
      </c>
      <c r="J652" s="2" t="s">
        <v>5933</v>
      </c>
      <c r="K652" s="3" t="b">
        <f>J652 = "blocking"</f>
        <v>1</v>
      </c>
      <c r="L652" s="2" t="s">
        <v>1428</v>
      </c>
      <c r="M652" s="2" t="s">
        <v>6040</v>
      </c>
      <c r="N652" s="4">
        <v>46223.1297337963</v>
      </c>
      <c r="O652" s="3" t="b">
        <f>L652 = "PASS"</f>
        <v>1</v>
      </c>
      <c r="P652" s="3" t="b">
        <f>L652 = "FAIL"</f>
        <v>0</v>
      </c>
      <c r="Q652" s="3" t="b">
        <f>AND(P652, K652)</f>
        <v>0</v>
      </c>
      <c r="R652" s="3" t="str">
        <f>IF(O652, I652, "")</f>
        <v>suite-substrate</v>
      </c>
      <c r="S652" s="3" t="str">
        <f>IF(Q652, I652, "")</f>
      </c>
      <c r="T652" s="2" t="s">
        <v>5935</v>
      </c>
    </row>
    <row r="653">
      <c r="A653" s="2" t="s">
        <v>6622</v>
      </c>
      <c r="B653" s="3" t="str">
        <f>C653 &amp; ": " &amp; D653</f>
        <v>formula-translates: ChangeRequests.IsMyBlockingBacklog</v>
      </c>
      <c r="C653" s="2" t="s">
        <v>6038</v>
      </c>
      <c r="D653" s="2" t="s">
        <v>3891</v>
      </c>
      <c r="E653" s="2" t="s">
        <v>3848</v>
      </c>
      <c r="F653" s="2" t="s">
        <v>1589</v>
      </c>
      <c r="G653" s="2" t="s">
        <v>6039</v>
      </c>
      <c r="H653" s="2" t="s">
        <v>2196</v>
      </c>
      <c r="I653" s="2" t="s">
        <v>5920</v>
      </c>
      <c r="J653" s="2" t="s">
        <v>5933</v>
      </c>
      <c r="K653" s="3" t="b">
        <f>J653 = "blocking"</f>
        <v>1</v>
      </c>
      <c r="L653" s="2" t="s">
        <v>1428</v>
      </c>
      <c r="M653" s="2" t="s">
        <v>6040</v>
      </c>
      <c r="N653" s="4">
        <v>46223.1297337963</v>
      </c>
      <c r="O653" s="3" t="b">
        <f>L653 = "PASS"</f>
        <v>1</v>
      </c>
      <c r="P653" s="3" t="b">
        <f>L653 = "FAIL"</f>
        <v>0</v>
      </c>
      <c r="Q653" s="3" t="b">
        <f>AND(P653, K653)</f>
        <v>0</v>
      </c>
      <c r="R653" s="3" t="str">
        <f>IF(O653, I653, "")</f>
        <v>suite-substrate</v>
      </c>
      <c r="S653" s="3" t="str">
        <f>IF(Q653, I653, "")</f>
      </c>
      <c r="T653" s="2" t="s">
        <v>5935</v>
      </c>
    </row>
    <row r="654">
      <c r="A654" s="2" t="s">
        <v>6623</v>
      </c>
      <c r="B654" s="3" t="str">
        <f>C654 &amp; ": " &amp; D654</f>
        <v>formula-translates: ChangeRequests.IsMyOverdueBacklog</v>
      </c>
      <c r="C654" s="2" t="s">
        <v>6038</v>
      </c>
      <c r="D654" s="2" t="s">
        <v>3893</v>
      </c>
      <c r="E654" s="2" t="s">
        <v>3848</v>
      </c>
      <c r="F654" s="2" t="s">
        <v>1590</v>
      </c>
      <c r="G654" s="2" t="s">
        <v>6039</v>
      </c>
      <c r="H654" s="2" t="s">
        <v>2196</v>
      </c>
      <c r="I654" s="2" t="s">
        <v>5920</v>
      </c>
      <c r="J654" s="2" t="s">
        <v>5933</v>
      </c>
      <c r="K654" s="3" t="b">
        <f>J654 = "blocking"</f>
        <v>1</v>
      </c>
      <c r="L654" s="2" t="s">
        <v>1428</v>
      </c>
      <c r="M654" s="2" t="s">
        <v>6040</v>
      </c>
      <c r="N654" s="4">
        <v>46223.1297337963</v>
      </c>
      <c r="O654" s="3" t="b">
        <f>L654 = "PASS"</f>
        <v>1</v>
      </c>
      <c r="P654" s="3" t="b">
        <f>L654 = "FAIL"</f>
        <v>0</v>
      </c>
      <c r="Q654" s="3" t="b">
        <f>AND(P654, K654)</f>
        <v>0</v>
      </c>
      <c r="R654" s="3" t="str">
        <f>IF(O654, I654, "")</f>
        <v>suite-substrate</v>
      </c>
      <c r="S654" s="3" t="str">
        <f>IF(Q654, I654, "")</f>
      </c>
      <c r="T654" s="2" t="s">
        <v>5935</v>
      </c>
    </row>
    <row r="655">
      <c r="A655" s="2" t="s">
        <v>6624</v>
      </c>
      <c r="B655" s="3" t="str">
        <f>C655 &amp; ": " &amp; D655</f>
        <v>formula-translates: ChangeRequests.IsImplemented</v>
      </c>
      <c r="C655" s="2" t="s">
        <v>6038</v>
      </c>
      <c r="D655" s="2" t="s">
        <v>3895</v>
      </c>
      <c r="E655" s="2" t="s">
        <v>3848</v>
      </c>
      <c r="F655" s="2" t="s">
        <v>1591</v>
      </c>
      <c r="G655" s="2" t="s">
        <v>6039</v>
      </c>
      <c r="H655" s="2" t="s">
        <v>2208</v>
      </c>
      <c r="I655" s="2" t="s">
        <v>5920</v>
      </c>
      <c r="J655" s="2" t="s">
        <v>5933</v>
      </c>
      <c r="K655" s="3" t="b">
        <f>J655 = "blocking"</f>
        <v>1</v>
      </c>
      <c r="L655" s="2" t="s">
        <v>1428</v>
      </c>
      <c r="M655" s="2" t="s">
        <v>6040</v>
      </c>
      <c r="N655" s="4">
        <v>46223.1297337963</v>
      </c>
      <c r="O655" s="3" t="b">
        <f>L655 = "PASS"</f>
        <v>1</v>
      </c>
      <c r="P655" s="3" t="b">
        <f>L655 = "FAIL"</f>
        <v>0</v>
      </c>
      <c r="Q655" s="3" t="b">
        <f>AND(P655, K655)</f>
        <v>0</v>
      </c>
      <c r="R655" s="3" t="str">
        <f>IF(O655, I655, "")</f>
        <v>suite-substrate</v>
      </c>
      <c r="S655" s="3" t="str">
        <f>IF(Q655, I655, "")</f>
      </c>
      <c r="T655" s="2" t="s">
        <v>5935</v>
      </c>
    </row>
    <row r="656">
      <c r="A656" s="2" t="s">
        <v>6625</v>
      </c>
      <c r="B656" s="3" t="str">
        <f>C656 &amp; ": " &amp; D656</f>
        <v>formula-translates: ChangeRequests.IsMyDecidedRequest</v>
      </c>
      <c r="C656" s="2" t="s">
        <v>6038</v>
      </c>
      <c r="D656" s="2" t="s">
        <v>3897</v>
      </c>
      <c r="E656" s="2" t="s">
        <v>3848</v>
      </c>
      <c r="F656" s="2" t="s">
        <v>1592</v>
      </c>
      <c r="G656" s="2" t="s">
        <v>6039</v>
      </c>
      <c r="H656" s="2" t="s">
        <v>2208</v>
      </c>
      <c r="I656" s="2" t="s">
        <v>5920</v>
      </c>
      <c r="J656" s="2" t="s">
        <v>5933</v>
      </c>
      <c r="K656" s="3" t="b">
        <f>J656 = "blocking"</f>
        <v>1</v>
      </c>
      <c r="L656" s="2" t="s">
        <v>1428</v>
      </c>
      <c r="M656" s="2" t="s">
        <v>6040</v>
      </c>
      <c r="N656" s="4">
        <v>46223.1297337963</v>
      </c>
      <c r="O656" s="3" t="b">
        <f>L656 = "PASS"</f>
        <v>1</v>
      </c>
      <c r="P656" s="3" t="b">
        <f>L656 = "FAIL"</f>
        <v>0</v>
      </c>
      <c r="Q656" s="3" t="b">
        <f>AND(P656, K656)</f>
        <v>0</v>
      </c>
      <c r="R656" s="3" t="str">
        <f>IF(O656, I656, "")</f>
        <v>suite-substrate</v>
      </c>
      <c r="S656" s="3" t="str">
        <f>IF(Q656, I656, "")</f>
      </c>
      <c r="T656" s="2" t="s">
        <v>5935</v>
      </c>
    </row>
    <row r="657">
      <c r="A657" s="2" t="s">
        <v>6626</v>
      </c>
      <c r="B657" s="3" t="str">
        <f>C657 &amp; ": " &amp; D657</f>
        <v>formula-translates: ChangeRequests.IsMyDecidedButUnlanded</v>
      </c>
      <c r="C657" s="2" t="s">
        <v>6038</v>
      </c>
      <c r="D657" s="2" t="s">
        <v>3899</v>
      </c>
      <c r="E657" s="2" t="s">
        <v>3848</v>
      </c>
      <c r="F657" s="2" t="s">
        <v>1593</v>
      </c>
      <c r="G657" s="2" t="s">
        <v>6039</v>
      </c>
      <c r="H657" s="2" t="s">
        <v>2208</v>
      </c>
      <c r="I657" s="2" t="s">
        <v>5920</v>
      </c>
      <c r="J657" s="2" t="s">
        <v>5933</v>
      </c>
      <c r="K657" s="3" t="b">
        <f>J657 = "blocking"</f>
        <v>1</v>
      </c>
      <c r="L657" s="2" t="s">
        <v>1428</v>
      </c>
      <c r="M657" s="2" t="s">
        <v>6040</v>
      </c>
      <c r="N657" s="4">
        <v>46223.1297337963</v>
      </c>
      <c r="O657" s="3" t="b">
        <f>L657 = "PASS"</f>
        <v>1</v>
      </c>
      <c r="P657" s="3" t="b">
        <f>L657 = "FAIL"</f>
        <v>0</v>
      </c>
      <c r="Q657" s="3" t="b">
        <f>AND(P657, K657)</f>
        <v>0</v>
      </c>
      <c r="R657" s="3" t="str">
        <f>IF(O657, I657, "")</f>
        <v>suite-substrate</v>
      </c>
      <c r="S657" s="3" t="str">
        <f>IF(Q657, I657, "")</f>
      </c>
      <c r="T657" s="2" t="s">
        <v>5935</v>
      </c>
    </row>
    <row r="658">
      <c r="A658" s="2" t="s">
        <v>6627</v>
      </c>
      <c r="B658" s="3" t="str">
        <f>C658 &amp; ": " &amp; D658</f>
        <v>formula-translates: ChangeRequests.DecisionLatencyDays</v>
      </c>
      <c r="C658" s="2" t="s">
        <v>6038</v>
      </c>
      <c r="D658" s="2" t="s">
        <v>3901</v>
      </c>
      <c r="E658" s="2" t="s">
        <v>3848</v>
      </c>
      <c r="F658" s="2" t="s">
        <v>1594</v>
      </c>
      <c r="G658" s="2" t="s">
        <v>6039</v>
      </c>
      <c r="H658" s="2" t="s">
        <v>2208</v>
      </c>
      <c r="I658" s="2" t="s">
        <v>5920</v>
      </c>
      <c r="J658" s="2" t="s">
        <v>5933</v>
      </c>
      <c r="K658" s="3" t="b">
        <f>J658 = "blocking"</f>
        <v>1</v>
      </c>
      <c r="L658" s="2" t="s">
        <v>1428</v>
      </c>
      <c r="M658" s="2" t="s">
        <v>6040</v>
      </c>
      <c r="N658" s="4">
        <v>46223.1297337963</v>
      </c>
      <c r="O658" s="3" t="b">
        <f>L658 = "PASS"</f>
        <v>1</v>
      </c>
      <c r="P658" s="3" t="b">
        <f>L658 = "FAIL"</f>
        <v>0</v>
      </c>
      <c r="Q658" s="3" t="b">
        <f>AND(P658, K658)</f>
        <v>0</v>
      </c>
      <c r="R658" s="3" t="str">
        <f>IF(O658, I658, "")</f>
        <v>suite-substrate</v>
      </c>
      <c r="S658" s="3" t="str">
        <f>IF(Q658, I658, "")</f>
      </c>
      <c r="T658" s="2" t="s">
        <v>5935</v>
      </c>
    </row>
    <row r="659">
      <c r="A659" s="2" t="s">
        <v>6628</v>
      </c>
      <c r="B659" s="3" t="str">
        <f>C659 &amp; ": " &amp; D659</f>
        <v>formula-translates: ChangeRequests.ImplementationLatencyDays</v>
      </c>
      <c r="C659" s="2" t="s">
        <v>6038</v>
      </c>
      <c r="D659" s="2" t="s">
        <v>3903</v>
      </c>
      <c r="E659" s="2" t="s">
        <v>3848</v>
      </c>
      <c r="F659" s="2" t="s">
        <v>1595</v>
      </c>
      <c r="G659" s="2" t="s">
        <v>6039</v>
      </c>
      <c r="H659" s="2" t="s">
        <v>2208</v>
      </c>
      <c r="I659" s="2" t="s">
        <v>5920</v>
      </c>
      <c r="J659" s="2" t="s">
        <v>5933</v>
      </c>
      <c r="K659" s="3" t="b">
        <f>J659 = "blocking"</f>
        <v>1</v>
      </c>
      <c r="L659" s="2" t="s">
        <v>1428</v>
      </c>
      <c r="M659" s="2" t="s">
        <v>6040</v>
      </c>
      <c r="N659" s="4">
        <v>46223.1297337963</v>
      </c>
      <c r="O659" s="3" t="b">
        <f>L659 = "PASS"</f>
        <v>1</v>
      </c>
      <c r="P659" s="3" t="b">
        <f>L659 = "FAIL"</f>
        <v>0</v>
      </c>
      <c r="Q659" s="3" t="b">
        <f>AND(P659, K659)</f>
        <v>0</v>
      </c>
      <c r="R659" s="3" t="str">
        <f>IF(O659, I659, "")</f>
        <v>suite-substrate</v>
      </c>
      <c r="S659" s="3" t="str">
        <f>IF(Q659, I659, "")</f>
      </c>
      <c r="T659" s="2" t="s">
        <v>5935</v>
      </c>
    </row>
    <row r="660">
      <c r="A660" s="2" t="s">
        <v>6629</v>
      </c>
      <c r="B660" s="3" t="str">
        <f>C660 &amp; ": " &amp; D660</f>
        <v>formula-translates: ChangeRequests.DelayIsDownstreamOfMe</v>
      </c>
      <c r="C660" s="2" t="s">
        <v>6038</v>
      </c>
      <c r="D660" s="2" t="s">
        <v>3905</v>
      </c>
      <c r="E660" s="2" t="s">
        <v>3848</v>
      </c>
      <c r="F660" s="2" t="s">
        <v>1596</v>
      </c>
      <c r="G660" s="2" t="s">
        <v>6039</v>
      </c>
      <c r="H660" s="2" t="s">
        <v>2208</v>
      </c>
      <c r="I660" s="2" t="s">
        <v>5920</v>
      </c>
      <c r="J660" s="2" t="s">
        <v>5933</v>
      </c>
      <c r="K660" s="3" t="b">
        <f>J660 = "blocking"</f>
        <v>1</v>
      </c>
      <c r="L660" s="2" t="s">
        <v>1428</v>
      </c>
      <c r="M660" s="2" t="s">
        <v>6040</v>
      </c>
      <c r="N660" s="4">
        <v>46223.1297337963</v>
      </c>
      <c r="O660" s="3" t="b">
        <f>L660 = "PASS"</f>
        <v>1</v>
      </c>
      <c r="P660" s="3" t="b">
        <f>L660 = "FAIL"</f>
        <v>0</v>
      </c>
      <c r="Q660" s="3" t="b">
        <f>AND(P660, K660)</f>
        <v>0</v>
      </c>
      <c r="R660" s="3" t="str">
        <f>IF(O660, I660, "")</f>
        <v>suite-substrate</v>
      </c>
      <c r="S660" s="3" t="str">
        <f>IF(Q660, I660, "")</f>
      </c>
      <c r="T660" s="2" t="s">
        <v>5935</v>
      </c>
    </row>
    <row r="661">
      <c r="A661" s="2" t="s">
        <v>6630</v>
      </c>
      <c r="B661" s="3" t="str">
        <f>C661 &amp; ": " &amp; D661</f>
        <v>formula-translates: ChangeRequests.UnlandedVersionKey</v>
      </c>
      <c r="C661" s="2" t="s">
        <v>6038</v>
      </c>
      <c r="D661" s="2" t="s">
        <v>3907</v>
      </c>
      <c r="E661" s="2" t="s">
        <v>3848</v>
      </c>
      <c r="F661" s="2" t="s">
        <v>1597</v>
      </c>
      <c r="G661" s="2" t="s">
        <v>6039</v>
      </c>
      <c r="H661" s="2" t="s">
        <v>2208</v>
      </c>
      <c r="I661" s="2" t="s">
        <v>5920</v>
      </c>
      <c r="J661" s="2" t="s">
        <v>5933</v>
      </c>
      <c r="K661" s="3" t="b">
        <f>J661 = "blocking"</f>
        <v>1</v>
      </c>
      <c r="L661" s="2" t="s">
        <v>1428</v>
      </c>
      <c r="M661" s="2" t="s">
        <v>6040</v>
      </c>
      <c r="N661" s="4">
        <v>46223.1297337963</v>
      </c>
      <c r="O661" s="3" t="b">
        <f>L661 = "PASS"</f>
        <v>1</v>
      </c>
      <c r="P661" s="3" t="b">
        <f>L661 = "FAIL"</f>
        <v>0</v>
      </c>
      <c r="Q661" s="3" t="b">
        <f>AND(P661, K661)</f>
        <v>0</v>
      </c>
      <c r="R661" s="3" t="str">
        <f>IF(O661, I661, "")</f>
        <v>suite-substrate</v>
      </c>
      <c r="S661" s="3" t="str">
        <f>IF(Q661, I661, "")</f>
      </c>
      <c r="T661" s="2" t="s">
        <v>5935</v>
      </c>
    </row>
    <row r="662">
      <c r="A662" s="2" t="s">
        <v>6631</v>
      </c>
      <c r="B662" s="3" t="str">
        <f>C662 &amp; ": " &amp; D662</f>
        <v>formula-translates: ChangeRequests.IsApprovedNotImplemented</v>
      </c>
      <c r="C662" s="2" t="s">
        <v>6038</v>
      </c>
      <c r="D662" s="2" t="s">
        <v>3909</v>
      </c>
      <c r="E662" s="2" t="s">
        <v>3848</v>
      </c>
      <c r="F662" s="2" t="s">
        <v>1598</v>
      </c>
      <c r="G662" s="2" t="s">
        <v>6039</v>
      </c>
      <c r="H662" s="2" t="s">
        <v>2228</v>
      </c>
      <c r="I662" s="2" t="s">
        <v>5920</v>
      </c>
      <c r="J662" s="2" t="s">
        <v>5933</v>
      </c>
      <c r="K662" s="3" t="b">
        <f>J662 = "blocking"</f>
        <v>1</v>
      </c>
      <c r="L662" s="2" t="s">
        <v>1428</v>
      </c>
      <c r="M662" s="2" t="s">
        <v>6040</v>
      </c>
      <c r="N662" s="4">
        <v>46223.1297337963</v>
      </c>
      <c r="O662" s="3" t="b">
        <f>L662 = "PASS"</f>
        <v>1</v>
      </c>
      <c r="P662" s="3" t="b">
        <f>L662 = "FAIL"</f>
        <v>0</v>
      </c>
      <c r="Q662" s="3" t="b">
        <f>AND(P662, K662)</f>
        <v>0</v>
      </c>
      <c r="R662" s="3" t="str">
        <f>IF(O662, I662, "")</f>
        <v>suite-substrate</v>
      </c>
      <c r="S662" s="3" t="str">
        <f>IF(Q662, I662, "")</f>
      </c>
      <c r="T662" s="2" t="s">
        <v>5935</v>
      </c>
    </row>
    <row r="663">
      <c r="A663" s="2" t="s">
        <v>6632</v>
      </c>
      <c r="B663" s="3" t="str">
        <f>C663 &amp; ": " &amp; D663</f>
        <v>formula-translates: ChangeRequests.DaysSinceApproval</v>
      </c>
      <c r="C663" s="2" t="s">
        <v>6038</v>
      </c>
      <c r="D663" s="2" t="s">
        <v>3911</v>
      </c>
      <c r="E663" s="2" t="s">
        <v>3848</v>
      </c>
      <c r="F663" s="2" t="s">
        <v>1599</v>
      </c>
      <c r="G663" s="2" t="s">
        <v>6039</v>
      </c>
      <c r="H663" s="2" t="s">
        <v>2228</v>
      </c>
      <c r="I663" s="2" t="s">
        <v>5920</v>
      </c>
      <c r="J663" s="2" t="s">
        <v>5933</v>
      </c>
      <c r="K663" s="3" t="b">
        <f>J663 = "blocking"</f>
        <v>1</v>
      </c>
      <c r="L663" s="2" t="s">
        <v>1428</v>
      </c>
      <c r="M663" s="2" t="s">
        <v>6040</v>
      </c>
      <c r="N663" s="4">
        <v>46223.1297337963</v>
      </c>
      <c r="O663" s="3" t="b">
        <f>L663 = "PASS"</f>
        <v>1</v>
      </c>
      <c r="P663" s="3" t="b">
        <f>L663 = "FAIL"</f>
        <v>0</v>
      </c>
      <c r="Q663" s="3" t="b">
        <f>AND(P663, K663)</f>
        <v>0</v>
      </c>
      <c r="R663" s="3" t="str">
        <f>IF(O663, I663, "")</f>
        <v>suite-substrate</v>
      </c>
      <c r="S663" s="3" t="str">
        <f>IF(Q663, I663, "")</f>
      </c>
      <c r="T663" s="2" t="s">
        <v>5935</v>
      </c>
    </row>
    <row r="664">
      <c r="A664" s="2" t="s">
        <v>6633</v>
      </c>
      <c r="B664" s="3" t="str">
        <f>C664 &amp; ": " &amp; D664</f>
        <v>formula-translates: ChangeRequests.IsStalledImplementation</v>
      </c>
      <c r="C664" s="2" t="s">
        <v>6038</v>
      </c>
      <c r="D664" s="2" t="s">
        <v>3913</v>
      </c>
      <c r="E664" s="2" t="s">
        <v>3848</v>
      </c>
      <c r="F664" s="2" t="s">
        <v>1600</v>
      </c>
      <c r="G664" s="2" t="s">
        <v>6039</v>
      </c>
      <c r="H664" s="2" t="s">
        <v>2228</v>
      </c>
      <c r="I664" s="2" t="s">
        <v>5920</v>
      </c>
      <c r="J664" s="2" t="s">
        <v>5933</v>
      </c>
      <c r="K664" s="3" t="b">
        <f>J664 = "blocking"</f>
        <v>1</v>
      </c>
      <c r="L664" s="2" t="s">
        <v>1428</v>
      </c>
      <c r="M664" s="2" t="s">
        <v>6040</v>
      </c>
      <c r="N664" s="4">
        <v>46223.1297337963</v>
      </c>
      <c r="O664" s="3" t="b">
        <f>L664 = "PASS"</f>
        <v>1</v>
      </c>
      <c r="P664" s="3" t="b">
        <f>L664 = "FAIL"</f>
        <v>0</v>
      </c>
      <c r="Q664" s="3" t="b">
        <f>AND(P664, K664)</f>
        <v>0</v>
      </c>
      <c r="R664" s="3" t="str">
        <f>IF(O664, I664, "")</f>
        <v>suite-substrate</v>
      </c>
      <c r="S664" s="3" t="str">
        <f>IF(Q664, I664, "")</f>
      </c>
      <c r="T664" s="2" t="s">
        <v>5935</v>
      </c>
    </row>
    <row r="665">
      <c r="A665" s="2" t="s">
        <v>6634</v>
      </c>
      <c r="B665" s="3" t="str">
        <f>C665 &amp; ": " &amp; D665</f>
        <v>formula-translates: ChangeRequests.StalledImplementationVersionKey</v>
      </c>
      <c r="C665" s="2" t="s">
        <v>6038</v>
      </c>
      <c r="D665" s="2" t="s">
        <v>3915</v>
      </c>
      <c r="E665" s="2" t="s">
        <v>3848</v>
      </c>
      <c r="F665" s="2" t="s">
        <v>1601</v>
      </c>
      <c r="G665" s="2" t="s">
        <v>6039</v>
      </c>
      <c r="H665" s="2" t="s">
        <v>2228</v>
      </c>
      <c r="I665" s="2" t="s">
        <v>5920</v>
      </c>
      <c r="J665" s="2" t="s">
        <v>5933</v>
      </c>
      <c r="K665" s="3" t="b">
        <f>J665 = "blocking"</f>
        <v>1</v>
      </c>
      <c r="L665" s="2" t="s">
        <v>1428</v>
      </c>
      <c r="M665" s="2" t="s">
        <v>6040</v>
      </c>
      <c r="N665" s="4">
        <v>46223.1297337963</v>
      </c>
      <c r="O665" s="3" t="b">
        <f>L665 = "PASS"</f>
        <v>1</v>
      </c>
      <c r="P665" s="3" t="b">
        <f>L665 = "FAIL"</f>
        <v>0</v>
      </c>
      <c r="Q665" s="3" t="b">
        <f>AND(P665, K665)</f>
        <v>0</v>
      </c>
      <c r="R665" s="3" t="str">
        <f>IF(O665, I665, "")</f>
        <v>suite-substrate</v>
      </c>
      <c r="S665" s="3" t="str">
        <f>IF(Q665, I665, "")</f>
      </c>
      <c r="T665" s="2" t="s">
        <v>5935</v>
      </c>
    </row>
    <row r="666">
      <c r="A666" s="2" t="s">
        <v>6635</v>
      </c>
      <c r="B666" s="3" t="str">
        <f>C666 &amp; ": " &amp; D666</f>
        <v>formula-translates: ChangeRequests.ApprovedVersionKey</v>
      </c>
      <c r="C666" s="2" t="s">
        <v>6038</v>
      </c>
      <c r="D666" s="2" t="s">
        <v>3917</v>
      </c>
      <c r="E666" s="2" t="s">
        <v>3848</v>
      </c>
      <c r="F666" s="2" t="s">
        <v>1602</v>
      </c>
      <c r="G666" s="2" t="s">
        <v>6039</v>
      </c>
      <c r="H666" s="2" t="s">
        <v>2272</v>
      </c>
      <c r="I666" s="2" t="s">
        <v>5920</v>
      </c>
      <c r="J666" s="2" t="s">
        <v>5933</v>
      </c>
      <c r="K666" s="3" t="b">
        <f>J666 = "blocking"</f>
        <v>1</v>
      </c>
      <c r="L666" s="2" t="s">
        <v>1428</v>
      </c>
      <c r="M666" s="2" t="s">
        <v>6040</v>
      </c>
      <c r="N666" s="4">
        <v>46223.1297337963</v>
      </c>
      <c r="O666" s="3" t="b">
        <f>L666 = "PASS"</f>
        <v>1</v>
      </c>
      <c r="P666" s="3" t="b">
        <f>L666 = "FAIL"</f>
        <v>0</v>
      </c>
      <c r="Q666" s="3" t="b">
        <f>AND(P666, K666)</f>
        <v>0</v>
      </c>
      <c r="R666" s="3" t="str">
        <f>IF(O666, I666, "")</f>
        <v>suite-substrate</v>
      </c>
      <c r="S666" s="3" t="str">
        <f>IF(Q666, I666, "")</f>
      </c>
      <c r="T666" s="2" t="s">
        <v>5935</v>
      </c>
    </row>
    <row r="667">
      <c r="A667" s="2" t="s">
        <v>6636</v>
      </c>
      <c r="B667" s="3" t="str">
        <f>C667 &amp; ": " &amp; D667</f>
        <v>formula-translates: ChangeRequests.IsApprovedDecision</v>
      </c>
      <c r="C667" s="2" t="s">
        <v>6038</v>
      </c>
      <c r="D667" s="2" t="s">
        <v>3919</v>
      </c>
      <c r="E667" s="2" t="s">
        <v>3848</v>
      </c>
      <c r="F667" s="2" t="s">
        <v>1603</v>
      </c>
      <c r="G667" s="2" t="s">
        <v>6039</v>
      </c>
      <c r="H667" s="2" t="s">
        <v>2272</v>
      </c>
      <c r="I667" s="2" t="s">
        <v>5920</v>
      </c>
      <c r="J667" s="2" t="s">
        <v>5933</v>
      </c>
      <c r="K667" s="3" t="b">
        <f>J667 = "blocking"</f>
        <v>1</v>
      </c>
      <c r="L667" s="2" t="s">
        <v>1428</v>
      </c>
      <c r="M667" s="2" t="s">
        <v>6040</v>
      </c>
      <c r="N667" s="4">
        <v>46223.1297337963</v>
      </c>
      <c r="O667" s="3" t="b">
        <f>L667 = "PASS"</f>
        <v>1</v>
      </c>
      <c r="P667" s="3" t="b">
        <f>L667 = "FAIL"</f>
        <v>0</v>
      </c>
      <c r="Q667" s="3" t="b">
        <f>AND(P667, K667)</f>
        <v>0</v>
      </c>
      <c r="R667" s="3" t="str">
        <f>IF(O667, I667, "")</f>
        <v>suite-substrate</v>
      </c>
      <c r="S667" s="3" t="str">
        <f>IF(Q667, I667, "")</f>
      </c>
      <c r="T667" s="2" t="s">
        <v>5935</v>
      </c>
    </row>
    <row r="668">
      <c r="A668" s="2" t="s">
        <v>6637</v>
      </c>
      <c r="B668" s="3" t="str">
        <f>C668 &amp; ": " &amp; D668</f>
        <v>formula-translates: ReviewEvents.Name</v>
      </c>
      <c r="C668" s="2" t="s">
        <v>6038</v>
      </c>
      <c r="D668" s="2" t="s">
        <v>3923</v>
      </c>
      <c r="E668" s="2" t="s">
        <v>3922</v>
      </c>
      <c r="F668" s="2" t="s">
        <v>1</v>
      </c>
      <c r="G668" s="2" t="s">
        <v>6039</v>
      </c>
      <c r="H668" s="2"/>
      <c r="I668" s="2" t="s">
        <v>5920</v>
      </c>
      <c r="J668" s="2" t="s">
        <v>5933</v>
      </c>
      <c r="K668" s="3" t="b">
        <f>J668 = "blocking"</f>
        <v>1</v>
      </c>
      <c r="L668" s="2" t="s">
        <v>1428</v>
      </c>
      <c r="M668" s="2" t="s">
        <v>6040</v>
      </c>
      <c r="N668" s="4">
        <v>46223.1297337963</v>
      </c>
      <c r="O668" s="3" t="b">
        <f>L668 = "PASS"</f>
        <v>1</v>
      </c>
      <c r="P668" s="3" t="b">
        <f>L668 = "FAIL"</f>
        <v>0</v>
      </c>
      <c r="Q668" s="3" t="b">
        <f>AND(P668, K668)</f>
        <v>0</v>
      </c>
      <c r="R668" s="3" t="str">
        <f>IF(O668, I668, "")</f>
        <v>suite-substrate</v>
      </c>
      <c r="S668" s="3" t="str">
        <f>IF(Q668, I668, "")</f>
      </c>
      <c r="T668" s="2" t="s">
        <v>5935</v>
      </c>
    </row>
    <row r="669">
      <c r="A669" s="2" t="s">
        <v>6638</v>
      </c>
      <c r="B669" s="3" t="str">
        <f>C669 &amp; ": " &amp; D669</f>
        <v>formula-translates: ReviewEvents.AsOfInstant</v>
      </c>
      <c r="C669" s="2" t="s">
        <v>6038</v>
      </c>
      <c r="D669" s="2" t="s">
        <v>3933</v>
      </c>
      <c r="E669" s="2" t="s">
        <v>3922</v>
      </c>
      <c r="F669" s="2" t="s">
        <v>92</v>
      </c>
      <c r="G669" s="2" t="s">
        <v>6039</v>
      </c>
      <c r="H669" s="2"/>
      <c r="I669" s="2" t="s">
        <v>5920</v>
      </c>
      <c r="J669" s="2" t="s">
        <v>5933</v>
      </c>
      <c r="K669" s="3" t="b">
        <f>J669 = "blocking"</f>
        <v>1</v>
      </c>
      <c r="L669" s="2" t="s">
        <v>1428</v>
      </c>
      <c r="M669" s="2" t="s">
        <v>6040</v>
      </c>
      <c r="N669" s="4">
        <v>46223.1297337963</v>
      </c>
      <c r="O669" s="3" t="b">
        <f>L669 = "PASS"</f>
        <v>1</v>
      </c>
      <c r="P669" s="3" t="b">
        <f>L669 = "FAIL"</f>
        <v>0</v>
      </c>
      <c r="Q669" s="3" t="b">
        <f>AND(P669, K669)</f>
        <v>0</v>
      </c>
      <c r="R669" s="3" t="str">
        <f>IF(O669, I669, "")</f>
        <v>suite-substrate</v>
      </c>
      <c r="S669" s="3" t="str">
        <f>IF(Q669, I669, "")</f>
      </c>
      <c r="T669" s="2" t="s">
        <v>5935</v>
      </c>
    </row>
    <row r="670">
      <c r="A670" s="2" t="s">
        <v>6639</v>
      </c>
      <c r="B670" s="3" t="str">
        <f>C670 &amp; ": " &amp; D670</f>
        <v>formula-translates: ReviewEvents.IsOverdue</v>
      </c>
      <c r="C670" s="2" t="s">
        <v>6038</v>
      </c>
      <c r="D670" s="2" t="s">
        <v>3934</v>
      </c>
      <c r="E670" s="2" t="s">
        <v>3922</v>
      </c>
      <c r="F670" s="2" t="s">
        <v>1618</v>
      </c>
      <c r="G670" s="2" t="s">
        <v>6039</v>
      </c>
      <c r="H670" s="2"/>
      <c r="I670" s="2" t="s">
        <v>5920</v>
      </c>
      <c r="J670" s="2" t="s">
        <v>5933</v>
      </c>
      <c r="K670" s="3" t="b">
        <f>J670 = "blocking"</f>
        <v>1</v>
      </c>
      <c r="L670" s="2" t="s">
        <v>1428</v>
      </c>
      <c r="M670" s="2" t="s">
        <v>6040</v>
      </c>
      <c r="N670" s="4">
        <v>46223.1297337963</v>
      </c>
      <c r="O670" s="3" t="b">
        <f>L670 = "PASS"</f>
        <v>1</v>
      </c>
      <c r="P670" s="3" t="b">
        <f>L670 = "FAIL"</f>
        <v>0</v>
      </c>
      <c r="Q670" s="3" t="b">
        <f>AND(P670, K670)</f>
        <v>0</v>
      </c>
      <c r="R670" s="3" t="str">
        <f>IF(O670, I670, "")</f>
        <v>suite-substrate</v>
      </c>
      <c r="S670" s="3" t="str">
        <f>IF(Q670, I670, "")</f>
      </c>
      <c r="T670" s="2" t="s">
        <v>5935</v>
      </c>
    </row>
    <row r="671">
      <c r="A671" s="2" t="s">
        <v>6640</v>
      </c>
      <c r="B671" s="3" t="str">
        <f>C671 &amp; ": " &amp; D671</f>
        <v>formula-translates: ReviewEvents.OverdueVersionKey</v>
      </c>
      <c r="C671" s="2" t="s">
        <v>6038</v>
      </c>
      <c r="D671" s="2" t="s">
        <v>3936</v>
      </c>
      <c r="E671" s="2" t="s">
        <v>3922</v>
      </c>
      <c r="F671" s="2" t="s">
        <v>1619</v>
      </c>
      <c r="G671" s="2" t="s">
        <v>6039</v>
      </c>
      <c r="H671" s="2" t="s">
        <v>1980</v>
      </c>
      <c r="I671" s="2" t="s">
        <v>5920</v>
      </c>
      <c r="J671" s="2" t="s">
        <v>5933</v>
      </c>
      <c r="K671" s="3" t="b">
        <f>J671 = "blocking"</f>
        <v>1</v>
      </c>
      <c r="L671" s="2" t="s">
        <v>1428</v>
      </c>
      <c r="M671" s="2" t="s">
        <v>6040</v>
      </c>
      <c r="N671" s="4">
        <v>46223.1297337963</v>
      </c>
      <c r="O671" s="3" t="b">
        <f>L671 = "PASS"</f>
        <v>1</v>
      </c>
      <c r="P671" s="3" t="b">
        <f>L671 = "FAIL"</f>
        <v>0</v>
      </c>
      <c r="Q671" s="3" t="b">
        <f>AND(P671, K671)</f>
        <v>0</v>
      </c>
      <c r="R671" s="3" t="str">
        <f>IF(O671, I671, "")</f>
        <v>suite-substrate</v>
      </c>
      <c r="S671" s="3" t="str">
        <f>IF(Q671, I671, "")</f>
      </c>
      <c r="T671" s="2" t="s">
        <v>5935</v>
      </c>
    </row>
    <row r="672">
      <c r="A672" s="2" t="s">
        <v>6641</v>
      </c>
      <c r="B672" s="3" t="str">
        <f>C672 &amp; ": " &amp; D672</f>
        <v>formula-translates: ReviewEvents.PromisedCadenceDays</v>
      </c>
      <c r="C672" s="2" t="s">
        <v>6038</v>
      </c>
      <c r="D672" s="2" t="s">
        <v>3938</v>
      </c>
      <c r="E672" s="2" t="s">
        <v>3922</v>
      </c>
      <c r="F672" s="2" t="s">
        <v>1620</v>
      </c>
      <c r="G672" s="2" t="s">
        <v>6039</v>
      </c>
      <c r="H672" s="2" t="s">
        <v>1996</v>
      </c>
      <c r="I672" s="2" t="s">
        <v>5920</v>
      </c>
      <c r="J672" s="2" t="s">
        <v>5933</v>
      </c>
      <c r="K672" s="3" t="b">
        <f>J672 = "blocking"</f>
        <v>1</v>
      </c>
      <c r="L672" s="2" t="s">
        <v>1428</v>
      </c>
      <c r="M672" s="2" t="s">
        <v>6040</v>
      </c>
      <c r="N672" s="4">
        <v>46223.1297337963</v>
      </c>
      <c r="O672" s="3" t="b">
        <f>L672 = "PASS"</f>
        <v>1</v>
      </c>
      <c r="P672" s="3" t="b">
        <f>L672 = "FAIL"</f>
        <v>0</v>
      </c>
      <c r="Q672" s="3" t="b">
        <f>AND(P672, K672)</f>
        <v>0</v>
      </c>
      <c r="R672" s="3" t="str">
        <f>IF(O672, I672, "")</f>
        <v>suite-substrate</v>
      </c>
      <c r="S672" s="3" t="str">
        <f>IF(Q672, I672, "")</f>
      </c>
      <c r="T672" s="2" t="s">
        <v>5935</v>
      </c>
    </row>
    <row r="673">
      <c r="A673" s="2" t="s">
        <v>6642</v>
      </c>
      <c r="B673" s="3" t="str">
        <f>C673 &amp; ": " &amp; D673</f>
        <v>formula-translates: ReviewEvents.DaysSinceReviewed</v>
      </c>
      <c r="C673" s="2" t="s">
        <v>6038</v>
      </c>
      <c r="D673" s="2" t="s">
        <v>3939</v>
      </c>
      <c r="E673" s="2" t="s">
        <v>3922</v>
      </c>
      <c r="F673" s="2" t="s">
        <v>1621</v>
      </c>
      <c r="G673" s="2" t="s">
        <v>6039</v>
      </c>
      <c r="H673" s="2" t="s">
        <v>1996</v>
      </c>
      <c r="I673" s="2" t="s">
        <v>5920</v>
      </c>
      <c r="J673" s="2" t="s">
        <v>5933</v>
      </c>
      <c r="K673" s="3" t="b">
        <f>J673 = "blocking"</f>
        <v>1</v>
      </c>
      <c r="L673" s="2" t="s">
        <v>1428</v>
      </c>
      <c r="M673" s="2" t="s">
        <v>6040</v>
      </c>
      <c r="N673" s="4">
        <v>46223.1297337963</v>
      </c>
      <c r="O673" s="3" t="b">
        <f>L673 = "PASS"</f>
        <v>1</v>
      </c>
      <c r="P673" s="3" t="b">
        <f>L673 = "FAIL"</f>
        <v>0</v>
      </c>
      <c r="Q673" s="3" t="b">
        <f>AND(P673, K673)</f>
        <v>0</v>
      </c>
      <c r="R673" s="3" t="str">
        <f>IF(O673, I673, "")</f>
        <v>suite-substrate</v>
      </c>
      <c r="S673" s="3" t="str">
        <f>IF(Q673, I673, "")</f>
      </c>
      <c r="T673" s="2" t="s">
        <v>5935</v>
      </c>
    </row>
    <row r="674">
      <c r="A674" s="2" t="s">
        <v>6643</v>
      </c>
      <c r="B674" s="3" t="str">
        <f>C674 &amp; ": " &amp; D674</f>
        <v>formula-translates: ReviewEvents.ExceedsPromisedCadence</v>
      </c>
      <c r="C674" s="2" t="s">
        <v>6038</v>
      </c>
      <c r="D674" s="2" t="s">
        <v>3941</v>
      </c>
      <c r="E674" s="2" t="s">
        <v>3922</v>
      </c>
      <c r="F674" s="2" t="s">
        <v>1622</v>
      </c>
      <c r="G674" s="2" t="s">
        <v>6039</v>
      </c>
      <c r="H674" s="2" t="s">
        <v>1996</v>
      </c>
      <c r="I674" s="2" t="s">
        <v>5920</v>
      </c>
      <c r="J674" s="2" t="s">
        <v>5933</v>
      </c>
      <c r="K674" s="3" t="b">
        <f>J674 = "blocking"</f>
        <v>1</v>
      </c>
      <c r="L674" s="2" t="s">
        <v>1428</v>
      </c>
      <c r="M674" s="2" t="s">
        <v>6040</v>
      </c>
      <c r="N674" s="4">
        <v>46223.1297337963</v>
      </c>
      <c r="O674" s="3" t="b">
        <f>L674 = "PASS"</f>
        <v>1</v>
      </c>
      <c r="P674" s="3" t="b">
        <f>L674 = "FAIL"</f>
        <v>0</v>
      </c>
      <c r="Q674" s="3" t="b">
        <f>AND(P674, K674)</f>
        <v>0</v>
      </c>
      <c r="R674" s="3" t="str">
        <f>IF(O674, I674, "")</f>
        <v>suite-substrate</v>
      </c>
      <c r="S674" s="3" t="str">
        <f>IF(Q674, I674, "")</f>
      </c>
      <c r="T674" s="2" t="s">
        <v>5935</v>
      </c>
    </row>
    <row r="675">
      <c r="A675" s="2" t="s">
        <v>6644</v>
      </c>
      <c r="B675" s="3" t="str">
        <f>C675 &amp; ": " &amp; D675</f>
        <v>formula-translates: ReviewEvents.CadenceDriftDays</v>
      </c>
      <c r="C675" s="2" t="s">
        <v>6038</v>
      </c>
      <c r="D675" s="2" t="s">
        <v>3943</v>
      </c>
      <c r="E675" s="2" t="s">
        <v>3922</v>
      </c>
      <c r="F675" s="2" t="s">
        <v>1623</v>
      </c>
      <c r="G675" s="2" t="s">
        <v>6039</v>
      </c>
      <c r="H675" s="2" t="s">
        <v>1996</v>
      </c>
      <c r="I675" s="2" t="s">
        <v>5920</v>
      </c>
      <c r="J675" s="2" t="s">
        <v>5933</v>
      </c>
      <c r="K675" s="3" t="b">
        <f>J675 = "blocking"</f>
        <v>1</v>
      </c>
      <c r="L675" s="2" t="s">
        <v>1428</v>
      </c>
      <c r="M675" s="2" t="s">
        <v>6040</v>
      </c>
      <c r="N675" s="4">
        <v>46223.1297337963</v>
      </c>
      <c r="O675" s="3" t="b">
        <f>L675 = "PASS"</f>
        <v>1</v>
      </c>
      <c r="P675" s="3" t="b">
        <f>L675 = "FAIL"</f>
        <v>0</v>
      </c>
      <c r="Q675" s="3" t="b">
        <f>AND(P675, K675)</f>
        <v>0</v>
      </c>
      <c r="R675" s="3" t="str">
        <f>IF(O675, I675, "")</f>
        <v>suite-substrate</v>
      </c>
      <c r="S675" s="3" t="str">
        <f>IF(Q675, I675, "")</f>
      </c>
      <c r="T675" s="2" t="s">
        <v>5935</v>
      </c>
    </row>
    <row r="676">
      <c r="A676" s="2" t="s">
        <v>6645</v>
      </c>
      <c r="B676" s="3" t="str">
        <f>C676 &amp; ": " &amp; D676</f>
        <v>formula-translates: ReviewEvents.PromiseAndBehaviorDisagree</v>
      </c>
      <c r="C676" s="2" t="s">
        <v>6038</v>
      </c>
      <c r="D676" s="2" t="s">
        <v>3945</v>
      </c>
      <c r="E676" s="2" t="s">
        <v>3922</v>
      </c>
      <c r="F676" s="2" t="s">
        <v>1624</v>
      </c>
      <c r="G676" s="2" t="s">
        <v>6039</v>
      </c>
      <c r="H676" s="2" t="s">
        <v>1996</v>
      </c>
      <c r="I676" s="2" t="s">
        <v>5920</v>
      </c>
      <c r="J676" s="2" t="s">
        <v>5933</v>
      </c>
      <c r="K676" s="3" t="b">
        <f>J676 = "blocking"</f>
        <v>1</v>
      </c>
      <c r="L676" s="2" t="s">
        <v>1428</v>
      </c>
      <c r="M676" s="2" t="s">
        <v>6040</v>
      </c>
      <c r="N676" s="4">
        <v>46223.1297337963</v>
      </c>
      <c r="O676" s="3" t="b">
        <f>L676 = "PASS"</f>
        <v>1</v>
      </c>
      <c r="P676" s="3" t="b">
        <f>L676 = "FAIL"</f>
        <v>0</v>
      </c>
      <c r="Q676" s="3" t="b">
        <f>AND(P676, K676)</f>
        <v>0</v>
      </c>
      <c r="R676" s="3" t="str">
        <f>IF(O676, I676, "")</f>
        <v>suite-substrate</v>
      </c>
      <c r="S676" s="3" t="str">
        <f>IF(Q676, I676, "")</f>
      </c>
      <c r="T676" s="2" t="s">
        <v>5935</v>
      </c>
    </row>
    <row r="677">
      <c r="A677" s="2" t="s">
        <v>6646</v>
      </c>
      <c r="B677" s="3" t="str">
        <f>C677 &amp; ": " &amp; D677</f>
        <v>formula-translates: ReviewEvents.CadenceBreachVersionKey</v>
      </c>
      <c r="C677" s="2" t="s">
        <v>6038</v>
      </c>
      <c r="D677" s="2" t="s">
        <v>3947</v>
      </c>
      <c r="E677" s="2" t="s">
        <v>3922</v>
      </c>
      <c r="F677" s="2" t="s">
        <v>1625</v>
      </c>
      <c r="G677" s="2" t="s">
        <v>6039</v>
      </c>
      <c r="H677" s="2" t="s">
        <v>2220</v>
      </c>
      <c r="I677" s="2" t="s">
        <v>5920</v>
      </c>
      <c r="J677" s="2" t="s">
        <v>5933</v>
      </c>
      <c r="K677" s="3" t="b">
        <f>J677 = "blocking"</f>
        <v>1</v>
      </c>
      <c r="L677" s="2" t="s">
        <v>1428</v>
      </c>
      <c r="M677" s="2" t="s">
        <v>6040</v>
      </c>
      <c r="N677" s="4">
        <v>46223.1297337963</v>
      </c>
      <c r="O677" s="3" t="b">
        <f>L677 = "PASS"</f>
        <v>1</v>
      </c>
      <c r="P677" s="3" t="b">
        <f>L677 = "FAIL"</f>
        <v>0</v>
      </c>
      <c r="Q677" s="3" t="b">
        <f>AND(P677, K677)</f>
        <v>0</v>
      </c>
      <c r="R677" s="3" t="str">
        <f>IF(O677, I677, "")</f>
        <v>suite-substrate</v>
      </c>
      <c r="S677" s="3" t="str">
        <f>IF(Q677, I677, "")</f>
      </c>
      <c r="T677" s="2" t="s">
        <v>5935</v>
      </c>
    </row>
    <row r="678">
      <c r="A678" s="2" t="s">
        <v>6647</v>
      </c>
      <c r="B678" s="3" t="str">
        <f>C678 &amp; ": " &amp; D678</f>
        <v>formula-translates: LearningActivities.Name</v>
      </c>
      <c r="C678" s="2" t="s">
        <v>6038</v>
      </c>
      <c r="D678" s="2" t="s">
        <v>3952</v>
      </c>
      <c r="E678" s="2" t="s">
        <v>3951</v>
      </c>
      <c r="F678" s="2" t="s">
        <v>1</v>
      </c>
      <c r="G678" s="2" t="s">
        <v>6039</v>
      </c>
      <c r="H678" s="2"/>
      <c r="I678" s="2" t="s">
        <v>5920</v>
      </c>
      <c r="J678" s="2" t="s">
        <v>5933</v>
      </c>
      <c r="K678" s="3" t="b">
        <f>J678 = "blocking"</f>
        <v>1</v>
      </c>
      <c r="L678" s="2" t="s">
        <v>1428</v>
      </c>
      <c r="M678" s="2" t="s">
        <v>6040</v>
      </c>
      <c r="N678" s="4">
        <v>46223.1297337963</v>
      </c>
      <c r="O678" s="3" t="b">
        <f>L678 = "PASS"</f>
        <v>1</v>
      </c>
      <c r="P678" s="3" t="b">
        <f>L678 = "FAIL"</f>
        <v>0</v>
      </c>
      <c r="Q678" s="3" t="b">
        <f>AND(P678, K678)</f>
        <v>0</v>
      </c>
      <c r="R678" s="3" t="str">
        <f>IF(O678, I678, "")</f>
        <v>suite-substrate</v>
      </c>
      <c r="S678" s="3" t="str">
        <f>IF(Q678, I678, "")</f>
      </c>
      <c r="T678" s="2" t="s">
        <v>5935</v>
      </c>
    </row>
    <row r="679">
      <c r="A679" s="2" t="s">
        <v>6648</v>
      </c>
      <c r="B679" s="3" t="str">
        <f>C679 &amp; ": " &amp; D679</f>
        <v>formula-translates: OperationalBindings.Name</v>
      </c>
      <c r="C679" s="2" t="s">
        <v>6038</v>
      </c>
      <c r="D679" s="2" t="s">
        <v>3963</v>
      </c>
      <c r="E679" s="2" t="s">
        <v>1842</v>
      </c>
      <c r="F679" s="2" t="s">
        <v>1</v>
      </c>
      <c r="G679" s="2" t="s">
        <v>6039</v>
      </c>
      <c r="H679" s="2"/>
      <c r="I679" s="2" t="s">
        <v>5920</v>
      </c>
      <c r="J679" s="2" t="s">
        <v>5933</v>
      </c>
      <c r="K679" s="3" t="b">
        <f>J679 = "blocking"</f>
        <v>1</v>
      </c>
      <c r="L679" s="2" t="s">
        <v>1428</v>
      </c>
      <c r="M679" s="2" t="s">
        <v>6040</v>
      </c>
      <c r="N679" s="4">
        <v>46223.1297337963</v>
      </c>
      <c r="O679" s="3" t="b">
        <f>L679 = "PASS"</f>
        <v>1</v>
      </c>
      <c r="P679" s="3" t="b">
        <f>L679 = "FAIL"</f>
        <v>0</v>
      </c>
      <c r="Q679" s="3" t="b">
        <f>AND(P679, K679)</f>
        <v>0</v>
      </c>
      <c r="R679" s="3" t="str">
        <f>IF(O679, I679, "")</f>
        <v>suite-substrate</v>
      </c>
      <c r="S679" s="3" t="str">
        <f>IF(Q679, I679, "")</f>
      </c>
      <c r="T679" s="2" t="s">
        <v>5935</v>
      </c>
    </row>
    <row r="680">
      <c r="A680" s="2" t="s">
        <v>6649</v>
      </c>
      <c r="B680" s="3" t="str">
        <f>C680 &amp; ": " &amp; D680</f>
        <v>formula-translates: OperationalBindings.AsOfInstant</v>
      </c>
      <c r="C680" s="2" t="s">
        <v>6038</v>
      </c>
      <c r="D680" s="2" t="s">
        <v>3974</v>
      </c>
      <c r="E680" s="2" t="s">
        <v>1842</v>
      </c>
      <c r="F680" s="2" t="s">
        <v>92</v>
      </c>
      <c r="G680" s="2" t="s">
        <v>6039</v>
      </c>
      <c r="H680" s="2"/>
      <c r="I680" s="2" t="s">
        <v>5920</v>
      </c>
      <c r="J680" s="2" t="s">
        <v>5933</v>
      </c>
      <c r="K680" s="3" t="b">
        <f>J680 = "blocking"</f>
        <v>1</v>
      </c>
      <c r="L680" s="2" t="s">
        <v>1428</v>
      </c>
      <c r="M680" s="2" t="s">
        <v>6040</v>
      </c>
      <c r="N680" s="4">
        <v>46223.1297337963</v>
      </c>
      <c r="O680" s="3" t="b">
        <f>L680 = "PASS"</f>
        <v>1</v>
      </c>
      <c r="P680" s="3" t="b">
        <f>L680 = "FAIL"</f>
        <v>0</v>
      </c>
      <c r="Q680" s="3" t="b">
        <f>AND(P680, K680)</f>
        <v>0</v>
      </c>
      <c r="R680" s="3" t="str">
        <f>IF(O680, I680, "")</f>
        <v>suite-substrate</v>
      </c>
      <c r="S680" s="3" t="str">
        <f>IF(Q680, I680, "")</f>
      </c>
      <c r="T680" s="2" t="s">
        <v>5935</v>
      </c>
    </row>
    <row r="681">
      <c r="A681" s="2" t="s">
        <v>6650</v>
      </c>
      <c r="B681" s="3" t="str">
        <f>C681 &amp; ": " &amp; D681</f>
        <v>formula-translates: OperationalBindings.AgeMinutes</v>
      </c>
      <c r="C681" s="2" t="s">
        <v>6038</v>
      </c>
      <c r="D681" s="2" t="s">
        <v>3975</v>
      </c>
      <c r="E681" s="2" t="s">
        <v>1842</v>
      </c>
      <c r="F681" s="2" t="s">
        <v>1648</v>
      </c>
      <c r="G681" s="2" t="s">
        <v>6039</v>
      </c>
      <c r="H681" s="2"/>
      <c r="I681" s="2" t="s">
        <v>5920</v>
      </c>
      <c r="J681" s="2" t="s">
        <v>5933</v>
      </c>
      <c r="K681" s="3" t="b">
        <f>J681 = "blocking"</f>
        <v>1</v>
      </c>
      <c r="L681" s="2" t="s">
        <v>1428</v>
      </c>
      <c r="M681" s="2" t="s">
        <v>6040</v>
      </c>
      <c r="N681" s="4">
        <v>46223.1297337963</v>
      </c>
      <c r="O681" s="3" t="b">
        <f>L681 = "PASS"</f>
        <v>1</v>
      </c>
      <c r="P681" s="3" t="b">
        <f>L681 = "FAIL"</f>
        <v>0</v>
      </c>
      <c r="Q681" s="3" t="b">
        <f>AND(P681, K681)</f>
        <v>0</v>
      </c>
      <c r="R681" s="3" t="str">
        <f>IF(O681, I681, "")</f>
        <v>suite-substrate</v>
      </c>
      <c r="S681" s="3" t="str">
        <f>IF(Q681, I681, "")</f>
      </c>
      <c r="T681" s="2" t="s">
        <v>5935</v>
      </c>
    </row>
    <row r="682">
      <c r="A682" s="2" t="s">
        <v>6651</v>
      </c>
      <c r="B682" s="3" t="str">
        <f>C682 &amp; ": " &amp; D682</f>
        <v>formula-translates: OperationalBindings.IsFresh</v>
      </c>
      <c r="C682" s="2" t="s">
        <v>6038</v>
      </c>
      <c r="D682" s="2" t="s">
        <v>3977</v>
      </c>
      <c r="E682" s="2" t="s">
        <v>1842</v>
      </c>
      <c r="F682" s="2" t="s">
        <v>1649</v>
      </c>
      <c r="G682" s="2" t="s">
        <v>6039</v>
      </c>
      <c r="H682" s="2"/>
      <c r="I682" s="2" t="s">
        <v>5920</v>
      </c>
      <c r="J682" s="2" t="s">
        <v>5933</v>
      </c>
      <c r="K682" s="3" t="b">
        <f>J682 = "blocking"</f>
        <v>1</v>
      </c>
      <c r="L682" s="2" t="s">
        <v>1428</v>
      </c>
      <c r="M682" s="2" t="s">
        <v>6040</v>
      </c>
      <c r="N682" s="4">
        <v>46223.1297337963</v>
      </c>
      <c r="O682" s="3" t="b">
        <f>L682 = "PASS"</f>
        <v>1</v>
      </c>
      <c r="P682" s="3" t="b">
        <f>L682 = "FAIL"</f>
        <v>0</v>
      </c>
      <c r="Q682" s="3" t="b">
        <f>AND(P682, K682)</f>
        <v>0</v>
      </c>
      <c r="R682" s="3" t="str">
        <f>IF(O682, I682, "")</f>
        <v>suite-substrate</v>
      </c>
      <c r="S682" s="3" t="str">
        <f>IF(Q682, I682, "")</f>
      </c>
      <c r="T682" s="2" t="s">
        <v>5935</v>
      </c>
    </row>
    <row r="683">
      <c r="A683" s="2" t="s">
        <v>6652</v>
      </c>
      <c r="B683" s="3" t="str">
        <f>C683 &amp; ": " &amp; D683</f>
        <v>formula-translates: OperationalBindings.StaleBindingStepKey</v>
      </c>
      <c r="C683" s="2" t="s">
        <v>6038</v>
      </c>
      <c r="D683" s="2" t="s">
        <v>3979</v>
      </c>
      <c r="E683" s="2" t="s">
        <v>1842</v>
      </c>
      <c r="F683" s="2" t="s">
        <v>1650</v>
      </c>
      <c r="G683" s="2" t="s">
        <v>6039</v>
      </c>
      <c r="H683" s="2" t="s">
        <v>1944</v>
      </c>
      <c r="I683" s="2" t="s">
        <v>5920</v>
      </c>
      <c r="J683" s="2" t="s">
        <v>5933</v>
      </c>
      <c r="K683" s="3" t="b">
        <f>J683 = "blocking"</f>
        <v>1</v>
      </c>
      <c r="L683" s="2" t="s">
        <v>1428</v>
      </c>
      <c r="M683" s="2" t="s">
        <v>6040</v>
      </c>
      <c r="N683" s="4">
        <v>46223.1297337963</v>
      </c>
      <c r="O683" s="3" t="b">
        <f>L683 = "PASS"</f>
        <v>1</v>
      </c>
      <c r="P683" s="3" t="b">
        <f>L683 = "FAIL"</f>
        <v>0</v>
      </c>
      <c r="Q683" s="3" t="b">
        <f>AND(P683, K683)</f>
        <v>0</v>
      </c>
      <c r="R683" s="3" t="str">
        <f>IF(O683, I683, "")</f>
        <v>suite-substrate</v>
      </c>
      <c r="S683" s="3" t="str">
        <f>IF(Q683, I683, "")</f>
      </c>
      <c r="T683" s="2" t="s">
        <v>5935</v>
      </c>
    </row>
    <row r="684">
      <c r="A684" s="2" t="s">
        <v>6653</v>
      </c>
      <c r="B684" s="3" t="str">
        <f>C684 &amp; ": " &amp; D684</f>
        <v>formula-translates: OperationalBindings.AuthoritativeStaleStepKey</v>
      </c>
      <c r="C684" s="2" t="s">
        <v>6038</v>
      </c>
      <c r="D684" s="2" t="s">
        <v>3981</v>
      </c>
      <c r="E684" s="2" t="s">
        <v>1842</v>
      </c>
      <c r="F684" s="2" t="s">
        <v>1651</v>
      </c>
      <c r="G684" s="2" t="s">
        <v>6039</v>
      </c>
      <c r="H684" s="2" t="s">
        <v>1944</v>
      </c>
      <c r="I684" s="2" t="s">
        <v>5920</v>
      </c>
      <c r="J684" s="2" t="s">
        <v>5933</v>
      </c>
      <c r="K684" s="3" t="b">
        <f>J684 = "blocking"</f>
        <v>1</v>
      </c>
      <c r="L684" s="2" t="s">
        <v>1428</v>
      </c>
      <c r="M684" s="2" t="s">
        <v>6040</v>
      </c>
      <c r="N684" s="4">
        <v>46223.1297337963</v>
      </c>
      <c r="O684" s="3" t="b">
        <f>L684 = "PASS"</f>
        <v>1</v>
      </c>
      <c r="P684" s="3" t="b">
        <f>L684 = "FAIL"</f>
        <v>0</v>
      </c>
      <c r="Q684" s="3" t="b">
        <f>AND(P684, K684)</f>
        <v>0</v>
      </c>
      <c r="R684" s="3" t="str">
        <f>IF(O684, I684, "")</f>
        <v>suite-substrate</v>
      </c>
      <c r="S684" s="3" t="str">
        <f>IF(Q684, I684, "")</f>
      </c>
      <c r="T684" s="2" t="s">
        <v>5935</v>
      </c>
    </row>
    <row r="685">
      <c r="A685" s="2" t="s">
        <v>6654</v>
      </c>
      <c r="B685" s="3" t="str">
        <f>C685 &amp; ": " &amp; D685</f>
        <v>formula-translates: OperationalBindings.IsStaleAndAuthoritative</v>
      </c>
      <c r="C685" s="2" t="s">
        <v>6038</v>
      </c>
      <c r="D685" s="2" t="s">
        <v>3983</v>
      </c>
      <c r="E685" s="2" t="s">
        <v>1842</v>
      </c>
      <c r="F685" s="2" t="s">
        <v>1652</v>
      </c>
      <c r="G685" s="2" t="s">
        <v>6039</v>
      </c>
      <c r="H685" s="2" t="s">
        <v>2100</v>
      </c>
      <c r="I685" s="2" t="s">
        <v>5920</v>
      </c>
      <c r="J685" s="2" t="s">
        <v>5933</v>
      </c>
      <c r="K685" s="3" t="b">
        <f>J685 = "blocking"</f>
        <v>1</v>
      </c>
      <c r="L685" s="2" t="s">
        <v>1428</v>
      </c>
      <c r="M685" s="2" t="s">
        <v>6040</v>
      </c>
      <c r="N685" s="4">
        <v>46223.1297337963</v>
      </c>
      <c r="O685" s="3" t="b">
        <f>L685 = "PASS"</f>
        <v>1</v>
      </c>
      <c r="P685" s="3" t="b">
        <f>L685 = "FAIL"</f>
        <v>0</v>
      </c>
      <c r="Q685" s="3" t="b">
        <f>AND(P685, K685)</f>
        <v>0</v>
      </c>
      <c r="R685" s="3" t="str">
        <f>IF(O685, I685, "")</f>
        <v>suite-substrate</v>
      </c>
      <c r="S685" s="3" t="str">
        <f>IF(Q685, I685, "")</f>
      </c>
      <c r="T685" s="2" t="s">
        <v>5935</v>
      </c>
    </row>
    <row r="686">
      <c r="A686" s="2" t="s">
        <v>6655</v>
      </c>
      <c r="B686" s="3" t="str">
        <f>C686 &amp; ": " &amp; D686</f>
        <v>formula-translates: OperationalBindings.StepWhenStale</v>
      </c>
      <c r="C686" s="2" t="s">
        <v>6038</v>
      </c>
      <c r="D686" s="2" t="s">
        <v>3985</v>
      </c>
      <c r="E686" s="2" t="s">
        <v>1842</v>
      </c>
      <c r="F686" s="2" t="s">
        <v>1653</v>
      </c>
      <c r="G686" s="2" t="s">
        <v>6039</v>
      </c>
      <c r="H686" s="2" t="s">
        <v>2100</v>
      </c>
      <c r="I686" s="2" t="s">
        <v>5920</v>
      </c>
      <c r="J686" s="2" t="s">
        <v>5933</v>
      </c>
      <c r="K686" s="3" t="b">
        <f>J686 = "blocking"</f>
        <v>1</v>
      </c>
      <c r="L686" s="2" t="s">
        <v>1428</v>
      </c>
      <c r="M686" s="2" t="s">
        <v>6040</v>
      </c>
      <c r="N686" s="4">
        <v>46223.1297337963</v>
      </c>
      <c r="O686" s="3" t="b">
        <f>L686 = "PASS"</f>
        <v>1</v>
      </c>
      <c r="P686" s="3" t="b">
        <f>L686 = "FAIL"</f>
        <v>0</v>
      </c>
      <c r="Q686" s="3" t="b">
        <f>AND(P686, K686)</f>
        <v>0</v>
      </c>
      <c r="R686" s="3" t="str">
        <f>IF(O686, I686, "")</f>
        <v>suite-substrate</v>
      </c>
      <c r="S686" s="3" t="str">
        <f>IF(Q686, I686, "")</f>
      </c>
      <c r="T686" s="2" t="s">
        <v>5935</v>
      </c>
    </row>
    <row r="687">
      <c r="A687" s="2" t="s">
        <v>6656</v>
      </c>
      <c r="B687" s="3" t="str">
        <f>C687 &amp; ": " &amp; D687</f>
        <v>formula-translates: OperationalBindings.ResourceIsApproved</v>
      </c>
      <c r="C687" s="2" t="s">
        <v>6038</v>
      </c>
      <c r="D687" s="2" t="s">
        <v>3987</v>
      </c>
      <c r="E687" s="2" t="s">
        <v>1842</v>
      </c>
      <c r="F687" s="2" t="s">
        <v>1654</v>
      </c>
      <c r="G687" s="2" t="s">
        <v>6039</v>
      </c>
      <c r="H687" s="2" t="s">
        <v>2160</v>
      </c>
      <c r="I687" s="2" t="s">
        <v>5920</v>
      </c>
      <c r="J687" s="2" t="s">
        <v>5933</v>
      </c>
      <c r="K687" s="3" t="b">
        <f>J687 = "blocking"</f>
        <v>1</v>
      </c>
      <c r="L687" s="2" t="s">
        <v>1428</v>
      </c>
      <c r="M687" s="2" t="s">
        <v>6040</v>
      </c>
      <c r="N687" s="4">
        <v>46223.1297337963</v>
      </c>
      <c r="O687" s="3" t="b">
        <f>L687 = "PASS"</f>
        <v>1</v>
      </c>
      <c r="P687" s="3" t="b">
        <f>L687 = "FAIL"</f>
        <v>0</v>
      </c>
      <c r="Q687" s="3" t="b">
        <f>AND(P687, K687)</f>
        <v>0</v>
      </c>
      <c r="R687" s="3" t="str">
        <f>IF(O687, I687, "")</f>
        <v>suite-substrate</v>
      </c>
      <c r="S687" s="3" t="str">
        <f>IF(Q687, I687, "")</f>
      </c>
      <c r="T687" s="2" t="s">
        <v>5935</v>
      </c>
    </row>
    <row r="688">
      <c r="A688" s="2" t="s">
        <v>6657</v>
      </c>
      <c r="B688" s="3" t="str">
        <f>C688 &amp; ": " &amp; D688</f>
        <v>formula-translates: OperationalBindings.IsUsableForDrafting</v>
      </c>
      <c r="C688" s="2" t="s">
        <v>6038</v>
      </c>
      <c r="D688" s="2" t="s">
        <v>3989</v>
      </c>
      <c r="E688" s="2" t="s">
        <v>1842</v>
      </c>
      <c r="F688" s="2" t="s">
        <v>1655</v>
      </c>
      <c r="G688" s="2" t="s">
        <v>6039</v>
      </c>
      <c r="H688" s="2" t="s">
        <v>2160</v>
      </c>
      <c r="I688" s="2" t="s">
        <v>5920</v>
      </c>
      <c r="J688" s="2" t="s">
        <v>5933</v>
      </c>
      <c r="K688" s="3" t="b">
        <f>J688 = "blocking"</f>
        <v>1</v>
      </c>
      <c r="L688" s="2" t="s">
        <v>1428</v>
      </c>
      <c r="M688" s="2" t="s">
        <v>6040</v>
      </c>
      <c r="N688" s="4">
        <v>46223.1297337963</v>
      </c>
      <c r="O688" s="3" t="b">
        <f>L688 = "PASS"</f>
        <v>1</v>
      </c>
      <c r="P688" s="3" t="b">
        <f>L688 = "FAIL"</f>
        <v>0</v>
      </c>
      <c r="Q688" s="3" t="b">
        <f>AND(P688, K688)</f>
        <v>0</v>
      </c>
      <c r="R688" s="3" t="str">
        <f>IF(O688, I688, "")</f>
        <v>suite-substrate</v>
      </c>
      <c r="S688" s="3" t="str">
        <f>IF(Q688, I688, "")</f>
      </c>
      <c r="T688" s="2" t="s">
        <v>5935</v>
      </c>
    </row>
    <row r="689">
      <c r="A689" s="2" t="s">
        <v>6658</v>
      </c>
      <c r="B689" s="3" t="str">
        <f>C689 &amp; ": " &amp; D689</f>
        <v>formula-translates: OperationalBindings.StepWhenUnusable</v>
      </c>
      <c r="C689" s="2" t="s">
        <v>6038</v>
      </c>
      <c r="D689" s="2" t="s">
        <v>3991</v>
      </c>
      <c r="E689" s="2" t="s">
        <v>1842</v>
      </c>
      <c r="F689" s="2" t="s">
        <v>1656</v>
      </c>
      <c r="G689" s="2" t="s">
        <v>6039</v>
      </c>
      <c r="H689" s="2" t="s">
        <v>2160</v>
      </c>
      <c r="I689" s="2" t="s">
        <v>5920</v>
      </c>
      <c r="J689" s="2" t="s">
        <v>5933</v>
      </c>
      <c r="K689" s="3" t="b">
        <f>J689 = "blocking"</f>
        <v>1</v>
      </c>
      <c r="L689" s="2" t="s">
        <v>1428</v>
      </c>
      <c r="M689" s="2" t="s">
        <v>6040</v>
      </c>
      <c r="N689" s="4">
        <v>46223.1297337963</v>
      </c>
      <c r="O689" s="3" t="b">
        <f>L689 = "PASS"</f>
        <v>1</v>
      </c>
      <c r="P689" s="3" t="b">
        <f>L689 = "FAIL"</f>
        <v>0</v>
      </c>
      <c r="Q689" s="3" t="b">
        <f>AND(P689, K689)</f>
        <v>0</v>
      </c>
      <c r="R689" s="3" t="str">
        <f>IF(O689, I689, "")</f>
        <v>suite-substrate</v>
      </c>
      <c r="S689" s="3" t="str">
        <f>IF(Q689, I689, "")</f>
      </c>
      <c r="T689" s="2" t="s">
        <v>5935</v>
      </c>
    </row>
    <row r="690">
      <c r="A690" s="2" t="s">
        <v>6659</v>
      </c>
      <c r="B690" s="3" t="str">
        <f>C690 &amp; ": " &amp; D690</f>
        <v>formula-translates: CommunicationPolicies.Name</v>
      </c>
      <c r="C690" s="2" t="s">
        <v>6038</v>
      </c>
      <c r="D690" s="2" t="s">
        <v>3995</v>
      </c>
      <c r="E690" s="2" t="s">
        <v>1845</v>
      </c>
      <c r="F690" s="2" t="s">
        <v>1</v>
      </c>
      <c r="G690" s="2" t="s">
        <v>6039</v>
      </c>
      <c r="H690" s="2"/>
      <c r="I690" s="2" t="s">
        <v>5920</v>
      </c>
      <c r="J690" s="2" t="s">
        <v>5933</v>
      </c>
      <c r="K690" s="3" t="b">
        <f>J690 = "blocking"</f>
        <v>1</v>
      </c>
      <c r="L690" s="2" t="s">
        <v>1428</v>
      </c>
      <c r="M690" s="2" t="s">
        <v>6040</v>
      </c>
      <c r="N690" s="4">
        <v>46223.1297337963</v>
      </c>
      <c r="O690" s="3" t="b">
        <f>L690 = "PASS"</f>
        <v>1</v>
      </c>
      <c r="P690" s="3" t="b">
        <f>L690 = "FAIL"</f>
        <v>0</v>
      </c>
      <c r="Q690" s="3" t="b">
        <f>AND(P690, K690)</f>
        <v>0</v>
      </c>
      <c r="R690" s="3" t="str">
        <f>IF(O690, I690, "")</f>
        <v>suite-substrate</v>
      </c>
      <c r="S690" s="3" t="str">
        <f>IF(Q690, I690, "")</f>
      </c>
      <c r="T690" s="2" t="s">
        <v>5935</v>
      </c>
    </row>
    <row r="691">
      <c r="A691" s="2" t="s">
        <v>6660</v>
      </c>
      <c r="B691" s="3" t="str">
        <f>C691 &amp; ": " &amp; D691</f>
        <v>formula-translates: CommunicationPolicies.ConsentViolationCount</v>
      </c>
      <c r="C691" s="2" t="s">
        <v>6038</v>
      </c>
      <c r="D691" s="2" t="s">
        <v>4010</v>
      </c>
      <c r="E691" s="2" t="s">
        <v>1845</v>
      </c>
      <c r="F691" s="2" t="s">
        <v>1681</v>
      </c>
      <c r="G691" s="2" t="s">
        <v>6039</v>
      </c>
      <c r="H691" s="2" t="s">
        <v>2036</v>
      </c>
      <c r="I691" s="2" t="s">
        <v>5920</v>
      </c>
      <c r="J691" s="2" t="s">
        <v>5933</v>
      </c>
      <c r="K691" s="3" t="b">
        <f>J691 = "blocking"</f>
        <v>1</v>
      </c>
      <c r="L691" s="2" t="s">
        <v>1428</v>
      </c>
      <c r="M691" s="2" t="s">
        <v>6040</v>
      </c>
      <c r="N691" s="4">
        <v>46223.1297337963</v>
      </c>
      <c r="O691" s="3" t="b">
        <f>L691 = "PASS"</f>
        <v>1</v>
      </c>
      <c r="P691" s="3" t="b">
        <f>L691 = "FAIL"</f>
        <v>0</v>
      </c>
      <c r="Q691" s="3" t="b">
        <f>AND(P691, K691)</f>
        <v>0</v>
      </c>
      <c r="R691" s="3" t="str">
        <f>IF(O691, I691, "")</f>
        <v>suite-substrate</v>
      </c>
      <c r="S691" s="3" t="str">
        <f>IF(Q691, I691, "")</f>
      </c>
      <c r="T691" s="2" t="s">
        <v>5935</v>
      </c>
    </row>
    <row r="692">
      <c r="A692" s="2" t="s">
        <v>6661</v>
      </c>
      <c r="B692" s="3" t="str">
        <f>C692 &amp; ": " &amp; D692</f>
        <v>formula-translates: CommunicationPolicies.QuietHoursViolationCount</v>
      </c>
      <c r="C692" s="2" t="s">
        <v>6038</v>
      </c>
      <c r="D692" s="2" t="s">
        <v>4014</v>
      </c>
      <c r="E692" s="2" t="s">
        <v>1845</v>
      </c>
      <c r="F692" s="2" t="s">
        <v>1684</v>
      </c>
      <c r="G692" s="2" t="s">
        <v>6039</v>
      </c>
      <c r="H692" s="2" t="s">
        <v>2040</v>
      </c>
      <c r="I692" s="2" t="s">
        <v>5920</v>
      </c>
      <c r="J692" s="2" t="s">
        <v>5933</v>
      </c>
      <c r="K692" s="3" t="b">
        <f>J692 = "blocking"</f>
        <v>1</v>
      </c>
      <c r="L692" s="2" t="s">
        <v>1428</v>
      </c>
      <c r="M692" s="2" t="s">
        <v>6040</v>
      </c>
      <c r="N692" s="4">
        <v>46223.1297337963</v>
      </c>
      <c r="O692" s="3" t="b">
        <f>L692 = "PASS"</f>
        <v>1</v>
      </c>
      <c r="P692" s="3" t="b">
        <f>L692 = "FAIL"</f>
        <v>0</v>
      </c>
      <c r="Q692" s="3" t="b">
        <f>AND(P692, K692)</f>
        <v>0</v>
      </c>
      <c r="R692" s="3" t="str">
        <f>IF(O692, I692, "")</f>
        <v>suite-substrate</v>
      </c>
      <c r="S692" s="3" t="str">
        <f>IF(Q692, I692, "")</f>
      </c>
      <c r="T692" s="2" t="s">
        <v>5935</v>
      </c>
    </row>
    <row r="693">
      <c r="A693" s="2" t="s">
        <v>6662</v>
      </c>
      <c r="B693" s="3" t="str">
        <f>C693 &amp; ": " &amp; D693</f>
        <v>formula-translates: CommunicationPolicies.IsActivePolicy</v>
      </c>
      <c r="C693" s="2" t="s">
        <v>6038</v>
      </c>
      <c r="D693" s="2" t="s">
        <v>4017</v>
      </c>
      <c r="E693" s="2" t="s">
        <v>1845</v>
      </c>
      <c r="F693" s="2" t="s">
        <v>1686</v>
      </c>
      <c r="G693" s="2" t="s">
        <v>6039</v>
      </c>
      <c r="H693" s="2" t="s">
        <v>2076</v>
      </c>
      <c r="I693" s="2" t="s">
        <v>5920</v>
      </c>
      <c r="J693" s="2" t="s">
        <v>5933</v>
      </c>
      <c r="K693" s="3" t="b">
        <f>J693 = "blocking"</f>
        <v>1</v>
      </c>
      <c r="L693" s="2" t="s">
        <v>1428</v>
      </c>
      <c r="M693" s="2" t="s">
        <v>6040</v>
      </c>
      <c r="N693" s="4">
        <v>46223.1297337963</v>
      </c>
      <c r="O693" s="3" t="b">
        <f>L693 = "PASS"</f>
        <v>1</v>
      </c>
      <c r="P693" s="3" t="b">
        <f>L693 = "FAIL"</f>
        <v>0</v>
      </c>
      <c r="Q693" s="3" t="b">
        <f>AND(P693, K693)</f>
        <v>0</v>
      </c>
      <c r="R693" s="3" t="str">
        <f>IF(O693, I693, "")</f>
        <v>suite-substrate</v>
      </c>
      <c r="S693" s="3" t="str">
        <f>IF(Q693, I693, "")</f>
      </c>
      <c r="T693" s="2" t="s">
        <v>5935</v>
      </c>
    </row>
    <row r="694">
      <c r="A694" s="2" t="s">
        <v>6663</v>
      </c>
      <c r="B694" s="3" t="str">
        <f>C694 &amp; ": " &amp; D694</f>
        <v>formula-translates: MessageTemplates.Name</v>
      </c>
      <c r="C694" s="2" t="s">
        <v>6038</v>
      </c>
      <c r="D694" s="2" t="s">
        <v>4022</v>
      </c>
      <c r="E694" s="2" t="s">
        <v>4021</v>
      </c>
      <c r="F694" s="2" t="s">
        <v>1</v>
      </c>
      <c r="G694" s="2" t="s">
        <v>6039</v>
      </c>
      <c r="H694" s="2"/>
      <c r="I694" s="2" t="s">
        <v>5920</v>
      </c>
      <c r="J694" s="2" t="s">
        <v>5933</v>
      </c>
      <c r="K694" s="3" t="b">
        <f>J694 = "blocking"</f>
        <v>1</v>
      </c>
      <c r="L694" s="2" t="s">
        <v>1428</v>
      </c>
      <c r="M694" s="2" t="s">
        <v>6040</v>
      </c>
      <c r="N694" s="4">
        <v>46223.1297337963</v>
      </c>
      <c r="O694" s="3" t="b">
        <f>L694 = "PASS"</f>
        <v>1</v>
      </c>
      <c r="P694" s="3" t="b">
        <f>L694 = "FAIL"</f>
        <v>0</v>
      </c>
      <c r="Q694" s="3" t="b">
        <f>AND(P694, K694)</f>
        <v>0</v>
      </c>
      <c r="R694" s="3" t="str">
        <f>IF(O694, I694, "")</f>
        <v>suite-substrate</v>
      </c>
      <c r="S694" s="3" t="str">
        <f>IF(Q694, I694, "")</f>
      </c>
      <c r="T694" s="2" t="s">
        <v>5935</v>
      </c>
    </row>
    <row r="695">
      <c r="A695" s="2" t="s">
        <v>6664</v>
      </c>
      <c r="B695" s="3" t="str">
        <f>C695 &amp; ": " &amp; D695</f>
        <v>formula-translates: MessageTemplates.PolicyMaxMessageLength</v>
      </c>
      <c r="C695" s="2" t="s">
        <v>6038</v>
      </c>
      <c r="D695" s="2" t="s">
        <v>4030</v>
      </c>
      <c r="E695" s="2" t="s">
        <v>4021</v>
      </c>
      <c r="F695" s="2" t="s">
        <v>1707</v>
      </c>
      <c r="G695" s="2" t="s">
        <v>6039</v>
      </c>
      <c r="H695" s="2" t="s">
        <v>2056</v>
      </c>
      <c r="I695" s="2" t="s">
        <v>5920</v>
      </c>
      <c r="J695" s="2" t="s">
        <v>5933</v>
      </c>
      <c r="K695" s="3" t="b">
        <f>J695 = "blocking"</f>
        <v>1</v>
      </c>
      <c r="L695" s="2" t="s">
        <v>1428</v>
      </c>
      <c r="M695" s="2" t="s">
        <v>6040</v>
      </c>
      <c r="N695" s="4">
        <v>46223.1297337963</v>
      </c>
      <c r="O695" s="3" t="b">
        <f>L695 = "PASS"</f>
        <v>1</v>
      </c>
      <c r="P695" s="3" t="b">
        <f>L695 = "FAIL"</f>
        <v>0</v>
      </c>
      <c r="Q695" s="3" t="b">
        <f>AND(P695, K695)</f>
        <v>0</v>
      </c>
      <c r="R695" s="3" t="str">
        <f>IF(O695, I695, "")</f>
        <v>suite-substrate</v>
      </c>
      <c r="S695" s="3" t="str">
        <f>IF(Q695, I695, "")</f>
      </c>
      <c r="T695" s="2" t="s">
        <v>5935</v>
      </c>
    </row>
    <row r="696">
      <c r="A696" s="2" t="s">
        <v>6665</v>
      </c>
      <c r="B696" s="3" t="str">
        <f>C696 &amp; ": " &amp; D696</f>
        <v>formula-translates: MessageTemplates.PolicyMaxSegments</v>
      </c>
      <c r="C696" s="2" t="s">
        <v>6038</v>
      </c>
      <c r="D696" s="2" t="s">
        <v>4032</v>
      </c>
      <c r="E696" s="2" t="s">
        <v>4021</v>
      </c>
      <c r="F696" s="2" t="s">
        <v>1708</v>
      </c>
      <c r="G696" s="2" t="s">
        <v>6039</v>
      </c>
      <c r="H696" s="2" t="s">
        <v>2056</v>
      </c>
      <c r="I696" s="2" t="s">
        <v>5920</v>
      </c>
      <c r="J696" s="2" t="s">
        <v>5933</v>
      </c>
      <c r="K696" s="3" t="b">
        <f>J696 = "blocking"</f>
        <v>1</v>
      </c>
      <c r="L696" s="2" t="s">
        <v>1428</v>
      </c>
      <c r="M696" s="2" t="s">
        <v>6040</v>
      </c>
      <c r="N696" s="4">
        <v>46223.1297337963</v>
      </c>
      <c r="O696" s="3" t="b">
        <f>L696 = "PASS"</f>
        <v>1</v>
      </c>
      <c r="P696" s="3" t="b">
        <f>L696 = "FAIL"</f>
        <v>0</v>
      </c>
      <c r="Q696" s="3" t="b">
        <f>AND(P696, K696)</f>
        <v>0</v>
      </c>
      <c r="R696" s="3" t="str">
        <f>IF(O696, I696, "")</f>
        <v>suite-substrate</v>
      </c>
      <c r="S696" s="3" t="str">
        <f>IF(Q696, I696, "")</f>
      </c>
      <c r="T696" s="2" t="s">
        <v>5935</v>
      </c>
    </row>
    <row r="697">
      <c r="A697" s="2" t="s">
        <v>6666</v>
      </c>
      <c r="B697" s="3" t="str">
        <f>C697 &amp; ": " &amp; D697</f>
        <v>formula-translates: MessageTemplates.BodyTemplateLength</v>
      </c>
      <c r="C697" s="2" t="s">
        <v>6038</v>
      </c>
      <c r="D697" s="2" t="s">
        <v>4034</v>
      </c>
      <c r="E697" s="2" t="s">
        <v>4021</v>
      </c>
      <c r="F697" s="2" t="s">
        <v>1709</v>
      </c>
      <c r="G697" s="2" t="s">
        <v>6039</v>
      </c>
      <c r="H697" s="2" t="s">
        <v>2056</v>
      </c>
      <c r="I697" s="2" t="s">
        <v>5920</v>
      </c>
      <c r="J697" s="2" t="s">
        <v>5933</v>
      </c>
      <c r="K697" s="3" t="b">
        <f>J697 = "blocking"</f>
        <v>1</v>
      </c>
      <c r="L697" s="2" t="s">
        <v>1428</v>
      </c>
      <c r="M697" s="2" t="s">
        <v>6040</v>
      </c>
      <c r="N697" s="4">
        <v>46223.1297337963</v>
      </c>
      <c r="O697" s="3" t="b">
        <f>L697 = "PASS"</f>
        <v>1</v>
      </c>
      <c r="P697" s="3" t="b">
        <f>L697 = "FAIL"</f>
        <v>0</v>
      </c>
      <c r="Q697" s="3" t="b">
        <f>AND(P697, K697)</f>
        <v>0</v>
      </c>
      <c r="R697" s="3" t="str">
        <f>IF(O697, I697, "")</f>
        <v>suite-substrate</v>
      </c>
      <c r="S697" s="3" t="str">
        <f>IF(Q697, I697, "")</f>
      </c>
      <c r="T697" s="2" t="s">
        <v>5935</v>
      </c>
    </row>
    <row r="698">
      <c r="A698" s="2" t="s">
        <v>6667</v>
      </c>
      <c r="B698" s="3" t="str">
        <f>C698 &amp; ": " &amp; D698</f>
        <v>formula-translates: MessageTemplates.IsTemplateOverLength</v>
      </c>
      <c r="C698" s="2" t="s">
        <v>6038</v>
      </c>
      <c r="D698" s="2" t="s">
        <v>4036</v>
      </c>
      <c r="E698" s="2" t="s">
        <v>4021</v>
      </c>
      <c r="F698" s="2" t="s">
        <v>1710</v>
      </c>
      <c r="G698" s="2" t="s">
        <v>6039</v>
      </c>
      <c r="H698" s="2" t="s">
        <v>2056</v>
      </c>
      <c r="I698" s="2" t="s">
        <v>5920</v>
      </c>
      <c r="J698" s="2" t="s">
        <v>5933</v>
      </c>
      <c r="K698" s="3" t="b">
        <f>J698 = "blocking"</f>
        <v>1</v>
      </c>
      <c r="L698" s="2" t="s">
        <v>1428</v>
      </c>
      <c r="M698" s="2" t="s">
        <v>6040</v>
      </c>
      <c r="N698" s="4">
        <v>46223.1297337963</v>
      </c>
      <c r="O698" s="3" t="b">
        <f>L698 = "PASS"</f>
        <v>1</v>
      </c>
      <c r="P698" s="3" t="b">
        <f>L698 = "FAIL"</f>
        <v>0</v>
      </c>
      <c r="Q698" s="3" t="b">
        <f>AND(P698, K698)</f>
        <v>0</v>
      </c>
      <c r="R698" s="3" t="str">
        <f>IF(O698, I698, "")</f>
        <v>suite-substrate</v>
      </c>
      <c r="S698" s="3" t="str">
        <f>IF(Q698, I698, "")</f>
      </c>
      <c r="T698" s="2" t="s">
        <v>5935</v>
      </c>
    </row>
    <row r="699">
      <c r="A699" s="2" t="s">
        <v>6668</v>
      </c>
      <c r="B699" s="3" t="str">
        <f>C699 &amp; ": " &amp; D699</f>
        <v>formula-translates: MessageTemplates.ValidApprovalCount</v>
      </c>
      <c r="C699" s="2" t="s">
        <v>6038</v>
      </c>
      <c r="D699" s="2" t="s">
        <v>4038</v>
      </c>
      <c r="E699" s="2" t="s">
        <v>4021</v>
      </c>
      <c r="F699" s="2" t="s">
        <v>1711</v>
      </c>
      <c r="G699" s="2" t="s">
        <v>6039</v>
      </c>
      <c r="H699" s="2" t="s">
        <v>2060</v>
      </c>
      <c r="I699" s="2" t="s">
        <v>5920</v>
      </c>
      <c r="J699" s="2" t="s">
        <v>5933</v>
      </c>
      <c r="K699" s="3" t="b">
        <f>J699 = "blocking"</f>
        <v>1</v>
      </c>
      <c r="L699" s="2" t="s">
        <v>1428</v>
      </c>
      <c r="M699" s="2" t="s">
        <v>6040</v>
      </c>
      <c r="N699" s="4">
        <v>46223.1297337963</v>
      </c>
      <c r="O699" s="3" t="b">
        <f>L699 = "PASS"</f>
        <v>1</v>
      </c>
      <c r="P699" s="3" t="b">
        <f>L699 = "FAIL"</f>
        <v>0</v>
      </c>
      <c r="Q699" s="3" t="b">
        <f>AND(P699, K699)</f>
        <v>0</v>
      </c>
      <c r="R699" s="3" t="str">
        <f>IF(O699, I699, "")</f>
        <v>suite-substrate</v>
      </c>
      <c r="S699" s="3" t="str">
        <f>IF(Q699, I699, "")</f>
      </c>
      <c r="T699" s="2" t="s">
        <v>5935</v>
      </c>
    </row>
    <row r="700">
      <c r="A700" s="2" t="s">
        <v>6669</v>
      </c>
      <c r="B700" s="3" t="str">
        <f>C700 &amp; ": " &amp; D700</f>
        <v>formula-translates: MessageTemplates.HasValidApproval</v>
      </c>
      <c r="C700" s="2" t="s">
        <v>6038</v>
      </c>
      <c r="D700" s="2" t="s">
        <v>4040</v>
      </c>
      <c r="E700" s="2" t="s">
        <v>4021</v>
      </c>
      <c r="F700" s="2" t="s">
        <v>1712</v>
      </c>
      <c r="G700" s="2" t="s">
        <v>6039</v>
      </c>
      <c r="H700" s="2" t="s">
        <v>2060</v>
      </c>
      <c r="I700" s="2" t="s">
        <v>5920</v>
      </c>
      <c r="J700" s="2" t="s">
        <v>5933</v>
      </c>
      <c r="K700" s="3" t="b">
        <f>J700 = "blocking"</f>
        <v>1</v>
      </c>
      <c r="L700" s="2" t="s">
        <v>1428</v>
      </c>
      <c r="M700" s="2" t="s">
        <v>6040</v>
      </c>
      <c r="N700" s="4">
        <v>46223.1297337963</v>
      </c>
      <c r="O700" s="3" t="b">
        <f>L700 = "PASS"</f>
        <v>1</v>
      </c>
      <c r="P700" s="3" t="b">
        <f>L700 = "FAIL"</f>
        <v>0</v>
      </c>
      <c r="Q700" s="3" t="b">
        <f>AND(P700, K700)</f>
        <v>0</v>
      </c>
      <c r="R700" s="3" t="str">
        <f>IF(O700, I700, "")</f>
        <v>suite-substrate</v>
      </c>
      <c r="S700" s="3" t="str">
        <f>IF(Q700, I700, "")</f>
      </c>
      <c r="T700" s="2" t="s">
        <v>5935</v>
      </c>
    </row>
    <row r="701">
      <c r="A701" s="2" t="s">
        <v>6670</v>
      </c>
      <c r="B701" s="3" t="str">
        <f>C701 &amp; ": " &amp; D701</f>
        <v>formula-translates: MessageTemplates.IsClaimingUnbackedApproval</v>
      </c>
      <c r="C701" s="2" t="s">
        <v>6038</v>
      </c>
      <c r="D701" s="2" t="s">
        <v>4042</v>
      </c>
      <c r="E701" s="2" t="s">
        <v>4021</v>
      </c>
      <c r="F701" s="2" t="s">
        <v>1713</v>
      </c>
      <c r="G701" s="2" t="s">
        <v>6039</v>
      </c>
      <c r="H701" s="2" t="s">
        <v>2060</v>
      </c>
      <c r="I701" s="2" t="s">
        <v>5920</v>
      </c>
      <c r="J701" s="2" t="s">
        <v>5933</v>
      </c>
      <c r="K701" s="3" t="b">
        <f>J701 = "blocking"</f>
        <v>1</v>
      </c>
      <c r="L701" s="2" t="s">
        <v>1428</v>
      </c>
      <c r="M701" s="2" t="s">
        <v>6040</v>
      </c>
      <c r="N701" s="4">
        <v>46223.1297337963</v>
      </c>
      <c r="O701" s="3" t="b">
        <f>L701 = "PASS"</f>
        <v>1</v>
      </c>
      <c r="P701" s="3" t="b">
        <f>L701 = "FAIL"</f>
        <v>0</v>
      </c>
      <c r="Q701" s="3" t="b">
        <f>AND(P701, K701)</f>
        <v>0</v>
      </c>
      <c r="R701" s="3" t="str">
        <f>IF(O701, I701, "")</f>
        <v>suite-substrate</v>
      </c>
      <c r="S701" s="3" t="str">
        <f>IF(Q701, I701, "")</f>
      </c>
      <c r="T701" s="2" t="s">
        <v>5935</v>
      </c>
    </row>
    <row r="702">
      <c r="A702" s="2" t="s">
        <v>6671</v>
      </c>
      <c r="B702" s="3" t="str">
        <f>C702 &amp; ": " &amp; D702</f>
        <v>formula-translates: MessageTemplates.LastApprovedBodyHash</v>
      </c>
      <c r="C702" s="2" t="s">
        <v>6038</v>
      </c>
      <c r="D702" s="2" t="s">
        <v>4045</v>
      </c>
      <c r="E702" s="2" t="s">
        <v>4021</v>
      </c>
      <c r="F702" s="2" t="s">
        <v>1715</v>
      </c>
      <c r="G702" s="2" t="s">
        <v>6039</v>
      </c>
      <c r="H702" s="2" t="s">
        <v>2072</v>
      </c>
      <c r="I702" s="2" t="s">
        <v>5920</v>
      </c>
      <c r="J702" s="2" t="s">
        <v>5933</v>
      </c>
      <c r="K702" s="3" t="b">
        <f>J702 = "blocking"</f>
        <v>1</v>
      </c>
      <c r="L702" s="2" t="s">
        <v>1428</v>
      </c>
      <c r="M702" s="2" t="s">
        <v>6040</v>
      </c>
      <c r="N702" s="4">
        <v>46223.1297337963</v>
      </c>
      <c r="O702" s="3" t="b">
        <f>L702 = "PASS"</f>
        <v>1</v>
      </c>
      <c r="P702" s="3" t="b">
        <f>L702 = "FAIL"</f>
        <v>0</v>
      </c>
      <c r="Q702" s="3" t="b">
        <f>AND(P702, K702)</f>
        <v>0</v>
      </c>
      <c r="R702" s="3" t="str">
        <f>IF(O702, I702, "")</f>
        <v>suite-substrate</v>
      </c>
      <c r="S702" s="3" t="str">
        <f>IF(Q702, I702, "")</f>
      </c>
      <c r="T702" s="2" t="s">
        <v>5935</v>
      </c>
    </row>
    <row r="703">
      <c r="A703" s="2" t="s">
        <v>6672</v>
      </c>
      <c r="B703" s="3" t="str">
        <f>C703 &amp; ": " &amp; D703</f>
        <v>formula-translates: MessageTemplates.HasBodyDrifted</v>
      </c>
      <c r="C703" s="2" t="s">
        <v>6038</v>
      </c>
      <c r="D703" s="2" t="s">
        <v>4048</v>
      </c>
      <c r="E703" s="2" t="s">
        <v>4021</v>
      </c>
      <c r="F703" s="2" t="s">
        <v>1717</v>
      </c>
      <c r="G703" s="2" t="s">
        <v>6039</v>
      </c>
      <c r="H703" s="2" t="s">
        <v>2072</v>
      </c>
      <c r="I703" s="2" t="s">
        <v>5920</v>
      </c>
      <c r="J703" s="2" t="s">
        <v>5933</v>
      </c>
      <c r="K703" s="3" t="b">
        <f>J703 = "blocking"</f>
        <v>1</v>
      </c>
      <c r="L703" s="2" t="s">
        <v>1428</v>
      </c>
      <c r="M703" s="2" t="s">
        <v>6040</v>
      </c>
      <c r="N703" s="4">
        <v>46223.1297337963</v>
      </c>
      <c r="O703" s="3" t="b">
        <f>L703 = "PASS"</f>
        <v>1</v>
      </c>
      <c r="P703" s="3" t="b">
        <f>L703 = "FAIL"</f>
        <v>0</v>
      </c>
      <c r="Q703" s="3" t="b">
        <f>AND(P703, K703)</f>
        <v>0</v>
      </c>
      <c r="R703" s="3" t="str">
        <f>IF(O703, I703, "")</f>
        <v>suite-substrate</v>
      </c>
      <c r="S703" s="3" t="str">
        <f>IF(Q703, I703, "")</f>
      </c>
      <c r="T703" s="2" t="s">
        <v>5935</v>
      </c>
    </row>
    <row r="704">
      <c r="A704" s="2" t="s">
        <v>6673</v>
      </c>
      <c r="B704" s="3" t="str">
        <f>C704 &amp; ": " &amp; D704</f>
        <v>formula-translates: MessageTemplates.IsSendableUnderApproval</v>
      </c>
      <c r="C704" s="2" t="s">
        <v>6038</v>
      </c>
      <c r="D704" s="2" t="s">
        <v>4050</v>
      </c>
      <c r="E704" s="2" t="s">
        <v>4021</v>
      </c>
      <c r="F704" s="2" t="s">
        <v>1718</v>
      </c>
      <c r="G704" s="2" t="s">
        <v>6039</v>
      </c>
      <c r="H704" s="2" t="s">
        <v>2072</v>
      </c>
      <c r="I704" s="2" t="s">
        <v>5920</v>
      </c>
      <c r="J704" s="2" t="s">
        <v>5933</v>
      </c>
      <c r="K704" s="3" t="b">
        <f>J704 = "blocking"</f>
        <v>1</v>
      </c>
      <c r="L704" s="2" t="s">
        <v>1428</v>
      </c>
      <c r="M704" s="2" t="s">
        <v>6040</v>
      </c>
      <c r="N704" s="4">
        <v>46223.1297337963</v>
      </c>
      <c r="O704" s="3" t="b">
        <f>L704 = "PASS"</f>
        <v>1</v>
      </c>
      <c r="P704" s="3" t="b">
        <f>L704 = "FAIL"</f>
        <v>0</v>
      </c>
      <c r="Q704" s="3" t="b">
        <f>AND(P704, K704)</f>
        <v>0</v>
      </c>
      <c r="R704" s="3" t="str">
        <f>IF(O704, I704, "")</f>
        <v>suite-substrate</v>
      </c>
      <c r="S704" s="3" t="str">
        <f>IF(Q704, I704, "")</f>
      </c>
      <c r="T704" s="2" t="s">
        <v>5935</v>
      </c>
    </row>
    <row r="705">
      <c r="A705" s="2" t="s">
        <v>6674</v>
      </c>
      <c r="B705" s="3" t="str">
        <f>C705 &amp; ": " &amp; D705</f>
        <v>formula-translates: MessageTemplates.DriftedSendCount</v>
      </c>
      <c r="C705" s="2" t="s">
        <v>6038</v>
      </c>
      <c r="D705" s="2" t="s">
        <v>4052</v>
      </c>
      <c r="E705" s="2" t="s">
        <v>4021</v>
      </c>
      <c r="F705" s="2" t="s">
        <v>1719</v>
      </c>
      <c r="G705" s="2" t="s">
        <v>6039</v>
      </c>
      <c r="H705" s="2" t="s">
        <v>2072</v>
      </c>
      <c r="I705" s="2" t="s">
        <v>5920</v>
      </c>
      <c r="J705" s="2" t="s">
        <v>5933</v>
      </c>
      <c r="K705" s="3" t="b">
        <f>J705 = "blocking"</f>
        <v>1</v>
      </c>
      <c r="L705" s="2" t="s">
        <v>1428</v>
      </c>
      <c r="M705" s="2" t="s">
        <v>6040</v>
      </c>
      <c r="N705" s="4">
        <v>46223.1297337963</v>
      </c>
      <c r="O705" s="3" t="b">
        <f>L705 = "PASS"</f>
        <v>1</v>
      </c>
      <c r="P705" s="3" t="b">
        <f>L705 = "FAIL"</f>
        <v>0</v>
      </c>
      <c r="Q705" s="3" t="b">
        <f>AND(P705, K705)</f>
        <v>0</v>
      </c>
      <c r="R705" s="3" t="str">
        <f>IF(O705, I705, "")</f>
        <v>suite-substrate</v>
      </c>
      <c r="S705" s="3" t="str">
        <f>IF(Q705, I705, "")</f>
      </c>
      <c r="T705" s="2" t="s">
        <v>5935</v>
      </c>
    </row>
    <row r="706">
      <c r="A706" s="2" t="s">
        <v>6675</v>
      </c>
      <c r="B706" s="3" t="str">
        <f>C706 &amp; ": " &amp; D706</f>
        <v>formula-translates: MessageTemplates.UnansweredDeliveryCount</v>
      </c>
      <c r="C706" s="2" t="s">
        <v>6038</v>
      </c>
      <c r="D706" s="2" t="s">
        <v>4054</v>
      </c>
      <c r="E706" s="2" t="s">
        <v>4021</v>
      </c>
      <c r="F706" s="2" t="s">
        <v>1720</v>
      </c>
      <c r="G706" s="2" t="s">
        <v>6039</v>
      </c>
      <c r="H706" s="2" t="s">
        <v>2300</v>
      </c>
      <c r="I706" s="2" t="s">
        <v>5920</v>
      </c>
      <c r="J706" s="2" t="s">
        <v>5933</v>
      </c>
      <c r="K706" s="3" t="b">
        <f>J706 = "blocking"</f>
        <v>1</v>
      </c>
      <c r="L706" s="2" t="s">
        <v>1428</v>
      </c>
      <c r="M706" s="2" t="s">
        <v>6040</v>
      </c>
      <c r="N706" s="4">
        <v>46223.1297337963</v>
      </c>
      <c r="O706" s="3" t="b">
        <f>L706 = "PASS"</f>
        <v>1</v>
      </c>
      <c r="P706" s="3" t="b">
        <f>L706 = "FAIL"</f>
        <v>0</v>
      </c>
      <c r="Q706" s="3" t="b">
        <f>AND(P706, K706)</f>
        <v>0</v>
      </c>
      <c r="R706" s="3" t="str">
        <f>IF(O706, I706, "")</f>
        <v>suite-substrate</v>
      </c>
      <c r="S706" s="3" t="str">
        <f>IF(Q706, I706, "")</f>
      </c>
      <c r="T706" s="2" t="s">
        <v>5935</v>
      </c>
    </row>
    <row r="707">
      <c r="A707" s="2" t="s">
        <v>6676</v>
      </c>
      <c r="B707" s="3" t="str">
        <f>C707 &amp; ": " &amp; D707</f>
        <v>formula-translates: MessageTemplates.TransmittedDeliveryCount</v>
      </c>
      <c r="C707" s="2" t="s">
        <v>6038</v>
      </c>
      <c r="D707" s="2" t="s">
        <v>4056</v>
      </c>
      <c r="E707" s="2" t="s">
        <v>4021</v>
      </c>
      <c r="F707" s="2" t="s">
        <v>1721</v>
      </c>
      <c r="G707" s="2" t="s">
        <v>6039</v>
      </c>
      <c r="H707" s="2" t="s">
        <v>2300</v>
      </c>
      <c r="I707" s="2" t="s">
        <v>5920</v>
      </c>
      <c r="J707" s="2" t="s">
        <v>5933</v>
      </c>
      <c r="K707" s="3" t="b">
        <f>J707 = "blocking"</f>
        <v>1</v>
      </c>
      <c r="L707" s="2" t="s">
        <v>1428</v>
      </c>
      <c r="M707" s="2" t="s">
        <v>6040</v>
      </c>
      <c r="N707" s="4">
        <v>46223.1297337963</v>
      </c>
      <c r="O707" s="3" t="b">
        <f>L707 = "PASS"</f>
        <v>1</v>
      </c>
      <c r="P707" s="3" t="b">
        <f>L707 = "FAIL"</f>
        <v>0</v>
      </c>
      <c r="Q707" s="3" t="b">
        <f>AND(P707, K707)</f>
        <v>0</v>
      </c>
      <c r="R707" s="3" t="str">
        <f>IF(O707, I707, "")</f>
        <v>suite-substrate</v>
      </c>
      <c r="S707" s="3" t="str">
        <f>IF(Q707, I707, "")</f>
      </c>
      <c r="T707" s="2" t="s">
        <v>5935</v>
      </c>
    </row>
    <row r="708">
      <c r="A708" s="2" t="s">
        <v>6677</v>
      </c>
      <c r="B708" s="3" t="str">
        <f>C708 &amp; ": " &amp; D708</f>
        <v>formula-translates: MessageTemplates.TemplateDrawsNoResponse</v>
      </c>
      <c r="C708" s="2" t="s">
        <v>6038</v>
      </c>
      <c r="D708" s="2" t="s">
        <v>4058</v>
      </c>
      <c r="E708" s="2" t="s">
        <v>4021</v>
      </c>
      <c r="F708" s="2" t="s">
        <v>1722</v>
      </c>
      <c r="G708" s="2" t="s">
        <v>6039</v>
      </c>
      <c r="H708" s="2" t="s">
        <v>2300</v>
      </c>
      <c r="I708" s="2" t="s">
        <v>5920</v>
      </c>
      <c r="J708" s="2" t="s">
        <v>5933</v>
      </c>
      <c r="K708" s="3" t="b">
        <f>J708 = "blocking"</f>
        <v>1</v>
      </c>
      <c r="L708" s="2" t="s">
        <v>1428</v>
      </c>
      <c r="M708" s="2" t="s">
        <v>6040</v>
      </c>
      <c r="N708" s="4">
        <v>46223.1297337963</v>
      </c>
      <c r="O708" s="3" t="b">
        <f>L708 = "PASS"</f>
        <v>1</v>
      </c>
      <c r="P708" s="3" t="b">
        <f>L708 = "FAIL"</f>
        <v>0</v>
      </c>
      <c r="Q708" s="3" t="b">
        <f>AND(P708, K708)</f>
        <v>0</v>
      </c>
      <c r="R708" s="3" t="str">
        <f>IF(O708, I708, "")</f>
        <v>suite-substrate</v>
      </c>
      <c r="S708" s="3" t="str">
        <f>IF(Q708, I708, "")</f>
      </c>
      <c r="T708" s="2" t="s">
        <v>5935</v>
      </c>
    </row>
    <row r="709">
      <c r="A709" s="2" t="s">
        <v>6678</v>
      </c>
      <c r="B709" s="3" t="str">
        <f>C709 &amp; ": " &amp; D709</f>
        <v>formula-translates: MessageTemplates.LastApprovalAt</v>
      </c>
      <c r="C709" s="2" t="s">
        <v>6038</v>
      </c>
      <c r="D709" s="2" t="s">
        <v>4060</v>
      </c>
      <c r="E709" s="2" t="s">
        <v>4021</v>
      </c>
      <c r="F709" s="2" t="s">
        <v>1723</v>
      </c>
      <c r="G709" s="2" t="s">
        <v>6039</v>
      </c>
      <c r="H709" s="2" t="s">
        <v>2308</v>
      </c>
      <c r="I709" s="2" t="s">
        <v>5920</v>
      </c>
      <c r="J709" s="2" t="s">
        <v>5933</v>
      </c>
      <c r="K709" s="3" t="b">
        <f>J709 = "blocking"</f>
        <v>1</v>
      </c>
      <c r="L709" s="2" t="s">
        <v>1428</v>
      </c>
      <c r="M709" s="2" t="s">
        <v>6040</v>
      </c>
      <c r="N709" s="4">
        <v>46223.1297337963</v>
      </c>
      <c r="O709" s="3" t="b">
        <f>L709 = "PASS"</f>
        <v>1</v>
      </c>
      <c r="P709" s="3" t="b">
        <f>L709 = "FAIL"</f>
        <v>0</v>
      </c>
      <c r="Q709" s="3" t="b">
        <f>AND(P709, K709)</f>
        <v>0</v>
      </c>
      <c r="R709" s="3" t="str">
        <f>IF(O709, I709, "")</f>
        <v>suite-substrate</v>
      </c>
      <c r="S709" s="3" t="str">
        <f>IF(Q709, I709, "")</f>
      </c>
      <c r="T709" s="2" t="s">
        <v>5935</v>
      </c>
    </row>
    <row r="710">
      <c r="A710" s="2" t="s">
        <v>6679</v>
      </c>
      <c r="B710" s="3" t="str">
        <f>C710 &amp; ": " &amp; D710</f>
        <v>formula-translates: SemanticMappings.Name</v>
      </c>
      <c r="C710" s="2" t="s">
        <v>6038</v>
      </c>
      <c r="D710" s="2" t="s">
        <v>4065</v>
      </c>
      <c r="E710" s="2" t="s">
        <v>4064</v>
      </c>
      <c r="F710" s="2" t="s">
        <v>1</v>
      </c>
      <c r="G710" s="2" t="s">
        <v>6039</v>
      </c>
      <c r="H710" s="2"/>
      <c r="I710" s="2" t="s">
        <v>5920</v>
      </c>
      <c r="J710" s="2" t="s">
        <v>5933</v>
      </c>
      <c r="K710" s="3" t="b">
        <f>J710 = "blocking"</f>
        <v>1</v>
      </c>
      <c r="L710" s="2" t="s">
        <v>1428</v>
      </c>
      <c r="M710" s="2" t="s">
        <v>6040</v>
      </c>
      <c r="N710" s="4">
        <v>46223.1297337963</v>
      </c>
      <c r="O710" s="3" t="b">
        <f>L710 = "PASS"</f>
        <v>1</v>
      </c>
      <c r="P710" s="3" t="b">
        <f>L710 = "FAIL"</f>
        <v>0</v>
      </c>
      <c r="Q710" s="3" t="b">
        <f>AND(P710, K710)</f>
        <v>0</v>
      </c>
      <c r="R710" s="3" t="str">
        <f>IF(O710, I710, "")</f>
        <v>suite-substrate</v>
      </c>
      <c r="S710" s="3" t="str">
        <f>IF(Q710, I710, "")</f>
      </c>
      <c r="T710" s="2" t="s">
        <v>5935</v>
      </c>
    </row>
    <row r="711">
      <c r="A711" s="2" t="s">
        <v>6680</v>
      </c>
      <c r="B711" s="3" t="str">
        <f>C711 &amp; ": " &amp; D711</f>
        <v>formula-translates: WitnessLoops.Name</v>
      </c>
      <c r="C711" s="2" t="s">
        <v>6038</v>
      </c>
      <c r="D711" s="2" t="s">
        <v>4075</v>
      </c>
      <c r="E711" s="2" t="s">
        <v>4074</v>
      </c>
      <c r="F711" s="2" t="s">
        <v>1</v>
      </c>
      <c r="G711" s="2" t="s">
        <v>6039</v>
      </c>
      <c r="H711" s="2"/>
      <c r="I711" s="2" t="s">
        <v>5920</v>
      </c>
      <c r="J711" s="2" t="s">
        <v>5933</v>
      </c>
      <c r="K711" s="3" t="b">
        <f>J711 = "blocking"</f>
        <v>1</v>
      </c>
      <c r="L711" s="2" t="s">
        <v>1428</v>
      </c>
      <c r="M711" s="2" t="s">
        <v>6040</v>
      </c>
      <c r="N711" s="4">
        <v>46223.1297337963</v>
      </c>
      <c r="O711" s="3" t="b">
        <f>L711 = "PASS"</f>
        <v>1</v>
      </c>
      <c r="P711" s="3" t="b">
        <f>L711 = "FAIL"</f>
        <v>0</v>
      </c>
      <c r="Q711" s="3" t="b">
        <f>AND(P711, K711)</f>
        <v>0</v>
      </c>
      <c r="R711" s="3" t="str">
        <f>IF(O711, I711, "")</f>
        <v>suite-substrate</v>
      </c>
      <c r="S711" s="3" t="str">
        <f>IF(Q711, I711, "")</f>
      </c>
      <c r="T711" s="2" t="s">
        <v>5935</v>
      </c>
    </row>
    <row r="712">
      <c r="A712" s="2" t="s">
        <v>6681</v>
      </c>
      <c r="B712" s="3" t="str">
        <f>C712 &amp; ": " &amp; D712</f>
        <v>formula-translates: WitnessLoops.QuestionCount</v>
      </c>
      <c r="C712" s="2" t="s">
        <v>6038</v>
      </c>
      <c r="D712" s="2" t="s">
        <v>4082</v>
      </c>
      <c r="E712" s="2" t="s">
        <v>4074</v>
      </c>
      <c r="F712" s="2" t="s">
        <v>1912</v>
      </c>
      <c r="G712" s="2" t="s">
        <v>6039</v>
      </c>
      <c r="H712" s="2"/>
      <c r="I712" s="2" t="s">
        <v>5920</v>
      </c>
      <c r="J712" s="2" t="s">
        <v>5933</v>
      </c>
      <c r="K712" s="3" t="b">
        <f>J712 = "blocking"</f>
        <v>1</v>
      </c>
      <c r="L712" s="2" t="s">
        <v>1428</v>
      </c>
      <c r="M712" s="2" t="s">
        <v>6040</v>
      </c>
      <c r="N712" s="4">
        <v>46223.1297337963</v>
      </c>
      <c r="O712" s="3" t="b">
        <f>L712 = "PASS"</f>
        <v>1</v>
      </c>
      <c r="P712" s="3" t="b">
        <f>L712 = "FAIL"</f>
        <v>0</v>
      </c>
      <c r="Q712" s="3" t="b">
        <f>AND(P712, K712)</f>
        <v>0</v>
      </c>
      <c r="R712" s="3" t="str">
        <f>IF(O712, I712, "")</f>
        <v>suite-substrate</v>
      </c>
      <c r="S712" s="3" t="str">
        <f>IF(Q712, I712, "")</f>
      </c>
      <c r="T712" s="2" t="s">
        <v>5935</v>
      </c>
    </row>
    <row r="713">
      <c r="A713" s="2" t="s">
        <v>6682</v>
      </c>
      <c r="B713" s="3" t="str">
        <f>C713 &amp; ": " &amp; D713</f>
        <v>formula-translates: WitnessLoops.IsComplete</v>
      </c>
      <c r="C713" s="2" t="s">
        <v>6038</v>
      </c>
      <c r="D713" s="2" t="s">
        <v>4084</v>
      </c>
      <c r="E713" s="2" t="s">
        <v>4074</v>
      </c>
      <c r="F713" s="2" t="s">
        <v>1913</v>
      </c>
      <c r="G713" s="2" t="s">
        <v>6039</v>
      </c>
      <c r="H713" s="2"/>
      <c r="I713" s="2" t="s">
        <v>5920</v>
      </c>
      <c r="J713" s="2" t="s">
        <v>5933</v>
      </c>
      <c r="K713" s="3" t="b">
        <f>J713 = "blocking"</f>
        <v>1</v>
      </c>
      <c r="L713" s="2" t="s">
        <v>1428</v>
      </c>
      <c r="M713" s="2" t="s">
        <v>6040</v>
      </c>
      <c r="N713" s="4">
        <v>46223.1297337963</v>
      </c>
      <c r="O713" s="3" t="b">
        <f>L713 = "PASS"</f>
        <v>1</v>
      </c>
      <c r="P713" s="3" t="b">
        <f>L713 = "FAIL"</f>
        <v>0</v>
      </c>
      <c r="Q713" s="3" t="b">
        <f>AND(P713, K713)</f>
        <v>0</v>
      </c>
      <c r="R713" s="3" t="str">
        <f>IF(O713, I713, "")</f>
        <v>suite-substrate</v>
      </c>
      <c r="S713" s="3" t="str">
        <f>IF(Q713, I713, "")</f>
      </c>
      <c r="T713" s="2" t="s">
        <v>5935</v>
      </c>
    </row>
    <row r="714">
      <c r="A714" s="2" t="s">
        <v>6683</v>
      </c>
      <c r="B714" s="3" t="str">
        <f>C714 &amp; ": " &amp; D714</f>
        <v>formula-translates: RoleQuestions.Name</v>
      </c>
      <c r="C714" s="2" t="s">
        <v>6038</v>
      </c>
      <c r="D714" s="2" t="s">
        <v>4092</v>
      </c>
      <c r="E714" s="2" t="s">
        <v>4091</v>
      </c>
      <c r="F714" s="2" t="s">
        <v>1</v>
      </c>
      <c r="G714" s="2" t="s">
        <v>6039</v>
      </c>
      <c r="H714" s="2"/>
      <c r="I714" s="2" t="s">
        <v>5920</v>
      </c>
      <c r="J714" s="2" t="s">
        <v>5933</v>
      </c>
      <c r="K714" s="3" t="b">
        <f>J714 = "blocking"</f>
        <v>1</v>
      </c>
      <c r="L714" s="2" t="s">
        <v>1428</v>
      </c>
      <c r="M714" s="2" t="s">
        <v>6040</v>
      </c>
      <c r="N714" s="4">
        <v>46223.1297337963</v>
      </c>
      <c r="O714" s="3" t="b">
        <f>L714 = "PASS"</f>
        <v>1</v>
      </c>
      <c r="P714" s="3" t="b">
        <f>L714 = "FAIL"</f>
        <v>0</v>
      </c>
      <c r="Q714" s="3" t="b">
        <f>AND(P714, K714)</f>
        <v>0</v>
      </c>
      <c r="R714" s="3" t="str">
        <f>IF(O714, I714, "")</f>
        <v>suite-substrate</v>
      </c>
      <c r="S714" s="3" t="str">
        <f>IF(Q714, I714, "")</f>
      </c>
      <c r="T714" s="2" t="s">
        <v>5935</v>
      </c>
    </row>
    <row r="715">
      <c r="A715" s="2" t="s">
        <v>6684</v>
      </c>
      <c r="B715" s="3" t="str">
        <f>C715 &amp; ": " &amp; D715</f>
        <v>formula-translates: RoleQuestions.PredicateCount</v>
      </c>
      <c r="C715" s="2" t="s">
        <v>6038</v>
      </c>
      <c r="D715" s="2" t="s">
        <v>4099</v>
      </c>
      <c r="E715" s="2" t="s">
        <v>4091</v>
      </c>
      <c r="F715" s="2" t="s">
        <v>1932</v>
      </c>
      <c r="G715" s="2" t="s">
        <v>6039</v>
      </c>
      <c r="H715" s="2"/>
      <c r="I715" s="2" t="s">
        <v>5920</v>
      </c>
      <c r="J715" s="2" t="s">
        <v>5933</v>
      </c>
      <c r="K715" s="3" t="b">
        <f>J715 = "blocking"</f>
        <v>1</v>
      </c>
      <c r="L715" s="2" t="s">
        <v>1428</v>
      </c>
      <c r="M715" s="2" t="s">
        <v>6040</v>
      </c>
      <c r="N715" s="4">
        <v>46223.1297337963</v>
      </c>
      <c r="O715" s="3" t="b">
        <f>L715 = "PASS"</f>
        <v>1</v>
      </c>
      <c r="P715" s="3" t="b">
        <f>L715 = "FAIL"</f>
        <v>0</v>
      </c>
      <c r="Q715" s="3" t="b">
        <f>AND(P715, K715)</f>
        <v>0</v>
      </c>
      <c r="R715" s="3" t="str">
        <f>IF(O715, I715, "")</f>
        <v>suite-substrate</v>
      </c>
      <c r="S715" s="3" t="str">
        <f>IF(Q715, I715, "")</f>
      </c>
      <c r="T715" s="2" t="s">
        <v>5935</v>
      </c>
    </row>
    <row r="716">
      <c r="A716" s="2" t="s">
        <v>6685</v>
      </c>
      <c r="B716" s="3" t="str">
        <f>C716 &amp; ": " &amp; D716</f>
        <v>formula-translates: RoleQuestions.IsAnswered</v>
      </c>
      <c r="C716" s="2" t="s">
        <v>6038</v>
      </c>
      <c r="D716" s="2" t="s">
        <v>4101</v>
      </c>
      <c r="E716" s="2" t="s">
        <v>4091</v>
      </c>
      <c r="F716" s="2" t="s">
        <v>1933</v>
      </c>
      <c r="G716" s="2" t="s">
        <v>6039</v>
      </c>
      <c r="H716" s="2"/>
      <c r="I716" s="2" t="s">
        <v>5920</v>
      </c>
      <c r="J716" s="2" t="s">
        <v>5933</v>
      </c>
      <c r="K716" s="3" t="b">
        <f>J716 = "blocking"</f>
        <v>1</v>
      </c>
      <c r="L716" s="2" t="s">
        <v>1428</v>
      </c>
      <c r="M716" s="2" t="s">
        <v>6040</v>
      </c>
      <c r="N716" s="4">
        <v>46223.1297337963</v>
      </c>
      <c r="O716" s="3" t="b">
        <f>L716 = "PASS"</f>
        <v>1</v>
      </c>
      <c r="P716" s="3" t="b">
        <f>L716 = "FAIL"</f>
        <v>0</v>
      </c>
      <c r="Q716" s="3" t="b">
        <f>AND(P716, K716)</f>
        <v>0</v>
      </c>
      <c r="R716" s="3" t="str">
        <f>IF(O716, I716, "")</f>
        <v>suite-substrate</v>
      </c>
      <c r="S716" s="3" t="str">
        <f>IF(Q716, I716, "")</f>
      </c>
      <c r="T716" s="2" t="s">
        <v>5935</v>
      </c>
    </row>
    <row r="717">
      <c r="A717" s="2" t="s">
        <v>6686</v>
      </c>
      <c r="B717" s="3" t="str">
        <f>C717 &amp; ": " &amp; D717</f>
        <v>formula-translates: RulebookFields.Name</v>
      </c>
      <c r="C717" s="2" t="s">
        <v>6038</v>
      </c>
      <c r="D717" s="2" t="s">
        <v>4107</v>
      </c>
      <c r="E717" s="2" t="s">
        <v>4106</v>
      </c>
      <c r="F717" s="2" t="s">
        <v>1</v>
      </c>
      <c r="G717" s="2" t="s">
        <v>6039</v>
      </c>
      <c r="H717" s="2"/>
      <c r="I717" s="2" t="s">
        <v>5920</v>
      </c>
      <c r="J717" s="2" t="s">
        <v>5933</v>
      </c>
      <c r="K717" s="3" t="b">
        <f>J717 = "blocking"</f>
        <v>1</v>
      </c>
      <c r="L717" s="2" t="s">
        <v>1428</v>
      </c>
      <c r="M717" s="2" t="s">
        <v>6040</v>
      </c>
      <c r="N717" s="4">
        <v>46223.1297337963</v>
      </c>
      <c r="O717" s="3" t="b">
        <f>L717 = "PASS"</f>
        <v>1</v>
      </c>
      <c r="P717" s="3" t="b">
        <f>L717 = "FAIL"</f>
        <v>0</v>
      </c>
      <c r="Q717" s="3" t="b">
        <f>AND(P717, K717)</f>
        <v>0</v>
      </c>
      <c r="R717" s="3" t="str">
        <f>IF(O717, I717, "")</f>
        <v>suite-substrate</v>
      </c>
      <c r="S717" s="3" t="str">
        <f>IF(Q717, I717, "")</f>
      </c>
      <c r="T717" s="2" t="s">
        <v>5935</v>
      </c>
    </row>
    <row r="718">
      <c r="A718" s="2" t="s">
        <v>6687</v>
      </c>
      <c r="B718" s="3" t="str">
        <f>C718 &amp; ": " &amp; D718</f>
        <v>formula-translates: RulebookFields.IsDerived</v>
      </c>
      <c r="C718" s="2" t="s">
        <v>6038</v>
      </c>
      <c r="D718" s="2" t="s">
        <v>4115</v>
      </c>
      <c r="E718" s="2" t="s">
        <v>4106</v>
      </c>
      <c r="F718" s="2" t="s">
        <v>2379</v>
      </c>
      <c r="G718" s="2" t="s">
        <v>6039</v>
      </c>
      <c r="H718" s="2"/>
      <c r="I718" s="2" t="s">
        <v>5920</v>
      </c>
      <c r="J718" s="2" t="s">
        <v>5933</v>
      </c>
      <c r="K718" s="3" t="b">
        <f>J718 = "blocking"</f>
        <v>1</v>
      </c>
      <c r="L718" s="2" t="s">
        <v>1428</v>
      </c>
      <c r="M718" s="2" t="s">
        <v>6040</v>
      </c>
      <c r="N718" s="4">
        <v>46223.1297337963</v>
      </c>
      <c r="O718" s="3" t="b">
        <f>L718 = "PASS"</f>
        <v>1</v>
      </c>
      <c r="P718" s="3" t="b">
        <f>L718 = "FAIL"</f>
        <v>0</v>
      </c>
      <c r="Q718" s="3" t="b">
        <f>AND(P718, K718)</f>
        <v>0</v>
      </c>
      <c r="R718" s="3" t="str">
        <f>IF(O718, I718, "")</f>
        <v>suite-substrate</v>
      </c>
      <c r="S718" s="3" t="str">
        <f>IF(Q718, I718, "")</f>
      </c>
      <c r="T718" s="2" t="s">
        <v>5935</v>
      </c>
    </row>
    <row r="719">
      <c r="A719" s="2" t="s">
        <v>6688</v>
      </c>
      <c r="B719" s="3" t="str">
        <f>C719 &amp; ": " &amp; D719</f>
        <v>formula-translates: RulebookFields.IsWitness</v>
      </c>
      <c r="C719" s="2" t="s">
        <v>6038</v>
      </c>
      <c r="D719" s="2" t="s">
        <v>4117</v>
      </c>
      <c r="E719" s="2" t="s">
        <v>4106</v>
      </c>
      <c r="F719" s="2" t="s">
        <v>2380</v>
      </c>
      <c r="G719" s="2" t="s">
        <v>6039</v>
      </c>
      <c r="H719" s="2"/>
      <c r="I719" s="2" t="s">
        <v>5920</v>
      </c>
      <c r="J719" s="2" t="s">
        <v>5933</v>
      </c>
      <c r="K719" s="3" t="b">
        <f>J719 = "blocking"</f>
        <v>1</v>
      </c>
      <c r="L719" s="2" t="s">
        <v>1428</v>
      </c>
      <c r="M719" s="2" t="s">
        <v>6040</v>
      </c>
      <c r="N719" s="4">
        <v>46223.1297337963</v>
      </c>
      <c r="O719" s="3" t="b">
        <f>L719 = "PASS"</f>
        <v>1</v>
      </c>
      <c r="P719" s="3" t="b">
        <f>L719 = "FAIL"</f>
        <v>0</v>
      </c>
      <c r="Q719" s="3" t="b">
        <f>AND(P719, K719)</f>
        <v>0</v>
      </c>
      <c r="R719" s="3" t="str">
        <f>IF(O719, I719, "")</f>
        <v>suite-substrate</v>
      </c>
      <c r="S719" s="3" t="str">
        <f>IF(Q719, I719, "")</f>
      </c>
      <c r="T719" s="2" t="s">
        <v>5935</v>
      </c>
    </row>
    <row r="720">
      <c r="A720" s="2" t="s">
        <v>6689</v>
      </c>
      <c r="B720" s="3" t="str">
        <f>C720 &amp; ": " &amp; D720</f>
        <v>formula-translates: TestSuites.Name</v>
      </c>
      <c r="C720" s="2" t="s">
        <v>6038</v>
      </c>
      <c r="D720" s="2" t="s">
        <v>4127</v>
      </c>
      <c r="E720" s="2" t="s">
        <v>4125</v>
      </c>
      <c r="F720" s="2" t="s">
        <v>1</v>
      </c>
      <c r="G720" s="2" t="s">
        <v>6039</v>
      </c>
      <c r="H720" s="2"/>
      <c r="I720" s="2" t="s">
        <v>5920</v>
      </c>
      <c r="J720" s="2" t="s">
        <v>5933</v>
      </c>
      <c r="K720" s="3" t="b">
        <f>J720 = "blocking"</f>
        <v>1</v>
      </c>
      <c r="L720" s="2" t="s">
        <v>1428</v>
      </c>
      <c r="M720" s="2" t="s">
        <v>6040</v>
      </c>
      <c r="N720" s="4">
        <v>46223.1297337963</v>
      </c>
      <c r="O720" s="3" t="b">
        <f>L720 = "PASS"</f>
        <v>1</v>
      </c>
      <c r="P720" s="3" t="b">
        <f>L720 = "FAIL"</f>
        <v>0</v>
      </c>
      <c r="Q720" s="3" t="b">
        <f>AND(P720, K720)</f>
        <v>0</v>
      </c>
      <c r="R720" s="3" t="str">
        <f>IF(O720, I720, "")</f>
        <v>suite-substrate</v>
      </c>
      <c r="S720" s="3" t="str">
        <f>IF(Q720, I720, "")</f>
      </c>
      <c r="T720" s="2" t="s">
        <v>5935</v>
      </c>
    </row>
    <row r="721">
      <c r="A721" s="2" t="s">
        <v>6690</v>
      </c>
      <c r="B721" s="3" t="str">
        <f>C721 &amp; ": " &amp; D721</f>
        <v>formula-translates: TestSuites.TestCount</v>
      </c>
      <c r="C721" s="2" t="s">
        <v>6038</v>
      </c>
      <c r="D721" s="2" t="s">
        <v>4129</v>
      </c>
      <c r="E721" s="2" t="s">
        <v>4125</v>
      </c>
      <c r="F721" s="2" t="s">
        <v>4130</v>
      </c>
      <c r="G721" s="2" t="s">
        <v>6039</v>
      </c>
      <c r="H721" s="2"/>
      <c r="I721" s="2" t="s">
        <v>5920</v>
      </c>
      <c r="J721" s="2" t="s">
        <v>5933</v>
      </c>
      <c r="K721" s="3" t="b">
        <f>J721 = "blocking"</f>
        <v>1</v>
      </c>
      <c r="L721" s="2" t="s">
        <v>1428</v>
      </c>
      <c r="M721" s="2" t="s">
        <v>6040</v>
      </c>
      <c r="N721" s="4">
        <v>46223.1297337963</v>
      </c>
      <c r="O721" s="3" t="b">
        <f>L721 = "PASS"</f>
        <v>1</v>
      </c>
      <c r="P721" s="3" t="b">
        <f>L721 = "FAIL"</f>
        <v>0</v>
      </c>
      <c r="Q721" s="3" t="b">
        <f>AND(P721, K721)</f>
        <v>0</v>
      </c>
      <c r="R721" s="3" t="str">
        <f>IF(O721, I721, "")</f>
        <v>suite-substrate</v>
      </c>
      <c r="S721" s="3" t="str">
        <f>IF(Q721, I721, "")</f>
      </c>
      <c r="T721" s="2" t="s">
        <v>5935</v>
      </c>
    </row>
    <row r="722">
      <c r="A722" s="2" t="s">
        <v>6691</v>
      </c>
      <c r="B722" s="3" t="str">
        <f>C722 &amp; ": " &amp; D722</f>
        <v>formula-translates: TestSuites.PassCount</v>
      </c>
      <c r="C722" s="2" t="s">
        <v>6038</v>
      </c>
      <c r="D722" s="2" t="s">
        <v>4132</v>
      </c>
      <c r="E722" s="2" t="s">
        <v>4125</v>
      </c>
      <c r="F722" s="2" t="s">
        <v>4133</v>
      </c>
      <c r="G722" s="2" t="s">
        <v>6039</v>
      </c>
      <c r="H722" s="2"/>
      <c r="I722" s="2" t="s">
        <v>5920</v>
      </c>
      <c r="J722" s="2" t="s">
        <v>5933</v>
      </c>
      <c r="K722" s="3" t="b">
        <f>J722 = "blocking"</f>
        <v>1</v>
      </c>
      <c r="L722" s="2" t="s">
        <v>1428</v>
      </c>
      <c r="M722" s="2" t="s">
        <v>6040</v>
      </c>
      <c r="N722" s="4">
        <v>46223.1297337963</v>
      </c>
      <c r="O722" s="3" t="b">
        <f>L722 = "PASS"</f>
        <v>1</v>
      </c>
      <c r="P722" s="3" t="b">
        <f>L722 = "FAIL"</f>
        <v>0</v>
      </c>
      <c r="Q722" s="3" t="b">
        <f>AND(P722, K722)</f>
        <v>0</v>
      </c>
      <c r="R722" s="3" t="str">
        <f>IF(O722, I722, "")</f>
        <v>suite-substrate</v>
      </c>
      <c r="S722" s="3" t="str">
        <f>IF(Q722, I722, "")</f>
      </c>
      <c r="T722" s="2" t="s">
        <v>5935</v>
      </c>
    </row>
    <row r="723">
      <c r="A723" s="2" t="s">
        <v>6692</v>
      </c>
      <c r="B723" s="3" t="str">
        <f>C723 &amp; ": " &amp; D723</f>
        <v>formula-translates: TestSuites.BlockingFailCount</v>
      </c>
      <c r="C723" s="2" t="s">
        <v>6038</v>
      </c>
      <c r="D723" s="2" t="s">
        <v>4135</v>
      </c>
      <c r="E723" s="2" t="s">
        <v>4125</v>
      </c>
      <c r="F723" s="2" t="s">
        <v>4136</v>
      </c>
      <c r="G723" s="2" t="s">
        <v>6039</v>
      </c>
      <c r="H723" s="2"/>
      <c r="I723" s="2" t="s">
        <v>5920</v>
      </c>
      <c r="J723" s="2" t="s">
        <v>5933</v>
      </c>
      <c r="K723" s="3" t="b">
        <f>J723 = "blocking"</f>
        <v>1</v>
      </c>
      <c r="L723" s="2" t="s">
        <v>1428</v>
      </c>
      <c r="M723" s="2" t="s">
        <v>6040</v>
      </c>
      <c r="N723" s="4">
        <v>46223.1297337963</v>
      </c>
      <c r="O723" s="3" t="b">
        <f>L723 = "PASS"</f>
        <v>1</v>
      </c>
      <c r="P723" s="3" t="b">
        <f>L723 = "FAIL"</f>
        <v>0</v>
      </c>
      <c r="Q723" s="3" t="b">
        <f>AND(P723, K723)</f>
        <v>0</v>
      </c>
      <c r="R723" s="3" t="str">
        <f>IF(O723, I723, "")</f>
        <v>suite-substrate</v>
      </c>
      <c r="S723" s="3" t="str">
        <f>IF(Q723, I723, "")</f>
      </c>
      <c r="T723" s="2" t="s">
        <v>5935</v>
      </c>
    </row>
    <row r="724">
      <c r="A724" s="2" t="s">
        <v>6693</v>
      </c>
      <c r="B724" s="3" t="str">
        <f>C724 &amp; ": " &amp; D724</f>
        <v>formula-translates: TestSuites.IsGreen</v>
      </c>
      <c r="C724" s="2" t="s">
        <v>6038</v>
      </c>
      <c r="D724" s="2" t="s">
        <v>4138</v>
      </c>
      <c r="E724" s="2" t="s">
        <v>4125</v>
      </c>
      <c r="F724" s="2" t="s">
        <v>4139</v>
      </c>
      <c r="G724" s="2" t="s">
        <v>6039</v>
      </c>
      <c r="H724" s="2"/>
      <c r="I724" s="2" t="s">
        <v>5920</v>
      </c>
      <c r="J724" s="2" t="s">
        <v>5933</v>
      </c>
      <c r="K724" s="3" t="b">
        <f>J724 = "blocking"</f>
        <v>1</v>
      </c>
      <c r="L724" s="2" t="s">
        <v>1428</v>
      </c>
      <c r="M724" s="2" t="s">
        <v>6040</v>
      </c>
      <c r="N724" s="4">
        <v>46223.1297337963</v>
      </c>
      <c r="O724" s="3" t="b">
        <f>L724 = "PASS"</f>
        <v>1</v>
      </c>
      <c r="P724" s="3" t="b">
        <f>L724 = "FAIL"</f>
        <v>0</v>
      </c>
      <c r="Q724" s="3" t="b">
        <f>AND(P724, K724)</f>
        <v>0</v>
      </c>
      <c r="R724" s="3" t="str">
        <f>IF(O724, I724, "")</f>
        <v>suite-substrate</v>
      </c>
      <c r="S724" s="3" t="str">
        <f>IF(Q724, I724, "")</f>
      </c>
      <c r="T724" s="2" t="s">
        <v>5935</v>
      </c>
    </row>
    <row r="725">
      <c r="A725" s="2" t="s">
        <v>6694</v>
      </c>
      <c r="B725" s="3" t="str">
        <f>C725 &amp; ": " &amp; D725</f>
        <v>formula-translates: TestCases.Name</v>
      </c>
      <c r="C725" s="2" t="s">
        <v>6038</v>
      </c>
      <c r="D725" s="2" t="s">
        <v>4145</v>
      </c>
      <c r="E725" s="2" t="s">
        <v>4143</v>
      </c>
      <c r="F725" s="2" t="s">
        <v>1</v>
      </c>
      <c r="G725" s="2" t="s">
        <v>6039</v>
      </c>
      <c r="H725" s="2"/>
      <c r="I725" s="2" t="s">
        <v>5920</v>
      </c>
      <c r="J725" s="2" t="s">
        <v>5933</v>
      </c>
      <c r="K725" s="3" t="b">
        <f>J725 = "blocking"</f>
        <v>1</v>
      </c>
      <c r="L725" s="2" t="s">
        <v>1428</v>
      </c>
      <c r="M725" s="2" t="s">
        <v>6040</v>
      </c>
      <c r="N725" s="4">
        <v>46223.1297337963</v>
      </c>
      <c r="O725" s="3" t="b">
        <f>L725 = "PASS"</f>
        <v>1</v>
      </c>
      <c r="P725" s="3" t="b">
        <f>L725 = "FAIL"</f>
        <v>0</v>
      </c>
      <c r="Q725" s="3" t="b">
        <f>AND(P725, K725)</f>
        <v>0</v>
      </c>
      <c r="R725" s="3" t="str">
        <f>IF(O725, I725, "")</f>
        <v>suite-substrate</v>
      </c>
      <c r="S725" s="3" t="str">
        <f>IF(Q725, I725, "")</f>
      </c>
      <c r="T725" s="2" t="s">
        <v>5935</v>
      </c>
    </row>
    <row r="726">
      <c r="A726" s="2" t="s">
        <v>6695</v>
      </c>
      <c r="B726" s="3" t="str">
        <f>C726 &amp; ": " &amp; D726</f>
        <v>formula-translates: TestCases.IsBlocking</v>
      </c>
      <c r="C726" s="2" t="s">
        <v>6038</v>
      </c>
      <c r="D726" s="2" t="s">
        <v>4161</v>
      </c>
      <c r="E726" s="2" t="s">
        <v>4143</v>
      </c>
      <c r="F726" s="2" t="s">
        <v>783</v>
      </c>
      <c r="G726" s="2" t="s">
        <v>6039</v>
      </c>
      <c r="H726" s="2"/>
      <c r="I726" s="2" t="s">
        <v>5920</v>
      </c>
      <c r="J726" s="2" t="s">
        <v>5933</v>
      </c>
      <c r="K726" s="3" t="b">
        <f>J726 = "blocking"</f>
        <v>1</v>
      </c>
      <c r="L726" s="2" t="s">
        <v>1428</v>
      </c>
      <c r="M726" s="2" t="s">
        <v>6040</v>
      </c>
      <c r="N726" s="4">
        <v>46223.1297337963</v>
      </c>
      <c r="O726" s="3" t="b">
        <f>L726 = "PASS"</f>
        <v>1</v>
      </c>
      <c r="P726" s="3" t="b">
        <f>L726 = "FAIL"</f>
        <v>0</v>
      </c>
      <c r="Q726" s="3" t="b">
        <f>AND(P726, K726)</f>
        <v>0</v>
      </c>
      <c r="R726" s="3" t="str">
        <f>IF(O726, I726, "")</f>
        <v>suite-substrate</v>
      </c>
      <c r="S726" s="3" t="str">
        <f>IF(Q726, I726, "")</f>
      </c>
      <c r="T726" s="2" t="s">
        <v>5935</v>
      </c>
    </row>
    <row r="727">
      <c r="A727" s="2" t="s">
        <v>6696</v>
      </c>
      <c r="B727" s="3" t="str">
        <f>C727 &amp; ": " &amp; D727</f>
        <v>formula-translates: TestCases.IsPassing</v>
      </c>
      <c r="C727" s="2" t="s">
        <v>6038</v>
      </c>
      <c r="D727" s="2" t="s">
        <v>4169</v>
      </c>
      <c r="E727" s="2" t="s">
        <v>4143</v>
      </c>
      <c r="F727" s="2" t="s">
        <v>4170</v>
      </c>
      <c r="G727" s="2" t="s">
        <v>6039</v>
      </c>
      <c r="H727" s="2"/>
      <c r="I727" s="2" t="s">
        <v>5920</v>
      </c>
      <c r="J727" s="2" t="s">
        <v>5933</v>
      </c>
      <c r="K727" s="3" t="b">
        <f>J727 = "blocking"</f>
        <v>1</v>
      </c>
      <c r="L727" s="2" t="s">
        <v>1428</v>
      </c>
      <c r="M727" s="2" t="s">
        <v>6040</v>
      </c>
      <c r="N727" s="4">
        <v>46223.1297337963</v>
      </c>
      <c r="O727" s="3" t="b">
        <f>L727 = "PASS"</f>
        <v>1</v>
      </c>
      <c r="P727" s="3" t="b">
        <f>L727 = "FAIL"</f>
        <v>0</v>
      </c>
      <c r="Q727" s="3" t="b">
        <f>AND(P727, K727)</f>
        <v>0</v>
      </c>
      <c r="R727" s="3" t="str">
        <f>IF(O727, I727, "")</f>
        <v>suite-substrate</v>
      </c>
      <c r="S727" s="3" t="str">
        <f>IF(Q727, I727, "")</f>
      </c>
      <c r="T727" s="2" t="s">
        <v>5935</v>
      </c>
    </row>
    <row r="728">
      <c r="A728" s="2" t="s">
        <v>6697</v>
      </c>
      <c r="B728" s="3" t="str">
        <f>C728 &amp; ": " &amp; D728</f>
        <v>formula-translates: TestCases.IsFailing</v>
      </c>
      <c r="C728" s="2" t="s">
        <v>6038</v>
      </c>
      <c r="D728" s="2" t="s">
        <v>4172</v>
      </c>
      <c r="E728" s="2" t="s">
        <v>4143</v>
      </c>
      <c r="F728" s="2" t="s">
        <v>4173</v>
      </c>
      <c r="G728" s="2" t="s">
        <v>6039</v>
      </c>
      <c r="H728" s="2"/>
      <c r="I728" s="2" t="s">
        <v>5920</v>
      </c>
      <c r="J728" s="2" t="s">
        <v>5933</v>
      </c>
      <c r="K728" s="3" t="b">
        <f>J728 = "blocking"</f>
        <v>1</v>
      </c>
      <c r="L728" s="2" t="s">
        <v>1428</v>
      </c>
      <c r="M728" s="2" t="s">
        <v>6040</v>
      </c>
      <c r="N728" s="4">
        <v>46223.1297337963</v>
      </c>
      <c r="O728" s="3" t="b">
        <f>L728 = "PASS"</f>
        <v>1</v>
      </c>
      <c r="P728" s="3" t="b">
        <f>L728 = "FAIL"</f>
        <v>0</v>
      </c>
      <c r="Q728" s="3" t="b">
        <f>AND(P728, K728)</f>
        <v>0</v>
      </c>
      <c r="R728" s="3" t="str">
        <f>IF(O728, I728, "")</f>
        <v>suite-substrate</v>
      </c>
      <c r="S728" s="3" t="str">
        <f>IF(Q728, I728, "")</f>
      </c>
      <c r="T728" s="2" t="s">
        <v>5935</v>
      </c>
    </row>
    <row r="729">
      <c r="A729" s="2" t="s">
        <v>6698</v>
      </c>
      <c r="B729" s="3" t="str">
        <f>C729 &amp; ": " &amp; D729</f>
        <v>formula-translates: TestCases.NeedsAttention</v>
      </c>
      <c r="C729" s="2" t="s">
        <v>6038</v>
      </c>
      <c r="D729" s="2" t="s">
        <v>4175</v>
      </c>
      <c r="E729" s="2" t="s">
        <v>4143</v>
      </c>
      <c r="F729" s="2" t="s">
        <v>4176</v>
      </c>
      <c r="G729" s="2" t="s">
        <v>6039</v>
      </c>
      <c r="H729" s="2"/>
      <c r="I729" s="2" t="s">
        <v>5920</v>
      </c>
      <c r="J729" s="2" t="s">
        <v>5933</v>
      </c>
      <c r="K729" s="3" t="b">
        <f>J729 = "blocking"</f>
        <v>1</v>
      </c>
      <c r="L729" s="2" t="s">
        <v>1428</v>
      </c>
      <c r="M729" s="2" t="s">
        <v>6040</v>
      </c>
      <c r="N729" s="4">
        <v>46223.1297337963</v>
      </c>
      <c r="O729" s="3" t="b">
        <f>L729 = "PASS"</f>
        <v>1</v>
      </c>
      <c r="P729" s="3" t="b">
        <f>L729 = "FAIL"</f>
        <v>0</v>
      </c>
      <c r="Q729" s="3" t="b">
        <f>AND(P729, K729)</f>
        <v>0</v>
      </c>
      <c r="R729" s="3" t="str">
        <f>IF(O729, I729, "")</f>
        <v>suite-substrate</v>
      </c>
      <c r="S729" s="3" t="str">
        <f>IF(Q729, I729, "")</f>
      </c>
      <c r="T729" s="2" t="s">
        <v>5935</v>
      </c>
    </row>
    <row r="730">
      <c r="A730" s="2" t="s">
        <v>6699</v>
      </c>
      <c r="B730" s="3" t="str">
        <f>C730 &amp; ": " &amp; D730</f>
        <v>formula-translates: TestCases.PassingSuiteKey</v>
      </c>
      <c r="C730" s="2" t="s">
        <v>6038</v>
      </c>
      <c r="D730" s="2" t="s">
        <v>4178</v>
      </c>
      <c r="E730" s="2" t="s">
        <v>4143</v>
      </c>
      <c r="F730" s="2" t="s">
        <v>4179</v>
      </c>
      <c r="G730" s="2" t="s">
        <v>6039</v>
      </c>
      <c r="H730" s="2"/>
      <c r="I730" s="2" t="s">
        <v>5920</v>
      </c>
      <c r="J730" s="2" t="s">
        <v>5933</v>
      </c>
      <c r="K730" s="3" t="b">
        <f>J730 = "blocking"</f>
        <v>1</v>
      </c>
      <c r="L730" s="2" t="s">
        <v>1428</v>
      </c>
      <c r="M730" s="2" t="s">
        <v>6040</v>
      </c>
      <c r="N730" s="4">
        <v>46223.1297337963</v>
      </c>
      <c r="O730" s="3" t="b">
        <f>L730 = "PASS"</f>
        <v>1</v>
      </c>
      <c r="P730" s="3" t="b">
        <f>L730 = "FAIL"</f>
        <v>0</v>
      </c>
      <c r="Q730" s="3" t="b">
        <f>AND(P730, K730)</f>
        <v>0</v>
      </c>
      <c r="R730" s="3" t="str">
        <f>IF(O730, I730, "")</f>
        <v>suite-substrate</v>
      </c>
      <c r="S730" s="3" t="str">
        <f>IF(Q730, I730, "")</f>
      </c>
      <c r="T730" s="2" t="s">
        <v>5935</v>
      </c>
    </row>
    <row r="731">
      <c r="A731" s="2" t="s">
        <v>6700</v>
      </c>
      <c r="B731" s="3" t="str">
        <f>C731 &amp; ": " &amp; D731</f>
        <v>formula-translates: TestCases.NeedsAttentionSuiteKey</v>
      </c>
      <c r="C731" s="2" t="s">
        <v>6038</v>
      </c>
      <c r="D731" s="2" t="s">
        <v>4181</v>
      </c>
      <c r="E731" s="2" t="s">
        <v>4143</v>
      </c>
      <c r="F731" s="2" t="s">
        <v>4182</v>
      </c>
      <c r="G731" s="2" t="s">
        <v>6039</v>
      </c>
      <c r="H731" s="2"/>
      <c r="I731" s="2" t="s">
        <v>5920</v>
      </c>
      <c r="J731" s="2" t="s">
        <v>5933</v>
      </c>
      <c r="K731" s="3" t="b">
        <f>J731 = "blocking"</f>
        <v>1</v>
      </c>
      <c r="L731" s="2" t="s">
        <v>1428</v>
      </c>
      <c r="M731" s="2" t="s">
        <v>6040</v>
      </c>
      <c r="N731" s="4">
        <v>46223.1297337963</v>
      </c>
      <c r="O731" s="3" t="b">
        <f>L731 = "PASS"</f>
        <v>1</v>
      </c>
      <c r="P731" s="3" t="b">
        <f>L731 = "FAIL"</f>
        <v>0</v>
      </c>
      <c r="Q731" s="3" t="b">
        <f>AND(P731, K731)</f>
        <v>0</v>
      </c>
      <c r="R731" s="3" t="str">
        <f>IF(O731, I731, "")</f>
        <v>suite-substrate</v>
      </c>
      <c r="S731" s="3" t="str">
        <f>IF(Q731, I731, "")</f>
      </c>
      <c r="T731" s="2" t="s">
        <v>5935</v>
      </c>
    </row>
    <row r="732">
      <c r="A732" s="2" t="s">
        <v>6701</v>
      </c>
      <c r="B732" s="3" t="str">
        <f>C732 &amp; ": " &amp; D732</f>
        <v>formula-translates: __meta__.Name</v>
      </c>
      <c r="C732" s="2" t="s">
        <v>6038</v>
      </c>
      <c r="D732" s="2" t="s">
        <v>4212</v>
      </c>
      <c r="E732" s="2" t="s">
        <v>4210</v>
      </c>
      <c r="F732" s="2" t="s">
        <v>1</v>
      </c>
      <c r="G732" s="2" t="s">
        <v>6039</v>
      </c>
      <c r="H732" s="2"/>
      <c r="I732" s="2" t="s">
        <v>5920</v>
      </c>
      <c r="J732" s="2" t="s">
        <v>5933</v>
      </c>
      <c r="K732" s="3" t="b">
        <f>J732 = "blocking"</f>
        <v>1</v>
      </c>
      <c r="L732" s="2" t="s">
        <v>1428</v>
      </c>
      <c r="M732" s="2" t="s">
        <v>6040</v>
      </c>
      <c r="N732" s="4">
        <v>46223.1297337963</v>
      </c>
      <c r="O732" s="3" t="b">
        <f>L732 = "PASS"</f>
        <v>1</v>
      </c>
      <c r="P732" s="3" t="b">
        <f>L732 = "FAIL"</f>
        <v>0</v>
      </c>
      <c r="Q732" s="3" t="b">
        <f>AND(P732, K732)</f>
        <v>0</v>
      </c>
      <c r="R732" s="3" t="str">
        <f>IF(O732, I732, "")</f>
        <v>suite-substrate</v>
      </c>
      <c r="S732" s="3" t="str">
        <f>IF(Q732, I732, "")</f>
      </c>
      <c r="T732" s="2" t="s">
        <v>5935</v>
      </c>
    </row>
    <row r="733">
      <c r="A733" s="2" t="s">
        <v>6702</v>
      </c>
      <c r="B733" s="3" t="str">
        <f>C733 &amp; ": " &amp; D733</f>
        <v>formula-translates: ExceptionInvocations.Name</v>
      </c>
      <c r="C733" s="2" t="s">
        <v>6038</v>
      </c>
      <c r="D733" s="2" t="s">
        <v>4223</v>
      </c>
      <c r="E733" s="2" t="s">
        <v>4221</v>
      </c>
      <c r="F733" s="2" t="s">
        <v>1</v>
      </c>
      <c r="G733" s="2" t="s">
        <v>6039</v>
      </c>
      <c r="H733" s="2"/>
      <c r="I733" s="2" t="s">
        <v>5920</v>
      </c>
      <c r="J733" s="2" t="s">
        <v>5933</v>
      </c>
      <c r="K733" s="3" t="b">
        <f>J733 = "blocking"</f>
        <v>1</v>
      </c>
      <c r="L733" s="2" t="s">
        <v>1428</v>
      </c>
      <c r="M733" s="2" t="s">
        <v>6040</v>
      </c>
      <c r="N733" s="4">
        <v>46223.1297337963</v>
      </c>
      <c r="O733" s="3" t="b">
        <f>L733 = "PASS"</f>
        <v>1</v>
      </c>
      <c r="P733" s="3" t="b">
        <f>L733 = "FAIL"</f>
        <v>0</v>
      </c>
      <c r="Q733" s="3" t="b">
        <f>AND(P733, K733)</f>
        <v>0</v>
      </c>
      <c r="R733" s="3" t="str">
        <f>IF(O733, I733, "")</f>
        <v>suite-substrate</v>
      </c>
      <c r="S733" s="3" t="str">
        <f>IF(Q733, I733, "")</f>
      </c>
      <c r="T733" s="2" t="s">
        <v>5935</v>
      </c>
    </row>
    <row r="734">
      <c r="A734" s="2" t="s">
        <v>6703</v>
      </c>
      <c r="B734" s="3" t="str">
        <f>C734 &amp; ": " &amp; D734</f>
        <v>formula-translates: ExceptionInvocations.ExpectedHandling</v>
      </c>
      <c r="C734" s="2" t="s">
        <v>6038</v>
      </c>
      <c r="D734" s="2" t="s">
        <v>4236</v>
      </c>
      <c r="E734" s="2" t="s">
        <v>4221</v>
      </c>
      <c r="F734" s="2" t="s">
        <v>4237</v>
      </c>
      <c r="G734" s="2" t="s">
        <v>6039</v>
      </c>
      <c r="H734" s="2"/>
      <c r="I734" s="2" t="s">
        <v>5920</v>
      </c>
      <c r="J734" s="2" t="s">
        <v>5933</v>
      </c>
      <c r="K734" s="3" t="b">
        <f>J734 = "blocking"</f>
        <v>1</v>
      </c>
      <c r="L734" s="2" t="s">
        <v>1428</v>
      </c>
      <c r="M734" s="2" t="s">
        <v>6040</v>
      </c>
      <c r="N734" s="4">
        <v>46223.1297337963</v>
      </c>
      <c r="O734" s="3" t="b">
        <f>L734 = "PASS"</f>
        <v>1</v>
      </c>
      <c r="P734" s="3" t="b">
        <f>L734 = "FAIL"</f>
        <v>0</v>
      </c>
      <c r="Q734" s="3" t="b">
        <f>AND(P734, K734)</f>
        <v>0</v>
      </c>
      <c r="R734" s="3" t="str">
        <f>IF(O734, I734, "")</f>
        <v>suite-substrate</v>
      </c>
      <c r="S734" s="3" t="str">
        <f>IF(Q734, I734, "")</f>
      </c>
      <c r="T734" s="2" t="s">
        <v>5935</v>
      </c>
    </row>
    <row r="735">
      <c r="A735" s="2" t="s">
        <v>6704</v>
      </c>
      <c r="B735" s="3" t="str">
        <f>C735 &amp; ": " &amp; D735</f>
        <v>formula-translates: ExceptionInvocations.RequiredApprovalRole</v>
      </c>
      <c r="C735" s="2" t="s">
        <v>6038</v>
      </c>
      <c r="D735" s="2" t="s">
        <v>4239</v>
      </c>
      <c r="E735" s="2" t="s">
        <v>4221</v>
      </c>
      <c r="F735" s="2" t="s">
        <v>4240</v>
      </c>
      <c r="G735" s="2" t="s">
        <v>6039</v>
      </c>
      <c r="H735" s="2"/>
      <c r="I735" s="2" t="s">
        <v>5920</v>
      </c>
      <c r="J735" s="2" t="s">
        <v>5933</v>
      </c>
      <c r="K735" s="3" t="b">
        <f>J735 = "blocking"</f>
        <v>1</v>
      </c>
      <c r="L735" s="2" t="s">
        <v>1428</v>
      </c>
      <c r="M735" s="2" t="s">
        <v>6040</v>
      </c>
      <c r="N735" s="4">
        <v>46223.1297337963</v>
      </c>
      <c r="O735" s="3" t="b">
        <f>L735 = "PASS"</f>
        <v>1</v>
      </c>
      <c r="P735" s="3" t="b">
        <f>L735 = "FAIL"</f>
        <v>0</v>
      </c>
      <c r="Q735" s="3" t="b">
        <f>AND(P735, K735)</f>
        <v>0</v>
      </c>
      <c r="R735" s="3" t="str">
        <f>IF(O735, I735, "")</f>
        <v>suite-substrate</v>
      </c>
      <c r="S735" s="3" t="str">
        <f>IF(Q735, I735, "")</f>
      </c>
      <c r="T735" s="2" t="s">
        <v>5935</v>
      </c>
    </row>
    <row r="736">
      <c r="A736" s="2" t="s">
        <v>6705</v>
      </c>
      <c r="B736" s="3" t="str">
        <f>C736 &amp; ": " &amp; D736</f>
        <v>formula-translates: ExceptionInvocations.RequiredApprovalRoleHolder</v>
      </c>
      <c r="C736" s="2" t="s">
        <v>6038</v>
      </c>
      <c r="D736" s="2" t="s">
        <v>4242</v>
      </c>
      <c r="E736" s="2" t="s">
        <v>4221</v>
      </c>
      <c r="F736" s="2" t="s">
        <v>4243</v>
      </c>
      <c r="G736" s="2" t="s">
        <v>6039</v>
      </c>
      <c r="H736" s="2"/>
      <c r="I736" s="2" t="s">
        <v>5920</v>
      </c>
      <c r="J736" s="2" t="s">
        <v>5933</v>
      </c>
      <c r="K736" s="3" t="b">
        <f>J736 = "blocking"</f>
        <v>1</v>
      </c>
      <c r="L736" s="2" t="s">
        <v>1428</v>
      </c>
      <c r="M736" s="2" t="s">
        <v>6040</v>
      </c>
      <c r="N736" s="4">
        <v>46223.1297337963</v>
      </c>
      <c r="O736" s="3" t="b">
        <f>L736 = "PASS"</f>
        <v>1</v>
      </c>
      <c r="P736" s="3" t="b">
        <f>L736 = "FAIL"</f>
        <v>0</v>
      </c>
      <c r="Q736" s="3" t="b">
        <f>AND(P736, K736)</f>
        <v>0</v>
      </c>
      <c r="R736" s="3" t="str">
        <f>IF(O736, I736, "")</f>
        <v>suite-substrate</v>
      </c>
      <c r="S736" s="3" t="str">
        <f>IF(Q736, I736, "")</f>
      </c>
      <c r="T736" s="2" t="s">
        <v>5935</v>
      </c>
    </row>
    <row r="737">
      <c r="A737" s="2" t="s">
        <v>6706</v>
      </c>
      <c r="B737" s="3" t="str">
        <f>C737 &amp; ": " &amp; D737</f>
        <v>formula-translates: ExceptionInvocations.ApprovalRoleMatches</v>
      </c>
      <c r="C737" s="2" t="s">
        <v>6038</v>
      </c>
      <c r="D737" s="2" t="s">
        <v>4245</v>
      </c>
      <c r="E737" s="2" t="s">
        <v>4221</v>
      </c>
      <c r="F737" s="2" t="s">
        <v>4246</v>
      </c>
      <c r="G737" s="2" t="s">
        <v>6039</v>
      </c>
      <c r="H737" s="2"/>
      <c r="I737" s="2" t="s">
        <v>5920</v>
      </c>
      <c r="J737" s="2" t="s">
        <v>5933</v>
      </c>
      <c r="K737" s="3" t="b">
        <f>J737 = "blocking"</f>
        <v>1</v>
      </c>
      <c r="L737" s="2" t="s">
        <v>1428</v>
      </c>
      <c r="M737" s="2" t="s">
        <v>6040</v>
      </c>
      <c r="N737" s="4">
        <v>46223.1297337963</v>
      </c>
      <c r="O737" s="3" t="b">
        <f>L737 = "PASS"</f>
        <v>1</v>
      </c>
      <c r="P737" s="3" t="b">
        <f>L737 = "FAIL"</f>
        <v>0</v>
      </c>
      <c r="Q737" s="3" t="b">
        <f>AND(P737, K737)</f>
        <v>0</v>
      </c>
      <c r="R737" s="3" t="str">
        <f>IF(O737, I737, "")</f>
        <v>suite-substrate</v>
      </c>
      <c r="S737" s="3" t="str">
        <f>IF(Q737, I737, "")</f>
      </c>
      <c r="T737" s="2" t="s">
        <v>5935</v>
      </c>
    </row>
    <row r="738">
      <c r="A738" s="2" t="s">
        <v>6707</v>
      </c>
      <c r="B738" s="3" t="str">
        <f>C738 &amp; ": " &amp; D738</f>
        <v>formula-translates: ExceptionInvocations.IsApproved</v>
      </c>
      <c r="C738" s="2" t="s">
        <v>6038</v>
      </c>
      <c r="D738" s="2" t="s">
        <v>4248</v>
      </c>
      <c r="E738" s="2" t="s">
        <v>4221</v>
      </c>
      <c r="F738" s="2" t="s">
        <v>1094</v>
      </c>
      <c r="G738" s="2" t="s">
        <v>6039</v>
      </c>
      <c r="H738" s="2"/>
      <c r="I738" s="2" t="s">
        <v>5920</v>
      </c>
      <c r="J738" s="2" t="s">
        <v>5933</v>
      </c>
      <c r="K738" s="3" t="b">
        <f>J738 = "blocking"</f>
        <v>1</v>
      </c>
      <c r="L738" s="2" t="s">
        <v>1428</v>
      </c>
      <c r="M738" s="2" t="s">
        <v>6040</v>
      </c>
      <c r="N738" s="4">
        <v>46223.1297337963</v>
      </c>
      <c r="O738" s="3" t="b">
        <f>L738 = "PASS"</f>
        <v>1</v>
      </c>
      <c r="P738" s="3" t="b">
        <f>L738 = "FAIL"</f>
        <v>0</v>
      </c>
      <c r="Q738" s="3" t="b">
        <f>AND(P738, K738)</f>
        <v>0</v>
      </c>
      <c r="R738" s="3" t="str">
        <f>IF(O738, I738, "")</f>
        <v>suite-substrate</v>
      </c>
      <c r="S738" s="3" t="str">
        <f>IF(Q738, I738, "")</f>
      </c>
      <c r="T738" s="2" t="s">
        <v>5935</v>
      </c>
    </row>
    <row r="739">
      <c r="A739" s="2" t="s">
        <v>6708</v>
      </c>
      <c r="B739" s="3" t="str">
        <f>C739 &amp; ": " &amp; D739</f>
        <v>formula-translates: ExceptionInvocations.IsImproperlyApproved</v>
      </c>
      <c r="C739" s="2" t="s">
        <v>6038</v>
      </c>
      <c r="D739" s="2" t="s">
        <v>4250</v>
      </c>
      <c r="E739" s="2" t="s">
        <v>4221</v>
      </c>
      <c r="F739" s="2" t="s">
        <v>4251</v>
      </c>
      <c r="G739" s="2" t="s">
        <v>6039</v>
      </c>
      <c r="H739" s="2"/>
      <c r="I739" s="2" t="s">
        <v>5920</v>
      </c>
      <c r="J739" s="2" t="s">
        <v>5933</v>
      </c>
      <c r="K739" s="3" t="b">
        <f>J739 = "blocking"</f>
        <v>1</v>
      </c>
      <c r="L739" s="2" t="s">
        <v>1428</v>
      </c>
      <c r="M739" s="2" t="s">
        <v>6040</v>
      </c>
      <c r="N739" s="4">
        <v>46223.1297337963</v>
      </c>
      <c r="O739" s="3" t="b">
        <f>L739 = "PASS"</f>
        <v>1</v>
      </c>
      <c r="P739" s="3" t="b">
        <f>L739 = "FAIL"</f>
        <v>0</v>
      </c>
      <c r="Q739" s="3" t="b">
        <f>AND(P739, K739)</f>
        <v>0</v>
      </c>
      <c r="R739" s="3" t="str">
        <f>IF(O739, I739, "")</f>
        <v>suite-substrate</v>
      </c>
      <c r="S739" s="3" t="str">
        <f>IF(Q739, I739, "")</f>
      </c>
      <c r="T739" s="2" t="s">
        <v>5935</v>
      </c>
    </row>
    <row r="740">
      <c r="A740" s="2" t="s">
        <v>6709</v>
      </c>
      <c r="B740" s="3" t="str">
        <f>C740 &amp; ": " &amp; D740</f>
        <v>formula-translates: ExceptionInvocations.InvokerAgentKind</v>
      </c>
      <c r="C740" s="2" t="s">
        <v>6038</v>
      </c>
      <c r="D740" s="2" t="s">
        <v>4253</v>
      </c>
      <c r="E740" s="2" t="s">
        <v>4221</v>
      </c>
      <c r="F740" s="2" t="s">
        <v>4254</v>
      </c>
      <c r="G740" s="2" t="s">
        <v>6039</v>
      </c>
      <c r="H740" s="2" t="s">
        <v>1988</v>
      </c>
      <c r="I740" s="2" t="s">
        <v>5920</v>
      </c>
      <c r="J740" s="2" t="s">
        <v>5933</v>
      </c>
      <c r="K740" s="3" t="b">
        <f>J740 = "blocking"</f>
        <v>1</v>
      </c>
      <c r="L740" s="2" t="s">
        <v>1428</v>
      </c>
      <c r="M740" s="2" t="s">
        <v>6040</v>
      </c>
      <c r="N740" s="4">
        <v>46223.1297337963</v>
      </c>
      <c r="O740" s="3" t="b">
        <f>L740 = "PASS"</f>
        <v>1</v>
      </c>
      <c r="P740" s="3" t="b">
        <f>L740 = "FAIL"</f>
        <v>0</v>
      </c>
      <c r="Q740" s="3" t="b">
        <f>AND(P740, K740)</f>
        <v>0</v>
      </c>
      <c r="R740" s="3" t="str">
        <f>IF(O740, I740, "")</f>
        <v>suite-substrate</v>
      </c>
      <c r="S740" s="3" t="str">
        <f>IF(Q740, I740, "")</f>
      </c>
      <c r="T740" s="2" t="s">
        <v>5935</v>
      </c>
    </row>
    <row r="741">
      <c r="A741" s="2" t="s">
        <v>6710</v>
      </c>
      <c r="B741" s="3" t="str">
        <f>C741 &amp; ": " &amp; D741</f>
        <v>formula-translates: ExceptionInvocations.InvokerAlsoPreparedKey</v>
      </c>
      <c r="C741" s="2" t="s">
        <v>6038</v>
      </c>
      <c r="D741" s="2" t="s">
        <v>4256</v>
      </c>
      <c r="E741" s="2" t="s">
        <v>4221</v>
      </c>
      <c r="F741" s="2" t="s">
        <v>4257</v>
      </c>
      <c r="G741" s="2" t="s">
        <v>6039</v>
      </c>
      <c r="H741" s="2" t="s">
        <v>1988</v>
      </c>
      <c r="I741" s="2" t="s">
        <v>5920</v>
      </c>
      <c r="J741" s="2" t="s">
        <v>5933</v>
      </c>
      <c r="K741" s="3" t="b">
        <f>J741 = "blocking"</f>
        <v>1</v>
      </c>
      <c r="L741" s="2" t="s">
        <v>1428</v>
      </c>
      <c r="M741" s="2" t="s">
        <v>6040</v>
      </c>
      <c r="N741" s="4">
        <v>46223.1297337963</v>
      </c>
      <c r="O741" s="3" t="b">
        <f>L741 = "PASS"</f>
        <v>1</v>
      </c>
      <c r="P741" s="3" t="b">
        <f>L741 = "FAIL"</f>
        <v>0</v>
      </c>
      <c r="Q741" s="3" t="b">
        <f>AND(P741, K741)</f>
        <v>0</v>
      </c>
      <c r="R741" s="3" t="str">
        <f>IF(O741, I741, "")</f>
        <v>suite-substrate</v>
      </c>
      <c r="S741" s="3" t="str">
        <f>IF(Q741, I741, "")</f>
      </c>
      <c r="T741" s="2" t="s">
        <v>5935</v>
      </c>
    </row>
    <row r="742">
      <c r="A742" s="2" t="s">
        <v>6711</v>
      </c>
      <c r="B742" s="3" t="str">
        <f>C742 &amp; ": " &amp; D742</f>
        <v>formula-translates: ExceptionInvocations.ParentProcedureExecution</v>
      </c>
      <c r="C742" s="2" t="s">
        <v>6038</v>
      </c>
      <c r="D742" s="2" t="s">
        <v>4259</v>
      </c>
      <c r="E742" s="2" t="s">
        <v>4221</v>
      </c>
      <c r="F742" s="2" t="s">
        <v>1462</v>
      </c>
      <c r="G742" s="2" t="s">
        <v>6039</v>
      </c>
      <c r="H742" s="2" t="s">
        <v>1988</v>
      </c>
      <c r="I742" s="2" t="s">
        <v>5920</v>
      </c>
      <c r="J742" s="2" t="s">
        <v>5933</v>
      </c>
      <c r="K742" s="3" t="b">
        <f>J742 = "blocking"</f>
        <v>1</v>
      </c>
      <c r="L742" s="2" t="s">
        <v>1428</v>
      </c>
      <c r="M742" s="2" t="s">
        <v>6040</v>
      </c>
      <c r="N742" s="4">
        <v>46223.1297337963</v>
      </c>
      <c r="O742" s="3" t="b">
        <f>L742 = "PASS"</f>
        <v>1</v>
      </c>
      <c r="P742" s="3" t="b">
        <f>L742 = "FAIL"</f>
        <v>0</v>
      </c>
      <c r="Q742" s="3" t="b">
        <f>AND(P742, K742)</f>
        <v>0</v>
      </c>
      <c r="R742" s="3" t="str">
        <f>IF(O742, I742, "")</f>
        <v>suite-substrate</v>
      </c>
      <c r="S742" s="3" t="str">
        <f>IF(Q742, I742, "")</f>
      </c>
      <c r="T742" s="2" t="s">
        <v>5935</v>
      </c>
    </row>
    <row r="743">
      <c r="A743" s="2" t="s">
        <v>6712</v>
      </c>
      <c r="B743" s="3" t="str">
        <f>C743 &amp; ": " &amp; D743</f>
        <v>formula-translates: ExceptionInvocations.ApproverPreparedCount</v>
      </c>
      <c r="C743" s="2" t="s">
        <v>6038</v>
      </c>
      <c r="D743" s="2" t="s">
        <v>4260</v>
      </c>
      <c r="E743" s="2" t="s">
        <v>4221</v>
      </c>
      <c r="F743" s="2" t="s">
        <v>4261</v>
      </c>
      <c r="G743" s="2" t="s">
        <v>6039</v>
      </c>
      <c r="H743" s="2" t="s">
        <v>1988</v>
      </c>
      <c r="I743" s="2" t="s">
        <v>5920</v>
      </c>
      <c r="J743" s="2" t="s">
        <v>5933</v>
      </c>
      <c r="K743" s="3" t="b">
        <f>J743 = "blocking"</f>
        <v>1</v>
      </c>
      <c r="L743" s="2" t="s">
        <v>1428</v>
      </c>
      <c r="M743" s="2" t="s">
        <v>6040</v>
      </c>
      <c r="N743" s="4">
        <v>46223.1297337963</v>
      </c>
      <c r="O743" s="3" t="b">
        <f>L743 = "PASS"</f>
        <v>1</v>
      </c>
      <c r="P743" s="3" t="b">
        <f>L743 = "FAIL"</f>
        <v>0</v>
      </c>
      <c r="Q743" s="3" t="b">
        <f>AND(P743, K743)</f>
        <v>0</v>
      </c>
      <c r="R743" s="3" t="str">
        <f>IF(O743, I743, "")</f>
        <v>suite-substrate</v>
      </c>
      <c r="S743" s="3" t="str">
        <f>IF(Q743, I743, "")</f>
      </c>
      <c r="T743" s="2" t="s">
        <v>5935</v>
      </c>
    </row>
    <row r="744">
      <c r="A744" s="2" t="s">
        <v>6713</v>
      </c>
      <c r="B744" s="3" t="str">
        <f>C744 &amp; ": " &amp; D744</f>
        <v>formula-translates: ExceptionInvocations.DelegatedToPreparer</v>
      </c>
      <c r="C744" s="2" t="s">
        <v>6038</v>
      </c>
      <c r="D744" s="2" t="s">
        <v>4263</v>
      </c>
      <c r="E744" s="2" t="s">
        <v>4221</v>
      </c>
      <c r="F744" s="2" t="s">
        <v>4264</v>
      </c>
      <c r="G744" s="2" t="s">
        <v>6039</v>
      </c>
      <c r="H744" s="2" t="s">
        <v>1988</v>
      </c>
      <c r="I744" s="2" t="s">
        <v>5920</v>
      </c>
      <c r="J744" s="2" t="s">
        <v>5933</v>
      </c>
      <c r="K744" s="3" t="b">
        <f>J744 = "blocking"</f>
        <v>1</v>
      </c>
      <c r="L744" s="2" t="s">
        <v>1428</v>
      </c>
      <c r="M744" s="2" t="s">
        <v>6040</v>
      </c>
      <c r="N744" s="4">
        <v>46223.1297337963</v>
      </c>
      <c r="O744" s="3" t="b">
        <f>L744 = "PASS"</f>
        <v>1</v>
      </c>
      <c r="P744" s="3" t="b">
        <f>L744 = "FAIL"</f>
        <v>0</v>
      </c>
      <c r="Q744" s="3" t="b">
        <f>AND(P744, K744)</f>
        <v>0</v>
      </c>
      <c r="R744" s="3" t="str">
        <f>IF(O744, I744, "")</f>
        <v>suite-substrate</v>
      </c>
      <c r="S744" s="3" t="str">
        <f>IF(Q744, I744, "")</f>
      </c>
      <c r="T744" s="2" t="s">
        <v>5935</v>
      </c>
    </row>
    <row r="745">
      <c r="A745" s="2" t="s">
        <v>6714</v>
      </c>
      <c r="B745" s="3" t="str">
        <f>C745 &amp; ": " &amp; D745</f>
        <v>formula-translates: ExceptionInvocations.IsUngovernedInvocation</v>
      </c>
      <c r="C745" s="2" t="s">
        <v>6038</v>
      </c>
      <c r="D745" s="2" t="s">
        <v>4266</v>
      </c>
      <c r="E745" s="2" t="s">
        <v>4221</v>
      </c>
      <c r="F745" s="2" t="s">
        <v>4267</v>
      </c>
      <c r="G745" s="2" t="s">
        <v>6039</v>
      </c>
      <c r="H745" s="2" t="s">
        <v>1988</v>
      </c>
      <c r="I745" s="2" t="s">
        <v>5920</v>
      </c>
      <c r="J745" s="2" t="s">
        <v>5933</v>
      </c>
      <c r="K745" s="3" t="b">
        <f>J745 = "blocking"</f>
        <v>1</v>
      </c>
      <c r="L745" s="2" t="s">
        <v>1428</v>
      </c>
      <c r="M745" s="2" t="s">
        <v>6040</v>
      </c>
      <c r="N745" s="4">
        <v>46223.1297337963</v>
      </c>
      <c r="O745" s="3" t="b">
        <f>L745 = "PASS"</f>
        <v>1</v>
      </c>
      <c r="P745" s="3" t="b">
        <f>L745 = "FAIL"</f>
        <v>0</v>
      </c>
      <c r="Q745" s="3" t="b">
        <f>AND(P745, K745)</f>
        <v>0</v>
      </c>
      <c r="R745" s="3" t="str">
        <f>IF(O745, I745, "")</f>
        <v>suite-substrate</v>
      </c>
      <c r="S745" s="3" t="str">
        <f>IF(Q745, I745, "")</f>
      </c>
      <c r="T745" s="2" t="s">
        <v>5935</v>
      </c>
    </row>
    <row r="746">
      <c r="A746" s="2" t="s">
        <v>6715</v>
      </c>
      <c r="B746" s="3" t="str">
        <f>C746 &amp; ": " &amp; D746</f>
        <v>formula-translates: VerificationOutcomes.Name</v>
      </c>
      <c r="C746" s="2" t="s">
        <v>6038</v>
      </c>
      <c r="D746" s="2" t="s">
        <v>4273</v>
      </c>
      <c r="E746" s="2" t="s">
        <v>4271</v>
      </c>
      <c r="F746" s="2" t="s">
        <v>1</v>
      </c>
      <c r="G746" s="2" t="s">
        <v>6039</v>
      </c>
      <c r="H746" s="2"/>
      <c r="I746" s="2" t="s">
        <v>5920</v>
      </c>
      <c r="J746" s="2" t="s">
        <v>5933</v>
      </c>
      <c r="K746" s="3" t="b">
        <f>J746 = "blocking"</f>
        <v>1</v>
      </c>
      <c r="L746" s="2" t="s">
        <v>1428</v>
      </c>
      <c r="M746" s="2" t="s">
        <v>6040</v>
      </c>
      <c r="N746" s="4">
        <v>46223.1297337963</v>
      </c>
      <c r="O746" s="3" t="b">
        <f>L746 = "PASS"</f>
        <v>1</v>
      </c>
      <c r="P746" s="3" t="b">
        <f>L746 = "FAIL"</f>
        <v>0</v>
      </c>
      <c r="Q746" s="3" t="b">
        <f>AND(P746, K746)</f>
        <v>0</v>
      </c>
      <c r="R746" s="3" t="str">
        <f>IF(O746, I746, "")</f>
        <v>suite-substrate</v>
      </c>
      <c r="S746" s="3" t="str">
        <f>IF(Q746, I746, "")</f>
      </c>
      <c r="T746" s="2" t="s">
        <v>5935</v>
      </c>
    </row>
    <row r="747">
      <c r="A747" s="2" t="s">
        <v>6716</v>
      </c>
      <c r="B747" s="3" t="str">
        <f>C747 &amp; ": " &amp; D747</f>
        <v>formula-translates: VerificationOutcomes.ExpectedSignalValue</v>
      </c>
      <c r="C747" s="2" t="s">
        <v>6038</v>
      </c>
      <c r="D747" s="2" t="s">
        <v>4286</v>
      </c>
      <c r="E747" s="2" t="s">
        <v>4271</v>
      </c>
      <c r="F747" s="2" t="s">
        <v>922</v>
      </c>
      <c r="G747" s="2" t="s">
        <v>6039</v>
      </c>
      <c r="H747" s="2"/>
      <c r="I747" s="2" t="s">
        <v>5920</v>
      </c>
      <c r="J747" s="2" t="s">
        <v>5933</v>
      </c>
      <c r="K747" s="3" t="b">
        <f>J747 = "blocking"</f>
        <v>1</v>
      </c>
      <c r="L747" s="2" t="s">
        <v>1428</v>
      </c>
      <c r="M747" s="2" t="s">
        <v>6040</v>
      </c>
      <c r="N747" s="4">
        <v>46223.1297337963</v>
      </c>
      <c r="O747" s="3" t="b">
        <f>L747 = "PASS"</f>
        <v>1</v>
      </c>
      <c r="P747" s="3" t="b">
        <f>L747 = "FAIL"</f>
        <v>0</v>
      </c>
      <c r="Q747" s="3" t="b">
        <f>AND(P747, K747)</f>
        <v>0</v>
      </c>
      <c r="R747" s="3" t="str">
        <f>IF(O747, I747, "")</f>
        <v>suite-substrate</v>
      </c>
      <c r="S747" s="3" t="str">
        <f>IF(Q747, I747, "")</f>
      </c>
      <c r="T747" s="2" t="s">
        <v>5935</v>
      </c>
    </row>
    <row r="748">
      <c r="A748" s="2" t="s">
        <v>6717</v>
      </c>
      <c r="B748" s="3" t="str">
        <f>C748 &amp; ": " &amp; D748</f>
        <v>formula-translates: VerificationOutcomes.SignalIdentifier</v>
      </c>
      <c r="C748" s="2" t="s">
        <v>6038</v>
      </c>
      <c r="D748" s="2" t="s">
        <v>4288</v>
      </c>
      <c r="E748" s="2" t="s">
        <v>4271</v>
      </c>
      <c r="F748" s="2" t="s">
        <v>921</v>
      </c>
      <c r="G748" s="2" t="s">
        <v>6039</v>
      </c>
      <c r="H748" s="2"/>
      <c r="I748" s="2" t="s">
        <v>5920</v>
      </c>
      <c r="J748" s="2" t="s">
        <v>5933</v>
      </c>
      <c r="K748" s="3" t="b">
        <f>J748 = "blocking"</f>
        <v>1</v>
      </c>
      <c r="L748" s="2" t="s">
        <v>1428</v>
      </c>
      <c r="M748" s="2" t="s">
        <v>6040</v>
      </c>
      <c r="N748" s="4">
        <v>46223.1297337963</v>
      </c>
      <c r="O748" s="3" t="b">
        <f>L748 = "PASS"</f>
        <v>1</v>
      </c>
      <c r="P748" s="3" t="b">
        <f>L748 = "FAIL"</f>
        <v>0</v>
      </c>
      <c r="Q748" s="3" t="b">
        <f>AND(P748, K748)</f>
        <v>0</v>
      </c>
      <c r="R748" s="3" t="str">
        <f>IF(O748, I748, "")</f>
        <v>suite-substrate</v>
      </c>
      <c r="S748" s="3" t="str">
        <f>IF(Q748, I748, "")</f>
      </c>
      <c r="T748" s="2" t="s">
        <v>5935</v>
      </c>
    </row>
    <row r="749">
      <c r="A749" s="2" t="s">
        <v>6718</v>
      </c>
      <c r="B749" s="3" t="str">
        <f>C749 &amp; ": " &amp; D749</f>
        <v>formula-translates: VerificationOutcomes.SignalMatchesExpected</v>
      </c>
      <c r="C749" s="2" t="s">
        <v>6038</v>
      </c>
      <c r="D749" s="2" t="s">
        <v>824</v>
      </c>
      <c r="E749" s="2" t="s">
        <v>4271</v>
      </c>
      <c r="F749" s="2" t="s">
        <v>4290</v>
      </c>
      <c r="G749" s="2" t="s">
        <v>6039</v>
      </c>
      <c r="H749" s="2"/>
      <c r="I749" s="2" t="s">
        <v>5920</v>
      </c>
      <c r="J749" s="2" t="s">
        <v>5933</v>
      </c>
      <c r="K749" s="3" t="b">
        <f>J749 = "blocking"</f>
        <v>1</v>
      </c>
      <c r="L749" s="2" t="s">
        <v>1428</v>
      </c>
      <c r="M749" s="2" t="s">
        <v>6040</v>
      </c>
      <c r="N749" s="4">
        <v>46223.1297337963</v>
      </c>
      <c r="O749" s="3" t="b">
        <f>L749 = "PASS"</f>
        <v>1</v>
      </c>
      <c r="P749" s="3" t="b">
        <f>L749 = "FAIL"</f>
        <v>0</v>
      </c>
      <c r="Q749" s="3" t="b">
        <f>AND(P749, K749)</f>
        <v>0</v>
      </c>
      <c r="R749" s="3" t="str">
        <f>IF(O749, I749, "")</f>
        <v>suite-substrate</v>
      </c>
      <c r="S749" s="3" t="str">
        <f>IF(Q749, I749, "")</f>
      </c>
      <c r="T749" s="2" t="s">
        <v>5935</v>
      </c>
    </row>
    <row r="750">
      <c r="A750" s="2" t="s">
        <v>6719</v>
      </c>
      <c r="B750" s="3" t="str">
        <f>C750 &amp; ": " &amp; D750</f>
        <v>formula-translates: VerificationOutcomes.HasEvidence</v>
      </c>
      <c r="C750" s="2" t="s">
        <v>6038</v>
      </c>
      <c r="D750" s="2" t="s">
        <v>4292</v>
      </c>
      <c r="E750" s="2" t="s">
        <v>4271</v>
      </c>
      <c r="F750" s="2" t="s">
        <v>4293</v>
      </c>
      <c r="G750" s="2" t="s">
        <v>6039</v>
      </c>
      <c r="H750" s="2"/>
      <c r="I750" s="2" t="s">
        <v>5920</v>
      </c>
      <c r="J750" s="2" t="s">
        <v>5933</v>
      </c>
      <c r="K750" s="3" t="b">
        <f>J750 = "blocking"</f>
        <v>1</v>
      </c>
      <c r="L750" s="2" t="s">
        <v>1428</v>
      </c>
      <c r="M750" s="2" t="s">
        <v>6040</v>
      </c>
      <c r="N750" s="4">
        <v>46223.1297337963</v>
      </c>
      <c r="O750" s="3" t="b">
        <f>L750 = "PASS"</f>
        <v>1</v>
      </c>
      <c r="P750" s="3" t="b">
        <f>L750 = "FAIL"</f>
        <v>0</v>
      </c>
      <c r="Q750" s="3" t="b">
        <f>AND(P750, K750)</f>
        <v>0</v>
      </c>
      <c r="R750" s="3" t="str">
        <f>IF(O750, I750, "")</f>
        <v>suite-substrate</v>
      </c>
      <c r="S750" s="3" t="str">
        <f>IF(Q750, I750, "")</f>
      </c>
      <c r="T750" s="2" t="s">
        <v>5935</v>
      </c>
    </row>
    <row r="751">
      <c r="A751" s="2" t="s">
        <v>6720</v>
      </c>
      <c r="B751" s="3" t="str">
        <f>C751 &amp; ": " &amp; D751</f>
        <v>formula-translates: VerificationOutcomes.IsUnbackedObservation</v>
      </c>
      <c r="C751" s="2" t="s">
        <v>6038</v>
      </c>
      <c r="D751" s="2" t="s">
        <v>831</v>
      </c>
      <c r="E751" s="2" t="s">
        <v>4271</v>
      </c>
      <c r="F751" s="2" t="s">
        <v>4295</v>
      </c>
      <c r="G751" s="2" t="s">
        <v>6039</v>
      </c>
      <c r="H751" s="2"/>
      <c r="I751" s="2" t="s">
        <v>5920</v>
      </c>
      <c r="J751" s="2" t="s">
        <v>5933</v>
      </c>
      <c r="K751" s="3" t="b">
        <f>J751 = "blocking"</f>
        <v>1</v>
      </c>
      <c r="L751" s="2" t="s">
        <v>1428</v>
      </c>
      <c r="M751" s="2" t="s">
        <v>6040</v>
      </c>
      <c r="N751" s="4">
        <v>46223.1297337963</v>
      </c>
      <c r="O751" s="3" t="b">
        <f>L751 = "PASS"</f>
        <v>1</v>
      </c>
      <c r="P751" s="3" t="b">
        <f>L751 = "FAIL"</f>
        <v>0</v>
      </c>
      <c r="Q751" s="3" t="b">
        <f>AND(P751, K751)</f>
        <v>0</v>
      </c>
      <c r="R751" s="3" t="str">
        <f>IF(O751, I751, "")</f>
        <v>suite-substrate</v>
      </c>
      <c r="S751" s="3" t="str">
        <f>IF(Q751, I751, "")</f>
      </c>
      <c r="T751" s="2" t="s">
        <v>5935</v>
      </c>
    </row>
    <row r="752">
      <c r="A752" s="2" t="s">
        <v>6721</v>
      </c>
      <c r="B752" s="3" t="str">
        <f>C752 &amp; ": " &amp; D752</f>
        <v>formula-translates: VerificationOutcomes.IsSelfWitnessed</v>
      </c>
      <c r="C752" s="2" t="s">
        <v>6038</v>
      </c>
      <c r="D752" s="2" t="s">
        <v>4297</v>
      </c>
      <c r="E752" s="2" t="s">
        <v>4271</v>
      </c>
      <c r="F752" s="2" t="s">
        <v>4298</v>
      </c>
      <c r="G752" s="2" t="s">
        <v>6039</v>
      </c>
      <c r="H752" s="2" t="s">
        <v>1984</v>
      </c>
      <c r="I752" s="2" t="s">
        <v>5920</v>
      </c>
      <c r="J752" s="2" t="s">
        <v>5933</v>
      </c>
      <c r="K752" s="3" t="b">
        <f>J752 = "blocking"</f>
        <v>1</v>
      </c>
      <c r="L752" s="2" t="s">
        <v>1428</v>
      </c>
      <c r="M752" s="2" t="s">
        <v>6040</v>
      </c>
      <c r="N752" s="4">
        <v>46223.1297337963</v>
      </c>
      <c r="O752" s="3" t="b">
        <f>L752 = "PASS"</f>
        <v>1</v>
      </c>
      <c r="P752" s="3" t="b">
        <f>L752 = "FAIL"</f>
        <v>0</v>
      </c>
      <c r="Q752" s="3" t="b">
        <f>AND(P752, K752)</f>
        <v>0</v>
      </c>
      <c r="R752" s="3" t="str">
        <f>IF(O752, I752, "")</f>
        <v>suite-substrate</v>
      </c>
      <c r="S752" s="3" t="str">
        <f>IF(Q752, I752, "")</f>
      </c>
      <c r="T752" s="2" t="s">
        <v>5935</v>
      </c>
    </row>
    <row r="753">
      <c r="A753" s="2" t="s">
        <v>6722</v>
      </c>
      <c r="B753" s="3" t="str">
        <f>C753 &amp; ": " &amp; D753</f>
        <v>formula-translates: VerificationOutcomes.StepExecutorAgent</v>
      </c>
      <c r="C753" s="2" t="s">
        <v>6038</v>
      </c>
      <c r="D753" s="2" t="s">
        <v>4300</v>
      </c>
      <c r="E753" s="2" t="s">
        <v>4271</v>
      </c>
      <c r="F753" s="2" t="s">
        <v>1484</v>
      </c>
      <c r="G753" s="2" t="s">
        <v>6039</v>
      </c>
      <c r="H753" s="2" t="s">
        <v>1984</v>
      </c>
      <c r="I753" s="2" t="s">
        <v>5920</v>
      </c>
      <c r="J753" s="2" t="s">
        <v>5933</v>
      </c>
      <c r="K753" s="3" t="b">
        <f>J753 = "blocking"</f>
        <v>1</v>
      </c>
      <c r="L753" s="2" t="s">
        <v>1428</v>
      </c>
      <c r="M753" s="2" t="s">
        <v>6040</v>
      </c>
      <c r="N753" s="4">
        <v>46223.1297337963</v>
      </c>
      <c r="O753" s="3" t="b">
        <f>L753 = "PASS"</f>
        <v>1</v>
      </c>
      <c r="P753" s="3" t="b">
        <f>L753 = "FAIL"</f>
        <v>0</v>
      </c>
      <c r="Q753" s="3" t="b">
        <f>AND(P753, K753)</f>
        <v>0</v>
      </c>
      <c r="R753" s="3" t="str">
        <f>IF(O753, I753, "")</f>
        <v>suite-substrate</v>
      </c>
      <c r="S753" s="3" t="str">
        <f>IF(Q753, I753, "")</f>
      </c>
      <c r="T753" s="2" t="s">
        <v>5935</v>
      </c>
    </row>
    <row r="754">
      <c r="A754" s="2" t="s">
        <v>6723</v>
      </c>
      <c r="B754" s="3" t="str">
        <f>C754 &amp; ": " &amp; D754</f>
        <v>formula-translates: VerificationOutcomes.SelfWitnessedStepKey</v>
      </c>
      <c r="C754" s="2" t="s">
        <v>6038</v>
      </c>
      <c r="D754" s="2" t="s">
        <v>4301</v>
      </c>
      <c r="E754" s="2" t="s">
        <v>4271</v>
      </c>
      <c r="F754" s="2" t="s">
        <v>4302</v>
      </c>
      <c r="G754" s="2" t="s">
        <v>6039</v>
      </c>
      <c r="H754" s="2" t="s">
        <v>1984</v>
      </c>
      <c r="I754" s="2" t="s">
        <v>5920</v>
      </c>
      <c r="J754" s="2" t="s">
        <v>5933</v>
      </c>
      <c r="K754" s="3" t="b">
        <f>J754 = "blocking"</f>
        <v>1</v>
      </c>
      <c r="L754" s="2" t="s">
        <v>1428</v>
      </c>
      <c r="M754" s="2" t="s">
        <v>6040</v>
      </c>
      <c r="N754" s="4">
        <v>46223.1297337963</v>
      </c>
      <c r="O754" s="3" t="b">
        <f>L754 = "PASS"</f>
        <v>1</v>
      </c>
      <c r="P754" s="3" t="b">
        <f>L754 = "FAIL"</f>
        <v>0</v>
      </c>
      <c r="Q754" s="3" t="b">
        <f>AND(P754, K754)</f>
        <v>0</v>
      </c>
      <c r="R754" s="3" t="str">
        <f>IF(O754, I754, "")</f>
        <v>suite-substrate</v>
      </c>
      <c r="S754" s="3" t="str">
        <f>IF(Q754, I754, "")</f>
      </c>
      <c r="T754" s="2" t="s">
        <v>5935</v>
      </c>
    </row>
    <row r="755">
      <c r="A755" s="2" t="s">
        <v>6724</v>
      </c>
      <c r="B755" s="3" t="str">
        <f>C755 &amp; ": " &amp; D755</f>
        <v>formula-translates: VerificationOutcomes.UnbackedStepKey</v>
      </c>
      <c r="C755" s="2" t="s">
        <v>6038</v>
      </c>
      <c r="D755" s="2" t="s">
        <v>4304</v>
      </c>
      <c r="E755" s="2" t="s">
        <v>4271</v>
      </c>
      <c r="F755" s="2" t="s">
        <v>4305</v>
      </c>
      <c r="G755" s="2" t="s">
        <v>6039</v>
      </c>
      <c r="H755" s="2" t="s">
        <v>1984</v>
      </c>
      <c r="I755" s="2" t="s">
        <v>5920</v>
      </c>
      <c r="J755" s="2" t="s">
        <v>5933</v>
      </c>
      <c r="K755" s="3" t="b">
        <f>J755 = "blocking"</f>
        <v>1</v>
      </c>
      <c r="L755" s="2" t="s">
        <v>1428</v>
      </c>
      <c r="M755" s="2" t="s">
        <v>6040</v>
      </c>
      <c r="N755" s="4">
        <v>46223.1297337963</v>
      </c>
      <c r="O755" s="3" t="b">
        <f>L755 = "PASS"</f>
        <v>1</v>
      </c>
      <c r="P755" s="3" t="b">
        <f>L755 = "FAIL"</f>
        <v>0</v>
      </c>
      <c r="Q755" s="3" t="b">
        <f>AND(P755, K755)</f>
        <v>0</v>
      </c>
      <c r="R755" s="3" t="str">
        <f>IF(O755, I755, "")</f>
        <v>suite-substrate</v>
      </c>
      <c r="S755" s="3" t="str">
        <f>IF(Q755, I755, "")</f>
      </c>
      <c r="T755" s="2" t="s">
        <v>5935</v>
      </c>
    </row>
    <row r="756">
      <c r="A756" s="2" t="s">
        <v>6725</v>
      </c>
      <c r="B756" s="3" t="str">
        <f>C756 &amp; ": " &amp; D756</f>
        <v>formula-translates: VerificationOutcomes.IsSelfWitnessedAndUnbacked</v>
      </c>
      <c r="C756" s="2" t="s">
        <v>6038</v>
      </c>
      <c r="D756" s="2" t="s">
        <v>4307</v>
      </c>
      <c r="E756" s="2" t="s">
        <v>4271</v>
      </c>
      <c r="F756" s="2" t="s">
        <v>4308</v>
      </c>
      <c r="G756" s="2" t="s">
        <v>6039</v>
      </c>
      <c r="H756" s="2" t="s">
        <v>2252</v>
      </c>
      <c r="I756" s="2" t="s">
        <v>5920</v>
      </c>
      <c r="J756" s="2" t="s">
        <v>5933</v>
      </c>
      <c r="K756" s="3" t="b">
        <f>J756 = "blocking"</f>
        <v>1</v>
      </c>
      <c r="L756" s="2" t="s">
        <v>1428</v>
      </c>
      <c r="M756" s="2" t="s">
        <v>6040</v>
      </c>
      <c r="N756" s="4">
        <v>46223.1297337963</v>
      </c>
      <c r="O756" s="3" t="b">
        <f>L756 = "PASS"</f>
        <v>1</v>
      </c>
      <c r="P756" s="3" t="b">
        <f>L756 = "FAIL"</f>
        <v>0</v>
      </c>
      <c r="Q756" s="3" t="b">
        <f>AND(P756, K756)</f>
        <v>0</v>
      </c>
      <c r="R756" s="3" t="str">
        <f>IF(O756, I756, "")</f>
        <v>suite-substrate</v>
      </c>
      <c r="S756" s="3" t="str">
        <f>IF(Q756, I756, "")</f>
      </c>
      <c r="T756" s="2" t="s">
        <v>5935</v>
      </c>
    </row>
    <row r="757">
      <c r="A757" s="2" t="s">
        <v>6726</v>
      </c>
      <c r="B757" s="3" t="str">
        <f>C757 &amp; ": " &amp; D757</f>
        <v>formula-translates: VerificationOutcomes.IsUncorroboratedPass</v>
      </c>
      <c r="C757" s="2" t="s">
        <v>6038</v>
      </c>
      <c r="D757" s="2" t="s">
        <v>4310</v>
      </c>
      <c r="E757" s="2" t="s">
        <v>4271</v>
      </c>
      <c r="F757" s="2" t="s">
        <v>4311</v>
      </c>
      <c r="G757" s="2" t="s">
        <v>6039</v>
      </c>
      <c r="H757" s="2" t="s">
        <v>2252</v>
      </c>
      <c r="I757" s="2" t="s">
        <v>5920</v>
      </c>
      <c r="J757" s="2" t="s">
        <v>5933</v>
      </c>
      <c r="K757" s="3" t="b">
        <f>J757 = "blocking"</f>
        <v>1</v>
      </c>
      <c r="L757" s="2" t="s">
        <v>1428</v>
      </c>
      <c r="M757" s="2" t="s">
        <v>6040</v>
      </c>
      <c r="N757" s="4">
        <v>46223.1297337963</v>
      </c>
      <c r="O757" s="3" t="b">
        <f>L757 = "PASS"</f>
        <v>1</v>
      </c>
      <c r="P757" s="3" t="b">
        <f>L757 = "FAIL"</f>
        <v>0</v>
      </c>
      <c r="Q757" s="3" t="b">
        <f>AND(P757, K757)</f>
        <v>0</v>
      </c>
      <c r="R757" s="3" t="str">
        <f>IF(O757, I757, "")</f>
        <v>suite-substrate</v>
      </c>
      <c r="S757" s="3" t="str">
        <f>IF(Q757, I757, "")</f>
      </c>
      <c r="T757" s="2" t="s">
        <v>5935</v>
      </c>
    </row>
    <row r="758">
      <c r="A758" s="2" t="s">
        <v>6727</v>
      </c>
      <c r="B758" s="3" t="str">
        <f>C758 &amp; ": " &amp; D758</f>
        <v>formula-translates: VerificationOutcomes.UncorroboratedPassStepKey</v>
      </c>
      <c r="C758" s="2" t="s">
        <v>6038</v>
      </c>
      <c r="D758" s="2" t="s">
        <v>4313</v>
      </c>
      <c r="E758" s="2" t="s">
        <v>4271</v>
      </c>
      <c r="F758" s="2" t="s">
        <v>4314</v>
      </c>
      <c r="G758" s="2" t="s">
        <v>6039</v>
      </c>
      <c r="H758" s="2" t="s">
        <v>2252</v>
      </c>
      <c r="I758" s="2" t="s">
        <v>5920</v>
      </c>
      <c r="J758" s="2" t="s">
        <v>5933</v>
      </c>
      <c r="K758" s="3" t="b">
        <f>J758 = "blocking"</f>
        <v>1</v>
      </c>
      <c r="L758" s="2" t="s">
        <v>1428</v>
      </c>
      <c r="M758" s="2" t="s">
        <v>6040</v>
      </c>
      <c r="N758" s="4">
        <v>46223.1297337963</v>
      </c>
      <c r="O758" s="3" t="b">
        <f>L758 = "PASS"</f>
        <v>1</v>
      </c>
      <c r="P758" s="3" t="b">
        <f>L758 = "FAIL"</f>
        <v>0</v>
      </c>
      <c r="Q758" s="3" t="b">
        <f>AND(P758, K758)</f>
        <v>0</v>
      </c>
      <c r="R758" s="3" t="str">
        <f>IF(O758, I758, "")</f>
        <v>suite-substrate</v>
      </c>
      <c r="S758" s="3" t="str">
        <f>IF(Q758, I758, "")</f>
      </c>
      <c r="T758" s="2" t="s">
        <v>5935</v>
      </c>
    </row>
    <row r="759">
      <c r="A759" s="2" t="s">
        <v>6728</v>
      </c>
      <c r="B759" s="3" t="str">
        <f>C759 &amp; ": " &amp; D759</f>
        <v>formula-translates: VerificationOutcomes.ObserverIsNonHuman</v>
      </c>
      <c r="C759" s="2" t="s">
        <v>6038</v>
      </c>
      <c r="D759" s="2" t="s">
        <v>4316</v>
      </c>
      <c r="E759" s="2" t="s">
        <v>4271</v>
      </c>
      <c r="F759" s="2" t="s">
        <v>4317</v>
      </c>
      <c r="G759" s="2" t="s">
        <v>6039</v>
      </c>
      <c r="H759" s="2" t="s">
        <v>2252</v>
      </c>
      <c r="I759" s="2" t="s">
        <v>5920</v>
      </c>
      <c r="J759" s="2" t="s">
        <v>5933</v>
      </c>
      <c r="K759" s="3" t="b">
        <f>J759 = "blocking"</f>
        <v>1</v>
      </c>
      <c r="L759" s="2" t="s">
        <v>1428</v>
      </c>
      <c r="M759" s="2" t="s">
        <v>6040</v>
      </c>
      <c r="N759" s="4">
        <v>46223.1297337963</v>
      </c>
      <c r="O759" s="3" t="b">
        <f>L759 = "PASS"</f>
        <v>1</v>
      </c>
      <c r="P759" s="3" t="b">
        <f>L759 = "FAIL"</f>
        <v>0</v>
      </c>
      <c r="Q759" s="3" t="b">
        <f>AND(P759, K759)</f>
        <v>0</v>
      </c>
      <c r="R759" s="3" t="str">
        <f>IF(O759, I759, "")</f>
        <v>suite-substrate</v>
      </c>
      <c r="S759" s="3" t="str">
        <f>IF(Q759, I759, "")</f>
      </c>
      <c r="T759" s="2" t="s">
        <v>5935</v>
      </c>
    </row>
    <row r="760">
      <c r="A760" s="2" t="s">
        <v>6729</v>
      </c>
      <c r="B760" s="3" t="str">
        <f>C760 &amp; ": " &amp; D760</f>
        <v>formula-translates: VerificationOutcomes.ObserverIsIndependentOfExecutor</v>
      </c>
      <c r="C760" s="2" t="s">
        <v>6038</v>
      </c>
      <c r="D760" s="2" t="s">
        <v>4319</v>
      </c>
      <c r="E760" s="2" t="s">
        <v>4271</v>
      </c>
      <c r="F760" s="2" t="s">
        <v>4320</v>
      </c>
      <c r="G760" s="2" t="s">
        <v>6039</v>
      </c>
      <c r="H760" s="2" t="s">
        <v>2252</v>
      </c>
      <c r="I760" s="2" t="s">
        <v>5920</v>
      </c>
      <c r="J760" s="2" t="s">
        <v>5933</v>
      </c>
      <c r="K760" s="3" t="b">
        <f>J760 = "blocking"</f>
        <v>1</v>
      </c>
      <c r="L760" s="2" t="s">
        <v>1428</v>
      </c>
      <c r="M760" s="2" t="s">
        <v>6040</v>
      </c>
      <c r="N760" s="4">
        <v>46223.1297337963</v>
      </c>
      <c r="O760" s="3" t="b">
        <f>L760 = "PASS"</f>
        <v>1</v>
      </c>
      <c r="P760" s="3" t="b">
        <f>L760 = "FAIL"</f>
        <v>0</v>
      </c>
      <c r="Q760" s="3" t="b">
        <f>AND(P760, K760)</f>
        <v>0</v>
      </c>
      <c r="R760" s="3" t="str">
        <f>IF(O760, I760, "")</f>
        <v>suite-substrate</v>
      </c>
      <c r="S760" s="3" t="str">
        <f>IF(Q760, I760, "")</f>
      </c>
      <c r="T760" s="2" t="s">
        <v>5935</v>
      </c>
    </row>
    <row r="761">
      <c r="A761" s="2" t="s">
        <v>6730</v>
      </c>
      <c r="B761" s="3" t="str">
        <f>C761 &amp; ": " &amp; D761</f>
        <v>formula-translates: VerificationOutcomes.IsIndependentHumanObservation</v>
      </c>
      <c r="C761" s="2" t="s">
        <v>6038</v>
      </c>
      <c r="D761" s="2" t="s">
        <v>4322</v>
      </c>
      <c r="E761" s="2" t="s">
        <v>4271</v>
      </c>
      <c r="F761" s="2" t="s">
        <v>4323</v>
      </c>
      <c r="G761" s="2" t="s">
        <v>6039</v>
      </c>
      <c r="H761" s="2" t="s">
        <v>2284</v>
      </c>
      <c r="I761" s="2" t="s">
        <v>5920</v>
      </c>
      <c r="J761" s="2" t="s">
        <v>5933</v>
      </c>
      <c r="K761" s="3" t="b">
        <f>J761 = "blocking"</f>
        <v>1</v>
      </c>
      <c r="L761" s="2" t="s">
        <v>1428</v>
      </c>
      <c r="M761" s="2" t="s">
        <v>6040</v>
      </c>
      <c r="N761" s="4">
        <v>46223.1297337963</v>
      </c>
      <c r="O761" s="3" t="b">
        <f>L761 = "PASS"</f>
        <v>1</v>
      </c>
      <c r="P761" s="3" t="b">
        <f>L761 = "FAIL"</f>
        <v>0</v>
      </c>
      <c r="Q761" s="3" t="b">
        <f>AND(P761, K761)</f>
        <v>0</v>
      </c>
      <c r="R761" s="3" t="str">
        <f>IF(O761, I761, "")</f>
        <v>suite-substrate</v>
      </c>
      <c r="S761" s="3" t="str">
        <f>IF(Q761, I761, "")</f>
      </c>
      <c r="T761" s="2" t="s">
        <v>5935</v>
      </c>
    </row>
    <row r="762">
      <c r="A762" s="2" t="s">
        <v>6731</v>
      </c>
      <c r="B762" s="3" t="str">
        <f>C762 &amp; ": " &amp; D762</f>
        <v>formula-translates: VerificationOutcomes.IndependentObservationExecutionKey</v>
      </c>
      <c r="C762" s="2" t="s">
        <v>6038</v>
      </c>
      <c r="D762" s="2" t="s">
        <v>4325</v>
      </c>
      <c r="E762" s="2" t="s">
        <v>4271</v>
      </c>
      <c r="F762" s="2" t="s">
        <v>4326</v>
      </c>
      <c r="G762" s="2" t="s">
        <v>6039</v>
      </c>
      <c r="H762" s="2" t="s">
        <v>2284</v>
      </c>
      <c r="I762" s="2" t="s">
        <v>5920</v>
      </c>
      <c r="J762" s="2" t="s">
        <v>5933</v>
      </c>
      <c r="K762" s="3" t="b">
        <f>J762 = "blocking"</f>
        <v>1</v>
      </c>
      <c r="L762" s="2" t="s">
        <v>1428</v>
      </c>
      <c r="M762" s="2" t="s">
        <v>6040</v>
      </c>
      <c r="N762" s="4">
        <v>46223.1297337963</v>
      </c>
      <c r="O762" s="3" t="b">
        <f>L762 = "PASS"</f>
        <v>1</v>
      </c>
      <c r="P762" s="3" t="b">
        <f>L762 = "FAIL"</f>
        <v>0</v>
      </c>
      <c r="Q762" s="3" t="b">
        <f>AND(P762, K762)</f>
        <v>0</v>
      </c>
      <c r="R762" s="3" t="str">
        <f>IF(O762, I762, "")</f>
        <v>suite-substrate</v>
      </c>
      <c r="S762" s="3" t="str">
        <f>IF(Q762, I762, "")</f>
      </c>
      <c r="T762" s="2" t="s">
        <v>5935</v>
      </c>
    </row>
    <row r="763">
      <c r="A763" s="2" t="s">
        <v>6732</v>
      </c>
      <c r="B763" s="3" t="str">
        <f>C763 &amp; ": " &amp; D763</f>
        <v>formula-translates: VerificationOutcomes.ParentProcedureExecutionOfOutcome</v>
      </c>
      <c r="C763" s="2" t="s">
        <v>6038</v>
      </c>
      <c r="D763" s="2" t="s">
        <v>4328</v>
      </c>
      <c r="E763" s="2" t="s">
        <v>4271</v>
      </c>
      <c r="F763" s="2" t="s">
        <v>4329</v>
      </c>
      <c r="G763" s="2" t="s">
        <v>6039</v>
      </c>
      <c r="H763" s="2" t="s">
        <v>2284</v>
      </c>
      <c r="I763" s="2" t="s">
        <v>5920</v>
      </c>
      <c r="J763" s="2" t="s">
        <v>5933</v>
      </c>
      <c r="K763" s="3" t="b">
        <f>J763 = "blocking"</f>
        <v>1</v>
      </c>
      <c r="L763" s="2" t="s">
        <v>1428</v>
      </c>
      <c r="M763" s="2" t="s">
        <v>6040</v>
      </c>
      <c r="N763" s="4">
        <v>46223.1297337963</v>
      </c>
      <c r="O763" s="3" t="b">
        <f>L763 = "PASS"</f>
        <v>1</v>
      </c>
      <c r="P763" s="3" t="b">
        <f>L763 = "FAIL"</f>
        <v>0</v>
      </c>
      <c r="Q763" s="3" t="b">
        <f>AND(P763, K763)</f>
        <v>0</v>
      </c>
      <c r="R763" s="3" t="str">
        <f>IF(O763, I763, "")</f>
        <v>suite-substrate</v>
      </c>
      <c r="S763" s="3" t="str">
        <f>IF(Q763, I763, "")</f>
      </c>
      <c r="T763" s="2" t="s">
        <v>5935</v>
      </c>
    </row>
    <row r="764">
      <c r="A764" s="2" t="s">
        <v>6733</v>
      </c>
      <c r="B764" s="3" t="str">
        <f>C764 &amp; ": " &amp; D764</f>
        <v>formula-translates: ObservedTransitions.Name</v>
      </c>
      <c r="C764" s="2" t="s">
        <v>6038</v>
      </c>
      <c r="D764" s="2" t="s">
        <v>4334</v>
      </c>
      <c r="E764" s="2" t="s">
        <v>4332</v>
      </c>
      <c r="F764" s="2" t="s">
        <v>1</v>
      </c>
      <c r="G764" s="2" t="s">
        <v>6039</v>
      </c>
      <c r="H764" s="2"/>
      <c r="I764" s="2" t="s">
        <v>5920</v>
      </c>
      <c r="J764" s="2" t="s">
        <v>5933</v>
      </c>
      <c r="K764" s="3" t="b">
        <f>J764 = "blocking"</f>
        <v>1</v>
      </c>
      <c r="L764" s="2" t="s">
        <v>1428</v>
      </c>
      <c r="M764" s="2" t="s">
        <v>6040</v>
      </c>
      <c r="N764" s="4">
        <v>46223.1297337963</v>
      </c>
      <c r="O764" s="3" t="b">
        <f>L764 = "PASS"</f>
        <v>1</v>
      </c>
      <c r="P764" s="3" t="b">
        <f>L764 = "FAIL"</f>
        <v>0</v>
      </c>
      <c r="Q764" s="3" t="b">
        <f>AND(P764, K764)</f>
        <v>0</v>
      </c>
      <c r="R764" s="3" t="str">
        <f>IF(O764, I764, "")</f>
        <v>suite-substrate</v>
      </c>
      <c r="S764" s="3" t="str">
        <f>IF(Q764, I764, "")</f>
      </c>
      <c r="T764" s="2" t="s">
        <v>5935</v>
      </c>
    </row>
    <row r="765">
      <c r="A765" s="2" t="s">
        <v>6734</v>
      </c>
      <c r="B765" s="3" t="str">
        <f>C765 &amp; ": " &amp; D765</f>
        <v>formula-translates: Recipients.Name</v>
      </c>
      <c r="C765" s="2" t="s">
        <v>6038</v>
      </c>
      <c r="D765" s="2" t="s">
        <v>4348</v>
      </c>
      <c r="E765" s="2" t="s">
        <v>4346</v>
      </c>
      <c r="F765" s="2" t="s">
        <v>1</v>
      </c>
      <c r="G765" s="2" t="s">
        <v>6039</v>
      </c>
      <c r="H765" s="2"/>
      <c r="I765" s="2" t="s">
        <v>5920</v>
      </c>
      <c r="J765" s="2" t="s">
        <v>5933</v>
      </c>
      <c r="K765" s="3" t="b">
        <f>J765 = "blocking"</f>
        <v>1</v>
      </c>
      <c r="L765" s="2" t="s">
        <v>1428</v>
      </c>
      <c r="M765" s="2" t="s">
        <v>6040</v>
      </c>
      <c r="N765" s="4">
        <v>46223.1297337963</v>
      </c>
      <c r="O765" s="3" t="b">
        <f>L765 = "PASS"</f>
        <v>1</v>
      </c>
      <c r="P765" s="3" t="b">
        <f>L765 = "FAIL"</f>
        <v>0</v>
      </c>
      <c r="Q765" s="3" t="b">
        <f>AND(P765, K765)</f>
        <v>0</v>
      </c>
      <c r="R765" s="3" t="str">
        <f>IF(O765, I765, "")</f>
        <v>suite-substrate</v>
      </c>
      <c r="S765" s="3" t="str">
        <f>IF(Q765, I765, "")</f>
      </c>
      <c r="T765" s="2" t="s">
        <v>5935</v>
      </c>
    </row>
    <row r="766">
      <c r="A766" s="2" t="s">
        <v>6735</v>
      </c>
      <c r="B766" s="3" t="str">
        <f>C766 &amp; ": " &amp; D766</f>
        <v>formula-translates: Recipients.HasSmsConsent</v>
      </c>
      <c r="C766" s="2" t="s">
        <v>6038</v>
      </c>
      <c r="D766" s="2" t="s">
        <v>4361</v>
      </c>
      <c r="E766" s="2" t="s">
        <v>4346</v>
      </c>
      <c r="F766" s="2" t="s">
        <v>4362</v>
      </c>
      <c r="G766" s="2" t="s">
        <v>6039</v>
      </c>
      <c r="H766" s="2"/>
      <c r="I766" s="2" t="s">
        <v>5920</v>
      </c>
      <c r="J766" s="2" t="s">
        <v>5933</v>
      </c>
      <c r="K766" s="3" t="b">
        <f>J766 = "blocking"</f>
        <v>1</v>
      </c>
      <c r="L766" s="2" t="s">
        <v>1428</v>
      </c>
      <c r="M766" s="2" t="s">
        <v>6040</v>
      </c>
      <c r="N766" s="4">
        <v>46223.1297337963</v>
      </c>
      <c r="O766" s="3" t="b">
        <f>L766 = "PASS"</f>
        <v>1</v>
      </c>
      <c r="P766" s="3" t="b">
        <f>L766 = "FAIL"</f>
        <v>0</v>
      </c>
      <c r="Q766" s="3" t="b">
        <f>AND(P766, K766)</f>
        <v>0</v>
      </c>
      <c r="R766" s="3" t="str">
        <f>IF(O766, I766, "")</f>
        <v>suite-substrate</v>
      </c>
      <c r="S766" s="3" t="str">
        <f>IF(Q766, I766, "")</f>
      </c>
      <c r="T766" s="2" t="s">
        <v>5935</v>
      </c>
    </row>
    <row r="767">
      <c r="A767" s="2" t="s">
        <v>6736</v>
      </c>
      <c r="B767" s="3" t="str">
        <f>C767 &amp; ": " &amp; D767</f>
        <v>formula-translates: Recipients.IsEmailReachable</v>
      </c>
      <c r="C767" s="2" t="s">
        <v>6038</v>
      </c>
      <c r="D767" s="2" t="s">
        <v>4364</v>
      </c>
      <c r="E767" s="2" t="s">
        <v>4346</v>
      </c>
      <c r="F767" s="2" t="s">
        <v>4365</v>
      </c>
      <c r="G767" s="2" t="s">
        <v>6039</v>
      </c>
      <c r="H767" s="2"/>
      <c r="I767" s="2" t="s">
        <v>5920</v>
      </c>
      <c r="J767" s="2" t="s">
        <v>5933</v>
      </c>
      <c r="K767" s="3" t="b">
        <f>J767 = "blocking"</f>
        <v>1</v>
      </c>
      <c r="L767" s="2" t="s">
        <v>1428</v>
      </c>
      <c r="M767" s="2" t="s">
        <v>6040</v>
      </c>
      <c r="N767" s="4">
        <v>46223.1297337963</v>
      </c>
      <c r="O767" s="3" t="b">
        <f>L767 = "PASS"</f>
        <v>1</v>
      </c>
      <c r="P767" s="3" t="b">
        <f>L767 = "FAIL"</f>
        <v>0</v>
      </c>
      <c r="Q767" s="3" t="b">
        <f>AND(P767, K767)</f>
        <v>0</v>
      </c>
      <c r="R767" s="3" t="str">
        <f>IF(O767, I767, "")</f>
        <v>suite-substrate</v>
      </c>
      <c r="S767" s="3" t="str">
        <f>IF(Q767, I767, "")</f>
      </c>
      <c r="T767" s="2" t="s">
        <v>5935</v>
      </c>
    </row>
    <row r="768">
      <c r="A768" s="2" t="s">
        <v>6737</v>
      </c>
      <c r="B768" s="3" t="str">
        <f>C768 &amp; ": " &amp; D768</f>
        <v>formula-translates: Recipients.IsSmsReachable</v>
      </c>
      <c r="C768" s="2" t="s">
        <v>6038</v>
      </c>
      <c r="D768" s="2" t="s">
        <v>4367</v>
      </c>
      <c r="E768" s="2" t="s">
        <v>4346</v>
      </c>
      <c r="F768" s="2" t="s">
        <v>4368</v>
      </c>
      <c r="G768" s="2" t="s">
        <v>6039</v>
      </c>
      <c r="H768" s="2"/>
      <c r="I768" s="2" t="s">
        <v>5920</v>
      </c>
      <c r="J768" s="2" t="s">
        <v>5933</v>
      </c>
      <c r="K768" s="3" t="b">
        <f>J768 = "blocking"</f>
        <v>1</v>
      </c>
      <c r="L768" s="2" t="s">
        <v>1428</v>
      </c>
      <c r="M768" s="2" t="s">
        <v>6040</v>
      </c>
      <c r="N768" s="4">
        <v>46223.1297337963</v>
      </c>
      <c r="O768" s="3" t="b">
        <f>L768 = "PASS"</f>
        <v>1</v>
      </c>
      <c r="P768" s="3" t="b">
        <f>L768 = "FAIL"</f>
        <v>0</v>
      </c>
      <c r="Q768" s="3" t="b">
        <f>AND(P768, K768)</f>
        <v>0</v>
      </c>
      <c r="R768" s="3" t="str">
        <f>IF(O768, I768, "")</f>
        <v>suite-substrate</v>
      </c>
      <c r="S768" s="3" t="str">
        <f>IF(Q768, I768, "")</f>
      </c>
      <c r="T768" s="2" t="s">
        <v>5935</v>
      </c>
    </row>
    <row r="769">
      <c r="A769" s="2" t="s">
        <v>6738</v>
      </c>
      <c r="B769" s="3" t="str">
        <f>C769 &amp; ": " &amp; D769</f>
        <v>formula-translates: Recipients.IsUnreachable</v>
      </c>
      <c r="C769" s="2" t="s">
        <v>6038</v>
      </c>
      <c r="D769" s="2" t="s">
        <v>4370</v>
      </c>
      <c r="E769" s="2" t="s">
        <v>4346</v>
      </c>
      <c r="F769" s="2" t="s">
        <v>4371</v>
      </c>
      <c r="G769" s="2" t="s">
        <v>6039</v>
      </c>
      <c r="H769" s="2"/>
      <c r="I769" s="2" t="s">
        <v>5920</v>
      </c>
      <c r="J769" s="2" t="s">
        <v>5933</v>
      </c>
      <c r="K769" s="3" t="b">
        <f>J769 = "blocking"</f>
        <v>1</v>
      </c>
      <c r="L769" s="2" t="s">
        <v>1428</v>
      </c>
      <c r="M769" s="2" t="s">
        <v>6040</v>
      </c>
      <c r="N769" s="4">
        <v>46223.1297337963</v>
      </c>
      <c r="O769" s="3" t="b">
        <f>L769 = "PASS"</f>
        <v>1</v>
      </c>
      <c r="P769" s="3" t="b">
        <f>L769 = "FAIL"</f>
        <v>0</v>
      </c>
      <c r="Q769" s="3" t="b">
        <f>AND(P769, K769)</f>
        <v>0</v>
      </c>
      <c r="R769" s="3" t="str">
        <f>IF(O769, I769, "")</f>
        <v>suite-substrate</v>
      </c>
      <c r="S769" s="3" t="str">
        <f>IF(Q769, I769, "")</f>
      </c>
      <c r="T769" s="2" t="s">
        <v>5935</v>
      </c>
    </row>
    <row r="770">
      <c r="A770" s="2" t="s">
        <v>6739</v>
      </c>
      <c r="B770" s="3" t="str">
        <f>C770 &amp; ": " &amp; D770</f>
        <v>formula-translates: Recipients.IsCommunicationallyStranded</v>
      </c>
      <c r="C770" s="2" t="s">
        <v>6038</v>
      </c>
      <c r="D770" s="2" t="s">
        <v>4373</v>
      </c>
      <c r="E770" s="2" t="s">
        <v>4346</v>
      </c>
      <c r="F770" s="2" t="s">
        <v>4374</v>
      </c>
      <c r="G770" s="2" t="s">
        <v>6039</v>
      </c>
      <c r="H770" s="2" t="s">
        <v>2312</v>
      </c>
      <c r="I770" s="2" t="s">
        <v>5920</v>
      </c>
      <c r="J770" s="2" t="s">
        <v>5933</v>
      </c>
      <c r="K770" s="3" t="b">
        <f>J770 = "blocking"</f>
        <v>1</v>
      </c>
      <c r="L770" s="2" t="s">
        <v>1428</v>
      </c>
      <c r="M770" s="2" t="s">
        <v>6040</v>
      </c>
      <c r="N770" s="4">
        <v>46223.1297337963</v>
      </c>
      <c r="O770" s="3" t="b">
        <f>L770 = "PASS"</f>
        <v>1</v>
      </c>
      <c r="P770" s="3" t="b">
        <f>L770 = "FAIL"</f>
        <v>0</v>
      </c>
      <c r="Q770" s="3" t="b">
        <f>AND(P770, K770)</f>
        <v>0</v>
      </c>
      <c r="R770" s="3" t="str">
        <f>IF(O770, I770, "")</f>
        <v>suite-substrate</v>
      </c>
      <c r="S770" s="3" t="str">
        <f>IF(Q770, I770, "")</f>
      </c>
      <c r="T770" s="2" t="s">
        <v>5935</v>
      </c>
    </row>
    <row r="771">
      <c r="A771" s="2" t="s">
        <v>6740</v>
      </c>
      <c r="B771" s="3" t="str">
        <f>C771 &amp; ": " &amp; D771</f>
        <v>formula-translates: MessageDeliveries.Name</v>
      </c>
      <c r="C771" s="2" t="s">
        <v>6038</v>
      </c>
      <c r="D771" s="2" t="s">
        <v>4380</v>
      </c>
      <c r="E771" s="2" t="s">
        <v>4378</v>
      </c>
      <c r="F771" s="2" t="s">
        <v>1</v>
      </c>
      <c r="G771" s="2" t="s">
        <v>6039</v>
      </c>
      <c r="H771" s="2"/>
      <c r="I771" s="2" t="s">
        <v>5920</v>
      </c>
      <c r="J771" s="2" t="s">
        <v>5933</v>
      </c>
      <c r="K771" s="3" t="b">
        <f>J771 = "blocking"</f>
        <v>1</v>
      </c>
      <c r="L771" s="2" t="s">
        <v>1428</v>
      </c>
      <c r="M771" s="2" t="s">
        <v>6040</v>
      </c>
      <c r="N771" s="4">
        <v>46223.1297337963</v>
      </c>
      <c r="O771" s="3" t="b">
        <f>L771 = "PASS"</f>
        <v>1</v>
      </c>
      <c r="P771" s="3" t="b">
        <f>L771 = "FAIL"</f>
        <v>0</v>
      </c>
      <c r="Q771" s="3" t="b">
        <f>AND(P771, K771)</f>
        <v>0</v>
      </c>
      <c r="R771" s="3" t="str">
        <f>IF(O771, I771, "")</f>
        <v>suite-substrate</v>
      </c>
      <c r="S771" s="3" t="str">
        <f>IF(Q771, I771, "")</f>
      </c>
      <c r="T771" s="2" t="s">
        <v>5935</v>
      </c>
    </row>
    <row r="772">
      <c r="A772" s="2" t="s">
        <v>6741</v>
      </c>
      <c r="B772" s="3" t="str">
        <f>C772 &amp; ": " &amp; D772</f>
        <v>formula-translates: MessageDeliveries.PolicyChannel</v>
      </c>
      <c r="C772" s="2" t="s">
        <v>6038</v>
      </c>
      <c r="D772" s="2" t="s">
        <v>4404</v>
      </c>
      <c r="E772" s="2" t="s">
        <v>4378</v>
      </c>
      <c r="F772" s="2" t="s">
        <v>4405</v>
      </c>
      <c r="G772" s="2" t="s">
        <v>6039</v>
      </c>
      <c r="H772" s="2" t="s">
        <v>2036</v>
      </c>
      <c r="I772" s="2" t="s">
        <v>5920</v>
      </c>
      <c r="J772" s="2" t="s">
        <v>5933</v>
      </c>
      <c r="K772" s="3" t="b">
        <f>J772 = "blocking"</f>
        <v>1</v>
      </c>
      <c r="L772" s="2" t="s">
        <v>1428</v>
      </c>
      <c r="M772" s="2" t="s">
        <v>6040</v>
      </c>
      <c r="N772" s="4">
        <v>46223.1297337963</v>
      </c>
      <c r="O772" s="3" t="b">
        <f>L772 = "PASS"</f>
        <v>1</v>
      </c>
      <c r="P772" s="3" t="b">
        <f>L772 = "FAIL"</f>
        <v>0</v>
      </c>
      <c r="Q772" s="3" t="b">
        <f>AND(P772, K772)</f>
        <v>0</v>
      </c>
      <c r="R772" s="3" t="str">
        <f>IF(O772, I772, "")</f>
        <v>suite-substrate</v>
      </c>
      <c r="S772" s="3" t="str">
        <f>IF(Q772, I772, "")</f>
      </c>
      <c r="T772" s="2" t="s">
        <v>5935</v>
      </c>
    </row>
    <row r="773">
      <c r="A773" s="2" t="s">
        <v>6742</v>
      </c>
      <c r="B773" s="3" t="str">
        <f>C773 &amp; ": " &amp; D773</f>
        <v>formula-translates: MessageDeliveries.ChannelName</v>
      </c>
      <c r="C773" s="2" t="s">
        <v>6038</v>
      </c>
      <c r="D773" s="2" t="s">
        <v>4407</v>
      </c>
      <c r="E773" s="2" t="s">
        <v>4378</v>
      </c>
      <c r="F773" s="2" t="s">
        <v>4408</v>
      </c>
      <c r="G773" s="2" t="s">
        <v>6039</v>
      </c>
      <c r="H773" s="2" t="s">
        <v>2036</v>
      </c>
      <c r="I773" s="2" t="s">
        <v>5920</v>
      </c>
      <c r="J773" s="2" t="s">
        <v>5933</v>
      </c>
      <c r="K773" s="3" t="b">
        <f>J773 = "blocking"</f>
        <v>1</v>
      </c>
      <c r="L773" s="2" t="s">
        <v>1428</v>
      </c>
      <c r="M773" s="2" t="s">
        <v>6040</v>
      </c>
      <c r="N773" s="4">
        <v>46223.1297337963</v>
      </c>
      <c r="O773" s="3" t="b">
        <f>L773 = "PASS"</f>
        <v>1</v>
      </c>
      <c r="P773" s="3" t="b">
        <f>L773 = "FAIL"</f>
        <v>0</v>
      </c>
      <c r="Q773" s="3" t="b">
        <f>AND(P773, K773)</f>
        <v>0</v>
      </c>
      <c r="R773" s="3" t="str">
        <f>IF(O773, I773, "")</f>
        <v>suite-substrate</v>
      </c>
      <c r="S773" s="3" t="str">
        <f>IF(Q773, I773, "")</f>
      </c>
      <c r="T773" s="2" t="s">
        <v>5935</v>
      </c>
    </row>
    <row r="774">
      <c r="A774" s="2" t="s">
        <v>6743</v>
      </c>
      <c r="B774" s="3" t="str">
        <f>C774 &amp; ": " &amp; D774</f>
        <v>formula-translates: MessageDeliveries.PolicyRequiresConsent</v>
      </c>
      <c r="C774" s="2" t="s">
        <v>6038</v>
      </c>
      <c r="D774" s="2" t="s">
        <v>4410</v>
      </c>
      <c r="E774" s="2" t="s">
        <v>4378</v>
      </c>
      <c r="F774" s="2" t="s">
        <v>4411</v>
      </c>
      <c r="G774" s="2" t="s">
        <v>6039</v>
      </c>
      <c r="H774" s="2" t="s">
        <v>2036</v>
      </c>
      <c r="I774" s="2" t="s">
        <v>5920</v>
      </c>
      <c r="J774" s="2" t="s">
        <v>5933</v>
      </c>
      <c r="K774" s="3" t="b">
        <f>J774 = "blocking"</f>
        <v>1</v>
      </c>
      <c r="L774" s="2" t="s">
        <v>1428</v>
      </c>
      <c r="M774" s="2" t="s">
        <v>6040</v>
      </c>
      <c r="N774" s="4">
        <v>46223.1297337963</v>
      </c>
      <c r="O774" s="3" t="b">
        <f>L774 = "PASS"</f>
        <v>1</v>
      </c>
      <c r="P774" s="3" t="b">
        <f>L774 = "FAIL"</f>
        <v>0</v>
      </c>
      <c r="Q774" s="3" t="b">
        <f>AND(P774, K774)</f>
        <v>0</v>
      </c>
      <c r="R774" s="3" t="str">
        <f>IF(O774, I774, "")</f>
        <v>suite-substrate</v>
      </c>
      <c r="S774" s="3" t="str">
        <f>IF(Q774, I774, "")</f>
      </c>
      <c r="T774" s="2" t="s">
        <v>5935</v>
      </c>
    </row>
    <row r="775">
      <c r="A775" s="2" t="s">
        <v>6744</v>
      </c>
      <c r="B775" s="3" t="str">
        <f>C775 &amp; ": " &amp; D775</f>
        <v>formula-translates: MessageDeliveries.RecipientHasSmsConsent</v>
      </c>
      <c r="C775" s="2" t="s">
        <v>6038</v>
      </c>
      <c r="D775" s="2" t="s">
        <v>4413</v>
      </c>
      <c r="E775" s="2" t="s">
        <v>4378</v>
      </c>
      <c r="F775" s="2" t="s">
        <v>4414</v>
      </c>
      <c r="G775" s="2" t="s">
        <v>6039</v>
      </c>
      <c r="H775" s="2" t="s">
        <v>2036</v>
      </c>
      <c r="I775" s="2" t="s">
        <v>5920</v>
      </c>
      <c r="J775" s="2" t="s">
        <v>5933</v>
      </c>
      <c r="K775" s="3" t="b">
        <f>J775 = "blocking"</f>
        <v>1</v>
      </c>
      <c r="L775" s="2" t="s">
        <v>1428</v>
      </c>
      <c r="M775" s="2" t="s">
        <v>6040</v>
      </c>
      <c r="N775" s="4">
        <v>46223.1297337963</v>
      </c>
      <c r="O775" s="3" t="b">
        <f>L775 = "PASS"</f>
        <v>1</v>
      </c>
      <c r="P775" s="3" t="b">
        <f>L775 = "FAIL"</f>
        <v>0</v>
      </c>
      <c r="Q775" s="3" t="b">
        <f>AND(P775, K775)</f>
        <v>0</v>
      </c>
      <c r="R775" s="3" t="str">
        <f>IF(O775, I775, "")</f>
        <v>suite-substrate</v>
      </c>
      <c r="S775" s="3" t="str">
        <f>IF(Q775, I775, "")</f>
      </c>
      <c r="T775" s="2" t="s">
        <v>5935</v>
      </c>
    </row>
    <row r="776">
      <c r="A776" s="2" t="s">
        <v>6745</v>
      </c>
      <c r="B776" s="3" t="str">
        <f>C776 &amp; ": " &amp; D776</f>
        <v>formula-translates: MessageDeliveries.WasActuallyTransmitted</v>
      </c>
      <c r="C776" s="2" t="s">
        <v>6038</v>
      </c>
      <c r="D776" s="2" t="s">
        <v>4416</v>
      </c>
      <c r="E776" s="2" t="s">
        <v>4378</v>
      </c>
      <c r="F776" s="2" t="s">
        <v>4417</v>
      </c>
      <c r="G776" s="2" t="s">
        <v>6039</v>
      </c>
      <c r="H776" s="2" t="s">
        <v>2036</v>
      </c>
      <c r="I776" s="2" t="s">
        <v>5920</v>
      </c>
      <c r="J776" s="2" t="s">
        <v>5933</v>
      </c>
      <c r="K776" s="3" t="b">
        <f>J776 = "blocking"</f>
        <v>1</v>
      </c>
      <c r="L776" s="2" t="s">
        <v>1428</v>
      </c>
      <c r="M776" s="2" t="s">
        <v>6040</v>
      </c>
      <c r="N776" s="4">
        <v>46223.1297337963</v>
      </c>
      <c r="O776" s="3" t="b">
        <f>L776 = "PASS"</f>
        <v>1</v>
      </c>
      <c r="P776" s="3" t="b">
        <f>L776 = "FAIL"</f>
        <v>0</v>
      </c>
      <c r="Q776" s="3" t="b">
        <f>AND(P776, K776)</f>
        <v>0</v>
      </c>
      <c r="R776" s="3" t="str">
        <f>IF(O776, I776, "")</f>
        <v>suite-substrate</v>
      </c>
      <c r="S776" s="3" t="str">
        <f>IF(Q776, I776, "")</f>
      </c>
      <c r="T776" s="2" t="s">
        <v>5935</v>
      </c>
    </row>
    <row r="777">
      <c r="A777" s="2" t="s">
        <v>6746</v>
      </c>
      <c r="B777" s="3" t="str">
        <f>C777 &amp; ": " &amp; D777</f>
        <v>formula-translates: MessageDeliveries.IsConsentViolation</v>
      </c>
      <c r="C777" s="2" t="s">
        <v>6038</v>
      </c>
      <c r="D777" s="2" t="s">
        <v>4419</v>
      </c>
      <c r="E777" s="2" t="s">
        <v>4378</v>
      </c>
      <c r="F777" s="2" t="s">
        <v>4420</v>
      </c>
      <c r="G777" s="2" t="s">
        <v>6039</v>
      </c>
      <c r="H777" s="2" t="s">
        <v>2036</v>
      </c>
      <c r="I777" s="2" t="s">
        <v>5920</v>
      </c>
      <c r="J777" s="2" t="s">
        <v>5933</v>
      </c>
      <c r="K777" s="3" t="b">
        <f>J777 = "blocking"</f>
        <v>1</v>
      </c>
      <c r="L777" s="2" t="s">
        <v>1428</v>
      </c>
      <c r="M777" s="2" t="s">
        <v>6040</v>
      </c>
      <c r="N777" s="4">
        <v>46223.1297337963</v>
      </c>
      <c r="O777" s="3" t="b">
        <f>L777 = "PASS"</f>
        <v>1</v>
      </c>
      <c r="P777" s="3" t="b">
        <f>L777 = "FAIL"</f>
        <v>0</v>
      </c>
      <c r="Q777" s="3" t="b">
        <f>AND(P777, K777)</f>
        <v>0</v>
      </c>
      <c r="R777" s="3" t="str">
        <f>IF(O777, I777, "")</f>
        <v>suite-substrate</v>
      </c>
      <c r="S777" s="3" t="str">
        <f>IF(Q777, I777, "")</f>
      </c>
      <c r="T777" s="2" t="s">
        <v>5935</v>
      </c>
    </row>
    <row r="778">
      <c r="A778" s="2" t="s">
        <v>6747</v>
      </c>
      <c r="B778" s="3" t="str">
        <f>C778 &amp; ": " &amp; D778</f>
        <v>formula-translates: MessageDeliveries.ConsentViolationPolicyKey</v>
      </c>
      <c r="C778" s="2" t="s">
        <v>6038</v>
      </c>
      <c r="D778" s="2" t="s">
        <v>4422</v>
      </c>
      <c r="E778" s="2" t="s">
        <v>4378</v>
      </c>
      <c r="F778" s="2" t="s">
        <v>4423</v>
      </c>
      <c r="G778" s="2" t="s">
        <v>6039</v>
      </c>
      <c r="H778" s="2" t="s">
        <v>2036</v>
      </c>
      <c r="I778" s="2" t="s">
        <v>5920</v>
      </c>
      <c r="J778" s="2" t="s">
        <v>5933</v>
      </c>
      <c r="K778" s="3" t="b">
        <f>J778 = "blocking"</f>
        <v>1</v>
      </c>
      <c r="L778" s="2" t="s">
        <v>1428</v>
      </c>
      <c r="M778" s="2" t="s">
        <v>6040</v>
      </c>
      <c r="N778" s="4">
        <v>46223.1297337963</v>
      </c>
      <c r="O778" s="3" t="b">
        <f>L778 = "PASS"</f>
        <v>1</v>
      </c>
      <c r="P778" s="3" t="b">
        <f>L778 = "FAIL"</f>
        <v>0</v>
      </c>
      <c r="Q778" s="3" t="b">
        <f>AND(P778, K778)</f>
        <v>0</v>
      </c>
      <c r="R778" s="3" t="str">
        <f>IF(O778, I778, "")</f>
        <v>suite-substrate</v>
      </c>
      <c r="S778" s="3" t="str">
        <f>IF(Q778, I778, "")</f>
      </c>
      <c r="T778" s="2" t="s">
        <v>5935</v>
      </c>
    </row>
    <row r="779">
      <c r="A779" s="2" t="s">
        <v>6748</v>
      </c>
      <c r="B779" s="3" t="str">
        <f>C779 &amp; ": " &amp; D779</f>
        <v>formula-translates: MessageDeliveries.PolicyQuietHoursStartHour</v>
      </c>
      <c r="C779" s="2" t="s">
        <v>6038</v>
      </c>
      <c r="D779" s="2" t="s">
        <v>4425</v>
      </c>
      <c r="E779" s="2" t="s">
        <v>4378</v>
      </c>
      <c r="F779" s="2" t="s">
        <v>4426</v>
      </c>
      <c r="G779" s="2" t="s">
        <v>6039</v>
      </c>
      <c r="H779" s="2" t="s">
        <v>2040</v>
      </c>
      <c r="I779" s="2" t="s">
        <v>5920</v>
      </c>
      <c r="J779" s="2" t="s">
        <v>5933</v>
      </c>
      <c r="K779" s="3" t="b">
        <f>J779 = "blocking"</f>
        <v>1</v>
      </c>
      <c r="L779" s="2" t="s">
        <v>1428</v>
      </c>
      <c r="M779" s="2" t="s">
        <v>6040</v>
      </c>
      <c r="N779" s="4">
        <v>46223.1297337963</v>
      </c>
      <c r="O779" s="3" t="b">
        <f>L779 = "PASS"</f>
        <v>1</v>
      </c>
      <c r="P779" s="3" t="b">
        <f>L779 = "FAIL"</f>
        <v>0</v>
      </c>
      <c r="Q779" s="3" t="b">
        <f>AND(P779, K779)</f>
        <v>0</v>
      </c>
      <c r="R779" s="3" t="str">
        <f>IF(O779, I779, "")</f>
        <v>suite-substrate</v>
      </c>
      <c r="S779" s="3" t="str">
        <f>IF(Q779, I779, "")</f>
      </c>
      <c r="T779" s="2" t="s">
        <v>5935</v>
      </c>
    </row>
    <row r="780">
      <c r="A780" s="2" t="s">
        <v>6749</v>
      </c>
      <c r="B780" s="3" t="str">
        <f>C780 &amp; ": " &amp; D780</f>
        <v>formula-translates: MessageDeliveries.PolicyQuietHoursEndHour</v>
      </c>
      <c r="C780" s="2" t="s">
        <v>6038</v>
      </c>
      <c r="D780" s="2" t="s">
        <v>4428</v>
      </c>
      <c r="E780" s="2" t="s">
        <v>4378</v>
      </c>
      <c r="F780" s="2" t="s">
        <v>4429</v>
      </c>
      <c r="G780" s="2" t="s">
        <v>6039</v>
      </c>
      <c r="H780" s="2" t="s">
        <v>2040</v>
      </c>
      <c r="I780" s="2" t="s">
        <v>5920</v>
      </c>
      <c r="J780" s="2" t="s">
        <v>5933</v>
      </c>
      <c r="K780" s="3" t="b">
        <f>J780 = "blocking"</f>
        <v>1</v>
      </c>
      <c r="L780" s="2" t="s">
        <v>1428</v>
      </c>
      <c r="M780" s="2" t="s">
        <v>6040</v>
      </c>
      <c r="N780" s="4">
        <v>46223.1297337963</v>
      </c>
      <c r="O780" s="3" t="b">
        <f>L780 = "PASS"</f>
        <v>1</v>
      </c>
      <c r="P780" s="3" t="b">
        <f>L780 = "FAIL"</f>
        <v>0</v>
      </c>
      <c r="Q780" s="3" t="b">
        <f>AND(P780, K780)</f>
        <v>0</v>
      </c>
      <c r="R780" s="3" t="str">
        <f>IF(O780, I780, "")</f>
        <v>suite-substrate</v>
      </c>
      <c r="S780" s="3" t="str">
        <f>IF(Q780, I780, "")</f>
      </c>
      <c r="T780" s="2" t="s">
        <v>5935</v>
      </c>
    </row>
    <row r="781">
      <c r="A781" s="2" t="s">
        <v>6750</v>
      </c>
      <c r="B781" s="3" t="str">
        <f>C781 &amp; ": " &amp; D781</f>
        <v>formula-translates: MessageDeliveries.PolicyHasQuietHours</v>
      </c>
      <c r="C781" s="2" t="s">
        <v>6038</v>
      </c>
      <c r="D781" s="2" t="s">
        <v>4431</v>
      </c>
      <c r="E781" s="2" t="s">
        <v>4378</v>
      </c>
      <c r="F781" s="2" t="s">
        <v>4432</v>
      </c>
      <c r="G781" s="2" t="s">
        <v>6039</v>
      </c>
      <c r="H781" s="2" t="s">
        <v>2040</v>
      </c>
      <c r="I781" s="2" t="s">
        <v>5920</v>
      </c>
      <c r="J781" s="2" t="s">
        <v>5933</v>
      </c>
      <c r="K781" s="3" t="b">
        <f>J781 = "blocking"</f>
        <v>1</v>
      </c>
      <c r="L781" s="2" t="s">
        <v>1428</v>
      </c>
      <c r="M781" s="2" t="s">
        <v>6040</v>
      </c>
      <c r="N781" s="4">
        <v>46223.1297337963</v>
      </c>
      <c r="O781" s="3" t="b">
        <f>L781 = "PASS"</f>
        <v>1</v>
      </c>
      <c r="P781" s="3" t="b">
        <f>L781 = "FAIL"</f>
        <v>0</v>
      </c>
      <c r="Q781" s="3" t="b">
        <f>AND(P781, K781)</f>
        <v>0</v>
      </c>
      <c r="R781" s="3" t="str">
        <f>IF(O781, I781, "")</f>
        <v>suite-substrate</v>
      </c>
      <c r="S781" s="3" t="str">
        <f>IF(Q781, I781, "")</f>
      </c>
      <c r="T781" s="2" t="s">
        <v>5935</v>
      </c>
    </row>
    <row r="782">
      <c r="A782" s="2" t="s">
        <v>6751</v>
      </c>
      <c r="B782" s="3" t="str">
        <f>C782 &amp; ": " &amp; D782</f>
        <v>formula-translates: MessageDeliveries.QuietWindowWrapsMidnight</v>
      </c>
      <c r="C782" s="2" t="s">
        <v>6038</v>
      </c>
      <c r="D782" s="2" t="s">
        <v>4434</v>
      </c>
      <c r="E782" s="2" t="s">
        <v>4378</v>
      </c>
      <c r="F782" s="2" t="s">
        <v>4435</v>
      </c>
      <c r="G782" s="2" t="s">
        <v>6039</v>
      </c>
      <c r="H782" s="2" t="s">
        <v>2040</v>
      </c>
      <c r="I782" s="2" t="s">
        <v>5920</v>
      </c>
      <c r="J782" s="2" t="s">
        <v>5933</v>
      </c>
      <c r="K782" s="3" t="b">
        <f>J782 = "blocking"</f>
        <v>1</v>
      </c>
      <c r="L782" s="2" t="s">
        <v>1428</v>
      </c>
      <c r="M782" s="2" t="s">
        <v>6040</v>
      </c>
      <c r="N782" s="4">
        <v>46223.1297337963</v>
      </c>
      <c r="O782" s="3" t="b">
        <f>L782 = "PASS"</f>
        <v>1</v>
      </c>
      <c r="P782" s="3" t="b">
        <f>L782 = "FAIL"</f>
        <v>0</v>
      </c>
      <c r="Q782" s="3" t="b">
        <f>AND(P782, K782)</f>
        <v>0</v>
      </c>
      <c r="R782" s="3" t="str">
        <f>IF(O782, I782, "")</f>
        <v>suite-substrate</v>
      </c>
      <c r="S782" s="3" t="str">
        <f>IF(Q782, I782, "")</f>
      </c>
      <c r="T782" s="2" t="s">
        <v>5935</v>
      </c>
    </row>
    <row r="783">
      <c r="A783" s="2" t="s">
        <v>6752</v>
      </c>
      <c r="B783" s="3" t="str">
        <f>C783 &amp; ": " &amp; D783</f>
        <v>formula-translates: MessageDeliveries.IsInsideQuietWindow</v>
      </c>
      <c r="C783" s="2" t="s">
        <v>6038</v>
      </c>
      <c r="D783" s="2" t="s">
        <v>4437</v>
      </c>
      <c r="E783" s="2" t="s">
        <v>4378</v>
      </c>
      <c r="F783" s="2" t="s">
        <v>4438</v>
      </c>
      <c r="G783" s="2" t="s">
        <v>6039</v>
      </c>
      <c r="H783" s="2" t="s">
        <v>2040</v>
      </c>
      <c r="I783" s="2" t="s">
        <v>5920</v>
      </c>
      <c r="J783" s="2" t="s">
        <v>5933</v>
      </c>
      <c r="K783" s="3" t="b">
        <f>J783 = "blocking"</f>
        <v>1</v>
      </c>
      <c r="L783" s="2" t="s">
        <v>1428</v>
      </c>
      <c r="M783" s="2" t="s">
        <v>6040</v>
      </c>
      <c r="N783" s="4">
        <v>46223.1297337963</v>
      </c>
      <c r="O783" s="3" t="b">
        <f>L783 = "PASS"</f>
        <v>1</v>
      </c>
      <c r="P783" s="3" t="b">
        <f>L783 = "FAIL"</f>
        <v>0</v>
      </c>
      <c r="Q783" s="3" t="b">
        <f>AND(P783, K783)</f>
        <v>0</v>
      </c>
      <c r="R783" s="3" t="str">
        <f>IF(O783, I783, "")</f>
        <v>suite-substrate</v>
      </c>
      <c r="S783" s="3" t="str">
        <f>IF(Q783, I783, "")</f>
      </c>
      <c r="T783" s="2" t="s">
        <v>5935</v>
      </c>
    </row>
    <row r="784">
      <c r="A784" s="2" t="s">
        <v>6753</v>
      </c>
      <c r="B784" s="3" t="str">
        <f>C784 &amp; ": " &amp; D784</f>
        <v>formula-translates: MessageDeliveries.IsQuietHoursViolation</v>
      </c>
      <c r="C784" s="2" t="s">
        <v>6038</v>
      </c>
      <c r="D784" s="2" t="s">
        <v>4440</v>
      </c>
      <c r="E784" s="2" t="s">
        <v>4378</v>
      </c>
      <c r="F784" s="2" t="s">
        <v>4441</v>
      </c>
      <c r="G784" s="2" t="s">
        <v>6039</v>
      </c>
      <c r="H784" s="2" t="s">
        <v>2040</v>
      </c>
      <c r="I784" s="2" t="s">
        <v>5920</v>
      </c>
      <c r="J784" s="2" t="s">
        <v>5933</v>
      </c>
      <c r="K784" s="3" t="b">
        <f>J784 = "blocking"</f>
        <v>1</v>
      </c>
      <c r="L784" s="2" t="s">
        <v>1428</v>
      </c>
      <c r="M784" s="2" t="s">
        <v>6040</v>
      </c>
      <c r="N784" s="4">
        <v>46223.1297337963</v>
      </c>
      <c r="O784" s="3" t="b">
        <f>L784 = "PASS"</f>
        <v>1</v>
      </c>
      <c r="P784" s="3" t="b">
        <f>L784 = "FAIL"</f>
        <v>0</v>
      </c>
      <c r="Q784" s="3" t="b">
        <f>AND(P784, K784)</f>
        <v>0</v>
      </c>
      <c r="R784" s="3" t="str">
        <f>IF(O784, I784, "")</f>
        <v>suite-substrate</v>
      </c>
      <c r="S784" s="3" t="str">
        <f>IF(Q784, I784, "")</f>
      </c>
      <c r="T784" s="2" t="s">
        <v>5935</v>
      </c>
    </row>
    <row r="785">
      <c r="A785" s="2" t="s">
        <v>6754</v>
      </c>
      <c r="B785" s="3" t="str">
        <f>C785 &amp; ": " &amp; D785</f>
        <v>formula-translates: MessageDeliveries.QuietHoursViolationPolicyKey</v>
      </c>
      <c r="C785" s="2" t="s">
        <v>6038</v>
      </c>
      <c r="D785" s="2" t="s">
        <v>4443</v>
      </c>
      <c r="E785" s="2" t="s">
        <v>4378</v>
      </c>
      <c r="F785" s="2" t="s">
        <v>4444</v>
      </c>
      <c r="G785" s="2" t="s">
        <v>6039</v>
      </c>
      <c r="H785" s="2" t="s">
        <v>2040</v>
      </c>
      <c r="I785" s="2" t="s">
        <v>5920</v>
      </c>
      <c r="J785" s="2" t="s">
        <v>5933</v>
      </c>
      <c r="K785" s="3" t="b">
        <f>J785 = "blocking"</f>
        <v>1</v>
      </c>
      <c r="L785" s="2" t="s">
        <v>1428</v>
      </c>
      <c r="M785" s="2" t="s">
        <v>6040</v>
      </c>
      <c r="N785" s="4">
        <v>46223.1297337963</v>
      </c>
      <c r="O785" s="3" t="b">
        <f>L785 = "PASS"</f>
        <v>1</v>
      </c>
      <c r="P785" s="3" t="b">
        <f>L785 = "FAIL"</f>
        <v>0</v>
      </c>
      <c r="Q785" s="3" t="b">
        <f>AND(P785, K785)</f>
        <v>0</v>
      </c>
      <c r="R785" s="3" t="str">
        <f>IF(O785, I785, "")</f>
        <v>suite-substrate</v>
      </c>
      <c r="S785" s="3" t="str">
        <f>IF(Q785, I785, "")</f>
      </c>
      <c r="T785" s="2" t="s">
        <v>5935</v>
      </c>
    </row>
    <row r="786">
      <c r="A786" s="2" t="s">
        <v>6755</v>
      </c>
      <c r="B786" s="3" t="str">
        <f>C786 &amp; ": " &amp; D786</f>
        <v>formula-translates: MessageDeliveries.RecipientIsUnreachable</v>
      </c>
      <c r="C786" s="2" t="s">
        <v>6038</v>
      </c>
      <c r="D786" s="2" t="s">
        <v>4446</v>
      </c>
      <c r="E786" s="2" t="s">
        <v>4378</v>
      </c>
      <c r="F786" s="2" t="s">
        <v>4447</v>
      </c>
      <c r="G786" s="2" t="s">
        <v>6039</v>
      </c>
      <c r="H786" s="2" t="s">
        <v>2044</v>
      </c>
      <c r="I786" s="2" t="s">
        <v>5920</v>
      </c>
      <c r="J786" s="2" t="s">
        <v>5933</v>
      </c>
      <c r="K786" s="3" t="b">
        <f>J786 = "blocking"</f>
        <v>1</v>
      </c>
      <c r="L786" s="2" t="s">
        <v>1428</v>
      </c>
      <c r="M786" s="2" t="s">
        <v>6040</v>
      </c>
      <c r="N786" s="4">
        <v>46223.1297337963</v>
      </c>
      <c r="O786" s="3" t="b">
        <f>L786 = "PASS"</f>
        <v>1</v>
      </c>
      <c r="P786" s="3" t="b">
        <f>L786 = "FAIL"</f>
        <v>0</v>
      </c>
      <c r="Q786" s="3" t="b">
        <f>AND(P786, K786)</f>
        <v>0</v>
      </c>
      <c r="R786" s="3" t="str">
        <f>IF(O786, I786, "")</f>
        <v>suite-substrate</v>
      </c>
      <c r="S786" s="3" t="str">
        <f>IF(Q786, I786, "")</f>
      </c>
      <c r="T786" s="2" t="s">
        <v>5935</v>
      </c>
    </row>
    <row r="787">
      <c r="A787" s="2" t="s">
        <v>6756</v>
      </c>
      <c r="B787" s="3" t="str">
        <f>C787 &amp; ": " &amp; D787</f>
        <v>formula-translates: MessageDeliveries.IsAcknowledged</v>
      </c>
      <c r="C787" s="2" t="s">
        <v>6038</v>
      </c>
      <c r="D787" s="2" t="s">
        <v>4449</v>
      </c>
      <c r="E787" s="2" t="s">
        <v>4378</v>
      </c>
      <c r="F787" s="2" t="s">
        <v>4450</v>
      </c>
      <c r="G787" s="2" t="s">
        <v>6039</v>
      </c>
      <c r="H787" s="2" t="s">
        <v>2044</v>
      </c>
      <c r="I787" s="2" t="s">
        <v>5920</v>
      </c>
      <c r="J787" s="2" t="s">
        <v>5933</v>
      </c>
      <c r="K787" s="3" t="b">
        <f>J787 = "blocking"</f>
        <v>1</v>
      </c>
      <c r="L787" s="2" t="s">
        <v>1428</v>
      </c>
      <c r="M787" s="2" t="s">
        <v>6040</v>
      </c>
      <c r="N787" s="4">
        <v>46223.1297337963</v>
      </c>
      <c r="O787" s="3" t="b">
        <f>L787 = "PASS"</f>
        <v>1</v>
      </c>
      <c r="P787" s="3" t="b">
        <f>L787 = "FAIL"</f>
        <v>0</v>
      </c>
      <c r="Q787" s="3" t="b">
        <f>AND(P787, K787)</f>
        <v>0</v>
      </c>
      <c r="R787" s="3" t="str">
        <f>IF(O787, I787, "")</f>
        <v>suite-substrate</v>
      </c>
      <c r="S787" s="3" t="str">
        <f>IF(Q787, I787, "")</f>
      </c>
      <c r="T787" s="2" t="s">
        <v>5935</v>
      </c>
    </row>
    <row r="788">
      <c r="A788" s="2" t="s">
        <v>6757</v>
      </c>
      <c r="B788" s="3" t="str">
        <f>C788 &amp; ": " &amp; D788</f>
        <v>formula-translates: MessageDeliveries.InvokedExceptionCondition</v>
      </c>
      <c r="C788" s="2" t="s">
        <v>6038</v>
      </c>
      <c r="D788" s="2" t="s">
        <v>4452</v>
      </c>
      <c r="E788" s="2" t="s">
        <v>4378</v>
      </c>
      <c r="F788" s="2" t="s">
        <v>4453</v>
      </c>
      <c r="G788" s="2" t="s">
        <v>6039</v>
      </c>
      <c r="H788" s="2" t="s">
        <v>2044</v>
      </c>
      <c r="I788" s="2" t="s">
        <v>5920</v>
      </c>
      <c r="J788" s="2" t="s">
        <v>5933</v>
      </c>
      <c r="K788" s="3" t="b">
        <f>J788 = "blocking"</f>
        <v>1</v>
      </c>
      <c r="L788" s="2" t="s">
        <v>1428</v>
      </c>
      <c r="M788" s="2" t="s">
        <v>6040</v>
      </c>
      <c r="N788" s="4">
        <v>46223.1297337963</v>
      </c>
      <c r="O788" s="3" t="b">
        <f>L788 = "PASS"</f>
        <v>1</v>
      </c>
      <c r="P788" s="3" t="b">
        <f>L788 = "FAIL"</f>
        <v>0</v>
      </c>
      <c r="Q788" s="3" t="b">
        <f>AND(P788, K788)</f>
        <v>0</v>
      </c>
      <c r="R788" s="3" t="str">
        <f>IF(O788, I788, "")</f>
        <v>suite-substrate</v>
      </c>
      <c r="S788" s="3" t="str">
        <f>IF(Q788, I788, "")</f>
      </c>
      <c r="T788" s="2" t="s">
        <v>5935</v>
      </c>
    </row>
    <row r="789">
      <c r="A789" s="2" t="s">
        <v>6758</v>
      </c>
      <c r="B789" s="3" t="str">
        <f>C789 &amp; ": " &amp; D789</f>
        <v>formula-translates: MessageDeliveries.HasUnreachableExceptionInvoked</v>
      </c>
      <c r="C789" s="2" t="s">
        <v>6038</v>
      </c>
      <c r="D789" s="2" t="s">
        <v>4455</v>
      </c>
      <c r="E789" s="2" t="s">
        <v>4378</v>
      </c>
      <c r="F789" s="2" t="s">
        <v>4456</v>
      </c>
      <c r="G789" s="2" t="s">
        <v>6039</v>
      </c>
      <c r="H789" s="2" t="s">
        <v>2044</v>
      </c>
      <c r="I789" s="2" t="s">
        <v>5920</v>
      </c>
      <c r="J789" s="2" t="s">
        <v>5933</v>
      </c>
      <c r="K789" s="3" t="b">
        <f>J789 = "blocking"</f>
        <v>1</v>
      </c>
      <c r="L789" s="2" t="s">
        <v>1428</v>
      </c>
      <c r="M789" s="2" t="s">
        <v>6040</v>
      </c>
      <c r="N789" s="4">
        <v>46223.1297337963</v>
      </c>
      <c r="O789" s="3" t="b">
        <f>L789 = "PASS"</f>
        <v>1</v>
      </c>
      <c r="P789" s="3" t="b">
        <f>L789 = "FAIL"</f>
        <v>0</v>
      </c>
      <c r="Q789" s="3" t="b">
        <f>AND(P789, K789)</f>
        <v>0</v>
      </c>
      <c r="R789" s="3" t="str">
        <f>IF(O789, I789, "")</f>
        <v>suite-substrate</v>
      </c>
      <c r="S789" s="3" t="str">
        <f>IF(Q789, I789, "")</f>
      </c>
      <c r="T789" s="2" t="s">
        <v>5935</v>
      </c>
    </row>
    <row r="790">
      <c r="A790" s="2" t="s">
        <v>6759</v>
      </c>
      <c r="B790" s="3" t="str">
        <f>C790 &amp; ": " &amp; D790</f>
        <v>formula-translates: MessageDeliveries.IsFabricatedAcknowledgement</v>
      </c>
      <c r="C790" s="2" t="s">
        <v>6038</v>
      </c>
      <c r="D790" s="2" t="s">
        <v>4458</v>
      </c>
      <c r="E790" s="2" t="s">
        <v>4378</v>
      </c>
      <c r="F790" s="2" t="s">
        <v>4459</v>
      </c>
      <c r="G790" s="2" t="s">
        <v>6039</v>
      </c>
      <c r="H790" s="2" t="s">
        <v>2044</v>
      </c>
      <c r="I790" s="2" t="s">
        <v>5920</v>
      </c>
      <c r="J790" s="2" t="s">
        <v>5933</v>
      </c>
      <c r="K790" s="3" t="b">
        <f>J790 = "blocking"</f>
        <v>1</v>
      </c>
      <c r="L790" s="2" t="s">
        <v>1428</v>
      </c>
      <c r="M790" s="2" t="s">
        <v>6040</v>
      </c>
      <c r="N790" s="4">
        <v>46223.1297337963</v>
      </c>
      <c r="O790" s="3" t="b">
        <f>L790 = "PASS"</f>
        <v>1</v>
      </c>
      <c r="P790" s="3" t="b">
        <f>L790 = "FAIL"</f>
        <v>0</v>
      </c>
      <c r="Q790" s="3" t="b">
        <f>AND(P790, K790)</f>
        <v>0</v>
      </c>
      <c r="R790" s="3" t="str">
        <f>IF(O790, I790, "")</f>
        <v>suite-substrate</v>
      </c>
      <c r="S790" s="3" t="str">
        <f>IF(Q790, I790, "")</f>
      </c>
      <c r="T790" s="2" t="s">
        <v>5935</v>
      </c>
    </row>
    <row r="791">
      <c r="A791" s="2" t="s">
        <v>6760</v>
      </c>
      <c r="B791" s="3" t="str">
        <f>C791 &amp; ": " &amp; D791</f>
        <v>formula-translates: MessageDeliveries.IsUnhandledUnreachable</v>
      </c>
      <c r="C791" s="2" t="s">
        <v>6038</v>
      </c>
      <c r="D791" s="2" t="s">
        <v>4461</v>
      </c>
      <c r="E791" s="2" t="s">
        <v>4378</v>
      </c>
      <c r="F791" s="2" t="s">
        <v>4462</v>
      </c>
      <c r="G791" s="2" t="s">
        <v>6039</v>
      </c>
      <c r="H791" s="2" t="s">
        <v>2044</v>
      </c>
      <c r="I791" s="2" t="s">
        <v>5920</v>
      </c>
      <c r="J791" s="2" t="s">
        <v>5933</v>
      </c>
      <c r="K791" s="3" t="b">
        <f>J791 = "blocking"</f>
        <v>1</v>
      </c>
      <c r="L791" s="2" t="s">
        <v>1428</v>
      </c>
      <c r="M791" s="2" t="s">
        <v>6040</v>
      </c>
      <c r="N791" s="4">
        <v>46223.1297337963</v>
      </c>
      <c r="O791" s="3" t="b">
        <f>L791 = "PASS"</f>
        <v>1</v>
      </c>
      <c r="P791" s="3" t="b">
        <f>L791 = "FAIL"</f>
        <v>0</v>
      </c>
      <c r="Q791" s="3" t="b">
        <f>AND(P791, K791)</f>
        <v>0</v>
      </c>
      <c r="R791" s="3" t="str">
        <f>IF(O791, I791, "")</f>
        <v>suite-substrate</v>
      </c>
      <c r="S791" s="3" t="str">
        <f>IF(Q791, I791, "")</f>
      </c>
      <c r="T791" s="2" t="s">
        <v>5935</v>
      </c>
    </row>
    <row r="792">
      <c r="A792" s="2" t="s">
        <v>6761</v>
      </c>
      <c r="B792" s="3" t="str">
        <f>C792 &amp; ": " &amp; D792</f>
        <v>formula-translates: MessageDeliveries.UnreachableFailureKey</v>
      </c>
      <c r="C792" s="2" t="s">
        <v>6038</v>
      </c>
      <c r="D792" s="2" t="s">
        <v>4464</v>
      </c>
      <c r="E792" s="2" t="s">
        <v>4378</v>
      </c>
      <c r="F792" s="2" t="s">
        <v>4465</v>
      </c>
      <c r="G792" s="2" t="s">
        <v>6039</v>
      </c>
      <c r="H792" s="2" t="s">
        <v>2044</v>
      </c>
      <c r="I792" s="2" t="s">
        <v>5920</v>
      </c>
      <c r="J792" s="2" t="s">
        <v>5933</v>
      </c>
      <c r="K792" s="3" t="b">
        <f>J792 = "blocking"</f>
        <v>1</v>
      </c>
      <c r="L792" s="2" t="s">
        <v>1428</v>
      </c>
      <c r="M792" s="2" t="s">
        <v>6040</v>
      </c>
      <c r="N792" s="4">
        <v>46223.1297337963</v>
      </c>
      <c r="O792" s="3" t="b">
        <f>L792 = "PASS"</f>
        <v>1</v>
      </c>
      <c r="P792" s="3" t="b">
        <f>L792 = "FAIL"</f>
        <v>0</v>
      </c>
      <c r="Q792" s="3" t="b">
        <f>AND(P792, K792)</f>
        <v>0</v>
      </c>
      <c r="R792" s="3" t="str">
        <f>IF(O792, I792, "")</f>
        <v>suite-substrate</v>
      </c>
      <c r="S792" s="3" t="str">
        <f>IF(Q792, I792, "")</f>
      </c>
      <c r="T792" s="2" t="s">
        <v>5935</v>
      </c>
    </row>
    <row r="793">
      <c r="A793" s="2" t="s">
        <v>6762</v>
      </c>
      <c r="B793" s="3" t="str">
        <f>C793 &amp; ": " &amp; D793</f>
        <v>formula-translates: MessageDeliveries.PolicyRetentionDays</v>
      </c>
      <c r="C793" s="2" t="s">
        <v>6038</v>
      </c>
      <c r="D793" s="2" t="s">
        <v>4467</v>
      </c>
      <c r="E793" s="2" t="s">
        <v>4378</v>
      </c>
      <c r="F793" s="2" t="s">
        <v>4468</v>
      </c>
      <c r="G793" s="2" t="s">
        <v>6039</v>
      </c>
      <c r="H793" s="2" t="s">
        <v>2048</v>
      </c>
      <c r="I793" s="2" t="s">
        <v>5920</v>
      </c>
      <c r="J793" s="2" t="s">
        <v>5933</v>
      </c>
      <c r="K793" s="3" t="b">
        <f>J793 = "blocking"</f>
        <v>1</v>
      </c>
      <c r="L793" s="2" t="s">
        <v>1428</v>
      </c>
      <c r="M793" s="2" t="s">
        <v>6040</v>
      </c>
      <c r="N793" s="4">
        <v>46223.1297337963</v>
      </c>
      <c r="O793" s="3" t="b">
        <f>L793 = "PASS"</f>
        <v>1</v>
      </c>
      <c r="P793" s="3" t="b">
        <f>L793 = "FAIL"</f>
        <v>0</v>
      </c>
      <c r="Q793" s="3" t="b">
        <f>AND(P793, K793)</f>
        <v>0</v>
      </c>
      <c r="R793" s="3" t="str">
        <f>IF(O793, I793, "")</f>
        <v>suite-substrate</v>
      </c>
      <c r="S793" s="3" t="str">
        <f>IF(Q793, I793, "")</f>
      </c>
      <c r="T793" s="2" t="s">
        <v>5935</v>
      </c>
    </row>
    <row r="794">
      <c r="A794" s="2" t="s">
        <v>6763</v>
      </c>
      <c r="B794" s="3" t="str">
        <f>C794 &amp; ": " &amp; D794</f>
        <v>formula-translates: MessageDeliveries.AsOfInstant</v>
      </c>
      <c r="C794" s="2" t="s">
        <v>6038</v>
      </c>
      <c r="D794" s="2" t="s">
        <v>4471</v>
      </c>
      <c r="E794" s="2" t="s">
        <v>4378</v>
      </c>
      <c r="F794" s="2" t="s">
        <v>92</v>
      </c>
      <c r="G794" s="2" t="s">
        <v>6039</v>
      </c>
      <c r="H794" s="2"/>
      <c r="I794" s="2" t="s">
        <v>5920</v>
      </c>
      <c r="J794" s="2" t="s">
        <v>5933</v>
      </c>
      <c r="K794" s="3" t="b">
        <f>J794 = "blocking"</f>
        <v>1</v>
      </c>
      <c r="L794" s="2" t="s">
        <v>1428</v>
      </c>
      <c r="M794" s="2" t="s">
        <v>6040</v>
      </c>
      <c r="N794" s="4">
        <v>46223.1297337963</v>
      </c>
      <c r="O794" s="3" t="b">
        <f>L794 = "PASS"</f>
        <v>1</v>
      </c>
      <c r="P794" s="3" t="b">
        <f>L794 = "FAIL"</f>
        <v>0</v>
      </c>
      <c r="Q794" s="3" t="b">
        <f>AND(P794, K794)</f>
        <v>0</v>
      </c>
      <c r="R794" s="3" t="str">
        <f>IF(O794, I794, "")</f>
        <v>suite-substrate</v>
      </c>
      <c r="S794" s="3" t="str">
        <f>IF(Q794, I794, "")</f>
      </c>
      <c r="T794" s="2" t="s">
        <v>5935</v>
      </c>
    </row>
    <row r="795">
      <c r="A795" s="2" t="s">
        <v>6764</v>
      </c>
      <c r="B795" s="3" t="str">
        <f>C795 &amp; ": " &amp; D795</f>
        <v>formula-translates: MessageDeliveries.AgeDays</v>
      </c>
      <c r="C795" s="2" t="s">
        <v>6038</v>
      </c>
      <c r="D795" s="2" t="s">
        <v>4472</v>
      </c>
      <c r="E795" s="2" t="s">
        <v>4378</v>
      </c>
      <c r="F795" s="2" t="s">
        <v>1112</v>
      </c>
      <c r="G795" s="2" t="s">
        <v>6039</v>
      </c>
      <c r="H795" s="2" t="s">
        <v>2048</v>
      </c>
      <c r="I795" s="2" t="s">
        <v>5920</v>
      </c>
      <c r="J795" s="2" t="s">
        <v>5933</v>
      </c>
      <c r="K795" s="3" t="b">
        <f>J795 = "blocking"</f>
        <v>1</v>
      </c>
      <c r="L795" s="2" t="s">
        <v>1428</v>
      </c>
      <c r="M795" s="2" t="s">
        <v>6040</v>
      </c>
      <c r="N795" s="4">
        <v>46223.1297337963</v>
      </c>
      <c r="O795" s="3" t="b">
        <f>L795 = "PASS"</f>
        <v>1</v>
      </c>
      <c r="P795" s="3" t="b">
        <f>L795 = "FAIL"</f>
        <v>0</v>
      </c>
      <c r="Q795" s="3" t="b">
        <f>AND(P795, K795)</f>
        <v>0</v>
      </c>
      <c r="R795" s="3" t="str">
        <f>IF(O795, I795, "")</f>
        <v>suite-substrate</v>
      </c>
      <c r="S795" s="3" t="str">
        <f>IF(Q795, I795, "")</f>
      </c>
      <c r="T795" s="2" t="s">
        <v>5935</v>
      </c>
    </row>
    <row r="796">
      <c r="A796" s="2" t="s">
        <v>6765</v>
      </c>
      <c r="B796" s="3" t="str">
        <f>C796 &amp; ": " &amp; D796</f>
        <v>formula-translates: MessageDeliveries.IsWithinRetentionWindow</v>
      </c>
      <c r="C796" s="2" t="s">
        <v>6038</v>
      </c>
      <c r="D796" s="2" t="s">
        <v>4474</v>
      </c>
      <c r="E796" s="2" t="s">
        <v>4378</v>
      </c>
      <c r="F796" s="2" t="s">
        <v>4475</v>
      </c>
      <c r="G796" s="2" t="s">
        <v>6039</v>
      </c>
      <c r="H796" s="2" t="s">
        <v>2048</v>
      </c>
      <c r="I796" s="2" t="s">
        <v>5920</v>
      </c>
      <c r="J796" s="2" t="s">
        <v>5933</v>
      </c>
      <c r="K796" s="3" t="b">
        <f>J796 = "blocking"</f>
        <v>1</v>
      </c>
      <c r="L796" s="2" t="s">
        <v>1428</v>
      </c>
      <c r="M796" s="2" t="s">
        <v>6040</v>
      </c>
      <c r="N796" s="4">
        <v>46223.1297337963</v>
      </c>
      <c r="O796" s="3" t="b">
        <f>L796 = "PASS"</f>
        <v>1</v>
      </c>
      <c r="P796" s="3" t="b">
        <f>L796 = "FAIL"</f>
        <v>0</v>
      </c>
      <c r="Q796" s="3" t="b">
        <f>AND(P796, K796)</f>
        <v>0</v>
      </c>
      <c r="R796" s="3" t="str">
        <f>IF(O796, I796, "")</f>
        <v>suite-substrate</v>
      </c>
      <c r="S796" s="3" t="str">
        <f>IF(Q796, I796, "")</f>
      </c>
      <c r="T796" s="2" t="s">
        <v>5935</v>
      </c>
    </row>
    <row r="797">
      <c r="A797" s="2" t="s">
        <v>6766</v>
      </c>
      <c r="B797" s="3" t="str">
        <f>C797 &amp; ": " &amp; D797</f>
        <v>formula-translates: MessageDeliveries.HasRenderedBody</v>
      </c>
      <c r="C797" s="2" t="s">
        <v>6038</v>
      </c>
      <c r="D797" s="2" t="s">
        <v>4477</v>
      </c>
      <c r="E797" s="2" t="s">
        <v>4378</v>
      </c>
      <c r="F797" s="2" t="s">
        <v>4478</v>
      </c>
      <c r="G797" s="2" t="s">
        <v>6039</v>
      </c>
      <c r="H797" s="2" t="s">
        <v>2048</v>
      </c>
      <c r="I797" s="2" t="s">
        <v>5920</v>
      </c>
      <c r="J797" s="2" t="s">
        <v>5933</v>
      </c>
      <c r="K797" s="3" t="b">
        <f>J797 = "blocking"</f>
        <v>1</v>
      </c>
      <c r="L797" s="2" t="s">
        <v>1428</v>
      </c>
      <c r="M797" s="2" t="s">
        <v>6040</v>
      </c>
      <c r="N797" s="4">
        <v>46223.1297337963</v>
      </c>
      <c r="O797" s="3" t="b">
        <f>L797 = "PASS"</f>
        <v>1</v>
      </c>
      <c r="P797" s="3" t="b">
        <f>L797 = "FAIL"</f>
        <v>0</v>
      </c>
      <c r="Q797" s="3" t="b">
        <f>AND(P797, K797)</f>
        <v>0</v>
      </c>
      <c r="R797" s="3" t="str">
        <f>IF(O797, I797, "")</f>
        <v>suite-substrate</v>
      </c>
      <c r="S797" s="3" t="str">
        <f>IF(Q797, I797, "")</f>
      </c>
      <c r="T797" s="2" t="s">
        <v>5935</v>
      </c>
    </row>
    <row r="798">
      <c r="A798" s="2" t="s">
        <v>6767</v>
      </c>
      <c r="B798" s="3" t="str">
        <f>C798 &amp; ": " &amp; D798</f>
        <v>formula-translates: MessageDeliveries.IsEvidenceRequired</v>
      </c>
      <c r="C798" s="2" t="s">
        <v>6038</v>
      </c>
      <c r="D798" s="2" t="s">
        <v>4480</v>
      </c>
      <c r="E798" s="2" t="s">
        <v>4378</v>
      </c>
      <c r="F798" s="2" t="s">
        <v>4481</v>
      </c>
      <c r="G798" s="2" t="s">
        <v>6039</v>
      </c>
      <c r="H798" s="2" t="s">
        <v>2048</v>
      </c>
      <c r="I798" s="2" t="s">
        <v>5920</v>
      </c>
      <c r="J798" s="2" t="s">
        <v>5933</v>
      </c>
      <c r="K798" s="3" t="b">
        <f>J798 = "blocking"</f>
        <v>1</v>
      </c>
      <c r="L798" s="2" t="s">
        <v>1428</v>
      </c>
      <c r="M798" s="2" t="s">
        <v>6040</v>
      </c>
      <c r="N798" s="4">
        <v>46223.1297337963</v>
      </c>
      <c r="O798" s="3" t="b">
        <f>L798 = "PASS"</f>
        <v>1</v>
      </c>
      <c r="P798" s="3" t="b">
        <f>L798 = "FAIL"</f>
        <v>0</v>
      </c>
      <c r="Q798" s="3" t="b">
        <f>AND(P798, K798)</f>
        <v>0</v>
      </c>
      <c r="R798" s="3" t="str">
        <f>IF(O798, I798, "")</f>
        <v>suite-substrate</v>
      </c>
      <c r="S798" s="3" t="str">
        <f>IF(Q798, I798, "")</f>
      </c>
      <c r="T798" s="2" t="s">
        <v>5935</v>
      </c>
    </row>
    <row r="799">
      <c r="A799" s="2" t="s">
        <v>6768</v>
      </c>
      <c r="B799" s="3" t="str">
        <f>C799 &amp; ": " &amp; D799</f>
        <v>formula-translates: MessageDeliveries.IsRetentionBreach</v>
      </c>
      <c r="C799" s="2" t="s">
        <v>6038</v>
      </c>
      <c r="D799" s="2" t="s">
        <v>4483</v>
      </c>
      <c r="E799" s="2" t="s">
        <v>4378</v>
      </c>
      <c r="F799" s="2" t="s">
        <v>4484</v>
      </c>
      <c r="G799" s="2" t="s">
        <v>6039</v>
      </c>
      <c r="H799" s="2" t="s">
        <v>2048</v>
      </c>
      <c r="I799" s="2" t="s">
        <v>5920</v>
      </c>
      <c r="J799" s="2" t="s">
        <v>5933</v>
      </c>
      <c r="K799" s="3" t="b">
        <f>J799 = "blocking"</f>
        <v>1</v>
      </c>
      <c r="L799" s="2" t="s">
        <v>1428</v>
      </c>
      <c r="M799" s="2" t="s">
        <v>6040</v>
      </c>
      <c r="N799" s="4">
        <v>46223.1297337963</v>
      </c>
      <c r="O799" s="3" t="b">
        <f>L799 = "PASS"</f>
        <v>1</v>
      </c>
      <c r="P799" s="3" t="b">
        <f>L799 = "FAIL"</f>
        <v>0</v>
      </c>
      <c r="Q799" s="3" t="b">
        <f>AND(P799, K799)</f>
        <v>0</v>
      </c>
      <c r="R799" s="3" t="str">
        <f>IF(O799, I799, "")</f>
        <v>suite-substrate</v>
      </c>
      <c r="S799" s="3" t="str">
        <f>IF(Q799, I799, "")</f>
      </c>
      <c r="T799" s="2" t="s">
        <v>5935</v>
      </c>
    </row>
    <row r="800">
      <c r="A800" s="2" t="s">
        <v>6769</v>
      </c>
      <c r="B800" s="3" t="str">
        <f>C800 &amp; ": " &amp; D800</f>
        <v>formula-translates: MessageDeliveries.RetentionBreachExecutionKey</v>
      </c>
      <c r="C800" s="2" t="s">
        <v>6038</v>
      </c>
      <c r="D800" s="2" t="s">
        <v>4486</v>
      </c>
      <c r="E800" s="2" t="s">
        <v>4378</v>
      </c>
      <c r="F800" s="2" t="s">
        <v>4487</v>
      </c>
      <c r="G800" s="2" t="s">
        <v>6039</v>
      </c>
      <c r="H800" s="2" t="s">
        <v>2048</v>
      </c>
      <c r="I800" s="2" t="s">
        <v>5920</v>
      </c>
      <c r="J800" s="2" t="s">
        <v>5933</v>
      </c>
      <c r="K800" s="3" t="b">
        <f>J800 = "blocking"</f>
        <v>1</v>
      </c>
      <c r="L800" s="2" t="s">
        <v>1428</v>
      </c>
      <c r="M800" s="2" t="s">
        <v>6040</v>
      </c>
      <c r="N800" s="4">
        <v>46223.1297337963</v>
      </c>
      <c r="O800" s="3" t="b">
        <f>L800 = "PASS"</f>
        <v>1</v>
      </c>
      <c r="P800" s="3" t="b">
        <f>L800 = "FAIL"</f>
        <v>0</v>
      </c>
      <c r="Q800" s="3" t="b">
        <f>AND(P800, K800)</f>
        <v>0</v>
      </c>
      <c r="R800" s="3" t="str">
        <f>IF(O800, I800, "")</f>
        <v>suite-substrate</v>
      </c>
      <c r="S800" s="3" t="str">
        <f>IF(Q800, I800, "")</f>
      </c>
      <c r="T800" s="2" t="s">
        <v>5935</v>
      </c>
    </row>
    <row r="801">
      <c r="A801" s="2" t="s">
        <v>6770</v>
      </c>
      <c r="B801" s="3" t="str">
        <f>C801 &amp; ": " &amp; D801</f>
        <v>formula-translates: MessageDeliveries.SendingStepExecutionStep</v>
      </c>
      <c r="C801" s="2" t="s">
        <v>6038</v>
      </c>
      <c r="D801" s="2" t="s">
        <v>4489</v>
      </c>
      <c r="E801" s="2" t="s">
        <v>4378</v>
      </c>
      <c r="F801" s="2" t="s">
        <v>4490</v>
      </c>
      <c r="G801" s="2" t="s">
        <v>6039</v>
      </c>
      <c r="H801" s="2" t="s">
        <v>2052</v>
      </c>
      <c r="I801" s="2" t="s">
        <v>5920</v>
      </c>
      <c r="J801" s="2" t="s">
        <v>5933</v>
      </c>
      <c r="K801" s="3" t="b">
        <f>J801 = "blocking"</f>
        <v>1</v>
      </c>
      <c r="L801" s="2" t="s">
        <v>1428</v>
      </c>
      <c r="M801" s="2" t="s">
        <v>6040</v>
      </c>
      <c r="N801" s="4">
        <v>46223.1297337963</v>
      </c>
      <c r="O801" s="3" t="b">
        <f>L801 = "PASS"</f>
        <v>1</v>
      </c>
      <c r="P801" s="3" t="b">
        <f>L801 = "FAIL"</f>
        <v>0</v>
      </c>
      <c r="Q801" s="3" t="b">
        <f>AND(P801, K801)</f>
        <v>0</v>
      </c>
      <c r="R801" s="3" t="str">
        <f>IF(O801, I801, "")</f>
        <v>suite-substrate</v>
      </c>
      <c r="S801" s="3" t="str">
        <f>IF(Q801, I801, "")</f>
      </c>
      <c r="T801" s="2" t="s">
        <v>5935</v>
      </c>
    </row>
    <row r="802">
      <c r="A802" s="2" t="s">
        <v>6771</v>
      </c>
      <c r="B802" s="3" t="str">
        <f>C802 &amp; ": " &amp; D802</f>
        <v>formula-translates: MessageDeliveries.ExecutionHasClearedLegalReview</v>
      </c>
      <c r="C802" s="2" t="s">
        <v>6038</v>
      </c>
      <c r="D802" s="2" t="s">
        <v>4491</v>
      </c>
      <c r="E802" s="2" t="s">
        <v>4378</v>
      </c>
      <c r="F802" s="2" t="s">
        <v>4492</v>
      </c>
      <c r="G802" s="2" t="s">
        <v>6039</v>
      </c>
      <c r="H802" s="2" t="s">
        <v>2052</v>
      </c>
      <c r="I802" s="2" t="s">
        <v>5920</v>
      </c>
      <c r="J802" s="2" t="s">
        <v>5933</v>
      </c>
      <c r="K802" s="3" t="b">
        <f>J802 = "blocking"</f>
        <v>1</v>
      </c>
      <c r="L802" s="2" t="s">
        <v>1428</v>
      </c>
      <c r="M802" s="2" t="s">
        <v>6040</v>
      </c>
      <c r="N802" s="4">
        <v>46223.1297337963</v>
      </c>
      <c r="O802" s="3" t="b">
        <f>L802 = "PASS"</f>
        <v>1</v>
      </c>
      <c r="P802" s="3" t="b">
        <f>L802 = "FAIL"</f>
        <v>0</v>
      </c>
      <c r="Q802" s="3" t="b">
        <f>AND(P802, K802)</f>
        <v>0</v>
      </c>
      <c r="R802" s="3" t="str">
        <f>IF(O802, I802, "")</f>
        <v>suite-substrate</v>
      </c>
      <c r="S802" s="3" t="str">
        <f>IF(Q802, I802, "")</f>
      </c>
      <c r="T802" s="2" t="s">
        <v>5935</v>
      </c>
    </row>
    <row r="803">
      <c r="A803" s="2" t="s">
        <v>6772</v>
      </c>
      <c r="B803" s="3" t="str">
        <f>C803 &amp; ": " &amp; D803</f>
        <v>formula-translates: MessageDeliveries.IsUnreviewedSend</v>
      </c>
      <c r="C803" s="2" t="s">
        <v>6038</v>
      </c>
      <c r="D803" s="2" t="s">
        <v>4494</v>
      </c>
      <c r="E803" s="2" t="s">
        <v>4378</v>
      </c>
      <c r="F803" s="2" t="s">
        <v>4495</v>
      </c>
      <c r="G803" s="2" t="s">
        <v>6039</v>
      </c>
      <c r="H803" s="2" t="s">
        <v>2052</v>
      </c>
      <c r="I803" s="2" t="s">
        <v>5920</v>
      </c>
      <c r="J803" s="2" t="s">
        <v>5933</v>
      </c>
      <c r="K803" s="3" t="b">
        <f>J803 = "blocking"</f>
        <v>1</v>
      </c>
      <c r="L803" s="2" t="s">
        <v>1428</v>
      </c>
      <c r="M803" s="2" t="s">
        <v>6040</v>
      </c>
      <c r="N803" s="4">
        <v>46223.1297337963</v>
      </c>
      <c r="O803" s="3" t="b">
        <f>L803 = "PASS"</f>
        <v>1</v>
      </c>
      <c r="P803" s="3" t="b">
        <f>L803 = "FAIL"</f>
        <v>0</v>
      </c>
      <c r="Q803" s="3" t="b">
        <f>AND(P803, K803)</f>
        <v>0</v>
      </c>
      <c r="R803" s="3" t="str">
        <f>IF(O803, I803, "")</f>
        <v>suite-substrate</v>
      </c>
      <c r="S803" s="3" t="str">
        <f>IF(Q803, I803, "")</f>
      </c>
      <c r="T803" s="2" t="s">
        <v>5935</v>
      </c>
    </row>
    <row r="804">
      <c r="A804" s="2" t="s">
        <v>6773</v>
      </c>
      <c r="B804" s="3" t="str">
        <f>C804 &amp; ": " &amp; D804</f>
        <v>formula-translates: MessageDeliveries.RenderedBodyLength</v>
      </c>
      <c r="C804" s="2" t="s">
        <v>6038</v>
      </c>
      <c r="D804" s="2" t="s">
        <v>4497</v>
      </c>
      <c r="E804" s="2" t="s">
        <v>4378</v>
      </c>
      <c r="F804" s="2" t="s">
        <v>4498</v>
      </c>
      <c r="G804" s="2" t="s">
        <v>6039</v>
      </c>
      <c r="H804" s="2" t="s">
        <v>2056</v>
      </c>
      <c r="I804" s="2" t="s">
        <v>5920</v>
      </c>
      <c r="J804" s="2" t="s">
        <v>5933</v>
      </c>
      <c r="K804" s="3" t="b">
        <f>J804 = "blocking"</f>
        <v>1</v>
      </c>
      <c r="L804" s="2" t="s">
        <v>1428</v>
      </c>
      <c r="M804" s="2" t="s">
        <v>6040</v>
      </c>
      <c r="N804" s="4">
        <v>46223.1297337963</v>
      </c>
      <c r="O804" s="3" t="b">
        <f>L804 = "PASS"</f>
        <v>1</v>
      </c>
      <c r="P804" s="3" t="b">
        <f>L804 = "FAIL"</f>
        <v>0</v>
      </c>
      <c r="Q804" s="3" t="b">
        <f>AND(P804, K804)</f>
        <v>0</v>
      </c>
      <c r="R804" s="3" t="str">
        <f>IF(O804, I804, "")</f>
        <v>suite-substrate</v>
      </c>
      <c r="S804" s="3" t="str">
        <f>IF(Q804, I804, "")</f>
      </c>
      <c r="T804" s="2" t="s">
        <v>5935</v>
      </c>
    </row>
    <row r="805">
      <c r="A805" s="2" t="s">
        <v>6774</v>
      </c>
      <c r="B805" s="3" t="str">
        <f>C805 &amp; ": " &amp; D805</f>
        <v>formula-translates: MessageDeliveries.PolicyMaxMessageLengthAtSend</v>
      </c>
      <c r="C805" s="2" t="s">
        <v>6038</v>
      </c>
      <c r="D805" s="2" t="s">
        <v>4500</v>
      </c>
      <c r="E805" s="2" t="s">
        <v>4378</v>
      </c>
      <c r="F805" s="2" t="s">
        <v>4501</v>
      </c>
      <c r="G805" s="2" t="s">
        <v>6039</v>
      </c>
      <c r="H805" s="2" t="s">
        <v>2056</v>
      </c>
      <c r="I805" s="2" t="s">
        <v>5920</v>
      </c>
      <c r="J805" s="2" t="s">
        <v>5933</v>
      </c>
      <c r="K805" s="3" t="b">
        <f>J805 = "blocking"</f>
        <v>1</v>
      </c>
      <c r="L805" s="2" t="s">
        <v>1428</v>
      </c>
      <c r="M805" s="2" t="s">
        <v>6040</v>
      </c>
      <c r="N805" s="4">
        <v>46223.1297337963</v>
      </c>
      <c r="O805" s="3" t="b">
        <f>L805 = "PASS"</f>
        <v>1</v>
      </c>
      <c r="P805" s="3" t="b">
        <f>L805 = "FAIL"</f>
        <v>0</v>
      </c>
      <c r="Q805" s="3" t="b">
        <f>AND(P805, K805)</f>
        <v>0</v>
      </c>
      <c r="R805" s="3" t="str">
        <f>IF(O805, I805, "")</f>
        <v>suite-substrate</v>
      </c>
      <c r="S805" s="3" t="str">
        <f>IF(Q805, I805, "")</f>
      </c>
      <c r="T805" s="2" t="s">
        <v>5935</v>
      </c>
    </row>
    <row r="806">
      <c r="A806" s="2" t="s">
        <v>6775</v>
      </c>
      <c r="B806" s="3" t="str">
        <f>C806 &amp; ": " &amp; D806</f>
        <v>formula-translates: MessageDeliveries.SegmentCount</v>
      </c>
      <c r="C806" s="2" t="s">
        <v>6038</v>
      </c>
      <c r="D806" s="2" t="s">
        <v>4503</v>
      </c>
      <c r="E806" s="2" t="s">
        <v>4378</v>
      </c>
      <c r="F806" s="2" t="s">
        <v>4504</v>
      </c>
      <c r="G806" s="2" t="s">
        <v>6039</v>
      </c>
      <c r="H806" s="2" t="s">
        <v>2056</v>
      </c>
      <c r="I806" s="2" t="s">
        <v>5920</v>
      </c>
      <c r="J806" s="2" t="s">
        <v>5933</v>
      </c>
      <c r="K806" s="3" t="b">
        <f>J806 = "blocking"</f>
        <v>1</v>
      </c>
      <c r="L806" s="2" t="s">
        <v>1428</v>
      </c>
      <c r="M806" s="2" t="s">
        <v>6040</v>
      </c>
      <c r="N806" s="4">
        <v>46223.1297337963</v>
      </c>
      <c r="O806" s="3" t="b">
        <f>L806 = "PASS"</f>
        <v>1</v>
      </c>
      <c r="P806" s="3" t="b">
        <f>L806 = "FAIL"</f>
        <v>0</v>
      </c>
      <c r="Q806" s="3" t="b">
        <f>AND(P806, K806)</f>
        <v>0</v>
      </c>
      <c r="R806" s="3" t="str">
        <f>IF(O806, I806, "")</f>
        <v>suite-substrate</v>
      </c>
      <c r="S806" s="3" t="str">
        <f>IF(Q806, I806, "")</f>
      </c>
      <c r="T806" s="2" t="s">
        <v>5935</v>
      </c>
    </row>
    <row r="807">
      <c r="A807" s="2" t="s">
        <v>6776</v>
      </c>
      <c r="B807" s="3" t="str">
        <f>C807 &amp; ": " &amp; D807</f>
        <v>formula-translates: MessageDeliveries.PolicyMaxSegmentsAtSend</v>
      </c>
      <c r="C807" s="2" t="s">
        <v>6038</v>
      </c>
      <c r="D807" s="2" t="s">
        <v>4506</v>
      </c>
      <c r="E807" s="2" t="s">
        <v>4378</v>
      </c>
      <c r="F807" s="2" t="s">
        <v>4507</v>
      </c>
      <c r="G807" s="2" t="s">
        <v>6039</v>
      </c>
      <c r="H807" s="2" t="s">
        <v>2056</v>
      </c>
      <c r="I807" s="2" t="s">
        <v>5920</v>
      </c>
      <c r="J807" s="2" t="s">
        <v>5933</v>
      </c>
      <c r="K807" s="3" t="b">
        <f>J807 = "blocking"</f>
        <v>1</v>
      </c>
      <c r="L807" s="2" t="s">
        <v>1428</v>
      </c>
      <c r="M807" s="2" t="s">
        <v>6040</v>
      </c>
      <c r="N807" s="4">
        <v>46223.1297337963</v>
      </c>
      <c r="O807" s="3" t="b">
        <f>L807 = "PASS"</f>
        <v>1</v>
      </c>
      <c r="P807" s="3" t="b">
        <f>L807 = "FAIL"</f>
        <v>0</v>
      </c>
      <c r="Q807" s="3" t="b">
        <f>AND(P807, K807)</f>
        <v>0</v>
      </c>
      <c r="R807" s="3" t="str">
        <f>IF(O807, I807, "")</f>
        <v>suite-substrate</v>
      </c>
      <c r="S807" s="3" t="str">
        <f>IF(Q807, I807, "")</f>
      </c>
      <c r="T807" s="2" t="s">
        <v>5935</v>
      </c>
    </row>
    <row r="808">
      <c r="A808" s="2" t="s">
        <v>6777</v>
      </c>
      <c r="B808" s="3" t="str">
        <f>C808 &amp; ": " &amp; D808</f>
        <v>formula-translates: MessageDeliveries.IsOverSegmentLimit</v>
      </c>
      <c r="C808" s="2" t="s">
        <v>6038</v>
      </c>
      <c r="D808" s="2" t="s">
        <v>4509</v>
      </c>
      <c r="E808" s="2" t="s">
        <v>4378</v>
      </c>
      <c r="F808" s="2" t="s">
        <v>4510</v>
      </c>
      <c r="G808" s="2" t="s">
        <v>6039</v>
      </c>
      <c r="H808" s="2" t="s">
        <v>2056</v>
      </c>
      <c r="I808" s="2" t="s">
        <v>5920</v>
      </c>
      <c r="J808" s="2" t="s">
        <v>5933</v>
      </c>
      <c r="K808" s="3" t="b">
        <f>J808 = "blocking"</f>
        <v>1</v>
      </c>
      <c r="L808" s="2" t="s">
        <v>1428</v>
      </c>
      <c r="M808" s="2" t="s">
        <v>6040</v>
      </c>
      <c r="N808" s="4">
        <v>46223.1297337963</v>
      </c>
      <c r="O808" s="3" t="b">
        <f>L808 = "PASS"</f>
        <v>1</v>
      </c>
      <c r="P808" s="3" t="b">
        <f>L808 = "FAIL"</f>
        <v>0</v>
      </c>
      <c r="Q808" s="3" t="b">
        <f>AND(P808, K808)</f>
        <v>0</v>
      </c>
      <c r="R808" s="3" t="str">
        <f>IF(O808, I808, "")</f>
        <v>suite-substrate</v>
      </c>
      <c r="S808" s="3" t="str">
        <f>IF(Q808, I808, "")</f>
      </c>
      <c r="T808" s="2" t="s">
        <v>5935</v>
      </c>
    </row>
    <row r="809">
      <c r="A809" s="2" t="s">
        <v>6778</v>
      </c>
      <c r="B809" s="3" t="str">
        <f>C809 &amp; ": " &amp; D809</f>
        <v>formula-translates: MessageDeliveries.TemplateHasValidApproval</v>
      </c>
      <c r="C809" s="2" t="s">
        <v>6038</v>
      </c>
      <c r="D809" s="2" t="s">
        <v>4512</v>
      </c>
      <c r="E809" s="2" t="s">
        <v>4378</v>
      </c>
      <c r="F809" s="2" t="s">
        <v>4513</v>
      </c>
      <c r="G809" s="2" t="s">
        <v>6039</v>
      </c>
      <c r="H809" s="2" t="s">
        <v>2060</v>
      </c>
      <c r="I809" s="2" t="s">
        <v>5920</v>
      </c>
      <c r="J809" s="2" t="s">
        <v>5933</v>
      </c>
      <c r="K809" s="3" t="b">
        <f>J809 = "blocking"</f>
        <v>1</v>
      </c>
      <c r="L809" s="2" t="s">
        <v>1428</v>
      </c>
      <c r="M809" s="2" t="s">
        <v>6040</v>
      </c>
      <c r="N809" s="4">
        <v>46223.1297337963</v>
      </c>
      <c r="O809" s="3" t="b">
        <f>L809 = "PASS"</f>
        <v>1</v>
      </c>
      <c r="P809" s="3" t="b">
        <f>L809 = "FAIL"</f>
        <v>0</v>
      </c>
      <c r="Q809" s="3" t="b">
        <f>AND(P809, K809)</f>
        <v>0</v>
      </c>
      <c r="R809" s="3" t="str">
        <f>IF(O809, I809, "")</f>
        <v>suite-substrate</v>
      </c>
      <c r="S809" s="3" t="str">
        <f>IF(Q809, I809, "")</f>
      </c>
      <c r="T809" s="2" t="s">
        <v>5935</v>
      </c>
    </row>
    <row r="810">
      <c r="A810" s="2" t="s">
        <v>6779</v>
      </c>
      <c r="B810" s="3" t="str">
        <f>C810 &amp; ": " &amp; D810</f>
        <v>formula-translates: MessageDeliveries.IsUnapprovedSend</v>
      </c>
      <c r="C810" s="2" t="s">
        <v>6038</v>
      </c>
      <c r="D810" s="2" t="s">
        <v>4515</v>
      </c>
      <c r="E810" s="2" t="s">
        <v>4378</v>
      </c>
      <c r="F810" s="2" t="s">
        <v>4516</v>
      </c>
      <c r="G810" s="2" t="s">
        <v>6039</v>
      </c>
      <c r="H810" s="2" t="s">
        <v>2060</v>
      </c>
      <c r="I810" s="2" t="s">
        <v>5920</v>
      </c>
      <c r="J810" s="2" t="s">
        <v>5933</v>
      </c>
      <c r="K810" s="3" t="b">
        <f>J810 = "blocking"</f>
        <v>1</v>
      </c>
      <c r="L810" s="2" t="s">
        <v>1428</v>
      </c>
      <c r="M810" s="2" t="s">
        <v>6040</v>
      </c>
      <c r="N810" s="4">
        <v>46223.1297337963</v>
      </c>
      <c r="O810" s="3" t="b">
        <f>L810 = "PASS"</f>
        <v>1</v>
      </c>
      <c r="P810" s="3" t="b">
        <f>L810 = "FAIL"</f>
        <v>0</v>
      </c>
      <c r="Q810" s="3" t="b">
        <f>AND(P810, K810)</f>
        <v>0</v>
      </c>
      <c r="R810" s="3" t="str">
        <f>IF(O810, I810, "")</f>
        <v>suite-substrate</v>
      </c>
      <c r="S810" s="3" t="str">
        <f>IF(Q810, I810, "")</f>
      </c>
      <c r="T810" s="2" t="s">
        <v>5935</v>
      </c>
    </row>
    <row r="811">
      <c r="A811" s="2" t="s">
        <v>6780</v>
      </c>
      <c r="B811" s="3" t="str">
        <f>C811 &amp; ": " &amp; D811</f>
        <v>formula-translates: MessageDeliveries.PolicyRequiredOptOutPhrase</v>
      </c>
      <c r="C811" s="2" t="s">
        <v>6038</v>
      </c>
      <c r="D811" s="2" t="s">
        <v>4518</v>
      </c>
      <c r="E811" s="2" t="s">
        <v>4378</v>
      </c>
      <c r="F811" s="2" t="s">
        <v>4519</v>
      </c>
      <c r="G811" s="2" t="s">
        <v>6039</v>
      </c>
      <c r="H811" s="2" t="s">
        <v>2064</v>
      </c>
      <c r="I811" s="2" t="s">
        <v>5920</v>
      </c>
      <c r="J811" s="2" t="s">
        <v>5933</v>
      </c>
      <c r="K811" s="3" t="b">
        <f>J811 = "blocking"</f>
        <v>1</v>
      </c>
      <c r="L811" s="2" t="s">
        <v>1428</v>
      </c>
      <c r="M811" s="2" t="s">
        <v>6040</v>
      </c>
      <c r="N811" s="4">
        <v>46223.1297337963</v>
      </c>
      <c r="O811" s="3" t="b">
        <f>L811 = "PASS"</f>
        <v>1</v>
      </c>
      <c r="P811" s="3" t="b">
        <f>L811 = "FAIL"</f>
        <v>0</v>
      </c>
      <c r="Q811" s="3" t="b">
        <f>AND(P811, K811)</f>
        <v>0</v>
      </c>
      <c r="R811" s="3" t="str">
        <f>IF(O811, I811, "")</f>
        <v>suite-substrate</v>
      </c>
      <c r="S811" s="3" t="str">
        <f>IF(Q811, I811, "")</f>
      </c>
      <c r="T811" s="2" t="s">
        <v>5935</v>
      </c>
    </row>
    <row r="812">
      <c r="A812" s="2" t="s">
        <v>6781</v>
      </c>
      <c r="B812" s="3" t="str">
        <f>C812 &amp; ": " &amp; D812</f>
        <v>formula-translates: MessageDeliveries.PolicyRequiresOptOut</v>
      </c>
      <c r="C812" s="2" t="s">
        <v>6038</v>
      </c>
      <c r="D812" s="2" t="s">
        <v>4521</v>
      </c>
      <c r="E812" s="2" t="s">
        <v>4378</v>
      </c>
      <c r="F812" s="2" t="s">
        <v>4522</v>
      </c>
      <c r="G812" s="2" t="s">
        <v>6039</v>
      </c>
      <c r="H812" s="2" t="s">
        <v>2064</v>
      </c>
      <c r="I812" s="2" t="s">
        <v>5920</v>
      </c>
      <c r="J812" s="2" t="s">
        <v>5933</v>
      </c>
      <c r="K812" s="3" t="b">
        <f>J812 = "blocking"</f>
        <v>1</v>
      </c>
      <c r="L812" s="2" t="s">
        <v>1428</v>
      </c>
      <c r="M812" s="2" t="s">
        <v>6040</v>
      </c>
      <c r="N812" s="4">
        <v>46223.1297337963</v>
      </c>
      <c r="O812" s="3" t="b">
        <f>L812 = "PASS"</f>
        <v>1</v>
      </c>
      <c r="P812" s="3" t="b">
        <f>L812 = "FAIL"</f>
        <v>0</v>
      </c>
      <c r="Q812" s="3" t="b">
        <f>AND(P812, K812)</f>
        <v>0</v>
      </c>
      <c r="R812" s="3" t="str">
        <f>IF(O812, I812, "")</f>
        <v>suite-substrate</v>
      </c>
      <c r="S812" s="3" t="str">
        <f>IF(Q812, I812, "")</f>
      </c>
      <c r="T812" s="2" t="s">
        <v>5935</v>
      </c>
    </row>
    <row r="813">
      <c r="A813" s="2" t="s">
        <v>6782</v>
      </c>
      <c r="B813" s="3" t="str">
        <f>C813 &amp; ": " &amp; D813</f>
        <v>formula-translates: MessageDeliveries.OptOutPhrasePosition</v>
      </c>
      <c r="C813" s="2" t="s">
        <v>6038</v>
      </c>
      <c r="D813" s="2" t="s">
        <v>4524</v>
      </c>
      <c r="E813" s="2" t="s">
        <v>4378</v>
      </c>
      <c r="F813" s="2" t="s">
        <v>4525</v>
      </c>
      <c r="G813" s="2" t="s">
        <v>6039</v>
      </c>
      <c r="H813" s="2" t="s">
        <v>2064</v>
      </c>
      <c r="I813" s="2" t="s">
        <v>5920</v>
      </c>
      <c r="J813" s="2" t="s">
        <v>5933</v>
      </c>
      <c r="K813" s="3" t="b">
        <f>J813 = "blocking"</f>
        <v>1</v>
      </c>
      <c r="L813" s="2" t="s">
        <v>1428</v>
      </c>
      <c r="M813" s="2" t="s">
        <v>6040</v>
      </c>
      <c r="N813" s="4">
        <v>46223.1297337963</v>
      </c>
      <c r="O813" s="3" t="b">
        <f>L813 = "PASS"</f>
        <v>1</v>
      </c>
      <c r="P813" s="3" t="b">
        <f>L813 = "FAIL"</f>
        <v>0</v>
      </c>
      <c r="Q813" s="3" t="b">
        <f>AND(P813, K813)</f>
        <v>0</v>
      </c>
      <c r="R813" s="3" t="str">
        <f>IF(O813, I813, "")</f>
        <v>suite-substrate</v>
      </c>
      <c r="S813" s="3" t="str">
        <f>IF(Q813, I813, "")</f>
      </c>
      <c r="T813" s="2" t="s">
        <v>5935</v>
      </c>
    </row>
    <row r="814">
      <c r="A814" s="2" t="s">
        <v>6783</v>
      </c>
      <c r="B814" s="3" t="str">
        <f>C814 &amp; ": " &amp; D814</f>
        <v>formula-translates: MessageDeliveries.HasOptOutPhrase</v>
      </c>
      <c r="C814" s="2" t="s">
        <v>6038</v>
      </c>
      <c r="D814" s="2" t="s">
        <v>4527</v>
      </c>
      <c r="E814" s="2" t="s">
        <v>4378</v>
      </c>
      <c r="F814" s="2" t="s">
        <v>4528</v>
      </c>
      <c r="G814" s="2" t="s">
        <v>6039</v>
      </c>
      <c r="H814" s="2" t="s">
        <v>2064</v>
      </c>
      <c r="I814" s="2" t="s">
        <v>5920</v>
      </c>
      <c r="J814" s="2" t="s">
        <v>5933</v>
      </c>
      <c r="K814" s="3" t="b">
        <f>J814 = "blocking"</f>
        <v>1</v>
      </c>
      <c r="L814" s="2" t="s">
        <v>1428</v>
      </c>
      <c r="M814" s="2" t="s">
        <v>6040</v>
      </c>
      <c r="N814" s="4">
        <v>46223.1297337963</v>
      </c>
      <c r="O814" s="3" t="b">
        <f>L814 = "PASS"</f>
        <v>1</v>
      </c>
      <c r="P814" s="3" t="b">
        <f>L814 = "FAIL"</f>
        <v>0</v>
      </c>
      <c r="Q814" s="3" t="b">
        <f>AND(P814, K814)</f>
        <v>0</v>
      </c>
      <c r="R814" s="3" t="str">
        <f>IF(O814, I814, "")</f>
        <v>suite-substrate</v>
      </c>
      <c r="S814" s="3" t="str">
        <f>IF(Q814, I814, "")</f>
      </c>
      <c r="T814" s="2" t="s">
        <v>5935</v>
      </c>
    </row>
    <row r="815">
      <c r="A815" s="2" t="s">
        <v>6784</v>
      </c>
      <c r="B815" s="3" t="str">
        <f>C815 &amp; ": " &amp; D815</f>
        <v>formula-translates: MessageDeliveries.IsOptOutInFirstSegment</v>
      </c>
      <c r="C815" s="2" t="s">
        <v>6038</v>
      </c>
      <c r="D815" s="2" t="s">
        <v>4530</v>
      </c>
      <c r="E815" s="2" t="s">
        <v>4378</v>
      </c>
      <c r="F815" s="2" t="s">
        <v>4531</v>
      </c>
      <c r="G815" s="2" t="s">
        <v>6039</v>
      </c>
      <c r="H815" s="2" t="s">
        <v>2064</v>
      </c>
      <c r="I815" s="2" t="s">
        <v>5920</v>
      </c>
      <c r="J815" s="2" t="s">
        <v>5933</v>
      </c>
      <c r="K815" s="3" t="b">
        <f>J815 = "blocking"</f>
        <v>1</v>
      </c>
      <c r="L815" s="2" t="s">
        <v>1428</v>
      </c>
      <c r="M815" s="2" t="s">
        <v>6040</v>
      </c>
      <c r="N815" s="4">
        <v>46223.1297337963</v>
      </c>
      <c r="O815" s="3" t="b">
        <f>L815 = "PASS"</f>
        <v>1</v>
      </c>
      <c r="P815" s="3" t="b">
        <f>L815 = "FAIL"</f>
        <v>0</v>
      </c>
      <c r="Q815" s="3" t="b">
        <f>AND(P815, K815)</f>
        <v>0</v>
      </c>
      <c r="R815" s="3" t="str">
        <f>IF(O815, I815, "")</f>
        <v>suite-substrate</v>
      </c>
      <c r="S815" s="3" t="str">
        <f>IF(Q815, I815, "")</f>
      </c>
      <c r="T815" s="2" t="s">
        <v>5935</v>
      </c>
    </row>
    <row r="816">
      <c r="A816" s="2" t="s">
        <v>6785</v>
      </c>
      <c r="B816" s="3" t="str">
        <f>C816 &amp; ": " &amp; D816</f>
        <v>formula-translates: MessageDeliveries.IsMissingRequiredOptOut</v>
      </c>
      <c r="C816" s="2" t="s">
        <v>6038</v>
      </c>
      <c r="D816" s="2" t="s">
        <v>4533</v>
      </c>
      <c r="E816" s="2" t="s">
        <v>4378</v>
      </c>
      <c r="F816" s="2" t="s">
        <v>4534</v>
      </c>
      <c r="G816" s="2" t="s">
        <v>6039</v>
      </c>
      <c r="H816" s="2" t="s">
        <v>2064</v>
      </c>
      <c r="I816" s="2" t="s">
        <v>5920</v>
      </c>
      <c r="J816" s="2" t="s">
        <v>5933</v>
      </c>
      <c r="K816" s="3" t="b">
        <f>J816 = "blocking"</f>
        <v>1</v>
      </c>
      <c r="L816" s="2" t="s">
        <v>1428</v>
      </c>
      <c r="M816" s="2" t="s">
        <v>6040</v>
      </c>
      <c r="N816" s="4">
        <v>46223.1297337963</v>
      </c>
      <c r="O816" s="3" t="b">
        <f>L816 = "PASS"</f>
        <v>1</v>
      </c>
      <c r="P816" s="3" t="b">
        <f>L816 = "FAIL"</f>
        <v>0</v>
      </c>
      <c r="Q816" s="3" t="b">
        <f>AND(P816, K816)</f>
        <v>0</v>
      </c>
      <c r="R816" s="3" t="str">
        <f>IF(O816, I816, "")</f>
        <v>suite-substrate</v>
      </c>
      <c r="S816" s="3" t="str">
        <f>IF(Q816, I816, "")</f>
      </c>
      <c r="T816" s="2" t="s">
        <v>5935</v>
      </c>
    </row>
    <row r="817">
      <c r="A817" s="2" t="s">
        <v>6786</v>
      </c>
      <c r="B817" s="3" t="str">
        <f>C817 &amp; ": " &amp; D817</f>
        <v>formula-translates: MessageDeliveries.IsOptOutAtRiskOfTruncation</v>
      </c>
      <c r="C817" s="2" t="s">
        <v>6038</v>
      </c>
      <c r="D817" s="2" t="s">
        <v>4536</v>
      </c>
      <c r="E817" s="2" t="s">
        <v>4378</v>
      </c>
      <c r="F817" s="2" t="s">
        <v>4537</v>
      </c>
      <c r="G817" s="2" t="s">
        <v>6039</v>
      </c>
      <c r="H817" s="2" t="s">
        <v>2064</v>
      </c>
      <c r="I817" s="2" t="s">
        <v>5920</v>
      </c>
      <c r="J817" s="2" t="s">
        <v>5933</v>
      </c>
      <c r="K817" s="3" t="b">
        <f>J817 = "blocking"</f>
        <v>1</v>
      </c>
      <c r="L817" s="2" t="s">
        <v>1428</v>
      </c>
      <c r="M817" s="2" t="s">
        <v>6040</v>
      </c>
      <c r="N817" s="4">
        <v>46223.1297337963</v>
      </c>
      <c r="O817" s="3" t="b">
        <f>L817 = "PASS"</f>
        <v>1</v>
      </c>
      <c r="P817" s="3" t="b">
        <f>L817 = "FAIL"</f>
        <v>0</v>
      </c>
      <c r="Q817" s="3" t="b">
        <f>AND(P817, K817)</f>
        <v>0</v>
      </c>
      <c r="R817" s="3" t="str">
        <f>IF(O817, I817, "")</f>
        <v>suite-substrate</v>
      </c>
      <c r="S817" s="3" t="str">
        <f>IF(Q817, I817, "")</f>
      </c>
      <c r="T817" s="2" t="s">
        <v>5935</v>
      </c>
    </row>
    <row r="818">
      <c r="A818" s="2" t="s">
        <v>6787</v>
      </c>
      <c r="B818" s="3" t="str">
        <f>C818 &amp; ": " &amp; D818</f>
        <v>formula-translates: MessageDeliveries.IsFailedDelivery</v>
      </c>
      <c r="C818" s="2" t="s">
        <v>6038</v>
      </c>
      <c r="D818" s="2" t="s">
        <v>4539</v>
      </c>
      <c r="E818" s="2" t="s">
        <v>4378</v>
      </c>
      <c r="F818" s="2" t="s">
        <v>4540</v>
      </c>
      <c r="G818" s="2" t="s">
        <v>6039</v>
      </c>
      <c r="H818" s="2" t="s">
        <v>2068</v>
      </c>
      <c r="I818" s="2" t="s">
        <v>5920</v>
      </c>
      <c r="J818" s="2" t="s">
        <v>5933</v>
      </c>
      <c r="K818" s="3" t="b">
        <f>J818 = "blocking"</f>
        <v>1</v>
      </c>
      <c r="L818" s="2" t="s">
        <v>1428</v>
      </c>
      <c r="M818" s="2" t="s">
        <v>6040</v>
      </c>
      <c r="N818" s="4">
        <v>46223.1297337963</v>
      </c>
      <c r="O818" s="3" t="b">
        <f>L818 = "PASS"</f>
        <v>1</v>
      </c>
      <c r="P818" s="3" t="b">
        <f>L818 = "FAIL"</f>
        <v>0</v>
      </c>
      <c r="Q818" s="3" t="b">
        <f>AND(P818, K818)</f>
        <v>0</v>
      </c>
      <c r="R818" s="3" t="str">
        <f>IF(O818, I818, "")</f>
        <v>suite-substrate</v>
      </c>
      <c r="S818" s="3" t="str">
        <f>IF(Q818, I818, "")</f>
      </c>
      <c r="T818" s="2" t="s">
        <v>5935</v>
      </c>
    </row>
    <row r="819">
      <c r="A819" s="2" t="s">
        <v>6788</v>
      </c>
      <c r="B819" s="3" t="str">
        <f>C819 &amp; ": " &amp; D819</f>
        <v>formula-translates: MessageDeliveries.IsSuppressed</v>
      </c>
      <c r="C819" s="2" t="s">
        <v>6038</v>
      </c>
      <c r="D819" s="2" t="s">
        <v>4542</v>
      </c>
      <c r="E819" s="2" t="s">
        <v>4378</v>
      </c>
      <c r="F819" s="2" t="s">
        <v>4543</v>
      </c>
      <c r="G819" s="2" t="s">
        <v>6039</v>
      </c>
      <c r="H819" s="2" t="s">
        <v>2068</v>
      </c>
      <c r="I819" s="2" t="s">
        <v>5920</v>
      </c>
      <c r="J819" s="2" t="s">
        <v>5933</v>
      </c>
      <c r="K819" s="3" t="b">
        <f>J819 = "blocking"</f>
        <v>1</v>
      </c>
      <c r="L819" s="2" t="s">
        <v>1428</v>
      </c>
      <c r="M819" s="2" t="s">
        <v>6040</v>
      </c>
      <c r="N819" s="4">
        <v>46223.1297337963</v>
      </c>
      <c r="O819" s="3" t="b">
        <f>L819 = "PASS"</f>
        <v>1</v>
      </c>
      <c r="P819" s="3" t="b">
        <f>L819 = "FAIL"</f>
        <v>0</v>
      </c>
      <c r="Q819" s="3" t="b">
        <f>AND(P819, K819)</f>
        <v>0</v>
      </c>
      <c r="R819" s="3" t="str">
        <f>IF(O819, I819, "")</f>
        <v>suite-substrate</v>
      </c>
      <c r="S819" s="3" t="str">
        <f>IF(Q819, I819, "")</f>
      </c>
      <c r="T819" s="2" t="s">
        <v>5935</v>
      </c>
    </row>
    <row r="820">
      <c r="A820" s="2" t="s">
        <v>6789</v>
      </c>
      <c r="B820" s="3" t="str">
        <f>C820 &amp; ": " &amp; D820</f>
        <v>formula-translates: MessageDeliveries.IsTriaged</v>
      </c>
      <c r="C820" s="2" t="s">
        <v>6038</v>
      </c>
      <c r="D820" s="2" t="s">
        <v>4545</v>
      </c>
      <c r="E820" s="2" t="s">
        <v>4378</v>
      </c>
      <c r="F820" s="2" t="s">
        <v>4546</v>
      </c>
      <c r="G820" s="2" t="s">
        <v>6039</v>
      </c>
      <c r="H820" s="2" t="s">
        <v>2068</v>
      </c>
      <c r="I820" s="2" t="s">
        <v>5920</v>
      </c>
      <c r="J820" s="2" t="s">
        <v>5933</v>
      </c>
      <c r="K820" s="3" t="b">
        <f>J820 = "blocking"</f>
        <v>1</v>
      </c>
      <c r="L820" s="2" t="s">
        <v>1428</v>
      </c>
      <c r="M820" s="2" t="s">
        <v>6040</v>
      </c>
      <c r="N820" s="4">
        <v>46223.1297337963</v>
      </c>
      <c r="O820" s="3" t="b">
        <f>L820 = "PASS"</f>
        <v>1</v>
      </c>
      <c r="P820" s="3" t="b">
        <f>L820 = "FAIL"</f>
        <v>0</v>
      </c>
      <c r="Q820" s="3" t="b">
        <f>AND(P820, K820)</f>
        <v>0</v>
      </c>
      <c r="R820" s="3" t="str">
        <f>IF(O820, I820, "")</f>
        <v>suite-substrate</v>
      </c>
      <c r="S820" s="3" t="str">
        <f>IF(Q820, I820, "")</f>
      </c>
      <c r="T820" s="2" t="s">
        <v>5935</v>
      </c>
    </row>
    <row r="821">
      <c r="A821" s="2" t="s">
        <v>6790</v>
      </c>
      <c r="B821" s="3" t="str">
        <f>C821 &amp; ": " &amp; D821</f>
        <v>formula-translates: MessageDeliveries.IsAbandonedFailure</v>
      </c>
      <c r="C821" s="2" t="s">
        <v>6038</v>
      </c>
      <c r="D821" s="2" t="s">
        <v>4548</v>
      </c>
      <c r="E821" s="2" t="s">
        <v>4378</v>
      </c>
      <c r="F821" s="2" t="s">
        <v>4549</v>
      </c>
      <c r="G821" s="2" t="s">
        <v>6039</v>
      </c>
      <c r="H821" s="2" t="s">
        <v>2068</v>
      </c>
      <c r="I821" s="2" t="s">
        <v>5920</v>
      </c>
      <c r="J821" s="2" t="s">
        <v>5933</v>
      </c>
      <c r="K821" s="3" t="b">
        <f>J821 = "blocking"</f>
        <v>1</v>
      </c>
      <c r="L821" s="2" t="s">
        <v>1428</v>
      </c>
      <c r="M821" s="2" t="s">
        <v>6040</v>
      </c>
      <c r="N821" s="4">
        <v>46223.1297337963</v>
      </c>
      <c r="O821" s="3" t="b">
        <f>L821 = "PASS"</f>
        <v>1</v>
      </c>
      <c r="P821" s="3" t="b">
        <f>L821 = "FAIL"</f>
        <v>0</v>
      </c>
      <c r="Q821" s="3" t="b">
        <f>AND(P821, K821)</f>
        <v>0</v>
      </c>
      <c r="R821" s="3" t="str">
        <f>IF(O821, I821, "")</f>
        <v>suite-substrate</v>
      </c>
      <c r="S821" s="3" t="str">
        <f>IF(Q821, I821, "")</f>
      </c>
      <c r="T821" s="2" t="s">
        <v>5935</v>
      </c>
    </row>
    <row r="822">
      <c r="A822" s="2" t="s">
        <v>6791</v>
      </c>
      <c r="B822" s="3" t="str">
        <f>C822 &amp; ": " &amp; D822</f>
        <v>formula-translates: MessageDeliveries.AbandonedFailureExecutionKey</v>
      </c>
      <c r="C822" s="2" t="s">
        <v>6038</v>
      </c>
      <c r="D822" s="2" t="s">
        <v>4551</v>
      </c>
      <c r="E822" s="2" t="s">
        <v>4378</v>
      </c>
      <c r="F822" s="2" t="s">
        <v>4552</v>
      </c>
      <c r="G822" s="2" t="s">
        <v>6039</v>
      </c>
      <c r="H822" s="2" t="s">
        <v>2068</v>
      </c>
      <c r="I822" s="2" t="s">
        <v>5920</v>
      </c>
      <c r="J822" s="2" t="s">
        <v>5933</v>
      </c>
      <c r="K822" s="3" t="b">
        <f>J822 = "blocking"</f>
        <v>1</v>
      </c>
      <c r="L822" s="2" t="s">
        <v>1428</v>
      </c>
      <c r="M822" s="2" t="s">
        <v>6040</v>
      </c>
      <c r="N822" s="4">
        <v>46223.1297337963</v>
      </c>
      <c r="O822" s="3" t="b">
        <f>L822 = "PASS"</f>
        <v>1</v>
      </c>
      <c r="P822" s="3" t="b">
        <f>L822 = "FAIL"</f>
        <v>0</v>
      </c>
      <c r="Q822" s="3" t="b">
        <f>AND(P822, K822)</f>
        <v>0</v>
      </c>
      <c r="R822" s="3" t="str">
        <f>IF(O822, I822, "")</f>
        <v>suite-substrate</v>
      </c>
      <c r="S822" s="3" t="str">
        <f>IF(Q822, I822, "")</f>
      </c>
      <c r="T822" s="2" t="s">
        <v>5935</v>
      </c>
    </row>
    <row r="823">
      <c r="A823" s="2" t="s">
        <v>6792</v>
      </c>
      <c r="B823" s="3" t="str">
        <f>C823 &amp; ": " &amp; D823</f>
        <v>formula-translates: MessageDeliveries.ReachedExecutionKey</v>
      </c>
      <c r="C823" s="2" t="s">
        <v>6038</v>
      </c>
      <c r="D823" s="2" t="s">
        <v>4554</v>
      </c>
      <c r="E823" s="2" t="s">
        <v>4378</v>
      </c>
      <c r="F823" s="2" t="s">
        <v>4555</v>
      </c>
      <c r="G823" s="2" t="s">
        <v>6039</v>
      </c>
      <c r="H823" s="2" t="s">
        <v>2068</v>
      </c>
      <c r="I823" s="2" t="s">
        <v>5920</v>
      </c>
      <c r="J823" s="2" t="s">
        <v>5933</v>
      </c>
      <c r="K823" s="3" t="b">
        <f>J823 = "blocking"</f>
        <v>1</v>
      </c>
      <c r="L823" s="2" t="s">
        <v>1428</v>
      </c>
      <c r="M823" s="2" t="s">
        <v>6040</v>
      </c>
      <c r="N823" s="4">
        <v>46223.1297337963</v>
      </c>
      <c r="O823" s="3" t="b">
        <f>L823 = "PASS"</f>
        <v>1</v>
      </c>
      <c r="P823" s="3" t="b">
        <f>L823 = "FAIL"</f>
        <v>0</v>
      </c>
      <c r="Q823" s="3" t="b">
        <f>AND(P823, K823)</f>
        <v>0</v>
      </c>
      <c r="R823" s="3" t="str">
        <f>IF(O823, I823, "")</f>
        <v>suite-substrate</v>
      </c>
      <c r="S823" s="3" t="str">
        <f>IF(Q823, I823, "")</f>
      </c>
      <c r="T823" s="2" t="s">
        <v>5935</v>
      </c>
    </row>
    <row r="824">
      <c r="A824" s="2" t="s">
        <v>6793</v>
      </c>
      <c r="B824" s="3" t="str">
        <f>C824 &amp; ": " &amp; D824</f>
        <v>formula-translates: MessageDeliveries.TemplateWasSendable</v>
      </c>
      <c r="C824" s="2" t="s">
        <v>6038</v>
      </c>
      <c r="D824" s="2" t="s">
        <v>4557</v>
      </c>
      <c r="E824" s="2" t="s">
        <v>4378</v>
      </c>
      <c r="F824" s="2" t="s">
        <v>4558</v>
      </c>
      <c r="G824" s="2" t="s">
        <v>6039</v>
      </c>
      <c r="H824" s="2" t="s">
        <v>2072</v>
      </c>
      <c r="I824" s="2" t="s">
        <v>5920</v>
      </c>
      <c r="J824" s="2" t="s">
        <v>5933</v>
      </c>
      <c r="K824" s="3" t="b">
        <f>J824 = "blocking"</f>
        <v>1</v>
      </c>
      <c r="L824" s="2" t="s">
        <v>1428</v>
      </c>
      <c r="M824" s="2" t="s">
        <v>6040</v>
      </c>
      <c r="N824" s="4">
        <v>46223.1297337963</v>
      </c>
      <c r="O824" s="3" t="b">
        <f>L824 = "PASS"</f>
        <v>1</v>
      </c>
      <c r="P824" s="3" t="b">
        <f>L824 = "FAIL"</f>
        <v>0</v>
      </c>
      <c r="Q824" s="3" t="b">
        <f>AND(P824, K824)</f>
        <v>0</v>
      </c>
      <c r="R824" s="3" t="str">
        <f>IF(O824, I824, "")</f>
        <v>suite-substrate</v>
      </c>
      <c r="S824" s="3" t="str">
        <f>IF(Q824, I824, "")</f>
      </c>
      <c r="T824" s="2" t="s">
        <v>5935</v>
      </c>
    </row>
    <row r="825">
      <c r="A825" s="2" t="s">
        <v>6794</v>
      </c>
      <c r="B825" s="3" t="str">
        <f>C825 &amp; ": " &amp; D825</f>
        <v>formula-translates: MessageDeliveries.IsDriftedSend</v>
      </c>
      <c r="C825" s="2" t="s">
        <v>6038</v>
      </c>
      <c r="D825" s="2" t="s">
        <v>4560</v>
      </c>
      <c r="E825" s="2" t="s">
        <v>4378</v>
      </c>
      <c r="F825" s="2" t="s">
        <v>4561</v>
      </c>
      <c r="G825" s="2" t="s">
        <v>6039</v>
      </c>
      <c r="H825" s="2" t="s">
        <v>2072</v>
      </c>
      <c r="I825" s="2" t="s">
        <v>5920</v>
      </c>
      <c r="J825" s="2" t="s">
        <v>5933</v>
      </c>
      <c r="K825" s="3" t="b">
        <f>J825 = "blocking"</f>
        <v>1</v>
      </c>
      <c r="L825" s="2" t="s">
        <v>1428</v>
      </c>
      <c r="M825" s="2" t="s">
        <v>6040</v>
      </c>
      <c r="N825" s="4">
        <v>46223.1297337963</v>
      </c>
      <c r="O825" s="3" t="b">
        <f>L825 = "PASS"</f>
        <v>1</v>
      </c>
      <c r="P825" s="3" t="b">
        <f>L825 = "FAIL"</f>
        <v>0</v>
      </c>
      <c r="Q825" s="3" t="b">
        <f>AND(P825, K825)</f>
        <v>0</v>
      </c>
      <c r="R825" s="3" t="str">
        <f>IF(O825, I825, "")</f>
        <v>suite-substrate</v>
      </c>
      <c r="S825" s="3" t="str">
        <f>IF(Q825, I825, "")</f>
      </c>
      <c r="T825" s="2" t="s">
        <v>5935</v>
      </c>
    </row>
    <row r="826">
      <c r="A826" s="2" t="s">
        <v>6795</v>
      </c>
      <c r="B826" s="3" t="str">
        <f>C826 &amp; ": " &amp; D826</f>
        <v>formula-translates: MessageDeliveries.DriftedSendTemplateKey</v>
      </c>
      <c r="C826" s="2" t="s">
        <v>6038</v>
      </c>
      <c r="D826" s="2" t="s">
        <v>4563</v>
      </c>
      <c r="E826" s="2" t="s">
        <v>4378</v>
      </c>
      <c r="F826" s="2" t="s">
        <v>4564</v>
      </c>
      <c r="G826" s="2" t="s">
        <v>6039</v>
      </c>
      <c r="H826" s="2" t="s">
        <v>2072</v>
      </c>
      <c r="I826" s="2" t="s">
        <v>5920</v>
      </c>
      <c r="J826" s="2" t="s">
        <v>5933</v>
      </c>
      <c r="K826" s="3" t="b">
        <f>J826 = "blocking"</f>
        <v>1</v>
      </c>
      <c r="L826" s="2" t="s">
        <v>1428</v>
      </c>
      <c r="M826" s="2" t="s">
        <v>6040</v>
      </c>
      <c r="N826" s="4">
        <v>46223.1297337963</v>
      </c>
      <c r="O826" s="3" t="b">
        <f>L826 = "PASS"</f>
        <v>1</v>
      </c>
      <c r="P826" s="3" t="b">
        <f>L826 = "FAIL"</f>
        <v>0</v>
      </c>
      <c r="Q826" s="3" t="b">
        <f>AND(P826, K826)</f>
        <v>0</v>
      </c>
      <c r="R826" s="3" t="str">
        <f>IF(O826, I826, "")</f>
        <v>suite-substrate</v>
      </c>
      <c r="S826" s="3" t="str">
        <f>IF(Q826, I826, "")</f>
      </c>
      <c r="T826" s="2" t="s">
        <v>5935</v>
      </c>
    </row>
    <row r="827">
      <c r="A827" s="2" t="s">
        <v>6796</v>
      </c>
      <c r="B827" s="3" t="str">
        <f>C827 &amp; ": " &amp; D827</f>
        <v>formula-translates: MessageDeliveries.WasSentOutsideBusinessHours</v>
      </c>
      <c r="C827" s="2" t="s">
        <v>6038</v>
      </c>
      <c r="D827" s="2" t="s">
        <v>4566</v>
      </c>
      <c r="E827" s="2" t="s">
        <v>4378</v>
      </c>
      <c r="F827" s="2" t="s">
        <v>4567</v>
      </c>
      <c r="G827" s="2" t="s">
        <v>6039</v>
      </c>
      <c r="H827" s="2" t="s">
        <v>2300</v>
      </c>
      <c r="I827" s="2" t="s">
        <v>5920</v>
      </c>
      <c r="J827" s="2" t="s">
        <v>5933</v>
      </c>
      <c r="K827" s="3" t="b">
        <f>J827 = "blocking"</f>
        <v>1</v>
      </c>
      <c r="L827" s="2" t="s">
        <v>1428</v>
      </c>
      <c r="M827" s="2" t="s">
        <v>6040</v>
      </c>
      <c r="N827" s="4">
        <v>46223.1297337963</v>
      </c>
      <c r="O827" s="3" t="b">
        <f>L827 = "PASS"</f>
        <v>1</v>
      </c>
      <c r="P827" s="3" t="b">
        <f>L827 = "FAIL"</f>
        <v>0</v>
      </c>
      <c r="Q827" s="3" t="b">
        <f>AND(P827, K827)</f>
        <v>0</v>
      </c>
      <c r="R827" s="3" t="str">
        <f>IF(O827, I827, "")</f>
        <v>suite-substrate</v>
      </c>
      <c r="S827" s="3" t="str">
        <f>IF(Q827, I827, "")</f>
      </c>
      <c r="T827" s="2" t="s">
        <v>5935</v>
      </c>
    </row>
    <row r="828">
      <c r="A828" s="2" t="s">
        <v>6797</v>
      </c>
      <c r="B828" s="3" t="str">
        <f>C828 &amp; ": " &amp; D828</f>
        <v>formula-translates: MessageDeliveries.WasDeliveredAndUnanswered</v>
      </c>
      <c r="C828" s="2" t="s">
        <v>6038</v>
      </c>
      <c r="D828" s="2" t="s">
        <v>4569</v>
      </c>
      <c r="E828" s="2" t="s">
        <v>4378</v>
      </c>
      <c r="F828" s="2" t="s">
        <v>4570</v>
      </c>
      <c r="G828" s="2" t="s">
        <v>6039</v>
      </c>
      <c r="H828" s="2" t="s">
        <v>2300</v>
      </c>
      <c r="I828" s="2" t="s">
        <v>5920</v>
      </c>
      <c r="J828" s="2" t="s">
        <v>5933</v>
      </c>
      <c r="K828" s="3" t="b">
        <f>J828 = "blocking"</f>
        <v>1</v>
      </c>
      <c r="L828" s="2" t="s">
        <v>1428</v>
      </c>
      <c r="M828" s="2" t="s">
        <v>6040</v>
      </c>
      <c r="N828" s="4">
        <v>46223.1297337963</v>
      </c>
      <c r="O828" s="3" t="b">
        <f>L828 = "PASS"</f>
        <v>1</v>
      </c>
      <c r="P828" s="3" t="b">
        <f>L828 = "FAIL"</f>
        <v>0</v>
      </c>
      <c r="Q828" s="3" t="b">
        <f>AND(P828, K828)</f>
        <v>0</v>
      </c>
      <c r="R828" s="3" t="str">
        <f>IF(O828, I828, "")</f>
        <v>suite-substrate</v>
      </c>
      <c r="S828" s="3" t="str">
        <f>IF(Q828, I828, "")</f>
      </c>
      <c r="T828" s="2" t="s">
        <v>5935</v>
      </c>
    </row>
    <row r="829">
      <c r="A829" s="2" t="s">
        <v>6798</v>
      </c>
      <c r="B829" s="3" t="str">
        <f>C829 &amp; ": " &amp; D829</f>
        <v>formula-translates: MessageDeliveries.IsPoorlyTimedUnanswered</v>
      </c>
      <c r="C829" s="2" t="s">
        <v>6038</v>
      </c>
      <c r="D829" s="2" t="s">
        <v>4572</v>
      </c>
      <c r="E829" s="2" t="s">
        <v>4378</v>
      </c>
      <c r="F829" s="2" t="s">
        <v>4573</v>
      </c>
      <c r="G829" s="2" t="s">
        <v>6039</v>
      </c>
      <c r="H829" s="2" t="s">
        <v>2300</v>
      </c>
      <c r="I829" s="2" t="s">
        <v>5920</v>
      </c>
      <c r="J829" s="2" t="s">
        <v>5933</v>
      </c>
      <c r="K829" s="3" t="b">
        <f>J829 = "blocking"</f>
        <v>1</v>
      </c>
      <c r="L829" s="2" t="s">
        <v>1428</v>
      </c>
      <c r="M829" s="2" t="s">
        <v>6040</v>
      </c>
      <c r="N829" s="4">
        <v>46223.1297337963</v>
      </c>
      <c r="O829" s="3" t="b">
        <f>L829 = "PASS"</f>
        <v>1</v>
      </c>
      <c r="P829" s="3" t="b">
        <f>L829 = "FAIL"</f>
        <v>0</v>
      </c>
      <c r="Q829" s="3" t="b">
        <f>AND(P829, K829)</f>
        <v>0</v>
      </c>
      <c r="R829" s="3" t="str">
        <f>IF(O829, I829, "")</f>
        <v>suite-substrate</v>
      </c>
      <c r="S829" s="3" t="str">
        <f>IF(Q829, I829, "")</f>
      </c>
      <c r="T829" s="2" t="s">
        <v>5935</v>
      </c>
    </row>
    <row r="830">
      <c r="A830" s="2" t="s">
        <v>6799</v>
      </c>
      <c r="B830" s="3" t="str">
        <f>C830 &amp; ": " &amp; D830</f>
        <v>formula-translates: MessageDeliveries.IsWellTimedUnanswered</v>
      </c>
      <c r="C830" s="2" t="s">
        <v>6038</v>
      </c>
      <c r="D830" s="2" t="s">
        <v>4575</v>
      </c>
      <c r="E830" s="2" t="s">
        <v>4378</v>
      </c>
      <c r="F830" s="2" t="s">
        <v>4576</v>
      </c>
      <c r="G830" s="2" t="s">
        <v>6039</v>
      </c>
      <c r="H830" s="2" t="s">
        <v>2300</v>
      </c>
      <c r="I830" s="2" t="s">
        <v>5920</v>
      </c>
      <c r="J830" s="2" t="s">
        <v>5933</v>
      </c>
      <c r="K830" s="3" t="b">
        <f>J830 = "blocking"</f>
        <v>1</v>
      </c>
      <c r="L830" s="2" t="s">
        <v>1428</v>
      </c>
      <c r="M830" s="2" t="s">
        <v>6040</v>
      </c>
      <c r="N830" s="4">
        <v>46223.1297337963</v>
      </c>
      <c r="O830" s="3" t="b">
        <f>L830 = "PASS"</f>
        <v>1</v>
      </c>
      <c r="P830" s="3" t="b">
        <f>L830 = "FAIL"</f>
        <v>0</v>
      </c>
      <c r="Q830" s="3" t="b">
        <f>AND(P830, K830)</f>
        <v>0</v>
      </c>
      <c r="R830" s="3" t="str">
        <f>IF(O830, I830, "")</f>
        <v>suite-substrate</v>
      </c>
      <c r="S830" s="3" t="str">
        <f>IF(Q830, I830, "")</f>
      </c>
      <c r="T830" s="2" t="s">
        <v>5935</v>
      </c>
    </row>
    <row r="831">
      <c r="A831" s="2" t="s">
        <v>6800</v>
      </c>
      <c r="B831" s="3" t="str">
        <f>C831 &amp; ": " &amp; D831</f>
        <v>formula-translates: MessageDeliveries.UnansweredTemplateKey</v>
      </c>
      <c r="C831" s="2" t="s">
        <v>6038</v>
      </c>
      <c r="D831" s="2" t="s">
        <v>4578</v>
      </c>
      <c r="E831" s="2" t="s">
        <v>4378</v>
      </c>
      <c r="F831" s="2" t="s">
        <v>4579</v>
      </c>
      <c r="G831" s="2" t="s">
        <v>6039</v>
      </c>
      <c r="H831" s="2" t="s">
        <v>2300</v>
      </c>
      <c r="I831" s="2" t="s">
        <v>5920</v>
      </c>
      <c r="J831" s="2" t="s">
        <v>5933</v>
      </c>
      <c r="K831" s="3" t="b">
        <f>J831 = "blocking"</f>
        <v>1</v>
      </c>
      <c r="L831" s="2" t="s">
        <v>1428</v>
      </c>
      <c r="M831" s="2" t="s">
        <v>6040</v>
      </c>
      <c r="N831" s="4">
        <v>46223.1297337963</v>
      </c>
      <c r="O831" s="3" t="b">
        <f>L831 = "PASS"</f>
        <v>1</v>
      </c>
      <c r="P831" s="3" t="b">
        <f>L831 = "FAIL"</f>
        <v>0</v>
      </c>
      <c r="Q831" s="3" t="b">
        <f>AND(P831, K831)</f>
        <v>0</v>
      </c>
      <c r="R831" s="3" t="str">
        <f>IF(O831, I831, "")</f>
        <v>suite-substrate</v>
      </c>
      <c r="S831" s="3" t="str">
        <f>IF(Q831, I831, "")</f>
      </c>
      <c r="T831" s="2" t="s">
        <v>5935</v>
      </c>
    </row>
    <row r="832">
      <c r="A832" s="2" t="s">
        <v>6801</v>
      </c>
      <c r="B832" s="3" t="str">
        <f>C832 &amp; ": " &amp; D832</f>
        <v>formula-translates: MessageDeliveries.TransmittedTemplateKey</v>
      </c>
      <c r="C832" s="2" t="s">
        <v>6038</v>
      </c>
      <c r="D832" s="2" t="s">
        <v>4581</v>
      </c>
      <c r="E832" s="2" t="s">
        <v>4378</v>
      </c>
      <c r="F832" s="2" t="s">
        <v>4582</v>
      </c>
      <c r="G832" s="2" t="s">
        <v>6039</v>
      </c>
      <c r="H832" s="2" t="s">
        <v>2300</v>
      </c>
      <c r="I832" s="2" t="s">
        <v>5920</v>
      </c>
      <c r="J832" s="2" t="s">
        <v>5933</v>
      </c>
      <c r="K832" s="3" t="b">
        <f>J832 = "blocking"</f>
        <v>1</v>
      </c>
      <c r="L832" s="2" t="s">
        <v>1428</v>
      </c>
      <c r="M832" s="2" t="s">
        <v>6040</v>
      </c>
      <c r="N832" s="4">
        <v>46223.1297337963</v>
      </c>
      <c r="O832" s="3" t="b">
        <f>L832 = "PASS"</f>
        <v>1</v>
      </c>
      <c r="P832" s="3" t="b">
        <f>L832 = "FAIL"</f>
        <v>0</v>
      </c>
      <c r="Q832" s="3" t="b">
        <f>AND(P832, K832)</f>
        <v>0</v>
      </c>
      <c r="R832" s="3" t="str">
        <f>IF(O832, I832, "")</f>
        <v>suite-substrate</v>
      </c>
      <c r="S832" s="3" t="str">
        <f>IF(Q832, I832, "")</f>
      </c>
      <c r="T832" s="2" t="s">
        <v>5935</v>
      </c>
    </row>
    <row r="833">
      <c r="A833" s="2" t="s">
        <v>6802</v>
      </c>
      <c r="B833" s="3" t="str">
        <f>C833 &amp; ": " &amp; D833</f>
        <v>formula-translates: MessageDeliveries.ApprovalPrecededSend</v>
      </c>
      <c r="C833" s="2" t="s">
        <v>6038</v>
      </c>
      <c r="D833" s="2" t="s">
        <v>4590</v>
      </c>
      <c r="E833" s="2" t="s">
        <v>4378</v>
      </c>
      <c r="F833" s="2" t="s">
        <v>4591</v>
      </c>
      <c r="G833" s="2" t="s">
        <v>6039</v>
      </c>
      <c r="H833" s="2" t="s">
        <v>2308</v>
      </c>
      <c r="I833" s="2" t="s">
        <v>5920</v>
      </c>
      <c r="J833" s="2" t="s">
        <v>5933</v>
      </c>
      <c r="K833" s="3" t="b">
        <f>J833 = "blocking"</f>
        <v>1</v>
      </c>
      <c r="L833" s="2" t="s">
        <v>1428</v>
      </c>
      <c r="M833" s="2" t="s">
        <v>6040</v>
      </c>
      <c r="N833" s="4">
        <v>46223.1297337963</v>
      </c>
      <c r="O833" s="3" t="b">
        <f>L833 = "PASS"</f>
        <v>1</v>
      </c>
      <c r="P833" s="3" t="b">
        <f>L833 = "FAIL"</f>
        <v>0</v>
      </c>
      <c r="Q833" s="3" t="b">
        <f>AND(P833, K833)</f>
        <v>0</v>
      </c>
      <c r="R833" s="3" t="str">
        <f>IF(O833, I833, "")</f>
        <v>suite-substrate</v>
      </c>
      <c r="S833" s="3" t="str">
        <f>IF(Q833, I833, "")</f>
      </c>
      <c r="T833" s="2" t="s">
        <v>5935</v>
      </c>
    </row>
    <row r="834">
      <c r="A834" s="2" t="s">
        <v>6803</v>
      </c>
      <c r="B834" s="3" t="str">
        <f>C834 &amp; ": " &amp; D834</f>
        <v>formula-translates: MessageDeliveries.HasFrozenApprovalEvidence</v>
      </c>
      <c r="C834" s="2" t="s">
        <v>6038</v>
      </c>
      <c r="D834" s="2" t="s">
        <v>4593</v>
      </c>
      <c r="E834" s="2" t="s">
        <v>4378</v>
      </c>
      <c r="F834" s="2" t="s">
        <v>4594</v>
      </c>
      <c r="G834" s="2" t="s">
        <v>6039</v>
      </c>
      <c r="H834" s="2" t="s">
        <v>2308</v>
      </c>
      <c r="I834" s="2" t="s">
        <v>5920</v>
      </c>
      <c r="J834" s="2" t="s">
        <v>5933</v>
      </c>
      <c r="K834" s="3" t="b">
        <f>J834 = "blocking"</f>
        <v>1</v>
      </c>
      <c r="L834" s="2" t="s">
        <v>1428</v>
      </c>
      <c r="M834" s="2" t="s">
        <v>6040</v>
      </c>
      <c r="N834" s="4">
        <v>46223.1297337963</v>
      </c>
      <c r="O834" s="3" t="b">
        <f>L834 = "PASS"</f>
        <v>1</v>
      </c>
      <c r="P834" s="3" t="b">
        <f>L834 = "FAIL"</f>
        <v>0</v>
      </c>
      <c r="Q834" s="3" t="b">
        <f>AND(P834, K834)</f>
        <v>0</v>
      </c>
      <c r="R834" s="3" t="str">
        <f>IF(O834, I834, "")</f>
        <v>suite-substrate</v>
      </c>
      <c r="S834" s="3" t="str">
        <f>IF(Q834, I834, "")</f>
      </c>
      <c r="T834" s="2" t="s">
        <v>5935</v>
      </c>
    </row>
    <row r="835">
      <c r="A835" s="2" t="s">
        <v>6804</v>
      </c>
      <c r="B835" s="3" t="str">
        <f>C835 &amp; ": " &amp; D835</f>
        <v>formula-translates: MessageDeliveries.ProvenanceIsLiveDerived</v>
      </c>
      <c r="C835" s="2" t="s">
        <v>6038</v>
      </c>
      <c r="D835" s="2" t="s">
        <v>4596</v>
      </c>
      <c r="E835" s="2" t="s">
        <v>4378</v>
      </c>
      <c r="F835" s="2" t="s">
        <v>4597</v>
      </c>
      <c r="G835" s="2" t="s">
        <v>6039</v>
      </c>
      <c r="H835" s="2" t="s">
        <v>2308</v>
      </c>
      <c r="I835" s="2" t="s">
        <v>5920</v>
      </c>
      <c r="J835" s="2" t="s">
        <v>5933</v>
      </c>
      <c r="K835" s="3" t="b">
        <f>J835 = "blocking"</f>
        <v>1</v>
      </c>
      <c r="L835" s="2" t="s">
        <v>1428</v>
      </c>
      <c r="M835" s="2" t="s">
        <v>6040</v>
      </c>
      <c r="N835" s="4">
        <v>46223.1297337963</v>
      </c>
      <c r="O835" s="3" t="b">
        <f>L835 = "PASS"</f>
        <v>1</v>
      </c>
      <c r="P835" s="3" t="b">
        <f>L835 = "FAIL"</f>
        <v>0</v>
      </c>
      <c r="Q835" s="3" t="b">
        <f>AND(P835, K835)</f>
        <v>0</v>
      </c>
      <c r="R835" s="3" t="str">
        <f>IF(O835, I835, "")</f>
        <v>suite-substrate</v>
      </c>
      <c r="S835" s="3" t="str">
        <f>IF(Q835, I835, "")</f>
      </c>
      <c r="T835" s="2" t="s">
        <v>5935</v>
      </c>
    </row>
    <row r="836">
      <c r="A836" s="2" t="s">
        <v>6805</v>
      </c>
      <c r="B836" s="3" t="str">
        <f>C836 &amp; ": " &amp; D836</f>
        <v>formula-translates: MessageDeliveries.CurrentLastApprovalAt</v>
      </c>
      <c r="C836" s="2" t="s">
        <v>6038</v>
      </c>
      <c r="D836" s="2" t="s">
        <v>4599</v>
      </c>
      <c r="E836" s="2" t="s">
        <v>4378</v>
      </c>
      <c r="F836" s="2" t="s">
        <v>4600</v>
      </c>
      <c r="G836" s="2" t="s">
        <v>6039</v>
      </c>
      <c r="H836" s="2" t="s">
        <v>2308</v>
      </c>
      <c r="I836" s="2" t="s">
        <v>5920</v>
      </c>
      <c r="J836" s="2" t="s">
        <v>5933</v>
      </c>
      <c r="K836" s="3" t="b">
        <f>J836 = "blocking"</f>
        <v>1</v>
      </c>
      <c r="L836" s="2" t="s">
        <v>1428</v>
      </c>
      <c r="M836" s="2" t="s">
        <v>6040</v>
      </c>
      <c r="N836" s="4">
        <v>46223.1297337963</v>
      </c>
      <c r="O836" s="3" t="b">
        <f>L836 = "PASS"</f>
        <v>1</v>
      </c>
      <c r="P836" s="3" t="b">
        <f>L836 = "FAIL"</f>
        <v>0</v>
      </c>
      <c r="Q836" s="3" t="b">
        <f>AND(P836, K836)</f>
        <v>0</v>
      </c>
      <c r="R836" s="3" t="str">
        <f>IF(O836, I836, "")</f>
        <v>suite-substrate</v>
      </c>
      <c r="S836" s="3" t="str">
        <f>IF(Q836, I836, "")</f>
      </c>
      <c r="T836" s="2" t="s">
        <v>5935</v>
      </c>
    </row>
    <row r="837">
      <c r="A837" s="2" t="s">
        <v>6806</v>
      </c>
      <c r="B837" s="3" t="str">
        <f>C837 &amp; ": " &amp; D837</f>
        <v>formula-translates: MessageDeliveries.TemplateReapprovedSinceSend</v>
      </c>
      <c r="C837" s="2" t="s">
        <v>6038</v>
      </c>
      <c r="D837" s="2" t="s">
        <v>4602</v>
      </c>
      <c r="E837" s="2" t="s">
        <v>4378</v>
      </c>
      <c r="F837" s="2" t="s">
        <v>4603</v>
      </c>
      <c r="G837" s="2" t="s">
        <v>6039</v>
      </c>
      <c r="H837" s="2" t="s">
        <v>2308</v>
      </c>
      <c r="I837" s="2" t="s">
        <v>5920</v>
      </c>
      <c r="J837" s="2" t="s">
        <v>5933</v>
      </c>
      <c r="K837" s="3" t="b">
        <f>J837 = "blocking"</f>
        <v>1</v>
      </c>
      <c r="L837" s="2" t="s">
        <v>1428</v>
      </c>
      <c r="M837" s="2" t="s">
        <v>6040</v>
      </c>
      <c r="N837" s="4">
        <v>46223.1297337963</v>
      </c>
      <c r="O837" s="3" t="b">
        <f>L837 = "PASS"</f>
        <v>1</v>
      </c>
      <c r="P837" s="3" t="b">
        <f>L837 = "FAIL"</f>
        <v>0</v>
      </c>
      <c r="Q837" s="3" t="b">
        <f>AND(P837, K837)</f>
        <v>0</v>
      </c>
      <c r="R837" s="3" t="str">
        <f>IF(O837, I837, "")</f>
        <v>suite-substrate</v>
      </c>
      <c r="S837" s="3" t="str">
        <f>IF(Q837, I837, "")</f>
      </c>
      <c r="T837" s="2" t="s">
        <v>5935</v>
      </c>
    </row>
    <row r="838">
      <c r="A838" s="2" t="s">
        <v>6807</v>
      </c>
      <c r="B838" s="3" t="str">
        <f>C838 &amp; ": " &amp; D838</f>
        <v>formula-translates: MessageDeliveries.IsUnprovableApprovalClaim</v>
      </c>
      <c r="C838" s="2" t="s">
        <v>6038</v>
      </c>
      <c r="D838" s="2" t="s">
        <v>4605</v>
      </c>
      <c r="E838" s="2" t="s">
        <v>4378</v>
      </c>
      <c r="F838" s="2" t="s">
        <v>4606</v>
      </c>
      <c r="G838" s="2" t="s">
        <v>6039</v>
      </c>
      <c r="H838" s="2" t="s">
        <v>2308</v>
      </c>
      <c r="I838" s="2" t="s">
        <v>5920</v>
      </c>
      <c r="J838" s="2" t="s">
        <v>5933</v>
      </c>
      <c r="K838" s="3" t="b">
        <f>J838 = "blocking"</f>
        <v>1</v>
      </c>
      <c r="L838" s="2" t="s">
        <v>1428</v>
      </c>
      <c r="M838" s="2" t="s">
        <v>6040</v>
      </c>
      <c r="N838" s="4">
        <v>46223.1297337963</v>
      </c>
      <c r="O838" s="3" t="b">
        <f>L838 = "PASS"</f>
        <v>1</v>
      </c>
      <c r="P838" s="3" t="b">
        <f>L838 = "FAIL"</f>
        <v>0</v>
      </c>
      <c r="Q838" s="3" t="b">
        <f>AND(P838, K838)</f>
        <v>0</v>
      </c>
      <c r="R838" s="3" t="str">
        <f>IF(O838, I838, "")</f>
        <v>suite-substrate</v>
      </c>
      <c r="S838" s="3" t="str">
        <f>IF(Q838, I838, "")</f>
      </c>
      <c r="T838" s="2" t="s">
        <v>5935</v>
      </c>
    </row>
    <row r="839">
      <c r="A839" s="2" t="s">
        <v>6808</v>
      </c>
      <c r="B839" s="3" t="str">
        <f>C839 &amp; ": " &amp; D839</f>
        <v>formula-translates: MessageDeliveries.HasSentReminder</v>
      </c>
      <c r="C839" s="2" t="s">
        <v>6038</v>
      </c>
      <c r="D839" s="2" t="s">
        <v>4612</v>
      </c>
      <c r="E839" s="2" t="s">
        <v>4378</v>
      </c>
      <c r="F839" s="2" t="s">
        <v>4613</v>
      </c>
      <c r="G839" s="2" t="s">
        <v>6039</v>
      </c>
      <c r="H839" s="2" t="s">
        <v>2352</v>
      </c>
      <c r="I839" s="2" t="s">
        <v>5920</v>
      </c>
      <c r="J839" s="2" t="s">
        <v>5933</v>
      </c>
      <c r="K839" s="3" t="b">
        <f>J839 = "blocking"</f>
        <v>1</v>
      </c>
      <c r="L839" s="2" t="s">
        <v>1428</v>
      </c>
      <c r="M839" s="2" t="s">
        <v>6040</v>
      </c>
      <c r="N839" s="4">
        <v>46223.1297337963</v>
      </c>
      <c r="O839" s="3" t="b">
        <f>L839 = "PASS"</f>
        <v>1</v>
      </c>
      <c r="P839" s="3" t="b">
        <f>L839 = "FAIL"</f>
        <v>0</v>
      </c>
      <c r="Q839" s="3" t="b">
        <f>AND(P839, K839)</f>
        <v>0</v>
      </c>
      <c r="R839" s="3" t="str">
        <f>IF(O839, I839, "")</f>
        <v>suite-substrate</v>
      </c>
      <c r="S839" s="3" t="str">
        <f>IF(Q839, I839, "")</f>
      </c>
      <c r="T839" s="2" t="s">
        <v>5935</v>
      </c>
    </row>
    <row r="840">
      <c r="A840" s="2" t="s">
        <v>6809</v>
      </c>
      <c r="B840" s="3" t="str">
        <f>C840 &amp; ": " &amp; D840</f>
        <v>formula-translates: MessageDeliveries.AcknowledgementIsOutstanding</v>
      </c>
      <c r="C840" s="2" t="s">
        <v>6038</v>
      </c>
      <c r="D840" s="2" t="s">
        <v>4615</v>
      </c>
      <c r="E840" s="2" t="s">
        <v>4378</v>
      </c>
      <c r="F840" s="2" t="s">
        <v>4616</v>
      </c>
      <c r="G840" s="2" t="s">
        <v>6039</v>
      </c>
      <c r="H840" s="2" t="s">
        <v>2352</v>
      </c>
      <c r="I840" s="2" t="s">
        <v>5920</v>
      </c>
      <c r="J840" s="2" t="s">
        <v>5933</v>
      </c>
      <c r="K840" s="3" t="b">
        <f>J840 = "blocking"</f>
        <v>1</v>
      </c>
      <c r="L840" s="2" t="s">
        <v>1428</v>
      </c>
      <c r="M840" s="2" t="s">
        <v>6040</v>
      </c>
      <c r="N840" s="4">
        <v>46223.1297337963</v>
      </c>
      <c r="O840" s="3" t="b">
        <f>L840 = "PASS"</f>
        <v>1</v>
      </c>
      <c r="P840" s="3" t="b">
        <f>L840 = "FAIL"</f>
        <v>0</v>
      </c>
      <c r="Q840" s="3" t="b">
        <f>AND(P840, K840)</f>
        <v>0</v>
      </c>
      <c r="R840" s="3" t="str">
        <f>IF(O840, I840, "")</f>
        <v>suite-substrate</v>
      </c>
      <c r="S840" s="3" t="str">
        <f>IF(Q840, I840, "")</f>
      </c>
      <c r="T840" s="2" t="s">
        <v>5935</v>
      </c>
    </row>
    <row r="841">
      <c r="A841" s="2" t="s">
        <v>6810</v>
      </c>
      <c r="B841" s="3" t="str">
        <f>C841 &amp; ": " &amp; D841</f>
        <v>formula-translates: MessageDeliveries.OutstandingAgeDays</v>
      </c>
      <c r="C841" s="2" t="s">
        <v>6038</v>
      </c>
      <c r="D841" s="2" t="s">
        <v>4618</v>
      </c>
      <c r="E841" s="2" t="s">
        <v>4378</v>
      </c>
      <c r="F841" s="2" t="s">
        <v>4619</v>
      </c>
      <c r="G841" s="2" t="s">
        <v>6039</v>
      </c>
      <c r="H841" s="2" t="s">
        <v>2352</v>
      </c>
      <c r="I841" s="2" t="s">
        <v>5920</v>
      </c>
      <c r="J841" s="2" t="s">
        <v>5933</v>
      </c>
      <c r="K841" s="3" t="b">
        <f>J841 = "blocking"</f>
        <v>1</v>
      </c>
      <c r="L841" s="2" t="s">
        <v>1428</v>
      </c>
      <c r="M841" s="2" t="s">
        <v>6040</v>
      </c>
      <c r="N841" s="4">
        <v>46223.1297337963</v>
      </c>
      <c r="O841" s="3" t="b">
        <f>L841 = "PASS"</f>
        <v>1</v>
      </c>
      <c r="P841" s="3" t="b">
        <f>L841 = "FAIL"</f>
        <v>0</v>
      </c>
      <c r="Q841" s="3" t="b">
        <f>AND(P841, K841)</f>
        <v>0</v>
      </c>
      <c r="R841" s="3" t="str">
        <f>IF(O841, I841, "")</f>
        <v>suite-substrate</v>
      </c>
      <c r="S841" s="3" t="str">
        <f>IF(Q841, I841, "")</f>
      </c>
      <c r="T841" s="2" t="s">
        <v>5935</v>
      </c>
    </row>
    <row r="842">
      <c r="A842" s="2" t="s">
        <v>6811</v>
      </c>
      <c r="B842" s="3" t="str">
        <f>C842 &amp; ": " &amp; D842</f>
        <v>formula-translates: MessageDeliveries.IsUnchasedAcknowledgement</v>
      </c>
      <c r="C842" s="2" t="s">
        <v>6038</v>
      </c>
      <c r="D842" s="2" t="s">
        <v>4621</v>
      </c>
      <c r="E842" s="2" t="s">
        <v>4378</v>
      </c>
      <c r="F842" s="2" t="s">
        <v>4622</v>
      </c>
      <c r="G842" s="2" t="s">
        <v>6039</v>
      </c>
      <c r="H842" s="2" t="s">
        <v>2352</v>
      </c>
      <c r="I842" s="2" t="s">
        <v>5920</v>
      </c>
      <c r="J842" s="2" t="s">
        <v>5933</v>
      </c>
      <c r="K842" s="3" t="b">
        <f>J842 = "blocking"</f>
        <v>1</v>
      </c>
      <c r="L842" s="2" t="s">
        <v>1428</v>
      </c>
      <c r="M842" s="2" t="s">
        <v>6040</v>
      </c>
      <c r="N842" s="4">
        <v>46223.1297337963</v>
      </c>
      <c r="O842" s="3" t="b">
        <f>L842 = "PASS"</f>
        <v>1</v>
      </c>
      <c r="P842" s="3" t="b">
        <f>L842 = "FAIL"</f>
        <v>0</v>
      </c>
      <c r="Q842" s="3" t="b">
        <f>AND(P842, K842)</f>
        <v>0</v>
      </c>
      <c r="R842" s="3" t="str">
        <f>IF(O842, I842, "")</f>
        <v>suite-substrate</v>
      </c>
      <c r="S842" s="3" t="str">
        <f>IF(Q842, I842, "")</f>
      </c>
      <c r="T842" s="2" t="s">
        <v>5935</v>
      </c>
    </row>
    <row r="843">
      <c r="A843" s="2" t="s">
        <v>6812</v>
      </c>
      <c r="B843" s="3" t="str">
        <f>C843 &amp; ": " &amp; D843</f>
        <v>formula-translates: MessageDeliveries.IsExhaustedFollowUp</v>
      </c>
      <c r="C843" s="2" t="s">
        <v>6038</v>
      </c>
      <c r="D843" s="2" t="s">
        <v>4624</v>
      </c>
      <c r="E843" s="2" t="s">
        <v>4378</v>
      </c>
      <c r="F843" s="2" t="s">
        <v>4625</v>
      </c>
      <c r="G843" s="2" t="s">
        <v>6039</v>
      </c>
      <c r="H843" s="2" t="s">
        <v>2352</v>
      </c>
      <c r="I843" s="2" t="s">
        <v>5920</v>
      </c>
      <c r="J843" s="2" t="s">
        <v>5933</v>
      </c>
      <c r="K843" s="3" t="b">
        <f>J843 = "blocking"</f>
        <v>1</v>
      </c>
      <c r="L843" s="2" t="s">
        <v>1428</v>
      </c>
      <c r="M843" s="2" t="s">
        <v>6040</v>
      </c>
      <c r="N843" s="4">
        <v>46223.1297337963</v>
      </c>
      <c r="O843" s="3" t="b">
        <f>L843 = "PASS"</f>
        <v>1</v>
      </c>
      <c r="P843" s="3" t="b">
        <f>L843 = "FAIL"</f>
        <v>0</v>
      </c>
      <c r="Q843" s="3" t="b">
        <f>AND(P843, K843)</f>
        <v>0</v>
      </c>
      <c r="R843" s="3" t="str">
        <f>IF(O843, I843, "")</f>
        <v>suite-substrate</v>
      </c>
      <c r="S843" s="3" t="str">
        <f>IF(Q843, I843, "")</f>
      </c>
      <c r="T843" s="2" t="s">
        <v>5935</v>
      </c>
    </row>
    <row r="844">
      <c r="A844" s="2" t="s">
        <v>6813</v>
      </c>
      <c r="B844" s="3" t="str">
        <f>C844 &amp; ": " &amp; D844</f>
        <v>formula-translates: MessageDeliveries.NeedsHumanEscalation</v>
      </c>
      <c r="C844" s="2" t="s">
        <v>6038</v>
      </c>
      <c r="D844" s="2" t="s">
        <v>4627</v>
      </c>
      <c r="E844" s="2" t="s">
        <v>4378</v>
      </c>
      <c r="F844" s="2" t="s">
        <v>4628</v>
      </c>
      <c r="G844" s="2" t="s">
        <v>6039</v>
      </c>
      <c r="H844" s="2" t="s">
        <v>2352</v>
      </c>
      <c r="I844" s="2" t="s">
        <v>5920</v>
      </c>
      <c r="J844" s="2" t="s">
        <v>5933</v>
      </c>
      <c r="K844" s="3" t="b">
        <f>J844 = "blocking"</f>
        <v>1</v>
      </c>
      <c r="L844" s="2" t="s">
        <v>1428</v>
      </c>
      <c r="M844" s="2" t="s">
        <v>6040</v>
      </c>
      <c r="N844" s="4">
        <v>46223.1297337963</v>
      </c>
      <c r="O844" s="3" t="b">
        <f>L844 = "PASS"</f>
        <v>1</v>
      </c>
      <c r="P844" s="3" t="b">
        <f>L844 = "FAIL"</f>
        <v>0</v>
      </c>
      <c r="Q844" s="3" t="b">
        <f>AND(P844, K844)</f>
        <v>0</v>
      </c>
      <c r="R844" s="3" t="str">
        <f>IF(O844, I844, "")</f>
        <v>suite-substrate</v>
      </c>
      <c r="S844" s="3" t="str">
        <f>IF(Q844, I844, "")</f>
      </c>
      <c r="T844" s="2" t="s">
        <v>5935</v>
      </c>
    </row>
    <row r="845">
      <c r="A845" s="2" t="s">
        <v>6814</v>
      </c>
      <c r="B845" s="3" t="str">
        <f>C845 &amp; ": " &amp; D845</f>
        <v>formula-translates: TemplateApprovals.Name</v>
      </c>
      <c r="C845" s="2" t="s">
        <v>6038</v>
      </c>
      <c r="D845" s="2" t="s">
        <v>4634</v>
      </c>
      <c r="E845" s="2" t="s">
        <v>4632</v>
      </c>
      <c r="F845" s="2" t="s">
        <v>1</v>
      </c>
      <c r="G845" s="2" t="s">
        <v>6039</v>
      </c>
      <c r="H845" s="2"/>
      <c r="I845" s="2" t="s">
        <v>5920</v>
      </c>
      <c r="J845" s="2" t="s">
        <v>5933</v>
      </c>
      <c r="K845" s="3" t="b">
        <f>J845 = "blocking"</f>
        <v>1</v>
      </c>
      <c r="L845" s="2" t="s">
        <v>1428</v>
      </c>
      <c r="M845" s="2" t="s">
        <v>6040</v>
      </c>
      <c r="N845" s="4">
        <v>46223.1297337963</v>
      </c>
      <c r="O845" s="3" t="b">
        <f>L845 = "PASS"</f>
        <v>1</v>
      </c>
      <c r="P845" s="3" t="b">
        <f>L845 = "FAIL"</f>
        <v>0</v>
      </c>
      <c r="Q845" s="3" t="b">
        <f>AND(P845, K845)</f>
        <v>0</v>
      </c>
      <c r="R845" s="3" t="str">
        <f>IF(O845, I845, "")</f>
        <v>suite-substrate</v>
      </c>
      <c r="S845" s="3" t="str">
        <f>IF(Q845, I845, "")</f>
      </c>
      <c r="T845" s="2" t="s">
        <v>5935</v>
      </c>
    </row>
    <row r="846">
      <c r="A846" s="2" t="s">
        <v>6815</v>
      </c>
      <c r="B846" s="3" t="str">
        <f>C846 &amp; ": " &amp; D846</f>
        <v>formula-translates: TemplateApprovals.IsApprovalDecision</v>
      </c>
      <c r="C846" s="2" t="s">
        <v>6038</v>
      </c>
      <c r="D846" s="2" t="s">
        <v>4647</v>
      </c>
      <c r="E846" s="2" t="s">
        <v>4632</v>
      </c>
      <c r="F846" s="2" t="s">
        <v>4648</v>
      </c>
      <c r="G846" s="2" t="s">
        <v>6039</v>
      </c>
      <c r="H846" s="2" t="s">
        <v>2060</v>
      </c>
      <c r="I846" s="2" t="s">
        <v>5920</v>
      </c>
      <c r="J846" s="2" t="s">
        <v>5933</v>
      </c>
      <c r="K846" s="3" t="b">
        <f>J846 = "blocking"</f>
        <v>1</v>
      </c>
      <c r="L846" s="2" t="s">
        <v>1428</v>
      </c>
      <c r="M846" s="2" t="s">
        <v>6040</v>
      </c>
      <c r="N846" s="4">
        <v>46223.1297337963</v>
      </c>
      <c r="O846" s="3" t="b">
        <f>L846 = "PASS"</f>
        <v>1</v>
      </c>
      <c r="P846" s="3" t="b">
        <f>L846 = "FAIL"</f>
        <v>0</v>
      </c>
      <c r="Q846" s="3" t="b">
        <f>AND(P846, K846)</f>
        <v>0</v>
      </c>
      <c r="R846" s="3" t="str">
        <f>IF(O846, I846, "")</f>
        <v>suite-substrate</v>
      </c>
      <c r="S846" s="3" t="str">
        <f>IF(Q846, I846, "")</f>
      </c>
      <c r="T846" s="2" t="s">
        <v>5935</v>
      </c>
    </row>
    <row r="847">
      <c r="A847" s="2" t="s">
        <v>6816</v>
      </c>
      <c r="B847" s="3" t="str">
        <f>C847 &amp; ": " &amp; D847</f>
        <v>formula-translates: TemplateApprovals.TemplatePolicy</v>
      </c>
      <c r="C847" s="2" t="s">
        <v>6038</v>
      </c>
      <c r="D847" s="2" t="s">
        <v>4650</v>
      </c>
      <c r="E847" s="2" t="s">
        <v>4632</v>
      </c>
      <c r="F847" s="2" t="s">
        <v>4651</v>
      </c>
      <c r="G847" s="2" t="s">
        <v>6039</v>
      </c>
      <c r="H847" s="2" t="s">
        <v>2060</v>
      </c>
      <c r="I847" s="2" t="s">
        <v>5920</v>
      </c>
      <c r="J847" s="2" t="s">
        <v>5933</v>
      </c>
      <c r="K847" s="3" t="b">
        <f>J847 = "blocking"</f>
        <v>1</v>
      </c>
      <c r="L847" s="2" t="s">
        <v>1428</v>
      </c>
      <c r="M847" s="2" t="s">
        <v>6040</v>
      </c>
      <c r="N847" s="4">
        <v>46223.1297337963</v>
      </c>
      <c r="O847" s="3" t="b">
        <f>L847 = "PASS"</f>
        <v>1</v>
      </c>
      <c r="P847" s="3" t="b">
        <f>L847 = "FAIL"</f>
        <v>0</v>
      </c>
      <c r="Q847" s="3" t="b">
        <f>AND(P847, K847)</f>
        <v>0</v>
      </c>
      <c r="R847" s="3" t="str">
        <f>IF(O847, I847, "")</f>
        <v>suite-substrate</v>
      </c>
      <c r="S847" s="3" t="str">
        <f>IF(Q847, I847, "")</f>
      </c>
      <c r="T847" s="2" t="s">
        <v>5935</v>
      </c>
    </row>
    <row r="848">
      <c r="A848" s="2" t="s">
        <v>6817</v>
      </c>
      <c r="B848" s="3" t="str">
        <f>C848 &amp; ": " &amp; D848</f>
        <v>formula-translates: TemplateApprovals.RequiredApprovalRole</v>
      </c>
      <c r="C848" s="2" t="s">
        <v>6038</v>
      </c>
      <c r="D848" s="2" t="s">
        <v>4652</v>
      </c>
      <c r="E848" s="2" t="s">
        <v>4632</v>
      </c>
      <c r="F848" s="2" t="s">
        <v>4240</v>
      </c>
      <c r="G848" s="2" t="s">
        <v>6039</v>
      </c>
      <c r="H848" s="2" t="s">
        <v>2060</v>
      </c>
      <c r="I848" s="2" t="s">
        <v>5920</v>
      </c>
      <c r="J848" s="2" t="s">
        <v>5933</v>
      </c>
      <c r="K848" s="3" t="b">
        <f>J848 = "blocking"</f>
        <v>1</v>
      </c>
      <c r="L848" s="2" t="s">
        <v>1428</v>
      </c>
      <c r="M848" s="2" t="s">
        <v>6040</v>
      </c>
      <c r="N848" s="4">
        <v>46223.1297337963</v>
      </c>
      <c r="O848" s="3" t="b">
        <f>L848 = "PASS"</f>
        <v>1</v>
      </c>
      <c r="P848" s="3" t="b">
        <f>L848 = "FAIL"</f>
        <v>0</v>
      </c>
      <c r="Q848" s="3" t="b">
        <f>AND(P848, K848)</f>
        <v>0</v>
      </c>
      <c r="R848" s="3" t="str">
        <f>IF(O848, I848, "")</f>
        <v>suite-substrate</v>
      </c>
      <c r="S848" s="3" t="str">
        <f>IF(Q848, I848, "")</f>
      </c>
      <c r="T848" s="2" t="s">
        <v>5935</v>
      </c>
    </row>
    <row r="849">
      <c r="A849" s="2" t="s">
        <v>6818</v>
      </c>
      <c r="B849" s="3" t="str">
        <f>C849 &amp; ": " &amp; D849</f>
        <v>formula-translates: TemplateApprovals.IsDecidedByRequiredRole</v>
      </c>
      <c r="C849" s="2" t="s">
        <v>6038</v>
      </c>
      <c r="D849" s="2" t="s">
        <v>4654</v>
      </c>
      <c r="E849" s="2" t="s">
        <v>4632</v>
      </c>
      <c r="F849" s="2" t="s">
        <v>4655</v>
      </c>
      <c r="G849" s="2" t="s">
        <v>6039</v>
      </c>
      <c r="H849" s="2" t="s">
        <v>2060</v>
      </c>
      <c r="I849" s="2" t="s">
        <v>5920</v>
      </c>
      <c r="J849" s="2" t="s">
        <v>5933</v>
      </c>
      <c r="K849" s="3" t="b">
        <f>J849 = "blocking"</f>
        <v>1</v>
      </c>
      <c r="L849" s="2" t="s">
        <v>1428</v>
      </c>
      <c r="M849" s="2" t="s">
        <v>6040</v>
      </c>
      <c r="N849" s="4">
        <v>46223.1297337963</v>
      </c>
      <c r="O849" s="3" t="b">
        <f>L849 = "PASS"</f>
        <v>1</v>
      </c>
      <c r="P849" s="3" t="b">
        <f>L849 = "FAIL"</f>
        <v>0</v>
      </c>
      <c r="Q849" s="3" t="b">
        <f>AND(P849, K849)</f>
        <v>0</v>
      </c>
      <c r="R849" s="3" t="str">
        <f>IF(O849, I849, "")</f>
        <v>suite-substrate</v>
      </c>
      <c r="S849" s="3" t="str">
        <f>IF(Q849, I849, "")</f>
      </c>
      <c r="T849" s="2" t="s">
        <v>5935</v>
      </c>
    </row>
    <row r="850">
      <c r="A850" s="2" t="s">
        <v>6819</v>
      </c>
      <c r="B850" s="3" t="str">
        <f>C850 &amp; ": " &amp; D850</f>
        <v>formula-translates: TemplateApprovals.ValidApprovalTemplateKey</v>
      </c>
      <c r="C850" s="2" t="s">
        <v>6038</v>
      </c>
      <c r="D850" s="2" t="s">
        <v>4657</v>
      </c>
      <c r="E850" s="2" t="s">
        <v>4632</v>
      </c>
      <c r="F850" s="2" t="s">
        <v>4658</v>
      </c>
      <c r="G850" s="2" t="s">
        <v>6039</v>
      </c>
      <c r="H850" s="2" t="s">
        <v>2060</v>
      </c>
      <c r="I850" s="2" t="s">
        <v>5920</v>
      </c>
      <c r="J850" s="2" t="s">
        <v>5933</v>
      </c>
      <c r="K850" s="3" t="b">
        <f>J850 = "blocking"</f>
        <v>1</v>
      </c>
      <c r="L850" s="2" t="s">
        <v>1428</v>
      </c>
      <c r="M850" s="2" t="s">
        <v>6040</v>
      </c>
      <c r="N850" s="4">
        <v>46223.1297337963</v>
      </c>
      <c r="O850" s="3" t="b">
        <f>L850 = "PASS"</f>
        <v>1</v>
      </c>
      <c r="P850" s="3" t="b">
        <f>L850 = "FAIL"</f>
        <v>0</v>
      </c>
      <c r="Q850" s="3" t="b">
        <f>AND(P850, K850)</f>
        <v>0</v>
      </c>
      <c r="R850" s="3" t="str">
        <f>IF(O850, I850, "")</f>
        <v>suite-substrate</v>
      </c>
      <c r="S850" s="3" t="str">
        <f>IF(Q850, I850, "")</f>
      </c>
      <c r="T850" s="2" t="s">
        <v>5935</v>
      </c>
    </row>
    <row r="851">
      <c r="A851" s="2" t="s">
        <v>6820</v>
      </c>
      <c r="B851" s="3" t="str">
        <f>C851 &amp; ": " &amp; D851</f>
        <v>formula-translates: SendIntents.Name</v>
      </c>
      <c r="C851" s="2" t="s">
        <v>6038</v>
      </c>
      <c r="D851" s="2" t="s">
        <v>4664</v>
      </c>
      <c r="E851" s="2" t="s">
        <v>4662</v>
      </c>
      <c r="F851" s="2" t="s">
        <v>1</v>
      </c>
      <c r="G851" s="2" t="s">
        <v>6039</v>
      </c>
      <c r="H851" s="2"/>
      <c r="I851" s="2" t="s">
        <v>5920</v>
      </c>
      <c r="J851" s="2" t="s">
        <v>5933</v>
      </c>
      <c r="K851" s="3" t="b">
        <f>J851 = "blocking"</f>
        <v>1</v>
      </c>
      <c r="L851" s="2" t="s">
        <v>1428</v>
      </c>
      <c r="M851" s="2" t="s">
        <v>6040</v>
      </c>
      <c r="N851" s="4">
        <v>46223.1297337963</v>
      </c>
      <c r="O851" s="3" t="b">
        <f>L851 = "PASS"</f>
        <v>1</v>
      </c>
      <c r="P851" s="3" t="b">
        <f>L851 = "FAIL"</f>
        <v>0</v>
      </c>
      <c r="Q851" s="3" t="b">
        <f>AND(P851, K851)</f>
        <v>0</v>
      </c>
      <c r="R851" s="3" t="str">
        <f>IF(O851, I851, "")</f>
        <v>suite-substrate</v>
      </c>
      <c r="S851" s="3" t="str">
        <f>IF(Q851, I851, "")</f>
      </c>
      <c r="T851" s="2" t="s">
        <v>5935</v>
      </c>
    </row>
    <row r="852">
      <c r="A852" s="2" t="s">
        <v>6821</v>
      </c>
      <c r="B852" s="3" t="str">
        <f>C852 &amp; ": " &amp; D852</f>
        <v>formula-translates: SendIntents.IntentPolicy</v>
      </c>
      <c r="C852" s="2" t="s">
        <v>6038</v>
      </c>
      <c r="D852" s="2" t="s">
        <v>4677</v>
      </c>
      <c r="E852" s="2" t="s">
        <v>4662</v>
      </c>
      <c r="F852" s="2" t="s">
        <v>4678</v>
      </c>
      <c r="G852" s="2" t="s">
        <v>6039</v>
      </c>
      <c r="H852" s="2" t="s">
        <v>2076</v>
      </c>
      <c r="I852" s="2" t="s">
        <v>5920</v>
      </c>
      <c r="J852" s="2" t="s">
        <v>5933</v>
      </c>
      <c r="K852" s="3" t="b">
        <f>J852 = "blocking"</f>
        <v>1</v>
      </c>
      <c r="L852" s="2" t="s">
        <v>1428</v>
      </c>
      <c r="M852" s="2" t="s">
        <v>6040</v>
      </c>
      <c r="N852" s="4">
        <v>46223.1297337963</v>
      </c>
      <c r="O852" s="3" t="b">
        <f>L852 = "PASS"</f>
        <v>1</v>
      </c>
      <c r="P852" s="3" t="b">
        <f>L852 = "FAIL"</f>
        <v>0</v>
      </c>
      <c r="Q852" s="3" t="b">
        <f>AND(P852, K852)</f>
        <v>0</v>
      </c>
      <c r="R852" s="3" t="str">
        <f>IF(O852, I852, "")</f>
        <v>suite-substrate</v>
      </c>
      <c r="S852" s="3" t="str">
        <f>IF(Q852, I852, "")</f>
      </c>
      <c r="T852" s="2" t="s">
        <v>5935</v>
      </c>
    </row>
    <row r="853">
      <c r="A853" s="2" t="s">
        <v>6822</v>
      </c>
      <c r="B853" s="3" t="str">
        <f>C853 &amp; ": " &amp; D853</f>
        <v>formula-translates: SendIntents.IntentChannel</v>
      </c>
      <c r="C853" s="2" t="s">
        <v>6038</v>
      </c>
      <c r="D853" s="2" t="s">
        <v>4679</v>
      </c>
      <c r="E853" s="2" t="s">
        <v>4662</v>
      </c>
      <c r="F853" s="2" t="s">
        <v>4680</v>
      </c>
      <c r="G853" s="2" t="s">
        <v>6039</v>
      </c>
      <c r="H853" s="2" t="s">
        <v>2076</v>
      </c>
      <c r="I853" s="2" t="s">
        <v>5920</v>
      </c>
      <c r="J853" s="2" t="s">
        <v>5933</v>
      </c>
      <c r="K853" s="3" t="b">
        <f>J853 = "blocking"</f>
        <v>1</v>
      </c>
      <c r="L853" s="2" t="s">
        <v>1428</v>
      </c>
      <c r="M853" s="2" t="s">
        <v>6040</v>
      </c>
      <c r="N853" s="4">
        <v>46223.1297337963</v>
      </c>
      <c r="O853" s="3" t="b">
        <f>L853 = "PASS"</f>
        <v>1</v>
      </c>
      <c r="P853" s="3" t="b">
        <f>L853 = "FAIL"</f>
        <v>0</v>
      </c>
      <c r="Q853" s="3" t="b">
        <f>AND(P853, K853)</f>
        <v>0</v>
      </c>
      <c r="R853" s="3" t="str">
        <f>IF(O853, I853, "")</f>
        <v>suite-substrate</v>
      </c>
      <c r="S853" s="3" t="str">
        <f>IF(Q853, I853, "")</f>
      </c>
      <c r="T853" s="2" t="s">
        <v>5935</v>
      </c>
    </row>
    <row r="854">
      <c r="A854" s="2" t="s">
        <v>6823</v>
      </c>
      <c r="B854" s="3" t="str">
        <f>C854 &amp; ": " &amp; D854</f>
        <v>formula-translates: SendIntents.PolicyIsActive</v>
      </c>
      <c r="C854" s="2" t="s">
        <v>6038</v>
      </c>
      <c r="D854" s="2" t="s">
        <v>4682</v>
      </c>
      <c r="E854" s="2" t="s">
        <v>4662</v>
      </c>
      <c r="F854" s="2" t="s">
        <v>4683</v>
      </c>
      <c r="G854" s="2" t="s">
        <v>6039</v>
      </c>
      <c r="H854" s="2" t="s">
        <v>2076</v>
      </c>
      <c r="I854" s="2" t="s">
        <v>5920</v>
      </c>
      <c r="J854" s="2" t="s">
        <v>5933</v>
      </c>
      <c r="K854" s="3" t="b">
        <f>J854 = "blocking"</f>
        <v>1</v>
      </c>
      <c r="L854" s="2" t="s">
        <v>1428</v>
      </c>
      <c r="M854" s="2" t="s">
        <v>6040</v>
      </c>
      <c r="N854" s="4">
        <v>46223.1297337963</v>
      </c>
      <c r="O854" s="3" t="b">
        <f>L854 = "PASS"</f>
        <v>1</v>
      </c>
      <c r="P854" s="3" t="b">
        <f>L854 = "FAIL"</f>
        <v>0</v>
      </c>
      <c r="Q854" s="3" t="b">
        <f>AND(P854, K854)</f>
        <v>0</v>
      </c>
      <c r="R854" s="3" t="str">
        <f>IF(O854, I854, "")</f>
        <v>suite-substrate</v>
      </c>
      <c r="S854" s="3" t="str">
        <f>IF(Q854, I854, "")</f>
      </c>
      <c r="T854" s="2" t="s">
        <v>5935</v>
      </c>
    </row>
    <row r="855">
      <c r="A855" s="2" t="s">
        <v>6824</v>
      </c>
      <c r="B855" s="3" t="str">
        <f>C855 &amp; ": " &amp; D855</f>
        <v>formula-translates: SendIntents.IntentRequiresConsent</v>
      </c>
      <c r="C855" s="2" t="s">
        <v>6038</v>
      </c>
      <c r="D855" s="2" t="s">
        <v>4685</v>
      </c>
      <c r="E855" s="2" t="s">
        <v>4662</v>
      </c>
      <c r="F855" s="2" t="s">
        <v>4686</v>
      </c>
      <c r="G855" s="2" t="s">
        <v>6039</v>
      </c>
      <c r="H855" s="2" t="s">
        <v>2076</v>
      </c>
      <c r="I855" s="2" t="s">
        <v>5920</v>
      </c>
      <c r="J855" s="2" t="s">
        <v>5933</v>
      </c>
      <c r="K855" s="3" t="b">
        <f>J855 = "blocking"</f>
        <v>1</v>
      </c>
      <c r="L855" s="2" t="s">
        <v>1428</v>
      </c>
      <c r="M855" s="2" t="s">
        <v>6040</v>
      </c>
      <c r="N855" s="4">
        <v>46223.1297337963</v>
      </c>
      <c r="O855" s="3" t="b">
        <f>L855 = "PASS"</f>
        <v>1</v>
      </c>
      <c r="P855" s="3" t="b">
        <f>L855 = "FAIL"</f>
        <v>0</v>
      </c>
      <c r="Q855" s="3" t="b">
        <f>AND(P855, K855)</f>
        <v>0</v>
      </c>
      <c r="R855" s="3" t="str">
        <f>IF(O855, I855, "")</f>
        <v>suite-substrate</v>
      </c>
      <c r="S855" s="3" t="str">
        <f>IF(Q855, I855, "")</f>
      </c>
      <c r="T855" s="2" t="s">
        <v>5935</v>
      </c>
    </row>
    <row r="856">
      <c r="A856" s="2" t="s">
        <v>6825</v>
      </c>
      <c r="B856" s="3" t="str">
        <f>C856 &amp; ": " &amp; D856</f>
        <v>formula-translates: SendIntents.RecipientHasChannelConsent</v>
      </c>
      <c r="C856" s="2" t="s">
        <v>6038</v>
      </c>
      <c r="D856" s="2" t="s">
        <v>4688</v>
      </c>
      <c r="E856" s="2" t="s">
        <v>4662</v>
      </c>
      <c r="F856" s="2" t="s">
        <v>4689</v>
      </c>
      <c r="G856" s="2" t="s">
        <v>6039</v>
      </c>
      <c r="H856" s="2" t="s">
        <v>2076</v>
      </c>
      <c r="I856" s="2" t="s">
        <v>5920</v>
      </c>
      <c r="J856" s="2" t="s">
        <v>5933</v>
      </c>
      <c r="K856" s="3" t="b">
        <f>J856 = "blocking"</f>
        <v>1</v>
      </c>
      <c r="L856" s="2" t="s">
        <v>1428</v>
      </c>
      <c r="M856" s="2" t="s">
        <v>6040</v>
      </c>
      <c r="N856" s="4">
        <v>46223.1297337963</v>
      </c>
      <c r="O856" s="3" t="b">
        <f>L856 = "PASS"</f>
        <v>1</v>
      </c>
      <c r="P856" s="3" t="b">
        <f>L856 = "FAIL"</f>
        <v>0</v>
      </c>
      <c r="Q856" s="3" t="b">
        <f>AND(P856, K856)</f>
        <v>0</v>
      </c>
      <c r="R856" s="3" t="str">
        <f>IF(O856, I856, "")</f>
        <v>suite-substrate</v>
      </c>
      <c r="S856" s="3" t="str">
        <f>IF(Q856, I856, "")</f>
      </c>
      <c r="T856" s="2" t="s">
        <v>5935</v>
      </c>
    </row>
    <row r="857">
      <c r="A857" s="2" t="s">
        <v>6826</v>
      </c>
      <c r="B857" s="3" t="str">
        <f>C857 &amp; ": " &amp; D857</f>
        <v>formula-translates: SendIntents.ConsentGatePassed</v>
      </c>
      <c r="C857" s="2" t="s">
        <v>6038</v>
      </c>
      <c r="D857" s="2" t="s">
        <v>4690</v>
      </c>
      <c r="E857" s="2" t="s">
        <v>4662</v>
      </c>
      <c r="F857" s="2" t="s">
        <v>4691</v>
      </c>
      <c r="G857" s="2" t="s">
        <v>6039</v>
      </c>
      <c r="H857" s="2" t="s">
        <v>2076</v>
      </c>
      <c r="I857" s="2" t="s">
        <v>5920</v>
      </c>
      <c r="J857" s="2" t="s">
        <v>5933</v>
      </c>
      <c r="K857" s="3" t="b">
        <f>J857 = "blocking"</f>
        <v>1</v>
      </c>
      <c r="L857" s="2" t="s">
        <v>1428</v>
      </c>
      <c r="M857" s="2" t="s">
        <v>6040</v>
      </c>
      <c r="N857" s="4">
        <v>46223.1297337963</v>
      </c>
      <c r="O857" s="3" t="b">
        <f>L857 = "PASS"</f>
        <v>1</v>
      </c>
      <c r="P857" s="3" t="b">
        <f>L857 = "FAIL"</f>
        <v>0</v>
      </c>
      <c r="Q857" s="3" t="b">
        <f>AND(P857, K857)</f>
        <v>0</v>
      </c>
      <c r="R857" s="3" t="str">
        <f>IF(O857, I857, "")</f>
        <v>suite-substrate</v>
      </c>
      <c r="S857" s="3" t="str">
        <f>IF(Q857, I857, "")</f>
      </c>
      <c r="T857" s="2" t="s">
        <v>5935</v>
      </c>
    </row>
    <row r="858">
      <c r="A858" s="2" t="s">
        <v>6827</v>
      </c>
      <c r="B858" s="3" t="str">
        <f>C858 &amp; ": " &amp; D858</f>
        <v>formula-translates: SendIntents.RecipientIsSmsReachable</v>
      </c>
      <c r="C858" s="2" t="s">
        <v>6038</v>
      </c>
      <c r="D858" s="2" t="s">
        <v>4693</v>
      </c>
      <c r="E858" s="2" t="s">
        <v>4662</v>
      </c>
      <c r="F858" s="2" t="s">
        <v>4694</v>
      </c>
      <c r="G858" s="2" t="s">
        <v>6039</v>
      </c>
      <c r="H858" s="2" t="s">
        <v>2076</v>
      </c>
      <c r="I858" s="2" t="s">
        <v>5920</v>
      </c>
      <c r="J858" s="2" t="s">
        <v>5933</v>
      </c>
      <c r="K858" s="3" t="b">
        <f>J858 = "blocking"</f>
        <v>1</v>
      </c>
      <c r="L858" s="2" t="s">
        <v>1428</v>
      </c>
      <c r="M858" s="2" t="s">
        <v>6040</v>
      </c>
      <c r="N858" s="4">
        <v>46223.1297337963</v>
      </c>
      <c r="O858" s="3" t="b">
        <f>L858 = "PASS"</f>
        <v>1</v>
      </c>
      <c r="P858" s="3" t="b">
        <f>L858 = "FAIL"</f>
        <v>0</v>
      </c>
      <c r="Q858" s="3" t="b">
        <f>AND(P858, K858)</f>
        <v>0</v>
      </c>
      <c r="R858" s="3" t="str">
        <f>IF(O858, I858, "")</f>
        <v>suite-substrate</v>
      </c>
      <c r="S858" s="3" t="str">
        <f>IF(Q858, I858, "")</f>
      </c>
      <c r="T858" s="2" t="s">
        <v>5935</v>
      </c>
    </row>
    <row r="859">
      <c r="A859" s="2" t="s">
        <v>6828</v>
      </c>
      <c r="B859" s="3" t="str">
        <f>C859 &amp; ": " &amp; D859</f>
        <v>formula-translates: SendIntents.RecipientIsEmailReachable</v>
      </c>
      <c r="C859" s="2" t="s">
        <v>6038</v>
      </c>
      <c r="D859" s="2" t="s">
        <v>4696</v>
      </c>
      <c r="E859" s="2" t="s">
        <v>4662</v>
      </c>
      <c r="F859" s="2" t="s">
        <v>4697</v>
      </c>
      <c r="G859" s="2" t="s">
        <v>6039</v>
      </c>
      <c r="H859" s="2" t="s">
        <v>2076</v>
      </c>
      <c r="I859" s="2" t="s">
        <v>5920</v>
      </c>
      <c r="J859" s="2" t="s">
        <v>5933</v>
      </c>
      <c r="K859" s="3" t="b">
        <f>J859 = "blocking"</f>
        <v>1</v>
      </c>
      <c r="L859" s="2" t="s">
        <v>1428</v>
      </c>
      <c r="M859" s="2" t="s">
        <v>6040</v>
      </c>
      <c r="N859" s="4">
        <v>46223.1297337963</v>
      </c>
      <c r="O859" s="3" t="b">
        <f>L859 = "PASS"</f>
        <v>1</v>
      </c>
      <c r="P859" s="3" t="b">
        <f>L859 = "FAIL"</f>
        <v>0</v>
      </c>
      <c r="Q859" s="3" t="b">
        <f>AND(P859, K859)</f>
        <v>0</v>
      </c>
      <c r="R859" s="3" t="str">
        <f>IF(O859, I859, "")</f>
        <v>suite-substrate</v>
      </c>
      <c r="S859" s="3" t="str">
        <f>IF(Q859, I859, "")</f>
      </c>
      <c r="T859" s="2" t="s">
        <v>5935</v>
      </c>
    </row>
    <row r="860">
      <c r="A860" s="2" t="s">
        <v>6829</v>
      </c>
      <c r="B860" s="3" t="str">
        <f>C860 &amp; ": " &amp; D860</f>
        <v>formula-translates: SendIntents.ReachabilityGatePassed</v>
      </c>
      <c r="C860" s="2" t="s">
        <v>6038</v>
      </c>
      <c r="D860" s="2" t="s">
        <v>4699</v>
      </c>
      <c r="E860" s="2" t="s">
        <v>4662</v>
      </c>
      <c r="F860" s="2" t="s">
        <v>4700</v>
      </c>
      <c r="G860" s="2" t="s">
        <v>6039</v>
      </c>
      <c r="H860" s="2" t="s">
        <v>2076</v>
      </c>
      <c r="I860" s="2" t="s">
        <v>5920</v>
      </c>
      <c r="J860" s="2" t="s">
        <v>5933</v>
      </c>
      <c r="K860" s="3" t="b">
        <f>J860 = "blocking"</f>
        <v>1</v>
      </c>
      <c r="L860" s="2" t="s">
        <v>1428</v>
      </c>
      <c r="M860" s="2" t="s">
        <v>6040</v>
      </c>
      <c r="N860" s="4">
        <v>46223.1297337963</v>
      </c>
      <c r="O860" s="3" t="b">
        <f>L860 = "PASS"</f>
        <v>1</v>
      </c>
      <c r="P860" s="3" t="b">
        <f>L860 = "FAIL"</f>
        <v>0</v>
      </c>
      <c r="Q860" s="3" t="b">
        <f>AND(P860, K860)</f>
        <v>0</v>
      </c>
      <c r="R860" s="3" t="str">
        <f>IF(O860, I860, "")</f>
        <v>suite-substrate</v>
      </c>
      <c r="S860" s="3" t="str">
        <f>IF(Q860, I860, "")</f>
      </c>
      <c r="T860" s="2" t="s">
        <v>5935</v>
      </c>
    </row>
    <row r="861">
      <c r="A861" s="2" t="s">
        <v>6830</v>
      </c>
      <c r="B861" s="3" t="str">
        <f>C861 &amp; ": " &amp; D861</f>
        <v>formula-translates: SendIntents.PermissionGatePassed</v>
      </c>
      <c r="C861" s="2" t="s">
        <v>6038</v>
      </c>
      <c r="D861" s="2" t="s">
        <v>4702</v>
      </c>
      <c r="E861" s="2" t="s">
        <v>4662</v>
      </c>
      <c r="F861" s="2" t="s">
        <v>4703</v>
      </c>
      <c r="G861" s="2" t="s">
        <v>6039</v>
      </c>
      <c r="H861" s="2" t="s">
        <v>2076</v>
      </c>
      <c r="I861" s="2" t="s">
        <v>5920</v>
      </c>
      <c r="J861" s="2" t="s">
        <v>5933</v>
      </c>
      <c r="K861" s="3" t="b">
        <f>J861 = "blocking"</f>
        <v>1</v>
      </c>
      <c r="L861" s="2" t="s">
        <v>1428</v>
      </c>
      <c r="M861" s="2" t="s">
        <v>6040</v>
      </c>
      <c r="N861" s="4">
        <v>46223.1297337963</v>
      </c>
      <c r="O861" s="3" t="b">
        <f>L861 = "PASS"</f>
        <v>1</v>
      </c>
      <c r="P861" s="3" t="b">
        <f>L861 = "FAIL"</f>
        <v>0</v>
      </c>
      <c r="Q861" s="3" t="b">
        <f>AND(P861, K861)</f>
        <v>0</v>
      </c>
      <c r="R861" s="3" t="str">
        <f>IF(O861, I861, "")</f>
        <v>suite-substrate</v>
      </c>
      <c r="S861" s="3" t="str">
        <f>IF(Q861, I861, "")</f>
      </c>
      <c r="T861" s="2" t="s">
        <v>5935</v>
      </c>
    </row>
    <row r="862">
      <c r="A862" s="2" t="s">
        <v>6831</v>
      </c>
      <c r="B862" s="3" t="str">
        <f>C862 &amp; ": " &amp; D862</f>
        <v>formula-translates: SendIntents.IntentQuietStartHour</v>
      </c>
      <c r="C862" s="2" t="s">
        <v>6038</v>
      </c>
      <c r="D862" s="2" t="s">
        <v>4705</v>
      </c>
      <c r="E862" s="2" t="s">
        <v>4662</v>
      </c>
      <c r="F862" s="2" t="s">
        <v>4706</v>
      </c>
      <c r="G862" s="2" t="s">
        <v>6039</v>
      </c>
      <c r="H862" s="2" t="s">
        <v>2080</v>
      </c>
      <c r="I862" s="2" t="s">
        <v>5920</v>
      </c>
      <c r="J862" s="2" t="s">
        <v>5933</v>
      </c>
      <c r="K862" s="3" t="b">
        <f>J862 = "blocking"</f>
        <v>1</v>
      </c>
      <c r="L862" s="2" t="s">
        <v>1428</v>
      </c>
      <c r="M862" s="2" t="s">
        <v>6040</v>
      </c>
      <c r="N862" s="4">
        <v>46223.1297337963</v>
      </c>
      <c r="O862" s="3" t="b">
        <f>L862 = "PASS"</f>
        <v>1</v>
      </c>
      <c r="P862" s="3" t="b">
        <f>L862 = "FAIL"</f>
        <v>0</v>
      </c>
      <c r="Q862" s="3" t="b">
        <f>AND(P862, K862)</f>
        <v>0</v>
      </c>
      <c r="R862" s="3" t="str">
        <f>IF(O862, I862, "")</f>
        <v>suite-substrate</v>
      </c>
      <c r="S862" s="3" t="str">
        <f>IF(Q862, I862, "")</f>
      </c>
      <c r="T862" s="2" t="s">
        <v>5935</v>
      </c>
    </row>
    <row r="863">
      <c r="A863" s="2" t="s">
        <v>6832</v>
      </c>
      <c r="B863" s="3" t="str">
        <f>C863 &amp; ": " &amp; D863</f>
        <v>formula-translates: SendIntents.IntentQuietEndHour</v>
      </c>
      <c r="C863" s="2" t="s">
        <v>6038</v>
      </c>
      <c r="D863" s="2" t="s">
        <v>4708</v>
      </c>
      <c r="E863" s="2" t="s">
        <v>4662</v>
      </c>
      <c r="F863" s="2" t="s">
        <v>4709</v>
      </c>
      <c r="G863" s="2" t="s">
        <v>6039</v>
      </c>
      <c r="H863" s="2" t="s">
        <v>2080</v>
      </c>
      <c r="I863" s="2" t="s">
        <v>5920</v>
      </c>
      <c r="J863" s="2" t="s">
        <v>5933</v>
      </c>
      <c r="K863" s="3" t="b">
        <f>J863 = "blocking"</f>
        <v>1</v>
      </c>
      <c r="L863" s="2" t="s">
        <v>1428</v>
      </c>
      <c r="M863" s="2" t="s">
        <v>6040</v>
      </c>
      <c r="N863" s="4">
        <v>46223.1297337963</v>
      </c>
      <c r="O863" s="3" t="b">
        <f>L863 = "PASS"</f>
        <v>1</v>
      </c>
      <c r="P863" s="3" t="b">
        <f>L863 = "FAIL"</f>
        <v>0</v>
      </c>
      <c r="Q863" s="3" t="b">
        <f>AND(P863, K863)</f>
        <v>0</v>
      </c>
      <c r="R863" s="3" t="str">
        <f>IF(O863, I863, "")</f>
        <v>suite-substrate</v>
      </c>
      <c r="S863" s="3" t="str">
        <f>IF(Q863, I863, "")</f>
      </c>
      <c r="T863" s="2" t="s">
        <v>5935</v>
      </c>
    </row>
    <row r="864">
      <c r="A864" s="2" t="s">
        <v>6833</v>
      </c>
      <c r="B864" s="3" t="str">
        <f>C864 &amp; ": " &amp; D864</f>
        <v>formula-translates: SendIntents.IntentPolicyHasQuietHours</v>
      </c>
      <c r="C864" s="2" t="s">
        <v>6038</v>
      </c>
      <c r="D864" s="2" t="s">
        <v>4711</v>
      </c>
      <c r="E864" s="2" t="s">
        <v>4662</v>
      </c>
      <c r="F864" s="2" t="s">
        <v>4712</v>
      </c>
      <c r="G864" s="2" t="s">
        <v>6039</v>
      </c>
      <c r="H864" s="2" t="s">
        <v>2080</v>
      </c>
      <c r="I864" s="2" t="s">
        <v>5920</v>
      </c>
      <c r="J864" s="2" t="s">
        <v>5933</v>
      </c>
      <c r="K864" s="3" t="b">
        <f>J864 = "blocking"</f>
        <v>1</v>
      </c>
      <c r="L864" s="2" t="s">
        <v>1428</v>
      </c>
      <c r="M864" s="2" t="s">
        <v>6040</v>
      </c>
      <c r="N864" s="4">
        <v>46223.1297337963</v>
      </c>
      <c r="O864" s="3" t="b">
        <f>L864 = "PASS"</f>
        <v>1</v>
      </c>
      <c r="P864" s="3" t="b">
        <f>L864 = "FAIL"</f>
        <v>0</v>
      </c>
      <c r="Q864" s="3" t="b">
        <f>AND(P864, K864)</f>
        <v>0</v>
      </c>
      <c r="R864" s="3" t="str">
        <f>IF(O864, I864, "")</f>
        <v>suite-substrate</v>
      </c>
      <c r="S864" s="3" t="str">
        <f>IF(Q864, I864, "")</f>
      </c>
      <c r="T864" s="2" t="s">
        <v>5935</v>
      </c>
    </row>
    <row r="865">
      <c r="A865" s="2" t="s">
        <v>6834</v>
      </c>
      <c r="B865" s="3" t="str">
        <f>C865 &amp; ": " &amp; D865</f>
        <v>formula-translates: SendIntents.IntentQuietWindowWraps</v>
      </c>
      <c r="C865" s="2" t="s">
        <v>6038</v>
      </c>
      <c r="D865" s="2" t="s">
        <v>4714</v>
      </c>
      <c r="E865" s="2" t="s">
        <v>4662</v>
      </c>
      <c r="F865" s="2" t="s">
        <v>4715</v>
      </c>
      <c r="G865" s="2" t="s">
        <v>6039</v>
      </c>
      <c r="H865" s="2" t="s">
        <v>2080</v>
      </c>
      <c r="I865" s="2" t="s">
        <v>5920</v>
      </c>
      <c r="J865" s="2" t="s">
        <v>5933</v>
      </c>
      <c r="K865" s="3" t="b">
        <f>J865 = "blocking"</f>
        <v>1</v>
      </c>
      <c r="L865" s="2" t="s">
        <v>1428</v>
      </c>
      <c r="M865" s="2" t="s">
        <v>6040</v>
      </c>
      <c r="N865" s="4">
        <v>46223.1297337963</v>
      </c>
      <c r="O865" s="3" t="b">
        <f>L865 = "PASS"</f>
        <v>1</v>
      </c>
      <c r="P865" s="3" t="b">
        <f>L865 = "FAIL"</f>
        <v>0</v>
      </c>
      <c r="Q865" s="3" t="b">
        <f>AND(P865, K865)</f>
        <v>0</v>
      </c>
      <c r="R865" s="3" t="str">
        <f>IF(O865, I865, "")</f>
        <v>suite-substrate</v>
      </c>
      <c r="S865" s="3" t="str">
        <f>IF(Q865, I865, "")</f>
      </c>
      <c r="T865" s="2" t="s">
        <v>5935</v>
      </c>
    </row>
    <row r="866">
      <c r="A866" s="2" t="s">
        <v>6835</v>
      </c>
      <c r="B866" s="3" t="str">
        <f>C866 &amp; ": " &amp; D866</f>
        <v>formula-translates: SendIntents.IntentIsInsideQuietWindow</v>
      </c>
      <c r="C866" s="2" t="s">
        <v>6038</v>
      </c>
      <c r="D866" s="2" t="s">
        <v>4717</v>
      </c>
      <c r="E866" s="2" t="s">
        <v>4662</v>
      </c>
      <c r="F866" s="2" t="s">
        <v>4718</v>
      </c>
      <c r="G866" s="2" t="s">
        <v>6039</v>
      </c>
      <c r="H866" s="2" t="s">
        <v>2080</v>
      </c>
      <c r="I866" s="2" t="s">
        <v>5920</v>
      </c>
      <c r="J866" s="2" t="s">
        <v>5933</v>
      </c>
      <c r="K866" s="3" t="b">
        <f>J866 = "blocking"</f>
        <v>1</v>
      </c>
      <c r="L866" s="2" t="s">
        <v>1428</v>
      </c>
      <c r="M866" s="2" t="s">
        <v>6040</v>
      </c>
      <c r="N866" s="4">
        <v>46223.1297337963</v>
      </c>
      <c r="O866" s="3" t="b">
        <f>L866 = "PASS"</f>
        <v>1</v>
      </c>
      <c r="P866" s="3" t="b">
        <f>L866 = "FAIL"</f>
        <v>0</v>
      </c>
      <c r="Q866" s="3" t="b">
        <f>AND(P866, K866)</f>
        <v>0</v>
      </c>
      <c r="R866" s="3" t="str">
        <f>IF(O866, I866, "")</f>
        <v>suite-substrate</v>
      </c>
      <c r="S866" s="3" t="str">
        <f>IF(Q866, I866, "")</f>
      </c>
      <c r="T866" s="2" t="s">
        <v>5935</v>
      </c>
    </row>
    <row r="867">
      <c r="A867" s="2" t="s">
        <v>6836</v>
      </c>
      <c r="B867" s="3" t="str">
        <f>C867 &amp; ": " &amp; D867</f>
        <v>formula-translates: SendIntents.TimingGatePassed</v>
      </c>
      <c r="C867" s="2" t="s">
        <v>6038</v>
      </c>
      <c r="D867" s="2" t="s">
        <v>4720</v>
      </c>
      <c r="E867" s="2" t="s">
        <v>4662</v>
      </c>
      <c r="F867" s="2" t="s">
        <v>4721</v>
      </c>
      <c r="G867" s="2" t="s">
        <v>6039</v>
      </c>
      <c r="H867" s="2" t="s">
        <v>2080</v>
      </c>
      <c r="I867" s="2" t="s">
        <v>5920</v>
      </c>
      <c r="J867" s="2" t="s">
        <v>5933</v>
      </c>
      <c r="K867" s="3" t="b">
        <f>J867 = "blocking"</f>
        <v>1</v>
      </c>
      <c r="L867" s="2" t="s">
        <v>1428</v>
      </c>
      <c r="M867" s="2" t="s">
        <v>6040</v>
      </c>
      <c r="N867" s="4">
        <v>46223.1297337963</v>
      </c>
      <c r="O867" s="3" t="b">
        <f>L867 = "PASS"</f>
        <v>1</v>
      </c>
      <c r="P867" s="3" t="b">
        <f>L867 = "FAIL"</f>
        <v>0</v>
      </c>
      <c r="Q867" s="3" t="b">
        <f>AND(P867, K867)</f>
        <v>0</v>
      </c>
      <c r="R867" s="3" t="str">
        <f>IF(O867, I867, "")</f>
        <v>suite-substrate</v>
      </c>
      <c r="S867" s="3" t="str">
        <f>IF(Q867, I867, "")</f>
      </c>
      <c r="T867" s="2" t="s">
        <v>5935</v>
      </c>
    </row>
    <row r="868">
      <c r="A868" s="2" t="s">
        <v>6837</v>
      </c>
      <c r="B868" s="3" t="str">
        <f>C868 &amp; ": " &amp; D868</f>
        <v>formula-translates: SendIntents.HoursUntilWindowOpens</v>
      </c>
      <c r="C868" s="2" t="s">
        <v>6038</v>
      </c>
      <c r="D868" s="2" t="s">
        <v>4723</v>
      </c>
      <c r="E868" s="2" t="s">
        <v>4662</v>
      </c>
      <c r="F868" s="2" t="s">
        <v>4724</v>
      </c>
      <c r="G868" s="2" t="s">
        <v>6039</v>
      </c>
      <c r="H868" s="2" t="s">
        <v>2080</v>
      </c>
      <c r="I868" s="2" t="s">
        <v>5920</v>
      </c>
      <c r="J868" s="2" t="s">
        <v>5933</v>
      </c>
      <c r="K868" s="3" t="b">
        <f>J868 = "blocking"</f>
        <v>1</v>
      </c>
      <c r="L868" s="2" t="s">
        <v>1428</v>
      </c>
      <c r="M868" s="2" t="s">
        <v>6040</v>
      </c>
      <c r="N868" s="4">
        <v>46223.1297337963</v>
      </c>
      <c r="O868" s="3" t="b">
        <f>L868 = "PASS"</f>
        <v>1</v>
      </c>
      <c r="P868" s="3" t="b">
        <f>L868 = "FAIL"</f>
        <v>0</v>
      </c>
      <c r="Q868" s="3" t="b">
        <f>AND(P868, K868)</f>
        <v>0</v>
      </c>
      <c r="R868" s="3" t="str">
        <f>IF(O868, I868, "")</f>
        <v>suite-substrate</v>
      </c>
      <c r="S868" s="3" t="str">
        <f>IF(Q868, I868, "")</f>
      </c>
      <c r="T868" s="2" t="s">
        <v>5935</v>
      </c>
    </row>
    <row r="869">
      <c r="A869" s="2" t="s">
        <v>6838</v>
      </c>
      <c r="B869" s="3" t="str">
        <f>C869 &amp; ": " &amp; D869</f>
        <v>formula-translates: SendIntents.IntentMaxMessageLength</v>
      </c>
      <c r="C869" s="2" t="s">
        <v>6038</v>
      </c>
      <c r="D869" s="2" t="s">
        <v>4726</v>
      </c>
      <c r="E869" s="2" t="s">
        <v>4662</v>
      </c>
      <c r="F869" s="2" t="s">
        <v>4727</v>
      </c>
      <c r="G869" s="2" t="s">
        <v>6039</v>
      </c>
      <c r="H869" s="2" t="s">
        <v>2084</v>
      </c>
      <c r="I869" s="2" t="s">
        <v>5920</v>
      </c>
      <c r="J869" s="2" t="s">
        <v>5933</v>
      </c>
      <c r="K869" s="3" t="b">
        <f>J869 = "blocking"</f>
        <v>1</v>
      </c>
      <c r="L869" s="2" t="s">
        <v>1428</v>
      </c>
      <c r="M869" s="2" t="s">
        <v>6040</v>
      </c>
      <c r="N869" s="4">
        <v>46223.1297337963</v>
      </c>
      <c r="O869" s="3" t="b">
        <f>L869 = "PASS"</f>
        <v>1</v>
      </c>
      <c r="P869" s="3" t="b">
        <f>L869 = "FAIL"</f>
        <v>0</v>
      </c>
      <c r="Q869" s="3" t="b">
        <f>AND(P869, K869)</f>
        <v>0</v>
      </c>
      <c r="R869" s="3" t="str">
        <f>IF(O869, I869, "")</f>
        <v>suite-substrate</v>
      </c>
      <c r="S869" s="3" t="str">
        <f>IF(Q869, I869, "")</f>
      </c>
      <c r="T869" s="2" t="s">
        <v>5935</v>
      </c>
    </row>
    <row r="870">
      <c r="A870" s="2" t="s">
        <v>6839</v>
      </c>
      <c r="B870" s="3" t="str">
        <f>C870 &amp; ": " &amp; D870</f>
        <v>formula-translates: SendIntents.IntentMaxSegments</v>
      </c>
      <c r="C870" s="2" t="s">
        <v>6038</v>
      </c>
      <c r="D870" s="2" t="s">
        <v>4729</v>
      </c>
      <c r="E870" s="2" t="s">
        <v>4662</v>
      </c>
      <c r="F870" s="2" t="s">
        <v>4730</v>
      </c>
      <c r="G870" s="2" t="s">
        <v>6039</v>
      </c>
      <c r="H870" s="2" t="s">
        <v>2084</v>
      </c>
      <c r="I870" s="2" t="s">
        <v>5920</v>
      </c>
      <c r="J870" s="2" t="s">
        <v>5933</v>
      </c>
      <c r="K870" s="3" t="b">
        <f>J870 = "blocking"</f>
        <v>1</v>
      </c>
      <c r="L870" s="2" t="s">
        <v>1428</v>
      </c>
      <c r="M870" s="2" t="s">
        <v>6040</v>
      </c>
      <c r="N870" s="4">
        <v>46223.1297337963</v>
      </c>
      <c r="O870" s="3" t="b">
        <f>L870 = "PASS"</f>
        <v>1</v>
      </c>
      <c r="P870" s="3" t="b">
        <f>L870 = "FAIL"</f>
        <v>0</v>
      </c>
      <c r="Q870" s="3" t="b">
        <f>AND(P870, K870)</f>
        <v>0</v>
      </c>
      <c r="R870" s="3" t="str">
        <f>IF(O870, I870, "")</f>
        <v>suite-substrate</v>
      </c>
      <c r="S870" s="3" t="str">
        <f>IF(Q870, I870, "")</f>
      </c>
      <c r="T870" s="2" t="s">
        <v>5935</v>
      </c>
    </row>
    <row r="871">
      <c r="A871" s="2" t="s">
        <v>6840</v>
      </c>
      <c r="B871" s="3" t="str">
        <f>C871 &amp; ": " &amp; D871</f>
        <v>formula-translates: SendIntents.LengthGatePassed</v>
      </c>
      <c r="C871" s="2" t="s">
        <v>6038</v>
      </c>
      <c r="D871" s="2" t="s">
        <v>4736</v>
      </c>
      <c r="E871" s="2" t="s">
        <v>4662</v>
      </c>
      <c r="F871" s="2" t="s">
        <v>4737</v>
      </c>
      <c r="G871" s="2" t="s">
        <v>6039</v>
      </c>
      <c r="H871" s="2" t="s">
        <v>2084</v>
      </c>
      <c r="I871" s="2" t="s">
        <v>5920</v>
      </c>
      <c r="J871" s="2" t="s">
        <v>5933</v>
      </c>
      <c r="K871" s="3" t="b">
        <f>J871 = "blocking"</f>
        <v>1</v>
      </c>
      <c r="L871" s="2" t="s">
        <v>1428</v>
      </c>
      <c r="M871" s="2" t="s">
        <v>6040</v>
      </c>
      <c r="N871" s="4">
        <v>46223.1297337963</v>
      </c>
      <c r="O871" s="3" t="b">
        <f>L871 = "PASS"</f>
        <v>1</v>
      </c>
      <c r="P871" s="3" t="b">
        <f>L871 = "FAIL"</f>
        <v>0</v>
      </c>
      <c r="Q871" s="3" t="b">
        <f>AND(P871, K871)</f>
        <v>0</v>
      </c>
      <c r="R871" s="3" t="str">
        <f>IF(O871, I871, "")</f>
        <v>suite-substrate</v>
      </c>
      <c r="S871" s="3" t="str">
        <f>IF(Q871, I871, "")</f>
      </c>
      <c r="T871" s="2" t="s">
        <v>5935</v>
      </c>
    </row>
    <row r="872">
      <c r="A872" s="2" t="s">
        <v>6841</v>
      </c>
      <c r="B872" s="3" t="str">
        <f>C872 &amp; ": " &amp; D872</f>
        <v>formula-translates: SendIntents.IntentRequiredOptOutPhrase</v>
      </c>
      <c r="C872" s="2" t="s">
        <v>6038</v>
      </c>
      <c r="D872" s="2" t="s">
        <v>4739</v>
      </c>
      <c r="E872" s="2" t="s">
        <v>4662</v>
      </c>
      <c r="F872" s="2" t="s">
        <v>4740</v>
      </c>
      <c r="G872" s="2" t="s">
        <v>6039</v>
      </c>
      <c r="H872" s="2" t="s">
        <v>2084</v>
      </c>
      <c r="I872" s="2" t="s">
        <v>5920</v>
      </c>
      <c r="J872" s="2" t="s">
        <v>5933</v>
      </c>
      <c r="K872" s="3" t="b">
        <f>J872 = "blocking"</f>
        <v>1</v>
      </c>
      <c r="L872" s="2" t="s">
        <v>1428</v>
      </c>
      <c r="M872" s="2" t="s">
        <v>6040</v>
      </c>
      <c r="N872" s="4">
        <v>46223.1297337963</v>
      </c>
      <c r="O872" s="3" t="b">
        <f>L872 = "PASS"</f>
        <v>1</v>
      </c>
      <c r="P872" s="3" t="b">
        <f>L872 = "FAIL"</f>
        <v>0</v>
      </c>
      <c r="Q872" s="3" t="b">
        <f>AND(P872, K872)</f>
        <v>0</v>
      </c>
      <c r="R872" s="3" t="str">
        <f>IF(O872, I872, "")</f>
        <v>suite-substrate</v>
      </c>
      <c r="S872" s="3" t="str">
        <f>IF(Q872, I872, "")</f>
      </c>
      <c r="T872" s="2" t="s">
        <v>5935</v>
      </c>
    </row>
    <row r="873">
      <c r="A873" s="2" t="s">
        <v>6842</v>
      </c>
      <c r="B873" s="3" t="str">
        <f>C873 &amp; ": " &amp; D873</f>
        <v>formula-translates: SendIntents.OptOutGatePassed</v>
      </c>
      <c r="C873" s="2" t="s">
        <v>6038</v>
      </c>
      <c r="D873" s="2" t="s">
        <v>4744</v>
      </c>
      <c r="E873" s="2" t="s">
        <v>4662</v>
      </c>
      <c r="F873" s="2" t="s">
        <v>4745</v>
      </c>
      <c r="G873" s="2" t="s">
        <v>6039</v>
      </c>
      <c r="H873" s="2" t="s">
        <v>2084</v>
      </c>
      <c r="I873" s="2" t="s">
        <v>5920</v>
      </c>
      <c r="J873" s="2" t="s">
        <v>5933</v>
      </c>
      <c r="K873" s="3" t="b">
        <f>J873 = "blocking"</f>
        <v>1</v>
      </c>
      <c r="L873" s="2" t="s">
        <v>1428</v>
      </c>
      <c r="M873" s="2" t="s">
        <v>6040</v>
      </c>
      <c r="N873" s="4">
        <v>46223.1297337963</v>
      </c>
      <c r="O873" s="3" t="b">
        <f>L873 = "PASS"</f>
        <v>1</v>
      </c>
      <c r="P873" s="3" t="b">
        <f>L873 = "FAIL"</f>
        <v>0</v>
      </c>
      <c r="Q873" s="3" t="b">
        <f>AND(P873, K873)</f>
        <v>0</v>
      </c>
      <c r="R873" s="3" t="str">
        <f>IF(O873, I873, "")</f>
        <v>suite-substrate</v>
      </c>
      <c r="S873" s="3" t="str">
        <f>IF(Q873, I873, "")</f>
      </c>
      <c r="T873" s="2" t="s">
        <v>5935</v>
      </c>
    </row>
    <row r="874">
      <c r="A874" s="2" t="s">
        <v>6843</v>
      </c>
      <c r="B874" s="3" t="str">
        <f>C874 &amp; ": " &amp; D874</f>
        <v>formula-translates: SendIntents.ContentGatePassed</v>
      </c>
      <c r="C874" s="2" t="s">
        <v>6038</v>
      </c>
      <c r="D874" s="2" t="s">
        <v>4747</v>
      </c>
      <c r="E874" s="2" t="s">
        <v>4662</v>
      </c>
      <c r="F874" s="2" t="s">
        <v>4748</v>
      </c>
      <c r="G874" s="2" t="s">
        <v>6039</v>
      </c>
      <c r="H874" s="2" t="s">
        <v>2084</v>
      </c>
      <c r="I874" s="2" t="s">
        <v>5920</v>
      </c>
      <c r="J874" s="2" t="s">
        <v>5933</v>
      </c>
      <c r="K874" s="3" t="b">
        <f>J874 = "blocking"</f>
        <v>1</v>
      </c>
      <c r="L874" s="2" t="s">
        <v>1428</v>
      </c>
      <c r="M874" s="2" t="s">
        <v>6040</v>
      </c>
      <c r="N874" s="4">
        <v>46223.1297337963</v>
      </c>
      <c r="O874" s="3" t="b">
        <f>L874 = "PASS"</f>
        <v>1</v>
      </c>
      <c r="P874" s="3" t="b">
        <f>L874 = "FAIL"</f>
        <v>0</v>
      </c>
      <c r="Q874" s="3" t="b">
        <f>AND(P874, K874)</f>
        <v>0</v>
      </c>
      <c r="R874" s="3" t="str">
        <f>IF(O874, I874, "")</f>
        <v>suite-substrate</v>
      </c>
      <c r="S874" s="3" t="str">
        <f>IF(Q874, I874, "")</f>
      </c>
      <c r="T874" s="2" t="s">
        <v>5935</v>
      </c>
    </row>
    <row r="875">
      <c r="A875" s="2" t="s">
        <v>6844</v>
      </c>
      <c r="B875" s="3" t="str">
        <f>C875 &amp; ": " &amp; D875</f>
        <v>formula-translates: SendIntents.TemplateIsSendable</v>
      </c>
      <c r="C875" s="2" t="s">
        <v>6038</v>
      </c>
      <c r="D875" s="2" t="s">
        <v>4750</v>
      </c>
      <c r="E875" s="2" t="s">
        <v>4662</v>
      </c>
      <c r="F875" s="2" t="s">
        <v>4751</v>
      </c>
      <c r="G875" s="2" t="s">
        <v>6039</v>
      </c>
      <c r="H875" s="2" t="s">
        <v>2088</v>
      </c>
      <c r="I875" s="2" t="s">
        <v>5920</v>
      </c>
      <c r="J875" s="2" t="s">
        <v>5933</v>
      </c>
      <c r="K875" s="3" t="b">
        <f>J875 = "blocking"</f>
        <v>1</v>
      </c>
      <c r="L875" s="2" t="s">
        <v>1428</v>
      </c>
      <c r="M875" s="2" t="s">
        <v>6040</v>
      </c>
      <c r="N875" s="4">
        <v>46223.1297337963</v>
      </c>
      <c r="O875" s="3" t="b">
        <f>L875 = "PASS"</f>
        <v>1</v>
      </c>
      <c r="P875" s="3" t="b">
        <f>L875 = "FAIL"</f>
        <v>0</v>
      </c>
      <c r="Q875" s="3" t="b">
        <f>AND(P875, K875)</f>
        <v>0</v>
      </c>
      <c r="R875" s="3" t="str">
        <f>IF(O875, I875, "")</f>
        <v>suite-substrate</v>
      </c>
      <c r="S875" s="3" t="str">
        <f>IF(Q875, I875, "")</f>
      </c>
      <c r="T875" s="2" t="s">
        <v>5935</v>
      </c>
    </row>
    <row r="876">
      <c r="A876" s="2" t="s">
        <v>6845</v>
      </c>
      <c r="B876" s="3" t="str">
        <f>C876 &amp; ": " &amp; D876</f>
        <v>formula-translates: SendIntents.ExecutionHasLegalClearance</v>
      </c>
      <c r="C876" s="2" t="s">
        <v>6038</v>
      </c>
      <c r="D876" s="2" t="s">
        <v>4752</v>
      </c>
      <c r="E876" s="2" t="s">
        <v>4662</v>
      </c>
      <c r="F876" s="2" t="s">
        <v>4753</v>
      </c>
      <c r="G876" s="2" t="s">
        <v>6039</v>
      </c>
      <c r="H876" s="2" t="s">
        <v>2088</v>
      </c>
      <c r="I876" s="2" t="s">
        <v>5920</v>
      </c>
      <c r="J876" s="2" t="s">
        <v>5933</v>
      </c>
      <c r="K876" s="3" t="b">
        <f>J876 = "blocking"</f>
        <v>1</v>
      </c>
      <c r="L876" s="2" t="s">
        <v>1428</v>
      </c>
      <c r="M876" s="2" t="s">
        <v>6040</v>
      </c>
      <c r="N876" s="4">
        <v>46223.1297337963</v>
      </c>
      <c r="O876" s="3" t="b">
        <f>L876 = "PASS"</f>
        <v>1</v>
      </c>
      <c r="P876" s="3" t="b">
        <f>L876 = "FAIL"</f>
        <v>0</v>
      </c>
      <c r="Q876" s="3" t="b">
        <f>AND(P876, K876)</f>
        <v>0</v>
      </c>
      <c r="R876" s="3" t="str">
        <f>IF(O876, I876, "")</f>
        <v>suite-substrate</v>
      </c>
      <c r="S876" s="3" t="str">
        <f>IF(Q876, I876, "")</f>
      </c>
      <c r="T876" s="2" t="s">
        <v>5935</v>
      </c>
    </row>
    <row r="877">
      <c r="A877" s="2" t="s">
        <v>6846</v>
      </c>
      <c r="B877" s="3" t="str">
        <f>C877 &amp; ": " &amp; D877</f>
        <v>formula-translates: SendIntents.IntentApprovalRole</v>
      </c>
      <c r="C877" s="2" t="s">
        <v>6038</v>
      </c>
      <c r="D877" s="2" t="s">
        <v>4754</v>
      </c>
      <c r="E877" s="2" t="s">
        <v>4662</v>
      </c>
      <c r="F877" s="2" t="s">
        <v>4755</v>
      </c>
      <c r="G877" s="2" t="s">
        <v>6039</v>
      </c>
      <c r="H877" s="2" t="s">
        <v>2088</v>
      </c>
      <c r="I877" s="2" t="s">
        <v>5920</v>
      </c>
      <c r="J877" s="2" t="s">
        <v>5933</v>
      </c>
      <c r="K877" s="3" t="b">
        <f>J877 = "blocking"</f>
        <v>1</v>
      </c>
      <c r="L877" s="2" t="s">
        <v>1428</v>
      </c>
      <c r="M877" s="2" t="s">
        <v>6040</v>
      </c>
      <c r="N877" s="4">
        <v>46223.1297337963</v>
      </c>
      <c r="O877" s="3" t="b">
        <f>L877 = "PASS"</f>
        <v>1</v>
      </c>
      <c r="P877" s="3" t="b">
        <f>L877 = "FAIL"</f>
        <v>0</v>
      </c>
      <c r="Q877" s="3" t="b">
        <f>AND(P877, K877)</f>
        <v>0</v>
      </c>
      <c r="R877" s="3" t="str">
        <f>IF(O877, I877, "")</f>
        <v>suite-substrate</v>
      </c>
      <c r="S877" s="3" t="str">
        <f>IF(Q877, I877, "")</f>
      </c>
      <c r="T877" s="2" t="s">
        <v>5935</v>
      </c>
    </row>
    <row r="878">
      <c r="A878" s="2" t="s">
        <v>6847</v>
      </c>
      <c r="B878" s="3" t="str">
        <f>C878 &amp; ": " &amp; D878</f>
        <v>formula-translates: SendIntents.ApprovalRoleAgentKind</v>
      </c>
      <c r="C878" s="2" t="s">
        <v>6038</v>
      </c>
      <c r="D878" s="2" t="s">
        <v>4757</v>
      </c>
      <c r="E878" s="2" t="s">
        <v>4662</v>
      </c>
      <c r="F878" s="2" t="s">
        <v>4758</v>
      </c>
      <c r="G878" s="2" t="s">
        <v>6039</v>
      </c>
      <c r="H878" s="2" t="s">
        <v>2088</v>
      </c>
      <c r="I878" s="2" t="s">
        <v>5920</v>
      </c>
      <c r="J878" s="2" t="s">
        <v>5933</v>
      </c>
      <c r="K878" s="3" t="b">
        <f>J878 = "blocking"</f>
        <v>1</v>
      </c>
      <c r="L878" s="2" t="s">
        <v>1428</v>
      </c>
      <c r="M878" s="2" t="s">
        <v>6040</v>
      </c>
      <c r="N878" s="4">
        <v>46223.1297337963</v>
      </c>
      <c r="O878" s="3" t="b">
        <f>L878 = "PASS"</f>
        <v>1</v>
      </c>
      <c r="P878" s="3" t="b">
        <f>L878 = "FAIL"</f>
        <v>0</v>
      </c>
      <c r="Q878" s="3" t="b">
        <f>AND(P878, K878)</f>
        <v>0</v>
      </c>
      <c r="R878" s="3" t="str">
        <f>IF(O878, I878, "")</f>
        <v>suite-substrate</v>
      </c>
      <c r="S878" s="3" t="str">
        <f>IF(Q878, I878, "")</f>
      </c>
      <c r="T878" s="2" t="s">
        <v>5935</v>
      </c>
    </row>
    <row r="879">
      <c r="A879" s="2" t="s">
        <v>6848</v>
      </c>
      <c r="B879" s="3" t="str">
        <f>C879 &amp; ": " &amp; D879</f>
        <v>formula-translates: SendIntents.ApprovalIsHuman</v>
      </c>
      <c r="C879" s="2" t="s">
        <v>6038</v>
      </c>
      <c r="D879" s="2" t="s">
        <v>4760</v>
      </c>
      <c r="E879" s="2" t="s">
        <v>4662</v>
      </c>
      <c r="F879" s="2" t="s">
        <v>4761</v>
      </c>
      <c r="G879" s="2" t="s">
        <v>6039</v>
      </c>
      <c r="H879" s="2" t="s">
        <v>2088</v>
      </c>
      <c r="I879" s="2" t="s">
        <v>5920</v>
      </c>
      <c r="J879" s="2" t="s">
        <v>5933</v>
      </c>
      <c r="K879" s="3" t="b">
        <f>J879 = "blocking"</f>
        <v>1</v>
      </c>
      <c r="L879" s="2" t="s">
        <v>1428</v>
      </c>
      <c r="M879" s="2" t="s">
        <v>6040</v>
      </c>
      <c r="N879" s="4">
        <v>46223.1297337963</v>
      </c>
      <c r="O879" s="3" t="b">
        <f>L879 = "PASS"</f>
        <v>1</v>
      </c>
      <c r="P879" s="3" t="b">
        <f>L879 = "FAIL"</f>
        <v>0</v>
      </c>
      <c r="Q879" s="3" t="b">
        <f>AND(P879, K879)</f>
        <v>0</v>
      </c>
      <c r="R879" s="3" t="str">
        <f>IF(O879, I879, "")</f>
        <v>suite-substrate</v>
      </c>
      <c r="S879" s="3" t="str">
        <f>IF(Q879, I879, "")</f>
      </c>
      <c r="T879" s="2" t="s">
        <v>5935</v>
      </c>
    </row>
    <row r="880">
      <c r="A880" s="2" t="s">
        <v>6849</v>
      </c>
      <c r="B880" s="3" t="str">
        <f>C880 &amp; ": " &amp; D880</f>
        <v>formula-translates: SendIntents.AuthorizationGatePassed</v>
      </c>
      <c r="C880" s="2" t="s">
        <v>6038</v>
      </c>
      <c r="D880" s="2" t="s">
        <v>4763</v>
      </c>
      <c r="E880" s="2" t="s">
        <v>4662</v>
      </c>
      <c r="F880" s="2" t="s">
        <v>4764</v>
      </c>
      <c r="G880" s="2" t="s">
        <v>6039</v>
      </c>
      <c r="H880" s="2" t="s">
        <v>2088</v>
      </c>
      <c r="I880" s="2" t="s">
        <v>5920</v>
      </c>
      <c r="J880" s="2" t="s">
        <v>5933</v>
      </c>
      <c r="K880" s="3" t="b">
        <f>J880 = "blocking"</f>
        <v>1</v>
      </c>
      <c r="L880" s="2" t="s">
        <v>1428</v>
      </c>
      <c r="M880" s="2" t="s">
        <v>6040</v>
      </c>
      <c r="N880" s="4">
        <v>46223.1297337963</v>
      </c>
      <c r="O880" s="3" t="b">
        <f>L880 = "PASS"</f>
        <v>1</v>
      </c>
      <c r="P880" s="3" t="b">
        <f>L880 = "FAIL"</f>
        <v>0</v>
      </c>
      <c r="Q880" s="3" t="b">
        <f>AND(P880, K880)</f>
        <v>0</v>
      </c>
      <c r="R880" s="3" t="str">
        <f>IF(O880, I880, "")</f>
        <v>suite-substrate</v>
      </c>
      <c r="S880" s="3" t="str">
        <f>IF(Q880, I880, "")</f>
      </c>
      <c r="T880" s="2" t="s">
        <v>5935</v>
      </c>
    </row>
    <row r="881">
      <c r="A881" s="2" t="s">
        <v>6850</v>
      </c>
      <c r="B881" s="3" t="str">
        <f>C881 &amp; ": " &amp; D881</f>
        <v>formula-translates: SendIntents.IsClearedToSend</v>
      </c>
      <c r="C881" s="2" t="s">
        <v>6038</v>
      </c>
      <c r="D881" s="2" t="s">
        <v>4766</v>
      </c>
      <c r="E881" s="2" t="s">
        <v>4662</v>
      </c>
      <c r="F881" s="2" t="s">
        <v>4767</v>
      </c>
      <c r="G881" s="2" t="s">
        <v>6039</v>
      </c>
      <c r="H881" s="2" t="s">
        <v>2088</v>
      </c>
      <c r="I881" s="2" t="s">
        <v>5920</v>
      </c>
      <c r="J881" s="2" t="s">
        <v>5933</v>
      </c>
      <c r="K881" s="3" t="b">
        <f>J881 = "blocking"</f>
        <v>1</v>
      </c>
      <c r="L881" s="2" t="s">
        <v>1428</v>
      </c>
      <c r="M881" s="2" t="s">
        <v>6040</v>
      </c>
      <c r="N881" s="4">
        <v>46223.1297337963</v>
      </c>
      <c r="O881" s="3" t="b">
        <f>L881 = "PASS"</f>
        <v>1</v>
      </c>
      <c r="P881" s="3" t="b">
        <f>L881 = "FAIL"</f>
        <v>0</v>
      </c>
      <c r="Q881" s="3" t="b">
        <f>AND(P881, K881)</f>
        <v>0</v>
      </c>
      <c r="R881" s="3" t="str">
        <f>IF(O881, I881, "")</f>
        <v>suite-substrate</v>
      </c>
      <c r="S881" s="3" t="str">
        <f>IF(Q881, I881, "")</f>
      </c>
      <c r="T881" s="2" t="s">
        <v>5935</v>
      </c>
    </row>
    <row r="882">
      <c r="A882" s="2" t="s">
        <v>6851</v>
      </c>
      <c r="B882" s="3" t="str">
        <f>C882 &amp; ": " &amp; D882</f>
        <v>formula-translates: SendIntents.BlockingGateName</v>
      </c>
      <c r="C882" s="2" t="s">
        <v>6038</v>
      </c>
      <c r="D882" s="2" t="s">
        <v>4769</v>
      </c>
      <c r="E882" s="2" t="s">
        <v>4662</v>
      </c>
      <c r="F882" s="2" t="s">
        <v>4770</v>
      </c>
      <c r="G882" s="2" t="s">
        <v>6039</v>
      </c>
      <c r="H882" s="2" t="s">
        <v>2088</v>
      </c>
      <c r="I882" s="2" t="s">
        <v>5920</v>
      </c>
      <c r="J882" s="2" t="s">
        <v>5933</v>
      </c>
      <c r="K882" s="3" t="b">
        <f>J882 = "blocking"</f>
        <v>1</v>
      </c>
      <c r="L882" s="2" t="s">
        <v>1428</v>
      </c>
      <c r="M882" s="2" t="s">
        <v>6040</v>
      </c>
      <c r="N882" s="4">
        <v>46223.1297337963</v>
      </c>
      <c r="O882" s="3" t="b">
        <f>L882 = "PASS"</f>
        <v>1</v>
      </c>
      <c r="P882" s="3" t="b">
        <f>L882 = "FAIL"</f>
        <v>0</v>
      </c>
      <c r="Q882" s="3" t="b">
        <f>AND(P882, K882)</f>
        <v>0</v>
      </c>
      <c r="R882" s="3" t="str">
        <f>IF(O882, I882, "")</f>
        <v>suite-substrate</v>
      </c>
      <c r="S882" s="3" t="str">
        <f>IF(Q882, I882, "")</f>
      </c>
      <c r="T882" s="2" t="s">
        <v>5935</v>
      </c>
    </row>
    <row r="883">
      <c r="A883" s="2" t="s">
        <v>6852</v>
      </c>
      <c r="B883" s="3" t="str">
        <f>C883 &amp; ": " &amp; D883</f>
        <v>formula-translates: SendIntents.HasResultingDelivery</v>
      </c>
      <c r="C883" s="2" t="s">
        <v>6038</v>
      </c>
      <c r="D883" s="2" t="s">
        <v>4772</v>
      </c>
      <c r="E883" s="2" t="s">
        <v>4662</v>
      </c>
      <c r="F883" s="2" t="s">
        <v>4773</v>
      </c>
      <c r="G883" s="2" t="s">
        <v>6039</v>
      </c>
      <c r="H883" s="2" t="s">
        <v>2092</v>
      </c>
      <c r="I883" s="2" t="s">
        <v>5920</v>
      </c>
      <c r="J883" s="2" t="s">
        <v>5933</v>
      </c>
      <c r="K883" s="3" t="b">
        <f>J883 = "blocking"</f>
        <v>1</v>
      </c>
      <c r="L883" s="2" t="s">
        <v>1428</v>
      </c>
      <c r="M883" s="2" t="s">
        <v>6040</v>
      </c>
      <c r="N883" s="4">
        <v>46223.1297337963</v>
      </c>
      <c r="O883" s="3" t="b">
        <f>L883 = "PASS"</f>
        <v>1</v>
      </c>
      <c r="P883" s="3" t="b">
        <f>L883 = "FAIL"</f>
        <v>0</v>
      </c>
      <c r="Q883" s="3" t="b">
        <f>AND(P883, K883)</f>
        <v>0</v>
      </c>
      <c r="R883" s="3" t="str">
        <f>IF(O883, I883, "")</f>
        <v>suite-substrate</v>
      </c>
      <c r="S883" s="3" t="str">
        <f>IF(Q883, I883, "")</f>
      </c>
      <c r="T883" s="2" t="s">
        <v>5935</v>
      </c>
    </row>
    <row r="884">
      <c r="A884" s="2" t="s">
        <v>6853</v>
      </c>
      <c r="B884" s="3" t="str">
        <f>C884 &amp; ": " &amp; D884</f>
        <v>formula-translates: SendIntents.ResultingDeliveryWasTransmitted</v>
      </c>
      <c r="C884" s="2" t="s">
        <v>6038</v>
      </c>
      <c r="D884" s="2" t="s">
        <v>4775</v>
      </c>
      <c r="E884" s="2" t="s">
        <v>4662</v>
      </c>
      <c r="F884" s="2" t="s">
        <v>4776</v>
      </c>
      <c r="G884" s="2" t="s">
        <v>6039</v>
      </c>
      <c r="H884" s="2" t="s">
        <v>2092</v>
      </c>
      <c r="I884" s="2" t="s">
        <v>5920</v>
      </c>
      <c r="J884" s="2" t="s">
        <v>5933</v>
      </c>
      <c r="K884" s="3" t="b">
        <f>J884 = "blocking"</f>
        <v>1</v>
      </c>
      <c r="L884" s="2" t="s">
        <v>1428</v>
      </c>
      <c r="M884" s="2" t="s">
        <v>6040</v>
      </c>
      <c r="N884" s="4">
        <v>46223.1297337963</v>
      </c>
      <c r="O884" s="3" t="b">
        <f>L884 = "PASS"</f>
        <v>1</v>
      </c>
      <c r="P884" s="3" t="b">
        <f>L884 = "FAIL"</f>
        <v>0</v>
      </c>
      <c r="Q884" s="3" t="b">
        <f>AND(P884, K884)</f>
        <v>0</v>
      </c>
      <c r="R884" s="3" t="str">
        <f>IF(O884, I884, "")</f>
        <v>suite-substrate</v>
      </c>
      <c r="S884" s="3" t="str">
        <f>IF(Q884, I884, "")</f>
      </c>
      <c r="T884" s="2" t="s">
        <v>5935</v>
      </c>
    </row>
    <row r="885">
      <c r="A885" s="2" t="s">
        <v>6854</v>
      </c>
      <c r="B885" s="3" t="str">
        <f>C885 &amp; ": " &amp; D885</f>
        <v>formula-translates: SendIntents.IsOverriddenRefusal</v>
      </c>
      <c r="C885" s="2" t="s">
        <v>6038</v>
      </c>
      <c r="D885" s="2" t="s">
        <v>4778</v>
      </c>
      <c r="E885" s="2" t="s">
        <v>4662</v>
      </c>
      <c r="F885" s="2" t="s">
        <v>4779</v>
      </c>
      <c r="G885" s="2" t="s">
        <v>6039</v>
      </c>
      <c r="H885" s="2" t="s">
        <v>2092</v>
      </c>
      <c r="I885" s="2" t="s">
        <v>5920</v>
      </c>
      <c r="J885" s="2" t="s">
        <v>5933</v>
      </c>
      <c r="K885" s="3" t="b">
        <f>J885 = "blocking"</f>
        <v>1</v>
      </c>
      <c r="L885" s="2" t="s">
        <v>1428</v>
      </c>
      <c r="M885" s="2" t="s">
        <v>6040</v>
      </c>
      <c r="N885" s="4">
        <v>46223.1297337963</v>
      </c>
      <c r="O885" s="3" t="b">
        <f>L885 = "PASS"</f>
        <v>1</v>
      </c>
      <c r="P885" s="3" t="b">
        <f>L885 = "FAIL"</f>
        <v>0</v>
      </c>
      <c r="Q885" s="3" t="b">
        <f>AND(P885, K885)</f>
        <v>0</v>
      </c>
      <c r="R885" s="3" t="str">
        <f>IF(O885, I885, "")</f>
        <v>suite-substrate</v>
      </c>
      <c r="S885" s="3" t="str">
        <f>IF(Q885, I885, "")</f>
      </c>
      <c r="T885" s="2" t="s">
        <v>5935</v>
      </c>
    </row>
    <row r="886">
      <c r="A886" s="2" t="s">
        <v>6855</v>
      </c>
      <c r="B886" s="3" t="str">
        <f>C886 &amp; ": " &amp; D886</f>
        <v>formula-translates: SendIntents.IsSilentlyDropped</v>
      </c>
      <c r="C886" s="2" t="s">
        <v>6038</v>
      </c>
      <c r="D886" s="2" t="s">
        <v>4781</v>
      </c>
      <c r="E886" s="2" t="s">
        <v>4662</v>
      </c>
      <c r="F886" s="2" t="s">
        <v>4782</v>
      </c>
      <c r="G886" s="2" t="s">
        <v>6039</v>
      </c>
      <c r="H886" s="2" t="s">
        <v>2092</v>
      </c>
      <c r="I886" s="2" t="s">
        <v>5920</v>
      </c>
      <c r="J886" s="2" t="s">
        <v>5933</v>
      </c>
      <c r="K886" s="3" t="b">
        <f>J886 = "blocking"</f>
        <v>1</v>
      </c>
      <c r="L886" s="2" t="s">
        <v>1428</v>
      </c>
      <c r="M886" s="2" t="s">
        <v>6040</v>
      </c>
      <c r="N886" s="4">
        <v>46223.1297337963</v>
      </c>
      <c r="O886" s="3" t="b">
        <f>L886 = "PASS"</f>
        <v>1</v>
      </c>
      <c r="P886" s="3" t="b">
        <f>L886 = "FAIL"</f>
        <v>0</v>
      </c>
      <c r="Q886" s="3" t="b">
        <f>AND(P886, K886)</f>
        <v>0</v>
      </c>
      <c r="R886" s="3" t="str">
        <f>IF(O886, I886, "")</f>
        <v>suite-substrate</v>
      </c>
      <c r="S886" s="3" t="str">
        <f>IF(Q886, I886, "")</f>
      </c>
      <c r="T886" s="2" t="s">
        <v>5935</v>
      </c>
    </row>
    <row r="887">
      <c r="A887" s="2" t="s">
        <v>6856</v>
      </c>
      <c r="B887" s="3" t="str">
        <f>C887 &amp; ": " &amp; D887</f>
        <v>formula-translates: SendIntents.ResultingDeliveryException</v>
      </c>
      <c r="C887" s="2" t="s">
        <v>6038</v>
      </c>
      <c r="D887" s="2" t="s">
        <v>4784</v>
      </c>
      <c r="E887" s="2" t="s">
        <v>4662</v>
      </c>
      <c r="F887" s="2" t="s">
        <v>4785</v>
      </c>
      <c r="G887" s="2" t="s">
        <v>6039</v>
      </c>
      <c r="H887" s="2" t="s">
        <v>2092</v>
      </c>
      <c r="I887" s="2" t="s">
        <v>5920</v>
      </c>
      <c r="J887" s="2" t="s">
        <v>5933</v>
      </c>
      <c r="K887" s="3" t="b">
        <f>J887 = "blocking"</f>
        <v>1</v>
      </c>
      <c r="L887" s="2" t="s">
        <v>1428</v>
      </c>
      <c r="M887" s="2" t="s">
        <v>6040</v>
      </c>
      <c r="N887" s="4">
        <v>46223.1297337963</v>
      </c>
      <c r="O887" s="3" t="b">
        <f>L887 = "PASS"</f>
        <v>1</v>
      </c>
      <c r="P887" s="3" t="b">
        <f>L887 = "FAIL"</f>
        <v>0</v>
      </c>
      <c r="Q887" s="3" t="b">
        <f>AND(P887, K887)</f>
        <v>0</v>
      </c>
      <c r="R887" s="3" t="str">
        <f>IF(O887, I887, "")</f>
        <v>suite-substrate</v>
      </c>
      <c r="S887" s="3" t="str">
        <f>IF(Q887, I887, "")</f>
      </c>
      <c r="T887" s="2" t="s">
        <v>5935</v>
      </c>
    </row>
    <row r="888">
      <c r="A888" s="2" t="s">
        <v>6857</v>
      </c>
      <c r="B888" s="3" t="str">
        <f>C888 &amp; ": " &amp; D888</f>
        <v>formula-translates: SendIntents.RefusalCitedAnException</v>
      </c>
      <c r="C888" s="2" t="s">
        <v>6038</v>
      </c>
      <c r="D888" s="2" t="s">
        <v>4787</v>
      </c>
      <c r="E888" s="2" t="s">
        <v>4662</v>
      </c>
      <c r="F888" s="2" t="s">
        <v>4788</v>
      </c>
      <c r="G888" s="2" t="s">
        <v>6039</v>
      </c>
      <c r="H888" s="2" t="s">
        <v>2092</v>
      </c>
      <c r="I888" s="2" t="s">
        <v>5920</v>
      </c>
      <c r="J888" s="2" t="s">
        <v>5933</v>
      </c>
      <c r="K888" s="3" t="b">
        <f>J888 = "blocking"</f>
        <v>1</v>
      </c>
      <c r="L888" s="2" t="s">
        <v>1428</v>
      </c>
      <c r="M888" s="2" t="s">
        <v>6040</v>
      </c>
      <c r="N888" s="4">
        <v>46223.1297337963</v>
      </c>
      <c r="O888" s="3" t="b">
        <f>L888 = "PASS"</f>
        <v>1</v>
      </c>
      <c r="P888" s="3" t="b">
        <f>L888 = "FAIL"</f>
        <v>0</v>
      </c>
      <c r="Q888" s="3" t="b">
        <f>AND(P888, K888)</f>
        <v>0</v>
      </c>
      <c r="R888" s="3" t="str">
        <f>IF(O888, I888, "")</f>
        <v>suite-substrate</v>
      </c>
      <c r="S888" s="3" t="str">
        <f>IF(Q888, I888, "")</f>
      </c>
      <c r="T888" s="2" t="s">
        <v>5935</v>
      </c>
    </row>
    <row r="889">
      <c r="A889" s="2" t="s">
        <v>6858</v>
      </c>
      <c r="B889" s="3" t="str">
        <f>C889 &amp; ": " &amp; D889</f>
        <v>formula-translates: SendIntents.IsProperlyHandledRefusal</v>
      </c>
      <c r="C889" s="2" t="s">
        <v>6038</v>
      </c>
      <c r="D889" s="2" t="s">
        <v>4790</v>
      </c>
      <c r="E889" s="2" t="s">
        <v>4662</v>
      </c>
      <c r="F889" s="2" t="s">
        <v>4791</v>
      </c>
      <c r="G889" s="2" t="s">
        <v>6039</v>
      </c>
      <c r="H889" s="2" t="s">
        <v>2092</v>
      </c>
      <c r="I889" s="2" t="s">
        <v>5920</v>
      </c>
      <c r="J889" s="2" t="s">
        <v>5933</v>
      </c>
      <c r="K889" s="3" t="b">
        <f>J889 = "blocking"</f>
        <v>1</v>
      </c>
      <c r="L889" s="2" t="s">
        <v>1428</v>
      </c>
      <c r="M889" s="2" t="s">
        <v>6040</v>
      </c>
      <c r="N889" s="4">
        <v>46223.1297337963</v>
      </c>
      <c r="O889" s="3" t="b">
        <f>L889 = "PASS"</f>
        <v>1</v>
      </c>
      <c r="P889" s="3" t="b">
        <f>L889 = "FAIL"</f>
        <v>0</v>
      </c>
      <c r="Q889" s="3" t="b">
        <f>AND(P889, K889)</f>
        <v>0</v>
      </c>
      <c r="R889" s="3" t="str">
        <f>IF(O889, I889, "")</f>
        <v>suite-substrate</v>
      </c>
      <c r="S889" s="3" t="str">
        <f>IF(Q889, I889, "")</f>
      </c>
      <c r="T889" s="2" t="s">
        <v>5935</v>
      </c>
    </row>
    <row r="890">
      <c r="A890" s="2" t="s">
        <v>6859</v>
      </c>
      <c r="B890" s="3" t="str">
        <f>C890 &amp; ": " &amp; D890</f>
        <v>formula-translates: SendIntents.RefusalFailureExecutionKey</v>
      </c>
      <c r="C890" s="2" t="s">
        <v>6038</v>
      </c>
      <c r="D890" s="2" t="s">
        <v>4793</v>
      </c>
      <c r="E890" s="2" t="s">
        <v>4662</v>
      </c>
      <c r="F890" s="2" t="s">
        <v>4794</v>
      </c>
      <c r="G890" s="2" t="s">
        <v>6039</v>
      </c>
      <c r="H890" s="2" t="s">
        <v>2092</v>
      </c>
      <c r="I890" s="2" t="s">
        <v>5920</v>
      </c>
      <c r="J890" s="2" t="s">
        <v>5933</v>
      </c>
      <c r="K890" s="3" t="b">
        <f>J890 = "blocking"</f>
        <v>1</v>
      </c>
      <c r="L890" s="2" t="s">
        <v>1428</v>
      </c>
      <c r="M890" s="2" t="s">
        <v>6040</v>
      </c>
      <c r="N890" s="4">
        <v>46223.1297337963</v>
      </c>
      <c r="O890" s="3" t="b">
        <f>L890 = "PASS"</f>
        <v>1</v>
      </c>
      <c r="P890" s="3" t="b">
        <f>L890 = "FAIL"</f>
        <v>0</v>
      </c>
      <c r="Q890" s="3" t="b">
        <f>AND(P890, K890)</f>
        <v>0</v>
      </c>
      <c r="R890" s="3" t="str">
        <f>IF(O890, I890, "")</f>
        <v>suite-substrate</v>
      </c>
      <c r="S890" s="3" t="str">
        <f>IF(Q890, I890, "")</f>
      </c>
      <c r="T890" s="2" t="s">
        <v>5935</v>
      </c>
    </row>
    <row r="891">
      <c r="A891" s="2" t="s">
        <v>6860</v>
      </c>
      <c r="B891" s="3" t="str">
        <f>C891 &amp; ": " &amp; D891</f>
        <v>formula-translates: SendIntents.IntentExecutionKey</v>
      </c>
      <c r="C891" s="2" t="s">
        <v>6038</v>
      </c>
      <c r="D891" s="2" t="s">
        <v>4796</v>
      </c>
      <c r="E891" s="2" t="s">
        <v>4662</v>
      </c>
      <c r="F891" s="2" t="s">
        <v>4797</v>
      </c>
      <c r="G891" s="2" t="s">
        <v>6039</v>
      </c>
      <c r="H891" s="2" t="s">
        <v>2296</v>
      </c>
      <c r="I891" s="2" t="s">
        <v>5920</v>
      </c>
      <c r="J891" s="2" t="s">
        <v>5933</v>
      </c>
      <c r="K891" s="3" t="b">
        <f>J891 = "blocking"</f>
        <v>1</v>
      </c>
      <c r="L891" s="2" t="s">
        <v>1428</v>
      </c>
      <c r="M891" s="2" t="s">
        <v>6040</v>
      </c>
      <c r="N891" s="4">
        <v>46223.1297337963</v>
      </c>
      <c r="O891" s="3" t="b">
        <f>L891 = "PASS"</f>
        <v>1</v>
      </c>
      <c r="P891" s="3" t="b">
        <f>L891 = "FAIL"</f>
        <v>0</v>
      </c>
      <c r="Q891" s="3" t="b">
        <f>AND(P891, K891)</f>
        <v>0</v>
      </c>
      <c r="R891" s="3" t="str">
        <f>IF(O891, I891, "")</f>
        <v>suite-substrate</v>
      </c>
      <c r="S891" s="3" t="str">
        <f>IF(Q891, I891, "")</f>
      </c>
      <c r="T891" s="2" t="s">
        <v>5935</v>
      </c>
    </row>
    <row r="892">
      <c r="A892" s="2" t="s">
        <v>6861</v>
      </c>
      <c r="B892" s="3" t="str">
        <f>C892 &amp; ": " &amp; D892</f>
        <v>formula-translates: SendIntents.DeliveredIntentExecutionKey</v>
      </c>
      <c r="C892" s="2" t="s">
        <v>6038</v>
      </c>
      <c r="D892" s="2" t="s">
        <v>4799</v>
      </c>
      <c r="E892" s="2" t="s">
        <v>4662</v>
      </c>
      <c r="F892" s="2" t="s">
        <v>4800</v>
      </c>
      <c r="G892" s="2" t="s">
        <v>6039</v>
      </c>
      <c r="H892" s="2" t="s">
        <v>2296</v>
      </c>
      <c r="I892" s="2" t="s">
        <v>5920</v>
      </c>
      <c r="J892" s="2" t="s">
        <v>5933</v>
      </c>
      <c r="K892" s="3" t="b">
        <f>J892 = "blocking"</f>
        <v>1</v>
      </c>
      <c r="L892" s="2" t="s">
        <v>1428</v>
      </c>
      <c r="M892" s="2" t="s">
        <v>6040</v>
      </c>
      <c r="N892" s="4">
        <v>46223.1297337963</v>
      </c>
      <c r="O892" s="3" t="b">
        <f>L892 = "PASS"</f>
        <v>1</v>
      </c>
      <c r="P892" s="3" t="b">
        <f>L892 = "FAIL"</f>
        <v>0</v>
      </c>
      <c r="Q892" s="3" t="b">
        <f>AND(P892, K892)</f>
        <v>0</v>
      </c>
      <c r="R892" s="3" t="str">
        <f>IF(O892, I892, "")</f>
        <v>suite-substrate</v>
      </c>
      <c r="S892" s="3" t="str">
        <f>IF(Q892, I892, "")</f>
      </c>
      <c r="T892" s="2" t="s">
        <v>5935</v>
      </c>
    </row>
    <row r="893">
      <c r="A893" s="2" t="s">
        <v>6862</v>
      </c>
      <c r="B893" s="3" t="str">
        <f>C893 &amp; ": " &amp; D893</f>
        <v>formula-translates: SendIntents.DroppedIntentExecutionKey</v>
      </c>
      <c r="C893" s="2" t="s">
        <v>6038</v>
      </c>
      <c r="D893" s="2" t="s">
        <v>4802</v>
      </c>
      <c r="E893" s="2" t="s">
        <v>4662</v>
      </c>
      <c r="F893" s="2" t="s">
        <v>4803</v>
      </c>
      <c r="G893" s="2" t="s">
        <v>6039</v>
      </c>
      <c r="H893" s="2" t="s">
        <v>2296</v>
      </c>
      <c r="I893" s="2" t="s">
        <v>5920</v>
      </c>
      <c r="J893" s="2" t="s">
        <v>5933</v>
      </c>
      <c r="K893" s="3" t="b">
        <f>J893 = "blocking"</f>
        <v>1</v>
      </c>
      <c r="L893" s="2" t="s">
        <v>1428</v>
      </c>
      <c r="M893" s="2" t="s">
        <v>6040</v>
      </c>
      <c r="N893" s="4">
        <v>46223.1297337963</v>
      </c>
      <c r="O893" s="3" t="b">
        <f>L893 = "PASS"</f>
        <v>1</v>
      </c>
      <c r="P893" s="3" t="b">
        <f>L893 = "FAIL"</f>
        <v>0</v>
      </c>
      <c r="Q893" s="3" t="b">
        <f>AND(P893, K893)</f>
        <v>0</v>
      </c>
      <c r="R893" s="3" t="str">
        <f>IF(O893, I893, "")</f>
        <v>suite-substrate</v>
      </c>
      <c r="S893" s="3" t="str">
        <f>IF(Q893, I893, "")</f>
      </c>
      <c r="T893" s="2" t="s">
        <v>5935</v>
      </c>
    </row>
    <row r="894">
      <c r="A894" s="2" t="s">
        <v>6863</v>
      </c>
      <c r="B894" s="3" t="str">
        <f>C894 &amp; ": " &amp; D894</f>
        <v>formula-translates: SendIntents.MyApprovalWasInForce</v>
      </c>
      <c r="C894" s="2" t="s">
        <v>6038</v>
      </c>
      <c r="D894" s="2" t="s">
        <v>4805</v>
      </c>
      <c r="E894" s="2" t="s">
        <v>4662</v>
      </c>
      <c r="F894" s="2" t="s">
        <v>4806</v>
      </c>
      <c r="G894" s="2" t="s">
        <v>6039</v>
      </c>
      <c r="H894" s="2" t="s">
        <v>2304</v>
      </c>
      <c r="I894" s="2" t="s">
        <v>5920</v>
      </c>
      <c r="J894" s="2" t="s">
        <v>5933</v>
      </c>
      <c r="K894" s="3" t="b">
        <f>J894 = "blocking"</f>
        <v>1</v>
      </c>
      <c r="L894" s="2" t="s">
        <v>1428</v>
      </c>
      <c r="M894" s="2" t="s">
        <v>6040</v>
      </c>
      <c r="N894" s="4">
        <v>46223.1297337963</v>
      </c>
      <c r="O894" s="3" t="b">
        <f>L894 = "PASS"</f>
        <v>1</v>
      </c>
      <c r="P894" s="3" t="b">
        <f>L894 = "FAIL"</f>
        <v>0</v>
      </c>
      <c r="Q894" s="3" t="b">
        <f>AND(P894, K894)</f>
        <v>0</v>
      </c>
      <c r="R894" s="3" t="str">
        <f>IF(O894, I894, "")</f>
        <v>suite-substrate</v>
      </c>
      <c r="S894" s="3" t="str">
        <f>IF(Q894, I894, "")</f>
      </c>
      <c r="T894" s="2" t="s">
        <v>5935</v>
      </c>
    </row>
    <row r="895">
      <c r="A895" s="2" t="s">
        <v>6864</v>
      </c>
      <c r="B895" s="3" t="str">
        <f>C895 &amp; ": " &amp; D895</f>
        <v>formula-translates: SendIntents.RefusedOnApprovedContent</v>
      </c>
      <c r="C895" s="2" t="s">
        <v>6038</v>
      </c>
      <c r="D895" s="2" t="s">
        <v>4808</v>
      </c>
      <c r="E895" s="2" t="s">
        <v>4662</v>
      </c>
      <c r="F895" s="2" t="s">
        <v>4809</v>
      </c>
      <c r="G895" s="2" t="s">
        <v>6039</v>
      </c>
      <c r="H895" s="2" t="s">
        <v>2304</v>
      </c>
      <c r="I895" s="2" t="s">
        <v>5920</v>
      </c>
      <c r="J895" s="2" t="s">
        <v>5933</v>
      </c>
      <c r="K895" s="3" t="b">
        <f>J895 = "blocking"</f>
        <v>1</v>
      </c>
      <c r="L895" s="2" t="s">
        <v>1428</v>
      </c>
      <c r="M895" s="2" t="s">
        <v>6040</v>
      </c>
      <c r="N895" s="4">
        <v>46223.1297337963</v>
      </c>
      <c r="O895" s="3" t="b">
        <f>L895 = "PASS"</f>
        <v>1</v>
      </c>
      <c r="P895" s="3" t="b">
        <f>L895 = "FAIL"</f>
        <v>0</v>
      </c>
      <c r="Q895" s="3" t="b">
        <f>AND(P895, K895)</f>
        <v>0</v>
      </c>
      <c r="R895" s="3" t="str">
        <f>IF(O895, I895, "")</f>
        <v>suite-substrate</v>
      </c>
      <c r="S895" s="3" t="str">
        <f>IF(Q895, I895, "")</f>
      </c>
      <c r="T895" s="2" t="s">
        <v>5935</v>
      </c>
    </row>
    <row r="896">
      <c r="A896" s="2" t="s">
        <v>6865</v>
      </c>
      <c r="B896" s="3" t="str">
        <f>C896 &amp; ": " &amp; D896</f>
        <v>formula-translates: SendIntents.RefusedOnOptOutOnly</v>
      </c>
      <c r="C896" s="2" t="s">
        <v>6038</v>
      </c>
      <c r="D896" s="2" t="s">
        <v>4811</v>
      </c>
      <c r="E896" s="2" t="s">
        <v>4662</v>
      </c>
      <c r="F896" s="2" t="s">
        <v>4812</v>
      </c>
      <c r="G896" s="2" t="s">
        <v>6039</v>
      </c>
      <c r="H896" s="2" t="s">
        <v>2304</v>
      </c>
      <c r="I896" s="2" t="s">
        <v>5920</v>
      </c>
      <c r="J896" s="2" t="s">
        <v>5933</v>
      </c>
      <c r="K896" s="3" t="b">
        <f>J896 = "blocking"</f>
        <v>1</v>
      </c>
      <c r="L896" s="2" t="s">
        <v>1428</v>
      </c>
      <c r="M896" s="2" t="s">
        <v>6040</v>
      </c>
      <c r="N896" s="4">
        <v>46223.1297337963</v>
      </c>
      <c r="O896" s="3" t="b">
        <f>L896 = "PASS"</f>
        <v>1</v>
      </c>
      <c r="P896" s="3" t="b">
        <f>L896 = "FAIL"</f>
        <v>0</v>
      </c>
      <c r="Q896" s="3" t="b">
        <f>AND(P896, K896)</f>
        <v>0</v>
      </c>
      <c r="R896" s="3" t="str">
        <f>IF(O896, I896, "")</f>
        <v>suite-substrate</v>
      </c>
      <c r="S896" s="3" t="str">
        <f>IF(Q896, I896, "")</f>
      </c>
      <c r="T896" s="2" t="s">
        <v>5935</v>
      </c>
    </row>
    <row r="897">
      <c r="A897" s="2" t="s">
        <v>6866</v>
      </c>
      <c r="B897" s="3" t="str">
        <f>C897 &amp; ": " &amp; D897</f>
        <v>formula-translates: SendIntents.RefusalWasOnMyRules</v>
      </c>
      <c r="C897" s="2" t="s">
        <v>6038</v>
      </c>
      <c r="D897" s="2" t="s">
        <v>4814</v>
      </c>
      <c r="E897" s="2" t="s">
        <v>4662</v>
      </c>
      <c r="F897" s="2" t="s">
        <v>4815</v>
      </c>
      <c r="G897" s="2" t="s">
        <v>6039</v>
      </c>
      <c r="H897" s="2" t="s">
        <v>2304</v>
      </c>
      <c r="I897" s="2" t="s">
        <v>5920</v>
      </c>
      <c r="J897" s="2" t="s">
        <v>5933</v>
      </c>
      <c r="K897" s="3" t="b">
        <f>J897 = "blocking"</f>
        <v>1</v>
      </c>
      <c r="L897" s="2" t="s">
        <v>1428</v>
      </c>
      <c r="M897" s="2" t="s">
        <v>6040</v>
      </c>
      <c r="N897" s="4">
        <v>46223.1297337963</v>
      </c>
      <c r="O897" s="3" t="b">
        <f>L897 = "PASS"</f>
        <v>1</v>
      </c>
      <c r="P897" s="3" t="b">
        <f>L897 = "FAIL"</f>
        <v>0</v>
      </c>
      <c r="Q897" s="3" t="b">
        <f>AND(P897, K897)</f>
        <v>0</v>
      </c>
      <c r="R897" s="3" t="str">
        <f>IF(O897, I897, "")</f>
        <v>suite-substrate</v>
      </c>
      <c r="S897" s="3" t="str">
        <f>IF(Q897, I897, "")</f>
      </c>
      <c r="T897" s="2" t="s">
        <v>5935</v>
      </c>
    </row>
    <row r="898">
      <c r="A898" s="2" t="s">
        <v>6867</v>
      </c>
      <c r="B898" s="3" t="str">
        <f>C898 &amp; ": " &amp; D898</f>
        <v>formula-translates: SendIntents.RefusalWasOutsideMyControl</v>
      </c>
      <c r="C898" s="2" t="s">
        <v>6038</v>
      </c>
      <c r="D898" s="2" t="s">
        <v>4817</v>
      </c>
      <c r="E898" s="2" t="s">
        <v>4662</v>
      </c>
      <c r="F898" s="2" t="s">
        <v>4818</v>
      </c>
      <c r="G898" s="2" t="s">
        <v>6039</v>
      </c>
      <c r="H898" s="2" t="s">
        <v>2304</v>
      </c>
      <c r="I898" s="2" t="s">
        <v>5920</v>
      </c>
      <c r="J898" s="2" t="s">
        <v>5933</v>
      </c>
      <c r="K898" s="3" t="b">
        <f>J898 = "blocking"</f>
        <v>1</v>
      </c>
      <c r="L898" s="2" t="s">
        <v>1428</v>
      </c>
      <c r="M898" s="2" t="s">
        <v>6040</v>
      </c>
      <c r="N898" s="4">
        <v>46223.1297337963</v>
      </c>
      <c r="O898" s="3" t="b">
        <f>L898 = "PASS"</f>
        <v>1</v>
      </c>
      <c r="P898" s="3" t="b">
        <f>L898 = "FAIL"</f>
        <v>0</v>
      </c>
      <c r="Q898" s="3" t="b">
        <f>AND(P898, K898)</f>
        <v>0</v>
      </c>
      <c r="R898" s="3" t="str">
        <f>IF(O898, I898, "")</f>
        <v>suite-substrate</v>
      </c>
      <c r="S898" s="3" t="str">
        <f>IF(Q898, I898, "")</f>
      </c>
      <c r="T898" s="2" t="s">
        <v>5935</v>
      </c>
    </row>
    <row r="899">
      <c r="A899" s="2" t="s">
        <v>6868</v>
      </c>
      <c r="B899" s="3" t="str">
        <f>C899 &amp; ": " &amp; D899</f>
        <v>formula-translates: SendIntents.IsUnreportedRefusalOnMyRules</v>
      </c>
      <c r="C899" s="2" t="s">
        <v>6038</v>
      </c>
      <c r="D899" s="2" t="s">
        <v>4822</v>
      </c>
      <c r="E899" s="2" t="s">
        <v>4662</v>
      </c>
      <c r="F899" s="2" t="s">
        <v>4823</v>
      </c>
      <c r="G899" s="2" t="s">
        <v>6039</v>
      </c>
      <c r="H899" s="2" t="s">
        <v>2304</v>
      </c>
      <c r="I899" s="2" t="s">
        <v>5920</v>
      </c>
      <c r="J899" s="2" t="s">
        <v>5933</v>
      </c>
      <c r="K899" s="3" t="b">
        <f>J899 = "blocking"</f>
        <v>1</v>
      </c>
      <c r="L899" s="2" t="s">
        <v>1428</v>
      </c>
      <c r="M899" s="2" t="s">
        <v>6040</v>
      </c>
      <c r="N899" s="4">
        <v>46223.1297337963</v>
      </c>
      <c r="O899" s="3" t="b">
        <f>L899 = "PASS"</f>
        <v>1</v>
      </c>
      <c r="P899" s="3" t="b">
        <f>L899 = "FAIL"</f>
        <v>0</v>
      </c>
      <c r="Q899" s="3" t="b">
        <f>AND(P899, K899)</f>
        <v>0</v>
      </c>
      <c r="R899" s="3" t="str">
        <f>IF(O899, I899, "")</f>
        <v>suite-substrate</v>
      </c>
      <c r="S899" s="3" t="str">
        <f>IF(Q899, I899, "")</f>
      </c>
      <c r="T899" s="2" t="s">
        <v>5935</v>
      </c>
    </row>
    <row r="900">
      <c r="A900" s="2" t="s">
        <v>6869</v>
      </c>
      <c r="B900" s="3" t="str">
        <f>C900 &amp; ": " &amp; D900</f>
        <v>formula-translates: SendIntents.IsApprovalOverriddenSilently</v>
      </c>
      <c r="C900" s="2" t="s">
        <v>6038</v>
      </c>
      <c r="D900" s="2" t="s">
        <v>4825</v>
      </c>
      <c r="E900" s="2" t="s">
        <v>4662</v>
      </c>
      <c r="F900" s="2" t="s">
        <v>4826</v>
      </c>
      <c r="G900" s="2" t="s">
        <v>6039</v>
      </c>
      <c r="H900" s="2" t="s">
        <v>2304</v>
      </c>
      <c r="I900" s="2" t="s">
        <v>5920</v>
      </c>
      <c r="J900" s="2" t="s">
        <v>5933</v>
      </c>
      <c r="K900" s="3" t="b">
        <f>J900 = "blocking"</f>
        <v>1</v>
      </c>
      <c r="L900" s="2" t="s">
        <v>1428</v>
      </c>
      <c r="M900" s="2" t="s">
        <v>6040</v>
      </c>
      <c r="N900" s="4">
        <v>46223.1297337963</v>
      </c>
      <c r="O900" s="3" t="b">
        <f>L900 = "PASS"</f>
        <v>1</v>
      </c>
      <c r="P900" s="3" t="b">
        <f>L900 = "FAIL"</f>
        <v>0</v>
      </c>
      <c r="Q900" s="3" t="b">
        <f>AND(P900, K900)</f>
        <v>0</v>
      </c>
      <c r="R900" s="3" t="str">
        <f>IF(O900, I900, "")</f>
        <v>suite-substrate</v>
      </c>
      <c r="S900" s="3" t="str">
        <f>IF(Q900, I900, "")</f>
      </c>
      <c r="T900" s="2" t="s">
        <v>5935</v>
      </c>
    </row>
    <row r="901">
      <c r="A901" s="2" t="s">
        <v>6870</v>
      </c>
      <c r="B901" s="3" t="str">
        <f>C901 &amp; ": " &amp; D901</f>
        <v>formula-translates: SendIntents.HasAlternateChannelAttempt</v>
      </c>
      <c r="C901" s="2" t="s">
        <v>6038</v>
      </c>
      <c r="D901" s="2" t="s">
        <v>4830</v>
      </c>
      <c r="E901" s="2" t="s">
        <v>4662</v>
      </c>
      <c r="F901" s="2" t="s">
        <v>4831</v>
      </c>
      <c r="G901" s="2" t="s">
        <v>6039</v>
      </c>
      <c r="H901" s="2" t="s">
        <v>2312</v>
      </c>
      <c r="I901" s="2" t="s">
        <v>5920</v>
      </c>
      <c r="J901" s="2" t="s">
        <v>5933</v>
      </c>
      <c r="K901" s="3" t="b">
        <f>J901 = "blocking"</f>
        <v>1</v>
      </c>
      <c r="L901" s="2" t="s">
        <v>1428</v>
      </c>
      <c r="M901" s="2" t="s">
        <v>6040</v>
      </c>
      <c r="N901" s="4">
        <v>46223.1297337963</v>
      </c>
      <c r="O901" s="3" t="b">
        <f>L901 = "PASS"</f>
        <v>1</v>
      </c>
      <c r="P901" s="3" t="b">
        <f>L901 = "FAIL"</f>
        <v>0</v>
      </c>
      <c r="Q901" s="3" t="b">
        <f>AND(P901, K901)</f>
        <v>0</v>
      </c>
      <c r="R901" s="3" t="str">
        <f>IF(O901, I901, "")</f>
        <v>suite-substrate</v>
      </c>
      <c r="S901" s="3" t="str">
        <f>IF(Q901, I901, "")</f>
      </c>
      <c r="T901" s="2" t="s">
        <v>5935</v>
      </c>
    </row>
    <row r="902">
      <c r="A902" s="2" t="s">
        <v>6871</v>
      </c>
      <c r="B902" s="3" t="str">
        <f>C902 &amp; ": " &amp; D902</f>
        <v>formula-translates: SendIntents.AlternateAttemptWasCleared</v>
      </c>
      <c r="C902" s="2" t="s">
        <v>6038</v>
      </c>
      <c r="D902" s="2" t="s">
        <v>4833</v>
      </c>
      <c r="E902" s="2" t="s">
        <v>4662</v>
      </c>
      <c r="F902" s="2" t="s">
        <v>4834</v>
      </c>
      <c r="G902" s="2" t="s">
        <v>6039</v>
      </c>
      <c r="H902" s="2" t="s">
        <v>2312</v>
      </c>
      <c r="I902" s="2" t="s">
        <v>5920</v>
      </c>
      <c r="J902" s="2" t="s">
        <v>5933</v>
      </c>
      <c r="K902" s="3" t="b">
        <f>J902 = "blocking"</f>
        <v>1</v>
      </c>
      <c r="L902" s="2" t="s">
        <v>1428</v>
      </c>
      <c r="M902" s="2" t="s">
        <v>6040</v>
      </c>
      <c r="N902" s="4">
        <v>46223.1297337963</v>
      </c>
      <c r="O902" s="3" t="b">
        <f>L902 = "PASS"</f>
        <v>1</v>
      </c>
      <c r="P902" s="3" t="b">
        <f>L902 = "FAIL"</f>
        <v>0</v>
      </c>
      <c r="Q902" s="3" t="b">
        <f>AND(P902, K902)</f>
        <v>0</v>
      </c>
      <c r="R902" s="3" t="str">
        <f>IF(O902, I902, "")</f>
        <v>suite-substrate</v>
      </c>
      <c r="S902" s="3" t="str">
        <f>IF(Q902, I902, "")</f>
      </c>
      <c r="T902" s="2" t="s">
        <v>5935</v>
      </c>
    </row>
    <row r="903">
      <c r="A903" s="2" t="s">
        <v>6872</v>
      </c>
      <c r="B903" s="3" t="str">
        <f>C903 &amp; ": " &amp; D903</f>
        <v>formula-translates: SendIntents.IsRefusedWithNoAlternative</v>
      </c>
      <c r="C903" s="2" t="s">
        <v>6038</v>
      </c>
      <c r="D903" s="2" t="s">
        <v>4836</v>
      </c>
      <c r="E903" s="2" t="s">
        <v>4662</v>
      </c>
      <c r="F903" s="2" t="s">
        <v>4837</v>
      </c>
      <c r="G903" s="2" t="s">
        <v>6039</v>
      </c>
      <c r="H903" s="2" t="s">
        <v>2312</v>
      </c>
      <c r="I903" s="2" t="s">
        <v>5920</v>
      </c>
      <c r="J903" s="2" t="s">
        <v>5933</v>
      </c>
      <c r="K903" s="3" t="b">
        <f>J903 = "blocking"</f>
        <v>1</v>
      </c>
      <c r="L903" s="2" t="s">
        <v>1428</v>
      </c>
      <c r="M903" s="2" t="s">
        <v>6040</v>
      </c>
      <c r="N903" s="4">
        <v>46223.1297337963</v>
      </c>
      <c r="O903" s="3" t="b">
        <f>L903 = "PASS"</f>
        <v>1</v>
      </c>
      <c r="P903" s="3" t="b">
        <f>L903 = "FAIL"</f>
        <v>0</v>
      </c>
      <c r="Q903" s="3" t="b">
        <f>AND(P903, K903)</f>
        <v>0</v>
      </c>
      <c r="R903" s="3" t="str">
        <f>IF(O903, I903, "")</f>
        <v>suite-substrate</v>
      </c>
      <c r="S903" s="3" t="str">
        <f>IF(Q903, I903, "")</f>
      </c>
      <c r="T903" s="2" t="s">
        <v>5935</v>
      </c>
    </row>
    <row r="904">
      <c r="A904" s="2" t="s">
        <v>6873</v>
      </c>
      <c r="B904" s="3" t="str">
        <f>C904 &amp; ": " &amp; D904</f>
        <v>formula-translates: SendIntents.ExceptionPrescribedAnAlternative</v>
      </c>
      <c r="C904" s="2" t="s">
        <v>6038</v>
      </c>
      <c r="D904" s="2" t="s">
        <v>4839</v>
      </c>
      <c r="E904" s="2" t="s">
        <v>4662</v>
      </c>
      <c r="F904" s="2" t="s">
        <v>4840</v>
      </c>
      <c r="G904" s="2" t="s">
        <v>6039</v>
      </c>
      <c r="H904" s="2" t="s">
        <v>2312</v>
      </c>
      <c r="I904" s="2" t="s">
        <v>5920</v>
      </c>
      <c r="J904" s="2" t="s">
        <v>5933</v>
      </c>
      <c r="K904" s="3" t="b">
        <f>J904 = "blocking"</f>
        <v>1</v>
      </c>
      <c r="L904" s="2" t="s">
        <v>1428</v>
      </c>
      <c r="M904" s="2" t="s">
        <v>6040</v>
      </c>
      <c r="N904" s="4">
        <v>46223.1297337963</v>
      </c>
      <c r="O904" s="3" t="b">
        <f>L904 = "PASS"</f>
        <v>1</v>
      </c>
      <c r="P904" s="3" t="b">
        <f>L904 = "FAIL"</f>
        <v>0</v>
      </c>
      <c r="Q904" s="3" t="b">
        <f>AND(P904, K904)</f>
        <v>0</v>
      </c>
      <c r="R904" s="3" t="str">
        <f>IF(O904, I904, "")</f>
        <v>suite-substrate</v>
      </c>
      <c r="S904" s="3" t="str">
        <f>IF(Q904, I904, "")</f>
      </c>
      <c r="T904" s="2" t="s">
        <v>5935</v>
      </c>
    </row>
    <row r="905">
      <c r="A905" s="2" t="s">
        <v>6874</v>
      </c>
      <c r="B905" s="3" t="str">
        <f>C905 &amp; ": " &amp; D905</f>
        <v>formula-translates: SendIntents.PrescribedHandlingWasPerformed</v>
      </c>
      <c r="C905" s="2" t="s">
        <v>6038</v>
      </c>
      <c r="D905" s="2" t="s">
        <v>4842</v>
      </c>
      <c r="E905" s="2" t="s">
        <v>4662</v>
      </c>
      <c r="F905" s="2" t="s">
        <v>4843</v>
      </c>
      <c r="G905" s="2" t="s">
        <v>6039</v>
      </c>
      <c r="H905" s="2" t="s">
        <v>2312</v>
      </c>
      <c r="I905" s="2" t="s">
        <v>5920</v>
      </c>
      <c r="J905" s="2" t="s">
        <v>5933</v>
      </c>
      <c r="K905" s="3" t="b">
        <f>J905 = "blocking"</f>
        <v>1</v>
      </c>
      <c r="L905" s="2" t="s">
        <v>1428</v>
      </c>
      <c r="M905" s="2" t="s">
        <v>6040</v>
      </c>
      <c r="N905" s="4">
        <v>46223.1297337963</v>
      </c>
      <c r="O905" s="3" t="b">
        <f>L905 = "PASS"</f>
        <v>1</v>
      </c>
      <c r="P905" s="3" t="b">
        <f>L905 = "FAIL"</f>
        <v>0</v>
      </c>
      <c r="Q905" s="3" t="b">
        <f>AND(P905, K905)</f>
        <v>0</v>
      </c>
      <c r="R905" s="3" t="str">
        <f>IF(O905, I905, "")</f>
        <v>suite-substrate</v>
      </c>
      <c r="S905" s="3" t="str">
        <f>IF(Q905, I905, "")</f>
      </c>
      <c r="T905" s="2" t="s">
        <v>5935</v>
      </c>
    </row>
    <row r="906">
      <c r="A906" s="2" t="s">
        <v>6875</v>
      </c>
      <c r="B906" s="3" t="str">
        <f>C906 &amp; ": " &amp; D906</f>
        <v>formula-translates: SendIntents.IsSuppressionWithoutRemedy</v>
      </c>
      <c r="C906" s="2" t="s">
        <v>6038</v>
      </c>
      <c r="D906" s="2" t="s">
        <v>4845</v>
      </c>
      <c r="E906" s="2" t="s">
        <v>4662</v>
      </c>
      <c r="F906" s="2" t="s">
        <v>4846</v>
      </c>
      <c r="G906" s="2" t="s">
        <v>6039</v>
      </c>
      <c r="H906" s="2" t="s">
        <v>2312</v>
      </c>
      <c r="I906" s="2" t="s">
        <v>5920</v>
      </c>
      <c r="J906" s="2" t="s">
        <v>5933</v>
      </c>
      <c r="K906" s="3" t="b">
        <f>J906 = "blocking"</f>
        <v>1</v>
      </c>
      <c r="L906" s="2" t="s">
        <v>1428</v>
      </c>
      <c r="M906" s="2" t="s">
        <v>6040</v>
      </c>
      <c r="N906" s="4">
        <v>46223.1297337963</v>
      </c>
      <c r="O906" s="3" t="b">
        <f>L906 = "PASS"</f>
        <v>1</v>
      </c>
      <c r="P906" s="3" t="b">
        <f>L906 = "FAIL"</f>
        <v>0</v>
      </c>
      <c r="Q906" s="3" t="b">
        <f>AND(P906, K906)</f>
        <v>0</v>
      </c>
      <c r="R906" s="3" t="str">
        <f>IF(O906, I906, "")</f>
        <v>suite-substrate</v>
      </c>
      <c r="S906" s="3" t="str">
        <f>IF(Q906, I906, "")</f>
      </c>
      <c r="T906" s="2" t="s">
        <v>5935</v>
      </c>
    </row>
    <row r="907">
      <c r="A907" s="2" t="s">
        <v>6876</v>
      </c>
      <c r="B907" s="3" t="str">
        <f>C907 &amp; ": " &amp; D907</f>
        <v>formula-translates: SendIntents.HasDurableRefusalRecord</v>
      </c>
      <c r="C907" s="2" t="s">
        <v>6038</v>
      </c>
      <c r="D907" s="2" t="s">
        <v>4852</v>
      </c>
      <c r="E907" s="2" t="s">
        <v>4662</v>
      </c>
      <c r="F907" s="2" t="s">
        <v>4853</v>
      </c>
      <c r="G907" s="2" t="s">
        <v>6039</v>
      </c>
      <c r="H907" s="2" t="s">
        <v>2336</v>
      </c>
      <c r="I907" s="2" t="s">
        <v>5920</v>
      </c>
      <c r="J907" s="2" t="s">
        <v>5933</v>
      </c>
      <c r="K907" s="3" t="b">
        <f>J907 = "blocking"</f>
        <v>1</v>
      </c>
      <c r="L907" s="2" t="s">
        <v>1428</v>
      </c>
      <c r="M907" s="2" t="s">
        <v>6040</v>
      </c>
      <c r="N907" s="4">
        <v>46223.1297337963</v>
      </c>
      <c r="O907" s="3" t="b">
        <f>L907 = "PASS"</f>
        <v>1</v>
      </c>
      <c r="P907" s="3" t="b">
        <f>L907 = "FAIL"</f>
        <v>0</v>
      </c>
      <c r="Q907" s="3" t="b">
        <f>AND(P907, K907)</f>
        <v>0</v>
      </c>
      <c r="R907" s="3" t="str">
        <f>IF(O907, I907, "")</f>
        <v>suite-substrate</v>
      </c>
      <c r="S907" s="3" t="str">
        <f>IF(Q907, I907, "")</f>
      </c>
      <c r="T907" s="2" t="s">
        <v>5935</v>
      </c>
    </row>
    <row r="908">
      <c r="A908" s="2" t="s">
        <v>6877</v>
      </c>
      <c r="B908" s="3" t="str">
        <f>C908 &amp; ": " &amp; D908</f>
        <v>formula-translates: SendIntents.RefusalWasEscalated</v>
      </c>
      <c r="C908" s="2" t="s">
        <v>6038</v>
      </c>
      <c r="D908" s="2" t="s">
        <v>4855</v>
      </c>
      <c r="E908" s="2" t="s">
        <v>4662</v>
      </c>
      <c r="F908" s="2" t="s">
        <v>4856</v>
      </c>
      <c r="G908" s="2" t="s">
        <v>6039</v>
      </c>
      <c r="H908" s="2" t="s">
        <v>2336</v>
      </c>
      <c r="I908" s="2" t="s">
        <v>5920</v>
      </c>
      <c r="J908" s="2" t="s">
        <v>5933</v>
      </c>
      <c r="K908" s="3" t="b">
        <f>J908 = "blocking"</f>
        <v>1</v>
      </c>
      <c r="L908" s="2" t="s">
        <v>1428</v>
      </c>
      <c r="M908" s="2" t="s">
        <v>6040</v>
      </c>
      <c r="N908" s="4">
        <v>46223.1297337963</v>
      </c>
      <c r="O908" s="3" t="b">
        <f>L908 = "PASS"</f>
        <v>1</v>
      </c>
      <c r="P908" s="3" t="b">
        <f>L908 = "FAIL"</f>
        <v>0</v>
      </c>
      <c r="Q908" s="3" t="b">
        <f>AND(P908, K908)</f>
        <v>0</v>
      </c>
      <c r="R908" s="3" t="str">
        <f>IF(O908, I908, "")</f>
        <v>suite-substrate</v>
      </c>
      <c r="S908" s="3" t="str">
        <f>IF(Q908, I908, "")</f>
      </c>
      <c r="T908" s="2" t="s">
        <v>5935</v>
      </c>
    </row>
    <row r="909">
      <c r="A909" s="2" t="s">
        <v>6878</v>
      </c>
      <c r="B909" s="3" t="str">
        <f>C909 &amp; ": " &amp; D909</f>
        <v>formula-translates: SendIntents.IsUnrecordedRefusal</v>
      </c>
      <c r="C909" s="2" t="s">
        <v>6038</v>
      </c>
      <c r="D909" s="2" t="s">
        <v>4858</v>
      </c>
      <c r="E909" s="2" t="s">
        <v>4662</v>
      </c>
      <c r="F909" s="2" t="s">
        <v>4859</v>
      </c>
      <c r="G909" s="2" t="s">
        <v>6039</v>
      </c>
      <c r="H909" s="2" t="s">
        <v>2336</v>
      </c>
      <c r="I909" s="2" t="s">
        <v>5920</v>
      </c>
      <c r="J909" s="2" t="s">
        <v>5933</v>
      </c>
      <c r="K909" s="3" t="b">
        <f>J909 = "blocking"</f>
        <v>1</v>
      </c>
      <c r="L909" s="2" t="s">
        <v>1428</v>
      </c>
      <c r="M909" s="2" t="s">
        <v>6040</v>
      </c>
      <c r="N909" s="4">
        <v>46223.1297337963</v>
      </c>
      <c r="O909" s="3" t="b">
        <f>L909 = "PASS"</f>
        <v>1</v>
      </c>
      <c r="P909" s="3" t="b">
        <f>L909 = "FAIL"</f>
        <v>0</v>
      </c>
      <c r="Q909" s="3" t="b">
        <f>AND(P909, K909)</f>
        <v>0</v>
      </c>
      <c r="R909" s="3" t="str">
        <f>IF(O909, I909, "")</f>
        <v>suite-substrate</v>
      </c>
      <c r="S909" s="3" t="str">
        <f>IF(Q909, I909, "")</f>
      </c>
      <c r="T909" s="2" t="s">
        <v>5935</v>
      </c>
    </row>
    <row r="910">
      <c r="A910" s="2" t="s">
        <v>6879</v>
      </c>
      <c r="B910" s="3" t="str">
        <f>C910 &amp; ": " &amp; D910</f>
        <v>formula-translates: SendIntents.IsUnescalatedRefusal</v>
      </c>
      <c r="C910" s="2" t="s">
        <v>6038</v>
      </c>
      <c r="D910" s="2" t="s">
        <v>4861</v>
      </c>
      <c r="E910" s="2" t="s">
        <v>4662</v>
      </c>
      <c r="F910" s="2" t="s">
        <v>4862</v>
      </c>
      <c r="G910" s="2" t="s">
        <v>6039</v>
      </c>
      <c r="H910" s="2" t="s">
        <v>2336</v>
      </c>
      <c r="I910" s="2" t="s">
        <v>5920</v>
      </c>
      <c r="J910" s="2" t="s">
        <v>5933</v>
      </c>
      <c r="K910" s="3" t="b">
        <f>J910 = "blocking"</f>
        <v>1</v>
      </c>
      <c r="L910" s="2" t="s">
        <v>1428</v>
      </c>
      <c r="M910" s="2" t="s">
        <v>6040</v>
      </c>
      <c r="N910" s="4">
        <v>46223.1297337963</v>
      </c>
      <c r="O910" s="3" t="b">
        <f>L910 = "PASS"</f>
        <v>1</v>
      </c>
      <c r="P910" s="3" t="b">
        <f>L910 = "FAIL"</f>
        <v>0</v>
      </c>
      <c r="Q910" s="3" t="b">
        <f>AND(P910, K910)</f>
        <v>0</v>
      </c>
      <c r="R910" s="3" t="str">
        <f>IF(O910, I910, "")</f>
        <v>suite-substrate</v>
      </c>
      <c r="S910" s="3" t="str">
        <f>IF(Q910, I910, "")</f>
      </c>
      <c r="T910" s="2" t="s">
        <v>5935</v>
      </c>
    </row>
    <row r="911">
      <c r="A911" s="2" t="s">
        <v>6880</v>
      </c>
      <c r="B911" s="3" t="str">
        <f>C911 &amp; ": " &amp; D911</f>
        <v>formula-translates: SendIntents.UnescalatedRefusalRoleKey</v>
      </c>
      <c r="C911" s="2" t="s">
        <v>6038</v>
      </c>
      <c r="D911" s="2" t="s">
        <v>4864</v>
      </c>
      <c r="E911" s="2" t="s">
        <v>4662</v>
      </c>
      <c r="F911" s="2" t="s">
        <v>4865</v>
      </c>
      <c r="G911" s="2" t="s">
        <v>6039</v>
      </c>
      <c r="H911" s="2" t="s">
        <v>2336</v>
      </c>
      <c r="I911" s="2" t="s">
        <v>5920</v>
      </c>
      <c r="J911" s="2" t="s">
        <v>5933</v>
      </c>
      <c r="K911" s="3" t="b">
        <f>J911 = "blocking"</f>
        <v>1</v>
      </c>
      <c r="L911" s="2" t="s">
        <v>1428</v>
      </c>
      <c r="M911" s="2" t="s">
        <v>6040</v>
      </c>
      <c r="N911" s="4">
        <v>46223.1297337963</v>
      </c>
      <c r="O911" s="3" t="b">
        <f>L911 = "PASS"</f>
        <v>1</v>
      </c>
      <c r="P911" s="3" t="b">
        <f>L911 = "FAIL"</f>
        <v>0</v>
      </c>
      <c r="Q911" s="3" t="b">
        <f>AND(P911, K911)</f>
        <v>0</v>
      </c>
      <c r="R911" s="3" t="str">
        <f>IF(O911, I911, "")</f>
        <v>suite-substrate</v>
      </c>
      <c r="S911" s="3" t="str">
        <f>IF(Q911, I911, "")</f>
      </c>
      <c r="T911" s="2" t="s">
        <v>5935</v>
      </c>
    </row>
    <row r="912">
      <c r="A912" s="2" t="s">
        <v>6881</v>
      </c>
      <c r="B912" s="3" t="str">
        <f>C912 &amp; ": " &amp; D912</f>
        <v>formula-translates: SendIntents.UnrecordedRefusalExecutionKey</v>
      </c>
      <c r="C912" s="2" t="s">
        <v>6038</v>
      </c>
      <c r="D912" s="2" t="s">
        <v>4867</v>
      </c>
      <c r="E912" s="2" t="s">
        <v>4662</v>
      </c>
      <c r="F912" s="2" t="s">
        <v>4868</v>
      </c>
      <c r="G912" s="2" t="s">
        <v>6039</v>
      </c>
      <c r="H912" s="2" t="s">
        <v>2336</v>
      </c>
      <c r="I912" s="2" t="s">
        <v>5920</v>
      </c>
      <c r="J912" s="2" t="s">
        <v>5933</v>
      </c>
      <c r="K912" s="3" t="b">
        <f>J912 = "blocking"</f>
        <v>1</v>
      </c>
      <c r="L912" s="2" t="s">
        <v>1428</v>
      </c>
      <c r="M912" s="2" t="s">
        <v>6040</v>
      </c>
      <c r="N912" s="4">
        <v>46223.1297337963</v>
      </c>
      <c r="O912" s="3" t="b">
        <f>L912 = "PASS"</f>
        <v>1</v>
      </c>
      <c r="P912" s="3" t="b">
        <f>L912 = "FAIL"</f>
        <v>0</v>
      </c>
      <c r="Q912" s="3" t="b">
        <f>AND(P912, K912)</f>
        <v>0</v>
      </c>
      <c r="R912" s="3" t="str">
        <f>IF(O912, I912, "")</f>
        <v>suite-substrate</v>
      </c>
      <c r="S912" s="3" t="str">
        <f>IF(Q912, I912, "")</f>
      </c>
      <c r="T912" s="2" t="s">
        <v>5935</v>
      </c>
    </row>
    <row r="913">
      <c r="A913" s="2" t="s">
        <v>6882</v>
      </c>
      <c r="B913" s="3" t="str">
        <f>C913 &amp; ": " &amp; D913</f>
        <v>formula-translates: SendIntents.WasDeferredOnTiming</v>
      </c>
      <c r="C913" s="2" t="s">
        <v>6038</v>
      </c>
      <c r="D913" s="2" t="s">
        <v>4872</v>
      </c>
      <c r="E913" s="2" t="s">
        <v>4662</v>
      </c>
      <c r="F913" s="2" t="s">
        <v>4873</v>
      </c>
      <c r="G913" s="2" t="s">
        <v>6039</v>
      </c>
      <c r="H913" s="2" t="s">
        <v>2340</v>
      </c>
      <c r="I913" s="2" t="s">
        <v>5920</v>
      </c>
      <c r="J913" s="2" t="s">
        <v>5933</v>
      </c>
      <c r="K913" s="3" t="b">
        <f>J913 = "blocking"</f>
        <v>1</v>
      </c>
      <c r="L913" s="2" t="s">
        <v>1428</v>
      </c>
      <c r="M913" s="2" t="s">
        <v>6040</v>
      </c>
      <c r="N913" s="4">
        <v>46223.1297337963</v>
      </c>
      <c r="O913" s="3" t="b">
        <f>L913 = "PASS"</f>
        <v>1</v>
      </c>
      <c r="P913" s="3" t="b">
        <f>L913 = "FAIL"</f>
        <v>0</v>
      </c>
      <c r="Q913" s="3" t="b">
        <f>AND(P913, K913)</f>
        <v>0</v>
      </c>
      <c r="R913" s="3" t="str">
        <f>IF(O913, I913, "")</f>
        <v>suite-substrate</v>
      </c>
      <c r="S913" s="3" t="str">
        <f>IF(Q913, I913, "")</f>
      </c>
      <c r="T913" s="2" t="s">
        <v>5935</v>
      </c>
    </row>
    <row r="914">
      <c r="A914" s="2" t="s">
        <v>6883</v>
      </c>
      <c r="B914" s="3" t="str">
        <f>C914 &amp; ": " &amp; D914</f>
        <v>formula-translates: SendIntents.AsOfInstant</v>
      </c>
      <c r="C914" s="2" t="s">
        <v>6038</v>
      </c>
      <c r="D914" s="2" t="s">
        <v>4876</v>
      </c>
      <c r="E914" s="2" t="s">
        <v>4662</v>
      </c>
      <c r="F914" s="2" t="s">
        <v>92</v>
      </c>
      <c r="G914" s="2" t="s">
        <v>6039</v>
      </c>
      <c r="H914" s="2"/>
      <c r="I914" s="2" t="s">
        <v>5920</v>
      </c>
      <c r="J914" s="2" t="s">
        <v>5933</v>
      </c>
      <c r="K914" s="3" t="b">
        <f>J914 = "blocking"</f>
        <v>1</v>
      </c>
      <c r="L914" s="2" t="s">
        <v>1428</v>
      </c>
      <c r="M914" s="2" t="s">
        <v>6040</v>
      </c>
      <c r="N914" s="4">
        <v>46223.1297337963</v>
      </c>
      <c r="O914" s="3" t="b">
        <f>L914 = "PASS"</f>
        <v>1</v>
      </c>
      <c r="P914" s="3" t="b">
        <f>L914 = "FAIL"</f>
        <v>0</v>
      </c>
      <c r="Q914" s="3" t="b">
        <f>AND(P914, K914)</f>
        <v>0</v>
      </c>
      <c r="R914" s="3" t="str">
        <f>IF(O914, I914, "")</f>
        <v>suite-substrate</v>
      </c>
      <c r="S914" s="3" t="str">
        <f>IF(Q914, I914, "")</f>
      </c>
      <c r="T914" s="2" t="s">
        <v>5935</v>
      </c>
    </row>
    <row r="915">
      <c r="A915" s="2" t="s">
        <v>6884</v>
      </c>
      <c r="B915" s="3" t="str">
        <f>C915 &amp; ": " &amp; D915</f>
        <v>formula-translates: SendIntents.WindowHasSinceReopened</v>
      </c>
      <c r="C915" s="2" t="s">
        <v>6038</v>
      </c>
      <c r="D915" s="2" t="s">
        <v>4877</v>
      </c>
      <c r="E915" s="2" t="s">
        <v>4662</v>
      </c>
      <c r="F915" s="2" t="s">
        <v>4878</v>
      </c>
      <c r="G915" s="2" t="s">
        <v>6039</v>
      </c>
      <c r="H915" s="2" t="s">
        <v>2340</v>
      </c>
      <c r="I915" s="2" t="s">
        <v>5920</v>
      </c>
      <c r="J915" s="2" t="s">
        <v>5933</v>
      </c>
      <c r="K915" s="3" t="b">
        <f>J915 = "blocking"</f>
        <v>1</v>
      </c>
      <c r="L915" s="2" t="s">
        <v>1428</v>
      </c>
      <c r="M915" s="2" t="s">
        <v>6040</v>
      </c>
      <c r="N915" s="4">
        <v>46223.1297337963</v>
      </c>
      <c r="O915" s="3" t="b">
        <f>L915 = "PASS"</f>
        <v>1</v>
      </c>
      <c r="P915" s="3" t="b">
        <f>L915 = "FAIL"</f>
        <v>0</v>
      </c>
      <c r="Q915" s="3" t="b">
        <f>AND(P915, K915)</f>
        <v>0</v>
      </c>
      <c r="R915" s="3" t="str">
        <f>IF(O915, I915, "")</f>
        <v>suite-substrate</v>
      </c>
      <c r="S915" s="3" t="str">
        <f>IF(Q915, I915, "")</f>
      </c>
      <c r="T915" s="2" t="s">
        <v>5935</v>
      </c>
    </row>
    <row r="916">
      <c r="A916" s="2" t="s">
        <v>6885</v>
      </c>
      <c r="B916" s="3" t="str">
        <f>C916 &amp; ": " &amp; D916</f>
        <v>formula-translates: SendIntents.HasRetryAttempt</v>
      </c>
      <c r="C916" s="2" t="s">
        <v>6038</v>
      </c>
      <c r="D916" s="2" t="s">
        <v>4880</v>
      </c>
      <c r="E916" s="2" t="s">
        <v>4662</v>
      </c>
      <c r="F916" s="2" t="s">
        <v>4881</v>
      </c>
      <c r="G916" s="2" t="s">
        <v>6039</v>
      </c>
      <c r="H916" s="2" t="s">
        <v>2340</v>
      </c>
      <c r="I916" s="2" t="s">
        <v>5920</v>
      </c>
      <c r="J916" s="2" t="s">
        <v>5933</v>
      </c>
      <c r="K916" s="3" t="b">
        <f>J916 = "blocking"</f>
        <v>1</v>
      </c>
      <c r="L916" s="2" t="s">
        <v>1428</v>
      </c>
      <c r="M916" s="2" t="s">
        <v>6040</v>
      </c>
      <c r="N916" s="4">
        <v>46223.1297337963</v>
      </c>
      <c r="O916" s="3" t="b">
        <f>L916 = "PASS"</f>
        <v>1</v>
      </c>
      <c r="P916" s="3" t="b">
        <f>L916 = "FAIL"</f>
        <v>0</v>
      </c>
      <c r="Q916" s="3" t="b">
        <f>AND(P916, K916)</f>
        <v>0</v>
      </c>
      <c r="R916" s="3" t="str">
        <f>IF(O916, I916, "")</f>
        <v>suite-substrate</v>
      </c>
      <c r="S916" s="3" t="str">
        <f>IF(Q916, I916, "")</f>
      </c>
      <c r="T916" s="2" t="s">
        <v>5935</v>
      </c>
    </row>
    <row r="917">
      <c r="A917" s="2" t="s">
        <v>6886</v>
      </c>
      <c r="B917" s="3" t="str">
        <f>C917 &amp; ": " &amp; D917</f>
        <v>formula-translates: SendIntents.RetryWasCleared</v>
      </c>
      <c r="C917" s="2" t="s">
        <v>6038</v>
      </c>
      <c r="D917" s="2" t="s">
        <v>4883</v>
      </c>
      <c r="E917" s="2" t="s">
        <v>4662</v>
      </c>
      <c r="F917" s="2" t="s">
        <v>4884</v>
      </c>
      <c r="G917" s="2" t="s">
        <v>6039</v>
      </c>
      <c r="H917" s="2" t="s">
        <v>2340</v>
      </c>
      <c r="I917" s="2" t="s">
        <v>5920</v>
      </c>
      <c r="J917" s="2" t="s">
        <v>5933</v>
      </c>
      <c r="K917" s="3" t="b">
        <f>J917 = "blocking"</f>
        <v>1</v>
      </c>
      <c r="L917" s="2" t="s">
        <v>1428</v>
      </c>
      <c r="M917" s="2" t="s">
        <v>6040</v>
      </c>
      <c r="N917" s="4">
        <v>46223.1297337963</v>
      </c>
      <c r="O917" s="3" t="b">
        <f>L917 = "PASS"</f>
        <v>1</v>
      </c>
      <c r="P917" s="3" t="b">
        <f>L917 = "FAIL"</f>
        <v>0</v>
      </c>
      <c r="Q917" s="3" t="b">
        <f>AND(P917, K917)</f>
        <v>0</v>
      </c>
      <c r="R917" s="3" t="str">
        <f>IF(O917, I917, "")</f>
        <v>suite-substrate</v>
      </c>
      <c r="S917" s="3" t="str">
        <f>IF(Q917, I917, "")</f>
      </c>
      <c r="T917" s="2" t="s">
        <v>5935</v>
      </c>
    </row>
    <row r="918">
      <c r="A918" s="2" t="s">
        <v>6887</v>
      </c>
      <c r="B918" s="3" t="str">
        <f>C918 &amp; ": " &amp; D918</f>
        <v>formula-translates: SendIntents.IsAbandonedDeferral</v>
      </c>
      <c r="C918" s="2" t="s">
        <v>6038</v>
      </c>
      <c r="D918" s="2" t="s">
        <v>4886</v>
      </c>
      <c r="E918" s="2" t="s">
        <v>4662</v>
      </c>
      <c r="F918" s="2" t="s">
        <v>4887</v>
      </c>
      <c r="G918" s="2" t="s">
        <v>6039</v>
      </c>
      <c r="H918" s="2" t="s">
        <v>2340</v>
      </c>
      <c r="I918" s="2" t="s">
        <v>5920</v>
      </c>
      <c r="J918" s="2" t="s">
        <v>5933</v>
      </c>
      <c r="K918" s="3" t="b">
        <f>J918 = "blocking"</f>
        <v>1</v>
      </c>
      <c r="L918" s="2" t="s">
        <v>1428</v>
      </c>
      <c r="M918" s="2" t="s">
        <v>6040</v>
      </c>
      <c r="N918" s="4">
        <v>46223.1297337963</v>
      </c>
      <c r="O918" s="3" t="b">
        <f>L918 = "PASS"</f>
        <v>1</v>
      </c>
      <c r="P918" s="3" t="b">
        <f>L918 = "FAIL"</f>
        <v>0</v>
      </c>
      <c r="Q918" s="3" t="b">
        <f>AND(P918, K918)</f>
        <v>0</v>
      </c>
      <c r="R918" s="3" t="str">
        <f>IF(O918, I918, "")</f>
        <v>suite-substrate</v>
      </c>
      <c r="S918" s="3" t="str">
        <f>IF(Q918, I918, "")</f>
      </c>
      <c r="T918" s="2" t="s">
        <v>5935</v>
      </c>
    </row>
    <row r="919">
      <c r="A919" s="2" t="s">
        <v>6888</v>
      </c>
      <c r="B919" s="3" t="str">
        <f>C919 &amp; ": " &amp; D919</f>
        <v>formula-translates: SendIntents.DeferralAgeHours</v>
      </c>
      <c r="C919" s="2" t="s">
        <v>6038</v>
      </c>
      <c r="D919" s="2" t="s">
        <v>4889</v>
      </c>
      <c r="E919" s="2" t="s">
        <v>4662</v>
      </c>
      <c r="F919" s="2" t="s">
        <v>4890</v>
      </c>
      <c r="G919" s="2" t="s">
        <v>6039</v>
      </c>
      <c r="H919" s="2" t="s">
        <v>2340</v>
      </c>
      <c r="I919" s="2" t="s">
        <v>5920</v>
      </c>
      <c r="J919" s="2" t="s">
        <v>5933</v>
      </c>
      <c r="K919" s="3" t="b">
        <f>J919 = "blocking"</f>
        <v>1</v>
      </c>
      <c r="L919" s="2" t="s">
        <v>1428</v>
      </c>
      <c r="M919" s="2" t="s">
        <v>6040</v>
      </c>
      <c r="N919" s="4">
        <v>46223.1297337963</v>
      </c>
      <c r="O919" s="3" t="b">
        <f>L919 = "PASS"</f>
        <v>1</v>
      </c>
      <c r="P919" s="3" t="b">
        <f>L919 = "FAIL"</f>
        <v>0</v>
      </c>
      <c r="Q919" s="3" t="b">
        <f>AND(P919, K919)</f>
        <v>0</v>
      </c>
      <c r="R919" s="3" t="str">
        <f>IF(O919, I919, "")</f>
        <v>suite-substrate</v>
      </c>
      <c r="S919" s="3" t="str">
        <f>IF(Q919, I919, "")</f>
      </c>
      <c r="T919" s="2" t="s">
        <v>5935</v>
      </c>
    </row>
    <row r="920">
      <c r="A920" s="2" t="s">
        <v>6889</v>
      </c>
      <c r="B920" s="3" t="str">
        <f>C920 &amp; ": " &amp; D920</f>
        <v>formula-translates: SendIntents.IsStaleDeferral</v>
      </c>
      <c r="C920" s="2" t="s">
        <v>6038</v>
      </c>
      <c r="D920" s="2" t="s">
        <v>4892</v>
      </c>
      <c r="E920" s="2" t="s">
        <v>4662</v>
      </c>
      <c r="F920" s="2" t="s">
        <v>4893</v>
      </c>
      <c r="G920" s="2" t="s">
        <v>6039</v>
      </c>
      <c r="H920" s="2" t="s">
        <v>2340</v>
      </c>
      <c r="I920" s="2" t="s">
        <v>5920</v>
      </c>
      <c r="J920" s="2" t="s">
        <v>5933</v>
      </c>
      <c r="K920" s="3" t="b">
        <f>J920 = "blocking"</f>
        <v>1</v>
      </c>
      <c r="L920" s="2" t="s">
        <v>1428</v>
      </c>
      <c r="M920" s="2" t="s">
        <v>6040</v>
      </c>
      <c r="N920" s="4">
        <v>46223.1297337963</v>
      </c>
      <c r="O920" s="3" t="b">
        <f>L920 = "PASS"</f>
        <v>1</v>
      </c>
      <c r="P920" s="3" t="b">
        <f>L920 = "FAIL"</f>
        <v>0</v>
      </c>
      <c r="Q920" s="3" t="b">
        <f>AND(P920, K920)</f>
        <v>0</v>
      </c>
      <c r="R920" s="3" t="str">
        <f>IF(O920, I920, "")</f>
        <v>suite-substrate</v>
      </c>
      <c r="S920" s="3" t="str">
        <f>IF(Q920, I920, "")</f>
      </c>
      <c r="T920" s="2" t="s">
        <v>5935</v>
      </c>
    </row>
    <row r="921">
      <c r="A921" s="2" t="s">
        <v>6890</v>
      </c>
      <c r="B921" s="3" t="str">
        <f>C921 &amp; ": " &amp; D921</f>
        <v>formula-translates: SendIntents.EnforcedByUnauthorizedAgent</v>
      </c>
      <c r="C921" s="2" t="s">
        <v>6038</v>
      </c>
      <c r="D921" s="2" t="s">
        <v>4897</v>
      </c>
      <c r="E921" s="2" t="s">
        <v>4662</v>
      </c>
      <c r="F921" s="2" t="s">
        <v>4898</v>
      </c>
      <c r="G921" s="2" t="s">
        <v>6039</v>
      </c>
      <c r="H921" s="2" t="s">
        <v>2344</v>
      </c>
      <c r="I921" s="2" t="s">
        <v>5920</v>
      </c>
      <c r="J921" s="2" t="s">
        <v>5933</v>
      </c>
      <c r="K921" s="3" t="b">
        <f>J921 = "blocking"</f>
        <v>1</v>
      </c>
      <c r="L921" s="2" t="s">
        <v>1428</v>
      </c>
      <c r="M921" s="2" t="s">
        <v>6040</v>
      </c>
      <c r="N921" s="4">
        <v>46223.1297337963</v>
      </c>
      <c r="O921" s="3" t="b">
        <f>L921 = "PASS"</f>
        <v>1</v>
      </c>
      <c r="P921" s="3" t="b">
        <f>L921 = "FAIL"</f>
        <v>0</v>
      </c>
      <c r="Q921" s="3" t="b">
        <f>AND(P921, K921)</f>
        <v>0</v>
      </c>
      <c r="R921" s="3" t="str">
        <f>IF(O921, I921, "")</f>
        <v>suite-substrate</v>
      </c>
      <c r="S921" s="3" t="str">
        <f>IF(Q921, I921, "")</f>
      </c>
      <c r="T921" s="2" t="s">
        <v>5935</v>
      </c>
    </row>
    <row r="922">
      <c r="A922" s="2" t="s">
        <v>6891</v>
      </c>
      <c r="B922" s="3" t="str">
        <f>C922 &amp; ": " &amp; D922</f>
        <v>formula-translates: SendIntents.ConsentInputWasResolvable</v>
      </c>
      <c r="C922" s="2" t="s">
        <v>6038</v>
      </c>
      <c r="D922" s="2" t="s">
        <v>4900</v>
      </c>
      <c r="E922" s="2" t="s">
        <v>4662</v>
      </c>
      <c r="F922" s="2" t="s">
        <v>4901</v>
      </c>
      <c r="G922" s="2" t="s">
        <v>6039</v>
      </c>
      <c r="H922" s="2" t="s">
        <v>2348</v>
      </c>
      <c r="I922" s="2" t="s">
        <v>5920</v>
      </c>
      <c r="J922" s="2" t="s">
        <v>5933</v>
      </c>
      <c r="K922" s="3" t="b">
        <f>J922 = "blocking"</f>
        <v>1</v>
      </c>
      <c r="L922" s="2" t="s">
        <v>1428</v>
      </c>
      <c r="M922" s="2" t="s">
        <v>6040</v>
      </c>
      <c r="N922" s="4">
        <v>46223.1297337963</v>
      </c>
      <c r="O922" s="3" t="b">
        <f>L922 = "PASS"</f>
        <v>1</v>
      </c>
      <c r="P922" s="3" t="b">
        <f>L922 = "FAIL"</f>
        <v>0</v>
      </c>
      <c r="Q922" s="3" t="b">
        <f>AND(P922, K922)</f>
        <v>0</v>
      </c>
      <c r="R922" s="3" t="str">
        <f>IF(O922, I922, "")</f>
        <v>suite-substrate</v>
      </c>
      <c r="S922" s="3" t="str">
        <f>IF(Q922, I922, "")</f>
      </c>
      <c r="T922" s="2" t="s">
        <v>5935</v>
      </c>
    </row>
    <row r="923">
      <c r="A923" s="2" t="s">
        <v>6892</v>
      </c>
      <c r="B923" s="3" t="str">
        <f>C923 &amp; ": " &amp; D923</f>
        <v>formula-translates: SendIntents.RecipientConsentStatusRaw</v>
      </c>
      <c r="C923" s="2" t="s">
        <v>6038</v>
      </c>
      <c r="D923" s="2" t="s">
        <v>4903</v>
      </c>
      <c r="E923" s="2" t="s">
        <v>4662</v>
      </c>
      <c r="F923" s="2" t="s">
        <v>4904</v>
      </c>
      <c r="G923" s="2" t="s">
        <v>6039</v>
      </c>
      <c r="H923" s="2" t="s">
        <v>2348</v>
      </c>
      <c r="I923" s="2" t="s">
        <v>5920</v>
      </c>
      <c r="J923" s="2" t="s">
        <v>5933</v>
      </c>
      <c r="K923" s="3" t="b">
        <f>J923 = "blocking"</f>
        <v>1</v>
      </c>
      <c r="L923" s="2" t="s">
        <v>1428</v>
      </c>
      <c r="M923" s="2" t="s">
        <v>6040</v>
      </c>
      <c r="N923" s="4">
        <v>46223.1297337963</v>
      </c>
      <c r="O923" s="3" t="b">
        <f>L923 = "PASS"</f>
        <v>1</v>
      </c>
      <c r="P923" s="3" t="b">
        <f>L923 = "FAIL"</f>
        <v>0</v>
      </c>
      <c r="Q923" s="3" t="b">
        <f>AND(P923, K923)</f>
        <v>0</v>
      </c>
      <c r="R923" s="3" t="str">
        <f>IF(O923, I923, "")</f>
        <v>suite-substrate</v>
      </c>
      <c r="S923" s="3" t="str">
        <f>IF(Q923, I923, "")</f>
      </c>
      <c r="T923" s="2" t="s">
        <v>5935</v>
      </c>
    </row>
    <row r="924">
      <c r="A924" s="2" t="s">
        <v>6893</v>
      </c>
      <c r="B924" s="3" t="str">
        <f>C924 &amp; ": " &amp; D924</f>
        <v>formula-translates: SendIntents.PolicyInputWasResolvable</v>
      </c>
      <c r="C924" s="2" t="s">
        <v>6038</v>
      </c>
      <c r="D924" s="2" t="s">
        <v>4906</v>
      </c>
      <c r="E924" s="2" t="s">
        <v>4662</v>
      </c>
      <c r="F924" s="2" t="s">
        <v>4907</v>
      </c>
      <c r="G924" s="2" t="s">
        <v>6039</v>
      </c>
      <c r="H924" s="2" t="s">
        <v>2348</v>
      </c>
      <c r="I924" s="2" t="s">
        <v>5920</v>
      </c>
      <c r="J924" s="2" t="s">
        <v>5933</v>
      </c>
      <c r="K924" s="3" t="b">
        <f>J924 = "blocking"</f>
        <v>1</v>
      </c>
      <c r="L924" s="2" t="s">
        <v>1428</v>
      </c>
      <c r="M924" s="2" t="s">
        <v>6040</v>
      </c>
      <c r="N924" s="4">
        <v>46223.1297337963</v>
      </c>
      <c r="O924" s="3" t="b">
        <f>L924 = "PASS"</f>
        <v>1</v>
      </c>
      <c r="P924" s="3" t="b">
        <f>L924 = "FAIL"</f>
        <v>0</v>
      </c>
      <c r="Q924" s="3" t="b">
        <f>AND(P924, K924)</f>
        <v>0</v>
      </c>
      <c r="R924" s="3" t="str">
        <f>IF(O924, I924, "")</f>
        <v>suite-substrate</v>
      </c>
      <c r="S924" s="3" t="str">
        <f>IF(Q924, I924, "")</f>
      </c>
      <c r="T924" s="2" t="s">
        <v>5935</v>
      </c>
    </row>
    <row r="925">
      <c r="A925" s="2" t="s">
        <v>6894</v>
      </c>
      <c r="B925" s="3" t="str">
        <f>C925 &amp; ": " &amp; D925</f>
        <v>formula-translates: SendIntents.AllGateInputsResolved</v>
      </c>
      <c r="C925" s="2" t="s">
        <v>6038</v>
      </c>
      <c r="D925" s="2" t="s">
        <v>4909</v>
      </c>
      <c r="E925" s="2" t="s">
        <v>4662</v>
      </c>
      <c r="F925" s="2" t="s">
        <v>4910</v>
      </c>
      <c r="G925" s="2" t="s">
        <v>6039</v>
      </c>
      <c r="H925" s="2" t="s">
        <v>2348</v>
      </c>
      <c r="I925" s="2" t="s">
        <v>5920</v>
      </c>
      <c r="J925" s="2" t="s">
        <v>5933</v>
      </c>
      <c r="K925" s="3" t="b">
        <f>J925 = "blocking"</f>
        <v>1</v>
      </c>
      <c r="L925" s="2" t="s">
        <v>1428</v>
      </c>
      <c r="M925" s="2" t="s">
        <v>6040</v>
      </c>
      <c r="N925" s="4">
        <v>46223.1297337963</v>
      </c>
      <c r="O925" s="3" t="b">
        <f>L925 = "PASS"</f>
        <v>1</v>
      </c>
      <c r="P925" s="3" t="b">
        <f>L925 = "FAIL"</f>
        <v>0</v>
      </c>
      <c r="Q925" s="3" t="b">
        <f>AND(P925, K925)</f>
        <v>0</v>
      </c>
      <c r="R925" s="3" t="str">
        <f>IF(O925, I925, "")</f>
        <v>suite-substrate</v>
      </c>
      <c r="S925" s="3" t="str">
        <f>IF(Q925, I925, "")</f>
      </c>
      <c r="T925" s="2" t="s">
        <v>5935</v>
      </c>
    </row>
    <row r="926">
      <c r="A926" s="2" t="s">
        <v>6895</v>
      </c>
      <c r="B926" s="3" t="str">
        <f>C926 &amp; ": " &amp; D926</f>
        <v>formula-translates: SendIntents.IsUnevaluableRefusal</v>
      </c>
      <c r="C926" s="2" t="s">
        <v>6038</v>
      </c>
      <c r="D926" s="2" t="s">
        <v>4912</v>
      </c>
      <c r="E926" s="2" t="s">
        <v>4662</v>
      </c>
      <c r="F926" s="2" t="s">
        <v>4913</v>
      </c>
      <c r="G926" s="2" t="s">
        <v>6039</v>
      </c>
      <c r="H926" s="2" t="s">
        <v>2348</v>
      </c>
      <c r="I926" s="2" t="s">
        <v>5920</v>
      </c>
      <c r="J926" s="2" t="s">
        <v>5933</v>
      </c>
      <c r="K926" s="3" t="b">
        <f>J926 = "blocking"</f>
        <v>1</v>
      </c>
      <c r="L926" s="2" t="s">
        <v>1428</v>
      </c>
      <c r="M926" s="2" t="s">
        <v>6040</v>
      </c>
      <c r="N926" s="4">
        <v>46223.1297337963</v>
      </c>
      <c r="O926" s="3" t="b">
        <f>L926 = "PASS"</f>
        <v>1</v>
      </c>
      <c r="P926" s="3" t="b">
        <f>L926 = "FAIL"</f>
        <v>0</v>
      </c>
      <c r="Q926" s="3" t="b">
        <f>AND(P926, K926)</f>
        <v>0</v>
      </c>
      <c r="R926" s="3" t="str">
        <f>IF(O926, I926, "")</f>
        <v>suite-substrate</v>
      </c>
      <c r="S926" s="3" t="str">
        <f>IF(Q926, I926, "")</f>
      </c>
      <c r="T926" s="2" t="s">
        <v>5935</v>
      </c>
    </row>
    <row r="927">
      <c r="A927" s="2" t="s">
        <v>6896</v>
      </c>
      <c r="B927" s="3" t="str">
        <f>C927 &amp; ": " &amp; D927</f>
        <v>formula-translates: SendIntents.IsSelfWitnessedDecision</v>
      </c>
      <c r="C927" s="2" t="s">
        <v>6038</v>
      </c>
      <c r="D927" s="2" t="s">
        <v>4917</v>
      </c>
      <c r="E927" s="2" t="s">
        <v>4662</v>
      </c>
      <c r="F927" s="2" t="s">
        <v>4918</v>
      </c>
      <c r="G927" s="2" t="s">
        <v>6039</v>
      </c>
      <c r="H927" s="2" t="s">
        <v>2348</v>
      </c>
      <c r="I927" s="2" t="s">
        <v>5920</v>
      </c>
      <c r="J927" s="2" t="s">
        <v>5933</v>
      </c>
      <c r="K927" s="3" t="b">
        <f>J927 = "blocking"</f>
        <v>1</v>
      </c>
      <c r="L927" s="2" t="s">
        <v>1428</v>
      </c>
      <c r="M927" s="2" t="s">
        <v>6040</v>
      </c>
      <c r="N927" s="4">
        <v>46223.1297337963</v>
      </c>
      <c r="O927" s="3" t="b">
        <f>L927 = "PASS"</f>
        <v>1</v>
      </c>
      <c r="P927" s="3" t="b">
        <f>L927 = "FAIL"</f>
        <v>0</v>
      </c>
      <c r="Q927" s="3" t="b">
        <f>AND(P927, K927)</f>
        <v>0</v>
      </c>
      <c r="R927" s="3" t="str">
        <f>IF(O927, I927, "")</f>
        <v>suite-substrate</v>
      </c>
      <c r="S927" s="3" t="str">
        <f>IF(Q927, I927, "")</f>
      </c>
      <c r="T927" s="2" t="s">
        <v>5935</v>
      </c>
    </row>
    <row r="928">
      <c r="A928" s="2" t="s">
        <v>6897</v>
      </c>
      <c r="B928" s="3" t="str">
        <f>C928 &amp; ": " &amp; D928</f>
        <v>formula-translates: SendIntents.IsIndependentlyConfirmed</v>
      </c>
      <c r="C928" s="2" t="s">
        <v>6038</v>
      </c>
      <c r="D928" s="2" t="s">
        <v>4920</v>
      </c>
      <c r="E928" s="2" t="s">
        <v>4662</v>
      </c>
      <c r="F928" s="2" t="s">
        <v>4921</v>
      </c>
      <c r="G928" s="2" t="s">
        <v>6039</v>
      </c>
      <c r="H928" s="2" t="s">
        <v>2348</v>
      </c>
      <c r="I928" s="2" t="s">
        <v>5920</v>
      </c>
      <c r="J928" s="2" t="s">
        <v>5933</v>
      </c>
      <c r="K928" s="3" t="b">
        <f>J928 = "blocking"</f>
        <v>1</v>
      </c>
      <c r="L928" s="2" t="s">
        <v>1428</v>
      </c>
      <c r="M928" s="2" t="s">
        <v>6040</v>
      </c>
      <c r="N928" s="4">
        <v>46223.1297337963</v>
      </c>
      <c r="O928" s="3" t="b">
        <f>L928 = "PASS"</f>
        <v>1</v>
      </c>
      <c r="P928" s="3" t="b">
        <f>L928 = "FAIL"</f>
        <v>0</v>
      </c>
      <c r="Q928" s="3" t="b">
        <f>AND(P928, K928)</f>
        <v>0</v>
      </c>
      <c r="R928" s="3" t="str">
        <f>IF(O928, I928, "")</f>
        <v>suite-substrate</v>
      </c>
      <c r="S928" s="3" t="str">
        <f>IF(Q928, I928, "")</f>
      </c>
      <c r="T928" s="2" t="s">
        <v>5935</v>
      </c>
    </row>
    <row r="929">
      <c r="A929" s="2" t="s">
        <v>6898</v>
      </c>
      <c r="B929" s="3" t="str">
        <f>C929 &amp; ": " &amp; D929</f>
        <v>formula-translates: SendIntents.IndependentlyConfirmedExecutionKey</v>
      </c>
      <c r="C929" s="2" t="s">
        <v>6038</v>
      </c>
      <c r="D929" s="2" t="s">
        <v>4923</v>
      </c>
      <c r="E929" s="2" t="s">
        <v>4662</v>
      </c>
      <c r="F929" s="2" t="s">
        <v>4924</v>
      </c>
      <c r="G929" s="2" t="s">
        <v>6039</v>
      </c>
      <c r="H929" s="2" t="s">
        <v>2348</v>
      </c>
      <c r="I929" s="2" t="s">
        <v>5920</v>
      </c>
      <c r="J929" s="2" t="s">
        <v>5933</v>
      </c>
      <c r="K929" s="3" t="b">
        <f>J929 = "blocking"</f>
        <v>1</v>
      </c>
      <c r="L929" s="2" t="s">
        <v>1428</v>
      </c>
      <c r="M929" s="2" t="s">
        <v>6040</v>
      </c>
      <c r="N929" s="4">
        <v>46223.1297337963</v>
      </c>
      <c r="O929" s="3" t="b">
        <f>L929 = "PASS"</f>
        <v>1</v>
      </c>
      <c r="P929" s="3" t="b">
        <f>L929 = "FAIL"</f>
        <v>0</v>
      </c>
      <c r="Q929" s="3" t="b">
        <f>AND(P929, K929)</f>
        <v>0</v>
      </c>
      <c r="R929" s="3" t="str">
        <f>IF(O929, I929, "")</f>
        <v>suite-substrate</v>
      </c>
      <c r="S929" s="3" t="str">
        <f>IF(Q929, I929, "")</f>
      </c>
      <c r="T929" s="2" t="s">
        <v>5935</v>
      </c>
    </row>
    <row r="930">
      <c r="A930" s="2" t="s">
        <v>6899</v>
      </c>
      <c r="B930" s="3" t="str">
        <f>C930 &amp; ": " &amp; D930</f>
        <v>formula-translates: AgentDecisionRecords.Name</v>
      </c>
      <c r="C930" s="2" t="s">
        <v>6038</v>
      </c>
      <c r="D930" s="2" t="s">
        <v>4930</v>
      </c>
      <c r="E930" s="2" t="s">
        <v>4928</v>
      </c>
      <c r="F930" s="2" t="s">
        <v>1</v>
      </c>
      <c r="G930" s="2" t="s">
        <v>6039</v>
      </c>
      <c r="H930" s="2"/>
      <c r="I930" s="2" t="s">
        <v>5920</v>
      </c>
      <c r="J930" s="2" t="s">
        <v>5933</v>
      </c>
      <c r="K930" s="3" t="b">
        <f>J930 = "blocking"</f>
        <v>1</v>
      </c>
      <c r="L930" s="2" t="s">
        <v>1428</v>
      </c>
      <c r="M930" s="2" t="s">
        <v>6040</v>
      </c>
      <c r="N930" s="4">
        <v>46223.1297337963</v>
      </c>
      <c r="O930" s="3" t="b">
        <f>L930 = "PASS"</f>
        <v>1</v>
      </c>
      <c r="P930" s="3" t="b">
        <f>L930 = "FAIL"</f>
        <v>0</v>
      </c>
      <c r="Q930" s="3" t="b">
        <f>AND(P930, K930)</f>
        <v>0</v>
      </c>
      <c r="R930" s="3" t="str">
        <f>IF(O930, I930, "")</f>
        <v>suite-substrate</v>
      </c>
      <c r="S930" s="3" t="str">
        <f>IF(Q930, I930, "")</f>
      </c>
      <c r="T930" s="2" t="s">
        <v>5935</v>
      </c>
    </row>
    <row r="931">
      <c r="A931" s="2" t="s">
        <v>6900</v>
      </c>
      <c r="B931" s="3" t="str">
        <f>C931 &amp; ": " &amp; D931</f>
        <v>formula-translates: AgentDecisionRecords.WasOverridden</v>
      </c>
      <c r="C931" s="2" t="s">
        <v>6038</v>
      </c>
      <c r="D931" s="2" t="s">
        <v>4946</v>
      </c>
      <c r="E931" s="2" t="s">
        <v>4928</v>
      </c>
      <c r="F931" s="2" t="s">
        <v>4947</v>
      </c>
      <c r="G931" s="2" t="s">
        <v>6039</v>
      </c>
      <c r="H931" s="2" t="s">
        <v>2112</v>
      </c>
      <c r="I931" s="2" t="s">
        <v>5920</v>
      </c>
      <c r="J931" s="2" t="s">
        <v>5933</v>
      </c>
      <c r="K931" s="3" t="b">
        <f>J931 = "blocking"</f>
        <v>1</v>
      </c>
      <c r="L931" s="2" t="s">
        <v>1428</v>
      </c>
      <c r="M931" s="2" t="s">
        <v>6040</v>
      </c>
      <c r="N931" s="4">
        <v>46223.1297337963</v>
      </c>
      <c r="O931" s="3" t="b">
        <f>L931 = "PASS"</f>
        <v>1</v>
      </c>
      <c r="P931" s="3" t="b">
        <f>L931 = "FAIL"</f>
        <v>0</v>
      </c>
      <c r="Q931" s="3" t="b">
        <f>AND(P931, K931)</f>
        <v>0</v>
      </c>
      <c r="R931" s="3" t="str">
        <f>IF(O931, I931, "")</f>
        <v>suite-substrate</v>
      </c>
      <c r="S931" s="3" t="str">
        <f>IF(Q931, I931, "")</f>
      </c>
      <c r="T931" s="2" t="s">
        <v>5935</v>
      </c>
    </row>
    <row r="932">
      <c r="A932" s="2" t="s">
        <v>6901</v>
      </c>
      <c r="B932" s="3" t="str">
        <f>C932 &amp; ": " &amp; D932</f>
        <v>formula-translates: AgentDecisionRecords.WasReviewed</v>
      </c>
      <c r="C932" s="2" t="s">
        <v>6038</v>
      </c>
      <c r="D932" s="2" t="s">
        <v>4949</v>
      </c>
      <c r="E932" s="2" t="s">
        <v>4928</v>
      </c>
      <c r="F932" s="2" t="s">
        <v>4950</v>
      </c>
      <c r="G932" s="2" t="s">
        <v>6039</v>
      </c>
      <c r="H932" s="2" t="s">
        <v>2112</v>
      </c>
      <c r="I932" s="2" t="s">
        <v>5920</v>
      </c>
      <c r="J932" s="2" t="s">
        <v>5933</v>
      </c>
      <c r="K932" s="3" t="b">
        <f>J932 = "blocking"</f>
        <v>1</v>
      </c>
      <c r="L932" s="2" t="s">
        <v>1428</v>
      </c>
      <c r="M932" s="2" t="s">
        <v>6040</v>
      </c>
      <c r="N932" s="4">
        <v>46223.1297337963</v>
      </c>
      <c r="O932" s="3" t="b">
        <f>L932 = "PASS"</f>
        <v>1</v>
      </c>
      <c r="P932" s="3" t="b">
        <f>L932 = "FAIL"</f>
        <v>0</v>
      </c>
      <c r="Q932" s="3" t="b">
        <f>AND(P932, K932)</f>
        <v>0</v>
      </c>
      <c r="R932" s="3" t="str">
        <f>IF(O932, I932, "")</f>
        <v>suite-substrate</v>
      </c>
      <c r="S932" s="3" t="str">
        <f>IF(Q932, I932, "")</f>
      </c>
      <c r="T932" s="2" t="s">
        <v>5935</v>
      </c>
    </row>
    <row r="933">
      <c r="A933" s="2" t="s">
        <v>6902</v>
      </c>
      <c r="B933" s="3" t="str">
        <f>C933 &amp; ": " &amp; D933</f>
        <v>formula-translates: AgentDecisionRecords.DecidingAgentKind</v>
      </c>
      <c r="C933" s="2" t="s">
        <v>6038</v>
      </c>
      <c r="D933" s="2" t="s">
        <v>4952</v>
      </c>
      <c r="E933" s="2" t="s">
        <v>4928</v>
      </c>
      <c r="F933" s="2" t="s">
        <v>4953</v>
      </c>
      <c r="G933" s="2" t="s">
        <v>6039</v>
      </c>
      <c r="H933" s="2" t="s">
        <v>2112</v>
      </c>
      <c r="I933" s="2" t="s">
        <v>5920</v>
      </c>
      <c r="J933" s="2" t="s">
        <v>5933</v>
      </c>
      <c r="K933" s="3" t="b">
        <f>J933 = "blocking"</f>
        <v>1</v>
      </c>
      <c r="L933" s="2" t="s">
        <v>1428</v>
      </c>
      <c r="M933" s="2" t="s">
        <v>6040</v>
      </c>
      <c r="N933" s="4">
        <v>46223.1297337963</v>
      </c>
      <c r="O933" s="3" t="b">
        <f>L933 = "PASS"</f>
        <v>1</v>
      </c>
      <c r="P933" s="3" t="b">
        <f>L933 = "FAIL"</f>
        <v>0</v>
      </c>
      <c r="Q933" s="3" t="b">
        <f>AND(P933, K933)</f>
        <v>0</v>
      </c>
      <c r="R933" s="3" t="str">
        <f>IF(O933, I933, "")</f>
        <v>suite-substrate</v>
      </c>
      <c r="S933" s="3" t="str">
        <f>IF(Q933, I933, "")</f>
      </c>
      <c r="T933" s="2" t="s">
        <v>5935</v>
      </c>
    </row>
    <row r="934">
      <c r="A934" s="2" t="s">
        <v>6903</v>
      </c>
      <c r="B934" s="3" t="str">
        <f>C934 &amp; ": " &amp; D934</f>
        <v>formula-translates: AgentDecisionRecords.DecidingAgentWhenOverridden</v>
      </c>
      <c r="C934" s="2" t="s">
        <v>6038</v>
      </c>
      <c r="D934" s="2" t="s">
        <v>4955</v>
      </c>
      <c r="E934" s="2" t="s">
        <v>4928</v>
      </c>
      <c r="F934" s="2" t="s">
        <v>4956</v>
      </c>
      <c r="G934" s="2" t="s">
        <v>6039</v>
      </c>
      <c r="H934" s="2" t="s">
        <v>2112</v>
      </c>
      <c r="I934" s="2" t="s">
        <v>5920</v>
      </c>
      <c r="J934" s="2" t="s">
        <v>5933</v>
      </c>
      <c r="K934" s="3" t="b">
        <f>J934 = "blocking"</f>
        <v>1</v>
      </c>
      <c r="L934" s="2" t="s">
        <v>1428</v>
      </c>
      <c r="M934" s="2" t="s">
        <v>6040</v>
      </c>
      <c r="N934" s="4">
        <v>46223.1297337963</v>
      </c>
      <c r="O934" s="3" t="b">
        <f>L934 = "PASS"</f>
        <v>1</v>
      </c>
      <c r="P934" s="3" t="b">
        <f>L934 = "FAIL"</f>
        <v>0</v>
      </c>
      <c r="Q934" s="3" t="b">
        <f>AND(P934, K934)</f>
        <v>0</v>
      </c>
      <c r="R934" s="3" t="str">
        <f>IF(O934, I934, "")</f>
        <v>suite-substrate</v>
      </c>
      <c r="S934" s="3" t="str">
        <f>IF(Q934, I934, "")</f>
      </c>
      <c r="T934" s="2" t="s">
        <v>5935</v>
      </c>
    </row>
    <row r="935">
      <c r="A935" s="2" t="s">
        <v>6904</v>
      </c>
      <c r="B935" s="3" t="str">
        <f>C935 &amp; ": " &amp; D935</f>
        <v>formula-translates: AgentDecisionRecords.RoleAssignmentWhenScored</v>
      </c>
      <c r="C935" s="2" t="s">
        <v>6038</v>
      </c>
      <c r="D935" s="2" t="s">
        <v>4960</v>
      </c>
      <c r="E935" s="2" t="s">
        <v>4928</v>
      </c>
      <c r="F935" s="2" t="s">
        <v>4961</v>
      </c>
      <c r="G935" s="2" t="s">
        <v>6039</v>
      </c>
      <c r="H935" s="2" t="s">
        <v>2140</v>
      </c>
      <c r="I935" s="2" t="s">
        <v>5920</v>
      </c>
      <c r="J935" s="2" t="s">
        <v>5933</v>
      </c>
      <c r="K935" s="3" t="b">
        <f>J935 = "blocking"</f>
        <v>1</v>
      </c>
      <c r="L935" s="2" t="s">
        <v>1428</v>
      </c>
      <c r="M935" s="2" t="s">
        <v>6040</v>
      </c>
      <c r="N935" s="4">
        <v>46223.1297337963</v>
      </c>
      <c r="O935" s="3" t="b">
        <f>L935 = "PASS"</f>
        <v>1</v>
      </c>
      <c r="P935" s="3" t="b">
        <f>L935 = "FAIL"</f>
        <v>0</v>
      </c>
      <c r="Q935" s="3" t="b">
        <f>AND(P935, K935)</f>
        <v>0</v>
      </c>
      <c r="R935" s="3" t="str">
        <f>IF(O935, I935, "")</f>
        <v>suite-substrate</v>
      </c>
      <c r="S935" s="3" t="str">
        <f>IF(Q935, I935, "")</f>
      </c>
      <c r="T935" s="2" t="s">
        <v>5935</v>
      </c>
    </row>
    <row r="936">
      <c r="A936" s="2" t="s">
        <v>6905</v>
      </c>
      <c r="B936" s="3" t="str">
        <f>C936 &amp; ": " &amp; D936</f>
        <v>formula-translates: AgentDecisionRecords.RoleAssignmentWhenOverridden</v>
      </c>
      <c r="C936" s="2" t="s">
        <v>6038</v>
      </c>
      <c r="D936" s="2" t="s">
        <v>4963</v>
      </c>
      <c r="E936" s="2" t="s">
        <v>4928</v>
      </c>
      <c r="F936" s="2" t="s">
        <v>4964</v>
      </c>
      <c r="G936" s="2" t="s">
        <v>6039</v>
      </c>
      <c r="H936" s="2" t="s">
        <v>2140</v>
      </c>
      <c r="I936" s="2" t="s">
        <v>5920</v>
      </c>
      <c r="J936" s="2" t="s">
        <v>5933</v>
      </c>
      <c r="K936" s="3" t="b">
        <f>J936 = "blocking"</f>
        <v>1</v>
      </c>
      <c r="L936" s="2" t="s">
        <v>1428</v>
      </c>
      <c r="M936" s="2" t="s">
        <v>6040</v>
      </c>
      <c r="N936" s="4">
        <v>46223.1297337963</v>
      </c>
      <c r="O936" s="3" t="b">
        <f>L936 = "PASS"</f>
        <v>1</v>
      </c>
      <c r="P936" s="3" t="b">
        <f>L936 = "FAIL"</f>
        <v>0</v>
      </c>
      <c r="Q936" s="3" t="b">
        <f>AND(P936, K936)</f>
        <v>0</v>
      </c>
      <c r="R936" s="3" t="str">
        <f>IF(O936, I936, "")</f>
        <v>suite-substrate</v>
      </c>
      <c r="S936" s="3" t="str">
        <f>IF(Q936, I936, "")</f>
      </c>
      <c r="T936" s="2" t="s">
        <v>5935</v>
      </c>
    </row>
    <row r="937">
      <c r="A937" s="2" t="s">
        <v>6906</v>
      </c>
      <c r="B937" s="3" t="str">
        <f>C937 &amp; ": " &amp; D937</f>
        <v>formula-translates: AgentDecisionRecords.StepOfDecision</v>
      </c>
      <c r="C937" s="2" t="s">
        <v>6038</v>
      </c>
      <c r="D937" s="2" t="s">
        <v>4966</v>
      </c>
      <c r="E937" s="2" t="s">
        <v>4928</v>
      </c>
      <c r="F937" s="2" t="s">
        <v>4967</v>
      </c>
      <c r="G937" s="2" t="s">
        <v>6039</v>
      </c>
      <c r="H937" s="2" t="s">
        <v>2144</v>
      </c>
      <c r="I937" s="2" t="s">
        <v>5920</v>
      </c>
      <c r="J937" s="2" t="s">
        <v>5933</v>
      </c>
      <c r="K937" s="3" t="b">
        <f>J937 = "blocking"</f>
        <v>1</v>
      </c>
      <c r="L937" s="2" t="s">
        <v>1428</v>
      </c>
      <c r="M937" s="2" t="s">
        <v>6040</v>
      </c>
      <c r="N937" s="4">
        <v>46223.1297337963</v>
      </c>
      <c r="O937" s="3" t="b">
        <f>L937 = "PASS"</f>
        <v>1</v>
      </c>
      <c r="P937" s="3" t="b">
        <f>L937 = "FAIL"</f>
        <v>0</v>
      </c>
      <c r="Q937" s="3" t="b">
        <f>AND(P937, K937)</f>
        <v>0</v>
      </c>
      <c r="R937" s="3" t="str">
        <f>IF(O937, I937, "")</f>
        <v>suite-substrate</v>
      </c>
      <c r="S937" s="3" t="str">
        <f>IF(Q937, I937, "")</f>
      </c>
      <c r="T937" s="2" t="s">
        <v>5935</v>
      </c>
    </row>
    <row r="938">
      <c r="A938" s="2" t="s">
        <v>6907</v>
      </c>
      <c r="B938" s="3" t="str">
        <f>C938 &amp; ": " &amp; D938</f>
        <v>formula-translates: AgentDecisionRecords.BoundaryMatchKey</v>
      </c>
      <c r="C938" s="2" t="s">
        <v>6038</v>
      </c>
      <c r="D938" s="2" t="s">
        <v>4968</v>
      </c>
      <c r="E938" s="2" t="s">
        <v>4928</v>
      </c>
      <c r="F938" s="2" t="s">
        <v>4969</v>
      </c>
      <c r="G938" s="2" t="s">
        <v>6039</v>
      </c>
      <c r="H938" s="2" t="s">
        <v>2144</v>
      </c>
      <c r="I938" s="2" t="s">
        <v>5920</v>
      </c>
      <c r="J938" s="2" t="s">
        <v>5933</v>
      </c>
      <c r="K938" s="3" t="b">
        <f>J938 = "blocking"</f>
        <v>1</v>
      </c>
      <c r="L938" s="2" t="s">
        <v>1428</v>
      </c>
      <c r="M938" s="2" t="s">
        <v>6040</v>
      </c>
      <c r="N938" s="4">
        <v>46223.1297337963</v>
      </c>
      <c r="O938" s="3" t="b">
        <f>L938 = "PASS"</f>
        <v>1</v>
      </c>
      <c r="P938" s="3" t="b">
        <f>L938 = "FAIL"</f>
        <v>0</v>
      </c>
      <c r="Q938" s="3" t="b">
        <f>AND(P938, K938)</f>
        <v>0</v>
      </c>
      <c r="R938" s="3" t="str">
        <f>IF(O938, I938, "")</f>
        <v>suite-substrate</v>
      </c>
      <c r="S938" s="3" t="str">
        <f>IF(Q938, I938, "")</f>
      </c>
      <c r="T938" s="2" t="s">
        <v>5935</v>
      </c>
    </row>
    <row r="939">
      <c r="A939" s="2" t="s">
        <v>6908</v>
      </c>
      <c r="B939" s="3" t="str">
        <f>C939 &amp; ": " &amp; D939</f>
        <v>formula-translates: AgentDecisionRecords.MatchingBoundaryCount</v>
      </c>
      <c r="C939" s="2" t="s">
        <v>6038</v>
      </c>
      <c r="D939" s="2" t="s">
        <v>4971</v>
      </c>
      <c r="E939" s="2" t="s">
        <v>4928</v>
      </c>
      <c r="F939" s="2" t="s">
        <v>4972</v>
      </c>
      <c r="G939" s="2" t="s">
        <v>6039</v>
      </c>
      <c r="H939" s="2" t="s">
        <v>2144</v>
      </c>
      <c r="I939" s="2" t="s">
        <v>5920</v>
      </c>
      <c r="J939" s="2" t="s">
        <v>5933</v>
      </c>
      <c r="K939" s="3" t="b">
        <f>J939 = "blocking"</f>
        <v>1</v>
      </c>
      <c r="L939" s="2" t="s">
        <v>1428</v>
      </c>
      <c r="M939" s="2" t="s">
        <v>6040</v>
      </c>
      <c r="N939" s="4">
        <v>46223.1297337963</v>
      </c>
      <c r="O939" s="3" t="b">
        <f>L939 = "PASS"</f>
        <v>1</v>
      </c>
      <c r="P939" s="3" t="b">
        <f>L939 = "FAIL"</f>
        <v>0</v>
      </c>
      <c r="Q939" s="3" t="b">
        <f>AND(P939, K939)</f>
        <v>0</v>
      </c>
      <c r="R939" s="3" t="str">
        <f>IF(O939, I939, "")</f>
        <v>suite-substrate</v>
      </c>
      <c r="S939" s="3" t="str">
        <f>IF(Q939, I939, "")</f>
      </c>
      <c r="T939" s="2" t="s">
        <v>5935</v>
      </c>
    </row>
    <row r="940">
      <c r="A940" s="2" t="s">
        <v>6909</v>
      </c>
      <c r="B940" s="3" t="str">
        <f>C940 &amp; ": " &amp; D940</f>
        <v>formula-translates: AgentDecisionRecords.ViolatedAuthorityBoundary</v>
      </c>
      <c r="C940" s="2" t="s">
        <v>6038</v>
      </c>
      <c r="D940" s="2" t="s">
        <v>4974</v>
      </c>
      <c r="E940" s="2" t="s">
        <v>4928</v>
      </c>
      <c r="F940" s="2" t="s">
        <v>4975</v>
      </c>
      <c r="G940" s="2" t="s">
        <v>6039</v>
      </c>
      <c r="H940" s="2" t="s">
        <v>2144</v>
      </c>
      <c r="I940" s="2" t="s">
        <v>5920</v>
      </c>
      <c r="J940" s="2" t="s">
        <v>5933</v>
      </c>
      <c r="K940" s="3" t="b">
        <f>J940 = "blocking"</f>
        <v>1</v>
      </c>
      <c r="L940" s="2" t="s">
        <v>1428</v>
      </c>
      <c r="M940" s="2" t="s">
        <v>6040</v>
      </c>
      <c r="N940" s="4">
        <v>46223.1297337963</v>
      </c>
      <c r="O940" s="3" t="b">
        <f>L940 = "PASS"</f>
        <v>1</v>
      </c>
      <c r="P940" s="3" t="b">
        <f>L940 = "FAIL"</f>
        <v>0</v>
      </c>
      <c r="Q940" s="3" t="b">
        <f>AND(P940, K940)</f>
        <v>0</v>
      </c>
      <c r="R940" s="3" t="str">
        <f>IF(O940, I940, "")</f>
        <v>suite-substrate</v>
      </c>
      <c r="S940" s="3" t="str">
        <f>IF(Q940, I940, "")</f>
      </c>
      <c r="T940" s="2" t="s">
        <v>5935</v>
      </c>
    </row>
    <row r="941">
      <c r="A941" s="2" t="s">
        <v>6910</v>
      </c>
      <c r="B941" s="3" t="str">
        <f>C941 &amp; ": " &amp; D941</f>
        <v>formula-translates: AgentDecisionRecords.ReviewerAgentKind</v>
      </c>
      <c r="C941" s="2" t="s">
        <v>6038</v>
      </c>
      <c r="D941" s="2" t="s">
        <v>4977</v>
      </c>
      <c r="E941" s="2" t="s">
        <v>4928</v>
      </c>
      <c r="F941" s="2" t="s">
        <v>4978</v>
      </c>
      <c r="G941" s="2" t="s">
        <v>6039</v>
      </c>
      <c r="H941" s="2" t="s">
        <v>2148</v>
      </c>
      <c r="I941" s="2" t="s">
        <v>5920</v>
      </c>
      <c r="J941" s="2" t="s">
        <v>5933</v>
      </c>
      <c r="K941" s="3" t="b">
        <f>J941 = "blocking"</f>
        <v>1</v>
      </c>
      <c r="L941" s="2" t="s">
        <v>1428</v>
      </c>
      <c r="M941" s="2" t="s">
        <v>6040</v>
      </c>
      <c r="N941" s="4">
        <v>46223.1297337963</v>
      </c>
      <c r="O941" s="3" t="b">
        <f>L941 = "PASS"</f>
        <v>1</v>
      </c>
      <c r="P941" s="3" t="b">
        <f>L941 = "FAIL"</f>
        <v>0</v>
      </c>
      <c r="Q941" s="3" t="b">
        <f>AND(P941, K941)</f>
        <v>0</v>
      </c>
      <c r="R941" s="3" t="str">
        <f>IF(O941, I941, "")</f>
        <v>suite-substrate</v>
      </c>
      <c r="S941" s="3" t="str">
        <f>IF(Q941, I941, "")</f>
      </c>
      <c r="T941" s="2" t="s">
        <v>5935</v>
      </c>
    </row>
    <row r="942">
      <c r="A942" s="2" t="s">
        <v>6911</v>
      </c>
      <c r="B942" s="3" t="str">
        <f>C942 &amp; ": " &amp; D942</f>
        <v>formula-translates: AgentDecisionRecords.HasHumanConfirmation</v>
      </c>
      <c r="C942" s="2" t="s">
        <v>6038</v>
      </c>
      <c r="D942" s="2" t="s">
        <v>4980</v>
      </c>
      <c r="E942" s="2" t="s">
        <v>4928</v>
      </c>
      <c r="F942" s="2" t="s">
        <v>4981</v>
      </c>
      <c r="G942" s="2" t="s">
        <v>6039</v>
      </c>
      <c r="H942" s="2" t="s">
        <v>2148</v>
      </c>
      <c r="I942" s="2" t="s">
        <v>5920</v>
      </c>
      <c r="J942" s="2" t="s">
        <v>5933</v>
      </c>
      <c r="K942" s="3" t="b">
        <f>J942 = "blocking"</f>
        <v>1</v>
      </c>
      <c r="L942" s="2" t="s">
        <v>1428</v>
      </c>
      <c r="M942" s="2" t="s">
        <v>6040</v>
      </c>
      <c r="N942" s="4">
        <v>46223.1297337963</v>
      </c>
      <c r="O942" s="3" t="b">
        <f>L942 = "PASS"</f>
        <v>1</v>
      </c>
      <c r="P942" s="3" t="b">
        <f>L942 = "FAIL"</f>
        <v>0</v>
      </c>
      <c r="Q942" s="3" t="b">
        <f>AND(P942, K942)</f>
        <v>0</v>
      </c>
      <c r="R942" s="3" t="str">
        <f>IF(O942, I942, "")</f>
        <v>suite-substrate</v>
      </c>
      <c r="S942" s="3" t="str">
        <f>IF(Q942, I942, "")</f>
      </c>
      <c r="T942" s="2" t="s">
        <v>5935</v>
      </c>
    </row>
    <row r="943">
      <c r="A943" s="2" t="s">
        <v>6912</v>
      </c>
      <c r="B943" s="3" t="str">
        <f>C943 &amp; ": " &amp; D943</f>
        <v>formula-translates: AgentDecisionRecords.NeedsHumanConfirmation</v>
      </c>
      <c r="C943" s="2" t="s">
        <v>6038</v>
      </c>
      <c r="D943" s="2" t="s">
        <v>4983</v>
      </c>
      <c r="E943" s="2" t="s">
        <v>4928</v>
      </c>
      <c r="F943" s="2" t="s">
        <v>4984</v>
      </c>
      <c r="G943" s="2" t="s">
        <v>6039</v>
      </c>
      <c r="H943" s="2" t="s">
        <v>2148</v>
      </c>
      <c r="I943" s="2" t="s">
        <v>5920</v>
      </c>
      <c r="J943" s="2" t="s">
        <v>5933</v>
      </c>
      <c r="K943" s="3" t="b">
        <f>J943 = "blocking"</f>
        <v>1</v>
      </c>
      <c r="L943" s="2" t="s">
        <v>1428</v>
      </c>
      <c r="M943" s="2" t="s">
        <v>6040</v>
      </c>
      <c r="N943" s="4">
        <v>46223.1297337963</v>
      </c>
      <c r="O943" s="3" t="b">
        <f>L943 = "PASS"</f>
        <v>1</v>
      </c>
      <c r="P943" s="3" t="b">
        <f>L943 = "FAIL"</f>
        <v>0</v>
      </c>
      <c r="Q943" s="3" t="b">
        <f>AND(P943, K943)</f>
        <v>0</v>
      </c>
      <c r="R943" s="3" t="str">
        <f>IF(O943, I943, "")</f>
        <v>suite-substrate</v>
      </c>
      <c r="S943" s="3" t="str">
        <f>IF(Q943, I943, "")</f>
      </c>
      <c r="T943" s="2" t="s">
        <v>5935</v>
      </c>
    </row>
    <row r="944">
      <c r="A944" s="2" t="s">
        <v>6913</v>
      </c>
      <c r="B944" s="3" t="str">
        <f>C944 &amp; ": " &amp; D944</f>
        <v>formula-translates: AgentDecisionRecords.IsUnconfirmedNonHumanDecision</v>
      </c>
      <c r="C944" s="2" t="s">
        <v>6038</v>
      </c>
      <c r="D944" s="2" t="s">
        <v>4986</v>
      </c>
      <c r="E944" s="2" t="s">
        <v>4928</v>
      </c>
      <c r="F944" s="2" t="s">
        <v>4987</v>
      </c>
      <c r="G944" s="2" t="s">
        <v>6039</v>
      </c>
      <c r="H944" s="2" t="s">
        <v>2148</v>
      </c>
      <c r="I944" s="2" t="s">
        <v>5920</v>
      </c>
      <c r="J944" s="2" t="s">
        <v>5933</v>
      </c>
      <c r="K944" s="3" t="b">
        <f>J944 = "blocking"</f>
        <v>1</v>
      </c>
      <c r="L944" s="2" t="s">
        <v>1428</v>
      </c>
      <c r="M944" s="2" t="s">
        <v>6040</v>
      </c>
      <c r="N944" s="4">
        <v>46223.1297337963</v>
      </c>
      <c r="O944" s="3" t="b">
        <f>L944 = "PASS"</f>
        <v>1</v>
      </c>
      <c r="P944" s="3" t="b">
        <f>L944 = "FAIL"</f>
        <v>0</v>
      </c>
      <c r="Q944" s="3" t="b">
        <f>AND(P944, K944)</f>
        <v>0</v>
      </c>
      <c r="R944" s="3" t="str">
        <f>IF(O944, I944, "")</f>
        <v>suite-substrate</v>
      </c>
      <c r="S944" s="3" t="str">
        <f>IF(Q944, I944, "")</f>
      </c>
      <c r="T944" s="2" t="s">
        <v>5935</v>
      </c>
    </row>
    <row r="945">
      <c r="A945" s="2" t="s">
        <v>6914</v>
      </c>
      <c r="B945" s="3" t="str">
        <f>C945 &amp; ": " &amp; D945</f>
        <v>formula-translates: AgentDecisionRecords.StepExecutionWhenUnconfirmed</v>
      </c>
      <c r="C945" s="2" t="s">
        <v>6038</v>
      </c>
      <c r="D945" s="2" t="s">
        <v>4989</v>
      </c>
      <c r="E945" s="2" t="s">
        <v>4928</v>
      </c>
      <c r="F945" s="2" t="s">
        <v>4990</v>
      </c>
      <c r="G945" s="2" t="s">
        <v>6039</v>
      </c>
      <c r="H945" s="2" t="s">
        <v>2148</v>
      </c>
      <c r="I945" s="2" t="s">
        <v>5920</v>
      </c>
      <c r="J945" s="2" t="s">
        <v>5933</v>
      </c>
      <c r="K945" s="3" t="b">
        <f>J945 = "blocking"</f>
        <v>1</v>
      </c>
      <c r="L945" s="2" t="s">
        <v>1428</v>
      </c>
      <c r="M945" s="2" t="s">
        <v>6040</v>
      </c>
      <c r="N945" s="4">
        <v>46223.1297337963</v>
      </c>
      <c r="O945" s="3" t="b">
        <f>L945 = "PASS"</f>
        <v>1</v>
      </c>
      <c r="P945" s="3" t="b">
        <f>L945 = "FAIL"</f>
        <v>0</v>
      </c>
      <c r="Q945" s="3" t="b">
        <f>AND(P945, K945)</f>
        <v>0</v>
      </c>
      <c r="R945" s="3" t="str">
        <f>IF(O945, I945, "")</f>
        <v>suite-substrate</v>
      </c>
      <c r="S945" s="3" t="str">
        <f>IF(Q945, I945, "")</f>
      </c>
      <c r="T945" s="2" t="s">
        <v>5935</v>
      </c>
    </row>
    <row r="946">
      <c r="A946" s="2" t="s">
        <v>6915</v>
      </c>
      <c r="B946" s="3" t="str">
        <f>C946 &amp; ": " &amp; D946</f>
        <v>formula-translates: AgentDecisionRecords.AgentWhenBoundaryViolated</v>
      </c>
      <c r="C946" s="2" t="s">
        <v>6038</v>
      </c>
      <c r="D946" s="2" t="s">
        <v>4992</v>
      </c>
      <c r="E946" s="2" t="s">
        <v>4928</v>
      </c>
      <c r="F946" s="2" t="s">
        <v>4993</v>
      </c>
      <c r="G946" s="2" t="s">
        <v>6039</v>
      </c>
      <c r="H946" s="2" t="s">
        <v>2164</v>
      </c>
      <c r="I946" s="2" t="s">
        <v>5920</v>
      </c>
      <c r="J946" s="2" t="s">
        <v>5933</v>
      </c>
      <c r="K946" s="3" t="b">
        <f>J946 = "blocking"</f>
        <v>1</v>
      </c>
      <c r="L946" s="2" t="s">
        <v>1428</v>
      </c>
      <c r="M946" s="2" t="s">
        <v>6040</v>
      </c>
      <c r="N946" s="4">
        <v>46223.1297337963</v>
      </c>
      <c r="O946" s="3" t="b">
        <f>L946 = "PASS"</f>
        <v>1</v>
      </c>
      <c r="P946" s="3" t="b">
        <f>L946 = "FAIL"</f>
        <v>0</v>
      </c>
      <c r="Q946" s="3" t="b">
        <f>AND(P946, K946)</f>
        <v>0</v>
      </c>
      <c r="R946" s="3" t="str">
        <f>IF(O946, I946, "")</f>
        <v>suite-substrate</v>
      </c>
      <c r="S946" s="3" t="str">
        <f>IF(Q946, I946, "")</f>
      </c>
      <c r="T946" s="2" t="s">
        <v>5935</v>
      </c>
    </row>
    <row r="947">
      <c r="A947" s="2" t="s">
        <v>6916</v>
      </c>
      <c r="B947" s="3" t="str">
        <f>C947 &amp; ": " &amp; D947</f>
        <v>formula-translates: AgentDecisionRecords.ReviewLatencyMinutes</v>
      </c>
      <c r="C947" s="2" t="s">
        <v>6038</v>
      </c>
      <c r="D947" s="2" t="s">
        <v>4995</v>
      </c>
      <c r="E947" s="2" t="s">
        <v>4928</v>
      </c>
      <c r="F947" s="2" t="s">
        <v>4996</v>
      </c>
      <c r="G947" s="2" t="s">
        <v>6039</v>
      </c>
      <c r="H947" s="2" t="s">
        <v>2168</v>
      </c>
      <c r="I947" s="2" t="s">
        <v>5920</v>
      </c>
      <c r="J947" s="2" t="s">
        <v>5933</v>
      </c>
      <c r="K947" s="3" t="b">
        <f>J947 = "blocking"</f>
        <v>1</v>
      </c>
      <c r="L947" s="2" t="s">
        <v>1428</v>
      </c>
      <c r="M947" s="2" t="s">
        <v>6040</v>
      </c>
      <c r="N947" s="4">
        <v>46223.1297337963</v>
      </c>
      <c r="O947" s="3" t="b">
        <f>L947 = "PASS"</f>
        <v>1</v>
      </c>
      <c r="P947" s="3" t="b">
        <f>L947 = "FAIL"</f>
        <v>0</v>
      </c>
      <c r="Q947" s="3" t="b">
        <f>AND(P947, K947)</f>
        <v>0</v>
      </c>
      <c r="R947" s="3" t="str">
        <f>IF(O947, I947, "")</f>
        <v>suite-substrate</v>
      </c>
      <c r="S947" s="3" t="str">
        <f>IF(Q947, I947, "")</f>
      </c>
      <c r="T947" s="2" t="s">
        <v>5935</v>
      </c>
    </row>
    <row r="948">
      <c r="A948" s="2" t="s">
        <v>6917</v>
      </c>
      <c r="B948" s="3" t="str">
        <f>C948 &amp; ": " &amp; D948</f>
        <v>formula-translates: AgentDecisionRecords.IsDraftKind</v>
      </c>
      <c r="C948" s="2" t="s">
        <v>6038</v>
      </c>
      <c r="D948" s="2" t="s">
        <v>4998</v>
      </c>
      <c r="E948" s="2" t="s">
        <v>4928</v>
      </c>
      <c r="F948" s="2" t="s">
        <v>4999</v>
      </c>
      <c r="G948" s="2" t="s">
        <v>6039</v>
      </c>
      <c r="H948" s="2" t="s">
        <v>2168</v>
      </c>
      <c r="I948" s="2" t="s">
        <v>5920</v>
      </c>
      <c r="J948" s="2" t="s">
        <v>5933</v>
      </c>
      <c r="K948" s="3" t="b">
        <f>J948 = "blocking"</f>
        <v>1</v>
      </c>
      <c r="L948" s="2" t="s">
        <v>1428</v>
      </c>
      <c r="M948" s="2" t="s">
        <v>6040</v>
      </c>
      <c r="N948" s="4">
        <v>46223.1297337963</v>
      </c>
      <c r="O948" s="3" t="b">
        <f>L948 = "PASS"</f>
        <v>1</v>
      </c>
      <c r="P948" s="3" t="b">
        <f>L948 = "FAIL"</f>
        <v>0</v>
      </c>
      <c r="Q948" s="3" t="b">
        <f>AND(P948, K948)</f>
        <v>0</v>
      </c>
      <c r="R948" s="3" t="str">
        <f>IF(O948, I948, "")</f>
        <v>suite-substrate</v>
      </c>
      <c r="S948" s="3" t="str">
        <f>IF(Q948, I948, "")</f>
      </c>
      <c r="T948" s="2" t="s">
        <v>5935</v>
      </c>
    </row>
    <row r="949">
      <c r="A949" s="2" t="s">
        <v>6918</v>
      </c>
      <c r="B949" s="3" t="str">
        <f>C949 &amp; ": " &amp; D949</f>
        <v>formula-translates: AgentDecisionRecords.AgentWhenDraftOverridden</v>
      </c>
      <c r="C949" s="2" t="s">
        <v>6038</v>
      </c>
      <c r="D949" s="2" t="s">
        <v>5001</v>
      </c>
      <c r="E949" s="2" t="s">
        <v>4928</v>
      </c>
      <c r="F949" s="2" t="s">
        <v>5002</v>
      </c>
      <c r="G949" s="2" t="s">
        <v>6039</v>
      </c>
      <c r="H949" s="2" t="s">
        <v>2168</v>
      </c>
      <c r="I949" s="2" t="s">
        <v>5920</v>
      </c>
      <c r="J949" s="2" t="s">
        <v>5933</v>
      </c>
      <c r="K949" s="3" t="b">
        <f>J949 = "blocking"</f>
        <v>1</v>
      </c>
      <c r="L949" s="2" t="s">
        <v>1428</v>
      </c>
      <c r="M949" s="2" t="s">
        <v>6040</v>
      </c>
      <c r="N949" s="4">
        <v>46223.1297337963</v>
      </c>
      <c r="O949" s="3" t="b">
        <f>L949 = "PASS"</f>
        <v>1</v>
      </c>
      <c r="P949" s="3" t="b">
        <f>L949 = "FAIL"</f>
        <v>0</v>
      </c>
      <c r="Q949" s="3" t="b">
        <f>AND(P949, K949)</f>
        <v>0</v>
      </c>
      <c r="R949" s="3" t="str">
        <f>IF(O949, I949, "")</f>
        <v>suite-substrate</v>
      </c>
      <c r="S949" s="3" t="str">
        <f>IF(Q949, I949, "")</f>
      </c>
      <c r="T949" s="2" t="s">
        <v>5935</v>
      </c>
    </row>
    <row r="950">
      <c r="A950" s="2" t="s">
        <v>6919</v>
      </c>
      <c r="B950" s="3" t="str">
        <f>C950 &amp; ": " &amp; D950</f>
        <v>formula-translates: AgentDecisionRecords.AgentWhenDraft</v>
      </c>
      <c r="C950" s="2" t="s">
        <v>6038</v>
      </c>
      <c r="D950" s="2" t="s">
        <v>5004</v>
      </c>
      <c r="E950" s="2" t="s">
        <v>4928</v>
      </c>
      <c r="F950" s="2" t="s">
        <v>5005</v>
      </c>
      <c r="G950" s="2" t="s">
        <v>6039</v>
      </c>
      <c r="H950" s="2" t="s">
        <v>2168</v>
      </c>
      <c r="I950" s="2" t="s">
        <v>5920</v>
      </c>
      <c r="J950" s="2" t="s">
        <v>5933</v>
      </c>
      <c r="K950" s="3" t="b">
        <f>J950 = "blocking"</f>
        <v>1</v>
      </c>
      <c r="L950" s="2" t="s">
        <v>1428</v>
      </c>
      <c r="M950" s="2" t="s">
        <v>6040</v>
      </c>
      <c r="N950" s="4">
        <v>46223.1297337963</v>
      </c>
      <c r="O950" s="3" t="b">
        <f>L950 = "PASS"</f>
        <v>1</v>
      </c>
      <c r="P950" s="3" t="b">
        <f>L950 = "FAIL"</f>
        <v>0</v>
      </c>
      <c r="Q950" s="3" t="b">
        <f>AND(P950, K950)</f>
        <v>0</v>
      </c>
      <c r="R950" s="3" t="str">
        <f>IF(O950, I950, "")</f>
        <v>suite-substrate</v>
      </c>
      <c r="S950" s="3" t="str">
        <f>IF(Q950, I950, "")</f>
      </c>
      <c r="T950" s="2" t="s">
        <v>5935</v>
      </c>
    </row>
    <row r="951">
      <c r="A951" s="2" t="s">
        <v>6920</v>
      </c>
      <c r="B951" s="3" t="str">
        <f>C951 &amp; ": " &amp; D951</f>
        <v>formula-translates: AgentDecisionRecords.IsErrorCorrection</v>
      </c>
      <c r="C951" s="2" t="s">
        <v>6038</v>
      </c>
      <c r="D951" s="2" t="s">
        <v>5009</v>
      </c>
      <c r="E951" s="2" t="s">
        <v>4928</v>
      </c>
      <c r="F951" s="2" t="s">
        <v>5010</v>
      </c>
      <c r="G951" s="2" t="s">
        <v>6039</v>
      </c>
      <c r="H951" s="2" t="s">
        <v>2324</v>
      </c>
      <c r="I951" s="2" t="s">
        <v>5920</v>
      </c>
      <c r="J951" s="2" t="s">
        <v>5933</v>
      </c>
      <c r="K951" s="3" t="b">
        <f>J951 = "blocking"</f>
        <v>1</v>
      </c>
      <c r="L951" s="2" t="s">
        <v>1428</v>
      </c>
      <c r="M951" s="2" t="s">
        <v>6040</v>
      </c>
      <c r="N951" s="4">
        <v>46223.1297337963</v>
      </c>
      <c r="O951" s="3" t="b">
        <f>L951 = "PASS"</f>
        <v>1</v>
      </c>
      <c r="P951" s="3" t="b">
        <f>L951 = "FAIL"</f>
        <v>0</v>
      </c>
      <c r="Q951" s="3" t="b">
        <f>AND(P951, K951)</f>
        <v>0</v>
      </c>
      <c r="R951" s="3" t="str">
        <f>IF(O951, I951, "")</f>
        <v>suite-substrate</v>
      </c>
      <c r="S951" s="3" t="str">
        <f>IF(Q951, I951, "")</f>
      </c>
      <c r="T951" s="2" t="s">
        <v>5935</v>
      </c>
    </row>
    <row r="952">
      <c r="A952" s="2" t="s">
        <v>6921</v>
      </c>
      <c r="B952" s="3" t="str">
        <f>C952 &amp; ": " &amp; D952</f>
        <v>formula-translates: AgentDecisionRecords.IsReservedJudgmentOverride</v>
      </c>
      <c r="C952" s="2" t="s">
        <v>6038</v>
      </c>
      <c r="D952" s="2" t="s">
        <v>5012</v>
      </c>
      <c r="E952" s="2" t="s">
        <v>4928</v>
      </c>
      <c r="F952" s="2" t="s">
        <v>5013</v>
      </c>
      <c r="G952" s="2" t="s">
        <v>6039</v>
      </c>
      <c r="H952" s="2" t="s">
        <v>2324</v>
      </c>
      <c r="I952" s="2" t="s">
        <v>5920</v>
      </c>
      <c r="J952" s="2" t="s">
        <v>5933</v>
      </c>
      <c r="K952" s="3" t="b">
        <f>J952 = "blocking"</f>
        <v>1</v>
      </c>
      <c r="L952" s="2" t="s">
        <v>1428</v>
      </c>
      <c r="M952" s="2" t="s">
        <v>6040</v>
      </c>
      <c r="N952" s="4">
        <v>46223.1297337963</v>
      </c>
      <c r="O952" s="3" t="b">
        <f>L952 = "PASS"</f>
        <v>1</v>
      </c>
      <c r="P952" s="3" t="b">
        <f>L952 = "FAIL"</f>
        <v>0</v>
      </c>
      <c r="Q952" s="3" t="b">
        <f>AND(P952, K952)</f>
        <v>0</v>
      </c>
      <c r="R952" s="3" t="str">
        <f>IF(O952, I952, "")</f>
        <v>suite-substrate</v>
      </c>
      <c r="S952" s="3" t="str">
        <f>IF(Q952, I952, "")</f>
      </c>
      <c r="T952" s="2" t="s">
        <v>5935</v>
      </c>
    </row>
    <row r="953">
      <c r="A953" s="2" t="s">
        <v>6922</v>
      </c>
      <c r="B953" s="3" t="str">
        <f>C953 &amp; ": " &amp; D953</f>
        <v>formula-translates: AgentDecisionRecords.OverrideReasonIsRecorded</v>
      </c>
      <c r="C953" s="2" t="s">
        <v>6038</v>
      </c>
      <c r="D953" s="2" t="s">
        <v>5015</v>
      </c>
      <c r="E953" s="2" t="s">
        <v>4928</v>
      </c>
      <c r="F953" s="2" t="s">
        <v>5016</v>
      </c>
      <c r="G953" s="2" t="s">
        <v>6039</v>
      </c>
      <c r="H953" s="2" t="s">
        <v>2324</v>
      </c>
      <c r="I953" s="2" t="s">
        <v>5920</v>
      </c>
      <c r="J953" s="2" t="s">
        <v>5933</v>
      </c>
      <c r="K953" s="3" t="b">
        <f>J953 = "blocking"</f>
        <v>1</v>
      </c>
      <c r="L953" s="2" t="s">
        <v>1428</v>
      </c>
      <c r="M953" s="2" t="s">
        <v>6040</v>
      </c>
      <c r="N953" s="4">
        <v>46223.1297337963</v>
      </c>
      <c r="O953" s="3" t="b">
        <f>L953 = "PASS"</f>
        <v>1</v>
      </c>
      <c r="P953" s="3" t="b">
        <f>L953 = "FAIL"</f>
        <v>0</v>
      </c>
      <c r="Q953" s="3" t="b">
        <f>AND(P953, K953)</f>
        <v>0</v>
      </c>
      <c r="R953" s="3" t="str">
        <f>IF(O953, I953, "")</f>
        <v>suite-substrate</v>
      </c>
      <c r="S953" s="3" t="str">
        <f>IF(Q953, I953, "")</f>
      </c>
      <c r="T953" s="2" t="s">
        <v>5935</v>
      </c>
    </row>
    <row r="954">
      <c r="A954" s="2" t="s">
        <v>6923</v>
      </c>
      <c r="B954" s="3" t="str">
        <f>C954 &amp; ": " &amp; D954</f>
        <v>formula-translates: AgentDecisionRecords.IsUnexplainedOverride</v>
      </c>
      <c r="C954" s="2" t="s">
        <v>6038</v>
      </c>
      <c r="D954" s="2" t="s">
        <v>5018</v>
      </c>
      <c r="E954" s="2" t="s">
        <v>4928</v>
      </c>
      <c r="F954" s="2" t="s">
        <v>5019</v>
      </c>
      <c r="G954" s="2" t="s">
        <v>6039</v>
      </c>
      <c r="H954" s="2" t="s">
        <v>2324</v>
      </c>
      <c r="I954" s="2" t="s">
        <v>5920</v>
      </c>
      <c r="J954" s="2" t="s">
        <v>5933</v>
      </c>
      <c r="K954" s="3" t="b">
        <f>J954 = "blocking"</f>
        <v>1</v>
      </c>
      <c r="L954" s="2" t="s">
        <v>1428</v>
      </c>
      <c r="M954" s="2" t="s">
        <v>6040</v>
      </c>
      <c r="N954" s="4">
        <v>46223.1297337963</v>
      </c>
      <c r="O954" s="3" t="b">
        <f>L954 = "PASS"</f>
        <v>1</v>
      </c>
      <c r="P954" s="3" t="b">
        <f>L954 = "FAIL"</f>
        <v>0</v>
      </c>
      <c r="Q954" s="3" t="b">
        <f>AND(P954, K954)</f>
        <v>0</v>
      </c>
      <c r="R954" s="3" t="str">
        <f>IF(O954, I954, "")</f>
        <v>suite-substrate</v>
      </c>
      <c r="S954" s="3" t="str">
        <f>IF(Q954, I954, "")</f>
      </c>
      <c r="T954" s="2" t="s">
        <v>5935</v>
      </c>
    </row>
    <row r="955">
      <c r="A955" s="2" t="s">
        <v>6924</v>
      </c>
      <c r="B955" s="3" t="str">
        <f>C955 &amp; ": " &amp; D955</f>
        <v>formula-translates: AgentDecisionRecords.ErrorCorrectionRoleAssignmentKey</v>
      </c>
      <c r="C955" s="2" t="s">
        <v>6038</v>
      </c>
      <c r="D955" s="2" t="s">
        <v>5021</v>
      </c>
      <c r="E955" s="2" t="s">
        <v>4928</v>
      </c>
      <c r="F955" s="2" t="s">
        <v>5022</v>
      </c>
      <c r="G955" s="2" t="s">
        <v>6039</v>
      </c>
      <c r="H955" s="2" t="s">
        <v>2324</v>
      </c>
      <c r="I955" s="2" t="s">
        <v>5920</v>
      </c>
      <c r="J955" s="2" t="s">
        <v>5933</v>
      </c>
      <c r="K955" s="3" t="b">
        <f>J955 = "blocking"</f>
        <v>1</v>
      </c>
      <c r="L955" s="2" t="s">
        <v>1428</v>
      </c>
      <c r="M955" s="2" t="s">
        <v>6040</v>
      </c>
      <c r="N955" s="4">
        <v>46223.1297337963</v>
      </c>
      <c r="O955" s="3" t="b">
        <f>L955 = "PASS"</f>
        <v>1</v>
      </c>
      <c r="P955" s="3" t="b">
        <f>L955 = "FAIL"</f>
        <v>0</v>
      </c>
      <c r="Q955" s="3" t="b">
        <f>AND(P955, K955)</f>
        <v>0</v>
      </c>
      <c r="R955" s="3" t="str">
        <f>IF(O955, I955, "")</f>
        <v>suite-substrate</v>
      </c>
      <c r="S955" s="3" t="str">
        <f>IF(Q955, I955, "")</f>
      </c>
      <c r="T955" s="2" t="s">
        <v>5935</v>
      </c>
    </row>
    <row r="956">
      <c r="A956" s="2" t="s">
        <v>6925</v>
      </c>
      <c r="B956" s="3" t="str">
        <f>C956 &amp; ": " &amp; D956</f>
        <v>formula-translates: AgentDecisionRecords.BoundaryViolationRoleAssignmentKey</v>
      </c>
      <c r="C956" s="2" t="s">
        <v>6038</v>
      </c>
      <c r="D956" s="2" t="s">
        <v>5024</v>
      </c>
      <c r="E956" s="2" t="s">
        <v>4928</v>
      </c>
      <c r="F956" s="2" t="s">
        <v>5025</v>
      </c>
      <c r="G956" s="2" t="s">
        <v>6039</v>
      </c>
      <c r="H956" s="2" t="s">
        <v>2332</v>
      </c>
      <c r="I956" s="2" t="s">
        <v>5920</v>
      </c>
      <c r="J956" s="2" t="s">
        <v>5933</v>
      </c>
      <c r="K956" s="3" t="b">
        <f>J956 = "blocking"</f>
        <v>1</v>
      </c>
      <c r="L956" s="2" t="s">
        <v>1428</v>
      </c>
      <c r="M956" s="2" t="s">
        <v>6040</v>
      </c>
      <c r="N956" s="4">
        <v>46223.1297337963</v>
      </c>
      <c r="O956" s="3" t="b">
        <f>L956 = "PASS"</f>
        <v>1</v>
      </c>
      <c r="P956" s="3" t="b">
        <f>L956 = "FAIL"</f>
        <v>0</v>
      </c>
      <c r="Q956" s="3" t="b">
        <f>AND(P956, K956)</f>
        <v>0</v>
      </c>
      <c r="R956" s="3" t="str">
        <f>IF(O956, I956, "")</f>
        <v>suite-substrate</v>
      </c>
      <c r="S956" s="3" t="str">
        <f>IF(Q956, I956, "")</f>
      </c>
      <c r="T956" s="2" t="s">
        <v>5935</v>
      </c>
    </row>
    <row r="957">
      <c r="A957" s="2" t="s">
        <v>6926</v>
      </c>
      <c r="B957" s="3" t="str">
        <f>C957 &amp; ": " &amp; D957</f>
        <v>formula-translates: DeliveredCommunications.Name</v>
      </c>
      <c r="C957" s="2" t="s">
        <v>6038</v>
      </c>
      <c r="D957" s="2" t="s">
        <v>5031</v>
      </c>
      <c r="E957" s="2" t="s">
        <v>5029</v>
      </c>
      <c r="F957" s="2" t="s">
        <v>1</v>
      </c>
      <c r="G957" s="2" t="s">
        <v>6039</v>
      </c>
      <c r="H957" s="2"/>
      <c r="I957" s="2" t="s">
        <v>5920</v>
      </c>
      <c r="J957" s="2" t="s">
        <v>5933</v>
      </c>
      <c r="K957" s="3" t="b">
        <f>J957 = "blocking"</f>
        <v>1</v>
      </c>
      <c r="L957" s="2" t="s">
        <v>1428</v>
      </c>
      <c r="M957" s="2" t="s">
        <v>6040</v>
      </c>
      <c r="N957" s="4">
        <v>46223.1297337963</v>
      </c>
      <c r="O957" s="3" t="b">
        <f>L957 = "PASS"</f>
        <v>1</v>
      </c>
      <c r="P957" s="3" t="b">
        <f>L957 = "FAIL"</f>
        <v>0</v>
      </c>
      <c r="Q957" s="3" t="b">
        <f>AND(P957, K957)</f>
        <v>0</v>
      </c>
      <c r="R957" s="3" t="str">
        <f>IF(O957, I957, "")</f>
        <v>suite-substrate</v>
      </c>
      <c r="S957" s="3" t="str">
        <f>IF(Q957, I957, "")</f>
      </c>
      <c r="T957" s="2" t="s">
        <v>5935</v>
      </c>
    </row>
    <row r="958">
      <c r="A958" s="2" t="s">
        <v>6927</v>
      </c>
      <c r="B958" s="3" t="str">
        <f>C958 &amp; ": " &amp; D958</f>
        <v>formula-translates: DeliveredCommunications.HasAuthorization</v>
      </c>
      <c r="C958" s="2" t="s">
        <v>6038</v>
      </c>
      <c r="D958" s="2" t="s">
        <v>5049</v>
      </c>
      <c r="E958" s="2" t="s">
        <v>5029</v>
      </c>
      <c r="F958" s="2" t="s">
        <v>5050</v>
      </c>
      <c r="G958" s="2" t="s">
        <v>6039</v>
      </c>
      <c r="H958" s="2"/>
      <c r="I958" s="2" t="s">
        <v>5920</v>
      </c>
      <c r="J958" s="2" t="s">
        <v>5933</v>
      </c>
      <c r="K958" s="3" t="b">
        <f>J958 = "blocking"</f>
        <v>1</v>
      </c>
      <c r="L958" s="2" t="s">
        <v>1428</v>
      </c>
      <c r="M958" s="2" t="s">
        <v>6040</v>
      </c>
      <c r="N958" s="4">
        <v>46223.1297337963</v>
      </c>
      <c r="O958" s="3" t="b">
        <f>L958 = "PASS"</f>
        <v>1</v>
      </c>
      <c r="P958" s="3" t="b">
        <f>L958 = "FAIL"</f>
        <v>0</v>
      </c>
      <c r="Q958" s="3" t="b">
        <f>AND(P958, K958)</f>
        <v>0</v>
      </c>
      <c r="R958" s="3" t="str">
        <f>IF(O958, I958, "")</f>
        <v>suite-substrate</v>
      </c>
      <c r="S958" s="3" t="str">
        <f>IF(Q958, I958, "")</f>
      </c>
      <c r="T958" s="2" t="s">
        <v>5935</v>
      </c>
    </row>
    <row r="959">
      <c r="A959" s="2" t="s">
        <v>6928</v>
      </c>
      <c r="B959" s="3" t="str">
        <f>C959 &amp; ": " &amp; D959</f>
        <v>formula-translates: DeliveredCommunications.ContentMatchesApproval</v>
      </c>
      <c r="C959" s="2" t="s">
        <v>6038</v>
      </c>
      <c r="D959" s="2" t="s">
        <v>5052</v>
      </c>
      <c r="E959" s="2" t="s">
        <v>5029</v>
      </c>
      <c r="F959" s="2" t="s">
        <v>5053</v>
      </c>
      <c r="G959" s="2" t="s">
        <v>6039</v>
      </c>
      <c r="H959" s="2"/>
      <c r="I959" s="2" t="s">
        <v>5920</v>
      </c>
      <c r="J959" s="2" t="s">
        <v>5933</v>
      </c>
      <c r="K959" s="3" t="b">
        <f>J959 = "blocking"</f>
        <v>1</v>
      </c>
      <c r="L959" s="2" t="s">
        <v>1428</v>
      </c>
      <c r="M959" s="2" t="s">
        <v>6040</v>
      </c>
      <c r="N959" s="4">
        <v>46223.1297337963</v>
      </c>
      <c r="O959" s="3" t="b">
        <f>L959 = "PASS"</f>
        <v>1</v>
      </c>
      <c r="P959" s="3" t="b">
        <f>L959 = "FAIL"</f>
        <v>0</v>
      </c>
      <c r="Q959" s="3" t="b">
        <f>AND(P959, K959)</f>
        <v>0</v>
      </c>
      <c r="R959" s="3" t="str">
        <f>IF(O959, I959, "")</f>
        <v>suite-substrate</v>
      </c>
      <c r="S959" s="3" t="str">
        <f>IF(Q959, I959, "")</f>
      </c>
      <c r="T959" s="2" t="s">
        <v>5935</v>
      </c>
    </row>
    <row r="960">
      <c r="A960" s="2" t="s">
        <v>6929</v>
      </c>
      <c r="B960" s="3" t="str">
        <f>C960 &amp; ": " &amp; D960</f>
        <v>formula-translates: DeliveredCommunications.AuthorizedAt</v>
      </c>
      <c r="C960" s="2" t="s">
        <v>6038</v>
      </c>
      <c r="D960" s="2" t="s">
        <v>5055</v>
      </c>
      <c r="E960" s="2" t="s">
        <v>5029</v>
      </c>
      <c r="F960" s="2" t="s">
        <v>5056</v>
      </c>
      <c r="G960" s="2" t="s">
        <v>6039</v>
      </c>
      <c r="H960" s="2"/>
      <c r="I960" s="2" t="s">
        <v>5920</v>
      </c>
      <c r="J960" s="2" t="s">
        <v>5933</v>
      </c>
      <c r="K960" s="3" t="b">
        <f>J960 = "blocking"</f>
        <v>1</v>
      </c>
      <c r="L960" s="2" t="s">
        <v>1428</v>
      </c>
      <c r="M960" s="2" t="s">
        <v>6040</v>
      </c>
      <c r="N960" s="4">
        <v>46223.1297337963</v>
      </c>
      <c r="O960" s="3" t="b">
        <f>L960 = "PASS"</f>
        <v>1</v>
      </c>
      <c r="P960" s="3" t="b">
        <f>L960 = "FAIL"</f>
        <v>0</v>
      </c>
      <c r="Q960" s="3" t="b">
        <f>AND(P960, K960)</f>
        <v>0</v>
      </c>
      <c r="R960" s="3" t="str">
        <f>IF(O960, I960, "")</f>
        <v>suite-substrate</v>
      </c>
      <c r="S960" s="3" t="str">
        <f>IF(Q960, I960, "")</f>
      </c>
      <c r="T960" s="2" t="s">
        <v>5935</v>
      </c>
    </row>
    <row r="961">
      <c r="A961" s="2" t="s">
        <v>6930</v>
      </c>
      <c r="B961" s="3" t="str">
        <f>C961 &amp; ": " &amp; D961</f>
        <v>formula-translates: DeliveredCommunications.WasApprovedBeforeSending</v>
      </c>
      <c r="C961" s="2" t="s">
        <v>6038</v>
      </c>
      <c r="D961" s="2" t="s">
        <v>5058</v>
      </c>
      <c r="E961" s="2" t="s">
        <v>5029</v>
      </c>
      <c r="F961" s="2" t="s">
        <v>5059</v>
      </c>
      <c r="G961" s="2" t="s">
        <v>6039</v>
      </c>
      <c r="H961" s="2"/>
      <c r="I961" s="2" t="s">
        <v>5920</v>
      </c>
      <c r="J961" s="2" t="s">
        <v>5933</v>
      </c>
      <c r="K961" s="3" t="b">
        <f>J961 = "blocking"</f>
        <v>1</v>
      </c>
      <c r="L961" s="2" t="s">
        <v>1428</v>
      </c>
      <c r="M961" s="2" t="s">
        <v>6040</v>
      </c>
      <c r="N961" s="4">
        <v>46223.1297337963</v>
      </c>
      <c r="O961" s="3" t="b">
        <f>L961 = "PASS"</f>
        <v>1</v>
      </c>
      <c r="P961" s="3" t="b">
        <f>L961 = "FAIL"</f>
        <v>0</v>
      </c>
      <c r="Q961" s="3" t="b">
        <f>AND(P961, K961)</f>
        <v>0</v>
      </c>
      <c r="R961" s="3" t="str">
        <f>IF(O961, I961, "")</f>
        <v>suite-substrate</v>
      </c>
      <c r="S961" s="3" t="str">
        <f>IF(Q961, I961, "")</f>
      </c>
      <c r="T961" s="2" t="s">
        <v>5935</v>
      </c>
    </row>
    <row r="962">
      <c r="A962" s="2" t="s">
        <v>6931</v>
      </c>
      <c r="B962" s="3" t="str">
        <f>C962 &amp; ": " &amp; D962</f>
        <v>formula-translates: DeliveredCommunications.IsDefensible</v>
      </c>
      <c r="C962" s="2" t="s">
        <v>6038</v>
      </c>
      <c r="D962" s="2" t="s">
        <v>5061</v>
      </c>
      <c r="E962" s="2" t="s">
        <v>5029</v>
      </c>
      <c r="F962" s="2" t="s">
        <v>5062</v>
      </c>
      <c r="G962" s="2" t="s">
        <v>6039</v>
      </c>
      <c r="H962" s="2"/>
      <c r="I962" s="2" t="s">
        <v>5920</v>
      </c>
      <c r="J962" s="2" t="s">
        <v>5933</v>
      </c>
      <c r="K962" s="3" t="b">
        <f>J962 = "blocking"</f>
        <v>1</v>
      </c>
      <c r="L962" s="2" t="s">
        <v>1428</v>
      </c>
      <c r="M962" s="2" t="s">
        <v>6040</v>
      </c>
      <c r="N962" s="4">
        <v>46223.1297337963</v>
      </c>
      <c r="O962" s="3" t="b">
        <f>L962 = "PASS"</f>
        <v>1</v>
      </c>
      <c r="P962" s="3" t="b">
        <f>L962 = "FAIL"</f>
        <v>0</v>
      </c>
      <c r="Q962" s="3" t="b">
        <f>AND(P962, K962)</f>
        <v>0</v>
      </c>
      <c r="R962" s="3" t="str">
        <f>IF(O962, I962, "")</f>
        <v>suite-substrate</v>
      </c>
      <c r="S962" s="3" t="str">
        <f>IF(Q962, I962, "")</f>
      </c>
      <c r="T962" s="2" t="s">
        <v>5935</v>
      </c>
    </row>
    <row r="963">
      <c r="A963" s="2" t="s">
        <v>6932</v>
      </c>
      <c r="B963" s="3" t="str">
        <f>C963 &amp; ": " &amp; D963</f>
        <v>formula-translates: AuthorityBoundaries.Name</v>
      </c>
      <c r="C963" s="2" t="s">
        <v>6038</v>
      </c>
      <c r="D963" s="2" t="s">
        <v>5067</v>
      </c>
      <c r="E963" s="2" t="s">
        <v>5065</v>
      </c>
      <c r="F963" s="2" t="s">
        <v>1</v>
      </c>
      <c r="G963" s="2" t="s">
        <v>6039</v>
      </c>
      <c r="H963" s="2"/>
      <c r="I963" s="2" t="s">
        <v>5920</v>
      </c>
      <c r="J963" s="2" t="s">
        <v>5933</v>
      </c>
      <c r="K963" s="3" t="b">
        <f>J963 = "blocking"</f>
        <v>1</v>
      </c>
      <c r="L963" s="2" t="s">
        <v>1428</v>
      </c>
      <c r="M963" s="2" t="s">
        <v>6040</v>
      </c>
      <c r="N963" s="4">
        <v>46223.1297337963</v>
      </c>
      <c r="O963" s="3" t="b">
        <f>L963 = "PASS"</f>
        <v>1</v>
      </c>
      <c r="P963" s="3" t="b">
        <f>L963 = "FAIL"</f>
        <v>0</v>
      </c>
      <c r="Q963" s="3" t="b">
        <f>AND(P963, K963)</f>
        <v>0</v>
      </c>
      <c r="R963" s="3" t="str">
        <f>IF(O963, I963, "")</f>
        <v>suite-substrate</v>
      </c>
      <c r="S963" s="3" t="str">
        <f>IF(Q963, I963, "")</f>
      </c>
      <c r="T963" s="2" t="s">
        <v>5935</v>
      </c>
    </row>
    <row r="964">
      <c r="A964" s="2" t="s">
        <v>6933</v>
      </c>
      <c r="B964" s="3" t="str">
        <f>C964 &amp; ": " &amp; D964</f>
        <v>formula-translates: AuthorityBoundaries.AsOfInstant</v>
      </c>
      <c r="C964" s="2" t="s">
        <v>6038</v>
      </c>
      <c r="D964" s="2" t="s">
        <v>5083</v>
      </c>
      <c r="E964" s="2" t="s">
        <v>5065</v>
      </c>
      <c r="F964" s="2" t="s">
        <v>92</v>
      </c>
      <c r="G964" s="2" t="s">
        <v>6039</v>
      </c>
      <c r="H964" s="2"/>
      <c r="I964" s="2" t="s">
        <v>5920</v>
      </c>
      <c r="J964" s="2" t="s">
        <v>5933</v>
      </c>
      <c r="K964" s="3" t="b">
        <f>J964 = "blocking"</f>
        <v>1</v>
      </c>
      <c r="L964" s="2" t="s">
        <v>1428</v>
      </c>
      <c r="M964" s="2" t="s">
        <v>6040</v>
      </c>
      <c r="N964" s="4">
        <v>46223.1297337963</v>
      </c>
      <c r="O964" s="3" t="b">
        <f>L964 = "PASS"</f>
        <v>1</v>
      </c>
      <c r="P964" s="3" t="b">
        <f>L964 = "FAIL"</f>
        <v>0</v>
      </c>
      <c r="Q964" s="3" t="b">
        <f>AND(P964, K964)</f>
        <v>0</v>
      </c>
      <c r="R964" s="3" t="str">
        <f>IF(O964, I964, "")</f>
        <v>suite-substrate</v>
      </c>
      <c r="S964" s="3" t="str">
        <f>IF(Q964, I964, "")</f>
      </c>
      <c r="T964" s="2" t="s">
        <v>5935</v>
      </c>
    </row>
    <row r="965">
      <c r="A965" s="2" t="s">
        <v>6934</v>
      </c>
      <c r="B965" s="3" t="str">
        <f>C965 &amp; ": " &amp; D965</f>
        <v>formula-translates: AuthorityBoundaries.IsCurrentlyBinding</v>
      </c>
      <c r="C965" s="2" t="s">
        <v>6038</v>
      </c>
      <c r="D965" s="2" t="s">
        <v>5084</v>
      </c>
      <c r="E965" s="2" t="s">
        <v>5065</v>
      </c>
      <c r="F965" s="2" t="s">
        <v>5085</v>
      </c>
      <c r="G965" s="2" t="s">
        <v>6039</v>
      </c>
      <c r="H965" s="2" t="s">
        <v>2144</v>
      </c>
      <c r="I965" s="2" t="s">
        <v>5920</v>
      </c>
      <c r="J965" s="2" t="s">
        <v>5933</v>
      </c>
      <c r="K965" s="3" t="b">
        <f>J965 = "blocking"</f>
        <v>1</v>
      </c>
      <c r="L965" s="2" t="s">
        <v>1428</v>
      </c>
      <c r="M965" s="2" t="s">
        <v>6040</v>
      </c>
      <c r="N965" s="4">
        <v>46223.1297337963</v>
      </c>
      <c r="O965" s="3" t="b">
        <f>L965 = "PASS"</f>
        <v>1</v>
      </c>
      <c r="P965" s="3" t="b">
        <f>L965 = "FAIL"</f>
        <v>0</v>
      </c>
      <c r="Q965" s="3" t="b">
        <f>AND(P965, K965)</f>
        <v>0</v>
      </c>
      <c r="R965" s="3" t="str">
        <f>IF(O965, I965, "")</f>
        <v>suite-substrate</v>
      </c>
      <c r="S965" s="3" t="str">
        <f>IF(Q965, I965, "")</f>
      </c>
      <c r="T965" s="2" t="s">
        <v>5935</v>
      </c>
    </row>
    <row r="966">
      <c r="A966" s="2" t="s">
        <v>6935</v>
      </c>
      <c r="B966" s="3" t="str">
        <f>C966 &amp; ": " &amp; D966</f>
        <v>formula-translates: AuthorityBoundaries.RatifyingFragmentIsValid</v>
      </c>
      <c r="C966" s="2" t="s">
        <v>6038</v>
      </c>
      <c r="D966" s="2" t="s">
        <v>5087</v>
      </c>
      <c r="E966" s="2" t="s">
        <v>5065</v>
      </c>
      <c r="F966" s="2" t="s">
        <v>5088</v>
      </c>
      <c r="G966" s="2" t="s">
        <v>6039</v>
      </c>
      <c r="H966" s="2" t="s">
        <v>2144</v>
      </c>
      <c r="I966" s="2" t="s">
        <v>5920</v>
      </c>
      <c r="J966" s="2" t="s">
        <v>5933</v>
      </c>
      <c r="K966" s="3" t="b">
        <f>J966 = "blocking"</f>
        <v>1</v>
      </c>
      <c r="L966" s="2" t="s">
        <v>1428</v>
      </c>
      <c r="M966" s="2" t="s">
        <v>6040</v>
      </c>
      <c r="N966" s="4">
        <v>46223.1297337963</v>
      </c>
      <c r="O966" s="3" t="b">
        <f>L966 = "PASS"</f>
        <v>1</v>
      </c>
      <c r="P966" s="3" t="b">
        <f>L966 = "FAIL"</f>
        <v>0</v>
      </c>
      <c r="Q966" s="3" t="b">
        <f>AND(P966, K966)</f>
        <v>0</v>
      </c>
      <c r="R966" s="3" t="str">
        <f>IF(O966, I966, "")</f>
        <v>suite-substrate</v>
      </c>
      <c r="S966" s="3" t="str">
        <f>IF(Q966, I966, "")</f>
      </c>
      <c r="T966" s="2" t="s">
        <v>5935</v>
      </c>
    </row>
    <row r="967">
      <c r="A967" s="2" t="s">
        <v>6936</v>
      </c>
      <c r="B967" s="3" t="str">
        <f>C967 &amp; ": " &amp; D967</f>
        <v>formula-translates: AuthorityBoundaries.StepWhenBinding</v>
      </c>
      <c r="C967" s="2" t="s">
        <v>6038</v>
      </c>
      <c r="D967" s="2" t="s">
        <v>5090</v>
      </c>
      <c r="E967" s="2" t="s">
        <v>5065</v>
      </c>
      <c r="F967" s="2" t="s">
        <v>5091</v>
      </c>
      <c r="G967" s="2" t="s">
        <v>6039</v>
      </c>
      <c r="H967" s="2" t="s">
        <v>2144</v>
      </c>
      <c r="I967" s="2" t="s">
        <v>5920</v>
      </c>
      <c r="J967" s="2" t="s">
        <v>5933</v>
      </c>
      <c r="K967" s="3" t="b">
        <f>J967 = "blocking"</f>
        <v>1</v>
      </c>
      <c r="L967" s="2" t="s">
        <v>1428</v>
      </c>
      <c r="M967" s="2" t="s">
        <v>6040</v>
      </c>
      <c r="N967" s="4">
        <v>46223.1297337963</v>
      </c>
      <c r="O967" s="3" t="b">
        <f>L967 = "PASS"</f>
        <v>1</v>
      </c>
      <c r="P967" s="3" t="b">
        <f>L967 = "FAIL"</f>
        <v>0</v>
      </c>
      <c r="Q967" s="3" t="b">
        <f>AND(P967, K967)</f>
        <v>0</v>
      </c>
      <c r="R967" s="3" t="str">
        <f>IF(O967, I967, "")</f>
        <v>suite-substrate</v>
      </c>
      <c r="S967" s="3" t="str">
        <f>IF(Q967, I967, "")</f>
      </c>
      <c r="T967" s="2" t="s">
        <v>5935</v>
      </c>
    </row>
    <row r="968">
      <c r="A968" s="2" t="s">
        <v>6937</v>
      </c>
      <c r="B968" s="3" t="str">
        <f>C968 &amp; ": " &amp; D968</f>
        <v>formula-translates: AuthorityBoundaries.BoundaryMatchKey</v>
      </c>
      <c r="C968" s="2" t="s">
        <v>6038</v>
      </c>
      <c r="D968" s="2" t="s">
        <v>5093</v>
      </c>
      <c r="E968" s="2" t="s">
        <v>5065</v>
      </c>
      <c r="F968" s="2" t="s">
        <v>4969</v>
      </c>
      <c r="G968" s="2" t="s">
        <v>6039</v>
      </c>
      <c r="H968" s="2" t="s">
        <v>2144</v>
      </c>
      <c r="I968" s="2" t="s">
        <v>5920</v>
      </c>
      <c r="J968" s="2" t="s">
        <v>5933</v>
      </c>
      <c r="K968" s="3" t="b">
        <f>J968 = "blocking"</f>
        <v>1</v>
      </c>
      <c r="L968" s="2" t="s">
        <v>1428</v>
      </c>
      <c r="M968" s="2" t="s">
        <v>6040</v>
      </c>
      <c r="N968" s="4">
        <v>46223.1297337963</v>
      </c>
      <c r="O968" s="3" t="b">
        <f>L968 = "PASS"</f>
        <v>1</v>
      </c>
      <c r="P968" s="3" t="b">
        <f>L968 = "FAIL"</f>
        <v>0</v>
      </c>
      <c r="Q968" s="3" t="b">
        <f>AND(P968, K968)</f>
        <v>0</v>
      </c>
      <c r="R968" s="3" t="str">
        <f>IF(O968, I968, "")</f>
        <v>suite-substrate</v>
      </c>
      <c r="S968" s="3" t="str">
        <f>IF(Q968, I968, "")</f>
      </c>
      <c r="T968" s="2" t="s">
        <v>5935</v>
      </c>
    </row>
    <row r="969">
      <c r="A969" s="2" t="s">
        <v>6938</v>
      </c>
      <c r="B969" s="3" t="str">
        <f>C969 &amp; ": " &amp; D969</f>
        <v>formula-translates: AuthorityBoundaries.ViolationCount</v>
      </c>
      <c r="C969" s="2" t="s">
        <v>6038</v>
      </c>
      <c r="D969" s="2" t="s">
        <v>5095</v>
      </c>
      <c r="E969" s="2" t="s">
        <v>5065</v>
      </c>
      <c r="F969" s="2" t="s">
        <v>5096</v>
      </c>
      <c r="G969" s="2" t="s">
        <v>6039</v>
      </c>
      <c r="H969" s="2" t="s">
        <v>2164</v>
      </c>
      <c r="I969" s="2" t="s">
        <v>5920</v>
      </c>
      <c r="J969" s="2" t="s">
        <v>5933</v>
      </c>
      <c r="K969" s="3" t="b">
        <f>J969 = "blocking"</f>
        <v>1</v>
      </c>
      <c r="L969" s="2" t="s">
        <v>1428</v>
      </c>
      <c r="M969" s="2" t="s">
        <v>6040</v>
      </c>
      <c r="N969" s="4">
        <v>46223.1297337963</v>
      </c>
      <c r="O969" s="3" t="b">
        <f>L969 = "PASS"</f>
        <v>1</v>
      </c>
      <c r="P969" s="3" t="b">
        <f>L969 = "FAIL"</f>
        <v>0</v>
      </c>
      <c r="Q969" s="3" t="b">
        <f>AND(P969, K969)</f>
        <v>0</v>
      </c>
      <c r="R969" s="3" t="str">
        <f>IF(O969, I969, "")</f>
        <v>suite-substrate</v>
      </c>
      <c r="S969" s="3" t="str">
        <f>IF(Q969, I969, "")</f>
      </c>
      <c r="T969" s="2" t="s">
        <v>5935</v>
      </c>
    </row>
    <row r="970">
      <c r="A970" s="2" t="s">
        <v>6939</v>
      </c>
      <c r="B970" s="3" t="str">
        <f>C970 &amp; ": " &amp; D970</f>
        <v>formula-translates: AuthorityBoundaries.IsUntested</v>
      </c>
      <c r="C970" s="2" t="s">
        <v>6038</v>
      </c>
      <c r="D970" s="2" t="s">
        <v>5098</v>
      </c>
      <c r="E970" s="2" t="s">
        <v>5065</v>
      </c>
      <c r="F970" s="2" t="s">
        <v>5099</v>
      </c>
      <c r="G970" s="2" t="s">
        <v>6039</v>
      </c>
      <c r="H970" s="2" t="s">
        <v>2164</v>
      </c>
      <c r="I970" s="2" t="s">
        <v>5920</v>
      </c>
      <c r="J970" s="2" t="s">
        <v>5933</v>
      </c>
      <c r="K970" s="3" t="b">
        <f>J970 = "blocking"</f>
        <v>1</v>
      </c>
      <c r="L970" s="2" t="s">
        <v>1428</v>
      </c>
      <c r="M970" s="2" t="s">
        <v>6040</v>
      </c>
      <c r="N970" s="4">
        <v>46223.1297337963</v>
      </c>
      <c r="O970" s="3" t="b">
        <f>L970 = "PASS"</f>
        <v>1</v>
      </c>
      <c r="P970" s="3" t="b">
        <f>L970 = "FAIL"</f>
        <v>0</v>
      </c>
      <c r="Q970" s="3" t="b">
        <f>AND(P970, K970)</f>
        <v>0</v>
      </c>
      <c r="R970" s="3" t="str">
        <f>IF(O970, I970, "")</f>
        <v>suite-substrate</v>
      </c>
      <c r="S970" s="3" t="str">
        <f>IF(Q970, I970, "")</f>
      </c>
      <c r="T970" s="2" t="s">
        <v>5935</v>
      </c>
    </row>
    <row r="971">
      <c r="A971" s="2" t="s">
        <v>6940</v>
      </c>
      <c r="B971" s="3" t="str">
        <f>C971 &amp; ": " &amp; D971</f>
        <v>formula-translates: AuthorityBoundaries.HasRatifyingFragment</v>
      </c>
      <c r="C971" s="2" t="s">
        <v>6038</v>
      </c>
      <c r="D971" s="2" t="s">
        <v>5101</v>
      </c>
      <c r="E971" s="2" t="s">
        <v>5065</v>
      </c>
      <c r="F971" s="2" t="s">
        <v>5102</v>
      </c>
      <c r="G971" s="2" t="s">
        <v>6039</v>
      </c>
      <c r="H971" s="2"/>
      <c r="I971" s="2" t="s">
        <v>5920</v>
      </c>
      <c r="J971" s="2" t="s">
        <v>5933</v>
      </c>
      <c r="K971" s="3" t="b">
        <f>J971 = "blocking"</f>
        <v>1</v>
      </c>
      <c r="L971" s="2" t="s">
        <v>1428</v>
      </c>
      <c r="M971" s="2" t="s">
        <v>6040</v>
      </c>
      <c r="N971" s="4">
        <v>46223.1297337963</v>
      </c>
      <c r="O971" s="3" t="b">
        <f>L971 = "PASS"</f>
        <v>1</v>
      </c>
      <c r="P971" s="3" t="b">
        <f>L971 = "FAIL"</f>
        <v>0</v>
      </c>
      <c r="Q971" s="3" t="b">
        <f>AND(P971, K971)</f>
        <v>0</v>
      </c>
      <c r="R971" s="3" t="str">
        <f>IF(O971, I971, "")</f>
        <v>suite-substrate</v>
      </c>
      <c r="S971" s="3" t="str">
        <f>IF(Q971, I971, "")</f>
      </c>
      <c r="T971" s="2" t="s">
        <v>5935</v>
      </c>
    </row>
    <row r="972">
      <c r="A972" s="2" t="s">
        <v>6941</v>
      </c>
      <c r="B972" s="3" t="str">
        <f>C972 &amp; ": " &amp; D972</f>
        <v>formula-translates: AuthorityBoundaries.IsUnwarranted</v>
      </c>
      <c r="C972" s="2" t="s">
        <v>6038</v>
      </c>
      <c r="D972" s="2" t="s">
        <v>5104</v>
      </c>
      <c r="E972" s="2" t="s">
        <v>5065</v>
      </c>
      <c r="F972" s="2" t="s">
        <v>5105</v>
      </c>
      <c r="G972" s="2" t="s">
        <v>6039</v>
      </c>
      <c r="H972" s="2" t="s">
        <v>2180</v>
      </c>
      <c r="I972" s="2" t="s">
        <v>5920</v>
      </c>
      <c r="J972" s="2" t="s">
        <v>5933</v>
      </c>
      <c r="K972" s="3" t="b">
        <f>J972 = "blocking"</f>
        <v>1</v>
      </c>
      <c r="L972" s="2" t="s">
        <v>1428</v>
      </c>
      <c r="M972" s="2" t="s">
        <v>6040</v>
      </c>
      <c r="N972" s="4">
        <v>46223.1297337963</v>
      </c>
      <c r="O972" s="3" t="b">
        <f>L972 = "PASS"</f>
        <v>1</v>
      </c>
      <c r="P972" s="3" t="b">
        <f>L972 = "FAIL"</f>
        <v>0</v>
      </c>
      <c r="Q972" s="3" t="b">
        <f>AND(P972, K972)</f>
        <v>0</v>
      </c>
      <c r="R972" s="3" t="str">
        <f>IF(O972, I972, "")</f>
        <v>suite-substrate</v>
      </c>
      <c r="S972" s="3" t="str">
        <f>IF(Q972, I972, "")</f>
      </c>
      <c r="T972" s="2" t="s">
        <v>5935</v>
      </c>
    </row>
    <row r="973">
      <c r="A973" s="2" t="s">
        <v>6942</v>
      </c>
      <c r="B973" s="3" t="str">
        <f>C973 &amp; ": " &amp; D973</f>
        <v>formula-translates: AuthorityBoundaries.RatifyingFragmentIsOverdue</v>
      </c>
      <c r="C973" s="2" t="s">
        <v>6038</v>
      </c>
      <c r="D973" s="2" t="s">
        <v>5107</v>
      </c>
      <c r="E973" s="2" t="s">
        <v>5065</v>
      </c>
      <c r="F973" s="2" t="s">
        <v>5108</v>
      </c>
      <c r="G973" s="2" t="s">
        <v>6039</v>
      </c>
      <c r="H973" s="2" t="s">
        <v>2180</v>
      </c>
      <c r="I973" s="2" t="s">
        <v>5920</v>
      </c>
      <c r="J973" s="2" t="s">
        <v>5933</v>
      </c>
      <c r="K973" s="3" t="b">
        <f>J973 = "blocking"</f>
        <v>1</v>
      </c>
      <c r="L973" s="2" t="s">
        <v>1428</v>
      </c>
      <c r="M973" s="2" t="s">
        <v>6040</v>
      </c>
      <c r="N973" s="4">
        <v>46223.1297337963</v>
      </c>
      <c r="O973" s="3" t="b">
        <f>L973 = "PASS"</f>
        <v>1</v>
      </c>
      <c r="P973" s="3" t="b">
        <f>L973 = "FAIL"</f>
        <v>0</v>
      </c>
      <c r="Q973" s="3" t="b">
        <f>AND(P973, K973)</f>
        <v>0</v>
      </c>
      <c r="R973" s="3" t="str">
        <f>IF(O973, I973, "")</f>
        <v>suite-substrate</v>
      </c>
      <c r="S973" s="3" t="str">
        <f>IF(Q973, I973, "")</f>
      </c>
      <c r="T973" s="2" t="s">
        <v>5935</v>
      </c>
    </row>
    <row r="974">
      <c r="A974" s="2" t="s">
        <v>6943</v>
      </c>
      <c r="B974" s="3" t="str">
        <f>C974 &amp; ": " &amp; D974</f>
        <v>formula-translates: AuthorityBoundaries.RatifyingFragmentIsSingleWitness</v>
      </c>
      <c r="C974" s="2" t="s">
        <v>6038</v>
      </c>
      <c r="D974" s="2" t="s">
        <v>5110</v>
      </c>
      <c r="E974" s="2" t="s">
        <v>5065</v>
      </c>
      <c r="F974" s="2" t="s">
        <v>5111</v>
      </c>
      <c r="G974" s="2" t="s">
        <v>6039</v>
      </c>
      <c r="H974" s="2" t="s">
        <v>2180</v>
      </c>
      <c r="I974" s="2" t="s">
        <v>5920</v>
      </c>
      <c r="J974" s="2" t="s">
        <v>5933</v>
      </c>
      <c r="K974" s="3" t="b">
        <f>J974 = "blocking"</f>
        <v>1</v>
      </c>
      <c r="L974" s="2" t="s">
        <v>1428</v>
      </c>
      <c r="M974" s="2" t="s">
        <v>6040</v>
      </c>
      <c r="N974" s="4">
        <v>46223.1297337963</v>
      </c>
      <c r="O974" s="3" t="b">
        <f>L974 = "PASS"</f>
        <v>1</v>
      </c>
      <c r="P974" s="3" t="b">
        <f>L974 = "FAIL"</f>
        <v>0</v>
      </c>
      <c r="Q974" s="3" t="b">
        <f>AND(P974, K974)</f>
        <v>0</v>
      </c>
      <c r="R974" s="3" t="str">
        <f>IF(O974, I974, "")</f>
        <v>suite-substrate</v>
      </c>
      <c r="S974" s="3" t="str">
        <f>IF(Q974, I974, "")</f>
      </c>
      <c r="T974" s="2" t="s">
        <v>5935</v>
      </c>
    </row>
    <row r="975">
      <c r="A975" s="2" t="s">
        <v>6944</v>
      </c>
      <c r="B975" s="3" t="str">
        <f>C975 &amp; ": " &amp; D975</f>
        <v>formula-translates: AuthorityBoundaries.WarrantIsThin</v>
      </c>
      <c r="C975" s="2" t="s">
        <v>6038</v>
      </c>
      <c r="D975" s="2" t="s">
        <v>5113</v>
      </c>
      <c r="E975" s="2" t="s">
        <v>5065</v>
      </c>
      <c r="F975" s="2" t="s">
        <v>5114</v>
      </c>
      <c r="G975" s="2" t="s">
        <v>6039</v>
      </c>
      <c r="H975" s="2" t="s">
        <v>2180</v>
      </c>
      <c r="I975" s="2" t="s">
        <v>5920</v>
      </c>
      <c r="J975" s="2" t="s">
        <v>5933</v>
      </c>
      <c r="K975" s="3" t="b">
        <f>J975 = "blocking"</f>
        <v>1</v>
      </c>
      <c r="L975" s="2" t="s">
        <v>1428</v>
      </c>
      <c r="M975" s="2" t="s">
        <v>6040</v>
      </c>
      <c r="N975" s="4">
        <v>46223.1297337963</v>
      </c>
      <c r="O975" s="3" t="b">
        <f>L975 = "PASS"</f>
        <v>1</v>
      </c>
      <c r="P975" s="3" t="b">
        <f>L975 = "FAIL"</f>
        <v>0</v>
      </c>
      <c r="Q975" s="3" t="b">
        <f>AND(P975, K975)</f>
        <v>0</v>
      </c>
      <c r="R975" s="3" t="str">
        <f>IF(O975, I975, "")</f>
        <v>suite-substrate</v>
      </c>
      <c r="S975" s="3" t="str">
        <f>IF(Q975, I975, "")</f>
      </c>
      <c r="T975" s="2" t="s">
        <v>5935</v>
      </c>
    </row>
    <row r="976">
      <c r="A976" s="2" t="s">
        <v>6945</v>
      </c>
      <c r="B976" s="3" t="str">
        <f>C976 &amp; ": " &amp; D976</f>
        <v>formula-translates: AuthorityBoundaries.IsUnwarrantedAndUntested</v>
      </c>
      <c r="C976" s="2" t="s">
        <v>6038</v>
      </c>
      <c r="D976" s="2" t="s">
        <v>5116</v>
      </c>
      <c r="E976" s="2" t="s">
        <v>5065</v>
      </c>
      <c r="F976" s="2" t="s">
        <v>5117</v>
      </c>
      <c r="G976" s="2" t="s">
        <v>6039</v>
      </c>
      <c r="H976" s="2" t="s">
        <v>2180</v>
      </c>
      <c r="I976" s="2" t="s">
        <v>5920</v>
      </c>
      <c r="J976" s="2" t="s">
        <v>5933</v>
      </c>
      <c r="K976" s="3" t="b">
        <f>J976 = "blocking"</f>
        <v>1</v>
      </c>
      <c r="L976" s="2" t="s">
        <v>1428</v>
      </c>
      <c r="M976" s="2" t="s">
        <v>6040</v>
      </c>
      <c r="N976" s="4">
        <v>46223.1297337963</v>
      </c>
      <c r="O976" s="3" t="b">
        <f>L976 = "PASS"</f>
        <v>1</v>
      </c>
      <c r="P976" s="3" t="b">
        <f>L976 = "FAIL"</f>
        <v>0</v>
      </c>
      <c r="Q976" s="3" t="b">
        <f>AND(P976, K976)</f>
        <v>0</v>
      </c>
      <c r="R976" s="3" t="str">
        <f>IF(O976, I976, "")</f>
        <v>suite-substrate</v>
      </c>
      <c r="S976" s="3" t="str">
        <f>IF(Q976, I976, "")</f>
      </c>
      <c r="T976" s="2" t="s">
        <v>5935</v>
      </c>
    </row>
    <row r="977">
      <c r="A977" s="2" t="s">
        <v>6946</v>
      </c>
      <c r="B977" s="3" t="str">
        <f>C977 &amp; ": " &amp; D977</f>
        <v>formula-translates: AuthorityBoundaries.UnwarrantedBoundaryStepKey</v>
      </c>
      <c r="C977" s="2" t="s">
        <v>6038</v>
      </c>
      <c r="D977" s="2" t="s">
        <v>5119</v>
      </c>
      <c r="E977" s="2" t="s">
        <v>5065</v>
      </c>
      <c r="F977" s="2" t="s">
        <v>5120</v>
      </c>
      <c r="G977" s="2" t="s">
        <v>6039</v>
      </c>
      <c r="H977" s="2" t="s">
        <v>2180</v>
      </c>
      <c r="I977" s="2" t="s">
        <v>5920</v>
      </c>
      <c r="J977" s="2" t="s">
        <v>5933</v>
      </c>
      <c r="K977" s="3" t="b">
        <f>J977 = "blocking"</f>
        <v>1</v>
      </c>
      <c r="L977" s="2" t="s">
        <v>1428</v>
      </c>
      <c r="M977" s="2" t="s">
        <v>6040</v>
      </c>
      <c r="N977" s="4">
        <v>46223.1297337963</v>
      </c>
      <c r="O977" s="3" t="b">
        <f>L977 = "PASS"</f>
        <v>1</v>
      </c>
      <c r="P977" s="3" t="b">
        <f>L977 = "FAIL"</f>
        <v>0</v>
      </c>
      <c r="Q977" s="3" t="b">
        <f>AND(P977, K977)</f>
        <v>0</v>
      </c>
      <c r="R977" s="3" t="str">
        <f>IF(O977, I977, "")</f>
        <v>suite-substrate</v>
      </c>
      <c r="S977" s="3" t="str">
        <f>IF(Q977, I977, "")</f>
      </c>
      <c r="T977" s="2" t="s">
        <v>5935</v>
      </c>
    </row>
    <row r="978">
      <c r="A978" s="2" t="s">
        <v>6947</v>
      </c>
      <c r="B978" s="3" t="str">
        <f>C978 &amp; ": " &amp; D978</f>
        <v>formula-translates: AuthorityBoundaries.RatifyingFragmentKey</v>
      </c>
      <c r="C978" s="2" t="s">
        <v>6038</v>
      </c>
      <c r="D978" s="2" t="s">
        <v>5122</v>
      </c>
      <c r="E978" s="2" t="s">
        <v>5065</v>
      </c>
      <c r="F978" s="2" t="s">
        <v>5123</v>
      </c>
      <c r="G978" s="2" t="s">
        <v>6039</v>
      </c>
      <c r="H978" s="2" t="s">
        <v>2204</v>
      </c>
      <c r="I978" s="2" t="s">
        <v>5920</v>
      </c>
      <c r="J978" s="2" t="s">
        <v>5933</v>
      </c>
      <c r="K978" s="3" t="b">
        <f>J978 = "blocking"</f>
        <v>1</v>
      </c>
      <c r="L978" s="2" t="s">
        <v>1428</v>
      </c>
      <c r="M978" s="2" t="s">
        <v>6040</v>
      </c>
      <c r="N978" s="4">
        <v>46223.1297337963</v>
      </c>
      <c r="O978" s="3" t="b">
        <f>L978 = "PASS"</f>
        <v>1</v>
      </c>
      <c r="P978" s="3" t="b">
        <f>L978 = "FAIL"</f>
        <v>0</v>
      </c>
      <c r="Q978" s="3" t="b">
        <f>AND(P978, K978)</f>
        <v>0</v>
      </c>
      <c r="R978" s="3" t="str">
        <f>IF(O978, I978, "")</f>
        <v>suite-substrate</v>
      </c>
      <c r="S978" s="3" t="str">
        <f>IF(Q978, I978, "")</f>
      </c>
      <c r="T978" s="2" t="s">
        <v>5935</v>
      </c>
    </row>
    <row r="979">
      <c r="A979" s="2" t="s">
        <v>6948</v>
      </c>
      <c r="B979" s="3" t="str">
        <f>C979 &amp; ": " &amp; D979</f>
        <v>formula-translates: AuthorityBoundaries.RatifyingFragmentStatus</v>
      </c>
      <c r="C979" s="2" t="s">
        <v>6038</v>
      </c>
      <c r="D979" s="2" t="s">
        <v>5125</v>
      </c>
      <c r="E979" s="2" t="s">
        <v>5065</v>
      </c>
      <c r="F979" s="2" t="s">
        <v>5126</v>
      </c>
      <c r="G979" s="2" t="s">
        <v>6039</v>
      </c>
      <c r="H979" s="2" t="s">
        <v>2320</v>
      </c>
      <c r="I979" s="2" t="s">
        <v>5920</v>
      </c>
      <c r="J979" s="2" t="s">
        <v>5933</v>
      </c>
      <c r="K979" s="3" t="b">
        <f>J979 = "blocking"</f>
        <v>1</v>
      </c>
      <c r="L979" s="2" t="s">
        <v>1428</v>
      </c>
      <c r="M979" s="2" t="s">
        <v>6040</v>
      </c>
      <c r="N979" s="4">
        <v>46223.1297337963</v>
      </c>
      <c r="O979" s="3" t="b">
        <f>L979 = "PASS"</f>
        <v>1</v>
      </c>
      <c r="P979" s="3" t="b">
        <f>L979 = "FAIL"</f>
        <v>0</v>
      </c>
      <c r="Q979" s="3" t="b">
        <f>AND(P979, K979)</f>
        <v>0</v>
      </c>
      <c r="R979" s="3" t="str">
        <f>IF(O979, I979, "")</f>
        <v>suite-substrate</v>
      </c>
      <c r="S979" s="3" t="str">
        <f>IF(Q979, I979, "")</f>
      </c>
      <c r="T979" s="2" t="s">
        <v>5935</v>
      </c>
    </row>
    <row r="980">
      <c r="A980" s="2" t="s">
        <v>6949</v>
      </c>
      <c r="B980" s="3" t="str">
        <f>C980 &amp; ": " &amp; D980</f>
        <v>formula-translates: AuthorityBoundaries.RatificationLapsed</v>
      </c>
      <c r="C980" s="2" t="s">
        <v>6038</v>
      </c>
      <c r="D980" s="2" t="s">
        <v>5128</v>
      </c>
      <c r="E980" s="2" t="s">
        <v>5065</v>
      </c>
      <c r="F980" s="2" t="s">
        <v>5129</v>
      </c>
      <c r="G980" s="2" t="s">
        <v>6039</v>
      </c>
      <c r="H980" s="2" t="s">
        <v>2320</v>
      </c>
      <c r="I980" s="2" t="s">
        <v>5920</v>
      </c>
      <c r="J980" s="2" t="s">
        <v>5933</v>
      </c>
      <c r="K980" s="3" t="b">
        <f>J980 = "blocking"</f>
        <v>1</v>
      </c>
      <c r="L980" s="2" t="s">
        <v>1428</v>
      </c>
      <c r="M980" s="2" t="s">
        <v>6040</v>
      </c>
      <c r="N980" s="4">
        <v>46223.1297337963</v>
      </c>
      <c r="O980" s="3" t="b">
        <f>L980 = "PASS"</f>
        <v>1</v>
      </c>
      <c r="P980" s="3" t="b">
        <f>L980 = "FAIL"</f>
        <v>0</v>
      </c>
      <c r="Q980" s="3" t="b">
        <f>AND(P980, K980)</f>
        <v>0</v>
      </c>
      <c r="R980" s="3" t="str">
        <f>IF(O980, I980, "")</f>
        <v>suite-substrate</v>
      </c>
      <c r="S980" s="3" t="str">
        <f>IF(Q980, I980, "")</f>
      </c>
      <c r="T980" s="2" t="s">
        <v>5935</v>
      </c>
    </row>
    <row r="981">
      <c r="A981" s="2" t="s">
        <v>6950</v>
      </c>
      <c r="B981" s="3" t="str">
        <f>C981 &amp; ": " &amp; D981</f>
        <v>formula-translates: AuthorityBoundaries.BindsDespiteLapsedRatification</v>
      </c>
      <c r="C981" s="2" t="s">
        <v>6038</v>
      </c>
      <c r="D981" s="2" t="s">
        <v>5131</v>
      </c>
      <c r="E981" s="2" t="s">
        <v>5065</v>
      </c>
      <c r="F981" s="2" t="s">
        <v>5132</v>
      </c>
      <c r="G981" s="2" t="s">
        <v>6039</v>
      </c>
      <c r="H981" s="2" t="s">
        <v>2320</v>
      </c>
      <c r="I981" s="2" t="s">
        <v>5920</v>
      </c>
      <c r="J981" s="2" t="s">
        <v>5933</v>
      </c>
      <c r="K981" s="3" t="b">
        <f>J981 = "blocking"</f>
        <v>1</v>
      </c>
      <c r="L981" s="2" t="s">
        <v>1428</v>
      </c>
      <c r="M981" s="2" t="s">
        <v>6040</v>
      </c>
      <c r="N981" s="4">
        <v>46223.1297337963</v>
      </c>
      <c r="O981" s="3" t="b">
        <f>L981 = "PASS"</f>
        <v>1</v>
      </c>
      <c r="P981" s="3" t="b">
        <f>L981 = "FAIL"</f>
        <v>0</v>
      </c>
      <c r="Q981" s="3" t="b">
        <f>AND(P981, K981)</f>
        <v>0</v>
      </c>
      <c r="R981" s="3" t="str">
        <f>IF(O981, I981, "")</f>
        <v>suite-substrate</v>
      </c>
      <c r="S981" s="3" t="str">
        <f>IF(Q981, I981, "")</f>
      </c>
      <c r="T981" s="2" t="s">
        <v>5935</v>
      </c>
    </row>
    <row r="982">
      <c r="A982" s="2" t="s">
        <v>6951</v>
      </c>
      <c r="B982" s="3" t="str">
        <f>C982 &amp; ": " &amp; D982</f>
        <v>formula-translates: AuthorityBoundaries.IsUngroundedAndUntested</v>
      </c>
      <c r="C982" s="2" t="s">
        <v>6038</v>
      </c>
      <c r="D982" s="2" t="s">
        <v>5134</v>
      </c>
      <c r="E982" s="2" t="s">
        <v>5065</v>
      </c>
      <c r="F982" s="2" t="s">
        <v>5135</v>
      </c>
      <c r="G982" s="2" t="s">
        <v>6039</v>
      </c>
      <c r="H982" s="2" t="s">
        <v>2320</v>
      </c>
      <c r="I982" s="2" t="s">
        <v>5920</v>
      </c>
      <c r="J982" s="2" t="s">
        <v>5933</v>
      </c>
      <c r="K982" s="3" t="b">
        <f>J982 = "blocking"</f>
        <v>1</v>
      </c>
      <c r="L982" s="2" t="s">
        <v>1428</v>
      </c>
      <c r="M982" s="2" t="s">
        <v>6040</v>
      </c>
      <c r="N982" s="4">
        <v>46223.1297337963</v>
      </c>
      <c r="O982" s="3" t="b">
        <f>L982 = "PASS"</f>
        <v>1</v>
      </c>
      <c r="P982" s="3" t="b">
        <f>L982 = "FAIL"</f>
        <v>0</v>
      </c>
      <c r="Q982" s="3" t="b">
        <f>AND(P982, K982)</f>
        <v>0</v>
      </c>
      <c r="R982" s="3" t="str">
        <f>IF(O982, I982, "")</f>
        <v>suite-substrate</v>
      </c>
      <c r="S982" s="3" t="str">
        <f>IF(Q982, I982, "")</f>
      </c>
      <c r="T982" s="2" t="s">
        <v>5935</v>
      </c>
    </row>
    <row r="983">
      <c r="A983" s="2" t="s">
        <v>6952</v>
      </c>
      <c r="B983" s="3" t="str">
        <f>C983 &amp; ": " &amp; D983</f>
        <v>formula-translates: AuthorityBoundaries.ConstrainedRoleAssignmentKey</v>
      </c>
      <c r="C983" s="2" t="s">
        <v>6038</v>
      </c>
      <c r="D983" s="2" t="s">
        <v>5137</v>
      </c>
      <c r="E983" s="2" t="s">
        <v>5065</v>
      </c>
      <c r="F983" s="2" t="s">
        <v>5138</v>
      </c>
      <c r="G983" s="2" t="s">
        <v>6039</v>
      </c>
      <c r="H983" s="2" t="s">
        <v>2320</v>
      </c>
      <c r="I983" s="2" t="s">
        <v>5920</v>
      </c>
      <c r="J983" s="2" t="s">
        <v>5933</v>
      </c>
      <c r="K983" s="3" t="b">
        <f>J983 = "blocking"</f>
        <v>1</v>
      </c>
      <c r="L983" s="2" t="s">
        <v>1428</v>
      </c>
      <c r="M983" s="2" t="s">
        <v>6040</v>
      </c>
      <c r="N983" s="4">
        <v>46223.1297337963</v>
      </c>
      <c r="O983" s="3" t="b">
        <f>L983 = "PASS"</f>
        <v>1</v>
      </c>
      <c r="P983" s="3" t="b">
        <f>L983 = "FAIL"</f>
        <v>0</v>
      </c>
      <c r="Q983" s="3" t="b">
        <f>AND(P983, K983)</f>
        <v>0</v>
      </c>
      <c r="R983" s="3" t="str">
        <f>IF(O983, I983, "")</f>
        <v>suite-substrate</v>
      </c>
      <c r="S983" s="3" t="str">
        <f>IF(Q983, I983, "")</f>
      </c>
      <c r="T983" s="2" t="s">
        <v>5935</v>
      </c>
    </row>
    <row r="984">
      <c r="A984" s="2" t="s">
        <v>6953</v>
      </c>
      <c r="B984" s="3" t="str">
        <f>C984 &amp; ": " &amp; D984</f>
        <v>formula-translates: BindingObservations.Name</v>
      </c>
      <c r="C984" s="2" t="s">
        <v>6038</v>
      </c>
      <c r="D984" s="2" t="s">
        <v>5144</v>
      </c>
      <c r="E984" s="2" t="s">
        <v>5142</v>
      </c>
      <c r="F984" s="2" t="s">
        <v>1</v>
      </c>
      <c r="G984" s="2" t="s">
        <v>6039</v>
      </c>
      <c r="H984" s="2"/>
      <c r="I984" s="2" t="s">
        <v>5920</v>
      </c>
      <c r="J984" s="2" t="s">
        <v>5933</v>
      </c>
      <c r="K984" s="3" t="b">
        <f>J984 = "blocking"</f>
        <v>1</v>
      </c>
      <c r="L984" s="2" t="s">
        <v>1428</v>
      </c>
      <c r="M984" s="2" t="s">
        <v>6040</v>
      </c>
      <c r="N984" s="4">
        <v>46223.1297337963</v>
      </c>
      <c r="O984" s="3" t="b">
        <f>L984 = "PASS"</f>
        <v>1</v>
      </c>
      <c r="P984" s="3" t="b">
        <f>L984 = "FAIL"</f>
        <v>0</v>
      </c>
      <c r="Q984" s="3" t="b">
        <f>AND(P984, K984)</f>
        <v>0</v>
      </c>
      <c r="R984" s="3" t="str">
        <f>IF(O984, I984, "")</f>
        <v>suite-substrate</v>
      </c>
      <c r="S984" s="3" t="str">
        <f>IF(Q984, I984, "")</f>
      </c>
      <c r="T984" s="2" t="s">
        <v>5935</v>
      </c>
    </row>
    <row r="985">
      <c r="A985" s="2" t="s">
        <v>6954</v>
      </c>
      <c r="B985" s="3" t="str">
        <f>C985 &amp; ": " &amp; D985</f>
        <v>formula-translates: BindingObservations.SlaMinutesAtRun</v>
      </c>
      <c r="C985" s="2" t="s">
        <v>6038</v>
      </c>
      <c r="D985" s="2" t="s">
        <v>5153</v>
      </c>
      <c r="E985" s="2" t="s">
        <v>5142</v>
      </c>
      <c r="F985" s="2" t="s">
        <v>5154</v>
      </c>
      <c r="G985" s="2" t="s">
        <v>6039</v>
      </c>
      <c r="H985" s="2" t="s">
        <v>2240</v>
      </c>
      <c r="I985" s="2" t="s">
        <v>5920</v>
      </c>
      <c r="J985" s="2" t="s">
        <v>5933</v>
      </c>
      <c r="K985" s="3" t="b">
        <f>J985 = "blocking"</f>
        <v>1</v>
      </c>
      <c r="L985" s="2" t="s">
        <v>1428</v>
      </c>
      <c r="M985" s="2" t="s">
        <v>6040</v>
      </c>
      <c r="N985" s="4">
        <v>46223.1297337963</v>
      </c>
      <c r="O985" s="3" t="b">
        <f>L985 = "PASS"</f>
        <v>1</v>
      </c>
      <c r="P985" s="3" t="b">
        <f>L985 = "FAIL"</f>
        <v>0</v>
      </c>
      <c r="Q985" s="3" t="b">
        <f>AND(P985, K985)</f>
        <v>0</v>
      </c>
      <c r="R985" s="3" t="str">
        <f>IF(O985, I985, "")</f>
        <v>suite-substrate</v>
      </c>
      <c r="S985" s="3" t="str">
        <f>IF(Q985, I985, "")</f>
      </c>
      <c r="T985" s="2" t="s">
        <v>5935</v>
      </c>
    </row>
    <row r="986">
      <c r="A986" s="2" t="s">
        <v>6955</v>
      </c>
      <c r="B986" s="3" t="str">
        <f>C986 &amp; ": " &amp; D986</f>
        <v>formula-translates: BindingObservations.AgeAtRunMinutes</v>
      </c>
      <c r="C986" s="2" t="s">
        <v>6038</v>
      </c>
      <c r="D986" s="2" t="s">
        <v>5156</v>
      </c>
      <c r="E986" s="2" t="s">
        <v>5142</v>
      </c>
      <c r="F986" s="2" t="s">
        <v>5157</v>
      </c>
      <c r="G986" s="2" t="s">
        <v>6039</v>
      </c>
      <c r="H986" s="2" t="s">
        <v>2240</v>
      </c>
      <c r="I986" s="2" t="s">
        <v>5920</v>
      </c>
      <c r="J986" s="2" t="s">
        <v>5933</v>
      </c>
      <c r="K986" s="3" t="b">
        <f>J986 = "blocking"</f>
        <v>1</v>
      </c>
      <c r="L986" s="2" t="s">
        <v>1428</v>
      </c>
      <c r="M986" s="2" t="s">
        <v>6040</v>
      </c>
      <c r="N986" s="4">
        <v>46223.1297337963</v>
      </c>
      <c r="O986" s="3" t="b">
        <f>L986 = "PASS"</f>
        <v>1</v>
      </c>
      <c r="P986" s="3" t="b">
        <f>L986 = "FAIL"</f>
        <v>0</v>
      </c>
      <c r="Q986" s="3" t="b">
        <f>AND(P986, K986)</f>
        <v>0</v>
      </c>
      <c r="R986" s="3" t="str">
        <f>IF(O986, I986, "")</f>
        <v>suite-substrate</v>
      </c>
      <c r="S986" s="3" t="str">
        <f>IF(Q986, I986, "")</f>
      </c>
      <c r="T986" s="2" t="s">
        <v>5935</v>
      </c>
    </row>
    <row r="987">
      <c r="A987" s="2" t="s">
        <v>6956</v>
      </c>
      <c r="B987" s="3" t="str">
        <f>C987 &amp; ": " &amp; D987</f>
        <v>formula-translates: BindingObservations.WasStaleAtRun</v>
      </c>
      <c r="C987" s="2" t="s">
        <v>6038</v>
      </c>
      <c r="D987" s="2" t="s">
        <v>5159</v>
      </c>
      <c r="E987" s="2" t="s">
        <v>5142</v>
      </c>
      <c r="F987" s="2" t="s">
        <v>5160</v>
      </c>
      <c r="G987" s="2" t="s">
        <v>6039</v>
      </c>
      <c r="H987" s="2" t="s">
        <v>2240</v>
      </c>
      <c r="I987" s="2" t="s">
        <v>5920</v>
      </c>
      <c r="J987" s="2" t="s">
        <v>5933</v>
      </c>
      <c r="K987" s="3" t="b">
        <f>J987 = "blocking"</f>
        <v>1</v>
      </c>
      <c r="L987" s="2" t="s">
        <v>1428</v>
      </c>
      <c r="M987" s="2" t="s">
        <v>6040</v>
      </c>
      <c r="N987" s="4">
        <v>46223.1297337963</v>
      </c>
      <c r="O987" s="3" t="b">
        <f>L987 = "PASS"</f>
        <v>1</v>
      </c>
      <c r="P987" s="3" t="b">
        <f>L987 = "FAIL"</f>
        <v>0</v>
      </c>
      <c r="Q987" s="3" t="b">
        <f>AND(P987, K987)</f>
        <v>0</v>
      </c>
      <c r="R987" s="3" t="str">
        <f>IF(O987, I987, "")</f>
        <v>suite-substrate</v>
      </c>
      <c r="S987" s="3" t="str">
        <f>IF(Q987, I987, "")</f>
      </c>
      <c r="T987" s="2" t="s">
        <v>5935</v>
      </c>
    </row>
    <row r="988">
      <c r="A988" s="2" t="s">
        <v>6957</v>
      </c>
      <c r="B988" s="3" t="str">
        <f>C988 &amp; ": " &amp; D988</f>
        <v>formula-translates: BindingObservations.IsAuthoritativeBinding</v>
      </c>
      <c r="C988" s="2" t="s">
        <v>6038</v>
      </c>
      <c r="D988" s="2" t="s">
        <v>5162</v>
      </c>
      <c r="E988" s="2" t="s">
        <v>5142</v>
      </c>
      <c r="F988" s="2" t="s">
        <v>5163</v>
      </c>
      <c r="G988" s="2" t="s">
        <v>6039</v>
      </c>
      <c r="H988" s="2" t="s">
        <v>2240</v>
      </c>
      <c r="I988" s="2" t="s">
        <v>5920</v>
      </c>
      <c r="J988" s="2" t="s">
        <v>5933</v>
      </c>
      <c r="K988" s="3" t="b">
        <f>J988 = "blocking"</f>
        <v>1</v>
      </c>
      <c r="L988" s="2" t="s">
        <v>1428</v>
      </c>
      <c r="M988" s="2" t="s">
        <v>6040</v>
      </c>
      <c r="N988" s="4">
        <v>46223.1297337963</v>
      </c>
      <c r="O988" s="3" t="b">
        <f>L988 = "PASS"</f>
        <v>1</v>
      </c>
      <c r="P988" s="3" t="b">
        <f>L988 = "FAIL"</f>
        <v>0</v>
      </c>
      <c r="Q988" s="3" t="b">
        <f>AND(P988, K988)</f>
        <v>0</v>
      </c>
      <c r="R988" s="3" t="str">
        <f>IF(O988, I988, "")</f>
        <v>suite-substrate</v>
      </c>
      <c r="S988" s="3" t="str">
        <f>IF(Q988, I988, "")</f>
      </c>
      <c r="T988" s="2" t="s">
        <v>5935</v>
      </c>
    </row>
    <row r="989">
      <c r="A989" s="2" t="s">
        <v>6958</v>
      </c>
      <c r="B989" s="3" t="str">
        <f>C989 &amp; ": " &amp; D989</f>
        <v>formula-translates: BindingObservations.StaleAtRunStepKey</v>
      </c>
      <c r="C989" s="2" t="s">
        <v>6038</v>
      </c>
      <c r="D989" s="2" t="s">
        <v>5165</v>
      </c>
      <c r="E989" s="2" t="s">
        <v>5142</v>
      </c>
      <c r="F989" s="2" t="s">
        <v>5166</v>
      </c>
      <c r="G989" s="2" t="s">
        <v>6039</v>
      </c>
      <c r="H989" s="2" t="s">
        <v>2240</v>
      </c>
      <c r="I989" s="2" t="s">
        <v>5920</v>
      </c>
      <c r="J989" s="2" t="s">
        <v>5933</v>
      </c>
      <c r="K989" s="3" t="b">
        <f>J989 = "blocking"</f>
        <v>1</v>
      </c>
      <c r="L989" s="2" t="s">
        <v>1428</v>
      </c>
      <c r="M989" s="2" t="s">
        <v>6040</v>
      </c>
      <c r="N989" s="4">
        <v>46223.1297337963</v>
      </c>
      <c r="O989" s="3" t="b">
        <f>L989 = "PASS"</f>
        <v>1</v>
      </c>
      <c r="P989" s="3" t="b">
        <f>L989 = "FAIL"</f>
        <v>0</v>
      </c>
      <c r="Q989" s="3" t="b">
        <f>AND(P989, K989)</f>
        <v>0</v>
      </c>
      <c r="R989" s="3" t="str">
        <f>IF(O989, I989, "")</f>
        <v>suite-substrate</v>
      </c>
      <c r="S989" s="3" t="str">
        <f>IF(Q989, I989, "")</f>
      </c>
      <c r="T989" s="2" t="s">
        <v>5935</v>
      </c>
    </row>
    <row r="990">
      <c r="A990" s="2" t="s">
        <v>6959</v>
      </c>
      <c r="B990" s="3" t="str">
        <f>C990 &amp; ": " &amp; D990</f>
        <v>formula-translates: Attestations.Name</v>
      </c>
      <c r="C990" s="2" t="s">
        <v>6038</v>
      </c>
      <c r="D990" s="2" t="s">
        <v>5171</v>
      </c>
      <c r="E990" s="2" t="s">
        <v>5169</v>
      </c>
      <c r="F990" s="2" t="s">
        <v>1</v>
      </c>
      <c r="G990" s="2" t="s">
        <v>6039</v>
      </c>
      <c r="H990" s="2"/>
      <c r="I990" s="2" t="s">
        <v>5920</v>
      </c>
      <c r="J990" s="2" t="s">
        <v>5933</v>
      </c>
      <c r="K990" s="3" t="b">
        <f>J990 = "blocking"</f>
        <v>1</v>
      </c>
      <c r="L990" s="2" t="s">
        <v>1428</v>
      </c>
      <c r="M990" s="2" t="s">
        <v>6040</v>
      </c>
      <c r="N990" s="4">
        <v>46223.1297337963</v>
      </c>
      <c r="O990" s="3" t="b">
        <f>L990 = "PASS"</f>
        <v>1</v>
      </c>
      <c r="P990" s="3" t="b">
        <f>L990 = "FAIL"</f>
        <v>0</v>
      </c>
      <c r="Q990" s="3" t="b">
        <f>AND(P990, K990)</f>
        <v>0</v>
      </c>
      <c r="R990" s="3" t="str">
        <f>IF(O990, I990, "")</f>
        <v>suite-substrate</v>
      </c>
      <c r="S990" s="3" t="str">
        <f>IF(Q990, I990, "")</f>
      </c>
      <c r="T990" s="2" t="s">
        <v>5935</v>
      </c>
    </row>
    <row r="991">
      <c r="A991" s="2" t="s">
        <v>6960</v>
      </c>
      <c r="B991" s="3" t="str">
        <f>C991 &amp; ": " &amp; D991</f>
        <v>formula-translates: Attestations.VersionIsFitNow</v>
      </c>
      <c r="C991" s="2" t="s">
        <v>6038</v>
      </c>
      <c r="D991" s="2" t="s">
        <v>5182</v>
      </c>
      <c r="E991" s="2" t="s">
        <v>5169</v>
      </c>
      <c r="F991" s="2" t="s">
        <v>5183</v>
      </c>
      <c r="G991" s="2" t="s">
        <v>6039</v>
      </c>
      <c r="H991" s="2" t="s">
        <v>2280</v>
      </c>
      <c r="I991" s="2" t="s">
        <v>5920</v>
      </c>
      <c r="J991" s="2" t="s">
        <v>5933</v>
      </c>
      <c r="K991" s="3" t="b">
        <f>J991 = "blocking"</f>
        <v>1</v>
      </c>
      <c r="L991" s="2" t="s">
        <v>1428</v>
      </c>
      <c r="M991" s="2" t="s">
        <v>6040</v>
      </c>
      <c r="N991" s="4">
        <v>46223.1297337963</v>
      </c>
      <c r="O991" s="3" t="b">
        <f>L991 = "PASS"</f>
        <v>1</v>
      </c>
      <c r="P991" s="3" t="b">
        <f>L991 = "FAIL"</f>
        <v>0</v>
      </c>
      <c r="Q991" s="3" t="b">
        <f>AND(P991, K991)</f>
        <v>0</v>
      </c>
      <c r="R991" s="3" t="str">
        <f>IF(O991, I991, "")</f>
        <v>suite-substrate</v>
      </c>
      <c r="S991" s="3" t="str">
        <f>IF(Q991, I991, "")</f>
      </c>
      <c r="T991" s="2" t="s">
        <v>5935</v>
      </c>
    </row>
    <row r="992">
      <c r="A992" s="2" t="s">
        <v>6961</v>
      </c>
      <c r="B992" s="3" t="str">
        <f>C992 &amp; ": " &amp; D992</f>
        <v>formula-translates: Attestations.FitnessVerdictHasDrifted</v>
      </c>
      <c r="C992" s="2" t="s">
        <v>6038</v>
      </c>
      <c r="D992" s="2" t="s">
        <v>5185</v>
      </c>
      <c r="E992" s="2" t="s">
        <v>5169</v>
      </c>
      <c r="F992" s="2" t="s">
        <v>5186</v>
      </c>
      <c r="G992" s="2" t="s">
        <v>6039</v>
      </c>
      <c r="H992" s="2" t="s">
        <v>2280</v>
      </c>
      <c r="I992" s="2" t="s">
        <v>5920</v>
      </c>
      <c r="J992" s="2" t="s">
        <v>5933</v>
      </c>
      <c r="K992" s="3" t="b">
        <f>J992 = "blocking"</f>
        <v>1</v>
      </c>
      <c r="L992" s="2" t="s">
        <v>1428</v>
      </c>
      <c r="M992" s="2" t="s">
        <v>6040</v>
      </c>
      <c r="N992" s="4">
        <v>46223.1297337963</v>
      </c>
      <c r="O992" s="3" t="b">
        <f>L992 = "PASS"</f>
        <v>1</v>
      </c>
      <c r="P992" s="3" t="b">
        <f>L992 = "FAIL"</f>
        <v>0</v>
      </c>
      <c r="Q992" s="3" t="b">
        <f>AND(P992, K992)</f>
        <v>0</v>
      </c>
      <c r="R992" s="3" t="str">
        <f>IF(O992, I992, "")</f>
        <v>suite-substrate</v>
      </c>
      <c r="S992" s="3" t="str">
        <f>IF(Q992, I992, "")</f>
      </c>
      <c r="T992" s="2" t="s">
        <v>5935</v>
      </c>
    </row>
    <row r="993">
      <c r="A993" s="2" t="s">
        <v>6962</v>
      </c>
      <c r="B993" s="3" t="str">
        <f>C993 &amp; ": " &amp; D993</f>
        <v>formula-translates: Attestations.AssuranceGradeNow</v>
      </c>
      <c r="C993" s="2" t="s">
        <v>6038</v>
      </c>
      <c r="D993" s="2" t="s">
        <v>5188</v>
      </c>
      <c r="E993" s="2" t="s">
        <v>5169</v>
      </c>
      <c r="F993" s="2" t="s">
        <v>5189</v>
      </c>
      <c r="G993" s="2" t="s">
        <v>6039</v>
      </c>
      <c r="H993" s="2" t="s">
        <v>2280</v>
      </c>
      <c r="I993" s="2" t="s">
        <v>5920</v>
      </c>
      <c r="J993" s="2" t="s">
        <v>5933</v>
      </c>
      <c r="K993" s="3" t="b">
        <f>J993 = "blocking"</f>
        <v>1</v>
      </c>
      <c r="L993" s="2" t="s">
        <v>1428</v>
      </c>
      <c r="M993" s="2" t="s">
        <v>6040</v>
      </c>
      <c r="N993" s="4">
        <v>46223.1297337963</v>
      </c>
      <c r="O993" s="3" t="b">
        <f>L993 = "PASS"</f>
        <v>1</v>
      </c>
      <c r="P993" s="3" t="b">
        <f>L993 = "FAIL"</f>
        <v>0</v>
      </c>
      <c r="Q993" s="3" t="b">
        <f>AND(P993, K993)</f>
        <v>0</v>
      </c>
      <c r="R993" s="3" t="str">
        <f>IF(O993, I993, "")</f>
        <v>suite-substrate</v>
      </c>
      <c r="S993" s="3" t="str">
        <f>IF(Q993, I993, "")</f>
      </c>
      <c r="T993" s="2" t="s">
        <v>5935</v>
      </c>
    </row>
    <row r="994">
      <c r="A994" s="2" t="s">
        <v>6963</v>
      </c>
      <c r="B994" s="3" t="str">
        <f>C994 &amp; ": " &amp; D994</f>
        <v>formula-translates: Attestations.AssuranceGradeHasDrifted</v>
      </c>
      <c r="C994" s="2" t="s">
        <v>6038</v>
      </c>
      <c r="D994" s="2" t="s">
        <v>5191</v>
      </c>
      <c r="E994" s="2" t="s">
        <v>5169</v>
      </c>
      <c r="F994" s="2" t="s">
        <v>5192</v>
      </c>
      <c r="G994" s="2" t="s">
        <v>6039</v>
      </c>
      <c r="H994" s="2" t="s">
        <v>2280</v>
      </c>
      <c r="I994" s="2" t="s">
        <v>5920</v>
      </c>
      <c r="J994" s="2" t="s">
        <v>5933</v>
      </c>
      <c r="K994" s="3" t="b">
        <f>J994 = "blocking"</f>
        <v>1</v>
      </c>
      <c r="L994" s="2" t="s">
        <v>1428</v>
      </c>
      <c r="M994" s="2" t="s">
        <v>6040</v>
      </c>
      <c r="N994" s="4">
        <v>46223.1297337963</v>
      </c>
      <c r="O994" s="3" t="b">
        <f>L994 = "PASS"</f>
        <v>1</v>
      </c>
      <c r="P994" s="3" t="b">
        <f>L994 = "FAIL"</f>
        <v>0</v>
      </c>
      <c r="Q994" s="3" t="b">
        <f>AND(P994, K994)</f>
        <v>0</v>
      </c>
      <c r="R994" s="3" t="str">
        <f>IF(O994, I994, "")</f>
        <v>suite-substrate</v>
      </c>
      <c r="S994" s="3" t="str">
        <f>IF(Q994, I994, "")</f>
      </c>
      <c r="T994" s="2" t="s">
        <v>5935</v>
      </c>
    </row>
    <row r="995">
      <c r="A995" s="2" t="s">
        <v>6964</v>
      </c>
      <c r="B995" s="3" t="str">
        <f>C995 &amp; ": " &amp; D995</f>
        <v>formula-translates: Attestations.WouldNotSurviveRestatement</v>
      </c>
      <c r="C995" s="2" t="s">
        <v>6038</v>
      </c>
      <c r="D995" s="2" t="s">
        <v>5194</v>
      </c>
      <c r="E995" s="2" t="s">
        <v>5169</v>
      </c>
      <c r="F995" s="2" t="s">
        <v>5195</v>
      </c>
      <c r="G995" s="2" t="s">
        <v>6039</v>
      </c>
      <c r="H995" s="2" t="s">
        <v>2280</v>
      </c>
      <c r="I995" s="2" t="s">
        <v>5920</v>
      </c>
      <c r="J995" s="2" t="s">
        <v>5933</v>
      </c>
      <c r="K995" s="3" t="b">
        <f>J995 = "blocking"</f>
        <v>1</v>
      </c>
      <c r="L995" s="2" t="s">
        <v>1428</v>
      </c>
      <c r="M995" s="2" t="s">
        <v>6040</v>
      </c>
      <c r="N995" s="4">
        <v>46223.1297337963</v>
      </c>
      <c r="O995" s="3" t="b">
        <f>L995 = "PASS"</f>
        <v>1</v>
      </c>
      <c r="P995" s="3" t="b">
        <f>L995 = "FAIL"</f>
        <v>0</v>
      </c>
      <c r="Q995" s="3" t="b">
        <f>AND(P995, K995)</f>
        <v>0</v>
      </c>
      <c r="R995" s="3" t="str">
        <f>IF(O995, I995, "")</f>
        <v>suite-substrate</v>
      </c>
      <c r="S995" s="3" t="str">
        <f>IF(Q995, I995, "")</f>
      </c>
      <c r="T995" s="2" t="s">
        <v>5935</v>
      </c>
    </row>
    <row r="996">
      <c r="A996" s="2" t="s">
        <v>6965</v>
      </c>
      <c r="B996" s="3" t="str">
        <f>C996 &amp; ": " &amp; D996</f>
        <v>view-loads: vw_rulebook_releases</v>
      </c>
      <c r="C996" s="2" t="s">
        <v>6966</v>
      </c>
      <c r="D996" s="2" t="s">
        <v>6967</v>
      </c>
      <c r="E996" s="2" t="s">
        <v>2384</v>
      </c>
      <c r="F996" s="2"/>
      <c r="G996" s="2" t="s">
        <v>6968</v>
      </c>
      <c r="H996" s="2"/>
      <c r="I996" s="2" t="s">
        <v>5920</v>
      </c>
      <c r="J996" s="2" t="s">
        <v>5933</v>
      </c>
      <c r="K996" s="3" t="b">
        <f>J996 = "blocking"</f>
        <v>1</v>
      </c>
      <c r="L996" s="2" t="s">
        <v>1428</v>
      </c>
      <c r="M996" s="2" t="s">
        <v>6969</v>
      </c>
      <c r="N996" s="4">
        <v>46223.1297337963</v>
      </c>
      <c r="O996" s="3" t="b">
        <f>L996 = "PASS"</f>
        <v>1</v>
      </c>
      <c r="P996" s="3" t="b">
        <f>L996 = "FAIL"</f>
        <v>0</v>
      </c>
      <c r="Q996" s="3" t="b">
        <f>AND(P996, K996)</f>
        <v>0</v>
      </c>
      <c r="R996" s="3" t="str">
        <f>IF(O996, I996, "")</f>
        <v>suite-substrate</v>
      </c>
      <c r="S996" s="3" t="str">
        <f>IF(Q996, I996, "")</f>
      </c>
      <c r="T996" s="2" t="s">
        <v>5935</v>
      </c>
    </row>
    <row r="997">
      <c r="A997" s="2" t="s">
        <v>6970</v>
      </c>
      <c r="B997" s="3" t="str">
        <f>C997 &amp; ": " &amp; D997</f>
        <v>view-loads: vw_ontology_profiles</v>
      </c>
      <c r="C997" s="2" t="s">
        <v>6966</v>
      </c>
      <c r="D997" s="2" t="s">
        <v>6971</v>
      </c>
      <c r="E997" s="2" t="s">
        <v>2403</v>
      </c>
      <c r="F997" s="2"/>
      <c r="G997" s="2" t="s">
        <v>6968</v>
      </c>
      <c r="H997" s="2"/>
      <c r="I997" s="2" t="s">
        <v>5920</v>
      </c>
      <c r="J997" s="2" t="s">
        <v>5933</v>
      </c>
      <c r="K997" s="3" t="b">
        <f>J997 = "blocking"</f>
        <v>1</v>
      </c>
      <c r="L997" s="2" t="s">
        <v>1428</v>
      </c>
      <c r="M997" s="2" t="s">
        <v>6972</v>
      </c>
      <c r="N997" s="4">
        <v>46223.1297337963</v>
      </c>
      <c r="O997" s="3" t="b">
        <f>L997 = "PASS"</f>
        <v>1</v>
      </c>
      <c r="P997" s="3" t="b">
        <f>L997 = "FAIL"</f>
        <v>0</v>
      </c>
      <c r="Q997" s="3" t="b">
        <f>AND(P997, K997)</f>
        <v>0</v>
      </c>
      <c r="R997" s="3" t="str">
        <f>IF(O997, I997, "")</f>
        <v>suite-substrate</v>
      </c>
      <c r="S997" s="3" t="str">
        <f>IF(Q997, I997, "")</f>
      </c>
      <c r="T997" s="2" t="s">
        <v>5935</v>
      </c>
    </row>
    <row r="998">
      <c r="A998" s="2" t="s">
        <v>6973</v>
      </c>
      <c r="B998" s="3" t="str">
        <f>C998 &amp; ": " &amp; D998</f>
        <v>view-loads: vw_evaluation_contexts</v>
      </c>
      <c r="C998" s="2" t="s">
        <v>6966</v>
      </c>
      <c r="D998" s="2" t="s">
        <v>6974</v>
      </c>
      <c r="E998" s="2" t="s">
        <v>2413</v>
      </c>
      <c r="F998" s="2"/>
      <c r="G998" s="2" t="s">
        <v>6968</v>
      </c>
      <c r="H998" s="2"/>
      <c r="I998" s="2" t="s">
        <v>5920</v>
      </c>
      <c r="J998" s="2" t="s">
        <v>5933</v>
      </c>
      <c r="K998" s="3" t="b">
        <f>J998 = "blocking"</f>
        <v>1</v>
      </c>
      <c r="L998" s="2" t="s">
        <v>1428</v>
      </c>
      <c r="M998" s="2" t="s">
        <v>6969</v>
      </c>
      <c r="N998" s="4">
        <v>46223.1297337963</v>
      </c>
      <c r="O998" s="3" t="b">
        <f>L998 = "PASS"</f>
        <v>1</v>
      </c>
      <c r="P998" s="3" t="b">
        <f>L998 = "FAIL"</f>
        <v>0</v>
      </c>
      <c r="Q998" s="3" t="b">
        <f>AND(P998, K998)</f>
        <v>0</v>
      </c>
      <c r="R998" s="3" t="str">
        <f>IF(O998, I998, "")</f>
        <v>suite-substrate</v>
      </c>
      <c r="S998" s="3" t="str">
        <f>IF(Q998, I998, "")</f>
      </c>
      <c r="T998" s="2" t="s">
        <v>5935</v>
      </c>
    </row>
    <row r="999">
      <c r="A999" s="2" t="s">
        <v>6975</v>
      </c>
      <c r="B999" s="3" t="str">
        <f>C999 &amp; ": " &amp; D999</f>
        <v>view-loads: vw_organizations</v>
      </c>
      <c r="C999" s="2" t="s">
        <v>6966</v>
      </c>
      <c r="D999" s="2" t="s">
        <v>6976</v>
      </c>
      <c r="E999" s="2" t="s">
        <v>2422</v>
      </c>
      <c r="F999" s="2"/>
      <c r="G999" s="2" t="s">
        <v>6968</v>
      </c>
      <c r="H999" s="2"/>
      <c r="I999" s="2" t="s">
        <v>5920</v>
      </c>
      <c r="J999" s="2" t="s">
        <v>5933</v>
      </c>
      <c r="K999" s="3" t="b">
        <f>J999 = "blocking"</f>
        <v>1</v>
      </c>
      <c r="L999" s="2" t="s">
        <v>1428</v>
      </c>
      <c r="M999" s="2" t="s">
        <v>6977</v>
      </c>
      <c r="N999" s="4">
        <v>46223.1297337963</v>
      </c>
      <c r="O999" s="3" t="b">
        <f>L999 = "PASS"</f>
        <v>1</v>
      </c>
      <c r="P999" s="3" t="b">
        <f>L999 = "FAIL"</f>
        <v>0</v>
      </c>
      <c r="Q999" s="3" t="b">
        <f>AND(P999, K999)</f>
        <v>0</v>
      </c>
      <c r="R999" s="3" t="str">
        <f>IF(O999, I999, "")</f>
        <v>suite-substrate</v>
      </c>
      <c r="S999" s="3" t="str">
        <f>IF(Q999, I999, "")</f>
      </c>
      <c r="T999" s="2" t="s">
        <v>5935</v>
      </c>
    </row>
    <row r="1000">
      <c r="A1000" s="2" t="s">
        <v>6978</v>
      </c>
      <c r="B1000" s="3" t="str">
        <f>C1000 &amp; ": " &amp; D1000</f>
        <v>view-loads: vw_agents</v>
      </c>
      <c r="C1000" s="2" t="s">
        <v>6966</v>
      </c>
      <c r="D1000" s="2" t="s">
        <v>6979</v>
      </c>
      <c r="E1000" s="2" t="s">
        <v>1794</v>
      </c>
      <c r="F1000" s="2"/>
      <c r="G1000" s="2" t="s">
        <v>6968</v>
      </c>
      <c r="H1000" s="2"/>
      <c r="I1000" s="2" t="s">
        <v>5920</v>
      </c>
      <c r="J1000" s="2" t="s">
        <v>5933</v>
      </c>
      <c r="K1000" s="3" t="b">
        <f>J1000 = "blocking"</f>
        <v>1</v>
      </c>
      <c r="L1000" s="2" t="s">
        <v>1428</v>
      </c>
      <c r="M1000" s="2" t="s">
        <v>6980</v>
      </c>
      <c r="N1000" s="4">
        <v>46223.1297337963</v>
      </c>
      <c r="O1000" s="3" t="b">
        <f>L1000 = "PASS"</f>
        <v>1</v>
      </c>
      <c r="P1000" s="3" t="b">
        <f>L1000 = "FAIL"</f>
        <v>0</v>
      </c>
      <c r="Q1000" s="3" t="b">
        <f>AND(P1000, K1000)</f>
        <v>0</v>
      </c>
      <c r="R1000" s="3" t="str">
        <f>IF(O1000, I1000, "")</f>
        <v>suite-substrate</v>
      </c>
      <c r="S1000" s="3" t="str">
        <f>IF(Q1000, I1000, "")</f>
      </c>
      <c r="T1000" s="2" t="s">
        <v>5935</v>
      </c>
    </row>
    <row r="1001">
      <c r="A1001" s="2" t="s">
        <v>6981</v>
      </c>
      <c r="B1001" s="3" t="str">
        <f>C1001 &amp; ": " &amp; D1001</f>
        <v>view-loads: vw_roles</v>
      </c>
      <c r="C1001" s="2" t="s">
        <v>6966</v>
      </c>
      <c r="D1001" s="2" t="s">
        <v>6982</v>
      </c>
      <c r="E1001" s="2" t="s">
        <v>1798</v>
      </c>
      <c r="F1001" s="2"/>
      <c r="G1001" s="2" t="s">
        <v>6968</v>
      </c>
      <c r="H1001" s="2"/>
      <c r="I1001" s="2" t="s">
        <v>5920</v>
      </c>
      <c r="J1001" s="2" t="s">
        <v>5933</v>
      </c>
      <c r="K1001" s="3" t="b">
        <f>J1001 = "blocking"</f>
        <v>1</v>
      </c>
      <c r="L1001" s="2" t="s">
        <v>1428</v>
      </c>
      <c r="M1001" s="2" t="s">
        <v>6983</v>
      </c>
      <c r="N1001" s="4">
        <v>46223.1297337963</v>
      </c>
      <c r="O1001" s="3" t="b">
        <f>L1001 = "PASS"</f>
        <v>1</v>
      </c>
      <c r="P1001" s="3" t="b">
        <f>L1001 = "FAIL"</f>
        <v>0</v>
      </c>
      <c r="Q1001" s="3" t="b">
        <f>AND(P1001, K1001)</f>
        <v>0</v>
      </c>
      <c r="R1001" s="3" t="str">
        <f>IF(O1001, I1001, "")</f>
        <v>suite-substrate</v>
      </c>
      <c r="S1001" s="3" t="str">
        <f>IF(Q1001, I1001, "")</f>
      </c>
      <c r="T1001" s="2" t="s">
        <v>5935</v>
      </c>
    </row>
    <row r="1002">
      <c r="A1002" s="2" t="s">
        <v>6984</v>
      </c>
      <c r="B1002" s="3" t="str">
        <f>C1002 &amp; ": " &amp; D1002</f>
        <v>view-loads: vw_role_assignments</v>
      </c>
      <c r="C1002" s="2" t="s">
        <v>6966</v>
      </c>
      <c r="D1002" s="2" t="s">
        <v>6985</v>
      </c>
      <c r="E1002" s="2" t="s">
        <v>1801</v>
      </c>
      <c r="F1002" s="2"/>
      <c r="G1002" s="2" t="s">
        <v>6968</v>
      </c>
      <c r="H1002" s="2"/>
      <c r="I1002" s="2" t="s">
        <v>5920</v>
      </c>
      <c r="J1002" s="2" t="s">
        <v>5933</v>
      </c>
      <c r="K1002" s="3" t="b">
        <f>J1002 = "blocking"</f>
        <v>1</v>
      </c>
      <c r="L1002" s="2" t="s">
        <v>1428</v>
      </c>
      <c r="M1002" s="2" t="s">
        <v>6986</v>
      </c>
      <c r="N1002" s="4">
        <v>46223.1297337963</v>
      </c>
      <c r="O1002" s="3" t="b">
        <f>L1002 = "PASS"</f>
        <v>1</v>
      </c>
      <c r="P1002" s="3" t="b">
        <f>L1002 = "FAIL"</f>
        <v>0</v>
      </c>
      <c r="Q1002" s="3" t="b">
        <f>AND(P1002, K1002)</f>
        <v>0</v>
      </c>
      <c r="R1002" s="3" t="str">
        <f>IF(O1002, I1002, "")</f>
        <v>suite-substrate</v>
      </c>
      <c r="S1002" s="3" t="str">
        <f>IF(Q1002, I1002, "")</f>
      </c>
      <c r="T1002" s="2" t="s">
        <v>5935</v>
      </c>
    </row>
    <row r="1003">
      <c r="A1003" s="2" t="s">
        <v>6987</v>
      </c>
      <c r="B1003" s="3" t="str">
        <f>C1003 &amp; ": " &amp; D1003</f>
        <v>view-loads: vw_communities_of_practice</v>
      </c>
      <c r="C1003" s="2" t="s">
        <v>6966</v>
      </c>
      <c r="D1003" s="2" t="s">
        <v>6988</v>
      </c>
      <c r="E1003" s="2" t="s">
        <v>2624</v>
      </c>
      <c r="F1003" s="2"/>
      <c r="G1003" s="2" t="s">
        <v>6968</v>
      </c>
      <c r="H1003" s="2"/>
      <c r="I1003" s="2" t="s">
        <v>5920</v>
      </c>
      <c r="J1003" s="2" t="s">
        <v>5933</v>
      </c>
      <c r="K1003" s="3" t="b">
        <f>J1003 = "blocking"</f>
        <v>1</v>
      </c>
      <c r="L1003" s="2" t="s">
        <v>1428</v>
      </c>
      <c r="M1003" s="2" t="s">
        <v>6989</v>
      </c>
      <c r="N1003" s="4">
        <v>46223.1297337963</v>
      </c>
      <c r="O1003" s="3" t="b">
        <f>L1003 = "PASS"</f>
        <v>1</v>
      </c>
      <c r="P1003" s="3" t="b">
        <f>L1003 = "FAIL"</f>
        <v>0</v>
      </c>
      <c r="Q1003" s="3" t="b">
        <f>AND(P1003, K1003)</f>
        <v>0</v>
      </c>
      <c r="R1003" s="3" t="str">
        <f>IF(O1003, I1003, "")</f>
        <v>suite-substrate</v>
      </c>
      <c r="S1003" s="3" t="str">
        <f>IF(Q1003, I1003, "")</f>
      </c>
      <c r="T1003" s="2" t="s">
        <v>5935</v>
      </c>
    </row>
    <row r="1004">
      <c r="A1004" s="2" t="s">
        <v>6990</v>
      </c>
      <c r="B1004" s="3" t="str">
        <f>C1004 &amp; ": " &amp; D1004</f>
        <v>view-loads: vw_mentorships</v>
      </c>
      <c r="C1004" s="2" t="s">
        <v>6966</v>
      </c>
      <c r="D1004" s="2" t="s">
        <v>6991</v>
      </c>
      <c r="E1004" s="2" t="s">
        <v>2633</v>
      </c>
      <c r="F1004" s="2"/>
      <c r="G1004" s="2" t="s">
        <v>6968</v>
      </c>
      <c r="H1004" s="2"/>
      <c r="I1004" s="2" t="s">
        <v>5920</v>
      </c>
      <c r="J1004" s="2" t="s">
        <v>5933</v>
      </c>
      <c r="K1004" s="3" t="b">
        <f>J1004 = "blocking"</f>
        <v>1</v>
      </c>
      <c r="L1004" s="2" t="s">
        <v>1428</v>
      </c>
      <c r="M1004" s="2" t="s">
        <v>6969</v>
      </c>
      <c r="N1004" s="4">
        <v>46223.1297337963</v>
      </c>
      <c r="O1004" s="3" t="b">
        <f>L1004 = "PASS"</f>
        <v>1</v>
      </c>
      <c r="P1004" s="3" t="b">
        <f>L1004 = "FAIL"</f>
        <v>0</v>
      </c>
      <c r="Q1004" s="3" t="b">
        <f>AND(P1004, K1004)</f>
        <v>0</v>
      </c>
      <c r="R1004" s="3" t="str">
        <f>IF(O1004, I1004, "")</f>
        <v>suite-substrate</v>
      </c>
      <c r="S1004" s="3" t="str">
        <f>IF(Q1004, I1004, "")</f>
      </c>
      <c r="T1004" s="2" t="s">
        <v>5935</v>
      </c>
    </row>
    <row r="1005">
      <c r="A1005" s="2" t="s">
        <v>6992</v>
      </c>
      <c r="B1005" s="3" t="str">
        <f>C1005 &amp; ": " &amp; D1005</f>
        <v>view-loads: vw_procedure_types</v>
      </c>
      <c r="C1005" s="2" t="s">
        <v>6966</v>
      </c>
      <c r="D1005" s="2" t="s">
        <v>6993</v>
      </c>
      <c r="E1005" s="2" t="s">
        <v>2645</v>
      </c>
      <c r="F1005" s="2"/>
      <c r="G1005" s="2" t="s">
        <v>6968</v>
      </c>
      <c r="H1005" s="2"/>
      <c r="I1005" s="2" t="s">
        <v>5920</v>
      </c>
      <c r="J1005" s="2" t="s">
        <v>5933</v>
      </c>
      <c r="K1005" s="3" t="b">
        <f>J1005 = "blocking"</f>
        <v>1</v>
      </c>
      <c r="L1005" s="2" t="s">
        <v>1428</v>
      </c>
      <c r="M1005" s="2" t="s">
        <v>6989</v>
      </c>
      <c r="N1005" s="4">
        <v>46223.1297337963</v>
      </c>
      <c r="O1005" s="3" t="b">
        <f>L1005 = "PASS"</f>
        <v>1</v>
      </c>
      <c r="P1005" s="3" t="b">
        <f>L1005 = "FAIL"</f>
        <v>0</v>
      </c>
      <c r="Q1005" s="3" t="b">
        <f>AND(P1005, K1005)</f>
        <v>0</v>
      </c>
      <c r="R1005" s="3" t="str">
        <f>IF(O1005, I1005, "")</f>
        <v>suite-substrate</v>
      </c>
      <c r="S1005" s="3" t="str">
        <f>IF(Q1005, I1005, "")</f>
      </c>
      <c r="T1005" s="2" t="s">
        <v>5935</v>
      </c>
    </row>
    <row r="1006">
      <c r="A1006" s="2" t="s">
        <v>6994</v>
      </c>
      <c r="B1006" s="3" t="str">
        <f>C1006 &amp; ": " &amp; D1006</f>
        <v>view-loads: vw_procedures</v>
      </c>
      <c r="C1006" s="2" t="s">
        <v>6966</v>
      </c>
      <c r="D1006" s="2" t="s">
        <v>6995</v>
      </c>
      <c r="E1006" s="2" t="s">
        <v>1742</v>
      </c>
      <c r="F1006" s="2"/>
      <c r="G1006" s="2" t="s">
        <v>6968</v>
      </c>
      <c r="H1006" s="2"/>
      <c r="I1006" s="2" t="s">
        <v>5920</v>
      </c>
      <c r="J1006" s="2" t="s">
        <v>5933</v>
      </c>
      <c r="K1006" s="3" t="b">
        <f>J1006 = "blocking"</f>
        <v>1</v>
      </c>
      <c r="L1006" s="2" t="s">
        <v>1428</v>
      </c>
      <c r="M1006" s="2" t="s">
        <v>6989</v>
      </c>
      <c r="N1006" s="4">
        <v>46223.1297337963</v>
      </c>
      <c r="O1006" s="3" t="b">
        <f>L1006 = "PASS"</f>
        <v>1</v>
      </c>
      <c r="P1006" s="3" t="b">
        <f>L1006 = "FAIL"</f>
        <v>0</v>
      </c>
      <c r="Q1006" s="3" t="b">
        <f>AND(P1006, K1006)</f>
        <v>0</v>
      </c>
      <c r="R1006" s="3" t="str">
        <f>IF(O1006, I1006, "")</f>
        <v>suite-substrate</v>
      </c>
      <c r="S1006" s="3" t="str">
        <f>IF(Q1006, I1006, "")</f>
      </c>
      <c r="T1006" s="2" t="s">
        <v>5935</v>
      </c>
    </row>
    <row r="1007">
      <c r="A1007" s="2" t="s">
        <v>6996</v>
      </c>
      <c r="B1007" s="3" t="str">
        <f>C1007 &amp; ": " &amp; D1007</f>
        <v>view-loads: vw_procedure_versions</v>
      </c>
      <c r="C1007" s="2" t="s">
        <v>6966</v>
      </c>
      <c r="D1007" s="2" t="s">
        <v>6997</v>
      </c>
      <c r="E1007" s="2" t="s">
        <v>1747</v>
      </c>
      <c r="F1007" s="2"/>
      <c r="G1007" s="2" t="s">
        <v>6968</v>
      </c>
      <c r="H1007" s="2"/>
      <c r="I1007" s="2" t="s">
        <v>5920</v>
      </c>
      <c r="J1007" s="2" t="s">
        <v>5933</v>
      </c>
      <c r="K1007" s="3" t="b">
        <f>J1007 = "blocking"</f>
        <v>1</v>
      </c>
      <c r="L1007" s="2" t="s">
        <v>1428</v>
      </c>
      <c r="M1007" s="2" t="s">
        <v>6998</v>
      </c>
      <c r="N1007" s="4">
        <v>46223.1297337963</v>
      </c>
      <c r="O1007" s="3" t="b">
        <f>L1007 = "PASS"</f>
        <v>1</v>
      </c>
      <c r="P1007" s="3" t="b">
        <f>L1007 = "FAIL"</f>
        <v>0</v>
      </c>
      <c r="Q1007" s="3" t="b">
        <f>AND(P1007, K1007)</f>
        <v>0</v>
      </c>
      <c r="R1007" s="3" t="str">
        <f>IF(O1007, I1007, "")</f>
        <v>suite-substrate</v>
      </c>
      <c r="S1007" s="3" t="str">
        <f>IF(Q1007, I1007, "")</f>
      </c>
      <c r="T1007" s="2" t="s">
        <v>5935</v>
      </c>
    </row>
    <row r="1008">
      <c r="A1008" s="2" t="s">
        <v>6999</v>
      </c>
      <c r="B1008" s="3" t="str">
        <f>C1008 &amp; ": " &amp; D1008</f>
        <v>view-loads: vw_procedure_version_links</v>
      </c>
      <c r="C1008" s="2" t="s">
        <v>6966</v>
      </c>
      <c r="D1008" s="2" t="s">
        <v>7000</v>
      </c>
      <c r="E1008" s="2" t="s">
        <v>2818</v>
      </c>
      <c r="F1008" s="2"/>
      <c r="G1008" s="2" t="s">
        <v>6968</v>
      </c>
      <c r="H1008" s="2"/>
      <c r="I1008" s="2" t="s">
        <v>5920</v>
      </c>
      <c r="J1008" s="2" t="s">
        <v>5933</v>
      </c>
      <c r="K1008" s="3" t="b">
        <f>J1008 = "blocking"</f>
        <v>1</v>
      </c>
      <c r="L1008" s="2" t="s">
        <v>1428</v>
      </c>
      <c r="M1008" s="2" t="s">
        <v>6969</v>
      </c>
      <c r="N1008" s="4">
        <v>46223.1297337963</v>
      </c>
      <c r="O1008" s="3" t="b">
        <f>L1008 = "PASS"</f>
        <v>1</v>
      </c>
      <c r="P1008" s="3" t="b">
        <f>L1008 = "FAIL"</f>
        <v>0</v>
      </c>
      <c r="Q1008" s="3" t="b">
        <f>AND(P1008, K1008)</f>
        <v>0</v>
      </c>
      <c r="R1008" s="3" t="str">
        <f>IF(O1008, I1008, "")</f>
        <v>suite-substrate</v>
      </c>
      <c r="S1008" s="3" t="str">
        <f>IF(Q1008, I1008, "")</f>
      </c>
      <c r="T1008" s="2" t="s">
        <v>5935</v>
      </c>
    </row>
    <row r="1009">
      <c r="A1009" s="2" t="s">
        <v>7001</v>
      </c>
      <c r="B1009" s="3" t="str">
        <f>C1009 &amp; ": " &amp; D1009</f>
        <v>view-loads: vw_procedure_status_changes</v>
      </c>
      <c r="C1009" s="2" t="s">
        <v>6966</v>
      </c>
      <c r="D1009" s="2" t="s">
        <v>7002</v>
      </c>
      <c r="E1009" s="2" t="s">
        <v>1755</v>
      </c>
      <c r="F1009" s="2"/>
      <c r="G1009" s="2" t="s">
        <v>6968</v>
      </c>
      <c r="H1009" s="2"/>
      <c r="I1009" s="2" t="s">
        <v>5920</v>
      </c>
      <c r="J1009" s="2" t="s">
        <v>5933</v>
      </c>
      <c r="K1009" s="3" t="b">
        <f>J1009 = "blocking"</f>
        <v>1</v>
      </c>
      <c r="L1009" s="2" t="s">
        <v>1428</v>
      </c>
      <c r="M1009" s="2" t="s">
        <v>7003</v>
      </c>
      <c r="N1009" s="4">
        <v>46223.1297337963</v>
      </c>
      <c r="O1009" s="3" t="b">
        <f>L1009 = "PASS"</f>
        <v>1</v>
      </c>
      <c r="P1009" s="3" t="b">
        <f>L1009 = "FAIL"</f>
        <v>0</v>
      </c>
      <c r="Q1009" s="3" t="b">
        <f>AND(P1009, K1009)</f>
        <v>0</v>
      </c>
      <c r="R1009" s="3" t="str">
        <f>IF(O1009, I1009, "")</f>
        <v>suite-substrate</v>
      </c>
      <c r="S1009" s="3" t="str">
        <f>IF(Q1009, I1009, "")</f>
      </c>
      <c r="T1009" s="2" t="s">
        <v>5935</v>
      </c>
    </row>
    <row r="1010">
      <c r="A1010" s="2" t="s">
        <v>7004</v>
      </c>
      <c r="B1010" s="3" t="str">
        <f>C1010 &amp; ": " &amp; D1010</f>
        <v>view-loads: vw_steps</v>
      </c>
      <c r="C1010" s="2" t="s">
        <v>6966</v>
      </c>
      <c r="D1010" s="2" t="s">
        <v>7005</v>
      </c>
      <c r="E1010" s="2" t="s">
        <v>1758</v>
      </c>
      <c r="F1010" s="2"/>
      <c r="G1010" s="2" t="s">
        <v>6968</v>
      </c>
      <c r="H1010" s="2"/>
      <c r="I1010" s="2" t="s">
        <v>5920</v>
      </c>
      <c r="J1010" s="2" t="s">
        <v>5933</v>
      </c>
      <c r="K1010" s="3" t="b">
        <f>J1010 = "blocking"</f>
        <v>1</v>
      </c>
      <c r="L1010" s="2" t="s">
        <v>1428</v>
      </c>
      <c r="M1010" s="2" t="s">
        <v>7006</v>
      </c>
      <c r="N1010" s="4">
        <v>46223.1297337963</v>
      </c>
      <c r="O1010" s="3" t="b">
        <f>L1010 = "PASS"</f>
        <v>1</v>
      </c>
      <c r="P1010" s="3" t="b">
        <f>L1010 = "FAIL"</f>
        <v>0</v>
      </c>
      <c r="Q1010" s="3" t="b">
        <f>AND(P1010, K1010)</f>
        <v>0</v>
      </c>
      <c r="R1010" s="3" t="str">
        <f>IF(O1010, I1010, "")</f>
        <v>suite-substrate</v>
      </c>
      <c r="S1010" s="3" t="str">
        <f>IF(Q1010, I1010, "")</f>
      </c>
      <c r="T1010" s="2" t="s">
        <v>5935</v>
      </c>
    </row>
    <row r="1011">
      <c r="A1011" s="2" t="s">
        <v>7007</v>
      </c>
      <c r="B1011" s="3" t="str">
        <f>C1011 &amp; ": " &amp; D1011</f>
        <v>view-loads: vw_step_transitions</v>
      </c>
      <c r="C1011" s="2" t="s">
        <v>6966</v>
      </c>
      <c r="D1011" s="2" t="s">
        <v>7008</v>
      </c>
      <c r="E1011" s="2" t="s">
        <v>1764</v>
      </c>
      <c r="F1011" s="2"/>
      <c r="G1011" s="2" t="s">
        <v>6968</v>
      </c>
      <c r="H1011" s="2"/>
      <c r="I1011" s="2" t="s">
        <v>5920</v>
      </c>
      <c r="J1011" s="2" t="s">
        <v>5933</v>
      </c>
      <c r="K1011" s="3" t="b">
        <f>J1011 = "blocking"</f>
        <v>1</v>
      </c>
      <c r="L1011" s="2" t="s">
        <v>1428</v>
      </c>
      <c r="M1011" s="2" t="s">
        <v>7009</v>
      </c>
      <c r="N1011" s="4">
        <v>46223.1297337963</v>
      </c>
      <c r="O1011" s="3" t="b">
        <f>L1011 = "PASS"</f>
        <v>1</v>
      </c>
      <c r="P1011" s="3" t="b">
        <f>L1011 = "FAIL"</f>
        <v>0</v>
      </c>
      <c r="Q1011" s="3" t="b">
        <f>AND(P1011, K1011)</f>
        <v>0</v>
      </c>
      <c r="R1011" s="3" t="str">
        <f>IF(O1011, I1011, "")</f>
        <v>suite-substrate</v>
      </c>
      <c r="S1011" s="3" t="str">
        <f>IF(Q1011, I1011, "")</f>
      </c>
      <c r="T1011" s="2" t="s">
        <v>5935</v>
      </c>
    </row>
    <row r="1012">
      <c r="A1012" s="2" t="s">
        <v>7010</v>
      </c>
      <c r="B1012" s="3" t="str">
        <f>C1012 &amp; ": " &amp; D1012</f>
        <v>view-loads: vw_actions</v>
      </c>
      <c r="C1012" s="2" t="s">
        <v>6966</v>
      </c>
      <c r="D1012" s="2" t="s">
        <v>7011</v>
      </c>
      <c r="E1012" s="2" t="s">
        <v>1776</v>
      </c>
      <c r="F1012" s="2"/>
      <c r="G1012" s="2" t="s">
        <v>6968</v>
      </c>
      <c r="H1012" s="2"/>
      <c r="I1012" s="2" t="s">
        <v>5920</v>
      </c>
      <c r="J1012" s="2" t="s">
        <v>5933</v>
      </c>
      <c r="K1012" s="3" t="b">
        <f>J1012 = "blocking"</f>
        <v>1</v>
      </c>
      <c r="L1012" s="2" t="s">
        <v>1428</v>
      </c>
      <c r="M1012" s="2" t="s">
        <v>7012</v>
      </c>
      <c r="N1012" s="4">
        <v>46223.1297337963</v>
      </c>
      <c r="O1012" s="3" t="b">
        <f>L1012 = "PASS"</f>
        <v>1</v>
      </c>
      <c r="P1012" s="3" t="b">
        <f>L1012 = "FAIL"</f>
        <v>0</v>
      </c>
      <c r="Q1012" s="3" t="b">
        <f>AND(P1012, K1012)</f>
        <v>0</v>
      </c>
      <c r="R1012" s="3" t="str">
        <f>IF(O1012, I1012, "")</f>
        <v>suite-substrate</v>
      </c>
      <c r="S1012" s="3" t="str">
        <f>IF(Q1012, I1012, "")</f>
      </c>
      <c r="T1012" s="2" t="s">
        <v>5935</v>
      </c>
    </row>
    <row r="1013">
      <c r="A1013" s="2" t="s">
        <v>7013</v>
      </c>
      <c r="B1013" s="3" t="str">
        <f>C1013 &amp; ": " &amp; D1013</f>
        <v>view-loads: vw_functions</v>
      </c>
      <c r="C1013" s="2" t="s">
        <v>6966</v>
      </c>
      <c r="D1013" s="2" t="s">
        <v>7014</v>
      </c>
      <c r="E1013" s="2" t="s">
        <v>1779</v>
      </c>
      <c r="F1013" s="2"/>
      <c r="G1013" s="2" t="s">
        <v>6968</v>
      </c>
      <c r="H1013" s="2"/>
      <c r="I1013" s="2" t="s">
        <v>5920</v>
      </c>
      <c r="J1013" s="2" t="s">
        <v>5933</v>
      </c>
      <c r="K1013" s="3" t="b">
        <f>J1013 = "blocking"</f>
        <v>1</v>
      </c>
      <c r="L1013" s="2" t="s">
        <v>1428</v>
      </c>
      <c r="M1013" s="2" t="s">
        <v>7015</v>
      </c>
      <c r="N1013" s="4">
        <v>46223.1297337963</v>
      </c>
      <c r="O1013" s="3" t="b">
        <f>L1013 = "PASS"</f>
        <v>1</v>
      </c>
      <c r="P1013" s="3" t="b">
        <f>L1013 = "FAIL"</f>
        <v>0</v>
      </c>
      <c r="Q1013" s="3" t="b">
        <f>AND(P1013, K1013)</f>
        <v>0</v>
      </c>
      <c r="R1013" s="3" t="str">
        <f>IF(O1013, I1013, "")</f>
        <v>suite-substrate</v>
      </c>
      <c r="S1013" s="3" t="str">
        <f>IF(Q1013, I1013, "")</f>
      </c>
      <c r="T1013" s="2" t="s">
        <v>5935</v>
      </c>
    </row>
    <row r="1014">
      <c r="A1014" s="2" t="s">
        <v>7016</v>
      </c>
      <c r="B1014" s="3" t="str">
        <f>C1014 &amp; ": " &amp; D1014</f>
        <v>view-loads: vw_tools</v>
      </c>
      <c r="C1014" s="2" t="s">
        <v>6966</v>
      </c>
      <c r="D1014" s="2" t="s">
        <v>7017</v>
      </c>
      <c r="E1014" s="2" t="s">
        <v>1782</v>
      </c>
      <c r="F1014" s="2"/>
      <c r="G1014" s="2" t="s">
        <v>6968</v>
      </c>
      <c r="H1014" s="2"/>
      <c r="I1014" s="2" t="s">
        <v>5920</v>
      </c>
      <c r="J1014" s="2" t="s">
        <v>5933</v>
      </c>
      <c r="K1014" s="3" t="b">
        <f>J1014 = "blocking"</f>
        <v>1</v>
      </c>
      <c r="L1014" s="2" t="s">
        <v>1428</v>
      </c>
      <c r="M1014" s="2" t="s">
        <v>7015</v>
      </c>
      <c r="N1014" s="4">
        <v>46223.1297337963</v>
      </c>
      <c r="O1014" s="3" t="b">
        <f>L1014 = "PASS"</f>
        <v>1</v>
      </c>
      <c r="P1014" s="3" t="b">
        <f>L1014 = "FAIL"</f>
        <v>0</v>
      </c>
      <c r="Q1014" s="3" t="b">
        <f>AND(P1014, K1014)</f>
        <v>0</v>
      </c>
      <c r="R1014" s="3" t="str">
        <f>IF(O1014, I1014, "")</f>
        <v>suite-substrate</v>
      </c>
      <c r="S1014" s="3" t="str">
        <f>IF(Q1014, I1014, "")</f>
      </c>
      <c r="T1014" s="2" t="s">
        <v>5935</v>
      </c>
    </row>
    <row r="1015">
      <c r="A1015" s="2" t="s">
        <v>7018</v>
      </c>
      <c r="B1015" s="3" t="str">
        <f>C1015 &amp; ": " &amp; D1015</f>
        <v>view-loads: vw_step_actions</v>
      </c>
      <c r="C1015" s="2" t="s">
        <v>6966</v>
      </c>
      <c r="D1015" s="2" t="s">
        <v>7019</v>
      </c>
      <c r="E1015" s="2" t="s">
        <v>2962</v>
      </c>
      <c r="F1015" s="2"/>
      <c r="G1015" s="2" t="s">
        <v>6968</v>
      </c>
      <c r="H1015" s="2"/>
      <c r="I1015" s="2" t="s">
        <v>5920</v>
      </c>
      <c r="J1015" s="2" t="s">
        <v>5933</v>
      </c>
      <c r="K1015" s="3" t="b">
        <f>J1015 = "blocking"</f>
        <v>1</v>
      </c>
      <c r="L1015" s="2" t="s">
        <v>1428</v>
      </c>
      <c r="M1015" s="2" t="s">
        <v>7012</v>
      </c>
      <c r="N1015" s="4">
        <v>46223.1297337963</v>
      </c>
      <c r="O1015" s="3" t="b">
        <f>L1015 = "PASS"</f>
        <v>1</v>
      </c>
      <c r="P1015" s="3" t="b">
        <f>L1015 = "FAIL"</f>
        <v>0</v>
      </c>
      <c r="Q1015" s="3" t="b">
        <f>AND(P1015, K1015)</f>
        <v>0</v>
      </c>
      <c r="R1015" s="3" t="str">
        <f>IF(O1015, I1015, "")</f>
        <v>suite-substrate</v>
      </c>
      <c r="S1015" s="3" t="str">
        <f>IF(Q1015, I1015, "")</f>
      </c>
      <c r="T1015" s="2" t="s">
        <v>5935</v>
      </c>
    </row>
    <row r="1016">
      <c r="A1016" s="2" t="s">
        <v>7020</v>
      </c>
      <c r="B1016" s="3" t="str">
        <f>C1016 &amp; ": " &amp; D1016</f>
        <v>view-loads: vw_step_functions</v>
      </c>
      <c r="C1016" s="2" t="s">
        <v>6966</v>
      </c>
      <c r="D1016" s="2" t="s">
        <v>7021</v>
      </c>
      <c r="E1016" s="2" t="s">
        <v>2968</v>
      </c>
      <c r="F1016" s="2"/>
      <c r="G1016" s="2" t="s">
        <v>6968</v>
      </c>
      <c r="H1016" s="2"/>
      <c r="I1016" s="2" t="s">
        <v>5920</v>
      </c>
      <c r="J1016" s="2" t="s">
        <v>5933</v>
      </c>
      <c r="K1016" s="3" t="b">
        <f>J1016 = "blocking"</f>
        <v>1</v>
      </c>
      <c r="L1016" s="2" t="s">
        <v>1428</v>
      </c>
      <c r="M1016" s="2" t="s">
        <v>7015</v>
      </c>
      <c r="N1016" s="4">
        <v>46223.1297337963</v>
      </c>
      <c r="O1016" s="3" t="b">
        <f>L1016 = "PASS"</f>
        <v>1</v>
      </c>
      <c r="P1016" s="3" t="b">
        <f>L1016 = "FAIL"</f>
        <v>0</v>
      </c>
      <c r="Q1016" s="3" t="b">
        <f>AND(P1016, K1016)</f>
        <v>0</v>
      </c>
      <c r="R1016" s="3" t="str">
        <f>IF(O1016, I1016, "")</f>
        <v>suite-substrate</v>
      </c>
      <c r="S1016" s="3" t="str">
        <f>IF(Q1016, I1016, "")</f>
      </c>
      <c r="T1016" s="2" t="s">
        <v>5935</v>
      </c>
    </row>
    <row r="1017">
      <c r="A1017" s="2" t="s">
        <v>7022</v>
      </c>
      <c r="B1017" s="3" t="str">
        <f>C1017 &amp; ": " &amp; D1017</f>
        <v>view-loads: vw_step_tools</v>
      </c>
      <c r="C1017" s="2" t="s">
        <v>6966</v>
      </c>
      <c r="D1017" s="2" t="s">
        <v>7023</v>
      </c>
      <c r="E1017" s="2" t="s">
        <v>2974</v>
      </c>
      <c r="F1017" s="2"/>
      <c r="G1017" s="2" t="s">
        <v>6968</v>
      </c>
      <c r="H1017" s="2"/>
      <c r="I1017" s="2" t="s">
        <v>5920</v>
      </c>
      <c r="J1017" s="2" t="s">
        <v>5933</v>
      </c>
      <c r="K1017" s="3" t="b">
        <f>J1017 = "blocking"</f>
        <v>1</v>
      </c>
      <c r="L1017" s="2" t="s">
        <v>1428</v>
      </c>
      <c r="M1017" s="2" t="s">
        <v>6980</v>
      </c>
      <c r="N1017" s="4">
        <v>46223.1297337963</v>
      </c>
      <c r="O1017" s="3" t="b">
        <f>L1017 = "PASS"</f>
        <v>1</v>
      </c>
      <c r="P1017" s="3" t="b">
        <f>L1017 = "FAIL"</f>
        <v>0</v>
      </c>
      <c r="Q1017" s="3" t="b">
        <f>AND(P1017, K1017)</f>
        <v>0</v>
      </c>
      <c r="R1017" s="3" t="str">
        <f>IF(O1017, I1017, "")</f>
        <v>suite-substrate</v>
      </c>
      <c r="S1017" s="3" t="str">
        <f>IF(Q1017, I1017, "")</f>
      </c>
      <c r="T1017" s="2" t="s">
        <v>5935</v>
      </c>
    </row>
    <row r="1018">
      <c r="A1018" s="2" t="s">
        <v>7024</v>
      </c>
      <c r="B1018" s="3" t="str">
        <f>C1018 &amp; ": " &amp; D1018</f>
        <v>view-loads: vw_requirements</v>
      </c>
      <c r="C1018" s="2" t="s">
        <v>6966</v>
      </c>
      <c r="D1018" s="2" t="s">
        <v>7025</v>
      </c>
      <c r="E1018" s="2" t="s">
        <v>1785</v>
      </c>
      <c r="F1018" s="2"/>
      <c r="G1018" s="2" t="s">
        <v>6968</v>
      </c>
      <c r="H1018" s="2"/>
      <c r="I1018" s="2" t="s">
        <v>5920</v>
      </c>
      <c r="J1018" s="2" t="s">
        <v>5933</v>
      </c>
      <c r="K1018" s="3" t="b">
        <f>J1018 = "blocking"</f>
        <v>1</v>
      </c>
      <c r="L1018" s="2" t="s">
        <v>1428</v>
      </c>
      <c r="M1018" s="2" t="s">
        <v>6986</v>
      </c>
      <c r="N1018" s="4">
        <v>46223.1297337963</v>
      </c>
      <c r="O1018" s="3" t="b">
        <f>L1018 = "PASS"</f>
        <v>1</v>
      </c>
      <c r="P1018" s="3" t="b">
        <f>L1018 = "FAIL"</f>
        <v>0</v>
      </c>
      <c r="Q1018" s="3" t="b">
        <f>AND(P1018, K1018)</f>
        <v>0</v>
      </c>
      <c r="R1018" s="3" t="str">
        <f>IF(O1018, I1018, "")</f>
        <v>suite-substrate</v>
      </c>
      <c r="S1018" s="3" t="str">
        <f>IF(Q1018, I1018, "")</f>
      </c>
      <c r="T1018" s="2" t="s">
        <v>5935</v>
      </c>
    </row>
    <row r="1019">
      <c r="A1019" s="2" t="s">
        <v>7026</v>
      </c>
      <c r="B1019" s="3" t="str">
        <f>C1019 &amp; ": " &amp; D1019</f>
        <v>view-loads: vw_step_requirements</v>
      </c>
      <c r="C1019" s="2" t="s">
        <v>6966</v>
      </c>
      <c r="D1019" s="2" t="s">
        <v>7027</v>
      </c>
      <c r="E1019" s="2" t="s">
        <v>3053</v>
      </c>
      <c r="F1019" s="2"/>
      <c r="G1019" s="2" t="s">
        <v>6968</v>
      </c>
      <c r="H1019" s="2"/>
      <c r="I1019" s="2" t="s">
        <v>5920</v>
      </c>
      <c r="J1019" s="2" t="s">
        <v>5933</v>
      </c>
      <c r="K1019" s="3" t="b">
        <f>J1019 = "blocking"</f>
        <v>1</v>
      </c>
      <c r="L1019" s="2" t="s">
        <v>1428</v>
      </c>
      <c r="M1019" s="2" t="s">
        <v>7028</v>
      </c>
      <c r="N1019" s="4">
        <v>46223.1297337963</v>
      </c>
      <c r="O1019" s="3" t="b">
        <f>L1019 = "PASS"</f>
        <v>1</v>
      </c>
      <c r="P1019" s="3" t="b">
        <f>L1019 = "FAIL"</f>
        <v>0</v>
      </c>
      <c r="Q1019" s="3" t="b">
        <f>AND(P1019, K1019)</f>
        <v>0</v>
      </c>
      <c r="R1019" s="3" t="str">
        <f>IF(O1019, I1019, "")</f>
        <v>suite-substrate</v>
      </c>
      <c r="S1019" s="3" t="str">
        <f>IF(Q1019, I1019, "")</f>
      </c>
      <c r="T1019" s="2" t="s">
        <v>5935</v>
      </c>
    </row>
    <row r="1020">
      <c r="A1020" s="2" t="s">
        <v>7029</v>
      </c>
      <c r="B1020" s="3" t="str">
        <f>C1020 &amp; ": " &amp; D1020</f>
        <v>view-loads: vw_step_verifications</v>
      </c>
      <c r="C1020" s="2" t="s">
        <v>6966</v>
      </c>
      <c r="D1020" s="2" t="s">
        <v>7030</v>
      </c>
      <c r="E1020" s="2" t="s">
        <v>1788</v>
      </c>
      <c r="F1020" s="2"/>
      <c r="G1020" s="2" t="s">
        <v>6968</v>
      </c>
      <c r="H1020" s="2"/>
      <c r="I1020" s="2" t="s">
        <v>5920</v>
      </c>
      <c r="J1020" s="2" t="s">
        <v>5933</v>
      </c>
      <c r="K1020" s="3" t="b">
        <f>J1020 = "blocking"</f>
        <v>1</v>
      </c>
      <c r="L1020" s="2" t="s">
        <v>1428</v>
      </c>
      <c r="M1020" s="2" t="s">
        <v>6972</v>
      </c>
      <c r="N1020" s="4">
        <v>46223.1297337963</v>
      </c>
      <c r="O1020" s="3" t="b">
        <f>L1020 = "PASS"</f>
        <v>1</v>
      </c>
      <c r="P1020" s="3" t="b">
        <f>L1020 = "FAIL"</f>
        <v>0</v>
      </c>
      <c r="Q1020" s="3" t="b">
        <f>AND(P1020, K1020)</f>
        <v>0</v>
      </c>
      <c r="R1020" s="3" t="str">
        <f>IF(O1020, I1020, "")</f>
        <v>suite-substrate</v>
      </c>
      <c r="S1020" s="3" t="str">
        <f>IF(Q1020, I1020, "")</f>
      </c>
      <c r="T1020" s="2" t="s">
        <v>5935</v>
      </c>
    </row>
    <row r="1021">
      <c r="A1021" s="2" t="s">
        <v>7031</v>
      </c>
      <c r="B1021" s="3" t="str">
        <f>C1021 &amp; ": " &amp; D1021</f>
        <v>view-loads: vw_rationales</v>
      </c>
      <c r="C1021" s="2" t="s">
        <v>6966</v>
      </c>
      <c r="D1021" s="2" t="s">
        <v>7032</v>
      </c>
      <c r="E1021" s="2" t="s">
        <v>3085</v>
      </c>
      <c r="F1021" s="2"/>
      <c r="G1021" s="2" t="s">
        <v>6968</v>
      </c>
      <c r="H1021" s="2"/>
      <c r="I1021" s="2" t="s">
        <v>5920</v>
      </c>
      <c r="J1021" s="2" t="s">
        <v>5933</v>
      </c>
      <c r="K1021" s="3" t="b">
        <f>J1021 = "blocking"</f>
        <v>1</v>
      </c>
      <c r="L1021" s="2" t="s">
        <v>1428</v>
      </c>
      <c r="M1021" s="2" t="s">
        <v>6977</v>
      </c>
      <c r="N1021" s="4">
        <v>46223.1297337963</v>
      </c>
      <c r="O1021" s="3" t="b">
        <f>L1021 = "PASS"</f>
        <v>1</v>
      </c>
      <c r="P1021" s="3" t="b">
        <f>L1021 = "FAIL"</f>
        <v>0</v>
      </c>
      <c r="Q1021" s="3" t="b">
        <f>AND(P1021, K1021)</f>
        <v>0</v>
      </c>
      <c r="R1021" s="3" t="str">
        <f>IF(O1021, I1021, "")</f>
        <v>suite-substrate</v>
      </c>
      <c r="S1021" s="3" t="str">
        <f>IF(Q1021, I1021, "")</f>
      </c>
      <c r="T1021" s="2" t="s">
        <v>5935</v>
      </c>
    </row>
    <row r="1022">
      <c r="A1022" s="2" t="s">
        <v>7033</v>
      </c>
      <c r="B1022" s="3" t="str">
        <f>C1022 &amp; ": " &amp; D1022</f>
        <v>view-loads: vw_exceptions</v>
      </c>
      <c r="C1022" s="2" t="s">
        <v>6966</v>
      </c>
      <c r="D1022" s="2" t="s">
        <v>7034</v>
      </c>
      <c r="E1022" s="2" t="s">
        <v>3095</v>
      </c>
      <c r="F1022" s="2"/>
      <c r="G1022" s="2" t="s">
        <v>6968</v>
      </c>
      <c r="H1022" s="2"/>
      <c r="I1022" s="2" t="s">
        <v>5920</v>
      </c>
      <c r="J1022" s="2" t="s">
        <v>5933</v>
      </c>
      <c r="K1022" s="3" t="b">
        <f>J1022 = "blocking"</f>
        <v>1</v>
      </c>
      <c r="L1022" s="2" t="s">
        <v>1428</v>
      </c>
      <c r="M1022" s="2" t="s">
        <v>6977</v>
      </c>
      <c r="N1022" s="4">
        <v>46223.1297337963</v>
      </c>
      <c r="O1022" s="3" t="b">
        <f>L1022 = "PASS"</f>
        <v>1</v>
      </c>
      <c r="P1022" s="3" t="b">
        <f>L1022 = "FAIL"</f>
        <v>0</v>
      </c>
      <c r="Q1022" s="3" t="b">
        <f>AND(P1022, K1022)</f>
        <v>0</v>
      </c>
      <c r="R1022" s="3" t="str">
        <f>IF(O1022, I1022, "")</f>
        <v>suite-substrate</v>
      </c>
      <c r="S1022" s="3" t="str">
        <f>IF(Q1022, I1022, "")</f>
      </c>
      <c r="T1022" s="2" t="s">
        <v>5935</v>
      </c>
    </row>
    <row r="1023">
      <c r="A1023" s="2" t="s">
        <v>7035</v>
      </c>
      <c r="B1023" s="3" t="str">
        <f>C1023 &amp; ": " &amp; D1023</f>
        <v>view-loads: vw_resources</v>
      </c>
      <c r="C1023" s="2" t="s">
        <v>6966</v>
      </c>
      <c r="D1023" s="2" t="s">
        <v>7036</v>
      </c>
      <c r="E1023" s="2" t="s">
        <v>1791</v>
      </c>
      <c r="F1023" s="2"/>
      <c r="G1023" s="2" t="s">
        <v>6968</v>
      </c>
      <c r="H1023" s="2"/>
      <c r="I1023" s="2" t="s">
        <v>5920</v>
      </c>
      <c r="J1023" s="2" t="s">
        <v>5933</v>
      </c>
      <c r="K1023" s="3" t="b">
        <f>J1023 = "blocking"</f>
        <v>1</v>
      </c>
      <c r="L1023" s="2" t="s">
        <v>1428</v>
      </c>
      <c r="M1023" s="2" t="s">
        <v>7015</v>
      </c>
      <c r="N1023" s="4">
        <v>46223.1297337963</v>
      </c>
      <c r="O1023" s="3" t="b">
        <f>L1023 = "PASS"</f>
        <v>1</v>
      </c>
      <c r="P1023" s="3" t="b">
        <f>L1023 = "FAIL"</f>
        <v>0</v>
      </c>
      <c r="Q1023" s="3" t="b">
        <f>AND(P1023, K1023)</f>
        <v>0</v>
      </c>
      <c r="R1023" s="3" t="str">
        <f>IF(O1023, I1023, "")</f>
        <v>suite-substrate</v>
      </c>
      <c r="S1023" s="3" t="str">
        <f>IF(Q1023, I1023, "")</f>
      </c>
      <c r="T1023" s="2" t="s">
        <v>5935</v>
      </c>
    </row>
    <row r="1024">
      <c r="A1024" s="2" t="s">
        <v>7037</v>
      </c>
      <c r="B1024" s="3" t="str">
        <f>C1024 &amp; ": " &amp; D1024</f>
        <v>view-loads: vw_procedure_resources</v>
      </c>
      <c r="C1024" s="2" t="s">
        <v>6966</v>
      </c>
      <c r="D1024" s="2" t="s">
        <v>7038</v>
      </c>
      <c r="E1024" s="2" t="s">
        <v>3121</v>
      </c>
      <c r="F1024" s="2"/>
      <c r="G1024" s="2" t="s">
        <v>6968</v>
      </c>
      <c r="H1024" s="2"/>
      <c r="I1024" s="2" t="s">
        <v>5920</v>
      </c>
      <c r="J1024" s="2" t="s">
        <v>5933</v>
      </c>
      <c r="K1024" s="3" t="b">
        <f>J1024 = "blocking"</f>
        <v>1</v>
      </c>
      <c r="L1024" s="2" t="s">
        <v>1428</v>
      </c>
      <c r="M1024" s="2" t="s">
        <v>7015</v>
      </c>
      <c r="N1024" s="4">
        <v>46223.1297337963</v>
      </c>
      <c r="O1024" s="3" t="b">
        <f>L1024 = "PASS"</f>
        <v>1</v>
      </c>
      <c r="P1024" s="3" t="b">
        <f>L1024 = "FAIL"</f>
        <v>0</v>
      </c>
      <c r="Q1024" s="3" t="b">
        <f>AND(P1024, K1024)</f>
        <v>0</v>
      </c>
      <c r="R1024" s="3" t="str">
        <f>IF(O1024, I1024, "")</f>
        <v>suite-substrate</v>
      </c>
      <c r="S1024" s="3" t="str">
        <f>IF(Q1024, I1024, "")</f>
      </c>
      <c r="T1024" s="2" t="s">
        <v>5935</v>
      </c>
    </row>
    <row r="1025">
      <c r="A1025" s="2" t="s">
        <v>7039</v>
      </c>
      <c r="B1025" s="3" t="str">
        <f>C1025 &amp; ": " &amp; D1025</f>
        <v>view-loads: vw_elicitation_sessions</v>
      </c>
      <c r="C1025" s="2" t="s">
        <v>6966</v>
      </c>
      <c r="D1025" s="2" t="s">
        <v>7040</v>
      </c>
      <c r="E1025" s="2" t="s">
        <v>1835</v>
      </c>
      <c r="F1025" s="2"/>
      <c r="G1025" s="2" t="s">
        <v>6968</v>
      </c>
      <c r="H1025" s="2"/>
      <c r="I1025" s="2" t="s">
        <v>5920</v>
      </c>
      <c r="J1025" s="2" t="s">
        <v>5933</v>
      </c>
      <c r="K1025" s="3" t="b">
        <f>J1025 = "blocking"</f>
        <v>1</v>
      </c>
      <c r="L1025" s="2" t="s">
        <v>1428</v>
      </c>
      <c r="M1025" s="2" t="s">
        <v>6998</v>
      </c>
      <c r="N1025" s="4">
        <v>46223.1297337963</v>
      </c>
      <c r="O1025" s="3" t="b">
        <f>L1025 = "PASS"</f>
        <v>1</v>
      </c>
      <c r="P1025" s="3" t="b">
        <f>L1025 = "FAIL"</f>
        <v>0</v>
      </c>
      <c r="Q1025" s="3" t="b">
        <f>AND(P1025, K1025)</f>
        <v>0</v>
      </c>
      <c r="R1025" s="3" t="str">
        <f>IF(O1025, I1025, "")</f>
        <v>suite-substrate</v>
      </c>
      <c r="S1025" s="3" t="str">
        <f>IF(Q1025, I1025, "")</f>
      </c>
      <c r="T1025" s="2" t="s">
        <v>5935</v>
      </c>
    </row>
    <row r="1026">
      <c r="A1026" s="2" t="s">
        <v>7041</v>
      </c>
      <c r="B1026" s="3" t="str">
        <f>C1026 &amp; ": " &amp; D1026</f>
        <v>view-loads: vw_knowledge_fragments</v>
      </c>
      <c r="C1026" s="2" t="s">
        <v>6966</v>
      </c>
      <c r="D1026" s="2" t="s">
        <v>7042</v>
      </c>
      <c r="E1026" s="2" t="s">
        <v>1831</v>
      </c>
      <c r="F1026" s="2"/>
      <c r="G1026" s="2" t="s">
        <v>6968</v>
      </c>
      <c r="H1026" s="2"/>
      <c r="I1026" s="2" t="s">
        <v>5920</v>
      </c>
      <c r="J1026" s="2" t="s">
        <v>5933</v>
      </c>
      <c r="K1026" s="3" t="b">
        <f>J1026 = "blocking"</f>
        <v>1</v>
      </c>
      <c r="L1026" s="2" t="s">
        <v>1428</v>
      </c>
      <c r="M1026" s="2" t="s">
        <v>7043</v>
      </c>
      <c r="N1026" s="4">
        <v>46223.1297337963</v>
      </c>
      <c r="O1026" s="3" t="b">
        <f>L1026 = "PASS"</f>
        <v>1</v>
      </c>
      <c r="P1026" s="3" t="b">
        <f>L1026 = "FAIL"</f>
        <v>0</v>
      </c>
      <c r="Q1026" s="3" t="b">
        <f>AND(P1026, K1026)</f>
        <v>0</v>
      </c>
      <c r="R1026" s="3" t="str">
        <f>IF(O1026, I1026, "")</f>
        <v>suite-substrate</v>
      </c>
      <c r="S1026" s="3" t="str">
        <f>IF(Q1026, I1026, "")</f>
      </c>
      <c r="T1026" s="2" t="s">
        <v>5935</v>
      </c>
    </row>
    <row r="1027">
      <c r="A1027" s="2" t="s">
        <v>7044</v>
      </c>
      <c r="B1027" s="3" t="str">
        <f>C1027 &amp; ": " &amp; D1027</f>
        <v>view-loads: vw_knowledge_gaps</v>
      </c>
      <c r="C1027" s="2" t="s">
        <v>6966</v>
      </c>
      <c r="D1027" s="2" t="s">
        <v>7045</v>
      </c>
      <c r="E1027" s="2" t="s">
        <v>3302</v>
      </c>
      <c r="F1027" s="2"/>
      <c r="G1027" s="2" t="s">
        <v>6968</v>
      </c>
      <c r="H1027" s="2"/>
      <c r="I1027" s="2" t="s">
        <v>5920</v>
      </c>
      <c r="J1027" s="2" t="s">
        <v>5933</v>
      </c>
      <c r="K1027" s="3" t="b">
        <f>J1027 = "blocking"</f>
        <v>1</v>
      </c>
      <c r="L1027" s="2" t="s">
        <v>1428</v>
      </c>
      <c r="M1027" s="2" t="s">
        <v>7015</v>
      </c>
      <c r="N1027" s="4">
        <v>46223.1297337963</v>
      </c>
      <c r="O1027" s="3" t="b">
        <f>L1027 = "PASS"</f>
        <v>1</v>
      </c>
      <c r="P1027" s="3" t="b">
        <f>L1027 = "FAIL"</f>
        <v>0</v>
      </c>
      <c r="Q1027" s="3" t="b">
        <f>AND(P1027, K1027)</f>
        <v>0</v>
      </c>
      <c r="R1027" s="3" t="str">
        <f>IF(O1027, I1027, "")</f>
        <v>suite-substrate</v>
      </c>
      <c r="S1027" s="3" t="str">
        <f>IF(Q1027, I1027, "")</f>
      </c>
      <c r="T1027" s="2" t="s">
        <v>5935</v>
      </c>
    </row>
    <row r="1028">
      <c r="A1028" s="2" t="s">
        <v>7046</v>
      </c>
      <c r="B1028" s="3" t="str">
        <f>C1028 &amp; ": " &amp; D1028</f>
        <v>view-loads: vw_f_a_qs</v>
      </c>
      <c r="C1028" s="2" t="s">
        <v>6966</v>
      </c>
      <c r="D1028" s="2" t="s">
        <v>7047</v>
      </c>
      <c r="E1028" s="2" t="s">
        <v>1825</v>
      </c>
      <c r="F1028" s="2"/>
      <c r="G1028" s="2" t="s">
        <v>6968</v>
      </c>
      <c r="H1028" s="2"/>
      <c r="I1028" s="2" t="s">
        <v>5920</v>
      </c>
      <c r="J1028" s="2" t="s">
        <v>5933</v>
      </c>
      <c r="K1028" s="3" t="b">
        <f>J1028 = "blocking"</f>
        <v>1</v>
      </c>
      <c r="L1028" s="2" t="s">
        <v>1428</v>
      </c>
      <c r="M1028" s="2" t="s">
        <v>6998</v>
      </c>
      <c r="N1028" s="4">
        <v>46223.1297337963</v>
      </c>
      <c r="O1028" s="3" t="b">
        <f>L1028 = "PASS"</f>
        <v>1</v>
      </c>
      <c r="P1028" s="3" t="b">
        <f>L1028 = "FAIL"</f>
        <v>0</v>
      </c>
      <c r="Q1028" s="3" t="b">
        <f>AND(P1028, K1028)</f>
        <v>0</v>
      </c>
      <c r="R1028" s="3" t="str">
        <f>IF(O1028, I1028, "")</f>
        <v>suite-substrate</v>
      </c>
      <c r="S1028" s="3" t="str">
        <f>IF(Q1028, I1028, "")</f>
      </c>
      <c r="T1028" s="2" t="s">
        <v>5935</v>
      </c>
    </row>
    <row r="1029">
      <c r="A1029" s="2" t="s">
        <v>7048</v>
      </c>
      <c r="B1029" s="3" t="str">
        <f>C1029 &amp; ": " &amp; D1029</f>
        <v>view-loads: vw_explanations</v>
      </c>
      <c r="C1029" s="2" t="s">
        <v>6966</v>
      </c>
      <c r="D1029" s="2" t="s">
        <v>7049</v>
      </c>
      <c r="E1029" s="2" t="s">
        <v>1828</v>
      </c>
      <c r="F1029" s="2"/>
      <c r="G1029" s="2" t="s">
        <v>6968</v>
      </c>
      <c r="H1029" s="2"/>
      <c r="I1029" s="2" t="s">
        <v>5920</v>
      </c>
      <c r="J1029" s="2" t="s">
        <v>5933</v>
      </c>
      <c r="K1029" s="3" t="b">
        <f>J1029 = "blocking"</f>
        <v>1</v>
      </c>
      <c r="L1029" s="2" t="s">
        <v>1428</v>
      </c>
      <c r="M1029" s="2" t="s">
        <v>6989</v>
      </c>
      <c r="N1029" s="4">
        <v>46223.1297337963</v>
      </c>
      <c r="O1029" s="3" t="b">
        <f>L1029 = "PASS"</f>
        <v>1</v>
      </c>
      <c r="P1029" s="3" t="b">
        <f>L1029 = "FAIL"</f>
        <v>0</v>
      </c>
      <c r="Q1029" s="3" t="b">
        <f>AND(P1029, K1029)</f>
        <v>0</v>
      </c>
      <c r="R1029" s="3" t="str">
        <f>IF(O1029, I1029, "")</f>
        <v>suite-substrate</v>
      </c>
      <c r="S1029" s="3" t="str">
        <f>IF(Q1029, I1029, "")</f>
      </c>
      <c r="T1029" s="2" t="s">
        <v>5935</v>
      </c>
    </row>
    <row r="1030">
      <c r="A1030" s="2" t="s">
        <v>7050</v>
      </c>
      <c r="B1030" s="3" t="str">
        <f>C1030 &amp; ": " &amp; D1030</f>
        <v>view-loads: vw_procedure_executions</v>
      </c>
      <c r="C1030" s="2" t="s">
        <v>6966</v>
      </c>
      <c r="D1030" s="2" t="s">
        <v>7051</v>
      </c>
      <c r="E1030" s="2" t="s">
        <v>1804</v>
      </c>
      <c r="F1030" s="2"/>
      <c r="G1030" s="2" t="s">
        <v>6968</v>
      </c>
      <c r="H1030" s="2"/>
      <c r="I1030" s="2" t="s">
        <v>5920</v>
      </c>
      <c r="J1030" s="2" t="s">
        <v>5933</v>
      </c>
      <c r="K1030" s="3" t="b">
        <f>J1030 = "blocking"</f>
        <v>1</v>
      </c>
      <c r="L1030" s="2" t="s">
        <v>1428</v>
      </c>
      <c r="M1030" s="2" t="s">
        <v>6989</v>
      </c>
      <c r="N1030" s="4">
        <v>46223.1297337963</v>
      </c>
      <c r="O1030" s="3" t="b">
        <f>L1030 = "PASS"</f>
        <v>1</v>
      </c>
      <c r="P1030" s="3" t="b">
        <f>L1030 = "FAIL"</f>
        <v>0</v>
      </c>
      <c r="Q1030" s="3" t="b">
        <f>AND(P1030, K1030)</f>
        <v>0</v>
      </c>
      <c r="R1030" s="3" t="str">
        <f>IF(O1030, I1030, "")</f>
        <v>suite-substrate</v>
      </c>
      <c r="S1030" s="3" t="str">
        <f>IF(Q1030, I1030, "")</f>
      </c>
      <c r="T1030" s="2" t="s">
        <v>5935</v>
      </c>
    </row>
    <row r="1031">
      <c r="A1031" s="2" t="s">
        <v>7052</v>
      </c>
      <c r="B1031" s="3" t="str">
        <f>C1031 &amp; ": " &amp; D1031</f>
        <v>view-loads: vw_step_executions</v>
      </c>
      <c r="C1031" s="2" t="s">
        <v>6966</v>
      </c>
      <c r="D1031" s="2" t="s">
        <v>7053</v>
      </c>
      <c r="E1031" s="2" t="s">
        <v>1807</v>
      </c>
      <c r="F1031" s="2"/>
      <c r="G1031" s="2" t="s">
        <v>6968</v>
      </c>
      <c r="H1031" s="2"/>
      <c r="I1031" s="2" t="s">
        <v>5920</v>
      </c>
      <c r="J1031" s="2" t="s">
        <v>5933</v>
      </c>
      <c r="K1031" s="3" t="b">
        <f>J1031 = "blocking"</f>
        <v>1</v>
      </c>
      <c r="L1031" s="2" t="s">
        <v>1428</v>
      </c>
      <c r="M1031" s="2" t="s">
        <v>6983</v>
      </c>
      <c r="N1031" s="4">
        <v>46223.1297337963</v>
      </c>
      <c r="O1031" s="3" t="b">
        <f>L1031 = "PASS"</f>
        <v>1</v>
      </c>
      <c r="P1031" s="3" t="b">
        <f>L1031 = "FAIL"</f>
        <v>0</v>
      </c>
      <c r="Q1031" s="3" t="b">
        <f>AND(P1031, K1031)</f>
        <v>0</v>
      </c>
      <c r="R1031" s="3" t="str">
        <f>IF(O1031, I1031, "")</f>
        <v>suite-substrate</v>
      </c>
      <c r="S1031" s="3" t="str">
        <f>IF(Q1031, I1031, "")</f>
      </c>
      <c r="T1031" s="2" t="s">
        <v>5935</v>
      </c>
    </row>
    <row r="1032">
      <c r="A1032" s="2" t="s">
        <v>7054</v>
      </c>
      <c r="B1032" s="3" t="str">
        <f>C1032 &amp; ": " &amp; D1032</f>
        <v>view-loads: vw_requirement_satisfactions</v>
      </c>
      <c r="C1032" s="2" t="s">
        <v>6966</v>
      </c>
      <c r="D1032" s="2" t="s">
        <v>7055</v>
      </c>
      <c r="E1032" s="2" t="s">
        <v>1810</v>
      </c>
      <c r="F1032" s="2"/>
      <c r="G1032" s="2" t="s">
        <v>6968</v>
      </c>
      <c r="H1032" s="2"/>
      <c r="I1032" s="2" t="s">
        <v>5920</v>
      </c>
      <c r="J1032" s="2" t="s">
        <v>5933</v>
      </c>
      <c r="K1032" s="3" t="b">
        <f>J1032 = "blocking"</f>
        <v>1</v>
      </c>
      <c r="L1032" s="2" t="s">
        <v>1428</v>
      </c>
      <c r="M1032" s="2" t="s">
        <v>7015</v>
      </c>
      <c r="N1032" s="4">
        <v>46223.1297337963</v>
      </c>
      <c r="O1032" s="3" t="b">
        <f>L1032 = "PASS"</f>
        <v>1</v>
      </c>
      <c r="P1032" s="3" t="b">
        <f>L1032 = "FAIL"</f>
        <v>0</v>
      </c>
      <c r="Q1032" s="3" t="b">
        <f>AND(P1032, K1032)</f>
        <v>0</v>
      </c>
      <c r="R1032" s="3" t="str">
        <f>IF(O1032, I1032, "")</f>
        <v>suite-substrate</v>
      </c>
      <c r="S1032" s="3" t="str">
        <f>IF(Q1032, I1032, "")</f>
      </c>
      <c r="T1032" s="2" t="s">
        <v>5935</v>
      </c>
    </row>
    <row r="1033">
      <c r="A1033" s="2" t="s">
        <v>7056</v>
      </c>
      <c r="B1033" s="3" t="str">
        <f>C1033 &amp; ": " &amp; D1033</f>
        <v>view-loads: vw_errors</v>
      </c>
      <c r="C1033" s="2" t="s">
        <v>6966</v>
      </c>
      <c r="D1033" s="2" t="s">
        <v>7057</v>
      </c>
      <c r="E1033" s="2" t="s">
        <v>1813</v>
      </c>
      <c r="F1033" s="2"/>
      <c r="G1033" s="2" t="s">
        <v>6968</v>
      </c>
      <c r="H1033" s="2"/>
      <c r="I1033" s="2" t="s">
        <v>5920</v>
      </c>
      <c r="J1033" s="2" t="s">
        <v>5933</v>
      </c>
      <c r="K1033" s="3" t="b">
        <f>J1033 = "blocking"</f>
        <v>1</v>
      </c>
      <c r="L1033" s="2" t="s">
        <v>1428</v>
      </c>
      <c r="M1033" s="2" t="s">
        <v>6989</v>
      </c>
      <c r="N1033" s="4">
        <v>46223.1297337963</v>
      </c>
      <c r="O1033" s="3" t="b">
        <f>L1033 = "PASS"</f>
        <v>1</v>
      </c>
      <c r="P1033" s="3" t="b">
        <f>L1033 = "FAIL"</f>
        <v>0</v>
      </c>
      <c r="Q1033" s="3" t="b">
        <f>AND(P1033, K1033)</f>
        <v>0</v>
      </c>
      <c r="R1033" s="3" t="str">
        <f>IF(O1033, I1033, "")</f>
        <v>suite-substrate</v>
      </c>
      <c r="S1033" s="3" t="str">
        <f>IF(Q1033, I1033, "")</f>
      </c>
      <c r="T1033" s="2" t="s">
        <v>5935</v>
      </c>
    </row>
    <row r="1034">
      <c r="A1034" s="2" t="s">
        <v>7058</v>
      </c>
      <c r="B1034" s="3" t="str">
        <f>C1034 &amp; ": " &amp; D1034</f>
        <v>view-loads: vw_issue_occurrences</v>
      </c>
      <c r="C1034" s="2" t="s">
        <v>6966</v>
      </c>
      <c r="D1034" s="2" t="s">
        <v>7059</v>
      </c>
      <c r="E1034" s="2" t="s">
        <v>1816</v>
      </c>
      <c r="F1034" s="2"/>
      <c r="G1034" s="2" t="s">
        <v>6968</v>
      </c>
      <c r="H1034" s="2"/>
      <c r="I1034" s="2" t="s">
        <v>5920</v>
      </c>
      <c r="J1034" s="2" t="s">
        <v>5933</v>
      </c>
      <c r="K1034" s="3" t="b">
        <f>J1034 = "blocking"</f>
        <v>1</v>
      </c>
      <c r="L1034" s="2" t="s">
        <v>1428</v>
      </c>
      <c r="M1034" s="2" t="s">
        <v>6989</v>
      </c>
      <c r="N1034" s="4">
        <v>46223.1297337963</v>
      </c>
      <c r="O1034" s="3" t="b">
        <f>L1034 = "PASS"</f>
        <v>1</v>
      </c>
      <c r="P1034" s="3" t="b">
        <f>L1034 = "FAIL"</f>
        <v>0</v>
      </c>
      <c r="Q1034" s="3" t="b">
        <f>AND(P1034, K1034)</f>
        <v>0</v>
      </c>
      <c r="R1034" s="3" t="str">
        <f>IF(O1034, I1034, "")</f>
        <v>suite-substrate</v>
      </c>
      <c r="S1034" s="3" t="str">
        <f>IF(Q1034, I1034, "")</f>
      </c>
      <c r="T1034" s="2" t="s">
        <v>5935</v>
      </c>
    </row>
    <row r="1035">
      <c r="A1035" s="2" t="s">
        <v>7060</v>
      </c>
      <c r="B1035" s="3" t="str">
        <f>C1035 &amp; ": " &amp; D1035</f>
        <v>view-loads: vw_user_questions</v>
      </c>
      <c r="C1035" s="2" t="s">
        <v>6966</v>
      </c>
      <c r="D1035" s="2" t="s">
        <v>7061</v>
      </c>
      <c r="E1035" s="2" t="s">
        <v>1819</v>
      </c>
      <c r="F1035" s="2"/>
      <c r="G1035" s="2" t="s">
        <v>6968</v>
      </c>
      <c r="H1035" s="2"/>
      <c r="I1035" s="2" t="s">
        <v>5920</v>
      </c>
      <c r="J1035" s="2" t="s">
        <v>5933</v>
      </c>
      <c r="K1035" s="3" t="b">
        <f>J1035 = "blocking"</f>
        <v>1</v>
      </c>
      <c r="L1035" s="2" t="s">
        <v>1428</v>
      </c>
      <c r="M1035" s="2" t="s">
        <v>6989</v>
      </c>
      <c r="N1035" s="4">
        <v>46223.1297337963</v>
      </c>
      <c r="O1035" s="3" t="b">
        <f>L1035 = "PASS"</f>
        <v>1</v>
      </c>
      <c r="P1035" s="3" t="b">
        <f>L1035 = "FAIL"</f>
        <v>0</v>
      </c>
      <c r="Q1035" s="3" t="b">
        <f>AND(P1035, K1035)</f>
        <v>0</v>
      </c>
      <c r="R1035" s="3" t="str">
        <f>IF(O1035, I1035, "")</f>
        <v>suite-substrate</v>
      </c>
      <c r="S1035" s="3" t="str">
        <f>IF(Q1035, I1035, "")</f>
      </c>
      <c r="T1035" s="2" t="s">
        <v>5935</v>
      </c>
    </row>
    <row r="1036">
      <c r="A1036" s="2" t="s">
        <v>7062</v>
      </c>
      <c r="B1036" s="3" t="str">
        <f>C1036 &amp; ": " &amp; D1036</f>
        <v>view-loads: vw_user_feedback</v>
      </c>
      <c r="C1036" s="2" t="s">
        <v>6966</v>
      </c>
      <c r="D1036" s="2" t="s">
        <v>7063</v>
      </c>
      <c r="E1036" s="2" t="s">
        <v>1822</v>
      </c>
      <c r="F1036" s="2"/>
      <c r="G1036" s="2" t="s">
        <v>6968</v>
      </c>
      <c r="H1036" s="2"/>
      <c r="I1036" s="2" t="s">
        <v>5920</v>
      </c>
      <c r="J1036" s="2" t="s">
        <v>5933</v>
      </c>
      <c r="K1036" s="3" t="b">
        <f>J1036 = "blocking"</f>
        <v>1</v>
      </c>
      <c r="L1036" s="2" t="s">
        <v>1428</v>
      </c>
      <c r="M1036" s="2" t="s">
        <v>6989</v>
      </c>
      <c r="N1036" s="4">
        <v>46223.1297337963</v>
      </c>
      <c r="O1036" s="3" t="b">
        <f>L1036 = "PASS"</f>
        <v>1</v>
      </c>
      <c r="P1036" s="3" t="b">
        <f>L1036 = "FAIL"</f>
        <v>0</v>
      </c>
      <c r="Q1036" s="3" t="b">
        <f>AND(P1036, K1036)</f>
        <v>0</v>
      </c>
      <c r="R1036" s="3" t="str">
        <f>IF(O1036, I1036, "")</f>
        <v>suite-substrate</v>
      </c>
      <c r="S1036" s="3" t="str">
        <f>IF(Q1036, I1036, "")</f>
      </c>
      <c r="T1036" s="2" t="s">
        <v>5935</v>
      </c>
    </row>
    <row r="1037">
      <c r="A1037" s="2" t="s">
        <v>7064</v>
      </c>
      <c r="B1037" s="3" t="str">
        <f>C1037 &amp; ": " &amp; D1037</f>
        <v>view-loads: vw_stewardship_assignments</v>
      </c>
      <c r="C1037" s="2" t="s">
        <v>6966</v>
      </c>
      <c r="D1037" s="2" t="s">
        <v>7065</v>
      </c>
      <c r="E1037" s="2" t="s">
        <v>1839</v>
      </c>
      <c r="F1037" s="2"/>
      <c r="G1037" s="2" t="s">
        <v>6968</v>
      </c>
      <c r="H1037" s="2"/>
      <c r="I1037" s="2" t="s">
        <v>5920</v>
      </c>
      <c r="J1037" s="2" t="s">
        <v>5933</v>
      </c>
      <c r="K1037" s="3" t="b">
        <f>J1037 = "blocking"</f>
        <v>1</v>
      </c>
      <c r="L1037" s="2" t="s">
        <v>1428</v>
      </c>
      <c r="M1037" s="2" t="s">
        <v>6989</v>
      </c>
      <c r="N1037" s="4">
        <v>46223.1297337963</v>
      </c>
      <c r="O1037" s="3" t="b">
        <f>L1037 = "PASS"</f>
        <v>1</v>
      </c>
      <c r="P1037" s="3" t="b">
        <f>L1037 = "FAIL"</f>
        <v>0</v>
      </c>
      <c r="Q1037" s="3" t="b">
        <f>AND(P1037, K1037)</f>
        <v>0</v>
      </c>
      <c r="R1037" s="3" t="str">
        <f>IF(O1037, I1037, "")</f>
        <v>suite-substrate</v>
      </c>
      <c r="S1037" s="3" t="str">
        <f>IF(Q1037, I1037, "")</f>
      </c>
      <c r="T1037" s="2" t="s">
        <v>5935</v>
      </c>
    </row>
    <row r="1038">
      <c r="A1038" s="2" t="s">
        <v>7066</v>
      </c>
      <c r="B1038" s="3" t="str">
        <f>C1038 &amp; ": " &amp; D1038</f>
        <v>view-loads: vw_change_requests</v>
      </c>
      <c r="C1038" s="2" t="s">
        <v>6966</v>
      </c>
      <c r="D1038" s="2" t="s">
        <v>7067</v>
      </c>
      <c r="E1038" s="2" t="s">
        <v>3848</v>
      </c>
      <c r="F1038" s="2"/>
      <c r="G1038" s="2" t="s">
        <v>6968</v>
      </c>
      <c r="H1038" s="2"/>
      <c r="I1038" s="2" t="s">
        <v>5920</v>
      </c>
      <c r="J1038" s="2" t="s">
        <v>5933</v>
      </c>
      <c r="K1038" s="3" t="b">
        <f>J1038 = "blocking"</f>
        <v>1</v>
      </c>
      <c r="L1038" s="2" t="s">
        <v>1428</v>
      </c>
      <c r="M1038" s="2" t="s">
        <v>6989</v>
      </c>
      <c r="N1038" s="4">
        <v>46223.1297337963</v>
      </c>
      <c r="O1038" s="3" t="b">
        <f>L1038 = "PASS"</f>
        <v>1</v>
      </c>
      <c r="P1038" s="3" t="b">
        <f>L1038 = "FAIL"</f>
        <v>0</v>
      </c>
      <c r="Q1038" s="3" t="b">
        <f>AND(P1038, K1038)</f>
        <v>0</v>
      </c>
      <c r="R1038" s="3" t="str">
        <f>IF(O1038, I1038, "")</f>
        <v>suite-substrate</v>
      </c>
      <c r="S1038" s="3" t="str">
        <f>IF(Q1038, I1038, "")</f>
      </c>
      <c r="T1038" s="2" t="s">
        <v>5935</v>
      </c>
    </row>
    <row r="1039">
      <c r="A1039" s="2" t="s">
        <v>7068</v>
      </c>
      <c r="B1039" s="3" t="str">
        <f>C1039 &amp; ": " &amp; D1039</f>
        <v>view-loads: vw_review_events</v>
      </c>
      <c r="C1039" s="2" t="s">
        <v>6966</v>
      </c>
      <c r="D1039" s="2" t="s">
        <v>7069</v>
      </c>
      <c r="E1039" s="2" t="s">
        <v>3922</v>
      </c>
      <c r="F1039" s="2"/>
      <c r="G1039" s="2" t="s">
        <v>6968</v>
      </c>
      <c r="H1039" s="2"/>
      <c r="I1039" s="2" t="s">
        <v>5920</v>
      </c>
      <c r="J1039" s="2" t="s">
        <v>5933</v>
      </c>
      <c r="K1039" s="3" t="b">
        <f>J1039 = "blocking"</f>
        <v>1</v>
      </c>
      <c r="L1039" s="2" t="s">
        <v>1428</v>
      </c>
      <c r="M1039" s="2" t="s">
        <v>6998</v>
      </c>
      <c r="N1039" s="4">
        <v>46223.1297337963</v>
      </c>
      <c r="O1039" s="3" t="b">
        <f>L1039 = "PASS"</f>
        <v>1</v>
      </c>
      <c r="P1039" s="3" t="b">
        <f>L1039 = "FAIL"</f>
        <v>0</v>
      </c>
      <c r="Q1039" s="3" t="b">
        <f>AND(P1039, K1039)</f>
        <v>0</v>
      </c>
      <c r="R1039" s="3" t="str">
        <f>IF(O1039, I1039, "")</f>
        <v>suite-substrate</v>
      </c>
      <c r="S1039" s="3" t="str">
        <f>IF(Q1039, I1039, "")</f>
      </c>
      <c r="T1039" s="2" t="s">
        <v>5935</v>
      </c>
    </row>
    <row r="1040">
      <c r="A1040" s="2" t="s">
        <v>7070</v>
      </c>
      <c r="B1040" s="3" t="str">
        <f>C1040 &amp; ": " &amp; D1040</f>
        <v>view-loads: vw_learning_activities</v>
      </c>
      <c r="C1040" s="2" t="s">
        <v>6966</v>
      </c>
      <c r="D1040" s="2" t="s">
        <v>7071</v>
      </c>
      <c r="E1040" s="2" t="s">
        <v>3951</v>
      </c>
      <c r="F1040" s="2"/>
      <c r="G1040" s="2" t="s">
        <v>6968</v>
      </c>
      <c r="H1040" s="2"/>
      <c r="I1040" s="2" t="s">
        <v>5920</v>
      </c>
      <c r="J1040" s="2" t="s">
        <v>5933</v>
      </c>
      <c r="K1040" s="3" t="b">
        <f>J1040 = "blocking"</f>
        <v>1</v>
      </c>
      <c r="L1040" s="2" t="s">
        <v>1428</v>
      </c>
      <c r="M1040" s="2" t="s">
        <v>6989</v>
      </c>
      <c r="N1040" s="4">
        <v>46223.1297337963</v>
      </c>
      <c r="O1040" s="3" t="b">
        <f>L1040 = "PASS"</f>
        <v>1</v>
      </c>
      <c r="P1040" s="3" t="b">
        <f>L1040 = "FAIL"</f>
        <v>0</v>
      </c>
      <c r="Q1040" s="3" t="b">
        <f>AND(P1040, K1040)</f>
        <v>0</v>
      </c>
      <c r="R1040" s="3" t="str">
        <f>IF(O1040, I1040, "")</f>
        <v>suite-substrate</v>
      </c>
      <c r="S1040" s="3" t="str">
        <f>IF(Q1040, I1040, "")</f>
      </c>
      <c r="T1040" s="2" t="s">
        <v>5935</v>
      </c>
    </row>
    <row r="1041">
      <c r="A1041" s="2" t="s">
        <v>7072</v>
      </c>
      <c r="B1041" s="3" t="str">
        <f>C1041 &amp; ": " &amp; D1041</f>
        <v>view-loads: vw_operational_bindings</v>
      </c>
      <c r="C1041" s="2" t="s">
        <v>6966</v>
      </c>
      <c r="D1041" s="2" t="s">
        <v>7073</v>
      </c>
      <c r="E1041" s="2" t="s">
        <v>1842</v>
      </c>
      <c r="F1041" s="2"/>
      <c r="G1041" s="2" t="s">
        <v>6968</v>
      </c>
      <c r="H1041" s="2"/>
      <c r="I1041" s="2" t="s">
        <v>5920</v>
      </c>
      <c r="J1041" s="2" t="s">
        <v>5933</v>
      </c>
      <c r="K1041" s="3" t="b">
        <f>J1041 = "blocking"</f>
        <v>1</v>
      </c>
      <c r="L1041" s="2" t="s">
        <v>1428</v>
      </c>
      <c r="M1041" s="2" t="s">
        <v>7003</v>
      </c>
      <c r="N1041" s="4">
        <v>46223.1297337963</v>
      </c>
      <c r="O1041" s="3" t="b">
        <f>L1041 = "PASS"</f>
        <v>1</v>
      </c>
      <c r="P1041" s="3" t="b">
        <f>L1041 = "FAIL"</f>
        <v>0</v>
      </c>
      <c r="Q1041" s="3" t="b">
        <f>AND(P1041, K1041)</f>
        <v>0</v>
      </c>
      <c r="R1041" s="3" t="str">
        <f>IF(O1041, I1041, "")</f>
        <v>suite-substrate</v>
      </c>
      <c r="S1041" s="3" t="str">
        <f>IF(Q1041, I1041, "")</f>
      </c>
      <c r="T1041" s="2" t="s">
        <v>5935</v>
      </c>
    </row>
    <row r="1042">
      <c r="A1042" s="2" t="s">
        <v>7074</v>
      </c>
      <c r="B1042" s="3" t="str">
        <f>C1042 &amp; ": " &amp; D1042</f>
        <v>view-loads: vw_communication_policies</v>
      </c>
      <c r="C1042" s="2" t="s">
        <v>6966</v>
      </c>
      <c r="D1042" s="2" t="s">
        <v>7075</v>
      </c>
      <c r="E1042" s="2" t="s">
        <v>1845</v>
      </c>
      <c r="F1042" s="2"/>
      <c r="G1042" s="2" t="s">
        <v>6968</v>
      </c>
      <c r="H1042" s="2"/>
      <c r="I1042" s="2" t="s">
        <v>5920</v>
      </c>
      <c r="J1042" s="2" t="s">
        <v>5933</v>
      </c>
      <c r="K1042" s="3" t="b">
        <f>J1042 = "blocking"</f>
        <v>1</v>
      </c>
      <c r="L1042" s="2" t="s">
        <v>1428</v>
      </c>
      <c r="M1042" s="2" t="s">
        <v>6989</v>
      </c>
      <c r="N1042" s="4">
        <v>46223.1297337963</v>
      </c>
      <c r="O1042" s="3" t="b">
        <f>L1042 = "PASS"</f>
        <v>1</v>
      </c>
      <c r="P1042" s="3" t="b">
        <f>L1042 = "FAIL"</f>
        <v>0</v>
      </c>
      <c r="Q1042" s="3" t="b">
        <f>AND(P1042, K1042)</f>
        <v>0</v>
      </c>
      <c r="R1042" s="3" t="str">
        <f>IF(O1042, I1042, "")</f>
        <v>suite-substrate</v>
      </c>
      <c r="S1042" s="3" t="str">
        <f>IF(Q1042, I1042, "")</f>
      </c>
      <c r="T1042" s="2" t="s">
        <v>5935</v>
      </c>
    </row>
    <row r="1043">
      <c r="A1043" s="2" t="s">
        <v>7076</v>
      </c>
      <c r="B1043" s="3" t="str">
        <f>C1043 &amp; ": " &amp; D1043</f>
        <v>view-loads: vw_message_templates</v>
      </c>
      <c r="C1043" s="2" t="s">
        <v>6966</v>
      </c>
      <c r="D1043" s="2" t="s">
        <v>7077</v>
      </c>
      <c r="E1043" s="2" t="s">
        <v>4021</v>
      </c>
      <c r="F1043" s="2"/>
      <c r="G1043" s="2" t="s">
        <v>6968</v>
      </c>
      <c r="H1043" s="2"/>
      <c r="I1043" s="2" t="s">
        <v>5920</v>
      </c>
      <c r="J1043" s="2" t="s">
        <v>5933</v>
      </c>
      <c r="K1043" s="3" t="b">
        <f>J1043 = "blocking"</f>
        <v>1</v>
      </c>
      <c r="L1043" s="2" t="s">
        <v>1428</v>
      </c>
      <c r="M1043" s="2" t="s">
        <v>6989</v>
      </c>
      <c r="N1043" s="4">
        <v>46223.1297337963</v>
      </c>
      <c r="O1043" s="3" t="b">
        <f>L1043 = "PASS"</f>
        <v>1</v>
      </c>
      <c r="P1043" s="3" t="b">
        <f>L1043 = "FAIL"</f>
        <v>0</v>
      </c>
      <c r="Q1043" s="3" t="b">
        <f>AND(P1043, K1043)</f>
        <v>0</v>
      </c>
      <c r="R1043" s="3" t="str">
        <f>IF(O1043, I1043, "")</f>
        <v>suite-substrate</v>
      </c>
      <c r="S1043" s="3" t="str">
        <f>IF(Q1043, I1043, "")</f>
      </c>
      <c r="T1043" s="2" t="s">
        <v>5935</v>
      </c>
    </row>
    <row r="1044">
      <c r="A1044" s="2" t="s">
        <v>7078</v>
      </c>
      <c r="B1044" s="3" t="str">
        <f>C1044 &amp; ": " &amp; D1044</f>
        <v>view-loads: vw_semantic_mappings</v>
      </c>
      <c r="C1044" s="2" t="s">
        <v>6966</v>
      </c>
      <c r="D1044" s="2" t="s">
        <v>7079</v>
      </c>
      <c r="E1044" s="2" t="s">
        <v>4064</v>
      </c>
      <c r="F1044" s="2"/>
      <c r="G1044" s="2" t="s">
        <v>6968</v>
      </c>
      <c r="H1044" s="2"/>
      <c r="I1044" s="2" t="s">
        <v>5920</v>
      </c>
      <c r="J1044" s="2" t="s">
        <v>5933</v>
      </c>
      <c r="K1044" s="3" t="b">
        <f>J1044 = "blocking"</f>
        <v>1</v>
      </c>
      <c r="L1044" s="2" t="s">
        <v>1428</v>
      </c>
      <c r="M1044" s="2" t="s">
        <v>7080</v>
      </c>
      <c r="N1044" s="4">
        <v>46223.1297337963</v>
      </c>
      <c r="O1044" s="3" t="b">
        <f>L1044 = "PASS"</f>
        <v>1</v>
      </c>
      <c r="P1044" s="3" t="b">
        <f>L1044 = "FAIL"</f>
        <v>0</v>
      </c>
      <c r="Q1044" s="3" t="b">
        <f>AND(P1044, K1044)</f>
        <v>0</v>
      </c>
      <c r="R1044" s="3" t="str">
        <f>IF(O1044, I1044, "")</f>
        <v>suite-substrate</v>
      </c>
      <c r="S1044" s="3" t="str">
        <f>IF(Q1044, I1044, "")</f>
      </c>
      <c r="T1044" s="2" t="s">
        <v>5935</v>
      </c>
    </row>
    <row r="1045">
      <c r="A1045" s="2" t="s">
        <v>7081</v>
      </c>
      <c r="B1045" s="3" t="str">
        <f>C1045 &amp; ": " &amp; D1045</f>
        <v>view-loads: vw_witness_loops</v>
      </c>
      <c r="C1045" s="2" t="s">
        <v>6966</v>
      </c>
      <c r="D1045" s="2" t="s">
        <v>7082</v>
      </c>
      <c r="E1045" s="2" t="s">
        <v>4074</v>
      </c>
      <c r="F1045" s="2"/>
      <c r="G1045" s="2" t="s">
        <v>6968</v>
      </c>
      <c r="H1045" s="2"/>
      <c r="I1045" s="2" t="s">
        <v>5920</v>
      </c>
      <c r="J1045" s="2" t="s">
        <v>5933</v>
      </c>
      <c r="K1045" s="3" t="b">
        <f>J1045 = "blocking"</f>
        <v>1</v>
      </c>
      <c r="L1045" s="2" t="s">
        <v>1428</v>
      </c>
      <c r="M1045" s="2" t="s">
        <v>6989</v>
      </c>
      <c r="N1045" s="4">
        <v>46223.1297337963</v>
      </c>
      <c r="O1045" s="3" t="b">
        <f>L1045 = "PASS"</f>
        <v>1</v>
      </c>
      <c r="P1045" s="3" t="b">
        <f>L1045 = "FAIL"</f>
        <v>0</v>
      </c>
      <c r="Q1045" s="3" t="b">
        <f>AND(P1045, K1045)</f>
        <v>0</v>
      </c>
      <c r="R1045" s="3" t="str">
        <f>IF(O1045, I1045, "")</f>
        <v>suite-substrate</v>
      </c>
      <c r="S1045" s="3" t="str">
        <f>IF(Q1045, I1045, "")</f>
      </c>
      <c r="T1045" s="2" t="s">
        <v>5935</v>
      </c>
    </row>
    <row r="1046">
      <c r="A1046" s="2" t="s">
        <v>7083</v>
      </c>
      <c r="B1046" s="3" t="str">
        <f>C1046 &amp; ": " &amp; D1046</f>
        <v>view-loads: vw_role_questions</v>
      </c>
      <c r="C1046" s="2" t="s">
        <v>6966</v>
      </c>
      <c r="D1046" s="2" t="s">
        <v>7084</v>
      </c>
      <c r="E1046" s="2" t="s">
        <v>4091</v>
      </c>
      <c r="F1046" s="2"/>
      <c r="G1046" s="2" t="s">
        <v>6968</v>
      </c>
      <c r="H1046" s="2"/>
      <c r="I1046" s="2" t="s">
        <v>5920</v>
      </c>
      <c r="J1046" s="2" t="s">
        <v>5933</v>
      </c>
      <c r="K1046" s="3" t="b">
        <f>J1046 = "blocking"</f>
        <v>1</v>
      </c>
      <c r="L1046" s="2" t="s">
        <v>1428</v>
      </c>
      <c r="M1046" s="2" t="s">
        <v>7085</v>
      </c>
      <c r="N1046" s="4">
        <v>46223.1297337963</v>
      </c>
      <c r="O1046" s="3" t="b">
        <f>L1046 = "PASS"</f>
        <v>1</v>
      </c>
      <c r="P1046" s="3" t="b">
        <f>L1046 = "FAIL"</f>
        <v>0</v>
      </c>
      <c r="Q1046" s="3" t="b">
        <f>AND(P1046, K1046)</f>
        <v>0</v>
      </c>
      <c r="R1046" s="3" t="str">
        <f>IF(O1046, I1046, "")</f>
        <v>suite-substrate</v>
      </c>
      <c r="S1046" s="3" t="str">
        <f>IF(Q1046, I1046, "")</f>
      </c>
      <c r="T1046" s="2" t="s">
        <v>5935</v>
      </c>
    </row>
    <row r="1047">
      <c r="A1047" s="2" t="s">
        <v>7086</v>
      </c>
      <c r="B1047" s="3" t="str">
        <f>C1047 &amp; ": " &amp; D1047</f>
        <v>view-loads: vw_rulebook_fields</v>
      </c>
      <c r="C1047" s="2" t="s">
        <v>6966</v>
      </c>
      <c r="D1047" s="2" t="s">
        <v>7087</v>
      </c>
      <c r="E1047" s="2" t="s">
        <v>4106</v>
      </c>
      <c r="F1047" s="2"/>
      <c r="G1047" s="2" t="s">
        <v>6968</v>
      </c>
      <c r="H1047" s="2"/>
      <c r="I1047" s="2" t="s">
        <v>5920</v>
      </c>
      <c r="J1047" s="2" t="s">
        <v>5933</v>
      </c>
      <c r="K1047" s="3" t="b">
        <f>J1047 = "blocking"</f>
        <v>1</v>
      </c>
      <c r="L1047" s="2" t="s">
        <v>1428</v>
      </c>
      <c r="M1047" s="2" t="s">
        <v>7088</v>
      </c>
      <c r="N1047" s="4">
        <v>46223.1297337963</v>
      </c>
      <c r="O1047" s="3" t="b">
        <f>L1047 = "PASS"</f>
        <v>1</v>
      </c>
      <c r="P1047" s="3" t="b">
        <f>L1047 = "FAIL"</f>
        <v>0</v>
      </c>
      <c r="Q1047" s="3" t="b">
        <f>AND(P1047, K1047)</f>
        <v>0</v>
      </c>
      <c r="R1047" s="3" t="str">
        <f>IF(O1047, I1047, "")</f>
        <v>suite-substrate</v>
      </c>
      <c r="S1047" s="3" t="str">
        <f>IF(Q1047, I1047, "")</f>
      </c>
      <c r="T1047" s="2" t="s">
        <v>5935</v>
      </c>
    </row>
    <row r="1048">
      <c r="A1048" s="2" t="s">
        <v>7089</v>
      </c>
      <c r="B1048" s="3" t="str">
        <f>C1048 &amp; ": " &amp; D1048</f>
        <v>view-loads: vw_test_suites</v>
      </c>
      <c r="C1048" s="2" t="s">
        <v>6966</v>
      </c>
      <c r="D1048" s="2" t="s">
        <v>7090</v>
      </c>
      <c r="E1048" s="2" t="s">
        <v>4125</v>
      </c>
      <c r="F1048" s="2"/>
      <c r="G1048" s="2" t="s">
        <v>6968</v>
      </c>
      <c r="H1048" s="2"/>
      <c r="I1048" s="2" t="s">
        <v>5920</v>
      </c>
      <c r="J1048" s="2" t="s">
        <v>5933</v>
      </c>
      <c r="K1048" s="3" t="b">
        <f>J1048 = "blocking"</f>
        <v>1</v>
      </c>
      <c r="L1048" s="2" t="s">
        <v>1428</v>
      </c>
      <c r="M1048" s="2" t="s">
        <v>7091</v>
      </c>
      <c r="N1048" s="4">
        <v>46223.1297337963</v>
      </c>
      <c r="O1048" s="3" t="b">
        <f>L1048 = "PASS"</f>
        <v>1</v>
      </c>
      <c r="P1048" s="3" t="b">
        <f>L1048 = "FAIL"</f>
        <v>0</v>
      </c>
      <c r="Q1048" s="3" t="b">
        <f>AND(P1048, K1048)</f>
        <v>0</v>
      </c>
      <c r="R1048" s="3" t="str">
        <f>IF(O1048, I1048, "")</f>
        <v>suite-substrate</v>
      </c>
      <c r="S1048" s="3" t="str">
        <f>IF(Q1048, I1048, "")</f>
      </c>
      <c r="T1048" s="2" t="s">
        <v>5935</v>
      </c>
    </row>
    <row r="1049">
      <c r="A1049" s="2" t="s">
        <v>7092</v>
      </c>
      <c r="B1049" s="3" t="str">
        <f>C1049 &amp; ": " &amp; D1049</f>
        <v>view-loads: vw_test_cases</v>
      </c>
      <c r="C1049" s="2" t="s">
        <v>6966</v>
      </c>
      <c r="D1049" s="2" t="s">
        <v>7093</v>
      </c>
      <c r="E1049" s="2" t="s">
        <v>4143</v>
      </c>
      <c r="F1049" s="2"/>
      <c r="G1049" s="2" t="s">
        <v>6968</v>
      </c>
      <c r="H1049" s="2"/>
      <c r="I1049" s="2" t="s">
        <v>5920</v>
      </c>
      <c r="J1049" s="2" t="s">
        <v>5933</v>
      </c>
      <c r="K1049" s="3" t="b">
        <f>J1049 = "blocking"</f>
        <v>1</v>
      </c>
      <c r="L1049" s="2" t="s">
        <v>1428</v>
      </c>
      <c r="M1049" s="2" t="s">
        <v>7094</v>
      </c>
      <c r="N1049" s="4">
        <v>46223.1297337963</v>
      </c>
      <c r="O1049" s="3" t="b">
        <f>L1049 = "PASS"</f>
        <v>1</v>
      </c>
      <c r="P1049" s="3" t="b">
        <f>L1049 = "FAIL"</f>
        <v>0</v>
      </c>
      <c r="Q1049" s="3" t="b">
        <f>AND(P1049, K1049)</f>
        <v>0</v>
      </c>
      <c r="R1049" s="3" t="str">
        <f>IF(O1049, I1049, "")</f>
        <v>suite-substrate</v>
      </c>
      <c r="S1049" s="3" t="str">
        <f>IF(Q1049, I1049, "")</f>
      </c>
      <c r="T1049" s="2" t="s">
        <v>5935</v>
      </c>
    </row>
    <row r="1050">
      <c r="A1050" s="2" t="s">
        <v>7095</v>
      </c>
      <c r="B1050" s="3" t="str">
        <f>C1050 &amp; ": " &amp; D1050</f>
        <v>view-loads: vw_e_r_b_versions</v>
      </c>
      <c r="C1050" s="2" t="s">
        <v>6966</v>
      </c>
      <c r="D1050" s="2" t="s">
        <v>7096</v>
      </c>
      <c r="E1050" s="2" t="s">
        <v>4186</v>
      </c>
      <c r="F1050" s="2"/>
      <c r="G1050" s="2" t="s">
        <v>6968</v>
      </c>
      <c r="H1050" s="2"/>
      <c r="I1050" s="2" t="s">
        <v>5920</v>
      </c>
      <c r="J1050" s="2" t="s">
        <v>5933</v>
      </c>
      <c r="K1050" s="3" t="b">
        <f>J1050 = "blocking"</f>
        <v>1</v>
      </c>
      <c r="L1050" s="2" t="s">
        <v>7097</v>
      </c>
      <c r="M1050" s="2" t="s">
        <v>7098</v>
      </c>
      <c r="N1050" s="4">
        <v>46223.1297337963</v>
      </c>
      <c r="O1050" s="3" t="b">
        <f>L1050 = "PASS"</f>
        <v>0</v>
      </c>
      <c r="P1050" s="3" t="b">
        <f>L1050 = "FAIL"</f>
        <v>0</v>
      </c>
      <c r="Q1050" s="3" t="b">
        <f>AND(P1050, K1050)</f>
        <v>0</v>
      </c>
      <c r="R1050" s="3" t="str">
        <f>IF(O1050, I1050, "")</f>
      </c>
      <c r="S1050" s="3" t="str">
        <f>IF(Q1050, I1050, "")</f>
      </c>
      <c r="T1050" s="2" t="s">
        <v>5935</v>
      </c>
    </row>
    <row r="1051">
      <c r="A1051" s="2" t="s">
        <v>7099</v>
      </c>
      <c r="B1051" s="3" t="str">
        <f>C1051 &amp; ": " &amp; D1051</f>
        <v>view-loads: vw_e_r_b_customizations</v>
      </c>
      <c r="C1051" s="2" t="s">
        <v>6966</v>
      </c>
      <c r="D1051" s="2" t="s">
        <v>7100</v>
      </c>
      <c r="E1051" s="2" t="s">
        <v>4199</v>
      </c>
      <c r="F1051" s="2"/>
      <c r="G1051" s="2" t="s">
        <v>6968</v>
      </c>
      <c r="H1051" s="2"/>
      <c r="I1051" s="2" t="s">
        <v>5920</v>
      </c>
      <c r="J1051" s="2" t="s">
        <v>5933</v>
      </c>
      <c r="K1051" s="3" t="b">
        <f>J1051 = "blocking"</f>
        <v>1</v>
      </c>
      <c r="L1051" s="2" t="s">
        <v>7097</v>
      </c>
      <c r="M1051" s="2" t="s">
        <v>7098</v>
      </c>
      <c r="N1051" s="4">
        <v>46223.1297337963</v>
      </c>
      <c r="O1051" s="3" t="b">
        <f>L1051 = "PASS"</f>
        <v>0</v>
      </c>
      <c r="P1051" s="3" t="b">
        <f>L1051 = "FAIL"</f>
        <v>0</v>
      </c>
      <c r="Q1051" s="3" t="b">
        <f>AND(P1051, K1051)</f>
        <v>0</v>
      </c>
      <c r="R1051" s="3" t="str">
        <f>IF(O1051, I1051, "")</f>
      </c>
      <c r="S1051" s="3" t="str">
        <f>IF(Q1051, I1051, "")</f>
      </c>
      <c r="T1051" s="2" t="s">
        <v>5935</v>
      </c>
    </row>
    <row r="1052">
      <c r="A1052" s="2" t="s">
        <v>7101</v>
      </c>
      <c r="B1052" s="3" t="str">
        <f>C1052 &amp; ": " &amp; D1052</f>
        <v>view-loads: vw_exception_invocations</v>
      </c>
      <c r="C1052" s="2" t="s">
        <v>6966</v>
      </c>
      <c r="D1052" s="2" t="s">
        <v>7102</v>
      </c>
      <c r="E1052" s="2" t="s">
        <v>4221</v>
      </c>
      <c r="F1052" s="2"/>
      <c r="G1052" s="2" t="s">
        <v>6968</v>
      </c>
      <c r="H1052" s="2"/>
      <c r="I1052" s="2" t="s">
        <v>5920</v>
      </c>
      <c r="J1052" s="2" t="s">
        <v>5933</v>
      </c>
      <c r="K1052" s="3" t="b">
        <f>J1052 = "blocking"</f>
        <v>1</v>
      </c>
      <c r="L1052" s="2" t="s">
        <v>1428</v>
      </c>
      <c r="M1052" s="2" t="s">
        <v>6969</v>
      </c>
      <c r="N1052" s="4">
        <v>46223.1297337963</v>
      </c>
      <c r="O1052" s="3" t="b">
        <f>L1052 = "PASS"</f>
        <v>1</v>
      </c>
      <c r="P1052" s="3" t="b">
        <f>L1052 = "FAIL"</f>
        <v>0</v>
      </c>
      <c r="Q1052" s="3" t="b">
        <f>AND(P1052, K1052)</f>
        <v>0</v>
      </c>
      <c r="R1052" s="3" t="str">
        <f>IF(O1052, I1052, "")</f>
        <v>suite-substrate</v>
      </c>
      <c r="S1052" s="3" t="str">
        <f>IF(Q1052, I1052, "")</f>
      </c>
      <c r="T1052" s="2" t="s">
        <v>5935</v>
      </c>
    </row>
    <row r="1053">
      <c r="A1053" s="2" t="s">
        <v>7103</v>
      </c>
      <c r="B1053" s="3" t="str">
        <f>C1053 &amp; ": " &amp; D1053</f>
        <v>view-loads: vw_verification_outcomes</v>
      </c>
      <c r="C1053" s="2" t="s">
        <v>6966</v>
      </c>
      <c r="D1053" s="2" t="s">
        <v>7104</v>
      </c>
      <c r="E1053" s="2" t="s">
        <v>4271</v>
      </c>
      <c r="F1053" s="2"/>
      <c r="G1053" s="2" t="s">
        <v>6968</v>
      </c>
      <c r="H1053" s="2"/>
      <c r="I1053" s="2" t="s">
        <v>5920</v>
      </c>
      <c r="J1053" s="2" t="s">
        <v>5933</v>
      </c>
      <c r="K1053" s="3" t="b">
        <f>J1053 = "blocking"</f>
        <v>1</v>
      </c>
      <c r="L1053" s="2" t="s">
        <v>1428</v>
      </c>
      <c r="M1053" s="2" t="s">
        <v>6977</v>
      </c>
      <c r="N1053" s="4">
        <v>46223.1297337963</v>
      </c>
      <c r="O1053" s="3" t="b">
        <f>L1053 = "PASS"</f>
        <v>1</v>
      </c>
      <c r="P1053" s="3" t="b">
        <f>L1053 = "FAIL"</f>
        <v>0</v>
      </c>
      <c r="Q1053" s="3" t="b">
        <f>AND(P1053, K1053)</f>
        <v>0</v>
      </c>
      <c r="R1053" s="3" t="str">
        <f>IF(O1053, I1053, "")</f>
        <v>suite-substrate</v>
      </c>
      <c r="S1053" s="3" t="str">
        <f>IF(Q1053, I1053, "")</f>
      </c>
      <c r="T1053" s="2" t="s">
        <v>5935</v>
      </c>
    </row>
    <row r="1054">
      <c r="A1054" s="2" t="s">
        <v>7105</v>
      </c>
      <c r="B1054" s="3" t="str">
        <f>C1054 &amp; ": " &amp; D1054</f>
        <v>view-loads: vw_observed_transitions</v>
      </c>
      <c r="C1054" s="2" t="s">
        <v>6966</v>
      </c>
      <c r="D1054" s="2" t="s">
        <v>7106</v>
      </c>
      <c r="E1054" s="2" t="s">
        <v>4332</v>
      </c>
      <c r="F1054" s="2"/>
      <c r="G1054" s="2" t="s">
        <v>6968</v>
      </c>
      <c r="H1054" s="2"/>
      <c r="I1054" s="2" t="s">
        <v>5920</v>
      </c>
      <c r="J1054" s="2" t="s">
        <v>5933</v>
      </c>
      <c r="K1054" s="3" t="b">
        <f>J1054 = "blocking"</f>
        <v>1</v>
      </c>
      <c r="L1054" s="2" t="s">
        <v>1428</v>
      </c>
      <c r="M1054" s="2" t="s">
        <v>6980</v>
      </c>
      <c r="N1054" s="4">
        <v>46223.1297337963</v>
      </c>
      <c r="O1054" s="3" t="b">
        <f>L1054 = "PASS"</f>
        <v>1</v>
      </c>
      <c r="P1054" s="3" t="b">
        <f>L1054 = "FAIL"</f>
        <v>0</v>
      </c>
      <c r="Q1054" s="3" t="b">
        <f>AND(P1054, K1054)</f>
        <v>0</v>
      </c>
      <c r="R1054" s="3" t="str">
        <f>IF(O1054, I1054, "")</f>
        <v>suite-substrate</v>
      </c>
      <c r="S1054" s="3" t="str">
        <f>IF(Q1054, I1054, "")</f>
      </c>
      <c r="T1054" s="2" t="s">
        <v>5935</v>
      </c>
    </row>
    <row r="1055">
      <c r="A1055" s="2" t="s">
        <v>7107</v>
      </c>
      <c r="B1055" s="3" t="str">
        <f>C1055 &amp; ": " &amp; D1055</f>
        <v>view-loads: vw_recipients</v>
      </c>
      <c r="C1055" s="2" t="s">
        <v>6966</v>
      </c>
      <c r="D1055" s="2" t="s">
        <v>7108</v>
      </c>
      <c r="E1055" s="2" t="s">
        <v>4346</v>
      </c>
      <c r="F1055" s="2"/>
      <c r="G1055" s="2" t="s">
        <v>6968</v>
      </c>
      <c r="H1055" s="2"/>
      <c r="I1055" s="2" t="s">
        <v>5920</v>
      </c>
      <c r="J1055" s="2" t="s">
        <v>5933</v>
      </c>
      <c r="K1055" s="3" t="b">
        <f>J1055 = "blocking"</f>
        <v>1</v>
      </c>
      <c r="L1055" s="2" t="s">
        <v>1428</v>
      </c>
      <c r="M1055" s="2" t="s">
        <v>7003</v>
      </c>
      <c r="N1055" s="4">
        <v>46223.1297337963</v>
      </c>
      <c r="O1055" s="3" t="b">
        <f>L1055 = "PASS"</f>
        <v>1</v>
      </c>
      <c r="P1055" s="3" t="b">
        <f>L1055 = "FAIL"</f>
        <v>0</v>
      </c>
      <c r="Q1055" s="3" t="b">
        <f>AND(P1055, K1055)</f>
        <v>0</v>
      </c>
      <c r="R1055" s="3" t="str">
        <f>IF(O1055, I1055, "")</f>
        <v>suite-substrate</v>
      </c>
      <c r="S1055" s="3" t="str">
        <f>IF(Q1055, I1055, "")</f>
      </c>
      <c r="T1055" s="2" t="s">
        <v>5935</v>
      </c>
    </row>
    <row r="1056">
      <c r="A1056" s="2" t="s">
        <v>7109</v>
      </c>
      <c r="B1056" s="3" t="str">
        <f>C1056 &amp; ": " &amp; D1056</f>
        <v>view-loads: vw_message_deliveries</v>
      </c>
      <c r="C1056" s="2" t="s">
        <v>6966</v>
      </c>
      <c r="D1056" s="2" t="s">
        <v>7110</v>
      </c>
      <c r="E1056" s="2" t="s">
        <v>4378</v>
      </c>
      <c r="F1056" s="2"/>
      <c r="G1056" s="2" t="s">
        <v>6968</v>
      </c>
      <c r="H1056" s="2"/>
      <c r="I1056" s="2" t="s">
        <v>5920</v>
      </c>
      <c r="J1056" s="2" t="s">
        <v>5933</v>
      </c>
      <c r="K1056" s="3" t="b">
        <f>J1056 = "blocking"</f>
        <v>1</v>
      </c>
      <c r="L1056" s="2" t="s">
        <v>1428</v>
      </c>
      <c r="M1056" s="2" t="s">
        <v>7091</v>
      </c>
      <c r="N1056" s="4">
        <v>46223.1297337963</v>
      </c>
      <c r="O1056" s="3" t="b">
        <f>L1056 = "PASS"</f>
        <v>1</v>
      </c>
      <c r="P1056" s="3" t="b">
        <f>L1056 = "FAIL"</f>
        <v>0</v>
      </c>
      <c r="Q1056" s="3" t="b">
        <f>AND(P1056, K1056)</f>
        <v>0</v>
      </c>
      <c r="R1056" s="3" t="str">
        <f>IF(O1056, I1056, "")</f>
        <v>suite-substrate</v>
      </c>
      <c r="S1056" s="3" t="str">
        <f>IF(Q1056, I1056, "")</f>
      </c>
      <c r="T1056" s="2" t="s">
        <v>5935</v>
      </c>
    </row>
    <row r="1057">
      <c r="A1057" s="2" t="s">
        <v>7111</v>
      </c>
      <c r="B1057" s="3" t="str">
        <f>C1057 &amp; ": " &amp; D1057</f>
        <v>view-loads: vw_template_approvals</v>
      </c>
      <c r="C1057" s="2" t="s">
        <v>6966</v>
      </c>
      <c r="D1057" s="2" t="s">
        <v>7112</v>
      </c>
      <c r="E1057" s="2" t="s">
        <v>4632</v>
      </c>
      <c r="F1057" s="2"/>
      <c r="G1057" s="2" t="s">
        <v>6968</v>
      </c>
      <c r="H1057" s="2"/>
      <c r="I1057" s="2" t="s">
        <v>5920</v>
      </c>
      <c r="J1057" s="2" t="s">
        <v>5933</v>
      </c>
      <c r="K1057" s="3" t="b">
        <f>J1057 = "blocking"</f>
        <v>1</v>
      </c>
      <c r="L1057" s="2" t="s">
        <v>1428</v>
      </c>
      <c r="M1057" s="2" t="s">
        <v>6989</v>
      </c>
      <c r="N1057" s="4">
        <v>46223.1297337963</v>
      </c>
      <c r="O1057" s="3" t="b">
        <f>L1057 = "PASS"</f>
        <v>1</v>
      </c>
      <c r="P1057" s="3" t="b">
        <f>L1057 = "FAIL"</f>
        <v>0</v>
      </c>
      <c r="Q1057" s="3" t="b">
        <f>AND(P1057, K1057)</f>
        <v>0</v>
      </c>
      <c r="R1057" s="3" t="str">
        <f>IF(O1057, I1057, "")</f>
        <v>suite-substrate</v>
      </c>
      <c r="S1057" s="3" t="str">
        <f>IF(Q1057, I1057, "")</f>
      </c>
      <c r="T1057" s="2" t="s">
        <v>5935</v>
      </c>
    </row>
    <row r="1058">
      <c r="A1058" s="2" t="s">
        <v>7113</v>
      </c>
      <c r="B1058" s="3" t="str">
        <f>C1058 &amp; ": " &amp; D1058</f>
        <v>view-loads: vw_send_intents</v>
      </c>
      <c r="C1058" s="2" t="s">
        <v>6966</v>
      </c>
      <c r="D1058" s="2" t="s">
        <v>7114</v>
      </c>
      <c r="E1058" s="2" t="s">
        <v>4662</v>
      </c>
      <c r="F1058" s="2"/>
      <c r="G1058" s="2" t="s">
        <v>6968</v>
      </c>
      <c r="H1058" s="2"/>
      <c r="I1058" s="2" t="s">
        <v>5920</v>
      </c>
      <c r="J1058" s="2" t="s">
        <v>5933</v>
      </c>
      <c r="K1058" s="3" t="b">
        <f>J1058 = "blocking"</f>
        <v>1</v>
      </c>
      <c r="L1058" s="2" t="s">
        <v>1428</v>
      </c>
      <c r="M1058" s="2" t="s">
        <v>7043</v>
      </c>
      <c r="N1058" s="4">
        <v>46223.1297337963</v>
      </c>
      <c r="O1058" s="3" t="b">
        <f>L1058 = "PASS"</f>
        <v>1</v>
      </c>
      <c r="P1058" s="3" t="b">
        <f>L1058 = "FAIL"</f>
        <v>0</v>
      </c>
      <c r="Q1058" s="3" t="b">
        <f>AND(P1058, K1058)</f>
        <v>0</v>
      </c>
      <c r="R1058" s="3" t="str">
        <f>IF(O1058, I1058, "")</f>
        <v>suite-substrate</v>
      </c>
      <c r="S1058" s="3" t="str">
        <f>IF(Q1058, I1058, "")</f>
      </c>
      <c r="T1058" s="2" t="s">
        <v>5935</v>
      </c>
    </row>
    <row r="1059">
      <c r="A1059" s="2" t="s">
        <v>7115</v>
      </c>
      <c r="B1059" s="3" t="str">
        <f>C1059 &amp; ": " &amp; D1059</f>
        <v>view-loads: vw_agent_decision_records</v>
      </c>
      <c r="C1059" s="2" t="s">
        <v>6966</v>
      </c>
      <c r="D1059" s="2" t="s">
        <v>7116</v>
      </c>
      <c r="E1059" s="2" t="s">
        <v>4928</v>
      </c>
      <c r="F1059" s="2"/>
      <c r="G1059" s="2" t="s">
        <v>6968</v>
      </c>
      <c r="H1059" s="2"/>
      <c r="I1059" s="2" t="s">
        <v>5920</v>
      </c>
      <c r="J1059" s="2" t="s">
        <v>5933</v>
      </c>
      <c r="K1059" s="3" t="b">
        <f>J1059 = "blocking"</f>
        <v>1</v>
      </c>
      <c r="L1059" s="2" t="s">
        <v>1428</v>
      </c>
      <c r="M1059" s="2" t="s">
        <v>6998</v>
      </c>
      <c r="N1059" s="4">
        <v>46223.1297337963</v>
      </c>
      <c r="O1059" s="3" t="b">
        <f>L1059 = "PASS"</f>
        <v>1</v>
      </c>
      <c r="P1059" s="3" t="b">
        <f>L1059 = "FAIL"</f>
        <v>0</v>
      </c>
      <c r="Q1059" s="3" t="b">
        <f>AND(P1059, K1059)</f>
        <v>0</v>
      </c>
      <c r="R1059" s="3" t="str">
        <f>IF(O1059, I1059, "")</f>
        <v>suite-substrate</v>
      </c>
      <c r="S1059" s="3" t="str">
        <f>IF(Q1059, I1059, "")</f>
      </c>
      <c r="T1059" s="2" t="s">
        <v>5935</v>
      </c>
    </row>
    <row r="1060">
      <c r="A1060" s="2" t="s">
        <v>7117</v>
      </c>
      <c r="B1060" s="3" t="str">
        <f>C1060 &amp; ": " &amp; D1060</f>
        <v>view-loads: vw_delivered_communications</v>
      </c>
      <c r="C1060" s="2" t="s">
        <v>6966</v>
      </c>
      <c r="D1060" s="2" t="s">
        <v>7118</v>
      </c>
      <c r="E1060" s="2" t="s">
        <v>5029</v>
      </c>
      <c r="F1060" s="2"/>
      <c r="G1060" s="2" t="s">
        <v>6968</v>
      </c>
      <c r="H1060" s="2"/>
      <c r="I1060" s="2" t="s">
        <v>5920</v>
      </c>
      <c r="J1060" s="2" t="s">
        <v>5933</v>
      </c>
      <c r="K1060" s="3" t="b">
        <f>J1060 = "blocking"</f>
        <v>1</v>
      </c>
      <c r="L1060" s="2" t="s">
        <v>1428</v>
      </c>
      <c r="M1060" s="2" t="s">
        <v>6969</v>
      </c>
      <c r="N1060" s="4">
        <v>46223.1297337963</v>
      </c>
      <c r="O1060" s="3" t="b">
        <f>L1060 = "PASS"</f>
        <v>1</v>
      </c>
      <c r="P1060" s="3" t="b">
        <f>L1060 = "FAIL"</f>
        <v>0</v>
      </c>
      <c r="Q1060" s="3" t="b">
        <f>AND(P1060, K1060)</f>
        <v>0</v>
      </c>
      <c r="R1060" s="3" t="str">
        <f>IF(O1060, I1060, "")</f>
        <v>suite-substrate</v>
      </c>
      <c r="S1060" s="3" t="str">
        <f>IF(Q1060, I1060, "")</f>
      </c>
      <c r="T1060" s="2" t="s">
        <v>5935</v>
      </c>
    </row>
    <row r="1061">
      <c r="A1061" s="2" t="s">
        <v>7119</v>
      </c>
      <c r="B1061" s="3" t="str">
        <f>C1061 &amp; ": " &amp; D1061</f>
        <v>view-loads: vw_authority_boundaries</v>
      </c>
      <c r="C1061" s="2" t="s">
        <v>6966</v>
      </c>
      <c r="D1061" s="2" t="s">
        <v>7120</v>
      </c>
      <c r="E1061" s="2" t="s">
        <v>5065</v>
      </c>
      <c r="F1061" s="2"/>
      <c r="G1061" s="2" t="s">
        <v>6968</v>
      </c>
      <c r="H1061" s="2"/>
      <c r="I1061" s="2" t="s">
        <v>5920</v>
      </c>
      <c r="J1061" s="2" t="s">
        <v>5933</v>
      </c>
      <c r="K1061" s="3" t="b">
        <f>J1061 = "blocking"</f>
        <v>1</v>
      </c>
      <c r="L1061" s="2" t="s">
        <v>1428</v>
      </c>
      <c r="M1061" s="2" t="s">
        <v>6998</v>
      </c>
      <c r="N1061" s="4">
        <v>46223.1297337963</v>
      </c>
      <c r="O1061" s="3" t="b">
        <f>L1061 = "PASS"</f>
        <v>1</v>
      </c>
      <c r="P1061" s="3" t="b">
        <f>L1061 = "FAIL"</f>
        <v>0</v>
      </c>
      <c r="Q1061" s="3" t="b">
        <f>AND(P1061, K1061)</f>
        <v>0</v>
      </c>
      <c r="R1061" s="3" t="str">
        <f>IF(O1061, I1061, "")</f>
        <v>suite-substrate</v>
      </c>
      <c r="S1061" s="3" t="str">
        <f>IF(Q1061, I1061, "")</f>
      </c>
      <c r="T1061" s="2" t="s">
        <v>5935</v>
      </c>
    </row>
    <row r="1062">
      <c r="A1062" s="2" t="s">
        <v>7121</v>
      </c>
      <c r="B1062" s="3" t="str">
        <f>C1062 &amp; ": " &amp; D1062</f>
        <v>view-loads: vw_binding_observations</v>
      </c>
      <c r="C1062" s="2" t="s">
        <v>6966</v>
      </c>
      <c r="D1062" s="2" t="s">
        <v>7122</v>
      </c>
      <c r="E1062" s="2" t="s">
        <v>5142</v>
      </c>
      <c r="F1062" s="2"/>
      <c r="G1062" s="2" t="s">
        <v>6968</v>
      </c>
      <c r="H1062" s="2"/>
      <c r="I1062" s="2" t="s">
        <v>5920</v>
      </c>
      <c r="J1062" s="2" t="s">
        <v>5933</v>
      </c>
      <c r="K1062" s="3" t="b">
        <f>J1062 = "blocking"</f>
        <v>1</v>
      </c>
      <c r="L1062" s="2" t="s">
        <v>1428</v>
      </c>
      <c r="M1062" s="2" t="s">
        <v>7123</v>
      </c>
      <c r="N1062" s="4">
        <v>46223.1297337963</v>
      </c>
      <c r="O1062" s="3" t="b">
        <f>L1062 = "PASS"</f>
        <v>1</v>
      </c>
      <c r="P1062" s="3" t="b">
        <f>L1062 = "FAIL"</f>
        <v>0</v>
      </c>
      <c r="Q1062" s="3" t="b">
        <f>AND(P1062, K1062)</f>
        <v>0</v>
      </c>
      <c r="R1062" s="3" t="str">
        <f>IF(O1062, I1062, "")</f>
        <v>suite-substrate</v>
      </c>
      <c r="S1062" s="3" t="str">
        <f>IF(Q1062, I1062, "")</f>
      </c>
      <c r="T1062" s="2" t="s">
        <v>5935</v>
      </c>
    </row>
    <row r="1063">
      <c r="A1063" s="2" t="s">
        <v>7124</v>
      </c>
      <c r="B1063" s="3" t="str">
        <f>C1063 &amp; ": " &amp; D1063</f>
        <v>view-loads: vw_attestations</v>
      </c>
      <c r="C1063" s="2" t="s">
        <v>6966</v>
      </c>
      <c r="D1063" s="2" t="s">
        <v>7125</v>
      </c>
      <c r="E1063" s="2" t="s">
        <v>5169</v>
      </c>
      <c r="F1063" s="2"/>
      <c r="G1063" s="2" t="s">
        <v>6968</v>
      </c>
      <c r="H1063" s="2"/>
      <c r="I1063" s="2" t="s">
        <v>5920</v>
      </c>
      <c r="J1063" s="2" t="s">
        <v>5933</v>
      </c>
      <c r="K1063" s="3" t="b">
        <f>J1063 = "blocking"</f>
        <v>1</v>
      </c>
      <c r="L1063" s="2" t="s">
        <v>1428</v>
      </c>
      <c r="M1063" s="2" t="s">
        <v>7123</v>
      </c>
      <c r="N1063" s="4">
        <v>46223.1297337963</v>
      </c>
      <c r="O1063" s="3" t="b">
        <f>L1063 = "PASS"</f>
        <v>1</v>
      </c>
      <c r="P1063" s="3" t="b">
        <f>L1063 = "FAIL"</f>
        <v>0</v>
      </c>
      <c r="Q1063" s="3" t="b">
        <f>AND(P1063, K1063)</f>
        <v>0</v>
      </c>
      <c r="R1063" s="3" t="str">
        <f>IF(O1063, I1063, "")</f>
        <v>suite-substrate</v>
      </c>
      <c r="S1063" s="3" t="str">
        <f>IF(Q1063, I1063, "")</f>
      </c>
      <c r="T1063" s="2" t="s">
        <v>5935</v>
      </c>
    </row>
    <row r="1064">
      <c r="A1064" s="2" t="s">
        <v>7126</v>
      </c>
      <c r="B1064" s="3" t="str">
        <f>C1064 &amp; ": " &amp; D1064</f>
        <v>fk-resolves: Agents.Organization -&gt; Organizations</v>
      </c>
      <c r="C1064" s="2" t="s">
        <v>7127</v>
      </c>
      <c r="D1064" s="2" t="s">
        <v>7128</v>
      </c>
      <c r="E1064" s="2" t="s">
        <v>1794</v>
      </c>
      <c r="F1064" s="2" t="s">
        <v>121</v>
      </c>
      <c r="G1064" s="2" t="s">
        <v>7129</v>
      </c>
      <c r="H1064" s="2"/>
      <c r="I1064" s="2" t="s">
        <v>5922</v>
      </c>
      <c r="J1064" s="2" t="s">
        <v>5933</v>
      </c>
      <c r="K1064" s="3" t="b">
        <f>J1064 = "blocking"</f>
        <v>1</v>
      </c>
      <c r="L1064" s="2" t="s">
        <v>1428</v>
      </c>
      <c r="M1064" s="2" t="s">
        <v>7130</v>
      </c>
      <c r="N1064" s="4">
        <v>46223.1297337963</v>
      </c>
      <c r="O1064" s="3" t="b">
        <f>L1064 = "PASS"</f>
        <v>1</v>
      </c>
      <c r="P1064" s="3" t="b">
        <f>L1064 = "FAIL"</f>
        <v>0</v>
      </c>
      <c r="Q1064" s="3" t="b">
        <f>AND(P1064, K1064)</f>
        <v>0</v>
      </c>
      <c r="R1064" s="3" t="str">
        <f>IF(O1064, I1064, "")</f>
        <v>suite-integrity</v>
      </c>
      <c r="S1064" s="3" t="str">
        <f>IF(Q1064, I1064, "")</f>
      </c>
      <c r="T1064" s="2" t="s">
        <v>5935</v>
      </c>
    </row>
    <row r="1065">
      <c r="A1065" s="2" t="s">
        <v>7131</v>
      </c>
      <c r="B1065" s="3" t="str">
        <f>C1065 &amp; ": " &amp; D1065</f>
        <v>fk-resolves: Roles.Organization -&gt; Organizations</v>
      </c>
      <c r="C1065" s="2" t="s">
        <v>7127</v>
      </c>
      <c r="D1065" s="2" t="s">
        <v>7132</v>
      </c>
      <c r="E1065" s="2" t="s">
        <v>1798</v>
      </c>
      <c r="F1065" s="2" t="s">
        <v>121</v>
      </c>
      <c r="G1065" s="2" t="s">
        <v>7129</v>
      </c>
      <c r="H1065" s="2"/>
      <c r="I1065" s="2" t="s">
        <v>5922</v>
      </c>
      <c r="J1065" s="2" t="s">
        <v>5933</v>
      </c>
      <c r="K1065" s="3" t="b">
        <f>J1065 = "blocking"</f>
        <v>1</v>
      </c>
      <c r="L1065" s="2" t="s">
        <v>1428</v>
      </c>
      <c r="M1065" s="2" t="s">
        <v>7130</v>
      </c>
      <c r="N1065" s="4">
        <v>46223.1297337963</v>
      </c>
      <c r="O1065" s="3" t="b">
        <f>L1065 = "PASS"</f>
        <v>1</v>
      </c>
      <c r="P1065" s="3" t="b">
        <f>L1065 = "FAIL"</f>
        <v>0</v>
      </c>
      <c r="Q1065" s="3" t="b">
        <f>AND(P1065, K1065)</f>
        <v>0</v>
      </c>
      <c r="R1065" s="3" t="str">
        <f>IF(O1065, I1065, "")</f>
        <v>suite-integrity</v>
      </c>
      <c r="S1065" s="3" t="str">
        <f>IF(Q1065, I1065, "")</f>
      </c>
      <c r="T1065" s="2" t="s">
        <v>5935</v>
      </c>
    </row>
    <row r="1066">
      <c r="A1066" s="2" t="s">
        <v>7133</v>
      </c>
      <c r="B1066" s="3" t="str">
        <f>C1066 &amp; ": " &amp; D1066</f>
        <v>fk-resolves: Roles.CurrentAgent -&gt; Agents</v>
      </c>
      <c r="C1066" s="2" t="s">
        <v>7127</v>
      </c>
      <c r="D1066" s="2" t="s">
        <v>7134</v>
      </c>
      <c r="E1066" s="2" t="s">
        <v>1798</v>
      </c>
      <c r="F1066" s="2" t="s">
        <v>184</v>
      </c>
      <c r="G1066" s="2" t="s">
        <v>7135</v>
      </c>
      <c r="H1066" s="2"/>
      <c r="I1066" s="2" t="s">
        <v>5922</v>
      </c>
      <c r="J1066" s="2" t="s">
        <v>5933</v>
      </c>
      <c r="K1066" s="3" t="b">
        <f>J1066 = "blocking"</f>
        <v>1</v>
      </c>
      <c r="L1066" s="2" t="s">
        <v>1428</v>
      </c>
      <c r="M1066" s="2" t="s">
        <v>7130</v>
      </c>
      <c r="N1066" s="4">
        <v>46223.1297337963</v>
      </c>
      <c r="O1066" s="3" t="b">
        <f>L1066 = "PASS"</f>
        <v>1</v>
      </c>
      <c r="P1066" s="3" t="b">
        <f>L1066 = "FAIL"</f>
        <v>0</v>
      </c>
      <c r="Q1066" s="3" t="b">
        <f>AND(P1066, K1066)</f>
        <v>0</v>
      </c>
      <c r="R1066" s="3" t="str">
        <f>IF(O1066, I1066, "")</f>
        <v>suite-integrity</v>
      </c>
      <c r="S1066" s="3" t="str">
        <f>IF(Q1066, I1066, "")</f>
      </c>
      <c r="T1066" s="2" t="s">
        <v>5935</v>
      </c>
    </row>
    <row r="1067">
      <c r="A1067" s="2" t="s">
        <v>7136</v>
      </c>
      <c r="B1067" s="3" t="str">
        <f>C1067 &amp; ": " &amp; D1067</f>
        <v>fk-resolves: RoleAssignments.Role -&gt; Roles</v>
      </c>
      <c r="C1067" s="2" t="s">
        <v>7127</v>
      </c>
      <c r="D1067" s="2" t="s">
        <v>7137</v>
      </c>
      <c r="E1067" s="2" t="s">
        <v>1801</v>
      </c>
      <c r="F1067" s="2" t="s">
        <v>253</v>
      </c>
      <c r="G1067" s="2" t="s">
        <v>7138</v>
      </c>
      <c r="H1067" s="2"/>
      <c r="I1067" s="2" t="s">
        <v>5922</v>
      </c>
      <c r="J1067" s="2" t="s">
        <v>5933</v>
      </c>
      <c r="K1067" s="3" t="b">
        <f>J1067 = "blocking"</f>
        <v>1</v>
      </c>
      <c r="L1067" s="2" t="s">
        <v>1428</v>
      </c>
      <c r="M1067" s="2" t="s">
        <v>7130</v>
      </c>
      <c r="N1067" s="4">
        <v>46223.1297337963</v>
      </c>
      <c r="O1067" s="3" t="b">
        <f>L1067 = "PASS"</f>
        <v>1</v>
      </c>
      <c r="P1067" s="3" t="b">
        <f>L1067 = "FAIL"</f>
        <v>0</v>
      </c>
      <c r="Q1067" s="3" t="b">
        <f>AND(P1067, K1067)</f>
        <v>0</v>
      </c>
      <c r="R1067" s="3" t="str">
        <f>IF(O1067, I1067, "")</f>
        <v>suite-integrity</v>
      </c>
      <c r="S1067" s="3" t="str">
        <f>IF(Q1067, I1067, "")</f>
      </c>
      <c r="T1067" s="2" t="s">
        <v>5935</v>
      </c>
    </row>
    <row r="1068">
      <c r="A1068" s="2" t="s">
        <v>7139</v>
      </c>
      <c r="B1068" s="3" t="str">
        <f>C1068 &amp; ": " &amp; D1068</f>
        <v>fk-resolves: RoleAssignments.Agent -&gt; Agents</v>
      </c>
      <c r="C1068" s="2" t="s">
        <v>7127</v>
      </c>
      <c r="D1068" s="2" t="s">
        <v>7140</v>
      </c>
      <c r="E1068" s="2" t="s">
        <v>1801</v>
      </c>
      <c r="F1068" s="2" t="s">
        <v>254</v>
      </c>
      <c r="G1068" s="2" t="s">
        <v>7135</v>
      </c>
      <c r="H1068" s="2"/>
      <c r="I1068" s="2" t="s">
        <v>5922</v>
      </c>
      <c r="J1068" s="2" t="s">
        <v>5933</v>
      </c>
      <c r="K1068" s="3" t="b">
        <f>J1068 = "blocking"</f>
        <v>1</v>
      </c>
      <c r="L1068" s="2" t="s">
        <v>1428</v>
      </c>
      <c r="M1068" s="2" t="s">
        <v>7130</v>
      </c>
      <c r="N1068" s="4">
        <v>46223.1297337963</v>
      </c>
      <c r="O1068" s="3" t="b">
        <f>L1068 = "PASS"</f>
        <v>1</v>
      </c>
      <c r="P1068" s="3" t="b">
        <f>L1068 = "FAIL"</f>
        <v>0</v>
      </c>
      <c r="Q1068" s="3" t="b">
        <f>AND(P1068, K1068)</f>
        <v>0</v>
      </c>
      <c r="R1068" s="3" t="str">
        <f>IF(O1068, I1068, "")</f>
        <v>suite-integrity</v>
      </c>
      <c r="S1068" s="3" t="str">
        <f>IF(Q1068, I1068, "")</f>
      </c>
      <c r="T1068" s="2" t="s">
        <v>5935</v>
      </c>
    </row>
    <row r="1069">
      <c r="A1069" s="2" t="s">
        <v>7141</v>
      </c>
      <c r="B1069" s="3" t="str">
        <f>C1069 &amp; ": " &amp; D1069</f>
        <v>fk-resolves: RoleAssignments.EvaluationContext -&gt; EvaluationContexts</v>
      </c>
      <c r="C1069" s="2" t="s">
        <v>7127</v>
      </c>
      <c r="D1069" s="2" t="s">
        <v>7142</v>
      </c>
      <c r="E1069" s="2" t="s">
        <v>1801</v>
      </c>
      <c r="F1069" s="2" t="s">
        <v>258</v>
      </c>
      <c r="G1069" s="2" t="s">
        <v>7143</v>
      </c>
      <c r="H1069" s="2"/>
      <c r="I1069" s="2" t="s">
        <v>5922</v>
      </c>
      <c r="J1069" s="2" t="s">
        <v>5933</v>
      </c>
      <c r="K1069" s="3" t="b">
        <f>J1069 = "blocking"</f>
        <v>1</v>
      </c>
      <c r="L1069" s="2" t="s">
        <v>1428</v>
      </c>
      <c r="M1069" s="2" t="s">
        <v>7130</v>
      </c>
      <c r="N1069" s="4">
        <v>46223.1297337963</v>
      </c>
      <c r="O1069" s="3" t="b">
        <f>L1069 = "PASS"</f>
        <v>1</v>
      </c>
      <c r="P1069" s="3" t="b">
        <f>L1069 = "FAIL"</f>
        <v>0</v>
      </c>
      <c r="Q1069" s="3" t="b">
        <f>AND(P1069, K1069)</f>
        <v>0</v>
      </c>
      <c r="R1069" s="3" t="str">
        <f>IF(O1069, I1069, "")</f>
        <v>suite-integrity</v>
      </c>
      <c r="S1069" s="3" t="str">
        <f>IF(Q1069, I1069, "")</f>
      </c>
      <c r="T1069" s="2" t="s">
        <v>5935</v>
      </c>
    </row>
    <row r="1070">
      <c r="A1070" s="2" t="s">
        <v>7144</v>
      </c>
      <c r="B1070" s="3" t="str">
        <f>C1070 &amp; ": " &amp; D1070</f>
        <v>fk-resolves: RoleAssignments.SupersedesAssignment -&gt; RoleAssignments</v>
      </c>
      <c r="C1070" s="2" t="s">
        <v>7127</v>
      </c>
      <c r="D1070" s="2" t="s">
        <v>7145</v>
      </c>
      <c r="E1070" s="2" t="s">
        <v>1801</v>
      </c>
      <c r="F1070" s="2" t="s">
        <v>266</v>
      </c>
      <c r="G1070" s="2" t="s">
        <v>7146</v>
      </c>
      <c r="H1070" s="2"/>
      <c r="I1070" s="2" t="s">
        <v>5922</v>
      </c>
      <c r="J1070" s="2" t="s">
        <v>5933</v>
      </c>
      <c r="K1070" s="3" t="b">
        <f>J1070 = "blocking"</f>
        <v>1</v>
      </c>
      <c r="L1070" s="2" t="s">
        <v>1428</v>
      </c>
      <c r="M1070" s="2" t="s">
        <v>7130</v>
      </c>
      <c r="N1070" s="4">
        <v>46223.1297337963</v>
      </c>
      <c r="O1070" s="3" t="b">
        <f>L1070 = "PASS"</f>
        <v>1</v>
      </c>
      <c r="P1070" s="3" t="b">
        <f>L1070 = "FAIL"</f>
        <v>0</v>
      </c>
      <c r="Q1070" s="3" t="b">
        <f>AND(P1070, K1070)</f>
        <v>0</v>
      </c>
      <c r="R1070" s="3" t="str">
        <f>IF(O1070, I1070, "")</f>
        <v>suite-integrity</v>
      </c>
      <c r="S1070" s="3" t="str">
        <f>IF(Q1070, I1070, "")</f>
      </c>
      <c r="T1070" s="2" t="s">
        <v>5935</v>
      </c>
    </row>
    <row r="1071">
      <c r="A1071" s="2" t="s">
        <v>7147</v>
      </c>
      <c r="B1071" s="3" t="str">
        <f>C1071 &amp; ": " &amp; D1071</f>
        <v>fk-resolves: RoleAssignments.ApprovingAuthorityRole -&gt; Roles</v>
      </c>
      <c r="C1071" s="2" t="s">
        <v>7127</v>
      </c>
      <c r="D1071" s="2" t="s">
        <v>7148</v>
      </c>
      <c r="E1071" s="2" t="s">
        <v>1801</v>
      </c>
      <c r="F1071" s="2" t="s">
        <v>269</v>
      </c>
      <c r="G1071" s="2" t="s">
        <v>7138</v>
      </c>
      <c r="H1071" s="2"/>
      <c r="I1071" s="2" t="s">
        <v>5922</v>
      </c>
      <c r="J1071" s="2" t="s">
        <v>5933</v>
      </c>
      <c r="K1071" s="3" t="b">
        <f>J1071 = "blocking"</f>
        <v>1</v>
      </c>
      <c r="L1071" s="2" t="s">
        <v>1428</v>
      </c>
      <c r="M1071" s="2" t="s">
        <v>7130</v>
      </c>
      <c r="N1071" s="4">
        <v>46223.1297337963</v>
      </c>
      <c r="O1071" s="3" t="b">
        <f>L1071 = "PASS"</f>
        <v>1</v>
      </c>
      <c r="P1071" s="3" t="b">
        <f>L1071 = "FAIL"</f>
        <v>0</v>
      </c>
      <c r="Q1071" s="3" t="b">
        <f>AND(P1071, K1071)</f>
        <v>0</v>
      </c>
      <c r="R1071" s="3" t="str">
        <f>IF(O1071, I1071, "")</f>
        <v>suite-integrity</v>
      </c>
      <c r="S1071" s="3" t="str">
        <f>IF(Q1071, I1071, "")</f>
      </c>
      <c r="T1071" s="2" t="s">
        <v>5935</v>
      </c>
    </row>
    <row r="1072">
      <c r="A1072" s="2" t="s">
        <v>7149</v>
      </c>
      <c r="B1072" s="3" t="str">
        <f>C1072 &amp; ": " &amp; D1072</f>
        <v>fk-resolves: RoleAssignments.AuthorizingChangeRequest -&gt; ChangeRequests</v>
      </c>
      <c r="C1072" s="2" t="s">
        <v>7127</v>
      </c>
      <c r="D1072" s="2" t="s">
        <v>7150</v>
      </c>
      <c r="E1072" s="2" t="s">
        <v>1801</v>
      </c>
      <c r="F1072" s="2" t="s">
        <v>270</v>
      </c>
      <c r="G1072" s="2" t="s">
        <v>7151</v>
      </c>
      <c r="H1072" s="2"/>
      <c r="I1072" s="2" t="s">
        <v>5922</v>
      </c>
      <c r="J1072" s="2" t="s">
        <v>5933</v>
      </c>
      <c r="K1072" s="3" t="b">
        <f>J1072 = "blocking"</f>
        <v>1</v>
      </c>
      <c r="L1072" s="2" t="s">
        <v>1428</v>
      </c>
      <c r="M1072" s="2" t="s">
        <v>7130</v>
      </c>
      <c r="N1072" s="4">
        <v>46223.1297337963</v>
      </c>
      <c r="O1072" s="3" t="b">
        <f>L1072 = "PASS"</f>
        <v>1</v>
      </c>
      <c r="P1072" s="3" t="b">
        <f>L1072 = "FAIL"</f>
        <v>0</v>
      </c>
      <c r="Q1072" s="3" t="b">
        <f>AND(P1072, K1072)</f>
        <v>0</v>
      </c>
      <c r="R1072" s="3" t="str">
        <f>IF(O1072, I1072, "")</f>
        <v>suite-integrity</v>
      </c>
      <c r="S1072" s="3" t="str">
        <f>IF(Q1072, I1072, "")</f>
      </c>
      <c r="T1072" s="2" t="s">
        <v>5935</v>
      </c>
    </row>
    <row r="1073">
      <c r="A1073" s="2" t="s">
        <v>7152</v>
      </c>
      <c r="B1073" s="3" t="str">
        <f>C1073 &amp; ": " &amp; D1073</f>
        <v>fk-resolves: CommunitiesOfPractice.Organization -&gt; Organizations</v>
      </c>
      <c r="C1073" s="2" t="s">
        <v>7127</v>
      </c>
      <c r="D1073" s="2" t="s">
        <v>7153</v>
      </c>
      <c r="E1073" s="2" t="s">
        <v>2624</v>
      </c>
      <c r="F1073" s="2" t="s">
        <v>121</v>
      </c>
      <c r="G1073" s="2" t="s">
        <v>7129</v>
      </c>
      <c r="H1073" s="2"/>
      <c r="I1073" s="2" t="s">
        <v>5922</v>
      </c>
      <c r="J1073" s="2" t="s">
        <v>5933</v>
      </c>
      <c r="K1073" s="3" t="b">
        <f>J1073 = "blocking"</f>
        <v>1</v>
      </c>
      <c r="L1073" s="2" t="s">
        <v>1428</v>
      </c>
      <c r="M1073" s="2" t="s">
        <v>7130</v>
      </c>
      <c r="N1073" s="4">
        <v>46223.1297337963</v>
      </c>
      <c r="O1073" s="3" t="b">
        <f>L1073 = "PASS"</f>
        <v>1</v>
      </c>
      <c r="P1073" s="3" t="b">
        <f>L1073 = "FAIL"</f>
        <v>0</v>
      </c>
      <c r="Q1073" s="3" t="b">
        <f>AND(P1073, K1073)</f>
        <v>0</v>
      </c>
      <c r="R1073" s="3" t="str">
        <f>IF(O1073, I1073, "")</f>
        <v>suite-integrity</v>
      </c>
      <c r="S1073" s="3" t="str">
        <f>IF(Q1073, I1073, "")</f>
      </c>
      <c r="T1073" s="2" t="s">
        <v>5935</v>
      </c>
    </row>
    <row r="1074">
      <c r="A1074" s="2" t="s">
        <v>7154</v>
      </c>
      <c r="B1074" s="3" t="str">
        <f>C1074 &amp; ": " &amp; D1074</f>
        <v>fk-resolves: CommunitiesOfPractice.StewardRole -&gt; Roles</v>
      </c>
      <c r="C1074" s="2" t="s">
        <v>7127</v>
      </c>
      <c r="D1074" s="2" t="s">
        <v>7155</v>
      </c>
      <c r="E1074" s="2" t="s">
        <v>2624</v>
      </c>
      <c r="F1074" s="2" t="s">
        <v>326</v>
      </c>
      <c r="G1074" s="2" t="s">
        <v>7138</v>
      </c>
      <c r="H1074" s="2"/>
      <c r="I1074" s="2" t="s">
        <v>5922</v>
      </c>
      <c r="J1074" s="2" t="s">
        <v>5933</v>
      </c>
      <c r="K1074" s="3" t="b">
        <f>J1074 = "blocking"</f>
        <v>1</v>
      </c>
      <c r="L1074" s="2" t="s">
        <v>1428</v>
      </c>
      <c r="M1074" s="2" t="s">
        <v>7130</v>
      </c>
      <c r="N1074" s="4">
        <v>46223.1297337963</v>
      </c>
      <c r="O1074" s="3" t="b">
        <f>L1074 = "PASS"</f>
        <v>1</v>
      </c>
      <c r="P1074" s="3" t="b">
        <f>L1074 = "FAIL"</f>
        <v>0</v>
      </c>
      <c r="Q1074" s="3" t="b">
        <f>AND(P1074, K1074)</f>
        <v>0</v>
      </c>
      <c r="R1074" s="3" t="str">
        <f>IF(O1074, I1074, "")</f>
        <v>suite-integrity</v>
      </c>
      <c r="S1074" s="3" t="str">
        <f>IF(Q1074, I1074, "")</f>
      </c>
      <c r="T1074" s="2" t="s">
        <v>5935</v>
      </c>
    </row>
    <row r="1075">
      <c r="A1075" s="2" t="s">
        <v>7156</v>
      </c>
      <c r="B1075" s="3" t="str">
        <f>C1075 &amp; ": " &amp; D1075</f>
        <v>fk-resolves: Mentorships.CommunityOfPractice -&gt; CommunitiesOfPractice</v>
      </c>
      <c r="C1075" s="2" t="s">
        <v>7127</v>
      </c>
      <c r="D1075" s="2" t="s">
        <v>7157</v>
      </c>
      <c r="E1075" s="2" t="s">
        <v>2633</v>
      </c>
      <c r="F1075" s="2" t="s">
        <v>339</v>
      </c>
      <c r="G1075" s="2" t="s">
        <v>7158</v>
      </c>
      <c r="H1075" s="2"/>
      <c r="I1075" s="2" t="s">
        <v>5922</v>
      </c>
      <c r="J1075" s="2" t="s">
        <v>5933</v>
      </c>
      <c r="K1075" s="3" t="b">
        <f>J1075 = "blocking"</f>
        <v>1</v>
      </c>
      <c r="L1075" s="2" t="s">
        <v>1428</v>
      </c>
      <c r="M1075" s="2" t="s">
        <v>7130</v>
      </c>
      <c r="N1075" s="4">
        <v>46223.1297337963</v>
      </c>
      <c r="O1075" s="3" t="b">
        <f>L1075 = "PASS"</f>
        <v>1</v>
      </c>
      <c r="P1075" s="3" t="b">
        <f>L1075 = "FAIL"</f>
        <v>0</v>
      </c>
      <c r="Q1075" s="3" t="b">
        <f>AND(P1075, K1075)</f>
        <v>0</v>
      </c>
      <c r="R1075" s="3" t="str">
        <f>IF(O1075, I1075, "")</f>
        <v>suite-integrity</v>
      </c>
      <c r="S1075" s="3" t="str">
        <f>IF(Q1075, I1075, "")</f>
      </c>
      <c r="T1075" s="2" t="s">
        <v>5935</v>
      </c>
    </row>
    <row r="1076">
      <c r="A1076" s="2" t="s">
        <v>7159</v>
      </c>
      <c r="B1076" s="3" t="str">
        <f>C1076 &amp; ": " &amp; D1076</f>
        <v>fk-resolves: Mentorships.MentorAgent -&gt; Agents</v>
      </c>
      <c r="C1076" s="2" t="s">
        <v>7127</v>
      </c>
      <c r="D1076" s="2" t="s">
        <v>7160</v>
      </c>
      <c r="E1076" s="2" t="s">
        <v>2633</v>
      </c>
      <c r="F1076" s="2" t="s">
        <v>340</v>
      </c>
      <c r="G1076" s="2" t="s">
        <v>7135</v>
      </c>
      <c r="H1076" s="2"/>
      <c r="I1076" s="2" t="s">
        <v>5922</v>
      </c>
      <c r="J1076" s="2" t="s">
        <v>5933</v>
      </c>
      <c r="K1076" s="3" t="b">
        <f>J1076 = "blocking"</f>
        <v>1</v>
      </c>
      <c r="L1076" s="2" t="s">
        <v>1428</v>
      </c>
      <c r="M1076" s="2" t="s">
        <v>7130</v>
      </c>
      <c r="N1076" s="4">
        <v>46223.1297337963</v>
      </c>
      <c r="O1076" s="3" t="b">
        <f>L1076 = "PASS"</f>
        <v>1</v>
      </c>
      <c r="P1076" s="3" t="b">
        <f>L1076 = "FAIL"</f>
        <v>0</v>
      </c>
      <c r="Q1076" s="3" t="b">
        <f>AND(P1076, K1076)</f>
        <v>0</v>
      </c>
      <c r="R1076" s="3" t="str">
        <f>IF(O1076, I1076, "")</f>
        <v>suite-integrity</v>
      </c>
      <c r="S1076" s="3" t="str">
        <f>IF(Q1076, I1076, "")</f>
      </c>
      <c r="T1076" s="2" t="s">
        <v>5935</v>
      </c>
    </row>
    <row r="1077">
      <c r="A1077" s="2" t="s">
        <v>7161</v>
      </c>
      <c r="B1077" s="3" t="str">
        <f>C1077 &amp; ": " &amp; D1077</f>
        <v>fk-resolves: Mentorships.LearnerAgent -&gt; Agents</v>
      </c>
      <c r="C1077" s="2" t="s">
        <v>7127</v>
      </c>
      <c r="D1077" s="2" t="s">
        <v>7162</v>
      </c>
      <c r="E1077" s="2" t="s">
        <v>2633</v>
      </c>
      <c r="F1077" s="2" t="s">
        <v>341</v>
      </c>
      <c r="G1077" s="2" t="s">
        <v>7135</v>
      </c>
      <c r="H1077" s="2"/>
      <c r="I1077" s="2" t="s">
        <v>5922</v>
      </c>
      <c r="J1077" s="2" t="s">
        <v>5933</v>
      </c>
      <c r="K1077" s="3" t="b">
        <f>J1077 = "blocking"</f>
        <v>1</v>
      </c>
      <c r="L1077" s="2" t="s">
        <v>1428</v>
      </c>
      <c r="M1077" s="2" t="s">
        <v>7130</v>
      </c>
      <c r="N1077" s="4">
        <v>46223.1297337963</v>
      </c>
      <c r="O1077" s="3" t="b">
        <f>L1077 = "PASS"</f>
        <v>1</v>
      </c>
      <c r="P1077" s="3" t="b">
        <f>L1077 = "FAIL"</f>
        <v>0</v>
      </c>
      <c r="Q1077" s="3" t="b">
        <f>AND(P1077, K1077)</f>
        <v>0</v>
      </c>
      <c r="R1077" s="3" t="str">
        <f>IF(O1077, I1077, "")</f>
        <v>suite-integrity</v>
      </c>
      <c r="S1077" s="3" t="str">
        <f>IF(Q1077, I1077, "")</f>
      </c>
      <c r="T1077" s="2" t="s">
        <v>5935</v>
      </c>
    </row>
    <row r="1078">
      <c r="A1078" s="2" t="s">
        <v>7163</v>
      </c>
      <c r="B1078" s="3" t="str">
        <f>C1078 &amp; ": " &amp; D1078</f>
        <v>fk-resolves: Procedures.ProcedureType -&gt; ProcedureTypes</v>
      </c>
      <c r="C1078" s="2" t="s">
        <v>7127</v>
      </c>
      <c r="D1078" s="2" t="s">
        <v>7164</v>
      </c>
      <c r="E1078" s="2" t="s">
        <v>1742</v>
      </c>
      <c r="F1078" s="2" t="s">
        <v>359</v>
      </c>
      <c r="G1078" s="2" t="s">
        <v>7165</v>
      </c>
      <c r="H1078" s="2"/>
      <c r="I1078" s="2" t="s">
        <v>5922</v>
      </c>
      <c r="J1078" s="2" t="s">
        <v>5933</v>
      </c>
      <c r="K1078" s="3" t="b">
        <f>J1078 = "blocking"</f>
        <v>1</v>
      </c>
      <c r="L1078" s="2" t="s">
        <v>1428</v>
      </c>
      <c r="M1078" s="2" t="s">
        <v>7130</v>
      </c>
      <c r="N1078" s="4">
        <v>46223.1297337963</v>
      </c>
      <c r="O1078" s="3" t="b">
        <f>L1078 = "PASS"</f>
        <v>1</v>
      </c>
      <c r="P1078" s="3" t="b">
        <f>L1078 = "FAIL"</f>
        <v>0</v>
      </c>
      <c r="Q1078" s="3" t="b">
        <f>AND(P1078, K1078)</f>
        <v>0</v>
      </c>
      <c r="R1078" s="3" t="str">
        <f>IF(O1078, I1078, "")</f>
        <v>suite-integrity</v>
      </c>
      <c r="S1078" s="3" t="str">
        <f>IF(Q1078, I1078, "")</f>
      </c>
      <c r="T1078" s="2" t="s">
        <v>5935</v>
      </c>
    </row>
    <row r="1079">
      <c r="A1079" s="2" t="s">
        <v>7166</v>
      </c>
      <c r="B1079" s="3" t="str">
        <f>C1079 &amp; ": " &amp; D1079</f>
        <v>fk-resolves: Procedures.OwnerOrganization -&gt; Organizations</v>
      </c>
      <c r="C1079" s="2" t="s">
        <v>7127</v>
      </c>
      <c r="D1079" s="2" t="s">
        <v>7167</v>
      </c>
      <c r="E1079" s="2" t="s">
        <v>1742</v>
      </c>
      <c r="F1079" s="2" t="s">
        <v>360</v>
      </c>
      <c r="G1079" s="2" t="s">
        <v>7129</v>
      </c>
      <c r="H1079" s="2"/>
      <c r="I1079" s="2" t="s">
        <v>5922</v>
      </c>
      <c r="J1079" s="2" t="s">
        <v>5933</v>
      </c>
      <c r="K1079" s="3" t="b">
        <f>J1079 = "blocking"</f>
        <v>1</v>
      </c>
      <c r="L1079" s="2" t="s">
        <v>1428</v>
      </c>
      <c r="M1079" s="2" t="s">
        <v>7130</v>
      </c>
      <c r="N1079" s="4">
        <v>46223.1297337963</v>
      </c>
      <c r="O1079" s="3" t="b">
        <f>L1079 = "PASS"</f>
        <v>1</v>
      </c>
      <c r="P1079" s="3" t="b">
        <f>L1079 = "FAIL"</f>
        <v>0</v>
      </c>
      <c r="Q1079" s="3" t="b">
        <f>AND(P1079, K1079)</f>
        <v>0</v>
      </c>
      <c r="R1079" s="3" t="str">
        <f>IF(O1079, I1079, "")</f>
        <v>suite-integrity</v>
      </c>
      <c r="S1079" s="3" t="str">
        <f>IF(Q1079, I1079, "")</f>
      </c>
      <c r="T1079" s="2" t="s">
        <v>5935</v>
      </c>
    </row>
    <row r="1080">
      <c r="A1080" s="2" t="s">
        <v>7168</v>
      </c>
      <c r="B1080" s="3" t="str">
        <f>C1080 &amp; ": " &amp; D1080</f>
        <v>fk-resolves: Procedures.AdoptedByOrganization -&gt; Organizations</v>
      </c>
      <c r="C1080" s="2" t="s">
        <v>7127</v>
      </c>
      <c r="D1080" s="2" t="s">
        <v>7169</v>
      </c>
      <c r="E1080" s="2" t="s">
        <v>1742</v>
      </c>
      <c r="F1080" s="2" t="s">
        <v>361</v>
      </c>
      <c r="G1080" s="2" t="s">
        <v>7129</v>
      </c>
      <c r="H1080" s="2"/>
      <c r="I1080" s="2" t="s">
        <v>5922</v>
      </c>
      <c r="J1080" s="2" t="s">
        <v>5933</v>
      </c>
      <c r="K1080" s="3" t="b">
        <f>J1080 = "blocking"</f>
        <v>1</v>
      </c>
      <c r="L1080" s="2" t="s">
        <v>1428</v>
      </c>
      <c r="M1080" s="2" t="s">
        <v>7130</v>
      </c>
      <c r="N1080" s="4">
        <v>46223.1297337963</v>
      </c>
      <c r="O1080" s="3" t="b">
        <f>L1080 = "PASS"</f>
        <v>1</v>
      </c>
      <c r="P1080" s="3" t="b">
        <f>L1080 = "FAIL"</f>
        <v>0</v>
      </c>
      <c r="Q1080" s="3" t="b">
        <f>AND(P1080, K1080)</f>
        <v>0</v>
      </c>
      <c r="R1080" s="3" t="str">
        <f>IF(O1080, I1080, "")</f>
        <v>suite-integrity</v>
      </c>
      <c r="S1080" s="3" t="str">
        <f>IF(Q1080, I1080, "")</f>
      </c>
      <c r="T1080" s="2" t="s">
        <v>5935</v>
      </c>
    </row>
    <row r="1081">
      <c r="A1081" s="2" t="s">
        <v>7170</v>
      </c>
      <c r="B1081" s="3" t="str">
        <f>C1081 &amp; ": " &amp; D1081</f>
        <v>fk-resolves: ProcedureVersions.Procedure -&gt; Procedures</v>
      </c>
      <c r="C1081" s="2" t="s">
        <v>7127</v>
      </c>
      <c r="D1081" s="2" t="s">
        <v>7171</v>
      </c>
      <c r="E1081" s="2" t="s">
        <v>1747</v>
      </c>
      <c r="F1081" s="2" t="s">
        <v>377</v>
      </c>
      <c r="G1081" s="2" t="s">
        <v>7172</v>
      </c>
      <c r="H1081" s="2"/>
      <c r="I1081" s="2" t="s">
        <v>5922</v>
      </c>
      <c r="J1081" s="2" t="s">
        <v>5933</v>
      </c>
      <c r="K1081" s="3" t="b">
        <f>J1081 = "blocking"</f>
        <v>1</v>
      </c>
      <c r="L1081" s="2" t="s">
        <v>1428</v>
      </c>
      <c r="M1081" s="2" t="s">
        <v>7130</v>
      </c>
      <c r="N1081" s="4">
        <v>46223.1297337963</v>
      </c>
      <c r="O1081" s="3" t="b">
        <f>L1081 = "PASS"</f>
        <v>1</v>
      </c>
      <c r="P1081" s="3" t="b">
        <f>L1081 = "FAIL"</f>
        <v>0</v>
      </c>
      <c r="Q1081" s="3" t="b">
        <f>AND(P1081, K1081)</f>
        <v>0</v>
      </c>
      <c r="R1081" s="3" t="str">
        <f>IF(O1081, I1081, "")</f>
        <v>suite-integrity</v>
      </c>
      <c r="S1081" s="3" t="str">
        <f>IF(Q1081, I1081, "")</f>
      </c>
      <c r="T1081" s="2" t="s">
        <v>5935</v>
      </c>
    </row>
    <row r="1082">
      <c r="A1082" s="2" t="s">
        <v>7173</v>
      </c>
      <c r="B1082" s="3" t="str">
        <f>C1082 &amp; ": " &amp; D1082</f>
        <v>fk-resolves: ProcedureVersions.CreatedByAgent -&gt; Agents</v>
      </c>
      <c r="C1082" s="2" t="s">
        <v>7127</v>
      </c>
      <c r="D1082" s="2" t="s">
        <v>7174</v>
      </c>
      <c r="E1082" s="2" t="s">
        <v>1747</v>
      </c>
      <c r="F1082" s="2" t="s">
        <v>380</v>
      </c>
      <c r="G1082" s="2" t="s">
        <v>7135</v>
      </c>
      <c r="H1082" s="2"/>
      <c r="I1082" s="2" t="s">
        <v>5922</v>
      </c>
      <c r="J1082" s="2" t="s">
        <v>5933</v>
      </c>
      <c r="K1082" s="3" t="b">
        <f>J1082 = "blocking"</f>
        <v>1</v>
      </c>
      <c r="L1082" s="2" t="s">
        <v>1428</v>
      </c>
      <c r="M1082" s="2" t="s">
        <v>7130</v>
      </c>
      <c r="N1082" s="4">
        <v>46223.1297337963</v>
      </c>
      <c r="O1082" s="3" t="b">
        <f>L1082 = "PASS"</f>
        <v>1</v>
      </c>
      <c r="P1082" s="3" t="b">
        <f>L1082 = "FAIL"</f>
        <v>0</v>
      </c>
      <c r="Q1082" s="3" t="b">
        <f>AND(P1082, K1082)</f>
        <v>0</v>
      </c>
      <c r="R1082" s="3" t="str">
        <f>IF(O1082, I1082, "")</f>
        <v>suite-integrity</v>
      </c>
      <c r="S1082" s="3" t="str">
        <f>IF(Q1082, I1082, "")</f>
      </c>
      <c r="T1082" s="2" t="s">
        <v>5935</v>
      </c>
    </row>
    <row r="1083">
      <c r="A1083" s="2" t="s">
        <v>7175</v>
      </c>
      <c r="B1083" s="3" t="str">
        <f>C1083 &amp; ": " &amp; D1083</f>
        <v>fk-resolves: ProcedureVersions.ModifiedByAgent -&gt; Agents</v>
      </c>
      <c r="C1083" s="2" t="s">
        <v>7127</v>
      </c>
      <c r="D1083" s="2" t="s">
        <v>7176</v>
      </c>
      <c r="E1083" s="2" t="s">
        <v>1747</v>
      </c>
      <c r="F1083" s="2" t="s">
        <v>381</v>
      </c>
      <c r="G1083" s="2" t="s">
        <v>7135</v>
      </c>
      <c r="H1083" s="2"/>
      <c r="I1083" s="2" t="s">
        <v>5922</v>
      </c>
      <c r="J1083" s="2" t="s">
        <v>5933</v>
      </c>
      <c r="K1083" s="3" t="b">
        <f>J1083 = "blocking"</f>
        <v>1</v>
      </c>
      <c r="L1083" s="2" t="s">
        <v>1428</v>
      </c>
      <c r="M1083" s="2" t="s">
        <v>7130</v>
      </c>
      <c r="N1083" s="4">
        <v>46223.1297337963</v>
      </c>
      <c r="O1083" s="3" t="b">
        <f>L1083 = "PASS"</f>
        <v>1</v>
      </c>
      <c r="P1083" s="3" t="b">
        <f>L1083 = "FAIL"</f>
        <v>0</v>
      </c>
      <c r="Q1083" s="3" t="b">
        <f>AND(P1083, K1083)</f>
        <v>0</v>
      </c>
      <c r="R1083" s="3" t="str">
        <f>IF(O1083, I1083, "")</f>
        <v>suite-integrity</v>
      </c>
      <c r="S1083" s="3" t="str">
        <f>IF(Q1083, I1083, "")</f>
      </c>
      <c r="T1083" s="2" t="s">
        <v>5935</v>
      </c>
    </row>
    <row r="1084">
      <c r="A1084" s="2" t="s">
        <v>7177</v>
      </c>
      <c r="B1084" s="3" t="str">
        <f>C1084 &amp; ": " &amp; D1084</f>
        <v>fk-resolves: ProcedureVersions.EvaluationContext -&gt; EvaluationContexts</v>
      </c>
      <c r="C1084" s="2" t="s">
        <v>7127</v>
      </c>
      <c r="D1084" s="2" t="s">
        <v>7178</v>
      </c>
      <c r="E1084" s="2" t="s">
        <v>1747</v>
      </c>
      <c r="F1084" s="2" t="s">
        <v>258</v>
      </c>
      <c r="G1084" s="2" t="s">
        <v>7143</v>
      </c>
      <c r="H1084" s="2"/>
      <c r="I1084" s="2" t="s">
        <v>5922</v>
      </c>
      <c r="J1084" s="2" t="s">
        <v>5933</v>
      </c>
      <c r="K1084" s="3" t="b">
        <f>J1084 = "blocking"</f>
        <v>1</v>
      </c>
      <c r="L1084" s="2" t="s">
        <v>1428</v>
      </c>
      <c r="M1084" s="2" t="s">
        <v>7130</v>
      </c>
      <c r="N1084" s="4">
        <v>46223.1297337963</v>
      </c>
      <c r="O1084" s="3" t="b">
        <f>L1084 = "PASS"</f>
        <v>1</v>
      </c>
      <c r="P1084" s="3" t="b">
        <f>L1084 = "FAIL"</f>
        <v>0</v>
      </c>
      <c r="Q1084" s="3" t="b">
        <f>AND(P1084, K1084)</f>
        <v>0</v>
      </c>
      <c r="R1084" s="3" t="str">
        <f>IF(O1084, I1084, "")</f>
        <v>suite-integrity</v>
      </c>
      <c r="S1084" s="3" t="str">
        <f>IF(Q1084, I1084, "")</f>
      </c>
      <c r="T1084" s="2" t="s">
        <v>5935</v>
      </c>
    </row>
    <row r="1085">
      <c r="A1085" s="2" t="s">
        <v>7179</v>
      </c>
      <c r="B1085" s="3" t="str">
        <f>C1085 &amp; ": " &amp; D1085</f>
        <v>fk-resolves: ProcedureVersionLinks.PreviousProcedureVersion -&gt; ProcedureVersions</v>
      </c>
      <c r="C1085" s="2" t="s">
        <v>7127</v>
      </c>
      <c r="D1085" s="2" t="s">
        <v>7180</v>
      </c>
      <c r="E1085" s="2" t="s">
        <v>2818</v>
      </c>
      <c r="F1085" s="2" t="s">
        <v>468</v>
      </c>
      <c r="G1085" s="2" t="s">
        <v>7181</v>
      </c>
      <c r="H1085" s="2"/>
      <c r="I1085" s="2" t="s">
        <v>5922</v>
      </c>
      <c r="J1085" s="2" t="s">
        <v>5933</v>
      </c>
      <c r="K1085" s="3" t="b">
        <f>J1085 = "blocking"</f>
        <v>1</v>
      </c>
      <c r="L1085" s="2" t="s">
        <v>1428</v>
      </c>
      <c r="M1085" s="2" t="s">
        <v>7130</v>
      </c>
      <c r="N1085" s="4">
        <v>46223.1297337963</v>
      </c>
      <c r="O1085" s="3" t="b">
        <f>L1085 = "PASS"</f>
        <v>1</v>
      </c>
      <c r="P1085" s="3" t="b">
        <f>L1085 = "FAIL"</f>
        <v>0</v>
      </c>
      <c r="Q1085" s="3" t="b">
        <f>AND(P1085, K1085)</f>
        <v>0</v>
      </c>
      <c r="R1085" s="3" t="str">
        <f>IF(O1085, I1085, "")</f>
        <v>suite-integrity</v>
      </c>
      <c r="S1085" s="3" t="str">
        <f>IF(Q1085, I1085, "")</f>
      </c>
      <c r="T1085" s="2" t="s">
        <v>5935</v>
      </c>
    </row>
    <row r="1086">
      <c r="A1086" s="2" t="s">
        <v>7182</v>
      </c>
      <c r="B1086" s="3" t="str">
        <f>C1086 &amp; ": " &amp; D1086</f>
        <v>fk-resolves: ProcedureVersionLinks.NextProcedureVersion -&gt; ProcedureVersions</v>
      </c>
      <c r="C1086" s="2" t="s">
        <v>7127</v>
      </c>
      <c r="D1086" s="2" t="s">
        <v>7183</v>
      </c>
      <c r="E1086" s="2" t="s">
        <v>2818</v>
      </c>
      <c r="F1086" s="2" t="s">
        <v>469</v>
      </c>
      <c r="G1086" s="2" t="s">
        <v>7181</v>
      </c>
      <c r="H1086" s="2"/>
      <c r="I1086" s="2" t="s">
        <v>5922</v>
      </c>
      <c r="J1086" s="2" t="s">
        <v>5933</v>
      </c>
      <c r="K1086" s="3" t="b">
        <f>J1086 = "blocking"</f>
        <v>1</v>
      </c>
      <c r="L1086" s="2" t="s">
        <v>1428</v>
      </c>
      <c r="M1086" s="2" t="s">
        <v>7130</v>
      </c>
      <c r="N1086" s="4">
        <v>46223.1297337963</v>
      </c>
      <c r="O1086" s="3" t="b">
        <f>L1086 = "PASS"</f>
        <v>1</v>
      </c>
      <c r="P1086" s="3" t="b">
        <f>L1086 = "FAIL"</f>
        <v>0</v>
      </c>
      <c r="Q1086" s="3" t="b">
        <f>AND(P1086, K1086)</f>
        <v>0</v>
      </c>
      <c r="R1086" s="3" t="str">
        <f>IF(O1086, I1086, "")</f>
        <v>suite-integrity</v>
      </c>
      <c r="S1086" s="3" t="str">
        <f>IF(Q1086, I1086, "")</f>
      </c>
      <c r="T1086" s="2" t="s">
        <v>5935</v>
      </c>
    </row>
    <row r="1087">
      <c r="A1087" s="2" t="s">
        <v>7184</v>
      </c>
      <c r="B1087" s="3" t="str">
        <f>C1087 &amp; ": " &amp; D1087</f>
        <v>fk-resolves: ProcedureStatusChanges.ProcedureVersion -&gt; ProcedureVersions</v>
      </c>
      <c r="C1087" s="2" t="s">
        <v>7127</v>
      </c>
      <c r="D1087" s="2" t="s">
        <v>7185</v>
      </c>
      <c r="E1087" s="2" t="s">
        <v>1755</v>
      </c>
      <c r="F1087" s="2" t="s">
        <v>477</v>
      </c>
      <c r="G1087" s="2" t="s">
        <v>7181</v>
      </c>
      <c r="H1087" s="2"/>
      <c r="I1087" s="2" t="s">
        <v>5922</v>
      </c>
      <c r="J1087" s="2" t="s">
        <v>5933</v>
      </c>
      <c r="K1087" s="3" t="b">
        <f>J1087 = "blocking"</f>
        <v>1</v>
      </c>
      <c r="L1087" s="2" t="s">
        <v>1428</v>
      </c>
      <c r="M1087" s="2" t="s">
        <v>7130</v>
      </c>
      <c r="N1087" s="4">
        <v>46223.1297337963</v>
      </c>
      <c r="O1087" s="3" t="b">
        <f>L1087 = "PASS"</f>
        <v>1</v>
      </c>
      <c r="P1087" s="3" t="b">
        <f>L1087 = "FAIL"</f>
        <v>0</v>
      </c>
      <c r="Q1087" s="3" t="b">
        <f>AND(P1087, K1087)</f>
        <v>0</v>
      </c>
      <c r="R1087" s="3" t="str">
        <f>IF(O1087, I1087, "")</f>
        <v>suite-integrity</v>
      </c>
      <c r="S1087" s="3" t="str">
        <f>IF(Q1087, I1087, "")</f>
      </c>
      <c r="T1087" s="2" t="s">
        <v>5935</v>
      </c>
    </row>
    <row r="1088">
      <c r="A1088" s="2" t="s">
        <v>7186</v>
      </c>
      <c r="B1088" s="3" t="str">
        <f>C1088 &amp; ": " &amp; D1088</f>
        <v>fk-resolves: ProcedureStatusChanges.ChangedByAgent -&gt; Agents</v>
      </c>
      <c r="C1088" s="2" t="s">
        <v>7127</v>
      </c>
      <c r="D1088" s="2" t="s">
        <v>7187</v>
      </c>
      <c r="E1088" s="2" t="s">
        <v>1755</v>
      </c>
      <c r="F1088" s="2" t="s">
        <v>481</v>
      </c>
      <c r="G1088" s="2" t="s">
        <v>7135</v>
      </c>
      <c r="H1088" s="2"/>
      <c r="I1088" s="2" t="s">
        <v>5922</v>
      </c>
      <c r="J1088" s="2" t="s">
        <v>5933</v>
      </c>
      <c r="K1088" s="3" t="b">
        <f>J1088 = "blocking"</f>
        <v>1</v>
      </c>
      <c r="L1088" s="2" t="s">
        <v>1428</v>
      </c>
      <c r="M1088" s="2" t="s">
        <v>7130</v>
      </c>
      <c r="N1088" s="4">
        <v>46223.1297337963</v>
      </c>
      <c r="O1088" s="3" t="b">
        <f>L1088 = "PASS"</f>
        <v>1</v>
      </c>
      <c r="P1088" s="3" t="b">
        <f>L1088 = "FAIL"</f>
        <v>0</v>
      </c>
      <c r="Q1088" s="3" t="b">
        <f>AND(P1088, K1088)</f>
        <v>0</v>
      </c>
      <c r="R1088" s="3" t="str">
        <f>IF(O1088, I1088, "")</f>
        <v>suite-integrity</v>
      </c>
      <c r="S1088" s="3" t="str">
        <f>IF(Q1088, I1088, "")</f>
      </c>
      <c r="T1088" s="2" t="s">
        <v>5935</v>
      </c>
    </row>
    <row r="1089">
      <c r="A1089" s="2" t="s">
        <v>7188</v>
      </c>
      <c r="B1089" s="3" t="str">
        <f>C1089 &amp; ": " &amp; D1089</f>
        <v>fk-resolves: Steps.ProcedureVersion -&gt; ProcedureVersions</v>
      </c>
      <c r="C1089" s="2" t="s">
        <v>7127</v>
      </c>
      <c r="D1089" s="2" t="s">
        <v>7189</v>
      </c>
      <c r="E1089" s="2" t="s">
        <v>1758</v>
      </c>
      <c r="F1089" s="2" t="s">
        <v>477</v>
      </c>
      <c r="G1089" s="2" t="s">
        <v>7181</v>
      </c>
      <c r="H1089" s="2"/>
      <c r="I1089" s="2" t="s">
        <v>5922</v>
      </c>
      <c r="J1089" s="2" t="s">
        <v>5933</v>
      </c>
      <c r="K1089" s="3" t="b">
        <f>J1089 = "blocking"</f>
        <v>1</v>
      </c>
      <c r="L1089" s="2" t="s">
        <v>1428</v>
      </c>
      <c r="M1089" s="2" t="s">
        <v>7130</v>
      </c>
      <c r="N1089" s="4">
        <v>46223.1297337963</v>
      </c>
      <c r="O1089" s="3" t="b">
        <f>L1089 = "PASS"</f>
        <v>1</v>
      </c>
      <c r="P1089" s="3" t="b">
        <f>L1089 = "FAIL"</f>
        <v>0</v>
      </c>
      <c r="Q1089" s="3" t="b">
        <f>AND(P1089, K1089)</f>
        <v>0</v>
      </c>
      <c r="R1089" s="3" t="str">
        <f>IF(O1089, I1089, "")</f>
        <v>suite-integrity</v>
      </c>
      <c r="S1089" s="3" t="str">
        <f>IF(Q1089, I1089, "")</f>
      </c>
      <c r="T1089" s="2" t="s">
        <v>5935</v>
      </c>
    </row>
    <row r="1090">
      <c r="A1090" s="2" t="s">
        <v>7190</v>
      </c>
      <c r="B1090" s="3" t="str">
        <f>C1090 &amp; ": " &amp; D1090</f>
        <v>fk-resolves: Steps.AssignedRole -&gt; Roles</v>
      </c>
      <c r="C1090" s="2" t="s">
        <v>7127</v>
      </c>
      <c r="D1090" s="2" t="s">
        <v>7191</v>
      </c>
      <c r="E1090" s="2" t="s">
        <v>1758</v>
      </c>
      <c r="F1090" s="2" t="s">
        <v>500</v>
      </c>
      <c r="G1090" s="2" t="s">
        <v>7138</v>
      </c>
      <c r="H1090" s="2"/>
      <c r="I1090" s="2" t="s">
        <v>5922</v>
      </c>
      <c r="J1090" s="2" t="s">
        <v>5933</v>
      </c>
      <c r="K1090" s="3" t="b">
        <f>J1090 = "blocking"</f>
        <v>1</v>
      </c>
      <c r="L1090" s="2" t="s">
        <v>1428</v>
      </c>
      <c r="M1090" s="2" t="s">
        <v>7130</v>
      </c>
      <c r="N1090" s="4">
        <v>46223.1297337963</v>
      </c>
      <c r="O1090" s="3" t="b">
        <f>L1090 = "PASS"</f>
        <v>1</v>
      </c>
      <c r="P1090" s="3" t="b">
        <f>L1090 = "FAIL"</f>
        <v>0</v>
      </c>
      <c r="Q1090" s="3" t="b">
        <f>AND(P1090, K1090)</f>
        <v>0</v>
      </c>
      <c r="R1090" s="3" t="str">
        <f>IF(O1090, I1090, "")</f>
        <v>suite-integrity</v>
      </c>
      <c r="S1090" s="3" t="str">
        <f>IF(Q1090, I1090, "")</f>
      </c>
      <c r="T1090" s="2" t="s">
        <v>5935</v>
      </c>
    </row>
    <row r="1091">
      <c r="A1091" s="2" t="s">
        <v>7192</v>
      </c>
      <c r="B1091" s="3" t="str">
        <f>C1091 &amp; ": " &amp; D1091</f>
        <v>fk-resolves: StepTransitions.ProcedureVersion -&gt; ProcedureVersions</v>
      </c>
      <c r="C1091" s="2" t="s">
        <v>7127</v>
      </c>
      <c r="D1091" s="2" t="s">
        <v>7193</v>
      </c>
      <c r="E1091" s="2" t="s">
        <v>1764</v>
      </c>
      <c r="F1091" s="2" t="s">
        <v>477</v>
      </c>
      <c r="G1091" s="2" t="s">
        <v>7181</v>
      </c>
      <c r="H1091" s="2"/>
      <c r="I1091" s="2" t="s">
        <v>5922</v>
      </c>
      <c r="J1091" s="2" t="s">
        <v>5933</v>
      </c>
      <c r="K1091" s="3" t="b">
        <f>J1091 = "blocking"</f>
        <v>1</v>
      </c>
      <c r="L1091" s="2" t="s">
        <v>1428</v>
      </c>
      <c r="M1091" s="2" t="s">
        <v>7130</v>
      </c>
      <c r="N1091" s="4">
        <v>46223.1297337963</v>
      </c>
      <c r="O1091" s="3" t="b">
        <f>L1091 = "PASS"</f>
        <v>1</v>
      </c>
      <c r="P1091" s="3" t="b">
        <f>L1091 = "FAIL"</f>
        <v>0</v>
      </c>
      <c r="Q1091" s="3" t="b">
        <f>AND(P1091, K1091)</f>
        <v>0</v>
      </c>
      <c r="R1091" s="3" t="str">
        <f>IF(O1091, I1091, "")</f>
        <v>suite-integrity</v>
      </c>
      <c r="S1091" s="3" t="str">
        <f>IF(Q1091, I1091, "")</f>
      </c>
      <c r="T1091" s="2" t="s">
        <v>5935</v>
      </c>
    </row>
    <row r="1092">
      <c r="A1092" s="2" t="s">
        <v>7194</v>
      </c>
      <c r="B1092" s="3" t="str">
        <f>C1092 &amp; ": " &amp; D1092</f>
        <v>fk-resolves: StepTransitions.FromStep -&gt; Steps</v>
      </c>
      <c r="C1092" s="2" t="s">
        <v>7127</v>
      </c>
      <c r="D1092" s="2" t="s">
        <v>7195</v>
      </c>
      <c r="E1092" s="2" t="s">
        <v>1764</v>
      </c>
      <c r="F1092" s="2" t="s">
        <v>609</v>
      </c>
      <c r="G1092" s="2" t="s">
        <v>7196</v>
      </c>
      <c r="H1092" s="2"/>
      <c r="I1092" s="2" t="s">
        <v>5922</v>
      </c>
      <c r="J1092" s="2" t="s">
        <v>5933</v>
      </c>
      <c r="K1092" s="3" t="b">
        <f>J1092 = "blocking"</f>
        <v>1</v>
      </c>
      <c r="L1092" s="2" t="s">
        <v>1428</v>
      </c>
      <c r="M1092" s="2" t="s">
        <v>7130</v>
      </c>
      <c r="N1092" s="4">
        <v>46223.1297337963</v>
      </c>
      <c r="O1092" s="3" t="b">
        <f>L1092 = "PASS"</f>
        <v>1</v>
      </c>
      <c r="P1092" s="3" t="b">
        <f>L1092 = "FAIL"</f>
        <v>0</v>
      </c>
      <c r="Q1092" s="3" t="b">
        <f>AND(P1092, K1092)</f>
        <v>0</v>
      </c>
      <c r="R1092" s="3" t="str">
        <f>IF(O1092, I1092, "")</f>
        <v>suite-integrity</v>
      </c>
      <c r="S1092" s="3" t="str">
        <f>IF(Q1092, I1092, "")</f>
      </c>
      <c r="T1092" s="2" t="s">
        <v>5935</v>
      </c>
    </row>
    <row r="1093">
      <c r="A1093" s="2" t="s">
        <v>7197</v>
      </c>
      <c r="B1093" s="3" t="str">
        <f>C1093 &amp; ": " &amp; D1093</f>
        <v>fk-resolves: StepTransitions.ToStep -&gt; Steps</v>
      </c>
      <c r="C1093" s="2" t="s">
        <v>7127</v>
      </c>
      <c r="D1093" s="2" t="s">
        <v>7198</v>
      </c>
      <c r="E1093" s="2" t="s">
        <v>1764</v>
      </c>
      <c r="F1093" s="2" t="s">
        <v>610</v>
      </c>
      <c r="G1093" s="2" t="s">
        <v>7196</v>
      </c>
      <c r="H1093" s="2"/>
      <c r="I1093" s="2" t="s">
        <v>5922</v>
      </c>
      <c r="J1093" s="2" t="s">
        <v>5933</v>
      </c>
      <c r="K1093" s="3" t="b">
        <f>J1093 = "blocking"</f>
        <v>1</v>
      </c>
      <c r="L1093" s="2" t="s">
        <v>1428</v>
      </c>
      <c r="M1093" s="2" t="s">
        <v>7130</v>
      </c>
      <c r="N1093" s="4">
        <v>46223.1297337963</v>
      </c>
      <c r="O1093" s="3" t="b">
        <f>L1093 = "PASS"</f>
        <v>1</v>
      </c>
      <c r="P1093" s="3" t="b">
        <f>L1093 = "FAIL"</f>
        <v>0</v>
      </c>
      <c r="Q1093" s="3" t="b">
        <f>AND(P1093, K1093)</f>
        <v>0</v>
      </c>
      <c r="R1093" s="3" t="str">
        <f>IF(O1093, I1093, "")</f>
        <v>suite-integrity</v>
      </c>
      <c r="S1093" s="3" t="str">
        <f>IF(Q1093, I1093, "")</f>
      </c>
      <c r="T1093" s="2" t="s">
        <v>5935</v>
      </c>
    </row>
    <row r="1094">
      <c r="A1094" s="2" t="s">
        <v>7199</v>
      </c>
      <c r="B1094" s="3" t="str">
        <f>C1094 &amp; ": " &amp; D1094</f>
        <v>fk-resolves: StepActions.Step -&gt; Steps</v>
      </c>
      <c r="C1094" s="2" t="s">
        <v>7127</v>
      </c>
      <c r="D1094" s="2" t="s">
        <v>7200</v>
      </c>
      <c r="E1094" s="2" t="s">
        <v>2962</v>
      </c>
      <c r="F1094" s="2" t="s">
        <v>747</v>
      </c>
      <c r="G1094" s="2" t="s">
        <v>7196</v>
      </c>
      <c r="H1094" s="2"/>
      <c r="I1094" s="2" t="s">
        <v>5922</v>
      </c>
      <c r="J1094" s="2" t="s">
        <v>5933</v>
      </c>
      <c r="K1094" s="3" t="b">
        <f>J1094 = "blocking"</f>
        <v>1</v>
      </c>
      <c r="L1094" s="2" t="s">
        <v>1428</v>
      </c>
      <c r="M1094" s="2" t="s">
        <v>7130</v>
      </c>
      <c r="N1094" s="4">
        <v>46223.1297337963</v>
      </c>
      <c r="O1094" s="3" t="b">
        <f>L1094 = "PASS"</f>
        <v>1</v>
      </c>
      <c r="P1094" s="3" t="b">
        <f>L1094 = "FAIL"</f>
        <v>0</v>
      </c>
      <c r="Q1094" s="3" t="b">
        <f>AND(P1094, K1094)</f>
        <v>0</v>
      </c>
      <c r="R1094" s="3" t="str">
        <f>IF(O1094, I1094, "")</f>
        <v>suite-integrity</v>
      </c>
      <c r="S1094" s="3" t="str">
        <f>IF(Q1094, I1094, "")</f>
      </c>
      <c r="T1094" s="2" t="s">
        <v>5935</v>
      </c>
    </row>
    <row r="1095">
      <c r="A1095" s="2" t="s">
        <v>7201</v>
      </c>
      <c r="B1095" s="3" t="str">
        <f>C1095 &amp; ": " &amp; D1095</f>
        <v>fk-resolves: StepActions.Action -&gt; Actions</v>
      </c>
      <c r="C1095" s="2" t="s">
        <v>7127</v>
      </c>
      <c r="D1095" s="2" t="s">
        <v>7202</v>
      </c>
      <c r="E1095" s="2" t="s">
        <v>2962</v>
      </c>
      <c r="F1095" s="2" t="s">
        <v>748</v>
      </c>
      <c r="G1095" s="2" t="s">
        <v>7203</v>
      </c>
      <c r="H1095" s="2"/>
      <c r="I1095" s="2" t="s">
        <v>5922</v>
      </c>
      <c r="J1095" s="2" t="s">
        <v>5933</v>
      </c>
      <c r="K1095" s="3" t="b">
        <f>J1095 = "blocking"</f>
        <v>1</v>
      </c>
      <c r="L1095" s="2" t="s">
        <v>1428</v>
      </c>
      <c r="M1095" s="2" t="s">
        <v>7130</v>
      </c>
      <c r="N1095" s="4">
        <v>46223.1297337963</v>
      </c>
      <c r="O1095" s="3" t="b">
        <f>L1095 = "PASS"</f>
        <v>1</v>
      </c>
      <c r="P1095" s="3" t="b">
        <f>L1095 = "FAIL"</f>
        <v>0</v>
      </c>
      <c r="Q1095" s="3" t="b">
        <f>AND(P1095, K1095)</f>
        <v>0</v>
      </c>
      <c r="R1095" s="3" t="str">
        <f>IF(O1095, I1095, "")</f>
        <v>suite-integrity</v>
      </c>
      <c r="S1095" s="3" t="str">
        <f>IF(Q1095, I1095, "")</f>
      </c>
      <c r="T1095" s="2" t="s">
        <v>5935</v>
      </c>
    </row>
    <row r="1096">
      <c r="A1096" s="2" t="s">
        <v>7204</v>
      </c>
      <c r="B1096" s="3" t="str">
        <f>C1096 &amp; ": " &amp; D1096</f>
        <v>fk-resolves: StepFunctions.Step -&gt; Steps</v>
      </c>
      <c r="C1096" s="2" t="s">
        <v>7127</v>
      </c>
      <c r="D1096" s="2" t="s">
        <v>7205</v>
      </c>
      <c r="E1096" s="2" t="s">
        <v>2968</v>
      </c>
      <c r="F1096" s="2" t="s">
        <v>747</v>
      </c>
      <c r="G1096" s="2" t="s">
        <v>7196</v>
      </c>
      <c r="H1096" s="2"/>
      <c r="I1096" s="2" t="s">
        <v>5922</v>
      </c>
      <c r="J1096" s="2" t="s">
        <v>5933</v>
      </c>
      <c r="K1096" s="3" t="b">
        <f>J1096 = "blocking"</f>
        <v>1</v>
      </c>
      <c r="L1096" s="2" t="s">
        <v>1428</v>
      </c>
      <c r="M1096" s="2" t="s">
        <v>7130</v>
      </c>
      <c r="N1096" s="4">
        <v>46223.1297337963</v>
      </c>
      <c r="O1096" s="3" t="b">
        <f>L1096 = "PASS"</f>
        <v>1</v>
      </c>
      <c r="P1096" s="3" t="b">
        <f>L1096 = "FAIL"</f>
        <v>0</v>
      </c>
      <c r="Q1096" s="3" t="b">
        <f>AND(P1096, K1096)</f>
        <v>0</v>
      </c>
      <c r="R1096" s="3" t="str">
        <f>IF(O1096, I1096, "")</f>
        <v>suite-integrity</v>
      </c>
      <c r="S1096" s="3" t="str">
        <f>IF(Q1096, I1096, "")</f>
      </c>
      <c r="T1096" s="2" t="s">
        <v>5935</v>
      </c>
    </row>
    <row r="1097">
      <c r="A1097" s="2" t="s">
        <v>7206</v>
      </c>
      <c r="B1097" s="3" t="str">
        <f>C1097 &amp; ": " &amp; D1097</f>
        <v>fk-resolves: StepFunctions.Function -&gt; Functions</v>
      </c>
      <c r="C1097" s="2" t="s">
        <v>7127</v>
      </c>
      <c r="D1097" s="2" t="s">
        <v>7207</v>
      </c>
      <c r="E1097" s="2" t="s">
        <v>2968</v>
      </c>
      <c r="F1097" s="2" t="s">
        <v>759</v>
      </c>
      <c r="G1097" s="2" t="s">
        <v>7208</v>
      </c>
      <c r="H1097" s="2"/>
      <c r="I1097" s="2" t="s">
        <v>5922</v>
      </c>
      <c r="J1097" s="2" t="s">
        <v>5933</v>
      </c>
      <c r="K1097" s="3" t="b">
        <f>J1097 = "blocking"</f>
        <v>1</v>
      </c>
      <c r="L1097" s="2" t="s">
        <v>1428</v>
      </c>
      <c r="M1097" s="2" t="s">
        <v>7130</v>
      </c>
      <c r="N1097" s="4">
        <v>46223.1297337963</v>
      </c>
      <c r="O1097" s="3" t="b">
        <f>L1097 = "PASS"</f>
        <v>1</v>
      </c>
      <c r="P1097" s="3" t="b">
        <f>L1097 = "FAIL"</f>
        <v>0</v>
      </c>
      <c r="Q1097" s="3" t="b">
        <f>AND(P1097, K1097)</f>
        <v>0</v>
      </c>
      <c r="R1097" s="3" t="str">
        <f>IF(O1097, I1097, "")</f>
        <v>suite-integrity</v>
      </c>
      <c r="S1097" s="3" t="str">
        <f>IF(Q1097, I1097, "")</f>
      </c>
      <c r="T1097" s="2" t="s">
        <v>5935</v>
      </c>
    </row>
    <row r="1098">
      <c r="A1098" s="2" t="s">
        <v>7209</v>
      </c>
      <c r="B1098" s="3" t="str">
        <f>C1098 &amp; ": " &amp; D1098</f>
        <v>fk-resolves: StepTools.Step -&gt; Steps</v>
      </c>
      <c r="C1098" s="2" t="s">
        <v>7127</v>
      </c>
      <c r="D1098" s="2" t="s">
        <v>7210</v>
      </c>
      <c r="E1098" s="2" t="s">
        <v>2974</v>
      </c>
      <c r="F1098" s="2" t="s">
        <v>747</v>
      </c>
      <c r="G1098" s="2" t="s">
        <v>7196</v>
      </c>
      <c r="H1098" s="2"/>
      <c r="I1098" s="2" t="s">
        <v>5922</v>
      </c>
      <c r="J1098" s="2" t="s">
        <v>5933</v>
      </c>
      <c r="K1098" s="3" t="b">
        <f>J1098 = "blocking"</f>
        <v>1</v>
      </c>
      <c r="L1098" s="2" t="s">
        <v>1428</v>
      </c>
      <c r="M1098" s="2" t="s">
        <v>7130</v>
      </c>
      <c r="N1098" s="4">
        <v>46223.1297337963</v>
      </c>
      <c r="O1098" s="3" t="b">
        <f>L1098 = "PASS"</f>
        <v>1</v>
      </c>
      <c r="P1098" s="3" t="b">
        <f>L1098 = "FAIL"</f>
        <v>0</v>
      </c>
      <c r="Q1098" s="3" t="b">
        <f>AND(P1098, K1098)</f>
        <v>0</v>
      </c>
      <c r="R1098" s="3" t="str">
        <f>IF(O1098, I1098, "")</f>
        <v>suite-integrity</v>
      </c>
      <c r="S1098" s="3" t="str">
        <f>IF(Q1098, I1098, "")</f>
      </c>
      <c r="T1098" s="2" t="s">
        <v>5935</v>
      </c>
    </row>
    <row r="1099">
      <c r="A1099" s="2" t="s">
        <v>7211</v>
      </c>
      <c r="B1099" s="3" t="str">
        <f>C1099 &amp; ": " &amp; D1099</f>
        <v>fk-resolves: StepTools.Tool -&gt; Tools</v>
      </c>
      <c r="C1099" s="2" t="s">
        <v>7127</v>
      </c>
      <c r="D1099" s="2" t="s">
        <v>7212</v>
      </c>
      <c r="E1099" s="2" t="s">
        <v>2974</v>
      </c>
      <c r="F1099" s="2" t="s">
        <v>769</v>
      </c>
      <c r="G1099" s="2" t="s">
        <v>7213</v>
      </c>
      <c r="H1099" s="2"/>
      <c r="I1099" s="2" t="s">
        <v>5922</v>
      </c>
      <c r="J1099" s="2" t="s">
        <v>5933</v>
      </c>
      <c r="K1099" s="3" t="b">
        <f>J1099 = "blocking"</f>
        <v>1</v>
      </c>
      <c r="L1099" s="2" t="s">
        <v>1428</v>
      </c>
      <c r="M1099" s="2" t="s">
        <v>7130</v>
      </c>
      <c r="N1099" s="4">
        <v>46223.1297337963</v>
      </c>
      <c r="O1099" s="3" t="b">
        <f>L1099 = "PASS"</f>
        <v>1</v>
      </c>
      <c r="P1099" s="3" t="b">
        <f>L1099 = "FAIL"</f>
        <v>0</v>
      </c>
      <c r="Q1099" s="3" t="b">
        <f>AND(P1099, K1099)</f>
        <v>0</v>
      </c>
      <c r="R1099" s="3" t="str">
        <f>IF(O1099, I1099, "")</f>
        <v>suite-integrity</v>
      </c>
      <c r="S1099" s="3" t="str">
        <f>IF(Q1099, I1099, "")</f>
      </c>
      <c r="T1099" s="2" t="s">
        <v>5935</v>
      </c>
    </row>
    <row r="1100">
      <c r="A1100" s="2" t="s">
        <v>7214</v>
      </c>
      <c r="B1100" s="3" t="str">
        <f>C1100 &amp; ": " &amp; D1100</f>
        <v>fk-resolves: Requirements.AccountableRole -&gt; Roles</v>
      </c>
      <c r="C1100" s="2" t="s">
        <v>7127</v>
      </c>
      <c r="D1100" s="2" t="s">
        <v>7215</v>
      </c>
      <c r="E1100" s="2" t="s">
        <v>1785</v>
      </c>
      <c r="F1100" s="2" t="s">
        <v>810</v>
      </c>
      <c r="G1100" s="2" t="s">
        <v>7138</v>
      </c>
      <c r="H1100" s="2"/>
      <c r="I1100" s="2" t="s">
        <v>5922</v>
      </c>
      <c r="J1100" s="2" t="s">
        <v>5933</v>
      </c>
      <c r="K1100" s="3" t="b">
        <f>J1100 = "blocking"</f>
        <v>1</v>
      </c>
      <c r="L1100" s="2" t="s">
        <v>1428</v>
      </c>
      <c r="M1100" s="2" t="s">
        <v>7130</v>
      </c>
      <c r="N1100" s="4">
        <v>46223.1297337963</v>
      </c>
      <c r="O1100" s="3" t="b">
        <f>L1100 = "PASS"</f>
        <v>1</v>
      </c>
      <c r="P1100" s="3" t="b">
        <f>L1100 = "FAIL"</f>
        <v>0</v>
      </c>
      <c r="Q1100" s="3" t="b">
        <f>AND(P1100, K1100)</f>
        <v>0</v>
      </c>
      <c r="R1100" s="3" t="str">
        <f>IF(O1100, I1100, "")</f>
        <v>suite-integrity</v>
      </c>
      <c r="S1100" s="3" t="str">
        <f>IF(Q1100, I1100, "")</f>
      </c>
      <c r="T1100" s="2" t="s">
        <v>5935</v>
      </c>
    </row>
    <row r="1101">
      <c r="A1101" s="2" t="s">
        <v>7216</v>
      </c>
      <c r="B1101" s="3" t="str">
        <f>C1101 &amp; ": " &amp; D1101</f>
        <v>fk-resolves: StepRequirements.Step -&gt; Steps</v>
      </c>
      <c r="C1101" s="2" t="s">
        <v>7127</v>
      </c>
      <c r="D1101" s="2" t="s">
        <v>7217</v>
      </c>
      <c r="E1101" s="2" t="s">
        <v>3053</v>
      </c>
      <c r="F1101" s="2" t="s">
        <v>747</v>
      </c>
      <c r="G1101" s="2" t="s">
        <v>7196</v>
      </c>
      <c r="H1101" s="2"/>
      <c r="I1101" s="2" t="s">
        <v>5922</v>
      </c>
      <c r="J1101" s="2" t="s">
        <v>5933</v>
      </c>
      <c r="K1101" s="3" t="b">
        <f>J1101 = "blocking"</f>
        <v>1</v>
      </c>
      <c r="L1101" s="2" t="s">
        <v>1428</v>
      </c>
      <c r="M1101" s="2" t="s">
        <v>7130</v>
      </c>
      <c r="N1101" s="4">
        <v>46223.1297337963</v>
      </c>
      <c r="O1101" s="3" t="b">
        <f>L1101 = "PASS"</f>
        <v>1</v>
      </c>
      <c r="P1101" s="3" t="b">
        <f>L1101 = "FAIL"</f>
        <v>0</v>
      </c>
      <c r="Q1101" s="3" t="b">
        <f>AND(P1101, K1101)</f>
        <v>0</v>
      </c>
      <c r="R1101" s="3" t="str">
        <f>IF(O1101, I1101, "")</f>
        <v>suite-integrity</v>
      </c>
      <c r="S1101" s="3" t="str">
        <f>IF(Q1101, I1101, "")</f>
      </c>
      <c r="T1101" s="2" t="s">
        <v>5935</v>
      </c>
    </row>
    <row r="1102">
      <c r="A1102" s="2" t="s">
        <v>7218</v>
      </c>
      <c r="B1102" s="3" t="str">
        <f>C1102 &amp; ": " &amp; D1102</f>
        <v>fk-resolves: StepRequirements.Requirement -&gt; Requirements</v>
      </c>
      <c r="C1102" s="2" t="s">
        <v>7127</v>
      </c>
      <c r="D1102" s="2" t="s">
        <v>7219</v>
      </c>
      <c r="E1102" s="2" t="s">
        <v>3053</v>
      </c>
      <c r="F1102" s="2" t="s">
        <v>894</v>
      </c>
      <c r="G1102" s="2" t="s">
        <v>7220</v>
      </c>
      <c r="H1102" s="2"/>
      <c r="I1102" s="2" t="s">
        <v>5922</v>
      </c>
      <c r="J1102" s="2" t="s">
        <v>5933</v>
      </c>
      <c r="K1102" s="3" t="b">
        <f>J1102 = "blocking"</f>
        <v>1</v>
      </c>
      <c r="L1102" s="2" t="s">
        <v>1428</v>
      </c>
      <c r="M1102" s="2" t="s">
        <v>7130</v>
      </c>
      <c r="N1102" s="4">
        <v>46223.1297337963</v>
      </c>
      <c r="O1102" s="3" t="b">
        <f>L1102 = "PASS"</f>
        <v>1</v>
      </c>
      <c r="P1102" s="3" t="b">
        <f>L1102 = "FAIL"</f>
        <v>0</v>
      </c>
      <c r="Q1102" s="3" t="b">
        <f>AND(P1102, K1102)</f>
        <v>0</v>
      </c>
      <c r="R1102" s="3" t="str">
        <f>IF(O1102, I1102, "")</f>
        <v>suite-integrity</v>
      </c>
      <c r="S1102" s="3" t="str">
        <f>IF(Q1102, I1102, "")</f>
      </c>
      <c r="T1102" s="2" t="s">
        <v>5935</v>
      </c>
    </row>
    <row r="1103">
      <c r="A1103" s="2" t="s">
        <v>7221</v>
      </c>
      <c r="B1103" s="3" t="str">
        <f>C1103 &amp; ": " &amp; D1103</f>
        <v>fk-resolves: StepVerifications.Step -&gt; Steps</v>
      </c>
      <c r="C1103" s="2" t="s">
        <v>7127</v>
      </c>
      <c r="D1103" s="2" t="s">
        <v>7222</v>
      </c>
      <c r="E1103" s="2" t="s">
        <v>1788</v>
      </c>
      <c r="F1103" s="2" t="s">
        <v>747</v>
      </c>
      <c r="G1103" s="2" t="s">
        <v>7196</v>
      </c>
      <c r="H1103" s="2"/>
      <c r="I1103" s="2" t="s">
        <v>5922</v>
      </c>
      <c r="J1103" s="2" t="s">
        <v>5933</v>
      </c>
      <c r="K1103" s="3" t="b">
        <f>J1103 = "blocking"</f>
        <v>1</v>
      </c>
      <c r="L1103" s="2" t="s">
        <v>1428</v>
      </c>
      <c r="M1103" s="2" t="s">
        <v>7130</v>
      </c>
      <c r="N1103" s="4">
        <v>46223.1297337963</v>
      </c>
      <c r="O1103" s="3" t="b">
        <f>L1103 = "PASS"</f>
        <v>1</v>
      </c>
      <c r="P1103" s="3" t="b">
        <f>L1103 = "FAIL"</f>
        <v>0</v>
      </c>
      <c r="Q1103" s="3" t="b">
        <f>AND(P1103, K1103)</f>
        <v>0</v>
      </c>
      <c r="R1103" s="3" t="str">
        <f>IF(O1103, I1103, "")</f>
        <v>suite-integrity</v>
      </c>
      <c r="S1103" s="3" t="str">
        <f>IF(Q1103, I1103, "")</f>
      </c>
      <c r="T1103" s="2" t="s">
        <v>5935</v>
      </c>
    </row>
    <row r="1104">
      <c r="A1104" s="2" t="s">
        <v>7223</v>
      </c>
      <c r="B1104" s="3" t="str">
        <f>C1104 &amp; ": " &amp; D1104</f>
        <v>fk-resolves: Rationales.ProcedureVersion -&gt; ProcedureVersions</v>
      </c>
      <c r="C1104" s="2" t="s">
        <v>7127</v>
      </c>
      <c r="D1104" s="2" t="s">
        <v>7224</v>
      </c>
      <c r="E1104" s="2" t="s">
        <v>3085</v>
      </c>
      <c r="F1104" s="2" t="s">
        <v>477</v>
      </c>
      <c r="G1104" s="2" t="s">
        <v>7181</v>
      </c>
      <c r="H1104" s="2"/>
      <c r="I1104" s="2" t="s">
        <v>5922</v>
      </c>
      <c r="J1104" s="2" t="s">
        <v>5933</v>
      </c>
      <c r="K1104" s="3" t="b">
        <f>J1104 = "blocking"</f>
        <v>1</v>
      </c>
      <c r="L1104" s="2" t="s">
        <v>1428</v>
      </c>
      <c r="M1104" s="2" t="s">
        <v>7130</v>
      </c>
      <c r="N1104" s="4">
        <v>46223.1297337963</v>
      </c>
      <c r="O1104" s="3" t="b">
        <f>L1104 = "PASS"</f>
        <v>1</v>
      </c>
      <c r="P1104" s="3" t="b">
        <f>L1104 = "FAIL"</f>
        <v>0</v>
      </c>
      <c r="Q1104" s="3" t="b">
        <f>AND(P1104, K1104)</f>
        <v>0</v>
      </c>
      <c r="R1104" s="3" t="str">
        <f>IF(O1104, I1104, "")</f>
        <v>suite-integrity</v>
      </c>
      <c r="S1104" s="3" t="str">
        <f>IF(Q1104, I1104, "")</f>
      </c>
      <c r="T1104" s="2" t="s">
        <v>5935</v>
      </c>
    </row>
    <row r="1105">
      <c r="A1105" s="2" t="s">
        <v>7225</v>
      </c>
      <c r="B1105" s="3" t="str">
        <f>C1105 &amp; ": " &amp; D1105</f>
        <v>fk-resolves: Rationales.Step -&gt; Steps</v>
      </c>
      <c r="C1105" s="2" t="s">
        <v>7127</v>
      </c>
      <c r="D1105" s="2" t="s">
        <v>7226</v>
      </c>
      <c r="E1105" s="2" t="s">
        <v>3085</v>
      </c>
      <c r="F1105" s="2" t="s">
        <v>747</v>
      </c>
      <c r="G1105" s="2" t="s">
        <v>7196</v>
      </c>
      <c r="H1105" s="2"/>
      <c r="I1105" s="2" t="s">
        <v>5922</v>
      </c>
      <c r="J1105" s="2" t="s">
        <v>5933</v>
      </c>
      <c r="K1105" s="3" t="b">
        <f>J1105 = "blocking"</f>
        <v>1</v>
      </c>
      <c r="L1105" s="2" t="s">
        <v>1428</v>
      </c>
      <c r="M1105" s="2" t="s">
        <v>7130</v>
      </c>
      <c r="N1105" s="4">
        <v>46223.1297337963</v>
      </c>
      <c r="O1105" s="3" t="b">
        <f>L1105 = "PASS"</f>
        <v>1</v>
      </c>
      <c r="P1105" s="3" t="b">
        <f>L1105 = "FAIL"</f>
        <v>0</v>
      </c>
      <c r="Q1105" s="3" t="b">
        <f>AND(P1105, K1105)</f>
        <v>0</v>
      </c>
      <c r="R1105" s="3" t="str">
        <f>IF(O1105, I1105, "")</f>
        <v>suite-integrity</v>
      </c>
      <c r="S1105" s="3" t="str">
        <f>IF(Q1105, I1105, "")</f>
      </c>
      <c r="T1105" s="2" t="s">
        <v>5935</v>
      </c>
    </row>
    <row r="1106">
      <c r="A1106" s="2" t="s">
        <v>7227</v>
      </c>
      <c r="B1106" s="3" t="str">
        <f>C1106 &amp; ": " &amp; D1106</f>
        <v>fk-resolves: Rationales.AuthorityRole -&gt; Roles</v>
      </c>
      <c r="C1106" s="2" t="s">
        <v>7127</v>
      </c>
      <c r="D1106" s="2" t="s">
        <v>7228</v>
      </c>
      <c r="E1106" s="2" t="s">
        <v>3085</v>
      </c>
      <c r="F1106" s="2" t="s">
        <v>966</v>
      </c>
      <c r="G1106" s="2" t="s">
        <v>7138</v>
      </c>
      <c r="H1106" s="2"/>
      <c r="I1106" s="2" t="s">
        <v>5922</v>
      </c>
      <c r="J1106" s="2" t="s">
        <v>5933</v>
      </c>
      <c r="K1106" s="3" t="b">
        <f>J1106 = "blocking"</f>
        <v>1</v>
      </c>
      <c r="L1106" s="2" t="s">
        <v>1428</v>
      </c>
      <c r="M1106" s="2" t="s">
        <v>7130</v>
      </c>
      <c r="N1106" s="4">
        <v>46223.1297337963</v>
      </c>
      <c r="O1106" s="3" t="b">
        <f>L1106 = "PASS"</f>
        <v>1</v>
      </c>
      <c r="P1106" s="3" t="b">
        <f>L1106 = "FAIL"</f>
        <v>0</v>
      </c>
      <c r="Q1106" s="3" t="b">
        <f>AND(P1106, K1106)</f>
        <v>0</v>
      </c>
      <c r="R1106" s="3" t="str">
        <f>IF(O1106, I1106, "")</f>
        <v>suite-integrity</v>
      </c>
      <c r="S1106" s="3" t="str">
        <f>IF(Q1106, I1106, "")</f>
      </c>
      <c r="T1106" s="2" t="s">
        <v>5935</v>
      </c>
    </row>
    <row r="1107">
      <c r="A1107" s="2" t="s">
        <v>7229</v>
      </c>
      <c r="B1107" s="3" t="str">
        <f>C1107 &amp; ": " &amp; D1107</f>
        <v>fk-resolves: Exceptions.ProcedureVersion -&gt; ProcedureVersions</v>
      </c>
      <c r="C1107" s="2" t="s">
        <v>7127</v>
      </c>
      <c r="D1107" s="2" t="s">
        <v>7230</v>
      </c>
      <c r="E1107" s="2" t="s">
        <v>3095</v>
      </c>
      <c r="F1107" s="2" t="s">
        <v>477</v>
      </c>
      <c r="G1107" s="2" t="s">
        <v>7181</v>
      </c>
      <c r="H1107" s="2"/>
      <c r="I1107" s="2" t="s">
        <v>5922</v>
      </c>
      <c r="J1107" s="2" t="s">
        <v>5933</v>
      </c>
      <c r="K1107" s="3" t="b">
        <f>J1107 = "blocking"</f>
        <v>1</v>
      </c>
      <c r="L1107" s="2" t="s">
        <v>1428</v>
      </c>
      <c r="M1107" s="2" t="s">
        <v>7130</v>
      </c>
      <c r="N1107" s="4">
        <v>46223.1297337963</v>
      </c>
      <c r="O1107" s="3" t="b">
        <f>L1107 = "PASS"</f>
        <v>1</v>
      </c>
      <c r="P1107" s="3" t="b">
        <f>L1107 = "FAIL"</f>
        <v>0</v>
      </c>
      <c r="Q1107" s="3" t="b">
        <f>AND(P1107, K1107)</f>
        <v>0</v>
      </c>
      <c r="R1107" s="3" t="str">
        <f>IF(O1107, I1107, "")</f>
        <v>suite-integrity</v>
      </c>
      <c r="S1107" s="3" t="str">
        <f>IF(Q1107, I1107, "")</f>
      </c>
      <c r="T1107" s="2" t="s">
        <v>5935</v>
      </c>
    </row>
    <row r="1108">
      <c r="A1108" s="2" t="s">
        <v>7231</v>
      </c>
      <c r="B1108" s="3" t="str">
        <f>C1108 &amp; ": " &amp; D1108</f>
        <v>fk-resolves: Exceptions.TriggerStep -&gt; Steps</v>
      </c>
      <c r="C1108" s="2" t="s">
        <v>7127</v>
      </c>
      <c r="D1108" s="2" t="s">
        <v>7232</v>
      </c>
      <c r="E1108" s="2" t="s">
        <v>3095</v>
      </c>
      <c r="F1108" s="2" t="s">
        <v>981</v>
      </c>
      <c r="G1108" s="2" t="s">
        <v>7196</v>
      </c>
      <c r="H1108" s="2"/>
      <c r="I1108" s="2" t="s">
        <v>5922</v>
      </c>
      <c r="J1108" s="2" t="s">
        <v>5933</v>
      </c>
      <c r="K1108" s="3" t="b">
        <f>J1108 = "blocking"</f>
        <v>1</v>
      </c>
      <c r="L1108" s="2" t="s">
        <v>1428</v>
      </c>
      <c r="M1108" s="2" t="s">
        <v>7130</v>
      </c>
      <c r="N1108" s="4">
        <v>46223.1297337963</v>
      </c>
      <c r="O1108" s="3" t="b">
        <f>L1108 = "PASS"</f>
        <v>1</v>
      </c>
      <c r="P1108" s="3" t="b">
        <f>L1108 = "FAIL"</f>
        <v>0</v>
      </c>
      <c r="Q1108" s="3" t="b">
        <f>AND(P1108, K1108)</f>
        <v>0</v>
      </c>
      <c r="R1108" s="3" t="str">
        <f>IF(O1108, I1108, "")</f>
        <v>suite-integrity</v>
      </c>
      <c r="S1108" s="3" t="str">
        <f>IF(Q1108, I1108, "")</f>
      </c>
      <c r="T1108" s="2" t="s">
        <v>5935</v>
      </c>
    </row>
    <row r="1109">
      <c r="A1109" s="2" t="s">
        <v>7233</v>
      </c>
      <c r="B1109" s="3" t="str">
        <f>C1109 &amp; ": " &amp; D1109</f>
        <v>fk-resolves: Exceptions.ApprovalRole -&gt; Roles</v>
      </c>
      <c r="C1109" s="2" t="s">
        <v>7127</v>
      </c>
      <c r="D1109" s="2" t="s">
        <v>7234</v>
      </c>
      <c r="E1109" s="2" t="s">
        <v>3095</v>
      </c>
      <c r="F1109" s="2" t="s">
        <v>983</v>
      </c>
      <c r="G1109" s="2" t="s">
        <v>7138</v>
      </c>
      <c r="H1109" s="2"/>
      <c r="I1109" s="2" t="s">
        <v>5922</v>
      </c>
      <c r="J1109" s="2" t="s">
        <v>5933</v>
      </c>
      <c r="K1109" s="3" t="b">
        <f>J1109 = "blocking"</f>
        <v>1</v>
      </c>
      <c r="L1109" s="2" t="s">
        <v>1428</v>
      </c>
      <c r="M1109" s="2" t="s">
        <v>7130</v>
      </c>
      <c r="N1109" s="4">
        <v>46223.1297337963</v>
      </c>
      <c r="O1109" s="3" t="b">
        <f>L1109 = "PASS"</f>
        <v>1</v>
      </c>
      <c r="P1109" s="3" t="b">
        <f>L1109 = "FAIL"</f>
        <v>0</v>
      </c>
      <c r="Q1109" s="3" t="b">
        <f>AND(P1109, K1109)</f>
        <v>0</v>
      </c>
      <c r="R1109" s="3" t="str">
        <f>IF(O1109, I1109, "")</f>
        <v>suite-integrity</v>
      </c>
      <c r="S1109" s="3" t="str">
        <f>IF(Q1109, I1109, "")</f>
      </c>
      <c r="T1109" s="2" t="s">
        <v>5935</v>
      </c>
    </row>
    <row r="1110">
      <c r="A1110" s="2" t="s">
        <v>7235</v>
      </c>
      <c r="B1110" s="3" t="str">
        <f>C1110 &amp; ": " &amp; D1110</f>
        <v>fk-resolves: Exceptions.FallbackRole -&gt; Roles</v>
      </c>
      <c r="C1110" s="2" t="s">
        <v>7127</v>
      </c>
      <c r="D1110" s="2" t="s">
        <v>7236</v>
      </c>
      <c r="E1110" s="2" t="s">
        <v>3095</v>
      </c>
      <c r="F1110" s="2" t="s">
        <v>984</v>
      </c>
      <c r="G1110" s="2" t="s">
        <v>7138</v>
      </c>
      <c r="H1110" s="2"/>
      <c r="I1110" s="2" t="s">
        <v>5922</v>
      </c>
      <c r="J1110" s="2" t="s">
        <v>5933</v>
      </c>
      <c r="K1110" s="3" t="b">
        <f>J1110 = "blocking"</f>
        <v>1</v>
      </c>
      <c r="L1110" s="2" t="s">
        <v>1428</v>
      </c>
      <c r="M1110" s="2" t="s">
        <v>7130</v>
      </c>
      <c r="N1110" s="4">
        <v>46223.1297337963</v>
      </c>
      <c r="O1110" s="3" t="b">
        <f>L1110 = "PASS"</f>
        <v>1</v>
      </c>
      <c r="P1110" s="3" t="b">
        <f>L1110 = "FAIL"</f>
        <v>0</v>
      </c>
      <c r="Q1110" s="3" t="b">
        <f>AND(P1110, K1110)</f>
        <v>0</v>
      </c>
      <c r="R1110" s="3" t="str">
        <f>IF(O1110, I1110, "")</f>
        <v>suite-integrity</v>
      </c>
      <c r="S1110" s="3" t="str">
        <f>IF(Q1110, I1110, "")</f>
      </c>
      <c r="T1110" s="2" t="s">
        <v>5935</v>
      </c>
    </row>
    <row r="1111">
      <c r="A1111" s="2" t="s">
        <v>7237</v>
      </c>
      <c r="B1111" s="3" t="str">
        <f>C1111 &amp; ": " &amp; D1111</f>
        <v>fk-resolves: ProcedureResources.ProcedureVersion -&gt; ProcedureVersions</v>
      </c>
      <c r="C1111" s="2" t="s">
        <v>7127</v>
      </c>
      <c r="D1111" s="2" t="s">
        <v>7238</v>
      </c>
      <c r="E1111" s="2" t="s">
        <v>3121</v>
      </c>
      <c r="F1111" s="2" t="s">
        <v>477</v>
      </c>
      <c r="G1111" s="2" t="s">
        <v>7181</v>
      </c>
      <c r="H1111" s="2"/>
      <c r="I1111" s="2" t="s">
        <v>5922</v>
      </c>
      <c r="J1111" s="2" t="s">
        <v>5933</v>
      </c>
      <c r="K1111" s="3" t="b">
        <f>J1111 = "blocking"</f>
        <v>1</v>
      </c>
      <c r="L1111" s="2" t="s">
        <v>1428</v>
      </c>
      <c r="M1111" s="2" t="s">
        <v>7130</v>
      </c>
      <c r="N1111" s="4">
        <v>46223.1297337963</v>
      </c>
      <c r="O1111" s="3" t="b">
        <f>L1111 = "PASS"</f>
        <v>1</v>
      </c>
      <c r="P1111" s="3" t="b">
        <f>L1111 = "FAIL"</f>
        <v>0</v>
      </c>
      <c r="Q1111" s="3" t="b">
        <f>AND(P1111, K1111)</f>
        <v>0</v>
      </c>
      <c r="R1111" s="3" t="str">
        <f>IF(O1111, I1111, "")</f>
        <v>suite-integrity</v>
      </c>
      <c r="S1111" s="3" t="str">
        <f>IF(Q1111, I1111, "")</f>
      </c>
      <c r="T1111" s="2" t="s">
        <v>5935</v>
      </c>
    </row>
    <row r="1112">
      <c r="A1112" s="2" t="s">
        <v>7239</v>
      </c>
      <c r="B1112" s="3" t="str">
        <f>C1112 &amp; ": " &amp; D1112</f>
        <v>fk-resolves: ProcedureResources.Resource -&gt; Resources</v>
      </c>
      <c r="C1112" s="2" t="s">
        <v>7127</v>
      </c>
      <c r="D1112" s="2" t="s">
        <v>7240</v>
      </c>
      <c r="E1112" s="2" t="s">
        <v>3121</v>
      </c>
      <c r="F1112" s="2" t="s">
        <v>1046</v>
      </c>
      <c r="G1112" s="2" t="s">
        <v>7241</v>
      </c>
      <c r="H1112" s="2"/>
      <c r="I1112" s="2" t="s">
        <v>5922</v>
      </c>
      <c r="J1112" s="2" t="s">
        <v>5933</v>
      </c>
      <c r="K1112" s="3" t="b">
        <f>J1112 = "blocking"</f>
        <v>1</v>
      </c>
      <c r="L1112" s="2" t="s">
        <v>1428</v>
      </c>
      <c r="M1112" s="2" t="s">
        <v>7130</v>
      </c>
      <c r="N1112" s="4">
        <v>46223.1297337963</v>
      </c>
      <c r="O1112" s="3" t="b">
        <f>L1112 = "PASS"</f>
        <v>1</v>
      </c>
      <c r="P1112" s="3" t="b">
        <f>L1112 = "FAIL"</f>
        <v>0</v>
      </c>
      <c r="Q1112" s="3" t="b">
        <f>AND(P1112, K1112)</f>
        <v>0</v>
      </c>
      <c r="R1112" s="3" t="str">
        <f>IF(O1112, I1112, "")</f>
        <v>suite-integrity</v>
      </c>
      <c r="S1112" s="3" t="str">
        <f>IF(Q1112, I1112, "")</f>
      </c>
      <c r="T1112" s="2" t="s">
        <v>5935</v>
      </c>
    </row>
    <row r="1113">
      <c r="A1113" s="2" t="s">
        <v>7242</v>
      </c>
      <c r="B1113" s="3" t="str">
        <f>C1113 &amp; ": " &amp; D1113</f>
        <v>fk-resolves: ElicitationSessions.ProcedureVersion -&gt; ProcedureVersions</v>
      </c>
      <c r="C1113" s="2" t="s">
        <v>7127</v>
      </c>
      <c r="D1113" s="2" t="s">
        <v>7243</v>
      </c>
      <c r="E1113" s="2" t="s">
        <v>1835</v>
      </c>
      <c r="F1113" s="2" t="s">
        <v>477</v>
      </c>
      <c r="G1113" s="2" t="s">
        <v>7181</v>
      </c>
      <c r="H1113" s="2"/>
      <c r="I1113" s="2" t="s">
        <v>5922</v>
      </c>
      <c r="J1113" s="2" t="s">
        <v>5933</v>
      </c>
      <c r="K1113" s="3" t="b">
        <f>J1113 = "blocking"</f>
        <v>1</v>
      </c>
      <c r="L1113" s="2" t="s">
        <v>1428</v>
      </c>
      <c r="M1113" s="2" t="s">
        <v>7130</v>
      </c>
      <c r="N1113" s="4">
        <v>46223.1297337963</v>
      </c>
      <c r="O1113" s="3" t="b">
        <f>L1113 = "PASS"</f>
        <v>1</v>
      </c>
      <c r="P1113" s="3" t="b">
        <f>L1113 = "FAIL"</f>
        <v>0</v>
      </c>
      <c r="Q1113" s="3" t="b">
        <f>AND(P1113, K1113)</f>
        <v>0</v>
      </c>
      <c r="R1113" s="3" t="str">
        <f>IF(O1113, I1113, "")</f>
        <v>suite-integrity</v>
      </c>
      <c r="S1113" s="3" t="str">
        <f>IF(Q1113, I1113, "")</f>
      </c>
      <c r="T1113" s="2" t="s">
        <v>5935</v>
      </c>
    </row>
    <row r="1114">
      <c r="A1114" s="2" t="s">
        <v>7244</v>
      </c>
      <c r="B1114" s="3" t="str">
        <f>C1114 &amp; ": " &amp; D1114</f>
        <v>fk-resolves: ElicitationSessions.PractitionerAgent -&gt; Agents</v>
      </c>
      <c r="C1114" s="2" t="s">
        <v>7127</v>
      </c>
      <c r="D1114" s="2" t="s">
        <v>7245</v>
      </c>
      <c r="E1114" s="2" t="s">
        <v>1835</v>
      </c>
      <c r="F1114" s="2" t="s">
        <v>1062</v>
      </c>
      <c r="G1114" s="2" t="s">
        <v>7135</v>
      </c>
      <c r="H1114" s="2"/>
      <c r="I1114" s="2" t="s">
        <v>5922</v>
      </c>
      <c r="J1114" s="2" t="s">
        <v>5933</v>
      </c>
      <c r="K1114" s="3" t="b">
        <f>J1114 = "blocking"</f>
        <v>1</v>
      </c>
      <c r="L1114" s="2" t="s">
        <v>1428</v>
      </c>
      <c r="M1114" s="2" t="s">
        <v>7130</v>
      </c>
      <c r="N1114" s="4">
        <v>46223.1297337963</v>
      </c>
      <c r="O1114" s="3" t="b">
        <f>L1114 = "PASS"</f>
        <v>1</v>
      </c>
      <c r="P1114" s="3" t="b">
        <f>L1114 = "FAIL"</f>
        <v>0</v>
      </c>
      <c r="Q1114" s="3" t="b">
        <f>AND(P1114, K1114)</f>
        <v>0</v>
      </c>
      <c r="R1114" s="3" t="str">
        <f>IF(O1114, I1114, "")</f>
        <v>suite-integrity</v>
      </c>
      <c r="S1114" s="3" t="str">
        <f>IF(Q1114, I1114, "")</f>
      </c>
      <c r="T1114" s="2" t="s">
        <v>5935</v>
      </c>
    </row>
    <row r="1115">
      <c r="A1115" s="2" t="s">
        <v>7246</v>
      </c>
      <c r="B1115" s="3" t="str">
        <f>C1115 &amp; ": " &amp; D1115</f>
        <v>fk-resolves: ElicitationSessions.FacilitatorAgent -&gt; Agents</v>
      </c>
      <c r="C1115" s="2" t="s">
        <v>7127</v>
      </c>
      <c r="D1115" s="2" t="s">
        <v>7247</v>
      </c>
      <c r="E1115" s="2" t="s">
        <v>1835</v>
      </c>
      <c r="F1115" s="2" t="s">
        <v>1063</v>
      </c>
      <c r="G1115" s="2" t="s">
        <v>7135</v>
      </c>
      <c r="H1115" s="2"/>
      <c r="I1115" s="2" t="s">
        <v>5922</v>
      </c>
      <c r="J1115" s="2" t="s">
        <v>5933</v>
      </c>
      <c r="K1115" s="3" t="b">
        <f>J1115 = "blocking"</f>
        <v>1</v>
      </c>
      <c r="L1115" s="2" t="s">
        <v>1428</v>
      </c>
      <c r="M1115" s="2" t="s">
        <v>7130</v>
      </c>
      <c r="N1115" s="4">
        <v>46223.1297337963</v>
      </c>
      <c r="O1115" s="3" t="b">
        <f>L1115 = "PASS"</f>
        <v>1</v>
      </c>
      <c r="P1115" s="3" t="b">
        <f>L1115 = "FAIL"</f>
        <v>0</v>
      </c>
      <c r="Q1115" s="3" t="b">
        <f>AND(P1115, K1115)</f>
        <v>0</v>
      </c>
      <c r="R1115" s="3" t="str">
        <f>IF(O1115, I1115, "")</f>
        <v>suite-integrity</v>
      </c>
      <c r="S1115" s="3" t="str">
        <f>IF(Q1115, I1115, "")</f>
      </c>
      <c r="T1115" s="2" t="s">
        <v>5935</v>
      </c>
    </row>
    <row r="1116">
      <c r="A1116" s="2" t="s">
        <v>7248</v>
      </c>
      <c r="B1116" s="3" t="str">
        <f>C1116 &amp; ": " &amp; D1116</f>
        <v>fk-resolves: ElicitationSessions.EvaluationContext -&gt; EvaluationContexts</v>
      </c>
      <c r="C1116" s="2" t="s">
        <v>7127</v>
      </c>
      <c r="D1116" s="2" t="s">
        <v>7249</v>
      </c>
      <c r="E1116" s="2" t="s">
        <v>1835</v>
      </c>
      <c r="F1116" s="2" t="s">
        <v>258</v>
      </c>
      <c r="G1116" s="2" t="s">
        <v>7143</v>
      </c>
      <c r="H1116" s="2"/>
      <c r="I1116" s="2" t="s">
        <v>5922</v>
      </c>
      <c r="J1116" s="2" t="s">
        <v>5933</v>
      </c>
      <c r="K1116" s="3" t="b">
        <f>J1116 = "blocking"</f>
        <v>1</v>
      </c>
      <c r="L1116" s="2" t="s">
        <v>1428</v>
      </c>
      <c r="M1116" s="2" t="s">
        <v>7130</v>
      </c>
      <c r="N1116" s="4">
        <v>46223.1297337963</v>
      </c>
      <c r="O1116" s="3" t="b">
        <f>L1116 = "PASS"</f>
        <v>1</v>
      </c>
      <c r="P1116" s="3" t="b">
        <f>L1116 = "FAIL"</f>
        <v>0</v>
      </c>
      <c r="Q1116" s="3" t="b">
        <f>AND(P1116, K1116)</f>
        <v>0</v>
      </c>
      <c r="R1116" s="3" t="str">
        <f>IF(O1116, I1116, "")</f>
        <v>suite-integrity</v>
      </c>
      <c r="S1116" s="3" t="str">
        <f>IF(Q1116, I1116, "")</f>
      </c>
      <c r="T1116" s="2" t="s">
        <v>5935</v>
      </c>
    </row>
    <row r="1117">
      <c r="A1117" s="2" t="s">
        <v>7250</v>
      </c>
      <c r="B1117" s="3" t="str">
        <f>C1117 &amp; ": " &amp; D1117</f>
        <v>fk-resolves: KnowledgeFragments.ProcedureVersion -&gt; ProcedureVersions</v>
      </c>
      <c r="C1117" s="2" t="s">
        <v>7127</v>
      </c>
      <c r="D1117" s="2" t="s">
        <v>7251</v>
      </c>
      <c r="E1117" s="2" t="s">
        <v>1831</v>
      </c>
      <c r="F1117" s="2" t="s">
        <v>477</v>
      </c>
      <c r="G1117" s="2" t="s">
        <v>7181</v>
      </c>
      <c r="H1117" s="2"/>
      <c r="I1117" s="2" t="s">
        <v>5922</v>
      </c>
      <c r="J1117" s="2" t="s">
        <v>5933</v>
      </c>
      <c r="K1117" s="3" t="b">
        <f>J1117 = "blocking"</f>
        <v>1</v>
      </c>
      <c r="L1117" s="2" t="s">
        <v>1428</v>
      </c>
      <c r="M1117" s="2" t="s">
        <v>7130</v>
      </c>
      <c r="N1117" s="4">
        <v>46223.1297337963</v>
      </c>
      <c r="O1117" s="3" t="b">
        <f>L1117 = "PASS"</f>
        <v>1</v>
      </c>
      <c r="P1117" s="3" t="b">
        <f>L1117 = "FAIL"</f>
        <v>0</v>
      </c>
      <c r="Q1117" s="3" t="b">
        <f>AND(P1117, K1117)</f>
        <v>0</v>
      </c>
      <c r="R1117" s="3" t="str">
        <f>IF(O1117, I1117, "")</f>
        <v>suite-integrity</v>
      </c>
      <c r="S1117" s="3" t="str">
        <f>IF(Q1117, I1117, "")</f>
      </c>
      <c r="T1117" s="2" t="s">
        <v>5935</v>
      </c>
    </row>
    <row r="1118">
      <c r="A1118" s="2" t="s">
        <v>7252</v>
      </c>
      <c r="B1118" s="3" t="str">
        <f>C1118 &amp; ": " &amp; D1118</f>
        <v>fk-resolves: KnowledgeFragments.Step -&gt; Steps</v>
      </c>
      <c r="C1118" s="2" t="s">
        <v>7127</v>
      </c>
      <c r="D1118" s="2" t="s">
        <v>7253</v>
      </c>
      <c r="E1118" s="2" t="s">
        <v>1831</v>
      </c>
      <c r="F1118" s="2" t="s">
        <v>747</v>
      </c>
      <c r="G1118" s="2" t="s">
        <v>7196</v>
      </c>
      <c r="H1118" s="2"/>
      <c r="I1118" s="2" t="s">
        <v>5922</v>
      </c>
      <c r="J1118" s="2" t="s">
        <v>5933</v>
      </c>
      <c r="K1118" s="3" t="b">
        <f>J1118 = "blocking"</f>
        <v>1</v>
      </c>
      <c r="L1118" s="2" t="s">
        <v>1428</v>
      </c>
      <c r="M1118" s="2" t="s">
        <v>7130</v>
      </c>
      <c r="N1118" s="4">
        <v>46223.1297337963</v>
      </c>
      <c r="O1118" s="3" t="b">
        <f>L1118 = "PASS"</f>
        <v>1</v>
      </c>
      <c r="P1118" s="3" t="b">
        <f>L1118 = "FAIL"</f>
        <v>0</v>
      </c>
      <c r="Q1118" s="3" t="b">
        <f>AND(P1118, K1118)</f>
        <v>0</v>
      </c>
      <c r="R1118" s="3" t="str">
        <f>IF(O1118, I1118, "")</f>
        <v>suite-integrity</v>
      </c>
      <c r="S1118" s="3" t="str">
        <f>IF(Q1118, I1118, "")</f>
      </c>
      <c r="T1118" s="2" t="s">
        <v>5935</v>
      </c>
    </row>
    <row r="1119">
      <c r="A1119" s="2" t="s">
        <v>7254</v>
      </c>
      <c r="B1119" s="3" t="str">
        <f>C1119 &amp; ": " &amp; D1119</f>
        <v>fk-resolves: KnowledgeFragments.ElicitationSession -&gt; ElicitationSessions</v>
      </c>
      <c r="C1119" s="2" t="s">
        <v>7127</v>
      </c>
      <c r="D1119" s="2" t="s">
        <v>7255</v>
      </c>
      <c r="E1119" s="2" t="s">
        <v>1831</v>
      </c>
      <c r="F1119" s="2" t="s">
        <v>1085</v>
      </c>
      <c r="G1119" s="2" t="s">
        <v>7256</v>
      </c>
      <c r="H1119" s="2"/>
      <c r="I1119" s="2" t="s">
        <v>5922</v>
      </c>
      <c r="J1119" s="2" t="s">
        <v>5933</v>
      </c>
      <c r="K1119" s="3" t="b">
        <f>J1119 = "blocking"</f>
        <v>1</v>
      </c>
      <c r="L1119" s="2" t="s">
        <v>1428</v>
      </c>
      <c r="M1119" s="2" t="s">
        <v>7130</v>
      </c>
      <c r="N1119" s="4">
        <v>46223.1297337963</v>
      </c>
      <c r="O1119" s="3" t="b">
        <f>L1119 = "PASS"</f>
        <v>1</v>
      </c>
      <c r="P1119" s="3" t="b">
        <f>L1119 = "FAIL"</f>
        <v>0</v>
      </c>
      <c r="Q1119" s="3" t="b">
        <f>AND(P1119, K1119)</f>
        <v>0</v>
      </c>
      <c r="R1119" s="3" t="str">
        <f>IF(O1119, I1119, "")</f>
        <v>suite-integrity</v>
      </c>
      <c r="S1119" s="3" t="str">
        <f>IF(Q1119, I1119, "")</f>
      </c>
      <c r="T1119" s="2" t="s">
        <v>5935</v>
      </c>
    </row>
    <row r="1120">
      <c r="A1120" s="2" t="s">
        <v>7257</v>
      </c>
      <c r="B1120" s="3" t="str">
        <f>C1120 &amp; ": " &amp; D1120</f>
        <v>fk-resolves: KnowledgeFragments.SourceAgent -&gt; Agents</v>
      </c>
      <c r="C1120" s="2" t="s">
        <v>7127</v>
      </c>
      <c r="D1120" s="2" t="s">
        <v>7258</v>
      </c>
      <c r="E1120" s="2" t="s">
        <v>1831</v>
      </c>
      <c r="F1120" s="2" t="s">
        <v>1086</v>
      </c>
      <c r="G1120" s="2" t="s">
        <v>7135</v>
      </c>
      <c r="H1120" s="2"/>
      <c r="I1120" s="2" t="s">
        <v>5922</v>
      </c>
      <c r="J1120" s="2" t="s">
        <v>5933</v>
      </c>
      <c r="K1120" s="3" t="b">
        <f>J1120 = "blocking"</f>
        <v>1</v>
      </c>
      <c r="L1120" s="2" t="s">
        <v>1428</v>
      </c>
      <c r="M1120" s="2" t="s">
        <v>7130</v>
      </c>
      <c r="N1120" s="4">
        <v>46223.1297337963</v>
      </c>
      <c r="O1120" s="3" t="b">
        <f>L1120 = "PASS"</f>
        <v>1</v>
      </c>
      <c r="P1120" s="3" t="b">
        <f>L1120 = "FAIL"</f>
        <v>0</v>
      </c>
      <c r="Q1120" s="3" t="b">
        <f>AND(P1120, K1120)</f>
        <v>0</v>
      </c>
      <c r="R1120" s="3" t="str">
        <f>IF(O1120, I1120, "")</f>
        <v>suite-integrity</v>
      </c>
      <c r="S1120" s="3" t="str">
        <f>IF(Q1120, I1120, "")</f>
      </c>
      <c r="T1120" s="2" t="s">
        <v>5935</v>
      </c>
    </row>
    <row r="1121">
      <c r="A1121" s="2" t="s">
        <v>7259</v>
      </c>
      <c r="B1121" s="3" t="str">
        <f>C1121 &amp; ": " &amp; D1121</f>
        <v>fk-resolves: KnowledgeFragments.OwnerRole -&gt; Roles</v>
      </c>
      <c r="C1121" s="2" t="s">
        <v>7127</v>
      </c>
      <c r="D1121" s="2" t="s">
        <v>7260</v>
      </c>
      <c r="E1121" s="2" t="s">
        <v>1831</v>
      </c>
      <c r="F1121" s="2" t="s">
        <v>1088</v>
      </c>
      <c r="G1121" s="2" t="s">
        <v>7138</v>
      </c>
      <c r="H1121" s="2"/>
      <c r="I1121" s="2" t="s">
        <v>5922</v>
      </c>
      <c r="J1121" s="2" t="s">
        <v>5933</v>
      </c>
      <c r="K1121" s="3" t="b">
        <f>J1121 = "blocking"</f>
        <v>1</v>
      </c>
      <c r="L1121" s="2" t="s">
        <v>1428</v>
      </c>
      <c r="M1121" s="2" t="s">
        <v>7130</v>
      </c>
      <c r="N1121" s="4">
        <v>46223.1297337963</v>
      </c>
      <c r="O1121" s="3" t="b">
        <f>L1121 = "PASS"</f>
        <v>1</v>
      </c>
      <c r="P1121" s="3" t="b">
        <f>L1121 = "FAIL"</f>
        <v>0</v>
      </c>
      <c r="Q1121" s="3" t="b">
        <f>AND(P1121, K1121)</f>
        <v>0</v>
      </c>
      <c r="R1121" s="3" t="str">
        <f>IF(O1121, I1121, "")</f>
        <v>suite-integrity</v>
      </c>
      <c r="S1121" s="3" t="str">
        <f>IF(Q1121, I1121, "")</f>
      </c>
      <c r="T1121" s="2" t="s">
        <v>5935</v>
      </c>
    </row>
    <row r="1122">
      <c r="A1122" s="2" t="s">
        <v>7261</v>
      </c>
      <c r="B1122" s="3" t="str">
        <f>C1122 &amp; ": " &amp; D1122</f>
        <v>fk-resolves: KnowledgeFragments.EvaluationContext -&gt; EvaluationContexts</v>
      </c>
      <c r="C1122" s="2" t="s">
        <v>7127</v>
      </c>
      <c r="D1122" s="2" t="s">
        <v>7262</v>
      </c>
      <c r="E1122" s="2" t="s">
        <v>1831</v>
      </c>
      <c r="F1122" s="2" t="s">
        <v>258</v>
      </c>
      <c r="G1122" s="2" t="s">
        <v>7143</v>
      </c>
      <c r="H1122" s="2"/>
      <c r="I1122" s="2" t="s">
        <v>5922</v>
      </c>
      <c r="J1122" s="2" t="s">
        <v>5933</v>
      </c>
      <c r="K1122" s="3" t="b">
        <f>J1122 = "blocking"</f>
        <v>1</v>
      </c>
      <c r="L1122" s="2" t="s">
        <v>1428</v>
      </c>
      <c r="M1122" s="2" t="s">
        <v>7130</v>
      </c>
      <c r="N1122" s="4">
        <v>46223.1297337963</v>
      </c>
      <c r="O1122" s="3" t="b">
        <f>L1122 = "PASS"</f>
        <v>1</v>
      </c>
      <c r="P1122" s="3" t="b">
        <f>L1122 = "FAIL"</f>
        <v>0</v>
      </c>
      <c r="Q1122" s="3" t="b">
        <f>AND(P1122, K1122)</f>
        <v>0</v>
      </c>
      <c r="R1122" s="3" t="str">
        <f>IF(O1122, I1122, "")</f>
        <v>suite-integrity</v>
      </c>
      <c r="S1122" s="3" t="str">
        <f>IF(Q1122, I1122, "")</f>
      </c>
      <c r="T1122" s="2" t="s">
        <v>5935</v>
      </c>
    </row>
    <row r="1123">
      <c r="A1123" s="2" t="s">
        <v>7263</v>
      </c>
      <c r="B1123" s="3" t="str">
        <f>C1123 &amp; ": " &amp; D1123</f>
        <v>fk-resolves: KnowledgeGaps.ProcedureVersion -&gt; ProcedureVersions</v>
      </c>
      <c r="C1123" s="2" t="s">
        <v>7127</v>
      </c>
      <c r="D1123" s="2" t="s">
        <v>7264</v>
      </c>
      <c r="E1123" s="2" t="s">
        <v>3302</v>
      </c>
      <c r="F1123" s="2" t="s">
        <v>477</v>
      </c>
      <c r="G1123" s="2" t="s">
        <v>7181</v>
      </c>
      <c r="H1123" s="2"/>
      <c r="I1123" s="2" t="s">
        <v>5922</v>
      </c>
      <c r="J1123" s="2" t="s">
        <v>5933</v>
      </c>
      <c r="K1123" s="3" t="b">
        <f>J1123 = "blocking"</f>
        <v>1</v>
      </c>
      <c r="L1123" s="2" t="s">
        <v>1428</v>
      </c>
      <c r="M1123" s="2" t="s">
        <v>7130</v>
      </c>
      <c r="N1123" s="4">
        <v>46223.1297337963</v>
      </c>
      <c r="O1123" s="3" t="b">
        <f>L1123 = "PASS"</f>
        <v>1</v>
      </c>
      <c r="P1123" s="3" t="b">
        <f>L1123 = "FAIL"</f>
        <v>0</v>
      </c>
      <c r="Q1123" s="3" t="b">
        <f>AND(P1123, K1123)</f>
        <v>0</v>
      </c>
      <c r="R1123" s="3" t="str">
        <f>IF(O1123, I1123, "")</f>
        <v>suite-integrity</v>
      </c>
      <c r="S1123" s="3" t="str">
        <f>IF(Q1123, I1123, "")</f>
      </c>
      <c r="T1123" s="2" t="s">
        <v>5935</v>
      </c>
    </row>
    <row r="1124">
      <c r="A1124" s="2" t="s">
        <v>7265</v>
      </c>
      <c r="B1124" s="3" t="str">
        <f>C1124 &amp; ": " &amp; D1124</f>
        <v>fk-resolves: KnowledgeGaps.Step -&gt; Steps</v>
      </c>
      <c r="C1124" s="2" t="s">
        <v>7127</v>
      </c>
      <c r="D1124" s="2" t="s">
        <v>7266</v>
      </c>
      <c r="E1124" s="2" t="s">
        <v>3302</v>
      </c>
      <c r="F1124" s="2" t="s">
        <v>747</v>
      </c>
      <c r="G1124" s="2" t="s">
        <v>7196</v>
      </c>
      <c r="H1124" s="2"/>
      <c r="I1124" s="2" t="s">
        <v>5922</v>
      </c>
      <c r="J1124" s="2" t="s">
        <v>5933</v>
      </c>
      <c r="K1124" s="3" t="b">
        <f>J1124 = "blocking"</f>
        <v>1</v>
      </c>
      <c r="L1124" s="2" t="s">
        <v>1428</v>
      </c>
      <c r="M1124" s="2" t="s">
        <v>7130</v>
      </c>
      <c r="N1124" s="4">
        <v>46223.1297337963</v>
      </c>
      <c r="O1124" s="3" t="b">
        <f>L1124 = "PASS"</f>
        <v>1</v>
      </c>
      <c r="P1124" s="3" t="b">
        <f>L1124 = "FAIL"</f>
        <v>0</v>
      </c>
      <c r="Q1124" s="3" t="b">
        <f>AND(P1124, K1124)</f>
        <v>0</v>
      </c>
      <c r="R1124" s="3" t="str">
        <f>IF(O1124, I1124, "")</f>
        <v>suite-integrity</v>
      </c>
      <c r="S1124" s="3" t="str">
        <f>IF(Q1124, I1124, "")</f>
      </c>
      <c r="T1124" s="2" t="s">
        <v>5935</v>
      </c>
    </row>
    <row r="1125">
      <c r="A1125" s="2" t="s">
        <v>7267</v>
      </c>
      <c r="B1125" s="3" t="str">
        <f>C1125 &amp; ": " &amp; D1125</f>
        <v>fk-resolves: KnowledgeGaps.OwnerRole -&gt; Roles</v>
      </c>
      <c r="C1125" s="2" t="s">
        <v>7127</v>
      </c>
      <c r="D1125" s="2" t="s">
        <v>7268</v>
      </c>
      <c r="E1125" s="2" t="s">
        <v>3302</v>
      </c>
      <c r="F1125" s="2" t="s">
        <v>1088</v>
      </c>
      <c r="G1125" s="2" t="s">
        <v>7138</v>
      </c>
      <c r="H1125" s="2"/>
      <c r="I1125" s="2" t="s">
        <v>5922</v>
      </c>
      <c r="J1125" s="2" t="s">
        <v>5933</v>
      </c>
      <c r="K1125" s="3" t="b">
        <f>J1125 = "blocking"</f>
        <v>1</v>
      </c>
      <c r="L1125" s="2" t="s">
        <v>1428</v>
      </c>
      <c r="M1125" s="2" t="s">
        <v>7130</v>
      </c>
      <c r="N1125" s="4">
        <v>46223.1297337963</v>
      </c>
      <c r="O1125" s="3" t="b">
        <f>L1125 = "PASS"</f>
        <v>1</v>
      </c>
      <c r="P1125" s="3" t="b">
        <f>L1125 = "FAIL"</f>
        <v>0</v>
      </c>
      <c r="Q1125" s="3" t="b">
        <f>AND(P1125, K1125)</f>
        <v>0</v>
      </c>
      <c r="R1125" s="3" t="str">
        <f>IF(O1125, I1125, "")</f>
        <v>suite-integrity</v>
      </c>
      <c r="S1125" s="3" t="str">
        <f>IF(Q1125, I1125, "")</f>
      </c>
      <c r="T1125" s="2" t="s">
        <v>5935</v>
      </c>
    </row>
    <row r="1126">
      <c r="A1126" s="2" t="s">
        <v>7269</v>
      </c>
      <c r="B1126" s="3" t="str">
        <f>C1126 &amp; ": " &amp; D1126</f>
        <v>fk-resolves: KnowledgeGaps.EvaluationContext -&gt; EvaluationContexts</v>
      </c>
      <c r="C1126" s="2" t="s">
        <v>7127</v>
      </c>
      <c r="D1126" s="2" t="s">
        <v>7270</v>
      </c>
      <c r="E1126" s="2" t="s">
        <v>3302</v>
      </c>
      <c r="F1126" s="2" t="s">
        <v>258</v>
      </c>
      <c r="G1126" s="2" t="s">
        <v>7143</v>
      </c>
      <c r="H1126" s="2"/>
      <c r="I1126" s="2" t="s">
        <v>5922</v>
      </c>
      <c r="J1126" s="2" t="s">
        <v>5933</v>
      </c>
      <c r="K1126" s="3" t="b">
        <f>J1126 = "blocking"</f>
        <v>1</v>
      </c>
      <c r="L1126" s="2" t="s">
        <v>1428</v>
      </c>
      <c r="M1126" s="2" t="s">
        <v>7130</v>
      </c>
      <c r="N1126" s="4">
        <v>46223.1297337963</v>
      </c>
      <c r="O1126" s="3" t="b">
        <f>L1126 = "PASS"</f>
        <v>1</v>
      </c>
      <c r="P1126" s="3" t="b">
        <f>L1126 = "FAIL"</f>
        <v>0</v>
      </c>
      <c r="Q1126" s="3" t="b">
        <f>AND(P1126, K1126)</f>
        <v>0</v>
      </c>
      <c r="R1126" s="3" t="str">
        <f>IF(O1126, I1126, "")</f>
        <v>suite-integrity</v>
      </c>
      <c r="S1126" s="3" t="str">
        <f>IF(Q1126, I1126, "")</f>
      </c>
      <c r="T1126" s="2" t="s">
        <v>5935</v>
      </c>
    </row>
    <row r="1127">
      <c r="A1127" s="2" t="s">
        <v>7271</v>
      </c>
      <c r="B1127" s="3" t="str">
        <f>C1127 &amp; ": " &amp; D1127</f>
        <v>fk-resolves: FAQs.ProcedureVersion -&gt; ProcedureVersions</v>
      </c>
      <c r="C1127" s="2" t="s">
        <v>7127</v>
      </c>
      <c r="D1127" s="2" t="s">
        <v>7272</v>
      </c>
      <c r="E1127" s="2" t="s">
        <v>1825</v>
      </c>
      <c r="F1127" s="2" t="s">
        <v>477</v>
      </c>
      <c r="G1127" s="2" t="s">
        <v>7181</v>
      </c>
      <c r="H1127" s="2"/>
      <c r="I1127" s="2" t="s">
        <v>5922</v>
      </c>
      <c r="J1127" s="2" t="s">
        <v>5933</v>
      </c>
      <c r="K1127" s="3" t="b">
        <f>J1127 = "blocking"</f>
        <v>1</v>
      </c>
      <c r="L1127" s="2" t="s">
        <v>1428</v>
      </c>
      <c r="M1127" s="2" t="s">
        <v>7130</v>
      </c>
      <c r="N1127" s="4">
        <v>46223.1297337963</v>
      </c>
      <c r="O1127" s="3" t="b">
        <f>L1127 = "PASS"</f>
        <v>1</v>
      </c>
      <c r="P1127" s="3" t="b">
        <f>L1127 = "FAIL"</f>
        <v>0</v>
      </c>
      <c r="Q1127" s="3" t="b">
        <f>AND(P1127, K1127)</f>
        <v>0</v>
      </c>
      <c r="R1127" s="3" t="str">
        <f>IF(O1127, I1127, "")</f>
        <v>suite-integrity</v>
      </c>
      <c r="S1127" s="3" t="str">
        <f>IF(Q1127, I1127, "")</f>
      </c>
      <c r="T1127" s="2" t="s">
        <v>5935</v>
      </c>
    </row>
    <row r="1128">
      <c r="A1128" s="2" t="s">
        <v>7273</v>
      </c>
      <c r="B1128" s="3" t="str">
        <f>C1128 &amp; ": " &amp; D1128</f>
        <v>fk-resolves: FAQs.Step -&gt; Steps</v>
      </c>
      <c r="C1128" s="2" t="s">
        <v>7127</v>
      </c>
      <c r="D1128" s="2" t="s">
        <v>7274</v>
      </c>
      <c r="E1128" s="2" t="s">
        <v>1825</v>
      </c>
      <c r="F1128" s="2" t="s">
        <v>747</v>
      </c>
      <c r="G1128" s="2" t="s">
        <v>7196</v>
      </c>
      <c r="H1128" s="2"/>
      <c r="I1128" s="2" t="s">
        <v>5922</v>
      </c>
      <c r="J1128" s="2" t="s">
        <v>5933</v>
      </c>
      <c r="K1128" s="3" t="b">
        <f>J1128 = "blocking"</f>
        <v>1</v>
      </c>
      <c r="L1128" s="2" t="s">
        <v>1428</v>
      </c>
      <c r="M1128" s="2" t="s">
        <v>7130</v>
      </c>
      <c r="N1128" s="4">
        <v>46223.1297337963</v>
      </c>
      <c r="O1128" s="3" t="b">
        <f>L1128 = "PASS"</f>
        <v>1</v>
      </c>
      <c r="P1128" s="3" t="b">
        <f>L1128 = "FAIL"</f>
        <v>0</v>
      </c>
      <c r="Q1128" s="3" t="b">
        <f>AND(P1128, K1128)</f>
        <v>0</v>
      </c>
      <c r="R1128" s="3" t="str">
        <f>IF(O1128, I1128, "")</f>
        <v>suite-integrity</v>
      </c>
      <c r="S1128" s="3" t="str">
        <f>IF(Q1128, I1128, "")</f>
      </c>
      <c r="T1128" s="2" t="s">
        <v>5935</v>
      </c>
    </row>
    <row r="1129">
      <c r="A1129" s="2" t="s">
        <v>7275</v>
      </c>
      <c r="B1129" s="3" t="str">
        <f>C1129 &amp; ": " &amp; D1129</f>
        <v>fk-resolves: Explanations.ProcedureVersion -&gt; ProcedureVersions</v>
      </c>
      <c r="C1129" s="2" t="s">
        <v>7127</v>
      </c>
      <c r="D1129" s="2" t="s">
        <v>7276</v>
      </c>
      <c r="E1129" s="2" t="s">
        <v>1828</v>
      </c>
      <c r="F1129" s="2" t="s">
        <v>477</v>
      </c>
      <c r="G1129" s="2" t="s">
        <v>7181</v>
      </c>
      <c r="H1129" s="2"/>
      <c r="I1129" s="2" t="s">
        <v>5922</v>
      </c>
      <c r="J1129" s="2" t="s">
        <v>5933</v>
      </c>
      <c r="K1129" s="3" t="b">
        <f>J1129 = "blocking"</f>
        <v>1</v>
      </c>
      <c r="L1129" s="2" t="s">
        <v>1428</v>
      </c>
      <c r="M1129" s="2" t="s">
        <v>7130</v>
      </c>
      <c r="N1129" s="4">
        <v>46223.1297337963</v>
      </c>
      <c r="O1129" s="3" t="b">
        <f>L1129 = "PASS"</f>
        <v>1</v>
      </c>
      <c r="P1129" s="3" t="b">
        <f>L1129 = "FAIL"</f>
        <v>0</v>
      </c>
      <c r="Q1129" s="3" t="b">
        <f>AND(P1129, K1129)</f>
        <v>0</v>
      </c>
      <c r="R1129" s="3" t="str">
        <f>IF(O1129, I1129, "")</f>
        <v>suite-integrity</v>
      </c>
      <c r="S1129" s="3" t="str">
        <f>IF(Q1129, I1129, "")</f>
      </c>
      <c r="T1129" s="2" t="s">
        <v>5935</v>
      </c>
    </row>
    <row r="1130">
      <c r="A1130" s="2" t="s">
        <v>7277</v>
      </c>
      <c r="B1130" s="3" t="str">
        <f>C1130 &amp; ": " &amp; D1130</f>
        <v>fk-resolves: Explanations.Step -&gt; Steps</v>
      </c>
      <c r="C1130" s="2" t="s">
        <v>7127</v>
      </c>
      <c r="D1130" s="2" t="s">
        <v>7278</v>
      </c>
      <c r="E1130" s="2" t="s">
        <v>1828</v>
      </c>
      <c r="F1130" s="2" t="s">
        <v>747</v>
      </c>
      <c r="G1130" s="2" t="s">
        <v>7196</v>
      </c>
      <c r="H1130" s="2"/>
      <c r="I1130" s="2" t="s">
        <v>5922</v>
      </c>
      <c r="J1130" s="2" t="s">
        <v>5933</v>
      </c>
      <c r="K1130" s="3" t="b">
        <f>J1130 = "blocking"</f>
        <v>1</v>
      </c>
      <c r="L1130" s="2" t="s">
        <v>1428</v>
      </c>
      <c r="M1130" s="2" t="s">
        <v>7130</v>
      </c>
      <c r="N1130" s="4">
        <v>46223.1297337963</v>
      </c>
      <c r="O1130" s="3" t="b">
        <f>L1130 = "PASS"</f>
        <v>1</v>
      </c>
      <c r="P1130" s="3" t="b">
        <f>L1130 = "FAIL"</f>
        <v>0</v>
      </c>
      <c r="Q1130" s="3" t="b">
        <f>AND(P1130, K1130)</f>
        <v>0</v>
      </c>
      <c r="R1130" s="3" t="str">
        <f>IF(O1130, I1130, "")</f>
        <v>suite-integrity</v>
      </c>
      <c r="S1130" s="3" t="str">
        <f>IF(Q1130, I1130, "")</f>
      </c>
      <c r="T1130" s="2" t="s">
        <v>5935</v>
      </c>
    </row>
    <row r="1131">
      <c r="A1131" s="2" t="s">
        <v>7279</v>
      </c>
      <c r="B1131" s="3" t="str">
        <f>C1131 &amp; ": " &amp; D1131</f>
        <v>fk-resolves: ProcedureExecutions.ProcedureVersion -&gt; ProcedureVersions</v>
      </c>
      <c r="C1131" s="2" t="s">
        <v>7127</v>
      </c>
      <c r="D1131" s="2" t="s">
        <v>7280</v>
      </c>
      <c r="E1131" s="2" t="s">
        <v>1804</v>
      </c>
      <c r="F1131" s="2" t="s">
        <v>477</v>
      </c>
      <c r="G1131" s="2" t="s">
        <v>7181</v>
      </c>
      <c r="H1131" s="2"/>
      <c r="I1131" s="2" t="s">
        <v>5922</v>
      </c>
      <c r="J1131" s="2" t="s">
        <v>5933</v>
      </c>
      <c r="K1131" s="3" t="b">
        <f>J1131 = "blocking"</f>
        <v>1</v>
      </c>
      <c r="L1131" s="2" t="s">
        <v>1428</v>
      </c>
      <c r="M1131" s="2" t="s">
        <v>7130</v>
      </c>
      <c r="N1131" s="4">
        <v>46223.1297337963</v>
      </c>
      <c r="O1131" s="3" t="b">
        <f>L1131 = "PASS"</f>
        <v>1</v>
      </c>
      <c r="P1131" s="3" t="b">
        <f>L1131 = "FAIL"</f>
        <v>0</v>
      </c>
      <c r="Q1131" s="3" t="b">
        <f>AND(P1131, K1131)</f>
        <v>0</v>
      </c>
      <c r="R1131" s="3" t="str">
        <f>IF(O1131, I1131, "")</f>
        <v>suite-integrity</v>
      </c>
      <c r="S1131" s="3" t="str">
        <f>IF(Q1131, I1131, "")</f>
      </c>
      <c r="T1131" s="2" t="s">
        <v>5935</v>
      </c>
    </row>
    <row r="1132">
      <c r="A1132" s="2" t="s">
        <v>7281</v>
      </c>
      <c r="B1132" s="3" t="str">
        <f>C1132 &amp; ": " &amp; D1132</f>
        <v>fk-resolves: ProcedureExecutions.ExecutedByAgent -&gt; Agents</v>
      </c>
      <c r="C1132" s="2" t="s">
        <v>7127</v>
      </c>
      <c r="D1132" s="2" t="s">
        <v>7282</v>
      </c>
      <c r="E1132" s="2" t="s">
        <v>1804</v>
      </c>
      <c r="F1132" s="2" t="s">
        <v>1248</v>
      </c>
      <c r="G1132" s="2" t="s">
        <v>7135</v>
      </c>
      <c r="H1132" s="2"/>
      <c r="I1132" s="2" t="s">
        <v>5922</v>
      </c>
      <c r="J1132" s="2" t="s">
        <v>5933</v>
      </c>
      <c r="K1132" s="3" t="b">
        <f>J1132 = "blocking"</f>
        <v>1</v>
      </c>
      <c r="L1132" s="2" t="s">
        <v>1428</v>
      </c>
      <c r="M1132" s="2" t="s">
        <v>7130</v>
      </c>
      <c r="N1132" s="4">
        <v>46223.1297337963</v>
      </c>
      <c r="O1132" s="3" t="b">
        <f>L1132 = "PASS"</f>
        <v>1</v>
      </c>
      <c r="P1132" s="3" t="b">
        <f>L1132 = "FAIL"</f>
        <v>0</v>
      </c>
      <c r="Q1132" s="3" t="b">
        <f>AND(P1132, K1132)</f>
        <v>0</v>
      </c>
      <c r="R1132" s="3" t="str">
        <f>IF(O1132, I1132, "")</f>
        <v>suite-integrity</v>
      </c>
      <c r="S1132" s="3" t="str">
        <f>IF(Q1132, I1132, "")</f>
      </c>
      <c r="T1132" s="2" t="s">
        <v>5935</v>
      </c>
    </row>
    <row r="1133">
      <c r="A1133" s="2" t="s">
        <v>7283</v>
      </c>
      <c r="B1133" s="3" t="str">
        <f>C1133 &amp; ": " &amp; D1133</f>
        <v>fk-resolves: StepExecutions.ProcedureExecution -&gt; ProcedureExecutions</v>
      </c>
      <c r="C1133" s="2" t="s">
        <v>7127</v>
      </c>
      <c r="D1133" s="2" t="s">
        <v>7284</v>
      </c>
      <c r="E1133" s="2" t="s">
        <v>1807</v>
      </c>
      <c r="F1133" s="2" t="s">
        <v>1329</v>
      </c>
      <c r="G1133" s="2" t="s">
        <v>7285</v>
      </c>
      <c r="H1133" s="2"/>
      <c r="I1133" s="2" t="s">
        <v>5922</v>
      </c>
      <c r="J1133" s="2" t="s">
        <v>5933</v>
      </c>
      <c r="K1133" s="3" t="b">
        <f>J1133 = "blocking"</f>
        <v>1</v>
      </c>
      <c r="L1133" s="2" t="s">
        <v>1428</v>
      </c>
      <c r="M1133" s="2" t="s">
        <v>7130</v>
      </c>
      <c r="N1133" s="4">
        <v>46223.1297337963</v>
      </c>
      <c r="O1133" s="3" t="b">
        <f>L1133 = "PASS"</f>
        <v>1</v>
      </c>
      <c r="P1133" s="3" t="b">
        <f>L1133 = "FAIL"</f>
        <v>0</v>
      </c>
      <c r="Q1133" s="3" t="b">
        <f>AND(P1133, K1133)</f>
        <v>0</v>
      </c>
      <c r="R1133" s="3" t="str">
        <f>IF(O1133, I1133, "")</f>
        <v>suite-integrity</v>
      </c>
      <c r="S1133" s="3" t="str">
        <f>IF(Q1133, I1133, "")</f>
      </c>
      <c r="T1133" s="2" t="s">
        <v>5935</v>
      </c>
    </row>
    <row r="1134">
      <c r="A1134" s="2" t="s">
        <v>7286</v>
      </c>
      <c r="B1134" s="3" t="str">
        <f>C1134 &amp; ": " &amp; D1134</f>
        <v>fk-resolves: StepExecutions.Step -&gt; Steps</v>
      </c>
      <c r="C1134" s="2" t="s">
        <v>7127</v>
      </c>
      <c r="D1134" s="2" t="s">
        <v>7287</v>
      </c>
      <c r="E1134" s="2" t="s">
        <v>1807</v>
      </c>
      <c r="F1134" s="2" t="s">
        <v>747</v>
      </c>
      <c r="G1134" s="2" t="s">
        <v>7196</v>
      </c>
      <c r="H1134" s="2"/>
      <c r="I1134" s="2" t="s">
        <v>5922</v>
      </c>
      <c r="J1134" s="2" t="s">
        <v>5933</v>
      </c>
      <c r="K1134" s="3" t="b">
        <f>J1134 = "blocking"</f>
        <v>1</v>
      </c>
      <c r="L1134" s="2" t="s">
        <v>1428</v>
      </c>
      <c r="M1134" s="2" t="s">
        <v>7130</v>
      </c>
      <c r="N1134" s="4">
        <v>46223.1297337963</v>
      </c>
      <c r="O1134" s="3" t="b">
        <f>L1134 = "PASS"</f>
        <v>1</v>
      </c>
      <c r="P1134" s="3" t="b">
        <f>L1134 = "FAIL"</f>
        <v>0</v>
      </c>
      <c r="Q1134" s="3" t="b">
        <f>AND(P1134, K1134)</f>
        <v>0</v>
      </c>
      <c r="R1134" s="3" t="str">
        <f>IF(O1134, I1134, "")</f>
        <v>suite-integrity</v>
      </c>
      <c r="S1134" s="3" t="str">
        <f>IF(Q1134, I1134, "")</f>
      </c>
      <c r="T1134" s="2" t="s">
        <v>5935</v>
      </c>
    </row>
    <row r="1135">
      <c r="A1135" s="2" t="s">
        <v>7288</v>
      </c>
      <c r="B1135" s="3" t="str">
        <f>C1135 &amp; ": " &amp; D1135</f>
        <v>fk-resolves: StepExecutions.ExecutedByAgent -&gt; Agents</v>
      </c>
      <c r="C1135" s="2" t="s">
        <v>7127</v>
      </c>
      <c r="D1135" s="2" t="s">
        <v>7289</v>
      </c>
      <c r="E1135" s="2" t="s">
        <v>1807</v>
      </c>
      <c r="F1135" s="2" t="s">
        <v>1248</v>
      </c>
      <c r="G1135" s="2" t="s">
        <v>7135</v>
      </c>
      <c r="H1135" s="2"/>
      <c r="I1135" s="2" t="s">
        <v>5922</v>
      </c>
      <c r="J1135" s="2" t="s">
        <v>5933</v>
      </c>
      <c r="K1135" s="3" t="b">
        <f>J1135 = "blocking"</f>
        <v>1</v>
      </c>
      <c r="L1135" s="2" t="s">
        <v>1428</v>
      </c>
      <c r="M1135" s="2" t="s">
        <v>7130</v>
      </c>
      <c r="N1135" s="4">
        <v>46223.1297337963</v>
      </c>
      <c r="O1135" s="3" t="b">
        <f>L1135 = "PASS"</f>
        <v>1</v>
      </c>
      <c r="P1135" s="3" t="b">
        <f>L1135 = "FAIL"</f>
        <v>0</v>
      </c>
      <c r="Q1135" s="3" t="b">
        <f>AND(P1135, K1135)</f>
        <v>0</v>
      </c>
      <c r="R1135" s="3" t="str">
        <f>IF(O1135, I1135, "")</f>
        <v>suite-integrity</v>
      </c>
      <c r="S1135" s="3" t="str">
        <f>IF(Q1135, I1135, "")</f>
      </c>
      <c r="T1135" s="2" t="s">
        <v>5935</v>
      </c>
    </row>
    <row r="1136">
      <c r="A1136" s="2" t="s">
        <v>7290</v>
      </c>
      <c r="B1136" s="3" t="str">
        <f>C1136 &amp; ": " &amp; D1136</f>
        <v>fk-resolves: RequirementSatisfactions.StepExecution -&gt; StepExecutions</v>
      </c>
      <c r="C1136" s="2" t="s">
        <v>7127</v>
      </c>
      <c r="D1136" s="2" t="s">
        <v>7291</v>
      </c>
      <c r="E1136" s="2" t="s">
        <v>1810</v>
      </c>
      <c r="F1136" s="2" t="s">
        <v>1447</v>
      </c>
      <c r="G1136" s="2" t="s">
        <v>7292</v>
      </c>
      <c r="H1136" s="2"/>
      <c r="I1136" s="2" t="s">
        <v>5922</v>
      </c>
      <c r="J1136" s="2" t="s">
        <v>5933</v>
      </c>
      <c r="K1136" s="3" t="b">
        <f>J1136 = "blocking"</f>
        <v>1</v>
      </c>
      <c r="L1136" s="2" t="s">
        <v>1428</v>
      </c>
      <c r="M1136" s="2" t="s">
        <v>7130</v>
      </c>
      <c r="N1136" s="4">
        <v>46223.1297337963</v>
      </c>
      <c r="O1136" s="3" t="b">
        <f>L1136 = "PASS"</f>
        <v>1</v>
      </c>
      <c r="P1136" s="3" t="b">
        <f>L1136 = "FAIL"</f>
        <v>0</v>
      </c>
      <c r="Q1136" s="3" t="b">
        <f>AND(P1136, K1136)</f>
        <v>0</v>
      </c>
      <c r="R1136" s="3" t="str">
        <f>IF(O1136, I1136, "")</f>
        <v>suite-integrity</v>
      </c>
      <c r="S1136" s="3" t="str">
        <f>IF(Q1136, I1136, "")</f>
      </c>
      <c r="T1136" s="2" t="s">
        <v>5935</v>
      </c>
    </row>
    <row r="1137">
      <c r="A1137" s="2" t="s">
        <v>7293</v>
      </c>
      <c r="B1137" s="3" t="str">
        <f>C1137 &amp; ": " &amp; D1137</f>
        <v>fk-resolves: RequirementSatisfactions.Requirement -&gt; Requirements</v>
      </c>
      <c r="C1137" s="2" t="s">
        <v>7127</v>
      </c>
      <c r="D1137" s="2" t="s">
        <v>7294</v>
      </c>
      <c r="E1137" s="2" t="s">
        <v>1810</v>
      </c>
      <c r="F1137" s="2" t="s">
        <v>894</v>
      </c>
      <c r="G1137" s="2" t="s">
        <v>7220</v>
      </c>
      <c r="H1137" s="2"/>
      <c r="I1137" s="2" t="s">
        <v>5922</v>
      </c>
      <c r="J1137" s="2" t="s">
        <v>5933</v>
      </c>
      <c r="K1137" s="3" t="b">
        <f>J1137 = "blocking"</f>
        <v>1</v>
      </c>
      <c r="L1137" s="2" t="s">
        <v>1428</v>
      </c>
      <c r="M1137" s="2" t="s">
        <v>7130</v>
      </c>
      <c r="N1137" s="4">
        <v>46223.1297337963</v>
      </c>
      <c r="O1137" s="3" t="b">
        <f>L1137 = "PASS"</f>
        <v>1</v>
      </c>
      <c r="P1137" s="3" t="b">
        <f>L1137 = "FAIL"</f>
        <v>0</v>
      </c>
      <c r="Q1137" s="3" t="b">
        <f>AND(P1137, K1137)</f>
        <v>0</v>
      </c>
      <c r="R1137" s="3" t="str">
        <f>IF(O1137, I1137, "")</f>
        <v>suite-integrity</v>
      </c>
      <c r="S1137" s="3" t="str">
        <f>IF(Q1137, I1137, "")</f>
      </c>
      <c r="T1137" s="2" t="s">
        <v>5935</v>
      </c>
    </row>
    <row r="1138">
      <c r="A1138" s="2" t="s">
        <v>7295</v>
      </c>
      <c r="B1138" s="3" t="str">
        <f>C1138 &amp; ": " &amp; D1138</f>
        <v>fk-resolves: RequirementSatisfactions.EvaluatedByAgent -&gt; Agents</v>
      </c>
      <c r="C1138" s="2" t="s">
        <v>7127</v>
      </c>
      <c r="D1138" s="2" t="s">
        <v>7296</v>
      </c>
      <c r="E1138" s="2" t="s">
        <v>1810</v>
      </c>
      <c r="F1138" s="2" t="s">
        <v>1450</v>
      </c>
      <c r="G1138" s="2" t="s">
        <v>7135</v>
      </c>
      <c r="H1138" s="2"/>
      <c r="I1138" s="2" t="s">
        <v>5922</v>
      </c>
      <c r="J1138" s="2" t="s">
        <v>5933</v>
      </c>
      <c r="K1138" s="3" t="b">
        <f>J1138 = "blocking"</f>
        <v>1</v>
      </c>
      <c r="L1138" s="2" t="s">
        <v>1428</v>
      </c>
      <c r="M1138" s="2" t="s">
        <v>7130</v>
      </c>
      <c r="N1138" s="4">
        <v>46223.1297337963</v>
      </c>
      <c r="O1138" s="3" t="b">
        <f>L1138 = "PASS"</f>
        <v>1</v>
      </c>
      <c r="P1138" s="3" t="b">
        <f>L1138 = "FAIL"</f>
        <v>0</v>
      </c>
      <c r="Q1138" s="3" t="b">
        <f>AND(P1138, K1138)</f>
        <v>0</v>
      </c>
      <c r="R1138" s="3" t="str">
        <f>IF(O1138, I1138, "")</f>
        <v>suite-integrity</v>
      </c>
      <c r="S1138" s="3" t="str">
        <f>IF(Q1138, I1138, "")</f>
      </c>
      <c r="T1138" s="2" t="s">
        <v>5935</v>
      </c>
    </row>
    <row r="1139">
      <c r="A1139" s="2" t="s">
        <v>7297</v>
      </c>
      <c r="B1139" s="3" t="str">
        <f>C1139 &amp; ": " &amp; D1139</f>
        <v>fk-resolves: IssueOccurrences.StepExecution -&gt; StepExecutions</v>
      </c>
      <c r="C1139" s="2" t="s">
        <v>7127</v>
      </c>
      <c r="D1139" s="2" t="s">
        <v>7298</v>
      </c>
      <c r="E1139" s="2" t="s">
        <v>1816</v>
      </c>
      <c r="F1139" s="2" t="s">
        <v>1447</v>
      </c>
      <c r="G1139" s="2" t="s">
        <v>7292</v>
      </c>
      <c r="H1139" s="2"/>
      <c r="I1139" s="2" t="s">
        <v>5922</v>
      </c>
      <c r="J1139" s="2" t="s">
        <v>5933</v>
      </c>
      <c r="K1139" s="3" t="b">
        <f>J1139 = "blocking"</f>
        <v>1</v>
      </c>
      <c r="L1139" s="2" t="s">
        <v>1428</v>
      </c>
      <c r="M1139" s="2" t="s">
        <v>7130</v>
      </c>
      <c r="N1139" s="4">
        <v>46223.1297337963</v>
      </c>
      <c r="O1139" s="3" t="b">
        <f>L1139 = "PASS"</f>
        <v>1</v>
      </c>
      <c r="P1139" s="3" t="b">
        <f>L1139 = "FAIL"</f>
        <v>0</v>
      </c>
      <c r="Q1139" s="3" t="b">
        <f>AND(P1139, K1139)</f>
        <v>0</v>
      </c>
      <c r="R1139" s="3" t="str">
        <f>IF(O1139, I1139, "")</f>
        <v>suite-integrity</v>
      </c>
      <c r="S1139" s="3" t="str">
        <f>IF(Q1139, I1139, "")</f>
      </c>
      <c r="T1139" s="2" t="s">
        <v>5935</v>
      </c>
    </row>
    <row r="1140">
      <c r="A1140" s="2" t="s">
        <v>7299</v>
      </c>
      <c r="B1140" s="3" t="str">
        <f>C1140 &amp; ": " &amp; D1140</f>
        <v>fk-resolves: IssueOccurrences.Error -&gt; Errors</v>
      </c>
      <c r="C1140" s="2" t="s">
        <v>7127</v>
      </c>
      <c r="D1140" s="2" t="s">
        <v>7300</v>
      </c>
      <c r="E1140" s="2" t="s">
        <v>1816</v>
      </c>
      <c r="F1140" s="2" t="s">
        <v>1520</v>
      </c>
      <c r="G1140" s="2" t="s">
        <v>7301</v>
      </c>
      <c r="H1140" s="2"/>
      <c r="I1140" s="2" t="s">
        <v>5922</v>
      </c>
      <c r="J1140" s="2" t="s">
        <v>5933</v>
      </c>
      <c r="K1140" s="3" t="b">
        <f>J1140 = "blocking"</f>
        <v>1</v>
      </c>
      <c r="L1140" s="2" t="s">
        <v>1428</v>
      </c>
      <c r="M1140" s="2" t="s">
        <v>7130</v>
      </c>
      <c r="N1140" s="4">
        <v>46223.1297337963</v>
      </c>
      <c r="O1140" s="3" t="b">
        <f>L1140 = "PASS"</f>
        <v>1</v>
      </c>
      <c r="P1140" s="3" t="b">
        <f>L1140 = "FAIL"</f>
        <v>0</v>
      </c>
      <c r="Q1140" s="3" t="b">
        <f>AND(P1140, K1140)</f>
        <v>0</v>
      </c>
      <c r="R1140" s="3" t="str">
        <f>IF(O1140, I1140, "")</f>
        <v>suite-integrity</v>
      </c>
      <c r="S1140" s="3" t="str">
        <f>IF(Q1140, I1140, "")</f>
      </c>
      <c r="T1140" s="2" t="s">
        <v>5935</v>
      </c>
    </row>
    <row r="1141">
      <c r="A1141" s="2" t="s">
        <v>7302</v>
      </c>
      <c r="B1141" s="3" t="str">
        <f>C1141 &amp; ": " &amp; D1141</f>
        <v>fk-resolves: IssueOccurrences.EncounteredByAgent -&gt; Agents</v>
      </c>
      <c r="C1141" s="2" t="s">
        <v>7127</v>
      </c>
      <c r="D1141" s="2" t="s">
        <v>7303</v>
      </c>
      <c r="E1141" s="2" t="s">
        <v>1816</v>
      </c>
      <c r="F1141" s="2" t="s">
        <v>1521</v>
      </c>
      <c r="G1141" s="2" t="s">
        <v>7135</v>
      </c>
      <c r="H1141" s="2"/>
      <c r="I1141" s="2" t="s">
        <v>5922</v>
      </c>
      <c r="J1141" s="2" t="s">
        <v>5933</v>
      </c>
      <c r="K1141" s="3" t="b">
        <f>J1141 = "blocking"</f>
        <v>1</v>
      </c>
      <c r="L1141" s="2" t="s">
        <v>1428</v>
      </c>
      <c r="M1141" s="2" t="s">
        <v>7130</v>
      </c>
      <c r="N1141" s="4">
        <v>46223.1297337963</v>
      </c>
      <c r="O1141" s="3" t="b">
        <f>L1141 = "PASS"</f>
        <v>1</v>
      </c>
      <c r="P1141" s="3" t="b">
        <f>L1141 = "FAIL"</f>
        <v>0</v>
      </c>
      <c r="Q1141" s="3" t="b">
        <f>AND(P1141, K1141)</f>
        <v>0</v>
      </c>
      <c r="R1141" s="3" t="str">
        <f>IF(O1141, I1141, "")</f>
        <v>suite-integrity</v>
      </c>
      <c r="S1141" s="3" t="str">
        <f>IF(Q1141, I1141, "")</f>
      </c>
      <c r="T1141" s="2" t="s">
        <v>5935</v>
      </c>
    </row>
    <row r="1142">
      <c r="A1142" s="2" t="s">
        <v>7304</v>
      </c>
      <c r="B1142" s="3" t="str">
        <f>C1142 &amp; ": " &amp; D1142</f>
        <v>fk-resolves: UserQuestions.StepExecution -&gt; StepExecutions</v>
      </c>
      <c r="C1142" s="2" t="s">
        <v>7127</v>
      </c>
      <c r="D1142" s="2" t="s">
        <v>7305</v>
      </c>
      <c r="E1142" s="2" t="s">
        <v>1819</v>
      </c>
      <c r="F1142" s="2" t="s">
        <v>1447</v>
      </c>
      <c r="G1142" s="2" t="s">
        <v>7292</v>
      </c>
      <c r="H1142" s="2"/>
      <c r="I1142" s="2" t="s">
        <v>5922</v>
      </c>
      <c r="J1142" s="2" t="s">
        <v>5933</v>
      </c>
      <c r="K1142" s="3" t="b">
        <f>J1142 = "blocking"</f>
        <v>1</v>
      </c>
      <c r="L1142" s="2" t="s">
        <v>1428</v>
      </c>
      <c r="M1142" s="2" t="s">
        <v>7130</v>
      </c>
      <c r="N1142" s="4">
        <v>46223.1297337963</v>
      </c>
      <c r="O1142" s="3" t="b">
        <f>L1142 = "PASS"</f>
        <v>1</v>
      </c>
      <c r="P1142" s="3" t="b">
        <f>L1142 = "FAIL"</f>
        <v>0</v>
      </c>
      <c r="Q1142" s="3" t="b">
        <f>AND(P1142, K1142)</f>
        <v>0</v>
      </c>
      <c r="R1142" s="3" t="str">
        <f>IF(O1142, I1142, "")</f>
        <v>suite-integrity</v>
      </c>
      <c r="S1142" s="3" t="str">
        <f>IF(Q1142, I1142, "")</f>
      </c>
      <c r="T1142" s="2" t="s">
        <v>5935</v>
      </c>
    </row>
    <row r="1143">
      <c r="A1143" s="2" t="s">
        <v>7306</v>
      </c>
      <c r="B1143" s="3" t="str">
        <f>C1143 &amp; ": " &amp; D1143</f>
        <v>fk-resolves: UserQuestions.AskedByAgent -&gt; Agents</v>
      </c>
      <c r="C1143" s="2" t="s">
        <v>7127</v>
      </c>
      <c r="D1143" s="2" t="s">
        <v>7307</v>
      </c>
      <c r="E1143" s="2" t="s">
        <v>1819</v>
      </c>
      <c r="F1143" s="2" t="s">
        <v>1536</v>
      </c>
      <c r="G1143" s="2" t="s">
        <v>7135</v>
      </c>
      <c r="H1143" s="2"/>
      <c r="I1143" s="2" t="s">
        <v>5922</v>
      </c>
      <c r="J1143" s="2" t="s">
        <v>5933</v>
      </c>
      <c r="K1143" s="3" t="b">
        <f>J1143 = "blocking"</f>
        <v>1</v>
      </c>
      <c r="L1143" s="2" t="s">
        <v>1428</v>
      </c>
      <c r="M1143" s="2" t="s">
        <v>7130</v>
      </c>
      <c r="N1143" s="4">
        <v>46223.1297337963</v>
      </c>
      <c r="O1143" s="3" t="b">
        <f>L1143 = "PASS"</f>
        <v>1</v>
      </c>
      <c r="P1143" s="3" t="b">
        <f>L1143 = "FAIL"</f>
        <v>0</v>
      </c>
      <c r="Q1143" s="3" t="b">
        <f>AND(P1143, K1143)</f>
        <v>0</v>
      </c>
      <c r="R1143" s="3" t="str">
        <f>IF(O1143, I1143, "")</f>
        <v>suite-integrity</v>
      </c>
      <c r="S1143" s="3" t="str">
        <f>IF(Q1143, I1143, "")</f>
      </c>
      <c r="T1143" s="2" t="s">
        <v>5935</v>
      </c>
    </row>
    <row r="1144">
      <c r="A1144" s="2" t="s">
        <v>7308</v>
      </c>
      <c r="B1144" s="3" t="str">
        <f>C1144 &amp; ": " &amp; D1144</f>
        <v>fk-resolves: UserQuestions.ResolvedByFaq -&gt; FAQs</v>
      </c>
      <c r="C1144" s="2" t="s">
        <v>7127</v>
      </c>
      <c r="D1144" s="2" t="s">
        <v>7309</v>
      </c>
      <c r="E1144" s="2" t="s">
        <v>1819</v>
      </c>
      <c r="F1144" s="2" t="s">
        <v>1539</v>
      </c>
      <c r="G1144" s="2" t="s">
        <v>7310</v>
      </c>
      <c r="H1144" s="2"/>
      <c r="I1144" s="2" t="s">
        <v>5922</v>
      </c>
      <c r="J1144" s="2" t="s">
        <v>5933</v>
      </c>
      <c r="K1144" s="3" t="b">
        <f>J1144 = "blocking"</f>
        <v>1</v>
      </c>
      <c r="L1144" s="2" t="s">
        <v>1428</v>
      </c>
      <c r="M1144" s="2" t="s">
        <v>7130</v>
      </c>
      <c r="N1144" s="4">
        <v>46223.1297337963</v>
      </c>
      <c r="O1144" s="3" t="b">
        <f>L1144 = "PASS"</f>
        <v>1</v>
      </c>
      <c r="P1144" s="3" t="b">
        <f>L1144 = "FAIL"</f>
        <v>0</v>
      </c>
      <c r="Q1144" s="3" t="b">
        <f>AND(P1144, K1144)</f>
        <v>0</v>
      </c>
      <c r="R1144" s="3" t="str">
        <f>IF(O1144, I1144, "")</f>
        <v>suite-integrity</v>
      </c>
      <c r="S1144" s="3" t="str">
        <f>IF(Q1144, I1144, "")</f>
      </c>
      <c r="T1144" s="2" t="s">
        <v>5935</v>
      </c>
    </row>
    <row r="1145">
      <c r="A1145" s="2" t="s">
        <v>7311</v>
      </c>
      <c r="B1145" s="3" t="str">
        <f>C1145 &amp; ": " &amp; D1145</f>
        <v>fk-resolves: UserQuestions.AddressedByResource -&gt; Resources</v>
      </c>
      <c r="C1145" s="2" t="s">
        <v>7127</v>
      </c>
      <c r="D1145" s="2" t="s">
        <v>7312</v>
      </c>
      <c r="E1145" s="2" t="s">
        <v>1819</v>
      </c>
      <c r="F1145" s="2" t="s">
        <v>1540</v>
      </c>
      <c r="G1145" s="2" t="s">
        <v>7241</v>
      </c>
      <c r="H1145" s="2"/>
      <c r="I1145" s="2" t="s">
        <v>5922</v>
      </c>
      <c r="J1145" s="2" t="s">
        <v>5933</v>
      </c>
      <c r="K1145" s="3" t="b">
        <f>J1145 = "blocking"</f>
        <v>1</v>
      </c>
      <c r="L1145" s="2" t="s">
        <v>1428</v>
      </c>
      <c r="M1145" s="2" t="s">
        <v>7130</v>
      </c>
      <c r="N1145" s="4">
        <v>46223.1297337963</v>
      </c>
      <c r="O1145" s="3" t="b">
        <f>L1145 = "PASS"</f>
        <v>1</v>
      </c>
      <c r="P1145" s="3" t="b">
        <f>L1145 = "FAIL"</f>
        <v>0</v>
      </c>
      <c r="Q1145" s="3" t="b">
        <f>AND(P1145, K1145)</f>
        <v>0</v>
      </c>
      <c r="R1145" s="3" t="str">
        <f>IF(O1145, I1145, "")</f>
        <v>suite-integrity</v>
      </c>
      <c r="S1145" s="3" t="str">
        <f>IF(Q1145, I1145, "")</f>
      </c>
      <c r="T1145" s="2" t="s">
        <v>5935</v>
      </c>
    </row>
    <row r="1146">
      <c r="A1146" s="2" t="s">
        <v>7313</v>
      </c>
      <c r="B1146" s="3" t="str">
        <f>C1146 &amp; ": " &amp; D1146</f>
        <v>fk-resolves: UserFeedback.ProcedureExecution -&gt; ProcedureExecutions</v>
      </c>
      <c r="C1146" s="2" t="s">
        <v>7127</v>
      </c>
      <c r="D1146" s="2" t="s">
        <v>7314</v>
      </c>
      <c r="E1146" s="2" t="s">
        <v>1822</v>
      </c>
      <c r="F1146" s="2" t="s">
        <v>1329</v>
      </c>
      <c r="G1146" s="2" t="s">
        <v>7285</v>
      </c>
      <c r="H1146" s="2"/>
      <c r="I1146" s="2" t="s">
        <v>5922</v>
      </c>
      <c r="J1146" s="2" t="s">
        <v>5933</v>
      </c>
      <c r="K1146" s="3" t="b">
        <f>J1146 = "blocking"</f>
        <v>1</v>
      </c>
      <c r="L1146" s="2" t="s">
        <v>1428</v>
      </c>
      <c r="M1146" s="2" t="s">
        <v>7130</v>
      </c>
      <c r="N1146" s="4">
        <v>46223.1297337963</v>
      </c>
      <c r="O1146" s="3" t="b">
        <f>L1146 = "PASS"</f>
        <v>1</v>
      </c>
      <c r="P1146" s="3" t="b">
        <f>L1146 = "FAIL"</f>
        <v>0</v>
      </c>
      <c r="Q1146" s="3" t="b">
        <f>AND(P1146, K1146)</f>
        <v>0</v>
      </c>
      <c r="R1146" s="3" t="str">
        <f>IF(O1146, I1146, "")</f>
        <v>suite-integrity</v>
      </c>
      <c r="S1146" s="3" t="str">
        <f>IF(Q1146, I1146, "")</f>
      </c>
      <c r="T1146" s="2" t="s">
        <v>5935</v>
      </c>
    </row>
    <row r="1147">
      <c r="A1147" s="2" t="s">
        <v>7315</v>
      </c>
      <c r="B1147" s="3" t="str">
        <f>C1147 &amp; ": " &amp; D1147</f>
        <v>fk-resolves: UserFeedback.ProvidedByAgent -&gt; Agents</v>
      </c>
      <c r="C1147" s="2" t="s">
        <v>7127</v>
      </c>
      <c r="D1147" s="2" t="s">
        <v>7316</v>
      </c>
      <c r="E1147" s="2" t="s">
        <v>1822</v>
      </c>
      <c r="F1147" s="2" t="s">
        <v>1548</v>
      </c>
      <c r="G1147" s="2" t="s">
        <v>7135</v>
      </c>
      <c r="H1147" s="2"/>
      <c r="I1147" s="2" t="s">
        <v>5922</v>
      </c>
      <c r="J1147" s="2" t="s">
        <v>5933</v>
      </c>
      <c r="K1147" s="3" t="b">
        <f>J1147 = "blocking"</f>
        <v>1</v>
      </c>
      <c r="L1147" s="2" t="s">
        <v>1428</v>
      </c>
      <c r="M1147" s="2" t="s">
        <v>7130</v>
      </c>
      <c r="N1147" s="4">
        <v>46223.1297337963</v>
      </c>
      <c r="O1147" s="3" t="b">
        <f>L1147 = "PASS"</f>
        <v>1</v>
      </c>
      <c r="P1147" s="3" t="b">
        <f>L1147 = "FAIL"</f>
        <v>0</v>
      </c>
      <c r="Q1147" s="3" t="b">
        <f>AND(P1147, K1147)</f>
        <v>0</v>
      </c>
      <c r="R1147" s="3" t="str">
        <f>IF(O1147, I1147, "")</f>
        <v>suite-integrity</v>
      </c>
      <c r="S1147" s="3" t="str">
        <f>IF(Q1147, I1147, "")</f>
      </c>
      <c r="T1147" s="2" t="s">
        <v>5935</v>
      </c>
    </row>
    <row r="1148">
      <c r="A1148" s="2" t="s">
        <v>7317</v>
      </c>
      <c r="B1148" s="3" t="str">
        <f>C1148 &amp; ": " &amp; D1148</f>
        <v>fk-resolves: StewardshipAssignments.ProcedureVersion -&gt; ProcedureVersions</v>
      </c>
      <c r="C1148" s="2" t="s">
        <v>7127</v>
      </c>
      <c r="D1148" s="2" t="s">
        <v>7318</v>
      </c>
      <c r="E1148" s="2" t="s">
        <v>1839</v>
      </c>
      <c r="F1148" s="2" t="s">
        <v>477</v>
      </c>
      <c r="G1148" s="2" t="s">
        <v>7181</v>
      </c>
      <c r="H1148" s="2"/>
      <c r="I1148" s="2" t="s">
        <v>5922</v>
      </c>
      <c r="J1148" s="2" t="s">
        <v>5933</v>
      </c>
      <c r="K1148" s="3" t="b">
        <f>J1148 = "blocking"</f>
        <v>1</v>
      </c>
      <c r="L1148" s="2" t="s">
        <v>1428</v>
      </c>
      <c r="M1148" s="2" t="s">
        <v>7130</v>
      </c>
      <c r="N1148" s="4">
        <v>46223.1297337963</v>
      </c>
      <c r="O1148" s="3" t="b">
        <f>L1148 = "PASS"</f>
        <v>1</v>
      </c>
      <c r="P1148" s="3" t="b">
        <f>L1148 = "FAIL"</f>
        <v>0</v>
      </c>
      <c r="Q1148" s="3" t="b">
        <f>AND(P1148, K1148)</f>
        <v>0</v>
      </c>
      <c r="R1148" s="3" t="str">
        <f>IF(O1148, I1148, "")</f>
        <v>suite-integrity</v>
      </c>
      <c r="S1148" s="3" t="str">
        <f>IF(Q1148, I1148, "")</f>
      </c>
      <c r="T1148" s="2" t="s">
        <v>5935</v>
      </c>
    </row>
    <row r="1149">
      <c r="A1149" s="2" t="s">
        <v>7319</v>
      </c>
      <c r="B1149" s="3" t="str">
        <f>C1149 &amp; ": " &amp; D1149</f>
        <v>fk-resolves: StewardshipAssignments.StewardRole -&gt; Roles</v>
      </c>
      <c r="C1149" s="2" t="s">
        <v>7127</v>
      </c>
      <c r="D1149" s="2" t="s">
        <v>7320</v>
      </c>
      <c r="E1149" s="2" t="s">
        <v>1839</v>
      </c>
      <c r="F1149" s="2" t="s">
        <v>326</v>
      </c>
      <c r="G1149" s="2" t="s">
        <v>7138</v>
      </c>
      <c r="H1149" s="2"/>
      <c r="I1149" s="2" t="s">
        <v>5922</v>
      </c>
      <c r="J1149" s="2" t="s">
        <v>5933</v>
      </c>
      <c r="K1149" s="3" t="b">
        <f>J1149 = "blocking"</f>
        <v>1</v>
      </c>
      <c r="L1149" s="2" t="s">
        <v>1428</v>
      </c>
      <c r="M1149" s="2" t="s">
        <v>7130</v>
      </c>
      <c r="N1149" s="4">
        <v>46223.1297337963</v>
      </c>
      <c r="O1149" s="3" t="b">
        <f>L1149 = "PASS"</f>
        <v>1</v>
      </c>
      <c r="P1149" s="3" t="b">
        <f>L1149 = "FAIL"</f>
        <v>0</v>
      </c>
      <c r="Q1149" s="3" t="b">
        <f>AND(P1149, K1149)</f>
        <v>0</v>
      </c>
      <c r="R1149" s="3" t="str">
        <f>IF(O1149, I1149, "")</f>
        <v>suite-integrity</v>
      </c>
      <c r="S1149" s="3" t="str">
        <f>IF(Q1149, I1149, "")</f>
      </c>
      <c r="T1149" s="2" t="s">
        <v>5935</v>
      </c>
    </row>
    <row r="1150">
      <c r="A1150" s="2" t="s">
        <v>7321</v>
      </c>
      <c r="B1150" s="3" t="str">
        <f>C1150 &amp; ": " &amp; D1150</f>
        <v>fk-resolves: StewardshipAssignments.AuthorityRole -&gt; Roles</v>
      </c>
      <c r="C1150" s="2" t="s">
        <v>7127</v>
      </c>
      <c r="D1150" s="2" t="s">
        <v>7322</v>
      </c>
      <c r="E1150" s="2" t="s">
        <v>1839</v>
      </c>
      <c r="F1150" s="2" t="s">
        <v>966</v>
      </c>
      <c r="G1150" s="2" t="s">
        <v>7138</v>
      </c>
      <c r="H1150" s="2"/>
      <c r="I1150" s="2" t="s">
        <v>5922</v>
      </c>
      <c r="J1150" s="2" t="s">
        <v>5933</v>
      </c>
      <c r="K1150" s="3" t="b">
        <f>J1150 = "blocking"</f>
        <v>1</v>
      </c>
      <c r="L1150" s="2" t="s">
        <v>1428</v>
      </c>
      <c r="M1150" s="2" t="s">
        <v>7130</v>
      </c>
      <c r="N1150" s="4">
        <v>46223.1297337963</v>
      </c>
      <c r="O1150" s="3" t="b">
        <f>L1150 = "PASS"</f>
        <v>1</v>
      </c>
      <c r="P1150" s="3" t="b">
        <f>L1150 = "FAIL"</f>
        <v>0</v>
      </c>
      <c r="Q1150" s="3" t="b">
        <f>AND(P1150, K1150)</f>
        <v>0</v>
      </c>
      <c r="R1150" s="3" t="str">
        <f>IF(O1150, I1150, "")</f>
        <v>suite-integrity</v>
      </c>
      <c r="S1150" s="3" t="str">
        <f>IF(Q1150, I1150, "")</f>
      </c>
      <c r="T1150" s="2" t="s">
        <v>5935</v>
      </c>
    </row>
    <row r="1151">
      <c r="A1151" s="2" t="s">
        <v>7323</v>
      </c>
      <c r="B1151" s="3" t="str">
        <f>C1151 &amp; ": " &amp; D1151</f>
        <v>fk-resolves: StewardshipAssignments.EvaluationContext -&gt; EvaluationContexts</v>
      </c>
      <c r="C1151" s="2" t="s">
        <v>7127</v>
      </c>
      <c r="D1151" s="2" t="s">
        <v>7324</v>
      </c>
      <c r="E1151" s="2" t="s">
        <v>1839</v>
      </c>
      <c r="F1151" s="2" t="s">
        <v>258</v>
      </c>
      <c r="G1151" s="2" t="s">
        <v>7143</v>
      </c>
      <c r="H1151" s="2"/>
      <c r="I1151" s="2" t="s">
        <v>5922</v>
      </c>
      <c r="J1151" s="2" t="s">
        <v>5933</v>
      </c>
      <c r="K1151" s="3" t="b">
        <f>J1151 = "blocking"</f>
        <v>1</v>
      </c>
      <c r="L1151" s="2" t="s">
        <v>1428</v>
      </c>
      <c r="M1151" s="2" t="s">
        <v>7130</v>
      </c>
      <c r="N1151" s="4">
        <v>46223.1297337963</v>
      </c>
      <c r="O1151" s="3" t="b">
        <f>L1151 = "PASS"</f>
        <v>1</v>
      </c>
      <c r="P1151" s="3" t="b">
        <f>L1151 = "FAIL"</f>
        <v>0</v>
      </c>
      <c r="Q1151" s="3" t="b">
        <f>AND(P1151, K1151)</f>
        <v>0</v>
      </c>
      <c r="R1151" s="3" t="str">
        <f>IF(O1151, I1151, "")</f>
        <v>suite-integrity</v>
      </c>
      <c r="S1151" s="3" t="str">
        <f>IF(Q1151, I1151, "")</f>
      </c>
      <c r="T1151" s="2" t="s">
        <v>5935</v>
      </c>
    </row>
    <row r="1152">
      <c r="A1152" s="2" t="s">
        <v>7325</v>
      </c>
      <c r="B1152" s="3" t="str">
        <f>C1152 &amp; ": " &amp; D1152</f>
        <v>fk-resolves: ChangeRequests.ProcedureVersion -&gt; ProcedureVersions</v>
      </c>
      <c r="C1152" s="2" t="s">
        <v>7127</v>
      </c>
      <c r="D1152" s="2" t="s">
        <v>7326</v>
      </c>
      <c r="E1152" s="2" t="s">
        <v>3848</v>
      </c>
      <c r="F1152" s="2" t="s">
        <v>477</v>
      </c>
      <c r="G1152" s="2" t="s">
        <v>7181</v>
      </c>
      <c r="H1152" s="2"/>
      <c r="I1152" s="2" t="s">
        <v>5922</v>
      </c>
      <c r="J1152" s="2" t="s">
        <v>5933</v>
      </c>
      <c r="K1152" s="3" t="b">
        <f>J1152 = "blocking"</f>
        <v>1</v>
      </c>
      <c r="L1152" s="2" t="s">
        <v>1428</v>
      </c>
      <c r="M1152" s="2" t="s">
        <v>7130</v>
      </c>
      <c r="N1152" s="4">
        <v>46223.1297337963</v>
      </c>
      <c r="O1152" s="3" t="b">
        <f>L1152 = "PASS"</f>
        <v>1</v>
      </c>
      <c r="P1152" s="3" t="b">
        <f>L1152 = "FAIL"</f>
        <v>0</v>
      </c>
      <c r="Q1152" s="3" t="b">
        <f>AND(P1152, K1152)</f>
        <v>0</v>
      </c>
      <c r="R1152" s="3" t="str">
        <f>IF(O1152, I1152, "")</f>
        <v>suite-integrity</v>
      </c>
      <c r="S1152" s="3" t="str">
        <f>IF(Q1152, I1152, "")</f>
      </c>
      <c r="T1152" s="2" t="s">
        <v>5935</v>
      </c>
    </row>
    <row r="1153">
      <c r="A1153" s="2" t="s">
        <v>7327</v>
      </c>
      <c r="B1153" s="3" t="str">
        <f>C1153 &amp; ": " &amp; D1153</f>
        <v>fk-resolves: ChangeRequests.RequestedByAgent -&gt; Agents</v>
      </c>
      <c r="C1153" s="2" t="s">
        <v>7127</v>
      </c>
      <c r="D1153" s="2" t="s">
        <v>7328</v>
      </c>
      <c r="E1153" s="2" t="s">
        <v>3848</v>
      </c>
      <c r="F1153" s="2" t="s">
        <v>1570</v>
      </c>
      <c r="G1153" s="2" t="s">
        <v>7135</v>
      </c>
      <c r="H1153" s="2"/>
      <c r="I1153" s="2" t="s">
        <v>5922</v>
      </c>
      <c r="J1153" s="2" t="s">
        <v>5933</v>
      </c>
      <c r="K1153" s="3" t="b">
        <f>J1153 = "blocking"</f>
        <v>1</v>
      </c>
      <c r="L1153" s="2" t="s">
        <v>1428</v>
      </c>
      <c r="M1153" s="2" t="s">
        <v>7130</v>
      </c>
      <c r="N1153" s="4">
        <v>46223.1297337963</v>
      </c>
      <c r="O1153" s="3" t="b">
        <f>L1153 = "PASS"</f>
        <v>1</v>
      </c>
      <c r="P1153" s="3" t="b">
        <f>L1153 = "FAIL"</f>
        <v>0</v>
      </c>
      <c r="Q1153" s="3" t="b">
        <f>AND(P1153, K1153)</f>
        <v>0</v>
      </c>
      <c r="R1153" s="3" t="str">
        <f>IF(O1153, I1153, "")</f>
        <v>suite-integrity</v>
      </c>
      <c r="S1153" s="3" t="str">
        <f>IF(Q1153, I1153, "")</f>
      </c>
      <c r="T1153" s="2" t="s">
        <v>5935</v>
      </c>
    </row>
    <row r="1154">
      <c r="A1154" s="2" t="s">
        <v>7329</v>
      </c>
      <c r="B1154" s="3" t="str">
        <f>C1154 &amp; ": " &amp; D1154</f>
        <v>fk-resolves: ChangeRequests.AuthorityRole -&gt; Roles</v>
      </c>
      <c r="C1154" s="2" t="s">
        <v>7127</v>
      </c>
      <c r="D1154" s="2" t="s">
        <v>7330</v>
      </c>
      <c r="E1154" s="2" t="s">
        <v>3848</v>
      </c>
      <c r="F1154" s="2" t="s">
        <v>966</v>
      </c>
      <c r="G1154" s="2" t="s">
        <v>7138</v>
      </c>
      <c r="H1154" s="2"/>
      <c r="I1154" s="2" t="s">
        <v>5922</v>
      </c>
      <c r="J1154" s="2" t="s">
        <v>5933</v>
      </c>
      <c r="K1154" s="3" t="b">
        <f>J1154 = "blocking"</f>
        <v>1</v>
      </c>
      <c r="L1154" s="2" t="s">
        <v>1428</v>
      </c>
      <c r="M1154" s="2" t="s">
        <v>7130</v>
      </c>
      <c r="N1154" s="4">
        <v>46223.1297337963</v>
      </c>
      <c r="O1154" s="3" t="b">
        <f>L1154 = "PASS"</f>
        <v>1</v>
      </c>
      <c r="P1154" s="3" t="b">
        <f>L1154 = "FAIL"</f>
        <v>0</v>
      </c>
      <c r="Q1154" s="3" t="b">
        <f>AND(P1154, K1154)</f>
        <v>0</v>
      </c>
      <c r="R1154" s="3" t="str">
        <f>IF(O1154, I1154, "")</f>
        <v>suite-integrity</v>
      </c>
      <c r="S1154" s="3" t="str">
        <f>IF(Q1154, I1154, "")</f>
      </c>
      <c r="T1154" s="2" t="s">
        <v>5935</v>
      </c>
    </row>
    <row r="1155">
      <c r="A1155" s="2" t="s">
        <v>7331</v>
      </c>
      <c r="B1155" s="3" t="str">
        <f>C1155 &amp; ": " &amp; D1155</f>
        <v>fk-resolves: ChangeRequests.EvaluationContext -&gt; EvaluationContexts</v>
      </c>
      <c r="C1155" s="2" t="s">
        <v>7127</v>
      </c>
      <c r="D1155" s="2" t="s">
        <v>7332</v>
      </c>
      <c r="E1155" s="2" t="s">
        <v>3848</v>
      </c>
      <c r="F1155" s="2" t="s">
        <v>258</v>
      </c>
      <c r="G1155" s="2" t="s">
        <v>7143</v>
      </c>
      <c r="H1155" s="2"/>
      <c r="I1155" s="2" t="s">
        <v>5922</v>
      </c>
      <c r="J1155" s="2" t="s">
        <v>5933</v>
      </c>
      <c r="K1155" s="3" t="b">
        <f>J1155 = "blocking"</f>
        <v>1</v>
      </c>
      <c r="L1155" s="2" t="s">
        <v>1428</v>
      </c>
      <c r="M1155" s="2" t="s">
        <v>7130</v>
      </c>
      <c r="N1155" s="4">
        <v>46223.1297337963</v>
      </c>
      <c r="O1155" s="3" t="b">
        <f>L1155 = "PASS"</f>
        <v>1</v>
      </c>
      <c r="P1155" s="3" t="b">
        <f>L1155 = "FAIL"</f>
        <v>0</v>
      </c>
      <c r="Q1155" s="3" t="b">
        <f>AND(P1155, K1155)</f>
        <v>0</v>
      </c>
      <c r="R1155" s="3" t="str">
        <f>IF(O1155, I1155, "")</f>
        <v>suite-integrity</v>
      </c>
      <c r="S1155" s="3" t="str">
        <f>IF(Q1155, I1155, "")</f>
      </c>
      <c r="T1155" s="2" t="s">
        <v>5935</v>
      </c>
    </row>
    <row r="1156">
      <c r="A1156" s="2" t="s">
        <v>7333</v>
      </c>
      <c r="B1156" s="3" t="str">
        <f>C1156 &amp; ": " &amp; D1156</f>
        <v>fk-resolves: ReviewEvents.ProcedureVersion -&gt; ProcedureVersions</v>
      </c>
      <c r="C1156" s="2" t="s">
        <v>7127</v>
      </c>
      <c r="D1156" s="2" t="s">
        <v>7334</v>
      </c>
      <c r="E1156" s="2" t="s">
        <v>3922</v>
      </c>
      <c r="F1156" s="2" t="s">
        <v>477</v>
      </c>
      <c r="G1156" s="2" t="s">
        <v>7181</v>
      </c>
      <c r="H1156" s="2"/>
      <c r="I1156" s="2" t="s">
        <v>5922</v>
      </c>
      <c r="J1156" s="2" t="s">
        <v>5933</v>
      </c>
      <c r="K1156" s="3" t="b">
        <f>J1156 = "blocking"</f>
        <v>1</v>
      </c>
      <c r="L1156" s="2" t="s">
        <v>1428</v>
      </c>
      <c r="M1156" s="2" t="s">
        <v>7130</v>
      </c>
      <c r="N1156" s="4">
        <v>46223.1297337963</v>
      </c>
      <c r="O1156" s="3" t="b">
        <f>L1156 = "PASS"</f>
        <v>1</v>
      </c>
      <c r="P1156" s="3" t="b">
        <f>L1156 = "FAIL"</f>
        <v>0</v>
      </c>
      <c r="Q1156" s="3" t="b">
        <f>AND(P1156, K1156)</f>
        <v>0</v>
      </c>
      <c r="R1156" s="3" t="str">
        <f>IF(O1156, I1156, "")</f>
        <v>suite-integrity</v>
      </c>
      <c r="S1156" s="3" t="str">
        <f>IF(Q1156, I1156, "")</f>
      </c>
      <c r="T1156" s="2" t="s">
        <v>5935</v>
      </c>
    </row>
    <row r="1157">
      <c r="A1157" s="2" t="s">
        <v>7335</v>
      </c>
      <c r="B1157" s="3" t="str">
        <f>C1157 &amp; ": " &amp; D1157</f>
        <v>fk-resolves: ReviewEvents.ReviewedByAgent -&gt; Agents</v>
      </c>
      <c r="C1157" s="2" t="s">
        <v>7127</v>
      </c>
      <c r="D1157" s="2" t="s">
        <v>7336</v>
      </c>
      <c r="E1157" s="2" t="s">
        <v>3922</v>
      </c>
      <c r="F1157" s="2" t="s">
        <v>1614</v>
      </c>
      <c r="G1157" s="2" t="s">
        <v>7135</v>
      </c>
      <c r="H1157" s="2"/>
      <c r="I1157" s="2" t="s">
        <v>5922</v>
      </c>
      <c r="J1157" s="2" t="s">
        <v>5933</v>
      </c>
      <c r="K1157" s="3" t="b">
        <f>J1157 = "blocking"</f>
        <v>1</v>
      </c>
      <c r="L1157" s="2" t="s">
        <v>1428</v>
      </c>
      <c r="M1157" s="2" t="s">
        <v>7130</v>
      </c>
      <c r="N1157" s="4">
        <v>46223.1297337963</v>
      </c>
      <c r="O1157" s="3" t="b">
        <f>L1157 = "PASS"</f>
        <v>1</v>
      </c>
      <c r="P1157" s="3" t="b">
        <f>L1157 = "FAIL"</f>
        <v>0</v>
      </c>
      <c r="Q1157" s="3" t="b">
        <f>AND(P1157, K1157)</f>
        <v>0</v>
      </c>
      <c r="R1157" s="3" t="str">
        <f>IF(O1157, I1157, "")</f>
        <v>suite-integrity</v>
      </c>
      <c r="S1157" s="3" t="str">
        <f>IF(Q1157, I1157, "")</f>
      </c>
      <c r="T1157" s="2" t="s">
        <v>5935</v>
      </c>
    </row>
    <row r="1158">
      <c r="A1158" s="2" t="s">
        <v>7337</v>
      </c>
      <c r="B1158" s="3" t="str">
        <f>C1158 &amp; ": " &amp; D1158</f>
        <v>fk-resolves: ReviewEvents.RelatedChangeRequest -&gt; ChangeRequests</v>
      </c>
      <c r="C1158" s="2" t="s">
        <v>7127</v>
      </c>
      <c r="D1158" s="2" t="s">
        <v>7338</v>
      </c>
      <c r="E1158" s="2" t="s">
        <v>3922</v>
      </c>
      <c r="F1158" s="2" t="s">
        <v>1616</v>
      </c>
      <c r="G1158" s="2" t="s">
        <v>7151</v>
      </c>
      <c r="H1158" s="2"/>
      <c r="I1158" s="2" t="s">
        <v>5922</v>
      </c>
      <c r="J1158" s="2" t="s">
        <v>5933</v>
      </c>
      <c r="K1158" s="3" t="b">
        <f>J1158 = "blocking"</f>
        <v>1</v>
      </c>
      <c r="L1158" s="2" t="s">
        <v>1428</v>
      </c>
      <c r="M1158" s="2" t="s">
        <v>7130</v>
      </c>
      <c r="N1158" s="4">
        <v>46223.1297337963</v>
      </c>
      <c r="O1158" s="3" t="b">
        <f>L1158 = "PASS"</f>
        <v>1</v>
      </c>
      <c r="P1158" s="3" t="b">
        <f>L1158 = "FAIL"</f>
        <v>0</v>
      </c>
      <c r="Q1158" s="3" t="b">
        <f>AND(P1158, K1158)</f>
        <v>0</v>
      </c>
      <c r="R1158" s="3" t="str">
        <f>IF(O1158, I1158, "")</f>
        <v>suite-integrity</v>
      </c>
      <c r="S1158" s="3" t="str">
        <f>IF(Q1158, I1158, "")</f>
      </c>
      <c r="T1158" s="2" t="s">
        <v>5935</v>
      </c>
    </row>
    <row r="1159">
      <c r="A1159" s="2" t="s">
        <v>7339</v>
      </c>
      <c r="B1159" s="3" t="str">
        <f>C1159 &amp; ": " &amp; D1159</f>
        <v>fk-resolves: ReviewEvents.EvaluationContext -&gt; EvaluationContexts</v>
      </c>
      <c r="C1159" s="2" t="s">
        <v>7127</v>
      </c>
      <c r="D1159" s="2" t="s">
        <v>7340</v>
      </c>
      <c r="E1159" s="2" t="s">
        <v>3922</v>
      </c>
      <c r="F1159" s="2" t="s">
        <v>258</v>
      </c>
      <c r="G1159" s="2" t="s">
        <v>7143</v>
      </c>
      <c r="H1159" s="2"/>
      <c r="I1159" s="2" t="s">
        <v>5922</v>
      </c>
      <c r="J1159" s="2" t="s">
        <v>5933</v>
      </c>
      <c r="K1159" s="3" t="b">
        <f>J1159 = "blocking"</f>
        <v>1</v>
      </c>
      <c r="L1159" s="2" t="s">
        <v>1428</v>
      </c>
      <c r="M1159" s="2" t="s">
        <v>7130</v>
      </c>
      <c r="N1159" s="4">
        <v>46223.1297337963</v>
      </c>
      <c r="O1159" s="3" t="b">
        <f>L1159 = "PASS"</f>
        <v>1</v>
      </c>
      <c r="P1159" s="3" t="b">
        <f>L1159 = "FAIL"</f>
        <v>0</v>
      </c>
      <c r="Q1159" s="3" t="b">
        <f>AND(P1159, K1159)</f>
        <v>0</v>
      </c>
      <c r="R1159" s="3" t="str">
        <f>IF(O1159, I1159, "")</f>
        <v>suite-integrity</v>
      </c>
      <c r="S1159" s="3" t="str">
        <f>IF(Q1159, I1159, "")</f>
      </c>
      <c r="T1159" s="2" t="s">
        <v>5935</v>
      </c>
    </row>
    <row r="1160">
      <c r="A1160" s="2" t="s">
        <v>7341</v>
      </c>
      <c r="B1160" s="3" t="str">
        <f>C1160 &amp; ": " &amp; D1160</f>
        <v>fk-resolves: LearningActivities.CommunityOfPractice -&gt; CommunitiesOfPractice</v>
      </c>
      <c r="C1160" s="2" t="s">
        <v>7127</v>
      </c>
      <c r="D1160" s="2" t="s">
        <v>7342</v>
      </c>
      <c r="E1160" s="2" t="s">
        <v>3951</v>
      </c>
      <c r="F1160" s="2" t="s">
        <v>339</v>
      </c>
      <c r="G1160" s="2" t="s">
        <v>7158</v>
      </c>
      <c r="H1160" s="2"/>
      <c r="I1160" s="2" t="s">
        <v>5922</v>
      </c>
      <c r="J1160" s="2" t="s">
        <v>5933</v>
      </c>
      <c r="K1160" s="3" t="b">
        <f>J1160 = "blocking"</f>
        <v>1</v>
      </c>
      <c r="L1160" s="2" t="s">
        <v>1428</v>
      </c>
      <c r="M1160" s="2" t="s">
        <v>7130</v>
      </c>
      <c r="N1160" s="4">
        <v>46223.1297337963</v>
      </c>
      <c r="O1160" s="3" t="b">
        <f>L1160 = "PASS"</f>
        <v>1</v>
      </c>
      <c r="P1160" s="3" t="b">
        <f>L1160 = "FAIL"</f>
        <v>0</v>
      </c>
      <c r="Q1160" s="3" t="b">
        <f>AND(P1160, K1160)</f>
        <v>0</v>
      </c>
      <c r="R1160" s="3" t="str">
        <f>IF(O1160, I1160, "")</f>
        <v>suite-integrity</v>
      </c>
      <c r="S1160" s="3" t="str">
        <f>IF(Q1160, I1160, "")</f>
      </c>
      <c r="T1160" s="2" t="s">
        <v>5935</v>
      </c>
    </row>
    <row r="1161">
      <c r="A1161" s="2" t="s">
        <v>7343</v>
      </c>
      <c r="B1161" s="3" t="str">
        <f>C1161 &amp; ": " &amp; D1161</f>
        <v>fk-resolves: LearningActivities.ProcedureVersion -&gt; ProcedureVersions</v>
      </c>
      <c r="C1161" s="2" t="s">
        <v>7127</v>
      </c>
      <c r="D1161" s="2" t="s">
        <v>7344</v>
      </c>
      <c r="E1161" s="2" t="s">
        <v>3951</v>
      </c>
      <c r="F1161" s="2" t="s">
        <v>477</v>
      </c>
      <c r="G1161" s="2" t="s">
        <v>7181</v>
      </c>
      <c r="H1161" s="2"/>
      <c r="I1161" s="2" t="s">
        <v>5922</v>
      </c>
      <c r="J1161" s="2" t="s">
        <v>5933</v>
      </c>
      <c r="K1161" s="3" t="b">
        <f>J1161 = "blocking"</f>
        <v>1</v>
      </c>
      <c r="L1161" s="2" t="s">
        <v>1428</v>
      </c>
      <c r="M1161" s="2" t="s">
        <v>7130</v>
      </c>
      <c r="N1161" s="4">
        <v>46223.1297337963</v>
      </c>
      <c r="O1161" s="3" t="b">
        <f>L1161 = "PASS"</f>
        <v>1</v>
      </c>
      <c r="P1161" s="3" t="b">
        <f>L1161 = "FAIL"</f>
        <v>0</v>
      </c>
      <c r="Q1161" s="3" t="b">
        <f>AND(P1161, K1161)</f>
        <v>0</v>
      </c>
      <c r="R1161" s="3" t="str">
        <f>IF(O1161, I1161, "")</f>
        <v>suite-integrity</v>
      </c>
      <c r="S1161" s="3" t="str">
        <f>IF(Q1161, I1161, "")</f>
      </c>
      <c r="T1161" s="2" t="s">
        <v>5935</v>
      </c>
    </row>
    <row r="1162">
      <c r="A1162" s="2" t="s">
        <v>7345</v>
      </c>
      <c r="B1162" s="3" t="str">
        <f>C1162 &amp; ": " &amp; D1162</f>
        <v>fk-resolves: LearningActivities.FacilitatorAgent -&gt; Agents</v>
      </c>
      <c r="C1162" s="2" t="s">
        <v>7127</v>
      </c>
      <c r="D1162" s="2" t="s">
        <v>7346</v>
      </c>
      <c r="E1162" s="2" t="s">
        <v>3951</v>
      </c>
      <c r="F1162" s="2" t="s">
        <v>1063</v>
      </c>
      <c r="G1162" s="2" t="s">
        <v>7135</v>
      </c>
      <c r="H1162" s="2"/>
      <c r="I1162" s="2" t="s">
        <v>5922</v>
      </c>
      <c r="J1162" s="2" t="s">
        <v>5933</v>
      </c>
      <c r="K1162" s="3" t="b">
        <f>J1162 = "blocking"</f>
        <v>1</v>
      </c>
      <c r="L1162" s="2" t="s">
        <v>1428</v>
      </c>
      <c r="M1162" s="2" t="s">
        <v>7130</v>
      </c>
      <c r="N1162" s="4">
        <v>46223.1297337963</v>
      </c>
      <c r="O1162" s="3" t="b">
        <f>L1162 = "PASS"</f>
        <v>1</v>
      </c>
      <c r="P1162" s="3" t="b">
        <f>L1162 = "FAIL"</f>
        <v>0</v>
      </c>
      <c r="Q1162" s="3" t="b">
        <f>AND(P1162, K1162)</f>
        <v>0</v>
      </c>
      <c r="R1162" s="3" t="str">
        <f>IF(O1162, I1162, "")</f>
        <v>suite-integrity</v>
      </c>
      <c r="S1162" s="3" t="str">
        <f>IF(Q1162, I1162, "")</f>
      </c>
      <c r="T1162" s="2" t="s">
        <v>5935</v>
      </c>
    </row>
    <row r="1163">
      <c r="A1163" s="2" t="s">
        <v>7347</v>
      </c>
      <c r="B1163" s="3" t="str">
        <f>C1163 &amp; ": " &amp; D1163</f>
        <v>fk-resolves: LearningActivities.EvidenceResource -&gt; Resources</v>
      </c>
      <c r="C1163" s="2" t="s">
        <v>7127</v>
      </c>
      <c r="D1163" s="2" t="s">
        <v>7348</v>
      </c>
      <c r="E1163" s="2" t="s">
        <v>3951</v>
      </c>
      <c r="F1163" s="2" t="s">
        <v>1636</v>
      </c>
      <c r="G1163" s="2" t="s">
        <v>7241</v>
      </c>
      <c r="H1163" s="2"/>
      <c r="I1163" s="2" t="s">
        <v>5922</v>
      </c>
      <c r="J1163" s="2" t="s">
        <v>5933</v>
      </c>
      <c r="K1163" s="3" t="b">
        <f>J1163 = "blocking"</f>
        <v>1</v>
      </c>
      <c r="L1163" s="2" t="s">
        <v>1428</v>
      </c>
      <c r="M1163" s="2" t="s">
        <v>7130</v>
      </c>
      <c r="N1163" s="4">
        <v>46223.1297337963</v>
      </c>
      <c r="O1163" s="3" t="b">
        <f>L1163 = "PASS"</f>
        <v>1</v>
      </c>
      <c r="P1163" s="3" t="b">
        <f>L1163 = "FAIL"</f>
        <v>0</v>
      </c>
      <c r="Q1163" s="3" t="b">
        <f>AND(P1163, K1163)</f>
        <v>0</v>
      </c>
      <c r="R1163" s="3" t="str">
        <f>IF(O1163, I1163, "")</f>
        <v>suite-integrity</v>
      </c>
      <c r="S1163" s="3" t="str">
        <f>IF(Q1163, I1163, "")</f>
      </c>
      <c r="T1163" s="2" t="s">
        <v>5935</v>
      </c>
    </row>
    <row r="1164">
      <c r="A1164" s="2" t="s">
        <v>7349</v>
      </c>
      <c r="B1164" s="3" t="str">
        <f>C1164 &amp; ": " &amp; D1164</f>
        <v>fk-resolves: OperationalBindings.ProcedureVersion -&gt; ProcedureVersions</v>
      </c>
      <c r="C1164" s="2" t="s">
        <v>7127</v>
      </c>
      <c r="D1164" s="2" t="s">
        <v>7350</v>
      </c>
      <c r="E1164" s="2" t="s">
        <v>1842</v>
      </c>
      <c r="F1164" s="2" t="s">
        <v>477</v>
      </c>
      <c r="G1164" s="2" t="s">
        <v>7181</v>
      </c>
      <c r="H1164" s="2"/>
      <c r="I1164" s="2" t="s">
        <v>5922</v>
      </c>
      <c r="J1164" s="2" t="s">
        <v>5933</v>
      </c>
      <c r="K1164" s="3" t="b">
        <f>J1164 = "blocking"</f>
        <v>1</v>
      </c>
      <c r="L1164" s="2" t="s">
        <v>1428</v>
      </c>
      <c r="M1164" s="2" t="s">
        <v>7130</v>
      </c>
      <c r="N1164" s="4">
        <v>46223.1297337963</v>
      </c>
      <c r="O1164" s="3" t="b">
        <f>L1164 = "PASS"</f>
        <v>1</v>
      </c>
      <c r="P1164" s="3" t="b">
        <f>L1164 = "FAIL"</f>
        <v>0</v>
      </c>
      <c r="Q1164" s="3" t="b">
        <f>AND(P1164, K1164)</f>
        <v>0</v>
      </c>
      <c r="R1164" s="3" t="str">
        <f>IF(O1164, I1164, "")</f>
        <v>suite-integrity</v>
      </c>
      <c r="S1164" s="3" t="str">
        <f>IF(Q1164, I1164, "")</f>
      </c>
      <c r="T1164" s="2" t="s">
        <v>5935</v>
      </c>
    </row>
    <row r="1165">
      <c r="A1165" s="2" t="s">
        <v>7351</v>
      </c>
      <c r="B1165" s="3" t="str">
        <f>C1165 &amp; ": " &amp; D1165</f>
        <v>fk-resolves: OperationalBindings.Step -&gt; Steps</v>
      </c>
      <c r="C1165" s="2" t="s">
        <v>7127</v>
      </c>
      <c r="D1165" s="2" t="s">
        <v>7352</v>
      </c>
      <c r="E1165" s="2" t="s">
        <v>1842</v>
      </c>
      <c r="F1165" s="2" t="s">
        <v>747</v>
      </c>
      <c r="G1165" s="2" t="s">
        <v>7196</v>
      </c>
      <c r="H1165" s="2"/>
      <c r="I1165" s="2" t="s">
        <v>5922</v>
      </c>
      <c r="J1165" s="2" t="s">
        <v>5933</v>
      </c>
      <c r="K1165" s="3" t="b">
        <f>J1165 = "blocking"</f>
        <v>1</v>
      </c>
      <c r="L1165" s="2" t="s">
        <v>1428</v>
      </c>
      <c r="M1165" s="2" t="s">
        <v>7130</v>
      </c>
      <c r="N1165" s="4">
        <v>46223.1297337963</v>
      </c>
      <c r="O1165" s="3" t="b">
        <f>L1165 = "PASS"</f>
        <v>1</v>
      </c>
      <c r="P1165" s="3" t="b">
        <f>L1165 = "FAIL"</f>
        <v>0</v>
      </c>
      <c r="Q1165" s="3" t="b">
        <f>AND(P1165, K1165)</f>
        <v>0</v>
      </c>
      <c r="R1165" s="3" t="str">
        <f>IF(O1165, I1165, "")</f>
        <v>suite-integrity</v>
      </c>
      <c r="S1165" s="3" t="str">
        <f>IF(Q1165, I1165, "")</f>
      </c>
      <c r="T1165" s="2" t="s">
        <v>5935</v>
      </c>
    </row>
    <row r="1166">
      <c r="A1166" s="2" t="s">
        <v>7353</v>
      </c>
      <c r="B1166" s="3" t="str">
        <f>C1166 &amp; ": " &amp; D1166</f>
        <v>fk-resolves: OperationalBindings.Resource -&gt; Resources</v>
      </c>
      <c r="C1166" s="2" t="s">
        <v>7127</v>
      </c>
      <c r="D1166" s="2" t="s">
        <v>7354</v>
      </c>
      <c r="E1166" s="2" t="s">
        <v>1842</v>
      </c>
      <c r="F1166" s="2" t="s">
        <v>1046</v>
      </c>
      <c r="G1166" s="2" t="s">
        <v>7241</v>
      </c>
      <c r="H1166" s="2"/>
      <c r="I1166" s="2" t="s">
        <v>5922</v>
      </c>
      <c r="J1166" s="2" t="s">
        <v>5933</v>
      </c>
      <c r="K1166" s="3" t="b">
        <f>J1166 = "blocking"</f>
        <v>1</v>
      </c>
      <c r="L1166" s="2" t="s">
        <v>1428</v>
      </c>
      <c r="M1166" s="2" t="s">
        <v>7130</v>
      </c>
      <c r="N1166" s="4">
        <v>46223.1297337963</v>
      </c>
      <c r="O1166" s="3" t="b">
        <f>L1166 = "PASS"</f>
        <v>1</v>
      </c>
      <c r="P1166" s="3" t="b">
        <f>L1166 = "FAIL"</f>
        <v>0</v>
      </c>
      <c r="Q1166" s="3" t="b">
        <f>AND(P1166, K1166)</f>
        <v>0</v>
      </c>
      <c r="R1166" s="3" t="str">
        <f>IF(O1166, I1166, "")</f>
        <v>suite-integrity</v>
      </c>
      <c r="S1166" s="3" t="str">
        <f>IF(Q1166, I1166, "")</f>
      </c>
      <c r="T1166" s="2" t="s">
        <v>5935</v>
      </c>
    </row>
    <row r="1167">
      <c r="A1167" s="2" t="s">
        <v>7355</v>
      </c>
      <c r="B1167" s="3" t="str">
        <f>C1167 &amp; ": " &amp; D1167</f>
        <v>fk-resolves: OperationalBindings.EvaluationContext -&gt; EvaluationContexts</v>
      </c>
      <c r="C1167" s="2" t="s">
        <v>7127</v>
      </c>
      <c r="D1167" s="2" t="s">
        <v>7356</v>
      </c>
      <c r="E1167" s="2" t="s">
        <v>1842</v>
      </c>
      <c r="F1167" s="2" t="s">
        <v>258</v>
      </c>
      <c r="G1167" s="2" t="s">
        <v>7143</v>
      </c>
      <c r="H1167" s="2"/>
      <c r="I1167" s="2" t="s">
        <v>5922</v>
      </c>
      <c r="J1167" s="2" t="s">
        <v>5933</v>
      </c>
      <c r="K1167" s="3" t="b">
        <f>J1167 = "blocking"</f>
        <v>1</v>
      </c>
      <c r="L1167" s="2" t="s">
        <v>1428</v>
      </c>
      <c r="M1167" s="2" t="s">
        <v>7130</v>
      </c>
      <c r="N1167" s="4">
        <v>46223.1297337963</v>
      </c>
      <c r="O1167" s="3" t="b">
        <f>L1167 = "PASS"</f>
        <v>1</v>
      </c>
      <c r="P1167" s="3" t="b">
        <f>L1167 = "FAIL"</f>
        <v>0</v>
      </c>
      <c r="Q1167" s="3" t="b">
        <f>AND(P1167, K1167)</f>
        <v>0</v>
      </c>
      <c r="R1167" s="3" t="str">
        <f>IF(O1167, I1167, "")</f>
        <v>suite-integrity</v>
      </c>
      <c r="S1167" s="3" t="str">
        <f>IF(Q1167, I1167, "")</f>
      </c>
      <c r="T1167" s="2" t="s">
        <v>5935</v>
      </c>
    </row>
    <row r="1168">
      <c r="A1168" s="2" t="s">
        <v>7357</v>
      </c>
      <c r="B1168" s="3" t="str">
        <f>C1168 &amp; ": " &amp; D1168</f>
        <v>fk-resolves: CommunicationPolicies.ProcedureVersion -&gt; ProcedureVersions</v>
      </c>
      <c r="C1168" s="2" t="s">
        <v>7127</v>
      </c>
      <c r="D1168" s="2" t="s">
        <v>7358</v>
      </c>
      <c r="E1168" s="2" t="s">
        <v>1845</v>
      </c>
      <c r="F1168" s="2" t="s">
        <v>477</v>
      </c>
      <c r="G1168" s="2" t="s">
        <v>7181</v>
      </c>
      <c r="H1168" s="2"/>
      <c r="I1168" s="2" t="s">
        <v>5922</v>
      </c>
      <c r="J1168" s="2" t="s">
        <v>5933</v>
      </c>
      <c r="K1168" s="3" t="b">
        <f>J1168 = "blocking"</f>
        <v>1</v>
      </c>
      <c r="L1168" s="2" t="s">
        <v>1428</v>
      </c>
      <c r="M1168" s="2" t="s">
        <v>7130</v>
      </c>
      <c r="N1168" s="4">
        <v>46223.1297337963</v>
      </c>
      <c r="O1168" s="3" t="b">
        <f>L1168 = "PASS"</f>
        <v>1</v>
      </c>
      <c r="P1168" s="3" t="b">
        <f>L1168 = "FAIL"</f>
        <v>0</v>
      </c>
      <c r="Q1168" s="3" t="b">
        <f>AND(P1168, K1168)</f>
        <v>0</v>
      </c>
      <c r="R1168" s="3" t="str">
        <f>IF(O1168, I1168, "")</f>
        <v>suite-integrity</v>
      </c>
      <c r="S1168" s="3" t="str">
        <f>IF(Q1168, I1168, "")</f>
      </c>
      <c r="T1168" s="2" t="s">
        <v>5935</v>
      </c>
    </row>
    <row r="1169">
      <c r="A1169" s="2" t="s">
        <v>7359</v>
      </c>
      <c r="B1169" s="3" t="str">
        <f>C1169 &amp; ": " &amp; D1169</f>
        <v>fk-resolves: CommunicationPolicies.ApprovalRole -&gt; Roles</v>
      </c>
      <c r="C1169" s="2" t="s">
        <v>7127</v>
      </c>
      <c r="D1169" s="2" t="s">
        <v>7360</v>
      </c>
      <c r="E1169" s="2" t="s">
        <v>1845</v>
      </c>
      <c r="F1169" s="2" t="s">
        <v>983</v>
      </c>
      <c r="G1169" s="2" t="s">
        <v>7138</v>
      </c>
      <c r="H1169" s="2"/>
      <c r="I1169" s="2" t="s">
        <v>5922</v>
      </c>
      <c r="J1169" s="2" t="s">
        <v>5933</v>
      </c>
      <c r="K1169" s="3" t="b">
        <f>J1169 = "blocking"</f>
        <v>1</v>
      </c>
      <c r="L1169" s="2" t="s">
        <v>1428</v>
      </c>
      <c r="M1169" s="2" t="s">
        <v>7130</v>
      </c>
      <c r="N1169" s="4">
        <v>46223.1297337963</v>
      </c>
      <c r="O1169" s="3" t="b">
        <f>L1169 = "PASS"</f>
        <v>1</v>
      </c>
      <c r="P1169" s="3" t="b">
        <f>L1169 = "FAIL"</f>
        <v>0</v>
      </c>
      <c r="Q1169" s="3" t="b">
        <f>AND(P1169, K1169)</f>
        <v>0</v>
      </c>
      <c r="R1169" s="3" t="str">
        <f>IF(O1169, I1169, "")</f>
        <v>suite-integrity</v>
      </c>
      <c r="S1169" s="3" t="str">
        <f>IF(Q1169, I1169, "")</f>
      </c>
      <c r="T1169" s="2" t="s">
        <v>5935</v>
      </c>
    </row>
    <row r="1170">
      <c r="A1170" s="2" t="s">
        <v>7361</v>
      </c>
      <c r="B1170" s="3" t="str">
        <f>C1170 &amp; ": " &amp; D1170</f>
        <v>fk-resolves: MessageTemplates.CommunicationPolicy -&gt; CommunicationPolicies</v>
      </c>
      <c r="C1170" s="2" t="s">
        <v>7127</v>
      </c>
      <c r="D1170" s="2" t="s">
        <v>7362</v>
      </c>
      <c r="E1170" s="2" t="s">
        <v>4021</v>
      </c>
      <c r="F1170" s="2" t="s">
        <v>1703</v>
      </c>
      <c r="G1170" s="2" t="s">
        <v>7363</v>
      </c>
      <c r="H1170" s="2"/>
      <c r="I1170" s="2" t="s">
        <v>5922</v>
      </c>
      <c r="J1170" s="2" t="s">
        <v>5933</v>
      </c>
      <c r="K1170" s="3" t="b">
        <f>J1170 = "blocking"</f>
        <v>1</v>
      </c>
      <c r="L1170" s="2" t="s">
        <v>1428</v>
      </c>
      <c r="M1170" s="2" t="s">
        <v>7130</v>
      </c>
      <c r="N1170" s="4">
        <v>46223.1297337963</v>
      </c>
      <c r="O1170" s="3" t="b">
        <f>L1170 = "PASS"</f>
        <v>1</v>
      </c>
      <c r="P1170" s="3" t="b">
        <f>L1170 = "FAIL"</f>
        <v>0</v>
      </c>
      <c r="Q1170" s="3" t="b">
        <f>AND(P1170, K1170)</f>
        <v>0</v>
      </c>
      <c r="R1170" s="3" t="str">
        <f>IF(O1170, I1170, "")</f>
        <v>suite-integrity</v>
      </c>
      <c r="S1170" s="3" t="str">
        <f>IF(Q1170, I1170, "")</f>
      </c>
      <c r="T1170" s="2" t="s">
        <v>5935</v>
      </c>
    </row>
    <row r="1171">
      <c r="A1171" s="2" t="s">
        <v>7364</v>
      </c>
      <c r="B1171" s="3" t="str">
        <f>C1171 &amp; ": " &amp; D1171</f>
        <v>fk-resolves: MessageTemplates.Resource -&gt; Resources</v>
      </c>
      <c r="C1171" s="2" t="s">
        <v>7127</v>
      </c>
      <c r="D1171" s="2" t="s">
        <v>7365</v>
      </c>
      <c r="E1171" s="2" t="s">
        <v>4021</v>
      </c>
      <c r="F1171" s="2" t="s">
        <v>1046</v>
      </c>
      <c r="G1171" s="2" t="s">
        <v>7241</v>
      </c>
      <c r="H1171" s="2"/>
      <c r="I1171" s="2" t="s">
        <v>5922</v>
      </c>
      <c r="J1171" s="2" t="s">
        <v>5933</v>
      </c>
      <c r="K1171" s="3" t="b">
        <f>J1171 = "blocking"</f>
        <v>1</v>
      </c>
      <c r="L1171" s="2" t="s">
        <v>1428</v>
      </c>
      <c r="M1171" s="2" t="s">
        <v>7130</v>
      </c>
      <c r="N1171" s="4">
        <v>46223.1297337963</v>
      </c>
      <c r="O1171" s="3" t="b">
        <f>L1171 = "PASS"</f>
        <v>1</v>
      </c>
      <c r="P1171" s="3" t="b">
        <f>L1171 = "FAIL"</f>
        <v>0</v>
      </c>
      <c r="Q1171" s="3" t="b">
        <f>AND(P1171, K1171)</f>
        <v>0</v>
      </c>
      <c r="R1171" s="3" t="str">
        <f>IF(O1171, I1171, "")</f>
        <v>suite-integrity</v>
      </c>
      <c r="S1171" s="3" t="str">
        <f>IF(Q1171, I1171, "")</f>
      </c>
      <c r="T1171" s="2" t="s">
        <v>5935</v>
      </c>
    </row>
    <row r="1172">
      <c r="A1172" s="2" t="s">
        <v>7366</v>
      </c>
      <c r="B1172" s="3" t="str">
        <f>C1172 &amp; ": " &amp; D1172</f>
        <v>fk-resolves: SemanticMappings.OntologyProfile -&gt; OntologyProfiles</v>
      </c>
      <c r="C1172" s="2" t="s">
        <v>7127</v>
      </c>
      <c r="D1172" s="2" t="s">
        <v>7367</v>
      </c>
      <c r="E1172" s="2" t="s">
        <v>4064</v>
      </c>
      <c r="F1172" s="2" t="s">
        <v>1739</v>
      </c>
      <c r="G1172" s="2" t="s">
        <v>7368</v>
      </c>
      <c r="H1172" s="2"/>
      <c r="I1172" s="2" t="s">
        <v>5922</v>
      </c>
      <c r="J1172" s="2" t="s">
        <v>5933</v>
      </c>
      <c r="K1172" s="3" t="b">
        <f>J1172 = "blocking"</f>
        <v>1</v>
      </c>
      <c r="L1172" s="2" t="s">
        <v>1428</v>
      </c>
      <c r="M1172" s="2" t="s">
        <v>7130</v>
      </c>
      <c r="N1172" s="4">
        <v>46223.1297337963</v>
      </c>
      <c r="O1172" s="3" t="b">
        <f>L1172 = "PASS"</f>
        <v>1</v>
      </c>
      <c r="P1172" s="3" t="b">
        <f>L1172 = "FAIL"</f>
        <v>0</v>
      </c>
      <c r="Q1172" s="3" t="b">
        <f>AND(P1172, K1172)</f>
        <v>0</v>
      </c>
      <c r="R1172" s="3" t="str">
        <f>IF(O1172, I1172, "")</f>
        <v>suite-integrity</v>
      </c>
      <c r="S1172" s="3" t="str">
        <f>IF(Q1172, I1172, "")</f>
      </c>
      <c r="T1172" s="2" t="s">
        <v>5935</v>
      </c>
    </row>
    <row r="1173">
      <c r="A1173" s="2" t="s">
        <v>7369</v>
      </c>
      <c r="B1173" s="3" t="str">
        <f>C1173 &amp; ": " &amp; D1173</f>
        <v>fk-resolves: RoleQuestions.AskingRole -&gt; Roles</v>
      </c>
      <c r="C1173" s="2" t="s">
        <v>7127</v>
      </c>
      <c r="D1173" s="2" t="s">
        <v>7370</v>
      </c>
      <c r="E1173" s="2" t="s">
        <v>4091</v>
      </c>
      <c r="F1173" s="2" t="s">
        <v>1928</v>
      </c>
      <c r="G1173" s="2" t="s">
        <v>7138</v>
      </c>
      <c r="H1173" s="2"/>
      <c r="I1173" s="2" t="s">
        <v>5922</v>
      </c>
      <c r="J1173" s="2" t="s">
        <v>5933</v>
      </c>
      <c r="K1173" s="3" t="b">
        <f>J1173 = "blocking"</f>
        <v>1</v>
      </c>
      <c r="L1173" s="2" t="s">
        <v>1428</v>
      </c>
      <c r="M1173" s="2" t="s">
        <v>7130</v>
      </c>
      <c r="N1173" s="4">
        <v>46223.1297337963</v>
      </c>
      <c r="O1173" s="3" t="b">
        <f>L1173 = "PASS"</f>
        <v>1</v>
      </c>
      <c r="P1173" s="3" t="b">
        <f>L1173 = "FAIL"</f>
        <v>0</v>
      </c>
      <c r="Q1173" s="3" t="b">
        <f>AND(P1173, K1173)</f>
        <v>0</v>
      </c>
      <c r="R1173" s="3" t="str">
        <f>IF(O1173, I1173, "")</f>
        <v>suite-integrity</v>
      </c>
      <c r="S1173" s="3" t="str">
        <f>IF(Q1173, I1173, "")</f>
      </c>
      <c r="T1173" s="2" t="s">
        <v>5935</v>
      </c>
    </row>
    <row r="1174">
      <c r="A1174" s="2" t="s">
        <v>7371</v>
      </c>
      <c r="B1174" s="3" t="str">
        <f>C1174 &amp; ": " &amp; D1174</f>
        <v>fk-resolves: RoleQuestions.WitnessLoop -&gt; WitnessLoops</v>
      </c>
      <c r="C1174" s="2" t="s">
        <v>7127</v>
      </c>
      <c r="D1174" s="2" t="s">
        <v>7372</v>
      </c>
      <c r="E1174" s="2" t="s">
        <v>4091</v>
      </c>
      <c r="F1174" s="2" t="s">
        <v>1929</v>
      </c>
      <c r="G1174" s="2" t="s">
        <v>7373</v>
      </c>
      <c r="H1174" s="2"/>
      <c r="I1174" s="2" t="s">
        <v>5922</v>
      </c>
      <c r="J1174" s="2" t="s">
        <v>5933</v>
      </c>
      <c r="K1174" s="3" t="b">
        <f>J1174 = "blocking"</f>
        <v>1</v>
      </c>
      <c r="L1174" s="2" t="s">
        <v>1428</v>
      </c>
      <c r="M1174" s="2" t="s">
        <v>7130</v>
      </c>
      <c r="N1174" s="4">
        <v>46223.1297337963</v>
      </c>
      <c r="O1174" s="3" t="b">
        <f>L1174 = "PASS"</f>
        <v>1</v>
      </c>
      <c r="P1174" s="3" t="b">
        <f>L1174 = "FAIL"</f>
        <v>0</v>
      </c>
      <c r="Q1174" s="3" t="b">
        <f>AND(P1174, K1174)</f>
        <v>0</v>
      </c>
      <c r="R1174" s="3" t="str">
        <f>IF(O1174, I1174, "")</f>
        <v>suite-integrity</v>
      </c>
      <c r="S1174" s="3" t="str">
        <f>IF(Q1174, I1174, "")</f>
      </c>
      <c r="T1174" s="2" t="s">
        <v>5935</v>
      </c>
    </row>
    <row r="1175">
      <c r="A1175" s="2" t="s">
        <v>7374</v>
      </c>
      <c r="B1175" s="3" t="str">
        <f>C1175 &amp; ": " &amp; D1175</f>
        <v>fk-resolves: RulebookFields.InventedForQuestion -&gt; RoleQuestions</v>
      </c>
      <c r="C1175" s="2" t="s">
        <v>7127</v>
      </c>
      <c r="D1175" s="2" t="s">
        <v>7375</v>
      </c>
      <c r="E1175" s="2" t="s">
        <v>4106</v>
      </c>
      <c r="F1175" s="2" t="s">
        <v>2378</v>
      </c>
      <c r="G1175" s="2" t="s">
        <v>7376</v>
      </c>
      <c r="H1175" s="2"/>
      <c r="I1175" s="2" t="s">
        <v>5922</v>
      </c>
      <c r="J1175" s="2" t="s">
        <v>5933</v>
      </c>
      <c r="K1175" s="3" t="b">
        <f>J1175 = "blocking"</f>
        <v>1</v>
      </c>
      <c r="L1175" s="2" t="s">
        <v>1428</v>
      </c>
      <c r="M1175" s="2" t="s">
        <v>7130</v>
      </c>
      <c r="N1175" s="4">
        <v>46223.1297337963</v>
      </c>
      <c r="O1175" s="3" t="b">
        <f>L1175 = "PASS"</f>
        <v>1</v>
      </c>
      <c r="P1175" s="3" t="b">
        <f>L1175 = "FAIL"</f>
        <v>0</v>
      </c>
      <c r="Q1175" s="3" t="b">
        <f>AND(P1175, K1175)</f>
        <v>0</v>
      </c>
      <c r="R1175" s="3" t="str">
        <f>IF(O1175, I1175, "")</f>
        <v>suite-integrity</v>
      </c>
      <c r="S1175" s="3" t="str">
        <f>IF(Q1175, I1175, "")</f>
      </c>
      <c r="T1175" s="2" t="s">
        <v>5935</v>
      </c>
    </row>
    <row r="1176">
      <c r="A1176" s="2" t="s">
        <v>7377</v>
      </c>
      <c r="B1176" s="3" t="str">
        <f>C1176 &amp; ": " &amp; D1176</f>
        <v>fk-resolves: TestCases.DefendsQuestion -&gt; RoleQuestions</v>
      </c>
      <c r="C1176" s="2" t="s">
        <v>7127</v>
      </c>
      <c r="D1176" s="2" t="s">
        <v>7378</v>
      </c>
      <c r="E1176" s="2" t="s">
        <v>4143</v>
      </c>
      <c r="F1176" s="2" t="s">
        <v>4157</v>
      </c>
      <c r="G1176" s="2" t="s">
        <v>7376</v>
      </c>
      <c r="H1176" s="2"/>
      <c r="I1176" s="2" t="s">
        <v>5922</v>
      </c>
      <c r="J1176" s="2" t="s">
        <v>5933</v>
      </c>
      <c r="K1176" s="3" t="b">
        <f>J1176 = "blocking"</f>
        <v>1</v>
      </c>
      <c r="L1176" s="2" t="s">
        <v>1428</v>
      </c>
      <c r="M1176" s="2" t="s">
        <v>7130</v>
      </c>
      <c r="N1176" s="4">
        <v>46223.1297337963</v>
      </c>
      <c r="O1176" s="3" t="b">
        <f>L1176 = "PASS"</f>
        <v>1</v>
      </c>
      <c r="P1176" s="3" t="b">
        <f>L1176 = "FAIL"</f>
        <v>0</v>
      </c>
      <c r="Q1176" s="3" t="b">
        <f>AND(P1176, K1176)</f>
        <v>0</v>
      </c>
      <c r="R1176" s="3" t="str">
        <f>IF(O1176, I1176, "")</f>
        <v>suite-integrity</v>
      </c>
      <c r="S1176" s="3" t="str">
        <f>IF(Q1176, I1176, "")</f>
      </c>
      <c r="T1176" s="2" t="s">
        <v>5935</v>
      </c>
    </row>
    <row r="1177">
      <c r="A1177" s="2" t="s">
        <v>7379</v>
      </c>
      <c r="B1177" s="3" t="str">
        <f>C1177 &amp; ": " &amp; D1177</f>
        <v>fk-resolves: TestCases.Suite -&gt; TestSuites</v>
      </c>
      <c r="C1177" s="2" t="s">
        <v>7127</v>
      </c>
      <c r="D1177" s="2" t="s">
        <v>7380</v>
      </c>
      <c r="E1177" s="2" t="s">
        <v>4143</v>
      </c>
      <c r="F1177" s="2" t="s">
        <v>4159</v>
      </c>
      <c r="G1177" s="2" t="s">
        <v>7381</v>
      </c>
      <c r="H1177" s="2"/>
      <c r="I1177" s="2" t="s">
        <v>5922</v>
      </c>
      <c r="J1177" s="2" t="s">
        <v>5933</v>
      </c>
      <c r="K1177" s="3" t="b">
        <f>J1177 = "blocking"</f>
        <v>1</v>
      </c>
      <c r="L1177" s="2" t="s">
        <v>1428</v>
      </c>
      <c r="M1177" s="2" t="s">
        <v>7130</v>
      </c>
      <c r="N1177" s="4">
        <v>46223.1297337963</v>
      </c>
      <c r="O1177" s="3" t="b">
        <f>L1177 = "PASS"</f>
        <v>1</v>
      </c>
      <c r="P1177" s="3" t="b">
        <f>L1177 = "FAIL"</f>
        <v>0</v>
      </c>
      <c r="Q1177" s="3" t="b">
        <f>AND(P1177, K1177)</f>
        <v>0</v>
      </c>
      <c r="R1177" s="3" t="str">
        <f>IF(O1177, I1177, "")</f>
        <v>suite-integrity</v>
      </c>
      <c r="S1177" s="3" t="str">
        <f>IF(Q1177, I1177, "")</f>
      </c>
      <c r="T1177" s="2" t="s">
        <v>5935</v>
      </c>
    </row>
    <row r="1178">
      <c r="A1178" s="2" t="s">
        <v>7382</v>
      </c>
      <c r="B1178" s="3" t="str">
        <f>C1178 &amp; ": " &amp; D1178</f>
        <v>fk-resolves: ExceptionInvocations.StepExecution -&gt; StepExecutions</v>
      </c>
      <c r="C1178" s="2" t="s">
        <v>7127</v>
      </c>
      <c r="D1178" s="2" t="s">
        <v>7383</v>
      </c>
      <c r="E1178" s="2" t="s">
        <v>4221</v>
      </c>
      <c r="F1178" s="2" t="s">
        <v>1447</v>
      </c>
      <c r="G1178" s="2" t="s">
        <v>7292</v>
      </c>
      <c r="H1178" s="2"/>
      <c r="I1178" s="2" t="s">
        <v>5922</v>
      </c>
      <c r="J1178" s="2" t="s">
        <v>5933</v>
      </c>
      <c r="K1178" s="3" t="b">
        <f>J1178 = "blocking"</f>
        <v>1</v>
      </c>
      <c r="L1178" s="2" t="s">
        <v>1428</v>
      </c>
      <c r="M1178" s="2" t="s">
        <v>7130</v>
      </c>
      <c r="N1178" s="4">
        <v>46223.1297337963</v>
      </c>
      <c r="O1178" s="3" t="b">
        <f>L1178 = "PASS"</f>
        <v>1</v>
      </c>
      <c r="P1178" s="3" t="b">
        <f>L1178 = "FAIL"</f>
        <v>0</v>
      </c>
      <c r="Q1178" s="3" t="b">
        <f>AND(P1178, K1178)</f>
        <v>0</v>
      </c>
      <c r="R1178" s="3" t="str">
        <f>IF(O1178, I1178, "")</f>
        <v>suite-integrity</v>
      </c>
      <c r="S1178" s="3" t="str">
        <f>IF(Q1178, I1178, "")</f>
      </c>
      <c r="T1178" s="2" t="s">
        <v>5935</v>
      </c>
    </row>
    <row r="1179">
      <c r="A1179" s="2" t="s">
        <v>7384</v>
      </c>
      <c r="B1179" s="3" t="str">
        <f>C1179 &amp; ": " &amp; D1179</f>
        <v>fk-resolves: ExceptionInvocations.Exception -&gt; Exceptions</v>
      </c>
      <c r="C1179" s="2" t="s">
        <v>7127</v>
      </c>
      <c r="D1179" s="2" t="s">
        <v>7385</v>
      </c>
      <c r="E1179" s="2" t="s">
        <v>4221</v>
      </c>
      <c r="F1179" s="2" t="s">
        <v>4227</v>
      </c>
      <c r="G1179" s="2" t="s">
        <v>7386</v>
      </c>
      <c r="H1179" s="2"/>
      <c r="I1179" s="2" t="s">
        <v>5922</v>
      </c>
      <c r="J1179" s="2" t="s">
        <v>5933</v>
      </c>
      <c r="K1179" s="3" t="b">
        <f>J1179 = "blocking"</f>
        <v>1</v>
      </c>
      <c r="L1179" s="2" t="s">
        <v>1428</v>
      </c>
      <c r="M1179" s="2" t="s">
        <v>7130</v>
      </c>
      <c r="N1179" s="4">
        <v>46223.1297337963</v>
      </c>
      <c r="O1179" s="3" t="b">
        <f>L1179 = "PASS"</f>
        <v>1</v>
      </c>
      <c r="P1179" s="3" t="b">
        <f>L1179 = "FAIL"</f>
        <v>0</v>
      </c>
      <c r="Q1179" s="3" t="b">
        <f>AND(P1179, K1179)</f>
        <v>0</v>
      </c>
      <c r="R1179" s="3" t="str">
        <f>IF(O1179, I1179, "")</f>
        <v>suite-integrity</v>
      </c>
      <c r="S1179" s="3" t="str">
        <f>IF(Q1179, I1179, "")</f>
      </c>
      <c r="T1179" s="2" t="s">
        <v>5935</v>
      </c>
    </row>
    <row r="1180">
      <c r="A1180" s="2" t="s">
        <v>7387</v>
      </c>
      <c r="B1180" s="3" t="str">
        <f>C1180 &amp; ": " &amp; D1180</f>
        <v>fk-resolves: ExceptionInvocations.InvokedByAgent -&gt; Agents</v>
      </c>
      <c r="C1180" s="2" t="s">
        <v>7127</v>
      </c>
      <c r="D1180" s="2" t="s">
        <v>7388</v>
      </c>
      <c r="E1180" s="2" t="s">
        <v>4221</v>
      </c>
      <c r="F1180" s="2" t="s">
        <v>4229</v>
      </c>
      <c r="G1180" s="2" t="s">
        <v>7135</v>
      </c>
      <c r="H1180" s="2"/>
      <c r="I1180" s="2" t="s">
        <v>5922</v>
      </c>
      <c r="J1180" s="2" t="s">
        <v>5933</v>
      </c>
      <c r="K1180" s="3" t="b">
        <f>J1180 = "blocking"</f>
        <v>1</v>
      </c>
      <c r="L1180" s="2" t="s">
        <v>1428</v>
      </c>
      <c r="M1180" s="2" t="s">
        <v>7130</v>
      </c>
      <c r="N1180" s="4">
        <v>46223.1297337963</v>
      </c>
      <c r="O1180" s="3" t="b">
        <f>L1180 = "PASS"</f>
        <v>1</v>
      </c>
      <c r="P1180" s="3" t="b">
        <f>L1180 = "FAIL"</f>
        <v>0</v>
      </c>
      <c r="Q1180" s="3" t="b">
        <f>AND(P1180, K1180)</f>
        <v>0</v>
      </c>
      <c r="R1180" s="3" t="str">
        <f>IF(O1180, I1180, "")</f>
        <v>suite-integrity</v>
      </c>
      <c r="S1180" s="3" t="str">
        <f>IF(Q1180, I1180, "")</f>
      </c>
      <c r="T1180" s="2" t="s">
        <v>5935</v>
      </c>
    </row>
    <row r="1181">
      <c r="A1181" s="2" t="s">
        <v>7389</v>
      </c>
      <c r="B1181" s="3" t="str">
        <f>C1181 &amp; ": " &amp; D1181</f>
        <v>fk-resolves: ExceptionInvocations.ApprovedByAgent -&gt; Agents</v>
      </c>
      <c r="C1181" s="2" t="s">
        <v>7127</v>
      </c>
      <c r="D1181" s="2" t="s">
        <v>7390</v>
      </c>
      <c r="E1181" s="2" t="s">
        <v>4221</v>
      </c>
      <c r="F1181" s="2" t="s">
        <v>4231</v>
      </c>
      <c r="G1181" s="2" t="s">
        <v>7135</v>
      </c>
      <c r="H1181" s="2"/>
      <c r="I1181" s="2" t="s">
        <v>5922</v>
      </c>
      <c r="J1181" s="2" t="s">
        <v>5933</v>
      </c>
      <c r="K1181" s="3" t="b">
        <f>J1181 = "blocking"</f>
        <v>1</v>
      </c>
      <c r="L1181" s="2" t="s">
        <v>1428</v>
      </c>
      <c r="M1181" s="2" t="s">
        <v>7130</v>
      </c>
      <c r="N1181" s="4">
        <v>46223.1297337963</v>
      </c>
      <c r="O1181" s="3" t="b">
        <f>L1181 = "PASS"</f>
        <v>1</v>
      </c>
      <c r="P1181" s="3" t="b">
        <f>L1181 = "FAIL"</f>
        <v>0</v>
      </c>
      <c r="Q1181" s="3" t="b">
        <f>AND(P1181, K1181)</f>
        <v>0</v>
      </c>
      <c r="R1181" s="3" t="str">
        <f>IF(O1181, I1181, "")</f>
        <v>suite-integrity</v>
      </c>
      <c r="S1181" s="3" t="str">
        <f>IF(Q1181, I1181, "")</f>
      </c>
      <c r="T1181" s="2" t="s">
        <v>5935</v>
      </c>
    </row>
    <row r="1182">
      <c r="A1182" s="2" t="s">
        <v>7391</v>
      </c>
      <c r="B1182" s="3" t="str">
        <f>C1182 &amp; ": " &amp; D1182</f>
        <v>fk-resolves: VerificationOutcomes.StepExecution -&gt; StepExecutions</v>
      </c>
      <c r="C1182" s="2" t="s">
        <v>7127</v>
      </c>
      <c r="D1182" s="2" t="s">
        <v>7392</v>
      </c>
      <c r="E1182" s="2" t="s">
        <v>4271</v>
      </c>
      <c r="F1182" s="2" t="s">
        <v>1447</v>
      </c>
      <c r="G1182" s="2" t="s">
        <v>7292</v>
      </c>
      <c r="H1182" s="2"/>
      <c r="I1182" s="2" t="s">
        <v>5922</v>
      </c>
      <c r="J1182" s="2" t="s">
        <v>5933</v>
      </c>
      <c r="K1182" s="3" t="b">
        <f>J1182 = "blocking"</f>
        <v>1</v>
      </c>
      <c r="L1182" s="2" t="s">
        <v>1428</v>
      </c>
      <c r="M1182" s="2" t="s">
        <v>7130</v>
      </c>
      <c r="N1182" s="4">
        <v>46223.1297337963</v>
      </c>
      <c r="O1182" s="3" t="b">
        <f>L1182 = "PASS"</f>
        <v>1</v>
      </c>
      <c r="P1182" s="3" t="b">
        <f>L1182 = "FAIL"</f>
        <v>0</v>
      </c>
      <c r="Q1182" s="3" t="b">
        <f>AND(P1182, K1182)</f>
        <v>0</v>
      </c>
      <c r="R1182" s="3" t="str">
        <f>IF(O1182, I1182, "")</f>
        <v>suite-integrity</v>
      </c>
      <c r="S1182" s="3" t="str">
        <f>IF(Q1182, I1182, "")</f>
      </c>
      <c r="T1182" s="2" t="s">
        <v>5935</v>
      </c>
    </row>
    <row r="1183">
      <c r="A1183" s="2" t="s">
        <v>7393</v>
      </c>
      <c r="B1183" s="3" t="str">
        <f>C1183 &amp; ": " &amp; D1183</f>
        <v>fk-resolves: VerificationOutcomes.StepVerification -&gt; StepVerifications</v>
      </c>
      <c r="C1183" s="2" t="s">
        <v>7127</v>
      </c>
      <c r="D1183" s="2" t="s">
        <v>7394</v>
      </c>
      <c r="E1183" s="2" t="s">
        <v>4271</v>
      </c>
      <c r="F1183" s="2" t="s">
        <v>4277</v>
      </c>
      <c r="G1183" s="2" t="s">
        <v>7395</v>
      </c>
      <c r="H1183" s="2"/>
      <c r="I1183" s="2" t="s">
        <v>5922</v>
      </c>
      <c r="J1183" s="2" t="s">
        <v>5933</v>
      </c>
      <c r="K1183" s="3" t="b">
        <f>J1183 = "blocking"</f>
        <v>1</v>
      </c>
      <c r="L1183" s="2" t="s">
        <v>1428</v>
      </c>
      <c r="M1183" s="2" t="s">
        <v>7130</v>
      </c>
      <c r="N1183" s="4">
        <v>46223.1297337963</v>
      </c>
      <c r="O1183" s="3" t="b">
        <f>L1183 = "PASS"</f>
        <v>1</v>
      </c>
      <c r="P1183" s="3" t="b">
        <f>L1183 = "FAIL"</f>
        <v>0</v>
      </c>
      <c r="Q1183" s="3" t="b">
        <f>AND(P1183, K1183)</f>
        <v>0</v>
      </c>
      <c r="R1183" s="3" t="str">
        <f>IF(O1183, I1183, "")</f>
        <v>suite-integrity</v>
      </c>
      <c r="S1183" s="3" t="str">
        <f>IF(Q1183, I1183, "")</f>
      </c>
      <c r="T1183" s="2" t="s">
        <v>5935</v>
      </c>
    </row>
    <row r="1184">
      <c r="A1184" s="2" t="s">
        <v>7396</v>
      </c>
      <c r="B1184" s="3" t="str">
        <f>C1184 &amp; ": " &amp; D1184</f>
        <v>fk-resolves: VerificationOutcomes.ObservedByAgent -&gt; Agents</v>
      </c>
      <c r="C1184" s="2" t="s">
        <v>7127</v>
      </c>
      <c r="D1184" s="2" t="s">
        <v>7397</v>
      </c>
      <c r="E1184" s="2" t="s">
        <v>4271</v>
      </c>
      <c r="F1184" s="2" t="s">
        <v>4281</v>
      </c>
      <c r="G1184" s="2" t="s">
        <v>7135</v>
      </c>
      <c r="H1184" s="2"/>
      <c r="I1184" s="2" t="s">
        <v>5922</v>
      </c>
      <c r="J1184" s="2" t="s">
        <v>5933</v>
      </c>
      <c r="K1184" s="3" t="b">
        <f>J1184 = "blocking"</f>
        <v>1</v>
      </c>
      <c r="L1184" s="2" t="s">
        <v>1428</v>
      </c>
      <c r="M1184" s="2" t="s">
        <v>7130</v>
      </c>
      <c r="N1184" s="4">
        <v>46223.1297337963</v>
      </c>
      <c r="O1184" s="3" t="b">
        <f>L1184 = "PASS"</f>
        <v>1</v>
      </c>
      <c r="P1184" s="3" t="b">
        <f>L1184 = "FAIL"</f>
        <v>0</v>
      </c>
      <c r="Q1184" s="3" t="b">
        <f>AND(P1184, K1184)</f>
        <v>0</v>
      </c>
      <c r="R1184" s="3" t="str">
        <f>IF(O1184, I1184, "")</f>
        <v>suite-integrity</v>
      </c>
      <c r="S1184" s="3" t="str">
        <f>IF(Q1184, I1184, "")</f>
      </c>
      <c r="T1184" s="2" t="s">
        <v>5935</v>
      </c>
    </row>
    <row r="1185">
      <c r="A1185" s="2" t="s">
        <v>7398</v>
      </c>
      <c r="B1185" s="3" t="str">
        <f>C1185 &amp; ": " &amp; D1185</f>
        <v>fk-resolves: ObservedTransitions.ProcedureExecution -&gt; ProcedureExecutions</v>
      </c>
      <c r="C1185" s="2" t="s">
        <v>7127</v>
      </c>
      <c r="D1185" s="2" t="s">
        <v>7399</v>
      </c>
      <c r="E1185" s="2" t="s">
        <v>4332</v>
      </c>
      <c r="F1185" s="2" t="s">
        <v>1329</v>
      </c>
      <c r="G1185" s="2" t="s">
        <v>7285</v>
      </c>
      <c r="H1185" s="2"/>
      <c r="I1185" s="2" t="s">
        <v>5922</v>
      </c>
      <c r="J1185" s="2" t="s">
        <v>5933</v>
      </c>
      <c r="K1185" s="3" t="b">
        <f>J1185 = "blocking"</f>
        <v>1</v>
      </c>
      <c r="L1185" s="2" t="s">
        <v>1428</v>
      </c>
      <c r="M1185" s="2" t="s">
        <v>7130</v>
      </c>
      <c r="N1185" s="4">
        <v>46223.1297337963</v>
      </c>
      <c r="O1185" s="3" t="b">
        <f>L1185 = "PASS"</f>
        <v>1</v>
      </c>
      <c r="P1185" s="3" t="b">
        <f>L1185 = "FAIL"</f>
        <v>0</v>
      </c>
      <c r="Q1185" s="3" t="b">
        <f>AND(P1185, K1185)</f>
        <v>0</v>
      </c>
      <c r="R1185" s="3" t="str">
        <f>IF(O1185, I1185, "")</f>
        <v>suite-integrity</v>
      </c>
      <c r="S1185" s="3" t="str">
        <f>IF(Q1185, I1185, "")</f>
      </c>
      <c r="T1185" s="2" t="s">
        <v>5935</v>
      </c>
    </row>
    <row r="1186">
      <c r="A1186" s="2" t="s">
        <v>7400</v>
      </c>
      <c r="B1186" s="3" t="str">
        <f>C1186 &amp; ": " &amp; D1186</f>
        <v>fk-resolves: ObservedTransitions.StepTransition -&gt; StepTransitions</v>
      </c>
      <c r="C1186" s="2" t="s">
        <v>7127</v>
      </c>
      <c r="D1186" s="2" t="s">
        <v>7401</v>
      </c>
      <c r="E1186" s="2" t="s">
        <v>4332</v>
      </c>
      <c r="F1186" s="2" t="s">
        <v>4338</v>
      </c>
      <c r="G1186" s="2" t="s">
        <v>7402</v>
      </c>
      <c r="H1186" s="2"/>
      <c r="I1186" s="2" t="s">
        <v>5922</v>
      </c>
      <c r="J1186" s="2" t="s">
        <v>5933</v>
      </c>
      <c r="K1186" s="3" t="b">
        <f>J1186 = "blocking"</f>
        <v>1</v>
      </c>
      <c r="L1186" s="2" t="s">
        <v>1428</v>
      </c>
      <c r="M1186" s="2" t="s">
        <v>7130</v>
      </c>
      <c r="N1186" s="4">
        <v>46223.1297337963</v>
      </c>
      <c r="O1186" s="3" t="b">
        <f>L1186 = "PASS"</f>
        <v>1</v>
      </c>
      <c r="P1186" s="3" t="b">
        <f>L1186 = "FAIL"</f>
        <v>0</v>
      </c>
      <c r="Q1186" s="3" t="b">
        <f>AND(P1186, K1186)</f>
        <v>0</v>
      </c>
      <c r="R1186" s="3" t="str">
        <f>IF(O1186, I1186, "")</f>
        <v>suite-integrity</v>
      </c>
      <c r="S1186" s="3" t="str">
        <f>IF(Q1186, I1186, "")</f>
      </c>
      <c r="T1186" s="2" t="s">
        <v>5935</v>
      </c>
    </row>
    <row r="1187">
      <c r="A1187" s="2" t="s">
        <v>7403</v>
      </c>
      <c r="B1187" s="3" t="str">
        <f>C1187 &amp; ": " &amp; D1187</f>
        <v>fk-resolves: ObservedTransitions.ArrivingStepExecution -&gt; StepExecutions</v>
      </c>
      <c r="C1187" s="2" t="s">
        <v>7127</v>
      </c>
      <c r="D1187" s="2" t="s">
        <v>7404</v>
      </c>
      <c r="E1187" s="2" t="s">
        <v>4332</v>
      </c>
      <c r="F1187" s="2" t="s">
        <v>4340</v>
      </c>
      <c r="G1187" s="2" t="s">
        <v>7292</v>
      </c>
      <c r="H1187" s="2"/>
      <c r="I1187" s="2" t="s">
        <v>5922</v>
      </c>
      <c r="J1187" s="2" t="s">
        <v>5933</v>
      </c>
      <c r="K1187" s="3" t="b">
        <f>J1187 = "blocking"</f>
        <v>1</v>
      </c>
      <c r="L1187" s="2" t="s">
        <v>1428</v>
      </c>
      <c r="M1187" s="2" t="s">
        <v>7130</v>
      </c>
      <c r="N1187" s="4">
        <v>46223.1297337963</v>
      </c>
      <c r="O1187" s="3" t="b">
        <f>L1187 = "PASS"</f>
        <v>1</v>
      </c>
      <c r="P1187" s="3" t="b">
        <f>L1187 = "FAIL"</f>
        <v>0</v>
      </c>
      <c r="Q1187" s="3" t="b">
        <f>AND(P1187, K1187)</f>
        <v>0</v>
      </c>
      <c r="R1187" s="3" t="str">
        <f>IF(O1187, I1187, "")</f>
        <v>suite-integrity</v>
      </c>
      <c r="S1187" s="3" t="str">
        <f>IF(Q1187, I1187, "")</f>
      </c>
      <c r="T1187" s="2" t="s">
        <v>5935</v>
      </c>
    </row>
    <row r="1188">
      <c r="A1188" s="2" t="s">
        <v>7405</v>
      </c>
      <c r="B1188" s="3" t="str">
        <f>C1188 &amp; ": " &amp; D1188</f>
        <v>fk-resolves: Recipients.Organization -&gt; Organizations</v>
      </c>
      <c r="C1188" s="2" t="s">
        <v>7127</v>
      </c>
      <c r="D1188" s="2" t="s">
        <v>7406</v>
      </c>
      <c r="E1188" s="2" t="s">
        <v>4346</v>
      </c>
      <c r="F1188" s="2" t="s">
        <v>121</v>
      </c>
      <c r="G1188" s="2" t="s">
        <v>7129</v>
      </c>
      <c r="H1188" s="2"/>
      <c r="I1188" s="2" t="s">
        <v>5922</v>
      </c>
      <c r="J1188" s="2" t="s">
        <v>5933</v>
      </c>
      <c r="K1188" s="3" t="b">
        <f>J1188 = "blocking"</f>
        <v>1</v>
      </c>
      <c r="L1188" s="2" t="s">
        <v>1428</v>
      </c>
      <c r="M1188" s="2" t="s">
        <v>7130</v>
      </c>
      <c r="N1188" s="4">
        <v>46223.1297337963</v>
      </c>
      <c r="O1188" s="3" t="b">
        <f>L1188 = "PASS"</f>
        <v>1</v>
      </c>
      <c r="P1188" s="3" t="b">
        <f>L1188 = "FAIL"</f>
        <v>0</v>
      </c>
      <c r="Q1188" s="3" t="b">
        <f>AND(P1188, K1188)</f>
        <v>0</v>
      </c>
      <c r="R1188" s="3" t="str">
        <f>IF(O1188, I1188, "")</f>
        <v>suite-integrity</v>
      </c>
      <c r="S1188" s="3" t="str">
        <f>IF(Q1188, I1188, "")</f>
      </c>
      <c r="T1188" s="2" t="s">
        <v>5935</v>
      </c>
    </row>
    <row r="1189">
      <c r="A1189" s="2" t="s">
        <v>7407</v>
      </c>
      <c r="B1189" s="3" t="str">
        <f>C1189 &amp; ": " &amp; D1189</f>
        <v>fk-resolves: Recipients.ConsentBinding -&gt; OperationalBindings</v>
      </c>
      <c r="C1189" s="2" t="s">
        <v>7127</v>
      </c>
      <c r="D1189" s="2" t="s">
        <v>7408</v>
      </c>
      <c r="E1189" s="2" t="s">
        <v>4346</v>
      </c>
      <c r="F1189" s="2" t="s">
        <v>4360</v>
      </c>
      <c r="G1189" s="2" t="s">
        <v>7409</v>
      </c>
      <c r="H1189" s="2"/>
      <c r="I1189" s="2" t="s">
        <v>5922</v>
      </c>
      <c r="J1189" s="2" t="s">
        <v>5933</v>
      </c>
      <c r="K1189" s="3" t="b">
        <f>J1189 = "blocking"</f>
        <v>1</v>
      </c>
      <c r="L1189" s="2" t="s">
        <v>1428</v>
      </c>
      <c r="M1189" s="2" t="s">
        <v>7130</v>
      </c>
      <c r="N1189" s="4">
        <v>46223.1297337963</v>
      </c>
      <c r="O1189" s="3" t="b">
        <f>L1189 = "PASS"</f>
        <v>1</v>
      </c>
      <c r="P1189" s="3" t="b">
        <f>L1189 = "FAIL"</f>
        <v>0</v>
      </c>
      <c r="Q1189" s="3" t="b">
        <f>AND(P1189, K1189)</f>
        <v>0</v>
      </c>
      <c r="R1189" s="3" t="str">
        <f>IF(O1189, I1189, "")</f>
        <v>suite-integrity</v>
      </c>
      <c r="S1189" s="3" t="str">
        <f>IF(Q1189, I1189, "")</f>
      </c>
      <c r="T1189" s="2" t="s">
        <v>5935</v>
      </c>
    </row>
    <row r="1190">
      <c r="A1190" s="2" t="s">
        <v>7410</v>
      </c>
      <c r="B1190" s="3" t="str">
        <f>C1190 &amp; ": " &amp; D1190</f>
        <v>fk-resolves: MessageDeliveries.ProcedureExecution -&gt; ProcedureExecutions</v>
      </c>
      <c r="C1190" s="2" t="s">
        <v>7127</v>
      </c>
      <c r="D1190" s="2" t="s">
        <v>7411</v>
      </c>
      <c r="E1190" s="2" t="s">
        <v>4378</v>
      </c>
      <c r="F1190" s="2" t="s">
        <v>1329</v>
      </c>
      <c r="G1190" s="2" t="s">
        <v>7285</v>
      </c>
      <c r="H1190" s="2"/>
      <c r="I1190" s="2" t="s">
        <v>5922</v>
      </c>
      <c r="J1190" s="2" t="s">
        <v>5933</v>
      </c>
      <c r="K1190" s="3" t="b">
        <f>J1190 = "blocking"</f>
        <v>1</v>
      </c>
      <c r="L1190" s="2" t="s">
        <v>1428</v>
      </c>
      <c r="M1190" s="2" t="s">
        <v>7130</v>
      </c>
      <c r="N1190" s="4">
        <v>46223.1297337963</v>
      </c>
      <c r="O1190" s="3" t="b">
        <f>L1190 = "PASS"</f>
        <v>1</v>
      </c>
      <c r="P1190" s="3" t="b">
        <f>L1190 = "FAIL"</f>
        <v>0</v>
      </c>
      <c r="Q1190" s="3" t="b">
        <f>AND(P1190, K1190)</f>
        <v>0</v>
      </c>
      <c r="R1190" s="3" t="str">
        <f>IF(O1190, I1190, "")</f>
        <v>suite-integrity</v>
      </c>
      <c r="S1190" s="3" t="str">
        <f>IF(Q1190, I1190, "")</f>
      </c>
      <c r="T1190" s="2" t="s">
        <v>5935</v>
      </c>
    </row>
    <row r="1191">
      <c r="A1191" s="2" t="s">
        <v>7412</v>
      </c>
      <c r="B1191" s="3" t="str">
        <f>C1191 &amp; ": " &amp; D1191</f>
        <v>fk-resolves: MessageDeliveries.StepExecution -&gt; StepExecutions</v>
      </c>
      <c r="C1191" s="2" t="s">
        <v>7127</v>
      </c>
      <c r="D1191" s="2" t="s">
        <v>7413</v>
      </c>
      <c r="E1191" s="2" t="s">
        <v>4378</v>
      </c>
      <c r="F1191" s="2" t="s">
        <v>1447</v>
      </c>
      <c r="G1191" s="2" t="s">
        <v>7292</v>
      </c>
      <c r="H1191" s="2"/>
      <c r="I1191" s="2" t="s">
        <v>5922</v>
      </c>
      <c r="J1191" s="2" t="s">
        <v>5933</v>
      </c>
      <c r="K1191" s="3" t="b">
        <f>J1191 = "blocking"</f>
        <v>1</v>
      </c>
      <c r="L1191" s="2" t="s">
        <v>1428</v>
      </c>
      <c r="M1191" s="2" t="s">
        <v>7130</v>
      </c>
      <c r="N1191" s="4">
        <v>46223.1297337963</v>
      </c>
      <c r="O1191" s="3" t="b">
        <f>L1191 = "PASS"</f>
        <v>1</v>
      </c>
      <c r="P1191" s="3" t="b">
        <f>L1191 = "FAIL"</f>
        <v>0</v>
      </c>
      <c r="Q1191" s="3" t="b">
        <f>AND(P1191, K1191)</f>
        <v>0</v>
      </c>
      <c r="R1191" s="3" t="str">
        <f>IF(O1191, I1191, "")</f>
        <v>suite-integrity</v>
      </c>
      <c r="S1191" s="3" t="str">
        <f>IF(Q1191, I1191, "")</f>
      </c>
      <c r="T1191" s="2" t="s">
        <v>5935</v>
      </c>
    </row>
    <row r="1192">
      <c r="A1192" s="2" t="s">
        <v>7414</v>
      </c>
      <c r="B1192" s="3" t="str">
        <f>C1192 &amp; ": " &amp; D1192</f>
        <v>fk-resolves: MessageDeliveries.Recipient -&gt; Recipients</v>
      </c>
      <c r="C1192" s="2" t="s">
        <v>7127</v>
      </c>
      <c r="D1192" s="2" t="s">
        <v>7415</v>
      </c>
      <c r="E1192" s="2" t="s">
        <v>4378</v>
      </c>
      <c r="F1192" s="2" t="s">
        <v>4385</v>
      </c>
      <c r="G1192" s="2" t="s">
        <v>7416</v>
      </c>
      <c r="H1192" s="2"/>
      <c r="I1192" s="2" t="s">
        <v>5922</v>
      </c>
      <c r="J1192" s="2" t="s">
        <v>5933</v>
      </c>
      <c r="K1192" s="3" t="b">
        <f>J1192 = "blocking"</f>
        <v>1</v>
      </c>
      <c r="L1192" s="2" t="s">
        <v>1428</v>
      </c>
      <c r="M1192" s="2" t="s">
        <v>7130</v>
      </c>
      <c r="N1192" s="4">
        <v>46223.1297337963</v>
      </c>
      <c r="O1192" s="3" t="b">
        <f>L1192 = "PASS"</f>
        <v>1</v>
      </c>
      <c r="P1192" s="3" t="b">
        <f>L1192 = "FAIL"</f>
        <v>0</v>
      </c>
      <c r="Q1192" s="3" t="b">
        <f>AND(P1192, K1192)</f>
        <v>0</v>
      </c>
      <c r="R1192" s="3" t="str">
        <f>IF(O1192, I1192, "")</f>
        <v>suite-integrity</v>
      </c>
      <c r="S1192" s="3" t="str">
        <f>IF(Q1192, I1192, "")</f>
      </c>
      <c r="T1192" s="2" t="s">
        <v>5935</v>
      </c>
    </row>
    <row r="1193">
      <c r="A1193" s="2" t="s">
        <v>7417</v>
      </c>
      <c r="B1193" s="3" t="str">
        <f>C1193 &amp; ": " &amp; D1193</f>
        <v>fk-resolves: MessageDeliveries.MessageTemplate -&gt; MessageTemplates</v>
      </c>
      <c r="C1193" s="2" t="s">
        <v>7127</v>
      </c>
      <c r="D1193" s="2" t="s">
        <v>7418</v>
      </c>
      <c r="E1193" s="2" t="s">
        <v>4378</v>
      </c>
      <c r="F1193" s="2" t="s">
        <v>4387</v>
      </c>
      <c r="G1193" s="2" t="s">
        <v>7419</v>
      </c>
      <c r="H1193" s="2"/>
      <c r="I1193" s="2" t="s">
        <v>5922</v>
      </c>
      <c r="J1193" s="2" t="s">
        <v>5933</v>
      </c>
      <c r="K1193" s="3" t="b">
        <f>J1193 = "blocking"</f>
        <v>1</v>
      </c>
      <c r="L1193" s="2" t="s">
        <v>1428</v>
      </c>
      <c r="M1193" s="2" t="s">
        <v>7130</v>
      </c>
      <c r="N1193" s="4">
        <v>46223.1297337963</v>
      </c>
      <c r="O1193" s="3" t="b">
        <f>L1193 = "PASS"</f>
        <v>1</v>
      </c>
      <c r="P1193" s="3" t="b">
        <f>L1193 = "FAIL"</f>
        <v>0</v>
      </c>
      <c r="Q1193" s="3" t="b">
        <f>AND(P1193, K1193)</f>
        <v>0</v>
      </c>
      <c r="R1193" s="3" t="str">
        <f>IF(O1193, I1193, "")</f>
        <v>suite-integrity</v>
      </c>
      <c r="S1193" s="3" t="str">
        <f>IF(Q1193, I1193, "")</f>
      </c>
      <c r="T1193" s="2" t="s">
        <v>5935</v>
      </c>
    </row>
    <row r="1194">
      <c r="A1194" s="2" t="s">
        <v>7420</v>
      </c>
      <c r="B1194" s="3" t="str">
        <f>C1194 &amp; ": " &amp; D1194</f>
        <v>fk-resolves: MessageDeliveries.SentByAgent -&gt; Agents</v>
      </c>
      <c r="C1194" s="2" t="s">
        <v>7127</v>
      </c>
      <c r="D1194" s="2" t="s">
        <v>7421</v>
      </c>
      <c r="E1194" s="2" t="s">
        <v>4378</v>
      </c>
      <c r="F1194" s="2" t="s">
        <v>4389</v>
      </c>
      <c r="G1194" s="2" t="s">
        <v>7135</v>
      </c>
      <c r="H1194" s="2"/>
      <c r="I1194" s="2" t="s">
        <v>5922</v>
      </c>
      <c r="J1194" s="2" t="s">
        <v>5933</v>
      </c>
      <c r="K1194" s="3" t="b">
        <f>J1194 = "blocking"</f>
        <v>1</v>
      </c>
      <c r="L1194" s="2" t="s">
        <v>1428</v>
      </c>
      <c r="M1194" s="2" t="s">
        <v>7130</v>
      </c>
      <c r="N1194" s="4">
        <v>46223.1297337963</v>
      </c>
      <c r="O1194" s="3" t="b">
        <f>L1194 = "PASS"</f>
        <v>1</v>
      </c>
      <c r="P1194" s="3" t="b">
        <f>L1194 = "FAIL"</f>
        <v>0</v>
      </c>
      <c r="Q1194" s="3" t="b">
        <f>AND(P1194, K1194)</f>
        <v>0</v>
      </c>
      <c r="R1194" s="3" t="str">
        <f>IF(O1194, I1194, "")</f>
        <v>suite-integrity</v>
      </c>
      <c r="S1194" s="3" t="str">
        <f>IF(Q1194, I1194, "")</f>
      </c>
      <c r="T1194" s="2" t="s">
        <v>5935</v>
      </c>
    </row>
    <row r="1195">
      <c r="A1195" s="2" t="s">
        <v>7422</v>
      </c>
      <c r="B1195" s="3" t="str">
        <f>C1195 &amp; ": " &amp; D1195</f>
        <v>fk-resolves: MessageDeliveries.InvokedException -&gt; Exceptions</v>
      </c>
      <c r="C1195" s="2" t="s">
        <v>7127</v>
      </c>
      <c r="D1195" s="2" t="s">
        <v>7423</v>
      </c>
      <c r="E1195" s="2" t="s">
        <v>4378</v>
      </c>
      <c r="F1195" s="2" t="s">
        <v>4401</v>
      </c>
      <c r="G1195" s="2" t="s">
        <v>7386</v>
      </c>
      <c r="H1195" s="2"/>
      <c r="I1195" s="2" t="s">
        <v>5922</v>
      </c>
      <c r="J1195" s="2" t="s">
        <v>5933</v>
      </c>
      <c r="K1195" s="3" t="b">
        <f>J1195 = "blocking"</f>
        <v>1</v>
      </c>
      <c r="L1195" s="2" t="s">
        <v>1428</v>
      </c>
      <c r="M1195" s="2" t="s">
        <v>7130</v>
      </c>
      <c r="N1195" s="4">
        <v>46223.1297337963</v>
      </c>
      <c r="O1195" s="3" t="b">
        <f>L1195 = "PASS"</f>
        <v>1</v>
      </c>
      <c r="P1195" s="3" t="b">
        <f>L1195 = "FAIL"</f>
        <v>0</v>
      </c>
      <c r="Q1195" s="3" t="b">
        <f>AND(P1195, K1195)</f>
        <v>0</v>
      </c>
      <c r="R1195" s="3" t="str">
        <f>IF(O1195, I1195, "")</f>
        <v>suite-integrity</v>
      </c>
      <c r="S1195" s="3" t="str">
        <f>IF(Q1195, I1195, "")</f>
      </c>
      <c r="T1195" s="2" t="s">
        <v>5935</v>
      </c>
    </row>
    <row r="1196">
      <c r="A1196" s="2" t="s">
        <v>7424</v>
      </c>
      <c r="B1196" s="3" t="str">
        <f>C1196 &amp; ": " &amp; D1196</f>
        <v>fk-resolves: MessageDeliveries.EvaluationContext -&gt; EvaluationContexts</v>
      </c>
      <c r="C1196" s="2" t="s">
        <v>7127</v>
      </c>
      <c r="D1196" s="2" t="s">
        <v>7425</v>
      </c>
      <c r="E1196" s="2" t="s">
        <v>4378</v>
      </c>
      <c r="F1196" s="2" t="s">
        <v>258</v>
      </c>
      <c r="G1196" s="2" t="s">
        <v>7143</v>
      </c>
      <c r="H1196" s="2"/>
      <c r="I1196" s="2" t="s">
        <v>5922</v>
      </c>
      <c r="J1196" s="2" t="s">
        <v>5933</v>
      </c>
      <c r="K1196" s="3" t="b">
        <f>J1196 = "blocking"</f>
        <v>1</v>
      </c>
      <c r="L1196" s="2" t="s">
        <v>1428</v>
      </c>
      <c r="M1196" s="2" t="s">
        <v>7130</v>
      </c>
      <c r="N1196" s="4">
        <v>46223.1297337963</v>
      </c>
      <c r="O1196" s="3" t="b">
        <f>L1196 = "PASS"</f>
        <v>1</v>
      </c>
      <c r="P1196" s="3" t="b">
        <f>L1196 = "FAIL"</f>
        <v>0</v>
      </c>
      <c r="Q1196" s="3" t="b">
        <f>AND(P1196, K1196)</f>
        <v>0</v>
      </c>
      <c r="R1196" s="3" t="str">
        <f>IF(O1196, I1196, "")</f>
        <v>suite-integrity</v>
      </c>
      <c r="S1196" s="3" t="str">
        <f>IF(Q1196, I1196, "")</f>
      </c>
      <c r="T1196" s="2" t="s">
        <v>5935</v>
      </c>
    </row>
    <row r="1197">
      <c r="A1197" s="2" t="s">
        <v>7426</v>
      </c>
      <c r="B1197" s="3" t="str">
        <f>C1197 &amp; ": " &amp; D1197</f>
        <v>fk-resolves: TemplateApprovals.MessageTemplate -&gt; MessageTemplates</v>
      </c>
      <c r="C1197" s="2" t="s">
        <v>7127</v>
      </c>
      <c r="D1197" s="2" t="s">
        <v>7427</v>
      </c>
      <c r="E1197" s="2" t="s">
        <v>4632</v>
      </c>
      <c r="F1197" s="2" t="s">
        <v>4387</v>
      </c>
      <c r="G1197" s="2" t="s">
        <v>7419</v>
      </c>
      <c r="H1197" s="2"/>
      <c r="I1197" s="2" t="s">
        <v>5922</v>
      </c>
      <c r="J1197" s="2" t="s">
        <v>5933</v>
      </c>
      <c r="K1197" s="3" t="b">
        <f>J1197 = "blocking"</f>
        <v>1</v>
      </c>
      <c r="L1197" s="2" t="s">
        <v>1428</v>
      </c>
      <c r="M1197" s="2" t="s">
        <v>7130</v>
      </c>
      <c r="N1197" s="4">
        <v>46223.1297337963</v>
      </c>
      <c r="O1197" s="3" t="b">
        <f>L1197 = "PASS"</f>
        <v>1</v>
      </c>
      <c r="P1197" s="3" t="b">
        <f>L1197 = "FAIL"</f>
        <v>0</v>
      </c>
      <c r="Q1197" s="3" t="b">
        <f>AND(P1197, K1197)</f>
        <v>0</v>
      </c>
      <c r="R1197" s="3" t="str">
        <f>IF(O1197, I1197, "")</f>
        <v>suite-integrity</v>
      </c>
      <c r="S1197" s="3" t="str">
        <f>IF(Q1197, I1197, "")</f>
      </c>
      <c r="T1197" s="2" t="s">
        <v>5935</v>
      </c>
    </row>
    <row r="1198">
      <c r="A1198" s="2" t="s">
        <v>7428</v>
      </c>
      <c r="B1198" s="3" t="str">
        <f>C1198 &amp; ": " &amp; D1198</f>
        <v>fk-resolves: TemplateApprovals.DecidedByAgent -&gt; Agents</v>
      </c>
      <c r="C1198" s="2" t="s">
        <v>7127</v>
      </c>
      <c r="D1198" s="2" t="s">
        <v>7429</v>
      </c>
      <c r="E1198" s="2" t="s">
        <v>4632</v>
      </c>
      <c r="F1198" s="2" t="s">
        <v>4638</v>
      </c>
      <c r="G1198" s="2" t="s">
        <v>7135</v>
      </c>
      <c r="H1198" s="2"/>
      <c r="I1198" s="2" t="s">
        <v>5922</v>
      </c>
      <c r="J1198" s="2" t="s">
        <v>5933</v>
      </c>
      <c r="K1198" s="3" t="b">
        <f>J1198 = "blocking"</f>
        <v>1</v>
      </c>
      <c r="L1198" s="2" t="s">
        <v>1428</v>
      </c>
      <c r="M1198" s="2" t="s">
        <v>7130</v>
      </c>
      <c r="N1198" s="4">
        <v>46223.1297337963</v>
      </c>
      <c r="O1198" s="3" t="b">
        <f>L1198 = "PASS"</f>
        <v>1</v>
      </c>
      <c r="P1198" s="3" t="b">
        <f>L1198 = "FAIL"</f>
        <v>0</v>
      </c>
      <c r="Q1198" s="3" t="b">
        <f>AND(P1198, K1198)</f>
        <v>0</v>
      </c>
      <c r="R1198" s="3" t="str">
        <f>IF(O1198, I1198, "")</f>
        <v>suite-integrity</v>
      </c>
      <c r="S1198" s="3" t="str">
        <f>IF(Q1198, I1198, "")</f>
      </c>
      <c r="T1198" s="2" t="s">
        <v>5935</v>
      </c>
    </row>
    <row r="1199">
      <c r="A1199" s="2" t="s">
        <v>7430</v>
      </c>
      <c r="B1199" s="3" t="str">
        <f>C1199 &amp; ": " &amp; D1199</f>
        <v>fk-resolves: TemplateApprovals.DecidedInRole -&gt; Roles</v>
      </c>
      <c r="C1199" s="2" t="s">
        <v>7127</v>
      </c>
      <c r="D1199" s="2" t="s">
        <v>7431</v>
      </c>
      <c r="E1199" s="2" t="s">
        <v>4632</v>
      </c>
      <c r="F1199" s="2" t="s">
        <v>4640</v>
      </c>
      <c r="G1199" s="2" t="s">
        <v>7138</v>
      </c>
      <c r="H1199" s="2"/>
      <c r="I1199" s="2" t="s">
        <v>5922</v>
      </c>
      <c r="J1199" s="2" t="s">
        <v>5933</v>
      </c>
      <c r="K1199" s="3" t="b">
        <f>J1199 = "blocking"</f>
        <v>1</v>
      </c>
      <c r="L1199" s="2" t="s">
        <v>1428</v>
      </c>
      <c r="M1199" s="2" t="s">
        <v>7130</v>
      </c>
      <c r="N1199" s="4">
        <v>46223.1297337963</v>
      </c>
      <c r="O1199" s="3" t="b">
        <f>L1199 = "PASS"</f>
        <v>1</v>
      </c>
      <c r="P1199" s="3" t="b">
        <f>L1199 = "FAIL"</f>
        <v>0</v>
      </c>
      <c r="Q1199" s="3" t="b">
        <f>AND(P1199, K1199)</f>
        <v>0</v>
      </c>
      <c r="R1199" s="3" t="str">
        <f>IF(O1199, I1199, "")</f>
        <v>suite-integrity</v>
      </c>
      <c r="S1199" s="3" t="str">
        <f>IF(Q1199, I1199, "")</f>
      </c>
      <c r="T1199" s="2" t="s">
        <v>5935</v>
      </c>
    </row>
    <row r="1200">
      <c r="A1200" s="2" t="s">
        <v>7432</v>
      </c>
      <c r="B1200" s="3" t="str">
        <f>C1200 &amp; ": " &amp; D1200</f>
        <v>fk-resolves: SendIntents.ProcedureExecution -&gt; ProcedureExecutions</v>
      </c>
      <c r="C1200" s="2" t="s">
        <v>7127</v>
      </c>
      <c r="D1200" s="2" t="s">
        <v>7433</v>
      </c>
      <c r="E1200" s="2" t="s">
        <v>4662</v>
      </c>
      <c r="F1200" s="2" t="s">
        <v>1329</v>
      </c>
      <c r="G1200" s="2" t="s">
        <v>7285</v>
      </c>
      <c r="H1200" s="2"/>
      <c r="I1200" s="2" t="s">
        <v>5922</v>
      </c>
      <c r="J1200" s="2" t="s">
        <v>5933</v>
      </c>
      <c r="K1200" s="3" t="b">
        <f>J1200 = "blocking"</f>
        <v>1</v>
      </c>
      <c r="L1200" s="2" t="s">
        <v>1428</v>
      </c>
      <c r="M1200" s="2" t="s">
        <v>7130</v>
      </c>
      <c r="N1200" s="4">
        <v>46223.1297337963</v>
      </c>
      <c r="O1200" s="3" t="b">
        <f>L1200 = "PASS"</f>
        <v>1</v>
      </c>
      <c r="P1200" s="3" t="b">
        <f>L1200 = "FAIL"</f>
        <v>0</v>
      </c>
      <c r="Q1200" s="3" t="b">
        <f>AND(P1200, K1200)</f>
        <v>0</v>
      </c>
      <c r="R1200" s="3" t="str">
        <f>IF(O1200, I1200, "")</f>
        <v>suite-integrity</v>
      </c>
      <c r="S1200" s="3" t="str">
        <f>IF(Q1200, I1200, "")</f>
      </c>
      <c r="T1200" s="2" t="s">
        <v>5935</v>
      </c>
    </row>
    <row r="1201">
      <c r="A1201" s="2" t="s">
        <v>7434</v>
      </c>
      <c r="B1201" s="3" t="str">
        <f>C1201 &amp; ": " &amp; D1201</f>
        <v>fk-resolves: SendIntents.StepExecution -&gt; StepExecutions</v>
      </c>
      <c r="C1201" s="2" t="s">
        <v>7127</v>
      </c>
      <c r="D1201" s="2" t="s">
        <v>7435</v>
      </c>
      <c r="E1201" s="2" t="s">
        <v>4662</v>
      </c>
      <c r="F1201" s="2" t="s">
        <v>1447</v>
      </c>
      <c r="G1201" s="2" t="s">
        <v>7292</v>
      </c>
      <c r="H1201" s="2"/>
      <c r="I1201" s="2" t="s">
        <v>5922</v>
      </c>
      <c r="J1201" s="2" t="s">
        <v>5933</v>
      </c>
      <c r="K1201" s="3" t="b">
        <f>J1201 = "blocking"</f>
        <v>1</v>
      </c>
      <c r="L1201" s="2" t="s">
        <v>1428</v>
      </c>
      <c r="M1201" s="2" t="s">
        <v>7130</v>
      </c>
      <c r="N1201" s="4">
        <v>46223.1297337963</v>
      </c>
      <c r="O1201" s="3" t="b">
        <f>L1201 = "PASS"</f>
        <v>1</v>
      </c>
      <c r="P1201" s="3" t="b">
        <f>L1201 = "FAIL"</f>
        <v>0</v>
      </c>
      <c r="Q1201" s="3" t="b">
        <f>AND(P1201, K1201)</f>
        <v>0</v>
      </c>
      <c r="R1201" s="3" t="str">
        <f>IF(O1201, I1201, "")</f>
        <v>suite-integrity</v>
      </c>
      <c r="S1201" s="3" t="str">
        <f>IF(Q1201, I1201, "")</f>
      </c>
      <c r="T1201" s="2" t="s">
        <v>5935</v>
      </c>
    </row>
    <row r="1202">
      <c r="A1202" s="2" t="s">
        <v>7436</v>
      </c>
      <c r="B1202" s="3" t="str">
        <f>C1202 &amp; ": " &amp; D1202</f>
        <v>fk-resolves: SendIntents.Recipient -&gt; Recipients</v>
      </c>
      <c r="C1202" s="2" t="s">
        <v>7127</v>
      </c>
      <c r="D1202" s="2" t="s">
        <v>7437</v>
      </c>
      <c r="E1202" s="2" t="s">
        <v>4662</v>
      </c>
      <c r="F1202" s="2" t="s">
        <v>4385</v>
      </c>
      <c r="G1202" s="2" t="s">
        <v>7416</v>
      </c>
      <c r="H1202" s="2"/>
      <c r="I1202" s="2" t="s">
        <v>5922</v>
      </c>
      <c r="J1202" s="2" t="s">
        <v>5933</v>
      </c>
      <c r="K1202" s="3" t="b">
        <f>J1202 = "blocking"</f>
        <v>1</v>
      </c>
      <c r="L1202" s="2" t="s">
        <v>1428</v>
      </c>
      <c r="M1202" s="2" t="s">
        <v>7130</v>
      </c>
      <c r="N1202" s="4">
        <v>46223.1297337963</v>
      </c>
      <c r="O1202" s="3" t="b">
        <f>L1202 = "PASS"</f>
        <v>1</v>
      </c>
      <c r="P1202" s="3" t="b">
        <f>L1202 = "FAIL"</f>
        <v>0</v>
      </c>
      <c r="Q1202" s="3" t="b">
        <f>AND(P1202, K1202)</f>
        <v>0</v>
      </c>
      <c r="R1202" s="3" t="str">
        <f>IF(O1202, I1202, "")</f>
        <v>suite-integrity</v>
      </c>
      <c r="S1202" s="3" t="str">
        <f>IF(Q1202, I1202, "")</f>
      </c>
      <c r="T1202" s="2" t="s">
        <v>5935</v>
      </c>
    </row>
    <row r="1203">
      <c r="A1203" s="2" t="s">
        <v>7438</v>
      </c>
      <c r="B1203" s="3" t="str">
        <f>C1203 &amp; ": " &amp; D1203</f>
        <v>fk-resolves: SendIntents.MessageTemplate -&gt; MessageTemplates</v>
      </c>
      <c r="C1203" s="2" t="s">
        <v>7127</v>
      </c>
      <c r="D1203" s="2" t="s">
        <v>7439</v>
      </c>
      <c r="E1203" s="2" t="s">
        <v>4662</v>
      </c>
      <c r="F1203" s="2" t="s">
        <v>4387</v>
      </c>
      <c r="G1203" s="2" t="s">
        <v>7419</v>
      </c>
      <c r="H1203" s="2"/>
      <c r="I1203" s="2" t="s">
        <v>5922</v>
      </c>
      <c r="J1203" s="2" t="s">
        <v>5933</v>
      </c>
      <c r="K1203" s="3" t="b">
        <f>J1203 = "blocking"</f>
        <v>1</v>
      </c>
      <c r="L1203" s="2" t="s">
        <v>1428</v>
      </c>
      <c r="M1203" s="2" t="s">
        <v>7130</v>
      </c>
      <c r="N1203" s="4">
        <v>46223.1297337963</v>
      </c>
      <c r="O1203" s="3" t="b">
        <f>L1203 = "PASS"</f>
        <v>1</v>
      </c>
      <c r="P1203" s="3" t="b">
        <f>L1203 = "FAIL"</f>
        <v>0</v>
      </c>
      <c r="Q1203" s="3" t="b">
        <f>AND(P1203, K1203)</f>
        <v>0</v>
      </c>
      <c r="R1203" s="3" t="str">
        <f>IF(O1203, I1203, "")</f>
        <v>suite-integrity</v>
      </c>
      <c r="S1203" s="3" t="str">
        <f>IF(Q1203, I1203, "")</f>
      </c>
      <c r="T1203" s="2" t="s">
        <v>5935</v>
      </c>
    </row>
    <row r="1204">
      <c r="A1204" s="2" t="s">
        <v>7440</v>
      </c>
      <c r="B1204" s="3" t="str">
        <f>C1204 &amp; ": " &amp; D1204</f>
        <v>fk-resolves: SendIntents.ResultingDelivery -&gt; MessageDeliveries</v>
      </c>
      <c r="C1204" s="2" t="s">
        <v>7127</v>
      </c>
      <c r="D1204" s="2" t="s">
        <v>7441</v>
      </c>
      <c r="E1204" s="2" t="s">
        <v>4662</v>
      </c>
      <c r="F1204" s="2" t="s">
        <v>4676</v>
      </c>
      <c r="G1204" s="2" t="s">
        <v>7442</v>
      </c>
      <c r="H1204" s="2"/>
      <c r="I1204" s="2" t="s">
        <v>5922</v>
      </c>
      <c r="J1204" s="2" t="s">
        <v>5933</v>
      </c>
      <c r="K1204" s="3" t="b">
        <f>J1204 = "blocking"</f>
        <v>1</v>
      </c>
      <c r="L1204" s="2" t="s">
        <v>1428</v>
      </c>
      <c r="M1204" s="2" t="s">
        <v>7130</v>
      </c>
      <c r="N1204" s="4">
        <v>46223.1297337963</v>
      </c>
      <c r="O1204" s="3" t="b">
        <f>L1204 = "PASS"</f>
        <v>1</v>
      </c>
      <c r="P1204" s="3" t="b">
        <f>L1204 = "FAIL"</f>
        <v>0</v>
      </c>
      <c r="Q1204" s="3" t="b">
        <f>AND(P1204, K1204)</f>
        <v>0</v>
      </c>
      <c r="R1204" s="3" t="str">
        <f>IF(O1204, I1204, "")</f>
        <v>suite-integrity</v>
      </c>
      <c r="S1204" s="3" t="str">
        <f>IF(Q1204, I1204, "")</f>
      </c>
      <c r="T1204" s="2" t="s">
        <v>5935</v>
      </c>
    </row>
    <row r="1205">
      <c r="A1205" s="2" t="s">
        <v>7443</v>
      </c>
      <c r="B1205" s="3" t="str">
        <f>C1205 &amp; ": " &amp; D1205</f>
        <v>fk-resolves: SendIntents.RefusalNotifiedRole -&gt; Roles</v>
      </c>
      <c r="C1205" s="2" t="s">
        <v>7127</v>
      </c>
      <c r="D1205" s="2" t="s">
        <v>7444</v>
      </c>
      <c r="E1205" s="2" t="s">
        <v>4662</v>
      </c>
      <c r="F1205" s="2" t="s">
        <v>4851</v>
      </c>
      <c r="G1205" s="2" t="s">
        <v>7138</v>
      </c>
      <c r="H1205" s="2"/>
      <c r="I1205" s="2" t="s">
        <v>5922</v>
      </c>
      <c r="J1205" s="2" t="s">
        <v>5933</v>
      </c>
      <c r="K1205" s="3" t="b">
        <f>J1205 = "blocking"</f>
        <v>1</v>
      </c>
      <c r="L1205" s="2" t="s">
        <v>1428</v>
      </c>
      <c r="M1205" s="2" t="s">
        <v>7130</v>
      </c>
      <c r="N1205" s="4">
        <v>46223.1297337963</v>
      </c>
      <c r="O1205" s="3" t="b">
        <f>L1205 = "PASS"</f>
        <v>1</v>
      </c>
      <c r="P1205" s="3" t="b">
        <f>L1205 = "FAIL"</f>
        <v>0</v>
      </c>
      <c r="Q1205" s="3" t="b">
        <f>AND(P1205, K1205)</f>
        <v>0</v>
      </c>
      <c r="R1205" s="3" t="str">
        <f>IF(O1205, I1205, "")</f>
        <v>suite-integrity</v>
      </c>
      <c r="S1205" s="3" t="str">
        <f>IF(Q1205, I1205, "")</f>
      </c>
      <c r="T1205" s="2" t="s">
        <v>5935</v>
      </c>
    </row>
    <row r="1206">
      <c r="A1206" s="2" t="s">
        <v>7445</v>
      </c>
      <c r="B1206" s="3" t="str">
        <f>C1206 &amp; ": " &amp; D1206</f>
        <v>fk-resolves: SendIntents.EvaluationContext -&gt; EvaluationContexts</v>
      </c>
      <c r="C1206" s="2" t="s">
        <v>7127</v>
      </c>
      <c r="D1206" s="2" t="s">
        <v>7446</v>
      </c>
      <c r="E1206" s="2" t="s">
        <v>4662</v>
      </c>
      <c r="F1206" s="2" t="s">
        <v>258</v>
      </c>
      <c r="G1206" s="2" t="s">
        <v>7143</v>
      </c>
      <c r="H1206" s="2"/>
      <c r="I1206" s="2" t="s">
        <v>5922</v>
      </c>
      <c r="J1206" s="2" t="s">
        <v>5933</v>
      </c>
      <c r="K1206" s="3" t="b">
        <f>J1206 = "blocking"</f>
        <v>1</v>
      </c>
      <c r="L1206" s="2" t="s">
        <v>1428</v>
      </c>
      <c r="M1206" s="2" t="s">
        <v>7130</v>
      </c>
      <c r="N1206" s="4">
        <v>46223.1297337963</v>
      </c>
      <c r="O1206" s="3" t="b">
        <f>L1206 = "PASS"</f>
        <v>1</v>
      </c>
      <c r="P1206" s="3" t="b">
        <f>L1206 = "FAIL"</f>
        <v>0</v>
      </c>
      <c r="Q1206" s="3" t="b">
        <f>AND(P1206, K1206)</f>
        <v>0</v>
      </c>
      <c r="R1206" s="3" t="str">
        <f>IF(O1206, I1206, "")</f>
        <v>suite-integrity</v>
      </c>
      <c r="S1206" s="3" t="str">
        <f>IF(Q1206, I1206, "")</f>
      </c>
      <c r="T1206" s="2" t="s">
        <v>5935</v>
      </c>
    </row>
    <row r="1207">
      <c r="A1207" s="2" t="s">
        <v>7447</v>
      </c>
      <c r="B1207" s="3" t="str">
        <f>C1207 &amp; ": " &amp; D1207</f>
        <v>fk-resolves: AgentDecisionRecords.StepExecution -&gt; StepExecutions</v>
      </c>
      <c r="C1207" s="2" t="s">
        <v>7127</v>
      </c>
      <c r="D1207" s="2" t="s">
        <v>7448</v>
      </c>
      <c r="E1207" s="2" t="s">
        <v>4928</v>
      </c>
      <c r="F1207" s="2" t="s">
        <v>1447</v>
      </c>
      <c r="G1207" s="2" t="s">
        <v>7292</v>
      </c>
      <c r="H1207" s="2"/>
      <c r="I1207" s="2" t="s">
        <v>5922</v>
      </c>
      <c r="J1207" s="2" t="s">
        <v>5933</v>
      </c>
      <c r="K1207" s="3" t="b">
        <f>J1207 = "blocking"</f>
        <v>1</v>
      </c>
      <c r="L1207" s="2" t="s">
        <v>1428</v>
      </c>
      <c r="M1207" s="2" t="s">
        <v>7130</v>
      </c>
      <c r="N1207" s="4">
        <v>46223.1297337963</v>
      </c>
      <c r="O1207" s="3" t="b">
        <f>L1207 = "PASS"</f>
        <v>1</v>
      </c>
      <c r="P1207" s="3" t="b">
        <f>L1207 = "FAIL"</f>
        <v>0</v>
      </c>
      <c r="Q1207" s="3" t="b">
        <f>AND(P1207, K1207)</f>
        <v>0</v>
      </c>
      <c r="R1207" s="3" t="str">
        <f>IF(O1207, I1207, "")</f>
        <v>suite-integrity</v>
      </c>
      <c r="S1207" s="3" t="str">
        <f>IF(Q1207, I1207, "")</f>
      </c>
      <c r="T1207" s="2" t="s">
        <v>5935</v>
      </c>
    </row>
    <row r="1208">
      <c r="A1208" s="2" t="s">
        <v>7449</v>
      </c>
      <c r="B1208" s="3" t="str">
        <f>C1208 &amp; ": " &amp; D1208</f>
        <v>fk-resolves: AgentDecisionRecords.DecidingAgent -&gt; Agents</v>
      </c>
      <c r="C1208" s="2" t="s">
        <v>7127</v>
      </c>
      <c r="D1208" s="2" t="s">
        <v>7450</v>
      </c>
      <c r="E1208" s="2" t="s">
        <v>4928</v>
      </c>
      <c r="F1208" s="2" t="s">
        <v>4934</v>
      </c>
      <c r="G1208" s="2" t="s">
        <v>7135</v>
      </c>
      <c r="H1208" s="2"/>
      <c r="I1208" s="2" t="s">
        <v>5922</v>
      </c>
      <c r="J1208" s="2" t="s">
        <v>5933</v>
      </c>
      <c r="K1208" s="3" t="b">
        <f>J1208 = "blocking"</f>
        <v>1</v>
      </c>
      <c r="L1208" s="2" t="s">
        <v>1428</v>
      </c>
      <c r="M1208" s="2" t="s">
        <v>7130</v>
      </c>
      <c r="N1208" s="4">
        <v>46223.1297337963</v>
      </c>
      <c r="O1208" s="3" t="b">
        <f>L1208 = "PASS"</f>
        <v>1</v>
      </c>
      <c r="P1208" s="3" t="b">
        <f>L1208 = "FAIL"</f>
        <v>0</v>
      </c>
      <c r="Q1208" s="3" t="b">
        <f>AND(P1208, K1208)</f>
        <v>0</v>
      </c>
      <c r="R1208" s="3" t="str">
        <f>IF(O1208, I1208, "")</f>
        <v>suite-integrity</v>
      </c>
      <c r="S1208" s="3" t="str">
        <f>IF(Q1208, I1208, "")</f>
      </c>
      <c r="T1208" s="2" t="s">
        <v>5935</v>
      </c>
    </row>
    <row r="1209">
      <c r="A1209" s="2" t="s">
        <v>7451</v>
      </c>
      <c r="B1209" s="3" t="str">
        <f>C1209 &amp; ": " &amp; D1209</f>
        <v>fk-resolves: AgentDecisionRecords.ReviewedByAgent -&gt; Agents</v>
      </c>
      <c r="C1209" s="2" t="s">
        <v>7127</v>
      </c>
      <c r="D1209" s="2" t="s">
        <v>7452</v>
      </c>
      <c r="E1209" s="2" t="s">
        <v>4928</v>
      </c>
      <c r="F1209" s="2" t="s">
        <v>1614</v>
      </c>
      <c r="G1209" s="2" t="s">
        <v>7135</v>
      </c>
      <c r="H1209" s="2"/>
      <c r="I1209" s="2" t="s">
        <v>5922</v>
      </c>
      <c r="J1209" s="2" t="s">
        <v>5933</v>
      </c>
      <c r="K1209" s="3" t="b">
        <f>J1209 = "blocking"</f>
        <v>1</v>
      </c>
      <c r="L1209" s="2" t="s">
        <v>1428</v>
      </c>
      <c r="M1209" s="2" t="s">
        <v>7130</v>
      </c>
      <c r="N1209" s="4">
        <v>46223.1297337963</v>
      </c>
      <c r="O1209" s="3" t="b">
        <f>L1209 = "PASS"</f>
        <v>1</v>
      </c>
      <c r="P1209" s="3" t="b">
        <f>L1209 = "FAIL"</f>
        <v>0</v>
      </c>
      <c r="Q1209" s="3" t="b">
        <f>AND(P1209, K1209)</f>
        <v>0</v>
      </c>
      <c r="R1209" s="3" t="str">
        <f>IF(O1209, I1209, "")</f>
        <v>suite-integrity</v>
      </c>
      <c r="S1209" s="3" t="str">
        <f>IF(Q1209, I1209, "")</f>
      </c>
      <c r="T1209" s="2" t="s">
        <v>5935</v>
      </c>
    </row>
    <row r="1210">
      <c r="A1210" s="2" t="s">
        <v>7453</v>
      </c>
      <c r="B1210" s="3" t="str">
        <f>C1210 &amp; ": " &amp; D1210</f>
        <v>fk-resolves: AgentDecisionRecords.UnderRoleAssignment -&gt; RoleAssignments</v>
      </c>
      <c r="C1210" s="2" t="s">
        <v>7127</v>
      </c>
      <c r="D1210" s="2" t="s">
        <v>7454</v>
      </c>
      <c r="E1210" s="2" t="s">
        <v>4928</v>
      </c>
      <c r="F1210" s="2" t="s">
        <v>4959</v>
      </c>
      <c r="G1210" s="2" t="s">
        <v>7146</v>
      </c>
      <c r="H1210" s="2"/>
      <c r="I1210" s="2" t="s">
        <v>5922</v>
      </c>
      <c r="J1210" s="2" t="s">
        <v>5933</v>
      </c>
      <c r="K1210" s="3" t="b">
        <f>J1210 = "blocking"</f>
        <v>1</v>
      </c>
      <c r="L1210" s="2" t="s">
        <v>1428</v>
      </c>
      <c r="M1210" s="2" t="s">
        <v>7130</v>
      </c>
      <c r="N1210" s="4">
        <v>46223.1297337963</v>
      </c>
      <c r="O1210" s="3" t="b">
        <f>L1210 = "PASS"</f>
        <v>1</v>
      </c>
      <c r="P1210" s="3" t="b">
        <f>L1210 = "FAIL"</f>
        <v>0</v>
      </c>
      <c r="Q1210" s="3" t="b">
        <f>AND(P1210, K1210)</f>
        <v>0</v>
      </c>
      <c r="R1210" s="3" t="str">
        <f>IF(O1210, I1210, "")</f>
        <v>suite-integrity</v>
      </c>
      <c r="S1210" s="3" t="str">
        <f>IF(Q1210, I1210, "")</f>
      </c>
      <c r="T1210" s="2" t="s">
        <v>5935</v>
      </c>
    </row>
    <row r="1211">
      <c r="A1211" s="2" t="s">
        <v>7455</v>
      </c>
      <c r="B1211" s="3" t="str">
        <f>C1211 &amp; ": " &amp; D1211</f>
        <v>fk-resolves: DeliveredCommunications.ProcedureExecution -&gt; ProcedureExecutions</v>
      </c>
      <c r="C1211" s="2" t="s">
        <v>7127</v>
      </c>
      <c r="D1211" s="2" t="s">
        <v>7456</v>
      </c>
      <c r="E1211" s="2" t="s">
        <v>5029</v>
      </c>
      <c r="F1211" s="2" t="s">
        <v>1329</v>
      </c>
      <c r="G1211" s="2" t="s">
        <v>7285</v>
      </c>
      <c r="H1211" s="2"/>
      <c r="I1211" s="2" t="s">
        <v>5922</v>
      </c>
      <c r="J1211" s="2" t="s">
        <v>5933</v>
      </c>
      <c r="K1211" s="3" t="b">
        <f>J1211 = "blocking"</f>
        <v>1</v>
      </c>
      <c r="L1211" s="2" t="s">
        <v>1428</v>
      </c>
      <c r="M1211" s="2" t="s">
        <v>7130</v>
      </c>
      <c r="N1211" s="4">
        <v>46223.1297337963</v>
      </c>
      <c r="O1211" s="3" t="b">
        <f>L1211 = "PASS"</f>
        <v>1</v>
      </c>
      <c r="P1211" s="3" t="b">
        <f>L1211 = "FAIL"</f>
        <v>0</v>
      </c>
      <c r="Q1211" s="3" t="b">
        <f>AND(P1211, K1211)</f>
        <v>0</v>
      </c>
      <c r="R1211" s="3" t="str">
        <f>IF(O1211, I1211, "")</f>
        <v>suite-integrity</v>
      </c>
      <c r="S1211" s="3" t="str">
        <f>IF(Q1211, I1211, "")</f>
      </c>
      <c r="T1211" s="2" t="s">
        <v>5935</v>
      </c>
    </row>
    <row r="1212">
      <c r="A1212" s="2" t="s">
        <v>7457</v>
      </c>
      <c r="B1212" s="3" t="str">
        <f>C1212 &amp; ": " &amp; D1212</f>
        <v>fk-resolves: DeliveredCommunications.SendingStepExecution -&gt; StepExecutions</v>
      </c>
      <c r="C1212" s="2" t="s">
        <v>7127</v>
      </c>
      <c r="D1212" s="2" t="s">
        <v>7458</v>
      </c>
      <c r="E1212" s="2" t="s">
        <v>5029</v>
      </c>
      <c r="F1212" s="2" t="s">
        <v>5035</v>
      </c>
      <c r="G1212" s="2" t="s">
        <v>7292</v>
      </c>
      <c r="H1212" s="2"/>
      <c r="I1212" s="2" t="s">
        <v>5922</v>
      </c>
      <c r="J1212" s="2" t="s">
        <v>5933</v>
      </c>
      <c r="K1212" s="3" t="b">
        <f>J1212 = "blocking"</f>
        <v>1</v>
      </c>
      <c r="L1212" s="2" t="s">
        <v>1428</v>
      </c>
      <c r="M1212" s="2" t="s">
        <v>7130</v>
      </c>
      <c r="N1212" s="4">
        <v>46223.1297337963</v>
      </c>
      <c r="O1212" s="3" t="b">
        <f>L1212 = "PASS"</f>
        <v>1</v>
      </c>
      <c r="P1212" s="3" t="b">
        <f>L1212 = "FAIL"</f>
        <v>0</v>
      </c>
      <c r="Q1212" s="3" t="b">
        <f>AND(P1212, K1212)</f>
        <v>0</v>
      </c>
      <c r="R1212" s="3" t="str">
        <f>IF(O1212, I1212, "")</f>
        <v>suite-integrity</v>
      </c>
      <c r="S1212" s="3" t="str">
        <f>IF(Q1212, I1212, "")</f>
      </c>
      <c r="T1212" s="2" t="s">
        <v>5935</v>
      </c>
    </row>
    <row r="1213">
      <c r="A1213" s="2" t="s">
        <v>7459</v>
      </c>
      <c r="B1213" s="3" t="str">
        <f>C1213 &amp; ": " &amp; D1213</f>
        <v>fk-resolves: DeliveredCommunications.AuthorizingStepExecution -&gt; StepExecutions</v>
      </c>
      <c r="C1213" s="2" t="s">
        <v>7127</v>
      </c>
      <c r="D1213" s="2" t="s">
        <v>7460</v>
      </c>
      <c r="E1213" s="2" t="s">
        <v>5029</v>
      </c>
      <c r="F1213" s="2" t="s">
        <v>5037</v>
      </c>
      <c r="G1213" s="2" t="s">
        <v>7292</v>
      </c>
      <c r="H1213" s="2"/>
      <c r="I1213" s="2" t="s">
        <v>5922</v>
      </c>
      <c r="J1213" s="2" t="s">
        <v>5933</v>
      </c>
      <c r="K1213" s="3" t="b">
        <f>J1213 = "blocking"</f>
        <v>1</v>
      </c>
      <c r="L1213" s="2" t="s">
        <v>1428</v>
      </c>
      <c r="M1213" s="2" t="s">
        <v>7130</v>
      </c>
      <c r="N1213" s="4">
        <v>46223.1297337963</v>
      </c>
      <c r="O1213" s="3" t="b">
        <f>L1213 = "PASS"</f>
        <v>1</v>
      </c>
      <c r="P1213" s="3" t="b">
        <f>L1213 = "FAIL"</f>
        <v>0</v>
      </c>
      <c r="Q1213" s="3" t="b">
        <f>AND(P1213, K1213)</f>
        <v>0</v>
      </c>
      <c r="R1213" s="3" t="str">
        <f>IF(O1213, I1213, "")</f>
        <v>suite-integrity</v>
      </c>
      <c r="S1213" s="3" t="str">
        <f>IF(Q1213, I1213, "")</f>
      </c>
      <c r="T1213" s="2" t="s">
        <v>5935</v>
      </c>
    </row>
    <row r="1214">
      <c r="A1214" s="2" t="s">
        <v>7461</v>
      </c>
      <c r="B1214" s="3" t="str">
        <f>C1214 &amp; ": " &amp; D1214</f>
        <v>fk-resolves: DeliveredCommunications.MessageTemplate -&gt; MessageTemplates</v>
      </c>
      <c r="C1214" s="2" t="s">
        <v>7127</v>
      </c>
      <c r="D1214" s="2" t="s">
        <v>7462</v>
      </c>
      <c r="E1214" s="2" t="s">
        <v>5029</v>
      </c>
      <c r="F1214" s="2" t="s">
        <v>4387</v>
      </c>
      <c r="G1214" s="2" t="s">
        <v>7419</v>
      </c>
      <c r="H1214" s="2"/>
      <c r="I1214" s="2" t="s">
        <v>5922</v>
      </c>
      <c r="J1214" s="2" t="s">
        <v>5933</v>
      </c>
      <c r="K1214" s="3" t="b">
        <f>J1214 = "blocking"</f>
        <v>1</v>
      </c>
      <c r="L1214" s="2" t="s">
        <v>1428</v>
      </c>
      <c r="M1214" s="2" t="s">
        <v>7130</v>
      </c>
      <c r="N1214" s="4">
        <v>46223.1297337963</v>
      </c>
      <c r="O1214" s="3" t="b">
        <f>L1214 = "PASS"</f>
        <v>1</v>
      </c>
      <c r="P1214" s="3" t="b">
        <f>L1214 = "FAIL"</f>
        <v>0</v>
      </c>
      <c r="Q1214" s="3" t="b">
        <f>AND(P1214, K1214)</f>
        <v>0</v>
      </c>
      <c r="R1214" s="3" t="str">
        <f>IF(O1214, I1214, "")</f>
        <v>suite-integrity</v>
      </c>
      <c r="S1214" s="3" t="str">
        <f>IF(Q1214, I1214, "")</f>
      </c>
      <c r="T1214" s="2" t="s">
        <v>5935</v>
      </c>
    </row>
    <row r="1215">
      <c r="A1215" s="2" t="s">
        <v>7463</v>
      </c>
      <c r="B1215" s="3" t="str">
        <f>C1215 &amp; ": " &amp; D1215</f>
        <v>fk-resolves: AuthorityBoundaries.Step -&gt; Steps</v>
      </c>
      <c r="C1215" s="2" t="s">
        <v>7127</v>
      </c>
      <c r="D1215" s="2" t="s">
        <v>7464</v>
      </c>
      <c r="E1215" s="2" t="s">
        <v>5065</v>
      </c>
      <c r="F1215" s="2" t="s">
        <v>747</v>
      </c>
      <c r="G1215" s="2" t="s">
        <v>7196</v>
      </c>
      <c r="H1215" s="2"/>
      <c r="I1215" s="2" t="s">
        <v>5922</v>
      </c>
      <c r="J1215" s="2" t="s">
        <v>5933</v>
      </c>
      <c r="K1215" s="3" t="b">
        <f>J1215 = "blocking"</f>
        <v>1</v>
      </c>
      <c r="L1215" s="2" t="s">
        <v>1428</v>
      </c>
      <c r="M1215" s="2" t="s">
        <v>7130</v>
      </c>
      <c r="N1215" s="4">
        <v>46223.1297337963</v>
      </c>
      <c r="O1215" s="3" t="b">
        <f>L1215 = "PASS"</f>
        <v>1</v>
      </c>
      <c r="P1215" s="3" t="b">
        <f>L1215 = "FAIL"</f>
        <v>0</v>
      </c>
      <c r="Q1215" s="3" t="b">
        <f>AND(P1215, K1215)</f>
        <v>0</v>
      </c>
      <c r="R1215" s="3" t="str">
        <f>IF(O1215, I1215, "")</f>
        <v>suite-integrity</v>
      </c>
      <c r="S1215" s="3" t="str">
        <f>IF(Q1215, I1215, "")</f>
      </c>
      <c r="T1215" s="2" t="s">
        <v>5935</v>
      </c>
    </row>
    <row r="1216">
      <c r="A1216" s="2" t="s">
        <v>7465</v>
      </c>
      <c r="B1216" s="3" t="str">
        <f>C1216 &amp; ": " &amp; D1216</f>
        <v>fk-resolves: AuthorityBoundaries.RatifiedByKnowledgeFragment -&gt; KnowledgeFragments</v>
      </c>
      <c r="C1216" s="2" t="s">
        <v>7127</v>
      </c>
      <c r="D1216" s="2" t="s">
        <v>7466</v>
      </c>
      <c r="E1216" s="2" t="s">
        <v>5065</v>
      </c>
      <c r="F1216" s="2" t="s">
        <v>5075</v>
      </c>
      <c r="G1216" s="2" t="s">
        <v>7467</v>
      </c>
      <c r="H1216" s="2"/>
      <c r="I1216" s="2" t="s">
        <v>5922</v>
      </c>
      <c r="J1216" s="2" t="s">
        <v>5933</v>
      </c>
      <c r="K1216" s="3" t="b">
        <f>J1216 = "blocking"</f>
        <v>1</v>
      </c>
      <c r="L1216" s="2" t="s">
        <v>1428</v>
      </c>
      <c r="M1216" s="2" t="s">
        <v>7130</v>
      </c>
      <c r="N1216" s="4">
        <v>46223.1297337963</v>
      </c>
      <c r="O1216" s="3" t="b">
        <f>L1216 = "PASS"</f>
        <v>1</v>
      </c>
      <c r="P1216" s="3" t="b">
        <f>L1216 = "FAIL"</f>
        <v>0</v>
      </c>
      <c r="Q1216" s="3" t="b">
        <f>AND(P1216, K1216)</f>
        <v>0</v>
      </c>
      <c r="R1216" s="3" t="str">
        <f>IF(O1216, I1216, "")</f>
        <v>suite-integrity</v>
      </c>
      <c r="S1216" s="3" t="str">
        <f>IF(Q1216, I1216, "")</f>
      </c>
      <c r="T1216" s="2" t="s">
        <v>5935</v>
      </c>
    </row>
    <row r="1217">
      <c r="A1217" s="2" t="s">
        <v>7468</v>
      </c>
      <c r="B1217" s="3" t="str">
        <f>C1217 &amp; ": " &amp; D1217</f>
        <v>fk-resolves: AuthorityBoundaries.EnforcingRequirement -&gt; Requirements</v>
      </c>
      <c r="C1217" s="2" t="s">
        <v>7127</v>
      </c>
      <c r="D1217" s="2" t="s">
        <v>7469</v>
      </c>
      <c r="E1217" s="2" t="s">
        <v>5065</v>
      </c>
      <c r="F1217" s="2" t="s">
        <v>5077</v>
      </c>
      <c r="G1217" s="2" t="s">
        <v>7220</v>
      </c>
      <c r="H1217" s="2"/>
      <c r="I1217" s="2" t="s">
        <v>5922</v>
      </c>
      <c r="J1217" s="2" t="s">
        <v>5933</v>
      </c>
      <c r="K1217" s="3" t="b">
        <f>J1217 = "blocking"</f>
        <v>1</v>
      </c>
      <c r="L1217" s="2" t="s">
        <v>1428</v>
      </c>
      <c r="M1217" s="2" t="s">
        <v>7130</v>
      </c>
      <c r="N1217" s="4">
        <v>46223.1297337963</v>
      </c>
      <c r="O1217" s="3" t="b">
        <f>L1217 = "PASS"</f>
        <v>1</v>
      </c>
      <c r="P1217" s="3" t="b">
        <f>L1217 = "FAIL"</f>
        <v>0</v>
      </c>
      <c r="Q1217" s="3" t="b">
        <f>AND(P1217, K1217)</f>
        <v>0</v>
      </c>
      <c r="R1217" s="3" t="str">
        <f>IF(O1217, I1217, "")</f>
        <v>suite-integrity</v>
      </c>
      <c r="S1217" s="3" t="str">
        <f>IF(Q1217, I1217, "")</f>
      </c>
      <c r="T1217" s="2" t="s">
        <v>5935</v>
      </c>
    </row>
    <row r="1218">
      <c r="A1218" s="2" t="s">
        <v>7470</v>
      </c>
      <c r="B1218" s="3" t="str">
        <f>C1218 &amp; ": " &amp; D1218</f>
        <v>fk-resolves: AuthorityBoundaries.AuthorityRole -&gt; Roles</v>
      </c>
      <c r="C1218" s="2" t="s">
        <v>7127</v>
      </c>
      <c r="D1218" s="2" t="s">
        <v>7471</v>
      </c>
      <c r="E1218" s="2" t="s">
        <v>5065</v>
      </c>
      <c r="F1218" s="2" t="s">
        <v>966</v>
      </c>
      <c r="G1218" s="2" t="s">
        <v>7138</v>
      </c>
      <c r="H1218" s="2"/>
      <c r="I1218" s="2" t="s">
        <v>5922</v>
      </c>
      <c r="J1218" s="2" t="s">
        <v>5933</v>
      </c>
      <c r="K1218" s="3" t="b">
        <f>J1218 = "blocking"</f>
        <v>1</v>
      </c>
      <c r="L1218" s="2" t="s">
        <v>1428</v>
      </c>
      <c r="M1218" s="2" t="s">
        <v>7130</v>
      </c>
      <c r="N1218" s="4">
        <v>46223.1297337963</v>
      </c>
      <c r="O1218" s="3" t="b">
        <f>L1218 = "PASS"</f>
        <v>1</v>
      </c>
      <c r="P1218" s="3" t="b">
        <f>L1218 = "FAIL"</f>
        <v>0</v>
      </c>
      <c r="Q1218" s="3" t="b">
        <f>AND(P1218, K1218)</f>
        <v>0</v>
      </c>
      <c r="R1218" s="3" t="str">
        <f>IF(O1218, I1218, "")</f>
        <v>suite-integrity</v>
      </c>
      <c r="S1218" s="3" t="str">
        <f>IF(Q1218, I1218, "")</f>
      </c>
      <c r="T1218" s="2" t="s">
        <v>5935</v>
      </c>
    </row>
    <row r="1219">
      <c r="A1219" s="2" t="s">
        <v>7472</v>
      </c>
      <c r="B1219" s="3" t="str">
        <f>C1219 &amp; ": " &amp; D1219</f>
        <v>fk-resolves: AuthorityBoundaries.EvaluationContext -&gt; EvaluationContexts</v>
      </c>
      <c r="C1219" s="2" t="s">
        <v>7127</v>
      </c>
      <c r="D1219" s="2" t="s">
        <v>7473</v>
      </c>
      <c r="E1219" s="2" t="s">
        <v>5065</v>
      </c>
      <c r="F1219" s="2" t="s">
        <v>258</v>
      </c>
      <c r="G1219" s="2" t="s">
        <v>7143</v>
      </c>
      <c r="H1219" s="2"/>
      <c r="I1219" s="2" t="s">
        <v>5922</v>
      </c>
      <c r="J1219" s="2" t="s">
        <v>5933</v>
      </c>
      <c r="K1219" s="3" t="b">
        <f>J1219 = "blocking"</f>
        <v>1</v>
      </c>
      <c r="L1219" s="2" t="s">
        <v>1428</v>
      </c>
      <c r="M1219" s="2" t="s">
        <v>7130</v>
      </c>
      <c r="N1219" s="4">
        <v>46223.1297337963</v>
      </c>
      <c r="O1219" s="3" t="b">
        <f>L1219 = "PASS"</f>
        <v>1</v>
      </c>
      <c r="P1219" s="3" t="b">
        <f>L1219 = "FAIL"</f>
        <v>0</v>
      </c>
      <c r="Q1219" s="3" t="b">
        <f>AND(P1219, K1219)</f>
        <v>0</v>
      </c>
      <c r="R1219" s="3" t="str">
        <f>IF(O1219, I1219, "")</f>
        <v>suite-integrity</v>
      </c>
      <c r="S1219" s="3" t="str">
        <f>IF(Q1219, I1219, "")</f>
      </c>
      <c r="T1219" s="2" t="s">
        <v>5935</v>
      </c>
    </row>
    <row r="1220">
      <c r="A1220" s="2" t="s">
        <v>7474</v>
      </c>
      <c r="B1220" s="3" t="str">
        <f>C1220 &amp; ": " &amp; D1220</f>
        <v>fk-resolves: BindingObservations.StepExecution -&gt; StepExecutions</v>
      </c>
      <c r="C1220" s="2" t="s">
        <v>7127</v>
      </c>
      <c r="D1220" s="2" t="s">
        <v>7475</v>
      </c>
      <c r="E1220" s="2" t="s">
        <v>5142</v>
      </c>
      <c r="F1220" s="2" t="s">
        <v>1447</v>
      </c>
      <c r="G1220" s="2" t="s">
        <v>7292</v>
      </c>
      <c r="H1220" s="2"/>
      <c r="I1220" s="2" t="s">
        <v>5922</v>
      </c>
      <c r="J1220" s="2" t="s">
        <v>5933</v>
      </c>
      <c r="K1220" s="3" t="b">
        <f>J1220 = "blocking"</f>
        <v>1</v>
      </c>
      <c r="L1220" s="2" t="s">
        <v>1428</v>
      </c>
      <c r="M1220" s="2" t="s">
        <v>7130</v>
      </c>
      <c r="N1220" s="4">
        <v>46223.1297337963</v>
      </c>
      <c r="O1220" s="3" t="b">
        <f>L1220 = "PASS"</f>
        <v>1</v>
      </c>
      <c r="P1220" s="3" t="b">
        <f>L1220 = "FAIL"</f>
        <v>0</v>
      </c>
      <c r="Q1220" s="3" t="b">
        <f>AND(P1220, K1220)</f>
        <v>0</v>
      </c>
      <c r="R1220" s="3" t="str">
        <f>IF(O1220, I1220, "")</f>
        <v>suite-integrity</v>
      </c>
      <c r="S1220" s="3" t="str">
        <f>IF(Q1220, I1220, "")</f>
      </c>
      <c r="T1220" s="2" t="s">
        <v>5935</v>
      </c>
    </row>
    <row r="1221">
      <c r="A1221" s="2" t="s">
        <v>7476</v>
      </c>
      <c r="B1221" s="3" t="str">
        <f>C1221 &amp; ": " &amp; D1221</f>
        <v>fk-resolves: BindingObservations.OperationalBinding -&gt; OperationalBindings</v>
      </c>
      <c r="C1221" s="2" t="s">
        <v>7127</v>
      </c>
      <c r="D1221" s="2" t="s">
        <v>7477</v>
      </c>
      <c r="E1221" s="2" t="s">
        <v>5142</v>
      </c>
      <c r="F1221" s="2" t="s">
        <v>5148</v>
      </c>
      <c r="G1221" s="2" t="s">
        <v>7409</v>
      </c>
      <c r="H1221" s="2"/>
      <c r="I1221" s="2" t="s">
        <v>5922</v>
      </c>
      <c r="J1221" s="2" t="s">
        <v>5933</v>
      </c>
      <c r="K1221" s="3" t="b">
        <f>J1221 = "blocking"</f>
        <v>1</v>
      </c>
      <c r="L1221" s="2" t="s">
        <v>1428</v>
      </c>
      <c r="M1221" s="2" t="s">
        <v>7130</v>
      </c>
      <c r="N1221" s="4">
        <v>46223.1297337963</v>
      </c>
      <c r="O1221" s="3" t="b">
        <f>L1221 = "PASS"</f>
        <v>1</v>
      </c>
      <c r="P1221" s="3" t="b">
        <f>L1221 = "FAIL"</f>
        <v>0</v>
      </c>
      <c r="Q1221" s="3" t="b">
        <f>AND(P1221, K1221)</f>
        <v>0</v>
      </c>
      <c r="R1221" s="3" t="str">
        <f>IF(O1221, I1221, "")</f>
        <v>suite-integrity</v>
      </c>
      <c r="S1221" s="3" t="str">
        <f>IF(Q1221, I1221, "")</f>
      </c>
      <c r="T1221" s="2" t="s">
        <v>5935</v>
      </c>
    </row>
    <row r="1222">
      <c r="A1222" s="2" t="s">
        <v>7478</v>
      </c>
      <c r="B1222" s="3" t="str">
        <f>C1222 &amp; ": " &amp; D1222</f>
        <v>fk-resolves: Attestations.ProcedureExecution -&gt; ProcedureExecutions</v>
      </c>
      <c r="C1222" s="2" t="s">
        <v>7127</v>
      </c>
      <c r="D1222" s="2" t="s">
        <v>7479</v>
      </c>
      <c r="E1222" s="2" t="s">
        <v>5169</v>
      </c>
      <c r="F1222" s="2" t="s">
        <v>1329</v>
      </c>
      <c r="G1222" s="2" t="s">
        <v>7285</v>
      </c>
      <c r="H1222" s="2"/>
      <c r="I1222" s="2" t="s">
        <v>5922</v>
      </c>
      <c r="J1222" s="2" t="s">
        <v>5933</v>
      </c>
      <c r="K1222" s="3" t="b">
        <f>J1222 = "blocking"</f>
        <v>1</v>
      </c>
      <c r="L1222" s="2" t="s">
        <v>1428</v>
      </c>
      <c r="M1222" s="2" t="s">
        <v>7130</v>
      </c>
      <c r="N1222" s="4">
        <v>46223.1297337963</v>
      </c>
      <c r="O1222" s="3" t="b">
        <f>L1222 = "PASS"</f>
        <v>1</v>
      </c>
      <c r="P1222" s="3" t="b">
        <f>L1222 = "FAIL"</f>
        <v>0</v>
      </c>
      <c r="Q1222" s="3" t="b">
        <f>AND(P1222, K1222)</f>
        <v>0</v>
      </c>
      <c r="R1222" s="3" t="str">
        <f>IF(O1222, I1222, "")</f>
        <v>suite-integrity</v>
      </c>
      <c r="S1222" s="3" t="str">
        <f>IF(Q1222, I1222, "")</f>
      </c>
      <c r="T1222" s="2" t="s">
        <v>5935</v>
      </c>
    </row>
    <row r="1223">
      <c r="A1223" s="2" t="s">
        <v>7480</v>
      </c>
      <c r="B1223" s="3" t="str">
        <f>C1223 &amp; ": " &amp; D1223</f>
        <v>fk-resolves: Attestations.SignedByAgent -&gt; Agents</v>
      </c>
      <c r="C1223" s="2" t="s">
        <v>7127</v>
      </c>
      <c r="D1223" s="2" t="s">
        <v>7481</v>
      </c>
      <c r="E1223" s="2" t="s">
        <v>5169</v>
      </c>
      <c r="F1223" s="2" t="s">
        <v>5175</v>
      </c>
      <c r="G1223" s="2" t="s">
        <v>7135</v>
      </c>
      <c r="H1223" s="2"/>
      <c r="I1223" s="2" t="s">
        <v>5922</v>
      </c>
      <c r="J1223" s="2" t="s">
        <v>5933</v>
      </c>
      <c r="K1223" s="3" t="b">
        <f>J1223 = "blocking"</f>
        <v>1</v>
      </c>
      <c r="L1223" s="2" t="s">
        <v>1428</v>
      </c>
      <c r="M1223" s="2" t="s">
        <v>7130</v>
      </c>
      <c r="N1223" s="4">
        <v>46223.1297337963</v>
      </c>
      <c r="O1223" s="3" t="b">
        <f>L1223 = "PASS"</f>
        <v>1</v>
      </c>
      <c r="P1223" s="3" t="b">
        <f>L1223 = "FAIL"</f>
        <v>0</v>
      </c>
      <c r="Q1223" s="3" t="b">
        <f>AND(P1223, K1223)</f>
        <v>0</v>
      </c>
      <c r="R1223" s="3" t="str">
        <f>IF(O1223, I1223, "")</f>
        <v>suite-integrity</v>
      </c>
      <c r="S1223" s="3" t="str">
        <f>IF(Q1223, I1223, "")</f>
      </c>
      <c r="T1223" s="2" t="s">
        <v>5935</v>
      </c>
    </row>
    <row r="1224">
      <c r="A1224" s="2" t="s">
        <v>7482</v>
      </c>
      <c r="B1224" s="3" t="str">
        <f>C1224 &amp; ": " &amp; D1224</f>
        <v>witness-discriminates: Agents.IsStillEngaged</v>
      </c>
      <c r="C1224" s="2" t="s">
        <v>7483</v>
      </c>
      <c r="D1224" s="2" t="s">
        <v>2441</v>
      </c>
      <c r="E1224" s="2" t="s">
        <v>1794</v>
      </c>
      <c r="F1224" s="2" t="s">
        <v>125</v>
      </c>
      <c r="G1224" s="2" t="s">
        <v>7484</v>
      </c>
      <c r="H1224" s="2" t="s">
        <v>2016</v>
      </c>
      <c r="I1224" s="2" t="s">
        <v>5924</v>
      </c>
      <c r="J1224" s="2" t="s">
        <v>7485</v>
      </c>
      <c r="K1224" s="3" t="b">
        <f>J1224 = "blocking"</f>
        <v>0</v>
      </c>
      <c r="L1224" s="2" t="s">
        <v>1431</v>
      </c>
      <c r="M1224" s="2" t="s">
        <v>7486</v>
      </c>
      <c r="N1224" s="4">
        <v>46223.1297337963</v>
      </c>
      <c r="O1224" s="3" t="b">
        <f>L1224 = "PASS"</f>
        <v>0</v>
      </c>
      <c r="P1224" s="3" t="b">
        <f>L1224 = "FAIL"</f>
        <v>0</v>
      </c>
      <c r="Q1224" s="3" t="b">
        <f>AND(P1224, K1224)</f>
        <v>0</v>
      </c>
      <c r="R1224" s="3" t="str">
        <f>IF(O1224, I1224, "")</f>
      </c>
      <c r="S1224" s="3" t="str">
        <f>IF(Q1224, I1224, "")</f>
      </c>
      <c r="T1224" s="2" t="s">
        <v>5935</v>
      </c>
    </row>
    <row r="1225">
      <c r="A1225" s="2" t="s">
        <v>7487</v>
      </c>
      <c r="B1225" s="3" t="str">
        <f>C1225 &amp; ": " &amp; D1225</f>
        <v>witness-discriminates: Agents.IsNonHuman</v>
      </c>
      <c r="C1225" s="2" t="s">
        <v>7483</v>
      </c>
      <c r="D1225" s="2" t="s">
        <v>2450</v>
      </c>
      <c r="E1225" s="2" t="s">
        <v>1794</v>
      </c>
      <c r="F1225" s="2" t="s">
        <v>129</v>
      </c>
      <c r="G1225" s="2" t="s">
        <v>7484</v>
      </c>
      <c r="H1225" s="2" t="s">
        <v>2112</v>
      </c>
      <c r="I1225" s="2" t="s">
        <v>5924</v>
      </c>
      <c r="J1225" s="2" t="s">
        <v>7485</v>
      </c>
      <c r="K1225" s="3" t="b">
        <f>J1225 = "blocking"</f>
        <v>0</v>
      </c>
      <c r="L1225" s="2" t="s">
        <v>1428</v>
      </c>
      <c r="M1225" s="2" t="s">
        <v>7488</v>
      </c>
      <c r="N1225" s="4">
        <v>46223.1297337963</v>
      </c>
      <c r="O1225" s="3" t="b">
        <f>L1225 = "PASS"</f>
        <v>1</v>
      </c>
      <c r="P1225" s="3" t="b">
        <f>L1225 = "FAIL"</f>
        <v>0</v>
      </c>
      <c r="Q1225" s="3" t="b">
        <f>AND(P1225, K1225)</f>
        <v>0</v>
      </c>
      <c r="R1225" s="3" t="str">
        <f>IF(O1225, I1225, "")</f>
        <v>suite-witness</v>
      </c>
      <c r="S1225" s="3" t="str">
        <f>IF(Q1225, I1225, "")</f>
      </c>
      <c r="T1225" s="2" t="s">
        <v>5935</v>
      </c>
    </row>
    <row r="1226">
      <c r="A1226" s="2" t="s">
        <v>7489</v>
      </c>
      <c r="B1226" s="3" t="str">
        <f>C1226 &amp; ": " &amp; D1226</f>
        <v>witness-discriminates: Agents.IsOperatingOutsideBoundary</v>
      </c>
      <c r="C1226" s="2" t="s">
        <v>7483</v>
      </c>
      <c r="D1226" s="2" t="s">
        <v>2454</v>
      </c>
      <c r="E1226" s="2" t="s">
        <v>1794</v>
      </c>
      <c r="F1226" s="2" t="s">
        <v>131</v>
      </c>
      <c r="G1226" s="2" t="s">
        <v>7484</v>
      </c>
      <c r="H1226" s="2" t="s">
        <v>2164</v>
      </c>
      <c r="I1226" s="2" t="s">
        <v>5924</v>
      </c>
      <c r="J1226" s="2" t="s">
        <v>7485</v>
      </c>
      <c r="K1226" s="3" t="b">
        <f>J1226 = "blocking"</f>
        <v>0</v>
      </c>
      <c r="L1226" s="2" t="s">
        <v>1431</v>
      </c>
      <c r="M1226" s="2" t="s">
        <v>7490</v>
      </c>
      <c r="N1226" s="4">
        <v>46223.1297337963</v>
      </c>
      <c r="O1226" s="3" t="b">
        <f>L1226 = "PASS"</f>
        <v>0</v>
      </c>
      <c r="P1226" s="3" t="b">
        <f>L1226 = "FAIL"</f>
        <v>0</v>
      </c>
      <c r="Q1226" s="3" t="b">
        <f>AND(P1226, K1226)</f>
        <v>0</v>
      </c>
      <c r="R1226" s="3" t="str">
        <f>IF(O1226, I1226, "")</f>
      </c>
      <c r="S1226" s="3" t="str">
        <f>IF(Q1226, I1226, "")</f>
      </c>
      <c r="T1226" s="2" t="s">
        <v>5935</v>
      </c>
    </row>
    <row r="1227">
      <c r="A1227" s="2" t="s">
        <v>7491</v>
      </c>
      <c r="B1227" s="3" t="str">
        <f>C1227 &amp; ": " &amp; D1227</f>
        <v>witness-discriminates: Roles.HasNoCurrentHolder</v>
      </c>
      <c r="C1227" s="2" t="s">
        <v>7483</v>
      </c>
      <c r="D1227" s="2" t="s">
        <v>2485</v>
      </c>
      <c r="E1227" s="2" t="s">
        <v>1798</v>
      </c>
      <c r="F1227" s="2" t="s">
        <v>189</v>
      </c>
      <c r="G1227" s="2" t="s">
        <v>7484</v>
      </c>
      <c r="H1227" s="2" t="s">
        <v>2096</v>
      </c>
      <c r="I1227" s="2" t="s">
        <v>5924</v>
      </c>
      <c r="J1227" s="2" t="s">
        <v>7485</v>
      </c>
      <c r="K1227" s="3" t="b">
        <f>J1227 = "blocking"</f>
        <v>0</v>
      </c>
      <c r="L1227" s="2" t="s">
        <v>1431</v>
      </c>
      <c r="M1227" s="2" t="s">
        <v>7492</v>
      </c>
      <c r="N1227" s="4">
        <v>46223.1297337963</v>
      </c>
      <c r="O1227" s="3" t="b">
        <f>L1227 = "PASS"</f>
        <v>0</v>
      </c>
      <c r="P1227" s="3" t="b">
        <f>L1227 = "FAIL"</f>
        <v>0</v>
      </c>
      <c r="Q1227" s="3" t="b">
        <f>AND(P1227, K1227)</f>
        <v>0</v>
      </c>
      <c r="R1227" s="3" t="str">
        <f>IF(O1227, I1227, "")</f>
      </c>
      <c r="S1227" s="3" t="str">
        <f>IF(Q1227, I1227, "")</f>
      </c>
      <c r="T1227" s="2" t="s">
        <v>5935</v>
      </c>
    </row>
    <row r="1228">
      <c r="A1228" s="2" t="s">
        <v>7493</v>
      </c>
      <c r="B1228" s="3" t="str">
        <f>C1228 &amp; ": " &amp; D1228</f>
        <v>witness-discriminates: Roles.IsNonHumanHeld</v>
      </c>
      <c r="C1228" s="2" t="s">
        <v>7483</v>
      </c>
      <c r="D1228" s="2" t="s">
        <v>2492</v>
      </c>
      <c r="E1228" s="2" t="s">
        <v>1798</v>
      </c>
      <c r="F1228" s="2" t="s">
        <v>193</v>
      </c>
      <c r="G1228" s="2" t="s">
        <v>7484</v>
      </c>
      <c r="H1228" s="2" t="s">
        <v>2156</v>
      </c>
      <c r="I1228" s="2" t="s">
        <v>5924</v>
      </c>
      <c r="J1228" s="2" t="s">
        <v>7485</v>
      </c>
      <c r="K1228" s="3" t="b">
        <f>J1228 = "blocking"</f>
        <v>0</v>
      </c>
      <c r="L1228" s="2" t="s">
        <v>1428</v>
      </c>
      <c r="M1228" s="2" t="s">
        <v>7494</v>
      </c>
      <c r="N1228" s="4">
        <v>46223.1297337963</v>
      </c>
      <c r="O1228" s="3" t="b">
        <f>L1228 = "PASS"</f>
        <v>1</v>
      </c>
      <c r="P1228" s="3" t="b">
        <f>L1228 = "FAIL"</f>
        <v>0</v>
      </c>
      <c r="Q1228" s="3" t="b">
        <f>AND(P1228, K1228)</f>
        <v>0</v>
      </c>
      <c r="R1228" s="3" t="str">
        <f>IF(O1228, I1228, "")</f>
        <v>suite-witness</v>
      </c>
      <c r="S1228" s="3" t="str">
        <f>IF(Q1228, I1228, "")</f>
      </c>
      <c r="T1228" s="2" t="s">
        <v>5935</v>
      </c>
    </row>
    <row r="1229">
      <c r="A1229" s="2" t="s">
        <v>7495</v>
      </c>
      <c r="B1229" s="3" t="str">
        <f>C1229 &amp; ": " &amp; D1229</f>
        <v>witness-discriminates: Roles.IsUngovernedNonHumanRole</v>
      </c>
      <c r="C1229" s="2" t="s">
        <v>7483</v>
      </c>
      <c r="D1229" s="2" t="s">
        <v>2494</v>
      </c>
      <c r="E1229" s="2" t="s">
        <v>1798</v>
      </c>
      <c r="F1229" s="2" t="s">
        <v>194</v>
      </c>
      <c r="G1229" s="2" t="s">
        <v>7484</v>
      </c>
      <c r="H1229" s="2" t="s">
        <v>2156</v>
      </c>
      <c r="I1229" s="2" t="s">
        <v>5924</v>
      </c>
      <c r="J1229" s="2" t="s">
        <v>7485</v>
      </c>
      <c r="K1229" s="3" t="b">
        <f>J1229 = "blocking"</f>
        <v>0</v>
      </c>
      <c r="L1229" s="2" t="s">
        <v>1431</v>
      </c>
      <c r="M1229" s="2" t="s">
        <v>7492</v>
      </c>
      <c r="N1229" s="4">
        <v>46223.1297337963</v>
      </c>
      <c r="O1229" s="3" t="b">
        <f>L1229 = "PASS"</f>
        <v>0</v>
      </c>
      <c r="P1229" s="3" t="b">
        <f>L1229 = "FAIL"</f>
        <v>0</v>
      </c>
      <c r="Q1229" s="3" t="b">
        <f>AND(P1229, K1229)</f>
        <v>0</v>
      </c>
      <c r="R1229" s="3" t="str">
        <f>IF(O1229, I1229, "")</f>
      </c>
      <c r="S1229" s="3" t="str">
        <f>IF(Q1229, I1229, "")</f>
      </c>
      <c r="T1229" s="2" t="s">
        <v>5935</v>
      </c>
    </row>
    <row r="1230">
      <c r="A1230" s="2" t="s">
        <v>7496</v>
      </c>
      <c r="B1230" s="3" t="str">
        <f>C1230 &amp; ": " &amp; D1230</f>
        <v>witness-discriminates: Roles.HasLostAHolder</v>
      </c>
      <c r="C1230" s="2" t="s">
        <v>7483</v>
      </c>
      <c r="D1230" s="2" t="s">
        <v>2498</v>
      </c>
      <c r="E1230" s="2" t="s">
        <v>1798</v>
      </c>
      <c r="F1230" s="2" t="s">
        <v>196</v>
      </c>
      <c r="G1230" s="2" t="s">
        <v>7484</v>
      </c>
      <c r="H1230" s="2" t="s">
        <v>2212</v>
      </c>
      <c r="I1230" s="2" t="s">
        <v>5924</v>
      </c>
      <c r="J1230" s="2" t="s">
        <v>7485</v>
      </c>
      <c r="K1230" s="3" t="b">
        <f>J1230 = "blocking"</f>
        <v>0</v>
      </c>
      <c r="L1230" s="2" t="s">
        <v>1428</v>
      </c>
      <c r="M1230" s="2" t="s">
        <v>7497</v>
      </c>
      <c r="N1230" s="4">
        <v>46223.1297337963</v>
      </c>
      <c r="O1230" s="3" t="b">
        <f>L1230 = "PASS"</f>
        <v>1</v>
      </c>
      <c r="P1230" s="3" t="b">
        <f>L1230 = "FAIL"</f>
        <v>0</v>
      </c>
      <c r="Q1230" s="3" t="b">
        <f>AND(P1230, K1230)</f>
        <v>0</v>
      </c>
      <c r="R1230" s="3" t="str">
        <f>IF(O1230, I1230, "")</f>
        <v>suite-witness</v>
      </c>
      <c r="S1230" s="3" t="str">
        <f>IF(Q1230, I1230, "")</f>
      </c>
      <c r="T1230" s="2" t="s">
        <v>5935</v>
      </c>
    </row>
    <row r="1231">
      <c r="A1231" s="2" t="s">
        <v>7498</v>
      </c>
      <c r="B1231" s="3" t="str">
        <f>C1231 &amp; ": " &amp; D1231</f>
        <v>witness-discriminates: Roles.IsVacatedRole</v>
      </c>
      <c r="C1231" s="2" t="s">
        <v>7483</v>
      </c>
      <c r="D1231" s="2" t="s">
        <v>2500</v>
      </c>
      <c r="E1231" s="2" t="s">
        <v>1798</v>
      </c>
      <c r="F1231" s="2" t="s">
        <v>197</v>
      </c>
      <c r="G1231" s="2" t="s">
        <v>7484</v>
      </c>
      <c r="H1231" s="2" t="s">
        <v>2212</v>
      </c>
      <c r="I1231" s="2" t="s">
        <v>5924</v>
      </c>
      <c r="J1231" s="2" t="s">
        <v>7485</v>
      </c>
      <c r="K1231" s="3" t="b">
        <f>J1231 = "blocking"</f>
        <v>0</v>
      </c>
      <c r="L1231" s="2" t="s">
        <v>1431</v>
      </c>
      <c r="M1231" s="2" t="s">
        <v>7492</v>
      </c>
      <c r="N1231" s="4">
        <v>46223.1297337963</v>
      </c>
      <c r="O1231" s="3" t="b">
        <f>L1231 = "PASS"</f>
        <v>0</v>
      </c>
      <c r="P1231" s="3" t="b">
        <f>L1231 = "FAIL"</f>
        <v>0</v>
      </c>
      <c r="Q1231" s="3" t="b">
        <f>AND(P1231, K1231)</f>
        <v>0</v>
      </c>
      <c r="R1231" s="3" t="str">
        <f>IF(O1231, I1231, "")</f>
      </c>
      <c r="S1231" s="3" t="str">
        <f>IF(Q1231, I1231, "")</f>
      </c>
      <c r="T1231" s="2" t="s">
        <v>5935</v>
      </c>
    </row>
    <row r="1232">
      <c r="A1232" s="2" t="s">
        <v>7499</v>
      </c>
      <c r="B1232" s="3" t="str">
        <f>C1232 &amp; ": " &amp; D1232</f>
        <v>witness-discriminates: Roles.IsGovernedByLapsedAuthority</v>
      </c>
      <c r="C1232" s="2" t="s">
        <v>7483</v>
      </c>
      <c r="D1232" s="2" t="s">
        <v>2504</v>
      </c>
      <c r="E1232" s="2" t="s">
        <v>1798</v>
      </c>
      <c r="F1232" s="2" t="s">
        <v>199</v>
      </c>
      <c r="G1232" s="2" t="s">
        <v>7484</v>
      </c>
      <c r="H1232" s="2" t="s">
        <v>2320</v>
      </c>
      <c r="I1232" s="2" t="s">
        <v>5924</v>
      </c>
      <c r="J1232" s="2" t="s">
        <v>7485</v>
      </c>
      <c r="K1232" s="3" t="b">
        <f>J1232 = "blocking"</f>
        <v>0</v>
      </c>
      <c r="L1232" s="2" t="s">
        <v>1431</v>
      </c>
      <c r="M1232" s="2" t="s">
        <v>7492</v>
      </c>
      <c r="N1232" s="4">
        <v>46223.1297337963</v>
      </c>
      <c r="O1232" s="3" t="b">
        <f>L1232 = "PASS"</f>
        <v>0</v>
      </c>
      <c r="P1232" s="3" t="b">
        <f>L1232 = "FAIL"</f>
        <v>0</v>
      </c>
      <c r="Q1232" s="3" t="b">
        <f>AND(P1232, K1232)</f>
        <v>0</v>
      </c>
      <c r="R1232" s="3" t="str">
        <f>IF(O1232, I1232, "")</f>
      </c>
      <c r="S1232" s="3" t="str">
        <f>IF(Q1232, I1232, "")</f>
      </c>
      <c r="T1232" s="2" t="s">
        <v>5935</v>
      </c>
    </row>
    <row r="1233">
      <c r="A1233" s="2" t="s">
        <v>7500</v>
      </c>
      <c r="B1233" s="3" t="str">
        <f>C1233 &amp; ": " &amp; D1233</f>
        <v>witness-discriminates: Roles.IsUngovernedEnforcementRole</v>
      </c>
      <c r="C1233" s="2" t="s">
        <v>7483</v>
      </c>
      <c r="D1233" s="2" t="s">
        <v>2510</v>
      </c>
      <c r="E1233" s="2" t="s">
        <v>1798</v>
      </c>
      <c r="F1233" s="2" t="s">
        <v>202</v>
      </c>
      <c r="G1233" s="2" t="s">
        <v>7484</v>
      </c>
      <c r="H1233" s="2" t="s">
        <v>2344</v>
      </c>
      <c r="I1233" s="2" t="s">
        <v>5924</v>
      </c>
      <c r="J1233" s="2" t="s">
        <v>7485</v>
      </c>
      <c r="K1233" s="3" t="b">
        <f>J1233 = "blocking"</f>
        <v>0</v>
      </c>
      <c r="L1233" s="2" t="s">
        <v>1428</v>
      </c>
      <c r="M1233" s="2" t="s">
        <v>7501</v>
      </c>
      <c r="N1233" s="4">
        <v>46223.1297337963</v>
      </c>
      <c r="O1233" s="3" t="b">
        <f>L1233 = "PASS"</f>
        <v>1</v>
      </c>
      <c r="P1233" s="3" t="b">
        <f>L1233 = "FAIL"</f>
        <v>0</v>
      </c>
      <c r="Q1233" s="3" t="b">
        <f>AND(P1233, K1233)</f>
        <v>0</v>
      </c>
      <c r="R1233" s="3" t="str">
        <f>IF(O1233, I1233, "")</f>
        <v>suite-witness</v>
      </c>
      <c r="S1233" s="3" t="str">
        <f>IF(Q1233, I1233, "")</f>
      </c>
      <c r="T1233" s="2" t="s">
        <v>5935</v>
      </c>
    </row>
    <row r="1234">
      <c r="A1234" s="2" t="s">
        <v>7502</v>
      </c>
      <c r="B1234" s="3" t="str">
        <f>C1234 &amp; ": " &amp; D1234</f>
        <v>witness-discriminates: RoleAssignments.IsCurrent</v>
      </c>
      <c r="C1234" s="2" t="s">
        <v>7483</v>
      </c>
      <c r="D1234" s="2" t="s">
        <v>2525</v>
      </c>
      <c r="E1234" s="2" t="s">
        <v>1801</v>
      </c>
      <c r="F1234" s="2" t="s">
        <v>10</v>
      </c>
      <c r="G1234" s="2" t="s">
        <v>7484</v>
      </c>
      <c r="H1234" s="2"/>
      <c r="I1234" s="2" t="s">
        <v>5924</v>
      </c>
      <c r="J1234" s="2" t="s">
        <v>7485</v>
      </c>
      <c r="K1234" s="3" t="b">
        <f>J1234 = "blocking"</f>
        <v>0</v>
      </c>
      <c r="L1234" s="2" t="s">
        <v>1428</v>
      </c>
      <c r="M1234" s="2" t="s">
        <v>7503</v>
      </c>
      <c r="N1234" s="4">
        <v>46223.1297337963</v>
      </c>
      <c r="O1234" s="3" t="b">
        <f>L1234 = "PASS"</f>
        <v>1</v>
      </c>
      <c r="P1234" s="3" t="b">
        <f>L1234 = "FAIL"</f>
        <v>0</v>
      </c>
      <c r="Q1234" s="3" t="b">
        <f>AND(P1234, K1234)</f>
        <v>0</v>
      </c>
      <c r="R1234" s="3" t="str">
        <f>IF(O1234, I1234, "")</f>
        <v>suite-witness</v>
      </c>
      <c r="S1234" s="3" t="str">
        <f>IF(Q1234, I1234, "")</f>
      </c>
      <c r="T1234" s="2" t="s">
        <v>5935</v>
      </c>
    </row>
    <row r="1235">
      <c r="A1235" s="2" t="s">
        <v>7504</v>
      </c>
      <c r="B1235" s="3" t="str">
        <f>C1235 &amp; ": " &amp; D1235</f>
        <v>witness-discriminates: RoleAssignments.IsCurrentlyValid</v>
      </c>
      <c r="C1235" s="2" t="s">
        <v>7483</v>
      </c>
      <c r="D1235" s="2" t="s">
        <v>2529</v>
      </c>
      <c r="E1235" s="2" t="s">
        <v>1801</v>
      </c>
      <c r="F1235" s="2" t="s">
        <v>260</v>
      </c>
      <c r="G1235" s="2" t="s">
        <v>7484</v>
      </c>
      <c r="H1235" s="2" t="s">
        <v>1960</v>
      </c>
      <c r="I1235" s="2" t="s">
        <v>5924</v>
      </c>
      <c r="J1235" s="2" t="s">
        <v>7485</v>
      </c>
      <c r="K1235" s="3" t="b">
        <f>J1235 = "blocking"</f>
        <v>0</v>
      </c>
      <c r="L1235" s="2" t="s">
        <v>1428</v>
      </c>
      <c r="M1235" s="2" t="s">
        <v>7503</v>
      </c>
      <c r="N1235" s="4">
        <v>46223.1297337963</v>
      </c>
      <c r="O1235" s="3" t="b">
        <f>L1235 = "PASS"</f>
        <v>1</v>
      </c>
      <c r="P1235" s="3" t="b">
        <f>L1235 = "FAIL"</f>
        <v>0</v>
      </c>
      <c r="Q1235" s="3" t="b">
        <f>AND(P1235, K1235)</f>
        <v>0</v>
      </c>
      <c r="R1235" s="3" t="str">
        <f>IF(O1235, I1235, "")</f>
        <v>suite-witness</v>
      </c>
      <c r="S1235" s="3" t="str">
        <f>IF(Q1235, I1235, "")</f>
      </c>
      <c r="T1235" s="2" t="s">
        <v>5935</v>
      </c>
    </row>
    <row r="1236">
      <c r="A1236" s="2" t="s">
        <v>7505</v>
      </c>
      <c r="B1236" s="3" t="str">
        <f>C1236 &amp; ": " &amp; D1236</f>
        <v>witness-discriminates: RoleAssignments.HasDeparted</v>
      </c>
      <c r="C1236" s="2" t="s">
        <v>7483</v>
      </c>
      <c r="D1236" s="2" t="s">
        <v>2533</v>
      </c>
      <c r="E1236" s="2" t="s">
        <v>1801</v>
      </c>
      <c r="F1236" s="2" t="s">
        <v>262</v>
      </c>
      <c r="G1236" s="2" t="s">
        <v>7484</v>
      </c>
      <c r="H1236" s="2" t="s">
        <v>2016</v>
      </c>
      <c r="I1236" s="2" t="s">
        <v>5924</v>
      </c>
      <c r="J1236" s="2" t="s">
        <v>7485</v>
      </c>
      <c r="K1236" s="3" t="b">
        <f>J1236 = "blocking"</f>
        <v>0</v>
      </c>
      <c r="L1236" s="2" t="s">
        <v>1428</v>
      </c>
      <c r="M1236" s="2" t="s">
        <v>7506</v>
      </c>
      <c r="N1236" s="4">
        <v>46223.1297337963</v>
      </c>
      <c r="O1236" s="3" t="b">
        <f>L1236 = "PASS"</f>
        <v>1</v>
      </c>
      <c r="P1236" s="3" t="b">
        <f>L1236 = "FAIL"</f>
        <v>0</v>
      </c>
      <c r="Q1236" s="3" t="b">
        <f>AND(P1236, K1236)</f>
        <v>0</v>
      </c>
      <c r="R1236" s="3" t="str">
        <f>IF(O1236, I1236, "")</f>
        <v>suite-witness</v>
      </c>
      <c r="S1236" s="3" t="str">
        <f>IF(Q1236, I1236, "")</f>
      </c>
      <c r="T1236" s="2" t="s">
        <v>5935</v>
      </c>
    </row>
    <row r="1237">
      <c r="A1237" s="2" t="s">
        <v>7507</v>
      </c>
      <c r="B1237" s="3" t="str">
        <f>C1237 &amp; ": " &amp; D1237</f>
        <v>witness-discriminates: RoleAssignments.CoversNow</v>
      </c>
      <c r="C1237" s="2" t="s">
        <v>7483</v>
      </c>
      <c r="D1237" s="2" t="s">
        <v>2535</v>
      </c>
      <c r="E1237" s="2" t="s">
        <v>1801</v>
      </c>
      <c r="F1237" s="2" t="s">
        <v>263</v>
      </c>
      <c r="G1237" s="2" t="s">
        <v>7484</v>
      </c>
      <c r="H1237" s="2" t="s">
        <v>2096</v>
      </c>
      <c r="I1237" s="2" t="s">
        <v>5924</v>
      </c>
      <c r="J1237" s="2" t="s">
        <v>7485</v>
      </c>
      <c r="K1237" s="3" t="b">
        <f>J1237 = "blocking"</f>
        <v>0</v>
      </c>
      <c r="L1237" s="2" t="s">
        <v>1428</v>
      </c>
      <c r="M1237" s="2" t="s">
        <v>7503</v>
      </c>
      <c r="N1237" s="4">
        <v>46223.1297337963</v>
      </c>
      <c r="O1237" s="3" t="b">
        <f>L1237 = "PASS"</f>
        <v>1</v>
      </c>
      <c r="P1237" s="3" t="b">
        <f>L1237 = "FAIL"</f>
        <v>0</v>
      </c>
      <c r="Q1237" s="3" t="b">
        <f>AND(P1237, K1237)</f>
        <v>0</v>
      </c>
      <c r="R1237" s="3" t="str">
        <f>IF(O1237, I1237, "")</f>
        <v>suite-witness</v>
      </c>
      <c r="S1237" s="3" t="str">
        <f>IF(Q1237, I1237, "")</f>
      </c>
      <c r="T1237" s="2" t="s">
        <v>5935</v>
      </c>
    </row>
    <row r="1238">
      <c r="A1238" s="2" t="s">
        <v>7508</v>
      </c>
      <c r="B1238" s="3" t="str">
        <f>C1238 &amp; ": " &amp; D1238</f>
        <v>witness-discriminates: RoleAssignments.IsNonHumanAssignment</v>
      </c>
      <c r="C1238" s="2" t="s">
        <v>7483</v>
      </c>
      <c r="D1238" s="2" t="s">
        <v>2541</v>
      </c>
      <c r="E1238" s="2" t="s">
        <v>1801</v>
      </c>
      <c r="F1238" s="2" t="s">
        <v>265</v>
      </c>
      <c r="G1238" s="2" t="s">
        <v>7484</v>
      </c>
      <c r="H1238" s="2" t="s">
        <v>2136</v>
      </c>
      <c r="I1238" s="2" t="s">
        <v>5924</v>
      </c>
      <c r="J1238" s="2" t="s">
        <v>7485</v>
      </c>
      <c r="K1238" s="3" t="b">
        <f>J1238 = "blocking"</f>
        <v>0</v>
      </c>
      <c r="L1238" s="2" t="s">
        <v>1428</v>
      </c>
      <c r="M1238" s="2" t="s">
        <v>7509</v>
      </c>
      <c r="N1238" s="4">
        <v>46223.1297337963</v>
      </c>
      <c r="O1238" s="3" t="b">
        <f>L1238 = "PASS"</f>
        <v>1</v>
      </c>
      <c r="P1238" s="3" t="b">
        <f>L1238 = "FAIL"</f>
        <v>0</v>
      </c>
      <c r="Q1238" s="3" t="b">
        <f>AND(P1238, K1238)</f>
        <v>0</v>
      </c>
      <c r="R1238" s="3" t="str">
        <f>IF(O1238, I1238, "")</f>
        <v>suite-witness</v>
      </c>
      <c r="S1238" s="3" t="str">
        <f>IF(Q1238, I1238, "")</f>
      </c>
      <c r="T1238" s="2" t="s">
        <v>5935</v>
      </c>
    </row>
    <row r="1239">
      <c r="A1239" s="2" t="s">
        <v>7510</v>
      </c>
      <c r="B1239" s="3" t="str">
        <f>C1239 &amp; ": " &amp; D1239</f>
        <v>witness-discriminates: RoleAssignments.IsHumanToNonHumanHandover</v>
      </c>
      <c r="C1239" s="2" t="s">
        <v>7483</v>
      </c>
      <c r="D1239" s="2" t="s">
        <v>2545</v>
      </c>
      <c r="E1239" s="2" t="s">
        <v>1801</v>
      </c>
      <c r="F1239" s="2" t="s">
        <v>268</v>
      </c>
      <c r="G1239" s="2" t="s">
        <v>7484</v>
      </c>
      <c r="H1239" s="2" t="s">
        <v>2136</v>
      </c>
      <c r="I1239" s="2" t="s">
        <v>5924</v>
      </c>
      <c r="J1239" s="2" t="s">
        <v>7485</v>
      </c>
      <c r="K1239" s="3" t="b">
        <f>J1239 = "blocking"</f>
        <v>0</v>
      </c>
      <c r="L1239" s="2" t="s">
        <v>1428</v>
      </c>
      <c r="M1239" s="2" t="s">
        <v>7511</v>
      </c>
      <c r="N1239" s="4">
        <v>46223.1297337963</v>
      </c>
      <c r="O1239" s="3" t="b">
        <f>L1239 = "PASS"</f>
        <v>1</v>
      </c>
      <c r="P1239" s="3" t="b">
        <f>L1239 = "FAIL"</f>
        <v>0</v>
      </c>
      <c r="Q1239" s="3" t="b">
        <f>AND(P1239, K1239)</f>
        <v>0</v>
      </c>
      <c r="R1239" s="3" t="str">
        <f>IF(O1239, I1239, "")</f>
        <v>suite-witness</v>
      </c>
      <c r="S1239" s="3" t="str">
        <f>IF(Q1239, I1239, "")</f>
      </c>
      <c r="T1239" s="2" t="s">
        <v>5935</v>
      </c>
    </row>
    <row r="1240">
      <c r="A1240" s="2" t="s">
        <v>7512</v>
      </c>
      <c r="B1240" s="3" t="str">
        <f>C1240 &amp; ": " &amp; D1240</f>
        <v>witness-discriminates: RoleAssignments.IsUnauthorizedNonHumanAssignment</v>
      </c>
      <c r="C1240" s="2" t="s">
        <v>7483</v>
      </c>
      <c r="D1240" s="2" t="s">
        <v>2549</v>
      </c>
      <c r="E1240" s="2" t="s">
        <v>1801</v>
      </c>
      <c r="F1240" s="2" t="s">
        <v>271</v>
      </c>
      <c r="G1240" s="2" t="s">
        <v>7484</v>
      </c>
      <c r="H1240" s="2" t="s">
        <v>2136</v>
      </c>
      <c r="I1240" s="2" t="s">
        <v>5924</v>
      </c>
      <c r="J1240" s="2" t="s">
        <v>7485</v>
      </c>
      <c r="K1240" s="3" t="b">
        <f>J1240 = "blocking"</f>
        <v>0</v>
      </c>
      <c r="L1240" s="2" t="s">
        <v>1428</v>
      </c>
      <c r="M1240" s="2" t="s">
        <v>7513</v>
      </c>
      <c r="N1240" s="4">
        <v>46223.1297337963</v>
      </c>
      <c r="O1240" s="3" t="b">
        <f>L1240 = "PASS"</f>
        <v>1</v>
      </c>
      <c r="P1240" s="3" t="b">
        <f>L1240 = "FAIL"</f>
        <v>0</v>
      </c>
      <c r="Q1240" s="3" t="b">
        <f>AND(P1240, K1240)</f>
        <v>0</v>
      </c>
      <c r="R1240" s="3" t="str">
        <f>IF(O1240, I1240, "")</f>
        <v>suite-witness</v>
      </c>
      <c r="S1240" s="3" t="str">
        <f>IF(Q1240, I1240, "")</f>
      </c>
      <c r="T1240" s="2" t="s">
        <v>5935</v>
      </c>
    </row>
    <row r="1241">
      <c r="A1241" s="2" t="s">
        <v>7514</v>
      </c>
      <c r="B1241" s="3" t="str">
        <f>C1241 &amp; ": " &amp; D1241</f>
        <v>witness-discriminates: RoleAssignments.WasAuthorizedByChangeRequest</v>
      </c>
      <c r="C1241" s="2" t="s">
        <v>7483</v>
      </c>
      <c r="D1241" s="2" t="s">
        <v>2551</v>
      </c>
      <c r="E1241" s="2" t="s">
        <v>1801</v>
      </c>
      <c r="F1241" s="2" t="s">
        <v>272</v>
      </c>
      <c r="G1241" s="2" t="s">
        <v>7484</v>
      </c>
      <c r="H1241" s="2"/>
      <c r="I1241" s="2" t="s">
        <v>5924</v>
      </c>
      <c r="J1241" s="2" t="s">
        <v>7485</v>
      </c>
      <c r="K1241" s="3" t="b">
        <f>J1241 = "blocking"</f>
        <v>0</v>
      </c>
      <c r="L1241" s="2" t="s">
        <v>1431</v>
      </c>
      <c r="M1241" s="2" t="s">
        <v>7515</v>
      </c>
      <c r="N1241" s="4">
        <v>46223.1297337963</v>
      </c>
      <c r="O1241" s="3" t="b">
        <f>L1241 = "PASS"</f>
        <v>0</v>
      </c>
      <c r="P1241" s="3" t="b">
        <f>L1241 = "FAIL"</f>
        <v>0</v>
      </c>
      <c r="Q1241" s="3" t="b">
        <f>AND(P1241, K1241)</f>
        <v>0</v>
      </c>
      <c r="R1241" s="3" t="str">
        <f>IF(O1241, I1241, "")</f>
      </c>
      <c r="S1241" s="3" t="str">
        <f>IF(Q1241, I1241, "")</f>
      </c>
      <c r="T1241" s="2" t="s">
        <v>5935</v>
      </c>
    </row>
    <row r="1242">
      <c r="A1242" s="2" t="s">
        <v>7516</v>
      </c>
      <c r="B1242" s="3" t="str">
        <f>C1242 &amp; ": " &amp; D1242</f>
        <v>witness-discriminates: RoleAssignments.QualityRegressedVsPredecessor</v>
      </c>
      <c r="C1242" s="2" t="s">
        <v>7483</v>
      </c>
      <c r="D1242" s="2" t="s">
        <v>2560</v>
      </c>
      <c r="E1242" s="2" t="s">
        <v>1801</v>
      </c>
      <c r="F1242" s="2" t="s">
        <v>274</v>
      </c>
      <c r="G1242" s="2" t="s">
        <v>7484</v>
      </c>
      <c r="H1242" s="2" t="s">
        <v>2140</v>
      </c>
      <c r="I1242" s="2" t="s">
        <v>5924</v>
      </c>
      <c r="J1242" s="2" t="s">
        <v>7485</v>
      </c>
      <c r="K1242" s="3" t="b">
        <f>J1242 = "blocking"</f>
        <v>0</v>
      </c>
      <c r="L1242" s="2" t="s">
        <v>1431</v>
      </c>
      <c r="M1242" s="2" t="s">
        <v>7515</v>
      </c>
      <c r="N1242" s="4">
        <v>46223.1297337963</v>
      </c>
      <c r="O1242" s="3" t="b">
        <f>L1242 = "PASS"</f>
        <v>0</v>
      </c>
      <c r="P1242" s="3" t="b">
        <f>L1242 = "FAIL"</f>
        <v>0</v>
      </c>
      <c r="Q1242" s="3" t="b">
        <f>AND(P1242, K1242)</f>
        <v>0</v>
      </c>
      <c r="R1242" s="3" t="str">
        <f>IF(O1242, I1242, "")</f>
      </c>
      <c r="S1242" s="3" t="str">
        <f>IF(Q1242, I1242, "")</f>
      </c>
      <c r="T1242" s="2" t="s">
        <v>5935</v>
      </c>
    </row>
    <row r="1243">
      <c r="A1243" s="2" t="s">
        <v>7517</v>
      </c>
      <c r="B1243" s="3" t="str">
        <f>C1243 &amp; ": " &amp; D1243</f>
        <v>witness-discriminates: RoleAssignments.HasSufficientSample</v>
      </c>
      <c r="C1243" s="2" t="s">
        <v>7483</v>
      </c>
      <c r="D1243" s="2" t="s">
        <v>2567</v>
      </c>
      <c r="E1243" s="2" t="s">
        <v>1801</v>
      </c>
      <c r="F1243" s="2" t="s">
        <v>278</v>
      </c>
      <c r="G1243" s="2" t="s">
        <v>7484</v>
      </c>
      <c r="H1243" s="2" t="s">
        <v>2316</v>
      </c>
      <c r="I1243" s="2" t="s">
        <v>5924</v>
      </c>
      <c r="J1243" s="2" t="s">
        <v>7485</v>
      </c>
      <c r="K1243" s="3" t="b">
        <f>J1243 = "blocking"</f>
        <v>0</v>
      </c>
      <c r="L1243" s="2" t="s">
        <v>1431</v>
      </c>
      <c r="M1243" s="2" t="s">
        <v>7518</v>
      </c>
      <c r="N1243" s="4">
        <v>46223.1297337963</v>
      </c>
      <c r="O1243" s="3" t="b">
        <f>L1243 = "PASS"</f>
        <v>0</v>
      </c>
      <c r="P1243" s="3" t="b">
        <f>L1243 = "FAIL"</f>
        <v>0</v>
      </c>
      <c r="Q1243" s="3" t="b">
        <f>AND(P1243, K1243)</f>
        <v>0</v>
      </c>
      <c r="R1243" s="3" t="str">
        <f>IF(O1243, I1243, "")</f>
      </c>
      <c r="S1243" s="3" t="str">
        <f>IF(Q1243, I1243, "")</f>
      </c>
      <c r="T1243" s="2" t="s">
        <v>5935</v>
      </c>
    </row>
    <row r="1244">
      <c r="A1244" s="2" t="s">
        <v>7519</v>
      </c>
      <c r="B1244" s="3" t="str">
        <f>C1244 &amp; ": " &amp; D1244</f>
        <v>witness-discriminates: RoleAssignments.PredecessorHasSufficientSample</v>
      </c>
      <c r="C1244" s="2" t="s">
        <v>7483</v>
      </c>
      <c r="D1244" s="2" t="s">
        <v>2569</v>
      </c>
      <c r="E1244" s="2" t="s">
        <v>1801</v>
      </c>
      <c r="F1244" s="2" t="s">
        <v>279</v>
      </c>
      <c r="G1244" s="2" t="s">
        <v>7484</v>
      </c>
      <c r="H1244" s="2" t="s">
        <v>2316</v>
      </c>
      <c r="I1244" s="2" t="s">
        <v>5924</v>
      </c>
      <c r="J1244" s="2" t="s">
        <v>7485</v>
      </c>
      <c r="K1244" s="3" t="b">
        <f>J1244 = "blocking"</f>
        <v>0</v>
      </c>
      <c r="L1244" s="2" t="s">
        <v>1431</v>
      </c>
      <c r="M1244" s="2" t="s">
        <v>7518</v>
      </c>
      <c r="N1244" s="4">
        <v>46223.1297337963</v>
      </c>
      <c r="O1244" s="3" t="b">
        <f>L1244 = "PASS"</f>
        <v>0</v>
      </c>
      <c r="P1244" s="3" t="b">
        <f>L1244 = "FAIL"</f>
        <v>0</v>
      </c>
      <c r="Q1244" s="3" t="b">
        <f>AND(P1244, K1244)</f>
        <v>0</v>
      </c>
      <c r="R1244" s="3" t="str">
        <f>IF(O1244, I1244, "")</f>
      </c>
      <c r="S1244" s="3" t="str">
        <f>IF(Q1244, I1244, "")</f>
      </c>
      <c r="T1244" s="2" t="s">
        <v>5935</v>
      </c>
    </row>
    <row r="1245">
      <c r="A1245" s="2" t="s">
        <v>7520</v>
      </c>
      <c r="B1245" s="3" t="str">
        <f>C1245 &amp; ": " &amp; D1245</f>
        <v>witness-discriminates: RoleAssignments.ComparisonIsEvidentiallySound</v>
      </c>
      <c r="C1245" s="2" t="s">
        <v>7483</v>
      </c>
      <c r="D1245" s="2" t="s">
        <v>2571</v>
      </c>
      <c r="E1245" s="2" t="s">
        <v>1801</v>
      </c>
      <c r="F1245" s="2" t="s">
        <v>280</v>
      </c>
      <c r="G1245" s="2" t="s">
        <v>7484</v>
      </c>
      <c r="H1245" s="2" t="s">
        <v>2316</v>
      </c>
      <c r="I1245" s="2" t="s">
        <v>5924</v>
      </c>
      <c r="J1245" s="2" t="s">
        <v>7485</v>
      </c>
      <c r="K1245" s="3" t="b">
        <f>J1245 = "blocking"</f>
        <v>0</v>
      </c>
      <c r="L1245" s="2" t="s">
        <v>1431</v>
      </c>
      <c r="M1245" s="2" t="s">
        <v>7518</v>
      </c>
      <c r="N1245" s="4">
        <v>46223.1297337963</v>
      </c>
      <c r="O1245" s="3" t="b">
        <f>L1245 = "PASS"</f>
        <v>0</v>
      </c>
      <c r="P1245" s="3" t="b">
        <f>L1245 = "FAIL"</f>
        <v>0</v>
      </c>
      <c r="Q1245" s="3" t="b">
        <f>AND(P1245, K1245)</f>
        <v>0</v>
      </c>
      <c r="R1245" s="3" t="str">
        <f>IF(O1245, I1245, "")</f>
      </c>
      <c r="S1245" s="3" t="str">
        <f>IF(Q1245, I1245, "")</f>
      </c>
      <c r="T1245" s="2" t="s">
        <v>5935</v>
      </c>
    </row>
    <row r="1246">
      <c r="A1246" s="2" t="s">
        <v>7521</v>
      </c>
      <c r="B1246" s="3" t="str">
        <f>C1246 &amp; ": " &amp; D1246</f>
        <v>witness-discriminates: RoleAssignments.QualityVerdictIsUnsupported</v>
      </c>
      <c r="C1246" s="2" t="s">
        <v>7483</v>
      </c>
      <c r="D1246" s="2" t="s">
        <v>2575</v>
      </c>
      <c r="E1246" s="2" t="s">
        <v>1801</v>
      </c>
      <c r="F1246" s="2" t="s">
        <v>282</v>
      </c>
      <c r="G1246" s="2" t="s">
        <v>7484</v>
      </c>
      <c r="H1246" s="2" t="s">
        <v>2316</v>
      </c>
      <c r="I1246" s="2" t="s">
        <v>5924</v>
      </c>
      <c r="J1246" s="2" t="s">
        <v>7485</v>
      </c>
      <c r="K1246" s="3" t="b">
        <f>J1246 = "blocking"</f>
        <v>0</v>
      </c>
      <c r="L1246" s="2" t="s">
        <v>1431</v>
      </c>
      <c r="M1246" s="2" t="s">
        <v>7518</v>
      </c>
      <c r="N1246" s="4">
        <v>46223.1297337963</v>
      </c>
      <c r="O1246" s="3" t="b">
        <f>L1246 = "PASS"</f>
        <v>0</v>
      </c>
      <c r="P1246" s="3" t="b">
        <f>L1246 = "FAIL"</f>
        <v>0</v>
      </c>
      <c r="Q1246" s="3" t="b">
        <f>AND(P1246, K1246)</f>
        <v>0</v>
      </c>
      <c r="R1246" s="3" t="str">
        <f>IF(O1246, I1246, "")</f>
      </c>
      <c r="S1246" s="3" t="str">
        <f>IF(Q1246, I1246, "")</f>
      </c>
      <c r="T1246" s="2" t="s">
        <v>5935</v>
      </c>
    </row>
    <row r="1247">
      <c r="A1247" s="2" t="s">
        <v>7522</v>
      </c>
      <c r="B1247" s="3" t="str">
        <f>C1247 &amp; ": " &amp; D1247</f>
        <v>witness-discriminates: RoleAssignments.IsUnmeasuredAutomationHandover</v>
      </c>
      <c r="C1247" s="2" t="s">
        <v>7483</v>
      </c>
      <c r="D1247" s="2" t="s">
        <v>2577</v>
      </c>
      <c r="E1247" s="2" t="s">
        <v>1801</v>
      </c>
      <c r="F1247" s="2" t="s">
        <v>283</v>
      </c>
      <c r="G1247" s="2" t="s">
        <v>7484</v>
      </c>
      <c r="H1247" s="2" t="s">
        <v>2316</v>
      </c>
      <c r="I1247" s="2" t="s">
        <v>5924</v>
      </c>
      <c r="J1247" s="2" t="s">
        <v>7485</v>
      </c>
      <c r="K1247" s="3" t="b">
        <f>J1247 = "blocking"</f>
        <v>0</v>
      </c>
      <c r="L1247" s="2" t="s">
        <v>1431</v>
      </c>
      <c r="M1247" s="2" t="s">
        <v>7523</v>
      </c>
      <c r="N1247" s="4">
        <v>46223.1297337963</v>
      </c>
      <c r="O1247" s="3" t="b">
        <f>L1247 = "PASS"</f>
        <v>0</v>
      </c>
      <c r="P1247" s="3" t="b">
        <f>L1247 = "FAIL"</f>
        <v>0</v>
      </c>
      <c r="Q1247" s="3" t="b">
        <f>AND(P1247, K1247)</f>
        <v>0</v>
      </c>
      <c r="R1247" s="3" t="str">
        <f>IF(O1247, I1247, "")</f>
      </c>
      <c r="S1247" s="3" t="str">
        <f>IF(Q1247, I1247, "")</f>
      </c>
      <c r="T1247" s="2" t="s">
        <v>5935</v>
      </c>
    </row>
    <row r="1248">
      <c r="A1248" s="2" t="s">
        <v>7524</v>
      </c>
      <c r="B1248" s="3" t="str">
        <f>C1248 &amp; ": " &amp; D1248</f>
        <v>witness-discriminates: RoleAssignments.HasDatedAuthorization</v>
      </c>
      <c r="C1248" s="2" t="s">
        <v>7483</v>
      </c>
      <c r="D1248" s="2" t="s">
        <v>2586</v>
      </c>
      <c r="E1248" s="2" t="s">
        <v>1801</v>
      </c>
      <c r="F1248" s="2" t="s">
        <v>289</v>
      </c>
      <c r="G1248" s="2" t="s">
        <v>7484</v>
      </c>
      <c r="H1248" s="2" t="s">
        <v>2328</v>
      </c>
      <c r="I1248" s="2" t="s">
        <v>5924</v>
      </c>
      <c r="J1248" s="2" t="s">
        <v>7485</v>
      </c>
      <c r="K1248" s="3" t="b">
        <f>J1248 = "blocking"</f>
        <v>0</v>
      </c>
      <c r="L1248" s="2" t="s">
        <v>1431</v>
      </c>
      <c r="M1248" s="2" t="s">
        <v>7515</v>
      </c>
      <c r="N1248" s="4">
        <v>46223.1297337963</v>
      </c>
      <c r="O1248" s="3" t="b">
        <f>L1248 = "PASS"</f>
        <v>0</v>
      </c>
      <c r="P1248" s="3" t="b">
        <f>L1248 = "FAIL"</f>
        <v>0</v>
      </c>
      <c r="Q1248" s="3" t="b">
        <f>AND(P1248, K1248)</f>
        <v>0</v>
      </c>
      <c r="R1248" s="3" t="str">
        <f>IF(O1248, I1248, "")</f>
      </c>
      <c r="S1248" s="3" t="str">
        <f>IF(Q1248, I1248, "")</f>
      </c>
      <c r="T1248" s="2" t="s">
        <v>5935</v>
      </c>
    </row>
    <row r="1249">
      <c r="A1249" s="2" t="s">
        <v>7525</v>
      </c>
      <c r="B1249" s="3" t="str">
        <f>C1249 &amp; ": " &amp; D1249</f>
        <v>witness-discriminates: RoleAssignments.AuthorizationIsOverdueForReview</v>
      </c>
      <c r="C1249" s="2" t="s">
        <v>7483</v>
      </c>
      <c r="D1249" s="2" t="s">
        <v>2590</v>
      </c>
      <c r="E1249" s="2" t="s">
        <v>1801</v>
      </c>
      <c r="F1249" s="2" t="s">
        <v>291</v>
      </c>
      <c r="G1249" s="2" t="s">
        <v>7484</v>
      </c>
      <c r="H1249" s="2" t="s">
        <v>2328</v>
      </c>
      <c r="I1249" s="2" t="s">
        <v>5924</v>
      </c>
      <c r="J1249" s="2" t="s">
        <v>7485</v>
      </c>
      <c r="K1249" s="3" t="b">
        <f>J1249 = "blocking"</f>
        <v>0</v>
      </c>
      <c r="L1249" s="2" t="s">
        <v>1431</v>
      </c>
      <c r="M1249" s="2" t="s">
        <v>7518</v>
      </c>
      <c r="N1249" s="4">
        <v>46223.1297337963</v>
      </c>
      <c r="O1249" s="3" t="b">
        <f>L1249 = "PASS"</f>
        <v>0</v>
      </c>
      <c r="P1249" s="3" t="b">
        <f>L1249 = "FAIL"</f>
        <v>0</v>
      </c>
      <c r="Q1249" s="3" t="b">
        <f>AND(P1249, K1249)</f>
        <v>0</v>
      </c>
      <c r="R1249" s="3" t="str">
        <f>IF(O1249, I1249, "")</f>
      </c>
      <c r="S1249" s="3" t="str">
        <f>IF(Q1249, I1249, "")</f>
      </c>
      <c r="T1249" s="2" t="s">
        <v>5935</v>
      </c>
    </row>
    <row r="1250">
      <c r="A1250" s="2" t="s">
        <v>7526</v>
      </c>
      <c r="B1250" s="3" t="str">
        <f>C1250 &amp; ": " &amp; D1250</f>
        <v>witness-discriminates: RoleAssignments.IsStandingUnreviewedAutomation</v>
      </c>
      <c r="C1250" s="2" t="s">
        <v>7483</v>
      </c>
      <c r="D1250" s="2" t="s">
        <v>2592</v>
      </c>
      <c r="E1250" s="2" t="s">
        <v>1801</v>
      </c>
      <c r="F1250" s="2" t="s">
        <v>292</v>
      </c>
      <c r="G1250" s="2" t="s">
        <v>7484</v>
      </c>
      <c r="H1250" s="2" t="s">
        <v>2328</v>
      </c>
      <c r="I1250" s="2" t="s">
        <v>5924</v>
      </c>
      <c r="J1250" s="2" t="s">
        <v>7485</v>
      </c>
      <c r="K1250" s="3" t="b">
        <f>J1250 = "blocking"</f>
        <v>0</v>
      </c>
      <c r="L1250" s="2" t="s">
        <v>1431</v>
      </c>
      <c r="M1250" s="2" t="s">
        <v>7523</v>
      </c>
      <c r="N1250" s="4">
        <v>46223.1297337963</v>
      </c>
      <c r="O1250" s="3" t="b">
        <f>L1250 = "PASS"</f>
        <v>0</v>
      </c>
      <c r="P1250" s="3" t="b">
        <f>L1250 = "FAIL"</f>
        <v>0</v>
      </c>
      <c r="Q1250" s="3" t="b">
        <f>AND(P1250, K1250)</f>
        <v>0</v>
      </c>
      <c r="R1250" s="3" t="str">
        <f>IF(O1250, I1250, "")</f>
      </c>
      <c r="S1250" s="3" t="str">
        <f>IF(Q1250, I1250, "")</f>
      </c>
      <c r="T1250" s="2" t="s">
        <v>5935</v>
      </c>
    </row>
    <row r="1251">
      <c r="A1251" s="2" t="s">
        <v>7527</v>
      </c>
      <c r="B1251" s="3" t="str">
        <f>C1251 &amp; ": " &amp; D1251</f>
        <v>witness-discriminates: RoleAssignments.IsUnconditionedAutomationHandover</v>
      </c>
      <c r="C1251" s="2" t="s">
        <v>7483</v>
      </c>
      <c r="D1251" s="2" t="s">
        <v>2594</v>
      </c>
      <c r="E1251" s="2" t="s">
        <v>1801</v>
      </c>
      <c r="F1251" s="2" t="s">
        <v>293</v>
      </c>
      <c r="G1251" s="2" t="s">
        <v>7484</v>
      </c>
      <c r="H1251" s="2" t="s">
        <v>2328</v>
      </c>
      <c r="I1251" s="2" t="s">
        <v>5924</v>
      </c>
      <c r="J1251" s="2" t="s">
        <v>7485</v>
      </c>
      <c r="K1251" s="3" t="b">
        <f>J1251 = "blocking"</f>
        <v>0</v>
      </c>
      <c r="L1251" s="2" t="s">
        <v>1431</v>
      </c>
      <c r="M1251" s="2" t="s">
        <v>7523</v>
      </c>
      <c r="N1251" s="4">
        <v>46223.1297337963</v>
      </c>
      <c r="O1251" s="3" t="b">
        <f>L1251 = "PASS"</f>
        <v>0</v>
      </c>
      <c r="P1251" s="3" t="b">
        <f>L1251 = "FAIL"</f>
        <v>0</v>
      </c>
      <c r="Q1251" s="3" t="b">
        <f>AND(P1251, K1251)</f>
        <v>0</v>
      </c>
      <c r="R1251" s="3" t="str">
        <f>IF(O1251, I1251, "")</f>
      </c>
      <c r="S1251" s="3" t="str">
        <f>IF(Q1251, I1251, "")</f>
      </c>
      <c r="T1251" s="2" t="s">
        <v>5935</v>
      </c>
    </row>
    <row r="1252">
      <c r="A1252" s="2" t="s">
        <v>7528</v>
      </c>
      <c r="B1252" s="3" t="str">
        <f>C1252 &amp; ": " &amp; D1252</f>
        <v>witness-discriminates: RoleAssignments.ExceedsTolerableErrorRate</v>
      </c>
      <c r="C1252" s="2" t="s">
        <v>7483</v>
      </c>
      <c r="D1252" s="2" t="s">
        <v>2597</v>
      </c>
      <c r="E1252" s="2" t="s">
        <v>1801</v>
      </c>
      <c r="F1252" s="2" t="s">
        <v>295</v>
      </c>
      <c r="G1252" s="2" t="s">
        <v>7484</v>
      </c>
      <c r="H1252" s="2" t="s">
        <v>2332</v>
      </c>
      <c r="I1252" s="2" t="s">
        <v>5924</v>
      </c>
      <c r="J1252" s="2" t="s">
        <v>7485</v>
      </c>
      <c r="K1252" s="3" t="b">
        <f>J1252 = "blocking"</f>
        <v>0</v>
      </c>
      <c r="L1252" s="2" t="s">
        <v>1431</v>
      </c>
      <c r="M1252" s="2" t="s">
        <v>7518</v>
      </c>
      <c r="N1252" s="4">
        <v>46223.1297337963</v>
      </c>
      <c r="O1252" s="3" t="b">
        <f>L1252 = "PASS"</f>
        <v>0</v>
      </c>
      <c r="P1252" s="3" t="b">
        <f>L1252 = "FAIL"</f>
        <v>0</v>
      </c>
      <c r="Q1252" s="3" t="b">
        <f>AND(P1252, K1252)</f>
        <v>0</v>
      </c>
      <c r="R1252" s="3" t="str">
        <f>IF(O1252, I1252, "")</f>
      </c>
      <c r="S1252" s="3" t="str">
        <f>IF(Q1252, I1252, "")</f>
      </c>
      <c r="T1252" s="2" t="s">
        <v>5935</v>
      </c>
    </row>
    <row r="1253">
      <c r="A1253" s="2" t="s">
        <v>7529</v>
      </c>
      <c r="B1253" s="3" t="str">
        <f>C1253 &amp; ": " &amp; D1253</f>
        <v>witness-discriminates: RoleAssignments.HasAnyBoundaryViolation</v>
      </c>
      <c r="C1253" s="2" t="s">
        <v>7483</v>
      </c>
      <c r="D1253" s="2" t="s">
        <v>2601</v>
      </c>
      <c r="E1253" s="2" t="s">
        <v>1801</v>
      </c>
      <c r="F1253" s="2" t="s">
        <v>297</v>
      </c>
      <c r="G1253" s="2" t="s">
        <v>7484</v>
      </c>
      <c r="H1253" s="2" t="s">
        <v>2332</v>
      </c>
      <c r="I1253" s="2" t="s">
        <v>5924</v>
      </c>
      <c r="J1253" s="2" t="s">
        <v>7485</v>
      </c>
      <c r="K1253" s="3" t="b">
        <f>J1253 = "blocking"</f>
        <v>0</v>
      </c>
      <c r="L1253" s="2" t="s">
        <v>1431</v>
      </c>
      <c r="M1253" s="2" t="s">
        <v>7515</v>
      </c>
      <c r="N1253" s="4">
        <v>46223.1297337963</v>
      </c>
      <c r="O1253" s="3" t="b">
        <f>L1253 = "PASS"</f>
        <v>0</v>
      </c>
      <c r="P1253" s="3" t="b">
        <f>L1253 = "FAIL"</f>
        <v>0</v>
      </c>
      <c r="Q1253" s="3" t="b">
        <f>AND(P1253, K1253)</f>
        <v>0</v>
      </c>
      <c r="R1253" s="3" t="str">
        <f>IF(O1253, I1253, "")</f>
      </c>
      <c r="S1253" s="3" t="str">
        <f>IF(Q1253, I1253, "")</f>
      </c>
      <c r="T1253" s="2" t="s">
        <v>5935</v>
      </c>
    </row>
    <row r="1254">
      <c r="A1254" s="2" t="s">
        <v>7530</v>
      </c>
      <c r="B1254" s="3" t="str">
        <f>C1254 &amp; ": " &amp; D1254</f>
        <v>witness-discriminates: RoleAssignments.HasUngroundedGoverningBoundary</v>
      </c>
      <c r="C1254" s="2" t="s">
        <v>7483</v>
      </c>
      <c r="D1254" s="2" t="s">
        <v>2603</v>
      </c>
      <c r="E1254" s="2" t="s">
        <v>1801</v>
      </c>
      <c r="F1254" s="2" t="s">
        <v>298</v>
      </c>
      <c r="G1254" s="2" t="s">
        <v>7484</v>
      </c>
      <c r="H1254" s="2" t="s">
        <v>2332</v>
      </c>
      <c r="I1254" s="2" t="s">
        <v>5924</v>
      </c>
      <c r="J1254" s="2" t="s">
        <v>7485</v>
      </c>
      <c r="K1254" s="3" t="b">
        <f>J1254 = "blocking"</f>
        <v>0</v>
      </c>
      <c r="L1254" s="2" t="s">
        <v>1431</v>
      </c>
      <c r="M1254" s="2" t="s">
        <v>7515</v>
      </c>
      <c r="N1254" s="4">
        <v>46223.1297337963</v>
      </c>
      <c r="O1254" s="3" t="b">
        <f>L1254 = "PASS"</f>
        <v>0</v>
      </c>
      <c r="P1254" s="3" t="b">
        <f>L1254 = "FAIL"</f>
        <v>0</v>
      </c>
      <c r="Q1254" s="3" t="b">
        <f>AND(P1254, K1254)</f>
        <v>0</v>
      </c>
      <c r="R1254" s="3" t="str">
        <f>IF(O1254, I1254, "")</f>
      </c>
      <c r="S1254" s="3" t="str">
        <f>IF(Q1254, I1254, "")</f>
      </c>
      <c r="T1254" s="2" t="s">
        <v>5935</v>
      </c>
    </row>
    <row r="1255">
      <c r="A1255" s="2" t="s">
        <v>7531</v>
      </c>
      <c r="B1255" s="3" t="str">
        <f>C1255 &amp; ": " &amp; D1255</f>
        <v>witness-discriminates: RoleAssignments.SuspensionConditionMet</v>
      </c>
      <c r="C1255" s="2" t="s">
        <v>7483</v>
      </c>
      <c r="D1255" s="2" t="s">
        <v>2605</v>
      </c>
      <c r="E1255" s="2" t="s">
        <v>1801</v>
      </c>
      <c r="F1255" s="2" t="s">
        <v>299</v>
      </c>
      <c r="G1255" s="2" t="s">
        <v>7484</v>
      </c>
      <c r="H1255" s="2" t="s">
        <v>2332</v>
      </c>
      <c r="I1255" s="2" t="s">
        <v>5924</v>
      </c>
      <c r="J1255" s="2" t="s">
        <v>7485</v>
      </c>
      <c r="K1255" s="3" t="b">
        <f>J1255 = "blocking"</f>
        <v>0</v>
      </c>
      <c r="L1255" s="2" t="s">
        <v>1431</v>
      </c>
      <c r="M1255" s="2" t="s">
        <v>7518</v>
      </c>
      <c r="N1255" s="4">
        <v>46223.1297337963</v>
      </c>
      <c r="O1255" s="3" t="b">
        <f>L1255 = "PASS"</f>
        <v>0</v>
      </c>
      <c r="P1255" s="3" t="b">
        <f>L1255 = "FAIL"</f>
        <v>0</v>
      </c>
      <c r="Q1255" s="3" t="b">
        <f>AND(P1255, K1255)</f>
        <v>0</v>
      </c>
      <c r="R1255" s="3" t="str">
        <f>IF(O1255, I1255, "")</f>
      </c>
      <c r="S1255" s="3" t="str">
        <f>IF(Q1255, I1255, "")</f>
      </c>
      <c r="T1255" s="2" t="s">
        <v>5935</v>
      </c>
    </row>
    <row r="1256">
      <c r="A1256" s="2" t="s">
        <v>7532</v>
      </c>
      <c r="B1256" s="3" t="str">
        <f>C1256 &amp; ": " &amp; D1256</f>
        <v>witness-discriminates: RoleAssignments.IsOperatingUnderMetSuspensionCondition</v>
      </c>
      <c r="C1256" s="2" t="s">
        <v>7483</v>
      </c>
      <c r="D1256" s="2" t="s">
        <v>2607</v>
      </c>
      <c r="E1256" s="2" t="s">
        <v>1801</v>
      </c>
      <c r="F1256" s="2" t="s">
        <v>300</v>
      </c>
      <c r="G1256" s="2" t="s">
        <v>7484</v>
      </c>
      <c r="H1256" s="2" t="s">
        <v>2332</v>
      </c>
      <c r="I1256" s="2" t="s">
        <v>5924</v>
      </c>
      <c r="J1256" s="2" t="s">
        <v>7485</v>
      </c>
      <c r="K1256" s="3" t="b">
        <f>J1256 = "blocking"</f>
        <v>0</v>
      </c>
      <c r="L1256" s="2" t="s">
        <v>1431</v>
      </c>
      <c r="M1256" s="2" t="s">
        <v>7523</v>
      </c>
      <c r="N1256" s="4">
        <v>46223.1297337963</v>
      </c>
      <c r="O1256" s="3" t="b">
        <f>L1256 = "PASS"</f>
        <v>0</v>
      </c>
      <c r="P1256" s="3" t="b">
        <f>L1256 = "FAIL"</f>
        <v>0</v>
      </c>
      <c r="Q1256" s="3" t="b">
        <f>AND(P1256, K1256)</f>
        <v>0</v>
      </c>
      <c r="R1256" s="3" t="str">
        <f>IF(O1256, I1256, "")</f>
      </c>
      <c r="S1256" s="3" t="str">
        <f>IF(Q1256, I1256, "")</f>
      </c>
      <c r="T1256" s="2" t="s">
        <v>5935</v>
      </c>
    </row>
    <row r="1257">
      <c r="A1257" s="2" t="s">
        <v>7533</v>
      </c>
      <c r="B1257" s="3" t="str">
        <f>C1257 &amp; ": " &amp; D1257</f>
        <v>witness-discriminates: RoleAssignments.HasDeclaredSuspensionCondition</v>
      </c>
      <c r="C1257" s="2" t="s">
        <v>7483</v>
      </c>
      <c r="D1257" s="2" t="s">
        <v>2609</v>
      </c>
      <c r="E1257" s="2" t="s">
        <v>1801</v>
      </c>
      <c r="F1257" s="2" t="s">
        <v>301</v>
      </c>
      <c r="G1257" s="2" t="s">
        <v>7484</v>
      </c>
      <c r="H1257" s="2" t="s">
        <v>2332</v>
      </c>
      <c r="I1257" s="2" t="s">
        <v>5924</v>
      </c>
      <c r="J1257" s="2" t="s">
        <v>7485</v>
      </c>
      <c r="K1257" s="3" t="b">
        <f>J1257 = "blocking"</f>
        <v>0</v>
      </c>
      <c r="L1257" s="2" t="s">
        <v>1431</v>
      </c>
      <c r="M1257" s="2" t="s">
        <v>7518</v>
      </c>
      <c r="N1257" s="4">
        <v>46223.1297337963</v>
      </c>
      <c r="O1257" s="3" t="b">
        <f>L1257 = "PASS"</f>
        <v>0</v>
      </c>
      <c r="P1257" s="3" t="b">
        <f>L1257 = "FAIL"</f>
        <v>0</v>
      </c>
      <c r="Q1257" s="3" t="b">
        <f>AND(P1257, K1257)</f>
        <v>0</v>
      </c>
      <c r="R1257" s="3" t="str">
        <f>IF(O1257, I1257, "")</f>
      </c>
      <c r="S1257" s="3" t="str">
        <f>IF(Q1257, I1257, "")</f>
      </c>
      <c r="T1257" s="2" t="s">
        <v>5935</v>
      </c>
    </row>
    <row r="1258">
      <c r="A1258" s="2" t="s">
        <v>7534</v>
      </c>
      <c r="B1258" s="3" t="str">
        <f>C1258 &amp; ": " &amp; D1258</f>
        <v>witness-discriminates: RoleAssignments.HasApprovingAuthority</v>
      </c>
      <c r="C1258" s="2" t="s">
        <v>7483</v>
      </c>
      <c r="D1258" s="2" t="s">
        <v>2611</v>
      </c>
      <c r="E1258" s="2" t="s">
        <v>1801</v>
      </c>
      <c r="F1258" s="2" t="s">
        <v>302</v>
      </c>
      <c r="G1258" s="2" t="s">
        <v>7484</v>
      </c>
      <c r="H1258" s="2" t="s">
        <v>2344</v>
      </c>
      <c r="I1258" s="2" t="s">
        <v>5924</v>
      </c>
      <c r="J1258" s="2" t="s">
        <v>7485</v>
      </c>
      <c r="K1258" s="3" t="b">
        <f>J1258 = "blocking"</f>
        <v>0</v>
      </c>
      <c r="L1258" s="2" t="s">
        <v>1428</v>
      </c>
      <c r="M1258" s="2" t="s">
        <v>7506</v>
      </c>
      <c r="N1258" s="4">
        <v>46223.1297337963</v>
      </c>
      <c r="O1258" s="3" t="b">
        <f>L1258 = "PASS"</f>
        <v>1</v>
      </c>
      <c r="P1258" s="3" t="b">
        <f>L1258 = "FAIL"</f>
        <v>0</v>
      </c>
      <c r="Q1258" s="3" t="b">
        <f>AND(P1258, K1258)</f>
        <v>0</v>
      </c>
      <c r="R1258" s="3" t="str">
        <f>IF(O1258, I1258, "")</f>
        <v>suite-witness</v>
      </c>
      <c r="S1258" s="3" t="str">
        <f>IF(Q1258, I1258, "")</f>
      </c>
      <c r="T1258" s="2" t="s">
        <v>5935</v>
      </c>
    </row>
    <row r="1259">
      <c r="A1259" s="2" t="s">
        <v>7535</v>
      </c>
      <c r="B1259" s="3" t="str">
        <f>C1259 &amp; ": " &amp; D1259</f>
        <v>witness-discriminates: RoleAssignments.HasAuthorizingChangeRequest</v>
      </c>
      <c r="C1259" s="2" t="s">
        <v>7483</v>
      </c>
      <c r="D1259" s="2" t="s">
        <v>2613</v>
      </c>
      <c r="E1259" s="2" t="s">
        <v>1801</v>
      </c>
      <c r="F1259" s="2" t="s">
        <v>303</v>
      </c>
      <c r="G1259" s="2" t="s">
        <v>7484</v>
      </c>
      <c r="H1259" s="2" t="s">
        <v>2344</v>
      </c>
      <c r="I1259" s="2" t="s">
        <v>5924</v>
      </c>
      <c r="J1259" s="2" t="s">
        <v>7485</v>
      </c>
      <c r="K1259" s="3" t="b">
        <f>J1259 = "blocking"</f>
        <v>0</v>
      </c>
      <c r="L1259" s="2" t="s">
        <v>1431</v>
      </c>
      <c r="M1259" s="2" t="s">
        <v>7515</v>
      </c>
      <c r="N1259" s="4">
        <v>46223.1297337963</v>
      </c>
      <c r="O1259" s="3" t="b">
        <f>L1259 = "PASS"</f>
        <v>0</v>
      </c>
      <c r="P1259" s="3" t="b">
        <f>L1259 = "FAIL"</f>
        <v>0</v>
      </c>
      <c r="Q1259" s="3" t="b">
        <f>AND(P1259, K1259)</f>
        <v>0</v>
      </c>
      <c r="R1259" s="3" t="str">
        <f>IF(O1259, I1259, "")</f>
      </c>
      <c r="S1259" s="3" t="str">
        <f>IF(Q1259, I1259, "")</f>
      </c>
      <c r="T1259" s="2" t="s">
        <v>5935</v>
      </c>
    </row>
    <row r="1260">
      <c r="A1260" s="2" t="s">
        <v>7536</v>
      </c>
      <c r="B1260" s="3" t="str">
        <f>C1260 &amp; ": " &amp; D1260</f>
        <v>witness-discriminates: RoleAssignments.IsUnauthorizedEnforcementAgent</v>
      </c>
      <c r="C1260" s="2" t="s">
        <v>7483</v>
      </c>
      <c r="D1260" s="2" t="s">
        <v>2616</v>
      </c>
      <c r="E1260" s="2" t="s">
        <v>1801</v>
      </c>
      <c r="F1260" s="2" t="s">
        <v>305</v>
      </c>
      <c r="G1260" s="2" t="s">
        <v>7484</v>
      </c>
      <c r="H1260" s="2" t="s">
        <v>2344</v>
      </c>
      <c r="I1260" s="2" t="s">
        <v>5924</v>
      </c>
      <c r="J1260" s="2" t="s">
        <v>7485</v>
      </c>
      <c r="K1260" s="3" t="b">
        <f>J1260 = "blocking"</f>
        <v>0</v>
      </c>
      <c r="L1260" s="2" t="s">
        <v>1431</v>
      </c>
      <c r="M1260" s="2" t="s">
        <v>7515</v>
      </c>
      <c r="N1260" s="4">
        <v>46223.1297337963</v>
      </c>
      <c r="O1260" s="3" t="b">
        <f>L1260 = "PASS"</f>
        <v>0</v>
      </c>
      <c r="P1260" s="3" t="b">
        <f>L1260 = "FAIL"</f>
        <v>0</v>
      </c>
      <c r="Q1260" s="3" t="b">
        <f>AND(P1260, K1260)</f>
        <v>0</v>
      </c>
      <c r="R1260" s="3" t="str">
        <f>IF(O1260, I1260, "")</f>
      </c>
      <c r="S1260" s="3" t="str">
        <f>IF(Q1260, I1260, "")</f>
      </c>
      <c r="T1260" s="2" t="s">
        <v>5935</v>
      </c>
    </row>
    <row r="1261">
      <c r="A1261" s="2" t="s">
        <v>7537</v>
      </c>
      <c r="B1261" s="3" t="str">
        <f>C1261 &amp; ": " &amp; D1261</f>
        <v>witness-discriminates: ProcedureVersions.IsReadyForExecution</v>
      </c>
      <c r="C1261" s="2" t="s">
        <v>7483</v>
      </c>
      <c r="D1261" s="2" t="s">
        <v>2678</v>
      </c>
      <c r="E1261" s="2" t="s">
        <v>1747</v>
      </c>
      <c r="F1261" s="2" t="s">
        <v>386</v>
      </c>
      <c r="G1261" s="2" t="s">
        <v>7484</v>
      </c>
      <c r="H1261" s="2"/>
      <c r="I1261" s="2" t="s">
        <v>5924</v>
      </c>
      <c r="J1261" s="2" t="s">
        <v>7485</v>
      </c>
      <c r="K1261" s="3" t="b">
        <f>J1261 = "blocking"</f>
        <v>0</v>
      </c>
      <c r="L1261" s="2" t="s">
        <v>1428</v>
      </c>
      <c r="M1261" s="2" t="s">
        <v>7538</v>
      </c>
      <c r="N1261" s="4">
        <v>46223.1297337963</v>
      </c>
      <c r="O1261" s="3" t="b">
        <f>L1261 = "PASS"</f>
        <v>1</v>
      </c>
      <c r="P1261" s="3" t="b">
        <f>L1261 = "FAIL"</f>
        <v>0</v>
      </c>
      <c r="Q1261" s="3" t="b">
        <f>AND(P1261, K1261)</f>
        <v>0</v>
      </c>
      <c r="R1261" s="3" t="str">
        <f>IF(O1261, I1261, "")</f>
        <v>suite-witness</v>
      </c>
      <c r="S1261" s="3" t="str">
        <f>IF(Q1261, I1261, "")</f>
      </c>
      <c r="T1261" s="2" t="s">
        <v>5935</v>
      </c>
    </row>
    <row r="1262">
      <c r="A1262" s="2" t="s">
        <v>7539</v>
      </c>
      <c r="B1262" s="3" t="str">
        <f>C1262 &amp; ": " &amp; D1262</f>
        <v>witness-discriminates: ProcedureVersions.IsFitToExecute</v>
      </c>
      <c r="C1262" s="2" t="s">
        <v>7483</v>
      </c>
      <c r="D1262" s="2" t="s">
        <v>2688</v>
      </c>
      <c r="E1262" s="2" t="s">
        <v>1747</v>
      </c>
      <c r="F1262" s="2" t="s">
        <v>391</v>
      </c>
      <c r="G1262" s="2" t="s">
        <v>7484</v>
      </c>
      <c r="H1262" s="2" t="s">
        <v>1980</v>
      </c>
      <c r="I1262" s="2" t="s">
        <v>5924</v>
      </c>
      <c r="J1262" s="2" t="s">
        <v>7485</v>
      </c>
      <c r="K1262" s="3" t="b">
        <f>J1262 = "blocking"</f>
        <v>0</v>
      </c>
      <c r="L1262" s="2" t="s">
        <v>1431</v>
      </c>
      <c r="M1262" s="2" t="s">
        <v>7540</v>
      </c>
      <c r="N1262" s="4">
        <v>46223.1297337963</v>
      </c>
      <c r="O1262" s="3" t="b">
        <f>L1262 = "PASS"</f>
        <v>0</v>
      </c>
      <c r="P1262" s="3" t="b">
        <f>L1262 = "FAIL"</f>
        <v>0</v>
      </c>
      <c r="Q1262" s="3" t="b">
        <f>AND(P1262, K1262)</f>
        <v>0</v>
      </c>
      <c r="R1262" s="3" t="str">
        <f>IF(O1262, I1262, "")</f>
      </c>
      <c r="S1262" s="3" t="str">
        <f>IF(Q1262, I1262, "")</f>
      </c>
      <c r="T1262" s="2" t="s">
        <v>5935</v>
      </c>
    </row>
    <row r="1263">
      <c r="A1263" s="2" t="s">
        <v>7541</v>
      </c>
      <c r="B1263" s="3" t="str">
        <f>C1263 &amp; ": " &amp; D1263</f>
        <v>witness-discriminates: ProcedureVersions.HasAnySteward</v>
      </c>
      <c r="C1263" s="2" t="s">
        <v>7483</v>
      </c>
      <c r="D1263" s="2" t="s">
        <v>2694</v>
      </c>
      <c r="E1263" s="2" t="s">
        <v>1747</v>
      </c>
      <c r="F1263" s="2" t="s">
        <v>394</v>
      </c>
      <c r="G1263" s="2" t="s">
        <v>7484</v>
      </c>
      <c r="H1263" s="2" t="s">
        <v>2000</v>
      </c>
      <c r="I1263" s="2" t="s">
        <v>5924</v>
      </c>
      <c r="J1263" s="2" t="s">
        <v>7485</v>
      </c>
      <c r="K1263" s="3" t="b">
        <f>J1263 = "blocking"</f>
        <v>0</v>
      </c>
      <c r="L1263" s="2" t="s">
        <v>1428</v>
      </c>
      <c r="M1263" s="2" t="s">
        <v>7542</v>
      </c>
      <c r="N1263" s="4">
        <v>46223.1297337963</v>
      </c>
      <c r="O1263" s="3" t="b">
        <f>L1263 = "PASS"</f>
        <v>1</v>
      </c>
      <c r="P1263" s="3" t="b">
        <f>L1263 = "FAIL"</f>
        <v>0</v>
      </c>
      <c r="Q1263" s="3" t="b">
        <f>AND(P1263, K1263)</f>
        <v>0</v>
      </c>
      <c r="R1263" s="3" t="str">
        <f>IF(O1263, I1263, "")</f>
        <v>suite-witness</v>
      </c>
      <c r="S1263" s="3" t="str">
        <f>IF(Q1263, I1263, "")</f>
      </c>
      <c r="T1263" s="2" t="s">
        <v>5935</v>
      </c>
    </row>
    <row r="1264">
      <c r="A1264" s="2" t="s">
        <v>7543</v>
      </c>
      <c r="B1264" s="3" t="str">
        <f>C1264 &amp; ": " &amp; D1264</f>
        <v>witness-discriminates: ProcedureVersions.IsLive</v>
      </c>
      <c r="C1264" s="2" t="s">
        <v>7483</v>
      </c>
      <c r="D1264" s="2" t="s">
        <v>2696</v>
      </c>
      <c r="E1264" s="2" t="s">
        <v>1747</v>
      </c>
      <c r="F1264" s="2" t="s">
        <v>395</v>
      </c>
      <c r="G1264" s="2" t="s">
        <v>7484</v>
      </c>
      <c r="H1264" s="2" t="s">
        <v>2000</v>
      </c>
      <c r="I1264" s="2" t="s">
        <v>5924</v>
      </c>
      <c r="J1264" s="2" t="s">
        <v>7485</v>
      </c>
      <c r="K1264" s="3" t="b">
        <f>J1264 = "blocking"</f>
        <v>0</v>
      </c>
      <c r="L1264" s="2" t="s">
        <v>1428</v>
      </c>
      <c r="M1264" s="2" t="s">
        <v>7542</v>
      </c>
      <c r="N1264" s="4">
        <v>46223.1297337963</v>
      </c>
      <c r="O1264" s="3" t="b">
        <f>L1264 = "PASS"</f>
        <v>1</v>
      </c>
      <c r="P1264" s="3" t="b">
        <f>L1264 = "FAIL"</f>
        <v>0</v>
      </c>
      <c r="Q1264" s="3" t="b">
        <f>AND(P1264, K1264)</f>
        <v>0</v>
      </c>
      <c r="R1264" s="3" t="str">
        <f>IF(O1264, I1264, "")</f>
        <v>suite-witness</v>
      </c>
      <c r="S1264" s="3" t="str">
        <f>IF(Q1264, I1264, "")</f>
      </c>
      <c r="T1264" s="2" t="s">
        <v>5935</v>
      </c>
    </row>
    <row r="1265">
      <c r="A1265" s="2" t="s">
        <v>7544</v>
      </c>
      <c r="B1265" s="3" t="str">
        <f>C1265 &amp; ": " &amp; D1265</f>
        <v>witness-discriminates: ProcedureVersions.IsUnstewarded</v>
      </c>
      <c r="C1265" s="2" t="s">
        <v>7483</v>
      </c>
      <c r="D1265" s="2" t="s">
        <v>2698</v>
      </c>
      <c r="E1265" s="2" t="s">
        <v>1747</v>
      </c>
      <c r="F1265" s="2" t="s">
        <v>396</v>
      </c>
      <c r="G1265" s="2" t="s">
        <v>7484</v>
      </c>
      <c r="H1265" s="2" t="s">
        <v>2000</v>
      </c>
      <c r="I1265" s="2" t="s">
        <v>5924</v>
      </c>
      <c r="J1265" s="2" t="s">
        <v>7485</v>
      </c>
      <c r="K1265" s="3" t="b">
        <f>J1265 = "blocking"</f>
        <v>0</v>
      </c>
      <c r="L1265" s="2" t="s">
        <v>1428</v>
      </c>
      <c r="M1265" s="2" t="s">
        <v>7538</v>
      </c>
      <c r="N1265" s="4">
        <v>46223.1297337963</v>
      </c>
      <c r="O1265" s="3" t="b">
        <f>L1265 = "PASS"</f>
        <v>1</v>
      </c>
      <c r="P1265" s="3" t="b">
        <f>L1265 = "FAIL"</f>
        <v>0</v>
      </c>
      <c r="Q1265" s="3" t="b">
        <f>AND(P1265, K1265)</f>
        <v>0</v>
      </c>
      <c r="R1265" s="3" t="str">
        <f>IF(O1265, I1265, "")</f>
        <v>suite-witness</v>
      </c>
      <c r="S1265" s="3" t="str">
        <f>IF(Q1265, I1265, "")</f>
      </c>
      <c r="T1265" s="2" t="s">
        <v>5935</v>
      </c>
    </row>
    <row r="1266">
      <c r="A1266" s="2" t="s">
        <v>7545</v>
      </c>
      <c r="B1266" s="3" t="str">
        <f>C1266 &amp; ": " &amp; D1266</f>
        <v>witness-discriminates: ProcedureVersions.IsLiveAndUnstewarded</v>
      </c>
      <c r="C1266" s="2" t="s">
        <v>7483</v>
      </c>
      <c r="D1266" s="2" t="s">
        <v>2700</v>
      </c>
      <c r="E1266" s="2" t="s">
        <v>1747</v>
      </c>
      <c r="F1266" s="2" t="s">
        <v>397</v>
      </c>
      <c r="G1266" s="2" t="s">
        <v>7484</v>
      </c>
      <c r="H1266" s="2" t="s">
        <v>2000</v>
      </c>
      <c r="I1266" s="2" t="s">
        <v>5924</v>
      </c>
      <c r="J1266" s="2" t="s">
        <v>7485</v>
      </c>
      <c r="K1266" s="3" t="b">
        <f>J1266 = "blocking"</f>
        <v>0</v>
      </c>
      <c r="L1266" s="2" t="s">
        <v>1431</v>
      </c>
      <c r="M1266" s="2" t="s">
        <v>7540</v>
      </c>
      <c r="N1266" s="4">
        <v>46223.1297337963</v>
      </c>
      <c r="O1266" s="3" t="b">
        <f>L1266 = "PASS"</f>
        <v>0</v>
      </c>
      <c r="P1266" s="3" t="b">
        <f>L1266 = "FAIL"</f>
        <v>0</v>
      </c>
      <c r="Q1266" s="3" t="b">
        <f>AND(P1266, K1266)</f>
        <v>0</v>
      </c>
      <c r="R1266" s="3" t="str">
        <f>IF(O1266, I1266, "")</f>
      </c>
      <c r="S1266" s="3" t="str">
        <f>IF(Q1266, I1266, "")</f>
      </c>
      <c r="T1266" s="2" t="s">
        <v>5935</v>
      </c>
    </row>
    <row r="1267">
      <c r="A1267" s="2" t="s">
        <v>7546</v>
      </c>
      <c r="B1267" s="3" t="str">
        <f>C1267 &amp; ": " &amp; D1267</f>
        <v>witness-discriminates: ProcedureVersions.HasOpenBlockingGap</v>
      </c>
      <c r="C1267" s="2" t="s">
        <v>7483</v>
      </c>
      <c r="D1267" s="2" t="s">
        <v>2704</v>
      </c>
      <c r="E1267" s="2" t="s">
        <v>1747</v>
      </c>
      <c r="F1267" s="2" t="s">
        <v>399</v>
      </c>
      <c r="G1267" s="2" t="s">
        <v>7484</v>
      </c>
      <c r="H1267" s="2" t="s">
        <v>2008</v>
      </c>
      <c r="I1267" s="2" t="s">
        <v>5924</v>
      </c>
      <c r="J1267" s="2" t="s">
        <v>7485</v>
      </c>
      <c r="K1267" s="3" t="b">
        <f>J1267 = "blocking"</f>
        <v>0</v>
      </c>
      <c r="L1267" s="2" t="s">
        <v>1431</v>
      </c>
      <c r="M1267" s="2" t="s">
        <v>7540</v>
      </c>
      <c r="N1267" s="4">
        <v>46223.1297337963</v>
      </c>
      <c r="O1267" s="3" t="b">
        <f>L1267 = "PASS"</f>
        <v>0</v>
      </c>
      <c r="P1267" s="3" t="b">
        <f>L1267 = "FAIL"</f>
        <v>0</v>
      </c>
      <c r="Q1267" s="3" t="b">
        <f>AND(P1267, K1267)</f>
        <v>0</v>
      </c>
      <c r="R1267" s="3" t="str">
        <f>IF(O1267, I1267, "")</f>
      </c>
      <c r="S1267" s="3" t="str">
        <f>IF(Q1267, I1267, "")</f>
      </c>
      <c r="T1267" s="2" t="s">
        <v>5935</v>
      </c>
    </row>
    <row r="1268">
      <c r="A1268" s="2" t="s">
        <v>7547</v>
      </c>
      <c r="B1268" s="3" t="str">
        <f>C1268 &amp; ": " &amp; D1268</f>
        <v>witness-discriminates: ProcedureVersions.IsLiveWithBlockingGap</v>
      </c>
      <c r="C1268" s="2" t="s">
        <v>7483</v>
      </c>
      <c r="D1268" s="2" t="s">
        <v>2706</v>
      </c>
      <c r="E1268" s="2" t="s">
        <v>1747</v>
      </c>
      <c r="F1268" s="2" t="s">
        <v>400</v>
      </c>
      <c r="G1268" s="2" t="s">
        <v>7484</v>
      </c>
      <c r="H1268" s="2" t="s">
        <v>2008</v>
      </c>
      <c r="I1268" s="2" t="s">
        <v>5924</v>
      </c>
      <c r="J1268" s="2" t="s">
        <v>7485</v>
      </c>
      <c r="K1268" s="3" t="b">
        <f>J1268 = "blocking"</f>
        <v>0</v>
      </c>
      <c r="L1268" s="2" t="s">
        <v>1431</v>
      </c>
      <c r="M1268" s="2" t="s">
        <v>7540</v>
      </c>
      <c r="N1268" s="4">
        <v>46223.1297337963</v>
      </c>
      <c r="O1268" s="3" t="b">
        <f>L1268 = "PASS"</f>
        <v>0</v>
      </c>
      <c r="P1268" s="3" t="b">
        <f>L1268 = "FAIL"</f>
        <v>0</v>
      </c>
      <c r="Q1268" s="3" t="b">
        <f>AND(P1268, K1268)</f>
        <v>0</v>
      </c>
      <c r="R1268" s="3" t="str">
        <f>IF(O1268, I1268, "")</f>
      </c>
      <c r="S1268" s="3" t="str">
        <f>IF(Q1268, I1268, "")</f>
      </c>
      <c r="T1268" s="2" t="s">
        <v>5935</v>
      </c>
    </row>
    <row r="1269">
      <c r="A1269" s="2" t="s">
        <v>7548</v>
      </c>
      <c r="B1269" s="3" t="str">
        <f>C1269 &amp; ": " &amp; D1269</f>
        <v>witness-discriminates: ProcedureVersions.ShouldNotBeExecutable</v>
      </c>
      <c r="C1269" s="2" t="s">
        <v>7483</v>
      </c>
      <c r="D1269" s="2" t="s">
        <v>2708</v>
      </c>
      <c r="E1269" s="2" t="s">
        <v>1747</v>
      </c>
      <c r="F1269" s="2" t="s">
        <v>401</v>
      </c>
      <c r="G1269" s="2" t="s">
        <v>7484</v>
      </c>
      <c r="H1269" s="2" t="s">
        <v>2008</v>
      </c>
      <c r="I1269" s="2" t="s">
        <v>5924</v>
      </c>
      <c r="J1269" s="2" t="s">
        <v>7485</v>
      </c>
      <c r="K1269" s="3" t="b">
        <f>J1269 = "blocking"</f>
        <v>0</v>
      </c>
      <c r="L1269" s="2" t="s">
        <v>1431</v>
      </c>
      <c r="M1269" s="2" t="s">
        <v>7540</v>
      </c>
      <c r="N1269" s="4">
        <v>46223.1297337963</v>
      </c>
      <c r="O1269" s="3" t="b">
        <f>L1269 = "PASS"</f>
        <v>0</v>
      </c>
      <c r="P1269" s="3" t="b">
        <f>L1269 = "FAIL"</f>
        <v>0</v>
      </c>
      <c r="Q1269" s="3" t="b">
        <f>AND(P1269, K1269)</f>
        <v>0</v>
      </c>
      <c r="R1269" s="3" t="str">
        <f>IF(O1269, I1269, "")</f>
      </c>
      <c r="S1269" s="3" t="str">
        <f>IF(Q1269, I1269, "")</f>
      </c>
      <c r="T1269" s="2" t="s">
        <v>5935</v>
      </c>
    </row>
    <row r="1270">
      <c r="A1270" s="2" t="s">
        <v>7549</v>
      </c>
      <c r="B1270" s="3" t="str">
        <f>C1270 &amp; ": " &amp; D1270</f>
        <v>witness-discriminates: ProcedureVersions.RunsOnUnapprovedKnowledge</v>
      </c>
      <c r="C1270" s="2" t="s">
        <v>7483</v>
      </c>
      <c r="D1270" s="2" t="s">
        <v>2712</v>
      </c>
      <c r="E1270" s="2" t="s">
        <v>1747</v>
      </c>
      <c r="F1270" s="2" t="s">
        <v>403</v>
      </c>
      <c r="G1270" s="2" t="s">
        <v>7484</v>
      </c>
      <c r="H1270" s="2" t="s">
        <v>2020</v>
      </c>
      <c r="I1270" s="2" t="s">
        <v>5924</v>
      </c>
      <c r="J1270" s="2" t="s">
        <v>7485</v>
      </c>
      <c r="K1270" s="3" t="b">
        <f>J1270 = "blocking"</f>
        <v>0</v>
      </c>
      <c r="L1270" s="2" t="s">
        <v>1431</v>
      </c>
      <c r="M1270" s="2" t="s">
        <v>7550</v>
      </c>
      <c r="N1270" s="4">
        <v>46223.1297337963</v>
      </c>
      <c r="O1270" s="3" t="b">
        <f>L1270 = "PASS"</f>
        <v>0</v>
      </c>
      <c r="P1270" s="3" t="b">
        <f>L1270 = "FAIL"</f>
        <v>0</v>
      </c>
      <c r="Q1270" s="3" t="b">
        <f>AND(P1270, K1270)</f>
        <v>0</v>
      </c>
      <c r="R1270" s="3" t="str">
        <f>IF(O1270, I1270, "")</f>
      </c>
      <c r="S1270" s="3" t="str">
        <f>IF(Q1270, I1270, "")</f>
      </c>
      <c r="T1270" s="2" t="s">
        <v>5935</v>
      </c>
    </row>
    <row r="1271">
      <c r="A1271" s="2" t="s">
        <v>7551</v>
      </c>
      <c r="B1271" s="3" t="str">
        <f>C1271 &amp; ": " &amp; D1271</f>
        <v>witness-discriminates: ProcedureVersions.HasGovernanceRecord</v>
      </c>
      <c r="C1271" s="2" t="s">
        <v>7483</v>
      </c>
      <c r="D1271" s="2" t="s">
        <v>2720</v>
      </c>
      <c r="E1271" s="2" t="s">
        <v>1747</v>
      </c>
      <c r="F1271" s="2" t="s">
        <v>407</v>
      </c>
      <c r="G1271" s="2" t="s">
        <v>7484</v>
      </c>
      <c r="H1271" s="2" t="s">
        <v>2032</v>
      </c>
      <c r="I1271" s="2" t="s">
        <v>5924</v>
      </c>
      <c r="J1271" s="2" t="s">
        <v>7485</v>
      </c>
      <c r="K1271" s="3" t="b">
        <f>J1271 = "blocking"</f>
        <v>0</v>
      </c>
      <c r="L1271" s="2" t="s">
        <v>1428</v>
      </c>
      <c r="M1271" s="2" t="s">
        <v>7542</v>
      </c>
      <c r="N1271" s="4">
        <v>46223.1297337963</v>
      </c>
      <c r="O1271" s="3" t="b">
        <f>L1271 = "PASS"</f>
        <v>1</v>
      </c>
      <c r="P1271" s="3" t="b">
        <f>L1271 = "FAIL"</f>
        <v>0</v>
      </c>
      <c r="Q1271" s="3" t="b">
        <f>AND(P1271, K1271)</f>
        <v>0</v>
      </c>
      <c r="R1271" s="3" t="str">
        <f>IF(O1271, I1271, "")</f>
        <v>suite-witness</v>
      </c>
      <c r="S1271" s="3" t="str">
        <f>IF(Q1271, I1271, "")</f>
      </c>
      <c r="T1271" s="2" t="s">
        <v>5935</v>
      </c>
    </row>
    <row r="1272">
      <c r="A1272" s="2" t="s">
        <v>7552</v>
      </c>
      <c r="B1272" s="3" t="str">
        <f>C1272 &amp; ": " &amp; D1272</f>
        <v>witness-discriminates: ProcedureVersions.WasModifiedSinceLastReview</v>
      </c>
      <c r="C1272" s="2" t="s">
        <v>7483</v>
      </c>
      <c r="D1272" s="2" t="s">
        <v>2728</v>
      </c>
      <c r="E1272" s="2" t="s">
        <v>1747</v>
      </c>
      <c r="F1272" s="2" t="s">
        <v>410</v>
      </c>
      <c r="G1272" s="2" t="s">
        <v>7484</v>
      </c>
      <c r="H1272" s="2" t="s">
        <v>2032</v>
      </c>
      <c r="I1272" s="2" t="s">
        <v>5924</v>
      </c>
      <c r="J1272" s="2" t="s">
        <v>7485</v>
      </c>
      <c r="K1272" s="3" t="b">
        <f>J1272 = "blocking"</f>
        <v>0</v>
      </c>
      <c r="L1272" s="2" t="s">
        <v>1431</v>
      </c>
      <c r="M1272" s="2" t="s">
        <v>7553</v>
      </c>
      <c r="N1272" s="4">
        <v>46223.1297337963</v>
      </c>
      <c r="O1272" s="3" t="b">
        <f>L1272 = "PASS"</f>
        <v>0</v>
      </c>
      <c r="P1272" s="3" t="b">
        <f>L1272 = "FAIL"</f>
        <v>0</v>
      </c>
      <c r="Q1272" s="3" t="b">
        <f>AND(P1272, K1272)</f>
        <v>0</v>
      </c>
      <c r="R1272" s="3" t="str">
        <f>IF(O1272, I1272, "")</f>
      </c>
      <c r="S1272" s="3" t="str">
        <f>IF(Q1272, I1272, "")</f>
      </c>
      <c r="T1272" s="2" t="s">
        <v>5935</v>
      </c>
    </row>
    <row r="1273">
      <c r="A1273" s="2" t="s">
        <v>7554</v>
      </c>
      <c r="B1273" s="3" t="str">
        <f>C1273 &amp; ": " &amp; D1273</f>
        <v>witness-discriminates: ProcedureVersions.HasUnwitnessedChange</v>
      </c>
      <c r="C1273" s="2" t="s">
        <v>7483</v>
      </c>
      <c r="D1273" s="2" t="s">
        <v>2732</v>
      </c>
      <c r="E1273" s="2" t="s">
        <v>1747</v>
      </c>
      <c r="F1273" s="2" t="s">
        <v>412</v>
      </c>
      <c r="G1273" s="2" t="s">
        <v>7484</v>
      </c>
      <c r="H1273" s="2" t="s">
        <v>2032</v>
      </c>
      <c r="I1273" s="2" t="s">
        <v>5924</v>
      </c>
      <c r="J1273" s="2" t="s">
        <v>7485</v>
      </c>
      <c r="K1273" s="3" t="b">
        <f>J1273 = "blocking"</f>
        <v>0</v>
      </c>
      <c r="L1273" s="2" t="s">
        <v>1431</v>
      </c>
      <c r="M1273" s="2" t="s">
        <v>7540</v>
      </c>
      <c r="N1273" s="4">
        <v>46223.1297337963</v>
      </c>
      <c r="O1273" s="3" t="b">
        <f>L1273 = "PASS"</f>
        <v>0</v>
      </c>
      <c r="P1273" s="3" t="b">
        <f>L1273 = "FAIL"</f>
        <v>0</v>
      </c>
      <c r="Q1273" s="3" t="b">
        <f>AND(P1273, K1273)</f>
        <v>0</v>
      </c>
      <c r="R1273" s="3" t="str">
        <f>IF(O1273, I1273, "")</f>
      </c>
      <c r="S1273" s="3" t="str">
        <f>IF(Q1273, I1273, "")</f>
      </c>
      <c r="T1273" s="2" t="s">
        <v>5935</v>
      </c>
    </row>
    <row r="1274">
      <c r="A1274" s="2" t="s">
        <v>7555</v>
      </c>
      <c r="B1274" s="3" t="str">
        <f>C1274 &amp; ": " &amp; D1274</f>
        <v>witness-discriminates: ProcedureVersions.KnowledgeIsStalerThanCadence</v>
      </c>
      <c r="C1274" s="2" t="s">
        <v>7483</v>
      </c>
      <c r="D1274" s="2" t="s">
        <v>2736</v>
      </c>
      <c r="E1274" s="2" t="s">
        <v>1747</v>
      </c>
      <c r="F1274" s="2" t="s">
        <v>414</v>
      </c>
      <c r="G1274" s="2" t="s">
        <v>7484</v>
      </c>
      <c r="H1274" s="2" t="s">
        <v>2132</v>
      </c>
      <c r="I1274" s="2" t="s">
        <v>5924</v>
      </c>
      <c r="J1274" s="2" t="s">
        <v>7485</v>
      </c>
      <c r="K1274" s="3" t="b">
        <f>J1274 = "blocking"</f>
        <v>0</v>
      </c>
      <c r="L1274" s="2" t="s">
        <v>1431</v>
      </c>
      <c r="M1274" s="2" t="s">
        <v>7550</v>
      </c>
      <c r="N1274" s="4">
        <v>46223.1297337963</v>
      </c>
      <c r="O1274" s="3" t="b">
        <f>L1274 = "PASS"</f>
        <v>0</v>
      </c>
      <c r="P1274" s="3" t="b">
        <f>L1274 = "FAIL"</f>
        <v>0</v>
      </c>
      <c r="Q1274" s="3" t="b">
        <f>AND(P1274, K1274)</f>
        <v>0</v>
      </c>
      <c r="R1274" s="3" t="str">
        <f>IF(O1274, I1274, "")</f>
      </c>
      <c r="S1274" s="3" t="str">
        <f>IF(Q1274, I1274, "")</f>
      </c>
      <c r="T1274" s="2" t="s">
        <v>5935</v>
      </c>
    </row>
    <row r="1275">
      <c r="A1275" s="2" t="s">
        <v>7556</v>
      </c>
      <c r="B1275" s="3" t="str">
        <f>C1275 &amp; ": " &amp; D1275</f>
        <v>witness-discriminates: ProcedureVersions.RestsOnCompoundFragileKnowledge</v>
      </c>
      <c r="C1275" s="2" t="s">
        <v>7483</v>
      </c>
      <c r="D1275" s="2" t="s">
        <v>2740</v>
      </c>
      <c r="E1275" s="2" t="s">
        <v>1747</v>
      </c>
      <c r="F1275" s="2" t="s">
        <v>416</v>
      </c>
      <c r="G1275" s="2" t="s">
        <v>7484</v>
      </c>
      <c r="H1275" s="2" t="s">
        <v>2176</v>
      </c>
      <c r="I1275" s="2" t="s">
        <v>5924</v>
      </c>
      <c r="J1275" s="2" t="s">
        <v>7485</v>
      </c>
      <c r="K1275" s="3" t="b">
        <f>J1275 = "blocking"</f>
        <v>0</v>
      </c>
      <c r="L1275" s="2" t="s">
        <v>1428</v>
      </c>
      <c r="M1275" s="2" t="s">
        <v>7538</v>
      </c>
      <c r="N1275" s="4">
        <v>46223.1297337963</v>
      </c>
      <c r="O1275" s="3" t="b">
        <f>L1275 = "PASS"</f>
        <v>1</v>
      </c>
      <c r="P1275" s="3" t="b">
        <f>L1275 = "FAIL"</f>
        <v>0</v>
      </c>
      <c r="Q1275" s="3" t="b">
        <f>AND(P1275, K1275)</f>
        <v>0</v>
      </c>
      <c r="R1275" s="3" t="str">
        <f>IF(O1275, I1275, "")</f>
        <v>suite-witness</v>
      </c>
      <c r="S1275" s="3" t="str">
        <f>IF(Q1275, I1275, "")</f>
      </c>
      <c r="T1275" s="2" t="s">
        <v>5935</v>
      </c>
    </row>
    <row r="1276">
      <c r="A1276" s="2" t="s">
        <v>7557</v>
      </c>
      <c r="B1276" s="3" t="str">
        <f>C1276 &amp; ": " &amp; D1276</f>
        <v>witness-discriminates: ProcedureVersions.KnowledgeBaseIsConcentrated</v>
      </c>
      <c r="C1276" s="2" t="s">
        <v>7483</v>
      </c>
      <c r="D1276" s="2" t="s">
        <v>2744</v>
      </c>
      <c r="E1276" s="2" t="s">
        <v>1747</v>
      </c>
      <c r="F1276" s="2" t="s">
        <v>418</v>
      </c>
      <c r="G1276" s="2" t="s">
        <v>7484</v>
      </c>
      <c r="H1276" s="2" t="s">
        <v>2184</v>
      </c>
      <c r="I1276" s="2" t="s">
        <v>5924</v>
      </c>
      <c r="J1276" s="2" t="s">
        <v>7485</v>
      </c>
      <c r="K1276" s="3" t="b">
        <f>J1276 = "blocking"</f>
        <v>0</v>
      </c>
      <c r="L1276" s="2" t="s">
        <v>1428</v>
      </c>
      <c r="M1276" s="2" t="s">
        <v>7538</v>
      </c>
      <c r="N1276" s="4">
        <v>46223.1297337963</v>
      </c>
      <c r="O1276" s="3" t="b">
        <f>L1276 = "PASS"</f>
        <v>1</v>
      </c>
      <c r="P1276" s="3" t="b">
        <f>L1276 = "FAIL"</f>
        <v>0</v>
      </c>
      <c r="Q1276" s="3" t="b">
        <f>AND(P1276, K1276)</f>
        <v>0</v>
      </c>
      <c r="R1276" s="3" t="str">
        <f>IF(O1276, I1276, "")</f>
        <v>suite-witness</v>
      </c>
      <c r="S1276" s="3" t="str">
        <f>IF(Q1276, I1276, "")</f>
      </c>
      <c r="T1276" s="2" t="s">
        <v>5935</v>
      </c>
    </row>
    <row r="1277">
      <c r="A1277" s="2" t="s">
        <v>7558</v>
      </c>
      <c r="B1277" s="3" t="str">
        <f>C1277 &amp; ": " &amp; D1277</f>
        <v>witness-discriminates: ProcedureVersions.FeedsUnapprovedKnowledgeToMachines</v>
      </c>
      <c r="C1277" s="2" t="s">
        <v>7483</v>
      </c>
      <c r="D1277" s="2" t="s">
        <v>2748</v>
      </c>
      <c r="E1277" s="2" t="s">
        <v>1747</v>
      </c>
      <c r="F1277" s="2" t="s">
        <v>420</v>
      </c>
      <c r="G1277" s="2" t="s">
        <v>7484</v>
      </c>
      <c r="H1277" s="2" t="s">
        <v>2188</v>
      </c>
      <c r="I1277" s="2" t="s">
        <v>5924</v>
      </c>
      <c r="J1277" s="2" t="s">
        <v>7485</v>
      </c>
      <c r="K1277" s="3" t="b">
        <f>J1277 = "blocking"</f>
        <v>0</v>
      </c>
      <c r="L1277" s="2" t="s">
        <v>1428</v>
      </c>
      <c r="M1277" s="2" t="s">
        <v>7538</v>
      </c>
      <c r="N1277" s="4">
        <v>46223.1297337963</v>
      </c>
      <c r="O1277" s="3" t="b">
        <f>L1277 = "PASS"</f>
        <v>1</v>
      </c>
      <c r="P1277" s="3" t="b">
        <f>L1277 = "FAIL"</f>
        <v>0</v>
      </c>
      <c r="Q1277" s="3" t="b">
        <f>AND(P1277, K1277)</f>
        <v>0</v>
      </c>
      <c r="R1277" s="3" t="str">
        <f>IF(O1277, I1277, "")</f>
        <v>suite-witness</v>
      </c>
      <c r="S1277" s="3" t="str">
        <f>IF(Q1277, I1277, "")</f>
      </c>
      <c r="T1277" s="2" t="s">
        <v>5935</v>
      </c>
    </row>
    <row r="1278">
      <c r="A1278" s="2" t="s">
        <v>7559</v>
      </c>
      <c r="B1278" s="3" t="str">
        <f>C1278 &amp; ": " &amp; D1278</f>
        <v>witness-discriminates: ProcedureVersions.IsBlockedOnPendingDecision</v>
      </c>
      <c r="C1278" s="2" t="s">
        <v>7483</v>
      </c>
      <c r="D1278" s="2" t="s">
        <v>2756</v>
      </c>
      <c r="E1278" s="2" t="s">
        <v>1747</v>
      </c>
      <c r="F1278" s="2" t="s">
        <v>424</v>
      </c>
      <c r="G1278" s="2" t="s">
        <v>7484</v>
      </c>
      <c r="H1278" s="2" t="s">
        <v>2196</v>
      </c>
      <c r="I1278" s="2" t="s">
        <v>5924</v>
      </c>
      <c r="J1278" s="2" t="s">
        <v>7485</v>
      </c>
      <c r="K1278" s="3" t="b">
        <f>J1278 = "blocking"</f>
        <v>0</v>
      </c>
      <c r="L1278" s="2" t="s">
        <v>1431</v>
      </c>
      <c r="M1278" s="2" t="s">
        <v>7540</v>
      </c>
      <c r="N1278" s="4">
        <v>46223.1297337963</v>
      </c>
      <c r="O1278" s="3" t="b">
        <f>L1278 = "PASS"</f>
        <v>0</v>
      </c>
      <c r="P1278" s="3" t="b">
        <f>L1278 = "FAIL"</f>
        <v>0</v>
      </c>
      <c r="Q1278" s="3" t="b">
        <f>AND(P1278, K1278)</f>
        <v>0</v>
      </c>
      <c r="R1278" s="3" t="str">
        <f>IF(O1278, I1278, "")</f>
      </c>
      <c r="S1278" s="3" t="str">
        <f>IF(Q1278, I1278, "")</f>
      </c>
      <c r="T1278" s="2" t="s">
        <v>5935</v>
      </c>
    </row>
    <row r="1279">
      <c r="A1279" s="2" t="s">
        <v>7560</v>
      </c>
      <c r="B1279" s="3" t="str">
        <f>C1279 &amp; ": " &amp; D1279</f>
        <v>witness-discriminates: ProcedureVersions.AiBoundaryIsUnevidenced</v>
      </c>
      <c r="C1279" s="2" t="s">
        <v>7483</v>
      </c>
      <c r="D1279" s="2" t="s">
        <v>2760</v>
      </c>
      <c r="E1279" s="2" t="s">
        <v>1747</v>
      </c>
      <c r="F1279" s="2" t="s">
        <v>426</v>
      </c>
      <c r="G1279" s="2" t="s">
        <v>7484</v>
      </c>
      <c r="H1279" s="2" t="s">
        <v>2200</v>
      </c>
      <c r="I1279" s="2" t="s">
        <v>5924</v>
      </c>
      <c r="J1279" s="2" t="s">
        <v>7485</v>
      </c>
      <c r="K1279" s="3" t="b">
        <f>J1279 = "blocking"</f>
        <v>0</v>
      </c>
      <c r="L1279" s="2" t="s">
        <v>1428</v>
      </c>
      <c r="M1279" s="2" t="s">
        <v>7542</v>
      </c>
      <c r="N1279" s="4">
        <v>46223.1297337963</v>
      </c>
      <c r="O1279" s="3" t="b">
        <f>L1279 = "PASS"</f>
        <v>1</v>
      </c>
      <c r="P1279" s="3" t="b">
        <f>L1279 = "FAIL"</f>
        <v>0</v>
      </c>
      <c r="Q1279" s="3" t="b">
        <f>AND(P1279, K1279)</f>
        <v>0</v>
      </c>
      <c r="R1279" s="3" t="str">
        <f>IF(O1279, I1279, "")</f>
        <v>suite-witness</v>
      </c>
      <c r="S1279" s="3" t="str">
        <f>IF(Q1279, I1279, "")</f>
      </c>
      <c r="T1279" s="2" t="s">
        <v>5935</v>
      </c>
    </row>
    <row r="1280">
      <c r="A1280" s="2" t="s">
        <v>7561</v>
      </c>
      <c r="B1280" s="3" t="str">
        <f>C1280 &amp; ": " &amp; D1280</f>
        <v>witness-discriminates: ProcedureVersions.HasUnrehearsedControlEntry</v>
      </c>
      <c r="C1280" s="2" t="s">
        <v>7483</v>
      </c>
      <c r="D1280" s="2" t="s">
        <v>2768</v>
      </c>
      <c r="E1280" s="2" t="s">
        <v>1747</v>
      </c>
      <c r="F1280" s="2" t="s">
        <v>430</v>
      </c>
      <c r="G1280" s="2" t="s">
        <v>7484</v>
      </c>
      <c r="H1280" s="2" t="s">
        <v>2216</v>
      </c>
      <c r="I1280" s="2" t="s">
        <v>5924</v>
      </c>
      <c r="J1280" s="2" t="s">
        <v>7485</v>
      </c>
      <c r="K1280" s="3" t="b">
        <f>J1280 = "blocking"</f>
        <v>0</v>
      </c>
      <c r="L1280" s="2" t="s">
        <v>1428</v>
      </c>
      <c r="M1280" s="2" t="s">
        <v>7542</v>
      </c>
      <c r="N1280" s="4">
        <v>46223.1297337963</v>
      </c>
      <c r="O1280" s="3" t="b">
        <f>L1280 = "PASS"</f>
        <v>1</v>
      </c>
      <c r="P1280" s="3" t="b">
        <f>L1280 = "FAIL"</f>
        <v>0</v>
      </c>
      <c r="Q1280" s="3" t="b">
        <f>AND(P1280, K1280)</f>
        <v>0</v>
      </c>
      <c r="R1280" s="3" t="str">
        <f>IF(O1280, I1280, "")</f>
        <v>suite-witness</v>
      </c>
      <c r="S1280" s="3" t="str">
        <f>IF(Q1280, I1280, "")</f>
      </c>
      <c r="T1280" s="2" t="s">
        <v>5935</v>
      </c>
    </row>
    <row r="1281">
      <c r="A1281" s="2" t="s">
        <v>7562</v>
      </c>
      <c r="B1281" s="3" t="str">
        <f>C1281 &amp; ": " &amp; D1281</f>
        <v>witness-discriminates: ProcedureVersions.IsLiveWithUnrehearsedControl</v>
      </c>
      <c r="C1281" s="2" t="s">
        <v>7483</v>
      </c>
      <c r="D1281" s="2" t="s">
        <v>2770</v>
      </c>
      <c r="E1281" s="2" t="s">
        <v>1747</v>
      </c>
      <c r="F1281" s="2" t="s">
        <v>431</v>
      </c>
      <c r="G1281" s="2" t="s">
        <v>7484</v>
      </c>
      <c r="H1281" s="2" t="s">
        <v>2216</v>
      </c>
      <c r="I1281" s="2" t="s">
        <v>5924</v>
      </c>
      <c r="J1281" s="2" t="s">
        <v>7485</v>
      </c>
      <c r="K1281" s="3" t="b">
        <f>J1281 = "blocking"</f>
        <v>0</v>
      </c>
      <c r="L1281" s="2" t="s">
        <v>1428</v>
      </c>
      <c r="M1281" s="2" t="s">
        <v>7542</v>
      </c>
      <c r="N1281" s="4">
        <v>46223.1297337963</v>
      </c>
      <c r="O1281" s="3" t="b">
        <f>L1281 = "PASS"</f>
        <v>1</v>
      </c>
      <c r="P1281" s="3" t="b">
        <f>L1281 = "FAIL"</f>
        <v>0</v>
      </c>
      <c r="Q1281" s="3" t="b">
        <f>AND(P1281, K1281)</f>
        <v>0</v>
      </c>
      <c r="R1281" s="3" t="str">
        <f>IF(O1281, I1281, "")</f>
        <v>suite-witness</v>
      </c>
      <c r="S1281" s="3" t="str">
        <f>IF(Q1281, I1281, "")</f>
      </c>
      <c r="T1281" s="2" t="s">
        <v>5935</v>
      </c>
    </row>
    <row r="1282">
      <c r="A1282" s="2" t="s">
        <v>7563</v>
      </c>
      <c r="B1282" s="3" t="str">
        <f>C1282 &amp; ": " &amp; D1282</f>
        <v>witness-discriminates: ProcedureVersions.IsInCadenceBreach</v>
      </c>
      <c r="C1282" s="2" t="s">
        <v>7483</v>
      </c>
      <c r="D1282" s="2" t="s">
        <v>2774</v>
      </c>
      <c r="E1282" s="2" t="s">
        <v>1747</v>
      </c>
      <c r="F1282" s="2" t="s">
        <v>433</v>
      </c>
      <c r="G1282" s="2" t="s">
        <v>7484</v>
      </c>
      <c r="H1282" s="2" t="s">
        <v>2220</v>
      </c>
      <c r="I1282" s="2" t="s">
        <v>5924</v>
      </c>
      <c r="J1282" s="2" t="s">
        <v>7485</v>
      </c>
      <c r="K1282" s="3" t="b">
        <f>J1282 = "blocking"</f>
        <v>0</v>
      </c>
      <c r="L1282" s="2" t="s">
        <v>1428</v>
      </c>
      <c r="M1282" s="2" t="s">
        <v>7538</v>
      </c>
      <c r="N1282" s="4">
        <v>46223.1297337963</v>
      </c>
      <c r="O1282" s="3" t="b">
        <f>L1282 = "PASS"</f>
        <v>1</v>
      </c>
      <c r="P1282" s="3" t="b">
        <f>L1282 = "FAIL"</f>
        <v>0</v>
      </c>
      <c r="Q1282" s="3" t="b">
        <f>AND(P1282, K1282)</f>
        <v>0</v>
      </c>
      <c r="R1282" s="3" t="str">
        <f>IF(O1282, I1282, "")</f>
        <v>suite-witness</v>
      </c>
      <c r="S1282" s="3" t="str">
        <f>IF(Q1282, I1282, "")</f>
      </c>
      <c r="T1282" s="2" t="s">
        <v>5935</v>
      </c>
    </row>
    <row r="1283">
      <c r="A1283" s="2" t="s">
        <v>7564</v>
      </c>
      <c r="B1283" s="3" t="str">
        <f>C1283 &amp; ": " &amp; D1283</f>
        <v>witness-discriminates: ProcedureVersions.HasDecisionInFlight</v>
      </c>
      <c r="C1283" s="2" t="s">
        <v>7483</v>
      </c>
      <c r="D1283" s="2" t="s">
        <v>2776</v>
      </c>
      <c r="E1283" s="2" t="s">
        <v>1747</v>
      </c>
      <c r="F1283" s="2" t="s">
        <v>434</v>
      </c>
      <c r="G1283" s="2" t="s">
        <v>7484</v>
      </c>
      <c r="H1283" s="2" t="s">
        <v>2220</v>
      </c>
      <c r="I1283" s="2" t="s">
        <v>5924</v>
      </c>
      <c r="J1283" s="2" t="s">
        <v>7485</v>
      </c>
      <c r="K1283" s="3" t="b">
        <f>J1283 = "blocking"</f>
        <v>0</v>
      </c>
      <c r="L1283" s="2" t="s">
        <v>1428</v>
      </c>
      <c r="M1283" s="2" t="s">
        <v>7538</v>
      </c>
      <c r="N1283" s="4">
        <v>46223.1297337963</v>
      </c>
      <c r="O1283" s="3" t="b">
        <f>L1283 = "PASS"</f>
        <v>1</v>
      </c>
      <c r="P1283" s="3" t="b">
        <f>L1283 = "FAIL"</f>
        <v>0</v>
      </c>
      <c r="Q1283" s="3" t="b">
        <f>AND(P1283, K1283)</f>
        <v>0</v>
      </c>
      <c r="R1283" s="3" t="str">
        <f>IF(O1283, I1283, "")</f>
        <v>suite-witness</v>
      </c>
      <c r="S1283" s="3" t="str">
        <f>IF(Q1283, I1283, "")</f>
      </c>
      <c r="T1283" s="2" t="s">
        <v>5935</v>
      </c>
    </row>
    <row r="1284">
      <c r="A1284" s="2" t="s">
        <v>7565</v>
      </c>
      <c r="B1284" s="3" t="str">
        <f>C1284 &amp; ": " &amp; D1284</f>
        <v>witness-discriminates: ProcedureVersions.IsUnremediatedCadenceBreach</v>
      </c>
      <c r="C1284" s="2" t="s">
        <v>7483</v>
      </c>
      <c r="D1284" s="2" t="s">
        <v>2778</v>
      </c>
      <c r="E1284" s="2" t="s">
        <v>1747</v>
      </c>
      <c r="F1284" s="2" t="s">
        <v>435</v>
      </c>
      <c r="G1284" s="2" t="s">
        <v>7484</v>
      </c>
      <c r="H1284" s="2" t="s">
        <v>2220</v>
      </c>
      <c r="I1284" s="2" t="s">
        <v>5924</v>
      </c>
      <c r="J1284" s="2" t="s">
        <v>7485</v>
      </c>
      <c r="K1284" s="3" t="b">
        <f>J1284 = "blocking"</f>
        <v>0</v>
      </c>
      <c r="L1284" s="2" t="s">
        <v>1428</v>
      </c>
      <c r="M1284" s="2" t="s">
        <v>7538</v>
      </c>
      <c r="N1284" s="4">
        <v>46223.1297337963</v>
      </c>
      <c r="O1284" s="3" t="b">
        <f>L1284 = "PASS"</f>
        <v>1</v>
      </c>
      <c r="P1284" s="3" t="b">
        <f>L1284 = "FAIL"</f>
        <v>0</v>
      </c>
      <c r="Q1284" s="3" t="b">
        <f>AND(P1284, K1284)</f>
        <v>0</v>
      </c>
      <c r="R1284" s="3" t="str">
        <f>IF(O1284, I1284, "")</f>
        <v>suite-witness</v>
      </c>
      <c r="S1284" s="3" t="str">
        <f>IF(Q1284, I1284, "")</f>
      </c>
      <c r="T1284" s="2" t="s">
        <v>5935</v>
      </c>
    </row>
    <row r="1285">
      <c r="A1285" s="2" t="s">
        <v>7566</v>
      </c>
      <c r="B1285" s="3" t="str">
        <f>C1285 &amp; ": " &amp; D1285</f>
        <v>witness-discriminates: ProcedureVersions.IsManagedCadenceBreach</v>
      </c>
      <c r="C1285" s="2" t="s">
        <v>7483</v>
      </c>
      <c r="D1285" s="2" t="s">
        <v>2780</v>
      </c>
      <c r="E1285" s="2" t="s">
        <v>1747</v>
      </c>
      <c r="F1285" s="2" t="s">
        <v>436</v>
      </c>
      <c r="G1285" s="2" t="s">
        <v>7484</v>
      </c>
      <c r="H1285" s="2" t="s">
        <v>2220</v>
      </c>
      <c r="I1285" s="2" t="s">
        <v>5924</v>
      </c>
      <c r="J1285" s="2" t="s">
        <v>7485</v>
      </c>
      <c r="K1285" s="3" t="b">
        <f>J1285 = "blocking"</f>
        <v>0</v>
      </c>
      <c r="L1285" s="2" t="s">
        <v>1431</v>
      </c>
      <c r="M1285" s="2" t="s">
        <v>7540</v>
      </c>
      <c r="N1285" s="4">
        <v>46223.1297337963</v>
      </c>
      <c r="O1285" s="3" t="b">
        <f>L1285 = "PASS"</f>
        <v>0</v>
      </c>
      <c r="P1285" s="3" t="b">
        <f>L1285 = "FAIL"</f>
        <v>0</v>
      </c>
      <c r="Q1285" s="3" t="b">
        <f>AND(P1285, K1285)</f>
        <v>0</v>
      </c>
      <c r="R1285" s="3" t="str">
        <f>IF(O1285, I1285, "")</f>
      </c>
      <c r="S1285" s="3" t="str">
        <f>IF(Q1285, I1285, "")</f>
      </c>
      <c r="T1285" s="2" t="s">
        <v>5935</v>
      </c>
    </row>
    <row r="1286">
      <c r="A1286" s="2" t="s">
        <v>7567</v>
      </c>
      <c r="B1286" s="3" t="str">
        <f>C1286 &amp; ": " &amp; D1286</f>
        <v>witness-discriminates: ProcedureVersions.GovernanceIsSilent</v>
      </c>
      <c r="C1286" s="2" t="s">
        <v>7483</v>
      </c>
      <c r="D1286" s="2" t="s">
        <v>2782</v>
      </c>
      <c r="E1286" s="2" t="s">
        <v>1747</v>
      </c>
      <c r="F1286" s="2" t="s">
        <v>437</v>
      </c>
      <c r="G1286" s="2" t="s">
        <v>7484</v>
      </c>
      <c r="H1286" s="2" t="s">
        <v>2220</v>
      </c>
      <c r="I1286" s="2" t="s">
        <v>5924</v>
      </c>
      <c r="J1286" s="2" t="s">
        <v>7485</v>
      </c>
      <c r="K1286" s="3" t="b">
        <f>J1286 = "blocking"</f>
        <v>0</v>
      </c>
      <c r="L1286" s="2" t="s">
        <v>1431</v>
      </c>
      <c r="M1286" s="2" t="s">
        <v>7540</v>
      </c>
      <c r="N1286" s="4">
        <v>46223.1297337963</v>
      </c>
      <c r="O1286" s="3" t="b">
        <f>L1286 = "PASS"</f>
        <v>0</v>
      </c>
      <c r="P1286" s="3" t="b">
        <f>L1286 = "FAIL"</f>
        <v>0</v>
      </c>
      <c r="Q1286" s="3" t="b">
        <f>AND(P1286, K1286)</f>
        <v>0</v>
      </c>
      <c r="R1286" s="3" t="str">
        <f>IF(O1286, I1286, "")</f>
      </c>
      <c r="S1286" s="3" t="str">
        <f>IF(Q1286, I1286, "")</f>
      </c>
      <c r="T1286" s="2" t="s">
        <v>5935</v>
      </c>
    </row>
    <row r="1287">
      <c r="A1287" s="2" t="s">
        <v>7568</v>
      </c>
      <c r="B1287" s="3" t="str">
        <f>C1287 &amp; ": " &amp; D1287</f>
        <v>witness-discriminates: ProcedureVersions.StillOwnsValidKnowledge</v>
      </c>
      <c r="C1287" s="2" t="s">
        <v>7483</v>
      </c>
      <c r="D1287" s="2" t="s">
        <v>2786</v>
      </c>
      <c r="E1287" s="2" t="s">
        <v>1747</v>
      </c>
      <c r="F1287" s="2" t="s">
        <v>439</v>
      </c>
      <c r="G1287" s="2" t="s">
        <v>7484</v>
      </c>
      <c r="H1287" s="2" t="s">
        <v>2224</v>
      </c>
      <c r="I1287" s="2" t="s">
        <v>5924</v>
      </c>
      <c r="J1287" s="2" t="s">
        <v>7485</v>
      </c>
      <c r="K1287" s="3" t="b">
        <f>J1287 = "blocking"</f>
        <v>0</v>
      </c>
      <c r="L1287" s="2" t="s">
        <v>1428</v>
      </c>
      <c r="M1287" s="2" t="s">
        <v>7542</v>
      </c>
      <c r="N1287" s="4">
        <v>46223.1297337963</v>
      </c>
      <c r="O1287" s="3" t="b">
        <f>L1287 = "PASS"</f>
        <v>1</v>
      </c>
      <c r="P1287" s="3" t="b">
        <f>L1287 = "FAIL"</f>
        <v>0</v>
      </c>
      <c r="Q1287" s="3" t="b">
        <f>AND(P1287, K1287)</f>
        <v>0</v>
      </c>
      <c r="R1287" s="3" t="str">
        <f>IF(O1287, I1287, "")</f>
        <v>suite-witness</v>
      </c>
      <c r="S1287" s="3" t="str">
        <f>IF(Q1287, I1287, "")</f>
      </c>
      <c r="T1287" s="2" t="s">
        <v>5935</v>
      </c>
    </row>
    <row r="1288">
      <c r="A1288" s="2" t="s">
        <v>7569</v>
      </c>
      <c r="B1288" s="3" t="str">
        <f>C1288 &amp; ": " &amp; D1288</f>
        <v>witness-discriminates: ProcedureVersions.IsStillReferenced</v>
      </c>
      <c r="C1288" s="2" t="s">
        <v>7483</v>
      </c>
      <c r="D1288" s="2" t="s">
        <v>2790</v>
      </c>
      <c r="E1288" s="2" t="s">
        <v>1747</v>
      </c>
      <c r="F1288" s="2" t="s">
        <v>441</v>
      </c>
      <c r="G1288" s="2" t="s">
        <v>7484</v>
      </c>
      <c r="H1288" s="2" t="s">
        <v>2224</v>
      </c>
      <c r="I1288" s="2" t="s">
        <v>5924</v>
      </c>
      <c r="J1288" s="2" t="s">
        <v>7485</v>
      </c>
      <c r="K1288" s="3" t="b">
        <f>J1288 = "blocking"</f>
        <v>0</v>
      </c>
      <c r="L1288" s="2" t="s">
        <v>1428</v>
      </c>
      <c r="M1288" s="2" t="s">
        <v>7538</v>
      </c>
      <c r="N1288" s="4">
        <v>46223.1297337963</v>
      </c>
      <c r="O1288" s="3" t="b">
        <f>L1288 = "PASS"</f>
        <v>1</v>
      </c>
      <c r="P1288" s="3" t="b">
        <f>L1288 = "FAIL"</f>
        <v>0</v>
      </c>
      <c r="Q1288" s="3" t="b">
        <f>AND(P1288, K1288)</f>
        <v>0</v>
      </c>
      <c r="R1288" s="3" t="str">
        <f>IF(O1288, I1288, "")</f>
        <v>suite-witness</v>
      </c>
      <c r="S1288" s="3" t="str">
        <f>IF(Q1288, I1288, "")</f>
      </c>
      <c r="T1288" s="2" t="s">
        <v>5935</v>
      </c>
    </row>
    <row r="1289">
      <c r="A1289" s="2" t="s">
        <v>7570</v>
      </c>
      <c r="B1289" s="3" t="str">
        <f>C1289 &amp; ": " &amp; D1289</f>
        <v>witness-discriminates: ProcedureVersions.IsLoadBearingOrphan</v>
      </c>
      <c r="C1289" s="2" t="s">
        <v>7483</v>
      </c>
      <c r="D1289" s="2" t="s">
        <v>2792</v>
      </c>
      <c r="E1289" s="2" t="s">
        <v>1747</v>
      </c>
      <c r="F1289" s="2" t="s">
        <v>442</v>
      </c>
      <c r="G1289" s="2" t="s">
        <v>7484</v>
      </c>
      <c r="H1289" s="2" t="s">
        <v>2224</v>
      </c>
      <c r="I1289" s="2" t="s">
        <v>5924</v>
      </c>
      <c r="J1289" s="2" t="s">
        <v>7485</v>
      </c>
      <c r="K1289" s="3" t="b">
        <f>J1289 = "blocking"</f>
        <v>0</v>
      </c>
      <c r="L1289" s="2" t="s">
        <v>1428</v>
      </c>
      <c r="M1289" s="2" t="s">
        <v>7538</v>
      </c>
      <c r="N1289" s="4">
        <v>46223.1297337963</v>
      </c>
      <c r="O1289" s="3" t="b">
        <f>L1289 = "PASS"</f>
        <v>1</v>
      </c>
      <c r="P1289" s="3" t="b">
        <f>L1289 = "FAIL"</f>
        <v>0</v>
      </c>
      <c r="Q1289" s="3" t="b">
        <f>AND(P1289, K1289)</f>
        <v>0</v>
      </c>
      <c r="R1289" s="3" t="str">
        <f>IF(O1289, I1289, "")</f>
        <v>suite-witness</v>
      </c>
      <c r="S1289" s="3" t="str">
        <f>IF(Q1289, I1289, "")</f>
      </c>
      <c r="T1289" s="2" t="s">
        <v>5935</v>
      </c>
    </row>
    <row r="1290">
      <c r="A1290" s="2" t="s">
        <v>7571</v>
      </c>
      <c r="B1290" s="3" t="str">
        <f>C1290 &amp; ": " &amp; D1290</f>
        <v>witness-discriminates: ProcedureVersions.IsCleanlyRetired</v>
      </c>
      <c r="C1290" s="2" t="s">
        <v>7483</v>
      </c>
      <c r="D1290" s="2" t="s">
        <v>2794</v>
      </c>
      <c r="E1290" s="2" t="s">
        <v>1747</v>
      </c>
      <c r="F1290" s="2" t="s">
        <v>443</v>
      </c>
      <c r="G1290" s="2" t="s">
        <v>7484</v>
      </c>
      <c r="H1290" s="2" t="s">
        <v>2224</v>
      </c>
      <c r="I1290" s="2" t="s">
        <v>5924</v>
      </c>
      <c r="J1290" s="2" t="s">
        <v>7485</v>
      </c>
      <c r="K1290" s="3" t="b">
        <f>J1290 = "blocking"</f>
        <v>0</v>
      </c>
      <c r="L1290" s="2" t="s">
        <v>1431</v>
      </c>
      <c r="M1290" s="2" t="s">
        <v>7540</v>
      </c>
      <c r="N1290" s="4">
        <v>46223.1297337963</v>
      </c>
      <c r="O1290" s="3" t="b">
        <f>L1290 = "PASS"</f>
        <v>0</v>
      </c>
      <c r="P1290" s="3" t="b">
        <f>L1290 = "FAIL"</f>
        <v>0</v>
      </c>
      <c r="Q1290" s="3" t="b">
        <f>AND(P1290, K1290)</f>
        <v>0</v>
      </c>
      <c r="R1290" s="3" t="str">
        <f>IF(O1290, I1290, "")</f>
      </c>
      <c r="S1290" s="3" t="str">
        <f>IF(Q1290, I1290, "")</f>
      </c>
      <c r="T1290" s="2" t="s">
        <v>5935</v>
      </c>
    </row>
    <row r="1291">
      <c r="A1291" s="2" t="s">
        <v>7572</v>
      </c>
      <c r="B1291" s="3" t="str">
        <f>C1291 &amp; ": " &amp; D1291</f>
        <v>witness-discriminates: ProcedureVersions.IsHeldUnfitByLandedDecisions</v>
      </c>
      <c r="C1291" s="2" t="s">
        <v>7483</v>
      </c>
      <c r="D1291" s="2" t="s">
        <v>2798</v>
      </c>
      <c r="E1291" s="2" t="s">
        <v>1747</v>
      </c>
      <c r="F1291" s="2" t="s">
        <v>445</v>
      </c>
      <c r="G1291" s="2" t="s">
        <v>7484</v>
      </c>
      <c r="H1291" s="2" t="s">
        <v>2228</v>
      </c>
      <c r="I1291" s="2" t="s">
        <v>5924</v>
      </c>
      <c r="J1291" s="2" t="s">
        <v>7485</v>
      </c>
      <c r="K1291" s="3" t="b">
        <f>J1291 = "blocking"</f>
        <v>0</v>
      </c>
      <c r="L1291" s="2" t="s">
        <v>1431</v>
      </c>
      <c r="M1291" s="2" t="s">
        <v>7540</v>
      </c>
      <c r="N1291" s="4">
        <v>46223.1297337963</v>
      </c>
      <c r="O1291" s="3" t="b">
        <f>L1291 = "PASS"</f>
        <v>0</v>
      </c>
      <c r="P1291" s="3" t="b">
        <f>L1291 = "FAIL"</f>
        <v>0</v>
      </c>
      <c r="Q1291" s="3" t="b">
        <f>AND(P1291, K1291)</f>
        <v>0</v>
      </c>
      <c r="R1291" s="3" t="str">
        <f>IF(O1291, I1291, "")</f>
      </c>
      <c r="S1291" s="3" t="str">
        <f>IF(Q1291, I1291, "")</f>
      </c>
      <c r="T1291" s="2" t="s">
        <v>5935</v>
      </c>
    </row>
    <row r="1292">
      <c r="A1292" s="2" t="s">
        <v>7573</v>
      </c>
      <c r="B1292" s="3" t="str">
        <f>C1292 &amp; ": " &amp; D1292</f>
        <v>witness-discriminates: ProcedureVersions.ControlTaxonomyIsIncomplete</v>
      </c>
      <c r="C1292" s="2" t="s">
        <v>7483</v>
      </c>
      <c r="D1292" s="2" t="s">
        <v>2802</v>
      </c>
      <c r="E1292" s="2" t="s">
        <v>1747</v>
      </c>
      <c r="F1292" s="2" t="s">
        <v>447</v>
      </c>
      <c r="G1292" s="2" t="s">
        <v>7484</v>
      </c>
      <c r="H1292" s="2" t="s">
        <v>2232</v>
      </c>
      <c r="I1292" s="2" t="s">
        <v>5924</v>
      </c>
      <c r="J1292" s="2" t="s">
        <v>7485</v>
      </c>
      <c r="K1292" s="3" t="b">
        <f>J1292 = "blocking"</f>
        <v>0</v>
      </c>
      <c r="L1292" s="2" t="s">
        <v>1431</v>
      </c>
      <c r="M1292" s="2" t="s">
        <v>7540</v>
      </c>
      <c r="N1292" s="4">
        <v>46223.1297337963</v>
      </c>
      <c r="O1292" s="3" t="b">
        <f>L1292 = "PASS"</f>
        <v>0</v>
      </c>
      <c r="P1292" s="3" t="b">
        <f>L1292 = "FAIL"</f>
        <v>0</v>
      </c>
      <c r="Q1292" s="3" t="b">
        <f>AND(P1292, K1292)</f>
        <v>0</v>
      </c>
      <c r="R1292" s="3" t="str">
        <f>IF(O1292, I1292, "")</f>
      </c>
      <c r="S1292" s="3" t="str">
        <f>IF(Q1292, I1292, "")</f>
      </c>
      <c r="T1292" s="2" t="s">
        <v>5935</v>
      </c>
    </row>
    <row r="1293">
      <c r="A1293" s="2" t="s">
        <v>7574</v>
      </c>
      <c r="B1293" s="3" t="str">
        <f>C1293 &amp; ": " &amp; D1293</f>
        <v>witness-discriminates: ProcedureVersions.HasApprovedChangeRequest</v>
      </c>
      <c r="C1293" s="2" t="s">
        <v>7483</v>
      </c>
      <c r="D1293" s="2" t="s">
        <v>2804</v>
      </c>
      <c r="E1293" s="2" t="s">
        <v>1747</v>
      </c>
      <c r="F1293" s="2" t="s">
        <v>448</v>
      </c>
      <c r="G1293" s="2" t="s">
        <v>7484</v>
      </c>
      <c r="H1293" s="2" t="s">
        <v>2272</v>
      </c>
      <c r="I1293" s="2" t="s">
        <v>5924</v>
      </c>
      <c r="J1293" s="2" t="s">
        <v>7485</v>
      </c>
      <c r="K1293" s="3" t="b">
        <f>J1293 = "blocking"</f>
        <v>0</v>
      </c>
      <c r="L1293" s="2" t="s">
        <v>1428</v>
      </c>
      <c r="M1293" s="2" t="s">
        <v>7538</v>
      </c>
      <c r="N1293" s="4">
        <v>46223.1297337963</v>
      </c>
      <c r="O1293" s="3" t="b">
        <f>L1293 = "PASS"</f>
        <v>1</v>
      </c>
      <c r="P1293" s="3" t="b">
        <f>L1293 = "FAIL"</f>
        <v>0</v>
      </c>
      <c r="Q1293" s="3" t="b">
        <f>AND(P1293, K1293)</f>
        <v>0</v>
      </c>
      <c r="R1293" s="3" t="str">
        <f>IF(O1293, I1293, "")</f>
        <v>suite-witness</v>
      </c>
      <c r="S1293" s="3" t="str">
        <f>IF(Q1293, I1293, "")</f>
      </c>
      <c r="T1293" s="2" t="s">
        <v>5935</v>
      </c>
    </row>
    <row r="1294">
      <c r="A1294" s="2" t="s">
        <v>7575</v>
      </c>
      <c r="B1294" s="3" t="str">
        <f>C1294 &amp; ": " &amp; D1294</f>
        <v>witness-discriminates: Steps.IsPreparationStep</v>
      </c>
      <c r="C1294" s="2" t="s">
        <v>7483</v>
      </c>
      <c r="D1294" s="2" t="s">
        <v>2863</v>
      </c>
      <c r="E1294" s="2" t="s">
        <v>1758</v>
      </c>
      <c r="F1294" s="2" t="s">
        <v>512</v>
      </c>
      <c r="G1294" s="2" t="s">
        <v>7484</v>
      </c>
      <c r="H1294" s="2" t="s">
        <v>1956</v>
      </c>
      <c r="I1294" s="2" t="s">
        <v>5924</v>
      </c>
      <c r="J1294" s="2" t="s">
        <v>7485</v>
      </c>
      <c r="K1294" s="3" t="b">
        <f>J1294 = "blocking"</f>
        <v>0</v>
      </c>
      <c r="L1294" s="2" t="s">
        <v>1428</v>
      </c>
      <c r="M1294" s="2" t="s">
        <v>7576</v>
      </c>
      <c r="N1294" s="4">
        <v>46223.1297337963</v>
      </c>
      <c r="O1294" s="3" t="b">
        <f>L1294 = "PASS"</f>
        <v>1</v>
      </c>
      <c r="P1294" s="3" t="b">
        <f>L1294 = "FAIL"</f>
        <v>0</v>
      </c>
      <c r="Q1294" s="3" t="b">
        <f>AND(P1294, K1294)</f>
        <v>0</v>
      </c>
      <c r="R1294" s="3" t="str">
        <f>IF(O1294, I1294, "")</f>
        <v>suite-witness</v>
      </c>
      <c r="S1294" s="3" t="str">
        <f>IF(Q1294, I1294, "")</f>
      </c>
      <c r="T1294" s="2" t="s">
        <v>5935</v>
      </c>
    </row>
    <row r="1295">
      <c r="A1295" s="2" t="s">
        <v>7577</v>
      </c>
      <c r="B1295" s="3" t="str">
        <f>C1295 &amp; ": " &amp; D1295</f>
        <v>witness-discriminates: Steps.IsApprovalStep</v>
      </c>
      <c r="C1295" s="2" t="s">
        <v>7483</v>
      </c>
      <c r="D1295" s="2" t="s">
        <v>2865</v>
      </c>
      <c r="E1295" s="2" t="s">
        <v>1758</v>
      </c>
      <c r="F1295" s="2" t="s">
        <v>513</v>
      </c>
      <c r="G1295" s="2" t="s">
        <v>7484</v>
      </c>
      <c r="H1295" s="2" t="s">
        <v>1956</v>
      </c>
      <c r="I1295" s="2" t="s">
        <v>5924</v>
      </c>
      <c r="J1295" s="2" t="s">
        <v>7485</v>
      </c>
      <c r="K1295" s="3" t="b">
        <f>J1295 = "blocking"</f>
        <v>0</v>
      </c>
      <c r="L1295" s="2" t="s">
        <v>1428</v>
      </c>
      <c r="M1295" s="2" t="s">
        <v>7576</v>
      </c>
      <c r="N1295" s="4">
        <v>46223.1297337963</v>
      </c>
      <c r="O1295" s="3" t="b">
        <f>L1295 = "PASS"</f>
        <v>1</v>
      </c>
      <c r="P1295" s="3" t="b">
        <f>L1295 = "FAIL"</f>
        <v>0</v>
      </c>
      <c r="Q1295" s="3" t="b">
        <f>AND(P1295, K1295)</f>
        <v>0</v>
      </c>
      <c r="R1295" s="3" t="str">
        <f>IF(O1295, I1295, "")</f>
        <v>suite-witness</v>
      </c>
      <c r="S1295" s="3" t="str">
        <f>IF(Q1295, I1295, "")</f>
      </c>
      <c r="T1295" s="2" t="s">
        <v>5935</v>
      </c>
    </row>
    <row r="1296">
      <c r="A1296" s="2" t="s">
        <v>7578</v>
      </c>
      <c r="B1296" s="3" t="str">
        <f>C1296 &amp; ": " &amp; D1296</f>
        <v>witness-discriminates: Steps.InputsAreFresh</v>
      </c>
      <c r="C1296" s="2" t="s">
        <v>7483</v>
      </c>
      <c r="D1296" s="2" t="s">
        <v>2869</v>
      </c>
      <c r="E1296" s="2" t="s">
        <v>1758</v>
      </c>
      <c r="F1296" s="2" t="s">
        <v>515</v>
      </c>
      <c r="G1296" s="2" t="s">
        <v>7484</v>
      </c>
      <c r="H1296" s="2" t="s">
        <v>2100</v>
      </c>
      <c r="I1296" s="2" t="s">
        <v>5924</v>
      </c>
      <c r="J1296" s="2" t="s">
        <v>7485</v>
      </c>
      <c r="K1296" s="3" t="b">
        <f>J1296 = "blocking"</f>
        <v>0</v>
      </c>
      <c r="L1296" s="2" t="s">
        <v>1428</v>
      </c>
      <c r="M1296" s="2" t="s">
        <v>7579</v>
      </c>
      <c r="N1296" s="4">
        <v>46223.1297337963</v>
      </c>
      <c r="O1296" s="3" t="b">
        <f>L1296 = "PASS"</f>
        <v>1</v>
      </c>
      <c r="P1296" s="3" t="b">
        <f>L1296 = "FAIL"</f>
        <v>0</v>
      </c>
      <c r="Q1296" s="3" t="b">
        <f>AND(P1296, K1296)</f>
        <v>0</v>
      </c>
      <c r="R1296" s="3" t="str">
        <f>IF(O1296, I1296, "")</f>
        <v>suite-witness</v>
      </c>
      <c r="S1296" s="3" t="str">
        <f>IF(Q1296, I1296, "")</f>
      </c>
      <c r="T1296" s="2" t="s">
        <v>5935</v>
      </c>
    </row>
    <row r="1297">
      <c r="A1297" s="2" t="s">
        <v>7580</v>
      </c>
      <c r="B1297" s="3" t="str">
        <f>C1297 &amp; ": " &amp; D1297</f>
        <v>witness-discriminates: Steps.IsSoftwareAssigned</v>
      </c>
      <c r="C1297" s="2" t="s">
        <v>7483</v>
      </c>
      <c r="D1297" s="2" t="s">
        <v>2871</v>
      </c>
      <c r="E1297" s="2" t="s">
        <v>1758</v>
      </c>
      <c r="F1297" s="2" t="s">
        <v>516</v>
      </c>
      <c r="G1297" s="2" t="s">
        <v>7484</v>
      </c>
      <c r="H1297" s="2" t="s">
        <v>2120</v>
      </c>
      <c r="I1297" s="2" t="s">
        <v>5924</v>
      </c>
      <c r="J1297" s="2" t="s">
        <v>7485</v>
      </c>
      <c r="K1297" s="3" t="b">
        <f>J1297 = "blocking"</f>
        <v>0</v>
      </c>
      <c r="L1297" s="2" t="s">
        <v>1428</v>
      </c>
      <c r="M1297" s="2" t="s">
        <v>7581</v>
      </c>
      <c r="N1297" s="4">
        <v>46223.1297337963</v>
      </c>
      <c r="O1297" s="3" t="b">
        <f>L1297 = "PASS"</f>
        <v>1</v>
      </c>
      <c r="P1297" s="3" t="b">
        <f>L1297 = "FAIL"</f>
        <v>0</v>
      </c>
      <c r="Q1297" s="3" t="b">
        <f>AND(P1297, K1297)</f>
        <v>0</v>
      </c>
      <c r="R1297" s="3" t="str">
        <f>IF(O1297, I1297, "")</f>
        <v>suite-witness</v>
      </c>
      <c r="S1297" s="3" t="str">
        <f>IF(Q1297, I1297, "")</f>
      </c>
      <c r="T1297" s="2" t="s">
        <v>5935</v>
      </c>
    </row>
    <row r="1298">
      <c r="A1298" s="2" t="s">
        <v>7582</v>
      </c>
      <c r="B1298" s="3" t="str">
        <f>C1298 &amp; ": " &amp; D1298</f>
        <v>witness-discriminates: Steps.IsHumanApprovalGate</v>
      </c>
      <c r="C1298" s="2" t="s">
        <v>7483</v>
      </c>
      <c r="D1298" s="2" t="s">
        <v>2873</v>
      </c>
      <c r="E1298" s="2" t="s">
        <v>1758</v>
      </c>
      <c r="F1298" s="2" t="s">
        <v>517</v>
      </c>
      <c r="G1298" s="2" t="s">
        <v>7484</v>
      </c>
      <c r="H1298" s="2" t="s">
        <v>2120</v>
      </c>
      <c r="I1298" s="2" t="s">
        <v>5924</v>
      </c>
      <c r="J1298" s="2" t="s">
        <v>7485</v>
      </c>
      <c r="K1298" s="3" t="b">
        <f>J1298 = "blocking"</f>
        <v>0</v>
      </c>
      <c r="L1298" s="2" t="s">
        <v>1428</v>
      </c>
      <c r="M1298" s="2" t="s">
        <v>7576</v>
      </c>
      <c r="N1298" s="4">
        <v>46223.1297337963</v>
      </c>
      <c r="O1298" s="3" t="b">
        <f>L1298 = "PASS"</f>
        <v>1</v>
      </c>
      <c r="P1298" s="3" t="b">
        <f>L1298 = "FAIL"</f>
        <v>0</v>
      </c>
      <c r="Q1298" s="3" t="b">
        <f>AND(P1298, K1298)</f>
        <v>0</v>
      </c>
      <c r="R1298" s="3" t="str">
        <f>IF(O1298, I1298, "")</f>
        <v>suite-witness</v>
      </c>
      <c r="S1298" s="3" t="str">
        <f>IF(Q1298, I1298, "")</f>
      </c>
      <c r="T1298" s="2" t="s">
        <v>5935</v>
      </c>
    </row>
    <row r="1299">
      <c r="A1299" s="2" t="s">
        <v>7583</v>
      </c>
      <c r="B1299" s="3" t="str">
        <f>C1299 &amp; ": " &amp; D1299</f>
        <v>witness-discriminates: Steps.GateHeldByHuman</v>
      </c>
      <c r="C1299" s="2" t="s">
        <v>7483</v>
      </c>
      <c r="D1299" s="2" t="s">
        <v>2875</v>
      </c>
      <c r="E1299" s="2" t="s">
        <v>1758</v>
      </c>
      <c r="F1299" s="2" t="s">
        <v>518</v>
      </c>
      <c r="G1299" s="2" t="s">
        <v>7484</v>
      </c>
      <c r="H1299" s="2" t="s">
        <v>2120</v>
      </c>
      <c r="I1299" s="2" t="s">
        <v>5924</v>
      </c>
      <c r="J1299" s="2" t="s">
        <v>7485</v>
      </c>
      <c r="K1299" s="3" t="b">
        <f>J1299 = "blocking"</f>
        <v>0</v>
      </c>
      <c r="L1299" s="2" t="s">
        <v>1428</v>
      </c>
      <c r="M1299" s="2" t="s">
        <v>7576</v>
      </c>
      <c r="N1299" s="4">
        <v>46223.1297337963</v>
      </c>
      <c r="O1299" s="3" t="b">
        <f>L1299 = "PASS"</f>
        <v>1</v>
      </c>
      <c r="P1299" s="3" t="b">
        <f>L1299 = "FAIL"</f>
        <v>0</v>
      </c>
      <c r="Q1299" s="3" t="b">
        <f>AND(P1299, K1299)</f>
        <v>0</v>
      </c>
      <c r="R1299" s="3" t="str">
        <f>IF(O1299, I1299, "")</f>
        <v>suite-witness</v>
      </c>
      <c r="S1299" s="3" t="str">
        <f>IF(Q1299, I1299, "")</f>
      </c>
      <c r="T1299" s="2" t="s">
        <v>5935</v>
      </c>
    </row>
    <row r="1300">
      <c r="A1300" s="2" t="s">
        <v>7584</v>
      </c>
      <c r="B1300" s="3" t="str">
        <f>C1300 &amp; ": " &amp; D1300</f>
        <v>witness-discriminates: Steps.AssignedRoleIsUngoverned</v>
      </c>
      <c r="C1300" s="2" t="s">
        <v>7483</v>
      </c>
      <c r="D1300" s="2" t="s">
        <v>2879</v>
      </c>
      <c r="E1300" s="2" t="s">
        <v>1758</v>
      </c>
      <c r="F1300" s="2" t="s">
        <v>520</v>
      </c>
      <c r="G1300" s="2" t="s">
        <v>7484</v>
      </c>
      <c r="H1300" s="2" t="s">
        <v>2156</v>
      </c>
      <c r="I1300" s="2" t="s">
        <v>5924</v>
      </c>
      <c r="J1300" s="2" t="s">
        <v>7485</v>
      </c>
      <c r="K1300" s="3" t="b">
        <f>J1300 = "blocking"</f>
        <v>0</v>
      </c>
      <c r="L1300" s="2" t="s">
        <v>1431</v>
      </c>
      <c r="M1300" s="2" t="s">
        <v>7585</v>
      </c>
      <c r="N1300" s="4">
        <v>46223.1297337963</v>
      </c>
      <c r="O1300" s="3" t="b">
        <f>L1300 = "PASS"</f>
        <v>0</v>
      </c>
      <c r="P1300" s="3" t="b">
        <f>L1300 = "FAIL"</f>
        <v>0</v>
      </c>
      <c r="Q1300" s="3" t="b">
        <f>AND(P1300, K1300)</f>
        <v>0</v>
      </c>
      <c r="R1300" s="3" t="str">
        <f>IF(O1300, I1300, "")</f>
      </c>
      <c r="S1300" s="3" t="str">
        <f>IF(Q1300, I1300, "")</f>
      </c>
      <c r="T1300" s="2" t="s">
        <v>5935</v>
      </c>
    </row>
    <row r="1301">
      <c r="A1301" s="2" t="s">
        <v>7586</v>
      </c>
      <c r="B1301" s="3" t="str">
        <f>C1301 &amp; ": " &amp; D1301</f>
        <v>witness-discriminates: Steps.AllSourcesUsable</v>
      </c>
      <c r="C1301" s="2" t="s">
        <v>7483</v>
      </c>
      <c r="D1301" s="2" t="s">
        <v>2883</v>
      </c>
      <c r="E1301" s="2" t="s">
        <v>1758</v>
      </c>
      <c r="F1301" s="2" t="s">
        <v>522</v>
      </c>
      <c r="G1301" s="2" t="s">
        <v>7484</v>
      </c>
      <c r="H1301" s="2" t="s">
        <v>2160</v>
      </c>
      <c r="I1301" s="2" t="s">
        <v>5924</v>
      </c>
      <c r="J1301" s="2" t="s">
        <v>7485</v>
      </c>
      <c r="K1301" s="3" t="b">
        <f>J1301 = "blocking"</f>
        <v>0</v>
      </c>
      <c r="L1301" s="2" t="s">
        <v>1428</v>
      </c>
      <c r="M1301" s="2" t="s">
        <v>7579</v>
      </c>
      <c r="N1301" s="4">
        <v>46223.1297337963</v>
      </c>
      <c r="O1301" s="3" t="b">
        <f>L1301 = "PASS"</f>
        <v>1</v>
      </c>
      <c r="P1301" s="3" t="b">
        <f>L1301 = "FAIL"</f>
        <v>0</v>
      </c>
      <c r="Q1301" s="3" t="b">
        <f>AND(P1301, K1301)</f>
        <v>0</v>
      </c>
      <c r="R1301" s="3" t="str">
        <f>IF(O1301, I1301, "")</f>
        <v>suite-witness</v>
      </c>
      <c r="S1301" s="3" t="str">
        <f>IF(Q1301, I1301, "")</f>
      </c>
      <c r="T1301" s="2" t="s">
        <v>5935</v>
      </c>
    </row>
    <row r="1302">
      <c r="A1302" s="2" t="s">
        <v>7587</v>
      </c>
      <c r="B1302" s="3" t="str">
        <f>C1302 &amp; ": " &amp; D1302</f>
        <v>witness-discriminates: Steps.IsGovernedByUnwarrantedBoundary</v>
      </c>
      <c r="C1302" s="2" t="s">
        <v>7483</v>
      </c>
      <c r="D1302" s="2" t="s">
        <v>2888</v>
      </c>
      <c r="E1302" s="2" t="s">
        <v>1758</v>
      </c>
      <c r="F1302" s="2" t="s">
        <v>525</v>
      </c>
      <c r="G1302" s="2" t="s">
        <v>7484</v>
      </c>
      <c r="H1302" s="2" t="s">
        <v>2180</v>
      </c>
      <c r="I1302" s="2" t="s">
        <v>5924</v>
      </c>
      <c r="J1302" s="2" t="s">
        <v>7485</v>
      </c>
      <c r="K1302" s="3" t="b">
        <f>J1302 = "blocking"</f>
        <v>0</v>
      </c>
      <c r="L1302" s="2" t="s">
        <v>1428</v>
      </c>
      <c r="M1302" s="2" t="s">
        <v>7588</v>
      </c>
      <c r="N1302" s="4">
        <v>46223.1297337963</v>
      </c>
      <c r="O1302" s="3" t="b">
        <f>L1302 = "PASS"</f>
        <v>1</v>
      </c>
      <c r="P1302" s="3" t="b">
        <f>L1302 = "FAIL"</f>
        <v>0</v>
      </c>
      <c r="Q1302" s="3" t="b">
        <f>AND(P1302, K1302)</f>
        <v>0</v>
      </c>
      <c r="R1302" s="3" t="str">
        <f>IF(O1302, I1302, "")</f>
        <v>suite-witness</v>
      </c>
      <c r="S1302" s="3" t="str">
        <f>IF(Q1302, I1302, "")</f>
      </c>
      <c r="T1302" s="2" t="s">
        <v>5935</v>
      </c>
    </row>
    <row r="1303">
      <c r="A1303" s="2" t="s">
        <v>7589</v>
      </c>
      <c r="B1303" s="3" t="str">
        <f>C1303 &amp; ": " &amp; D1303</f>
        <v>witness-discriminates: Steps.HasBeenApproachedBySoftware</v>
      </c>
      <c r="C1303" s="2" t="s">
        <v>7483</v>
      </c>
      <c r="D1303" s="2" t="s">
        <v>2892</v>
      </c>
      <c r="E1303" s="2" t="s">
        <v>1758</v>
      </c>
      <c r="F1303" s="2" t="s">
        <v>527</v>
      </c>
      <c r="G1303" s="2" t="s">
        <v>7484</v>
      </c>
      <c r="H1303" s="2" t="s">
        <v>2200</v>
      </c>
      <c r="I1303" s="2" t="s">
        <v>5924</v>
      </c>
      <c r="J1303" s="2" t="s">
        <v>7485</v>
      </c>
      <c r="K1303" s="3" t="b">
        <f>J1303 = "blocking"</f>
        <v>0</v>
      </c>
      <c r="L1303" s="2" t="s">
        <v>1428</v>
      </c>
      <c r="M1303" s="2" t="s">
        <v>7590</v>
      </c>
      <c r="N1303" s="4">
        <v>46223.1297337963</v>
      </c>
      <c r="O1303" s="3" t="b">
        <f>L1303 = "PASS"</f>
        <v>1</v>
      </c>
      <c r="P1303" s="3" t="b">
        <f>L1303 = "FAIL"</f>
        <v>0</v>
      </c>
      <c r="Q1303" s="3" t="b">
        <f>AND(P1303, K1303)</f>
        <v>0</v>
      </c>
      <c r="R1303" s="3" t="str">
        <f>IF(O1303, I1303, "")</f>
        <v>suite-witness</v>
      </c>
      <c r="S1303" s="3" t="str">
        <f>IF(Q1303, I1303, "")</f>
      </c>
      <c r="T1303" s="2" t="s">
        <v>5935</v>
      </c>
    </row>
    <row r="1304">
      <c r="A1304" s="2" t="s">
        <v>7591</v>
      </c>
      <c r="B1304" s="3" t="str">
        <f>C1304 &amp; ": " &amp; D1304</f>
        <v>witness-discriminates: Steps.IsUnexercisedHumanGate</v>
      </c>
      <c r="C1304" s="2" t="s">
        <v>7483</v>
      </c>
      <c r="D1304" s="2" t="s">
        <v>2894</v>
      </c>
      <c r="E1304" s="2" t="s">
        <v>1758</v>
      </c>
      <c r="F1304" s="2" t="s">
        <v>528</v>
      </c>
      <c r="G1304" s="2" t="s">
        <v>7484</v>
      </c>
      <c r="H1304" s="2" t="s">
        <v>2200</v>
      </c>
      <c r="I1304" s="2" t="s">
        <v>5924</v>
      </c>
      <c r="J1304" s="2" t="s">
        <v>7485</v>
      </c>
      <c r="K1304" s="3" t="b">
        <f>J1304 = "blocking"</f>
        <v>0</v>
      </c>
      <c r="L1304" s="2" t="s">
        <v>1428</v>
      </c>
      <c r="M1304" s="2" t="s">
        <v>7576</v>
      </c>
      <c r="N1304" s="4">
        <v>46223.1297337963</v>
      </c>
      <c r="O1304" s="3" t="b">
        <f>L1304 = "PASS"</f>
        <v>1</v>
      </c>
      <c r="P1304" s="3" t="b">
        <f>L1304 = "FAIL"</f>
        <v>0</v>
      </c>
      <c r="Q1304" s="3" t="b">
        <f>AND(P1304, K1304)</f>
        <v>0</v>
      </c>
      <c r="R1304" s="3" t="str">
        <f>IF(O1304, I1304, "")</f>
        <v>suite-witness</v>
      </c>
      <c r="S1304" s="3" t="str">
        <f>IF(Q1304, I1304, "")</f>
      </c>
      <c r="T1304" s="2" t="s">
        <v>5935</v>
      </c>
    </row>
    <row r="1305">
      <c r="A1305" s="2" t="s">
        <v>7592</v>
      </c>
      <c r="B1305" s="3" t="str">
        <f>C1305 &amp; ": " &amp; D1305</f>
        <v>witness-discriminates: Steps.IsDemonstratedHumanGate</v>
      </c>
      <c r="C1305" s="2" t="s">
        <v>7483</v>
      </c>
      <c r="D1305" s="2" t="s">
        <v>2896</v>
      </c>
      <c r="E1305" s="2" t="s">
        <v>1758</v>
      </c>
      <c r="F1305" s="2" t="s">
        <v>529</v>
      </c>
      <c r="G1305" s="2" t="s">
        <v>7484</v>
      </c>
      <c r="H1305" s="2" t="s">
        <v>2200</v>
      </c>
      <c r="I1305" s="2" t="s">
        <v>5924</v>
      </c>
      <c r="J1305" s="2" t="s">
        <v>7485</v>
      </c>
      <c r="K1305" s="3" t="b">
        <f>J1305 = "blocking"</f>
        <v>0</v>
      </c>
      <c r="L1305" s="2" t="s">
        <v>1431</v>
      </c>
      <c r="M1305" s="2" t="s">
        <v>7585</v>
      </c>
      <c r="N1305" s="4">
        <v>46223.1297337963</v>
      </c>
      <c r="O1305" s="3" t="b">
        <f>L1305 = "PASS"</f>
        <v>0</v>
      </c>
      <c r="P1305" s="3" t="b">
        <f>L1305 = "FAIL"</f>
        <v>0</v>
      </c>
      <c r="Q1305" s="3" t="b">
        <f>AND(P1305, K1305)</f>
        <v>0</v>
      </c>
      <c r="R1305" s="3" t="str">
        <f>IF(O1305, I1305, "")</f>
      </c>
      <c r="S1305" s="3" t="str">
        <f>IF(Q1305, I1305, "")</f>
      </c>
      <c r="T1305" s="2" t="s">
        <v>5935</v>
      </c>
    </row>
    <row r="1306">
      <c r="A1306" s="2" t="s">
        <v>7593</v>
      </c>
      <c r="B1306" s="3" t="str">
        <f>C1306 &amp; ": " &amp; D1306</f>
        <v>witness-discriminates: Steps.HasDeclaredControlKind</v>
      </c>
      <c r="C1306" s="2" t="s">
        <v>7483</v>
      </c>
      <c r="D1306" s="2" t="s">
        <v>2900</v>
      </c>
      <c r="E1306" s="2" t="s">
        <v>1758</v>
      </c>
      <c r="F1306" s="2" t="s">
        <v>531</v>
      </c>
      <c r="G1306" s="2" t="s">
        <v>7484</v>
      </c>
      <c r="H1306" s="2" t="s">
        <v>2232</v>
      </c>
      <c r="I1306" s="2" t="s">
        <v>5924</v>
      </c>
      <c r="J1306" s="2" t="s">
        <v>7485</v>
      </c>
      <c r="K1306" s="3" t="b">
        <f>J1306 = "blocking"</f>
        <v>0</v>
      </c>
      <c r="L1306" s="2" t="s">
        <v>1431</v>
      </c>
      <c r="M1306" s="2" t="s">
        <v>7594</v>
      </c>
      <c r="N1306" s="4">
        <v>46223.1297337963</v>
      </c>
      <c r="O1306" s="3" t="b">
        <f>L1306 = "PASS"</f>
        <v>0</v>
      </c>
      <c r="P1306" s="3" t="b">
        <f>L1306 = "FAIL"</f>
        <v>0</v>
      </c>
      <c r="Q1306" s="3" t="b">
        <f>AND(P1306, K1306)</f>
        <v>0</v>
      </c>
      <c r="R1306" s="3" t="str">
        <f>IF(O1306, I1306, "")</f>
      </c>
      <c r="S1306" s="3" t="str">
        <f>IF(Q1306, I1306, "")</f>
      </c>
      <c r="T1306" s="2" t="s">
        <v>5935</v>
      </c>
    </row>
    <row r="1307">
      <c r="A1307" s="2" t="s">
        <v>7595</v>
      </c>
      <c r="B1307" s="3" t="str">
        <f>C1307 &amp; ": " &amp; D1307</f>
        <v>witness-discriminates: Steps.ApprovalStepIsSoftwareAssigned</v>
      </c>
      <c r="C1307" s="2" t="s">
        <v>7483</v>
      </c>
      <c r="D1307" s="2" t="s">
        <v>2904</v>
      </c>
      <c r="E1307" s="2" t="s">
        <v>1758</v>
      </c>
      <c r="F1307" s="2" t="s">
        <v>533</v>
      </c>
      <c r="G1307" s="2" t="s">
        <v>7484</v>
      </c>
      <c r="H1307" s="2" t="s">
        <v>2232</v>
      </c>
      <c r="I1307" s="2" t="s">
        <v>5924</v>
      </c>
      <c r="J1307" s="2" t="s">
        <v>7485</v>
      </c>
      <c r="K1307" s="3" t="b">
        <f>J1307 = "blocking"</f>
        <v>0</v>
      </c>
      <c r="L1307" s="2" t="s">
        <v>1431</v>
      </c>
      <c r="M1307" s="2" t="s">
        <v>7585</v>
      </c>
      <c r="N1307" s="4">
        <v>46223.1297337963</v>
      </c>
      <c r="O1307" s="3" t="b">
        <f>L1307 = "PASS"</f>
        <v>0</v>
      </c>
      <c r="P1307" s="3" t="b">
        <f>L1307 = "FAIL"</f>
        <v>0</v>
      </c>
      <c r="Q1307" s="3" t="b">
        <f>AND(P1307, K1307)</f>
        <v>0</v>
      </c>
      <c r="R1307" s="3" t="str">
        <f>IF(O1307, I1307, "")</f>
      </c>
      <c r="S1307" s="3" t="str">
        <f>IF(Q1307, I1307, "")</f>
      </c>
      <c r="T1307" s="2" t="s">
        <v>5935</v>
      </c>
    </row>
    <row r="1308">
      <c r="A1308" s="2" t="s">
        <v>7596</v>
      </c>
      <c r="B1308" s="3" t="str">
        <f>C1308 &amp; ": " &amp; D1308</f>
        <v>witness-discriminates: StepTransitions.IsRecoveryPath</v>
      </c>
      <c r="C1308" s="2" t="s">
        <v>7483</v>
      </c>
      <c r="D1308" s="2" t="s">
        <v>2916</v>
      </c>
      <c r="E1308" s="2" t="s">
        <v>1764</v>
      </c>
      <c r="F1308" s="2" t="s">
        <v>614</v>
      </c>
      <c r="G1308" s="2" t="s">
        <v>7484</v>
      </c>
      <c r="H1308" s="2" t="s">
        <v>2004</v>
      </c>
      <c r="I1308" s="2" t="s">
        <v>5924</v>
      </c>
      <c r="J1308" s="2" t="s">
        <v>7485</v>
      </c>
      <c r="K1308" s="3" t="b">
        <f>J1308 = "blocking"</f>
        <v>0</v>
      </c>
      <c r="L1308" s="2" t="s">
        <v>1428</v>
      </c>
      <c r="M1308" s="2" t="s">
        <v>7597</v>
      </c>
      <c r="N1308" s="4">
        <v>46223.1297337963</v>
      </c>
      <c r="O1308" s="3" t="b">
        <f>L1308 = "PASS"</f>
        <v>1</v>
      </c>
      <c r="P1308" s="3" t="b">
        <f>L1308 = "FAIL"</f>
        <v>0</v>
      </c>
      <c r="Q1308" s="3" t="b">
        <f>AND(P1308, K1308)</f>
        <v>0</v>
      </c>
      <c r="R1308" s="3" t="str">
        <f>IF(O1308, I1308, "")</f>
        <v>suite-witness</v>
      </c>
      <c r="S1308" s="3" t="str">
        <f>IF(Q1308, I1308, "")</f>
      </c>
      <c r="T1308" s="2" t="s">
        <v>5935</v>
      </c>
    </row>
    <row r="1309">
      <c r="A1309" s="2" t="s">
        <v>7598</v>
      </c>
      <c r="B1309" s="3" t="str">
        <f>C1309 &amp; ": " &amp; D1309</f>
        <v>witness-discriminates: StepTransitions.HasReachableOrigin</v>
      </c>
      <c r="C1309" s="2" t="s">
        <v>7483</v>
      </c>
      <c r="D1309" s="2" t="s">
        <v>2922</v>
      </c>
      <c r="E1309" s="2" t="s">
        <v>1764</v>
      </c>
      <c r="F1309" s="2" t="s">
        <v>617</v>
      </c>
      <c r="G1309" s="2" t="s">
        <v>7484</v>
      </c>
      <c r="H1309" s="2" t="s">
        <v>2004</v>
      </c>
      <c r="I1309" s="2" t="s">
        <v>5924</v>
      </c>
      <c r="J1309" s="2" t="s">
        <v>7485</v>
      </c>
      <c r="K1309" s="3" t="b">
        <f>J1309 = "blocking"</f>
        <v>0</v>
      </c>
      <c r="L1309" s="2" t="s">
        <v>1428</v>
      </c>
      <c r="M1309" s="2" t="s">
        <v>7599</v>
      </c>
      <c r="N1309" s="4">
        <v>46223.1297337963</v>
      </c>
      <c r="O1309" s="3" t="b">
        <f>L1309 = "PASS"</f>
        <v>1</v>
      </c>
      <c r="P1309" s="3" t="b">
        <f>L1309 = "FAIL"</f>
        <v>0</v>
      </c>
      <c r="Q1309" s="3" t="b">
        <f>AND(P1309, K1309)</f>
        <v>0</v>
      </c>
      <c r="R1309" s="3" t="str">
        <f>IF(O1309, I1309, "")</f>
        <v>suite-witness</v>
      </c>
      <c r="S1309" s="3" t="str">
        <f>IF(Q1309, I1309, "")</f>
      </c>
      <c r="T1309" s="2" t="s">
        <v>5935</v>
      </c>
    </row>
    <row r="1310">
      <c r="A1310" s="2" t="s">
        <v>7600</v>
      </c>
      <c r="B1310" s="3" t="str">
        <f>C1310 &amp; ": " &amp; D1310</f>
        <v>witness-discriminates: StepTransitions.HasReachableTarget</v>
      </c>
      <c r="C1310" s="2" t="s">
        <v>7483</v>
      </c>
      <c r="D1310" s="2" t="s">
        <v>2924</v>
      </c>
      <c r="E1310" s="2" t="s">
        <v>1764</v>
      </c>
      <c r="F1310" s="2" t="s">
        <v>618</v>
      </c>
      <c r="G1310" s="2" t="s">
        <v>7484</v>
      </c>
      <c r="H1310" s="2" t="s">
        <v>2004</v>
      </c>
      <c r="I1310" s="2" t="s">
        <v>5924</v>
      </c>
      <c r="J1310" s="2" t="s">
        <v>7485</v>
      </c>
      <c r="K1310" s="3" t="b">
        <f>J1310 = "blocking"</f>
        <v>0</v>
      </c>
      <c r="L1310" s="2" t="s">
        <v>1428</v>
      </c>
      <c r="M1310" s="2" t="s">
        <v>7601</v>
      </c>
      <c r="N1310" s="4">
        <v>46223.1297337963</v>
      </c>
      <c r="O1310" s="3" t="b">
        <f>L1310 = "PASS"</f>
        <v>1</v>
      </c>
      <c r="P1310" s="3" t="b">
        <f>L1310 = "FAIL"</f>
        <v>0</v>
      </c>
      <c r="Q1310" s="3" t="b">
        <f>AND(P1310, K1310)</f>
        <v>0</v>
      </c>
      <c r="R1310" s="3" t="str">
        <f>IF(O1310, I1310, "")</f>
        <v>suite-witness</v>
      </c>
      <c r="S1310" s="3" t="str">
        <f>IF(Q1310, I1310, "")</f>
      </c>
      <c r="T1310" s="2" t="s">
        <v>5935</v>
      </c>
    </row>
    <row r="1311">
      <c r="A1311" s="2" t="s">
        <v>7602</v>
      </c>
      <c r="B1311" s="3" t="str">
        <f>C1311 &amp; ": " &amp; D1311</f>
        <v>witness-discriminates: StepTransitions.IsNeverExercised</v>
      </c>
      <c r="C1311" s="2" t="s">
        <v>7483</v>
      </c>
      <c r="D1311" s="2" t="s">
        <v>2926</v>
      </c>
      <c r="E1311" s="2" t="s">
        <v>1764</v>
      </c>
      <c r="F1311" s="2" t="s">
        <v>619</v>
      </c>
      <c r="G1311" s="2" t="s">
        <v>7484</v>
      </c>
      <c r="H1311" s="2" t="s">
        <v>2004</v>
      </c>
      <c r="I1311" s="2" t="s">
        <v>5924</v>
      </c>
      <c r="J1311" s="2" t="s">
        <v>7485</v>
      </c>
      <c r="K1311" s="3" t="b">
        <f>J1311 = "blocking"</f>
        <v>0</v>
      </c>
      <c r="L1311" s="2" t="s">
        <v>1428</v>
      </c>
      <c r="M1311" s="2" t="s">
        <v>7603</v>
      </c>
      <c r="N1311" s="4">
        <v>46223.1297337963</v>
      </c>
      <c r="O1311" s="3" t="b">
        <f>L1311 = "PASS"</f>
        <v>1</v>
      </c>
      <c r="P1311" s="3" t="b">
        <f>L1311 = "FAIL"</f>
        <v>0</v>
      </c>
      <c r="Q1311" s="3" t="b">
        <f>AND(P1311, K1311)</f>
        <v>0</v>
      </c>
      <c r="R1311" s="3" t="str">
        <f>IF(O1311, I1311, "")</f>
        <v>suite-witness</v>
      </c>
      <c r="S1311" s="3" t="str">
        <f>IF(Q1311, I1311, "")</f>
      </c>
      <c r="T1311" s="2" t="s">
        <v>5935</v>
      </c>
    </row>
    <row r="1312">
      <c r="A1312" s="2" t="s">
        <v>7604</v>
      </c>
      <c r="B1312" s="3" t="str">
        <f>C1312 &amp; ": " &amp; D1312</f>
        <v>witness-discriminates: StepTransitions.IsUntestedRecoveryPath</v>
      </c>
      <c r="C1312" s="2" t="s">
        <v>7483</v>
      </c>
      <c r="D1312" s="2" t="s">
        <v>2928</v>
      </c>
      <c r="E1312" s="2" t="s">
        <v>1764</v>
      </c>
      <c r="F1312" s="2" t="s">
        <v>620</v>
      </c>
      <c r="G1312" s="2" t="s">
        <v>7484</v>
      </c>
      <c r="H1312" s="2" t="s">
        <v>2004</v>
      </c>
      <c r="I1312" s="2" t="s">
        <v>5924</v>
      </c>
      <c r="J1312" s="2" t="s">
        <v>7485</v>
      </c>
      <c r="K1312" s="3" t="b">
        <f>J1312 = "blocking"</f>
        <v>0</v>
      </c>
      <c r="L1312" s="2" t="s">
        <v>1428</v>
      </c>
      <c r="M1312" s="2" t="s">
        <v>7605</v>
      </c>
      <c r="N1312" s="4">
        <v>46223.1297337963</v>
      </c>
      <c r="O1312" s="3" t="b">
        <f>L1312 = "PASS"</f>
        <v>1</v>
      </c>
      <c r="P1312" s="3" t="b">
        <f>L1312 = "FAIL"</f>
        <v>0</v>
      </c>
      <c r="Q1312" s="3" t="b">
        <f>AND(P1312, K1312)</f>
        <v>0</v>
      </c>
      <c r="R1312" s="3" t="str">
        <f>IF(O1312, I1312, "")</f>
        <v>suite-witness</v>
      </c>
      <c r="S1312" s="3" t="str">
        <f>IF(Q1312, I1312, "")</f>
      </c>
      <c r="T1312" s="2" t="s">
        <v>5935</v>
      </c>
    </row>
    <row r="1313">
      <c r="A1313" s="2" t="s">
        <v>7606</v>
      </c>
      <c r="B1313" s="3" t="str">
        <f>C1313 &amp; ": " &amp; D1313</f>
        <v>witness-discriminates: StepTransitions.HasBeenTraversed</v>
      </c>
      <c r="C1313" s="2" t="s">
        <v>7483</v>
      </c>
      <c r="D1313" s="2" t="s">
        <v>2932</v>
      </c>
      <c r="E1313" s="2" t="s">
        <v>1764</v>
      </c>
      <c r="F1313" s="2" t="s">
        <v>622</v>
      </c>
      <c r="G1313" s="2" t="s">
        <v>7484</v>
      </c>
      <c r="H1313" s="2" t="s">
        <v>2004</v>
      </c>
      <c r="I1313" s="2" t="s">
        <v>5924</v>
      </c>
      <c r="J1313" s="2" t="s">
        <v>7485</v>
      </c>
      <c r="K1313" s="3" t="b">
        <f>J1313 = "blocking"</f>
        <v>0</v>
      </c>
      <c r="L1313" s="2" t="s">
        <v>1428</v>
      </c>
      <c r="M1313" s="2" t="s">
        <v>7607</v>
      </c>
      <c r="N1313" s="4">
        <v>46223.1297337963</v>
      </c>
      <c r="O1313" s="3" t="b">
        <f>L1313 = "PASS"</f>
        <v>1</v>
      </c>
      <c r="P1313" s="3" t="b">
        <f>L1313 = "FAIL"</f>
        <v>0</v>
      </c>
      <c r="Q1313" s="3" t="b">
        <f>AND(P1313, K1313)</f>
        <v>0</v>
      </c>
      <c r="R1313" s="3" t="str">
        <f>IF(O1313, I1313, "")</f>
        <v>suite-witness</v>
      </c>
      <c r="S1313" s="3" t="str">
        <f>IF(Q1313, I1313, "")</f>
      </c>
      <c r="T1313" s="2" t="s">
        <v>5935</v>
      </c>
    </row>
    <row r="1314">
      <c r="A1314" s="2" t="s">
        <v>7608</v>
      </c>
      <c r="B1314" s="3" t="str">
        <f>C1314 &amp; ": " &amp; D1314</f>
        <v>witness-discriminates: StepTransitions.IsUnwalkedRecoveryPath</v>
      </c>
      <c r="C1314" s="2" t="s">
        <v>7483</v>
      </c>
      <c r="D1314" s="2" t="s">
        <v>2934</v>
      </c>
      <c r="E1314" s="2" t="s">
        <v>1764</v>
      </c>
      <c r="F1314" s="2" t="s">
        <v>623</v>
      </c>
      <c r="G1314" s="2" t="s">
        <v>7484</v>
      </c>
      <c r="H1314" s="2" t="s">
        <v>2004</v>
      </c>
      <c r="I1314" s="2" t="s">
        <v>5924</v>
      </c>
      <c r="J1314" s="2" t="s">
        <v>7485</v>
      </c>
      <c r="K1314" s="3" t="b">
        <f>J1314 = "blocking"</f>
        <v>0</v>
      </c>
      <c r="L1314" s="2" t="s">
        <v>1428</v>
      </c>
      <c r="M1314" s="2" t="s">
        <v>7597</v>
      </c>
      <c r="N1314" s="4">
        <v>46223.1297337963</v>
      </c>
      <c r="O1314" s="3" t="b">
        <f>L1314 = "PASS"</f>
        <v>1</v>
      </c>
      <c r="P1314" s="3" t="b">
        <f>L1314 = "FAIL"</f>
        <v>0</v>
      </c>
      <c r="Q1314" s="3" t="b">
        <f>AND(P1314, K1314)</f>
        <v>0</v>
      </c>
      <c r="R1314" s="3" t="str">
        <f>IF(O1314, I1314, "")</f>
        <v>suite-witness</v>
      </c>
      <c r="S1314" s="3" t="str">
        <f>IF(Q1314, I1314, "")</f>
      </c>
      <c r="T1314" s="2" t="s">
        <v>5935</v>
      </c>
    </row>
    <row r="1315">
      <c r="A1315" s="2" t="s">
        <v>7609</v>
      </c>
      <c r="B1315" s="3" t="str">
        <f>C1315 &amp; ": " &amp; D1315</f>
        <v>witness-discriminates: StepTransitions.TargetCarriesBlockingControl</v>
      </c>
      <c r="C1315" s="2" t="s">
        <v>7483</v>
      </c>
      <c r="D1315" s="2" t="s">
        <v>2938</v>
      </c>
      <c r="E1315" s="2" t="s">
        <v>1764</v>
      </c>
      <c r="F1315" s="2" t="s">
        <v>625</v>
      </c>
      <c r="G1315" s="2" t="s">
        <v>7484</v>
      </c>
      <c r="H1315" s="2" t="s">
        <v>2216</v>
      </c>
      <c r="I1315" s="2" t="s">
        <v>5924</v>
      </c>
      <c r="J1315" s="2" t="s">
        <v>7485</v>
      </c>
      <c r="K1315" s="3" t="b">
        <f>J1315 = "blocking"</f>
        <v>0</v>
      </c>
      <c r="L1315" s="2" t="s">
        <v>1428</v>
      </c>
      <c r="M1315" s="2" t="s">
        <v>7601</v>
      </c>
      <c r="N1315" s="4">
        <v>46223.1297337963</v>
      </c>
      <c r="O1315" s="3" t="b">
        <f>L1315 = "PASS"</f>
        <v>1</v>
      </c>
      <c r="P1315" s="3" t="b">
        <f>L1315 = "FAIL"</f>
        <v>0</v>
      </c>
      <c r="Q1315" s="3" t="b">
        <f>AND(P1315, K1315)</f>
        <v>0</v>
      </c>
      <c r="R1315" s="3" t="str">
        <f>IF(O1315, I1315, "")</f>
        <v>suite-witness</v>
      </c>
      <c r="S1315" s="3" t="str">
        <f>IF(Q1315, I1315, "")</f>
      </c>
      <c r="T1315" s="2" t="s">
        <v>5935</v>
      </c>
    </row>
    <row r="1316">
      <c r="A1316" s="2" t="s">
        <v>7610</v>
      </c>
      <c r="B1316" s="3" t="str">
        <f>C1316 &amp; ": " &amp; D1316</f>
        <v>witness-discriminates: StepTransitions.IsUnrehearsedControlEntry</v>
      </c>
      <c r="C1316" s="2" t="s">
        <v>7483</v>
      </c>
      <c r="D1316" s="2" t="s">
        <v>2940</v>
      </c>
      <c r="E1316" s="2" t="s">
        <v>1764</v>
      </c>
      <c r="F1316" s="2" t="s">
        <v>626</v>
      </c>
      <c r="G1316" s="2" t="s">
        <v>7484</v>
      </c>
      <c r="H1316" s="2" t="s">
        <v>2216</v>
      </c>
      <c r="I1316" s="2" t="s">
        <v>5924</v>
      </c>
      <c r="J1316" s="2" t="s">
        <v>7485</v>
      </c>
      <c r="K1316" s="3" t="b">
        <f>J1316 = "blocking"</f>
        <v>0</v>
      </c>
      <c r="L1316" s="2" t="s">
        <v>1428</v>
      </c>
      <c r="M1316" s="2" t="s">
        <v>7611</v>
      </c>
      <c r="N1316" s="4">
        <v>46223.1297337963</v>
      </c>
      <c r="O1316" s="3" t="b">
        <f>L1316 = "PASS"</f>
        <v>1</v>
      </c>
      <c r="P1316" s="3" t="b">
        <f>L1316 = "FAIL"</f>
        <v>0</v>
      </c>
      <c r="Q1316" s="3" t="b">
        <f>AND(P1316, K1316)</f>
        <v>0</v>
      </c>
      <c r="R1316" s="3" t="str">
        <f>IF(O1316, I1316, "")</f>
        <v>suite-witness</v>
      </c>
      <c r="S1316" s="3" t="str">
        <f>IF(Q1316, I1316, "")</f>
      </c>
      <c r="T1316" s="2" t="s">
        <v>5935</v>
      </c>
    </row>
    <row r="1317">
      <c r="A1317" s="2" t="s">
        <v>7612</v>
      </c>
      <c r="B1317" s="3" t="str">
        <f>C1317 &amp; ": " &amp; D1317</f>
        <v>witness-discriminates: Requirements.IsBoundToAnyStep</v>
      </c>
      <c r="C1317" s="2" t="s">
        <v>7483</v>
      </c>
      <c r="D1317" s="2" t="s">
        <v>2990</v>
      </c>
      <c r="E1317" s="2" t="s">
        <v>1785</v>
      </c>
      <c r="F1317" s="2" t="s">
        <v>786</v>
      </c>
      <c r="G1317" s="2" t="s">
        <v>7484</v>
      </c>
      <c r="H1317" s="2" t="s">
        <v>1964</v>
      </c>
      <c r="I1317" s="2" t="s">
        <v>5924</v>
      </c>
      <c r="J1317" s="2" t="s">
        <v>7485</v>
      </c>
      <c r="K1317" s="3" t="b">
        <f>J1317 = "blocking"</f>
        <v>0</v>
      </c>
      <c r="L1317" s="2" t="s">
        <v>1431</v>
      </c>
      <c r="M1317" s="2" t="s">
        <v>7613</v>
      </c>
      <c r="N1317" s="4">
        <v>46223.1297337963</v>
      </c>
      <c r="O1317" s="3" t="b">
        <f>L1317 = "PASS"</f>
        <v>0</v>
      </c>
      <c r="P1317" s="3" t="b">
        <f>L1317 = "FAIL"</f>
        <v>0</v>
      </c>
      <c r="Q1317" s="3" t="b">
        <f>AND(P1317, K1317)</f>
        <v>0</v>
      </c>
      <c r="R1317" s="3" t="str">
        <f>IF(O1317, I1317, "")</f>
      </c>
      <c r="S1317" s="3" t="str">
        <f>IF(Q1317, I1317, "")</f>
      </c>
      <c r="T1317" s="2" t="s">
        <v>5935</v>
      </c>
    </row>
    <row r="1318">
      <c r="A1318" s="2" t="s">
        <v>7614</v>
      </c>
      <c r="B1318" s="3" t="str">
        <f>C1318 &amp; ": " &amp; D1318</f>
        <v>witness-discriminates: Requirements.HasEverBeenEvaluated</v>
      </c>
      <c r="C1318" s="2" t="s">
        <v>7483</v>
      </c>
      <c r="D1318" s="2" t="s">
        <v>2992</v>
      </c>
      <c r="E1318" s="2" t="s">
        <v>1785</v>
      </c>
      <c r="F1318" s="2" t="s">
        <v>787</v>
      </c>
      <c r="G1318" s="2" t="s">
        <v>7484</v>
      </c>
      <c r="H1318" s="2" t="s">
        <v>1964</v>
      </c>
      <c r="I1318" s="2" t="s">
        <v>5924</v>
      </c>
      <c r="J1318" s="2" t="s">
        <v>7485</v>
      </c>
      <c r="K1318" s="3" t="b">
        <f>J1318 = "blocking"</f>
        <v>0</v>
      </c>
      <c r="L1318" s="2" t="s">
        <v>1428</v>
      </c>
      <c r="M1318" s="2" t="s">
        <v>7615</v>
      </c>
      <c r="N1318" s="4">
        <v>46223.1297337963</v>
      </c>
      <c r="O1318" s="3" t="b">
        <f>L1318 = "PASS"</f>
        <v>1</v>
      </c>
      <c r="P1318" s="3" t="b">
        <f>L1318 = "FAIL"</f>
        <v>0</v>
      </c>
      <c r="Q1318" s="3" t="b">
        <f>AND(P1318, K1318)</f>
        <v>0</v>
      </c>
      <c r="R1318" s="3" t="str">
        <f>IF(O1318, I1318, "")</f>
        <v>suite-witness</v>
      </c>
      <c r="S1318" s="3" t="str">
        <f>IF(Q1318, I1318, "")</f>
      </c>
      <c r="T1318" s="2" t="s">
        <v>5935</v>
      </c>
    </row>
    <row r="1319">
      <c r="A1319" s="2" t="s">
        <v>7616</v>
      </c>
      <c r="B1319" s="3" t="str">
        <f>C1319 &amp; ": " &amp; D1319</f>
        <v>witness-discriminates: Requirements.IsInoperativeControl</v>
      </c>
      <c r="C1319" s="2" t="s">
        <v>7483</v>
      </c>
      <c r="D1319" s="2" t="s">
        <v>2996</v>
      </c>
      <c r="E1319" s="2" t="s">
        <v>1785</v>
      </c>
      <c r="F1319" s="2" t="s">
        <v>789</v>
      </c>
      <c r="G1319" s="2" t="s">
        <v>7484</v>
      </c>
      <c r="H1319" s="2" t="s">
        <v>1964</v>
      </c>
      <c r="I1319" s="2" t="s">
        <v>5924</v>
      </c>
      <c r="J1319" s="2" t="s">
        <v>7485</v>
      </c>
      <c r="K1319" s="3" t="b">
        <f>J1319 = "blocking"</f>
        <v>0</v>
      </c>
      <c r="L1319" s="2" t="s">
        <v>1428</v>
      </c>
      <c r="M1319" s="2" t="s">
        <v>7617</v>
      </c>
      <c r="N1319" s="4">
        <v>46223.1297337963</v>
      </c>
      <c r="O1319" s="3" t="b">
        <f>L1319 = "PASS"</f>
        <v>1</v>
      </c>
      <c r="P1319" s="3" t="b">
        <f>L1319 = "FAIL"</f>
        <v>0</v>
      </c>
      <c r="Q1319" s="3" t="b">
        <f>AND(P1319, K1319)</f>
        <v>0</v>
      </c>
      <c r="R1319" s="3" t="str">
        <f>IF(O1319, I1319, "")</f>
        <v>suite-witness</v>
      </c>
      <c r="S1319" s="3" t="str">
        <f>IF(Q1319, I1319, "")</f>
      </c>
      <c r="T1319" s="2" t="s">
        <v>5935</v>
      </c>
    </row>
    <row r="1320">
      <c r="A1320" s="2" t="s">
        <v>7618</v>
      </c>
      <c r="B1320" s="3" t="str">
        <f>C1320 &amp; ": " &amp; D1320</f>
        <v>witness-discriminates: Requirements.IsDecorativeControl</v>
      </c>
      <c r="C1320" s="2" t="s">
        <v>7483</v>
      </c>
      <c r="D1320" s="2" t="s">
        <v>2998</v>
      </c>
      <c r="E1320" s="2" t="s">
        <v>1785</v>
      </c>
      <c r="F1320" s="2" t="s">
        <v>790</v>
      </c>
      <c r="G1320" s="2" t="s">
        <v>7484</v>
      </c>
      <c r="H1320" s="2" t="s">
        <v>1964</v>
      </c>
      <c r="I1320" s="2" t="s">
        <v>5924</v>
      </c>
      <c r="J1320" s="2" t="s">
        <v>7485</v>
      </c>
      <c r="K1320" s="3" t="b">
        <f>J1320 = "blocking"</f>
        <v>0</v>
      </c>
      <c r="L1320" s="2" t="s">
        <v>1431</v>
      </c>
      <c r="M1320" s="2" t="s">
        <v>7515</v>
      </c>
      <c r="N1320" s="4">
        <v>46223.1297337963</v>
      </c>
      <c r="O1320" s="3" t="b">
        <f>L1320 = "PASS"</f>
        <v>0</v>
      </c>
      <c r="P1320" s="3" t="b">
        <f>L1320 = "FAIL"</f>
        <v>0</v>
      </c>
      <c r="Q1320" s="3" t="b">
        <f>AND(P1320, K1320)</f>
        <v>0</v>
      </c>
      <c r="R1320" s="3" t="str">
        <f>IF(O1320, I1320, "")</f>
      </c>
      <c r="S1320" s="3" t="str">
        <f>IF(Q1320, I1320, "")</f>
      </c>
      <c r="T1320" s="2" t="s">
        <v>5935</v>
      </c>
    </row>
    <row r="1321">
      <c r="A1321" s="2" t="s">
        <v>7619</v>
      </c>
      <c r="B1321" s="3" t="str">
        <f>C1321 &amp; ": " &amp; D1321</f>
        <v>witness-discriminates: Requirements.HasEverProducedNegative</v>
      </c>
      <c r="C1321" s="2" t="s">
        <v>7483</v>
      </c>
      <c r="D1321" s="2" t="s">
        <v>3002</v>
      </c>
      <c r="E1321" s="2" t="s">
        <v>1785</v>
      </c>
      <c r="F1321" s="2" t="s">
        <v>793</v>
      </c>
      <c r="G1321" s="2" t="s">
        <v>7484</v>
      </c>
      <c r="H1321" s="2" t="s">
        <v>2236</v>
      </c>
      <c r="I1321" s="2" t="s">
        <v>5924</v>
      </c>
      <c r="J1321" s="2" t="s">
        <v>7485</v>
      </c>
      <c r="K1321" s="3" t="b">
        <f>J1321 = "blocking"</f>
        <v>0</v>
      </c>
      <c r="L1321" s="2" t="s">
        <v>1428</v>
      </c>
      <c r="M1321" s="2" t="s">
        <v>7506</v>
      </c>
      <c r="N1321" s="4">
        <v>46223.1297337963</v>
      </c>
      <c r="O1321" s="3" t="b">
        <f>L1321 = "PASS"</f>
        <v>1</v>
      </c>
      <c r="P1321" s="3" t="b">
        <f>L1321 = "FAIL"</f>
        <v>0</v>
      </c>
      <c r="Q1321" s="3" t="b">
        <f>AND(P1321, K1321)</f>
        <v>0</v>
      </c>
      <c r="R1321" s="3" t="str">
        <f>IF(O1321, I1321, "")</f>
        <v>suite-witness</v>
      </c>
      <c r="S1321" s="3" t="str">
        <f>IF(Q1321, I1321, "")</f>
      </c>
      <c r="T1321" s="2" t="s">
        <v>5935</v>
      </c>
    </row>
    <row r="1322">
      <c r="A1322" s="2" t="s">
        <v>7620</v>
      </c>
      <c r="B1322" s="3" t="str">
        <f>C1322 &amp; ": " &amp; D1322</f>
        <v>witness-discriminates: Requirements.IsUnfalsifiedControl</v>
      </c>
      <c r="C1322" s="2" t="s">
        <v>7483</v>
      </c>
      <c r="D1322" s="2" t="s">
        <v>3004</v>
      </c>
      <c r="E1322" s="2" t="s">
        <v>1785</v>
      </c>
      <c r="F1322" s="2" t="s">
        <v>794</v>
      </c>
      <c r="G1322" s="2" t="s">
        <v>7484</v>
      </c>
      <c r="H1322" s="2" t="s">
        <v>2236</v>
      </c>
      <c r="I1322" s="2" t="s">
        <v>5924</v>
      </c>
      <c r="J1322" s="2" t="s">
        <v>7485</v>
      </c>
      <c r="K1322" s="3" t="b">
        <f>J1322 = "blocking"</f>
        <v>0</v>
      </c>
      <c r="L1322" s="2" t="s">
        <v>1428</v>
      </c>
      <c r="M1322" s="2" t="s">
        <v>7617</v>
      </c>
      <c r="N1322" s="4">
        <v>46223.1297337963</v>
      </c>
      <c r="O1322" s="3" t="b">
        <f>L1322 = "PASS"</f>
        <v>1</v>
      </c>
      <c r="P1322" s="3" t="b">
        <f>L1322 = "FAIL"</f>
        <v>0</v>
      </c>
      <c r="Q1322" s="3" t="b">
        <f>AND(P1322, K1322)</f>
        <v>0</v>
      </c>
      <c r="R1322" s="3" t="str">
        <f>IF(O1322, I1322, "")</f>
        <v>suite-witness</v>
      </c>
      <c r="S1322" s="3" t="str">
        <f>IF(Q1322, I1322, "")</f>
      </c>
      <c r="T1322" s="2" t="s">
        <v>5935</v>
      </c>
    </row>
    <row r="1323">
      <c r="A1323" s="2" t="s">
        <v>7621</v>
      </c>
      <c r="B1323" s="3" t="str">
        <f>C1323 &amp; ": " &amp; D1323</f>
        <v>witness-discriminates: Requirements.ClaimsAWitnessField</v>
      </c>
      <c r="C1323" s="2" t="s">
        <v>7483</v>
      </c>
      <c r="D1323" s="2" t="s">
        <v>3006</v>
      </c>
      <c r="E1323" s="2" t="s">
        <v>1785</v>
      </c>
      <c r="F1323" s="2" t="s">
        <v>795</v>
      </c>
      <c r="G1323" s="2" t="s">
        <v>7484</v>
      </c>
      <c r="H1323" s="2" t="s">
        <v>2244</v>
      </c>
      <c r="I1323" s="2" t="s">
        <v>5924</v>
      </c>
      <c r="J1323" s="2" t="s">
        <v>7485</v>
      </c>
      <c r="K1323" s="3" t="b">
        <f>J1323 = "blocking"</f>
        <v>0</v>
      </c>
      <c r="L1323" s="2" t="s">
        <v>1428</v>
      </c>
      <c r="M1323" s="2" t="s">
        <v>7509</v>
      </c>
      <c r="N1323" s="4">
        <v>46223.1297337963</v>
      </c>
      <c r="O1323" s="3" t="b">
        <f>L1323 = "PASS"</f>
        <v>1</v>
      </c>
      <c r="P1323" s="3" t="b">
        <f>L1323 = "FAIL"</f>
        <v>0</v>
      </c>
      <c r="Q1323" s="3" t="b">
        <f>AND(P1323, K1323)</f>
        <v>0</v>
      </c>
      <c r="R1323" s="3" t="str">
        <f>IF(O1323, I1323, "")</f>
        <v>suite-witness</v>
      </c>
      <c r="S1323" s="3" t="str">
        <f>IF(Q1323, I1323, "")</f>
      </c>
      <c r="T1323" s="2" t="s">
        <v>5935</v>
      </c>
    </row>
    <row r="1324">
      <c r="A1324" s="2" t="s">
        <v>7622</v>
      </c>
      <c r="B1324" s="3" t="str">
        <f>C1324 &amp; ": " &amp; D1324</f>
        <v>witness-discriminates: Requirements.NamedWitnessFieldExists</v>
      </c>
      <c r="C1324" s="2" t="s">
        <v>7483</v>
      </c>
      <c r="D1324" s="2" t="s">
        <v>3008</v>
      </c>
      <c r="E1324" s="2" t="s">
        <v>1785</v>
      </c>
      <c r="F1324" s="2" t="s">
        <v>796</v>
      </c>
      <c r="G1324" s="2" t="s">
        <v>7484</v>
      </c>
      <c r="H1324" s="2" t="s">
        <v>2244</v>
      </c>
      <c r="I1324" s="2" t="s">
        <v>5924</v>
      </c>
      <c r="J1324" s="2" t="s">
        <v>7485</v>
      </c>
      <c r="K1324" s="3" t="b">
        <f>J1324 = "blocking"</f>
        <v>0</v>
      </c>
      <c r="L1324" s="2" t="s">
        <v>1431</v>
      </c>
      <c r="M1324" s="2" t="s">
        <v>7623</v>
      </c>
      <c r="N1324" s="4">
        <v>46223.1297337963</v>
      </c>
      <c r="O1324" s="3" t="b">
        <f>L1324 = "PASS"</f>
        <v>0</v>
      </c>
      <c r="P1324" s="3" t="b">
        <f>L1324 = "FAIL"</f>
        <v>0</v>
      </c>
      <c r="Q1324" s="3" t="b">
        <f>AND(P1324, K1324)</f>
        <v>0</v>
      </c>
      <c r="R1324" s="3" t="str">
        <f>IF(O1324, I1324, "")</f>
      </c>
      <c r="S1324" s="3" t="str">
        <f>IF(Q1324, I1324, "")</f>
      </c>
      <c r="T1324" s="2" t="s">
        <v>5935</v>
      </c>
    </row>
    <row r="1325">
      <c r="A1325" s="2" t="s">
        <v>7624</v>
      </c>
      <c r="B1325" s="3" t="str">
        <f>C1325 &amp; ": " &amp; D1325</f>
        <v>witness-discriminates: Requirements.DerivedHasComputedWitness</v>
      </c>
      <c r="C1325" s="2" t="s">
        <v>7483</v>
      </c>
      <c r="D1325" s="2" t="s">
        <v>3010</v>
      </c>
      <c r="E1325" s="2" t="s">
        <v>1785</v>
      </c>
      <c r="F1325" s="2" t="s">
        <v>797</v>
      </c>
      <c r="G1325" s="2" t="s">
        <v>7484</v>
      </c>
      <c r="H1325" s="2" t="s">
        <v>2244</v>
      </c>
      <c r="I1325" s="2" t="s">
        <v>5924</v>
      </c>
      <c r="J1325" s="2" t="s">
        <v>7485</v>
      </c>
      <c r="K1325" s="3" t="b">
        <f>J1325 = "blocking"</f>
        <v>0</v>
      </c>
      <c r="L1325" s="2" t="s">
        <v>1428</v>
      </c>
      <c r="M1325" s="2" t="s">
        <v>7509</v>
      </c>
      <c r="N1325" s="4">
        <v>46223.1297337963</v>
      </c>
      <c r="O1325" s="3" t="b">
        <f>L1325 = "PASS"</f>
        <v>1</v>
      </c>
      <c r="P1325" s="3" t="b">
        <f>L1325 = "FAIL"</f>
        <v>0</v>
      </c>
      <c r="Q1325" s="3" t="b">
        <f>AND(P1325, K1325)</f>
        <v>0</v>
      </c>
      <c r="R1325" s="3" t="str">
        <f>IF(O1325, I1325, "")</f>
        <v>suite-witness</v>
      </c>
      <c r="S1325" s="3" t="str">
        <f>IF(Q1325, I1325, "")</f>
      </c>
      <c r="T1325" s="2" t="s">
        <v>5935</v>
      </c>
    </row>
    <row r="1326">
      <c r="A1326" s="2" t="s">
        <v>7625</v>
      </c>
      <c r="B1326" s="3" t="str">
        <f>C1326 &amp; ": " &amp; D1326</f>
        <v>witness-discriminates: Requirements.WitnessClaimIsUnverified</v>
      </c>
      <c r="C1326" s="2" t="s">
        <v>7483</v>
      </c>
      <c r="D1326" s="2" t="s">
        <v>3012</v>
      </c>
      <c r="E1326" s="2" t="s">
        <v>1785</v>
      </c>
      <c r="F1326" s="2" t="s">
        <v>798</v>
      </c>
      <c r="G1326" s="2" t="s">
        <v>7484</v>
      </c>
      <c r="H1326" s="2" t="s">
        <v>2244</v>
      </c>
      <c r="I1326" s="2" t="s">
        <v>5924</v>
      </c>
      <c r="J1326" s="2" t="s">
        <v>7485</v>
      </c>
      <c r="K1326" s="3" t="b">
        <f>J1326 = "blocking"</f>
        <v>0</v>
      </c>
      <c r="L1326" s="2" t="s">
        <v>1431</v>
      </c>
      <c r="M1326" s="2" t="s">
        <v>7515</v>
      </c>
      <c r="N1326" s="4">
        <v>46223.1297337963</v>
      </c>
      <c r="O1326" s="3" t="b">
        <f>L1326 = "PASS"</f>
        <v>0</v>
      </c>
      <c r="P1326" s="3" t="b">
        <f>L1326 = "FAIL"</f>
        <v>0</v>
      </c>
      <c r="Q1326" s="3" t="b">
        <f>AND(P1326, K1326)</f>
        <v>0</v>
      </c>
      <c r="R1326" s="3" t="str">
        <f>IF(O1326, I1326, "")</f>
      </c>
      <c r="S1326" s="3" t="str">
        <f>IF(Q1326, I1326, "")</f>
      </c>
      <c r="T1326" s="2" t="s">
        <v>5935</v>
      </c>
    </row>
    <row r="1327">
      <c r="A1327" s="2" t="s">
        <v>7626</v>
      </c>
      <c r="B1327" s="3" t="str">
        <f>C1327 &amp; ": " &amp; D1327</f>
        <v>witness-discriminates: Requirements.IsUnwitnessedBlockingControl</v>
      </c>
      <c r="C1327" s="2" t="s">
        <v>7483</v>
      </c>
      <c r="D1327" s="2" t="s">
        <v>3014</v>
      </c>
      <c r="E1327" s="2" t="s">
        <v>1785</v>
      </c>
      <c r="F1327" s="2" t="s">
        <v>799</v>
      </c>
      <c r="G1327" s="2" t="s">
        <v>7484</v>
      </c>
      <c r="H1327" s="2" t="s">
        <v>2244</v>
      </c>
      <c r="I1327" s="2" t="s">
        <v>5924</v>
      </c>
      <c r="J1327" s="2" t="s">
        <v>7485</v>
      </c>
      <c r="K1327" s="3" t="b">
        <f>J1327 = "blocking"</f>
        <v>0</v>
      </c>
      <c r="L1327" s="2" t="s">
        <v>1428</v>
      </c>
      <c r="M1327" s="2" t="s">
        <v>7627</v>
      </c>
      <c r="N1327" s="4">
        <v>46223.1297337963</v>
      </c>
      <c r="O1327" s="3" t="b">
        <f>L1327 = "PASS"</f>
        <v>1</v>
      </c>
      <c r="P1327" s="3" t="b">
        <f>L1327 = "FAIL"</f>
        <v>0</v>
      </c>
      <c r="Q1327" s="3" t="b">
        <f>AND(P1327, K1327)</f>
        <v>0</v>
      </c>
      <c r="R1327" s="3" t="str">
        <f>IF(O1327, I1327, "")</f>
        <v>suite-witness</v>
      </c>
      <c r="S1327" s="3" t="str">
        <f>IF(Q1327, I1327, "")</f>
      </c>
      <c r="T1327" s="2" t="s">
        <v>5935</v>
      </c>
    </row>
    <row r="1328">
      <c r="A1328" s="2" t="s">
        <v>7628</v>
      </c>
      <c r="B1328" s="3" t="str">
        <f>C1328 &amp; ": " &amp; D1328</f>
        <v>witness-discriminates: Requirements.WitnessHasNeverFired</v>
      </c>
      <c r="C1328" s="2" t="s">
        <v>7483</v>
      </c>
      <c r="D1328" s="2" t="s">
        <v>3018</v>
      </c>
      <c r="E1328" s="2" t="s">
        <v>1785</v>
      </c>
      <c r="F1328" s="2" t="s">
        <v>801</v>
      </c>
      <c r="G1328" s="2" t="s">
        <v>7484</v>
      </c>
      <c r="H1328" s="2" t="s">
        <v>2256</v>
      </c>
      <c r="I1328" s="2" t="s">
        <v>5924</v>
      </c>
      <c r="J1328" s="2" t="s">
        <v>7485</v>
      </c>
      <c r="K1328" s="3" t="b">
        <f>J1328 = "blocking"</f>
        <v>0</v>
      </c>
      <c r="L1328" s="2" t="s">
        <v>1428</v>
      </c>
      <c r="M1328" s="2" t="s">
        <v>7513</v>
      </c>
      <c r="N1328" s="4">
        <v>46223.1297337963</v>
      </c>
      <c r="O1328" s="3" t="b">
        <f>L1328 = "PASS"</f>
        <v>1</v>
      </c>
      <c r="P1328" s="3" t="b">
        <f>L1328 = "FAIL"</f>
        <v>0</v>
      </c>
      <c r="Q1328" s="3" t="b">
        <f>AND(P1328, K1328)</f>
        <v>0</v>
      </c>
      <c r="R1328" s="3" t="str">
        <f>IF(O1328, I1328, "")</f>
        <v>suite-witness</v>
      </c>
      <c r="S1328" s="3" t="str">
        <f>IF(Q1328, I1328, "")</f>
      </c>
      <c r="T1328" s="2" t="s">
        <v>5935</v>
      </c>
    </row>
    <row r="1329">
      <c r="A1329" s="2" t="s">
        <v>7629</v>
      </c>
      <c r="B1329" s="3" t="str">
        <f>C1329 &amp; ": " &amp; D1329</f>
        <v>witness-discriminates: Requirements.HasMeaningfulSample</v>
      </c>
      <c r="C1329" s="2" t="s">
        <v>7483</v>
      </c>
      <c r="D1329" s="2" t="s">
        <v>3022</v>
      </c>
      <c r="E1329" s="2" t="s">
        <v>1785</v>
      </c>
      <c r="F1329" s="2" t="s">
        <v>803</v>
      </c>
      <c r="G1329" s="2" t="s">
        <v>7484</v>
      </c>
      <c r="H1329" s="2" t="s">
        <v>2256</v>
      </c>
      <c r="I1329" s="2" t="s">
        <v>5924</v>
      </c>
      <c r="J1329" s="2" t="s">
        <v>7485</v>
      </c>
      <c r="K1329" s="3" t="b">
        <f>J1329 = "blocking"</f>
        <v>0</v>
      </c>
      <c r="L1329" s="2" t="s">
        <v>1431</v>
      </c>
      <c r="M1329" s="2" t="s">
        <v>7518</v>
      </c>
      <c r="N1329" s="4">
        <v>46223.1297337963</v>
      </c>
      <c r="O1329" s="3" t="b">
        <f>L1329 = "PASS"</f>
        <v>0</v>
      </c>
      <c r="P1329" s="3" t="b">
        <f>L1329 = "FAIL"</f>
        <v>0</v>
      </c>
      <c r="Q1329" s="3" t="b">
        <f>AND(P1329, K1329)</f>
        <v>0</v>
      </c>
      <c r="R1329" s="3" t="str">
        <f>IF(O1329, I1329, "")</f>
      </c>
      <c r="S1329" s="3" t="str">
        <f>IF(Q1329, I1329, "")</f>
      </c>
      <c r="T1329" s="2" t="s">
        <v>5935</v>
      </c>
    </row>
    <row r="1330">
      <c r="A1330" s="2" t="s">
        <v>7630</v>
      </c>
      <c r="B1330" s="3" t="str">
        <f>C1330 &amp; ": " &amp; D1330</f>
        <v>witness-discriminates: Requirements.IsUntestedWitness</v>
      </c>
      <c r="C1330" s="2" t="s">
        <v>7483</v>
      </c>
      <c r="D1330" s="2" t="s">
        <v>3025</v>
      </c>
      <c r="E1330" s="2" t="s">
        <v>1785</v>
      </c>
      <c r="F1330" s="2" t="s">
        <v>805</v>
      </c>
      <c r="G1330" s="2" t="s">
        <v>7484</v>
      </c>
      <c r="H1330" s="2" t="s">
        <v>2256</v>
      </c>
      <c r="I1330" s="2" t="s">
        <v>5924</v>
      </c>
      <c r="J1330" s="2" t="s">
        <v>7485</v>
      </c>
      <c r="K1330" s="3" t="b">
        <f>J1330 = "blocking"</f>
        <v>0</v>
      </c>
      <c r="L1330" s="2" t="s">
        <v>1431</v>
      </c>
      <c r="M1330" s="2" t="s">
        <v>7631</v>
      </c>
      <c r="N1330" s="4">
        <v>46223.1297337963</v>
      </c>
      <c r="O1330" s="3" t="b">
        <f>L1330 = "PASS"</f>
        <v>0</v>
      </c>
      <c r="P1330" s="3" t="b">
        <f>L1330 = "FAIL"</f>
        <v>0</v>
      </c>
      <c r="Q1330" s="3" t="b">
        <f>AND(P1330, K1330)</f>
        <v>0</v>
      </c>
      <c r="R1330" s="3" t="str">
        <f>IF(O1330, I1330, "")</f>
      </c>
      <c r="S1330" s="3" t="str">
        <f>IF(Q1330, I1330, "")</f>
      </c>
      <c r="T1330" s="2" t="s">
        <v>5935</v>
      </c>
    </row>
    <row r="1331">
      <c r="A1331" s="2" t="s">
        <v>7632</v>
      </c>
      <c r="B1331" s="3" t="str">
        <f>C1331 &amp; ": " &amp; D1331</f>
        <v>witness-discriminates: Requirements.IsEvidencedHoldingControl</v>
      </c>
      <c r="C1331" s="2" t="s">
        <v>7483</v>
      </c>
      <c r="D1331" s="2" t="s">
        <v>3027</v>
      </c>
      <c r="E1331" s="2" t="s">
        <v>1785</v>
      </c>
      <c r="F1331" s="2" t="s">
        <v>806</v>
      </c>
      <c r="G1331" s="2" t="s">
        <v>7484</v>
      </c>
      <c r="H1331" s="2" t="s">
        <v>2256</v>
      </c>
      <c r="I1331" s="2" t="s">
        <v>5924</v>
      </c>
      <c r="J1331" s="2" t="s">
        <v>7485</v>
      </c>
      <c r="K1331" s="3" t="b">
        <f>J1331 = "blocking"</f>
        <v>0</v>
      </c>
      <c r="L1331" s="2" t="s">
        <v>1431</v>
      </c>
      <c r="M1331" s="2" t="s">
        <v>7631</v>
      </c>
      <c r="N1331" s="4">
        <v>46223.1297337963</v>
      </c>
      <c r="O1331" s="3" t="b">
        <f>L1331 = "PASS"</f>
        <v>0</v>
      </c>
      <c r="P1331" s="3" t="b">
        <f>L1331 = "FAIL"</f>
        <v>0</v>
      </c>
      <c r="Q1331" s="3" t="b">
        <f>AND(P1331, K1331)</f>
        <v>0</v>
      </c>
      <c r="R1331" s="3" t="str">
        <f>IF(O1331, I1331, "")</f>
      </c>
      <c r="S1331" s="3" t="str">
        <f>IF(Q1331, I1331, "")</f>
      </c>
      <c r="T1331" s="2" t="s">
        <v>5935</v>
      </c>
    </row>
    <row r="1332">
      <c r="A1332" s="2" t="s">
        <v>7633</v>
      </c>
      <c r="B1332" s="3" t="str">
        <f>C1332 &amp; ": " &amp; D1332</f>
        <v>witness-discriminates: Requirements.WitnessIsPartiallyScoped</v>
      </c>
      <c r="C1332" s="2" t="s">
        <v>7483</v>
      </c>
      <c r="D1332" s="2" t="s">
        <v>3033</v>
      </c>
      <c r="E1332" s="2" t="s">
        <v>1785</v>
      </c>
      <c r="F1332" s="2" t="s">
        <v>809</v>
      </c>
      <c r="G1332" s="2" t="s">
        <v>7484</v>
      </c>
      <c r="H1332" s="2" t="s">
        <v>2260</v>
      </c>
      <c r="I1332" s="2" t="s">
        <v>5924</v>
      </c>
      <c r="J1332" s="2" t="s">
        <v>7485</v>
      </c>
      <c r="K1332" s="3" t="b">
        <f>J1332 = "blocking"</f>
        <v>0</v>
      </c>
      <c r="L1332" s="2" t="s">
        <v>1428</v>
      </c>
      <c r="M1332" s="2" t="s">
        <v>7509</v>
      </c>
      <c r="N1332" s="4">
        <v>46223.1297337963</v>
      </c>
      <c r="O1332" s="3" t="b">
        <f>L1332 = "PASS"</f>
        <v>1</v>
      </c>
      <c r="P1332" s="3" t="b">
        <f>L1332 = "FAIL"</f>
        <v>0</v>
      </c>
      <c r="Q1332" s="3" t="b">
        <f>AND(P1332, K1332)</f>
        <v>0</v>
      </c>
      <c r="R1332" s="3" t="str">
        <f>IF(O1332, I1332, "")</f>
        <v>suite-witness</v>
      </c>
      <c r="S1332" s="3" t="str">
        <f>IF(Q1332, I1332, "")</f>
      </c>
      <c r="T1332" s="2" t="s">
        <v>5935</v>
      </c>
    </row>
    <row r="1333">
      <c r="A1333" s="2" t="s">
        <v>7634</v>
      </c>
      <c r="B1333" s="3" t="str">
        <f>C1333 &amp; ": " &amp; D1333</f>
        <v>witness-discriminates: Requirements.HasNamedOwner</v>
      </c>
      <c r="C1333" s="2" t="s">
        <v>7483</v>
      </c>
      <c r="D1333" s="2" t="s">
        <v>3038</v>
      </c>
      <c r="E1333" s="2" t="s">
        <v>1785</v>
      </c>
      <c r="F1333" s="2" t="s">
        <v>812</v>
      </c>
      <c r="G1333" s="2" t="s">
        <v>7484</v>
      </c>
      <c r="H1333" s="2" t="s">
        <v>2288</v>
      </c>
      <c r="I1333" s="2" t="s">
        <v>5924</v>
      </c>
      <c r="J1333" s="2" t="s">
        <v>7485</v>
      </c>
      <c r="K1333" s="3" t="b">
        <f>J1333 = "blocking"</f>
        <v>0</v>
      </c>
      <c r="L1333" s="2" t="s">
        <v>1431</v>
      </c>
      <c r="M1333" s="2" t="s">
        <v>7515</v>
      </c>
      <c r="N1333" s="4">
        <v>46223.1297337963</v>
      </c>
      <c r="O1333" s="3" t="b">
        <f>L1333 = "PASS"</f>
        <v>0</v>
      </c>
      <c r="P1333" s="3" t="b">
        <f>L1333 = "FAIL"</f>
        <v>0</v>
      </c>
      <c r="Q1333" s="3" t="b">
        <f>AND(P1333, K1333)</f>
        <v>0</v>
      </c>
      <c r="R1333" s="3" t="str">
        <f>IF(O1333, I1333, "")</f>
      </c>
      <c r="S1333" s="3" t="str">
        <f>IF(Q1333, I1333, "")</f>
      </c>
      <c r="T1333" s="2" t="s">
        <v>5935</v>
      </c>
    </row>
    <row r="1334">
      <c r="A1334" s="2" t="s">
        <v>7635</v>
      </c>
      <c r="B1334" s="3" t="str">
        <f>C1334 &amp; ": " &amp; D1334</f>
        <v>witness-discriminates: Requirements.IsOrphanedBlockingControl</v>
      </c>
      <c r="C1334" s="2" t="s">
        <v>7483</v>
      </c>
      <c r="D1334" s="2" t="s">
        <v>3040</v>
      </c>
      <c r="E1334" s="2" t="s">
        <v>1785</v>
      </c>
      <c r="F1334" s="2" t="s">
        <v>813</v>
      </c>
      <c r="G1334" s="2" t="s">
        <v>7484</v>
      </c>
      <c r="H1334" s="2" t="s">
        <v>2288</v>
      </c>
      <c r="I1334" s="2" t="s">
        <v>5924</v>
      </c>
      <c r="J1334" s="2" t="s">
        <v>7485</v>
      </c>
      <c r="K1334" s="3" t="b">
        <f>J1334 = "blocking"</f>
        <v>0</v>
      </c>
      <c r="L1334" s="2" t="s">
        <v>1431</v>
      </c>
      <c r="M1334" s="2" t="s">
        <v>7613</v>
      </c>
      <c r="N1334" s="4">
        <v>46223.1297337963</v>
      </c>
      <c r="O1334" s="3" t="b">
        <f>L1334 = "PASS"</f>
        <v>0</v>
      </c>
      <c r="P1334" s="3" t="b">
        <f>L1334 = "FAIL"</f>
        <v>0</v>
      </c>
      <c r="Q1334" s="3" t="b">
        <f>AND(P1334, K1334)</f>
        <v>0</v>
      </c>
      <c r="R1334" s="3" t="str">
        <f>IF(O1334, I1334, "")</f>
      </c>
      <c r="S1334" s="3" t="str">
        <f>IF(Q1334, I1334, "")</f>
      </c>
      <c r="T1334" s="2" t="s">
        <v>5935</v>
      </c>
    </row>
    <row r="1335">
      <c r="A1335" s="2" t="s">
        <v>7636</v>
      </c>
      <c r="B1335" s="3" t="str">
        <f>C1335 &amp; ": " &amp; D1335</f>
        <v>witness-discriminates: Requirements.IsUnwatchedAndUnowned</v>
      </c>
      <c r="C1335" s="2" t="s">
        <v>7483</v>
      </c>
      <c r="D1335" s="2" t="s">
        <v>3042</v>
      </c>
      <c r="E1335" s="2" t="s">
        <v>1785</v>
      </c>
      <c r="F1335" s="2" t="s">
        <v>814</v>
      </c>
      <c r="G1335" s="2" t="s">
        <v>7484</v>
      </c>
      <c r="H1335" s="2" t="s">
        <v>2288</v>
      </c>
      <c r="I1335" s="2" t="s">
        <v>5924</v>
      </c>
      <c r="J1335" s="2" t="s">
        <v>7485</v>
      </c>
      <c r="K1335" s="3" t="b">
        <f>J1335 = "blocking"</f>
        <v>0</v>
      </c>
      <c r="L1335" s="2" t="s">
        <v>1428</v>
      </c>
      <c r="M1335" s="2" t="s">
        <v>7627</v>
      </c>
      <c r="N1335" s="4">
        <v>46223.1297337963</v>
      </c>
      <c r="O1335" s="3" t="b">
        <f>L1335 = "PASS"</f>
        <v>1</v>
      </c>
      <c r="P1335" s="3" t="b">
        <f>L1335 = "FAIL"</f>
        <v>0</v>
      </c>
      <c r="Q1335" s="3" t="b">
        <f>AND(P1335, K1335)</f>
        <v>0</v>
      </c>
      <c r="R1335" s="3" t="str">
        <f>IF(O1335, I1335, "")</f>
        <v>suite-witness</v>
      </c>
      <c r="S1335" s="3" t="str">
        <f>IF(Q1335, I1335, "")</f>
      </c>
      <c r="T1335" s="2" t="s">
        <v>5935</v>
      </c>
    </row>
    <row r="1336">
      <c r="A1336" s="2" t="s">
        <v>7637</v>
      </c>
      <c r="B1336" s="3" t="str">
        <f>C1336 &amp; ": " &amp; D1336</f>
        <v>witness-discriminates: StepRequirements.RequirementIsBlocking</v>
      </c>
      <c r="C1336" s="2" t="s">
        <v>7483</v>
      </c>
      <c r="D1336" s="2" t="s">
        <v>3058</v>
      </c>
      <c r="E1336" s="2" t="s">
        <v>3053</v>
      </c>
      <c r="F1336" s="2" t="s">
        <v>895</v>
      </c>
      <c r="G1336" s="2" t="s">
        <v>7484</v>
      </c>
      <c r="H1336" s="2" t="s">
        <v>1940</v>
      </c>
      <c r="I1336" s="2" t="s">
        <v>5924</v>
      </c>
      <c r="J1336" s="2" t="s">
        <v>7485</v>
      </c>
      <c r="K1336" s="3" t="b">
        <f>J1336 = "blocking"</f>
        <v>0</v>
      </c>
      <c r="L1336" s="2" t="s">
        <v>1431</v>
      </c>
      <c r="M1336" s="2" t="s">
        <v>7638</v>
      </c>
      <c r="N1336" s="4">
        <v>46223.1297337963</v>
      </c>
      <c r="O1336" s="3" t="b">
        <f>L1336 = "PASS"</f>
        <v>0</v>
      </c>
      <c r="P1336" s="3" t="b">
        <f>L1336 = "FAIL"</f>
        <v>0</v>
      </c>
      <c r="Q1336" s="3" t="b">
        <f>AND(P1336, K1336)</f>
        <v>0</v>
      </c>
      <c r="R1336" s="3" t="str">
        <f>IF(O1336, I1336, "")</f>
      </c>
      <c r="S1336" s="3" t="str">
        <f>IF(Q1336, I1336, "")</f>
      </c>
      <c r="T1336" s="2" t="s">
        <v>5935</v>
      </c>
    </row>
    <row r="1337">
      <c r="A1337" s="2" t="s">
        <v>7639</v>
      </c>
      <c r="B1337" s="3" t="str">
        <f>C1337 &amp; ": " &amp; D1337</f>
        <v>witness-discriminates: StepRequirements.RequirementLacksWitness</v>
      </c>
      <c r="C1337" s="2" t="s">
        <v>7483</v>
      </c>
      <c r="D1337" s="2" t="s">
        <v>3063</v>
      </c>
      <c r="E1337" s="2" t="s">
        <v>3053</v>
      </c>
      <c r="F1337" s="2" t="s">
        <v>898</v>
      </c>
      <c r="G1337" s="2" t="s">
        <v>7484</v>
      </c>
      <c r="H1337" s="2" t="s">
        <v>2244</v>
      </c>
      <c r="I1337" s="2" t="s">
        <v>5924</v>
      </c>
      <c r="J1337" s="2" t="s">
        <v>7485</v>
      </c>
      <c r="K1337" s="3" t="b">
        <f>J1337 = "blocking"</f>
        <v>0</v>
      </c>
      <c r="L1337" s="2" t="s">
        <v>1428</v>
      </c>
      <c r="M1337" s="2" t="s">
        <v>7640</v>
      </c>
      <c r="N1337" s="4">
        <v>46223.1297337963</v>
      </c>
      <c r="O1337" s="3" t="b">
        <f>L1337 = "PASS"</f>
        <v>1</v>
      </c>
      <c r="P1337" s="3" t="b">
        <f>L1337 = "FAIL"</f>
        <v>0</v>
      </c>
      <c r="Q1337" s="3" t="b">
        <f>AND(P1337, K1337)</f>
        <v>0</v>
      </c>
      <c r="R1337" s="3" t="str">
        <f>IF(O1337, I1337, "")</f>
        <v>suite-witness</v>
      </c>
      <c r="S1337" s="3" t="str">
        <f>IF(Q1337, I1337, "")</f>
      </c>
      <c r="T1337" s="2" t="s">
        <v>5935</v>
      </c>
    </row>
    <row r="1338">
      <c r="A1338" s="2" t="s">
        <v>7641</v>
      </c>
      <c r="B1338" s="3" t="str">
        <f>C1338 &amp; ": " &amp; D1338</f>
        <v>witness-discriminates: StepRequirements.BindingWasEverExercised</v>
      </c>
      <c r="C1338" s="2" t="s">
        <v>7483</v>
      </c>
      <c r="D1338" s="2" t="s">
        <v>3069</v>
      </c>
      <c r="E1338" s="2" t="s">
        <v>3053</v>
      </c>
      <c r="F1338" s="2" t="s">
        <v>901</v>
      </c>
      <c r="G1338" s="2" t="s">
        <v>7484</v>
      </c>
      <c r="H1338" s="2" t="s">
        <v>2260</v>
      </c>
      <c r="I1338" s="2" t="s">
        <v>5924</v>
      </c>
      <c r="J1338" s="2" t="s">
        <v>7485</v>
      </c>
      <c r="K1338" s="3" t="b">
        <f>J1338 = "blocking"</f>
        <v>0</v>
      </c>
      <c r="L1338" s="2" t="s">
        <v>1431</v>
      </c>
      <c r="M1338" s="2" t="s">
        <v>7642</v>
      </c>
      <c r="N1338" s="4">
        <v>46223.1297337963</v>
      </c>
      <c r="O1338" s="3" t="b">
        <f>L1338 = "PASS"</f>
        <v>0</v>
      </c>
      <c r="P1338" s="3" t="b">
        <f>L1338 = "FAIL"</f>
        <v>0</v>
      </c>
      <c r="Q1338" s="3" t="b">
        <f>AND(P1338, K1338)</f>
        <v>0</v>
      </c>
      <c r="R1338" s="3" t="str">
        <f>IF(O1338, I1338, "")</f>
      </c>
      <c r="S1338" s="3" t="str">
        <f>IF(Q1338, I1338, "")</f>
      </c>
      <c r="T1338" s="2" t="s">
        <v>5935</v>
      </c>
    </row>
    <row r="1339">
      <c r="A1339" s="2" t="s">
        <v>7643</v>
      </c>
      <c r="B1339" s="3" t="str">
        <f>C1339 &amp; ": " &amp; D1339</f>
        <v>witness-discriminates: StepRequirements.IsUnexercisedBlockingBinding</v>
      </c>
      <c r="C1339" s="2" t="s">
        <v>7483</v>
      </c>
      <c r="D1339" s="2" t="s">
        <v>3071</v>
      </c>
      <c r="E1339" s="2" t="s">
        <v>3053</v>
      </c>
      <c r="F1339" s="2" t="s">
        <v>902</v>
      </c>
      <c r="G1339" s="2" t="s">
        <v>7484</v>
      </c>
      <c r="H1339" s="2" t="s">
        <v>2260</v>
      </c>
      <c r="I1339" s="2" t="s">
        <v>5924</v>
      </c>
      <c r="J1339" s="2" t="s">
        <v>7485</v>
      </c>
      <c r="K1339" s="3" t="b">
        <f>J1339 = "blocking"</f>
        <v>0</v>
      </c>
      <c r="L1339" s="2" t="s">
        <v>1431</v>
      </c>
      <c r="M1339" s="2" t="s">
        <v>7638</v>
      </c>
      <c r="N1339" s="4">
        <v>46223.1297337963</v>
      </c>
      <c r="O1339" s="3" t="b">
        <f>L1339 = "PASS"</f>
        <v>0</v>
      </c>
      <c r="P1339" s="3" t="b">
        <f>L1339 = "FAIL"</f>
        <v>0</v>
      </c>
      <c r="Q1339" s="3" t="b">
        <f>AND(P1339, K1339)</f>
        <v>0</v>
      </c>
      <c r="R1339" s="3" t="str">
        <f>IF(O1339, I1339, "")</f>
      </c>
      <c r="S1339" s="3" t="str">
        <f>IF(Q1339, I1339, "")</f>
      </c>
      <c r="T1339" s="2" t="s">
        <v>5935</v>
      </c>
    </row>
    <row r="1340">
      <c r="A1340" s="2" t="s">
        <v>7644</v>
      </c>
      <c r="B1340" s="3" t="str">
        <f>C1340 &amp; ": " &amp; D1340</f>
        <v>witness-discriminates: Resources.IsApprovedSource</v>
      </c>
      <c r="C1340" s="2" t="s">
        <v>7483</v>
      </c>
      <c r="D1340" s="2" t="s">
        <v>3117</v>
      </c>
      <c r="E1340" s="2" t="s">
        <v>1791</v>
      </c>
      <c r="F1340" s="2" t="s">
        <v>1005</v>
      </c>
      <c r="G1340" s="2" t="s">
        <v>7484</v>
      </c>
      <c r="H1340" s="2" t="s">
        <v>2160</v>
      </c>
      <c r="I1340" s="2" t="s">
        <v>5924</v>
      </c>
      <c r="J1340" s="2" t="s">
        <v>7485</v>
      </c>
      <c r="K1340" s="3" t="b">
        <f>J1340 = "blocking"</f>
        <v>0</v>
      </c>
      <c r="L1340" s="2" t="s">
        <v>1431</v>
      </c>
      <c r="M1340" s="2" t="s">
        <v>7645</v>
      </c>
      <c r="N1340" s="4">
        <v>46223.1297337963</v>
      </c>
      <c r="O1340" s="3" t="b">
        <f>L1340 = "PASS"</f>
        <v>0</v>
      </c>
      <c r="P1340" s="3" t="b">
        <f>L1340 = "FAIL"</f>
        <v>0</v>
      </c>
      <c r="Q1340" s="3" t="b">
        <f>AND(P1340, K1340)</f>
        <v>0</v>
      </c>
      <c r="R1340" s="3" t="str">
        <f>IF(O1340, I1340, "")</f>
      </c>
      <c r="S1340" s="3" t="str">
        <f>IF(Q1340, I1340, "")</f>
      </c>
      <c r="T1340" s="2" t="s">
        <v>5935</v>
      </c>
    </row>
    <row r="1341">
      <c r="A1341" s="2" t="s">
        <v>7646</v>
      </c>
      <c r="B1341" s="3" t="str">
        <f>C1341 &amp; ": " &amp; D1341</f>
        <v>witness-discriminates: ElicitationSessions.IsSingleWitnessMethod</v>
      </c>
      <c r="C1341" s="2" t="s">
        <v>7483</v>
      </c>
      <c r="D1341" s="2" t="s">
        <v>3144</v>
      </c>
      <c r="E1341" s="2" t="s">
        <v>1835</v>
      </c>
      <c r="F1341" s="2" t="s">
        <v>1066</v>
      </c>
      <c r="G1341" s="2" t="s">
        <v>7484</v>
      </c>
      <c r="H1341" s="2" t="s">
        <v>2024</v>
      </c>
      <c r="I1341" s="2" t="s">
        <v>5924</v>
      </c>
      <c r="J1341" s="2" t="s">
        <v>7485</v>
      </c>
      <c r="K1341" s="3" t="b">
        <f>J1341 = "blocking"</f>
        <v>0</v>
      </c>
      <c r="L1341" s="2" t="s">
        <v>1428</v>
      </c>
      <c r="M1341" s="2" t="s">
        <v>7542</v>
      </c>
      <c r="N1341" s="4">
        <v>46223.1297337963</v>
      </c>
      <c r="O1341" s="3" t="b">
        <f>L1341 = "PASS"</f>
        <v>1</v>
      </c>
      <c r="P1341" s="3" t="b">
        <f>L1341 = "FAIL"</f>
        <v>0</v>
      </c>
      <c r="Q1341" s="3" t="b">
        <f>AND(P1341, K1341)</f>
        <v>0</v>
      </c>
      <c r="R1341" s="3" t="str">
        <f>IF(O1341, I1341, "")</f>
        <v>suite-witness</v>
      </c>
      <c r="S1341" s="3" t="str">
        <f>IF(Q1341, I1341, "")</f>
      </c>
      <c r="T1341" s="2" t="s">
        <v>5935</v>
      </c>
    </row>
    <row r="1342">
      <c r="A1342" s="2" t="s">
        <v>7647</v>
      </c>
      <c r="B1342" s="3" t="str">
        <f>C1342 &amp; ": " &amp; D1342</f>
        <v>witness-discriminates: ElicitationSessions.PractitionerIsStillEngaged</v>
      </c>
      <c r="C1342" s="2" t="s">
        <v>7483</v>
      </c>
      <c r="D1342" s="2" t="s">
        <v>3146</v>
      </c>
      <c r="E1342" s="2" t="s">
        <v>1835</v>
      </c>
      <c r="F1342" s="2" t="s">
        <v>1067</v>
      </c>
      <c r="G1342" s="2" t="s">
        <v>7484</v>
      </c>
      <c r="H1342" s="2" t="s">
        <v>2024</v>
      </c>
      <c r="I1342" s="2" t="s">
        <v>5924</v>
      </c>
      <c r="J1342" s="2" t="s">
        <v>7485</v>
      </c>
      <c r="K1342" s="3" t="b">
        <f>J1342 = "blocking"</f>
        <v>0</v>
      </c>
      <c r="L1342" s="2" t="s">
        <v>1431</v>
      </c>
      <c r="M1342" s="2" t="s">
        <v>7550</v>
      </c>
      <c r="N1342" s="4">
        <v>46223.1297337963</v>
      </c>
      <c r="O1342" s="3" t="b">
        <f>L1342 = "PASS"</f>
        <v>0</v>
      </c>
      <c r="P1342" s="3" t="b">
        <f>L1342 = "FAIL"</f>
        <v>0</v>
      </c>
      <c r="Q1342" s="3" t="b">
        <f>AND(P1342, K1342)</f>
        <v>0</v>
      </c>
      <c r="R1342" s="3" t="str">
        <f>IF(O1342, I1342, "")</f>
      </c>
      <c r="S1342" s="3" t="str">
        <f>IF(Q1342, I1342, "")</f>
      </c>
      <c r="T1342" s="2" t="s">
        <v>5935</v>
      </c>
    </row>
    <row r="1343">
      <c r="A1343" s="2" t="s">
        <v>7648</v>
      </c>
      <c r="B1343" s="3" t="str">
        <f>C1343 &amp; ": " &amp; D1343</f>
        <v>witness-discriminates: ElicitationSessions.IsHighYieldSession</v>
      </c>
      <c r="C1343" s="2" t="s">
        <v>7483</v>
      </c>
      <c r="D1343" s="2" t="s">
        <v>3150</v>
      </c>
      <c r="E1343" s="2" t="s">
        <v>1835</v>
      </c>
      <c r="F1343" s="2" t="s">
        <v>1069</v>
      </c>
      <c r="G1343" s="2" t="s">
        <v>7484</v>
      </c>
      <c r="H1343" s="2" t="s">
        <v>2184</v>
      </c>
      <c r="I1343" s="2" t="s">
        <v>5924</v>
      </c>
      <c r="J1343" s="2" t="s">
        <v>7485</v>
      </c>
      <c r="K1343" s="3" t="b">
        <f>J1343 = "blocking"</f>
        <v>0</v>
      </c>
      <c r="L1343" s="2" t="s">
        <v>1428</v>
      </c>
      <c r="M1343" s="2" t="s">
        <v>7538</v>
      </c>
      <c r="N1343" s="4">
        <v>46223.1297337963</v>
      </c>
      <c r="O1343" s="3" t="b">
        <f>L1343 = "PASS"</f>
        <v>1</v>
      </c>
      <c r="P1343" s="3" t="b">
        <f>L1343 = "FAIL"</f>
        <v>0</v>
      </c>
      <c r="Q1343" s="3" t="b">
        <f>AND(P1343, K1343)</f>
        <v>0</v>
      </c>
      <c r="R1343" s="3" t="str">
        <f>IF(O1343, I1343, "")</f>
        <v>suite-witness</v>
      </c>
      <c r="S1343" s="3" t="str">
        <f>IF(Q1343, I1343, "")</f>
      </c>
      <c r="T1343" s="2" t="s">
        <v>5935</v>
      </c>
    </row>
    <row r="1344">
      <c r="A1344" s="2" t="s">
        <v>7649</v>
      </c>
      <c r="B1344" s="3" t="str">
        <f>C1344 &amp; ": " &amp; D1344</f>
        <v>witness-discriminates: ElicitationSessions.IsConcentratedSingleWitness</v>
      </c>
      <c r="C1344" s="2" t="s">
        <v>7483</v>
      </c>
      <c r="D1344" s="2" t="s">
        <v>3152</v>
      </c>
      <c r="E1344" s="2" t="s">
        <v>1835</v>
      </c>
      <c r="F1344" s="2" t="s">
        <v>1070</v>
      </c>
      <c r="G1344" s="2" t="s">
        <v>7484</v>
      </c>
      <c r="H1344" s="2" t="s">
        <v>2184</v>
      </c>
      <c r="I1344" s="2" t="s">
        <v>5924</v>
      </c>
      <c r="J1344" s="2" t="s">
        <v>7485</v>
      </c>
      <c r="K1344" s="3" t="b">
        <f>J1344 = "blocking"</f>
        <v>0</v>
      </c>
      <c r="L1344" s="2" t="s">
        <v>1428</v>
      </c>
      <c r="M1344" s="2" t="s">
        <v>7538</v>
      </c>
      <c r="N1344" s="4">
        <v>46223.1297337963</v>
      </c>
      <c r="O1344" s="3" t="b">
        <f>L1344 = "PASS"</f>
        <v>1</v>
      </c>
      <c r="P1344" s="3" t="b">
        <f>L1344 = "FAIL"</f>
        <v>0</v>
      </c>
      <c r="Q1344" s="3" t="b">
        <f>AND(P1344, K1344)</f>
        <v>0</v>
      </c>
      <c r="R1344" s="3" t="str">
        <f>IF(O1344, I1344, "")</f>
        <v>suite-witness</v>
      </c>
      <c r="S1344" s="3" t="str">
        <f>IF(Q1344, I1344, "")</f>
      </c>
      <c r="T1344" s="2" t="s">
        <v>5935</v>
      </c>
    </row>
    <row r="1345">
      <c r="A1345" s="2" t="s">
        <v>7650</v>
      </c>
      <c r="B1345" s="3" t="str">
        <f>C1345 &amp; ": " &amp; D1345</f>
        <v>witness-discriminates: ElicitationSessions.IsStaleConcentratedWitness</v>
      </c>
      <c r="C1345" s="2" t="s">
        <v>7483</v>
      </c>
      <c r="D1345" s="2" t="s">
        <v>3154</v>
      </c>
      <c r="E1345" s="2" t="s">
        <v>1835</v>
      </c>
      <c r="F1345" s="2" t="s">
        <v>1071</v>
      </c>
      <c r="G1345" s="2" t="s">
        <v>7484</v>
      </c>
      <c r="H1345" s="2" t="s">
        <v>2184</v>
      </c>
      <c r="I1345" s="2" t="s">
        <v>5924</v>
      </c>
      <c r="J1345" s="2" t="s">
        <v>7485</v>
      </c>
      <c r="K1345" s="3" t="b">
        <f>J1345 = "blocking"</f>
        <v>0</v>
      </c>
      <c r="L1345" s="2" t="s">
        <v>1431</v>
      </c>
      <c r="M1345" s="2" t="s">
        <v>7540</v>
      </c>
      <c r="N1345" s="4">
        <v>46223.1297337963</v>
      </c>
      <c r="O1345" s="3" t="b">
        <f>L1345 = "PASS"</f>
        <v>0</v>
      </c>
      <c r="P1345" s="3" t="b">
        <f>L1345 = "FAIL"</f>
        <v>0</v>
      </c>
      <c r="Q1345" s="3" t="b">
        <f>AND(P1345, K1345)</f>
        <v>0</v>
      </c>
      <c r="R1345" s="3" t="str">
        <f>IF(O1345, I1345, "")</f>
      </c>
      <c r="S1345" s="3" t="str">
        <f>IF(Q1345, I1345, "")</f>
      </c>
      <c r="T1345" s="2" t="s">
        <v>5935</v>
      </c>
    </row>
    <row r="1346">
      <c r="A1346" s="2" t="s">
        <v>7651</v>
      </c>
      <c r="B1346" s="3" t="str">
        <f>C1346 &amp; ": " &amp; D1346</f>
        <v>witness-discriminates: KnowledgeFragments.IsCurrentlyValid</v>
      </c>
      <c r="C1346" s="2" t="s">
        <v>7483</v>
      </c>
      <c r="D1346" s="2" t="s">
        <v>3175</v>
      </c>
      <c r="E1346" s="2" t="s">
        <v>1831</v>
      </c>
      <c r="F1346" s="2" t="s">
        <v>260</v>
      </c>
      <c r="G1346" s="2" t="s">
        <v>7484</v>
      </c>
      <c r="H1346" s="2"/>
      <c r="I1346" s="2" t="s">
        <v>5924</v>
      </c>
      <c r="J1346" s="2" t="s">
        <v>7485</v>
      </c>
      <c r="K1346" s="3" t="b">
        <f>J1346 = "blocking"</f>
        <v>0</v>
      </c>
      <c r="L1346" s="2" t="s">
        <v>1428</v>
      </c>
      <c r="M1346" s="2" t="s">
        <v>7652</v>
      </c>
      <c r="N1346" s="4">
        <v>46223.1297337963</v>
      </c>
      <c r="O1346" s="3" t="b">
        <f>L1346 = "PASS"</f>
        <v>1</v>
      </c>
      <c r="P1346" s="3" t="b">
        <f>L1346 = "FAIL"</f>
        <v>0</v>
      </c>
      <c r="Q1346" s="3" t="b">
        <f>AND(P1346, K1346)</f>
        <v>0</v>
      </c>
      <c r="R1346" s="3" t="str">
        <f>IF(O1346, I1346, "")</f>
        <v>suite-witness</v>
      </c>
      <c r="S1346" s="3" t="str">
        <f>IF(Q1346, I1346, "")</f>
      </c>
      <c r="T1346" s="2" t="s">
        <v>5935</v>
      </c>
    </row>
    <row r="1347">
      <c r="A1347" s="2" t="s">
        <v>7653</v>
      </c>
      <c r="B1347" s="3" t="str">
        <f>C1347 &amp; ": " &amp; D1347</f>
        <v>witness-discriminates: KnowledgeFragments.SourceAgentIsStillEngaged</v>
      </c>
      <c r="C1347" s="2" t="s">
        <v>7483</v>
      </c>
      <c r="D1347" s="2" t="s">
        <v>3177</v>
      </c>
      <c r="E1347" s="2" t="s">
        <v>1831</v>
      </c>
      <c r="F1347" s="2" t="s">
        <v>1089</v>
      </c>
      <c r="G1347" s="2" t="s">
        <v>7484</v>
      </c>
      <c r="H1347" s="2" t="s">
        <v>2016</v>
      </c>
      <c r="I1347" s="2" t="s">
        <v>5924</v>
      </c>
      <c r="J1347" s="2" t="s">
        <v>7485</v>
      </c>
      <c r="K1347" s="3" t="b">
        <f>J1347 = "blocking"</f>
        <v>0</v>
      </c>
      <c r="L1347" s="2" t="s">
        <v>1431</v>
      </c>
      <c r="M1347" s="2" t="s">
        <v>7654</v>
      </c>
      <c r="N1347" s="4">
        <v>46223.1297337963</v>
      </c>
      <c r="O1347" s="3" t="b">
        <f>L1347 = "PASS"</f>
        <v>0</v>
      </c>
      <c r="P1347" s="3" t="b">
        <f>L1347 = "FAIL"</f>
        <v>0</v>
      </c>
      <c r="Q1347" s="3" t="b">
        <f>AND(P1347, K1347)</f>
        <v>0</v>
      </c>
      <c r="R1347" s="3" t="str">
        <f>IF(O1347, I1347, "")</f>
      </c>
      <c r="S1347" s="3" t="str">
        <f>IF(Q1347, I1347, "")</f>
      </c>
      <c r="T1347" s="2" t="s">
        <v>5935</v>
      </c>
    </row>
    <row r="1348">
      <c r="A1348" s="2" t="s">
        <v>7655</v>
      </c>
      <c r="B1348" s="3" t="str">
        <f>C1348 &amp; ": " &amp; D1348</f>
        <v>witness-discriminates: KnowledgeFragments.HasHumanSource</v>
      </c>
      <c r="C1348" s="2" t="s">
        <v>7483</v>
      </c>
      <c r="D1348" s="2" t="s">
        <v>3181</v>
      </c>
      <c r="E1348" s="2" t="s">
        <v>1831</v>
      </c>
      <c r="F1348" s="2" t="s">
        <v>1091</v>
      </c>
      <c r="G1348" s="2" t="s">
        <v>7484</v>
      </c>
      <c r="H1348" s="2" t="s">
        <v>2016</v>
      </c>
      <c r="I1348" s="2" t="s">
        <v>5924</v>
      </c>
      <c r="J1348" s="2" t="s">
        <v>7485</v>
      </c>
      <c r="K1348" s="3" t="b">
        <f>J1348 = "blocking"</f>
        <v>0</v>
      </c>
      <c r="L1348" s="2" t="s">
        <v>1431</v>
      </c>
      <c r="M1348" s="2" t="s">
        <v>7654</v>
      </c>
      <c r="N1348" s="4">
        <v>46223.1297337963</v>
      </c>
      <c r="O1348" s="3" t="b">
        <f>L1348 = "PASS"</f>
        <v>0</v>
      </c>
      <c r="P1348" s="3" t="b">
        <f>L1348 = "FAIL"</f>
        <v>0</v>
      </c>
      <c r="Q1348" s="3" t="b">
        <f>AND(P1348, K1348)</f>
        <v>0</v>
      </c>
      <c r="R1348" s="3" t="str">
        <f>IF(O1348, I1348, "")</f>
      </c>
      <c r="S1348" s="3" t="str">
        <f>IF(Q1348, I1348, "")</f>
      </c>
      <c r="T1348" s="2" t="s">
        <v>5935</v>
      </c>
    </row>
    <row r="1349">
      <c r="A1349" s="2" t="s">
        <v>7656</v>
      </c>
      <c r="B1349" s="3" t="str">
        <f>C1349 &amp; ": " &amp; D1349</f>
        <v>witness-discriminates: KnowledgeFragments.HasOrphanedProvenance</v>
      </c>
      <c r="C1349" s="2" t="s">
        <v>7483</v>
      </c>
      <c r="D1349" s="2" t="s">
        <v>3183</v>
      </c>
      <c r="E1349" s="2" t="s">
        <v>1831</v>
      </c>
      <c r="F1349" s="2" t="s">
        <v>1092</v>
      </c>
      <c r="G1349" s="2" t="s">
        <v>7484</v>
      </c>
      <c r="H1349" s="2" t="s">
        <v>2016</v>
      </c>
      <c r="I1349" s="2" t="s">
        <v>5924</v>
      </c>
      <c r="J1349" s="2" t="s">
        <v>7485</v>
      </c>
      <c r="K1349" s="3" t="b">
        <f>J1349 = "blocking"</f>
        <v>0</v>
      </c>
      <c r="L1349" s="2" t="s">
        <v>1431</v>
      </c>
      <c r="M1349" s="2" t="s">
        <v>7657</v>
      </c>
      <c r="N1349" s="4">
        <v>46223.1297337963</v>
      </c>
      <c r="O1349" s="3" t="b">
        <f>L1349 = "PASS"</f>
        <v>0</v>
      </c>
      <c r="P1349" s="3" t="b">
        <f>L1349 = "FAIL"</f>
        <v>0</v>
      </c>
      <c r="Q1349" s="3" t="b">
        <f>AND(P1349, K1349)</f>
        <v>0</v>
      </c>
      <c r="R1349" s="3" t="str">
        <f>IF(O1349, I1349, "")</f>
      </c>
      <c r="S1349" s="3" t="str">
        <f>IF(Q1349, I1349, "")</f>
      </c>
      <c r="T1349" s="2" t="s">
        <v>5935</v>
      </c>
    </row>
    <row r="1350">
      <c r="A1350" s="2" t="s">
        <v>7658</v>
      </c>
      <c r="B1350" s="3" t="str">
        <f>C1350 &amp; ": " &amp; D1350</f>
        <v>witness-discriminates: KnowledgeFragments.IsUndefendableTacitClaim</v>
      </c>
      <c r="C1350" s="2" t="s">
        <v>7483</v>
      </c>
      <c r="D1350" s="2" t="s">
        <v>3185</v>
      </c>
      <c r="E1350" s="2" t="s">
        <v>1831</v>
      </c>
      <c r="F1350" s="2" t="s">
        <v>1093</v>
      </c>
      <c r="G1350" s="2" t="s">
        <v>7484</v>
      </c>
      <c r="H1350" s="2" t="s">
        <v>2016</v>
      </c>
      <c r="I1350" s="2" t="s">
        <v>5924</v>
      </c>
      <c r="J1350" s="2" t="s">
        <v>7485</v>
      </c>
      <c r="K1350" s="3" t="b">
        <f>J1350 = "blocking"</f>
        <v>0</v>
      </c>
      <c r="L1350" s="2" t="s">
        <v>1431</v>
      </c>
      <c r="M1350" s="2" t="s">
        <v>7657</v>
      </c>
      <c r="N1350" s="4">
        <v>46223.1297337963</v>
      </c>
      <c r="O1350" s="3" t="b">
        <f>L1350 = "PASS"</f>
        <v>0</v>
      </c>
      <c r="P1350" s="3" t="b">
        <f>L1350 = "FAIL"</f>
        <v>0</v>
      </c>
      <c r="Q1350" s="3" t="b">
        <f>AND(P1350, K1350)</f>
        <v>0</v>
      </c>
      <c r="R1350" s="3" t="str">
        <f>IF(O1350, I1350, "")</f>
      </c>
      <c r="S1350" s="3" t="str">
        <f>IF(Q1350, I1350, "")</f>
      </c>
      <c r="T1350" s="2" t="s">
        <v>5935</v>
      </c>
    </row>
    <row r="1351">
      <c r="A1351" s="2" t="s">
        <v>7659</v>
      </c>
      <c r="B1351" s="3" t="str">
        <f>C1351 &amp; ": " &amp; D1351</f>
        <v>witness-discriminates: KnowledgeFragments.IsApproved</v>
      </c>
      <c r="C1351" s="2" t="s">
        <v>7483</v>
      </c>
      <c r="D1351" s="2" t="s">
        <v>3187</v>
      </c>
      <c r="E1351" s="2" t="s">
        <v>1831</v>
      </c>
      <c r="F1351" s="2" t="s">
        <v>1094</v>
      </c>
      <c r="G1351" s="2" t="s">
        <v>7484</v>
      </c>
      <c r="H1351" s="2" t="s">
        <v>2020</v>
      </c>
      <c r="I1351" s="2" t="s">
        <v>5924</v>
      </c>
      <c r="J1351" s="2" t="s">
        <v>7485</v>
      </c>
      <c r="K1351" s="3" t="b">
        <f>J1351 = "blocking"</f>
        <v>0</v>
      </c>
      <c r="L1351" s="2" t="s">
        <v>1428</v>
      </c>
      <c r="M1351" s="2" t="s">
        <v>7652</v>
      </c>
      <c r="N1351" s="4">
        <v>46223.1297337963</v>
      </c>
      <c r="O1351" s="3" t="b">
        <f>L1351 = "PASS"</f>
        <v>1</v>
      </c>
      <c r="P1351" s="3" t="b">
        <f>L1351 = "FAIL"</f>
        <v>0</v>
      </c>
      <c r="Q1351" s="3" t="b">
        <f>AND(P1351, K1351)</f>
        <v>0</v>
      </c>
      <c r="R1351" s="3" t="str">
        <f>IF(O1351, I1351, "")</f>
        <v>suite-witness</v>
      </c>
      <c r="S1351" s="3" t="str">
        <f>IF(Q1351, I1351, "")</f>
      </c>
      <c r="T1351" s="2" t="s">
        <v>5935</v>
      </c>
    </row>
    <row r="1352">
      <c r="A1352" s="2" t="s">
        <v>7660</v>
      </c>
      <c r="B1352" s="3" t="str">
        <f>C1352 &amp; ": " &amp; D1352</f>
        <v>witness-discriminates: KnowledgeFragments.IsWithinValidityWindow</v>
      </c>
      <c r="C1352" s="2" t="s">
        <v>7483</v>
      </c>
      <c r="D1352" s="2" t="s">
        <v>3189</v>
      </c>
      <c r="E1352" s="2" t="s">
        <v>1831</v>
      </c>
      <c r="F1352" s="2" t="s">
        <v>1095</v>
      </c>
      <c r="G1352" s="2" t="s">
        <v>7484</v>
      </c>
      <c r="H1352" s="2" t="s">
        <v>2020</v>
      </c>
      <c r="I1352" s="2" t="s">
        <v>5924</v>
      </c>
      <c r="J1352" s="2" t="s">
        <v>7485</v>
      </c>
      <c r="K1352" s="3" t="b">
        <f>J1352 = "blocking"</f>
        <v>0</v>
      </c>
      <c r="L1352" s="2" t="s">
        <v>1431</v>
      </c>
      <c r="M1352" s="2" t="s">
        <v>7654</v>
      </c>
      <c r="N1352" s="4">
        <v>46223.1297337963</v>
      </c>
      <c r="O1352" s="3" t="b">
        <f>L1352 = "PASS"</f>
        <v>0</v>
      </c>
      <c r="P1352" s="3" t="b">
        <f>L1352 = "FAIL"</f>
        <v>0</v>
      </c>
      <c r="Q1352" s="3" t="b">
        <f>AND(P1352, K1352)</f>
        <v>0</v>
      </c>
      <c r="R1352" s="3" t="str">
        <f>IF(O1352, I1352, "")</f>
      </c>
      <c r="S1352" s="3" t="str">
        <f>IF(Q1352, I1352, "")</f>
      </c>
      <c r="T1352" s="2" t="s">
        <v>5935</v>
      </c>
    </row>
    <row r="1353">
      <c r="A1353" s="2" t="s">
        <v>7661</v>
      </c>
      <c r="B1353" s="3" t="str">
        <f>C1353 &amp; ": " &amp; D1353</f>
        <v>witness-discriminates: KnowledgeFragments.IsReliedUpon</v>
      </c>
      <c r="C1353" s="2" t="s">
        <v>7483</v>
      </c>
      <c r="D1353" s="2" t="s">
        <v>3190</v>
      </c>
      <c r="E1353" s="2" t="s">
        <v>1831</v>
      </c>
      <c r="F1353" s="2" t="s">
        <v>1096</v>
      </c>
      <c r="G1353" s="2" t="s">
        <v>7484</v>
      </c>
      <c r="H1353" s="2" t="s">
        <v>2020</v>
      </c>
      <c r="I1353" s="2" t="s">
        <v>5924</v>
      </c>
      <c r="J1353" s="2" t="s">
        <v>7485</v>
      </c>
      <c r="K1353" s="3" t="b">
        <f>J1353 = "blocking"</f>
        <v>0</v>
      </c>
      <c r="L1353" s="2" t="s">
        <v>1431</v>
      </c>
      <c r="M1353" s="2" t="s">
        <v>7654</v>
      </c>
      <c r="N1353" s="4">
        <v>46223.1297337963</v>
      </c>
      <c r="O1353" s="3" t="b">
        <f>L1353 = "PASS"</f>
        <v>0</v>
      </c>
      <c r="P1353" s="3" t="b">
        <f>L1353 = "FAIL"</f>
        <v>0</v>
      </c>
      <c r="Q1353" s="3" t="b">
        <f>AND(P1353, K1353)</f>
        <v>0</v>
      </c>
      <c r="R1353" s="3" t="str">
        <f>IF(O1353, I1353, "")</f>
      </c>
      <c r="S1353" s="3" t="str">
        <f>IF(Q1353, I1353, "")</f>
      </c>
      <c r="T1353" s="2" t="s">
        <v>5935</v>
      </c>
    </row>
    <row r="1354">
      <c r="A1354" s="2" t="s">
        <v>7662</v>
      </c>
      <c r="B1354" s="3" t="str">
        <f>C1354 &amp; ": " &amp; D1354</f>
        <v>witness-discriminates: KnowledgeFragments.IsAttachedToLiveVersion</v>
      </c>
      <c r="C1354" s="2" t="s">
        <v>7483</v>
      </c>
      <c r="D1354" s="2" t="s">
        <v>3194</v>
      </c>
      <c r="E1354" s="2" t="s">
        <v>1831</v>
      </c>
      <c r="F1354" s="2" t="s">
        <v>1098</v>
      </c>
      <c r="G1354" s="2" t="s">
        <v>7484</v>
      </c>
      <c r="H1354" s="2" t="s">
        <v>2020</v>
      </c>
      <c r="I1354" s="2" t="s">
        <v>5924</v>
      </c>
      <c r="J1354" s="2" t="s">
        <v>7485</v>
      </c>
      <c r="K1354" s="3" t="b">
        <f>J1354 = "blocking"</f>
        <v>0</v>
      </c>
      <c r="L1354" s="2" t="s">
        <v>1431</v>
      </c>
      <c r="M1354" s="2" t="s">
        <v>7654</v>
      </c>
      <c r="N1354" s="4">
        <v>46223.1297337963</v>
      </c>
      <c r="O1354" s="3" t="b">
        <f>L1354 = "PASS"</f>
        <v>0</v>
      </c>
      <c r="P1354" s="3" t="b">
        <f>L1354 = "FAIL"</f>
        <v>0</v>
      </c>
      <c r="Q1354" s="3" t="b">
        <f>AND(P1354, K1354)</f>
        <v>0</v>
      </c>
      <c r="R1354" s="3" t="str">
        <f>IF(O1354, I1354, "")</f>
      </c>
      <c r="S1354" s="3" t="str">
        <f>IF(Q1354, I1354, "")</f>
      </c>
      <c r="T1354" s="2" t="s">
        <v>5935</v>
      </c>
    </row>
    <row r="1355">
      <c r="A1355" s="2" t="s">
        <v>7663</v>
      </c>
      <c r="B1355" s="3" t="str">
        <f>C1355 &amp; ": " &amp; D1355</f>
        <v>witness-discriminates: KnowledgeFragments.IsUnapprovedButReliedOn</v>
      </c>
      <c r="C1355" s="2" t="s">
        <v>7483</v>
      </c>
      <c r="D1355" s="2" t="s">
        <v>3196</v>
      </c>
      <c r="E1355" s="2" t="s">
        <v>1831</v>
      </c>
      <c r="F1355" s="2" t="s">
        <v>1099</v>
      </c>
      <c r="G1355" s="2" t="s">
        <v>7484</v>
      </c>
      <c r="H1355" s="2" t="s">
        <v>2020</v>
      </c>
      <c r="I1355" s="2" t="s">
        <v>5924</v>
      </c>
      <c r="J1355" s="2" t="s">
        <v>7485</v>
      </c>
      <c r="K1355" s="3" t="b">
        <f>J1355 = "blocking"</f>
        <v>0</v>
      </c>
      <c r="L1355" s="2" t="s">
        <v>1428</v>
      </c>
      <c r="M1355" s="2" t="s">
        <v>7664</v>
      </c>
      <c r="N1355" s="4">
        <v>46223.1297337963</v>
      </c>
      <c r="O1355" s="3" t="b">
        <f>L1355 = "PASS"</f>
        <v>1</v>
      </c>
      <c r="P1355" s="3" t="b">
        <f>L1355 = "FAIL"</f>
        <v>0</v>
      </c>
      <c r="Q1355" s="3" t="b">
        <f>AND(P1355, K1355)</f>
        <v>0</v>
      </c>
      <c r="R1355" s="3" t="str">
        <f>IF(O1355, I1355, "")</f>
        <v>suite-witness</v>
      </c>
      <c r="S1355" s="3" t="str">
        <f>IF(Q1355, I1355, "")</f>
      </c>
      <c r="T1355" s="2" t="s">
        <v>5935</v>
      </c>
    </row>
    <row r="1356">
      <c r="A1356" s="2" t="s">
        <v>7665</v>
      </c>
      <c r="B1356" s="3" t="str">
        <f>C1356 &amp; ": " &amp; D1356</f>
        <v>witness-discriminates: KnowledgeFragments.HasRecordedElicitation</v>
      </c>
      <c r="C1356" s="2" t="s">
        <v>7483</v>
      </c>
      <c r="D1356" s="2" t="s">
        <v>3200</v>
      </c>
      <c r="E1356" s="2" t="s">
        <v>1831</v>
      </c>
      <c r="F1356" s="2" t="s">
        <v>1101</v>
      </c>
      <c r="G1356" s="2" t="s">
        <v>7484</v>
      </c>
      <c r="H1356" s="2" t="s">
        <v>2024</v>
      </c>
      <c r="I1356" s="2" t="s">
        <v>5924</v>
      </c>
      <c r="J1356" s="2" t="s">
        <v>7485</v>
      </c>
      <c r="K1356" s="3" t="b">
        <f>J1356 = "blocking"</f>
        <v>0</v>
      </c>
      <c r="L1356" s="2" t="s">
        <v>1428</v>
      </c>
      <c r="M1356" s="2" t="s">
        <v>7652</v>
      </c>
      <c r="N1356" s="4">
        <v>46223.1297337963</v>
      </c>
      <c r="O1356" s="3" t="b">
        <f>L1356 = "PASS"</f>
        <v>1</v>
      </c>
      <c r="P1356" s="3" t="b">
        <f>L1356 = "FAIL"</f>
        <v>0</v>
      </c>
      <c r="Q1356" s="3" t="b">
        <f>AND(P1356, K1356)</f>
        <v>0</v>
      </c>
      <c r="R1356" s="3" t="str">
        <f>IF(O1356, I1356, "")</f>
        <v>suite-witness</v>
      </c>
      <c r="S1356" s="3" t="str">
        <f>IF(Q1356, I1356, "")</f>
      </c>
      <c r="T1356" s="2" t="s">
        <v>5935</v>
      </c>
    </row>
    <row r="1357">
      <c r="A1357" s="2" t="s">
        <v>7666</v>
      </c>
      <c r="B1357" s="3" t="str">
        <f>C1357 &amp; ": " &amp; D1357</f>
        <v>witness-discriminates: KnowledgeFragments.IsFromSingleWitness</v>
      </c>
      <c r="C1357" s="2" t="s">
        <v>7483</v>
      </c>
      <c r="D1357" s="2" t="s">
        <v>3202</v>
      </c>
      <c r="E1357" s="2" t="s">
        <v>1831</v>
      </c>
      <c r="F1357" s="2" t="s">
        <v>1102</v>
      </c>
      <c r="G1357" s="2" t="s">
        <v>7484</v>
      </c>
      <c r="H1357" s="2" t="s">
        <v>2024</v>
      </c>
      <c r="I1357" s="2" t="s">
        <v>5924</v>
      </c>
      <c r="J1357" s="2" t="s">
        <v>7485</v>
      </c>
      <c r="K1357" s="3" t="b">
        <f>J1357 = "blocking"</f>
        <v>0</v>
      </c>
      <c r="L1357" s="2" t="s">
        <v>1428</v>
      </c>
      <c r="M1357" s="2" t="s">
        <v>7667</v>
      </c>
      <c r="N1357" s="4">
        <v>46223.1297337963</v>
      </c>
      <c r="O1357" s="3" t="b">
        <f>L1357 = "PASS"</f>
        <v>1</v>
      </c>
      <c r="P1357" s="3" t="b">
        <f>L1357 = "FAIL"</f>
        <v>0</v>
      </c>
      <c r="Q1357" s="3" t="b">
        <f>AND(P1357, K1357)</f>
        <v>0</v>
      </c>
      <c r="R1357" s="3" t="str">
        <f>IF(O1357, I1357, "")</f>
        <v>suite-witness</v>
      </c>
      <c r="S1357" s="3" t="str">
        <f>IF(Q1357, I1357, "")</f>
      </c>
      <c r="T1357" s="2" t="s">
        <v>5935</v>
      </c>
    </row>
    <row r="1358">
      <c r="A1358" s="2" t="s">
        <v>7668</v>
      </c>
      <c r="B1358" s="3" t="str">
        <f>C1358 &amp; ": " &amp; D1358</f>
        <v>witness-discriminates: KnowledgeFragments.EvidenceHasExpired</v>
      </c>
      <c r="C1358" s="2" t="s">
        <v>7483</v>
      </c>
      <c r="D1358" s="2" t="s">
        <v>3206</v>
      </c>
      <c r="E1358" s="2" t="s">
        <v>1831</v>
      </c>
      <c r="F1358" s="2" t="s">
        <v>1104</v>
      </c>
      <c r="G1358" s="2" t="s">
        <v>7484</v>
      </c>
      <c r="H1358" s="2" t="s">
        <v>2024</v>
      </c>
      <c r="I1358" s="2" t="s">
        <v>5924</v>
      </c>
      <c r="J1358" s="2" t="s">
        <v>7485</v>
      </c>
      <c r="K1358" s="3" t="b">
        <f>J1358 = "blocking"</f>
        <v>0</v>
      </c>
      <c r="L1358" s="2" t="s">
        <v>1431</v>
      </c>
      <c r="M1358" s="2" t="s">
        <v>7657</v>
      </c>
      <c r="N1358" s="4">
        <v>46223.1297337963</v>
      </c>
      <c r="O1358" s="3" t="b">
        <f>L1358 = "PASS"</f>
        <v>0</v>
      </c>
      <c r="P1358" s="3" t="b">
        <f>L1358 = "FAIL"</f>
        <v>0</v>
      </c>
      <c r="Q1358" s="3" t="b">
        <f>AND(P1358, K1358)</f>
        <v>0</v>
      </c>
      <c r="R1358" s="3" t="str">
        <f>IF(O1358, I1358, "")</f>
      </c>
      <c r="S1358" s="3" t="str">
        <f>IF(Q1358, I1358, "")</f>
      </c>
      <c r="T1358" s="2" t="s">
        <v>5935</v>
      </c>
    </row>
    <row r="1359">
      <c r="A1359" s="2" t="s">
        <v>7669</v>
      </c>
      <c r="B1359" s="3" t="str">
        <f>C1359 &amp; ": " &amp; D1359</f>
        <v>witness-discriminates: KnowledgeFragments.IsAwaitingApproval</v>
      </c>
      <c r="C1359" s="2" t="s">
        <v>7483</v>
      </c>
      <c r="D1359" s="2" t="s">
        <v>3210</v>
      </c>
      <c r="E1359" s="2" t="s">
        <v>1831</v>
      </c>
      <c r="F1359" s="2" t="s">
        <v>1106</v>
      </c>
      <c r="G1359" s="2" t="s">
        <v>7484</v>
      </c>
      <c r="H1359" s="2" t="s">
        <v>2124</v>
      </c>
      <c r="I1359" s="2" t="s">
        <v>5924</v>
      </c>
      <c r="J1359" s="2" t="s">
        <v>7485</v>
      </c>
      <c r="K1359" s="3" t="b">
        <f>J1359 = "blocking"</f>
        <v>0</v>
      </c>
      <c r="L1359" s="2" t="s">
        <v>1428</v>
      </c>
      <c r="M1359" s="2" t="s">
        <v>7664</v>
      </c>
      <c r="N1359" s="4">
        <v>46223.1297337963</v>
      </c>
      <c r="O1359" s="3" t="b">
        <f>L1359 = "PASS"</f>
        <v>1</v>
      </c>
      <c r="P1359" s="3" t="b">
        <f>L1359 = "FAIL"</f>
        <v>0</v>
      </c>
      <c r="Q1359" s="3" t="b">
        <f>AND(P1359, K1359)</f>
        <v>0</v>
      </c>
      <c r="R1359" s="3" t="str">
        <f>IF(O1359, I1359, "")</f>
        <v>suite-witness</v>
      </c>
      <c r="S1359" s="3" t="str">
        <f>IF(Q1359, I1359, "")</f>
      </c>
      <c r="T1359" s="2" t="s">
        <v>5935</v>
      </c>
    </row>
    <row r="1360">
      <c r="A1360" s="2" t="s">
        <v>7670</v>
      </c>
      <c r="B1360" s="3" t="str">
        <f>C1360 &amp; ": " &amp; D1360</f>
        <v>witness-discriminates: KnowledgeFragments.OwnerIsMe</v>
      </c>
      <c r="C1360" s="2" t="s">
        <v>7483</v>
      </c>
      <c r="D1360" s="2" t="s">
        <v>3212</v>
      </c>
      <c r="E1360" s="2" t="s">
        <v>1831</v>
      </c>
      <c r="F1360" s="2" t="s">
        <v>1107</v>
      </c>
      <c r="G1360" s="2" t="s">
        <v>7484</v>
      </c>
      <c r="H1360" s="2" t="s">
        <v>2124</v>
      </c>
      <c r="I1360" s="2" t="s">
        <v>5924</v>
      </c>
      <c r="J1360" s="2" t="s">
        <v>7485</v>
      </c>
      <c r="K1360" s="3" t="b">
        <f>J1360 = "blocking"</f>
        <v>0</v>
      </c>
      <c r="L1360" s="2" t="s">
        <v>1428</v>
      </c>
      <c r="M1360" s="2" t="s">
        <v>7664</v>
      </c>
      <c r="N1360" s="4">
        <v>46223.1297337963</v>
      </c>
      <c r="O1360" s="3" t="b">
        <f>L1360 = "PASS"</f>
        <v>1</v>
      </c>
      <c r="P1360" s="3" t="b">
        <f>L1360 = "FAIL"</f>
        <v>0</v>
      </c>
      <c r="Q1360" s="3" t="b">
        <f>AND(P1360, K1360)</f>
        <v>0</v>
      </c>
      <c r="R1360" s="3" t="str">
        <f>IF(O1360, I1360, "")</f>
        <v>suite-witness</v>
      </c>
      <c r="S1360" s="3" t="str">
        <f>IF(Q1360, I1360, "")</f>
      </c>
      <c r="T1360" s="2" t="s">
        <v>5935</v>
      </c>
    </row>
    <row r="1361">
      <c r="A1361" s="2" t="s">
        <v>7671</v>
      </c>
      <c r="B1361" s="3" t="str">
        <f>C1361 &amp; ": " &amp; D1361</f>
        <v>witness-discriminates: KnowledgeFragments.IsMyUnfinishedApproval</v>
      </c>
      <c r="C1361" s="2" t="s">
        <v>7483</v>
      </c>
      <c r="D1361" s="2" t="s">
        <v>3214</v>
      </c>
      <c r="E1361" s="2" t="s">
        <v>1831</v>
      </c>
      <c r="F1361" s="2" t="s">
        <v>1108</v>
      </c>
      <c r="G1361" s="2" t="s">
        <v>7484</v>
      </c>
      <c r="H1361" s="2" t="s">
        <v>2124</v>
      </c>
      <c r="I1361" s="2" t="s">
        <v>5924</v>
      </c>
      <c r="J1361" s="2" t="s">
        <v>7485</v>
      </c>
      <c r="K1361" s="3" t="b">
        <f>J1361 = "blocking"</f>
        <v>0</v>
      </c>
      <c r="L1361" s="2" t="s">
        <v>1428</v>
      </c>
      <c r="M1361" s="2" t="s">
        <v>7664</v>
      </c>
      <c r="N1361" s="4">
        <v>46223.1297337963</v>
      </c>
      <c r="O1361" s="3" t="b">
        <f>L1361 = "PASS"</f>
        <v>1</v>
      </c>
      <c r="P1361" s="3" t="b">
        <f>L1361 = "FAIL"</f>
        <v>0</v>
      </c>
      <c r="Q1361" s="3" t="b">
        <f>AND(P1361, K1361)</f>
        <v>0</v>
      </c>
      <c r="R1361" s="3" t="str">
        <f>IF(O1361, I1361, "")</f>
        <v>suite-witness</v>
      </c>
      <c r="S1361" s="3" t="str">
        <f>IF(Q1361, I1361, "")</f>
      </c>
      <c r="T1361" s="2" t="s">
        <v>5935</v>
      </c>
    </row>
    <row r="1362">
      <c r="A1362" s="2" t="s">
        <v>7672</v>
      </c>
      <c r="B1362" s="3" t="str">
        <f>C1362 &amp; ": " &amp; D1362</f>
        <v>witness-discriminates: KnowledgeFragments.HasOperationalReliance</v>
      </c>
      <c r="C1362" s="2" t="s">
        <v>7483</v>
      </c>
      <c r="D1362" s="2" t="s">
        <v>3218</v>
      </c>
      <c r="E1362" s="2" t="s">
        <v>1831</v>
      </c>
      <c r="F1362" s="2" t="s">
        <v>1110</v>
      </c>
      <c r="G1362" s="2" t="s">
        <v>7484</v>
      </c>
      <c r="H1362" s="2" t="s">
        <v>2124</v>
      </c>
      <c r="I1362" s="2" t="s">
        <v>5924</v>
      </c>
      <c r="J1362" s="2" t="s">
        <v>7485</v>
      </c>
      <c r="K1362" s="3" t="b">
        <f>J1362 = "blocking"</f>
        <v>0</v>
      </c>
      <c r="L1362" s="2" t="s">
        <v>1428</v>
      </c>
      <c r="M1362" s="2" t="s">
        <v>7673</v>
      </c>
      <c r="N1362" s="4">
        <v>46223.1297337963</v>
      </c>
      <c r="O1362" s="3" t="b">
        <f>L1362 = "PASS"</f>
        <v>1</v>
      </c>
      <c r="P1362" s="3" t="b">
        <f>L1362 = "FAIL"</f>
        <v>0</v>
      </c>
      <c r="Q1362" s="3" t="b">
        <f>AND(P1362, K1362)</f>
        <v>0</v>
      </c>
      <c r="R1362" s="3" t="str">
        <f>IF(O1362, I1362, "")</f>
        <v>suite-witness</v>
      </c>
      <c r="S1362" s="3" t="str">
        <f>IF(Q1362, I1362, "")</f>
      </c>
      <c r="T1362" s="2" t="s">
        <v>5935</v>
      </c>
    </row>
    <row r="1363">
      <c r="A1363" s="2" t="s">
        <v>7674</v>
      </c>
      <c r="B1363" s="3" t="str">
        <f>C1363 &amp; ": " &amp; D1363</f>
        <v>witness-discriminates: KnowledgeFragments.IsUnapprovedAndOperationallyLive</v>
      </c>
      <c r="C1363" s="2" t="s">
        <v>7483</v>
      </c>
      <c r="D1363" s="2" t="s">
        <v>3220</v>
      </c>
      <c r="E1363" s="2" t="s">
        <v>1831</v>
      </c>
      <c r="F1363" s="2" t="s">
        <v>1111</v>
      </c>
      <c r="G1363" s="2" t="s">
        <v>7484</v>
      </c>
      <c r="H1363" s="2" t="s">
        <v>2124</v>
      </c>
      <c r="I1363" s="2" t="s">
        <v>5924</v>
      </c>
      <c r="J1363" s="2" t="s">
        <v>7485</v>
      </c>
      <c r="K1363" s="3" t="b">
        <f>J1363 = "blocking"</f>
        <v>0</v>
      </c>
      <c r="L1363" s="2" t="s">
        <v>1428</v>
      </c>
      <c r="M1363" s="2" t="s">
        <v>7664</v>
      </c>
      <c r="N1363" s="4">
        <v>46223.1297337963</v>
      </c>
      <c r="O1363" s="3" t="b">
        <f>L1363 = "PASS"</f>
        <v>1</v>
      </c>
      <c r="P1363" s="3" t="b">
        <f>L1363 = "FAIL"</f>
        <v>0</v>
      </c>
      <c r="Q1363" s="3" t="b">
        <f>AND(P1363, K1363)</f>
        <v>0</v>
      </c>
      <c r="R1363" s="3" t="str">
        <f>IF(O1363, I1363, "")</f>
        <v>suite-witness</v>
      </c>
      <c r="S1363" s="3" t="str">
        <f>IF(Q1363, I1363, "")</f>
      </c>
      <c r="T1363" s="2" t="s">
        <v>5935</v>
      </c>
    </row>
    <row r="1364">
      <c r="A1364" s="2" t="s">
        <v>7675</v>
      </c>
      <c r="B1364" s="3" t="str">
        <f>C1364 &amp; ": " &amp; D1364</f>
        <v>witness-discriminates: KnowledgeFragments.IsLowConfidence</v>
      </c>
      <c r="C1364" s="2" t="s">
        <v>7483</v>
      </c>
      <c r="D1364" s="2" t="s">
        <v>3224</v>
      </c>
      <c r="E1364" s="2" t="s">
        <v>1831</v>
      </c>
      <c r="F1364" s="2" t="s">
        <v>1113</v>
      </c>
      <c r="G1364" s="2" t="s">
        <v>7484</v>
      </c>
      <c r="H1364" s="2" t="s">
        <v>2132</v>
      </c>
      <c r="I1364" s="2" t="s">
        <v>5924</v>
      </c>
      <c r="J1364" s="2" t="s">
        <v>7485</v>
      </c>
      <c r="K1364" s="3" t="b">
        <f>J1364 = "blocking"</f>
        <v>0</v>
      </c>
      <c r="L1364" s="2" t="s">
        <v>1428</v>
      </c>
      <c r="M1364" s="2" t="s">
        <v>7673</v>
      </c>
      <c r="N1364" s="4">
        <v>46223.1297337963</v>
      </c>
      <c r="O1364" s="3" t="b">
        <f>L1364 = "PASS"</f>
        <v>1</v>
      </c>
      <c r="P1364" s="3" t="b">
        <f>L1364 = "FAIL"</f>
        <v>0</v>
      </c>
      <c r="Q1364" s="3" t="b">
        <f>AND(P1364, K1364)</f>
        <v>0</v>
      </c>
      <c r="R1364" s="3" t="str">
        <f>IF(O1364, I1364, "")</f>
        <v>suite-witness</v>
      </c>
      <c r="S1364" s="3" t="str">
        <f>IF(Q1364, I1364, "")</f>
      </c>
      <c r="T1364" s="2" t="s">
        <v>5935</v>
      </c>
    </row>
    <row r="1365">
      <c r="A1365" s="2" t="s">
        <v>7676</v>
      </c>
      <c r="B1365" s="3" t="str">
        <f>C1365 &amp; ": " &amp; D1365</f>
        <v>witness-discriminates: KnowledgeFragments.ExceedsOwningCadence</v>
      </c>
      <c r="C1365" s="2" t="s">
        <v>7483</v>
      </c>
      <c r="D1365" s="2" t="s">
        <v>3228</v>
      </c>
      <c r="E1365" s="2" t="s">
        <v>1831</v>
      </c>
      <c r="F1365" s="2" t="s">
        <v>1115</v>
      </c>
      <c r="G1365" s="2" t="s">
        <v>7484</v>
      </c>
      <c r="H1365" s="2" t="s">
        <v>2132</v>
      </c>
      <c r="I1365" s="2" t="s">
        <v>5924</v>
      </c>
      <c r="J1365" s="2" t="s">
        <v>7485</v>
      </c>
      <c r="K1365" s="3" t="b">
        <f>J1365 = "blocking"</f>
        <v>0</v>
      </c>
      <c r="L1365" s="2" t="s">
        <v>1431</v>
      </c>
      <c r="M1365" s="2" t="s">
        <v>7654</v>
      </c>
      <c r="N1365" s="4">
        <v>46223.1297337963</v>
      </c>
      <c r="O1365" s="3" t="b">
        <f>L1365 = "PASS"</f>
        <v>0</v>
      </c>
      <c r="P1365" s="3" t="b">
        <f>L1365 = "FAIL"</f>
        <v>0</v>
      </c>
      <c r="Q1365" s="3" t="b">
        <f>AND(P1365, K1365)</f>
        <v>0</v>
      </c>
      <c r="R1365" s="3" t="str">
        <f>IF(O1365, I1365, "")</f>
      </c>
      <c r="S1365" s="3" t="str">
        <f>IF(Q1365, I1365, "")</f>
      </c>
      <c r="T1365" s="2" t="s">
        <v>5935</v>
      </c>
    </row>
    <row r="1366">
      <c r="A1366" s="2" t="s">
        <v>7677</v>
      </c>
      <c r="B1366" s="3" t="str">
        <f>C1366 &amp; ": " &amp; D1366</f>
        <v>witness-discriminates: KnowledgeFragments.IsAgingLowConfidenceClaim</v>
      </c>
      <c r="C1366" s="2" t="s">
        <v>7483</v>
      </c>
      <c r="D1366" s="2" t="s">
        <v>3230</v>
      </c>
      <c r="E1366" s="2" t="s">
        <v>1831</v>
      </c>
      <c r="F1366" s="2" t="s">
        <v>1116</v>
      </c>
      <c r="G1366" s="2" t="s">
        <v>7484</v>
      </c>
      <c r="H1366" s="2" t="s">
        <v>2132</v>
      </c>
      <c r="I1366" s="2" t="s">
        <v>5924</v>
      </c>
      <c r="J1366" s="2" t="s">
        <v>7485</v>
      </c>
      <c r="K1366" s="3" t="b">
        <f>J1366 = "blocking"</f>
        <v>0</v>
      </c>
      <c r="L1366" s="2" t="s">
        <v>1428</v>
      </c>
      <c r="M1366" s="2" t="s">
        <v>7673</v>
      </c>
      <c r="N1366" s="4">
        <v>46223.1297337963</v>
      </c>
      <c r="O1366" s="3" t="b">
        <f>L1366 = "PASS"</f>
        <v>1</v>
      </c>
      <c r="P1366" s="3" t="b">
        <f>L1366 = "FAIL"</f>
        <v>0</v>
      </c>
      <c r="Q1366" s="3" t="b">
        <f>AND(P1366, K1366)</f>
        <v>0</v>
      </c>
      <c r="R1366" s="3" t="str">
        <f>IF(O1366, I1366, "")</f>
        <v>suite-witness</v>
      </c>
      <c r="S1366" s="3" t="str">
        <f>IF(Q1366, I1366, "")</f>
      </c>
      <c r="T1366" s="2" t="s">
        <v>5935</v>
      </c>
    </row>
    <row r="1367">
      <c r="A1367" s="2" t="s">
        <v>7678</v>
      </c>
      <c r="B1367" s="3" t="str">
        <f>C1367 &amp; ": " &amp; D1367</f>
        <v>witness-discriminates: KnowledgeFragments.IsHumanOwned</v>
      </c>
      <c r="C1367" s="2" t="s">
        <v>7483</v>
      </c>
      <c r="D1367" s="2" t="s">
        <v>3234</v>
      </c>
      <c r="E1367" s="2" t="s">
        <v>1831</v>
      </c>
      <c r="F1367" s="2" t="s">
        <v>1118</v>
      </c>
      <c r="G1367" s="2" t="s">
        <v>7484</v>
      </c>
      <c r="H1367" s="2" t="s">
        <v>2152</v>
      </c>
      <c r="I1367" s="2" t="s">
        <v>5924</v>
      </c>
      <c r="J1367" s="2" t="s">
        <v>7485</v>
      </c>
      <c r="K1367" s="3" t="b">
        <f>J1367 = "blocking"</f>
        <v>0</v>
      </c>
      <c r="L1367" s="2" t="s">
        <v>1431</v>
      </c>
      <c r="M1367" s="2" t="s">
        <v>7654</v>
      </c>
      <c r="N1367" s="4">
        <v>46223.1297337963</v>
      </c>
      <c r="O1367" s="3" t="b">
        <f>L1367 = "PASS"</f>
        <v>0</v>
      </c>
      <c r="P1367" s="3" t="b">
        <f>L1367 = "FAIL"</f>
        <v>0</v>
      </c>
      <c r="Q1367" s="3" t="b">
        <f>AND(P1367, K1367)</f>
        <v>0</v>
      </c>
      <c r="R1367" s="3" t="str">
        <f>IF(O1367, I1367, "")</f>
      </c>
      <c r="S1367" s="3" t="str">
        <f>IF(Q1367, I1367, "")</f>
      </c>
      <c r="T1367" s="2" t="s">
        <v>5935</v>
      </c>
    </row>
    <row r="1368">
      <c r="A1368" s="2" t="s">
        <v>7679</v>
      </c>
      <c r="B1368" s="3" t="str">
        <f>C1368 &amp; ": " &amp; D1368</f>
        <v>witness-discriminates: KnowledgeFragments.IsAiValidatedByAi</v>
      </c>
      <c r="C1368" s="2" t="s">
        <v>7483</v>
      </c>
      <c r="D1368" s="2" t="s">
        <v>3236</v>
      </c>
      <c r="E1368" s="2" t="s">
        <v>1831</v>
      </c>
      <c r="F1368" s="2" t="s">
        <v>1119</v>
      </c>
      <c r="G1368" s="2" t="s">
        <v>7484</v>
      </c>
      <c r="H1368" s="2" t="s">
        <v>2152</v>
      </c>
      <c r="I1368" s="2" t="s">
        <v>5924</v>
      </c>
      <c r="J1368" s="2" t="s">
        <v>7485</v>
      </c>
      <c r="K1368" s="3" t="b">
        <f>J1368 = "blocking"</f>
        <v>0</v>
      </c>
      <c r="L1368" s="2" t="s">
        <v>1431</v>
      </c>
      <c r="M1368" s="2" t="s">
        <v>7657</v>
      </c>
      <c r="N1368" s="4">
        <v>46223.1297337963</v>
      </c>
      <c r="O1368" s="3" t="b">
        <f>L1368 = "PASS"</f>
        <v>0</v>
      </c>
      <c r="P1368" s="3" t="b">
        <f>L1368 = "FAIL"</f>
        <v>0</v>
      </c>
      <c r="Q1368" s="3" t="b">
        <f>AND(P1368, K1368)</f>
        <v>0</v>
      </c>
      <c r="R1368" s="3" t="str">
        <f>IF(O1368, I1368, "")</f>
      </c>
      <c r="S1368" s="3" t="str">
        <f>IF(Q1368, I1368, "")</f>
      </c>
      <c r="T1368" s="2" t="s">
        <v>5935</v>
      </c>
    </row>
    <row r="1369">
      <c r="A1369" s="2" t="s">
        <v>7680</v>
      </c>
      <c r="B1369" s="3" t="str">
        <f>C1369 &amp; ": " &amp; D1369</f>
        <v>witness-discriminates: KnowledgeFragments.IsOverdueForReview</v>
      </c>
      <c r="C1369" s="2" t="s">
        <v>7483</v>
      </c>
      <c r="D1369" s="2" t="s">
        <v>3239</v>
      </c>
      <c r="E1369" s="2" t="s">
        <v>1831</v>
      </c>
      <c r="F1369" s="2" t="s">
        <v>1121</v>
      </c>
      <c r="G1369" s="2" t="s">
        <v>7484</v>
      </c>
      <c r="H1369" s="2" t="s">
        <v>2152</v>
      </c>
      <c r="I1369" s="2" t="s">
        <v>5924</v>
      </c>
      <c r="J1369" s="2" t="s">
        <v>7485</v>
      </c>
      <c r="K1369" s="3" t="b">
        <f>J1369 = "blocking"</f>
        <v>0</v>
      </c>
      <c r="L1369" s="2" t="s">
        <v>1428</v>
      </c>
      <c r="M1369" s="2" t="s">
        <v>7652</v>
      </c>
      <c r="N1369" s="4">
        <v>46223.1297337963</v>
      </c>
      <c r="O1369" s="3" t="b">
        <f>L1369 = "PASS"</f>
        <v>1</v>
      </c>
      <c r="P1369" s="3" t="b">
        <f>L1369 = "FAIL"</f>
        <v>0</v>
      </c>
      <c r="Q1369" s="3" t="b">
        <f>AND(P1369, K1369)</f>
        <v>0</v>
      </c>
      <c r="R1369" s="3" t="str">
        <f>IF(O1369, I1369, "")</f>
        <v>suite-witness</v>
      </c>
      <c r="S1369" s="3" t="str">
        <f>IF(Q1369, I1369, "")</f>
      </c>
      <c r="T1369" s="2" t="s">
        <v>5935</v>
      </c>
    </row>
    <row r="1370">
      <c r="A1370" s="2" t="s">
        <v>7681</v>
      </c>
      <c r="B1370" s="3" t="str">
        <f>C1370 &amp; ": " &amp; D1370</f>
        <v>witness-discriminates: KnowledgeFragments.PredatesCurrentRoleHolder</v>
      </c>
      <c r="C1370" s="2" t="s">
        <v>7483</v>
      </c>
      <c r="D1370" s="2" t="s">
        <v>3241</v>
      </c>
      <c r="E1370" s="2" t="s">
        <v>1831</v>
      </c>
      <c r="F1370" s="2" t="s">
        <v>1122</v>
      </c>
      <c r="G1370" s="2" t="s">
        <v>7484</v>
      </c>
      <c r="H1370" s="2" t="s">
        <v>2152</v>
      </c>
      <c r="I1370" s="2" t="s">
        <v>5924</v>
      </c>
      <c r="J1370" s="2" t="s">
        <v>7485</v>
      </c>
      <c r="K1370" s="3" t="b">
        <f>J1370 = "blocking"</f>
        <v>0</v>
      </c>
      <c r="L1370" s="2" t="s">
        <v>1431</v>
      </c>
      <c r="M1370" s="2" t="s">
        <v>7657</v>
      </c>
      <c r="N1370" s="4">
        <v>46223.1297337963</v>
      </c>
      <c r="O1370" s="3" t="b">
        <f>L1370 = "PASS"</f>
        <v>0</v>
      </c>
      <c r="P1370" s="3" t="b">
        <f>L1370 = "FAIL"</f>
        <v>0</v>
      </c>
      <c r="Q1370" s="3" t="b">
        <f>AND(P1370, K1370)</f>
        <v>0</v>
      </c>
      <c r="R1370" s="3" t="str">
        <f>IF(O1370, I1370, "")</f>
      </c>
      <c r="S1370" s="3" t="str">
        <f>IF(Q1370, I1370, "")</f>
      </c>
      <c r="T1370" s="2" t="s">
        <v>5935</v>
      </c>
    </row>
    <row r="1371">
      <c r="A1371" s="2" t="s">
        <v>7682</v>
      </c>
      <c r="B1371" s="3" t="str">
        <f>C1371 &amp; ": " &amp; D1371</f>
        <v>witness-discriminates: KnowledgeFragments.IsCompoundFragile</v>
      </c>
      <c r="C1371" s="2" t="s">
        <v>7483</v>
      </c>
      <c r="D1371" s="2" t="s">
        <v>3248</v>
      </c>
      <c r="E1371" s="2" t="s">
        <v>1831</v>
      </c>
      <c r="F1371" s="2" t="s">
        <v>1126</v>
      </c>
      <c r="G1371" s="2" t="s">
        <v>7484</v>
      </c>
      <c r="H1371" s="2" t="s">
        <v>2176</v>
      </c>
      <c r="I1371" s="2" t="s">
        <v>5924</v>
      </c>
      <c r="J1371" s="2" t="s">
        <v>7485</v>
      </c>
      <c r="K1371" s="3" t="b">
        <f>J1371 = "blocking"</f>
        <v>0</v>
      </c>
      <c r="L1371" s="2" t="s">
        <v>1428</v>
      </c>
      <c r="M1371" s="2" t="s">
        <v>7664</v>
      </c>
      <c r="N1371" s="4">
        <v>46223.1297337963</v>
      </c>
      <c r="O1371" s="3" t="b">
        <f>L1371 = "PASS"</f>
        <v>1</v>
      </c>
      <c r="P1371" s="3" t="b">
        <f>L1371 = "FAIL"</f>
        <v>0</v>
      </c>
      <c r="Q1371" s="3" t="b">
        <f>AND(P1371, K1371)</f>
        <v>0</v>
      </c>
      <c r="R1371" s="3" t="str">
        <f>IF(O1371, I1371, "")</f>
        <v>suite-witness</v>
      </c>
      <c r="S1371" s="3" t="str">
        <f>IF(Q1371, I1371, "")</f>
      </c>
      <c r="T1371" s="2" t="s">
        <v>5935</v>
      </c>
    </row>
    <row r="1372">
      <c r="A1372" s="2" t="s">
        <v>7683</v>
      </c>
      <c r="B1372" s="3" t="str">
        <f>C1372 &amp; ": " &amp; D1372</f>
        <v>witness-discriminates: KnowledgeFragments.IsSinglePointOfFailure</v>
      </c>
      <c r="C1372" s="2" t="s">
        <v>7483</v>
      </c>
      <c r="D1372" s="2" t="s">
        <v>3250</v>
      </c>
      <c r="E1372" s="2" t="s">
        <v>1831</v>
      </c>
      <c r="F1372" s="2" t="s">
        <v>1127</v>
      </c>
      <c r="G1372" s="2" t="s">
        <v>7484</v>
      </c>
      <c r="H1372" s="2" t="s">
        <v>2176</v>
      </c>
      <c r="I1372" s="2" t="s">
        <v>5924</v>
      </c>
      <c r="J1372" s="2" t="s">
        <v>7485</v>
      </c>
      <c r="K1372" s="3" t="b">
        <f>J1372 = "blocking"</f>
        <v>0</v>
      </c>
      <c r="L1372" s="2" t="s">
        <v>1431</v>
      </c>
      <c r="M1372" s="2" t="s">
        <v>7657</v>
      </c>
      <c r="N1372" s="4">
        <v>46223.1297337963</v>
      </c>
      <c r="O1372" s="3" t="b">
        <f>L1372 = "PASS"</f>
        <v>0</v>
      </c>
      <c r="P1372" s="3" t="b">
        <f>L1372 = "FAIL"</f>
        <v>0</v>
      </c>
      <c r="Q1372" s="3" t="b">
        <f>AND(P1372, K1372)</f>
        <v>0</v>
      </c>
      <c r="R1372" s="3" t="str">
        <f>IF(O1372, I1372, "")</f>
      </c>
      <c r="S1372" s="3" t="str">
        <f>IF(Q1372, I1372, "")</f>
      </c>
      <c r="T1372" s="2" t="s">
        <v>5935</v>
      </c>
    </row>
    <row r="1373">
      <c r="A1373" s="2" t="s">
        <v>7684</v>
      </c>
      <c r="B1373" s="3" t="str">
        <f>C1373 &amp; ": " &amp; D1373</f>
        <v>witness-discriminates: KnowledgeFragments.IsExpiringSinglePointOfFailure</v>
      </c>
      <c r="C1373" s="2" t="s">
        <v>7483</v>
      </c>
      <c r="D1373" s="2" t="s">
        <v>3252</v>
      </c>
      <c r="E1373" s="2" t="s">
        <v>1831</v>
      </c>
      <c r="F1373" s="2" t="s">
        <v>1128</v>
      </c>
      <c r="G1373" s="2" t="s">
        <v>7484</v>
      </c>
      <c r="H1373" s="2" t="s">
        <v>2176</v>
      </c>
      <c r="I1373" s="2" t="s">
        <v>5924</v>
      </c>
      <c r="J1373" s="2" t="s">
        <v>7485</v>
      </c>
      <c r="K1373" s="3" t="b">
        <f>J1373 = "blocking"</f>
        <v>0</v>
      </c>
      <c r="L1373" s="2" t="s">
        <v>1431</v>
      </c>
      <c r="M1373" s="2" t="s">
        <v>7657</v>
      </c>
      <c r="N1373" s="4">
        <v>46223.1297337963</v>
      </c>
      <c r="O1373" s="3" t="b">
        <f>L1373 = "PASS"</f>
        <v>0</v>
      </c>
      <c r="P1373" s="3" t="b">
        <f>L1373 = "FAIL"</f>
        <v>0</v>
      </c>
      <c r="Q1373" s="3" t="b">
        <f>AND(P1373, K1373)</f>
        <v>0</v>
      </c>
      <c r="R1373" s="3" t="str">
        <f>IF(O1373, I1373, "")</f>
      </c>
      <c r="S1373" s="3" t="str">
        <f>IF(Q1373, I1373, "")</f>
      </c>
      <c r="T1373" s="2" t="s">
        <v>5935</v>
      </c>
    </row>
    <row r="1374">
      <c r="A1374" s="2" t="s">
        <v>7685</v>
      </c>
      <c r="B1374" s="3" t="str">
        <f>C1374 &amp; ": " &amp; D1374</f>
        <v>witness-discriminates: KnowledgeFragments.ConsumingStepIsSoftwareAssigned</v>
      </c>
      <c r="C1374" s="2" t="s">
        <v>7483</v>
      </c>
      <c r="D1374" s="2" t="s">
        <v>3258</v>
      </c>
      <c r="E1374" s="2" t="s">
        <v>1831</v>
      </c>
      <c r="F1374" s="2" t="s">
        <v>1131</v>
      </c>
      <c r="G1374" s="2" t="s">
        <v>7484</v>
      </c>
      <c r="H1374" s="2" t="s">
        <v>2188</v>
      </c>
      <c r="I1374" s="2" t="s">
        <v>5924</v>
      </c>
      <c r="J1374" s="2" t="s">
        <v>7485</v>
      </c>
      <c r="K1374" s="3" t="b">
        <f>J1374 = "blocking"</f>
        <v>0</v>
      </c>
      <c r="L1374" s="2" t="s">
        <v>1428</v>
      </c>
      <c r="M1374" s="2" t="s">
        <v>7652</v>
      </c>
      <c r="N1374" s="4">
        <v>46223.1297337963</v>
      </c>
      <c r="O1374" s="3" t="b">
        <f>L1374 = "PASS"</f>
        <v>1</v>
      </c>
      <c r="P1374" s="3" t="b">
        <f>L1374 = "FAIL"</f>
        <v>0</v>
      </c>
      <c r="Q1374" s="3" t="b">
        <f>AND(P1374, K1374)</f>
        <v>0</v>
      </c>
      <c r="R1374" s="3" t="str">
        <f>IF(O1374, I1374, "")</f>
        <v>suite-witness</v>
      </c>
      <c r="S1374" s="3" t="str">
        <f>IF(Q1374, I1374, "")</f>
      </c>
      <c r="T1374" s="2" t="s">
        <v>5935</v>
      </c>
    </row>
    <row r="1375">
      <c r="A1375" s="2" t="s">
        <v>7686</v>
      </c>
      <c r="B1375" s="3" t="str">
        <f>C1375 &amp; ": " &amp; D1375</f>
        <v>witness-discriminates: KnowledgeFragments.IsUnapprovedAndMachineConsumed</v>
      </c>
      <c r="C1375" s="2" t="s">
        <v>7483</v>
      </c>
      <c r="D1375" s="2" t="s">
        <v>3262</v>
      </c>
      <c r="E1375" s="2" t="s">
        <v>1831</v>
      </c>
      <c r="F1375" s="2" t="s">
        <v>1133</v>
      </c>
      <c r="G1375" s="2" t="s">
        <v>7484</v>
      </c>
      <c r="H1375" s="2" t="s">
        <v>2188</v>
      </c>
      <c r="I1375" s="2" t="s">
        <v>5924</v>
      </c>
      <c r="J1375" s="2" t="s">
        <v>7485</v>
      </c>
      <c r="K1375" s="3" t="b">
        <f>J1375 = "blocking"</f>
        <v>0</v>
      </c>
      <c r="L1375" s="2" t="s">
        <v>1428</v>
      </c>
      <c r="M1375" s="2" t="s">
        <v>7664</v>
      </c>
      <c r="N1375" s="4">
        <v>46223.1297337963</v>
      </c>
      <c r="O1375" s="3" t="b">
        <f>L1375 = "PASS"</f>
        <v>1</v>
      </c>
      <c r="P1375" s="3" t="b">
        <f>L1375 = "FAIL"</f>
        <v>0</v>
      </c>
      <c r="Q1375" s="3" t="b">
        <f>AND(P1375, K1375)</f>
        <v>0</v>
      </c>
      <c r="R1375" s="3" t="str">
        <f>IF(O1375, I1375, "")</f>
        <v>suite-witness</v>
      </c>
      <c r="S1375" s="3" t="str">
        <f>IF(Q1375, I1375, "")</f>
      </c>
      <c r="T1375" s="2" t="s">
        <v>5935</v>
      </c>
    </row>
    <row r="1376">
      <c r="A1376" s="2" t="s">
        <v>7687</v>
      </c>
      <c r="B1376" s="3" t="str">
        <f>C1376 &amp; ": " &amp; D1376</f>
        <v>witness-discriminates: KnowledgeFragments.IsUnapprovedAndHumanConsumed</v>
      </c>
      <c r="C1376" s="2" t="s">
        <v>7483</v>
      </c>
      <c r="D1376" s="2" t="s">
        <v>3264</v>
      </c>
      <c r="E1376" s="2" t="s">
        <v>1831</v>
      </c>
      <c r="F1376" s="2" t="s">
        <v>1134</v>
      </c>
      <c r="G1376" s="2" t="s">
        <v>7484</v>
      </c>
      <c r="H1376" s="2" t="s">
        <v>2188</v>
      </c>
      <c r="I1376" s="2" t="s">
        <v>5924</v>
      </c>
      <c r="J1376" s="2" t="s">
        <v>7485</v>
      </c>
      <c r="K1376" s="3" t="b">
        <f>J1376 = "blocking"</f>
        <v>0</v>
      </c>
      <c r="L1376" s="2" t="s">
        <v>1431</v>
      </c>
      <c r="M1376" s="2" t="s">
        <v>7657</v>
      </c>
      <c r="N1376" s="4">
        <v>46223.1297337963</v>
      </c>
      <c r="O1376" s="3" t="b">
        <f>L1376 = "PASS"</f>
        <v>0</v>
      </c>
      <c r="P1376" s="3" t="b">
        <f>L1376 = "FAIL"</f>
        <v>0</v>
      </c>
      <c r="Q1376" s="3" t="b">
        <f>AND(P1376, K1376)</f>
        <v>0</v>
      </c>
      <c r="R1376" s="3" t="str">
        <f>IF(O1376, I1376, "")</f>
      </c>
      <c r="S1376" s="3" t="str">
        <f>IF(Q1376, I1376, "")</f>
      </c>
      <c r="T1376" s="2" t="s">
        <v>5935</v>
      </c>
    </row>
    <row r="1377">
      <c r="A1377" s="2" t="s">
        <v>7688</v>
      </c>
      <c r="B1377" s="3" t="str">
        <f>C1377 &amp; ": " &amp; D1377</f>
        <v>witness-discriminates: KnowledgeFragments.HasReviewRecord</v>
      </c>
      <c r="C1377" s="2" t="s">
        <v>7483</v>
      </c>
      <c r="D1377" s="2" t="s">
        <v>3268</v>
      </c>
      <c r="E1377" s="2" t="s">
        <v>1831</v>
      </c>
      <c r="F1377" s="2" t="s">
        <v>1136</v>
      </c>
      <c r="G1377" s="2" t="s">
        <v>7484</v>
      </c>
      <c r="H1377" s="2" t="s">
        <v>2192</v>
      </c>
      <c r="I1377" s="2" t="s">
        <v>5924</v>
      </c>
      <c r="J1377" s="2" t="s">
        <v>7485</v>
      </c>
      <c r="K1377" s="3" t="b">
        <f>J1377 = "blocking"</f>
        <v>0</v>
      </c>
      <c r="L1377" s="2" t="s">
        <v>1428</v>
      </c>
      <c r="M1377" s="2" t="s">
        <v>7689</v>
      </c>
      <c r="N1377" s="4">
        <v>46223.1297337963</v>
      </c>
      <c r="O1377" s="3" t="b">
        <f>L1377 = "PASS"</f>
        <v>1</v>
      </c>
      <c r="P1377" s="3" t="b">
        <f>L1377 = "FAIL"</f>
        <v>0</v>
      </c>
      <c r="Q1377" s="3" t="b">
        <f>AND(P1377, K1377)</f>
        <v>0</v>
      </c>
      <c r="R1377" s="3" t="str">
        <f>IF(O1377, I1377, "")</f>
        <v>suite-witness</v>
      </c>
      <c r="S1377" s="3" t="str">
        <f>IF(Q1377, I1377, "")</f>
      </c>
      <c r="T1377" s="2" t="s">
        <v>5935</v>
      </c>
    </row>
    <row r="1378">
      <c r="A1378" s="2" t="s">
        <v>7690</v>
      </c>
      <c r="B1378" s="3" t="str">
        <f>C1378 &amp; ": " &amp; D1378</f>
        <v>witness-discriminates: KnowledgeFragments.IsUnreviewedSinceAuthoring</v>
      </c>
      <c r="C1378" s="2" t="s">
        <v>7483</v>
      </c>
      <c r="D1378" s="2" t="s">
        <v>3272</v>
      </c>
      <c r="E1378" s="2" t="s">
        <v>1831</v>
      </c>
      <c r="F1378" s="2" t="s">
        <v>1138</v>
      </c>
      <c r="G1378" s="2" t="s">
        <v>7484</v>
      </c>
      <c r="H1378" s="2" t="s">
        <v>2192</v>
      </c>
      <c r="I1378" s="2" t="s">
        <v>5924</v>
      </c>
      <c r="J1378" s="2" t="s">
        <v>7485</v>
      </c>
      <c r="K1378" s="3" t="b">
        <f>J1378 = "blocking"</f>
        <v>0</v>
      </c>
      <c r="L1378" s="2" t="s">
        <v>1428</v>
      </c>
      <c r="M1378" s="2" t="s">
        <v>7689</v>
      </c>
      <c r="N1378" s="4">
        <v>46223.1297337963</v>
      </c>
      <c r="O1378" s="3" t="b">
        <f>L1378 = "PASS"</f>
        <v>1</v>
      </c>
      <c r="P1378" s="3" t="b">
        <f>L1378 = "FAIL"</f>
        <v>0</v>
      </c>
      <c r="Q1378" s="3" t="b">
        <f>AND(P1378, K1378)</f>
        <v>0</v>
      </c>
      <c r="R1378" s="3" t="str">
        <f>IF(O1378, I1378, "")</f>
        <v>suite-witness</v>
      </c>
      <c r="S1378" s="3" t="str">
        <f>IF(Q1378, I1378, "")</f>
      </c>
      <c r="T1378" s="2" t="s">
        <v>5935</v>
      </c>
    </row>
    <row r="1379">
      <c r="A1379" s="2" t="s">
        <v>7691</v>
      </c>
      <c r="B1379" s="3" t="str">
        <f>C1379 &amp; ": " &amp; D1379</f>
        <v>witness-discriminates: KnowledgeFragments.IsGenuinelyOverdue</v>
      </c>
      <c r="C1379" s="2" t="s">
        <v>7483</v>
      </c>
      <c r="D1379" s="2" t="s">
        <v>3274</v>
      </c>
      <c r="E1379" s="2" t="s">
        <v>1831</v>
      </c>
      <c r="F1379" s="2" t="s">
        <v>1139</v>
      </c>
      <c r="G1379" s="2" t="s">
        <v>7484</v>
      </c>
      <c r="H1379" s="2" t="s">
        <v>2192</v>
      </c>
      <c r="I1379" s="2" t="s">
        <v>5924</v>
      </c>
      <c r="J1379" s="2" t="s">
        <v>7485</v>
      </c>
      <c r="K1379" s="3" t="b">
        <f>J1379 = "blocking"</f>
        <v>0</v>
      </c>
      <c r="L1379" s="2" t="s">
        <v>1431</v>
      </c>
      <c r="M1379" s="2" t="s">
        <v>7657</v>
      </c>
      <c r="N1379" s="4">
        <v>46223.1297337963</v>
      </c>
      <c r="O1379" s="3" t="b">
        <f>L1379 = "PASS"</f>
        <v>0</v>
      </c>
      <c r="P1379" s="3" t="b">
        <f>L1379 = "FAIL"</f>
        <v>0</v>
      </c>
      <c r="Q1379" s="3" t="b">
        <f>AND(P1379, K1379)</f>
        <v>0</v>
      </c>
      <c r="R1379" s="3" t="str">
        <f>IF(O1379, I1379, "")</f>
      </c>
      <c r="S1379" s="3" t="str">
        <f>IF(Q1379, I1379, "")</f>
      </c>
      <c r="T1379" s="2" t="s">
        <v>5935</v>
      </c>
    </row>
    <row r="1380">
      <c r="A1380" s="2" t="s">
        <v>7692</v>
      </c>
      <c r="B1380" s="3" t="str">
        <f>C1380 &amp; ": " &amp; D1380</f>
        <v>witness-discriminates: KnowledgeFragments.ReviewRecencyIsInferred</v>
      </c>
      <c r="C1380" s="2" t="s">
        <v>7483</v>
      </c>
      <c r="D1380" s="2" t="s">
        <v>3276</v>
      </c>
      <c r="E1380" s="2" t="s">
        <v>1831</v>
      </c>
      <c r="F1380" s="2" t="s">
        <v>1140</v>
      </c>
      <c r="G1380" s="2" t="s">
        <v>7484</v>
      </c>
      <c r="H1380" s="2" t="s">
        <v>2192</v>
      </c>
      <c r="I1380" s="2" t="s">
        <v>5924</v>
      </c>
      <c r="J1380" s="2" t="s">
        <v>7485</v>
      </c>
      <c r="K1380" s="3" t="b">
        <f>J1380 = "blocking"</f>
        <v>0</v>
      </c>
      <c r="L1380" s="2" t="s">
        <v>1428</v>
      </c>
      <c r="M1380" s="2" t="s">
        <v>7689</v>
      </c>
      <c r="N1380" s="4">
        <v>46223.1297337963</v>
      </c>
      <c r="O1380" s="3" t="b">
        <f>L1380 = "PASS"</f>
        <v>1</v>
      </c>
      <c r="P1380" s="3" t="b">
        <f>L1380 = "FAIL"</f>
        <v>0</v>
      </c>
      <c r="Q1380" s="3" t="b">
        <f>AND(P1380, K1380)</f>
        <v>0</v>
      </c>
      <c r="R1380" s="3" t="str">
        <f>IF(O1380, I1380, "")</f>
        <v>suite-witness</v>
      </c>
      <c r="S1380" s="3" t="str">
        <f>IF(Q1380, I1380, "")</f>
      </c>
      <c r="T1380" s="2" t="s">
        <v>5935</v>
      </c>
    </row>
    <row r="1381">
      <c r="A1381" s="2" t="s">
        <v>7693</v>
      </c>
      <c r="B1381" s="3" t="str">
        <f>C1381 &amp; ": " &amp; D1381</f>
        <v>witness-discriminates: KnowledgeFragments.InferenceDisagreesWithRecord</v>
      </c>
      <c r="C1381" s="2" t="s">
        <v>7483</v>
      </c>
      <c r="D1381" s="2" t="s">
        <v>3278</v>
      </c>
      <c r="E1381" s="2" t="s">
        <v>1831</v>
      </c>
      <c r="F1381" s="2" t="s">
        <v>1141</v>
      </c>
      <c r="G1381" s="2" t="s">
        <v>7484</v>
      </c>
      <c r="H1381" s="2" t="s">
        <v>2192</v>
      </c>
      <c r="I1381" s="2" t="s">
        <v>5924</v>
      </c>
      <c r="J1381" s="2" t="s">
        <v>7485</v>
      </c>
      <c r="K1381" s="3" t="b">
        <f>J1381 = "blocking"</f>
        <v>0</v>
      </c>
      <c r="L1381" s="2" t="s">
        <v>1428</v>
      </c>
      <c r="M1381" s="2" t="s">
        <v>7689</v>
      </c>
      <c r="N1381" s="4">
        <v>46223.1297337963</v>
      </c>
      <c r="O1381" s="3" t="b">
        <f>L1381 = "PASS"</f>
        <v>1</v>
      </c>
      <c r="P1381" s="3" t="b">
        <f>L1381 = "FAIL"</f>
        <v>0</v>
      </c>
      <c r="Q1381" s="3" t="b">
        <f>AND(P1381, K1381)</f>
        <v>0</v>
      </c>
      <c r="R1381" s="3" t="str">
        <f>IF(O1381, I1381, "")</f>
        <v>suite-witness</v>
      </c>
      <c r="S1381" s="3" t="str">
        <f>IF(Q1381, I1381, "")</f>
      </c>
      <c r="T1381" s="2" t="s">
        <v>5935</v>
      </c>
    </row>
    <row r="1382">
      <c r="A1382" s="2" t="s">
        <v>7694</v>
      </c>
      <c r="B1382" s="3" t="str">
        <f>C1382 &amp; ": " &amp; D1382</f>
        <v>witness-discriminates: KnowledgeFragments.IsHighBlastRadiusUnapproved</v>
      </c>
      <c r="C1382" s="2" t="s">
        <v>7483</v>
      </c>
      <c r="D1382" s="2" t="s">
        <v>3288</v>
      </c>
      <c r="E1382" s="2" t="s">
        <v>1831</v>
      </c>
      <c r="F1382" s="2" t="s">
        <v>1146</v>
      </c>
      <c r="G1382" s="2" t="s">
        <v>7484</v>
      </c>
      <c r="H1382" s="2" t="s">
        <v>2204</v>
      </c>
      <c r="I1382" s="2" t="s">
        <v>5924</v>
      </c>
      <c r="J1382" s="2" t="s">
        <v>7485</v>
      </c>
      <c r="K1382" s="3" t="b">
        <f>J1382 = "blocking"</f>
        <v>0</v>
      </c>
      <c r="L1382" s="2" t="s">
        <v>1431</v>
      </c>
      <c r="M1382" s="2" t="s">
        <v>7657</v>
      </c>
      <c r="N1382" s="4">
        <v>46223.1297337963</v>
      </c>
      <c r="O1382" s="3" t="b">
        <f>L1382 = "PASS"</f>
        <v>0</v>
      </c>
      <c r="P1382" s="3" t="b">
        <f>L1382 = "FAIL"</f>
        <v>0</v>
      </c>
      <c r="Q1382" s="3" t="b">
        <f>AND(P1382, K1382)</f>
        <v>0</v>
      </c>
      <c r="R1382" s="3" t="str">
        <f>IF(O1382, I1382, "")</f>
      </c>
      <c r="S1382" s="3" t="str">
        <f>IF(Q1382, I1382, "")</f>
      </c>
      <c r="T1382" s="2" t="s">
        <v>5935</v>
      </c>
    </row>
    <row r="1383">
      <c r="A1383" s="2" t="s">
        <v>7695</v>
      </c>
      <c r="B1383" s="3" t="str">
        <f>C1383 &amp; ": " &amp; D1383</f>
        <v>witness-discriminates: KnowledgeFragments.IsLongUnapproved</v>
      </c>
      <c r="C1383" s="2" t="s">
        <v>7483</v>
      </c>
      <c r="D1383" s="2" t="s">
        <v>3290</v>
      </c>
      <c r="E1383" s="2" t="s">
        <v>1831</v>
      </c>
      <c r="F1383" s="2" t="s">
        <v>1147</v>
      </c>
      <c r="G1383" s="2" t="s">
        <v>7484</v>
      </c>
      <c r="H1383" s="2" t="s">
        <v>2204</v>
      </c>
      <c r="I1383" s="2" t="s">
        <v>5924</v>
      </c>
      <c r="J1383" s="2" t="s">
        <v>7485</v>
      </c>
      <c r="K1383" s="3" t="b">
        <f>J1383 = "blocking"</f>
        <v>0</v>
      </c>
      <c r="L1383" s="2" t="s">
        <v>1428</v>
      </c>
      <c r="M1383" s="2" t="s">
        <v>7664</v>
      </c>
      <c r="N1383" s="4">
        <v>46223.1297337963</v>
      </c>
      <c r="O1383" s="3" t="b">
        <f>L1383 = "PASS"</f>
        <v>1</v>
      </c>
      <c r="P1383" s="3" t="b">
        <f>L1383 = "FAIL"</f>
        <v>0</v>
      </c>
      <c r="Q1383" s="3" t="b">
        <f>AND(P1383, K1383)</f>
        <v>0</v>
      </c>
      <c r="R1383" s="3" t="str">
        <f>IF(O1383, I1383, "")</f>
        <v>suite-witness</v>
      </c>
      <c r="S1383" s="3" t="str">
        <f>IF(Q1383, I1383, "")</f>
      </c>
      <c r="T1383" s="2" t="s">
        <v>5935</v>
      </c>
    </row>
    <row r="1384">
      <c r="A1384" s="2" t="s">
        <v>7696</v>
      </c>
      <c r="B1384" s="3" t="str">
        <f>C1384 &amp; ": " &amp; D1384</f>
        <v>witness-discriminates: KnowledgeFragments.OwnerRoleIsVacated</v>
      </c>
      <c r="C1384" s="2" t="s">
        <v>7483</v>
      </c>
      <c r="D1384" s="2" t="s">
        <v>3294</v>
      </c>
      <c r="E1384" s="2" t="s">
        <v>1831</v>
      </c>
      <c r="F1384" s="2" t="s">
        <v>1149</v>
      </c>
      <c r="G1384" s="2" t="s">
        <v>7484</v>
      </c>
      <c r="H1384" s="2" t="s">
        <v>2212</v>
      </c>
      <c r="I1384" s="2" t="s">
        <v>5924</v>
      </c>
      <c r="J1384" s="2" t="s">
        <v>7485</v>
      </c>
      <c r="K1384" s="3" t="b">
        <f>J1384 = "blocking"</f>
        <v>0</v>
      </c>
      <c r="L1384" s="2" t="s">
        <v>1431</v>
      </c>
      <c r="M1384" s="2" t="s">
        <v>7657</v>
      </c>
      <c r="N1384" s="4">
        <v>46223.1297337963</v>
      </c>
      <c r="O1384" s="3" t="b">
        <f>L1384 = "PASS"</f>
        <v>0</v>
      </c>
      <c r="P1384" s="3" t="b">
        <f>L1384 = "FAIL"</f>
        <v>0</v>
      </c>
      <c r="Q1384" s="3" t="b">
        <f>AND(P1384, K1384)</f>
        <v>0</v>
      </c>
      <c r="R1384" s="3" t="str">
        <f>IF(O1384, I1384, "")</f>
      </c>
      <c r="S1384" s="3" t="str">
        <f>IF(Q1384, I1384, "")</f>
      </c>
      <c r="T1384" s="2" t="s">
        <v>5935</v>
      </c>
    </row>
    <row r="1385">
      <c r="A1385" s="2" t="s">
        <v>7697</v>
      </c>
      <c r="B1385" s="3" t="str">
        <f>C1385 &amp; ": " &amp; D1385</f>
        <v>witness-discriminates: KnowledgeFragments.IsOrphanedByRole</v>
      </c>
      <c r="C1385" s="2" t="s">
        <v>7483</v>
      </c>
      <c r="D1385" s="2" t="s">
        <v>3296</v>
      </c>
      <c r="E1385" s="2" t="s">
        <v>1831</v>
      </c>
      <c r="F1385" s="2" t="s">
        <v>1150</v>
      </c>
      <c r="G1385" s="2" t="s">
        <v>7484</v>
      </c>
      <c r="H1385" s="2" t="s">
        <v>2212</v>
      </c>
      <c r="I1385" s="2" t="s">
        <v>5924</v>
      </c>
      <c r="J1385" s="2" t="s">
        <v>7485</v>
      </c>
      <c r="K1385" s="3" t="b">
        <f>J1385 = "blocking"</f>
        <v>0</v>
      </c>
      <c r="L1385" s="2" t="s">
        <v>1431</v>
      </c>
      <c r="M1385" s="2" t="s">
        <v>7657</v>
      </c>
      <c r="N1385" s="4">
        <v>46223.1297337963</v>
      </c>
      <c r="O1385" s="3" t="b">
        <f>L1385 = "PASS"</f>
        <v>0</v>
      </c>
      <c r="P1385" s="3" t="b">
        <f>L1385 = "FAIL"</f>
        <v>0</v>
      </c>
      <c r="Q1385" s="3" t="b">
        <f>AND(P1385, K1385)</f>
        <v>0</v>
      </c>
      <c r="R1385" s="3" t="str">
        <f>IF(O1385, I1385, "")</f>
      </c>
      <c r="S1385" s="3" t="str">
        <f>IF(Q1385, I1385, "")</f>
      </c>
      <c r="T1385" s="2" t="s">
        <v>5935</v>
      </c>
    </row>
    <row r="1386">
      <c r="A1386" s="2" t="s">
        <v>7698</v>
      </c>
      <c r="B1386" s="3" t="str">
        <f>C1386 &amp; ": " &amp; D1386</f>
        <v>witness-discriminates: KnowledgeGaps.IsOpen</v>
      </c>
      <c r="C1386" s="2" t="s">
        <v>7483</v>
      </c>
      <c r="D1386" s="2" t="s">
        <v>3314</v>
      </c>
      <c r="E1386" s="2" t="s">
        <v>3302</v>
      </c>
      <c r="F1386" s="2" t="s">
        <v>1179</v>
      </c>
      <c r="G1386" s="2" t="s">
        <v>7484</v>
      </c>
      <c r="H1386" s="2"/>
      <c r="I1386" s="2" t="s">
        <v>5924</v>
      </c>
      <c r="J1386" s="2" t="s">
        <v>7485</v>
      </c>
      <c r="K1386" s="3" t="b">
        <f>J1386 = "blocking"</f>
        <v>0</v>
      </c>
      <c r="L1386" s="2" t="s">
        <v>1428</v>
      </c>
      <c r="M1386" s="2" t="s">
        <v>7699</v>
      </c>
      <c r="N1386" s="4">
        <v>46223.1297337963</v>
      </c>
      <c r="O1386" s="3" t="b">
        <f>L1386 = "PASS"</f>
        <v>1</v>
      </c>
      <c r="P1386" s="3" t="b">
        <f>L1386 = "FAIL"</f>
        <v>0</v>
      </c>
      <c r="Q1386" s="3" t="b">
        <f>AND(P1386, K1386)</f>
        <v>0</v>
      </c>
      <c r="R1386" s="3" t="str">
        <f>IF(O1386, I1386, "")</f>
        <v>suite-witness</v>
      </c>
      <c r="S1386" s="3" t="str">
        <f>IF(Q1386, I1386, "")</f>
      </c>
      <c r="T1386" s="2" t="s">
        <v>5935</v>
      </c>
    </row>
    <row r="1387">
      <c r="A1387" s="2" t="s">
        <v>7700</v>
      </c>
      <c r="B1387" s="3" t="str">
        <f>C1387 &amp; ": " &amp; D1387</f>
        <v>witness-discriminates: KnowledgeGaps.IsBlocking</v>
      </c>
      <c r="C1387" s="2" t="s">
        <v>7483</v>
      </c>
      <c r="D1387" s="2" t="s">
        <v>3318</v>
      </c>
      <c r="E1387" s="2" t="s">
        <v>3302</v>
      </c>
      <c r="F1387" s="2" t="s">
        <v>783</v>
      </c>
      <c r="G1387" s="2" t="s">
        <v>7484</v>
      </c>
      <c r="H1387" s="2" t="s">
        <v>2008</v>
      </c>
      <c r="I1387" s="2" t="s">
        <v>5924</v>
      </c>
      <c r="J1387" s="2" t="s">
        <v>7485</v>
      </c>
      <c r="K1387" s="3" t="b">
        <f>J1387 = "blocking"</f>
        <v>0</v>
      </c>
      <c r="L1387" s="2" t="s">
        <v>1428</v>
      </c>
      <c r="M1387" s="2" t="s">
        <v>7701</v>
      </c>
      <c r="N1387" s="4">
        <v>46223.1297337963</v>
      </c>
      <c r="O1387" s="3" t="b">
        <f>L1387 = "PASS"</f>
        <v>1</v>
      </c>
      <c r="P1387" s="3" t="b">
        <f>L1387 = "FAIL"</f>
        <v>0</v>
      </c>
      <c r="Q1387" s="3" t="b">
        <f>AND(P1387, K1387)</f>
        <v>0</v>
      </c>
      <c r="R1387" s="3" t="str">
        <f>IF(O1387, I1387, "")</f>
        <v>suite-witness</v>
      </c>
      <c r="S1387" s="3" t="str">
        <f>IF(Q1387, I1387, "")</f>
      </c>
      <c r="T1387" s="2" t="s">
        <v>5935</v>
      </c>
    </row>
    <row r="1388">
      <c r="A1388" s="2" t="s">
        <v>7702</v>
      </c>
      <c r="B1388" s="3" t="str">
        <f>C1388 &amp; ": " &amp; D1388</f>
        <v>witness-discriminates: KnowledgeGaps.IsOpenAndBlocking</v>
      </c>
      <c r="C1388" s="2" t="s">
        <v>7483</v>
      </c>
      <c r="D1388" s="2" t="s">
        <v>3320</v>
      </c>
      <c r="E1388" s="2" t="s">
        <v>3302</v>
      </c>
      <c r="F1388" s="2" t="s">
        <v>1181</v>
      </c>
      <c r="G1388" s="2" t="s">
        <v>7484</v>
      </c>
      <c r="H1388" s="2" t="s">
        <v>2008</v>
      </c>
      <c r="I1388" s="2" t="s">
        <v>5924</v>
      </c>
      <c r="J1388" s="2" t="s">
        <v>7485</v>
      </c>
      <c r="K1388" s="3" t="b">
        <f>J1388 = "blocking"</f>
        <v>0</v>
      </c>
      <c r="L1388" s="2" t="s">
        <v>1431</v>
      </c>
      <c r="M1388" s="2" t="s">
        <v>7703</v>
      </c>
      <c r="N1388" s="4">
        <v>46223.1297337963</v>
      </c>
      <c r="O1388" s="3" t="b">
        <f>L1388 = "PASS"</f>
        <v>0</v>
      </c>
      <c r="P1388" s="3" t="b">
        <f>L1388 = "FAIL"</f>
        <v>0</v>
      </c>
      <c r="Q1388" s="3" t="b">
        <f>AND(P1388, K1388)</f>
        <v>0</v>
      </c>
      <c r="R1388" s="3" t="str">
        <f>IF(O1388, I1388, "")</f>
      </c>
      <c r="S1388" s="3" t="str">
        <f>IF(Q1388, I1388, "")</f>
      </c>
      <c r="T1388" s="2" t="s">
        <v>5935</v>
      </c>
    </row>
    <row r="1389">
      <c r="A1389" s="2" t="s">
        <v>7704</v>
      </c>
      <c r="B1389" s="3" t="str">
        <f>C1389 &amp; ": " &amp; D1389</f>
        <v>witness-discriminates: KnowledgeGaps.IsOverdueGap</v>
      </c>
      <c r="C1389" s="2" t="s">
        <v>7483</v>
      </c>
      <c r="D1389" s="2" t="s">
        <v>3328</v>
      </c>
      <c r="E1389" s="2" t="s">
        <v>3302</v>
      </c>
      <c r="F1389" s="2" t="s">
        <v>1184</v>
      </c>
      <c r="G1389" s="2" t="s">
        <v>7484</v>
      </c>
      <c r="H1389" s="2" t="s">
        <v>2028</v>
      </c>
      <c r="I1389" s="2" t="s">
        <v>5924</v>
      </c>
      <c r="J1389" s="2" t="s">
        <v>7485</v>
      </c>
      <c r="K1389" s="3" t="b">
        <f>J1389 = "blocking"</f>
        <v>0</v>
      </c>
      <c r="L1389" s="2" t="s">
        <v>1431</v>
      </c>
      <c r="M1389" s="2" t="s">
        <v>7703</v>
      </c>
      <c r="N1389" s="4">
        <v>46223.1297337963</v>
      </c>
      <c r="O1389" s="3" t="b">
        <f>L1389 = "PASS"</f>
        <v>0</v>
      </c>
      <c r="P1389" s="3" t="b">
        <f>L1389 = "FAIL"</f>
        <v>0</v>
      </c>
      <c r="Q1389" s="3" t="b">
        <f>AND(P1389, K1389)</f>
        <v>0</v>
      </c>
      <c r="R1389" s="3" t="str">
        <f>IF(O1389, I1389, "")</f>
      </c>
      <c r="S1389" s="3" t="str">
        <f>IF(Q1389, I1389, "")</f>
      </c>
      <c r="T1389" s="2" t="s">
        <v>5935</v>
      </c>
    </row>
    <row r="1390">
      <c r="A1390" s="2" t="s">
        <v>7705</v>
      </c>
      <c r="B1390" s="3" t="str">
        <f>C1390 &amp; ": " &amp; D1390</f>
        <v>witness-discriminates: KnowledgeGaps.OwnerIsStillEngaged</v>
      </c>
      <c r="C1390" s="2" t="s">
        <v>7483</v>
      </c>
      <c r="D1390" s="2" t="s">
        <v>3331</v>
      </c>
      <c r="E1390" s="2" t="s">
        <v>3302</v>
      </c>
      <c r="F1390" s="2" t="s">
        <v>1185</v>
      </c>
      <c r="G1390" s="2" t="s">
        <v>7484</v>
      </c>
      <c r="H1390" s="2" t="s">
        <v>2028</v>
      </c>
      <c r="I1390" s="2" t="s">
        <v>5924</v>
      </c>
      <c r="J1390" s="2" t="s">
        <v>7485</v>
      </c>
      <c r="K1390" s="3" t="b">
        <f>J1390 = "blocking"</f>
        <v>0</v>
      </c>
      <c r="L1390" s="2" t="s">
        <v>1431</v>
      </c>
      <c r="M1390" s="2" t="s">
        <v>7706</v>
      </c>
      <c r="N1390" s="4">
        <v>46223.1297337963</v>
      </c>
      <c r="O1390" s="3" t="b">
        <f>L1390 = "PASS"</f>
        <v>0</v>
      </c>
      <c r="P1390" s="3" t="b">
        <f>L1390 = "FAIL"</f>
        <v>0</v>
      </c>
      <c r="Q1390" s="3" t="b">
        <f>AND(P1390, K1390)</f>
        <v>0</v>
      </c>
      <c r="R1390" s="3" t="str">
        <f>IF(O1390, I1390, "")</f>
      </c>
      <c r="S1390" s="3" t="str">
        <f>IF(Q1390, I1390, "")</f>
      </c>
      <c r="T1390" s="2" t="s">
        <v>5935</v>
      </c>
    </row>
    <row r="1391">
      <c r="A1391" s="2" t="s">
        <v>7707</v>
      </c>
      <c r="B1391" s="3" t="str">
        <f>C1391 &amp; ": " &amp; D1391</f>
        <v>witness-discriminates: KnowledgeGaps.HasResolutionPlan</v>
      </c>
      <c r="C1391" s="2" t="s">
        <v>7483</v>
      </c>
      <c r="D1391" s="2" t="s">
        <v>3333</v>
      </c>
      <c r="E1391" s="2" t="s">
        <v>3302</v>
      </c>
      <c r="F1391" s="2" t="s">
        <v>1186</v>
      </c>
      <c r="G1391" s="2" t="s">
        <v>7484</v>
      </c>
      <c r="H1391" s="2" t="s">
        <v>2028</v>
      </c>
      <c r="I1391" s="2" t="s">
        <v>5924</v>
      </c>
      <c r="J1391" s="2" t="s">
        <v>7485</v>
      </c>
      <c r="K1391" s="3" t="b">
        <f>J1391 = "blocking"</f>
        <v>0</v>
      </c>
      <c r="L1391" s="2" t="s">
        <v>1431</v>
      </c>
      <c r="M1391" s="2" t="s">
        <v>7706</v>
      </c>
      <c r="N1391" s="4">
        <v>46223.1297337963</v>
      </c>
      <c r="O1391" s="3" t="b">
        <f>L1391 = "PASS"</f>
        <v>0</v>
      </c>
      <c r="P1391" s="3" t="b">
        <f>L1391 = "FAIL"</f>
        <v>0</v>
      </c>
      <c r="Q1391" s="3" t="b">
        <f>AND(P1391, K1391)</f>
        <v>0</v>
      </c>
      <c r="R1391" s="3" t="str">
        <f>IF(O1391, I1391, "")</f>
      </c>
      <c r="S1391" s="3" t="str">
        <f>IF(Q1391, I1391, "")</f>
      </c>
      <c r="T1391" s="2" t="s">
        <v>5935</v>
      </c>
    </row>
    <row r="1392">
      <c r="A1392" s="2" t="s">
        <v>7708</v>
      </c>
      <c r="B1392" s="3" t="str">
        <f>C1392 &amp; ": " &amp; D1392</f>
        <v>witness-discriminates: KnowledgeGaps.IsAbandonedUnknown</v>
      </c>
      <c r="C1392" s="2" t="s">
        <v>7483</v>
      </c>
      <c r="D1392" s="2" t="s">
        <v>3335</v>
      </c>
      <c r="E1392" s="2" t="s">
        <v>3302</v>
      </c>
      <c r="F1392" s="2" t="s">
        <v>1187</v>
      </c>
      <c r="G1392" s="2" t="s">
        <v>7484</v>
      </c>
      <c r="H1392" s="2" t="s">
        <v>2028</v>
      </c>
      <c r="I1392" s="2" t="s">
        <v>5924</v>
      </c>
      <c r="J1392" s="2" t="s">
        <v>7485</v>
      </c>
      <c r="K1392" s="3" t="b">
        <f>J1392 = "blocking"</f>
        <v>0</v>
      </c>
      <c r="L1392" s="2" t="s">
        <v>1431</v>
      </c>
      <c r="M1392" s="2" t="s">
        <v>7703</v>
      </c>
      <c r="N1392" s="4">
        <v>46223.1297337963</v>
      </c>
      <c r="O1392" s="3" t="b">
        <f>L1392 = "PASS"</f>
        <v>0</v>
      </c>
      <c r="P1392" s="3" t="b">
        <f>L1392 = "FAIL"</f>
        <v>0</v>
      </c>
      <c r="Q1392" s="3" t="b">
        <f>AND(P1392, K1392)</f>
        <v>0</v>
      </c>
      <c r="R1392" s="3" t="str">
        <f>IF(O1392, I1392, "")</f>
      </c>
      <c r="S1392" s="3" t="str">
        <f>IF(Q1392, I1392, "")</f>
      </c>
      <c r="T1392" s="2" t="s">
        <v>5935</v>
      </c>
    </row>
    <row r="1393">
      <c r="A1393" s="2" t="s">
        <v>7709</v>
      </c>
      <c r="B1393" s="3" t="str">
        <f>C1393 &amp; ": " &amp; D1393</f>
        <v>witness-discriminates: KnowledgeGaps.OwnerRoleIsVacated</v>
      </c>
      <c r="C1393" s="2" t="s">
        <v>7483</v>
      </c>
      <c r="D1393" s="2" t="s">
        <v>3339</v>
      </c>
      <c r="E1393" s="2" t="s">
        <v>3302</v>
      </c>
      <c r="F1393" s="2" t="s">
        <v>1149</v>
      </c>
      <c r="G1393" s="2" t="s">
        <v>7484</v>
      </c>
      <c r="H1393" s="2" t="s">
        <v>2212</v>
      </c>
      <c r="I1393" s="2" t="s">
        <v>5924</v>
      </c>
      <c r="J1393" s="2" t="s">
        <v>7485</v>
      </c>
      <c r="K1393" s="3" t="b">
        <f>J1393 = "blocking"</f>
        <v>0</v>
      </c>
      <c r="L1393" s="2" t="s">
        <v>1431</v>
      </c>
      <c r="M1393" s="2" t="s">
        <v>7703</v>
      </c>
      <c r="N1393" s="4">
        <v>46223.1297337963</v>
      </c>
      <c r="O1393" s="3" t="b">
        <f>L1393 = "PASS"</f>
        <v>0</v>
      </c>
      <c r="P1393" s="3" t="b">
        <f>L1393 = "FAIL"</f>
        <v>0</v>
      </c>
      <c r="Q1393" s="3" t="b">
        <f>AND(P1393, K1393)</f>
        <v>0</v>
      </c>
      <c r="R1393" s="3" t="str">
        <f>IF(O1393, I1393, "")</f>
      </c>
      <c r="S1393" s="3" t="str">
        <f>IF(Q1393, I1393, "")</f>
      </c>
      <c r="T1393" s="2" t="s">
        <v>5935</v>
      </c>
    </row>
    <row r="1394">
      <c r="A1394" s="2" t="s">
        <v>7710</v>
      </c>
      <c r="B1394" s="3" t="str">
        <f>C1394 &amp; ": " &amp; D1394</f>
        <v>witness-discriminates: KnowledgeGaps.IsOwnerlessOpenGap</v>
      </c>
      <c r="C1394" s="2" t="s">
        <v>7483</v>
      </c>
      <c r="D1394" s="2" t="s">
        <v>3340</v>
      </c>
      <c r="E1394" s="2" t="s">
        <v>3302</v>
      </c>
      <c r="F1394" s="2" t="s">
        <v>1189</v>
      </c>
      <c r="G1394" s="2" t="s">
        <v>7484</v>
      </c>
      <c r="H1394" s="2" t="s">
        <v>2212</v>
      </c>
      <c r="I1394" s="2" t="s">
        <v>5924</v>
      </c>
      <c r="J1394" s="2" t="s">
        <v>7485</v>
      </c>
      <c r="K1394" s="3" t="b">
        <f>J1394 = "blocking"</f>
        <v>0</v>
      </c>
      <c r="L1394" s="2" t="s">
        <v>1431</v>
      </c>
      <c r="M1394" s="2" t="s">
        <v>7703</v>
      </c>
      <c r="N1394" s="4">
        <v>46223.1297337963</v>
      </c>
      <c r="O1394" s="3" t="b">
        <f>L1394 = "PASS"</f>
        <v>0</v>
      </c>
      <c r="P1394" s="3" t="b">
        <f>L1394 = "FAIL"</f>
        <v>0</v>
      </c>
      <c r="Q1394" s="3" t="b">
        <f>AND(P1394, K1394)</f>
        <v>0</v>
      </c>
      <c r="R1394" s="3" t="str">
        <f>IF(O1394, I1394, "")</f>
      </c>
      <c r="S1394" s="3" t="str">
        <f>IF(Q1394, I1394, "")</f>
      </c>
      <c r="T1394" s="2" t="s">
        <v>5935</v>
      </c>
    </row>
    <row r="1395">
      <c r="A1395" s="2" t="s">
        <v>7711</v>
      </c>
      <c r="B1395" s="3" t="str">
        <f>C1395 &amp; ": " &amp; D1395</f>
        <v>witness-discriminates: ProcedureExecutions.IsStructurallyComplete</v>
      </c>
      <c r="C1395" s="2" t="s">
        <v>7483</v>
      </c>
      <c r="D1395" s="2" t="s">
        <v>3378</v>
      </c>
      <c r="E1395" s="2" t="s">
        <v>1804</v>
      </c>
      <c r="F1395" s="2" t="s">
        <v>1255</v>
      </c>
      <c r="G1395" s="2" t="s">
        <v>7484</v>
      </c>
      <c r="H1395" s="2" t="s">
        <v>1968</v>
      </c>
      <c r="I1395" s="2" t="s">
        <v>5924</v>
      </c>
      <c r="J1395" s="2" t="s">
        <v>7485</v>
      </c>
      <c r="K1395" s="3" t="b">
        <f>J1395 = "blocking"</f>
        <v>0</v>
      </c>
      <c r="L1395" s="2" t="s">
        <v>1428</v>
      </c>
      <c r="M1395" s="2" t="s">
        <v>7712</v>
      </c>
      <c r="N1395" s="4">
        <v>46223.1297337963</v>
      </c>
      <c r="O1395" s="3" t="b">
        <f>L1395 = "PASS"</f>
        <v>1</v>
      </c>
      <c r="P1395" s="3" t="b">
        <f>L1395 = "FAIL"</f>
        <v>0</v>
      </c>
      <c r="Q1395" s="3" t="b">
        <f>AND(P1395, K1395)</f>
        <v>0</v>
      </c>
      <c r="R1395" s="3" t="str">
        <f>IF(O1395, I1395, "")</f>
        <v>suite-witness</v>
      </c>
      <c r="S1395" s="3" t="str">
        <f>IF(Q1395, I1395, "")</f>
      </c>
      <c r="T1395" s="2" t="s">
        <v>5935</v>
      </c>
    </row>
    <row r="1396">
      <c r="A1396" s="2" t="s">
        <v>7713</v>
      </c>
      <c r="B1396" s="3" t="str">
        <f>C1396 &amp; ": " &amp; D1396</f>
        <v>witness-discriminates: ProcedureExecutions.DivergedFromSpecification</v>
      </c>
      <c r="C1396" s="2" t="s">
        <v>7483</v>
      </c>
      <c r="D1396" s="2" t="s">
        <v>3380</v>
      </c>
      <c r="E1396" s="2" t="s">
        <v>1804</v>
      </c>
      <c r="F1396" s="2" t="s">
        <v>1256</v>
      </c>
      <c r="G1396" s="2" t="s">
        <v>7484</v>
      </c>
      <c r="H1396" s="2" t="s">
        <v>1968</v>
      </c>
      <c r="I1396" s="2" t="s">
        <v>5924</v>
      </c>
      <c r="J1396" s="2" t="s">
        <v>7485</v>
      </c>
      <c r="K1396" s="3" t="b">
        <f>J1396 = "blocking"</f>
        <v>0</v>
      </c>
      <c r="L1396" s="2" t="s">
        <v>1431</v>
      </c>
      <c r="M1396" s="2" t="s">
        <v>7714</v>
      </c>
      <c r="N1396" s="4">
        <v>46223.1297337963</v>
      </c>
      <c r="O1396" s="3" t="b">
        <f>L1396 = "PASS"</f>
        <v>0</v>
      </c>
      <c r="P1396" s="3" t="b">
        <f>L1396 = "FAIL"</f>
        <v>0</v>
      </c>
      <c r="Q1396" s="3" t="b">
        <f>AND(P1396, K1396)</f>
        <v>0</v>
      </c>
      <c r="R1396" s="3" t="str">
        <f>IF(O1396, I1396, "")</f>
      </c>
      <c r="S1396" s="3" t="str">
        <f>IF(Q1396, I1396, "")</f>
      </c>
      <c r="T1396" s="2" t="s">
        <v>5935</v>
      </c>
    </row>
    <row r="1397">
      <c r="A1397" s="2" t="s">
        <v>7715</v>
      </c>
      <c r="B1397" s="3" t="str">
        <f>C1397 &amp; ": " &amp; D1397</f>
        <v>witness-discriminates: ProcedureExecutions.AllBlockingControlsEvaluated</v>
      </c>
      <c r="C1397" s="2" t="s">
        <v>7483</v>
      </c>
      <c r="D1397" s="2" t="s">
        <v>3382</v>
      </c>
      <c r="E1397" s="2" t="s">
        <v>1804</v>
      </c>
      <c r="F1397" s="2" t="s">
        <v>1257</v>
      </c>
      <c r="G1397" s="2" t="s">
        <v>7484</v>
      </c>
      <c r="H1397" s="2" t="s">
        <v>1976</v>
      </c>
      <c r="I1397" s="2" t="s">
        <v>5924</v>
      </c>
      <c r="J1397" s="2" t="s">
        <v>7485</v>
      </c>
      <c r="K1397" s="3" t="b">
        <f>J1397 = "blocking"</f>
        <v>0</v>
      </c>
      <c r="L1397" s="2" t="s">
        <v>1431</v>
      </c>
      <c r="M1397" s="2" t="s">
        <v>7714</v>
      </c>
      <c r="N1397" s="4">
        <v>46223.1297337963</v>
      </c>
      <c r="O1397" s="3" t="b">
        <f>L1397 = "PASS"</f>
        <v>0</v>
      </c>
      <c r="P1397" s="3" t="b">
        <f>L1397 = "FAIL"</f>
        <v>0</v>
      </c>
      <c r="Q1397" s="3" t="b">
        <f>AND(P1397, K1397)</f>
        <v>0</v>
      </c>
      <c r="R1397" s="3" t="str">
        <f>IF(O1397, I1397, "")</f>
      </c>
      <c r="S1397" s="3" t="str">
        <f>IF(Q1397, I1397, "")</f>
      </c>
      <c r="T1397" s="2" t="s">
        <v>5935</v>
      </c>
    </row>
    <row r="1398">
      <c r="A1398" s="2" t="s">
        <v>7716</v>
      </c>
      <c r="B1398" s="3" t="str">
        <f>C1398 &amp; ": " &amp; D1398</f>
        <v>witness-discriminates: ProcedureExecutions.SeparationOfDutiesHeld</v>
      </c>
      <c r="C1398" s="2" t="s">
        <v>7483</v>
      </c>
      <c r="D1398" s="2" t="s">
        <v>3386</v>
      </c>
      <c r="E1398" s="2" t="s">
        <v>1804</v>
      </c>
      <c r="F1398" s="2" t="s">
        <v>1259</v>
      </c>
      <c r="G1398" s="2" t="s">
        <v>7484</v>
      </c>
      <c r="H1398" s="2" t="s">
        <v>1976</v>
      </c>
      <c r="I1398" s="2" t="s">
        <v>5924</v>
      </c>
      <c r="J1398" s="2" t="s">
        <v>7485</v>
      </c>
      <c r="K1398" s="3" t="b">
        <f>J1398 = "blocking"</f>
        <v>0</v>
      </c>
      <c r="L1398" s="2" t="s">
        <v>1431</v>
      </c>
      <c r="M1398" s="2" t="s">
        <v>7714</v>
      </c>
      <c r="N1398" s="4">
        <v>46223.1297337963</v>
      </c>
      <c r="O1398" s="3" t="b">
        <f>L1398 = "PASS"</f>
        <v>0</v>
      </c>
      <c r="P1398" s="3" t="b">
        <f>L1398 = "FAIL"</f>
        <v>0</v>
      </c>
      <c r="Q1398" s="3" t="b">
        <f>AND(P1398, K1398)</f>
        <v>0</v>
      </c>
      <c r="R1398" s="3" t="str">
        <f>IF(O1398, I1398, "")</f>
      </c>
      <c r="S1398" s="3" t="str">
        <f>IF(Q1398, I1398, "")</f>
      </c>
      <c r="T1398" s="2" t="s">
        <v>5935</v>
      </c>
    </row>
    <row r="1399">
      <c r="A1399" s="2" t="s">
        <v>7717</v>
      </c>
      <c r="B1399" s="3" t="str">
        <f>C1399 &amp; ": " &amp; D1399</f>
        <v>witness-discriminates: ProcedureExecutions.IsAttestationReady</v>
      </c>
      <c r="C1399" s="2" t="s">
        <v>7483</v>
      </c>
      <c r="D1399" s="2" t="s">
        <v>3390</v>
      </c>
      <c r="E1399" s="2" t="s">
        <v>1804</v>
      </c>
      <c r="F1399" s="2" t="s">
        <v>1261</v>
      </c>
      <c r="G1399" s="2" t="s">
        <v>7484</v>
      </c>
      <c r="H1399" s="2" t="s">
        <v>1976</v>
      </c>
      <c r="I1399" s="2" t="s">
        <v>5924</v>
      </c>
      <c r="J1399" s="2" t="s">
        <v>7485</v>
      </c>
      <c r="K1399" s="3" t="b">
        <f>J1399 = "blocking"</f>
        <v>0</v>
      </c>
      <c r="L1399" s="2" t="s">
        <v>1431</v>
      </c>
      <c r="M1399" s="2" t="s">
        <v>7718</v>
      </c>
      <c r="N1399" s="4">
        <v>46223.1297337963</v>
      </c>
      <c r="O1399" s="3" t="b">
        <f>L1399 = "PASS"</f>
        <v>0</v>
      </c>
      <c r="P1399" s="3" t="b">
        <f>L1399 = "FAIL"</f>
        <v>0</v>
      </c>
      <c r="Q1399" s="3" t="b">
        <f>AND(P1399, K1399)</f>
        <v>0</v>
      </c>
      <c r="R1399" s="3" t="str">
        <f>IF(O1399, I1399, "")</f>
      </c>
      <c r="S1399" s="3" t="str">
        <f>IF(Q1399, I1399, "")</f>
      </c>
      <c r="T1399" s="2" t="s">
        <v>5935</v>
      </c>
    </row>
    <row r="1400">
      <c r="A1400" s="2" t="s">
        <v>7719</v>
      </c>
      <c r="B1400" s="3" t="str">
        <f>C1400 &amp; ": " &amp; D1400</f>
        <v>witness-discriminates: ProcedureExecutions.ExecutedVersionIsFit</v>
      </c>
      <c r="C1400" s="2" t="s">
        <v>7483</v>
      </c>
      <c r="D1400" s="2" t="s">
        <v>3394</v>
      </c>
      <c r="E1400" s="2" t="s">
        <v>1804</v>
      </c>
      <c r="F1400" s="2" t="s">
        <v>1263</v>
      </c>
      <c r="G1400" s="2" t="s">
        <v>7484</v>
      </c>
      <c r="H1400" s="2" t="s">
        <v>1980</v>
      </c>
      <c r="I1400" s="2" t="s">
        <v>5924</v>
      </c>
      <c r="J1400" s="2" t="s">
        <v>7485</v>
      </c>
      <c r="K1400" s="3" t="b">
        <f>J1400 = "blocking"</f>
        <v>0</v>
      </c>
      <c r="L1400" s="2" t="s">
        <v>1431</v>
      </c>
      <c r="M1400" s="2" t="s">
        <v>7718</v>
      </c>
      <c r="N1400" s="4">
        <v>46223.1297337963</v>
      </c>
      <c r="O1400" s="3" t="b">
        <f>L1400 = "PASS"</f>
        <v>0</v>
      </c>
      <c r="P1400" s="3" t="b">
        <f>L1400 = "FAIL"</f>
        <v>0</v>
      </c>
      <c r="Q1400" s="3" t="b">
        <f>AND(P1400, K1400)</f>
        <v>0</v>
      </c>
      <c r="R1400" s="3" t="str">
        <f>IF(O1400, I1400, "")</f>
      </c>
      <c r="S1400" s="3" t="str">
        <f>IF(Q1400, I1400, "")</f>
      </c>
      <c r="T1400" s="2" t="s">
        <v>5935</v>
      </c>
    </row>
    <row r="1401">
      <c r="A1401" s="2" t="s">
        <v>7720</v>
      </c>
      <c r="B1401" s="3" t="str">
        <f>C1401 &amp; ": " &amp; D1401</f>
        <v>witness-discriminates: ProcedureExecutions.SignedAgainstUnfitVersion</v>
      </c>
      <c r="C1401" s="2" t="s">
        <v>7483</v>
      </c>
      <c r="D1401" s="2" t="s">
        <v>3396</v>
      </c>
      <c r="E1401" s="2" t="s">
        <v>1804</v>
      </c>
      <c r="F1401" s="2" t="s">
        <v>1264</v>
      </c>
      <c r="G1401" s="2" t="s">
        <v>7484</v>
      </c>
      <c r="H1401" s="2" t="s">
        <v>1980</v>
      </c>
      <c r="I1401" s="2" t="s">
        <v>5924</v>
      </c>
      <c r="J1401" s="2" t="s">
        <v>7485</v>
      </c>
      <c r="K1401" s="3" t="b">
        <f>J1401 = "blocking"</f>
        <v>0</v>
      </c>
      <c r="L1401" s="2" t="s">
        <v>1428</v>
      </c>
      <c r="M1401" s="2" t="s">
        <v>7712</v>
      </c>
      <c r="N1401" s="4">
        <v>46223.1297337963</v>
      </c>
      <c r="O1401" s="3" t="b">
        <f>L1401 = "PASS"</f>
        <v>1</v>
      </c>
      <c r="P1401" s="3" t="b">
        <f>L1401 = "FAIL"</f>
        <v>0</v>
      </c>
      <c r="Q1401" s="3" t="b">
        <f>AND(P1401, K1401)</f>
        <v>0</v>
      </c>
      <c r="R1401" s="3" t="str">
        <f>IF(O1401, I1401, "")</f>
        <v>suite-witness</v>
      </c>
      <c r="S1401" s="3" t="str">
        <f>IF(Q1401, I1401, "")</f>
      </c>
      <c r="T1401" s="2" t="s">
        <v>5935</v>
      </c>
    </row>
    <row r="1402">
      <c r="A1402" s="2" t="s">
        <v>7721</v>
      </c>
      <c r="B1402" s="3" t="str">
        <f>C1402 &amp; ": " &amp; D1402</f>
        <v>witness-discriminates: ProcedureExecutions.AssuranceIsMostlyAsserted</v>
      </c>
      <c r="C1402" s="2" t="s">
        <v>7483</v>
      </c>
      <c r="D1402" s="2" t="s">
        <v>3400</v>
      </c>
      <c r="E1402" s="2" t="s">
        <v>1804</v>
      </c>
      <c r="F1402" s="2" t="s">
        <v>1266</v>
      </c>
      <c r="G1402" s="2" t="s">
        <v>7484</v>
      </c>
      <c r="H1402" s="2" t="s">
        <v>1992</v>
      </c>
      <c r="I1402" s="2" t="s">
        <v>5924</v>
      </c>
      <c r="J1402" s="2" t="s">
        <v>7485</v>
      </c>
      <c r="K1402" s="3" t="b">
        <f>J1402 = "blocking"</f>
        <v>0</v>
      </c>
      <c r="L1402" s="2" t="s">
        <v>1431</v>
      </c>
      <c r="M1402" s="2" t="s">
        <v>7714</v>
      </c>
      <c r="N1402" s="4">
        <v>46223.1297337963</v>
      </c>
      <c r="O1402" s="3" t="b">
        <f>L1402 = "PASS"</f>
        <v>0</v>
      </c>
      <c r="P1402" s="3" t="b">
        <f>L1402 = "FAIL"</f>
        <v>0</v>
      </c>
      <c r="Q1402" s="3" t="b">
        <f>AND(P1402, K1402)</f>
        <v>0</v>
      </c>
      <c r="R1402" s="3" t="str">
        <f>IF(O1402, I1402, "")</f>
      </c>
      <c r="S1402" s="3" t="str">
        <f>IF(Q1402, I1402, "")</f>
      </c>
      <c r="T1402" s="2" t="s">
        <v>5935</v>
      </c>
    </row>
    <row r="1403">
      <c r="A1403" s="2" t="s">
        <v>7722</v>
      </c>
      <c r="B1403" s="3" t="str">
        <f>C1403 &amp; ": " &amp; D1403</f>
        <v>witness-discriminates: ProcedureExecutions.HasClearedLegalReview</v>
      </c>
      <c r="C1403" s="2" t="s">
        <v>7483</v>
      </c>
      <c r="D1403" s="2" t="s">
        <v>3408</v>
      </c>
      <c r="E1403" s="2" t="s">
        <v>1804</v>
      </c>
      <c r="F1403" s="2" t="s">
        <v>1270</v>
      </c>
      <c r="G1403" s="2" t="s">
        <v>7484</v>
      </c>
      <c r="H1403" s="2" t="s">
        <v>2052</v>
      </c>
      <c r="I1403" s="2" t="s">
        <v>5924</v>
      </c>
      <c r="J1403" s="2" t="s">
        <v>7485</v>
      </c>
      <c r="K1403" s="3" t="b">
        <f>J1403 = "blocking"</f>
        <v>0</v>
      </c>
      <c r="L1403" s="2" t="s">
        <v>1428</v>
      </c>
      <c r="M1403" s="2" t="s">
        <v>7712</v>
      </c>
      <c r="N1403" s="4">
        <v>46223.1297337963</v>
      </c>
      <c r="O1403" s="3" t="b">
        <f>L1403 = "PASS"</f>
        <v>1</v>
      </c>
      <c r="P1403" s="3" t="b">
        <f>L1403 = "FAIL"</f>
        <v>0</v>
      </c>
      <c r="Q1403" s="3" t="b">
        <f>AND(P1403, K1403)</f>
        <v>0</v>
      </c>
      <c r="R1403" s="3" t="str">
        <f>IF(O1403, I1403, "")</f>
        <v>suite-witness</v>
      </c>
      <c r="S1403" s="3" t="str">
        <f>IF(Q1403, I1403, "")</f>
      </c>
      <c r="T1403" s="2" t="s">
        <v>5935</v>
      </c>
    </row>
    <row r="1404">
      <c r="A1404" s="2" t="s">
        <v>7723</v>
      </c>
      <c r="B1404" s="3" t="str">
        <f>C1404 &amp; ": " &amp; D1404</f>
        <v>witness-discriminates: ProcedureExecutions.HasAbandonedFailures</v>
      </c>
      <c r="C1404" s="2" t="s">
        <v>7483</v>
      </c>
      <c r="D1404" s="2" t="s">
        <v>3416</v>
      </c>
      <c r="E1404" s="2" t="s">
        <v>1804</v>
      </c>
      <c r="F1404" s="2" t="s">
        <v>1274</v>
      </c>
      <c r="G1404" s="2" t="s">
        <v>7484</v>
      </c>
      <c r="H1404" s="2" t="s">
        <v>2068</v>
      </c>
      <c r="I1404" s="2" t="s">
        <v>5924</v>
      </c>
      <c r="J1404" s="2" t="s">
        <v>7485</v>
      </c>
      <c r="K1404" s="3" t="b">
        <f>J1404 = "blocking"</f>
        <v>0</v>
      </c>
      <c r="L1404" s="2" t="s">
        <v>1431</v>
      </c>
      <c r="M1404" s="2" t="s">
        <v>7718</v>
      </c>
      <c r="N1404" s="4">
        <v>46223.1297337963</v>
      </c>
      <c r="O1404" s="3" t="b">
        <f>L1404 = "PASS"</f>
        <v>0</v>
      </c>
      <c r="P1404" s="3" t="b">
        <f>L1404 = "FAIL"</f>
        <v>0</v>
      </c>
      <c r="Q1404" s="3" t="b">
        <f>AND(P1404, K1404)</f>
        <v>0</v>
      </c>
      <c r="R1404" s="3" t="str">
        <f>IF(O1404, I1404, "")</f>
      </c>
      <c r="S1404" s="3" t="str">
        <f>IF(Q1404, I1404, "")</f>
      </c>
      <c r="T1404" s="2" t="s">
        <v>5935</v>
      </c>
    </row>
    <row r="1405">
      <c r="A1405" s="2" t="s">
        <v>7724</v>
      </c>
      <c r="B1405" s="3" t="str">
        <f>C1405 &amp; ": " &amp; D1405</f>
        <v>witness-discriminates: ProcedureExecutions.RanClean</v>
      </c>
      <c r="C1405" s="2" t="s">
        <v>7483</v>
      </c>
      <c r="D1405" s="2" t="s">
        <v>3422</v>
      </c>
      <c r="E1405" s="2" t="s">
        <v>1804</v>
      </c>
      <c r="F1405" s="2" t="s">
        <v>1277</v>
      </c>
      <c r="G1405" s="2" t="s">
        <v>7484</v>
      </c>
      <c r="H1405" s="2" t="s">
        <v>2104</v>
      </c>
      <c r="I1405" s="2" t="s">
        <v>5924</v>
      </c>
      <c r="J1405" s="2" t="s">
        <v>7485</v>
      </c>
      <c r="K1405" s="3" t="b">
        <f>J1405 = "blocking"</f>
        <v>0</v>
      </c>
      <c r="L1405" s="2" t="s">
        <v>1431</v>
      </c>
      <c r="M1405" s="2" t="s">
        <v>7718</v>
      </c>
      <c r="N1405" s="4">
        <v>46223.1297337963</v>
      </c>
      <c r="O1405" s="3" t="b">
        <f>L1405 = "PASS"</f>
        <v>0</v>
      </c>
      <c r="P1405" s="3" t="b">
        <f>L1405 = "FAIL"</f>
        <v>0</v>
      </c>
      <c r="Q1405" s="3" t="b">
        <f>AND(P1405, K1405)</f>
        <v>0</v>
      </c>
      <c r="R1405" s="3" t="str">
        <f>IF(O1405, I1405, "")</f>
      </c>
      <c r="S1405" s="3" t="str">
        <f>IF(Q1405, I1405, "")</f>
      </c>
      <c r="T1405" s="2" t="s">
        <v>5935</v>
      </c>
    </row>
    <row r="1406">
      <c r="A1406" s="2" t="s">
        <v>7725</v>
      </c>
      <c r="B1406" s="3" t="str">
        <f>C1406 &amp; ": " &amp; D1406</f>
        <v>witness-discriminates: ProcedureExecutions.HasHumanApproval</v>
      </c>
      <c r="C1406" s="2" t="s">
        <v>7483</v>
      </c>
      <c r="D1406" s="2" t="s">
        <v>3426</v>
      </c>
      <c r="E1406" s="2" t="s">
        <v>1804</v>
      </c>
      <c r="F1406" s="2" t="s">
        <v>1279</v>
      </c>
      <c r="G1406" s="2" t="s">
        <v>7484</v>
      </c>
      <c r="H1406" s="2" t="s">
        <v>2128</v>
      </c>
      <c r="I1406" s="2" t="s">
        <v>5924</v>
      </c>
      <c r="J1406" s="2" t="s">
        <v>7485</v>
      </c>
      <c r="K1406" s="3" t="b">
        <f>J1406 = "blocking"</f>
        <v>0</v>
      </c>
      <c r="L1406" s="2" t="s">
        <v>1431</v>
      </c>
      <c r="M1406" s="2" t="s">
        <v>7714</v>
      </c>
      <c r="N1406" s="4">
        <v>46223.1297337963</v>
      </c>
      <c r="O1406" s="3" t="b">
        <f>L1406 = "PASS"</f>
        <v>0</v>
      </c>
      <c r="P1406" s="3" t="b">
        <f>L1406 = "FAIL"</f>
        <v>0</v>
      </c>
      <c r="Q1406" s="3" t="b">
        <f>AND(P1406, K1406)</f>
        <v>0</v>
      </c>
      <c r="R1406" s="3" t="str">
        <f>IF(O1406, I1406, "")</f>
      </c>
      <c r="S1406" s="3" t="str">
        <f>IF(Q1406, I1406, "")</f>
      </c>
      <c r="T1406" s="2" t="s">
        <v>5935</v>
      </c>
    </row>
    <row r="1407">
      <c r="A1407" s="2" t="s">
        <v>7726</v>
      </c>
      <c r="B1407" s="3" t="str">
        <f>C1407 &amp; ": " &amp; D1407</f>
        <v>witness-discriminates: ProcedureExecutions.HasDelivered</v>
      </c>
      <c r="C1407" s="2" t="s">
        <v>7483</v>
      </c>
      <c r="D1407" s="2" t="s">
        <v>3430</v>
      </c>
      <c r="E1407" s="2" t="s">
        <v>1804</v>
      </c>
      <c r="F1407" s="2" t="s">
        <v>1281</v>
      </c>
      <c r="G1407" s="2" t="s">
        <v>7484</v>
      </c>
      <c r="H1407" s="2" t="s">
        <v>2128</v>
      </c>
      <c r="I1407" s="2" t="s">
        <v>5924</v>
      </c>
      <c r="J1407" s="2" t="s">
        <v>7485</v>
      </c>
      <c r="K1407" s="3" t="b">
        <f>J1407 = "blocking"</f>
        <v>0</v>
      </c>
      <c r="L1407" s="2" t="s">
        <v>1431</v>
      </c>
      <c r="M1407" s="2" t="s">
        <v>7718</v>
      </c>
      <c r="N1407" s="4">
        <v>46223.1297337963</v>
      </c>
      <c r="O1407" s="3" t="b">
        <f>L1407 = "PASS"</f>
        <v>0</v>
      </c>
      <c r="P1407" s="3" t="b">
        <f>L1407 = "FAIL"</f>
        <v>0</v>
      </c>
      <c r="Q1407" s="3" t="b">
        <f>AND(P1407, K1407)</f>
        <v>0</v>
      </c>
      <c r="R1407" s="3" t="str">
        <f>IF(O1407, I1407, "")</f>
      </c>
      <c r="S1407" s="3" t="str">
        <f>IF(Q1407, I1407, "")</f>
      </c>
      <c r="T1407" s="2" t="s">
        <v>5935</v>
      </c>
    </row>
    <row r="1408">
      <c r="A1408" s="2" t="s">
        <v>7727</v>
      </c>
      <c r="B1408" s="3" t="str">
        <f>C1408 &amp; ": " &amp; D1408</f>
        <v>witness-discriminates: ProcedureExecutions.DeliveredWithoutApproval</v>
      </c>
      <c r="C1408" s="2" t="s">
        <v>7483</v>
      </c>
      <c r="D1408" s="2" t="s">
        <v>3432</v>
      </c>
      <c r="E1408" s="2" t="s">
        <v>1804</v>
      </c>
      <c r="F1408" s="2" t="s">
        <v>1282</v>
      </c>
      <c r="G1408" s="2" t="s">
        <v>7484</v>
      </c>
      <c r="H1408" s="2" t="s">
        <v>2128</v>
      </c>
      <c r="I1408" s="2" t="s">
        <v>5924</v>
      </c>
      <c r="J1408" s="2" t="s">
        <v>7485</v>
      </c>
      <c r="K1408" s="3" t="b">
        <f>J1408 = "blocking"</f>
        <v>0</v>
      </c>
      <c r="L1408" s="2" t="s">
        <v>1431</v>
      </c>
      <c r="M1408" s="2" t="s">
        <v>7718</v>
      </c>
      <c r="N1408" s="4">
        <v>46223.1297337963</v>
      </c>
      <c r="O1408" s="3" t="b">
        <f>L1408 = "PASS"</f>
        <v>0</v>
      </c>
      <c r="P1408" s="3" t="b">
        <f>L1408 = "FAIL"</f>
        <v>0</v>
      </c>
      <c r="Q1408" s="3" t="b">
        <f>AND(P1408, K1408)</f>
        <v>0</v>
      </c>
      <c r="R1408" s="3" t="str">
        <f>IF(O1408, I1408, "")</f>
      </c>
      <c r="S1408" s="3" t="str">
        <f>IF(Q1408, I1408, "")</f>
      </c>
      <c r="T1408" s="2" t="s">
        <v>5935</v>
      </c>
    </row>
    <row r="1409">
      <c r="A1409" s="2" t="s">
        <v>7728</v>
      </c>
      <c r="B1409" s="3" t="str">
        <f>C1409 &amp; ": " &amp; D1409</f>
        <v>witness-discriminates: ProcedureExecutions.ApprovalChainIsComplete</v>
      </c>
      <c r="C1409" s="2" t="s">
        <v>7483</v>
      </c>
      <c r="D1409" s="2" t="s">
        <v>3436</v>
      </c>
      <c r="E1409" s="2" t="s">
        <v>1804</v>
      </c>
      <c r="F1409" s="2" t="s">
        <v>1284</v>
      </c>
      <c r="G1409" s="2" t="s">
        <v>7484</v>
      </c>
      <c r="H1409" s="2" t="s">
        <v>2172</v>
      </c>
      <c r="I1409" s="2" t="s">
        <v>5924</v>
      </c>
      <c r="J1409" s="2" t="s">
        <v>7485</v>
      </c>
      <c r="K1409" s="3" t="b">
        <f>J1409 = "blocking"</f>
        <v>0</v>
      </c>
      <c r="L1409" s="2" t="s">
        <v>1431</v>
      </c>
      <c r="M1409" s="2" t="s">
        <v>7714</v>
      </c>
      <c r="N1409" s="4">
        <v>46223.1297337963</v>
      </c>
      <c r="O1409" s="3" t="b">
        <f>L1409 = "PASS"</f>
        <v>0</v>
      </c>
      <c r="P1409" s="3" t="b">
        <f>L1409 = "FAIL"</f>
        <v>0</v>
      </c>
      <c r="Q1409" s="3" t="b">
        <f>AND(P1409, K1409)</f>
        <v>0</v>
      </c>
      <c r="R1409" s="3" t="str">
        <f>IF(O1409, I1409, "")</f>
      </c>
      <c r="S1409" s="3" t="str">
        <f>IF(Q1409, I1409, "")</f>
      </c>
      <c r="T1409" s="2" t="s">
        <v>5935</v>
      </c>
    </row>
    <row r="1410">
      <c r="A1410" s="2" t="s">
        <v>7729</v>
      </c>
      <c r="B1410" s="3" t="str">
        <f>C1410 &amp; ": " &amp; D1410</f>
        <v>witness-discriminates: ProcedureExecutions.SeparationWasTestable</v>
      </c>
      <c r="C1410" s="2" t="s">
        <v>7483</v>
      </c>
      <c r="D1410" s="2" t="s">
        <v>3444</v>
      </c>
      <c r="E1410" s="2" t="s">
        <v>1804</v>
      </c>
      <c r="F1410" s="2" t="s">
        <v>1288</v>
      </c>
      <c r="G1410" s="2" t="s">
        <v>7484</v>
      </c>
      <c r="H1410" s="2" t="s">
        <v>2264</v>
      </c>
      <c r="I1410" s="2" t="s">
        <v>5924</v>
      </c>
      <c r="J1410" s="2" t="s">
        <v>7485</v>
      </c>
      <c r="K1410" s="3" t="b">
        <f>J1410 = "blocking"</f>
        <v>0</v>
      </c>
      <c r="L1410" s="2" t="s">
        <v>1428</v>
      </c>
      <c r="M1410" s="2" t="s">
        <v>7712</v>
      </c>
      <c r="N1410" s="4">
        <v>46223.1297337963</v>
      </c>
      <c r="O1410" s="3" t="b">
        <f>L1410 = "PASS"</f>
        <v>1</v>
      </c>
      <c r="P1410" s="3" t="b">
        <f>L1410 = "FAIL"</f>
        <v>0</v>
      </c>
      <c r="Q1410" s="3" t="b">
        <f>AND(P1410, K1410)</f>
        <v>0</v>
      </c>
      <c r="R1410" s="3" t="str">
        <f>IF(O1410, I1410, "")</f>
        <v>suite-witness</v>
      </c>
      <c r="S1410" s="3" t="str">
        <f>IF(Q1410, I1410, "")</f>
      </c>
      <c r="T1410" s="2" t="s">
        <v>5935</v>
      </c>
    </row>
    <row r="1411">
      <c r="A1411" s="2" t="s">
        <v>7730</v>
      </c>
      <c r="B1411" s="3" t="str">
        <f>C1411 &amp; ": " &amp; D1411</f>
        <v>witness-discriminates: ProcedureExecutions.SeparationHeldUnderTest</v>
      </c>
      <c r="C1411" s="2" t="s">
        <v>7483</v>
      </c>
      <c r="D1411" s="2" t="s">
        <v>3446</v>
      </c>
      <c r="E1411" s="2" t="s">
        <v>1804</v>
      </c>
      <c r="F1411" s="2" t="s">
        <v>1289</v>
      </c>
      <c r="G1411" s="2" t="s">
        <v>7484</v>
      </c>
      <c r="H1411" s="2" t="s">
        <v>2264</v>
      </c>
      <c r="I1411" s="2" t="s">
        <v>5924</v>
      </c>
      <c r="J1411" s="2" t="s">
        <v>7485</v>
      </c>
      <c r="K1411" s="3" t="b">
        <f>J1411 = "blocking"</f>
        <v>0</v>
      </c>
      <c r="L1411" s="2" t="s">
        <v>1428</v>
      </c>
      <c r="M1411" s="2" t="s">
        <v>7712</v>
      </c>
      <c r="N1411" s="4">
        <v>46223.1297337963</v>
      </c>
      <c r="O1411" s="3" t="b">
        <f>L1411 = "PASS"</f>
        <v>1</v>
      </c>
      <c r="P1411" s="3" t="b">
        <f>L1411 = "FAIL"</f>
        <v>0</v>
      </c>
      <c r="Q1411" s="3" t="b">
        <f>AND(P1411, K1411)</f>
        <v>0</v>
      </c>
      <c r="R1411" s="3" t="str">
        <f>IF(O1411, I1411, "")</f>
        <v>suite-witness</v>
      </c>
      <c r="S1411" s="3" t="str">
        <f>IF(Q1411, I1411, "")</f>
      </c>
      <c r="T1411" s="2" t="s">
        <v>5935</v>
      </c>
    </row>
    <row r="1412">
      <c r="A1412" s="2" t="s">
        <v>7731</v>
      </c>
      <c r="B1412" s="3" t="str">
        <f>C1412 &amp; ": " &amp; D1412</f>
        <v>witness-discriminates: ProcedureExecutions.SeparationIsVacuouslyGreen</v>
      </c>
      <c r="C1412" s="2" t="s">
        <v>7483</v>
      </c>
      <c r="D1412" s="2" t="s">
        <v>3448</v>
      </c>
      <c r="E1412" s="2" t="s">
        <v>1804</v>
      </c>
      <c r="F1412" s="2" t="s">
        <v>1290</v>
      </c>
      <c r="G1412" s="2" t="s">
        <v>7484</v>
      </c>
      <c r="H1412" s="2" t="s">
        <v>2264</v>
      </c>
      <c r="I1412" s="2" t="s">
        <v>5924</v>
      </c>
      <c r="J1412" s="2" t="s">
        <v>7485</v>
      </c>
      <c r="K1412" s="3" t="b">
        <f>J1412 = "blocking"</f>
        <v>0</v>
      </c>
      <c r="L1412" s="2" t="s">
        <v>1428</v>
      </c>
      <c r="M1412" s="2" t="s">
        <v>7712</v>
      </c>
      <c r="N1412" s="4">
        <v>46223.1297337963</v>
      </c>
      <c r="O1412" s="3" t="b">
        <f>L1412 = "PASS"</f>
        <v>1</v>
      </c>
      <c r="P1412" s="3" t="b">
        <f>L1412 = "FAIL"</f>
        <v>0</v>
      </c>
      <c r="Q1412" s="3" t="b">
        <f>AND(P1412, K1412)</f>
        <v>0</v>
      </c>
      <c r="R1412" s="3" t="str">
        <f>IF(O1412, I1412, "")</f>
        <v>suite-witness</v>
      </c>
      <c r="S1412" s="3" t="str">
        <f>IF(Q1412, I1412, "")</f>
      </c>
      <c r="T1412" s="2" t="s">
        <v>5935</v>
      </c>
    </row>
    <row r="1413">
      <c r="A1413" s="2" t="s">
        <v>7732</v>
      </c>
      <c r="B1413" s="3" t="str">
        <f>C1413 &amp; ": " &amp; D1413</f>
        <v>witness-discriminates: ProcedureExecutions.DivergenceWasFullyGoverned</v>
      </c>
      <c r="C1413" s="2" t="s">
        <v>7483</v>
      </c>
      <c r="D1413" s="2" t="s">
        <v>3454</v>
      </c>
      <c r="E1413" s="2" t="s">
        <v>1804</v>
      </c>
      <c r="F1413" s="2" t="s">
        <v>1293</v>
      </c>
      <c r="G1413" s="2" t="s">
        <v>7484</v>
      </c>
      <c r="H1413" s="2" t="s">
        <v>2272</v>
      </c>
      <c r="I1413" s="2" t="s">
        <v>5924</v>
      </c>
      <c r="J1413" s="2" t="s">
        <v>7485</v>
      </c>
      <c r="K1413" s="3" t="b">
        <f>J1413 = "blocking"</f>
        <v>0</v>
      </c>
      <c r="L1413" s="2" t="s">
        <v>1428</v>
      </c>
      <c r="M1413" s="2" t="s">
        <v>7712</v>
      </c>
      <c r="N1413" s="4">
        <v>46223.1297337963</v>
      </c>
      <c r="O1413" s="3" t="b">
        <f>L1413 = "PASS"</f>
        <v>1</v>
      </c>
      <c r="P1413" s="3" t="b">
        <f>L1413 = "FAIL"</f>
        <v>0</v>
      </c>
      <c r="Q1413" s="3" t="b">
        <f>AND(P1413, K1413)</f>
        <v>0</v>
      </c>
      <c r="R1413" s="3" t="str">
        <f>IF(O1413, I1413, "")</f>
        <v>suite-witness</v>
      </c>
      <c r="S1413" s="3" t="str">
        <f>IF(Q1413, I1413, "")</f>
      </c>
      <c r="T1413" s="2" t="s">
        <v>5935</v>
      </c>
    </row>
    <row r="1414">
      <c r="A1414" s="2" t="s">
        <v>7733</v>
      </c>
      <c r="B1414" s="3" t="str">
        <f>C1414 &amp; ": " &amp; D1414</f>
        <v>witness-discriminates: ProcedureExecutions.AttestationWouldBeWeaklyBased</v>
      </c>
      <c r="C1414" s="2" t="s">
        <v>7483</v>
      </c>
      <c r="D1414" s="2" t="s">
        <v>3466</v>
      </c>
      <c r="E1414" s="2" t="s">
        <v>1804</v>
      </c>
      <c r="F1414" s="2" t="s">
        <v>1299</v>
      </c>
      <c r="G1414" s="2" t="s">
        <v>7484</v>
      </c>
      <c r="H1414" s="2" t="s">
        <v>2276</v>
      </c>
      <c r="I1414" s="2" t="s">
        <v>5924</v>
      </c>
      <c r="J1414" s="2" t="s">
        <v>7485</v>
      </c>
      <c r="K1414" s="3" t="b">
        <f>J1414 = "blocking"</f>
        <v>0</v>
      </c>
      <c r="L1414" s="2" t="s">
        <v>1431</v>
      </c>
      <c r="M1414" s="2" t="s">
        <v>7718</v>
      </c>
      <c r="N1414" s="4">
        <v>46223.1297337963</v>
      </c>
      <c r="O1414" s="3" t="b">
        <f>L1414 = "PASS"</f>
        <v>0</v>
      </c>
      <c r="P1414" s="3" t="b">
        <f>L1414 = "FAIL"</f>
        <v>0</v>
      </c>
      <c r="Q1414" s="3" t="b">
        <f>AND(P1414, K1414)</f>
        <v>0</v>
      </c>
      <c r="R1414" s="3" t="str">
        <f>IF(O1414, I1414, "")</f>
      </c>
      <c r="S1414" s="3" t="str">
        <f>IF(Q1414, I1414, "")</f>
      </c>
      <c r="T1414" s="2" t="s">
        <v>5935</v>
      </c>
    </row>
    <row r="1415">
      <c r="A1415" s="2" t="s">
        <v>7734</v>
      </c>
      <c r="B1415" s="3" t="str">
        <f>C1415 &amp; ": " &amp; D1415</f>
        <v>witness-discriminates: ProcedureExecutions.HasAnyIndependentObservation</v>
      </c>
      <c r="C1415" s="2" t="s">
        <v>7483</v>
      </c>
      <c r="D1415" s="2" t="s">
        <v>3470</v>
      </c>
      <c r="E1415" s="2" t="s">
        <v>1804</v>
      </c>
      <c r="F1415" s="2" t="s">
        <v>1301</v>
      </c>
      <c r="G1415" s="2" t="s">
        <v>7484</v>
      </c>
      <c r="H1415" s="2" t="s">
        <v>2284</v>
      </c>
      <c r="I1415" s="2" t="s">
        <v>5924</v>
      </c>
      <c r="J1415" s="2" t="s">
        <v>7485</v>
      </c>
      <c r="K1415" s="3" t="b">
        <f>J1415 = "blocking"</f>
        <v>0</v>
      </c>
      <c r="L1415" s="2" t="s">
        <v>1428</v>
      </c>
      <c r="M1415" s="2" t="s">
        <v>7712</v>
      </c>
      <c r="N1415" s="4">
        <v>46223.1297337963</v>
      </c>
      <c r="O1415" s="3" t="b">
        <f>L1415 = "PASS"</f>
        <v>1</v>
      </c>
      <c r="P1415" s="3" t="b">
        <f>L1415 = "FAIL"</f>
        <v>0</v>
      </c>
      <c r="Q1415" s="3" t="b">
        <f>AND(P1415, K1415)</f>
        <v>0</v>
      </c>
      <c r="R1415" s="3" t="str">
        <f>IF(O1415, I1415, "")</f>
        <v>suite-witness</v>
      </c>
      <c r="S1415" s="3" t="str">
        <f>IF(Q1415, I1415, "")</f>
      </c>
      <c r="T1415" s="2" t="s">
        <v>5935</v>
      </c>
    </row>
    <row r="1416">
      <c r="A1416" s="2" t="s">
        <v>7735</v>
      </c>
      <c r="B1416" s="3" t="str">
        <f>C1416 &amp; ": " &amp; D1416</f>
        <v>witness-discriminates: ProcedureExecutions.AssuranceChainIsCircular</v>
      </c>
      <c r="C1416" s="2" t="s">
        <v>7483</v>
      </c>
      <c r="D1416" s="2" t="s">
        <v>3474</v>
      </c>
      <c r="E1416" s="2" t="s">
        <v>1804</v>
      </c>
      <c r="F1416" s="2" t="s">
        <v>1303</v>
      </c>
      <c r="G1416" s="2" t="s">
        <v>7484</v>
      </c>
      <c r="H1416" s="2" t="s">
        <v>2284</v>
      </c>
      <c r="I1416" s="2" t="s">
        <v>5924</v>
      </c>
      <c r="J1416" s="2" t="s">
        <v>7485</v>
      </c>
      <c r="K1416" s="3" t="b">
        <f>J1416 = "blocking"</f>
        <v>0</v>
      </c>
      <c r="L1416" s="2" t="s">
        <v>1431</v>
      </c>
      <c r="M1416" s="2" t="s">
        <v>7718</v>
      </c>
      <c r="N1416" s="4">
        <v>46223.1297337963</v>
      </c>
      <c r="O1416" s="3" t="b">
        <f>L1416 = "PASS"</f>
        <v>0</v>
      </c>
      <c r="P1416" s="3" t="b">
        <f>L1416 = "FAIL"</f>
        <v>0</v>
      </c>
      <c r="Q1416" s="3" t="b">
        <f>AND(P1416, K1416)</f>
        <v>0</v>
      </c>
      <c r="R1416" s="3" t="str">
        <f>IF(O1416, I1416, "")</f>
      </c>
      <c r="S1416" s="3" t="str">
        <f>IF(Q1416, I1416, "")</f>
      </c>
      <c r="T1416" s="2" t="s">
        <v>5935</v>
      </c>
    </row>
    <row r="1417">
      <c r="A1417" s="2" t="s">
        <v>7736</v>
      </c>
      <c r="B1417" s="3" t="str">
        <f>C1417 &amp; ": " &amp; D1417</f>
        <v>witness-discriminates: ProcedureExecutions.HasBeenAttested</v>
      </c>
      <c r="C1417" s="2" t="s">
        <v>7483</v>
      </c>
      <c r="D1417" s="2" t="s">
        <v>3478</v>
      </c>
      <c r="E1417" s="2" t="s">
        <v>1804</v>
      </c>
      <c r="F1417" s="2" t="s">
        <v>1305</v>
      </c>
      <c r="G1417" s="2" t="s">
        <v>7484</v>
      </c>
      <c r="H1417" s="2" t="s">
        <v>2292</v>
      </c>
      <c r="I1417" s="2" t="s">
        <v>5924</v>
      </c>
      <c r="J1417" s="2" t="s">
        <v>7485</v>
      </c>
      <c r="K1417" s="3" t="b">
        <f>J1417 = "blocking"</f>
        <v>0</v>
      </c>
      <c r="L1417" s="2" t="s">
        <v>1431</v>
      </c>
      <c r="M1417" s="2" t="s">
        <v>7718</v>
      </c>
      <c r="N1417" s="4">
        <v>46223.1297337963</v>
      </c>
      <c r="O1417" s="3" t="b">
        <f>L1417 = "PASS"</f>
        <v>0</v>
      </c>
      <c r="P1417" s="3" t="b">
        <f>L1417 = "FAIL"</f>
        <v>0</v>
      </c>
      <c r="Q1417" s="3" t="b">
        <f>AND(P1417, K1417)</f>
        <v>0</v>
      </c>
      <c r="R1417" s="3" t="str">
        <f>IF(O1417, I1417, "")</f>
      </c>
      <c r="S1417" s="3" t="str">
        <f>IF(Q1417, I1417, "")</f>
      </c>
      <c r="T1417" s="2" t="s">
        <v>5935</v>
      </c>
    </row>
    <row r="1418">
      <c r="A1418" s="2" t="s">
        <v>7737</v>
      </c>
      <c r="B1418" s="3" t="str">
        <f>C1418 &amp; ": " &amp; D1418</f>
        <v>witness-discriminates: ProcedureExecutions.BasisChangedAfterSignature</v>
      </c>
      <c r="C1418" s="2" t="s">
        <v>7483</v>
      </c>
      <c r="D1418" s="2" t="s">
        <v>3484</v>
      </c>
      <c r="E1418" s="2" t="s">
        <v>1804</v>
      </c>
      <c r="F1418" s="2" t="s">
        <v>1308</v>
      </c>
      <c r="G1418" s="2" t="s">
        <v>7484</v>
      </c>
      <c r="H1418" s="2" t="s">
        <v>2292</v>
      </c>
      <c r="I1418" s="2" t="s">
        <v>5924</v>
      </c>
      <c r="J1418" s="2" t="s">
        <v>7485</v>
      </c>
      <c r="K1418" s="3" t="b">
        <f>J1418 = "blocking"</f>
        <v>0</v>
      </c>
      <c r="L1418" s="2" t="s">
        <v>1431</v>
      </c>
      <c r="M1418" s="2" t="s">
        <v>7718</v>
      </c>
      <c r="N1418" s="4">
        <v>46223.1297337963</v>
      </c>
      <c r="O1418" s="3" t="b">
        <f>L1418 = "PASS"</f>
        <v>0</v>
      </c>
      <c r="P1418" s="3" t="b">
        <f>L1418 = "FAIL"</f>
        <v>0</v>
      </c>
      <c r="Q1418" s="3" t="b">
        <f>AND(P1418, K1418)</f>
        <v>0</v>
      </c>
      <c r="R1418" s="3" t="str">
        <f>IF(O1418, I1418, "")</f>
      </c>
      <c r="S1418" s="3" t="str">
        <f>IF(Q1418, I1418, "")</f>
      </c>
      <c r="T1418" s="2" t="s">
        <v>5935</v>
      </c>
    </row>
    <row r="1419">
      <c r="A1419" s="2" t="s">
        <v>7738</v>
      </c>
      <c r="B1419" s="3" t="str">
        <f>C1419 &amp; ": " &amp; D1419</f>
        <v>witness-discriminates: ProcedureExecutions.RequiresReAttestation</v>
      </c>
      <c r="C1419" s="2" t="s">
        <v>7483</v>
      </c>
      <c r="D1419" s="2" t="s">
        <v>3486</v>
      </c>
      <c r="E1419" s="2" t="s">
        <v>1804</v>
      </c>
      <c r="F1419" s="2" t="s">
        <v>1309</v>
      </c>
      <c r="G1419" s="2" t="s">
        <v>7484</v>
      </c>
      <c r="H1419" s="2" t="s">
        <v>2292</v>
      </c>
      <c r="I1419" s="2" t="s">
        <v>5924</v>
      </c>
      <c r="J1419" s="2" t="s">
        <v>7485</v>
      </c>
      <c r="K1419" s="3" t="b">
        <f>J1419 = "blocking"</f>
        <v>0</v>
      </c>
      <c r="L1419" s="2" t="s">
        <v>1431</v>
      </c>
      <c r="M1419" s="2" t="s">
        <v>7718</v>
      </c>
      <c r="N1419" s="4">
        <v>46223.1297337963</v>
      </c>
      <c r="O1419" s="3" t="b">
        <f>L1419 = "PASS"</f>
        <v>0</v>
      </c>
      <c r="P1419" s="3" t="b">
        <f>L1419 = "FAIL"</f>
        <v>0</v>
      </c>
      <c r="Q1419" s="3" t="b">
        <f>AND(P1419, K1419)</f>
        <v>0</v>
      </c>
      <c r="R1419" s="3" t="str">
        <f>IF(O1419, I1419, "")</f>
      </c>
      <c r="S1419" s="3" t="str">
        <f>IF(Q1419, I1419, "")</f>
      </c>
      <c r="T1419" s="2" t="s">
        <v>5935</v>
      </c>
    </row>
    <row r="1420">
      <c r="A1420" s="2" t="s">
        <v>7739</v>
      </c>
      <c r="B1420" s="3" t="str">
        <f>C1420 &amp; ": " &amp; D1420</f>
        <v>witness-discriminates: ProcedureExecutions.CampaignSilentlyLostAudience</v>
      </c>
      <c r="C1420" s="2" t="s">
        <v>7483</v>
      </c>
      <c r="D1420" s="2" t="s">
        <v>3496</v>
      </c>
      <c r="E1420" s="2" t="s">
        <v>1804</v>
      </c>
      <c r="F1420" s="2" t="s">
        <v>1314</v>
      </c>
      <c r="G1420" s="2" t="s">
        <v>7484</v>
      </c>
      <c r="H1420" s="2" t="s">
        <v>2296</v>
      </c>
      <c r="I1420" s="2" t="s">
        <v>5924</v>
      </c>
      <c r="J1420" s="2" t="s">
        <v>7485</v>
      </c>
      <c r="K1420" s="3" t="b">
        <f>J1420 = "blocking"</f>
        <v>0</v>
      </c>
      <c r="L1420" s="2" t="s">
        <v>1428</v>
      </c>
      <c r="M1420" s="2" t="s">
        <v>7712</v>
      </c>
      <c r="N1420" s="4">
        <v>46223.1297337963</v>
      </c>
      <c r="O1420" s="3" t="b">
        <f>L1420 = "PASS"</f>
        <v>1</v>
      </c>
      <c r="P1420" s="3" t="b">
        <f>L1420 = "FAIL"</f>
        <v>0</v>
      </c>
      <c r="Q1420" s="3" t="b">
        <f>AND(P1420, K1420)</f>
        <v>0</v>
      </c>
      <c r="R1420" s="3" t="str">
        <f>IF(O1420, I1420, "")</f>
        <v>suite-witness</v>
      </c>
      <c r="S1420" s="3" t="str">
        <f>IF(Q1420, I1420, "")</f>
      </c>
      <c r="T1420" s="2" t="s">
        <v>5935</v>
      </c>
    </row>
    <row r="1421">
      <c r="A1421" s="2" t="s">
        <v>7740</v>
      </c>
      <c r="B1421" s="3" t="str">
        <f>C1421 &amp; ": " &amp; D1421</f>
        <v>witness-discriminates: ProcedureExecutions.HasUnrecordedRefusals</v>
      </c>
      <c r="C1421" s="2" t="s">
        <v>7483</v>
      </c>
      <c r="D1421" s="2" t="s">
        <v>3500</v>
      </c>
      <c r="E1421" s="2" t="s">
        <v>1804</v>
      </c>
      <c r="F1421" s="2" t="s">
        <v>1316</v>
      </c>
      <c r="G1421" s="2" t="s">
        <v>7484</v>
      </c>
      <c r="H1421" s="2" t="s">
        <v>2336</v>
      </c>
      <c r="I1421" s="2" t="s">
        <v>5924</v>
      </c>
      <c r="J1421" s="2" t="s">
        <v>7485</v>
      </c>
      <c r="K1421" s="3" t="b">
        <f>J1421 = "blocking"</f>
        <v>0</v>
      </c>
      <c r="L1421" s="2" t="s">
        <v>1428</v>
      </c>
      <c r="M1421" s="2" t="s">
        <v>7712</v>
      </c>
      <c r="N1421" s="4">
        <v>46223.1297337963</v>
      </c>
      <c r="O1421" s="3" t="b">
        <f>L1421 = "PASS"</f>
        <v>1</v>
      </c>
      <c r="P1421" s="3" t="b">
        <f>L1421 = "FAIL"</f>
        <v>0</v>
      </c>
      <c r="Q1421" s="3" t="b">
        <f>AND(P1421, K1421)</f>
        <v>0</v>
      </c>
      <c r="R1421" s="3" t="str">
        <f>IF(O1421, I1421, "")</f>
        <v>suite-witness</v>
      </c>
      <c r="S1421" s="3" t="str">
        <f>IF(Q1421, I1421, "")</f>
      </c>
      <c r="T1421" s="2" t="s">
        <v>5935</v>
      </c>
    </row>
    <row r="1422">
      <c r="A1422" s="2" t="s">
        <v>7741</v>
      </c>
      <c r="B1422" s="3" t="str">
        <f>C1422 &amp; ": " &amp; D1422</f>
        <v>witness-discriminates: ProcedureExecutions.SendDecisionsAreEntirelySelfWitnessed</v>
      </c>
      <c r="C1422" s="2" t="s">
        <v>7483</v>
      </c>
      <c r="D1422" s="2" t="s">
        <v>3504</v>
      </c>
      <c r="E1422" s="2" t="s">
        <v>1804</v>
      </c>
      <c r="F1422" s="2" t="s">
        <v>1318</v>
      </c>
      <c r="G1422" s="2" t="s">
        <v>7484</v>
      </c>
      <c r="H1422" s="2" t="s">
        <v>2348</v>
      </c>
      <c r="I1422" s="2" t="s">
        <v>5924</v>
      </c>
      <c r="J1422" s="2" t="s">
        <v>7485</v>
      </c>
      <c r="K1422" s="3" t="b">
        <f>J1422 = "blocking"</f>
        <v>0</v>
      </c>
      <c r="L1422" s="2" t="s">
        <v>1431</v>
      </c>
      <c r="M1422" s="2" t="s">
        <v>7718</v>
      </c>
      <c r="N1422" s="4">
        <v>46223.1297337963</v>
      </c>
      <c r="O1422" s="3" t="b">
        <f>L1422 = "PASS"</f>
        <v>0</v>
      </c>
      <c r="P1422" s="3" t="b">
        <f>L1422 = "FAIL"</f>
        <v>0</v>
      </c>
      <c r="Q1422" s="3" t="b">
        <f>AND(P1422, K1422)</f>
        <v>0</v>
      </c>
      <c r="R1422" s="3" t="str">
        <f>IF(O1422, I1422, "")</f>
      </c>
      <c r="S1422" s="3" t="str">
        <f>IF(Q1422, I1422, "")</f>
      </c>
      <c r="T1422" s="2" t="s">
        <v>5935</v>
      </c>
    </row>
    <row r="1423">
      <c r="A1423" s="2" t="s">
        <v>7742</v>
      </c>
      <c r="B1423" s="3" t="str">
        <f>C1423 &amp; ": " &amp; D1423</f>
        <v>witness-discriminates: StepExecutions.IsLate</v>
      </c>
      <c r="C1423" s="2" t="s">
        <v>7483</v>
      </c>
      <c r="D1423" s="2" t="s">
        <v>3522</v>
      </c>
      <c r="E1423" s="2" t="s">
        <v>1807</v>
      </c>
      <c r="F1423" s="2" t="s">
        <v>1333</v>
      </c>
      <c r="G1423" s="2" t="s">
        <v>7484</v>
      </c>
      <c r="H1423" s="2"/>
      <c r="I1423" s="2" t="s">
        <v>5924</v>
      </c>
      <c r="J1423" s="2" t="s">
        <v>7485</v>
      </c>
      <c r="K1423" s="3" t="b">
        <f>J1423 = "blocking"</f>
        <v>0</v>
      </c>
      <c r="L1423" s="2" t="s">
        <v>1428</v>
      </c>
      <c r="M1423" s="2" t="s">
        <v>7743</v>
      </c>
      <c r="N1423" s="4">
        <v>46223.1297337963</v>
      </c>
      <c r="O1423" s="3" t="b">
        <f>L1423 = "PASS"</f>
        <v>1</v>
      </c>
      <c r="P1423" s="3" t="b">
        <f>L1423 = "FAIL"</f>
        <v>0</v>
      </c>
      <c r="Q1423" s="3" t="b">
        <f>AND(P1423, K1423)</f>
        <v>0</v>
      </c>
      <c r="R1423" s="3" t="str">
        <f>IF(O1423, I1423, "")</f>
        <v>suite-witness</v>
      </c>
      <c r="S1423" s="3" t="str">
        <f>IF(Q1423, I1423, "")</f>
      </c>
      <c r="T1423" s="2" t="s">
        <v>5935</v>
      </c>
    </row>
    <row r="1424">
      <c r="A1424" s="2" t="s">
        <v>7744</v>
      </c>
      <c r="B1424" s="3" t="str">
        <f>C1424 &amp; ": " &amp; D1424</f>
        <v>witness-discriminates: StepExecutions.ProceededPastBlockingControl</v>
      </c>
      <c r="C1424" s="2" t="s">
        <v>7483</v>
      </c>
      <c r="D1424" s="2" t="s">
        <v>3528</v>
      </c>
      <c r="E1424" s="2" t="s">
        <v>1807</v>
      </c>
      <c r="F1424" s="2" t="s">
        <v>1336</v>
      </c>
      <c r="G1424" s="2" t="s">
        <v>7484</v>
      </c>
      <c r="H1424" s="2" t="s">
        <v>1935</v>
      </c>
      <c r="I1424" s="2" t="s">
        <v>5924</v>
      </c>
      <c r="J1424" s="2" t="s">
        <v>7485</v>
      </c>
      <c r="K1424" s="3" t="b">
        <f>J1424 = "blocking"</f>
        <v>0</v>
      </c>
      <c r="L1424" s="2" t="s">
        <v>1428</v>
      </c>
      <c r="M1424" s="2" t="s">
        <v>7497</v>
      </c>
      <c r="N1424" s="4">
        <v>46223.1297337963</v>
      </c>
      <c r="O1424" s="3" t="b">
        <f>L1424 = "PASS"</f>
        <v>1</v>
      </c>
      <c r="P1424" s="3" t="b">
        <f>L1424 = "FAIL"</f>
        <v>0</v>
      </c>
      <c r="Q1424" s="3" t="b">
        <f>AND(P1424, K1424)</f>
        <v>0</v>
      </c>
      <c r="R1424" s="3" t="str">
        <f>IF(O1424, I1424, "")</f>
        <v>suite-witness</v>
      </c>
      <c r="S1424" s="3" t="str">
        <f>IF(Q1424, I1424, "")</f>
      </c>
      <c r="T1424" s="2" t="s">
        <v>5935</v>
      </c>
    </row>
    <row r="1425">
      <c r="A1425" s="2" t="s">
        <v>7745</v>
      </c>
      <c r="B1425" s="3" t="str">
        <f>C1425 &amp; ": " &amp; D1425</f>
        <v>witness-discriminates: StepExecutions.HasUnevaluatedBlockingControl</v>
      </c>
      <c r="C1425" s="2" t="s">
        <v>7483</v>
      </c>
      <c r="D1425" s="2" t="s">
        <v>3536</v>
      </c>
      <c r="E1425" s="2" t="s">
        <v>1807</v>
      </c>
      <c r="F1425" s="2" t="s">
        <v>1340</v>
      </c>
      <c r="G1425" s="2" t="s">
        <v>7484</v>
      </c>
      <c r="H1425" s="2" t="s">
        <v>1940</v>
      </c>
      <c r="I1425" s="2" t="s">
        <v>5924</v>
      </c>
      <c r="J1425" s="2" t="s">
        <v>7485</v>
      </c>
      <c r="K1425" s="3" t="b">
        <f>J1425 = "blocking"</f>
        <v>0</v>
      </c>
      <c r="L1425" s="2" t="s">
        <v>1431</v>
      </c>
      <c r="M1425" s="2" t="s">
        <v>7492</v>
      </c>
      <c r="N1425" s="4">
        <v>46223.1297337963</v>
      </c>
      <c r="O1425" s="3" t="b">
        <f>L1425 = "PASS"</f>
        <v>0</v>
      </c>
      <c r="P1425" s="3" t="b">
        <f>L1425 = "FAIL"</f>
        <v>0</v>
      </c>
      <c r="Q1425" s="3" t="b">
        <f>AND(P1425, K1425)</f>
        <v>0</v>
      </c>
      <c r="R1425" s="3" t="str">
        <f>IF(O1425, I1425, "")</f>
      </c>
      <c r="S1425" s="3" t="str">
        <f>IF(Q1425, I1425, "")</f>
      </c>
      <c r="T1425" s="2" t="s">
        <v>5935</v>
      </c>
    </row>
    <row r="1426">
      <c r="A1426" s="2" t="s">
        <v>7746</v>
      </c>
      <c r="B1426" s="3" t="str">
        <f>C1426 &amp; ": " &amp; D1426</f>
        <v>witness-discriminates: StepExecutions.RanOnStaleAuthoritativeSource</v>
      </c>
      <c r="C1426" s="2" t="s">
        <v>7483</v>
      </c>
      <c r="D1426" s="2" t="s">
        <v>3540</v>
      </c>
      <c r="E1426" s="2" t="s">
        <v>1807</v>
      </c>
      <c r="F1426" s="2" t="s">
        <v>1342</v>
      </c>
      <c r="G1426" s="2" t="s">
        <v>7484</v>
      </c>
      <c r="H1426" s="2" t="s">
        <v>1944</v>
      </c>
      <c r="I1426" s="2" t="s">
        <v>5924</v>
      </c>
      <c r="J1426" s="2" t="s">
        <v>7485</v>
      </c>
      <c r="K1426" s="3" t="b">
        <f>J1426 = "blocking"</f>
        <v>0</v>
      </c>
      <c r="L1426" s="2" t="s">
        <v>1428</v>
      </c>
      <c r="M1426" s="2" t="s">
        <v>7747</v>
      </c>
      <c r="N1426" s="4">
        <v>46223.1297337963</v>
      </c>
      <c r="O1426" s="3" t="b">
        <f>L1426 = "PASS"</f>
        <v>1</v>
      </c>
      <c r="P1426" s="3" t="b">
        <f>L1426 = "FAIL"</f>
        <v>0</v>
      </c>
      <c r="Q1426" s="3" t="b">
        <f>AND(P1426, K1426)</f>
        <v>0</v>
      </c>
      <c r="R1426" s="3" t="str">
        <f>IF(O1426, I1426, "")</f>
        <v>suite-witness</v>
      </c>
      <c r="S1426" s="3" t="str">
        <f>IF(Q1426, I1426, "")</f>
      </c>
      <c r="T1426" s="2" t="s">
        <v>5935</v>
      </c>
    </row>
    <row r="1427">
      <c r="A1427" s="2" t="s">
        <v>7748</v>
      </c>
      <c r="B1427" s="3" t="str">
        <f>C1427 &amp; ": " &amp; D1427</f>
        <v>witness-discriminates: StepExecutions.HasDeviationNote</v>
      </c>
      <c r="C1427" s="2" t="s">
        <v>7483</v>
      </c>
      <c r="D1427" s="2" t="s">
        <v>3542</v>
      </c>
      <c r="E1427" s="2" t="s">
        <v>1807</v>
      </c>
      <c r="F1427" s="2" t="s">
        <v>1343</v>
      </c>
      <c r="G1427" s="2" t="s">
        <v>7484</v>
      </c>
      <c r="H1427" s="2" t="s">
        <v>1948</v>
      </c>
      <c r="I1427" s="2" t="s">
        <v>5924</v>
      </c>
      <c r="J1427" s="2" t="s">
        <v>7485</v>
      </c>
      <c r="K1427" s="3" t="b">
        <f>J1427 = "blocking"</f>
        <v>0</v>
      </c>
      <c r="L1427" s="2" t="s">
        <v>1428</v>
      </c>
      <c r="M1427" s="2" t="s">
        <v>7494</v>
      </c>
      <c r="N1427" s="4">
        <v>46223.1297337963</v>
      </c>
      <c r="O1427" s="3" t="b">
        <f>L1427 = "PASS"</f>
        <v>1</v>
      </c>
      <c r="P1427" s="3" t="b">
        <f>L1427 = "FAIL"</f>
        <v>0</v>
      </c>
      <c r="Q1427" s="3" t="b">
        <f>AND(P1427, K1427)</f>
        <v>0</v>
      </c>
      <c r="R1427" s="3" t="str">
        <f>IF(O1427, I1427, "")</f>
        <v>suite-witness</v>
      </c>
      <c r="S1427" s="3" t="str">
        <f>IF(Q1427, I1427, "")</f>
      </c>
      <c r="T1427" s="2" t="s">
        <v>5935</v>
      </c>
    </row>
    <row r="1428">
      <c r="A1428" s="2" t="s">
        <v>7749</v>
      </c>
      <c r="B1428" s="3" t="str">
        <f>C1428 &amp; ": " &amp; D1428</f>
        <v>witness-discriminates: StepExecutions.IsLateAndUnexplained</v>
      </c>
      <c r="C1428" s="2" t="s">
        <v>7483</v>
      </c>
      <c r="D1428" s="2" t="s">
        <v>3544</v>
      </c>
      <c r="E1428" s="2" t="s">
        <v>1807</v>
      </c>
      <c r="F1428" s="2" t="s">
        <v>1344</v>
      </c>
      <c r="G1428" s="2" t="s">
        <v>7484</v>
      </c>
      <c r="H1428" s="2" t="s">
        <v>1948</v>
      </c>
      <c r="I1428" s="2" t="s">
        <v>5924</v>
      </c>
      <c r="J1428" s="2" t="s">
        <v>7485</v>
      </c>
      <c r="K1428" s="3" t="b">
        <f>J1428 = "blocking"</f>
        <v>0</v>
      </c>
      <c r="L1428" s="2" t="s">
        <v>1428</v>
      </c>
      <c r="M1428" s="2" t="s">
        <v>7501</v>
      </c>
      <c r="N1428" s="4">
        <v>46223.1297337963</v>
      </c>
      <c r="O1428" s="3" t="b">
        <f>L1428 = "PASS"</f>
        <v>1</v>
      </c>
      <c r="P1428" s="3" t="b">
        <f>L1428 = "FAIL"</f>
        <v>0</v>
      </c>
      <c r="Q1428" s="3" t="b">
        <f>AND(P1428, K1428)</f>
        <v>0</v>
      </c>
      <c r="R1428" s="3" t="str">
        <f>IF(O1428, I1428, "")</f>
        <v>suite-witness</v>
      </c>
      <c r="S1428" s="3" t="str">
        <f>IF(Q1428, I1428, "")</f>
      </c>
      <c r="T1428" s="2" t="s">
        <v>5935</v>
      </c>
    </row>
    <row r="1429">
      <c r="A1429" s="2" t="s">
        <v>7750</v>
      </c>
      <c r="B1429" s="3" t="str">
        <f>C1429 &amp; ": " &amp; D1429</f>
        <v>witness-discriminates: StepExecutions.HadUninvokedExceptionAvailable</v>
      </c>
      <c r="C1429" s="2" t="s">
        <v>7483</v>
      </c>
      <c r="D1429" s="2" t="s">
        <v>3548</v>
      </c>
      <c r="E1429" s="2" t="s">
        <v>1807</v>
      </c>
      <c r="F1429" s="2" t="s">
        <v>1346</v>
      </c>
      <c r="G1429" s="2" t="s">
        <v>7484</v>
      </c>
      <c r="H1429" s="2" t="s">
        <v>1948</v>
      </c>
      <c r="I1429" s="2" t="s">
        <v>5924</v>
      </c>
      <c r="J1429" s="2" t="s">
        <v>7485</v>
      </c>
      <c r="K1429" s="3" t="b">
        <f>J1429 = "blocking"</f>
        <v>0</v>
      </c>
      <c r="L1429" s="2" t="s">
        <v>1431</v>
      </c>
      <c r="M1429" s="2" t="s">
        <v>7492</v>
      </c>
      <c r="N1429" s="4">
        <v>46223.1297337963</v>
      </c>
      <c r="O1429" s="3" t="b">
        <f>L1429 = "PASS"</f>
        <v>0</v>
      </c>
      <c r="P1429" s="3" t="b">
        <f>L1429 = "FAIL"</f>
        <v>0</v>
      </c>
      <c r="Q1429" s="3" t="b">
        <f>AND(P1429, K1429)</f>
        <v>0</v>
      </c>
      <c r="R1429" s="3" t="str">
        <f>IF(O1429, I1429, "")</f>
      </c>
      <c r="S1429" s="3" t="str">
        <f>IF(Q1429, I1429, "")</f>
      </c>
      <c r="T1429" s="2" t="s">
        <v>5935</v>
      </c>
    </row>
    <row r="1430">
      <c r="A1430" s="2" t="s">
        <v>7751</v>
      </c>
      <c r="B1430" s="3" t="str">
        <f>C1430 &amp; ": " &amp; D1430</f>
        <v>witness-discriminates: StepExecutions.HasSkippedVerification</v>
      </c>
      <c r="C1430" s="2" t="s">
        <v>7483</v>
      </c>
      <c r="D1430" s="2" t="s">
        <v>3556</v>
      </c>
      <c r="E1430" s="2" t="s">
        <v>1807</v>
      </c>
      <c r="F1430" s="2" t="s">
        <v>1350</v>
      </c>
      <c r="G1430" s="2" t="s">
        <v>7484</v>
      </c>
      <c r="H1430" s="2" t="s">
        <v>1952</v>
      </c>
      <c r="I1430" s="2" t="s">
        <v>5924</v>
      </c>
      <c r="J1430" s="2" t="s">
        <v>7485</v>
      </c>
      <c r="K1430" s="3" t="b">
        <f>J1430 = "blocking"</f>
        <v>0</v>
      </c>
      <c r="L1430" s="2" t="s">
        <v>1428</v>
      </c>
      <c r="M1430" s="2" t="s">
        <v>7501</v>
      </c>
      <c r="N1430" s="4">
        <v>46223.1297337963</v>
      </c>
      <c r="O1430" s="3" t="b">
        <f>L1430 = "PASS"</f>
        <v>1</v>
      </c>
      <c r="P1430" s="3" t="b">
        <f>L1430 = "FAIL"</f>
        <v>0</v>
      </c>
      <c r="Q1430" s="3" t="b">
        <f>AND(P1430, K1430)</f>
        <v>0</v>
      </c>
      <c r="R1430" s="3" t="str">
        <f>IF(O1430, I1430, "")</f>
        <v>suite-witness</v>
      </c>
      <c r="S1430" s="3" t="str">
        <f>IF(Q1430, I1430, "")</f>
      </c>
      <c r="T1430" s="2" t="s">
        <v>5935</v>
      </c>
    </row>
    <row r="1431">
      <c r="A1431" s="2" t="s">
        <v>7752</v>
      </c>
      <c r="B1431" s="3" t="str">
        <f>C1431 &amp; ": " &amp; D1431</f>
        <v>witness-discriminates: StepExecutions.ClaimsPassWithoutEvidence</v>
      </c>
      <c r="C1431" s="2" t="s">
        <v>7483</v>
      </c>
      <c r="D1431" s="2" t="s">
        <v>3558</v>
      </c>
      <c r="E1431" s="2" t="s">
        <v>1807</v>
      </c>
      <c r="F1431" s="2" t="s">
        <v>1351</v>
      </c>
      <c r="G1431" s="2" t="s">
        <v>7484</v>
      </c>
      <c r="H1431" s="2" t="s">
        <v>1952</v>
      </c>
      <c r="I1431" s="2" t="s">
        <v>5924</v>
      </c>
      <c r="J1431" s="2" t="s">
        <v>7485</v>
      </c>
      <c r="K1431" s="3" t="b">
        <f>J1431 = "blocking"</f>
        <v>0</v>
      </c>
      <c r="L1431" s="2" t="s">
        <v>1428</v>
      </c>
      <c r="M1431" s="2" t="s">
        <v>7501</v>
      </c>
      <c r="N1431" s="4">
        <v>46223.1297337963</v>
      </c>
      <c r="O1431" s="3" t="b">
        <f>L1431 = "PASS"</f>
        <v>1</v>
      </c>
      <c r="P1431" s="3" t="b">
        <f>L1431 = "FAIL"</f>
        <v>0</v>
      </c>
      <c r="Q1431" s="3" t="b">
        <f>AND(P1431, K1431)</f>
        <v>0</v>
      </c>
      <c r="R1431" s="3" t="str">
        <f>IF(O1431, I1431, "")</f>
        <v>suite-witness</v>
      </c>
      <c r="S1431" s="3" t="str">
        <f>IF(Q1431, I1431, "")</f>
      </c>
      <c r="T1431" s="2" t="s">
        <v>5935</v>
      </c>
    </row>
    <row r="1432">
      <c r="A1432" s="2" t="s">
        <v>7753</v>
      </c>
      <c r="B1432" s="3" t="str">
        <f>C1432 &amp; ": " &amp; D1432</f>
        <v>witness-discriminates: StepExecutions.StepIsPreparation</v>
      </c>
      <c r="C1432" s="2" t="s">
        <v>7483</v>
      </c>
      <c r="D1432" s="2" t="s">
        <v>3560</v>
      </c>
      <c r="E1432" s="2" t="s">
        <v>1807</v>
      </c>
      <c r="F1432" s="2" t="s">
        <v>1352</v>
      </c>
      <c r="G1432" s="2" t="s">
        <v>7484</v>
      </c>
      <c r="H1432" s="2" t="s">
        <v>1956</v>
      </c>
      <c r="I1432" s="2" t="s">
        <v>5924</v>
      </c>
      <c r="J1432" s="2" t="s">
        <v>7485</v>
      </c>
      <c r="K1432" s="3" t="b">
        <f>J1432 = "blocking"</f>
        <v>0</v>
      </c>
      <c r="L1432" s="2" t="s">
        <v>1428</v>
      </c>
      <c r="M1432" s="2" t="s">
        <v>7747</v>
      </c>
      <c r="N1432" s="4">
        <v>46223.1297337963</v>
      </c>
      <c r="O1432" s="3" t="b">
        <f>L1432 = "PASS"</f>
        <v>1</v>
      </c>
      <c r="P1432" s="3" t="b">
        <f>L1432 = "FAIL"</f>
        <v>0</v>
      </c>
      <c r="Q1432" s="3" t="b">
        <f>AND(P1432, K1432)</f>
        <v>0</v>
      </c>
      <c r="R1432" s="3" t="str">
        <f>IF(O1432, I1432, "")</f>
        <v>suite-witness</v>
      </c>
      <c r="S1432" s="3" t="str">
        <f>IF(Q1432, I1432, "")</f>
      </c>
      <c r="T1432" s="2" t="s">
        <v>5935</v>
      </c>
    </row>
    <row r="1433">
      <c r="A1433" s="2" t="s">
        <v>7754</v>
      </c>
      <c r="B1433" s="3" t="str">
        <f>C1433 &amp; ": " &amp; D1433</f>
        <v>witness-discriminates: StepExecutions.StepIsApproval</v>
      </c>
      <c r="C1433" s="2" t="s">
        <v>7483</v>
      </c>
      <c r="D1433" s="2" t="s">
        <v>3562</v>
      </c>
      <c r="E1433" s="2" t="s">
        <v>1807</v>
      </c>
      <c r="F1433" s="2" t="s">
        <v>1353</v>
      </c>
      <c r="G1433" s="2" t="s">
        <v>7484</v>
      </c>
      <c r="H1433" s="2" t="s">
        <v>1956</v>
      </c>
      <c r="I1433" s="2" t="s">
        <v>5924</v>
      </c>
      <c r="J1433" s="2" t="s">
        <v>7485</v>
      </c>
      <c r="K1433" s="3" t="b">
        <f>J1433 = "blocking"</f>
        <v>0</v>
      </c>
      <c r="L1433" s="2" t="s">
        <v>1428</v>
      </c>
      <c r="M1433" s="2" t="s">
        <v>7747</v>
      </c>
      <c r="N1433" s="4">
        <v>46223.1297337963</v>
      </c>
      <c r="O1433" s="3" t="b">
        <f>L1433 = "PASS"</f>
        <v>1</v>
      </c>
      <c r="P1433" s="3" t="b">
        <f>L1433 = "FAIL"</f>
        <v>0</v>
      </c>
      <c r="Q1433" s="3" t="b">
        <f>AND(P1433, K1433)</f>
        <v>0</v>
      </c>
      <c r="R1433" s="3" t="str">
        <f>IF(O1433, I1433, "")</f>
        <v>suite-witness</v>
      </c>
      <c r="S1433" s="3" t="str">
        <f>IF(Q1433, I1433, "")</f>
      </c>
      <c r="T1433" s="2" t="s">
        <v>5935</v>
      </c>
    </row>
    <row r="1434">
      <c r="A1434" s="2" t="s">
        <v>7755</v>
      </c>
      <c r="B1434" s="3" t="str">
        <f>C1434 &amp; ": " &amp; D1434</f>
        <v>witness-discriminates: StepExecutions.ViolatesSeparationOfDuties</v>
      </c>
      <c r="C1434" s="2" t="s">
        <v>7483</v>
      </c>
      <c r="D1434" s="2" t="s">
        <v>838</v>
      </c>
      <c r="E1434" s="2" t="s">
        <v>1807</v>
      </c>
      <c r="F1434" s="2" t="s">
        <v>1357</v>
      </c>
      <c r="G1434" s="2" t="s">
        <v>7484</v>
      </c>
      <c r="H1434" s="2" t="s">
        <v>1956</v>
      </c>
      <c r="I1434" s="2" t="s">
        <v>5924</v>
      </c>
      <c r="J1434" s="2" t="s">
        <v>7485</v>
      </c>
      <c r="K1434" s="3" t="b">
        <f>J1434 = "blocking"</f>
        <v>0</v>
      </c>
      <c r="L1434" s="2" t="s">
        <v>1431</v>
      </c>
      <c r="M1434" s="2" t="s">
        <v>7492</v>
      </c>
      <c r="N1434" s="4">
        <v>46223.1297337963</v>
      </c>
      <c r="O1434" s="3" t="b">
        <f>L1434 = "PASS"</f>
        <v>0</v>
      </c>
      <c r="P1434" s="3" t="b">
        <f>L1434 = "FAIL"</f>
        <v>0</v>
      </c>
      <c r="Q1434" s="3" t="b">
        <f>AND(P1434, K1434)</f>
        <v>0</v>
      </c>
      <c r="R1434" s="3" t="str">
        <f>IF(O1434, I1434, "")</f>
      </c>
      <c r="S1434" s="3" t="str">
        <f>IF(Q1434, I1434, "")</f>
      </c>
      <c r="T1434" s="2" t="s">
        <v>5935</v>
      </c>
    </row>
    <row r="1435">
      <c r="A1435" s="2" t="s">
        <v>7756</v>
      </c>
      <c r="B1435" s="3" t="str">
        <f>C1435 &amp; ": " &amp; D1435</f>
        <v>witness-discriminates: StepExecutions.ExecutorHeldRequiredRole</v>
      </c>
      <c r="C1435" s="2" t="s">
        <v>7483</v>
      </c>
      <c r="D1435" s="2" t="s">
        <v>3577</v>
      </c>
      <c r="E1435" s="2" t="s">
        <v>1807</v>
      </c>
      <c r="F1435" s="2" t="s">
        <v>1361</v>
      </c>
      <c r="G1435" s="2" t="s">
        <v>7484</v>
      </c>
      <c r="H1435" s="2" t="s">
        <v>1960</v>
      </c>
      <c r="I1435" s="2" t="s">
        <v>5924</v>
      </c>
      <c r="J1435" s="2" t="s">
        <v>7485</v>
      </c>
      <c r="K1435" s="3" t="b">
        <f>J1435 = "blocking"</f>
        <v>0</v>
      </c>
      <c r="L1435" s="2" t="s">
        <v>1431</v>
      </c>
      <c r="M1435" s="2" t="s">
        <v>7757</v>
      </c>
      <c r="N1435" s="4">
        <v>46223.1297337963</v>
      </c>
      <c r="O1435" s="3" t="b">
        <f>L1435 = "PASS"</f>
        <v>0</v>
      </c>
      <c r="P1435" s="3" t="b">
        <f>L1435 = "FAIL"</f>
        <v>0</v>
      </c>
      <c r="Q1435" s="3" t="b">
        <f>AND(P1435, K1435)</f>
        <v>0</v>
      </c>
      <c r="R1435" s="3" t="str">
        <f>IF(O1435, I1435, "")</f>
      </c>
      <c r="S1435" s="3" t="str">
        <f>IF(Q1435, I1435, "")</f>
      </c>
      <c r="T1435" s="2" t="s">
        <v>5935</v>
      </c>
    </row>
    <row r="1436">
      <c r="A1436" s="2" t="s">
        <v>7758</v>
      </c>
      <c r="B1436" s="3" t="str">
        <f>C1436 &amp; ": " &amp; D1436</f>
        <v>witness-discriminates: StepExecutions.IsUnauthorizedApproval</v>
      </c>
      <c r="C1436" s="2" t="s">
        <v>7483</v>
      </c>
      <c r="D1436" s="2" t="s">
        <v>3579</v>
      </c>
      <c r="E1436" s="2" t="s">
        <v>1807</v>
      </c>
      <c r="F1436" s="2" t="s">
        <v>1362</v>
      </c>
      <c r="G1436" s="2" t="s">
        <v>7484</v>
      </c>
      <c r="H1436" s="2" t="s">
        <v>1960</v>
      </c>
      <c r="I1436" s="2" t="s">
        <v>5924</v>
      </c>
      <c r="J1436" s="2" t="s">
        <v>7485</v>
      </c>
      <c r="K1436" s="3" t="b">
        <f>J1436 = "blocking"</f>
        <v>0</v>
      </c>
      <c r="L1436" s="2" t="s">
        <v>1431</v>
      </c>
      <c r="M1436" s="2" t="s">
        <v>7492</v>
      </c>
      <c r="N1436" s="4">
        <v>46223.1297337963</v>
      </c>
      <c r="O1436" s="3" t="b">
        <f>L1436 = "PASS"</f>
        <v>0</v>
      </c>
      <c r="P1436" s="3" t="b">
        <f>L1436 = "FAIL"</f>
        <v>0</v>
      </c>
      <c r="Q1436" s="3" t="b">
        <f>AND(P1436, K1436)</f>
        <v>0</v>
      </c>
      <c r="R1436" s="3" t="str">
        <f>IF(O1436, I1436, "")</f>
      </c>
      <c r="S1436" s="3" t="str">
        <f>IF(Q1436, I1436, "")</f>
      </c>
      <c r="T1436" s="2" t="s">
        <v>5935</v>
      </c>
    </row>
    <row r="1437">
      <c r="A1437" s="2" t="s">
        <v>7759</v>
      </c>
      <c r="B1437" s="3" t="str">
        <f>C1437 &amp; ": " &amp; D1437</f>
        <v>witness-discriminates: StepExecutions.ExecutorIsHuman</v>
      </c>
      <c r="C1437" s="2" t="s">
        <v>7483</v>
      </c>
      <c r="D1437" s="2" t="s">
        <v>3589</v>
      </c>
      <c r="E1437" s="2" t="s">
        <v>1807</v>
      </c>
      <c r="F1437" s="2" t="s">
        <v>1367</v>
      </c>
      <c r="G1437" s="2" t="s">
        <v>7484</v>
      </c>
      <c r="H1437" s="2" t="s">
        <v>1972</v>
      </c>
      <c r="I1437" s="2" t="s">
        <v>5924</v>
      </c>
      <c r="J1437" s="2" t="s">
        <v>7485</v>
      </c>
      <c r="K1437" s="3" t="b">
        <f>J1437 = "blocking"</f>
        <v>0</v>
      </c>
      <c r="L1437" s="2" t="s">
        <v>1428</v>
      </c>
      <c r="M1437" s="2" t="s">
        <v>7743</v>
      </c>
      <c r="N1437" s="4">
        <v>46223.1297337963</v>
      </c>
      <c r="O1437" s="3" t="b">
        <f>L1437 = "PASS"</f>
        <v>1</v>
      </c>
      <c r="P1437" s="3" t="b">
        <f>L1437 = "FAIL"</f>
        <v>0</v>
      </c>
      <c r="Q1437" s="3" t="b">
        <f>AND(P1437, K1437)</f>
        <v>0</v>
      </c>
      <c r="R1437" s="3" t="str">
        <f>IF(O1437, I1437, "")</f>
        <v>suite-witness</v>
      </c>
      <c r="S1437" s="3" t="str">
        <f>IF(Q1437, I1437, "")</f>
      </c>
      <c r="T1437" s="2" t="s">
        <v>5935</v>
      </c>
    </row>
    <row r="1438">
      <c r="A1438" s="2" t="s">
        <v>7760</v>
      </c>
      <c r="B1438" s="3" t="str">
        <f>C1438 &amp; ": " &amp; D1438</f>
        <v>witness-discriminates: StepExecutions.StepRequiresHumanConfirmation</v>
      </c>
      <c r="C1438" s="2" t="s">
        <v>7483</v>
      </c>
      <c r="D1438" s="2" t="s">
        <v>3591</v>
      </c>
      <c r="E1438" s="2" t="s">
        <v>1807</v>
      </c>
      <c r="F1438" s="2" t="s">
        <v>1368</v>
      </c>
      <c r="G1438" s="2" t="s">
        <v>7484</v>
      </c>
      <c r="H1438" s="2" t="s">
        <v>1972</v>
      </c>
      <c r="I1438" s="2" t="s">
        <v>5924</v>
      </c>
      <c r="J1438" s="2" t="s">
        <v>7485</v>
      </c>
      <c r="K1438" s="3" t="b">
        <f>J1438 = "blocking"</f>
        <v>0</v>
      </c>
      <c r="L1438" s="2" t="s">
        <v>1428</v>
      </c>
      <c r="M1438" s="2" t="s">
        <v>7501</v>
      </c>
      <c r="N1438" s="4">
        <v>46223.1297337963</v>
      </c>
      <c r="O1438" s="3" t="b">
        <f>L1438 = "PASS"</f>
        <v>1</v>
      </c>
      <c r="P1438" s="3" t="b">
        <f>L1438 = "FAIL"</f>
        <v>0</v>
      </c>
      <c r="Q1438" s="3" t="b">
        <f>AND(P1438, K1438)</f>
        <v>0</v>
      </c>
      <c r="R1438" s="3" t="str">
        <f>IF(O1438, I1438, "")</f>
        <v>suite-witness</v>
      </c>
      <c r="S1438" s="3" t="str">
        <f>IF(Q1438, I1438, "")</f>
      </c>
      <c r="T1438" s="2" t="s">
        <v>5935</v>
      </c>
    </row>
    <row r="1439">
      <c r="A1439" s="2" t="s">
        <v>7761</v>
      </c>
      <c r="B1439" s="3" t="str">
        <f>C1439 &amp; ": " &amp; D1439</f>
        <v>witness-discriminates: StepExecutions.NonHumanRanHumanStep</v>
      </c>
      <c r="C1439" s="2" t="s">
        <v>7483</v>
      </c>
      <c r="D1439" s="2" t="s">
        <v>3593</v>
      </c>
      <c r="E1439" s="2" t="s">
        <v>1807</v>
      </c>
      <c r="F1439" s="2" t="s">
        <v>1369</v>
      </c>
      <c r="G1439" s="2" t="s">
        <v>7484</v>
      </c>
      <c r="H1439" s="2" t="s">
        <v>1972</v>
      </c>
      <c r="I1439" s="2" t="s">
        <v>5924</v>
      </c>
      <c r="J1439" s="2" t="s">
        <v>7485</v>
      </c>
      <c r="K1439" s="3" t="b">
        <f>J1439 = "blocking"</f>
        <v>0</v>
      </c>
      <c r="L1439" s="2" t="s">
        <v>1431</v>
      </c>
      <c r="M1439" s="2" t="s">
        <v>7492</v>
      </c>
      <c r="N1439" s="4">
        <v>46223.1297337963</v>
      </c>
      <c r="O1439" s="3" t="b">
        <f>L1439 = "PASS"</f>
        <v>0</v>
      </c>
      <c r="P1439" s="3" t="b">
        <f>L1439 = "FAIL"</f>
        <v>0</v>
      </c>
      <c r="Q1439" s="3" t="b">
        <f>AND(P1439, K1439)</f>
        <v>0</v>
      </c>
      <c r="R1439" s="3" t="str">
        <f>IF(O1439, I1439, "")</f>
      </c>
      <c r="S1439" s="3" t="str">
        <f>IF(Q1439, I1439, "")</f>
      </c>
      <c r="T1439" s="2" t="s">
        <v>5935</v>
      </c>
    </row>
    <row r="1440">
      <c r="A1440" s="2" t="s">
        <v>7762</v>
      </c>
      <c r="B1440" s="3" t="str">
        <f>C1440 &amp; ": " &amp; D1440</f>
        <v>witness-discriminates: StepExecutions.NonHumanApproval</v>
      </c>
      <c r="C1440" s="2" t="s">
        <v>7483</v>
      </c>
      <c r="D1440" s="2" t="s">
        <v>3595</v>
      </c>
      <c r="E1440" s="2" t="s">
        <v>1807</v>
      </c>
      <c r="F1440" s="2" t="s">
        <v>1370</v>
      </c>
      <c r="G1440" s="2" t="s">
        <v>7484</v>
      </c>
      <c r="H1440" s="2" t="s">
        <v>1972</v>
      </c>
      <c r="I1440" s="2" t="s">
        <v>5924</v>
      </c>
      <c r="J1440" s="2" t="s">
        <v>7485</v>
      </c>
      <c r="K1440" s="3" t="b">
        <f>J1440 = "blocking"</f>
        <v>0</v>
      </c>
      <c r="L1440" s="2" t="s">
        <v>1431</v>
      </c>
      <c r="M1440" s="2" t="s">
        <v>7492</v>
      </c>
      <c r="N1440" s="4">
        <v>46223.1297337963</v>
      </c>
      <c r="O1440" s="3" t="b">
        <f>L1440 = "PASS"</f>
        <v>0</v>
      </c>
      <c r="P1440" s="3" t="b">
        <f>L1440 = "FAIL"</f>
        <v>0</v>
      </c>
      <c r="Q1440" s="3" t="b">
        <f>AND(P1440, K1440)</f>
        <v>0</v>
      </c>
      <c r="R1440" s="3" t="str">
        <f>IF(O1440, I1440, "")</f>
      </c>
      <c r="S1440" s="3" t="str">
        <f>IF(Q1440, I1440, "")</f>
      </c>
      <c r="T1440" s="2" t="s">
        <v>5935</v>
      </c>
    </row>
    <row r="1441">
      <c r="A1441" s="2" t="s">
        <v>7763</v>
      </c>
      <c r="B1441" s="3" t="str">
        <f>C1441 &amp; ": " &amp; D1441</f>
        <v>witness-discriminates: StepExecutions.ApprovalRestsOnSelfAttestation</v>
      </c>
      <c r="C1441" s="2" t="s">
        <v>7483</v>
      </c>
      <c r="D1441" s="2" t="s">
        <v>3605</v>
      </c>
      <c r="E1441" s="2" t="s">
        <v>1807</v>
      </c>
      <c r="F1441" s="2" t="s">
        <v>1375</v>
      </c>
      <c r="G1441" s="2" t="s">
        <v>7484</v>
      </c>
      <c r="H1441" s="2" t="s">
        <v>1984</v>
      </c>
      <c r="I1441" s="2" t="s">
        <v>5924</v>
      </c>
      <c r="J1441" s="2" t="s">
        <v>7485</v>
      </c>
      <c r="K1441" s="3" t="b">
        <f>J1441 = "blocking"</f>
        <v>0</v>
      </c>
      <c r="L1441" s="2" t="s">
        <v>1428</v>
      </c>
      <c r="M1441" s="2" t="s">
        <v>7747</v>
      </c>
      <c r="N1441" s="4">
        <v>46223.1297337963</v>
      </c>
      <c r="O1441" s="3" t="b">
        <f>L1441 = "PASS"</f>
        <v>1</v>
      </c>
      <c r="P1441" s="3" t="b">
        <f>L1441 = "FAIL"</f>
        <v>0</v>
      </c>
      <c r="Q1441" s="3" t="b">
        <f>AND(P1441, K1441)</f>
        <v>0</v>
      </c>
      <c r="R1441" s="3" t="str">
        <f>IF(O1441, I1441, "")</f>
        <v>suite-witness</v>
      </c>
      <c r="S1441" s="3" t="str">
        <f>IF(Q1441, I1441, "")</f>
      </c>
      <c r="T1441" s="2" t="s">
        <v>5935</v>
      </c>
    </row>
    <row r="1442">
      <c r="A1442" s="2" t="s">
        <v>7764</v>
      </c>
      <c r="B1442" s="3" t="str">
        <f>C1442 &amp; ": " &amp; D1442</f>
        <v>witness-discriminates: StepExecutions.RanUnderException</v>
      </c>
      <c r="C1442" s="2" t="s">
        <v>7483</v>
      </c>
      <c r="D1442" s="2" t="s">
        <v>3609</v>
      </c>
      <c r="E1442" s="2" t="s">
        <v>1807</v>
      </c>
      <c r="F1442" s="2" t="s">
        <v>1377</v>
      </c>
      <c r="G1442" s="2" t="s">
        <v>7484</v>
      </c>
      <c r="H1442" s="2" t="s">
        <v>1988</v>
      </c>
      <c r="I1442" s="2" t="s">
        <v>5924</v>
      </c>
      <c r="J1442" s="2" t="s">
        <v>7485</v>
      </c>
      <c r="K1442" s="3" t="b">
        <f>J1442 = "blocking"</f>
        <v>0</v>
      </c>
      <c r="L1442" s="2" t="s">
        <v>1428</v>
      </c>
      <c r="M1442" s="2" t="s">
        <v>7497</v>
      </c>
      <c r="N1442" s="4">
        <v>46223.1297337963</v>
      </c>
      <c r="O1442" s="3" t="b">
        <f>L1442 = "PASS"</f>
        <v>1</v>
      </c>
      <c r="P1442" s="3" t="b">
        <f>L1442 = "FAIL"</f>
        <v>0</v>
      </c>
      <c r="Q1442" s="3" t="b">
        <f>AND(P1442, K1442)</f>
        <v>0</v>
      </c>
      <c r="R1442" s="3" t="str">
        <f>IF(O1442, I1442, "")</f>
        <v>suite-witness</v>
      </c>
      <c r="S1442" s="3" t="str">
        <f>IF(Q1442, I1442, "")</f>
      </c>
      <c r="T1442" s="2" t="s">
        <v>5935</v>
      </c>
    </row>
    <row r="1443">
      <c r="A1443" s="2" t="s">
        <v>7765</v>
      </c>
      <c r="B1443" s="3" t="str">
        <f>C1443 &amp; ": " &amp; D1443</f>
        <v>witness-discriminates: StepExecutions.IsCompleted</v>
      </c>
      <c r="C1443" s="2" t="s">
        <v>7483</v>
      </c>
      <c r="D1443" s="2" t="s">
        <v>3611</v>
      </c>
      <c r="E1443" s="2" t="s">
        <v>1807</v>
      </c>
      <c r="F1443" s="2" t="s">
        <v>1378</v>
      </c>
      <c r="G1443" s="2" t="s">
        <v>7484</v>
      </c>
      <c r="H1443" s="2" t="s">
        <v>2004</v>
      </c>
      <c r="I1443" s="2" t="s">
        <v>5924</v>
      </c>
      <c r="J1443" s="2" t="s">
        <v>7485</v>
      </c>
      <c r="K1443" s="3" t="b">
        <f>J1443 = "blocking"</f>
        <v>0</v>
      </c>
      <c r="L1443" s="2" t="s">
        <v>1431</v>
      </c>
      <c r="M1443" s="2" t="s">
        <v>7757</v>
      </c>
      <c r="N1443" s="4">
        <v>46223.1297337963</v>
      </c>
      <c r="O1443" s="3" t="b">
        <f>L1443 = "PASS"</f>
        <v>0</v>
      </c>
      <c r="P1443" s="3" t="b">
        <f>L1443 = "FAIL"</f>
        <v>0</v>
      </c>
      <c r="Q1443" s="3" t="b">
        <f>AND(P1443, K1443)</f>
        <v>0</v>
      </c>
      <c r="R1443" s="3" t="str">
        <f>IF(O1443, I1443, "")</f>
      </c>
      <c r="S1443" s="3" t="str">
        <f>IF(Q1443, I1443, "")</f>
      </c>
      <c r="T1443" s="2" t="s">
        <v>5935</v>
      </c>
    </row>
    <row r="1444">
      <c r="A1444" s="2" t="s">
        <v>7766</v>
      </c>
      <c r="B1444" s="3" t="str">
        <f>C1444 &amp; ": " &amp; D1444</f>
        <v>witness-discriminates: StepExecutions.IsVerificationPassed</v>
      </c>
      <c r="C1444" s="2" t="s">
        <v>7483</v>
      </c>
      <c r="D1444" s="2" t="s">
        <v>3613</v>
      </c>
      <c r="E1444" s="2" t="s">
        <v>1807</v>
      </c>
      <c r="F1444" s="2" t="s">
        <v>1379</v>
      </c>
      <c r="G1444" s="2" t="s">
        <v>7484</v>
      </c>
      <c r="H1444" s="2" t="s">
        <v>2052</v>
      </c>
      <c r="I1444" s="2" t="s">
        <v>5924</v>
      </c>
      <c r="J1444" s="2" t="s">
        <v>7485</v>
      </c>
      <c r="K1444" s="3" t="b">
        <f>J1444 = "blocking"</f>
        <v>0</v>
      </c>
      <c r="L1444" s="2" t="s">
        <v>1428</v>
      </c>
      <c r="M1444" s="2" t="s">
        <v>7767</v>
      </c>
      <c r="N1444" s="4">
        <v>46223.1297337963</v>
      </c>
      <c r="O1444" s="3" t="b">
        <f>L1444 = "PASS"</f>
        <v>1</v>
      </c>
      <c r="P1444" s="3" t="b">
        <f>L1444 = "FAIL"</f>
        <v>0</v>
      </c>
      <c r="Q1444" s="3" t="b">
        <f>AND(P1444, K1444)</f>
        <v>0</v>
      </c>
      <c r="R1444" s="3" t="str">
        <f>IF(O1444, I1444, "")</f>
        <v>suite-witness</v>
      </c>
      <c r="S1444" s="3" t="str">
        <f>IF(Q1444, I1444, "")</f>
      </c>
      <c r="T1444" s="2" t="s">
        <v>5935</v>
      </c>
    </row>
    <row r="1445">
      <c r="A1445" s="2" t="s">
        <v>7768</v>
      </c>
      <c r="B1445" s="3" t="str">
        <f>C1445 &amp; ": " &amp; D1445</f>
        <v>witness-discriminates: StepExecutions.IsLegalReviewStep</v>
      </c>
      <c r="C1445" s="2" t="s">
        <v>7483</v>
      </c>
      <c r="D1445" s="2" t="s">
        <v>3615</v>
      </c>
      <c r="E1445" s="2" t="s">
        <v>1807</v>
      </c>
      <c r="F1445" s="2" t="s">
        <v>1380</v>
      </c>
      <c r="G1445" s="2" t="s">
        <v>7484</v>
      </c>
      <c r="H1445" s="2" t="s">
        <v>2052</v>
      </c>
      <c r="I1445" s="2" t="s">
        <v>5924</v>
      </c>
      <c r="J1445" s="2" t="s">
        <v>7485</v>
      </c>
      <c r="K1445" s="3" t="b">
        <f>J1445 = "blocking"</f>
        <v>0</v>
      </c>
      <c r="L1445" s="2" t="s">
        <v>1428</v>
      </c>
      <c r="M1445" s="2" t="s">
        <v>7497</v>
      </c>
      <c r="N1445" s="4">
        <v>46223.1297337963</v>
      </c>
      <c r="O1445" s="3" t="b">
        <f>L1445 = "PASS"</f>
        <v>1</v>
      </c>
      <c r="P1445" s="3" t="b">
        <f>L1445 = "FAIL"</f>
        <v>0</v>
      </c>
      <c r="Q1445" s="3" t="b">
        <f>AND(P1445, K1445)</f>
        <v>0</v>
      </c>
      <c r="R1445" s="3" t="str">
        <f>IF(O1445, I1445, "")</f>
        <v>suite-witness</v>
      </c>
      <c r="S1445" s="3" t="str">
        <f>IF(Q1445, I1445, "")</f>
      </c>
      <c r="T1445" s="2" t="s">
        <v>5935</v>
      </c>
    </row>
    <row r="1446">
      <c r="A1446" s="2" t="s">
        <v>7769</v>
      </c>
      <c r="B1446" s="3" t="str">
        <f>C1446 &amp; ": " &amp; D1446</f>
        <v>witness-discriminates: StepExecutions.ExecutorIsDesignatedAgent</v>
      </c>
      <c r="C1446" s="2" t="s">
        <v>7483</v>
      </c>
      <c r="D1446" s="2" t="s">
        <v>3622</v>
      </c>
      <c r="E1446" s="2" t="s">
        <v>1807</v>
      </c>
      <c r="F1446" s="2" t="s">
        <v>1383</v>
      </c>
      <c r="G1446" s="2" t="s">
        <v>7484</v>
      </c>
      <c r="H1446" s="2" t="s">
        <v>2096</v>
      </c>
      <c r="I1446" s="2" t="s">
        <v>5924</v>
      </c>
      <c r="J1446" s="2" t="s">
        <v>7485</v>
      </c>
      <c r="K1446" s="3" t="b">
        <f>J1446 = "blocking"</f>
        <v>0</v>
      </c>
      <c r="L1446" s="2" t="s">
        <v>1431</v>
      </c>
      <c r="M1446" s="2" t="s">
        <v>7757</v>
      </c>
      <c r="N1446" s="4">
        <v>46223.1297337963</v>
      </c>
      <c r="O1446" s="3" t="b">
        <f>L1446 = "PASS"</f>
        <v>0</v>
      </c>
      <c r="P1446" s="3" t="b">
        <f>L1446 = "FAIL"</f>
        <v>0</v>
      </c>
      <c r="Q1446" s="3" t="b">
        <f>AND(P1446, K1446)</f>
        <v>0</v>
      </c>
      <c r="R1446" s="3" t="str">
        <f>IF(O1446, I1446, "")</f>
      </c>
      <c r="S1446" s="3" t="str">
        <f>IF(Q1446, I1446, "")</f>
      </c>
      <c r="T1446" s="2" t="s">
        <v>5935</v>
      </c>
    </row>
    <row r="1447">
      <c r="A1447" s="2" t="s">
        <v>7770</v>
      </c>
      <c r="B1447" s="3" t="str">
        <f>C1447 &amp; ": " &amp; D1447</f>
        <v>witness-discriminates: StepExecutions.InputsWereFreshAtRun</v>
      </c>
      <c r="C1447" s="2" t="s">
        <v>7483</v>
      </c>
      <c r="D1447" s="2" t="s">
        <v>3624</v>
      </c>
      <c r="E1447" s="2" t="s">
        <v>1807</v>
      </c>
      <c r="F1447" s="2" t="s">
        <v>1384</v>
      </c>
      <c r="G1447" s="2" t="s">
        <v>7484</v>
      </c>
      <c r="H1447" s="2" t="s">
        <v>2100</v>
      </c>
      <c r="I1447" s="2" t="s">
        <v>5924</v>
      </c>
      <c r="J1447" s="2" t="s">
        <v>7485</v>
      </c>
      <c r="K1447" s="3" t="b">
        <f>J1447 = "blocking"</f>
        <v>0</v>
      </c>
      <c r="L1447" s="2" t="s">
        <v>1428</v>
      </c>
      <c r="M1447" s="2" t="s">
        <v>7771</v>
      </c>
      <c r="N1447" s="4">
        <v>46223.1297337963</v>
      </c>
      <c r="O1447" s="3" t="b">
        <f>L1447 = "PASS"</f>
        <v>1</v>
      </c>
      <c r="P1447" s="3" t="b">
        <f>L1447 = "FAIL"</f>
        <v>0</v>
      </c>
      <c r="Q1447" s="3" t="b">
        <f>AND(P1447, K1447)</f>
        <v>0</v>
      </c>
      <c r="R1447" s="3" t="str">
        <f>IF(O1447, I1447, "")</f>
        <v>suite-witness</v>
      </c>
      <c r="S1447" s="3" t="str">
        <f>IF(Q1447, I1447, "")</f>
      </c>
      <c r="T1447" s="2" t="s">
        <v>5935</v>
      </c>
    </row>
    <row r="1448">
      <c r="A1448" s="2" t="s">
        <v>7772</v>
      </c>
      <c r="B1448" s="3" t="str">
        <f>C1448 &amp; ": " &amp; D1448</f>
        <v>witness-discriminates: StepExecutions.RanOnStaleInputs</v>
      </c>
      <c r="C1448" s="2" t="s">
        <v>7483</v>
      </c>
      <c r="D1448" s="2" t="s">
        <v>3626</v>
      </c>
      <c r="E1448" s="2" t="s">
        <v>1807</v>
      </c>
      <c r="F1448" s="2" t="s">
        <v>1385</v>
      </c>
      <c r="G1448" s="2" t="s">
        <v>7484</v>
      </c>
      <c r="H1448" s="2" t="s">
        <v>2100</v>
      </c>
      <c r="I1448" s="2" t="s">
        <v>5924</v>
      </c>
      <c r="J1448" s="2" t="s">
        <v>7485</v>
      </c>
      <c r="K1448" s="3" t="b">
        <f>J1448 = "blocking"</f>
        <v>0</v>
      </c>
      <c r="L1448" s="2" t="s">
        <v>1428</v>
      </c>
      <c r="M1448" s="2" t="s">
        <v>7747</v>
      </c>
      <c r="N1448" s="4">
        <v>46223.1297337963</v>
      </c>
      <c r="O1448" s="3" t="b">
        <f>L1448 = "PASS"</f>
        <v>1</v>
      </c>
      <c r="P1448" s="3" t="b">
        <f>L1448 = "FAIL"</f>
        <v>0</v>
      </c>
      <c r="Q1448" s="3" t="b">
        <f>AND(P1448, K1448)</f>
        <v>0</v>
      </c>
      <c r="R1448" s="3" t="str">
        <f>IF(O1448, I1448, "")</f>
        <v>suite-witness</v>
      </c>
      <c r="S1448" s="3" t="str">
        <f>IF(Q1448, I1448, "")</f>
      </c>
      <c r="T1448" s="2" t="s">
        <v>5935</v>
      </c>
    </row>
    <row r="1449">
      <c r="A1449" s="2" t="s">
        <v>7773</v>
      </c>
      <c r="B1449" s="3" t="str">
        <f>C1449 &amp; ": " &amp; D1449</f>
        <v>witness-discriminates: StepExecutions.HasDeviation</v>
      </c>
      <c r="C1449" s="2" t="s">
        <v>7483</v>
      </c>
      <c r="D1449" s="2" t="s">
        <v>3630</v>
      </c>
      <c r="E1449" s="2" t="s">
        <v>1807</v>
      </c>
      <c r="F1449" s="2" t="s">
        <v>1387</v>
      </c>
      <c r="G1449" s="2" t="s">
        <v>7484</v>
      </c>
      <c r="H1449" s="2" t="s">
        <v>2104</v>
      </c>
      <c r="I1449" s="2" t="s">
        <v>5924</v>
      </c>
      <c r="J1449" s="2" t="s">
        <v>7485</v>
      </c>
      <c r="K1449" s="3" t="b">
        <f>J1449 = "blocking"</f>
        <v>0</v>
      </c>
      <c r="L1449" s="2" t="s">
        <v>1428</v>
      </c>
      <c r="M1449" s="2" t="s">
        <v>7494</v>
      </c>
      <c r="N1449" s="4">
        <v>46223.1297337963</v>
      </c>
      <c r="O1449" s="3" t="b">
        <f>L1449 = "PASS"</f>
        <v>1</v>
      </c>
      <c r="P1449" s="3" t="b">
        <f>L1449 = "FAIL"</f>
        <v>0</v>
      </c>
      <c r="Q1449" s="3" t="b">
        <f>AND(P1449, K1449)</f>
        <v>0</v>
      </c>
      <c r="R1449" s="3" t="str">
        <f>IF(O1449, I1449, "")</f>
        <v>suite-witness</v>
      </c>
      <c r="S1449" s="3" t="str">
        <f>IF(Q1449, I1449, "")</f>
      </c>
      <c r="T1449" s="2" t="s">
        <v>5935</v>
      </c>
    </row>
    <row r="1450">
      <c r="A1450" s="2" t="s">
        <v>7774</v>
      </c>
      <c r="B1450" s="3" t="str">
        <f>C1450 &amp; ": " &amp; D1450</f>
        <v>witness-discriminates: StepExecutions.IsClean</v>
      </c>
      <c r="C1450" s="2" t="s">
        <v>7483</v>
      </c>
      <c r="D1450" s="2" t="s">
        <v>3631</v>
      </c>
      <c r="E1450" s="2" t="s">
        <v>1807</v>
      </c>
      <c r="F1450" s="2" t="s">
        <v>1388</v>
      </c>
      <c r="G1450" s="2" t="s">
        <v>7484</v>
      </c>
      <c r="H1450" s="2" t="s">
        <v>2104</v>
      </c>
      <c r="I1450" s="2" t="s">
        <v>5924</v>
      </c>
      <c r="J1450" s="2" t="s">
        <v>7485</v>
      </c>
      <c r="K1450" s="3" t="b">
        <f>J1450 = "blocking"</f>
        <v>0</v>
      </c>
      <c r="L1450" s="2" t="s">
        <v>1428</v>
      </c>
      <c r="M1450" s="2" t="s">
        <v>7775</v>
      </c>
      <c r="N1450" s="4">
        <v>46223.1297337963</v>
      </c>
      <c r="O1450" s="3" t="b">
        <f>L1450 = "PASS"</f>
        <v>1</v>
      </c>
      <c r="P1450" s="3" t="b">
        <f>L1450 = "FAIL"</f>
        <v>0</v>
      </c>
      <c r="Q1450" s="3" t="b">
        <f>AND(P1450, K1450)</f>
        <v>0</v>
      </c>
      <c r="R1450" s="3" t="str">
        <f>IF(O1450, I1450, "")</f>
        <v>suite-witness</v>
      </c>
      <c r="S1450" s="3" t="str">
        <f>IF(Q1450, I1450, "")</f>
      </c>
      <c r="T1450" s="2" t="s">
        <v>5935</v>
      </c>
    </row>
    <row r="1451">
      <c r="A1451" s="2" t="s">
        <v>7776</v>
      </c>
      <c r="B1451" s="3" t="str">
        <f>C1451 &amp; ": " &amp; D1451</f>
        <v>witness-discriminates: StepExecutions.HasUnevaluatedBlockingRequirement</v>
      </c>
      <c r="C1451" s="2" t="s">
        <v>7483</v>
      </c>
      <c r="D1451" s="2" t="s">
        <v>3638</v>
      </c>
      <c r="E1451" s="2" t="s">
        <v>1807</v>
      </c>
      <c r="F1451" s="2" t="s">
        <v>1392</v>
      </c>
      <c r="G1451" s="2" t="s">
        <v>7484</v>
      </c>
      <c r="H1451" s="2" t="s">
        <v>2108</v>
      </c>
      <c r="I1451" s="2" t="s">
        <v>5924</v>
      </c>
      <c r="J1451" s="2" t="s">
        <v>7485</v>
      </c>
      <c r="K1451" s="3" t="b">
        <f>J1451 = "blocking"</f>
        <v>0</v>
      </c>
      <c r="L1451" s="2" t="s">
        <v>1431</v>
      </c>
      <c r="M1451" s="2" t="s">
        <v>7492</v>
      </c>
      <c r="N1451" s="4">
        <v>46223.1297337963</v>
      </c>
      <c r="O1451" s="3" t="b">
        <f>L1451 = "PASS"</f>
        <v>0</v>
      </c>
      <c r="P1451" s="3" t="b">
        <f>L1451 = "FAIL"</f>
        <v>0</v>
      </c>
      <c r="Q1451" s="3" t="b">
        <f>AND(P1451, K1451)</f>
        <v>0</v>
      </c>
      <c r="R1451" s="3" t="str">
        <f>IF(O1451, I1451, "")</f>
      </c>
      <c r="S1451" s="3" t="str">
        <f>IF(Q1451, I1451, "")</f>
      </c>
      <c r="T1451" s="2" t="s">
        <v>5935</v>
      </c>
    </row>
    <row r="1452">
      <c r="A1452" s="2" t="s">
        <v>7777</v>
      </c>
      <c r="B1452" s="3" t="str">
        <f>C1452 &amp; ": " &amp; D1452</f>
        <v>witness-discriminates: StepExecutions.WasExecutedBySoftware</v>
      </c>
      <c r="C1452" s="2" t="s">
        <v>7483</v>
      </c>
      <c r="D1452" s="2" t="s">
        <v>3641</v>
      </c>
      <c r="E1452" s="2" t="s">
        <v>1807</v>
      </c>
      <c r="F1452" s="2" t="s">
        <v>1394</v>
      </c>
      <c r="G1452" s="2" t="s">
        <v>7484</v>
      </c>
      <c r="H1452" s="2" t="s">
        <v>2120</v>
      </c>
      <c r="I1452" s="2" t="s">
        <v>5924</v>
      </c>
      <c r="J1452" s="2" t="s">
        <v>7485</v>
      </c>
      <c r="K1452" s="3" t="b">
        <f>J1452 = "blocking"</f>
        <v>0</v>
      </c>
      <c r="L1452" s="2" t="s">
        <v>1428</v>
      </c>
      <c r="M1452" s="2" t="s">
        <v>7775</v>
      </c>
      <c r="N1452" s="4">
        <v>46223.1297337963</v>
      </c>
      <c r="O1452" s="3" t="b">
        <f>L1452 = "PASS"</f>
        <v>1</v>
      </c>
      <c r="P1452" s="3" t="b">
        <f>L1452 = "FAIL"</f>
        <v>0</v>
      </c>
      <c r="Q1452" s="3" t="b">
        <f>AND(P1452, K1452)</f>
        <v>0</v>
      </c>
      <c r="R1452" s="3" t="str">
        <f>IF(O1452, I1452, "")</f>
        <v>suite-witness</v>
      </c>
      <c r="S1452" s="3" t="str">
        <f>IF(Q1452, I1452, "")</f>
      </c>
      <c r="T1452" s="2" t="s">
        <v>5935</v>
      </c>
    </row>
    <row r="1453">
      <c r="A1453" s="2" t="s">
        <v>7778</v>
      </c>
      <c r="B1453" s="3" t="str">
        <f>C1453 &amp; ": " &amp; D1453</f>
        <v>witness-discriminates: StepExecutions.StepIsSoftwareAssigned</v>
      </c>
      <c r="C1453" s="2" t="s">
        <v>7483</v>
      </c>
      <c r="D1453" s="2" t="s">
        <v>3643</v>
      </c>
      <c r="E1453" s="2" t="s">
        <v>1807</v>
      </c>
      <c r="F1453" s="2" t="s">
        <v>1395</v>
      </c>
      <c r="G1453" s="2" t="s">
        <v>7484</v>
      </c>
      <c r="H1453" s="2" t="s">
        <v>2120</v>
      </c>
      <c r="I1453" s="2" t="s">
        <v>5924</v>
      </c>
      <c r="J1453" s="2" t="s">
        <v>7485</v>
      </c>
      <c r="K1453" s="3" t="b">
        <f>J1453 = "blocking"</f>
        <v>0</v>
      </c>
      <c r="L1453" s="2" t="s">
        <v>1428</v>
      </c>
      <c r="M1453" s="2" t="s">
        <v>7775</v>
      </c>
      <c r="N1453" s="4">
        <v>46223.1297337963</v>
      </c>
      <c r="O1453" s="3" t="b">
        <f>L1453 = "PASS"</f>
        <v>1</v>
      </c>
      <c r="P1453" s="3" t="b">
        <f>L1453 = "FAIL"</f>
        <v>0</v>
      </c>
      <c r="Q1453" s="3" t="b">
        <f>AND(P1453, K1453)</f>
        <v>0</v>
      </c>
      <c r="R1453" s="3" t="str">
        <f>IF(O1453, I1453, "")</f>
        <v>suite-witness</v>
      </c>
      <c r="S1453" s="3" t="str">
        <f>IF(Q1453, I1453, "")</f>
      </c>
      <c r="T1453" s="2" t="s">
        <v>5935</v>
      </c>
    </row>
    <row r="1454">
      <c r="A1454" s="2" t="s">
        <v>7779</v>
      </c>
      <c r="B1454" s="3" t="str">
        <f>C1454 &amp; ": " &amp; D1454</f>
        <v>witness-discriminates: StepExecutions.SoftwareDidHumanWork</v>
      </c>
      <c r="C1454" s="2" t="s">
        <v>7483</v>
      </c>
      <c r="D1454" s="2" t="s">
        <v>3644</v>
      </c>
      <c r="E1454" s="2" t="s">
        <v>1807</v>
      </c>
      <c r="F1454" s="2" t="s">
        <v>1396</v>
      </c>
      <c r="G1454" s="2" t="s">
        <v>7484</v>
      </c>
      <c r="H1454" s="2" t="s">
        <v>2120</v>
      </c>
      <c r="I1454" s="2" t="s">
        <v>5924</v>
      </c>
      <c r="J1454" s="2" t="s">
        <v>7485</v>
      </c>
      <c r="K1454" s="3" t="b">
        <f>J1454 = "blocking"</f>
        <v>0</v>
      </c>
      <c r="L1454" s="2" t="s">
        <v>1431</v>
      </c>
      <c r="M1454" s="2" t="s">
        <v>7492</v>
      </c>
      <c r="N1454" s="4">
        <v>46223.1297337963</v>
      </c>
      <c r="O1454" s="3" t="b">
        <f>L1454 = "PASS"</f>
        <v>0</v>
      </c>
      <c r="P1454" s="3" t="b">
        <f>L1454 = "FAIL"</f>
        <v>0</v>
      </c>
      <c r="Q1454" s="3" t="b">
        <f>AND(P1454, K1454)</f>
        <v>0</v>
      </c>
      <c r="R1454" s="3" t="str">
        <f>IF(O1454, I1454, "")</f>
      </c>
      <c r="S1454" s="3" t="str">
        <f>IF(Q1454, I1454, "")</f>
      </c>
      <c r="T1454" s="2" t="s">
        <v>5935</v>
      </c>
    </row>
    <row r="1455">
      <c r="A1455" s="2" t="s">
        <v>7780</v>
      </c>
      <c r="B1455" s="3" t="str">
        <f>C1455 &amp; ": " &amp; D1455</f>
        <v>witness-discriminates: StepExecutions.IsApprovalExecution</v>
      </c>
      <c r="C1455" s="2" t="s">
        <v>7483</v>
      </c>
      <c r="D1455" s="2" t="s">
        <v>3646</v>
      </c>
      <c r="E1455" s="2" t="s">
        <v>1807</v>
      </c>
      <c r="F1455" s="2" t="s">
        <v>1397</v>
      </c>
      <c r="G1455" s="2" t="s">
        <v>7484</v>
      </c>
      <c r="H1455" s="2" t="s">
        <v>2128</v>
      </c>
      <c r="I1455" s="2" t="s">
        <v>5924</v>
      </c>
      <c r="J1455" s="2" t="s">
        <v>7485</v>
      </c>
      <c r="K1455" s="3" t="b">
        <f>J1455 = "blocking"</f>
        <v>0</v>
      </c>
      <c r="L1455" s="2" t="s">
        <v>1428</v>
      </c>
      <c r="M1455" s="2" t="s">
        <v>7497</v>
      </c>
      <c r="N1455" s="4">
        <v>46223.1297337963</v>
      </c>
      <c r="O1455" s="3" t="b">
        <f>L1455 = "PASS"</f>
        <v>1</v>
      </c>
      <c r="P1455" s="3" t="b">
        <f>L1455 = "FAIL"</f>
        <v>0</v>
      </c>
      <c r="Q1455" s="3" t="b">
        <f>AND(P1455, K1455)</f>
        <v>0</v>
      </c>
      <c r="R1455" s="3" t="str">
        <f>IF(O1455, I1455, "")</f>
        <v>suite-witness</v>
      </c>
      <c r="S1455" s="3" t="str">
        <f>IF(Q1455, I1455, "")</f>
      </c>
      <c r="T1455" s="2" t="s">
        <v>5935</v>
      </c>
    </row>
    <row r="1456">
      <c r="A1456" s="2" t="s">
        <v>7781</v>
      </c>
      <c r="B1456" s="3" t="str">
        <f>C1456 &amp; ": " &amp; D1456</f>
        <v>witness-discriminates: StepExecutions.IsVerified</v>
      </c>
      <c r="C1456" s="2" t="s">
        <v>7483</v>
      </c>
      <c r="D1456" s="2" t="s">
        <v>3648</v>
      </c>
      <c r="E1456" s="2" t="s">
        <v>1807</v>
      </c>
      <c r="F1456" s="2" t="s">
        <v>1398</v>
      </c>
      <c r="G1456" s="2" t="s">
        <v>7484</v>
      </c>
      <c r="H1456" s="2" t="s">
        <v>2128</v>
      </c>
      <c r="I1456" s="2" t="s">
        <v>5924</v>
      </c>
      <c r="J1456" s="2" t="s">
        <v>7485</v>
      </c>
      <c r="K1456" s="3" t="b">
        <f>J1456 = "blocking"</f>
        <v>0</v>
      </c>
      <c r="L1456" s="2" t="s">
        <v>1431</v>
      </c>
      <c r="M1456" s="2" t="s">
        <v>7757</v>
      </c>
      <c r="N1456" s="4">
        <v>46223.1297337963</v>
      </c>
      <c r="O1456" s="3" t="b">
        <f>L1456 = "PASS"</f>
        <v>0</v>
      </c>
      <c r="P1456" s="3" t="b">
        <f>L1456 = "FAIL"</f>
        <v>0</v>
      </c>
      <c r="Q1456" s="3" t="b">
        <f>AND(P1456, K1456)</f>
        <v>0</v>
      </c>
      <c r="R1456" s="3" t="str">
        <f>IF(O1456, I1456, "")</f>
      </c>
      <c r="S1456" s="3" t="str">
        <f>IF(Q1456, I1456, "")</f>
      </c>
      <c r="T1456" s="2" t="s">
        <v>5935</v>
      </c>
    </row>
    <row r="1457">
      <c r="A1457" s="2" t="s">
        <v>7782</v>
      </c>
      <c r="B1457" s="3" t="str">
        <f>C1457 &amp; ": " &amp; D1457</f>
        <v>witness-discriminates: StepExecutions.RequiresHumanConfirmation</v>
      </c>
      <c r="C1457" s="2" t="s">
        <v>7483</v>
      </c>
      <c r="D1457" s="2" t="s">
        <v>3652</v>
      </c>
      <c r="E1457" s="2" t="s">
        <v>1807</v>
      </c>
      <c r="F1457" s="2" t="s">
        <v>506</v>
      </c>
      <c r="G1457" s="2" t="s">
        <v>7484</v>
      </c>
      <c r="H1457" s="2" t="s">
        <v>2148</v>
      </c>
      <c r="I1457" s="2" t="s">
        <v>5924</v>
      </c>
      <c r="J1457" s="2" t="s">
        <v>7485</v>
      </c>
      <c r="K1457" s="3" t="b">
        <f>J1457 = "blocking"</f>
        <v>0</v>
      </c>
      <c r="L1457" s="2" t="s">
        <v>1428</v>
      </c>
      <c r="M1457" s="2" t="s">
        <v>7501</v>
      </c>
      <c r="N1457" s="4">
        <v>46223.1297337963</v>
      </c>
      <c r="O1457" s="3" t="b">
        <f>L1457 = "PASS"</f>
        <v>1</v>
      </c>
      <c r="P1457" s="3" t="b">
        <f>L1457 = "FAIL"</f>
        <v>0</v>
      </c>
      <c r="Q1457" s="3" t="b">
        <f>AND(P1457, K1457)</f>
        <v>0</v>
      </c>
      <c r="R1457" s="3" t="str">
        <f>IF(O1457, I1457, "")</f>
        <v>suite-witness</v>
      </c>
      <c r="S1457" s="3" t="str">
        <f>IF(Q1457, I1457, "")</f>
      </c>
      <c r="T1457" s="2" t="s">
        <v>5935</v>
      </c>
    </row>
    <row r="1458">
      <c r="A1458" s="2" t="s">
        <v>7783</v>
      </c>
      <c r="B1458" s="3" t="str">
        <f>C1458 &amp; ": " &amp; D1458</f>
        <v>witness-discriminates: StepExecutions.HumanConfirmationMissing</v>
      </c>
      <c r="C1458" s="2" t="s">
        <v>7483</v>
      </c>
      <c r="D1458" s="2" t="s">
        <v>3653</v>
      </c>
      <c r="E1458" s="2" t="s">
        <v>1807</v>
      </c>
      <c r="F1458" s="2" t="s">
        <v>1400</v>
      </c>
      <c r="G1458" s="2" t="s">
        <v>7484</v>
      </c>
      <c r="H1458" s="2" t="s">
        <v>2148</v>
      </c>
      <c r="I1458" s="2" t="s">
        <v>5924</v>
      </c>
      <c r="J1458" s="2" t="s">
        <v>7485</v>
      </c>
      <c r="K1458" s="3" t="b">
        <f>J1458 = "blocking"</f>
        <v>0</v>
      </c>
      <c r="L1458" s="2" t="s">
        <v>1431</v>
      </c>
      <c r="M1458" s="2" t="s">
        <v>7492</v>
      </c>
      <c r="N1458" s="4">
        <v>46223.1297337963</v>
      </c>
      <c r="O1458" s="3" t="b">
        <f>L1458 = "PASS"</f>
        <v>0</v>
      </c>
      <c r="P1458" s="3" t="b">
        <f>L1458 = "FAIL"</f>
        <v>0</v>
      </c>
      <c r="Q1458" s="3" t="b">
        <f>AND(P1458, K1458)</f>
        <v>0</v>
      </c>
      <c r="R1458" s="3" t="str">
        <f>IF(O1458, I1458, "")</f>
      </c>
      <c r="S1458" s="3" t="str">
        <f>IF(Q1458, I1458, "")</f>
      </c>
      <c r="T1458" s="2" t="s">
        <v>5935</v>
      </c>
    </row>
    <row r="1459">
      <c r="A1459" s="2" t="s">
        <v>7784</v>
      </c>
      <c r="B1459" s="3" t="str">
        <f>C1459 &amp; ": " &amp; D1459</f>
        <v>witness-discriminates: StepExecutions.DraftedFromUnusableSource</v>
      </c>
      <c r="C1459" s="2" t="s">
        <v>7483</v>
      </c>
      <c r="D1459" s="2" t="s">
        <v>3655</v>
      </c>
      <c r="E1459" s="2" t="s">
        <v>1807</v>
      </c>
      <c r="F1459" s="2" t="s">
        <v>1401</v>
      </c>
      <c r="G1459" s="2" t="s">
        <v>7484</v>
      </c>
      <c r="H1459" s="2" t="s">
        <v>2160</v>
      </c>
      <c r="I1459" s="2" t="s">
        <v>5924</v>
      </c>
      <c r="J1459" s="2" t="s">
        <v>7485</v>
      </c>
      <c r="K1459" s="3" t="b">
        <f>J1459 = "blocking"</f>
        <v>0</v>
      </c>
      <c r="L1459" s="2" t="s">
        <v>1428</v>
      </c>
      <c r="M1459" s="2" t="s">
        <v>7747</v>
      </c>
      <c r="N1459" s="4">
        <v>46223.1297337963</v>
      </c>
      <c r="O1459" s="3" t="b">
        <f>L1459 = "PASS"</f>
        <v>1</v>
      </c>
      <c r="P1459" s="3" t="b">
        <f>L1459 = "FAIL"</f>
        <v>0</v>
      </c>
      <c r="Q1459" s="3" t="b">
        <f>AND(P1459, K1459)</f>
        <v>0</v>
      </c>
      <c r="R1459" s="3" t="str">
        <f>IF(O1459, I1459, "")</f>
        <v>suite-witness</v>
      </c>
      <c r="S1459" s="3" t="str">
        <f>IF(Q1459, I1459, "")</f>
      </c>
      <c r="T1459" s="2" t="s">
        <v>5935</v>
      </c>
    </row>
    <row r="1460">
      <c r="A1460" s="2" t="s">
        <v>7785</v>
      </c>
      <c r="B1460" s="3" t="str">
        <f>C1460 &amp; ": " &amp; D1460</f>
        <v>witness-discriminates: StepExecutions.InputsWereUsable</v>
      </c>
      <c r="C1460" s="2" t="s">
        <v>7483</v>
      </c>
      <c r="D1460" s="2" t="s">
        <v>3657</v>
      </c>
      <c r="E1460" s="2" t="s">
        <v>1807</v>
      </c>
      <c r="F1460" s="2" t="s">
        <v>1402</v>
      </c>
      <c r="G1460" s="2" t="s">
        <v>7484</v>
      </c>
      <c r="H1460" s="2" t="s">
        <v>2160</v>
      </c>
      <c r="I1460" s="2" t="s">
        <v>5924</v>
      </c>
      <c r="J1460" s="2" t="s">
        <v>7485</v>
      </c>
      <c r="K1460" s="3" t="b">
        <f>J1460 = "blocking"</f>
        <v>0</v>
      </c>
      <c r="L1460" s="2" t="s">
        <v>1428</v>
      </c>
      <c r="M1460" s="2" t="s">
        <v>7771</v>
      </c>
      <c r="N1460" s="4">
        <v>46223.1297337963</v>
      </c>
      <c r="O1460" s="3" t="b">
        <f>L1460 = "PASS"</f>
        <v>1</v>
      </c>
      <c r="P1460" s="3" t="b">
        <f>L1460 = "FAIL"</f>
        <v>0</v>
      </c>
      <c r="Q1460" s="3" t="b">
        <f>AND(P1460, K1460)</f>
        <v>0</v>
      </c>
      <c r="R1460" s="3" t="str">
        <f>IF(O1460, I1460, "")</f>
        <v>suite-witness</v>
      </c>
      <c r="S1460" s="3" t="str">
        <f>IF(Q1460, I1460, "")</f>
      </c>
      <c r="T1460" s="2" t="s">
        <v>5935</v>
      </c>
    </row>
    <row r="1461">
      <c r="A1461" s="2" t="s">
        <v>7786</v>
      </c>
      <c r="B1461" s="3" t="str">
        <f>C1461 &amp; ": " &amp; D1461</f>
        <v>witness-discriminates: StepExecutions.AllClearancesAreUnfalsified</v>
      </c>
      <c r="C1461" s="2" t="s">
        <v>7483</v>
      </c>
      <c r="D1461" s="2" t="s">
        <v>3665</v>
      </c>
      <c r="E1461" s="2" t="s">
        <v>1807</v>
      </c>
      <c r="F1461" s="2" t="s">
        <v>1406</v>
      </c>
      <c r="G1461" s="2" t="s">
        <v>7484</v>
      </c>
      <c r="H1461" s="2" t="s">
        <v>2236</v>
      </c>
      <c r="I1461" s="2" t="s">
        <v>5924</v>
      </c>
      <c r="J1461" s="2" t="s">
        <v>7485</v>
      </c>
      <c r="K1461" s="3" t="b">
        <f>J1461 = "blocking"</f>
        <v>0</v>
      </c>
      <c r="L1461" s="2" t="s">
        <v>1428</v>
      </c>
      <c r="M1461" s="2" t="s">
        <v>7775</v>
      </c>
      <c r="N1461" s="4">
        <v>46223.1297337963</v>
      </c>
      <c r="O1461" s="3" t="b">
        <f>L1461 = "PASS"</f>
        <v>1</v>
      </c>
      <c r="P1461" s="3" t="b">
        <f>L1461 = "FAIL"</f>
        <v>0</v>
      </c>
      <c r="Q1461" s="3" t="b">
        <f>AND(P1461, K1461)</f>
        <v>0</v>
      </c>
      <c r="R1461" s="3" t="str">
        <f>IF(O1461, I1461, "")</f>
        <v>suite-witness</v>
      </c>
      <c r="S1461" s="3" t="str">
        <f>IF(Q1461, I1461, "")</f>
      </c>
      <c r="T1461" s="2" t="s">
        <v>5935</v>
      </c>
    </row>
    <row r="1462">
      <c r="A1462" s="2" t="s">
        <v>7787</v>
      </c>
      <c r="B1462" s="3" t="str">
        <f>C1462 &amp; ": " &amp; D1462</f>
        <v>witness-discriminates: StepExecutions.WasStaleWhenIRanIt</v>
      </c>
      <c r="C1462" s="2" t="s">
        <v>7483</v>
      </c>
      <c r="D1462" s="2" t="s">
        <v>3669</v>
      </c>
      <c r="E1462" s="2" t="s">
        <v>1807</v>
      </c>
      <c r="F1462" s="2" t="s">
        <v>1408</v>
      </c>
      <c r="G1462" s="2" t="s">
        <v>7484</v>
      </c>
      <c r="H1462" s="2" t="s">
        <v>2240</v>
      </c>
      <c r="I1462" s="2" t="s">
        <v>5924</v>
      </c>
      <c r="J1462" s="2" t="s">
        <v>7485</v>
      </c>
      <c r="K1462" s="3" t="b">
        <f>J1462 = "blocking"</f>
        <v>0</v>
      </c>
      <c r="L1462" s="2" t="s">
        <v>1431</v>
      </c>
      <c r="M1462" s="2" t="s">
        <v>7492</v>
      </c>
      <c r="N1462" s="4">
        <v>46223.1297337963</v>
      </c>
      <c r="O1462" s="3" t="b">
        <f>L1462 = "PASS"</f>
        <v>0</v>
      </c>
      <c r="P1462" s="3" t="b">
        <f>L1462 = "FAIL"</f>
        <v>0</v>
      </c>
      <c r="Q1462" s="3" t="b">
        <f>AND(P1462, K1462)</f>
        <v>0</v>
      </c>
      <c r="R1462" s="3" t="str">
        <f>IF(O1462, I1462, "")</f>
      </c>
      <c r="S1462" s="3" t="str">
        <f>IF(Q1462, I1462, "")</f>
      </c>
      <c r="T1462" s="2" t="s">
        <v>5935</v>
      </c>
    </row>
    <row r="1463">
      <c r="A1463" s="2" t="s">
        <v>7788</v>
      </c>
      <c r="B1463" s="3" t="str">
        <f>C1463 &amp; ": " &amp; D1463</f>
        <v>witness-discriminates: StepExecutions.StalenessAnswerIsTenseDependent</v>
      </c>
      <c r="C1463" s="2" t="s">
        <v>7483</v>
      </c>
      <c r="D1463" s="2" t="s">
        <v>3671</v>
      </c>
      <c r="E1463" s="2" t="s">
        <v>1807</v>
      </c>
      <c r="F1463" s="2" t="s">
        <v>1409</v>
      </c>
      <c r="G1463" s="2" t="s">
        <v>7484</v>
      </c>
      <c r="H1463" s="2" t="s">
        <v>2240</v>
      </c>
      <c r="I1463" s="2" t="s">
        <v>5924</v>
      </c>
      <c r="J1463" s="2" t="s">
        <v>7485</v>
      </c>
      <c r="K1463" s="3" t="b">
        <f>J1463 = "blocking"</f>
        <v>0</v>
      </c>
      <c r="L1463" s="2" t="s">
        <v>1428</v>
      </c>
      <c r="M1463" s="2" t="s">
        <v>7747</v>
      </c>
      <c r="N1463" s="4">
        <v>46223.1297337963</v>
      </c>
      <c r="O1463" s="3" t="b">
        <f>L1463 = "PASS"</f>
        <v>1</v>
      </c>
      <c r="P1463" s="3" t="b">
        <f>L1463 = "FAIL"</f>
        <v>0</v>
      </c>
      <c r="Q1463" s="3" t="b">
        <f>AND(P1463, K1463)</f>
        <v>0</v>
      </c>
      <c r="R1463" s="3" t="str">
        <f>IF(O1463, I1463, "")</f>
        <v>suite-witness</v>
      </c>
      <c r="S1463" s="3" t="str">
        <f>IF(Q1463, I1463, "")</f>
      </c>
      <c r="T1463" s="2" t="s">
        <v>5935</v>
      </c>
    </row>
    <row r="1464">
      <c r="A1464" s="2" t="s">
        <v>7789</v>
      </c>
      <c r="B1464" s="3" t="str">
        <f>C1464 &amp; ": " &amp; D1464</f>
        <v>witness-discriminates: StepExecutions.HasAnyDeclaredCheck</v>
      </c>
      <c r="C1464" s="2" t="s">
        <v>7483</v>
      </c>
      <c r="D1464" s="2" t="s">
        <v>3673</v>
      </c>
      <c r="E1464" s="2" t="s">
        <v>1807</v>
      </c>
      <c r="F1464" s="2" t="s">
        <v>1410</v>
      </c>
      <c r="G1464" s="2" t="s">
        <v>7484</v>
      </c>
      <c r="H1464" s="2" t="s">
        <v>2248</v>
      </c>
      <c r="I1464" s="2" t="s">
        <v>5924</v>
      </c>
      <c r="J1464" s="2" t="s">
        <v>7485</v>
      </c>
      <c r="K1464" s="3" t="b">
        <f>J1464 = "blocking"</f>
        <v>0</v>
      </c>
      <c r="L1464" s="2" t="s">
        <v>1428</v>
      </c>
      <c r="M1464" s="2" t="s">
        <v>7790</v>
      </c>
      <c r="N1464" s="4">
        <v>46223.1297337963</v>
      </c>
      <c r="O1464" s="3" t="b">
        <f>L1464 = "PASS"</f>
        <v>1</v>
      </c>
      <c r="P1464" s="3" t="b">
        <f>L1464 = "FAIL"</f>
        <v>0</v>
      </c>
      <c r="Q1464" s="3" t="b">
        <f>AND(P1464, K1464)</f>
        <v>0</v>
      </c>
      <c r="R1464" s="3" t="str">
        <f>IF(O1464, I1464, "")</f>
        <v>suite-witness</v>
      </c>
      <c r="S1464" s="3" t="str">
        <f>IF(Q1464, I1464, "")</f>
      </c>
      <c r="T1464" s="2" t="s">
        <v>5935</v>
      </c>
    </row>
    <row r="1465">
      <c r="A1465" s="2" t="s">
        <v>7791</v>
      </c>
      <c r="B1465" s="3" t="str">
        <f>C1465 &amp; ": " &amp; D1465</f>
        <v>witness-discriminates: StepExecutions.IsUncheckedByDesign</v>
      </c>
      <c r="C1465" s="2" t="s">
        <v>7483</v>
      </c>
      <c r="D1465" s="2" t="s">
        <v>3679</v>
      </c>
      <c r="E1465" s="2" t="s">
        <v>1807</v>
      </c>
      <c r="F1465" s="2" t="s">
        <v>1413</v>
      </c>
      <c r="G1465" s="2" t="s">
        <v>7484</v>
      </c>
      <c r="H1465" s="2" t="s">
        <v>2248</v>
      </c>
      <c r="I1465" s="2" t="s">
        <v>5924</v>
      </c>
      <c r="J1465" s="2" t="s">
        <v>7485</v>
      </c>
      <c r="K1465" s="3" t="b">
        <f>J1465 = "blocking"</f>
        <v>0</v>
      </c>
      <c r="L1465" s="2" t="s">
        <v>1428</v>
      </c>
      <c r="M1465" s="2" t="s">
        <v>7494</v>
      </c>
      <c r="N1465" s="4">
        <v>46223.1297337963</v>
      </c>
      <c r="O1465" s="3" t="b">
        <f>L1465 = "PASS"</f>
        <v>1</v>
      </c>
      <c r="P1465" s="3" t="b">
        <f>L1465 = "FAIL"</f>
        <v>0</v>
      </c>
      <c r="Q1465" s="3" t="b">
        <f>AND(P1465, K1465)</f>
        <v>0</v>
      </c>
      <c r="R1465" s="3" t="str">
        <f>IF(O1465, I1465, "")</f>
        <v>suite-witness</v>
      </c>
      <c r="S1465" s="3" t="str">
        <f>IF(Q1465, I1465, "")</f>
      </c>
      <c r="T1465" s="2" t="s">
        <v>5935</v>
      </c>
    </row>
    <row r="1466">
      <c r="A1466" s="2" t="s">
        <v>7792</v>
      </c>
      <c r="B1466" s="3" t="str">
        <f>C1466 &amp; ": " &amp; D1466</f>
        <v>witness-discriminates: StepExecutions.IsVacuouslyClean</v>
      </c>
      <c r="C1466" s="2" t="s">
        <v>7483</v>
      </c>
      <c r="D1466" s="2" t="s">
        <v>3681</v>
      </c>
      <c r="E1466" s="2" t="s">
        <v>1807</v>
      </c>
      <c r="F1466" s="2" t="s">
        <v>1414</v>
      </c>
      <c r="G1466" s="2" t="s">
        <v>7484</v>
      </c>
      <c r="H1466" s="2" t="s">
        <v>2248</v>
      </c>
      <c r="I1466" s="2" t="s">
        <v>5924</v>
      </c>
      <c r="J1466" s="2" t="s">
        <v>7485</v>
      </c>
      <c r="K1466" s="3" t="b">
        <f>J1466 = "blocking"</f>
        <v>0</v>
      </c>
      <c r="L1466" s="2" t="s">
        <v>1428</v>
      </c>
      <c r="M1466" s="2" t="s">
        <v>7747</v>
      </c>
      <c r="N1466" s="4">
        <v>46223.1297337963</v>
      </c>
      <c r="O1466" s="3" t="b">
        <f>L1466 = "PASS"</f>
        <v>1</v>
      </c>
      <c r="P1466" s="3" t="b">
        <f>L1466 = "FAIL"</f>
        <v>0</v>
      </c>
      <c r="Q1466" s="3" t="b">
        <f>AND(P1466, K1466)</f>
        <v>0</v>
      </c>
      <c r="R1466" s="3" t="str">
        <f>IF(O1466, I1466, "")</f>
        <v>suite-witness</v>
      </c>
      <c r="S1466" s="3" t="str">
        <f>IF(Q1466, I1466, "")</f>
      </c>
      <c r="T1466" s="2" t="s">
        <v>5935</v>
      </c>
    </row>
    <row r="1467">
      <c r="A1467" s="2" t="s">
        <v>7793</v>
      </c>
      <c r="B1467" s="3" t="str">
        <f>C1467 &amp; ": " &amp; D1467</f>
        <v>witness-discriminates: StepExecutions.IsSubstantivelyClean</v>
      </c>
      <c r="C1467" s="2" t="s">
        <v>7483</v>
      </c>
      <c r="D1467" s="2" t="s">
        <v>3683</v>
      </c>
      <c r="E1467" s="2" t="s">
        <v>1807</v>
      </c>
      <c r="F1467" s="2" t="s">
        <v>1415</v>
      </c>
      <c r="G1467" s="2" t="s">
        <v>7484</v>
      </c>
      <c r="H1467" s="2" t="s">
        <v>2248</v>
      </c>
      <c r="I1467" s="2" t="s">
        <v>5924</v>
      </c>
      <c r="J1467" s="2" t="s">
        <v>7485</v>
      </c>
      <c r="K1467" s="3" t="b">
        <f>J1467 = "blocking"</f>
        <v>0</v>
      </c>
      <c r="L1467" s="2" t="s">
        <v>1428</v>
      </c>
      <c r="M1467" s="2" t="s">
        <v>7497</v>
      </c>
      <c r="N1467" s="4">
        <v>46223.1297337963</v>
      </c>
      <c r="O1467" s="3" t="b">
        <f>L1467 = "PASS"</f>
        <v>1</v>
      </c>
      <c r="P1467" s="3" t="b">
        <f>L1467 = "FAIL"</f>
        <v>0</v>
      </c>
      <c r="Q1467" s="3" t="b">
        <f>AND(P1467, K1467)</f>
        <v>0</v>
      </c>
      <c r="R1467" s="3" t="str">
        <f>IF(O1467, I1467, "")</f>
        <v>suite-witness</v>
      </c>
      <c r="S1467" s="3" t="str">
        <f>IF(Q1467, I1467, "")</f>
      </c>
      <c r="T1467" s="2" t="s">
        <v>5935</v>
      </c>
    </row>
    <row r="1468">
      <c r="A1468" s="2" t="s">
        <v>7794</v>
      </c>
      <c r="B1468" s="3" t="str">
        <f>C1468 &amp; ": " &amp; D1468</f>
        <v>witness-discriminates: StepExecutions.EvidencePositionIsWeak</v>
      </c>
      <c r="C1468" s="2" t="s">
        <v>7483</v>
      </c>
      <c r="D1468" s="2" t="s">
        <v>3689</v>
      </c>
      <c r="E1468" s="2" t="s">
        <v>1807</v>
      </c>
      <c r="F1468" s="2" t="s">
        <v>1418</v>
      </c>
      <c r="G1468" s="2" t="s">
        <v>7484</v>
      </c>
      <c r="H1468" s="2" t="s">
        <v>2252</v>
      </c>
      <c r="I1468" s="2" t="s">
        <v>5924</v>
      </c>
      <c r="J1468" s="2" t="s">
        <v>7485</v>
      </c>
      <c r="K1468" s="3" t="b">
        <f>J1468 = "blocking"</f>
        <v>0</v>
      </c>
      <c r="L1468" s="2" t="s">
        <v>1428</v>
      </c>
      <c r="M1468" s="2" t="s">
        <v>7497</v>
      </c>
      <c r="N1468" s="4">
        <v>46223.1297337963</v>
      </c>
      <c r="O1468" s="3" t="b">
        <f>L1468 = "PASS"</f>
        <v>1</v>
      </c>
      <c r="P1468" s="3" t="b">
        <f>L1468 = "FAIL"</f>
        <v>0</v>
      </c>
      <c r="Q1468" s="3" t="b">
        <f>AND(P1468, K1468)</f>
        <v>0</v>
      </c>
      <c r="R1468" s="3" t="str">
        <f>IF(O1468, I1468, "")</f>
        <v>suite-witness</v>
      </c>
      <c r="S1468" s="3" t="str">
        <f>IF(Q1468, I1468, "")</f>
      </c>
      <c r="T1468" s="2" t="s">
        <v>5935</v>
      </c>
    </row>
    <row r="1469">
      <c r="A1469" s="2" t="s">
        <v>7795</v>
      </c>
      <c r="B1469" s="3" t="str">
        <f>C1469 &amp; ": " &amp; D1469</f>
        <v>witness-discriminates: StepExecutions.HasGoverningInstrument</v>
      </c>
      <c r="C1469" s="2" t="s">
        <v>7483</v>
      </c>
      <c r="D1469" s="2" t="s">
        <v>3695</v>
      </c>
      <c r="E1469" s="2" t="s">
        <v>1807</v>
      </c>
      <c r="F1469" s="2" t="s">
        <v>1421</v>
      </c>
      <c r="G1469" s="2" t="s">
        <v>7484</v>
      </c>
      <c r="H1469" s="2" t="s">
        <v>2272</v>
      </c>
      <c r="I1469" s="2" t="s">
        <v>5924</v>
      </c>
      <c r="J1469" s="2" t="s">
        <v>7485</v>
      </c>
      <c r="K1469" s="3" t="b">
        <f>J1469 = "blocking"</f>
        <v>0</v>
      </c>
      <c r="L1469" s="2" t="s">
        <v>1428</v>
      </c>
      <c r="M1469" s="2" t="s">
        <v>7790</v>
      </c>
      <c r="N1469" s="4">
        <v>46223.1297337963</v>
      </c>
      <c r="O1469" s="3" t="b">
        <f>L1469 = "PASS"</f>
        <v>1</v>
      </c>
      <c r="P1469" s="3" t="b">
        <f>L1469 = "FAIL"</f>
        <v>0</v>
      </c>
      <c r="Q1469" s="3" t="b">
        <f>AND(P1469, K1469)</f>
        <v>0</v>
      </c>
      <c r="R1469" s="3" t="str">
        <f>IF(O1469, I1469, "")</f>
        <v>suite-witness</v>
      </c>
      <c r="S1469" s="3" t="str">
        <f>IF(Q1469, I1469, "")</f>
      </c>
      <c r="T1469" s="2" t="s">
        <v>5935</v>
      </c>
    </row>
    <row r="1470">
      <c r="A1470" s="2" t="s">
        <v>7796</v>
      </c>
      <c r="B1470" s="3" t="str">
        <f>C1470 &amp; ": " &amp; D1470</f>
        <v>witness-discriminates: StepExecutions.HasApprovedChangeCoverage</v>
      </c>
      <c r="C1470" s="2" t="s">
        <v>7483</v>
      </c>
      <c r="D1470" s="2" t="s">
        <v>3697</v>
      </c>
      <c r="E1470" s="2" t="s">
        <v>1807</v>
      </c>
      <c r="F1470" s="2" t="s">
        <v>1422</v>
      </c>
      <c r="G1470" s="2" t="s">
        <v>7484</v>
      </c>
      <c r="H1470" s="2" t="s">
        <v>2272</v>
      </c>
      <c r="I1470" s="2" t="s">
        <v>5924</v>
      </c>
      <c r="J1470" s="2" t="s">
        <v>7485</v>
      </c>
      <c r="K1470" s="3" t="b">
        <f>J1470 = "blocking"</f>
        <v>0</v>
      </c>
      <c r="L1470" s="2" t="s">
        <v>1428</v>
      </c>
      <c r="M1470" s="2" t="s">
        <v>7790</v>
      </c>
      <c r="N1470" s="4">
        <v>46223.1297337963</v>
      </c>
      <c r="O1470" s="3" t="b">
        <f>L1470 = "PASS"</f>
        <v>1</v>
      </c>
      <c r="P1470" s="3" t="b">
        <f>L1470 = "FAIL"</f>
        <v>0</v>
      </c>
      <c r="Q1470" s="3" t="b">
        <f>AND(P1470, K1470)</f>
        <v>0</v>
      </c>
      <c r="R1470" s="3" t="str">
        <f>IF(O1470, I1470, "")</f>
        <v>suite-witness</v>
      </c>
      <c r="S1470" s="3" t="str">
        <f>IF(Q1470, I1470, "")</f>
      </c>
      <c r="T1470" s="2" t="s">
        <v>5935</v>
      </c>
    </row>
    <row r="1471">
      <c r="A1471" s="2" t="s">
        <v>7797</v>
      </c>
      <c r="B1471" s="3" t="str">
        <f>C1471 &amp; ": " &amp; D1471</f>
        <v>witness-discriminates: StepExecutions.IsUngovernedDivergence</v>
      </c>
      <c r="C1471" s="2" t="s">
        <v>7483</v>
      </c>
      <c r="D1471" s="2" t="s">
        <v>3700</v>
      </c>
      <c r="E1471" s="2" t="s">
        <v>1807</v>
      </c>
      <c r="F1471" s="2" t="s">
        <v>1424</v>
      </c>
      <c r="G1471" s="2" t="s">
        <v>7484</v>
      </c>
      <c r="H1471" s="2" t="s">
        <v>2272</v>
      </c>
      <c r="I1471" s="2" t="s">
        <v>5924</v>
      </c>
      <c r="J1471" s="2" t="s">
        <v>7485</v>
      </c>
      <c r="K1471" s="3" t="b">
        <f>J1471 = "blocking"</f>
        <v>0</v>
      </c>
      <c r="L1471" s="2" t="s">
        <v>1428</v>
      </c>
      <c r="M1471" s="2" t="s">
        <v>7747</v>
      </c>
      <c r="N1471" s="4">
        <v>46223.1297337963</v>
      </c>
      <c r="O1471" s="3" t="b">
        <f>L1471 = "PASS"</f>
        <v>1</v>
      </c>
      <c r="P1471" s="3" t="b">
        <f>L1471 = "FAIL"</f>
        <v>0</v>
      </c>
      <c r="Q1471" s="3" t="b">
        <f>AND(P1471, K1471)</f>
        <v>0</v>
      </c>
      <c r="R1471" s="3" t="str">
        <f>IF(O1471, I1471, "")</f>
        <v>suite-witness</v>
      </c>
      <c r="S1471" s="3" t="str">
        <f>IF(Q1471, I1471, "")</f>
      </c>
      <c r="T1471" s="2" t="s">
        <v>5935</v>
      </c>
    </row>
    <row r="1472">
      <c r="A1472" s="2" t="s">
        <v>7798</v>
      </c>
      <c r="B1472" s="3" t="str">
        <f>C1472 &amp; ": " &amp; D1472</f>
        <v>witness-discriminates: RequirementSatisfactions.RequirementIsBlocking</v>
      </c>
      <c r="C1472" s="2" t="s">
        <v>7483</v>
      </c>
      <c r="D1472" s="2" t="s">
        <v>3716</v>
      </c>
      <c r="E1472" s="2" t="s">
        <v>1810</v>
      </c>
      <c r="F1472" s="2" t="s">
        <v>895</v>
      </c>
      <c r="G1472" s="2" t="s">
        <v>7484</v>
      </c>
      <c r="H1472" s="2" t="s">
        <v>1935</v>
      </c>
      <c r="I1472" s="2" t="s">
        <v>5924</v>
      </c>
      <c r="J1472" s="2" t="s">
        <v>7485</v>
      </c>
      <c r="K1472" s="3" t="b">
        <f>J1472 = "blocking"</f>
        <v>0</v>
      </c>
      <c r="L1472" s="2" t="s">
        <v>1431</v>
      </c>
      <c r="M1472" s="2" t="s">
        <v>7706</v>
      </c>
      <c r="N1472" s="4">
        <v>46223.1297337963</v>
      </c>
      <c r="O1472" s="3" t="b">
        <f>L1472 = "PASS"</f>
        <v>0</v>
      </c>
      <c r="P1472" s="3" t="b">
        <f>L1472 = "FAIL"</f>
        <v>0</v>
      </c>
      <c r="Q1472" s="3" t="b">
        <f>AND(P1472, K1472)</f>
        <v>0</v>
      </c>
      <c r="R1472" s="3" t="str">
        <f>IF(O1472, I1472, "")</f>
      </c>
      <c r="S1472" s="3" t="str">
        <f>IF(Q1472, I1472, "")</f>
      </c>
      <c r="T1472" s="2" t="s">
        <v>5935</v>
      </c>
    </row>
    <row r="1473">
      <c r="A1473" s="2" t="s">
        <v>7799</v>
      </c>
      <c r="B1473" s="3" t="str">
        <f>C1473 &amp; ": " &amp; D1473</f>
        <v>witness-discriminates: RequirementSatisfactions.IsFullySatisfied</v>
      </c>
      <c r="C1473" s="2" t="s">
        <v>7483</v>
      </c>
      <c r="D1473" s="2" t="s">
        <v>3717</v>
      </c>
      <c r="E1473" s="2" t="s">
        <v>1810</v>
      </c>
      <c r="F1473" s="2" t="s">
        <v>1452</v>
      </c>
      <c r="G1473" s="2" t="s">
        <v>7484</v>
      </c>
      <c r="H1473" s="2" t="s">
        <v>1935</v>
      </c>
      <c r="I1473" s="2" t="s">
        <v>5924</v>
      </c>
      <c r="J1473" s="2" t="s">
        <v>7485</v>
      </c>
      <c r="K1473" s="3" t="b">
        <f>J1473 = "blocking"</f>
        <v>0</v>
      </c>
      <c r="L1473" s="2" t="s">
        <v>1428</v>
      </c>
      <c r="M1473" s="2" t="s">
        <v>7800</v>
      </c>
      <c r="N1473" s="4">
        <v>46223.1297337963</v>
      </c>
      <c r="O1473" s="3" t="b">
        <f>L1473 = "PASS"</f>
        <v>1</v>
      </c>
      <c r="P1473" s="3" t="b">
        <f>L1473 = "FAIL"</f>
        <v>0</v>
      </c>
      <c r="Q1473" s="3" t="b">
        <f>AND(P1473, K1473)</f>
        <v>0</v>
      </c>
      <c r="R1473" s="3" t="str">
        <f>IF(O1473, I1473, "")</f>
        <v>suite-witness</v>
      </c>
      <c r="S1473" s="3" t="str">
        <f>IF(Q1473, I1473, "")</f>
      </c>
      <c r="T1473" s="2" t="s">
        <v>5935</v>
      </c>
    </row>
    <row r="1474">
      <c r="A1474" s="2" t="s">
        <v>7801</v>
      </c>
      <c r="B1474" s="3" t="str">
        <f>C1474 &amp; ": " &amp; D1474</f>
        <v>witness-discriminates: RequirementSatisfactions.IsBlockingAndUnmet</v>
      </c>
      <c r="C1474" s="2" t="s">
        <v>7483</v>
      </c>
      <c r="D1474" s="2" t="s">
        <v>845</v>
      </c>
      <c r="E1474" s="2" t="s">
        <v>1810</v>
      </c>
      <c r="F1474" s="2" t="s">
        <v>1453</v>
      </c>
      <c r="G1474" s="2" t="s">
        <v>7484</v>
      </c>
      <c r="H1474" s="2" t="s">
        <v>1935</v>
      </c>
      <c r="I1474" s="2" t="s">
        <v>5924</v>
      </c>
      <c r="J1474" s="2" t="s">
        <v>7485</v>
      </c>
      <c r="K1474" s="3" t="b">
        <f>J1474 = "blocking"</f>
        <v>0</v>
      </c>
      <c r="L1474" s="2" t="s">
        <v>1428</v>
      </c>
      <c r="M1474" s="2" t="s">
        <v>7699</v>
      </c>
      <c r="N1474" s="4">
        <v>46223.1297337963</v>
      </c>
      <c r="O1474" s="3" t="b">
        <f>L1474 = "PASS"</f>
        <v>1</v>
      </c>
      <c r="P1474" s="3" t="b">
        <f>L1474 = "FAIL"</f>
        <v>0</v>
      </c>
      <c r="Q1474" s="3" t="b">
        <f>AND(P1474, K1474)</f>
        <v>0</v>
      </c>
      <c r="R1474" s="3" t="str">
        <f>IF(O1474, I1474, "")</f>
        <v>suite-witness</v>
      </c>
      <c r="S1474" s="3" t="str">
        <f>IF(Q1474, I1474, "")</f>
      </c>
      <c r="T1474" s="2" t="s">
        <v>5935</v>
      </c>
    </row>
    <row r="1475">
      <c r="A1475" s="2" t="s">
        <v>7802</v>
      </c>
      <c r="B1475" s="3" t="str">
        <f>C1475 &amp; ": " &amp; D1475</f>
        <v>witness-discriminates: RequirementSatisfactions.NonHumanEvaluatedHumanControl</v>
      </c>
      <c r="C1475" s="2" t="s">
        <v>7483</v>
      </c>
      <c r="D1475" s="2" t="s">
        <v>3728</v>
      </c>
      <c r="E1475" s="2" t="s">
        <v>1810</v>
      </c>
      <c r="F1475" s="2" t="s">
        <v>1458</v>
      </c>
      <c r="G1475" s="2" t="s">
        <v>7484</v>
      </c>
      <c r="H1475" s="2" t="s">
        <v>1972</v>
      </c>
      <c r="I1475" s="2" t="s">
        <v>5924</v>
      </c>
      <c r="J1475" s="2" t="s">
        <v>7485</v>
      </c>
      <c r="K1475" s="3" t="b">
        <f>J1475 = "blocking"</f>
        <v>0</v>
      </c>
      <c r="L1475" s="2" t="s">
        <v>1431</v>
      </c>
      <c r="M1475" s="2" t="s">
        <v>7703</v>
      </c>
      <c r="N1475" s="4">
        <v>46223.1297337963</v>
      </c>
      <c r="O1475" s="3" t="b">
        <f>L1475 = "PASS"</f>
        <v>0</v>
      </c>
      <c r="P1475" s="3" t="b">
        <f>L1475 = "FAIL"</f>
        <v>0</v>
      </c>
      <c r="Q1475" s="3" t="b">
        <f>AND(P1475, K1475)</f>
        <v>0</v>
      </c>
      <c r="R1475" s="3" t="str">
        <f>IF(O1475, I1475, "")</f>
      </c>
      <c r="S1475" s="3" t="str">
        <f>IF(Q1475, I1475, "")</f>
      </c>
      <c r="T1475" s="2" t="s">
        <v>5935</v>
      </c>
    </row>
    <row r="1476">
      <c r="A1476" s="2" t="s">
        <v>7803</v>
      </c>
      <c r="B1476" s="3" t="str">
        <f>C1476 &amp; ": " &amp; D1476</f>
        <v>witness-discriminates: RequirementSatisfactions.RequirementHasComputedWitness</v>
      </c>
      <c r="C1476" s="2" t="s">
        <v>7483</v>
      </c>
      <c r="D1476" s="2" t="s">
        <v>3730</v>
      </c>
      <c r="E1476" s="2" t="s">
        <v>1810</v>
      </c>
      <c r="F1476" s="2" t="s">
        <v>1459</v>
      </c>
      <c r="G1476" s="2" t="s">
        <v>7484</v>
      </c>
      <c r="H1476" s="2" t="s">
        <v>1992</v>
      </c>
      <c r="I1476" s="2" t="s">
        <v>5924</v>
      </c>
      <c r="J1476" s="2" t="s">
        <v>7485</v>
      </c>
      <c r="K1476" s="3" t="b">
        <f>J1476 = "blocking"</f>
        <v>0</v>
      </c>
      <c r="L1476" s="2" t="s">
        <v>1428</v>
      </c>
      <c r="M1476" s="2" t="s">
        <v>7701</v>
      </c>
      <c r="N1476" s="4">
        <v>46223.1297337963</v>
      </c>
      <c r="O1476" s="3" t="b">
        <f>L1476 = "PASS"</f>
        <v>1</v>
      </c>
      <c r="P1476" s="3" t="b">
        <f>L1476 = "FAIL"</f>
        <v>0</v>
      </c>
      <c r="Q1476" s="3" t="b">
        <f>AND(P1476, K1476)</f>
        <v>0</v>
      </c>
      <c r="R1476" s="3" t="str">
        <f>IF(O1476, I1476, "")</f>
        <v>suite-witness</v>
      </c>
      <c r="S1476" s="3" t="str">
        <f>IF(Q1476, I1476, "")</f>
      </c>
      <c r="T1476" s="2" t="s">
        <v>5935</v>
      </c>
    </row>
    <row r="1477">
      <c r="A1477" s="2" t="s">
        <v>7804</v>
      </c>
      <c r="B1477" s="3" t="str">
        <f>C1477 &amp; ": " &amp; D1477</f>
        <v>witness-discriminates: RequirementSatisfactions.IsAssertedOnly</v>
      </c>
      <c r="C1477" s="2" t="s">
        <v>7483</v>
      </c>
      <c r="D1477" s="2" t="s">
        <v>3732</v>
      </c>
      <c r="E1477" s="2" t="s">
        <v>1810</v>
      </c>
      <c r="F1477" s="2" t="s">
        <v>1460</v>
      </c>
      <c r="G1477" s="2" t="s">
        <v>7484</v>
      </c>
      <c r="H1477" s="2" t="s">
        <v>1992</v>
      </c>
      <c r="I1477" s="2" t="s">
        <v>5924</v>
      </c>
      <c r="J1477" s="2" t="s">
        <v>7485</v>
      </c>
      <c r="K1477" s="3" t="b">
        <f>J1477 = "blocking"</f>
        <v>0</v>
      </c>
      <c r="L1477" s="2" t="s">
        <v>1428</v>
      </c>
      <c r="M1477" s="2" t="s">
        <v>7805</v>
      </c>
      <c r="N1477" s="4">
        <v>46223.1297337963</v>
      </c>
      <c r="O1477" s="3" t="b">
        <f>L1477 = "PASS"</f>
        <v>1</v>
      </c>
      <c r="P1477" s="3" t="b">
        <f>L1477 = "FAIL"</f>
        <v>0</v>
      </c>
      <c r="Q1477" s="3" t="b">
        <f>AND(P1477, K1477)</f>
        <v>0</v>
      </c>
      <c r="R1477" s="3" t="str">
        <f>IF(O1477, I1477, "")</f>
        <v>suite-witness</v>
      </c>
      <c r="S1477" s="3" t="str">
        <f>IF(Q1477, I1477, "")</f>
      </c>
      <c r="T1477" s="2" t="s">
        <v>5935</v>
      </c>
    </row>
    <row r="1478">
      <c r="A1478" s="2" t="s">
        <v>7806</v>
      </c>
      <c r="B1478" s="3" t="str">
        <f>C1478 &amp; ": " &amp; D1478</f>
        <v>witness-discriminates: RequirementSatisfactions.IsHumanEvaluated</v>
      </c>
      <c r="C1478" s="2" t="s">
        <v>7483</v>
      </c>
      <c r="D1478" s="2" t="s">
        <v>3740</v>
      </c>
      <c r="E1478" s="2" t="s">
        <v>1810</v>
      </c>
      <c r="F1478" s="2" t="s">
        <v>1464</v>
      </c>
      <c r="G1478" s="2" t="s">
        <v>7484</v>
      </c>
      <c r="H1478" s="2" t="s">
        <v>2172</v>
      </c>
      <c r="I1478" s="2" t="s">
        <v>5924</v>
      </c>
      <c r="J1478" s="2" t="s">
        <v>7485</v>
      </c>
      <c r="K1478" s="3" t="b">
        <f>J1478 = "blocking"</f>
        <v>0</v>
      </c>
      <c r="L1478" s="2" t="s">
        <v>1431</v>
      </c>
      <c r="M1478" s="2" t="s">
        <v>7706</v>
      </c>
      <c r="N1478" s="4">
        <v>46223.1297337963</v>
      </c>
      <c r="O1478" s="3" t="b">
        <f>L1478 = "PASS"</f>
        <v>0</v>
      </c>
      <c r="P1478" s="3" t="b">
        <f>L1478 = "FAIL"</f>
        <v>0</v>
      </c>
      <c r="Q1478" s="3" t="b">
        <f>AND(P1478, K1478)</f>
        <v>0</v>
      </c>
      <c r="R1478" s="3" t="str">
        <f>IF(O1478, I1478, "")</f>
      </c>
      <c r="S1478" s="3" t="str">
        <f>IF(Q1478, I1478, "")</f>
      </c>
      <c r="T1478" s="2" t="s">
        <v>5935</v>
      </c>
    </row>
    <row r="1479">
      <c r="A1479" s="2" t="s">
        <v>7807</v>
      </c>
      <c r="B1479" s="3" t="str">
        <f>C1479 &amp; ": " &amp; D1479</f>
        <v>witness-discriminates: RequirementSatisfactions.IsInvalidApproval</v>
      </c>
      <c r="C1479" s="2" t="s">
        <v>7483</v>
      </c>
      <c r="D1479" s="2" t="s">
        <v>3744</v>
      </c>
      <c r="E1479" s="2" t="s">
        <v>1810</v>
      </c>
      <c r="F1479" s="2" t="s">
        <v>1466</v>
      </c>
      <c r="G1479" s="2" t="s">
        <v>7484</v>
      </c>
      <c r="H1479" s="2" t="s">
        <v>2172</v>
      </c>
      <c r="I1479" s="2" t="s">
        <v>5924</v>
      </c>
      <c r="J1479" s="2" t="s">
        <v>7485</v>
      </c>
      <c r="K1479" s="3" t="b">
        <f>J1479 = "blocking"</f>
        <v>0</v>
      </c>
      <c r="L1479" s="2" t="s">
        <v>1431</v>
      </c>
      <c r="M1479" s="2" t="s">
        <v>7703</v>
      </c>
      <c r="N1479" s="4">
        <v>46223.1297337963</v>
      </c>
      <c r="O1479" s="3" t="b">
        <f>L1479 = "PASS"</f>
        <v>0</v>
      </c>
      <c r="P1479" s="3" t="b">
        <f>L1479 = "FAIL"</f>
        <v>0</v>
      </c>
      <c r="Q1479" s="3" t="b">
        <f>AND(P1479, K1479)</f>
        <v>0</v>
      </c>
      <c r="R1479" s="3" t="str">
        <f>IF(O1479, I1479, "")</f>
      </c>
      <c r="S1479" s="3" t="str">
        <f>IF(Q1479, I1479, "")</f>
      </c>
      <c r="T1479" s="2" t="s">
        <v>5935</v>
      </c>
    </row>
    <row r="1480">
      <c r="A1480" s="2" t="s">
        <v>7808</v>
      </c>
      <c r="B1480" s="3" t="str">
        <f>C1480 &amp; ": " &amp; D1480</f>
        <v>witness-discriminates: RequirementSatisfactions.RequirementIsUnfalsified</v>
      </c>
      <c r="C1480" s="2" t="s">
        <v>7483</v>
      </c>
      <c r="D1480" s="2" t="s">
        <v>3749</v>
      </c>
      <c r="E1480" s="2" t="s">
        <v>1810</v>
      </c>
      <c r="F1480" s="2" t="s">
        <v>1469</v>
      </c>
      <c r="G1480" s="2" t="s">
        <v>7484</v>
      </c>
      <c r="H1480" s="2" t="s">
        <v>2236</v>
      </c>
      <c r="I1480" s="2" t="s">
        <v>5924</v>
      </c>
      <c r="J1480" s="2" t="s">
        <v>7485</v>
      </c>
      <c r="K1480" s="3" t="b">
        <f>J1480 = "blocking"</f>
        <v>0</v>
      </c>
      <c r="L1480" s="2" t="s">
        <v>1428</v>
      </c>
      <c r="M1480" s="2" t="s">
        <v>7809</v>
      </c>
      <c r="N1480" s="4">
        <v>46223.1297337963</v>
      </c>
      <c r="O1480" s="3" t="b">
        <f>L1480 = "PASS"</f>
        <v>1</v>
      </c>
      <c r="P1480" s="3" t="b">
        <f>L1480 = "FAIL"</f>
        <v>0</v>
      </c>
      <c r="Q1480" s="3" t="b">
        <f>AND(P1480, K1480)</f>
        <v>0</v>
      </c>
      <c r="R1480" s="3" t="str">
        <f>IF(O1480, I1480, "")</f>
        <v>suite-witness</v>
      </c>
      <c r="S1480" s="3" t="str">
        <f>IF(Q1480, I1480, "")</f>
      </c>
      <c r="T1480" s="2" t="s">
        <v>5935</v>
      </c>
    </row>
    <row r="1481">
      <c r="A1481" s="2" t="s">
        <v>7810</v>
      </c>
      <c r="B1481" s="3" t="str">
        <f>C1481 &amp; ": " &amp; D1481</f>
        <v>witness-discriminates: RequirementSatisfactions.IsClearanceByUnfalsifiedControl</v>
      </c>
      <c r="C1481" s="2" t="s">
        <v>7483</v>
      </c>
      <c r="D1481" s="2" t="s">
        <v>3751</v>
      </c>
      <c r="E1481" s="2" t="s">
        <v>1810</v>
      </c>
      <c r="F1481" s="2" t="s">
        <v>1470</v>
      </c>
      <c r="G1481" s="2" t="s">
        <v>7484</v>
      </c>
      <c r="H1481" s="2" t="s">
        <v>2236</v>
      </c>
      <c r="I1481" s="2" t="s">
        <v>5924</v>
      </c>
      <c r="J1481" s="2" t="s">
        <v>7485</v>
      </c>
      <c r="K1481" s="3" t="b">
        <f>J1481 = "blocking"</f>
        <v>0</v>
      </c>
      <c r="L1481" s="2" t="s">
        <v>1428</v>
      </c>
      <c r="M1481" s="2" t="s">
        <v>7809</v>
      </c>
      <c r="N1481" s="4">
        <v>46223.1297337963</v>
      </c>
      <c r="O1481" s="3" t="b">
        <f>L1481 = "PASS"</f>
        <v>1</v>
      </c>
      <c r="P1481" s="3" t="b">
        <f>L1481 = "FAIL"</f>
        <v>0</v>
      </c>
      <c r="Q1481" s="3" t="b">
        <f>AND(P1481, K1481)</f>
        <v>0</v>
      </c>
      <c r="R1481" s="3" t="str">
        <f>IF(O1481, I1481, "")</f>
        <v>suite-witness</v>
      </c>
      <c r="S1481" s="3" t="str">
        <f>IF(Q1481, I1481, "")</f>
      </c>
      <c r="T1481" s="2" t="s">
        <v>5935</v>
      </c>
    </row>
    <row r="1482">
      <c r="A1482" s="2" t="s">
        <v>7811</v>
      </c>
      <c r="B1482" s="3" t="str">
        <f>C1482 &amp; ": " &amp; D1482</f>
        <v>witness-discriminates: RequirementSatisfactions.EvaluatorIsStepExecutor</v>
      </c>
      <c r="C1482" s="2" t="s">
        <v>7483</v>
      </c>
      <c r="D1482" s="2" t="s">
        <v>3761</v>
      </c>
      <c r="E1482" s="2" t="s">
        <v>1810</v>
      </c>
      <c r="F1482" s="2" t="s">
        <v>1475</v>
      </c>
      <c r="G1482" s="2" t="s">
        <v>7484</v>
      </c>
      <c r="H1482" s="2" t="s">
        <v>2268</v>
      </c>
      <c r="I1482" s="2" t="s">
        <v>5924</v>
      </c>
      <c r="J1482" s="2" t="s">
        <v>7485</v>
      </c>
      <c r="K1482" s="3" t="b">
        <f>J1482 = "blocking"</f>
        <v>0</v>
      </c>
      <c r="L1482" s="2" t="s">
        <v>1428</v>
      </c>
      <c r="M1482" s="2" t="s">
        <v>7812</v>
      </c>
      <c r="N1482" s="4">
        <v>46223.1297337963</v>
      </c>
      <c r="O1482" s="3" t="b">
        <f>L1482 = "PASS"</f>
        <v>1</v>
      </c>
      <c r="P1482" s="3" t="b">
        <f>L1482 = "FAIL"</f>
        <v>0</v>
      </c>
      <c r="Q1482" s="3" t="b">
        <f>AND(P1482, K1482)</f>
        <v>0</v>
      </c>
      <c r="R1482" s="3" t="str">
        <f>IF(O1482, I1482, "")</f>
        <v>suite-witness</v>
      </c>
      <c r="S1482" s="3" t="str">
        <f>IF(Q1482, I1482, "")</f>
      </c>
      <c r="T1482" s="2" t="s">
        <v>5935</v>
      </c>
    </row>
    <row r="1483">
      <c r="A1483" s="2" t="s">
        <v>7813</v>
      </c>
      <c r="B1483" s="3" t="str">
        <f>C1483 &amp; ": " &amp; D1483</f>
        <v>witness-discriminates: RequirementSatisfactions.EvaluatorOwnsTheRun</v>
      </c>
      <c r="C1483" s="2" t="s">
        <v>7483</v>
      </c>
      <c r="D1483" s="2" t="s">
        <v>3765</v>
      </c>
      <c r="E1483" s="2" t="s">
        <v>1810</v>
      </c>
      <c r="F1483" s="2" t="s">
        <v>1477</v>
      </c>
      <c r="G1483" s="2" t="s">
        <v>7484</v>
      </c>
      <c r="H1483" s="2" t="s">
        <v>2268</v>
      </c>
      <c r="I1483" s="2" t="s">
        <v>5924</v>
      </c>
      <c r="J1483" s="2" t="s">
        <v>7485</v>
      </c>
      <c r="K1483" s="3" t="b">
        <f>J1483 = "blocking"</f>
        <v>0</v>
      </c>
      <c r="L1483" s="2" t="s">
        <v>1428</v>
      </c>
      <c r="M1483" s="2" t="s">
        <v>7701</v>
      </c>
      <c r="N1483" s="4">
        <v>46223.1297337963</v>
      </c>
      <c r="O1483" s="3" t="b">
        <f>L1483 = "PASS"</f>
        <v>1</v>
      </c>
      <c r="P1483" s="3" t="b">
        <f>L1483 = "FAIL"</f>
        <v>0</v>
      </c>
      <c r="Q1483" s="3" t="b">
        <f>AND(P1483, K1483)</f>
        <v>0</v>
      </c>
      <c r="R1483" s="3" t="str">
        <f>IF(O1483, I1483, "")</f>
        <v>suite-witness</v>
      </c>
      <c r="S1483" s="3" t="str">
        <f>IF(Q1483, I1483, "")</f>
      </c>
      <c r="T1483" s="2" t="s">
        <v>5935</v>
      </c>
    </row>
    <row r="1484">
      <c r="A1484" s="2" t="s">
        <v>7814</v>
      </c>
      <c r="B1484" s="3" t="str">
        <f>C1484 &amp; ": " &amp; D1484</f>
        <v>witness-discriminates: RequirementSatisfactions.IsInterestedPartyAssertion</v>
      </c>
      <c r="C1484" s="2" t="s">
        <v>7483</v>
      </c>
      <c r="D1484" s="2" t="s">
        <v>3767</v>
      </c>
      <c r="E1484" s="2" t="s">
        <v>1810</v>
      </c>
      <c r="F1484" s="2" t="s">
        <v>1478</v>
      </c>
      <c r="G1484" s="2" t="s">
        <v>7484</v>
      </c>
      <c r="H1484" s="2" t="s">
        <v>2268</v>
      </c>
      <c r="I1484" s="2" t="s">
        <v>5924</v>
      </c>
      <c r="J1484" s="2" t="s">
        <v>7485</v>
      </c>
      <c r="K1484" s="3" t="b">
        <f>J1484 = "blocking"</f>
        <v>0</v>
      </c>
      <c r="L1484" s="2" t="s">
        <v>1428</v>
      </c>
      <c r="M1484" s="2" t="s">
        <v>7805</v>
      </c>
      <c r="N1484" s="4">
        <v>46223.1297337963</v>
      </c>
      <c r="O1484" s="3" t="b">
        <f>L1484 = "PASS"</f>
        <v>1</v>
      </c>
      <c r="P1484" s="3" t="b">
        <f>L1484 = "FAIL"</f>
        <v>0</v>
      </c>
      <c r="Q1484" s="3" t="b">
        <f>AND(P1484, K1484)</f>
        <v>0</v>
      </c>
      <c r="R1484" s="3" t="str">
        <f>IF(O1484, I1484, "")</f>
        <v>suite-witness</v>
      </c>
      <c r="S1484" s="3" t="str">
        <f>IF(Q1484, I1484, "")</f>
      </c>
      <c r="T1484" s="2" t="s">
        <v>5935</v>
      </c>
    </row>
    <row r="1485">
      <c r="A1485" s="2" t="s">
        <v>7815</v>
      </c>
      <c r="B1485" s="3" t="str">
        <f>C1485 &amp; ": " &amp; D1485</f>
        <v>witness-discriminates: RequirementSatisfactions.HasWrittenEvidence</v>
      </c>
      <c r="C1485" s="2" t="s">
        <v>7483</v>
      </c>
      <c r="D1485" s="2" t="s">
        <v>3769</v>
      </c>
      <c r="E1485" s="2" t="s">
        <v>1810</v>
      </c>
      <c r="F1485" s="2" t="s">
        <v>1479</v>
      </c>
      <c r="G1485" s="2" t="s">
        <v>7484</v>
      </c>
      <c r="H1485" s="2" t="s">
        <v>2268</v>
      </c>
      <c r="I1485" s="2" t="s">
        <v>5924</v>
      </c>
      <c r="J1485" s="2" t="s">
        <v>7485</v>
      </c>
      <c r="K1485" s="3" t="b">
        <f>J1485 = "blocking"</f>
        <v>0</v>
      </c>
      <c r="L1485" s="2" t="s">
        <v>1431</v>
      </c>
      <c r="M1485" s="2" t="s">
        <v>7706</v>
      </c>
      <c r="N1485" s="4">
        <v>46223.1297337963</v>
      </c>
      <c r="O1485" s="3" t="b">
        <f>L1485 = "PASS"</f>
        <v>0</v>
      </c>
      <c r="P1485" s="3" t="b">
        <f>L1485 = "FAIL"</f>
        <v>0</v>
      </c>
      <c r="Q1485" s="3" t="b">
        <f>AND(P1485, K1485)</f>
        <v>0</v>
      </c>
      <c r="R1485" s="3" t="str">
        <f>IF(O1485, I1485, "")</f>
      </c>
      <c r="S1485" s="3" t="str">
        <f>IF(Q1485, I1485, "")</f>
      </c>
      <c r="T1485" s="2" t="s">
        <v>5935</v>
      </c>
    </row>
    <row r="1486">
      <c r="A1486" s="2" t="s">
        <v>7816</v>
      </c>
      <c r="B1486" s="3" t="str">
        <f>C1486 &amp; ": " &amp; D1486</f>
        <v>witness-discriminates: RequirementSatisfactions.IsBareAssertion</v>
      </c>
      <c r="C1486" s="2" t="s">
        <v>7483</v>
      </c>
      <c r="D1486" s="2" t="s">
        <v>3771</v>
      </c>
      <c r="E1486" s="2" t="s">
        <v>1810</v>
      </c>
      <c r="F1486" s="2" t="s">
        <v>1480</v>
      </c>
      <c r="G1486" s="2" t="s">
        <v>7484</v>
      </c>
      <c r="H1486" s="2" t="s">
        <v>2268</v>
      </c>
      <c r="I1486" s="2" t="s">
        <v>5924</v>
      </c>
      <c r="J1486" s="2" t="s">
        <v>7485</v>
      </c>
      <c r="K1486" s="3" t="b">
        <f>J1486 = "blocking"</f>
        <v>0</v>
      </c>
      <c r="L1486" s="2" t="s">
        <v>1431</v>
      </c>
      <c r="M1486" s="2" t="s">
        <v>7703</v>
      </c>
      <c r="N1486" s="4">
        <v>46223.1297337963</v>
      </c>
      <c r="O1486" s="3" t="b">
        <f>L1486 = "PASS"</f>
        <v>0</v>
      </c>
      <c r="P1486" s="3" t="b">
        <f>L1486 = "FAIL"</f>
        <v>0</v>
      </c>
      <c r="Q1486" s="3" t="b">
        <f>AND(P1486, K1486)</f>
        <v>0</v>
      </c>
      <c r="R1486" s="3" t="str">
        <f>IF(O1486, I1486, "")</f>
      </c>
      <c r="S1486" s="3" t="str">
        <f>IF(Q1486, I1486, "")</f>
      </c>
      <c r="T1486" s="2" t="s">
        <v>5935</v>
      </c>
    </row>
    <row r="1487">
      <c r="A1487" s="2" t="s">
        <v>7817</v>
      </c>
      <c r="B1487" s="3" t="str">
        <f>C1487 &amp; ": " &amp; D1487</f>
        <v>witness-discriminates: RequirementSatisfactions.IsComputedlyWitnessed</v>
      </c>
      <c r="C1487" s="2" t="s">
        <v>7483</v>
      </c>
      <c r="D1487" s="2" t="s">
        <v>3775</v>
      </c>
      <c r="E1487" s="2" t="s">
        <v>1810</v>
      </c>
      <c r="F1487" s="2" t="s">
        <v>1482</v>
      </c>
      <c r="G1487" s="2" t="s">
        <v>7484</v>
      </c>
      <c r="H1487" s="2" t="s">
        <v>2276</v>
      </c>
      <c r="I1487" s="2" t="s">
        <v>5924</v>
      </c>
      <c r="J1487" s="2" t="s">
        <v>7485</v>
      </c>
      <c r="K1487" s="3" t="b">
        <f>J1487 = "blocking"</f>
        <v>0</v>
      </c>
      <c r="L1487" s="2" t="s">
        <v>1428</v>
      </c>
      <c r="M1487" s="2" t="s">
        <v>7701</v>
      </c>
      <c r="N1487" s="4">
        <v>46223.1297337963</v>
      </c>
      <c r="O1487" s="3" t="b">
        <f>L1487 = "PASS"</f>
        <v>1</v>
      </c>
      <c r="P1487" s="3" t="b">
        <f>L1487 = "FAIL"</f>
        <v>0</v>
      </c>
      <c r="Q1487" s="3" t="b">
        <f>AND(P1487, K1487)</f>
        <v>0</v>
      </c>
      <c r="R1487" s="3" t="str">
        <f>IF(O1487, I1487, "")</f>
        <v>suite-witness</v>
      </c>
      <c r="S1487" s="3" t="str">
        <f>IF(Q1487, I1487, "")</f>
      </c>
      <c r="T1487" s="2" t="s">
        <v>5935</v>
      </c>
    </row>
    <row r="1488">
      <c r="A1488" s="2" t="s">
        <v>7818</v>
      </c>
      <c r="B1488" s="3" t="str">
        <f>C1488 &amp; ": " &amp; D1488</f>
        <v>witness-discriminates: RequirementSatisfactions.WasScoredAfterAttestation</v>
      </c>
      <c r="C1488" s="2" t="s">
        <v>7483</v>
      </c>
      <c r="D1488" s="2" t="s">
        <v>3780</v>
      </c>
      <c r="E1488" s="2" t="s">
        <v>1810</v>
      </c>
      <c r="F1488" s="2" t="s">
        <v>1485</v>
      </c>
      <c r="G1488" s="2" t="s">
        <v>7484</v>
      </c>
      <c r="H1488" s="2" t="s">
        <v>2292</v>
      </c>
      <c r="I1488" s="2" t="s">
        <v>5924</v>
      </c>
      <c r="J1488" s="2" t="s">
        <v>7485</v>
      </c>
      <c r="K1488" s="3" t="b">
        <f>J1488 = "blocking"</f>
        <v>0</v>
      </c>
      <c r="L1488" s="2" t="s">
        <v>1431</v>
      </c>
      <c r="M1488" s="2" t="s">
        <v>7645</v>
      </c>
      <c r="N1488" s="4">
        <v>46223.1297337963</v>
      </c>
      <c r="O1488" s="3" t="b">
        <f>L1488 = "PASS"</f>
        <v>0</v>
      </c>
      <c r="P1488" s="3" t="b">
        <f>L1488 = "FAIL"</f>
        <v>0</v>
      </c>
      <c r="Q1488" s="3" t="b">
        <f>AND(P1488, K1488)</f>
        <v>0</v>
      </c>
      <c r="R1488" s="3" t="str">
        <f>IF(O1488, I1488, "")</f>
      </c>
      <c r="S1488" s="3" t="str">
        <f>IF(Q1488, I1488, "")</f>
      </c>
      <c r="T1488" s="2" t="s">
        <v>5935</v>
      </c>
    </row>
    <row r="1489">
      <c r="A1489" s="2" t="s">
        <v>7819</v>
      </c>
      <c r="B1489" s="3" t="str">
        <f>C1489 &amp; ": " &amp; D1489</f>
        <v>witness-discriminates: IssueOccurrences.IsUnresolved</v>
      </c>
      <c r="C1489" s="2" t="s">
        <v>7483</v>
      </c>
      <c r="D1489" s="2" t="s">
        <v>3804</v>
      </c>
      <c r="E1489" s="2" t="s">
        <v>1816</v>
      </c>
      <c r="F1489" s="2" t="s">
        <v>1525</v>
      </c>
      <c r="G1489" s="2" t="s">
        <v>7484</v>
      </c>
      <c r="H1489" s="2" t="s">
        <v>2104</v>
      </c>
      <c r="I1489" s="2" t="s">
        <v>5924</v>
      </c>
      <c r="J1489" s="2" t="s">
        <v>7485</v>
      </c>
      <c r="K1489" s="3" t="b">
        <f>J1489 = "blocking"</f>
        <v>0</v>
      </c>
      <c r="L1489" s="2" t="s">
        <v>1428</v>
      </c>
      <c r="M1489" s="2" t="s">
        <v>7712</v>
      </c>
      <c r="N1489" s="4">
        <v>46223.1297337963</v>
      </c>
      <c r="O1489" s="3" t="b">
        <f>L1489 = "PASS"</f>
        <v>1</v>
      </c>
      <c r="P1489" s="3" t="b">
        <f>L1489 = "FAIL"</f>
        <v>0</v>
      </c>
      <c r="Q1489" s="3" t="b">
        <f>AND(P1489, K1489)</f>
        <v>0</v>
      </c>
      <c r="R1489" s="3" t="str">
        <f>IF(O1489, I1489, "")</f>
        <v>suite-witness</v>
      </c>
      <c r="S1489" s="3" t="str">
        <f>IF(Q1489, I1489, "")</f>
      </c>
      <c r="T1489" s="2" t="s">
        <v>5935</v>
      </c>
    </row>
    <row r="1490">
      <c r="A1490" s="2" t="s">
        <v>7820</v>
      </c>
      <c r="B1490" s="3" t="str">
        <f>C1490 &amp; ": " &amp; D1490</f>
        <v>witness-discriminates: StewardshipAssignments.HasEverBeenReviewed</v>
      </c>
      <c r="C1490" s="2" t="s">
        <v>7483</v>
      </c>
      <c r="D1490" s="2" t="s">
        <v>3841</v>
      </c>
      <c r="E1490" s="2" t="s">
        <v>1839</v>
      </c>
      <c r="F1490" s="2" t="s">
        <v>1563</v>
      </c>
      <c r="G1490" s="2" t="s">
        <v>7484</v>
      </c>
      <c r="H1490" s="2" t="s">
        <v>1996</v>
      </c>
      <c r="I1490" s="2" t="s">
        <v>5924</v>
      </c>
      <c r="J1490" s="2" t="s">
        <v>7485</v>
      </c>
      <c r="K1490" s="3" t="b">
        <f>J1490 = "blocking"</f>
        <v>0</v>
      </c>
      <c r="L1490" s="2" t="s">
        <v>1431</v>
      </c>
      <c r="M1490" s="2" t="s">
        <v>7714</v>
      </c>
      <c r="N1490" s="4">
        <v>46223.1297337963</v>
      </c>
      <c r="O1490" s="3" t="b">
        <f>L1490 = "PASS"</f>
        <v>0</v>
      </c>
      <c r="P1490" s="3" t="b">
        <f>L1490 = "FAIL"</f>
        <v>0</v>
      </c>
      <c r="Q1490" s="3" t="b">
        <f>AND(P1490, K1490)</f>
        <v>0</v>
      </c>
      <c r="R1490" s="3" t="str">
        <f>IF(O1490, I1490, "")</f>
      </c>
      <c r="S1490" s="3" t="str">
        <f>IF(Q1490, I1490, "")</f>
      </c>
      <c r="T1490" s="2" t="s">
        <v>5935</v>
      </c>
    </row>
    <row r="1491">
      <c r="A1491" s="2" t="s">
        <v>7821</v>
      </c>
      <c r="B1491" s="3" t="str">
        <f>C1491 &amp; ": " &amp; D1491</f>
        <v>witness-discriminates: StewardshipAssignments.IsCurrentAssignment</v>
      </c>
      <c r="C1491" s="2" t="s">
        <v>7483</v>
      </c>
      <c r="D1491" s="2" t="s">
        <v>3845</v>
      </c>
      <c r="E1491" s="2" t="s">
        <v>1839</v>
      </c>
      <c r="F1491" s="2" t="s">
        <v>1564</v>
      </c>
      <c r="G1491" s="2" t="s">
        <v>7484</v>
      </c>
      <c r="H1491" s="2" t="s">
        <v>2000</v>
      </c>
      <c r="I1491" s="2" t="s">
        <v>5924</v>
      </c>
      <c r="J1491" s="2" t="s">
        <v>7485</v>
      </c>
      <c r="K1491" s="3" t="b">
        <f>J1491 = "blocking"</f>
        <v>0</v>
      </c>
      <c r="L1491" s="2" t="s">
        <v>1431</v>
      </c>
      <c r="M1491" s="2" t="s">
        <v>7714</v>
      </c>
      <c r="N1491" s="4">
        <v>46223.1297337963</v>
      </c>
      <c r="O1491" s="3" t="b">
        <f>L1491 = "PASS"</f>
        <v>0</v>
      </c>
      <c r="P1491" s="3" t="b">
        <f>L1491 = "FAIL"</f>
        <v>0</v>
      </c>
      <c r="Q1491" s="3" t="b">
        <f>AND(P1491, K1491)</f>
        <v>0</v>
      </c>
      <c r="R1491" s="3" t="str">
        <f>IF(O1491, I1491, "")</f>
      </c>
      <c r="S1491" s="3" t="str">
        <f>IF(Q1491, I1491, "")</f>
      </c>
      <c r="T1491" s="2" t="s">
        <v>5935</v>
      </c>
    </row>
    <row r="1492">
      <c r="A1492" s="2" t="s">
        <v>7822</v>
      </c>
      <c r="B1492" s="3" t="str">
        <f>C1492 &amp; ": " &amp; D1492</f>
        <v>witness-discriminates: ChangeRequests.IsOpen</v>
      </c>
      <c r="C1492" s="2" t="s">
        <v>7483</v>
      </c>
      <c r="D1492" s="2" t="s">
        <v>3859</v>
      </c>
      <c r="E1492" s="2" t="s">
        <v>3848</v>
      </c>
      <c r="F1492" s="2" t="s">
        <v>1179</v>
      </c>
      <c r="G1492" s="2" t="s">
        <v>7484</v>
      </c>
      <c r="H1492" s="2"/>
      <c r="I1492" s="2" t="s">
        <v>5924</v>
      </c>
      <c r="J1492" s="2" t="s">
        <v>7485</v>
      </c>
      <c r="K1492" s="3" t="b">
        <f>J1492 = "blocking"</f>
        <v>0</v>
      </c>
      <c r="L1492" s="2" t="s">
        <v>1428</v>
      </c>
      <c r="M1492" s="2" t="s">
        <v>7712</v>
      </c>
      <c r="N1492" s="4">
        <v>46223.1297337963</v>
      </c>
      <c r="O1492" s="3" t="b">
        <f>L1492 = "PASS"</f>
        <v>1</v>
      </c>
      <c r="P1492" s="3" t="b">
        <f>L1492 = "FAIL"</f>
        <v>0</v>
      </c>
      <c r="Q1492" s="3" t="b">
        <f>AND(P1492, K1492)</f>
        <v>0</v>
      </c>
      <c r="R1492" s="3" t="str">
        <f>IF(O1492, I1492, "")</f>
        <v>suite-witness</v>
      </c>
      <c r="S1492" s="3" t="str">
        <f>IF(Q1492, I1492, "")</f>
      </c>
      <c r="T1492" s="2" t="s">
        <v>5935</v>
      </c>
    </row>
    <row r="1493">
      <c r="A1493" s="2" t="s">
        <v>7823</v>
      </c>
      <c r="B1493" s="3" t="str">
        <f>C1493 &amp; ": " &amp; D1493</f>
        <v>witness-discriminates: ChangeRequests.IsDecided</v>
      </c>
      <c r="C1493" s="2" t="s">
        <v>7483</v>
      </c>
      <c r="D1493" s="2" t="s">
        <v>3863</v>
      </c>
      <c r="E1493" s="2" t="s">
        <v>3848</v>
      </c>
      <c r="F1493" s="2" t="s">
        <v>1575</v>
      </c>
      <c r="G1493" s="2" t="s">
        <v>7484</v>
      </c>
      <c r="H1493" s="2" t="s">
        <v>2012</v>
      </c>
      <c r="I1493" s="2" t="s">
        <v>5924</v>
      </c>
      <c r="J1493" s="2" t="s">
        <v>7485</v>
      </c>
      <c r="K1493" s="3" t="b">
        <f>J1493 = "blocking"</f>
        <v>0</v>
      </c>
      <c r="L1493" s="2" t="s">
        <v>1428</v>
      </c>
      <c r="M1493" s="2" t="s">
        <v>7712</v>
      </c>
      <c r="N1493" s="4">
        <v>46223.1297337963</v>
      </c>
      <c r="O1493" s="3" t="b">
        <f>L1493 = "PASS"</f>
        <v>1</v>
      </c>
      <c r="P1493" s="3" t="b">
        <f>L1493 = "FAIL"</f>
        <v>0</v>
      </c>
      <c r="Q1493" s="3" t="b">
        <f>AND(P1493, K1493)</f>
        <v>0</v>
      </c>
      <c r="R1493" s="3" t="str">
        <f>IF(O1493, I1493, "")</f>
        <v>suite-witness</v>
      </c>
      <c r="S1493" s="3" t="str">
        <f>IF(Q1493, I1493, "")</f>
      </c>
      <c r="T1493" s="2" t="s">
        <v>5935</v>
      </c>
    </row>
    <row r="1494">
      <c r="A1494" s="2" t="s">
        <v>7824</v>
      </c>
      <c r="B1494" s="3" t="str">
        <f>C1494 &amp; ": " &amp; D1494</f>
        <v>witness-discriminates: ChangeRequests.IsStillPending</v>
      </c>
      <c r="C1494" s="2" t="s">
        <v>7483</v>
      </c>
      <c r="D1494" s="2" t="s">
        <v>3869</v>
      </c>
      <c r="E1494" s="2" t="s">
        <v>3848</v>
      </c>
      <c r="F1494" s="2" t="s">
        <v>1577</v>
      </c>
      <c r="G1494" s="2" t="s">
        <v>7484</v>
      </c>
      <c r="H1494" s="2" t="s">
        <v>2012</v>
      </c>
      <c r="I1494" s="2" t="s">
        <v>5924</v>
      </c>
      <c r="J1494" s="2" t="s">
        <v>7485</v>
      </c>
      <c r="K1494" s="3" t="b">
        <f>J1494 = "blocking"</f>
        <v>0</v>
      </c>
      <c r="L1494" s="2" t="s">
        <v>1428</v>
      </c>
      <c r="M1494" s="2" t="s">
        <v>7712</v>
      </c>
      <c r="N1494" s="4">
        <v>46223.1297337963</v>
      </c>
      <c r="O1494" s="3" t="b">
        <f>L1494 = "PASS"</f>
        <v>1</v>
      </c>
      <c r="P1494" s="3" t="b">
        <f>L1494 = "FAIL"</f>
        <v>0</v>
      </c>
      <c r="Q1494" s="3" t="b">
        <f>AND(P1494, K1494)</f>
        <v>0</v>
      </c>
      <c r="R1494" s="3" t="str">
        <f>IF(O1494, I1494, "")</f>
        <v>suite-witness</v>
      </c>
      <c r="S1494" s="3" t="str">
        <f>IF(Q1494, I1494, "")</f>
      </c>
      <c r="T1494" s="2" t="s">
        <v>5935</v>
      </c>
    </row>
    <row r="1495">
      <c r="A1495" s="2" t="s">
        <v>7825</v>
      </c>
      <c r="B1495" s="3" t="str">
        <f>C1495 &amp; ": " &amp; D1495</f>
        <v>witness-discriminates: ChangeRequests.IsStalled</v>
      </c>
      <c r="C1495" s="2" t="s">
        <v>7483</v>
      </c>
      <c r="D1495" s="2" t="s">
        <v>3871</v>
      </c>
      <c r="E1495" s="2" t="s">
        <v>3848</v>
      </c>
      <c r="F1495" s="2" t="s">
        <v>1578</v>
      </c>
      <c r="G1495" s="2" t="s">
        <v>7484</v>
      </c>
      <c r="H1495" s="2" t="s">
        <v>2012</v>
      </c>
      <c r="I1495" s="2" t="s">
        <v>5924</v>
      </c>
      <c r="J1495" s="2" t="s">
        <v>7485</v>
      </c>
      <c r="K1495" s="3" t="b">
        <f>J1495 = "blocking"</f>
        <v>0</v>
      </c>
      <c r="L1495" s="2" t="s">
        <v>1431</v>
      </c>
      <c r="M1495" s="2" t="s">
        <v>7718</v>
      </c>
      <c r="N1495" s="4">
        <v>46223.1297337963</v>
      </c>
      <c r="O1495" s="3" t="b">
        <f>L1495 = "PASS"</f>
        <v>0</v>
      </c>
      <c r="P1495" s="3" t="b">
        <f>L1495 = "FAIL"</f>
        <v>0</v>
      </c>
      <c r="Q1495" s="3" t="b">
        <f>AND(P1495, K1495)</f>
        <v>0</v>
      </c>
      <c r="R1495" s="3" t="str">
        <f>IF(O1495, I1495, "")</f>
      </c>
      <c r="S1495" s="3" t="str">
        <f>IF(Q1495, I1495, "")</f>
      </c>
      <c r="T1495" s="2" t="s">
        <v>5935</v>
      </c>
    </row>
    <row r="1496">
      <c r="A1496" s="2" t="s">
        <v>7826</v>
      </c>
      <c r="B1496" s="3" t="str">
        <f>C1496 &amp; ": " &amp; D1496</f>
        <v>witness-discriminates: ChangeRequests.RequesterIsAuthority</v>
      </c>
      <c r="C1496" s="2" t="s">
        <v>7483</v>
      </c>
      <c r="D1496" s="2" t="s">
        <v>3875</v>
      </c>
      <c r="E1496" s="2" t="s">
        <v>3848</v>
      </c>
      <c r="F1496" s="2" t="s">
        <v>1580</v>
      </c>
      <c r="G1496" s="2" t="s">
        <v>7484</v>
      </c>
      <c r="H1496" s="2" t="s">
        <v>2012</v>
      </c>
      <c r="I1496" s="2" t="s">
        <v>5924</v>
      </c>
      <c r="J1496" s="2" t="s">
        <v>7485</v>
      </c>
      <c r="K1496" s="3" t="b">
        <f>J1496 = "blocking"</f>
        <v>0</v>
      </c>
      <c r="L1496" s="2" t="s">
        <v>1431</v>
      </c>
      <c r="M1496" s="2" t="s">
        <v>7718</v>
      </c>
      <c r="N1496" s="4">
        <v>46223.1297337963</v>
      </c>
      <c r="O1496" s="3" t="b">
        <f>L1496 = "PASS"</f>
        <v>0</v>
      </c>
      <c r="P1496" s="3" t="b">
        <f>L1496 = "FAIL"</f>
        <v>0</v>
      </c>
      <c r="Q1496" s="3" t="b">
        <f>AND(P1496, K1496)</f>
        <v>0</v>
      </c>
      <c r="R1496" s="3" t="str">
        <f>IF(O1496, I1496, "")</f>
      </c>
      <c r="S1496" s="3" t="str">
        <f>IF(Q1496, I1496, "")</f>
      </c>
      <c r="T1496" s="2" t="s">
        <v>5935</v>
      </c>
    </row>
    <row r="1497">
      <c r="A1497" s="2" t="s">
        <v>7827</v>
      </c>
      <c r="B1497" s="3" t="str">
        <f>C1497 &amp; ": " &amp; D1497</f>
        <v>witness-discriminates: ChangeRequests.AwaitsAuthorityDecision</v>
      </c>
      <c r="C1497" s="2" t="s">
        <v>7483</v>
      </c>
      <c r="D1497" s="2" t="s">
        <v>3877</v>
      </c>
      <c r="E1497" s="2" t="s">
        <v>3848</v>
      </c>
      <c r="F1497" s="2" t="s">
        <v>1581</v>
      </c>
      <c r="G1497" s="2" t="s">
        <v>7484</v>
      </c>
      <c r="H1497" s="2" t="s">
        <v>2116</v>
      </c>
      <c r="I1497" s="2" t="s">
        <v>5924</v>
      </c>
      <c r="J1497" s="2" t="s">
        <v>7485</v>
      </c>
      <c r="K1497" s="3" t="b">
        <f>J1497 = "blocking"</f>
        <v>0</v>
      </c>
      <c r="L1497" s="2" t="s">
        <v>1428</v>
      </c>
      <c r="M1497" s="2" t="s">
        <v>7712</v>
      </c>
      <c r="N1497" s="4">
        <v>46223.1297337963</v>
      </c>
      <c r="O1497" s="3" t="b">
        <f>L1497 = "PASS"</f>
        <v>1</v>
      </c>
      <c r="P1497" s="3" t="b">
        <f>L1497 = "FAIL"</f>
        <v>0</v>
      </c>
      <c r="Q1497" s="3" t="b">
        <f>AND(P1497, K1497)</f>
        <v>0</v>
      </c>
      <c r="R1497" s="3" t="str">
        <f>IF(O1497, I1497, "")</f>
        <v>suite-witness</v>
      </c>
      <c r="S1497" s="3" t="str">
        <f>IF(Q1497, I1497, "")</f>
      </c>
      <c r="T1497" s="2" t="s">
        <v>5935</v>
      </c>
    </row>
    <row r="1498">
      <c r="A1498" s="2" t="s">
        <v>7828</v>
      </c>
      <c r="B1498" s="3" t="str">
        <f>C1498 &amp; ": " &amp; D1498</f>
        <v>witness-discriminates: ChangeRequests.TouchesLiveVersion</v>
      </c>
      <c r="C1498" s="2" t="s">
        <v>7483</v>
      </c>
      <c r="D1498" s="2" t="s">
        <v>3881</v>
      </c>
      <c r="E1498" s="2" t="s">
        <v>3848</v>
      </c>
      <c r="F1498" s="2" t="s">
        <v>1583</v>
      </c>
      <c r="G1498" s="2" t="s">
        <v>7484</v>
      </c>
      <c r="H1498" s="2" t="s">
        <v>2116</v>
      </c>
      <c r="I1498" s="2" t="s">
        <v>5924</v>
      </c>
      <c r="J1498" s="2" t="s">
        <v>7485</v>
      </c>
      <c r="K1498" s="3" t="b">
        <f>J1498 = "blocking"</f>
        <v>0</v>
      </c>
      <c r="L1498" s="2" t="s">
        <v>1431</v>
      </c>
      <c r="M1498" s="2" t="s">
        <v>7714</v>
      </c>
      <c r="N1498" s="4">
        <v>46223.1297337963</v>
      </c>
      <c r="O1498" s="3" t="b">
        <f>L1498 = "PASS"</f>
        <v>0</v>
      </c>
      <c r="P1498" s="3" t="b">
        <f>L1498 = "FAIL"</f>
        <v>0</v>
      </c>
      <c r="Q1498" s="3" t="b">
        <f>AND(P1498, K1498)</f>
        <v>0</v>
      </c>
      <c r="R1498" s="3" t="str">
        <f>IF(O1498, I1498, "")</f>
      </c>
      <c r="S1498" s="3" t="str">
        <f>IF(Q1498, I1498, "")</f>
      </c>
      <c r="T1498" s="2" t="s">
        <v>5935</v>
      </c>
    </row>
    <row r="1499">
      <c r="A1499" s="2" t="s">
        <v>7829</v>
      </c>
      <c r="B1499" s="3" t="str">
        <f>C1499 &amp; ": " &amp; D1499</f>
        <v>witness-discriminates: ChangeRequests.IsLiveDecisionBacklog</v>
      </c>
      <c r="C1499" s="2" t="s">
        <v>7483</v>
      </c>
      <c r="D1499" s="2" t="s">
        <v>3882</v>
      </c>
      <c r="E1499" s="2" t="s">
        <v>3848</v>
      </c>
      <c r="F1499" s="2" t="s">
        <v>1584</v>
      </c>
      <c r="G1499" s="2" t="s">
        <v>7484</v>
      </c>
      <c r="H1499" s="2" t="s">
        <v>2116</v>
      </c>
      <c r="I1499" s="2" t="s">
        <v>5924</v>
      </c>
      <c r="J1499" s="2" t="s">
        <v>7485</v>
      </c>
      <c r="K1499" s="3" t="b">
        <f>J1499 = "blocking"</f>
        <v>0</v>
      </c>
      <c r="L1499" s="2" t="s">
        <v>1428</v>
      </c>
      <c r="M1499" s="2" t="s">
        <v>7712</v>
      </c>
      <c r="N1499" s="4">
        <v>46223.1297337963</v>
      </c>
      <c r="O1499" s="3" t="b">
        <f>L1499 = "PASS"</f>
        <v>1</v>
      </c>
      <c r="P1499" s="3" t="b">
        <f>L1499 = "FAIL"</f>
        <v>0</v>
      </c>
      <c r="Q1499" s="3" t="b">
        <f>AND(P1499, K1499)</f>
        <v>0</v>
      </c>
      <c r="R1499" s="3" t="str">
        <f>IF(O1499, I1499, "")</f>
        <v>suite-witness</v>
      </c>
      <c r="S1499" s="3" t="str">
        <f>IF(Q1499, I1499, "")</f>
      </c>
      <c r="T1499" s="2" t="s">
        <v>5935</v>
      </c>
    </row>
    <row r="1500">
      <c r="A1500" s="2" t="s">
        <v>7830</v>
      </c>
      <c r="B1500" s="3" t="str">
        <f>C1500 &amp; ": " &amp; D1500</f>
        <v>witness-discriminates: ChangeRequests.BlocksAnOpenGap</v>
      </c>
      <c r="C1500" s="2" t="s">
        <v>7483</v>
      </c>
      <c r="D1500" s="2" t="s">
        <v>3884</v>
      </c>
      <c r="E1500" s="2" t="s">
        <v>3848</v>
      </c>
      <c r="F1500" s="2" t="s">
        <v>1585</v>
      </c>
      <c r="G1500" s="2" t="s">
        <v>7484</v>
      </c>
      <c r="H1500" s="2" t="s">
        <v>2116</v>
      </c>
      <c r="I1500" s="2" t="s">
        <v>5924</v>
      </c>
      <c r="J1500" s="2" t="s">
        <v>7485</v>
      </c>
      <c r="K1500" s="3" t="b">
        <f>J1500 = "blocking"</f>
        <v>0</v>
      </c>
      <c r="L1500" s="2" t="s">
        <v>1428</v>
      </c>
      <c r="M1500" s="2" t="s">
        <v>7712</v>
      </c>
      <c r="N1500" s="4">
        <v>46223.1297337963</v>
      </c>
      <c r="O1500" s="3" t="b">
        <f>L1500 = "PASS"</f>
        <v>1</v>
      </c>
      <c r="P1500" s="3" t="b">
        <f>L1500 = "FAIL"</f>
        <v>0</v>
      </c>
      <c r="Q1500" s="3" t="b">
        <f>AND(P1500, K1500)</f>
        <v>0</v>
      </c>
      <c r="R1500" s="3" t="str">
        <f>IF(O1500, I1500, "")</f>
        <v>suite-witness</v>
      </c>
      <c r="S1500" s="3" t="str">
        <f>IF(Q1500, I1500, "")</f>
      </c>
      <c r="T1500" s="2" t="s">
        <v>5935</v>
      </c>
    </row>
    <row r="1501">
      <c r="A1501" s="2" t="s">
        <v>7831</v>
      </c>
      <c r="B1501" s="3" t="str">
        <f>C1501 &amp; ": " &amp; D1501</f>
        <v>witness-discriminates: ChangeRequests.IsMyPendingDecision</v>
      </c>
      <c r="C1501" s="2" t="s">
        <v>7483</v>
      </c>
      <c r="D1501" s="2" t="s">
        <v>3889</v>
      </c>
      <c r="E1501" s="2" t="s">
        <v>3848</v>
      </c>
      <c r="F1501" s="2" t="s">
        <v>1588</v>
      </c>
      <c r="G1501" s="2" t="s">
        <v>7484</v>
      </c>
      <c r="H1501" s="2" t="s">
        <v>2196</v>
      </c>
      <c r="I1501" s="2" t="s">
        <v>5924</v>
      </c>
      <c r="J1501" s="2" t="s">
        <v>7485</v>
      </c>
      <c r="K1501" s="3" t="b">
        <f>J1501 = "blocking"</f>
        <v>0</v>
      </c>
      <c r="L1501" s="2" t="s">
        <v>1428</v>
      </c>
      <c r="M1501" s="2" t="s">
        <v>7712</v>
      </c>
      <c r="N1501" s="4">
        <v>46223.1297337963</v>
      </c>
      <c r="O1501" s="3" t="b">
        <f>L1501 = "PASS"</f>
        <v>1</v>
      </c>
      <c r="P1501" s="3" t="b">
        <f>L1501 = "FAIL"</f>
        <v>0</v>
      </c>
      <c r="Q1501" s="3" t="b">
        <f>AND(P1501, K1501)</f>
        <v>0</v>
      </c>
      <c r="R1501" s="3" t="str">
        <f>IF(O1501, I1501, "")</f>
        <v>suite-witness</v>
      </c>
      <c r="S1501" s="3" t="str">
        <f>IF(Q1501, I1501, "")</f>
      </c>
      <c r="T1501" s="2" t="s">
        <v>5935</v>
      </c>
    </row>
    <row r="1502">
      <c r="A1502" s="2" t="s">
        <v>7832</v>
      </c>
      <c r="B1502" s="3" t="str">
        <f>C1502 &amp; ": " &amp; D1502</f>
        <v>witness-discriminates: ChangeRequests.IsMyBlockingBacklog</v>
      </c>
      <c r="C1502" s="2" t="s">
        <v>7483</v>
      </c>
      <c r="D1502" s="2" t="s">
        <v>3891</v>
      </c>
      <c r="E1502" s="2" t="s">
        <v>3848</v>
      </c>
      <c r="F1502" s="2" t="s">
        <v>1589</v>
      </c>
      <c r="G1502" s="2" t="s">
        <v>7484</v>
      </c>
      <c r="H1502" s="2" t="s">
        <v>2196</v>
      </c>
      <c r="I1502" s="2" t="s">
        <v>5924</v>
      </c>
      <c r="J1502" s="2" t="s">
        <v>7485</v>
      </c>
      <c r="K1502" s="3" t="b">
        <f>J1502 = "blocking"</f>
        <v>0</v>
      </c>
      <c r="L1502" s="2" t="s">
        <v>1428</v>
      </c>
      <c r="M1502" s="2" t="s">
        <v>7712</v>
      </c>
      <c r="N1502" s="4">
        <v>46223.1297337963</v>
      </c>
      <c r="O1502" s="3" t="b">
        <f>L1502 = "PASS"</f>
        <v>1</v>
      </c>
      <c r="P1502" s="3" t="b">
        <f>L1502 = "FAIL"</f>
        <v>0</v>
      </c>
      <c r="Q1502" s="3" t="b">
        <f>AND(P1502, K1502)</f>
        <v>0</v>
      </c>
      <c r="R1502" s="3" t="str">
        <f>IF(O1502, I1502, "")</f>
        <v>suite-witness</v>
      </c>
      <c r="S1502" s="3" t="str">
        <f>IF(Q1502, I1502, "")</f>
      </c>
      <c r="T1502" s="2" t="s">
        <v>5935</v>
      </c>
    </row>
    <row r="1503">
      <c r="A1503" s="2" t="s">
        <v>7833</v>
      </c>
      <c r="B1503" s="3" t="str">
        <f>C1503 &amp; ": " &amp; D1503</f>
        <v>witness-discriminates: ChangeRequests.IsMyOverdueBacklog</v>
      </c>
      <c r="C1503" s="2" t="s">
        <v>7483</v>
      </c>
      <c r="D1503" s="2" t="s">
        <v>3893</v>
      </c>
      <c r="E1503" s="2" t="s">
        <v>3848</v>
      </c>
      <c r="F1503" s="2" t="s">
        <v>1590</v>
      </c>
      <c r="G1503" s="2" t="s">
        <v>7484</v>
      </c>
      <c r="H1503" s="2" t="s">
        <v>2196</v>
      </c>
      <c r="I1503" s="2" t="s">
        <v>5924</v>
      </c>
      <c r="J1503" s="2" t="s">
        <v>7485</v>
      </c>
      <c r="K1503" s="3" t="b">
        <f>J1503 = "blocking"</f>
        <v>0</v>
      </c>
      <c r="L1503" s="2" t="s">
        <v>1431</v>
      </c>
      <c r="M1503" s="2" t="s">
        <v>7718</v>
      </c>
      <c r="N1503" s="4">
        <v>46223.1297337963</v>
      </c>
      <c r="O1503" s="3" t="b">
        <f>L1503 = "PASS"</f>
        <v>0</v>
      </c>
      <c r="P1503" s="3" t="b">
        <f>L1503 = "FAIL"</f>
        <v>0</v>
      </c>
      <c r="Q1503" s="3" t="b">
        <f>AND(P1503, K1503)</f>
        <v>0</v>
      </c>
      <c r="R1503" s="3" t="str">
        <f>IF(O1503, I1503, "")</f>
      </c>
      <c r="S1503" s="3" t="str">
        <f>IF(Q1503, I1503, "")</f>
      </c>
      <c r="T1503" s="2" t="s">
        <v>5935</v>
      </c>
    </row>
    <row r="1504">
      <c r="A1504" s="2" t="s">
        <v>7834</v>
      </c>
      <c r="B1504" s="3" t="str">
        <f>C1504 &amp; ": " &amp; D1504</f>
        <v>witness-discriminates: ChangeRequests.IsImplemented</v>
      </c>
      <c r="C1504" s="2" t="s">
        <v>7483</v>
      </c>
      <c r="D1504" s="2" t="s">
        <v>3895</v>
      </c>
      <c r="E1504" s="2" t="s">
        <v>3848</v>
      </c>
      <c r="F1504" s="2" t="s">
        <v>1591</v>
      </c>
      <c r="G1504" s="2" t="s">
        <v>7484</v>
      </c>
      <c r="H1504" s="2" t="s">
        <v>2208</v>
      </c>
      <c r="I1504" s="2" t="s">
        <v>5924</v>
      </c>
      <c r="J1504" s="2" t="s">
        <v>7485</v>
      </c>
      <c r="K1504" s="3" t="b">
        <f>J1504 = "blocking"</f>
        <v>0</v>
      </c>
      <c r="L1504" s="2" t="s">
        <v>1428</v>
      </c>
      <c r="M1504" s="2" t="s">
        <v>7712</v>
      </c>
      <c r="N1504" s="4">
        <v>46223.1297337963</v>
      </c>
      <c r="O1504" s="3" t="b">
        <f>L1504 = "PASS"</f>
        <v>1</v>
      </c>
      <c r="P1504" s="3" t="b">
        <f>L1504 = "FAIL"</f>
        <v>0</v>
      </c>
      <c r="Q1504" s="3" t="b">
        <f>AND(P1504, K1504)</f>
        <v>0</v>
      </c>
      <c r="R1504" s="3" t="str">
        <f>IF(O1504, I1504, "")</f>
        <v>suite-witness</v>
      </c>
      <c r="S1504" s="3" t="str">
        <f>IF(Q1504, I1504, "")</f>
      </c>
      <c r="T1504" s="2" t="s">
        <v>5935</v>
      </c>
    </row>
    <row r="1505">
      <c r="A1505" s="2" t="s">
        <v>7835</v>
      </c>
      <c r="B1505" s="3" t="str">
        <f>C1505 &amp; ": " &amp; D1505</f>
        <v>witness-discriminates: ChangeRequests.IsMyDecidedRequest</v>
      </c>
      <c r="C1505" s="2" t="s">
        <v>7483</v>
      </c>
      <c r="D1505" s="2" t="s">
        <v>3897</v>
      </c>
      <c r="E1505" s="2" t="s">
        <v>3848</v>
      </c>
      <c r="F1505" s="2" t="s">
        <v>1592</v>
      </c>
      <c r="G1505" s="2" t="s">
        <v>7484</v>
      </c>
      <c r="H1505" s="2" t="s">
        <v>2208</v>
      </c>
      <c r="I1505" s="2" t="s">
        <v>5924</v>
      </c>
      <c r="J1505" s="2" t="s">
        <v>7485</v>
      </c>
      <c r="K1505" s="3" t="b">
        <f>J1505 = "blocking"</f>
        <v>0</v>
      </c>
      <c r="L1505" s="2" t="s">
        <v>1431</v>
      </c>
      <c r="M1505" s="2" t="s">
        <v>7718</v>
      </c>
      <c r="N1505" s="4">
        <v>46223.1297337963</v>
      </c>
      <c r="O1505" s="3" t="b">
        <f>L1505 = "PASS"</f>
        <v>0</v>
      </c>
      <c r="P1505" s="3" t="b">
        <f>L1505 = "FAIL"</f>
        <v>0</v>
      </c>
      <c r="Q1505" s="3" t="b">
        <f>AND(P1505, K1505)</f>
        <v>0</v>
      </c>
      <c r="R1505" s="3" t="str">
        <f>IF(O1505, I1505, "")</f>
      </c>
      <c r="S1505" s="3" t="str">
        <f>IF(Q1505, I1505, "")</f>
      </c>
      <c r="T1505" s="2" t="s">
        <v>5935</v>
      </c>
    </row>
    <row r="1506">
      <c r="A1506" s="2" t="s">
        <v>7836</v>
      </c>
      <c r="B1506" s="3" t="str">
        <f>C1506 &amp; ": " &amp; D1506</f>
        <v>witness-discriminates: ChangeRequests.IsMyDecidedButUnlanded</v>
      </c>
      <c r="C1506" s="2" t="s">
        <v>7483</v>
      </c>
      <c r="D1506" s="2" t="s">
        <v>3899</v>
      </c>
      <c r="E1506" s="2" t="s">
        <v>3848</v>
      </c>
      <c r="F1506" s="2" t="s">
        <v>1593</v>
      </c>
      <c r="G1506" s="2" t="s">
        <v>7484</v>
      </c>
      <c r="H1506" s="2" t="s">
        <v>2208</v>
      </c>
      <c r="I1506" s="2" t="s">
        <v>5924</v>
      </c>
      <c r="J1506" s="2" t="s">
        <v>7485</v>
      </c>
      <c r="K1506" s="3" t="b">
        <f>J1506 = "blocking"</f>
        <v>0</v>
      </c>
      <c r="L1506" s="2" t="s">
        <v>1431</v>
      </c>
      <c r="M1506" s="2" t="s">
        <v>7718</v>
      </c>
      <c r="N1506" s="4">
        <v>46223.1297337963</v>
      </c>
      <c r="O1506" s="3" t="b">
        <f>L1506 = "PASS"</f>
        <v>0</v>
      </c>
      <c r="P1506" s="3" t="b">
        <f>L1506 = "FAIL"</f>
        <v>0</v>
      </c>
      <c r="Q1506" s="3" t="b">
        <f>AND(P1506, K1506)</f>
        <v>0</v>
      </c>
      <c r="R1506" s="3" t="str">
        <f>IF(O1506, I1506, "")</f>
      </c>
      <c r="S1506" s="3" t="str">
        <f>IF(Q1506, I1506, "")</f>
      </c>
      <c r="T1506" s="2" t="s">
        <v>5935</v>
      </c>
    </row>
    <row r="1507">
      <c r="A1507" s="2" t="s">
        <v>7837</v>
      </c>
      <c r="B1507" s="3" t="str">
        <f>C1507 &amp; ": " &amp; D1507</f>
        <v>witness-discriminates: ChangeRequests.DelayIsDownstreamOfMe</v>
      </c>
      <c r="C1507" s="2" t="s">
        <v>7483</v>
      </c>
      <c r="D1507" s="2" t="s">
        <v>3905</v>
      </c>
      <c r="E1507" s="2" t="s">
        <v>3848</v>
      </c>
      <c r="F1507" s="2" t="s">
        <v>1596</v>
      </c>
      <c r="G1507" s="2" t="s">
        <v>7484</v>
      </c>
      <c r="H1507" s="2" t="s">
        <v>2208</v>
      </c>
      <c r="I1507" s="2" t="s">
        <v>5924</v>
      </c>
      <c r="J1507" s="2" t="s">
        <v>7485</v>
      </c>
      <c r="K1507" s="3" t="b">
        <f>J1507 = "blocking"</f>
        <v>0</v>
      </c>
      <c r="L1507" s="2" t="s">
        <v>1431</v>
      </c>
      <c r="M1507" s="2" t="s">
        <v>7718</v>
      </c>
      <c r="N1507" s="4">
        <v>46223.1297337963</v>
      </c>
      <c r="O1507" s="3" t="b">
        <f>L1507 = "PASS"</f>
        <v>0</v>
      </c>
      <c r="P1507" s="3" t="b">
        <f>L1507 = "FAIL"</f>
        <v>0</v>
      </c>
      <c r="Q1507" s="3" t="b">
        <f>AND(P1507, K1507)</f>
        <v>0</v>
      </c>
      <c r="R1507" s="3" t="str">
        <f>IF(O1507, I1507, "")</f>
      </c>
      <c r="S1507" s="3" t="str">
        <f>IF(Q1507, I1507, "")</f>
      </c>
      <c r="T1507" s="2" t="s">
        <v>5935</v>
      </c>
    </row>
    <row r="1508">
      <c r="A1508" s="2" t="s">
        <v>7838</v>
      </c>
      <c r="B1508" s="3" t="str">
        <f>C1508 &amp; ": " &amp; D1508</f>
        <v>witness-discriminates: ChangeRequests.IsApprovedNotImplemented</v>
      </c>
      <c r="C1508" s="2" t="s">
        <v>7483</v>
      </c>
      <c r="D1508" s="2" t="s">
        <v>3909</v>
      </c>
      <c r="E1508" s="2" t="s">
        <v>3848</v>
      </c>
      <c r="F1508" s="2" t="s">
        <v>1598</v>
      </c>
      <c r="G1508" s="2" t="s">
        <v>7484</v>
      </c>
      <c r="H1508" s="2" t="s">
        <v>2228</v>
      </c>
      <c r="I1508" s="2" t="s">
        <v>5924</v>
      </c>
      <c r="J1508" s="2" t="s">
        <v>7485</v>
      </c>
      <c r="K1508" s="3" t="b">
        <f>J1508 = "blocking"</f>
        <v>0</v>
      </c>
      <c r="L1508" s="2" t="s">
        <v>1431</v>
      </c>
      <c r="M1508" s="2" t="s">
        <v>7718</v>
      </c>
      <c r="N1508" s="4">
        <v>46223.1297337963</v>
      </c>
      <c r="O1508" s="3" t="b">
        <f>L1508 = "PASS"</f>
        <v>0</v>
      </c>
      <c r="P1508" s="3" t="b">
        <f>L1508 = "FAIL"</f>
        <v>0</v>
      </c>
      <c r="Q1508" s="3" t="b">
        <f>AND(P1508, K1508)</f>
        <v>0</v>
      </c>
      <c r="R1508" s="3" t="str">
        <f>IF(O1508, I1508, "")</f>
      </c>
      <c r="S1508" s="3" t="str">
        <f>IF(Q1508, I1508, "")</f>
      </c>
      <c r="T1508" s="2" t="s">
        <v>5935</v>
      </c>
    </row>
    <row r="1509">
      <c r="A1509" s="2" t="s">
        <v>7839</v>
      </c>
      <c r="B1509" s="3" t="str">
        <f>C1509 &amp; ": " &amp; D1509</f>
        <v>witness-discriminates: ChangeRequests.IsStalledImplementation</v>
      </c>
      <c r="C1509" s="2" t="s">
        <v>7483</v>
      </c>
      <c r="D1509" s="2" t="s">
        <v>3913</v>
      </c>
      <c r="E1509" s="2" t="s">
        <v>3848</v>
      </c>
      <c r="F1509" s="2" t="s">
        <v>1600</v>
      </c>
      <c r="G1509" s="2" t="s">
        <v>7484</v>
      </c>
      <c r="H1509" s="2" t="s">
        <v>2228</v>
      </c>
      <c r="I1509" s="2" t="s">
        <v>5924</v>
      </c>
      <c r="J1509" s="2" t="s">
        <v>7485</v>
      </c>
      <c r="K1509" s="3" t="b">
        <f>J1509 = "blocking"</f>
        <v>0</v>
      </c>
      <c r="L1509" s="2" t="s">
        <v>1431</v>
      </c>
      <c r="M1509" s="2" t="s">
        <v>7718</v>
      </c>
      <c r="N1509" s="4">
        <v>46223.1297337963</v>
      </c>
      <c r="O1509" s="3" t="b">
        <f>L1509 = "PASS"</f>
        <v>0</v>
      </c>
      <c r="P1509" s="3" t="b">
        <f>L1509 = "FAIL"</f>
        <v>0</v>
      </c>
      <c r="Q1509" s="3" t="b">
        <f>AND(P1509, K1509)</f>
        <v>0</v>
      </c>
      <c r="R1509" s="3" t="str">
        <f>IF(O1509, I1509, "")</f>
      </c>
      <c r="S1509" s="3" t="str">
        <f>IF(Q1509, I1509, "")</f>
      </c>
      <c r="T1509" s="2" t="s">
        <v>5935</v>
      </c>
    </row>
    <row r="1510">
      <c r="A1510" s="2" t="s">
        <v>7840</v>
      </c>
      <c r="B1510" s="3" t="str">
        <f>C1510 &amp; ": " &amp; D1510</f>
        <v>witness-discriminates: ChangeRequests.IsApprovedDecision</v>
      </c>
      <c r="C1510" s="2" t="s">
        <v>7483</v>
      </c>
      <c r="D1510" s="2" t="s">
        <v>3919</v>
      </c>
      <c r="E1510" s="2" t="s">
        <v>3848</v>
      </c>
      <c r="F1510" s="2" t="s">
        <v>1603</v>
      </c>
      <c r="G1510" s="2" t="s">
        <v>7484</v>
      </c>
      <c r="H1510" s="2" t="s">
        <v>2272</v>
      </c>
      <c r="I1510" s="2" t="s">
        <v>5924</v>
      </c>
      <c r="J1510" s="2" t="s">
        <v>7485</v>
      </c>
      <c r="K1510" s="3" t="b">
        <f>J1510 = "blocking"</f>
        <v>0</v>
      </c>
      <c r="L1510" s="2" t="s">
        <v>1428</v>
      </c>
      <c r="M1510" s="2" t="s">
        <v>7712</v>
      </c>
      <c r="N1510" s="4">
        <v>46223.1297337963</v>
      </c>
      <c r="O1510" s="3" t="b">
        <f>L1510 = "PASS"</f>
        <v>1</v>
      </c>
      <c r="P1510" s="3" t="b">
        <f>L1510 = "FAIL"</f>
        <v>0</v>
      </c>
      <c r="Q1510" s="3" t="b">
        <f>AND(P1510, K1510)</f>
        <v>0</v>
      </c>
      <c r="R1510" s="3" t="str">
        <f>IF(O1510, I1510, "")</f>
        <v>suite-witness</v>
      </c>
      <c r="S1510" s="3" t="str">
        <f>IF(Q1510, I1510, "")</f>
      </c>
      <c r="T1510" s="2" t="s">
        <v>5935</v>
      </c>
    </row>
    <row r="1511">
      <c r="A1511" s="2" t="s">
        <v>7841</v>
      </c>
      <c r="B1511" s="3" t="str">
        <f>C1511 &amp; ": " &amp; D1511</f>
        <v>witness-discriminates: ReviewEvents.IsOverdue</v>
      </c>
      <c r="C1511" s="2" t="s">
        <v>7483</v>
      </c>
      <c r="D1511" s="2" t="s">
        <v>3934</v>
      </c>
      <c r="E1511" s="2" t="s">
        <v>3922</v>
      </c>
      <c r="F1511" s="2" t="s">
        <v>1618</v>
      </c>
      <c r="G1511" s="2" t="s">
        <v>7484</v>
      </c>
      <c r="H1511" s="2"/>
      <c r="I1511" s="2" t="s">
        <v>5924</v>
      </c>
      <c r="J1511" s="2" t="s">
        <v>7485</v>
      </c>
      <c r="K1511" s="3" t="b">
        <f>J1511 = "blocking"</f>
        <v>0</v>
      </c>
      <c r="L1511" s="2" t="s">
        <v>1428</v>
      </c>
      <c r="M1511" s="2" t="s">
        <v>7538</v>
      </c>
      <c r="N1511" s="4">
        <v>46223.1297337963</v>
      </c>
      <c r="O1511" s="3" t="b">
        <f>L1511 = "PASS"</f>
        <v>1</v>
      </c>
      <c r="P1511" s="3" t="b">
        <f>L1511 = "FAIL"</f>
        <v>0</v>
      </c>
      <c r="Q1511" s="3" t="b">
        <f>AND(P1511, K1511)</f>
        <v>0</v>
      </c>
      <c r="R1511" s="3" t="str">
        <f>IF(O1511, I1511, "")</f>
        <v>suite-witness</v>
      </c>
      <c r="S1511" s="3" t="str">
        <f>IF(Q1511, I1511, "")</f>
      </c>
      <c r="T1511" s="2" t="s">
        <v>5935</v>
      </c>
    </row>
    <row r="1512">
      <c r="A1512" s="2" t="s">
        <v>7842</v>
      </c>
      <c r="B1512" s="3" t="str">
        <f>C1512 &amp; ": " &amp; D1512</f>
        <v>witness-discriminates: ReviewEvents.ExceedsPromisedCadence</v>
      </c>
      <c r="C1512" s="2" t="s">
        <v>7483</v>
      </c>
      <c r="D1512" s="2" t="s">
        <v>3941</v>
      </c>
      <c r="E1512" s="2" t="s">
        <v>3922</v>
      </c>
      <c r="F1512" s="2" t="s">
        <v>1622</v>
      </c>
      <c r="G1512" s="2" t="s">
        <v>7484</v>
      </c>
      <c r="H1512" s="2" t="s">
        <v>1996</v>
      </c>
      <c r="I1512" s="2" t="s">
        <v>5924</v>
      </c>
      <c r="J1512" s="2" t="s">
        <v>7485</v>
      </c>
      <c r="K1512" s="3" t="b">
        <f>J1512 = "blocking"</f>
        <v>0</v>
      </c>
      <c r="L1512" s="2" t="s">
        <v>1428</v>
      </c>
      <c r="M1512" s="2" t="s">
        <v>7538</v>
      </c>
      <c r="N1512" s="4">
        <v>46223.1297337963</v>
      </c>
      <c r="O1512" s="3" t="b">
        <f>L1512 = "PASS"</f>
        <v>1</v>
      </c>
      <c r="P1512" s="3" t="b">
        <f>L1512 = "FAIL"</f>
        <v>0</v>
      </c>
      <c r="Q1512" s="3" t="b">
        <f>AND(P1512, K1512)</f>
        <v>0</v>
      </c>
      <c r="R1512" s="3" t="str">
        <f>IF(O1512, I1512, "")</f>
        <v>suite-witness</v>
      </c>
      <c r="S1512" s="3" t="str">
        <f>IF(Q1512, I1512, "")</f>
      </c>
      <c r="T1512" s="2" t="s">
        <v>5935</v>
      </c>
    </row>
    <row r="1513">
      <c r="A1513" s="2" t="s">
        <v>7843</v>
      </c>
      <c r="B1513" s="3" t="str">
        <f>C1513 &amp; ": " &amp; D1513</f>
        <v>witness-discriminates: ReviewEvents.PromiseAndBehaviorDisagree</v>
      </c>
      <c r="C1513" s="2" t="s">
        <v>7483</v>
      </c>
      <c r="D1513" s="2" t="s">
        <v>3945</v>
      </c>
      <c r="E1513" s="2" t="s">
        <v>3922</v>
      </c>
      <c r="F1513" s="2" t="s">
        <v>1624</v>
      </c>
      <c r="G1513" s="2" t="s">
        <v>7484</v>
      </c>
      <c r="H1513" s="2" t="s">
        <v>1996</v>
      </c>
      <c r="I1513" s="2" t="s">
        <v>5924</v>
      </c>
      <c r="J1513" s="2" t="s">
        <v>7485</v>
      </c>
      <c r="K1513" s="3" t="b">
        <f>J1513 = "blocking"</f>
        <v>0</v>
      </c>
      <c r="L1513" s="2" t="s">
        <v>1431</v>
      </c>
      <c r="M1513" s="2" t="s">
        <v>7540</v>
      </c>
      <c r="N1513" s="4">
        <v>46223.1297337963</v>
      </c>
      <c r="O1513" s="3" t="b">
        <f>L1513 = "PASS"</f>
        <v>0</v>
      </c>
      <c r="P1513" s="3" t="b">
        <f>L1513 = "FAIL"</f>
        <v>0</v>
      </c>
      <c r="Q1513" s="3" t="b">
        <f>AND(P1513, K1513)</f>
        <v>0</v>
      </c>
      <c r="R1513" s="3" t="str">
        <f>IF(O1513, I1513, "")</f>
      </c>
      <c r="S1513" s="3" t="str">
        <f>IF(Q1513, I1513, "")</f>
      </c>
      <c r="T1513" s="2" t="s">
        <v>5935</v>
      </c>
    </row>
    <row r="1514">
      <c r="A1514" s="2" t="s">
        <v>7844</v>
      </c>
      <c r="B1514" s="3" t="str">
        <f>C1514 &amp; ": " &amp; D1514</f>
        <v>witness-discriminates: OperationalBindings.IsFresh</v>
      </c>
      <c r="C1514" s="2" t="s">
        <v>7483</v>
      </c>
      <c r="D1514" s="2" t="s">
        <v>3977</v>
      </c>
      <c r="E1514" s="2" t="s">
        <v>1842</v>
      </c>
      <c r="F1514" s="2" t="s">
        <v>1649</v>
      </c>
      <c r="G1514" s="2" t="s">
        <v>7484</v>
      </c>
      <c r="H1514" s="2"/>
      <c r="I1514" s="2" t="s">
        <v>5924</v>
      </c>
      <c r="J1514" s="2" t="s">
        <v>7485</v>
      </c>
      <c r="K1514" s="3" t="b">
        <f>J1514 = "blocking"</f>
        <v>0</v>
      </c>
      <c r="L1514" s="2" t="s">
        <v>1428</v>
      </c>
      <c r="M1514" s="2" t="s">
        <v>7845</v>
      </c>
      <c r="N1514" s="4">
        <v>46223.1297337963</v>
      </c>
      <c r="O1514" s="3" t="b">
        <f>L1514 = "PASS"</f>
        <v>1</v>
      </c>
      <c r="P1514" s="3" t="b">
        <f>L1514 = "FAIL"</f>
        <v>0</v>
      </c>
      <c r="Q1514" s="3" t="b">
        <f>AND(P1514, K1514)</f>
        <v>0</v>
      </c>
      <c r="R1514" s="3" t="str">
        <f>IF(O1514, I1514, "")</f>
        <v>suite-witness</v>
      </c>
      <c r="S1514" s="3" t="str">
        <f>IF(Q1514, I1514, "")</f>
      </c>
      <c r="T1514" s="2" t="s">
        <v>5935</v>
      </c>
    </row>
    <row r="1515">
      <c r="A1515" s="2" t="s">
        <v>7846</v>
      </c>
      <c r="B1515" s="3" t="str">
        <f>C1515 &amp; ": " &amp; D1515</f>
        <v>witness-discriminates: OperationalBindings.IsStaleAndAuthoritative</v>
      </c>
      <c r="C1515" s="2" t="s">
        <v>7483</v>
      </c>
      <c r="D1515" s="2" t="s">
        <v>3983</v>
      </c>
      <c r="E1515" s="2" t="s">
        <v>1842</v>
      </c>
      <c r="F1515" s="2" t="s">
        <v>1652</v>
      </c>
      <c r="G1515" s="2" t="s">
        <v>7484</v>
      </c>
      <c r="H1515" s="2" t="s">
        <v>2100</v>
      </c>
      <c r="I1515" s="2" t="s">
        <v>5924</v>
      </c>
      <c r="J1515" s="2" t="s">
        <v>7485</v>
      </c>
      <c r="K1515" s="3" t="b">
        <f>J1515 = "blocking"</f>
        <v>0</v>
      </c>
      <c r="L1515" s="2" t="s">
        <v>1428</v>
      </c>
      <c r="M1515" s="2" t="s">
        <v>7847</v>
      </c>
      <c r="N1515" s="4">
        <v>46223.1297337963</v>
      </c>
      <c r="O1515" s="3" t="b">
        <f>L1515 = "PASS"</f>
        <v>1</v>
      </c>
      <c r="P1515" s="3" t="b">
        <f>L1515 = "FAIL"</f>
        <v>0</v>
      </c>
      <c r="Q1515" s="3" t="b">
        <f>AND(P1515, K1515)</f>
        <v>0</v>
      </c>
      <c r="R1515" s="3" t="str">
        <f>IF(O1515, I1515, "")</f>
        <v>suite-witness</v>
      </c>
      <c r="S1515" s="3" t="str">
        <f>IF(Q1515, I1515, "")</f>
      </c>
      <c r="T1515" s="2" t="s">
        <v>5935</v>
      </c>
    </row>
    <row r="1516">
      <c r="A1516" s="2" t="s">
        <v>7848</v>
      </c>
      <c r="B1516" s="3" t="str">
        <f>C1516 &amp; ": " &amp; D1516</f>
        <v>witness-discriminates: OperationalBindings.ResourceIsApproved</v>
      </c>
      <c r="C1516" s="2" t="s">
        <v>7483</v>
      </c>
      <c r="D1516" s="2" t="s">
        <v>3987</v>
      </c>
      <c r="E1516" s="2" t="s">
        <v>1842</v>
      </c>
      <c r="F1516" s="2" t="s">
        <v>1654</v>
      </c>
      <c r="G1516" s="2" t="s">
        <v>7484</v>
      </c>
      <c r="H1516" s="2" t="s">
        <v>2160</v>
      </c>
      <c r="I1516" s="2" t="s">
        <v>5924</v>
      </c>
      <c r="J1516" s="2" t="s">
        <v>7485</v>
      </c>
      <c r="K1516" s="3" t="b">
        <f>J1516 = "blocking"</f>
        <v>0</v>
      </c>
      <c r="L1516" s="2" t="s">
        <v>1431</v>
      </c>
      <c r="M1516" s="2" t="s">
        <v>7849</v>
      </c>
      <c r="N1516" s="4">
        <v>46223.1297337963</v>
      </c>
      <c r="O1516" s="3" t="b">
        <f>L1516 = "PASS"</f>
        <v>0</v>
      </c>
      <c r="P1516" s="3" t="b">
        <f>L1516 = "FAIL"</f>
        <v>0</v>
      </c>
      <c r="Q1516" s="3" t="b">
        <f>AND(P1516, K1516)</f>
        <v>0</v>
      </c>
      <c r="R1516" s="3" t="str">
        <f>IF(O1516, I1516, "")</f>
      </c>
      <c r="S1516" s="3" t="str">
        <f>IF(Q1516, I1516, "")</f>
      </c>
      <c r="T1516" s="2" t="s">
        <v>5935</v>
      </c>
    </row>
    <row r="1517">
      <c r="A1517" s="2" t="s">
        <v>7850</v>
      </c>
      <c r="B1517" s="3" t="str">
        <f>C1517 &amp; ": " &amp; D1517</f>
        <v>witness-discriminates: OperationalBindings.IsUsableForDrafting</v>
      </c>
      <c r="C1517" s="2" t="s">
        <v>7483</v>
      </c>
      <c r="D1517" s="2" t="s">
        <v>3989</v>
      </c>
      <c r="E1517" s="2" t="s">
        <v>1842</v>
      </c>
      <c r="F1517" s="2" t="s">
        <v>1655</v>
      </c>
      <c r="G1517" s="2" t="s">
        <v>7484</v>
      </c>
      <c r="H1517" s="2" t="s">
        <v>2160</v>
      </c>
      <c r="I1517" s="2" t="s">
        <v>5924</v>
      </c>
      <c r="J1517" s="2" t="s">
        <v>7485</v>
      </c>
      <c r="K1517" s="3" t="b">
        <f>J1517 = "blocking"</f>
        <v>0</v>
      </c>
      <c r="L1517" s="2" t="s">
        <v>1431</v>
      </c>
      <c r="M1517" s="2" t="s">
        <v>7851</v>
      </c>
      <c r="N1517" s="4">
        <v>46223.1297337963</v>
      </c>
      <c r="O1517" s="3" t="b">
        <f>L1517 = "PASS"</f>
        <v>0</v>
      </c>
      <c r="P1517" s="3" t="b">
        <f>L1517 = "FAIL"</f>
        <v>0</v>
      </c>
      <c r="Q1517" s="3" t="b">
        <f>AND(P1517, K1517)</f>
        <v>0</v>
      </c>
      <c r="R1517" s="3" t="str">
        <f>IF(O1517, I1517, "")</f>
      </c>
      <c r="S1517" s="3" t="str">
        <f>IF(Q1517, I1517, "")</f>
      </c>
      <c r="T1517" s="2" t="s">
        <v>5935</v>
      </c>
    </row>
    <row r="1518">
      <c r="A1518" s="2" t="s">
        <v>7852</v>
      </c>
      <c r="B1518" s="3" t="str">
        <f>C1518 &amp; ": " &amp; D1518</f>
        <v>witness-discriminates: CommunicationPolicies.IsActivePolicy</v>
      </c>
      <c r="C1518" s="2" t="s">
        <v>7483</v>
      </c>
      <c r="D1518" s="2" t="s">
        <v>4017</v>
      </c>
      <c r="E1518" s="2" t="s">
        <v>1845</v>
      </c>
      <c r="F1518" s="2" t="s">
        <v>1686</v>
      </c>
      <c r="G1518" s="2" t="s">
        <v>7484</v>
      </c>
      <c r="H1518" s="2" t="s">
        <v>2076</v>
      </c>
      <c r="I1518" s="2" t="s">
        <v>5924</v>
      </c>
      <c r="J1518" s="2" t="s">
        <v>7485</v>
      </c>
      <c r="K1518" s="3" t="b">
        <f>J1518 = "blocking"</f>
        <v>0</v>
      </c>
      <c r="L1518" s="2" t="s">
        <v>1431</v>
      </c>
      <c r="M1518" s="2" t="s">
        <v>7714</v>
      </c>
      <c r="N1518" s="4">
        <v>46223.1297337963</v>
      </c>
      <c r="O1518" s="3" t="b">
        <f>L1518 = "PASS"</f>
        <v>0</v>
      </c>
      <c r="P1518" s="3" t="b">
        <f>L1518 = "FAIL"</f>
        <v>0</v>
      </c>
      <c r="Q1518" s="3" t="b">
        <f>AND(P1518, K1518)</f>
        <v>0</v>
      </c>
      <c r="R1518" s="3" t="str">
        <f>IF(O1518, I1518, "")</f>
      </c>
      <c r="S1518" s="3" t="str">
        <f>IF(Q1518, I1518, "")</f>
      </c>
      <c r="T1518" s="2" t="s">
        <v>5935</v>
      </c>
    </row>
    <row r="1519">
      <c r="A1519" s="2" t="s">
        <v>7853</v>
      </c>
      <c r="B1519" s="3" t="str">
        <f>C1519 &amp; ": " &amp; D1519</f>
        <v>witness-discriminates: MessageTemplates.IsTemplateOverLength</v>
      </c>
      <c r="C1519" s="2" t="s">
        <v>7483</v>
      </c>
      <c r="D1519" s="2" t="s">
        <v>4036</v>
      </c>
      <c r="E1519" s="2" t="s">
        <v>4021</v>
      </c>
      <c r="F1519" s="2" t="s">
        <v>1710</v>
      </c>
      <c r="G1519" s="2" t="s">
        <v>7484</v>
      </c>
      <c r="H1519" s="2" t="s">
        <v>2056</v>
      </c>
      <c r="I1519" s="2" t="s">
        <v>5924</v>
      </c>
      <c r="J1519" s="2" t="s">
        <v>7485</v>
      </c>
      <c r="K1519" s="3" t="b">
        <f>J1519 = "blocking"</f>
        <v>0</v>
      </c>
      <c r="L1519" s="2" t="s">
        <v>1431</v>
      </c>
      <c r="M1519" s="2" t="s">
        <v>7718</v>
      </c>
      <c r="N1519" s="4">
        <v>46223.1297337963</v>
      </c>
      <c r="O1519" s="3" t="b">
        <f>L1519 = "PASS"</f>
        <v>0</v>
      </c>
      <c r="P1519" s="3" t="b">
        <f>L1519 = "FAIL"</f>
        <v>0</v>
      </c>
      <c r="Q1519" s="3" t="b">
        <f>AND(P1519, K1519)</f>
        <v>0</v>
      </c>
      <c r="R1519" s="3" t="str">
        <f>IF(O1519, I1519, "")</f>
      </c>
      <c r="S1519" s="3" t="str">
        <f>IF(Q1519, I1519, "")</f>
      </c>
      <c r="T1519" s="2" t="s">
        <v>5935</v>
      </c>
    </row>
    <row r="1520">
      <c r="A1520" s="2" t="s">
        <v>7854</v>
      </c>
      <c r="B1520" s="3" t="str">
        <f>C1520 &amp; ": " &amp; D1520</f>
        <v>witness-discriminates: MessageTemplates.HasValidApproval</v>
      </c>
      <c r="C1520" s="2" t="s">
        <v>7483</v>
      </c>
      <c r="D1520" s="2" t="s">
        <v>4040</v>
      </c>
      <c r="E1520" s="2" t="s">
        <v>4021</v>
      </c>
      <c r="F1520" s="2" t="s">
        <v>1712</v>
      </c>
      <c r="G1520" s="2" t="s">
        <v>7484</v>
      </c>
      <c r="H1520" s="2" t="s">
        <v>2060</v>
      </c>
      <c r="I1520" s="2" t="s">
        <v>5924</v>
      </c>
      <c r="J1520" s="2" t="s">
        <v>7485</v>
      </c>
      <c r="K1520" s="3" t="b">
        <f>J1520 = "blocking"</f>
        <v>0</v>
      </c>
      <c r="L1520" s="2" t="s">
        <v>1431</v>
      </c>
      <c r="M1520" s="2" t="s">
        <v>7714</v>
      </c>
      <c r="N1520" s="4">
        <v>46223.1297337963</v>
      </c>
      <c r="O1520" s="3" t="b">
        <f>L1520 = "PASS"</f>
        <v>0</v>
      </c>
      <c r="P1520" s="3" t="b">
        <f>L1520 = "FAIL"</f>
        <v>0</v>
      </c>
      <c r="Q1520" s="3" t="b">
        <f>AND(P1520, K1520)</f>
        <v>0</v>
      </c>
      <c r="R1520" s="3" t="str">
        <f>IF(O1520, I1520, "")</f>
      </c>
      <c r="S1520" s="3" t="str">
        <f>IF(Q1520, I1520, "")</f>
      </c>
      <c r="T1520" s="2" t="s">
        <v>5935</v>
      </c>
    </row>
    <row r="1521">
      <c r="A1521" s="2" t="s">
        <v>7855</v>
      </c>
      <c r="B1521" s="3" t="str">
        <f>C1521 &amp; ": " &amp; D1521</f>
        <v>witness-discriminates: MessageTemplates.IsClaimingUnbackedApproval</v>
      </c>
      <c r="C1521" s="2" t="s">
        <v>7483</v>
      </c>
      <c r="D1521" s="2" t="s">
        <v>4042</v>
      </c>
      <c r="E1521" s="2" t="s">
        <v>4021</v>
      </c>
      <c r="F1521" s="2" t="s">
        <v>1713</v>
      </c>
      <c r="G1521" s="2" t="s">
        <v>7484</v>
      </c>
      <c r="H1521" s="2" t="s">
        <v>2060</v>
      </c>
      <c r="I1521" s="2" t="s">
        <v>5924</v>
      </c>
      <c r="J1521" s="2" t="s">
        <v>7485</v>
      </c>
      <c r="K1521" s="3" t="b">
        <f>J1521 = "blocking"</f>
        <v>0</v>
      </c>
      <c r="L1521" s="2" t="s">
        <v>1431</v>
      </c>
      <c r="M1521" s="2" t="s">
        <v>7718</v>
      </c>
      <c r="N1521" s="4">
        <v>46223.1297337963</v>
      </c>
      <c r="O1521" s="3" t="b">
        <f>L1521 = "PASS"</f>
        <v>0</v>
      </c>
      <c r="P1521" s="3" t="b">
        <f>L1521 = "FAIL"</f>
        <v>0</v>
      </c>
      <c r="Q1521" s="3" t="b">
        <f>AND(P1521, K1521)</f>
        <v>0</v>
      </c>
      <c r="R1521" s="3" t="str">
        <f>IF(O1521, I1521, "")</f>
      </c>
      <c r="S1521" s="3" t="str">
        <f>IF(Q1521, I1521, "")</f>
      </c>
      <c r="T1521" s="2" t="s">
        <v>5935</v>
      </c>
    </row>
    <row r="1522">
      <c r="A1522" s="2" t="s">
        <v>7856</v>
      </c>
      <c r="B1522" s="3" t="str">
        <f>C1522 &amp; ": " &amp; D1522</f>
        <v>witness-discriminates: MessageTemplates.HasBodyDrifted</v>
      </c>
      <c r="C1522" s="2" t="s">
        <v>7483</v>
      </c>
      <c r="D1522" s="2" t="s">
        <v>4048</v>
      </c>
      <c r="E1522" s="2" t="s">
        <v>4021</v>
      </c>
      <c r="F1522" s="2" t="s">
        <v>1717</v>
      </c>
      <c r="G1522" s="2" t="s">
        <v>7484</v>
      </c>
      <c r="H1522" s="2" t="s">
        <v>2072</v>
      </c>
      <c r="I1522" s="2" t="s">
        <v>5924</v>
      </c>
      <c r="J1522" s="2" t="s">
        <v>7485</v>
      </c>
      <c r="K1522" s="3" t="b">
        <f>J1522 = "blocking"</f>
        <v>0</v>
      </c>
      <c r="L1522" s="2" t="s">
        <v>1431</v>
      </c>
      <c r="M1522" s="2" t="s">
        <v>7718</v>
      </c>
      <c r="N1522" s="4">
        <v>46223.1297337963</v>
      </c>
      <c r="O1522" s="3" t="b">
        <f>L1522 = "PASS"</f>
        <v>0</v>
      </c>
      <c r="P1522" s="3" t="b">
        <f>L1522 = "FAIL"</f>
        <v>0</v>
      </c>
      <c r="Q1522" s="3" t="b">
        <f>AND(P1522, K1522)</f>
        <v>0</v>
      </c>
      <c r="R1522" s="3" t="str">
        <f>IF(O1522, I1522, "")</f>
      </c>
      <c r="S1522" s="3" t="str">
        <f>IF(Q1522, I1522, "")</f>
      </c>
      <c r="T1522" s="2" t="s">
        <v>5935</v>
      </c>
    </row>
    <row r="1523">
      <c r="A1523" s="2" t="s">
        <v>7857</v>
      </c>
      <c r="B1523" s="3" t="str">
        <f>C1523 &amp; ": " &amp; D1523</f>
        <v>witness-discriminates: MessageTemplates.IsSendableUnderApproval</v>
      </c>
      <c r="C1523" s="2" t="s">
        <v>7483</v>
      </c>
      <c r="D1523" s="2" t="s">
        <v>4050</v>
      </c>
      <c r="E1523" s="2" t="s">
        <v>4021</v>
      </c>
      <c r="F1523" s="2" t="s">
        <v>1718</v>
      </c>
      <c r="G1523" s="2" t="s">
        <v>7484</v>
      </c>
      <c r="H1523" s="2" t="s">
        <v>2072</v>
      </c>
      <c r="I1523" s="2" t="s">
        <v>5924</v>
      </c>
      <c r="J1523" s="2" t="s">
        <v>7485</v>
      </c>
      <c r="K1523" s="3" t="b">
        <f>J1523 = "blocking"</f>
        <v>0</v>
      </c>
      <c r="L1523" s="2" t="s">
        <v>1431</v>
      </c>
      <c r="M1523" s="2" t="s">
        <v>7714</v>
      </c>
      <c r="N1523" s="4">
        <v>46223.1297337963</v>
      </c>
      <c r="O1523" s="3" t="b">
        <f>L1523 = "PASS"</f>
        <v>0</v>
      </c>
      <c r="P1523" s="3" t="b">
        <f>L1523 = "FAIL"</f>
        <v>0</v>
      </c>
      <c r="Q1523" s="3" t="b">
        <f>AND(P1523, K1523)</f>
        <v>0</v>
      </c>
      <c r="R1523" s="3" t="str">
        <f>IF(O1523, I1523, "")</f>
      </c>
      <c r="S1523" s="3" t="str">
        <f>IF(Q1523, I1523, "")</f>
      </c>
      <c r="T1523" s="2" t="s">
        <v>5935</v>
      </c>
    </row>
    <row r="1524">
      <c r="A1524" s="2" t="s">
        <v>7858</v>
      </c>
      <c r="B1524" s="3" t="str">
        <f>C1524 &amp; ": " &amp; D1524</f>
        <v>witness-discriminates: MessageTemplates.TemplateDrawsNoResponse</v>
      </c>
      <c r="C1524" s="2" t="s">
        <v>7483</v>
      </c>
      <c r="D1524" s="2" t="s">
        <v>4058</v>
      </c>
      <c r="E1524" s="2" t="s">
        <v>4021</v>
      </c>
      <c r="F1524" s="2" t="s">
        <v>1722</v>
      </c>
      <c r="G1524" s="2" t="s">
        <v>7484</v>
      </c>
      <c r="H1524" s="2" t="s">
        <v>2300</v>
      </c>
      <c r="I1524" s="2" t="s">
        <v>5924</v>
      </c>
      <c r="J1524" s="2" t="s">
        <v>7485</v>
      </c>
      <c r="K1524" s="3" t="b">
        <f>J1524 = "blocking"</f>
        <v>0</v>
      </c>
      <c r="L1524" s="2" t="s">
        <v>1428</v>
      </c>
      <c r="M1524" s="2" t="s">
        <v>7712</v>
      </c>
      <c r="N1524" s="4">
        <v>46223.1297337963</v>
      </c>
      <c r="O1524" s="3" t="b">
        <f>L1524 = "PASS"</f>
        <v>1</v>
      </c>
      <c r="P1524" s="3" t="b">
        <f>L1524 = "FAIL"</f>
        <v>0</v>
      </c>
      <c r="Q1524" s="3" t="b">
        <f>AND(P1524, K1524)</f>
        <v>0</v>
      </c>
      <c r="R1524" s="3" t="str">
        <f>IF(O1524, I1524, "")</f>
        <v>suite-witness</v>
      </c>
      <c r="S1524" s="3" t="str">
        <f>IF(Q1524, I1524, "")</f>
      </c>
      <c r="T1524" s="2" t="s">
        <v>5935</v>
      </c>
    </row>
    <row r="1525">
      <c r="A1525" s="2" t="s">
        <v>7859</v>
      </c>
      <c r="B1525" s="3" t="str">
        <f>C1525 &amp; ": " &amp; D1525</f>
        <v>witness-discriminates: ExceptionInvocations.ApprovalRoleMatches</v>
      </c>
      <c r="C1525" s="2" t="s">
        <v>7483</v>
      </c>
      <c r="D1525" s="2" t="s">
        <v>4245</v>
      </c>
      <c r="E1525" s="2" t="s">
        <v>4221</v>
      </c>
      <c r="F1525" s="2" t="s">
        <v>4246</v>
      </c>
      <c r="G1525" s="2" t="s">
        <v>7484</v>
      </c>
      <c r="H1525" s="2"/>
      <c r="I1525" s="2" t="s">
        <v>5924</v>
      </c>
      <c r="J1525" s="2" t="s">
        <v>7485</v>
      </c>
      <c r="K1525" s="3" t="b">
        <f>J1525 = "blocking"</f>
        <v>0</v>
      </c>
      <c r="L1525" s="2" t="s">
        <v>1431</v>
      </c>
      <c r="M1525" s="2" t="s">
        <v>7860</v>
      </c>
      <c r="N1525" s="4">
        <v>46223.1297337963</v>
      </c>
      <c r="O1525" s="3" t="b">
        <f>L1525 = "PASS"</f>
        <v>0</v>
      </c>
      <c r="P1525" s="3" t="b">
        <f>L1525 = "FAIL"</f>
        <v>0</v>
      </c>
      <c r="Q1525" s="3" t="b">
        <f>AND(P1525, K1525)</f>
        <v>0</v>
      </c>
      <c r="R1525" s="3" t="str">
        <f>IF(O1525, I1525, "")</f>
      </c>
      <c r="S1525" s="3" t="str">
        <f>IF(Q1525, I1525, "")</f>
      </c>
      <c r="T1525" s="2" t="s">
        <v>5935</v>
      </c>
    </row>
    <row r="1526">
      <c r="A1526" s="2" t="s">
        <v>7861</v>
      </c>
      <c r="B1526" s="3" t="str">
        <f>C1526 &amp; ": " &amp; D1526</f>
        <v>witness-discriminates: ExceptionInvocations.IsApproved</v>
      </c>
      <c r="C1526" s="2" t="s">
        <v>7483</v>
      </c>
      <c r="D1526" s="2" t="s">
        <v>4248</v>
      </c>
      <c r="E1526" s="2" t="s">
        <v>4221</v>
      </c>
      <c r="F1526" s="2" t="s">
        <v>1094</v>
      </c>
      <c r="G1526" s="2" t="s">
        <v>7484</v>
      </c>
      <c r="H1526" s="2"/>
      <c r="I1526" s="2" t="s">
        <v>5924</v>
      </c>
      <c r="J1526" s="2" t="s">
        <v>7485</v>
      </c>
      <c r="K1526" s="3" t="b">
        <f>J1526 = "blocking"</f>
        <v>0</v>
      </c>
      <c r="L1526" s="2" t="s">
        <v>1431</v>
      </c>
      <c r="M1526" s="2" t="s">
        <v>7860</v>
      </c>
      <c r="N1526" s="4">
        <v>46223.1297337963</v>
      </c>
      <c r="O1526" s="3" t="b">
        <f>L1526 = "PASS"</f>
        <v>0</v>
      </c>
      <c r="P1526" s="3" t="b">
        <f>L1526 = "FAIL"</f>
        <v>0</v>
      </c>
      <c r="Q1526" s="3" t="b">
        <f>AND(P1526, K1526)</f>
        <v>0</v>
      </c>
      <c r="R1526" s="3" t="str">
        <f>IF(O1526, I1526, "")</f>
      </c>
      <c r="S1526" s="3" t="str">
        <f>IF(Q1526, I1526, "")</f>
      </c>
      <c r="T1526" s="2" t="s">
        <v>5935</v>
      </c>
    </row>
    <row r="1527">
      <c r="A1527" s="2" t="s">
        <v>7862</v>
      </c>
      <c r="B1527" s="3" t="str">
        <f>C1527 &amp; ": " &amp; D1527</f>
        <v>witness-discriminates: ExceptionInvocations.IsImproperlyApproved</v>
      </c>
      <c r="C1527" s="2" t="s">
        <v>7483</v>
      </c>
      <c r="D1527" s="2" t="s">
        <v>4250</v>
      </c>
      <c r="E1527" s="2" t="s">
        <v>4221</v>
      </c>
      <c r="F1527" s="2" t="s">
        <v>4251</v>
      </c>
      <c r="G1527" s="2" t="s">
        <v>7484</v>
      </c>
      <c r="H1527" s="2"/>
      <c r="I1527" s="2" t="s">
        <v>5924</v>
      </c>
      <c r="J1527" s="2" t="s">
        <v>7485</v>
      </c>
      <c r="K1527" s="3" t="b">
        <f>J1527 = "blocking"</f>
        <v>0</v>
      </c>
      <c r="L1527" s="2" t="s">
        <v>1431</v>
      </c>
      <c r="M1527" s="2" t="s">
        <v>7863</v>
      </c>
      <c r="N1527" s="4">
        <v>46223.1297337963</v>
      </c>
      <c r="O1527" s="3" t="b">
        <f>L1527 = "PASS"</f>
        <v>0</v>
      </c>
      <c r="P1527" s="3" t="b">
        <f>L1527 = "FAIL"</f>
        <v>0</v>
      </c>
      <c r="Q1527" s="3" t="b">
        <f>AND(P1527, K1527)</f>
        <v>0</v>
      </c>
      <c r="R1527" s="3" t="str">
        <f>IF(O1527, I1527, "")</f>
      </c>
      <c r="S1527" s="3" t="str">
        <f>IF(Q1527, I1527, "")</f>
      </c>
      <c r="T1527" s="2" t="s">
        <v>5935</v>
      </c>
    </row>
    <row r="1528">
      <c r="A1528" s="2" t="s">
        <v>7864</v>
      </c>
      <c r="B1528" s="3" t="str">
        <f>C1528 &amp; ": " &amp; D1528</f>
        <v>witness-discriminates: ExceptionInvocations.DelegatedToPreparer</v>
      </c>
      <c r="C1528" s="2" t="s">
        <v>7483</v>
      </c>
      <c r="D1528" s="2" t="s">
        <v>4263</v>
      </c>
      <c r="E1528" s="2" t="s">
        <v>4221</v>
      </c>
      <c r="F1528" s="2" t="s">
        <v>4264</v>
      </c>
      <c r="G1528" s="2" t="s">
        <v>7484</v>
      </c>
      <c r="H1528" s="2" t="s">
        <v>1988</v>
      </c>
      <c r="I1528" s="2" t="s">
        <v>5924</v>
      </c>
      <c r="J1528" s="2" t="s">
        <v>7485</v>
      </c>
      <c r="K1528" s="3" t="b">
        <f>J1528 = "blocking"</f>
        <v>0</v>
      </c>
      <c r="L1528" s="2" t="s">
        <v>1431</v>
      </c>
      <c r="M1528" s="2" t="s">
        <v>7863</v>
      </c>
      <c r="N1528" s="4">
        <v>46223.1297337963</v>
      </c>
      <c r="O1528" s="3" t="b">
        <f>L1528 = "PASS"</f>
        <v>0</v>
      </c>
      <c r="P1528" s="3" t="b">
        <f>L1528 = "FAIL"</f>
        <v>0</v>
      </c>
      <c r="Q1528" s="3" t="b">
        <f>AND(P1528, K1528)</f>
        <v>0</v>
      </c>
      <c r="R1528" s="3" t="str">
        <f>IF(O1528, I1528, "")</f>
      </c>
      <c r="S1528" s="3" t="str">
        <f>IF(Q1528, I1528, "")</f>
      </c>
      <c r="T1528" s="2" t="s">
        <v>5935</v>
      </c>
    </row>
    <row r="1529">
      <c r="A1529" s="2" t="s">
        <v>7865</v>
      </c>
      <c r="B1529" s="3" t="str">
        <f>C1529 &amp; ": " &amp; D1529</f>
        <v>witness-discriminates: ExceptionInvocations.IsUngovernedInvocation</v>
      </c>
      <c r="C1529" s="2" t="s">
        <v>7483</v>
      </c>
      <c r="D1529" s="2" t="s">
        <v>4266</v>
      </c>
      <c r="E1529" s="2" t="s">
        <v>4221</v>
      </c>
      <c r="F1529" s="2" t="s">
        <v>4267</v>
      </c>
      <c r="G1529" s="2" t="s">
        <v>7484</v>
      </c>
      <c r="H1529" s="2" t="s">
        <v>1988</v>
      </c>
      <c r="I1529" s="2" t="s">
        <v>5924</v>
      </c>
      <c r="J1529" s="2" t="s">
        <v>7485</v>
      </c>
      <c r="K1529" s="3" t="b">
        <f>J1529 = "blocking"</f>
        <v>0</v>
      </c>
      <c r="L1529" s="2" t="s">
        <v>1431</v>
      </c>
      <c r="M1529" s="2" t="s">
        <v>7863</v>
      </c>
      <c r="N1529" s="4">
        <v>46223.1297337963</v>
      </c>
      <c r="O1529" s="3" t="b">
        <f>L1529 = "PASS"</f>
        <v>0</v>
      </c>
      <c r="P1529" s="3" t="b">
        <f>L1529 = "FAIL"</f>
        <v>0</v>
      </c>
      <c r="Q1529" s="3" t="b">
        <f>AND(P1529, K1529)</f>
        <v>0</v>
      </c>
      <c r="R1529" s="3" t="str">
        <f>IF(O1529, I1529, "")</f>
      </c>
      <c r="S1529" s="3" t="str">
        <f>IF(Q1529, I1529, "")</f>
      </c>
      <c r="T1529" s="2" t="s">
        <v>5935</v>
      </c>
    </row>
    <row r="1530">
      <c r="A1530" s="2" t="s">
        <v>7866</v>
      </c>
      <c r="B1530" s="3" t="str">
        <f>C1530 &amp; ": " &amp; D1530</f>
        <v>witness-discriminates: VerificationOutcomes.SignalMatchesExpected</v>
      </c>
      <c r="C1530" s="2" t="s">
        <v>7483</v>
      </c>
      <c r="D1530" s="2" t="s">
        <v>824</v>
      </c>
      <c r="E1530" s="2" t="s">
        <v>4271</v>
      </c>
      <c r="F1530" s="2" t="s">
        <v>4290</v>
      </c>
      <c r="G1530" s="2" t="s">
        <v>7484</v>
      </c>
      <c r="H1530" s="2"/>
      <c r="I1530" s="2" t="s">
        <v>5924</v>
      </c>
      <c r="J1530" s="2" t="s">
        <v>7485</v>
      </c>
      <c r="K1530" s="3" t="b">
        <f>J1530 = "blocking"</f>
        <v>0</v>
      </c>
      <c r="L1530" s="2" t="s">
        <v>1428</v>
      </c>
      <c r="M1530" s="2" t="s">
        <v>7867</v>
      </c>
      <c r="N1530" s="4">
        <v>46223.1297337963</v>
      </c>
      <c r="O1530" s="3" t="b">
        <f>L1530 = "PASS"</f>
        <v>1</v>
      </c>
      <c r="P1530" s="3" t="b">
        <f>L1530 = "FAIL"</f>
        <v>0</v>
      </c>
      <c r="Q1530" s="3" t="b">
        <f>AND(P1530, K1530)</f>
        <v>0</v>
      </c>
      <c r="R1530" s="3" t="str">
        <f>IF(O1530, I1530, "")</f>
        <v>suite-witness</v>
      </c>
      <c r="S1530" s="3" t="str">
        <f>IF(Q1530, I1530, "")</f>
      </c>
      <c r="T1530" s="2" t="s">
        <v>5935</v>
      </c>
    </row>
    <row r="1531">
      <c r="A1531" s="2" t="s">
        <v>7868</v>
      </c>
      <c r="B1531" s="3" t="str">
        <f>C1531 &amp; ": " &amp; D1531</f>
        <v>witness-discriminates: VerificationOutcomes.HasEvidence</v>
      </c>
      <c r="C1531" s="2" t="s">
        <v>7483</v>
      </c>
      <c r="D1531" s="2" t="s">
        <v>4292</v>
      </c>
      <c r="E1531" s="2" t="s">
        <v>4271</v>
      </c>
      <c r="F1531" s="2" t="s">
        <v>4293</v>
      </c>
      <c r="G1531" s="2" t="s">
        <v>7484</v>
      </c>
      <c r="H1531" s="2"/>
      <c r="I1531" s="2" t="s">
        <v>5924</v>
      </c>
      <c r="J1531" s="2" t="s">
        <v>7485</v>
      </c>
      <c r="K1531" s="3" t="b">
        <f>J1531 = "blocking"</f>
        <v>0</v>
      </c>
      <c r="L1531" s="2" t="s">
        <v>1428</v>
      </c>
      <c r="M1531" s="2" t="s">
        <v>7867</v>
      </c>
      <c r="N1531" s="4">
        <v>46223.1297337963</v>
      </c>
      <c r="O1531" s="3" t="b">
        <f>L1531 = "PASS"</f>
        <v>1</v>
      </c>
      <c r="P1531" s="3" t="b">
        <f>L1531 = "FAIL"</f>
        <v>0</v>
      </c>
      <c r="Q1531" s="3" t="b">
        <f>AND(P1531, K1531)</f>
        <v>0</v>
      </c>
      <c r="R1531" s="3" t="str">
        <f>IF(O1531, I1531, "")</f>
        <v>suite-witness</v>
      </c>
      <c r="S1531" s="3" t="str">
        <f>IF(Q1531, I1531, "")</f>
      </c>
      <c r="T1531" s="2" t="s">
        <v>5935</v>
      </c>
    </row>
    <row r="1532">
      <c r="A1532" s="2" t="s">
        <v>7869</v>
      </c>
      <c r="B1532" s="3" t="str">
        <f>C1532 &amp; ": " &amp; D1532</f>
        <v>witness-discriminates: VerificationOutcomes.IsUnbackedObservation</v>
      </c>
      <c r="C1532" s="2" t="s">
        <v>7483</v>
      </c>
      <c r="D1532" s="2" t="s">
        <v>831</v>
      </c>
      <c r="E1532" s="2" t="s">
        <v>4271</v>
      </c>
      <c r="F1532" s="2" t="s">
        <v>4295</v>
      </c>
      <c r="G1532" s="2" t="s">
        <v>7484</v>
      </c>
      <c r="H1532" s="2"/>
      <c r="I1532" s="2" t="s">
        <v>5924</v>
      </c>
      <c r="J1532" s="2" t="s">
        <v>7485</v>
      </c>
      <c r="K1532" s="3" t="b">
        <f>J1532 = "blocking"</f>
        <v>0</v>
      </c>
      <c r="L1532" s="2" t="s">
        <v>1428</v>
      </c>
      <c r="M1532" s="2" t="s">
        <v>7870</v>
      </c>
      <c r="N1532" s="4">
        <v>46223.1297337963</v>
      </c>
      <c r="O1532" s="3" t="b">
        <f>L1532 = "PASS"</f>
        <v>1</v>
      </c>
      <c r="P1532" s="3" t="b">
        <f>L1532 = "FAIL"</f>
        <v>0</v>
      </c>
      <c r="Q1532" s="3" t="b">
        <f>AND(P1532, K1532)</f>
        <v>0</v>
      </c>
      <c r="R1532" s="3" t="str">
        <f>IF(O1532, I1532, "")</f>
        <v>suite-witness</v>
      </c>
      <c r="S1532" s="3" t="str">
        <f>IF(Q1532, I1532, "")</f>
      </c>
      <c r="T1532" s="2" t="s">
        <v>5935</v>
      </c>
    </row>
    <row r="1533">
      <c r="A1533" s="2" t="s">
        <v>7871</v>
      </c>
      <c r="B1533" s="3" t="str">
        <f>C1533 &amp; ": " &amp; D1533</f>
        <v>witness-discriminates: VerificationOutcomes.IsSelfWitnessed</v>
      </c>
      <c r="C1533" s="2" t="s">
        <v>7483</v>
      </c>
      <c r="D1533" s="2" t="s">
        <v>4297</v>
      </c>
      <c r="E1533" s="2" t="s">
        <v>4271</v>
      </c>
      <c r="F1533" s="2" t="s">
        <v>4298</v>
      </c>
      <c r="G1533" s="2" t="s">
        <v>7484</v>
      </c>
      <c r="H1533" s="2" t="s">
        <v>1984</v>
      </c>
      <c r="I1533" s="2" t="s">
        <v>5924</v>
      </c>
      <c r="J1533" s="2" t="s">
        <v>7485</v>
      </c>
      <c r="K1533" s="3" t="b">
        <f>J1533 = "blocking"</f>
        <v>0</v>
      </c>
      <c r="L1533" s="2" t="s">
        <v>1428</v>
      </c>
      <c r="M1533" s="2" t="s">
        <v>7867</v>
      </c>
      <c r="N1533" s="4">
        <v>46223.1297337963</v>
      </c>
      <c r="O1533" s="3" t="b">
        <f>L1533 = "PASS"</f>
        <v>1</v>
      </c>
      <c r="P1533" s="3" t="b">
        <f>L1533 = "FAIL"</f>
        <v>0</v>
      </c>
      <c r="Q1533" s="3" t="b">
        <f>AND(P1533, K1533)</f>
        <v>0</v>
      </c>
      <c r="R1533" s="3" t="str">
        <f>IF(O1533, I1533, "")</f>
        <v>suite-witness</v>
      </c>
      <c r="S1533" s="3" t="str">
        <f>IF(Q1533, I1533, "")</f>
      </c>
      <c r="T1533" s="2" t="s">
        <v>5935</v>
      </c>
    </row>
    <row r="1534">
      <c r="A1534" s="2" t="s">
        <v>7872</v>
      </c>
      <c r="B1534" s="3" t="str">
        <f>C1534 &amp; ": " &amp; D1534</f>
        <v>witness-discriminates: VerificationOutcomes.IsSelfWitnessedAndUnbacked</v>
      </c>
      <c r="C1534" s="2" t="s">
        <v>7483</v>
      </c>
      <c r="D1534" s="2" t="s">
        <v>4307</v>
      </c>
      <c r="E1534" s="2" t="s">
        <v>4271</v>
      </c>
      <c r="F1534" s="2" t="s">
        <v>4308</v>
      </c>
      <c r="G1534" s="2" t="s">
        <v>7484</v>
      </c>
      <c r="H1534" s="2" t="s">
        <v>2252</v>
      </c>
      <c r="I1534" s="2" t="s">
        <v>5924</v>
      </c>
      <c r="J1534" s="2" t="s">
        <v>7485</v>
      </c>
      <c r="K1534" s="3" t="b">
        <f>J1534 = "blocking"</f>
        <v>0</v>
      </c>
      <c r="L1534" s="2" t="s">
        <v>1428</v>
      </c>
      <c r="M1534" s="2" t="s">
        <v>7870</v>
      </c>
      <c r="N1534" s="4">
        <v>46223.1297337963</v>
      </c>
      <c r="O1534" s="3" t="b">
        <f>L1534 = "PASS"</f>
        <v>1</v>
      </c>
      <c r="P1534" s="3" t="b">
        <f>L1534 = "FAIL"</f>
        <v>0</v>
      </c>
      <c r="Q1534" s="3" t="b">
        <f>AND(P1534, K1534)</f>
        <v>0</v>
      </c>
      <c r="R1534" s="3" t="str">
        <f>IF(O1534, I1534, "")</f>
        <v>suite-witness</v>
      </c>
      <c r="S1534" s="3" t="str">
        <f>IF(Q1534, I1534, "")</f>
      </c>
      <c r="T1534" s="2" t="s">
        <v>5935</v>
      </c>
    </row>
    <row r="1535">
      <c r="A1535" s="2" t="s">
        <v>7873</v>
      </c>
      <c r="B1535" s="3" t="str">
        <f>C1535 &amp; ": " &amp; D1535</f>
        <v>witness-discriminates: VerificationOutcomes.IsUncorroboratedPass</v>
      </c>
      <c r="C1535" s="2" t="s">
        <v>7483</v>
      </c>
      <c r="D1535" s="2" t="s">
        <v>4310</v>
      </c>
      <c r="E1535" s="2" t="s">
        <v>4271</v>
      </c>
      <c r="F1535" s="2" t="s">
        <v>4311</v>
      </c>
      <c r="G1535" s="2" t="s">
        <v>7484</v>
      </c>
      <c r="H1535" s="2" t="s">
        <v>2252</v>
      </c>
      <c r="I1535" s="2" t="s">
        <v>5924</v>
      </c>
      <c r="J1535" s="2" t="s">
        <v>7485</v>
      </c>
      <c r="K1535" s="3" t="b">
        <f>J1535 = "blocking"</f>
        <v>0</v>
      </c>
      <c r="L1535" s="2" t="s">
        <v>1428</v>
      </c>
      <c r="M1535" s="2" t="s">
        <v>7870</v>
      </c>
      <c r="N1535" s="4">
        <v>46223.1297337963</v>
      </c>
      <c r="O1535" s="3" t="b">
        <f>L1535 = "PASS"</f>
        <v>1</v>
      </c>
      <c r="P1535" s="3" t="b">
        <f>L1535 = "FAIL"</f>
        <v>0</v>
      </c>
      <c r="Q1535" s="3" t="b">
        <f>AND(P1535, K1535)</f>
        <v>0</v>
      </c>
      <c r="R1535" s="3" t="str">
        <f>IF(O1535, I1535, "")</f>
        <v>suite-witness</v>
      </c>
      <c r="S1535" s="3" t="str">
        <f>IF(Q1535, I1535, "")</f>
      </c>
      <c r="T1535" s="2" t="s">
        <v>5935</v>
      </c>
    </row>
    <row r="1536">
      <c r="A1536" s="2" t="s">
        <v>7874</v>
      </c>
      <c r="B1536" s="3" t="str">
        <f>C1536 &amp; ": " &amp; D1536</f>
        <v>witness-discriminates: VerificationOutcomes.ObserverIsNonHuman</v>
      </c>
      <c r="C1536" s="2" t="s">
        <v>7483</v>
      </c>
      <c r="D1536" s="2" t="s">
        <v>4316</v>
      </c>
      <c r="E1536" s="2" t="s">
        <v>4271</v>
      </c>
      <c r="F1536" s="2" t="s">
        <v>4317</v>
      </c>
      <c r="G1536" s="2" t="s">
        <v>7484</v>
      </c>
      <c r="H1536" s="2" t="s">
        <v>2252</v>
      </c>
      <c r="I1536" s="2" t="s">
        <v>5924</v>
      </c>
      <c r="J1536" s="2" t="s">
        <v>7485</v>
      </c>
      <c r="K1536" s="3" t="b">
        <f>J1536 = "blocking"</f>
        <v>0</v>
      </c>
      <c r="L1536" s="2" t="s">
        <v>1428</v>
      </c>
      <c r="M1536" s="2" t="s">
        <v>7870</v>
      </c>
      <c r="N1536" s="4">
        <v>46223.1297337963</v>
      </c>
      <c r="O1536" s="3" t="b">
        <f>L1536 = "PASS"</f>
        <v>1</v>
      </c>
      <c r="P1536" s="3" t="b">
        <f>L1536 = "FAIL"</f>
        <v>0</v>
      </c>
      <c r="Q1536" s="3" t="b">
        <f>AND(P1536, K1536)</f>
        <v>0</v>
      </c>
      <c r="R1536" s="3" t="str">
        <f>IF(O1536, I1536, "")</f>
        <v>suite-witness</v>
      </c>
      <c r="S1536" s="3" t="str">
        <f>IF(Q1536, I1536, "")</f>
      </c>
      <c r="T1536" s="2" t="s">
        <v>5935</v>
      </c>
    </row>
    <row r="1537">
      <c r="A1537" s="2" t="s">
        <v>7875</v>
      </c>
      <c r="B1537" s="3" t="str">
        <f>C1537 &amp; ": " &amp; D1537</f>
        <v>witness-discriminates: VerificationOutcomes.ObserverIsIndependentOfExecutor</v>
      </c>
      <c r="C1537" s="2" t="s">
        <v>7483</v>
      </c>
      <c r="D1537" s="2" t="s">
        <v>4319</v>
      </c>
      <c r="E1537" s="2" t="s">
        <v>4271</v>
      </c>
      <c r="F1537" s="2" t="s">
        <v>4320</v>
      </c>
      <c r="G1537" s="2" t="s">
        <v>7484</v>
      </c>
      <c r="H1537" s="2" t="s">
        <v>2252</v>
      </c>
      <c r="I1537" s="2" t="s">
        <v>5924</v>
      </c>
      <c r="J1537" s="2" t="s">
        <v>7485</v>
      </c>
      <c r="K1537" s="3" t="b">
        <f>J1537 = "blocking"</f>
        <v>0</v>
      </c>
      <c r="L1537" s="2" t="s">
        <v>1428</v>
      </c>
      <c r="M1537" s="2" t="s">
        <v>7870</v>
      </c>
      <c r="N1537" s="4">
        <v>46223.1297337963</v>
      </c>
      <c r="O1537" s="3" t="b">
        <f>L1537 = "PASS"</f>
        <v>1</v>
      </c>
      <c r="P1537" s="3" t="b">
        <f>L1537 = "FAIL"</f>
        <v>0</v>
      </c>
      <c r="Q1537" s="3" t="b">
        <f>AND(P1537, K1537)</f>
        <v>0</v>
      </c>
      <c r="R1537" s="3" t="str">
        <f>IF(O1537, I1537, "")</f>
        <v>suite-witness</v>
      </c>
      <c r="S1537" s="3" t="str">
        <f>IF(Q1537, I1537, "")</f>
      </c>
      <c r="T1537" s="2" t="s">
        <v>5935</v>
      </c>
    </row>
    <row r="1538">
      <c r="A1538" s="2" t="s">
        <v>7876</v>
      </c>
      <c r="B1538" s="3" t="str">
        <f>C1538 &amp; ": " &amp; D1538</f>
        <v>witness-discriminates: VerificationOutcomes.IsIndependentHumanObservation</v>
      </c>
      <c r="C1538" s="2" t="s">
        <v>7483</v>
      </c>
      <c r="D1538" s="2" t="s">
        <v>4322</v>
      </c>
      <c r="E1538" s="2" t="s">
        <v>4271</v>
      </c>
      <c r="F1538" s="2" t="s">
        <v>4323</v>
      </c>
      <c r="G1538" s="2" t="s">
        <v>7484</v>
      </c>
      <c r="H1538" s="2" t="s">
        <v>2284</v>
      </c>
      <c r="I1538" s="2" t="s">
        <v>5924</v>
      </c>
      <c r="J1538" s="2" t="s">
        <v>7485</v>
      </c>
      <c r="K1538" s="3" t="b">
        <f>J1538 = "blocking"</f>
        <v>0</v>
      </c>
      <c r="L1538" s="2" t="s">
        <v>1428</v>
      </c>
      <c r="M1538" s="2" t="s">
        <v>7870</v>
      </c>
      <c r="N1538" s="4">
        <v>46223.1297337963</v>
      </c>
      <c r="O1538" s="3" t="b">
        <f>L1538 = "PASS"</f>
        <v>1</v>
      </c>
      <c r="P1538" s="3" t="b">
        <f>L1538 = "FAIL"</f>
        <v>0</v>
      </c>
      <c r="Q1538" s="3" t="b">
        <f>AND(P1538, K1538)</f>
        <v>0</v>
      </c>
      <c r="R1538" s="3" t="str">
        <f>IF(O1538, I1538, "")</f>
        <v>suite-witness</v>
      </c>
      <c r="S1538" s="3" t="str">
        <f>IF(Q1538, I1538, "")</f>
      </c>
      <c r="T1538" s="2" t="s">
        <v>5935</v>
      </c>
    </row>
    <row r="1539">
      <c r="A1539" s="2" t="s">
        <v>7877</v>
      </c>
      <c r="B1539" s="3" t="str">
        <f>C1539 &amp; ": " &amp; D1539</f>
        <v>witness-discriminates: Recipients.HasSmsConsent</v>
      </c>
      <c r="C1539" s="2" t="s">
        <v>7483</v>
      </c>
      <c r="D1539" s="2" t="s">
        <v>4361</v>
      </c>
      <c r="E1539" s="2" t="s">
        <v>4346</v>
      </c>
      <c r="F1539" s="2" t="s">
        <v>4362</v>
      </c>
      <c r="G1539" s="2" t="s">
        <v>7484</v>
      </c>
      <c r="H1539" s="2"/>
      <c r="I1539" s="2" t="s">
        <v>5924</v>
      </c>
      <c r="J1539" s="2" t="s">
        <v>7485</v>
      </c>
      <c r="K1539" s="3" t="b">
        <f>J1539 = "blocking"</f>
        <v>0</v>
      </c>
      <c r="L1539" s="2" t="s">
        <v>1428</v>
      </c>
      <c r="M1539" s="2" t="s">
        <v>7847</v>
      </c>
      <c r="N1539" s="4">
        <v>46223.1297337963</v>
      </c>
      <c r="O1539" s="3" t="b">
        <f>L1539 = "PASS"</f>
        <v>1</v>
      </c>
      <c r="P1539" s="3" t="b">
        <f>L1539 = "FAIL"</f>
        <v>0</v>
      </c>
      <c r="Q1539" s="3" t="b">
        <f>AND(P1539, K1539)</f>
        <v>0</v>
      </c>
      <c r="R1539" s="3" t="str">
        <f>IF(O1539, I1539, "")</f>
        <v>suite-witness</v>
      </c>
      <c r="S1539" s="3" t="str">
        <f>IF(Q1539, I1539, "")</f>
      </c>
      <c r="T1539" s="2" t="s">
        <v>5935</v>
      </c>
    </row>
    <row r="1540">
      <c r="A1540" s="2" t="s">
        <v>7878</v>
      </c>
      <c r="B1540" s="3" t="str">
        <f>C1540 &amp; ": " &amp; D1540</f>
        <v>witness-discriminates: Recipients.IsEmailReachable</v>
      </c>
      <c r="C1540" s="2" t="s">
        <v>7483</v>
      </c>
      <c r="D1540" s="2" t="s">
        <v>4364</v>
      </c>
      <c r="E1540" s="2" t="s">
        <v>4346</v>
      </c>
      <c r="F1540" s="2" t="s">
        <v>4365</v>
      </c>
      <c r="G1540" s="2" t="s">
        <v>7484</v>
      </c>
      <c r="H1540" s="2"/>
      <c r="I1540" s="2" t="s">
        <v>5924</v>
      </c>
      <c r="J1540" s="2" t="s">
        <v>7485</v>
      </c>
      <c r="K1540" s="3" t="b">
        <f>J1540 = "blocking"</f>
        <v>0</v>
      </c>
      <c r="L1540" s="2" t="s">
        <v>1431</v>
      </c>
      <c r="M1540" s="2" t="s">
        <v>7879</v>
      </c>
      <c r="N1540" s="4">
        <v>46223.1297337963</v>
      </c>
      <c r="O1540" s="3" t="b">
        <f>L1540 = "PASS"</f>
        <v>0</v>
      </c>
      <c r="P1540" s="3" t="b">
        <f>L1540 = "FAIL"</f>
        <v>0</v>
      </c>
      <c r="Q1540" s="3" t="b">
        <f>AND(P1540, K1540)</f>
        <v>0</v>
      </c>
      <c r="R1540" s="3" t="str">
        <f>IF(O1540, I1540, "")</f>
      </c>
      <c r="S1540" s="3" t="str">
        <f>IF(Q1540, I1540, "")</f>
      </c>
      <c r="T1540" s="2" t="s">
        <v>5935</v>
      </c>
    </row>
    <row r="1541">
      <c r="A1541" s="2" t="s">
        <v>7880</v>
      </c>
      <c r="B1541" s="3" t="str">
        <f>C1541 &amp; ": " &amp; D1541</f>
        <v>witness-discriminates: Recipients.IsSmsReachable</v>
      </c>
      <c r="C1541" s="2" t="s">
        <v>7483</v>
      </c>
      <c r="D1541" s="2" t="s">
        <v>4367</v>
      </c>
      <c r="E1541" s="2" t="s">
        <v>4346</v>
      </c>
      <c r="F1541" s="2" t="s">
        <v>4368</v>
      </c>
      <c r="G1541" s="2" t="s">
        <v>7484</v>
      </c>
      <c r="H1541" s="2"/>
      <c r="I1541" s="2" t="s">
        <v>5924</v>
      </c>
      <c r="J1541" s="2" t="s">
        <v>7485</v>
      </c>
      <c r="K1541" s="3" t="b">
        <f>J1541 = "blocking"</f>
        <v>0</v>
      </c>
      <c r="L1541" s="2" t="s">
        <v>1428</v>
      </c>
      <c r="M1541" s="2" t="s">
        <v>7881</v>
      </c>
      <c r="N1541" s="4">
        <v>46223.1297337963</v>
      </c>
      <c r="O1541" s="3" t="b">
        <f>L1541 = "PASS"</f>
        <v>1</v>
      </c>
      <c r="P1541" s="3" t="b">
        <f>L1541 = "FAIL"</f>
        <v>0</v>
      </c>
      <c r="Q1541" s="3" t="b">
        <f>AND(P1541, K1541)</f>
        <v>0</v>
      </c>
      <c r="R1541" s="3" t="str">
        <f>IF(O1541, I1541, "")</f>
        <v>suite-witness</v>
      </c>
      <c r="S1541" s="3" t="str">
        <f>IF(Q1541, I1541, "")</f>
      </c>
      <c r="T1541" s="2" t="s">
        <v>5935</v>
      </c>
    </row>
    <row r="1542">
      <c r="A1542" s="2" t="s">
        <v>7882</v>
      </c>
      <c r="B1542" s="3" t="str">
        <f>C1542 &amp; ": " &amp; D1542</f>
        <v>witness-discriminates: Recipients.IsUnreachable</v>
      </c>
      <c r="C1542" s="2" t="s">
        <v>7483</v>
      </c>
      <c r="D1542" s="2" t="s">
        <v>4370</v>
      </c>
      <c r="E1542" s="2" t="s">
        <v>4346</v>
      </c>
      <c r="F1542" s="2" t="s">
        <v>4371</v>
      </c>
      <c r="G1542" s="2" t="s">
        <v>7484</v>
      </c>
      <c r="H1542" s="2"/>
      <c r="I1542" s="2" t="s">
        <v>5924</v>
      </c>
      <c r="J1542" s="2" t="s">
        <v>7485</v>
      </c>
      <c r="K1542" s="3" t="b">
        <f>J1542 = "blocking"</f>
        <v>0</v>
      </c>
      <c r="L1542" s="2" t="s">
        <v>1431</v>
      </c>
      <c r="M1542" s="2" t="s">
        <v>7883</v>
      </c>
      <c r="N1542" s="4">
        <v>46223.1297337963</v>
      </c>
      <c r="O1542" s="3" t="b">
        <f>L1542 = "PASS"</f>
        <v>0</v>
      </c>
      <c r="P1542" s="3" t="b">
        <f>L1542 = "FAIL"</f>
        <v>0</v>
      </c>
      <c r="Q1542" s="3" t="b">
        <f>AND(P1542, K1542)</f>
        <v>0</v>
      </c>
      <c r="R1542" s="3" t="str">
        <f>IF(O1542, I1542, "")</f>
      </c>
      <c r="S1542" s="3" t="str">
        <f>IF(Q1542, I1542, "")</f>
      </c>
      <c r="T1542" s="2" t="s">
        <v>5935</v>
      </c>
    </row>
    <row r="1543">
      <c r="A1543" s="2" t="s">
        <v>7884</v>
      </c>
      <c r="B1543" s="3" t="str">
        <f>C1543 &amp; ": " &amp; D1543</f>
        <v>witness-discriminates: Recipients.IsCommunicationallyStranded</v>
      </c>
      <c r="C1543" s="2" t="s">
        <v>7483</v>
      </c>
      <c r="D1543" s="2" t="s">
        <v>4373</v>
      </c>
      <c r="E1543" s="2" t="s">
        <v>4346</v>
      </c>
      <c r="F1543" s="2" t="s">
        <v>4374</v>
      </c>
      <c r="G1543" s="2" t="s">
        <v>7484</v>
      </c>
      <c r="H1543" s="2" t="s">
        <v>2312</v>
      </c>
      <c r="I1543" s="2" t="s">
        <v>5924</v>
      </c>
      <c r="J1543" s="2" t="s">
        <v>7485</v>
      </c>
      <c r="K1543" s="3" t="b">
        <f>J1543 = "blocking"</f>
        <v>0</v>
      </c>
      <c r="L1543" s="2" t="s">
        <v>1431</v>
      </c>
      <c r="M1543" s="2" t="s">
        <v>7883</v>
      </c>
      <c r="N1543" s="4">
        <v>46223.1297337963</v>
      </c>
      <c r="O1543" s="3" t="b">
        <f>L1543 = "PASS"</f>
        <v>0</v>
      </c>
      <c r="P1543" s="3" t="b">
        <f>L1543 = "FAIL"</f>
        <v>0</v>
      </c>
      <c r="Q1543" s="3" t="b">
        <f>AND(P1543, K1543)</f>
        <v>0</v>
      </c>
      <c r="R1543" s="3" t="str">
        <f>IF(O1543, I1543, "")</f>
      </c>
      <c r="S1543" s="3" t="str">
        <f>IF(Q1543, I1543, "")</f>
      </c>
      <c r="T1543" s="2" t="s">
        <v>5935</v>
      </c>
    </row>
    <row r="1544">
      <c r="A1544" s="2" t="s">
        <v>7885</v>
      </c>
      <c r="B1544" s="3" t="str">
        <f>C1544 &amp; ": " &amp; D1544</f>
        <v>witness-discriminates: MessageDeliveries.PolicyRequiresConsent</v>
      </c>
      <c r="C1544" s="2" t="s">
        <v>7483</v>
      </c>
      <c r="D1544" s="2" t="s">
        <v>4410</v>
      </c>
      <c r="E1544" s="2" t="s">
        <v>4378</v>
      </c>
      <c r="F1544" s="2" t="s">
        <v>4411</v>
      </c>
      <c r="G1544" s="2" t="s">
        <v>7484</v>
      </c>
      <c r="H1544" s="2" t="s">
        <v>2036</v>
      </c>
      <c r="I1544" s="2" t="s">
        <v>5924</v>
      </c>
      <c r="J1544" s="2" t="s">
        <v>7485</v>
      </c>
      <c r="K1544" s="3" t="b">
        <f>J1544 = "blocking"</f>
        <v>0</v>
      </c>
      <c r="L1544" s="2" t="s">
        <v>1428</v>
      </c>
      <c r="M1544" s="2" t="s">
        <v>7667</v>
      </c>
      <c r="N1544" s="4">
        <v>46223.1297337963</v>
      </c>
      <c r="O1544" s="3" t="b">
        <f>L1544 = "PASS"</f>
        <v>1</v>
      </c>
      <c r="P1544" s="3" t="b">
        <f>L1544 = "FAIL"</f>
        <v>0</v>
      </c>
      <c r="Q1544" s="3" t="b">
        <f>AND(P1544, K1544)</f>
        <v>0</v>
      </c>
      <c r="R1544" s="3" t="str">
        <f>IF(O1544, I1544, "")</f>
        <v>suite-witness</v>
      </c>
      <c r="S1544" s="3" t="str">
        <f>IF(Q1544, I1544, "")</f>
      </c>
      <c r="T1544" s="2" t="s">
        <v>5935</v>
      </c>
    </row>
    <row r="1545">
      <c r="A1545" s="2" t="s">
        <v>7886</v>
      </c>
      <c r="B1545" s="3" t="str">
        <f>C1545 &amp; ": " &amp; D1545</f>
        <v>witness-discriminates: MessageDeliveries.RecipientHasSmsConsent</v>
      </c>
      <c r="C1545" s="2" t="s">
        <v>7483</v>
      </c>
      <c r="D1545" s="2" t="s">
        <v>4413</v>
      </c>
      <c r="E1545" s="2" t="s">
        <v>4378</v>
      </c>
      <c r="F1545" s="2" t="s">
        <v>4414</v>
      </c>
      <c r="G1545" s="2" t="s">
        <v>7484</v>
      </c>
      <c r="H1545" s="2" t="s">
        <v>2036</v>
      </c>
      <c r="I1545" s="2" t="s">
        <v>5924</v>
      </c>
      <c r="J1545" s="2" t="s">
        <v>7485</v>
      </c>
      <c r="K1545" s="3" t="b">
        <f>J1545 = "blocking"</f>
        <v>0</v>
      </c>
      <c r="L1545" s="2" t="s">
        <v>1428</v>
      </c>
      <c r="M1545" s="2" t="s">
        <v>7667</v>
      </c>
      <c r="N1545" s="4">
        <v>46223.1297337963</v>
      </c>
      <c r="O1545" s="3" t="b">
        <f>L1545 = "PASS"</f>
        <v>1</v>
      </c>
      <c r="P1545" s="3" t="b">
        <f>L1545 = "FAIL"</f>
        <v>0</v>
      </c>
      <c r="Q1545" s="3" t="b">
        <f>AND(P1545, K1545)</f>
        <v>0</v>
      </c>
      <c r="R1545" s="3" t="str">
        <f>IF(O1545, I1545, "")</f>
        <v>suite-witness</v>
      </c>
      <c r="S1545" s="3" t="str">
        <f>IF(Q1545, I1545, "")</f>
      </c>
      <c r="T1545" s="2" t="s">
        <v>5935</v>
      </c>
    </row>
    <row r="1546">
      <c r="A1546" s="2" t="s">
        <v>7887</v>
      </c>
      <c r="B1546" s="3" t="str">
        <f>C1546 &amp; ": " &amp; D1546</f>
        <v>witness-discriminates: MessageDeliveries.WasActuallyTransmitted</v>
      </c>
      <c r="C1546" s="2" t="s">
        <v>7483</v>
      </c>
      <c r="D1546" s="2" t="s">
        <v>4416</v>
      </c>
      <c r="E1546" s="2" t="s">
        <v>4378</v>
      </c>
      <c r="F1546" s="2" t="s">
        <v>4417</v>
      </c>
      <c r="G1546" s="2" t="s">
        <v>7484</v>
      </c>
      <c r="H1546" s="2" t="s">
        <v>2036</v>
      </c>
      <c r="I1546" s="2" t="s">
        <v>5924</v>
      </c>
      <c r="J1546" s="2" t="s">
        <v>7485</v>
      </c>
      <c r="K1546" s="3" t="b">
        <f>J1546 = "blocking"</f>
        <v>0</v>
      </c>
      <c r="L1546" s="2" t="s">
        <v>1428</v>
      </c>
      <c r="M1546" s="2" t="s">
        <v>7667</v>
      </c>
      <c r="N1546" s="4">
        <v>46223.1297337963</v>
      </c>
      <c r="O1546" s="3" t="b">
        <f>L1546 = "PASS"</f>
        <v>1</v>
      </c>
      <c r="P1546" s="3" t="b">
        <f>L1546 = "FAIL"</f>
        <v>0</v>
      </c>
      <c r="Q1546" s="3" t="b">
        <f>AND(P1546, K1546)</f>
        <v>0</v>
      </c>
      <c r="R1546" s="3" t="str">
        <f>IF(O1546, I1546, "")</f>
        <v>suite-witness</v>
      </c>
      <c r="S1546" s="3" t="str">
        <f>IF(Q1546, I1546, "")</f>
      </c>
      <c r="T1546" s="2" t="s">
        <v>5935</v>
      </c>
    </row>
    <row r="1547">
      <c r="A1547" s="2" t="s">
        <v>7888</v>
      </c>
      <c r="B1547" s="3" t="str">
        <f>C1547 &amp; ": " &amp; D1547</f>
        <v>witness-discriminates: MessageDeliveries.IsConsentViolation</v>
      </c>
      <c r="C1547" s="2" t="s">
        <v>7483</v>
      </c>
      <c r="D1547" s="2" t="s">
        <v>4419</v>
      </c>
      <c r="E1547" s="2" t="s">
        <v>4378</v>
      </c>
      <c r="F1547" s="2" t="s">
        <v>4420</v>
      </c>
      <c r="G1547" s="2" t="s">
        <v>7484</v>
      </c>
      <c r="H1547" s="2" t="s">
        <v>2036</v>
      </c>
      <c r="I1547" s="2" t="s">
        <v>5924</v>
      </c>
      <c r="J1547" s="2" t="s">
        <v>7485</v>
      </c>
      <c r="K1547" s="3" t="b">
        <f>J1547 = "blocking"</f>
        <v>0</v>
      </c>
      <c r="L1547" s="2" t="s">
        <v>1431</v>
      </c>
      <c r="M1547" s="2" t="s">
        <v>7889</v>
      </c>
      <c r="N1547" s="4">
        <v>46223.1297337963</v>
      </c>
      <c r="O1547" s="3" t="b">
        <f>L1547 = "PASS"</f>
        <v>0</v>
      </c>
      <c r="P1547" s="3" t="b">
        <f>L1547 = "FAIL"</f>
        <v>0</v>
      </c>
      <c r="Q1547" s="3" t="b">
        <f>AND(P1547, K1547)</f>
        <v>0</v>
      </c>
      <c r="R1547" s="3" t="str">
        <f>IF(O1547, I1547, "")</f>
      </c>
      <c r="S1547" s="3" t="str">
        <f>IF(Q1547, I1547, "")</f>
      </c>
      <c r="T1547" s="2" t="s">
        <v>5935</v>
      </c>
    </row>
    <row r="1548">
      <c r="A1548" s="2" t="s">
        <v>7890</v>
      </c>
      <c r="B1548" s="3" t="str">
        <f>C1548 &amp; ": " &amp; D1548</f>
        <v>witness-discriminates: MessageDeliveries.PolicyHasQuietHours</v>
      </c>
      <c r="C1548" s="2" t="s">
        <v>7483</v>
      </c>
      <c r="D1548" s="2" t="s">
        <v>4431</v>
      </c>
      <c r="E1548" s="2" t="s">
        <v>4378</v>
      </c>
      <c r="F1548" s="2" t="s">
        <v>4432</v>
      </c>
      <c r="G1548" s="2" t="s">
        <v>7484</v>
      </c>
      <c r="H1548" s="2" t="s">
        <v>2040</v>
      </c>
      <c r="I1548" s="2" t="s">
        <v>5924</v>
      </c>
      <c r="J1548" s="2" t="s">
        <v>7485</v>
      </c>
      <c r="K1548" s="3" t="b">
        <f>J1548 = "blocking"</f>
        <v>0</v>
      </c>
      <c r="L1548" s="2" t="s">
        <v>1428</v>
      </c>
      <c r="M1548" s="2" t="s">
        <v>7667</v>
      </c>
      <c r="N1548" s="4">
        <v>46223.1297337963</v>
      </c>
      <c r="O1548" s="3" t="b">
        <f>L1548 = "PASS"</f>
        <v>1</v>
      </c>
      <c r="P1548" s="3" t="b">
        <f>L1548 = "FAIL"</f>
        <v>0</v>
      </c>
      <c r="Q1548" s="3" t="b">
        <f>AND(P1548, K1548)</f>
        <v>0</v>
      </c>
      <c r="R1548" s="3" t="str">
        <f>IF(O1548, I1548, "")</f>
        <v>suite-witness</v>
      </c>
      <c r="S1548" s="3" t="str">
        <f>IF(Q1548, I1548, "")</f>
      </c>
      <c r="T1548" s="2" t="s">
        <v>5935</v>
      </c>
    </row>
    <row r="1549">
      <c r="A1549" s="2" t="s">
        <v>7891</v>
      </c>
      <c r="B1549" s="3" t="str">
        <f>C1549 &amp; ": " &amp; D1549</f>
        <v>witness-discriminates: MessageDeliveries.QuietWindowWrapsMidnight</v>
      </c>
      <c r="C1549" s="2" t="s">
        <v>7483</v>
      </c>
      <c r="D1549" s="2" t="s">
        <v>4434</v>
      </c>
      <c r="E1549" s="2" t="s">
        <v>4378</v>
      </c>
      <c r="F1549" s="2" t="s">
        <v>4435</v>
      </c>
      <c r="G1549" s="2" t="s">
        <v>7484</v>
      </c>
      <c r="H1549" s="2" t="s">
        <v>2040</v>
      </c>
      <c r="I1549" s="2" t="s">
        <v>5924</v>
      </c>
      <c r="J1549" s="2" t="s">
        <v>7485</v>
      </c>
      <c r="K1549" s="3" t="b">
        <f>J1549 = "blocking"</f>
        <v>0</v>
      </c>
      <c r="L1549" s="2" t="s">
        <v>1428</v>
      </c>
      <c r="M1549" s="2" t="s">
        <v>7667</v>
      </c>
      <c r="N1549" s="4">
        <v>46223.1297337963</v>
      </c>
      <c r="O1549" s="3" t="b">
        <f>L1549 = "PASS"</f>
        <v>1</v>
      </c>
      <c r="P1549" s="3" t="b">
        <f>L1549 = "FAIL"</f>
        <v>0</v>
      </c>
      <c r="Q1549" s="3" t="b">
        <f>AND(P1549, K1549)</f>
        <v>0</v>
      </c>
      <c r="R1549" s="3" t="str">
        <f>IF(O1549, I1549, "")</f>
        <v>suite-witness</v>
      </c>
      <c r="S1549" s="3" t="str">
        <f>IF(Q1549, I1549, "")</f>
      </c>
      <c r="T1549" s="2" t="s">
        <v>5935</v>
      </c>
    </row>
    <row r="1550">
      <c r="A1550" s="2" t="s">
        <v>7892</v>
      </c>
      <c r="B1550" s="3" t="str">
        <f>C1550 &amp; ": " &amp; D1550</f>
        <v>witness-discriminates: MessageDeliveries.IsInsideQuietWindow</v>
      </c>
      <c r="C1550" s="2" t="s">
        <v>7483</v>
      </c>
      <c r="D1550" s="2" t="s">
        <v>4437</v>
      </c>
      <c r="E1550" s="2" t="s">
        <v>4378</v>
      </c>
      <c r="F1550" s="2" t="s">
        <v>4438</v>
      </c>
      <c r="G1550" s="2" t="s">
        <v>7484</v>
      </c>
      <c r="H1550" s="2" t="s">
        <v>2040</v>
      </c>
      <c r="I1550" s="2" t="s">
        <v>5924</v>
      </c>
      <c r="J1550" s="2" t="s">
        <v>7485</v>
      </c>
      <c r="K1550" s="3" t="b">
        <f>J1550 = "blocking"</f>
        <v>0</v>
      </c>
      <c r="L1550" s="2" t="s">
        <v>1428</v>
      </c>
      <c r="M1550" s="2" t="s">
        <v>7893</v>
      </c>
      <c r="N1550" s="4">
        <v>46223.1297337963</v>
      </c>
      <c r="O1550" s="3" t="b">
        <f>L1550 = "PASS"</f>
        <v>1</v>
      </c>
      <c r="P1550" s="3" t="b">
        <f>L1550 = "FAIL"</f>
        <v>0</v>
      </c>
      <c r="Q1550" s="3" t="b">
        <f>AND(P1550, K1550)</f>
        <v>0</v>
      </c>
      <c r="R1550" s="3" t="str">
        <f>IF(O1550, I1550, "")</f>
        <v>suite-witness</v>
      </c>
      <c r="S1550" s="3" t="str">
        <f>IF(Q1550, I1550, "")</f>
      </c>
      <c r="T1550" s="2" t="s">
        <v>5935</v>
      </c>
    </row>
    <row r="1551">
      <c r="A1551" s="2" t="s">
        <v>7894</v>
      </c>
      <c r="B1551" s="3" t="str">
        <f>C1551 &amp; ": " &amp; D1551</f>
        <v>witness-discriminates: MessageDeliveries.IsQuietHoursViolation</v>
      </c>
      <c r="C1551" s="2" t="s">
        <v>7483</v>
      </c>
      <c r="D1551" s="2" t="s">
        <v>4440</v>
      </c>
      <c r="E1551" s="2" t="s">
        <v>4378</v>
      </c>
      <c r="F1551" s="2" t="s">
        <v>4441</v>
      </c>
      <c r="G1551" s="2" t="s">
        <v>7484</v>
      </c>
      <c r="H1551" s="2" t="s">
        <v>2040</v>
      </c>
      <c r="I1551" s="2" t="s">
        <v>5924</v>
      </c>
      <c r="J1551" s="2" t="s">
        <v>7485</v>
      </c>
      <c r="K1551" s="3" t="b">
        <f>J1551 = "blocking"</f>
        <v>0</v>
      </c>
      <c r="L1551" s="2" t="s">
        <v>1428</v>
      </c>
      <c r="M1551" s="2" t="s">
        <v>7893</v>
      </c>
      <c r="N1551" s="4">
        <v>46223.1297337963</v>
      </c>
      <c r="O1551" s="3" t="b">
        <f>L1551 = "PASS"</f>
        <v>1</v>
      </c>
      <c r="P1551" s="3" t="b">
        <f>L1551 = "FAIL"</f>
        <v>0</v>
      </c>
      <c r="Q1551" s="3" t="b">
        <f>AND(P1551, K1551)</f>
        <v>0</v>
      </c>
      <c r="R1551" s="3" t="str">
        <f>IF(O1551, I1551, "")</f>
        <v>suite-witness</v>
      </c>
      <c r="S1551" s="3" t="str">
        <f>IF(Q1551, I1551, "")</f>
      </c>
      <c r="T1551" s="2" t="s">
        <v>5935</v>
      </c>
    </row>
    <row r="1552">
      <c r="A1552" s="2" t="s">
        <v>7895</v>
      </c>
      <c r="B1552" s="3" t="str">
        <f>C1552 &amp; ": " &amp; D1552</f>
        <v>witness-discriminates: MessageDeliveries.RecipientIsUnreachable</v>
      </c>
      <c r="C1552" s="2" t="s">
        <v>7483</v>
      </c>
      <c r="D1552" s="2" t="s">
        <v>4446</v>
      </c>
      <c r="E1552" s="2" t="s">
        <v>4378</v>
      </c>
      <c r="F1552" s="2" t="s">
        <v>4447</v>
      </c>
      <c r="G1552" s="2" t="s">
        <v>7484</v>
      </c>
      <c r="H1552" s="2" t="s">
        <v>2044</v>
      </c>
      <c r="I1552" s="2" t="s">
        <v>5924</v>
      </c>
      <c r="J1552" s="2" t="s">
        <v>7485</v>
      </c>
      <c r="K1552" s="3" t="b">
        <f>J1552 = "blocking"</f>
        <v>0</v>
      </c>
      <c r="L1552" s="2" t="s">
        <v>1431</v>
      </c>
      <c r="M1552" s="2" t="s">
        <v>7889</v>
      </c>
      <c r="N1552" s="4">
        <v>46223.1297337963</v>
      </c>
      <c r="O1552" s="3" t="b">
        <f>L1552 = "PASS"</f>
        <v>0</v>
      </c>
      <c r="P1552" s="3" t="b">
        <f>L1552 = "FAIL"</f>
        <v>0</v>
      </c>
      <c r="Q1552" s="3" t="b">
        <f>AND(P1552, K1552)</f>
        <v>0</v>
      </c>
      <c r="R1552" s="3" t="str">
        <f>IF(O1552, I1552, "")</f>
      </c>
      <c r="S1552" s="3" t="str">
        <f>IF(Q1552, I1552, "")</f>
      </c>
      <c r="T1552" s="2" t="s">
        <v>5935</v>
      </c>
    </row>
    <row r="1553">
      <c r="A1553" s="2" t="s">
        <v>7896</v>
      </c>
      <c r="B1553" s="3" t="str">
        <f>C1553 &amp; ": " &amp; D1553</f>
        <v>witness-discriminates: MessageDeliveries.IsAcknowledged</v>
      </c>
      <c r="C1553" s="2" t="s">
        <v>7483</v>
      </c>
      <c r="D1553" s="2" t="s">
        <v>4449</v>
      </c>
      <c r="E1553" s="2" t="s">
        <v>4378</v>
      </c>
      <c r="F1553" s="2" t="s">
        <v>4450</v>
      </c>
      <c r="G1553" s="2" t="s">
        <v>7484</v>
      </c>
      <c r="H1553" s="2" t="s">
        <v>2044</v>
      </c>
      <c r="I1553" s="2" t="s">
        <v>5924</v>
      </c>
      <c r="J1553" s="2" t="s">
        <v>7485</v>
      </c>
      <c r="K1553" s="3" t="b">
        <f>J1553 = "blocking"</f>
        <v>0</v>
      </c>
      <c r="L1553" s="2" t="s">
        <v>1428</v>
      </c>
      <c r="M1553" s="2" t="s">
        <v>7893</v>
      </c>
      <c r="N1553" s="4">
        <v>46223.1297337963</v>
      </c>
      <c r="O1553" s="3" t="b">
        <f>L1553 = "PASS"</f>
        <v>1</v>
      </c>
      <c r="P1553" s="3" t="b">
        <f>L1553 = "FAIL"</f>
        <v>0</v>
      </c>
      <c r="Q1553" s="3" t="b">
        <f>AND(P1553, K1553)</f>
        <v>0</v>
      </c>
      <c r="R1553" s="3" t="str">
        <f>IF(O1553, I1553, "")</f>
        <v>suite-witness</v>
      </c>
      <c r="S1553" s="3" t="str">
        <f>IF(Q1553, I1553, "")</f>
      </c>
      <c r="T1553" s="2" t="s">
        <v>5935</v>
      </c>
    </row>
    <row r="1554">
      <c r="A1554" s="2" t="s">
        <v>7897</v>
      </c>
      <c r="B1554" s="3" t="str">
        <f>C1554 &amp; ": " &amp; D1554</f>
        <v>witness-discriminates: MessageDeliveries.HasUnreachableExceptionInvoked</v>
      </c>
      <c r="C1554" s="2" t="s">
        <v>7483</v>
      </c>
      <c r="D1554" s="2" t="s">
        <v>4455</v>
      </c>
      <c r="E1554" s="2" t="s">
        <v>4378</v>
      </c>
      <c r="F1554" s="2" t="s">
        <v>4456</v>
      </c>
      <c r="G1554" s="2" t="s">
        <v>7484</v>
      </c>
      <c r="H1554" s="2" t="s">
        <v>2044</v>
      </c>
      <c r="I1554" s="2" t="s">
        <v>5924</v>
      </c>
      <c r="J1554" s="2" t="s">
        <v>7485</v>
      </c>
      <c r="K1554" s="3" t="b">
        <f>J1554 = "blocking"</f>
        <v>0</v>
      </c>
      <c r="L1554" s="2" t="s">
        <v>1428</v>
      </c>
      <c r="M1554" s="2" t="s">
        <v>7538</v>
      </c>
      <c r="N1554" s="4">
        <v>46223.1297337963</v>
      </c>
      <c r="O1554" s="3" t="b">
        <f>L1554 = "PASS"</f>
        <v>1</v>
      </c>
      <c r="P1554" s="3" t="b">
        <f>L1554 = "FAIL"</f>
        <v>0</v>
      </c>
      <c r="Q1554" s="3" t="b">
        <f>AND(P1554, K1554)</f>
        <v>0</v>
      </c>
      <c r="R1554" s="3" t="str">
        <f>IF(O1554, I1554, "")</f>
        <v>suite-witness</v>
      </c>
      <c r="S1554" s="3" t="str">
        <f>IF(Q1554, I1554, "")</f>
      </c>
      <c r="T1554" s="2" t="s">
        <v>5935</v>
      </c>
    </row>
    <row r="1555">
      <c r="A1555" s="2" t="s">
        <v>7898</v>
      </c>
      <c r="B1555" s="3" t="str">
        <f>C1555 &amp; ": " &amp; D1555</f>
        <v>witness-discriminates: MessageDeliveries.IsFabricatedAcknowledgement</v>
      </c>
      <c r="C1555" s="2" t="s">
        <v>7483</v>
      </c>
      <c r="D1555" s="2" t="s">
        <v>4458</v>
      </c>
      <c r="E1555" s="2" t="s">
        <v>4378</v>
      </c>
      <c r="F1555" s="2" t="s">
        <v>4459</v>
      </c>
      <c r="G1555" s="2" t="s">
        <v>7484</v>
      </c>
      <c r="H1555" s="2" t="s">
        <v>2044</v>
      </c>
      <c r="I1555" s="2" t="s">
        <v>5924</v>
      </c>
      <c r="J1555" s="2" t="s">
        <v>7485</v>
      </c>
      <c r="K1555" s="3" t="b">
        <f>J1555 = "blocking"</f>
        <v>0</v>
      </c>
      <c r="L1555" s="2" t="s">
        <v>1431</v>
      </c>
      <c r="M1555" s="2" t="s">
        <v>7889</v>
      </c>
      <c r="N1555" s="4">
        <v>46223.1297337963</v>
      </c>
      <c r="O1555" s="3" t="b">
        <f>L1555 = "PASS"</f>
        <v>0</v>
      </c>
      <c r="P1555" s="3" t="b">
        <f>L1555 = "FAIL"</f>
        <v>0</v>
      </c>
      <c r="Q1555" s="3" t="b">
        <f>AND(P1555, K1555)</f>
        <v>0</v>
      </c>
      <c r="R1555" s="3" t="str">
        <f>IF(O1555, I1555, "")</f>
      </c>
      <c r="S1555" s="3" t="str">
        <f>IF(Q1555, I1555, "")</f>
      </c>
      <c r="T1555" s="2" t="s">
        <v>5935</v>
      </c>
    </row>
    <row r="1556">
      <c r="A1556" s="2" t="s">
        <v>7899</v>
      </c>
      <c r="B1556" s="3" t="str">
        <f>C1556 &amp; ": " &amp; D1556</f>
        <v>witness-discriminates: MessageDeliveries.IsUnhandledUnreachable</v>
      </c>
      <c r="C1556" s="2" t="s">
        <v>7483</v>
      </c>
      <c r="D1556" s="2" t="s">
        <v>4461</v>
      </c>
      <c r="E1556" s="2" t="s">
        <v>4378</v>
      </c>
      <c r="F1556" s="2" t="s">
        <v>4462</v>
      </c>
      <c r="G1556" s="2" t="s">
        <v>7484</v>
      </c>
      <c r="H1556" s="2" t="s">
        <v>2044</v>
      </c>
      <c r="I1556" s="2" t="s">
        <v>5924</v>
      </c>
      <c r="J1556" s="2" t="s">
        <v>7485</v>
      </c>
      <c r="K1556" s="3" t="b">
        <f>J1556 = "blocking"</f>
        <v>0</v>
      </c>
      <c r="L1556" s="2" t="s">
        <v>1431</v>
      </c>
      <c r="M1556" s="2" t="s">
        <v>7889</v>
      </c>
      <c r="N1556" s="4">
        <v>46223.1297337963</v>
      </c>
      <c r="O1556" s="3" t="b">
        <f>L1556 = "PASS"</f>
        <v>0</v>
      </c>
      <c r="P1556" s="3" t="b">
        <f>L1556 = "FAIL"</f>
        <v>0</v>
      </c>
      <c r="Q1556" s="3" t="b">
        <f>AND(P1556, K1556)</f>
        <v>0</v>
      </c>
      <c r="R1556" s="3" t="str">
        <f>IF(O1556, I1556, "")</f>
      </c>
      <c r="S1556" s="3" t="str">
        <f>IF(Q1556, I1556, "")</f>
      </c>
      <c r="T1556" s="2" t="s">
        <v>5935</v>
      </c>
    </row>
    <row r="1557">
      <c r="A1557" s="2" t="s">
        <v>7900</v>
      </c>
      <c r="B1557" s="3" t="str">
        <f>C1557 &amp; ": " &amp; D1557</f>
        <v>witness-discriminates: MessageDeliveries.IsWithinRetentionWindow</v>
      </c>
      <c r="C1557" s="2" t="s">
        <v>7483</v>
      </c>
      <c r="D1557" s="2" t="s">
        <v>4474</v>
      </c>
      <c r="E1557" s="2" t="s">
        <v>4378</v>
      </c>
      <c r="F1557" s="2" t="s">
        <v>4475</v>
      </c>
      <c r="G1557" s="2" t="s">
        <v>7484</v>
      </c>
      <c r="H1557" s="2" t="s">
        <v>2048</v>
      </c>
      <c r="I1557" s="2" t="s">
        <v>5924</v>
      </c>
      <c r="J1557" s="2" t="s">
        <v>7485</v>
      </c>
      <c r="K1557" s="3" t="b">
        <f>J1557 = "blocking"</f>
        <v>0</v>
      </c>
      <c r="L1557" s="2" t="s">
        <v>1431</v>
      </c>
      <c r="M1557" s="2" t="s">
        <v>7901</v>
      </c>
      <c r="N1557" s="4">
        <v>46223.1297337963</v>
      </c>
      <c r="O1557" s="3" t="b">
        <f>L1557 = "PASS"</f>
        <v>0</v>
      </c>
      <c r="P1557" s="3" t="b">
        <f>L1557 = "FAIL"</f>
        <v>0</v>
      </c>
      <c r="Q1557" s="3" t="b">
        <f>AND(P1557, K1557)</f>
        <v>0</v>
      </c>
      <c r="R1557" s="3" t="str">
        <f>IF(O1557, I1557, "")</f>
      </c>
      <c r="S1557" s="3" t="str">
        <f>IF(Q1557, I1557, "")</f>
      </c>
      <c r="T1557" s="2" t="s">
        <v>5935</v>
      </c>
    </row>
    <row r="1558">
      <c r="A1558" s="2" t="s">
        <v>7902</v>
      </c>
      <c r="B1558" s="3" t="str">
        <f>C1558 &amp; ": " &amp; D1558</f>
        <v>witness-discriminates: MessageDeliveries.HasRenderedBody</v>
      </c>
      <c r="C1558" s="2" t="s">
        <v>7483</v>
      </c>
      <c r="D1558" s="2" t="s">
        <v>4477</v>
      </c>
      <c r="E1558" s="2" t="s">
        <v>4378</v>
      </c>
      <c r="F1558" s="2" t="s">
        <v>4478</v>
      </c>
      <c r="G1558" s="2" t="s">
        <v>7484</v>
      </c>
      <c r="H1558" s="2" t="s">
        <v>2048</v>
      </c>
      <c r="I1558" s="2" t="s">
        <v>5924</v>
      </c>
      <c r="J1558" s="2" t="s">
        <v>7485</v>
      </c>
      <c r="K1558" s="3" t="b">
        <f>J1558 = "blocking"</f>
        <v>0</v>
      </c>
      <c r="L1558" s="2" t="s">
        <v>1431</v>
      </c>
      <c r="M1558" s="2" t="s">
        <v>7901</v>
      </c>
      <c r="N1558" s="4">
        <v>46223.1297337963</v>
      </c>
      <c r="O1558" s="3" t="b">
        <f>L1558 = "PASS"</f>
        <v>0</v>
      </c>
      <c r="P1558" s="3" t="b">
        <f>L1558 = "FAIL"</f>
        <v>0</v>
      </c>
      <c r="Q1558" s="3" t="b">
        <f>AND(P1558, K1558)</f>
        <v>0</v>
      </c>
      <c r="R1558" s="3" t="str">
        <f>IF(O1558, I1558, "")</f>
      </c>
      <c r="S1558" s="3" t="str">
        <f>IF(Q1558, I1558, "")</f>
      </c>
      <c r="T1558" s="2" t="s">
        <v>5935</v>
      </c>
    </row>
    <row r="1559">
      <c r="A1559" s="2" t="s">
        <v>7903</v>
      </c>
      <c r="B1559" s="3" t="str">
        <f>C1559 &amp; ": " &amp; D1559</f>
        <v>witness-discriminates: MessageDeliveries.IsEvidenceRequired</v>
      </c>
      <c r="C1559" s="2" t="s">
        <v>7483</v>
      </c>
      <c r="D1559" s="2" t="s">
        <v>4480</v>
      </c>
      <c r="E1559" s="2" t="s">
        <v>4378</v>
      </c>
      <c r="F1559" s="2" t="s">
        <v>4481</v>
      </c>
      <c r="G1559" s="2" t="s">
        <v>7484</v>
      </c>
      <c r="H1559" s="2" t="s">
        <v>2048</v>
      </c>
      <c r="I1559" s="2" t="s">
        <v>5924</v>
      </c>
      <c r="J1559" s="2" t="s">
        <v>7485</v>
      </c>
      <c r="K1559" s="3" t="b">
        <f>J1559 = "blocking"</f>
        <v>0</v>
      </c>
      <c r="L1559" s="2" t="s">
        <v>1428</v>
      </c>
      <c r="M1559" s="2" t="s">
        <v>7667</v>
      </c>
      <c r="N1559" s="4">
        <v>46223.1297337963</v>
      </c>
      <c r="O1559" s="3" t="b">
        <f>L1559 = "PASS"</f>
        <v>1</v>
      </c>
      <c r="P1559" s="3" t="b">
        <f>L1559 = "FAIL"</f>
        <v>0</v>
      </c>
      <c r="Q1559" s="3" t="b">
        <f>AND(P1559, K1559)</f>
        <v>0</v>
      </c>
      <c r="R1559" s="3" t="str">
        <f>IF(O1559, I1559, "")</f>
        <v>suite-witness</v>
      </c>
      <c r="S1559" s="3" t="str">
        <f>IF(Q1559, I1559, "")</f>
      </c>
      <c r="T1559" s="2" t="s">
        <v>5935</v>
      </c>
    </row>
    <row r="1560">
      <c r="A1560" s="2" t="s">
        <v>7904</v>
      </c>
      <c r="B1560" s="3" t="str">
        <f>C1560 &amp; ": " &amp; D1560</f>
        <v>witness-discriminates: MessageDeliveries.IsRetentionBreach</v>
      </c>
      <c r="C1560" s="2" t="s">
        <v>7483</v>
      </c>
      <c r="D1560" s="2" t="s">
        <v>4483</v>
      </c>
      <c r="E1560" s="2" t="s">
        <v>4378</v>
      </c>
      <c r="F1560" s="2" t="s">
        <v>4484</v>
      </c>
      <c r="G1560" s="2" t="s">
        <v>7484</v>
      </c>
      <c r="H1560" s="2" t="s">
        <v>2048</v>
      </c>
      <c r="I1560" s="2" t="s">
        <v>5924</v>
      </c>
      <c r="J1560" s="2" t="s">
        <v>7485</v>
      </c>
      <c r="K1560" s="3" t="b">
        <f>J1560 = "blocking"</f>
        <v>0</v>
      </c>
      <c r="L1560" s="2" t="s">
        <v>1431</v>
      </c>
      <c r="M1560" s="2" t="s">
        <v>7889</v>
      </c>
      <c r="N1560" s="4">
        <v>46223.1297337963</v>
      </c>
      <c r="O1560" s="3" t="b">
        <f>L1560 = "PASS"</f>
        <v>0</v>
      </c>
      <c r="P1560" s="3" t="b">
        <f>L1560 = "FAIL"</f>
        <v>0</v>
      </c>
      <c r="Q1560" s="3" t="b">
        <f>AND(P1560, K1560)</f>
        <v>0</v>
      </c>
      <c r="R1560" s="3" t="str">
        <f>IF(O1560, I1560, "")</f>
      </c>
      <c r="S1560" s="3" t="str">
        <f>IF(Q1560, I1560, "")</f>
      </c>
      <c r="T1560" s="2" t="s">
        <v>5935</v>
      </c>
    </row>
    <row r="1561">
      <c r="A1561" s="2" t="s">
        <v>7905</v>
      </c>
      <c r="B1561" s="3" t="str">
        <f>C1561 &amp; ": " &amp; D1561</f>
        <v>witness-discriminates: MessageDeliveries.ExecutionHasClearedLegalReview</v>
      </c>
      <c r="C1561" s="2" t="s">
        <v>7483</v>
      </c>
      <c r="D1561" s="2" t="s">
        <v>4491</v>
      </c>
      <c r="E1561" s="2" t="s">
        <v>4378</v>
      </c>
      <c r="F1561" s="2" t="s">
        <v>4492</v>
      </c>
      <c r="G1561" s="2" t="s">
        <v>7484</v>
      </c>
      <c r="H1561" s="2" t="s">
        <v>2052</v>
      </c>
      <c r="I1561" s="2" t="s">
        <v>5924</v>
      </c>
      <c r="J1561" s="2" t="s">
        <v>7485</v>
      </c>
      <c r="K1561" s="3" t="b">
        <f>J1561 = "blocking"</f>
        <v>0</v>
      </c>
      <c r="L1561" s="2" t="s">
        <v>1431</v>
      </c>
      <c r="M1561" s="2" t="s">
        <v>7901</v>
      </c>
      <c r="N1561" s="4">
        <v>46223.1297337963</v>
      </c>
      <c r="O1561" s="3" t="b">
        <f>L1561 = "PASS"</f>
        <v>0</v>
      </c>
      <c r="P1561" s="3" t="b">
        <f>L1561 = "FAIL"</f>
        <v>0</v>
      </c>
      <c r="Q1561" s="3" t="b">
        <f>AND(P1561, K1561)</f>
        <v>0</v>
      </c>
      <c r="R1561" s="3" t="str">
        <f>IF(O1561, I1561, "")</f>
      </c>
      <c r="S1561" s="3" t="str">
        <f>IF(Q1561, I1561, "")</f>
      </c>
      <c r="T1561" s="2" t="s">
        <v>5935</v>
      </c>
    </row>
    <row r="1562">
      <c r="A1562" s="2" t="s">
        <v>7906</v>
      </c>
      <c r="B1562" s="3" t="str">
        <f>C1562 &amp; ": " &amp; D1562</f>
        <v>witness-discriminates: MessageDeliveries.IsUnreviewedSend</v>
      </c>
      <c r="C1562" s="2" t="s">
        <v>7483</v>
      </c>
      <c r="D1562" s="2" t="s">
        <v>4494</v>
      </c>
      <c r="E1562" s="2" t="s">
        <v>4378</v>
      </c>
      <c r="F1562" s="2" t="s">
        <v>4495</v>
      </c>
      <c r="G1562" s="2" t="s">
        <v>7484</v>
      </c>
      <c r="H1562" s="2" t="s">
        <v>2052</v>
      </c>
      <c r="I1562" s="2" t="s">
        <v>5924</v>
      </c>
      <c r="J1562" s="2" t="s">
        <v>7485</v>
      </c>
      <c r="K1562" s="3" t="b">
        <f>J1562 = "blocking"</f>
        <v>0</v>
      </c>
      <c r="L1562" s="2" t="s">
        <v>1431</v>
      </c>
      <c r="M1562" s="2" t="s">
        <v>7889</v>
      </c>
      <c r="N1562" s="4">
        <v>46223.1297337963</v>
      </c>
      <c r="O1562" s="3" t="b">
        <f>L1562 = "PASS"</f>
        <v>0</v>
      </c>
      <c r="P1562" s="3" t="b">
        <f>L1562 = "FAIL"</f>
        <v>0</v>
      </c>
      <c r="Q1562" s="3" t="b">
        <f>AND(P1562, K1562)</f>
        <v>0</v>
      </c>
      <c r="R1562" s="3" t="str">
        <f>IF(O1562, I1562, "")</f>
      </c>
      <c r="S1562" s="3" t="str">
        <f>IF(Q1562, I1562, "")</f>
      </c>
      <c r="T1562" s="2" t="s">
        <v>5935</v>
      </c>
    </row>
    <row r="1563">
      <c r="A1563" s="2" t="s">
        <v>7907</v>
      </c>
      <c r="B1563" s="3" t="str">
        <f>C1563 &amp; ": " &amp; D1563</f>
        <v>witness-discriminates: MessageDeliveries.IsOverSegmentLimit</v>
      </c>
      <c r="C1563" s="2" t="s">
        <v>7483</v>
      </c>
      <c r="D1563" s="2" t="s">
        <v>4509</v>
      </c>
      <c r="E1563" s="2" t="s">
        <v>4378</v>
      </c>
      <c r="F1563" s="2" t="s">
        <v>4510</v>
      </c>
      <c r="G1563" s="2" t="s">
        <v>7484</v>
      </c>
      <c r="H1563" s="2" t="s">
        <v>2056</v>
      </c>
      <c r="I1563" s="2" t="s">
        <v>5924</v>
      </c>
      <c r="J1563" s="2" t="s">
        <v>7485</v>
      </c>
      <c r="K1563" s="3" t="b">
        <f>J1563 = "blocking"</f>
        <v>0</v>
      </c>
      <c r="L1563" s="2" t="s">
        <v>1431</v>
      </c>
      <c r="M1563" s="2" t="s">
        <v>7889</v>
      </c>
      <c r="N1563" s="4">
        <v>46223.1297337963</v>
      </c>
      <c r="O1563" s="3" t="b">
        <f>L1563 = "PASS"</f>
        <v>0</v>
      </c>
      <c r="P1563" s="3" t="b">
        <f>L1563 = "FAIL"</f>
        <v>0</v>
      </c>
      <c r="Q1563" s="3" t="b">
        <f>AND(P1563, K1563)</f>
        <v>0</v>
      </c>
      <c r="R1563" s="3" t="str">
        <f>IF(O1563, I1563, "")</f>
      </c>
      <c r="S1563" s="3" t="str">
        <f>IF(Q1563, I1563, "")</f>
      </c>
      <c r="T1563" s="2" t="s">
        <v>5935</v>
      </c>
    </row>
    <row r="1564">
      <c r="A1564" s="2" t="s">
        <v>7908</v>
      </c>
      <c r="B1564" s="3" t="str">
        <f>C1564 &amp; ": " &amp; D1564</f>
        <v>witness-discriminates: MessageDeliveries.TemplateHasValidApproval</v>
      </c>
      <c r="C1564" s="2" t="s">
        <v>7483</v>
      </c>
      <c r="D1564" s="2" t="s">
        <v>4512</v>
      </c>
      <c r="E1564" s="2" t="s">
        <v>4378</v>
      </c>
      <c r="F1564" s="2" t="s">
        <v>4513</v>
      </c>
      <c r="G1564" s="2" t="s">
        <v>7484</v>
      </c>
      <c r="H1564" s="2" t="s">
        <v>2060</v>
      </c>
      <c r="I1564" s="2" t="s">
        <v>5924</v>
      </c>
      <c r="J1564" s="2" t="s">
        <v>7485</v>
      </c>
      <c r="K1564" s="3" t="b">
        <f>J1564 = "blocking"</f>
        <v>0</v>
      </c>
      <c r="L1564" s="2" t="s">
        <v>1431</v>
      </c>
      <c r="M1564" s="2" t="s">
        <v>7901</v>
      </c>
      <c r="N1564" s="4">
        <v>46223.1297337963</v>
      </c>
      <c r="O1564" s="3" t="b">
        <f>L1564 = "PASS"</f>
        <v>0</v>
      </c>
      <c r="P1564" s="3" t="b">
        <f>L1564 = "FAIL"</f>
        <v>0</v>
      </c>
      <c r="Q1564" s="3" t="b">
        <f>AND(P1564, K1564)</f>
        <v>0</v>
      </c>
      <c r="R1564" s="3" t="str">
        <f>IF(O1564, I1564, "")</f>
      </c>
      <c r="S1564" s="3" t="str">
        <f>IF(Q1564, I1564, "")</f>
      </c>
      <c r="T1564" s="2" t="s">
        <v>5935</v>
      </c>
    </row>
    <row r="1565">
      <c r="A1565" s="2" t="s">
        <v>7909</v>
      </c>
      <c r="B1565" s="3" t="str">
        <f>C1565 &amp; ": " &amp; D1565</f>
        <v>witness-discriminates: MessageDeliveries.IsUnapprovedSend</v>
      </c>
      <c r="C1565" s="2" t="s">
        <v>7483</v>
      </c>
      <c r="D1565" s="2" t="s">
        <v>4515</v>
      </c>
      <c r="E1565" s="2" t="s">
        <v>4378</v>
      </c>
      <c r="F1565" s="2" t="s">
        <v>4516</v>
      </c>
      <c r="G1565" s="2" t="s">
        <v>7484</v>
      </c>
      <c r="H1565" s="2" t="s">
        <v>2060</v>
      </c>
      <c r="I1565" s="2" t="s">
        <v>5924</v>
      </c>
      <c r="J1565" s="2" t="s">
        <v>7485</v>
      </c>
      <c r="K1565" s="3" t="b">
        <f>J1565 = "blocking"</f>
        <v>0</v>
      </c>
      <c r="L1565" s="2" t="s">
        <v>1431</v>
      </c>
      <c r="M1565" s="2" t="s">
        <v>7889</v>
      </c>
      <c r="N1565" s="4">
        <v>46223.1297337963</v>
      </c>
      <c r="O1565" s="3" t="b">
        <f>L1565 = "PASS"</f>
        <v>0</v>
      </c>
      <c r="P1565" s="3" t="b">
        <f>L1565 = "FAIL"</f>
        <v>0</v>
      </c>
      <c r="Q1565" s="3" t="b">
        <f>AND(P1565, K1565)</f>
        <v>0</v>
      </c>
      <c r="R1565" s="3" t="str">
        <f>IF(O1565, I1565, "")</f>
      </c>
      <c r="S1565" s="3" t="str">
        <f>IF(Q1565, I1565, "")</f>
      </c>
      <c r="T1565" s="2" t="s">
        <v>5935</v>
      </c>
    </row>
    <row r="1566">
      <c r="A1566" s="2" t="s">
        <v>7910</v>
      </c>
      <c r="B1566" s="3" t="str">
        <f>C1566 &amp; ": " &amp; D1566</f>
        <v>witness-discriminates: MessageDeliveries.PolicyRequiresOptOut</v>
      </c>
      <c r="C1566" s="2" t="s">
        <v>7483</v>
      </c>
      <c r="D1566" s="2" t="s">
        <v>4521</v>
      </c>
      <c r="E1566" s="2" t="s">
        <v>4378</v>
      </c>
      <c r="F1566" s="2" t="s">
        <v>4522</v>
      </c>
      <c r="G1566" s="2" t="s">
        <v>7484</v>
      </c>
      <c r="H1566" s="2" t="s">
        <v>2064</v>
      </c>
      <c r="I1566" s="2" t="s">
        <v>5924</v>
      </c>
      <c r="J1566" s="2" t="s">
        <v>7485</v>
      </c>
      <c r="K1566" s="3" t="b">
        <f>J1566 = "blocking"</f>
        <v>0</v>
      </c>
      <c r="L1566" s="2" t="s">
        <v>1428</v>
      </c>
      <c r="M1566" s="2" t="s">
        <v>7667</v>
      </c>
      <c r="N1566" s="4">
        <v>46223.1297337963</v>
      </c>
      <c r="O1566" s="3" t="b">
        <f>L1566 = "PASS"</f>
        <v>1</v>
      </c>
      <c r="P1566" s="3" t="b">
        <f>L1566 = "FAIL"</f>
        <v>0</v>
      </c>
      <c r="Q1566" s="3" t="b">
        <f>AND(P1566, K1566)</f>
        <v>0</v>
      </c>
      <c r="R1566" s="3" t="str">
        <f>IF(O1566, I1566, "")</f>
        <v>suite-witness</v>
      </c>
      <c r="S1566" s="3" t="str">
        <f>IF(Q1566, I1566, "")</f>
      </c>
      <c r="T1566" s="2" t="s">
        <v>5935</v>
      </c>
    </row>
    <row r="1567">
      <c r="A1567" s="2" t="s">
        <v>7911</v>
      </c>
      <c r="B1567" s="3" t="str">
        <f>C1567 &amp; ": " &amp; D1567</f>
        <v>witness-discriminates: MessageDeliveries.HasOptOutPhrase</v>
      </c>
      <c r="C1567" s="2" t="s">
        <v>7483</v>
      </c>
      <c r="D1567" s="2" t="s">
        <v>4527</v>
      </c>
      <c r="E1567" s="2" t="s">
        <v>4378</v>
      </c>
      <c r="F1567" s="2" t="s">
        <v>4528</v>
      </c>
      <c r="G1567" s="2" t="s">
        <v>7484</v>
      </c>
      <c r="H1567" s="2" t="s">
        <v>2064</v>
      </c>
      <c r="I1567" s="2" t="s">
        <v>5924</v>
      </c>
      <c r="J1567" s="2" t="s">
        <v>7485</v>
      </c>
      <c r="K1567" s="3" t="b">
        <f>J1567 = "blocking"</f>
        <v>0</v>
      </c>
      <c r="L1567" s="2" t="s">
        <v>1428</v>
      </c>
      <c r="M1567" s="2" t="s">
        <v>7867</v>
      </c>
      <c r="N1567" s="4">
        <v>46223.1297337963</v>
      </c>
      <c r="O1567" s="3" t="b">
        <f>L1567 = "PASS"</f>
        <v>1</v>
      </c>
      <c r="P1567" s="3" t="b">
        <f>L1567 = "FAIL"</f>
        <v>0</v>
      </c>
      <c r="Q1567" s="3" t="b">
        <f>AND(P1567, K1567)</f>
        <v>0</v>
      </c>
      <c r="R1567" s="3" t="str">
        <f>IF(O1567, I1567, "")</f>
        <v>suite-witness</v>
      </c>
      <c r="S1567" s="3" t="str">
        <f>IF(Q1567, I1567, "")</f>
      </c>
      <c r="T1567" s="2" t="s">
        <v>5935</v>
      </c>
    </row>
    <row r="1568">
      <c r="A1568" s="2" t="s">
        <v>7912</v>
      </c>
      <c r="B1568" s="3" t="str">
        <f>C1568 &amp; ": " &amp; D1568</f>
        <v>witness-discriminates: MessageDeliveries.IsOptOutInFirstSegment</v>
      </c>
      <c r="C1568" s="2" t="s">
        <v>7483</v>
      </c>
      <c r="D1568" s="2" t="s">
        <v>4530</v>
      </c>
      <c r="E1568" s="2" t="s">
        <v>4378</v>
      </c>
      <c r="F1568" s="2" t="s">
        <v>4531</v>
      </c>
      <c r="G1568" s="2" t="s">
        <v>7484</v>
      </c>
      <c r="H1568" s="2" t="s">
        <v>2064</v>
      </c>
      <c r="I1568" s="2" t="s">
        <v>5924</v>
      </c>
      <c r="J1568" s="2" t="s">
        <v>7485</v>
      </c>
      <c r="K1568" s="3" t="b">
        <f>J1568 = "blocking"</f>
        <v>0</v>
      </c>
      <c r="L1568" s="2" t="s">
        <v>1428</v>
      </c>
      <c r="M1568" s="2" t="s">
        <v>7867</v>
      </c>
      <c r="N1568" s="4">
        <v>46223.1297337963</v>
      </c>
      <c r="O1568" s="3" t="b">
        <f>L1568 = "PASS"</f>
        <v>1</v>
      </c>
      <c r="P1568" s="3" t="b">
        <f>L1568 = "FAIL"</f>
        <v>0</v>
      </c>
      <c r="Q1568" s="3" t="b">
        <f>AND(P1568, K1568)</f>
        <v>0</v>
      </c>
      <c r="R1568" s="3" t="str">
        <f>IF(O1568, I1568, "")</f>
        <v>suite-witness</v>
      </c>
      <c r="S1568" s="3" t="str">
        <f>IF(Q1568, I1568, "")</f>
      </c>
      <c r="T1568" s="2" t="s">
        <v>5935</v>
      </c>
    </row>
    <row r="1569">
      <c r="A1569" s="2" t="s">
        <v>7913</v>
      </c>
      <c r="B1569" s="3" t="str">
        <f>C1569 &amp; ": " &amp; D1569</f>
        <v>witness-discriminates: MessageDeliveries.IsMissingRequiredOptOut</v>
      </c>
      <c r="C1569" s="2" t="s">
        <v>7483</v>
      </c>
      <c r="D1569" s="2" t="s">
        <v>4533</v>
      </c>
      <c r="E1569" s="2" t="s">
        <v>4378</v>
      </c>
      <c r="F1569" s="2" t="s">
        <v>4534</v>
      </c>
      <c r="G1569" s="2" t="s">
        <v>7484</v>
      </c>
      <c r="H1569" s="2" t="s">
        <v>2064</v>
      </c>
      <c r="I1569" s="2" t="s">
        <v>5924</v>
      </c>
      <c r="J1569" s="2" t="s">
        <v>7485</v>
      </c>
      <c r="K1569" s="3" t="b">
        <f>J1569 = "blocking"</f>
        <v>0</v>
      </c>
      <c r="L1569" s="2" t="s">
        <v>1428</v>
      </c>
      <c r="M1569" s="2" t="s">
        <v>7893</v>
      </c>
      <c r="N1569" s="4">
        <v>46223.1297337963</v>
      </c>
      <c r="O1569" s="3" t="b">
        <f>L1569 = "PASS"</f>
        <v>1</v>
      </c>
      <c r="P1569" s="3" t="b">
        <f>L1569 = "FAIL"</f>
        <v>0</v>
      </c>
      <c r="Q1569" s="3" t="b">
        <f>AND(P1569, K1569)</f>
        <v>0</v>
      </c>
      <c r="R1569" s="3" t="str">
        <f>IF(O1569, I1569, "")</f>
        <v>suite-witness</v>
      </c>
      <c r="S1569" s="3" t="str">
        <f>IF(Q1569, I1569, "")</f>
      </c>
      <c r="T1569" s="2" t="s">
        <v>5935</v>
      </c>
    </row>
    <row r="1570">
      <c r="A1570" s="2" t="s">
        <v>7914</v>
      </c>
      <c r="B1570" s="3" t="str">
        <f>C1570 &amp; ": " &amp; D1570</f>
        <v>witness-discriminates: MessageDeliveries.IsOptOutAtRiskOfTruncation</v>
      </c>
      <c r="C1570" s="2" t="s">
        <v>7483</v>
      </c>
      <c r="D1570" s="2" t="s">
        <v>4536</v>
      </c>
      <c r="E1570" s="2" t="s">
        <v>4378</v>
      </c>
      <c r="F1570" s="2" t="s">
        <v>4537</v>
      </c>
      <c r="G1570" s="2" t="s">
        <v>7484</v>
      </c>
      <c r="H1570" s="2" t="s">
        <v>2064</v>
      </c>
      <c r="I1570" s="2" t="s">
        <v>5924</v>
      </c>
      <c r="J1570" s="2" t="s">
        <v>7485</v>
      </c>
      <c r="K1570" s="3" t="b">
        <f>J1570 = "blocking"</f>
        <v>0</v>
      </c>
      <c r="L1570" s="2" t="s">
        <v>1431</v>
      </c>
      <c r="M1570" s="2" t="s">
        <v>7889</v>
      </c>
      <c r="N1570" s="4">
        <v>46223.1297337963</v>
      </c>
      <c r="O1570" s="3" t="b">
        <f>L1570 = "PASS"</f>
        <v>0</v>
      </c>
      <c r="P1570" s="3" t="b">
        <f>L1570 = "FAIL"</f>
        <v>0</v>
      </c>
      <c r="Q1570" s="3" t="b">
        <f>AND(P1570, K1570)</f>
        <v>0</v>
      </c>
      <c r="R1570" s="3" t="str">
        <f>IF(O1570, I1570, "")</f>
      </c>
      <c r="S1570" s="3" t="str">
        <f>IF(Q1570, I1570, "")</f>
      </c>
      <c r="T1570" s="2" t="s">
        <v>5935</v>
      </c>
    </row>
    <row r="1571">
      <c r="A1571" s="2" t="s">
        <v>7915</v>
      </c>
      <c r="B1571" s="3" t="str">
        <f>C1571 &amp; ": " &amp; D1571</f>
        <v>witness-discriminates: MessageDeliveries.IsFailedDelivery</v>
      </c>
      <c r="C1571" s="2" t="s">
        <v>7483</v>
      </c>
      <c r="D1571" s="2" t="s">
        <v>4539</v>
      </c>
      <c r="E1571" s="2" t="s">
        <v>4378</v>
      </c>
      <c r="F1571" s="2" t="s">
        <v>4540</v>
      </c>
      <c r="G1571" s="2" t="s">
        <v>7484</v>
      </c>
      <c r="H1571" s="2" t="s">
        <v>2068</v>
      </c>
      <c r="I1571" s="2" t="s">
        <v>5924</v>
      </c>
      <c r="J1571" s="2" t="s">
        <v>7485</v>
      </c>
      <c r="K1571" s="3" t="b">
        <f>J1571 = "blocking"</f>
        <v>0</v>
      </c>
      <c r="L1571" s="2" t="s">
        <v>1428</v>
      </c>
      <c r="M1571" s="2" t="s">
        <v>7893</v>
      </c>
      <c r="N1571" s="4">
        <v>46223.1297337963</v>
      </c>
      <c r="O1571" s="3" t="b">
        <f>L1571 = "PASS"</f>
        <v>1</v>
      </c>
      <c r="P1571" s="3" t="b">
        <f>L1571 = "FAIL"</f>
        <v>0</v>
      </c>
      <c r="Q1571" s="3" t="b">
        <f>AND(P1571, K1571)</f>
        <v>0</v>
      </c>
      <c r="R1571" s="3" t="str">
        <f>IF(O1571, I1571, "")</f>
        <v>suite-witness</v>
      </c>
      <c r="S1571" s="3" t="str">
        <f>IF(Q1571, I1571, "")</f>
      </c>
      <c r="T1571" s="2" t="s">
        <v>5935</v>
      </c>
    </row>
    <row r="1572">
      <c r="A1572" s="2" t="s">
        <v>7916</v>
      </c>
      <c r="B1572" s="3" t="str">
        <f>C1572 &amp; ": " &amp; D1572</f>
        <v>witness-discriminates: MessageDeliveries.IsSuppressed</v>
      </c>
      <c r="C1572" s="2" t="s">
        <v>7483</v>
      </c>
      <c r="D1572" s="2" t="s">
        <v>4542</v>
      </c>
      <c r="E1572" s="2" t="s">
        <v>4378</v>
      </c>
      <c r="F1572" s="2" t="s">
        <v>4543</v>
      </c>
      <c r="G1572" s="2" t="s">
        <v>7484</v>
      </c>
      <c r="H1572" s="2" t="s">
        <v>2068</v>
      </c>
      <c r="I1572" s="2" t="s">
        <v>5924</v>
      </c>
      <c r="J1572" s="2" t="s">
        <v>7485</v>
      </c>
      <c r="K1572" s="3" t="b">
        <f>J1572 = "blocking"</f>
        <v>0</v>
      </c>
      <c r="L1572" s="2" t="s">
        <v>1428</v>
      </c>
      <c r="M1572" s="2" t="s">
        <v>7893</v>
      </c>
      <c r="N1572" s="4">
        <v>46223.1297337963</v>
      </c>
      <c r="O1572" s="3" t="b">
        <f>L1572 = "PASS"</f>
        <v>1</v>
      </c>
      <c r="P1572" s="3" t="b">
        <f>L1572 = "FAIL"</f>
        <v>0</v>
      </c>
      <c r="Q1572" s="3" t="b">
        <f>AND(P1572, K1572)</f>
        <v>0</v>
      </c>
      <c r="R1572" s="3" t="str">
        <f>IF(O1572, I1572, "")</f>
        <v>suite-witness</v>
      </c>
      <c r="S1572" s="3" t="str">
        <f>IF(Q1572, I1572, "")</f>
      </c>
      <c r="T1572" s="2" t="s">
        <v>5935</v>
      </c>
    </row>
    <row r="1573">
      <c r="A1573" s="2" t="s">
        <v>7917</v>
      </c>
      <c r="B1573" s="3" t="str">
        <f>C1573 &amp; ": " &amp; D1573</f>
        <v>witness-discriminates: MessageDeliveries.IsTriaged</v>
      </c>
      <c r="C1573" s="2" t="s">
        <v>7483</v>
      </c>
      <c r="D1573" s="2" t="s">
        <v>4545</v>
      </c>
      <c r="E1573" s="2" t="s">
        <v>4378</v>
      </c>
      <c r="F1573" s="2" t="s">
        <v>4546</v>
      </c>
      <c r="G1573" s="2" t="s">
        <v>7484</v>
      </c>
      <c r="H1573" s="2" t="s">
        <v>2068</v>
      </c>
      <c r="I1573" s="2" t="s">
        <v>5924</v>
      </c>
      <c r="J1573" s="2" t="s">
        <v>7485</v>
      </c>
      <c r="K1573" s="3" t="b">
        <f>J1573 = "blocking"</f>
        <v>0</v>
      </c>
      <c r="L1573" s="2" t="s">
        <v>1428</v>
      </c>
      <c r="M1573" s="2" t="s">
        <v>7918</v>
      </c>
      <c r="N1573" s="4">
        <v>46223.1297337963</v>
      </c>
      <c r="O1573" s="3" t="b">
        <f>L1573 = "PASS"</f>
        <v>1</v>
      </c>
      <c r="P1573" s="3" t="b">
        <f>L1573 = "FAIL"</f>
        <v>0</v>
      </c>
      <c r="Q1573" s="3" t="b">
        <f>AND(P1573, K1573)</f>
        <v>0</v>
      </c>
      <c r="R1573" s="3" t="str">
        <f>IF(O1573, I1573, "")</f>
        <v>suite-witness</v>
      </c>
      <c r="S1573" s="3" t="str">
        <f>IF(Q1573, I1573, "")</f>
      </c>
      <c r="T1573" s="2" t="s">
        <v>5935</v>
      </c>
    </row>
    <row r="1574">
      <c r="A1574" s="2" t="s">
        <v>7919</v>
      </c>
      <c r="B1574" s="3" t="str">
        <f>C1574 &amp; ": " &amp; D1574</f>
        <v>witness-discriminates: MessageDeliveries.IsAbandonedFailure</v>
      </c>
      <c r="C1574" s="2" t="s">
        <v>7483</v>
      </c>
      <c r="D1574" s="2" t="s">
        <v>4548</v>
      </c>
      <c r="E1574" s="2" t="s">
        <v>4378</v>
      </c>
      <c r="F1574" s="2" t="s">
        <v>4549</v>
      </c>
      <c r="G1574" s="2" t="s">
        <v>7484</v>
      </c>
      <c r="H1574" s="2" t="s">
        <v>2068</v>
      </c>
      <c r="I1574" s="2" t="s">
        <v>5924</v>
      </c>
      <c r="J1574" s="2" t="s">
        <v>7485</v>
      </c>
      <c r="K1574" s="3" t="b">
        <f>J1574 = "blocking"</f>
        <v>0</v>
      </c>
      <c r="L1574" s="2" t="s">
        <v>1431</v>
      </c>
      <c r="M1574" s="2" t="s">
        <v>7889</v>
      </c>
      <c r="N1574" s="4">
        <v>46223.1297337963</v>
      </c>
      <c r="O1574" s="3" t="b">
        <f>L1574 = "PASS"</f>
        <v>0</v>
      </c>
      <c r="P1574" s="3" t="b">
        <f>L1574 = "FAIL"</f>
        <v>0</v>
      </c>
      <c r="Q1574" s="3" t="b">
        <f>AND(P1574, K1574)</f>
        <v>0</v>
      </c>
      <c r="R1574" s="3" t="str">
        <f>IF(O1574, I1574, "")</f>
      </c>
      <c r="S1574" s="3" t="str">
        <f>IF(Q1574, I1574, "")</f>
      </c>
      <c r="T1574" s="2" t="s">
        <v>5935</v>
      </c>
    </row>
    <row r="1575">
      <c r="A1575" s="2" t="s">
        <v>7920</v>
      </c>
      <c r="B1575" s="3" t="str">
        <f>C1575 &amp; ": " &amp; D1575</f>
        <v>witness-discriminates: MessageDeliveries.TemplateWasSendable</v>
      </c>
      <c r="C1575" s="2" t="s">
        <v>7483</v>
      </c>
      <c r="D1575" s="2" t="s">
        <v>4557</v>
      </c>
      <c r="E1575" s="2" t="s">
        <v>4378</v>
      </c>
      <c r="F1575" s="2" t="s">
        <v>4558</v>
      </c>
      <c r="G1575" s="2" t="s">
        <v>7484</v>
      </c>
      <c r="H1575" s="2" t="s">
        <v>2072</v>
      </c>
      <c r="I1575" s="2" t="s">
        <v>5924</v>
      </c>
      <c r="J1575" s="2" t="s">
        <v>7485</v>
      </c>
      <c r="K1575" s="3" t="b">
        <f>J1575 = "blocking"</f>
        <v>0</v>
      </c>
      <c r="L1575" s="2" t="s">
        <v>1431</v>
      </c>
      <c r="M1575" s="2" t="s">
        <v>7901</v>
      </c>
      <c r="N1575" s="4">
        <v>46223.1297337963</v>
      </c>
      <c r="O1575" s="3" t="b">
        <f>L1575 = "PASS"</f>
        <v>0</v>
      </c>
      <c r="P1575" s="3" t="b">
        <f>L1575 = "FAIL"</f>
        <v>0</v>
      </c>
      <c r="Q1575" s="3" t="b">
        <f>AND(P1575, K1575)</f>
        <v>0</v>
      </c>
      <c r="R1575" s="3" t="str">
        <f>IF(O1575, I1575, "")</f>
      </c>
      <c r="S1575" s="3" t="str">
        <f>IF(Q1575, I1575, "")</f>
      </c>
      <c r="T1575" s="2" t="s">
        <v>5935</v>
      </c>
    </row>
    <row r="1576">
      <c r="A1576" s="2" t="s">
        <v>7921</v>
      </c>
      <c r="B1576" s="3" t="str">
        <f>C1576 &amp; ": " &amp; D1576</f>
        <v>witness-discriminates: MessageDeliveries.IsDriftedSend</v>
      </c>
      <c r="C1576" s="2" t="s">
        <v>7483</v>
      </c>
      <c r="D1576" s="2" t="s">
        <v>4560</v>
      </c>
      <c r="E1576" s="2" t="s">
        <v>4378</v>
      </c>
      <c r="F1576" s="2" t="s">
        <v>4561</v>
      </c>
      <c r="G1576" s="2" t="s">
        <v>7484</v>
      </c>
      <c r="H1576" s="2" t="s">
        <v>2072</v>
      </c>
      <c r="I1576" s="2" t="s">
        <v>5924</v>
      </c>
      <c r="J1576" s="2" t="s">
        <v>7485</v>
      </c>
      <c r="K1576" s="3" t="b">
        <f>J1576 = "blocking"</f>
        <v>0</v>
      </c>
      <c r="L1576" s="2" t="s">
        <v>1431</v>
      </c>
      <c r="M1576" s="2" t="s">
        <v>7889</v>
      </c>
      <c r="N1576" s="4">
        <v>46223.1297337963</v>
      </c>
      <c r="O1576" s="3" t="b">
        <f>L1576 = "PASS"</f>
        <v>0</v>
      </c>
      <c r="P1576" s="3" t="b">
        <f>L1576 = "FAIL"</f>
        <v>0</v>
      </c>
      <c r="Q1576" s="3" t="b">
        <f>AND(P1576, K1576)</f>
        <v>0</v>
      </c>
      <c r="R1576" s="3" t="str">
        <f>IF(O1576, I1576, "")</f>
      </c>
      <c r="S1576" s="3" t="str">
        <f>IF(Q1576, I1576, "")</f>
      </c>
      <c r="T1576" s="2" t="s">
        <v>5935</v>
      </c>
    </row>
    <row r="1577">
      <c r="A1577" s="2" t="s">
        <v>7922</v>
      </c>
      <c r="B1577" s="3" t="str">
        <f>C1577 &amp; ": " &amp; D1577</f>
        <v>witness-discriminates: MessageDeliveries.WasSentOutsideBusinessHours</v>
      </c>
      <c r="C1577" s="2" t="s">
        <v>7483</v>
      </c>
      <c r="D1577" s="2" t="s">
        <v>4566</v>
      </c>
      <c r="E1577" s="2" t="s">
        <v>4378</v>
      </c>
      <c r="F1577" s="2" t="s">
        <v>4567</v>
      </c>
      <c r="G1577" s="2" t="s">
        <v>7484</v>
      </c>
      <c r="H1577" s="2" t="s">
        <v>2300</v>
      </c>
      <c r="I1577" s="2" t="s">
        <v>5924</v>
      </c>
      <c r="J1577" s="2" t="s">
        <v>7485</v>
      </c>
      <c r="K1577" s="3" t="b">
        <f>J1577 = "blocking"</f>
        <v>0</v>
      </c>
      <c r="L1577" s="2" t="s">
        <v>1428</v>
      </c>
      <c r="M1577" s="2" t="s">
        <v>7893</v>
      </c>
      <c r="N1577" s="4">
        <v>46223.1297337963</v>
      </c>
      <c r="O1577" s="3" t="b">
        <f>L1577 = "PASS"</f>
        <v>1</v>
      </c>
      <c r="P1577" s="3" t="b">
        <f>L1577 = "FAIL"</f>
        <v>0</v>
      </c>
      <c r="Q1577" s="3" t="b">
        <f>AND(P1577, K1577)</f>
        <v>0</v>
      </c>
      <c r="R1577" s="3" t="str">
        <f>IF(O1577, I1577, "")</f>
        <v>suite-witness</v>
      </c>
      <c r="S1577" s="3" t="str">
        <f>IF(Q1577, I1577, "")</f>
      </c>
      <c r="T1577" s="2" t="s">
        <v>5935</v>
      </c>
    </row>
    <row r="1578">
      <c r="A1578" s="2" t="s">
        <v>7923</v>
      </c>
      <c r="B1578" s="3" t="str">
        <f>C1578 &amp; ": " &amp; D1578</f>
        <v>witness-discriminates: MessageDeliveries.WasDeliveredAndUnanswered</v>
      </c>
      <c r="C1578" s="2" t="s">
        <v>7483</v>
      </c>
      <c r="D1578" s="2" t="s">
        <v>4569</v>
      </c>
      <c r="E1578" s="2" t="s">
        <v>4378</v>
      </c>
      <c r="F1578" s="2" t="s">
        <v>4570</v>
      </c>
      <c r="G1578" s="2" t="s">
        <v>7484</v>
      </c>
      <c r="H1578" s="2" t="s">
        <v>2300</v>
      </c>
      <c r="I1578" s="2" t="s">
        <v>5924</v>
      </c>
      <c r="J1578" s="2" t="s">
        <v>7485</v>
      </c>
      <c r="K1578" s="3" t="b">
        <f>J1578 = "blocking"</f>
        <v>0</v>
      </c>
      <c r="L1578" s="2" t="s">
        <v>1428</v>
      </c>
      <c r="M1578" s="2" t="s">
        <v>7918</v>
      </c>
      <c r="N1578" s="4">
        <v>46223.1297337963</v>
      </c>
      <c r="O1578" s="3" t="b">
        <f>L1578 = "PASS"</f>
        <v>1</v>
      </c>
      <c r="P1578" s="3" t="b">
        <f>L1578 = "FAIL"</f>
        <v>0</v>
      </c>
      <c r="Q1578" s="3" t="b">
        <f>AND(P1578, K1578)</f>
        <v>0</v>
      </c>
      <c r="R1578" s="3" t="str">
        <f>IF(O1578, I1578, "")</f>
        <v>suite-witness</v>
      </c>
      <c r="S1578" s="3" t="str">
        <f>IF(Q1578, I1578, "")</f>
      </c>
      <c r="T1578" s="2" t="s">
        <v>5935</v>
      </c>
    </row>
    <row r="1579">
      <c r="A1579" s="2" t="s">
        <v>7924</v>
      </c>
      <c r="B1579" s="3" t="str">
        <f>C1579 &amp; ": " &amp; D1579</f>
        <v>witness-discriminates: MessageDeliveries.IsPoorlyTimedUnanswered</v>
      </c>
      <c r="C1579" s="2" t="s">
        <v>7483</v>
      </c>
      <c r="D1579" s="2" t="s">
        <v>4572</v>
      </c>
      <c r="E1579" s="2" t="s">
        <v>4378</v>
      </c>
      <c r="F1579" s="2" t="s">
        <v>4573</v>
      </c>
      <c r="G1579" s="2" t="s">
        <v>7484</v>
      </c>
      <c r="H1579" s="2" t="s">
        <v>2300</v>
      </c>
      <c r="I1579" s="2" t="s">
        <v>5924</v>
      </c>
      <c r="J1579" s="2" t="s">
        <v>7485</v>
      </c>
      <c r="K1579" s="3" t="b">
        <f>J1579 = "blocking"</f>
        <v>0</v>
      </c>
      <c r="L1579" s="2" t="s">
        <v>1428</v>
      </c>
      <c r="M1579" s="2" t="s">
        <v>7893</v>
      </c>
      <c r="N1579" s="4">
        <v>46223.1297337963</v>
      </c>
      <c r="O1579" s="3" t="b">
        <f>L1579 = "PASS"</f>
        <v>1</v>
      </c>
      <c r="P1579" s="3" t="b">
        <f>L1579 = "FAIL"</f>
        <v>0</v>
      </c>
      <c r="Q1579" s="3" t="b">
        <f>AND(P1579, K1579)</f>
        <v>0</v>
      </c>
      <c r="R1579" s="3" t="str">
        <f>IF(O1579, I1579, "")</f>
        <v>suite-witness</v>
      </c>
      <c r="S1579" s="3" t="str">
        <f>IF(Q1579, I1579, "")</f>
      </c>
      <c r="T1579" s="2" t="s">
        <v>5935</v>
      </c>
    </row>
    <row r="1580">
      <c r="A1580" s="2" t="s">
        <v>7925</v>
      </c>
      <c r="B1580" s="3" t="str">
        <f>C1580 &amp; ": " &amp; D1580</f>
        <v>witness-discriminates: MessageDeliveries.IsWellTimedUnanswered</v>
      </c>
      <c r="C1580" s="2" t="s">
        <v>7483</v>
      </c>
      <c r="D1580" s="2" t="s">
        <v>4575</v>
      </c>
      <c r="E1580" s="2" t="s">
        <v>4378</v>
      </c>
      <c r="F1580" s="2" t="s">
        <v>4576</v>
      </c>
      <c r="G1580" s="2" t="s">
        <v>7484</v>
      </c>
      <c r="H1580" s="2" t="s">
        <v>2300</v>
      </c>
      <c r="I1580" s="2" t="s">
        <v>5924</v>
      </c>
      <c r="J1580" s="2" t="s">
        <v>7485</v>
      </c>
      <c r="K1580" s="3" t="b">
        <f>J1580 = "blocking"</f>
        <v>0</v>
      </c>
      <c r="L1580" s="2" t="s">
        <v>1428</v>
      </c>
      <c r="M1580" s="2" t="s">
        <v>7926</v>
      </c>
      <c r="N1580" s="4">
        <v>46223.1297337963</v>
      </c>
      <c r="O1580" s="3" t="b">
        <f>L1580 = "PASS"</f>
        <v>1</v>
      </c>
      <c r="P1580" s="3" t="b">
        <f>L1580 = "FAIL"</f>
        <v>0</v>
      </c>
      <c r="Q1580" s="3" t="b">
        <f>AND(P1580, K1580)</f>
        <v>0</v>
      </c>
      <c r="R1580" s="3" t="str">
        <f>IF(O1580, I1580, "")</f>
        <v>suite-witness</v>
      </c>
      <c r="S1580" s="3" t="str">
        <f>IF(Q1580, I1580, "")</f>
      </c>
      <c r="T1580" s="2" t="s">
        <v>5935</v>
      </c>
    </row>
    <row r="1581">
      <c r="A1581" s="2" t="s">
        <v>7927</v>
      </c>
      <c r="B1581" s="3" t="str">
        <f>C1581 &amp; ": " &amp; D1581</f>
        <v>witness-discriminates: MessageDeliveries.ApprovalPrecededSend</v>
      </c>
      <c r="C1581" s="2" t="s">
        <v>7483</v>
      </c>
      <c r="D1581" s="2" t="s">
        <v>4590</v>
      </c>
      <c r="E1581" s="2" t="s">
        <v>4378</v>
      </c>
      <c r="F1581" s="2" t="s">
        <v>4591</v>
      </c>
      <c r="G1581" s="2" t="s">
        <v>7484</v>
      </c>
      <c r="H1581" s="2" t="s">
        <v>2308</v>
      </c>
      <c r="I1581" s="2" t="s">
        <v>5924</v>
      </c>
      <c r="J1581" s="2" t="s">
        <v>7485</v>
      </c>
      <c r="K1581" s="3" t="b">
        <f>J1581 = "blocking"</f>
        <v>0</v>
      </c>
      <c r="L1581" s="2" t="s">
        <v>1431</v>
      </c>
      <c r="M1581" s="2" t="s">
        <v>7889</v>
      </c>
      <c r="N1581" s="4">
        <v>46223.1297337963</v>
      </c>
      <c r="O1581" s="3" t="b">
        <f>L1581 = "PASS"</f>
        <v>0</v>
      </c>
      <c r="P1581" s="3" t="b">
        <f>L1581 = "FAIL"</f>
        <v>0</v>
      </c>
      <c r="Q1581" s="3" t="b">
        <f>AND(P1581, K1581)</f>
        <v>0</v>
      </c>
      <c r="R1581" s="3" t="str">
        <f>IF(O1581, I1581, "")</f>
      </c>
      <c r="S1581" s="3" t="str">
        <f>IF(Q1581, I1581, "")</f>
      </c>
      <c r="T1581" s="2" t="s">
        <v>5935</v>
      </c>
    </row>
    <row r="1582">
      <c r="A1582" s="2" t="s">
        <v>7928</v>
      </c>
      <c r="B1582" s="3" t="str">
        <f>C1582 &amp; ": " &amp; D1582</f>
        <v>witness-discriminates: MessageDeliveries.HasFrozenApprovalEvidence</v>
      </c>
      <c r="C1582" s="2" t="s">
        <v>7483</v>
      </c>
      <c r="D1582" s="2" t="s">
        <v>4593</v>
      </c>
      <c r="E1582" s="2" t="s">
        <v>4378</v>
      </c>
      <c r="F1582" s="2" t="s">
        <v>4594</v>
      </c>
      <c r="G1582" s="2" t="s">
        <v>7484</v>
      </c>
      <c r="H1582" s="2" t="s">
        <v>2308</v>
      </c>
      <c r="I1582" s="2" t="s">
        <v>5924</v>
      </c>
      <c r="J1582" s="2" t="s">
        <v>7485</v>
      </c>
      <c r="K1582" s="3" t="b">
        <f>J1582 = "blocking"</f>
        <v>0</v>
      </c>
      <c r="L1582" s="2" t="s">
        <v>1431</v>
      </c>
      <c r="M1582" s="2" t="s">
        <v>7889</v>
      </c>
      <c r="N1582" s="4">
        <v>46223.1297337963</v>
      </c>
      <c r="O1582" s="3" t="b">
        <f>L1582 = "PASS"</f>
        <v>0</v>
      </c>
      <c r="P1582" s="3" t="b">
        <f>L1582 = "FAIL"</f>
        <v>0</v>
      </c>
      <c r="Q1582" s="3" t="b">
        <f>AND(P1582, K1582)</f>
        <v>0</v>
      </c>
      <c r="R1582" s="3" t="str">
        <f>IF(O1582, I1582, "")</f>
      </c>
      <c r="S1582" s="3" t="str">
        <f>IF(Q1582, I1582, "")</f>
      </c>
      <c r="T1582" s="2" t="s">
        <v>5935</v>
      </c>
    </row>
    <row r="1583">
      <c r="A1583" s="2" t="s">
        <v>7929</v>
      </c>
      <c r="B1583" s="3" t="str">
        <f>C1583 &amp; ": " &amp; D1583</f>
        <v>witness-discriminates: MessageDeliveries.ProvenanceIsLiveDerived</v>
      </c>
      <c r="C1583" s="2" t="s">
        <v>7483</v>
      </c>
      <c r="D1583" s="2" t="s">
        <v>4596</v>
      </c>
      <c r="E1583" s="2" t="s">
        <v>4378</v>
      </c>
      <c r="F1583" s="2" t="s">
        <v>4597</v>
      </c>
      <c r="G1583" s="2" t="s">
        <v>7484</v>
      </c>
      <c r="H1583" s="2" t="s">
        <v>2308</v>
      </c>
      <c r="I1583" s="2" t="s">
        <v>5924</v>
      </c>
      <c r="J1583" s="2" t="s">
        <v>7485</v>
      </c>
      <c r="K1583" s="3" t="b">
        <f>J1583 = "blocking"</f>
        <v>0</v>
      </c>
      <c r="L1583" s="2" t="s">
        <v>1431</v>
      </c>
      <c r="M1583" s="2" t="s">
        <v>7901</v>
      </c>
      <c r="N1583" s="4">
        <v>46223.1297337963</v>
      </c>
      <c r="O1583" s="3" t="b">
        <f>L1583 = "PASS"</f>
        <v>0</v>
      </c>
      <c r="P1583" s="3" t="b">
        <f>L1583 = "FAIL"</f>
        <v>0</v>
      </c>
      <c r="Q1583" s="3" t="b">
        <f>AND(P1583, K1583)</f>
        <v>0</v>
      </c>
      <c r="R1583" s="3" t="str">
        <f>IF(O1583, I1583, "")</f>
      </c>
      <c r="S1583" s="3" t="str">
        <f>IF(Q1583, I1583, "")</f>
      </c>
      <c r="T1583" s="2" t="s">
        <v>5935</v>
      </c>
    </row>
    <row r="1584">
      <c r="A1584" s="2" t="s">
        <v>7930</v>
      </c>
      <c r="B1584" s="3" t="str">
        <f>C1584 &amp; ": " &amp; D1584</f>
        <v>witness-discriminates: MessageDeliveries.TemplateReapprovedSinceSend</v>
      </c>
      <c r="C1584" s="2" t="s">
        <v>7483</v>
      </c>
      <c r="D1584" s="2" t="s">
        <v>4602</v>
      </c>
      <c r="E1584" s="2" t="s">
        <v>4378</v>
      </c>
      <c r="F1584" s="2" t="s">
        <v>4603</v>
      </c>
      <c r="G1584" s="2" t="s">
        <v>7484</v>
      </c>
      <c r="H1584" s="2" t="s">
        <v>2308</v>
      </c>
      <c r="I1584" s="2" t="s">
        <v>5924</v>
      </c>
      <c r="J1584" s="2" t="s">
        <v>7485</v>
      </c>
      <c r="K1584" s="3" t="b">
        <f>J1584 = "blocking"</f>
        <v>0</v>
      </c>
      <c r="L1584" s="2" t="s">
        <v>1428</v>
      </c>
      <c r="M1584" s="2" t="s">
        <v>7667</v>
      </c>
      <c r="N1584" s="4">
        <v>46223.1297337963</v>
      </c>
      <c r="O1584" s="3" t="b">
        <f>L1584 = "PASS"</f>
        <v>1</v>
      </c>
      <c r="P1584" s="3" t="b">
        <f>L1584 = "FAIL"</f>
        <v>0</v>
      </c>
      <c r="Q1584" s="3" t="b">
        <f>AND(P1584, K1584)</f>
        <v>0</v>
      </c>
      <c r="R1584" s="3" t="str">
        <f>IF(O1584, I1584, "")</f>
        <v>suite-witness</v>
      </c>
      <c r="S1584" s="3" t="str">
        <f>IF(Q1584, I1584, "")</f>
      </c>
      <c r="T1584" s="2" t="s">
        <v>5935</v>
      </c>
    </row>
    <row r="1585">
      <c r="A1585" s="2" t="s">
        <v>7931</v>
      </c>
      <c r="B1585" s="3" t="str">
        <f>C1585 &amp; ": " &amp; D1585</f>
        <v>witness-discriminates: MessageDeliveries.IsUnprovableApprovalClaim</v>
      </c>
      <c r="C1585" s="2" t="s">
        <v>7483</v>
      </c>
      <c r="D1585" s="2" t="s">
        <v>4605</v>
      </c>
      <c r="E1585" s="2" t="s">
        <v>4378</v>
      </c>
      <c r="F1585" s="2" t="s">
        <v>4606</v>
      </c>
      <c r="G1585" s="2" t="s">
        <v>7484</v>
      </c>
      <c r="H1585" s="2" t="s">
        <v>2308</v>
      </c>
      <c r="I1585" s="2" t="s">
        <v>5924</v>
      </c>
      <c r="J1585" s="2" t="s">
        <v>7485</v>
      </c>
      <c r="K1585" s="3" t="b">
        <f>J1585 = "blocking"</f>
        <v>0</v>
      </c>
      <c r="L1585" s="2" t="s">
        <v>1428</v>
      </c>
      <c r="M1585" s="2" t="s">
        <v>7667</v>
      </c>
      <c r="N1585" s="4">
        <v>46223.1297337963</v>
      </c>
      <c r="O1585" s="3" t="b">
        <f>L1585 = "PASS"</f>
        <v>1</v>
      </c>
      <c r="P1585" s="3" t="b">
        <f>L1585 = "FAIL"</f>
        <v>0</v>
      </c>
      <c r="Q1585" s="3" t="b">
        <f>AND(P1585, K1585)</f>
        <v>0</v>
      </c>
      <c r="R1585" s="3" t="str">
        <f>IF(O1585, I1585, "")</f>
        <v>suite-witness</v>
      </c>
      <c r="S1585" s="3" t="str">
        <f>IF(Q1585, I1585, "")</f>
      </c>
      <c r="T1585" s="2" t="s">
        <v>5935</v>
      </c>
    </row>
    <row r="1586">
      <c r="A1586" s="2" t="s">
        <v>7932</v>
      </c>
      <c r="B1586" s="3" t="str">
        <f>C1586 &amp; ": " &amp; D1586</f>
        <v>witness-discriminates: MessageDeliveries.HasSentReminder</v>
      </c>
      <c r="C1586" s="2" t="s">
        <v>7483</v>
      </c>
      <c r="D1586" s="2" t="s">
        <v>4612</v>
      </c>
      <c r="E1586" s="2" t="s">
        <v>4378</v>
      </c>
      <c r="F1586" s="2" t="s">
        <v>4613</v>
      </c>
      <c r="G1586" s="2" t="s">
        <v>7484</v>
      </c>
      <c r="H1586" s="2" t="s">
        <v>2352</v>
      </c>
      <c r="I1586" s="2" t="s">
        <v>5924</v>
      </c>
      <c r="J1586" s="2" t="s">
        <v>7485</v>
      </c>
      <c r="K1586" s="3" t="b">
        <f>J1586 = "blocking"</f>
        <v>0</v>
      </c>
      <c r="L1586" s="2" t="s">
        <v>1431</v>
      </c>
      <c r="M1586" s="2" t="s">
        <v>7933</v>
      </c>
      <c r="N1586" s="4">
        <v>46223.1297337963</v>
      </c>
      <c r="O1586" s="3" t="b">
        <f>L1586 = "PASS"</f>
        <v>0</v>
      </c>
      <c r="P1586" s="3" t="b">
        <f>L1586 = "FAIL"</f>
        <v>0</v>
      </c>
      <c r="Q1586" s="3" t="b">
        <f>AND(P1586, K1586)</f>
        <v>0</v>
      </c>
      <c r="R1586" s="3" t="str">
        <f>IF(O1586, I1586, "")</f>
      </c>
      <c r="S1586" s="3" t="str">
        <f>IF(Q1586, I1586, "")</f>
      </c>
      <c r="T1586" s="2" t="s">
        <v>5935</v>
      </c>
    </row>
    <row r="1587">
      <c r="A1587" s="2" t="s">
        <v>7934</v>
      </c>
      <c r="B1587" s="3" t="str">
        <f>C1587 &amp; ": " &amp; D1587</f>
        <v>witness-discriminates: MessageDeliveries.AcknowledgementIsOutstanding</v>
      </c>
      <c r="C1587" s="2" t="s">
        <v>7483</v>
      </c>
      <c r="D1587" s="2" t="s">
        <v>4615</v>
      </c>
      <c r="E1587" s="2" t="s">
        <v>4378</v>
      </c>
      <c r="F1587" s="2" t="s">
        <v>4616</v>
      </c>
      <c r="G1587" s="2" t="s">
        <v>7484</v>
      </c>
      <c r="H1587" s="2" t="s">
        <v>2352</v>
      </c>
      <c r="I1587" s="2" t="s">
        <v>5924</v>
      </c>
      <c r="J1587" s="2" t="s">
        <v>7485</v>
      </c>
      <c r="K1587" s="3" t="b">
        <f>J1587 = "blocking"</f>
        <v>0</v>
      </c>
      <c r="L1587" s="2" t="s">
        <v>1428</v>
      </c>
      <c r="M1587" s="2" t="s">
        <v>7918</v>
      </c>
      <c r="N1587" s="4">
        <v>46223.1297337963</v>
      </c>
      <c r="O1587" s="3" t="b">
        <f>L1587 = "PASS"</f>
        <v>1</v>
      </c>
      <c r="P1587" s="3" t="b">
        <f>L1587 = "FAIL"</f>
        <v>0</v>
      </c>
      <c r="Q1587" s="3" t="b">
        <f>AND(P1587, K1587)</f>
        <v>0</v>
      </c>
      <c r="R1587" s="3" t="str">
        <f>IF(O1587, I1587, "")</f>
        <v>suite-witness</v>
      </c>
      <c r="S1587" s="3" t="str">
        <f>IF(Q1587, I1587, "")</f>
      </c>
      <c r="T1587" s="2" t="s">
        <v>5935</v>
      </c>
    </row>
    <row r="1588">
      <c r="A1588" s="2" t="s">
        <v>7935</v>
      </c>
      <c r="B1588" s="3" t="str">
        <f>C1588 &amp; ": " &amp; D1588</f>
        <v>witness-discriminates: MessageDeliveries.IsUnchasedAcknowledgement</v>
      </c>
      <c r="C1588" s="2" t="s">
        <v>7483</v>
      </c>
      <c r="D1588" s="2" t="s">
        <v>4621</v>
      </c>
      <c r="E1588" s="2" t="s">
        <v>4378</v>
      </c>
      <c r="F1588" s="2" t="s">
        <v>4622</v>
      </c>
      <c r="G1588" s="2" t="s">
        <v>7484</v>
      </c>
      <c r="H1588" s="2" t="s">
        <v>2352</v>
      </c>
      <c r="I1588" s="2" t="s">
        <v>5924</v>
      </c>
      <c r="J1588" s="2" t="s">
        <v>7485</v>
      </c>
      <c r="K1588" s="3" t="b">
        <f>J1588 = "blocking"</f>
        <v>0</v>
      </c>
      <c r="L1588" s="2" t="s">
        <v>1431</v>
      </c>
      <c r="M1588" s="2" t="s">
        <v>7889</v>
      </c>
      <c r="N1588" s="4">
        <v>46223.1297337963</v>
      </c>
      <c r="O1588" s="3" t="b">
        <f>L1588 = "PASS"</f>
        <v>0</v>
      </c>
      <c r="P1588" s="3" t="b">
        <f>L1588 = "FAIL"</f>
        <v>0</v>
      </c>
      <c r="Q1588" s="3" t="b">
        <f>AND(P1588, K1588)</f>
        <v>0</v>
      </c>
      <c r="R1588" s="3" t="str">
        <f>IF(O1588, I1588, "")</f>
      </c>
      <c r="S1588" s="3" t="str">
        <f>IF(Q1588, I1588, "")</f>
      </c>
      <c r="T1588" s="2" t="s">
        <v>5935</v>
      </c>
    </row>
    <row r="1589">
      <c r="A1589" s="2" t="s">
        <v>7936</v>
      </c>
      <c r="B1589" s="3" t="str">
        <f>C1589 &amp; ": " &amp; D1589</f>
        <v>witness-discriminates: MessageDeliveries.IsExhaustedFollowUp</v>
      </c>
      <c r="C1589" s="2" t="s">
        <v>7483</v>
      </c>
      <c r="D1589" s="2" t="s">
        <v>4624</v>
      </c>
      <c r="E1589" s="2" t="s">
        <v>4378</v>
      </c>
      <c r="F1589" s="2" t="s">
        <v>4625</v>
      </c>
      <c r="G1589" s="2" t="s">
        <v>7484</v>
      </c>
      <c r="H1589" s="2" t="s">
        <v>2352</v>
      </c>
      <c r="I1589" s="2" t="s">
        <v>5924</v>
      </c>
      <c r="J1589" s="2" t="s">
        <v>7485</v>
      </c>
      <c r="K1589" s="3" t="b">
        <f>J1589 = "blocking"</f>
        <v>0</v>
      </c>
      <c r="L1589" s="2" t="s">
        <v>1431</v>
      </c>
      <c r="M1589" s="2" t="s">
        <v>7937</v>
      </c>
      <c r="N1589" s="4">
        <v>46223.1297337963</v>
      </c>
      <c r="O1589" s="3" t="b">
        <f>L1589 = "PASS"</f>
        <v>0</v>
      </c>
      <c r="P1589" s="3" t="b">
        <f>L1589 = "FAIL"</f>
        <v>0</v>
      </c>
      <c r="Q1589" s="3" t="b">
        <f>AND(P1589, K1589)</f>
        <v>0</v>
      </c>
      <c r="R1589" s="3" t="str">
        <f>IF(O1589, I1589, "")</f>
      </c>
      <c r="S1589" s="3" t="str">
        <f>IF(Q1589, I1589, "")</f>
      </c>
      <c r="T1589" s="2" t="s">
        <v>5935</v>
      </c>
    </row>
    <row r="1590">
      <c r="A1590" s="2" t="s">
        <v>7938</v>
      </c>
      <c r="B1590" s="3" t="str">
        <f>C1590 &amp; ": " &amp; D1590</f>
        <v>witness-discriminates: MessageDeliveries.NeedsHumanEscalation</v>
      </c>
      <c r="C1590" s="2" t="s">
        <v>7483</v>
      </c>
      <c r="D1590" s="2" t="s">
        <v>4627</v>
      </c>
      <c r="E1590" s="2" t="s">
        <v>4378</v>
      </c>
      <c r="F1590" s="2" t="s">
        <v>4628</v>
      </c>
      <c r="G1590" s="2" t="s">
        <v>7484</v>
      </c>
      <c r="H1590" s="2" t="s">
        <v>2352</v>
      </c>
      <c r="I1590" s="2" t="s">
        <v>5924</v>
      </c>
      <c r="J1590" s="2" t="s">
        <v>7485</v>
      </c>
      <c r="K1590" s="3" t="b">
        <f>J1590 = "blocking"</f>
        <v>0</v>
      </c>
      <c r="L1590" s="2" t="s">
        <v>1431</v>
      </c>
      <c r="M1590" s="2" t="s">
        <v>7937</v>
      </c>
      <c r="N1590" s="4">
        <v>46223.1297337963</v>
      </c>
      <c r="O1590" s="3" t="b">
        <f>L1590 = "PASS"</f>
        <v>0</v>
      </c>
      <c r="P1590" s="3" t="b">
        <f>L1590 = "FAIL"</f>
        <v>0</v>
      </c>
      <c r="Q1590" s="3" t="b">
        <f>AND(P1590, K1590)</f>
        <v>0</v>
      </c>
      <c r="R1590" s="3" t="str">
        <f>IF(O1590, I1590, "")</f>
      </c>
      <c r="S1590" s="3" t="str">
        <f>IF(Q1590, I1590, "")</f>
      </c>
      <c r="T1590" s="2" t="s">
        <v>5935</v>
      </c>
    </row>
    <row r="1591">
      <c r="A1591" s="2" t="s">
        <v>7939</v>
      </c>
      <c r="B1591" s="3" t="str">
        <f>C1591 &amp; ": " &amp; D1591</f>
        <v>witness-discriminates: TemplateApprovals.IsApprovalDecision</v>
      </c>
      <c r="C1591" s="2" t="s">
        <v>7483</v>
      </c>
      <c r="D1591" s="2" t="s">
        <v>4647</v>
      </c>
      <c r="E1591" s="2" t="s">
        <v>4632</v>
      </c>
      <c r="F1591" s="2" t="s">
        <v>4648</v>
      </c>
      <c r="G1591" s="2" t="s">
        <v>7484</v>
      </c>
      <c r="H1591" s="2" t="s">
        <v>2060</v>
      </c>
      <c r="I1591" s="2" t="s">
        <v>5924</v>
      </c>
      <c r="J1591" s="2" t="s">
        <v>7485</v>
      </c>
      <c r="K1591" s="3" t="b">
        <f>J1591 = "blocking"</f>
        <v>0</v>
      </c>
      <c r="L1591" s="2" t="s">
        <v>1431</v>
      </c>
      <c r="M1591" s="2" t="s">
        <v>7714</v>
      </c>
      <c r="N1591" s="4">
        <v>46223.1297337963</v>
      </c>
      <c r="O1591" s="3" t="b">
        <f>L1591 = "PASS"</f>
        <v>0</v>
      </c>
      <c r="P1591" s="3" t="b">
        <f>L1591 = "FAIL"</f>
        <v>0</v>
      </c>
      <c r="Q1591" s="3" t="b">
        <f>AND(P1591, K1591)</f>
        <v>0</v>
      </c>
      <c r="R1591" s="3" t="str">
        <f>IF(O1591, I1591, "")</f>
      </c>
      <c r="S1591" s="3" t="str">
        <f>IF(Q1591, I1591, "")</f>
      </c>
      <c r="T1591" s="2" t="s">
        <v>5935</v>
      </c>
    </row>
    <row r="1592">
      <c r="A1592" s="2" t="s">
        <v>7940</v>
      </c>
      <c r="B1592" s="3" t="str">
        <f>C1592 &amp; ": " &amp; D1592</f>
        <v>witness-discriminates: TemplateApprovals.IsDecidedByRequiredRole</v>
      </c>
      <c r="C1592" s="2" t="s">
        <v>7483</v>
      </c>
      <c r="D1592" s="2" t="s">
        <v>4654</v>
      </c>
      <c r="E1592" s="2" t="s">
        <v>4632</v>
      </c>
      <c r="F1592" s="2" t="s">
        <v>4655</v>
      </c>
      <c r="G1592" s="2" t="s">
        <v>7484</v>
      </c>
      <c r="H1592" s="2" t="s">
        <v>2060</v>
      </c>
      <c r="I1592" s="2" t="s">
        <v>5924</v>
      </c>
      <c r="J1592" s="2" t="s">
        <v>7485</v>
      </c>
      <c r="K1592" s="3" t="b">
        <f>J1592 = "blocking"</f>
        <v>0</v>
      </c>
      <c r="L1592" s="2" t="s">
        <v>1431</v>
      </c>
      <c r="M1592" s="2" t="s">
        <v>7714</v>
      </c>
      <c r="N1592" s="4">
        <v>46223.1297337963</v>
      </c>
      <c r="O1592" s="3" t="b">
        <f>L1592 = "PASS"</f>
        <v>0</v>
      </c>
      <c r="P1592" s="3" t="b">
        <f>L1592 = "FAIL"</f>
        <v>0</v>
      </c>
      <c r="Q1592" s="3" t="b">
        <f>AND(P1592, K1592)</f>
        <v>0</v>
      </c>
      <c r="R1592" s="3" t="str">
        <f>IF(O1592, I1592, "")</f>
      </c>
      <c r="S1592" s="3" t="str">
        <f>IF(Q1592, I1592, "")</f>
      </c>
      <c r="T1592" s="2" t="s">
        <v>5935</v>
      </c>
    </row>
    <row r="1593">
      <c r="A1593" s="2" t="s">
        <v>7941</v>
      </c>
      <c r="B1593" s="3" t="str">
        <f>C1593 &amp; ": " &amp; D1593</f>
        <v>witness-discriminates: SendIntents.PolicyIsActive</v>
      </c>
      <c r="C1593" s="2" t="s">
        <v>7483</v>
      </c>
      <c r="D1593" s="2" t="s">
        <v>4682</v>
      </c>
      <c r="E1593" s="2" t="s">
        <v>4662</v>
      </c>
      <c r="F1593" s="2" t="s">
        <v>4683</v>
      </c>
      <c r="G1593" s="2" t="s">
        <v>7484</v>
      </c>
      <c r="H1593" s="2" t="s">
        <v>2076</v>
      </c>
      <c r="I1593" s="2" t="s">
        <v>5924</v>
      </c>
      <c r="J1593" s="2" t="s">
        <v>7485</v>
      </c>
      <c r="K1593" s="3" t="b">
        <f>J1593 = "blocking"</f>
        <v>0</v>
      </c>
      <c r="L1593" s="2" t="s">
        <v>1431</v>
      </c>
      <c r="M1593" s="2" t="s">
        <v>7654</v>
      </c>
      <c r="N1593" s="4">
        <v>46223.1297337963</v>
      </c>
      <c r="O1593" s="3" t="b">
        <f>L1593 = "PASS"</f>
        <v>0</v>
      </c>
      <c r="P1593" s="3" t="b">
        <f>L1593 = "FAIL"</f>
        <v>0</v>
      </c>
      <c r="Q1593" s="3" t="b">
        <f>AND(P1593, K1593)</f>
        <v>0</v>
      </c>
      <c r="R1593" s="3" t="str">
        <f>IF(O1593, I1593, "")</f>
      </c>
      <c r="S1593" s="3" t="str">
        <f>IF(Q1593, I1593, "")</f>
      </c>
      <c r="T1593" s="2" t="s">
        <v>5935</v>
      </c>
    </row>
    <row r="1594">
      <c r="A1594" s="2" t="s">
        <v>7942</v>
      </c>
      <c r="B1594" s="3" t="str">
        <f>C1594 &amp; ": " &amp; D1594</f>
        <v>witness-discriminates: SendIntents.IntentRequiresConsent</v>
      </c>
      <c r="C1594" s="2" t="s">
        <v>7483</v>
      </c>
      <c r="D1594" s="2" t="s">
        <v>4685</v>
      </c>
      <c r="E1594" s="2" t="s">
        <v>4662</v>
      </c>
      <c r="F1594" s="2" t="s">
        <v>4686</v>
      </c>
      <c r="G1594" s="2" t="s">
        <v>7484</v>
      </c>
      <c r="H1594" s="2" t="s">
        <v>2076</v>
      </c>
      <c r="I1594" s="2" t="s">
        <v>5924</v>
      </c>
      <c r="J1594" s="2" t="s">
        <v>7485</v>
      </c>
      <c r="K1594" s="3" t="b">
        <f>J1594 = "blocking"</f>
        <v>0</v>
      </c>
      <c r="L1594" s="2" t="s">
        <v>1428</v>
      </c>
      <c r="M1594" s="2" t="s">
        <v>7652</v>
      </c>
      <c r="N1594" s="4">
        <v>46223.1297337963</v>
      </c>
      <c r="O1594" s="3" t="b">
        <f>L1594 = "PASS"</f>
        <v>1</v>
      </c>
      <c r="P1594" s="3" t="b">
        <f>L1594 = "FAIL"</f>
        <v>0</v>
      </c>
      <c r="Q1594" s="3" t="b">
        <f>AND(P1594, K1594)</f>
        <v>0</v>
      </c>
      <c r="R1594" s="3" t="str">
        <f>IF(O1594, I1594, "")</f>
        <v>suite-witness</v>
      </c>
      <c r="S1594" s="3" t="str">
        <f>IF(Q1594, I1594, "")</f>
      </c>
      <c r="T1594" s="2" t="s">
        <v>5935</v>
      </c>
    </row>
    <row r="1595">
      <c r="A1595" s="2" t="s">
        <v>7943</v>
      </c>
      <c r="B1595" s="3" t="str">
        <f>C1595 &amp; ": " &amp; D1595</f>
        <v>witness-discriminates: SendIntents.RecipientHasChannelConsent</v>
      </c>
      <c r="C1595" s="2" t="s">
        <v>7483</v>
      </c>
      <c r="D1595" s="2" t="s">
        <v>4688</v>
      </c>
      <c r="E1595" s="2" t="s">
        <v>4662</v>
      </c>
      <c r="F1595" s="2" t="s">
        <v>4689</v>
      </c>
      <c r="G1595" s="2" t="s">
        <v>7484</v>
      </c>
      <c r="H1595" s="2" t="s">
        <v>2076</v>
      </c>
      <c r="I1595" s="2" t="s">
        <v>5924</v>
      </c>
      <c r="J1595" s="2" t="s">
        <v>7485</v>
      </c>
      <c r="K1595" s="3" t="b">
        <f>J1595 = "blocking"</f>
        <v>0</v>
      </c>
      <c r="L1595" s="2" t="s">
        <v>1428</v>
      </c>
      <c r="M1595" s="2" t="s">
        <v>7652</v>
      </c>
      <c r="N1595" s="4">
        <v>46223.1297337963</v>
      </c>
      <c r="O1595" s="3" t="b">
        <f>L1595 = "PASS"</f>
        <v>1</v>
      </c>
      <c r="P1595" s="3" t="b">
        <f>L1595 = "FAIL"</f>
        <v>0</v>
      </c>
      <c r="Q1595" s="3" t="b">
        <f>AND(P1595, K1595)</f>
        <v>0</v>
      </c>
      <c r="R1595" s="3" t="str">
        <f>IF(O1595, I1595, "")</f>
        <v>suite-witness</v>
      </c>
      <c r="S1595" s="3" t="str">
        <f>IF(Q1595, I1595, "")</f>
      </c>
      <c r="T1595" s="2" t="s">
        <v>5935</v>
      </c>
    </row>
    <row r="1596">
      <c r="A1596" s="2" t="s">
        <v>7944</v>
      </c>
      <c r="B1596" s="3" t="str">
        <f>C1596 &amp; ": " &amp; D1596</f>
        <v>witness-discriminates: SendIntents.ConsentGatePassed</v>
      </c>
      <c r="C1596" s="2" t="s">
        <v>7483</v>
      </c>
      <c r="D1596" s="2" t="s">
        <v>4690</v>
      </c>
      <c r="E1596" s="2" t="s">
        <v>4662</v>
      </c>
      <c r="F1596" s="2" t="s">
        <v>4691</v>
      </c>
      <c r="G1596" s="2" t="s">
        <v>7484</v>
      </c>
      <c r="H1596" s="2" t="s">
        <v>2076</v>
      </c>
      <c r="I1596" s="2" t="s">
        <v>5924</v>
      </c>
      <c r="J1596" s="2" t="s">
        <v>7485</v>
      </c>
      <c r="K1596" s="3" t="b">
        <f>J1596 = "blocking"</f>
        <v>0</v>
      </c>
      <c r="L1596" s="2" t="s">
        <v>1428</v>
      </c>
      <c r="M1596" s="2" t="s">
        <v>7652</v>
      </c>
      <c r="N1596" s="4">
        <v>46223.1297337963</v>
      </c>
      <c r="O1596" s="3" t="b">
        <f>L1596 = "PASS"</f>
        <v>1</v>
      </c>
      <c r="P1596" s="3" t="b">
        <f>L1596 = "FAIL"</f>
        <v>0</v>
      </c>
      <c r="Q1596" s="3" t="b">
        <f>AND(P1596, K1596)</f>
        <v>0</v>
      </c>
      <c r="R1596" s="3" t="str">
        <f>IF(O1596, I1596, "")</f>
        <v>suite-witness</v>
      </c>
      <c r="S1596" s="3" t="str">
        <f>IF(Q1596, I1596, "")</f>
      </c>
      <c r="T1596" s="2" t="s">
        <v>5935</v>
      </c>
    </row>
    <row r="1597">
      <c r="A1597" s="2" t="s">
        <v>7945</v>
      </c>
      <c r="B1597" s="3" t="str">
        <f>C1597 &amp; ": " &amp; D1597</f>
        <v>witness-discriminates: SendIntents.RecipientIsSmsReachable</v>
      </c>
      <c r="C1597" s="2" t="s">
        <v>7483</v>
      </c>
      <c r="D1597" s="2" t="s">
        <v>4693</v>
      </c>
      <c r="E1597" s="2" t="s">
        <v>4662</v>
      </c>
      <c r="F1597" s="2" t="s">
        <v>4694</v>
      </c>
      <c r="G1597" s="2" t="s">
        <v>7484</v>
      </c>
      <c r="H1597" s="2" t="s">
        <v>2076</v>
      </c>
      <c r="I1597" s="2" t="s">
        <v>5924</v>
      </c>
      <c r="J1597" s="2" t="s">
        <v>7485</v>
      </c>
      <c r="K1597" s="3" t="b">
        <f>J1597 = "blocking"</f>
        <v>0</v>
      </c>
      <c r="L1597" s="2" t="s">
        <v>1428</v>
      </c>
      <c r="M1597" s="2" t="s">
        <v>7652</v>
      </c>
      <c r="N1597" s="4">
        <v>46223.1297337963</v>
      </c>
      <c r="O1597" s="3" t="b">
        <f>L1597 = "PASS"</f>
        <v>1</v>
      </c>
      <c r="P1597" s="3" t="b">
        <f>L1597 = "FAIL"</f>
        <v>0</v>
      </c>
      <c r="Q1597" s="3" t="b">
        <f>AND(P1597, K1597)</f>
        <v>0</v>
      </c>
      <c r="R1597" s="3" t="str">
        <f>IF(O1597, I1597, "")</f>
        <v>suite-witness</v>
      </c>
      <c r="S1597" s="3" t="str">
        <f>IF(Q1597, I1597, "")</f>
      </c>
      <c r="T1597" s="2" t="s">
        <v>5935</v>
      </c>
    </row>
    <row r="1598">
      <c r="A1598" s="2" t="s">
        <v>7946</v>
      </c>
      <c r="B1598" s="3" t="str">
        <f>C1598 &amp; ": " &amp; D1598</f>
        <v>witness-discriminates: SendIntents.RecipientIsEmailReachable</v>
      </c>
      <c r="C1598" s="2" t="s">
        <v>7483</v>
      </c>
      <c r="D1598" s="2" t="s">
        <v>4696</v>
      </c>
      <c r="E1598" s="2" t="s">
        <v>4662</v>
      </c>
      <c r="F1598" s="2" t="s">
        <v>4697</v>
      </c>
      <c r="G1598" s="2" t="s">
        <v>7484</v>
      </c>
      <c r="H1598" s="2" t="s">
        <v>2076</v>
      </c>
      <c r="I1598" s="2" t="s">
        <v>5924</v>
      </c>
      <c r="J1598" s="2" t="s">
        <v>7485</v>
      </c>
      <c r="K1598" s="3" t="b">
        <f>J1598 = "blocking"</f>
        <v>0</v>
      </c>
      <c r="L1598" s="2" t="s">
        <v>1431</v>
      </c>
      <c r="M1598" s="2" t="s">
        <v>7654</v>
      </c>
      <c r="N1598" s="4">
        <v>46223.1297337963</v>
      </c>
      <c r="O1598" s="3" t="b">
        <f>L1598 = "PASS"</f>
        <v>0</v>
      </c>
      <c r="P1598" s="3" t="b">
        <f>L1598 = "FAIL"</f>
        <v>0</v>
      </c>
      <c r="Q1598" s="3" t="b">
        <f>AND(P1598, K1598)</f>
        <v>0</v>
      </c>
      <c r="R1598" s="3" t="str">
        <f>IF(O1598, I1598, "")</f>
      </c>
      <c r="S1598" s="3" t="str">
        <f>IF(Q1598, I1598, "")</f>
      </c>
      <c r="T1598" s="2" t="s">
        <v>5935</v>
      </c>
    </row>
    <row r="1599">
      <c r="A1599" s="2" t="s">
        <v>7947</v>
      </c>
      <c r="B1599" s="3" t="str">
        <f>C1599 &amp; ": " &amp; D1599</f>
        <v>witness-discriminates: SendIntents.ReachabilityGatePassed</v>
      </c>
      <c r="C1599" s="2" t="s">
        <v>7483</v>
      </c>
      <c r="D1599" s="2" t="s">
        <v>4699</v>
      </c>
      <c r="E1599" s="2" t="s">
        <v>4662</v>
      </c>
      <c r="F1599" s="2" t="s">
        <v>4700</v>
      </c>
      <c r="G1599" s="2" t="s">
        <v>7484</v>
      </c>
      <c r="H1599" s="2" t="s">
        <v>2076</v>
      </c>
      <c r="I1599" s="2" t="s">
        <v>5924</v>
      </c>
      <c r="J1599" s="2" t="s">
        <v>7485</v>
      </c>
      <c r="K1599" s="3" t="b">
        <f>J1599 = "blocking"</f>
        <v>0</v>
      </c>
      <c r="L1599" s="2" t="s">
        <v>1428</v>
      </c>
      <c r="M1599" s="2" t="s">
        <v>7652</v>
      </c>
      <c r="N1599" s="4">
        <v>46223.1297337963</v>
      </c>
      <c r="O1599" s="3" t="b">
        <f>L1599 = "PASS"</f>
        <v>1</v>
      </c>
      <c r="P1599" s="3" t="b">
        <f>L1599 = "FAIL"</f>
        <v>0</v>
      </c>
      <c r="Q1599" s="3" t="b">
        <f>AND(P1599, K1599)</f>
        <v>0</v>
      </c>
      <c r="R1599" s="3" t="str">
        <f>IF(O1599, I1599, "")</f>
        <v>suite-witness</v>
      </c>
      <c r="S1599" s="3" t="str">
        <f>IF(Q1599, I1599, "")</f>
      </c>
      <c r="T1599" s="2" t="s">
        <v>5935</v>
      </c>
    </row>
    <row r="1600">
      <c r="A1600" s="2" t="s">
        <v>7948</v>
      </c>
      <c r="B1600" s="3" t="str">
        <f>C1600 &amp; ": " &amp; D1600</f>
        <v>witness-discriminates: SendIntents.PermissionGatePassed</v>
      </c>
      <c r="C1600" s="2" t="s">
        <v>7483</v>
      </c>
      <c r="D1600" s="2" t="s">
        <v>4702</v>
      </c>
      <c r="E1600" s="2" t="s">
        <v>4662</v>
      </c>
      <c r="F1600" s="2" t="s">
        <v>4703</v>
      </c>
      <c r="G1600" s="2" t="s">
        <v>7484</v>
      </c>
      <c r="H1600" s="2" t="s">
        <v>2076</v>
      </c>
      <c r="I1600" s="2" t="s">
        <v>5924</v>
      </c>
      <c r="J1600" s="2" t="s">
        <v>7485</v>
      </c>
      <c r="K1600" s="3" t="b">
        <f>J1600 = "blocking"</f>
        <v>0</v>
      </c>
      <c r="L1600" s="2" t="s">
        <v>1428</v>
      </c>
      <c r="M1600" s="2" t="s">
        <v>7652</v>
      </c>
      <c r="N1600" s="4">
        <v>46223.1297337963</v>
      </c>
      <c r="O1600" s="3" t="b">
        <f>L1600 = "PASS"</f>
        <v>1</v>
      </c>
      <c r="P1600" s="3" t="b">
        <f>L1600 = "FAIL"</f>
        <v>0</v>
      </c>
      <c r="Q1600" s="3" t="b">
        <f>AND(P1600, K1600)</f>
        <v>0</v>
      </c>
      <c r="R1600" s="3" t="str">
        <f>IF(O1600, I1600, "")</f>
        <v>suite-witness</v>
      </c>
      <c r="S1600" s="3" t="str">
        <f>IF(Q1600, I1600, "")</f>
      </c>
      <c r="T1600" s="2" t="s">
        <v>5935</v>
      </c>
    </row>
    <row r="1601">
      <c r="A1601" s="2" t="s">
        <v>7949</v>
      </c>
      <c r="B1601" s="3" t="str">
        <f>C1601 &amp; ": " &amp; D1601</f>
        <v>witness-discriminates: SendIntents.IntentPolicyHasQuietHours</v>
      </c>
      <c r="C1601" s="2" t="s">
        <v>7483</v>
      </c>
      <c r="D1601" s="2" t="s">
        <v>4711</v>
      </c>
      <c r="E1601" s="2" t="s">
        <v>4662</v>
      </c>
      <c r="F1601" s="2" t="s">
        <v>4712</v>
      </c>
      <c r="G1601" s="2" t="s">
        <v>7484</v>
      </c>
      <c r="H1601" s="2" t="s">
        <v>2080</v>
      </c>
      <c r="I1601" s="2" t="s">
        <v>5924</v>
      </c>
      <c r="J1601" s="2" t="s">
        <v>7485</v>
      </c>
      <c r="K1601" s="3" t="b">
        <f>J1601 = "blocking"</f>
        <v>0</v>
      </c>
      <c r="L1601" s="2" t="s">
        <v>1428</v>
      </c>
      <c r="M1601" s="2" t="s">
        <v>7652</v>
      </c>
      <c r="N1601" s="4">
        <v>46223.1297337963</v>
      </c>
      <c r="O1601" s="3" t="b">
        <f>L1601 = "PASS"</f>
        <v>1</v>
      </c>
      <c r="P1601" s="3" t="b">
        <f>L1601 = "FAIL"</f>
        <v>0</v>
      </c>
      <c r="Q1601" s="3" t="b">
        <f>AND(P1601, K1601)</f>
        <v>0</v>
      </c>
      <c r="R1601" s="3" t="str">
        <f>IF(O1601, I1601, "")</f>
        <v>suite-witness</v>
      </c>
      <c r="S1601" s="3" t="str">
        <f>IF(Q1601, I1601, "")</f>
      </c>
      <c r="T1601" s="2" t="s">
        <v>5935</v>
      </c>
    </row>
    <row r="1602">
      <c r="A1602" s="2" t="s">
        <v>7950</v>
      </c>
      <c r="B1602" s="3" t="str">
        <f>C1602 &amp; ": " &amp; D1602</f>
        <v>witness-discriminates: SendIntents.IntentQuietWindowWraps</v>
      </c>
      <c r="C1602" s="2" t="s">
        <v>7483</v>
      </c>
      <c r="D1602" s="2" t="s">
        <v>4714</v>
      </c>
      <c r="E1602" s="2" t="s">
        <v>4662</v>
      </c>
      <c r="F1602" s="2" t="s">
        <v>4715</v>
      </c>
      <c r="G1602" s="2" t="s">
        <v>7484</v>
      </c>
      <c r="H1602" s="2" t="s">
        <v>2080</v>
      </c>
      <c r="I1602" s="2" t="s">
        <v>5924</v>
      </c>
      <c r="J1602" s="2" t="s">
        <v>7485</v>
      </c>
      <c r="K1602" s="3" t="b">
        <f>J1602 = "blocking"</f>
        <v>0</v>
      </c>
      <c r="L1602" s="2" t="s">
        <v>1428</v>
      </c>
      <c r="M1602" s="2" t="s">
        <v>7652</v>
      </c>
      <c r="N1602" s="4">
        <v>46223.1297337963</v>
      </c>
      <c r="O1602" s="3" t="b">
        <f>L1602 = "PASS"</f>
        <v>1</v>
      </c>
      <c r="P1602" s="3" t="b">
        <f>L1602 = "FAIL"</f>
        <v>0</v>
      </c>
      <c r="Q1602" s="3" t="b">
        <f>AND(P1602, K1602)</f>
        <v>0</v>
      </c>
      <c r="R1602" s="3" t="str">
        <f>IF(O1602, I1602, "")</f>
        <v>suite-witness</v>
      </c>
      <c r="S1602" s="3" t="str">
        <f>IF(Q1602, I1602, "")</f>
      </c>
      <c r="T1602" s="2" t="s">
        <v>5935</v>
      </c>
    </row>
    <row r="1603">
      <c r="A1603" s="2" t="s">
        <v>7951</v>
      </c>
      <c r="B1603" s="3" t="str">
        <f>C1603 &amp; ": " &amp; D1603</f>
        <v>witness-discriminates: SendIntents.IntentIsInsideQuietWindow</v>
      </c>
      <c r="C1603" s="2" t="s">
        <v>7483</v>
      </c>
      <c r="D1603" s="2" t="s">
        <v>4717</v>
      </c>
      <c r="E1603" s="2" t="s">
        <v>4662</v>
      </c>
      <c r="F1603" s="2" t="s">
        <v>4718</v>
      </c>
      <c r="G1603" s="2" t="s">
        <v>7484</v>
      </c>
      <c r="H1603" s="2" t="s">
        <v>2080</v>
      </c>
      <c r="I1603" s="2" t="s">
        <v>5924</v>
      </c>
      <c r="J1603" s="2" t="s">
        <v>7485</v>
      </c>
      <c r="K1603" s="3" t="b">
        <f>J1603 = "blocking"</f>
        <v>0</v>
      </c>
      <c r="L1603" s="2" t="s">
        <v>1428</v>
      </c>
      <c r="M1603" s="2" t="s">
        <v>7664</v>
      </c>
      <c r="N1603" s="4">
        <v>46223.1297337963</v>
      </c>
      <c r="O1603" s="3" t="b">
        <f>L1603 = "PASS"</f>
        <v>1</v>
      </c>
      <c r="P1603" s="3" t="b">
        <f>L1603 = "FAIL"</f>
        <v>0</v>
      </c>
      <c r="Q1603" s="3" t="b">
        <f>AND(P1603, K1603)</f>
        <v>0</v>
      </c>
      <c r="R1603" s="3" t="str">
        <f>IF(O1603, I1603, "")</f>
        <v>suite-witness</v>
      </c>
      <c r="S1603" s="3" t="str">
        <f>IF(Q1603, I1603, "")</f>
      </c>
      <c r="T1603" s="2" t="s">
        <v>5935</v>
      </c>
    </row>
    <row r="1604">
      <c r="A1604" s="2" t="s">
        <v>7952</v>
      </c>
      <c r="B1604" s="3" t="str">
        <f>C1604 &amp; ": " &amp; D1604</f>
        <v>witness-discriminates: SendIntents.TimingGatePassed</v>
      </c>
      <c r="C1604" s="2" t="s">
        <v>7483</v>
      </c>
      <c r="D1604" s="2" t="s">
        <v>4720</v>
      </c>
      <c r="E1604" s="2" t="s">
        <v>4662</v>
      </c>
      <c r="F1604" s="2" t="s">
        <v>4721</v>
      </c>
      <c r="G1604" s="2" t="s">
        <v>7484</v>
      </c>
      <c r="H1604" s="2" t="s">
        <v>2080</v>
      </c>
      <c r="I1604" s="2" t="s">
        <v>5924</v>
      </c>
      <c r="J1604" s="2" t="s">
        <v>7485</v>
      </c>
      <c r="K1604" s="3" t="b">
        <f>J1604 = "blocking"</f>
        <v>0</v>
      </c>
      <c r="L1604" s="2" t="s">
        <v>1428</v>
      </c>
      <c r="M1604" s="2" t="s">
        <v>7652</v>
      </c>
      <c r="N1604" s="4">
        <v>46223.1297337963</v>
      </c>
      <c r="O1604" s="3" t="b">
        <f>L1604 = "PASS"</f>
        <v>1</v>
      </c>
      <c r="P1604" s="3" t="b">
        <f>L1604 = "FAIL"</f>
        <v>0</v>
      </c>
      <c r="Q1604" s="3" t="b">
        <f>AND(P1604, K1604)</f>
        <v>0</v>
      </c>
      <c r="R1604" s="3" t="str">
        <f>IF(O1604, I1604, "")</f>
        <v>suite-witness</v>
      </c>
      <c r="S1604" s="3" t="str">
        <f>IF(Q1604, I1604, "")</f>
      </c>
      <c r="T1604" s="2" t="s">
        <v>5935</v>
      </c>
    </row>
    <row r="1605">
      <c r="A1605" s="2" t="s">
        <v>7953</v>
      </c>
      <c r="B1605" s="3" t="str">
        <f>C1605 &amp; ": " &amp; D1605</f>
        <v>witness-discriminates: SendIntents.LengthGatePassed</v>
      </c>
      <c r="C1605" s="2" t="s">
        <v>7483</v>
      </c>
      <c r="D1605" s="2" t="s">
        <v>4736</v>
      </c>
      <c r="E1605" s="2" t="s">
        <v>4662</v>
      </c>
      <c r="F1605" s="2" t="s">
        <v>4737</v>
      </c>
      <c r="G1605" s="2" t="s">
        <v>7484</v>
      </c>
      <c r="H1605" s="2" t="s">
        <v>2084</v>
      </c>
      <c r="I1605" s="2" t="s">
        <v>5924</v>
      </c>
      <c r="J1605" s="2" t="s">
        <v>7485</v>
      </c>
      <c r="K1605" s="3" t="b">
        <f>J1605 = "blocking"</f>
        <v>0</v>
      </c>
      <c r="L1605" s="2" t="s">
        <v>1431</v>
      </c>
      <c r="M1605" s="2" t="s">
        <v>7654</v>
      </c>
      <c r="N1605" s="4">
        <v>46223.1297337963</v>
      </c>
      <c r="O1605" s="3" t="b">
        <f>L1605 = "PASS"</f>
        <v>0</v>
      </c>
      <c r="P1605" s="3" t="b">
        <f>L1605 = "FAIL"</f>
        <v>0</v>
      </c>
      <c r="Q1605" s="3" t="b">
        <f>AND(P1605, K1605)</f>
        <v>0</v>
      </c>
      <c r="R1605" s="3" t="str">
        <f>IF(O1605, I1605, "")</f>
      </c>
      <c r="S1605" s="3" t="str">
        <f>IF(Q1605, I1605, "")</f>
      </c>
      <c r="T1605" s="2" t="s">
        <v>5935</v>
      </c>
    </row>
    <row r="1606">
      <c r="A1606" s="2" t="s">
        <v>7954</v>
      </c>
      <c r="B1606" s="3" t="str">
        <f>C1606 &amp; ": " &amp; D1606</f>
        <v>witness-discriminates: SendIntents.OptOutGatePassed</v>
      </c>
      <c r="C1606" s="2" t="s">
        <v>7483</v>
      </c>
      <c r="D1606" s="2" t="s">
        <v>4744</v>
      </c>
      <c r="E1606" s="2" t="s">
        <v>4662</v>
      </c>
      <c r="F1606" s="2" t="s">
        <v>4745</v>
      </c>
      <c r="G1606" s="2" t="s">
        <v>7484</v>
      </c>
      <c r="H1606" s="2" t="s">
        <v>2084</v>
      </c>
      <c r="I1606" s="2" t="s">
        <v>5924</v>
      </c>
      <c r="J1606" s="2" t="s">
        <v>7485</v>
      </c>
      <c r="K1606" s="3" t="b">
        <f>J1606 = "blocking"</f>
        <v>0</v>
      </c>
      <c r="L1606" s="2" t="s">
        <v>1428</v>
      </c>
      <c r="M1606" s="2" t="s">
        <v>7955</v>
      </c>
      <c r="N1606" s="4">
        <v>46223.1297337963</v>
      </c>
      <c r="O1606" s="3" t="b">
        <f>L1606 = "PASS"</f>
        <v>1</v>
      </c>
      <c r="P1606" s="3" t="b">
        <f>L1606 = "FAIL"</f>
        <v>0</v>
      </c>
      <c r="Q1606" s="3" t="b">
        <f>AND(P1606, K1606)</f>
        <v>0</v>
      </c>
      <c r="R1606" s="3" t="str">
        <f>IF(O1606, I1606, "")</f>
        <v>suite-witness</v>
      </c>
      <c r="S1606" s="3" t="str">
        <f>IF(Q1606, I1606, "")</f>
      </c>
      <c r="T1606" s="2" t="s">
        <v>5935</v>
      </c>
    </row>
    <row r="1607">
      <c r="A1607" s="2" t="s">
        <v>7956</v>
      </c>
      <c r="B1607" s="3" t="str">
        <f>C1607 &amp; ": " &amp; D1607</f>
        <v>witness-discriminates: SendIntents.ContentGatePassed</v>
      </c>
      <c r="C1607" s="2" t="s">
        <v>7483</v>
      </c>
      <c r="D1607" s="2" t="s">
        <v>4747</v>
      </c>
      <c r="E1607" s="2" t="s">
        <v>4662</v>
      </c>
      <c r="F1607" s="2" t="s">
        <v>4748</v>
      </c>
      <c r="G1607" s="2" t="s">
        <v>7484</v>
      </c>
      <c r="H1607" s="2" t="s">
        <v>2084</v>
      </c>
      <c r="I1607" s="2" t="s">
        <v>5924</v>
      </c>
      <c r="J1607" s="2" t="s">
        <v>7485</v>
      </c>
      <c r="K1607" s="3" t="b">
        <f>J1607 = "blocking"</f>
        <v>0</v>
      </c>
      <c r="L1607" s="2" t="s">
        <v>1428</v>
      </c>
      <c r="M1607" s="2" t="s">
        <v>7955</v>
      </c>
      <c r="N1607" s="4">
        <v>46223.1297337963</v>
      </c>
      <c r="O1607" s="3" t="b">
        <f>L1607 = "PASS"</f>
        <v>1</v>
      </c>
      <c r="P1607" s="3" t="b">
        <f>L1607 = "FAIL"</f>
        <v>0</v>
      </c>
      <c r="Q1607" s="3" t="b">
        <f>AND(P1607, K1607)</f>
        <v>0</v>
      </c>
      <c r="R1607" s="3" t="str">
        <f>IF(O1607, I1607, "")</f>
        <v>suite-witness</v>
      </c>
      <c r="S1607" s="3" t="str">
        <f>IF(Q1607, I1607, "")</f>
      </c>
      <c r="T1607" s="2" t="s">
        <v>5935</v>
      </c>
    </row>
    <row r="1608">
      <c r="A1608" s="2" t="s">
        <v>7957</v>
      </c>
      <c r="B1608" s="3" t="str">
        <f>C1608 &amp; ": " &amp; D1608</f>
        <v>witness-discriminates: SendIntents.TemplateIsSendable</v>
      </c>
      <c r="C1608" s="2" t="s">
        <v>7483</v>
      </c>
      <c r="D1608" s="2" t="s">
        <v>4750</v>
      </c>
      <c r="E1608" s="2" t="s">
        <v>4662</v>
      </c>
      <c r="F1608" s="2" t="s">
        <v>4751</v>
      </c>
      <c r="G1608" s="2" t="s">
        <v>7484</v>
      </c>
      <c r="H1608" s="2" t="s">
        <v>2088</v>
      </c>
      <c r="I1608" s="2" t="s">
        <v>5924</v>
      </c>
      <c r="J1608" s="2" t="s">
        <v>7485</v>
      </c>
      <c r="K1608" s="3" t="b">
        <f>J1608 = "blocking"</f>
        <v>0</v>
      </c>
      <c r="L1608" s="2" t="s">
        <v>1431</v>
      </c>
      <c r="M1608" s="2" t="s">
        <v>7654</v>
      </c>
      <c r="N1608" s="4">
        <v>46223.1297337963</v>
      </c>
      <c r="O1608" s="3" t="b">
        <f>L1608 = "PASS"</f>
        <v>0</v>
      </c>
      <c r="P1608" s="3" t="b">
        <f>L1608 = "FAIL"</f>
        <v>0</v>
      </c>
      <c r="Q1608" s="3" t="b">
        <f>AND(P1608, K1608)</f>
        <v>0</v>
      </c>
      <c r="R1608" s="3" t="str">
        <f>IF(O1608, I1608, "")</f>
      </c>
      <c r="S1608" s="3" t="str">
        <f>IF(Q1608, I1608, "")</f>
      </c>
      <c r="T1608" s="2" t="s">
        <v>5935</v>
      </c>
    </row>
    <row r="1609">
      <c r="A1609" s="2" t="s">
        <v>7958</v>
      </c>
      <c r="B1609" s="3" t="str">
        <f>C1609 &amp; ": " &amp; D1609</f>
        <v>witness-discriminates: SendIntents.ExecutionHasLegalClearance</v>
      </c>
      <c r="C1609" s="2" t="s">
        <v>7483</v>
      </c>
      <c r="D1609" s="2" t="s">
        <v>4752</v>
      </c>
      <c r="E1609" s="2" t="s">
        <v>4662</v>
      </c>
      <c r="F1609" s="2" t="s">
        <v>4753</v>
      </c>
      <c r="G1609" s="2" t="s">
        <v>7484</v>
      </c>
      <c r="H1609" s="2" t="s">
        <v>2088</v>
      </c>
      <c r="I1609" s="2" t="s">
        <v>5924</v>
      </c>
      <c r="J1609" s="2" t="s">
        <v>7485</v>
      </c>
      <c r="K1609" s="3" t="b">
        <f>J1609 = "blocking"</f>
        <v>0</v>
      </c>
      <c r="L1609" s="2" t="s">
        <v>1431</v>
      </c>
      <c r="M1609" s="2" t="s">
        <v>7654</v>
      </c>
      <c r="N1609" s="4">
        <v>46223.1297337963</v>
      </c>
      <c r="O1609" s="3" t="b">
        <f>L1609 = "PASS"</f>
        <v>0</v>
      </c>
      <c r="P1609" s="3" t="b">
        <f>L1609 = "FAIL"</f>
        <v>0</v>
      </c>
      <c r="Q1609" s="3" t="b">
        <f>AND(P1609, K1609)</f>
        <v>0</v>
      </c>
      <c r="R1609" s="3" t="str">
        <f>IF(O1609, I1609, "")</f>
      </c>
      <c r="S1609" s="3" t="str">
        <f>IF(Q1609, I1609, "")</f>
      </c>
      <c r="T1609" s="2" t="s">
        <v>5935</v>
      </c>
    </row>
    <row r="1610">
      <c r="A1610" s="2" t="s">
        <v>7959</v>
      </c>
      <c r="B1610" s="3" t="str">
        <f>C1610 &amp; ": " &amp; D1610</f>
        <v>witness-discriminates: SendIntents.ApprovalIsHuman</v>
      </c>
      <c r="C1610" s="2" t="s">
        <v>7483</v>
      </c>
      <c r="D1610" s="2" t="s">
        <v>4760</v>
      </c>
      <c r="E1610" s="2" t="s">
        <v>4662</v>
      </c>
      <c r="F1610" s="2" t="s">
        <v>4761</v>
      </c>
      <c r="G1610" s="2" t="s">
        <v>7484</v>
      </c>
      <c r="H1610" s="2" t="s">
        <v>2088</v>
      </c>
      <c r="I1610" s="2" t="s">
        <v>5924</v>
      </c>
      <c r="J1610" s="2" t="s">
        <v>7485</v>
      </c>
      <c r="K1610" s="3" t="b">
        <f>J1610 = "blocking"</f>
        <v>0</v>
      </c>
      <c r="L1610" s="2" t="s">
        <v>1431</v>
      </c>
      <c r="M1610" s="2" t="s">
        <v>7654</v>
      </c>
      <c r="N1610" s="4">
        <v>46223.1297337963</v>
      </c>
      <c r="O1610" s="3" t="b">
        <f>L1610 = "PASS"</f>
        <v>0</v>
      </c>
      <c r="P1610" s="3" t="b">
        <f>L1610 = "FAIL"</f>
        <v>0</v>
      </c>
      <c r="Q1610" s="3" t="b">
        <f>AND(P1610, K1610)</f>
        <v>0</v>
      </c>
      <c r="R1610" s="3" t="str">
        <f>IF(O1610, I1610, "")</f>
      </c>
      <c r="S1610" s="3" t="str">
        <f>IF(Q1610, I1610, "")</f>
      </c>
      <c r="T1610" s="2" t="s">
        <v>5935</v>
      </c>
    </row>
    <row r="1611">
      <c r="A1611" s="2" t="s">
        <v>7960</v>
      </c>
      <c r="B1611" s="3" t="str">
        <f>C1611 &amp; ": " &amp; D1611</f>
        <v>witness-discriminates: SendIntents.AuthorizationGatePassed</v>
      </c>
      <c r="C1611" s="2" t="s">
        <v>7483</v>
      </c>
      <c r="D1611" s="2" t="s">
        <v>4763</v>
      </c>
      <c r="E1611" s="2" t="s">
        <v>4662</v>
      </c>
      <c r="F1611" s="2" t="s">
        <v>4764</v>
      </c>
      <c r="G1611" s="2" t="s">
        <v>7484</v>
      </c>
      <c r="H1611" s="2" t="s">
        <v>2088</v>
      </c>
      <c r="I1611" s="2" t="s">
        <v>5924</v>
      </c>
      <c r="J1611" s="2" t="s">
        <v>7485</v>
      </c>
      <c r="K1611" s="3" t="b">
        <f>J1611 = "blocking"</f>
        <v>0</v>
      </c>
      <c r="L1611" s="2" t="s">
        <v>1431</v>
      </c>
      <c r="M1611" s="2" t="s">
        <v>7654</v>
      </c>
      <c r="N1611" s="4">
        <v>46223.1297337963</v>
      </c>
      <c r="O1611" s="3" t="b">
        <f>L1611 = "PASS"</f>
        <v>0</v>
      </c>
      <c r="P1611" s="3" t="b">
        <f>L1611 = "FAIL"</f>
        <v>0</v>
      </c>
      <c r="Q1611" s="3" t="b">
        <f>AND(P1611, K1611)</f>
        <v>0</v>
      </c>
      <c r="R1611" s="3" t="str">
        <f>IF(O1611, I1611, "")</f>
      </c>
      <c r="S1611" s="3" t="str">
        <f>IF(Q1611, I1611, "")</f>
      </c>
      <c r="T1611" s="2" t="s">
        <v>5935</v>
      </c>
    </row>
    <row r="1612">
      <c r="A1612" s="2" t="s">
        <v>7961</v>
      </c>
      <c r="B1612" s="3" t="str">
        <f>C1612 &amp; ": " &amp; D1612</f>
        <v>witness-discriminates: SendIntents.IsClearedToSend</v>
      </c>
      <c r="C1612" s="2" t="s">
        <v>7483</v>
      </c>
      <c r="D1612" s="2" t="s">
        <v>4766</v>
      </c>
      <c r="E1612" s="2" t="s">
        <v>4662</v>
      </c>
      <c r="F1612" s="2" t="s">
        <v>4767</v>
      </c>
      <c r="G1612" s="2" t="s">
        <v>7484</v>
      </c>
      <c r="H1612" s="2" t="s">
        <v>2088</v>
      </c>
      <c r="I1612" s="2" t="s">
        <v>5924</v>
      </c>
      <c r="J1612" s="2" t="s">
        <v>7485</v>
      </c>
      <c r="K1612" s="3" t="b">
        <f>J1612 = "blocking"</f>
        <v>0</v>
      </c>
      <c r="L1612" s="2" t="s">
        <v>1428</v>
      </c>
      <c r="M1612" s="2" t="s">
        <v>7689</v>
      </c>
      <c r="N1612" s="4">
        <v>46223.1297337963</v>
      </c>
      <c r="O1612" s="3" t="b">
        <f>L1612 = "PASS"</f>
        <v>1</v>
      </c>
      <c r="P1612" s="3" t="b">
        <f>L1612 = "FAIL"</f>
        <v>0</v>
      </c>
      <c r="Q1612" s="3" t="b">
        <f>AND(P1612, K1612)</f>
        <v>0</v>
      </c>
      <c r="R1612" s="3" t="str">
        <f>IF(O1612, I1612, "")</f>
        <v>suite-witness</v>
      </c>
      <c r="S1612" s="3" t="str">
        <f>IF(Q1612, I1612, "")</f>
      </c>
      <c r="T1612" s="2" t="s">
        <v>5935</v>
      </c>
    </row>
    <row r="1613">
      <c r="A1613" s="2" t="s">
        <v>7962</v>
      </c>
      <c r="B1613" s="3" t="str">
        <f>C1613 &amp; ": " &amp; D1613</f>
        <v>witness-discriminates: SendIntents.HasResultingDelivery</v>
      </c>
      <c r="C1613" s="2" t="s">
        <v>7483</v>
      </c>
      <c r="D1613" s="2" t="s">
        <v>4772</v>
      </c>
      <c r="E1613" s="2" t="s">
        <v>4662</v>
      </c>
      <c r="F1613" s="2" t="s">
        <v>4773</v>
      </c>
      <c r="G1613" s="2" t="s">
        <v>7484</v>
      </c>
      <c r="H1613" s="2" t="s">
        <v>2092</v>
      </c>
      <c r="I1613" s="2" t="s">
        <v>5924</v>
      </c>
      <c r="J1613" s="2" t="s">
        <v>7485</v>
      </c>
      <c r="K1613" s="3" t="b">
        <f>J1613 = "blocking"</f>
        <v>0</v>
      </c>
      <c r="L1613" s="2" t="s">
        <v>1428</v>
      </c>
      <c r="M1613" s="2" t="s">
        <v>7673</v>
      </c>
      <c r="N1613" s="4">
        <v>46223.1297337963</v>
      </c>
      <c r="O1613" s="3" t="b">
        <f>L1613 = "PASS"</f>
        <v>1</v>
      </c>
      <c r="P1613" s="3" t="b">
        <f>L1613 = "FAIL"</f>
        <v>0</v>
      </c>
      <c r="Q1613" s="3" t="b">
        <f>AND(P1613, K1613)</f>
        <v>0</v>
      </c>
      <c r="R1613" s="3" t="str">
        <f>IF(O1613, I1613, "")</f>
        <v>suite-witness</v>
      </c>
      <c r="S1613" s="3" t="str">
        <f>IF(Q1613, I1613, "")</f>
      </c>
      <c r="T1613" s="2" t="s">
        <v>5935</v>
      </c>
    </row>
    <row r="1614">
      <c r="A1614" s="2" t="s">
        <v>7963</v>
      </c>
      <c r="B1614" s="3" t="str">
        <f>C1614 &amp; ": " &amp; D1614</f>
        <v>witness-discriminates: SendIntents.ResultingDeliveryWasTransmitted</v>
      </c>
      <c r="C1614" s="2" t="s">
        <v>7483</v>
      </c>
      <c r="D1614" s="2" t="s">
        <v>4775</v>
      </c>
      <c r="E1614" s="2" t="s">
        <v>4662</v>
      </c>
      <c r="F1614" s="2" t="s">
        <v>4776</v>
      </c>
      <c r="G1614" s="2" t="s">
        <v>7484</v>
      </c>
      <c r="H1614" s="2" t="s">
        <v>2092</v>
      </c>
      <c r="I1614" s="2" t="s">
        <v>5924</v>
      </c>
      <c r="J1614" s="2" t="s">
        <v>7485</v>
      </c>
      <c r="K1614" s="3" t="b">
        <f>J1614 = "blocking"</f>
        <v>0</v>
      </c>
      <c r="L1614" s="2" t="s">
        <v>1431</v>
      </c>
      <c r="M1614" s="2" t="s">
        <v>7964</v>
      </c>
      <c r="N1614" s="4">
        <v>46223.1297337963</v>
      </c>
      <c r="O1614" s="3" t="b">
        <f>L1614 = "PASS"</f>
        <v>0</v>
      </c>
      <c r="P1614" s="3" t="b">
        <f>L1614 = "FAIL"</f>
        <v>0</v>
      </c>
      <c r="Q1614" s="3" t="b">
        <f>AND(P1614, K1614)</f>
        <v>0</v>
      </c>
      <c r="R1614" s="3" t="str">
        <f>IF(O1614, I1614, "")</f>
      </c>
      <c r="S1614" s="3" t="str">
        <f>IF(Q1614, I1614, "")</f>
      </c>
      <c r="T1614" s="2" t="s">
        <v>5935</v>
      </c>
    </row>
    <row r="1615">
      <c r="A1615" s="2" t="s">
        <v>7965</v>
      </c>
      <c r="B1615" s="3" t="str">
        <f>C1615 &amp; ": " &amp; D1615</f>
        <v>witness-discriminates: SendIntents.IsOverriddenRefusal</v>
      </c>
      <c r="C1615" s="2" t="s">
        <v>7483</v>
      </c>
      <c r="D1615" s="2" t="s">
        <v>4778</v>
      </c>
      <c r="E1615" s="2" t="s">
        <v>4662</v>
      </c>
      <c r="F1615" s="2" t="s">
        <v>4779</v>
      </c>
      <c r="G1615" s="2" t="s">
        <v>7484</v>
      </c>
      <c r="H1615" s="2" t="s">
        <v>2092</v>
      </c>
      <c r="I1615" s="2" t="s">
        <v>5924</v>
      </c>
      <c r="J1615" s="2" t="s">
        <v>7485</v>
      </c>
      <c r="K1615" s="3" t="b">
        <f>J1615 = "blocking"</f>
        <v>0</v>
      </c>
      <c r="L1615" s="2" t="s">
        <v>1431</v>
      </c>
      <c r="M1615" s="2" t="s">
        <v>7657</v>
      </c>
      <c r="N1615" s="4">
        <v>46223.1297337963</v>
      </c>
      <c r="O1615" s="3" t="b">
        <f>L1615 = "PASS"</f>
        <v>0</v>
      </c>
      <c r="P1615" s="3" t="b">
        <f>L1615 = "FAIL"</f>
        <v>0</v>
      </c>
      <c r="Q1615" s="3" t="b">
        <f>AND(P1615, K1615)</f>
        <v>0</v>
      </c>
      <c r="R1615" s="3" t="str">
        <f>IF(O1615, I1615, "")</f>
      </c>
      <c r="S1615" s="3" t="str">
        <f>IF(Q1615, I1615, "")</f>
      </c>
      <c r="T1615" s="2" t="s">
        <v>5935</v>
      </c>
    </row>
    <row r="1616">
      <c r="A1616" s="2" t="s">
        <v>7966</v>
      </c>
      <c r="B1616" s="3" t="str">
        <f>C1616 &amp; ": " &amp; D1616</f>
        <v>witness-discriminates: SendIntents.IsSilentlyDropped</v>
      </c>
      <c r="C1616" s="2" t="s">
        <v>7483</v>
      </c>
      <c r="D1616" s="2" t="s">
        <v>4781</v>
      </c>
      <c r="E1616" s="2" t="s">
        <v>4662</v>
      </c>
      <c r="F1616" s="2" t="s">
        <v>4782</v>
      </c>
      <c r="G1616" s="2" t="s">
        <v>7484</v>
      </c>
      <c r="H1616" s="2" t="s">
        <v>2092</v>
      </c>
      <c r="I1616" s="2" t="s">
        <v>5924</v>
      </c>
      <c r="J1616" s="2" t="s">
        <v>7485</v>
      </c>
      <c r="K1616" s="3" t="b">
        <f>J1616 = "blocking"</f>
        <v>0</v>
      </c>
      <c r="L1616" s="2" t="s">
        <v>1428</v>
      </c>
      <c r="M1616" s="2" t="s">
        <v>7967</v>
      </c>
      <c r="N1616" s="4">
        <v>46223.1297337963</v>
      </c>
      <c r="O1616" s="3" t="b">
        <f>L1616 = "PASS"</f>
        <v>1</v>
      </c>
      <c r="P1616" s="3" t="b">
        <f>L1616 = "FAIL"</f>
        <v>0</v>
      </c>
      <c r="Q1616" s="3" t="b">
        <f>AND(P1616, K1616)</f>
        <v>0</v>
      </c>
      <c r="R1616" s="3" t="str">
        <f>IF(O1616, I1616, "")</f>
        <v>suite-witness</v>
      </c>
      <c r="S1616" s="3" t="str">
        <f>IF(Q1616, I1616, "")</f>
      </c>
      <c r="T1616" s="2" t="s">
        <v>5935</v>
      </c>
    </row>
    <row r="1617">
      <c r="A1617" s="2" t="s">
        <v>7968</v>
      </c>
      <c r="B1617" s="3" t="str">
        <f>C1617 &amp; ": " &amp; D1617</f>
        <v>witness-discriminates: SendIntents.RefusalCitedAnException</v>
      </c>
      <c r="C1617" s="2" t="s">
        <v>7483</v>
      </c>
      <c r="D1617" s="2" t="s">
        <v>4787</v>
      </c>
      <c r="E1617" s="2" t="s">
        <v>4662</v>
      </c>
      <c r="F1617" s="2" t="s">
        <v>4788</v>
      </c>
      <c r="G1617" s="2" t="s">
        <v>7484</v>
      </c>
      <c r="H1617" s="2" t="s">
        <v>2092</v>
      </c>
      <c r="I1617" s="2" t="s">
        <v>5924</v>
      </c>
      <c r="J1617" s="2" t="s">
        <v>7485</v>
      </c>
      <c r="K1617" s="3" t="b">
        <f>J1617 = "blocking"</f>
        <v>0</v>
      </c>
      <c r="L1617" s="2" t="s">
        <v>1431</v>
      </c>
      <c r="M1617" s="2" t="s">
        <v>7657</v>
      </c>
      <c r="N1617" s="4">
        <v>46223.1297337963</v>
      </c>
      <c r="O1617" s="3" t="b">
        <f>L1617 = "PASS"</f>
        <v>0</v>
      </c>
      <c r="P1617" s="3" t="b">
        <f>L1617 = "FAIL"</f>
        <v>0</v>
      </c>
      <c r="Q1617" s="3" t="b">
        <f>AND(P1617, K1617)</f>
        <v>0</v>
      </c>
      <c r="R1617" s="3" t="str">
        <f>IF(O1617, I1617, "")</f>
      </c>
      <c r="S1617" s="3" t="str">
        <f>IF(Q1617, I1617, "")</f>
      </c>
      <c r="T1617" s="2" t="s">
        <v>5935</v>
      </c>
    </row>
    <row r="1618">
      <c r="A1618" s="2" t="s">
        <v>7969</v>
      </c>
      <c r="B1618" s="3" t="str">
        <f>C1618 &amp; ": " &amp; D1618</f>
        <v>witness-discriminates: SendIntents.IsProperlyHandledRefusal</v>
      </c>
      <c r="C1618" s="2" t="s">
        <v>7483</v>
      </c>
      <c r="D1618" s="2" t="s">
        <v>4790</v>
      </c>
      <c r="E1618" s="2" t="s">
        <v>4662</v>
      </c>
      <c r="F1618" s="2" t="s">
        <v>4791</v>
      </c>
      <c r="G1618" s="2" t="s">
        <v>7484</v>
      </c>
      <c r="H1618" s="2" t="s">
        <v>2092</v>
      </c>
      <c r="I1618" s="2" t="s">
        <v>5924</v>
      </c>
      <c r="J1618" s="2" t="s">
        <v>7485</v>
      </c>
      <c r="K1618" s="3" t="b">
        <f>J1618 = "blocking"</f>
        <v>0</v>
      </c>
      <c r="L1618" s="2" t="s">
        <v>1431</v>
      </c>
      <c r="M1618" s="2" t="s">
        <v>7657</v>
      </c>
      <c r="N1618" s="4">
        <v>46223.1297337963</v>
      </c>
      <c r="O1618" s="3" t="b">
        <f>L1618 = "PASS"</f>
        <v>0</v>
      </c>
      <c r="P1618" s="3" t="b">
        <f>L1618 = "FAIL"</f>
        <v>0</v>
      </c>
      <c r="Q1618" s="3" t="b">
        <f>AND(P1618, K1618)</f>
        <v>0</v>
      </c>
      <c r="R1618" s="3" t="str">
        <f>IF(O1618, I1618, "")</f>
      </c>
      <c r="S1618" s="3" t="str">
        <f>IF(Q1618, I1618, "")</f>
      </c>
      <c r="T1618" s="2" t="s">
        <v>5935</v>
      </c>
    </row>
    <row r="1619">
      <c r="A1619" s="2" t="s">
        <v>7970</v>
      </c>
      <c r="B1619" s="3" t="str">
        <f>C1619 &amp; ": " &amp; D1619</f>
        <v>witness-discriminates: SendIntents.MyApprovalWasInForce</v>
      </c>
      <c r="C1619" s="2" t="s">
        <v>7483</v>
      </c>
      <c r="D1619" s="2" t="s">
        <v>4805</v>
      </c>
      <c r="E1619" s="2" t="s">
        <v>4662</v>
      </c>
      <c r="F1619" s="2" t="s">
        <v>4806</v>
      </c>
      <c r="G1619" s="2" t="s">
        <v>7484</v>
      </c>
      <c r="H1619" s="2" t="s">
        <v>2304</v>
      </c>
      <c r="I1619" s="2" t="s">
        <v>5924</v>
      </c>
      <c r="J1619" s="2" t="s">
        <v>7485</v>
      </c>
      <c r="K1619" s="3" t="b">
        <f>J1619 = "blocking"</f>
        <v>0</v>
      </c>
      <c r="L1619" s="2" t="s">
        <v>1431</v>
      </c>
      <c r="M1619" s="2" t="s">
        <v>7654</v>
      </c>
      <c r="N1619" s="4">
        <v>46223.1297337963</v>
      </c>
      <c r="O1619" s="3" t="b">
        <f>L1619 = "PASS"</f>
        <v>0</v>
      </c>
      <c r="P1619" s="3" t="b">
        <f>L1619 = "FAIL"</f>
        <v>0</v>
      </c>
      <c r="Q1619" s="3" t="b">
        <f>AND(P1619, K1619)</f>
        <v>0</v>
      </c>
      <c r="R1619" s="3" t="str">
        <f>IF(O1619, I1619, "")</f>
      </c>
      <c r="S1619" s="3" t="str">
        <f>IF(Q1619, I1619, "")</f>
      </c>
      <c r="T1619" s="2" t="s">
        <v>5935</v>
      </c>
    </row>
    <row r="1620">
      <c r="A1620" s="2" t="s">
        <v>7971</v>
      </c>
      <c r="B1620" s="3" t="str">
        <f>C1620 &amp; ": " &amp; D1620</f>
        <v>witness-discriminates: SendIntents.RefusedOnApprovedContent</v>
      </c>
      <c r="C1620" s="2" t="s">
        <v>7483</v>
      </c>
      <c r="D1620" s="2" t="s">
        <v>4808</v>
      </c>
      <c r="E1620" s="2" t="s">
        <v>4662</v>
      </c>
      <c r="F1620" s="2" t="s">
        <v>4809</v>
      </c>
      <c r="G1620" s="2" t="s">
        <v>7484</v>
      </c>
      <c r="H1620" s="2" t="s">
        <v>2304</v>
      </c>
      <c r="I1620" s="2" t="s">
        <v>5924</v>
      </c>
      <c r="J1620" s="2" t="s">
        <v>7485</v>
      </c>
      <c r="K1620" s="3" t="b">
        <f>J1620 = "blocking"</f>
        <v>0</v>
      </c>
      <c r="L1620" s="2" t="s">
        <v>1428</v>
      </c>
      <c r="M1620" s="2" t="s">
        <v>7673</v>
      </c>
      <c r="N1620" s="4">
        <v>46223.1297337963</v>
      </c>
      <c r="O1620" s="3" t="b">
        <f>L1620 = "PASS"</f>
        <v>1</v>
      </c>
      <c r="P1620" s="3" t="b">
        <f>L1620 = "FAIL"</f>
        <v>0</v>
      </c>
      <c r="Q1620" s="3" t="b">
        <f>AND(P1620, K1620)</f>
        <v>0</v>
      </c>
      <c r="R1620" s="3" t="str">
        <f>IF(O1620, I1620, "")</f>
        <v>suite-witness</v>
      </c>
      <c r="S1620" s="3" t="str">
        <f>IF(Q1620, I1620, "")</f>
      </c>
      <c r="T1620" s="2" t="s">
        <v>5935</v>
      </c>
    </row>
    <row r="1621">
      <c r="A1621" s="2" t="s">
        <v>7972</v>
      </c>
      <c r="B1621" s="3" t="str">
        <f>C1621 &amp; ": " &amp; D1621</f>
        <v>witness-discriminates: SendIntents.RefusedOnOptOutOnly</v>
      </c>
      <c r="C1621" s="2" t="s">
        <v>7483</v>
      </c>
      <c r="D1621" s="2" t="s">
        <v>4811</v>
      </c>
      <c r="E1621" s="2" t="s">
        <v>4662</v>
      </c>
      <c r="F1621" s="2" t="s">
        <v>4812</v>
      </c>
      <c r="G1621" s="2" t="s">
        <v>7484</v>
      </c>
      <c r="H1621" s="2" t="s">
        <v>2304</v>
      </c>
      <c r="I1621" s="2" t="s">
        <v>5924</v>
      </c>
      <c r="J1621" s="2" t="s">
        <v>7485</v>
      </c>
      <c r="K1621" s="3" t="b">
        <f>J1621 = "blocking"</f>
        <v>0</v>
      </c>
      <c r="L1621" s="2" t="s">
        <v>1428</v>
      </c>
      <c r="M1621" s="2" t="s">
        <v>7673</v>
      </c>
      <c r="N1621" s="4">
        <v>46223.1297337963</v>
      </c>
      <c r="O1621" s="3" t="b">
        <f>L1621 = "PASS"</f>
        <v>1</v>
      </c>
      <c r="P1621" s="3" t="b">
        <f>L1621 = "FAIL"</f>
        <v>0</v>
      </c>
      <c r="Q1621" s="3" t="b">
        <f>AND(P1621, K1621)</f>
        <v>0</v>
      </c>
      <c r="R1621" s="3" t="str">
        <f>IF(O1621, I1621, "")</f>
        <v>suite-witness</v>
      </c>
      <c r="S1621" s="3" t="str">
        <f>IF(Q1621, I1621, "")</f>
      </c>
      <c r="T1621" s="2" t="s">
        <v>5935</v>
      </c>
    </row>
    <row r="1622">
      <c r="A1622" s="2" t="s">
        <v>7973</v>
      </c>
      <c r="B1622" s="3" t="str">
        <f>C1622 &amp; ": " &amp; D1622</f>
        <v>witness-discriminates: SendIntents.RefusalWasOnMyRules</v>
      </c>
      <c r="C1622" s="2" t="s">
        <v>7483</v>
      </c>
      <c r="D1622" s="2" t="s">
        <v>4814</v>
      </c>
      <c r="E1622" s="2" t="s">
        <v>4662</v>
      </c>
      <c r="F1622" s="2" t="s">
        <v>4815</v>
      </c>
      <c r="G1622" s="2" t="s">
        <v>7484</v>
      </c>
      <c r="H1622" s="2" t="s">
        <v>2304</v>
      </c>
      <c r="I1622" s="2" t="s">
        <v>5924</v>
      </c>
      <c r="J1622" s="2" t="s">
        <v>7485</v>
      </c>
      <c r="K1622" s="3" t="b">
        <f>J1622 = "blocking"</f>
        <v>0</v>
      </c>
      <c r="L1622" s="2" t="s">
        <v>1428</v>
      </c>
      <c r="M1622" s="2" t="s">
        <v>7689</v>
      </c>
      <c r="N1622" s="4">
        <v>46223.1297337963</v>
      </c>
      <c r="O1622" s="3" t="b">
        <f>L1622 = "PASS"</f>
        <v>1</v>
      </c>
      <c r="P1622" s="3" t="b">
        <f>L1622 = "FAIL"</f>
        <v>0</v>
      </c>
      <c r="Q1622" s="3" t="b">
        <f>AND(P1622, K1622)</f>
        <v>0</v>
      </c>
      <c r="R1622" s="3" t="str">
        <f>IF(O1622, I1622, "")</f>
        <v>suite-witness</v>
      </c>
      <c r="S1622" s="3" t="str">
        <f>IF(Q1622, I1622, "")</f>
      </c>
      <c r="T1622" s="2" t="s">
        <v>5935</v>
      </c>
    </row>
    <row r="1623">
      <c r="A1623" s="2" t="s">
        <v>7974</v>
      </c>
      <c r="B1623" s="3" t="str">
        <f>C1623 &amp; ": " &amp; D1623</f>
        <v>witness-discriminates: SendIntents.RefusalWasOutsideMyControl</v>
      </c>
      <c r="C1623" s="2" t="s">
        <v>7483</v>
      </c>
      <c r="D1623" s="2" t="s">
        <v>4817</v>
      </c>
      <c r="E1623" s="2" t="s">
        <v>4662</v>
      </c>
      <c r="F1623" s="2" t="s">
        <v>4818</v>
      </c>
      <c r="G1623" s="2" t="s">
        <v>7484</v>
      </c>
      <c r="H1623" s="2" t="s">
        <v>2304</v>
      </c>
      <c r="I1623" s="2" t="s">
        <v>5924</v>
      </c>
      <c r="J1623" s="2" t="s">
        <v>7485</v>
      </c>
      <c r="K1623" s="3" t="b">
        <f>J1623 = "blocking"</f>
        <v>0</v>
      </c>
      <c r="L1623" s="2" t="s">
        <v>1428</v>
      </c>
      <c r="M1623" s="2" t="s">
        <v>7664</v>
      </c>
      <c r="N1623" s="4">
        <v>46223.1297337963</v>
      </c>
      <c r="O1623" s="3" t="b">
        <f>L1623 = "PASS"</f>
        <v>1</v>
      </c>
      <c r="P1623" s="3" t="b">
        <f>L1623 = "FAIL"</f>
        <v>0</v>
      </c>
      <c r="Q1623" s="3" t="b">
        <f>AND(P1623, K1623)</f>
        <v>0</v>
      </c>
      <c r="R1623" s="3" t="str">
        <f>IF(O1623, I1623, "")</f>
        <v>suite-witness</v>
      </c>
      <c r="S1623" s="3" t="str">
        <f>IF(Q1623, I1623, "")</f>
      </c>
      <c r="T1623" s="2" t="s">
        <v>5935</v>
      </c>
    </row>
    <row r="1624">
      <c r="A1624" s="2" t="s">
        <v>7975</v>
      </c>
      <c r="B1624" s="3" t="str">
        <f>C1624 &amp; ": " &amp; D1624</f>
        <v>witness-discriminates: SendIntents.IsUnreportedRefusalOnMyRules</v>
      </c>
      <c r="C1624" s="2" t="s">
        <v>7483</v>
      </c>
      <c r="D1624" s="2" t="s">
        <v>4822</v>
      </c>
      <c r="E1624" s="2" t="s">
        <v>4662</v>
      </c>
      <c r="F1624" s="2" t="s">
        <v>4823</v>
      </c>
      <c r="G1624" s="2" t="s">
        <v>7484</v>
      </c>
      <c r="H1624" s="2" t="s">
        <v>2304</v>
      </c>
      <c r="I1624" s="2" t="s">
        <v>5924</v>
      </c>
      <c r="J1624" s="2" t="s">
        <v>7485</v>
      </c>
      <c r="K1624" s="3" t="b">
        <f>J1624 = "blocking"</f>
        <v>0</v>
      </c>
      <c r="L1624" s="2" t="s">
        <v>1428</v>
      </c>
      <c r="M1624" s="2" t="s">
        <v>7689</v>
      </c>
      <c r="N1624" s="4">
        <v>46223.1297337963</v>
      </c>
      <c r="O1624" s="3" t="b">
        <f>L1624 = "PASS"</f>
        <v>1</v>
      </c>
      <c r="P1624" s="3" t="b">
        <f>L1624 = "FAIL"</f>
        <v>0</v>
      </c>
      <c r="Q1624" s="3" t="b">
        <f>AND(P1624, K1624)</f>
        <v>0</v>
      </c>
      <c r="R1624" s="3" t="str">
        <f>IF(O1624, I1624, "")</f>
        <v>suite-witness</v>
      </c>
      <c r="S1624" s="3" t="str">
        <f>IF(Q1624, I1624, "")</f>
      </c>
      <c r="T1624" s="2" t="s">
        <v>5935</v>
      </c>
    </row>
    <row r="1625">
      <c r="A1625" s="2" t="s">
        <v>7976</v>
      </c>
      <c r="B1625" s="3" t="str">
        <f>C1625 &amp; ": " &amp; D1625</f>
        <v>witness-discriminates: SendIntents.IsApprovalOverriddenSilently</v>
      </c>
      <c r="C1625" s="2" t="s">
        <v>7483</v>
      </c>
      <c r="D1625" s="2" t="s">
        <v>4825</v>
      </c>
      <c r="E1625" s="2" t="s">
        <v>4662</v>
      </c>
      <c r="F1625" s="2" t="s">
        <v>4826</v>
      </c>
      <c r="G1625" s="2" t="s">
        <v>7484</v>
      </c>
      <c r="H1625" s="2" t="s">
        <v>2304</v>
      </c>
      <c r="I1625" s="2" t="s">
        <v>5924</v>
      </c>
      <c r="J1625" s="2" t="s">
        <v>7485</v>
      </c>
      <c r="K1625" s="3" t="b">
        <f>J1625 = "blocking"</f>
        <v>0</v>
      </c>
      <c r="L1625" s="2" t="s">
        <v>1428</v>
      </c>
      <c r="M1625" s="2" t="s">
        <v>7673</v>
      </c>
      <c r="N1625" s="4">
        <v>46223.1297337963</v>
      </c>
      <c r="O1625" s="3" t="b">
        <f>L1625 = "PASS"</f>
        <v>1</v>
      </c>
      <c r="P1625" s="3" t="b">
        <f>L1625 = "FAIL"</f>
        <v>0</v>
      </c>
      <c r="Q1625" s="3" t="b">
        <f>AND(P1625, K1625)</f>
        <v>0</v>
      </c>
      <c r="R1625" s="3" t="str">
        <f>IF(O1625, I1625, "")</f>
        <v>suite-witness</v>
      </c>
      <c r="S1625" s="3" t="str">
        <f>IF(Q1625, I1625, "")</f>
      </c>
      <c r="T1625" s="2" t="s">
        <v>5935</v>
      </c>
    </row>
    <row r="1626">
      <c r="A1626" s="2" t="s">
        <v>7977</v>
      </c>
      <c r="B1626" s="3" t="str">
        <f>C1626 &amp; ": " &amp; D1626</f>
        <v>witness-discriminates: SendIntents.HasAlternateChannelAttempt</v>
      </c>
      <c r="C1626" s="2" t="s">
        <v>7483</v>
      </c>
      <c r="D1626" s="2" t="s">
        <v>4830</v>
      </c>
      <c r="E1626" s="2" t="s">
        <v>4662</v>
      </c>
      <c r="F1626" s="2" t="s">
        <v>4831</v>
      </c>
      <c r="G1626" s="2" t="s">
        <v>7484</v>
      </c>
      <c r="H1626" s="2" t="s">
        <v>2312</v>
      </c>
      <c r="I1626" s="2" t="s">
        <v>5924</v>
      </c>
      <c r="J1626" s="2" t="s">
        <v>7485</v>
      </c>
      <c r="K1626" s="3" t="b">
        <f>J1626 = "blocking"</f>
        <v>0</v>
      </c>
      <c r="L1626" s="2" t="s">
        <v>1431</v>
      </c>
      <c r="M1626" s="2" t="s">
        <v>7657</v>
      </c>
      <c r="N1626" s="4">
        <v>46223.1297337963</v>
      </c>
      <c r="O1626" s="3" t="b">
        <f>L1626 = "PASS"</f>
        <v>0</v>
      </c>
      <c r="P1626" s="3" t="b">
        <f>L1626 = "FAIL"</f>
        <v>0</v>
      </c>
      <c r="Q1626" s="3" t="b">
        <f>AND(P1626, K1626)</f>
        <v>0</v>
      </c>
      <c r="R1626" s="3" t="str">
        <f>IF(O1626, I1626, "")</f>
      </c>
      <c r="S1626" s="3" t="str">
        <f>IF(Q1626, I1626, "")</f>
      </c>
      <c r="T1626" s="2" t="s">
        <v>5935</v>
      </c>
    </row>
    <row r="1627">
      <c r="A1627" s="2" t="s">
        <v>7978</v>
      </c>
      <c r="B1627" s="3" t="str">
        <f>C1627 &amp; ": " &amp; D1627</f>
        <v>witness-discriminates: SendIntents.AlternateAttemptWasCleared</v>
      </c>
      <c r="C1627" s="2" t="s">
        <v>7483</v>
      </c>
      <c r="D1627" s="2" t="s">
        <v>4833</v>
      </c>
      <c r="E1627" s="2" t="s">
        <v>4662</v>
      </c>
      <c r="F1627" s="2" t="s">
        <v>4834</v>
      </c>
      <c r="G1627" s="2" t="s">
        <v>7484</v>
      </c>
      <c r="H1627" s="2" t="s">
        <v>2312</v>
      </c>
      <c r="I1627" s="2" t="s">
        <v>5924</v>
      </c>
      <c r="J1627" s="2" t="s">
        <v>7485</v>
      </c>
      <c r="K1627" s="3" t="b">
        <f>J1627 = "blocking"</f>
        <v>0</v>
      </c>
      <c r="L1627" s="2" t="s">
        <v>1431</v>
      </c>
      <c r="M1627" s="2" t="s">
        <v>7657</v>
      </c>
      <c r="N1627" s="4">
        <v>46223.1297337963</v>
      </c>
      <c r="O1627" s="3" t="b">
        <f>L1627 = "PASS"</f>
        <v>0</v>
      </c>
      <c r="P1627" s="3" t="b">
        <f>L1627 = "FAIL"</f>
        <v>0</v>
      </c>
      <c r="Q1627" s="3" t="b">
        <f>AND(P1627, K1627)</f>
        <v>0</v>
      </c>
      <c r="R1627" s="3" t="str">
        <f>IF(O1627, I1627, "")</f>
      </c>
      <c r="S1627" s="3" t="str">
        <f>IF(Q1627, I1627, "")</f>
      </c>
      <c r="T1627" s="2" t="s">
        <v>5935</v>
      </c>
    </row>
    <row r="1628">
      <c r="A1628" s="2" t="s">
        <v>7979</v>
      </c>
      <c r="B1628" s="3" t="str">
        <f>C1628 &amp; ": " &amp; D1628</f>
        <v>witness-discriminates: SendIntents.IsRefusedWithNoAlternative</v>
      </c>
      <c r="C1628" s="2" t="s">
        <v>7483</v>
      </c>
      <c r="D1628" s="2" t="s">
        <v>4836</v>
      </c>
      <c r="E1628" s="2" t="s">
        <v>4662</v>
      </c>
      <c r="F1628" s="2" t="s">
        <v>4837</v>
      </c>
      <c r="G1628" s="2" t="s">
        <v>7484</v>
      </c>
      <c r="H1628" s="2" t="s">
        <v>2312</v>
      </c>
      <c r="I1628" s="2" t="s">
        <v>5924</v>
      </c>
      <c r="J1628" s="2" t="s">
        <v>7485</v>
      </c>
      <c r="K1628" s="3" t="b">
        <f>J1628 = "blocking"</f>
        <v>0</v>
      </c>
      <c r="L1628" s="2" t="s">
        <v>1428</v>
      </c>
      <c r="M1628" s="2" t="s">
        <v>7967</v>
      </c>
      <c r="N1628" s="4">
        <v>46223.1297337963</v>
      </c>
      <c r="O1628" s="3" t="b">
        <f>L1628 = "PASS"</f>
        <v>1</v>
      </c>
      <c r="P1628" s="3" t="b">
        <f>L1628 = "FAIL"</f>
        <v>0</v>
      </c>
      <c r="Q1628" s="3" t="b">
        <f>AND(P1628, K1628)</f>
        <v>0</v>
      </c>
      <c r="R1628" s="3" t="str">
        <f>IF(O1628, I1628, "")</f>
        <v>suite-witness</v>
      </c>
      <c r="S1628" s="3" t="str">
        <f>IF(Q1628, I1628, "")</f>
      </c>
      <c r="T1628" s="2" t="s">
        <v>5935</v>
      </c>
    </row>
    <row r="1629">
      <c r="A1629" s="2" t="s">
        <v>7980</v>
      </c>
      <c r="B1629" s="3" t="str">
        <f>C1629 &amp; ": " &amp; D1629</f>
        <v>witness-discriminates: SendIntents.ExceptionPrescribedAnAlternative</v>
      </c>
      <c r="C1629" s="2" t="s">
        <v>7483</v>
      </c>
      <c r="D1629" s="2" t="s">
        <v>4839</v>
      </c>
      <c r="E1629" s="2" t="s">
        <v>4662</v>
      </c>
      <c r="F1629" s="2" t="s">
        <v>4840</v>
      </c>
      <c r="G1629" s="2" t="s">
        <v>7484</v>
      </c>
      <c r="H1629" s="2" t="s">
        <v>2312</v>
      </c>
      <c r="I1629" s="2" t="s">
        <v>5924</v>
      </c>
      <c r="J1629" s="2" t="s">
        <v>7485</v>
      </c>
      <c r="K1629" s="3" t="b">
        <f>J1629 = "blocking"</f>
        <v>0</v>
      </c>
      <c r="L1629" s="2" t="s">
        <v>1431</v>
      </c>
      <c r="M1629" s="2" t="s">
        <v>7657</v>
      </c>
      <c r="N1629" s="4">
        <v>46223.1297337963</v>
      </c>
      <c r="O1629" s="3" t="b">
        <f>L1629 = "PASS"</f>
        <v>0</v>
      </c>
      <c r="P1629" s="3" t="b">
        <f>L1629 = "FAIL"</f>
        <v>0</v>
      </c>
      <c r="Q1629" s="3" t="b">
        <f>AND(P1629, K1629)</f>
        <v>0</v>
      </c>
      <c r="R1629" s="3" t="str">
        <f>IF(O1629, I1629, "")</f>
      </c>
      <c r="S1629" s="3" t="str">
        <f>IF(Q1629, I1629, "")</f>
      </c>
      <c r="T1629" s="2" t="s">
        <v>5935</v>
      </c>
    </row>
    <row r="1630">
      <c r="A1630" s="2" t="s">
        <v>7981</v>
      </c>
      <c r="B1630" s="3" t="str">
        <f>C1630 &amp; ": " &amp; D1630</f>
        <v>witness-discriminates: SendIntents.PrescribedHandlingWasPerformed</v>
      </c>
      <c r="C1630" s="2" t="s">
        <v>7483</v>
      </c>
      <c r="D1630" s="2" t="s">
        <v>4842</v>
      </c>
      <c r="E1630" s="2" t="s">
        <v>4662</v>
      </c>
      <c r="F1630" s="2" t="s">
        <v>4843</v>
      </c>
      <c r="G1630" s="2" t="s">
        <v>7484</v>
      </c>
      <c r="H1630" s="2" t="s">
        <v>2312</v>
      </c>
      <c r="I1630" s="2" t="s">
        <v>5924</v>
      </c>
      <c r="J1630" s="2" t="s">
        <v>7485</v>
      </c>
      <c r="K1630" s="3" t="b">
        <f>J1630 = "blocking"</f>
        <v>0</v>
      </c>
      <c r="L1630" s="2" t="s">
        <v>1431</v>
      </c>
      <c r="M1630" s="2" t="s">
        <v>7657</v>
      </c>
      <c r="N1630" s="4">
        <v>46223.1297337963</v>
      </c>
      <c r="O1630" s="3" t="b">
        <f>L1630 = "PASS"</f>
        <v>0</v>
      </c>
      <c r="P1630" s="3" t="b">
        <f>L1630 = "FAIL"</f>
        <v>0</v>
      </c>
      <c r="Q1630" s="3" t="b">
        <f>AND(P1630, K1630)</f>
        <v>0</v>
      </c>
      <c r="R1630" s="3" t="str">
        <f>IF(O1630, I1630, "")</f>
      </c>
      <c r="S1630" s="3" t="str">
        <f>IF(Q1630, I1630, "")</f>
      </c>
      <c r="T1630" s="2" t="s">
        <v>5935</v>
      </c>
    </row>
    <row r="1631">
      <c r="A1631" s="2" t="s">
        <v>7982</v>
      </c>
      <c r="B1631" s="3" t="str">
        <f>C1631 &amp; ": " &amp; D1631</f>
        <v>witness-discriminates: SendIntents.IsSuppressionWithoutRemedy</v>
      </c>
      <c r="C1631" s="2" t="s">
        <v>7483</v>
      </c>
      <c r="D1631" s="2" t="s">
        <v>4845</v>
      </c>
      <c r="E1631" s="2" t="s">
        <v>4662</v>
      </c>
      <c r="F1631" s="2" t="s">
        <v>4846</v>
      </c>
      <c r="G1631" s="2" t="s">
        <v>7484</v>
      </c>
      <c r="H1631" s="2" t="s">
        <v>2312</v>
      </c>
      <c r="I1631" s="2" t="s">
        <v>5924</v>
      </c>
      <c r="J1631" s="2" t="s">
        <v>7485</v>
      </c>
      <c r="K1631" s="3" t="b">
        <f>J1631 = "blocking"</f>
        <v>0</v>
      </c>
      <c r="L1631" s="2" t="s">
        <v>1431</v>
      </c>
      <c r="M1631" s="2" t="s">
        <v>7657</v>
      </c>
      <c r="N1631" s="4">
        <v>46223.1297337963</v>
      </c>
      <c r="O1631" s="3" t="b">
        <f>L1631 = "PASS"</f>
        <v>0</v>
      </c>
      <c r="P1631" s="3" t="b">
        <f>L1631 = "FAIL"</f>
        <v>0</v>
      </c>
      <c r="Q1631" s="3" t="b">
        <f>AND(P1631, K1631)</f>
        <v>0</v>
      </c>
      <c r="R1631" s="3" t="str">
        <f>IF(O1631, I1631, "")</f>
      </c>
      <c r="S1631" s="3" t="str">
        <f>IF(Q1631, I1631, "")</f>
      </c>
      <c r="T1631" s="2" t="s">
        <v>5935</v>
      </c>
    </row>
    <row r="1632">
      <c r="A1632" s="2" t="s">
        <v>7983</v>
      </c>
      <c r="B1632" s="3" t="str">
        <f>C1632 &amp; ": " &amp; D1632</f>
        <v>witness-discriminates: SendIntents.HasDurableRefusalRecord</v>
      </c>
      <c r="C1632" s="2" t="s">
        <v>7483</v>
      </c>
      <c r="D1632" s="2" t="s">
        <v>4852</v>
      </c>
      <c r="E1632" s="2" t="s">
        <v>4662</v>
      </c>
      <c r="F1632" s="2" t="s">
        <v>4853</v>
      </c>
      <c r="G1632" s="2" t="s">
        <v>7484</v>
      </c>
      <c r="H1632" s="2" t="s">
        <v>2336</v>
      </c>
      <c r="I1632" s="2" t="s">
        <v>5924</v>
      </c>
      <c r="J1632" s="2" t="s">
        <v>7485</v>
      </c>
      <c r="K1632" s="3" t="b">
        <f>J1632 = "blocking"</f>
        <v>0</v>
      </c>
      <c r="L1632" s="2" t="s">
        <v>1431</v>
      </c>
      <c r="M1632" s="2" t="s">
        <v>7657</v>
      </c>
      <c r="N1632" s="4">
        <v>46223.1297337963</v>
      </c>
      <c r="O1632" s="3" t="b">
        <f>L1632 = "PASS"</f>
        <v>0</v>
      </c>
      <c r="P1632" s="3" t="b">
        <f>L1632 = "FAIL"</f>
        <v>0</v>
      </c>
      <c r="Q1632" s="3" t="b">
        <f>AND(P1632, K1632)</f>
        <v>0</v>
      </c>
      <c r="R1632" s="3" t="str">
        <f>IF(O1632, I1632, "")</f>
      </c>
      <c r="S1632" s="3" t="str">
        <f>IF(Q1632, I1632, "")</f>
      </c>
      <c r="T1632" s="2" t="s">
        <v>5935</v>
      </c>
    </row>
    <row r="1633">
      <c r="A1633" s="2" t="s">
        <v>7984</v>
      </c>
      <c r="B1633" s="3" t="str">
        <f>C1633 &amp; ": " &amp; D1633</f>
        <v>witness-discriminates: SendIntents.RefusalWasEscalated</v>
      </c>
      <c r="C1633" s="2" t="s">
        <v>7483</v>
      </c>
      <c r="D1633" s="2" t="s">
        <v>4855</v>
      </c>
      <c r="E1633" s="2" t="s">
        <v>4662</v>
      </c>
      <c r="F1633" s="2" t="s">
        <v>4856</v>
      </c>
      <c r="G1633" s="2" t="s">
        <v>7484</v>
      </c>
      <c r="H1633" s="2" t="s">
        <v>2336</v>
      </c>
      <c r="I1633" s="2" t="s">
        <v>5924</v>
      </c>
      <c r="J1633" s="2" t="s">
        <v>7485</v>
      </c>
      <c r="K1633" s="3" t="b">
        <f>J1633 = "blocking"</f>
        <v>0</v>
      </c>
      <c r="L1633" s="2" t="s">
        <v>1431</v>
      </c>
      <c r="M1633" s="2" t="s">
        <v>7657</v>
      </c>
      <c r="N1633" s="4">
        <v>46223.1297337963</v>
      </c>
      <c r="O1633" s="3" t="b">
        <f>L1633 = "PASS"</f>
        <v>0</v>
      </c>
      <c r="P1633" s="3" t="b">
        <f>L1633 = "FAIL"</f>
        <v>0</v>
      </c>
      <c r="Q1633" s="3" t="b">
        <f>AND(P1633, K1633)</f>
        <v>0</v>
      </c>
      <c r="R1633" s="3" t="str">
        <f>IF(O1633, I1633, "")</f>
      </c>
      <c r="S1633" s="3" t="str">
        <f>IF(Q1633, I1633, "")</f>
      </c>
      <c r="T1633" s="2" t="s">
        <v>5935</v>
      </c>
    </row>
    <row r="1634">
      <c r="A1634" s="2" t="s">
        <v>7985</v>
      </c>
      <c r="B1634" s="3" t="str">
        <f>C1634 &amp; ": " &amp; D1634</f>
        <v>witness-discriminates: SendIntents.IsUnrecordedRefusal</v>
      </c>
      <c r="C1634" s="2" t="s">
        <v>7483</v>
      </c>
      <c r="D1634" s="2" t="s">
        <v>4858</v>
      </c>
      <c r="E1634" s="2" t="s">
        <v>4662</v>
      </c>
      <c r="F1634" s="2" t="s">
        <v>4859</v>
      </c>
      <c r="G1634" s="2" t="s">
        <v>7484</v>
      </c>
      <c r="H1634" s="2" t="s">
        <v>2336</v>
      </c>
      <c r="I1634" s="2" t="s">
        <v>5924</v>
      </c>
      <c r="J1634" s="2" t="s">
        <v>7485</v>
      </c>
      <c r="K1634" s="3" t="b">
        <f>J1634 = "blocking"</f>
        <v>0</v>
      </c>
      <c r="L1634" s="2" t="s">
        <v>1428</v>
      </c>
      <c r="M1634" s="2" t="s">
        <v>7967</v>
      </c>
      <c r="N1634" s="4">
        <v>46223.1297337963</v>
      </c>
      <c r="O1634" s="3" t="b">
        <f>L1634 = "PASS"</f>
        <v>1</v>
      </c>
      <c r="P1634" s="3" t="b">
        <f>L1634 = "FAIL"</f>
        <v>0</v>
      </c>
      <c r="Q1634" s="3" t="b">
        <f>AND(P1634, K1634)</f>
        <v>0</v>
      </c>
      <c r="R1634" s="3" t="str">
        <f>IF(O1634, I1634, "")</f>
        <v>suite-witness</v>
      </c>
      <c r="S1634" s="3" t="str">
        <f>IF(Q1634, I1634, "")</f>
      </c>
      <c r="T1634" s="2" t="s">
        <v>5935</v>
      </c>
    </row>
    <row r="1635">
      <c r="A1635" s="2" t="s">
        <v>7986</v>
      </c>
      <c r="B1635" s="3" t="str">
        <f>C1635 &amp; ": " &amp; D1635</f>
        <v>witness-discriminates: SendIntents.IsUnescalatedRefusal</v>
      </c>
      <c r="C1635" s="2" t="s">
        <v>7483</v>
      </c>
      <c r="D1635" s="2" t="s">
        <v>4861</v>
      </c>
      <c r="E1635" s="2" t="s">
        <v>4662</v>
      </c>
      <c r="F1635" s="2" t="s">
        <v>4862</v>
      </c>
      <c r="G1635" s="2" t="s">
        <v>7484</v>
      </c>
      <c r="H1635" s="2" t="s">
        <v>2336</v>
      </c>
      <c r="I1635" s="2" t="s">
        <v>5924</v>
      </c>
      <c r="J1635" s="2" t="s">
        <v>7485</v>
      </c>
      <c r="K1635" s="3" t="b">
        <f>J1635 = "blocking"</f>
        <v>0</v>
      </c>
      <c r="L1635" s="2" t="s">
        <v>1428</v>
      </c>
      <c r="M1635" s="2" t="s">
        <v>7967</v>
      </c>
      <c r="N1635" s="4">
        <v>46223.1297337963</v>
      </c>
      <c r="O1635" s="3" t="b">
        <f>L1635 = "PASS"</f>
        <v>1</v>
      </c>
      <c r="P1635" s="3" t="b">
        <f>L1635 = "FAIL"</f>
        <v>0</v>
      </c>
      <c r="Q1635" s="3" t="b">
        <f>AND(P1635, K1635)</f>
        <v>0</v>
      </c>
      <c r="R1635" s="3" t="str">
        <f>IF(O1635, I1635, "")</f>
        <v>suite-witness</v>
      </c>
      <c r="S1635" s="3" t="str">
        <f>IF(Q1635, I1635, "")</f>
      </c>
      <c r="T1635" s="2" t="s">
        <v>5935</v>
      </c>
    </row>
    <row r="1636">
      <c r="A1636" s="2" t="s">
        <v>7987</v>
      </c>
      <c r="B1636" s="3" t="str">
        <f>C1636 &amp; ": " &amp; D1636</f>
        <v>witness-discriminates: SendIntents.WasDeferredOnTiming</v>
      </c>
      <c r="C1636" s="2" t="s">
        <v>7483</v>
      </c>
      <c r="D1636" s="2" t="s">
        <v>4872</v>
      </c>
      <c r="E1636" s="2" t="s">
        <v>4662</v>
      </c>
      <c r="F1636" s="2" t="s">
        <v>4873</v>
      </c>
      <c r="G1636" s="2" t="s">
        <v>7484</v>
      </c>
      <c r="H1636" s="2" t="s">
        <v>2340</v>
      </c>
      <c r="I1636" s="2" t="s">
        <v>5924</v>
      </c>
      <c r="J1636" s="2" t="s">
        <v>7485</v>
      </c>
      <c r="K1636" s="3" t="b">
        <f>J1636 = "blocking"</f>
        <v>0</v>
      </c>
      <c r="L1636" s="2" t="s">
        <v>1428</v>
      </c>
      <c r="M1636" s="2" t="s">
        <v>7664</v>
      </c>
      <c r="N1636" s="4">
        <v>46223.1297337963</v>
      </c>
      <c r="O1636" s="3" t="b">
        <f>L1636 = "PASS"</f>
        <v>1</v>
      </c>
      <c r="P1636" s="3" t="b">
        <f>L1636 = "FAIL"</f>
        <v>0</v>
      </c>
      <c r="Q1636" s="3" t="b">
        <f>AND(P1636, K1636)</f>
        <v>0</v>
      </c>
      <c r="R1636" s="3" t="str">
        <f>IF(O1636, I1636, "")</f>
        <v>suite-witness</v>
      </c>
      <c r="S1636" s="3" t="str">
        <f>IF(Q1636, I1636, "")</f>
      </c>
      <c r="T1636" s="2" t="s">
        <v>5935</v>
      </c>
    </row>
    <row r="1637">
      <c r="A1637" s="2" t="s">
        <v>7988</v>
      </c>
      <c r="B1637" s="3" t="str">
        <f>C1637 &amp; ": " &amp; D1637</f>
        <v>witness-discriminates: SendIntents.WindowHasSinceReopened</v>
      </c>
      <c r="C1637" s="2" t="s">
        <v>7483</v>
      </c>
      <c r="D1637" s="2" t="s">
        <v>4877</v>
      </c>
      <c r="E1637" s="2" t="s">
        <v>4662</v>
      </c>
      <c r="F1637" s="2" t="s">
        <v>4878</v>
      </c>
      <c r="G1637" s="2" t="s">
        <v>7484</v>
      </c>
      <c r="H1637" s="2" t="s">
        <v>2340</v>
      </c>
      <c r="I1637" s="2" t="s">
        <v>5924</v>
      </c>
      <c r="J1637" s="2" t="s">
        <v>7485</v>
      </c>
      <c r="K1637" s="3" t="b">
        <f>J1637 = "blocking"</f>
        <v>0</v>
      </c>
      <c r="L1637" s="2" t="s">
        <v>1428</v>
      </c>
      <c r="M1637" s="2" t="s">
        <v>7664</v>
      </c>
      <c r="N1637" s="4">
        <v>46223.1297337963</v>
      </c>
      <c r="O1637" s="3" t="b">
        <f>L1637 = "PASS"</f>
        <v>1</v>
      </c>
      <c r="P1637" s="3" t="b">
        <f>L1637 = "FAIL"</f>
        <v>0</v>
      </c>
      <c r="Q1637" s="3" t="b">
        <f>AND(P1637, K1637)</f>
        <v>0</v>
      </c>
      <c r="R1637" s="3" t="str">
        <f>IF(O1637, I1637, "")</f>
        <v>suite-witness</v>
      </c>
      <c r="S1637" s="3" t="str">
        <f>IF(Q1637, I1637, "")</f>
      </c>
      <c r="T1637" s="2" t="s">
        <v>5935</v>
      </c>
    </row>
    <row r="1638">
      <c r="A1638" s="2" t="s">
        <v>7989</v>
      </c>
      <c r="B1638" s="3" t="str">
        <f>C1638 &amp; ": " &amp; D1638</f>
        <v>witness-discriminates: SendIntents.HasRetryAttempt</v>
      </c>
      <c r="C1638" s="2" t="s">
        <v>7483</v>
      </c>
      <c r="D1638" s="2" t="s">
        <v>4880</v>
      </c>
      <c r="E1638" s="2" t="s">
        <v>4662</v>
      </c>
      <c r="F1638" s="2" t="s">
        <v>4881</v>
      </c>
      <c r="G1638" s="2" t="s">
        <v>7484</v>
      </c>
      <c r="H1638" s="2" t="s">
        <v>2340</v>
      </c>
      <c r="I1638" s="2" t="s">
        <v>5924</v>
      </c>
      <c r="J1638" s="2" t="s">
        <v>7485</v>
      </c>
      <c r="K1638" s="3" t="b">
        <f>J1638 = "blocking"</f>
        <v>0</v>
      </c>
      <c r="L1638" s="2" t="s">
        <v>1431</v>
      </c>
      <c r="M1638" s="2" t="s">
        <v>7657</v>
      </c>
      <c r="N1638" s="4">
        <v>46223.1297337963</v>
      </c>
      <c r="O1638" s="3" t="b">
        <f>L1638 = "PASS"</f>
        <v>0</v>
      </c>
      <c r="P1638" s="3" t="b">
        <f>L1638 = "FAIL"</f>
        <v>0</v>
      </c>
      <c r="Q1638" s="3" t="b">
        <f>AND(P1638, K1638)</f>
        <v>0</v>
      </c>
      <c r="R1638" s="3" t="str">
        <f>IF(O1638, I1638, "")</f>
      </c>
      <c r="S1638" s="3" t="str">
        <f>IF(Q1638, I1638, "")</f>
      </c>
      <c r="T1638" s="2" t="s">
        <v>5935</v>
      </c>
    </row>
    <row r="1639">
      <c r="A1639" s="2" t="s">
        <v>7990</v>
      </c>
      <c r="B1639" s="3" t="str">
        <f>C1639 &amp; ": " &amp; D1639</f>
        <v>witness-discriminates: SendIntents.RetryWasCleared</v>
      </c>
      <c r="C1639" s="2" t="s">
        <v>7483</v>
      </c>
      <c r="D1639" s="2" t="s">
        <v>4883</v>
      </c>
      <c r="E1639" s="2" t="s">
        <v>4662</v>
      </c>
      <c r="F1639" s="2" t="s">
        <v>4884</v>
      </c>
      <c r="G1639" s="2" t="s">
        <v>7484</v>
      </c>
      <c r="H1639" s="2" t="s">
        <v>2340</v>
      </c>
      <c r="I1639" s="2" t="s">
        <v>5924</v>
      </c>
      <c r="J1639" s="2" t="s">
        <v>7485</v>
      </c>
      <c r="K1639" s="3" t="b">
        <f>J1639 = "blocking"</f>
        <v>0</v>
      </c>
      <c r="L1639" s="2" t="s">
        <v>1431</v>
      </c>
      <c r="M1639" s="2" t="s">
        <v>7657</v>
      </c>
      <c r="N1639" s="4">
        <v>46223.1297337963</v>
      </c>
      <c r="O1639" s="3" t="b">
        <f>L1639 = "PASS"</f>
        <v>0</v>
      </c>
      <c r="P1639" s="3" t="b">
        <f>L1639 = "FAIL"</f>
        <v>0</v>
      </c>
      <c r="Q1639" s="3" t="b">
        <f>AND(P1639, K1639)</f>
        <v>0</v>
      </c>
      <c r="R1639" s="3" t="str">
        <f>IF(O1639, I1639, "")</f>
      </c>
      <c r="S1639" s="3" t="str">
        <f>IF(Q1639, I1639, "")</f>
      </c>
      <c r="T1639" s="2" t="s">
        <v>5935</v>
      </c>
    </row>
    <row r="1640">
      <c r="A1640" s="2" t="s">
        <v>7991</v>
      </c>
      <c r="B1640" s="3" t="str">
        <f>C1640 &amp; ": " &amp; D1640</f>
        <v>witness-discriminates: SendIntents.IsAbandonedDeferral</v>
      </c>
      <c r="C1640" s="2" t="s">
        <v>7483</v>
      </c>
      <c r="D1640" s="2" t="s">
        <v>4886</v>
      </c>
      <c r="E1640" s="2" t="s">
        <v>4662</v>
      </c>
      <c r="F1640" s="2" t="s">
        <v>4887</v>
      </c>
      <c r="G1640" s="2" t="s">
        <v>7484</v>
      </c>
      <c r="H1640" s="2" t="s">
        <v>2340</v>
      </c>
      <c r="I1640" s="2" t="s">
        <v>5924</v>
      </c>
      <c r="J1640" s="2" t="s">
        <v>7485</v>
      </c>
      <c r="K1640" s="3" t="b">
        <f>J1640 = "blocking"</f>
        <v>0</v>
      </c>
      <c r="L1640" s="2" t="s">
        <v>1428</v>
      </c>
      <c r="M1640" s="2" t="s">
        <v>7664</v>
      </c>
      <c r="N1640" s="4">
        <v>46223.1297337963</v>
      </c>
      <c r="O1640" s="3" t="b">
        <f>L1640 = "PASS"</f>
        <v>1</v>
      </c>
      <c r="P1640" s="3" t="b">
        <f>L1640 = "FAIL"</f>
        <v>0</v>
      </c>
      <c r="Q1640" s="3" t="b">
        <f>AND(P1640, K1640)</f>
        <v>0</v>
      </c>
      <c r="R1640" s="3" t="str">
        <f>IF(O1640, I1640, "")</f>
        <v>suite-witness</v>
      </c>
      <c r="S1640" s="3" t="str">
        <f>IF(Q1640, I1640, "")</f>
      </c>
      <c r="T1640" s="2" t="s">
        <v>5935</v>
      </c>
    </row>
    <row r="1641">
      <c r="A1641" s="2" t="s">
        <v>7992</v>
      </c>
      <c r="B1641" s="3" t="str">
        <f>C1641 &amp; ": " &amp; D1641</f>
        <v>witness-discriminates: SendIntents.IsStaleDeferral</v>
      </c>
      <c r="C1641" s="2" t="s">
        <v>7483</v>
      </c>
      <c r="D1641" s="2" t="s">
        <v>4892</v>
      </c>
      <c r="E1641" s="2" t="s">
        <v>4662</v>
      </c>
      <c r="F1641" s="2" t="s">
        <v>4893</v>
      </c>
      <c r="G1641" s="2" t="s">
        <v>7484</v>
      </c>
      <c r="H1641" s="2" t="s">
        <v>2340</v>
      </c>
      <c r="I1641" s="2" t="s">
        <v>5924</v>
      </c>
      <c r="J1641" s="2" t="s">
        <v>7485</v>
      </c>
      <c r="K1641" s="3" t="b">
        <f>J1641 = "blocking"</f>
        <v>0</v>
      </c>
      <c r="L1641" s="2" t="s">
        <v>1431</v>
      </c>
      <c r="M1641" s="2" t="s">
        <v>7657</v>
      </c>
      <c r="N1641" s="4">
        <v>46223.1297337963</v>
      </c>
      <c r="O1641" s="3" t="b">
        <f>L1641 = "PASS"</f>
        <v>0</v>
      </c>
      <c r="P1641" s="3" t="b">
        <f>L1641 = "FAIL"</f>
        <v>0</v>
      </c>
      <c r="Q1641" s="3" t="b">
        <f>AND(P1641, K1641)</f>
        <v>0</v>
      </c>
      <c r="R1641" s="3" t="str">
        <f>IF(O1641, I1641, "")</f>
      </c>
      <c r="S1641" s="3" t="str">
        <f>IF(Q1641, I1641, "")</f>
      </c>
      <c r="T1641" s="2" t="s">
        <v>5935</v>
      </c>
    </row>
    <row r="1642">
      <c r="A1642" s="2" t="s">
        <v>7993</v>
      </c>
      <c r="B1642" s="3" t="str">
        <f>C1642 &amp; ": " &amp; D1642</f>
        <v>witness-discriminates: SendIntents.EnforcedByUnauthorizedAgent</v>
      </c>
      <c r="C1642" s="2" t="s">
        <v>7483</v>
      </c>
      <c r="D1642" s="2" t="s">
        <v>4897</v>
      </c>
      <c r="E1642" s="2" t="s">
        <v>4662</v>
      </c>
      <c r="F1642" s="2" t="s">
        <v>4898</v>
      </c>
      <c r="G1642" s="2" t="s">
        <v>7484</v>
      </c>
      <c r="H1642" s="2" t="s">
        <v>2344</v>
      </c>
      <c r="I1642" s="2" t="s">
        <v>5924</v>
      </c>
      <c r="J1642" s="2" t="s">
        <v>7485</v>
      </c>
      <c r="K1642" s="3" t="b">
        <f>J1642 = "blocking"</f>
        <v>0</v>
      </c>
      <c r="L1642" s="2" t="s">
        <v>1431</v>
      </c>
      <c r="M1642" s="2" t="s">
        <v>7657</v>
      </c>
      <c r="N1642" s="4">
        <v>46223.1297337963</v>
      </c>
      <c r="O1642" s="3" t="b">
        <f>L1642 = "PASS"</f>
        <v>0</v>
      </c>
      <c r="P1642" s="3" t="b">
        <f>L1642 = "FAIL"</f>
        <v>0</v>
      </c>
      <c r="Q1642" s="3" t="b">
        <f>AND(P1642, K1642)</f>
        <v>0</v>
      </c>
      <c r="R1642" s="3" t="str">
        <f>IF(O1642, I1642, "")</f>
      </c>
      <c r="S1642" s="3" t="str">
        <f>IF(Q1642, I1642, "")</f>
      </c>
      <c r="T1642" s="2" t="s">
        <v>5935</v>
      </c>
    </row>
    <row r="1643">
      <c r="A1643" s="2" t="s">
        <v>7994</v>
      </c>
      <c r="B1643" s="3" t="str">
        <f>C1643 &amp; ": " &amp; D1643</f>
        <v>witness-discriminates: SendIntents.ConsentInputWasResolvable</v>
      </c>
      <c r="C1643" s="2" t="s">
        <v>7483</v>
      </c>
      <c r="D1643" s="2" t="s">
        <v>4900</v>
      </c>
      <c r="E1643" s="2" t="s">
        <v>4662</v>
      </c>
      <c r="F1643" s="2" t="s">
        <v>4901</v>
      </c>
      <c r="G1643" s="2" t="s">
        <v>7484</v>
      </c>
      <c r="H1643" s="2" t="s">
        <v>2348</v>
      </c>
      <c r="I1643" s="2" t="s">
        <v>5924</v>
      </c>
      <c r="J1643" s="2" t="s">
        <v>7485</v>
      </c>
      <c r="K1643" s="3" t="b">
        <f>J1643 = "blocking"</f>
        <v>0</v>
      </c>
      <c r="L1643" s="2" t="s">
        <v>1431</v>
      </c>
      <c r="M1643" s="2" t="s">
        <v>7654</v>
      </c>
      <c r="N1643" s="4">
        <v>46223.1297337963</v>
      </c>
      <c r="O1643" s="3" t="b">
        <f>L1643 = "PASS"</f>
        <v>0</v>
      </c>
      <c r="P1643" s="3" t="b">
        <f>L1643 = "FAIL"</f>
        <v>0</v>
      </c>
      <c r="Q1643" s="3" t="b">
        <f>AND(P1643, K1643)</f>
        <v>0</v>
      </c>
      <c r="R1643" s="3" t="str">
        <f>IF(O1643, I1643, "")</f>
      </c>
      <c r="S1643" s="3" t="str">
        <f>IF(Q1643, I1643, "")</f>
      </c>
      <c r="T1643" s="2" t="s">
        <v>5935</v>
      </c>
    </row>
    <row r="1644">
      <c r="A1644" s="2" t="s">
        <v>7995</v>
      </c>
      <c r="B1644" s="3" t="str">
        <f>C1644 &amp; ": " &amp; D1644</f>
        <v>witness-discriminates: SendIntents.PolicyInputWasResolvable</v>
      </c>
      <c r="C1644" s="2" t="s">
        <v>7483</v>
      </c>
      <c r="D1644" s="2" t="s">
        <v>4906</v>
      </c>
      <c r="E1644" s="2" t="s">
        <v>4662</v>
      </c>
      <c r="F1644" s="2" t="s">
        <v>4907</v>
      </c>
      <c r="G1644" s="2" t="s">
        <v>7484</v>
      </c>
      <c r="H1644" s="2" t="s">
        <v>2348</v>
      </c>
      <c r="I1644" s="2" t="s">
        <v>5924</v>
      </c>
      <c r="J1644" s="2" t="s">
        <v>7485</v>
      </c>
      <c r="K1644" s="3" t="b">
        <f>J1644 = "blocking"</f>
        <v>0</v>
      </c>
      <c r="L1644" s="2" t="s">
        <v>1431</v>
      </c>
      <c r="M1644" s="2" t="s">
        <v>7654</v>
      </c>
      <c r="N1644" s="4">
        <v>46223.1297337963</v>
      </c>
      <c r="O1644" s="3" t="b">
        <f>L1644 = "PASS"</f>
        <v>0</v>
      </c>
      <c r="P1644" s="3" t="b">
        <f>L1644 = "FAIL"</f>
        <v>0</v>
      </c>
      <c r="Q1644" s="3" t="b">
        <f>AND(P1644, K1644)</f>
        <v>0</v>
      </c>
      <c r="R1644" s="3" t="str">
        <f>IF(O1644, I1644, "")</f>
      </c>
      <c r="S1644" s="3" t="str">
        <f>IF(Q1644, I1644, "")</f>
      </c>
      <c r="T1644" s="2" t="s">
        <v>5935</v>
      </c>
    </row>
    <row r="1645">
      <c r="A1645" s="2" t="s">
        <v>7996</v>
      </c>
      <c r="B1645" s="3" t="str">
        <f>C1645 &amp; ": " &amp; D1645</f>
        <v>witness-discriminates: SendIntents.AllGateInputsResolved</v>
      </c>
      <c r="C1645" s="2" t="s">
        <v>7483</v>
      </c>
      <c r="D1645" s="2" t="s">
        <v>4909</v>
      </c>
      <c r="E1645" s="2" t="s">
        <v>4662</v>
      </c>
      <c r="F1645" s="2" t="s">
        <v>4910</v>
      </c>
      <c r="G1645" s="2" t="s">
        <v>7484</v>
      </c>
      <c r="H1645" s="2" t="s">
        <v>2348</v>
      </c>
      <c r="I1645" s="2" t="s">
        <v>5924</v>
      </c>
      <c r="J1645" s="2" t="s">
        <v>7485</v>
      </c>
      <c r="K1645" s="3" t="b">
        <f>J1645 = "blocking"</f>
        <v>0</v>
      </c>
      <c r="L1645" s="2" t="s">
        <v>1431</v>
      </c>
      <c r="M1645" s="2" t="s">
        <v>7654</v>
      </c>
      <c r="N1645" s="4">
        <v>46223.1297337963</v>
      </c>
      <c r="O1645" s="3" t="b">
        <f>L1645 = "PASS"</f>
        <v>0</v>
      </c>
      <c r="P1645" s="3" t="b">
        <f>L1645 = "FAIL"</f>
        <v>0</v>
      </c>
      <c r="Q1645" s="3" t="b">
        <f>AND(P1645, K1645)</f>
        <v>0</v>
      </c>
      <c r="R1645" s="3" t="str">
        <f>IF(O1645, I1645, "")</f>
      </c>
      <c r="S1645" s="3" t="str">
        <f>IF(Q1645, I1645, "")</f>
      </c>
      <c r="T1645" s="2" t="s">
        <v>5935</v>
      </c>
    </row>
    <row r="1646">
      <c r="A1646" s="2" t="s">
        <v>7997</v>
      </c>
      <c r="B1646" s="3" t="str">
        <f>C1646 &amp; ": " &amp; D1646</f>
        <v>witness-discriminates: SendIntents.IsUnevaluableRefusal</v>
      </c>
      <c r="C1646" s="2" t="s">
        <v>7483</v>
      </c>
      <c r="D1646" s="2" t="s">
        <v>4912</v>
      </c>
      <c r="E1646" s="2" t="s">
        <v>4662</v>
      </c>
      <c r="F1646" s="2" t="s">
        <v>4913</v>
      </c>
      <c r="G1646" s="2" t="s">
        <v>7484</v>
      </c>
      <c r="H1646" s="2" t="s">
        <v>2348</v>
      </c>
      <c r="I1646" s="2" t="s">
        <v>5924</v>
      </c>
      <c r="J1646" s="2" t="s">
        <v>7485</v>
      </c>
      <c r="K1646" s="3" t="b">
        <f>J1646 = "blocking"</f>
        <v>0</v>
      </c>
      <c r="L1646" s="2" t="s">
        <v>1431</v>
      </c>
      <c r="M1646" s="2" t="s">
        <v>7657</v>
      </c>
      <c r="N1646" s="4">
        <v>46223.1297337963</v>
      </c>
      <c r="O1646" s="3" t="b">
        <f>L1646 = "PASS"</f>
        <v>0</v>
      </c>
      <c r="P1646" s="3" t="b">
        <f>L1646 = "FAIL"</f>
        <v>0</v>
      </c>
      <c r="Q1646" s="3" t="b">
        <f>AND(P1646, K1646)</f>
        <v>0</v>
      </c>
      <c r="R1646" s="3" t="str">
        <f>IF(O1646, I1646, "")</f>
      </c>
      <c r="S1646" s="3" t="str">
        <f>IF(Q1646, I1646, "")</f>
      </c>
      <c r="T1646" s="2" t="s">
        <v>5935</v>
      </c>
    </row>
    <row r="1647">
      <c r="A1647" s="2" t="s">
        <v>7998</v>
      </c>
      <c r="B1647" s="3" t="str">
        <f>C1647 &amp; ": " &amp; D1647</f>
        <v>witness-discriminates: SendIntents.IsSelfWitnessedDecision</v>
      </c>
      <c r="C1647" s="2" t="s">
        <v>7483</v>
      </c>
      <c r="D1647" s="2" t="s">
        <v>4917</v>
      </c>
      <c r="E1647" s="2" t="s">
        <v>4662</v>
      </c>
      <c r="F1647" s="2" t="s">
        <v>4918</v>
      </c>
      <c r="G1647" s="2" t="s">
        <v>7484</v>
      </c>
      <c r="H1647" s="2" t="s">
        <v>2348</v>
      </c>
      <c r="I1647" s="2" t="s">
        <v>5924</v>
      </c>
      <c r="J1647" s="2" t="s">
        <v>7485</v>
      </c>
      <c r="K1647" s="3" t="b">
        <f>J1647 = "blocking"</f>
        <v>0</v>
      </c>
      <c r="L1647" s="2" t="s">
        <v>1431</v>
      </c>
      <c r="M1647" s="2" t="s">
        <v>7654</v>
      </c>
      <c r="N1647" s="4">
        <v>46223.1297337963</v>
      </c>
      <c r="O1647" s="3" t="b">
        <f>L1647 = "PASS"</f>
        <v>0</v>
      </c>
      <c r="P1647" s="3" t="b">
        <f>L1647 = "FAIL"</f>
        <v>0</v>
      </c>
      <c r="Q1647" s="3" t="b">
        <f>AND(P1647, K1647)</f>
        <v>0</v>
      </c>
      <c r="R1647" s="3" t="str">
        <f>IF(O1647, I1647, "")</f>
      </c>
      <c r="S1647" s="3" t="str">
        <f>IF(Q1647, I1647, "")</f>
      </c>
      <c r="T1647" s="2" t="s">
        <v>5935</v>
      </c>
    </row>
    <row r="1648">
      <c r="A1648" s="2" t="s">
        <v>7999</v>
      </c>
      <c r="B1648" s="3" t="str">
        <f>C1648 &amp; ": " &amp; D1648</f>
        <v>witness-discriminates: SendIntents.IsIndependentlyConfirmed</v>
      </c>
      <c r="C1648" s="2" t="s">
        <v>7483</v>
      </c>
      <c r="D1648" s="2" t="s">
        <v>4920</v>
      </c>
      <c r="E1648" s="2" t="s">
        <v>4662</v>
      </c>
      <c r="F1648" s="2" t="s">
        <v>4921</v>
      </c>
      <c r="G1648" s="2" t="s">
        <v>7484</v>
      </c>
      <c r="H1648" s="2" t="s">
        <v>2348</v>
      </c>
      <c r="I1648" s="2" t="s">
        <v>5924</v>
      </c>
      <c r="J1648" s="2" t="s">
        <v>7485</v>
      </c>
      <c r="K1648" s="3" t="b">
        <f>J1648 = "blocking"</f>
        <v>0</v>
      </c>
      <c r="L1648" s="2" t="s">
        <v>1428</v>
      </c>
      <c r="M1648" s="2" t="s">
        <v>7673</v>
      </c>
      <c r="N1648" s="4">
        <v>46223.1297337963</v>
      </c>
      <c r="O1648" s="3" t="b">
        <f>L1648 = "PASS"</f>
        <v>1</v>
      </c>
      <c r="P1648" s="3" t="b">
        <f>L1648 = "FAIL"</f>
        <v>0</v>
      </c>
      <c r="Q1648" s="3" t="b">
        <f>AND(P1648, K1648)</f>
        <v>0</v>
      </c>
      <c r="R1648" s="3" t="str">
        <f>IF(O1648, I1648, "")</f>
        <v>suite-witness</v>
      </c>
      <c r="S1648" s="3" t="str">
        <f>IF(Q1648, I1648, "")</f>
      </c>
      <c r="T1648" s="2" t="s">
        <v>5935</v>
      </c>
    </row>
    <row r="1649">
      <c r="A1649" s="2" t="s">
        <v>8000</v>
      </c>
      <c r="B1649" s="3" t="str">
        <f>C1649 &amp; ": " &amp; D1649</f>
        <v>witness-discriminates: AgentDecisionRecords.WasOverridden</v>
      </c>
      <c r="C1649" s="2" t="s">
        <v>7483</v>
      </c>
      <c r="D1649" s="2" t="s">
        <v>4946</v>
      </c>
      <c r="E1649" s="2" t="s">
        <v>4928</v>
      </c>
      <c r="F1649" s="2" t="s">
        <v>4947</v>
      </c>
      <c r="G1649" s="2" t="s">
        <v>7484</v>
      </c>
      <c r="H1649" s="2" t="s">
        <v>2112</v>
      </c>
      <c r="I1649" s="2" t="s">
        <v>5924</v>
      </c>
      <c r="J1649" s="2" t="s">
        <v>7485</v>
      </c>
      <c r="K1649" s="3" t="b">
        <f>J1649 = "blocking"</f>
        <v>0</v>
      </c>
      <c r="L1649" s="2" t="s">
        <v>1428</v>
      </c>
      <c r="M1649" s="2" t="s">
        <v>7538</v>
      </c>
      <c r="N1649" s="4">
        <v>46223.1297337963</v>
      </c>
      <c r="O1649" s="3" t="b">
        <f>L1649 = "PASS"</f>
        <v>1</v>
      </c>
      <c r="P1649" s="3" t="b">
        <f>L1649 = "FAIL"</f>
        <v>0</v>
      </c>
      <c r="Q1649" s="3" t="b">
        <f>AND(P1649, K1649)</f>
        <v>0</v>
      </c>
      <c r="R1649" s="3" t="str">
        <f>IF(O1649, I1649, "")</f>
        <v>suite-witness</v>
      </c>
      <c r="S1649" s="3" t="str">
        <f>IF(Q1649, I1649, "")</f>
      </c>
      <c r="T1649" s="2" t="s">
        <v>5935</v>
      </c>
    </row>
    <row r="1650">
      <c r="A1650" s="2" t="s">
        <v>8001</v>
      </c>
      <c r="B1650" s="3" t="str">
        <f>C1650 &amp; ": " &amp; D1650</f>
        <v>witness-discriminates: AgentDecisionRecords.WasReviewed</v>
      </c>
      <c r="C1650" s="2" t="s">
        <v>7483</v>
      </c>
      <c r="D1650" s="2" t="s">
        <v>4949</v>
      </c>
      <c r="E1650" s="2" t="s">
        <v>4928</v>
      </c>
      <c r="F1650" s="2" t="s">
        <v>4950</v>
      </c>
      <c r="G1650" s="2" t="s">
        <v>7484</v>
      </c>
      <c r="H1650" s="2" t="s">
        <v>2112</v>
      </c>
      <c r="I1650" s="2" t="s">
        <v>5924</v>
      </c>
      <c r="J1650" s="2" t="s">
        <v>7485</v>
      </c>
      <c r="K1650" s="3" t="b">
        <f>J1650 = "blocking"</f>
        <v>0</v>
      </c>
      <c r="L1650" s="2" t="s">
        <v>1431</v>
      </c>
      <c r="M1650" s="2" t="s">
        <v>7550</v>
      </c>
      <c r="N1650" s="4">
        <v>46223.1297337963</v>
      </c>
      <c r="O1650" s="3" t="b">
        <f>L1650 = "PASS"</f>
        <v>0</v>
      </c>
      <c r="P1650" s="3" t="b">
        <f>L1650 = "FAIL"</f>
        <v>0</v>
      </c>
      <c r="Q1650" s="3" t="b">
        <f>AND(P1650, K1650)</f>
        <v>0</v>
      </c>
      <c r="R1650" s="3" t="str">
        <f>IF(O1650, I1650, "")</f>
      </c>
      <c r="S1650" s="3" t="str">
        <f>IF(Q1650, I1650, "")</f>
      </c>
      <c r="T1650" s="2" t="s">
        <v>5935</v>
      </c>
    </row>
    <row r="1651">
      <c r="A1651" s="2" t="s">
        <v>8002</v>
      </c>
      <c r="B1651" s="3" t="str">
        <f>C1651 &amp; ": " &amp; D1651</f>
        <v>witness-discriminates: AgentDecisionRecords.ViolatedAuthorityBoundary</v>
      </c>
      <c r="C1651" s="2" t="s">
        <v>7483</v>
      </c>
      <c r="D1651" s="2" t="s">
        <v>4974</v>
      </c>
      <c r="E1651" s="2" t="s">
        <v>4928</v>
      </c>
      <c r="F1651" s="2" t="s">
        <v>4975</v>
      </c>
      <c r="G1651" s="2" t="s">
        <v>7484</v>
      </c>
      <c r="H1651" s="2" t="s">
        <v>2144</v>
      </c>
      <c r="I1651" s="2" t="s">
        <v>5924</v>
      </c>
      <c r="J1651" s="2" t="s">
        <v>7485</v>
      </c>
      <c r="K1651" s="3" t="b">
        <f>J1651 = "blocking"</f>
        <v>0</v>
      </c>
      <c r="L1651" s="2" t="s">
        <v>1431</v>
      </c>
      <c r="M1651" s="2" t="s">
        <v>7540</v>
      </c>
      <c r="N1651" s="4">
        <v>46223.1297337963</v>
      </c>
      <c r="O1651" s="3" t="b">
        <f>L1651 = "PASS"</f>
        <v>0</v>
      </c>
      <c r="P1651" s="3" t="b">
        <f>L1651 = "FAIL"</f>
        <v>0</v>
      </c>
      <c r="Q1651" s="3" t="b">
        <f>AND(P1651, K1651)</f>
        <v>0</v>
      </c>
      <c r="R1651" s="3" t="str">
        <f>IF(O1651, I1651, "")</f>
      </c>
      <c r="S1651" s="3" t="str">
        <f>IF(Q1651, I1651, "")</f>
      </c>
      <c r="T1651" s="2" t="s">
        <v>5935</v>
      </c>
    </row>
    <row r="1652">
      <c r="A1652" s="2" t="s">
        <v>8003</v>
      </c>
      <c r="B1652" s="3" t="str">
        <f>C1652 &amp; ": " &amp; D1652</f>
        <v>witness-discriminates: AgentDecisionRecords.HasHumanConfirmation</v>
      </c>
      <c r="C1652" s="2" t="s">
        <v>7483</v>
      </c>
      <c r="D1652" s="2" t="s">
        <v>4980</v>
      </c>
      <c r="E1652" s="2" t="s">
        <v>4928</v>
      </c>
      <c r="F1652" s="2" t="s">
        <v>4981</v>
      </c>
      <c r="G1652" s="2" t="s">
        <v>7484</v>
      </c>
      <c r="H1652" s="2" t="s">
        <v>2148</v>
      </c>
      <c r="I1652" s="2" t="s">
        <v>5924</v>
      </c>
      <c r="J1652" s="2" t="s">
        <v>7485</v>
      </c>
      <c r="K1652" s="3" t="b">
        <f>J1652 = "blocking"</f>
        <v>0</v>
      </c>
      <c r="L1652" s="2" t="s">
        <v>1431</v>
      </c>
      <c r="M1652" s="2" t="s">
        <v>7550</v>
      </c>
      <c r="N1652" s="4">
        <v>46223.1297337963</v>
      </c>
      <c r="O1652" s="3" t="b">
        <f>L1652 = "PASS"</f>
        <v>0</v>
      </c>
      <c r="P1652" s="3" t="b">
        <f>L1652 = "FAIL"</f>
        <v>0</v>
      </c>
      <c r="Q1652" s="3" t="b">
        <f>AND(P1652, K1652)</f>
        <v>0</v>
      </c>
      <c r="R1652" s="3" t="str">
        <f>IF(O1652, I1652, "")</f>
      </c>
      <c r="S1652" s="3" t="str">
        <f>IF(Q1652, I1652, "")</f>
      </c>
      <c r="T1652" s="2" t="s">
        <v>5935</v>
      </c>
    </row>
    <row r="1653">
      <c r="A1653" s="2" t="s">
        <v>8004</v>
      </c>
      <c r="B1653" s="3" t="str">
        <f>C1653 &amp; ": " &amp; D1653</f>
        <v>witness-discriminates: AgentDecisionRecords.NeedsHumanConfirmation</v>
      </c>
      <c r="C1653" s="2" t="s">
        <v>7483</v>
      </c>
      <c r="D1653" s="2" t="s">
        <v>4983</v>
      </c>
      <c r="E1653" s="2" t="s">
        <v>4928</v>
      </c>
      <c r="F1653" s="2" t="s">
        <v>4984</v>
      </c>
      <c r="G1653" s="2" t="s">
        <v>7484</v>
      </c>
      <c r="H1653" s="2" t="s">
        <v>2148</v>
      </c>
      <c r="I1653" s="2" t="s">
        <v>5924</v>
      </c>
      <c r="J1653" s="2" t="s">
        <v>7485</v>
      </c>
      <c r="K1653" s="3" t="b">
        <f>J1653 = "blocking"</f>
        <v>0</v>
      </c>
      <c r="L1653" s="2" t="s">
        <v>1431</v>
      </c>
      <c r="M1653" s="2" t="s">
        <v>7550</v>
      </c>
      <c r="N1653" s="4">
        <v>46223.1297337963</v>
      </c>
      <c r="O1653" s="3" t="b">
        <f>L1653 = "PASS"</f>
        <v>0</v>
      </c>
      <c r="P1653" s="3" t="b">
        <f>L1653 = "FAIL"</f>
        <v>0</v>
      </c>
      <c r="Q1653" s="3" t="b">
        <f>AND(P1653, K1653)</f>
        <v>0</v>
      </c>
      <c r="R1653" s="3" t="str">
        <f>IF(O1653, I1653, "")</f>
      </c>
      <c r="S1653" s="3" t="str">
        <f>IF(Q1653, I1653, "")</f>
      </c>
      <c r="T1653" s="2" t="s">
        <v>5935</v>
      </c>
    </row>
    <row r="1654">
      <c r="A1654" s="2" t="s">
        <v>8005</v>
      </c>
      <c r="B1654" s="3" t="str">
        <f>C1654 &amp; ": " &amp; D1654</f>
        <v>witness-discriminates: AgentDecisionRecords.IsUnconfirmedNonHumanDecision</v>
      </c>
      <c r="C1654" s="2" t="s">
        <v>7483</v>
      </c>
      <c r="D1654" s="2" t="s">
        <v>4986</v>
      </c>
      <c r="E1654" s="2" t="s">
        <v>4928</v>
      </c>
      <c r="F1654" s="2" t="s">
        <v>4987</v>
      </c>
      <c r="G1654" s="2" t="s">
        <v>7484</v>
      </c>
      <c r="H1654" s="2" t="s">
        <v>2148</v>
      </c>
      <c r="I1654" s="2" t="s">
        <v>5924</v>
      </c>
      <c r="J1654" s="2" t="s">
        <v>7485</v>
      </c>
      <c r="K1654" s="3" t="b">
        <f>J1654 = "blocking"</f>
        <v>0</v>
      </c>
      <c r="L1654" s="2" t="s">
        <v>1431</v>
      </c>
      <c r="M1654" s="2" t="s">
        <v>7540</v>
      </c>
      <c r="N1654" s="4">
        <v>46223.1297337963</v>
      </c>
      <c r="O1654" s="3" t="b">
        <f>L1654 = "PASS"</f>
        <v>0</v>
      </c>
      <c r="P1654" s="3" t="b">
        <f>L1654 = "FAIL"</f>
        <v>0</v>
      </c>
      <c r="Q1654" s="3" t="b">
        <f>AND(P1654, K1654)</f>
        <v>0</v>
      </c>
      <c r="R1654" s="3" t="str">
        <f>IF(O1654, I1654, "")</f>
      </c>
      <c r="S1654" s="3" t="str">
        <f>IF(Q1654, I1654, "")</f>
      </c>
      <c r="T1654" s="2" t="s">
        <v>5935</v>
      </c>
    </row>
    <row r="1655">
      <c r="A1655" s="2" t="s">
        <v>8006</v>
      </c>
      <c r="B1655" s="3" t="str">
        <f>C1655 &amp; ": " &amp; D1655</f>
        <v>witness-discriminates: AgentDecisionRecords.IsDraftKind</v>
      </c>
      <c r="C1655" s="2" t="s">
        <v>7483</v>
      </c>
      <c r="D1655" s="2" t="s">
        <v>4998</v>
      </c>
      <c r="E1655" s="2" t="s">
        <v>4928</v>
      </c>
      <c r="F1655" s="2" t="s">
        <v>4999</v>
      </c>
      <c r="G1655" s="2" t="s">
        <v>7484</v>
      </c>
      <c r="H1655" s="2" t="s">
        <v>2168</v>
      </c>
      <c r="I1655" s="2" t="s">
        <v>5924</v>
      </c>
      <c r="J1655" s="2" t="s">
        <v>7485</v>
      </c>
      <c r="K1655" s="3" t="b">
        <f>J1655 = "blocking"</f>
        <v>0</v>
      </c>
      <c r="L1655" s="2" t="s">
        <v>1431</v>
      </c>
      <c r="M1655" s="2" t="s">
        <v>7540</v>
      </c>
      <c r="N1655" s="4">
        <v>46223.1297337963</v>
      </c>
      <c r="O1655" s="3" t="b">
        <f>L1655 = "PASS"</f>
        <v>0</v>
      </c>
      <c r="P1655" s="3" t="b">
        <f>L1655 = "FAIL"</f>
        <v>0</v>
      </c>
      <c r="Q1655" s="3" t="b">
        <f>AND(P1655, K1655)</f>
        <v>0</v>
      </c>
      <c r="R1655" s="3" t="str">
        <f>IF(O1655, I1655, "")</f>
      </c>
      <c r="S1655" s="3" t="str">
        <f>IF(Q1655, I1655, "")</f>
      </c>
      <c r="T1655" s="2" t="s">
        <v>5935</v>
      </c>
    </row>
    <row r="1656">
      <c r="A1656" s="2" t="s">
        <v>8007</v>
      </c>
      <c r="B1656" s="3" t="str">
        <f>C1656 &amp; ": " &amp; D1656</f>
        <v>witness-discriminates: AgentDecisionRecords.IsErrorCorrection</v>
      </c>
      <c r="C1656" s="2" t="s">
        <v>7483</v>
      </c>
      <c r="D1656" s="2" t="s">
        <v>5009</v>
      </c>
      <c r="E1656" s="2" t="s">
        <v>4928</v>
      </c>
      <c r="F1656" s="2" t="s">
        <v>5010</v>
      </c>
      <c r="G1656" s="2" t="s">
        <v>7484</v>
      </c>
      <c r="H1656" s="2" t="s">
        <v>2324</v>
      </c>
      <c r="I1656" s="2" t="s">
        <v>5924</v>
      </c>
      <c r="J1656" s="2" t="s">
        <v>7485</v>
      </c>
      <c r="K1656" s="3" t="b">
        <f>J1656 = "blocking"</f>
        <v>0</v>
      </c>
      <c r="L1656" s="2" t="s">
        <v>1431</v>
      </c>
      <c r="M1656" s="2" t="s">
        <v>7553</v>
      </c>
      <c r="N1656" s="4">
        <v>46223.1297337963</v>
      </c>
      <c r="O1656" s="3" t="b">
        <f>L1656 = "PASS"</f>
        <v>0</v>
      </c>
      <c r="P1656" s="3" t="b">
        <f>L1656 = "FAIL"</f>
        <v>0</v>
      </c>
      <c r="Q1656" s="3" t="b">
        <f>AND(P1656, K1656)</f>
        <v>0</v>
      </c>
      <c r="R1656" s="3" t="str">
        <f>IF(O1656, I1656, "")</f>
      </c>
      <c r="S1656" s="3" t="str">
        <f>IF(Q1656, I1656, "")</f>
      </c>
      <c r="T1656" s="2" t="s">
        <v>5935</v>
      </c>
    </row>
    <row r="1657">
      <c r="A1657" s="2" t="s">
        <v>8008</v>
      </c>
      <c r="B1657" s="3" t="str">
        <f>C1657 &amp; ": " &amp; D1657</f>
        <v>witness-discriminates: AgentDecisionRecords.IsReservedJudgmentOverride</v>
      </c>
      <c r="C1657" s="2" t="s">
        <v>7483</v>
      </c>
      <c r="D1657" s="2" t="s">
        <v>5012</v>
      </c>
      <c r="E1657" s="2" t="s">
        <v>4928</v>
      </c>
      <c r="F1657" s="2" t="s">
        <v>5013</v>
      </c>
      <c r="G1657" s="2" t="s">
        <v>7484</v>
      </c>
      <c r="H1657" s="2" t="s">
        <v>2324</v>
      </c>
      <c r="I1657" s="2" t="s">
        <v>5924</v>
      </c>
      <c r="J1657" s="2" t="s">
        <v>7485</v>
      </c>
      <c r="K1657" s="3" t="b">
        <f>J1657 = "blocking"</f>
        <v>0</v>
      </c>
      <c r="L1657" s="2" t="s">
        <v>1431</v>
      </c>
      <c r="M1657" s="2" t="s">
        <v>7553</v>
      </c>
      <c r="N1657" s="4">
        <v>46223.1297337963</v>
      </c>
      <c r="O1657" s="3" t="b">
        <f>L1657 = "PASS"</f>
        <v>0</v>
      </c>
      <c r="P1657" s="3" t="b">
        <f>L1657 = "FAIL"</f>
        <v>0</v>
      </c>
      <c r="Q1657" s="3" t="b">
        <f>AND(P1657, K1657)</f>
        <v>0</v>
      </c>
      <c r="R1657" s="3" t="str">
        <f>IF(O1657, I1657, "")</f>
      </c>
      <c r="S1657" s="3" t="str">
        <f>IF(Q1657, I1657, "")</f>
      </c>
      <c r="T1657" s="2" t="s">
        <v>5935</v>
      </c>
    </row>
    <row r="1658">
      <c r="A1658" s="2" t="s">
        <v>8009</v>
      </c>
      <c r="B1658" s="3" t="str">
        <f>C1658 &amp; ": " &amp; D1658</f>
        <v>witness-discriminates: AgentDecisionRecords.OverrideReasonIsRecorded</v>
      </c>
      <c r="C1658" s="2" t="s">
        <v>7483</v>
      </c>
      <c r="D1658" s="2" t="s">
        <v>5015</v>
      </c>
      <c r="E1658" s="2" t="s">
        <v>4928</v>
      </c>
      <c r="F1658" s="2" t="s">
        <v>5016</v>
      </c>
      <c r="G1658" s="2" t="s">
        <v>7484</v>
      </c>
      <c r="H1658" s="2" t="s">
        <v>2324</v>
      </c>
      <c r="I1658" s="2" t="s">
        <v>5924</v>
      </c>
      <c r="J1658" s="2" t="s">
        <v>7485</v>
      </c>
      <c r="K1658" s="3" t="b">
        <f>J1658 = "blocking"</f>
        <v>0</v>
      </c>
      <c r="L1658" s="2" t="s">
        <v>1431</v>
      </c>
      <c r="M1658" s="2" t="s">
        <v>7540</v>
      </c>
      <c r="N1658" s="4">
        <v>46223.1297337963</v>
      </c>
      <c r="O1658" s="3" t="b">
        <f>L1658 = "PASS"</f>
        <v>0</v>
      </c>
      <c r="P1658" s="3" t="b">
        <f>L1658 = "FAIL"</f>
        <v>0</v>
      </c>
      <c r="Q1658" s="3" t="b">
        <f>AND(P1658, K1658)</f>
        <v>0</v>
      </c>
      <c r="R1658" s="3" t="str">
        <f>IF(O1658, I1658, "")</f>
      </c>
      <c r="S1658" s="3" t="str">
        <f>IF(Q1658, I1658, "")</f>
      </c>
      <c r="T1658" s="2" t="s">
        <v>5935</v>
      </c>
    </row>
    <row r="1659">
      <c r="A1659" s="2" t="s">
        <v>8010</v>
      </c>
      <c r="B1659" s="3" t="str">
        <f>C1659 &amp; ": " &amp; D1659</f>
        <v>witness-discriminates: AgentDecisionRecords.IsUnexplainedOverride</v>
      </c>
      <c r="C1659" s="2" t="s">
        <v>7483</v>
      </c>
      <c r="D1659" s="2" t="s">
        <v>5018</v>
      </c>
      <c r="E1659" s="2" t="s">
        <v>4928</v>
      </c>
      <c r="F1659" s="2" t="s">
        <v>5019</v>
      </c>
      <c r="G1659" s="2" t="s">
        <v>7484</v>
      </c>
      <c r="H1659" s="2" t="s">
        <v>2324</v>
      </c>
      <c r="I1659" s="2" t="s">
        <v>5924</v>
      </c>
      <c r="J1659" s="2" t="s">
        <v>7485</v>
      </c>
      <c r="K1659" s="3" t="b">
        <f>J1659 = "blocking"</f>
        <v>0</v>
      </c>
      <c r="L1659" s="2" t="s">
        <v>1428</v>
      </c>
      <c r="M1659" s="2" t="s">
        <v>7538</v>
      </c>
      <c r="N1659" s="4">
        <v>46223.1297337963</v>
      </c>
      <c r="O1659" s="3" t="b">
        <f>L1659 = "PASS"</f>
        <v>1</v>
      </c>
      <c r="P1659" s="3" t="b">
        <f>L1659 = "FAIL"</f>
        <v>0</v>
      </c>
      <c r="Q1659" s="3" t="b">
        <f>AND(P1659, K1659)</f>
        <v>0</v>
      </c>
      <c r="R1659" s="3" t="str">
        <f>IF(O1659, I1659, "")</f>
        <v>suite-witness</v>
      </c>
      <c r="S1659" s="3" t="str">
        <f>IF(Q1659, I1659, "")</f>
      </c>
      <c r="T1659" s="2" t="s">
        <v>5935</v>
      </c>
    </row>
    <row r="1660">
      <c r="A1660" s="2" t="s">
        <v>8011</v>
      </c>
      <c r="B1660" s="3" t="str">
        <f>C1660 &amp; ": " &amp; D1660</f>
        <v>witness-discriminates: DeliveredCommunications.HasAuthorization</v>
      </c>
      <c r="C1660" s="2" t="s">
        <v>7483</v>
      </c>
      <c r="D1660" s="2" t="s">
        <v>5049</v>
      </c>
      <c r="E1660" s="2" t="s">
        <v>5029</v>
      </c>
      <c r="F1660" s="2" t="s">
        <v>5050</v>
      </c>
      <c r="G1660" s="2" t="s">
        <v>7484</v>
      </c>
      <c r="H1660" s="2"/>
      <c r="I1660" s="2" t="s">
        <v>5924</v>
      </c>
      <c r="J1660" s="2" t="s">
        <v>7485</v>
      </c>
      <c r="K1660" s="3" t="b">
        <f>J1660 = "blocking"</f>
        <v>0</v>
      </c>
      <c r="L1660" s="2" t="s">
        <v>1431</v>
      </c>
      <c r="M1660" s="2" t="s">
        <v>7863</v>
      </c>
      <c r="N1660" s="4">
        <v>46223.1297337963</v>
      </c>
      <c r="O1660" s="3" t="b">
        <f>L1660 = "PASS"</f>
        <v>0</v>
      </c>
      <c r="P1660" s="3" t="b">
        <f>L1660 = "FAIL"</f>
        <v>0</v>
      </c>
      <c r="Q1660" s="3" t="b">
        <f>AND(P1660, K1660)</f>
        <v>0</v>
      </c>
      <c r="R1660" s="3" t="str">
        <f>IF(O1660, I1660, "")</f>
      </c>
      <c r="S1660" s="3" t="str">
        <f>IF(Q1660, I1660, "")</f>
      </c>
      <c r="T1660" s="2" t="s">
        <v>5935</v>
      </c>
    </row>
    <row r="1661">
      <c r="A1661" s="2" t="s">
        <v>8012</v>
      </c>
      <c r="B1661" s="3" t="str">
        <f>C1661 &amp; ": " &amp; D1661</f>
        <v>witness-discriminates: DeliveredCommunications.ContentMatchesApproval</v>
      </c>
      <c r="C1661" s="2" t="s">
        <v>7483</v>
      </c>
      <c r="D1661" s="2" t="s">
        <v>5052</v>
      </c>
      <c r="E1661" s="2" t="s">
        <v>5029</v>
      </c>
      <c r="F1661" s="2" t="s">
        <v>5053</v>
      </c>
      <c r="G1661" s="2" t="s">
        <v>7484</v>
      </c>
      <c r="H1661" s="2"/>
      <c r="I1661" s="2" t="s">
        <v>5924</v>
      </c>
      <c r="J1661" s="2" t="s">
        <v>7485</v>
      </c>
      <c r="K1661" s="3" t="b">
        <f>J1661 = "blocking"</f>
        <v>0</v>
      </c>
      <c r="L1661" s="2" t="s">
        <v>1431</v>
      </c>
      <c r="M1661" s="2" t="s">
        <v>8013</v>
      </c>
      <c r="N1661" s="4">
        <v>46223.1297337963</v>
      </c>
      <c r="O1661" s="3" t="b">
        <f>L1661 = "PASS"</f>
        <v>0</v>
      </c>
      <c r="P1661" s="3" t="b">
        <f>L1661 = "FAIL"</f>
        <v>0</v>
      </c>
      <c r="Q1661" s="3" t="b">
        <f>AND(P1661, K1661)</f>
        <v>0</v>
      </c>
      <c r="R1661" s="3" t="str">
        <f>IF(O1661, I1661, "")</f>
      </c>
      <c r="S1661" s="3" t="str">
        <f>IF(Q1661, I1661, "")</f>
      </c>
      <c r="T1661" s="2" t="s">
        <v>5935</v>
      </c>
    </row>
    <row r="1662">
      <c r="A1662" s="2" t="s">
        <v>8014</v>
      </c>
      <c r="B1662" s="3" t="str">
        <f>C1662 &amp; ": " &amp; D1662</f>
        <v>witness-discriminates: DeliveredCommunications.WasApprovedBeforeSending</v>
      </c>
      <c r="C1662" s="2" t="s">
        <v>7483</v>
      </c>
      <c r="D1662" s="2" t="s">
        <v>5058</v>
      </c>
      <c r="E1662" s="2" t="s">
        <v>5029</v>
      </c>
      <c r="F1662" s="2" t="s">
        <v>5059</v>
      </c>
      <c r="G1662" s="2" t="s">
        <v>7484</v>
      </c>
      <c r="H1662" s="2"/>
      <c r="I1662" s="2" t="s">
        <v>5924</v>
      </c>
      <c r="J1662" s="2" t="s">
        <v>7485</v>
      </c>
      <c r="K1662" s="3" t="b">
        <f>J1662 = "blocking"</f>
        <v>0</v>
      </c>
      <c r="L1662" s="2" t="s">
        <v>1431</v>
      </c>
      <c r="M1662" s="2" t="s">
        <v>8013</v>
      </c>
      <c r="N1662" s="4">
        <v>46223.1297337963</v>
      </c>
      <c r="O1662" s="3" t="b">
        <f>L1662 = "PASS"</f>
        <v>0</v>
      </c>
      <c r="P1662" s="3" t="b">
        <f>L1662 = "FAIL"</f>
        <v>0</v>
      </c>
      <c r="Q1662" s="3" t="b">
        <f>AND(P1662, K1662)</f>
        <v>0</v>
      </c>
      <c r="R1662" s="3" t="str">
        <f>IF(O1662, I1662, "")</f>
      </c>
      <c r="S1662" s="3" t="str">
        <f>IF(Q1662, I1662, "")</f>
      </c>
      <c r="T1662" s="2" t="s">
        <v>5935</v>
      </c>
    </row>
    <row r="1663">
      <c r="A1663" s="2" t="s">
        <v>8015</v>
      </c>
      <c r="B1663" s="3" t="str">
        <f>C1663 &amp; ": " &amp; D1663</f>
        <v>witness-discriminates: DeliveredCommunications.IsDefensible</v>
      </c>
      <c r="C1663" s="2" t="s">
        <v>7483</v>
      </c>
      <c r="D1663" s="2" t="s">
        <v>5061</v>
      </c>
      <c r="E1663" s="2" t="s">
        <v>5029</v>
      </c>
      <c r="F1663" s="2" t="s">
        <v>5062</v>
      </c>
      <c r="G1663" s="2" t="s">
        <v>7484</v>
      </c>
      <c r="H1663" s="2"/>
      <c r="I1663" s="2" t="s">
        <v>5924</v>
      </c>
      <c r="J1663" s="2" t="s">
        <v>7485</v>
      </c>
      <c r="K1663" s="3" t="b">
        <f>J1663 = "blocking"</f>
        <v>0</v>
      </c>
      <c r="L1663" s="2" t="s">
        <v>1431</v>
      </c>
      <c r="M1663" s="2" t="s">
        <v>7863</v>
      </c>
      <c r="N1663" s="4">
        <v>46223.1297337963</v>
      </c>
      <c r="O1663" s="3" t="b">
        <f>L1663 = "PASS"</f>
        <v>0</v>
      </c>
      <c r="P1663" s="3" t="b">
        <f>L1663 = "FAIL"</f>
        <v>0</v>
      </c>
      <c r="Q1663" s="3" t="b">
        <f>AND(P1663, K1663)</f>
        <v>0</v>
      </c>
      <c r="R1663" s="3" t="str">
        <f>IF(O1663, I1663, "")</f>
      </c>
      <c r="S1663" s="3" t="str">
        <f>IF(Q1663, I1663, "")</f>
      </c>
      <c r="T1663" s="2" t="s">
        <v>5935</v>
      </c>
    </row>
    <row r="1664">
      <c r="A1664" s="2" t="s">
        <v>8016</v>
      </c>
      <c r="B1664" s="3" t="str">
        <f>C1664 &amp; ": " &amp; D1664</f>
        <v>witness-discriminates: AuthorityBoundaries.IsCurrentlyBinding</v>
      </c>
      <c r="C1664" s="2" t="s">
        <v>7483</v>
      </c>
      <c r="D1664" s="2" t="s">
        <v>5084</v>
      </c>
      <c r="E1664" s="2" t="s">
        <v>5065</v>
      </c>
      <c r="F1664" s="2" t="s">
        <v>5085</v>
      </c>
      <c r="G1664" s="2" t="s">
        <v>7484</v>
      </c>
      <c r="H1664" s="2" t="s">
        <v>2144</v>
      </c>
      <c r="I1664" s="2" t="s">
        <v>5924</v>
      </c>
      <c r="J1664" s="2" t="s">
        <v>7485</v>
      </c>
      <c r="K1664" s="3" t="b">
        <f>J1664 = "blocking"</f>
        <v>0</v>
      </c>
      <c r="L1664" s="2" t="s">
        <v>1431</v>
      </c>
      <c r="M1664" s="2" t="s">
        <v>7550</v>
      </c>
      <c r="N1664" s="4">
        <v>46223.1297337963</v>
      </c>
      <c r="O1664" s="3" t="b">
        <f>L1664 = "PASS"</f>
        <v>0</v>
      </c>
      <c r="P1664" s="3" t="b">
        <f>L1664 = "FAIL"</f>
        <v>0</v>
      </c>
      <c r="Q1664" s="3" t="b">
        <f>AND(P1664, K1664)</f>
        <v>0</v>
      </c>
      <c r="R1664" s="3" t="str">
        <f>IF(O1664, I1664, "")</f>
      </c>
      <c r="S1664" s="3" t="str">
        <f>IF(Q1664, I1664, "")</f>
      </c>
      <c r="T1664" s="2" t="s">
        <v>5935</v>
      </c>
    </row>
    <row r="1665">
      <c r="A1665" s="2" t="s">
        <v>8017</v>
      </c>
      <c r="B1665" s="3" t="str">
        <f>C1665 &amp; ": " &amp; D1665</f>
        <v>witness-discriminates: AuthorityBoundaries.RatifyingFragmentIsValid</v>
      </c>
      <c r="C1665" s="2" t="s">
        <v>7483</v>
      </c>
      <c r="D1665" s="2" t="s">
        <v>5087</v>
      </c>
      <c r="E1665" s="2" t="s">
        <v>5065</v>
      </c>
      <c r="F1665" s="2" t="s">
        <v>5088</v>
      </c>
      <c r="G1665" s="2" t="s">
        <v>7484</v>
      </c>
      <c r="H1665" s="2" t="s">
        <v>2144</v>
      </c>
      <c r="I1665" s="2" t="s">
        <v>5924</v>
      </c>
      <c r="J1665" s="2" t="s">
        <v>7485</v>
      </c>
      <c r="K1665" s="3" t="b">
        <f>J1665 = "blocking"</f>
        <v>0</v>
      </c>
      <c r="L1665" s="2" t="s">
        <v>1431</v>
      </c>
      <c r="M1665" s="2" t="s">
        <v>8018</v>
      </c>
      <c r="N1665" s="4">
        <v>46223.1297337963</v>
      </c>
      <c r="O1665" s="3" t="b">
        <f>L1665 = "PASS"</f>
        <v>0</v>
      </c>
      <c r="P1665" s="3" t="b">
        <f>L1665 = "FAIL"</f>
        <v>0</v>
      </c>
      <c r="Q1665" s="3" t="b">
        <f>AND(P1665, K1665)</f>
        <v>0</v>
      </c>
      <c r="R1665" s="3" t="str">
        <f>IF(O1665, I1665, "")</f>
      </c>
      <c r="S1665" s="3" t="str">
        <f>IF(Q1665, I1665, "")</f>
      </c>
      <c r="T1665" s="2" t="s">
        <v>5935</v>
      </c>
    </row>
    <row r="1666">
      <c r="A1666" s="2" t="s">
        <v>8019</v>
      </c>
      <c r="B1666" s="3" t="str">
        <f>C1666 &amp; ": " &amp; D1666</f>
        <v>witness-discriminates: AuthorityBoundaries.IsUntested</v>
      </c>
      <c r="C1666" s="2" t="s">
        <v>7483</v>
      </c>
      <c r="D1666" s="2" t="s">
        <v>5098</v>
      </c>
      <c r="E1666" s="2" t="s">
        <v>5065</v>
      </c>
      <c r="F1666" s="2" t="s">
        <v>5099</v>
      </c>
      <c r="G1666" s="2" t="s">
        <v>7484</v>
      </c>
      <c r="H1666" s="2" t="s">
        <v>2164</v>
      </c>
      <c r="I1666" s="2" t="s">
        <v>5924</v>
      </c>
      <c r="J1666" s="2" t="s">
        <v>7485</v>
      </c>
      <c r="K1666" s="3" t="b">
        <f>J1666 = "blocking"</f>
        <v>0</v>
      </c>
      <c r="L1666" s="2" t="s">
        <v>1431</v>
      </c>
      <c r="M1666" s="2" t="s">
        <v>7550</v>
      </c>
      <c r="N1666" s="4">
        <v>46223.1297337963</v>
      </c>
      <c r="O1666" s="3" t="b">
        <f>L1666 = "PASS"</f>
        <v>0</v>
      </c>
      <c r="P1666" s="3" t="b">
        <f>L1666 = "FAIL"</f>
        <v>0</v>
      </c>
      <c r="Q1666" s="3" t="b">
        <f>AND(P1666, K1666)</f>
        <v>0</v>
      </c>
      <c r="R1666" s="3" t="str">
        <f>IF(O1666, I1666, "")</f>
      </c>
      <c r="S1666" s="3" t="str">
        <f>IF(Q1666, I1666, "")</f>
      </c>
      <c r="T1666" s="2" t="s">
        <v>5935</v>
      </c>
    </row>
    <row r="1667">
      <c r="A1667" s="2" t="s">
        <v>8020</v>
      </c>
      <c r="B1667" s="3" t="str">
        <f>C1667 &amp; ": " &amp; D1667</f>
        <v>witness-discriminates: AuthorityBoundaries.HasRatifyingFragment</v>
      </c>
      <c r="C1667" s="2" t="s">
        <v>7483</v>
      </c>
      <c r="D1667" s="2" t="s">
        <v>5101</v>
      </c>
      <c r="E1667" s="2" t="s">
        <v>5065</v>
      </c>
      <c r="F1667" s="2" t="s">
        <v>5102</v>
      </c>
      <c r="G1667" s="2" t="s">
        <v>7484</v>
      </c>
      <c r="H1667" s="2"/>
      <c r="I1667" s="2" t="s">
        <v>5924</v>
      </c>
      <c r="J1667" s="2" t="s">
        <v>7485</v>
      </c>
      <c r="K1667" s="3" t="b">
        <f>J1667 = "blocking"</f>
        <v>0</v>
      </c>
      <c r="L1667" s="2" t="s">
        <v>1428</v>
      </c>
      <c r="M1667" s="2" t="s">
        <v>7542</v>
      </c>
      <c r="N1667" s="4">
        <v>46223.1297337963</v>
      </c>
      <c r="O1667" s="3" t="b">
        <f>L1667 = "PASS"</f>
        <v>1</v>
      </c>
      <c r="P1667" s="3" t="b">
        <f>L1667 = "FAIL"</f>
        <v>0</v>
      </c>
      <c r="Q1667" s="3" t="b">
        <f>AND(P1667, K1667)</f>
        <v>0</v>
      </c>
      <c r="R1667" s="3" t="str">
        <f>IF(O1667, I1667, "")</f>
        <v>suite-witness</v>
      </c>
      <c r="S1667" s="3" t="str">
        <f>IF(Q1667, I1667, "")</f>
      </c>
      <c r="T1667" s="2" t="s">
        <v>5935</v>
      </c>
    </row>
    <row r="1668">
      <c r="A1668" s="2" t="s">
        <v>8021</v>
      </c>
      <c r="B1668" s="3" t="str">
        <f>C1668 &amp; ": " &amp; D1668</f>
        <v>witness-discriminates: AuthorityBoundaries.IsUnwarranted</v>
      </c>
      <c r="C1668" s="2" t="s">
        <v>7483</v>
      </c>
      <c r="D1668" s="2" t="s">
        <v>5104</v>
      </c>
      <c r="E1668" s="2" t="s">
        <v>5065</v>
      </c>
      <c r="F1668" s="2" t="s">
        <v>5105</v>
      </c>
      <c r="G1668" s="2" t="s">
        <v>7484</v>
      </c>
      <c r="H1668" s="2" t="s">
        <v>2180</v>
      </c>
      <c r="I1668" s="2" t="s">
        <v>5924</v>
      </c>
      <c r="J1668" s="2" t="s">
        <v>7485</v>
      </c>
      <c r="K1668" s="3" t="b">
        <f>J1668 = "blocking"</f>
        <v>0</v>
      </c>
      <c r="L1668" s="2" t="s">
        <v>1428</v>
      </c>
      <c r="M1668" s="2" t="s">
        <v>7538</v>
      </c>
      <c r="N1668" s="4">
        <v>46223.1297337963</v>
      </c>
      <c r="O1668" s="3" t="b">
        <f>L1668 = "PASS"</f>
        <v>1</v>
      </c>
      <c r="P1668" s="3" t="b">
        <f>L1668 = "FAIL"</f>
        <v>0</v>
      </c>
      <c r="Q1668" s="3" t="b">
        <f>AND(P1668, K1668)</f>
        <v>0</v>
      </c>
      <c r="R1668" s="3" t="str">
        <f>IF(O1668, I1668, "")</f>
        <v>suite-witness</v>
      </c>
      <c r="S1668" s="3" t="str">
        <f>IF(Q1668, I1668, "")</f>
      </c>
      <c r="T1668" s="2" t="s">
        <v>5935</v>
      </c>
    </row>
    <row r="1669">
      <c r="A1669" s="2" t="s">
        <v>8022</v>
      </c>
      <c r="B1669" s="3" t="str">
        <f>C1669 &amp; ": " &amp; D1669</f>
        <v>witness-discriminates: AuthorityBoundaries.RatifyingFragmentIsOverdue</v>
      </c>
      <c r="C1669" s="2" t="s">
        <v>7483</v>
      </c>
      <c r="D1669" s="2" t="s">
        <v>5107</v>
      </c>
      <c r="E1669" s="2" t="s">
        <v>5065</v>
      </c>
      <c r="F1669" s="2" t="s">
        <v>5108</v>
      </c>
      <c r="G1669" s="2" t="s">
        <v>7484</v>
      </c>
      <c r="H1669" s="2" t="s">
        <v>2180</v>
      </c>
      <c r="I1669" s="2" t="s">
        <v>5924</v>
      </c>
      <c r="J1669" s="2" t="s">
        <v>7485</v>
      </c>
      <c r="K1669" s="3" t="b">
        <f>J1669 = "blocking"</f>
        <v>0</v>
      </c>
      <c r="L1669" s="2" t="s">
        <v>1431</v>
      </c>
      <c r="M1669" s="2" t="s">
        <v>8018</v>
      </c>
      <c r="N1669" s="4">
        <v>46223.1297337963</v>
      </c>
      <c r="O1669" s="3" t="b">
        <f>L1669 = "PASS"</f>
        <v>0</v>
      </c>
      <c r="P1669" s="3" t="b">
        <f>L1669 = "FAIL"</f>
        <v>0</v>
      </c>
      <c r="Q1669" s="3" t="b">
        <f>AND(P1669, K1669)</f>
        <v>0</v>
      </c>
      <c r="R1669" s="3" t="str">
        <f>IF(O1669, I1669, "")</f>
      </c>
      <c r="S1669" s="3" t="str">
        <f>IF(Q1669, I1669, "")</f>
      </c>
      <c r="T1669" s="2" t="s">
        <v>5935</v>
      </c>
    </row>
    <row r="1670">
      <c r="A1670" s="2" t="s">
        <v>8023</v>
      </c>
      <c r="B1670" s="3" t="str">
        <f>C1670 &amp; ": " &amp; D1670</f>
        <v>witness-discriminates: AuthorityBoundaries.RatifyingFragmentIsSingleWitness</v>
      </c>
      <c r="C1670" s="2" t="s">
        <v>7483</v>
      </c>
      <c r="D1670" s="2" t="s">
        <v>5110</v>
      </c>
      <c r="E1670" s="2" t="s">
        <v>5065</v>
      </c>
      <c r="F1670" s="2" t="s">
        <v>5111</v>
      </c>
      <c r="G1670" s="2" t="s">
        <v>7484</v>
      </c>
      <c r="H1670" s="2" t="s">
        <v>2180</v>
      </c>
      <c r="I1670" s="2" t="s">
        <v>5924</v>
      </c>
      <c r="J1670" s="2" t="s">
        <v>7485</v>
      </c>
      <c r="K1670" s="3" t="b">
        <f>J1670 = "blocking"</f>
        <v>0</v>
      </c>
      <c r="L1670" s="2" t="s">
        <v>1431</v>
      </c>
      <c r="M1670" s="2" t="s">
        <v>8018</v>
      </c>
      <c r="N1670" s="4">
        <v>46223.1297337963</v>
      </c>
      <c r="O1670" s="3" t="b">
        <f>L1670 = "PASS"</f>
        <v>0</v>
      </c>
      <c r="P1670" s="3" t="b">
        <f>L1670 = "FAIL"</f>
        <v>0</v>
      </c>
      <c r="Q1670" s="3" t="b">
        <f>AND(P1670, K1670)</f>
        <v>0</v>
      </c>
      <c r="R1670" s="3" t="str">
        <f>IF(O1670, I1670, "")</f>
      </c>
      <c r="S1670" s="3" t="str">
        <f>IF(Q1670, I1670, "")</f>
      </c>
      <c r="T1670" s="2" t="s">
        <v>5935</v>
      </c>
    </row>
    <row r="1671">
      <c r="A1671" s="2" t="s">
        <v>8024</v>
      </c>
      <c r="B1671" s="3" t="str">
        <f>C1671 &amp; ": " &amp; D1671</f>
        <v>witness-discriminates: AuthorityBoundaries.WarrantIsThin</v>
      </c>
      <c r="C1671" s="2" t="s">
        <v>7483</v>
      </c>
      <c r="D1671" s="2" t="s">
        <v>5113</v>
      </c>
      <c r="E1671" s="2" t="s">
        <v>5065</v>
      </c>
      <c r="F1671" s="2" t="s">
        <v>5114</v>
      </c>
      <c r="G1671" s="2" t="s">
        <v>7484</v>
      </c>
      <c r="H1671" s="2" t="s">
        <v>2180</v>
      </c>
      <c r="I1671" s="2" t="s">
        <v>5924</v>
      </c>
      <c r="J1671" s="2" t="s">
        <v>7485</v>
      </c>
      <c r="K1671" s="3" t="b">
        <f>J1671 = "blocking"</f>
        <v>0</v>
      </c>
      <c r="L1671" s="2" t="s">
        <v>1431</v>
      </c>
      <c r="M1671" s="2" t="s">
        <v>8018</v>
      </c>
      <c r="N1671" s="4">
        <v>46223.1297337963</v>
      </c>
      <c r="O1671" s="3" t="b">
        <f>L1671 = "PASS"</f>
        <v>0</v>
      </c>
      <c r="P1671" s="3" t="b">
        <f>L1671 = "FAIL"</f>
        <v>0</v>
      </c>
      <c r="Q1671" s="3" t="b">
        <f>AND(P1671, K1671)</f>
        <v>0</v>
      </c>
      <c r="R1671" s="3" t="str">
        <f>IF(O1671, I1671, "")</f>
      </c>
      <c r="S1671" s="3" t="str">
        <f>IF(Q1671, I1671, "")</f>
      </c>
      <c r="T1671" s="2" t="s">
        <v>5935</v>
      </c>
    </row>
    <row r="1672">
      <c r="A1672" s="2" t="s">
        <v>8025</v>
      </c>
      <c r="B1672" s="3" t="str">
        <f>C1672 &amp; ": " &amp; D1672</f>
        <v>witness-discriminates: AuthorityBoundaries.IsUnwarrantedAndUntested</v>
      </c>
      <c r="C1672" s="2" t="s">
        <v>7483</v>
      </c>
      <c r="D1672" s="2" t="s">
        <v>5116</v>
      </c>
      <c r="E1672" s="2" t="s">
        <v>5065</v>
      </c>
      <c r="F1672" s="2" t="s">
        <v>5117</v>
      </c>
      <c r="G1672" s="2" t="s">
        <v>7484</v>
      </c>
      <c r="H1672" s="2" t="s">
        <v>2180</v>
      </c>
      <c r="I1672" s="2" t="s">
        <v>5924</v>
      </c>
      <c r="J1672" s="2" t="s">
        <v>7485</v>
      </c>
      <c r="K1672" s="3" t="b">
        <f>J1672 = "blocking"</f>
        <v>0</v>
      </c>
      <c r="L1672" s="2" t="s">
        <v>1428</v>
      </c>
      <c r="M1672" s="2" t="s">
        <v>7538</v>
      </c>
      <c r="N1672" s="4">
        <v>46223.1297337963</v>
      </c>
      <c r="O1672" s="3" t="b">
        <f>L1672 = "PASS"</f>
        <v>1</v>
      </c>
      <c r="P1672" s="3" t="b">
        <f>L1672 = "FAIL"</f>
        <v>0</v>
      </c>
      <c r="Q1672" s="3" t="b">
        <f>AND(P1672, K1672)</f>
        <v>0</v>
      </c>
      <c r="R1672" s="3" t="str">
        <f>IF(O1672, I1672, "")</f>
        <v>suite-witness</v>
      </c>
      <c r="S1672" s="3" t="str">
        <f>IF(Q1672, I1672, "")</f>
      </c>
      <c r="T1672" s="2" t="s">
        <v>5935</v>
      </c>
    </row>
    <row r="1673">
      <c r="A1673" s="2" t="s">
        <v>8026</v>
      </c>
      <c r="B1673" s="3" t="str">
        <f>C1673 &amp; ": " &amp; D1673</f>
        <v>witness-discriminates: AuthorityBoundaries.RatificationLapsed</v>
      </c>
      <c r="C1673" s="2" t="s">
        <v>7483</v>
      </c>
      <c r="D1673" s="2" t="s">
        <v>5128</v>
      </c>
      <c r="E1673" s="2" t="s">
        <v>5065</v>
      </c>
      <c r="F1673" s="2" t="s">
        <v>5129</v>
      </c>
      <c r="G1673" s="2" t="s">
        <v>7484</v>
      </c>
      <c r="H1673" s="2" t="s">
        <v>2320</v>
      </c>
      <c r="I1673" s="2" t="s">
        <v>5924</v>
      </c>
      <c r="J1673" s="2" t="s">
        <v>7485</v>
      </c>
      <c r="K1673" s="3" t="b">
        <f>J1673 = "blocking"</f>
        <v>0</v>
      </c>
      <c r="L1673" s="2" t="s">
        <v>1431</v>
      </c>
      <c r="M1673" s="2" t="s">
        <v>7540</v>
      </c>
      <c r="N1673" s="4">
        <v>46223.1297337963</v>
      </c>
      <c r="O1673" s="3" t="b">
        <f>L1673 = "PASS"</f>
        <v>0</v>
      </c>
      <c r="P1673" s="3" t="b">
        <f>L1673 = "FAIL"</f>
        <v>0</v>
      </c>
      <c r="Q1673" s="3" t="b">
        <f>AND(P1673, K1673)</f>
        <v>0</v>
      </c>
      <c r="R1673" s="3" t="str">
        <f>IF(O1673, I1673, "")</f>
      </c>
      <c r="S1673" s="3" t="str">
        <f>IF(Q1673, I1673, "")</f>
      </c>
      <c r="T1673" s="2" t="s">
        <v>5935</v>
      </c>
    </row>
    <row r="1674">
      <c r="A1674" s="2" t="s">
        <v>8027</v>
      </c>
      <c r="B1674" s="3" t="str">
        <f>C1674 &amp; ": " &amp; D1674</f>
        <v>witness-discriminates: AuthorityBoundaries.BindsDespiteLapsedRatification</v>
      </c>
      <c r="C1674" s="2" t="s">
        <v>7483</v>
      </c>
      <c r="D1674" s="2" t="s">
        <v>5131</v>
      </c>
      <c r="E1674" s="2" t="s">
        <v>5065</v>
      </c>
      <c r="F1674" s="2" t="s">
        <v>5132</v>
      </c>
      <c r="G1674" s="2" t="s">
        <v>7484</v>
      </c>
      <c r="H1674" s="2" t="s">
        <v>2320</v>
      </c>
      <c r="I1674" s="2" t="s">
        <v>5924</v>
      </c>
      <c r="J1674" s="2" t="s">
        <v>7485</v>
      </c>
      <c r="K1674" s="3" t="b">
        <f>J1674 = "blocking"</f>
        <v>0</v>
      </c>
      <c r="L1674" s="2" t="s">
        <v>1431</v>
      </c>
      <c r="M1674" s="2" t="s">
        <v>7540</v>
      </c>
      <c r="N1674" s="4">
        <v>46223.1297337963</v>
      </c>
      <c r="O1674" s="3" t="b">
        <f>L1674 = "PASS"</f>
        <v>0</v>
      </c>
      <c r="P1674" s="3" t="b">
        <f>L1674 = "FAIL"</f>
        <v>0</v>
      </c>
      <c r="Q1674" s="3" t="b">
        <f>AND(P1674, K1674)</f>
        <v>0</v>
      </c>
      <c r="R1674" s="3" t="str">
        <f>IF(O1674, I1674, "")</f>
      </c>
      <c r="S1674" s="3" t="str">
        <f>IF(Q1674, I1674, "")</f>
      </c>
      <c r="T1674" s="2" t="s">
        <v>5935</v>
      </c>
    </row>
    <row r="1675">
      <c r="A1675" s="2" t="s">
        <v>8028</v>
      </c>
      <c r="B1675" s="3" t="str">
        <f>C1675 &amp; ": " &amp; D1675</f>
        <v>witness-discriminates: AuthorityBoundaries.IsUngroundedAndUntested</v>
      </c>
      <c r="C1675" s="2" t="s">
        <v>7483</v>
      </c>
      <c r="D1675" s="2" t="s">
        <v>5134</v>
      </c>
      <c r="E1675" s="2" t="s">
        <v>5065</v>
      </c>
      <c r="F1675" s="2" t="s">
        <v>5135</v>
      </c>
      <c r="G1675" s="2" t="s">
        <v>7484</v>
      </c>
      <c r="H1675" s="2" t="s">
        <v>2320</v>
      </c>
      <c r="I1675" s="2" t="s">
        <v>5924</v>
      </c>
      <c r="J1675" s="2" t="s">
        <v>7485</v>
      </c>
      <c r="K1675" s="3" t="b">
        <f>J1675 = "blocking"</f>
        <v>0</v>
      </c>
      <c r="L1675" s="2" t="s">
        <v>1431</v>
      </c>
      <c r="M1675" s="2" t="s">
        <v>7540</v>
      </c>
      <c r="N1675" s="4">
        <v>46223.1297337963</v>
      </c>
      <c r="O1675" s="3" t="b">
        <f>L1675 = "PASS"</f>
        <v>0</v>
      </c>
      <c r="P1675" s="3" t="b">
        <f>L1675 = "FAIL"</f>
        <v>0</v>
      </c>
      <c r="Q1675" s="3" t="b">
        <f>AND(P1675, K1675)</f>
        <v>0</v>
      </c>
      <c r="R1675" s="3" t="str">
        <f>IF(O1675, I1675, "")</f>
      </c>
      <c r="S1675" s="3" t="str">
        <f>IF(Q1675, I1675, "")</f>
      </c>
      <c r="T1675" s="2" t="s">
        <v>5935</v>
      </c>
    </row>
    <row r="1676">
      <c r="A1676" s="2" t="s">
        <v>8029</v>
      </c>
      <c r="B1676" s="3" t="str">
        <f>C1676 &amp; ": " &amp; D1676</f>
        <v>witness-discriminates: BindingObservations.WasStaleAtRun</v>
      </c>
      <c r="C1676" s="2" t="s">
        <v>7483</v>
      </c>
      <c r="D1676" s="2" t="s">
        <v>5159</v>
      </c>
      <c r="E1676" s="2" t="s">
        <v>5142</v>
      </c>
      <c r="F1676" s="2" t="s">
        <v>5160</v>
      </c>
      <c r="G1676" s="2" t="s">
        <v>7484</v>
      </c>
      <c r="H1676" s="2" t="s">
        <v>2240</v>
      </c>
      <c r="I1676" s="2" t="s">
        <v>5924</v>
      </c>
      <c r="J1676" s="2" t="s">
        <v>7485</v>
      </c>
      <c r="K1676" s="3" t="b">
        <f>J1676 = "blocking"</f>
        <v>0</v>
      </c>
      <c r="L1676" s="2" t="s">
        <v>1431</v>
      </c>
      <c r="M1676" s="2" t="s">
        <v>8030</v>
      </c>
      <c r="N1676" s="4">
        <v>46223.1297337963</v>
      </c>
      <c r="O1676" s="3" t="b">
        <f>L1676 = "PASS"</f>
        <v>0</v>
      </c>
      <c r="P1676" s="3" t="b">
        <f>L1676 = "FAIL"</f>
        <v>0</v>
      </c>
      <c r="Q1676" s="3" t="b">
        <f>AND(P1676, K1676)</f>
        <v>0</v>
      </c>
      <c r="R1676" s="3" t="str">
        <f>IF(O1676, I1676, "")</f>
      </c>
      <c r="S1676" s="3" t="str">
        <f>IF(Q1676, I1676, "")</f>
      </c>
      <c r="T1676" s="2" t="s">
        <v>5935</v>
      </c>
    </row>
    <row r="1677">
      <c r="A1677" s="2" t="s">
        <v>8031</v>
      </c>
      <c r="B1677" s="3" t="str">
        <f>C1677 &amp; ": " &amp; D1677</f>
        <v>witness-discriminates: BindingObservations.IsAuthoritativeBinding</v>
      </c>
      <c r="C1677" s="2" t="s">
        <v>7483</v>
      </c>
      <c r="D1677" s="2" t="s">
        <v>5162</v>
      </c>
      <c r="E1677" s="2" t="s">
        <v>5142</v>
      </c>
      <c r="F1677" s="2" t="s">
        <v>5163</v>
      </c>
      <c r="G1677" s="2" t="s">
        <v>7484</v>
      </c>
      <c r="H1677" s="2" t="s">
        <v>2240</v>
      </c>
      <c r="I1677" s="2" t="s">
        <v>5924</v>
      </c>
      <c r="J1677" s="2" t="s">
        <v>7485</v>
      </c>
      <c r="K1677" s="3" t="b">
        <f>J1677 = "blocking"</f>
        <v>0</v>
      </c>
      <c r="L1677" s="2" t="s">
        <v>1431</v>
      </c>
      <c r="M1677" s="2" t="s">
        <v>8030</v>
      </c>
      <c r="N1677" s="4">
        <v>46223.1297337963</v>
      </c>
      <c r="O1677" s="3" t="b">
        <f>L1677 = "PASS"</f>
        <v>0</v>
      </c>
      <c r="P1677" s="3" t="b">
        <f>L1677 = "FAIL"</f>
        <v>0</v>
      </c>
      <c r="Q1677" s="3" t="b">
        <f>AND(P1677, K1677)</f>
        <v>0</v>
      </c>
      <c r="R1677" s="3" t="str">
        <f>IF(O1677, I1677, "")</f>
      </c>
      <c r="S1677" s="3" t="str">
        <f>IF(Q1677, I1677, "")</f>
      </c>
      <c r="T1677" s="2" t="s">
        <v>5935</v>
      </c>
    </row>
    <row r="1678">
      <c r="A1678" s="2" t="s">
        <v>8032</v>
      </c>
      <c r="B1678" s="3" t="str">
        <f>C1678 &amp; ": " &amp; D1678</f>
        <v>witness-discriminates: Attestations.VersionIsFitNow</v>
      </c>
      <c r="C1678" s="2" t="s">
        <v>7483</v>
      </c>
      <c r="D1678" s="2" t="s">
        <v>5182</v>
      </c>
      <c r="E1678" s="2" t="s">
        <v>5169</v>
      </c>
      <c r="F1678" s="2" t="s">
        <v>5183</v>
      </c>
      <c r="G1678" s="2" t="s">
        <v>7484</v>
      </c>
      <c r="H1678" s="2" t="s">
        <v>2280</v>
      </c>
      <c r="I1678" s="2" t="s">
        <v>5924</v>
      </c>
      <c r="J1678" s="2" t="s">
        <v>7485</v>
      </c>
      <c r="K1678" s="3" t="b">
        <f>J1678 = "blocking"</f>
        <v>0</v>
      </c>
      <c r="L1678" s="2" t="s">
        <v>1431</v>
      </c>
      <c r="M1678" s="2" t="s">
        <v>8030</v>
      </c>
      <c r="N1678" s="4">
        <v>46223.1297337963</v>
      </c>
      <c r="O1678" s="3" t="b">
        <f>L1678 = "PASS"</f>
        <v>0</v>
      </c>
      <c r="P1678" s="3" t="b">
        <f>L1678 = "FAIL"</f>
        <v>0</v>
      </c>
      <c r="Q1678" s="3" t="b">
        <f>AND(P1678, K1678)</f>
        <v>0</v>
      </c>
      <c r="R1678" s="3" t="str">
        <f>IF(O1678, I1678, "")</f>
      </c>
      <c r="S1678" s="3" t="str">
        <f>IF(Q1678, I1678, "")</f>
      </c>
      <c r="T1678" s="2" t="s">
        <v>5935</v>
      </c>
    </row>
    <row r="1679">
      <c r="A1679" s="2" t="s">
        <v>8033</v>
      </c>
      <c r="B1679" s="3" t="str">
        <f>C1679 &amp; ": " &amp; D1679</f>
        <v>witness-discriminates: Attestations.FitnessVerdictHasDrifted</v>
      </c>
      <c r="C1679" s="2" t="s">
        <v>7483</v>
      </c>
      <c r="D1679" s="2" t="s">
        <v>5185</v>
      </c>
      <c r="E1679" s="2" t="s">
        <v>5169</v>
      </c>
      <c r="F1679" s="2" t="s">
        <v>5186</v>
      </c>
      <c r="G1679" s="2" t="s">
        <v>7484</v>
      </c>
      <c r="H1679" s="2" t="s">
        <v>2280</v>
      </c>
      <c r="I1679" s="2" t="s">
        <v>5924</v>
      </c>
      <c r="J1679" s="2" t="s">
        <v>7485</v>
      </c>
      <c r="K1679" s="3" t="b">
        <f>J1679 = "blocking"</f>
        <v>0</v>
      </c>
      <c r="L1679" s="2" t="s">
        <v>1431</v>
      </c>
      <c r="M1679" s="2" t="s">
        <v>8030</v>
      </c>
      <c r="N1679" s="4">
        <v>46223.1297337963</v>
      </c>
      <c r="O1679" s="3" t="b">
        <f>L1679 = "PASS"</f>
        <v>0</v>
      </c>
      <c r="P1679" s="3" t="b">
        <f>L1679 = "FAIL"</f>
        <v>0</v>
      </c>
      <c r="Q1679" s="3" t="b">
        <f>AND(P1679, K1679)</f>
        <v>0</v>
      </c>
      <c r="R1679" s="3" t="str">
        <f>IF(O1679, I1679, "")</f>
      </c>
      <c r="S1679" s="3" t="str">
        <f>IF(Q1679, I1679, "")</f>
      </c>
      <c r="T1679" s="2" t="s">
        <v>5935</v>
      </c>
    </row>
    <row r="1680">
      <c r="A1680" s="2" t="s">
        <v>8034</v>
      </c>
      <c r="B1680" s="3" t="str">
        <f>C1680 &amp; ": " &amp; D1680</f>
        <v>witness-discriminates: Attestations.AssuranceGradeHasDrifted</v>
      </c>
      <c r="C1680" s="2" t="s">
        <v>7483</v>
      </c>
      <c r="D1680" s="2" t="s">
        <v>5191</v>
      </c>
      <c r="E1680" s="2" t="s">
        <v>5169</v>
      </c>
      <c r="F1680" s="2" t="s">
        <v>5192</v>
      </c>
      <c r="G1680" s="2" t="s">
        <v>7484</v>
      </c>
      <c r="H1680" s="2" t="s">
        <v>2280</v>
      </c>
      <c r="I1680" s="2" t="s">
        <v>5924</v>
      </c>
      <c r="J1680" s="2" t="s">
        <v>7485</v>
      </c>
      <c r="K1680" s="3" t="b">
        <f>J1680 = "blocking"</f>
        <v>0</v>
      </c>
      <c r="L1680" s="2" t="s">
        <v>1431</v>
      </c>
      <c r="M1680" s="2" t="s">
        <v>8030</v>
      </c>
      <c r="N1680" s="4">
        <v>46223.1297337963</v>
      </c>
      <c r="O1680" s="3" t="b">
        <f>L1680 = "PASS"</f>
        <v>0</v>
      </c>
      <c r="P1680" s="3" t="b">
        <f>L1680 = "FAIL"</f>
        <v>0</v>
      </c>
      <c r="Q1680" s="3" t="b">
        <f>AND(P1680, K1680)</f>
        <v>0</v>
      </c>
      <c r="R1680" s="3" t="str">
        <f>IF(O1680, I1680, "")</f>
      </c>
      <c r="S1680" s="3" t="str">
        <f>IF(Q1680, I1680, "")</f>
      </c>
      <c r="T1680" s="2" t="s">
        <v>5935</v>
      </c>
    </row>
    <row r="1681">
      <c r="A1681" s="2" t="s">
        <v>8035</v>
      </c>
      <c r="B1681" s="3" t="str">
        <f>C1681 &amp; ": " &amp; D1681</f>
        <v>witness-discriminates: Attestations.WouldNotSurviveRestatement</v>
      </c>
      <c r="C1681" s="2" t="s">
        <v>7483</v>
      </c>
      <c r="D1681" s="2" t="s">
        <v>5194</v>
      </c>
      <c r="E1681" s="2" t="s">
        <v>5169</v>
      </c>
      <c r="F1681" s="2" t="s">
        <v>5195</v>
      </c>
      <c r="G1681" s="2" t="s">
        <v>7484</v>
      </c>
      <c r="H1681" s="2" t="s">
        <v>2280</v>
      </c>
      <c r="I1681" s="2" t="s">
        <v>5924</v>
      </c>
      <c r="J1681" s="2" t="s">
        <v>7485</v>
      </c>
      <c r="K1681" s="3" t="b">
        <f>J1681 = "blocking"</f>
        <v>0</v>
      </c>
      <c r="L1681" s="2" t="s">
        <v>1431</v>
      </c>
      <c r="M1681" s="2" t="s">
        <v>8030</v>
      </c>
      <c r="N1681" s="4">
        <v>46223.1297337963</v>
      </c>
      <c r="O1681" s="3" t="b">
        <f>L1681 = "PASS"</f>
        <v>0</v>
      </c>
      <c r="P1681" s="3" t="b">
        <f>L1681 = "FAIL"</f>
        <v>0</v>
      </c>
      <c r="Q1681" s="3" t="b">
        <f>AND(P1681, K1681)</f>
        <v>0</v>
      </c>
      <c r="R1681" s="3" t="str">
        <f>IF(O1681, I1681, "")</f>
      </c>
      <c r="S1681" s="3" t="str">
        <f>IF(Q1681, I1681, "")</f>
      </c>
      <c r="T1681" s="2" t="s">
        <v>5935</v>
      </c>
    </row>
    <row r="1682">
      <c r="A1682" s="2" t="s">
        <v>8036</v>
      </c>
      <c r="B1682" s="3" t="str">
        <f>C1682 &amp; ": " &amp; D1682</f>
        <v>question-answered: q-analyst-blocking-unmet-on-my-step</v>
      </c>
      <c r="C1682" s="2" t="s">
        <v>8037</v>
      </c>
      <c r="D1682" s="2" t="s">
        <v>1935</v>
      </c>
      <c r="E1682" s="2"/>
      <c r="F1682" s="2"/>
      <c r="G1682" s="2" t="s">
        <v>8038</v>
      </c>
      <c r="H1682" s="2" t="s">
        <v>1935</v>
      </c>
      <c r="I1682" s="2" t="s">
        <v>5926</v>
      </c>
      <c r="J1682" s="2" t="s">
        <v>5933</v>
      </c>
      <c r="K1682" s="3" t="b">
        <f>J1682 = "blocking"</f>
        <v>1</v>
      </c>
      <c r="L1682" s="2" t="s">
        <v>1428</v>
      </c>
      <c r="M1682" s="2" t="s">
        <v>8039</v>
      </c>
      <c r="N1682" s="4">
        <v>46223.1297337963</v>
      </c>
      <c r="O1682" s="3" t="b">
        <f>L1682 = "PASS"</f>
        <v>1</v>
      </c>
      <c r="P1682" s="3" t="b">
        <f>L1682 = "FAIL"</f>
        <v>0</v>
      </c>
      <c r="Q1682" s="3" t="b">
        <f>AND(P1682, K1682)</f>
        <v>0</v>
      </c>
      <c r="R1682" s="3" t="str">
        <f>IF(O1682, I1682, "")</f>
        <v>suite-provenance</v>
      </c>
      <c r="S1682" s="3" t="str">
        <f>IF(Q1682, I1682, "")</f>
      </c>
      <c r="T1682" s="2" t="s">
        <v>5935</v>
      </c>
    </row>
    <row r="1683">
      <c r="A1683" s="2" t="s">
        <v>8040</v>
      </c>
      <c r="B1683" s="3" t="str">
        <f>C1683 &amp; ": " &amp; D1683</f>
        <v>question-answered: q-analyst-blocking-never-evaluated</v>
      </c>
      <c r="C1683" s="2" t="s">
        <v>8037</v>
      </c>
      <c r="D1683" s="2" t="s">
        <v>1940</v>
      </c>
      <c r="E1683" s="2"/>
      <c r="F1683" s="2"/>
      <c r="G1683" s="2" t="s">
        <v>8038</v>
      </c>
      <c r="H1683" s="2" t="s">
        <v>1940</v>
      </c>
      <c r="I1683" s="2" t="s">
        <v>5926</v>
      </c>
      <c r="J1683" s="2" t="s">
        <v>5933</v>
      </c>
      <c r="K1683" s="3" t="b">
        <f>J1683 = "blocking"</f>
        <v>1</v>
      </c>
      <c r="L1683" s="2" t="s">
        <v>1428</v>
      </c>
      <c r="M1683" s="2" t="s">
        <v>8041</v>
      </c>
      <c r="N1683" s="4">
        <v>46223.1297337963</v>
      </c>
      <c r="O1683" s="3" t="b">
        <f>L1683 = "PASS"</f>
        <v>1</v>
      </c>
      <c r="P1683" s="3" t="b">
        <f>L1683 = "FAIL"</f>
        <v>0</v>
      </c>
      <c r="Q1683" s="3" t="b">
        <f>AND(P1683, K1683)</f>
        <v>0</v>
      </c>
      <c r="R1683" s="3" t="str">
        <f>IF(O1683, I1683, "")</f>
        <v>suite-provenance</v>
      </c>
      <c r="S1683" s="3" t="str">
        <f>IF(Q1683, I1683, "")</f>
      </c>
      <c r="T1683" s="2" t="s">
        <v>5935</v>
      </c>
    </row>
    <row r="1684">
      <c r="A1684" s="2" t="s">
        <v>8042</v>
      </c>
      <c r="B1684" s="3" t="str">
        <f>C1684 &amp; ": " &amp; D1684</f>
        <v>question-answered: q-analyst-evidence-binding-stale</v>
      </c>
      <c r="C1684" s="2" t="s">
        <v>8037</v>
      </c>
      <c r="D1684" s="2" t="s">
        <v>1944</v>
      </c>
      <c r="E1684" s="2"/>
      <c r="F1684" s="2"/>
      <c r="G1684" s="2" t="s">
        <v>8038</v>
      </c>
      <c r="H1684" s="2" t="s">
        <v>1944</v>
      </c>
      <c r="I1684" s="2" t="s">
        <v>5926</v>
      </c>
      <c r="J1684" s="2" t="s">
        <v>5933</v>
      </c>
      <c r="K1684" s="3" t="b">
        <f>J1684 = "blocking"</f>
        <v>1</v>
      </c>
      <c r="L1684" s="2" t="s">
        <v>1428</v>
      </c>
      <c r="M1684" s="2" t="s">
        <v>8043</v>
      </c>
      <c r="N1684" s="4">
        <v>46223.1297337963</v>
      </c>
      <c r="O1684" s="3" t="b">
        <f>L1684 = "PASS"</f>
        <v>1</v>
      </c>
      <c r="P1684" s="3" t="b">
        <f>L1684 = "FAIL"</f>
        <v>0</v>
      </c>
      <c r="Q1684" s="3" t="b">
        <f>AND(P1684, K1684)</f>
        <v>0</v>
      </c>
      <c r="R1684" s="3" t="str">
        <f>IF(O1684, I1684, "")</f>
        <v>suite-provenance</v>
      </c>
      <c r="S1684" s="3" t="str">
        <f>IF(Q1684, I1684, "")</f>
      </c>
      <c r="T1684" s="2" t="s">
        <v>5935</v>
      </c>
    </row>
    <row r="1685">
      <c r="A1685" s="2" t="s">
        <v>8044</v>
      </c>
      <c r="B1685" s="3" t="str">
        <f>C1685 &amp; ": " &amp; D1685</f>
        <v>question-answered: q-analyst-my-late-steps-unexplained</v>
      </c>
      <c r="C1685" s="2" t="s">
        <v>8037</v>
      </c>
      <c r="D1685" s="2" t="s">
        <v>1948</v>
      </c>
      <c r="E1685" s="2"/>
      <c r="F1685" s="2"/>
      <c r="G1685" s="2" t="s">
        <v>8038</v>
      </c>
      <c r="H1685" s="2" t="s">
        <v>1948</v>
      </c>
      <c r="I1685" s="2" t="s">
        <v>5926</v>
      </c>
      <c r="J1685" s="2" t="s">
        <v>5933</v>
      </c>
      <c r="K1685" s="3" t="b">
        <f>J1685 = "blocking"</f>
        <v>1</v>
      </c>
      <c r="L1685" s="2" t="s">
        <v>1428</v>
      </c>
      <c r="M1685" s="2" t="s">
        <v>8043</v>
      </c>
      <c r="N1685" s="4">
        <v>46223.1297337963</v>
      </c>
      <c r="O1685" s="3" t="b">
        <f>L1685 = "PASS"</f>
        <v>1</v>
      </c>
      <c r="P1685" s="3" t="b">
        <f>L1685 = "FAIL"</f>
        <v>0</v>
      </c>
      <c r="Q1685" s="3" t="b">
        <f>AND(P1685, K1685)</f>
        <v>0</v>
      </c>
      <c r="R1685" s="3" t="str">
        <f>IF(O1685, I1685, "")</f>
        <v>suite-provenance</v>
      </c>
      <c r="S1685" s="3" t="str">
        <f>IF(Q1685, I1685, "")</f>
      </c>
      <c r="T1685" s="2" t="s">
        <v>5935</v>
      </c>
    </row>
    <row r="1686">
      <c r="A1686" s="2" t="s">
        <v>8045</v>
      </c>
      <c r="B1686" s="3" t="str">
        <f>C1686 &amp; ": " &amp; D1686</f>
        <v>question-answered: q-analyst-verification-declared-never-performed</v>
      </c>
      <c r="C1686" s="2" t="s">
        <v>8037</v>
      </c>
      <c r="D1686" s="2" t="s">
        <v>1952</v>
      </c>
      <c r="E1686" s="2"/>
      <c r="F1686" s="2"/>
      <c r="G1686" s="2" t="s">
        <v>8038</v>
      </c>
      <c r="H1686" s="2" t="s">
        <v>1952</v>
      </c>
      <c r="I1686" s="2" t="s">
        <v>5926</v>
      </c>
      <c r="J1686" s="2" t="s">
        <v>5933</v>
      </c>
      <c r="K1686" s="3" t="b">
        <f>J1686 = "blocking"</f>
        <v>1</v>
      </c>
      <c r="L1686" s="2" t="s">
        <v>1428</v>
      </c>
      <c r="M1686" s="2" t="s">
        <v>8043</v>
      </c>
      <c r="N1686" s="4">
        <v>46223.1297337963</v>
      </c>
      <c r="O1686" s="3" t="b">
        <f>L1686 = "PASS"</f>
        <v>1</v>
      </c>
      <c r="P1686" s="3" t="b">
        <f>L1686 = "FAIL"</f>
        <v>0</v>
      </c>
      <c r="Q1686" s="3" t="b">
        <f>AND(P1686, K1686)</f>
        <v>0</v>
      </c>
      <c r="R1686" s="3" t="str">
        <f>IF(O1686, I1686, "")</f>
        <v>suite-provenance</v>
      </c>
      <c r="S1686" s="3" t="str">
        <f>IF(Q1686, I1686, "")</f>
      </c>
      <c r="T1686" s="2" t="s">
        <v>5935</v>
      </c>
    </row>
    <row r="1687">
      <c r="A1687" s="2" t="s">
        <v>8046</v>
      </c>
      <c r="B1687" s="3" t="str">
        <f>C1687 &amp; ": " &amp; D1687</f>
        <v>question-answered: q-controller-separation-of-duties</v>
      </c>
      <c r="C1687" s="2" t="s">
        <v>8037</v>
      </c>
      <c r="D1687" s="2" t="s">
        <v>1956</v>
      </c>
      <c r="E1687" s="2"/>
      <c r="F1687" s="2"/>
      <c r="G1687" s="2" t="s">
        <v>8038</v>
      </c>
      <c r="H1687" s="2" t="s">
        <v>1956</v>
      </c>
      <c r="I1687" s="2" t="s">
        <v>5926</v>
      </c>
      <c r="J1687" s="2" t="s">
        <v>5933</v>
      </c>
      <c r="K1687" s="3" t="b">
        <f>J1687 = "blocking"</f>
        <v>1</v>
      </c>
      <c r="L1687" s="2" t="s">
        <v>1428</v>
      </c>
      <c r="M1687" s="2" t="s">
        <v>8041</v>
      </c>
      <c r="N1687" s="4">
        <v>46223.1297337963</v>
      </c>
      <c r="O1687" s="3" t="b">
        <f>L1687 = "PASS"</f>
        <v>1</v>
      </c>
      <c r="P1687" s="3" t="b">
        <f>L1687 = "FAIL"</f>
        <v>0</v>
      </c>
      <c r="Q1687" s="3" t="b">
        <f>AND(P1687, K1687)</f>
        <v>0</v>
      </c>
      <c r="R1687" s="3" t="str">
        <f>IF(O1687, I1687, "")</f>
        <v>suite-provenance</v>
      </c>
      <c r="S1687" s="3" t="str">
        <f>IF(Q1687, I1687, "")</f>
      </c>
      <c r="T1687" s="2" t="s">
        <v>5935</v>
      </c>
    </row>
    <row r="1688">
      <c r="A1688" s="2" t="s">
        <v>8047</v>
      </c>
      <c r="B1688" s="3" t="str">
        <f>C1688 &amp; ": " &amp; D1688</f>
        <v>question-answered: q-controller-approval-authority-valid</v>
      </c>
      <c r="C1688" s="2" t="s">
        <v>8037</v>
      </c>
      <c r="D1688" s="2" t="s">
        <v>1960</v>
      </c>
      <c r="E1688" s="2"/>
      <c r="F1688" s="2"/>
      <c r="G1688" s="2" t="s">
        <v>8038</v>
      </c>
      <c r="H1688" s="2" t="s">
        <v>1960</v>
      </c>
      <c r="I1688" s="2" t="s">
        <v>5926</v>
      </c>
      <c r="J1688" s="2" t="s">
        <v>5933</v>
      </c>
      <c r="K1688" s="3" t="b">
        <f>J1688 = "blocking"</f>
        <v>1</v>
      </c>
      <c r="L1688" s="2" t="s">
        <v>1428</v>
      </c>
      <c r="M1688" s="2" t="s">
        <v>8039</v>
      </c>
      <c r="N1688" s="4">
        <v>46223.1297337963</v>
      </c>
      <c r="O1688" s="3" t="b">
        <f>L1688 = "PASS"</f>
        <v>1</v>
      </c>
      <c r="P1688" s="3" t="b">
        <f>L1688 = "FAIL"</f>
        <v>0</v>
      </c>
      <c r="Q1688" s="3" t="b">
        <f>AND(P1688, K1688)</f>
        <v>0</v>
      </c>
      <c r="R1688" s="3" t="str">
        <f>IF(O1688, I1688, "")</f>
        <v>suite-provenance</v>
      </c>
      <c r="S1688" s="3" t="str">
        <f>IF(Q1688, I1688, "")</f>
      </c>
      <c r="T1688" s="2" t="s">
        <v>5935</v>
      </c>
    </row>
    <row r="1689">
      <c r="A1689" s="2" t="s">
        <v>8048</v>
      </c>
      <c r="B1689" s="3" t="str">
        <f>C1689 &amp; ": " &amp; D1689</f>
        <v>question-answered: q-controller-blocking-control-inoperative</v>
      </c>
      <c r="C1689" s="2" t="s">
        <v>8037</v>
      </c>
      <c r="D1689" s="2" t="s">
        <v>1964</v>
      </c>
      <c r="E1689" s="2"/>
      <c r="F1689" s="2"/>
      <c r="G1689" s="2" t="s">
        <v>8038</v>
      </c>
      <c r="H1689" s="2" t="s">
        <v>1964</v>
      </c>
      <c r="I1689" s="2" t="s">
        <v>5926</v>
      </c>
      <c r="J1689" s="2" t="s">
        <v>5933</v>
      </c>
      <c r="K1689" s="3" t="b">
        <f>J1689 = "blocking"</f>
        <v>1</v>
      </c>
      <c r="L1689" s="2" t="s">
        <v>1428</v>
      </c>
      <c r="M1689" s="2" t="s">
        <v>8041</v>
      </c>
      <c r="N1689" s="4">
        <v>46223.1297337963</v>
      </c>
      <c r="O1689" s="3" t="b">
        <f>L1689 = "PASS"</f>
        <v>1</v>
      </c>
      <c r="P1689" s="3" t="b">
        <f>L1689 = "FAIL"</f>
        <v>0</v>
      </c>
      <c r="Q1689" s="3" t="b">
        <f>AND(P1689, K1689)</f>
        <v>0</v>
      </c>
      <c r="R1689" s="3" t="str">
        <f>IF(O1689, I1689, "")</f>
        <v>suite-provenance</v>
      </c>
      <c r="S1689" s="3" t="str">
        <f>IF(Q1689, I1689, "")</f>
      </c>
      <c r="T1689" s="2" t="s">
        <v>5935</v>
      </c>
    </row>
    <row r="1690">
      <c r="A1690" s="2" t="s">
        <v>8049</v>
      </c>
      <c r="B1690" s="3" t="str">
        <f>C1690 &amp; ": " &amp; D1690</f>
        <v>question-answered: q-controller-execution-diverged-from-spec</v>
      </c>
      <c r="C1690" s="2" t="s">
        <v>8037</v>
      </c>
      <c r="D1690" s="2" t="s">
        <v>1968</v>
      </c>
      <c r="E1690" s="2"/>
      <c r="F1690" s="2"/>
      <c r="G1690" s="2" t="s">
        <v>8038</v>
      </c>
      <c r="H1690" s="2" t="s">
        <v>1968</v>
      </c>
      <c r="I1690" s="2" t="s">
        <v>5926</v>
      </c>
      <c r="J1690" s="2" t="s">
        <v>5933</v>
      </c>
      <c r="K1690" s="3" t="b">
        <f>J1690 = "blocking"</f>
        <v>1</v>
      </c>
      <c r="L1690" s="2" t="s">
        <v>1428</v>
      </c>
      <c r="M1690" s="2" t="s">
        <v>8050</v>
      </c>
      <c r="N1690" s="4">
        <v>46223.1297337963</v>
      </c>
      <c r="O1690" s="3" t="b">
        <f>L1690 = "PASS"</f>
        <v>1</v>
      </c>
      <c r="P1690" s="3" t="b">
        <f>L1690 = "FAIL"</f>
        <v>0</v>
      </c>
      <c r="Q1690" s="3" t="b">
        <f>AND(P1690, K1690)</f>
        <v>0</v>
      </c>
      <c r="R1690" s="3" t="str">
        <f>IF(O1690, I1690, "")</f>
        <v>suite-provenance</v>
      </c>
      <c r="S1690" s="3" t="str">
        <f>IF(Q1690, I1690, "")</f>
      </c>
      <c r="T1690" s="2" t="s">
        <v>5935</v>
      </c>
    </row>
    <row r="1691">
      <c r="A1691" s="2" t="s">
        <v>8051</v>
      </c>
      <c r="B1691" s="3" t="str">
        <f>C1691 &amp; ": " &amp; D1691</f>
        <v>question-answered: q-controller-ai-agent-approved-meaning</v>
      </c>
      <c r="C1691" s="2" t="s">
        <v>8037</v>
      </c>
      <c r="D1691" s="2" t="s">
        <v>1972</v>
      </c>
      <c r="E1691" s="2"/>
      <c r="F1691" s="2"/>
      <c r="G1691" s="2" t="s">
        <v>8038</v>
      </c>
      <c r="H1691" s="2" t="s">
        <v>1972</v>
      </c>
      <c r="I1691" s="2" t="s">
        <v>5926</v>
      </c>
      <c r="J1691" s="2" t="s">
        <v>5933</v>
      </c>
      <c r="K1691" s="3" t="b">
        <f>J1691 = "blocking"</f>
        <v>1</v>
      </c>
      <c r="L1691" s="2" t="s">
        <v>1428</v>
      </c>
      <c r="M1691" s="2" t="s">
        <v>8039</v>
      </c>
      <c r="N1691" s="4">
        <v>46223.1297337963</v>
      </c>
      <c r="O1691" s="3" t="b">
        <f>L1691 = "PASS"</f>
        <v>1</v>
      </c>
      <c r="P1691" s="3" t="b">
        <f>L1691 = "FAIL"</f>
        <v>0</v>
      </c>
      <c r="Q1691" s="3" t="b">
        <f>AND(P1691, K1691)</f>
        <v>0</v>
      </c>
      <c r="R1691" s="3" t="str">
        <f>IF(O1691, I1691, "")</f>
        <v>suite-provenance</v>
      </c>
      <c r="S1691" s="3" t="str">
        <f>IF(Q1691, I1691, "")</f>
      </c>
      <c r="T1691" s="2" t="s">
        <v>5935</v>
      </c>
    </row>
    <row r="1692">
      <c r="A1692" s="2" t="s">
        <v>8052</v>
      </c>
      <c r="B1692" s="3" t="str">
        <f>C1692 &amp; ": " &amp; D1692</f>
        <v>question-answered: q-cfo-can-i-sign</v>
      </c>
      <c r="C1692" s="2" t="s">
        <v>8037</v>
      </c>
      <c r="D1692" s="2" t="s">
        <v>1976</v>
      </c>
      <c r="E1692" s="2"/>
      <c r="F1692" s="2"/>
      <c r="G1692" s="2" t="s">
        <v>8038</v>
      </c>
      <c r="H1692" s="2" t="s">
        <v>1976</v>
      </c>
      <c r="I1692" s="2" t="s">
        <v>5926</v>
      </c>
      <c r="J1692" s="2" t="s">
        <v>5933</v>
      </c>
      <c r="K1692" s="3" t="b">
        <f>J1692 = "blocking"</f>
        <v>1</v>
      </c>
      <c r="L1692" s="2" t="s">
        <v>1428</v>
      </c>
      <c r="M1692" s="2" t="s">
        <v>8041</v>
      </c>
      <c r="N1692" s="4">
        <v>46223.1297337963</v>
      </c>
      <c r="O1692" s="3" t="b">
        <f>L1692 = "PASS"</f>
        <v>1</v>
      </c>
      <c r="P1692" s="3" t="b">
        <f>L1692 = "FAIL"</f>
        <v>0</v>
      </c>
      <c r="Q1692" s="3" t="b">
        <f>AND(P1692, K1692)</f>
        <v>0</v>
      </c>
      <c r="R1692" s="3" t="str">
        <f>IF(O1692, I1692, "")</f>
        <v>suite-provenance</v>
      </c>
      <c r="S1692" s="3" t="str">
        <f>IF(Q1692, I1692, "")</f>
      </c>
      <c r="T1692" s="2" t="s">
        <v>5935</v>
      </c>
    </row>
    <row r="1693">
      <c r="A1693" s="2" t="s">
        <v>8053</v>
      </c>
      <c r="B1693" s="3" t="str">
        <f>C1693 &amp; ": " &amp; D1693</f>
        <v>question-answered: q-cfo-approving-on-unfit-version</v>
      </c>
      <c r="C1693" s="2" t="s">
        <v>8037</v>
      </c>
      <c r="D1693" s="2" t="s">
        <v>1980</v>
      </c>
      <c r="E1693" s="2"/>
      <c r="F1693" s="2"/>
      <c r="G1693" s="2" t="s">
        <v>8038</v>
      </c>
      <c r="H1693" s="2" t="s">
        <v>1980</v>
      </c>
      <c r="I1693" s="2" t="s">
        <v>5926</v>
      </c>
      <c r="J1693" s="2" t="s">
        <v>5933</v>
      </c>
      <c r="K1693" s="3" t="b">
        <f>J1693 = "blocking"</f>
        <v>1</v>
      </c>
      <c r="L1693" s="2" t="s">
        <v>1428</v>
      </c>
      <c r="M1693" s="2" t="s">
        <v>8054</v>
      </c>
      <c r="N1693" s="4">
        <v>46223.1297337963</v>
      </c>
      <c r="O1693" s="3" t="b">
        <f>L1693 = "PASS"</f>
        <v>1</v>
      </c>
      <c r="P1693" s="3" t="b">
        <f>L1693 = "FAIL"</f>
        <v>0</v>
      </c>
      <c r="Q1693" s="3" t="b">
        <f>AND(P1693, K1693)</f>
        <v>0</v>
      </c>
      <c r="R1693" s="3" t="str">
        <f>IF(O1693, I1693, "")</f>
        <v>suite-provenance</v>
      </c>
      <c r="S1693" s="3" t="str">
        <f>IF(Q1693, I1693, "")</f>
      </c>
      <c r="T1693" s="2" t="s">
        <v>5935</v>
      </c>
    </row>
    <row r="1694">
      <c r="A1694" s="2" t="s">
        <v>8055</v>
      </c>
      <c r="B1694" s="3" t="str">
        <f>C1694 &amp; ": " &amp; D1694</f>
        <v>question-answered: q-cfo-approval-was-actually-verified</v>
      </c>
      <c r="C1694" s="2" t="s">
        <v>8037</v>
      </c>
      <c r="D1694" s="2" t="s">
        <v>1984</v>
      </c>
      <c r="E1694" s="2"/>
      <c r="F1694" s="2"/>
      <c r="G1694" s="2" t="s">
        <v>8038</v>
      </c>
      <c r="H1694" s="2" t="s">
        <v>1984</v>
      </c>
      <c r="I1694" s="2" t="s">
        <v>5926</v>
      </c>
      <c r="J1694" s="2" t="s">
        <v>5933</v>
      </c>
      <c r="K1694" s="3" t="b">
        <f>J1694 = "blocking"</f>
        <v>1</v>
      </c>
      <c r="L1694" s="2" t="s">
        <v>1428</v>
      </c>
      <c r="M1694" s="2" t="s">
        <v>8039</v>
      </c>
      <c r="N1694" s="4">
        <v>46223.1297337963</v>
      </c>
      <c r="O1694" s="3" t="b">
        <f>L1694 = "PASS"</f>
        <v>1</v>
      </c>
      <c r="P1694" s="3" t="b">
        <f>L1694 = "FAIL"</f>
        <v>0</v>
      </c>
      <c r="Q1694" s="3" t="b">
        <f>AND(P1694, K1694)</f>
        <v>0</v>
      </c>
      <c r="R1694" s="3" t="str">
        <f>IF(O1694, I1694, "")</f>
        <v>suite-provenance</v>
      </c>
      <c r="S1694" s="3" t="str">
        <f>IF(Q1694, I1694, "")</f>
      </c>
      <c r="T1694" s="2" t="s">
        <v>5935</v>
      </c>
    </row>
    <row r="1695">
      <c r="A1695" s="2" t="s">
        <v>8056</v>
      </c>
      <c r="B1695" s="3" t="str">
        <f>C1695 &amp; ": " &amp; D1695</f>
        <v>question-answered: q-cfo-who-actually-held-authority</v>
      </c>
      <c r="C1695" s="2" t="s">
        <v>8037</v>
      </c>
      <c r="D1695" s="2" t="s">
        <v>1988</v>
      </c>
      <c r="E1695" s="2"/>
      <c r="F1695" s="2"/>
      <c r="G1695" s="2" t="s">
        <v>8038</v>
      </c>
      <c r="H1695" s="2" t="s">
        <v>1988</v>
      </c>
      <c r="I1695" s="2" t="s">
        <v>5926</v>
      </c>
      <c r="J1695" s="2" t="s">
        <v>5933</v>
      </c>
      <c r="K1695" s="3" t="b">
        <f>J1695 = "blocking"</f>
        <v>1</v>
      </c>
      <c r="L1695" s="2" t="s">
        <v>1428</v>
      </c>
      <c r="M1695" s="2" t="s">
        <v>8041</v>
      </c>
      <c r="N1695" s="4">
        <v>46223.1297337963</v>
      </c>
      <c r="O1695" s="3" t="b">
        <f>L1695 = "PASS"</f>
        <v>1</v>
      </c>
      <c r="P1695" s="3" t="b">
        <f>L1695 = "FAIL"</f>
        <v>0</v>
      </c>
      <c r="Q1695" s="3" t="b">
        <f>AND(P1695, K1695)</f>
        <v>0</v>
      </c>
      <c r="R1695" s="3" t="str">
        <f>IF(O1695, I1695, "")</f>
        <v>suite-provenance</v>
      </c>
      <c r="S1695" s="3" t="str">
        <f>IF(Q1695, I1695, "")</f>
      </c>
      <c r="T1695" s="2" t="s">
        <v>5935</v>
      </c>
    </row>
    <row r="1696">
      <c r="A1696" s="2" t="s">
        <v>8057</v>
      </c>
      <c r="B1696" s="3" t="str">
        <f>C1696 &amp; ": " &amp; D1696</f>
        <v>question-answered: q-cfo-am-i-being-told-everything</v>
      </c>
      <c r="C1696" s="2" t="s">
        <v>8037</v>
      </c>
      <c r="D1696" s="2" t="s">
        <v>1992</v>
      </c>
      <c r="E1696" s="2"/>
      <c r="F1696" s="2"/>
      <c r="G1696" s="2" t="s">
        <v>8038</v>
      </c>
      <c r="H1696" s="2" t="s">
        <v>1992</v>
      </c>
      <c r="I1696" s="2" t="s">
        <v>5926</v>
      </c>
      <c r="J1696" s="2" t="s">
        <v>5933</v>
      </c>
      <c r="K1696" s="3" t="b">
        <f>J1696 = "blocking"</f>
        <v>1</v>
      </c>
      <c r="L1696" s="2" t="s">
        <v>1428</v>
      </c>
      <c r="M1696" s="2" t="s">
        <v>8041</v>
      </c>
      <c r="N1696" s="4">
        <v>46223.1297337963</v>
      </c>
      <c r="O1696" s="3" t="b">
        <f>L1696 = "PASS"</f>
        <v>1</v>
      </c>
      <c r="P1696" s="3" t="b">
        <f>L1696 = "FAIL"</f>
        <v>0</v>
      </c>
      <c r="Q1696" s="3" t="b">
        <f>AND(P1696, K1696)</f>
        <v>0</v>
      </c>
      <c r="R1696" s="3" t="str">
        <f>IF(O1696, I1696, "")</f>
        <v>suite-provenance</v>
      </c>
      <c r="S1696" s="3" t="str">
        <f>IF(Q1696, I1696, "")</f>
      </c>
      <c r="T1696" s="2" t="s">
        <v>5935</v>
      </c>
    </row>
    <row r="1697">
      <c r="A1697" s="2" t="s">
        <v>8058</v>
      </c>
      <c r="B1697" s="3" t="str">
        <f>C1697 &amp; ": " &amp; D1697</f>
        <v>question-answered: q-steward-cadence-breach</v>
      </c>
      <c r="C1697" s="2" t="s">
        <v>8037</v>
      </c>
      <c r="D1697" s="2" t="s">
        <v>1996</v>
      </c>
      <c r="E1697" s="2"/>
      <c r="F1697" s="2"/>
      <c r="G1697" s="2" t="s">
        <v>8038</v>
      </c>
      <c r="H1697" s="2" t="s">
        <v>1996</v>
      </c>
      <c r="I1697" s="2" t="s">
        <v>5926</v>
      </c>
      <c r="J1697" s="2" t="s">
        <v>5933</v>
      </c>
      <c r="K1697" s="3" t="b">
        <f>J1697 = "blocking"</f>
        <v>1</v>
      </c>
      <c r="L1697" s="2" t="s">
        <v>1428</v>
      </c>
      <c r="M1697" s="2" t="s">
        <v>8041</v>
      </c>
      <c r="N1697" s="4">
        <v>46223.1297337963</v>
      </c>
      <c r="O1697" s="3" t="b">
        <f>L1697 = "PASS"</f>
        <v>1</v>
      </c>
      <c r="P1697" s="3" t="b">
        <f>L1697 = "FAIL"</f>
        <v>0</v>
      </c>
      <c r="Q1697" s="3" t="b">
        <f>AND(P1697, K1697)</f>
        <v>0</v>
      </c>
      <c r="R1697" s="3" t="str">
        <f>IF(O1697, I1697, "")</f>
        <v>suite-provenance</v>
      </c>
      <c r="S1697" s="3" t="str">
        <f>IF(Q1697, I1697, "")</f>
      </c>
      <c r="T1697" s="2" t="s">
        <v>5935</v>
      </c>
    </row>
    <row r="1698">
      <c r="A1698" s="2" t="s">
        <v>8059</v>
      </c>
      <c r="B1698" s="3" t="str">
        <f>C1698 &amp; ": " &amp; D1698</f>
        <v>question-answered: q-steward-orphan-versions</v>
      </c>
      <c r="C1698" s="2" t="s">
        <v>8037</v>
      </c>
      <c r="D1698" s="2" t="s">
        <v>2000</v>
      </c>
      <c r="E1698" s="2"/>
      <c r="F1698" s="2"/>
      <c r="G1698" s="2" t="s">
        <v>8038</v>
      </c>
      <c r="H1698" s="2" t="s">
        <v>2000</v>
      </c>
      <c r="I1698" s="2" t="s">
        <v>5926</v>
      </c>
      <c r="J1698" s="2" t="s">
        <v>5933</v>
      </c>
      <c r="K1698" s="3" t="b">
        <f>J1698 = "blocking"</f>
        <v>1</v>
      </c>
      <c r="L1698" s="2" t="s">
        <v>1428</v>
      </c>
      <c r="M1698" s="2" t="s">
        <v>8043</v>
      </c>
      <c r="N1698" s="4">
        <v>46223.1297337963</v>
      </c>
      <c r="O1698" s="3" t="b">
        <f>L1698 = "PASS"</f>
        <v>1</v>
      </c>
      <c r="P1698" s="3" t="b">
        <f>L1698 = "FAIL"</f>
        <v>0</v>
      </c>
      <c r="Q1698" s="3" t="b">
        <f>AND(P1698, K1698)</f>
        <v>0</v>
      </c>
      <c r="R1698" s="3" t="str">
        <f>IF(O1698, I1698, "")</f>
        <v>suite-provenance</v>
      </c>
      <c r="S1698" s="3" t="str">
        <f>IF(Q1698, I1698, "")</f>
      </c>
      <c r="T1698" s="2" t="s">
        <v>5935</v>
      </c>
    </row>
    <row r="1699">
      <c r="A1699" s="2" t="s">
        <v>8060</v>
      </c>
      <c r="B1699" s="3" t="str">
        <f>C1699 &amp; ": " &amp; D1699</f>
        <v>question-answered: q-steward-untested-fallbacks</v>
      </c>
      <c r="C1699" s="2" t="s">
        <v>8037</v>
      </c>
      <c r="D1699" s="2" t="s">
        <v>2004</v>
      </c>
      <c r="E1699" s="2"/>
      <c r="F1699" s="2"/>
      <c r="G1699" s="2" t="s">
        <v>8038</v>
      </c>
      <c r="H1699" s="2" t="s">
        <v>2004</v>
      </c>
      <c r="I1699" s="2" t="s">
        <v>5926</v>
      </c>
      <c r="J1699" s="2" t="s">
        <v>5933</v>
      </c>
      <c r="K1699" s="3" t="b">
        <f>J1699 = "blocking"</f>
        <v>1</v>
      </c>
      <c r="L1699" s="2" t="s">
        <v>1428</v>
      </c>
      <c r="M1699" s="2" t="s">
        <v>8061</v>
      </c>
      <c r="N1699" s="4">
        <v>46223.1297337963</v>
      </c>
      <c r="O1699" s="3" t="b">
        <f>L1699 = "PASS"</f>
        <v>1</v>
      </c>
      <c r="P1699" s="3" t="b">
        <f>L1699 = "FAIL"</f>
        <v>0</v>
      </c>
      <c r="Q1699" s="3" t="b">
        <f>AND(P1699, K1699)</f>
        <v>0</v>
      </c>
      <c r="R1699" s="3" t="str">
        <f>IF(O1699, I1699, "")</f>
        <v>suite-provenance</v>
      </c>
      <c r="S1699" s="3" t="str">
        <f>IF(Q1699, I1699, "")</f>
      </c>
      <c r="T1699" s="2" t="s">
        <v>5935</v>
      </c>
    </row>
    <row r="1700">
      <c r="A1700" s="2" t="s">
        <v>8062</v>
      </c>
      <c r="B1700" s="3" t="str">
        <f>C1700 &amp; ": " &amp; D1700</f>
        <v>question-answered: q-steward-published-with-blocking-gap</v>
      </c>
      <c r="C1700" s="2" t="s">
        <v>8037</v>
      </c>
      <c r="D1700" s="2" t="s">
        <v>2008</v>
      </c>
      <c r="E1700" s="2"/>
      <c r="F1700" s="2"/>
      <c r="G1700" s="2" t="s">
        <v>8038</v>
      </c>
      <c r="H1700" s="2" t="s">
        <v>2008</v>
      </c>
      <c r="I1700" s="2" t="s">
        <v>5926</v>
      </c>
      <c r="J1700" s="2" t="s">
        <v>5933</v>
      </c>
      <c r="K1700" s="3" t="b">
        <f>J1700 = "blocking"</f>
        <v>1</v>
      </c>
      <c r="L1700" s="2" t="s">
        <v>1428</v>
      </c>
      <c r="M1700" s="2" t="s">
        <v>8043</v>
      </c>
      <c r="N1700" s="4">
        <v>46223.1297337963</v>
      </c>
      <c r="O1700" s="3" t="b">
        <f>L1700 = "PASS"</f>
        <v>1</v>
      </c>
      <c r="P1700" s="3" t="b">
        <f>L1700 = "FAIL"</f>
        <v>0</v>
      </c>
      <c r="Q1700" s="3" t="b">
        <f>AND(P1700, K1700)</f>
        <v>0</v>
      </c>
      <c r="R1700" s="3" t="str">
        <f>IF(O1700, I1700, "")</f>
        <v>suite-provenance</v>
      </c>
      <c r="S1700" s="3" t="str">
        <f>IF(Q1700, I1700, "")</f>
      </c>
      <c r="T1700" s="2" t="s">
        <v>5935</v>
      </c>
    </row>
    <row r="1701">
      <c r="A1701" s="2" t="s">
        <v>8063</v>
      </c>
      <c r="B1701" s="3" t="str">
        <f>C1701 &amp; ": " &amp; D1701</f>
        <v>question-answered: q-steward-stalled-change-requests</v>
      </c>
      <c r="C1701" s="2" t="s">
        <v>8037</v>
      </c>
      <c r="D1701" s="2" t="s">
        <v>2012</v>
      </c>
      <c r="E1701" s="2"/>
      <c r="F1701" s="2"/>
      <c r="G1701" s="2" t="s">
        <v>8038</v>
      </c>
      <c r="H1701" s="2" t="s">
        <v>2012</v>
      </c>
      <c r="I1701" s="2" t="s">
        <v>5926</v>
      </c>
      <c r="J1701" s="2" t="s">
        <v>5933</v>
      </c>
      <c r="K1701" s="3" t="b">
        <f>J1701 = "blocking"</f>
        <v>1</v>
      </c>
      <c r="L1701" s="2" t="s">
        <v>1428</v>
      </c>
      <c r="M1701" s="2" t="s">
        <v>8043</v>
      </c>
      <c r="N1701" s="4">
        <v>46223.1297337963</v>
      </c>
      <c r="O1701" s="3" t="b">
        <f>L1701 = "PASS"</f>
        <v>1</v>
      </c>
      <c r="P1701" s="3" t="b">
        <f>L1701 = "FAIL"</f>
        <v>0</v>
      </c>
      <c r="Q1701" s="3" t="b">
        <f>AND(P1701, K1701)</f>
        <v>0</v>
      </c>
      <c r="R1701" s="3" t="str">
        <f>IF(O1701, I1701, "")</f>
        <v>suite-provenance</v>
      </c>
      <c r="S1701" s="3" t="str">
        <f>IF(Q1701, I1701, "")</f>
      </c>
      <c r="T1701" s="2" t="s">
        <v>5935</v>
      </c>
    </row>
    <row r="1702">
      <c r="A1702" s="2" t="s">
        <v>8064</v>
      </c>
      <c r="B1702" s="3" t="str">
        <f>C1702 &amp; ": " &amp; D1702</f>
        <v>question-answered: q-authority-orphaned-provenance</v>
      </c>
      <c r="C1702" s="2" t="s">
        <v>8037</v>
      </c>
      <c r="D1702" s="2" t="s">
        <v>2016</v>
      </c>
      <c r="E1702" s="2"/>
      <c r="F1702" s="2"/>
      <c r="G1702" s="2" t="s">
        <v>8038</v>
      </c>
      <c r="H1702" s="2" t="s">
        <v>2016</v>
      </c>
      <c r="I1702" s="2" t="s">
        <v>5926</v>
      </c>
      <c r="J1702" s="2" t="s">
        <v>5933</v>
      </c>
      <c r="K1702" s="3" t="b">
        <f>J1702 = "blocking"</f>
        <v>1</v>
      </c>
      <c r="L1702" s="2" t="s">
        <v>1428</v>
      </c>
      <c r="M1702" s="2" t="s">
        <v>8041</v>
      </c>
      <c r="N1702" s="4">
        <v>46223.1297337963</v>
      </c>
      <c r="O1702" s="3" t="b">
        <f>L1702 = "PASS"</f>
        <v>1</v>
      </c>
      <c r="P1702" s="3" t="b">
        <f>L1702 = "FAIL"</f>
        <v>0</v>
      </c>
      <c r="Q1702" s="3" t="b">
        <f>AND(P1702, K1702)</f>
        <v>0</v>
      </c>
      <c r="R1702" s="3" t="str">
        <f>IF(O1702, I1702, "")</f>
        <v>suite-provenance</v>
      </c>
      <c r="S1702" s="3" t="str">
        <f>IF(Q1702, I1702, "")</f>
      </c>
      <c r="T1702" s="2" t="s">
        <v>5935</v>
      </c>
    </row>
    <row r="1703">
      <c r="A1703" s="2" t="s">
        <v>8065</v>
      </c>
      <c r="B1703" s="3" t="str">
        <f>C1703 &amp; ": " &amp; D1703</f>
        <v>question-answered: q-authority-non-approved-dependency</v>
      </c>
      <c r="C1703" s="2" t="s">
        <v>8037</v>
      </c>
      <c r="D1703" s="2" t="s">
        <v>2020</v>
      </c>
      <c r="E1703" s="2"/>
      <c r="F1703" s="2"/>
      <c r="G1703" s="2" t="s">
        <v>8038</v>
      </c>
      <c r="H1703" s="2" t="s">
        <v>2020</v>
      </c>
      <c r="I1703" s="2" t="s">
        <v>5926</v>
      </c>
      <c r="J1703" s="2" t="s">
        <v>5933</v>
      </c>
      <c r="K1703" s="3" t="b">
        <f>J1703 = "blocking"</f>
        <v>1</v>
      </c>
      <c r="L1703" s="2" t="s">
        <v>1428</v>
      </c>
      <c r="M1703" s="2" t="s">
        <v>8041</v>
      </c>
      <c r="N1703" s="4">
        <v>46223.1297337963</v>
      </c>
      <c r="O1703" s="3" t="b">
        <f>L1703 = "PASS"</f>
        <v>1</v>
      </c>
      <c r="P1703" s="3" t="b">
        <f>L1703 = "FAIL"</f>
        <v>0</v>
      </c>
      <c r="Q1703" s="3" t="b">
        <f>AND(P1703, K1703)</f>
        <v>0</v>
      </c>
      <c r="R1703" s="3" t="str">
        <f>IF(O1703, I1703, "")</f>
        <v>suite-provenance</v>
      </c>
      <c r="S1703" s="3" t="str">
        <f>IF(Q1703, I1703, "")</f>
      </c>
      <c r="T1703" s="2" t="s">
        <v>5935</v>
      </c>
    </row>
    <row r="1704">
      <c r="A1704" s="2" t="s">
        <v>8066</v>
      </c>
      <c r="B1704" s="3" t="str">
        <f>C1704 &amp; ": " &amp; D1704</f>
        <v>question-answered: q-authority-stale-elicitation</v>
      </c>
      <c r="C1704" s="2" t="s">
        <v>8037</v>
      </c>
      <c r="D1704" s="2" t="s">
        <v>2024</v>
      </c>
      <c r="E1704" s="2"/>
      <c r="F1704" s="2"/>
      <c r="G1704" s="2" t="s">
        <v>8038</v>
      </c>
      <c r="H1704" s="2" t="s">
        <v>2024</v>
      </c>
      <c r="I1704" s="2" t="s">
        <v>5926</v>
      </c>
      <c r="J1704" s="2" t="s">
        <v>5933</v>
      </c>
      <c r="K1704" s="3" t="b">
        <f>J1704 = "blocking"</f>
        <v>1</v>
      </c>
      <c r="L1704" s="2" t="s">
        <v>1428</v>
      </c>
      <c r="M1704" s="2" t="s">
        <v>8041</v>
      </c>
      <c r="N1704" s="4">
        <v>46223.1297337963</v>
      </c>
      <c r="O1704" s="3" t="b">
        <f>L1704 = "PASS"</f>
        <v>1</v>
      </c>
      <c r="P1704" s="3" t="b">
        <f>L1704 = "FAIL"</f>
        <v>0</v>
      </c>
      <c r="Q1704" s="3" t="b">
        <f>AND(P1704, K1704)</f>
        <v>0</v>
      </c>
      <c r="R1704" s="3" t="str">
        <f>IF(O1704, I1704, "")</f>
        <v>suite-provenance</v>
      </c>
      <c r="S1704" s="3" t="str">
        <f>IF(Q1704, I1704, "")</f>
      </c>
      <c r="T1704" s="2" t="s">
        <v>5935</v>
      </c>
    </row>
    <row r="1705">
      <c r="A1705" s="2" t="s">
        <v>8067</v>
      </c>
      <c r="B1705" s="3" t="str">
        <f>C1705 &amp; ": " &amp; D1705</f>
        <v>question-answered: q-authority-known-unknowns</v>
      </c>
      <c r="C1705" s="2" t="s">
        <v>8037</v>
      </c>
      <c r="D1705" s="2" t="s">
        <v>2028</v>
      </c>
      <c r="E1705" s="2"/>
      <c r="F1705" s="2"/>
      <c r="G1705" s="2" t="s">
        <v>8038</v>
      </c>
      <c r="H1705" s="2" t="s">
        <v>2028</v>
      </c>
      <c r="I1705" s="2" t="s">
        <v>5926</v>
      </c>
      <c r="J1705" s="2" t="s">
        <v>5933</v>
      </c>
      <c r="K1705" s="3" t="b">
        <f>J1705 = "blocking"</f>
        <v>1</v>
      </c>
      <c r="L1705" s="2" t="s">
        <v>1428</v>
      </c>
      <c r="M1705" s="2" t="s">
        <v>8041</v>
      </c>
      <c r="N1705" s="4">
        <v>46223.1297337963</v>
      </c>
      <c r="O1705" s="3" t="b">
        <f>L1705 = "PASS"</f>
        <v>1</v>
      </c>
      <c r="P1705" s="3" t="b">
        <f>L1705 = "FAIL"</f>
        <v>0</v>
      </c>
      <c r="Q1705" s="3" t="b">
        <f>AND(P1705, K1705)</f>
        <v>0</v>
      </c>
      <c r="R1705" s="3" t="str">
        <f>IF(O1705, I1705, "")</f>
        <v>suite-provenance</v>
      </c>
      <c r="S1705" s="3" t="str">
        <f>IF(Q1705, I1705, "")</f>
      </c>
      <c r="T1705" s="2" t="s">
        <v>5935</v>
      </c>
    </row>
    <row r="1706">
      <c r="A1706" s="2" t="s">
        <v>8068</v>
      </c>
      <c r="B1706" s="3" t="str">
        <f>C1706 &amp; ": " &amp; D1706</f>
        <v>question-answered: q-authority-unwitnessed-change</v>
      </c>
      <c r="C1706" s="2" t="s">
        <v>8037</v>
      </c>
      <c r="D1706" s="2" t="s">
        <v>2032</v>
      </c>
      <c r="E1706" s="2"/>
      <c r="F1706" s="2"/>
      <c r="G1706" s="2" t="s">
        <v>8038</v>
      </c>
      <c r="H1706" s="2" t="s">
        <v>2032</v>
      </c>
      <c r="I1706" s="2" t="s">
        <v>5926</v>
      </c>
      <c r="J1706" s="2" t="s">
        <v>5933</v>
      </c>
      <c r="K1706" s="3" t="b">
        <f>J1706 = "blocking"</f>
        <v>1</v>
      </c>
      <c r="L1706" s="2" t="s">
        <v>1428</v>
      </c>
      <c r="M1706" s="2" t="s">
        <v>8041</v>
      </c>
      <c r="N1706" s="4">
        <v>46223.1297337963</v>
      </c>
      <c r="O1706" s="3" t="b">
        <f>L1706 = "PASS"</f>
        <v>1</v>
      </c>
      <c r="P1706" s="3" t="b">
        <f>L1706 = "FAIL"</f>
        <v>0</v>
      </c>
      <c r="Q1706" s="3" t="b">
        <f>AND(P1706, K1706)</f>
        <v>0</v>
      </c>
      <c r="R1706" s="3" t="str">
        <f>IF(O1706, I1706, "")</f>
        <v>suite-provenance</v>
      </c>
      <c r="S1706" s="3" t="str">
        <f>IF(Q1706, I1706, "")</f>
      </c>
      <c r="T1706" s="2" t="s">
        <v>5935</v>
      </c>
    </row>
    <row r="1707">
      <c r="A1707" s="2" t="s">
        <v>8069</v>
      </c>
      <c r="B1707" s="3" t="str">
        <f>C1707 &amp; ": " &amp; D1707</f>
        <v>question-answered: q-counsel-sms-without-consent</v>
      </c>
      <c r="C1707" s="2" t="s">
        <v>8037</v>
      </c>
      <c r="D1707" s="2" t="s">
        <v>2036</v>
      </c>
      <c r="E1707" s="2"/>
      <c r="F1707" s="2"/>
      <c r="G1707" s="2" t="s">
        <v>8038</v>
      </c>
      <c r="H1707" s="2" t="s">
        <v>2036</v>
      </c>
      <c r="I1707" s="2" t="s">
        <v>5926</v>
      </c>
      <c r="J1707" s="2" t="s">
        <v>5933</v>
      </c>
      <c r="K1707" s="3" t="b">
        <f>J1707 = "blocking"</f>
        <v>1</v>
      </c>
      <c r="L1707" s="2" t="s">
        <v>1428</v>
      </c>
      <c r="M1707" s="2" t="s">
        <v>8041</v>
      </c>
      <c r="N1707" s="4">
        <v>46223.1297337963</v>
      </c>
      <c r="O1707" s="3" t="b">
        <f>L1707 = "PASS"</f>
        <v>1</v>
      </c>
      <c r="P1707" s="3" t="b">
        <f>L1707 = "FAIL"</f>
        <v>0</v>
      </c>
      <c r="Q1707" s="3" t="b">
        <f>AND(P1707, K1707)</f>
        <v>0</v>
      </c>
      <c r="R1707" s="3" t="str">
        <f>IF(O1707, I1707, "")</f>
        <v>suite-provenance</v>
      </c>
      <c r="S1707" s="3" t="str">
        <f>IF(Q1707, I1707, "")</f>
      </c>
      <c r="T1707" s="2" t="s">
        <v>5935</v>
      </c>
    </row>
    <row r="1708">
      <c r="A1708" s="2" t="s">
        <v>8070</v>
      </c>
      <c r="B1708" s="3" t="str">
        <f>C1708 &amp; ": " &amp; D1708</f>
        <v>question-answered: q-counsel-quiet-hours-breach</v>
      </c>
      <c r="C1708" s="2" t="s">
        <v>8037</v>
      </c>
      <c r="D1708" s="2" t="s">
        <v>2040</v>
      </c>
      <c r="E1708" s="2"/>
      <c r="F1708" s="2"/>
      <c r="G1708" s="2" t="s">
        <v>8038</v>
      </c>
      <c r="H1708" s="2" t="s">
        <v>2040</v>
      </c>
      <c r="I1708" s="2" t="s">
        <v>5926</v>
      </c>
      <c r="J1708" s="2" t="s">
        <v>5933</v>
      </c>
      <c r="K1708" s="3" t="b">
        <f>J1708 = "blocking"</f>
        <v>1</v>
      </c>
      <c r="L1708" s="2" t="s">
        <v>1428</v>
      </c>
      <c r="M1708" s="2" t="s">
        <v>8050</v>
      </c>
      <c r="N1708" s="4">
        <v>46223.1297337963</v>
      </c>
      <c r="O1708" s="3" t="b">
        <f>L1708 = "PASS"</f>
        <v>1</v>
      </c>
      <c r="P1708" s="3" t="b">
        <f>L1708 = "FAIL"</f>
        <v>0</v>
      </c>
      <c r="Q1708" s="3" t="b">
        <f>AND(P1708, K1708)</f>
        <v>0</v>
      </c>
      <c r="R1708" s="3" t="str">
        <f>IF(O1708, I1708, "")</f>
        <v>suite-provenance</v>
      </c>
      <c r="S1708" s="3" t="str">
        <f>IF(Q1708, I1708, "")</f>
      </c>
      <c r="T1708" s="2" t="s">
        <v>5935</v>
      </c>
    </row>
    <row r="1709">
      <c r="A1709" s="2" t="s">
        <v>8071</v>
      </c>
      <c r="B1709" s="3" t="str">
        <f>C1709 &amp; ": " &amp; D1709</f>
        <v>question-answered: q-counsel-unreachable-not-acknowledged</v>
      </c>
      <c r="C1709" s="2" t="s">
        <v>8037</v>
      </c>
      <c r="D1709" s="2" t="s">
        <v>2044</v>
      </c>
      <c r="E1709" s="2"/>
      <c r="F1709" s="2"/>
      <c r="G1709" s="2" t="s">
        <v>8038</v>
      </c>
      <c r="H1709" s="2" t="s">
        <v>2044</v>
      </c>
      <c r="I1709" s="2" t="s">
        <v>5926</v>
      </c>
      <c r="J1709" s="2" t="s">
        <v>5933</v>
      </c>
      <c r="K1709" s="3" t="b">
        <f>J1709 = "blocking"</f>
        <v>1</v>
      </c>
      <c r="L1709" s="2" t="s">
        <v>1428</v>
      </c>
      <c r="M1709" s="2" t="s">
        <v>8041</v>
      </c>
      <c r="N1709" s="4">
        <v>46223.1297337963</v>
      </c>
      <c r="O1709" s="3" t="b">
        <f>L1709 = "PASS"</f>
        <v>1</v>
      </c>
      <c r="P1709" s="3" t="b">
        <f>L1709 = "FAIL"</f>
        <v>0</v>
      </c>
      <c r="Q1709" s="3" t="b">
        <f>AND(P1709, K1709)</f>
        <v>0</v>
      </c>
      <c r="R1709" s="3" t="str">
        <f>IF(O1709, I1709, "")</f>
        <v>suite-provenance</v>
      </c>
      <c r="S1709" s="3" t="str">
        <f>IF(Q1709, I1709, "")</f>
      </c>
      <c r="T1709" s="2" t="s">
        <v>5935</v>
      </c>
    </row>
    <row r="1710">
      <c r="A1710" s="2" t="s">
        <v>8072</v>
      </c>
      <c r="B1710" s="3" t="str">
        <f>C1710 &amp; ": " &amp; D1710</f>
        <v>question-answered: q-counsel-retention-evidence</v>
      </c>
      <c r="C1710" s="2" t="s">
        <v>8037</v>
      </c>
      <c r="D1710" s="2" t="s">
        <v>2048</v>
      </c>
      <c r="E1710" s="2"/>
      <c r="F1710" s="2"/>
      <c r="G1710" s="2" t="s">
        <v>8038</v>
      </c>
      <c r="H1710" s="2" t="s">
        <v>2048</v>
      </c>
      <c r="I1710" s="2" t="s">
        <v>5926</v>
      </c>
      <c r="J1710" s="2" t="s">
        <v>5933</v>
      </c>
      <c r="K1710" s="3" t="b">
        <f>J1710 = "blocking"</f>
        <v>1</v>
      </c>
      <c r="L1710" s="2" t="s">
        <v>1428</v>
      </c>
      <c r="M1710" s="2" t="s">
        <v>8041</v>
      </c>
      <c r="N1710" s="4">
        <v>46223.1297337963</v>
      </c>
      <c r="O1710" s="3" t="b">
        <f>L1710 = "PASS"</f>
        <v>1</v>
      </c>
      <c r="P1710" s="3" t="b">
        <f>L1710 = "FAIL"</f>
        <v>0</v>
      </c>
      <c r="Q1710" s="3" t="b">
        <f>AND(P1710, K1710)</f>
        <v>0</v>
      </c>
      <c r="R1710" s="3" t="str">
        <f>IF(O1710, I1710, "")</f>
        <v>suite-provenance</v>
      </c>
      <c r="S1710" s="3" t="str">
        <f>IF(Q1710, I1710, "")</f>
      </c>
      <c r="T1710" s="2" t="s">
        <v>5935</v>
      </c>
    </row>
    <row r="1711">
      <c r="A1711" s="2" t="s">
        <v>8073</v>
      </c>
      <c r="B1711" s="3" t="str">
        <f>C1711 &amp; ": " &amp; D1711</f>
        <v>question-answered: q-counsel-legal-review-gated-send</v>
      </c>
      <c r="C1711" s="2" t="s">
        <v>8037</v>
      </c>
      <c r="D1711" s="2" t="s">
        <v>2052</v>
      </c>
      <c r="E1711" s="2"/>
      <c r="F1711" s="2"/>
      <c r="G1711" s="2" t="s">
        <v>8038</v>
      </c>
      <c r="H1711" s="2" t="s">
        <v>2052</v>
      </c>
      <c r="I1711" s="2" t="s">
        <v>5926</v>
      </c>
      <c r="J1711" s="2" t="s">
        <v>5933</v>
      </c>
      <c r="K1711" s="3" t="b">
        <f>J1711 = "blocking"</f>
        <v>1</v>
      </c>
      <c r="L1711" s="2" t="s">
        <v>1428</v>
      </c>
      <c r="M1711" s="2" t="s">
        <v>8041</v>
      </c>
      <c r="N1711" s="4">
        <v>46223.1297337963</v>
      </c>
      <c r="O1711" s="3" t="b">
        <f>L1711 = "PASS"</f>
        <v>1</v>
      </c>
      <c r="P1711" s="3" t="b">
        <f>L1711 = "FAIL"</f>
        <v>0</v>
      </c>
      <c r="Q1711" s="3" t="b">
        <f>AND(P1711, K1711)</f>
        <v>0</v>
      </c>
      <c r="R1711" s="3" t="str">
        <f>IF(O1711, I1711, "")</f>
        <v>suite-provenance</v>
      </c>
      <c r="S1711" s="3" t="str">
        <f>IF(Q1711, I1711, "")</f>
      </c>
      <c r="T1711" s="2" t="s">
        <v>5935</v>
      </c>
    </row>
    <row r="1712">
      <c r="A1712" s="2" t="s">
        <v>8074</v>
      </c>
      <c r="B1712" s="3" t="str">
        <f>C1712 &amp; ": " &amp; D1712</f>
        <v>question-answered: q-comms-oversized-sms</v>
      </c>
      <c r="C1712" s="2" t="s">
        <v>8037</v>
      </c>
      <c r="D1712" s="2" t="s">
        <v>2056</v>
      </c>
      <c r="E1712" s="2"/>
      <c r="F1712" s="2"/>
      <c r="G1712" s="2" t="s">
        <v>8038</v>
      </c>
      <c r="H1712" s="2" t="s">
        <v>2056</v>
      </c>
      <c r="I1712" s="2" t="s">
        <v>5926</v>
      </c>
      <c r="J1712" s="2" t="s">
        <v>5933</v>
      </c>
      <c r="K1712" s="3" t="b">
        <f>J1712 = "blocking"</f>
        <v>1</v>
      </c>
      <c r="L1712" s="2" t="s">
        <v>1428</v>
      </c>
      <c r="M1712" s="2" t="s">
        <v>8054</v>
      </c>
      <c r="N1712" s="4">
        <v>46223.1297337963</v>
      </c>
      <c r="O1712" s="3" t="b">
        <f>L1712 = "PASS"</f>
        <v>1</v>
      </c>
      <c r="P1712" s="3" t="b">
        <f>L1712 = "FAIL"</f>
        <v>0</v>
      </c>
      <c r="Q1712" s="3" t="b">
        <f>AND(P1712, K1712)</f>
        <v>0</v>
      </c>
      <c r="R1712" s="3" t="str">
        <f>IF(O1712, I1712, "")</f>
        <v>suite-provenance</v>
      </c>
      <c r="S1712" s="3" t="str">
        <f>IF(Q1712, I1712, "")</f>
      </c>
      <c r="T1712" s="2" t="s">
        <v>5935</v>
      </c>
    </row>
    <row r="1713">
      <c r="A1713" s="2" t="s">
        <v>8075</v>
      </c>
      <c r="B1713" s="3" t="str">
        <f>C1713 &amp; ": " &amp; D1713</f>
        <v>question-answered: q-comms-approval-authority</v>
      </c>
      <c r="C1713" s="2" t="s">
        <v>8037</v>
      </c>
      <c r="D1713" s="2" t="s">
        <v>2060</v>
      </c>
      <c r="E1713" s="2"/>
      <c r="F1713" s="2"/>
      <c r="G1713" s="2" t="s">
        <v>8038</v>
      </c>
      <c r="H1713" s="2" t="s">
        <v>2060</v>
      </c>
      <c r="I1713" s="2" t="s">
        <v>5926</v>
      </c>
      <c r="J1713" s="2" t="s">
        <v>5933</v>
      </c>
      <c r="K1713" s="3" t="b">
        <f>J1713 = "blocking"</f>
        <v>1</v>
      </c>
      <c r="L1713" s="2" t="s">
        <v>1428</v>
      </c>
      <c r="M1713" s="2" t="s">
        <v>8050</v>
      </c>
      <c r="N1713" s="4">
        <v>46223.1297337963</v>
      </c>
      <c r="O1713" s="3" t="b">
        <f>L1713 = "PASS"</f>
        <v>1</v>
      </c>
      <c r="P1713" s="3" t="b">
        <f>L1713 = "FAIL"</f>
        <v>0</v>
      </c>
      <c r="Q1713" s="3" t="b">
        <f>AND(P1713, K1713)</f>
        <v>0</v>
      </c>
      <c r="R1713" s="3" t="str">
        <f>IF(O1713, I1713, "")</f>
        <v>suite-provenance</v>
      </c>
      <c r="S1713" s="3" t="str">
        <f>IF(Q1713, I1713, "")</f>
      </c>
      <c r="T1713" s="2" t="s">
        <v>5935</v>
      </c>
    </row>
    <row r="1714">
      <c r="A1714" s="2" t="s">
        <v>8076</v>
      </c>
      <c r="B1714" s="3" t="str">
        <f>C1714 &amp; ": " &amp; D1714</f>
        <v>question-answered: q-comms-optout-present</v>
      </c>
      <c r="C1714" s="2" t="s">
        <v>8037</v>
      </c>
      <c r="D1714" s="2" t="s">
        <v>2064</v>
      </c>
      <c r="E1714" s="2"/>
      <c r="F1714" s="2"/>
      <c r="G1714" s="2" t="s">
        <v>8038</v>
      </c>
      <c r="H1714" s="2" t="s">
        <v>2064</v>
      </c>
      <c r="I1714" s="2" t="s">
        <v>5926</v>
      </c>
      <c r="J1714" s="2" t="s">
        <v>5933</v>
      </c>
      <c r="K1714" s="3" t="b">
        <f>J1714 = "blocking"</f>
        <v>1</v>
      </c>
      <c r="L1714" s="2" t="s">
        <v>1428</v>
      </c>
      <c r="M1714" s="2" t="s">
        <v>8041</v>
      </c>
      <c r="N1714" s="4">
        <v>46223.1297337963</v>
      </c>
      <c r="O1714" s="3" t="b">
        <f>L1714 = "PASS"</f>
        <v>1</v>
      </c>
      <c r="P1714" s="3" t="b">
        <f>L1714 = "FAIL"</f>
        <v>0</v>
      </c>
      <c r="Q1714" s="3" t="b">
        <f>AND(P1714, K1714)</f>
        <v>0</v>
      </c>
      <c r="R1714" s="3" t="str">
        <f>IF(O1714, I1714, "")</f>
        <v>suite-provenance</v>
      </c>
      <c r="S1714" s="3" t="str">
        <f>IF(Q1714, I1714, "")</f>
      </c>
      <c r="T1714" s="2" t="s">
        <v>5935</v>
      </c>
    </row>
    <row r="1715">
      <c r="A1715" s="2" t="s">
        <v>8077</v>
      </c>
      <c r="B1715" s="3" t="str">
        <f>C1715 &amp; ": " &amp; D1715</f>
        <v>question-answered: q-comms-deliverability</v>
      </c>
      <c r="C1715" s="2" t="s">
        <v>8037</v>
      </c>
      <c r="D1715" s="2" t="s">
        <v>2068</v>
      </c>
      <c r="E1715" s="2"/>
      <c r="F1715" s="2"/>
      <c r="G1715" s="2" t="s">
        <v>8038</v>
      </c>
      <c r="H1715" s="2" t="s">
        <v>2068</v>
      </c>
      <c r="I1715" s="2" t="s">
        <v>5926</v>
      </c>
      <c r="J1715" s="2" t="s">
        <v>5933</v>
      </c>
      <c r="K1715" s="3" t="b">
        <f>J1715 = "blocking"</f>
        <v>1</v>
      </c>
      <c r="L1715" s="2" t="s">
        <v>1428</v>
      </c>
      <c r="M1715" s="2" t="s">
        <v>8050</v>
      </c>
      <c r="N1715" s="4">
        <v>46223.1297337963</v>
      </c>
      <c r="O1715" s="3" t="b">
        <f>L1715 = "PASS"</f>
        <v>1</v>
      </c>
      <c r="P1715" s="3" t="b">
        <f>L1715 = "FAIL"</f>
        <v>0</v>
      </c>
      <c r="Q1715" s="3" t="b">
        <f>AND(P1715, K1715)</f>
        <v>0</v>
      </c>
      <c r="R1715" s="3" t="str">
        <f>IF(O1715, I1715, "")</f>
        <v>suite-provenance</v>
      </c>
      <c r="S1715" s="3" t="str">
        <f>IF(Q1715, I1715, "")</f>
      </c>
      <c r="T1715" s="2" t="s">
        <v>5935</v>
      </c>
    </row>
    <row r="1716">
      <c r="A1716" s="2" t="s">
        <v>8078</v>
      </c>
      <c r="B1716" s="3" t="str">
        <f>C1716 &amp; ": " &amp; D1716</f>
        <v>question-answered: q-comms-template-drift</v>
      </c>
      <c r="C1716" s="2" t="s">
        <v>8037</v>
      </c>
      <c r="D1716" s="2" t="s">
        <v>2072</v>
      </c>
      <c r="E1716" s="2"/>
      <c r="F1716" s="2"/>
      <c r="G1716" s="2" t="s">
        <v>8038</v>
      </c>
      <c r="H1716" s="2" t="s">
        <v>2072</v>
      </c>
      <c r="I1716" s="2" t="s">
        <v>5926</v>
      </c>
      <c r="J1716" s="2" t="s">
        <v>5933</v>
      </c>
      <c r="K1716" s="3" t="b">
        <f>J1716 = "blocking"</f>
        <v>1</v>
      </c>
      <c r="L1716" s="2" t="s">
        <v>1428</v>
      </c>
      <c r="M1716" s="2" t="s">
        <v>8054</v>
      </c>
      <c r="N1716" s="4">
        <v>46223.1297337963</v>
      </c>
      <c r="O1716" s="3" t="b">
        <f>L1716 = "PASS"</f>
        <v>1</v>
      </c>
      <c r="P1716" s="3" t="b">
        <f>L1716 = "FAIL"</f>
        <v>0</v>
      </c>
      <c r="Q1716" s="3" t="b">
        <f>AND(P1716, K1716)</f>
        <v>0</v>
      </c>
      <c r="R1716" s="3" t="str">
        <f>IF(O1716, I1716, "")</f>
        <v>suite-provenance</v>
      </c>
      <c r="S1716" s="3" t="str">
        <f>IF(Q1716, I1716, "")</f>
      </c>
      <c r="T1716" s="2" t="s">
        <v>5935</v>
      </c>
    </row>
    <row r="1717">
      <c r="A1717" s="2" t="s">
        <v>8079</v>
      </c>
      <c r="B1717" s="3" t="str">
        <f>C1717 &amp; ": " &amp; D1717</f>
        <v>question-answered: q-publisher-may-i-transmit</v>
      </c>
      <c r="C1717" s="2" t="s">
        <v>8037</v>
      </c>
      <c r="D1717" s="2" t="s">
        <v>2076</v>
      </c>
      <c r="E1717" s="2"/>
      <c r="F1717" s="2"/>
      <c r="G1717" s="2" t="s">
        <v>8038</v>
      </c>
      <c r="H1717" s="2" t="s">
        <v>2076</v>
      </c>
      <c r="I1717" s="2" t="s">
        <v>5926</v>
      </c>
      <c r="J1717" s="2" t="s">
        <v>5933</v>
      </c>
      <c r="K1717" s="3" t="b">
        <f>J1717 = "blocking"</f>
        <v>1</v>
      </c>
      <c r="L1717" s="2" t="s">
        <v>1428</v>
      </c>
      <c r="M1717" s="2" t="s">
        <v>8061</v>
      </c>
      <c r="N1717" s="4">
        <v>46223.1297337963</v>
      </c>
      <c r="O1717" s="3" t="b">
        <f>L1717 = "PASS"</f>
        <v>1</v>
      </c>
      <c r="P1717" s="3" t="b">
        <f>L1717 = "FAIL"</f>
        <v>0</v>
      </c>
      <c r="Q1717" s="3" t="b">
        <f>AND(P1717, K1717)</f>
        <v>0</v>
      </c>
      <c r="R1717" s="3" t="str">
        <f>IF(O1717, I1717, "")</f>
        <v>suite-provenance</v>
      </c>
      <c r="S1717" s="3" t="str">
        <f>IF(Q1717, I1717, "")</f>
      </c>
      <c r="T1717" s="2" t="s">
        <v>5935</v>
      </c>
    </row>
    <row r="1718">
      <c r="A1718" s="2" t="s">
        <v>8080</v>
      </c>
      <c r="B1718" s="3" t="str">
        <f>C1718 &amp; ": " &amp; D1718</f>
        <v>question-answered: q-publisher-may-i-transmit-now</v>
      </c>
      <c r="C1718" s="2" t="s">
        <v>8037</v>
      </c>
      <c r="D1718" s="2" t="s">
        <v>2080</v>
      </c>
      <c r="E1718" s="2"/>
      <c r="F1718" s="2"/>
      <c r="G1718" s="2" t="s">
        <v>8038</v>
      </c>
      <c r="H1718" s="2" t="s">
        <v>2080</v>
      </c>
      <c r="I1718" s="2" t="s">
        <v>5926</v>
      </c>
      <c r="J1718" s="2" t="s">
        <v>5933</v>
      </c>
      <c r="K1718" s="3" t="b">
        <f>J1718 = "blocking"</f>
        <v>1</v>
      </c>
      <c r="L1718" s="2" t="s">
        <v>1428</v>
      </c>
      <c r="M1718" s="2" t="s">
        <v>8039</v>
      </c>
      <c r="N1718" s="4">
        <v>46223.1297337963</v>
      </c>
      <c r="O1718" s="3" t="b">
        <f>L1718 = "PASS"</f>
        <v>1</v>
      </c>
      <c r="P1718" s="3" t="b">
        <f>L1718 = "FAIL"</f>
        <v>0</v>
      </c>
      <c r="Q1718" s="3" t="b">
        <f>AND(P1718, K1718)</f>
        <v>0</v>
      </c>
      <c r="R1718" s="3" t="str">
        <f>IF(O1718, I1718, "")</f>
        <v>suite-provenance</v>
      </c>
      <c r="S1718" s="3" t="str">
        <f>IF(Q1718, I1718, "")</f>
      </c>
      <c r="T1718" s="2" t="s">
        <v>5935</v>
      </c>
    </row>
    <row r="1719">
      <c r="A1719" s="2" t="s">
        <v>8081</v>
      </c>
      <c r="B1719" s="3" t="str">
        <f>C1719 &amp; ": " &amp; D1719</f>
        <v>question-answered: q-publisher-is-this-content-permitted</v>
      </c>
      <c r="C1719" s="2" t="s">
        <v>8037</v>
      </c>
      <c r="D1719" s="2" t="s">
        <v>2084</v>
      </c>
      <c r="E1719" s="2"/>
      <c r="F1719" s="2"/>
      <c r="G1719" s="2" t="s">
        <v>8038</v>
      </c>
      <c r="H1719" s="2" t="s">
        <v>2084</v>
      </c>
      <c r="I1719" s="2" t="s">
        <v>5926</v>
      </c>
      <c r="J1719" s="2" t="s">
        <v>5933</v>
      </c>
      <c r="K1719" s="3" t="b">
        <f>J1719 = "blocking"</f>
        <v>1</v>
      </c>
      <c r="L1719" s="2" t="s">
        <v>1428</v>
      </c>
      <c r="M1719" s="2" t="s">
        <v>8054</v>
      </c>
      <c r="N1719" s="4">
        <v>46223.1297337963</v>
      </c>
      <c r="O1719" s="3" t="b">
        <f>L1719 = "PASS"</f>
        <v>1</v>
      </c>
      <c r="P1719" s="3" t="b">
        <f>L1719 = "FAIL"</f>
        <v>0</v>
      </c>
      <c r="Q1719" s="3" t="b">
        <f>AND(P1719, K1719)</f>
        <v>0</v>
      </c>
      <c r="R1719" s="3" t="str">
        <f>IF(O1719, I1719, "")</f>
        <v>suite-provenance</v>
      </c>
      <c r="S1719" s="3" t="str">
        <f>IF(Q1719, I1719, "")</f>
      </c>
      <c r="T1719" s="2" t="s">
        <v>5935</v>
      </c>
    </row>
    <row r="1720">
      <c r="A1720" s="2" t="s">
        <v>8082</v>
      </c>
      <c r="B1720" s="3" t="str">
        <f>C1720 &amp; ": " &amp; D1720</f>
        <v>question-answered: q-publisher-am-i-authorized-to-act</v>
      </c>
      <c r="C1720" s="2" t="s">
        <v>8037</v>
      </c>
      <c r="D1720" s="2" t="s">
        <v>2088</v>
      </c>
      <c r="E1720" s="2"/>
      <c r="F1720" s="2"/>
      <c r="G1720" s="2" t="s">
        <v>8038</v>
      </c>
      <c r="H1720" s="2" t="s">
        <v>2088</v>
      </c>
      <c r="I1720" s="2" t="s">
        <v>5926</v>
      </c>
      <c r="J1720" s="2" t="s">
        <v>5933</v>
      </c>
      <c r="K1720" s="3" t="b">
        <f>J1720 = "blocking"</f>
        <v>1</v>
      </c>
      <c r="L1720" s="2" t="s">
        <v>1428</v>
      </c>
      <c r="M1720" s="2" t="s">
        <v>8041</v>
      </c>
      <c r="N1720" s="4">
        <v>46223.1297337963</v>
      </c>
      <c r="O1720" s="3" t="b">
        <f>L1720 = "PASS"</f>
        <v>1</v>
      </c>
      <c r="P1720" s="3" t="b">
        <f>L1720 = "FAIL"</f>
        <v>0</v>
      </c>
      <c r="Q1720" s="3" t="b">
        <f>AND(P1720, K1720)</f>
        <v>0</v>
      </c>
      <c r="R1720" s="3" t="str">
        <f>IF(O1720, I1720, "")</f>
        <v>suite-provenance</v>
      </c>
      <c r="S1720" s="3" t="str">
        <f>IF(Q1720, I1720, "")</f>
      </c>
      <c r="T1720" s="2" t="s">
        <v>5935</v>
      </c>
    </row>
    <row r="1721">
      <c r="A1721" s="2" t="s">
        <v>8083</v>
      </c>
      <c r="B1721" s="3" t="str">
        <f>C1721 &amp; ": " &amp; D1721</f>
        <v>question-answered: q-publisher-refusal-was-honored</v>
      </c>
      <c r="C1721" s="2" t="s">
        <v>8037</v>
      </c>
      <c r="D1721" s="2" t="s">
        <v>2092</v>
      </c>
      <c r="E1721" s="2"/>
      <c r="F1721" s="2"/>
      <c r="G1721" s="2" t="s">
        <v>8038</v>
      </c>
      <c r="H1721" s="2" t="s">
        <v>2092</v>
      </c>
      <c r="I1721" s="2" t="s">
        <v>5926</v>
      </c>
      <c r="J1721" s="2" t="s">
        <v>5933</v>
      </c>
      <c r="K1721" s="3" t="b">
        <f>J1721 = "blocking"</f>
        <v>1</v>
      </c>
      <c r="L1721" s="2" t="s">
        <v>1428</v>
      </c>
      <c r="M1721" s="2" t="s">
        <v>8054</v>
      </c>
      <c r="N1721" s="4">
        <v>46223.1297337963</v>
      </c>
      <c r="O1721" s="3" t="b">
        <f>L1721 = "PASS"</f>
        <v>1</v>
      </c>
      <c r="P1721" s="3" t="b">
        <f>L1721 = "FAIL"</f>
        <v>0</v>
      </c>
      <c r="Q1721" s="3" t="b">
        <f>AND(P1721, K1721)</f>
        <v>0</v>
      </c>
      <c r="R1721" s="3" t="str">
        <f>IF(O1721, I1721, "")</f>
        <v>suite-provenance</v>
      </c>
      <c r="S1721" s="3" t="str">
        <f>IF(Q1721, I1721, "")</f>
      </c>
      <c r="T1721" s="2" t="s">
        <v>5935</v>
      </c>
    </row>
    <row r="1722">
      <c r="A1722" s="2" t="s">
        <v>8084</v>
      </c>
      <c r="B1722" s="3" t="str">
        <f>C1722 &amp; ": " &amp; D1722</f>
        <v>question-answered: q-close-auto-authority-current</v>
      </c>
      <c r="C1722" s="2" t="s">
        <v>8037</v>
      </c>
      <c r="D1722" s="2" t="s">
        <v>2096</v>
      </c>
      <c r="E1722" s="2"/>
      <c r="F1722" s="2"/>
      <c r="G1722" s="2" t="s">
        <v>8038</v>
      </c>
      <c r="H1722" s="2" t="s">
        <v>2096</v>
      </c>
      <c r="I1722" s="2" t="s">
        <v>5926</v>
      </c>
      <c r="J1722" s="2" t="s">
        <v>5933</v>
      </c>
      <c r="K1722" s="3" t="b">
        <f>J1722 = "blocking"</f>
        <v>1</v>
      </c>
      <c r="L1722" s="2" t="s">
        <v>1428</v>
      </c>
      <c r="M1722" s="2" t="s">
        <v>8041</v>
      </c>
      <c r="N1722" s="4">
        <v>46223.1297337963</v>
      </c>
      <c r="O1722" s="3" t="b">
        <f>L1722 = "PASS"</f>
        <v>1</v>
      </c>
      <c r="P1722" s="3" t="b">
        <f>L1722 = "FAIL"</f>
        <v>0</v>
      </c>
      <c r="Q1722" s="3" t="b">
        <f>AND(P1722, K1722)</f>
        <v>0</v>
      </c>
      <c r="R1722" s="3" t="str">
        <f>IF(O1722, I1722, "")</f>
        <v>suite-provenance</v>
      </c>
      <c r="S1722" s="3" t="str">
        <f>IF(Q1722, I1722, "")</f>
      </c>
      <c r="T1722" s="2" t="s">
        <v>5935</v>
      </c>
    </row>
    <row r="1723">
      <c r="A1723" s="2" t="s">
        <v>8085</v>
      </c>
      <c r="B1723" s="3" t="str">
        <f>C1723 &amp; ": " &amp; D1723</f>
        <v>question-answered: q-close-auto-input-freshness</v>
      </c>
      <c r="C1723" s="2" t="s">
        <v>8037</v>
      </c>
      <c r="D1723" s="2" t="s">
        <v>2100</v>
      </c>
      <c r="E1723" s="2"/>
      <c r="F1723" s="2"/>
      <c r="G1723" s="2" t="s">
        <v>8038</v>
      </c>
      <c r="H1723" s="2" t="s">
        <v>2100</v>
      </c>
      <c r="I1723" s="2" t="s">
        <v>5926</v>
      </c>
      <c r="J1723" s="2" t="s">
        <v>5933</v>
      </c>
      <c r="K1723" s="3" t="b">
        <f>J1723 = "blocking"</f>
        <v>1</v>
      </c>
      <c r="L1723" s="2" t="s">
        <v>1428</v>
      </c>
      <c r="M1723" s="2" t="s">
        <v>8043</v>
      </c>
      <c r="N1723" s="4">
        <v>46223.1297337963</v>
      </c>
      <c r="O1723" s="3" t="b">
        <f>L1723 = "PASS"</f>
        <v>1</v>
      </c>
      <c r="P1723" s="3" t="b">
        <f>L1723 = "FAIL"</f>
        <v>0</v>
      </c>
      <c r="Q1723" s="3" t="b">
        <f>AND(P1723, K1723)</f>
        <v>0</v>
      </c>
      <c r="R1723" s="3" t="str">
        <f>IF(O1723, I1723, "")</f>
        <v>suite-provenance</v>
      </c>
      <c r="S1723" s="3" t="str">
        <f>IF(Q1723, I1723, "")</f>
      </c>
      <c r="T1723" s="2" t="s">
        <v>5935</v>
      </c>
    </row>
    <row r="1724">
      <c r="A1724" s="2" t="s">
        <v>8086</v>
      </c>
      <c r="B1724" s="3" t="str">
        <f>C1724 &amp; ": " &amp; D1724</f>
        <v>question-answered: q-close-auto-last-run-clean</v>
      </c>
      <c r="C1724" s="2" t="s">
        <v>8037</v>
      </c>
      <c r="D1724" s="2" t="s">
        <v>2104</v>
      </c>
      <c r="E1724" s="2"/>
      <c r="F1724" s="2"/>
      <c r="G1724" s="2" t="s">
        <v>8038</v>
      </c>
      <c r="H1724" s="2" t="s">
        <v>2104</v>
      </c>
      <c r="I1724" s="2" t="s">
        <v>5926</v>
      </c>
      <c r="J1724" s="2" t="s">
        <v>5933</v>
      </c>
      <c r="K1724" s="3" t="b">
        <f>J1724 = "blocking"</f>
        <v>1</v>
      </c>
      <c r="L1724" s="2" t="s">
        <v>1428</v>
      </c>
      <c r="M1724" s="2" t="s">
        <v>8041</v>
      </c>
      <c r="N1724" s="4">
        <v>46223.1297337963</v>
      </c>
      <c r="O1724" s="3" t="b">
        <f>L1724 = "PASS"</f>
        <v>1</v>
      </c>
      <c r="P1724" s="3" t="b">
        <f>L1724 = "FAIL"</f>
        <v>0</v>
      </c>
      <c r="Q1724" s="3" t="b">
        <f>AND(P1724, K1724)</f>
        <v>0</v>
      </c>
      <c r="R1724" s="3" t="str">
        <f>IF(O1724, I1724, "")</f>
        <v>suite-provenance</v>
      </c>
      <c r="S1724" s="3" t="str">
        <f>IF(Q1724, I1724, "")</f>
      </c>
      <c r="T1724" s="2" t="s">
        <v>5935</v>
      </c>
    </row>
    <row r="1725">
      <c r="A1725" s="2" t="s">
        <v>8087</v>
      </c>
      <c r="B1725" s="3" t="str">
        <f>C1725 &amp; ": " &amp; D1725</f>
        <v>question-answered: q-close-auto-blocking-requirements-evaluated</v>
      </c>
      <c r="C1725" s="2" t="s">
        <v>8037</v>
      </c>
      <c r="D1725" s="2" t="s">
        <v>2108</v>
      </c>
      <c r="E1725" s="2"/>
      <c r="F1725" s="2"/>
      <c r="G1725" s="2" t="s">
        <v>8038</v>
      </c>
      <c r="H1725" s="2" t="s">
        <v>2108</v>
      </c>
      <c r="I1725" s="2" t="s">
        <v>5926</v>
      </c>
      <c r="J1725" s="2" t="s">
        <v>5933</v>
      </c>
      <c r="K1725" s="3" t="b">
        <f>J1725 = "blocking"</f>
        <v>1</v>
      </c>
      <c r="L1725" s="2" t="s">
        <v>1428</v>
      </c>
      <c r="M1725" s="2" t="s">
        <v>8088</v>
      </c>
      <c r="N1725" s="4">
        <v>46223.1297337963</v>
      </c>
      <c r="O1725" s="3" t="b">
        <f>L1725 = "PASS"</f>
        <v>1</v>
      </c>
      <c r="P1725" s="3" t="b">
        <f>L1725 = "FAIL"</f>
        <v>0</v>
      </c>
      <c r="Q1725" s="3" t="b">
        <f>AND(P1725, K1725)</f>
        <v>0</v>
      </c>
      <c r="R1725" s="3" t="str">
        <f>IF(O1725, I1725, "")</f>
        <v>suite-provenance</v>
      </c>
      <c r="S1725" s="3" t="str">
        <f>IF(Q1725, I1725, "")</f>
      </c>
      <c r="T1725" s="2" t="s">
        <v>5935</v>
      </c>
    </row>
    <row r="1726">
      <c r="A1726" s="2" t="s">
        <v>8089</v>
      </c>
      <c r="B1726" s="3" t="str">
        <f>C1726 &amp; ": " &amp; D1726</f>
        <v>question-answered: q-close-auto-human-override-drift</v>
      </c>
      <c r="C1726" s="2" t="s">
        <v>8037</v>
      </c>
      <c r="D1726" s="2" t="s">
        <v>2112</v>
      </c>
      <c r="E1726" s="2"/>
      <c r="F1726" s="2"/>
      <c r="G1726" s="2" t="s">
        <v>8038</v>
      </c>
      <c r="H1726" s="2" t="s">
        <v>2112</v>
      </c>
      <c r="I1726" s="2" t="s">
        <v>5926</v>
      </c>
      <c r="J1726" s="2" t="s">
        <v>5933</v>
      </c>
      <c r="K1726" s="3" t="b">
        <f>J1726 = "blocking"</f>
        <v>1</v>
      </c>
      <c r="L1726" s="2" t="s">
        <v>1428</v>
      </c>
      <c r="M1726" s="2" t="s">
        <v>8041</v>
      </c>
      <c r="N1726" s="4">
        <v>46223.1297337963</v>
      </c>
      <c r="O1726" s="3" t="b">
        <f>L1726 = "PASS"</f>
        <v>1</v>
      </c>
      <c r="P1726" s="3" t="b">
        <f>L1726 = "FAIL"</f>
        <v>0</v>
      </c>
      <c r="Q1726" s="3" t="b">
        <f>AND(P1726, K1726)</f>
        <v>0</v>
      </c>
      <c r="R1726" s="3" t="str">
        <f>IF(O1726, I1726, "")</f>
        <v>suite-provenance</v>
      </c>
      <c r="S1726" s="3" t="str">
        <f>IF(Q1726, I1726, "")</f>
      </c>
      <c r="T1726" s="2" t="s">
        <v>5935</v>
      </c>
    </row>
    <row r="1727">
      <c r="A1727" s="2" t="s">
        <v>8090</v>
      </c>
      <c r="B1727" s="3" t="str">
        <f>C1727 &amp; ": " &amp; D1727</f>
        <v>question-answered: q-hr-authority-without-review</v>
      </c>
      <c r="C1727" s="2" t="s">
        <v>8037</v>
      </c>
      <c r="D1727" s="2" t="s">
        <v>2116</v>
      </c>
      <c r="E1727" s="2"/>
      <c r="F1727" s="2"/>
      <c r="G1727" s="2" t="s">
        <v>8038</v>
      </c>
      <c r="H1727" s="2" t="s">
        <v>2116</v>
      </c>
      <c r="I1727" s="2" t="s">
        <v>5926</v>
      </c>
      <c r="J1727" s="2" t="s">
        <v>5933</v>
      </c>
      <c r="K1727" s="3" t="b">
        <f>J1727 = "blocking"</f>
        <v>1</v>
      </c>
      <c r="L1727" s="2" t="s">
        <v>1428</v>
      </c>
      <c r="M1727" s="2" t="s">
        <v>8043</v>
      </c>
      <c r="N1727" s="4">
        <v>46223.1297337963</v>
      </c>
      <c r="O1727" s="3" t="b">
        <f>L1727 = "PASS"</f>
        <v>1</v>
      </c>
      <c r="P1727" s="3" t="b">
        <f>L1727 = "FAIL"</f>
        <v>0</v>
      </c>
      <c r="Q1727" s="3" t="b">
        <f>AND(P1727, K1727)</f>
        <v>0</v>
      </c>
      <c r="R1727" s="3" t="str">
        <f>IF(O1727, I1727, "")</f>
        <v>suite-provenance</v>
      </c>
      <c r="S1727" s="3" t="str">
        <f>IF(Q1727, I1727, "")</f>
      </c>
      <c r="T1727" s="2" t="s">
        <v>5935</v>
      </c>
    </row>
    <row r="1728">
      <c r="A1728" s="2" t="s">
        <v>8091</v>
      </c>
      <c r="B1728" s="3" t="str">
        <f>C1728 &amp; ": " &amp; D1728</f>
        <v>question-answered: q-hr-ai-authored-commitments</v>
      </c>
      <c r="C1728" s="2" t="s">
        <v>8037</v>
      </c>
      <c r="D1728" s="2" t="s">
        <v>2120</v>
      </c>
      <c r="E1728" s="2"/>
      <c r="F1728" s="2"/>
      <c r="G1728" s="2" t="s">
        <v>8038</v>
      </c>
      <c r="H1728" s="2" t="s">
        <v>2120</v>
      </c>
      <c r="I1728" s="2" t="s">
        <v>5926</v>
      </c>
      <c r="J1728" s="2" t="s">
        <v>5933</v>
      </c>
      <c r="K1728" s="3" t="b">
        <f>J1728 = "blocking"</f>
        <v>1</v>
      </c>
      <c r="L1728" s="2" t="s">
        <v>1428</v>
      </c>
      <c r="M1728" s="2" t="s">
        <v>8039</v>
      </c>
      <c r="N1728" s="4">
        <v>46223.1297337963</v>
      </c>
      <c r="O1728" s="3" t="b">
        <f>L1728 = "PASS"</f>
        <v>1</v>
      </c>
      <c r="P1728" s="3" t="b">
        <f>L1728 = "FAIL"</f>
        <v>0</v>
      </c>
      <c r="Q1728" s="3" t="b">
        <f>AND(P1728, K1728)</f>
        <v>0</v>
      </c>
      <c r="R1728" s="3" t="str">
        <f>IF(O1728, I1728, "")</f>
        <v>suite-provenance</v>
      </c>
      <c r="S1728" s="3" t="str">
        <f>IF(Q1728, I1728, "")</f>
      </c>
      <c r="T1728" s="2" t="s">
        <v>5935</v>
      </c>
    </row>
    <row r="1729">
      <c r="A1729" s="2" t="s">
        <v>8092</v>
      </c>
      <c r="B1729" s="3" t="str">
        <f>C1729 &amp; ": " &amp; D1729</f>
        <v>question-answered: q-hr-unapproved-knowledge-in-my-name</v>
      </c>
      <c r="C1729" s="2" t="s">
        <v>8037</v>
      </c>
      <c r="D1729" s="2" t="s">
        <v>2124</v>
      </c>
      <c r="E1729" s="2"/>
      <c r="F1729" s="2"/>
      <c r="G1729" s="2" t="s">
        <v>8038</v>
      </c>
      <c r="H1729" s="2" t="s">
        <v>2124</v>
      </c>
      <c r="I1729" s="2" t="s">
        <v>5926</v>
      </c>
      <c r="J1729" s="2" t="s">
        <v>5933</v>
      </c>
      <c r="K1729" s="3" t="b">
        <f>J1729 = "blocking"</f>
        <v>1</v>
      </c>
      <c r="L1729" s="2" t="s">
        <v>1428</v>
      </c>
      <c r="M1729" s="2" t="s">
        <v>8039</v>
      </c>
      <c r="N1729" s="4">
        <v>46223.1297337963</v>
      </c>
      <c r="O1729" s="3" t="b">
        <f>L1729 = "PASS"</f>
        <v>1</v>
      </c>
      <c r="P1729" s="3" t="b">
        <f>L1729 = "FAIL"</f>
        <v>0</v>
      </c>
      <c r="Q1729" s="3" t="b">
        <f>AND(P1729, K1729)</f>
        <v>0</v>
      </c>
      <c r="R1729" s="3" t="str">
        <f>IF(O1729, I1729, "")</f>
        <v>suite-provenance</v>
      </c>
      <c r="S1729" s="3" t="str">
        <f>IF(Q1729, I1729, "")</f>
      </c>
      <c r="T1729" s="2" t="s">
        <v>5935</v>
      </c>
    </row>
    <row r="1730">
      <c r="A1730" s="2" t="s">
        <v>8093</v>
      </c>
      <c r="B1730" s="3" t="str">
        <f>C1730 &amp; ": " &amp; D1730</f>
        <v>question-answered: q-hr-what-was-actually-sent</v>
      </c>
      <c r="C1730" s="2" t="s">
        <v>8037</v>
      </c>
      <c r="D1730" s="2" t="s">
        <v>2128</v>
      </c>
      <c r="E1730" s="2"/>
      <c r="F1730" s="2"/>
      <c r="G1730" s="2" t="s">
        <v>8038</v>
      </c>
      <c r="H1730" s="2" t="s">
        <v>2128</v>
      </c>
      <c r="I1730" s="2" t="s">
        <v>5926</v>
      </c>
      <c r="J1730" s="2" t="s">
        <v>5933</v>
      </c>
      <c r="K1730" s="3" t="b">
        <f>J1730 = "blocking"</f>
        <v>1</v>
      </c>
      <c r="L1730" s="2" t="s">
        <v>1428</v>
      </c>
      <c r="M1730" s="2" t="s">
        <v>8039</v>
      </c>
      <c r="N1730" s="4">
        <v>46223.1297337963</v>
      </c>
      <c r="O1730" s="3" t="b">
        <f>L1730 = "PASS"</f>
        <v>1</v>
      </c>
      <c r="P1730" s="3" t="b">
        <f>L1730 = "FAIL"</f>
        <v>0</v>
      </c>
      <c r="Q1730" s="3" t="b">
        <f>AND(P1730, K1730)</f>
        <v>0</v>
      </c>
      <c r="R1730" s="3" t="str">
        <f>IF(O1730, I1730, "")</f>
        <v>suite-provenance</v>
      </c>
      <c r="S1730" s="3" t="str">
        <f>IF(Q1730, I1730, "")</f>
      </c>
      <c r="T1730" s="2" t="s">
        <v>5935</v>
      </c>
    </row>
    <row r="1731">
      <c r="A1731" s="2" t="s">
        <v>8094</v>
      </c>
      <c r="B1731" s="3" t="str">
        <f>C1731 &amp; ": " &amp; D1731</f>
        <v>question-answered: q-hr-policy-knowledge-half-life</v>
      </c>
      <c r="C1731" s="2" t="s">
        <v>8037</v>
      </c>
      <c r="D1731" s="2" t="s">
        <v>2132</v>
      </c>
      <c r="E1731" s="2"/>
      <c r="F1731" s="2"/>
      <c r="G1731" s="2" t="s">
        <v>8038</v>
      </c>
      <c r="H1731" s="2" t="s">
        <v>2132</v>
      </c>
      <c r="I1731" s="2" t="s">
        <v>5926</v>
      </c>
      <c r="J1731" s="2" t="s">
        <v>5933</v>
      </c>
      <c r="K1731" s="3" t="b">
        <f>J1731 = "blocking"</f>
        <v>1</v>
      </c>
      <c r="L1731" s="2" t="s">
        <v>1428</v>
      </c>
      <c r="M1731" s="2" t="s">
        <v>8039</v>
      </c>
      <c r="N1731" s="4">
        <v>46223.1297337963</v>
      </c>
      <c r="O1731" s="3" t="b">
        <f>L1731 = "PASS"</f>
        <v>1</v>
      </c>
      <c r="P1731" s="3" t="b">
        <f>L1731 = "FAIL"</f>
        <v>0</v>
      </c>
      <c r="Q1731" s="3" t="b">
        <f>AND(P1731, K1731)</f>
        <v>0</v>
      </c>
      <c r="R1731" s="3" t="str">
        <f>IF(O1731, I1731, "")</f>
        <v>suite-provenance</v>
      </c>
      <c r="S1731" s="3" t="str">
        <f>IF(Q1731, I1731, "")</f>
      </c>
      <c r="T1731" s="2" t="s">
        <v>5935</v>
      </c>
    </row>
    <row r="1732">
      <c r="A1732" s="2" t="s">
        <v>8095</v>
      </c>
      <c r="B1732" s="3" t="str">
        <f>C1732 &amp; ": " &amp; D1732</f>
        <v>question-answered: q-variance-ai-authority-provenance</v>
      </c>
      <c r="C1732" s="2" t="s">
        <v>8037</v>
      </c>
      <c r="D1732" s="2" t="s">
        <v>2136</v>
      </c>
      <c r="E1732" s="2"/>
      <c r="F1732" s="2"/>
      <c r="G1732" s="2" t="s">
        <v>8038</v>
      </c>
      <c r="H1732" s="2" t="s">
        <v>2136</v>
      </c>
      <c r="I1732" s="2" t="s">
        <v>5926</v>
      </c>
      <c r="J1732" s="2" t="s">
        <v>5933</v>
      </c>
      <c r="K1732" s="3" t="b">
        <f>J1732 = "blocking"</f>
        <v>1</v>
      </c>
      <c r="L1732" s="2" t="s">
        <v>1428</v>
      </c>
      <c r="M1732" s="2" t="s">
        <v>8041</v>
      </c>
      <c r="N1732" s="4">
        <v>46223.1297337963</v>
      </c>
      <c r="O1732" s="3" t="b">
        <f>L1732 = "PASS"</f>
        <v>1</v>
      </c>
      <c r="P1732" s="3" t="b">
        <f>L1732 = "FAIL"</f>
        <v>0</v>
      </c>
      <c r="Q1732" s="3" t="b">
        <f>AND(P1732, K1732)</f>
        <v>0</v>
      </c>
      <c r="R1732" s="3" t="str">
        <f>IF(O1732, I1732, "")</f>
        <v>suite-provenance</v>
      </c>
      <c r="S1732" s="3" t="str">
        <f>IF(Q1732, I1732, "")</f>
      </c>
      <c r="T1732" s="2" t="s">
        <v>5935</v>
      </c>
    </row>
    <row r="1733">
      <c r="A1733" s="2" t="s">
        <v>8096</v>
      </c>
      <c r="B1733" s="3" t="str">
        <f>C1733 &amp; ": " &amp; D1733</f>
        <v>question-answered: q-variance-ai-quality-vs-human-baseline</v>
      </c>
      <c r="C1733" s="2" t="s">
        <v>8037</v>
      </c>
      <c r="D1733" s="2" t="s">
        <v>2140</v>
      </c>
      <c r="E1733" s="2"/>
      <c r="F1733" s="2"/>
      <c r="G1733" s="2" t="s">
        <v>8038</v>
      </c>
      <c r="H1733" s="2" t="s">
        <v>2140</v>
      </c>
      <c r="I1733" s="2" t="s">
        <v>5926</v>
      </c>
      <c r="J1733" s="2" t="s">
        <v>5933</v>
      </c>
      <c r="K1733" s="3" t="b">
        <f>J1733 = "blocking"</f>
        <v>1</v>
      </c>
      <c r="L1733" s="2" t="s">
        <v>1428</v>
      </c>
      <c r="M1733" s="2" t="s">
        <v>8039</v>
      </c>
      <c r="N1733" s="4">
        <v>46223.1297337963</v>
      </c>
      <c r="O1733" s="3" t="b">
        <f>L1733 = "PASS"</f>
        <v>1</v>
      </c>
      <c r="P1733" s="3" t="b">
        <f>L1733 = "FAIL"</f>
        <v>0</v>
      </c>
      <c r="Q1733" s="3" t="b">
        <f>AND(P1733, K1733)</f>
        <v>0</v>
      </c>
      <c r="R1733" s="3" t="str">
        <f>IF(O1733, I1733, "")</f>
        <v>suite-provenance</v>
      </c>
      <c r="S1733" s="3" t="str">
        <f>IF(Q1733, I1733, "")</f>
      </c>
      <c r="T1733" s="2" t="s">
        <v>5935</v>
      </c>
    </row>
    <row r="1734">
      <c r="A1734" s="2" t="s">
        <v>8097</v>
      </c>
      <c r="B1734" s="3" t="str">
        <f>C1734 &amp; ": " &amp; D1734</f>
        <v>question-answered: q-variance-ai-boundary-compliance</v>
      </c>
      <c r="C1734" s="2" t="s">
        <v>8037</v>
      </c>
      <c r="D1734" s="2" t="s">
        <v>2144</v>
      </c>
      <c r="E1734" s="2"/>
      <c r="F1734" s="2"/>
      <c r="G1734" s="2" t="s">
        <v>8038</v>
      </c>
      <c r="H1734" s="2" t="s">
        <v>2144</v>
      </c>
      <c r="I1734" s="2" t="s">
        <v>5926</v>
      </c>
      <c r="J1734" s="2" t="s">
        <v>5933</v>
      </c>
      <c r="K1734" s="3" t="b">
        <f>J1734 = "blocking"</f>
        <v>1</v>
      </c>
      <c r="L1734" s="2" t="s">
        <v>1428</v>
      </c>
      <c r="M1734" s="2" t="s">
        <v>8054</v>
      </c>
      <c r="N1734" s="4">
        <v>46223.1297337963</v>
      </c>
      <c r="O1734" s="3" t="b">
        <f>L1734 = "PASS"</f>
        <v>1</v>
      </c>
      <c r="P1734" s="3" t="b">
        <f>L1734 = "FAIL"</f>
        <v>0</v>
      </c>
      <c r="Q1734" s="3" t="b">
        <f>AND(P1734, K1734)</f>
        <v>0</v>
      </c>
      <c r="R1734" s="3" t="str">
        <f>IF(O1734, I1734, "")</f>
        <v>suite-provenance</v>
      </c>
      <c r="S1734" s="3" t="str">
        <f>IF(Q1734, I1734, "")</f>
      </c>
      <c r="T1734" s="2" t="s">
        <v>5935</v>
      </c>
    </row>
    <row r="1735">
      <c r="A1735" s="2" t="s">
        <v>8098</v>
      </c>
      <c r="B1735" s="3" t="str">
        <f>C1735 &amp; ": " &amp; D1735</f>
        <v>question-answered: q-variance-ai-human-confirmation-present</v>
      </c>
      <c r="C1735" s="2" t="s">
        <v>8037</v>
      </c>
      <c r="D1735" s="2" t="s">
        <v>2148</v>
      </c>
      <c r="E1735" s="2"/>
      <c r="F1735" s="2"/>
      <c r="G1735" s="2" t="s">
        <v>8038</v>
      </c>
      <c r="H1735" s="2" t="s">
        <v>2148</v>
      </c>
      <c r="I1735" s="2" t="s">
        <v>5926</v>
      </c>
      <c r="J1735" s="2" t="s">
        <v>5933</v>
      </c>
      <c r="K1735" s="3" t="b">
        <f>J1735 = "blocking"</f>
        <v>1</v>
      </c>
      <c r="L1735" s="2" t="s">
        <v>1428</v>
      </c>
      <c r="M1735" s="2" t="s">
        <v>8041</v>
      </c>
      <c r="N1735" s="4">
        <v>46223.1297337963</v>
      </c>
      <c r="O1735" s="3" t="b">
        <f>L1735 = "PASS"</f>
        <v>1</v>
      </c>
      <c r="P1735" s="3" t="b">
        <f>L1735 = "FAIL"</f>
        <v>0</v>
      </c>
      <c r="Q1735" s="3" t="b">
        <f>AND(P1735, K1735)</f>
        <v>0</v>
      </c>
      <c r="R1735" s="3" t="str">
        <f>IF(O1735, I1735, "")</f>
        <v>suite-provenance</v>
      </c>
      <c r="S1735" s="3" t="str">
        <f>IF(Q1735, I1735, "")</f>
      </c>
      <c r="T1735" s="2" t="s">
        <v>5935</v>
      </c>
    </row>
    <row r="1736">
      <c r="A1736" s="2" t="s">
        <v>8099</v>
      </c>
      <c r="B1736" s="3" t="str">
        <f>C1736 &amp; ": " &amp; D1736</f>
        <v>question-answered: q-variance-ai-knowledge-currency</v>
      </c>
      <c r="C1736" s="2" t="s">
        <v>8037</v>
      </c>
      <c r="D1736" s="2" t="s">
        <v>2152</v>
      </c>
      <c r="E1736" s="2"/>
      <c r="F1736" s="2"/>
      <c r="G1736" s="2" t="s">
        <v>8038</v>
      </c>
      <c r="H1736" s="2" t="s">
        <v>2152</v>
      </c>
      <c r="I1736" s="2" t="s">
        <v>5926</v>
      </c>
      <c r="J1736" s="2" t="s">
        <v>5933</v>
      </c>
      <c r="K1736" s="3" t="b">
        <f>J1736 = "blocking"</f>
        <v>1</v>
      </c>
      <c r="L1736" s="2" t="s">
        <v>1428</v>
      </c>
      <c r="M1736" s="2" t="s">
        <v>8041</v>
      </c>
      <c r="N1736" s="4">
        <v>46223.1297337963</v>
      </c>
      <c r="O1736" s="3" t="b">
        <f>L1736 = "PASS"</f>
        <v>1</v>
      </c>
      <c r="P1736" s="3" t="b">
        <f>L1736 = "FAIL"</f>
        <v>0</v>
      </c>
      <c r="Q1736" s="3" t="b">
        <f>AND(P1736, K1736)</f>
        <v>0</v>
      </c>
      <c r="R1736" s="3" t="str">
        <f>IF(O1736, I1736, "")</f>
        <v>suite-provenance</v>
      </c>
      <c r="S1736" s="3" t="str">
        <f>IF(Q1736, I1736, "")</f>
      </c>
      <c r="T1736" s="2" t="s">
        <v>5935</v>
      </c>
    </row>
    <row r="1737">
      <c r="A1737" s="2" t="s">
        <v>8100</v>
      </c>
      <c r="B1737" s="3" t="str">
        <f>C1737 &amp; ": " &amp; D1737</f>
        <v>question-answered: q-policy-ai-no-role-assignment</v>
      </c>
      <c r="C1737" s="2" t="s">
        <v>8037</v>
      </c>
      <c r="D1737" s="2" t="s">
        <v>2156</v>
      </c>
      <c r="E1737" s="2"/>
      <c r="F1737" s="2"/>
      <c r="G1737" s="2" t="s">
        <v>8038</v>
      </c>
      <c r="H1737" s="2" t="s">
        <v>2156</v>
      </c>
      <c r="I1737" s="2" t="s">
        <v>5926</v>
      </c>
      <c r="J1737" s="2" t="s">
        <v>5933</v>
      </c>
      <c r="K1737" s="3" t="b">
        <f>J1737 = "blocking"</f>
        <v>1</v>
      </c>
      <c r="L1737" s="2" t="s">
        <v>1428</v>
      </c>
      <c r="M1737" s="2" t="s">
        <v>8101</v>
      </c>
      <c r="N1737" s="4">
        <v>46223.1297337963</v>
      </c>
      <c r="O1737" s="3" t="b">
        <f>L1737 = "PASS"</f>
        <v>1</v>
      </c>
      <c r="P1737" s="3" t="b">
        <f>L1737 = "FAIL"</f>
        <v>0</v>
      </c>
      <c r="Q1737" s="3" t="b">
        <f>AND(P1737, K1737)</f>
        <v>0</v>
      </c>
      <c r="R1737" s="3" t="str">
        <f>IF(O1737, I1737, "")</f>
        <v>suite-provenance</v>
      </c>
      <c r="S1737" s="3" t="str">
        <f>IF(Q1737, I1737, "")</f>
      </c>
      <c r="T1737" s="2" t="s">
        <v>5935</v>
      </c>
    </row>
    <row r="1738">
      <c r="A1738" s="2" t="s">
        <v>8102</v>
      </c>
      <c r="B1738" s="3" t="str">
        <f>C1738 &amp; ": " &amp; D1738</f>
        <v>question-answered: q-policy-ai-source-approval</v>
      </c>
      <c r="C1738" s="2" t="s">
        <v>8037</v>
      </c>
      <c r="D1738" s="2" t="s">
        <v>2160</v>
      </c>
      <c r="E1738" s="2"/>
      <c r="F1738" s="2"/>
      <c r="G1738" s="2" t="s">
        <v>8038</v>
      </c>
      <c r="H1738" s="2" t="s">
        <v>2160</v>
      </c>
      <c r="I1738" s="2" t="s">
        <v>5926</v>
      </c>
      <c r="J1738" s="2" t="s">
        <v>5933</v>
      </c>
      <c r="K1738" s="3" t="b">
        <f>J1738 = "blocking"</f>
        <v>1</v>
      </c>
      <c r="L1738" s="2" t="s">
        <v>1428</v>
      </c>
      <c r="M1738" s="2" t="s">
        <v>8054</v>
      </c>
      <c r="N1738" s="4">
        <v>46223.1297337963</v>
      </c>
      <c r="O1738" s="3" t="b">
        <f>L1738 = "PASS"</f>
        <v>1</v>
      </c>
      <c r="P1738" s="3" t="b">
        <f>L1738 = "FAIL"</f>
        <v>0</v>
      </c>
      <c r="Q1738" s="3" t="b">
        <f>AND(P1738, K1738)</f>
        <v>0</v>
      </c>
      <c r="R1738" s="3" t="str">
        <f>IF(O1738, I1738, "")</f>
        <v>suite-provenance</v>
      </c>
      <c r="S1738" s="3" t="str">
        <f>IF(Q1738, I1738, "")</f>
      </c>
      <c r="T1738" s="2" t="s">
        <v>5935</v>
      </c>
    </row>
    <row r="1739">
      <c r="A1739" s="2" t="s">
        <v>8103</v>
      </c>
      <c r="B1739" s="3" t="str">
        <f>C1739 &amp; ": " &amp; D1739</f>
        <v>question-answered: q-policy-ai-commitment-boundary</v>
      </c>
      <c r="C1739" s="2" t="s">
        <v>8037</v>
      </c>
      <c r="D1739" s="2" t="s">
        <v>2164</v>
      </c>
      <c r="E1739" s="2"/>
      <c r="F1739" s="2"/>
      <c r="G1739" s="2" t="s">
        <v>8038</v>
      </c>
      <c r="H1739" s="2" t="s">
        <v>2164</v>
      </c>
      <c r="I1739" s="2" t="s">
        <v>5926</v>
      </c>
      <c r="J1739" s="2" t="s">
        <v>5933</v>
      </c>
      <c r="K1739" s="3" t="b">
        <f>J1739 = "blocking"</f>
        <v>1</v>
      </c>
      <c r="L1739" s="2" t="s">
        <v>1428</v>
      </c>
      <c r="M1739" s="2" t="s">
        <v>8088</v>
      </c>
      <c r="N1739" s="4">
        <v>46223.1297337963</v>
      </c>
      <c r="O1739" s="3" t="b">
        <f>L1739 = "PASS"</f>
        <v>1</v>
      </c>
      <c r="P1739" s="3" t="b">
        <f>L1739 = "FAIL"</f>
        <v>0</v>
      </c>
      <c r="Q1739" s="3" t="b">
        <f>AND(P1739, K1739)</f>
        <v>0</v>
      </c>
      <c r="R1739" s="3" t="str">
        <f>IF(O1739, I1739, "")</f>
        <v>suite-provenance</v>
      </c>
      <c r="S1739" s="3" t="str">
        <f>IF(Q1739, I1739, "")</f>
      </c>
      <c r="T1739" s="2" t="s">
        <v>5935</v>
      </c>
    </row>
    <row r="1740">
      <c r="A1740" s="2" t="s">
        <v>8104</v>
      </c>
      <c r="B1740" s="3" t="str">
        <f>C1740 &amp; ": " &amp; D1740</f>
        <v>question-answered: q-policy-ai-downstream-rewrite</v>
      </c>
      <c r="C1740" s="2" t="s">
        <v>8037</v>
      </c>
      <c r="D1740" s="2" t="s">
        <v>2168</v>
      </c>
      <c r="E1740" s="2"/>
      <c r="F1740" s="2"/>
      <c r="G1740" s="2" t="s">
        <v>8038</v>
      </c>
      <c r="H1740" s="2" t="s">
        <v>2168</v>
      </c>
      <c r="I1740" s="2" t="s">
        <v>5926</v>
      </c>
      <c r="J1740" s="2" t="s">
        <v>5933</v>
      </c>
      <c r="K1740" s="3" t="b">
        <f>J1740 = "blocking"</f>
        <v>1</v>
      </c>
      <c r="L1740" s="2" t="s">
        <v>1428</v>
      </c>
      <c r="M1740" s="2" t="s">
        <v>8039</v>
      </c>
      <c r="N1740" s="4">
        <v>46223.1297337963</v>
      </c>
      <c r="O1740" s="3" t="b">
        <f>L1740 = "PASS"</f>
        <v>1</v>
      </c>
      <c r="P1740" s="3" t="b">
        <f>L1740 = "FAIL"</f>
        <v>0</v>
      </c>
      <c r="Q1740" s="3" t="b">
        <f>AND(P1740, K1740)</f>
        <v>0</v>
      </c>
      <c r="R1740" s="3" t="str">
        <f>IF(O1740, I1740, "")</f>
        <v>suite-provenance</v>
      </c>
      <c r="S1740" s="3" t="str">
        <f>IF(Q1740, I1740, "")</f>
      </c>
      <c r="T1740" s="2" t="s">
        <v>5935</v>
      </c>
    </row>
    <row r="1741">
      <c r="A1741" s="2" t="s">
        <v>8105</v>
      </c>
      <c r="B1741" s="3" t="str">
        <f>C1741 &amp; ": " &amp; D1741</f>
        <v>question-answered: q-policy-ai-approval-chain-complete</v>
      </c>
      <c r="C1741" s="2" t="s">
        <v>8037</v>
      </c>
      <c r="D1741" s="2" t="s">
        <v>2172</v>
      </c>
      <c r="E1741" s="2"/>
      <c r="F1741" s="2"/>
      <c r="G1741" s="2" t="s">
        <v>8038</v>
      </c>
      <c r="H1741" s="2" t="s">
        <v>2172</v>
      </c>
      <c r="I1741" s="2" t="s">
        <v>5926</v>
      </c>
      <c r="J1741" s="2" t="s">
        <v>5933</v>
      </c>
      <c r="K1741" s="3" t="b">
        <f>J1741 = "blocking"</f>
        <v>1</v>
      </c>
      <c r="L1741" s="2" t="s">
        <v>1428</v>
      </c>
      <c r="M1741" s="2" t="s">
        <v>8039</v>
      </c>
      <c r="N1741" s="4">
        <v>46223.1297337963</v>
      </c>
      <c r="O1741" s="3" t="b">
        <f>L1741 = "PASS"</f>
        <v>1</v>
      </c>
      <c r="P1741" s="3" t="b">
        <f>L1741 = "FAIL"</f>
        <v>0</v>
      </c>
      <c r="Q1741" s="3" t="b">
        <f>AND(P1741, K1741)</f>
        <v>0</v>
      </c>
      <c r="R1741" s="3" t="str">
        <f>IF(O1741, I1741, "")</f>
        <v>suite-provenance</v>
      </c>
      <c r="S1741" s="3" t="str">
        <f>IF(Q1741, I1741, "")</f>
      </c>
      <c r="T1741" s="2" t="s">
        <v>5935</v>
      </c>
    </row>
    <row r="1742">
      <c r="A1742" s="2" t="s">
        <v>8106</v>
      </c>
      <c r="B1742" s="3" t="str">
        <f>C1742 &amp; ": " &amp; D1742</f>
        <v>question-answered: q2-authority-compound-fragility</v>
      </c>
      <c r="C1742" s="2" t="s">
        <v>8037</v>
      </c>
      <c r="D1742" s="2" t="s">
        <v>2176</v>
      </c>
      <c r="E1742" s="2"/>
      <c r="F1742" s="2"/>
      <c r="G1742" s="2" t="s">
        <v>8038</v>
      </c>
      <c r="H1742" s="2" t="s">
        <v>2176</v>
      </c>
      <c r="I1742" s="2" t="s">
        <v>5926</v>
      </c>
      <c r="J1742" s="2" t="s">
        <v>5933</v>
      </c>
      <c r="K1742" s="3" t="b">
        <f>J1742 = "blocking"</f>
        <v>1</v>
      </c>
      <c r="L1742" s="2" t="s">
        <v>1428</v>
      </c>
      <c r="M1742" s="2" t="s">
        <v>8039</v>
      </c>
      <c r="N1742" s="4">
        <v>46223.1297337963</v>
      </c>
      <c r="O1742" s="3" t="b">
        <f>L1742 = "PASS"</f>
        <v>1</v>
      </c>
      <c r="P1742" s="3" t="b">
        <f>L1742 = "FAIL"</f>
        <v>0</v>
      </c>
      <c r="Q1742" s="3" t="b">
        <f>AND(P1742, K1742)</f>
        <v>0</v>
      </c>
      <c r="R1742" s="3" t="str">
        <f>IF(O1742, I1742, "")</f>
        <v>suite-provenance</v>
      </c>
      <c r="S1742" s="3" t="str">
        <f>IF(Q1742, I1742, "")</f>
      </c>
      <c r="T1742" s="2" t="s">
        <v>5935</v>
      </c>
    </row>
    <row r="1743">
      <c r="A1743" s="2" t="s">
        <v>8107</v>
      </c>
      <c r="B1743" s="3" t="str">
        <f>C1743 &amp; ": " &amp; D1743</f>
        <v>question-answered: q2-authority-boundary-rests-on-expired-claim</v>
      </c>
      <c r="C1743" s="2" t="s">
        <v>8037</v>
      </c>
      <c r="D1743" s="2" t="s">
        <v>2180</v>
      </c>
      <c r="E1743" s="2"/>
      <c r="F1743" s="2"/>
      <c r="G1743" s="2" t="s">
        <v>8038</v>
      </c>
      <c r="H1743" s="2" t="s">
        <v>2180</v>
      </c>
      <c r="I1743" s="2" t="s">
        <v>5926</v>
      </c>
      <c r="J1743" s="2" t="s">
        <v>5933</v>
      </c>
      <c r="K1743" s="3" t="b">
        <f>J1743 = "blocking"</f>
        <v>1</v>
      </c>
      <c r="L1743" s="2" t="s">
        <v>1428</v>
      </c>
      <c r="M1743" s="2" t="s">
        <v>8041</v>
      </c>
      <c r="N1743" s="4">
        <v>46223.1297337963</v>
      </c>
      <c r="O1743" s="3" t="b">
        <f>L1743 = "PASS"</f>
        <v>1</v>
      </c>
      <c r="P1743" s="3" t="b">
        <f>L1743 = "FAIL"</f>
        <v>0</v>
      </c>
      <c r="Q1743" s="3" t="b">
        <f>AND(P1743, K1743)</f>
        <v>0</v>
      </c>
      <c r="R1743" s="3" t="str">
        <f>IF(O1743, I1743, "")</f>
        <v>suite-provenance</v>
      </c>
      <c r="S1743" s="3" t="str">
        <f>IF(Q1743, I1743, "")</f>
      </c>
      <c r="T1743" s="2" t="s">
        <v>5935</v>
      </c>
    </row>
    <row r="1744">
      <c r="A1744" s="2" t="s">
        <v>8108</v>
      </c>
      <c r="B1744" s="3" t="str">
        <f>C1744 &amp; ": " &amp; D1744</f>
        <v>question-answered: q2-authority-elicitation-method-monoculture</v>
      </c>
      <c r="C1744" s="2" t="s">
        <v>8037</v>
      </c>
      <c r="D1744" s="2" t="s">
        <v>2184</v>
      </c>
      <c r="E1744" s="2"/>
      <c r="F1744" s="2"/>
      <c r="G1744" s="2" t="s">
        <v>8038</v>
      </c>
      <c r="H1744" s="2" t="s">
        <v>2184</v>
      </c>
      <c r="I1744" s="2" t="s">
        <v>5926</v>
      </c>
      <c r="J1744" s="2" t="s">
        <v>5933</v>
      </c>
      <c r="K1744" s="3" t="b">
        <f>J1744 = "blocking"</f>
        <v>1</v>
      </c>
      <c r="L1744" s="2" t="s">
        <v>1428</v>
      </c>
      <c r="M1744" s="2" t="s">
        <v>8041</v>
      </c>
      <c r="N1744" s="4">
        <v>46223.1297337963</v>
      </c>
      <c r="O1744" s="3" t="b">
        <f>L1744 = "PASS"</f>
        <v>1</v>
      </c>
      <c r="P1744" s="3" t="b">
        <f>L1744 = "FAIL"</f>
        <v>0</v>
      </c>
      <c r="Q1744" s="3" t="b">
        <f>AND(P1744, K1744)</f>
        <v>0</v>
      </c>
      <c r="R1744" s="3" t="str">
        <f>IF(O1744, I1744, "")</f>
        <v>suite-provenance</v>
      </c>
      <c r="S1744" s="3" t="str">
        <f>IF(Q1744, I1744, "")</f>
      </c>
      <c r="T1744" s="2" t="s">
        <v>5935</v>
      </c>
    </row>
    <row r="1745">
      <c r="A1745" s="2" t="s">
        <v>8109</v>
      </c>
      <c r="B1745" s="3" t="str">
        <f>C1745 &amp; ": " &amp; D1745</f>
        <v>question-answered: q2-authority-unapproved-knowledge-reaching-machines</v>
      </c>
      <c r="C1745" s="2" t="s">
        <v>8037</v>
      </c>
      <c r="D1745" s="2" t="s">
        <v>2188</v>
      </c>
      <c r="E1745" s="2"/>
      <c r="F1745" s="2"/>
      <c r="G1745" s="2" t="s">
        <v>8038</v>
      </c>
      <c r="H1745" s="2" t="s">
        <v>2188</v>
      </c>
      <c r="I1745" s="2" t="s">
        <v>5926</v>
      </c>
      <c r="J1745" s="2" t="s">
        <v>5933</v>
      </c>
      <c r="K1745" s="3" t="b">
        <f>J1745 = "blocking"</f>
        <v>1</v>
      </c>
      <c r="L1745" s="2" t="s">
        <v>1428</v>
      </c>
      <c r="M1745" s="2" t="s">
        <v>8039</v>
      </c>
      <c r="N1745" s="4">
        <v>46223.1297337963</v>
      </c>
      <c r="O1745" s="3" t="b">
        <f>L1745 = "PASS"</f>
        <v>1</v>
      </c>
      <c r="P1745" s="3" t="b">
        <f>L1745 = "FAIL"</f>
        <v>0</v>
      </c>
      <c r="Q1745" s="3" t="b">
        <f>AND(P1745, K1745)</f>
        <v>0</v>
      </c>
      <c r="R1745" s="3" t="str">
        <f>IF(O1745, I1745, "")</f>
        <v>suite-provenance</v>
      </c>
      <c r="S1745" s="3" t="str">
        <f>IF(Q1745, I1745, "")</f>
      </c>
      <c r="T1745" s="2" t="s">
        <v>5935</v>
      </c>
    </row>
    <row r="1746">
      <c r="A1746" s="2" t="s">
        <v>8110</v>
      </c>
      <c r="B1746" s="3" t="str">
        <f>C1746 &amp; ": " &amp; D1746</f>
        <v>question-answered: q2-authority-review-date-is-inferred-not-recorded</v>
      </c>
      <c r="C1746" s="2" t="s">
        <v>8037</v>
      </c>
      <c r="D1746" s="2" t="s">
        <v>2192</v>
      </c>
      <c r="E1746" s="2"/>
      <c r="F1746" s="2"/>
      <c r="G1746" s="2" t="s">
        <v>8038</v>
      </c>
      <c r="H1746" s="2" t="s">
        <v>2192</v>
      </c>
      <c r="I1746" s="2" t="s">
        <v>5926</v>
      </c>
      <c r="J1746" s="2" t="s">
        <v>5933</v>
      </c>
      <c r="K1746" s="3" t="b">
        <f>J1746 = "blocking"</f>
        <v>1</v>
      </c>
      <c r="L1746" s="2" t="s">
        <v>1428</v>
      </c>
      <c r="M1746" s="2" t="s">
        <v>8041</v>
      </c>
      <c r="N1746" s="4">
        <v>46223.1297337963</v>
      </c>
      <c r="O1746" s="3" t="b">
        <f>L1746 = "PASS"</f>
        <v>1</v>
      </c>
      <c r="P1746" s="3" t="b">
        <f>L1746 = "FAIL"</f>
        <v>0</v>
      </c>
      <c r="Q1746" s="3" t="b">
        <f>AND(P1746, K1746)</f>
        <v>0</v>
      </c>
      <c r="R1746" s="3" t="str">
        <f>IF(O1746, I1746, "")</f>
        <v>suite-provenance</v>
      </c>
      <c r="S1746" s="3" t="str">
        <f>IF(Q1746, I1746, "")</f>
      </c>
      <c r="T1746" s="2" t="s">
        <v>5935</v>
      </c>
    </row>
    <row r="1747">
      <c r="A1747" s="2" t="s">
        <v>8111</v>
      </c>
      <c r="B1747" s="3" t="str">
        <f>C1747 &amp; ": " &amp; D1747</f>
        <v>question-answered: q2-hr-my-backlog-is-someone-elses-block</v>
      </c>
      <c r="C1747" s="2" t="s">
        <v>8037</v>
      </c>
      <c r="D1747" s="2" t="s">
        <v>2196</v>
      </c>
      <c r="E1747" s="2"/>
      <c r="F1747" s="2"/>
      <c r="G1747" s="2" t="s">
        <v>8038</v>
      </c>
      <c r="H1747" s="2" t="s">
        <v>2196</v>
      </c>
      <c r="I1747" s="2" t="s">
        <v>5926</v>
      </c>
      <c r="J1747" s="2" t="s">
        <v>5933</v>
      </c>
      <c r="K1747" s="3" t="b">
        <f>J1747 = "blocking"</f>
        <v>1</v>
      </c>
      <c r="L1747" s="2" t="s">
        <v>1428</v>
      </c>
      <c r="M1747" s="2" t="s">
        <v>8041</v>
      </c>
      <c r="N1747" s="4">
        <v>46223.1297337963</v>
      </c>
      <c r="O1747" s="3" t="b">
        <f>L1747 = "PASS"</f>
        <v>1</v>
      </c>
      <c r="P1747" s="3" t="b">
        <f>L1747 = "FAIL"</f>
        <v>0</v>
      </c>
      <c r="Q1747" s="3" t="b">
        <f>AND(P1747, K1747)</f>
        <v>0</v>
      </c>
      <c r="R1747" s="3" t="str">
        <f>IF(O1747, I1747, "")</f>
        <v>suite-provenance</v>
      </c>
      <c r="S1747" s="3" t="str">
        <f>IF(Q1747, I1747, "")</f>
      </c>
      <c r="T1747" s="2" t="s">
        <v>5935</v>
      </c>
    </row>
    <row r="1748">
      <c r="A1748" s="2" t="s">
        <v>8112</v>
      </c>
      <c r="B1748" s="3" t="str">
        <f>C1748 &amp; ": " &amp; D1748</f>
        <v>question-answered: q2-hr-ai-boundary-holds-only-where-tested</v>
      </c>
      <c r="C1748" s="2" t="s">
        <v>8037</v>
      </c>
      <c r="D1748" s="2" t="s">
        <v>2200</v>
      </c>
      <c r="E1748" s="2"/>
      <c r="F1748" s="2"/>
      <c r="G1748" s="2" t="s">
        <v>8038</v>
      </c>
      <c r="H1748" s="2" t="s">
        <v>2200</v>
      </c>
      <c r="I1748" s="2" t="s">
        <v>5926</v>
      </c>
      <c r="J1748" s="2" t="s">
        <v>5933</v>
      </c>
      <c r="K1748" s="3" t="b">
        <f>J1748 = "blocking"</f>
        <v>1</v>
      </c>
      <c r="L1748" s="2" t="s">
        <v>1428</v>
      </c>
      <c r="M1748" s="2" t="s">
        <v>8041</v>
      </c>
      <c r="N1748" s="4">
        <v>46223.1297337963</v>
      </c>
      <c r="O1748" s="3" t="b">
        <f>L1748 = "PASS"</f>
        <v>1</v>
      </c>
      <c r="P1748" s="3" t="b">
        <f>L1748 = "FAIL"</f>
        <v>0</v>
      </c>
      <c r="Q1748" s="3" t="b">
        <f>AND(P1748, K1748)</f>
        <v>0</v>
      </c>
      <c r="R1748" s="3" t="str">
        <f>IF(O1748, I1748, "")</f>
        <v>suite-provenance</v>
      </c>
      <c r="S1748" s="3" t="str">
        <f>IF(Q1748, I1748, "")</f>
      </c>
      <c r="T1748" s="2" t="s">
        <v>5935</v>
      </c>
    </row>
    <row r="1749">
      <c r="A1749" s="2" t="s">
        <v>8113</v>
      </c>
      <c r="B1749" s="3" t="str">
        <f>C1749 &amp; ": " &amp; D1749</f>
        <v>question-answered: q2-hr-my-unapproved-claim-is-load-bearing</v>
      </c>
      <c r="C1749" s="2" t="s">
        <v>8037</v>
      </c>
      <c r="D1749" s="2" t="s">
        <v>2204</v>
      </c>
      <c r="E1749" s="2"/>
      <c r="F1749" s="2"/>
      <c r="G1749" s="2" t="s">
        <v>8038</v>
      </c>
      <c r="H1749" s="2" t="s">
        <v>2204</v>
      </c>
      <c r="I1749" s="2" t="s">
        <v>5926</v>
      </c>
      <c r="J1749" s="2" t="s">
        <v>5933</v>
      </c>
      <c r="K1749" s="3" t="b">
        <f>J1749 = "blocking"</f>
        <v>1</v>
      </c>
      <c r="L1749" s="2" t="s">
        <v>1428</v>
      </c>
      <c r="M1749" s="2" t="s">
        <v>8041</v>
      </c>
      <c r="N1749" s="4">
        <v>46223.1297337963</v>
      </c>
      <c r="O1749" s="3" t="b">
        <f>L1749 = "PASS"</f>
        <v>1</v>
      </c>
      <c r="P1749" s="3" t="b">
        <f>L1749 = "FAIL"</f>
        <v>0</v>
      </c>
      <c r="Q1749" s="3" t="b">
        <f>AND(P1749, K1749)</f>
        <v>0</v>
      </c>
      <c r="R1749" s="3" t="str">
        <f>IF(O1749, I1749, "")</f>
        <v>suite-provenance</v>
      </c>
      <c r="S1749" s="3" t="str">
        <f>IF(Q1749, I1749, "")</f>
      </c>
      <c r="T1749" s="2" t="s">
        <v>5935</v>
      </c>
    </row>
    <row r="1750">
      <c r="A1750" s="2" t="s">
        <v>8114</v>
      </c>
      <c r="B1750" s="3" t="str">
        <f>C1750 &amp; ": " &amp; D1750</f>
        <v>question-answered: q2-hr-my-approvals-never-read-as-done</v>
      </c>
      <c r="C1750" s="2" t="s">
        <v>8037</v>
      </c>
      <c r="D1750" s="2" t="s">
        <v>2208</v>
      </c>
      <c r="E1750" s="2"/>
      <c r="F1750" s="2"/>
      <c r="G1750" s="2" t="s">
        <v>8038</v>
      </c>
      <c r="H1750" s="2" t="s">
        <v>2208</v>
      </c>
      <c r="I1750" s="2" t="s">
        <v>5926</v>
      </c>
      <c r="J1750" s="2" t="s">
        <v>5933</v>
      </c>
      <c r="K1750" s="3" t="b">
        <f>J1750 = "blocking"</f>
        <v>1</v>
      </c>
      <c r="L1750" s="2" t="s">
        <v>1428</v>
      </c>
      <c r="M1750" s="2" t="s">
        <v>8041</v>
      </c>
      <c r="N1750" s="4">
        <v>46223.1297337963</v>
      </c>
      <c r="O1750" s="3" t="b">
        <f>L1750 = "PASS"</f>
        <v>1</v>
      </c>
      <c r="P1750" s="3" t="b">
        <f>L1750 = "FAIL"</f>
        <v>0</v>
      </c>
      <c r="Q1750" s="3" t="b">
        <f>AND(P1750, K1750)</f>
        <v>0</v>
      </c>
      <c r="R1750" s="3" t="str">
        <f>IF(O1750, I1750, "")</f>
        <v>suite-provenance</v>
      </c>
      <c r="S1750" s="3" t="str">
        <f>IF(Q1750, I1750, "")</f>
      </c>
      <c r="T1750" s="2" t="s">
        <v>5935</v>
      </c>
    </row>
    <row r="1751">
      <c r="A1751" s="2" t="s">
        <v>8115</v>
      </c>
      <c r="B1751" s="3" t="str">
        <f>C1751 &amp; ": " &amp; D1751</f>
        <v>question-answered: q2-hr-departed-holder-left-claims-behind</v>
      </c>
      <c r="C1751" s="2" t="s">
        <v>8037</v>
      </c>
      <c r="D1751" s="2" t="s">
        <v>2212</v>
      </c>
      <c r="E1751" s="2"/>
      <c r="F1751" s="2"/>
      <c r="G1751" s="2" t="s">
        <v>8038</v>
      </c>
      <c r="H1751" s="2" t="s">
        <v>2212</v>
      </c>
      <c r="I1751" s="2" t="s">
        <v>5926</v>
      </c>
      <c r="J1751" s="2" t="s">
        <v>5933</v>
      </c>
      <c r="K1751" s="3" t="b">
        <f>J1751 = "blocking"</f>
        <v>1</v>
      </c>
      <c r="L1751" s="2" t="s">
        <v>1428</v>
      </c>
      <c r="M1751" s="2" t="s">
        <v>8041</v>
      </c>
      <c r="N1751" s="4">
        <v>46223.1297337963</v>
      </c>
      <c r="O1751" s="3" t="b">
        <f>L1751 = "PASS"</f>
        <v>1</v>
      </c>
      <c r="P1751" s="3" t="b">
        <f>L1751 = "FAIL"</f>
        <v>0</v>
      </c>
      <c r="Q1751" s="3" t="b">
        <f>AND(P1751, K1751)</f>
        <v>0</v>
      </c>
      <c r="R1751" s="3" t="str">
        <f>IF(O1751, I1751, "")</f>
        <v>suite-provenance</v>
      </c>
      <c r="S1751" s="3" t="str">
        <f>IF(Q1751, I1751, "")</f>
      </c>
      <c r="T1751" s="2" t="s">
        <v>5935</v>
      </c>
    </row>
    <row r="1752">
      <c r="A1752" s="2" t="s">
        <v>8116</v>
      </c>
      <c r="B1752" s="3" t="str">
        <f>C1752 &amp; ": " &amp; D1752</f>
        <v>question-answered: q2-steward-recovery-path-is-load-bearing</v>
      </c>
      <c r="C1752" s="2" t="s">
        <v>8037</v>
      </c>
      <c r="D1752" s="2" t="s">
        <v>2216</v>
      </c>
      <c r="E1752" s="2"/>
      <c r="F1752" s="2"/>
      <c r="G1752" s="2" t="s">
        <v>8038</v>
      </c>
      <c r="H1752" s="2" t="s">
        <v>2216</v>
      </c>
      <c r="I1752" s="2" t="s">
        <v>5926</v>
      </c>
      <c r="J1752" s="2" t="s">
        <v>5933</v>
      </c>
      <c r="K1752" s="3" t="b">
        <f>J1752 = "blocking"</f>
        <v>1</v>
      </c>
      <c r="L1752" s="2" t="s">
        <v>1428</v>
      </c>
      <c r="M1752" s="2" t="s">
        <v>8039</v>
      </c>
      <c r="N1752" s="4">
        <v>46223.1297337963</v>
      </c>
      <c r="O1752" s="3" t="b">
        <f>L1752 = "PASS"</f>
        <v>1</v>
      </c>
      <c r="P1752" s="3" t="b">
        <f>L1752 = "FAIL"</f>
        <v>0</v>
      </c>
      <c r="Q1752" s="3" t="b">
        <f>AND(P1752, K1752)</f>
        <v>0</v>
      </c>
      <c r="R1752" s="3" t="str">
        <f>IF(O1752, I1752, "")</f>
        <v>suite-provenance</v>
      </c>
      <c r="S1752" s="3" t="str">
        <f>IF(Q1752, I1752, "")</f>
      </c>
      <c r="T1752" s="2" t="s">
        <v>5935</v>
      </c>
    </row>
    <row r="1753">
      <c r="A1753" s="2" t="s">
        <v>8117</v>
      </c>
      <c r="B1753" s="3" t="str">
        <f>C1753 &amp; ": " &amp; D1753</f>
        <v>question-answered: q2-steward-cadence-breach-is-unremediated</v>
      </c>
      <c r="C1753" s="2" t="s">
        <v>8037</v>
      </c>
      <c r="D1753" s="2" t="s">
        <v>2220</v>
      </c>
      <c r="E1753" s="2"/>
      <c r="F1753" s="2"/>
      <c r="G1753" s="2" t="s">
        <v>8038</v>
      </c>
      <c r="H1753" s="2" t="s">
        <v>2220</v>
      </c>
      <c r="I1753" s="2" t="s">
        <v>5926</v>
      </c>
      <c r="J1753" s="2" t="s">
        <v>5933</v>
      </c>
      <c r="K1753" s="3" t="b">
        <f>J1753 = "blocking"</f>
        <v>1</v>
      </c>
      <c r="L1753" s="2" t="s">
        <v>1428</v>
      </c>
      <c r="M1753" s="2" t="s">
        <v>8039</v>
      </c>
      <c r="N1753" s="4">
        <v>46223.1297337963</v>
      </c>
      <c r="O1753" s="3" t="b">
        <f>L1753 = "PASS"</f>
        <v>1</v>
      </c>
      <c r="P1753" s="3" t="b">
        <f>L1753 = "FAIL"</f>
        <v>0</v>
      </c>
      <c r="Q1753" s="3" t="b">
        <f>AND(P1753, K1753)</f>
        <v>0</v>
      </c>
      <c r="R1753" s="3" t="str">
        <f>IF(O1753, I1753, "")</f>
        <v>suite-provenance</v>
      </c>
      <c r="S1753" s="3" t="str">
        <f>IF(Q1753, I1753, "")</f>
      </c>
      <c r="T1753" s="2" t="s">
        <v>5935</v>
      </c>
    </row>
    <row r="1754">
      <c r="A1754" s="2" t="s">
        <v>8118</v>
      </c>
      <c r="B1754" s="3" t="str">
        <f>C1754 &amp; ": " &amp; D1754</f>
        <v>question-answered: q2-steward-unstewarded-version-still-referenced</v>
      </c>
      <c r="C1754" s="2" t="s">
        <v>8037</v>
      </c>
      <c r="D1754" s="2" t="s">
        <v>2224</v>
      </c>
      <c r="E1754" s="2"/>
      <c r="F1754" s="2"/>
      <c r="G1754" s="2" t="s">
        <v>8038</v>
      </c>
      <c r="H1754" s="2" t="s">
        <v>2224</v>
      </c>
      <c r="I1754" s="2" t="s">
        <v>5926</v>
      </c>
      <c r="J1754" s="2" t="s">
        <v>5933</v>
      </c>
      <c r="K1754" s="3" t="b">
        <f>J1754 = "blocking"</f>
        <v>1</v>
      </c>
      <c r="L1754" s="2" t="s">
        <v>1428</v>
      </c>
      <c r="M1754" s="2" t="s">
        <v>8041</v>
      </c>
      <c r="N1754" s="4">
        <v>46223.1297337963</v>
      </c>
      <c r="O1754" s="3" t="b">
        <f>L1754 = "PASS"</f>
        <v>1</v>
      </c>
      <c r="P1754" s="3" t="b">
        <f>L1754 = "FAIL"</f>
        <v>0</v>
      </c>
      <c r="Q1754" s="3" t="b">
        <f>AND(P1754, K1754)</f>
        <v>0</v>
      </c>
      <c r="R1754" s="3" t="str">
        <f>IF(O1754, I1754, "")</f>
        <v>suite-provenance</v>
      </c>
      <c r="S1754" s="3" t="str">
        <f>IF(Q1754, I1754, "")</f>
      </c>
      <c r="T1754" s="2" t="s">
        <v>5935</v>
      </c>
    </row>
    <row r="1755">
      <c r="A1755" s="2" t="s">
        <v>8119</v>
      </c>
      <c r="B1755" s="3" t="str">
        <f>C1755 &amp; ": " &amp; D1755</f>
        <v>question-answered: q2-steward-approved-cr-never-lands</v>
      </c>
      <c r="C1755" s="2" t="s">
        <v>8037</v>
      </c>
      <c r="D1755" s="2" t="s">
        <v>2228</v>
      </c>
      <c r="E1755" s="2"/>
      <c r="F1755" s="2"/>
      <c r="G1755" s="2" t="s">
        <v>8038</v>
      </c>
      <c r="H1755" s="2" t="s">
        <v>2228</v>
      </c>
      <c r="I1755" s="2" t="s">
        <v>5926</v>
      </c>
      <c r="J1755" s="2" t="s">
        <v>5933</v>
      </c>
      <c r="K1755" s="3" t="b">
        <f>J1755 = "blocking"</f>
        <v>1</v>
      </c>
      <c r="L1755" s="2" t="s">
        <v>1428</v>
      </c>
      <c r="M1755" s="2" t="s">
        <v>8043</v>
      </c>
      <c r="N1755" s="4">
        <v>46223.1297337963</v>
      </c>
      <c r="O1755" s="3" t="b">
        <f>L1755 = "PASS"</f>
        <v>1</v>
      </c>
      <c r="P1755" s="3" t="b">
        <f>L1755 = "FAIL"</f>
        <v>0</v>
      </c>
      <c r="Q1755" s="3" t="b">
        <f>AND(P1755, K1755)</f>
        <v>0</v>
      </c>
      <c r="R1755" s="3" t="str">
        <f>IF(O1755, I1755, "")</f>
        <v>suite-provenance</v>
      </c>
      <c r="S1755" s="3" t="str">
        <f>IF(Q1755, I1755, "")</f>
      </c>
      <c r="T1755" s="2" t="s">
        <v>5935</v>
      </c>
    </row>
    <row r="1756">
      <c r="A1756" s="2" t="s">
        <v>8120</v>
      </c>
      <c r="B1756" s="3" t="str">
        <f>C1756 &amp; ": " &amp; D1756</f>
        <v>question-answered: q2-steward-control-kind-instead-of-hardcoded-ids</v>
      </c>
      <c r="C1756" s="2" t="s">
        <v>8037</v>
      </c>
      <c r="D1756" s="2" t="s">
        <v>2232</v>
      </c>
      <c r="E1756" s="2"/>
      <c r="F1756" s="2"/>
      <c r="G1756" s="2" t="s">
        <v>8038</v>
      </c>
      <c r="H1756" s="2" t="s">
        <v>2232</v>
      </c>
      <c r="I1756" s="2" t="s">
        <v>5926</v>
      </c>
      <c r="J1756" s="2" t="s">
        <v>5933</v>
      </c>
      <c r="K1756" s="3" t="b">
        <f>J1756 = "blocking"</f>
        <v>1</v>
      </c>
      <c r="L1756" s="2" t="s">
        <v>1428</v>
      </c>
      <c r="M1756" s="2" t="s">
        <v>8043</v>
      </c>
      <c r="N1756" s="4">
        <v>46223.1297337963</v>
      </c>
      <c r="O1756" s="3" t="b">
        <f>L1756 = "PASS"</f>
        <v>1</v>
      </c>
      <c r="P1756" s="3" t="b">
        <f>L1756 = "FAIL"</f>
        <v>0</v>
      </c>
      <c r="Q1756" s="3" t="b">
        <f>AND(P1756, K1756)</f>
        <v>0</v>
      </c>
      <c r="R1756" s="3" t="str">
        <f>IF(O1756, I1756, "")</f>
        <v>suite-provenance</v>
      </c>
      <c r="S1756" s="3" t="str">
        <f>IF(Q1756, I1756, "")</f>
      </c>
      <c r="T1756" s="2" t="s">
        <v>5935</v>
      </c>
    </row>
    <row r="1757">
      <c r="A1757" s="2" t="s">
        <v>8121</v>
      </c>
      <c r="B1757" s="3" t="str">
        <f>C1757 &amp; ": " &amp; D1757</f>
        <v>question-answered: q2-fa-cleared-by-mute-control</v>
      </c>
      <c r="C1757" s="2" t="s">
        <v>8037</v>
      </c>
      <c r="D1757" s="2" t="s">
        <v>2236</v>
      </c>
      <c r="E1757" s="2"/>
      <c r="F1757" s="2"/>
      <c r="G1757" s="2" t="s">
        <v>8038</v>
      </c>
      <c r="H1757" s="2" t="s">
        <v>2236</v>
      </c>
      <c r="I1757" s="2" t="s">
        <v>5926</v>
      </c>
      <c r="J1757" s="2" t="s">
        <v>5933</v>
      </c>
      <c r="K1757" s="3" t="b">
        <f>J1757 = "blocking"</f>
        <v>1</v>
      </c>
      <c r="L1757" s="2" t="s">
        <v>1428</v>
      </c>
      <c r="M1757" s="2" t="s">
        <v>8039</v>
      </c>
      <c r="N1757" s="4">
        <v>46223.1297337963</v>
      </c>
      <c r="O1757" s="3" t="b">
        <f>L1757 = "PASS"</f>
        <v>1</v>
      </c>
      <c r="P1757" s="3" t="b">
        <f>L1757 = "FAIL"</f>
        <v>0</v>
      </c>
      <c r="Q1757" s="3" t="b">
        <f>AND(P1757, K1757)</f>
        <v>0</v>
      </c>
      <c r="R1757" s="3" t="str">
        <f>IF(O1757, I1757, "")</f>
        <v>suite-provenance</v>
      </c>
      <c r="S1757" s="3" t="str">
        <f>IF(Q1757, I1757, "")</f>
      </c>
      <c r="T1757" s="2" t="s">
        <v>5935</v>
      </c>
    </row>
    <row r="1758">
      <c r="A1758" s="2" t="s">
        <v>8122</v>
      </c>
      <c r="B1758" s="3" t="str">
        <f>C1758 &amp; ": " &amp; D1758</f>
        <v>question-answered: q2-fa-stale-then-vs-stale-now</v>
      </c>
      <c r="C1758" s="2" t="s">
        <v>8037</v>
      </c>
      <c r="D1758" s="2" t="s">
        <v>2240</v>
      </c>
      <c r="E1758" s="2"/>
      <c r="F1758" s="2"/>
      <c r="G1758" s="2" t="s">
        <v>8038</v>
      </c>
      <c r="H1758" s="2" t="s">
        <v>2240</v>
      </c>
      <c r="I1758" s="2" t="s">
        <v>5926</v>
      </c>
      <c r="J1758" s="2" t="s">
        <v>5933</v>
      </c>
      <c r="K1758" s="3" t="b">
        <f>J1758 = "blocking"</f>
        <v>1</v>
      </c>
      <c r="L1758" s="2" t="s">
        <v>1428</v>
      </c>
      <c r="M1758" s="2" t="s">
        <v>8123</v>
      </c>
      <c r="N1758" s="4">
        <v>46223.1297337963</v>
      </c>
      <c r="O1758" s="3" t="b">
        <f>L1758 = "PASS"</f>
        <v>1</v>
      </c>
      <c r="P1758" s="3" t="b">
        <f>L1758 = "FAIL"</f>
        <v>0</v>
      </c>
      <c r="Q1758" s="3" t="b">
        <f>AND(P1758, K1758)</f>
        <v>0</v>
      </c>
      <c r="R1758" s="3" t="str">
        <f>IF(O1758, I1758, "")</f>
        <v>suite-provenance</v>
      </c>
      <c r="S1758" s="3" t="str">
        <f>IF(Q1758, I1758, "")</f>
      </c>
      <c r="T1758" s="2" t="s">
        <v>5935</v>
      </c>
    </row>
    <row r="1759">
      <c r="A1759" s="2" t="s">
        <v>8124</v>
      </c>
      <c r="B1759" s="3" t="str">
        <f>C1759 &amp; ": " &amp; D1759</f>
        <v>question-answered: q2-fa-witness-coverage-of-my-steps</v>
      </c>
      <c r="C1759" s="2" t="s">
        <v>8037</v>
      </c>
      <c r="D1759" s="2" t="s">
        <v>2244</v>
      </c>
      <c r="E1759" s="2"/>
      <c r="F1759" s="2"/>
      <c r="G1759" s="2" t="s">
        <v>8038</v>
      </c>
      <c r="H1759" s="2" t="s">
        <v>2244</v>
      </c>
      <c r="I1759" s="2" t="s">
        <v>5926</v>
      </c>
      <c r="J1759" s="2" t="s">
        <v>5933</v>
      </c>
      <c r="K1759" s="3" t="b">
        <f>J1759 = "blocking"</f>
        <v>1</v>
      </c>
      <c r="L1759" s="2" t="s">
        <v>1428</v>
      </c>
      <c r="M1759" s="2" t="s">
        <v>8041</v>
      </c>
      <c r="N1759" s="4">
        <v>46223.1297337963</v>
      </c>
      <c r="O1759" s="3" t="b">
        <f>L1759 = "PASS"</f>
        <v>1</v>
      </c>
      <c r="P1759" s="3" t="b">
        <f>L1759 = "FAIL"</f>
        <v>0</v>
      </c>
      <c r="Q1759" s="3" t="b">
        <f>AND(P1759, K1759)</f>
        <v>0</v>
      </c>
      <c r="R1759" s="3" t="str">
        <f>IF(O1759, I1759, "")</f>
        <v>suite-provenance</v>
      </c>
      <c r="S1759" s="3" t="str">
        <f>IF(Q1759, I1759, "")</f>
      </c>
      <c r="T1759" s="2" t="s">
        <v>5935</v>
      </c>
    </row>
    <row r="1760">
      <c r="A1760" s="2" t="s">
        <v>8125</v>
      </c>
      <c r="B1760" s="3" t="str">
        <f>C1760 &amp; ": " &amp; D1760</f>
        <v>question-answered: q2-fa-clean-but-uncovered</v>
      </c>
      <c r="C1760" s="2" t="s">
        <v>8037</v>
      </c>
      <c r="D1760" s="2" t="s">
        <v>2248</v>
      </c>
      <c r="E1760" s="2"/>
      <c r="F1760" s="2"/>
      <c r="G1760" s="2" t="s">
        <v>8038</v>
      </c>
      <c r="H1760" s="2" t="s">
        <v>2248</v>
      </c>
      <c r="I1760" s="2" t="s">
        <v>5926</v>
      </c>
      <c r="J1760" s="2" t="s">
        <v>5933</v>
      </c>
      <c r="K1760" s="3" t="b">
        <f>J1760 = "blocking"</f>
        <v>1</v>
      </c>
      <c r="L1760" s="2" t="s">
        <v>1428</v>
      </c>
      <c r="M1760" s="2" t="s">
        <v>8041</v>
      </c>
      <c r="N1760" s="4">
        <v>46223.1297337963</v>
      </c>
      <c r="O1760" s="3" t="b">
        <f>L1760 = "PASS"</f>
        <v>1</v>
      </c>
      <c r="P1760" s="3" t="b">
        <f>L1760 = "FAIL"</f>
        <v>0</v>
      </c>
      <c r="Q1760" s="3" t="b">
        <f>AND(P1760, K1760)</f>
        <v>0</v>
      </c>
      <c r="R1760" s="3" t="str">
        <f>IF(O1760, I1760, "")</f>
        <v>suite-provenance</v>
      </c>
      <c r="S1760" s="3" t="str">
        <f>IF(Q1760, I1760, "")</f>
      </c>
      <c r="T1760" s="2" t="s">
        <v>5935</v>
      </c>
    </row>
    <row r="1761">
      <c r="A1761" s="2" t="s">
        <v>8126</v>
      </c>
      <c r="B1761" s="3" t="str">
        <f>C1761 &amp; ": " &amp; D1761</f>
        <v>question-answered: q2-fa-my-own-evidence-quality</v>
      </c>
      <c r="C1761" s="2" t="s">
        <v>8037</v>
      </c>
      <c r="D1761" s="2" t="s">
        <v>2252</v>
      </c>
      <c r="E1761" s="2"/>
      <c r="F1761" s="2"/>
      <c r="G1761" s="2" t="s">
        <v>8038</v>
      </c>
      <c r="H1761" s="2" t="s">
        <v>2252</v>
      </c>
      <c r="I1761" s="2" t="s">
        <v>5926</v>
      </c>
      <c r="J1761" s="2" t="s">
        <v>5933</v>
      </c>
      <c r="K1761" s="3" t="b">
        <f>J1761 = "blocking"</f>
        <v>1</v>
      </c>
      <c r="L1761" s="2" t="s">
        <v>1428</v>
      </c>
      <c r="M1761" s="2" t="s">
        <v>8039</v>
      </c>
      <c r="N1761" s="4">
        <v>46223.1297337963</v>
      </c>
      <c r="O1761" s="3" t="b">
        <f>L1761 = "PASS"</f>
        <v>1</v>
      </c>
      <c r="P1761" s="3" t="b">
        <f>L1761 = "FAIL"</f>
        <v>0</v>
      </c>
      <c r="Q1761" s="3" t="b">
        <f>AND(P1761, K1761)</f>
        <v>0</v>
      </c>
      <c r="R1761" s="3" t="str">
        <f>IF(O1761, I1761, "")</f>
        <v>suite-provenance</v>
      </c>
      <c r="S1761" s="3" t="str">
        <f>IF(Q1761, I1761, "")</f>
      </c>
      <c r="T1761" s="2" t="s">
        <v>5935</v>
      </c>
    </row>
    <row r="1762">
      <c r="A1762" s="2" t="s">
        <v>8127</v>
      </c>
      <c r="B1762" s="3" t="str">
        <f>C1762 &amp; ": " &amp; D1762</f>
        <v>question-answered: q2-ctl-witness-never-fired</v>
      </c>
      <c r="C1762" s="2" t="s">
        <v>8037</v>
      </c>
      <c r="D1762" s="2" t="s">
        <v>2256</v>
      </c>
      <c r="E1762" s="2"/>
      <c r="F1762" s="2"/>
      <c r="G1762" s="2" t="s">
        <v>8038</v>
      </c>
      <c r="H1762" s="2" t="s">
        <v>2256</v>
      </c>
      <c r="I1762" s="2" t="s">
        <v>5926</v>
      </c>
      <c r="J1762" s="2" t="s">
        <v>5933</v>
      </c>
      <c r="K1762" s="3" t="b">
        <f>J1762 = "blocking"</f>
        <v>1</v>
      </c>
      <c r="L1762" s="2" t="s">
        <v>1428</v>
      </c>
      <c r="M1762" s="2" t="s">
        <v>8041</v>
      </c>
      <c r="N1762" s="4">
        <v>46223.1297337963</v>
      </c>
      <c r="O1762" s="3" t="b">
        <f>L1762 = "PASS"</f>
        <v>1</v>
      </c>
      <c r="P1762" s="3" t="b">
        <f>L1762 = "FAIL"</f>
        <v>0</v>
      </c>
      <c r="Q1762" s="3" t="b">
        <f>AND(P1762, K1762)</f>
        <v>0</v>
      </c>
      <c r="R1762" s="3" t="str">
        <f>IF(O1762, I1762, "")</f>
        <v>suite-provenance</v>
      </c>
      <c r="S1762" s="3" t="str">
        <f>IF(Q1762, I1762, "")</f>
      </c>
      <c r="T1762" s="2" t="s">
        <v>5935</v>
      </c>
    </row>
    <row r="1763">
      <c r="A1763" s="2" t="s">
        <v>8128</v>
      </c>
      <c r="B1763" s="3" t="str">
        <f>C1763 &amp; ": " &amp; D1763</f>
        <v>question-answered: q2-ctl-witness-scope-vs-binding</v>
      </c>
      <c r="C1763" s="2" t="s">
        <v>8037</v>
      </c>
      <c r="D1763" s="2" t="s">
        <v>2260</v>
      </c>
      <c r="E1763" s="2"/>
      <c r="F1763" s="2"/>
      <c r="G1763" s="2" t="s">
        <v>8038</v>
      </c>
      <c r="H1763" s="2" t="s">
        <v>2260</v>
      </c>
      <c r="I1763" s="2" t="s">
        <v>5926</v>
      </c>
      <c r="J1763" s="2" t="s">
        <v>5933</v>
      </c>
      <c r="K1763" s="3" t="b">
        <f>J1763 = "blocking"</f>
        <v>1</v>
      </c>
      <c r="L1763" s="2" t="s">
        <v>1428</v>
      </c>
      <c r="M1763" s="2" t="s">
        <v>8041</v>
      </c>
      <c r="N1763" s="4">
        <v>46223.1297337963</v>
      </c>
      <c r="O1763" s="3" t="b">
        <f>L1763 = "PASS"</f>
        <v>1</v>
      </c>
      <c r="P1763" s="3" t="b">
        <f>L1763 = "FAIL"</f>
        <v>0</v>
      </c>
      <c r="Q1763" s="3" t="b">
        <f>AND(P1763, K1763)</f>
        <v>0</v>
      </c>
      <c r="R1763" s="3" t="str">
        <f>IF(O1763, I1763, "")</f>
        <v>suite-provenance</v>
      </c>
      <c r="S1763" s="3" t="str">
        <f>IF(Q1763, I1763, "")</f>
      </c>
      <c r="T1763" s="2" t="s">
        <v>5935</v>
      </c>
    </row>
    <row r="1764">
      <c r="A1764" s="2" t="s">
        <v>8129</v>
      </c>
      <c r="B1764" s="3" t="str">
        <f>C1764 &amp; ": " &amp; D1764</f>
        <v>question-answered: q2-ctl-separation-held-or-untested</v>
      </c>
      <c r="C1764" s="2" t="s">
        <v>8037</v>
      </c>
      <c r="D1764" s="2" t="s">
        <v>2264</v>
      </c>
      <c r="E1764" s="2"/>
      <c r="F1764" s="2"/>
      <c r="G1764" s="2" t="s">
        <v>8038</v>
      </c>
      <c r="H1764" s="2" t="s">
        <v>2264</v>
      </c>
      <c r="I1764" s="2" t="s">
        <v>5926</v>
      </c>
      <c r="J1764" s="2" t="s">
        <v>5933</v>
      </c>
      <c r="K1764" s="3" t="b">
        <f>J1764 = "blocking"</f>
        <v>1</v>
      </c>
      <c r="L1764" s="2" t="s">
        <v>1428</v>
      </c>
      <c r="M1764" s="2" t="s">
        <v>8041</v>
      </c>
      <c r="N1764" s="4">
        <v>46223.1297337963</v>
      </c>
      <c r="O1764" s="3" t="b">
        <f>L1764 = "PASS"</f>
        <v>1</v>
      </c>
      <c r="P1764" s="3" t="b">
        <f>L1764 = "FAIL"</f>
        <v>0</v>
      </c>
      <c r="Q1764" s="3" t="b">
        <f>AND(P1764, K1764)</f>
        <v>0</v>
      </c>
      <c r="R1764" s="3" t="str">
        <f>IF(O1764, I1764, "")</f>
        <v>suite-provenance</v>
      </c>
      <c r="S1764" s="3" t="str">
        <f>IF(Q1764, I1764, "")</f>
      </c>
      <c r="T1764" s="2" t="s">
        <v>5935</v>
      </c>
    </row>
    <row r="1765">
      <c r="A1765" s="2" t="s">
        <v>8130</v>
      </c>
      <c r="B1765" s="3" t="str">
        <f>C1765 &amp; ": " &amp; D1765</f>
        <v>question-answered: q2-ctl-asserted-controls-by-who</v>
      </c>
      <c r="C1765" s="2" t="s">
        <v>8037</v>
      </c>
      <c r="D1765" s="2" t="s">
        <v>2268</v>
      </c>
      <c r="E1765" s="2"/>
      <c r="F1765" s="2"/>
      <c r="G1765" s="2" t="s">
        <v>8038</v>
      </c>
      <c r="H1765" s="2" t="s">
        <v>2268</v>
      </c>
      <c r="I1765" s="2" t="s">
        <v>5926</v>
      </c>
      <c r="J1765" s="2" t="s">
        <v>5933</v>
      </c>
      <c r="K1765" s="3" t="b">
        <f>J1765 = "blocking"</f>
        <v>1</v>
      </c>
      <c r="L1765" s="2" t="s">
        <v>1428</v>
      </c>
      <c r="M1765" s="2" t="s">
        <v>8041</v>
      </c>
      <c r="N1765" s="4">
        <v>46223.1297337963</v>
      </c>
      <c r="O1765" s="3" t="b">
        <f>L1765 = "PASS"</f>
        <v>1</v>
      </c>
      <c r="P1765" s="3" t="b">
        <f>L1765 = "FAIL"</f>
        <v>0</v>
      </c>
      <c r="Q1765" s="3" t="b">
        <f>AND(P1765, K1765)</f>
        <v>0</v>
      </c>
      <c r="R1765" s="3" t="str">
        <f>IF(O1765, I1765, "")</f>
        <v>suite-provenance</v>
      </c>
      <c r="S1765" s="3" t="str">
        <f>IF(Q1765, I1765, "")</f>
      </c>
      <c r="T1765" s="2" t="s">
        <v>5935</v>
      </c>
    </row>
    <row r="1766">
      <c r="A1766" s="2" t="s">
        <v>8131</v>
      </c>
      <c r="B1766" s="3" t="str">
        <f>C1766 &amp; ": " &amp; D1766</f>
        <v>question-answered: q2-ctl-divergence-that-nobody-governed</v>
      </c>
      <c r="C1766" s="2" t="s">
        <v>8037</v>
      </c>
      <c r="D1766" s="2" t="s">
        <v>2272</v>
      </c>
      <c r="E1766" s="2"/>
      <c r="F1766" s="2"/>
      <c r="G1766" s="2" t="s">
        <v>8038</v>
      </c>
      <c r="H1766" s="2" t="s">
        <v>2272</v>
      </c>
      <c r="I1766" s="2" t="s">
        <v>5926</v>
      </c>
      <c r="J1766" s="2" t="s">
        <v>5933</v>
      </c>
      <c r="K1766" s="3" t="b">
        <f>J1766 = "blocking"</f>
        <v>1</v>
      </c>
      <c r="L1766" s="2" t="s">
        <v>1428</v>
      </c>
      <c r="M1766" s="2" t="s">
        <v>8061</v>
      </c>
      <c r="N1766" s="4">
        <v>46223.1297337963</v>
      </c>
      <c r="O1766" s="3" t="b">
        <f>L1766 = "PASS"</f>
        <v>1</v>
      </c>
      <c r="P1766" s="3" t="b">
        <f>L1766 = "FAIL"</f>
        <v>0</v>
      </c>
      <c r="Q1766" s="3" t="b">
        <f>AND(P1766, K1766)</f>
        <v>0</v>
      </c>
      <c r="R1766" s="3" t="str">
        <f>IF(O1766, I1766, "")</f>
        <v>suite-provenance</v>
      </c>
      <c r="S1766" s="3" t="str">
        <f>IF(Q1766, I1766, "")</f>
      </c>
      <c r="T1766" s="2" t="s">
        <v>5935</v>
      </c>
    </row>
    <row r="1767">
      <c r="A1767" s="2" t="s">
        <v>8132</v>
      </c>
      <c r="B1767" s="3" t="str">
        <f>C1767 &amp; ": " &amp; D1767</f>
        <v>question-answered: q2-cfo-quality-of-a-green-attestation</v>
      </c>
      <c r="C1767" s="2" t="s">
        <v>8037</v>
      </c>
      <c r="D1767" s="2" t="s">
        <v>2276</v>
      </c>
      <c r="E1767" s="2"/>
      <c r="F1767" s="2"/>
      <c r="G1767" s="2" t="s">
        <v>8038</v>
      </c>
      <c r="H1767" s="2" t="s">
        <v>2276</v>
      </c>
      <c r="I1767" s="2" t="s">
        <v>5926</v>
      </c>
      <c r="J1767" s="2" t="s">
        <v>5933</v>
      </c>
      <c r="K1767" s="3" t="b">
        <f>J1767 = "blocking"</f>
        <v>1</v>
      </c>
      <c r="L1767" s="2" t="s">
        <v>1428</v>
      </c>
      <c r="M1767" s="2" t="s">
        <v>8054</v>
      </c>
      <c r="N1767" s="4">
        <v>46223.1297337963</v>
      </c>
      <c r="O1767" s="3" t="b">
        <f>L1767 = "PASS"</f>
        <v>1</v>
      </c>
      <c r="P1767" s="3" t="b">
        <f>L1767 = "FAIL"</f>
        <v>0</v>
      </c>
      <c r="Q1767" s="3" t="b">
        <f>AND(P1767, K1767)</f>
        <v>0</v>
      </c>
      <c r="R1767" s="3" t="str">
        <f>IF(O1767, I1767, "")</f>
        <v>suite-provenance</v>
      </c>
      <c r="S1767" s="3" t="str">
        <f>IF(Q1767, I1767, "")</f>
      </c>
      <c r="T1767" s="2" t="s">
        <v>5935</v>
      </c>
    </row>
    <row r="1768">
      <c r="A1768" s="2" t="s">
        <v>8133</v>
      </c>
      <c r="B1768" s="3" t="str">
        <f>C1768 &amp; ": " &amp; D1768</f>
        <v>question-answered: q2-cfo-would-it-survive-restatement</v>
      </c>
      <c r="C1768" s="2" t="s">
        <v>8037</v>
      </c>
      <c r="D1768" s="2" t="s">
        <v>2280</v>
      </c>
      <c r="E1768" s="2"/>
      <c r="F1768" s="2"/>
      <c r="G1768" s="2" t="s">
        <v>8038</v>
      </c>
      <c r="H1768" s="2" t="s">
        <v>2280</v>
      </c>
      <c r="I1768" s="2" t="s">
        <v>5926</v>
      </c>
      <c r="J1768" s="2" t="s">
        <v>5933</v>
      </c>
      <c r="K1768" s="3" t="b">
        <f>J1768 = "blocking"</f>
        <v>1</v>
      </c>
      <c r="L1768" s="2" t="s">
        <v>1428</v>
      </c>
      <c r="M1768" s="2" t="s">
        <v>8061</v>
      </c>
      <c r="N1768" s="4">
        <v>46223.1297337963</v>
      </c>
      <c r="O1768" s="3" t="b">
        <f>L1768 = "PASS"</f>
        <v>1</v>
      </c>
      <c r="P1768" s="3" t="b">
        <f>L1768 = "FAIL"</f>
        <v>0</v>
      </c>
      <c r="Q1768" s="3" t="b">
        <f>AND(P1768, K1768)</f>
        <v>0</v>
      </c>
      <c r="R1768" s="3" t="str">
        <f>IF(O1768, I1768, "")</f>
        <v>suite-provenance</v>
      </c>
      <c r="S1768" s="3" t="str">
        <f>IF(Q1768, I1768, "")</f>
      </c>
      <c r="T1768" s="2" t="s">
        <v>5935</v>
      </c>
    </row>
    <row r="1769">
      <c r="A1769" s="2" t="s">
        <v>8134</v>
      </c>
      <c r="B1769" s="3" t="str">
        <f>C1769 &amp; ": " &amp; D1769</f>
        <v>question-answered: q2-cfo-who-witnessed-the-witnesses</v>
      </c>
      <c r="C1769" s="2" t="s">
        <v>8037</v>
      </c>
      <c r="D1769" s="2" t="s">
        <v>2284</v>
      </c>
      <c r="E1769" s="2"/>
      <c r="F1769" s="2"/>
      <c r="G1769" s="2" t="s">
        <v>8038</v>
      </c>
      <c r="H1769" s="2" t="s">
        <v>2284</v>
      </c>
      <c r="I1769" s="2" t="s">
        <v>5926</v>
      </c>
      <c r="J1769" s="2" t="s">
        <v>5933</v>
      </c>
      <c r="K1769" s="3" t="b">
        <f>J1769 = "blocking"</f>
        <v>1</v>
      </c>
      <c r="L1769" s="2" t="s">
        <v>1428</v>
      </c>
      <c r="M1769" s="2" t="s">
        <v>8041</v>
      </c>
      <c r="N1769" s="4">
        <v>46223.1297337963</v>
      </c>
      <c r="O1769" s="3" t="b">
        <f>L1769 = "PASS"</f>
        <v>1</v>
      </c>
      <c r="P1769" s="3" t="b">
        <f>L1769 = "FAIL"</f>
        <v>0</v>
      </c>
      <c r="Q1769" s="3" t="b">
        <f>AND(P1769, K1769)</f>
        <v>0</v>
      </c>
      <c r="R1769" s="3" t="str">
        <f>IF(O1769, I1769, "")</f>
        <v>suite-provenance</v>
      </c>
      <c r="S1769" s="3" t="str">
        <f>IF(Q1769, I1769, "")</f>
      </c>
      <c r="T1769" s="2" t="s">
        <v>5935</v>
      </c>
    </row>
    <row r="1770">
      <c r="A1770" s="2" t="s">
        <v>8135</v>
      </c>
      <c r="B1770" s="3" t="str">
        <f>C1770 &amp; ": " &amp; D1770</f>
        <v>question-answered: q2-cfo-controls-nobody-is-watching</v>
      </c>
      <c r="C1770" s="2" t="s">
        <v>8037</v>
      </c>
      <c r="D1770" s="2" t="s">
        <v>2288</v>
      </c>
      <c r="E1770" s="2"/>
      <c r="F1770" s="2"/>
      <c r="G1770" s="2" t="s">
        <v>8038</v>
      </c>
      <c r="H1770" s="2" t="s">
        <v>2288</v>
      </c>
      <c r="I1770" s="2" t="s">
        <v>5926</v>
      </c>
      <c r="J1770" s="2" t="s">
        <v>5933</v>
      </c>
      <c r="K1770" s="3" t="b">
        <f>J1770 = "blocking"</f>
        <v>1</v>
      </c>
      <c r="L1770" s="2" t="s">
        <v>1428</v>
      </c>
      <c r="M1770" s="2" t="s">
        <v>8041</v>
      </c>
      <c r="N1770" s="4">
        <v>46223.1297337963</v>
      </c>
      <c r="O1770" s="3" t="b">
        <f>L1770 = "PASS"</f>
        <v>1</v>
      </c>
      <c r="P1770" s="3" t="b">
        <f>L1770 = "FAIL"</f>
        <v>0</v>
      </c>
      <c r="Q1770" s="3" t="b">
        <f>AND(P1770, K1770)</f>
        <v>0</v>
      </c>
      <c r="R1770" s="3" t="str">
        <f>IF(O1770, I1770, "")</f>
        <v>suite-provenance</v>
      </c>
      <c r="S1770" s="3" t="str">
        <f>IF(Q1770, I1770, "")</f>
      </c>
      <c r="T1770" s="2" t="s">
        <v>5935</v>
      </c>
    </row>
    <row r="1771">
      <c r="A1771" s="2" t="s">
        <v>8136</v>
      </c>
      <c r="B1771" s="3" t="str">
        <f>C1771 &amp; ": " &amp; D1771</f>
        <v>question-answered: q2-cfo-what-changed-since-i-signed</v>
      </c>
      <c r="C1771" s="2" t="s">
        <v>8037</v>
      </c>
      <c r="D1771" s="2" t="s">
        <v>2292</v>
      </c>
      <c r="E1771" s="2"/>
      <c r="F1771" s="2"/>
      <c r="G1771" s="2" t="s">
        <v>8038</v>
      </c>
      <c r="H1771" s="2" t="s">
        <v>2292</v>
      </c>
      <c r="I1771" s="2" t="s">
        <v>5926</v>
      </c>
      <c r="J1771" s="2" t="s">
        <v>5933</v>
      </c>
      <c r="K1771" s="3" t="b">
        <f>J1771 = "blocking"</f>
        <v>1</v>
      </c>
      <c r="L1771" s="2" t="s">
        <v>1428</v>
      </c>
      <c r="M1771" s="2" t="s">
        <v>8054</v>
      </c>
      <c r="N1771" s="4">
        <v>46223.1297337963</v>
      </c>
      <c r="O1771" s="3" t="b">
        <f>L1771 = "PASS"</f>
        <v>1</v>
      </c>
      <c r="P1771" s="3" t="b">
        <f>L1771 = "FAIL"</f>
        <v>0</v>
      </c>
      <c r="Q1771" s="3" t="b">
        <f>AND(P1771, K1771)</f>
        <v>0</v>
      </c>
      <c r="R1771" s="3" t="str">
        <f>IF(O1771, I1771, "")</f>
        <v>suite-provenance</v>
      </c>
      <c r="S1771" s="3" t="str">
        <f>IF(Q1771, I1771, "")</f>
      </c>
      <c r="T1771" s="2" t="s">
        <v>5935</v>
      </c>
    </row>
    <row r="1772">
      <c r="A1772" s="2" t="s">
        <v>8137</v>
      </c>
      <c r="B1772" s="3" t="str">
        <f>C1772 &amp; ": " &amp; D1772</f>
        <v>question-answered: q2-comms-approval-to-delivery-yield</v>
      </c>
      <c r="C1772" s="2" t="s">
        <v>8037</v>
      </c>
      <c r="D1772" s="2" t="s">
        <v>2296</v>
      </c>
      <c r="E1772" s="2"/>
      <c r="F1772" s="2"/>
      <c r="G1772" s="2" t="s">
        <v>8038</v>
      </c>
      <c r="H1772" s="2" t="s">
        <v>2296</v>
      </c>
      <c r="I1772" s="2" t="s">
        <v>5926</v>
      </c>
      <c r="J1772" s="2" t="s">
        <v>5933</v>
      </c>
      <c r="K1772" s="3" t="b">
        <f>J1772 = "blocking"</f>
        <v>1</v>
      </c>
      <c r="L1772" s="2" t="s">
        <v>1428</v>
      </c>
      <c r="M1772" s="2" t="s">
        <v>8041</v>
      </c>
      <c r="N1772" s="4">
        <v>46223.1297337963</v>
      </c>
      <c r="O1772" s="3" t="b">
        <f>L1772 = "PASS"</f>
        <v>1</v>
      </c>
      <c r="P1772" s="3" t="b">
        <f>L1772 = "FAIL"</f>
        <v>0</v>
      </c>
      <c r="Q1772" s="3" t="b">
        <f>AND(P1772, K1772)</f>
        <v>0</v>
      </c>
      <c r="R1772" s="3" t="str">
        <f>IF(O1772, I1772, "")</f>
        <v>suite-provenance</v>
      </c>
      <c r="S1772" s="3" t="str">
        <f>IF(Q1772, I1772, "")</f>
      </c>
      <c r="T1772" s="2" t="s">
        <v>5935</v>
      </c>
    </row>
    <row r="1773">
      <c r="A1773" s="2" t="s">
        <v>8138</v>
      </c>
      <c r="B1773" s="3" t="str">
        <f>C1773 &amp; ": " &amp; D1773</f>
        <v>question-answered: q2-comms-message-nobody-answered</v>
      </c>
      <c r="C1773" s="2" t="s">
        <v>8037</v>
      </c>
      <c r="D1773" s="2" t="s">
        <v>2300</v>
      </c>
      <c r="E1773" s="2"/>
      <c r="F1773" s="2"/>
      <c r="G1773" s="2" t="s">
        <v>8038</v>
      </c>
      <c r="H1773" s="2" t="s">
        <v>2300</v>
      </c>
      <c r="I1773" s="2" t="s">
        <v>5926</v>
      </c>
      <c r="J1773" s="2" t="s">
        <v>5933</v>
      </c>
      <c r="K1773" s="3" t="b">
        <f>J1773 = "blocking"</f>
        <v>1</v>
      </c>
      <c r="L1773" s="2" t="s">
        <v>1428</v>
      </c>
      <c r="M1773" s="2" t="s">
        <v>8054</v>
      </c>
      <c r="N1773" s="4">
        <v>46223.1297337963</v>
      </c>
      <c r="O1773" s="3" t="b">
        <f>L1773 = "PASS"</f>
        <v>1</v>
      </c>
      <c r="P1773" s="3" t="b">
        <f>L1773 = "FAIL"</f>
        <v>0</v>
      </c>
      <c r="Q1773" s="3" t="b">
        <f>AND(P1773, K1773)</f>
        <v>0</v>
      </c>
      <c r="R1773" s="3" t="str">
        <f>IF(O1773, I1773, "")</f>
        <v>suite-provenance</v>
      </c>
      <c r="S1773" s="3" t="str">
        <f>IF(Q1773, I1773, "")</f>
      </c>
      <c r="T1773" s="2" t="s">
        <v>5935</v>
      </c>
    </row>
    <row r="1774">
      <c r="A1774" s="2" t="s">
        <v>8139</v>
      </c>
      <c r="B1774" s="3" t="str">
        <f>C1774 &amp; ": " &amp; D1774</f>
        <v>question-answered: q2-comms-my-approval-was-consumed-correctly</v>
      </c>
      <c r="C1774" s="2" t="s">
        <v>8037</v>
      </c>
      <c r="D1774" s="2" t="s">
        <v>2304</v>
      </c>
      <c r="E1774" s="2"/>
      <c r="F1774" s="2"/>
      <c r="G1774" s="2" t="s">
        <v>8038</v>
      </c>
      <c r="H1774" s="2" t="s">
        <v>2304</v>
      </c>
      <c r="I1774" s="2" t="s">
        <v>5926</v>
      </c>
      <c r="J1774" s="2" t="s">
        <v>5933</v>
      </c>
      <c r="K1774" s="3" t="b">
        <f>J1774 = "blocking"</f>
        <v>1</v>
      </c>
      <c r="L1774" s="2" t="s">
        <v>1428</v>
      </c>
      <c r="M1774" s="2" t="s">
        <v>8041</v>
      </c>
      <c r="N1774" s="4">
        <v>46223.1297337963</v>
      </c>
      <c r="O1774" s="3" t="b">
        <f>L1774 = "PASS"</f>
        <v>1</v>
      </c>
      <c r="P1774" s="3" t="b">
        <f>L1774 = "FAIL"</f>
        <v>0</v>
      </c>
      <c r="Q1774" s="3" t="b">
        <f>AND(P1774, K1774)</f>
        <v>0</v>
      </c>
      <c r="R1774" s="3" t="str">
        <f>IF(O1774, I1774, "")</f>
        <v>suite-provenance</v>
      </c>
      <c r="S1774" s="3" t="str">
        <f>IF(Q1774, I1774, "")</f>
      </c>
      <c r="T1774" s="2" t="s">
        <v>5935</v>
      </c>
    </row>
    <row r="1775">
      <c r="A1775" s="2" t="s">
        <v>8140</v>
      </c>
      <c r="B1775" s="3" t="str">
        <f>C1775 &amp; ": " &amp; D1775</f>
        <v>question-answered: q2-comms-freeze-what-i-approved</v>
      </c>
      <c r="C1775" s="2" t="s">
        <v>8037</v>
      </c>
      <c r="D1775" s="2" t="s">
        <v>2308</v>
      </c>
      <c r="E1775" s="2"/>
      <c r="F1775" s="2"/>
      <c r="G1775" s="2" t="s">
        <v>8038</v>
      </c>
      <c r="H1775" s="2" t="s">
        <v>2308</v>
      </c>
      <c r="I1775" s="2" t="s">
        <v>5926</v>
      </c>
      <c r="J1775" s="2" t="s">
        <v>5933</v>
      </c>
      <c r="K1775" s="3" t="b">
        <f>J1775 = "blocking"</f>
        <v>1</v>
      </c>
      <c r="L1775" s="2" t="s">
        <v>1428</v>
      </c>
      <c r="M1775" s="2" t="s">
        <v>8050</v>
      </c>
      <c r="N1775" s="4">
        <v>46223.1297337963</v>
      </c>
      <c r="O1775" s="3" t="b">
        <f>L1775 = "PASS"</f>
        <v>1</v>
      </c>
      <c r="P1775" s="3" t="b">
        <f>L1775 = "FAIL"</f>
        <v>0</v>
      </c>
      <c r="Q1775" s="3" t="b">
        <f>AND(P1775, K1775)</f>
        <v>0</v>
      </c>
      <c r="R1775" s="3" t="str">
        <f>IF(O1775, I1775, "")</f>
        <v>suite-provenance</v>
      </c>
      <c r="S1775" s="3" t="str">
        <f>IF(Q1775, I1775, "")</f>
      </c>
      <c r="T1775" s="2" t="s">
        <v>5935</v>
      </c>
    </row>
    <row r="1776">
      <c r="A1776" s="2" t="s">
        <v>8141</v>
      </c>
      <c r="B1776" s="3" t="str">
        <f>C1776 &amp; ": " &amp; D1776</f>
        <v>question-answered: q2-comms-suppression-is-a-communication</v>
      </c>
      <c r="C1776" s="2" t="s">
        <v>8037</v>
      </c>
      <c r="D1776" s="2" t="s">
        <v>2312</v>
      </c>
      <c r="E1776" s="2"/>
      <c r="F1776" s="2"/>
      <c r="G1776" s="2" t="s">
        <v>8038</v>
      </c>
      <c r="H1776" s="2" t="s">
        <v>2312</v>
      </c>
      <c r="I1776" s="2" t="s">
        <v>5926</v>
      </c>
      <c r="J1776" s="2" t="s">
        <v>5933</v>
      </c>
      <c r="K1776" s="3" t="b">
        <f>J1776 = "blocking"</f>
        <v>1</v>
      </c>
      <c r="L1776" s="2" t="s">
        <v>1428</v>
      </c>
      <c r="M1776" s="2" t="s">
        <v>8041</v>
      </c>
      <c r="N1776" s="4">
        <v>46223.1297337963</v>
      </c>
      <c r="O1776" s="3" t="b">
        <f>L1776 = "PASS"</f>
        <v>1</v>
      </c>
      <c r="P1776" s="3" t="b">
        <f>L1776 = "FAIL"</f>
        <v>0</v>
      </c>
      <c r="Q1776" s="3" t="b">
        <f>AND(P1776, K1776)</f>
        <v>0</v>
      </c>
      <c r="R1776" s="3" t="str">
        <f>IF(O1776, I1776, "")</f>
        <v>suite-provenance</v>
      </c>
      <c r="S1776" s="3" t="str">
        <f>IF(Q1776, I1776, "")</f>
      </c>
      <c r="T1776" s="2" t="s">
        <v>5935</v>
      </c>
    </row>
    <row r="1777">
      <c r="A1777" s="2" t="s">
        <v>8142</v>
      </c>
      <c r="B1777" s="3" t="str">
        <f>C1777 &amp; ": " &amp; D1777</f>
        <v>question-answered: q2-variance-comparison-is-statistically-empty</v>
      </c>
      <c r="C1777" s="2" t="s">
        <v>8037</v>
      </c>
      <c r="D1777" s="2" t="s">
        <v>2316</v>
      </c>
      <c r="E1777" s="2"/>
      <c r="F1777" s="2"/>
      <c r="G1777" s="2" t="s">
        <v>8038</v>
      </c>
      <c r="H1777" s="2" t="s">
        <v>2316</v>
      </c>
      <c r="I1777" s="2" t="s">
        <v>5926</v>
      </c>
      <c r="J1777" s="2" t="s">
        <v>5933</v>
      </c>
      <c r="K1777" s="3" t="b">
        <f>J1777 = "blocking"</f>
        <v>1</v>
      </c>
      <c r="L1777" s="2" t="s">
        <v>1428</v>
      </c>
      <c r="M1777" s="2" t="s">
        <v>8041</v>
      </c>
      <c r="N1777" s="4">
        <v>46223.1297337963</v>
      </c>
      <c r="O1777" s="3" t="b">
        <f>L1777 = "PASS"</f>
        <v>1</v>
      </c>
      <c r="P1777" s="3" t="b">
        <f>L1777 = "FAIL"</f>
        <v>0</v>
      </c>
      <c r="Q1777" s="3" t="b">
        <f>AND(P1777, K1777)</f>
        <v>0</v>
      </c>
      <c r="R1777" s="3" t="str">
        <f>IF(O1777, I1777, "")</f>
        <v>suite-provenance</v>
      </c>
      <c r="S1777" s="3" t="str">
        <f>IF(Q1777, I1777, "")</f>
      </c>
      <c r="T1777" s="2" t="s">
        <v>5935</v>
      </c>
    </row>
    <row r="1778">
      <c r="A1778" s="2" t="s">
        <v>8143</v>
      </c>
      <c r="B1778" s="3" t="str">
        <f>C1778 &amp; ": " &amp; D1778</f>
        <v>question-answered: q2-variance-boundary-rests-on-expired-knowledge</v>
      </c>
      <c r="C1778" s="2" t="s">
        <v>8037</v>
      </c>
      <c r="D1778" s="2" t="s">
        <v>2320</v>
      </c>
      <c r="E1778" s="2"/>
      <c r="F1778" s="2"/>
      <c r="G1778" s="2" t="s">
        <v>8038</v>
      </c>
      <c r="H1778" s="2" t="s">
        <v>2320</v>
      </c>
      <c r="I1778" s="2" t="s">
        <v>5926</v>
      </c>
      <c r="J1778" s="2" t="s">
        <v>5933</v>
      </c>
      <c r="K1778" s="3" t="b">
        <f>J1778 = "blocking"</f>
        <v>1</v>
      </c>
      <c r="L1778" s="2" t="s">
        <v>1428</v>
      </c>
      <c r="M1778" s="2" t="s">
        <v>8039</v>
      </c>
      <c r="N1778" s="4">
        <v>46223.1297337963</v>
      </c>
      <c r="O1778" s="3" t="b">
        <f>L1778 = "PASS"</f>
        <v>1</v>
      </c>
      <c r="P1778" s="3" t="b">
        <f>L1778 = "FAIL"</f>
        <v>0</v>
      </c>
      <c r="Q1778" s="3" t="b">
        <f>AND(P1778, K1778)</f>
        <v>0</v>
      </c>
      <c r="R1778" s="3" t="str">
        <f>IF(O1778, I1778, "")</f>
        <v>suite-provenance</v>
      </c>
      <c r="S1778" s="3" t="str">
        <f>IF(Q1778, I1778, "")</f>
      </c>
      <c r="T1778" s="2" t="s">
        <v>5935</v>
      </c>
    </row>
    <row r="1779">
      <c r="A1779" s="2" t="s">
        <v>8144</v>
      </c>
      <c r="B1779" s="3" t="str">
        <f>C1779 &amp; ": " &amp; D1779</f>
        <v>question-answered: q2-variance-override-signal-vs-noise</v>
      </c>
      <c r="C1779" s="2" t="s">
        <v>8037</v>
      </c>
      <c r="D1779" s="2" t="s">
        <v>2324</v>
      </c>
      <c r="E1779" s="2"/>
      <c r="F1779" s="2"/>
      <c r="G1779" s="2" t="s">
        <v>8038</v>
      </c>
      <c r="H1779" s="2" t="s">
        <v>2324</v>
      </c>
      <c r="I1779" s="2" t="s">
        <v>5926</v>
      </c>
      <c r="J1779" s="2" t="s">
        <v>5933</v>
      </c>
      <c r="K1779" s="3" t="b">
        <f>J1779 = "blocking"</f>
        <v>1</v>
      </c>
      <c r="L1779" s="2" t="s">
        <v>1428</v>
      </c>
      <c r="M1779" s="2" t="s">
        <v>8041</v>
      </c>
      <c r="N1779" s="4">
        <v>46223.1297337963</v>
      </c>
      <c r="O1779" s="3" t="b">
        <f>L1779 = "PASS"</f>
        <v>1</v>
      </c>
      <c r="P1779" s="3" t="b">
        <f>L1779 = "FAIL"</f>
        <v>0</v>
      </c>
      <c r="Q1779" s="3" t="b">
        <f>AND(P1779, K1779)</f>
        <v>0</v>
      </c>
      <c r="R1779" s="3" t="str">
        <f>IF(O1779, I1779, "")</f>
        <v>suite-provenance</v>
      </c>
      <c r="S1779" s="3" t="str">
        <f>IF(Q1779, I1779, "")</f>
      </c>
      <c r="T1779" s="2" t="s">
        <v>5935</v>
      </c>
    </row>
    <row r="1780">
      <c r="A1780" s="2" t="s">
        <v>8145</v>
      </c>
      <c r="B1780" s="3" t="str">
        <f>C1780 &amp; ": " &amp; D1780</f>
        <v>question-answered: q2-variance-handover-was-a-decision-somebody-made</v>
      </c>
      <c r="C1780" s="2" t="s">
        <v>8037</v>
      </c>
      <c r="D1780" s="2" t="s">
        <v>2328</v>
      </c>
      <c r="E1780" s="2"/>
      <c r="F1780" s="2"/>
      <c r="G1780" s="2" t="s">
        <v>8038</v>
      </c>
      <c r="H1780" s="2" t="s">
        <v>2328</v>
      </c>
      <c r="I1780" s="2" t="s">
        <v>5926</v>
      </c>
      <c r="J1780" s="2" t="s">
        <v>5933</v>
      </c>
      <c r="K1780" s="3" t="b">
        <f>J1780 = "blocking"</f>
        <v>1</v>
      </c>
      <c r="L1780" s="2" t="s">
        <v>1428</v>
      </c>
      <c r="M1780" s="2" t="s">
        <v>8041</v>
      </c>
      <c r="N1780" s="4">
        <v>46223.1297337963</v>
      </c>
      <c r="O1780" s="3" t="b">
        <f>L1780 = "PASS"</f>
        <v>1</v>
      </c>
      <c r="P1780" s="3" t="b">
        <f>L1780 = "FAIL"</f>
        <v>0</v>
      </c>
      <c r="Q1780" s="3" t="b">
        <f>AND(P1780, K1780)</f>
        <v>0</v>
      </c>
      <c r="R1780" s="3" t="str">
        <f>IF(O1780, I1780, "")</f>
        <v>suite-provenance</v>
      </c>
      <c r="S1780" s="3" t="str">
        <f>IF(Q1780, I1780, "")</f>
      </c>
      <c r="T1780" s="2" t="s">
        <v>5935</v>
      </c>
    </row>
    <row r="1781">
      <c r="A1781" s="2" t="s">
        <v>8146</v>
      </c>
      <c r="B1781" s="3" t="str">
        <f>C1781 &amp; ": " &amp; D1781</f>
        <v>question-answered: q2-variance-what-would-make-me-stop</v>
      </c>
      <c r="C1781" s="2" t="s">
        <v>8037</v>
      </c>
      <c r="D1781" s="2" t="s">
        <v>2332</v>
      </c>
      <c r="E1781" s="2"/>
      <c r="F1781" s="2"/>
      <c r="G1781" s="2" t="s">
        <v>8038</v>
      </c>
      <c r="H1781" s="2" t="s">
        <v>2332</v>
      </c>
      <c r="I1781" s="2" t="s">
        <v>5926</v>
      </c>
      <c r="J1781" s="2" t="s">
        <v>5933</v>
      </c>
      <c r="K1781" s="3" t="b">
        <f>J1781 = "blocking"</f>
        <v>1</v>
      </c>
      <c r="L1781" s="2" t="s">
        <v>1428</v>
      </c>
      <c r="M1781" s="2" t="s">
        <v>8054</v>
      </c>
      <c r="N1781" s="4">
        <v>46223.1297337963</v>
      </c>
      <c r="O1781" s="3" t="b">
        <f>L1781 = "PASS"</f>
        <v>1</v>
      </c>
      <c r="P1781" s="3" t="b">
        <f>L1781 = "FAIL"</f>
        <v>0</v>
      </c>
      <c r="Q1781" s="3" t="b">
        <f>AND(P1781, K1781)</f>
        <v>0</v>
      </c>
      <c r="R1781" s="3" t="str">
        <f>IF(O1781, I1781, "")</f>
        <v>suite-provenance</v>
      </c>
      <c r="S1781" s="3" t="str">
        <f>IF(Q1781, I1781, "")</f>
      </c>
      <c r="T1781" s="2" t="s">
        <v>5935</v>
      </c>
    </row>
    <row r="1782">
      <c r="A1782" s="2" t="s">
        <v>8147</v>
      </c>
      <c r="B1782" s="3" t="str">
        <f>C1782 &amp; ": " &amp; D1782</f>
        <v>question-answered: q2-publisher-every-refusal-leaves-a-record</v>
      </c>
      <c r="C1782" s="2" t="s">
        <v>8037</v>
      </c>
      <c r="D1782" s="2" t="s">
        <v>2336</v>
      </c>
      <c r="E1782" s="2"/>
      <c r="F1782" s="2"/>
      <c r="G1782" s="2" t="s">
        <v>8038</v>
      </c>
      <c r="H1782" s="2" t="s">
        <v>2336</v>
      </c>
      <c r="I1782" s="2" t="s">
        <v>5926</v>
      </c>
      <c r="J1782" s="2" t="s">
        <v>5933</v>
      </c>
      <c r="K1782" s="3" t="b">
        <f>J1782 = "blocking"</f>
        <v>1</v>
      </c>
      <c r="L1782" s="2" t="s">
        <v>1428</v>
      </c>
      <c r="M1782" s="2" t="s">
        <v>8061</v>
      </c>
      <c r="N1782" s="4">
        <v>46223.1297337963</v>
      </c>
      <c r="O1782" s="3" t="b">
        <f>L1782 = "PASS"</f>
        <v>1</v>
      </c>
      <c r="P1782" s="3" t="b">
        <f>L1782 = "FAIL"</f>
        <v>0</v>
      </c>
      <c r="Q1782" s="3" t="b">
        <f>AND(P1782, K1782)</f>
        <v>0</v>
      </c>
      <c r="R1782" s="3" t="str">
        <f>IF(O1782, I1782, "")</f>
        <v>suite-provenance</v>
      </c>
      <c r="S1782" s="3" t="str">
        <f>IF(Q1782, I1782, "")</f>
      </c>
      <c r="T1782" s="2" t="s">
        <v>5935</v>
      </c>
    </row>
    <row r="1783">
      <c r="A1783" s="2" t="s">
        <v>8148</v>
      </c>
      <c r="B1783" s="3" t="str">
        <f>C1783 &amp; ": " &amp; D1783</f>
        <v>question-answered: q2-publisher-deferred-not-cancelled</v>
      </c>
      <c r="C1783" s="2" t="s">
        <v>8037</v>
      </c>
      <c r="D1783" s="2" t="s">
        <v>2340</v>
      </c>
      <c r="E1783" s="2"/>
      <c r="F1783" s="2"/>
      <c r="G1783" s="2" t="s">
        <v>8038</v>
      </c>
      <c r="H1783" s="2" t="s">
        <v>2340</v>
      </c>
      <c r="I1783" s="2" t="s">
        <v>5926</v>
      </c>
      <c r="J1783" s="2" t="s">
        <v>5933</v>
      </c>
      <c r="K1783" s="3" t="b">
        <f>J1783 = "blocking"</f>
        <v>1</v>
      </c>
      <c r="L1783" s="2" t="s">
        <v>1428</v>
      </c>
      <c r="M1783" s="2" t="s">
        <v>8041</v>
      </c>
      <c r="N1783" s="4">
        <v>46223.1297337963</v>
      </c>
      <c r="O1783" s="3" t="b">
        <f>L1783 = "PASS"</f>
        <v>1</v>
      </c>
      <c r="P1783" s="3" t="b">
        <f>L1783 = "FAIL"</f>
        <v>0</v>
      </c>
      <c r="Q1783" s="3" t="b">
        <f>AND(P1783, K1783)</f>
        <v>0</v>
      </c>
      <c r="R1783" s="3" t="str">
        <f>IF(O1783, I1783, "")</f>
        <v>suite-provenance</v>
      </c>
      <c r="S1783" s="3" t="str">
        <f>IF(Q1783, I1783, "")</f>
      </c>
      <c r="T1783" s="2" t="s">
        <v>5935</v>
      </c>
    </row>
    <row r="1784">
      <c r="A1784" s="2" t="s">
        <v>8149</v>
      </c>
      <c r="B1784" s="3" t="str">
        <f>C1784 &amp; ": " &amp; D1784</f>
        <v>question-answered: q2-publisher-my-own-authorization</v>
      </c>
      <c r="C1784" s="2" t="s">
        <v>8037</v>
      </c>
      <c r="D1784" s="2" t="s">
        <v>2344</v>
      </c>
      <c r="E1784" s="2"/>
      <c r="F1784" s="2"/>
      <c r="G1784" s="2" t="s">
        <v>8038</v>
      </c>
      <c r="H1784" s="2" t="s">
        <v>2344</v>
      </c>
      <c r="I1784" s="2" t="s">
        <v>5926</v>
      </c>
      <c r="J1784" s="2" t="s">
        <v>5933</v>
      </c>
      <c r="K1784" s="3" t="b">
        <f>J1784 = "blocking"</f>
        <v>1</v>
      </c>
      <c r="L1784" s="2" t="s">
        <v>1428</v>
      </c>
      <c r="M1784" s="2" t="s">
        <v>8050</v>
      </c>
      <c r="N1784" s="4">
        <v>46223.1297337963</v>
      </c>
      <c r="O1784" s="3" t="b">
        <f>L1784 = "PASS"</f>
        <v>1</v>
      </c>
      <c r="P1784" s="3" t="b">
        <f>L1784 = "FAIL"</f>
        <v>0</v>
      </c>
      <c r="Q1784" s="3" t="b">
        <f>AND(P1784, K1784)</f>
        <v>0</v>
      </c>
      <c r="R1784" s="3" t="str">
        <f>IF(O1784, I1784, "")</f>
        <v>suite-provenance</v>
      </c>
      <c r="S1784" s="3" t="str">
        <f>IF(Q1784, I1784, "")</f>
      </c>
      <c r="T1784" s="2" t="s">
        <v>5935</v>
      </c>
    </row>
    <row r="1785">
      <c r="A1785" s="2" t="s">
        <v>8150</v>
      </c>
      <c r="B1785" s="3" t="str">
        <f>C1785 &amp; ": " &amp; D1785</f>
        <v>question-answered: q2-publisher-am-i-the-only-witness</v>
      </c>
      <c r="C1785" s="2" t="s">
        <v>8037</v>
      </c>
      <c r="D1785" s="2" t="s">
        <v>2348</v>
      </c>
      <c r="E1785" s="2"/>
      <c r="F1785" s="2"/>
      <c r="G1785" s="2" t="s">
        <v>8038</v>
      </c>
      <c r="H1785" s="2" t="s">
        <v>2348</v>
      </c>
      <c r="I1785" s="2" t="s">
        <v>5926</v>
      </c>
      <c r="J1785" s="2" t="s">
        <v>5933</v>
      </c>
      <c r="K1785" s="3" t="b">
        <f>J1785 = "blocking"</f>
        <v>1</v>
      </c>
      <c r="L1785" s="2" t="s">
        <v>1428</v>
      </c>
      <c r="M1785" s="2" t="s">
        <v>8061</v>
      </c>
      <c r="N1785" s="4">
        <v>46223.1297337963</v>
      </c>
      <c r="O1785" s="3" t="b">
        <f>L1785 = "PASS"</f>
        <v>1</v>
      </c>
      <c r="P1785" s="3" t="b">
        <f>L1785 = "FAIL"</f>
        <v>0</v>
      </c>
      <c r="Q1785" s="3" t="b">
        <f>AND(P1785, K1785)</f>
        <v>0</v>
      </c>
      <c r="R1785" s="3" t="str">
        <f>IF(O1785, I1785, "")</f>
        <v>suite-provenance</v>
      </c>
      <c r="S1785" s="3" t="str">
        <f>IF(Q1785, I1785, "")</f>
      </c>
      <c r="T1785" s="2" t="s">
        <v>5935</v>
      </c>
    </row>
    <row r="1786">
      <c r="A1786" s="2" t="s">
        <v>8151</v>
      </c>
      <c r="B1786" s="3" t="str">
        <f>C1786 &amp; ": " &amp; D1786</f>
        <v>question-answered: q2-publisher-obligation-after-send</v>
      </c>
      <c r="C1786" s="2" t="s">
        <v>8037</v>
      </c>
      <c r="D1786" s="2" t="s">
        <v>2352</v>
      </c>
      <c r="E1786" s="2"/>
      <c r="F1786" s="2"/>
      <c r="G1786" s="2" t="s">
        <v>8038</v>
      </c>
      <c r="H1786" s="2" t="s">
        <v>2352</v>
      </c>
      <c r="I1786" s="2" t="s">
        <v>5926</v>
      </c>
      <c r="J1786" s="2" t="s">
        <v>5933</v>
      </c>
      <c r="K1786" s="3" t="b">
        <f>J1786 = "blocking"</f>
        <v>1</v>
      </c>
      <c r="L1786" s="2" t="s">
        <v>1428</v>
      </c>
      <c r="M1786" s="2" t="s">
        <v>8041</v>
      </c>
      <c r="N1786" s="4">
        <v>46223.1297337963</v>
      </c>
      <c r="O1786" s="3" t="b">
        <f>L1786 = "PASS"</f>
        <v>1</v>
      </c>
      <c r="P1786" s="3" t="b">
        <f>L1786 = "FAIL"</f>
        <v>0</v>
      </c>
      <c r="Q1786" s="3" t="b">
        <f>AND(P1786, K1786)</f>
        <v>0</v>
      </c>
      <c r="R1786" s="3" t="str">
        <f>IF(O1786, I1786, "")</f>
        <v>suite-provenance</v>
      </c>
      <c r="S1786" s="3" t="str">
        <f>IF(Q1786, I1786, "")</f>
      </c>
      <c r="T1786" s="2" t="s">
        <v>5935</v>
      </c>
    </row>
    <row r="1787">
      <c r="A1787" s="2" t="s">
        <v>8152</v>
      </c>
      <c r="B1787" s="3" t="str">
        <f>C1787 &amp; ": " &amp; D1787</f>
        <v>provenance: RulebookFields.InventedForQuestion</v>
      </c>
      <c r="C1787" s="2" t="s">
        <v>8153</v>
      </c>
      <c r="D1787" s="2" t="s">
        <v>4114</v>
      </c>
      <c r="E1787" s="2"/>
      <c r="F1787" s="2"/>
      <c r="G1787" s="2" t="s">
        <v>8154</v>
      </c>
      <c r="H1787" s="2"/>
      <c r="I1787" s="2" t="s">
        <v>5926</v>
      </c>
      <c r="J1787" s="2" t="s">
        <v>5933</v>
      </c>
      <c r="K1787" s="3" t="b">
        <f>J1787 = "blocking"</f>
        <v>1</v>
      </c>
      <c r="L1787" s="2" t="s">
        <v>1428</v>
      </c>
      <c r="M1787" s="2" t="s">
        <v>8155</v>
      </c>
      <c r="N1787" s="4">
        <v>46223.1297337963</v>
      </c>
      <c r="O1787" s="3" t="b">
        <f>L1787 = "PASS"</f>
        <v>1</v>
      </c>
      <c r="P1787" s="3" t="b">
        <f>L1787 = "FAIL"</f>
        <v>0</v>
      </c>
      <c r="Q1787" s="3" t="b">
        <f>AND(P1787, K1787)</f>
        <v>0</v>
      </c>
      <c r="R1787" s="3" t="str">
        <f>IF(O1787, I1787, "")</f>
        <v>suite-provenance</v>
      </c>
      <c r="S1787" s="3" t="str">
        <f>IF(Q1787, I1787, "")</f>
      </c>
      <c r="T1787" s="2" t="s">
        <v>5935</v>
      </c>
    </row>
    <row r="1788">
      <c r="A1788" s="2" t="s">
        <v>8156</v>
      </c>
      <c r="B1788" s="3" t="str">
        <f>C1788 &amp; ": " &amp; D1788</f>
        <v>catalog-sync: RulebookFields</v>
      </c>
      <c r="C1788" s="2" t="s">
        <v>8157</v>
      </c>
      <c r="D1788" s="2" t="s">
        <v>4106</v>
      </c>
      <c r="E1788" s="2"/>
      <c r="F1788" s="2"/>
      <c r="G1788" s="2" t="s">
        <v>8158</v>
      </c>
      <c r="H1788" s="2"/>
      <c r="I1788" s="2" t="s">
        <v>5926</v>
      </c>
      <c r="J1788" s="2" t="s">
        <v>5933</v>
      </c>
      <c r="K1788" s="3" t="b">
        <f>J1788 = "blocking"</f>
        <v>1</v>
      </c>
      <c r="L1788" s="2" t="s">
        <v>1428</v>
      </c>
      <c r="M1788" s="2" t="s">
        <v>8159</v>
      </c>
      <c r="N1788" s="4">
        <v>46223.1297337963</v>
      </c>
      <c r="O1788" s="3" t="b">
        <f>L1788 = "PASS"</f>
        <v>1</v>
      </c>
      <c r="P1788" s="3" t="b">
        <f>L1788 = "FAIL"</f>
        <v>0</v>
      </c>
      <c r="Q1788" s="3" t="b">
        <f>AND(P1788, K1788)</f>
        <v>0</v>
      </c>
      <c r="R1788" s="3" t="str">
        <f>IF(O1788, I1788, "")</f>
        <v>suite-provenance</v>
      </c>
      <c r="S1788" s="3" t="str">
        <f>IF(Q1788, I1788, "")</f>
      </c>
      <c r="T1788" s="2" t="s">
        <v>5935</v>
      </c>
    </row>
    <row r="1789">
      <c r="A1789" s="2" t="s">
        <v>8160</v>
      </c>
      <c r="B1789" s="3" t="str">
        <f>C1789 &amp; ": " &amp; D1789</f>
        <v>invariant: composite keys</v>
      </c>
      <c r="C1789" s="2" t="s">
        <v>8161</v>
      </c>
      <c r="D1789" s="2" t="s">
        <v>8162</v>
      </c>
      <c r="E1789" s="2"/>
      <c r="F1789" s="2"/>
      <c r="G1789" s="2" t="s">
        <v>8163</v>
      </c>
      <c r="H1789" s="2"/>
      <c r="I1789" s="2" t="s">
        <v>5928</v>
      </c>
      <c r="J1789" s="2" t="s">
        <v>5933</v>
      </c>
      <c r="K1789" s="3" t="b">
        <f>J1789 = "blocking"</f>
        <v>1</v>
      </c>
      <c r="L1789" s="2" t="s">
        <v>1428</v>
      </c>
      <c r="M1789" s="2" t="s">
        <v>8164</v>
      </c>
      <c r="N1789" s="4">
        <v>46223.1297337963</v>
      </c>
      <c r="O1789" s="3" t="b">
        <f>L1789 = "PASS"</f>
        <v>1</v>
      </c>
      <c r="P1789" s="3" t="b">
        <f>L1789 = "FAIL"</f>
        <v>0</v>
      </c>
      <c r="Q1789" s="3" t="b">
        <f>AND(P1789, K1789)</f>
        <v>0</v>
      </c>
      <c r="R1789" s="3" t="str">
        <f>IF(O1789, I1789, "")</f>
        <v>suite-invariant</v>
      </c>
      <c r="S1789" s="3" t="str">
        <f>IF(Q1789, I1789, "")</f>
      </c>
      <c r="T1789" s="2" t="s">
        <v>5935</v>
      </c>
    </row>
    <row r="1790">
      <c r="A1790" s="2" t="s">
        <v>8165</v>
      </c>
      <c r="B1790" s="3" t="str">
        <f>C1790 &amp; ": " &amp; D1790</f>
        <v>invariant: Procedures vs ProcedureExecutions</v>
      </c>
      <c r="C1790" s="2" t="s">
        <v>8161</v>
      </c>
      <c r="D1790" s="2" t="s">
        <v>8166</v>
      </c>
      <c r="E1790" s="2" t="s">
        <v>1804</v>
      </c>
      <c r="F1790" s="2"/>
      <c r="G1790" s="2" t="s">
        <v>8167</v>
      </c>
      <c r="H1790" s="2"/>
      <c r="I1790" s="2" t="s">
        <v>5928</v>
      </c>
      <c r="J1790" s="2" t="s">
        <v>5933</v>
      </c>
      <c r="K1790" s="3" t="b">
        <f>J1790 = "blocking"</f>
        <v>1</v>
      </c>
      <c r="L1790" s="2" t="s">
        <v>1428</v>
      </c>
      <c r="M1790" s="2" t="s">
        <v>8168</v>
      </c>
      <c r="N1790" s="4">
        <v>46223.1297337963</v>
      </c>
      <c r="O1790" s="3" t="b">
        <f>L1790 = "PASS"</f>
        <v>1</v>
      </c>
      <c r="P1790" s="3" t="b">
        <f>L1790 = "FAIL"</f>
        <v>0</v>
      </c>
      <c r="Q1790" s="3" t="b">
        <f>AND(P1790, K1790)</f>
        <v>0</v>
      </c>
      <c r="R1790" s="3" t="str">
        <f>IF(O1790, I1790, "")</f>
        <v>suite-invariant</v>
      </c>
      <c r="S1790" s="3" t="str">
        <f>IF(Q1790, I1790, "")</f>
      </c>
      <c r="T1790" s="2" t="s">
        <v>5935</v>
      </c>
    </row>
    <row r="1791">
      <c r="A1791" s="2" t="s">
        <v>8169</v>
      </c>
      <c r="B1791" s="3" t="str">
        <f>C1791 &amp; ": " &amp; D1791</f>
        <v>invariant: RequirementSatisfactions.IsBlockingAndUnmet</v>
      </c>
      <c r="C1791" s="2" t="s">
        <v>8161</v>
      </c>
      <c r="D1791" s="2" t="s">
        <v>845</v>
      </c>
      <c r="E1791" s="2" t="s">
        <v>1810</v>
      </c>
      <c r="F1791" s="2" t="s">
        <v>1453</v>
      </c>
      <c r="G1791" s="2" t="s">
        <v>8170</v>
      </c>
      <c r="H1791" s="2"/>
      <c r="I1791" s="2" t="s">
        <v>5928</v>
      </c>
      <c r="J1791" s="2" t="s">
        <v>5933</v>
      </c>
      <c r="K1791" s="3" t="b">
        <f>J1791 = "blocking"</f>
        <v>1</v>
      </c>
      <c r="L1791" s="2" t="s">
        <v>1428</v>
      </c>
      <c r="M1791" s="2" t="s">
        <v>8171</v>
      </c>
      <c r="N1791" s="4">
        <v>46223.1297337963</v>
      </c>
      <c r="O1791" s="3" t="b">
        <f>L1791 = "PASS"</f>
        <v>1</v>
      </c>
      <c r="P1791" s="3" t="b">
        <f>L1791 = "FAIL"</f>
        <v>0</v>
      </c>
      <c r="Q1791" s="3" t="b">
        <f>AND(P1791, K1791)</f>
        <v>0</v>
      </c>
      <c r="R1791" s="3" t="str">
        <f>IF(O1791, I1791, "")</f>
        <v>suite-invariant</v>
      </c>
      <c r="S1791" s="3" t="str">
        <f>IF(Q1791, I1791, "")</f>
      </c>
      <c r="T1791" s="2" t="s">
        <v>5935</v>
      </c>
    </row>
    <row r="1792">
      <c r="A1792" s="2" t="s">
        <v>8172</v>
      </c>
      <c r="B1792" s="3" t="str">
        <f>C1792 &amp; ": " &amp; D1792</f>
        <v>invariant: StepExecutions.ViolatesSeparationOfDuties</v>
      </c>
      <c r="C1792" s="2" t="s">
        <v>8161</v>
      </c>
      <c r="D1792" s="2" t="s">
        <v>838</v>
      </c>
      <c r="E1792" s="2" t="s">
        <v>1807</v>
      </c>
      <c r="F1792" s="2" t="s">
        <v>1357</v>
      </c>
      <c r="G1792" s="2" t="s">
        <v>8173</v>
      </c>
      <c r="H1792" s="2"/>
      <c r="I1792" s="2" t="s">
        <v>5928</v>
      </c>
      <c r="J1792" s="2" t="s">
        <v>5933</v>
      </c>
      <c r="K1792" s="3" t="b">
        <f>J1792 = "blocking"</f>
        <v>1</v>
      </c>
      <c r="L1792" s="2" t="s">
        <v>1428</v>
      </c>
      <c r="M1792" s="2" t="s">
        <v>8174</v>
      </c>
      <c r="N1792" s="4">
        <v>46223.1297337963</v>
      </c>
      <c r="O1792" s="3" t="b">
        <f>L1792 = "PASS"</f>
        <v>1</v>
      </c>
      <c r="P1792" s="3" t="b">
        <f>L1792 = "FAIL"</f>
        <v>0</v>
      </c>
      <c r="Q1792" s="3" t="b">
        <f>AND(P1792, K1792)</f>
        <v>0</v>
      </c>
      <c r="R1792" s="3" t="str">
        <f>IF(O1792, I1792, "")</f>
        <v>suite-invariant</v>
      </c>
      <c r="S1792" s="3" t="str">
        <f>IF(Q1792, I1792, "")</f>
      </c>
      <c r="T1792" s="2" t="s">
        <v>5935</v>
      </c>
    </row>
    <row r="1793">
      <c r="A1793" s="2" t="s">
        <v>8175</v>
      </c>
      <c r="B1793" s="3" t="str">
        <f>C1793 &amp; ": " &amp; D1793</f>
        <v>invariant: MessageDeliveries.IsConsentViolation</v>
      </c>
      <c r="C1793" s="2" t="s">
        <v>8161</v>
      </c>
      <c r="D1793" s="2" t="s">
        <v>4419</v>
      </c>
      <c r="E1793" s="2" t="s">
        <v>4378</v>
      </c>
      <c r="F1793" s="2" t="s">
        <v>4420</v>
      </c>
      <c r="G1793" s="2" t="s">
        <v>8176</v>
      </c>
      <c r="H1793" s="2"/>
      <c r="I1793" s="2" t="s">
        <v>5928</v>
      </c>
      <c r="J1793" s="2" t="s">
        <v>5933</v>
      </c>
      <c r="K1793" s="3" t="b">
        <f>J1793 = "blocking"</f>
        <v>1</v>
      </c>
      <c r="L1793" s="2" t="s">
        <v>1428</v>
      </c>
      <c r="M1793" s="2" t="s">
        <v>8177</v>
      </c>
      <c r="N1793" s="4">
        <v>46223.1297337963</v>
      </c>
      <c r="O1793" s="3" t="b">
        <f>L1793 = "PASS"</f>
        <v>1</v>
      </c>
      <c r="P1793" s="3" t="b">
        <f>L1793 = "FAIL"</f>
        <v>0</v>
      </c>
      <c r="Q1793" s="3" t="b">
        <f>AND(P1793, K1793)</f>
        <v>0</v>
      </c>
      <c r="R1793" s="3" t="str">
        <f>IF(O1793, I1793, "")</f>
        <v>suite-invariant</v>
      </c>
      <c r="S1793" s="3" t="str">
        <f>IF(Q1793, I1793, "")</f>
      </c>
      <c r="T1793" s="2" t="s">
        <v>5935</v>
      </c>
    </row>
    <row r="1794">
      <c r="A1794" s="2" t="s">
        <v>8178</v>
      </c>
      <c r="B1794" s="3" t="str">
        <f>C1794 &amp; ": " &amp; D1794</f>
        <v>invariant: time-dependent witnesses</v>
      </c>
      <c r="C1794" s="2" t="s">
        <v>8161</v>
      </c>
      <c r="D1794" s="2" t="s">
        <v>8179</v>
      </c>
      <c r="E1794" s="2"/>
      <c r="F1794" s="2"/>
      <c r="G1794" s="2" t="s">
        <v>8180</v>
      </c>
      <c r="H1794" s="2"/>
      <c r="I1794" s="2" t="s">
        <v>5928</v>
      </c>
      <c r="J1794" s="2" t="s">
        <v>5933</v>
      </c>
      <c r="K1794" s="3" t="b">
        <f>J1794 = "blocking"</f>
        <v>1</v>
      </c>
      <c r="L1794" s="2" t="s">
        <v>1428</v>
      </c>
      <c r="M1794" s="2" t="s">
        <v>8181</v>
      </c>
      <c r="N1794" s="4">
        <v>46223.1297337963</v>
      </c>
      <c r="O1794" s="3" t="b">
        <f>L1794 = "PASS"</f>
        <v>1</v>
      </c>
      <c r="P1794" s="3" t="b">
        <f>L1794 = "FAIL"</f>
        <v>0</v>
      </c>
      <c r="Q1794" s="3" t="b">
        <f>AND(P1794, K1794)</f>
        <v>0</v>
      </c>
      <c r="R1794" s="3" t="str">
        <f>IF(O1794, I1794, "")</f>
        <v>suite-invariant</v>
      </c>
      <c r="S1794" s="3" t="str">
        <f>IF(Q1794, I1794, "")</f>
      </c>
      <c r="T1794" s="2" t="s">
        <v>5935</v>
      </c>
    </row>
    <row r="1795">
      <c r="A1795" s="2" t="s">
        <v>8182</v>
      </c>
      <c r="B1795" s="3" t="str">
        <f>C1795 &amp; ": " &amp; D1795</f>
        <v>invariant: KnowledgeGaps</v>
      </c>
      <c r="C1795" s="2" t="s">
        <v>8161</v>
      </c>
      <c r="D1795" s="2" t="s">
        <v>3302</v>
      </c>
      <c r="E1795" s="2" t="s">
        <v>3302</v>
      </c>
      <c r="F1795" s="2"/>
      <c r="G1795" s="2" t="s">
        <v>8183</v>
      </c>
      <c r="H1795" s="2"/>
      <c r="I1795" s="2" t="s">
        <v>5928</v>
      </c>
      <c r="J1795" s="2" t="s">
        <v>5933</v>
      </c>
      <c r="K1795" s="3" t="b">
        <f>J1795 = "blocking"</f>
        <v>1</v>
      </c>
      <c r="L1795" s="2" t="s">
        <v>1428</v>
      </c>
      <c r="M1795" s="2" t="s">
        <v>8184</v>
      </c>
      <c r="N1795" s="4">
        <v>46223.1297337963</v>
      </c>
      <c r="O1795" s="3" t="b">
        <f>L1795 = "PASS"</f>
        <v>1</v>
      </c>
      <c r="P1795" s="3" t="b">
        <f>L1795 = "FAIL"</f>
        <v>0</v>
      </c>
      <c r="Q1795" s="3" t="b">
        <f>AND(P1795, K1795)</f>
        <v>0</v>
      </c>
      <c r="R1795" s="3" t="str">
        <f>IF(O1795, I1795, "")</f>
        <v>suite-invariant</v>
      </c>
      <c r="S1795" s="3" t="str">
        <f>IF(Q1795, I1795, "")</f>
      </c>
      <c r="T1795" s="2" t="s">
        <v>5935</v>
      </c>
    </row>
  </sheetData>
  <autoFilter ref="A1:T1"/>
  <headerFooter/>
  <legacyDrawing r:id="rId1"/>
</worksheet>
</file>

<file path=xl/worksheets/sheet5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17.443378448486328" customWidth="1"/>
    <col min="2" max="2" width="32.07949447631836" customWidth="1"/>
    <col min="3" max="3" width="17.443378448486328" customWidth="1"/>
    <col min="4" max="4" width="32.54254913330078" customWidth="1"/>
    <col min="5" max="5" width="52.643733978271484" customWidth="1"/>
    <col min="6" max="6" width="23.35041618347168" customWidth="1"/>
    <col min="7" max="7" width="17.443378448486328" customWidth="1"/>
  </cols>
  <sheetData>
    <row r="1">
      <c r="A1" s="1" t="s">
        <v>4187</v>
      </c>
      <c r="B1" s="1" t="s">
        <v>4189</v>
      </c>
      <c r="C1" s="1" t="s">
        <v>1</v>
      </c>
      <c r="D1" s="1" t="s">
        <v>4192</v>
      </c>
      <c r="E1" s="1" t="s">
        <v>1740</v>
      </c>
      <c r="F1" s="1" t="s">
        <v>4195</v>
      </c>
      <c r="G1" s="1" t="s">
        <v>4197</v>
      </c>
    </row>
    <row r="2">
      <c r="A2" s="2" t="s">
        <v>11</v>
      </c>
      <c r="B2" s="2" t="s">
        <v>8185</v>
      </c>
      <c r="C2" s="2" t="s">
        <v>12</v>
      </c>
      <c r="D2" s="2" t="s">
        <v>8186</v>
      </c>
      <c r="E2" s="2" t="s">
        <v>8187</v>
      </c>
      <c r="F2" s="4">
        <v>46222.708333333336</v>
      </c>
      <c r="G2" s="2" t="b">
        <v>0</v>
      </c>
    </row>
  </sheetData>
  <autoFilter ref="A1:G1"/>
  <headerFooter/>
  <legacyDrawing r:id="rId1"/>
</worksheet>
</file>

<file path=xl/worksheets/sheet5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
  <sheetViews>
    <sheetView workbookViewId="0">
      <pane ySplit="1" topLeftCell="A2" state="frozen" activePane="bottomLeft"/>
      <selection pane="bottomLeft" activeCell="A1" sqref="A1"/>
    </sheetView>
  </sheetViews>
  <sheetFormatPr defaultRowHeight="15"/>
  <cols>
    <col min="1" max="1" width="20.546388626098633" customWidth="1"/>
    <col min="2" max="2" width="17.443378448486328" customWidth="1"/>
    <col min="3" max="3" width="17.443378448486328" customWidth="1"/>
    <col min="4" max="4" width="17.443378448486328" customWidth="1"/>
    <col min="5" max="5" width="17.443378448486328" customWidth="1"/>
    <col min="6" max="6" width="19.331968307495117" customWidth="1"/>
  </cols>
  <sheetData>
    <row r="1">
      <c r="A1" s="1" t="s">
        <v>4200</v>
      </c>
      <c r="B1" s="1" t="s">
        <v>1</v>
      </c>
      <c r="C1" s="1" t="s">
        <v>358</v>
      </c>
      <c r="D1" s="1" t="s">
        <v>4204</v>
      </c>
      <c r="E1" s="1" t="s">
        <v>4206</v>
      </c>
      <c r="F1" s="1" t="s">
        <v>4208</v>
      </c>
    </row>
  </sheetData>
  <autoFilter ref="A1:F1"/>
  <headerFooter/>
  <legacyDrawing r:id="rId1"/>
</worksheet>
</file>

<file path=xl/worksheets/sheet5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
  <sheetViews>
    <sheetView workbookViewId="0">
      <pane ySplit="1" topLeftCell="A2" state="frozen" activePane="bottomLeft"/>
      <selection pane="bottomLeft" activeCell="A1" sqref="A1"/>
    </sheetView>
  </sheetViews>
  <sheetFormatPr defaultRowHeight="15"/>
  <cols>
    <col min="1" max="1" width="22.717899322509766" customWidth="1"/>
    <col min="2" max="2" width="29.88327407836914" customWidth="1"/>
    <col min="3" max="3" width="17.443378448486328" customWidth="1"/>
    <col min="4" max="4" width="18.468276977539062" customWidth="1"/>
    <col min="5" max="5" width="17.443378448486328" customWidth="1"/>
    <col min="6" max="6" width="18.450883865356445" customWidth="1"/>
    <col min="7" max="7" width="23.35041618347168" customWidth="1"/>
    <col min="8" max="8" width="124.60913848876953" customWidth="1"/>
    <col min="9" max="9" width="110.68605041503906" customWidth="1"/>
    <col min="10" max="10" width="22.41802406311035" customWidth="1"/>
    <col min="11" max="11" width="28.29196548461914" customWidth="1"/>
    <col min="12" max="12" width="21.61259651184082" customWidth="1"/>
    <col min="13" max="13" width="17.443378448486328" customWidth="1"/>
    <col min="14" max="14" width="22.9201602935791" customWidth="1"/>
    <col min="15" max="15" width="18.9503231048584" customWidth="1"/>
    <col min="16" max="16" width="32.54715347290039" customWidth="1"/>
    <col min="17" max="17" width="26.299177169799805" customWidth="1"/>
    <col min="18" max="18" width="24.33504867553711" customWidth="1"/>
    <col min="19" max="19" width="21.608692169189453" customWidth="1"/>
    <col min="20" max="20" width="24.749574661254883" customWidth="1"/>
    <col min="21" max="21" width="47.654518127441406" customWidth="1"/>
  </cols>
  <sheetData>
    <row r="1">
      <c r="A1" s="1" t="s">
        <v>4222</v>
      </c>
      <c r="B1" s="1" t="s">
        <v>1</v>
      </c>
      <c r="C1" s="1" t="s">
        <v>1447</v>
      </c>
      <c r="D1" s="1" t="s">
        <v>4227</v>
      </c>
      <c r="E1" s="1" t="s">
        <v>4229</v>
      </c>
      <c r="F1" s="1" t="s">
        <v>4231</v>
      </c>
      <c r="G1" s="1" t="s">
        <v>4233</v>
      </c>
      <c r="H1" s="1" t="s">
        <v>4235</v>
      </c>
      <c r="I1" s="1" t="s">
        <v>4237</v>
      </c>
      <c r="J1" s="1" t="s">
        <v>4240</v>
      </c>
      <c r="K1" s="1" t="s">
        <v>4243</v>
      </c>
      <c r="L1" s="1" t="s">
        <v>4246</v>
      </c>
      <c r="M1" s="1" t="s">
        <v>1094</v>
      </c>
      <c r="N1" s="1" t="s">
        <v>4251</v>
      </c>
      <c r="O1" s="1" t="s">
        <v>4254</v>
      </c>
      <c r="P1" s="1" t="s">
        <v>4257</v>
      </c>
      <c r="Q1" s="1" t="s">
        <v>1462</v>
      </c>
      <c r="R1" s="1" t="s">
        <v>4261</v>
      </c>
      <c r="S1" s="1" t="s">
        <v>4264</v>
      </c>
      <c r="T1" s="1" t="s">
        <v>4267</v>
      </c>
      <c r="U1" s="1" t="s">
        <v>94</v>
      </c>
    </row>
    <row r="2">
      <c r="A2" s="2" t="s">
        <v>8188</v>
      </c>
      <c r="B2" s="3" t="str">
        <f>C2 &amp; " / " &amp; D2</f>
        <v>se-close02 / exc-ledger-outage</v>
      </c>
      <c r="C2" s="2" t="s">
        <v>1430</v>
      </c>
      <c r="D2" s="2" t="s">
        <v>990</v>
      </c>
      <c r="E2" s="2" t="s">
        <v>165</v>
      </c>
      <c r="F2" s="2" t="s">
        <v>145</v>
      </c>
      <c r="G2" s="4">
        <v>46222.6</v>
      </c>
      <c r="H2" s="2" t="s">
        <v>8189</v>
      </c>
      <c r="I2" s="3" t="str">
        <f>_xlfn.IFNA(INDEX(Exceptions!F2:F999, MATCH(D2,Exceptions!A2:A999, 0)), "")</f>
        <v>Use a digitally signed, timestamped snapshot and open a blocking incident; do not silently substitute a spreadsheet.</v>
      </c>
      <c r="J2" s="3" t="str">
        <f>_xlfn.IFNA(INDEX(Exceptions!G2:G999, MATCH(D2,Exceptions!A2:A999, 0)), "")</f>
        <v>controller</v>
      </c>
      <c r="K2" s="3" t="str">
        <f>_xlfn.IFNA(INDEX(Roles!E2:E999, MATCH(J2,Roles!A2:A999, 0)), "")</f>
        <v>devon-okafor</v>
      </c>
      <c r="L2" s="3" t="b">
        <f>F2 = K2</f>
        <v>1</v>
      </c>
      <c r="M2" s="3" t="b">
        <f>F2 &lt;&gt; ""</f>
        <v>1</v>
      </c>
      <c r="N2" s="3" t="b">
        <f>OR(NOT(M2), NOT(L2))</f>
        <v>0</v>
      </c>
      <c r="O2" s="3" t="str">
        <f>_xlfn.IFNA(INDEX(Agents!D2:D999, MATCH(E2,Agents!A2:A999, 0)), "")</f>
        <v>AutomatedPipeline</v>
      </c>
      <c r="P2" s="3" t="str">
        <f>Q2 &amp; "|" &amp; F2</f>
        <v>exec-close-2026-q2|devon-okafor</v>
      </c>
      <c r="Q2" s="3" t="str">
        <f>_xlfn.IFNA(INDEX(StepExecutions!C2:C999, MATCH(C2,StepExecutions!A2:A999, 0)), "")</f>
        <v>exec-close-2026-q2</v>
      </c>
      <c r="R2" s="3">
        <f>COUNTIFS(StepExecutions!AH2:AH999, P2)</f>
        <v>0</v>
      </c>
      <c r="S2" s="3" t="b">
        <f>R2 &gt; 0</f>
        <v>0</v>
      </c>
      <c r="T2" s="3" t="b">
        <f>OR(N2, S2)</f>
        <v>0</v>
      </c>
      <c r="U2" s="2" t="s">
        <v>8190</v>
      </c>
    </row>
  </sheetData>
  <autoFilter ref="A1:U1"/>
  <headerFooter/>
  <legacyDrawing r:id="rId1"/>
</worksheet>
</file>

<file path=xl/worksheets/sheet5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5"/>
  <sheetViews>
    <sheetView workbookViewId="0">
      <pane ySplit="1" topLeftCell="A2" state="frozen" activePane="bottomLeft"/>
      <selection pane="bottomLeft" activeCell="A1" sqref="A1"/>
    </sheetView>
  </sheetViews>
  <sheetFormatPr defaultRowHeight="15"/>
  <cols>
    <col min="1" max="1" width="22.33943748474121" customWidth="1"/>
    <col min="2" max="2" width="31.34035873413086" customWidth="1"/>
    <col min="3" max="3" width="17.443378448486328" customWidth="1"/>
    <col min="4" max="4" width="19.900236129760742" customWidth="1"/>
    <col min="5" max="5" width="21.22705078125" customWidth="1"/>
    <col min="6" max="6" width="18.316831588745117" customWidth="1"/>
    <col min="7" max="7" width="23.35041618347168" customWidth="1"/>
    <col min="8" max="8" width="51.451351165771484" customWidth="1"/>
    <col min="9" max="9" width="20.845239639282227" customWidth="1"/>
    <col min="10" max="10" width="29.353212356567383" customWidth="1"/>
    <col min="11" max="11" width="23.342037200927734" customWidth="1"/>
    <col min="12" max="12" width="17.443378448486328" customWidth="1"/>
    <col min="13" max="13" width="23.83761978149414" customWidth="1"/>
    <col min="14" max="14" width="17.443378448486328" customWidth="1"/>
    <col min="15" max="15" width="19.592836380004883" customWidth="1"/>
    <col min="16" max="16" width="22.16651725769043" customWidth="1"/>
    <col min="17" max="17" width="18.44856071472168" customWidth="1"/>
    <col min="18" max="18" width="28.76402473449707" customWidth="1"/>
    <col min="19" max="19" width="22.546188354492188" customWidth="1"/>
    <col min="20" max="20" width="28.014623641967773" customWidth="1"/>
    <col min="21" max="21" width="22.573060989379883" customWidth="1"/>
    <col min="22" max="22" width="34.054203033447266" customWidth="1"/>
    <col min="23" max="23" width="33.013858795166016" customWidth="1"/>
    <col min="24" max="24" width="37.1593017578125" customWidth="1"/>
    <col min="25" max="25" width="36.70803451538086" customWidth="1"/>
    <col min="26" max="26" width="47.90238571166992" customWidth="1"/>
  </cols>
  <sheetData>
    <row r="1">
      <c r="A1" s="1" t="s">
        <v>4272</v>
      </c>
      <c r="B1" s="1" t="s">
        <v>1</v>
      </c>
      <c r="C1" s="1" t="s">
        <v>1447</v>
      </c>
      <c r="D1" s="1" t="s">
        <v>4277</v>
      </c>
      <c r="E1" s="1" t="s">
        <v>4279</v>
      </c>
      <c r="F1" s="1" t="s">
        <v>4281</v>
      </c>
      <c r="G1" s="1" t="s">
        <v>4283</v>
      </c>
      <c r="H1" s="1" t="s">
        <v>4285</v>
      </c>
      <c r="I1" s="1" t="s">
        <v>922</v>
      </c>
      <c r="J1" s="1" t="s">
        <v>921</v>
      </c>
      <c r="K1" s="1" t="s">
        <v>4290</v>
      </c>
      <c r="L1" s="1" t="s">
        <v>4293</v>
      </c>
      <c r="M1" s="1" t="s">
        <v>4295</v>
      </c>
      <c r="N1" s="1" t="s">
        <v>4298</v>
      </c>
      <c r="O1" s="1" t="s">
        <v>1484</v>
      </c>
      <c r="P1" s="1" t="s">
        <v>4302</v>
      </c>
      <c r="Q1" s="1" t="s">
        <v>4305</v>
      </c>
      <c r="R1" s="1" t="s">
        <v>4308</v>
      </c>
      <c r="S1" s="1" t="s">
        <v>4311</v>
      </c>
      <c r="T1" s="1" t="s">
        <v>4314</v>
      </c>
      <c r="U1" s="1" t="s">
        <v>4317</v>
      </c>
      <c r="V1" s="1" t="s">
        <v>4320</v>
      </c>
      <c r="W1" s="1" t="s">
        <v>4323</v>
      </c>
      <c r="X1" s="1" t="s">
        <v>4326</v>
      </c>
      <c r="Y1" s="1" t="s">
        <v>4329</v>
      </c>
      <c r="Z1" s="1" t="s">
        <v>94</v>
      </c>
    </row>
    <row r="2">
      <c r="A2" s="2" t="s">
        <v>8191</v>
      </c>
      <c r="B2" s="3" t="str">
        <f>C2 &amp; " / " &amp; D2</f>
        <v>se-close01 / verify-close-cutoff</v>
      </c>
      <c r="C2" s="2" t="s">
        <v>1427</v>
      </c>
      <c r="D2" s="2" t="s">
        <v>923</v>
      </c>
      <c r="E2" s="2" t="s">
        <v>926</v>
      </c>
      <c r="F2" s="2" t="s">
        <v>145</v>
      </c>
      <c r="G2" s="4">
        <v>46222.586805555555</v>
      </c>
      <c r="H2" s="2" t="s">
        <v>8192</v>
      </c>
      <c r="I2" s="3" t="str">
        <f>_xlfn.IFNA(INDEX(StepVerifications!F2:F999, MATCH(D2,StepVerifications!A2:A999, 0)), "")</f>
        <v>LOCKED</v>
      </c>
      <c r="J2" s="3" t="str">
        <f>_xlfn.IFNA(INDEX(StepVerifications!E2:E999, MATCH(D2,StepVerifications!A2:A999, 0)), "")</f>
        <v>ledger-lock-state</v>
      </c>
      <c r="K2" s="3" t="b">
        <f>E2 = I2</f>
        <v>1</v>
      </c>
      <c r="L2" s="3" t="b">
        <f>H2 &lt;&gt; ""</f>
        <v>1</v>
      </c>
      <c r="M2" s="3" t="b">
        <f>AND(K2, NOT(L2))</f>
        <v>0</v>
      </c>
      <c r="N2" s="3" t="b">
        <f>F2 = O2</f>
        <v>0</v>
      </c>
      <c r="O2" s="3" t="str">
        <f>_xlfn.IFNA(INDEX(StepExecutions!E2:E999, MATCH(C2,StepExecutions!A2:A999, 0)), "")</f>
        <v>close-pipeline</v>
      </c>
      <c r="P2" s="3" t="str">
        <f>IF(N2, C2, "")</f>
      </c>
      <c r="Q2" s="3" t="str">
        <f>IF(M2, C2, "")</f>
      </c>
      <c r="R2" s="3" t="b">
        <f>AND(N2, NOT(L2))</f>
        <v>0</v>
      </c>
      <c r="S2" s="3" t="b">
        <f>AND(K2, R2)</f>
        <v>0</v>
      </c>
      <c r="T2" s="3" t="str">
        <f>IF(S2, C2, "")</f>
      </c>
      <c r="U2" s="3" t="b">
        <f>_xlfn.IFNA(INDEX(Agents!M2:M999, MATCH(F2,Agents!A2:A999, 0)), "")</f>
        <v>0</v>
      </c>
      <c r="V2" s="3" t="b">
        <f>NOT(N2)</f>
        <v>1</v>
      </c>
      <c r="W2" s="3" t="b">
        <f>AND(NOT(U2), NOT(N2), L2)</f>
        <v>1</v>
      </c>
      <c r="X2" s="3" t="str">
        <f>IF(W2, Y2, "")</f>
        <v>exec-close-2026-q2</v>
      </c>
      <c r="Y2" s="3" t="str">
        <f>_xlfn.IFNA(INDEX(StepExecutions!C2:C999, MATCH(C2,StepExecutions!A2:A999, 0)), "")</f>
        <v>exec-close-2026-q2</v>
      </c>
      <c r="Z2" s="2" t="s">
        <v>8193</v>
      </c>
    </row>
    <row r="3">
      <c r="A3" s="2" t="s">
        <v>8194</v>
      </c>
      <c r="B3" s="3" t="str">
        <f>C3 &amp; " / " &amp; D3</f>
        <v>se-close02 / verify-feed-time</v>
      </c>
      <c r="C3" s="2" t="s">
        <v>1430</v>
      </c>
      <c r="D3" s="2" t="s">
        <v>929</v>
      </c>
      <c r="E3" s="2" t="s">
        <v>8195</v>
      </c>
      <c r="F3" s="2" t="s">
        <v>165</v>
      </c>
      <c r="G3" s="4">
        <v>46222.59861111111</v>
      </c>
      <c r="H3" s="2" t="s">
        <v>8196</v>
      </c>
      <c r="I3" s="3" t="str">
        <f>_xlfn.IFNA(INDEX(StepVerifications!F2:F999, MATCH(D3,StepVerifications!A2:A999, 0)), "")</f>
        <v>15</v>
      </c>
      <c r="J3" s="3" t="str">
        <f>_xlfn.IFNA(INDEX(StepVerifications!E2:E999, MATCH(D3,StepVerifications!A2:A999, 0)), "")</f>
        <v>max-feed-age-minutes</v>
      </c>
      <c r="K3" s="3" t="b">
        <f>E3 = I3</f>
        <v>0</v>
      </c>
      <c r="L3" s="3" t="b">
        <f>H3 &lt;&gt; ""</f>
        <v>1</v>
      </c>
      <c r="M3" s="3" t="b">
        <f>AND(K3, NOT(L3))</f>
        <v>0</v>
      </c>
      <c r="N3" s="3" t="b">
        <f>F3 = O3</f>
        <v>1</v>
      </c>
      <c r="O3" s="3" t="str">
        <f>_xlfn.IFNA(INDEX(StepExecutions!E2:E999, MATCH(C3,StepExecutions!A2:A999, 0)), "")</f>
        <v>close-pipeline</v>
      </c>
      <c r="P3" s="3" t="str">
        <f>IF(N3, C3, "")</f>
        <v>se-close02</v>
      </c>
      <c r="Q3" s="3" t="str">
        <f>IF(M3, C3, "")</f>
      </c>
      <c r="R3" s="3" t="b">
        <f>AND(N3, NOT(L3))</f>
        <v>0</v>
      </c>
      <c r="S3" s="3" t="b">
        <f>AND(K3, R3)</f>
        <v>0</v>
      </c>
      <c r="T3" s="3" t="str">
        <f>IF(S3, C3, "")</f>
      </c>
      <c r="U3" s="3" t="b">
        <f>_xlfn.IFNA(INDEX(Agents!M2:M999, MATCH(F3,Agents!A2:A999, 0)), "")</f>
        <v>1</v>
      </c>
      <c r="V3" s="3" t="b">
        <f>NOT(N3)</f>
        <v>0</v>
      </c>
      <c r="W3" s="3" t="b">
        <f>AND(NOT(U3), NOT(N3), L3)</f>
        <v>0</v>
      </c>
      <c r="X3" s="3" t="str">
        <f>IF(W3, Y3, "")</f>
      </c>
      <c r="Y3" s="3" t="str">
        <f>_xlfn.IFNA(INDEX(StepExecutions!C2:C999, MATCH(C3,StepExecutions!A2:A999, 0)), "")</f>
        <v>exec-close-2026-q2</v>
      </c>
      <c r="Z3" s="2" t="s">
        <v>8193</v>
      </c>
    </row>
    <row r="4">
      <c r="A4" s="2" t="s">
        <v>8197</v>
      </c>
      <c r="B4" s="3" t="str">
        <f>C4 &amp; " / " &amp; D4</f>
        <v>se-close03 / verify-reconciliation</v>
      </c>
      <c r="C4" s="2" t="s">
        <v>1433</v>
      </c>
      <c r="D4" s="2" t="s">
        <v>933</v>
      </c>
      <c r="E4" s="2" t="s">
        <v>935</v>
      </c>
      <c r="F4" s="2" t="s">
        <v>139</v>
      </c>
      <c r="G4" s="4">
        <v>46222.694444444445</v>
      </c>
      <c r="H4" s="2" t="s">
        <v>168</v>
      </c>
      <c r="I4" s="3" t="str">
        <f>_xlfn.IFNA(INDEX(StepVerifications!F2:F999, MATCH(D4,StepVerifications!A2:A999, 0)), "")</f>
        <v>0</v>
      </c>
      <c r="J4" s="3" t="str">
        <f>_xlfn.IFNA(INDEX(StepVerifications!E2:E999, MATCH(D4,StepVerifications!A2:A999, 0)), "")</f>
        <v>unexplained-material-variance</v>
      </c>
      <c r="K4" s="3" t="b">
        <f>E4 = I4</f>
        <v>1</v>
      </c>
      <c r="L4" s="3" t="b">
        <f>H4 &lt;&gt; ""</f>
        <v>0</v>
      </c>
      <c r="M4" s="3" t="b">
        <f>AND(K4, NOT(L4))</f>
        <v>1</v>
      </c>
      <c r="N4" s="3" t="b">
        <f>F4 = O4</f>
        <v>1</v>
      </c>
      <c r="O4" s="3" t="str">
        <f>_xlfn.IFNA(INDEX(StepExecutions!E2:E999, MATCH(C4,StepExecutions!A2:A999, 0)), "")</f>
        <v>maria-chen</v>
      </c>
      <c r="P4" s="3" t="str">
        <f>IF(N4, C4, "")</f>
        <v>se-close03</v>
      </c>
      <c r="Q4" s="3" t="str">
        <f>IF(M4, C4, "")</f>
        <v>se-close03</v>
      </c>
      <c r="R4" s="3" t="b">
        <f>AND(N4, NOT(L4))</f>
        <v>1</v>
      </c>
      <c r="S4" s="3" t="b">
        <f>AND(K4, R4)</f>
        <v>1</v>
      </c>
      <c r="T4" s="3" t="str">
        <f>IF(S4, C4, "")</f>
        <v>se-close03</v>
      </c>
      <c r="U4" s="3" t="b">
        <f>_xlfn.IFNA(INDEX(Agents!M2:M999, MATCH(F4,Agents!A2:A999, 0)), "")</f>
        <v>0</v>
      </c>
      <c r="V4" s="3" t="b">
        <f>NOT(N4)</f>
        <v>0</v>
      </c>
      <c r="W4" s="3" t="b">
        <f>AND(NOT(U4), NOT(N4), L4)</f>
        <v>0</v>
      </c>
      <c r="X4" s="3" t="str">
        <f>IF(W4, Y4, "")</f>
      </c>
      <c r="Y4" s="3" t="str">
        <f>_xlfn.IFNA(INDEX(StepExecutions!C2:C999, MATCH(C4,StepExecutions!A2:A999, 0)), "")</f>
        <v>exec-close-2026-q2</v>
      </c>
      <c r="Z4" s="2" t="s">
        <v>8193</v>
      </c>
    </row>
    <row r="5">
      <c r="A5" s="2" t="s">
        <v>8198</v>
      </c>
      <c r="B5" s="3" t="str">
        <f>C5 &amp; " / " &amp; D5</f>
        <v>se-close05 / verify-controller</v>
      </c>
      <c r="C5" s="2" t="s">
        <v>1436</v>
      </c>
      <c r="D5" s="2" t="s">
        <v>937</v>
      </c>
      <c r="E5" s="2" t="s">
        <v>940</v>
      </c>
      <c r="F5" s="2" t="s">
        <v>145</v>
      </c>
      <c r="G5" s="4">
        <v>46222.72222222222</v>
      </c>
      <c r="H5" s="2" t="s">
        <v>8199</v>
      </c>
      <c r="I5" s="3" t="str">
        <f>_xlfn.IFNA(INDEX(StepVerifications!F2:F999, MATCH(D5,StepVerifications!A2:A999, 0)), "")</f>
        <v>APPROVED</v>
      </c>
      <c r="J5" s="3" t="str">
        <f>_xlfn.IFNA(INDEX(StepVerifications!E2:E999, MATCH(D5,StepVerifications!A2:A999, 0)), "")</f>
        <v>controller-approval</v>
      </c>
      <c r="K5" s="3" t="b">
        <f>E5 = I5</f>
        <v>1</v>
      </c>
      <c r="L5" s="3" t="b">
        <f>H5 &lt;&gt; ""</f>
        <v>1</v>
      </c>
      <c r="M5" s="3" t="b">
        <f>AND(K5, NOT(L5))</f>
        <v>0</v>
      </c>
      <c r="N5" s="3" t="b">
        <f>F5 = O5</f>
        <v>1</v>
      </c>
      <c r="O5" s="3" t="str">
        <f>_xlfn.IFNA(INDEX(StepExecutions!E2:E999, MATCH(C5,StepExecutions!A2:A999, 0)), "")</f>
        <v>devon-okafor</v>
      </c>
      <c r="P5" s="3" t="str">
        <f>IF(N5, C5, "")</f>
        <v>se-close05</v>
      </c>
      <c r="Q5" s="3" t="str">
        <f>IF(M5, C5, "")</f>
      </c>
      <c r="R5" s="3" t="b">
        <f>AND(N5, NOT(L5))</f>
        <v>0</v>
      </c>
      <c r="S5" s="3" t="b">
        <f>AND(K5, R5)</f>
        <v>0</v>
      </c>
      <c r="T5" s="3" t="str">
        <f>IF(S5, C5, "")</f>
      </c>
      <c r="U5" s="3" t="b">
        <f>_xlfn.IFNA(INDEX(Agents!M2:M999, MATCH(F5,Agents!A2:A999, 0)), "")</f>
        <v>0</v>
      </c>
      <c r="V5" s="3" t="b">
        <f>NOT(N5)</f>
        <v>0</v>
      </c>
      <c r="W5" s="3" t="b">
        <f>AND(NOT(U5), NOT(N5), L5)</f>
        <v>0</v>
      </c>
      <c r="X5" s="3" t="str">
        <f>IF(W5, Y5, "")</f>
      </c>
      <c r="Y5" s="3" t="str">
        <f>_xlfn.IFNA(INDEX(StepExecutions!C2:C999, MATCH(C5,StepExecutions!A2:A999, 0)), "")</f>
        <v>exec-close-2026-q2</v>
      </c>
      <c r="Z5" s="2" t="s">
        <v>8193</v>
      </c>
    </row>
  </sheetData>
  <autoFilter ref="A1:Z1"/>
  <headerFooter/>
  <legacyDrawing r:id="rId1"/>
</worksheet>
</file>

<file path=xl/worksheets/sheet5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1"/>
  <sheetViews>
    <sheetView workbookViewId="0">
      <pane ySplit="1" topLeftCell="A2" state="frozen" activePane="bottomLeft"/>
      <selection pane="bottomLeft" activeCell="A1" sqref="A1"/>
    </sheetView>
  </sheetViews>
  <sheetFormatPr defaultRowHeight="15"/>
  <cols>
    <col min="1" max="1" width="24.764890670776367" customWidth="1"/>
    <col min="2" max="2" width="50.328861236572266" customWidth="1"/>
    <col min="3" max="3" width="20.414697647094727" customWidth="1"/>
    <col min="4" max="4" width="22.074857711791992" customWidth="1"/>
    <col min="5" max="5" width="22.21406364440918" customWidth="1"/>
    <col min="6" max="6" width="24.515466690063477" customWidth="1"/>
    <col min="7" max="7" width="17.681325912475586" customWidth="1"/>
    <col min="8" max="8" width="46.85745620727539" customWidth="1"/>
  </cols>
  <sheetData>
    <row r="1">
      <c r="A1" s="1" t="s">
        <v>4333</v>
      </c>
      <c r="B1" s="1" t="s">
        <v>1</v>
      </c>
      <c r="C1" s="1" t="s">
        <v>1329</v>
      </c>
      <c r="D1" s="1" t="s">
        <v>4338</v>
      </c>
      <c r="E1" s="1" t="s">
        <v>4340</v>
      </c>
      <c r="F1" s="1" t="s">
        <v>4283</v>
      </c>
      <c r="G1" s="1" t="s">
        <v>4343</v>
      </c>
      <c r="H1" s="1" t="s">
        <v>94</v>
      </c>
    </row>
    <row r="2">
      <c r="A2" s="2" t="s">
        <v>8200</v>
      </c>
      <c r="B2" s="3" t="str">
        <f>D2 &amp; " @ " &amp; TEXT(F2, "yyyy-mm-dd hh:mm:ss")&amp;"+00"</f>
        <v>close-01-to-close-02 @ 2026-06-30 22:04:00+00</v>
      </c>
      <c r="C2" s="2" t="s">
        <v>1319</v>
      </c>
      <c r="D2" s="2" t="s">
        <v>628</v>
      </c>
      <c r="E2" s="2" t="s">
        <v>1430</v>
      </c>
      <c r="F2" s="4">
        <v>46203.919444444444</v>
      </c>
      <c r="G2" s="2" t="s">
        <v>630</v>
      </c>
      <c r="H2" s="2" t="s">
        <v>8201</v>
      </c>
    </row>
    <row r="3">
      <c r="A3" s="2" t="s">
        <v>8202</v>
      </c>
      <c r="B3" s="3" t="str">
        <f>D3 &amp; " @ " &amp; TEXT(F3, "yyyy-mm-dd hh:mm:ss")&amp;"+00"</f>
        <v>close-02-to-close-03 @ 2026-06-30 22:18:00+00</v>
      </c>
      <c r="C3" s="2" t="s">
        <v>1319</v>
      </c>
      <c r="D3" s="2" t="s">
        <v>632</v>
      </c>
      <c r="E3" s="2" t="s">
        <v>1433</v>
      </c>
      <c r="F3" s="4">
        <v>46203.92916666667</v>
      </c>
      <c r="G3" s="2" t="s">
        <v>630</v>
      </c>
      <c r="H3" s="2" t="s">
        <v>8201</v>
      </c>
    </row>
    <row r="4">
      <c r="A4" s="2" t="s">
        <v>8203</v>
      </c>
      <c r="B4" s="3" t="str">
        <f>D4 &amp; " @ " &amp; TEXT(F4, "yyyy-mm-dd hh:mm:ss")&amp;"+00"</f>
        <v>close-03-to-close-04 @ 2026-07-01 17:15:00+00</v>
      </c>
      <c r="C4" s="2" t="s">
        <v>1319</v>
      </c>
      <c r="D4" s="2" t="s">
        <v>633</v>
      </c>
      <c r="E4" s="2" t="s">
        <v>1434</v>
      </c>
      <c r="F4" s="4">
        <v>46204.71875</v>
      </c>
      <c r="G4" s="2" t="s">
        <v>630</v>
      </c>
      <c r="H4" s="2" t="s">
        <v>8201</v>
      </c>
    </row>
    <row r="5">
      <c r="A5" s="2" t="s">
        <v>8204</v>
      </c>
      <c r="B5" s="3" t="str">
        <f>D5 &amp; " @ " &amp; TEXT(F5, "yyyy-mm-dd hh:mm:ss")&amp;"+00"</f>
        <v>close-04-to-close-05 @ 2026-07-01 20:05:00+00</v>
      </c>
      <c r="C5" s="2" t="s">
        <v>1319</v>
      </c>
      <c r="D5" s="2" t="s">
        <v>634</v>
      </c>
      <c r="E5" s="2" t="s">
        <v>1436</v>
      </c>
      <c r="F5" s="4">
        <v>46204.836805555555</v>
      </c>
      <c r="G5" s="2" t="s">
        <v>630</v>
      </c>
      <c r="H5" s="2" t="s">
        <v>8201</v>
      </c>
    </row>
    <row r="6">
      <c r="A6" s="2" t="s">
        <v>8205</v>
      </c>
      <c r="B6" s="3" t="str">
        <f>D6 &amp; " @ " &amp; TEXT(F6, "yyyy-mm-dd hh:mm:ss")&amp;"+00"</f>
        <v>close-05-to-close-06 @ 2026-07-02 14:00:00+00</v>
      </c>
      <c r="C6" s="2" t="s">
        <v>1319</v>
      </c>
      <c r="D6" s="2" t="s">
        <v>635</v>
      </c>
      <c r="E6" s="2" t="s">
        <v>1437</v>
      </c>
      <c r="F6" s="4">
        <v>46205.583333333336</v>
      </c>
      <c r="G6" s="2" t="s">
        <v>630</v>
      </c>
      <c r="H6" s="2" t="s">
        <v>8201</v>
      </c>
    </row>
    <row r="7">
      <c r="A7" s="2" t="s">
        <v>8206</v>
      </c>
      <c r="B7" s="3" t="str">
        <f>D7 &amp; " @ " &amp; TEXT(F7, "yyyy-mm-dd hh:mm:ss")&amp;"+00"</f>
        <v>close-06-to-close-07 @ 2026-07-02 14:22:00+00</v>
      </c>
      <c r="C7" s="2" t="s">
        <v>1319</v>
      </c>
      <c r="D7" s="2" t="s">
        <v>636</v>
      </c>
      <c r="E7" s="2" t="s">
        <v>1438</v>
      </c>
      <c r="F7" s="4">
        <v>46205.59861111111</v>
      </c>
      <c r="G7" s="2" t="s">
        <v>630</v>
      </c>
      <c r="H7" s="2" t="s">
        <v>8201</v>
      </c>
    </row>
    <row r="8">
      <c r="A8" s="2" t="s">
        <v>8207</v>
      </c>
      <c r="B8" s="3" t="str">
        <f>D8 &amp; " @ " &amp; TEXT(F8, "yyyy-mm-dd hh:mm:ss")&amp;"+00"</f>
        <v>close-07-to-close-08 @ 2026-07-02 19:00:00+00</v>
      </c>
      <c r="C8" s="2" t="s">
        <v>1319</v>
      </c>
      <c r="D8" s="2" t="s">
        <v>637</v>
      </c>
      <c r="E8" s="2" t="s">
        <v>1439</v>
      </c>
      <c r="F8" s="4">
        <v>46205.791666666664</v>
      </c>
      <c r="G8" s="2" t="s">
        <v>630</v>
      </c>
      <c r="H8" s="2" t="s">
        <v>8201</v>
      </c>
    </row>
    <row r="9">
      <c r="A9" s="2" t="s">
        <v>8208</v>
      </c>
      <c r="B9" s="3" t="str">
        <f>D9 &amp; " @ " &amp; TEXT(F9, "yyyy-mm-dd hh:mm:ss")&amp;"+00"</f>
        <v>policy-01-to-policy-02 @ 2026-07-18 14:30:00+00</v>
      </c>
      <c r="C9" s="2" t="s">
        <v>1324</v>
      </c>
      <c r="D9" s="2" t="s">
        <v>638</v>
      </c>
      <c r="E9" s="2" t="s">
        <v>1442</v>
      </c>
      <c r="F9" s="4">
        <v>46221.604166666664</v>
      </c>
      <c r="G9" s="2" t="s">
        <v>630</v>
      </c>
      <c r="H9" s="2" t="s">
        <v>8201</v>
      </c>
    </row>
    <row r="10">
      <c r="A10" s="2" t="s">
        <v>8209</v>
      </c>
      <c r="B10" s="3" t="str">
        <f>D10 &amp; " @ " &amp; TEXT(F10, "yyyy-mm-dd hh:mm:ss")&amp;"+00"</f>
        <v>policy-02-to-policy-03 @ 2026-07-18 18:00:00+00</v>
      </c>
      <c r="C10" s="2" t="s">
        <v>1324</v>
      </c>
      <c r="D10" s="2" t="s">
        <v>639</v>
      </c>
      <c r="E10" s="2" t="s">
        <v>1443</v>
      </c>
      <c r="F10" s="4">
        <v>46221.75</v>
      </c>
      <c r="G10" s="2" t="s">
        <v>630</v>
      </c>
      <c r="H10" s="2" t="s">
        <v>8201</v>
      </c>
    </row>
    <row r="11">
      <c r="A11" s="2" t="s">
        <v>8210</v>
      </c>
      <c r="B11" s="3" t="str">
        <f>D11 &amp; " @ " &amp; TEXT(F11, "yyyy-mm-dd hh:mm:ss")&amp;"+00"</f>
        <v>policy-03-to-policy-04 @ 2026-07-19 14:00:00+00</v>
      </c>
      <c r="C11" s="2" t="s">
        <v>1324</v>
      </c>
      <c r="D11" s="2" t="s">
        <v>640</v>
      </c>
      <c r="E11" s="2" t="s">
        <v>1444</v>
      </c>
      <c r="F11" s="4">
        <v>46222.583333333336</v>
      </c>
      <c r="G11" s="2" t="s">
        <v>630</v>
      </c>
      <c r="H11" s="2" t="s">
        <v>8201</v>
      </c>
    </row>
  </sheetData>
  <autoFilter ref="A1:H1"/>
  <headerFooter/>
  <legacyDrawing r:id="rId1"/>
</worksheet>
</file>

<file path=xl/worksheets/sheet6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27.305038452148438" customWidth="1"/>
    <col min="6" max="6" width="17.443378448486328" customWidth="1"/>
    <col min="7" max="7" width="19.024988174438477" customWidth="1"/>
    <col min="8" max="8" width="23.35041618347168" customWidth="1"/>
    <col min="9" max="9" width="19.544706344604492" customWidth="1"/>
    <col min="10" max="10" width="17.443378448486328" customWidth="1"/>
    <col min="11" max="11" width="17.837133407592773" customWidth="1"/>
    <col min="12" max="12" width="17.443378448486328" customWidth="1"/>
    <col min="13" max="13" width="17.443378448486328" customWidth="1"/>
    <col min="14" max="14" width="28.922182083129883" customWidth="1"/>
    <col min="15" max="15" width="37.31026840209961" customWidth="1"/>
  </cols>
  <sheetData>
    <row r="1">
      <c r="A1" s="1" t="s">
        <v>4347</v>
      </c>
      <c r="B1" s="1" t="s">
        <v>1</v>
      </c>
      <c r="C1" s="1" t="s">
        <v>100</v>
      </c>
      <c r="D1" s="1" t="s">
        <v>121</v>
      </c>
      <c r="E1" s="1" t="s">
        <v>4352</v>
      </c>
      <c r="F1" s="1" t="s">
        <v>4354</v>
      </c>
      <c r="G1" s="1" t="s">
        <v>4356</v>
      </c>
      <c r="H1" s="1" t="s">
        <v>4358</v>
      </c>
      <c r="I1" s="1" t="s">
        <v>4360</v>
      </c>
      <c r="J1" s="1" t="s">
        <v>4362</v>
      </c>
      <c r="K1" s="1" t="s">
        <v>4365</v>
      </c>
      <c r="L1" s="1" t="s">
        <v>4368</v>
      </c>
      <c r="M1" s="1" t="s">
        <v>4371</v>
      </c>
      <c r="N1" s="1" t="s">
        <v>4374</v>
      </c>
      <c r="O1" s="1" t="s">
        <v>94</v>
      </c>
    </row>
    <row r="2">
      <c r="A2" s="2" t="s">
        <v>8211</v>
      </c>
      <c r="B2" s="3" t="str">
        <f>C2</f>
        <v>Jordan Ellis</v>
      </c>
      <c r="C2" s="2" t="s">
        <v>8212</v>
      </c>
      <c r="D2" s="2" t="s">
        <v>103</v>
      </c>
      <c r="E2" s="2" t="s">
        <v>8213</v>
      </c>
      <c r="F2" s="2" t="s">
        <v>8214</v>
      </c>
      <c r="G2" s="2" t="s">
        <v>8215</v>
      </c>
      <c r="H2" s="4">
        <v>46144.625</v>
      </c>
      <c r="I2" s="2" t="s">
        <v>1664</v>
      </c>
      <c r="J2" s="3" t="b">
        <f>G2 = "Granted"</f>
        <v>1</v>
      </c>
      <c r="K2" s="3" t="b">
        <f>E2 &lt;&gt; ""</f>
        <v>1</v>
      </c>
      <c r="L2" s="3" t="b">
        <f>F2 &lt;&gt; ""</f>
        <v>1</v>
      </c>
      <c r="M2" s="3" t="b">
        <f>AND(NOT(K2), NOT(L2))</f>
        <v>0</v>
      </c>
      <c r="N2" s="3" t="b">
        <f>AND(NOT(L2), NOT(K2))</f>
        <v>0</v>
      </c>
      <c r="O2" s="2" t="s">
        <v>8216</v>
      </c>
    </row>
    <row r="3">
      <c r="A3" s="2" t="s">
        <v>8217</v>
      </c>
      <c r="B3" s="3" t="str">
        <f>C3</f>
        <v>Sam Rivera</v>
      </c>
      <c r="C3" s="2" t="s">
        <v>8218</v>
      </c>
      <c r="D3" s="2" t="s">
        <v>103</v>
      </c>
      <c r="E3" s="2" t="s">
        <v>8219</v>
      </c>
      <c r="F3" s="2" t="s">
        <v>8220</v>
      </c>
      <c r="G3" s="2" t="s">
        <v>8215</v>
      </c>
      <c r="H3" s="4">
        <v>46146.8125</v>
      </c>
      <c r="I3" s="2" t="s">
        <v>1664</v>
      </c>
      <c r="J3" s="3" t="b">
        <f>G3 = "Granted"</f>
        <v>1</v>
      </c>
      <c r="K3" s="3" t="b">
        <f>E3 &lt;&gt; ""</f>
        <v>1</v>
      </c>
      <c r="L3" s="3" t="b">
        <f>F3 &lt;&gt; ""</f>
        <v>1</v>
      </c>
      <c r="M3" s="3" t="b">
        <f>AND(NOT(K3), NOT(L3))</f>
        <v>0</v>
      </c>
      <c r="N3" s="3" t="b">
        <f>AND(NOT(L3), NOT(K3))</f>
        <v>0</v>
      </c>
      <c r="O3" s="2" t="s">
        <v>8216</v>
      </c>
    </row>
    <row r="4">
      <c r="A4" s="2" t="s">
        <v>8221</v>
      </c>
      <c r="B4" s="3" t="str">
        <f>C4</f>
        <v>Alex Kim</v>
      </c>
      <c r="C4" s="2" t="s">
        <v>8222</v>
      </c>
      <c r="D4" s="2" t="s">
        <v>103</v>
      </c>
      <c r="E4" s="2" t="s">
        <v>8223</v>
      </c>
      <c r="F4" s="2" t="s">
        <v>8224</v>
      </c>
      <c r="G4" s="2" t="s">
        <v>8215</v>
      </c>
      <c r="H4" s="4">
        <v>46222.59375</v>
      </c>
      <c r="I4" s="2" t="s">
        <v>1664</v>
      </c>
      <c r="J4" s="3" t="b">
        <f>G4 = "Granted"</f>
        <v>1</v>
      </c>
      <c r="K4" s="3" t="b">
        <f>E4 &lt;&gt; ""</f>
        <v>1</v>
      </c>
      <c r="L4" s="3" t="b">
        <f>F4 &lt;&gt; ""</f>
        <v>1</v>
      </c>
      <c r="M4" s="3" t="b">
        <f>AND(NOT(K4), NOT(L4))</f>
        <v>0</v>
      </c>
      <c r="N4" s="3" t="b">
        <f>AND(NOT(L4), NOT(K4))</f>
        <v>0</v>
      </c>
      <c r="O4" s="2" t="s">
        <v>8216</v>
      </c>
    </row>
    <row r="5">
      <c r="A5" s="2" t="s">
        <v>8225</v>
      </c>
      <c r="B5" s="3" t="str">
        <f>C5</f>
        <v>Riley Chen</v>
      </c>
      <c r="C5" s="2" t="s">
        <v>8226</v>
      </c>
      <c r="D5" s="2" t="s">
        <v>103</v>
      </c>
      <c r="E5" s="2" t="s">
        <v>8227</v>
      </c>
      <c r="F5" s="2" t="s">
        <v>8228</v>
      </c>
      <c r="G5" s="2" t="s">
        <v>8229</v>
      </c>
      <c r="H5" s="4">
        <v>46188.583333333336</v>
      </c>
      <c r="I5" s="2" t="s">
        <v>1664</v>
      </c>
      <c r="J5" s="3" t="b">
        <f>G5 = "Granted"</f>
        <v>0</v>
      </c>
      <c r="K5" s="3" t="b">
        <f>E5 &lt;&gt; ""</f>
        <v>1</v>
      </c>
      <c r="L5" s="3" t="b">
        <f>F5 &lt;&gt; ""</f>
        <v>1</v>
      </c>
      <c r="M5" s="3" t="b">
        <f>AND(NOT(K5), NOT(L5))</f>
        <v>0</v>
      </c>
      <c r="N5" s="3" t="b">
        <f>AND(NOT(L5), NOT(K5))</f>
        <v>0</v>
      </c>
      <c r="O5" s="2" t="s">
        <v>8216</v>
      </c>
    </row>
    <row r="6">
      <c r="A6" s="2" t="s">
        <v>8230</v>
      </c>
      <c r="B6" s="3" t="str">
        <f>C6</f>
        <v>Morgan Diaz</v>
      </c>
      <c r="C6" s="2" t="s">
        <v>8231</v>
      </c>
      <c r="D6" s="2" t="s">
        <v>103</v>
      </c>
      <c r="E6" s="2" t="s">
        <v>8232</v>
      </c>
      <c r="F6" s="2"/>
      <c r="G6" s="2" t="s">
        <v>8233</v>
      </c>
      <c r="H6" s="4"/>
      <c r="I6" s="2" t="s">
        <v>1664</v>
      </c>
      <c r="J6" s="3" t="b">
        <f>G6 = "Granted"</f>
        <v>0</v>
      </c>
      <c r="K6" s="3" t="b">
        <f>E6 &lt;&gt; ""</f>
        <v>1</v>
      </c>
      <c r="L6" s="3" t="b">
        <f>F6 &lt;&gt; ""</f>
        <v>0</v>
      </c>
      <c r="M6" s="3" t="b">
        <f>AND(NOT(K6), NOT(L6))</f>
        <v>0</v>
      </c>
      <c r="N6" s="3" t="b">
        <f>AND(NOT(L6), NOT(K6))</f>
        <v>0</v>
      </c>
      <c r="O6" s="2" t="s">
        <v>8216</v>
      </c>
    </row>
  </sheetData>
  <autoFilter ref="A1:O1"/>
  <headerFooter/>
  <legacyDrawing r:id="rId1"/>
</worksheet>
</file>

<file path=xl/worksheets/sheet6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P7"/>
  <sheetViews>
    <sheetView workbookViewId="0">
      <pane ySplit="1" topLeftCell="A2" state="frozen" activePane="bottomLeft"/>
      <selection pane="bottomLeft" activeCell="A1" sqref="A1"/>
    </sheetView>
  </sheetViews>
  <sheetFormatPr defaultRowHeight="15"/>
  <cols>
    <col min="1" max="1" width="19.195829391479492" customWidth="1"/>
    <col min="2" max="2" width="54.484825134277344" customWidth="1"/>
    <col min="3" max="3" width="20.414697647094727" customWidth="1"/>
    <col min="4" max="4" width="17.443378448486328" customWidth="1"/>
    <col min="5" max="5" width="17.443378448486328" customWidth="1"/>
    <col min="6" max="6" width="18.18422508239746" customWidth="1"/>
    <col min="7" max="7" width="19.900266647338867" customWidth="1"/>
    <col min="8" max="8" width="109.90068817138672" customWidth="1"/>
    <col min="9" max="9" width="23.46630859375" customWidth="1"/>
    <col min="10" max="10" width="17.443378448486328" customWidth="1"/>
    <col min="11" max="11" width="17.443378448486328" customWidth="1"/>
    <col min="12" max="12" width="248.6797332763672" customWidth="1"/>
    <col min="13" max="13" width="20.079631805419922" customWidth="1"/>
    <col min="14" max="14" width="23.35041618347168" customWidth="1"/>
    <col min="15" max="15" width="19.548357009887695" customWidth="1"/>
    <col min="16" max="16" width="17.443378448486328" customWidth="1"/>
    <col min="17" max="17" width="22.71735191345215" customWidth="1"/>
    <col min="18" max="18" width="24.99418067932129" customWidth="1"/>
    <col min="19" max="19" width="23.761823654174805" customWidth="1"/>
    <col min="20" max="20" width="18.99102783203125" customWidth="1"/>
    <col min="21" max="21" width="25.739797592163086" customWidth="1"/>
    <col min="22" max="22" width="26.584619522094727" customWidth="1"/>
    <col min="23" max="23" width="25.77103042602539" customWidth="1"/>
    <col min="24" max="24" width="21.100688934326172" customWidth="1"/>
    <col min="25" max="25" width="27.739336013793945" customWidth="1"/>
    <col min="26" max="26" width="21.615137100219727" customWidth="1"/>
    <col min="27" max="27" width="21.96076774597168" customWidth="1"/>
    <col min="28" max="28" width="28.49679946899414" customWidth="1"/>
    <col min="29" max="29" width="23.386978149414062" customWidth="1"/>
    <col min="30" max="30" width="17.443378448486328" customWidth="1"/>
    <col min="31" max="31" width="27.40771484375" customWidth="1"/>
    <col min="32" max="32" width="33.0616569519043" customWidth="1"/>
    <col min="33" max="33" width="29.618274688720703" customWidth="1"/>
    <col min="34" max="34" width="24.87077522277832" customWidth="1"/>
    <col min="35" max="35" width="22.711149215698242" customWidth="1"/>
    <col min="36" max="36" width="20.589054107666016" customWidth="1"/>
    <col min="37" max="37" width="18.547500610351562" customWidth="1"/>
    <col min="38" max="38" width="23.35041618347168" customWidth="1"/>
    <col min="39" max="39" width="17.443378448486328" customWidth="1"/>
    <col min="40" max="40" width="25.65582847595215" customWidth="1"/>
    <col min="41" max="41" width="18.971817016601562" customWidth="1"/>
    <col min="42" max="42" width="20.155118942260742" customWidth="1"/>
    <col min="43" max="43" width="18.80986213684082" customWidth="1"/>
    <col min="44" max="44" width="29.038869857788086" customWidth="1"/>
    <col min="45" max="45" width="26.542146682739258" customWidth="1"/>
    <col min="46" max="46" width="32.253074645996094" customWidth="1"/>
    <col min="47" max="47" width="19.151811599731445" customWidth="1"/>
    <col min="48" max="48" width="21.945531845092773" customWidth="1"/>
    <col min="49" max="49" width="31.353513717651367" customWidth="1"/>
    <col min="50" max="50" width="17.443378448486328" customWidth="1"/>
    <col min="51" max="51" width="26.374765396118164" customWidth="1"/>
    <col min="52" max="52" width="20.53904914855957" customWidth="1"/>
    <col min="53" max="53" width="26.17460823059082" customWidth="1"/>
    <col min="54" max="54" width="19.67306900024414" customWidth="1"/>
    <col min="55" max="55" width="28.17497444152832" customWidth="1"/>
    <col min="56" max="56" width="21.91326332092285" customWidth="1"/>
    <col min="57" max="57" width="22.168079376220703" customWidth="1"/>
    <col min="58" max="58" width="18.317182540893555" customWidth="1"/>
    <col min="59" max="59" width="24.380605697631836" customWidth="1"/>
    <col min="60" max="60" width="25.286161422729492" customWidth="1"/>
    <col min="61" max="61" width="27.824125289916992" customWidth="1"/>
    <col min="62" max="62" width="17.443378448486328" customWidth="1"/>
    <col min="63" max="63" width="17.443378448486328" customWidth="1"/>
    <col min="64" max="64" width="17.443378448486328" customWidth="1"/>
    <col min="65" max="65" width="20.28415870666504" customWidth="1"/>
    <col min="66" max="66" width="30.411285400390625" customWidth="1"/>
    <col min="67" max="67" width="22.117298126220703" customWidth="1"/>
    <col min="68" max="68" width="22.620990753173828" customWidth="1"/>
    <col min="69" max="69" width="17.443378448486328" customWidth="1"/>
    <col min="70" max="70" width="24.623455047607422" customWidth="1"/>
    <col min="71" max="71" width="29.96799087524414" customWidth="1"/>
    <col min="72" max="72" width="29.067623138427734" customWidth="1"/>
    <col min="73" max="73" width="26.494976043701172" customWidth="1"/>
    <col min="74" max="74" width="24.457307815551758" customWidth="1"/>
    <col min="75" max="75" width="25.06831169128418" customWidth="1"/>
    <col min="76" max="76" width="24.6232852935791" customWidth="1"/>
    <col min="77" max="77" width="23.299575805664062" customWidth="1"/>
    <col min="78" max="78" width="21.995513916015625" customWidth="1"/>
    <col min="79" max="79" width="23.962970733642578" customWidth="1"/>
    <col min="80" max="80" width="23.294736862182617" customWidth="1"/>
    <col min="81" max="81" width="27.77345085144043" customWidth="1"/>
    <col min="82" max="82" width="25.154726028442383" customWidth="1"/>
    <col min="83" max="83" width="23.35041618347168" customWidth="1"/>
    <col min="84" max="84" width="30.629526138305664" customWidth="1"/>
    <col min="85" max="85" width="27.06161880493164" customWidth="1"/>
    <col min="86" max="86" width="17.443378448486328" customWidth="1"/>
    <col min="87" max="87" width="17.443378448486328" customWidth="1"/>
    <col min="88" max="88" width="18.31678581237793" customWidth="1"/>
    <col min="89" max="89" width="31.35598373413086" customWidth="1"/>
    <col min="90" max="90" width="21.182462692260742" customWidth="1"/>
    <col min="91" max="91" width="29.069690704345703" customWidth="1"/>
    <col min="92" max="92" width="21.74081802368164" customWidth="1"/>
    <col min="93" max="93" width="23.41748046875" customWidth="1"/>
    <col min="94" max="94" width="44.4542350769043" customWidth="1"/>
  </cols>
  <sheetData>
    <row r="1">
      <c r="A1" s="1" t="s">
        <v>4379</v>
      </c>
      <c r="B1" s="1" t="s">
        <v>1</v>
      </c>
      <c r="C1" s="1" t="s">
        <v>1329</v>
      </c>
      <c r="D1" s="1" t="s">
        <v>1447</v>
      </c>
      <c r="E1" s="1" t="s">
        <v>4385</v>
      </c>
      <c r="F1" s="1" t="s">
        <v>4387</v>
      </c>
      <c r="G1" s="1" t="s">
        <v>4389</v>
      </c>
      <c r="H1" s="1" t="s">
        <v>4391</v>
      </c>
      <c r="I1" s="1" t="s">
        <v>4393</v>
      </c>
      <c r="J1" s="1" t="s">
        <v>4395</v>
      </c>
      <c r="K1" s="1" t="s">
        <v>4397</v>
      </c>
      <c r="L1" s="1" t="s">
        <v>4399</v>
      </c>
      <c r="M1" s="1" t="s">
        <v>4401</v>
      </c>
      <c r="N1" s="1" t="s">
        <v>4403</v>
      </c>
      <c r="O1" s="1" t="s">
        <v>4405</v>
      </c>
      <c r="P1" s="1" t="s">
        <v>4408</v>
      </c>
      <c r="Q1" s="1" t="s">
        <v>4411</v>
      </c>
      <c r="R1" s="1" t="s">
        <v>4414</v>
      </c>
      <c r="S1" s="1" t="s">
        <v>4417</v>
      </c>
      <c r="T1" s="1" t="s">
        <v>4420</v>
      </c>
      <c r="U1" s="1" t="s">
        <v>4423</v>
      </c>
      <c r="V1" s="1" t="s">
        <v>4426</v>
      </c>
      <c r="W1" s="1" t="s">
        <v>4429</v>
      </c>
      <c r="X1" s="1" t="s">
        <v>4432</v>
      </c>
      <c r="Y1" s="1" t="s">
        <v>4435</v>
      </c>
      <c r="Z1" s="1" t="s">
        <v>4438</v>
      </c>
      <c r="AA1" s="1" t="s">
        <v>4441</v>
      </c>
      <c r="AB1" s="1" t="s">
        <v>4444</v>
      </c>
      <c r="AC1" s="1" t="s">
        <v>4447</v>
      </c>
      <c r="AD1" s="1" t="s">
        <v>4450</v>
      </c>
      <c r="AE1" s="1" t="s">
        <v>4453</v>
      </c>
      <c r="AF1" s="1" t="s">
        <v>4456</v>
      </c>
      <c r="AG1" s="1" t="s">
        <v>4459</v>
      </c>
      <c r="AH1" s="1" t="s">
        <v>4462</v>
      </c>
      <c r="AI1" s="1" t="s">
        <v>4465</v>
      </c>
      <c r="AJ1" s="1" t="s">
        <v>4468</v>
      </c>
      <c r="AK1" s="1" t="s">
        <v>258</v>
      </c>
      <c r="AL1" s="1" t="s">
        <v>92</v>
      </c>
      <c r="AM1" s="1" t="s">
        <v>1112</v>
      </c>
      <c r="AN1" s="1" t="s">
        <v>4475</v>
      </c>
      <c r="AO1" s="1" t="s">
        <v>4478</v>
      </c>
      <c r="AP1" s="1" t="s">
        <v>4481</v>
      </c>
      <c r="AQ1" s="1" t="s">
        <v>4484</v>
      </c>
      <c r="AR1" s="1" t="s">
        <v>4487</v>
      </c>
      <c r="AS1" s="1" t="s">
        <v>4490</v>
      </c>
      <c r="AT1" s="1" t="s">
        <v>4492</v>
      </c>
      <c r="AU1" s="1" t="s">
        <v>4495</v>
      </c>
      <c r="AV1" s="1" t="s">
        <v>4498</v>
      </c>
      <c r="AW1" s="1" t="s">
        <v>4501</v>
      </c>
      <c r="AX1" s="1" t="s">
        <v>4504</v>
      </c>
      <c r="AY1" s="1" t="s">
        <v>4507</v>
      </c>
      <c r="AZ1" s="1" t="s">
        <v>4510</v>
      </c>
      <c r="BA1" s="1" t="s">
        <v>4513</v>
      </c>
      <c r="BB1" s="1" t="s">
        <v>4516</v>
      </c>
      <c r="BC1" s="1" t="s">
        <v>4519</v>
      </c>
      <c r="BD1" s="1" t="s">
        <v>4522</v>
      </c>
      <c r="BE1" s="1" t="s">
        <v>4525</v>
      </c>
      <c r="BF1" s="1" t="s">
        <v>4528</v>
      </c>
      <c r="BG1" s="1" t="s">
        <v>4531</v>
      </c>
      <c r="BH1" s="1" t="s">
        <v>4534</v>
      </c>
      <c r="BI1" s="1" t="s">
        <v>4537</v>
      </c>
      <c r="BJ1" s="1" t="s">
        <v>4540</v>
      </c>
      <c r="BK1" s="1" t="s">
        <v>4543</v>
      </c>
      <c r="BL1" s="1" t="s">
        <v>4546</v>
      </c>
      <c r="BM1" s="1" t="s">
        <v>4549</v>
      </c>
      <c r="BN1" s="1" t="s">
        <v>4552</v>
      </c>
      <c r="BO1" s="1" t="s">
        <v>4555</v>
      </c>
      <c r="BP1" s="1" t="s">
        <v>4558</v>
      </c>
      <c r="BQ1" s="1" t="s">
        <v>4561</v>
      </c>
      <c r="BR1" s="1" t="s">
        <v>4564</v>
      </c>
      <c r="BS1" s="1" t="s">
        <v>4567</v>
      </c>
      <c r="BT1" s="1" t="s">
        <v>4570</v>
      </c>
      <c r="BU1" s="1" t="s">
        <v>4573</v>
      </c>
      <c r="BV1" s="1" t="s">
        <v>4576</v>
      </c>
      <c r="BW1" s="1" t="s">
        <v>4579</v>
      </c>
      <c r="BX1" s="1" t="s">
        <v>4582</v>
      </c>
      <c r="BY1" s="1" t="s">
        <v>4585</v>
      </c>
      <c r="BZ1" s="1" t="s">
        <v>4587</v>
      </c>
      <c r="CA1" s="1" t="s">
        <v>4589</v>
      </c>
      <c r="CB1" s="1" t="s">
        <v>4591</v>
      </c>
      <c r="CC1" s="1" t="s">
        <v>4594</v>
      </c>
      <c r="CD1" s="1" t="s">
        <v>4597</v>
      </c>
      <c r="CE1" s="1" t="s">
        <v>4600</v>
      </c>
      <c r="CF1" s="1" t="s">
        <v>4603</v>
      </c>
      <c r="CG1" s="1" t="s">
        <v>4606</v>
      </c>
      <c r="CH1" s="1" t="s">
        <v>4609</v>
      </c>
      <c r="CI1" s="1" t="s">
        <v>4611</v>
      </c>
      <c r="CJ1" s="1" t="s">
        <v>4613</v>
      </c>
      <c r="CK1" s="1" t="s">
        <v>4616</v>
      </c>
      <c r="CL1" s="1" t="s">
        <v>4619</v>
      </c>
      <c r="CM1" s="1" t="s">
        <v>4622</v>
      </c>
      <c r="CN1" s="1" t="s">
        <v>4625</v>
      </c>
      <c r="CO1" s="1" t="s">
        <v>4628</v>
      </c>
      <c r="CP1" s="1" t="s">
        <v>94</v>
      </c>
    </row>
    <row r="2">
      <c r="A2" s="2" t="s">
        <v>8234</v>
      </c>
      <c r="B2" s="3" t="str">
        <f>E2 &amp; " / " &amp; F2 &amp; " / " &amp; TEXT(I2, "yyyy-mm-dd hh:mm:ss")&amp;"+00"</f>
        <v>rec-001 / tmpl-policy-email / 2026-07-18 19:05:00+00</v>
      </c>
      <c r="C2" s="2" t="s">
        <v>1324</v>
      </c>
      <c r="D2" s="2" t="s">
        <v>1444</v>
      </c>
      <c r="E2" s="2" t="s">
        <v>8211</v>
      </c>
      <c r="F2" s="2" t="s">
        <v>1724</v>
      </c>
      <c r="G2" s="2" t="s">
        <v>178</v>
      </c>
      <c r="H2" s="2" t="s">
        <v>8235</v>
      </c>
      <c r="I2" s="4">
        <v>46221.79513888889</v>
      </c>
      <c r="J2" s="7">
        <v>14</v>
      </c>
      <c r="K2" s="2" t="s">
        <v>8236</v>
      </c>
      <c r="L2" s="2"/>
      <c r="M2" s="2"/>
      <c r="N2" s="4">
        <v>46221.84722222222</v>
      </c>
      <c r="O2" s="3" t="str">
        <f>_xlfn.IFNA(INDEX(MessageTemplates!C2:C999, MATCH(F2,MessageTemplates!A2:A999, 0)), "")</f>
        <v>comm-email-policy</v>
      </c>
      <c r="P2" s="3" t="str">
        <f>_xlfn.IFNA(INDEX(CommunicationPolicies!D2:D999, MATCH(O2,CommunicationPolicies!A2:A999, 0)), "")</f>
        <v>Email</v>
      </c>
      <c r="Q2" s="3" t="b">
        <f>_xlfn.IFNA(INDEX(CommunicationPolicies!F2:F999, MATCH(O2,CommunicationPolicies!A2:A999, 0)), "")</f>
        <v>0</v>
      </c>
      <c r="R2" s="3" t="b">
        <f>_xlfn.IFNA(INDEX(Recipients!J2:J999, MATCH(E2,Recipients!A2:A999, 0)), "")</f>
        <v>1</v>
      </c>
      <c r="S2" s="3" t="b">
        <f>OR(K2 = "Sent", OR(K2 = "Delivered", K2 = "Bounced"))</f>
        <v>1</v>
      </c>
      <c r="T2" s="3" t="b">
        <f>AND(S2, AND(Q2, NOT(R2)))</f>
        <v>0</v>
      </c>
      <c r="U2" s="3" t="str">
        <f>IF(T2, O2, "")</f>
      </c>
      <c r="V2" s="5">
        <f>_xlfn.IFNA(INDEX(CommunicationPolicies!Q2:Q999, MATCH(O2,CommunicationPolicies!A2:A999, 0)), "")</f>
        <v>0</v>
      </c>
      <c r="W2" s="5">
        <f>_xlfn.IFNA(INDEX(CommunicationPolicies!R2:R999, MATCH(O2,CommunicationPolicies!A2:A999, 0)), "")</f>
        <v>0</v>
      </c>
      <c r="X2" s="3" t="b">
        <f>V2 &lt;&gt; W2</f>
        <v>0</v>
      </c>
      <c r="Y2" s="3" t="b">
        <f>V2 &gt; W2</f>
        <v>0</v>
      </c>
      <c r="Z2" s="3" t="b">
        <f>IF(Y2, OR(J2 &gt;= V2, J2 &lt; W2), AND(J2 &gt;= V2, J2 &lt; W2))</f>
        <v>0</v>
      </c>
      <c r="AA2" s="3" t="b">
        <f>AND(S2, AND(X2, Z2))</f>
        <v>0</v>
      </c>
      <c r="AB2" s="3" t="str">
        <f>IF(AA2, O2, "")</f>
      </c>
      <c r="AC2" s="3" t="b">
        <f>_xlfn.IFNA(INDEX(Recipients!M2:M999, MATCH(E2,Recipients!A2:A999, 0)), "")</f>
        <v>0</v>
      </c>
      <c r="AD2" s="3" t="b">
        <f>N2 &lt;&gt; ""</f>
        <v>1</v>
      </c>
      <c r="AE2" s="3" t="str">
        <f>_xlfn.IFNA(INDEX(Exceptions!E2:E999, MATCH(M2,Exceptions!A2:A999, 0)), "")</f>
      </c>
      <c r="AF2" s="3" t="b">
        <f>M2 = "exc-unreachable"</f>
        <v>0</v>
      </c>
      <c r="AG2" s="3" t="b">
        <f>AND(AC2, AD2)</f>
        <v>0</v>
      </c>
      <c r="AH2" s="3" t="b">
        <f>AND(AC2, NOT(AF2))</f>
        <v>0</v>
      </c>
      <c r="AI2" s="3" t="str">
        <f>IF(OR(AG2, AH2), C2, "")</f>
      </c>
      <c r="AJ2" s="5">
        <f>_xlfn.IFNA(INDEX(CommunicationPolicies!K2:K999, MATCH(O2,CommunicationPolicies!A2:A999, 0)), "")</f>
        <v>2555</v>
      </c>
      <c r="AK2" s="2" t="s">
        <v>95</v>
      </c>
      <c r="AL2" s="6">
        <f>_xlfn.IFNA(INDEX(EvaluationContexts!D2:D999, MATCH(AK2,EvaluationContexts!A2:A999, 0)), "")</f>
        <v>46222.75</v>
      </c>
      <c r="AM2" s="5">
        <f>(INT(AL2) - INT(I2))</f>
        <v>1</v>
      </c>
      <c r="AN2" s="3" t="b">
        <f>AM2 &lt;= AJ2</f>
        <v>1</v>
      </c>
      <c r="AO2" s="3" t="b">
        <f>H2 &lt;&gt; ""</f>
        <v>1</v>
      </c>
      <c r="AP2" s="3" t="b">
        <f>AND(S2, AN2)</f>
        <v>1</v>
      </c>
      <c r="AQ2" s="3" t="b">
        <f>AND(AP2, NOT(AO2))</f>
        <v>0</v>
      </c>
      <c r="AR2" s="3" t="str">
        <f>IF(AQ2, C2, "")</f>
      </c>
      <c r="AS2" s="3" t="str">
        <f>_xlfn.IFNA(INDEX(StepExecutions!D2:D999, MATCH(D2,StepExecutions!A2:A999, 0)), "")</f>
        <v>policy-04</v>
      </c>
      <c r="AT2" s="3" t="b">
        <f>_xlfn.IFNA(INDEX(ProcedureExecutions!AC2:AC999, MATCH(C2,ProcedureExecutions!A2:A999, 0)), "")</f>
        <v>1</v>
      </c>
      <c r="AU2" s="3" t="b">
        <f>AND(S2, NOT(AT2))</f>
        <v>0</v>
      </c>
      <c r="AV2" s="5">
        <f>LEN(H2)</f>
        <v>107</v>
      </c>
      <c r="AW2" s="5">
        <f>_xlfn.IFNA(INDEX(CommunicationPolicies!I2:I999, MATCH(O2,CommunicationPolicies!A2:A999, 0)), "")</f>
        <v>100000</v>
      </c>
      <c r="AX2" s="5">
        <f>IF(AV2 = 0, 0, IF(AV2 &lt;= AW2, 1, ROUNDUP(AV2 / AW2, 0)))</f>
        <v>1</v>
      </c>
      <c r="AY2" s="5">
        <f>_xlfn.IFNA(INDEX(CommunicationPolicies!J2:J999, MATCH(O2,CommunicationPolicies!A2:A999, 0)), "")</f>
        <v>1</v>
      </c>
      <c r="AZ2" s="3" t="b">
        <f>AND(S2, AX2 &gt; AY2)</f>
        <v>0</v>
      </c>
      <c r="BA2" s="3" t="b">
        <f>_xlfn.IFNA(INDEX(MessageTemplates!N2:N999, MATCH(F2,MessageTemplates!A2:A999, 0)), "")</f>
        <v>1</v>
      </c>
      <c r="BB2" s="3" t="b">
        <f>AND(S2, NOT(BA2))</f>
        <v>0</v>
      </c>
      <c r="BC2" s="3">
        <f>_xlfn.IFNA(INDEX(CommunicationPolicies!T2:T999, MATCH(O2,CommunicationPolicies!A2:A999, 0)), "")</f>
        <v>0</v>
      </c>
      <c r="BD2" s="3" t="b">
        <f>BC2 &lt;&gt; ""</f>
        <v>1</v>
      </c>
      <c r="BE2" s="5" t="e">
        <f>FIND(BC2, H2)</f>
        <v>#VALUE!</v>
      </c>
      <c r="BF2" s="3" t="e">
        <f>BE2 &gt; 0</f>
        <v>#VALUE!</v>
      </c>
      <c r="BG2" s="3" t="e">
        <f>AND(BF2, BE2 &lt;= AW2)</f>
        <v>#VALUE!</v>
      </c>
      <c r="BH2" s="3" t="e">
        <f>AND(S2, AND(BD2, NOT(BF2)))</f>
        <v>#VALUE!</v>
      </c>
      <c r="BI2" s="3" t="e">
        <f>AND(S2, AND(BD2, AND(BF2, NOT(BG2))))</f>
        <v>#VALUE!</v>
      </c>
      <c r="BJ2" s="3" t="b">
        <f>OR(K2 = "Failed", K2 = "Bounced")</f>
        <v>0</v>
      </c>
      <c r="BK2" s="3" t="b">
        <f>K2 = "Suppressed"</f>
        <v>0</v>
      </c>
      <c r="BL2" s="3" t="b">
        <f>M2 &lt;&gt; ""</f>
        <v>0</v>
      </c>
      <c r="BM2" s="3" t="b">
        <f>AND(BJ2, NOT(BL2))</f>
        <v>0</v>
      </c>
      <c r="BN2" s="3" t="str">
        <f>IF(BM2, C2, "")</f>
      </c>
      <c r="BO2" s="3" t="str">
        <f>IF(K2 = "Delivered", C2, "")</f>
        <v>exec-policy-hr4821</v>
      </c>
      <c r="BP2" s="3" t="b">
        <f>_xlfn.IFNA(INDEX(MessageTemplates!T2:T999, MATCH(F2,MessageTemplates!A2:A999, 0)), "")</f>
        <v>1</v>
      </c>
      <c r="BQ2" s="3" t="b">
        <f>AND(S2, NOT(BP2))</f>
        <v>0</v>
      </c>
      <c r="BR2" s="3" t="str">
        <f>IF(BQ2, F2, "")</f>
      </c>
      <c r="BS2" s="3" t="b">
        <f>OR(J2 &lt; 8, J2 &gt; 18)</f>
        <v>0</v>
      </c>
      <c r="BT2" s="3" t="b">
        <f>AND(S2, NOT(AD2))</f>
        <v>0</v>
      </c>
      <c r="BU2" s="3" t="b">
        <f>AND(BT2, BS2)</f>
        <v>0</v>
      </c>
      <c r="BV2" s="3" t="b">
        <f>AND(BT2, NOT(BS2))</f>
        <v>0</v>
      </c>
      <c r="BW2" s="3" t="str">
        <f>IF(BT2, F2, "")</f>
      </c>
      <c r="BX2" s="3" t="str">
        <f>IF(S2, F2, "")</f>
        <v>tmpl-policy-email</v>
      </c>
      <c r="BY2" s="2"/>
      <c r="BZ2" s="2"/>
      <c r="CA2" s="4"/>
      <c r="CB2" s="3" t="b">
        <f>AND(CA2 &lt;&gt; "", I2 &gt; CA2)</f>
        <v>0</v>
      </c>
      <c r="CC2" s="3" t="b">
        <f>AND(BY2 &lt;&gt; "", CA2 &lt;&gt; "")</f>
        <v>0</v>
      </c>
      <c r="CD2" s="3" t="b">
        <f>NOT(CC2)</f>
        <v>1</v>
      </c>
      <c r="CE2" s="6">
        <f>_xlfn.IFNA(INDEX(MessageTemplates!Y2:Y999, MATCH(F2,MessageTemplates!A2:A999, 0)), "")</f>
        <v>46220.666666666664</v>
      </c>
      <c r="CF2" s="3" t="b">
        <f>AND(CE2 &lt;&gt; "", CE2 &gt; I2)</f>
        <v>0</v>
      </c>
      <c r="CG2" s="3" t="b">
        <f>AND(CD2, AND(CF2, BA2))</f>
        <v>0</v>
      </c>
      <c r="CH2" s="4"/>
      <c r="CI2" s="7"/>
      <c r="CJ2" s="3" t="b">
        <f>CI2 &gt; 0</f>
        <v>0</v>
      </c>
      <c r="CK2" s="3" t="b">
        <f>AND(S2, AND(AP2, NOT(AD2)))</f>
        <v>0</v>
      </c>
      <c r="CL2" s="5">
        <f>IF(CK2, (INT(AL2) - INT(I2)), 0)</f>
        <v>0</v>
      </c>
      <c r="CM2" s="3" t="b">
        <f>AND(CK2, AND(CL2 &gt; 7, NOT(CJ2)))</f>
        <v>0</v>
      </c>
      <c r="CN2" s="3" t="b">
        <f>AND(CK2, CI2 &gt;= 3)</f>
        <v>0</v>
      </c>
      <c r="CO2" s="3" t="b">
        <f>AND(CN2, NOT(AF2))</f>
        <v>0</v>
      </c>
      <c r="CP2" s="2" t="s">
        <v>8237</v>
      </c>
    </row>
    <row r="3">
      <c r="A3" s="2" t="s">
        <v>8238</v>
      </c>
      <c r="B3" s="3" t="str">
        <f>E3 &amp; " / " &amp; F3 &amp; " / " &amp; TEXT(I3, "yyyy-mm-dd hh:mm:ss")&amp;"+00"</f>
        <v>rec-002 / tmpl-policy-email / 2026-07-18 19:05:00+00</v>
      </c>
      <c r="C3" s="2" t="s">
        <v>1324</v>
      </c>
      <c r="D3" s="2" t="s">
        <v>1444</v>
      </c>
      <c r="E3" s="2" t="s">
        <v>8217</v>
      </c>
      <c r="F3" s="2" t="s">
        <v>1724</v>
      </c>
      <c r="G3" s="2" t="s">
        <v>178</v>
      </c>
      <c r="H3" s="2" t="s">
        <v>8235</v>
      </c>
      <c r="I3" s="4">
        <v>46221.79513888889</v>
      </c>
      <c r="J3" s="7">
        <v>14</v>
      </c>
      <c r="K3" s="2" t="s">
        <v>8236</v>
      </c>
      <c r="L3" s="2"/>
      <c r="M3" s="2"/>
      <c r="N3" s="4"/>
      <c r="O3" s="3" t="str">
        <f>_xlfn.IFNA(INDEX(MessageTemplates!C2:C999, MATCH(F3,MessageTemplates!A2:A999, 0)), "")</f>
        <v>comm-email-policy</v>
      </c>
      <c r="P3" s="3" t="str">
        <f>_xlfn.IFNA(INDEX(CommunicationPolicies!D2:D999, MATCH(O3,CommunicationPolicies!A2:A999, 0)), "")</f>
        <v>Email</v>
      </c>
      <c r="Q3" s="3" t="b">
        <f>_xlfn.IFNA(INDEX(CommunicationPolicies!F2:F999, MATCH(O3,CommunicationPolicies!A2:A999, 0)), "")</f>
        <v>0</v>
      </c>
      <c r="R3" s="3" t="b">
        <f>_xlfn.IFNA(INDEX(Recipients!J2:J999, MATCH(E3,Recipients!A2:A999, 0)), "")</f>
        <v>1</v>
      </c>
      <c r="S3" s="3" t="b">
        <f>OR(K3 = "Sent", OR(K3 = "Delivered", K3 = "Bounced"))</f>
        <v>1</v>
      </c>
      <c r="T3" s="3" t="b">
        <f>AND(S3, AND(Q3, NOT(R3)))</f>
        <v>0</v>
      </c>
      <c r="U3" s="3" t="str">
        <f>IF(T3, O3, "")</f>
      </c>
      <c r="V3" s="5">
        <f>_xlfn.IFNA(INDEX(CommunicationPolicies!Q2:Q999, MATCH(O3,CommunicationPolicies!A2:A999, 0)), "")</f>
        <v>0</v>
      </c>
      <c r="W3" s="5">
        <f>_xlfn.IFNA(INDEX(CommunicationPolicies!R2:R999, MATCH(O3,CommunicationPolicies!A2:A999, 0)), "")</f>
        <v>0</v>
      </c>
      <c r="X3" s="3" t="b">
        <f>V3 &lt;&gt; W3</f>
        <v>0</v>
      </c>
      <c r="Y3" s="3" t="b">
        <f>V3 &gt; W3</f>
        <v>0</v>
      </c>
      <c r="Z3" s="3" t="b">
        <f>IF(Y3, OR(J3 &gt;= V3, J3 &lt; W3), AND(J3 &gt;= V3, J3 &lt; W3))</f>
        <v>0</v>
      </c>
      <c r="AA3" s="3" t="b">
        <f>AND(S3, AND(X3, Z3))</f>
        <v>0</v>
      </c>
      <c r="AB3" s="3" t="str">
        <f>IF(AA3, O3, "")</f>
      </c>
      <c r="AC3" s="3" t="b">
        <f>_xlfn.IFNA(INDEX(Recipients!M2:M999, MATCH(E3,Recipients!A2:A999, 0)), "")</f>
        <v>0</v>
      </c>
      <c r="AD3" s="3" t="b">
        <f>N3 &lt;&gt; ""</f>
        <v>0</v>
      </c>
      <c r="AE3" s="3" t="str">
        <f>_xlfn.IFNA(INDEX(Exceptions!E2:E999, MATCH(M3,Exceptions!A2:A999, 0)), "")</f>
      </c>
      <c r="AF3" s="3" t="b">
        <f>M3 = "exc-unreachable"</f>
        <v>0</v>
      </c>
      <c r="AG3" s="3" t="b">
        <f>AND(AC3, AD3)</f>
        <v>0</v>
      </c>
      <c r="AH3" s="3" t="b">
        <f>AND(AC3, NOT(AF3))</f>
        <v>0</v>
      </c>
      <c r="AI3" s="3" t="str">
        <f>IF(OR(AG3, AH3), C3, "")</f>
      </c>
      <c r="AJ3" s="5">
        <f>_xlfn.IFNA(INDEX(CommunicationPolicies!K2:K999, MATCH(O3,CommunicationPolicies!A2:A999, 0)), "")</f>
        <v>2555</v>
      </c>
      <c r="AK3" s="2" t="s">
        <v>95</v>
      </c>
      <c r="AL3" s="6">
        <f>_xlfn.IFNA(INDEX(EvaluationContexts!D2:D999, MATCH(AK3,EvaluationContexts!A2:A999, 0)), "")</f>
        <v>46222.75</v>
      </c>
      <c r="AM3" s="5">
        <f>(INT(AL3) - INT(I3))</f>
        <v>1</v>
      </c>
      <c r="AN3" s="3" t="b">
        <f>AM3 &lt;= AJ3</f>
        <v>1</v>
      </c>
      <c r="AO3" s="3" t="b">
        <f>H3 &lt;&gt; ""</f>
        <v>1</v>
      </c>
      <c r="AP3" s="3" t="b">
        <f>AND(S3, AN3)</f>
        <v>1</v>
      </c>
      <c r="AQ3" s="3" t="b">
        <f>AND(AP3, NOT(AO3))</f>
        <v>0</v>
      </c>
      <c r="AR3" s="3" t="str">
        <f>IF(AQ3, C3, "")</f>
      </c>
      <c r="AS3" s="3" t="str">
        <f>_xlfn.IFNA(INDEX(StepExecutions!D2:D999, MATCH(D3,StepExecutions!A2:A999, 0)), "")</f>
        <v>policy-04</v>
      </c>
      <c r="AT3" s="3" t="b">
        <f>_xlfn.IFNA(INDEX(ProcedureExecutions!AC2:AC999, MATCH(C3,ProcedureExecutions!A2:A999, 0)), "")</f>
        <v>1</v>
      </c>
      <c r="AU3" s="3" t="b">
        <f>AND(S3, NOT(AT3))</f>
        <v>0</v>
      </c>
      <c r="AV3" s="5">
        <f>LEN(H3)</f>
        <v>107</v>
      </c>
      <c r="AW3" s="5">
        <f>_xlfn.IFNA(INDEX(CommunicationPolicies!I2:I999, MATCH(O3,CommunicationPolicies!A2:A999, 0)), "")</f>
        <v>100000</v>
      </c>
      <c r="AX3" s="5">
        <f>IF(AV3 = 0, 0, IF(AV3 &lt;= AW3, 1, ROUNDUP(AV3 / AW3, 0)))</f>
        <v>1</v>
      </c>
      <c r="AY3" s="5">
        <f>_xlfn.IFNA(INDEX(CommunicationPolicies!J2:J999, MATCH(O3,CommunicationPolicies!A2:A999, 0)), "")</f>
        <v>1</v>
      </c>
      <c r="AZ3" s="3" t="b">
        <f>AND(S3, AX3 &gt; AY3)</f>
        <v>0</v>
      </c>
      <c r="BA3" s="3" t="b">
        <f>_xlfn.IFNA(INDEX(MessageTemplates!N2:N999, MATCH(F3,MessageTemplates!A2:A999, 0)), "")</f>
        <v>1</v>
      </c>
      <c r="BB3" s="3" t="b">
        <f>AND(S3, NOT(BA3))</f>
        <v>0</v>
      </c>
      <c r="BC3" s="3">
        <f>_xlfn.IFNA(INDEX(CommunicationPolicies!T2:T999, MATCH(O3,CommunicationPolicies!A2:A999, 0)), "")</f>
        <v>0</v>
      </c>
      <c r="BD3" s="3" t="b">
        <f>BC3 &lt;&gt; ""</f>
        <v>1</v>
      </c>
      <c r="BE3" s="5" t="e">
        <f>FIND(BC3, H3)</f>
        <v>#VALUE!</v>
      </c>
      <c r="BF3" s="3" t="e">
        <f>BE3 &gt; 0</f>
        <v>#VALUE!</v>
      </c>
      <c r="BG3" s="3" t="e">
        <f>AND(BF3, BE3 &lt;= AW3)</f>
        <v>#VALUE!</v>
      </c>
      <c r="BH3" s="3" t="e">
        <f>AND(S3, AND(BD3, NOT(BF3)))</f>
        <v>#VALUE!</v>
      </c>
      <c r="BI3" s="3" t="e">
        <f>AND(S3, AND(BD3, AND(BF3, NOT(BG3))))</f>
        <v>#VALUE!</v>
      </c>
      <c r="BJ3" s="3" t="b">
        <f>OR(K3 = "Failed", K3 = "Bounced")</f>
        <v>0</v>
      </c>
      <c r="BK3" s="3" t="b">
        <f>K3 = "Suppressed"</f>
        <v>0</v>
      </c>
      <c r="BL3" s="3" t="b">
        <f>M3 &lt;&gt; ""</f>
        <v>0</v>
      </c>
      <c r="BM3" s="3" t="b">
        <f>AND(BJ3, NOT(BL3))</f>
        <v>0</v>
      </c>
      <c r="BN3" s="3" t="str">
        <f>IF(BM3, C3, "")</f>
      </c>
      <c r="BO3" s="3" t="str">
        <f>IF(K3 = "Delivered", C3, "")</f>
        <v>exec-policy-hr4821</v>
      </c>
      <c r="BP3" s="3" t="b">
        <f>_xlfn.IFNA(INDEX(MessageTemplates!T2:T999, MATCH(F3,MessageTemplates!A2:A999, 0)), "")</f>
        <v>1</v>
      </c>
      <c r="BQ3" s="3" t="b">
        <f>AND(S3, NOT(BP3))</f>
        <v>0</v>
      </c>
      <c r="BR3" s="3" t="str">
        <f>IF(BQ3, F3, "")</f>
      </c>
      <c r="BS3" s="3" t="b">
        <f>OR(J3 &lt; 8, J3 &gt; 18)</f>
        <v>0</v>
      </c>
      <c r="BT3" s="3" t="b">
        <f>AND(S3, NOT(AD3))</f>
        <v>1</v>
      </c>
      <c r="BU3" s="3" t="b">
        <f>AND(BT3, BS3)</f>
        <v>0</v>
      </c>
      <c r="BV3" s="3" t="b">
        <f>AND(BT3, NOT(BS3))</f>
        <v>1</v>
      </c>
      <c r="BW3" s="3" t="str">
        <f>IF(BT3, F3, "")</f>
        <v>tmpl-policy-email</v>
      </c>
      <c r="BX3" s="3" t="str">
        <f>IF(S3, F3, "")</f>
        <v>tmpl-policy-email</v>
      </c>
      <c r="BY3" s="2"/>
      <c r="BZ3" s="2"/>
      <c r="CA3" s="4"/>
      <c r="CB3" s="3" t="b">
        <f>AND(CA3 &lt;&gt; "", I3 &gt; CA3)</f>
        <v>0</v>
      </c>
      <c r="CC3" s="3" t="b">
        <f>AND(BY3 &lt;&gt; "", CA3 &lt;&gt; "")</f>
        <v>0</v>
      </c>
      <c r="CD3" s="3" t="b">
        <f>NOT(CC3)</f>
        <v>1</v>
      </c>
      <c r="CE3" s="6">
        <f>_xlfn.IFNA(INDEX(MessageTemplates!Y2:Y999, MATCH(F3,MessageTemplates!A2:A999, 0)), "")</f>
        <v>46220.666666666664</v>
      </c>
      <c r="CF3" s="3" t="b">
        <f>AND(CE3 &lt;&gt; "", CE3 &gt; I3)</f>
        <v>0</v>
      </c>
      <c r="CG3" s="3" t="b">
        <f>AND(CD3, AND(CF3, BA3))</f>
        <v>0</v>
      </c>
      <c r="CH3" s="4"/>
      <c r="CI3" s="7"/>
      <c r="CJ3" s="3" t="b">
        <f>CI3 &gt; 0</f>
        <v>0</v>
      </c>
      <c r="CK3" s="3" t="b">
        <f>AND(S3, AND(AP3, NOT(AD3)))</f>
        <v>1</v>
      </c>
      <c r="CL3" s="5">
        <f>IF(CK3, (INT(AL3) - INT(I3)), 0)</f>
        <v>1</v>
      </c>
      <c r="CM3" s="3" t="b">
        <f>AND(CK3, AND(CL3 &gt; 7, NOT(CJ3)))</f>
        <v>0</v>
      </c>
      <c r="CN3" s="3" t="b">
        <f>AND(CK3, CI3 &gt;= 3)</f>
        <v>0</v>
      </c>
      <c r="CO3" s="3" t="b">
        <f>AND(CN3, NOT(AF3))</f>
        <v>0</v>
      </c>
      <c r="CP3" s="2" t="s">
        <v>8237</v>
      </c>
    </row>
    <row r="4">
      <c r="A4" s="2" t="s">
        <v>8239</v>
      </c>
      <c r="B4" s="3" t="str">
        <f>E4 &amp; " / " &amp; F4 &amp; " / " &amp; TEXT(I4, "yyyy-mm-dd hh:mm:ss")&amp;"+00"</f>
        <v>rec-003 / tmpl-policy-sms / 2026-07-18 19:06:00+00</v>
      </c>
      <c r="C4" s="2" t="s">
        <v>1324</v>
      </c>
      <c r="D4" s="2" t="s">
        <v>1444</v>
      </c>
      <c r="E4" s="2" t="s">
        <v>8221</v>
      </c>
      <c r="F4" s="2" t="s">
        <v>1730</v>
      </c>
      <c r="G4" s="2" t="s">
        <v>178</v>
      </c>
      <c r="H4" s="2" t="s">
        <v>8235</v>
      </c>
      <c r="I4" s="4">
        <v>46221.79583333333</v>
      </c>
      <c r="J4" s="7">
        <v>14</v>
      </c>
      <c r="K4" s="2" t="s">
        <v>8236</v>
      </c>
      <c r="L4" s="2" t="s">
        <v>8240</v>
      </c>
      <c r="M4" s="2" t="s">
        <v>993</v>
      </c>
      <c r="N4" s="4"/>
      <c r="O4" s="3" t="str">
        <f>_xlfn.IFNA(INDEX(MessageTemplates!C2:C999, MATCH(F4,MessageTemplates!A2:A999, 0)), "")</f>
        <v>comm-sms-policy</v>
      </c>
      <c r="P4" s="3" t="str">
        <f>_xlfn.IFNA(INDEX(CommunicationPolicies!D2:D999, MATCH(O4,CommunicationPolicies!A2:A999, 0)), "")</f>
        <v>SMS</v>
      </c>
      <c r="Q4" s="3" t="b">
        <f>_xlfn.IFNA(INDEX(CommunicationPolicies!F2:F999, MATCH(O4,CommunicationPolicies!A2:A999, 0)), "")</f>
        <v>1</v>
      </c>
      <c r="R4" s="3" t="b">
        <f>_xlfn.IFNA(INDEX(Recipients!J2:J999, MATCH(E4,Recipients!A2:A999, 0)), "")</f>
        <v>1</v>
      </c>
      <c r="S4" s="3" t="b">
        <f>OR(K4 = "Sent", OR(K4 = "Delivered", K4 = "Bounced"))</f>
        <v>1</v>
      </c>
      <c r="T4" s="3" t="b">
        <f>AND(S4, AND(Q4, NOT(R4)))</f>
        <v>0</v>
      </c>
      <c r="U4" s="3" t="str">
        <f>IF(T4, O4, "")</f>
      </c>
      <c r="V4" s="5">
        <f>_xlfn.IFNA(INDEX(CommunicationPolicies!Q2:Q999, MATCH(O4,CommunicationPolicies!A2:A999, 0)), "")</f>
        <v>20</v>
      </c>
      <c r="W4" s="5">
        <f>_xlfn.IFNA(INDEX(CommunicationPolicies!R2:R999, MATCH(O4,CommunicationPolicies!A2:A999, 0)), "")</f>
        <v>8</v>
      </c>
      <c r="X4" s="3" t="b">
        <f>V4 &lt;&gt; W4</f>
        <v>1</v>
      </c>
      <c r="Y4" s="3" t="b">
        <f>V4 &gt; W4</f>
        <v>1</v>
      </c>
      <c r="Z4" s="3" t="b">
        <f>IF(Y4, OR(J4 &gt;= V4, J4 &lt; W4), AND(J4 &gt;= V4, J4 &lt; W4))</f>
        <v>0</v>
      </c>
      <c r="AA4" s="3" t="b">
        <f>AND(S4, AND(X4, Z4))</f>
        <v>0</v>
      </c>
      <c r="AB4" s="3" t="str">
        <f>IF(AA4, O4, "")</f>
      </c>
      <c r="AC4" s="3" t="b">
        <f>_xlfn.IFNA(INDEX(Recipients!M2:M999, MATCH(E4,Recipients!A2:A999, 0)), "")</f>
        <v>0</v>
      </c>
      <c r="AD4" s="3" t="b">
        <f>N4 &lt;&gt; ""</f>
        <v>0</v>
      </c>
      <c r="AE4" s="3" t="str">
        <f>_xlfn.IFNA(INDEX(Exceptions!E2:E999, MATCH(M4,Exceptions!A2:A999, 0)), "")</f>
        <v>Recipient lacks SMS consent</v>
      </c>
      <c r="AF4" s="3" t="b">
        <f>M4 = "exc-unreachable"</f>
        <v>0</v>
      </c>
      <c r="AG4" s="3" t="b">
        <f>AND(AC4, AD4)</f>
        <v>0</v>
      </c>
      <c r="AH4" s="3" t="b">
        <f>AND(AC4, NOT(AF4))</f>
        <v>0</v>
      </c>
      <c r="AI4" s="3" t="str">
        <f>IF(OR(AG4, AH4), C4, "")</f>
      </c>
      <c r="AJ4" s="5">
        <f>_xlfn.IFNA(INDEX(CommunicationPolicies!K2:K999, MATCH(O4,CommunicationPolicies!A2:A999, 0)), "")</f>
        <v>2555</v>
      </c>
      <c r="AK4" s="2" t="s">
        <v>95</v>
      </c>
      <c r="AL4" s="6">
        <f>_xlfn.IFNA(INDEX(EvaluationContexts!D2:D999, MATCH(AK4,EvaluationContexts!A2:A999, 0)), "")</f>
        <v>46222.75</v>
      </c>
      <c r="AM4" s="5">
        <f>(INT(AL4) - INT(I4))</f>
        <v>1</v>
      </c>
      <c r="AN4" s="3" t="b">
        <f>AM4 &lt;= AJ4</f>
        <v>1</v>
      </c>
      <c r="AO4" s="3" t="b">
        <f>H4 &lt;&gt; ""</f>
        <v>1</v>
      </c>
      <c r="AP4" s="3" t="b">
        <f>AND(S4, AN4)</f>
        <v>1</v>
      </c>
      <c r="AQ4" s="3" t="b">
        <f>AND(AP4, NOT(AO4))</f>
        <v>0</v>
      </c>
      <c r="AR4" s="3" t="str">
        <f>IF(AQ4, C4, "")</f>
      </c>
      <c r="AS4" s="3" t="str">
        <f>_xlfn.IFNA(INDEX(StepExecutions!D2:D999, MATCH(D4,StepExecutions!A2:A999, 0)), "")</f>
        <v>policy-04</v>
      </c>
      <c r="AT4" s="3" t="b">
        <f>_xlfn.IFNA(INDEX(ProcedureExecutions!AC2:AC999, MATCH(C4,ProcedureExecutions!A2:A999, 0)), "")</f>
        <v>1</v>
      </c>
      <c r="AU4" s="3" t="b">
        <f>AND(S4, NOT(AT4))</f>
        <v>0</v>
      </c>
      <c r="AV4" s="5">
        <f>LEN(H4)</f>
        <v>107</v>
      </c>
      <c r="AW4" s="5">
        <f>_xlfn.IFNA(INDEX(CommunicationPolicies!I2:I999, MATCH(O4,CommunicationPolicies!A2:A999, 0)), "")</f>
        <v>160</v>
      </c>
      <c r="AX4" s="5">
        <f>IF(AV4 = 0, 0, IF(AV4 &lt;= AW4, 1, ROUNDUP(AV4 / AW4, 0)))</f>
        <v>1</v>
      </c>
      <c r="AY4" s="5">
        <f>_xlfn.IFNA(INDEX(CommunicationPolicies!J2:J999, MATCH(O4,CommunicationPolicies!A2:A999, 0)), "")</f>
        <v>3</v>
      </c>
      <c r="AZ4" s="3" t="b">
        <f>AND(S4, AX4 &gt; AY4)</f>
        <v>0</v>
      </c>
      <c r="BA4" s="3" t="b">
        <f>_xlfn.IFNA(INDEX(MessageTemplates!N2:N999, MATCH(F4,MessageTemplates!A2:A999, 0)), "")</f>
        <v>1</v>
      </c>
      <c r="BB4" s="3" t="b">
        <f>AND(S4, NOT(BA4))</f>
        <v>0</v>
      </c>
      <c r="BC4" s="3" t="str">
        <f>_xlfn.IFNA(INDEX(CommunicationPolicies!T2:T999, MATCH(O4,CommunicationPolicies!A2:A999, 0)), "")</f>
        <v>Reply STOP to opt out</v>
      </c>
      <c r="BD4" s="3" t="b">
        <f>BC4 &lt;&gt; ""</f>
        <v>1</v>
      </c>
      <c r="BE4" s="5">
        <f>FIND(BC4, H4)</f>
        <v>86</v>
      </c>
      <c r="BF4" s="3" t="b">
        <f>BE4 &gt; 0</f>
        <v>1</v>
      </c>
      <c r="BG4" s="3" t="b">
        <f>AND(BF4, BE4 &lt;= AW4)</f>
        <v>1</v>
      </c>
      <c r="BH4" s="3" t="b">
        <f>AND(S4, AND(BD4, NOT(BF4)))</f>
        <v>0</v>
      </c>
      <c r="BI4" s="3" t="b">
        <f>AND(S4, AND(BD4, AND(BF4, NOT(BG4))))</f>
        <v>0</v>
      </c>
      <c r="BJ4" s="3" t="b">
        <f>OR(K4 = "Failed", K4 = "Bounced")</f>
        <v>0</v>
      </c>
      <c r="BK4" s="3" t="b">
        <f>K4 = "Suppressed"</f>
        <v>0</v>
      </c>
      <c r="BL4" s="3" t="b">
        <f>M4 &lt;&gt; ""</f>
        <v>1</v>
      </c>
      <c r="BM4" s="3" t="b">
        <f>AND(BJ4, NOT(BL4))</f>
        <v>0</v>
      </c>
      <c r="BN4" s="3" t="str">
        <f>IF(BM4, C4, "")</f>
      </c>
      <c r="BO4" s="3" t="str">
        <f>IF(K4 = "Delivered", C4, "")</f>
        <v>exec-policy-hr4821</v>
      </c>
      <c r="BP4" s="3" t="b">
        <f>_xlfn.IFNA(INDEX(MessageTemplates!T2:T999, MATCH(F4,MessageTemplates!A2:A999, 0)), "")</f>
        <v>1</v>
      </c>
      <c r="BQ4" s="3" t="b">
        <f>AND(S4, NOT(BP4))</f>
        <v>0</v>
      </c>
      <c r="BR4" s="3" t="str">
        <f>IF(BQ4, F4, "")</f>
      </c>
      <c r="BS4" s="3" t="b">
        <f>OR(J4 &lt; 8, J4 &gt; 18)</f>
        <v>0</v>
      </c>
      <c r="BT4" s="3" t="b">
        <f>AND(S4, NOT(AD4))</f>
        <v>1</v>
      </c>
      <c r="BU4" s="3" t="b">
        <f>AND(BT4, BS4)</f>
        <v>0</v>
      </c>
      <c r="BV4" s="3" t="b">
        <f>AND(BT4, NOT(BS4))</f>
        <v>1</v>
      </c>
      <c r="BW4" s="3" t="str">
        <f>IF(BT4, F4, "")</f>
        <v>tmpl-policy-sms</v>
      </c>
      <c r="BX4" s="3" t="str">
        <f>IF(S4, F4, "")</f>
        <v>tmpl-policy-sms</v>
      </c>
      <c r="BY4" s="2"/>
      <c r="BZ4" s="2"/>
      <c r="CA4" s="4"/>
      <c r="CB4" s="3" t="b">
        <f>AND(CA4 &lt;&gt; "", I4 &gt; CA4)</f>
        <v>0</v>
      </c>
      <c r="CC4" s="3" t="b">
        <f>AND(BY4 &lt;&gt; "", CA4 &lt;&gt; "")</f>
        <v>0</v>
      </c>
      <c r="CD4" s="3" t="b">
        <f>NOT(CC4)</f>
        <v>1</v>
      </c>
      <c r="CE4" s="6">
        <f>_xlfn.IFNA(INDEX(MessageTemplates!Y2:Y999, MATCH(F4,MessageTemplates!A2:A999, 0)), "")</f>
        <v>46222.625</v>
      </c>
      <c r="CF4" s="3" t="b">
        <f>AND(CE4 &lt;&gt; "", CE4 &gt; I4)</f>
        <v>1</v>
      </c>
      <c r="CG4" s="3" t="b">
        <f>AND(CD4, AND(CF4, BA4))</f>
        <v>1</v>
      </c>
      <c r="CH4" s="4"/>
      <c r="CI4" s="7"/>
      <c r="CJ4" s="3" t="b">
        <f>CI4 &gt; 0</f>
        <v>0</v>
      </c>
      <c r="CK4" s="3" t="b">
        <f>AND(S4, AND(AP4, NOT(AD4)))</f>
        <v>1</v>
      </c>
      <c r="CL4" s="5">
        <f>IF(CK4, (INT(AL4) - INT(I4)), 0)</f>
        <v>1</v>
      </c>
      <c r="CM4" s="3" t="b">
        <f>AND(CK4, AND(CL4 &gt; 7, NOT(CJ4)))</f>
        <v>0</v>
      </c>
      <c r="CN4" s="3" t="b">
        <f>AND(CK4, CI4 &gt;= 3)</f>
        <v>0</v>
      </c>
      <c r="CO4" s="3" t="b">
        <f>AND(CN4, NOT(AF4))</f>
        <v>0</v>
      </c>
      <c r="CP4" s="2" t="s">
        <v>8237</v>
      </c>
    </row>
    <row r="5">
      <c r="A5" s="2" t="s">
        <v>8241</v>
      </c>
      <c r="B5" s="3" t="str">
        <f>E5 &amp; " / " &amp; F5 &amp; " / " &amp; TEXT(I5, "yyyy-mm-dd hh:mm:ss")&amp;"+00"</f>
        <v>rec-004 / tmpl-policy-sms / 2026-07-18 19:06:00+00</v>
      </c>
      <c r="C5" s="2" t="s">
        <v>1324</v>
      </c>
      <c r="D5" s="2" t="s">
        <v>1444</v>
      </c>
      <c r="E5" s="2" t="s">
        <v>8225</v>
      </c>
      <c r="F5" s="2" t="s">
        <v>1730</v>
      </c>
      <c r="G5" s="2" t="s">
        <v>178</v>
      </c>
      <c r="H5" s="2" t="s">
        <v>8235</v>
      </c>
      <c r="I5" s="4">
        <v>46221.79583333333</v>
      </c>
      <c r="J5" s="7">
        <v>14</v>
      </c>
      <c r="K5" s="2" t="s">
        <v>8242</v>
      </c>
      <c r="L5" s="2" t="s">
        <v>8243</v>
      </c>
      <c r="M5" s="2" t="s">
        <v>993</v>
      </c>
      <c r="N5" s="4"/>
      <c r="O5" s="3" t="str">
        <f>_xlfn.IFNA(INDEX(MessageTemplates!C2:C999, MATCH(F5,MessageTemplates!A2:A999, 0)), "")</f>
        <v>comm-sms-policy</v>
      </c>
      <c r="P5" s="3" t="str">
        <f>_xlfn.IFNA(INDEX(CommunicationPolicies!D2:D999, MATCH(O5,CommunicationPolicies!A2:A999, 0)), "")</f>
        <v>SMS</v>
      </c>
      <c r="Q5" s="3" t="b">
        <f>_xlfn.IFNA(INDEX(CommunicationPolicies!F2:F999, MATCH(O5,CommunicationPolicies!A2:A999, 0)), "")</f>
        <v>1</v>
      </c>
      <c r="R5" s="3" t="b">
        <f>_xlfn.IFNA(INDEX(Recipients!J2:J999, MATCH(E5,Recipients!A2:A999, 0)), "")</f>
        <v>0</v>
      </c>
      <c r="S5" s="3" t="b">
        <f>OR(K5 = "Sent", OR(K5 = "Delivered", K5 = "Bounced"))</f>
        <v>0</v>
      </c>
      <c r="T5" s="3" t="b">
        <f>AND(S5, AND(Q5, NOT(R5)))</f>
        <v>0</v>
      </c>
      <c r="U5" s="3" t="str">
        <f>IF(T5, O5, "")</f>
      </c>
      <c r="V5" s="5">
        <f>_xlfn.IFNA(INDEX(CommunicationPolicies!Q2:Q999, MATCH(O5,CommunicationPolicies!A2:A999, 0)), "")</f>
        <v>20</v>
      </c>
      <c r="W5" s="5">
        <f>_xlfn.IFNA(INDEX(CommunicationPolicies!R2:R999, MATCH(O5,CommunicationPolicies!A2:A999, 0)), "")</f>
        <v>8</v>
      </c>
      <c r="X5" s="3" t="b">
        <f>V5 &lt;&gt; W5</f>
        <v>1</v>
      </c>
      <c r="Y5" s="3" t="b">
        <f>V5 &gt; W5</f>
        <v>1</v>
      </c>
      <c r="Z5" s="3" t="b">
        <f>IF(Y5, OR(J5 &gt;= V5, J5 &lt; W5), AND(J5 &gt;= V5, J5 &lt; W5))</f>
        <v>0</v>
      </c>
      <c r="AA5" s="3" t="b">
        <f>AND(S5, AND(X5, Z5))</f>
        <v>0</v>
      </c>
      <c r="AB5" s="3" t="str">
        <f>IF(AA5, O5, "")</f>
      </c>
      <c r="AC5" s="3" t="b">
        <f>_xlfn.IFNA(INDEX(Recipients!M2:M999, MATCH(E5,Recipients!A2:A999, 0)), "")</f>
        <v>0</v>
      </c>
      <c r="AD5" s="3" t="b">
        <f>N5 &lt;&gt; ""</f>
        <v>0</v>
      </c>
      <c r="AE5" s="3" t="str">
        <f>_xlfn.IFNA(INDEX(Exceptions!E2:E999, MATCH(M5,Exceptions!A2:A999, 0)), "")</f>
        <v>Recipient lacks SMS consent</v>
      </c>
      <c r="AF5" s="3" t="b">
        <f>M5 = "exc-unreachable"</f>
        <v>0</v>
      </c>
      <c r="AG5" s="3" t="b">
        <f>AND(AC5, AD5)</f>
        <v>0</v>
      </c>
      <c r="AH5" s="3" t="b">
        <f>AND(AC5, NOT(AF5))</f>
        <v>0</v>
      </c>
      <c r="AI5" s="3" t="str">
        <f>IF(OR(AG5, AH5), C5, "")</f>
      </c>
      <c r="AJ5" s="5">
        <f>_xlfn.IFNA(INDEX(CommunicationPolicies!K2:K999, MATCH(O5,CommunicationPolicies!A2:A999, 0)), "")</f>
        <v>2555</v>
      </c>
      <c r="AK5" s="2" t="s">
        <v>95</v>
      </c>
      <c r="AL5" s="6">
        <f>_xlfn.IFNA(INDEX(EvaluationContexts!D2:D999, MATCH(AK5,EvaluationContexts!A2:A999, 0)), "")</f>
        <v>46222.75</v>
      </c>
      <c r="AM5" s="5">
        <f>(INT(AL5) - INT(I5))</f>
        <v>1</v>
      </c>
      <c r="AN5" s="3" t="b">
        <f>AM5 &lt;= AJ5</f>
        <v>1</v>
      </c>
      <c r="AO5" s="3" t="b">
        <f>H5 &lt;&gt; ""</f>
        <v>1</v>
      </c>
      <c r="AP5" s="3" t="b">
        <f>AND(S5, AN5)</f>
        <v>0</v>
      </c>
      <c r="AQ5" s="3" t="b">
        <f>AND(AP5, NOT(AO5))</f>
        <v>0</v>
      </c>
      <c r="AR5" s="3" t="str">
        <f>IF(AQ5, C5, "")</f>
      </c>
      <c r="AS5" s="3" t="str">
        <f>_xlfn.IFNA(INDEX(StepExecutions!D2:D999, MATCH(D5,StepExecutions!A2:A999, 0)), "")</f>
        <v>policy-04</v>
      </c>
      <c r="AT5" s="3" t="b">
        <f>_xlfn.IFNA(INDEX(ProcedureExecutions!AC2:AC999, MATCH(C5,ProcedureExecutions!A2:A999, 0)), "")</f>
        <v>1</v>
      </c>
      <c r="AU5" s="3" t="b">
        <f>AND(S5, NOT(AT5))</f>
        <v>0</v>
      </c>
      <c r="AV5" s="5">
        <f>LEN(H5)</f>
        <v>107</v>
      </c>
      <c r="AW5" s="5">
        <f>_xlfn.IFNA(INDEX(CommunicationPolicies!I2:I999, MATCH(O5,CommunicationPolicies!A2:A999, 0)), "")</f>
        <v>160</v>
      </c>
      <c r="AX5" s="5">
        <f>IF(AV5 = 0, 0, IF(AV5 &lt;= AW5, 1, ROUNDUP(AV5 / AW5, 0)))</f>
        <v>1</v>
      </c>
      <c r="AY5" s="5">
        <f>_xlfn.IFNA(INDEX(CommunicationPolicies!J2:J999, MATCH(O5,CommunicationPolicies!A2:A999, 0)), "")</f>
        <v>3</v>
      </c>
      <c r="AZ5" s="3" t="b">
        <f>AND(S5, AX5 &gt; AY5)</f>
        <v>0</v>
      </c>
      <c r="BA5" s="3" t="b">
        <f>_xlfn.IFNA(INDEX(MessageTemplates!N2:N999, MATCH(F5,MessageTemplates!A2:A999, 0)), "")</f>
        <v>1</v>
      </c>
      <c r="BB5" s="3" t="b">
        <f>AND(S5, NOT(BA5))</f>
        <v>0</v>
      </c>
      <c r="BC5" s="3" t="str">
        <f>_xlfn.IFNA(INDEX(CommunicationPolicies!T2:T999, MATCH(O5,CommunicationPolicies!A2:A999, 0)), "")</f>
        <v>Reply STOP to opt out</v>
      </c>
      <c r="BD5" s="3" t="b">
        <f>BC5 &lt;&gt; ""</f>
        <v>1</v>
      </c>
      <c r="BE5" s="5">
        <f>FIND(BC5, H5)</f>
        <v>86</v>
      </c>
      <c r="BF5" s="3" t="b">
        <f>BE5 &gt; 0</f>
        <v>1</v>
      </c>
      <c r="BG5" s="3" t="b">
        <f>AND(BF5, BE5 &lt;= AW5)</f>
        <v>1</v>
      </c>
      <c r="BH5" s="3" t="b">
        <f>AND(S5, AND(BD5, NOT(BF5)))</f>
        <v>0</v>
      </c>
      <c r="BI5" s="3" t="b">
        <f>AND(S5, AND(BD5, AND(BF5, NOT(BG5))))</f>
        <v>0</v>
      </c>
      <c r="BJ5" s="3" t="b">
        <f>OR(K5 = "Failed", K5 = "Bounced")</f>
        <v>0</v>
      </c>
      <c r="BK5" s="3" t="b">
        <f>K5 = "Suppressed"</f>
        <v>1</v>
      </c>
      <c r="BL5" s="3" t="b">
        <f>M5 &lt;&gt; ""</f>
        <v>1</v>
      </c>
      <c r="BM5" s="3" t="b">
        <f>AND(BJ5, NOT(BL5))</f>
        <v>0</v>
      </c>
      <c r="BN5" s="3" t="str">
        <f>IF(BM5, C5, "")</f>
      </c>
      <c r="BO5" s="3" t="str">
        <f>IF(K5 = "Delivered", C5, "")</f>
      </c>
      <c r="BP5" s="3" t="b">
        <f>_xlfn.IFNA(INDEX(MessageTemplates!T2:T999, MATCH(F5,MessageTemplates!A2:A999, 0)), "")</f>
        <v>1</v>
      </c>
      <c r="BQ5" s="3" t="b">
        <f>AND(S5, NOT(BP5))</f>
        <v>0</v>
      </c>
      <c r="BR5" s="3" t="str">
        <f>IF(BQ5, F5, "")</f>
      </c>
      <c r="BS5" s="3" t="b">
        <f>OR(J5 &lt; 8, J5 &gt; 18)</f>
        <v>0</v>
      </c>
      <c r="BT5" s="3" t="b">
        <f>AND(S5, NOT(AD5))</f>
        <v>0</v>
      </c>
      <c r="BU5" s="3" t="b">
        <f>AND(BT5, BS5)</f>
        <v>0</v>
      </c>
      <c r="BV5" s="3" t="b">
        <f>AND(BT5, NOT(BS5))</f>
        <v>0</v>
      </c>
      <c r="BW5" s="3" t="str">
        <f>IF(BT5, F5, "")</f>
      </c>
      <c r="BX5" s="3" t="str">
        <f>IF(S5, F5, "")</f>
      </c>
      <c r="BY5" s="2"/>
      <c r="BZ5" s="2"/>
      <c r="CA5" s="4"/>
      <c r="CB5" s="3" t="b">
        <f>AND(CA5 &lt;&gt; "", I5 &gt; CA5)</f>
        <v>0</v>
      </c>
      <c r="CC5" s="3" t="b">
        <f>AND(BY5 &lt;&gt; "", CA5 &lt;&gt; "")</f>
        <v>0</v>
      </c>
      <c r="CD5" s="3" t="b">
        <f>NOT(CC5)</f>
        <v>1</v>
      </c>
      <c r="CE5" s="6">
        <f>_xlfn.IFNA(INDEX(MessageTemplates!Y2:Y999, MATCH(F5,MessageTemplates!A2:A999, 0)), "")</f>
        <v>46222.625</v>
      </c>
      <c r="CF5" s="3" t="b">
        <f>AND(CE5 &lt;&gt; "", CE5 &gt; I5)</f>
        <v>1</v>
      </c>
      <c r="CG5" s="3" t="b">
        <f>AND(CD5, AND(CF5, BA5))</f>
        <v>1</v>
      </c>
      <c r="CH5" s="4"/>
      <c r="CI5" s="7"/>
      <c r="CJ5" s="3" t="b">
        <f>CI5 &gt; 0</f>
        <v>0</v>
      </c>
      <c r="CK5" s="3" t="b">
        <f>AND(S5, AND(AP5, NOT(AD5)))</f>
        <v>0</v>
      </c>
      <c r="CL5" s="5">
        <f>IF(CK5, (INT(AL5) - INT(I5)), 0)</f>
        <v>0</v>
      </c>
      <c r="CM5" s="3" t="b">
        <f>AND(CK5, AND(CL5 &gt; 7, NOT(CJ5)))</f>
        <v>0</v>
      </c>
      <c r="CN5" s="3" t="b">
        <f>AND(CK5, CI5 &gt;= 3)</f>
        <v>0</v>
      </c>
      <c r="CO5" s="3" t="b">
        <f>AND(CN5, NOT(AF5))</f>
        <v>0</v>
      </c>
      <c r="CP5" s="2" t="s">
        <v>8237</v>
      </c>
    </row>
    <row r="6">
      <c r="A6" s="2" t="s">
        <v>8244</v>
      </c>
      <c r="B6" s="3" t="str">
        <f>E6 &amp; " / " &amp; F6 &amp; " / " &amp; TEXT(I6, "yyyy-mm-dd hh:mm:ss")&amp;"+00"</f>
        <v>rec-001 / tmpl-policy-sms / 2026-07-19 02:00:00+00</v>
      </c>
      <c r="C6" s="2" t="s">
        <v>1324</v>
      </c>
      <c r="D6" s="2" t="s">
        <v>1444</v>
      </c>
      <c r="E6" s="2" t="s">
        <v>8211</v>
      </c>
      <c r="F6" s="2" t="s">
        <v>1730</v>
      </c>
      <c r="G6" s="2" t="s">
        <v>178</v>
      </c>
      <c r="H6" s="2" t="s">
        <v>8245</v>
      </c>
      <c r="I6" s="4">
        <v>46222.083333333336</v>
      </c>
      <c r="J6" s="7">
        <v>21</v>
      </c>
      <c r="K6" s="2" t="s">
        <v>8236</v>
      </c>
      <c r="L6" s="2" t="s">
        <v>8246</v>
      </c>
      <c r="M6" s="2"/>
      <c r="N6" s="4"/>
      <c r="O6" s="3" t="str">
        <f>_xlfn.IFNA(INDEX(MessageTemplates!C2:C999, MATCH(F6,MessageTemplates!A2:A999, 0)), "")</f>
        <v>comm-sms-policy</v>
      </c>
      <c r="P6" s="3" t="str">
        <f>_xlfn.IFNA(INDEX(CommunicationPolicies!D2:D999, MATCH(O6,CommunicationPolicies!A2:A999, 0)), "")</f>
        <v>SMS</v>
      </c>
      <c r="Q6" s="3" t="b">
        <f>_xlfn.IFNA(INDEX(CommunicationPolicies!F2:F999, MATCH(O6,CommunicationPolicies!A2:A999, 0)), "")</f>
        <v>1</v>
      </c>
      <c r="R6" s="3" t="b">
        <f>_xlfn.IFNA(INDEX(Recipients!J2:J999, MATCH(E6,Recipients!A2:A999, 0)), "")</f>
        <v>1</v>
      </c>
      <c r="S6" s="3" t="b">
        <f>OR(K6 = "Sent", OR(K6 = "Delivered", K6 = "Bounced"))</f>
        <v>1</v>
      </c>
      <c r="T6" s="3" t="b">
        <f>AND(S6, AND(Q6, NOT(R6)))</f>
        <v>0</v>
      </c>
      <c r="U6" s="3" t="str">
        <f>IF(T6, O6, "")</f>
      </c>
      <c r="V6" s="5">
        <f>_xlfn.IFNA(INDEX(CommunicationPolicies!Q2:Q999, MATCH(O6,CommunicationPolicies!A2:A999, 0)), "")</f>
        <v>20</v>
      </c>
      <c r="W6" s="5">
        <f>_xlfn.IFNA(INDEX(CommunicationPolicies!R2:R999, MATCH(O6,CommunicationPolicies!A2:A999, 0)), "")</f>
        <v>8</v>
      </c>
      <c r="X6" s="3" t="b">
        <f>V6 &lt;&gt; W6</f>
        <v>1</v>
      </c>
      <c r="Y6" s="3" t="b">
        <f>V6 &gt; W6</f>
        <v>1</v>
      </c>
      <c r="Z6" s="3" t="b">
        <f>IF(Y6, OR(J6 &gt;= V6, J6 &lt; W6), AND(J6 &gt;= V6, J6 &lt; W6))</f>
        <v>1</v>
      </c>
      <c r="AA6" s="3" t="b">
        <f>AND(S6, AND(X6, Z6))</f>
        <v>1</v>
      </c>
      <c r="AB6" s="3" t="str">
        <f>IF(AA6, O6, "")</f>
        <v>comm-sms-policy</v>
      </c>
      <c r="AC6" s="3" t="b">
        <f>_xlfn.IFNA(INDEX(Recipients!M2:M999, MATCH(E6,Recipients!A2:A999, 0)), "")</f>
        <v>0</v>
      </c>
      <c r="AD6" s="3" t="b">
        <f>N6 &lt;&gt; ""</f>
        <v>0</v>
      </c>
      <c r="AE6" s="3" t="str">
        <f>_xlfn.IFNA(INDEX(Exceptions!E2:E999, MATCH(M6,Exceptions!A2:A999, 0)), "")</f>
      </c>
      <c r="AF6" s="3" t="b">
        <f>M6 = "exc-unreachable"</f>
        <v>0</v>
      </c>
      <c r="AG6" s="3" t="b">
        <f>AND(AC6, AD6)</f>
        <v>0</v>
      </c>
      <c r="AH6" s="3" t="b">
        <f>AND(AC6, NOT(AF6))</f>
        <v>0</v>
      </c>
      <c r="AI6" s="3" t="str">
        <f>IF(OR(AG6, AH6), C6, "")</f>
      </c>
      <c r="AJ6" s="5">
        <f>_xlfn.IFNA(INDEX(CommunicationPolicies!K2:K999, MATCH(O6,CommunicationPolicies!A2:A999, 0)), "")</f>
        <v>2555</v>
      </c>
      <c r="AK6" s="2" t="s">
        <v>95</v>
      </c>
      <c r="AL6" s="6">
        <f>_xlfn.IFNA(INDEX(EvaluationContexts!D2:D999, MATCH(AK6,EvaluationContexts!A2:A999, 0)), "")</f>
        <v>46222.75</v>
      </c>
      <c r="AM6" s="5">
        <f>(INT(AL6) - INT(I6))</f>
        <v>0</v>
      </c>
      <c r="AN6" s="3" t="b">
        <f>AM6 &lt;= AJ6</f>
        <v>1</v>
      </c>
      <c r="AO6" s="3" t="b">
        <f>H6 &lt;&gt; ""</f>
        <v>1</v>
      </c>
      <c r="AP6" s="3" t="b">
        <f>AND(S6, AN6)</f>
        <v>1</v>
      </c>
      <c r="AQ6" s="3" t="b">
        <f>AND(AP6, NOT(AO6))</f>
        <v>0</v>
      </c>
      <c r="AR6" s="3" t="str">
        <f>IF(AQ6, C6, "")</f>
      </c>
      <c r="AS6" s="3" t="str">
        <f>_xlfn.IFNA(INDEX(StepExecutions!D2:D999, MATCH(D6,StepExecutions!A2:A999, 0)), "")</f>
        <v>policy-04</v>
      </c>
      <c r="AT6" s="3" t="b">
        <f>_xlfn.IFNA(INDEX(ProcedureExecutions!AC2:AC999, MATCH(C6,ProcedureExecutions!A2:A999, 0)), "")</f>
        <v>1</v>
      </c>
      <c r="AU6" s="3" t="b">
        <f>AND(S6, NOT(AT6))</f>
        <v>0</v>
      </c>
      <c r="AV6" s="5">
        <f>LEN(H6)</f>
        <v>84</v>
      </c>
      <c r="AW6" s="5">
        <f>_xlfn.IFNA(INDEX(CommunicationPolicies!I2:I999, MATCH(O6,CommunicationPolicies!A2:A999, 0)), "")</f>
        <v>160</v>
      </c>
      <c r="AX6" s="5">
        <f>IF(AV6 = 0, 0, IF(AV6 &lt;= AW6, 1, ROUNDUP(AV6 / AW6, 0)))</f>
        <v>1</v>
      </c>
      <c r="AY6" s="5">
        <f>_xlfn.IFNA(INDEX(CommunicationPolicies!J2:J999, MATCH(O6,CommunicationPolicies!A2:A999, 0)), "")</f>
        <v>3</v>
      </c>
      <c r="AZ6" s="3" t="b">
        <f>AND(S6, AX6 &gt; AY6)</f>
        <v>0</v>
      </c>
      <c r="BA6" s="3" t="b">
        <f>_xlfn.IFNA(INDEX(MessageTemplates!N2:N999, MATCH(F6,MessageTemplates!A2:A999, 0)), "")</f>
        <v>1</v>
      </c>
      <c r="BB6" s="3" t="b">
        <f>AND(S6, NOT(BA6))</f>
        <v>0</v>
      </c>
      <c r="BC6" s="3" t="str">
        <f>_xlfn.IFNA(INDEX(CommunicationPolicies!T2:T999, MATCH(O6,CommunicationPolicies!A2:A999, 0)), "")</f>
        <v>Reply STOP to opt out</v>
      </c>
      <c r="BD6" s="3" t="b">
        <f>BC6 &lt;&gt; ""</f>
        <v>1</v>
      </c>
      <c r="BE6" s="5" t="e">
        <f>FIND(BC6, H6)</f>
        <v>#VALUE!</v>
      </c>
      <c r="BF6" s="3" t="e">
        <f>BE6 &gt; 0</f>
        <v>#VALUE!</v>
      </c>
      <c r="BG6" s="3" t="e">
        <f>AND(BF6, BE6 &lt;= AW6)</f>
        <v>#VALUE!</v>
      </c>
      <c r="BH6" s="3" t="e">
        <f>AND(S6, AND(BD6, NOT(BF6)))</f>
        <v>#VALUE!</v>
      </c>
      <c r="BI6" s="3" t="e">
        <f>AND(S6, AND(BD6, AND(BF6, NOT(BG6))))</f>
        <v>#VALUE!</v>
      </c>
      <c r="BJ6" s="3" t="b">
        <f>OR(K6 = "Failed", K6 = "Bounced")</f>
        <v>0</v>
      </c>
      <c r="BK6" s="3" t="b">
        <f>K6 = "Suppressed"</f>
        <v>0</v>
      </c>
      <c r="BL6" s="3" t="b">
        <f>M6 &lt;&gt; ""</f>
        <v>0</v>
      </c>
      <c r="BM6" s="3" t="b">
        <f>AND(BJ6, NOT(BL6))</f>
        <v>0</v>
      </c>
      <c r="BN6" s="3" t="str">
        <f>IF(BM6, C6, "")</f>
      </c>
      <c r="BO6" s="3" t="str">
        <f>IF(K6 = "Delivered", C6, "")</f>
        <v>exec-policy-hr4821</v>
      </c>
      <c r="BP6" s="3" t="b">
        <f>_xlfn.IFNA(INDEX(MessageTemplates!T2:T999, MATCH(F6,MessageTemplates!A2:A999, 0)), "")</f>
        <v>1</v>
      </c>
      <c r="BQ6" s="3" t="b">
        <f>AND(S6, NOT(BP6))</f>
        <v>0</v>
      </c>
      <c r="BR6" s="3" t="str">
        <f>IF(BQ6, F6, "")</f>
      </c>
      <c r="BS6" s="3" t="b">
        <f>OR(J6 &lt; 8, J6 &gt; 18)</f>
        <v>1</v>
      </c>
      <c r="BT6" s="3" t="b">
        <f>AND(S6, NOT(AD6))</f>
        <v>1</v>
      </c>
      <c r="BU6" s="3" t="b">
        <f>AND(BT6, BS6)</f>
        <v>1</v>
      </c>
      <c r="BV6" s="3" t="b">
        <f>AND(BT6, NOT(BS6))</f>
        <v>0</v>
      </c>
      <c r="BW6" s="3" t="str">
        <f>IF(BT6, F6, "")</f>
        <v>tmpl-policy-sms</v>
      </c>
      <c r="BX6" s="3" t="str">
        <f>IF(S6, F6, "")</f>
        <v>tmpl-policy-sms</v>
      </c>
      <c r="BY6" s="2"/>
      <c r="BZ6" s="2"/>
      <c r="CA6" s="4"/>
      <c r="CB6" s="3" t="b">
        <f>AND(CA6 &lt;&gt; "", I6 &gt; CA6)</f>
        <v>0</v>
      </c>
      <c r="CC6" s="3" t="b">
        <f>AND(BY6 &lt;&gt; "", CA6 &lt;&gt; "")</f>
        <v>0</v>
      </c>
      <c r="CD6" s="3" t="b">
        <f>NOT(CC6)</f>
        <v>1</v>
      </c>
      <c r="CE6" s="6">
        <f>_xlfn.IFNA(INDEX(MessageTemplates!Y2:Y999, MATCH(F6,MessageTemplates!A2:A999, 0)), "")</f>
        <v>46222.625</v>
      </c>
      <c r="CF6" s="3" t="b">
        <f>AND(CE6 &lt;&gt; "", CE6 &gt; I6)</f>
        <v>1</v>
      </c>
      <c r="CG6" s="3" t="b">
        <f>AND(CD6, AND(CF6, BA6))</f>
        <v>1</v>
      </c>
      <c r="CH6" s="4"/>
      <c r="CI6" s="7"/>
      <c r="CJ6" s="3" t="b">
        <f>CI6 &gt; 0</f>
        <v>0</v>
      </c>
      <c r="CK6" s="3" t="b">
        <f>AND(S6, AND(AP6, NOT(AD6)))</f>
        <v>1</v>
      </c>
      <c r="CL6" s="5">
        <f>IF(CK6, (INT(AL6) - INT(I6)), 0)</f>
        <v>0</v>
      </c>
      <c r="CM6" s="3" t="b">
        <f>AND(CK6, AND(CL6 &gt; 7, NOT(CJ6)))</f>
        <v>0</v>
      </c>
      <c r="CN6" s="3" t="b">
        <f>AND(CK6, CI6 &gt;= 3)</f>
        <v>0</v>
      </c>
      <c r="CO6" s="3" t="b">
        <f>AND(CN6, NOT(AF6))</f>
        <v>0</v>
      </c>
      <c r="CP6" s="2" t="s">
        <v>8237</v>
      </c>
    </row>
    <row r="7">
      <c r="A7" s="2" t="s">
        <v>8247</v>
      </c>
      <c r="B7" s="3" t="str">
        <f>E7 &amp; " / " &amp; F7 &amp; " / " &amp; TEXT(I7, "yyyy-mm-dd hh:mm:ss")&amp;"+00"</f>
        <v>rec-005 / tmpl-policy-sms / 2026-07-18 19:06:00+00</v>
      </c>
      <c r="C7" s="2" t="s">
        <v>1324</v>
      </c>
      <c r="D7" s="2" t="s">
        <v>1444</v>
      </c>
      <c r="E7" s="2" t="s">
        <v>8230</v>
      </c>
      <c r="F7" s="2" t="s">
        <v>1730</v>
      </c>
      <c r="G7" s="2" t="s">
        <v>178</v>
      </c>
      <c r="H7" s="2" t="s">
        <v>8235</v>
      </c>
      <c r="I7" s="4">
        <v>46221.79583333333</v>
      </c>
      <c r="J7" s="7">
        <v>14</v>
      </c>
      <c r="K7" s="2" t="s">
        <v>8248</v>
      </c>
      <c r="L7" s="2" t="s">
        <v>8249</v>
      </c>
      <c r="M7" s="2" t="s">
        <v>996</v>
      </c>
      <c r="N7" s="4"/>
      <c r="O7" s="3" t="str">
        <f>_xlfn.IFNA(INDEX(MessageTemplates!C2:C999, MATCH(F7,MessageTemplates!A2:A999, 0)), "")</f>
        <v>comm-sms-policy</v>
      </c>
      <c r="P7" s="3" t="str">
        <f>_xlfn.IFNA(INDEX(CommunicationPolicies!D2:D999, MATCH(O7,CommunicationPolicies!A2:A999, 0)), "")</f>
        <v>SMS</v>
      </c>
      <c r="Q7" s="3" t="b">
        <f>_xlfn.IFNA(INDEX(CommunicationPolicies!F2:F999, MATCH(O7,CommunicationPolicies!A2:A999, 0)), "")</f>
        <v>1</v>
      </c>
      <c r="R7" s="3" t="b">
        <f>_xlfn.IFNA(INDEX(Recipients!J2:J999, MATCH(E7,Recipients!A2:A999, 0)), "")</f>
        <v>0</v>
      </c>
      <c r="S7" s="3" t="b">
        <f>OR(K7 = "Sent", OR(K7 = "Delivered", K7 = "Bounced"))</f>
        <v>0</v>
      </c>
      <c r="T7" s="3" t="b">
        <f>AND(S7, AND(Q7, NOT(R7)))</f>
        <v>0</v>
      </c>
      <c r="U7" s="3" t="str">
        <f>IF(T7, O7, "")</f>
      </c>
      <c r="V7" s="5">
        <f>_xlfn.IFNA(INDEX(CommunicationPolicies!Q2:Q999, MATCH(O7,CommunicationPolicies!A2:A999, 0)), "")</f>
        <v>20</v>
      </c>
      <c r="W7" s="5">
        <f>_xlfn.IFNA(INDEX(CommunicationPolicies!R2:R999, MATCH(O7,CommunicationPolicies!A2:A999, 0)), "")</f>
        <v>8</v>
      </c>
      <c r="X7" s="3" t="b">
        <f>V7 &lt;&gt; W7</f>
        <v>1</v>
      </c>
      <c r="Y7" s="3" t="b">
        <f>V7 &gt; W7</f>
        <v>1</v>
      </c>
      <c r="Z7" s="3" t="b">
        <f>IF(Y7, OR(J7 &gt;= V7, J7 &lt; W7), AND(J7 &gt;= V7, J7 &lt; W7))</f>
        <v>0</v>
      </c>
      <c r="AA7" s="3" t="b">
        <f>AND(S7, AND(X7, Z7))</f>
        <v>0</v>
      </c>
      <c r="AB7" s="3" t="str">
        <f>IF(AA7, O7, "")</f>
      </c>
      <c r="AC7" s="3" t="b">
        <f>_xlfn.IFNA(INDEX(Recipients!M2:M999, MATCH(E7,Recipients!A2:A999, 0)), "")</f>
        <v>0</v>
      </c>
      <c r="AD7" s="3" t="b">
        <f>N7 &lt;&gt; ""</f>
        <v>0</v>
      </c>
      <c r="AE7" s="3" t="str">
        <f>_xlfn.IFNA(INDEX(Exceptions!E2:E999, MATCH(M7,Exceptions!A2:A999, 0)), "")</f>
        <v>Recipient unreachable</v>
      </c>
      <c r="AF7" s="3" t="b">
        <f>M7 = "exc-unreachable"</f>
        <v>1</v>
      </c>
      <c r="AG7" s="3" t="b">
        <f>AND(AC7, AD7)</f>
        <v>0</v>
      </c>
      <c r="AH7" s="3" t="b">
        <f>AND(AC7, NOT(AF7))</f>
        <v>0</v>
      </c>
      <c r="AI7" s="3" t="str">
        <f>IF(OR(AG7, AH7), C7, "")</f>
      </c>
      <c r="AJ7" s="5">
        <f>_xlfn.IFNA(INDEX(CommunicationPolicies!K2:K999, MATCH(O7,CommunicationPolicies!A2:A999, 0)), "")</f>
        <v>2555</v>
      </c>
      <c r="AK7" s="2" t="s">
        <v>95</v>
      </c>
      <c r="AL7" s="6">
        <f>_xlfn.IFNA(INDEX(EvaluationContexts!D2:D999, MATCH(AK7,EvaluationContexts!A2:A999, 0)), "")</f>
        <v>46222.75</v>
      </c>
      <c r="AM7" s="5">
        <f>(INT(AL7) - INT(I7))</f>
        <v>1</v>
      </c>
      <c r="AN7" s="3" t="b">
        <f>AM7 &lt;= AJ7</f>
        <v>1</v>
      </c>
      <c r="AO7" s="3" t="b">
        <f>H7 &lt;&gt; ""</f>
        <v>1</v>
      </c>
      <c r="AP7" s="3" t="b">
        <f>AND(S7, AN7)</f>
        <v>0</v>
      </c>
      <c r="AQ7" s="3" t="b">
        <f>AND(AP7, NOT(AO7))</f>
        <v>0</v>
      </c>
      <c r="AR7" s="3" t="str">
        <f>IF(AQ7, C7, "")</f>
      </c>
      <c r="AS7" s="3" t="str">
        <f>_xlfn.IFNA(INDEX(StepExecutions!D2:D999, MATCH(D7,StepExecutions!A2:A999, 0)), "")</f>
        <v>policy-04</v>
      </c>
      <c r="AT7" s="3" t="b">
        <f>_xlfn.IFNA(INDEX(ProcedureExecutions!AC2:AC999, MATCH(C7,ProcedureExecutions!A2:A999, 0)), "")</f>
        <v>1</v>
      </c>
      <c r="AU7" s="3" t="b">
        <f>AND(S7, NOT(AT7))</f>
        <v>0</v>
      </c>
      <c r="AV7" s="5">
        <f>LEN(H7)</f>
        <v>107</v>
      </c>
      <c r="AW7" s="5">
        <f>_xlfn.IFNA(INDEX(CommunicationPolicies!I2:I999, MATCH(O7,CommunicationPolicies!A2:A999, 0)), "")</f>
        <v>160</v>
      </c>
      <c r="AX7" s="5">
        <f>IF(AV7 = 0, 0, IF(AV7 &lt;= AW7, 1, ROUNDUP(AV7 / AW7, 0)))</f>
        <v>1</v>
      </c>
      <c r="AY7" s="5">
        <f>_xlfn.IFNA(INDEX(CommunicationPolicies!J2:J999, MATCH(O7,CommunicationPolicies!A2:A999, 0)), "")</f>
        <v>3</v>
      </c>
      <c r="AZ7" s="3" t="b">
        <f>AND(S7, AX7 &gt; AY7)</f>
        <v>0</v>
      </c>
      <c r="BA7" s="3" t="b">
        <f>_xlfn.IFNA(INDEX(MessageTemplates!N2:N999, MATCH(F7,MessageTemplates!A2:A999, 0)), "")</f>
        <v>1</v>
      </c>
      <c r="BB7" s="3" t="b">
        <f>AND(S7, NOT(BA7))</f>
        <v>0</v>
      </c>
      <c r="BC7" s="3" t="str">
        <f>_xlfn.IFNA(INDEX(CommunicationPolicies!T2:T999, MATCH(O7,CommunicationPolicies!A2:A999, 0)), "")</f>
        <v>Reply STOP to opt out</v>
      </c>
      <c r="BD7" s="3" t="b">
        <f>BC7 &lt;&gt; ""</f>
        <v>1</v>
      </c>
      <c r="BE7" s="5">
        <f>FIND(BC7, H7)</f>
        <v>86</v>
      </c>
      <c r="BF7" s="3" t="b">
        <f>BE7 &gt; 0</f>
        <v>1</v>
      </c>
      <c r="BG7" s="3" t="b">
        <f>AND(BF7, BE7 &lt;= AW7)</f>
        <v>1</v>
      </c>
      <c r="BH7" s="3" t="b">
        <f>AND(S7, AND(BD7, NOT(BF7)))</f>
        <v>0</v>
      </c>
      <c r="BI7" s="3" t="b">
        <f>AND(S7, AND(BD7, AND(BF7, NOT(BG7))))</f>
        <v>0</v>
      </c>
      <c r="BJ7" s="3" t="b">
        <f>OR(K7 = "Failed", K7 = "Bounced")</f>
        <v>1</v>
      </c>
      <c r="BK7" s="3" t="b">
        <f>K7 = "Suppressed"</f>
        <v>0</v>
      </c>
      <c r="BL7" s="3" t="b">
        <f>M7 &lt;&gt; ""</f>
        <v>1</v>
      </c>
      <c r="BM7" s="3" t="b">
        <f>AND(BJ7, NOT(BL7))</f>
        <v>0</v>
      </c>
      <c r="BN7" s="3" t="str">
        <f>IF(BM7, C7, "")</f>
      </c>
      <c r="BO7" s="3" t="str">
        <f>IF(K7 = "Delivered", C7, "")</f>
      </c>
      <c r="BP7" s="3" t="b">
        <f>_xlfn.IFNA(INDEX(MessageTemplates!T2:T999, MATCH(F7,MessageTemplates!A2:A999, 0)), "")</f>
        <v>1</v>
      </c>
      <c r="BQ7" s="3" t="b">
        <f>AND(S7, NOT(BP7))</f>
        <v>0</v>
      </c>
      <c r="BR7" s="3" t="str">
        <f>IF(BQ7, F7, "")</f>
      </c>
      <c r="BS7" s="3" t="b">
        <f>OR(J7 &lt; 8, J7 &gt; 18)</f>
        <v>0</v>
      </c>
      <c r="BT7" s="3" t="b">
        <f>AND(S7, NOT(AD7))</f>
        <v>0</v>
      </c>
      <c r="BU7" s="3" t="b">
        <f>AND(BT7, BS7)</f>
        <v>0</v>
      </c>
      <c r="BV7" s="3" t="b">
        <f>AND(BT7, NOT(BS7))</f>
        <v>0</v>
      </c>
      <c r="BW7" s="3" t="str">
        <f>IF(BT7, F7, "")</f>
      </c>
      <c r="BX7" s="3" t="str">
        <f>IF(S7, F7, "")</f>
      </c>
      <c r="BY7" s="2"/>
      <c r="BZ7" s="2"/>
      <c r="CA7" s="4"/>
      <c r="CB7" s="3" t="b">
        <f>AND(CA7 &lt;&gt; "", I7 &gt; CA7)</f>
        <v>0</v>
      </c>
      <c r="CC7" s="3" t="b">
        <f>AND(BY7 &lt;&gt; "", CA7 &lt;&gt; "")</f>
        <v>0</v>
      </c>
      <c r="CD7" s="3" t="b">
        <f>NOT(CC7)</f>
        <v>1</v>
      </c>
      <c r="CE7" s="6">
        <f>_xlfn.IFNA(INDEX(MessageTemplates!Y2:Y999, MATCH(F7,MessageTemplates!A2:A999, 0)), "")</f>
        <v>46222.625</v>
      </c>
      <c r="CF7" s="3" t="b">
        <f>AND(CE7 &lt;&gt; "", CE7 &gt; I7)</f>
        <v>1</v>
      </c>
      <c r="CG7" s="3" t="b">
        <f>AND(CD7, AND(CF7, BA7))</f>
        <v>1</v>
      </c>
      <c r="CH7" s="4"/>
      <c r="CI7" s="7"/>
      <c r="CJ7" s="3" t="b">
        <f>CI7 &gt; 0</f>
        <v>0</v>
      </c>
      <c r="CK7" s="3" t="b">
        <f>AND(S7, AND(AP7, NOT(AD7)))</f>
        <v>0</v>
      </c>
      <c r="CL7" s="5">
        <f>IF(CK7, (INT(AL7) - INT(I7)), 0)</f>
        <v>0</v>
      </c>
      <c r="CM7" s="3" t="b">
        <f>AND(CK7, AND(CL7 &gt; 7, NOT(CJ7)))</f>
        <v>0</v>
      </c>
      <c r="CN7" s="3" t="b">
        <f>AND(CK7, CI7 &gt;= 3)</f>
        <v>0</v>
      </c>
      <c r="CO7" s="3" t="b">
        <f>AND(CN7, NOT(AF7))</f>
        <v>0</v>
      </c>
      <c r="CP7" s="2" t="s">
        <v>8237</v>
      </c>
    </row>
  </sheetData>
  <autoFilter ref="A1:CP1"/>
  <headerFooter/>
  <legacyDrawing r:id="rId1"/>
</worksheet>
</file>

<file path=xl/worksheets/sheet6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
  <sheetViews>
    <sheetView workbookViewId="0">
      <pane ySplit="1" topLeftCell="A2" state="frozen" activePane="bottomLeft"/>
      <selection pane="bottomLeft" activeCell="A1" sqref="A1"/>
    </sheetView>
  </sheetViews>
  <sheetFormatPr defaultRowHeight="15"/>
  <cols>
    <col min="1" max="1" width="20.541112899780273" customWidth="1"/>
    <col min="2" max="2" width="55.86801528930664" customWidth="1"/>
    <col min="3" max="3" width="18.18422508239746" customWidth="1"/>
    <col min="4" max="4" width="17.443378448486328" customWidth="1"/>
    <col min="5" max="5" width="25.59624671936035" customWidth="1"/>
    <col min="6" max="6" width="17.443378448486328" customWidth="1"/>
    <col min="7" max="7" width="23.35041618347168" customWidth="1"/>
    <col min="8" max="8" width="20.189409255981445" customWidth="1"/>
    <col min="9" max="9" width="115.70389556884766" customWidth="1"/>
    <col min="10" max="10" width="19.508312225341797" customWidth="1"/>
    <col min="11" max="11" width="19.548357009887695" customWidth="1"/>
    <col min="12" max="12" width="25.59624671936035" customWidth="1"/>
    <col min="13" max="13" width="25.525442123413086" customWidth="1"/>
    <col min="14" max="14" width="26.05389976501465" customWidth="1"/>
    <col min="15" max="15" width="45.874053955078125" customWidth="1"/>
  </cols>
  <sheetData>
    <row r="1">
      <c r="A1" s="1" t="s">
        <v>4633</v>
      </c>
      <c r="B1" s="1" t="s">
        <v>1</v>
      </c>
      <c r="C1" s="1" t="s">
        <v>4387</v>
      </c>
      <c r="D1" s="1" t="s">
        <v>4638</v>
      </c>
      <c r="E1" s="1" t="s">
        <v>4640</v>
      </c>
      <c r="F1" s="1" t="s">
        <v>4642</v>
      </c>
      <c r="G1" s="1" t="s">
        <v>1572</v>
      </c>
      <c r="H1" s="1" t="s">
        <v>4645</v>
      </c>
      <c r="I1" s="1" t="s">
        <v>1740</v>
      </c>
      <c r="J1" s="1" t="s">
        <v>4648</v>
      </c>
      <c r="K1" s="1" t="s">
        <v>4651</v>
      </c>
      <c r="L1" s="1" t="s">
        <v>4240</v>
      </c>
      <c r="M1" s="1" t="s">
        <v>4655</v>
      </c>
      <c r="N1" s="1" t="s">
        <v>4658</v>
      </c>
      <c r="O1" s="1" t="s">
        <v>94</v>
      </c>
    </row>
    <row r="2">
      <c r="A2" s="2" t="s">
        <v>1729</v>
      </c>
      <c r="B2" s="3" t="str">
        <f>C2 &amp; " / " &amp; F2 &amp; " / " &amp; TEXT(G2, "yyyy-mm-dd hh:mm:ss")&amp;"+00"</f>
        <v>tmpl-policy-email / Approved / 2026-07-17 16:00:00+00</v>
      </c>
      <c r="C2" s="2" t="s">
        <v>1724</v>
      </c>
      <c r="D2" s="2" t="s">
        <v>161</v>
      </c>
      <c r="E2" s="2" t="s">
        <v>224</v>
      </c>
      <c r="F2" s="2" t="s">
        <v>461</v>
      </c>
      <c r="G2" s="4">
        <v>46220.666666666664</v>
      </c>
      <c r="H2" s="2" t="s">
        <v>1728</v>
      </c>
      <c r="I2" s="2" t="s">
        <v>8250</v>
      </c>
      <c r="J2" s="3" t="b">
        <f>F2 = "Approved"</f>
        <v>1</v>
      </c>
      <c r="K2" s="3" t="str">
        <f>_xlfn.IFNA(INDEX(MessageTemplates!C2:C999, MATCH(C2,MessageTemplates!A2:A999, 0)), "")</f>
        <v>comm-email-policy</v>
      </c>
      <c r="L2" s="3" t="str">
        <f>_xlfn.IFNA(INDEX(CommunicationPolicies!L2:L999, MATCH(K2,CommunicationPolicies!A2:A999, 0)), "")</f>
        <v>communications-manager</v>
      </c>
      <c r="M2" s="3" t="b">
        <f>E2 = L2</f>
        <v>1</v>
      </c>
      <c r="N2" s="3" t="str">
        <f>IF(AND(J2, M2), C2, "")</f>
        <v>tmpl-policy-email</v>
      </c>
      <c r="O2" s="2" t="s">
        <v>8251</v>
      </c>
    </row>
    <row r="3">
      <c r="A3" s="2" t="s">
        <v>1733</v>
      </c>
      <c r="B3" s="3" t="str">
        <f>C3 &amp; " / " &amp; F3 &amp; " / " &amp; TEXT(G3, "yyyy-mm-dd hh:mm:ss")&amp;"+00"</f>
        <v>tmpl-policy-sms / Approved / 2026-07-19 15:00:00+00</v>
      </c>
      <c r="C3" s="2" t="s">
        <v>1730</v>
      </c>
      <c r="D3" s="2" t="s">
        <v>161</v>
      </c>
      <c r="E3" s="2" t="s">
        <v>224</v>
      </c>
      <c r="F3" s="2" t="s">
        <v>461</v>
      </c>
      <c r="G3" s="4">
        <v>46222.625</v>
      </c>
      <c r="H3" s="2" t="s">
        <v>1732</v>
      </c>
      <c r="I3" s="2" t="s">
        <v>8252</v>
      </c>
      <c r="J3" s="3" t="b">
        <f>F3 = "Approved"</f>
        <v>1</v>
      </c>
      <c r="K3" s="3" t="str">
        <f>_xlfn.IFNA(INDEX(MessageTemplates!C2:C999, MATCH(C3,MessageTemplates!A2:A999, 0)), "")</f>
        <v>comm-sms-policy</v>
      </c>
      <c r="L3" s="3" t="str">
        <f>_xlfn.IFNA(INDEX(CommunicationPolicies!L2:L999, MATCH(K3,CommunicationPolicies!A2:A999, 0)), "")</f>
        <v>communications-manager</v>
      </c>
      <c r="M3" s="3" t="b">
        <f>E3 = L3</f>
        <v>1</v>
      </c>
      <c r="N3" s="3" t="str">
        <f>IF(AND(J3, M3), C3, "")</f>
        <v>tmpl-policy-sms</v>
      </c>
      <c r="O3" s="2" t="s">
        <v>8251</v>
      </c>
    </row>
  </sheetData>
  <autoFilter ref="A1:O1"/>
  <headerFooter/>
  <legacyDrawing r:id="rId1"/>
</worksheet>
</file>

<file path=xl/worksheets/sheet6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V8"/>
  <sheetViews>
    <sheetView workbookViewId="0">
      <pane ySplit="1" topLeftCell="A2" state="frozen" activePane="bottomLeft"/>
      <selection pane="bottomLeft" activeCell="A1" sqref="A1"/>
    </sheetView>
  </sheetViews>
  <sheetFormatPr defaultRowHeight="15"/>
  <cols>
    <col min="1" max="1" width="17.443378448486328" customWidth="1"/>
    <col min="2" max="2" width="34.14341354370117" customWidth="1"/>
    <col min="3" max="3" width="20.414697647094727" customWidth="1"/>
    <col min="4" max="4" width="17.443378448486328" customWidth="1"/>
    <col min="5" max="5" width="17.443378448486328" customWidth="1"/>
    <col min="6" max="6" width="18.18422508239746" customWidth="1"/>
    <col min="7" max="7" width="239.8994903564453" customWidth="1"/>
    <col min="8" max="8" width="26.49642562866211" customWidth="1"/>
    <col min="9" max="9" width="23.35041618347168" customWidth="1"/>
    <col min="10" max="10" width="17.75429916381836" customWidth="1"/>
    <col min="11" max="11" width="19.548357009887695" customWidth="1"/>
    <col min="12" max="12" width="17.443378448486328" customWidth="1"/>
    <col min="13" max="13" width="17.443378448486328" customWidth="1"/>
    <col min="14" max="14" width="23.094770431518555" customWidth="1"/>
    <col min="15" max="15" width="28.29295539855957" customWidth="1"/>
    <col min="16" max="16" width="20.107656478881836" customWidth="1"/>
    <col min="17" max="17" width="25.159866333007812" customWidth="1"/>
    <col min="18" max="18" width="26.099285125732422" customWidth="1"/>
    <col min="19" max="19" width="23.508804321289062" customWidth="1"/>
    <col min="20" max="20" width="22.54152488708496" customWidth="1"/>
    <col min="21" max="21" width="21.534099578857422" customWidth="1"/>
    <col min="22" max="22" width="20.67319107055664" customWidth="1"/>
    <col min="23" max="23" width="26.583498001098633" customWidth="1"/>
    <col min="24" max="24" width="25.60870361328125" customWidth="1"/>
    <col min="25" max="25" width="27.067241668701172" customWidth="1"/>
    <col min="26" max="26" width="18.758590698242188" customWidth="1"/>
    <col min="27" max="27" width="24.83026123046875" customWidth="1"/>
    <col min="28" max="28" width="25.481948852539062" customWidth="1"/>
    <col min="29" max="29" width="20.366670608520508" customWidth="1"/>
    <col min="30" max="30" width="21.820850372314453" customWidth="1"/>
    <col min="31" max="31" width="24.29144859313965" customWidth="1"/>
    <col min="32" max="32" width="19.019756317138672" customWidth="1"/>
    <col min="33" max="33" width="28.529170989990234" customWidth="1"/>
    <col min="34" max="34" width="24.63001823425293" customWidth="1"/>
    <col min="35" max="35" width="19.281099319458008" customWidth="1"/>
    <col min="36" max="36" width="19.8497257232666" customWidth="1"/>
    <col min="37" max="37" width="20.5399112701416" customWidth="1"/>
    <col min="38" max="38" width="27.81546974182129" customWidth="1"/>
    <col min="39" max="39" width="25.59624671936035" customWidth="1"/>
    <col min="40" max="40" width="23.468456268310547" customWidth="1"/>
    <col min="41" max="41" width="18.448596954345703" customWidth="1"/>
    <col min="42" max="42" width="24.794635772705078" customWidth="1"/>
    <col min="43" max="43" width="17.526287078857422" customWidth="1"/>
    <col min="44" max="44" width="19.148334503173828" customWidth="1"/>
    <col min="45" max="45" width="21.273286819458008" customWidth="1"/>
    <col min="46" max="46" width="32.30729675292969" customWidth="1"/>
    <col min="47" max="47" width="20.716604232788086" customWidth="1"/>
    <col min="48" max="48" width="18.284212112426758" customWidth="1"/>
    <col min="49" max="49" width="26.626392364501953" customWidth="1"/>
    <col min="50" max="50" width="24.550256729125977" customWidth="1"/>
    <col min="51" max="51" width="25.692142486572266" customWidth="1"/>
    <col min="52" max="52" width="26.86537742614746" customWidth="1"/>
    <col min="53" max="53" width="19.898571014404297" customWidth="1"/>
    <col min="54" max="54" width="28.215717315673828" customWidth="1"/>
    <col min="55" max="55" width="27.777576446533203" customWidth="1"/>
    <col min="56" max="56" width="23.669092178344727" customWidth="1"/>
    <col min="57" max="57" width="27.97209358215332" customWidth="1"/>
    <col min="58" max="58" width="22.873992919921875" customWidth="1"/>
    <col min="59" max="59" width="22.749292373657227" customWidth="1"/>
    <col min="60" max="60" width="28.53042221069336" customWidth="1"/>
    <col min="61" max="61" width="21.486026763916016" customWidth="1"/>
    <col min="62" max="62" width="30.817834854125977" customWidth="1"/>
    <col min="63" max="63" width="28.377548217773438" customWidth="1"/>
    <col min="64" max="64" width="23.1391658782959" customWidth="1"/>
    <col min="65" max="65" width="27.93839454650879" customWidth="1"/>
    <col min="66" max="66" width="27.820497512817383" customWidth="1"/>
    <col min="67" max="67" width="27.466001510620117" customWidth="1"/>
    <col min="68" max="68" width="32.358646392822266" customWidth="1"/>
    <col min="69" max="69" width="33.06542205810547" customWidth="1"/>
    <col min="70" max="70" width="29.348163604736328" customWidth="1"/>
    <col min="71" max="71" width="19.33222770690918" customWidth="1"/>
    <col min="72" max="72" width="19.81682777404785" customWidth="1"/>
    <col min="73" max="73" width="25.767868041992188" customWidth="1"/>
    <col min="74" max="74" width="21.10213851928711" customWidth="1"/>
    <col min="75" max="75" width="21.231054306030273" customWidth="1"/>
    <col min="76" max="76" width="21.403799057006836" customWidth="1"/>
    <col min="77" max="77" width="26.821521759033203" customWidth="1"/>
    <col min="78" max="78" width="31.40351676940918" customWidth="1"/>
    <col min="79" max="79" width="17.443378448486328" customWidth="1"/>
    <col min="80" max="80" width="22.747488021850586" customWidth="1"/>
    <col min="81" max="81" width="18.547500610351562" customWidth="1"/>
    <col min="82" max="82" width="23.35041618347168" customWidth="1"/>
    <col min="83" max="83" width="26.81201171875" customWidth="1"/>
    <col min="84" max="84" width="17.526426315307617" customWidth="1"/>
    <col min="85" max="85" width="17.525135040283203" customWidth="1"/>
    <col min="86" max="86" width="21.61090087890625" customWidth="1"/>
    <col min="87" max="87" width="18.364858627319336" customWidth="1"/>
    <col min="88" max="88" width="17.443378448486328" customWidth="1"/>
    <col min="89" max="89" width="25.93669319152832" customWidth="1"/>
    <col min="90" max="90" width="29.738840103149414" customWidth="1"/>
    <col min="91" max="91" width="27.896997451782227" customWidth="1"/>
    <col min="92" max="92" width="27.305408477783203" customWidth="1"/>
    <col min="93" max="93" width="25.815277099609375" customWidth="1"/>
    <col min="94" max="94" width="22.589975357055664" customWidth="1"/>
    <col min="95" max="95" width="21.52958869934082" customWidth="1"/>
    <col min="96" max="96" width="38.554229736328125" customWidth="1"/>
    <col min="97" max="97" width="24.055721282958984" customWidth="1"/>
    <col min="98" max="98" width="26.41970443725586" customWidth="1"/>
    <col min="99" max="99" width="37.026145935058594" customWidth="1"/>
    <col min="100" max="100" width="38.72611618041992" customWidth="1"/>
  </cols>
  <sheetData>
    <row r="1">
      <c r="A1" s="1" t="s">
        <v>4663</v>
      </c>
      <c r="B1" s="1" t="s">
        <v>1</v>
      </c>
      <c r="C1" s="1" t="s">
        <v>1329</v>
      </c>
      <c r="D1" s="1" t="s">
        <v>1447</v>
      </c>
      <c r="E1" s="1" t="s">
        <v>4385</v>
      </c>
      <c r="F1" s="1" t="s">
        <v>4387</v>
      </c>
      <c r="G1" s="1" t="s">
        <v>4671</v>
      </c>
      <c r="H1" s="1" t="s">
        <v>4673</v>
      </c>
      <c r="I1" s="1" t="s">
        <v>1451</v>
      </c>
      <c r="J1" s="1" t="s">
        <v>4676</v>
      </c>
      <c r="K1" s="1" t="s">
        <v>4678</v>
      </c>
      <c r="L1" s="1" t="s">
        <v>4680</v>
      </c>
      <c r="M1" s="1" t="s">
        <v>4683</v>
      </c>
      <c r="N1" s="1" t="s">
        <v>4686</v>
      </c>
      <c r="O1" s="1" t="s">
        <v>4689</v>
      </c>
      <c r="P1" s="1" t="s">
        <v>4691</v>
      </c>
      <c r="Q1" s="1" t="s">
        <v>4694</v>
      </c>
      <c r="R1" s="1" t="s">
        <v>4697</v>
      </c>
      <c r="S1" s="1" t="s">
        <v>4700</v>
      </c>
      <c r="T1" s="1" t="s">
        <v>4703</v>
      </c>
      <c r="U1" s="1" t="s">
        <v>4706</v>
      </c>
      <c r="V1" s="1" t="s">
        <v>4709</v>
      </c>
      <c r="W1" s="1" t="s">
        <v>4712</v>
      </c>
      <c r="X1" s="1" t="s">
        <v>4715</v>
      </c>
      <c r="Y1" s="1" t="s">
        <v>4718</v>
      </c>
      <c r="Z1" s="1" t="s">
        <v>4721</v>
      </c>
      <c r="AA1" s="1" t="s">
        <v>4724</v>
      </c>
      <c r="AB1" s="1" t="s">
        <v>4727</v>
      </c>
      <c r="AC1" s="1" t="s">
        <v>4730</v>
      </c>
      <c r="AD1" s="1" t="s">
        <v>4733</v>
      </c>
      <c r="AE1" s="1" t="s">
        <v>4735</v>
      </c>
      <c r="AF1" s="1" t="s">
        <v>4737</v>
      </c>
      <c r="AG1" s="1" t="s">
        <v>4740</v>
      </c>
      <c r="AH1" s="1" t="s">
        <v>4743</v>
      </c>
      <c r="AI1" s="1" t="s">
        <v>4745</v>
      </c>
      <c r="AJ1" s="1" t="s">
        <v>4748</v>
      </c>
      <c r="AK1" s="1" t="s">
        <v>4751</v>
      </c>
      <c r="AL1" s="1" t="s">
        <v>4753</v>
      </c>
      <c r="AM1" s="1" t="s">
        <v>4755</v>
      </c>
      <c r="AN1" s="1" t="s">
        <v>4758</v>
      </c>
      <c r="AO1" s="1" t="s">
        <v>4761</v>
      </c>
      <c r="AP1" s="1" t="s">
        <v>4764</v>
      </c>
      <c r="AQ1" s="1" t="s">
        <v>4767</v>
      </c>
      <c r="AR1" s="1" t="s">
        <v>4770</v>
      </c>
      <c r="AS1" s="1" t="s">
        <v>4773</v>
      </c>
      <c r="AT1" s="1" t="s">
        <v>4776</v>
      </c>
      <c r="AU1" s="1" t="s">
        <v>4779</v>
      </c>
      <c r="AV1" s="1" t="s">
        <v>4782</v>
      </c>
      <c r="AW1" s="1" t="s">
        <v>4785</v>
      </c>
      <c r="AX1" s="1" t="s">
        <v>4788</v>
      </c>
      <c r="AY1" s="1" t="s">
        <v>4791</v>
      </c>
      <c r="AZ1" s="1" t="s">
        <v>4794</v>
      </c>
      <c r="BA1" s="1" t="s">
        <v>4797</v>
      </c>
      <c r="BB1" s="1" t="s">
        <v>4800</v>
      </c>
      <c r="BC1" s="1" t="s">
        <v>4803</v>
      </c>
      <c r="BD1" s="1" t="s">
        <v>4806</v>
      </c>
      <c r="BE1" s="1" t="s">
        <v>4809</v>
      </c>
      <c r="BF1" s="1" t="s">
        <v>4812</v>
      </c>
      <c r="BG1" s="1" t="s">
        <v>4815</v>
      </c>
      <c r="BH1" s="1" t="s">
        <v>4818</v>
      </c>
      <c r="BI1" s="1" t="s">
        <v>4821</v>
      </c>
      <c r="BJ1" s="1" t="s">
        <v>4823</v>
      </c>
      <c r="BK1" s="1" t="s">
        <v>4826</v>
      </c>
      <c r="BL1" s="1" t="s">
        <v>4829</v>
      </c>
      <c r="BM1" s="1" t="s">
        <v>4831</v>
      </c>
      <c r="BN1" s="1" t="s">
        <v>4834</v>
      </c>
      <c r="BO1" s="1" t="s">
        <v>4837</v>
      </c>
      <c r="BP1" s="1" t="s">
        <v>4840</v>
      </c>
      <c r="BQ1" s="1" t="s">
        <v>4843</v>
      </c>
      <c r="BR1" s="1" t="s">
        <v>4846</v>
      </c>
      <c r="BS1" s="1" t="s">
        <v>4849</v>
      </c>
      <c r="BT1" s="1" t="s">
        <v>4851</v>
      </c>
      <c r="BU1" s="1" t="s">
        <v>4853</v>
      </c>
      <c r="BV1" s="1" t="s">
        <v>4856</v>
      </c>
      <c r="BW1" s="1" t="s">
        <v>4859</v>
      </c>
      <c r="BX1" s="1" t="s">
        <v>4862</v>
      </c>
      <c r="BY1" s="1" t="s">
        <v>4865</v>
      </c>
      <c r="BZ1" s="1" t="s">
        <v>4868</v>
      </c>
      <c r="CA1" s="1" t="s">
        <v>4871</v>
      </c>
      <c r="CB1" s="1" t="s">
        <v>4873</v>
      </c>
      <c r="CC1" s="1" t="s">
        <v>258</v>
      </c>
      <c r="CD1" s="1" t="s">
        <v>92</v>
      </c>
      <c r="CE1" s="1" t="s">
        <v>4878</v>
      </c>
      <c r="CF1" s="1" t="s">
        <v>4881</v>
      </c>
      <c r="CG1" s="1" t="s">
        <v>4884</v>
      </c>
      <c r="CH1" s="1" t="s">
        <v>4887</v>
      </c>
      <c r="CI1" s="1" t="s">
        <v>4890</v>
      </c>
      <c r="CJ1" s="1" t="s">
        <v>4893</v>
      </c>
      <c r="CK1" s="1" t="s">
        <v>4896</v>
      </c>
      <c r="CL1" s="1" t="s">
        <v>4898</v>
      </c>
      <c r="CM1" s="1" t="s">
        <v>4901</v>
      </c>
      <c r="CN1" s="1" t="s">
        <v>4904</v>
      </c>
      <c r="CO1" s="1" t="s">
        <v>4907</v>
      </c>
      <c r="CP1" s="1" t="s">
        <v>4910</v>
      </c>
      <c r="CQ1" s="1" t="s">
        <v>4913</v>
      </c>
      <c r="CR1" s="1" t="s">
        <v>4916</v>
      </c>
      <c r="CS1" s="1" t="s">
        <v>4918</v>
      </c>
      <c r="CT1" s="1" t="s">
        <v>4921</v>
      </c>
      <c r="CU1" s="1" t="s">
        <v>4924</v>
      </c>
      <c r="CV1" s="1" t="s">
        <v>94</v>
      </c>
    </row>
    <row r="2">
      <c r="A2" s="2" t="s">
        <v>8253</v>
      </c>
      <c r="B2" s="3" t="str">
        <f>E2 &amp; " / " &amp; F2 &amp; " / intent"</f>
        <v>rec-001 / tmpl-policy-sms / intent</v>
      </c>
      <c r="C2" s="2" t="s">
        <v>1324</v>
      </c>
      <c r="D2" s="2" t="s">
        <v>1444</v>
      </c>
      <c r="E2" s="2" t="s">
        <v>8211</v>
      </c>
      <c r="F2" s="2" t="s">
        <v>1730</v>
      </c>
      <c r="G2" s="2" t="s">
        <v>8254</v>
      </c>
      <c r="H2" s="7">
        <v>14</v>
      </c>
      <c r="I2" s="4">
        <v>46221.794444444444</v>
      </c>
      <c r="J2" s="2" t="s">
        <v>8234</v>
      </c>
      <c r="K2" s="3" t="str">
        <f>_xlfn.IFNA(INDEX(MessageTemplates!C2:C999, MATCH(F2,MessageTemplates!A2:A999, 0)), "")</f>
        <v>comm-sms-policy</v>
      </c>
      <c r="L2" s="3" t="str">
        <f>_xlfn.IFNA(INDEX(CommunicationPolicies!D2:D999, MATCH(K2,CommunicationPolicies!A2:A999, 0)), "")</f>
        <v>SMS</v>
      </c>
      <c r="M2" s="3" t="b">
        <f>_xlfn.IFNA(INDEX(CommunicationPolicies!U2:U999, MATCH(K2,CommunicationPolicies!A2:A999, 0)), "")</f>
        <v>1</v>
      </c>
      <c r="N2" s="3" t="b">
        <f>_xlfn.IFNA(INDEX(CommunicationPolicies!F2:F999, MATCH(K2,CommunicationPolicies!A2:A999, 0)), "")</f>
        <v>1</v>
      </c>
      <c r="O2" s="3" t="b">
        <f>_xlfn.IFNA(INDEX(Recipients!J2:J999, MATCH(E2,Recipients!A2:A999, 0)), "")</f>
        <v>1</v>
      </c>
      <c r="P2" s="3" t="b">
        <f>OR(NOT(N2), O2)</f>
        <v>1</v>
      </c>
      <c r="Q2" s="3" t="b">
        <f>_xlfn.IFNA(INDEX(Recipients!L2:L999, MATCH(E2,Recipients!A2:A999, 0)), "")</f>
        <v>1</v>
      </c>
      <c r="R2" s="3" t="b">
        <f>_xlfn.IFNA(INDEX(Recipients!K2:K999, MATCH(E2,Recipients!A2:A999, 0)), "")</f>
        <v>1</v>
      </c>
      <c r="S2" s="3" t="b">
        <f>IF(L2 = "SMS", Q2, R2)</f>
        <v>1</v>
      </c>
      <c r="T2" s="3" t="b">
        <f>AND(M2, AND(P2, S2))</f>
        <v>1</v>
      </c>
      <c r="U2" s="5">
        <f>_xlfn.IFNA(INDEX(CommunicationPolicies!Q2:Q999, MATCH(K2,CommunicationPolicies!A2:A999, 0)), "")</f>
        <v>20</v>
      </c>
      <c r="V2" s="5">
        <f>_xlfn.IFNA(INDEX(CommunicationPolicies!R2:R999, MATCH(K2,CommunicationPolicies!A2:A999, 0)), "")</f>
        <v>8</v>
      </c>
      <c r="W2" s="3" t="b">
        <f>U2 &lt;&gt; V2</f>
        <v>1</v>
      </c>
      <c r="X2" s="3" t="b">
        <f>U2 &gt; V2</f>
        <v>1</v>
      </c>
      <c r="Y2" s="3" t="b">
        <f>IF(X2, OR(H2 &gt;= U2, H2 &lt; V2), AND(H2 &gt;= U2, H2 &lt; V2))</f>
        <v>0</v>
      </c>
      <c r="Z2" s="3" t="b">
        <f>OR(NOT(W2), NOT(Y2))</f>
        <v>1</v>
      </c>
      <c r="AA2" s="5">
        <f>IF(Z2, 0, IF(H2 &lt; V2, V2 - H2, 24 - H2 + V2))</f>
        <v>0</v>
      </c>
      <c r="AB2" s="5">
        <f>_xlfn.IFNA(INDEX(CommunicationPolicies!I2:I999, MATCH(K2,CommunicationPolicies!A2:A999, 0)), "")</f>
        <v>160</v>
      </c>
      <c r="AC2" s="5">
        <f>_xlfn.IFNA(INDEX(CommunicationPolicies!J2:J999, MATCH(K2,CommunicationPolicies!A2:A999, 0)), "")</f>
        <v>3</v>
      </c>
      <c r="AD2" s="7">
        <v>95</v>
      </c>
      <c r="AE2" s="7">
        <v>1</v>
      </c>
      <c r="AF2" s="3" t="b">
        <f>AND(AD2 &gt; 0, AE2 &lt;= AC2)</f>
        <v>1</v>
      </c>
      <c r="AG2" s="3" t="str">
        <f>_xlfn.IFNA(INDEX(CommunicationPolicies!T2:T999, MATCH(K2,CommunicationPolicies!A2:A999, 0)), "")</f>
        <v>Reply STOP to opt out</v>
      </c>
      <c r="AH2" s="7">
        <v>75</v>
      </c>
      <c r="AI2" s="3" t="b">
        <f>OR(AG2 = "", AND(AH2 &gt; 0, AH2 &lt;= AB2))</f>
        <v>1</v>
      </c>
      <c r="AJ2" s="3" t="b">
        <f>AND(AF2, AI2)</f>
        <v>1</v>
      </c>
      <c r="AK2" s="3" t="b">
        <f>_xlfn.IFNA(INDEX(MessageTemplates!T2:T999, MATCH(F2,MessageTemplates!A2:A999, 0)), "")</f>
        <v>1</v>
      </c>
      <c r="AL2" s="3" t="b">
        <f>_xlfn.IFNA(INDEX(ProcedureExecutions!AC2:AC999, MATCH(C2,ProcedureExecutions!A2:A999, 0)), "")</f>
        <v>1</v>
      </c>
      <c r="AM2" s="3" t="str">
        <f>_xlfn.IFNA(INDEX(CommunicationPolicies!L2:L999, MATCH(K2,CommunicationPolicies!A2:A999, 0)), "")</f>
        <v>communications-manager</v>
      </c>
      <c r="AN2" s="3" t="str">
        <f>_xlfn.IFNA(INDEX(Roles!F2:F999, MATCH(AM2,Roles!A2:A999, 0)), "")</f>
        <v>Human</v>
      </c>
      <c r="AO2" s="3" t="b">
        <f>AN2 = "Human"</f>
        <v>1</v>
      </c>
      <c r="AP2" s="3" t="b">
        <f>AND(AK2, AND(AL2, AO2))</f>
        <v>1</v>
      </c>
      <c r="AQ2" s="3" t="b">
        <f>AND(T2, AND(Z2, AND(AJ2, AP2)))</f>
        <v>1</v>
      </c>
      <c r="AR2" s="3" t="str">
        <f>IF(AQ2, "", IF(NOT(T2), "Permission", IF(NOT(Z2), "Timing", IF(NOT(AJ2), "Content", "Authorization"))))</f>
      </c>
      <c r="AS2" s="3" t="b">
        <f>J2 &lt;&gt; ""</f>
        <v>1</v>
      </c>
      <c r="AT2" s="3" t="b">
        <f>_xlfn.IFNA(INDEX(MessageDeliveries!S2:S999, MATCH(J2,MessageDeliveries!A2:A999, 0)), "")</f>
        <v>1</v>
      </c>
      <c r="AU2" s="3" t="b">
        <f>AND(NOT(AQ2), AND(AS2, AT2))</f>
        <v>0</v>
      </c>
      <c r="AV2" s="3" t="b">
        <f>AND(NOT(AQ2), NOT(AS2))</f>
        <v>0</v>
      </c>
      <c r="AW2" s="3">
        <f>_xlfn.IFNA(INDEX(MessageDeliveries!M2:M999, MATCH(J2,MessageDeliveries!A2:A999, 0)), "")</f>
        <v>0</v>
      </c>
      <c r="AX2" s="3" t="b">
        <f>AW2 &lt;&gt; ""</f>
        <v>1</v>
      </c>
      <c r="AY2" s="3" t="b">
        <f>AND(NOT(AQ2), AND(AS2, AND(NOT(AT2), AX2)))</f>
        <v>0</v>
      </c>
      <c r="AZ2" s="3" t="str">
        <f>IF(OR(AU2, AV2), C2, "")</f>
      </c>
      <c r="BA2" s="3" t="str">
        <f>C2</f>
        <v>exec-policy-hr4821</v>
      </c>
      <c r="BB2" s="3" t="str">
        <f>IF(AND(AS2, AT2), C2, "")</f>
        <v>exec-policy-hr4821</v>
      </c>
      <c r="BC2" s="3" t="str">
        <f>IF(AV2, C2, "")</f>
      </c>
      <c r="BD2" s="3" t="b">
        <f>AK2</f>
        <v>1</v>
      </c>
      <c r="BE2" s="3" t="b">
        <f>AND(BD2, NOT(AJ2))</f>
        <v>0</v>
      </c>
      <c r="BF2" s="3" t="b">
        <f>AND(NOT(AI2), AF2)</f>
        <v>0</v>
      </c>
      <c r="BG2" s="3" t="b">
        <f>AND(NOT(AQ2), OR(NOT(AJ2), NOT(Z2)))</f>
        <v>0</v>
      </c>
      <c r="BH2" s="3" t="b">
        <f>AND(NOT(AQ2), OR(NOT(T2), NOT(AP2)))</f>
        <v>0</v>
      </c>
      <c r="BI2" s="2"/>
      <c r="BJ2" s="3" t="e">
        <f>AND(BG2, NOT(BI2))</f>
        <v>#VALUE!</v>
      </c>
      <c r="BK2" s="3" t="e">
        <f>AND(BE2, NOT(BI2))</f>
        <v>#VALUE!</v>
      </c>
      <c r="BL2" s="2"/>
      <c r="BM2" s="3" t="b">
        <f>BL2 &lt;&gt; ""</f>
        <v>0</v>
      </c>
      <c r="BN2" s="3" t="str">
        <f>_xlfn.IFNA(INDEX(AQ2, MATCH(BL2,A2, 0)), "")</f>
      </c>
      <c r="BO2" s="3" t="b">
        <f>AND(NOT(AQ2), NOT(BM2))</f>
        <v>0</v>
      </c>
      <c r="BP2" s="3" t="b">
        <f>AND(AX2, AW2 &lt;&gt; "")</f>
        <v>1</v>
      </c>
      <c r="BQ2" s="3" t="b">
        <f>AND(BP2, AND(BM2, BN2))</f>
        <v>0</v>
      </c>
      <c r="BR2" s="3" t="b">
        <f>AND(BP2, NOT(BQ2))</f>
        <v>1</v>
      </c>
      <c r="BS2" s="4"/>
      <c r="BT2" s="2"/>
      <c r="BU2" s="3" t="b">
        <f>BS2 &lt;&gt; ""</f>
        <v>0</v>
      </c>
      <c r="BV2" s="3" t="b">
        <f>BT2 &lt;&gt; ""</f>
        <v>0</v>
      </c>
      <c r="BW2" s="3" t="b">
        <f>AND(AV2, AND(NOT(BU2), NOT(AX2)))</f>
        <v>0</v>
      </c>
      <c r="BX2" s="3" t="b">
        <f>AND(NOT(AQ2), NOT(BV2))</f>
        <v>0</v>
      </c>
      <c r="BY2" s="3" t="str">
        <f>IF(BW2, BT2, "")</f>
      </c>
      <c r="BZ2" s="3" t="str">
        <f>IF(BW2, C2, "")</f>
      </c>
      <c r="CA2" s="2"/>
      <c r="CB2" s="3" t="b">
        <f>AND(NOT(Z2), AND(T2, AJ2))</f>
        <v>0</v>
      </c>
      <c r="CC2" s="2" t="s">
        <v>95</v>
      </c>
      <c r="CD2" s="6">
        <f>_xlfn.IFNA(INDEX(EvaluationContexts!D2:D999, MATCH(CC2,EvaluationContexts!A2:A999, 0)), "")</f>
        <v>46222.75</v>
      </c>
      <c r="CE2" s="3" t="e">
        <f>AND(AA2 &gt; 0, DATETIME_DIFF(CD2, I2, "hours") &gt; AA2)</f>
        <v>#NAME?</v>
      </c>
      <c r="CF2" s="3" t="b">
        <f>CA2 &lt;&gt; ""</f>
        <v>0</v>
      </c>
      <c r="CG2" s="3" t="str">
        <f>_xlfn.IFNA(INDEX(AQ2, MATCH(CA2,A2, 0)), "")</f>
      </c>
      <c r="CH2" s="3" t="e">
        <f>AND(CB2, AND(CE2, NOT(CF2)))</f>
        <v>#NAME?</v>
      </c>
      <c r="CI2" s="5" t="e">
        <f>DATETIME_DIFF(CD2, I2, "hours")</f>
        <v>#NAME?</v>
      </c>
      <c r="CJ2" s="3" t="e">
        <f>AND(CB2, CI2 &gt; 24)</f>
        <v>#NAME?</v>
      </c>
      <c r="CK2" s="2"/>
      <c r="CL2" s="3" t="str">
        <f>_xlfn.IFNA(INDEX(RoleAssignments!BJ2:BJ999, MATCH(CK2,RoleAssignments!A2:A999, 0)), "")</f>
      </c>
      <c r="CM2" s="3" t="b">
        <f>CN2 &lt;&gt; ""</f>
        <v>1</v>
      </c>
      <c r="CN2" s="3" t="str">
        <f>_xlfn.IFNA(INDEX(Recipients!G2:G999, MATCH(E2,Recipients!A2:A999, 0)), "")</f>
        <v>Granted</v>
      </c>
      <c r="CO2" s="3" t="b">
        <f>K2 &lt;&gt; ""</f>
        <v>1</v>
      </c>
      <c r="CP2" s="3" t="b">
        <f>AND(CM2, CO2)</f>
        <v>1</v>
      </c>
      <c r="CQ2" s="3" t="b">
        <f>AND(NOT(AQ2), NOT(CP2))</f>
        <v>0</v>
      </c>
      <c r="CR2" s="2"/>
      <c r="CS2" s="3" t="e">
        <f>NOT(CR2)</f>
        <v>#VALUE!</v>
      </c>
      <c r="CT2" s="3" t="b">
        <f>AND(AS2, AT2)</f>
        <v>1</v>
      </c>
      <c r="CU2" s="3" t="str">
        <f>IF(CT2, C2, "")</f>
        <v>exec-policy-hr4821</v>
      </c>
      <c r="CV2" s="2" t="s">
        <v>8255</v>
      </c>
    </row>
    <row r="3">
      <c r="A3" s="2" t="s">
        <v>8256</v>
      </c>
      <c r="B3" s="3" t="str">
        <f>E3 &amp; " / " &amp; F3 &amp; " / intent"</f>
        <v>rec-003 / tmpl-policy-sms / intent</v>
      </c>
      <c r="C3" s="2" t="s">
        <v>1324</v>
      </c>
      <c r="D3" s="2" t="s">
        <v>1444</v>
      </c>
      <c r="E3" s="2" t="s">
        <v>8221</v>
      </c>
      <c r="F3" s="2" t="s">
        <v>1730</v>
      </c>
      <c r="G3" s="2" t="s">
        <v>8254</v>
      </c>
      <c r="H3" s="7">
        <v>14</v>
      </c>
      <c r="I3" s="4">
        <v>46221.794444444444</v>
      </c>
      <c r="J3" s="2"/>
      <c r="K3" s="3" t="str">
        <f>_xlfn.IFNA(INDEX(MessageTemplates!C2:C999, MATCH(F3,MessageTemplates!A2:A999, 0)), "")</f>
        <v>comm-sms-policy</v>
      </c>
      <c r="L3" s="3" t="str">
        <f>_xlfn.IFNA(INDEX(CommunicationPolicies!D2:D999, MATCH(K3,CommunicationPolicies!A2:A999, 0)), "")</f>
        <v>SMS</v>
      </c>
      <c r="M3" s="3" t="b">
        <f>_xlfn.IFNA(INDEX(CommunicationPolicies!U2:U999, MATCH(K3,CommunicationPolicies!A2:A999, 0)), "")</f>
        <v>1</v>
      </c>
      <c r="N3" s="3" t="b">
        <f>_xlfn.IFNA(INDEX(CommunicationPolicies!F2:F999, MATCH(K3,CommunicationPolicies!A2:A999, 0)), "")</f>
        <v>1</v>
      </c>
      <c r="O3" s="3" t="b">
        <f>_xlfn.IFNA(INDEX(Recipients!J2:J999, MATCH(E3,Recipients!A2:A999, 0)), "")</f>
        <v>1</v>
      </c>
      <c r="P3" s="3" t="b">
        <f>OR(NOT(N3), O3)</f>
        <v>1</v>
      </c>
      <c r="Q3" s="3" t="b">
        <f>_xlfn.IFNA(INDEX(Recipients!L2:L999, MATCH(E3,Recipients!A2:A999, 0)), "")</f>
        <v>1</v>
      </c>
      <c r="R3" s="3" t="b">
        <f>_xlfn.IFNA(INDEX(Recipients!K2:K999, MATCH(E3,Recipients!A2:A999, 0)), "")</f>
        <v>1</v>
      </c>
      <c r="S3" s="3" t="b">
        <f>IF(L3 = "SMS", Q3, R3)</f>
        <v>1</v>
      </c>
      <c r="T3" s="3" t="b">
        <f>AND(M3, AND(P3, S3))</f>
        <v>1</v>
      </c>
      <c r="U3" s="5">
        <f>_xlfn.IFNA(INDEX(CommunicationPolicies!Q2:Q999, MATCH(K3,CommunicationPolicies!A2:A999, 0)), "")</f>
        <v>20</v>
      </c>
      <c r="V3" s="5">
        <f>_xlfn.IFNA(INDEX(CommunicationPolicies!R2:R999, MATCH(K3,CommunicationPolicies!A2:A999, 0)), "")</f>
        <v>8</v>
      </c>
      <c r="W3" s="3" t="b">
        <f>U3 &lt;&gt; V3</f>
        <v>1</v>
      </c>
      <c r="X3" s="3" t="b">
        <f>U3 &gt; V3</f>
        <v>1</v>
      </c>
      <c r="Y3" s="3" t="b">
        <f>IF(X3, OR(H3 &gt;= U3, H3 &lt; V3), AND(H3 &gt;= U3, H3 &lt; V3))</f>
        <v>0</v>
      </c>
      <c r="Z3" s="3" t="b">
        <f>OR(NOT(W3), NOT(Y3))</f>
        <v>1</v>
      </c>
      <c r="AA3" s="5">
        <f>IF(Z3, 0, IF(H3 &lt; V3, V3 - H3, 24 - H3 + V3))</f>
        <v>0</v>
      </c>
      <c r="AB3" s="5">
        <f>_xlfn.IFNA(INDEX(CommunicationPolicies!I2:I999, MATCH(K3,CommunicationPolicies!A2:A999, 0)), "")</f>
        <v>160</v>
      </c>
      <c r="AC3" s="5">
        <f>_xlfn.IFNA(INDEX(CommunicationPolicies!J2:J999, MATCH(K3,CommunicationPolicies!A2:A999, 0)), "")</f>
        <v>3</v>
      </c>
      <c r="AD3" s="7">
        <v>95</v>
      </c>
      <c r="AE3" s="7">
        <v>1</v>
      </c>
      <c r="AF3" s="3" t="b">
        <f>AND(AD3 &gt; 0, AE3 &lt;= AC3)</f>
        <v>1</v>
      </c>
      <c r="AG3" s="3" t="str">
        <f>_xlfn.IFNA(INDEX(CommunicationPolicies!T2:T999, MATCH(K3,CommunicationPolicies!A2:A999, 0)), "")</f>
        <v>Reply STOP to opt out</v>
      </c>
      <c r="AH3" s="7">
        <v>75</v>
      </c>
      <c r="AI3" s="3" t="b">
        <f>OR(AG3 = "", AND(AH3 &gt; 0, AH3 &lt;= AB3))</f>
        <v>1</v>
      </c>
      <c r="AJ3" s="3" t="b">
        <f>AND(AF3, AI3)</f>
        <v>1</v>
      </c>
      <c r="AK3" s="3" t="b">
        <f>_xlfn.IFNA(INDEX(MessageTemplates!T2:T999, MATCH(F3,MessageTemplates!A2:A999, 0)), "")</f>
        <v>1</v>
      </c>
      <c r="AL3" s="3" t="b">
        <f>_xlfn.IFNA(INDEX(ProcedureExecutions!AC2:AC999, MATCH(C3,ProcedureExecutions!A2:A999, 0)), "")</f>
        <v>1</v>
      </c>
      <c r="AM3" s="3" t="str">
        <f>_xlfn.IFNA(INDEX(CommunicationPolicies!L2:L999, MATCH(K3,CommunicationPolicies!A2:A999, 0)), "")</f>
        <v>communications-manager</v>
      </c>
      <c r="AN3" s="3" t="str">
        <f>_xlfn.IFNA(INDEX(Roles!F2:F999, MATCH(AM3,Roles!A2:A999, 0)), "")</f>
        <v>Human</v>
      </c>
      <c r="AO3" s="3" t="b">
        <f>AN3 = "Human"</f>
        <v>1</v>
      </c>
      <c r="AP3" s="3" t="b">
        <f>AND(AK3, AND(AL3, AO3))</f>
        <v>1</v>
      </c>
      <c r="AQ3" s="3" t="b">
        <f>AND(T3, AND(Z3, AND(AJ3, AP3)))</f>
        <v>1</v>
      </c>
      <c r="AR3" s="3" t="str">
        <f>IF(AQ3, "", IF(NOT(T3), "Permission", IF(NOT(Z3), "Timing", IF(NOT(AJ3), "Content", "Authorization"))))</f>
      </c>
      <c r="AS3" s="3" t="b">
        <f>J3 &lt;&gt; ""</f>
        <v>0</v>
      </c>
      <c r="AT3" s="3" t="str">
        <f>_xlfn.IFNA(INDEX(MessageDeliveries!S2:S999, MATCH(J3,MessageDeliveries!A2:A999, 0)), "")</f>
      </c>
      <c r="AU3" s="3" t="b">
        <f>AND(NOT(AQ3), AND(AS3, AT3))</f>
        <v>0</v>
      </c>
      <c r="AV3" s="3" t="b">
        <f>AND(NOT(AQ3), NOT(AS3))</f>
        <v>0</v>
      </c>
      <c r="AW3" s="3" t="str">
        <f>_xlfn.IFNA(INDEX(MessageDeliveries!M2:M999, MATCH(J3,MessageDeliveries!A2:A999, 0)), "")</f>
      </c>
      <c r="AX3" s="3" t="b">
        <f>AW3 &lt;&gt; ""</f>
        <v>0</v>
      </c>
      <c r="AY3" s="3" t="e">
        <f>AND(NOT(AQ3), AND(AS3, AND(NOT(AT3), AX3)))</f>
        <v>#VALUE!</v>
      </c>
      <c r="AZ3" s="3" t="str">
        <f>IF(OR(AU3, AV3), C3, "")</f>
      </c>
      <c r="BA3" s="3" t="str">
        <f>C3</f>
        <v>exec-policy-hr4821</v>
      </c>
      <c r="BB3" s="3" t="str">
        <f>IF(AND(AS3, AT3), C3, "")</f>
      </c>
      <c r="BC3" s="3" t="str">
        <f>IF(AV3, C3, "")</f>
      </c>
      <c r="BD3" s="3" t="b">
        <f>AK3</f>
        <v>1</v>
      </c>
      <c r="BE3" s="3" t="b">
        <f>AND(BD3, NOT(AJ3))</f>
        <v>0</v>
      </c>
      <c r="BF3" s="3" t="b">
        <f>AND(NOT(AI3), AF3)</f>
        <v>0</v>
      </c>
      <c r="BG3" s="3" t="b">
        <f>AND(NOT(AQ3), OR(NOT(AJ3), NOT(Z3)))</f>
        <v>0</v>
      </c>
      <c r="BH3" s="3" t="b">
        <f>AND(NOT(AQ3), OR(NOT(T3), NOT(AP3)))</f>
        <v>0</v>
      </c>
      <c r="BI3" s="2"/>
      <c r="BJ3" s="3" t="e">
        <f>AND(BG3, NOT(BI3))</f>
        <v>#VALUE!</v>
      </c>
      <c r="BK3" s="3" t="e">
        <f>AND(BE3, NOT(BI3))</f>
        <v>#VALUE!</v>
      </c>
      <c r="BL3" s="2"/>
      <c r="BM3" s="3" t="b">
        <f>BL3 &lt;&gt; ""</f>
        <v>0</v>
      </c>
      <c r="BN3" s="3" t="str">
        <f>_xlfn.IFNA(INDEX(AQ3, MATCH(BL3,A3, 0)), "")</f>
      </c>
      <c r="BO3" s="3" t="b">
        <f>AND(NOT(AQ3), NOT(BM3))</f>
        <v>0</v>
      </c>
      <c r="BP3" s="3" t="b">
        <f>AND(AX3, AW3 &lt;&gt; "")</f>
        <v>0</v>
      </c>
      <c r="BQ3" s="3" t="b">
        <f>AND(BP3, AND(BM3, BN3))</f>
        <v>0</v>
      </c>
      <c r="BR3" s="3" t="b">
        <f>AND(BP3, NOT(BQ3))</f>
        <v>0</v>
      </c>
      <c r="BS3" s="4"/>
      <c r="BT3" s="2"/>
      <c r="BU3" s="3" t="b">
        <f>BS3 &lt;&gt; ""</f>
        <v>0</v>
      </c>
      <c r="BV3" s="3" t="b">
        <f>BT3 &lt;&gt; ""</f>
        <v>0</v>
      </c>
      <c r="BW3" s="3" t="b">
        <f>AND(AV3, AND(NOT(BU3), NOT(AX3)))</f>
        <v>0</v>
      </c>
      <c r="BX3" s="3" t="b">
        <f>AND(NOT(AQ3), NOT(BV3))</f>
        <v>0</v>
      </c>
      <c r="BY3" s="3" t="str">
        <f>IF(BW3, BT3, "")</f>
      </c>
      <c r="BZ3" s="3" t="str">
        <f>IF(BW3, C3, "")</f>
      </c>
      <c r="CA3" s="2"/>
      <c r="CB3" s="3" t="b">
        <f>AND(NOT(Z3), AND(T3, AJ3))</f>
        <v>0</v>
      </c>
      <c r="CC3" s="2" t="s">
        <v>95</v>
      </c>
      <c r="CD3" s="6">
        <f>_xlfn.IFNA(INDEX(EvaluationContexts!D2:D999, MATCH(CC3,EvaluationContexts!A2:A999, 0)), "")</f>
        <v>46222.75</v>
      </c>
      <c r="CE3" s="3" t="e">
        <f>AND(AA3 &gt; 0, DATETIME_DIFF(CD3, I3, "hours") &gt; AA3)</f>
        <v>#NAME?</v>
      </c>
      <c r="CF3" s="3" t="b">
        <f>CA3 &lt;&gt; ""</f>
        <v>0</v>
      </c>
      <c r="CG3" s="3" t="str">
        <f>_xlfn.IFNA(INDEX(AQ3, MATCH(CA3,A3, 0)), "")</f>
      </c>
      <c r="CH3" s="3" t="e">
        <f>AND(CB3, AND(CE3, NOT(CF3)))</f>
        <v>#NAME?</v>
      </c>
      <c r="CI3" s="5" t="e">
        <f>DATETIME_DIFF(CD3, I3, "hours")</f>
        <v>#NAME?</v>
      </c>
      <c r="CJ3" s="3" t="e">
        <f>AND(CB3, CI3 &gt; 24)</f>
        <v>#NAME?</v>
      </c>
      <c r="CK3" s="2"/>
      <c r="CL3" s="3" t="str">
        <f>_xlfn.IFNA(INDEX(RoleAssignments!BJ2:BJ999, MATCH(CK3,RoleAssignments!A2:A999, 0)), "")</f>
      </c>
      <c r="CM3" s="3" t="b">
        <f>CN3 &lt;&gt; ""</f>
        <v>1</v>
      </c>
      <c r="CN3" s="3" t="str">
        <f>_xlfn.IFNA(INDEX(Recipients!G2:G999, MATCH(E3,Recipients!A2:A999, 0)), "")</f>
        <v>Granted</v>
      </c>
      <c r="CO3" s="3" t="b">
        <f>K3 &lt;&gt; ""</f>
        <v>1</v>
      </c>
      <c r="CP3" s="3" t="b">
        <f>AND(CM3, CO3)</f>
        <v>1</v>
      </c>
      <c r="CQ3" s="3" t="b">
        <f>AND(NOT(AQ3), NOT(CP3))</f>
        <v>0</v>
      </c>
      <c r="CR3" s="2"/>
      <c r="CS3" s="3" t="e">
        <f>NOT(CR3)</f>
        <v>#VALUE!</v>
      </c>
      <c r="CT3" s="3" t="b">
        <f>AND(AS3, AT3)</f>
        <v>0</v>
      </c>
      <c r="CU3" s="3" t="str">
        <f>IF(CT3, C3, "")</f>
      </c>
      <c r="CV3" s="2" t="s">
        <v>8255</v>
      </c>
    </row>
    <row r="4">
      <c r="A4" s="2" t="s">
        <v>8257</v>
      </c>
      <c r="B4" s="3" t="str">
        <f>E4 &amp; " / " &amp; F4 &amp; " / intent"</f>
        <v>rec-001 / tmpl-policy-sms / intent</v>
      </c>
      <c r="C4" s="2" t="s">
        <v>1324</v>
      </c>
      <c r="D4" s="2" t="s">
        <v>1444</v>
      </c>
      <c r="E4" s="2" t="s">
        <v>8211</v>
      </c>
      <c r="F4" s="2" t="s">
        <v>1730</v>
      </c>
      <c r="G4" s="2" t="s">
        <v>8254</v>
      </c>
      <c r="H4" s="7">
        <v>21</v>
      </c>
      <c r="I4" s="4">
        <v>46221.794444444444</v>
      </c>
      <c r="J4" s="2"/>
      <c r="K4" s="3" t="str">
        <f>_xlfn.IFNA(INDEX(MessageTemplates!C2:C999, MATCH(F4,MessageTemplates!A2:A999, 0)), "")</f>
        <v>comm-sms-policy</v>
      </c>
      <c r="L4" s="3" t="str">
        <f>_xlfn.IFNA(INDEX(CommunicationPolicies!D2:D999, MATCH(K4,CommunicationPolicies!A2:A999, 0)), "")</f>
        <v>SMS</v>
      </c>
      <c r="M4" s="3" t="b">
        <f>_xlfn.IFNA(INDEX(CommunicationPolicies!U2:U999, MATCH(K4,CommunicationPolicies!A2:A999, 0)), "")</f>
        <v>1</v>
      </c>
      <c r="N4" s="3" t="b">
        <f>_xlfn.IFNA(INDEX(CommunicationPolicies!F2:F999, MATCH(K4,CommunicationPolicies!A2:A999, 0)), "")</f>
        <v>1</v>
      </c>
      <c r="O4" s="3" t="b">
        <f>_xlfn.IFNA(INDEX(Recipients!J2:J999, MATCH(E4,Recipients!A2:A999, 0)), "")</f>
        <v>1</v>
      </c>
      <c r="P4" s="3" t="b">
        <f>OR(NOT(N4), O4)</f>
        <v>1</v>
      </c>
      <c r="Q4" s="3" t="b">
        <f>_xlfn.IFNA(INDEX(Recipients!L2:L999, MATCH(E4,Recipients!A2:A999, 0)), "")</f>
        <v>1</v>
      </c>
      <c r="R4" s="3" t="b">
        <f>_xlfn.IFNA(INDEX(Recipients!K2:K999, MATCH(E4,Recipients!A2:A999, 0)), "")</f>
        <v>1</v>
      </c>
      <c r="S4" s="3" t="b">
        <f>IF(L4 = "SMS", Q4, R4)</f>
        <v>1</v>
      </c>
      <c r="T4" s="3" t="b">
        <f>AND(M4, AND(P4, S4))</f>
        <v>1</v>
      </c>
      <c r="U4" s="5">
        <f>_xlfn.IFNA(INDEX(CommunicationPolicies!Q2:Q999, MATCH(K4,CommunicationPolicies!A2:A999, 0)), "")</f>
        <v>20</v>
      </c>
      <c r="V4" s="5">
        <f>_xlfn.IFNA(INDEX(CommunicationPolicies!R2:R999, MATCH(K4,CommunicationPolicies!A2:A999, 0)), "")</f>
        <v>8</v>
      </c>
      <c r="W4" s="3" t="b">
        <f>U4 &lt;&gt; V4</f>
        <v>1</v>
      </c>
      <c r="X4" s="3" t="b">
        <f>U4 &gt; V4</f>
        <v>1</v>
      </c>
      <c r="Y4" s="3" t="b">
        <f>IF(X4, OR(H4 &gt;= U4, H4 &lt; V4), AND(H4 &gt;= U4, H4 &lt; V4))</f>
        <v>1</v>
      </c>
      <c r="Z4" s="3" t="b">
        <f>OR(NOT(W4), NOT(Y4))</f>
        <v>0</v>
      </c>
      <c r="AA4" s="5">
        <f>IF(Z4, 0, IF(H4 &lt; V4, V4 - H4, 24 - H4 + V4))</f>
        <v>11</v>
      </c>
      <c r="AB4" s="5">
        <f>_xlfn.IFNA(INDEX(CommunicationPolicies!I2:I999, MATCH(K4,CommunicationPolicies!A2:A999, 0)), "")</f>
        <v>160</v>
      </c>
      <c r="AC4" s="5">
        <f>_xlfn.IFNA(INDEX(CommunicationPolicies!J2:J999, MATCH(K4,CommunicationPolicies!A2:A999, 0)), "")</f>
        <v>3</v>
      </c>
      <c r="AD4" s="7">
        <v>95</v>
      </c>
      <c r="AE4" s="7">
        <v>1</v>
      </c>
      <c r="AF4" s="3" t="b">
        <f>AND(AD4 &gt; 0, AE4 &lt;= AC4)</f>
        <v>1</v>
      </c>
      <c r="AG4" s="3" t="str">
        <f>_xlfn.IFNA(INDEX(CommunicationPolicies!T2:T999, MATCH(K4,CommunicationPolicies!A2:A999, 0)), "")</f>
        <v>Reply STOP to opt out</v>
      </c>
      <c r="AH4" s="7">
        <v>75</v>
      </c>
      <c r="AI4" s="3" t="b">
        <f>OR(AG4 = "", AND(AH4 &gt; 0, AH4 &lt;= AB4))</f>
        <v>1</v>
      </c>
      <c r="AJ4" s="3" t="b">
        <f>AND(AF4, AI4)</f>
        <v>1</v>
      </c>
      <c r="AK4" s="3" t="b">
        <f>_xlfn.IFNA(INDEX(MessageTemplates!T2:T999, MATCH(F4,MessageTemplates!A2:A999, 0)), "")</f>
        <v>1</v>
      </c>
      <c r="AL4" s="3" t="b">
        <f>_xlfn.IFNA(INDEX(ProcedureExecutions!AC2:AC999, MATCH(C4,ProcedureExecutions!A2:A999, 0)), "")</f>
        <v>1</v>
      </c>
      <c r="AM4" s="3" t="str">
        <f>_xlfn.IFNA(INDEX(CommunicationPolicies!L2:L999, MATCH(K4,CommunicationPolicies!A2:A999, 0)), "")</f>
        <v>communications-manager</v>
      </c>
      <c r="AN4" s="3" t="str">
        <f>_xlfn.IFNA(INDEX(Roles!F2:F999, MATCH(AM4,Roles!A2:A999, 0)), "")</f>
        <v>Human</v>
      </c>
      <c r="AO4" s="3" t="b">
        <f>AN4 = "Human"</f>
        <v>1</v>
      </c>
      <c r="AP4" s="3" t="b">
        <f>AND(AK4, AND(AL4, AO4))</f>
        <v>1</v>
      </c>
      <c r="AQ4" s="3" t="b">
        <f>AND(T4, AND(Z4, AND(AJ4, AP4)))</f>
        <v>0</v>
      </c>
      <c r="AR4" s="3" t="str">
        <f>IF(AQ4, "", IF(NOT(T4), "Permission", IF(NOT(Z4), "Timing", IF(NOT(AJ4), "Content", "Authorization"))))</f>
        <v>Timing</v>
      </c>
      <c r="AS4" s="3" t="b">
        <f>J4 &lt;&gt; ""</f>
        <v>0</v>
      </c>
      <c r="AT4" s="3" t="str">
        <f>_xlfn.IFNA(INDEX(MessageDeliveries!S2:S999, MATCH(J4,MessageDeliveries!A2:A999, 0)), "")</f>
      </c>
      <c r="AU4" s="3" t="b">
        <f>AND(NOT(AQ4), AND(AS4, AT4))</f>
        <v>0</v>
      </c>
      <c r="AV4" s="3" t="b">
        <f>AND(NOT(AQ4), NOT(AS4))</f>
        <v>1</v>
      </c>
      <c r="AW4" s="3" t="str">
        <f>_xlfn.IFNA(INDEX(MessageDeliveries!M2:M999, MATCH(J4,MessageDeliveries!A2:A999, 0)), "")</f>
      </c>
      <c r="AX4" s="3" t="b">
        <f>AW4 &lt;&gt; ""</f>
        <v>0</v>
      </c>
      <c r="AY4" s="3" t="e">
        <f>AND(NOT(AQ4), AND(AS4, AND(NOT(AT4), AX4)))</f>
        <v>#VALUE!</v>
      </c>
      <c r="AZ4" s="3" t="str">
        <f>IF(OR(AU4, AV4), C4, "")</f>
        <v>exec-policy-hr4821</v>
      </c>
      <c r="BA4" s="3" t="str">
        <f>C4</f>
        <v>exec-policy-hr4821</v>
      </c>
      <c r="BB4" s="3" t="str">
        <f>IF(AND(AS4, AT4), C4, "")</f>
      </c>
      <c r="BC4" s="3" t="str">
        <f>IF(AV4, C4, "")</f>
        <v>exec-policy-hr4821</v>
      </c>
      <c r="BD4" s="3" t="b">
        <f>AK4</f>
        <v>1</v>
      </c>
      <c r="BE4" s="3" t="b">
        <f>AND(BD4, NOT(AJ4))</f>
        <v>0</v>
      </c>
      <c r="BF4" s="3" t="b">
        <f>AND(NOT(AI4), AF4)</f>
        <v>0</v>
      </c>
      <c r="BG4" s="3" t="b">
        <f>AND(NOT(AQ4), OR(NOT(AJ4), NOT(Z4)))</f>
        <v>1</v>
      </c>
      <c r="BH4" s="3" t="b">
        <f>AND(NOT(AQ4), OR(NOT(T4), NOT(AP4)))</f>
        <v>0</v>
      </c>
      <c r="BI4" s="2"/>
      <c r="BJ4" s="3" t="e">
        <f>AND(BG4, NOT(BI4))</f>
        <v>#VALUE!</v>
      </c>
      <c r="BK4" s="3" t="e">
        <f>AND(BE4, NOT(BI4))</f>
        <v>#VALUE!</v>
      </c>
      <c r="BL4" s="2"/>
      <c r="BM4" s="3" t="b">
        <f>BL4 &lt;&gt; ""</f>
        <v>0</v>
      </c>
      <c r="BN4" s="3" t="str">
        <f>_xlfn.IFNA(INDEX(AQ4, MATCH(BL4,A4, 0)), "")</f>
      </c>
      <c r="BO4" s="3" t="b">
        <f>AND(NOT(AQ4), NOT(BM4))</f>
        <v>1</v>
      </c>
      <c r="BP4" s="3" t="b">
        <f>AND(AX4, AW4 &lt;&gt; "")</f>
        <v>0</v>
      </c>
      <c r="BQ4" s="3" t="b">
        <f>AND(BP4, AND(BM4, BN4))</f>
        <v>0</v>
      </c>
      <c r="BR4" s="3" t="b">
        <f>AND(BP4, NOT(BQ4))</f>
        <v>0</v>
      </c>
      <c r="BS4" s="4"/>
      <c r="BT4" s="2"/>
      <c r="BU4" s="3" t="b">
        <f>BS4 &lt;&gt; ""</f>
        <v>0</v>
      </c>
      <c r="BV4" s="3" t="b">
        <f>BT4 &lt;&gt; ""</f>
        <v>0</v>
      </c>
      <c r="BW4" s="3" t="b">
        <f>AND(AV4, AND(NOT(BU4), NOT(AX4)))</f>
        <v>1</v>
      </c>
      <c r="BX4" s="3" t="b">
        <f>AND(NOT(AQ4), NOT(BV4))</f>
        <v>1</v>
      </c>
      <c r="BY4" s="3">
        <f>IF(BW4, BT4, "")</f>
        <v>0</v>
      </c>
      <c r="BZ4" s="3" t="str">
        <f>IF(BW4, C4, "")</f>
        <v>exec-policy-hr4821</v>
      </c>
      <c r="CA4" s="2"/>
      <c r="CB4" s="3" t="b">
        <f>AND(NOT(Z4), AND(T4, AJ4))</f>
        <v>1</v>
      </c>
      <c r="CC4" s="2" t="s">
        <v>95</v>
      </c>
      <c r="CD4" s="6">
        <f>_xlfn.IFNA(INDEX(EvaluationContexts!D2:D999, MATCH(CC4,EvaluationContexts!A2:A999, 0)), "")</f>
        <v>46222.75</v>
      </c>
      <c r="CE4" s="3" t="e">
        <f>AND(AA4 &gt; 0, DATETIME_DIFF(CD4, I4, "hours") &gt; AA4)</f>
        <v>#NAME?</v>
      </c>
      <c r="CF4" s="3" t="b">
        <f>CA4 &lt;&gt; ""</f>
        <v>0</v>
      </c>
      <c r="CG4" s="3" t="str">
        <f>_xlfn.IFNA(INDEX(AQ4, MATCH(CA4,A4, 0)), "")</f>
      </c>
      <c r="CH4" s="3" t="e">
        <f>AND(CB4, AND(CE4, NOT(CF4)))</f>
        <v>#NAME?</v>
      </c>
      <c r="CI4" s="5" t="e">
        <f>DATETIME_DIFF(CD4, I4, "hours")</f>
        <v>#NAME?</v>
      </c>
      <c r="CJ4" s="3" t="e">
        <f>AND(CB4, CI4 &gt; 24)</f>
        <v>#NAME?</v>
      </c>
      <c r="CK4" s="2"/>
      <c r="CL4" s="3" t="str">
        <f>_xlfn.IFNA(INDEX(RoleAssignments!BJ2:BJ999, MATCH(CK4,RoleAssignments!A2:A999, 0)), "")</f>
      </c>
      <c r="CM4" s="3" t="b">
        <f>CN4 &lt;&gt; ""</f>
        <v>1</v>
      </c>
      <c r="CN4" s="3" t="str">
        <f>_xlfn.IFNA(INDEX(Recipients!G2:G999, MATCH(E4,Recipients!A2:A999, 0)), "")</f>
        <v>Granted</v>
      </c>
      <c r="CO4" s="3" t="b">
        <f>K4 &lt;&gt; ""</f>
        <v>1</v>
      </c>
      <c r="CP4" s="3" t="b">
        <f>AND(CM4, CO4)</f>
        <v>1</v>
      </c>
      <c r="CQ4" s="3" t="b">
        <f>AND(NOT(AQ4), NOT(CP4))</f>
        <v>0</v>
      </c>
      <c r="CR4" s="2"/>
      <c r="CS4" s="3" t="e">
        <f>NOT(CR4)</f>
        <v>#VALUE!</v>
      </c>
      <c r="CT4" s="3" t="b">
        <f>AND(AS4, AT4)</f>
        <v>0</v>
      </c>
      <c r="CU4" s="3" t="str">
        <f>IF(CT4, C4, "")</f>
      </c>
      <c r="CV4" s="2" t="s">
        <v>8255</v>
      </c>
    </row>
    <row r="5">
      <c r="A5" s="2" t="s">
        <v>8258</v>
      </c>
      <c r="B5" s="3" t="str">
        <f>E5 &amp; " / " &amp; F5 &amp; " / intent"</f>
        <v>rec-002 / tmpl-policy-sms / intent</v>
      </c>
      <c r="C5" s="2" t="s">
        <v>1324</v>
      </c>
      <c r="D5" s="2" t="s">
        <v>1444</v>
      </c>
      <c r="E5" s="2" t="s">
        <v>8217</v>
      </c>
      <c r="F5" s="2" t="s">
        <v>1730</v>
      </c>
      <c r="G5" s="2" t="s">
        <v>8259</v>
      </c>
      <c r="H5" s="7">
        <v>14</v>
      </c>
      <c r="I5" s="4">
        <v>46221.794444444444</v>
      </c>
      <c r="J5" s="2"/>
      <c r="K5" s="3" t="str">
        <f>_xlfn.IFNA(INDEX(MessageTemplates!C2:C999, MATCH(F5,MessageTemplates!A2:A999, 0)), "")</f>
        <v>comm-sms-policy</v>
      </c>
      <c r="L5" s="3" t="str">
        <f>_xlfn.IFNA(INDEX(CommunicationPolicies!D2:D999, MATCH(K5,CommunicationPolicies!A2:A999, 0)), "")</f>
        <v>SMS</v>
      </c>
      <c r="M5" s="3" t="b">
        <f>_xlfn.IFNA(INDEX(CommunicationPolicies!U2:U999, MATCH(K5,CommunicationPolicies!A2:A999, 0)), "")</f>
        <v>1</v>
      </c>
      <c r="N5" s="3" t="b">
        <f>_xlfn.IFNA(INDEX(CommunicationPolicies!F2:F999, MATCH(K5,CommunicationPolicies!A2:A999, 0)), "")</f>
        <v>1</v>
      </c>
      <c r="O5" s="3" t="b">
        <f>_xlfn.IFNA(INDEX(Recipients!J2:J999, MATCH(E5,Recipients!A2:A999, 0)), "")</f>
        <v>1</v>
      </c>
      <c r="P5" s="3" t="b">
        <f>OR(NOT(N5), O5)</f>
        <v>1</v>
      </c>
      <c r="Q5" s="3" t="b">
        <f>_xlfn.IFNA(INDEX(Recipients!L2:L999, MATCH(E5,Recipients!A2:A999, 0)), "")</f>
        <v>1</v>
      </c>
      <c r="R5" s="3" t="b">
        <f>_xlfn.IFNA(INDEX(Recipients!K2:K999, MATCH(E5,Recipients!A2:A999, 0)), "")</f>
        <v>1</v>
      </c>
      <c r="S5" s="3" t="b">
        <f>IF(L5 = "SMS", Q5, R5)</f>
        <v>1</v>
      </c>
      <c r="T5" s="3" t="b">
        <f>AND(M5, AND(P5, S5))</f>
        <v>1</v>
      </c>
      <c r="U5" s="5">
        <f>_xlfn.IFNA(INDEX(CommunicationPolicies!Q2:Q999, MATCH(K5,CommunicationPolicies!A2:A999, 0)), "")</f>
        <v>20</v>
      </c>
      <c r="V5" s="5">
        <f>_xlfn.IFNA(INDEX(CommunicationPolicies!R2:R999, MATCH(K5,CommunicationPolicies!A2:A999, 0)), "")</f>
        <v>8</v>
      </c>
      <c r="W5" s="3" t="b">
        <f>U5 &lt;&gt; V5</f>
        <v>1</v>
      </c>
      <c r="X5" s="3" t="b">
        <f>U5 &gt; V5</f>
        <v>1</v>
      </c>
      <c r="Y5" s="3" t="b">
        <f>IF(X5, OR(H5 &gt;= U5, H5 &lt; V5), AND(H5 &gt;= U5, H5 &lt; V5))</f>
        <v>0</v>
      </c>
      <c r="Z5" s="3" t="b">
        <f>OR(NOT(W5), NOT(Y5))</f>
        <v>1</v>
      </c>
      <c r="AA5" s="5">
        <f>IF(Z5, 0, IF(H5 &lt; V5, V5 - H5, 24 - H5 + V5))</f>
        <v>0</v>
      </c>
      <c r="AB5" s="5">
        <f>_xlfn.IFNA(INDEX(CommunicationPolicies!I2:I999, MATCH(K5,CommunicationPolicies!A2:A999, 0)), "")</f>
        <v>160</v>
      </c>
      <c r="AC5" s="5">
        <f>_xlfn.IFNA(INDEX(CommunicationPolicies!J2:J999, MATCH(K5,CommunicationPolicies!A2:A999, 0)), "")</f>
        <v>3</v>
      </c>
      <c r="AD5" s="7">
        <v>243</v>
      </c>
      <c r="AE5" s="7">
        <v>2</v>
      </c>
      <c r="AF5" s="3" t="b">
        <f>AND(AD5 &gt; 0, AE5 &lt;= AC5)</f>
        <v>1</v>
      </c>
      <c r="AG5" s="3" t="str">
        <f>_xlfn.IFNA(INDEX(CommunicationPolicies!T2:T999, MATCH(K5,CommunicationPolicies!A2:A999, 0)), "")</f>
        <v>Reply STOP to opt out</v>
      </c>
      <c r="AH5" s="7">
        <v>223</v>
      </c>
      <c r="AI5" s="3" t="b">
        <f>OR(AG5 = "", AND(AH5 &gt; 0, AH5 &lt;= AB5))</f>
        <v>0</v>
      </c>
      <c r="AJ5" s="3" t="b">
        <f>AND(AF5, AI5)</f>
        <v>0</v>
      </c>
      <c r="AK5" s="3" t="b">
        <f>_xlfn.IFNA(INDEX(MessageTemplates!T2:T999, MATCH(F5,MessageTemplates!A2:A999, 0)), "")</f>
        <v>1</v>
      </c>
      <c r="AL5" s="3" t="b">
        <f>_xlfn.IFNA(INDEX(ProcedureExecutions!AC2:AC999, MATCH(C5,ProcedureExecutions!A2:A999, 0)), "")</f>
        <v>1</v>
      </c>
      <c r="AM5" s="3" t="str">
        <f>_xlfn.IFNA(INDEX(CommunicationPolicies!L2:L999, MATCH(K5,CommunicationPolicies!A2:A999, 0)), "")</f>
        <v>communications-manager</v>
      </c>
      <c r="AN5" s="3" t="str">
        <f>_xlfn.IFNA(INDEX(Roles!F2:F999, MATCH(AM5,Roles!A2:A999, 0)), "")</f>
        <v>Human</v>
      </c>
      <c r="AO5" s="3" t="b">
        <f>AN5 = "Human"</f>
        <v>1</v>
      </c>
      <c r="AP5" s="3" t="b">
        <f>AND(AK5, AND(AL5, AO5))</f>
        <v>1</v>
      </c>
      <c r="AQ5" s="3" t="b">
        <f>AND(T5, AND(Z5, AND(AJ5, AP5)))</f>
        <v>0</v>
      </c>
      <c r="AR5" s="3" t="str">
        <f>IF(AQ5, "", IF(NOT(T5), "Permission", IF(NOT(Z5), "Timing", IF(NOT(AJ5), "Content", "Authorization"))))</f>
        <v>Content</v>
      </c>
      <c r="AS5" s="3" t="b">
        <f>J5 &lt;&gt; ""</f>
        <v>0</v>
      </c>
      <c r="AT5" s="3" t="str">
        <f>_xlfn.IFNA(INDEX(MessageDeliveries!S2:S999, MATCH(J5,MessageDeliveries!A2:A999, 0)), "")</f>
      </c>
      <c r="AU5" s="3" t="b">
        <f>AND(NOT(AQ5), AND(AS5, AT5))</f>
        <v>0</v>
      </c>
      <c r="AV5" s="3" t="b">
        <f>AND(NOT(AQ5), NOT(AS5))</f>
        <v>1</v>
      </c>
      <c r="AW5" s="3" t="str">
        <f>_xlfn.IFNA(INDEX(MessageDeliveries!M2:M999, MATCH(J5,MessageDeliveries!A2:A999, 0)), "")</f>
      </c>
      <c r="AX5" s="3" t="b">
        <f>AW5 &lt;&gt; ""</f>
        <v>0</v>
      </c>
      <c r="AY5" s="3" t="e">
        <f>AND(NOT(AQ5), AND(AS5, AND(NOT(AT5), AX5)))</f>
        <v>#VALUE!</v>
      </c>
      <c r="AZ5" s="3" t="str">
        <f>IF(OR(AU5, AV5), C5, "")</f>
        <v>exec-policy-hr4821</v>
      </c>
      <c r="BA5" s="3" t="str">
        <f>C5</f>
        <v>exec-policy-hr4821</v>
      </c>
      <c r="BB5" s="3" t="str">
        <f>IF(AND(AS5, AT5), C5, "")</f>
      </c>
      <c r="BC5" s="3" t="str">
        <f>IF(AV5, C5, "")</f>
        <v>exec-policy-hr4821</v>
      </c>
      <c r="BD5" s="3" t="b">
        <f>AK5</f>
        <v>1</v>
      </c>
      <c r="BE5" s="3" t="b">
        <f>AND(BD5, NOT(AJ5))</f>
        <v>1</v>
      </c>
      <c r="BF5" s="3" t="b">
        <f>AND(NOT(AI5), AF5)</f>
        <v>1</v>
      </c>
      <c r="BG5" s="3" t="b">
        <f>AND(NOT(AQ5), OR(NOT(AJ5), NOT(Z5)))</f>
        <v>1</v>
      </c>
      <c r="BH5" s="3" t="b">
        <f>AND(NOT(AQ5), OR(NOT(T5), NOT(AP5)))</f>
        <v>0</v>
      </c>
      <c r="BI5" s="2"/>
      <c r="BJ5" s="3" t="e">
        <f>AND(BG5, NOT(BI5))</f>
        <v>#VALUE!</v>
      </c>
      <c r="BK5" s="3" t="e">
        <f>AND(BE5, NOT(BI5))</f>
        <v>#VALUE!</v>
      </c>
      <c r="BL5" s="2"/>
      <c r="BM5" s="3" t="b">
        <f>BL5 &lt;&gt; ""</f>
        <v>0</v>
      </c>
      <c r="BN5" s="3" t="str">
        <f>_xlfn.IFNA(INDEX(AQ5, MATCH(BL5,A5, 0)), "")</f>
      </c>
      <c r="BO5" s="3" t="b">
        <f>AND(NOT(AQ5), NOT(BM5))</f>
        <v>1</v>
      </c>
      <c r="BP5" s="3" t="b">
        <f>AND(AX5, AW5 &lt;&gt; "")</f>
        <v>0</v>
      </c>
      <c r="BQ5" s="3" t="b">
        <f>AND(BP5, AND(BM5, BN5))</f>
        <v>0</v>
      </c>
      <c r="BR5" s="3" t="b">
        <f>AND(BP5, NOT(BQ5))</f>
        <v>0</v>
      </c>
      <c r="BS5" s="4"/>
      <c r="BT5" s="2"/>
      <c r="BU5" s="3" t="b">
        <f>BS5 &lt;&gt; ""</f>
        <v>0</v>
      </c>
      <c r="BV5" s="3" t="b">
        <f>BT5 &lt;&gt; ""</f>
        <v>0</v>
      </c>
      <c r="BW5" s="3" t="b">
        <f>AND(AV5, AND(NOT(BU5), NOT(AX5)))</f>
        <v>1</v>
      </c>
      <c r="BX5" s="3" t="b">
        <f>AND(NOT(AQ5), NOT(BV5))</f>
        <v>1</v>
      </c>
      <c r="BY5" s="3">
        <f>IF(BW5, BT5, "")</f>
        <v>0</v>
      </c>
      <c r="BZ5" s="3" t="str">
        <f>IF(BW5, C5, "")</f>
        <v>exec-policy-hr4821</v>
      </c>
      <c r="CA5" s="2"/>
      <c r="CB5" s="3" t="b">
        <f>AND(NOT(Z5), AND(T5, AJ5))</f>
        <v>0</v>
      </c>
      <c r="CC5" s="2" t="s">
        <v>95</v>
      </c>
      <c r="CD5" s="6">
        <f>_xlfn.IFNA(INDEX(EvaluationContexts!D2:D999, MATCH(CC5,EvaluationContexts!A2:A999, 0)), "")</f>
        <v>46222.75</v>
      </c>
      <c r="CE5" s="3" t="e">
        <f>AND(AA5 &gt; 0, DATETIME_DIFF(CD5, I5, "hours") &gt; AA5)</f>
        <v>#NAME?</v>
      </c>
      <c r="CF5" s="3" t="b">
        <f>CA5 &lt;&gt; ""</f>
        <v>0</v>
      </c>
      <c r="CG5" s="3" t="str">
        <f>_xlfn.IFNA(INDEX(AQ5, MATCH(CA5,A5, 0)), "")</f>
      </c>
      <c r="CH5" s="3" t="e">
        <f>AND(CB5, AND(CE5, NOT(CF5)))</f>
        <v>#NAME?</v>
      </c>
      <c r="CI5" s="5" t="e">
        <f>DATETIME_DIFF(CD5, I5, "hours")</f>
        <v>#NAME?</v>
      </c>
      <c r="CJ5" s="3" t="e">
        <f>AND(CB5, CI5 &gt; 24)</f>
        <v>#NAME?</v>
      </c>
      <c r="CK5" s="2"/>
      <c r="CL5" s="3" t="str">
        <f>_xlfn.IFNA(INDEX(RoleAssignments!BJ2:BJ999, MATCH(CK5,RoleAssignments!A2:A999, 0)), "")</f>
      </c>
      <c r="CM5" s="3" t="b">
        <f>CN5 &lt;&gt; ""</f>
        <v>1</v>
      </c>
      <c r="CN5" s="3" t="str">
        <f>_xlfn.IFNA(INDEX(Recipients!G2:G999, MATCH(E5,Recipients!A2:A999, 0)), "")</f>
        <v>Granted</v>
      </c>
      <c r="CO5" s="3" t="b">
        <f>K5 &lt;&gt; ""</f>
        <v>1</v>
      </c>
      <c r="CP5" s="3" t="b">
        <f>AND(CM5, CO5)</f>
        <v>1</v>
      </c>
      <c r="CQ5" s="3" t="b">
        <f>AND(NOT(AQ5), NOT(CP5))</f>
        <v>0</v>
      </c>
      <c r="CR5" s="2"/>
      <c r="CS5" s="3" t="e">
        <f>NOT(CR5)</f>
        <v>#VALUE!</v>
      </c>
      <c r="CT5" s="3" t="b">
        <f>AND(AS5, AT5)</f>
        <v>0</v>
      </c>
      <c r="CU5" s="3" t="str">
        <f>IF(CT5, C5, "")</f>
      </c>
      <c r="CV5" s="2" t="s">
        <v>8255</v>
      </c>
    </row>
    <row r="6">
      <c r="A6" s="2" t="s">
        <v>8260</v>
      </c>
      <c r="B6" s="3" t="str">
        <f>E6 &amp; " / " &amp; F6 &amp; " / intent"</f>
        <v>rec-002 / tmpl-policy-sms / intent</v>
      </c>
      <c r="C6" s="2" t="s">
        <v>1324</v>
      </c>
      <c r="D6" s="2" t="s">
        <v>1444</v>
      </c>
      <c r="E6" s="2" t="s">
        <v>8217</v>
      </c>
      <c r="F6" s="2" t="s">
        <v>1730</v>
      </c>
      <c r="G6" s="2" t="s">
        <v>8261</v>
      </c>
      <c r="H6" s="7">
        <v>14</v>
      </c>
      <c r="I6" s="4">
        <v>46221.794444444444</v>
      </c>
      <c r="J6" s="2"/>
      <c r="K6" s="3" t="str">
        <f>_xlfn.IFNA(INDEX(MessageTemplates!C2:C999, MATCH(F6,MessageTemplates!A2:A999, 0)), "")</f>
        <v>comm-sms-policy</v>
      </c>
      <c r="L6" s="3" t="str">
        <f>_xlfn.IFNA(INDEX(CommunicationPolicies!D2:D999, MATCH(K6,CommunicationPolicies!A2:A999, 0)), "")</f>
        <v>SMS</v>
      </c>
      <c r="M6" s="3" t="b">
        <f>_xlfn.IFNA(INDEX(CommunicationPolicies!U2:U999, MATCH(K6,CommunicationPolicies!A2:A999, 0)), "")</f>
        <v>1</v>
      </c>
      <c r="N6" s="3" t="b">
        <f>_xlfn.IFNA(INDEX(CommunicationPolicies!F2:F999, MATCH(K6,CommunicationPolicies!A2:A999, 0)), "")</f>
        <v>1</v>
      </c>
      <c r="O6" s="3" t="b">
        <f>_xlfn.IFNA(INDEX(Recipients!J2:J999, MATCH(E6,Recipients!A2:A999, 0)), "")</f>
        <v>1</v>
      </c>
      <c r="P6" s="3" t="b">
        <f>OR(NOT(N6), O6)</f>
        <v>1</v>
      </c>
      <c r="Q6" s="3" t="b">
        <f>_xlfn.IFNA(INDEX(Recipients!L2:L999, MATCH(E6,Recipients!A2:A999, 0)), "")</f>
        <v>1</v>
      </c>
      <c r="R6" s="3" t="b">
        <f>_xlfn.IFNA(INDEX(Recipients!K2:K999, MATCH(E6,Recipients!A2:A999, 0)), "")</f>
        <v>1</v>
      </c>
      <c r="S6" s="3" t="b">
        <f>IF(L6 = "SMS", Q6, R6)</f>
        <v>1</v>
      </c>
      <c r="T6" s="3" t="b">
        <f>AND(M6, AND(P6, S6))</f>
        <v>1</v>
      </c>
      <c r="U6" s="5">
        <f>_xlfn.IFNA(INDEX(CommunicationPolicies!Q2:Q999, MATCH(K6,CommunicationPolicies!A2:A999, 0)), "")</f>
        <v>20</v>
      </c>
      <c r="V6" s="5">
        <f>_xlfn.IFNA(INDEX(CommunicationPolicies!R2:R999, MATCH(K6,CommunicationPolicies!A2:A999, 0)), "")</f>
        <v>8</v>
      </c>
      <c r="W6" s="3" t="b">
        <f>U6 &lt;&gt; V6</f>
        <v>1</v>
      </c>
      <c r="X6" s="3" t="b">
        <f>U6 &gt; V6</f>
        <v>1</v>
      </c>
      <c r="Y6" s="3" t="b">
        <f>IF(X6, OR(H6 &gt;= U6, H6 &lt; V6), AND(H6 &gt;= U6, H6 &lt; V6))</f>
        <v>0</v>
      </c>
      <c r="Z6" s="3" t="b">
        <f>OR(NOT(W6), NOT(Y6))</f>
        <v>1</v>
      </c>
      <c r="AA6" s="5">
        <f>IF(Z6, 0, IF(H6 &lt; V6, V6 - H6, 24 - H6 + V6))</f>
        <v>0</v>
      </c>
      <c r="AB6" s="5">
        <f>_xlfn.IFNA(INDEX(CommunicationPolicies!I2:I999, MATCH(K6,CommunicationPolicies!A2:A999, 0)), "")</f>
        <v>160</v>
      </c>
      <c r="AC6" s="5">
        <f>_xlfn.IFNA(INDEX(CommunicationPolicies!J2:J999, MATCH(K6,CommunicationPolicies!A2:A999, 0)), "")</f>
        <v>3</v>
      </c>
      <c r="AD6" s="7">
        <v>73</v>
      </c>
      <c r="AE6" s="7">
        <v>1</v>
      </c>
      <c r="AF6" s="3" t="b">
        <f>AND(AD6 &gt; 0, AE6 &lt;= AC6)</f>
        <v>1</v>
      </c>
      <c r="AG6" s="3" t="str">
        <f>_xlfn.IFNA(INDEX(CommunicationPolicies!T2:T999, MATCH(K6,CommunicationPolicies!A2:A999, 0)), "")</f>
        <v>Reply STOP to opt out</v>
      </c>
      <c r="AH6" s="7">
        <v>0</v>
      </c>
      <c r="AI6" s="3" t="b">
        <f>OR(AG6 = "", AND(AH6 &gt; 0, AH6 &lt;= AB6))</f>
        <v>0</v>
      </c>
      <c r="AJ6" s="3" t="b">
        <f>AND(AF6, AI6)</f>
        <v>0</v>
      </c>
      <c r="AK6" s="3" t="b">
        <f>_xlfn.IFNA(INDEX(MessageTemplates!T2:T999, MATCH(F6,MessageTemplates!A2:A999, 0)), "")</f>
        <v>1</v>
      </c>
      <c r="AL6" s="3" t="b">
        <f>_xlfn.IFNA(INDEX(ProcedureExecutions!AC2:AC999, MATCH(C6,ProcedureExecutions!A2:A999, 0)), "")</f>
        <v>1</v>
      </c>
      <c r="AM6" s="3" t="str">
        <f>_xlfn.IFNA(INDEX(CommunicationPolicies!L2:L999, MATCH(K6,CommunicationPolicies!A2:A999, 0)), "")</f>
        <v>communications-manager</v>
      </c>
      <c r="AN6" s="3" t="str">
        <f>_xlfn.IFNA(INDEX(Roles!F2:F999, MATCH(AM6,Roles!A2:A999, 0)), "")</f>
        <v>Human</v>
      </c>
      <c r="AO6" s="3" t="b">
        <f>AN6 = "Human"</f>
        <v>1</v>
      </c>
      <c r="AP6" s="3" t="b">
        <f>AND(AK6, AND(AL6, AO6))</f>
        <v>1</v>
      </c>
      <c r="AQ6" s="3" t="b">
        <f>AND(T6, AND(Z6, AND(AJ6, AP6)))</f>
        <v>0</v>
      </c>
      <c r="AR6" s="3" t="str">
        <f>IF(AQ6, "", IF(NOT(T6), "Permission", IF(NOT(Z6), "Timing", IF(NOT(AJ6), "Content", "Authorization"))))</f>
        <v>Content</v>
      </c>
      <c r="AS6" s="3" t="b">
        <f>J6 &lt;&gt; ""</f>
        <v>0</v>
      </c>
      <c r="AT6" s="3" t="str">
        <f>_xlfn.IFNA(INDEX(MessageDeliveries!S2:S999, MATCH(J6,MessageDeliveries!A2:A999, 0)), "")</f>
      </c>
      <c r="AU6" s="3" t="b">
        <f>AND(NOT(AQ6), AND(AS6, AT6))</f>
        <v>0</v>
      </c>
      <c r="AV6" s="3" t="b">
        <f>AND(NOT(AQ6), NOT(AS6))</f>
        <v>1</v>
      </c>
      <c r="AW6" s="3" t="str">
        <f>_xlfn.IFNA(INDEX(MessageDeliveries!M2:M999, MATCH(J6,MessageDeliveries!A2:A999, 0)), "")</f>
      </c>
      <c r="AX6" s="3" t="b">
        <f>AW6 &lt;&gt; ""</f>
        <v>0</v>
      </c>
      <c r="AY6" s="3" t="e">
        <f>AND(NOT(AQ6), AND(AS6, AND(NOT(AT6), AX6)))</f>
        <v>#VALUE!</v>
      </c>
      <c r="AZ6" s="3" t="str">
        <f>IF(OR(AU6, AV6), C6, "")</f>
        <v>exec-policy-hr4821</v>
      </c>
      <c r="BA6" s="3" t="str">
        <f>C6</f>
        <v>exec-policy-hr4821</v>
      </c>
      <c r="BB6" s="3" t="str">
        <f>IF(AND(AS6, AT6), C6, "")</f>
      </c>
      <c r="BC6" s="3" t="str">
        <f>IF(AV6, C6, "")</f>
        <v>exec-policy-hr4821</v>
      </c>
      <c r="BD6" s="3" t="b">
        <f>AK6</f>
        <v>1</v>
      </c>
      <c r="BE6" s="3" t="b">
        <f>AND(BD6, NOT(AJ6))</f>
        <v>1</v>
      </c>
      <c r="BF6" s="3" t="b">
        <f>AND(NOT(AI6), AF6)</f>
        <v>1</v>
      </c>
      <c r="BG6" s="3" t="b">
        <f>AND(NOT(AQ6), OR(NOT(AJ6), NOT(Z6)))</f>
        <v>1</v>
      </c>
      <c r="BH6" s="3" t="b">
        <f>AND(NOT(AQ6), OR(NOT(T6), NOT(AP6)))</f>
        <v>0</v>
      </c>
      <c r="BI6" s="2"/>
      <c r="BJ6" s="3" t="e">
        <f>AND(BG6, NOT(BI6))</f>
        <v>#VALUE!</v>
      </c>
      <c r="BK6" s="3" t="e">
        <f>AND(BE6, NOT(BI6))</f>
        <v>#VALUE!</v>
      </c>
      <c r="BL6" s="2"/>
      <c r="BM6" s="3" t="b">
        <f>BL6 &lt;&gt; ""</f>
        <v>0</v>
      </c>
      <c r="BN6" s="3" t="str">
        <f>_xlfn.IFNA(INDEX(AQ6, MATCH(BL6,A6, 0)), "")</f>
      </c>
      <c r="BO6" s="3" t="b">
        <f>AND(NOT(AQ6), NOT(BM6))</f>
        <v>1</v>
      </c>
      <c r="BP6" s="3" t="b">
        <f>AND(AX6, AW6 &lt;&gt; "")</f>
        <v>0</v>
      </c>
      <c r="BQ6" s="3" t="b">
        <f>AND(BP6, AND(BM6, BN6))</f>
        <v>0</v>
      </c>
      <c r="BR6" s="3" t="b">
        <f>AND(BP6, NOT(BQ6))</f>
        <v>0</v>
      </c>
      <c r="BS6" s="4"/>
      <c r="BT6" s="2"/>
      <c r="BU6" s="3" t="b">
        <f>BS6 &lt;&gt; ""</f>
        <v>0</v>
      </c>
      <c r="BV6" s="3" t="b">
        <f>BT6 &lt;&gt; ""</f>
        <v>0</v>
      </c>
      <c r="BW6" s="3" t="b">
        <f>AND(AV6, AND(NOT(BU6), NOT(AX6)))</f>
        <v>1</v>
      </c>
      <c r="BX6" s="3" t="b">
        <f>AND(NOT(AQ6), NOT(BV6))</f>
        <v>1</v>
      </c>
      <c r="BY6" s="3">
        <f>IF(BW6, BT6, "")</f>
        <v>0</v>
      </c>
      <c r="BZ6" s="3" t="str">
        <f>IF(BW6, C6, "")</f>
        <v>exec-policy-hr4821</v>
      </c>
      <c r="CA6" s="2"/>
      <c r="CB6" s="3" t="b">
        <f>AND(NOT(Z6), AND(T6, AJ6))</f>
        <v>0</v>
      </c>
      <c r="CC6" s="2" t="s">
        <v>95</v>
      </c>
      <c r="CD6" s="6">
        <f>_xlfn.IFNA(INDEX(EvaluationContexts!D2:D999, MATCH(CC6,EvaluationContexts!A2:A999, 0)), "")</f>
        <v>46222.75</v>
      </c>
      <c r="CE6" s="3" t="e">
        <f>AND(AA6 &gt; 0, DATETIME_DIFF(CD6, I6, "hours") &gt; AA6)</f>
        <v>#NAME?</v>
      </c>
      <c r="CF6" s="3" t="b">
        <f>CA6 &lt;&gt; ""</f>
        <v>0</v>
      </c>
      <c r="CG6" s="3" t="str">
        <f>_xlfn.IFNA(INDEX(AQ6, MATCH(CA6,A6, 0)), "")</f>
      </c>
      <c r="CH6" s="3" t="e">
        <f>AND(CB6, AND(CE6, NOT(CF6)))</f>
        <v>#NAME?</v>
      </c>
      <c r="CI6" s="5" t="e">
        <f>DATETIME_DIFF(CD6, I6, "hours")</f>
        <v>#NAME?</v>
      </c>
      <c r="CJ6" s="3" t="e">
        <f>AND(CB6, CI6 &gt; 24)</f>
        <v>#NAME?</v>
      </c>
      <c r="CK6" s="2"/>
      <c r="CL6" s="3" t="str">
        <f>_xlfn.IFNA(INDEX(RoleAssignments!BJ2:BJ999, MATCH(CK6,RoleAssignments!A2:A999, 0)), "")</f>
      </c>
      <c r="CM6" s="3" t="b">
        <f>CN6 &lt;&gt; ""</f>
        <v>1</v>
      </c>
      <c r="CN6" s="3" t="str">
        <f>_xlfn.IFNA(INDEX(Recipients!G2:G999, MATCH(E6,Recipients!A2:A999, 0)), "")</f>
        <v>Granted</v>
      </c>
      <c r="CO6" s="3" t="b">
        <f>K6 &lt;&gt; ""</f>
        <v>1</v>
      </c>
      <c r="CP6" s="3" t="b">
        <f>AND(CM6, CO6)</f>
        <v>1</v>
      </c>
      <c r="CQ6" s="3" t="b">
        <f>AND(NOT(AQ6), NOT(CP6))</f>
        <v>0</v>
      </c>
      <c r="CR6" s="2"/>
      <c r="CS6" s="3" t="e">
        <f>NOT(CR6)</f>
        <v>#VALUE!</v>
      </c>
      <c r="CT6" s="3" t="b">
        <f>AND(AS6, AT6)</f>
        <v>0</v>
      </c>
      <c r="CU6" s="3" t="str">
        <f>IF(CT6, C6, "")</f>
      </c>
      <c r="CV6" s="2" t="s">
        <v>8255</v>
      </c>
    </row>
    <row r="7">
      <c r="A7" s="2" t="s">
        <v>8262</v>
      </c>
      <c r="B7" s="3" t="str">
        <f>E7 &amp; " / " &amp; F7 &amp; " / intent"</f>
        <v>rec-005 / tmpl-policy-sms / intent</v>
      </c>
      <c r="C7" s="2" t="s">
        <v>1324</v>
      </c>
      <c r="D7" s="2" t="s">
        <v>1444</v>
      </c>
      <c r="E7" s="2" t="s">
        <v>8230</v>
      </c>
      <c r="F7" s="2" t="s">
        <v>1730</v>
      </c>
      <c r="G7" s="2" t="s">
        <v>8254</v>
      </c>
      <c r="H7" s="7">
        <v>14</v>
      </c>
      <c r="I7" s="4">
        <v>46221.794444444444</v>
      </c>
      <c r="J7" s="2"/>
      <c r="K7" s="3" t="str">
        <f>_xlfn.IFNA(INDEX(MessageTemplates!C2:C999, MATCH(F7,MessageTemplates!A2:A999, 0)), "")</f>
        <v>comm-sms-policy</v>
      </c>
      <c r="L7" s="3" t="str">
        <f>_xlfn.IFNA(INDEX(CommunicationPolicies!D2:D999, MATCH(K7,CommunicationPolicies!A2:A999, 0)), "")</f>
        <v>SMS</v>
      </c>
      <c r="M7" s="3" t="b">
        <f>_xlfn.IFNA(INDEX(CommunicationPolicies!U2:U999, MATCH(K7,CommunicationPolicies!A2:A999, 0)), "")</f>
        <v>1</v>
      </c>
      <c r="N7" s="3" t="b">
        <f>_xlfn.IFNA(INDEX(CommunicationPolicies!F2:F999, MATCH(K7,CommunicationPolicies!A2:A999, 0)), "")</f>
        <v>1</v>
      </c>
      <c r="O7" s="3" t="b">
        <f>_xlfn.IFNA(INDEX(Recipients!J2:J999, MATCH(E7,Recipients!A2:A999, 0)), "")</f>
        <v>0</v>
      </c>
      <c r="P7" s="3" t="b">
        <f>OR(NOT(N7), O7)</f>
        <v>0</v>
      </c>
      <c r="Q7" s="3" t="b">
        <f>_xlfn.IFNA(INDEX(Recipients!L2:L999, MATCH(E7,Recipients!A2:A999, 0)), "")</f>
        <v>0</v>
      </c>
      <c r="R7" s="3" t="b">
        <f>_xlfn.IFNA(INDEX(Recipients!K2:K999, MATCH(E7,Recipients!A2:A999, 0)), "")</f>
        <v>1</v>
      </c>
      <c r="S7" s="3" t="b">
        <f>IF(L7 = "SMS", Q7, R7)</f>
        <v>0</v>
      </c>
      <c r="T7" s="3" t="b">
        <f>AND(M7, AND(P7, S7))</f>
        <v>0</v>
      </c>
      <c r="U7" s="5">
        <f>_xlfn.IFNA(INDEX(CommunicationPolicies!Q2:Q999, MATCH(K7,CommunicationPolicies!A2:A999, 0)), "")</f>
        <v>20</v>
      </c>
      <c r="V7" s="5">
        <f>_xlfn.IFNA(INDEX(CommunicationPolicies!R2:R999, MATCH(K7,CommunicationPolicies!A2:A999, 0)), "")</f>
        <v>8</v>
      </c>
      <c r="W7" s="3" t="b">
        <f>U7 &lt;&gt; V7</f>
        <v>1</v>
      </c>
      <c r="X7" s="3" t="b">
        <f>U7 &gt; V7</f>
        <v>1</v>
      </c>
      <c r="Y7" s="3" t="b">
        <f>IF(X7, OR(H7 &gt;= U7, H7 &lt; V7), AND(H7 &gt;= U7, H7 &lt; V7))</f>
        <v>0</v>
      </c>
      <c r="Z7" s="3" t="b">
        <f>OR(NOT(W7), NOT(Y7))</f>
        <v>1</v>
      </c>
      <c r="AA7" s="5">
        <f>IF(Z7, 0, IF(H7 &lt; V7, V7 - H7, 24 - H7 + V7))</f>
        <v>0</v>
      </c>
      <c r="AB7" s="5">
        <f>_xlfn.IFNA(INDEX(CommunicationPolicies!I2:I999, MATCH(K7,CommunicationPolicies!A2:A999, 0)), "")</f>
        <v>160</v>
      </c>
      <c r="AC7" s="5">
        <f>_xlfn.IFNA(INDEX(CommunicationPolicies!J2:J999, MATCH(K7,CommunicationPolicies!A2:A999, 0)), "")</f>
        <v>3</v>
      </c>
      <c r="AD7" s="7">
        <v>95</v>
      </c>
      <c r="AE7" s="7">
        <v>1</v>
      </c>
      <c r="AF7" s="3" t="b">
        <f>AND(AD7 &gt; 0, AE7 &lt;= AC7)</f>
        <v>1</v>
      </c>
      <c r="AG7" s="3" t="str">
        <f>_xlfn.IFNA(INDEX(CommunicationPolicies!T2:T999, MATCH(K7,CommunicationPolicies!A2:A999, 0)), "")</f>
        <v>Reply STOP to opt out</v>
      </c>
      <c r="AH7" s="7">
        <v>75</v>
      </c>
      <c r="AI7" s="3" t="b">
        <f>OR(AG7 = "", AND(AH7 &gt; 0, AH7 &lt;= AB7))</f>
        <v>1</v>
      </c>
      <c r="AJ7" s="3" t="b">
        <f>AND(AF7, AI7)</f>
        <v>1</v>
      </c>
      <c r="AK7" s="3" t="b">
        <f>_xlfn.IFNA(INDEX(MessageTemplates!T2:T999, MATCH(F7,MessageTemplates!A2:A999, 0)), "")</f>
        <v>1</v>
      </c>
      <c r="AL7" s="3" t="b">
        <f>_xlfn.IFNA(INDEX(ProcedureExecutions!AC2:AC999, MATCH(C7,ProcedureExecutions!A2:A999, 0)), "")</f>
        <v>1</v>
      </c>
      <c r="AM7" s="3" t="str">
        <f>_xlfn.IFNA(INDEX(CommunicationPolicies!L2:L999, MATCH(K7,CommunicationPolicies!A2:A999, 0)), "")</f>
        <v>communications-manager</v>
      </c>
      <c r="AN7" s="3" t="str">
        <f>_xlfn.IFNA(INDEX(Roles!F2:F999, MATCH(AM7,Roles!A2:A999, 0)), "")</f>
        <v>Human</v>
      </c>
      <c r="AO7" s="3" t="b">
        <f>AN7 = "Human"</f>
        <v>1</v>
      </c>
      <c r="AP7" s="3" t="b">
        <f>AND(AK7, AND(AL7, AO7))</f>
        <v>1</v>
      </c>
      <c r="AQ7" s="3" t="b">
        <f>AND(T7, AND(Z7, AND(AJ7, AP7)))</f>
        <v>0</v>
      </c>
      <c r="AR7" s="3" t="str">
        <f>IF(AQ7, "", IF(NOT(T7), "Permission", IF(NOT(Z7), "Timing", IF(NOT(AJ7), "Content", "Authorization"))))</f>
        <v>Permission</v>
      </c>
      <c r="AS7" s="3" t="b">
        <f>J7 &lt;&gt; ""</f>
        <v>0</v>
      </c>
      <c r="AT7" s="3" t="str">
        <f>_xlfn.IFNA(INDEX(MessageDeliveries!S2:S999, MATCH(J7,MessageDeliveries!A2:A999, 0)), "")</f>
      </c>
      <c r="AU7" s="3" t="b">
        <f>AND(NOT(AQ7), AND(AS7, AT7))</f>
        <v>0</v>
      </c>
      <c r="AV7" s="3" t="b">
        <f>AND(NOT(AQ7), NOT(AS7))</f>
        <v>1</v>
      </c>
      <c r="AW7" s="3" t="str">
        <f>_xlfn.IFNA(INDEX(MessageDeliveries!M2:M999, MATCH(J7,MessageDeliveries!A2:A999, 0)), "")</f>
      </c>
      <c r="AX7" s="3" t="b">
        <f>AW7 &lt;&gt; ""</f>
        <v>0</v>
      </c>
      <c r="AY7" s="3" t="e">
        <f>AND(NOT(AQ7), AND(AS7, AND(NOT(AT7), AX7)))</f>
        <v>#VALUE!</v>
      </c>
      <c r="AZ7" s="3" t="str">
        <f>IF(OR(AU7, AV7), C7, "")</f>
        <v>exec-policy-hr4821</v>
      </c>
      <c r="BA7" s="3" t="str">
        <f>C7</f>
        <v>exec-policy-hr4821</v>
      </c>
      <c r="BB7" s="3" t="str">
        <f>IF(AND(AS7, AT7), C7, "")</f>
      </c>
      <c r="BC7" s="3" t="str">
        <f>IF(AV7, C7, "")</f>
        <v>exec-policy-hr4821</v>
      </c>
      <c r="BD7" s="3" t="b">
        <f>AK7</f>
        <v>1</v>
      </c>
      <c r="BE7" s="3" t="b">
        <f>AND(BD7, NOT(AJ7))</f>
        <v>0</v>
      </c>
      <c r="BF7" s="3" t="b">
        <f>AND(NOT(AI7), AF7)</f>
        <v>0</v>
      </c>
      <c r="BG7" s="3" t="b">
        <f>AND(NOT(AQ7), OR(NOT(AJ7), NOT(Z7)))</f>
        <v>0</v>
      </c>
      <c r="BH7" s="3" t="b">
        <f>AND(NOT(AQ7), OR(NOT(T7), NOT(AP7)))</f>
        <v>1</v>
      </c>
      <c r="BI7" s="2"/>
      <c r="BJ7" s="3" t="e">
        <f>AND(BG7, NOT(BI7))</f>
        <v>#VALUE!</v>
      </c>
      <c r="BK7" s="3" t="e">
        <f>AND(BE7, NOT(BI7))</f>
        <v>#VALUE!</v>
      </c>
      <c r="BL7" s="2"/>
      <c r="BM7" s="3" t="b">
        <f>BL7 &lt;&gt; ""</f>
        <v>0</v>
      </c>
      <c r="BN7" s="3" t="str">
        <f>_xlfn.IFNA(INDEX(AQ7, MATCH(BL7,A7, 0)), "")</f>
      </c>
      <c r="BO7" s="3" t="b">
        <f>AND(NOT(AQ7), NOT(BM7))</f>
        <v>1</v>
      </c>
      <c r="BP7" s="3" t="b">
        <f>AND(AX7, AW7 &lt;&gt; "")</f>
        <v>0</v>
      </c>
      <c r="BQ7" s="3" t="b">
        <f>AND(BP7, AND(BM7, BN7))</f>
        <v>0</v>
      </c>
      <c r="BR7" s="3" t="b">
        <f>AND(BP7, NOT(BQ7))</f>
        <v>0</v>
      </c>
      <c r="BS7" s="4"/>
      <c r="BT7" s="2"/>
      <c r="BU7" s="3" t="b">
        <f>BS7 &lt;&gt; ""</f>
        <v>0</v>
      </c>
      <c r="BV7" s="3" t="b">
        <f>BT7 &lt;&gt; ""</f>
        <v>0</v>
      </c>
      <c r="BW7" s="3" t="b">
        <f>AND(AV7, AND(NOT(BU7), NOT(AX7)))</f>
        <v>1</v>
      </c>
      <c r="BX7" s="3" t="b">
        <f>AND(NOT(AQ7), NOT(BV7))</f>
        <v>1</v>
      </c>
      <c r="BY7" s="3">
        <f>IF(BW7, BT7, "")</f>
        <v>0</v>
      </c>
      <c r="BZ7" s="3" t="str">
        <f>IF(BW7, C7, "")</f>
        <v>exec-policy-hr4821</v>
      </c>
      <c r="CA7" s="2"/>
      <c r="CB7" s="3" t="b">
        <f>AND(NOT(Z7), AND(T7, AJ7))</f>
        <v>0</v>
      </c>
      <c r="CC7" s="2" t="s">
        <v>95</v>
      </c>
      <c r="CD7" s="6">
        <f>_xlfn.IFNA(INDEX(EvaluationContexts!D2:D999, MATCH(CC7,EvaluationContexts!A2:A999, 0)), "")</f>
        <v>46222.75</v>
      </c>
      <c r="CE7" s="3" t="e">
        <f>AND(AA7 &gt; 0, DATETIME_DIFF(CD7, I7, "hours") &gt; AA7)</f>
        <v>#NAME?</v>
      </c>
      <c r="CF7" s="3" t="b">
        <f>CA7 &lt;&gt; ""</f>
        <v>0</v>
      </c>
      <c r="CG7" s="3" t="str">
        <f>_xlfn.IFNA(INDEX(AQ7, MATCH(CA7,A7, 0)), "")</f>
      </c>
      <c r="CH7" s="3" t="e">
        <f>AND(CB7, AND(CE7, NOT(CF7)))</f>
        <v>#NAME?</v>
      </c>
      <c r="CI7" s="5" t="e">
        <f>DATETIME_DIFF(CD7, I7, "hours")</f>
        <v>#NAME?</v>
      </c>
      <c r="CJ7" s="3" t="e">
        <f>AND(CB7, CI7 &gt; 24)</f>
        <v>#NAME?</v>
      </c>
      <c r="CK7" s="2"/>
      <c r="CL7" s="3" t="str">
        <f>_xlfn.IFNA(INDEX(RoleAssignments!BJ2:BJ999, MATCH(CK7,RoleAssignments!A2:A999, 0)), "")</f>
      </c>
      <c r="CM7" s="3" t="b">
        <f>CN7 &lt;&gt; ""</f>
        <v>1</v>
      </c>
      <c r="CN7" s="3" t="str">
        <f>_xlfn.IFNA(INDEX(Recipients!G2:G999, MATCH(E7,Recipients!A2:A999, 0)), "")</f>
        <v>NeverGranted</v>
      </c>
      <c r="CO7" s="3" t="b">
        <f>K7 &lt;&gt; ""</f>
        <v>1</v>
      </c>
      <c r="CP7" s="3" t="b">
        <f>AND(CM7, CO7)</f>
        <v>1</v>
      </c>
      <c r="CQ7" s="3" t="b">
        <f>AND(NOT(AQ7), NOT(CP7))</f>
        <v>0</v>
      </c>
      <c r="CR7" s="2"/>
      <c r="CS7" s="3" t="e">
        <f>NOT(CR7)</f>
        <v>#VALUE!</v>
      </c>
      <c r="CT7" s="3" t="b">
        <f>AND(AS7, AT7)</f>
        <v>0</v>
      </c>
      <c r="CU7" s="3" t="str">
        <f>IF(CT7, C7, "")</f>
      </c>
      <c r="CV7" s="2" t="s">
        <v>8255</v>
      </c>
    </row>
    <row r="8">
      <c r="A8" s="2" t="s">
        <v>8263</v>
      </c>
      <c r="B8" s="3" t="str">
        <f>E8 &amp; " / " &amp; F8 &amp; " / intent"</f>
        <v>rec-001 / tmpl-policy-email / intent</v>
      </c>
      <c r="C8" s="2" t="s">
        <v>1324</v>
      </c>
      <c r="D8" s="2" t="s">
        <v>1444</v>
      </c>
      <c r="E8" s="2" t="s">
        <v>8211</v>
      </c>
      <c r="F8" s="2" t="s">
        <v>1724</v>
      </c>
      <c r="G8" s="2" t="s">
        <v>8254</v>
      </c>
      <c r="H8" s="7">
        <v>14</v>
      </c>
      <c r="I8" s="4">
        <v>46221.794444444444</v>
      </c>
      <c r="J8" s="2" t="s">
        <v>8234</v>
      </c>
      <c r="K8" s="3" t="str">
        <f>_xlfn.IFNA(INDEX(MessageTemplates!C2:C999, MATCH(F8,MessageTemplates!A2:A999, 0)), "")</f>
        <v>comm-email-policy</v>
      </c>
      <c r="L8" s="3" t="str">
        <f>_xlfn.IFNA(INDEX(CommunicationPolicies!D2:D999, MATCH(K8,CommunicationPolicies!A2:A999, 0)), "")</f>
        <v>Email</v>
      </c>
      <c r="M8" s="3" t="b">
        <f>_xlfn.IFNA(INDEX(CommunicationPolicies!U2:U999, MATCH(K8,CommunicationPolicies!A2:A999, 0)), "")</f>
        <v>1</v>
      </c>
      <c r="N8" s="3" t="b">
        <f>_xlfn.IFNA(INDEX(CommunicationPolicies!F2:F999, MATCH(K8,CommunicationPolicies!A2:A999, 0)), "")</f>
        <v>0</v>
      </c>
      <c r="O8" s="3" t="b">
        <f>_xlfn.IFNA(INDEX(Recipients!J2:J999, MATCH(E8,Recipients!A2:A999, 0)), "")</f>
        <v>1</v>
      </c>
      <c r="P8" s="3" t="b">
        <f>OR(NOT(N8), O8)</f>
        <v>1</v>
      </c>
      <c r="Q8" s="3" t="b">
        <f>_xlfn.IFNA(INDEX(Recipients!L2:L999, MATCH(E8,Recipients!A2:A999, 0)), "")</f>
        <v>1</v>
      </c>
      <c r="R8" s="3" t="b">
        <f>_xlfn.IFNA(INDEX(Recipients!K2:K999, MATCH(E8,Recipients!A2:A999, 0)), "")</f>
        <v>1</v>
      </c>
      <c r="S8" s="3" t="b">
        <f>IF(L8 = "SMS", Q8, R8)</f>
        <v>1</v>
      </c>
      <c r="T8" s="3" t="b">
        <f>AND(M8, AND(P8, S8))</f>
        <v>1</v>
      </c>
      <c r="U8" s="5">
        <f>_xlfn.IFNA(INDEX(CommunicationPolicies!Q2:Q999, MATCH(K8,CommunicationPolicies!A2:A999, 0)), "")</f>
        <v>0</v>
      </c>
      <c r="V8" s="5">
        <f>_xlfn.IFNA(INDEX(CommunicationPolicies!R2:R999, MATCH(K8,CommunicationPolicies!A2:A999, 0)), "")</f>
        <v>0</v>
      </c>
      <c r="W8" s="3" t="b">
        <f>U8 &lt;&gt; V8</f>
        <v>0</v>
      </c>
      <c r="X8" s="3" t="b">
        <f>U8 &gt; V8</f>
        <v>0</v>
      </c>
      <c r="Y8" s="3" t="b">
        <f>IF(X8, OR(H8 &gt;= U8, H8 &lt; V8), AND(H8 &gt;= U8, H8 &lt; V8))</f>
        <v>0</v>
      </c>
      <c r="Z8" s="3" t="b">
        <f>OR(NOT(W8), NOT(Y8))</f>
        <v>1</v>
      </c>
      <c r="AA8" s="5">
        <f>IF(Z8, 0, IF(H8 &lt; V8, V8 - H8, 24 - H8 + V8))</f>
        <v>0</v>
      </c>
      <c r="AB8" s="5">
        <f>_xlfn.IFNA(INDEX(CommunicationPolicies!I2:I999, MATCH(K8,CommunicationPolicies!A2:A999, 0)), "")</f>
        <v>100000</v>
      </c>
      <c r="AC8" s="5">
        <f>_xlfn.IFNA(INDEX(CommunicationPolicies!J2:J999, MATCH(K8,CommunicationPolicies!A2:A999, 0)), "")</f>
        <v>1</v>
      </c>
      <c r="AD8" s="7">
        <v>95</v>
      </c>
      <c r="AE8" s="7">
        <v>1</v>
      </c>
      <c r="AF8" s="3" t="b">
        <f>AND(AD8 &gt; 0, AE8 &lt;= AC8)</f>
        <v>1</v>
      </c>
      <c r="AG8" s="3">
        <f>_xlfn.IFNA(INDEX(CommunicationPolicies!T2:T999, MATCH(K8,CommunicationPolicies!A2:A999, 0)), "")</f>
        <v>0</v>
      </c>
      <c r="AH8" s="7">
        <v>0</v>
      </c>
      <c r="AI8" s="3" t="b">
        <f>OR(AG8 = "", AND(AH8 &gt; 0, AH8 &lt;= AB8))</f>
        <v>0</v>
      </c>
      <c r="AJ8" s="3" t="b">
        <f>AND(AF8, AI8)</f>
        <v>0</v>
      </c>
      <c r="AK8" s="3" t="b">
        <f>_xlfn.IFNA(INDEX(MessageTemplates!T2:T999, MATCH(F8,MessageTemplates!A2:A999, 0)), "")</f>
        <v>1</v>
      </c>
      <c r="AL8" s="3" t="b">
        <f>_xlfn.IFNA(INDEX(ProcedureExecutions!AC2:AC999, MATCH(C8,ProcedureExecutions!A2:A999, 0)), "")</f>
        <v>1</v>
      </c>
      <c r="AM8" s="3" t="str">
        <f>_xlfn.IFNA(INDEX(CommunicationPolicies!L2:L999, MATCH(K8,CommunicationPolicies!A2:A999, 0)), "")</f>
        <v>communications-manager</v>
      </c>
      <c r="AN8" s="3" t="str">
        <f>_xlfn.IFNA(INDEX(Roles!F2:F999, MATCH(AM8,Roles!A2:A999, 0)), "")</f>
        <v>Human</v>
      </c>
      <c r="AO8" s="3" t="b">
        <f>AN8 = "Human"</f>
        <v>1</v>
      </c>
      <c r="AP8" s="3" t="b">
        <f>AND(AK8, AND(AL8, AO8))</f>
        <v>1</v>
      </c>
      <c r="AQ8" s="3" t="b">
        <f>AND(T8, AND(Z8, AND(AJ8, AP8)))</f>
        <v>0</v>
      </c>
      <c r="AR8" s="3" t="str">
        <f>IF(AQ8, "", IF(NOT(T8), "Permission", IF(NOT(Z8), "Timing", IF(NOT(AJ8), "Content", "Authorization"))))</f>
        <v>Content</v>
      </c>
      <c r="AS8" s="3" t="b">
        <f>J8 &lt;&gt; ""</f>
        <v>1</v>
      </c>
      <c r="AT8" s="3" t="b">
        <f>_xlfn.IFNA(INDEX(MessageDeliveries!S2:S999, MATCH(J8,MessageDeliveries!A2:A999, 0)), "")</f>
        <v>1</v>
      </c>
      <c r="AU8" s="3" t="b">
        <f>AND(NOT(AQ8), AND(AS8, AT8))</f>
        <v>1</v>
      </c>
      <c r="AV8" s="3" t="b">
        <f>AND(NOT(AQ8), NOT(AS8))</f>
        <v>0</v>
      </c>
      <c r="AW8" s="3">
        <f>_xlfn.IFNA(INDEX(MessageDeliveries!M2:M999, MATCH(J8,MessageDeliveries!A2:A999, 0)), "")</f>
        <v>0</v>
      </c>
      <c r="AX8" s="3" t="b">
        <f>AW8 &lt;&gt; ""</f>
        <v>1</v>
      </c>
      <c r="AY8" s="3" t="b">
        <f>AND(NOT(AQ8), AND(AS8, AND(NOT(AT8), AX8)))</f>
        <v>0</v>
      </c>
      <c r="AZ8" s="3" t="str">
        <f>IF(OR(AU8, AV8), C8, "")</f>
        <v>exec-policy-hr4821</v>
      </c>
      <c r="BA8" s="3" t="str">
        <f>C8</f>
        <v>exec-policy-hr4821</v>
      </c>
      <c r="BB8" s="3" t="str">
        <f>IF(AND(AS8, AT8), C8, "")</f>
        <v>exec-policy-hr4821</v>
      </c>
      <c r="BC8" s="3" t="str">
        <f>IF(AV8, C8, "")</f>
      </c>
      <c r="BD8" s="3" t="b">
        <f>AK8</f>
        <v>1</v>
      </c>
      <c r="BE8" s="3" t="b">
        <f>AND(BD8, NOT(AJ8))</f>
        <v>1</v>
      </c>
      <c r="BF8" s="3" t="b">
        <f>AND(NOT(AI8), AF8)</f>
        <v>1</v>
      </c>
      <c r="BG8" s="3" t="b">
        <f>AND(NOT(AQ8), OR(NOT(AJ8), NOT(Z8)))</f>
        <v>1</v>
      </c>
      <c r="BH8" s="3" t="b">
        <f>AND(NOT(AQ8), OR(NOT(T8), NOT(AP8)))</f>
        <v>0</v>
      </c>
      <c r="BI8" s="2"/>
      <c r="BJ8" s="3" t="e">
        <f>AND(BG8, NOT(BI8))</f>
        <v>#VALUE!</v>
      </c>
      <c r="BK8" s="3" t="e">
        <f>AND(BE8, NOT(BI8))</f>
        <v>#VALUE!</v>
      </c>
      <c r="BL8" s="2"/>
      <c r="BM8" s="3" t="b">
        <f>BL8 &lt;&gt; ""</f>
        <v>0</v>
      </c>
      <c r="BN8" s="3" t="str">
        <f>_xlfn.IFNA(INDEX(AQ8, MATCH(BL8,A8, 0)), "")</f>
      </c>
      <c r="BO8" s="3" t="b">
        <f>AND(NOT(AQ8), NOT(BM8))</f>
        <v>1</v>
      </c>
      <c r="BP8" s="3" t="b">
        <f>AND(AX8, AW8 &lt;&gt; "")</f>
        <v>1</v>
      </c>
      <c r="BQ8" s="3" t="b">
        <f>AND(BP8, AND(BM8, BN8))</f>
        <v>0</v>
      </c>
      <c r="BR8" s="3" t="b">
        <f>AND(BP8, NOT(BQ8))</f>
        <v>1</v>
      </c>
      <c r="BS8" s="4"/>
      <c r="BT8" s="2"/>
      <c r="BU8" s="3" t="b">
        <f>BS8 &lt;&gt; ""</f>
        <v>0</v>
      </c>
      <c r="BV8" s="3" t="b">
        <f>BT8 &lt;&gt; ""</f>
        <v>0</v>
      </c>
      <c r="BW8" s="3" t="b">
        <f>AND(AV8, AND(NOT(BU8), NOT(AX8)))</f>
        <v>0</v>
      </c>
      <c r="BX8" s="3" t="b">
        <f>AND(NOT(AQ8), NOT(BV8))</f>
        <v>1</v>
      </c>
      <c r="BY8" s="3" t="str">
        <f>IF(BW8, BT8, "")</f>
      </c>
      <c r="BZ8" s="3" t="str">
        <f>IF(BW8, C8, "")</f>
      </c>
      <c r="CA8" s="2"/>
      <c r="CB8" s="3" t="b">
        <f>AND(NOT(Z8), AND(T8, AJ8))</f>
        <v>0</v>
      </c>
      <c r="CC8" s="2" t="s">
        <v>95</v>
      </c>
      <c r="CD8" s="6">
        <f>_xlfn.IFNA(INDEX(EvaluationContexts!D2:D999, MATCH(CC8,EvaluationContexts!A2:A999, 0)), "")</f>
        <v>46222.75</v>
      </c>
      <c r="CE8" s="3" t="e">
        <f>AND(AA8 &gt; 0, DATETIME_DIFF(CD8, I8, "hours") &gt; AA8)</f>
        <v>#NAME?</v>
      </c>
      <c r="CF8" s="3" t="b">
        <f>CA8 &lt;&gt; ""</f>
        <v>0</v>
      </c>
      <c r="CG8" s="3" t="str">
        <f>_xlfn.IFNA(INDEX(AQ8, MATCH(CA8,A8, 0)), "")</f>
      </c>
      <c r="CH8" s="3" t="e">
        <f>AND(CB8, AND(CE8, NOT(CF8)))</f>
        <v>#NAME?</v>
      </c>
      <c r="CI8" s="5" t="e">
        <f>DATETIME_DIFF(CD8, I8, "hours")</f>
        <v>#NAME?</v>
      </c>
      <c r="CJ8" s="3" t="e">
        <f>AND(CB8, CI8 &gt; 24)</f>
        <v>#NAME?</v>
      </c>
      <c r="CK8" s="2"/>
      <c r="CL8" s="3" t="str">
        <f>_xlfn.IFNA(INDEX(RoleAssignments!BJ2:BJ999, MATCH(CK8,RoleAssignments!A2:A999, 0)), "")</f>
      </c>
      <c r="CM8" s="3" t="b">
        <f>CN8 &lt;&gt; ""</f>
        <v>1</v>
      </c>
      <c r="CN8" s="3" t="str">
        <f>_xlfn.IFNA(INDEX(Recipients!G2:G999, MATCH(E8,Recipients!A2:A999, 0)), "")</f>
        <v>Granted</v>
      </c>
      <c r="CO8" s="3" t="b">
        <f>K8 &lt;&gt; ""</f>
        <v>1</v>
      </c>
      <c r="CP8" s="3" t="b">
        <f>AND(CM8, CO8)</f>
        <v>1</v>
      </c>
      <c r="CQ8" s="3" t="b">
        <f>AND(NOT(AQ8), NOT(CP8))</f>
        <v>0</v>
      </c>
      <c r="CR8" s="2"/>
      <c r="CS8" s="3" t="e">
        <f>NOT(CR8)</f>
        <v>#VALUE!</v>
      </c>
      <c r="CT8" s="3" t="b">
        <f>AND(AS8, AT8)</f>
        <v>1</v>
      </c>
      <c r="CU8" s="3" t="str">
        <f>IF(CT8, C8, "")</f>
        <v>exec-policy-hr4821</v>
      </c>
      <c r="CV8" s="2" t="s">
        <v>8255</v>
      </c>
    </row>
  </sheetData>
  <autoFilter ref="A1:CV1"/>
  <headerFooter/>
  <legacyDrawing r:id="rId1"/>
</worksheet>
</file>

<file path=xl/worksheets/sheet6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N4"/>
  <sheetViews>
    <sheetView workbookViewId="0">
      <pane ySplit="1" topLeftCell="A2" state="frozen" activePane="bottomLeft"/>
      <selection pane="bottomLeft" activeCell="A1" sqref="A1"/>
    </sheetView>
  </sheetViews>
  <sheetFormatPr defaultRowHeight="15"/>
  <cols>
    <col min="1" max="1" width="23.46795654296875" customWidth="1"/>
    <col min="2" max="2" width="73.69428253173828" customWidth="1"/>
    <col min="3" max="3" width="17.443378448486328" customWidth="1"/>
    <col min="4" max="4" width="17.443378448486328" customWidth="1"/>
    <col min="5" max="5" width="17.443378448486328" customWidth="1"/>
    <col min="6" max="6" width="68.39627838134766" customWidth="1"/>
    <col min="7" max="7" width="24.515466690063477" customWidth="1"/>
    <col min="8" max="8" width="17.443378448486328" customWidth="1"/>
    <col min="9" max="9" width="18.629850387573242" customWidth="1"/>
    <col min="10" max="10" width="18.317533493041992" customWidth="1"/>
    <col min="11" max="11" width="24.515466690063477" customWidth="1"/>
    <col min="12" max="12" width="17.443378448486328" customWidth="1"/>
    <col min="13" max="13" width="17.443378448486328" customWidth="1"/>
    <col min="14" max="14" width="19.20240592956543" customWidth="1"/>
    <col min="15" max="15" width="30.36338996887207" customWidth="1"/>
    <col min="16" max="16" width="22.12063217163086" customWidth="1"/>
    <col min="17" max="17" width="27.97220230102539" customWidth="1"/>
    <col min="18" max="18" width="31.757104873657227" customWidth="1"/>
    <col min="19" max="19" width="17.443378448486328" customWidth="1"/>
    <col min="20" max="20" width="34.54710006713867" customWidth="1"/>
    <col min="21" max="21" width="24.584793090820312" customWidth="1"/>
    <col min="22" max="22" width="26.4659423828125" customWidth="1"/>
    <col min="23" max="23" width="19.72066307067871" customWidth="1"/>
    <col min="24" max="24" width="23.792490005493164" customWidth="1"/>
    <col min="25" max="25" width="25.966279983520508" customWidth="1"/>
    <col min="26" max="26" width="33.28424072265625" customWidth="1"/>
    <col min="27" max="27" width="31.761056900024414" customWidth="1"/>
    <col min="28" max="28" width="28.486743927001953" customWidth="1"/>
    <col min="29" max="29" width="22.668012619018555" customWidth="1"/>
    <col min="30" max="30" width="17.443378448486328" customWidth="1"/>
    <col min="31" max="31" width="27.37687110900879" customWidth="1"/>
    <col min="32" max="32" width="17.443378448486328" customWidth="1"/>
    <col min="33" max="33" width="20.669025421142578" customWidth="1"/>
    <col min="34" max="34" width="18.023935317993164" customWidth="1"/>
    <col min="35" max="35" width="28.875396728515625" customWidth="1"/>
    <col min="36" max="36" width="27.016462326049805" customWidth="1"/>
    <col min="37" max="37" width="22.837690353393555" customWidth="1"/>
    <col min="38" max="38" width="33.973514556884766" customWidth="1"/>
    <col min="39" max="39" width="36.4902458190918" customWidth="1"/>
    <col min="40" max="40" width="48.76530075073242" customWidth="1"/>
  </cols>
  <sheetData>
    <row r="1">
      <c r="A1" s="1" t="s">
        <v>4929</v>
      </c>
      <c r="B1" s="1" t="s">
        <v>1</v>
      </c>
      <c r="C1" s="1" t="s">
        <v>1447</v>
      </c>
      <c r="D1" s="1" t="s">
        <v>4934</v>
      </c>
      <c r="E1" s="1" t="s">
        <v>4936</v>
      </c>
      <c r="F1" s="1" t="s">
        <v>4938</v>
      </c>
      <c r="G1" s="1" t="s">
        <v>1572</v>
      </c>
      <c r="H1" s="1" t="s">
        <v>4941</v>
      </c>
      <c r="I1" s="1" t="s">
        <v>4943</v>
      </c>
      <c r="J1" s="1" t="s">
        <v>1614</v>
      </c>
      <c r="K1" s="1" t="s">
        <v>1613</v>
      </c>
      <c r="L1" s="1" t="s">
        <v>4947</v>
      </c>
      <c r="M1" s="1" t="s">
        <v>4950</v>
      </c>
      <c r="N1" s="1" t="s">
        <v>4953</v>
      </c>
      <c r="O1" s="1" t="s">
        <v>4956</v>
      </c>
      <c r="P1" s="1" t="s">
        <v>4959</v>
      </c>
      <c r="Q1" s="1" t="s">
        <v>4961</v>
      </c>
      <c r="R1" s="1" t="s">
        <v>4964</v>
      </c>
      <c r="S1" s="1" t="s">
        <v>4967</v>
      </c>
      <c r="T1" s="1" t="s">
        <v>4969</v>
      </c>
      <c r="U1" s="1" t="s">
        <v>4972</v>
      </c>
      <c r="V1" s="1" t="s">
        <v>4975</v>
      </c>
      <c r="W1" s="1" t="s">
        <v>4978</v>
      </c>
      <c r="X1" s="1" t="s">
        <v>4981</v>
      </c>
      <c r="Y1" s="1" t="s">
        <v>4984</v>
      </c>
      <c r="Z1" s="1" t="s">
        <v>4987</v>
      </c>
      <c r="AA1" s="1" t="s">
        <v>4990</v>
      </c>
      <c r="AB1" s="1" t="s">
        <v>4993</v>
      </c>
      <c r="AC1" s="1" t="s">
        <v>4996</v>
      </c>
      <c r="AD1" s="1" t="s">
        <v>4999</v>
      </c>
      <c r="AE1" s="1" t="s">
        <v>5002</v>
      </c>
      <c r="AF1" s="1" t="s">
        <v>5005</v>
      </c>
      <c r="AG1" s="1" t="s">
        <v>5008</v>
      </c>
      <c r="AH1" s="1" t="s">
        <v>5010</v>
      </c>
      <c r="AI1" s="1" t="s">
        <v>5013</v>
      </c>
      <c r="AJ1" s="1" t="s">
        <v>5016</v>
      </c>
      <c r="AK1" s="1" t="s">
        <v>5019</v>
      </c>
      <c r="AL1" s="1" t="s">
        <v>5022</v>
      </c>
      <c r="AM1" s="1" t="s">
        <v>5025</v>
      </c>
      <c r="AN1" s="1" t="s">
        <v>94</v>
      </c>
    </row>
    <row r="2">
      <c r="A2" s="2" t="s">
        <v>8264</v>
      </c>
      <c r="B2" s="3" t="str">
        <f>D2 &amp; ": " &amp; LEFT(F2, 60)</f>
        <v>close-pipeline: Posted approved close entries and published the package.</v>
      </c>
      <c r="C2" s="2" t="s">
        <v>1438</v>
      </c>
      <c r="D2" s="2" t="s">
        <v>165</v>
      </c>
      <c r="E2" s="2" t="s">
        <v>8265</v>
      </c>
      <c r="F2" s="2" t="s">
        <v>8266</v>
      </c>
      <c r="G2" s="4">
        <v>46205.604166666664</v>
      </c>
      <c r="H2" s="2" t="s">
        <v>8267</v>
      </c>
      <c r="I2" s="2" t="s">
        <v>1555</v>
      </c>
      <c r="J2" s="2" t="s">
        <v>145</v>
      </c>
      <c r="K2" s="4">
        <v>46205.625</v>
      </c>
      <c r="L2" s="3" t="b">
        <f>OR(I2 = "Corrected", I2 = "Reversed")</f>
        <v>0</v>
      </c>
      <c r="M2" s="3" t="b">
        <f>AND(I2 &lt;&gt; "", I2 &lt;&gt; "NotReviewed")</f>
        <v>1</v>
      </c>
      <c r="N2" s="3" t="str">
        <f>_xlfn.IFNA(INDEX(Agents!D2:D999, MATCH(D2,Agents!A2:A999, 0)), "")</f>
        <v>AutomatedPipeline</v>
      </c>
      <c r="O2" s="3" t="str">
        <f>IF(L2, D2, "")</f>
      </c>
      <c r="P2" s="2"/>
      <c r="Q2" s="3" t="str">
        <f>IF(P2 &lt;&gt; "", P2, "")</f>
      </c>
      <c r="R2" s="3" t="str">
        <f>IF(L2, P2, "")</f>
      </c>
      <c r="S2" s="3" t="str">
        <f>_xlfn.IFNA(INDEX(StepExecutions!D2:D999, MATCH(C2,StepExecutions!A2:A999, 0)), "")</f>
        <v>close-07</v>
      </c>
      <c r="T2" s="3" t="str">
        <f>S2 &amp; "|" &amp; N2 &amp; "|" &amp; E2</f>
        <v>close-07|AutomatedPipeline|Posting</v>
      </c>
      <c r="U2" s="3">
        <f>COUNTIFS(AuthorityBoundaries!Q2:Q999, T2)</f>
        <v>0</v>
      </c>
      <c r="V2" s="3" t="b">
        <f>U2 &gt; 0</f>
        <v>0</v>
      </c>
      <c r="W2" s="3" t="str">
        <f>_xlfn.IFNA(INDEX(Agents!D2:D999, MATCH(J2,Agents!A2:A999, 0)), "")</f>
        <v>Human</v>
      </c>
      <c r="X2" s="3" t="b">
        <f>AND(W2 = "Human", I2 &lt;&gt; "", I2 &lt;&gt; "NotReviewed")</f>
        <v>1</v>
      </c>
      <c r="Y2" s="3" t="b">
        <f>AND(NOT(N2 = "Human"), OR(H2 = "Material", H2 = "Escalated"))</f>
        <v>1</v>
      </c>
      <c r="Z2" s="3" t="b">
        <f>AND(Y2, NOT(X2))</f>
        <v>0</v>
      </c>
      <c r="AA2" s="3" t="str">
        <f>IF(Z2, C2, "")</f>
      </c>
      <c r="AB2" s="3" t="str">
        <f>IF(V2, D2, "")</f>
      </c>
      <c r="AC2" s="3" t="e">
        <f>IF(K2 = "", 0, DATETIME_DIFF(K2, G2, "minutes"))</f>
        <v>#NAME?</v>
      </c>
      <c r="AD2" s="3" t="b">
        <f>OR(E2 = "Draft", E2 = "Commitment")</f>
        <v>0</v>
      </c>
      <c r="AE2" s="3" t="str">
        <f>IF(AND(AD2, L2), D2, "")</f>
      </c>
      <c r="AF2" s="3" t="str">
        <f>IF(AD2, D2, "")</f>
      </c>
      <c r="AG2" s="2"/>
      <c r="AH2" s="3" t="b">
        <f>AND(L2, AG2 = "ErrorCorrection")</f>
        <v>0</v>
      </c>
      <c r="AI2" s="3" t="b">
        <f>AND(L2, AG2 = "JudgmentReserved")</f>
        <v>0</v>
      </c>
      <c r="AJ2" s="3" t="b">
        <f>AND(L2, AG2 &lt;&gt; "")</f>
        <v>0</v>
      </c>
      <c r="AK2" s="3" t="b">
        <f>AND(L2, NOT(AJ2))</f>
        <v>0</v>
      </c>
      <c r="AL2" s="3" t="str">
        <f>IF(AH2, P2, "")</f>
      </c>
      <c r="AM2" s="3" t="str">
        <f>IF(V2, P2, "")</f>
      </c>
      <c r="AN2" s="2" t="s">
        <v>8268</v>
      </c>
    </row>
    <row r="3">
      <c r="A3" s="2" t="s">
        <v>8269</v>
      </c>
      <c r="B3" s="3" t="str">
        <f>D3 &amp; ": " &amp; LEFT(F3, 60)</f>
        <v>close-pipeline: Accepted a trial-balance extract in which one feed was 17 mi</v>
      </c>
      <c r="C3" s="2" t="s">
        <v>1430</v>
      </c>
      <c r="D3" s="2" t="s">
        <v>165</v>
      </c>
      <c r="E3" s="2" t="s">
        <v>8265</v>
      </c>
      <c r="F3" s="2" t="s">
        <v>8270</v>
      </c>
      <c r="G3" s="4">
        <v>46203.925</v>
      </c>
      <c r="H3" s="2" t="s">
        <v>8267</v>
      </c>
      <c r="I3" s="2" t="s">
        <v>8271</v>
      </c>
      <c r="J3" s="2" t="s">
        <v>145</v>
      </c>
      <c r="K3" s="4">
        <v>46203.927777777775</v>
      </c>
      <c r="L3" s="3" t="b">
        <f>OR(I3 = "Corrected", I3 = "Reversed")</f>
        <v>1</v>
      </c>
      <c r="M3" s="3" t="b">
        <f>AND(I3 &lt;&gt; "", I3 &lt;&gt; "NotReviewed")</f>
        <v>1</v>
      </c>
      <c r="N3" s="3" t="str">
        <f>_xlfn.IFNA(INDEX(Agents!D2:D999, MATCH(D3,Agents!A2:A999, 0)), "")</f>
        <v>AutomatedPipeline</v>
      </c>
      <c r="O3" s="3" t="str">
        <f>IF(L3, D3, "")</f>
        <v>close-pipeline</v>
      </c>
      <c r="P3" s="2"/>
      <c r="Q3" s="3" t="str">
        <f>IF(P3 &lt;&gt; "", P3, "")</f>
      </c>
      <c r="R3" s="3">
        <f>IF(L3, P3, "")</f>
        <v>0</v>
      </c>
      <c r="S3" s="3" t="str">
        <f>_xlfn.IFNA(INDEX(StepExecutions!D2:D999, MATCH(C3,StepExecutions!A2:A999, 0)), "")</f>
        <v>close-02</v>
      </c>
      <c r="T3" s="3" t="str">
        <f>S3 &amp; "|" &amp; N3 &amp; "|" &amp; E3</f>
        <v>close-02|AutomatedPipeline|Posting</v>
      </c>
      <c r="U3" s="3">
        <f>COUNTIFS(AuthorityBoundaries!Q2:Q999, T3)</f>
        <v>0</v>
      </c>
      <c r="V3" s="3" t="b">
        <f>U3 &gt; 0</f>
        <v>0</v>
      </c>
      <c r="W3" s="3" t="str">
        <f>_xlfn.IFNA(INDEX(Agents!D2:D999, MATCH(J3,Agents!A2:A999, 0)), "")</f>
        <v>Human</v>
      </c>
      <c r="X3" s="3" t="b">
        <f>AND(W3 = "Human", I3 &lt;&gt; "", I3 &lt;&gt; "NotReviewed")</f>
        <v>1</v>
      </c>
      <c r="Y3" s="3" t="b">
        <f>AND(NOT(N3 = "Human"), OR(H3 = "Material", H3 = "Escalated"))</f>
        <v>1</v>
      </c>
      <c r="Z3" s="3" t="b">
        <f>AND(Y3, NOT(X3))</f>
        <v>0</v>
      </c>
      <c r="AA3" s="3" t="str">
        <f>IF(Z3, C3, "")</f>
      </c>
      <c r="AB3" s="3" t="str">
        <f>IF(V3, D3, "")</f>
      </c>
      <c r="AC3" s="3" t="e">
        <f>IF(K3 = "", 0, DATETIME_DIFF(K3, G3, "minutes"))</f>
        <v>#NAME?</v>
      </c>
      <c r="AD3" s="3" t="b">
        <f>OR(E3 = "Draft", E3 = "Commitment")</f>
        <v>0</v>
      </c>
      <c r="AE3" s="3" t="str">
        <f>IF(AND(AD3, L3), D3, "")</f>
      </c>
      <c r="AF3" s="3" t="str">
        <f>IF(AD3, D3, "")</f>
      </c>
      <c r="AG3" s="2"/>
      <c r="AH3" s="3" t="b">
        <f>AND(L3, AG3 = "ErrorCorrection")</f>
        <v>0</v>
      </c>
      <c r="AI3" s="3" t="b">
        <f>AND(L3, AG3 = "JudgmentReserved")</f>
        <v>0</v>
      </c>
      <c r="AJ3" s="3" t="b">
        <f>AND(L3, AG3 &lt;&gt; "")</f>
        <v>0</v>
      </c>
      <c r="AK3" s="3" t="b">
        <f>AND(L3, NOT(AJ3))</f>
        <v>1</v>
      </c>
      <c r="AL3" s="3" t="str">
        <f>IF(AH3, P3, "")</f>
      </c>
      <c r="AM3" s="3" t="str">
        <f>IF(V3, P3, "")</f>
      </c>
      <c r="AN3" s="2" t="s">
        <v>8268</v>
      </c>
    </row>
    <row r="4">
      <c r="A4" s="2" t="s">
        <v>8272</v>
      </c>
      <c r="B4" s="3" t="str">
        <f>D4 &amp; ": " &amp; LEFT(F4, 60)</f>
        <v>close-pipeline: Locked subledgers at cutoff.</v>
      </c>
      <c r="C4" s="2" t="s">
        <v>1427</v>
      </c>
      <c r="D4" s="2" t="s">
        <v>165</v>
      </c>
      <c r="E4" s="2" t="s">
        <v>8265</v>
      </c>
      <c r="F4" s="2" t="s">
        <v>8273</v>
      </c>
      <c r="G4" s="4">
        <v>46203.91805555556</v>
      </c>
      <c r="H4" s="2" t="s">
        <v>8267</v>
      </c>
      <c r="I4" s="2" t="s">
        <v>1555</v>
      </c>
      <c r="J4" s="2" t="s">
        <v>145</v>
      </c>
      <c r="K4" s="4">
        <v>46203.930555555555</v>
      </c>
      <c r="L4" s="3" t="b">
        <f>OR(I4 = "Corrected", I4 = "Reversed")</f>
        <v>0</v>
      </c>
      <c r="M4" s="3" t="b">
        <f>AND(I4 &lt;&gt; "", I4 &lt;&gt; "NotReviewed")</f>
        <v>1</v>
      </c>
      <c r="N4" s="3" t="str">
        <f>_xlfn.IFNA(INDEX(Agents!D2:D999, MATCH(D4,Agents!A2:A999, 0)), "")</f>
        <v>AutomatedPipeline</v>
      </c>
      <c r="O4" s="3" t="str">
        <f>IF(L4, D4, "")</f>
      </c>
      <c r="P4" s="2"/>
      <c r="Q4" s="3" t="str">
        <f>IF(P4 &lt;&gt; "", P4, "")</f>
      </c>
      <c r="R4" s="3" t="str">
        <f>IF(L4, P4, "")</f>
      </c>
      <c r="S4" s="3" t="str">
        <f>_xlfn.IFNA(INDEX(StepExecutions!D2:D999, MATCH(C4,StepExecutions!A2:A999, 0)), "")</f>
        <v>close-01</v>
      </c>
      <c r="T4" s="3" t="str">
        <f>S4 &amp; "|" &amp; N4 &amp; "|" &amp; E4</f>
        <v>close-01|AutomatedPipeline|Posting</v>
      </c>
      <c r="U4" s="3">
        <f>COUNTIFS(AuthorityBoundaries!Q2:Q999, T4)</f>
        <v>0</v>
      </c>
      <c r="V4" s="3" t="b">
        <f>U4 &gt; 0</f>
        <v>0</v>
      </c>
      <c r="W4" s="3" t="str">
        <f>_xlfn.IFNA(INDEX(Agents!D2:D999, MATCH(J4,Agents!A2:A999, 0)), "")</f>
        <v>Human</v>
      </c>
      <c r="X4" s="3" t="b">
        <f>AND(W4 = "Human", I4 &lt;&gt; "", I4 &lt;&gt; "NotReviewed")</f>
        <v>1</v>
      </c>
      <c r="Y4" s="3" t="b">
        <f>AND(NOT(N4 = "Human"), OR(H4 = "Material", H4 = "Escalated"))</f>
        <v>1</v>
      </c>
      <c r="Z4" s="3" t="b">
        <f>AND(Y4, NOT(X4))</f>
        <v>0</v>
      </c>
      <c r="AA4" s="3" t="str">
        <f>IF(Z4, C4, "")</f>
      </c>
      <c r="AB4" s="3" t="str">
        <f>IF(V4, D4, "")</f>
      </c>
      <c r="AC4" s="3" t="e">
        <f>IF(K4 = "", 0, DATETIME_DIFF(K4, G4, "minutes"))</f>
        <v>#NAME?</v>
      </c>
      <c r="AD4" s="3" t="b">
        <f>OR(E4 = "Draft", E4 = "Commitment")</f>
        <v>0</v>
      </c>
      <c r="AE4" s="3" t="str">
        <f>IF(AND(AD4, L4), D4, "")</f>
      </c>
      <c r="AF4" s="3" t="str">
        <f>IF(AD4, D4, "")</f>
      </c>
      <c r="AG4" s="2"/>
      <c r="AH4" s="3" t="b">
        <f>AND(L4, AG4 = "ErrorCorrection")</f>
        <v>0</v>
      </c>
      <c r="AI4" s="3" t="b">
        <f>AND(L4, AG4 = "JudgmentReserved")</f>
        <v>0</v>
      </c>
      <c r="AJ4" s="3" t="b">
        <f>AND(L4, AG4 &lt;&gt; "")</f>
        <v>0</v>
      </c>
      <c r="AK4" s="3" t="b">
        <f>AND(L4, NOT(AJ4))</f>
        <v>0</v>
      </c>
      <c r="AL4" s="3" t="str">
        <f>IF(AH4, P4, "")</f>
      </c>
      <c r="AM4" s="3" t="str">
        <f>IF(V4, P4, "")</f>
      </c>
      <c r="AN4" s="2" t="s">
        <v>8268</v>
      </c>
    </row>
  </sheetData>
  <autoFilter ref="A1:AN1"/>
  <headerFooter/>
  <legacyDrawing r:id="rId1"/>
</worksheet>
</file>

<file path=xl/worksheets/sheet6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2"/>
  <sheetViews>
    <sheetView workbookViewId="0">
      <pane ySplit="1" topLeftCell="A2" state="frozen" activePane="bottomLeft"/>
      <selection pane="bottomLeft" activeCell="A1" sqref="A1"/>
    </sheetView>
  </sheetViews>
  <sheetFormatPr defaultRowHeight="15"/>
  <cols>
    <col min="1" max="1" width="26.537160873413086" customWidth="1"/>
    <col min="2" max="2" width="54.027252197265625" customWidth="1"/>
    <col min="3" max="3" width="20.414697647094727" customWidth="1"/>
    <col min="4" max="4" width="22.54623794555664" customWidth="1"/>
    <col min="5" max="5" width="25.454593658447266" customWidth="1"/>
    <col min="6" max="6" width="18.18422508239746" customWidth="1"/>
    <col min="7" max="7" width="17.443378448486328" customWidth="1"/>
    <col min="8" max="8" width="17.443378448486328" customWidth="1"/>
    <col min="9" max="9" width="17.443378448486328" customWidth="1"/>
    <col min="10" max="10" width="22.749176025390625" customWidth="1"/>
    <col min="11" max="11" width="22.75022315979004" customWidth="1"/>
    <col min="12" max="12" width="17.443378448486328" customWidth="1"/>
    <col min="13" max="13" width="52.523475646972656" customWidth="1"/>
    <col min="14" max="14" width="17.577348709106445" customWidth="1"/>
    <col min="15" max="15" width="24.75113868713379" customWidth="1"/>
    <col min="16" max="16" width="17.443378448486328" customWidth="1"/>
    <col min="17" max="17" width="27.971298217773438" customWidth="1"/>
    <col min="18" max="18" width="17.443378448486328" customWidth="1"/>
  </cols>
  <sheetData>
    <row r="1">
      <c r="A1" s="1" t="s">
        <v>5030</v>
      </c>
      <c r="B1" s="1" t="s">
        <v>1</v>
      </c>
      <c r="C1" s="1" t="s">
        <v>1329</v>
      </c>
      <c r="D1" s="1" t="s">
        <v>5035</v>
      </c>
      <c r="E1" s="1" t="s">
        <v>5037</v>
      </c>
      <c r="F1" s="1" t="s">
        <v>4387</v>
      </c>
      <c r="G1" s="1" t="s">
        <v>1671</v>
      </c>
      <c r="H1" s="1" t="s">
        <v>5041</v>
      </c>
      <c r="I1" s="1" t="s">
        <v>4393</v>
      </c>
      <c r="J1" s="1" t="s">
        <v>5044</v>
      </c>
      <c r="K1" s="1" t="s">
        <v>5046</v>
      </c>
      <c r="L1" s="1" t="s">
        <v>4397</v>
      </c>
      <c r="M1" s="1" t="s">
        <v>94</v>
      </c>
      <c r="N1" s="1" t="s">
        <v>5050</v>
      </c>
      <c r="O1" s="1" t="s">
        <v>5053</v>
      </c>
      <c r="P1" s="1" t="s">
        <v>5056</v>
      </c>
      <c r="Q1" s="1" t="s">
        <v>5059</v>
      </c>
      <c r="R1" s="1" t="s">
        <v>5062</v>
      </c>
    </row>
    <row r="2">
      <c r="A2" s="2" t="s">
        <v>8274</v>
      </c>
      <c r="B2" s="3" t="str">
        <f>G2 &amp; " -&gt; " &amp; H2 &amp; " @ " &amp; TEXT(I2, "yyyy-mm-dd hh:mm:ss")&amp;"+00"</f>
        <v>Email -&gt; emp-anon-0001 @ 1899-12-30 00:00:00+00</v>
      </c>
      <c r="C2" s="2" t="s">
        <v>1324</v>
      </c>
      <c r="D2" s="2"/>
      <c r="E2" s="2"/>
      <c r="F2" s="2"/>
      <c r="G2" s="2" t="s">
        <v>1688</v>
      </c>
      <c r="H2" s="2" t="s">
        <v>8275</v>
      </c>
      <c r="I2" s="4"/>
      <c r="J2" s="2"/>
      <c r="K2" s="2"/>
      <c r="L2" s="2" t="s">
        <v>8276</v>
      </c>
      <c r="M2" s="2" t="s">
        <v>8277</v>
      </c>
      <c r="N2" s="3" t="b">
        <f>E2 &lt;&gt; ""</f>
        <v>0</v>
      </c>
      <c r="O2" s="3" t="b">
        <f>J2 = K2</f>
        <v>1</v>
      </c>
      <c r="P2" s="6" t="str">
        <f>_xlfn.IFNA(INDEX(StepExecutions!H2:H999, MATCH(E2,StepExecutions!A2:A999, 0)), "")</f>
      </c>
      <c r="Q2" s="3" t="b">
        <f>P2 &lt;= I2</f>
        <v>1</v>
      </c>
      <c r="R2" s="3" t="b">
        <f>AND(N2, O2, Q2)</f>
        <v>0</v>
      </c>
    </row>
  </sheetData>
  <autoFilter ref="A1:R1"/>
  <headerFooter/>
  <legacyDrawing r:id="rId1"/>
</worksheet>
</file>

<file path=xl/worksheets/sheet6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G4"/>
  <sheetViews>
    <sheetView workbookViewId="0">
      <pane ySplit="1" topLeftCell="A2" state="frozen" activePane="bottomLeft"/>
      <selection pane="bottomLeft" activeCell="A1" sqref="A1"/>
    </sheetView>
  </sheetViews>
  <sheetFormatPr defaultRowHeight="15"/>
  <cols>
    <col min="1" max="1" width="35.7780647277832" customWidth="1"/>
    <col min="2" max="2" width="29.30144691467285" customWidth="1"/>
    <col min="3" max="3" width="17.443378448486328" customWidth="1"/>
    <col min="4" max="4" width="20.673364639282227" customWidth="1"/>
    <col min="5" max="5" width="22.96761131286621" customWidth="1"/>
    <col min="6" max="6" width="29.619325637817383" customWidth="1"/>
    <col min="7" max="7" width="26.427637100219727" customWidth="1"/>
    <col min="8" max="8" width="20.90545654296875" customWidth="1"/>
    <col min="9" max="9" width="23.35041618347168" customWidth="1"/>
    <col min="10" max="10" width="17.443378448486328" customWidth="1"/>
    <col min="11" max="11" width="17.443378448486328" customWidth="1"/>
    <col min="12" max="12" width="18.547500610351562" customWidth="1"/>
    <col min="13" max="13" width="23.35041618347168" customWidth="1"/>
    <col min="14" max="14" width="18.990327835083008" customWidth="1"/>
    <col min="15" max="15" width="24.83876609802246" customWidth="1"/>
    <col min="16" max="16" width="18.190820693969727" customWidth="1"/>
    <col min="17" max="17" width="30.48799705505371" customWidth="1"/>
    <col min="18" max="18" width="17.443378448486328" customWidth="1"/>
    <col min="19" max="19" width="17.443378448486328" customWidth="1"/>
    <col min="20" max="20" width="22.289936065673828" customWidth="1"/>
    <col min="21" max="21" width="17.443378448486328" customWidth="1"/>
    <col min="22" max="22" width="28.17230224609375" customWidth="1"/>
    <col min="23" max="23" width="32.89763641357422" customWidth="1"/>
    <col min="24" max="24" width="17.443378448486328" customWidth="1"/>
    <col min="25" max="25" width="27.26090431213379" customWidth="1"/>
    <col min="26" max="26" width="29.924070358276367" customWidth="1"/>
    <col min="27" max="27" width="22.163818359375" customWidth="1"/>
    <col min="28" max="28" width="24.549102783203125" customWidth="1"/>
    <col min="29" max="29" width="18.595548629760742" customWidth="1"/>
    <col min="30" max="30" width="29.978755950927734" customWidth="1"/>
    <col min="31" max="31" width="26.859760284423828" customWidth="1"/>
    <col min="32" max="32" width="30.41411018371582" customWidth="1"/>
    <col min="33" max="33" width="45.93343734741211" customWidth="1"/>
  </cols>
  <sheetData>
    <row r="1">
      <c r="A1" s="1" t="s">
        <v>5066</v>
      </c>
      <c r="B1" s="1" t="s">
        <v>1</v>
      </c>
      <c r="C1" s="1" t="s">
        <v>747</v>
      </c>
      <c r="D1" s="1" t="s">
        <v>5071</v>
      </c>
      <c r="E1" s="1" t="s">
        <v>5073</v>
      </c>
      <c r="F1" s="1" t="s">
        <v>5075</v>
      </c>
      <c r="G1" s="1" t="s">
        <v>5077</v>
      </c>
      <c r="H1" s="1" t="s">
        <v>966</v>
      </c>
      <c r="I1" s="1" t="s">
        <v>255</v>
      </c>
      <c r="J1" s="1" t="s">
        <v>256</v>
      </c>
      <c r="K1" s="1" t="s">
        <v>8</v>
      </c>
      <c r="L1" s="1" t="s">
        <v>258</v>
      </c>
      <c r="M1" s="1" t="s">
        <v>92</v>
      </c>
      <c r="N1" s="1" t="s">
        <v>5085</v>
      </c>
      <c r="O1" s="1" t="s">
        <v>5088</v>
      </c>
      <c r="P1" s="1" t="s">
        <v>5091</v>
      </c>
      <c r="Q1" s="1" t="s">
        <v>4969</v>
      </c>
      <c r="R1" s="1" t="s">
        <v>5096</v>
      </c>
      <c r="S1" s="1" t="s">
        <v>5099</v>
      </c>
      <c r="T1" s="1" t="s">
        <v>5102</v>
      </c>
      <c r="U1" s="1" t="s">
        <v>5105</v>
      </c>
      <c r="V1" s="1" t="s">
        <v>5108</v>
      </c>
      <c r="W1" s="1" t="s">
        <v>5111</v>
      </c>
      <c r="X1" s="1" t="s">
        <v>5114</v>
      </c>
      <c r="Y1" s="1" t="s">
        <v>5117</v>
      </c>
      <c r="Z1" s="1" t="s">
        <v>5120</v>
      </c>
      <c r="AA1" s="1" t="s">
        <v>5123</v>
      </c>
      <c r="AB1" s="1" t="s">
        <v>5126</v>
      </c>
      <c r="AC1" s="1" t="s">
        <v>5129</v>
      </c>
      <c r="AD1" s="1" t="s">
        <v>5132</v>
      </c>
      <c r="AE1" s="1" t="s">
        <v>5135</v>
      </c>
      <c r="AF1" s="1" t="s">
        <v>5138</v>
      </c>
      <c r="AG1" s="1" t="s">
        <v>94</v>
      </c>
    </row>
    <row r="2">
      <c r="A2" s="2" t="s">
        <v>8278</v>
      </c>
      <c r="B2" s="3" t="str">
        <f>D2 &amp; " may not " &amp; E2</f>
        <v>AIAgent may not Suppression</v>
      </c>
      <c r="C2" s="2" t="s">
        <v>554</v>
      </c>
      <c r="D2" s="2" t="s">
        <v>173</v>
      </c>
      <c r="E2" s="2" t="s">
        <v>8279</v>
      </c>
      <c r="F2" s="2" t="s">
        <v>1164</v>
      </c>
      <c r="G2" s="2" t="s">
        <v>827</v>
      </c>
      <c r="H2" s="2" t="s">
        <v>208</v>
      </c>
      <c r="I2" s="4">
        <v>46113.208333333336</v>
      </c>
      <c r="J2" s="4"/>
      <c r="K2" s="2" t="s">
        <v>461</v>
      </c>
      <c r="L2" s="2" t="s">
        <v>95</v>
      </c>
      <c r="M2" s="6">
        <f>_xlfn.IFNA(INDEX(EvaluationContexts!D2:D999, MATCH(L2,EvaluationContexts!A2:A999, 0)), "")</f>
        <v>46222.75</v>
      </c>
      <c r="N2" s="3" t="b">
        <f>AND(K2 = "Approved", I2 &lt;= M2, OR(J2 = "", J2 &gt; M2))</f>
        <v>1</v>
      </c>
      <c r="O2" s="3" t="b">
        <f>_xlfn.IFNA(INDEX(KnowledgeFragments!P2:P999, MATCH(F2,KnowledgeFragments!A2:A999, 0)), "")</f>
        <v>1</v>
      </c>
      <c r="P2" s="3" t="str">
        <f>IF(N2, C2, "")</f>
        <v>close-04</v>
      </c>
      <c r="Q2" s="3" t="str">
        <f>C2 &amp; "|" &amp; D2 &amp; "|" &amp; E2</f>
        <v>close-04|AIAgent|Suppression</v>
      </c>
      <c r="R2" s="3">
        <f>COUNTIFS(AgentDecisionRecords!T2:T999, Q2)</f>
        <v>0</v>
      </c>
      <c r="S2" s="3" t="b">
        <f>AND(N2, R2 = 0)</f>
        <v>1</v>
      </c>
      <c r="T2" s="3" t="b">
        <f>F2 &lt;&gt; ""</f>
        <v>1</v>
      </c>
      <c r="U2" s="3" t="b">
        <f>AND(N2, OR(NOT(T2), NOT(O2)))</f>
        <v>0</v>
      </c>
      <c r="V2" s="3" t="b">
        <f>_xlfn.IFNA(INDEX(KnowledgeFragments!AW2:AW999, MATCH(F2,KnowledgeFragments!A2:A999, 0)), "")</f>
        <v>1</v>
      </c>
      <c r="W2" s="3" t="b">
        <f>_xlfn.IFNA(INDEX(KnowledgeFragments!AD2:AD999, MATCH(F2,KnowledgeFragments!A2:A999, 0)), "")</f>
        <v>1</v>
      </c>
      <c r="X2" s="3" t="b">
        <f>AND(N2, OR(V2, W2))</f>
        <v>1</v>
      </c>
      <c r="Y2" s="3" t="b">
        <f>AND(U2, S2)</f>
        <v>0</v>
      </c>
      <c r="Z2" s="3" t="str">
        <f>IF(U2, C2, "")</f>
      </c>
      <c r="AA2" s="3" t="str">
        <f>IF(N2, F2, "")</f>
        <v>kf-close-judgment</v>
      </c>
      <c r="AB2" s="3" t="str">
        <f>_xlfn.IFNA(INDEX(KnowledgeFragments!L2:L999, MATCH(F2,KnowledgeFragments!A2:A999, 0)), "")</f>
        <v>Approved</v>
      </c>
      <c r="AC2" s="3" t="b">
        <f>AND(T2, NOT(O2))</f>
        <v>0</v>
      </c>
      <c r="AD2" s="3" t="b">
        <f>AND(N2, AC2)</f>
        <v>0</v>
      </c>
      <c r="AE2" s="3" t="b">
        <f>AND(AD2, S2)</f>
        <v>0</v>
      </c>
      <c r="AF2" s="3" t="str">
        <f>IF(AD2, H2, "")</f>
      </c>
      <c r="AG2" s="2" t="s">
        <v>8280</v>
      </c>
    </row>
    <row r="3">
      <c r="A3" s="2" t="s">
        <v>8281</v>
      </c>
      <c r="B3" s="3" t="str">
        <f>D3 &amp; " may not " &amp; E3</f>
        <v>AIAgent may not Approval</v>
      </c>
      <c r="C3" s="2" t="s">
        <v>563</v>
      </c>
      <c r="D3" s="2" t="s">
        <v>173</v>
      </c>
      <c r="E3" s="2" t="s">
        <v>489</v>
      </c>
      <c r="F3" s="2"/>
      <c r="G3" s="2" t="s">
        <v>847</v>
      </c>
      <c r="H3" s="2" t="s">
        <v>212</v>
      </c>
      <c r="I3" s="4">
        <v>46127.583333333336</v>
      </c>
      <c r="J3" s="4"/>
      <c r="K3" s="2" t="s">
        <v>461</v>
      </c>
      <c r="L3" s="2" t="s">
        <v>95</v>
      </c>
      <c r="M3" s="6">
        <f>_xlfn.IFNA(INDEX(EvaluationContexts!D2:D999, MATCH(L3,EvaluationContexts!A2:A999, 0)), "")</f>
        <v>46222.75</v>
      </c>
      <c r="N3" s="3" t="b">
        <f>AND(K3 = "Approved", I3 &lt;= M3, OR(J3 = "", J3 &gt; M3))</f>
        <v>1</v>
      </c>
      <c r="O3" s="3" t="str">
        <f>_xlfn.IFNA(INDEX(KnowledgeFragments!P2:P999, MATCH(F3,KnowledgeFragments!A2:A999, 0)), "")</f>
      </c>
      <c r="P3" s="3" t="str">
        <f>IF(N3, C3, "")</f>
        <v>close-06</v>
      </c>
      <c r="Q3" s="3" t="str">
        <f>C3 &amp; "|" &amp; D3 &amp; "|" &amp; E3</f>
        <v>close-06|AIAgent|Approval</v>
      </c>
      <c r="R3" s="3">
        <f>COUNTIFS(AgentDecisionRecords!T2:T999, Q3)</f>
        <v>0</v>
      </c>
      <c r="S3" s="3" t="b">
        <f>AND(N3, R3 = 0)</f>
        <v>1</v>
      </c>
      <c r="T3" s="3" t="b">
        <f>F3 &lt;&gt; ""</f>
        <v>0</v>
      </c>
      <c r="U3" s="3" t="e">
        <f>AND(N3, OR(NOT(T3), NOT(O3)))</f>
        <v>#VALUE!</v>
      </c>
      <c r="V3" s="3" t="str">
        <f>_xlfn.IFNA(INDEX(KnowledgeFragments!AW2:AW999, MATCH(F3,KnowledgeFragments!A2:A999, 0)), "")</f>
      </c>
      <c r="W3" s="3" t="str">
        <f>_xlfn.IFNA(INDEX(KnowledgeFragments!AD2:AD999, MATCH(F3,KnowledgeFragments!A2:A999, 0)), "")</f>
      </c>
      <c r="X3" s="3" t="e">
        <f>AND(N3, OR(V3, W3))</f>
        <v>#VALUE!</v>
      </c>
      <c r="Y3" s="3" t="e">
        <f>AND(U3, S3)</f>
        <v>#VALUE!</v>
      </c>
      <c r="Z3" s="3" t="e">
        <f>IF(U3, C3, "")</f>
        <v>#VALUE!</v>
      </c>
      <c r="AA3" s="3">
        <f>IF(N3, F3, "")</f>
        <v>0</v>
      </c>
      <c r="AB3" s="3" t="str">
        <f>_xlfn.IFNA(INDEX(KnowledgeFragments!L2:L999, MATCH(F3,KnowledgeFragments!A2:A999, 0)), "")</f>
      </c>
      <c r="AC3" s="3" t="e">
        <f>AND(T3, NOT(O3))</f>
        <v>#VALUE!</v>
      </c>
      <c r="AD3" s="3" t="e">
        <f>AND(N3, AC3)</f>
        <v>#VALUE!</v>
      </c>
      <c r="AE3" s="3" t="e">
        <f>AND(AD3, S3)</f>
        <v>#VALUE!</v>
      </c>
      <c r="AF3" s="3" t="e">
        <f>IF(AD3, H3, "")</f>
        <v>#VALUE!</v>
      </c>
      <c r="AG3" s="2" t="s">
        <v>8280</v>
      </c>
    </row>
    <row r="4">
      <c r="A4" s="2" t="s">
        <v>8282</v>
      </c>
      <c r="B4" s="3" t="str">
        <f>D4 &amp; " may not " &amp; E4</f>
        <v>AIAgent may not Commitment</v>
      </c>
      <c r="C4" s="2" t="s">
        <v>584</v>
      </c>
      <c r="D4" s="2" t="s">
        <v>173</v>
      </c>
      <c r="E4" s="2" t="s">
        <v>8283</v>
      </c>
      <c r="F4" s="2" t="s">
        <v>1167</v>
      </c>
      <c r="G4" s="2" t="s">
        <v>862</v>
      </c>
      <c r="H4" s="2" t="s">
        <v>220</v>
      </c>
      <c r="I4" s="4">
        <v>46154.8125</v>
      </c>
      <c r="J4" s="4"/>
      <c r="K4" s="2" t="s">
        <v>461</v>
      </c>
      <c r="L4" s="2" t="s">
        <v>95</v>
      </c>
      <c r="M4" s="6">
        <f>_xlfn.IFNA(INDEX(EvaluationContexts!D2:D999, MATCH(L4,EvaluationContexts!A2:A999, 0)), "")</f>
        <v>46222.75</v>
      </c>
      <c r="N4" s="3" t="b">
        <f>AND(K4 = "Approved", I4 &lt;= M4, OR(J4 = "", J4 &gt; M4))</f>
        <v>1</v>
      </c>
      <c r="O4" s="3" t="b">
        <f>_xlfn.IFNA(INDEX(KnowledgeFragments!P2:P999, MATCH(F4,KnowledgeFragments!A2:A999, 0)), "")</f>
        <v>1</v>
      </c>
      <c r="P4" s="3" t="str">
        <f>IF(N4, C4, "")</f>
        <v>policy-03</v>
      </c>
      <c r="Q4" s="3" t="str">
        <f>C4 &amp; "|" &amp; D4 &amp; "|" &amp; E4</f>
        <v>policy-03|AIAgent|Commitment</v>
      </c>
      <c r="R4" s="3">
        <f>COUNTIFS(AgentDecisionRecords!T2:T999, Q4)</f>
        <v>0</v>
      </c>
      <c r="S4" s="3" t="b">
        <f>AND(N4, R4 = 0)</f>
        <v>1</v>
      </c>
      <c r="T4" s="3" t="b">
        <f>F4 &lt;&gt; ""</f>
        <v>1</v>
      </c>
      <c r="U4" s="3" t="b">
        <f>AND(N4, OR(NOT(T4), NOT(O4)))</f>
        <v>0</v>
      </c>
      <c r="V4" s="3" t="b">
        <f>_xlfn.IFNA(INDEX(KnowledgeFragments!AW2:AW999, MATCH(F4,KnowledgeFragments!A2:A999, 0)), "")</f>
        <v>1</v>
      </c>
      <c r="W4" s="3" t="b">
        <f>_xlfn.IFNA(INDEX(KnowledgeFragments!AD2:AD999, MATCH(F4,KnowledgeFragments!A2:A999, 0)), "")</f>
        <v>1</v>
      </c>
      <c r="X4" s="3" t="b">
        <f>AND(N4, OR(V4, W4))</f>
        <v>1</v>
      </c>
      <c r="Y4" s="3" t="b">
        <f>AND(U4, S4)</f>
        <v>0</v>
      </c>
      <c r="Z4" s="3" t="str">
        <f>IF(U4, C4, "")</f>
      </c>
      <c r="AA4" s="3" t="str">
        <f>IF(N4, F4, "")</f>
        <v>kf-policy-ai-boundary</v>
      </c>
      <c r="AB4" s="3" t="str">
        <f>_xlfn.IFNA(INDEX(KnowledgeFragments!L2:L999, MATCH(F4,KnowledgeFragments!A2:A999, 0)), "")</f>
        <v>Approved</v>
      </c>
      <c r="AC4" s="3" t="b">
        <f>AND(T4, NOT(O4))</f>
        <v>0</v>
      </c>
      <c r="AD4" s="3" t="b">
        <f>AND(N4, AC4)</f>
        <v>0</v>
      </c>
      <c r="AE4" s="3" t="b">
        <f>AND(AD4, S4)</f>
        <v>0</v>
      </c>
      <c r="AF4" s="3" t="str">
        <f>IF(AD4, H4, "")</f>
      </c>
      <c r="AG4" s="2" t="s">
        <v>8280</v>
      </c>
    </row>
  </sheetData>
  <autoFilter ref="A1:AG1"/>
  <headerFooter/>
  <legacyDrawing r:id="rId1"/>
</worksheet>
</file>

<file path=xl/worksheets/sheet6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21.913814544677734" customWidth="1"/>
    <col min="2" max="2" width="17.443378448486328" customWidth="1"/>
    <col min="3" max="3" width="17.443378448486328" customWidth="1"/>
    <col min="4" max="4" width="19.379335403442383" customWidth="1"/>
    <col min="5" max="5" width="26.971731185913086" customWidth="1"/>
    <col min="6" max="6" width="17.443378448486328" customWidth="1"/>
    <col min="7" max="7" width="17.443378448486328" customWidth="1"/>
    <col min="8" max="8" width="18.059463500976562" customWidth="1"/>
    <col min="9" max="9" width="17.443378448486328" customWidth="1"/>
    <col min="10" max="10" width="22.262216567993164" customWidth="1"/>
    <col min="11" max="11" width="19.462017059326172" customWidth="1"/>
  </cols>
  <sheetData>
    <row r="1">
      <c r="A1" s="1" t="s">
        <v>5143</v>
      </c>
      <c r="B1" s="1" t="s">
        <v>1</v>
      </c>
      <c r="C1" s="1" t="s">
        <v>1447</v>
      </c>
      <c r="D1" s="1" t="s">
        <v>5148</v>
      </c>
      <c r="E1" s="1" t="s">
        <v>5150</v>
      </c>
      <c r="F1" s="1" t="s">
        <v>5152</v>
      </c>
      <c r="G1" s="1" t="s">
        <v>5154</v>
      </c>
      <c r="H1" s="1" t="s">
        <v>5157</v>
      </c>
      <c r="I1" s="1" t="s">
        <v>5160</v>
      </c>
      <c r="J1" s="1" t="s">
        <v>5163</v>
      </c>
      <c r="K1" s="1" t="s">
        <v>5166</v>
      </c>
    </row>
  </sheetData>
  <autoFilter ref="A1:K1"/>
  <headerFooter/>
  <legacyDrawing r:id="rId1"/>
</worksheet>
</file>

<file path=xl/worksheets/sheet6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414697647094727" customWidth="1"/>
    <col min="4" max="4" width="17.443378448486328" customWidth="1"/>
    <col min="5" max="5" width="17.443378448486328" customWidth="1"/>
    <col min="6" max="6" width="25.5279598236084" customWidth="1"/>
    <col min="7" max="7" width="23.516117095947266" customWidth="1"/>
    <col min="8" max="8" width="17.443378448486328" customWidth="1"/>
    <col min="9" max="9" width="24.346725463867188" customWidth="1"/>
    <col min="10" max="10" width="21.134294509887695" customWidth="1"/>
    <col min="11" max="11" width="26.53635597229004" customWidth="1"/>
    <col min="12" max="12" width="29.11251449584961" customWidth="1"/>
  </cols>
  <sheetData>
    <row r="1">
      <c r="A1" s="1" t="s">
        <v>5170</v>
      </c>
      <c r="B1" s="1" t="s">
        <v>1</v>
      </c>
      <c r="C1" s="1" t="s">
        <v>1329</v>
      </c>
      <c r="D1" s="1" t="s">
        <v>5175</v>
      </c>
      <c r="E1" s="1" t="s">
        <v>5177</v>
      </c>
      <c r="F1" s="1" t="s">
        <v>5179</v>
      </c>
      <c r="G1" s="1" t="s">
        <v>5181</v>
      </c>
      <c r="H1" s="1" t="s">
        <v>5183</v>
      </c>
      <c r="I1" s="1" t="s">
        <v>5186</v>
      </c>
      <c r="J1" s="1" t="s">
        <v>5189</v>
      </c>
      <c r="K1" s="1" t="s">
        <v>5192</v>
      </c>
      <c r="L1" s="1" t="s">
        <v>5195</v>
      </c>
    </row>
  </sheetData>
  <autoFilter ref="A1:L1"/>
  <headerFooter/>
  <legacyDrawing r:id="rId1"/>
</worksheet>
</file>

<file path=xl/worksheets/sheet6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3"/>
  <sheetViews>
    <sheetView workbookViewId="0">
      <pane ySplit="1" topLeftCell="A2" state="frozen" activePane="bottomLeft"/>
      <selection pane="bottomLeft" activeCell="A1" sqref="A1"/>
    </sheetView>
  </sheetViews>
  <sheetFormatPr defaultRowHeight="15"/>
  <cols>
    <col min="1" max="1" width="31.89752197265625" customWidth="1"/>
    <col min="2" max="2" width="43.90654754638672" customWidth="1"/>
    <col min="3" max="3" width="25.59624671936035" customWidth="1"/>
    <col min="4" max="4" width="35.03915786743164" customWidth="1"/>
    <col min="5" max="5" width="17.443378448486328" customWidth="1"/>
    <col min="6" max="6" width="17.443378448486328" customWidth="1"/>
    <col min="7" max="7" width="17.443378448486328" customWidth="1"/>
    <col min="8" max="8" width="256" customWidth="1"/>
    <col min="9" max="9" width="80.45428466796875" customWidth="1"/>
    <col min="10" max="10" width="17.443378448486328" customWidth="1"/>
    <col min="11" max="11" width="17.443378448486328" customWidth="1"/>
    <col min="12" max="12" width="42.42377471923828" customWidth="1"/>
  </cols>
  <sheetData>
    <row r="1">
      <c r="A1" s="1" t="s">
        <v>5198</v>
      </c>
      <c r="B1" s="1" t="s">
        <v>1</v>
      </c>
      <c r="C1" s="1" t="s">
        <v>253</v>
      </c>
      <c r="D1" s="1" t="s">
        <v>5203</v>
      </c>
      <c r="E1" s="1" t="s">
        <v>5205</v>
      </c>
      <c r="F1" s="1" t="s">
        <v>5207</v>
      </c>
      <c r="G1" s="1" t="s">
        <v>5209</v>
      </c>
      <c r="H1" s="1" t="s">
        <v>5211</v>
      </c>
      <c r="I1" s="1" t="s">
        <v>5213</v>
      </c>
      <c r="J1" s="1" t="s">
        <v>5215</v>
      </c>
      <c r="K1" s="1" t="s">
        <v>5217</v>
      </c>
      <c r="L1" s="1" t="s">
        <v>94</v>
      </c>
    </row>
    <row r="2">
      <c r="A2" s="2" t="s">
        <v>8284</v>
      </c>
      <c r="B2" s="3" t="str">
        <f>D2 &amp; " (" &amp; E2 &amp; ")"</f>
        <v>Chief Financial Officer (human)</v>
      </c>
      <c r="C2" s="2" t="s">
        <v>212</v>
      </c>
      <c r="D2" s="2" t="s">
        <v>213</v>
      </c>
      <c r="E2" s="2" t="s">
        <v>8285</v>
      </c>
      <c r="F2" s="2" t="s">
        <v>8286</v>
      </c>
      <c r="G2" s="2" t="s">
        <v>8287</v>
      </c>
      <c r="H2" s="2" t="s">
        <v>8288</v>
      </c>
      <c r="I2" s="2" t="s">
        <v>8289</v>
      </c>
      <c r="J2" s="2">
        <v>1</v>
      </c>
      <c r="K2" s="3">
        <f>COUNTIFS(AppRoutes!F2:F999, C2)</f>
        <v>12</v>
      </c>
      <c r="L2" s="2" t="s">
        <v>1850</v>
      </c>
    </row>
    <row r="3">
      <c r="A3" s="2" t="s">
        <v>8290</v>
      </c>
      <c r="B3" s="3" t="str">
        <f>D3 &amp; " (" &amp; E3 &amp; ")"</f>
        <v>Corporate Controller (human)</v>
      </c>
      <c r="C3" s="2" t="s">
        <v>208</v>
      </c>
      <c r="D3" s="2" t="s">
        <v>209</v>
      </c>
      <c r="E3" s="2" t="s">
        <v>8285</v>
      </c>
      <c r="F3" s="2" t="s">
        <v>8291</v>
      </c>
      <c r="G3" s="2" t="s">
        <v>8292</v>
      </c>
      <c r="H3" s="2" t="s">
        <v>8293</v>
      </c>
      <c r="I3" s="2" t="s">
        <v>8294</v>
      </c>
      <c r="J3" s="2">
        <v>2</v>
      </c>
      <c r="K3" s="3">
        <f>COUNTIFS(AppRoutes!F2:F999, C3)</f>
        <v>10</v>
      </c>
      <c r="L3" s="2" t="s">
        <v>1850</v>
      </c>
    </row>
    <row r="4">
      <c r="A4" s="2" t="s">
        <v>8295</v>
      </c>
      <c r="B4" s="3" t="str">
        <f>D4 &amp; " (" &amp; E4 &amp; ")"</f>
        <v>Finance Analyst (human)</v>
      </c>
      <c r="C4" s="2" t="s">
        <v>203</v>
      </c>
      <c r="D4" s="2" t="s">
        <v>204</v>
      </c>
      <c r="E4" s="2" t="s">
        <v>8285</v>
      </c>
      <c r="F4" s="2" t="s">
        <v>8296</v>
      </c>
      <c r="G4" s="2" t="s">
        <v>8297</v>
      </c>
      <c r="H4" s="2" t="s">
        <v>8298</v>
      </c>
      <c r="I4" s="2" t="s">
        <v>8299</v>
      </c>
      <c r="J4" s="2">
        <v>3</v>
      </c>
      <c r="K4" s="3">
        <f>COUNTIFS(AppRoutes!F2:F999, C4)</f>
        <v>11</v>
      </c>
      <c r="L4" s="2" t="s">
        <v>1850</v>
      </c>
    </row>
    <row r="5">
      <c r="A5" s="2" t="s">
        <v>8300</v>
      </c>
      <c r="B5" s="3" t="str">
        <f>D5 &amp; " (" &amp; E5 &amp; ")"</f>
        <v>People Policy Owner (human)</v>
      </c>
      <c r="C5" s="2" t="s">
        <v>216</v>
      </c>
      <c r="D5" s="2" t="s">
        <v>217</v>
      </c>
      <c r="E5" s="2" t="s">
        <v>8285</v>
      </c>
      <c r="F5" s="2" t="s">
        <v>8301</v>
      </c>
      <c r="G5" s="2" t="s">
        <v>8302</v>
      </c>
      <c r="H5" s="2" t="s">
        <v>8303</v>
      </c>
      <c r="I5" s="2" t="s">
        <v>8304</v>
      </c>
      <c r="J5" s="2">
        <v>4</v>
      </c>
      <c r="K5" s="3">
        <f>COUNTIFS(AppRoutes!F2:F999, C5)</f>
        <v>10</v>
      </c>
      <c r="L5" s="2" t="s">
        <v>1850</v>
      </c>
    </row>
    <row r="6">
      <c r="A6" s="2" t="s">
        <v>8305</v>
      </c>
      <c r="B6" s="3" t="str">
        <f>D6 &amp; " (" &amp; E6 &amp; ")"</f>
        <v>Employment Counsel (human)</v>
      </c>
      <c r="C6" s="2" t="s">
        <v>220</v>
      </c>
      <c r="D6" s="2" t="s">
        <v>221</v>
      </c>
      <c r="E6" s="2" t="s">
        <v>8285</v>
      </c>
      <c r="F6" s="2" t="s">
        <v>8306</v>
      </c>
      <c r="G6" s="2" t="s">
        <v>8307</v>
      </c>
      <c r="H6" s="2" t="s">
        <v>8308</v>
      </c>
      <c r="I6" s="2" t="s">
        <v>8309</v>
      </c>
      <c r="J6" s="2">
        <v>5</v>
      </c>
      <c r="K6" s="3">
        <f>COUNTIFS(AppRoutes!F2:F999, C6)</f>
        <v>6</v>
      </c>
      <c r="L6" s="2" t="s">
        <v>1850</v>
      </c>
    </row>
    <row r="7">
      <c r="A7" s="2" t="s">
        <v>8310</v>
      </c>
      <c r="B7" s="3" t="str">
        <f>D7 &amp; " (" &amp; E7 &amp; ")"</f>
        <v>Employee Communications Manager (human)</v>
      </c>
      <c r="C7" s="2" t="s">
        <v>224</v>
      </c>
      <c r="D7" s="2" t="s">
        <v>225</v>
      </c>
      <c r="E7" s="2" t="s">
        <v>8285</v>
      </c>
      <c r="F7" s="2" t="s">
        <v>8311</v>
      </c>
      <c r="G7" s="2" t="s">
        <v>8312</v>
      </c>
      <c r="H7" s="2" t="s">
        <v>8313</v>
      </c>
      <c r="I7" s="2" t="s">
        <v>8314</v>
      </c>
      <c r="J7" s="2">
        <v>6</v>
      </c>
      <c r="K7" s="3">
        <f>COUNTIFS(AppRoutes!F2:F999, C7)</f>
        <v>11</v>
      </c>
      <c r="L7" s="2" t="s">
        <v>1850</v>
      </c>
    </row>
    <row r="8">
      <c r="A8" s="2" t="s">
        <v>8315</v>
      </c>
      <c r="B8" s="3" t="str">
        <f>D8 &amp; " (" &amp; E8 &amp; ")"</f>
        <v>Procedural Knowledge Steward (human)</v>
      </c>
      <c r="C8" s="2" t="s">
        <v>244</v>
      </c>
      <c r="D8" s="2" t="s">
        <v>245</v>
      </c>
      <c r="E8" s="2" t="s">
        <v>8285</v>
      </c>
      <c r="F8" s="2" t="s">
        <v>8316</v>
      </c>
      <c r="G8" s="2" t="s">
        <v>8317</v>
      </c>
      <c r="H8" s="2" t="s">
        <v>8318</v>
      </c>
      <c r="I8" s="2" t="s">
        <v>8319</v>
      </c>
      <c r="J8" s="2">
        <v>7</v>
      </c>
      <c r="K8" s="3">
        <f>COUNTIFS(AppRoutes!F2:F999, C8)</f>
        <v>11</v>
      </c>
      <c r="L8" s="2" t="s">
        <v>1850</v>
      </c>
    </row>
    <row r="9">
      <c r="A9" s="2" t="s">
        <v>8320</v>
      </c>
      <c r="B9" s="3" t="str">
        <f>D9 &amp; " (" &amp; E9 &amp; ")"</f>
        <v>Procedural Knowledge Authority (human)</v>
      </c>
      <c r="C9" s="2" t="s">
        <v>248</v>
      </c>
      <c r="D9" s="2" t="s">
        <v>249</v>
      </c>
      <c r="E9" s="2" t="s">
        <v>8285</v>
      </c>
      <c r="F9" s="2" t="s">
        <v>8321</v>
      </c>
      <c r="G9" s="2" t="s">
        <v>8322</v>
      </c>
      <c r="H9" s="2" t="s">
        <v>8323</v>
      </c>
      <c r="I9" s="2" t="s">
        <v>8324</v>
      </c>
      <c r="J9" s="2">
        <v>8</v>
      </c>
      <c r="K9" s="3">
        <f>COUNTIFS(AppRoutes!F2:F999, C9)</f>
        <v>11</v>
      </c>
      <c r="L9" s="2" t="s">
        <v>1850</v>
      </c>
    </row>
    <row r="10">
      <c r="A10" s="2" t="s">
        <v>8325</v>
      </c>
      <c r="B10" s="3" t="str">
        <f>D10 &amp; " (" &amp; E10 &amp; ")"</f>
        <v>Close Automation Operator (software)</v>
      </c>
      <c r="C10" s="2" t="s">
        <v>228</v>
      </c>
      <c r="D10" s="2" t="s">
        <v>229</v>
      </c>
      <c r="E10" s="2" t="s">
        <v>8326</v>
      </c>
      <c r="F10" s="2" t="s">
        <v>8327</v>
      </c>
      <c r="G10" s="2" t="s">
        <v>8328</v>
      </c>
      <c r="H10" s="2" t="s">
        <v>8329</v>
      </c>
      <c r="I10" s="2" t="s">
        <v>8330</v>
      </c>
      <c r="J10" s="2">
        <v>9</v>
      </c>
      <c r="K10" s="3">
        <f>COUNTIFS(AppRoutes!F2:F999, C10)</f>
        <v>6</v>
      </c>
      <c r="L10" s="2" t="s">
        <v>1850</v>
      </c>
    </row>
    <row r="11">
      <c r="A11" s="2" t="s">
        <v>8331</v>
      </c>
      <c r="B11" s="3" t="str">
        <f>D11 &amp; " (" &amp; E11 &amp; ")"</f>
        <v>Variance Review Agent (software)</v>
      </c>
      <c r="C11" s="2" t="s">
        <v>232</v>
      </c>
      <c r="D11" s="2" t="s">
        <v>233</v>
      </c>
      <c r="E11" s="2" t="s">
        <v>8326</v>
      </c>
      <c r="F11" s="2" t="s">
        <v>8332</v>
      </c>
      <c r="G11" s="2" t="s">
        <v>8333</v>
      </c>
      <c r="H11" s="2" t="s">
        <v>8334</v>
      </c>
      <c r="I11" s="2" t="s">
        <v>8335</v>
      </c>
      <c r="J11" s="2">
        <v>10</v>
      </c>
      <c r="K11" s="3">
        <f>COUNTIFS(AppRoutes!F2:F999, C11)</f>
        <v>11</v>
      </c>
      <c r="L11" s="2" t="s">
        <v>1850</v>
      </c>
    </row>
    <row r="12">
      <c r="A12" s="2" t="s">
        <v>8336</v>
      </c>
      <c r="B12" s="3" t="str">
        <f>D12 &amp; " (" &amp; E12 &amp; ")"</f>
        <v>Policy Drafting Agent (software)</v>
      </c>
      <c r="C12" s="2" t="s">
        <v>236</v>
      </c>
      <c r="D12" s="2" t="s">
        <v>237</v>
      </c>
      <c r="E12" s="2" t="s">
        <v>8326</v>
      </c>
      <c r="F12" s="2" t="s">
        <v>8337</v>
      </c>
      <c r="G12" s="2" t="s">
        <v>8338</v>
      </c>
      <c r="H12" s="2" t="s">
        <v>8339</v>
      </c>
      <c r="I12" s="2" t="s">
        <v>8340</v>
      </c>
      <c r="J12" s="2">
        <v>11</v>
      </c>
      <c r="K12" s="3">
        <f>COUNTIFS(AppRoutes!F2:F999, C12)</f>
        <v>6</v>
      </c>
      <c r="L12" s="2" t="s">
        <v>1850</v>
      </c>
    </row>
    <row r="13">
      <c r="A13" s="2" t="s">
        <v>8341</v>
      </c>
      <c r="B13" s="3" t="str">
        <f>D13 &amp; " (" &amp; E13 &amp; ")"</f>
        <v>Notification Publisher (software)</v>
      </c>
      <c r="C13" s="2" t="s">
        <v>240</v>
      </c>
      <c r="D13" s="2" t="s">
        <v>241</v>
      </c>
      <c r="E13" s="2" t="s">
        <v>8326</v>
      </c>
      <c r="F13" s="2" t="s">
        <v>8342</v>
      </c>
      <c r="G13" s="2" t="s">
        <v>8343</v>
      </c>
      <c r="H13" s="2" t="s">
        <v>8344</v>
      </c>
      <c r="I13" s="2" t="s">
        <v>8345</v>
      </c>
      <c r="J13" s="2">
        <v>12</v>
      </c>
      <c r="K13" s="3">
        <f>COUNTIFS(AppRoutes!F2:F999, C13)</f>
        <v>11</v>
      </c>
      <c r="L13" s="2" t="s">
        <v>1850</v>
      </c>
    </row>
  </sheetData>
  <autoFilter ref="A1:L1"/>
  <headerFooter/>
  <legacyDrawing r:id="rId1"/>
</worksheet>
</file>

<file path=xl/worksheets/sheet7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24"/>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41.37693405151367" customWidth="1"/>
  </cols>
  <sheetData>
    <row r="1">
      <c r="A1" s="1" t="s">
        <v>5221</v>
      </c>
      <c r="B1" s="1" t="s">
        <v>1</v>
      </c>
      <c r="C1" s="1" t="s">
        <v>5225</v>
      </c>
      <c r="D1" s="1" t="s">
        <v>5217</v>
      </c>
      <c r="E1" s="1" t="s">
        <v>94</v>
      </c>
    </row>
    <row r="2">
      <c r="A2" s="2" t="s">
        <v>8346</v>
      </c>
      <c r="B2" s="3" t="str">
        <f>C2</f>
        <v>Attestation</v>
      </c>
      <c r="C2" s="2" t="s">
        <v>8347</v>
      </c>
      <c r="D2" s="3">
        <f>COUNTIFS(AppRoutes!G2:G999, A2)</f>
        <v>4</v>
      </c>
      <c r="E2" s="2" t="s">
        <v>1854</v>
      </c>
    </row>
    <row r="3">
      <c r="A3" s="2" t="s">
        <v>8348</v>
      </c>
      <c r="B3" s="3" t="str">
        <f>C3</f>
        <v>Assurance</v>
      </c>
      <c r="C3" s="2" t="s">
        <v>8349</v>
      </c>
      <c r="D3" s="3">
        <f>COUNTIFS(AppRoutes!G2:G999, A3)</f>
        <v>5</v>
      </c>
      <c r="E3" s="2" t="s">
        <v>1854</v>
      </c>
    </row>
    <row r="4">
      <c r="A4" s="2" t="s">
        <v>8350</v>
      </c>
      <c r="B4" s="3" t="str">
        <f>C4</f>
        <v>Authority</v>
      </c>
      <c r="C4" s="2" t="s">
        <v>1231</v>
      </c>
      <c r="D4" s="3">
        <f>COUNTIFS(AppRoutes!G2:G999, A4)</f>
        <v>4</v>
      </c>
      <c r="E4" s="2" t="s">
        <v>1854</v>
      </c>
    </row>
    <row r="5">
      <c r="A5" s="2" t="s">
        <v>8351</v>
      </c>
      <c r="B5" s="3" t="str">
        <f>C5</f>
        <v>Controls</v>
      </c>
      <c r="C5" s="2" t="s">
        <v>8352</v>
      </c>
      <c r="D5" s="3">
        <f>COUNTIFS(AppRoutes!G2:G999, A5)</f>
        <v>4</v>
      </c>
      <c r="E5" s="2" t="s">
        <v>1854</v>
      </c>
    </row>
    <row r="6">
      <c r="A6" s="2" t="s">
        <v>8353</v>
      </c>
      <c r="B6" s="3" t="str">
        <f>C6</f>
        <v>Evidence</v>
      </c>
      <c r="C6" s="2" t="s">
        <v>1449</v>
      </c>
      <c r="D6" s="3">
        <f>COUNTIFS(AppRoutes!G2:G999, A6)</f>
        <v>5</v>
      </c>
      <c r="E6" s="2" t="s">
        <v>1854</v>
      </c>
    </row>
    <row r="7">
      <c r="A7" s="2" t="s">
        <v>8354</v>
      </c>
      <c r="B7" s="3" t="str">
        <f>C7</f>
        <v>Execution</v>
      </c>
      <c r="C7" s="2" t="s">
        <v>8355</v>
      </c>
      <c r="D7" s="3">
        <f>COUNTIFS(AppRoutes!G2:G999, A7)</f>
        <v>6</v>
      </c>
      <c r="E7" s="2" t="s">
        <v>1854</v>
      </c>
    </row>
    <row r="8">
      <c r="A8" s="2" t="s">
        <v>8356</v>
      </c>
      <c r="B8" s="3" t="str">
        <f>C8</f>
        <v>Knowledge</v>
      </c>
      <c r="C8" s="2" t="s">
        <v>8357</v>
      </c>
      <c r="D8" s="3">
        <f>COUNTIFS(AppRoutes!G2:G999, A8)</f>
        <v>11</v>
      </c>
      <c r="E8" s="2" t="s">
        <v>1854</v>
      </c>
    </row>
    <row r="9">
      <c r="A9" s="2" t="s">
        <v>8358</v>
      </c>
      <c r="B9" s="3" t="str">
        <f>C9</f>
        <v>Governance</v>
      </c>
      <c r="C9" s="2" t="s">
        <v>835</v>
      </c>
      <c r="D9" s="3">
        <f>COUNTIFS(AppRoutes!G2:G999, A9)</f>
        <v>20</v>
      </c>
      <c r="E9" s="2" t="s">
        <v>1854</v>
      </c>
    </row>
    <row r="10">
      <c r="A10" s="2" t="s">
        <v>8359</v>
      </c>
      <c r="B10" s="3" t="str">
        <f>C10</f>
        <v>Delivery</v>
      </c>
      <c r="C10" s="2" t="s">
        <v>8360</v>
      </c>
      <c r="D10" s="3">
        <f>COUNTIFS(AppRoutes!G2:G999, A10)</f>
        <v>5</v>
      </c>
      <c r="E10" s="2" t="s">
        <v>1854</v>
      </c>
    </row>
    <row r="11">
      <c r="A11" s="2" t="s">
        <v>8361</v>
      </c>
      <c r="B11" s="3" t="str">
        <f>C11</f>
        <v>Audience</v>
      </c>
      <c r="C11" s="2" t="s">
        <v>8362</v>
      </c>
      <c r="D11" s="3">
        <f>COUNTIFS(AppRoutes!G2:G999, A11)</f>
        <v>2</v>
      </c>
      <c r="E11" s="2" t="s">
        <v>1854</v>
      </c>
    </row>
    <row r="12">
      <c r="A12" s="2" t="s">
        <v>8363</v>
      </c>
      <c r="B12" s="3" t="str">
        <f>C12</f>
        <v>Compliance</v>
      </c>
      <c r="C12" s="2" t="s">
        <v>8364</v>
      </c>
      <c r="D12" s="3">
        <f>COUNTIFS(AppRoutes!G2:G999, A12)</f>
        <v>8</v>
      </c>
      <c r="E12" s="2" t="s">
        <v>1854</v>
      </c>
    </row>
    <row r="13">
      <c r="A13" s="2" t="s">
        <v>8365</v>
      </c>
      <c r="B13" s="3" t="str">
        <f>C13</f>
        <v>Readiness</v>
      </c>
      <c r="C13" s="2" t="s">
        <v>8366</v>
      </c>
      <c r="D13" s="3">
        <f>COUNTIFS(AppRoutes!G2:G999, A13)</f>
        <v>13</v>
      </c>
      <c r="E13" s="2" t="s">
        <v>1854</v>
      </c>
    </row>
    <row r="14">
      <c r="A14" s="2" t="s">
        <v>8367</v>
      </c>
      <c r="B14" s="3" t="str">
        <f>C14</f>
        <v>Self-check</v>
      </c>
      <c r="C14" s="2" t="s">
        <v>8368</v>
      </c>
      <c r="D14" s="3">
        <f>COUNTIFS(AppRoutes!G2:G999, A14)</f>
        <v>7</v>
      </c>
      <c r="E14" s="2" t="s">
        <v>1854</v>
      </c>
    </row>
    <row r="15">
      <c r="A15" s="2" t="s">
        <v>8369</v>
      </c>
      <c r="B15" s="3" t="str">
        <f>C15</f>
        <v>Quality</v>
      </c>
      <c r="C15" s="2" t="s">
        <v>889</v>
      </c>
      <c r="D15" s="3">
        <f>COUNTIFS(AppRoutes!G2:G999, A15)</f>
        <v>7</v>
      </c>
      <c r="E15" s="2" t="s">
        <v>1854</v>
      </c>
    </row>
    <row r="16">
      <c r="A16" s="2" t="s">
        <v>8370</v>
      </c>
      <c r="B16" s="3" t="str">
        <f>C16</f>
        <v>My Backlog</v>
      </c>
      <c r="C16" s="2" t="s">
        <v>8371</v>
      </c>
      <c r="D16" s="3">
        <f>COUNTIFS(AppRoutes!G2:G999, A16)</f>
        <v>3</v>
      </c>
      <c r="E16" s="2" t="s">
        <v>1854</v>
      </c>
    </row>
    <row r="17">
      <c r="A17" s="2" t="s">
        <v>8372</v>
      </c>
      <c r="B17" s="3" t="str">
        <f>C17</f>
        <v>Ownership</v>
      </c>
      <c r="C17" s="2" t="s">
        <v>8373</v>
      </c>
      <c r="D17" s="3">
        <f>COUNTIFS(AppRoutes!G2:G999, A17)</f>
        <v>5</v>
      </c>
      <c r="E17" s="2" t="s">
        <v>1854</v>
      </c>
    </row>
    <row r="18">
      <c r="A18" s="2" t="s">
        <v>8374</v>
      </c>
      <c r="B18" s="3" t="str">
        <f>C18</f>
        <v>Cadence</v>
      </c>
      <c r="C18" s="2" t="s">
        <v>328</v>
      </c>
      <c r="D18" s="3">
        <f>COUNTIFS(AppRoutes!G2:G999, A18)</f>
        <v>3</v>
      </c>
      <c r="E18" s="2" t="s">
        <v>1854</v>
      </c>
    </row>
    <row r="19">
      <c r="A19" s="2" t="s">
        <v>8375</v>
      </c>
      <c r="B19" s="3" t="str">
        <f>C19</f>
        <v>The Model</v>
      </c>
      <c r="C19" s="2" t="s">
        <v>8376</v>
      </c>
      <c r="D19" s="3">
        <f>COUNTIFS(AppRoutes!G2:G999, A19)</f>
        <v>4</v>
      </c>
      <c r="E19" s="2" t="s">
        <v>1854</v>
      </c>
    </row>
    <row r="20">
      <c r="A20" s="2" t="s">
        <v>8377</v>
      </c>
      <c r="B20" s="3" t="str">
        <f>C20</f>
        <v>Conformance</v>
      </c>
      <c r="C20" s="2" t="s">
        <v>8378</v>
      </c>
      <c r="D20" s="3">
        <f>COUNTIFS(AppRoutes!G2:G999, A20)</f>
        <v>2</v>
      </c>
      <c r="E20" s="2" t="s">
        <v>1854</v>
      </c>
    </row>
    <row r="21">
      <c r="A21" s="2" t="s">
        <v>8379</v>
      </c>
      <c r="B21" s="3" t="str">
        <f>C21</f>
        <v>Witnesses</v>
      </c>
      <c r="C21" s="2" t="s">
        <v>8380</v>
      </c>
      <c r="D21" s="3">
        <f>COUNTIFS(AppRoutes!G2:G999, A21)</f>
        <v>2</v>
      </c>
      <c r="E21" s="2" t="s">
        <v>1854</v>
      </c>
    </row>
    <row r="22">
      <c r="A22" s="2" t="s">
        <v>8381</v>
      </c>
      <c r="B22" s="3" t="str">
        <f>C22</f>
        <v>Loops</v>
      </c>
      <c r="C22" s="2" t="s">
        <v>8382</v>
      </c>
      <c r="D22" s="3">
        <f>COUNTIFS(AppRoutes!G2:G999, A22)</f>
        <v>2</v>
      </c>
      <c r="E22" s="2" t="s">
        <v>1854</v>
      </c>
    </row>
    <row r="23">
      <c r="A23" s="2" t="s">
        <v>8153</v>
      </c>
      <c r="B23" s="3" t="str">
        <f>C23</f>
        <v>Provenance</v>
      </c>
      <c r="C23" s="2" t="s">
        <v>854</v>
      </c>
      <c r="D23" s="3">
        <f>COUNTIFS(AppRoutes!G2:G999, A23)</f>
        <v>1</v>
      </c>
      <c r="E23" s="2" t="s">
        <v>1854</v>
      </c>
    </row>
    <row r="24">
      <c r="A24" s="2" t="s">
        <v>8383</v>
      </c>
      <c r="B24" s="3" t="str">
        <f>C24</f>
        <v>Inferences</v>
      </c>
      <c r="C24" s="2" t="s">
        <v>8384</v>
      </c>
      <c r="D24" s="3">
        <f>COUNTIFS(AppRoutes!G2:G999, A24)</f>
        <v>4</v>
      </c>
      <c r="E24" s="2" t="s">
        <v>1854</v>
      </c>
    </row>
  </sheetData>
  <autoFilter ref="A1:E1"/>
  <headerFooter/>
  <legacyDrawing r:id="rId1"/>
</worksheet>
</file>

<file path=xl/worksheets/sheet7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0"/>
  <sheetViews>
    <sheetView workbookViewId="0">
      <pane ySplit="1" topLeftCell="A2" state="frozen" activePane="bottomLeft"/>
      <selection pane="bottomLeft" activeCell="A1" sqref="A1"/>
    </sheetView>
  </sheetViews>
  <sheetFormatPr defaultRowHeight="15"/>
  <cols>
    <col min="1" max="1" width="34.358314514160156" customWidth="1"/>
    <col min="2" max="2" width="95.49812316894531" customWidth="1"/>
    <col min="3" max="3" width="64.53288269042969" customWidth="1"/>
    <col min="4" max="4" width="41.745540618896484" customWidth="1"/>
    <col min="5" max="5" width="17.443378448486328" customWidth="1"/>
    <col min="6" max="6" width="25.59624671936035" customWidth="1"/>
    <col min="7" max="7" width="17.443378448486328" customWidth="1"/>
    <col min="8" max="8" width="17.443378448486328" customWidth="1"/>
    <col min="9" max="9" width="17.443378448486328" customWidth="1"/>
    <col min="10" max="10" width="222.0500030517578" customWidth="1"/>
    <col min="11" max="11" width="254.74110412597656" customWidth="1"/>
    <col min="12" max="12" width="17.443378448486328" customWidth="1"/>
    <col min="13" max="13" width="17.443378448486328" customWidth="1"/>
    <col min="14" max="14" width="17.443378448486328" customWidth="1"/>
    <col min="15" max="15" width="17.443378448486328" customWidth="1"/>
    <col min="16" max="16" width="17.443378448486328" customWidth="1"/>
    <col min="17" max="17" width="20.496232986450195" customWidth="1"/>
    <col min="18" max="18" width="37.620140075683594" customWidth="1"/>
  </cols>
  <sheetData>
    <row r="1">
      <c r="A1" s="1" t="s">
        <v>5230</v>
      </c>
      <c r="B1" s="1" t="s">
        <v>1</v>
      </c>
      <c r="C1" s="1" t="s">
        <v>5234</v>
      </c>
      <c r="D1" s="1" t="s">
        <v>5236</v>
      </c>
      <c r="E1" s="1" t="s">
        <v>5238</v>
      </c>
      <c r="F1" s="1" t="s">
        <v>5240</v>
      </c>
      <c r="G1" s="1" t="s">
        <v>5242</v>
      </c>
      <c r="H1" s="1" t="s">
        <v>5244</v>
      </c>
      <c r="I1" s="1" t="s">
        <v>5246</v>
      </c>
      <c r="J1" s="1" t="s">
        <v>327</v>
      </c>
      <c r="K1" s="1" t="s">
        <v>5249</v>
      </c>
      <c r="L1" s="1" t="s">
        <v>5251</v>
      </c>
      <c r="M1" s="1" t="s">
        <v>5254</v>
      </c>
      <c r="N1" s="1" t="s">
        <v>5257</v>
      </c>
      <c r="O1" s="1" t="s">
        <v>1912</v>
      </c>
      <c r="P1" s="1" t="s">
        <v>5262</v>
      </c>
      <c r="Q1" s="1" t="s">
        <v>5265</v>
      </c>
      <c r="R1" s="1" t="s">
        <v>94</v>
      </c>
    </row>
    <row r="2">
      <c r="A2" s="2" t="s">
        <v>8385</v>
      </c>
      <c r="B2" s="3" t="str">
        <f>D2 &amp; " — " &amp; C2</f>
        <v>Can I Sign? — /cfo/attestation</v>
      </c>
      <c r="C2" s="2" t="s">
        <v>8386</v>
      </c>
      <c r="D2" s="2" t="s">
        <v>8387</v>
      </c>
      <c r="E2" s="2" t="s">
        <v>8388</v>
      </c>
      <c r="F2" s="2" t="s">
        <v>212</v>
      </c>
      <c r="G2" s="2" t="s">
        <v>8346</v>
      </c>
      <c r="H2" s="2">
        <v>1</v>
      </c>
      <c r="I2" s="2" t="s">
        <v>8389</v>
      </c>
      <c r="J2" s="2" t="s">
        <v>8390</v>
      </c>
      <c r="K2" s="2" t="s">
        <v>8391</v>
      </c>
      <c r="L2" s="3" t="b">
        <f>G2 &lt;&gt; ""</f>
        <v>1</v>
      </c>
      <c r="M2" s="3" t="b">
        <f>AND(F2 = "", E2 = "domain")</f>
        <v>0</v>
      </c>
      <c r="N2" s="3" t="b">
        <f>E2 = "maintainer"</f>
        <v>0</v>
      </c>
      <c r="O2" s="3">
        <f>COUNTIFS(AppRouteQuestions!C2:C999, A2)</f>
        <v>2</v>
      </c>
      <c r="P2" s="3">
        <f>COUNTIFS(AppRouteReferences!C2:C999, A2)</f>
        <v>3</v>
      </c>
      <c r="Q2" s="3" t="b">
        <f>AND(O2 = 0, M2 = FALSE, N2 = FALSE, I2 &lt;&gt; "index")</f>
        <v>0</v>
      </c>
      <c r="R2" s="2" t="s">
        <v>1858</v>
      </c>
    </row>
    <row r="3">
      <c r="A3" s="2" t="s">
        <v>8392</v>
      </c>
      <c r="B3" s="3" t="str">
        <f>D3 &amp; " — " &amp; C3</f>
        <v>Blockers — /cfo/attestation/blockers</v>
      </c>
      <c r="C3" s="2" t="s">
        <v>8393</v>
      </c>
      <c r="D3" s="2" t="s">
        <v>8394</v>
      </c>
      <c r="E3" s="2" t="s">
        <v>8388</v>
      </c>
      <c r="F3" s="2" t="s">
        <v>212</v>
      </c>
      <c r="G3" s="2" t="s">
        <v>8346</v>
      </c>
      <c r="H3" s="2">
        <v>2</v>
      </c>
      <c r="I3" s="2" t="s">
        <v>8395</v>
      </c>
      <c r="J3" s="2" t="s">
        <v>8396</v>
      </c>
      <c r="K3" s="2" t="s">
        <v>8397</v>
      </c>
      <c r="L3" s="3" t="b">
        <f>G3 &lt;&gt; ""</f>
        <v>1</v>
      </c>
      <c r="M3" s="3" t="b">
        <f>AND(F3 = "", E3 = "domain")</f>
        <v>0</v>
      </c>
      <c r="N3" s="3" t="b">
        <f>E3 = "maintainer"</f>
        <v>0</v>
      </c>
      <c r="O3" s="3">
        <f>COUNTIFS(AppRouteQuestions!C2:C999, A3)</f>
        <v>2</v>
      </c>
      <c r="P3" s="3">
        <f>COUNTIFS(AppRouteReferences!C2:C999, A3)</f>
        <v>2</v>
      </c>
      <c r="Q3" s="3" t="b">
        <f>AND(O3 = 0, M3 = FALSE, N3 = FALSE, I3 &lt;&gt; "index")</f>
        <v>0</v>
      </c>
      <c r="R3" s="2" t="s">
        <v>1858</v>
      </c>
    </row>
    <row r="4">
      <c r="A4" s="2" t="s">
        <v>8398</v>
      </c>
      <c r="B4" s="3" t="str">
        <f>D4 &amp; " — " &amp; C4</f>
        <v>Assurance Grade — /cfo/assurance/grade</v>
      </c>
      <c r="C4" s="2" t="s">
        <v>8399</v>
      </c>
      <c r="D4" s="2" t="s">
        <v>8400</v>
      </c>
      <c r="E4" s="2" t="s">
        <v>8388</v>
      </c>
      <c r="F4" s="2" t="s">
        <v>212</v>
      </c>
      <c r="G4" s="2" t="s">
        <v>8348</v>
      </c>
      <c r="H4" s="2">
        <v>1</v>
      </c>
      <c r="I4" s="2" t="s">
        <v>8395</v>
      </c>
      <c r="J4" s="2" t="s">
        <v>8401</v>
      </c>
      <c r="K4" s="2" t="s">
        <v>8402</v>
      </c>
      <c r="L4" s="3" t="b">
        <f>G4 &lt;&gt; ""</f>
        <v>1</v>
      </c>
      <c r="M4" s="3" t="b">
        <f>AND(F4 = "", E4 = "domain")</f>
        <v>0</v>
      </c>
      <c r="N4" s="3" t="b">
        <f>E4 = "maintainer"</f>
        <v>0</v>
      </c>
      <c r="O4" s="3">
        <f>COUNTIFS(AppRouteQuestions!C2:C999, A4)</f>
        <v>2</v>
      </c>
      <c r="P4" s="3">
        <f>COUNTIFS(AppRouteReferences!C2:C999, A4)</f>
        <v>2</v>
      </c>
      <c r="Q4" s="3" t="b">
        <f>AND(O4 = 0, M4 = FALSE, N4 = FALSE, I4 &lt;&gt; "index")</f>
        <v>0</v>
      </c>
      <c r="R4" s="2" t="s">
        <v>1858</v>
      </c>
    </row>
    <row r="5">
      <c r="A5" s="2" t="s">
        <v>8403</v>
      </c>
      <c r="B5" s="3" t="str">
        <f>D5 &amp; " — " &amp; C5</f>
        <v>Controls Nobody Watches — /cfo/assurance/unwitnessed</v>
      </c>
      <c r="C5" s="2" t="s">
        <v>8404</v>
      </c>
      <c r="D5" s="2" t="s">
        <v>8405</v>
      </c>
      <c r="E5" s="2" t="s">
        <v>8388</v>
      </c>
      <c r="F5" s="2" t="s">
        <v>212</v>
      </c>
      <c r="G5" s="2" t="s">
        <v>8348</v>
      </c>
      <c r="H5" s="2">
        <v>2</v>
      </c>
      <c r="I5" s="2" t="s">
        <v>8395</v>
      </c>
      <c r="J5" s="2" t="s">
        <v>8406</v>
      </c>
      <c r="K5" s="2" t="s">
        <v>8407</v>
      </c>
      <c r="L5" s="3" t="b">
        <f>G5 &lt;&gt; ""</f>
        <v>1</v>
      </c>
      <c r="M5" s="3" t="b">
        <f>AND(F5 = "", E5 = "domain")</f>
        <v>0</v>
      </c>
      <c r="N5" s="3" t="b">
        <f>E5 = "maintainer"</f>
        <v>0</v>
      </c>
      <c r="O5" s="3">
        <f>COUNTIFS(AppRouteQuestions!C2:C999, A5)</f>
        <v>2</v>
      </c>
      <c r="P5" s="3">
        <f>COUNTIFS(AppRouteReferences!C2:C999, A5)</f>
        <v>2</v>
      </c>
      <c r="Q5" s="3" t="b">
        <f>AND(O5 = 0, M5 = FALSE, N5 = FALSE, I5 &lt;&gt; "index")</f>
        <v>0</v>
      </c>
      <c r="R5" s="2" t="s">
        <v>1858</v>
      </c>
    </row>
    <row r="6">
      <c r="A6" s="2" t="s">
        <v>8408</v>
      </c>
      <c r="B6" s="3" t="str">
        <f>D6 &amp; " — " &amp; C6</f>
        <v>Typed, Not Computed — /cfo/assurance/typed-conclusions</v>
      </c>
      <c r="C6" s="2" t="s">
        <v>8409</v>
      </c>
      <c r="D6" s="2" t="s">
        <v>8410</v>
      </c>
      <c r="E6" s="2" t="s">
        <v>8388</v>
      </c>
      <c r="F6" s="2" t="s">
        <v>212</v>
      </c>
      <c r="G6" s="2" t="s">
        <v>8348</v>
      </c>
      <c r="H6" s="2">
        <v>3</v>
      </c>
      <c r="I6" s="2" t="s">
        <v>8395</v>
      </c>
      <c r="J6" s="2" t="s">
        <v>8411</v>
      </c>
      <c r="K6" s="2" t="s">
        <v>8412</v>
      </c>
      <c r="L6" s="3" t="b">
        <f>G6 &lt;&gt; ""</f>
        <v>1</v>
      </c>
      <c r="M6" s="3" t="b">
        <f>AND(F6 = "", E6 = "domain")</f>
        <v>0</v>
      </c>
      <c r="N6" s="3" t="b">
        <f>E6 = "maintainer"</f>
        <v>0</v>
      </c>
      <c r="O6" s="3">
        <f>COUNTIFS(AppRouteQuestions!C2:C999, A6)</f>
        <v>1</v>
      </c>
      <c r="P6" s="3">
        <f>COUNTIFS(AppRouteReferences!C2:C999, A6)</f>
        <v>2</v>
      </c>
      <c r="Q6" s="3" t="b">
        <f>AND(O6 = 0, M6 = FALSE, N6 = FALSE, I6 &lt;&gt; "index")</f>
        <v>0</v>
      </c>
      <c r="R6" s="2" t="s">
        <v>1858</v>
      </c>
    </row>
    <row r="7">
      <c r="A7" s="2" t="s">
        <v>8413</v>
      </c>
      <c r="B7" s="3" t="str">
        <f>D7 &amp; " — " &amp; C7</f>
        <v>Who Witnessed the Witnesses — /cfo/assurance/independence</v>
      </c>
      <c r="C7" s="2" t="s">
        <v>8414</v>
      </c>
      <c r="D7" s="2" t="s">
        <v>8415</v>
      </c>
      <c r="E7" s="2" t="s">
        <v>8388</v>
      </c>
      <c r="F7" s="2" t="s">
        <v>212</v>
      </c>
      <c r="G7" s="2" t="s">
        <v>8348</v>
      </c>
      <c r="H7" s="2">
        <v>4</v>
      </c>
      <c r="I7" s="2" t="s">
        <v>8395</v>
      </c>
      <c r="J7" s="2" t="s">
        <v>8416</v>
      </c>
      <c r="K7" s="2" t="s">
        <v>8417</v>
      </c>
      <c r="L7" s="3" t="b">
        <f>G7 &lt;&gt; ""</f>
        <v>1</v>
      </c>
      <c r="M7" s="3" t="b">
        <f>AND(F7 = "", E7 = "domain")</f>
        <v>0</v>
      </c>
      <c r="N7" s="3" t="b">
        <f>E7 = "maintainer"</f>
        <v>0</v>
      </c>
      <c r="O7" s="3">
        <f>COUNTIFS(AppRouteQuestions!C2:C999, A7)</f>
        <v>2</v>
      </c>
      <c r="P7" s="3">
        <f>COUNTIFS(AppRouteReferences!C2:C999, A7)</f>
        <v>2</v>
      </c>
      <c r="Q7" s="3" t="b">
        <f>AND(O7 = 0, M7 = FALSE, N7 = FALSE, I7 &lt;&gt; "index")</f>
        <v>0</v>
      </c>
      <c r="R7" s="2" t="s">
        <v>1858</v>
      </c>
    </row>
    <row r="8">
      <c r="A8" s="2" t="s">
        <v>8418</v>
      </c>
      <c r="B8" s="3" t="str">
        <f>D8 &amp; " — " &amp; C8</f>
        <v>Who Held Authority — /cfo/authority/accountability</v>
      </c>
      <c r="C8" s="2" t="s">
        <v>8419</v>
      </c>
      <c r="D8" s="2" t="s">
        <v>8420</v>
      </c>
      <c r="E8" s="2" t="s">
        <v>8388</v>
      </c>
      <c r="F8" s="2" t="s">
        <v>212</v>
      </c>
      <c r="G8" s="2" t="s">
        <v>8350</v>
      </c>
      <c r="H8" s="2">
        <v>1</v>
      </c>
      <c r="I8" s="2" t="s">
        <v>8395</v>
      </c>
      <c r="J8" s="2" t="s">
        <v>8421</v>
      </c>
      <c r="K8" s="2" t="s">
        <v>8422</v>
      </c>
      <c r="L8" s="3" t="b">
        <f>G8 &lt;&gt; ""</f>
        <v>1</v>
      </c>
      <c r="M8" s="3" t="b">
        <f>AND(F8 = "", E8 = "domain")</f>
        <v>0</v>
      </c>
      <c r="N8" s="3" t="b">
        <f>E8 = "maintainer"</f>
        <v>0</v>
      </c>
      <c r="O8" s="3">
        <f>COUNTIFS(AppRouteQuestions!C2:C999, A8)</f>
        <v>1</v>
      </c>
      <c r="P8" s="3">
        <f>COUNTIFS(AppRouteReferences!C2:C999, A8)</f>
        <v>2</v>
      </c>
      <c r="Q8" s="3" t="b">
        <f>AND(O8 = 0, M8 = FALSE, N8 = FALSE, I8 &lt;&gt; "index")</f>
        <v>0</v>
      </c>
      <c r="R8" s="2" t="s">
        <v>1858</v>
      </c>
    </row>
    <row r="9">
      <c r="A9" s="2" t="s">
        <v>8423</v>
      </c>
      <c r="B9" s="3" t="str">
        <f>D9 &amp; " — " &amp; C9</f>
        <v>My Own Approvals — /cfo/authority/my-approvals</v>
      </c>
      <c r="C9" s="2" t="s">
        <v>8424</v>
      </c>
      <c r="D9" s="2" t="s">
        <v>8425</v>
      </c>
      <c r="E9" s="2" t="s">
        <v>8388</v>
      </c>
      <c r="F9" s="2" t="s">
        <v>212</v>
      </c>
      <c r="G9" s="2" t="s">
        <v>8350</v>
      </c>
      <c r="H9" s="2">
        <v>2</v>
      </c>
      <c r="I9" s="2" t="s">
        <v>8395</v>
      </c>
      <c r="J9" s="2" t="s">
        <v>8426</v>
      </c>
      <c r="K9" s="2" t="s">
        <v>8427</v>
      </c>
      <c r="L9" s="3" t="b">
        <f>G9 &lt;&gt; ""</f>
        <v>1</v>
      </c>
      <c r="M9" s="3" t="b">
        <f>AND(F9 = "", E9 = "domain")</f>
        <v>0</v>
      </c>
      <c r="N9" s="3" t="b">
        <f>E9 = "maintainer"</f>
        <v>0</v>
      </c>
      <c r="O9" s="3">
        <f>COUNTIFS(AppRouteQuestions!C2:C999, A9)</f>
        <v>2</v>
      </c>
      <c r="P9" s="3">
        <f>COUNTIFS(AppRouteReferences!C2:C999, A9)</f>
        <v>2</v>
      </c>
      <c r="Q9" s="3" t="b">
        <f>AND(O9 = 0, M9 = FALSE, N9 = FALSE, I9 &lt;&gt; "index")</f>
        <v>0</v>
      </c>
      <c r="R9" s="2" t="s">
        <v>1858</v>
      </c>
    </row>
    <row r="10">
      <c r="A10" s="2" t="s">
        <v>8428</v>
      </c>
      <c r="B10" s="3" t="str">
        <f>D10 &amp; " — " &amp; C10</f>
        <v>What My Signature Rests On — /cfo/attestation/dependencies</v>
      </c>
      <c r="C10" s="2" t="s">
        <v>8429</v>
      </c>
      <c r="D10" s="2" t="s">
        <v>8430</v>
      </c>
      <c r="E10" s="2" t="s">
        <v>8388</v>
      </c>
      <c r="F10" s="2" t="s">
        <v>212</v>
      </c>
      <c r="G10" s="2" t="s">
        <v>8346</v>
      </c>
      <c r="H10" s="2">
        <v>3</v>
      </c>
      <c r="I10" s="2" t="s">
        <v>8395</v>
      </c>
      <c r="J10" s="2" t="s">
        <v>8431</v>
      </c>
      <c r="K10" s="2" t="s">
        <v>8432</v>
      </c>
      <c r="L10" s="3" t="b">
        <f>G10 &lt;&gt; ""</f>
        <v>1</v>
      </c>
      <c r="M10" s="3" t="b">
        <f>AND(F10 = "", E10 = "domain")</f>
        <v>0</v>
      </c>
      <c r="N10" s="3" t="b">
        <f>E10 = "maintainer"</f>
        <v>0</v>
      </c>
      <c r="O10" s="3">
        <f>COUNTIFS(AppRouteQuestions!C2:C999, A10)</f>
        <v>1</v>
      </c>
      <c r="P10" s="3">
        <f>COUNTIFS(AppRouteReferences!C2:C999, A10)</f>
        <v>2</v>
      </c>
      <c r="Q10" s="3" t="b">
        <f>AND(O10 = 0, M10 = FALSE, N10 = FALSE, I10 &lt;&gt; "index")</f>
        <v>0</v>
      </c>
      <c r="R10" s="2" t="s">
        <v>1858</v>
      </c>
    </row>
    <row r="11">
      <c r="A11" s="2" t="s">
        <v>8433</v>
      </c>
      <c r="B11" s="3" t="str">
        <f>D11 &amp; " — " &amp; C11</f>
        <v>Changed Since I Signed — /cfo/attestation/changed-since</v>
      </c>
      <c r="C11" s="2" t="s">
        <v>8434</v>
      </c>
      <c r="D11" s="2" t="s">
        <v>8435</v>
      </c>
      <c r="E11" s="2" t="s">
        <v>8388</v>
      </c>
      <c r="F11" s="2" t="s">
        <v>212</v>
      </c>
      <c r="G11" s="2" t="s">
        <v>8346</v>
      </c>
      <c r="H11" s="2">
        <v>4</v>
      </c>
      <c r="I11" s="2" t="s">
        <v>8395</v>
      </c>
      <c r="J11" s="2" t="s">
        <v>8436</v>
      </c>
      <c r="K11" s="2" t="s">
        <v>8437</v>
      </c>
      <c r="L11" s="3" t="b">
        <f>G11 &lt;&gt; ""</f>
        <v>1</v>
      </c>
      <c r="M11" s="3" t="b">
        <f>AND(F11 = "", E11 = "domain")</f>
        <v>0</v>
      </c>
      <c r="N11" s="3" t="b">
        <f>E11 = "maintainer"</f>
        <v>0</v>
      </c>
      <c r="O11" s="3">
        <f>COUNTIFS(AppRouteQuestions!C2:C999, A11)</f>
        <v>1</v>
      </c>
      <c r="P11" s="3">
        <f>COUNTIFS(AppRouteReferences!C2:C999, A11)</f>
        <v>2</v>
      </c>
      <c r="Q11" s="3" t="b">
        <f>AND(O11 = 0, M11 = FALSE, N11 = FALSE, I11 &lt;&gt; "index")</f>
        <v>0</v>
      </c>
      <c r="R11" s="2" t="s">
        <v>1858</v>
      </c>
    </row>
    <row r="12">
      <c r="A12" s="2" t="s">
        <v>8438</v>
      </c>
      <c r="B12" s="3" t="str">
        <f>D12 &amp; " — " &amp; C12</f>
        <v>Would It Survive Restatement — /cfo/assurance/restatement</v>
      </c>
      <c r="C12" s="2" t="s">
        <v>8439</v>
      </c>
      <c r="D12" s="2" t="s">
        <v>8440</v>
      </c>
      <c r="E12" s="2" t="s">
        <v>8388</v>
      </c>
      <c r="F12" s="2" t="s">
        <v>212</v>
      </c>
      <c r="G12" s="2" t="s">
        <v>8348</v>
      </c>
      <c r="H12" s="2">
        <v>5</v>
      </c>
      <c r="I12" s="2" t="s">
        <v>8395</v>
      </c>
      <c r="J12" s="2" t="s">
        <v>8441</v>
      </c>
      <c r="K12" s="2" t="s">
        <v>8442</v>
      </c>
      <c r="L12" s="3" t="b">
        <f>G12 &lt;&gt; ""</f>
        <v>1</v>
      </c>
      <c r="M12" s="3" t="b">
        <f>AND(F12 = "", E12 = "domain")</f>
        <v>0</v>
      </c>
      <c r="N12" s="3" t="b">
        <f>E12 = "maintainer"</f>
        <v>0</v>
      </c>
      <c r="O12" s="3">
        <f>COUNTIFS(AppRouteQuestions!C2:C999, A12)</f>
        <v>1</v>
      </c>
      <c r="P12" s="3">
        <f>COUNTIFS(AppRouteReferences!C2:C999, A12)</f>
        <v>2</v>
      </c>
      <c r="Q12" s="3" t="b">
        <f>AND(O12 = 0, M12 = FALSE, N12 = FALSE, I12 &lt;&gt; "index")</f>
        <v>0</v>
      </c>
      <c r="R12" s="2" t="s">
        <v>1858</v>
      </c>
    </row>
    <row r="13">
      <c r="A13" s="2" t="s">
        <v>8443</v>
      </c>
      <c r="B13" s="3" t="str">
        <f>D13 &amp; " — " &amp; C13</f>
        <v>Attestation Detail — /cfo/attestation/execution/:executionId</v>
      </c>
      <c r="C13" s="2" t="s">
        <v>8444</v>
      </c>
      <c r="D13" s="2" t="s">
        <v>8445</v>
      </c>
      <c r="E13" s="2" t="s">
        <v>8388</v>
      </c>
      <c r="F13" s="2" t="s">
        <v>212</v>
      </c>
      <c r="G13" s="2" t="s">
        <v>168</v>
      </c>
      <c r="H13" s="2">
        <v>0</v>
      </c>
      <c r="I13" s="2" t="s">
        <v>8446</v>
      </c>
      <c r="J13" s="2" t="s">
        <v>8447</v>
      </c>
      <c r="K13" s="2" t="s">
        <v>8448</v>
      </c>
      <c r="L13" s="3" t="b">
        <f>G13 &lt;&gt; ""</f>
        <v>0</v>
      </c>
      <c r="M13" s="3" t="b">
        <f>AND(F13 = "", E13 = "domain")</f>
        <v>0</v>
      </c>
      <c r="N13" s="3" t="b">
        <f>E13 = "maintainer"</f>
        <v>0</v>
      </c>
      <c r="O13" s="3">
        <f>COUNTIFS(AppRouteQuestions!C2:C999, A13)</f>
        <v>1</v>
      </c>
      <c r="P13" s="3">
        <f>COUNTIFS(AppRouteReferences!C2:C999, A13)</f>
        <v>2</v>
      </c>
      <c r="Q13" s="3" t="b">
        <f>AND(O13 = 0, M13 = FALSE, N13 = FALSE, I13 &lt;&gt; "index")</f>
        <v>0</v>
      </c>
      <c r="R13" s="2" t="s">
        <v>1858</v>
      </c>
    </row>
    <row r="14">
      <c r="A14" s="2" t="s">
        <v>8449</v>
      </c>
      <c r="B14" s="3" t="str">
        <f>D14 &amp; " — " &amp; C14</f>
        <v>Control Board — /controller/controls</v>
      </c>
      <c r="C14" s="2" t="s">
        <v>8450</v>
      </c>
      <c r="D14" s="2" t="s">
        <v>8451</v>
      </c>
      <c r="E14" s="2" t="s">
        <v>8388</v>
      </c>
      <c r="F14" s="2" t="s">
        <v>208</v>
      </c>
      <c r="G14" s="2" t="s">
        <v>8351</v>
      </c>
      <c r="H14" s="2">
        <v>1</v>
      </c>
      <c r="I14" s="2" t="s">
        <v>8389</v>
      </c>
      <c r="J14" s="2" t="s">
        <v>8452</v>
      </c>
      <c r="K14" s="2" t="s">
        <v>8453</v>
      </c>
      <c r="L14" s="3" t="b">
        <f>G14 &lt;&gt; ""</f>
        <v>1</v>
      </c>
      <c r="M14" s="3" t="b">
        <f>AND(F14 = "", E14 = "domain")</f>
        <v>0</v>
      </c>
      <c r="N14" s="3" t="b">
        <f>E14 = "maintainer"</f>
        <v>0</v>
      </c>
      <c r="O14" s="3">
        <f>COUNTIFS(AppRouteQuestions!C2:C999, A14)</f>
        <v>2</v>
      </c>
      <c r="P14" s="3">
        <f>COUNTIFS(AppRouteReferences!C2:C999, A14)</f>
        <v>3</v>
      </c>
      <c r="Q14" s="3" t="b">
        <f>AND(O14 = 0, M14 = FALSE, N14 = FALSE, I14 &lt;&gt; "index")</f>
        <v>0</v>
      </c>
      <c r="R14" s="2" t="s">
        <v>1858</v>
      </c>
    </row>
    <row r="15">
      <c r="A15" s="2" t="s">
        <v>8454</v>
      </c>
      <c r="B15" s="3" t="str">
        <f>D15 &amp; " — " &amp; C15</f>
        <v>Inoperative Controls — /controller/controls/inoperative</v>
      </c>
      <c r="C15" s="2" t="s">
        <v>8455</v>
      </c>
      <c r="D15" s="2" t="s">
        <v>8456</v>
      </c>
      <c r="E15" s="2" t="s">
        <v>8388</v>
      </c>
      <c r="F15" s="2" t="s">
        <v>208</v>
      </c>
      <c r="G15" s="2" t="s">
        <v>8351</v>
      </c>
      <c r="H15" s="2">
        <v>2</v>
      </c>
      <c r="I15" s="2" t="s">
        <v>8395</v>
      </c>
      <c r="J15" s="2" t="s">
        <v>8457</v>
      </c>
      <c r="K15" s="2" t="s">
        <v>8458</v>
      </c>
      <c r="L15" s="3" t="b">
        <f>G15 &lt;&gt; ""</f>
        <v>1</v>
      </c>
      <c r="M15" s="3" t="b">
        <f>AND(F15 = "", E15 = "domain")</f>
        <v>0</v>
      </c>
      <c r="N15" s="3" t="b">
        <f>E15 = "maintainer"</f>
        <v>0</v>
      </c>
      <c r="O15" s="3">
        <f>COUNTIFS(AppRouteQuestions!C2:C999, A15)</f>
        <v>2</v>
      </c>
      <c r="P15" s="3">
        <f>COUNTIFS(AppRouteReferences!C2:C999, A15)</f>
        <v>3</v>
      </c>
      <c r="Q15" s="3" t="b">
        <f>AND(O15 = 0, M15 = FALSE, N15 = FALSE, I15 &lt;&gt; "index")</f>
        <v>0</v>
      </c>
      <c r="R15" s="2" t="s">
        <v>1858</v>
      </c>
    </row>
    <row r="16">
      <c r="A16" s="2" t="s">
        <v>8459</v>
      </c>
      <c r="B16" s="3" t="str">
        <f>D16 &amp; " — " &amp; C16</f>
        <v>Witness Scope vs Binding — /controller/controls/witness-scope</v>
      </c>
      <c r="C16" s="2" t="s">
        <v>8460</v>
      </c>
      <c r="D16" s="2" t="s">
        <v>8461</v>
      </c>
      <c r="E16" s="2" t="s">
        <v>8388</v>
      </c>
      <c r="F16" s="2" t="s">
        <v>208</v>
      </c>
      <c r="G16" s="2" t="s">
        <v>8351</v>
      </c>
      <c r="H16" s="2">
        <v>3</v>
      </c>
      <c r="I16" s="2" t="s">
        <v>8395</v>
      </c>
      <c r="J16" s="2" t="s">
        <v>8462</v>
      </c>
      <c r="K16" s="2" t="s">
        <v>8463</v>
      </c>
      <c r="L16" s="3" t="b">
        <f>G16 &lt;&gt; ""</f>
        <v>1</v>
      </c>
      <c r="M16" s="3" t="b">
        <f>AND(F16 = "", E16 = "domain")</f>
        <v>0</v>
      </c>
      <c r="N16" s="3" t="b">
        <f>E16 = "maintainer"</f>
        <v>0</v>
      </c>
      <c r="O16" s="3">
        <f>COUNTIFS(AppRouteQuestions!C2:C999, A16)</f>
        <v>1</v>
      </c>
      <c r="P16" s="3">
        <f>COUNTIFS(AppRouteReferences!C2:C999, A16)</f>
        <v>2</v>
      </c>
      <c r="Q16" s="3" t="b">
        <f>AND(O16 = 0, M16 = FALSE, N16 = FALSE, I16 &lt;&gt; "index")</f>
        <v>0</v>
      </c>
      <c r="R16" s="2" t="s">
        <v>1858</v>
      </c>
    </row>
    <row r="17">
      <c r="A17" s="2" t="s">
        <v>8464</v>
      </c>
      <c r="B17" s="3" t="str">
        <f>D17 &amp; " — " &amp; C17</f>
        <v>Separation of Duties — /controller/controls/separation-of-duties</v>
      </c>
      <c r="C17" s="2" t="s">
        <v>8465</v>
      </c>
      <c r="D17" s="2" t="s">
        <v>8466</v>
      </c>
      <c r="E17" s="2" t="s">
        <v>8388</v>
      </c>
      <c r="F17" s="2" t="s">
        <v>208</v>
      </c>
      <c r="G17" s="2" t="s">
        <v>8351</v>
      </c>
      <c r="H17" s="2">
        <v>4</v>
      </c>
      <c r="I17" s="2" t="s">
        <v>8395</v>
      </c>
      <c r="J17" s="2" t="s">
        <v>8467</v>
      </c>
      <c r="K17" s="2" t="s">
        <v>8468</v>
      </c>
      <c r="L17" s="3" t="b">
        <f>G17 &lt;&gt; ""</f>
        <v>1</v>
      </c>
      <c r="M17" s="3" t="b">
        <f>AND(F17 = "", E17 = "domain")</f>
        <v>0</v>
      </c>
      <c r="N17" s="3" t="b">
        <f>E17 = "maintainer"</f>
        <v>0</v>
      </c>
      <c r="O17" s="3">
        <f>COUNTIFS(AppRouteQuestions!C2:C999, A17)</f>
        <v>2</v>
      </c>
      <c r="P17" s="3">
        <f>COUNTIFS(AppRouteReferences!C2:C999, A17)</f>
        <v>2</v>
      </c>
      <c r="Q17" s="3" t="b">
        <f>AND(O17 = 0, M17 = FALSE, N17 = FALSE, I17 &lt;&gt; "index")</f>
        <v>0</v>
      </c>
      <c r="R17" s="2" t="s">
        <v>1858</v>
      </c>
    </row>
    <row r="18">
      <c r="A18" s="2" t="s">
        <v>8469</v>
      </c>
      <c r="B18" s="3" t="str">
        <f>D18 &amp; " — " &amp; C18</f>
        <v>Spec vs Execution — /controller/execution/conformance</v>
      </c>
      <c r="C18" s="2" t="s">
        <v>8470</v>
      </c>
      <c r="D18" s="2" t="s">
        <v>8471</v>
      </c>
      <c r="E18" s="2" t="s">
        <v>8388</v>
      </c>
      <c r="F18" s="2" t="s">
        <v>208</v>
      </c>
      <c r="G18" s="2" t="s">
        <v>8354</v>
      </c>
      <c r="H18" s="2">
        <v>1</v>
      </c>
      <c r="I18" s="2" t="s">
        <v>8395</v>
      </c>
      <c r="J18" s="2" t="s">
        <v>8472</v>
      </c>
      <c r="K18" s="2" t="s">
        <v>8473</v>
      </c>
      <c r="L18" s="3" t="b">
        <f>G18 &lt;&gt; ""</f>
        <v>1</v>
      </c>
      <c r="M18" s="3" t="b">
        <f>AND(F18 = "", E18 = "domain")</f>
        <v>0</v>
      </c>
      <c r="N18" s="3" t="b">
        <f>E18 = "maintainer"</f>
        <v>0</v>
      </c>
      <c r="O18" s="3">
        <f>COUNTIFS(AppRouteQuestions!C2:C999, A18)</f>
        <v>1</v>
      </c>
      <c r="P18" s="3">
        <f>COUNTIFS(AppRouteReferences!C2:C999, A18)</f>
        <v>2</v>
      </c>
      <c r="Q18" s="3" t="b">
        <f>AND(O18 = 0, M18 = FALSE, N18 = FALSE, I18 &lt;&gt; "index")</f>
        <v>0</v>
      </c>
      <c r="R18" s="2" t="s">
        <v>1858</v>
      </c>
    </row>
    <row r="19">
      <c r="A19" s="2" t="s">
        <v>8474</v>
      </c>
      <c r="B19" s="3" t="str">
        <f>D19 &amp; " — " &amp; C19</f>
        <v>Divergence Nobody Governed — /controller/execution/ungoverned-divergence</v>
      </c>
      <c r="C19" s="2" t="s">
        <v>8475</v>
      </c>
      <c r="D19" s="2" t="s">
        <v>8476</v>
      </c>
      <c r="E19" s="2" t="s">
        <v>8388</v>
      </c>
      <c r="F19" s="2" t="s">
        <v>208</v>
      </c>
      <c r="G19" s="2" t="s">
        <v>8354</v>
      </c>
      <c r="H19" s="2">
        <v>2</v>
      </c>
      <c r="I19" s="2" t="s">
        <v>8395</v>
      </c>
      <c r="J19" s="2" t="s">
        <v>8477</v>
      </c>
      <c r="K19" s="2" t="s">
        <v>8478</v>
      </c>
      <c r="L19" s="3" t="b">
        <f>G19 &lt;&gt; ""</f>
        <v>1</v>
      </c>
      <c r="M19" s="3" t="b">
        <f>AND(F19 = "", E19 = "domain")</f>
        <v>0</v>
      </c>
      <c r="N19" s="3" t="b">
        <f>E19 = "maintainer"</f>
        <v>0</v>
      </c>
      <c r="O19" s="3">
        <f>COUNTIFS(AppRouteQuestions!C2:C999, A19)</f>
        <v>1</v>
      </c>
      <c r="P19" s="3">
        <f>COUNTIFS(AppRouteReferences!C2:C999, A19)</f>
        <v>3</v>
      </c>
      <c r="Q19" s="3" t="b">
        <f>AND(O19 = 0, M19 = FALSE, N19 = FALSE, I19 &lt;&gt; "index")</f>
        <v>0</v>
      </c>
      <c r="R19" s="2" t="s">
        <v>1858</v>
      </c>
    </row>
    <row r="20">
      <c r="A20" s="2" t="s">
        <v>8479</v>
      </c>
      <c r="B20" s="3" t="str">
        <f>D20 &amp; " — " &amp; C20</f>
        <v>Authority at Time of Approval — /controller/authority/validity</v>
      </c>
      <c r="C20" s="2" t="s">
        <v>8480</v>
      </c>
      <c r="D20" s="2" t="s">
        <v>8481</v>
      </c>
      <c r="E20" s="2" t="s">
        <v>8388</v>
      </c>
      <c r="F20" s="2" t="s">
        <v>208</v>
      </c>
      <c r="G20" s="2" t="s">
        <v>8350</v>
      </c>
      <c r="H20" s="2">
        <v>1</v>
      </c>
      <c r="I20" s="2" t="s">
        <v>8395</v>
      </c>
      <c r="J20" s="2" t="s">
        <v>1961</v>
      </c>
      <c r="K20" s="2" t="s">
        <v>8482</v>
      </c>
      <c r="L20" s="3" t="b">
        <f>G20 &lt;&gt; ""</f>
        <v>1</v>
      </c>
      <c r="M20" s="3" t="b">
        <f>AND(F20 = "", E20 = "domain")</f>
        <v>0</v>
      </c>
      <c r="N20" s="3" t="b">
        <f>E20 = "maintainer"</f>
        <v>0</v>
      </c>
      <c r="O20" s="3">
        <f>COUNTIFS(AppRouteQuestions!C2:C999, A20)</f>
        <v>1</v>
      </c>
      <c r="P20" s="3">
        <f>COUNTIFS(AppRouteReferences!C2:C999, A20)</f>
        <v>2</v>
      </c>
      <c r="Q20" s="3" t="b">
        <f>AND(O20 = 0, M20 = FALSE, N20 = FALSE, I20 &lt;&gt; "index")</f>
        <v>0</v>
      </c>
      <c r="R20" s="2" t="s">
        <v>1858</v>
      </c>
    </row>
    <row r="21">
      <c r="A21" s="2" t="s">
        <v>8483</v>
      </c>
      <c r="B21" s="3" t="str">
        <f>D21 &amp; " — " &amp; C21</f>
        <v>Machine Did Human Work — /controller/authority/ai-boundary</v>
      </c>
      <c r="C21" s="2" t="s">
        <v>8484</v>
      </c>
      <c r="D21" s="2" t="s">
        <v>8485</v>
      </c>
      <c r="E21" s="2" t="s">
        <v>8388</v>
      </c>
      <c r="F21" s="2" t="s">
        <v>208</v>
      </c>
      <c r="G21" s="2" t="s">
        <v>8350</v>
      </c>
      <c r="H21" s="2">
        <v>2</v>
      </c>
      <c r="I21" s="2" t="s">
        <v>8395</v>
      </c>
      <c r="J21" s="2" t="s">
        <v>1973</v>
      </c>
      <c r="K21" s="2" t="s">
        <v>8486</v>
      </c>
      <c r="L21" s="3" t="b">
        <f>G21 &lt;&gt; ""</f>
        <v>1</v>
      </c>
      <c r="M21" s="3" t="b">
        <f>AND(F21 = "", E21 = "domain")</f>
        <v>0</v>
      </c>
      <c r="N21" s="3" t="b">
        <f>E21 = "maintainer"</f>
        <v>0</v>
      </c>
      <c r="O21" s="3">
        <f>COUNTIFS(AppRouteQuestions!C2:C999, A21)</f>
        <v>1</v>
      </c>
      <c r="P21" s="3">
        <f>COUNTIFS(AppRouteReferences!C2:C999, A21)</f>
        <v>2</v>
      </c>
      <c r="Q21" s="3" t="b">
        <f>AND(O21 = 0, M21 = FALSE, N21 = FALSE, I21 &lt;&gt; "index")</f>
        <v>0</v>
      </c>
      <c r="R21" s="2" t="s">
        <v>1858</v>
      </c>
    </row>
    <row r="22">
      <c r="A22" s="2" t="s">
        <v>8487</v>
      </c>
      <c r="B22" s="3" t="str">
        <f>D22 &amp; " — " &amp; C22</f>
        <v>Asserted, Not Demonstrated — /controller/evidence/asserted</v>
      </c>
      <c r="C22" s="2" t="s">
        <v>8488</v>
      </c>
      <c r="D22" s="2" t="s">
        <v>8489</v>
      </c>
      <c r="E22" s="2" t="s">
        <v>8388</v>
      </c>
      <c r="F22" s="2" t="s">
        <v>208</v>
      </c>
      <c r="G22" s="2" t="s">
        <v>8353</v>
      </c>
      <c r="H22" s="2">
        <v>1</v>
      </c>
      <c r="I22" s="2" t="s">
        <v>8395</v>
      </c>
      <c r="J22" s="2" t="s">
        <v>8490</v>
      </c>
      <c r="K22" s="2" t="s">
        <v>8491</v>
      </c>
      <c r="L22" s="3" t="b">
        <f>G22 &lt;&gt; ""</f>
        <v>1</v>
      </c>
      <c r="M22" s="3" t="b">
        <f>AND(F22 = "", E22 = "domain")</f>
        <v>0</v>
      </c>
      <c r="N22" s="3" t="b">
        <f>E22 = "maintainer"</f>
        <v>0</v>
      </c>
      <c r="O22" s="3">
        <f>COUNTIFS(AppRouteQuestions!C2:C999, A22)</f>
        <v>1</v>
      </c>
      <c r="P22" s="3">
        <f>COUNTIFS(AppRouteReferences!C2:C999, A22)</f>
        <v>2</v>
      </c>
      <c r="Q22" s="3" t="b">
        <f>AND(O22 = 0, M22 = FALSE, N22 = FALSE, I22 &lt;&gt; "index")</f>
        <v>0</v>
      </c>
      <c r="R22" s="2" t="s">
        <v>1858</v>
      </c>
    </row>
    <row r="23">
      <c r="A23" s="2" t="s">
        <v>8492</v>
      </c>
      <c r="B23" s="3" t="str">
        <f>D23 &amp; " — " &amp; C23</f>
        <v>Control Detail — /controller/controls/requirement/:requirementId</v>
      </c>
      <c r="C23" s="2" t="s">
        <v>8493</v>
      </c>
      <c r="D23" s="2" t="s">
        <v>8494</v>
      </c>
      <c r="E23" s="2" t="s">
        <v>8388</v>
      </c>
      <c r="F23" s="2" t="s">
        <v>208</v>
      </c>
      <c r="G23" s="2" t="s">
        <v>168</v>
      </c>
      <c r="H23" s="2">
        <v>0</v>
      </c>
      <c r="I23" s="2" t="s">
        <v>8446</v>
      </c>
      <c r="J23" s="2" t="s">
        <v>8495</v>
      </c>
      <c r="K23" s="2" t="s">
        <v>8496</v>
      </c>
      <c r="L23" s="3" t="b">
        <f>G23 &lt;&gt; ""</f>
        <v>0</v>
      </c>
      <c r="M23" s="3" t="b">
        <f>AND(F23 = "", E23 = "domain")</f>
        <v>0</v>
      </c>
      <c r="N23" s="3" t="b">
        <f>E23 = "maintainer"</f>
        <v>0</v>
      </c>
      <c r="O23" s="3">
        <f>COUNTIFS(AppRouteQuestions!C2:C999, A23)</f>
        <v>1</v>
      </c>
      <c r="P23" s="3">
        <f>COUNTIFS(AppRouteReferences!C2:C999, A23)</f>
        <v>2</v>
      </c>
      <c r="Q23" s="3" t="b">
        <f>AND(O23 = 0, M23 = FALSE, N23 = FALSE, I23 &lt;&gt; "index")</f>
        <v>0</v>
      </c>
      <c r="R23" s="2" t="s">
        <v>1858</v>
      </c>
    </row>
    <row r="24">
      <c r="A24" s="2" t="s">
        <v>8497</v>
      </c>
      <c r="B24" s="3" t="str">
        <f>D24 &amp; " — " &amp; C24</f>
        <v>My Steps — /finance-analyst/my-work</v>
      </c>
      <c r="C24" s="2" t="s">
        <v>8498</v>
      </c>
      <c r="D24" s="2" t="s">
        <v>8499</v>
      </c>
      <c r="E24" s="2" t="s">
        <v>8388</v>
      </c>
      <c r="F24" s="2" t="s">
        <v>203</v>
      </c>
      <c r="G24" s="2" t="s">
        <v>8354</v>
      </c>
      <c r="H24" s="2">
        <v>1</v>
      </c>
      <c r="I24" s="2" t="s">
        <v>8389</v>
      </c>
      <c r="J24" s="2" t="s">
        <v>8500</v>
      </c>
      <c r="K24" s="2" t="s">
        <v>8501</v>
      </c>
      <c r="L24" s="3" t="b">
        <f>G24 &lt;&gt; ""</f>
        <v>1</v>
      </c>
      <c r="M24" s="3" t="b">
        <f>AND(F24 = "", E24 = "domain")</f>
        <v>0</v>
      </c>
      <c r="N24" s="3" t="b">
        <f>E24 = "maintainer"</f>
        <v>0</v>
      </c>
      <c r="O24" s="3">
        <f>COUNTIFS(AppRouteQuestions!C2:C999, A24)</f>
        <v>2</v>
      </c>
      <c r="P24" s="3">
        <f>COUNTIFS(AppRouteReferences!C2:C999, A24)</f>
        <v>3</v>
      </c>
      <c r="Q24" s="3" t="b">
        <f>AND(O24 = 0, M24 = FALSE, N24 = FALSE, I24 &lt;&gt; "index")</f>
        <v>0</v>
      </c>
      <c r="R24" s="2" t="s">
        <v>1858</v>
      </c>
    </row>
    <row r="25">
      <c r="A25" s="2" t="s">
        <v>8502</v>
      </c>
      <c r="B25" s="3" t="str">
        <f>D25 &amp; " — " &amp; C25</f>
        <v>Closed Past a Control — /finance-analyst/my-work/blocking-unmet</v>
      </c>
      <c r="C25" s="2" t="s">
        <v>8503</v>
      </c>
      <c r="D25" s="2" t="s">
        <v>8504</v>
      </c>
      <c r="E25" s="2" t="s">
        <v>8388</v>
      </c>
      <c r="F25" s="2" t="s">
        <v>203</v>
      </c>
      <c r="G25" s="2" t="s">
        <v>8354</v>
      </c>
      <c r="H25" s="2">
        <v>2</v>
      </c>
      <c r="I25" s="2" t="s">
        <v>8395</v>
      </c>
      <c r="J25" s="2" t="s">
        <v>8505</v>
      </c>
      <c r="K25" s="2" t="s">
        <v>8506</v>
      </c>
      <c r="L25" s="3" t="b">
        <f>G25 &lt;&gt; ""</f>
        <v>1</v>
      </c>
      <c r="M25" s="3" t="b">
        <f>AND(F25 = "", E25 = "domain")</f>
        <v>0</v>
      </c>
      <c r="N25" s="3" t="b">
        <f>E25 = "maintainer"</f>
        <v>0</v>
      </c>
      <c r="O25" s="3">
        <f>COUNTIFS(AppRouteQuestions!C2:C999, A25)</f>
        <v>1</v>
      </c>
      <c r="P25" s="3">
        <f>COUNTIFS(AppRouteReferences!C2:C999, A25)</f>
        <v>2</v>
      </c>
      <c r="Q25" s="3" t="b">
        <f>AND(O25 = 0, M25 = FALSE, N25 = FALSE, I25 &lt;&gt; "index")</f>
        <v>0</v>
      </c>
      <c r="R25" s="2" t="s">
        <v>1858</v>
      </c>
    </row>
    <row r="26">
      <c r="A26" s="2" t="s">
        <v>8507</v>
      </c>
      <c r="B26" s="3" t="str">
        <f>D26 &amp; " — " &amp; C26</f>
        <v>Never Assessed — /finance-analyst/my-work/never-evaluated</v>
      </c>
      <c r="C26" s="2" t="s">
        <v>8508</v>
      </c>
      <c r="D26" s="2" t="s">
        <v>8509</v>
      </c>
      <c r="E26" s="2" t="s">
        <v>8388</v>
      </c>
      <c r="F26" s="2" t="s">
        <v>203</v>
      </c>
      <c r="G26" s="2" t="s">
        <v>8354</v>
      </c>
      <c r="H26" s="2">
        <v>3</v>
      </c>
      <c r="I26" s="2" t="s">
        <v>8395</v>
      </c>
      <c r="J26" s="2" t="s">
        <v>8510</v>
      </c>
      <c r="K26" s="2" t="s">
        <v>8511</v>
      </c>
      <c r="L26" s="3" t="b">
        <f>G26 &lt;&gt; ""</f>
        <v>1</v>
      </c>
      <c r="M26" s="3" t="b">
        <f>AND(F26 = "", E26 = "domain")</f>
        <v>0</v>
      </c>
      <c r="N26" s="3" t="b">
        <f>E26 = "maintainer"</f>
        <v>0</v>
      </c>
      <c r="O26" s="3">
        <f>COUNTIFS(AppRouteQuestions!C2:C999, A26)</f>
        <v>1</v>
      </c>
      <c r="P26" s="3">
        <f>COUNTIFS(AppRouteReferences!C2:C999, A26)</f>
        <v>2</v>
      </c>
      <c r="Q26" s="3" t="b">
        <f>AND(O26 = 0, M26 = FALSE, N26 = FALSE, I26 &lt;&gt; "index")</f>
        <v>0</v>
      </c>
      <c r="R26" s="2" t="s">
        <v>1858</v>
      </c>
    </row>
    <row r="27">
      <c r="A27" s="2" t="s">
        <v>8512</v>
      </c>
      <c r="B27" s="3" t="str">
        <f>D27 &amp; " — " &amp; C27</f>
        <v>Late and Unexplained — /finance-analyst/my-work/late-unexplained</v>
      </c>
      <c r="C27" s="2" t="s">
        <v>8513</v>
      </c>
      <c r="D27" s="2" t="s">
        <v>8514</v>
      </c>
      <c r="E27" s="2" t="s">
        <v>8388</v>
      </c>
      <c r="F27" s="2" t="s">
        <v>203</v>
      </c>
      <c r="G27" s="2" t="s">
        <v>8354</v>
      </c>
      <c r="H27" s="2">
        <v>4</v>
      </c>
      <c r="I27" s="2" t="s">
        <v>8395</v>
      </c>
      <c r="J27" s="2" t="s">
        <v>8515</v>
      </c>
      <c r="K27" s="2" t="s">
        <v>8516</v>
      </c>
      <c r="L27" s="3" t="b">
        <f>G27 &lt;&gt; ""</f>
        <v>1</v>
      </c>
      <c r="M27" s="3" t="b">
        <f>AND(F27 = "", E27 = "domain")</f>
        <v>0</v>
      </c>
      <c r="N27" s="3" t="b">
        <f>E27 = "maintainer"</f>
        <v>0</v>
      </c>
      <c r="O27" s="3">
        <f>COUNTIFS(AppRouteQuestions!C2:C999, A27)</f>
        <v>1</v>
      </c>
      <c r="P27" s="3">
        <f>COUNTIFS(AppRouteReferences!C2:C999, A27)</f>
        <v>2</v>
      </c>
      <c r="Q27" s="3" t="b">
        <f>AND(O27 = 0, M27 = FALSE, N27 = FALSE, I27 &lt;&gt; "index")</f>
        <v>0</v>
      </c>
      <c r="R27" s="2" t="s">
        <v>1858</v>
      </c>
    </row>
    <row r="28">
      <c r="A28" s="2" t="s">
        <v>8517</v>
      </c>
      <c r="B28" s="3" t="str">
        <f>D28 &amp; " — " &amp; C28</f>
        <v>Declared vs Performed — /finance-analyst/evidence/verification-performed</v>
      </c>
      <c r="C28" s="2" t="s">
        <v>8518</v>
      </c>
      <c r="D28" s="2" t="s">
        <v>8519</v>
      </c>
      <c r="E28" s="2" t="s">
        <v>8388</v>
      </c>
      <c r="F28" s="2" t="s">
        <v>203</v>
      </c>
      <c r="G28" s="2" t="s">
        <v>8353</v>
      </c>
      <c r="H28" s="2">
        <v>1</v>
      </c>
      <c r="I28" s="2" t="s">
        <v>8395</v>
      </c>
      <c r="J28" s="2" t="s">
        <v>1953</v>
      </c>
      <c r="K28" s="2" t="s">
        <v>8520</v>
      </c>
      <c r="L28" s="3" t="b">
        <f>G28 &lt;&gt; ""</f>
        <v>1</v>
      </c>
      <c r="M28" s="3" t="b">
        <f>AND(F28 = "", E28 = "domain")</f>
        <v>0</v>
      </c>
      <c r="N28" s="3" t="b">
        <f>E28 = "maintainer"</f>
        <v>0</v>
      </c>
      <c r="O28" s="3">
        <f>COUNTIFS(AppRouteQuestions!C2:C999, A28)</f>
        <v>1</v>
      </c>
      <c r="P28" s="3">
        <f>COUNTIFS(AppRouteReferences!C2:C999, A28)</f>
        <v>2</v>
      </c>
      <c r="Q28" s="3" t="b">
        <f>AND(O28 = 0, M28 = FALSE, N28 = FALSE, I28 &lt;&gt; "index")</f>
        <v>0</v>
      </c>
      <c r="R28" s="2" t="s">
        <v>1858</v>
      </c>
    </row>
    <row r="29">
      <c r="A29" s="2" t="s">
        <v>8521</v>
      </c>
      <c r="B29" s="3" t="str">
        <f>D29 &amp; " — " &amp; C29</f>
        <v>My Own Evidence Quality — /finance-analyst/evidence/my-evidence</v>
      </c>
      <c r="C29" s="2" t="s">
        <v>8522</v>
      </c>
      <c r="D29" s="2" t="s">
        <v>8523</v>
      </c>
      <c r="E29" s="2" t="s">
        <v>8388</v>
      </c>
      <c r="F29" s="2" t="s">
        <v>203</v>
      </c>
      <c r="G29" s="2" t="s">
        <v>8353</v>
      </c>
      <c r="H29" s="2">
        <v>2</v>
      </c>
      <c r="I29" s="2" t="s">
        <v>8395</v>
      </c>
      <c r="J29" s="2" t="s">
        <v>8524</v>
      </c>
      <c r="K29" s="2" t="s">
        <v>8525</v>
      </c>
      <c r="L29" s="3" t="b">
        <f>G29 &lt;&gt; ""</f>
        <v>1</v>
      </c>
      <c r="M29" s="3" t="b">
        <f>AND(F29 = "", E29 = "domain")</f>
        <v>0</v>
      </c>
      <c r="N29" s="3" t="b">
        <f>E29 = "maintainer"</f>
        <v>0</v>
      </c>
      <c r="O29" s="3">
        <f>COUNTIFS(AppRouteQuestions!C2:C999, A29)</f>
        <v>1</v>
      </c>
      <c r="P29" s="3">
        <f>COUNTIFS(AppRouteReferences!C2:C999, A29)</f>
        <v>2</v>
      </c>
      <c r="Q29" s="3" t="b">
        <f>AND(O29 = 0, M29 = FALSE, N29 = FALSE, I29 &lt;&gt; "index")</f>
        <v>0</v>
      </c>
      <c r="R29" s="2" t="s">
        <v>1858</v>
      </c>
    </row>
    <row r="30">
      <c r="A30" s="2" t="s">
        <v>8526</v>
      </c>
      <c r="B30" s="3" t="str">
        <f>D30 &amp; " — " &amp; C30</f>
        <v>Was My Source Fresh — /finance-analyst/evidence/source-freshness</v>
      </c>
      <c r="C30" s="2" t="s">
        <v>8527</v>
      </c>
      <c r="D30" s="2" t="s">
        <v>8528</v>
      </c>
      <c r="E30" s="2" t="s">
        <v>8388</v>
      </c>
      <c r="F30" s="2" t="s">
        <v>203</v>
      </c>
      <c r="G30" s="2" t="s">
        <v>8353</v>
      </c>
      <c r="H30" s="2">
        <v>3</v>
      </c>
      <c r="I30" s="2" t="s">
        <v>8395</v>
      </c>
      <c r="J30" s="2" t="s">
        <v>1945</v>
      </c>
      <c r="K30" s="2" t="s">
        <v>8529</v>
      </c>
      <c r="L30" s="3" t="b">
        <f>G30 &lt;&gt; ""</f>
        <v>1</v>
      </c>
      <c r="M30" s="3" t="b">
        <f>AND(F30 = "", E30 = "domain")</f>
        <v>0</v>
      </c>
      <c r="N30" s="3" t="b">
        <f>E30 = "maintainer"</f>
        <v>0</v>
      </c>
      <c r="O30" s="3">
        <f>COUNTIFS(AppRouteQuestions!C2:C999, A30)</f>
        <v>1</v>
      </c>
      <c r="P30" s="3">
        <f>COUNTIFS(AppRouteReferences!C2:C999, A30)</f>
        <v>2</v>
      </c>
      <c r="Q30" s="3" t="b">
        <f>AND(O30 = 0, M30 = FALSE, N30 = FALSE, I30 &lt;&gt; "index")</f>
        <v>0</v>
      </c>
      <c r="R30" s="2" t="s">
        <v>1858</v>
      </c>
    </row>
    <row r="31">
      <c r="A31" s="2" t="s">
        <v>8530</v>
      </c>
      <c r="B31" s="3" t="str">
        <f>D31 &amp; " — " &amp; C31</f>
        <v>Stale Then vs Stale Now — /finance-analyst/evidence/stale-then-vs-now</v>
      </c>
      <c r="C31" s="2" t="s">
        <v>8531</v>
      </c>
      <c r="D31" s="2" t="s">
        <v>8532</v>
      </c>
      <c r="E31" s="2" t="s">
        <v>8388</v>
      </c>
      <c r="F31" s="2" t="s">
        <v>203</v>
      </c>
      <c r="G31" s="2" t="s">
        <v>8353</v>
      </c>
      <c r="H31" s="2">
        <v>4</v>
      </c>
      <c r="I31" s="2" t="s">
        <v>8395</v>
      </c>
      <c r="J31" s="2" t="s">
        <v>8533</v>
      </c>
      <c r="K31" s="2" t="s">
        <v>8534</v>
      </c>
      <c r="L31" s="3" t="b">
        <f>G31 &lt;&gt; ""</f>
        <v>1</v>
      </c>
      <c r="M31" s="3" t="b">
        <f>AND(F31 = "", E31 = "domain")</f>
        <v>0</v>
      </c>
      <c r="N31" s="3" t="b">
        <f>E31 = "maintainer"</f>
        <v>0</v>
      </c>
      <c r="O31" s="3">
        <f>COUNTIFS(AppRouteQuestions!C2:C999, A31)</f>
        <v>1</v>
      </c>
      <c r="P31" s="3">
        <f>COUNTIFS(AppRouteReferences!C2:C999, A31)</f>
        <v>2</v>
      </c>
      <c r="Q31" s="3" t="b">
        <f>AND(O31 = 0, M31 = FALSE, N31 = FALSE, I31 &lt;&gt; "index")</f>
        <v>0</v>
      </c>
      <c r="R31" s="2" t="s">
        <v>1858</v>
      </c>
    </row>
    <row r="32">
      <c r="A32" s="2" t="s">
        <v>8535</v>
      </c>
      <c r="B32" s="3" t="str">
        <f>D32 &amp; " — " &amp; C32</f>
        <v>Clean, or Just Unchecked — /finance-analyst/quality/clean-but-uncovered</v>
      </c>
      <c r="C32" s="2" t="s">
        <v>8536</v>
      </c>
      <c r="D32" s="2" t="s">
        <v>8537</v>
      </c>
      <c r="E32" s="2" t="s">
        <v>8388</v>
      </c>
      <c r="F32" s="2" t="s">
        <v>203</v>
      </c>
      <c r="G32" s="2" t="s">
        <v>8369</v>
      </c>
      <c r="H32" s="2">
        <v>1</v>
      </c>
      <c r="I32" s="2" t="s">
        <v>8395</v>
      </c>
      <c r="J32" s="2" t="s">
        <v>8538</v>
      </c>
      <c r="K32" s="2" t="s">
        <v>8539</v>
      </c>
      <c r="L32" s="3" t="b">
        <f>G32 &lt;&gt; ""</f>
        <v>1</v>
      </c>
      <c r="M32" s="3" t="b">
        <f>AND(F32 = "", E32 = "domain")</f>
        <v>0</v>
      </c>
      <c r="N32" s="3" t="b">
        <f>E32 = "maintainer"</f>
        <v>0</v>
      </c>
      <c r="O32" s="3">
        <f>COUNTIFS(AppRouteQuestions!C2:C999, A32)</f>
        <v>1</v>
      </c>
      <c r="P32" s="3">
        <f>COUNTIFS(AppRouteReferences!C2:C999, A32)</f>
        <v>2</v>
      </c>
      <c r="Q32" s="3" t="b">
        <f>AND(O32 = 0, M32 = FALSE, N32 = FALSE, I32 &lt;&gt; "index")</f>
        <v>0</v>
      </c>
      <c r="R32" s="2" t="s">
        <v>1858</v>
      </c>
    </row>
    <row r="33">
      <c r="A33" s="2" t="s">
        <v>8540</v>
      </c>
      <c r="B33" s="3" t="str">
        <f>D33 &amp; " — " &amp; C33</f>
        <v>Cleared by a Mute Control — /finance-analyst/quality/cleared-by-mute-control</v>
      </c>
      <c r="C33" s="2" t="s">
        <v>8541</v>
      </c>
      <c r="D33" s="2" t="s">
        <v>8542</v>
      </c>
      <c r="E33" s="2" t="s">
        <v>8388</v>
      </c>
      <c r="F33" s="2" t="s">
        <v>203</v>
      </c>
      <c r="G33" s="2" t="s">
        <v>8369</v>
      </c>
      <c r="H33" s="2">
        <v>2</v>
      </c>
      <c r="I33" s="2" t="s">
        <v>8395</v>
      </c>
      <c r="J33" s="2" t="s">
        <v>8543</v>
      </c>
      <c r="K33" s="2" t="s">
        <v>8544</v>
      </c>
      <c r="L33" s="3" t="b">
        <f>G33 &lt;&gt; ""</f>
        <v>1</v>
      </c>
      <c r="M33" s="3" t="b">
        <f>AND(F33 = "", E33 = "domain")</f>
        <v>0</v>
      </c>
      <c r="N33" s="3" t="b">
        <f>E33 = "maintainer"</f>
        <v>0</v>
      </c>
      <c r="O33" s="3">
        <f>COUNTIFS(AppRouteQuestions!C2:C999, A33)</f>
        <v>1</v>
      </c>
      <c r="P33" s="3">
        <f>COUNTIFS(AppRouteReferences!C2:C999, A33)</f>
        <v>2</v>
      </c>
      <c r="Q33" s="3" t="b">
        <f>AND(O33 = 0, M33 = FALSE, N33 = FALSE, I33 &lt;&gt; "index")</f>
        <v>0</v>
      </c>
      <c r="R33" s="2" t="s">
        <v>1858</v>
      </c>
    </row>
    <row r="34">
      <c r="A34" s="2" t="s">
        <v>8545</v>
      </c>
      <c r="B34" s="3" t="str">
        <f>D34 &amp; " — " &amp; C34</f>
        <v>Coverage of My Controls — /finance-analyst/quality/witness-coverage</v>
      </c>
      <c r="C34" s="2" t="s">
        <v>8546</v>
      </c>
      <c r="D34" s="2" t="s">
        <v>8547</v>
      </c>
      <c r="E34" s="2" t="s">
        <v>8388</v>
      </c>
      <c r="F34" s="2" t="s">
        <v>203</v>
      </c>
      <c r="G34" s="2" t="s">
        <v>8369</v>
      </c>
      <c r="H34" s="2">
        <v>3</v>
      </c>
      <c r="I34" s="2" t="s">
        <v>8395</v>
      </c>
      <c r="J34" s="2" t="s">
        <v>8548</v>
      </c>
      <c r="K34" s="2" t="s">
        <v>8549</v>
      </c>
      <c r="L34" s="3" t="b">
        <f>G34 &lt;&gt; ""</f>
        <v>1</v>
      </c>
      <c r="M34" s="3" t="b">
        <f>AND(F34 = "", E34 = "domain")</f>
        <v>0</v>
      </c>
      <c r="N34" s="3" t="b">
        <f>E34 = "maintainer"</f>
        <v>0</v>
      </c>
      <c r="O34" s="3">
        <f>COUNTIFS(AppRouteQuestions!C2:C999, A34)</f>
        <v>1</v>
      </c>
      <c r="P34" s="3">
        <f>COUNTIFS(AppRouteReferences!C2:C999, A34)</f>
        <v>2</v>
      </c>
      <c r="Q34" s="3" t="b">
        <f>AND(O34 = 0, M34 = FALSE, N34 = FALSE, I34 &lt;&gt; "index")</f>
        <v>0</v>
      </c>
      <c r="R34" s="2" t="s">
        <v>1858</v>
      </c>
    </row>
    <row r="35">
      <c r="A35" s="2" t="s">
        <v>8550</v>
      </c>
      <c r="B35" s="3" t="str">
        <f>D35 &amp; " — " &amp; C35</f>
        <v>What I Own — /hr-policy-owner/ownership</v>
      </c>
      <c r="C35" s="2" t="s">
        <v>8551</v>
      </c>
      <c r="D35" s="2" t="s">
        <v>8552</v>
      </c>
      <c r="E35" s="2" t="s">
        <v>8388</v>
      </c>
      <c r="F35" s="2" t="s">
        <v>216</v>
      </c>
      <c r="G35" s="2" t="s">
        <v>8372</v>
      </c>
      <c r="H35" s="2">
        <v>1</v>
      </c>
      <c r="I35" s="2" t="s">
        <v>8389</v>
      </c>
      <c r="J35" s="2" t="s">
        <v>8553</v>
      </c>
      <c r="K35" s="2" t="s">
        <v>8554</v>
      </c>
      <c r="L35" s="3" t="b">
        <f>G35 &lt;&gt; ""</f>
        <v>1</v>
      </c>
      <c r="M35" s="3" t="b">
        <f>AND(F35 = "", E35 = "domain")</f>
        <v>0</v>
      </c>
      <c r="N35" s="3" t="b">
        <f>E35 = "maintainer"</f>
        <v>0</v>
      </c>
      <c r="O35" s="3">
        <f>COUNTIFS(AppRouteQuestions!C2:C999, A35)</f>
        <v>2</v>
      </c>
      <c r="P35" s="3">
        <f>COUNTIFS(AppRouteReferences!C2:C999, A35)</f>
        <v>3</v>
      </c>
      <c r="Q35" s="3" t="b">
        <f>AND(O35 = 0, M35 = FALSE, N35 = FALSE, I35 &lt;&gt; "index")</f>
        <v>0</v>
      </c>
      <c r="R35" s="2" t="s">
        <v>1858</v>
      </c>
    </row>
    <row r="36">
      <c r="A36" s="2" t="s">
        <v>8555</v>
      </c>
      <c r="B36" s="3" t="str">
        <f>D36 &amp; " — " &amp; C36</f>
        <v>Unapproved in My Name — /hr-policy-owner/ownership/unapproved</v>
      </c>
      <c r="C36" s="2" t="s">
        <v>8556</v>
      </c>
      <c r="D36" s="2" t="s">
        <v>8557</v>
      </c>
      <c r="E36" s="2" t="s">
        <v>8388</v>
      </c>
      <c r="F36" s="2" t="s">
        <v>216</v>
      </c>
      <c r="G36" s="2" t="s">
        <v>8372</v>
      </c>
      <c r="H36" s="2">
        <v>2</v>
      </c>
      <c r="I36" s="2" t="s">
        <v>8395</v>
      </c>
      <c r="J36" s="2" t="s">
        <v>8558</v>
      </c>
      <c r="K36" s="2" t="s">
        <v>8559</v>
      </c>
      <c r="L36" s="3" t="b">
        <f>G36 &lt;&gt; ""</f>
        <v>1</v>
      </c>
      <c r="M36" s="3" t="b">
        <f>AND(F36 = "", E36 = "domain")</f>
        <v>0</v>
      </c>
      <c r="N36" s="3" t="b">
        <f>E36 = "maintainer"</f>
        <v>0</v>
      </c>
      <c r="O36" s="3">
        <f>COUNTIFS(AppRouteQuestions!C2:C999, A36)</f>
        <v>1</v>
      </c>
      <c r="P36" s="3">
        <f>COUNTIFS(AppRouteReferences!C2:C999, A36)</f>
        <v>2</v>
      </c>
      <c r="Q36" s="3" t="b">
        <f>AND(O36 = 0, M36 = FALSE, N36 = FALSE, I36 &lt;&gt; "index")</f>
        <v>0</v>
      </c>
      <c r="R36" s="2" t="s">
        <v>1858</v>
      </c>
    </row>
    <row r="37">
      <c r="A37" s="2" t="s">
        <v>8560</v>
      </c>
      <c r="B37" s="3" t="str">
        <f>D37 &amp; " — " &amp; C37</f>
        <v>Blast Radius of a Claim — /hr-policy-owner/ownership/blast-radius/:fragmentId</v>
      </c>
      <c r="C37" s="2" t="s">
        <v>8561</v>
      </c>
      <c r="D37" s="2" t="s">
        <v>8562</v>
      </c>
      <c r="E37" s="2" t="s">
        <v>8388</v>
      </c>
      <c r="F37" s="2" t="s">
        <v>216</v>
      </c>
      <c r="G37" s="2" t="s">
        <v>8372</v>
      </c>
      <c r="H37" s="2">
        <v>3</v>
      </c>
      <c r="I37" s="2" t="s">
        <v>8446</v>
      </c>
      <c r="J37" s="2" t="s">
        <v>8563</v>
      </c>
      <c r="K37" s="2" t="s">
        <v>8564</v>
      </c>
      <c r="L37" s="3" t="b">
        <f>G37 &lt;&gt; ""</f>
        <v>1</v>
      </c>
      <c r="M37" s="3" t="b">
        <f>AND(F37 = "", E37 = "domain")</f>
        <v>0</v>
      </c>
      <c r="N37" s="3" t="b">
        <f>E37 = "maintainer"</f>
        <v>0</v>
      </c>
      <c r="O37" s="3">
        <f>COUNTIFS(AppRouteQuestions!C2:C999, A37)</f>
        <v>1</v>
      </c>
      <c r="P37" s="3">
        <f>COUNTIFS(AppRouteReferences!C2:C999, A37)</f>
        <v>2</v>
      </c>
      <c r="Q37" s="3" t="b">
        <f>AND(O37 = 0, M37 = FALSE, N37 = FALSE, I37 &lt;&gt; "index")</f>
        <v>0</v>
      </c>
      <c r="R37" s="2" t="s">
        <v>1858</v>
      </c>
    </row>
    <row r="38">
      <c r="A38" s="2" t="s">
        <v>8565</v>
      </c>
      <c r="B38" s="3" t="str">
        <f>D38 &amp; " — " &amp; C38</f>
        <v>Waiting On Me — /hr-policy-owner/backlog</v>
      </c>
      <c r="C38" s="2" t="s">
        <v>8566</v>
      </c>
      <c r="D38" s="2" t="s">
        <v>8567</v>
      </c>
      <c r="E38" s="2" t="s">
        <v>8388</v>
      </c>
      <c r="F38" s="2" t="s">
        <v>216</v>
      </c>
      <c r="G38" s="2" t="s">
        <v>8370</v>
      </c>
      <c r="H38" s="2">
        <v>1</v>
      </c>
      <c r="I38" s="2" t="s">
        <v>8395</v>
      </c>
      <c r="J38" s="2" t="s">
        <v>8568</v>
      </c>
      <c r="K38" s="2" t="s">
        <v>8569</v>
      </c>
      <c r="L38" s="3" t="b">
        <f>G38 &lt;&gt; ""</f>
        <v>1</v>
      </c>
      <c r="M38" s="3" t="b">
        <f>AND(F38 = "", E38 = "domain")</f>
        <v>0</v>
      </c>
      <c r="N38" s="3" t="b">
        <f>E38 = "maintainer"</f>
        <v>0</v>
      </c>
      <c r="O38" s="3">
        <f>COUNTIFS(AppRouteQuestions!C2:C999, A38)</f>
        <v>1</v>
      </c>
      <c r="P38" s="3">
        <f>COUNTIFS(AppRouteReferences!C2:C999, A38)</f>
        <v>2</v>
      </c>
      <c r="Q38" s="3" t="b">
        <f>AND(O38 = 0, M38 = FALSE, N38 = FALSE, I38 &lt;&gt; "index")</f>
        <v>0</v>
      </c>
      <c r="R38" s="2" t="s">
        <v>1858</v>
      </c>
    </row>
    <row r="39">
      <c r="A39" s="2" t="s">
        <v>8570</v>
      </c>
      <c r="B39" s="3" t="str">
        <f>D39 &amp; " — " &amp; C39</f>
        <v>What My Delay Blocks — /hr-policy-owner/backlog/downstream</v>
      </c>
      <c r="C39" s="2" t="s">
        <v>8571</v>
      </c>
      <c r="D39" s="2" t="s">
        <v>8572</v>
      </c>
      <c r="E39" s="2" t="s">
        <v>8388</v>
      </c>
      <c r="F39" s="2" t="s">
        <v>216</v>
      </c>
      <c r="G39" s="2" t="s">
        <v>8370</v>
      </c>
      <c r="H39" s="2">
        <v>2</v>
      </c>
      <c r="I39" s="2" t="s">
        <v>8395</v>
      </c>
      <c r="J39" s="2" t="s">
        <v>8573</v>
      </c>
      <c r="K39" s="2" t="s">
        <v>8574</v>
      </c>
      <c r="L39" s="3" t="b">
        <f>G39 &lt;&gt; ""</f>
        <v>1</v>
      </c>
      <c r="M39" s="3" t="b">
        <f>AND(F39 = "", E39 = "domain")</f>
        <v>0</v>
      </c>
      <c r="N39" s="3" t="b">
        <f>E39 = "maintainer"</f>
        <v>0</v>
      </c>
      <c r="O39" s="3">
        <f>COUNTIFS(AppRouteQuestions!C2:C999, A39)</f>
        <v>1</v>
      </c>
      <c r="P39" s="3">
        <f>COUNTIFS(AppRouteReferences!C2:C999, A39)</f>
        <v>2</v>
      </c>
      <c r="Q39" s="3" t="b">
        <f>AND(O39 = 0, M39 = FALSE, N39 = FALSE, I39 &lt;&gt; "index")</f>
        <v>0</v>
      </c>
      <c r="R39" s="2" t="s">
        <v>1858</v>
      </c>
    </row>
    <row r="40">
      <c r="A40" s="2" t="s">
        <v>8575</v>
      </c>
      <c r="B40" s="3" t="str">
        <f>D40 &amp; " — " &amp; C40</f>
        <v>What I Have Cleared — /hr-policy-owner/backlog/my-decisions</v>
      </c>
      <c r="C40" s="2" t="s">
        <v>8576</v>
      </c>
      <c r="D40" s="2" t="s">
        <v>8577</v>
      </c>
      <c r="E40" s="2" t="s">
        <v>8388</v>
      </c>
      <c r="F40" s="2" t="s">
        <v>216</v>
      </c>
      <c r="G40" s="2" t="s">
        <v>8370</v>
      </c>
      <c r="H40" s="2">
        <v>3</v>
      </c>
      <c r="I40" s="2" t="s">
        <v>8395</v>
      </c>
      <c r="J40" s="2" t="s">
        <v>8578</v>
      </c>
      <c r="K40" s="2" t="s">
        <v>8579</v>
      </c>
      <c r="L40" s="3" t="b">
        <f>G40 &lt;&gt; ""</f>
        <v>1</v>
      </c>
      <c r="M40" s="3" t="b">
        <f>AND(F40 = "", E40 = "domain")</f>
        <v>0</v>
      </c>
      <c r="N40" s="3" t="b">
        <f>E40 = "maintainer"</f>
        <v>0</v>
      </c>
      <c r="O40" s="3">
        <f>COUNTIFS(AppRouteQuestions!C2:C999, A40)</f>
        <v>1</v>
      </c>
      <c r="P40" s="3">
        <f>COUNTIFS(AppRouteReferences!C2:C999, A40)</f>
        <v>2</v>
      </c>
      <c r="Q40" s="3" t="b">
        <f>AND(O40 = 0, M40 = FALSE, N40 = FALSE, I40 &lt;&gt; "index")</f>
        <v>0</v>
      </c>
      <c r="R40" s="2" t="s">
        <v>1858</v>
      </c>
    </row>
    <row r="41">
      <c r="A41" s="2" t="s">
        <v>8580</v>
      </c>
      <c r="B41" s="3" t="str">
        <f>D41 &amp; " — " &amp; C41</f>
        <v>Is the AI Boundary Held — /hr-policy-owner/governance/ai-boundary</v>
      </c>
      <c r="C41" s="2" t="s">
        <v>8581</v>
      </c>
      <c r="D41" s="2" t="s">
        <v>8582</v>
      </c>
      <c r="E41" s="2" t="s">
        <v>8388</v>
      </c>
      <c r="F41" s="2" t="s">
        <v>216</v>
      </c>
      <c r="G41" s="2" t="s">
        <v>8358</v>
      </c>
      <c r="H41" s="2">
        <v>1</v>
      </c>
      <c r="I41" s="2" t="s">
        <v>8395</v>
      </c>
      <c r="J41" s="2" t="s">
        <v>8583</v>
      </c>
      <c r="K41" s="2" t="s">
        <v>8584</v>
      </c>
      <c r="L41" s="3" t="b">
        <f>G41 &lt;&gt; ""</f>
        <v>1</v>
      </c>
      <c r="M41" s="3" t="b">
        <f>AND(F41 = "", E41 = "domain")</f>
        <v>0</v>
      </c>
      <c r="N41" s="3" t="b">
        <f>E41 = "maintainer"</f>
        <v>0</v>
      </c>
      <c r="O41" s="3">
        <f>COUNTIFS(AppRouteQuestions!C2:C999, A41)</f>
        <v>2</v>
      </c>
      <c r="P41" s="3">
        <f>COUNTIFS(AppRouteReferences!C2:C999, A41)</f>
        <v>2</v>
      </c>
      <c r="Q41" s="3" t="b">
        <f>AND(O41 = 0, M41 = FALSE, N41 = FALSE, I41 &lt;&gt; "index")</f>
        <v>0</v>
      </c>
      <c r="R41" s="2" t="s">
        <v>1858</v>
      </c>
    </row>
    <row r="42">
      <c r="A42" s="2" t="s">
        <v>8585</v>
      </c>
      <c r="B42" s="3" t="str">
        <f>D42 &amp; " — " &amp; C42</f>
        <v>Knowledge Half-Life — /hr-policy-owner/governance/knowledge-half-life</v>
      </c>
      <c r="C42" s="2" t="s">
        <v>8586</v>
      </c>
      <c r="D42" s="2" t="s">
        <v>8587</v>
      </c>
      <c r="E42" s="2" t="s">
        <v>8388</v>
      </c>
      <c r="F42" s="2" t="s">
        <v>216</v>
      </c>
      <c r="G42" s="2" t="s">
        <v>8358</v>
      </c>
      <c r="H42" s="2">
        <v>2</v>
      </c>
      <c r="I42" s="2" t="s">
        <v>8395</v>
      </c>
      <c r="J42" s="2" t="s">
        <v>8588</v>
      </c>
      <c r="K42" s="2" t="s">
        <v>8589</v>
      </c>
      <c r="L42" s="3" t="b">
        <f>G42 &lt;&gt; ""</f>
        <v>1</v>
      </c>
      <c r="M42" s="3" t="b">
        <f>AND(F42 = "", E42 = "domain")</f>
        <v>0</v>
      </c>
      <c r="N42" s="3" t="b">
        <f>E42 = "maintainer"</f>
        <v>0</v>
      </c>
      <c r="O42" s="3">
        <f>COUNTIFS(AppRouteQuestions!C2:C999, A42)</f>
        <v>1</v>
      </c>
      <c r="P42" s="3">
        <f>COUNTIFS(AppRouteReferences!C2:C999, A42)</f>
        <v>2</v>
      </c>
      <c r="Q42" s="3" t="b">
        <f>AND(O42 = 0, M42 = FALSE, N42 = FALSE, I42 &lt;&gt; "index")</f>
        <v>0</v>
      </c>
      <c r="R42" s="2" t="s">
        <v>1858</v>
      </c>
    </row>
    <row r="43">
      <c r="A43" s="2" t="s">
        <v>8590</v>
      </c>
      <c r="B43" s="3" t="str">
        <f>D43 &amp; " — " &amp; C43</f>
        <v>What Departed With Them — /hr-policy-owner/governance/departed-holders</v>
      </c>
      <c r="C43" s="2" t="s">
        <v>8591</v>
      </c>
      <c r="D43" s="2" t="s">
        <v>8592</v>
      </c>
      <c r="E43" s="2" t="s">
        <v>8388</v>
      </c>
      <c r="F43" s="2" t="s">
        <v>216</v>
      </c>
      <c r="G43" s="2" t="s">
        <v>8358</v>
      </c>
      <c r="H43" s="2">
        <v>3</v>
      </c>
      <c r="I43" s="2" t="s">
        <v>8395</v>
      </c>
      <c r="J43" s="2" t="s">
        <v>8593</v>
      </c>
      <c r="K43" s="2" t="s">
        <v>8594</v>
      </c>
      <c r="L43" s="3" t="b">
        <f>G43 &lt;&gt; ""</f>
        <v>1</v>
      </c>
      <c r="M43" s="3" t="b">
        <f>AND(F43 = "", E43 = "domain")</f>
        <v>0</v>
      </c>
      <c r="N43" s="3" t="b">
        <f>E43 = "maintainer"</f>
        <v>0</v>
      </c>
      <c r="O43" s="3">
        <f>COUNTIFS(AppRouteQuestions!C2:C999, A43)</f>
        <v>1</v>
      </c>
      <c r="P43" s="3">
        <f>COUNTIFS(AppRouteReferences!C2:C999, A43)</f>
        <v>2</v>
      </c>
      <c r="Q43" s="3" t="b">
        <f>AND(O43 = 0, M43 = FALSE, N43 = FALSE, I43 &lt;&gt; "index")</f>
        <v>0</v>
      </c>
      <c r="R43" s="2" t="s">
        <v>1858</v>
      </c>
    </row>
    <row r="44">
      <c r="A44" s="2" t="s">
        <v>8595</v>
      </c>
      <c r="B44" s="3" t="str">
        <f>D44 &amp; " — " &amp; C44</f>
        <v>What Was Actually Sent — /hr-policy-owner/delivery/what-was-sent</v>
      </c>
      <c r="C44" s="2" t="s">
        <v>8596</v>
      </c>
      <c r="D44" s="2" t="s">
        <v>8597</v>
      </c>
      <c r="E44" s="2" t="s">
        <v>8388</v>
      </c>
      <c r="F44" s="2" t="s">
        <v>216</v>
      </c>
      <c r="G44" s="2" t="s">
        <v>8359</v>
      </c>
      <c r="H44" s="2">
        <v>1</v>
      </c>
      <c r="I44" s="2" t="s">
        <v>8395</v>
      </c>
      <c r="J44" s="2" t="s">
        <v>8598</v>
      </c>
      <c r="K44" s="2" t="s">
        <v>8599</v>
      </c>
      <c r="L44" s="3" t="b">
        <f>G44 &lt;&gt; ""</f>
        <v>1</v>
      </c>
      <c r="M44" s="3" t="b">
        <f>AND(F44 = "", E44 = "domain")</f>
        <v>0</v>
      </c>
      <c r="N44" s="3" t="b">
        <f>E44 = "maintainer"</f>
        <v>0</v>
      </c>
      <c r="O44" s="3">
        <f>COUNTIFS(AppRouteQuestions!C2:C999, A44)</f>
        <v>1</v>
      </c>
      <c r="P44" s="3">
        <f>COUNTIFS(AppRouteReferences!C2:C999, A44)</f>
        <v>2</v>
      </c>
      <c r="Q44" s="3" t="b">
        <f>AND(O44 = 0, M44 = FALSE, N44 = FALSE, I44 &lt;&gt; "index")</f>
        <v>0</v>
      </c>
      <c r="R44" s="2" t="s">
        <v>1858</v>
      </c>
    </row>
    <row r="45">
      <c r="A45" s="2" t="s">
        <v>8600</v>
      </c>
      <c r="B45" s="3" t="str">
        <f>D45 &amp; " — " &amp; C45</f>
        <v>Compliance Gates — /employment-counsel/compliance</v>
      </c>
      <c r="C45" s="2" t="s">
        <v>8601</v>
      </c>
      <c r="D45" s="2" t="s">
        <v>8602</v>
      </c>
      <c r="E45" s="2" t="s">
        <v>8388</v>
      </c>
      <c r="F45" s="2" t="s">
        <v>220</v>
      </c>
      <c r="G45" s="2" t="s">
        <v>8363</v>
      </c>
      <c r="H45" s="2">
        <v>1</v>
      </c>
      <c r="I45" s="2" t="s">
        <v>8389</v>
      </c>
      <c r="J45" s="2" t="s">
        <v>8603</v>
      </c>
      <c r="K45" s="2" t="s">
        <v>8604</v>
      </c>
      <c r="L45" s="3" t="b">
        <f>G45 &lt;&gt; ""</f>
        <v>1</v>
      </c>
      <c r="M45" s="3" t="b">
        <f>AND(F45 = "", E45 = "domain")</f>
        <v>0</v>
      </c>
      <c r="N45" s="3" t="b">
        <f>E45 = "maintainer"</f>
        <v>0</v>
      </c>
      <c r="O45" s="3">
        <f>COUNTIFS(AppRouteQuestions!C2:C999, A45)</f>
        <v>4</v>
      </c>
      <c r="P45" s="3">
        <f>COUNTIFS(AppRouteReferences!C2:C999, A45)</f>
        <v>4</v>
      </c>
      <c r="Q45" s="3" t="b">
        <f>AND(O45 = 0, M45 = FALSE, N45 = FALSE, I45 &lt;&gt; "index")</f>
        <v>0</v>
      </c>
      <c r="R45" s="2" t="s">
        <v>1858</v>
      </c>
    </row>
    <row r="46">
      <c r="A46" s="2" t="s">
        <v>8605</v>
      </c>
      <c r="B46" s="3" t="str">
        <f>D46 &amp; " — " &amp; C46</f>
        <v>SMS Without Consent — /employment-counsel/compliance/consent</v>
      </c>
      <c r="C46" s="2" t="s">
        <v>8606</v>
      </c>
      <c r="D46" s="2" t="s">
        <v>8607</v>
      </c>
      <c r="E46" s="2" t="s">
        <v>8388</v>
      </c>
      <c r="F46" s="2" t="s">
        <v>220</v>
      </c>
      <c r="G46" s="2" t="s">
        <v>8363</v>
      </c>
      <c r="H46" s="2">
        <v>2</v>
      </c>
      <c r="I46" s="2" t="s">
        <v>8395</v>
      </c>
      <c r="J46" s="2" t="s">
        <v>2037</v>
      </c>
      <c r="K46" s="2" t="s">
        <v>8608</v>
      </c>
      <c r="L46" s="3" t="b">
        <f>G46 &lt;&gt; ""</f>
        <v>1</v>
      </c>
      <c r="M46" s="3" t="b">
        <f>AND(F46 = "", E46 = "domain")</f>
        <v>0</v>
      </c>
      <c r="N46" s="3" t="b">
        <f>E46 = "maintainer"</f>
        <v>0</v>
      </c>
      <c r="O46" s="3">
        <f>COUNTIFS(AppRouteQuestions!C2:C999, A46)</f>
        <v>1</v>
      </c>
      <c r="P46" s="3">
        <f>COUNTIFS(AppRouteReferences!C2:C999, A46)</f>
        <v>2</v>
      </c>
      <c r="Q46" s="3" t="b">
        <f>AND(O46 = 0, M46 = FALSE, N46 = FALSE, I46 &lt;&gt; "index")</f>
        <v>0</v>
      </c>
      <c r="R46" s="2" t="s">
        <v>1858</v>
      </c>
    </row>
    <row r="47">
      <c r="A47" s="2" t="s">
        <v>8609</v>
      </c>
      <c r="B47" s="3" t="str">
        <f>D47 &amp; " — " &amp; C47</f>
        <v>Quiet Hours — /employment-counsel/compliance/quiet-hours</v>
      </c>
      <c r="C47" s="2" t="s">
        <v>8610</v>
      </c>
      <c r="D47" s="2" t="s">
        <v>8611</v>
      </c>
      <c r="E47" s="2" t="s">
        <v>8388</v>
      </c>
      <c r="F47" s="2" t="s">
        <v>220</v>
      </c>
      <c r="G47" s="2" t="s">
        <v>8363</v>
      </c>
      <c r="H47" s="2">
        <v>3</v>
      </c>
      <c r="I47" s="2" t="s">
        <v>8395</v>
      </c>
      <c r="J47" s="2" t="s">
        <v>2041</v>
      </c>
      <c r="K47" s="2" t="s">
        <v>8612</v>
      </c>
      <c r="L47" s="3" t="b">
        <f>G47 &lt;&gt; ""</f>
        <v>1</v>
      </c>
      <c r="M47" s="3" t="b">
        <f>AND(F47 = "", E47 = "domain")</f>
        <v>0</v>
      </c>
      <c r="N47" s="3" t="b">
        <f>E47 = "maintainer"</f>
        <v>0</v>
      </c>
      <c r="O47" s="3">
        <f>COUNTIFS(AppRouteQuestions!C2:C999, A47)</f>
        <v>1</v>
      </c>
      <c r="P47" s="3">
        <f>COUNTIFS(AppRouteReferences!C2:C999, A47)</f>
        <v>2</v>
      </c>
      <c r="Q47" s="3" t="b">
        <f>AND(O47 = 0, M47 = FALSE, N47 = FALSE, I47 &lt;&gt; "index")</f>
        <v>0</v>
      </c>
      <c r="R47" s="2" t="s">
        <v>1858</v>
      </c>
    </row>
    <row r="48">
      <c r="A48" s="2" t="s">
        <v>8613</v>
      </c>
      <c r="B48" s="3" t="str">
        <f>D48 &amp; " — " &amp; C48</f>
        <v>Sent Before My Review — /employment-counsel/compliance/legal-review</v>
      </c>
      <c r="C48" s="2" t="s">
        <v>8614</v>
      </c>
      <c r="D48" s="2" t="s">
        <v>8615</v>
      </c>
      <c r="E48" s="2" t="s">
        <v>8388</v>
      </c>
      <c r="F48" s="2" t="s">
        <v>220</v>
      </c>
      <c r="G48" s="2" t="s">
        <v>8363</v>
      </c>
      <c r="H48" s="2">
        <v>4</v>
      </c>
      <c r="I48" s="2" t="s">
        <v>8395</v>
      </c>
      <c r="J48" s="2" t="s">
        <v>2053</v>
      </c>
      <c r="K48" s="2" t="s">
        <v>8616</v>
      </c>
      <c r="L48" s="3" t="b">
        <f>G48 &lt;&gt; ""</f>
        <v>1</v>
      </c>
      <c r="M48" s="3" t="b">
        <f>AND(F48 = "", E48 = "domain")</f>
        <v>0</v>
      </c>
      <c r="N48" s="3" t="b">
        <f>E48 = "maintainer"</f>
        <v>0</v>
      </c>
      <c r="O48" s="3">
        <f>COUNTIFS(AppRouteQuestions!C2:C999, A48)</f>
        <v>1</v>
      </c>
      <c r="P48" s="3">
        <f>COUNTIFS(AppRouteReferences!C2:C999, A48)</f>
        <v>2</v>
      </c>
      <c r="Q48" s="3" t="b">
        <f>AND(O48 = 0, M48 = FALSE, N48 = FALSE, I48 &lt;&gt; "index")</f>
        <v>0</v>
      </c>
      <c r="R48" s="2" t="s">
        <v>1858</v>
      </c>
    </row>
    <row r="49">
      <c r="A49" s="2" t="s">
        <v>8617</v>
      </c>
      <c r="B49" s="3" t="str">
        <f>D49 &amp; " — " &amp; C49</f>
        <v>Retention Evidence — /employment-counsel/compliance/retention</v>
      </c>
      <c r="C49" s="2" t="s">
        <v>8618</v>
      </c>
      <c r="D49" s="2" t="s">
        <v>8619</v>
      </c>
      <c r="E49" s="2" t="s">
        <v>8388</v>
      </c>
      <c r="F49" s="2" t="s">
        <v>220</v>
      </c>
      <c r="G49" s="2" t="s">
        <v>8363</v>
      </c>
      <c r="H49" s="2">
        <v>5</v>
      </c>
      <c r="I49" s="2" t="s">
        <v>8395</v>
      </c>
      <c r="J49" s="2" t="s">
        <v>2049</v>
      </c>
      <c r="K49" s="2" t="s">
        <v>8620</v>
      </c>
      <c r="L49" s="3" t="b">
        <f>G49 &lt;&gt; ""</f>
        <v>1</v>
      </c>
      <c r="M49" s="3" t="b">
        <f>AND(F49 = "", E49 = "domain")</f>
        <v>0</v>
      </c>
      <c r="N49" s="3" t="b">
        <f>E49 = "maintainer"</f>
        <v>0</v>
      </c>
      <c r="O49" s="3">
        <f>COUNTIFS(AppRouteQuestions!C2:C999, A49)</f>
        <v>1</v>
      </c>
      <c r="P49" s="3">
        <f>COUNTIFS(AppRouteReferences!C2:C999, A49)</f>
        <v>2</v>
      </c>
      <c r="Q49" s="3" t="b">
        <f>AND(O49 = 0, M49 = FALSE, N49 = FALSE, I49 &lt;&gt; "index")</f>
        <v>0</v>
      </c>
      <c r="R49" s="2" t="s">
        <v>1858</v>
      </c>
    </row>
    <row r="50">
      <c r="A50" s="2" t="s">
        <v>8621</v>
      </c>
      <c r="B50" s="3" t="str">
        <f>D50 &amp; " — " &amp; C50</f>
        <v>Unreachable, Not Acknowledged — /employment-counsel/compliance/unreachable</v>
      </c>
      <c r="C50" s="2" t="s">
        <v>8622</v>
      </c>
      <c r="D50" s="2" t="s">
        <v>8623</v>
      </c>
      <c r="E50" s="2" t="s">
        <v>8388</v>
      </c>
      <c r="F50" s="2" t="s">
        <v>220</v>
      </c>
      <c r="G50" s="2" t="s">
        <v>8363</v>
      </c>
      <c r="H50" s="2">
        <v>6</v>
      </c>
      <c r="I50" s="2" t="s">
        <v>8395</v>
      </c>
      <c r="J50" s="2" t="s">
        <v>2045</v>
      </c>
      <c r="K50" s="2" t="s">
        <v>8624</v>
      </c>
      <c r="L50" s="3" t="b">
        <f>G50 &lt;&gt; ""</f>
        <v>1</v>
      </c>
      <c r="M50" s="3" t="b">
        <f>AND(F50 = "", E50 = "domain")</f>
        <v>0</v>
      </c>
      <c r="N50" s="3" t="b">
        <f>E50 = "maintainer"</f>
        <v>0</v>
      </c>
      <c r="O50" s="3">
        <f>COUNTIFS(AppRouteQuestions!C2:C999, A50)</f>
        <v>1</v>
      </c>
      <c r="P50" s="3">
        <f>COUNTIFS(AppRouteReferences!C2:C999, A50)</f>
        <v>2</v>
      </c>
      <c r="Q50" s="3" t="b">
        <f>AND(O50 = 0, M50 = FALSE, N50 = FALSE, I50 &lt;&gt; "index")</f>
        <v>0</v>
      </c>
      <c r="R50" s="2" t="s">
        <v>1858</v>
      </c>
    </row>
    <row r="51">
      <c r="A51" s="2" t="s">
        <v>8625</v>
      </c>
      <c r="B51" s="3" t="str">
        <f>D51 &amp; " — " &amp; C51</f>
        <v>Campaign Board — /communications-manager/delivery</v>
      </c>
      <c r="C51" s="2" t="s">
        <v>8626</v>
      </c>
      <c r="D51" s="2" t="s">
        <v>8627</v>
      </c>
      <c r="E51" s="2" t="s">
        <v>8388</v>
      </c>
      <c r="F51" s="2" t="s">
        <v>224</v>
      </c>
      <c r="G51" s="2" t="s">
        <v>8359</v>
      </c>
      <c r="H51" s="2">
        <v>1</v>
      </c>
      <c r="I51" s="2" t="s">
        <v>8389</v>
      </c>
      <c r="J51" s="2" t="s">
        <v>8628</v>
      </c>
      <c r="K51" s="2" t="s">
        <v>8629</v>
      </c>
      <c r="L51" s="3" t="b">
        <f>G51 &lt;&gt; ""</f>
        <v>1</v>
      </c>
      <c r="M51" s="3" t="b">
        <f>AND(F51 = "", E51 = "domain")</f>
        <v>0</v>
      </c>
      <c r="N51" s="3" t="b">
        <f>E51 = "maintainer"</f>
        <v>0</v>
      </c>
      <c r="O51" s="3">
        <f>COUNTIFS(AppRouteQuestions!C2:C999, A51)</f>
        <v>2</v>
      </c>
      <c r="P51" s="3">
        <f>COUNTIFS(AppRouteReferences!C2:C999, A51)</f>
        <v>3</v>
      </c>
      <c r="Q51" s="3" t="b">
        <f>AND(O51 = 0, M51 = FALSE, N51 = FALSE, I51 &lt;&gt; "index")</f>
        <v>0</v>
      </c>
      <c r="R51" s="2" t="s">
        <v>1858</v>
      </c>
    </row>
    <row r="52">
      <c r="A52" s="2" t="s">
        <v>8630</v>
      </c>
      <c r="B52" s="3" t="str">
        <f>D52 &amp; " — " &amp; C52</f>
        <v>Approval-to-Delivery Yield — /communications-manager/delivery/yield</v>
      </c>
      <c r="C52" s="2" t="s">
        <v>8631</v>
      </c>
      <c r="D52" s="2" t="s">
        <v>8632</v>
      </c>
      <c r="E52" s="2" t="s">
        <v>8388</v>
      </c>
      <c r="F52" s="2" t="s">
        <v>224</v>
      </c>
      <c r="G52" s="2" t="s">
        <v>8359</v>
      </c>
      <c r="H52" s="2">
        <v>2</v>
      </c>
      <c r="I52" s="2" t="s">
        <v>8395</v>
      </c>
      <c r="J52" s="2" t="s">
        <v>8633</v>
      </c>
      <c r="K52" s="2" t="s">
        <v>8634</v>
      </c>
      <c r="L52" s="3" t="b">
        <f>G52 &lt;&gt; ""</f>
        <v>1</v>
      </c>
      <c r="M52" s="3" t="b">
        <f>AND(F52 = "", E52 = "domain")</f>
        <v>0</v>
      </c>
      <c r="N52" s="3" t="b">
        <f>E52 = "maintainer"</f>
        <v>0</v>
      </c>
      <c r="O52" s="3">
        <f>COUNTIFS(AppRouteQuestions!C2:C999, A52)</f>
        <v>2</v>
      </c>
      <c r="P52" s="3">
        <f>COUNTIFS(AppRouteReferences!C2:C999, A52)</f>
        <v>3</v>
      </c>
      <c r="Q52" s="3" t="b">
        <f>AND(O52 = 0, M52 = FALSE, N52 = FALSE, I52 &lt;&gt; "index")</f>
        <v>0</v>
      </c>
      <c r="R52" s="2" t="s">
        <v>1858</v>
      </c>
    </row>
    <row r="53">
      <c r="A53" s="2" t="s">
        <v>8635</v>
      </c>
      <c r="B53" s="3" t="str">
        <f>D53 &amp; " — " &amp; C53</f>
        <v>Bounced and Unworked — /communications-manager/delivery/failed</v>
      </c>
      <c r="C53" s="2" t="s">
        <v>8636</v>
      </c>
      <c r="D53" s="2" t="s">
        <v>8637</v>
      </c>
      <c r="E53" s="2" t="s">
        <v>8388</v>
      </c>
      <c r="F53" s="2" t="s">
        <v>224</v>
      </c>
      <c r="G53" s="2" t="s">
        <v>8359</v>
      </c>
      <c r="H53" s="2">
        <v>3</v>
      </c>
      <c r="I53" s="2" t="s">
        <v>8395</v>
      </c>
      <c r="J53" s="2" t="s">
        <v>8638</v>
      </c>
      <c r="K53" s="2" t="s">
        <v>8639</v>
      </c>
      <c r="L53" s="3" t="b">
        <f>G53 &lt;&gt; ""</f>
        <v>1</v>
      </c>
      <c r="M53" s="3" t="b">
        <f>AND(F53 = "", E53 = "domain")</f>
        <v>0</v>
      </c>
      <c r="N53" s="3" t="b">
        <f>E53 = "maintainer"</f>
        <v>0</v>
      </c>
      <c r="O53" s="3">
        <f>COUNTIFS(AppRouteQuestions!C2:C999, A53)</f>
        <v>1</v>
      </c>
      <c r="P53" s="3">
        <f>COUNTIFS(AppRouteReferences!C2:C999, A53)</f>
        <v>2</v>
      </c>
      <c r="Q53" s="3" t="b">
        <f>AND(O53 = 0, M53 = FALSE, N53 = FALSE, I53 &lt;&gt; "index")</f>
        <v>0</v>
      </c>
      <c r="R53" s="2" t="s">
        <v>1858</v>
      </c>
    </row>
    <row r="54">
      <c r="A54" s="2" t="s">
        <v>8640</v>
      </c>
      <c r="B54" s="3" t="str">
        <f>D54 &amp; " — " &amp; C54</f>
        <v>Approved Before Sending — /communications-manager/governance/approval-authority</v>
      </c>
      <c r="C54" s="2" t="s">
        <v>8641</v>
      </c>
      <c r="D54" s="2" t="s">
        <v>8642</v>
      </c>
      <c r="E54" s="2" t="s">
        <v>8388</v>
      </c>
      <c r="F54" s="2" t="s">
        <v>224</v>
      </c>
      <c r="G54" s="2" t="s">
        <v>8358</v>
      </c>
      <c r="H54" s="2">
        <v>1</v>
      </c>
      <c r="I54" s="2" t="s">
        <v>8395</v>
      </c>
      <c r="J54" s="2" t="s">
        <v>8643</v>
      </c>
      <c r="K54" s="2" t="s">
        <v>8644</v>
      </c>
      <c r="L54" s="3" t="b">
        <f>G54 &lt;&gt; ""</f>
        <v>1</v>
      </c>
      <c r="M54" s="3" t="b">
        <f>AND(F54 = "", E54 = "domain")</f>
        <v>0</v>
      </c>
      <c r="N54" s="3" t="b">
        <f>E54 = "maintainer"</f>
        <v>0</v>
      </c>
      <c r="O54" s="3">
        <f>COUNTIFS(AppRouteQuestions!C2:C999, A54)</f>
        <v>1</v>
      </c>
      <c r="P54" s="3">
        <f>COUNTIFS(AppRouteReferences!C2:C999, A54)</f>
        <v>2</v>
      </c>
      <c r="Q54" s="3" t="b">
        <f>AND(O54 = 0, M54 = FALSE, N54 = FALSE, I54 &lt;&gt; "index")</f>
        <v>0</v>
      </c>
      <c r="R54" s="2" t="s">
        <v>1858</v>
      </c>
    </row>
    <row r="55">
      <c r="A55" s="2" t="s">
        <v>8645</v>
      </c>
      <c r="B55" s="3" t="str">
        <f>D55 &amp; " — " &amp; C55</f>
        <v>Edited After I Approved — /communications-manager/governance/template-drift</v>
      </c>
      <c r="C55" s="2" t="s">
        <v>8646</v>
      </c>
      <c r="D55" s="2" t="s">
        <v>8647</v>
      </c>
      <c r="E55" s="2" t="s">
        <v>8388</v>
      </c>
      <c r="F55" s="2" t="s">
        <v>224</v>
      </c>
      <c r="G55" s="2" t="s">
        <v>8358</v>
      </c>
      <c r="H55" s="2">
        <v>2</v>
      </c>
      <c r="I55" s="2" t="s">
        <v>8395</v>
      </c>
      <c r="J55" s="2" t="s">
        <v>2073</v>
      </c>
      <c r="K55" s="2" t="s">
        <v>8648</v>
      </c>
      <c r="L55" s="3" t="b">
        <f>G55 &lt;&gt; ""</f>
        <v>1</v>
      </c>
      <c r="M55" s="3" t="b">
        <f>AND(F55 = "", E55 = "domain")</f>
        <v>0</v>
      </c>
      <c r="N55" s="3" t="b">
        <f>E55 = "maintainer"</f>
        <v>0</v>
      </c>
      <c r="O55" s="3">
        <f>COUNTIFS(AppRouteQuestions!C2:C999, A55)</f>
        <v>1</v>
      </c>
      <c r="P55" s="3">
        <f>COUNTIFS(AppRouteReferences!C2:C999, A55)</f>
        <v>2</v>
      </c>
      <c r="Q55" s="3" t="b">
        <f>AND(O55 = 0, M55 = FALSE, N55 = FALSE, I55 &lt;&gt; "index")</f>
        <v>0</v>
      </c>
      <c r="R55" s="2" t="s">
        <v>1858</v>
      </c>
    </row>
    <row r="56">
      <c r="A56" s="2" t="s">
        <v>8649</v>
      </c>
      <c r="B56" s="3" t="str">
        <f>D56 &amp; " — " &amp; C56</f>
        <v>Freeze What I Approved — /communications-manager/governance/frozen-approval/:deliveryId</v>
      </c>
      <c r="C56" s="2" t="s">
        <v>8650</v>
      </c>
      <c r="D56" s="2" t="s">
        <v>8651</v>
      </c>
      <c r="E56" s="2" t="s">
        <v>8388</v>
      </c>
      <c r="F56" s="2" t="s">
        <v>224</v>
      </c>
      <c r="G56" s="2" t="s">
        <v>8358</v>
      </c>
      <c r="H56" s="2">
        <v>3</v>
      </c>
      <c r="I56" s="2" t="s">
        <v>8446</v>
      </c>
      <c r="J56" s="2" t="s">
        <v>8652</v>
      </c>
      <c r="K56" s="2" t="s">
        <v>8653</v>
      </c>
      <c r="L56" s="3" t="b">
        <f>G56 &lt;&gt; ""</f>
        <v>1</v>
      </c>
      <c r="M56" s="3" t="b">
        <f>AND(F56 = "", E56 = "domain")</f>
        <v>0</v>
      </c>
      <c r="N56" s="3" t="b">
        <f>E56 = "maintainer"</f>
        <v>0</v>
      </c>
      <c r="O56" s="3">
        <f>COUNTIFS(AppRouteQuestions!C2:C999, A56)</f>
        <v>1</v>
      </c>
      <c r="P56" s="3">
        <f>COUNTIFS(AppRouteReferences!C2:C999, A56)</f>
        <v>3</v>
      </c>
      <c r="Q56" s="3" t="b">
        <f>AND(O56 = 0, M56 = FALSE, N56 = FALSE, I56 &lt;&gt; "index")</f>
        <v>0</v>
      </c>
      <c r="R56" s="2" t="s">
        <v>1858</v>
      </c>
    </row>
    <row r="57">
      <c r="A57" s="2" t="s">
        <v>8654</v>
      </c>
      <c r="B57" s="3" t="str">
        <f>D57 &amp; " — " &amp; C57</f>
        <v>Opt-Out Text — /communications-manager/compliance/optout</v>
      </c>
      <c r="C57" s="2" t="s">
        <v>8655</v>
      </c>
      <c r="D57" s="2" t="s">
        <v>8656</v>
      </c>
      <c r="E57" s="2" t="s">
        <v>8388</v>
      </c>
      <c r="F57" s="2" t="s">
        <v>224</v>
      </c>
      <c r="G57" s="2" t="s">
        <v>8363</v>
      </c>
      <c r="H57" s="2">
        <v>1</v>
      </c>
      <c r="I57" s="2" t="s">
        <v>8395</v>
      </c>
      <c r="J57" s="2" t="s">
        <v>2065</v>
      </c>
      <c r="K57" s="2" t="s">
        <v>8657</v>
      </c>
      <c r="L57" s="3" t="b">
        <f>G57 &lt;&gt; ""</f>
        <v>1</v>
      </c>
      <c r="M57" s="3" t="b">
        <f>AND(F57 = "", E57 = "domain")</f>
        <v>0</v>
      </c>
      <c r="N57" s="3" t="b">
        <f>E57 = "maintainer"</f>
        <v>0</v>
      </c>
      <c r="O57" s="3">
        <f>COUNTIFS(AppRouteQuestions!C2:C999, A57)</f>
        <v>1</v>
      </c>
      <c r="P57" s="3">
        <f>COUNTIFS(AppRouteReferences!C2:C999, A57)</f>
        <v>2</v>
      </c>
      <c r="Q57" s="3" t="b">
        <f>AND(O57 = 0, M57 = FALSE, N57 = FALSE, I57 &lt;&gt; "index")</f>
        <v>0</v>
      </c>
      <c r="R57" s="2" t="s">
        <v>1858</v>
      </c>
    </row>
    <row r="58">
      <c r="A58" s="2" t="s">
        <v>8658</v>
      </c>
      <c r="B58" s="3" t="str">
        <f>D58 &amp; " — " &amp; C58</f>
        <v>Oversized SMS — /communications-manager/compliance/sms-limits</v>
      </c>
      <c r="C58" s="2" t="s">
        <v>8659</v>
      </c>
      <c r="D58" s="2" t="s">
        <v>8660</v>
      </c>
      <c r="E58" s="2" t="s">
        <v>8388</v>
      </c>
      <c r="F58" s="2" t="s">
        <v>224</v>
      </c>
      <c r="G58" s="2" t="s">
        <v>8363</v>
      </c>
      <c r="H58" s="2">
        <v>2</v>
      </c>
      <c r="I58" s="2" t="s">
        <v>8395</v>
      </c>
      <c r="J58" s="2" t="s">
        <v>2057</v>
      </c>
      <c r="K58" s="2" t="s">
        <v>8661</v>
      </c>
      <c r="L58" s="3" t="b">
        <f>G58 &lt;&gt; ""</f>
        <v>1</v>
      </c>
      <c r="M58" s="3" t="b">
        <f>AND(F58 = "", E58 = "domain")</f>
        <v>0</v>
      </c>
      <c r="N58" s="3" t="b">
        <f>E58 = "maintainer"</f>
        <v>0</v>
      </c>
      <c r="O58" s="3">
        <f>COUNTIFS(AppRouteQuestions!C2:C999, A58)</f>
        <v>1</v>
      </c>
      <c r="P58" s="3">
        <f>COUNTIFS(AppRouteReferences!C2:C999, A58)</f>
        <v>2</v>
      </c>
      <c r="Q58" s="3" t="b">
        <f>AND(O58 = 0, M58 = FALSE, N58 = FALSE, I58 &lt;&gt; "index")</f>
        <v>0</v>
      </c>
      <c r="R58" s="2" t="s">
        <v>1858</v>
      </c>
    </row>
    <row r="59">
      <c r="A59" s="2" t="s">
        <v>8662</v>
      </c>
      <c r="B59" s="3" t="str">
        <f>D59 &amp; " — " &amp; C59</f>
        <v>Why Nobody Answered — /communications-manager/audience/engagement</v>
      </c>
      <c r="C59" s="2" t="s">
        <v>8663</v>
      </c>
      <c r="D59" s="2" t="s">
        <v>8664</v>
      </c>
      <c r="E59" s="2" t="s">
        <v>8388</v>
      </c>
      <c r="F59" s="2" t="s">
        <v>224</v>
      </c>
      <c r="G59" s="2" t="s">
        <v>8361</v>
      </c>
      <c r="H59" s="2">
        <v>1</v>
      </c>
      <c r="I59" s="2" t="s">
        <v>8395</v>
      </c>
      <c r="J59" s="2" t="s">
        <v>8665</v>
      </c>
      <c r="K59" s="2" t="s">
        <v>8666</v>
      </c>
      <c r="L59" s="3" t="b">
        <f>G59 &lt;&gt; ""</f>
        <v>1</v>
      </c>
      <c r="M59" s="3" t="b">
        <f>AND(F59 = "", E59 = "domain")</f>
        <v>0</v>
      </c>
      <c r="N59" s="3" t="b">
        <f>E59 = "maintainer"</f>
        <v>0</v>
      </c>
      <c r="O59" s="3">
        <f>COUNTIFS(AppRouteQuestions!C2:C999, A59)</f>
        <v>1</v>
      </c>
      <c r="P59" s="3">
        <f>COUNTIFS(AppRouteReferences!C2:C999, A59)</f>
        <v>2</v>
      </c>
      <c r="Q59" s="3" t="b">
        <f>AND(O59 = 0, M59 = FALSE, N59 = FALSE, I59 &lt;&gt; "index")</f>
        <v>0</v>
      </c>
      <c r="R59" s="2" t="s">
        <v>1858</v>
      </c>
    </row>
    <row r="60">
      <c r="A60" s="2" t="s">
        <v>8667</v>
      </c>
      <c r="B60" s="3" t="str">
        <f>D60 &amp; " — " &amp; C60</f>
        <v>Correctly Refused, Then Forgotten — /communications-manager/audience/suppression</v>
      </c>
      <c r="C60" s="2" t="s">
        <v>8668</v>
      </c>
      <c r="D60" s="2" t="s">
        <v>8669</v>
      </c>
      <c r="E60" s="2" t="s">
        <v>8388</v>
      </c>
      <c r="F60" s="2" t="s">
        <v>224</v>
      </c>
      <c r="G60" s="2" t="s">
        <v>8361</v>
      </c>
      <c r="H60" s="2">
        <v>2</v>
      </c>
      <c r="I60" s="2" t="s">
        <v>8395</v>
      </c>
      <c r="J60" s="2" t="s">
        <v>8670</v>
      </c>
      <c r="K60" s="2" t="s">
        <v>8671</v>
      </c>
      <c r="L60" s="3" t="b">
        <f>G60 &lt;&gt; ""</f>
        <v>1</v>
      </c>
      <c r="M60" s="3" t="b">
        <f>AND(F60 = "", E60 = "domain")</f>
        <v>0</v>
      </c>
      <c r="N60" s="3" t="b">
        <f>E60 = "maintainer"</f>
        <v>0</v>
      </c>
      <c r="O60" s="3">
        <f>COUNTIFS(AppRouteQuestions!C2:C999, A60)</f>
        <v>1</v>
      </c>
      <c r="P60" s="3">
        <f>COUNTIFS(AppRouteReferences!C2:C999, A60)</f>
        <v>2</v>
      </c>
      <c r="Q60" s="3" t="b">
        <f>AND(O60 = 0, M60 = FALSE, N60 = FALSE, I60 &lt;&gt; "index")</f>
        <v>0</v>
      </c>
      <c r="R60" s="2" t="s">
        <v>1858</v>
      </c>
    </row>
    <row r="61">
      <c r="A61" s="2" t="s">
        <v>8672</v>
      </c>
      <c r="B61" s="3" t="str">
        <f>D61 &amp; " — " &amp; C61</f>
        <v>Refused, or Overridden — /communications-manager/governance/authorization-override</v>
      </c>
      <c r="C61" s="2" t="s">
        <v>8673</v>
      </c>
      <c r="D61" s="2" t="s">
        <v>8674</v>
      </c>
      <c r="E61" s="2" t="s">
        <v>8388</v>
      </c>
      <c r="F61" s="2" t="s">
        <v>224</v>
      </c>
      <c r="G61" s="2" t="s">
        <v>8358</v>
      </c>
      <c r="H61" s="2">
        <v>4</v>
      </c>
      <c r="I61" s="2" t="s">
        <v>8395</v>
      </c>
      <c r="J61" s="2" t="s">
        <v>8675</v>
      </c>
      <c r="K61" s="2" t="s">
        <v>8676</v>
      </c>
      <c r="L61" s="3" t="b">
        <f>G61 &lt;&gt; ""</f>
        <v>1</v>
      </c>
      <c r="M61" s="3" t="b">
        <f>AND(F61 = "", E61 = "domain")</f>
        <v>0</v>
      </c>
      <c r="N61" s="3" t="b">
        <f>E61 = "maintainer"</f>
        <v>0</v>
      </c>
      <c r="O61" s="3">
        <f>COUNTIFS(AppRouteQuestions!C2:C999, A61)</f>
        <v>1</v>
      </c>
      <c r="P61" s="3">
        <f>COUNTIFS(AppRouteReferences!C2:C999, A61)</f>
        <v>2</v>
      </c>
      <c r="Q61" s="3" t="b">
        <f>AND(O61 = 0, M61 = FALSE, N61 = FALSE, I61 &lt;&gt; "index")</f>
        <v>0</v>
      </c>
      <c r="R61" s="2" t="s">
        <v>1858</v>
      </c>
    </row>
    <row r="62">
      <c r="A62" s="2" t="s">
        <v>8677</v>
      </c>
      <c r="B62" s="3" t="str">
        <f>D62 &amp; " — " &amp; C62</f>
        <v>Pre-Flight — /close-automation/readiness</v>
      </c>
      <c r="C62" s="2" t="s">
        <v>8678</v>
      </c>
      <c r="D62" s="2" t="s">
        <v>8679</v>
      </c>
      <c r="E62" s="2" t="s">
        <v>8388</v>
      </c>
      <c r="F62" s="2" t="s">
        <v>228</v>
      </c>
      <c r="G62" s="2" t="s">
        <v>8365</v>
      </c>
      <c r="H62" s="2">
        <v>1</v>
      </c>
      <c r="I62" s="2" t="s">
        <v>8389</v>
      </c>
      <c r="J62" s="2" t="s">
        <v>8680</v>
      </c>
      <c r="K62" s="2" t="s">
        <v>8681</v>
      </c>
      <c r="L62" s="3" t="b">
        <f>G62 &lt;&gt; ""</f>
        <v>1</v>
      </c>
      <c r="M62" s="3" t="b">
        <f>AND(F62 = "", E62 = "domain")</f>
        <v>0</v>
      </c>
      <c r="N62" s="3" t="b">
        <f>E62 = "maintainer"</f>
        <v>0</v>
      </c>
      <c r="O62" s="3">
        <f>COUNTIFS(AppRouteQuestions!C2:C999, A62)</f>
        <v>4</v>
      </c>
      <c r="P62" s="3">
        <f>COUNTIFS(AppRouteReferences!C2:C999, A62)</f>
        <v>3</v>
      </c>
      <c r="Q62" s="3" t="b">
        <f>AND(O62 = 0, M62 = FALSE, N62 = FALSE, I62 &lt;&gt; "index")</f>
        <v>0</v>
      </c>
      <c r="R62" s="2" t="s">
        <v>1858</v>
      </c>
    </row>
    <row r="63">
      <c r="A63" s="2" t="s">
        <v>8682</v>
      </c>
      <c r="B63" s="3" t="str">
        <f>D63 &amp; " — " &amp; C63</f>
        <v>Am I Authorized — /close-automation/readiness/authority</v>
      </c>
      <c r="C63" s="2" t="s">
        <v>8683</v>
      </c>
      <c r="D63" s="2" t="s">
        <v>8684</v>
      </c>
      <c r="E63" s="2" t="s">
        <v>8388</v>
      </c>
      <c r="F63" s="2" t="s">
        <v>228</v>
      </c>
      <c r="G63" s="2" t="s">
        <v>8365</v>
      </c>
      <c r="H63" s="2">
        <v>2</v>
      </c>
      <c r="I63" s="2" t="s">
        <v>8395</v>
      </c>
      <c r="J63" s="2" t="s">
        <v>8685</v>
      </c>
      <c r="K63" s="2" t="s">
        <v>8686</v>
      </c>
      <c r="L63" s="3" t="b">
        <f>G63 &lt;&gt; ""</f>
        <v>1</v>
      </c>
      <c r="M63" s="3" t="b">
        <f>AND(F63 = "", E63 = "domain")</f>
        <v>0</v>
      </c>
      <c r="N63" s="3" t="b">
        <f>E63 = "maintainer"</f>
        <v>0</v>
      </c>
      <c r="O63" s="3">
        <f>COUNTIFS(AppRouteQuestions!C2:C999, A63)</f>
        <v>1</v>
      </c>
      <c r="P63" s="3">
        <f>COUNTIFS(AppRouteReferences!C2:C999, A63)</f>
        <v>2</v>
      </c>
      <c r="Q63" s="3" t="b">
        <f>AND(O63 = 0, M63 = FALSE, N63 = FALSE, I63 &lt;&gt; "index")</f>
        <v>0</v>
      </c>
      <c r="R63" s="2" t="s">
        <v>1858</v>
      </c>
    </row>
    <row r="64">
      <c r="A64" s="2" t="s">
        <v>8687</v>
      </c>
      <c r="B64" s="3" t="str">
        <f>D64 &amp; " — " &amp; C64</f>
        <v>Are My Inputs Fresh — /close-automation/readiness/input-freshness</v>
      </c>
      <c r="C64" s="2" t="s">
        <v>8688</v>
      </c>
      <c r="D64" s="2" t="s">
        <v>8689</v>
      </c>
      <c r="E64" s="2" t="s">
        <v>8388</v>
      </c>
      <c r="F64" s="2" t="s">
        <v>228</v>
      </c>
      <c r="G64" s="2" t="s">
        <v>8365</v>
      </c>
      <c r="H64" s="2">
        <v>3</v>
      </c>
      <c r="I64" s="2" t="s">
        <v>8395</v>
      </c>
      <c r="J64" s="2" t="s">
        <v>8690</v>
      </c>
      <c r="K64" s="2" t="s">
        <v>8691</v>
      </c>
      <c r="L64" s="3" t="b">
        <f>G64 &lt;&gt; ""</f>
        <v>1</v>
      </c>
      <c r="M64" s="3" t="b">
        <f>AND(F64 = "", E64 = "domain")</f>
        <v>0</v>
      </c>
      <c r="N64" s="3" t="b">
        <f>E64 = "maintainer"</f>
        <v>0</v>
      </c>
      <c r="O64" s="3">
        <f>COUNTIFS(AppRouteQuestions!C2:C999, A64)</f>
        <v>1</v>
      </c>
      <c r="P64" s="3">
        <f>COUNTIFS(AppRouteReferences!C2:C999, A64)</f>
        <v>2</v>
      </c>
      <c r="Q64" s="3" t="b">
        <f>AND(O64 = 0, M64 = FALSE, N64 = FALSE, I64 &lt;&gt; "index")</f>
        <v>0</v>
      </c>
      <c r="R64" s="2" t="s">
        <v>1858</v>
      </c>
    </row>
    <row r="65">
      <c r="A65" s="2" t="s">
        <v>8692</v>
      </c>
      <c r="B65" s="3" t="str">
        <f>D65 &amp; " — " &amp; C65</f>
        <v>Controls Scored — /close-automation/readiness/blocking-controls</v>
      </c>
      <c r="C65" s="2" t="s">
        <v>8693</v>
      </c>
      <c r="D65" s="2" t="s">
        <v>8694</v>
      </c>
      <c r="E65" s="2" t="s">
        <v>8388</v>
      </c>
      <c r="F65" s="2" t="s">
        <v>228</v>
      </c>
      <c r="G65" s="2" t="s">
        <v>8365</v>
      </c>
      <c r="H65" s="2">
        <v>4</v>
      </c>
      <c r="I65" s="2" t="s">
        <v>8395</v>
      </c>
      <c r="J65" s="2" t="s">
        <v>8695</v>
      </c>
      <c r="K65" s="2" t="s">
        <v>8696</v>
      </c>
      <c r="L65" s="3" t="b">
        <f>G65 &lt;&gt; ""</f>
        <v>1</v>
      </c>
      <c r="M65" s="3" t="b">
        <f>AND(F65 = "", E65 = "domain")</f>
        <v>0</v>
      </c>
      <c r="N65" s="3" t="b">
        <f>E65 = "maintainer"</f>
        <v>0</v>
      </c>
      <c r="O65" s="3">
        <f>COUNTIFS(AppRouteQuestions!C2:C999, A65)</f>
        <v>1</v>
      </c>
      <c r="P65" s="3">
        <f>COUNTIFS(AppRouteReferences!C2:C999, A65)</f>
        <v>2</v>
      </c>
      <c r="Q65" s="3" t="b">
        <f>AND(O65 = 0, M65 = FALSE, N65 = FALSE, I65 &lt;&gt; "index")</f>
        <v>0</v>
      </c>
      <c r="R65" s="2" t="s">
        <v>1858</v>
      </c>
    </row>
    <row r="66">
      <c r="A66" s="2" t="s">
        <v>8697</v>
      </c>
      <c r="B66" s="3" t="str">
        <f>D66 &amp; " — " &amp; C66</f>
        <v>Last Run Clean — /close-automation/readiness/last-run</v>
      </c>
      <c r="C66" s="2" t="s">
        <v>8698</v>
      </c>
      <c r="D66" s="2" t="s">
        <v>8699</v>
      </c>
      <c r="E66" s="2" t="s">
        <v>8388</v>
      </c>
      <c r="F66" s="2" t="s">
        <v>228</v>
      </c>
      <c r="G66" s="2" t="s">
        <v>8365</v>
      </c>
      <c r="H66" s="2">
        <v>5</v>
      </c>
      <c r="I66" s="2" t="s">
        <v>8395</v>
      </c>
      <c r="J66" s="2" t="s">
        <v>2105</v>
      </c>
      <c r="K66" s="2" t="s">
        <v>8700</v>
      </c>
      <c r="L66" s="3" t="b">
        <f>G66 &lt;&gt; ""</f>
        <v>1</v>
      </c>
      <c r="M66" s="3" t="b">
        <f>AND(F66 = "", E66 = "domain")</f>
        <v>0</v>
      </c>
      <c r="N66" s="3" t="b">
        <f>E66 = "maintainer"</f>
        <v>0</v>
      </c>
      <c r="O66" s="3">
        <f>COUNTIFS(AppRouteQuestions!C2:C999, A66)</f>
        <v>1</v>
      </c>
      <c r="P66" s="3">
        <f>COUNTIFS(AppRouteReferences!C2:C999, A66)</f>
        <v>2</v>
      </c>
      <c r="Q66" s="3" t="b">
        <f>AND(O66 = 0, M66 = FALSE, N66 = FALSE, I66 &lt;&gt; "index")</f>
        <v>0</v>
      </c>
      <c r="R66" s="2" t="s">
        <v>1858</v>
      </c>
    </row>
    <row r="67">
      <c r="A67" s="2" t="s">
        <v>8701</v>
      </c>
      <c r="B67" s="3" t="str">
        <f>D67 &amp; " — " &amp; C67</f>
        <v>Am I Drifting — /close-automation/self-check/override-drift</v>
      </c>
      <c r="C67" s="2" t="s">
        <v>8702</v>
      </c>
      <c r="D67" s="2" t="s">
        <v>8703</v>
      </c>
      <c r="E67" s="2" t="s">
        <v>8388</v>
      </c>
      <c r="F67" s="2" t="s">
        <v>228</v>
      </c>
      <c r="G67" s="2" t="s">
        <v>8367</v>
      </c>
      <c r="H67" s="2">
        <v>1</v>
      </c>
      <c r="I67" s="2" t="s">
        <v>8395</v>
      </c>
      <c r="J67" s="2" t="s">
        <v>8704</v>
      </c>
      <c r="K67" s="2" t="s">
        <v>8705</v>
      </c>
      <c r="L67" s="3" t="b">
        <f>G67 &lt;&gt; ""</f>
        <v>1</v>
      </c>
      <c r="M67" s="3" t="b">
        <f>AND(F67 = "", E67 = "domain")</f>
        <v>0</v>
      </c>
      <c r="N67" s="3" t="b">
        <f>E67 = "maintainer"</f>
        <v>0</v>
      </c>
      <c r="O67" s="3">
        <f>COUNTIFS(AppRouteQuestions!C2:C999, A67)</f>
        <v>1</v>
      </c>
      <c r="P67" s="3">
        <f>COUNTIFS(AppRouteReferences!C2:C999, A67)</f>
        <v>2</v>
      </c>
      <c r="Q67" s="3" t="b">
        <f>AND(O67 = 0, M67 = FALSE, N67 = FALSE, I67 &lt;&gt; "index")</f>
        <v>0</v>
      </c>
      <c r="R67" s="2" t="s">
        <v>1858</v>
      </c>
    </row>
    <row r="68">
      <c r="A68" s="2" t="s">
        <v>8706</v>
      </c>
      <c r="B68" s="3" t="str">
        <f>D68 &amp; " — " &amp; C68</f>
        <v>Am I Fit to Decide — /variance-review-agent/self-check</v>
      </c>
      <c r="C68" s="2" t="s">
        <v>8707</v>
      </c>
      <c r="D68" s="2" t="s">
        <v>8708</v>
      </c>
      <c r="E68" s="2" t="s">
        <v>8388</v>
      </c>
      <c r="F68" s="2" t="s">
        <v>232</v>
      </c>
      <c r="G68" s="2" t="s">
        <v>8367</v>
      </c>
      <c r="H68" s="2">
        <v>1</v>
      </c>
      <c r="I68" s="2" t="s">
        <v>8389</v>
      </c>
      <c r="J68" s="2" t="s">
        <v>8709</v>
      </c>
      <c r="K68" s="2" t="s">
        <v>8710</v>
      </c>
      <c r="L68" s="3" t="b">
        <f>G68 &lt;&gt; ""</f>
        <v>1</v>
      </c>
      <c r="M68" s="3" t="b">
        <f>AND(F68 = "", E68 = "domain")</f>
        <v>0</v>
      </c>
      <c r="N68" s="3" t="b">
        <f>E68 = "maintainer"</f>
        <v>0</v>
      </c>
      <c r="O68" s="3">
        <f>COUNTIFS(AppRouteQuestions!C2:C999, A68)</f>
        <v>3</v>
      </c>
      <c r="P68" s="3">
        <f>COUNTIFS(AppRouteReferences!C2:C999, A68)</f>
        <v>3</v>
      </c>
      <c r="Q68" s="3" t="b">
        <f>AND(O68 = 0, M68 = FALSE, N68 = FALSE, I68 &lt;&gt; "index")</f>
        <v>0</v>
      </c>
      <c r="R68" s="2" t="s">
        <v>1858</v>
      </c>
    </row>
    <row r="69">
      <c r="A69" s="2" t="s">
        <v>8711</v>
      </c>
      <c r="B69" s="3" t="str">
        <f>D69 &amp; " — " &amp; C69</f>
        <v>By What Authority — /variance-review-agent/self-check/authority</v>
      </c>
      <c r="C69" s="2" t="s">
        <v>8712</v>
      </c>
      <c r="D69" s="2" t="s">
        <v>8713</v>
      </c>
      <c r="E69" s="2" t="s">
        <v>8388</v>
      </c>
      <c r="F69" s="2" t="s">
        <v>232</v>
      </c>
      <c r="G69" s="2" t="s">
        <v>8367</v>
      </c>
      <c r="H69" s="2">
        <v>2</v>
      </c>
      <c r="I69" s="2" t="s">
        <v>8395</v>
      </c>
      <c r="J69" s="2" t="s">
        <v>2137</v>
      </c>
      <c r="K69" s="2" t="s">
        <v>8714</v>
      </c>
      <c r="L69" s="3" t="b">
        <f>G69 &lt;&gt; ""</f>
        <v>1</v>
      </c>
      <c r="M69" s="3" t="b">
        <f>AND(F69 = "", E69 = "domain")</f>
        <v>0</v>
      </c>
      <c r="N69" s="3" t="b">
        <f>E69 = "maintainer"</f>
        <v>0</v>
      </c>
      <c r="O69" s="3">
        <f>COUNTIFS(AppRouteQuestions!C2:C999, A69)</f>
        <v>2</v>
      </c>
      <c r="P69" s="3">
        <f>COUNTIFS(AppRouteReferences!C2:C999, A69)</f>
        <v>2</v>
      </c>
      <c r="Q69" s="3" t="b">
        <f>AND(O69 = 0, M69 = FALSE, N69 = FALSE, I69 &lt;&gt; "index")</f>
        <v>0</v>
      </c>
      <c r="R69" s="2" t="s">
        <v>1858</v>
      </c>
    </row>
    <row r="70">
      <c r="A70" s="2" t="s">
        <v>8715</v>
      </c>
      <c r="B70" s="3" t="str">
        <f>D70 &amp; " — " &amp; C70</f>
        <v>Who Decided a Machine Should Hold This — /variance-review-agent/self-check/handover</v>
      </c>
      <c r="C70" s="2" t="s">
        <v>8716</v>
      </c>
      <c r="D70" s="2" t="s">
        <v>8717</v>
      </c>
      <c r="E70" s="2" t="s">
        <v>8388</v>
      </c>
      <c r="F70" s="2" t="s">
        <v>232</v>
      </c>
      <c r="G70" s="2" t="s">
        <v>8367</v>
      </c>
      <c r="H70" s="2">
        <v>3</v>
      </c>
      <c r="I70" s="2" t="s">
        <v>8395</v>
      </c>
      <c r="J70" s="2" t="s">
        <v>8718</v>
      </c>
      <c r="K70" s="2" t="s">
        <v>8719</v>
      </c>
      <c r="L70" s="3" t="b">
        <f>G70 &lt;&gt; ""</f>
        <v>1</v>
      </c>
      <c r="M70" s="3" t="b">
        <f>AND(F70 = "", E70 = "domain")</f>
        <v>0</v>
      </c>
      <c r="N70" s="3" t="b">
        <f>E70 = "maintainer"</f>
        <v>0</v>
      </c>
      <c r="O70" s="3">
        <f>COUNTIFS(AppRouteQuestions!C2:C999, A70)</f>
        <v>1</v>
      </c>
      <c r="P70" s="3">
        <f>COUNTIFS(AppRouteReferences!C2:C999, A70)</f>
        <v>2</v>
      </c>
      <c r="Q70" s="3" t="b">
        <f>AND(O70 = 0, M70 = FALSE, N70 = FALSE, I70 &lt;&gt; "index")</f>
        <v>0</v>
      </c>
      <c r="R70" s="2" t="s">
        <v>1858</v>
      </c>
    </row>
    <row r="71">
      <c r="A71" s="2" t="s">
        <v>8720</v>
      </c>
      <c r="B71" s="3" t="str">
        <f>D71 &amp; " — " &amp; C71</f>
        <v>Inside My Boundary — /variance-review-agent/governance/boundary</v>
      </c>
      <c r="C71" s="2" t="s">
        <v>8721</v>
      </c>
      <c r="D71" s="2" t="s">
        <v>8722</v>
      </c>
      <c r="E71" s="2" t="s">
        <v>8388</v>
      </c>
      <c r="F71" s="2" t="s">
        <v>232</v>
      </c>
      <c r="G71" s="2" t="s">
        <v>8358</v>
      </c>
      <c r="H71" s="2">
        <v>1</v>
      </c>
      <c r="I71" s="2" t="s">
        <v>8395</v>
      </c>
      <c r="J71" s="2" t="s">
        <v>8723</v>
      </c>
      <c r="K71" s="2" t="s">
        <v>8724</v>
      </c>
      <c r="L71" s="3" t="b">
        <f>G71 &lt;&gt; ""</f>
        <v>1</v>
      </c>
      <c r="M71" s="3" t="b">
        <f>AND(F71 = "", E71 = "domain")</f>
        <v>0</v>
      </c>
      <c r="N71" s="3" t="b">
        <f>E71 = "maintainer"</f>
        <v>0</v>
      </c>
      <c r="O71" s="3">
        <f>COUNTIFS(AppRouteQuestions!C2:C999, A71)</f>
        <v>1</v>
      </c>
      <c r="P71" s="3">
        <f>COUNTIFS(AppRouteReferences!C2:C999, A71)</f>
        <v>2</v>
      </c>
      <c r="Q71" s="3" t="b">
        <f>AND(O71 = 0, M71 = FALSE, N71 = FALSE, I71 &lt;&gt; "index")</f>
        <v>0</v>
      </c>
      <c r="R71" s="2" t="s">
        <v>1858</v>
      </c>
    </row>
    <row r="72">
      <c r="A72" s="2" t="s">
        <v>8725</v>
      </c>
      <c r="B72" s="3" t="str">
        <f>D72 &amp; " — " &amp; C72</f>
        <v>My Boundary's Own Validity — /variance-review-agent/governance/boundary-ratification</v>
      </c>
      <c r="C72" s="2" t="s">
        <v>8726</v>
      </c>
      <c r="D72" s="2" t="s">
        <v>8727</v>
      </c>
      <c r="E72" s="2" t="s">
        <v>8388</v>
      </c>
      <c r="F72" s="2" t="s">
        <v>232</v>
      </c>
      <c r="G72" s="2" t="s">
        <v>8358</v>
      </c>
      <c r="H72" s="2">
        <v>2</v>
      </c>
      <c r="I72" s="2" t="s">
        <v>8395</v>
      </c>
      <c r="J72" s="2" t="s">
        <v>8728</v>
      </c>
      <c r="K72" s="2" t="s">
        <v>8729</v>
      </c>
      <c r="L72" s="3" t="b">
        <f>G72 &lt;&gt; ""</f>
        <v>1</v>
      </c>
      <c r="M72" s="3" t="b">
        <f>AND(F72 = "", E72 = "domain")</f>
        <v>0</v>
      </c>
      <c r="N72" s="3" t="b">
        <f>E72 = "maintainer"</f>
        <v>0</v>
      </c>
      <c r="O72" s="3">
        <f>COUNTIFS(AppRouteQuestions!C2:C999, A72)</f>
        <v>1</v>
      </c>
      <c r="P72" s="3">
        <f>COUNTIFS(AppRouteReferences!C2:C999, A72)</f>
        <v>2</v>
      </c>
      <c r="Q72" s="3" t="b">
        <f>AND(O72 = 0, M72 = FALSE, N72 = FALSE, I72 &lt;&gt; "index")</f>
        <v>0</v>
      </c>
      <c r="R72" s="2" t="s">
        <v>1858</v>
      </c>
    </row>
    <row r="73">
      <c r="A73" s="2" t="s">
        <v>8730</v>
      </c>
      <c r="B73" s="3" t="str">
        <f>D73 &amp; " — " &amp; C73</f>
        <v>Did a Human Confirm — /variance-review-agent/governance/human-confirmation</v>
      </c>
      <c r="C73" s="2" t="s">
        <v>8731</v>
      </c>
      <c r="D73" s="2" t="s">
        <v>8732</v>
      </c>
      <c r="E73" s="2" t="s">
        <v>8388</v>
      </c>
      <c r="F73" s="2" t="s">
        <v>232</v>
      </c>
      <c r="G73" s="2" t="s">
        <v>8358</v>
      </c>
      <c r="H73" s="2">
        <v>3</v>
      </c>
      <c r="I73" s="2" t="s">
        <v>8395</v>
      </c>
      <c r="J73" s="2" t="s">
        <v>8733</v>
      </c>
      <c r="K73" s="2" t="s">
        <v>8734</v>
      </c>
      <c r="L73" s="3" t="b">
        <f>G73 &lt;&gt; ""</f>
        <v>1</v>
      </c>
      <c r="M73" s="3" t="b">
        <f>AND(F73 = "", E73 = "domain")</f>
        <v>0</v>
      </c>
      <c r="N73" s="3" t="b">
        <f>E73 = "maintainer"</f>
        <v>0</v>
      </c>
      <c r="O73" s="3">
        <f>COUNTIFS(AppRouteQuestions!C2:C999, A73)</f>
        <v>1</v>
      </c>
      <c r="P73" s="3">
        <f>COUNTIFS(AppRouteReferences!C2:C999, A73)</f>
        <v>2</v>
      </c>
      <c r="Q73" s="3" t="b">
        <f>AND(O73 = 0, M73 = FALSE, N73 = FALSE, I73 &lt;&gt; "index")</f>
        <v>0</v>
      </c>
      <c r="R73" s="2" t="s">
        <v>1858</v>
      </c>
    </row>
    <row r="74">
      <c r="A74" s="2" t="s">
        <v>8735</v>
      </c>
      <c r="B74" s="3" t="str">
        <f>D74 &amp; " — " &amp; C74</f>
        <v>Is My Knowledge Current — /variance-review-agent/knowledge/currency</v>
      </c>
      <c r="C74" s="2" t="s">
        <v>8736</v>
      </c>
      <c r="D74" s="2" t="s">
        <v>8737</v>
      </c>
      <c r="E74" s="2" t="s">
        <v>8388</v>
      </c>
      <c r="F74" s="2" t="s">
        <v>232</v>
      </c>
      <c r="G74" s="2" t="s">
        <v>8356</v>
      </c>
      <c r="H74" s="2">
        <v>1</v>
      </c>
      <c r="I74" s="2" t="s">
        <v>8395</v>
      </c>
      <c r="J74" s="2" t="s">
        <v>8738</v>
      </c>
      <c r="K74" s="2" t="s">
        <v>8739</v>
      </c>
      <c r="L74" s="3" t="b">
        <f>G74 &lt;&gt; ""</f>
        <v>1</v>
      </c>
      <c r="M74" s="3" t="b">
        <f>AND(F74 = "", E74 = "domain")</f>
        <v>0</v>
      </c>
      <c r="N74" s="3" t="b">
        <f>E74 = "maintainer"</f>
        <v>0</v>
      </c>
      <c r="O74" s="3">
        <f>COUNTIFS(AppRouteQuestions!C2:C999, A74)</f>
        <v>1</v>
      </c>
      <c r="P74" s="3">
        <f>COUNTIFS(AppRouteReferences!C2:C999, A74)</f>
        <v>2</v>
      </c>
      <c r="Q74" s="3" t="b">
        <f>AND(O74 = 0, M74 = FALSE, N74 = FALSE, I74 &lt;&gt; "index")</f>
        <v>0</v>
      </c>
      <c r="R74" s="2" t="s">
        <v>1858</v>
      </c>
    </row>
    <row r="75">
      <c r="A75" s="2" t="s">
        <v>8740</v>
      </c>
      <c r="B75" s="3" t="str">
        <f>D75 &amp; " — " &amp; C75</f>
        <v>Better or Worse Than the Human — /variance-review-agent/quality/vs-human-baseline</v>
      </c>
      <c r="C75" s="2" t="s">
        <v>8741</v>
      </c>
      <c r="D75" s="2" t="s">
        <v>8742</v>
      </c>
      <c r="E75" s="2" t="s">
        <v>8388</v>
      </c>
      <c r="F75" s="2" t="s">
        <v>232</v>
      </c>
      <c r="G75" s="2" t="s">
        <v>8369</v>
      </c>
      <c r="H75" s="2">
        <v>1</v>
      </c>
      <c r="I75" s="2" t="s">
        <v>8395</v>
      </c>
      <c r="J75" s="2" t="s">
        <v>8743</v>
      </c>
      <c r="K75" s="2" t="s">
        <v>8744</v>
      </c>
      <c r="L75" s="3" t="b">
        <f>G75 &lt;&gt; ""</f>
        <v>1</v>
      </c>
      <c r="M75" s="3" t="b">
        <f>AND(F75 = "", E75 = "domain")</f>
        <v>0</v>
      </c>
      <c r="N75" s="3" t="b">
        <f>E75 = "maintainer"</f>
        <v>0</v>
      </c>
      <c r="O75" s="3">
        <f>COUNTIFS(AppRouteQuestions!C2:C999, A75)</f>
        <v>2</v>
      </c>
      <c r="P75" s="3">
        <f>COUNTIFS(AppRouteReferences!C2:C999, A75)</f>
        <v>2</v>
      </c>
      <c r="Q75" s="3" t="b">
        <f>AND(O75 = 0, M75 = FALSE, N75 = FALSE, I75 &lt;&gt; "index")</f>
        <v>0</v>
      </c>
      <c r="R75" s="2" t="s">
        <v>1858</v>
      </c>
    </row>
    <row r="76">
      <c r="A76" s="2" t="s">
        <v>8745</v>
      </c>
      <c r="B76" s="3" t="str">
        <f>D76 &amp; " — " &amp; C76</f>
        <v>Is My Comparison Empty — /variance-review-agent/quality/sample-size</v>
      </c>
      <c r="C76" s="2" t="s">
        <v>8746</v>
      </c>
      <c r="D76" s="2" t="s">
        <v>8747</v>
      </c>
      <c r="E76" s="2" t="s">
        <v>8388</v>
      </c>
      <c r="F76" s="2" t="s">
        <v>232</v>
      </c>
      <c r="G76" s="2" t="s">
        <v>8369</v>
      </c>
      <c r="H76" s="2">
        <v>2</v>
      </c>
      <c r="I76" s="2" t="s">
        <v>8395</v>
      </c>
      <c r="J76" s="2" t="s">
        <v>8748</v>
      </c>
      <c r="K76" s="2" t="s">
        <v>8749</v>
      </c>
      <c r="L76" s="3" t="b">
        <f>G76 &lt;&gt; ""</f>
        <v>1</v>
      </c>
      <c r="M76" s="3" t="b">
        <f>AND(F76 = "", E76 = "domain")</f>
        <v>0</v>
      </c>
      <c r="N76" s="3" t="b">
        <f>E76 = "maintainer"</f>
        <v>0</v>
      </c>
      <c r="O76" s="3">
        <f>COUNTIFS(AppRouteQuestions!C2:C999, A76)</f>
        <v>1</v>
      </c>
      <c r="P76" s="3">
        <f>COUNTIFS(AppRouteReferences!C2:C999, A76)</f>
        <v>1</v>
      </c>
      <c r="Q76" s="3" t="b">
        <f>AND(O76 = 0, M76 = FALSE, N76 = FALSE, I76 &lt;&gt; "index")</f>
        <v>0</v>
      </c>
      <c r="R76" s="2" t="s">
        <v>1858</v>
      </c>
    </row>
    <row r="77">
      <c r="A77" s="2" t="s">
        <v>8750</v>
      </c>
      <c r="B77" s="3" t="str">
        <f>D77 &amp; " — " &amp; C77</f>
        <v>Correction or Judgment — /variance-review-agent/quality/override-signal</v>
      </c>
      <c r="C77" s="2" t="s">
        <v>8751</v>
      </c>
      <c r="D77" s="2" t="s">
        <v>8752</v>
      </c>
      <c r="E77" s="2" t="s">
        <v>8388</v>
      </c>
      <c r="F77" s="2" t="s">
        <v>232</v>
      </c>
      <c r="G77" s="2" t="s">
        <v>8369</v>
      </c>
      <c r="H77" s="2">
        <v>3</v>
      </c>
      <c r="I77" s="2" t="s">
        <v>8395</v>
      </c>
      <c r="J77" s="2" t="s">
        <v>8753</v>
      </c>
      <c r="K77" s="2" t="s">
        <v>8754</v>
      </c>
      <c r="L77" s="3" t="b">
        <f>G77 &lt;&gt; ""</f>
        <v>1</v>
      </c>
      <c r="M77" s="3" t="b">
        <f>AND(F77 = "", E77 = "domain")</f>
        <v>0</v>
      </c>
      <c r="N77" s="3" t="b">
        <f>E77 = "maintainer"</f>
        <v>0</v>
      </c>
      <c r="O77" s="3">
        <f>COUNTIFS(AppRouteQuestions!C2:C999, A77)</f>
        <v>1</v>
      </c>
      <c r="P77" s="3">
        <f>COUNTIFS(AppRouteReferences!C2:C999, A77)</f>
        <v>2</v>
      </c>
      <c r="Q77" s="3" t="b">
        <f>AND(O77 = 0, M77 = FALSE, N77 = FALSE, I77 &lt;&gt; "index")</f>
        <v>0</v>
      </c>
      <c r="R77" s="2" t="s">
        <v>1858</v>
      </c>
    </row>
    <row r="78">
      <c r="A78" s="2" t="s">
        <v>8755</v>
      </c>
      <c r="B78" s="3" t="str">
        <f>D78 &amp; " — " &amp; C78</f>
        <v>What Would Make Me Stop — /variance-review-agent/self-check/stop-condition</v>
      </c>
      <c r="C78" s="2" t="s">
        <v>8756</v>
      </c>
      <c r="D78" s="2" t="s">
        <v>8757</v>
      </c>
      <c r="E78" s="2" t="s">
        <v>8388</v>
      </c>
      <c r="F78" s="2" t="s">
        <v>232</v>
      </c>
      <c r="G78" s="2" t="s">
        <v>8367</v>
      </c>
      <c r="H78" s="2">
        <v>4</v>
      </c>
      <c r="I78" s="2" t="s">
        <v>8395</v>
      </c>
      <c r="J78" s="2" t="s">
        <v>8758</v>
      </c>
      <c r="K78" s="2" t="s">
        <v>8759</v>
      </c>
      <c r="L78" s="3" t="b">
        <f>G78 &lt;&gt; ""</f>
        <v>1</v>
      </c>
      <c r="M78" s="3" t="b">
        <f>AND(F78 = "", E78 = "domain")</f>
        <v>0</v>
      </c>
      <c r="N78" s="3" t="b">
        <f>E78 = "maintainer"</f>
        <v>0</v>
      </c>
      <c r="O78" s="3">
        <f>COUNTIFS(AppRouteQuestions!C2:C999, A78)</f>
        <v>1</v>
      </c>
      <c r="P78" s="3">
        <f>COUNTIFS(AppRouteReferences!C2:C999, A78)</f>
        <v>2</v>
      </c>
      <c r="Q78" s="3" t="b">
        <f>AND(O78 = 0, M78 = FALSE, N78 = FALSE, I78 &lt;&gt; "index")</f>
        <v>0</v>
      </c>
      <c r="R78" s="2" t="s">
        <v>1858</v>
      </c>
    </row>
    <row r="79">
      <c r="A79" s="2" t="s">
        <v>8760</v>
      </c>
      <c r="B79" s="3" t="str">
        <f>D79 &amp; " — " &amp; C79</f>
        <v>May I Draft — /policy-drafting-agent/readiness</v>
      </c>
      <c r="C79" s="2" t="s">
        <v>8761</v>
      </c>
      <c r="D79" s="2" t="s">
        <v>8762</v>
      </c>
      <c r="E79" s="2" t="s">
        <v>8388</v>
      </c>
      <c r="F79" s="2" t="s">
        <v>236</v>
      </c>
      <c r="G79" s="2" t="s">
        <v>8365</v>
      </c>
      <c r="H79" s="2">
        <v>1</v>
      </c>
      <c r="I79" s="2" t="s">
        <v>8389</v>
      </c>
      <c r="J79" s="2" t="s">
        <v>8763</v>
      </c>
      <c r="K79" s="2" t="s">
        <v>8764</v>
      </c>
      <c r="L79" s="3" t="b">
        <f>G79 &lt;&gt; ""</f>
        <v>1</v>
      </c>
      <c r="M79" s="3" t="b">
        <f>AND(F79 = "", E79 = "domain")</f>
        <v>0</v>
      </c>
      <c r="N79" s="3" t="b">
        <f>E79 = "maintainer"</f>
        <v>0</v>
      </c>
      <c r="O79" s="3">
        <f>COUNTIFS(AppRouteQuestions!C2:C999, A79)</f>
        <v>2</v>
      </c>
      <c r="P79" s="3">
        <f>COUNTIFS(AppRouteReferences!C2:C999, A79)</f>
        <v>2</v>
      </c>
      <c r="Q79" s="3" t="b">
        <f>AND(O79 = 0, M79 = FALSE, N79 = FALSE, I79 &lt;&gt; "index")</f>
        <v>0</v>
      </c>
      <c r="R79" s="2" t="s">
        <v>1858</v>
      </c>
    </row>
    <row r="80">
      <c r="A80" s="2" t="s">
        <v>8765</v>
      </c>
      <c r="B80" s="3" t="str">
        <f>D80 &amp; " — " &amp; C80</f>
        <v>Approved Sources — /policy-drafting-agent/readiness/sources</v>
      </c>
      <c r="C80" s="2" t="s">
        <v>8766</v>
      </c>
      <c r="D80" s="2" t="s">
        <v>8767</v>
      </c>
      <c r="E80" s="2" t="s">
        <v>8388</v>
      </c>
      <c r="F80" s="2" t="s">
        <v>236</v>
      </c>
      <c r="G80" s="2" t="s">
        <v>8365</v>
      </c>
      <c r="H80" s="2">
        <v>2</v>
      </c>
      <c r="I80" s="2" t="s">
        <v>8395</v>
      </c>
      <c r="J80" s="2" t="s">
        <v>8768</v>
      </c>
      <c r="K80" s="2" t="s">
        <v>8769</v>
      </c>
      <c r="L80" s="3" t="b">
        <f>G80 &lt;&gt; ""</f>
        <v>1</v>
      </c>
      <c r="M80" s="3" t="b">
        <f>AND(F80 = "", E80 = "domain")</f>
        <v>0</v>
      </c>
      <c r="N80" s="3" t="b">
        <f>E80 = "maintainer"</f>
        <v>0</v>
      </c>
      <c r="O80" s="3">
        <f>COUNTIFS(AppRouteQuestions!C2:C999, A80)</f>
        <v>1</v>
      </c>
      <c r="P80" s="3">
        <f>COUNTIFS(AppRouteReferences!C2:C999, A80)</f>
        <v>2</v>
      </c>
      <c r="Q80" s="3" t="b">
        <f>AND(O80 = 0, M80 = FALSE, N80 = FALSE, I80 &lt;&gt; "index")</f>
        <v>0</v>
      </c>
      <c r="R80" s="2" t="s">
        <v>1858</v>
      </c>
    </row>
    <row r="81">
      <c r="A81" s="2" t="s">
        <v>8770</v>
      </c>
      <c r="B81" s="3" t="str">
        <f>D81 &amp; " — " &amp; C81</f>
        <v>Do I Have an Assignment — /policy-drafting-agent/readiness/my-assignment</v>
      </c>
      <c r="C81" s="2" t="s">
        <v>8771</v>
      </c>
      <c r="D81" s="2" t="s">
        <v>8772</v>
      </c>
      <c r="E81" s="2" t="s">
        <v>8388</v>
      </c>
      <c r="F81" s="2" t="s">
        <v>236</v>
      </c>
      <c r="G81" s="2" t="s">
        <v>8365</v>
      </c>
      <c r="H81" s="2">
        <v>3</v>
      </c>
      <c r="I81" s="2" t="s">
        <v>8395</v>
      </c>
      <c r="J81" s="2" t="s">
        <v>8773</v>
      </c>
      <c r="K81" s="2" t="s">
        <v>8774</v>
      </c>
      <c r="L81" s="3" t="b">
        <f>G81 &lt;&gt; ""</f>
        <v>1</v>
      </c>
      <c r="M81" s="3" t="b">
        <f>AND(F81 = "", E81 = "domain")</f>
        <v>0</v>
      </c>
      <c r="N81" s="3" t="b">
        <f>E81 = "maintainer"</f>
        <v>0</v>
      </c>
      <c r="O81" s="3">
        <f>COUNTIFS(AppRouteQuestions!C2:C999, A81)</f>
        <v>1</v>
      </c>
      <c r="P81" s="3">
        <f>COUNTIFS(AppRouteReferences!C2:C999, A81)</f>
        <v>2</v>
      </c>
      <c r="Q81" s="3" t="b">
        <f>AND(O81 = 0, M81 = FALSE, N81 = FALSE, I81 &lt;&gt; "index")</f>
        <v>0</v>
      </c>
      <c r="R81" s="2" t="s">
        <v>1858</v>
      </c>
    </row>
    <row r="82">
      <c r="A82" s="2" t="s">
        <v>8775</v>
      </c>
      <c r="B82" s="3" t="str">
        <f>D82 &amp; " — " &amp; C82</f>
        <v>Did I Create a Commitment — /policy-drafting-agent/governance/commitment-boundary</v>
      </c>
      <c r="C82" s="2" t="s">
        <v>8776</v>
      </c>
      <c r="D82" s="2" t="s">
        <v>8777</v>
      </c>
      <c r="E82" s="2" t="s">
        <v>8388</v>
      </c>
      <c r="F82" s="2" t="s">
        <v>236</v>
      </c>
      <c r="G82" s="2" t="s">
        <v>8358</v>
      </c>
      <c r="H82" s="2">
        <v>1</v>
      </c>
      <c r="I82" s="2" t="s">
        <v>8395</v>
      </c>
      <c r="J82" s="2" t="s">
        <v>8778</v>
      </c>
      <c r="K82" s="2" t="s">
        <v>8779</v>
      </c>
      <c r="L82" s="3" t="b">
        <f>G82 &lt;&gt; ""</f>
        <v>1</v>
      </c>
      <c r="M82" s="3" t="b">
        <f>AND(F82 = "", E82 = "domain")</f>
        <v>0</v>
      </c>
      <c r="N82" s="3" t="b">
        <f>E82 = "maintainer"</f>
        <v>0</v>
      </c>
      <c r="O82" s="3">
        <f>COUNTIFS(AppRouteQuestions!C2:C999, A82)</f>
        <v>1</v>
      </c>
      <c r="P82" s="3">
        <f>COUNTIFS(AppRouteReferences!C2:C999, A82)</f>
        <v>2</v>
      </c>
      <c r="Q82" s="3" t="b">
        <f>AND(O82 = 0, M82 = FALSE, N82 = FALSE, I82 &lt;&gt; "index")</f>
        <v>0</v>
      </c>
      <c r="R82" s="2" t="s">
        <v>1858</v>
      </c>
    </row>
    <row r="83">
      <c r="A83" s="2" t="s">
        <v>8780</v>
      </c>
      <c r="B83" s="3" t="str">
        <f>D83 &amp; " — " &amp; C83</f>
        <v>Is the Chain Complete — /policy-drafting-agent/governance/approval-chain</v>
      </c>
      <c r="C83" s="2" t="s">
        <v>8781</v>
      </c>
      <c r="D83" s="2" t="s">
        <v>8782</v>
      </c>
      <c r="E83" s="2" t="s">
        <v>8388</v>
      </c>
      <c r="F83" s="2" t="s">
        <v>236</v>
      </c>
      <c r="G83" s="2" t="s">
        <v>8358</v>
      </c>
      <c r="H83" s="2">
        <v>2</v>
      </c>
      <c r="I83" s="2" t="s">
        <v>8395</v>
      </c>
      <c r="J83" s="2" t="s">
        <v>8783</v>
      </c>
      <c r="K83" s="2" t="s">
        <v>8784</v>
      </c>
      <c r="L83" s="3" t="b">
        <f>G83 &lt;&gt; ""</f>
        <v>1</v>
      </c>
      <c r="M83" s="3" t="b">
        <f>AND(F83 = "", E83 = "domain")</f>
        <v>0</v>
      </c>
      <c r="N83" s="3" t="b">
        <f>E83 = "maintainer"</f>
        <v>0</v>
      </c>
      <c r="O83" s="3">
        <f>COUNTIFS(AppRouteQuestions!C2:C999, A83)</f>
        <v>1</v>
      </c>
      <c r="P83" s="3">
        <f>COUNTIFS(AppRouteReferences!C2:C999, A83)</f>
        <v>2</v>
      </c>
      <c r="Q83" s="3" t="b">
        <f>AND(O83 = 0, M83 = FALSE, N83 = FALSE, I83 &lt;&gt; "index")</f>
        <v>0</v>
      </c>
      <c r="R83" s="2" t="s">
        <v>1858</v>
      </c>
    </row>
    <row r="84">
      <c r="A84" s="2" t="s">
        <v>8785</v>
      </c>
      <c r="B84" s="3" t="str">
        <f>D84 &amp; " — " &amp; C84</f>
        <v>Is My Draft Surviving Review — /policy-drafting-agent/quality/downstream-rewrite</v>
      </c>
      <c r="C84" s="2" t="s">
        <v>8786</v>
      </c>
      <c r="D84" s="2" t="s">
        <v>8787</v>
      </c>
      <c r="E84" s="2" t="s">
        <v>8388</v>
      </c>
      <c r="F84" s="2" t="s">
        <v>236</v>
      </c>
      <c r="G84" s="2" t="s">
        <v>8369</v>
      </c>
      <c r="H84" s="2">
        <v>1</v>
      </c>
      <c r="I84" s="2" t="s">
        <v>8395</v>
      </c>
      <c r="J84" s="2" t="s">
        <v>8788</v>
      </c>
      <c r="K84" s="2" t="s">
        <v>8789</v>
      </c>
      <c r="L84" s="3" t="b">
        <f>G84 &lt;&gt; ""</f>
        <v>1</v>
      </c>
      <c r="M84" s="3" t="b">
        <f>AND(F84 = "", E84 = "domain")</f>
        <v>0</v>
      </c>
      <c r="N84" s="3" t="b">
        <f>E84 = "maintainer"</f>
        <v>0</v>
      </c>
      <c r="O84" s="3">
        <f>COUNTIFS(AppRouteQuestions!C2:C999, A84)</f>
        <v>1</v>
      </c>
      <c r="P84" s="3">
        <f>COUNTIFS(AppRouteReferences!C2:C999, A84)</f>
        <v>2</v>
      </c>
      <c r="Q84" s="3" t="b">
        <f>AND(O84 = 0, M84 = FALSE, N84 = FALSE, I84 &lt;&gt; "index")</f>
        <v>0</v>
      </c>
      <c r="R84" s="2" t="s">
        <v>1858</v>
      </c>
    </row>
    <row r="85">
      <c r="A85" s="2" t="s">
        <v>8790</v>
      </c>
      <c r="B85" s="3" t="str">
        <f>D85 &amp; " — " &amp; C85</f>
        <v>May I Transmit — /notification-publisher/gates</v>
      </c>
      <c r="C85" s="2" t="s">
        <v>8791</v>
      </c>
      <c r="D85" s="2" t="s">
        <v>8792</v>
      </c>
      <c r="E85" s="2" t="s">
        <v>8388</v>
      </c>
      <c r="F85" s="2" t="s">
        <v>240</v>
      </c>
      <c r="G85" s="2" t="s">
        <v>8365</v>
      </c>
      <c r="H85" s="2">
        <v>1</v>
      </c>
      <c r="I85" s="2" t="s">
        <v>8389</v>
      </c>
      <c r="J85" s="2" t="s">
        <v>8793</v>
      </c>
      <c r="K85" s="2" t="s">
        <v>8794</v>
      </c>
      <c r="L85" s="3" t="b">
        <f>G85 &lt;&gt; ""</f>
        <v>1</v>
      </c>
      <c r="M85" s="3" t="b">
        <f>AND(F85 = "", E85 = "domain")</f>
        <v>0</v>
      </c>
      <c r="N85" s="3" t="b">
        <f>E85 = "maintainer"</f>
        <v>0</v>
      </c>
      <c r="O85" s="3">
        <f>COUNTIFS(AppRouteQuestions!C2:C999, A85)</f>
        <v>4</v>
      </c>
      <c r="P85" s="3">
        <f>COUNTIFS(AppRouteReferences!C2:C999, A85)</f>
        <v>4</v>
      </c>
      <c r="Q85" s="3" t="b">
        <f>AND(O85 = 0, M85 = FALSE, N85 = FALSE, I85 &lt;&gt; "index")</f>
        <v>0</v>
      </c>
      <c r="R85" s="2" t="s">
        <v>1858</v>
      </c>
    </row>
    <row r="86">
      <c r="A86" s="2" t="s">
        <v>8795</v>
      </c>
      <c r="B86" s="3" t="str">
        <f>D86 &amp; " — " &amp; C86</f>
        <v>Channel Permission — /notification-publisher/gates/channel-permission</v>
      </c>
      <c r="C86" s="2" t="s">
        <v>8796</v>
      </c>
      <c r="D86" s="2" t="s">
        <v>8797</v>
      </c>
      <c r="E86" s="2" t="s">
        <v>8388</v>
      </c>
      <c r="F86" s="2" t="s">
        <v>240</v>
      </c>
      <c r="G86" s="2" t="s">
        <v>8365</v>
      </c>
      <c r="H86" s="2">
        <v>2</v>
      </c>
      <c r="I86" s="2" t="s">
        <v>8395</v>
      </c>
      <c r="J86" s="2" t="s">
        <v>8798</v>
      </c>
      <c r="K86" s="2" t="s">
        <v>8799</v>
      </c>
      <c r="L86" s="3" t="b">
        <f>G86 &lt;&gt; ""</f>
        <v>1</v>
      </c>
      <c r="M86" s="3" t="b">
        <f>AND(F86 = "", E86 = "domain")</f>
        <v>0</v>
      </c>
      <c r="N86" s="3" t="b">
        <f>E86 = "maintainer"</f>
        <v>0</v>
      </c>
      <c r="O86" s="3">
        <f>COUNTIFS(AppRouteQuestions!C2:C999, A86)</f>
        <v>1</v>
      </c>
      <c r="P86" s="3">
        <f>COUNTIFS(AppRouteReferences!C2:C999, A86)</f>
        <v>2</v>
      </c>
      <c r="Q86" s="3" t="b">
        <f>AND(O86 = 0, M86 = FALSE, N86 = FALSE, I86 &lt;&gt; "index")</f>
        <v>0</v>
      </c>
      <c r="R86" s="2" t="s">
        <v>1858</v>
      </c>
    </row>
    <row r="87">
      <c r="A87" s="2" t="s">
        <v>8800</v>
      </c>
      <c r="B87" s="3" t="str">
        <f>D87 &amp; " — " &amp; C87</f>
        <v>Timing Window — /notification-publisher/gates/timing</v>
      </c>
      <c r="C87" s="2" t="s">
        <v>8801</v>
      </c>
      <c r="D87" s="2" t="s">
        <v>8802</v>
      </c>
      <c r="E87" s="2" t="s">
        <v>8388</v>
      </c>
      <c r="F87" s="2" t="s">
        <v>240</v>
      </c>
      <c r="G87" s="2" t="s">
        <v>8365</v>
      </c>
      <c r="H87" s="2">
        <v>3</v>
      </c>
      <c r="I87" s="2" t="s">
        <v>8395</v>
      </c>
      <c r="J87" s="2" t="s">
        <v>8803</v>
      </c>
      <c r="K87" s="2" t="s">
        <v>8804</v>
      </c>
      <c r="L87" s="3" t="b">
        <f>G87 &lt;&gt; ""</f>
        <v>1</v>
      </c>
      <c r="M87" s="3" t="b">
        <f>AND(F87 = "", E87 = "domain")</f>
        <v>0</v>
      </c>
      <c r="N87" s="3" t="b">
        <f>E87 = "maintainer"</f>
        <v>0</v>
      </c>
      <c r="O87" s="3">
        <f>COUNTIFS(AppRouteQuestions!C2:C999, A87)</f>
        <v>1</v>
      </c>
      <c r="P87" s="3">
        <f>COUNTIFS(AppRouteReferences!C2:C999, A87)</f>
        <v>2</v>
      </c>
      <c r="Q87" s="3" t="b">
        <f>AND(O87 = 0, M87 = FALSE, N87 = FALSE, I87 &lt;&gt; "index")</f>
        <v>0</v>
      </c>
      <c r="R87" s="2" t="s">
        <v>1858</v>
      </c>
    </row>
    <row r="88">
      <c r="A88" s="2" t="s">
        <v>8805</v>
      </c>
      <c r="B88" s="3" t="str">
        <f>D88 &amp; " — " &amp; C88</f>
        <v>Content Rules — /notification-publisher/gates/content</v>
      </c>
      <c r="C88" s="2" t="s">
        <v>8806</v>
      </c>
      <c r="D88" s="2" t="s">
        <v>8807</v>
      </c>
      <c r="E88" s="2" t="s">
        <v>8388</v>
      </c>
      <c r="F88" s="2" t="s">
        <v>240</v>
      </c>
      <c r="G88" s="2" t="s">
        <v>8365</v>
      </c>
      <c r="H88" s="2">
        <v>4</v>
      </c>
      <c r="I88" s="2" t="s">
        <v>8395</v>
      </c>
      <c r="J88" s="2" t="s">
        <v>8808</v>
      </c>
      <c r="K88" s="2" t="s">
        <v>8809</v>
      </c>
      <c r="L88" s="3" t="b">
        <f>G88 &lt;&gt; ""</f>
        <v>1</v>
      </c>
      <c r="M88" s="3" t="b">
        <f>AND(F88 = "", E88 = "domain")</f>
        <v>0</v>
      </c>
      <c r="N88" s="3" t="b">
        <f>E88 = "maintainer"</f>
        <v>0</v>
      </c>
      <c r="O88" s="3">
        <f>COUNTIFS(AppRouteQuestions!C2:C999, A88)</f>
        <v>1</v>
      </c>
      <c r="P88" s="3">
        <f>COUNTIFS(AppRouteReferences!C2:C999, A88)</f>
        <v>2</v>
      </c>
      <c r="Q88" s="3" t="b">
        <f>AND(O88 = 0, M88 = FALSE, N88 = FALSE, I88 &lt;&gt; "index")</f>
        <v>0</v>
      </c>
      <c r="R88" s="2" t="s">
        <v>1858</v>
      </c>
    </row>
    <row r="89">
      <c r="A89" s="2" t="s">
        <v>8810</v>
      </c>
      <c r="B89" s="3" t="str">
        <f>D89 &amp; " — " &amp; C89</f>
        <v>Human Authorization — /notification-publisher/gates/authorization</v>
      </c>
      <c r="C89" s="2" t="s">
        <v>8811</v>
      </c>
      <c r="D89" s="2" t="s">
        <v>8812</v>
      </c>
      <c r="E89" s="2" t="s">
        <v>8388</v>
      </c>
      <c r="F89" s="2" t="s">
        <v>240</v>
      </c>
      <c r="G89" s="2" t="s">
        <v>8365</v>
      </c>
      <c r="H89" s="2">
        <v>5</v>
      </c>
      <c r="I89" s="2" t="s">
        <v>8395</v>
      </c>
      <c r="J89" s="2" t="s">
        <v>8813</v>
      </c>
      <c r="K89" s="2" t="s">
        <v>8814</v>
      </c>
      <c r="L89" s="3" t="b">
        <f>G89 &lt;&gt; ""</f>
        <v>1</v>
      </c>
      <c r="M89" s="3" t="b">
        <f>AND(F89 = "", E89 = "domain")</f>
        <v>0</v>
      </c>
      <c r="N89" s="3" t="b">
        <f>E89 = "maintainer"</f>
        <v>0</v>
      </c>
      <c r="O89" s="3">
        <f>COUNTIFS(AppRouteQuestions!C2:C999, A89)</f>
        <v>1</v>
      </c>
      <c r="P89" s="3">
        <f>COUNTIFS(AppRouteReferences!C2:C999, A89)</f>
        <v>2</v>
      </c>
      <c r="Q89" s="3" t="b">
        <f>AND(O89 = 0, M89 = FALSE, N89 = FALSE, I89 &lt;&gt; "index")</f>
        <v>0</v>
      </c>
      <c r="R89" s="2" t="s">
        <v>1858</v>
      </c>
    </row>
    <row r="90">
      <c r="A90" s="2" t="s">
        <v>8815</v>
      </c>
      <c r="B90" s="3" t="str">
        <f>D90 &amp; " — " &amp; C90</f>
        <v>Every Refusal — /notification-publisher/refusals</v>
      </c>
      <c r="C90" s="2" t="s">
        <v>8816</v>
      </c>
      <c r="D90" s="2" t="s">
        <v>8817</v>
      </c>
      <c r="E90" s="2" t="s">
        <v>8388</v>
      </c>
      <c r="F90" s="2" t="s">
        <v>240</v>
      </c>
      <c r="G90" s="2" t="s">
        <v>8358</v>
      </c>
      <c r="H90" s="2">
        <v>1</v>
      </c>
      <c r="I90" s="2" t="s">
        <v>8395</v>
      </c>
      <c r="J90" s="2" t="s">
        <v>8818</v>
      </c>
      <c r="K90" s="2" t="s">
        <v>8819</v>
      </c>
      <c r="L90" s="3" t="b">
        <f>G90 &lt;&gt; ""</f>
        <v>1</v>
      </c>
      <c r="M90" s="3" t="b">
        <f>AND(F90 = "", E90 = "domain")</f>
        <v>0</v>
      </c>
      <c r="N90" s="3" t="b">
        <f>E90 = "maintainer"</f>
        <v>0</v>
      </c>
      <c r="O90" s="3">
        <f>COUNTIFS(AppRouteQuestions!C2:C999, A90)</f>
        <v>1</v>
      </c>
      <c r="P90" s="3">
        <f>COUNTIFS(AppRouteReferences!C2:C999, A90)</f>
        <v>3</v>
      </c>
      <c r="Q90" s="3" t="b">
        <f>AND(O90 = 0, M90 = FALSE, N90 = FALSE, I90 &lt;&gt; "index")</f>
        <v>0</v>
      </c>
      <c r="R90" s="2" t="s">
        <v>1858</v>
      </c>
    </row>
    <row r="91">
      <c r="A91" s="2" t="s">
        <v>8820</v>
      </c>
      <c r="B91" s="3" t="str">
        <f>D91 &amp; " — " &amp; C91</f>
        <v>Every Refusal Leaves a Record — /notification-publisher/refusals/artifacts</v>
      </c>
      <c r="C91" s="2" t="s">
        <v>8821</v>
      </c>
      <c r="D91" s="2" t="s">
        <v>8822</v>
      </c>
      <c r="E91" s="2" t="s">
        <v>8388</v>
      </c>
      <c r="F91" s="2" t="s">
        <v>240</v>
      </c>
      <c r="G91" s="2" t="s">
        <v>8358</v>
      </c>
      <c r="H91" s="2">
        <v>2</v>
      </c>
      <c r="I91" s="2" t="s">
        <v>8395</v>
      </c>
      <c r="J91" s="2" t="s">
        <v>8823</v>
      </c>
      <c r="K91" s="2" t="s">
        <v>8824</v>
      </c>
      <c r="L91" s="3" t="b">
        <f>G91 &lt;&gt; ""</f>
        <v>1</v>
      </c>
      <c r="M91" s="3" t="b">
        <f>AND(F91 = "", E91 = "domain")</f>
        <v>0</v>
      </c>
      <c r="N91" s="3" t="b">
        <f>E91 = "maintainer"</f>
        <v>0</v>
      </c>
      <c r="O91" s="3">
        <f>COUNTIFS(AppRouteQuestions!C2:C999, A91)</f>
        <v>1</v>
      </c>
      <c r="P91" s="3">
        <f>COUNTIFS(AppRouteReferences!C2:C999, A91)</f>
        <v>2</v>
      </c>
      <c r="Q91" s="3" t="b">
        <f>AND(O91 = 0, M91 = FALSE, N91 = FALSE, I91 &lt;&gt; "index")</f>
        <v>0</v>
      </c>
      <c r="R91" s="2" t="s">
        <v>1858</v>
      </c>
    </row>
    <row r="92">
      <c r="A92" s="2" t="s">
        <v>8825</v>
      </c>
      <c r="B92" s="3" t="str">
        <f>D92 &amp; " — " &amp; C92</f>
        <v>Deferred, Not Cancelled — /notification-publisher/refusals/deferred</v>
      </c>
      <c r="C92" s="2" t="s">
        <v>8826</v>
      </c>
      <c r="D92" s="2" t="s">
        <v>8827</v>
      </c>
      <c r="E92" s="2" t="s">
        <v>8388</v>
      </c>
      <c r="F92" s="2" t="s">
        <v>240</v>
      </c>
      <c r="G92" s="2" t="s">
        <v>8358</v>
      </c>
      <c r="H92" s="2">
        <v>3</v>
      </c>
      <c r="I92" s="2" t="s">
        <v>8395</v>
      </c>
      <c r="J92" s="2" t="s">
        <v>8828</v>
      </c>
      <c r="K92" s="2" t="s">
        <v>8829</v>
      </c>
      <c r="L92" s="3" t="b">
        <f>G92 &lt;&gt; ""</f>
        <v>1</v>
      </c>
      <c r="M92" s="3" t="b">
        <f>AND(F92 = "", E92 = "domain")</f>
        <v>0</v>
      </c>
      <c r="N92" s="3" t="b">
        <f>E92 = "maintainer"</f>
        <v>0</v>
      </c>
      <c r="O92" s="3">
        <f>COUNTIFS(AppRouteQuestions!C2:C999, A92)</f>
        <v>1</v>
      </c>
      <c r="P92" s="3">
        <f>COUNTIFS(AppRouteReferences!C2:C999, A92)</f>
        <v>2</v>
      </c>
      <c r="Q92" s="3" t="b">
        <f>AND(O92 = 0, M92 = FALSE, N92 = FALSE, I92 &lt;&gt; "index")</f>
        <v>0</v>
      </c>
      <c r="R92" s="2" t="s">
        <v>1858</v>
      </c>
    </row>
    <row r="93">
      <c r="A93" s="2" t="s">
        <v>8830</v>
      </c>
      <c r="B93" s="3" t="str">
        <f>D93 &amp; " — " &amp; C93</f>
        <v>After the Send — /notification-publisher/obligations</v>
      </c>
      <c r="C93" s="2" t="s">
        <v>8831</v>
      </c>
      <c r="D93" s="2" t="s">
        <v>8832</v>
      </c>
      <c r="E93" s="2" t="s">
        <v>8388</v>
      </c>
      <c r="F93" s="2" t="s">
        <v>240</v>
      </c>
      <c r="G93" s="2" t="s">
        <v>8359</v>
      </c>
      <c r="H93" s="2">
        <v>1</v>
      </c>
      <c r="I93" s="2" t="s">
        <v>8395</v>
      </c>
      <c r="J93" s="2" t="s">
        <v>8833</v>
      </c>
      <c r="K93" s="2" t="s">
        <v>8834</v>
      </c>
      <c r="L93" s="3" t="b">
        <f>G93 &lt;&gt; ""</f>
        <v>1</v>
      </c>
      <c r="M93" s="3" t="b">
        <f>AND(F93 = "", E93 = "domain")</f>
        <v>0</v>
      </c>
      <c r="N93" s="3" t="b">
        <f>E93 = "maintainer"</f>
        <v>0</v>
      </c>
      <c r="O93" s="3">
        <f>COUNTIFS(AppRouteQuestions!C2:C999, A93)</f>
        <v>1</v>
      </c>
      <c r="P93" s="3">
        <f>COUNTIFS(AppRouteReferences!C2:C999, A93)</f>
        <v>2</v>
      </c>
      <c r="Q93" s="3" t="b">
        <f>AND(O93 = 0, M93 = FALSE, N93 = FALSE, I93 &lt;&gt; "index")</f>
        <v>0</v>
      </c>
      <c r="R93" s="2" t="s">
        <v>1858</v>
      </c>
    </row>
    <row r="94">
      <c r="A94" s="2" t="s">
        <v>8835</v>
      </c>
      <c r="B94" s="3" t="str">
        <f>D94 &amp; " — " &amp; C94</f>
        <v>By What Authority Do I Hold This — /notification-publisher/self-check/my-authority</v>
      </c>
      <c r="C94" s="2" t="s">
        <v>8836</v>
      </c>
      <c r="D94" s="2" t="s">
        <v>8837</v>
      </c>
      <c r="E94" s="2" t="s">
        <v>8388</v>
      </c>
      <c r="F94" s="2" t="s">
        <v>240</v>
      </c>
      <c r="G94" s="2" t="s">
        <v>8367</v>
      </c>
      <c r="H94" s="2">
        <v>1</v>
      </c>
      <c r="I94" s="2" t="s">
        <v>8395</v>
      </c>
      <c r="J94" s="2" t="s">
        <v>8838</v>
      </c>
      <c r="K94" s="2" t="s">
        <v>8839</v>
      </c>
      <c r="L94" s="3" t="b">
        <f>G94 &lt;&gt; ""</f>
        <v>1</v>
      </c>
      <c r="M94" s="3" t="b">
        <f>AND(F94 = "", E94 = "domain")</f>
        <v>0</v>
      </c>
      <c r="N94" s="3" t="b">
        <f>E94 = "maintainer"</f>
        <v>0</v>
      </c>
      <c r="O94" s="3">
        <f>COUNTIFS(AppRouteQuestions!C2:C999, A94)</f>
        <v>1</v>
      </c>
      <c r="P94" s="3">
        <f>COUNTIFS(AppRouteReferences!C2:C999, A94)</f>
        <v>2</v>
      </c>
      <c r="Q94" s="3" t="b">
        <f>AND(O94 = 0, M94 = FALSE, N94 = FALSE, I94 &lt;&gt; "index")</f>
        <v>0</v>
      </c>
      <c r="R94" s="2" t="s">
        <v>1858</v>
      </c>
    </row>
    <row r="95">
      <c r="A95" s="2" t="s">
        <v>8840</v>
      </c>
      <c r="B95" s="3" t="str">
        <f>D95 &amp; " — " &amp; C95</f>
        <v>Am I the Only Witness — /notification-publisher/self-check/sole-witness</v>
      </c>
      <c r="C95" s="2" t="s">
        <v>8841</v>
      </c>
      <c r="D95" s="2" t="s">
        <v>8842</v>
      </c>
      <c r="E95" s="2" t="s">
        <v>8388</v>
      </c>
      <c r="F95" s="2" t="s">
        <v>240</v>
      </c>
      <c r="G95" s="2" t="s">
        <v>8367</v>
      </c>
      <c r="H95" s="2">
        <v>2</v>
      </c>
      <c r="I95" s="2" t="s">
        <v>8395</v>
      </c>
      <c r="J95" s="2" t="s">
        <v>8843</v>
      </c>
      <c r="K95" s="2" t="s">
        <v>8844</v>
      </c>
      <c r="L95" s="3" t="b">
        <f>G95 &lt;&gt; ""</f>
        <v>1</v>
      </c>
      <c r="M95" s="3" t="b">
        <f>AND(F95 = "", E95 = "domain")</f>
        <v>0</v>
      </c>
      <c r="N95" s="3" t="b">
        <f>E95 = "maintainer"</f>
        <v>0</v>
      </c>
      <c r="O95" s="3">
        <f>COUNTIFS(AppRouteQuestions!C2:C999, A95)</f>
        <v>1</v>
      </c>
      <c r="P95" s="3">
        <f>COUNTIFS(AppRouteReferences!C2:C999, A95)</f>
        <v>2</v>
      </c>
      <c r="Q95" s="3" t="b">
        <f>AND(O95 = 0, M95 = FALSE, N95 = FALSE, I95 &lt;&gt; "index")</f>
        <v>0</v>
      </c>
      <c r="R95" s="2" t="s">
        <v>1858</v>
      </c>
    </row>
    <row r="96">
      <c r="A96" s="2" t="s">
        <v>8845</v>
      </c>
      <c r="B96" s="3" t="str">
        <f>D96 &amp; " — " &amp; C96</f>
        <v>Knowledge Health — /process-steward/health</v>
      </c>
      <c r="C96" s="2" t="s">
        <v>8846</v>
      </c>
      <c r="D96" s="2" t="s">
        <v>8847</v>
      </c>
      <c r="E96" s="2" t="s">
        <v>8388</v>
      </c>
      <c r="F96" s="2" t="s">
        <v>244</v>
      </c>
      <c r="G96" s="2" t="s">
        <v>8374</v>
      </c>
      <c r="H96" s="2">
        <v>1</v>
      </c>
      <c r="I96" s="2" t="s">
        <v>8389</v>
      </c>
      <c r="J96" s="2" t="s">
        <v>8848</v>
      </c>
      <c r="K96" s="2" t="s">
        <v>8849</v>
      </c>
      <c r="L96" s="3" t="b">
        <f>G96 &lt;&gt; ""</f>
        <v>1</v>
      </c>
      <c r="M96" s="3" t="b">
        <f>AND(F96 = "", E96 = "domain")</f>
        <v>0</v>
      </c>
      <c r="N96" s="3" t="b">
        <f>E96 = "maintainer"</f>
        <v>0</v>
      </c>
      <c r="O96" s="3">
        <f>COUNTIFS(AppRouteQuestions!C2:C999, A96)</f>
        <v>4</v>
      </c>
      <c r="P96" s="3">
        <f>COUNTIFS(AppRouteReferences!C2:C999, A96)</f>
        <v>4</v>
      </c>
      <c r="Q96" s="3" t="b">
        <f>AND(O96 = 0, M96 = FALSE, N96 = FALSE, I96 &lt;&gt; "index")</f>
        <v>0</v>
      </c>
      <c r="R96" s="2" t="s">
        <v>1858</v>
      </c>
    </row>
    <row r="97">
      <c r="A97" s="2" t="s">
        <v>8850</v>
      </c>
      <c r="B97" s="3" t="str">
        <f>D97 &amp; " — " &amp; C97</f>
        <v>Cadence Breach — /process-steward/cadence/breach</v>
      </c>
      <c r="C97" s="2" t="s">
        <v>8851</v>
      </c>
      <c r="D97" s="2" t="s">
        <v>8852</v>
      </c>
      <c r="E97" s="2" t="s">
        <v>8388</v>
      </c>
      <c r="F97" s="2" t="s">
        <v>244</v>
      </c>
      <c r="G97" s="2" t="s">
        <v>8374</v>
      </c>
      <c r="H97" s="2">
        <v>2</v>
      </c>
      <c r="I97" s="2" t="s">
        <v>8395</v>
      </c>
      <c r="J97" s="2" t="s">
        <v>8853</v>
      </c>
      <c r="K97" s="2" t="s">
        <v>8854</v>
      </c>
      <c r="L97" s="3" t="b">
        <f>G97 &lt;&gt; ""</f>
        <v>1</v>
      </c>
      <c r="M97" s="3" t="b">
        <f>AND(F97 = "", E97 = "domain")</f>
        <v>0</v>
      </c>
      <c r="N97" s="3" t="b">
        <f>E97 = "maintainer"</f>
        <v>0</v>
      </c>
      <c r="O97" s="3">
        <f>COUNTIFS(AppRouteQuestions!C2:C999, A97)</f>
        <v>1</v>
      </c>
      <c r="P97" s="3">
        <f>COUNTIFS(AppRouteReferences!C2:C999, A97)</f>
        <v>2</v>
      </c>
      <c r="Q97" s="3" t="b">
        <f>AND(O97 = 0, M97 = FALSE, N97 = FALSE, I97 &lt;&gt; "index")</f>
        <v>0</v>
      </c>
      <c r="R97" s="2" t="s">
        <v>1858</v>
      </c>
    </row>
    <row r="98">
      <c r="A98" s="2" t="s">
        <v>8855</v>
      </c>
      <c r="B98" s="3" t="str">
        <f>D98 &amp; " — " &amp; C98</f>
        <v>Was the Breach Remediated — /process-steward/cadence/remediation</v>
      </c>
      <c r="C98" s="2" t="s">
        <v>8856</v>
      </c>
      <c r="D98" s="2" t="s">
        <v>8857</v>
      </c>
      <c r="E98" s="2" t="s">
        <v>8388</v>
      </c>
      <c r="F98" s="2" t="s">
        <v>244</v>
      </c>
      <c r="G98" s="2" t="s">
        <v>8374</v>
      </c>
      <c r="H98" s="2">
        <v>3</v>
      </c>
      <c r="I98" s="2" t="s">
        <v>8395</v>
      </c>
      <c r="J98" s="2" t="s">
        <v>8858</v>
      </c>
      <c r="K98" s="2" t="s">
        <v>8859</v>
      </c>
      <c r="L98" s="3" t="b">
        <f>G98 &lt;&gt; ""</f>
        <v>1</v>
      </c>
      <c r="M98" s="3" t="b">
        <f>AND(F98 = "", E98 = "domain")</f>
        <v>0</v>
      </c>
      <c r="N98" s="3" t="b">
        <f>E98 = "maintainer"</f>
        <v>0</v>
      </c>
      <c r="O98" s="3">
        <f>COUNTIFS(AppRouteQuestions!C2:C999, A98)</f>
        <v>1</v>
      </c>
      <c r="P98" s="3">
        <f>COUNTIFS(AppRouteReferences!C2:C999, A98)</f>
        <v>2</v>
      </c>
      <c r="Q98" s="3" t="b">
        <f>AND(O98 = 0, M98 = FALSE, N98 = FALSE, I98 &lt;&gt; "index")</f>
        <v>0</v>
      </c>
      <c r="R98" s="2" t="s">
        <v>1858</v>
      </c>
    </row>
    <row r="99">
      <c r="A99" s="2" t="s">
        <v>8860</v>
      </c>
      <c r="B99" s="3" t="str">
        <f>D99 &amp; " — " &amp; C99</f>
        <v>Live With a Blocking Gap — /process-steward/knowledge/open-gaps</v>
      </c>
      <c r="C99" s="2" t="s">
        <v>8861</v>
      </c>
      <c r="D99" s="2" t="s">
        <v>8862</v>
      </c>
      <c r="E99" s="2" t="s">
        <v>8388</v>
      </c>
      <c r="F99" s="2" t="s">
        <v>244</v>
      </c>
      <c r="G99" s="2" t="s">
        <v>8356</v>
      </c>
      <c r="H99" s="2">
        <v>1</v>
      </c>
      <c r="I99" s="2" t="s">
        <v>8395</v>
      </c>
      <c r="J99" s="2" t="s">
        <v>2009</v>
      </c>
      <c r="K99" s="2" t="s">
        <v>8863</v>
      </c>
      <c r="L99" s="3" t="b">
        <f>G99 &lt;&gt; ""</f>
        <v>1</v>
      </c>
      <c r="M99" s="3" t="b">
        <f>AND(F99 = "", E99 = "domain")</f>
        <v>0</v>
      </c>
      <c r="N99" s="3" t="b">
        <f>E99 = "maintainer"</f>
        <v>0</v>
      </c>
      <c r="O99" s="3">
        <f>COUNTIFS(AppRouteQuestions!C2:C999, A99)</f>
        <v>1</v>
      </c>
      <c r="P99" s="3">
        <f>COUNTIFS(AppRouteReferences!C2:C999, A99)</f>
        <v>2</v>
      </c>
      <c r="Q99" s="3" t="b">
        <f>AND(O99 = 0, M99 = FALSE, N99 = FALSE, I99 &lt;&gt; "index")</f>
        <v>0</v>
      </c>
      <c r="R99" s="2" t="s">
        <v>1858</v>
      </c>
    </row>
    <row r="100">
      <c r="A100" s="2" t="s">
        <v>8864</v>
      </c>
      <c r="B100" s="3" t="str">
        <f>D100 &amp; " — " &amp; C100</f>
        <v>Stalled Change Requests — /process-steward/governance/stalled-changes</v>
      </c>
      <c r="C100" s="2" t="s">
        <v>8865</v>
      </c>
      <c r="D100" s="2" t="s">
        <v>8866</v>
      </c>
      <c r="E100" s="2" t="s">
        <v>8388</v>
      </c>
      <c r="F100" s="2" t="s">
        <v>244</v>
      </c>
      <c r="G100" s="2" t="s">
        <v>8358</v>
      </c>
      <c r="H100" s="2">
        <v>1</v>
      </c>
      <c r="I100" s="2" t="s">
        <v>8395</v>
      </c>
      <c r="J100" s="2" t="s">
        <v>8867</v>
      </c>
      <c r="K100" s="2" t="s">
        <v>8868</v>
      </c>
      <c r="L100" s="3" t="b">
        <f>G100 &lt;&gt; ""</f>
        <v>1</v>
      </c>
      <c r="M100" s="3" t="b">
        <f>AND(F100 = "", E100 = "domain")</f>
        <v>0</v>
      </c>
      <c r="N100" s="3" t="b">
        <f>E100 = "maintainer"</f>
        <v>0</v>
      </c>
      <c r="O100" s="3">
        <f>COUNTIFS(AppRouteQuestions!C2:C999, A100)</f>
        <v>1</v>
      </c>
      <c r="P100" s="3">
        <f>COUNTIFS(AppRouteReferences!C2:C999, A100)</f>
        <v>2</v>
      </c>
      <c r="Q100" s="3" t="b">
        <f>AND(O100 = 0, M100 = FALSE, N100 = FALSE, I100 &lt;&gt; "index")</f>
        <v>0</v>
      </c>
      <c r="R100" s="2" t="s">
        <v>1858</v>
      </c>
    </row>
    <row r="101">
      <c r="A101" s="2" t="s">
        <v>8869</v>
      </c>
      <c r="B101" s="3" t="str">
        <f>D101 &amp; " — " &amp; C101</f>
        <v>Approved but Still Open — /process-steward/governance/approved-never-lands</v>
      </c>
      <c r="C101" s="2" t="s">
        <v>8870</v>
      </c>
      <c r="D101" s="2" t="s">
        <v>8871</v>
      </c>
      <c r="E101" s="2" t="s">
        <v>8388</v>
      </c>
      <c r="F101" s="2" t="s">
        <v>244</v>
      </c>
      <c r="G101" s="2" t="s">
        <v>8358</v>
      </c>
      <c r="H101" s="2">
        <v>2</v>
      </c>
      <c r="I101" s="2" t="s">
        <v>8395</v>
      </c>
      <c r="J101" s="2" t="s">
        <v>8872</v>
      </c>
      <c r="K101" s="2" t="s">
        <v>8873</v>
      </c>
      <c r="L101" s="3" t="b">
        <f>G101 &lt;&gt; ""</f>
        <v>1</v>
      </c>
      <c r="M101" s="3" t="b">
        <f>AND(F101 = "", E101 = "domain")</f>
        <v>0</v>
      </c>
      <c r="N101" s="3" t="b">
        <f>E101 = "maintainer"</f>
        <v>0</v>
      </c>
      <c r="O101" s="3">
        <f>COUNTIFS(AppRouteQuestions!C2:C999, A101)</f>
        <v>1</v>
      </c>
      <c r="P101" s="3">
        <f>COUNTIFS(AppRouteReferences!C2:C999, A101)</f>
        <v>2</v>
      </c>
      <c r="Q101" s="3" t="b">
        <f>AND(O101 = 0, M101 = FALSE, N101 = FALSE, I101 &lt;&gt; "index")</f>
        <v>0</v>
      </c>
      <c r="R101" s="2" t="s">
        <v>1858</v>
      </c>
    </row>
    <row r="102">
      <c r="A102" s="2" t="s">
        <v>8874</v>
      </c>
      <c r="B102" s="3" t="str">
        <f>D102 &amp; " — " &amp; C102</f>
        <v>Versions With No Steward — /process-steward/ownership/orphan-versions</v>
      </c>
      <c r="C102" s="2" t="s">
        <v>8875</v>
      </c>
      <c r="D102" s="2" t="s">
        <v>8876</v>
      </c>
      <c r="E102" s="2" t="s">
        <v>8388</v>
      </c>
      <c r="F102" s="2" t="s">
        <v>244</v>
      </c>
      <c r="G102" s="2" t="s">
        <v>8372</v>
      </c>
      <c r="H102" s="2">
        <v>1</v>
      </c>
      <c r="I102" s="2" t="s">
        <v>8395</v>
      </c>
      <c r="J102" s="2" t="s">
        <v>8877</v>
      </c>
      <c r="K102" s="2" t="s">
        <v>8878</v>
      </c>
      <c r="L102" s="3" t="b">
        <f>G102 &lt;&gt; ""</f>
        <v>1</v>
      </c>
      <c r="M102" s="3" t="b">
        <f>AND(F102 = "", E102 = "domain")</f>
        <v>0</v>
      </c>
      <c r="N102" s="3" t="b">
        <f>E102 = "maintainer"</f>
        <v>0</v>
      </c>
      <c r="O102" s="3">
        <f>COUNTIFS(AppRouteQuestions!C2:C999, A102)</f>
        <v>1</v>
      </c>
      <c r="P102" s="3">
        <f>COUNTIFS(AppRouteReferences!C2:C999, A102)</f>
        <v>2</v>
      </c>
      <c r="Q102" s="3" t="b">
        <f>AND(O102 = 0, M102 = FALSE, N102 = FALSE, I102 &lt;&gt; "index")</f>
        <v>0</v>
      </c>
      <c r="R102" s="2" t="s">
        <v>1858</v>
      </c>
    </row>
    <row r="103">
      <c r="A103" s="2" t="s">
        <v>8879</v>
      </c>
      <c r="B103" s="3" t="str">
        <f>D103 &amp; " — " &amp; C103</f>
        <v>Archived, Still Load-Bearing — /process-steward/ownership/archived-referenced</v>
      </c>
      <c r="C103" s="2" t="s">
        <v>8880</v>
      </c>
      <c r="D103" s="2" t="s">
        <v>8881</v>
      </c>
      <c r="E103" s="2" t="s">
        <v>8388</v>
      </c>
      <c r="F103" s="2" t="s">
        <v>244</v>
      </c>
      <c r="G103" s="2" t="s">
        <v>8372</v>
      </c>
      <c r="H103" s="2">
        <v>2</v>
      </c>
      <c r="I103" s="2" t="s">
        <v>8395</v>
      </c>
      <c r="J103" s="2" t="s">
        <v>8882</v>
      </c>
      <c r="K103" s="2" t="s">
        <v>8883</v>
      </c>
      <c r="L103" s="3" t="b">
        <f>G103 &lt;&gt; ""</f>
        <v>1</v>
      </c>
      <c r="M103" s="3" t="b">
        <f>AND(F103 = "", E103 = "domain")</f>
        <v>0</v>
      </c>
      <c r="N103" s="3" t="b">
        <f>E103 = "maintainer"</f>
        <v>0</v>
      </c>
      <c r="O103" s="3">
        <f>COUNTIFS(AppRouteQuestions!C2:C999, A103)</f>
        <v>1</v>
      </c>
      <c r="P103" s="3">
        <f>COUNTIFS(AppRouteReferences!C2:C999, A103)</f>
        <v>2</v>
      </c>
      <c r="Q103" s="3" t="b">
        <f>AND(O103 = 0, M103 = FALSE, N103 = FALSE, I103 &lt;&gt; "index")</f>
        <v>0</v>
      </c>
      <c r="R103" s="2" t="s">
        <v>1858</v>
      </c>
    </row>
    <row r="104">
      <c r="A104" s="2" t="s">
        <v>8884</v>
      </c>
      <c r="B104" s="3" t="str">
        <f>D104 &amp; " — " &amp; C104</f>
        <v>Untested Recovery Paths — /process-steward/knowledge/untested-fallbacks</v>
      </c>
      <c r="C104" s="2" t="s">
        <v>8885</v>
      </c>
      <c r="D104" s="2" t="s">
        <v>8886</v>
      </c>
      <c r="E104" s="2" t="s">
        <v>8388</v>
      </c>
      <c r="F104" s="2" t="s">
        <v>244</v>
      </c>
      <c r="G104" s="2" t="s">
        <v>8356</v>
      </c>
      <c r="H104" s="2">
        <v>2</v>
      </c>
      <c r="I104" s="2" t="s">
        <v>8395</v>
      </c>
      <c r="J104" s="2" t="s">
        <v>8887</v>
      </c>
      <c r="K104" s="2" t="s">
        <v>8888</v>
      </c>
      <c r="L104" s="3" t="b">
        <f>G104 &lt;&gt; ""</f>
        <v>1</v>
      </c>
      <c r="M104" s="3" t="b">
        <f>AND(F104 = "", E104 = "domain")</f>
        <v>0</v>
      </c>
      <c r="N104" s="3" t="b">
        <f>E104 = "maintainer"</f>
        <v>0</v>
      </c>
      <c r="O104" s="3">
        <f>COUNTIFS(AppRouteQuestions!C2:C999, A104)</f>
        <v>1</v>
      </c>
      <c r="P104" s="3">
        <f>COUNTIFS(AppRouteReferences!C2:C999, A104)</f>
        <v>2</v>
      </c>
      <c r="Q104" s="3" t="b">
        <f>AND(O104 = 0, M104 = FALSE, N104 = FALSE, I104 &lt;&gt; "index")</f>
        <v>0</v>
      </c>
      <c r="R104" s="2" t="s">
        <v>1858</v>
      </c>
    </row>
    <row r="105">
      <c r="A105" s="2" t="s">
        <v>8889</v>
      </c>
      <c r="B105" s="3" t="str">
        <f>D105 &amp; " — " &amp; C105</f>
        <v>Which Untested Path Matters — /process-steward/knowledge/fallback-criticality</v>
      </c>
      <c r="C105" s="2" t="s">
        <v>8890</v>
      </c>
      <c r="D105" s="2" t="s">
        <v>8891</v>
      </c>
      <c r="E105" s="2" t="s">
        <v>8388</v>
      </c>
      <c r="F105" s="2" t="s">
        <v>244</v>
      </c>
      <c r="G105" s="2" t="s">
        <v>8356</v>
      </c>
      <c r="H105" s="2">
        <v>3</v>
      </c>
      <c r="I105" s="2" t="s">
        <v>8395</v>
      </c>
      <c r="J105" s="2" t="s">
        <v>8892</v>
      </c>
      <c r="K105" s="2" t="s">
        <v>8893</v>
      </c>
      <c r="L105" s="3" t="b">
        <f>G105 &lt;&gt; ""</f>
        <v>1</v>
      </c>
      <c r="M105" s="3" t="b">
        <f>AND(F105 = "", E105 = "domain")</f>
        <v>0</v>
      </c>
      <c r="N105" s="3" t="b">
        <f>E105 = "maintainer"</f>
        <v>0</v>
      </c>
      <c r="O105" s="3">
        <f>COUNTIFS(AppRouteQuestions!C2:C999, A105)</f>
        <v>1</v>
      </c>
      <c r="P105" s="3">
        <f>COUNTIFS(AppRouteReferences!C2:C999, A105)</f>
        <v>2</v>
      </c>
      <c r="Q105" s="3" t="b">
        <f>AND(O105 = 0, M105 = FALSE, N105 = FALSE, I105 &lt;&gt; "index")</f>
        <v>0</v>
      </c>
      <c r="R105" s="2" t="s">
        <v>1858</v>
      </c>
    </row>
    <row r="106">
      <c r="A106" s="2" t="s">
        <v>8894</v>
      </c>
      <c r="B106" s="3" t="str">
        <f>D106 &amp; " — " &amp; C106</f>
        <v>Predicates Naming Step Ids — /process-steward/model/hardcoded-predicates</v>
      </c>
      <c r="C106" s="2" t="s">
        <v>8895</v>
      </c>
      <c r="D106" s="2" t="s">
        <v>8896</v>
      </c>
      <c r="E106" s="2" t="s">
        <v>8388</v>
      </c>
      <c r="F106" s="2" t="s">
        <v>244</v>
      </c>
      <c r="G106" s="2" t="s">
        <v>8375</v>
      </c>
      <c r="H106" s="2">
        <v>1</v>
      </c>
      <c r="I106" s="2" t="s">
        <v>8395</v>
      </c>
      <c r="J106" s="2" t="s">
        <v>8897</v>
      </c>
      <c r="K106" s="2" t="s">
        <v>8898</v>
      </c>
      <c r="L106" s="3" t="b">
        <f>G106 &lt;&gt; ""</f>
        <v>1</v>
      </c>
      <c r="M106" s="3" t="b">
        <f>AND(F106 = "", E106 = "domain")</f>
        <v>0</v>
      </c>
      <c r="N106" s="3" t="b">
        <f>E106 = "maintainer"</f>
        <v>0</v>
      </c>
      <c r="O106" s="3">
        <f>COUNTIFS(AppRouteQuestions!C2:C999, A106)</f>
        <v>1</v>
      </c>
      <c r="P106" s="3">
        <f>COUNTIFS(AppRouteReferences!C2:C999, A106)</f>
        <v>2</v>
      </c>
      <c r="Q106" s="3" t="b">
        <f>AND(O106 = 0, M106 = FALSE, N106 = FALSE, I106 &lt;&gt; "index")</f>
        <v>0</v>
      </c>
      <c r="R106" s="2" t="s">
        <v>1858</v>
      </c>
    </row>
    <row r="107">
      <c r="A107" s="2" t="s">
        <v>8899</v>
      </c>
      <c r="B107" s="3" t="str">
        <f>D107 &amp; " — " &amp; C107</f>
        <v>Knowledge Register — /knowledge-authority/knowledge</v>
      </c>
      <c r="C107" s="2" t="s">
        <v>8900</v>
      </c>
      <c r="D107" s="2" t="s">
        <v>8901</v>
      </c>
      <c r="E107" s="2" t="s">
        <v>8388</v>
      </c>
      <c r="F107" s="2" t="s">
        <v>248</v>
      </c>
      <c r="G107" s="2" t="s">
        <v>8356</v>
      </c>
      <c r="H107" s="2">
        <v>1</v>
      </c>
      <c r="I107" s="2" t="s">
        <v>8389</v>
      </c>
      <c r="J107" s="2" t="s">
        <v>8902</v>
      </c>
      <c r="K107" s="2" t="s">
        <v>8903</v>
      </c>
      <c r="L107" s="3" t="b">
        <f>G107 &lt;&gt; ""</f>
        <v>1</v>
      </c>
      <c r="M107" s="3" t="b">
        <f>AND(F107 = "", E107 = "domain")</f>
        <v>0</v>
      </c>
      <c r="N107" s="3" t="b">
        <f>E107 = "maintainer"</f>
        <v>0</v>
      </c>
      <c r="O107" s="3">
        <f>COUNTIFS(AppRouteQuestions!C2:C999, A107)</f>
        <v>2</v>
      </c>
      <c r="P107" s="3">
        <f>COUNTIFS(AppRouteReferences!C2:C999, A107)</f>
        <v>3</v>
      </c>
      <c r="Q107" s="3" t="b">
        <f>AND(O107 = 0, M107 = FALSE, N107 = FALSE, I107 &lt;&gt; "index")</f>
        <v>0</v>
      </c>
      <c r="R107" s="2" t="s">
        <v>1858</v>
      </c>
    </row>
    <row r="108">
      <c r="A108" s="2" t="s">
        <v>8904</v>
      </c>
      <c r="B108" s="3" t="str">
        <f>D108 &amp; " — " &amp; C108</f>
        <v>Compound Fragility — /knowledge-authority/knowledge/compound-fragility</v>
      </c>
      <c r="C108" s="2" t="s">
        <v>8905</v>
      </c>
      <c r="D108" s="2" t="s">
        <v>8906</v>
      </c>
      <c r="E108" s="2" t="s">
        <v>8388</v>
      </c>
      <c r="F108" s="2" t="s">
        <v>248</v>
      </c>
      <c r="G108" s="2" t="s">
        <v>8356</v>
      </c>
      <c r="H108" s="2">
        <v>2</v>
      </c>
      <c r="I108" s="2" t="s">
        <v>8395</v>
      </c>
      <c r="J108" s="2" t="s">
        <v>8907</v>
      </c>
      <c r="K108" s="2" t="s">
        <v>8908</v>
      </c>
      <c r="L108" s="3" t="b">
        <f>G108 &lt;&gt; ""</f>
        <v>1</v>
      </c>
      <c r="M108" s="3" t="b">
        <f>AND(F108 = "", E108 = "domain")</f>
        <v>0</v>
      </c>
      <c r="N108" s="3" t="b">
        <f>E108 = "maintainer"</f>
        <v>0</v>
      </c>
      <c r="O108" s="3">
        <f>COUNTIFS(AppRouteQuestions!C2:C999, A108)</f>
        <v>1</v>
      </c>
      <c r="P108" s="3">
        <f>COUNTIFS(AppRouteReferences!C2:C999, A108)</f>
        <v>2</v>
      </c>
      <c r="Q108" s="3" t="b">
        <f>AND(O108 = 0, M108 = FALSE, N108 = FALSE, I108 &lt;&gt; "index")</f>
        <v>0</v>
      </c>
      <c r="R108" s="2" t="s">
        <v>1858</v>
      </c>
    </row>
    <row r="109">
      <c r="A109" s="2" t="s">
        <v>8909</v>
      </c>
      <c r="B109" s="3" t="str">
        <f>D109 &amp; " — " &amp; C109</f>
        <v>Unapproved but Live — /knowledge-authority/knowledge/unapproved-live</v>
      </c>
      <c r="C109" s="2" t="s">
        <v>8910</v>
      </c>
      <c r="D109" s="2" t="s">
        <v>8911</v>
      </c>
      <c r="E109" s="2" t="s">
        <v>8388</v>
      </c>
      <c r="F109" s="2" t="s">
        <v>248</v>
      </c>
      <c r="G109" s="2" t="s">
        <v>8356</v>
      </c>
      <c r="H109" s="2">
        <v>3</v>
      </c>
      <c r="I109" s="2" t="s">
        <v>8395</v>
      </c>
      <c r="J109" s="2" t="s">
        <v>8912</v>
      </c>
      <c r="K109" s="2" t="s">
        <v>8913</v>
      </c>
      <c r="L109" s="3" t="b">
        <f>G109 &lt;&gt; ""</f>
        <v>1</v>
      </c>
      <c r="M109" s="3" t="b">
        <f>AND(F109 = "", E109 = "domain")</f>
        <v>0</v>
      </c>
      <c r="N109" s="3" t="b">
        <f>E109 = "maintainer"</f>
        <v>0</v>
      </c>
      <c r="O109" s="3">
        <f>COUNTIFS(AppRouteQuestions!C2:C999, A109)</f>
        <v>2</v>
      </c>
      <c r="P109" s="3">
        <f>COUNTIFS(AppRouteReferences!C2:C999, A109)</f>
        <v>2</v>
      </c>
      <c r="Q109" s="3" t="b">
        <f>AND(O109 = 0, M109 = FALSE, N109 = FALSE, I109 &lt;&gt; "index")</f>
        <v>0</v>
      </c>
      <c r="R109" s="2" t="s">
        <v>1858</v>
      </c>
    </row>
    <row r="110">
      <c r="A110" s="2" t="s">
        <v>8914</v>
      </c>
      <c r="B110" s="3" t="str">
        <f>D110 &amp; " — " &amp; C110</f>
        <v>Unapproved Knowledge Reaching Machines — /knowledge-authority/knowledge/reaching-machines</v>
      </c>
      <c r="C110" s="2" t="s">
        <v>8915</v>
      </c>
      <c r="D110" s="2" t="s">
        <v>8916</v>
      </c>
      <c r="E110" s="2" t="s">
        <v>8388</v>
      </c>
      <c r="F110" s="2" t="s">
        <v>248</v>
      </c>
      <c r="G110" s="2" t="s">
        <v>8356</v>
      </c>
      <c r="H110" s="2">
        <v>4</v>
      </c>
      <c r="I110" s="2" t="s">
        <v>8395</v>
      </c>
      <c r="J110" s="2" t="s">
        <v>8917</v>
      </c>
      <c r="K110" s="2" t="s">
        <v>8918</v>
      </c>
      <c r="L110" s="3" t="b">
        <f>G110 &lt;&gt; ""</f>
        <v>1</v>
      </c>
      <c r="M110" s="3" t="b">
        <f>AND(F110 = "", E110 = "domain")</f>
        <v>0</v>
      </c>
      <c r="N110" s="3" t="b">
        <f>E110 = "maintainer"</f>
        <v>0</v>
      </c>
      <c r="O110" s="3">
        <f>COUNTIFS(AppRouteQuestions!C2:C999, A110)</f>
        <v>1</v>
      </c>
      <c r="P110" s="3">
        <f>COUNTIFS(AppRouteReferences!C2:C999, A110)</f>
        <v>2</v>
      </c>
      <c r="Q110" s="3" t="b">
        <f>AND(O110 = 0, M110 = FALSE, N110 = FALSE, I110 &lt;&gt; "index")</f>
        <v>0</v>
      </c>
      <c r="R110" s="2" t="s">
        <v>1858</v>
      </c>
    </row>
    <row r="111">
      <c r="A111" s="2" t="s">
        <v>8919</v>
      </c>
      <c r="B111" s="3" t="str">
        <f>D111 &amp; " — " &amp; C111</f>
        <v>Boundaries on Expired Claims — /knowledge-authority/governance/expired-ratifier</v>
      </c>
      <c r="C111" s="2" t="s">
        <v>8920</v>
      </c>
      <c r="D111" s="2" t="s">
        <v>8921</v>
      </c>
      <c r="E111" s="2" t="s">
        <v>8388</v>
      </c>
      <c r="F111" s="2" t="s">
        <v>248</v>
      </c>
      <c r="G111" s="2" t="s">
        <v>8358</v>
      </c>
      <c r="H111" s="2">
        <v>1</v>
      </c>
      <c r="I111" s="2" t="s">
        <v>8395</v>
      </c>
      <c r="J111" s="2" t="s">
        <v>8922</v>
      </c>
      <c r="K111" s="2" t="s">
        <v>8923</v>
      </c>
      <c r="L111" s="3" t="b">
        <f>G111 &lt;&gt; ""</f>
        <v>1</v>
      </c>
      <c r="M111" s="3" t="b">
        <f>AND(F111 = "", E111 = "domain")</f>
        <v>0</v>
      </c>
      <c r="N111" s="3" t="b">
        <f>E111 = "maintainer"</f>
        <v>0</v>
      </c>
      <c r="O111" s="3">
        <f>COUNTIFS(AppRouteQuestions!C2:C999, A111)</f>
        <v>1</v>
      </c>
      <c r="P111" s="3">
        <f>COUNTIFS(AppRouteReferences!C2:C999, A111)</f>
        <v>2</v>
      </c>
      <c r="Q111" s="3" t="b">
        <f>AND(O111 = 0, M111 = FALSE, N111 = FALSE, I111 &lt;&gt; "index")</f>
        <v>0</v>
      </c>
      <c r="R111" s="2" t="s">
        <v>1858</v>
      </c>
    </row>
    <row r="112">
      <c r="A112" s="2" t="s">
        <v>8924</v>
      </c>
      <c r="B112" s="3" t="str">
        <f>D112 &amp; " — " &amp; C112</f>
        <v>Orphaned Provenance — /knowledge-authority/governance/orphaned-provenance</v>
      </c>
      <c r="C112" s="2" t="s">
        <v>8925</v>
      </c>
      <c r="D112" s="2" t="s">
        <v>8926</v>
      </c>
      <c r="E112" s="2" t="s">
        <v>8388</v>
      </c>
      <c r="F112" s="2" t="s">
        <v>248</v>
      </c>
      <c r="G112" s="2" t="s">
        <v>8358</v>
      </c>
      <c r="H112" s="2">
        <v>2</v>
      </c>
      <c r="I112" s="2" t="s">
        <v>8395</v>
      </c>
      <c r="J112" s="2" t="s">
        <v>8927</v>
      </c>
      <c r="K112" s="2" t="s">
        <v>8928</v>
      </c>
      <c r="L112" s="3" t="b">
        <f>G112 &lt;&gt; ""</f>
        <v>1</v>
      </c>
      <c r="M112" s="3" t="b">
        <f>AND(F112 = "", E112 = "domain")</f>
        <v>0</v>
      </c>
      <c r="N112" s="3" t="b">
        <f>E112 = "maintainer"</f>
        <v>0</v>
      </c>
      <c r="O112" s="3">
        <f>COUNTIFS(AppRouteQuestions!C2:C999, A112)</f>
        <v>1</v>
      </c>
      <c r="P112" s="3">
        <f>COUNTIFS(AppRouteReferences!C2:C999, A112)</f>
        <v>2</v>
      </c>
      <c r="Q112" s="3" t="b">
        <f>AND(O112 = 0, M112 = FALSE, N112 = FALSE, I112 &lt;&gt; "index")</f>
        <v>0</v>
      </c>
      <c r="R112" s="2" t="s">
        <v>1858</v>
      </c>
    </row>
    <row r="113">
      <c r="A113" s="2" t="s">
        <v>8929</v>
      </c>
      <c r="B113" s="3" t="str">
        <f>D113 &amp; " — " &amp; C113</f>
        <v>Semantic Change Without a Witness — /knowledge-authority/governance/unwitnessed-change</v>
      </c>
      <c r="C113" s="2" t="s">
        <v>8930</v>
      </c>
      <c r="D113" s="2" t="s">
        <v>8931</v>
      </c>
      <c r="E113" s="2" t="s">
        <v>8388</v>
      </c>
      <c r="F113" s="2" t="s">
        <v>248</v>
      </c>
      <c r="G113" s="2" t="s">
        <v>8358</v>
      </c>
      <c r="H113" s="2">
        <v>3</v>
      </c>
      <c r="I113" s="2" t="s">
        <v>8395</v>
      </c>
      <c r="J113" s="2" t="s">
        <v>8932</v>
      </c>
      <c r="K113" s="2" t="s">
        <v>8933</v>
      </c>
      <c r="L113" s="3" t="b">
        <f>G113 &lt;&gt; ""</f>
        <v>1</v>
      </c>
      <c r="M113" s="3" t="b">
        <f>AND(F113 = "", E113 = "domain")</f>
        <v>0</v>
      </c>
      <c r="N113" s="3" t="b">
        <f>E113 = "maintainer"</f>
        <v>0</v>
      </c>
      <c r="O113" s="3">
        <f>COUNTIFS(AppRouteQuestions!C2:C999, A113)</f>
        <v>1</v>
      </c>
      <c r="P113" s="3">
        <f>COUNTIFS(AppRouteReferences!C2:C999, A113)</f>
        <v>2</v>
      </c>
      <c r="Q113" s="3" t="b">
        <f>AND(O113 = 0, M113 = FALSE, N113 = FALSE, I113 &lt;&gt; "index")</f>
        <v>0</v>
      </c>
      <c r="R113" s="2" t="s">
        <v>1858</v>
      </c>
    </row>
    <row r="114">
      <c r="A114" s="2" t="s">
        <v>8934</v>
      </c>
      <c r="B114" s="3" t="str">
        <f>D114 &amp; " — " &amp; C114</f>
        <v>How Old Is the Evidence — /knowledge-authority/knowledge/elicitation-age</v>
      </c>
      <c r="C114" s="2" t="s">
        <v>8935</v>
      </c>
      <c r="D114" s="2" t="s">
        <v>8936</v>
      </c>
      <c r="E114" s="2" t="s">
        <v>8388</v>
      </c>
      <c r="F114" s="2" t="s">
        <v>248</v>
      </c>
      <c r="G114" s="2" t="s">
        <v>8356</v>
      </c>
      <c r="H114" s="2">
        <v>5</v>
      </c>
      <c r="I114" s="2" t="s">
        <v>8395</v>
      </c>
      <c r="J114" s="2" t="s">
        <v>8937</v>
      </c>
      <c r="K114" s="2" t="s">
        <v>8938</v>
      </c>
      <c r="L114" s="3" t="b">
        <f>G114 &lt;&gt; ""</f>
        <v>1</v>
      </c>
      <c r="M114" s="3" t="b">
        <f>AND(F114 = "", E114 = "domain")</f>
        <v>0</v>
      </c>
      <c r="N114" s="3" t="b">
        <f>E114 = "maintainer"</f>
        <v>0</v>
      </c>
      <c r="O114" s="3">
        <f>COUNTIFS(AppRouteQuestions!C2:C999, A114)</f>
        <v>1</v>
      </c>
      <c r="P114" s="3">
        <f>COUNTIFS(AppRouteReferences!C2:C999, A114)</f>
        <v>2</v>
      </c>
      <c r="Q114" s="3" t="b">
        <f>AND(O114 = 0, M114 = FALSE, N114 = FALSE, I114 &lt;&gt; "index")</f>
        <v>0</v>
      </c>
      <c r="R114" s="2" t="s">
        <v>1858</v>
      </c>
    </row>
    <row r="115">
      <c r="A115" s="2" t="s">
        <v>8939</v>
      </c>
      <c r="B115" s="3" t="str">
        <f>D115 &amp; " — " &amp; C115</f>
        <v>Single-Witness Monoculture — /knowledge-authority/knowledge/method-monoculture</v>
      </c>
      <c r="C115" s="2" t="s">
        <v>8940</v>
      </c>
      <c r="D115" s="2" t="s">
        <v>8941</v>
      </c>
      <c r="E115" s="2" t="s">
        <v>8388</v>
      </c>
      <c r="F115" s="2" t="s">
        <v>248</v>
      </c>
      <c r="G115" s="2" t="s">
        <v>8356</v>
      </c>
      <c r="H115" s="2">
        <v>6</v>
      </c>
      <c r="I115" s="2" t="s">
        <v>8395</v>
      </c>
      <c r="J115" s="2" t="s">
        <v>8942</v>
      </c>
      <c r="K115" s="2" t="s">
        <v>8943</v>
      </c>
      <c r="L115" s="3" t="b">
        <f>G115 &lt;&gt; ""</f>
        <v>1</v>
      </c>
      <c r="M115" s="3" t="b">
        <f>AND(F115 = "", E115 = "domain")</f>
        <v>0</v>
      </c>
      <c r="N115" s="3" t="b">
        <f>E115 = "maintainer"</f>
        <v>0</v>
      </c>
      <c r="O115" s="3">
        <f>COUNTIFS(AppRouteQuestions!C2:C999, A115)</f>
        <v>1</v>
      </c>
      <c r="P115" s="3">
        <f>COUNTIFS(AppRouteReferences!C2:C999, A115)</f>
        <v>2</v>
      </c>
      <c r="Q115" s="3" t="b">
        <f>AND(O115 = 0, M115 = FALSE, N115 = FALSE, I115 &lt;&gt; "index")</f>
        <v>0</v>
      </c>
      <c r="R115" s="2" t="s">
        <v>1858</v>
      </c>
    </row>
    <row r="116">
      <c r="A116" s="2" t="s">
        <v>8944</v>
      </c>
      <c r="B116" s="3" t="str">
        <f>D116 &amp; " — " &amp; C116</f>
        <v>Known Unknowns — /knowledge-authority/knowledge/known-unknowns</v>
      </c>
      <c r="C116" s="2" t="s">
        <v>8945</v>
      </c>
      <c r="D116" s="2" t="s">
        <v>8946</v>
      </c>
      <c r="E116" s="2" t="s">
        <v>8388</v>
      </c>
      <c r="F116" s="2" t="s">
        <v>248</v>
      </c>
      <c r="G116" s="2" t="s">
        <v>8356</v>
      </c>
      <c r="H116" s="2">
        <v>7</v>
      </c>
      <c r="I116" s="2" t="s">
        <v>8395</v>
      </c>
      <c r="J116" s="2" t="s">
        <v>8947</v>
      </c>
      <c r="K116" s="2" t="s">
        <v>8948</v>
      </c>
      <c r="L116" s="3" t="b">
        <f>G116 &lt;&gt; ""</f>
        <v>1</v>
      </c>
      <c r="M116" s="3" t="b">
        <f>AND(F116 = "", E116 = "domain")</f>
        <v>0</v>
      </c>
      <c r="N116" s="3" t="b">
        <f>E116 = "maintainer"</f>
        <v>0</v>
      </c>
      <c r="O116" s="3">
        <f>COUNTIFS(AppRouteQuestions!C2:C999, A116)</f>
        <v>1</v>
      </c>
      <c r="P116" s="3">
        <f>COUNTIFS(AppRouteReferences!C2:C999, A116)</f>
        <v>2</v>
      </c>
      <c r="Q116" s="3" t="b">
        <f>AND(O116 = 0, M116 = FALSE, N116 = FALSE, I116 &lt;&gt; "index")</f>
        <v>0</v>
      </c>
      <c r="R116" s="2" t="s">
        <v>1858</v>
      </c>
    </row>
    <row r="117">
      <c r="A117" s="2" t="s">
        <v>8949</v>
      </c>
      <c r="B117" s="3" t="str">
        <f>D117 &amp; " — " &amp; C117</f>
        <v>Inferred, Not Recorded — /knowledge-authority/model/inferred-review-dates</v>
      </c>
      <c r="C117" s="2" t="s">
        <v>8950</v>
      </c>
      <c r="D117" s="2" t="s">
        <v>8951</v>
      </c>
      <c r="E117" s="2" t="s">
        <v>8388</v>
      </c>
      <c r="F117" s="2" t="s">
        <v>248</v>
      </c>
      <c r="G117" s="2" t="s">
        <v>8375</v>
      </c>
      <c r="H117" s="2">
        <v>1</v>
      </c>
      <c r="I117" s="2" t="s">
        <v>8395</v>
      </c>
      <c r="J117" s="2" t="s">
        <v>8952</v>
      </c>
      <c r="K117" s="2" t="s">
        <v>8953</v>
      </c>
      <c r="L117" s="3" t="b">
        <f>G117 &lt;&gt; ""</f>
        <v>1</v>
      </c>
      <c r="M117" s="3" t="b">
        <f>AND(F117 = "", E117 = "domain")</f>
        <v>0</v>
      </c>
      <c r="N117" s="3" t="b">
        <f>E117 = "maintainer"</f>
        <v>0</v>
      </c>
      <c r="O117" s="3">
        <f>COUNTIFS(AppRouteQuestions!C2:C999, A117)</f>
        <v>1</v>
      </c>
      <c r="P117" s="3">
        <f>COUNTIFS(AppRouteReferences!C2:C999, A117)</f>
        <v>2</v>
      </c>
      <c r="Q117" s="3" t="b">
        <f>AND(O117 = 0, M117 = FALSE, N117 = FALSE, I117 &lt;&gt; "index")</f>
        <v>0</v>
      </c>
      <c r="R117" s="2" t="s">
        <v>1858</v>
      </c>
    </row>
    <row r="118">
      <c r="A118" s="2" t="s">
        <v>8954</v>
      </c>
      <c r="B118" s="3" t="str">
        <f>D118 &amp; " — " &amp; C118</f>
        <v>Step Execution — /shared/step-execution/:stepExecutionId</v>
      </c>
      <c r="C118" s="2" t="s">
        <v>8955</v>
      </c>
      <c r="D118" s="2" t="s">
        <v>8956</v>
      </c>
      <c r="E118" s="2" t="s">
        <v>8388</v>
      </c>
      <c r="F118" s="2" t="s">
        <v>168</v>
      </c>
      <c r="G118" s="2" t="s">
        <v>168</v>
      </c>
      <c r="H118" s="2">
        <v>0</v>
      </c>
      <c r="I118" s="2" t="s">
        <v>8446</v>
      </c>
      <c r="J118" s="2" t="s">
        <v>8957</v>
      </c>
      <c r="K118" s="2" t="s">
        <v>8958</v>
      </c>
      <c r="L118" s="3" t="b">
        <f>G118 &lt;&gt; ""</f>
        <v>0</v>
      </c>
      <c r="M118" s="3" t="b">
        <f>AND(F118 = "", E118 = "domain")</f>
        <v>1</v>
      </c>
      <c r="N118" s="3" t="b">
        <f>E118 = "maintainer"</f>
        <v>0</v>
      </c>
      <c r="O118" s="3">
        <f>COUNTIFS(AppRouteQuestions!C2:C999, A118)</f>
        <v>0</v>
      </c>
      <c r="P118" s="3">
        <f>COUNTIFS(AppRouteReferences!C2:C999, A118)</f>
        <v>2</v>
      </c>
      <c r="Q118" s="3" t="b">
        <f>AND(O118 = 0, M118 = FALSE, N118 = FALSE, I118 &lt;&gt; "index")</f>
        <v>0</v>
      </c>
      <c r="R118" s="2" t="s">
        <v>1858</v>
      </c>
    </row>
    <row r="119">
      <c r="A119" s="2" t="s">
        <v>8959</v>
      </c>
      <c r="B119" s="3" t="str">
        <f>D119 &amp; " — " &amp; C119</f>
        <v>Requirement — /shared/requirement/:requirementId</v>
      </c>
      <c r="C119" s="2" t="s">
        <v>8960</v>
      </c>
      <c r="D119" s="2" t="s">
        <v>894</v>
      </c>
      <c r="E119" s="2" t="s">
        <v>8388</v>
      </c>
      <c r="F119" s="2" t="s">
        <v>168</v>
      </c>
      <c r="G119" s="2" t="s">
        <v>168</v>
      </c>
      <c r="H119" s="2">
        <v>0</v>
      </c>
      <c r="I119" s="2" t="s">
        <v>8446</v>
      </c>
      <c r="J119" s="2" t="s">
        <v>8961</v>
      </c>
      <c r="K119" s="2" t="s">
        <v>8962</v>
      </c>
      <c r="L119" s="3" t="b">
        <f>G119 &lt;&gt; ""</f>
        <v>0</v>
      </c>
      <c r="M119" s="3" t="b">
        <f>AND(F119 = "", E119 = "domain")</f>
        <v>1</v>
      </c>
      <c r="N119" s="3" t="b">
        <f>E119 = "maintainer"</f>
        <v>0</v>
      </c>
      <c r="O119" s="3">
        <f>COUNTIFS(AppRouteQuestions!C2:C999, A119)</f>
        <v>0</v>
      </c>
      <c r="P119" s="3">
        <f>COUNTIFS(AppRouteReferences!C2:C999, A119)</f>
        <v>2</v>
      </c>
      <c r="Q119" s="3" t="b">
        <f>AND(O119 = 0, M119 = FALSE, N119 = FALSE, I119 &lt;&gt; "index")</f>
        <v>0</v>
      </c>
      <c r="R119" s="2" t="s">
        <v>1858</v>
      </c>
    </row>
    <row r="120">
      <c r="A120" s="2" t="s">
        <v>8963</v>
      </c>
      <c r="B120" s="3" t="str">
        <f>D120 &amp; " — " &amp; C120</f>
        <v>Knowledge Fragment — /shared/knowledge-fragment/:fragmentId</v>
      </c>
      <c r="C120" s="2" t="s">
        <v>8964</v>
      </c>
      <c r="D120" s="2" t="s">
        <v>8965</v>
      </c>
      <c r="E120" s="2" t="s">
        <v>8388</v>
      </c>
      <c r="F120" s="2" t="s">
        <v>168</v>
      </c>
      <c r="G120" s="2" t="s">
        <v>168</v>
      </c>
      <c r="H120" s="2">
        <v>0</v>
      </c>
      <c r="I120" s="2" t="s">
        <v>8446</v>
      </c>
      <c r="J120" s="2" t="s">
        <v>8966</v>
      </c>
      <c r="K120" s="2" t="s">
        <v>8967</v>
      </c>
      <c r="L120" s="3" t="b">
        <f>G120 &lt;&gt; ""</f>
        <v>0</v>
      </c>
      <c r="M120" s="3" t="b">
        <f>AND(F120 = "", E120 = "domain")</f>
        <v>1</v>
      </c>
      <c r="N120" s="3" t="b">
        <f>E120 = "maintainer"</f>
        <v>0</v>
      </c>
      <c r="O120" s="3">
        <f>COUNTIFS(AppRouteQuestions!C2:C999, A120)</f>
        <v>0</v>
      </c>
      <c r="P120" s="3">
        <f>COUNTIFS(AppRouteReferences!C2:C999, A120)</f>
        <v>2</v>
      </c>
      <c r="Q120" s="3" t="b">
        <f>AND(O120 = 0, M120 = FALSE, N120 = FALSE, I120 &lt;&gt; "index")</f>
        <v>0</v>
      </c>
      <c r="R120" s="2" t="s">
        <v>1858</v>
      </c>
    </row>
    <row r="121">
      <c r="A121" s="2" t="s">
        <v>8968</v>
      </c>
      <c r="B121" s="3" t="str">
        <f>D121 &amp; " — " &amp; C121</f>
        <v>Change Request — /shared/change-request/:changeRequestId</v>
      </c>
      <c r="C121" s="2" t="s">
        <v>8969</v>
      </c>
      <c r="D121" s="2" t="s">
        <v>8970</v>
      </c>
      <c r="E121" s="2" t="s">
        <v>8388</v>
      </c>
      <c r="F121" s="2" t="s">
        <v>168</v>
      </c>
      <c r="G121" s="2" t="s">
        <v>168</v>
      </c>
      <c r="H121" s="2">
        <v>0</v>
      </c>
      <c r="I121" s="2" t="s">
        <v>8446</v>
      </c>
      <c r="J121" s="2" t="s">
        <v>8971</v>
      </c>
      <c r="K121" s="2" t="s">
        <v>8972</v>
      </c>
      <c r="L121" s="3" t="b">
        <f>G121 &lt;&gt; ""</f>
        <v>0</v>
      </c>
      <c r="M121" s="3" t="b">
        <f>AND(F121 = "", E121 = "domain")</f>
        <v>1</v>
      </c>
      <c r="N121" s="3" t="b">
        <f>E121 = "maintainer"</f>
        <v>0</v>
      </c>
      <c r="O121" s="3">
        <f>COUNTIFS(AppRouteQuestions!C2:C999, A121)</f>
        <v>0</v>
      </c>
      <c r="P121" s="3">
        <f>COUNTIFS(AppRouteReferences!C2:C999, A121)</f>
        <v>2</v>
      </c>
      <c r="Q121" s="3" t="b">
        <f>AND(O121 = 0, M121 = FALSE, N121 = FALSE, I121 &lt;&gt; "index")</f>
        <v>0</v>
      </c>
      <c r="R121" s="2" t="s">
        <v>1858</v>
      </c>
    </row>
    <row r="122">
      <c r="A122" s="2" t="s">
        <v>8973</v>
      </c>
      <c r="B122" s="3" t="str">
        <f>D122 &amp; " — " &amp; C122</f>
        <v>Exception — /shared/exception/:exceptionId</v>
      </c>
      <c r="C122" s="2" t="s">
        <v>8974</v>
      </c>
      <c r="D122" s="2" t="s">
        <v>4227</v>
      </c>
      <c r="E122" s="2" t="s">
        <v>8388</v>
      </c>
      <c r="F122" s="2" t="s">
        <v>168</v>
      </c>
      <c r="G122" s="2" t="s">
        <v>168</v>
      </c>
      <c r="H122" s="2">
        <v>0</v>
      </c>
      <c r="I122" s="2" t="s">
        <v>8446</v>
      </c>
      <c r="J122" s="2" t="s">
        <v>8975</v>
      </c>
      <c r="K122" s="2" t="s">
        <v>8976</v>
      </c>
      <c r="L122" s="3" t="b">
        <f>G122 &lt;&gt; ""</f>
        <v>0</v>
      </c>
      <c r="M122" s="3" t="b">
        <f>AND(F122 = "", E122 = "domain")</f>
        <v>1</v>
      </c>
      <c r="N122" s="3" t="b">
        <f>E122 = "maintainer"</f>
        <v>0</v>
      </c>
      <c r="O122" s="3">
        <f>COUNTIFS(AppRouteQuestions!C2:C999, A122)</f>
        <v>0</v>
      </c>
      <c r="P122" s="3">
        <f>COUNTIFS(AppRouteReferences!C2:C999, A122)</f>
        <v>2</v>
      </c>
      <c r="Q122" s="3" t="b">
        <f>AND(O122 = 0, M122 = FALSE, N122 = FALSE, I122 &lt;&gt; "index")</f>
        <v>0</v>
      </c>
      <c r="R122" s="2" t="s">
        <v>1858</v>
      </c>
    </row>
    <row r="123">
      <c r="A123" s="2" t="s">
        <v>8977</v>
      </c>
      <c r="B123" s="3" t="str">
        <f>D123 &amp; " — " &amp; C123</f>
        <v>Role Assignment — /shared/role-assignment/:assignmentId</v>
      </c>
      <c r="C123" s="2" t="s">
        <v>8978</v>
      </c>
      <c r="D123" s="2" t="s">
        <v>8979</v>
      </c>
      <c r="E123" s="2" t="s">
        <v>8388</v>
      </c>
      <c r="F123" s="2" t="s">
        <v>168</v>
      </c>
      <c r="G123" s="2" t="s">
        <v>168</v>
      </c>
      <c r="H123" s="2">
        <v>0</v>
      </c>
      <c r="I123" s="2" t="s">
        <v>8446</v>
      </c>
      <c r="J123" s="2" t="s">
        <v>8980</v>
      </c>
      <c r="K123" s="2" t="s">
        <v>8981</v>
      </c>
      <c r="L123" s="3" t="b">
        <f>G123 &lt;&gt; ""</f>
        <v>0</v>
      </c>
      <c r="M123" s="3" t="b">
        <f>AND(F123 = "", E123 = "domain")</f>
        <v>1</v>
      </c>
      <c r="N123" s="3" t="b">
        <f>E123 = "maintainer"</f>
        <v>0</v>
      </c>
      <c r="O123" s="3">
        <f>COUNTIFS(AppRouteQuestions!C2:C999, A123)</f>
        <v>0</v>
      </c>
      <c r="P123" s="3">
        <f>COUNTIFS(AppRouteReferences!C2:C999, A123)</f>
        <v>2</v>
      </c>
      <c r="Q123" s="3" t="b">
        <f>AND(O123 = 0, M123 = FALSE, N123 = FALSE, I123 &lt;&gt; "index")</f>
        <v>0</v>
      </c>
      <c r="R123" s="2" t="s">
        <v>1858</v>
      </c>
    </row>
    <row r="124">
      <c r="A124" s="2" t="s">
        <v>8982</v>
      </c>
      <c r="B124" s="3" t="str">
        <f>D124 &amp; " — " &amp; C124</f>
        <v>Operational Binding — /shared/operational-binding/:bindingId</v>
      </c>
      <c r="C124" s="2" t="s">
        <v>8983</v>
      </c>
      <c r="D124" s="2" t="s">
        <v>8984</v>
      </c>
      <c r="E124" s="2" t="s">
        <v>8388</v>
      </c>
      <c r="F124" s="2" t="s">
        <v>168</v>
      </c>
      <c r="G124" s="2" t="s">
        <v>168</v>
      </c>
      <c r="H124" s="2">
        <v>0</v>
      </c>
      <c r="I124" s="2" t="s">
        <v>8446</v>
      </c>
      <c r="J124" s="2" t="s">
        <v>8985</v>
      </c>
      <c r="K124" s="2" t="s">
        <v>8986</v>
      </c>
      <c r="L124" s="3" t="b">
        <f>G124 &lt;&gt; ""</f>
        <v>0</v>
      </c>
      <c r="M124" s="3" t="b">
        <f>AND(F124 = "", E124 = "domain")</f>
        <v>1</v>
      </c>
      <c r="N124" s="3" t="b">
        <f>E124 = "maintainer"</f>
        <v>0</v>
      </c>
      <c r="O124" s="3">
        <f>COUNTIFS(AppRouteQuestions!C2:C999, A124)</f>
        <v>0</v>
      </c>
      <c r="P124" s="3">
        <f>COUNTIFS(AppRouteReferences!C2:C999, A124)</f>
        <v>2</v>
      </c>
      <c r="Q124" s="3" t="b">
        <f>AND(O124 = 0, M124 = FALSE, N124 = FALSE, I124 &lt;&gt; "index")</f>
        <v>0</v>
      </c>
      <c r="R124" s="2" t="s">
        <v>1858</v>
      </c>
    </row>
    <row r="125">
      <c r="A125" s="2" t="s">
        <v>8987</v>
      </c>
      <c r="B125" s="3" t="str">
        <f>D125 &amp; " — " &amp; C125</f>
        <v>Delivery — /shared/delivery/:deliveryId</v>
      </c>
      <c r="C125" s="2" t="s">
        <v>8988</v>
      </c>
      <c r="D125" s="2" t="s">
        <v>8360</v>
      </c>
      <c r="E125" s="2" t="s">
        <v>8388</v>
      </c>
      <c r="F125" s="2" t="s">
        <v>168</v>
      </c>
      <c r="G125" s="2" t="s">
        <v>168</v>
      </c>
      <c r="H125" s="2">
        <v>0</v>
      </c>
      <c r="I125" s="2" t="s">
        <v>8446</v>
      </c>
      <c r="J125" s="2" t="s">
        <v>8989</v>
      </c>
      <c r="K125" s="2" t="s">
        <v>8990</v>
      </c>
      <c r="L125" s="3" t="b">
        <f>G125 &lt;&gt; ""</f>
        <v>0</v>
      </c>
      <c r="M125" s="3" t="b">
        <f>AND(F125 = "", E125 = "domain")</f>
        <v>1</v>
      </c>
      <c r="N125" s="3" t="b">
        <f>E125 = "maintainer"</f>
        <v>0</v>
      </c>
      <c r="O125" s="3">
        <f>COUNTIFS(AppRouteQuestions!C2:C999, A125)</f>
        <v>0</v>
      </c>
      <c r="P125" s="3">
        <f>COUNTIFS(AppRouteReferences!C2:C999, A125)</f>
        <v>2</v>
      </c>
      <c r="Q125" s="3" t="b">
        <f>AND(O125 = 0, M125 = FALSE, N125 = FALSE, I125 &lt;&gt; "index")</f>
        <v>0</v>
      </c>
      <c r="R125" s="2" t="s">
        <v>1858</v>
      </c>
    </row>
    <row r="126">
      <c r="A126" s="2" t="s">
        <v>8991</v>
      </c>
      <c r="B126" s="3" t="str">
        <f>D126 &amp; " — " &amp; C126</f>
        <v>Recipient — /shared/recipient/:recipientId</v>
      </c>
      <c r="C126" s="2" t="s">
        <v>8992</v>
      </c>
      <c r="D126" s="2" t="s">
        <v>4385</v>
      </c>
      <c r="E126" s="2" t="s">
        <v>8388</v>
      </c>
      <c r="F126" s="2" t="s">
        <v>168</v>
      </c>
      <c r="G126" s="2" t="s">
        <v>168</v>
      </c>
      <c r="H126" s="2">
        <v>0</v>
      </c>
      <c r="I126" s="2" t="s">
        <v>8446</v>
      </c>
      <c r="J126" s="2" t="s">
        <v>8993</v>
      </c>
      <c r="K126" s="2" t="s">
        <v>8994</v>
      </c>
      <c r="L126" s="3" t="b">
        <f>G126 &lt;&gt; ""</f>
        <v>0</v>
      </c>
      <c r="M126" s="3" t="b">
        <f>AND(F126 = "", E126 = "domain")</f>
        <v>1</v>
      </c>
      <c r="N126" s="3" t="b">
        <f>E126 = "maintainer"</f>
        <v>0</v>
      </c>
      <c r="O126" s="3">
        <f>COUNTIFS(AppRouteQuestions!C2:C999, A126)</f>
        <v>0</v>
      </c>
      <c r="P126" s="3">
        <f>COUNTIFS(AppRouteReferences!C2:C999, A126)</f>
        <v>2</v>
      </c>
      <c r="Q126" s="3" t="b">
        <f>AND(O126 = 0, M126 = FALSE, N126 = FALSE, I126 &lt;&gt; "index")</f>
        <v>0</v>
      </c>
      <c r="R126" s="2" t="s">
        <v>1858</v>
      </c>
    </row>
    <row r="127">
      <c r="A127" s="2" t="s">
        <v>8995</v>
      </c>
      <c r="B127" s="3" t="str">
        <f>D127 &amp; " — " &amp; C127</f>
        <v>Message Template — /shared/template/:templateId</v>
      </c>
      <c r="C127" s="2" t="s">
        <v>8996</v>
      </c>
      <c r="D127" s="2" t="s">
        <v>8997</v>
      </c>
      <c r="E127" s="2" t="s">
        <v>8388</v>
      </c>
      <c r="F127" s="2" t="s">
        <v>168</v>
      </c>
      <c r="G127" s="2" t="s">
        <v>168</v>
      </c>
      <c r="H127" s="2">
        <v>0</v>
      </c>
      <c r="I127" s="2" t="s">
        <v>8446</v>
      </c>
      <c r="J127" s="2" t="s">
        <v>8998</v>
      </c>
      <c r="K127" s="2" t="s">
        <v>8999</v>
      </c>
      <c r="L127" s="3" t="b">
        <f>G127 &lt;&gt; ""</f>
        <v>0</v>
      </c>
      <c r="M127" s="3" t="b">
        <f>AND(F127 = "", E127 = "domain")</f>
        <v>1</v>
      </c>
      <c r="N127" s="3" t="b">
        <f>E127 = "maintainer"</f>
        <v>0</v>
      </c>
      <c r="O127" s="3">
        <f>COUNTIFS(AppRouteQuestions!C2:C999, A127)</f>
        <v>0</v>
      </c>
      <c r="P127" s="3">
        <f>COUNTIFS(AppRouteReferences!C2:C999, A127)</f>
        <v>2</v>
      </c>
      <c r="Q127" s="3" t="b">
        <f>AND(O127 = 0, M127 = FALSE, N127 = FALSE, I127 &lt;&gt; "index")</f>
        <v>0</v>
      </c>
      <c r="R127" s="2" t="s">
        <v>1858</v>
      </c>
    </row>
    <row r="128">
      <c r="A128" s="2" t="s">
        <v>9000</v>
      </c>
      <c r="B128" s="3" t="str">
        <f>D128 &amp; " — " &amp; C128</f>
        <v>Procedure Version — /shared/procedure-version/:versionId</v>
      </c>
      <c r="C128" s="2" t="s">
        <v>9001</v>
      </c>
      <c r="D128" s="2" t="s">
        <v>9002</v>
      </c>
      <c r="E128" s="2" t="s">
        <v>8388</v>
      </c>
      <c r="F128" s="2" t="s">
        <v>168</v>
      </c>
      <c r="G128" s="2" t="s">
        <v>168</v>
      </c>
      <c r="H128" s="2">
        <v>0</v>
      </c>
      <c r="I128" s="2" t="s">
        <v>8446</v>
      </c>
      <c r="J128" s="2" t="s">
        <v>9003</v>
      </c>
      <c r="K128" s="2" t="s">
        <v>9004</v>
      </c>
      <c r="L128" s="3" t="b">
        <f>G128 &lt;&gt; ""</f>
        <v>0</v>
      </c>
      <c r="M128" s="3" t="b">
        <f>AND(F128 = "", E128 = "domain")</f>
        <v>1</v>
      </c>
      <c r="N128" s="3" t="b">
        <f>E128 = "maintainer"</f>
        <v>0</v>
      </c>
      <c r="O128" s="3">
        <f>COUNTIFS(AppRouteQuestions!C2:C999, A128)</f>
        <v>0</v>
      </c>
      <c r="P128" s="3">
        <f>COUNTIFS(AppRouteReferences!C2:C999, A128)</f>
        <v>2</v>
      </c>
      <c r="Q128" s="3" t="b">
        <f>AND(O128 = 0, M128 = FALSE, N128 = FALSE, I128 &lt;&gt; "index")</f>
        <v>0</v>
      </c>
      <c r="R128" s="2" t="s">
        <v>1858</v>
      </c>
    </row>
    <row r="129">
      <c r="A129" s="2" t="s">
        <v>9005</v>
      </c>
      <c r="B129" s="3" t="str">
        <f>D129 &amp; " — " &amp; C129</f>
        <v>Knowledge Gap — /shared/knowledge-gap/:gapId</v>
      </c>
      <c r="C129" s="2" t="s">
        <v>9006</v>
      </c>
      <c r="D129" s="2" t="s">
        <v>9007</v>
      </c>
      <c r="E129" s="2" t="s">
        <v>8388</v>
      </c>
      <c r="F129" s="2" t="s">
        <v>168</v>
      </c>
      <c r="G129" s="2" t="s">
        <v>168</v>
      </c>
      <c r="H129" s="2">
        <v>0</v>
      </c>
      <c r="I129" s="2" t="s">
        <v>8446</v>
      </c>
      <c r="J129" s="2" t="s">
        <v>9008</v>
      </c>
      <c r="K129" s="2" t="s">
        <v>9009</v>
      </c>
      <c r="L129" s="3" t="b">
        <f>G129 &lt;&gt; ""</f>
        <v>0</v>
      </c>
      <c r="M129" s="3" t="b">
        <f>AND(F129 = "", E129 = "domain")</f>
        <v>1</v>
      </c>
      <c r="N129" s="3" t="b">
        <f>E129 = "maintainer"</f>
        <v>0</v>
      </c>
      <c r="O129" s="3">
        <f>COUNTIFS(AppRouteQuestions!C2:C999, A129)</f>
        <v>0</v>
      </c>
      <c r="P129" s="3">
        <f>COUNTIFS(AppRouteReferences!C2:C999, A129)</f>
        <v>2</v>
      </c>
      <c r="Q129" s="3" t="b">
        <f>AND(O129 = 0, M129 = FALSE, N129 = FALSE, I129 &lt;&gt; "index")</f>
        <v>0</v>
      </c>
      <c r="R129" s="2" t="s">
        <v>1858</v>
      </c>
    </row>
    <row r="130">
      <c r="A130" s="2" t="s">
        <v>9010</v>
      </c>
      <c r="B130" s="3" t="str">
        <f>D130 &amp; " — " &amp; C130</f>
        <v>Verification Outcome — /shared/verification-outcome/:outcomeId</v>
      </c>
      <c r="C130" s="2" t="s">
        <v>9011</v>
      </c>
      <c r="D130" s="2" t="s">
        <v>9012</v>
      </c>
      <c r="E130" s="2" t="s">
        <v>8388</v>
      </c>
      <c r="F130" s="2" t="s">
        <v>168</v>
      </c>
      <c r="G130" s="2" t="s">
        <v>168</v>
      </c>
      <c r="H130" s="2">
        <v>0</v>
      </c>
      <c r="I130" s="2" t="s">
        <v>8446</v>
      </c>
      <c r="J130" s="2" t="s">
        <v>9013</v>
      </c>
      <c r="K130" s="2" t="s">
        <v>9014</v>
      </c>
      <c r="L130" s="3" t="b">
        <f>G130 &lt;&gt; ""</f>
        <v>0</v>
      </c>
      <c r="M130" s="3" t="b">
        <f>AND(F130 = "", E130 = "domain")</f>
        <v>1</v>
      </c>
      <c r="N130" s="3" t="b">
        <f>E130 = "maintainer"</f>
        <v>0</v>
      </c>
      <c r="O130" s="3">
        <f>COUNTIFS(AppRouteQuestions!C2:C999, A130)</f>
        <v>0</v>
      </c>
      <c r="P130" s="3">
        <f>COUNTIFS(AppRouteReferences!C2:C999, A130)</f>
        <v>2</v>
      </c>
      <c r="Q130" s="3" t="b">
        <f>AND(O130 = 0, M130 = FALSE, N130 = FALSE, I130 &lt;&gt; "index")</f>
        <v>0</v>
      </c>
      <c r="R130" s="2" t="s">
        <v>1858</v>
      </c>
    </row>
    <row r="131">
      <c r="A131" s="2" t="s">
        <v>9015</v>
      </c>
      <c r="B131" s="3" t="str">
        <f>D131 &amp; " — " &amp; C131</f>
        <v>Review Event — /shared/review-event/:reviewId</v>
      </c>
      <c r="C131" s="2" t="s">
        <v>9016</v>
      </c>
      <c r="D131" s="2" t="s">
        <v>9017</v>
      </c>
      <c r="E131" s="2" t="s">
        <v>8388</v>
      </c>
      <c r="F131" s="2" t="s">
        <v>168</v>
      </c>
      <c r="G131" s="2" t="s">
        <v>168</v>
      </c>
      <c r="H131" s="2">
        <v>0</v>
      </c>
      <c r="I131" s="2" t="s">
        <v>8446</v>
      </c>
      <c r="J131" s="2" t="s">
        <v>9018</v>
      </c>
      <c r="K131" s="2" t="s">
        <v>9019</v>
      </c>
      <c r="L131" s="3" t="b">
        <f>G131 &lt;&gt; ""</f>
        <v>0</v>
      </c>
      <c r="M131" s="3" t="b">
        <f>AND(F131 = "", E131 = "domain")</f>
        <v>1</v>
      </c>
      <c r="N131" s="3" t="b">
        <f>E131 = "maintainer"</f>
        <v>0</v>
      </c>
      <c r="O131" s="3">
        <f>COUNTIFS(AppRouteQuestions!C2:C999, A131)</f>
        <v>0</v>
      </c>
      <c r="P131" s="3">
        <f>COUNTIFS(AppRouteReferences!C2:C999, A131)</f>
        <v>2</v>
      </c>
      <c r="Q131" s="3" t="b">
        <f>AND(O131 = 0, M131 = FALSE, N131 = FALSE, I131 &lt;&gt; "index")</f>
        <v>0</v>
      </c>
      <c r="R131" s="2" t="s">
        <v>1858</v>
      </c>
    </row>
    <row r="132">
      <c r="A132" s="2" t="s">
        <v>9020</v>
      </c>
      <c r="B132" s="3" t="str">
        <f>D132 &amp; " — " &amp; C132</f>
        <v>Elicitation Session — /shared/elicitation-session/:sessionId</v>
      </c>
      <c r="C132" s="2" t="s">
        <v>9021</v>
      </c>
      <c r="D132" s="2" t="s">
        <v>9022</v>
      </c>
      <c r="E132" s="2" t="s">
        <v>8388</v>
      </c>
      <c r="F132" s="2" t="s">
        <v>168</v>
      </c>
      <c r="G132" s="2" t="s">
        <v>168</v>
      </c>
      <c r="H132" s="2">
        <v>0</v>
      </c>
      <c r="I132" s="2" t="s">
        <v>8446</v>
      </c>
      <c r="J132" s="2" t="s">
        <v>9023</v>
      </c>
      <c r="K132" s="2" t="s">
        <v>9024</v>
      </c>
      <c r="L132" s="3" t="b">
        <f>G132 &lt;&gt; ""</f>
        <v>0</v>
      </c>
      <c r="M132" s="3" t="b">
        <f>AND(F132 = "", E132 = "domain")</f>
        <v>1</v>
      </c>
      <c r="N132" s="3" t="b">
        <f>E132 = "maintainer"</f>
        <v>0</v>
      </c>
      <c r="O132" s="3">
        <f>COUNTIFS(AppRouteQuestions!C2:C999, A132)</f>
        <v>0</v>
      </c>
      <c r="P132" s="3">
        <f>COUNTIFS(AppRouteReferences!C2:C999, A132)</f>
        <v>2</v>
      </c>
      <c r="Q132" s="3" t="b">
        <f>AND(O132 = 0, M132 = FALSE, N132 = FALSE, I132 &lt;&gt; "index")</f>
        <v>0</v>
      </c>
      <c r="R132" s="2" t="s">
        <v>1858</v>
      </c>
    </row>
    <row r="133">
      <c r="A133" s="2" t="s">
        <v>9025</v>
      </c>
      <c r="B133" s="3" t="str">
        <f>D133 &amp; " — " &amp; C133</f>
        <v>Step Transition — /shared/transition/:transitionId</v>
      </c>
      <c r="C133" s="2" t="s">
        <v>9026</v>
      </c>
      <c r="D133" s="2" t="s">
        <v>9027</v>
      </c>
      <c r="E133" s="2" t="s">
        <v>8388</v>
      </c>
      <c r="F133" s="2" t="s">
        <v>168</v>
      </c>
      <c r="G133" s="2" t="s">
        <v>168</v>
      </c>
      <c r="H133" s="2">
        <v>0</v>
      </c>
      <c r="I133" s="2" t="s">
        <v>8446</v>
      </c>
      <c r="J133" s="2" t="s">
        <v>9028</v>
      </c>
      <c r="K133" s="2" t="s">
        <v>9029</v>
      </c>
      <c r="L133" s="3" t="b">
        <f>G133 &lt;&gt; ""</f>
        <v>0</v>
      </c>
      <c r="M133" s="3" t="b">
        <f>AND(F133 = "", E133 = "domain")</f>
        <v>1</v>
      </c>
      <c r="N133" s="3" t="b">
        <f>E133 = "maintainer"</f>
        <v>0</v>
      </c>
      <c r="O133" s="3">
        <f>COUNTIFS(AppRouteQuestions!C2:C999, A133)</f>
        <v>0</v>
      </c>
      <c r="P133" s="3">
        <f>COUNTIFS(AppRouteReferences!C2:C999, A133)</f>
        <v>2</v>
      </c>
      <c r="Q133" s="3" t="b">
        <f>AND(O133 = 0, M133 = FALSE, N133 = FALSE, I133 &lt;&gt; "index")</f>
        <v>0</v>
      </c>
      <c r="R133" s="2" t="s">
        <v>1858</v>
      </c>
    </row>
    <row r="134">
      <c r="A134" s="2" t="s">
        <v>9030</v>
      </c>
      <c r="B134" s="3" t="str">
        <f>D134 &amp; " — " &amp; C134</f>
        <v>Authority Boundary — /shared/authority-boundary/:boundaryId</v>
      </c>
      <c r="C134" s="2" t="s">
        <v>9031</v>
      </c>
      <c r="D134" s="2" t="s">
        <v>9032</v>
      </c>
      <c r="E134" s="2" t="s">
        <v>8388</v>
      </c>
      <c r="F134" s="2" t="s">
        <v>168</v>
      </c>
      <c r="G134" s="2" t="s">
        <v>168</v>
      </c>
      <c r="H134" s="2">
        <v>0</v>
      </c>
      <c r="I134" s="2" t="s">
        <v>8446</v>
      </c>
      <c r="J134" s="2" t="s">
        <v>9033</v>
      </c>
      <c r="K134" s="2" t="s">
        <v>9034</v>
      </c>
      <c r="L134" s="3" t="b">
        <f>G134 &lt;&gt; ""</f>
        <v>0</v>
      </c>
      <c r="M134" s="3" t="b">
        <f>AND(F134 = "", E134 = "domain")</f>
        <v>1</v>
      </c>
      <c r="N134" s="3" t="b">
        <f>E134 = "maintainer"</f>
        <v>0</v>
      </c>
      <c r="O134" s="3">
        <f>COUNTIFS(AppRouteQuestions!C2:C999, A134)</f>
        <v>0</v>
      </c>
      <c r="P134" s="3">
        <f>COUNTIFS(AppRouteReferences!C2:C999, A134)</f>
        <v>2</v>
      </c>
      <c r="Q134" s="3" t="b">
        <f>AND(O134 = 0, M134 = FALSE, N134 = FALSE, I134 &lt;&gt; "index")</f>
        <v>0</v>
      </c>
      <c r="R134" s="2" t="s">
        <v>1858</v>
      </c>
    </row>
    <row r="135">
      <c r="A135" s="2" t="s">
        <v>9035</v>
      </c>
      <c r="B135" s="3" t="str">
        <f>D135 &amp; " — " &amp; C135</f>
        <v>Evaluation Context — /shared/evaluation-context</v>
      </c>
      <c r="C135" s="2" t="s">
        <v>9036</v>
      </c>
      <c r="D135" s="2" t="s">
        <v>9037</v>
      </c>
      <c r="E135" s="2" t="s">
        <v>8388</v>
      </c>
      <c r="F135" s="2" t="s">
        <v>168</v>
      </c>
      <c r="G135" s="2" t="s">
        <v>168</v>
      </c>
      <c r="H135" s="2">
        <v>0</v>
      </c>
      <c r="I135" s="2" t="s">
        <v>8446</v>
      </c>
      <c r="J135" s="2" t="s">
        <v>9038</v>
      </c>
      <c r="K135" s="2" t="s">
        <v>9039</v>
      </c>
      <c r="L135" s="3" t="b">
        <f>G135 &lt;&gt; ""</f>
        <v>0</v>
      </c>
      <c r="M135" s="3" t="b">
        <f>AND(F135 = "", E135 = "domain")</f>
        <v>1</v>
      </c>
      <c r="N135" s="3" t="b">
        <f>E135 = "maintainer"</f>
        <v>0</v>
      </c>
      <c r="O135" s="3">
        <f>COUNTIFS(AppRouteQuestions!C2:C999, A135)</f>
        <v>2</v>
      </c>
      <c r="P135" s="3">
        <f>COUNTIFS(AppRouteReferences!C2:C999, A135)</f>
        <v>2</v>
      </c>
      <c r="Q135" s="3" t="b">
        <f>AND(O135 = 0, M135 = FALSE, N135 = FALSE, I135 &lt;&gt; "index")</f>
        <v>0</v>
      </c>
      <c r="R135" s="2" t="s">
        <v>1858</v>
      </c>
    </row>
    <row r="136">
      <c r="A136" s="2" t="s">
        <v>9040</v>
      </c>
      <c r="B136" s="3" t="str">
        <f>D136 &amp; " — " &amp; C136</f>
        <v>Field Provenance — /shared/field/:table/:field</v>
      </c>
      <c r="C136" s="2" t="s">
        <v>9041</v>
      </c>
      <c r="D136" s="2" t="s">
        <v>9042</v>
      </c>
      <c r="E136" s="2" t="s">
        <v>8388</v>
      </c>
      <c r="F136" s="2" t="s">
        <v>168</v>
      </c>
      <c r="G136" s="2" t="s">
        <v>168</v>
      </c>
      <c r="H136" s="2">
        <v>0</v>
      </c>
      <c r="I136" s="2" t="s">
        <v>8446</v>
      </c>
      <c r="J136" s="2" t="s">
        <v>9043</v>
      </c>
      <c r="K136" s="2" t="s">
        <v>9044</v>
      </c>
      <c r="L136" s="3" t="b">
        <f>G136 &lt;&gt; ""</f>
        <v>0</v>
      </c>
      <c r="M136" s="3" t="b">
        <f>AND(F136 = "", E136 = "domain")</f>
        <v>1</v>
      </c>
      <c r="N136" s="3" t="b">
        <f>E136 = "maintainer"</f>
        <v>0</v>
      </c>
      <c r="O136" s="3">
        <f>COUNTIFS(AppRouteQuestions!C2:C999, A136)</f>
        <v>0</v>
      </c>
      <c r="P136" s="3">
        <f>COUNTIFS(AppRouteReferences!C2:C999, A136)</f>
        <v>2</v>
      </c>
      <c r="Q136" s="3" t="b">
        <f>AND(O136 = 0, M136 = FALSE, N136 = FALSE, I136 &lt;&gt; "index")</f>
        <v>0</v>
      </c>
      <c r="R136" s="2" t="s">
        <v>1858</v>
      </c>
    </row>
    <row r="137">
      <c r="A137" s="2" t="s">
        <v>9045</v>
      </c>
      <c r="B137" s="3" t="str">
        <f>D137 &amp; " — " &amp; C137</f>
        <v>Choose a Role — /</v>
      </c>
      <c r="C137" s="2" t="s">
        <v>9046</v>
      </c>
      <c r="D137" s="2" t="s">
        <v>9047</v>
      </c>
      <c r="E137" s="2" t="s">
        <v>8388</v>
      </c>
      <c r="F137" s="2" t="s">
        <v>168</v>
      </c>
      <c r="G137" s="2" t="s">
        <v>168</v>
      </c>
      <c r="H137" s="2">
        <v>0</v>
      </c>
      <c r="I137" s="2" t="s">
        <v>9048</v>
      </c>
      <c r="J137" s="2" t="s">
        <v>9049</v>
      </c>
      <c r="K137" s="2" t="s">
        <v>9050</v>
      </c>
      <c r="L137" s="3" t="b">
        <f>G137 &lt;&gt; ""</f>
        <v>0</v>
      </c>
      <c r="M137" s="3" t="b">
        <f>AND(F137 = "", E137 = "domain")</f>
        <v>1</v>
      </c>
      <c r="N137" s="3" t="b">
        <f>E137 = "maintainer"</f>
        <v>0</v>
      </c>
      <c r="O137" s="3">
        <f>COUNTIFS(AppRouteQuestions!C2:C999, A137)</f>
        <v>0</v>
      </c>
      <c r="P137" s="3">
        <f>COUNTIFS(AppRouteReferences!C2:C999, A137)</f>
        <v>0</v>
      </c>
      <c r="Q137" s="3" t="b">
        <f>AND(O137 = 0, M137 = FALSE, N137 = FALSE, I137 &lt;&gt; "index")</f>
        <v>0</v>
      </c>
      <c r="R137" s="2" t="s">
        <v>1858</v>
      </c>
    </row>
    <row r="138">
      <c r="A138" s="2" t="s">
        <v>9051</v>
      </c>
      <c r="B138" s="3" t="str">
        <f>D138 &amp; " — " &amp; C138</f>
        <v>Test Board — /admin/conformance</v>
      </c>
      <c r="C138" s="2" t="s">
        <v>9052</v>
      </c>
      <c r="D138" s="2" t="s">
        <v>9053</v>
      </c>
      <c r="E138" s="2" t="s">
        <v>9054</v>
      </c>
      <c r="F138" s="2" t="s">
        <v>168</v>
      </c>
      <c r="G138" s="2" t="s">
        <v>8377</v>
      </c>
      <c r="H138" s="2">
        <v>1</v>
      </c>
      <c r="I138" s="2" t="s">
        <v>8389</v>
      </c>
      <c r="J138" s="2" t="s">
        <v>9055</v>
      </c>
      <c r="K138" s="2" t="s">
        <v>9056</v>
      </c>
      <c r="L138" s="3" t="b">
        <f>G138 &lt;&gt; ""</f>
        <v>1</v>
      </c>
      <c r="M138" s="3" t="b">
        <f>AND(F138 = "", E138 = "domain")</f>
        <v>0</v>
      </c>
      <c r="N138" s="3" t="b">
        <f>E138 = "maintainer"</f>
        <v>1</v>
      </c>
      <c r="O138" s="3">
        <f>COUNTIFS(AppRouteQuestions!C2:C999, A138)</f>
        <v>0</v>
      </c>
      <c r="P138" s="3">
        <f>COUNTIFS(AppRouteReferences!C2:C999, A138)</f>
        <v>2</v>
      </c>
      <c r="Q138" s="3" t="b">
        <f>AND(O138 = 0, M138 = FALSE, N138 = FALSE, I138 &lt;&gt; "index")</f>
        <v>0</v>
      </c>
      <c r="R138" s="2" t="s">
        <v>1858</v>
      </c>
    </row>
    <row r="139">
      <c r="A139" s="2" t="s">
        <v>9057</v>
      </c>
      <c r="B139" s="3" t="str">
        <f>D139 &amp; " — " &amp; C139</f>
        <v>Checks — /admin/conformance/checks</v>
      </c>
      <c r="C139" s="2" t="s">
        <v>9058</v>
      </c>
      <c r="D139" s="2" t="s">
        <v>9059</v>
      </c>
      <c r="E139" s="2" t="s">
        <v>9054</v>
      </c>
      <c r="F139" s="2" t="s">
        <v>168</v>
      </c>
      <c r="G139" s="2" t="s">
        <v>8377</v>
      </c>
      <c r="H139" s="2">
        <v>2</v>
      </c>
      <c r="I139" s="2" t="s">
        <v>8395</v>
      </c>
      <c r="J139" s="2" t="s">
        <v>9060</v>
      </c>
      <c r="K139" s="2" t="s">
        <v>9061</v>
      </c>
      <c r="L139" s="3" t="b">
        <f>G139 &lt;&gt; ""</f>
        <v>1</v>
      </c>
      <c r="M139" s="3" t="b">
        <f>AND(F139 = "", E139 = "domain")</f>
        <v>0</v>
      </c>
      <c r="N139" s="3" t="b">
        <f>E139 = "maintainer"</f>
        <v>1</v>
      </c>
      <c r="O139" s="3">
        <f>COUNTIFS(AppRouteQuestions!C2:C999, A139)</f>
        <v>0</v>
      </c>
      <c r="P139" s="3">
        <f>COUNTIFS(AppRouteReferences!C2:C999, A139)</f>
        <v>2</v>
      </c>
      <c r="Q139" s="3" t="b">
        <f>AND(O139 = 0, M139 = FALSE, N139 = FALSE, I139 &lt;&gt; "index")</f>
        <v>0</v>
      </c>
      <c r="R139" s="2" t="s">
        <v>1858</v>
      </c>
    </row>
    <row r="140">
      <c r="A140" s="2" t="s">
        <v>9062</v>
      </c>
      <c r="B140" s="3" t="str">
        <f>D140 &amp; " — " &amp; C140</f>
        <v>Witness Board — /admin/witnesses</v>
      </c>
      <c r="C140" s="2" t="s">
        <v>9063</v>
      </c>
      <c r="D140" s="2" t="s">
        <v>9064</v>
      </c>
      <c r="E140" s="2" t="s">
        <v>9054</v>
      </c>
      <c r="F140" s="2" t="s">
        <v>168</v>
      </c>
      <c r="G140" s="2" t="s">
        <v>8379</v>
      </c>
      <c r="H140" s="2">
        <v>1</v>
      </c>
      <c r="I140" s="2" t="s">
        <v>8389</v>
      </c>
      <c r="J140" s="2" t="s">
        <v>9065</v>
      </c>
      <c r="K140" s="2" t="s">
        <v>9066</v>
      </c>
      <c r="L140" s="3" t="b">
        <f>G140 &lt;&gt; ""</f>
        <v>1</v>
      </c>
      <c r="M140" s="3" t="b">
        <f>AND(F140 = "", E140 = "domain")</f>
        <v>0</v>
      </c>
      <c r="N140" s="3" t="b">
        <f>E140 = "maintainer"</f>
        <v>1</v>
      </c>
      <c r="O140" s="3">
        <f>COUNTIFS(AppRouteQuestions!C2:C999, A140)</f>
        <v>0</v>
      </c>
      <c r="P140" s="3">
        <f>COUNTIFS(AppRouteReferences!C2:C999, A140)</f>
        <v>2</v>
      </c>
      <c r="Q140" s="3" t="b">
        <f>AND(O140 = 0, M140 = FALSE, N140 = FALSE, I140 &lt;&gt; "index")</f>
        <v>0</v>
      </c>
      <c r="R140" s="2" t="s">
        <v>1858</v>
      </c>
    </row>
    <row r="141">
      <c r="A141" s="2" t="s">
        <v>9067</v>
      </c>
      <c r="B141" s="3" t="str">
        <f>D141 &amp; " — " &amp; C141</f>
        <v>Cannot Discriminate — /admin/witnesses/vacuous</v>
      </c>
      <c r="C141" s="2" t="s">
        <v>9068</v>
      </c>
      <c r="D141" s="2" t="s">
        <v>9069</v>
      </c>
      <c r="E141" s="2" t="s">
        <v>9054</v>
      </c>
      <c r="F141" s="2" t="s">
        <v>168</v>
      </c>
      <c r="G141" s="2" t="s">
        <v>8379</v>
      </c>
      <c r="H141" s="2">
        <v>2</v>
      </c>
      <c r="I141" s="2" t="s">
        <v>8395</v>
      </c>
      <c r="J141" s="2" t="s">
        <v>9070</v>
      </c>
      <c r="K141" s="2" t="s">
        <v>9071</v>
      </c>
      <c r="L141" s="3" t="b">
        <f>G141 &lt;&gt; ""</f>
        <v>1</v>
      </c>
      <c r="M141" s="3" t="b">
        <f>AND(F141 = "", E141 = "domain")</f>
        <v>0</v>
      </c>
      <c r="N141" s="3" t="b">
        <f>E141 = "maintainer"</f>
        <v>1</v>
      </c>
      <c r="O141" s="3">
        <f>COUNTIFS(AppRouteQuestions!C2:C999, A141)</f>
        <v>0</v>
      </c>
      <c r="P141" s="3">
        <f>COUNTIFS(AppRouteReferences!C2:C999, A141)</f>
        <v>2</v>
      </c>
      <c r="Q141" s="3" t="b">
        <f>AND(O141 = 0, M141 = FALSE, N141 = FALSE, I141 &lt;&gt; "index")</f>
        <v>0</v>
      </c>
      <c r="R141" s="2" t="s">
        <v>1858</v>
      </c>
    </row>
    <row r="142">
      <c r="A142" s="2" t="s">
        <v>9072</v>
      </c>
      <c r="B142" s="3" t="str">
        <f>D142 &amp; " — " &amp; C142</f>
        <v>Loops &amp; Questions — /admin/loops</v>
      </c>
      <c r="C142" s="2" t="s">
        <v>9073</v>
      </c>
      <c r="D142" s="2" t="s">
        <v>9074</v>
      </c>
      <c r="E142" s="2" t="s">
        <v>9054</v>
      </c>
      <c r="F142" s="2" t="s">
        <v>168</v>
      </c>
      <c r="G142" s="2" t="s">
        <v>8381</v>
      </c>
      <c r="H142" s="2">
        <v>1</v>
      </c>
      <c r="I142" s="2" t="s">
        <v>8389</v>
      </c>
      <c r="J142" s="2" t="s">
        <v>9075</v>
      </c>
      <c r="K142" s="2" t="s">
        <v>9076</v>
      </c>
      <c r="L142" s="3" t="b">
        <f>G142 &lt;&gt; ""</f>
        <v>1</v>
      </c>
      <c r="M142" s="3" t="b">
        <f>AND(F142 = "", E142 = "domain")</f>
        <v>0</v>
      </c>
      <c r="N142" s="3" t="b">
        <f>E142 = "maintainer"</f>
        <v>1</v>
      </c>
      <c r="O142" s="3">
        <f>COUNTIFS(AppRouteQuestions!C2:C999, A142)</f>
        <v>0</v>
      </c>
      <c r="P142" s="3">
        <f>COUNTIFS(AppRouteReferences!C2:C999, A142)</f>
        <v>2</v>
      </c>
      <c r="Q142" s="3" t="b">
        <f>AND(O142 = 0, M142 = FALSE, N142 = FALSE, I142 &lt;&gt; "index")</f>
        <v>0</v>
      </c>
      <c r="R142" s="2" t="s">
        <v>1858</v>
      </c>
    </row>
    <row r="143">
      <c r="A143" s="2" t="s">
        <v>9077</v>
      </c>
      <c r="B143" s="3" t="str">
        <f>D143 &amp; " — " &amp; C143</f>
        <v>Question Defence — /admin/loops/question/:questionId</v>
      </c>
      <c r="C143" s="2" t="s">
        <v>9078</v>
      </c>
      <c r="D143" s="2" t="s">
        <v>9079</v>
      </c>
      <c r="E143" s="2" t="s">
        <v>9054</v>
      </c>
      <c r="F143" s="2" t="s">
        <v>168</v>
      </c>
      <c r="G143" s="2" t="s">
        <v>8381</v>
      </c>
      <c r="H143" s="2">
        <v>2</v>
      </c>
      <c r="I143" s="2" t="s">
        <v>8446</v>
      </c>
      <c r="J143" s="2" t="s">
        <v>9080</v>
      </c>
      <c r="K143" s="2" t="s">
        <v>9081</v>
      </c>
      <c r="L143" s="3" t="b">
        <f>G143 &lt;&gt; ""</f>
        <v>1</v>
      </c>
      <c r="M143" s="3" t="b">
        <f>AND(F143 = "", E143 = "domain")</f>
        <v>0</v>
      </c>
      <c r="N143" s="3" t="b">
        <f>E143 = "maintainer"</f>
        <v>1</v>
      </c>
      <c r="O143" s="3">
        <f>COUNTIFS(AppRouteQuestions!C2:C999, A143)</f>
        <v>0</v>
      </c>
      <c r="P143" s="3">
        <f>COUNTIFS(AppRouteReferences!C2:C999, A143)</f>
        <v>3</v>
      </c>
      <c r="Q143" s="3" t="b">
        <f>AND(O143 = 0, M143 = FALSE, N143 = FALSE, I143 &lt;&gt; "index")</f>
        <v>0</v>
      </c>
      <c r="R143" s="2" t="s">
        <v>1858</v>
      </c>
    </row>
    <row r="144">
      <c r="A144" s="2" t="s">
        <v>9082</v>
      </c>
      <c r="B144" s="3" t="str">
        <f>D144 &amp; " — " &amp; C144</f>
        <v>Provenance Tracer — /admin/provenance</v>
      </c>
      <c r="C144" s="2" t="s">
        <v>9083</v>
      </c>
      <c r="D144" s="2" t="s">
        <v>9084</v>
      </c>
      <c r="E144" s="2" t="s">
        <v>9054</v>
      </c>
      <c r="F144" s="2" t="s">
        <v>168</v>
      </c>
      <c r="G144" s="2" t="s">
        <v>8153</v>
      </c>
      <c r="H144" s="2">
        <v>1</v>
      </c>
      <c r="I144" s="2" t="s">
        <v>8395</v>
      </c>
      <c r="J144" s="2" t="s">
        <v>9085</v>
      </c>
      <c r="K144" s="2" t="s">
        <v>9086</v>
      </c>
      <c r="L144" s="3" t="b">
        <f>G144 &lt;&gt; ""</f>
        <v>1</v>
      </c>
      <c r="M144" s="3" t="b">
        <f>AND(F144 = "", E144 = "domain")</f>
        <v>0</v>
      </c>
      <c r="N144" s="3" t="b">
        <f>E144 = "maintainer"</f>
        <v>1</v>
      </c>
      <c r="O144" s="3">
        <f>COUNTIFS(AppRouteQuestions!C2:C999, A144)</f>
        <v>0</v>
      </c>
      <c r="P144" s="3">
        <f>COUNTIFS(AppRouteReferences!C2:C999, A144)</f>
        <v>2</v>
      </c>
      <c r="Q144" s="3" t="b">
        <f>AND(O144 = 0, M144 = FALSE, N144 = FALSE, I144 &lt;&gt; "index")</f>
        <v>0</v>
      </c>
      <c r="R144" s="2" t="s">
        <v>1858</v>
      </c>
    </row>
    <row r="145">
      <c r="A145" s="2" t="s">
        <v>9087</v>
      </c>
      <c r="B145" s="3" t="str">
        <f>D145 &amp; " — " &amp; C145</f>
        <v>Route Map — /admin/route-map</v>
      </c>
      <c r="C145" s="2" t="s">
        <v>9088</v>
      </c>
      <c r="D145" s="2" t="s">
        <v>9089</v>
      </c>
      <c r="E145" s="2" t="s">
        <v>9054</v>
      </c>
      <c r="F145" s="2" t="s">
        <v>168</v>
      </c>
      <c r="G145" s="2" t="s">
        <v>8375</v>
      </c>
      <c r="H145" s="2">
        <v>1</v>
      </c>
      <c r="I145" s="2" t="s">
        <v>8395</v>
      </c>
      <c r="J145" s="2" t="s">
        <v>9090</v>
      </c>
      <c r="K145" s="2" t="s">
        <v>9091</v>
      </c>
      <c r="L145" s="3" t="b">
        <f>G145 &lt;&gt; ""</f>
        <v>1</v>
      </c>
      <c r="M145" s="3" t="b">
        <f>AND(F145 = "", E145 = "domain")</f>
        <v>0</v>
      </c>
      <c r="N145" s="3" t="b">
        <f>E145 = "maintainer"</f>
        <v>1</v>
      </c>
      <c r="O145" s="3">
        <f>COUNTIFS(AppRouteQuestions!C2:C999, A145)</f>
        <v>0</v>
      </c>
      <c r="P145" s="3">
        <f>COUNTIFS(AppRouteReferences!C2:C999, A145)</f>
        <v>2</v>
      </c>
      <c r="Q145" s="3" t="b">
        <f>AND(O145 = 0, M145 = FALSE, N145 = FALSE, I145 &lt;&gt; "index")</f>
        <v>0</v>
      </c>
      <c r="R145" s="2" t="s">
        <v>1858</v>
      </c>
    </row>
    <row r="146">
      <c r="A146" s="2" t="s">
        <v>9092</v>
      </c>
      <c r="B146" s="3" t="str">
        <f>D146 &amp; " — " &amp; C146</f>
        <v>Catalog Drift — /admin/model/catalog-drift</v>
      </c>
      <c r="C146" s="2" t="s">
        <v>9093</v>
      </c>
      <c r="D146" s="2" t="s">
        <v>9094</v>
      </c>
      <c r="E146" s="2" t="s">
        <v>9054</v>
      </c>
      <c r="F146" s="2" t="s">
        <v>168</v>
      </c>
      <c r="G146" s="2" t="s">
        <v>8375</v>
      </c>
      <c r="H146" s="2">
        <v>2</v>
      </c>
      <c r="I146" s="2" t="s">
        <v>8395</v>
      </c>
      <c r="J146" s="2" t="s">
        <v>9095</v>
      </c>
      <c r="K146" s="2" t="s">
        <v>9096</v>
      </c>
      <c r="L146" s="3" t="b">
        <f>G146 &lt;&gt; ""</f>
        <v>1</v>
      </c>
      <c r="M146" s="3" t="b">
        <f>AND(F146 = "", E146 = "domain")</f>
        <v>0</v>
      </c>
      <c r="N146" s="3" t="b">
        <f>E146 = "maintainer"</f>
        <v>1</v>
      </c>
      <c r="O146" s="3">
        <f>COUNTIFS(AppRouteQuestions!C2:C999, A146)</f>
        <v>0</v>
      </c>
      <c r="P146" s="3">
        <f>COUNTIFS(AppRouteReferences!C2:C999, A146)</f>
        <v>2</v>
      </c>
      <c r="Q146" s="3" t="b">
        <f>AND(O146 = 0, M146 = FALSE, N146 = FALSE, I146 &lt;&gt; "index")</f>
        <v>0</v>
      </c>
      <c r="R146" s="2" t="s">
        <v>1858</v>
      </c>
    </row>
    <row r="147">
      <c r="A147" s="2" t="s">
        <v>9097</v>
      </c>
      <c r="B147" s="3" t="str">
        <f>D147 &amp; " — " &amp; C147</f>
        <v>Every Inference — /explorer/inferences</v>
      </c>
      <c r="C147" s="2" t="s">
        <v>9098</v>
      </c>
      <c r="D147" s="2" t="s">
        <v>9099</v>
      </c>
      <c r="E147" s="2" t="s">
        <v>9054</v>
      </c>
      <c r="F147" s="2" t="s">
        <v>168</v>
      </c>
      <c r="G147" s="2" t="s">
        <v>8383</v>
      </c>
      <c r="H147" s="2">
        <v>1</v>
      </c>
      <c r="I147" s="2" t="s">
        <v>8389</v>
      </c>
      <c r="J147" s="2" t="s">
        <v>9100</v>
      </c>
      <c r="K147" s="2" t="s">
        <v>9101</v>
      </c>
      <c r="L147" s="3" t="b">
        <f>G147 &lt;&gt; ""</f>
        <v>1</v>
      </c>
      <c r="M147" s="3" t="b">
        <f>AND(F147 = "", E147 = "domain")</f>
        <v>0</v>
      </c>
      <c r="N147" s="3" t="b">
        <f>E147 = "maintainer"</f>
        <v>1</v>
      </c>
      <c r="O147" s="3">
        <f>COUNTIFS(AppRouteQuestions!C2:C999, A147)</f>
        <v>0</v>
      </c>
      <c r="P147" s="3">
        <f>COUNTIFS(AppRouteReferences!C2:C999, A147)</f>
        <v>2</v>
      </c>
      <c r="Q147" s="3" t="b">
        <f>AND(O147 = 0, M147 = FALSE, N147 = FALSE, I147 &lt;&gt; "index")</f>
        <v>0</v>
      </c>
      <c r="R147" s="2" t="s">
        <v>1858</v>
      </c>
    </row>
    <row r="148">
      <c r="A148" s="2" t="s">
        <v>9102</v>
      </c>
      <c r="B148" s="3" t="str">
        <f>D148 &amp; " — " &amp; C148</f>
        <v>All Tables — /explorer/tables</v>
      </c>
      <c r="C148" s="2" t="s">
        <v>9103</v>
      </c>
      <c r="D148" s="2" t="s">
        <v>9104</v>
      </c>
      <c r="E148" s="2" t="s">
        <v>9054</v>
      </c>
      <c r="F148" s="2" t="s">
        <v>168</v>
      </c>
      <c r="G148" s="2" t="s">
        <v>8383</v>
      </c>
      <c r="H148" s="2">
        <v>2</v>
      </c>
      <c r="I148" s="2" t="s">
        <v>8395</v>
      </c>
      <c r="J148" s="2" t="s">
        <v>9105</v>
      </c>
      <c r="K148" s="2" t="s">
        <v>9106</v>
      </c>
      <c r="L148" s="3" t="b">
        <f>G148 &lt;&gt; ""</f>
        <v>1</v>
      </c>
      <c r="M148" s="3" t="b">
        <f>AND(F148 = "", E148 = "domain")</f>
        <v>0</v>
      </c>
      <c r="N148" s="3" t="b">
        <f>E148 = "maintainer"</f>
        <v>1</v>
      </c>
      <c r="O148" s="3">
        <f>COUNTIFS(AppRouteQuestions!C2:C999, A148)</f>
        <v>0</v>
      </c>
      <c r="P148" s="3">
        <f>COUNTIFS(AppRouteReferences!C2:C999, A148)</f>
        <v>2</v>
      </c>
      <c r="Q148" s="3" t="b">
        <f>AND(O148 = 0, M148 = FALSE, N148 = FALSE, I148 &lt;&gt; "index")</f>
        <v>0</v>
      </c>
      <c r="R148" s="2" t="s">
        <v>1858</v>
      </c>
    </row>
    <row r="149">
      <c r="A149" s="2" t="s">
        <v>9107</v>
      </c>
      <c r="B149" s="3" t="str">
        <f>D149 &amp; " — " &amp; C149</f>
        <v>Table Detail — /explorer/tables/:table</v>
      </c>
      <c r="C149" s="2" t="s">
        <v>9108</v>
      </c>
      <c r="D149" s="2" t="s">
        <v>9109</v>
      </c>
      <c r="E149" s="2" t="s">
        <v>9054</v>
      </c>
      <c r="F149" s="2" t="s">
        <v>168</v>
      </c>
      <c r="G149" s="2" t="s">
        <v>8383</v>
      </c>
      <c r="H149" s="2">
        <v>3</v>
      </c>
      <c r="I149" s="2" t="s">
        <v>8446</v>
      </c>
      <c r="J149" s="2" t="s">
        <v>9110</v>
      </c>
      <c r="K149" s="2" t="s">
        <v>9111</v>
      </c>
      <c r="L149" s="3" t="b">
        <f>G149 &lt;&gt; ""</f>
        <v>1</v>
      </c>
      <c r="M149" s="3" t="b">
        <f>AND(F149 = "", E149 = "domain")</f>
        <v>0</v>
      </c>
      <c r="N149" s="3" t="b">
        <f>E149 = "maintainer"</f>
        <v>1</v>
      </c>
      <c r="O149" s="3">
        <f>COUNTIFS(AppRouteQuestions!C2:C999, A149)</f>
        <v>0</v>
      </c>
      <c r="P149" s="3">
        <f>COUNTIFS(AppRouteReferences!C2:C999, A149)</f>
        <v>2</v>
      </c>
      <c r="Q149" s="3" t="b">
        <f>AND(O149 = 0, M149 = FALSE, N149 = FALSE, I149 &lt;&gt; "index")</f>
        <v>0</v>
      </c>
      <c r="R149" s="2" t="s">
        <v>1858</v>
      </c>
    </row>
    <row r="150">
      <c r="A150" s="2" t="s">
        <v>9112</v>
      </c>
      <c r="B150" s="3" t="str">
        <f>D150 &amp; " — " &amp; C150</f>
        <v>Record Inspector — /explorer/record/:table/:id</v>
      </c>
      <c r="C150" s="2" t="s">
        <v>9113</v>
      </c>
      <c r="D150" s="2" t="s">
        <v>9114</v>
      </c>
      <c r="E150" s="2" t="s">
        <v>9054</v>
      </c>
      <c r="F150" s="2" t="s">
        <v>168</v>
      </c>
      <c r="G150" s="2" t="s">
        <v>8383</v>
      </c>
      <c r="H150" s="2">
        <v>4</v>
      </c>
      <c r="I150" s="2" t="s">
        <v>8446</v>
      </c>
      <c r="J150" s="2" t="s">
        <v>9115</v>
      </c>
      <c r="K150" s="2" t="s">
        <v>9116</v>
      </c>
      <c r="L150" s="3" t="b">
        <f>G150 &lt;&gt; ""</f>
        <v>1</v>
      </c>
      <c r="M150" s="3" t="b">
        <f>AND(F150 = "", E150 = "domain")</f>
        <v>0</v>
      </c>
      <c r="N150" s="3" t="b">
        <f>E150 = "maintainer"</f>
        <v>1</v>
      </c>
      <c r="O150" s="3">
        <f>COUNTIFS(AppRouteQuestions!C2:C999, A150)</f>
        <v>0</v>
      </c>
      <c r="P150" s="3">
        <f>COUNTIFS(AppRouteReferences!C2:C999, A150)</f>
        <v>2</v>
      </c>
      <c r="Q150" s="3" t="b">
        <f>AND(O150 = 0, M150 = FALSE, N150 = FALSE, I150 &lt;&gt; "index")</f>
        <v>0</v>
      </c>
      <c r="R150" s="2" t="s">
        <v>1858</v>
      </c>
    </row>
  </sheetData>
  <autoFilter ref="A1:R1"/>
  <headerFooter/>
  <legacyDrawing r:id="rId1"/>
</worksheet>
</file>

<file path=xl/worksheets/sheet7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52"/>
  <sheetViews>
    <sheetView workbookViewId="0">
      <pane ySplit="1" topLeftCell="A2" state="frozen" activePane="bottomLeft"/>
      <selection pane="bottomLeft" activeCell="A1" sqref="A1"/>
    </sheetView>
  </sheetViews>
  <sheetFormatPr defaultRowHeight="15"/>
  <cols>
    <col min="1" max="1" width="86.60734558105469" customWidth="1"/>
    <col min="2" max="2" width="91.4072036743164" customWidth="1"/>
    <col min="3" max="3" width="34.358314514160156" customWidth="1"/>
    <col min="4" max="4" width="53.72490310668945" customWidth="1"/>
    <col min="5" max="5" width="45.993995666503906" customWidth="1"/>
  </cols>
  <sheetData>
    <row r="1">
      <c r="A1" s="1" t="s">
        <v>5269</v>
      </c>
      <c r="B1" s="1" t="s">
        <v>1</v>
      </c>
      <c r="C1" s="1" t="s">
        <v>5273</v>
      </c>
      <c r="D1" s="1" t="s">
        <v>1223</v>
      </c>
      <c r="E1" s="1" t="s">
        <v>94</v>
      </c>
    </row>
    <row r="2">
      <c r="A2" s="2" t="s">
        <v>9117</v>
      </c>
      <c r="B2" s="3" t="str">
        <f>C2 &amp; " answers " &amp; D2</f>
        <v>cfo-home answers q-cfo-can-i-sign</v>
      </c>
      <c r="C2" s="2" t="s">
        <v>8385</v>
      </c>
      <c r="D2" s="2" t="s">
        <v>1976</v>
      </c>
      <c r="E2" s="2" t="s">
        <v>1862</v>
      </c>
    </row>
    <row r="3">
      <c r="A3" s="2" t="s">
        <v>9118</v>
      </c>
      <c r="B3" s="3" t="str">
        <f>C3 &amp; " answers " &amp; D3</f>
        <v>cfo-home answers q-cfo-approving-on-unfit-version</v>
      </c>
      <c r="C3" s="2" t="s">
        <v>8385</v>
      </c>
      <c r="D3" s="2" t="s">
        <v>1980</v>
      </c>
      <c r="E3" s="2" t="s">
        <v>1862</v>
      </c>
    </row>
    <row r="4">
      <c r="A4" s="2" t="s">
        <v>9119</v>
      </c>
      <c r="B4" s="3" t="str">
        <f>C4 &amp; " answers " &amp; D4</f>
        <v>cfo-blockers answers q-cfo-can-i-sign</v>
      </c>
      <c r="C4" s="2" t="s">
        <v>8392</v>
      </c>
      <c r="D4" s="2" t="s">
        <v>1976</v>
      </c>
      <c r="E4" s="2" t="s">
        <v>1862</v>
      </c>
    </row>
    <row r="5">
      <c r="A5" s="2" t="s">
        <v>9120</v>
      </c>
      <c r="B5" s="3" t="str">
        <f>C5 &amp; " answers " &amp; D5</f>
        <v>cfo-blockers answers q-cfo-approving-on-unfit-version</v>
      </c>
      <c r="C5" s="2" t="s">
        <v>8392</v>
      </c>
      <c r="D5" s="2" t="s">
        <v>1980</v>
      </c>
      <c r="E5" s="2" t="s">
        <v>1862</v>
      </c>
    </row>
    <row r="6">
      <c r="A6" s="2" t="s">
        <v>9121</v>
      </c>
      <c r="B6" s="3" t="str">
        <f>C6 &amp; " answers " &amp; D6</f>
        <v>cfo-assurance-grade answers q2-cfo-quality-of-a-green-attestation</v>
      </c>
      <c r="C6" s="2" t="s">
        <v>8398</v>
      </c>
      <c r="D6" s="2" t="s">
        <v>2276</v>
      </c>
      <c r="E6" s="2" t="s">
        <v>1862</v>
      </c>
    </row>
    <row r="7">
      <c r="A7" s="2" t="s">
        <v>9122</v>
      </c>
      <c r="B7" s="3" t="str">
        <f>C7 &amp; " answers " &amp; D7</f>
        <v>cfo-assurance-grade answers q2-cfo-controls-nobody-is-watching</v>
      </c>
      <c r="C7" s="2" t="s">
        <v>8398</v>
      </c>
      <c r="D7" s="2" t="s">
        <v>2288</v>
      </c>
      <c r="E7" s="2" t="s">
        <v>1862</v>
      </c>
    </row>
    <row r="8">
      <c r="A8" s="2" t="s">
        <v>9123</v>
      </c>
      <c r="B8" s="3" t="str">
        <f>C8 &amp; " answers " &amp; D8</f>
        <v>cfo-unwitnessed-controls answers q2-cfo-controls-nobody-is-watching</v>
      </c>
      <c r="C8" s="2" t="s">
        <v>8403</v>
      </c>
      <c r="D8" s="2" t="s">
        <v>2288</v>
      </c>
      <c r="E8" s="2" t="s">
        <v>1862</v>
      </c>
    </row>
    <row r="9">
      <c r="A9" s="2" t="s">
        <v>9124</v>
      </c>
      <c r="B9" s="3" t="str">
        <f>C9 &amp; " answers " &amp; D9</f>
        <v>cfo-unwitnessed-controls answers q-cfo-am-i-being-told-everything</v>
      </c>
      <c r="C9" s="2" t="s">
        <v>8403</v>
      </c>
      <c r="D9" s="2" t="s">
        <v>1992</v>
      </c>
      <c r="E9" s="2" t="s">
        <v>1862</v>
      </c>
    </row>
    <row r="10">
      <c r="A10" s="2" t="s">
        <v>9125</v>
      </c>
      <c r="B10" s="3" t="str">
        <f>C10 &amp; " answers " &amp; D10</f>
        <v>cfo-typed-conclusions answers q-cfo-am-i-being-told-everything</v>
      </c>
      <c r="C10" s="2" t="s">
        <v>8408</v>
      </c>
      <c r="D10" s="2" t="s">
        <v>1992</v>
      </c>
      <c r="E10" s="2" t="s">
        <v>1862</v>
      </c>
    </row>
    <row r="11">
      <c r="A11" s="2" t="s">
        <v>9126</v>
      </c>
      <c r="B11" s="3" t="str">
        <f>C11 &amp; " answers " &amp; D11</f>
        <v>cfo-witness-chain answers q2-cfo-who-witnessed-the-witnesses</v>
      </c>
      <c r="C11" s="2" t="s">
        <v>8413</v>
      </c>
      <c r="D11" s="2" t="s">
        <v>2284</v>
      </c>
      <c r="E11" s="2" t="s">
        <v>1862</v>
      </c>
    </row>
    <row r="12">
      <c r="A12" s="2" t="s">
        <v>9127</v>
      </c>
      <c r="B12" s="3" t="str">
        <f>C12 &amp; " answers " &amp; D12</f>
        <v>cfo-witness-chain answers q-cfo-approval-was-actually-verified</v>
      </c>
      <c r="C12" s="2" t="s">
        <v>8413</v>
      </c>
      <c r="D12" s="2" t="s">
        <v>1984</v>
      </c>
      <c r="E12" s="2" t="s">
        <v>1862</v>
      </c>
    </row>
    <row r="13">
      <c r="A13" s="2" t="s">
        <v>9128</v>
      </c>
      <c r="B13" s="3" t="str">
        <f>C13 &amp; " answers " &amp; D13</f>
        <v>cfo-authority-map answers q-cfo-who-actually-held-authority</v>
      </c>
      <c r="C13" s="2" t="s">
        <v>8418</v>
      </c>
      <c r="D13" s="2" t="s">
        <v>1988</v>
      </c>
      <c r="E13" s="2" t="s">
        <v>1862</v>
      </c>
    </row>
    <row r="14">
      <c r="A14" s="2" t="s">
        <v>9129</v>
      </c>
      <c r="B14" s="3" t="str">
        <f>C14 &amp; " answers " &amp; D14</f>
        <v>cfo-my-approvals answers q-cfo-approval-was-actually-verified</v>
      </c>
      <c r="C14" s="2" t="s">
        <v>8423</v>
      </c>
      <c r="D14" s="2" t="s">
        <v>1984</v>
      </c>
      <c r="E14" s="2" t="s">
        <v>1862</v>
      </c>
    </row>
    <row r="15">
      <c r="A15" s="2" t="s">
        <v>9130</v>
      </c>
      <c r="B15" s="3" t="str">
        <f>C15 &amp; " answers " &amp; D15</f>
        <v>cfo-my-approvals answers q2-cfo-who-witnessed-the-witnesses</v>
      </c>
      <c r="C15" s="2" t="s">
        <v>8423</v>
      </c>
      <c r="D15" s="2" t="s">
        <v>2284</v>
      </c>
      <c r="E15" s="2" t="s">
        <v>1862</v>
      </c>
    </row>
    <row r="16">
      <c r="A16" s="2" t="s">
        <v>9131</v>
      </c>
      <c r="B16" s="3" t="str">
        <f>C16 &amp; " answers " &amp; D16</f>
        <v>cfo-signature-dependencies answers q2-cfo-what-changed-since-i-signed</v>
      </c>
      <c r="C16" s="2" t="s">
        <v>8428</v>
      </c>
      <c r="D16" s="2" t="s">
        <v>2292</v>
      </c>
      <c r="E16" s="2" t="s">
        <v>1862</v>
      </c>
    </row>
    <row r="17">
      <c r="A17" s="2" t="s">
        <v>9132</v>
      </c>
      <c r="B17" s="3" t="str">
        <f>C17 &amp; " answers " &amp; D17</f>
        <v>cfo-changed-since-signing answers q2-cfo-what-changed-since-i-signed</v>
      </c>
      <c r="C17" s="2" t="s">
        <v>8433</v>
      </c>
      <c r="D17" s="2" t="s">
        <v>2292</v>
      </c>
      <c r="E17" s="2" t="s">
        <v>1862</v>
      </c>
    </row>
    <row r="18">
      <c r="A18" s="2" t="s">
        <v>9133</v>
      </c>
      <c r="B18" s="3" t="str">
        <f>C18 &amp; " answers " &amp; D18</f>
        <v>cfo-restatement answers q2-cfo-would-it-survive-restatement</v>
      </c>
      <c r="C18" s="2" t="s">
        <v>8438</v>
      </c>
      <c r="D18" s="2" t="s">
        <v>2280</v>
      </c>
      <c r="E18" s="2" t="s">
        <v>1862</v>
      </c>
    </row>
    <row r="19">
      <c r="A19" s="2" t="s">
        <v>9134</v>
      </c>
      <c r="B19" s="3" t="str">
        <f>C19 &amp; " answers " &amp; D19</f>
        <v>cfo-attestation-detail answers q-cfo-can-i-sign</v>
      </c>
      <c r="C19" s="2" t="s">
        <v>8443</v>
      </c>
      <c r="D19" s="2" t="s">
        <v>1976</v>
      </c>
      <c r="E19" s="2" t="s">
        <v>1862</v>
      </c>
    </row>
    <row r="20">
      <c r="A20" s="2" t="s">
        <v>9135</v>
      </c>
      <c r="B20" s="3" t="str">
        <f>C20 &amp; " answers " &amp; D20</f>
        <v>controller-home answers q-controller-blocking-control-inoperative</v>
      </c>
      <c r="C20" s="2" t="s">
        <v>8449</v>
      </c>
      <c r="D20" s="2" t="s">
        <v>1964</v>
      </c>
      <c r="E20" s="2" t="s">
        <v>1862</v>
      </c>
    </row>
    <row r="21">
      <c r="A21" s="2" t="s">
        <v>9136</v>
      </c>
      <c r="B21" s="3" t="str">
        <f>C21 &amp; " answers " &amp; D21</f>
        <v>controller-home answers q2-ctl-witness-never-fired</v>
      </c>
      <c r="C21" s="2" t="s">
        <v>8449</v>
      </c>
      <c r="D21" s="2" t="s">
        <v>2256</v>
      </c>
      <c r="E21" s="2" t="s">
        <v>1862</v>
      </c>
    </row>
    <row r="22">
      <c r="A22" s="2" t="s">
        <v>9137</v>
      </c>
      <c r="B22" s="3" t="str">
        <f>C22 &amp; " answers " &amp; D22</f>
        <v>controller-mute-controls answers q-controller-blocking-control-inoperative</v>
      </c>
      <c r="C22" s="2" t="s">
        <v>8454</v>
      </c>
      <c r="D22" s="2" t="s">
        <v>1964</v>
      </c>
      <c r="E22" s="2" t="s">
        <v>1862</v>
      </c>
    </row>
    <row r="23">
      <c r="A23" s="2" t="s">
        <v>9138</v>
      </c>
      <c r="B23" s="3" t="str">
        <f>C23 &amp; " answers " &amp; D23</f>
        <v>controller-mute-controls answers q2-ctl-witness-never-fired</v>
      </c>
      <c r="C23" s="2" t="s">
        <v>8454</v>
      </c>
      <c r="D23" s="2" t="s">
        <v>2256</v>
      </c>
      <c r="E23" s="2" t="s">
        <v>1862</v>
      </c>
    </row>
    <row r="24">
      <c r="A24" s="2" t="s">
        <v>9139</v>
      </c>
      <c r="B24" s="3" t="str">
        <f>C24 &amp; " answers " &amp; D24</f>
        <v>controller-witness-scope answers q2-ctl-witness-scope-vs-binding</v>
      </c>
      <c r="C24" s="2" t="s">
        <v>8459</v>
      </c>
      <c r="D24" s="2" t="s">
        <v>2260</v>
      </c>
      <c r="E24" s="2" t="s">
        <v>1862</v>
      </c>
    </row>
    <row r="25">
      <c r="A25" s="2" t="s">
        <v>9140</v>
      </c>
      <c r="B25" s="3" t="str">
        <f>C25 &amp; " answers " &amp; D25</f>
        <v>controller-separation answers q-controller-separation-of-duties</v>
      </c>
      <c r="C25" s="2" t="s">
        <v>8464</v>
      </c>
      <c r="D25" s="2" t="s">
        <v>1956</v>
      </c>
      <c r="E25" s="2" t="s">
        <v>1862</v>
      </c>
    </row>
    <row r="26">
      <c r="A26" s="2" t="s">
        <v>9141</v>
      </c>
      <c r="B26" s="3" t="str">
        <f>C26 &amp; " answers " &amp; D26</f>
        <v>controller-separation answers q2-ctl-separation-held-or-untested</v>
      </c>
      <c r="C26" s="2" t="s">
        <v>8464</v>
      </c>
      <c r="D26" s="2" t="s">
        <v>2264</v>
      </c>
      <c r="E26" s="2" t="s">
        <v>1862</v>
      </c>
    </row>
    <row r="27">
      <c r="A27" s="2" t="s">
        <v>9142</v>
      </c>
      <c r="B27" s="3" t="str">
        <f>C27 &amp; " answers " &amp; D27</f>
        <v>controller-conformance answers q-controller-execution-diverged-from-spec</v>
      </c>
      <c r="C27" s="2" t="s">
        <v>8469</v>
      </c>
      <c r="D27" s="2" t="s">
        <v>1968</v>
      </c>
      <c r="E27" s="2" t="s">
        <v>1862</v>
      </c>
    </row>
    <row r="28">
      <c r="A28" s="2" t="s">
        <v>9143</v>
      </c>
      <c r="B28" s="3" t="str">
        <f>C28 &amp; " answers " &amp; D28</f>
        <v>controller-ungoverned-divergence answers q2-ctl-divergence-that-nobody-governed</v>
      </c>
      <c r="C28" s="2" t="s">
        <v>8474</v>
      </c>
      <c r="D28" s="2" t="s">
        <v>2272</v>
      </c>
      <c r="E28" s="2" t="s">
        <v>1862</v>
      </c>
    </row>
    <row r="29">
      <c r="A29" s="2" t="s">
        <v>9144</v>
      </c>
      <c r="B29" s="3" t="str">
        <f>C29 &amp; " answers " &amp; D29</f>
        <v>controller-authority-validity answers q-controller-approval-authority-valid</v>
      </c>
      <c r="C29" s="2" t="s">
        <v>8479</v>
      </c>
      <c r="D29" s="2" t="s">
        <v>1960</v>
      </c>
      <c r="E29" s="2" t="s">
        <v>1862</v>
      </c>
    </row>
    <row r="30">
      <c r="A30" s="2" t="s">
        <v>9145</v>
      </c>
      <c r="B30" s="3" t="str">
        <f>C30 &amp; " answers " &amp; D30</f>
        <v>controller-ai-boundary answers q-controller-ai-agent-approved-meaning</v>
      </c>
      <c r="C30" s="2" t="s">
        <v>8483</v>
      </c>
      <c r="D30" s="2" t="s">
        <v>1972</v>
      </c>
      <c r="E30" s="2" t="s">
        <v>1862</v>
      </c>
    </row>
    <row r="31">
      <c r="A31" s="2" t="s">
        <v>9146</v>
      </c>
      <c r="B31" s="3" t="str">
        <f>C31 &amp; " answers " &amp; D31</f>
        <v>controller-asserted-controls answers q2-ctl-asserted-controls-by-who</v>
      </c>
      <c r="C31" s="2" t="s">
        <v>8487</v>
      </c>
      <c r="D31" s="2" t="s">
        <v>2268</v>
      </c>
      <c r="E31" s="2" t="s">
        <v>1862</v>
      </c>
    </row>
    <row r="32">
      <c r="A32" s="2" t="s">
        <v>9147</v>
      </c>
      <c r="B32" s="3" t="str">
        <f>C32 &amp; " answers " &amp; D32</f>
        <v>controller-control-detail answers q-controller-blocking-control-inoperative</v>
      </c>
      <c r="C32" s="2" t="s">
        <v>8492</v>
      </c>
      <c r="D32" s="2" t="s">
        <v>1964</v>
      </c>
      <c r="E32" s="2" t="s">
        <v>1862</v>
      </c>
    </row>
    <row r="33">
      <c r="A33" s="2" t="s">
        <v>9148</v>
      </c>
      <c r="B33" s="3" t="str">
        <f>C33 &amp; " answers " &amp; D33</f>
        <v>analyst-home answers q-analyst-blocking-unmet-on-my-step</v>
      </c>
      <c r="C33" s="2" t="s">
        <v>8497</v>
      </c>
      <c r="D33" s="2" t="s">
        <v>1935</v>
      </c>
      <c r="E33" s="2" t="s">
        <v>1862</v>
      </c>
    </row>
    <row r="34">
      <c r="A34" s="2" t="s">
        <v>9149</v>
      </c>
      <c r="B34" s="3" t="str">
        <f>C34 &amp; " answers " &amp; D34</f>
        <v>analyst-home answers q2-fa-clean-but-uncovered</v>
      </c>
      <c r="C34" s="2" t="s">
        <v>8497</v>
      </c>
      <c r="D34" s="2" t="s">
        <v>2248</v>
      </c>
      <c r="E34" s="2" t="s">
        <v>1862</v>
      </c>
    </row>
    <row r="35">
      <c r="A35" s="2" t="s">
        <v>9150</v>
      </c>
      <c r="B35" s="3" t="str">
        <f>C35 &amp; " answers " &amp; D35</f>
        <v>analyst-blocking-unmet answers q-analyst-blocking-unmet-on-my-step</v>
      </c>
      <c r="C35" s="2" t="s">
        <v>8502</v>
      </c>
      <c r="D35" s="2" t="s">
        <v>1935</v>
      </c>
      <c r="E35" s="2" t="s">
        <v>1862</v>
      </c>
    </row>
    <row r="36">
      <c r="A36" s="2" t="s">
        <v>9151</v>
      </c>
      <c r="B36" s="3" t="str">
        <f>C36 &amp; " answers " &amp; D36</f>
        <v>analyst-never-evaluated answers q-analyst-blocking-never-evaluated</v>
      </c>
      <c r="C36" s="2" t="s">
        <v>8507</v>
      </c>
      <c r="D36" s="2" t="s">
        <v>1940</v>
      </c>
      <c r="E36" s="2" t="s">
        <v>1862</v>
      </c>
    </row>
    <row r="37">
      <c r="A37" s="2" t="s">
        <v>9152</v>
      </c>
      <c r="B37" s="3" t="str">
        <f>C37 &amp; " answers " &amp; D37</f>
        <v>analyst-late-steps answers q-analyst-my-late-steps-unexplained</v>
      </c>
      <c r="C37" s="2" t="s">
        <v>8512</v>
      </c>
      <c r="D37" s="2" t="s">
        <v>1948</v>
      </c>
      <c r="E37" s="2" t="s">
        <v>1862</v>
      </c>
    </row>
    <row r="38">
      <c r="A38" s="2" t="s">
        <v>9153</v>
      </c>
      <c r="B38" s="3" t="str">
        <f>C38 &amp; " answers " &amp; D38</f>
        <v>analyst-verification-performed answers q-analyst-verification-declared-never-performed</v>
      </c>
      <c r="C38" s="2" t="s">
        <v>8517</v>
      </c>
      <c r="D38" s="2" t="s">
        <v>1952</v>
      </c>
      <c r="E38" s="2" t="s">
        <v>1862</v>
      </c>
    </row>
    <row r="39">
      <c r="A39" s="2" t="s">
        <v>9154</v>
      </c>
      <c r="B39" s="3" t="str">
        <f>C39 &amp; " answers " &amp; D39</f>
        <v>analyst-evidence-quality answers q2-fa-my-own-evidence-quality</v>
      </c>
      <c r="C39" s="2" t="s">
        <v>8521</v>
      </c>
      <c r="D39" s="2" t="s">
        <v>2252</v>
      </c>
      <c r="E39" s="2" t="s">
        <v>1862</v>
      </c>
    </row>
    <row r="40">
      <c r="A40" s="2" t="s">
        <v>9155</v>
      </c>
      <c r="B40" s="3" t="str">
        <f>C40 &amp; " answers " &amp; D40</f>
        <v>analyst-source-freshness answers q-analyst-evidence-binding-stale</v>
      </c>
      <c r="C40" s="2" t="s">
        <v>8526</v>
      </c>
      <c r="D40" s="2" t="s">
        <v>1944</v>
      </c>
      <c r="E40" s="2" t="s">
        <v>1862</v>
      </c>
    </row>
    <row r="41">
      <c r="A41" s="2" t="s">
        <v>9156</v>
      </c>
      <c r="B41" s="3" t="str">
        <f>C41 &amp; " answers " &amp; D41</f>
        <v>analyst-stale-then-vs-now answers q2-fa-stale-then-vs-stale-now</v>
      </c>
      <c r="C41" s="2" t="s">
        <v>8530</v>
      </c>
      <c r="D41" s="2" t="s">
        <v>2240</v>
      </c>
      <c r="E41" s="2" t="s">
        <v>1862</v>
      </c>
    </row>
    <row r="42">
      <c r="A42" s="2" t="s">
        <v>9157</v>
      </c>
      <c r="B42" s="3" t="str">
        <f>C42 &amp; " answers " &amp; D42</f>
        <v>analyst-clean-but-uncovered answers q2-fa-clean-but-uncovered</v>
      </c>
      <c r="C42" s="2" t="s">
        <v>8535</v>
      </c>
      <c r="D42" s="2" t="s">
        <v>2248</v>
      </c>
      <c r="E42" s="2" t="s">
        <v>1862</v>
      </c>
    </row>
    <row r="43">
      <c r="A43" s="2" t="s">
        <v>9158</v>
      </c>
      <c r="B43" s="3" t="str">
        <f>C43 &amp; " answers " &amp; D43</f>
        <v>analyst-mute-clearance answers q2-fa-cleared-by-mute-control</v>
      </c>
      <c r="C43" s="2" t="s">
        <v>8540</v>
      </c>
      <c r="D43" s="2" t="s">
        <v>2236</v>
      </c>
      <c r="E43" s="2" t="s">
        <v>1862</v>
      </c>
    </row>
    <row r="44">
      <c r="A44" s="2" t="s">
        <v>9159</v>
      </c>
      <c r="B44" s="3" t="str">
        <f>C44 &amp; " answers " &amp; D44</f>
        <v>analyst-witness-coverage answers q2-fa-witness-coverage-of-my-steps</v>
      </c>
      <c r="C44" s="2" t="s">
        <v>8545</v>
      </c>
      <c r="D44" s="2" t="s">
        <v>2244</v>
      </c>
      <c r="E44" s="2" t="s">
        <v>1862</v>
      </c>
    </row>
    <row r="45">
      <c r="A45" s="2" t="s">
        <v>9160</v>
      </c>
      <c r="B45" s="3" t="str">
        <f>C45 &amp; " answers " &amp; D45</f>
        <v>hr-home answers q-hr-unapproved-knowledge-in-my-name</v>
      </c>
      <c r="C45" s="2" t="s">
        <v>8550</v>
      </c>
      <c r="D45" s="2" t="s">
        <v>2124</v>
      </c>
      <c r="E45" s="2" t="s">
        <v>1862</v>
      </c>
    </row>
    <row r="46">
      <c r="A46" s="2" t="s">
        <v>9161</v>
      </c>
      <c r="B46" s="3" t="str">
        <f>C46 &amp; " answers " &amp; D46</f>
        <v>hr-home answers q-hr-authority-without-review</v>
      </c>
      <c r="C46" s="2" t="s">
        <v>8550</v>
      </c>
      <c r="D46" s="2" t="s">
        <v>2116</v>
      </c>
      <c r="E46" s="2" t="s">
        <v>1862</v>
      </c>
    </row>
    <row r="47">
      <c r="A47" s="2" t="s">
        <v>9162</v>
      </c>
      <c r="B47" s="3" t="str">
        <f>C47 &amp; " answers " &amp; D47</f>
        <v>hr-unapproved-claims answers q-hr-unapproved-knowledge-in-my-name</v>
      </c>
      <c r="C47" s="2" t="s">
        <v>8555</v>
      </c>
      <c r="D47" s="2" t="s">
        <v>2124</v>
      </c>
      <c r="E47" s="2" t="s">
        <v>1862</v>
      </c>
    </row>
    <row r="48">
      <c r="A48" s="2" t="s">
        <v>9163</v>
      </c>
      <c r="B48" s="3" t="str">
        <f>C48 &amp; " answers " &amp; D48</f>
        <v>hr-load-bearing-claim answers q2-hr-my-unapproved-claim-is-load-bearing</v>
      </c>
      <c r="C48" s="2" t="s">
        <v>8560</v>
      </c>
      <c r="D48" s="2" t="s">
        <v>2204</v>
      </c>
      <c r="E48" s="2" t="s">
        <v>1862</v>
      </c>
    </row>
    <row r="49">
      <c r="A49" s="2" t="s">
        <v>9164</v>
      </c>
      <c r="B49" s="3" t="str">
        <f>C49 &amp; " answers " &amp; D49</f>
        <v>hr-backlog answers q-hr-authority-without-review</v>
      </c>
      <c r="C49" s="2" t="s">
        <v>8565</v>
      </c>
      <c r="D49" s="2" t="s">
        <v>2116</v>
      </c>
      <c r="E49" s="2" t="s">
        <v>1862</v>
      </c>
    </row>
    <row r="50">
      <c r="A50" s="2" t="s">
        <v>9165</v>
      </c>
      <c r="B50" s="3" t="str">
        <f>C50 &amp; " answers " &amp; D50</f>
        <v>hr-backlog-downstream answers q2-hr-my-backlog-is-someone-elses-block</v>
      </c>
      <c r="C50" s="2" t="s">
        <v>8570</v>
      </c>
      <c r="D50" s="2" t="s">
        <v>2196</v>
      </c>
      <c r="E50" s="2" t="s">
        <v>1862</v>
      </c>
    </row>
    <row r="51">
      <c r="A51" s="2" t="s">
        <v>9166</v>
      </c>
      <c r="B51" s="3" t="str">
        <f>C51 &amp; " answers " &amp; D51</f>
        <v>hr-my-decisions answers q2-hr-my-approvals-never-read-as-done</v>
      </c>
      <c r="C51" s="2" t="s">
        <v>8575</v>
      </c>
      <c r="D51" s="2" t="s">
        <v>2208</v>
      </c>
      <c r="E51" s="2" t="s">
        <v>1862</v>
      </c>
    </row>
    <row r="52">
      <c r="A52" s="2" t="s">
        <v>9167</v>
      </c>
      <c r="B52" s="3" t="str">
        <f>C52 &amp; " answers " &amp; D52</f>
        <v>hr-ai-boundary answers q-hr-ai-authored-commitments</v>
      </c>
      <c r="C52" s="2" t="s">
        <v>8580</v>
      </c>
      <c r="D52" s="2" t="s">
        <v>2120</v>
      </c>
      <c r="E52" s="2" t="s">
        <v>1862</v>
      </c>
    </row>
    <row r="53">
      <c r="A53" s="2" t="s">
        <v>9168</v>
      </c>
      <c r="B53" s="3" t="str">
        <f>C53 &amp; " answers " &amp; D53</f>
        <v>hr-ai-boundary answers q2-hr-ai-boundary-holds-only-where-tested</v>
      </c>
      <c r="C53" s="2" t="s">
        <v>8580</v>
      </c>
      <c r="D53" s="2" t="s">
        <v>2200</v>
      </c>
      <c r="E53" s="2" t="s">
        <v>1862</v>
      </c>
    </row>
    <row r="54">
      <c r="A54" s="2" t="s">
        <v>9169</v>
      </c>
      <c r="B54" s="3" t="str">
        <f>C54 &amp; " answers " &amp; D54</f>
        <v>hr-knowledge-half-life answers q-hr-policy-knowledge-half-life</v>
      </c>
      <c r="C54" s="2" t="s">
        <v>8585</v>
      </c>
      <c r="D54" s="2" t="s">
        <v>2132</v>
      </c>
      <c r="E54" s="2" t="s">
        <v>1862</v>
      </c>
    </row>
    <row r="55">
      <c r="A55" s="2" t="s">
        <v>9170</v>
      </c>
      <c r="B55" s="3" t="str">
        <f>C55 &amp; " answers " &amp; D55</f>
        <v>hr-departed-holders answers q2-hr-departed-holder-left-claims-behind</v>
      </c>
      <c r="C55" s="2" t="s">
        <v>8590</v>
      </c>
      <c r="D55" s="2" t="s">
        <v>2212</v>
      </c>
      <c r="E55" s="2" t="s">
        <v>1862</v>
      </c>
    </row>
    <row r="56">
      <c r="A56" s="2" t="s">
        <v>9171</v>
      </c>
      <c r="B56" s="3" t="str">
        <f>C56 &amp; " answers " &amp; D56</f>
        <v>hr-what-was-sent answers q-hr-what-was-actually-sent</v>
      </c>
      <c r="C56" s="2" t="s">
        <v>8595</v>
      </c>
      <c r="D56" s="2" t="s">
        <v>2128</v>
      </c>
      <c r="E56" s="2" t="s">
        <v>1862</v>
      </c>
    </row>
    <row r="57">
      <c r="A57" s="2" t="s">
        <v>9172</v>
      </c>
      <c r="B57" s="3" t="str">
        <f>C57 &amp; " answers " &amp; D57</f>
        <v>counsel-home answers q-counsel-sms-without-consent</v>
      </c>
      <c r="C57" s="2" t="s">
        <v>8600</v>
      </c>
      <c r="D57" s="2" t="s">
        <v>2036</v>
      </c>
      <c r="E57" s="2" t="s">
        <v>1862</v>
      </c>
    </row>
    <row r="58">
      <c r="A58" s="2" t="s">
        <v>9173</v>
      </c>
      <c r="B58" s="3" t="str">
        <f>C58 &amp; " answers " &amp; D58</f>
        <v>counsel-home answers q-counsel-quiet-hours-breach</v>
      </c>
      <c r="C58" s="2" t="s">
        <v>8600</v>
      </c>
      <c r="D58" s="2" t="s">
        <v>2040</v>
      </c>
      <c r="E58" s="2" t="s">
        <v>1862</v>
      </c>
    </row>
    <row r="59">
      <c r="A59" s="2" t="s">
        <v>9174</v>
      </c>
      <c r="B59" s="3" t="str">
        <f>C59 &amp; " answers " &amp; D59</f>
        <v>counsel-home answers q-counsel-legal-review-gated-send</v>
      </c>
      <c r="C59" s="2" t="s">
        <v>8600</v>
      </c>
      <c r="D59" s="2" t="s">
        <v>2052</v>
      </c>
      <c r="E59" s="2" t="s">
        <v>1862</v>
      </c>
    </row>
    <row r="60">
      <c r="A60" s="2" t="s">
        <v>9175</v>
      </c>
      <c r="B60" s="3" t="str">
        <f>C60 &amp; " answers " &amp; D60</f>
        <v>counsel-home answers q-counsel-retention-evidence</v>
      </c>
      <c r="C60" s="2" t="s">
        <v>8600</v>
      </c>
      <c r="D60" s="2" t="s">
        <v>2048</v>
      </c>
      <c r="E60" s="2" t="s">
        <v>1862</v>
      </c>
    </row>
    <row r="61">
      <c r="A61" s="2" t="s">
        <v>9176</v>
      </c>
      <c r="B61" s="3" t="str">
        <f>C61 &amp; " answers " &amp; D61</f>
        <v>counsel-consent answers q-counsel-sms-without-consent</v>
      </c>
      <c r="C61" s="2" t="s">
        <v>8605</v>
      </c>
      <c r="D61" s="2" t="s">
        <v>2036</v>
      </c>
      <c r="E61" s="2" t="s">
        <v>1862</v>
      </c>
    </row>
    <row r="62">
      <c r="A62" s="2" t="s">
        <v>9177</v>
      </c>
      <c r="B62" s="3" t="str">
        <f>C62 &amp; " answers " &amp; D62</f>
        <v>counsel-quiet-hours answers q-counsel-quiet-hours-breach</v>
      </c>
      <c r="C62" s="2" t="s">
        <v>8609</v>
      </c>
      <c r="D62" s="2" t="s">
        <v>2040</v>
      </c>
      <c r="E62" s="2" t="s">
        <v>1862</v>
      </c>
    </row>
    <row r="63">
      <c r="A63" s="2" t="s">
        <v>9178</v>
      </c>
      <c r="B63" s="3" t="str">
        <f>C63 &amp; " answers " &amp; D63</f>
        <v>counsel-legal-review answers q-counsel-legal-review-gated-send</v>
      </c>
      <c r="C63" s="2" t="s">
        <v>8613</v>
      </c>
      <c r="D63" s="2" t="s">
        <v>2052</v>
      </c>
      <c r="E63" s="2" t="s">
        <v>1862</v>
      </c>
    </row>
    <row r="64">
      <c r="A64" s="2" t="s">
        <v>9179</v>
      </c>
      <c r="B64" s="3" t="str">
        <f>C64 &amp; " answers " &amp; D64</f>
        <v>counsel-retention answers q-counsel-retention-evidence</v>
      </c>
      <c r="C64" s="2" t="s">
        <v>8617</v>
      </c>
      <c r="D64" s="2" t="s">
        <v>2048</v>
      </c>
      <c r="E64" s="2" t="s">
        <v>1862</v>
      </c>
    </row>
    <row r="65">
      <c r="A65" s="2" t="s">
        <v>9180</v>
      </c>
      <c r="B65" s="3" t="str">
        <f>C65 &amp; " answers " &amp; D65</f>
        <v>counsel-unreachable answers q-counsel-unreachable-not-acknowledged</v>
      </c>
      <c r="C65" s="2" t="s">
        <v>8621</v>
      </c>
      <c r="D65" s="2" t="s">
        <v>2044</v>
      </c>
      <c r="E65" s="2" t="s">
        <v>1862</v>
      </c>
    </row>
    <row r="66">
      <c r="A66" s="2" t="s">
        <v>9181</v>
      </c>
      <c r="B66" s="3" t="str">
        <f>C66 &amp; " answers " &amp; D66</f>
        <v>comms-home answers q-comms-deliverability</v>
      </c>
      <c r="C66" s="2" t="s">
        <v>8625</v>
      </c>
      <c r="D66" s="2" t="s">
        <v>2068</v>
      </c>
      <c r="E66" s="2" t="s">
        <v>1862</v>
      </c>
    </row>
    <row r="67">
      <c r="A67" s="2" t="s">
        <v>9182</v>
      </c>
      <c r="B67" s="3" t="str">
        <f>C67 &amp; " answers " &amp; D67</f>
        <v>comms-home answers q2-comms-approval-to-delivery-yield</v>
      </c>
      <c r="C67" s="2" t="s">
        <v>8625</v>
      </c>
      <c r="D67" s="2" t="s">
        <v>2296</v>
      </c>
      <c r="E67" s="2" t="s">
        <v>1862</v>
      </c>
    </row>
    <row r="68">
      <c r="A68" s="2" t="s">
        <v>9183</v>
      </c>
      <c r="B68" s="3" t="str">
        <f>C68 &amp; " answers " &amp; D68</f>
        <v>comms-yield answers q2-comms-approval-to-delivery-yield</v>
      </c>
      <c r="C68" s="2" t="s">
        <v>8630</v>
      </c>
      <c r="D68" s="2" t="s">
        <v>2296</v>
      </c>
      <c r="E68" s="2" t="s">
        <v>1862</v>
      </c>
    </row>
    <row r="69">
      <c r="A69" s="2" t="s">
        <v>9184</v>
      </c>
      <c r="B69" s="3" t="str">
        <f>C69 &amp; " answers " &amp; D69</f>
        <v>comms-yield answers q-comms-deliverability</v>
      </c>
      <c r="C69" s="2" t="s">
        <v>8630</v>
      </c>
      <c r="D69" s="2" t="s">
        <v>2068</v>
      </c>
      <c r="E69" s="2" t="s">
        <v>1862</v>
      </c>
    </row>
    <row r="70">
      <c r="A70" s="2" t="s">
        <v>9185</v>
      </c>
      <c r="B70" s="3" t="str">
        <f>C70 &amp; " answers " &amp; D70</f>
        <v>comms-failed-deliveries answers q-comms-deliverability</v>
      </c>
      <c r="C70" s="2" t="s">
        <v>8635</v>
      </c>
      <c r="D70" s="2" t="s">
        <v>2068</v>
      </c>
      <c r="E70" s="2" t="s">
        <v>1862</v>
      </c>
    </row>
    <row r="71">
      <c r="A71" s="2" t="s">
        <v>9186</v>
      </c>
      <c r="B71" s="3" t="str">
        <f>C71 &amp; " answers " &amp; D71</f>
        <v>comms-approval-authority answers q-comms-approval-authority</v>
      </c>
      <c r="C71" s="2" t="s">
        <v>8640</v>
      </c>
      <c r="D71" s="2" t="s">
        <v>2060</v>
      </c>
      <c r="E71" s="2" t="s">
        <v>1862</v>
      </c>
    </row>
    <row r="72">
      <c r="A72" s="2" t="s">
        <v>9187</v>
      </c>
      <c r="B72" s="3" t="str">
        <f>C72 &amp; " answers " &amp; D72</f>
        <v>comms-template-drift answers q-comms-template-drift</v>
      </c>
      <c r="C72" s="2" t="s">
        <v>8645</v>
      </c>
      <c r="D72" s="2" t="s">
        <v>2072</v>
      </c>
      <c r="E72" s="2" t="s">
        <v>1862</v>
      </c>
    </row>
    <row r="73">
      <c r="A73" s="2" t="s">
        <v>9188</v>
      </c>
      <c r="B73" s="3" t="str">
        <f>C73 &amp; " answers " &amp; D73</f>
        <v>comms-frozen-approval answers q2-comms-freeze-what-i-approved</v>
      </c>
      <c r="C73" s="2" t="s">
        <v>8649</v>
      </c>
      <c r="D73" s="2" t="s">
        <v>2308</v>
      </c>
      <c r="E73" s="2" t="s">
        <v>1862</v>
      </c>
    </row>
    <row r="74">
      <c r="A74" s="2" t="s">
        <v>9189</v>
      </c>
      <c r="B74" s="3" t="str">
        <f>C74 &amp; " answers " &amp; D74</f>
        <v>comms-optout answers q-comms-optout-present</v>
      </c>
      <c r="C74" s="2" t="s">
        <v>8654</v>
      </c>
      <c r="D74" s="2" t="s">
        <v>2064</v>
      </c>
      <c r="E74" s="2" t="s">
        <v>1862</v>
      </c>
    </row>
    <row r="75">
      <c r="A75" s="2" t="s">
        <v>9190</v>
      </c>
      <c r="B75" s="3" t="str">
        <f>C75 &amp; " answers " &amp; D75</f>
        <v>comms-sms-limits answers q-comms-oversized-sms</v>
      </c>
      <c r="C75" s="2" t="s">
        <v>8658</v>
      </c>
      <c r="D75" s="2" t="s">
        <v>2056</v>
      </c>
      <c r="E75" s="2" t="s">
        <v>1862</v>
      </c>
    </row>
    <row r="76">
      <c r="A76" s="2" t="s">
        <v>9191</v>
      </c>
      <c r="B76" s="3" t="str">
        <f>C76 &amp; " answers " &amp; D76</f>
        <v>comms-engagement answers q2-comms-message-nobody-answered</v>
      </c>
      <c r="C76" s="2" t="s">
        <v>8662</v>
      </c>
      <c r="D76" s="2" t="s">
        <v>2300</v>
      </c>
      <c r="E76" s="2" t="s">
        <v>1862</v>
      </c>
    </row>
    <row r="77">
      <c r="A77" s="2" t="s">
        <v>9192</v>
      </c>
      <c r="B77" s="3" t="str">
        <f>C77 &amp; " answers " &amp; D77</f>
        <v>comms-suppression answers q2-comms-suppression-is-a-communication</v>
      </c>
      <c r="C77" s="2" t="s">
        <v>8667</v>
      </c>
      <c r="D77" s="2" t="s">
        <v>2312</v>
      </c>
      <c r="E77" s="2" t="s">
        <v>1862</v>
      </c>
    </row>
    <row r="78">
      <c r="A78" s="2" t="s">
        <v>9193</v>
      </c>
      <c r="B78" s="3" t="str">
        <f>C78 &amp; " answers " &amp; D78</f>
        <v>comms-authorization-override answers q2-comms-my-approval-was-consumed-correctly</v>
      </c>
      <c r="C78" s="2" t="s">
        <v>8672</v>
      </c>
      <c r="D78" s="2" t="s">
        <v>2304</v>
      </c>
      <c r="E78" s="2" t="s">
        <v>1862</v>
      </c>
    </row>
    <row r="79">
      <c r="A79" s="2" t="s">
        <v>9194</v>
      </c>
      <c r="B79" s="3" t="str">
        <f>C79 &amp; " answers " &amp; D79</f>
        <v>close-auto-home answers q-close-auto-authority-current</v>
      </c>
      <c r="C79" s="2" t="s">
        <v>8677</v>
      </c>
      <c r="D79" s="2" t="s">
        <v>2096</v>
      </c>
      <c r="E79" s="2" t="s">
        <v>1862</v>
      </c>
    </row>
    <row r="80">
      <c r="A80" s="2" t="s">
        <v>9195</v>
      </c>
      <c r="B80" s="3" t="str">
        <f>C80 &amp; " answers " &amp; D80</f>
        <v>close-auto-home answers q-close-auto-input-freshness</v>
      </c>
      <c r="C80" s="2" t="s">
        <v>8677</v>
      </c>
      <c r="D80" s="2" t="s">
        <v>2100</v>
      </c>
      <c r="E80" s="2" t="s">
        <v>1862</v>
      </c>
    </row>
    <row r="81">
      <c r="A81" s="2" t="s">
        <v>9196</v>
      </c>
      <c r="B81" s="3" t="str">
        <f>C81 &amp; " answers " &amp; D81</f>
        <v>close-auto-home answers q-close-auto-last-run-clean</v>
      </c>
      <c r="C81" s="2" t="s">
        <v>8677</v>
      </c>
      <c r="D81" s="2" t="s">
        <v>2104</v>
      </c>
      <c r="E81" s="2" t="s">
        <v>1862</v>
      </c>
    </row>
    <row r="82">
      <c r="A82" s="2" t="s">
        <v>9197</v>
      </c>
      <c r="B82" s="3" t="str">
        <f>C82 &amp; " answers " &amp; D82</f>
        <v>close-auto-home answers q-close-auto-blocking-requirements-evaluated</v>
      </c>
      <c r="C82" s="2" t="s">
        <v>8677</v>
      </c>
      <c r="D82" s="2" t="s">
        <v>2108</v>
      </c>
      <c r="E82" s="2" t="s">
        <v>1862</v>
      </c>
    </row>
    <row r="83">
      <c r="A83" s="2" t="s">
        <v>9198</v>
      </c>
      <c r="B83" s="3" t="str">
        <f>C83 &amp; " answers " &amp; D83</f>
        <v>close-auto-authority answers q-close-auto-authority-current</v>
      </c>
      <c r="C83" s="2" t="s">
        <v>8682</v>
      </c>
      <c r="D83" s="2" t="s">
        <v>2096</v>
      </c>
      <c r="E83" s="2" t="s">
        <v>1862</v>
      </c>
    </row>
    <row r="84">
      <c r="A84" s="2" t="s">
        <v>9199</v>
      </c>
      <c r="B84" s="3" t="str">
        <f>C84 &amp; " answers " &amp; D84</f>
        <v>close-auto-inputs answers q-close-auto-input-freshness</v>
      </c>
      <c r="C84" s="2" t="s">
        <v>8687</v>
      </c>
      <c r="D84" s="2" t="s">
        <v>2100</v>
      </c>
      <c r="E84" s="2" t="s">
        <v>1862</v>
      </c>
    </row>
    <row r="85">
      <c r="A85" s="2" t="s">
        <v>9200</v>
      </c>
      <c r="B85" s="3" t="str">
        <f>C85 &amp; " answers " &amp; D85</f>
        <v>close-auto-controls answers q-close-auto-blocking-requirements-evaluated</v>
      </c>
      <c r="C85" s="2" t="s">
        <v>8692</v>
      </c>
      <c r="D85" s="2" t="s">
        <v>2108</v>
      </c>
      <c r="E85" s="2" t="s">
        <v>1862</v>
      </c>
    </row>
    <row r="86">
      <c r="A86" s="2" t="s">
        <v>9201</v>
      </c>
      <c r="B86" s="3" t="str">
        <f>C86 &amp; " answers " &amp; D86</f>
        <v>close-auto-last-run answers q-close-auto-last-run-clean</v>
      </c>
      <c r="C86" s="2" t="s">
        <v>8697</v>
      </c>
      <c r="D86" s="2" t="s">
        <v>2104</v>
      </c>
      <c r="E86" s="2" t="s">
        <v>1862</v>
      </c>
    </row>
    <row r="87">
      <c r="A87" s="2" t="s">
        <v>9202</v>
      </c>
      <c r="B87" s="3" t="str">
        <f>C87 &amp; " answers " &amp; D87</f>
        <v>close-auto-drift answers q-close-auto-human-override-drift</v>
      </c>
      <c r="C87" s="2" t="s">
        <v>8701</v>
      </c>
      <c r="D87" s="2" t="s">
        <v>2112</v>
      </c>
      <c r="E87" s="2" t="s">
        <v>1862</v>
      </c>
    </row>
    <row r="88">
      <c r="A88" s="2" t="s">
        <v>9203</v>
      </c>
      <c r="B88" s="3" t="str">
        <f>C88 &amp; " answers " &amp; D88</f>
        <v>variance-home answers q-variance-ai-authority-provenance</v>
      </c>
      <c r="C88" s="2" t="s">
        <v>8706</v>
      </c>
      <c r="D88" s="2" t="s">
        <v>2136</v>
      </c>
      <c r="E88" s="2" t="s">
        <v>1862</v>
      </c>
    </row>
    <row r="89">
      <c r="A89" s="2" t="s">
        <v>9204</v>
      </c>
      <c r="B89" s="3" t="str">
        <f>C89 &amp; " answers " &amp; D89</f>
        <v>variance-home answers q-variance-ai-boundary-compliance</v>
      </c>
      <c r="C89" s="2" t="s">
        <v>8706</v>
      </c>
      <c r="D89" s="2" t="s">
        <v>2144</v>
      </c>
      <c r="E89" s="2" t="s">
        <v>1862</v>
      </c>
    </row>
    <row r="90">
      <c r="A90" s="2" t="s">
        <v>9205</v>
      </c>
      <c r="B90" s="3" t="str">
        <f>C90 &amp; " answers " &amp; D90</f>
        <v>variance-home answers q-variance-ai-knowledge-currency</v>
      </c>
      <c r="C90" s="2" t="s">
        <v>8706</v>
      </c>
      <c r="D90" s="2" t="s">
        <v>2152</v>
      </c>
      <c r="E90" s="2" t="s">
        <v>1862</v>
      </c>
    </row>
    <row r="91">
      <c r="A91" s="2" t="s">
        <v>9206</v>
      </c>
      <c r="B91" s="3" t="str">
        <f>C91 &amp; " answers " &amp; D91</f>
        <v>variance-authority answers q-variance-ai-authority-provenance</v>
      </c>
      <c r="C91" s="2" t="s">
        <v>8711</v>
      </c>
      <c r="D91" s="2" t="s">
        <v>2136</v>
      </c>
      <c r="E91" s="2" t="s">
        <v>1862</v>
      </c>
    </row>
    <row r="92">
      <c r="A92" s="2" t="s">
        <v>9207</v>
      </c>
      <c r="B92" s="3" t="str">
        <f>C92 &amp; " answers " &amp; D92</f>
        <v>variance-authority answers q2-variance-handover-was-a-decision-somebody-made</v>
      </c>
      <c r="C92" s="2" t="s">
        <v>8711</v>
      </c>
      <c r="D92" s="2" t="s">
        <v>2328</v>
      </c>
      <c r="E92" s="2" t="s">
        <v>1862</v>
      </c>
    </row>
    <row r="93">
      <c r="A93" s="2" t="s">
        <v>9208</v>
      </c>
      <c r="B93" s="3" t="str">
        <f>C93 &amp; " answers " &amp; D93</f>
        <v>variance-handover answers q2-variance-handover-was-a-decision-somebody-made</v>
      </c>
      <c r="C93" s="2" t="s">
        <v>8715</v>
      </c>
      <c r="D93" s="2" t="s">
        <v>2328</v>
      </c>
      <c r="E93" s="2" t="s">
        <v>1862</v>
      </c>
    </row>
    <row r="94">
      <c r="A94" s="2" t="s">
        <v>9209</v>
      </c>
      <c r="B94" s="3" t="str">
        <f>C94 &amp; " answers " &amp; D94</f>
        <v>variance-boundary answers q-variance-ai-boundary-compliance</v>
      </c>
      <c r="C94" s="2" t="s">
        <v>8720</v>
      </c>
      <c r="D94" s="2" t="s">
        <v>2144</v>
      </c>
      <c r="E94" s="2" t="s">
        <v>1862</v>
      </c>
    </row>
    <row r="95">
      <c r="A95" s="2" t="s">
        <v>9210</v>
      </c>
      <c r="B95" s="3" t="str">
        <f>C95 &amp; " answers " &amp; D95</f>
        <v>variance-boundary-ratification answers q2-variance-boundary-rests-on-expired-knowledge</v>
      </c>
      <c r="C95" s="2" t="s">
        <v>8725</v>
      </c>
      <c r="D95" s="2" t="s">
        <v>2320</v>
      </c>
      <c r="E95" s="2" t="s">
        <v>1862</v>
      </c>
    </row>
    <row r="96">
      <c r="A96" s="2" t="s">
        <v>9211</v>
      </c>
      <c r="B96" s="3" t="str">
        <f>C96 &amp; " answers " &amp; D96</f>
        <v>variance-human-confirmation answers q-variance-ai-human-confirmation-present</v>
      </c>
      <c r="C96" s="2" t="s">
        <v>8730</v>
      </c>
      <c r="D96" s="2" t="s">
        <v>2148</v>
      </c>
      <c r="E96" s="2" t="s">
        <v>1862</v>
      </c>
    </row>
    <row r="97">
      <c r="A97" s="2" t="s">
        <v>9212</v>
      </c>
      <c r="B97" s="3" t="str">
        <f>C97 &amp; " answers " &amp; D97</f>
        <v>variance-knowledge-currency answers q-variance-ai-knowledge-currency</v>
      </c>
      <c r="C97" s="2" t="s">
        <v>8735</v>
      </c>
      <c r="D97" s="2" t="s">
        <v>2152</v>
      </c>
      <c r="E97" s="2" t="s">
        <v>1862</v>
      </c>
    </row>
    <row r="98">
      <c r="A98" s="2" t="s">
        <v>9213</v>
      </c>
      <c r="B98" s="3" t="str">
        <f>C98 &amp; " answers " &amp; D98</f>
        <v>variance-quality-baseline answers q-variance-ai-quality-vs-human-baseline</v>
      </c>
      <c r="C98" s="2" t="s">
        <v>8740</v>
      </c>
      <c r="D98" s="2" t="s">
        <v>2140</v>
      </c>
      <c r="E98" s="2" t="s">
        <v>1862</v>
      </c>
    </row>
    <row r="99">
      <c r="A99" s="2" t="s">
        <v>9214</v>
      </c>
      <c r="B99" s="3" t="str">
        <f>C99 &amp; " answers " &amp; D99</f>
        <v>variance-quality-baseline answers q2-variance-comparison-is-statistically-empty</v>
      </c>
      <c r="C99" s="2" t="s">
        <v>8740</v>
      </c>
      <c r="D99" s="2" t="s">
        <v>2316</v>
      </c>
      <c r="E99" s="2" t="s">
        <v>1862</v>
      </c>
    </row>
    <row r="100">
      <c r="A100" s="2" t="s">
        <v>9215</v>
      </c>
      <c r="B100" s="3" t="str">
        <f>C100 &amp; " answers " &amp; D100</f>
        <v>variance-sample-size answers q2-variance-comparison-is-statistically-empty</v>
      </c>
      <c r="C100" s="2" t="s">
        <v>8745</v>
      </c>
      <c r="D100" s="2" t="s">
        <v>2316</v>
      </c>
      <c r="E100" s="2" t="s">
        <v>1862</v>
      </c>
    </row>
    <row r="101">
      <c r="A101" s="2" t="s">
        <v>9216</v>
      </c>
      <c r="B101" s="3" t="str">
        <f>C101 &amp; " answers " &amp; D101</f>
        <v>variance-override-signal answers q2-variance-override-signal-vs-noise</v>
      </c>
      <c r="C101" s="2" t="s">
        <v>8750</v>
      </c>
      <c r="D101" s="2" t="s">
        <v>2324</v>
      </c>
      <c r="E101" s="2" t="s">
        <v>1862</v>
      </c>
    </row>
    <row r="102">
      <c r="A102" s="2" t="s">
        <v>9217</v>
      </c>
      <c r="B102" s="3" t="str">
        <f>C102 &amp; " answers " &amp; D102</f>
        <v>variance-stop-condition answers q2-variance-what-would-make-me-stop</v>
      </c>
      <c r="C102" s="2" t="s">
        <v>8755</v>
      </c>
      <c r="D102" s="2" t="s">
        <v>2332</v>
      </c>
      <c r="E102" s="2" t="s">
        <v>1862</v>
      </c>
    </row>
    <row r="103">
      <c r="A103" s="2" t="s">
        <v>9218</v>
      </c>
      <c r="B103" s="3" t="str">
        <f>C103 &amp; " answers " &amp; D103</f>
        <v>policy-agent-home answers q-policy-ai-source-approval</v>
      </c>
      <c r="C103" s="2" t="s">
        <v>8760</v>
      </c>
      <c r="D103" s="2" t="s">
        <v>2160</v>
      </c>
      <c r="E103" s="2" t="s">
        <v>1862</v>
      </c>
    </row>
    <row r="104">
      <c r="A104" s="2" t="s">
        <v>9219</v>
      </c>
      <c r="B104" s="3" t="str">
        <f>C104 &amp; " answers " &amp; D104</f>
        <v>policy-agent-home answers q-policy-ai-no-role-assignment</v>
      </c>
      <c r="C104" s="2" t="s">
        <v>8760</v>
      </c>
      <c r="D104" s="2" t="s">
        <v>2156</v>
      </c>
      <c r="E104" s="2" t="s">
        <v>1862</v>
      </c>
    </row>
    <row r="105">
      <c r="A105" s="2" t="s">
        <v>9220</v>
      </c>
      <c r="B105" s="3" t="str">
        <f>C105 &amp; " answers " &amp; D105</f>
        <v>policy-agent-sources answers q-policy-ai-source-approval</v>
      </c>
      <c r="C105" s="2" t="s">
        <v>8765</v>
      </c>
      <c r="D105" s="2" t="s">
        <v>2160</v>
      </c>
      <c r="E105" s="2" t="s">
        <v>1862</v>
      </c>
    </row>
    <row r="106">
      <c r="A106" s="2" t="s">
        <v>9221</v>
      </c>
      <c r="B106" s="3" t="str">
        <f>C106 &amp; " answers " &amp; D106</f>
        <v>policy-agent-assignment answers q-policy-ai-no-role-assignment</v>
      </c>
      <c r="C106" s="2" t="s">
        <v>8770</v>
      </c>
      <c r="D106" s="2" t="s">
        <v>2156</v>
      </c>
      <c r="E106" s="2" t="s">
        <v>1862</v>
      </c>
    </row>
    <row r="107">
      <c r="A107" s="2" t="s">
        <v>9222</v>
      </c>
      <c r="B107" s="3" t="str">
        <f>C107 &amp; " answers " &amp; D107</f>
        <v>policy-agent-commitment-boundary answers q-policy-ai-commitment-boundary</v>
      </c>
      <c r="C107" s="2" t="s">
        <v>8775</v>
      </c>
      <c r="D107" s="2" t="s">
        <v>2164</v>
      </c>
      <c r="E107" s="2" t="s">
        <v>1862</v>
      </c>
    </row>
    <row r="108">
      <c r="A108" s="2" t="s">
        <v>9223</v>
      </c>
      <c r="B108" s="3" t="str">
        <f>C108 &amp; " answers " &amp; D108</f>
        <v>policy-agent-approval-chain answers q-policy-ai-approval-chain-complete</v>
      </c>
      <c r="C108" s="2" t="s">
        <v>8780</v>
      </c>
      <c r="D108" s="2" t="s">
        <v>2172</v>
      </c>
      <c r="E108" s="2" t="s">
        <v>1862</v>
      </c>
    </row>
    <row r="109">
      <c r="A109" s="2" t="s">
        <v>9224</v>
      </c>
      <c r="B109" s="3" t="str">
        <f>C109 &amp; " answers " &amp; D109</f>
        <v>policy-agent-rewrite answers q-policy-ai-downstream-rewrite</v>
      </c>
      <c r="C109" s="2" t="s">
        <v>8785</v>
      </c>
      <c r="D109" s="2" t="s">
        <v>2168</v>
      </c>
      <c r="E109" s="2" t="s">
        <v>1862</v>
      </c>
    </row>
    <row r="110">
      <c r="A110" s="2" t="s">
        <v>9225</v>
      </c>
      <c r="B110" s="3" t="str">
        <f>C110 &amp; " answers " &amp; D110</f>
        <v>publisher-home answers q-publisher-may-i-transmit</v>
      </c>
      <c r="C110" s="2" t="s">
        <v>8790</v>
      </c>
      <c r="D110" s="2" t="s">
        <v>2076</v>
      </c>
      <c r="E110" s="2" t="s">
        <v>1862</v>
      </c>
    </row>
    <row r="111">
      <c r="A111" s="2" t="s">
        <v>9226</v>
      </c>
      <c r="B111" s="3" t="str">
        <f>C111 &amp; " answers " &amp; D111</f>
        <v>publisher-home answers q-publisher-may-i-transmit-now</v>
      </c>
      <c r="C111" s="2" t="s">
        <v>8790</v>
      </c>
      <c r="D111" s="2" t="s">
        <v>2080</v>
      </c>
      <c r="E111" s="2" t="s">
        <v>1862</v>
      </c>
    </row>
    <row r="112">
      <c r="A112" s="2" t="s">
        <v>9227</v>
      </c>
      <c r="B112" s="3" t="str">
        <f>C112 &amp; " answers " &amp; D112</f>
        <v>publisher-home answers q-publisher-is-this-content-permitted</v>
      </c>
      <c r="C112" s="2" t="s">
        <v>8790</v>
      </c>
      <c r="D112" s="2" t="s">
        <v>2084</v>
      </c>
      <c r="E112" s="2" t="s">
        <v>1862</v>
      </c>
    </row>
    <row r="113">
      <c r="A113" s="2" t="s">
        <v>9228</v>
      </c>
      <c r="B113" s="3" t="str">
        <f>C113 &amp; " answers " &amp; D113</f>
        <v>publisher-home answers q-publisher-am-i-authorized-to-act</v>
      </c>
      <c r="C113" s="2" t="s">
        <v>8790</v>
      </c>
      <c r="D113" s="2" t="s">
        <v>2088</v>
      </c>
      <c r="E113" s="2" t="s">
        <v>1862</v>
      </c>
    </row>
    <row r="114">
      <c r="A114" s="2" t="s">
        <v>9229</v>
      </c>
      <c r="B114" s="3" t="str">
        <f>C114 &amp; " answers " &amp; D114</f>
        <v>publisher-permission-gate answers q-publisher-may-i-transmit</v>
      </c>
      <c r="C114" s="2" t="s">
        <v>8795</v>
      </c>
      <c r="D114" s="2" t="s">
        <v>2076</v>
      </c>
      <c r="E114" s="2" t="s">
        <v>1862</v>
      </c>
    </row>
    <row r="115">
      <c r="A115" s="2" t="s">
        <v>9230</v>
      </c>
      <c r="B115" s="3" t="str">
        <f>C115 &amp; " answers " &amp; D115</f>
        <v>publisher-timing-gate answers q-publisher-may-i-transmit-now</v>
      </c>
      <c r="C115" s="2" t="s">
        <v>8800</v>
      </c>
      <c r="D115" s="2" t="s">
        <v>2080</v>
      </c>
      <c r="E115" s="2" t="s">
        <v>1862</v>
      </c>
    </row>
    <row r="116">
      <c r="A116" s="2" t="s">
        <v>9231</v>
      </c>
      <c r="B116" s="3" t="str">
        <f>C116 &amp; " answers " &amp; D116</f>
        <v>publisher-content-gate answers q-publisher-is-this-content-permitted</v>
      </c>
      <c r="C116" s="2" t="s">
        <v>8805</v>
      </c>
      <c r="D116" s="2" t="s">
        <v>2084</v>
      </c>
      <c r="E116" s="2" t="s">
        <v>1862</v>
      </c>
    </row>
    <row r="117">
      <c r="A117" s="2" t="s">
        <v>9232</v>
      </c>
      <c r="B117" s="3" t="str">
        <f>C117 &amp; " answers " &amp; D117</f>
        <v>publisher-authorization-gate answers q-publisher-am-i-authorized-to-act</v>
      </c>
      <c r="C117" s="2" t="s">
        <v>8810</v>
      </c>
      <c r="D117" s="2" t="s">
        <v>2088</v>
      </c>
      <c r="E117" s="2" t="s">
        <v>1862</v>
      </c>
    </row>
    <row r="118">
      <c r="A118" s="2" t="s">
        <v>9233</v>
      </c>
      <c r="B118" s="3" t="str">
        <f>C118 &amp; " answers " &amp; D118</f>
        <v>publisher-refusals answers q-publisher-refusal-was-honored</v>
      </c>
      <c r="C118" s="2" t="s">
        <v>8815</v>
      </c>
      <c r="D118" s="2" t="s">
        <v>2092</v>
      </c>
      <c r="E118" s="2" t="s">
        <v>1862</v>
      </c>
    </row>
    <row r="119">
      <c r="A119" s="2" t="s">
        <v>9234</v>
      </c>
      <c r="B119" s="3" t="str">
        <f>C119 &amp; " answers " &amp; D119</f>
        <v>publisher-refusal-artifacts answers q2-publisher-every-refusal-leaves-a-record</v>
      </c>
      <c r="C119" s="2" t="s">
        <v>8820</v>
      </c>
      <c r="D119" s="2" t="s">
        <v>2336</v>
      </c>
      <c r="E119" s="2" t="s">
        <v>1862</v>
      </c>
    </row>
    <row r="120">
      <c r="A120" s="2" t="s">
        <v>9235</v>
      </c>
      <c r="B120" s="3" t="str">
        <f>C120 &amp; " answers " &amp; D120</f>
        <v>publisher-deferred answers q2-publisher-deferred-not-cancelled</v>
      </c>
      <c r="C120" s="2" t="s">
        <v>8825</v>
      </c>
      <c r="D120" s="2" t="s">
        <v>2340</v>
      </c>
      <c r="E120" s="2" t="s">
        <v>1862</v>
      </c>
    </row>
    <row r="121">
      <c r="A121" s="2" t="s">
        <v>9236</v>
      </c>
      <c r="B121" s="3" t="str">
        <f>C121 &amp; " answers " &amp; D121</f>
        <v>publisher-obligations answers q2-publisher-obligation-after-send</v>
      </c>
      <c r="C121" s="2" t="s">
        <v>8830</v>
      </c>
      <c r="D121" s="2" t="s">
        <v>2352</v>
      </c>
      <c r="E121" s="2" t="s">
        <v>1862</v>
      </c>
    </row>
    <row r="122">
      <c r="A122" s="2" t="s">
        <v>9237</v>
      </c>
      <c r="B122" s="3" t="str">
        <f>C122 &amp; " answers " &amp; D122</f>
        <v>publisher-my-authorization answers q2-publisher-my-own-authorization</v>
      </c>
      <c r="C122" s="2" t="s">
        <v>8835</v>
      </c>
      <c r="D122" s="2" t="s">
        <v>2344</v>
      </c>
      <c r="E122" s="2" t="s">
        <v>1862</v>
      </c>
    </row>
    <row r="123">
      <c r="A123" s="2" t="s">
        <v>9238</v>
      </c>
      <c r="B123" s="3" t="str">
        <f>C123 &amp; " answers " &amp; D123</f>
        <v>publisher-sole-witness answers q2-publisher-am-i-the-only-witness</v>
      </c>
      <c r="C123" s="2" t="s">
        <v>8840</v>
      </c>
      <c r="D123" s="2" t="s">
        <v>2348</v>
      </c>
      <c r="E123" s="2" t="s">
        <v>1862</v>
      </c>
    </row>
    <row r="124">
      <c r="A124" s="2" t="s">
        <v>9239</v>
      </c>
      <c r="B124" s="3" t="str">
        <f>C124 &amp; " answers " &amp; D124</f>
        <v>steward-home answers q-steward-cadence-breach</v>
      </c>
      <c r="C124" s="2" t="s">
        <v>8845</v>
      </c>
      <c r="D124" s="2" t="s">
        <v>1996</v>
      </c>
      <c r="E124" s="2" t="s">
        <v>1862</v>
      </c>
    </row>
    <row r="125">
      <c r="A125" s="2" t="s">
        <v>9240</v>
      </c>
      <c r="B125" s="3" t="str">
        <f>C125 &amp; " answers " &amp; D125</f>
        <v>steward-home answers q-steward-published-with-blocking-gap</v>
      </c>
      <c r="C125" s="2" t="s">
        <v>8845</v>
      </c>
      <c r="D125" s="2" t="s">
        <v>2008</v>
      </c>
      <c r="E125" s="2" t="s">
        <v>1862</v>
      </c>
    </row>
    <row r="126">
      <c r="A126" s="2" t="s">
        <v>9241</v>
      </c>
      <c r="B126" s="3" t="str">
        <f>C126 &amp; " answers " &amp; D126</f>
        <v>steward-home answers q-steward-orphan-versions</v>
      </c>
      <c r="C126" s="2" t="s">
        <v>8845</v>
      </c>
      <c r="D126" s="2" t="s">
        <v>2000</v>
      </c>
      <c r="E126" s="2" t="s">
        <v>1862</v>
      </c>
    </row>
    <row r="127">
      <c r="A127" s="2" t="s">
        <v>9242</v>
      </c>
      <c r="B127" s="3" t="str">
        <f>C127 &amp; " answers " &amp; D127</f>
        <v>steward-home answers q-steward-untested-fallbacks</v>
      </c>
      <c r="C127" s="2" t="s">
        <v>8845</v>
      </c>
      <c r="D127" s="2" t="s">
        <v>2004</v>
      </c>
      <c r="E127" s="2" t="s">
        <v>1862</v>
      </c>
    </row>
    <row r="128">
      <c r="A128" s="2" t="s">
        <v>9243</v>
      </c>
      <c r="B128" s="3" t="str">
        <f>C128 &amp; " answers " &amp; D128</f>
        <v>steward-cadence answers q-steward-cadence-breach</v>
      </c>
      <c r="C128" s="2" t="s">
        <v>8850</v>
      </c>
      <c r="D128" s="2" t="s">
        <v>1996</v>
      </c>
      <c r="E128" s="2" t="s">
        <v>1862</v>
      </c>
    </row>
    <row r="129">
      <c r="A129" s="2" t="s">
        <v>9244</v>
      </c>
      <c r="B129" s="3" t="str">
        <f>C129 &amp; " answers " &amp; D129</f>
        <v>steward-cadence-remediation answers q2-steward-cadence-breach-is-unremediated</v>
      </c>
      <c r="C129" s="2" t="s">
        <v>8855</v>
      </c>
      <c r="D129" s="2" t="s">
        <v>2220</v>
      </c>
      <c r="E129" s="2" t="s">
        <v>1862</v>
      </c>
    </row>
    <row r="130">
      <c r="A130" s="2" t="s">
        <v>9245</v>
      </c>
      <c r="B130" s="3" t="str">
        <f>C130 &amp; " answers " &amp; D130</f>
        <v>steward-open-gaps answers q-steward-published-with-blocking-gap</v>
      </c>
      <c r="C130" s="2" t="s">
        <v>8860</v>
      </c>
      <c r="D130" s="2" t="s">
        <v>2008</v>
      </c>
      <c r="E130" s="2" t="s">
        <v>1862</v>
      </c>
    </row>
    <row r="131">
      <c r="A131" s="2" t="s">
        <v>9246</v>
      </c>
      <c r="B131" s="3" t="str">
        <f>C131 &amp; " answers " &amp; D131</f>
        <v>steward-stalled-changes answers q-steward-stalled-change-requests</v>
      </c>
      <c r="C131" s="2" t="s">
        <v>8864</v>
      </c>
      <c r="D131" s="2" t="s">
        <v>2012</v>
      </c>
      <c r="E131" s="2" t="s">
        <v>1862</v>
      </c>
    </row>
    <row r="132">
      <c r="A132" s="2" t="s">
        <v>9247</v>
      </c>
      <c r="B132" s="3" t="str">
        <f>C132 &amp; " answers " &amp; D132</f>
        <v>steward-approved-never-lands answers q2-steward-approved-cr-never-lands</v>
      </c>
      <c r="C132" s="2" t="s">
        <v>8869</v>
      </c>
      <c r="D132" s="2" t="s">
        <v>2228</v>
      </c>
      <c r="E132" s="2" t="s">
        <v>1862</v>
      </c>
    </row>
    <row r="133">
      <c r="A133" s="2" t="s">
        <v>9248</v>
      </c>
      <c r="B133" s="3" t="str">
        <f>C133 &amp; " answers " &amp; D133</f>
        <v>steward-orphans answers q-steward-orphan-versions</v>
      </c>
      <c r="C133" s="2" t="s">
        <v>8874</v>
      </c>
      <c r="D133" s="2" t="s">
        <v>2000</v>
      </c>
      <c r="E133" s="2" t="s">
        <v>1862</v>
      </c>
    </row>
    <row r="134">
      <c r="A134" s="2" t="s">
        <v>9249</v>
      </c>
      <c r="B134" s="3" t="str">
        <f>C134 &amp; " answers " &amp; D134</f>
        <v>steward-archived-still-referenced answers q2-steward-unstewarded-version-still-referenced</v>
      </c>
      <c r="C134" s="2" t="s">
        <v>8879</v>
      </c>
      <c r="D134" s="2" t="s">
        <v>2224</v>
      </c>
      <c r="E134" s="2" t="s">
        <v>1862</v>
      </c>
    </row>
    <row r="135">
      <c r="A135" s="2" t="s">
        <v>9250</v>
      </c>
      <c r="B135" s="3" t="str">
        <f>C135 &amp; " answers " &amp; D135</f>
        <v>steward-fallbacks answers q-steward-untested-fallbacks</v>
      </c>
      <c r="C135" s="2" t="s">
        <v>8884</v>
      </c>
      <c r="D135" s="2" t="s">
        <v>2004</v>
      </c>
      <c r="E135" s="2" t="s">
        <v>1862</v>
      </c>
    </row>
    <row r="136">
      <c r="A136" s="2" t="s">
        <v>9251</v>
      </c>
      <c r="B136" s="3" t="str">
        <f>C136 &amp; " answers " &amp; D136</f>
        <v>steward-fallback-criticality answers q2-steward-recovery-path-is-load-bearing</v>
      </c>
      <c r="C136" s="2" t="s">
        <v>8889</v>
      </c>
      <c r="D136" s="2" t="s">
        <v>2216</v>
      </c>
      <c r="E136" s="2" t="s">
        <v>1862</v>
      </c>
    </row>
    <row r="137">
      <c r="A137" s="2" t="s">
        <v>9252</v>
      </c>
      <c r="B137" s="3" t="str">
        <f>C137 &amp; " answers " &amp; D137</f>
        <v>steward-hardcoded-predicates answers q2-steward-control-kind-instead-of-hardcoded-ids</v>
      </c>
      <c r="C137" s="2" t="s">
        <v>8894</v>
      </c>
      <c r="D137" s="2" t="s">
        <v>2232</v>
      </c>
      <c r="E137" s="2" t="s">
        <v>1862</v>
      </c>
    </row>
    <row r="138">
      <c r="A138" s="2" t="s">
        <v>9253</v>
      </c>
      <c r="B138" s="3" t="str">
        <f>C138 &amp; " answers " &amp; D138</f>
        <v>authority-home answers q-authority-non-approved-dependency</v>
      </c>
      <c r="C138" s="2" t="s">
        <v>8899</v>
      </c>
      <c r="D138" s="2" t="s">
        <v>2020</v>
      </c>
      <c r="E138" s="2" t="s">
        <v>1862</v>
      </c>
    </row>
    <row r="139">
      <c r="A139" s="2" t="s">
        <v>9254</v>
      </c>
      <c r="B139" s="3" t="str">
        <f>C139 &amp; " answers " &amp; D139</f>
        <v>authority-home answers q-authority-stale-elicitation</v>
      </c>
      <c r="C139" s="2" t="s">
        <v>8899</v>
      </c>
      <c r="D139" s="2" t="s">
        <v>2024</v>
      </c>
      <c r="E139" s="2" t="s">
        <v>1862</v>
      </c>
    </row>
    <row r="140">
      <c r="A140" s="2" t="s">
        <v>9255</v>
      </c>
      <c r="B140" s="3" t="str">
        <f>C140 &amp; " answers " &amp; D140</f>
        <v>authority-fragment-decay answers q2-authority-compound-fragility</v>
      </c>
      <c r="C140" s="2" t="s">
        <v>8904</v>
      </c>
      <c r="D140" s="2" t="s">
        <v>2176</v>
      </c>
      <c r="E140" s="2" t="s">
        <v>1862</v>
      </c>
    </row>
    <row r="141">
      <c r="A141" s="2" t="s">
        <v>9256</v>
      </c>
      <c r="B141" s="3" t="str">
        <f>C141 &amp; " answers " &amp; D141</f>
        <v>authority-unapproved-live answers q-authority-non-approved-dependency</v>
      </c>
      <c r="C141" s="2" t="s">
        <v>8909</v>
      </c>
      <c r="D141" s="2" t="s">
        <v>2020</v>
      </c>
      <c r="E141" s="2" t="s">
        <v>1862</v>
      </c>
    </row>
    <row r="142">
      <c r="A142" s="2" t="s">
        <v>9257</v>
      </c>
      <c r="B142" s="3" t="str">
        <f>C142 &amp; " answers " &amp; D142</f>
        <v>authority-unapproved-live answers q2-authority-unapproved-knowledge-reaching-machines</v>
      </c>
      <c r="C142" s="2" t="s">
        <v>8909</v>
      </c>
      <c r="D142" s="2" t="s">
        <v>2188</v>
      </c>
      <c r="E142" s="2" t="s">
        <v>1862</v>
      </c>
    </row>
    <row r="143">
      <c r="A143" s="2" t="s">
        <v>9258</v>
      </c>
      <c r="B143" s="3" t="str">
        <f>C143 &amp; " answers " &amp; D143</f>
        <v>authority-machine-consumers answers q2-authority-unapproved-knowledge-reaching-machines</v>
      </c>
      <c r="C143" s="2" t="s">
        <v>8914</v>
      </c>
      <c r="D143" s="2" t="s">
        <v>2188</v>
      </c>
      <c r="E143" s="2" t="s">
        <v>1862</v>
      </c>
    </row>
    <row r="144">
      <c r="A144" s="2" t="s">
        <v>9259</v>
      </c>
      <c r="B144" s="3" t="str">
        <f>C144 &amp; " answers " &amp; D144</f>
        <v>authority-expired-ratifier answers q2-authority-boundary-rests-on-expired-claim</v>
      </c>
      <c r="C144" s="2" t="s">
        <v>8919</v>
      </c>
      <c r="D144" s="2" t="s">
        <v>2180</v>
      </c>
      <c r="E144" s="2" t="s">
        <v>1862</v>
      </c>
    </row>
    <row r="145">
      <c r="A145" s="2" t="s">
        <v>9260</v>
      </c>
      <c r="B145" s="3" t="str">
        <f>C145 &amp; " answers " &amp; D145</f>
        <v>authority-orphaned-provenance answers q-authority-orphaned-provenance</v>
      </c>
      <c r="C145" s="2" t="s">
        <v>8924</v>
      </c>
      <c r="D145" s="2" t="s">
        <v>2016</v>
      </c>
      <c r="E145" s="2" t="s">
        <v>1862</v>
      </c>
    </row>
    <row r="146">
      <c r="A146" s="2" t="s">
        <v>9261</v>
      </c>
      <c r="B146" s="3" t="str">
        <f>C146 &amp; " answers " &amp; D146</f>
        <v>authority-unwitnessed-change answers q-authority-unwitnessed-change</v>
      </c>
      <c r="C146" s="2" t="s">
        <v>8929</v>
      </c>
      <c r="D146" s="2" t="s">
        <v>2032</v>
      </c>
      <c r="E146" s="2" t="s">
        <v>1862</v>
      </c>
    </row>
    <row r="147">
      <c r="A147" s="2" t="s">
        <v>9262</v>
      </c>
      <c r="B147" s="3" t="str">
        <f>C147 &amp; " answers " &amp; D147</f>
        <v>authority-stale-elicitation answers q-authority-stale-elicitation</v>
      </c>
      <c r="C147" s="2" t="s">
        <v>8934</v>
      </c>
      <c r="D147" s="2" t="s">
        <v>2024</v>
      </c>
      <c r="E147" s="2" t="s">
        <v>1862</v>
      </c>
    </row>
    <row r="148">
      <c r="A148" s="2" t="s">
        <v>9263</v>
      </c>
      <c r="B148" s="3" t="str">
        <f>C148 &amp; " answers " &amp; D148</f>
        <v>authority-elicitation-monoculture answers q2-authority-elicitation-method-monoculture</v>
      </c>
      <c r="C148" s="2" t="s">
        <v>8939</v>
      </c>
      <c r="D148" s="2" t="s">
        <v>2184</v>
      </c>
      <c r="E148" s="2" t="s">
        <v>1862</v>
      </c>
    </row>
    <row r="149">
      <c r="A149" s="2" t="s">
        <v>9264</v>
      </c>
      <c r="B149" s="3" t="str">
        <f>C149 &amp; " answers " &amp; D149</f>
        <v>authority-known-unknowns answers q-authority-known-unknowns</v>
      </c>
      <c r="C149" s="2" t="s">
        <v>8944</v>
      </c>
      <c r="D149" s="2" t="s">
        <v>2028</v>
      </c>
      <c r="E149" s="2" t="s">
        <v>1862</v>
      </c>
    </row>
    <row r="150">
      <c r="A150" s="2" t="s">
        <v>9265</v>
      </c>
      <c r="B150" s="3" t="str">
        <f>C150 &amp; " answers " &amp; D150</f>
        <v>authority-review-date-inferred answers q2-authority-review-date-is-inferred-not-recorded</v>
      </c>
      <c r="C150" s="2" t="s">
        <v>8949</v>
      </c>
      <c r="D150" s="2" t="s">
        <v>2192</v>
      </c>
      <c r="E150" s="2" t="s">
        <v>1862</v>
      </c>
    </row>
    <row r="151">
      <c r="A151" s="2" t="s">
        <v>9266</v>
      </c>
      <c r="B151" s="3" t="str">
        <f>C151 &amp; " answers " &amp; D151</f>
        <v>shared-evaluation-context answers q2-cfo-would-it-survive-restatement</v>
      </c>
      <c r="C151" s="2" t="s">
        <v>9035</v>
      </c>
      <c r="D151" s="2" t="s">
        <v>2280</v>
      </c>
      <c r="E151" s="2" t="s">
        <v>1862</v>
      </c>
    </row>
    <row r="152">
      <c r="A152" s="2" t="s">
        <v>9267</v>
      </c>
      <c r="B152" s="3" t="str">
        <f>C152 &amp; " answers " &amp; D152</f>
        <v>shared-evaluation-context answers q2-fa-stale-then-vs-stale-now</v>
      </c>
      <c r="C152" s="2" t="s">
        <v>9035</v>
      </c>
      <c r="D152" s="2" t="s">
        <v>2240</v>
      </c>
      <c r="E152" s="2" t="s">
        <v>1862</v>
      </c>
    </row>
  </sheetData>
  <autoFilter ref="A1:E1"/>
  <headerFooter/>
  <legacyDrawing r:id="rId1"/>
</worksheet>
</file>

<file path=xl/worksheets/sheet7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16"/>
  <sheetViews>
    <sheetView workbookViewId="0">
      <pane ySplit="1" topLeftCell="A2" state="frozen" activePane="bottomLeft"/>
      <selection pane="bottomLeft" activeCell="A1" sqref="A1"/>
    </sheetView>
  </sheetViews>
  <sheetFormatPr defaultRowHeight="15"/>
  <cols>
    <col min="1" max="1" width="66.31731414794922" customWidth="1"/>
    <col min="2" max="2" width="66.12916564941406" customWidth="1"/>
    <col min="3" max="3" width="34.358314514160156" customWidth="1"/>
    <col min="4" max="4" width="34.358314514160156" customWidth="1"/>
    <col min="5" max="5" width="47.40932846069336" customWidth="1"/>
  </cols>
  <sheetData>
    <row r="1">
      <c r="A1" s="1" t="s">
        <v>5277</v>
      </c>
      <c r="B1" s="1" t="s">
        <v>1</v>
      </c>
      <c r="C1" s="1" t="s">
        <v>5281</v>
      </c>
      <c r="D1" s="1" t="s">
        <v>5283</v>
      </c>
      <c r="E1" s="1" t="s">
        <v>94</v>
      </c>
    </row>
    <row r="2">
      <c r="A2" s="2" t="s">
        <v>9268</v>
      </c>
      <c r="B2" s="3" t="str">
        <f>C2 &amp; " -&gt; " &amp; D2</f>
        <v>cfo-home -&gt; cfo-blockers</v>
      </c>
      <c r="C2" s="2" t="s">
        <v>8385</v>
      </c>
      <c r="D2" s="2" t="s">
        <v>8392</v>
      </c>
      <c r="E2" s="2" t="s">
        <v>1866</v>
      </c>
    </row>
    <row r="3">
      <c r="A3" s="2" t="s">
        <v>9269</v>
      </c>
      <c r="B3" s="3" t="str">
        <f>C3 &amp; " -&gt; " &amp; D3</f>
        <v>cfo-home -&gt; cfo-assurance-grade</v>
      </c>
      <c r="C3" s="2" t="s">
        <v>8385</v>
      </c>
      <c r="D3" s="2" t="s">
        <v>8398</v>
      </c>
      <c r="E3" s="2" t="s">
        <v>1866</v>
      </c>
    </row>
    <row r="4">
      <c r="A4" s="2" t="s">
        <v>9270</v>
      </c>
      <c r="B4" s="3" t="str">
        <f>C4 &amp; " -&gt; " &amp; D4</f>
        <v>cfo-home -&gt; cfo-signature-dependencies</v>
      </c>
      <c r="C4" s="2" t="s">
        <v>8385</v>
      </c>
      <c r="D4" s="2" t="s">
        <v>8428</v>
      </c>
      <c r="E4" s="2" t="s">
        <v>1866</v>
      </c>
    </row>
    <row r="5">
      <c r="A5" s="2" t="s">
        <v>9271</v>
      </c>
      <c r="B5" s="3" t="str">
        <f>C5 &amp; " -&gt; " &amp; D5</f>
        <v>cfo-blockers -&gt; cfo-home</v>
      </c>
      <c r="C5" s="2" t="s">
        <v>8392</v>
      </c>
      <c r="D5" s="2" t="s">
        <v>8385</v>
      </c>
      <c r="E5" s="2" t="s">
        <v>1866</v>
      </c>
    </row>
    <row r="6">
      <c r="A6" s="2" t="s">
        <v>9272</v>
      </c>
      <c r="B6" s="3" t="str">
        <f>C6 &amp; " -&gt; " &amp; D6</f>
        <v>cfo-blockers -&gt; controller-conformance</v>
      </c>
      <c r="C6" s="2" t="s">
        <v>8392</v>
      </c>
      <c r="D6" s="2" t="s">
        <v>8469</v>
      </c>
      <c r="E6" s="2" t="s">
        <v>1866</v>
      </c>
    </row>
    <row r="7">
      <c r="A7" s="2" t="s">
        <v>9273</v>
      </c>
      <c r="B7" s="3" t="str">
        <f>C7 &amp; " -&gt; " &amp; D7</f>
        <v>cfo-assurance-grade -&gt; cfo-unwitnessed-controls</v>
      </c>
      <c r="C7" s="2" t="s">
        <v>8398</v>
      </c>
      <c r="D7" s="2" t="s">
        <v>8403</v>
      </c>
      <c r="E7" s="2" t="s">
        <v>1866</v>
      </c>
    </row>
    <row r="8">
      <c r="A8" s="2" t="s">
        <v>9274</v>
      </c>
      <c r="B8" s="3" t="str">
        <f>C8 &amp; " -&gt; " &amp; D8</f>
        <v>cfo-assurance-grade -&gt; controller-mute-controls</v>
      </c>
      <c r="C8" s="2" t="s">
        <v>8398</v>
      </c>
      <c r="D8" s="2" t="s">
        <v>8454</v>
      </c>
      <c r="E8" s="2" t="s">
        <v>1866</v>
      </c>
    </row>
    <row r="9">
      <c r="A9" s="2" t="s">
        <v>9275</v>
      </c>
      <c r="B9" s="3" t="str">
        <f>C9 &amp; " -&gt; " &amp; D9</f>
        <v>cfo-unwitnessed-controls -&gt; cfo-assurance-grade</v>
      </c>
      <c r="C9" s="2" t="s">
        <v>8403</v>
      </c>
      <c r="D9" s="2" t="s">
        <v>8398</v>
      </c>
      <c r="E9" s="2" t="s">
        <v>1866</v>
      </c>
    </row>
    <row r="10">
      <c r="A10" s="2" t="s">
        <v>9276</v>
      </c>
      <c r="B10" s="3" t="str">
        <f>C10 &amp; " -&gt; " &amp; D10</f>
        <v>cfo-unwitnessed-controls -&gt; shared-requirement-detail</v>
      </c>
      <c r="C10" s="2" t="s">
        <v>8403</v>
      </c>
      <c r="D10" s="2" t="s">
        <v>8959</v>
      </c>
      <c r="E10" s="2" t="s">
        <v>1866</v>
      </c>
    </row>
    <row r="11">
      <c r="A11" s="2" t="s">
        <v>9277</v>
      </c>
      <c r="B11" s="3" t="str">
        <f>C11 &amp; " -&gt; " &amp; D11</f>
        <v>cfo-typed-conclusions -&gt; cfo-unwitnessed-controls</v>
      </c>
      <c r="C11" s="2" t="s">
        <v>8408</v>
      </c>
      <c r="D11" s="2" t="s">
        <v>8403</v>
      </c>
      <c r="E11" s="2" t="s">
        <v>1866</v>
      </c>
    </row>
    <row r="12">
      <c r="A12" s="2" t="s">
        <v>9278</v>
      </c>
      <c r="B12" s="3" t="str">
        <f>C12 &amp; " -&gt; " &amp; D12</f>
        <v>cfo-typed-conclusions -&gt; controller-asserted-controls</v>
      </c>
      <c r="C12" s="2" t="s">
        <v>8408</v>
      </c>
      <c r="D12" s="2" t="s">
        <v>8487</v>
      </c>
      <c r="E12" s="2" t="s">
        <v>1866</v>
      </c>
    </row>
    <row r="13">
      <c r="A13" s="2" t="s">
        <v>9279</v>
      </c>
      <c r="B13" s="3" t="str">
        <f>C13 &amp; " -&gt; " &amp; D13</f>
        <v>cfo-witness-chain -&gt; cfo-my-approvals</v>
      </c>
      <c r="C13" s="2" t="s">
        <v>8413</v>
      </c>
      <c r="D13" s="2" t="s">
        <v>8423</v>
      </c>
      <c r="E13" s="2" t="s">
        <v>1866</v>
      </c>
    </row>
    <row r="14">
      <c r="A14" s="2" t="s">
        <v>9280</v>
      </c>
      <c r="B14" s="3" t="str">
        <f>C14 &amp; " -&gt; " &amp; D14</f>
        <v>cfo-witness-chain -&gt; shared-verification-outcomes</v>
      </c>
      <c r="C14" s="2" t="s">
        <v>8413</v>
      </c>
      <c r="D14" s="2" t="s">
        <v>9010</v>
      </c>
      <c r="E14" s="2" t="s">
        <v>1866</v>
      </c>
    </row>
    <row r="15">
      <c r="A15" s="2" t="s">
        <v>9281</v>
      </c>
      <c r="B15" s="3" t="str">
        <f>C15 &amp; " -&gt; " &amp; D15</f>
        <v>cfo-authority-map -&gt; shared-exception-detail</v>
      </c>
      <c r="C15" s="2" t="s">
        <v>8418</v>
      </c>
      <c r="D15" s="2" t="s">
        <v>8973</v>
      </c>
      <c r="E15" s="2" t="s">
        <v>1866</v>
      </c>
    </row>
    <row r="16">
      <c r="A16" s="2" t="s">
        <v>9282</v>
      </c>
      <c r="B16" s="3" t="str">
        <f>C16 &amp; " -&gt; " &amp; D16</f>
        <v>cfo-authority-map -&gt; controller-authority-validity</v>
      </c>
      <c r="C16" s="2" t="s">
        <v>8418</v>
      </c>
      <c r="D16" s="2" t="s">
        <v>8479</v>
      </c>
      <c r="E16" s="2" t="s">
        <v>1866</v>
      </c>
    </row>
    <row r="17">
      <c r="A17" s="2" t="s">
        <v>9283</v>
      </c>
      <c r="B17" s="3" t="str">
        <f>C17 &amp; " -&gt; " &amp; D17</f>
        <v>cfo-my-approvals -&gt; cfo-witness-chain</v>
      </c>
      <c r="C17" s="2" t="s">
        <v>8423</v>
      </c>
      <c r="D17" s="2" t="s">
        <v>8413</v>
      </c>
      <c r="E17" s="2" t="s">
        <v>1866</v>
      </c>
    </row>
    <row r="18">
      <c r="A18" s="2" t="s">
        <v>9284</v>
      </c>
      <c r="B18" s="3" t="str">
        <f>C18 &amp; " -&gt; " &amp; D18</f>
        <v>cfo-my-approvals -&gt; shared-step-execution-detail</v>
      </c>
      <c r="C18" s="2" t="s">
        <v>8423</v>
      </c>
      <c r="D18" s="2" t="s">
        <v>8954</v>
      </c>
      <c r="E18" s="2" t="s">
        <v>1866</v>
      </c>
    </row>
    <row r="19">
      <c r="A19" s="2" t="s">
        <v>9285</v>
      </c>
      <c r="B19" s="3" t="str">
        <f>C19 &amp; " -&gt; " &amp; D19</f>
        <v>cfo-signature-dependencies -&gt; cfo-changed-since-signing</v>
      </c>
      <c r="C19" s="2" t="s">
        <v>8428</v>
      </c>
      <c r="D19" s="2" t="s">
        <v>8433</v>
      </c>
      <c r="E19" s="2" t="s">
        <v>1866</v>
      </c>
    </row>
    <row r="20">
      <c r="A20" s="2" t="s">
        <v>9286</v>
      </c>
      <c r="B20" s="3" t="str">
        <f>C20 &amp; " -&gt; " &amp; D20</f>
        <v>cfo-signature-dependencies -&gt; cfo-home</v>
      </c>
      <c r="C20" s="2" t="s">
        <v>8428</v>
      </c>
      <c r="D20" s="2" t="s">
        <v>8385</v>
      </c>
      <c r="E20" s="2" t="s">
        <v>1866</v>
      </c>
    </row>
    <row r="21">
      <c r="A21" s="2" t="s">
        <v>9287</v>
      </c>
      <c r="B21" s="3" t="str">
        <f>C21 &amp; " -&gt; " &amp; D21</f>
        <v>cfo-changed-since-signing -&gt; cfo-signature-dependencies</v>
      </c>
      <c r="C21" s="2" t="s">
        <v>8433</v>
      </c>
      <c r="D21" s="2" t="s">
        <v>8428</v>
      </c>
      <c r="E21" s="2" t="s">
        <v>1866</v>
      </c>
    </row>
    <row r="22">
      <c r="A22" s="2" t="s">
        <v>9288</v>
      </c>
      <c r="B22" s="3" t="str">
        <f>C22 &amp; " -&gt; " &amp; D22</f>
        <v>cfo-changed-since-signing -&gt; shared-change-request-detail</v>
      </c>
      <c r="C22" s="2" t="s">
        <v>8433</v>
      </c>
      <c r="D22" s="2" t="s">
        <v>8968</v>
      </c>
      <c r="E22" s="2" t="s">
        <v>1866</v>
      </c>
    </row>
    <row r="23">
      <c r="A23" s="2" t="s">
        <v>9289</v>
      </c>
      <c r="B23" s="3" t="str">
        <f>C23 &amp; " -&gt; " &amp; D23</f>
        <v>cfo-restatement -&gt; shared-evaluation-context</v>
      </c>
      <c r="C23" s="2" t="s">
        <v>8438</v>
      </c>
      <c r="D23" s="2" t="s">
        <v>9035</v>
      </c>
      <c r="E23" s="2" t="s">
        <v>1866</v>
      </c>
    </row>
    <row r="24">
      <c r="A24" s="2" t="s">
        <v>9290</v>
      </c>
      <c r="B24" s="3" t="str">
        <f>C24 &amp; " -&gt; " &amp; D24</f>
        <v>cfo-restatement -&gt; cfo-assurance-grade</v>
      </c>
      <c r="C24" s="2" t="s">
        <v>8438</v>
      </c>
      <c r="D24" s="2" t="s">
        <v>8398</v>
      </c>
      <c r="E24" s="2" t="s">
        <v>1866</v>
      </c>
    </row>
    <row r="25">
      <c r="A25" s="2" t="s">
        <v>9291</v>
      </c>
      <c r="B25" s="3" t="str">
        <f>C25 &amp; " -&gt; " &amp; D25</f>
        <v>cfo-attestation-detail -&gt; cfo-home</v>
      </c>
      <c r="C25" s="2" t="s">
        <v>8443</v>
      </c>
      <c r="D25" s="2" t="s">
        <v>8385</v>
      </c>
      <c r="E25" s="2" t="s">
        <v>1866</v>
      </c>
    </row>
    <row r="26">
      <c r="A26" s="2" t="s">
        <v>9292</v>
      </c>
      <c r="B26" s="3" t="str">
        <f>C26 &amp; " -&gt; " &amp; D26</f>
        <v>cfo-attestation-detail -&gt; shared-step-execution-detail</v>
      </c>
      <c r="C26" s="2" t="s">
        <v>8443</v>
      </c>
      <c r="D26" s="2" t="s">
        <v>8954</v>
      </c>
      <c r="E26" s="2" t="s">
        <v>1866</v>
      </c>
    </row>
    <row r="27">
      <c r="A27" s="2" t="s">
        <v>9293</v>
      </c>
      <c r="B27" s="3" t="str">
        <f>C27 &amp; " -&gt; " &amp; D27</f>
        <v>controller-home -&gt; controller-mute-controls</v>
      </c>
      <c r="C27" s="2" t="s">
        <v>8449</v>
      </c>
      <c r="D27" s="2" t="s">
        <v>8454</v>
      </c>
      <c r="E27" s="2" t="s">
        <v>1866</v>
      </c>
    </row>
    <row r="28">
      <c r="A28" s="2" t="s">
        <v>9294</v>
      </c>
      <c r="B28" s="3" t="str">
        <f>C28 &amp; " -&gt; " &amp; D28</f>
        <v>controller-home -&gt; controller-witness-scope</v>
      </c>
      <c r="C28" s="2" t="s">
        <v>8449</v>
      </c>
      <c r="D28" s="2" t="s">
        <v>8459</v>
      </c>
      <c r="E28" s="2" t="s">
        <v>1866</v>
      </c>
    </row>
    <row r="29">
      <c r="A29" s="2" t="s">
        <v>9295</v>
      </c>
      <c r="B29" s="3" t="str">
        <f>C29 &amp; " -&gt; " &amp; D29</f>
        <v>controller-home -&gt; shared-requirement-detail</v>
      </c>
      <c r="C29" s="2" t="s">
        <v>8449</v>
      </c>
      <c r="D29" s="2" t="s">
        <v>8959</v>
      </c>
      <c r="E29" s="2" t="s">
        <v>1866</v>
      </c>
    </row>
    <row r="30">
      <c r="A30" s="2" t="s">
        <v>9296</v>
      </c>
      <c r="B30" s="3" t="str">
        <f>C30 &amp; " -&gt; " &amp; D30</f>
        <v>controller-mute-controls -&gt; controller-home</v>
      </c>
      <c r="C30" s="2" t="s">
        <v>8454</v>
      </c>
      <c r="D30" s="2" t="s">
        <v>8449</v>
      </c>
      <c r="E30" s="2" t="s">
        <v>1866</v>
      </c>
    </row>
    <row r="31">
      <c r="A31" s="2" t="s">
        <v>9297</v>
      </c>
      <c r="B31" s="3" t="str">
        <f>C31 &amp; " -&gt; " &amp; D31</f>
        <v>controller-mute-controls -&gt; cfo-assurance-grade</v>
      </c>
      <c r="C31" s="2" t="s">
        <v>8454</v>
      </c>
      <c r="D31" s="2" t="s">
        <v>8398</v>
      </c>
      <c r="E31" s="2" t="s">
        <v>1866</v>
      </c>
    </row>
    <row r="32">
      <c r="A32" s="2" t="s">
        <v>9298</v>
      </c>
      <c r="B32" s="3" t="str">
        <f>C32 &amp; " -&gt; " &amp; D32</f>
        <v>controller-mute-controls -&gt; analyst-mute-clearance</v>
      </c>
      <c r="C32" s="2" t="s">
        <v>8454</v>
      </c>
      <c r="D32" s="2" t="s">
        <v>8540</v>
      </c>
      <c r="E32" s="2" t="s">
        <v>1866</v>
      </c>
    </row>
    <row r="33">
      <c r="A33" s="2" t="s">
        <v>9299</v>
      </c>
      <c r="B33" s="3" t="str">
        <f>C33 &amp; " -&gt; " &amp; D33</f>
        <v>controller-witness-scope -&gt; controller-mute-controls</v>
      </c>
      <c r="C33" s="2" t="s">
        <v>8459</v>
      </c>
      <c r="D33" s="2" t="s">
        <v>8454</v>
      </c>
      <c r="E33" s="2" t="s">
        <v>1866</v>
      </c>
    </row>
    <row r="34">
      <c r="A34" s="2" t="s">
        <v>9300</v>
      </c>
      <c r="B34" s="3" t="str">
        <f>C34 &amp; " -&gt; " &amp; D34</f>
        <v>controller-witness-scope -&gt; shared-requirement-detail</v>
      </c>
      <c r="C34" s="2" t="s">
        <v>8459</v>
      </c>
      <c r="D34" s="2" t="s">
        <v>8959</v>
      </c>
      <c r="E34" s="2" t="s">
        <v>1866</v>
      </c>
    </row>
    <row r="35">
      <c r="A35" s="2" t="s">
        <v>9301</v>
      </c>
      <c r="B35" s="3" t="str">
        <f>C35 &amp; " -&gt; " &amp; D35</f>
        <v>controller-separation -&gt; controller-authority-validity</v>
      </c>
      <c r="C35" s="2" t="s">
        <v>8464</v>
      </c>
      <c r="D35" s="2" t="s">
        <v>8479</v>
      </c>
      <c r="E35" s="2" t="s">
        <v>1866</v>
      </c>
    </row>
    <row r="36">
      <c r="A36" s="2" t="s">
        <v>9302</v>
      </c>
      <c r="B36" s="3" t="str">
        <f>C36 &amp; " -&gt; " &amp; D36</f>
        <v>controller-separation -&gt; shared-step-execution-detail</v>
      </c>
      <c r="C36" s="2" t="s">
        <v>8464</v>
      </c>
      <c r="D36" s="2" t="s">
        <v>8954</v>
      </c>
      <c r="E36" s="2" t="s">
        <v>1866</v>
      </c>
    </row>
    <row r="37">
      <c r="A37" s="2" t="s">
        <v>9303</v>
      </c>
      <c r="B37" s="3" t="str">
        <f>C37 &amp; " -&gt; " &amp; D37</f>
        <v>controller-conformance -&gt; controller-ungoverned-divergence</v>
      </c>
      <c r="C37" s="2" t="s">
        <v>8469</v>
      </c>
      <c r="D37" s="2" t="s">
        <v>8474</v>
      </c>
      <c r="E37" s="2" t="s">
        <v>1866</v>
      </c>
    </row>
    <row r="38">
      <c r="A38" s="2" t="s">
        <v>9304</v>
      </c>
      <c r="B38" s="3" t="str">
        <f>C38 &amp; " -&gt; " &amp; D38</f>
        <v>controller-conformance -&gt; shared-step-execution-detail</v>
      </c>
      <c r="C38" s="2" t="s">
        <v>8469</v>
      </c>
      <c r="D38" s="2" t="s">
        <v>8954</v>
      </c>
      <c r="E38" s="2" t="s">
        <v>1866</v>
      </c>
    </row>
    <row r="39">
      <c r="A39" s="2" t="s">
        <v>9305</v>
      </c>
      <c r="B39" s="3" t="str">
        <f>C39 &amp; " -&gt; " &amp; D39</f>
        <v>controller-ungoverned-divergence -&gt; controller-conformance</v>
      </c>
      <c r="C39" s="2" t="s">
        <v>8474</v>
      </c>
      <c r="D39" s="2" t="s">
        <v>8469</v>
      </c>
      <c r="E39" s="2" t="s">
        <v>1866</v>
      </c>
    </row>
    <row r="40">
      <c r="A40" s="2" t="s">
        <v>9306</v>
      </c>
      <c r="B40" s="3" t="str">
        <f>C40 &amp; " -&gt; " &amp; D40</f>
        <v>controller-ungoverned-divergence -&gt; shared-exception-detail</v>
      </c>
      <c r="C40" s="2" t="s">
        <v>8474</v>
      </c>
      <c r="D40" s="2" t="s">
        <v>8973</v>
      </c>
      <c r="E40" s="2" t="s">
        <v>1866</v>
      </c>
    </row>
    <row r="41">
      <c r="A41" s="2" t="s">
        <v>9307</v>
      </c>
      <c r="B41" s="3" t="str">
        <f>C41 &amp; " -&gt; " &amp; D41</f>
        <v>controller-ungoverned-divergence -&gt; shared-change-request-detail</v>
      </c>
      <c r="C41" s="2" t="s">
        <v>8474</v>
      </c>
      <c r="D41" s="2" t="s">
        <v>8968</v>
      </c>
      <c r="E41" s="2" t="s">
        <v>1866</v>
      </c>
    </row>
    <row r="42">
      <c r="A42" s="2" t="s">
        <v>9308</v>
      </c>
      <c r="B42" s="3" t="str">
        <f>C42 &amp; " -&gt; " &amp; D42</f>
        <v>controller-authority-validity -&gt; cfo-authority-map</v>
      </c>
      <c r="C42" s="2" t="s">
        <v>8479</v>
      </c>
      <c r="D42" s="2" t="s">
        <v>8418</v>
      </c>
      <c r="E42" s="2" t="s">
        <v>1866</v>
      </c>
    </row>
    <row r="43">
      <c r="A43" s="2" t="s">
        <v>9309</v>
      </c>
      <c r="B43" s="3" t="str">
        <f>C43 &amp; " -&gt; " &amp; D43</f>
        <v>controller-authority-validity -&gt; shared-role-assignment-detail</v>
      </c>
      <c r="C43" s="2" t="s">
        <v>8479</v>
      </c>
      <c r="D43" s="2" t="s">
        <v>8977</v>
      </c>
      <c r="E43" s="2" t="s">
        <v>1866</v>
      </c>
    </row>
    <row r="44">
      <c r="A44" s="2" t="s">
        <v>9310</v>
      </c>
      <c r="B44" s="3" t="str">
        <f>C44 &amp; " -&gt; " &amp; D44</f>
        <v>controller-ai-boundary -&gt; hr-ai-boundary</v>
      </c>
      <c r="C44" s="2" t="s">
        <v>8483</v>
      </c>
      <c r="D44" s="2" t="s">
        <v>8580</v>
      </c>
      <c r="E44" s="2" t="s">
        <v>1866</v>
      </c>
    </row>
    <row r="45">
      <c r="A45" s="2" t="s">
        <v>9311</v>
      </c>
      <c r="B45" s="3" t="str">
        <f>C45 &amp; " -&gt; " &amp; D45</f>
        <v>controller-ai-boundary -&gt; variance-boundary</v>
      </c>
      <c r="C45" s="2" t="s">
        <v>8483</v>
      </c>
      <c r="D45" s="2" t="s">
        <v>8720</v>
      </c>
      <c r="E45" s="2" t="s">
        <v>1866</v>
      </c>
    </row>
    <row r="46">
      <c r="A46" s="2" t="s">
        <v>9312</v>
      </c>
      <c r="B46" s="3" t="str">
        <f>C46 &amp; " -&gt; " &amp; D46</f>
        <v>controller-asserted-controls -&gt; cfo-typed-conclusions</v>
      </c>
      <c r="C46" s="2" t="s">
        <v>8487</v>
      </c>
      <c r="D46" s="2" t="s">
        <v>8408</v>
      </c>
      <c r="E46" s="2" t="s">
        <v>1866</v>
      </c>
    </row>
    <row r="47">
      <c r="A47" s="2" t="s">
        <v>9313</v>
      </c>
      <c r="B47" s="3" t="str">
        <f>C47 &amp; " -&gt; " &amp; D47</f>
        <v>controller-asserted-controls -&gt; analyst-evidence-quality</v>
      </c>
      <c r="C47" s="2" t="s">
        <v>8487</v>
      </c>
      <c r="D47" s="2" t="s">
        <v>8521</v>
      </c>
      <c r="E47" s="2" t="s">
        <v>1866</v>
      </c>
    </row>
    <row r="48">
      <c r="A48" s="2" t="s">
        <v>9314</v>
      </c>
      <c r="B48" s="3" t="str">
        <f>C48 &amp; " -&gt; " &amp; D48</f>
        <v>controller-control-detail -&gt; controller-home</v>
      </c>
      <c r="C48" s="2" t="s">
        <v>8492</v>
      </c>
      <c r="D48" s="2" t="s">
        <v>8449</v>
      </c>
      <c r="E48" s="2" t="s">
        <v>1866</v>
      </c>
    </row>
    <row r="49">
      <c r="A49" s="2" t="s">
        <v>9315</v>
      </c>
      <c r="B49" s="3" t="str">
        <f>C49 &amp; " -&gt; " &amp; D49</f>
        <v>controller-control-detail -&gt; shared-requirement-detail</v>
      </c>
      <c r="C49" s="2" t="s">
        <v>8492</v>
      </c>
      <c r="D49" s="2" t="s">
        <v>8959</v>
      </c>
      <c r="E49" s="2" t="s">
        <v>1866</v>
      </c>
    </row>
    <row r="50">
      <c r="A50" s="2" t="s">
        <v>9316</v>
      </c>
      <c r="B50" s="3" t="str">
        <f>C50 &amp; " -&gt; " &amp; D50</f>
        <v>analyst-home -&gt; analyst-blocking-unmet</v>
      </c>
      <c r="C50" s="2" t="s">
        <v>8497</v>
      </c>
      <c r="D50" s="2" t="s">
        <v>8502</v>
      </c>
      <c r="E50" s="2" t="s">
        <v>1866</v>
      </c>
    </row>
    <row r="51">
      <c r="A51" s="2" t="s">
        <v>9317</v>
      </c>
      <c r="B51" s="3" t="str">
        <f>C51 &amp; " -&gt; " &amp; D51</f>
        <v>analyst-home -&gt; analyst-late-steps</v>
      </c>
      <c r="C51" s="2" t="s">
        <v>8497</v>
      </c>
      <c r="D51" s="2" t="s">
        <v>8512</v>
      </c>
      <c r="E51" s="2" t="s">
        <v>1866</v>
      </c>
    </row>
    <row r="52">
      <c r="A52" s="2" t="s">
        <v>9318</v>
      </c>
      <c r="B52" s="3" t="str">
        <f>C52 &amp; " -&gt; " &amp; D52</f>
        <v>analyst-home -&gt; shared-step-execution-detail</v>
      </c>
      <c r="C52" s="2" t="s">
        <v>8497</v>
      </c>
      <c r="D52" s="2" t="s">
        <v>8954</v>
      </c>
      <c r="E52" s="2" t="s">
        <v>1866</v>
      </c>
    </row>
    <row r="53">
      <c r="A53" s="2" t="s">
        <v>9319</v>
      </c>
      <c r="B53" s="3" t="str">
        <f>C53 &amp; " -&gt; " &amp; D53</f>
        <v>analyst-blocking-unmet -&gt; analyst-never-evaluated</v>
      </c>
      <c r="C53" s="2" t="s">
        <v>8502</v>
      </c>
      <c r="D53" s="2" t="s">
        <v>8507</v>
      </c>
      <c r="E53" s="2" t="s">
        <v>1866</v>
      </c>
    </row>
    <row r="54">
      <c r="A54" s="2" t="s">
        <v>9320</v>
      </c>
      <c r="B54" s="3" t="str">
        <f>C54 &amp; " -&gt; " &amp; D54</f>
        <v>analyst-blocking-unmet -&gt; shared-requirement-detail</v>
      </c>
      <c r="C54" s="2" t="s">
        <v>8502</v>
      </c>
      <c r="D54" s="2" t="s">
        <v>8959</v>
      </c>
      <c r="E54" s="2" t="s">
        <v>1866</v>
      </c>
    </row>
    <row r="55">
      <c r="A55" s="2" t="s">
        <v>9321</v>
      </c>
      <c r="B55" s="3" t="str">
        <f>C55 &amp; " -&gt; " &amp; D55</f>
        <v>analyst-never-evaluated -&gt; analyst-blocking-unmet</v>
      </c>
      <c r="C55" s="2" t="s">
        <v>8507</v>
      </c>
      <c r="D55" s="2" t="s">
        <v>8502</v>
      </c>
      <c r="E55" s="2" t="s">
        <v>1866</v>
      </c>
    </row>
    <row r="56">
      <c r="A56" s="2" t="s">
        <v>9322</v>
      </c>
      <c r="B56" s="3" t="str">
        <f>C56 &amp; " -&gt; " &amp; D56</f>
        <v>analyst-never-evaluated -&gt; controller-mute-controls</v>
      </c>
      <c r="C56" s="2" t="s">
        <v>8507</v>
      </c>
      <c r="D56" s="2" t="s">
        <v>8454</v>
      </c>
      <c r="E56" s="2" t="s">
        <v>1866</v>
      </c>
    </row>
    <row r="57">
      <c r="A57" s="2" t="s">
        <v>9323</v>
      </c>
      <c r="B57" s="3" t="str">
        <f>C57 &amp; " -&gt; " &amp; D57</f>
        <v>analyst-late-steps -&gt; shared-exception-detail</v>
      </c>
      <c r="C57" s="2" t="s">
        <v>8512</v>
      </c>
      <c r="D57" s="2" t="s">
        <v>8973</v>
      </c>
      <c r="E57" s="2" t="s">
        <v>1866</v>
      </c>
    </row>
    <row r="58">
      <c r="A58" s="2" t="s">
        <v>9324</v>
      </c>
      <c r="B58" s="3" t="str">
        <f>C58 &amp; " -&gt; " &amp; D58</f>
        <v>analyst-late-steps -&gt; shared-step-execution-detail</v>
      </c>
      <c r="C58" s="2" t="s">
        <v>8512</v>
      </c>
      <c r="D58" s="2" t="s">
        <v>8954</v>
      </c>
      <c r="E58" s="2" t="s">
        <v>1866</v>
      </c>
    </row>
    <row r="59">
      <c r="A59" s="2" t="s">
        <v>9325</v>
      </c>
      <c r="B59" s="3" t="str">
        <f>C59 &amp; " -&gt; " &amp; D59</f>
        <v>analyst-verification-performed -&gt; analyst-evidence-quality</v>
      </c>
      <c r="C59" s="2" t="s">
        <v>8517</v>
      </c>
      <c r="D59" s="2" t="s">
        <v>8521</v>
      </c>
      <c r="E59" s="2" t="s">
        <v>1866</v>
      </c>
    </row>
    <row r="60">
      <c r="A60" s="2" t="s">
        <v>9326</v>
      </c>
      <c r="B60" s="3" t="str">
        <f>C60 &amp; " -&gt; " &amp; D60</f>
        <v>analyst-verification-performed -&gt; shared-verification-outcomes</v>
      </c>
      <c r="C60" s="2" t="s">
        <v>8517</v>
      </c>
      <c r="D60" s="2" t="s">
        <v>9010</v>
      </c>
      <c r="E60" s="2" t="s">
        <v>1866</v>
      </c>
    </row>
    <row r="61">
      <c r="A61" s="2" t="s">
        <v>9327</v>
      </c>
      <c r="B61" s="3" t="str">
        <f>C61 &amp; " -&gt; " &amp; D61</f>
        <v>analyst-evidence-quality -&gt; controller-asserted-controls</v>
      </c>
      <c r="C61" s="2" t="s">
        <v>8521</v>
      </c>
      <c r="D61" s="2" t="s">
        <v>8487</v>
      </c>
      <c r="E61" s="2" t="s">
        <v>1866</v>
      </c>
    </row>
    <row r="62">
      <c r="A62" s="2" t="s">
        <v>9328</v>
      </c>
      <c r="B62" s="3" t="str">
        <f>C62 &amp; " -&gt; " &amp; D62</f>
        <v>analyst-evidence-quality -&gt; cfo-witness-chain</v>
      </c>
      <c r="C62" s="2" t="s">
        <v>8521</v>
      </c>
      <c r="D62" s="2" t="s">
        <v>8413</v>
      </c>
      <c r="E62" s="2" t="s">
        <v>1866</v>
      </c>
    </row>
    <row r="63">
      <c r="A63" s="2" t="s">
        <v>9329</v>
      </c>
      <c r="B63" s="3" t="str">
        <f>C63 &amp; " -&gt; " &amp; D63</f>
        <v>analyst-source-freshness -&gt; analyst-stale-then-vs-now</v>
      </c>
      <c r="C63" s="2" t="s">
        <v>8526</v>
      </c>
      <c r="D63" s="2" t="s">
        <v>8530</v>
      </c>
      <c r="E63" s="2" t="s">
        <v>1866</v>
      </c>
    </row>
    <row r="64">
      <c r="A64" s="2" t="s">
        <v>9330</v>
      </c>
      <c r="B64" s="3" t="str">
        <f>C64 &amp; " -&gt; " &amp; D64</f>
        <v>analyst-source-freshness -&gt; shared-operational-binding-detail</v>
      </c>
      <c r="C64" s="2" t="s">
        <v>8526</v>
      </c>
      <c r="D64" s="2" t="s">
        <v>8982</v>
      </c>
      <c r="E64" s="2" t="s">
        <v>1866</v>
      </c>
    </row>
    <row r="65">
      <c r="A65" s="2" t="s">
        <v>9331</v>
      </c>
      <c r="B65" s="3" t="str">
        <f>C65 &amp; " -&gt; " &amp; D65</f>
        <v>analyst-stale-then-vs-now -&gt; analyst-source-freshness</v>
      </c>
      <c r="C65" s="2" t="s">
        <v>8530</v>
      </c>
      <c r="D65" s="2" t="s">
        <v>8526</v>
      </c>
      <c r="E65" s="2" t="s">
        <v>1866</v>
      </c>
    </row>
    <row r="66">
      <c r="A66" s="2" t="s">
        <v>9332</v>
      </c>
      <c r="B66" s="3" t="str">
        <f>C66 &amp; " -&gt; " &amp; D66</f>
        <v>analyst-stale-then-vs-now -&gt; shared-evaluation-context</v>
      </c>
      <c r="C66" s="2" t="s">
        <v>8530</v>
      </c>
      <c r="D66" s="2" t="s">
        <v>9035</v>
      </c>
      <c r="E66" s="2" t="s">
        <v>1866</v>
      </c>
    </row>
    <row r="67">
      <c r="A67" s="2" t="s">
        <v>9333</v>
      </c>
      <c r="B67" s="3" t="str">
        <f>C67 &amp; " -&gt; " &amp; D67</f>
        <v>analyst-clean-but-uncovered -&gt; analyst-mute-clearance</v>
      </c>
      <c r="C67" s="2" t="s">
        <v>8535</v>
      </c>
      <c r="D67" s="2" t="s">
        <v>8540</v>
      </c>
      <c r="E67" s="2" t="s">
        <v>1866</v>
      </c>
    </row>
    <row r="68">
      <c r="A68" s="2" t="s">
        <v>9334</v>
      </c>
      <c r="B68" s="3" t="str">
        <f>C68 &amp; " -&gt; " &amp; D68</f>
        <v>analyst-clean-but-uncovered -&gt; controller-mute-controls</v>
      </c>
      <c r="C68" s="2" t="s">
        <v>8535</v>
      </c>
      <c r="D68" s="2" t="s">
        <v>8454</v>
      </c>
      <c r="E68" s="2" t="s">
        <v>1866</v>
      </c>
    </row>
    <row r="69">
      <c r="A69" s="2" t="s">
        <v>9335</v>
      </c>
      <c r="B69" s="3" t="str">
        <f>C69 &amp; " -&gt; " &amp; D69</f>
        <v>analyst-mute-clearance -&gt; controller-mute-controls</v>
      </c>
      <c r="C69" s="2" t="s">
        <v>8540</v>
      </c>
      <c r="D69" s="2" t="s">
        <v>8454</v>
      </c>
      <c r="E69" s="2" t="s">
        <v>1866</v>
      </c>
    </row>
    <row r="70">
      <c r="A70" s="2" t="s">
        <v>9336</v>
      </c>
      <c r="B70" s="3" t="str">
        <f>C70 &amp; " -&gt; " &amp; D70</f>
        <v>analyst-mute-clearance -&gt; analyst-clean-but-uncovered</v>
      </c>
      <c r="C70" s="2" t="s">
        <v>8540</v>
      </c>
      <c r="D70" s="2" t="s">
        <v>8535</v>
      </c>
      <c r="E70" s="2" t="s">
        <v>1866</v>
      </c>
    </row>
    <row r="71">
      <c r="A71" s="2" t="s">
        <v>9337</v>
      </c>
      <c r="B71" s="3" t="str">
        <f>C71 &amp; " -&gt; " &amp; D71</f>
        <v>analyst-witness-coverage -&gt; cfo-unwitnessed-controls</v>
      </c>
      <c r="C71" s="2" t="s">
        <v>8545</v>
      </c>
      <c r="D71" s="2" t="s">
        <v>8403</v>
      </c>
      <c r="E71" s="2" t="s">
        <v>1866</v>
      </c>
    </row>
    <row r="72">
      <c r="A72" s="2" t="s">
        <v>9338</v>
      </c>
      <c r="B72" s="3" t="str">
        <f>C72 &amp; " -&gt; " &amp; D72</f>
        <v>analyst-witness-coverage -&gt; cfo-typed-conclusions</v>
      </c>
      <c r="C72" s="2" t="s">
        <v>8545</v>
      </c>
      <c r="D72" s="2" t="s">
        <v>8408</v>
      </c>
      <c r="E72" s="2" t="s">
        <v>1866</v>
      </c>
    </row>
    <row r="73">
      <c r="A73" s="2" t="s">
        <v>9339</v>
      </c>
      <c r="B73" s="3" t="str">
        <f>C73 &amp; " -&gt; " &amp; D73</f>
        <v>hr-home -&gt; hr-unapproved-claims</v>
      </c>
      <c r="C73" s="2" t="s">
        <v>8550</v>
      </c>
      <c r="D73" s="2" t="s">
        <v>8555</v>
      </c>
      <c r="E73" s="2" t="s">
        <v>1866</v>
      </c>
    </row>
    <row r="74">
      <c r="A74" s="2" t="s">
        <v>9340</v>
      </c>
      <c r="B74" s="3" t="str">
        <f>C74 &amp; " -&gt; " &amp; D74</f>
        <v>hr-home -&gt; hr-backlog</v>
      </c>
      <c r="C74" s="2" t="s">
        <v>8550</v>
      </c>
      <c r="D74" s="2" t="s">
        <v>8565</v>
      </c>
      <c r="E74" s="2" t="s">
        <v>1866</v>
      </c>
    </row>
    <row r="75">
      <c r="A75" s="2" t="s">
        <v>9341</v>
      </c>
      <c r="B75" s="3" t="str">
        <f>C75 &amp; " -&gt; " &amp; D75</f>
        <v>hr-home -&gt; hr-load-bearing-claim</v>
      </c>
      <c r="C75" s="2" t="s">
        <v>8550</v>
      </c>
      <c r="D75" s="2" t="s">
        <v>8560</v>
      </c>
      <c r="E75" s="2" t="s">
        <v>1866</v>
      </c>
    </row>
    <row r="76">
      <c r="A76" s="2" t="s">
        <v>9342</v>
      </c>
      <c r="B76" s="3" t="str">
        <f>C76 &amp; " -&gt; " &amp; D76</f>
        <v>hr-unapproved-claims -&gt; hr-load-bearing-claim</v>
      </c>
      <c r="C76" s="2" t="s">
        <v>8555</v>
      </c>
      <c r="D76" s="2" t="s">
        <v>8560</v>
      </c>
      <c r="E76" s="2" t="s">
        <v>1866</v>
      </c>
    </row>
    <row r="77">
      <c r="A77" s="2" t="s">
        <v>9343</v>
      </c>
      <c r="B77" s="3" t="str">
        <f>C77 &amp; " -&gt; " &amp; D77</f>
        <v>hr-unapproved-claims -&gt; shared-knowledge-fragment-detail</v>
      </c>
      <c r="C77" s="2" t="s">
        <v>8555</v>
      </c>
      <c r="D77" s="2" t="s">
        <v>8963</v>
      </c>
      <c r="E77" s="2" t="s">
        <v>1866</v>
      </c>
    </row>
    <row r="78">
      <c r="A78" s="2" t="s">
        <v>9344</v>
      </c>
      <c r="B78" s="3" t="str">
        <f>C78 &amp; " -&gt; " &amp; D78</f>
        <v>hr-load-bearing-claim -&gt; hr-unapproved-claims</v>
      </c>
      <c r="C78" s="2" t="s">
        <v>8560</v>
      </c>
      <c r="D78" s="2" t="s">
        <v>8555</v>
      </c>
      <c r="E78" s="2" t="s">
        <v>1866</v>
      </c>
    </row>
    <row r="79">
      <c r="A79" s="2" t="s">
        <v>9345</v>
      </c>
      <c r="B79" s="3" t="str">
        <f>C79 &amp; " -&gt; " &amp; D79</f>
        <v>hr-load-bearing-claim -&gt; shared-exception-detail</v>
      </c>
      <c r="C79" s="2" t="s">
        <v>8560</v>
      </c>
      <c r="D79" s="2" t="s">
        <v>8973</v>
      </c>
      <c r="E79" s="2" t="s">
        <v>1866</v>
      </c>
    </row>
    <row r="80">
      <c r="A80" s="2" t="s">
        <v>9346</v>
      </c>
      <c r="B80" s="3" t="str">
        <f>C80 &amp; " -&gt; " &amp; D80</f>
        <v>hr-backlog -&gt; hr-backlog-downstream</v>
      </c>
      <c r="C80" s="2" t="s">
        <v>8565</v>
      </c>
      <c r="D80" s="2" t="s">
        <v>8570</v>
      </c>
      <c r="E80" s="2" t="s">
        <v>1866</v>
      </c>
    </row>
    <row r="81">
      <c r="A81" s="2" t="s">
        <v>9347</v>
      </c>
      <c r="B81" s="3" t="str">
        <f>C81 &amp; " -&gt; " &amp; D81</f>
        <v>hr-backlog -&gt; shared-change-request-detail</v>
      </c>
      <c r="C81" s="2" t="s">
        <v>8565</v>
      </c>
      <c r="D81" s="2" t="s">
        <v>8968</v>
      </c>
      <c r="E81" s="2" t="s">
        <v>1866</v>
      </c>
    </row>
    <row r="82">
      <c r="A82" s="2" t="s">
        <v>9348</v>
      </c>
      <c r="B82" s="3" t="str">
        <f>C82 &amp; " -&gt; " &amp; D82</f>
        <v>hr-backlog-downstream -&gt; hr-backlog</v>
      </c>
      <c r="C82" s="2" t="s">
        <v>8570</v>
      </c>
      <c r="D82" s="2" t="s">
        <v>8565</v>
      </c>
      <c r="E82" s="2" t="s">
        <v>1866</v>
      </c>
    </row>
    <row r="83">
      <c r="A83" s="2" t="s">
        <v>9349</v>
      </c>
      <c r="B83" s="3" t="str">
        <f>C83 &amp; " -&gt; " &amp; D83</f>
        <v>hr-backlog-downstream -&gt; steward-open-gaps</v>
      </c>
      <c r="C83" s="2" t="s">
        <v>8570</v>
      </c>
      <c r="D83" s="2" t="s">
        <v>8860</v>
      </c>
      <c r="E83" s="2" t="s">
        <v>1866</v>
      </c>
    </row>
    <row r="84">
      <c r="A84" s="2" t="s">
        <v>9350</v>
      </c>
      <c r="B84" s="3" t="str">
        <f>C84 &amp; " -&gt; " &amp; D84</f>
        <v>hr-my-decisions -&gt; steward-approved-never-lands</v>
      </c>
      <c r="C84" s="2" t="s">
        <v>8575</v>
      </c>
      <c r="D84" s="2" t="s">
        <v>8869</v>
      </c>
      <c r="E84" s="2" t="s">
        <v>1866</v>
      </c>
    </row>
    <row r="85">
      <c r="A85" s="2" t="s">
        <v>9351</v>
      </c>
      <c r="B85" s="3" t="str">
        <f>C85 &amp; " -&gt; " &amp; D85</f>
        <v>hr-my-decisions -&gt; shared-change-request-detail</v>
      </c>
      <c r="C85" s="2" t="s">
        <v>8575</v>
      </c>
      <c r="D85" s="2" t="s">
        <v>8968</v>
      </c>
      <c r="E85" s="2" t="s">
        <v>1866</v>
      </c>
    </row>
    <row r="86">
      <c r="A86" s="2" t="s">
        <v>9352</v>
      </c>
      <c r="B86" s="3" t="str">
        <f>C86 &amp; " -&gt; " &amp; D86</f>
        <v>hr-ai-boundary -&gt; controller-ai-boundary</v>
      </c>
      <c r="C86" s="2" t="s">
        <v>8580</v>
      </c>
      <c r="D86" s="2" t="s">
        <v>8483</v>
      </c>
      <c r="E86" s="2" t="s">
        <v>1866</v>
      </c>
    </row>
    <row r="87">
      <c r="A87" s="2" t="s">
        <v>9353</v>
      </c>
      <c r="B87" s="3" t="str">
        <f>C87 &amp; " -&gt; " &amp; D87</f>
        <v>hr-ai-boundary -&gt; policy-agent-commitment-boundary</v>
      </c>
      <c r="C87" s="2" t="s">
        <v>8580</v>
      </c>
      <c r="D87" s="2" t="s">
        <v>8775</v>
      </c>
      <c r="E87" s="2" t="s">
        <v>1866</v>
      </c>
    </row>
    <row r="88">
      <c r="A88" s="2" t="s">
        <v>9354</v>
      </c>
      <c r="B88" s="3" t="str">
        <f>C88 &amp; " -&gt; " &amp; D88</f>
        <v>hr-knowledge-half-life -&gt; authority-stale-elicitation</v>
      </c>
      <c r="C88" s="2" t="s">
        <v>8585</v>
      </c>
      <c r="D88" s="2" t="s">
        <v>8934</v>
      </c>
      <c r="E88" s="2" t="s">
        <v>1866</v>
      </c>
    </row>
    <row r="89">
      <c r="A89" s="2" t="s">
        <v>9355</v>
      </c>
      <c r="B89" s="3" t="str">
        <f>C89 &amp; " -&gt; " &amp; D89</f>
        <v>hr-knowledge-half-life -&gt; steward-cadence</v>
      </c>
      <c r="C89" s="2" t="s">
        <v>8585</v>
      </c>
      <c r="D89" s="2" t="s">
        <v>8850</v>
      </c>
      <c r="E89" s="2" t="s">
        <v>1866</v>
      </c>
    </row>
    <row r="90">
      <c r="A90" s="2" t="s">
        <v>9356</v>
      </c>
      <c r="B90" s="3" t="str">
        <f>C90 &amp; " -&gt; " &amp; D90</f>
        <v>hr-departed-holders -&gt; authority-orphaned-provenance</v>
      </c>
      <c r="C90" s="2" t="s">
        <v>8590</v>
      </c>
      <c r="D90" s="2" t="s">
        <v>8924</v>
      </c>
      <c r="E90" s="2" t="s">
        <v>1866</v>
      </c>
    </row>
    <row r="91">
      <c r="A91" s="2" t="s">
        <v>9357</v>
      </c>
      <c r="B91" s="3" t="str">
        <f>C91 &amp; " -&gt; " &amp; D91</f>
        <v>hr-departed-holders -&gt; shared-role-assignment-detail</v>
      </c>
      <c r="C91" s="2" t="s">
        <v>8590</v>
      </c>
      <c r="D91" s="2" t="s">
        <v>8977</v>
      </c>
      <c r="E91" s="2" t="s">
        <v>1866</v>
      </c>
    </row>
    <row r="92">
      <c r="A92" s="2" t="s">
        <v>9358</v>
      </c>
      <c r="B92" s="3" t="str">
        <f>C92 &amp; " -&gt; " &amp; D92</f>
        <v>hr-what-was-sent -&gt; comms-frozen-approval</v>
      </c>
      <c r="C92" s="2" t="s">
        <v>8595</v>
      </c>
      <c r="D92" s="2" t="s">
        <v>8649</v>
      </c>
      <c r="E92" s="2" t="s">
        <v>1866</v>
      </c>
    </row>
    <row r="93">
      <c r="A93" s="2" t="s">
        <v>9359</v>
      </c>
      <c r="B93" s="3" t="str">
        <f>C93 &amp; " -&gt; " &amp; D93</f>
        <v>hr-what-was-sent -&gt; shared-delivery-detail</v>
      </c>
      <c r="C93" s="2" t="s">
        <v>8595</v>
      </c>
      <c r="D93" s="2" t="s">
        <v>8987</v>
      </c>
      <c r="E93" s="2" t="s">
        <v>1866</v>
      </c>
    </row>
    <row r="94">
      <c r="A94" s="2" t="s">
        <v>9360</v>
      </c>
      <c r="B94" s="3" t="str">
        <f>C94 &amp; " -&gt; " &amp; D94</f>
        <v>counsel-home -&gt; counsel-consent</v>
      </c>
      <c r="C94" s="2" t="s">
        <v>8600</v>
      </c>
      <c r="D94" s="2" t="s">
        <v>8605</v>
      </c>
      <c r="E94" s="2" t="s">
        <v>1866</v>
      </c>
    </row>
    <row r="95">
      <c r="A95" s="2" t="s">
        <v>9361</v>
      </c>
      <c r="B95" s="3" t="str">
        <f>C95 &amp; " -&gt; " &amp; D95</f>
        <v>counsel-home -&gt; counsel-quiet-hours</v>
      </c>
      <c r="C95" s="2" t="s">
        <v>8600</v>
      </c>
      <c r="D95" s="2" t="s">
        <v>8609</v>
      </c>
      <c r="E95" s="2" t="s">
        <v>1866</v>
      </c>
    </row>
    <row r="96">
      <c r="A96" s="2" t="s">
        <v>9362</v>
      </c>
      <c r="B96" s="3" t="str">
        <f>C96 &amp; " -&gt; " &amp; D96</f>
        <v>counsel-home -&gt; counsel-legal-review</v>
      </c>
      <c r="C96" s="2" t="s">
        <v>8600</v>
      </c>
      <c r="D96" s="2" t="s">
        <v>8613</v>
      </c>
      <c r="E96" s="2" t="s">
        <v>1866</v>
      </c>
    </row>
    <row r="97">
      <c r="A97" s="2" t="s">
        <v>9363</v>
      </c>
      <c r="B97" s="3" t="str">
        <f>C97 &amp; " -&gt; " &amp; D97</f>
        <v>counsel-home -&gt; counsel-retention</v>
      </c>
      <c r="C97" s="2" t="s">
        <v>8600</v>
      </c>
      <c r="D97" s="2" t="s">
        <v>8617</v>
      </c>
      <c r="E97" s="2" t="s">
        <v>1866</v>
      </c>
    </row>
    <row r="98">
      <c r="A98" s="2" t="s">
        <v>9364</v>
      </c>
      <c r="B98" s="3" t="str">
        <f>C98 &amp; " -&gt; " &amp; D98</f>
        <v>counsel-consent -&gt; shared-delivery-detail</v>
      </c>
      <c r="C98" s="2" t="s">
        <v>8605</v>
      </c>
      <c r="D98" s="2" t="s">
        <v>8987</v>
      </c>
      <c r="E98" s="2" t="s">
        <v>1866</v>
      </c>
    </row>
    <row r="99">
      <c r="A99" s="2" t="s">
        <v>9365</v>
      </c>
      <c r="B99" s="3" t="str">
        <f>C99 &amp; " -&gt; " &amp; D99</f>
        <v>counsel-consent -&gt; publisher-permission-gate</v>
      </c>
      <c r="C99" s="2" t="s">
        <v>8605</v>
      </c>
      <c r="D99" s="2" t="s">
        <v>8795</v>
      </c>
      <c r="E99" s="2" t="s">
        <v>1866</v>
      </c>
    </row>
    <row r="100">
      <c r="A100" s="2" t="s">
        <v>9366</v>
      </c>
      <c r="B100" s="3" t="str">
        <f>C100 &amp; " -&gt; " &amp; D100</f>
        <v>counsel-quiet-hours -&gt; publisher-timing-gate</v>
      </c>
      <c r="C100" s="2" t="s">
        <v>8609</v>
      </c>
      <c r="D100" s="2" t="s">
        <v>8800</v>
      </c>
      <c r="E100" s="2" t="s">
        <v>1866</v>
      </c>
    </row>
    <row r="101">
      <c r="A101" s="2" t="s">
        <v>9367</v>
      </c>
      <c r="B101" s="3" t="str">
        <f>C101 &amp; " -&gt; " &amp; D101</f>
        <v>counsel-quiet-hours -&gt; shared-delivery-detail</v>
      </c>
      <c r="C101" s="2" t="s">
        <v>8609</v>
      </c>
      <c r="D101" s="2" t="s">
        <v>8987</v>
      </c>
      <c r="E101" s="2" t="s">
        <v>1866</v>
      </c>
    </row>
    <row r="102">
      <c r="A102" s="2" t="s">
        <v>9368</v>
      </c>
      <c r="B102" s="3" t="str">
        <f>C102 &amp; " -&gt; " &amp; D102</f>
        <v>counsel-legal-review -&gt; shared-review-event-detail</v>
      </c>
      <c r="C102" s="2" t="s">
        <v>8613</v>
      </c>
      <c r="D102" s="2" t="s">
        <v>9015</v>
      </c>
      <c r="E102" s="2" t="s">
        <v>1866</v>
      </c>
    </row>
    <row r="103">
      <c r="A103" s="2" t="s">
        <v>9369</v>
      </c>
      <c r="B103" s="3" t="str">
        <f>C103 &amp; " -&gt; " &amp; D103</f>
        <v>counsel-legal-review -&gt; comms-approval-authority</v>
      </c>
      <c r="C103" s="2" t="s">
        <v>8613</v>
      </c>
      <c r="D103" s="2" t="s">
        <v>8640</v>
      </c>
      <c r="E103" s="2" t="s">
        <v>1866</v>
      </c>
    </row>
    <row r="104">
      <c r="A104" s="2" t="s">
        <v>9370</v>
      </c>
      <c r="B104" s="3" t="str">
        <f>C104 &amp; " -&gt; " &amp; D104</f>
        <v>counsel-retention -&gt; comms-frozen-approval</v>
      </c>
      <c r="C104" s="2" t="s">
        <v>8617</v>
      </c>
      <c r="D104" s="2" t="s">
        <v>8649</v>
      </c>
      <c r="E104" s="2" t="s">
        <v>1866</v>
      </c>
    </row>
    <row r="105">
      <c r="A105" s="2" t="s">
        <v>9371</v>
      </c>
      <c r="B105" s="3" t="str">
        <f>C105 &amp; " -&gt; " &amp; D105</f>
        <v>counsel-retention -&gt; shared-delivery-detail</v>
      </c>
      <c r="C105" s="2" t="s">
        <v>8617</v>
      </c>
      <c r="D105" s="2" t="s">
        <v>8987</v>
      </c>
      <c r="E105" s="2" t="s">
        <v>1866</v>
      </c>
    </row>
    <row r="106">
      <c r="A106" s="2" t="s">
        <v>9372</v>
      </c>
      <c r="B106" s="3" t="str">
        <f>C106 &amp; " -&gt; " &amp; D106</f>
        <v>counsel-unreachable -&gt; comms-suppression</v>
      </c>
      <c r="C106" s="2" t="s">
        <v>8621</v>
      </c>
      <c r="D106" s="2" t="s">
        <v>8667</v>
      </c>
      <c r="E106" s="2" t="s">
        <v>1866</v>
      </c>
    </row>
    <row r="107">
      <c r="A107" s="2" t="s">
        <v>9373</v>
      </c>
      <c r="B107" s="3" t="str">
        <f>C107 &amp; " -&gt; " &amp; D107</f>
        <v>counsel-unreachable -&gt; shared-recipient-detail</v>
      </c>
      <c r="C107" s="2" t="s">
        <v>8621</v>
      </c>
      <c r="D107" s="2" t="s">
        <v>8991</v>
      </c>
      <c r="E107" s="2" t="s">
        <v>1866</v>
      </c>
    </row>
    <row r="108">
      <c r="A108" s="2" t="s">
        <v>9374</v>
      </c>
      <c r="B108" s="3" t="str">
        <f>C108 &amp; " -&gt; " &amp; D108</f>
        <v>comms-home -&gt; comms-yield</v>
      </c>
      <c r="C108" s="2" t="s">
        <v>8625</v>
      </c>
      <c r="D108" s="2" t="s">
        <v>8630</v>
      </c>
      <c r="E108" s="2" t="s">
        <v>1866</v>
      </c>
    </row>
    <row r="109">
      <c r="A109" s="2" t="s">
        <v>9375</v>
      </c>
      <c r="B109" s="3" t="str">
        <f>C109 &amp; " -&gt; " &amp; D109</f>
        <v>comms-home -&gt; comms-failed-deliveries</v>
      </c>
      <c r="C109" s="2" t="s">
        <v>8625</v>
      </c>
      <c r="D109" s="2" t="s">
        <v>8635</v>
      </c>
      <c r="E109" s="2" t="s">
        <v>1866</v>
      </c>
    </row>
    <row r="110">
      <c r="A110" s="2" t="s">
        <v>9376</v>
      </c>
      <c r="B110" s="3" t="str">
        <f>C110 &amp; " -&gt; " &amp; D110</f>
        <v>comms-home -&gt; shared-delivery-detail</v>
      </c>
      <c r="C110" s="2" t="s">
        <v>8625</v>
      </c>
      <c r="D110" s="2" t="s">
        <v>8987</v>
      </c>
      <c r="E110" s="2" t="s">
        <v>1866</v>
      </c>
    </row>
    <row r="111">
      <c r="A111" s="2" t="s">
        <v>9377</v>
      </c>
      <c r="B111" s="3" t="str">
        <f>C111 &amp; " -&gt; " &amp; D111</f>
        <v>comms-yield -&gt; comms-failed-deliveries</v>
      </c>
      <c r="C111" s="2" t="s">
        <v>8630</v>
      </c>
      <c r="D111" s="2" t="s">
        <v>8635</v>
      </c>
      <c r="E111" s="2" t="s">
        <v>1866</v>
      </c>
    </row>
    <row r="112">
      <c r="A112" s="2" t="s">
        <v>9378</v>
      </c>
      <c r="B112" s="3" t="str">
        <f>C112 &amp; " -&gt; " &amp; D112</f>
        <v>comms-yield -&gt; comms-suppression</v>
      </c>
      <c r="C112" s="2" t="s">
        <v>8630</v>
      </c>
      <c r="D112" s="2" t="s">
        <v>8667</v>
      </c>
      <c r="E112" s="2" t="s">
        <v>1866</v>
      </c>
    </row>
    <row r="113">
      <c r="A113" s="2" t="s">
        <v>9379</v>
      </c>
      <c r="B113" s="3" t="str">
        <f>C113 &amp; " -&gt; " &amp; D113</f>
        <v>comms-yield -&gt; publisher-refusals</v>
      </c>
      <c r="C113" s="2" t="s">
        <v>8630</v>
      </c>
      <c r="D113" s="2" t="s">
        <v>8815</v>
      </c>
      <c r="E113" s="2" t="s">
        <v>1866</v>
      </c>
    </row>
    <row r="114">
      <c r="A114" s="2" t="s">
        <v>9380</v>
      </c>
      <c r="B114" s="3" t="str">
        <f>C114 &amp; " -&gt; " &amp; D114</f>
        <v>comms-failed-deliveries -&gt; comms-yield</v>
      </c>
      <c r="C114" s="2" t="s">
        <v>8635</v>
      </c>
      <c r="D114" s="2" t="s">
        <v>8630</v>
      </c>
      <c r="E114" s="2" t="s">
        <v>1866</v>
      </c>
    </row>
    <row r="115">
      <c r="A115" s="2" t="s">
        <v>9381</v>
      </c>
      <c r="B115" s="3" t="str">
        <f>C115 &amp; " -&gt; " &amp; D115</f>
        <v>comms-failed-deliveries -&gt; shared-recipient-detail</v>
      </c>
      <c r="C115" s="2" t="s">
        <v>8635</v>
      </c>
      <c r="D115" s="2" t="s">
        <v>8991</v>
      </c>
      <c r="E115" s="2" t="s">
        <v>1866</v>
      </c>
    </row>
    <row r="116">
      <c r="A116" s="2" t="s">
        <v>9382</v>
      </c>
      <c r="B116" s="3" t="str">
        <f>C116 &amp; " -&gt; " &amp; D116</f>
        <v>comms-approval-authority -&gt; comms-template-drift</v>
      </c>
      <c r="C116" s="2" t="s">
        <v>8640</v>
      </c>
      <c r="D116" s="2" t="s">
        <v>8645</v>
      </c>
      <c r="E116" s="2" t="s">
        <v>1866</v>
      </c>
    </row>
    <row r="117">
      <c r="A117" s="2" t="s">
        <v>9383</v>
      </c>
      <c r="B117" s="3" t="str">
        <f>C117 &amp; " -&gt; " &amp; D117</f>
        <v>comms-approval-authority -&gt; counsel-legal-review</v>
      </c>
      <c r="C117" s="2" t="s">
        <v>8640</v>
      </c>
      <c r="D117" s="2" t="s">
        <v>8613</v>
      </c>
      <c r="E117" s="2" t="s">
        <v>1866</v>
      </c>
    </row>
    <row r="118">
      <c r="A118" s="2" t="s">
        <v>9384</v>
      </c>
      <c r="B118" s="3" t="str">
        <f>C118 &amp; " -&gt; " &amp; D118</f>
        <v>comms-template-drift -&gt; comms-frozen-approval</v>
      </c>
      <c r="C118" s="2" t="s">
        <v>8645</v>
      </c>
      <c r="D118" s="2" t="s">
        <v>8649</v>
      </c>
      <c r="E118" s="2" t="s">
        <v>1866</v>
      </c>
    </row>
    <row r="119">
      <c r="A119" s="2" t="s">
        <v>9385</v>
      </c>
      <c r="B119" s="3" t="str">
        <f>C119 &amp; " -&gt; " &amp; D119</f>
        <v>comms-template-drift -&gt; shared-template-detail</v>
      </c>
      <c r="C119" s="2" t="s">
        <v>8645</v>
      </c>
      <c r="D119" s="2" t="s">
        <v>8995</v>
      </c>
      <c r="E119" s="2" t="s">
        <v>1866</v>
      </c>
    </row>
    <row r="120">
      <c r="A120" s="2" t="s">
        <v>9386</v>
      </c>
      <c r="B120" s="3" t="str">
        <f>C120 &amp; " -&gt; " &amp; D120</f>
        <v>comms-frozen-approval -&gt; comms-template-drift</v>
      </c>
      <c r="C120" s="2" t="s">
        <v>8649</v>
      </c>
      <c r="D120" s="2" t="s">
        <v>8645</v>
      </c>
      <c r="E120" s="2" t="s">
        <v>1866</v>
      </c>
    </row>
    <row r="121">
      <c r="A121" s="2" t="s">
        <v>9387</v>
      </c>
      <c r="B121" s="3" t="str">
        <f>C121 &amp; " -&gt; " &amp; D121</f>
        <v>comms-frozen-approval -&gt; hr-what-was-sent</v>
      </c>
      <c r="C121" s="2" t="s">
        <v>8649</v>
      </c>
      <c r="D121" s="2" t="s">
        <v>8595</v>
      </c>
      <c r="E121" s="2" t="s">
        <v>1866</v>
      </c>
    </row>
    <row r="122">
      <c r="A122" s="2" t="s">
        <v>9388</v>
      </c>
      <c r="B122" s="3" t="str">
        <f>C122 &amp; " -&gt; " &amp; D122</f>
        <v>comms-frozen-approval -&gt; counsel-retention</v>
      </c>
      <c r="C122" s="2" t="s">
        <v>8649</v>
      </c>
      <c r="D122" s="2" t="s">
        <v>8617</v>
      </c>
      <c r="E122" s="2" t="s">
        <v>1866</v>
      </c>
    </row>
    <row r="123">
      <c r="A123" s="2" t="s">
        <v>9389</v>
      </c>
      <c r="B123" s="3" t="str">
        <f>C123 &amp; " -&gt; " &amp; D123</f>
        <v>comms-optout -&gt; comms-sms-limits</v>
      </c>
      <c r="C123" s="2" t="s">
        <v>8654</v>
      </c>
      <c r="D123" s="2" t="s">
        <v>8658</v>
      </c>
      <c r="E123" s="2" t="s">
        <v>1866</v>
      </c>
    </row>
    <row r="124">
      <c r="A124" s="2" t="s">
        <v>9390</v>
      </c>
      <c r="B124" s="3" t="str">
        <f>C124 &amp; " -&gt; " &amp; D124</f>
        <v>comms-optout -&gt; counsel-consent</v>
      </c>
      <c r="C124" s="2" t="s">
        <v>8654</v>
      </c>
      <c r="D124" s="2" t="s">
        <v>8605</v>
      </c>
      <c r="E124" s="2" t="s">
        <v>1866</v>
      </c>
    </row>
    <row r="125">
      <c r="A125" s="2" t="s">
        <v>9391</v>
      </c>
      <c r="B125" s="3" t="str">
        <f>C125 &amp; " -&gt; " &amp; D125</f>
        <v>comms-sms-limits -&gt; comms-optout</v>
      </c>
      <c r="C125" s="2" t="s">
        <v>8658</v>
      </c>
      <c r="D125" s="2" t="s">
        <v>8654</v>
      </c>
      <c r="E125" s="2" t="s">
        <v>1866</v>
      </c>
    </row>
    <row r="126">
      <c r="A126" s="2" t="s">
        <v>9392</v>
      </c>
      <c r="B126" s="3" t="str">
        <f>C126 &amp; " -&gt; " &amp; D126</f>
        <v>comms-sms-limits -&gt; publisher-content-gate</v>
      </c>
      <c r="C126" s="2" t="s">
        <v>8658</v>
      </c>
      <c r="D126" s="2" t="s">
        <v>8805</v>
      </c>
      <c r="E126" s="2" t="s">
        <v>1866</v>
      </c>
    </row>
    <row r="127">
      <c r="A127" s="2" t="s">
        <v>9393</v>
      </c>
      <c r="B127" s="3" t="str">
        <f>C127 &amp; " -&gt; " &amp; D127</f>
        <v>comms-engagement -&gt; comms-yield</v>
      </c>
      <c r="C127" s="2" t="s">
        <v>8662</v>
      </c>
      <c r="D127" s="2" t="s">
        <v>8630</v>
      </c>
      <c r="E127" s="2" t="s">
        <v>1866</v>
      </c>
    </row>
    <row r="128">
      <c r="A128" s="2" t="s">
        <v>9394</v>
      </c>
      <c r="B128" s="3" t="str">
        <f>C128 &amp; " -&gt; " &amp; D128</f>
        <v>comms-engagement -&gt; shared-delivery-detail</v>
      </c>
      <c r="C128" s="2" t="s">
        <v>8662</v>
      </c>
      <c r="D128" s="2" t="s">
        <v>8987</v>
      </c>
      <c r="E128" s="2" t="s">
        <v>1866</v>
      </c>
    </row>
    <row r="129">
      <c r="A129" s="2" t="s">
        <v>9395</v>
      </c>
      <c r="B129" s="3" t="str">
        <f>C129 &amp; " -&gt; " &amp; D129</f>
        <v>comms-suppression -&gt; publisher-refusals</v>
      </c>
      <c r="C129" s="2" t="s">
        <v>8667</v>
      </c>
      <c r="D129" s="2" t="s">
        <v>8815</v>
      </c>
      <c r="E129" s="2" t="s">
        <v>1866</v>
      </c>
    </row>
    <row r="130">
      <c r="A130" s="2" t="s">
        <v>9396</v>
      </c>
      <c r="B130" s="3" t="str">
        <f>C130 &amp; " -&gt; " &amp; D130</f>
        <v>comms-suppression -&gt; counsel-unreachable</v>
      </c>
      <c r="C130" s="2" t="s">
        <v>8667</v>
      </c>
      <c r="D130" s="2" t="s">
        <v>8621</v>
      </c>
      <c r="E130" s="2" t="s">
        <v>1866</v>
      </c>
    </row>
    <row r="131">
      <c r="A131" s="2" t="s">
        <v>9397</v>
      </c>
      <c r="B131" s="3" t="str">
        <f>C131 &amp; " -&gt; " &amp; D131</f>
        <v>comms-authorization-override -&gt; publisher-refusals</v>
      </c>
      <c r="C131" s="2" t="s">
        <v>8672</v>
      </c>
      <c r="D131" s="2" t="s">
        <v>8815</v>
      </c>
      <c r="E131" s="2" t="s">
        <v>1866</v>
      </c>
    </row>
    <row r="132">
      <c r="A132" s="2" t="s">
        <v>9398</v>
      </c>
      <c r="B132" s="3" t="str">
        <f>C132 &amp; " -&gt; " &amp; D132</f>
        <v>comms-authorization-override -&gt; comms-approval-authority</v>
      </c>
      <c r="C132" s="2" t="s">
        <v>8672</v>
      </c>
      <c r="D132" s="2" t="s">
        <v>8640</v>
      </c>
      <c r="E132" s="2" t="s">
        <v>1866</v>
      </c>
    </row>
    <row r="133">
      <c r="A133" s="2" t="s">
        <v>9399</v>
      </c>
      <c r="B133" s="3" t="str">
        <f>C133 &amp; " -&gt; " &amp; D133</f>
        <v>close-auto-home -&gt; close-auto-authority</v>
      </c>
      <c r="C133" s="2" t="s">
        <v>8677</v>
      </c>
      <c r="D133" s="2" t="s">
        <v>8682</v>
      </c>
      <c r="E133" s="2" t="s">
        <v>1866</v>
      </c>
    </row>
    <row r="134">
      <c r="A134" s="2" t="s">
        <v>9400</v>
      </c>
      <c r="B134" s="3" t="str">
        <f>C134 &amp; " -&gt; " &amp; D134</f>
        <v>close-auto-home -&gt; close-auto-inputs</v>
      </c>
      <c r="C134" s="2" t="s">
        <v>8677</v>
      </c>
      <c r="D134" s="2" t="s">
        <v>8687</v>
      </c>
      <c r="E134" s="2" t="s">
        <v>1866</v>
      </c>
    </row>
    <row r="135">
      <c r="A135" s="2" t="s">
        <v>9401</v>
      </c>
      <c r="B135" s="3" t="str">
        <f>C135 &amp; " -&gt; " &amp; D135</f>
        <v>close-auto-home -&gt; close-auto-last-run</v>
      </c>
      <c r="C135" s="2" t="s">
        <v>8677</v>
      </c>
      <c r="D135" s="2" t="s">
        <v>8697</v>
      </c>
      <c r="E135" s="2" t="s">
        <v>1866</v>
      </c>
    </row>
    <row r="136">
      <c r="A136" s="2" t="s">
        <v>9402</v>
      </c>
      <c r="B136" s="3" t="str">
        <f>C136 &amp; " -&gt; " &amp; D136</f>
        <v>close-auto-authority -&gt; shared-role-assignment-detail</v>
      </c>
      <c r="C136" s="2" t="s">
        <v>8682</v>
      </c>
      <c r="D136" s="2" t="s">
        <v>8977</v>
      </c>
      <c r="E136" s="2" t="s">
        <v>1866</v>
      </c>
    </row>
    <row r="137">
      <c r="A137" s="2" t="s">
        <v>9403</v>
      </c>
      <c r="B137" s="3" t="str">
        <f>C137 &amp; " -&gt; " &amp; D137</f>
        <v>close-auto-authority -&gt; publisher-my-authorization</v>
      </c>
      <c r="C137" s="2" t="s">
        <v>8682</v>
      </c>
      <c r="D137" s="2" t="s">
        <v>8835</v>
      </c>
      <c r="E137" s="2" t="s">
        <v>1866</v>
      </c>
    </row>
    <row r="138">
      <c r="A138" s="2" t="s">
        <v>9404</v>
      </c>
      <c r="B138" s="3" t="str">
        <f>C138 &amp; " -&gt; " &amp; D138</f>
        <v>close-auto-inputs -&gt; shared-operational-binding-detail</v>
      </c>
      <c r="C138" s="2" t="s">
        <v>8687</v>
      </c>
      <c r="D138" s="2" t="s">
        <v>8982</v>
      </c>
      <c r="E138" s="2" t="s">
        <v>1866</v>
      </c>
    </row>
    <row r="139">
      <c r="A139" s="2" t="s">
        <v>9405</v>
      </c>
      <c r="B139" s="3" t="str">
        <f>C139 &amp; " -&gt; " &amp; D139</f>
        <v>close-auto-inputs -&gt; analyst-source-freshness</v>
      </c>
      <c r="C139" s="2" t="s">
        <v>8687</v>
      </c>
      <c r="D139" s="2" t="s">
        <v>8526</v>
      </c>
      <c r="E139" s="2" t="s">
        <v>1866</v>
      </c>
    </row>
    <row r="140">
      <c r="A140" s="2" t="s">
        <v>9406</v>
      </c>
      <c r="B140" s="3" t="str">
        <f>C140 &amp; " -&gt; " &amp; D140</f>
        <v>close-auto-controls -&gt; analyst-never-evaluated</v>
      </c>
      <c r="C140" s="2" t="s">
        <v>8692</v>
      </c>
      <c r="D140" s="2" t="s">
        <v>8507</v>
      </c>
      <c r="E140" s="2" t="s">
        <v>1866</v>
      </c>
    </row>
    <row r="141">
      <c r="A141" s="2" t="s">
        <v>9407</v>
      </c>
      <c r="B141" s="3" t="str">
        <f>C141 &amp; " -&gt; " &amp; D141</f>
        <v>close-auto-controls -&gt; controller-home</v>
      </c>
      <c r="C141" s="2" t="s">
        <v>8692</v>
      </c>
      <c r="D141" s="2" t="s">
        <v>8449</v>
      </c>
      <c r="E141" s="2" t="s">
        <v>1866</v>
      </c>
    </row>
    <row r="142">
      <c r="A142" s="2" t="s">
        <v>9408</v>
      </c>
      <c r="B142" s="3" t="str">
        <f>C142 &amp; " -&gt; " &amp; D142</f>
        <v>close-auto-last-run -&gt; shared-step-execution-detail</v>
      </c>
      <c r="C142" s="2" t="s">
        <v>8697</v>
      </c>
      <c r="D142" s="2" t="s">
        <v>8954</v>
      </c>
      <c r="E142" s="2" t="s">
        <v>1866</v>
      </c>
    </row>
    <row r="143">
      <c r="A143" s="2" t="s">
        <v>9409</v>
      </c>
      <c r="B143" s="3" t="str">
        <f>C143 &amp; " -&gt; " &amp; D143</f>
        <v>close-auto-last-run -&gt; close-auto-home</v>
      </c>
      <c r="C143" s="2" t="s">
        <v>8697</v>
      </c>
      <c r="D143" s="2" t="s">
        <v>8677</v>
      </c>
      <c r="E143" s="2" t="s">
        <v>1866</v>
      </c>
    </row>
    <row r="144">
      <c r="A144" s="2" t="s">
        <v>9410</v>
      </c>
      <c r="B144" s="3" t="str">
        <f>C144 &amp; " -&gt; " &amp; D144</f>
        <v>close-auto-drift -&gt; variance-override-signal</v>
      </c>
      <c r="C144" s="2" t="s">
        <v>8701</v>
      </c>
      <c r="D144" s="2" t="s">
        <v>8750</v>
      </c>
      <c r="E144" s="2" t="s">
        <v>1866</v>
      </c>
    </row>
    <row r="145">
      <c r="A145" s="2" t="s">
        <v>9411</v>
      </c>
      <c r="B145" s="3" t="str">
        <f>C145 &amp; " -&gt; " &amp; D145</f>
        <v>close-auto-drift -&gt; variance-quality-baseline</v>
      </c>
      <c r="C145" s="2" t="s">
        <v>8701</v>
      </c>
      <c r="D145" s="2" t="s">
        <v>8740</v>
      </c>
      <c r="E145" s="2" t="s">
        <v>1866</v>
      </c>
    </row>
    <row r="146">
      <c r="A146" s="2" t="s">
        <v>9412</v>
      </c>
      <c r="B146" s="3" t="str">
        <f>C146 &amp; " -&gt; " &amp; D146</f>
        <v>variance-home -&gt; variance-authority</v>
      </c>
      <c r="C146" s="2" t="s">
        <v>8706</v>
      </c>
      <c r="D146" s="2" t="s">
        <v>8711</v>
      </c>
      <c r="E146" s="2" t="s">
        <v>1866</v>
      </c>
    </row>
    <row r="147">
      <c r="A147" s="2" t="s">
        <v>9413</v>
      </c>
      <c r="B147" s="3" t="str">
        <f>C147 &amp; " -&gt; " &amp; D147</f>
        <v>variance-home -&gt; variance-boundary</v>
      </c>
      <c r="C147" s="2" t="s">
        <v>8706</v>
      </c>
      <c r="D147" s="2" t="s">
        <v>8720</v>
      </c>
      <c r="E147" s="2" t="s">
        <v>1866</v>
      </c>
    </row>
    <row r="148">
      <c r="A148" s="2" t="s">
        <v>9414</v>
      </c>
      <c r="B148" s="3" t="str">
        <f>C148 &amp; " -&gt; " &amp; D148</f>
        <v>variance-home -&gt; variance-knowledge-currency</v>
      </c>
      <c r="C148" s="2" t="s">
        <v>8706</v>
      </c>
      <c r="D148" s="2" t="s">
        <v>8735</v>
      </c>
      <c r="E148" s="2" t="s">
        <v>1866</v>
      </c>
    </row>
    <row r="149">
      <c r="A149" s="2" t="s">
        <v>9415</v>
      </c>
      <c r="B149" s="3" t="str">
        <f>C149 &amp; " -&gt; " &amp; D149</f>
        <v>variance-authority -&gt; shared-role-assignment-detail</v>
      </c>
      <c r="C149" s="2" t="s">
        <v>8711</v>
      </c>
      <c r="D149" s="2" t="s">
        <v>8977</v>
      </c>
      <c r="E149" s="2" t="s">
        <v>1866</v>
      </c>
    </row>
    <row r="150">
      <c r="A150" s="2" t="s">
        <v>9416</v>
      </c>
      <c r="B150" s="3" t="str">
        <f>C150 &amp; " -&gt; " &amp; D150</f>
        <v>variance-authority -&gt; variance-handover</v>
      </c>
      <c r="C150" s="2" t="s">
        <v>8711</v>
      </c>
      <c r="D150" s="2" t="s">
        <v>8715</v>
      </c>
      <c r="E150" s="2" t="s">
        <v>1866</v>
      </c>
    </row>
    <row r="151">
      <c r="A151" s="2" t="s">
        <v>9417</v>
      </c>
      <c r="B151" s="3" t="str">
        <f>C151 &amp; " -&gt; " &amp; D151</f>
        <v>variance-handover -&gt; variance-authority</v>
      </c>
      <c r="C151" s="2" t="s">
        <v>8715</v>
      </c>
      <c r="D151" s="2" t="s">
        <v>8711</v>
      </c>
      <c r="E151" s="2" t="s">
        <v>1866</v>
      </c>
    </row>
    <row r="152">
      <c r="A152" s="2" t="s">
        <v>9418</v>
      </c>
      <c r="B152" s="3" t="str">
        <f>C152 &amp; " -&gt; " &amp; D152</f>
        <v>variance-handover -&gt; controller-ai-boundary</v>
      </c>
      <c r="C152" s="2" t="s">
        <v>8715</v>
      </c>
      <c r="D152" s="2" t="s">
        <v>8483</v>
      </c>
      <c r="E152" s="2" t="s">
        <v>1866</v>
      </c>
    </row>
    <row r="153">
      <c r="A153" s="2" t="s">
        <v>9419</v>
      </c>
      <c r="B153" s="3" t="str">
        <f>C153 &amp; " -&gt; " &amp; D153</f>
        <v>variance-boundary -&gt; variance-boundary-ratification</v>
      </c>
      <c r="C153" s="2" t="s">
        <v>8720</v>
      </c>
      <c r="D153" s="2" t="s">
        <v>8725</v>
      </c>
      <c r="E153" s="2" t="s">
        <v>1866</v>
      </c>
    </row>
    <row r="154">
      <c r="A154" s="2" t="s">
        <v>9420</v>
      </c>
      <c r="B154" s="3" t="str">
        <f>C154 &amp; " -&gt; " &amp; D154</f>
        <v>variance-boundary -&gt; hr-ai-boundary</v>
      </c>
      <c r="C154" s="2" t="s">
        <v>8720</v>
      </c>
      <c r="D154" s="2" t="s">
        <v>8580</v>
      </c>
      <c r="E154" s="2" t="s">
        <v>1866</v>
      </c>
    </row>
    <row r="155">
      <c r="A155" s="2" t="s">
        <v>9421</v>
      </c>
      <c r="B155" s="3" t="str">
        <f>C155 &amp; " -&gt; " &amp; D155</f>
        <v>variance-boundary-ratification -&gt; authority-expired-ratifier</v>
      </c>
      <c r="C155" s="2" t="s">
        <v>8725</v>
      </c>
      <c r="D155" s="2" t="s">
        <v>8919</v>
      </c>
      <c r="E155" s="2" t="s">
        <v>1866</v>
      </c>
    </row>
    <row r="156">
      <c r="A156" s="2" t="s">
        <v>9422</v>
      </c>
      <c r="B156" s="3" t="str">
        <f>C156 &amp; " -&gt; " &amp; D156</f>
        <v>variance-boundary-ratification -&gt; variance-boundary</v>
      </c>
      <c r="C156" s="2" t="s">
        <v>8725</v>
      </c>
      <c r="D156" s="2" t="s">
        <v>8720</v>
      </c>
      <c r="E156" s="2" t="s">
        <v>1866</v>
      </c>
    </row>
    <row r="157">
      <c r="A157" s="2" t="s">
        <v>9423</v>
      </c>
      <c r="B157" s="3" t="str">
        <f>C157 &amp; " -&gt; " &amp; D157</f>
        <v>variance-human-confirmation -&gt; controller-ai-boundary</v>
      </c>
      <c r="C157" s="2" t="s">
        <v>8730</v>
      </c>
      <c r="D157" s="2" t="s">
        <v>8483</v>
      </c>
      <c r="E157" s="2" t="s">
        <v>1866</v>
      </c>
    </row>
    <row r="158">
      <c r="A158" s="2" t="s">
        <v>9424</v>
      </c>
      <c r="B158" s="3" t="str">
        <f>C158 &amp; " -&gt; " &amp; D158</f>
        <v>variance-human-confirmation -&gt; shared-step-execution-detail</v>
      </c>
      <c r="C158" s="2" t="s">
        <v>8730</v>
      </c>
      <c r="D158" s="2" t="s">
        <v>8954</v>
      </c>
      <c r="E158" s="2" t="s">
        <v>1866</v>
      </c>
    </row>
    <row r="159">
      <c r="A159" s="2" t="s">
        <v>9425</v>
      </c>
      <c r="B159" s="3" t="str">
        <f>C159 &amp; " -&gt; " &amp; D159</f>
        <v>variance-knowledge-currency -&gt; authority-fragment-decay</v>
      </c>
      <c r="C159" s="2" t="s">
        <v>8735</v>
      </c>
      <c r="D159" s="2" t="s">
        <v>8904</v>
      </c>
      <c r="E159" s="2" t="s">
        <v>1866</v>
      </c>
    </row>
    <row r="160">
      <c r="A160" s="2" t="s">
        <v>9426</v>
      </c>
      <c r="B160" s="3" t="str">
        <f>C160 &amp; " -&gt; " &amp; D160</f>
        <v>variance-knowledge-currency -&gt; shared-knowledge-fragment-detail</v>
      </c>
      <c r="C160" s="2" t="s">
        <v>8735</v>
      </c>
      <c r="D160" s="2" t="s">
        <v>8963</v>
      </c>
      <c r="E160" s="2" t="s">
        <v>1866</v>
      </c>
    </row>
    <row r="161">
      <c r="A161" s="2" t="s">
        <v>9427</v>
      </c>
      <c r="B161" s="3" t="str">
        <f>C161 &amp; " -&gt; " &amp; D161</f>
        <v>variance-quality-baseline -&gt; variance-sample-size</v>
      </c>
      <c r="C161" s="2" t="s">
        <v>8740</v>
      </c>
      <c r="D161" s="2" t="s">
        <v>8745</v>
      </c>
      <c r="E161" s="2" t="s">
        <v>1866</v>
      </c>
    </row>
    <row r="162">
      <c r="A162" s="2" t="s">
        <v>9428</v>
      </c>
      <c r="B162" s="3" t="str">
        <f>C162 &amp; " -&gt; " &amp; D162</f>
        <v>variance-quality-baseline -&gt; close-auto-drift</v>
      </c>
      <c r="C162" s="2" t="s">
        <v>8740</v>
      </c>
      <c r="D162" s="2" t="s">
        <v>8701</v>
      </c>
      <c r="E162" s="2" t="s">
        <v>1866</v>
      </c>
    </row>
    <row r="163">
      <c r="A163" s="2" t="s">
        <v>9429</v>
      </c>
      <c r="B163" s="3" t="str">
        <f>C163 &amp; " -&gt; " &amp; D163</f>
        <v>variance-sample-size -&gt; variance-quality-baseline</v>
      </c>
      <c r="C163" s="2" t="s">
        <v>8745</v>
      </c>
      <c r="D163" s="2" t="s">
        <v>8740</v>
      </c>
      <c r="E163" s="2" t="s">
        <v>1866</v>
      </c>
    </row>
    <row r="164">
      <c r="A164" s="2" t="s">
        <v>9430</v>
      </c>
      <c r="B164" s="3" t="str">
        <f>C164 &amp; " -&gt; " &amp; D164</f>
        <v>variance-override-signal -&gt; close-auto-drift</v>
      </c>
      <c r="C164" s="2" t="s">
        <v>8750</v>
      </c>
      <c r="D164" s="2" t="s">
        <v>8701</v>
      </c>
      <c r="E164" s="2" t="s">
        <v>1866</v>
      </c>
    </row>
    <row r="165">
      <c r="A165" s="2" t="s">
        <v>9431</v>
      </c>
      <c r="B165" s="3" t="str">
        <f>C165 &amp; " -&gt; " &amp; D165</f>
        <v>variance-override-signal -&gt; variance-human-confirmation</v>
      </c>
      <c r="C165" s="2" t="s">
        <v>8750</v>
      </c>
      <c r="D165" s="2" t="s">
        <v>8730</v>
      </c>
      <c r="E165" s="2" t="s">
        <v>1866</v>
      </c>
    </row>
    <row r="166">
      <c r="A166" s="2" t="s">
        <v>9432</v>
      </c>
      <c r="B166" s="3" t="str">
        <f>C166 &amp; " -&gt; " &amp; D166</f>
        <v>variance-stop-condition -&gt; close-auto-home</v>
      </c>
      <c r="C166" s="2" t="s">
        <v>8755</v>
      </c>
      <c r="D166" s="2" t="s">
        <v>8677</v>
      </c>
      <c r="E166" s="2" t="s">
        <v>1866</v>
      </c>
    </row>
    <row r="167">
      <c r="A167" s="2" t="s">
        <v>9433</v>
      </c>
      <c r="B167" s="3" t="str">
        <f>C167 &amp; " -&gt; " &amp; D167</f>
        <v>variance-stop-condition -&gt; publisher-permission-gate</v>
      </c>
      <c r="C167" s="2" t="s">
        <v>8755</v>
      </c>
      <c r="D167" s="2" t="s">
        <v>8795</v>
      </c>
      <c r="E167" s="2" t="s">
        <v>1866</v>
      </c>
    </row>
    <row r="168">
      <c r="A168" s="2" t="s">
        <v>9434</v>
      </c>
      <c r="B168" s="3" t="str">
        <f>C168 &amp; " -&gt; " &amp; D168</f>
        <v>policy-agent-home -&gt; policy-agent-sources</v>
      </c>
      <c r="C168" s="2" t="s">
        <v>8760</v>
      </c>
      <c r="D168" s="2" t="s">
        <v>8765</v>
      </c>
      <c r="E168" s="2" t="s">
        <v>1866</v>
      </c>
    </row>
    <row r="169">
      <c r="A169" s="2" t="s">
        <v>9435</v>
      </c>
      <c r="B169" s="3" t="str">
        <f>C169 &amp; " -&gt; " &amp; D169</f>
        <v>policy-agent-home -&gt; policy-agent-assignment</v>
      </c>
      <c r="C169" s="2" t="s">
        <v>8760</v>
      </c>
      <c r="D169" s="2" t="s">
        <v>8770</v>
      </c>
      <c r="E169" s="2" t="s">
        <v>1866</v>
      </c>
    </row>
    <row r="170">
      <c r="A170" s="2" t="s">
        <v>9436</v>
      </c>
      <c r="B170" s="3" t="str">
        <f>C170 &amp; " -&gt; " &amp; D170</f>
        <v>policy-agent-sources -&gt; shared-operational-binding-detail</v>
      </c>
      <c r="C170" s="2" t="s">
        <v>8765</v>
      </c>
      <c r="D170" s="2" t="s">
        <v>8982</v>
      </c>
      <c r="E170" s="2" t="s">
        <v>1866</v>
      </c>
    </row>
    <row r="171">
      <c r="A171" s="2" t="s">
        <v>9437</v>
      </c>
      <c r="B171" s="3" t="str">
        <f>C171 &amp; " -&gt; " &amp; D171</f>
        <v>policy-agent-sources -&gt; close-auto-inputs</v>
      </c>
      <c r="C171" s="2" t="s">
        <v>8765</v>
      </c>
      <c r="D171" s="2" t="s">
        <v>8687</v>
      </c>
      <c r="E171" s="2" t="s">
        <v>1866</v>
      </c>
    </row>
    <row r="172">
      <c r="A172" s="2" t="s">
        <v>9438</v>
      </c>
      <c r="B172" s="3" t="str">
        <f>C172 &amp; " -&gt; " &amp; D172</f>
        <v>policy-agent-assignment -&gt; shared-role-assignment-detail</v>
      </c>
      <c r="C172" s="2" t="s">
        <v>8770</v>
      </c>
      <c r="D172" s="2" t="s">
        <v>8977</v>
      </c>
      <c r="E172" s="2" t="s">
        <v>1866</v>
      </c>
    </row>
    <row r="173">
      <c r="A173" s="2" t="s">
        <v>9439</v>
      </c>
      <c r="B173" s="3" t="str">
        <f>C173 &amp; " -&gt; " &amp; D173</f>
        <v>policy-agent-assignment -&gt; variance-authority</v>
      </c>
      <c r="C173" s="2" t="s">
        <v>8770</v>
      </c>
      <c r="D173" s="2" t="s">
        <v>8711</v>
      </c>
      <c r="E173" s="2" t="s">
        <v>1866</v>
      </c>
    </row>
    <row r="174">
      <c r="A174" s="2" t="s">
        <v>9440</v>
      </c>
      <c r="B174" s="3" t="str">
        <f>C174 &amp; " -&gt; " &amp; D174</f>
        <v>policy-agent-commitment-boundary -&gt; hr-ai-boundary</v>
      </c>
      <c r="C174" s="2" t="s">
        <v>8775</v>
      </c>
      <c r="D174" s="2" t="s">
        <v>8580</v>
      </c>
      <c r="E174" s="2" t="s">
        <v>1866</v>
      </c>
    </row>
    <row r="175">
      <c r="A175" s="2" t="s">
        <v>9441</v>
      </c>
      <c r="B175" s="3" t="str">
        <f>C175 &amp; " -&gt; " &amp; D175</f>
        <v>policy-agent-commitment-boundary -&gt; variance-boundary</v>
      </c>
      <c r="C175" s="2" t="s">
        <v>8775</v>
      </c>
      <c r="D175" s="2" t="s">
        <v>8720</v>
      </c>
      <c r="E175" s="2" t="s">
        <v>1866</v>
      </c>
    </row>
    <row r="176">
      <c r="A176" s="2" t="s">
        <v>9442</v>
      </c>
      <c r="B176" s="3" t="str">
        <f>C176 &amp; " -&gt; " &amp; D176</f>
        <v>policy-agent-approval-chain -&gt; comms-approval-authority</v>
      </c>
      <c r="C176" s="2" t="s">
        <v>8780</v>
      </c>
      <c r="D176" s="2" t="s">
        <v>8640</v>
      </c>
      <c r="E176" s="2" t="s">
        <v>1866</v>
      </c>
    </row>
    <row r="177">
      <c r="A177" s="2" t="s">
        <v>9443</v>
      </c>
      <c r="B177" s="3" t="str">
        <f>C177 &amp; " -&gt; " &amp; D177</f>
        <v>policy-agent-approval-chain -&gt; counsel-legal-review</v>
      </c>
      <c r="C177" s="2" t="s">
        <v>8780</v>
      </c>
      <c r="D177" s="2" t="s">
        <v>8613</v>
      </c>
      <c r="E177" s="2" t="s">
        <v>1866</v>
      </c>
    </row>
    <row r="178">
      <c r="A178" s="2" t="s">
        <v>9444</v>
      </c>
      <c r="B178" s="3" t="str">
        <f>C178 &amp; " -&gt; " &amp; D178</f>
        <v>policy-agent-rewrite -&gt; variance-override-signal</v>
      </c>
      <c r="C178" s="2" t="s">
        <v>8785</v>
      </c>
      <c r="D178" s="2" t="s">
        <v>8750</v>
      </c>
      <c r="E178" s="2" t="s">
        <v>1866</v>
      </c>
    </row>
    <row r="179">
      <c r="A179" s="2" t="s">
        <v>9445</v>
      </c>
      <c r="B179" s="3" t="str">
        <f>C179 &amp; " -&gt; " &amp; D179</f>
        <v>policy-agent-rewrite -&gt; shared-step-execution-detail</v>
      </c>
      <c r="C179" s="2" t="s">
        <v>8785</v>
      </c>
      <c r="D179" s="2" t="s">
        <v>8954</v>
      </c>
      <c r="E179" s="2" t="s">
        <v>1866</v>
      </c>
    </row>
    <row r="180">
      <c r="A180" s="2" t="s">
        <v>9446</v>
      </c>
      <c r="B180" s="3" t="str">
        <f>C180 &amp; " -&gt; " &amp; D180</f>
        <v>publisher-home -&gt; publisher-permission-gate</v>
      </c>
      <c r="C180" s="2" t="s">
        <v>8790</v>
      </c>
      <c r="D180" s="2" t="s">
        <v>8795</v>
      </c>
      <c r="E180" s="2" t="s">
        <v>1866</v>
      </c>
    </row>
    <row r="181">
      <c r="A181" s="2" t="s">
        <v>9447</v>
      </c>
      <c r="B181" s="3" t="str">
        <f>C181 &amp; " -&gt; " &amp; D181</f>
        <v>publisher-home -&gt; publisher-timing-gate</v>
      </c>
      <c r="C181" s="2" t="s">
        <v>8790</v>
      </c>
      <c r="D181" s="2" t="s">
        <v>8800</v>
      </c>
      <c r="E181" s="2" t="s">
        <v>1866</v>
      </c>
    </row>
    <row r="182">
      <c r="A182" s="2" t="s">
        <v>9448</v>
      </c>
      <c r="B182" s="3" t="str">
        <f>C182 &amp; " -&gt; " &amp; D182</f>
        <v>publisher-home -&gt; publisher-content-gate</v>
      </c>
      <c r="C182" s="2" t="s">
        <v>8790</v>
      </c>
      <c r="D182" s="2" t="s">
        <v>8805</v>
      </c>
      <c r="E182" s="2" t="s">
        <v>1866</v>
      </c>
    </row>
    <row r="183">
      <c r="A183" s="2" t="s">
        <v>9449</v>
      </c>
      <c r="B183" s="3" t="str">
        <f>C183 &amp; " -&gt; " &amp; D183</f>
        <v>publisher-home -&gt; publisher-authorization-gate</v>
      </c>
      <c r="C183" s="2" t="s">
        <v>8790</v>
      </c>
      <c r="D183" s="2" t="s">
        <v>8810</v>
      </c>
      <c r="E183" s="2" t="s">
        <v>1866</v>
      </c>
    </row>
    <row r="184">
      <c r="A184" s="2" t="s">
        <v>9450</v>
      </c>
      <c r="B184" s="3" t="str">
        <f>C184 &amp; " -&gt; " &amp; D184</f>
        <v>publisher-permission-gate -&gt; counsel-consent</v>
      </c>
      <c r="C184" s="2" t="s">
        <v>8795</v>
      </c>
      <c r="D184" s="2" t="s">
        <v>8605</v>
      </c>
      <c r="E184" s="2" t="s">
        <v>1866</v>
      </c>
    </row>
    <row r="185">
      <c r="A185" s="2" t="s">
        <v>9451</v>
      </c>
      <c r="B185" s="3" t="str">
        <f>C185 &amp; " -&gt; " &amp; D185</f>
        <v>publisher-permission-gate -&gt; shared-recipient-detail</v>
      </c>
      <c r="C185" s="2" t="s">
        <v>8795</v>
      </c>
      <c r="D185" s="2" t="s">
        <v>8991</v>
      </c>
      <c r="E185" s="2" t="s">
        <v>1866</v>
      </c>
    </row>
    <row r="186">
      <c r="A186" s="2" t="s">
        <v>9452</v>
      </c>
      <c r="B186" s="3" t="str">
        <f>C186 &amp; " -&gt; " &amp; D186</f>
        <v>publisher-timing-gate -&gt; counsel-quiet-hours</v>
      </c>
      <c r="C186" s="2" t="s">
        <v>8800</v>
      </c>
      <c r="D186" s="2" t="s">
        <v>8609</v>
      </c>
      <c r="E186" s="2" t="s">
        <v>1866</v>
      </c>
    </row>
    <row r="187">
      <c r="A187" s="2" t="s">
        <v>9453</v>
      </c>
      <c r="B187" s="3" t="str">
        <f>C187 &amp; " -&gt; " &amp; D187</f>
        <v>publisher-timing-gate -&gt; publisher-deferred</v>
      </c>
      <c r="C187" s="2" t="s">
        <v>8800</v>
      </c>
      <c r="D187" s="2" t="s">
        <v>8825</v>
      </c>
      <c r="E187" s="2" t="s">
        <v>1866</v>
      </c>
    </row>
    <row r="188">
      <c r="A188" s="2" t="s">
        <v>9454</v>
      </c>
      <c r="B188" s="3" t="str">
        <f>C188 &amp; " -&gt; " &amp; D188</f>
        <v>publisher-content-gate -&gt; comms-sms-limits</v>
      </c>
      <c r="C188" s="2" t="s">
        <v>8805</v>
      </c>
      <c r="D188" s="2" t="s">
        <v>8658</v>
      </c>
      <c r="E188" s="2" t="s">
        <v>1866</v>
      </c>
    </row>
    <row r="189">
      <c r="A189" s="2" t="s">
        <v>9455</v>
      </c>
      <c r="B189" s="3" t="str">
        <f>C189 &amp; " -&gt; " &amp; D189</f>
        <v>publisher-content-gate -&gt; comms-optout</v>
      </c>
      <c r="C189" s="2" t="s">
        <v>8805</v>
      </c>
      <c r="D189" s="2" t="s">
        <v>8654</v>
      </c>
      <c r="E189" s="2" t="s">
        <v>1866</v>
      </c>
    </row>
    <row r="190">
      <c r="A190" s="2" t="s">
        <v>9456</v>
      </c>
      <c r="B190" s="3" t="str">
        <f>C190 &amp; " -&gt; " &amp; D190</f>
        <v>publisher-authorization-gate -&gt; comms-approval-authority</v>
      </c>
      <c r="C190" s="2" t="s">
        <v>8810</v>
      </c>
      <c r="D190" s="2" t="s">
        <v>8640</v>
      </c>
      <c r="E190" s="2" t="s">
        <v>1866</v>
      </c>
    </row>
    <row r="191">
      <c r="A191" s="2" t="s">
        <v>9457</v>
      </c>
      <c r="B191" s="3" t="str">
        <f>C191 &amp; " -&gt; " &amp; D191</f>
        <v>publisher-authorization-gate -&gt; policy-agent-approval-chain</v>
      </c>
      <c r="C191" s="2" t="s">
        <v>8810</v>
      </c>
      <c r="D191" s="2" t="s">
        <v>8780</v>
      </c>
      <c r="E191" s="2" t="s">
        <v>1866</v>
      </c>
    </row>
    <row r="192">
      <c r="A192" s="2" t="s">
        <v>9458</v>
      </c>
      <c r="B192" s="3" t="str">
        <f>C192 &amp; " -&gt; " &amp; D192</f>
        <v>publisher-refusals -&gt; publisher-refusal-artifacts</v>
      </c>
      <c r="C192" s="2" t="s">
        <v>8815</v>
      </c>
      <c r="D192" s="2" t="s">
        <v>8820</v>
      </c>
      <c r="E192" s="2" t="s">
        <v>1866</v>
      </c>
    </row>
    <row r="193">
      <c r="A193" s="2" t="s">
        <v>9459</v>
      </c>
      <c r="B193" s="3" t="str">
        <f>C193 &amp; " -&gt; " &amp; D193</f>
        <v>publisher-refusals -&gt; comms-suppression</v>
      </c>
      <c r="C193" s="2" t="s">
        <v>8815</v>
      </c>
      <c r="D193" s="2" t="s">
        <v>8667</v>
      </c>
      <c r="E193" s="2" t="s">
        <v>1866</v>
      </c>
    </row>
    <row r="194">
      <c r="A194" s="2" t="s">
        <v>9460</v>
      </c>
      <c r="B194" s="3" t="str">
        <f>C194 &amp; " -&gt; " &amp; D194</f>
        <v>publisher-refusals -&gt; shared-exception-detail</v>
      </c>
      <c r="C194" s="2" t="s">
        <v>8815</v>
      </c>
      <c r="D194" s="2" t="s">
        <v>8973</v>
      </c>
      <c r="E194" s="2" t="s">
        <v>1866</v>
      </c>
    </row>
    <row r="195">
      <c r="A195" s="2" t="s">
        <v>9461</v>
      </c>
      <c r="B195" s="3" t="str">
        <f>C195 &amp; " -&gt; " &amp; D195</f>
        <v>publisher-refusal-artifacts -&gt; publisher-refusals</v>
      </c>
      <c r="C195" s="2" t="s">
        <v>8820</v>
      </c>
      <c r="D195" s="2" t="s">
        <v>8815</v>
      </c>
      <c r="E195" s="2" t="s">
        <v>1866</v>
      </c>
    </row>
    <row r="196">
      <c r="A196" s="2" t="s">
        <v>9462</v>
      </c>
      <c r="B196" s="3" t="str">
        <f>C196 &amp; " -&gt; " &amp; D196</f>
        <v>publisher-refusal-artifacts -&gt; comms-suppression</v>
      </c>
      <c r="C196" s="2" t="s">
        <v>8820</v>
      </c>
      <c r="D196" s="2" t="s">
        <v>8667</v>
      </c>
      <c r="E196" s="2" t="s">
        <v>1866</v>
      </c>
    </row>
    <row r="197">
      <c r="A197" s="2" t="s">
        <v>9463</v>
      </c>
      <c r="B197" s="3" t="str">
        <f>C197 &amp; " -&gt; " &amp; D197</f>
        <v>publisher-deferred -&gt; publisher-timing-gate</v>
      </c>
      <c r="C197" s="2" t="s">
        <v>8825</v>
      </c>
      <c r="D197" s="2" t="s">
        <v>8800</v>
      </c>
      <c r="E197" s="2" t="s">
        <v>1866</v>
      </c>
    </row>
    <row r="198">
      <c r="A198" s="2" t="s">
        <v>9464</v>
      </c>
      <c r="B198" s="3" t="str">
        <f>C198 &amp; " -&gt; " &amp; D198</f>
        <v>publisher-deferred -&gt; comms-suppression</v>
      </c>
      <c r="C198" s="2" t="s">
        <v>8825</v>
      </c>
      <c r="D198" s="2" t="s">
        <v>8667</v>
      </c>
      <c r="E198" s="2" t="s">
        <v>1866</v>
      </c>
    </row>
    <row r="199">
      <c r="A199" s="2" t="s">
        <v>9465</v>
      </c>
      <c r="B199" s="3" t="str">
        <f>C199 &amp; " -&gt; " &amp; D199</f>
        <v>publisher-obligations -&gt; comms-engagement</v>
      </c>
      <c r="C199" s="2" t="s">
        <v>8830</v>
      </c>
      <c r="D199" s="2" t="s">
        <v>8662</v>
      </c>
      <c r="E199" s="2" t="s">
        <v>1866</v>
      </c>
    </row>
    <row r="200">
      <c r="A200" s="2" t="s">
        <v>9466</v>
      </c>
      <c r="B200" s="3" t="str">
        <f>C200 &amp; " -&gt; " &amp; D200</f>
        <v>publisher-obligations -&gt; shared-delivery-detail</v>
      </c>
      <c r="C200" s="2" t="s">
        <v>8830</v>
      </c>
      <c r="D200" s="2" t="s">
        <v>8987</v>
      </c>
      <c r="E200" s="2" t="s">
        <v>1866</v>
      </c>
    </row>
    <row r="201">
      <c r="A201" s="2" t="s">
        <v>9467</v>
      </c>
      <c r="B201" s="3" t="str">
        <f>C201 &amp; " -&gt; " &amp; D201</f>
        <v>publisher-my-authorization -&gt; shared-role-assignment-detail</v>
      </c>
      <c r="C201" s="2" t="s">
        <v>8835</v>
      </c>
      <c r="D201" s="2" t="s">
        <v>8977</v>
      </c>
      <c r="E201" s="2" t="s">
        <v>1866</v>
      </c>
    </row>
    <row r="202">
      <c r="A202" s="2" t="s">
        <v>9468</v>
      </c>
      <c r="B202" s="3" t="str">
        <f>C202 &amp; " -&gt; " &amp; D202</f>
        <v>publisher-my-authorization -&gt; variance-authority</v>
      </c>
      <c r="C202" s="2" t="s">
        <v>8835</v>
      </c>
      <c r="D202" s="2" t="s">
        <v>8711</v>
      </c>
      <c r="E202" s="2" t="s">
        <v>1866</v>
      </c>
    </row>
    <row r="203">
      <c r="A203" s="2" t="s">
        <v>9469</v>
      </c>
      <c r="B203" s="3" t="str">
        <f>C203 &amp; " -&gt; " &amp; D203</f>
        <v>publisher-sole-witness -&gt; cfo-witness-chain</v>
      </c>
      <c r="C203" s="2" t="s">
        <v>8840</v>
      </c>
      <c r="D203" s="2" t="s">
        <v>8413</v>
      </c>
      <c r="E203" s="2" t="s">
        <v>1866</v>
      </c>
    </row>
    <row r="204">
      <c r="A204" s="2" t="s">
        <v>9470</v>
      </c>
      <c r="B204" s="3" t="str">
        <f>C204 &amp; " -&gt; " &amp; D204</f>
        <v>publisher-sole-witness -&gt; controller-asserted-controls</v>
      </c>
      <c r="C204" s="2" t="s">
        <v>8840</v>
      </c>
      <c r="D204" s="2" t="s">
        <v>8487</v>
      </c>
      <c r="E204" s="2" t="s">
        <v>1866</v>
      </c>
    </row>
    <row r="205">
      <c r="A205" s="2" t="s">
        <v>9471</v>
      </c>
      <c r="B205" s="3" t="str">
        <f>C205 &amp; " -&gt; " &amp; D205</f>
        <v>steward-home -&gt; steward-cadence</v>
      </c>
      <c r="C205" s="2" t="s">
        <v>8845</v>
      </c>
      <c r="D205" s="2" t="s">
        <v>8850</v>
      </c>
      <c r="E205" s="2" t="s">
        <v>1866</v>
      </c>
    </row>
    <row r="206">
      <c r="A206" s="2" t="s">
        <v>9472</v>
      </c>
      <c r="B206" s="3" t="str">
        <f>C206 &amp; " -&gt; " &amp; D206</f>
        <v>steward-home -&gt; steward-open-gaps</v>
      </c>
      <c r="C206" s="2" t="s">
        <v>8845</v>
      </c>
      <c r="D206" s="2" t="s">
        <v>8860</v>
      </c>
      <c r="E206" s="2" t="s">
        <v>1866</v>
      </c>
    </row>
    <row r="207">
      <c r="A207" s="2" t="s">
        <v>9473</v>
      </c>
      <c r="B207" s="3" t="str">
        <f>C207 &amp; " -&gt; " &amp; D207</f>
        <v>steward-home -&gt; steward-orphans</v>
      </c>
      <c r="C207" s="2" t="s">
        <v>8845</v>
      </c>
      <c r="D207" s="2" t="s">
        <v>8874</v>
      </c>
      <c r="E207" s="2" t="s">
        <v>1866</v>
      </c>
    </row>
    <row r="208">
      <c r="A208" s="2" t="s">
        <v>9474</v>
      </c>
      <c r="B208" s="3" t="str">
        <f>C208 &amp; " -&gt; " &amp; D208</f>
        <v>steward-home -&gt; steward-fallbacks</v>
      </c>
      <c r="C208" s="2" t="s">
        <v>8845</v>
      </c>
      <c r="D208" s="2" t="s">
        <v>8884</v>
      </c>
      <c r="E208" s="2" t="s">
        <v>1866</v>
      </c>
    </row>
    <row r="209">
      <c r="A209" s="2" t="s">
        <v>9475</v>
      </c>
      <c r="B209" s="3" t="str">
        <f>C209 &amp; " -&gt; " &amp; D209</f>
        <v>steward-cadence -&gt; steward-cadence-remediation</v>
      </c>
      <c r="C209" s="2" t="s">
        <v>8850</v>
      </c>
      <c r="D209" s="2" t="s">
        <v>8855</v>
      </c>
      <c r="E209" s="2" t="s">
        <v>1866</v>
      </c>
    </row>
    <row r="210">
      <c r="A210" s="2" t="s">
        <v>9476</v>
      </c>
      <c r="B210" s="3" t="str">
        <f>C210 &amp; " -&gt; " &amp; D210</f>
        <v>steward-cadence -&gt; shared-review-event-detail</v>
      </c>
      <c r="C210" s="2" t="s">
        <v>8850</v>
      </c>
      <c r="D210" s="2" t="s">
        <v>9015</v>
      </c>
      <c r="E210" s="2" t="s">
        <v>1866</v>
      </c>
    </row>
    <row r="211">
      <c r="A211" s="2" t="s">
        <v>9477</v>
      </c>
      <c r="B211" s="3" t="str">
        <f>C211 &amp; " -&gt; " &amp; D211</f>
        <v>steward-cadence-remediation -&gt; steward-cadence</v>
      </c>
      <c r="C211" s="2" t="s">
        <v>8855</v>
      </c>
      <c r="D211" s="2" t="s">
        <v>8850</v>
      </c>
      <c r="E211" s="2" t="s">
        <v>1866</v>
      </c>
    </row>
    <row r="212">
      <c r="A212" s="2" t="s">
        <v>9478</v>
      </c>
      <c r="B212" s="3" t="str">
        <f>C212 &amp; " -&gt; " &amp; D212</f>
        <v>steward-cadence-remediation -&gt; shared-change-request-detail</v>
      </c>
      <c r="C212" s="2" t="s">
        <v>8855</v>
      </c>
      <c r="D212" s="2" t="s">
        <v>8968</v>
      </c>
      <c r="E212" s="2" t="s">
        <v>1866</v>
      </c>
    </row>
    <row r="213">
      <c r="A213" s="2" t="s">
        <v>9479</v>
      </c>
      <c r="B213" s="3" t="str">
        <f>C213 &amp; " -&gt; " &amp; D213</f>
        <v>steward-open-gaps -&gt; hr-backlog-downstream</v>
      </c>
      <c r="C213" s="2" t="s">
        <v>8860</v>
      </c>
      <c r="D213" s="2" t="s">
        <v>8570</v>
      </c>
      <c r="E213" s="2" t="s">
        <v>1866</v>
      </c>
    </row>
    <row r="214">
      <c r="A214" s="2" t="s">
        <v>9480</v>
      </c>
      <c r="B214" s="3" t="str">
        <f>C214 &amp; " -&gt; " &amp; D214</f>
        <v>steward-open-gaps -&gt; shared-knowledge-gap-detail</v>
      </c>
      <c r="C214" s="2" t="s">
        <v>8860</v>
      </c>
      <c r="D214" s="2" t="s">
        <v>9005</v>
      </c>
      <c r="E214" s="2" t="s">
        <v>1866</v>
      </c>
    </row>
    <row r="215">
      <c r="A215" s="2" t="s">
        <v>9481</v>
      </c>
      <c r="B215" s="3" t="str">
        <f>C215 &amp; " -&gt; " &amp; D215</f>
        <v>steward-stalled-changes -&gt; hr-backlog</v>
      </c>
      <c r="C215" s="2" t="s">
        <v>8864</v>
      </c>
      <c r="D215" s="2" t="s">
        <v>8565</v>
      </c>
      <c r="E215" s="2" t="s">
        <v>1866</v>
      </c>
    </row>
    <row r="216">
      <c r="A216" s="2" t="s">
        <v>9482</v>
      </c>
      <c r="B216" s="3" t="str">
        <f>C216 &amp; " -&gt; " &amp; D216</f>
        <v>steward-stalled-changes -&gt; shared-change-request-detail</v>
      </c>
      <c r="C216" s="2" t="s">
        <v>8864</v>
      </c>
      <c r="D216" s="2" t="s">
        <v>8968</v>
      </c>
      <c r="E216" s="2" t="s">
        <v>1866</v>
      </c>
    </row>
    <row r="217">
      <c r="A217" s="2" t="s">
        <v>9483</v>
      </c>
      <c r="B217" s="3" t="str">
        <f>C217 &amp; " -&gt; " &amp; D217</f>
        <v>steward-approved-never-lands -&gt; hr-my-decisions</v>
      </c>
      <c r="C217" s="2" t="s">
        <v>8869</v>
      </c>
      <c r="D217" s="2" t="s">
        <v>8575</v>
      </c>
      <c r="E217" s="2" t="s">
        <v>1866</v>
      </c>
    </row>
    <row r="218">
      <c r="A218" s="2" t="s">
        <v>9484</v>
      </c>
      <c r="B218" s="3" t="str">
        <f>C218 &amp; " -&gt; " &amp; D218</f>
        <v>steward-approved-never-lands -&gt; cfo-blockers</v>
      </c>
      <c r="C218" s="2" t="s">
        <v>8869</v>
      </c>
      <c r="D218" s="2" t="s">
        <v>8392</v>
      </c>
      <c r="E218" s="2" t="s">
        <v>1866</v>
      </c>
    </row>
    <row r="219">
      <c r="A219" s="2" t="s">
        <v>9485</v>
      </c>
      <c r="B219" s="3" t="str">
        <f>C219 &amp; " -&gt; " &amp; D219</f>
        <v>steward-orphans -&gt; steward-archived-still-referenced</v>
      </c>
      <c r="C219" s="2" t="s">
        <v>8874</v>
      </c>
      <c r="D219" s="2" t="s">
        <v>8879</v>
      </c>
      <c r="E219" s="2" t="s">
        <v>1866</v>
      </c>
    </row>
    <row r="220">
      <c r="A220" s="2" t="s">
        <v>9486</v>
      </c>
      <c r="B220" s="3" t="str">
        <f>C220 &amp; " -&gt; " &amp; D220</f>
        <v>steward-orphans -&gt; shared-procedure-version-detail</v>
      </c>
      <c r="C220" s="2" t="s">
        <v>8874</v>
      </c>
      <c r="D220" s="2" t="s">
        <v>9000</v>
      </c>
      <c r="E220" s="2" t="s">
        <v>1866</v>
      </c>
    </row>
    <row r="221">
      <c r="A221" s="2" t="s">
        <v>9487</v>
      </c>
      <c r="B221" s="3" t="str">
        <f>C221 &amp; " -&gt; " &amp; D221</f>
        <v>steward-archived-still-referenced -&gt; steward-orphans</v>
      </c>
      <c r="C221" s="2" t="s">
        <v>8879</v>
      </c>
      <c r="D221" s="2" t="s">
        <v>8874</v>
      </c>
      <c r="E221" s="2" t="s">
        <v>1866</v>
      </c>
    </row>
    <row r="222">
      <c r="A222" s="2" t="s">
        <v>9488</v>
      </c>
      <c r="B222" s="3" t="str">
        <f>C222 &amp; " -&gt; " &amp; D222</f>
        <v>steward-archived-still-referenced -&gt; shared-procedure-version-detail</v>
      </c>
      <c r="C222" s="2" t="s">
        <v>8879</v>
      </c>
      <c r="D222" s="2" t="s">
        <v>9000</v>
      </c>
      <c r="E222" s="2" t="s">
        <v>1866</v>
      </c>
    </row>
    <row r="223">
      <c r="A223" s="2" t="s">
        <v>9489</v>
      </c>
      <c r="B223" s="3" t="str">
        <f>C223 &amp; " -&gt; " &amp; D223</f>
        <v>steward-fallbacks -&gt; steward-fallback-criticality</v>
      </c>
      <c r="C223" s="2" t="s">
        <v>8884</v>
      </c>
      <c r="D223" s="2" t="s">
        <v>8889</v>
      </c>
      <c r="E223" s="2" t="s">
        <v>1866</v>
      </c>
    </row>
    <row r="224">
      <c r="A224" s="2" t="s">
        <v>9490</v>
      </c>
      <c r="B224" s="3" t="str">
        <f>C224 &amp; " -&gt; " &amp; D224</f>
        <v>steward-fallbacks -&gt; shared-transition-detail</v>
      </c>
      <c r="C224" s="2" t="s">
        <v>8884</v>
      </c>
      <c r="D224" s="2" t="s">
        <v>9025</v>
      </c>
      <c r="E224" s="2" t="s">
        <v>1866</v>
      </c>
    </row>
    <row r="225">
      <c r="A225" s="2" t="s">
        <v>9491</v>
      </c>
      <c r="B225" s="3" t="str">
        <f>C225 &amp; " -&gt; " &amp; D225</f>
        <v>steward-fallback-criticality -&gt; steward-fallbacks</v>
      </c>
      <c r="C225" s="2" t="s">
        <v>8889</v>
      </c>
      <c r="D225" s="2" t="s">
        <v>8884</v>
      </c>
      <c r="E225" s="2" t="s">
        <v>1866</v>
      </c>
    </row>
    <row r="226">
      <c r="A226" s="2" t="s">
        <v>9492</v>
      </c>
      <c r="B226" s="3" t="str">
        <f>C226 &amp; " -&gt; " &amp; D226</f>
        <v>steward-fallback-criticality -&gt; controller-home</v>
      </c>
      <c r="C226" s="2" t="s">
        <v>8889</v>
      </c>
      <c r="D226" s="2" t="s">
        <v>8449</v>
      </c>
      <c r="E226" s="2" t="s">
        <v>1866</v>
      </c>
    </row>
    <row r="227">
      <c r="A227" s="2" t="s">
        <v>9493</v>
      </c>
      <c r="B227" s="3" t="str">
        <f>C227 &amp; " -&gt; " &amp; D227</f>
        <v>steward-hardcoded-predicates -&gt; shared-field-provenance</v>
      </c>
      <c r="C227" s="2" t="s">
        <v>8894</v>
      </c>
      <c r="D227" s="2" t="s">
        <v>9040</v>
      </c>
      <c r="E227" s="2" t="s">
        <v>1866</v>
      </c>
    </row>
    <row r="228">
      <c r="A228" s="2" t="s">
        <v>9494</v>
      </c>
      <c r="B228" s="3" t="str">
        <f>C228 &amp; " -&gt; " &amp; D228</f>
        <v>steward-hardcoded-predicates -&gt; steward-home</v>
      </c>
      <c r="C228" s="2" t="s">
        <v>8894</v>
      </c>
      <c r="D228" s="2" t="s">
        <v>8845</v>
      </c>
      <c r="E228" s="2" t="s">
        <v>1866</v>
      </c>
    </row>
    <row r="229">
      <c r="A229" s="2" t="s">
        <v>9495</v>
      </c>
      <c r="B229" s="3" t="str">
        <f>C229 &amp; " -&gt; " &amp; D229</f>
        <v>authority-home -&gt; authority-fragment-decay</v>
      </c>
      <c r="C229" s="2" t="s">
        <v>8899</v>
      </c>
      <c r="D229" s="2" t="s">
        <v>8904</v>
      </c>
      <c r="E229" s="2" t="s">
        <v>1866</v>
      </c>
    </row>
    <row r="230">
      <c r="A230" s="2" t="s">
        <v>9496</v>
      </c>
      <c r="B230" s="3" t="str">
        <f>C230 &amp; " -&gt; " &amp; D230</f>
        <v>authority-home -&gt; authority-unapproved-live</v>
      </c>
      <c r="C230" s="2" t="s">
        <v>8899</v>
      </c>
      <c r="D230" s="2" t="s">
        <v>8909</v>
      </c>
      <c r="E230" s="2" t="s">
        <v>1866</v>
      </c>
    </row>
    <row r="231">
      <c r="A231" s="2" t="s">
        <v>9497</v>
      </c>
      <c r="B231" s="3" t="str">
        <f>C231 &amp; " -&gt; " &amp; D231</f>
        <v>authority-home -&gt; shared-knowledge-fragment-detail</v>
      </c>
      <c r="C231" s="2" t="s">
        <v>8899</v>
      </c>
      <c r="D231" s="2" t="s">
        <v>8963</v>
      </c>
      <c r="E231" s="2" t="s">
        <v>1866</v>
      </c>
    </row>
    <row r="232">
      <c r="A232" s="2" t="s">
        <v>9498</v>
      </c>
      <c r="B232" s="3" t="str">
        <f>C232 &amp; " -&gt; " &amp; D232</f>
        <v>authority-fragment-decay -&gt; authority-home</v>
      </c>
      <c r="C232" s="2" t="s">
        <v>8904</v>
      </c>
      <c r="D232" s="2" t="s">
        <v>8899</v>
      </c>
      <c r="E232" s="2" t="s">
        <v>1866</v>
      </c>
    </row>
    <row r="233">
      <c r="A233" s="2" t="s">
        <v>9499</v>
      </c>
      <c r="B233" s="3" t="str">
        <f>C233 &amp; " -&gt; " &amp; D233</f>
        <v>authority-fragment-decay -&gt; variance-knowledge-currency</v>
      </c>
      <c r="C233" s="2" t="s">
        <v>8904</v>
      </c>
      <c r="D233" s="2" t="s">
        <v>8735</v>
      </c>
      <c r="E233" s="2" t="s">
        <v>1866</v>
      </c>
    </row>
    <row r="234">
      <c r="A234" s="2" t="s">
        <v>9500</v>
      </c>
      <c r="B234" s="3" t="str">
        <f>C234 &amp; " -&gt; " &amp; D234</f>
        <v>authority-unapproved-live -&gt; hr-load-bearing-claim</v>
      </c>
      <c r="C234" s="2" t="s">
        <v>8909</v>
      </c>
      <c r="D234" s="2" t="s">
        <v>8560</v>
      </c>
      <c r="E234" s="2" t="s">
        <v>1866</v>
      </c>
    </row>
    <row r="235">
      <c r="A235" s="2" t="s">
        <v>9501</v>
      </c>
      <c r="B235" s="3" t="str">
        <f>C235 &amp; " -&gt; " &amp; D235</f>
        <v>authority-unapproved-live -&gt; authority-machine-consumers</v>
      </c>
      <c r="C235" s="2" t="s">
        <v>8909</v>
      </c>
      <c r="D235" s="2" t="s">
        <v>8914</v>
      </c>
      <c r="E235" s="2" t="s">
        <v>1866</v>
      </c>
    </row>
    <row r="236">
      <c r="A236" s="2" t="s">
        <v>9502</v>
      </c>
      <c r="B236" s="3" t="str">
        <f>C236 &amp; " -&gt; " &amp; D236</f>
        <v>authority-machine-consumers -&gt; authority-unapproved-live</v>
      </c>
      <c r="C236" s="2" t="s">
        <v>8914</v>
      </c>
      <c r="D236" s="2" t="s">
        <v>8909</v>
      </c>
      <c r="E236" s="2" t="s">
        <v>1866</v>
      </c>
    </row>
    <row r="237">
      <c r="A237" s="2" t="s">
        <v>9503</v>
      </c>
      <c r="B237" s="3" t="str">
        <f>C237 &amp; " -&gt; " &amp; D237</f>
        <v>authority-machine-consumers -&gt; hr-ai-boundary</v>
      </c>
      <c r="C237" s="2" t="s">
        <v>8914</v>
      </c>
      <c r="D237" s="2" t="s">
        <v>8580</v>
      </c>
      <c r="E237" s="2" t="s">
        <v>1866</v>
      </c>
    </row>
    <row r="238">
      <c r="A238" s="2" t="s">
        <v>9504</v>
      </c>
      <c r="B238" s="3" t="str">
        <f>C238 &amp; " -&gt; " &amp; D238</f>
        <v>authority-expired-ratifier -&gt; variance-boundary-ratification</v>
      </c>
      <c r="C238" s="2" t="s">
        <v>8919</v>
      </c>
      <c r="D238" s="2" t="s">
        <v>8725</v>
      </c>
      <c r="E238" s="2" t="s">
        <v>1866</v>
      </c>
    </row>
    <row r="239">
      <c r="A239" s="2" t="s">
        <v>9505</v>
      </c>
      <c r="B239" s="3" t="str">
        <f>C239 &amp; " -&gt; " &amp; D239</f>
        <v>authority-expired-ratifier -&gt; shared-authority-boundary-detail</v>
      </c>
      <c r="C239" s="2" t="s">
        <v>8919</v>
      </c>
      <c r="D239" s="2" t="s">
        <v>9030</v>
      </c>
      <c r="E239" s="2" t="s">
        <v>1866</v>
      </c>
    </row>
    <row r="240">
      <c r="A240" s="2" t="s">
        <v>9506</v>
      </c>
      <c r="B240" s="3" t="str">
        <f>C240 &amp; " -&gt; " &amp; D240</f>
        <v>authority-orphaned-provenance -&gt; hr-departed-holders</v>
      </c>
      <c r="C240" s="2" t="s">
        <v>8924</v>
      </c>
      <c r="D240" s="2" t="s">
        <v>8590</v>
      </c>
      <c r="E240" s="2" t="s">
        <v>1866</v>
      </c>
    </row>
    <row r="241">
      <c r="A241" s="2" t="s">
        <v>9507</v>
      </c>
      <c r="B241" s="3" t="str">
        <f>C241 &amp; " -&gt; " &amp; D241</f>
        <v>authority-orphaned-provenance -&gt; authority-elicitation-monoculture</v>
      </c>
      <c r="C241" s="2" t="s">
        <v>8924</v>
      </c>
      <c r="D241" s="2" t="s">
        <v>8939</v>
      </c>
      <c r="E241" s="2" t="s">
        <v>1866</v>
      </c>
    </row>
    <row r="242">
      <c r="A242" s="2" t="s">
        <v>9508</v>
      </c>
      <c r="B242" s="3" t="str">
        <f>C242 &amp; " -&gt; " &amp; D242</f>
        <v>authority-unwitnessed-change -&gt; controller-home</v>
      </c>
      <c r="C242" s="2" t="s">
        <v>8929</v>
      </c>
      <c r="D242" s="2" t="s">
        <v>8449</v>
      </c>
      <c r="E242" s="2" t="s">
        <v>1866</v>
      </c>
    </row>
    <row r="243">
      <c r="A243" s="2" t="s">
        <v>9509</v>
      </c>
      <c r="B243" s="3" t="str">
        <f>C243 &amp; " -&gt; " &amp; D243</f>
        <v>authority-unwitnessed-change -&gt; shared-change-request-detail</v>
      </c>
      <c r="C243" s="2" t="s">
        <v>8929</v>
      </c>
      <c r="D243" s="2" t="s">
        <v>8968</v>
      </c>
      <c r="E243" s="2" t="s">
        <v>1866</v>
      </c>
    </row>
    <row r="244">
      <c r="A244" s="2" t="s">
        <v>9510</v>
      </c>
      <c r="B244" s="3" t="str">
        <f>C244 &amp; " -&gt; " &amp; D244</f>
        <v>authority-stale-elicitation -&gt; hr-knowledge-half-life</v>
      </c>
      <c r="C244" s="2" t="s">
        <v>8934</v>
      </c>
      <c r="D244" s="2" t="s">
        <v>8585</v>
      </c>
      <c r="E244" s="2" t="s">
        <v>1866</v>
      </c>
    </row>
    <row r="245">
      <c r="A245" s="2" t="s">
        <v>9511</v>
      </c>
      <c r="B245" s="3" t="str">
        <f>C245 &amp; " -&gt; " &amp; D245</f>
        <v>authority-stale-elicitation -&gt; shared-elicitation-detail</v>
      </c>
      <c r="C245" s="2" t="s">
        <v>8934</v>
      </c>
      <c r="D245" s="2" t="s">
        <v>9020</v>
      </c>
      <c r="E245" s="2" t="s">
        <v>1866</v>
      </c>
    </row>
    <row r="246">
      <c r="A246" s="2" t="s">
        <v>9512</v>
      </c>
      <c r="B246" s="3" t="str">
        <f>C246 &amp; " -&gt; " &amp; D246</f>
        <v>authority-elicitation-monoculture -&gt; authority-orphaned-provenance</v>
      </c>
      <c r="C246" s="2" t="s">
        <v>8939</v>
      </c>
      <c r="D246" s="2" t="s">
        <v>8924</v>
      </c>
      <c r="E246" s="2" t="s">
        <v>1866</v>
      </c>
    </row>
    <row r="247">
      <c r="A247" s="2" t="s">
        <v>9513</v>
      </c>
      <c r="B247" s="3" t="str">
        <f>C247 &amp; " -&gt; " &amp; D247</f>
        <v>authority-elicitation-monoculture -&gt; shared-elicitation-detail</v>
      </c>
      <c r="C247" s="2" t="s">
        <v>8939</v>
      </c>
      <c r="D247" s="2" t="s">
        <v>9020</v>
      </c>
      <c r="E247" s="2" t="s">
        <v>1866</v>
      </c>
    </row>
    <row r="248">
      <c r="A248" s="2" t="s">
        <v>9514</v>
      </c>
      <c r="B248" s="3" t="str">
        <f>C248 &amp; " -&gt; " &amp; D248</f>
        <v>authority-known-unknowns -&gt; steward-open-gaps</v>
      </c>
      <c r="C248" s="2" t="s">
        <v>8944</v>
      </c>
      <c r="D248" s="2" t="s">
        <v>8860</v>
      </c>
      <c r="E248" s="2" t="s">
        <v>1866</v>
      </c>
    </row>
    <row r="249">
      <c r="A249" s="2" t="s">
        <v>9515</v>
      </c>
      <c r="B249" s="3" t="str">
        <f>C249 &amp; " -&gt; " &amp; D249</f>
        <v>authority-known-unknowns -&gt; shared-knowledge-gap-detail</v>
      </c>
      <c r="C249" s="2" t="s">
        <v>8944</v>
      </c>
      <c r="D249" s="2" t="s">
        <v>9005</v>
      </c>
      <c r="E249" s="2" t="s">
        <v>1866</v>
      </c>
    </row>
    <row r="250">
      <c r="A250" s="2" t="s">
        <v>9516</v>
      </c>
      <c r="B250" s="3" t="str">
        <f>C250 &amp; " -&gt; " &amp; D250</f>
        <v>authority-review-date-inferred -&gt; shared-field-provenance</v>
      </c>
      <c r="C250" s="2" t="s">
        <v>8949</v>
      </c>
      <c r="D250" s="2" t="s">
        <v>9040</v>
      </c>
      <c r="E250" s="2" t="s">
        <v>1866</v>
      </c>
    </row>
    <row r="251">
      <c r="A251" s="2" t="s">
        <v>9517</v>
      </c>
      <c r="B251" s="3" t="str">
        <f>C251 &amp; " -&gt; " &amp; D251</f>
        <v>authority-review-date-inferred -&gt; authority-fragment-decay</v>
      </c>
      <c r="C251" s="2" t="s">
        <v>8949</v>
      </c>
      <c r="D251" s="2" t="s">
        <v>8904</v>
      </c>
      <c r="E251" s="2" t="s">
        <v>1866</v>
      </c>
    </row>
    <row r="252">
      <c r="A252" s="2" t="s">
        <v>9518</v>
      </c>
      <c r="B252" s="3" t="str">
        <f>C252 &amp; " -&gt; " &amp; D252</f>
        <v>shared-step-execution-detail -&gt; shared-requirement-detail</v>
      </c>
      <c r="C252" s="2" t="s">
        <v>8954</v>
      </c>
      <c r="D252" s="2" t="s">
        <v>8959</v>
      </c>
      <c r="E252" s="2" t="s">
        <v>1866</v>
      </c>
    </row>
    <row r="253">
      <c r="A253" s="2" t="s">
        <v>9519</v>
      </c>
      <c r="B253" s="3" t="str">
        <f>C253 &amp; " -&gt; " &amp; D253</f>
        <v>shared-step-execution-detail -&gt; shared-verification-outcomes</v>
      </c>
      <c r="C253" s="2" t="s">
        <v>8954</v>
      </c>
      <c r="D253" s="2" t="s">
        <v>9010</v>
      </c>
      <c r="E253" s="2" t="s">
        <v>1866</v>
      </c>
    </row>
    <row r="254">
      <c r="A254" s="2" t="s">
        <v>9520</v>
      </c>
      <c r="B254" s="3" t="str">
        <f>C254 &amp; " -&gt; " &amp; D254</f>
        <v>shared-requirement-detail -&gt; controller-witness-scope</v>
      </c>
      <c r="C254" s="2" t="s">
        <v>8959</v>
      </c>
      <c r="D254" s="2" t="s">
        <v>8459</v>
      </c>
      <c r="E254" s="2" t="s">
        <v>1866</v>
      </c>
    </row>
    <row r="255">
      <c r="A255" s="2" t="s">
        <v>9521</v>
      </c>
      <c r="B255" s="3" t="str">
        <f>C255 &amp; " -&gt; " &amp; D255</f>
        <v>shared-requirement-detail -&gt; shared-step-execution-detail</v>
      </c>
      <c r="C255" s="2" t="s">
        <v>8959</v>
      </c>
      <c r="D255" s="2" t="s">
        <v>8954</v>
      </c>
      <c r="E255" s="2" t="s">
        <v>1866</v>
      </c>
    </row>
    <row r="256">
      <c r="A256" s="2" t="s">
        <v>9522</v>
      </c>
      <c r="B256" s="3" t="str">
        <f>C256 &amp; " -&gt; " &amp; D256</f>
        <v>shared-knowledge-fragment-detail -&gt; authority-fragment-decay</v>
      </c>
      <c r="C256" s="2" t="s">
        <v>8963</v>
      </c>
      <c r="D256" s="2" t="s">
        <v>8904</v>
      </c>
      <c r="E256" s="2" t="s">
        <v>1866</v>
      </c>
    </row>
    <row r="257">
      <c r="A257" s="2" t="s">
        <v>9523</v>
      </c>
      <c r="B257" s="3" t="str">
        <f>C257 &amp; " -&gt; " &amp; D257</f>
        <v>shared-knowledge-fragment-detail -&gt; hr-load-bearing-claim</v>
      </c>
      <c r="C257" s="2" t="s">
        <v>8963</v>
      </c>
      <c r="D257" s="2" t="s">
        <v>8560</v>
      </c>
      <c r="E257" s="2" t="s">
        <v>1866</v>
      </c>
    </row>
    <row r="258">
      <c r="A258" s="2" t="s">
        <v>9524</v>
      </c>
      <c r="B258" s="3" t="str">
        <f>C258 &amp; " -&gt; " &amp; D258</f>
        <v>shared-change-request-detail -&gt; steward-stalled-changes</v>
      </c>
      <c r="C258" s="2" t="s">
        <v>8968</v>
      </c>
      <c r="D258" s="2" t="s">
        <v>8864</v>
      </c>
      <c r="E258" s="2" t="s">
        <v>1866</v>
      </c>
    </row>
    <row r="259">
      <c r="A259" s="2" t="s">
        <v>9525</v>
      </c>
      <c r="B259" s="3" t="str">
        <f>C259 &amp; " -&gt; " &amp; D259</f>
        <v>shared-change-request-detail -&gt; hr-backlog</v>
      </c>
      <c r="C259" s="2" t="s">
        <v>8968</v>
      </c>
      <c r="D259" s="2" t="s">
        <v>8565</v>
      </c>
      <c r="E259" s="2" t="s">
        <v>1866</v>
      </c>
    </row>
    <row r="260">
      <c r="A260" s="2" t="s">
        <v>9526</v>
      </c>
      <c r="B260" s="3" t="str">
        <f>C260 &amp; " -&gt; " &amp; D260</f>
        <v>shared-exception-detail -&gt; publisher-refusals</v>
      </c>
      <c r="C260" s="2" t="s">
        <v>8973</v>
      </c>
      <c r="D260" s="2" t="s">
        <v>8815</v>
      </c>
      <c r="E260" s="2" t="s">
        <v>1866</v>
      </c>
    </row>
    <row r="261">
      <c r="A261" s="2" t="s">
        <v>9527</v>
      </c>
      <c r="B261" s="3" t="str">
        <f>C261 &amp; " -&gt; " &amp; D261</f>
        <v>shared-exception-detail -&gt; analyst-late-steps</v>
      </c>
      <c r="C261" s="2" t="s">
        <v>8973</v>
      </c>
      <c r="D261" s="2" t="s">
        <v>8512</v>
      </c>
      <c r="E261" s="2" t="s">
        <v>1866</v>
      </c>
    </row>
    <row r="262">
      <c r="A262" s="2" t="s">
        <v>9528</v>
      </c>
      <c r="B262" s="3" t="str">
        <f>C262 &amp; " -&gt; " &amp; D262</f>
        <v>shared-role-assignment-detail -&gt; controller-authority-validity</v>
      </c>
      <c r="C262" s="2" t="s">
        <v>8977</v>
      </c>
      <c r="D262" s="2" t="s">
        <v>8479</v>
      </c>
      <c r="E262" s="2" t="s">
        <v>1866</v>
      </c>
    </row>
    <row r="263">
      <c r="A263" s="2" t="s">
        <v>9529</v>
      </c>
      <c r="B263" s="3" t="str">
        <f>C263 &amp; " -&gt; " &amp; D263</f>
        <v>shared-role-assignment-detail -&gt; variance-authority</v>
      </c>
      <c r="C263" s="2" t="s">
        <v>8977</v>
      </c>
      <c r="D263" s="2" t="s">
        <v>8711</v>
      </c>
      <c r="E263" s="2" t="s">
        <v>1866</v>
      </c>
    </row>
    <row r="264">
      <c r="A264" s="2" t="s">
        <v>9530</v>
      </c>
      <c r="B264" s="3" t="str">
        <f>C264 &amp; " -&gt; " &amp; D264</f>
        <v>shared-operational-binding-detail -&gt; analyst-source-freshness</v>
      </c>
      <c r="C264" s="2" t="s">
        <v>8982</v>
      </c>
      <c r="D264" s="2" t="s">
        <v>8526</v>
      </c>
      <c r="E264" s="2" t="s">
        <v>1866</v>
      </c>
    </row>
    <row r="265">
      <c r="A265" s="2" t="s">
        <v>9531</v>
      </c>
      <c r="B265" s="3" t="str">
        <f>C265 &amp; " -&gt; " &amp; D265</f>
        <v>shared-operational-binding-detail -&gt; close-auto-inputs</v>
      </c>
      <c r="C265" s="2" t="s">
        <v>8982</v>
      </c>
      <c r="D265" s="2" t="s">
        <v>8687</v>
      </c>
      <c r="E265" s="2" t="s">
        <v>1866</v>
      </c>
    </row>
    <row r="266">
      <c r="A266" s="2" t="s">
        <v>9532</v>
      </c>
      <c r="B266" s="3" t="str">
        <f>C266 &amp; " -&gt; " &amp; D266</f>
        <v>shared-delivery-detail -&gt; comms-yield</v>
      </c>
      <c r="C266" s="2" t="s">
        <v>8987</v>
      </c>
      <c r="D266" s="2" t="s">
        <v>8630</v>
      </c>
      <c r="E266" s="2" t="s">
        <v>1866</v>
      </c>
    </row>
    <row r="267">
      <c r="A267" s="2" t="s">
        <v>9533</v>
      </c>
      <c r="B267" s="3" t="str">
        <f>C267 &amp; " -&gt; " &amp; D267</f>
        <v>shared-delivery-detail -&gt; comms-frozen-approval</v>
      </c>
      <c r="C267" s="2" t="s">
        <v>8987</v>
      </c>
      <c r="D267" s="2" t="s">
        <v>8649</v>
      </c>
      <c r="E267" s="2" t="s">
        <v>1866</v>
      </c>
    </row>
    <row r="268">
      <c r="A268" s="2" t="s">
        <v>9534</v>
      </c>
      <c r="B268" s="3" t="str">
        <f>C268 &amp; " -&gt; " &amp; D268</f>
        <v>shared-recipient-detail -&gt; comms-suppression</v>
      </c>
      <c r="C268" s="2" t="s">
        <v>8991</v>
      </c>
      <c r="D268" s="2" t="s">
        <v>8667</v>
      </c>
      <c r="E268" s="2" t="s">
        <v>1866</v>
      </c>
    </row>
    <row r="269">
      <c r="A269" s="2" t="s">
        <v>9535</v>
      </c>
      <c r="B269" s="3" t="str">
        <f>C269 &amp; " -&gt; " &amp; D269</f>
        <v>shared-recipient-detail -&gt; counsel-consent</v>
      </c>
      <c r="C269" s="2" t="s">
        <v>8991</v>
      </c>
      <c r="D269" s="2" t="s">
        <v>8605</v>
      </c>
      <c r="E269" s="2" t="s">
        <v>1866</v>
      </c>
    </row>
    <row r="270">
      <c r="A270" s="2" t="s">
        <v>9536</v>
      </c>
      <c r="B270" s="3" t="str">
        <f>C270 &amp; " -&gt; " &amp; D270</f>
        <v>shared-template-detail -&gt; comms-template-drift</v>
      </c>
      <c r="C270" s="2" t="s">
        <v>8995</v>
      </c>
      <c r="D270" s="2" t="s">
        <v>8645</v>
      </c>
      <c r="E270" s="2" t="s">
        <v>1866</v>
      </c>
    </row>
    <row r="271">
      <c r="A271" s="2" t="s">
        <v>9537</v>
      </c>
      <c r="B271" s="3" t="str">
        <f>C271 &amp; " -&gt; " &amp; D271</f>
        <v>shared-template-detail -&gt; comms-approval-authority</v>
      </c>
      <c r="C271" s="2" t="s">
        <v>8995</v>
      </c>
      <c r="D271" s="2" t="s">
        <v>8640</v>
      </c>
      <c r="E271" s="2" t="s">
        <v>1866</v>
      </c>
    </row>
    <row r="272">
      <c r="A272" s="2" t="s">
        <v>9538</v>
      </c>
      <c r="B272" s="3" t="str">
        <f>C272 &amp; " -&gt; " &amp; D272</f>
        <v>shared-procedure-version-detail -&gt; steward-orphans</v>
      </c>
      <c r="C272" s="2" t="s">
        <v>9000</v>
      </c>
      <c r="D272" s="2" t="s">
        <v>8874</v>
      </c>
      <c r="E272" s="2" t="s">
        <v>1866</v>
      </c>
    </row>
    <row r="273">
      <c r="A273" s="2" t="s">
        <v>9539</v>
      </c>
      <c r="B273" s="3" t="str">
        <f>C273 &amp; " -&gt; " &amp; D273</f>
        <v>shared-procedure-version-detail -&gt; controller-conformance</v>
      </c>
      <c r="C273" s="2" t="s">
        <v>9000</v>
      </c>
      <c r="D273" s="2" t="s">
        <v>8469</v>
      </c>
      <c r="E273" s="2" t="s">
        <v>1866</v>
      </c>
    </row>
    <row r="274">
      <c r="A274" s="2" t="s">
        <v>9540</v>
      </c>
      <c r="B274" s="3" t="str">
        <f>C274 &amp; " -&gt; " &amp; D274</f>
        <v>shared-knowledge-gap-detail -&gt; steward-open-gaps</v>
      </c>
      <c r="C274" s="2" t="s">
        <v>9005</v>
      </c>
      <c r="D274" s="2" t="s">
        <v>8860</v>
      </c>
      <c r="E274" s="2" t="s">
        <v>1866</v>
      </c>
    </row>
    <row r="275">
      <c r="A275" s="2" t="s">
        <v>9541</v>
      </c>
      <c r="B275" s="3" t="str">
        <f>C275 &amp; " -&gt; " &amp; D275</f>
        <v>shared-knowledge-gap-detail -&gt; authority-known-unknowns</v>
      </c>
      <c r="C275" s="2" t="s">
        <v>9005</v>
      </c>
      <c r="D275" s="2" t="s">
        <v>8944</v>
      </c>
      <c r="E275" s="2" t="s">
        <v>1866</v>
      </c>
    </row>
    <row r="276">
      <c r="A276" s="2" t="s">
        <v>9542</v>
      </c>
      <c r="B276" s="3" t="str">
        <f>C276 &amp; " -&gt; " &amp; D276</f>
        <v>shared-verification-outcomes -&gt; cfo-witness-chain</v>
      </c>
      <c r="C276" s="2" t="s">
        <v>9010</v>
      </c>
      <c r="D276" s="2" t="s">
        <v>8413</v>
      </c>
      <c r="E276" s="2" t="s">
        <v>1866</v>
      </c>
    </row>
    <row r="277">
      <c r="A277" s="2" t="s">
        <v>9543</v>
      </c>
      <c r="B277" s="3" t="str">
        <f>C277 &amp; " -&gt; " &amp; D277</f>
        <v>shared-verification-outcomes -&gt; analyst-verification-performed</v>
      </c>
      <c r="C277" s="2" t="s">
        <v>9010</v>
      </c>
      <c r="D277" s="2" t="s">
        <v>8517</v>
      </c>
      <c r="E277" s="2" t="s">
        <v>1866</v>
      </c>
    </row>
    <row r="278">
      <c r="A278" s="2" t="s">
        <v>9544</v>
      </c>
      <c r="B278" s="3" t="str">
        <f>C278 &amp; " -&gt; " &amp; D278</f>
        <v>shared-review-event-detail -&gt; steward-cadence</v>
      </c>
      <c r="C278" s="2" t="s">
        <v>9015</v>
      </c>
      <c r="D278" s="2" t="s">
        <v>8850</v>
      </c>
      <c r="E278" s="2" t="s">
        <v>1866</v>
      </c>
    </row>
    <row r="279">
      <c r="A279" s="2" t="s">
        <v>9545</v>
      </c>
      <c r="B279" s="3" t="str">
        <f>C279 &amp; " -&gt; " &amp; D279</f>
        <v>shared-review-event-detail -&gt; counsel-legal-review</v>
      </c>
      <c r="C279" s="2" t="s">
        <v>9015</v>
      </c>
      <c r="D279" s="2" t="s">
        <v>8613</v>
      </c>
      <c r="E279" s="2" t="s">
        <v>1866</v>
      </c>
    </row>
    <row r="280">
      <c r="A280" s="2" t="s">
        <v>9546</v>
      </c>
      <c r="B280" s="3" t="str">
        <f>C280 &amp; " -&gt; " &amp; D280</f>
        <v>shared-elicitation-detail -&gt; authority-elicitation-monoculture</v>
      </c>
      <c r="C280" s="2" t="s">
        <v>9020</v>
      </c>
      <c r="D280" s="2" t="s">
        <v>8939</v>
      </c>
      <c r="E280" s="2" t="s">
        <v>1866</v>
      </c>
    </row>
    <row r="281">
      <c r="A281" s="2" t="s">
        <v>9547</v>
      </c>
      <c r="B281" s="3" t="str">
        <f>C281 &amp; " -&gt; " &amp; D281</f>
        <v>shared-elicitation-detail -&gt; authority-stale-elicitation</v>
      </c>
      <c r="C281" s="2" t="s">
        <v>9020</v>
      </c>
      <c r="D281" s="2" t="s">
        <v>8934</v>
      </c>
      <c r="E281" s="2" t="s">
        <v>1866</v>
      </c>
    </row>
    <row r="282">
      <c r="A282" s="2" t="s">
        <v>9548</v>
      </c>
      <c r="B282" s="3" t="str">
        <f>C282 &amp; " -&gt; " &amp; D282</f>
        <v>shared-transition-detail -&gt; steward-fallbacks</v>
      </c>
      <c r="C282" s="2" t="s">
        <v>9025</v>
      </c>
      <c r="D282" s="2" t="s">
        <v>8884</v>
      </c>
      <c r="E282" s="2" t="s">
        <v>1866</v>
      </c>
    </row>
    <row r="283">
      <c r="A283" s="2" t="s">
        <v>9549</v>
      </c>
      <c r="B283" s="3" t="str">
        <f>C283 &amp; " -&gt; " &amp; D283</f>
        <v>shared-transition-detail -&gt; shared-step-execution-detail</v>
      </c>
      <c r="C283" s="2" t="s">
        <v>9025</v>
      </c>
      <c r="D283" s="2" t="s">
        <v>8954</v>
      </c>
      <c r="E283" s="2" t="s">
        <v>1866</v>
      </c>
    </row>
    <row r="284">
      <c r="A284" s="2" t="s">
        <v>9550</v>
      </c>
      <c r="B284" s="3" t="str">
        <f>C284 &amp; " -&gt; " &amp; D284</f>
        <v>shared-authority-boundary-detail -&gt; authority-expired-ratifier</v>
      </c>
      <c r="C284" s="2" t="s">
        <v>9030</v>
      </c>
      <c r="D284" s="2" t="s">
        <v>8919</v>
      </c>
      <c r="E284" s="2" t="s">
        <v>1866</v>
      </c>
    </row>
    <row r="285">
      <c r="A285" s="2" t="s">
        <v>9551</v>
      </c>
      <c r="B285" s="3" t="str">
        <f>C285 &amp; " -&gt; " &amp; D285</f>
        <v>shared-authority-boundary-detail -&gt; variance-boundary</v>
      </c>
      <c r="C285" s="2" t="s">
        <v>9030</v>
      </c>
      <c r="D285" s="2" t="s">
        <v>8720</v>
      </c>
      <c r="E285" s="2" t="s">
        <v>1866</v>
      </c>
    </row>
    <row r="286">
      <c r="A286" s="2" t="s">
        <v>9552</v>
      </c>
      <c r="B286" s="3" t="str">
        <f>C286 &amp; " -&gt; " &amp; D286</f>
        <v>shared-evaluation-context -&gt; cfo-restatement</v>
      </c>
      <c r="C286" s="2" t="s">
        <v>9035</v>
      </c>
      <c r="D286" s="2" t="s">
        <v>8438</v>
      </c>
      <c r="E286" s="2" t="s">
        <v>1866</v>
      </c>
    </row>
    <row r="287">
      <c r="A287" s="2" t="s">
        <v>9553</v>
      </c>
      <c r="B287" s="3" t="str">
        <f>C287 &amp; " -&gt; " &amp; D287</f>
        <v>shared-evaluation-context -&gt; analyst-stale-then-vs-now</v>
      </c>
      <c r="C287" s="2" t="s">
        <v>9035</v>
      </c>
      <c r="D287" s="2" t="s">
        <v>8530</v>
      </c>
      <c r="E287" s="2" t="s">
        <v>1866</v>
      </c>
    </row>
    <row r="288">
      <c r="A288" s="2" t="s">
        <v>9554</v>
      </c>
      <c r="B288" s="3" t="str">
        <f>C288 &amp; " -&gt; " &amp; D288</f>
        <v>shared-field-provenance -&gt; steward-hardcoded-predicates</v>
      </c>
      <c r="C288" s="2" t="s">
        <v>9040</v>
      </c>
      <c r="D288" s="2" t="s">
        <v>8894</v>
      </c>
      <c r="E288" s="2" t="s">
        <v>1866</v>
      </c>
    </row>
    <row r="289">
      <c r="A289" s="2" t="s">
        <v>9555</v>
      </c>
      <c r="B289" s="3" t="str">
        <f>C289 &amp; " -&gt; " &amp; D289</f>
        <v>shared-field-provenance -&gt; authority-review-date-inferred</v>
      </c>
      <c r="C289" s="2" t="s">
        <v>9040</v>
      </c>
      <c r="D289" s="2" t="s">
        <v>8949</v>
      </c>
      <c r="E289" s="2" t="s">
        <v>1866</v>
      </c>
    </row>
    <row r="290">
      <c r="A290" s="2" t="s">
        <v>9556</v>
      </c>
      <c r="B290" s="3" t="str">
        <f>C290 &amp; " -&gt; " &amp; D290</f>
        <v>admin-board -&gt; admin-checks</v>
      </c>
      <c r="C290" s="2" t="s">
        <v>9051</v>
      </c>
      <c r="D290" s="2" t="s">
        <v>9057</v>
      </c>
      <c r="E290" s="2" t="s">
        <v>1866</v>
      </c>
    </row>
    <row r="291">
      <c r="A291" s="2" t="s">
        <v>9557</v>
      </c>
      <c r="B291" s="3" t="str">
        <f>C291 &amp; " -&gt; " &amp; D291</f>
        <v>admin-board -&gt; admin-witnesses</v>
      </c>
      <c r="C291" s="2" t="s">
        <v>9051</v>
      </c>
      <c r="D291" s="2" t="s">
        <v>9062</v>
      </c>
      <c r="E291" s="2" t="s">
        <v>1866</v>
      </c>
    </row>
    <row r="292">
      <c r="A292" s="2" t="s">
        <v>9558</v>
      </c>
      <c r="B292" s="3" t="str">
        <f>C292 &amp; " -&gt; " &amp; D292</f>
        <v>admin-checks -&gt; admin-board</v>
      </c>
      <c r="C292" s="2" t="s">
        <v>9057</v>
      </c>
      <c r="D292" s="2" t="s">
        <v>9051</v>
      </c>
      <c r="E292" s="2" t="s">
        <v>1866</v>
      </c>
    </row>
    <row r="293">
      <c r="A293" s="2" t="s">
        <v>9559</v>
      </c>
      <c r="B293" s="3" t="str">
        <f>C293 &amp; " -&gt; " &amp; D293</f>
        <v>admin-checks -&gt; admin-question-defence</v>
      </c>
      <c r="C293" s="2" t="s">
        <v>9057</v>
      </c>
      <c r="D293" s="2" t="s">
        <v>9077</v>
      </c>
      <c r="E293" s="2" t="s">
        <v>1866</v>
      </c>
    </row>
    <row r="294">
      <c r="A294" s="2" t="s">
        <v>9560</v>
      </c>
      <c r="B294" s="3" t="str">
        <f>C294 &amp; " -&gt; " &amp; D294</f>
        <v>admin-witnesses -&gt; admin-vacuous</v>
      </c>
      <c r="C294" s="2" t="s">
        <v>9062</v>
      </c>
      <c r="D294" s="2" t="s">
        <v>9067</v>
      </c>
      <c r="E294" s="2" t="s">
        <v>1866</v>
      </c>
    </row>
    <row r="295">
      <c r="A295" s="2" t="s">
        <v>9561</v>
      </c>
      <c r="B295" s="3" t="str">
        <f>C295 &amp; " -&gt; " &amp; D295</f>
        <v>admin-witnesses -&gt; shared-field-provenance</v>
      </c>
      <c r="C295" s="2" t="s">
        <v>9062</v>
      </c>
      <c r="D295" s="2" t="s">
        <v>9040</v>
      </c>
      <c r="E295" s="2" t="s">
        <v>1866</v>
      </c>
    </row>
    <row r="296">
      <c r="A296" s="2" t="s">
        <v>9562</v>
      </c>
      <c r="B296" s="3" t="str">
        <f>C296 &amp; " -&gt; " &amp; D296</f>
        <v>admin-vacuous -&gt; admin-witnesses</v>
      </c>
      <c r="C296" s="2" t="s">
        <v>9067</v>
      </c>
      <c r="D296" s="2" t="s">
        <v>9062</v>
      </c>
      <c r="E296" s="2" t="s">
        <v>1866</v>
      </c>
    </row>
    <row r="297">
      <c r="A297" s="2" t="s">
        <v>9563</v>
      </c>
      <c r="B297" s="3" t="str">
        <f>C297 &amp; " -&gt; " &amp; D297</f>
        <v>admin-vacuous -&gt; admin-loops</v>
      </c>
      <c r="C297" s="2" t="s">
        <v>9067</v>
      </c>
      <c r="D297" s="2" t="s">
        <v>9072</v>
      </c>
      <c r="E297" s="2" t="s">
        <v>1866</v>
      </c>
    </row>
    <row r="298">
      <c r="A298" s="2" t="s">
        <v>9564</v>
      </c>
      <c r="B298" s="3" t="str">
        <f>C298 &amp; " -&gt; " &amp; D298</f>
        <v>admin-loops -&gt; admin-question-defence</v>
      </c>
      <c r="C298" s="2" t="s">
        <v>9072</v>
      </c>
      <c r="D298" s="2" t="s">
        <v>9077</v>
      </c>
      <c r="E298" s="2" t="s">
        <v>1866</v>
      </c>
    </row>
    <row r="299">
      <c r="A299" s="2" t="s">
        <v>9565</v>
      </c>
      <c r="B299" s="3" t="str">
        <f>C299 &amp; " -&gt; " &amp; D299</f>
        <v>admin-loops -&gt; shared-field-provenance</v>
      </c>
      <c r="C299" s="2" t="s">
        <v>9072</v>
      </c>
      <c r="D299" s="2" t="s">
        <v>9040</v>
      </c>
      <c r="E299" s="2" t="s">
        <v>1866</v>
      </c>
    </row>
    <row r="300">
      <c r="A300" s="2" t="s">
        <v>9566</v>
      </c>
      <c r="B300" s="3" t="str">
        <f>C300 &amp; " -&gt; " &amp; D300</f>
        <v>admin-question-defence -&gt; admin-loops</v>
      </c>
      <c r="C300" s="2" t="s">
        <v>9077</v>
      </c>
      <c r="D300" s="2" t="s">
        <v>9072</v>
      </c>
      <c r="E300" s="2" t="s">
        <v>1866</v>
      </c>
    </row>
    <row r="301">
      <c r="A301" s="2" t="s">
        <v>9567</v>
      </c>
      <c r="B301" s="3" t="str">
        <f>C301 &amp; " -&gt; " &amp; D301</f>
        <v>admin-question-defence -&gt; admin-checks</v>
      </c>
      <c r="C301" s="2" t="s">
        <v>9077</v>
      </c>
      <c r="D301" s="2" t="s">
        <v>9057</v>
      </c>
      <c r="E301" s="2" t="s">
        <v>1866</v>
      </c>
    </row>
    <row r="302">
      <c r="A302" s="2" t="s">
        <v>9568</v>
      </c>
      <c r="B302" s="3" t="str">
        <f>C302 &amp; " -&gt; " &amp; D302</f>
        <v>admin-question-defence -&gt; admin-route-map</v>
      </c>
      <c r="C302" s="2" t="s">
        <v>9077</v>
      </c>
      <c r="D302" s="2" t="s">
        <v>9087</v>
      </c>
      <c r="E302" s="2" t="s">
        <v>1866</v>
      </c>
    </row>
    <row r="303">
      <c r="A303" s="2" t="s">
        <v>9569</v>
      </c>
      <c r="B303" s="3" t="str">
        <f>C303 &amp; " -&gt; " &amp; D303</f>
        <v>admin-provenance -&gt; shared-field-provenance</v>
      </c>
      <c r="C303" s="2" t="s">
        <v>9082</v>
      </c>
      <c r="D303" s="2" t="s">
        <v>9040</v>
      </c>
      <c r="E303" s="2" t="s">
        <v>1866</v>
      </c>
    </row>
    <row r="304">
      <c r="A304" s="2" t="s">
        <v>9570</v>
      </c>
      <c r="B304" s="3" t="str">
        <f>C304 &amp; " -&gt; " &amp; D304</f>
        <v>admin-provenance -&gt; admin-loops</v>
      </c>
      <c r="C304" s="2" t="s">
        <v>9082</v>
      </c>
      <c r="D304" s="2" t="s">
        <v>9072</v>
      </c>
      <c r="E304" s="2" t="s">
        <v>1866</v>
      </c>
    </row>
    <row r="305">
      <c r="A305" s="2" t="s">
        <v>9571</v>
      </c>
      <c r="B305" s="3" t="str">
        <f>C305 &amp; " -&gt; " &amp; D305</f>
        <v>admin-route-map -&gt; admin-question-defence</v>
      </c>
      <c r="C305" s="2" t="s">
        <v>9087</v>
      </c>
      <c r="D305" s="2" t="s">
        <v>9077</v>
      </c>
      <c r="E305" s="2" t="s">
        <v>1866</v>
      </c>
    </row>
    <row r="306">
      <c r="A306" s="2" t="s">
        <v>9572</v>
      </c>
      <c r="B306" s="3" t="str">
        <f>C306 &amp; " -&gt; " &amp; D306</f>
        <v>admin-route-map -&gt; explorer-tables</v>
      </c>
      <c r="C306" s="2" t="s">
        <v>9087</v>
      </c>
      <c r="D306" s="2" t="s">
        <v>9102</v>
      </c>
      <c r="E306" s="2" t="s">
        <v>1866</v>
      </c>
    </row>
    <row r="307">
      <c r="A307" s="2" t="s">
        <v>9573</v>
      </c>
      <c r="B307" s="3" t="str">
        <f>C307 &amp; " -&gt; " &amp; D307</f>
        <v>admin-catalog-drift -&gt; explorer-inferences</v>
      </c>
      <c r="C307" s="2" t="s">
        <v>9092</v>
      </c>
      <c r="D307" s="2" t="s">
        <v>9097</v>
      </c>
      <c r="E307" s="2" t="s">
        <v>1866</v>
      </c>
    </row>
    <row r="308">
      <c r="A308" s="2" t="s">
        <v>9574</v>
      </c>
      <c r="B308" s="3" t="str">
        <f>C308 &amp; " -&gt; " &amp; D308</f>
        <v>admin-catalog-drift -&gt; admin-board</v>
      </c>
      <c r="C308" s="2" t="s">
        <v>9092</v>
      </c>
      <c r="D308" s="2" t="s">
        <v>9051</v>
      </c>
      <c r="E308" s="2" t="s">
        <v>1866</v>
      </c>
    </row>
    <row r="309">
      <c r="A309" s="2" t="s">
        <v>9575</v>
      </c>
      <c r="B309" s="3" t="str">
        <f>C309 &amp; " -&gt; " &amp; D309</f>
        <v>explorer-inferences -&gt; explorer-tables</v>
      </c>
      <c r="C309" s="2" t="s">
        <v>9097</v>
      </c>
      <c r="D309" s="2" t="s">
        <v>9102</v>
      </c>
      <c r="E309" s="2" t="s">
        <v>1866</v>
      </c>
    </row>
    <row r="310">
      <c r="A310" s="2" t="s">
        <v>9576</v>
      </c>
      <c r="B310" s="3" t="str">
        <f>C310 &amp; " -&gt; " &amp; D310</f>
        <v>explorer-inferences -&gt; shared-field-provenance</v>
      </c>
      <c r="C310" s="2" t="s">
        <v>9097</v>
      </c>
      <c r="D310" s="2" t="s">
        <v>9040</v>
      </c>
      <c r="E310" s="2" t="s">
        <v>1866</v>
      </c>
    </row>
    <row r="311">
      <c r="A311" s="2" t="s">
        <v>9577</v>
      </c>
      <c r="B311" s="3" t="str">
        <f>C311 &amp; " -&gt; " &amp; D311</f>
        <v>explorer-tables -&gt; explorer-table-detail</v>
      </c>
      <c r="C311" s="2" t="s">
        <v>9102</v>
      </c>
      <c r="D311" s="2" t="s">
        <v>9107</v>
      </c>
      <c r="E311" s="2" t="s">
        <v>1866</v>
      </c>
    </row>
    <row r="312">
      <c r="A312" s="2" t="s">
        <v>9578</v>
      </c>
      <c r="B312" s="3" t="str">
        <f>C312 &amp; " -&gt; " &amp; D312</f>
        <v>explorer-tables -&gt; explorer-inferences</v>
      </c>
      <c r="C312" s="2" t="s">
        <v>9102</v>
      </c>
      <c r="D312" s="2" t="s">
        <v>9097</v>
      </c>
      <c r="E312" s="2" t="s">
        <v>1866</v>
      </c>
    </row>
    <row r="313">
      <c r="A313" s="2" t="s">
        <v>9579</v>
      </c>
      <c r="B313" s="3" t="str">
        <f>C313 &amp; " -&gt; " &amp; D313</f>
        <v>explorer-table-detail -&gt; explorer-record</v>
      </c>
      <c r="C313" s="2" t="s">
        <v>9107</v>
      </c>
      <c r="D313" s="2" t="s">
        <v>9112</v>
      </c>
      <c r="E313" s="2" t="s">
        <v>1866</v>
      </c>
    </row>
    <row r="314">
      <c r="A314" s="2" t="s">
        <v>9580</v>
      </c>
      <c r="B314" s="3" t="str">
        <f>C314 &amp; " -&gt; " &amp; D314</f>
        <v>explorer-table-detail -&gt; shared-field-provenance</v>
      </c>
      <c r="C314" s="2" t="s">
        <v>9107</v>
      </c>
      <c r="D314" s="2" t="s">
        <v>9040</v>
      </c>
      <c r="E314" s="2" t="s">
        <v>1866</v>
      </c>
    </row>
    <row r="315">
      <c r="A315" s="2" t="s">
        <v>9581</v>
      </c>
      <c r="B315" s="3" t="str">
        <f>C315 &amp; " -&gt; " &amp; D315</f>
        <v>explorer-record -&gt; explorer-table-detail</v>
      </c>
      <c r="C315" s="2" t="s">
        <v>9112</v>
      </c>
      <c r="D315" s="2" t="s">
        <v>9107</v>
      </c>
      <c r="E315" s="2" t="s">
        <v>1866</v>
      </c>
    </row>
    <row r="316">
      <c r="A316" s="2" t="s">
        <v>9582</v>
      </c>
      <c r="B316" s="3" t="str">
        <f>C316 &amp; " -&gt; " &amp; D316</f>
        <v>explorer-record -&gt; shared-field-provenance</v>
      </c>
      <c r="C316" s="2" t="s">
        <v>9112</v>
      </c>
      <c r="D316" s="2" t="s">
        <v>9040</v>
      </c>
      <c r="E316" s="2" t="s">
        <v>1866</v>
      </c>
    </row>
  </sheetData>
  <autoFilter ref="A1:E1"/>
  <headerFooter/>
  <legacyDrawing r:id="rId1"/>
</worksheet>
</file>

<file path=xl/worksheets/sheet7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93"/>
  <sheetViews>
    <sheetView workbookViewId="0">
      <pane ySplit="1" topLeftCell="A2" state="frozen" activePane="bottomLeft"/>
      <selection pane="bottomLeft" activeCell="A1" sqref="A1"/>
    </sheetView>
  </sheetViews>
  <sheetFormatPr defaultRowHeight="15"/>
  <cols>
    <col min="1" max="1" width="25.653127670288086" customWidth="1"/>
    <col min="2" max="2" width="25.653127670288086" customWidth="1"/>
    <col min="3" max="3" width="25.653127670288086" customWidth="1"/>
    <col min="4" max="4" width="26.150236129760742" customWidth="1"/>
    <col min="5" max="5" width="29.5650634765625"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26.94477653503418" customWidth="1"/>
    <col min="12" max="12" width="42.608455657958984" customWidth="1"/>
  </cols>
  <sheetData>
    <row r="1">
      <c r="A1" s="1" t="s">
        <v>5287</v>
      </c>
      <c r="B1" s="1" t="s">
        <v>5289</v>
      </c>
      <c r="C1" s="1" t="s">
        <v>1</v>
      </c>
      <c r="D1" s="1" t="s">
        <v>5293</v>
      </c>
      <c r="E1" s="1" t="s">
        <v>5295</v>
      </c>
      <c r="F1" s="1" t="s">
        <v>5297</v>
      </c>
      <c r="G1" s="1" t="s">
        <v>5299</v>
      </c>
      <c r="H1" s="1" t="s">
        <v>5301</v>
      </c>
      <c r="I1" s="1" t="s">
        <v>5304</v>
      </c>
      <c r="J1" s="1" t="s">
        <v>5307</v>
      </c>
      <c r="K1" s="1" t="s">
        <v>2381</v>
      </c>
      <c r="L1" s="1" t="s">
        <v>94</v>
      </c>
    </row>
    <row r="2">
      <c r="A2" s="2" t="s">
        <v>5482</v>
      </c>
      <c r="B2" s="2" t="s">
        <v>5482</v>
      </c>
      <c r="C2" s="3" t="str">
        <f>B2</f>
        <v>AccessDenialTests</v>
      </c>
      <c r="D2" s="2"/>
      <c r="E2" s="2"/>
      <c r="F2" s="2" t="s">
        <v>9583</v>
      </c>
      <c r="G2" s="2" t="b">
        <v>1</v>
      </c>
      <c r="H2" s="3">
        <f>COUNTIFS(RulebookFields!C2:C999, A2)</f>
        <v>0</v>
      </c>
      <c r="I2" s="3">
        <f>COUNTIFS(AccessPolicies!D2:D999, A2)</f>
        <v>0</v>
      </c>
      <c r="J2" s="3" t="b">
        <f>I2 = 0</f>
        <v>1</v>
      </c>
      <c r="K2" s="3">
        <f>COUNTIFS(TableConformance!O2:O999, A2)</f>
        <v>1</v>
      </c>
      <c r="L2" s="2" t="s">
        <v>9584</v>
      </c>
    </row>
    <row r="3">
      <c r="A3" s="2" t="s">
        <v>5346</v>
      </c>
      <c r="B3" s="2" t="s">
        <v>5346</v>
      </c>
      <c r="C3" s="3" t="str">
        <f>B3</f>
        <v>AccessPolicies</v>
      </c>
      <c r="D3" s="2"/>
      <c r="E3" s="2"/>
      <c r="F3" s="2" t="s">
        <v>9583</v>
      </c>
      <c r="G3" s="2" t="b">
        <v>1</v>
      </c>
      <c r="H3" s="3">
        <f>COUNTIFS(RulebookFields!C2:C999, A3)</f>
        <v>0</v>
      </c>
      <c r="I3" s="3">
        <f>COUNTIFS(AccessPolicies!D2:D999, A3)</f>
        <v>0</v>
      </c>
      <c r="J3" s="3" t="b">
        <f>I3 = 0</f>
        <v>1</v>
      </c>
      <c r="K3" s="3">
        <f>COUNTIFS(TableConformance!O2:O999, A3)</f>
        <v>0</v>
      </c>
      <c r="L3" s="2" t="s">
        <v>9584</v>
      </c>
    </row>
    <row r="4">
      <c r="A4" s="2" t="s">
        <v>5313</v>
      </c>
      <c r="B4" s="2" t="s">
        <v>5313</v>
      </c>
      <c r="C4" s="3" t="str">
        <f>B4</f>
        <v>AccessPrincipals</v>
      </c>
      <c r="D4" s="2"/>
      <c r="E4" s="2"/>
      <c r="F4" s="2" t="s">
        <v>9583</v>
      </c>
      <c r="G4" s="2" t="b">
        <v>1</v>
      </c>
      <c r="H4" s="3">
        <f>COUNTIFS(RulebookFields!C2:C999, A4)</f>
        <v>0</v>
      </c>
      <c r="I4" s="3">
        <f>COUNTIFS(AccessPolicies!D2:D999, A4)</f>
        <v>0</v>
      </c>
      <c r="J4" s="3" t="b">
        <f>I4 = 0</f>
        <v>1</v>
      </c>
      <c r="K4" s="3">
        <f>COUNTIFS(TableConformance!O2:O999, A4)</f>
        <v>1</v>
      </c>
      <c r="L4" s="2" t="s">
        <v>9584</v>
      </c>
    </row>
    <row r="5">
      <c r="A5" s="2" t="s">
        <v>1776</v>
      </c>
      <c r="B5" s="2" t="s">
        <v>1776</v>
      </c>
      <c r="C5" s="3" t="str">
        <f>B5</f>
        <v>Actions</v>
      </c>
      <c r="D5" s="2" t="s">
        <v>9585</v>
      </c>
      <c r="E5" s="2" t="s">
        <v>7011</v>
      </c>
      <c r="F5" s="2" t="s">
        <v>9586</v>
      </c>
      <c r="G5" s="2" t="b">
        <v>0</v>
      </c>
      <c r="H5" s="3">
        <f>COUNTIFS(RulebookFields!C2:C999, A5)</f>
        <v>5</v>
      </c>
      <c r="I5" s="3">
        <f>COUNTIFS(AccessPolicies!D2:D999, A5)</f>
        <v>2</v>
      </c>
      <c r="J5" s="3" t="b">
        <f>I5 = 0</f>
        <v>0</v>
      </c>
      <c r="K5" s="3">
        <f>COUNTIFS(TableConformance!O2:O999, A5)</f>
        <v>0</v>
      </c>
      <c r="L5" s="2" t="s">
        <v>9584</v>
      </c>
    </row>
    <row r="6">
      <c r="A6" s="2" t="s">
        <v>4928</v>
      </c>
      <c r="B6" s="2" t="s">
        <v>4928</v>
      </c>
      <c r="C6" s="3" t="str">
        <f>B6</f>
        <v>AgentDecisionRecords</v>
      </c>
      <c r="D6" s="2" t="s">
        <v>9587</v>
      </c>
      <c r="E6" s="2" t="s">
        <v>7116</v>
      </c>
      <c r="F6" s="2" t="s">
        <v>9588</v>
      </c>
      <c r="G6" s="2" t="b">
        <v>0</v>
      </c>
      <c r="H6" s="3">
        <f>COUNTIFS(RulebookFields!C2:C999, A6)</f>
        <v>0</v>
      </c>
      <c r="I6" s="3">
        <f>COUNTIFS(AccessPolicies!D2:D999, A6)</f>
        <v>2</v>
      </c>
      <c r="J6" s="3" t="b">
        <f>I6 = 0</f>
        <v>0</v>
      </c>
      <c r="K6" s="3">
        <f>COUNTIFS(TableConformance!O2:O999, A6)</f>
        <v>2</v>
      </c>
      <c r="L6" s="2" t="s">
        <v>9584</v>
      </c>
    </row>
    <row r="7">
      <c r="A7" s="2" t="s">
        <v>1794</v>
      </c>
      <c r="B7" s="2" t="s">
        <v>1794</v>
      </c>
      <c r="C7" s="3" t="str">
        <f>B7</f>
        <v>Agents</v>
      </c>
      <c r="D7" s="2" t="s">
        <v>9589</v>
      </c>
      <c r="E7" s="2" t="s">
        <v>6979</v>
      </c>
      <c r="F7" s="2" t="s">
        <v>9588</v>
      </c>
      <c r="G7" s="2" t="b">
        <v>0</v>
      </c>
      <c r="H7" s="3">
        <f>COUNTIFS(RulebookFields!C2:C999, A7)</f>
        <v>23</v>
      </c>
      <c r="I7" s="3">
        <f>COUNTIFS(AccessPolicies!D2:D999, A7)</f>
        <v>2</v>
      </c>
      <c r="J7" s="3" t="b">
        <f>I7 = 0</f>
        <v>0</v>
      </c>
      <c r="K7" s="3">
        <f>COUNTIFS(TableConformance!O2:O999, A7)</f>
        <v>0</v>
      </c>
      <c r="L7" s="2" t="s">
        <v>9584</v>
      </c>
    </row>
    <row r="8">
      <c r="A8" s="2" t="s">
        <v>1853</v>
      </c>
      <c r="B8" s="2" t="s">
        <v>1853</v>
      </c>
      <c r="C8" s="3" t="str">
        <f>B8</f>
        <v>AppNavGroups</v>
      </c>
      <c r="D8" s="2" t="s">
        <v>9590</v>
      </c>
      <c r="E8" s="2" t="s">
        <v>9591</v>
      </c>
      <c r="F8" s="2" t="s">
        <v>9592</v>
      </c>
      <c r="G8" s="2" t="b">
        <v>1</v>
      </c>
      <c r="H8" s="3">
        <f>COUNTIFS(RulebookFields!C2:C999, A8)</f>
        <v>0</v>
      </c>
      <c r="I8" s="3">
        <f>COUNTIFS(AccessPolicies!D2:D999, A8)</f>
        <v>2</v>
      </c>
      <c r="J8" s="3" t="b">
        <f>I8 = 0</f>
        <v>0</v>
      </c>
      <c r="K8" s="3">
        <f>COUNTIFS(TableConformance!O2:O999, A8)</f>
        <v>0</v>
      </c>
      <c r="L8" s="2" t="s">
        <v>9584</v>
      </c>
    </row>
    <row r="9">
      <c r="A9" s="2" t="s">
        <v>1849</v>
      </c>
      <c r="B9" s="2" t="s">
        <v>1849</v>
      </c>
      <c r="C9" s="3" t="str">
        <f>B9</f>
        <v>AppRoleProfiles</v>
      </c>
      <c r="D9" s="2" t="s">
        <v>9593</v>
      </c>
      <c r="E9" s="2" t="s">
        <v>9594</v>
      </c>
      <c r="F9" s="2" t="s">
        <v>9588</v>
      </c>
      <c r="G9" s="2" t="b">
        <v>1</v>
      </c>
      <c r="H9" s="3">
        <f>COUNTIFS(RulebookFields!C2:C999, A9)</f>
        <v>0</v>
      </c>
      <c r="I9" s="3">
        <f>COUNTIFS(AccessPolicies!D2:D999, A9)</f>
        <v>2</v>
      </c>
      <c r="J9" s="3" t="b">
        <f>I9 = 0</f>
        <v>0</v>
      </c>
      <c r="K9" s="3">
        <f>COUNTIFS(TableConformance!O2:O999, A9)</f>
        <v>1</v>
      </c>
      <c r="L9" s="2" t="s">
        <v>9584</v>
      </c>
    </row>
    <row r="10">
      <c r="A10" s="2" t="s">
        <v>1861</v>
      </c>
      <c r="B10" s="2" t="s">
        <v>1861</v>
      </c>
      <c r="C10" s="3" t="str">
        <f>B10</f>
        <v>AppRouteQuestions</v>
      </c>
      <c r="D10" s="2" t="s">
        <v>9595</v>
      </c>
      <c r="E10" s="2" t="s">
        <v>9596</v>
      </c>
      <c r="F10" s="2" t="s">
        <v>9592</v>
      </c>
      <c r="G10" s="2" t="b">
        <v>1</v>
      </c>
      <c r="H10" s="3">
        <f>COUNTIFS(RulebookFields!C2:C999, A10)</f>
        <v>0</v>
      </c>
      <c r="I10" s="3">
        <f>COUNTIFS(AccessPolicies!D2:D999, A10)</f>
        <v>2</v>
      </c>
      <c r="J10" s="3" t="b">
        <f>I10 = 0</f>
        <v>0</v>
      </c>
      <c r="K10" s="3">
        <f>COUNTIFS(TableConformance!O2:O999, A10)</f>
        <v>0</v>
      </c>
      <c r="L10" s="2" t="s">
        <v>9584</v>
      </c>
    </row>
    <row r="11">
      <c r="A11" s="2" t="s">
        <v>1865</v>
      </c>
      <c r="B11" s="2" t="s">
        <v>1865</v>
      </c>
      <c r="C11" s="3" t="str">
        <f>B11</f>
        <v>AppRouteReferences</v>
      </c>
      <c r="D11" s="2" t="s">
        <v>9597</v>
      </c>
      <c r="E11" s="2" t="s">
        <v>9598</v>
      </c>
      <c r="F11" s="2" t="s">
        <v>9592</v>
      </c>
      <c r="G11" s="2" t="b">
        <v>1</v>
      </c>
      <c r="H11" s="3">
        <f>COUNTIFS(RulebookFields!C2:C999, A11)</f>
        <v>0</v>
      </c>
      <c r="I11" s="3">
        <f>COUNTIFS(AccessPolicies!D2:D999, A11)</f>
        <v>2</v>
      </c>
      <c r="J11" s="3" t="b">
        <f>I11 = 0</f>
        <v>0</v>
      </c>
      <c r="K11" s="3">
        <f>COUNTIFS(TableConformance!O2:O999, A11)</f>
        <v>0</v>
      </c>
      <c r="L11" s="2" t="s">
        <v>9584</v>
      </c>
    </row>
    <row r="12">
      <c r="A12" s="2" t="s">
        <v>1857</v>
      </c>
      <c r="B12" s="2" t="s">
        <v>1857</v>
      </c>
      <c r="C12" s="3" t="str">
        <f>B12</f>
        <v>AppRoutes</v>
      </c>
      <c r="D12" s="2" t="s">
        <v>9599</v>
      </c>
      <c r="E12" s="2" t="s">
        <v>9600</v>
      </c>
      <c r="F12" s="2" t="s">
        <v>9592</v>
      </c>
      <c r="G12" s="2" t="b">
        <v>1</v>
      </c>
      <c r="H12" s="3">
        <f>COUNTIFS(RulebookFields!C2:C999, A12)</f>
        <v>0</v>
      </c>
      <c r="I12" s="3">
        <f>COUNTIFS(AccessPolicies!D2:D999, A12)</f>
        <v>2</v>
      </c>
      <c r="J12" s="3" t="b">
        <f>I12 = 0</f>
        <v>0</v>
      </c>
      <c r="K12" s="3">
        <f>COUNTIFS(TableConformance!O2:O999, A12)</f>
        <v>0</v>
      </c>
      <c r="L12" s="2" t="s">
        <v>9584</v>
      </c>
    </row>
    <row r="13">
      <c r="A13" s="2" t="s">
        <v>5169</v>
      </c>
      <c r="B13" s="2" t="s">
        <v>5169</v>
      </c>
      <c r="C13" s="3" t="str">
        <f>B13</f>
        <v>Attestations</v>
      </c>
      <c r="D13" s="2" t="s">
        <v>9601</v>
      </c>
      <c r="E13" s="2" t="s">
        <v>7125</v>
      </c>
      <c r="F13" s="2" t="s">
        <v>8388</v>
      </c>
      <c r="G13" s="2" t="b">
        <v>0</v>
      </c>
      <c r="H13" s="3">
        <f>COUNTIFS(RulebookFields!C2:C999, A13)</f>
        <v>0</v>
      </c>
      <c r="I13" s="3">
        <f>COUNTIFS(AccessPolicies!D2:D999, A13)</f>
        <v>2</v>
      </c>
      <c r="J13" s="3" t="b">
        <f>I13 = 0</f>
        <v>0</v>
      </c>
      <c r="K13" s="3">
        <f>COUNTIFS(TableConformance!O2:O999, A13)</f>
        <v>0</v>
      </c>
      <c r="L13" s="2" t="s">
        <v>9584</v>
      </c>
    </row>
    <row r="14">
      <c r="A14" s="2" t="s">
        <v>5065</v>
      </c>
      <c r="B14" s="2" t="s">
        <v>5065</v>
      </c>
      <c r="C14" s="3" t="str">
        <f>B14</f>
        <v>AuthorityBoundaries</v>
      </c>
      <c r="D14" s="2" t="s">
        <v>9602</v>
      </c>
      <c r="E14" s="2" t="s">
        <v>7120</v>
      </c>
      <c r="F14" s="2" t="s">
        <v>8358</v>
      </c>
      <c r="G14" s="2" t="b">
        <v>0</v>
      </c>
      <c r="H14" s="3">
        <f>COUNTIFS(RulebookFields!C2:C999, A14)</f>
        <v>0</v>
      </c>
      <c r="I14" s="3">
        <f>COUNTIFS(AccessPolicies!D2:D999, A14)</f>
        <v>4</v>
      </c>
      <c r="J14" s="3" t="b">
        <f>I14 = 0</f>
        <v>0</v>
      </c>
      <c r="K14" s="3">
        <f>COUNTIFS(TableConformance!O2:O999, A14)</f>
        <v>1</v>
      </c>
      <c r="L14" s="2" t="s">
        <v>9584</v>
      </c>
    </row>
    <row r="15">
      <c r="A15" s="2" t="s">
        <v>5142</v>
      </c>
      <c r="B15" s="2" t="s">
        <v>5142</v>
      </c>
      <c r="C15" s="3" t="str">
        <f>B15</f>
        <v>BindingObservations</v>
      </c>
      <c r="D15" s="2" t="s">
        <v>9603</v>
      </c>
      <c r="E15" s="2" t="s">
        <v>7122</v>
      </c>
      <c r="F15" s="2" t="s">
        <v>8388</v>
      </c>
      <c r="G15" s="2" t="b">
        <v>0</v>
      </c>
      <c r="H15" s="3">
        <f>COUNTIFS(RulebookFields!C2:C999, A15)</f>
        <v>0</v>
      </c>
      <c r="I15" s="3">
        <f>COUNTIFS(AccessPolicies!D2:D999, A15)</f>
        <v>2</v>
      </c>
      <c r="J15" s="3" t="b">
        <f>I15 = 0</f>
        <v>0</v>
      </c>
      <c r="K15" s="3">
        <f>COUNTIFS(TableConformance!O2:O999, A15)</f>
        <v>0</v>
      </c>
      <c r="L15" s="2" t="s">
        <v>9584</v>
      </c>
    </row>
    <row r="16">
      <c r="A16" s="2" t="s">
        <v>3848</v>
      </c>
      <c r="B16" s="2" t="s">
        <v>3848</v>
      </c>
      <c r="C16" s="3" t="str">
        <f>B16</f>
        <v>ChangeRequests</v>
      </c>
      <c r="D16" s="2" t="s">
        <v>9604</v>
      </c>
      <c r="E16" s="2" t="s">
        <v>7067</v>
      </c>
      <c r="F16" s="2" t="s">
        <v>8388</v>
      </c>
      <c r="G16" s="2" t="b">
        <v>0</v>
      </c>
      <c r="H16" s="3">
        <f>COUNTIFS(RulebookFields!C2:C999, A16)</f>
        <v>45</v>
      </c>
      <c r="I16" s="3">
        <f>COUNTIFS(AccessPolicies!D2:D999, A16)</f>
        <v>6</v>
      </c>
      <c r="J16" s="3" t="b">
        <f>I16 = 0</f>
        <v>0</v>
      </c>
      <c r="K16" s="3">
        <f>COUNTIFS(TableConformance!O2:O999, A16)</f>
        <v>7</v>
      </c>
      <c r="L16" s="2" t="s">
        <v>9584</v>
      </c>
    </row>
    <row r="17">
      <c r="A17" s="2" t="s">
        <v>1845</v>
      </c>
      <c r="B17" s="2" t="s">
        <v>1845</v>
      </c>
      <c r="C17" s="3" t="str">
        <f>B17</f>
        <v>CommunicationPolicies</v>
      </c>
      <c r="D17" s="2" t="s">
        <v>9605</v>
      </c>
      <c r="E17" s="2" t="s">
        <v>7075</v>
      </c>
      <c r="F17" s="2" t="s">
        <v>9606</v>
      </c>
      <c r="G17" s="2" t="b">
        <v>0</v>
      </c>
      <c r="H17" s="3">
        <f>COUNTIFS(RulebookFields!C2:C999, A17)</f>
        <v>0</v>
      </c>
      <c r="I17" s="3">
        <f>COUNTIFS(AccessPolicies!D2:D999, A17)</f>
        <v>6</v>
      </c>
      <c r="J17" s="3" t="b">
        <f>I17 = 0</f>
        <v>0</v>
      </c>
      <c r="K17" s="3">
        <f>COUNTIFS(TableConformance!O2:O999, A17)</f>
        <v>0</v>
      </c>
      <c r="L17" s="2" t="s">
        <v>9584</v>
      </c>
    </row>
    <row r="18">
      <c r="A18" s="2" t="s">
        <v>2624</v>
      </c>
      <c r="B18" s="2" t="s">
        <v>2624</v>
      </c>
      <c r="C18" s="3" t="str">
        <f>B18</f>
        <v>CommunitiesOfPractice</v>
      </c>
      <c r="D18" s="2" t="s">
        <v>9607</v>
      </c>
      <c r="E18" s="2" t="s">
        <v>6988</v>
      </c>
      <c r="F18" s="2" t="s">
        <v>9588</v>
      </c>
      <c r="G18" s="2" t="b">
        <v>0</v>
      </c>
      <c r="H18" s="3">
        <f>COUNTIFS(RulebookFields!C2:C999, A18)</f>
        <v>8</v>
      </c>
      <c r="I18" s="3">
        <f>COUNTIFS(AccessPolicies!D2:D999, A18)</f>
        <v>2</v>
      </c>
      <c r="J18" s="3" t="b">
        <f>I18 = 0</f>
        <v>0</v>
      </c>
      <c r="K18" s="3">
        <f>COUNTIFS(TableConformance!O2:O999, A18)</f>
        <v>0</v>
      </c>
      <c r="L18" s="2" t="s">
        <v>9584</v>
      </c>
    </row>
    <row r="19">
      <c r="A19" s="2" t="s">
        <v>5029</v>
      </c>
      <c r="B19" s="2" t="s">
        <v>5029</v>
      </c>
      <c r="C19" s="3" t="str">
        <f>B19</f>
        <v>DeliveredCommunications</v>
      </c>
      <c r="D19" s="2" t="s">
        <v>9608</v>
      </c>
      <c r="E19" s="2" t="s">
        <v>7118</v>
      </c>
      <c r="F19" s="2" t="s">
        <v>9606</v>
      </c>
      <c r="G19" s="2" t="b">
        <v>0</v>
      </c>
      <c r="H19" s="3">
        <f>COUNTIFS(RulebookFields!C2:C999, A19)</f>
        <v>0</v>
      </c>
      <c r="I19" s="3">
        <f>COUNTIFS(AccessPolicies!D2:D999, A19)</f>
        <v>2</v>
      </c>
      <c r="J19" s="3" t="b">
        <f>I19 = 0</f>
        <v>0</v>
      </c>
      <c r="K19" s="3">
        <f>COUNTIFS(TableConformance!O2:O999, A19)</f>
        <v>7</v>
      </c>
      <c r="L19" s="2" t="s">
        <v>9584</v>
      </c>
    </row>
    <row r="20">
      <c r="A20" s="2" t="s">
        <v>4199</v>
      </c>
      <c r="B20" s="2" t="s">
        <v>4199</v>
      </c>
      <c r="C20" s="3" t="str">
        <f>B20</f>
        <v>ERBCustomizations</v>
      </c>
      <c r="D20" s="2"/>
      <c r="E20" s="2"/>
      <c r="F20" s="2" t="s">
        <v>9609</v>
      </c>
      <c r="G20" s="2" t="b">
        <v>1</v>
      </c>
      <c r="H20" s="3">
        <f>COUNTIFS(RulebookFields!C2:C999, A20)</f>
        <v>0</v>
      </c>
      <c r="I20" s="3">
        <f>COUNTIFS(AccessPolicies!D2:D999, A20)</f>
        <v>0</v>
      </c>
      <c r="J20" s="3" t="b">
        <f>I20 = 0</f>
        <v>1</v>
      </c>
      <c r="K20" s="3">
        <f>COUNTIFS(TableConformance!O2:O999, A20)</f>
        <v>0</v>
      </c>
      <c r="L20" s="2" t="s">
        <v>9584</v>
      </c>
    </row>
    <row r="21">
      <c r="A21" s="2" t="s">
        <v>4186</v>
      </c>
      <c r="B21" s="2" t="s">
        <v>4186</v>
      </c>
      <c r="C21" s="3" t="str">
        <f>B21</f>
        <v>ERBVersions</v>
      </c>
      <c r="D21" s="2"/>
      <c r="E21" s="2"/>
      <c r="F21" s="2" t="s">
        <v>9609</v>
      </c>
      <c r="G21" s="2" t="b">
        <v>1</v>
      </c>
      <c r="H21" s="3">
        <f>COUNTIFS(RulebookFields!C2:C999, A21)</f>
        <v>0</v>
      </c>
      <c r="I21" s="3">
        <f>COUNTIFS(AccessPolicies!D2:D999, A21)</f>
        <v>0</v>
      </c>
      <c r="J21" s="3" t="b">
        <f>I21 = 0</f>
        <v>1</v>
      </c>
      <c r="K21" s="3">
        <f>COUNTIFS(TableConformance!O2:O999, A21)</f>
        <v>0</v>
      </c>
      <c r="L21" s="2" t="s">
        <v>9584</v>
      </c>
    </row>
    <row r="22">
      <c r="A22" s="2" t="s">
        <v>1835</v>
      </c>
      <c r="B22" s="2" t="s">
        <v>1835</v>
      </c>
      <c r="C22" s="3" t="str">
        <f>B22</f>
        <v>ElicitationSessions</v>
      </c>
      <c r="D22" s="2" t="s">
        <v>9610</v>
      </c>
      <c r="E22" s="2" t="s">
        <v>7040</v>
      </c>
      <c r="F22" s="2" t="s">
        <v>8356</v>
      </c>
      <c r="G22" s="2" t="b">
        <v>1</v>
      </c>
      <c r="H22" s="3">
        <f>COUNTIFS(RulebookFields!C2:C999, A22)</f>
        <v>21</v>
      </c>
      <c r="I22" s="3">
        <f>COUNTIFS(AccessPolicies!D2:D999, A22)</f>
        <v>2</v>
      </c>
      <c r="J22" s="3" t="b">
        <f>I22 = 0</f>
        <v>0</v>
      </c>
      <c r="K22" s="3">
        <f>COUNTIFS(TableConformance!O2:O999, A22)</f>
        <v>7</v>
      </c>
      <c r="L22" s="2" t="s">
        <v>9584</v>
      </c>
    </row>
    <row r="23">
      <c r="A23" s="2" t="s">
        <v>1813</v>
      </c>
      <c r="B23" s="2" t="s">
        <v>1813</v>
      </c>
      <c r="C23" s="3" t="str">
        <f>B23</f>
        <v>Errors</v>
      </c>
      <c r="D23" s="2" t="s">
        <v>9611</v>
      </c>
      <c r="E23" s="2" t="s">
        <v>7057</v>
      </c>
      <c r="F23" s="2" t="s">
        <v>8354</v>
      </c>
      <c r="G23" s="2" t="b">
        <v>0</v>
      </c>
      <c r="H23" s="3">
        <f>COUNTIFS(RulebookFields!C2:C999, A23)</f>
        <v>6</v>
      </c>
      <c r="I23" s="3">
        <f>COUNTIFS(AccessPolicies!D2:D999, A23)</f>
        <v>4</v>
      </c>
      <c r="J23" s="3" t="b">
        <f>I23 = 0</f>
        <v>0</v>
      </c>
      <c r="K23" s="3">
        <f>COUNTIFS(TableConformance!O2:O999, A23)</f>
        <v>0</v>
      </c>
      <c r="L23" s="2" t="s">
        <v>9584</v>
      </c>
    </row>
    <row r="24">
      <c r="A24" s="2" t="s">
        <v>2413</v>
      </c>
      <c r="B24" s="2" t="s">
        <v>2413</v>
      </c>
      <c r="C24" s="3" t="str">
        <f>B24</f>
        <v>EvaluationContexts</v>
      </c>
      <c r="D24" s="2" t="s">
        <v>9612</v>
      </c>
      <c r="E24" s="2" t="s">
        <v>6974</v>
      </c>
      <c r="F24" s="2" t="s">
        <v>9609</v>
      </c>
      <c r="G24" s="2" t="b">
        <v>1</v>
      </c>
      <c r="H24" s="3">
        <f>COUNTIFS(RulebookFields!C2:C999, A24)</f>
        <v>7</v>
      </c>
      <c r="I24" s="3">
        <f>COUNTIFS(AccessPolicies!D2:D999, A24)</f>
        <v>2</v>
      </c>
      <c r="J24" s="3" t="b">
        <f>I24 = 0</f>
        <v>0</v>
      </c>
      <c r="K24" s="3">
        <f>COUNTIFS(TableConformance!O2:O999, A24)</f>
        <v>6</v>
      </c>
      <c r="L24" s="2" t="s">
        <v>9584</v>
      </c>
    </row>
    <row r="25">
      <c r="A25" s="2" t="s">
        <v>4221</v>
      </c>
      <c r="B25" s="2" t="s">
        <v>4221</v>
      </c>
      <c r="C25" s="3" t="str">
        <f>B25</f>
        <v>ExceptionInvocations</v>
      </c>
      <c r="D25" s="2" t="s">
        <v>9613</v>
      </c>
      <c r="E25" s="2" t="s">
        <v>7102</v>
      </c>
      <c r="F25" s="2" t="s">
        <v>8358</v>
      </c>
      <c r="G25" s="2" t="b">
        <v>0</v>
      </c>
      <c r="H25" s="3">
        <f>COUNTIFS(RulebookFields!C2:C999, A25)</f>
        <v>0</v>
      </c>
      <c r="I25" s="3">
        <f>COUNTIFS(AccessPolicies!D2:D999, A25)</f>
        <v>2</v>
      </c>
      <c r="J25" s="3" t="b">
        <f>I25 = 0</f>
        <v>0</v>
      </c>
      <c r="K25" s="3">
        <f>COUNTIFS(TableConformance!O2:O999, A25)</f>
        <v>0</v>
      </c>
      <c r="L25" s="2" t="s">
        <v>9584</v>
      </c>
    </row>
    <row r="26">
      <c r="A26" s="2" t="s">
        <v>3095</v>
      </c>
      <c r="B26" s="2" t="s">
        <v>3095</v>
      </c>
      <c r="C26" s="3" t="str">
        <f>B26</f>
        <v>Exceptions</v>
      </c>
      <c r="D26" s="2" t="s">
        <v>9614</v>
      </c>
      <c r="E26" s="2" t="s">
        <v>7034</v>
      </c>
      <c r="F26" s="2" t="s">
        <v>8358</v>
      </c>
      <c r="G26" s="2" t="b">
        <v>0</v>
      </c>
      <c r="H26" s="3">
        <f>COUNTIFS(RulebookFields!C2:C999, A26)</f>
        <v>11</v>
      </c>
      <c r="I26" s="3">
        <f>COUNTIFS(AccessPolicies!D2:D999, A26)</f>
        <v>5</v>
      </c>
      <c r="J26" s="3" t="b">
        <f>I26 = 0</f>
        <v>0</v>
      </c>
      <c r="K26" s="3">
        <f>COUNTIFS(TableConformance!O2:O999, A26)</f>
        <v>0</v>
      </c>
      <c r="L26" s="2" t="s">
        <v>9584</v>
      </c>
    </row>
    <row r="27">
      <c r="A27" s="2" t="s">
        <v>1828</v>
      </c>
      <c r="B27" s="2" t="s">
        <v>1828</v>
      </c>
      <c r="C27" s="3" t="str">
        <f>B27</f>
        <v>Explanations</v>
      </c>
      <c r="D27" s="2" t="s">
        <v>9615</v>
      </c>
      <c r="E27" s="2" t="s">
        <v>7049</v>
      </c>
      <c r="F27" s="2" t="s">
        <v>8356</v>
      </c>
      <c r="G27" s="2" t="b">
        <v>0</v>
      </c>
      <c r="H27" s="3">
        <f>COUNTIFS(RulebookFields!C2:C999, A27)</f>
        <v>7</v>
      </c>
      <c r="I27" s="3">
        <f>COUNTIFS(AccessPolicies!D2:D999, A27)</f>
        <v>2</v>
      </c>
      <c r="J27" s="3" t="b">
        <f>I27 = 0</f>
        <v>0</v>
      </c>
      <c r="K27" s="3">
        <f>COUNTIFS(TableConformance!O2:O999, A27)</f>
        <v>0</v>
      </c>
      <c r="L27" s="2" t="s">
        <v>9584</v>
      </c>
    </row>
    <row r="28">
      <c r="A28" s="2" t="s">
        <v>1825</v>
      </c>
      <c r="B28" s="2" t="s">
        <v>1825</v>
      </c>
      <c r="C28" s="3" t="str">
        <f>B28</f>
        <v>FAQs</v>
      </c>
      <c r="D28" s="2"/>
      <c r="E28" s="2"/>
      <c r="F28" s="2" t="s">
        <v>8356</v>
      </c>
      <c r="G28" s="2" t="b">
        <v>0</v>
      </c>
      <c r="H28" s="3">
        <f>COUNTIFS(RulebookFields!C2:C999, A28)</f>
        <v>9</v>
      </c>
      <c r="I28" s="3">
        <f>COUNTIFS(AccessPolicies!D2:D999, A28)</f>
        <v>0</v>
      </c>
      <c r="J28" s="3" t="b">
        <f>I28 = 0</f>
        <v>1</v>
      </c>
      <c r="K28" s="3">
        <f>COUNTIFS(TableConformance!O2:O999, A28)</f>
        <v>1</v>
      </c>
      <c r="L28" s="2" t="s">
        <v>9584</v>
      </c>
    </row>
    <row r="29">
      <c r="A29" s="2" t="s">
        <v>5382</v>
      </c>
      <c r="B29" s="2" t="s">
        <v>5382</v>
      </c>
      <c r="C29" s="3" t="str">
        <f>B29</f>
        <v>FieldGrants</v>
      </c>
      <c r="D29" s="2"/>
      <c r="E29" s="2"/>
      <c r="F29" s="2" t="s">
        <v>9583</v>
      </c>
      <c r="G29" s="2" t="b">
        <v>1</v>
      </c>
      <c r="H29" s="3">
        <f>COUNTIFS(RulebookFields!C2:C999, A29)</f>
        <v>0</v>
      </c>
      <c r="I29" s="3">
        <f>COUNTIFS(AccessPolicies!D2:D999, A29)</f>
        <v>0</v>
      </c>
      <c r="J29" s="3" t="b">
        <f>I29 = 0</f>
        <v>1</v>
      </c>
      <c r="K29" s="3">
        <f>COUNTIFS(TableConformance!O2:O999, A29)</f>
        <v>1</v>
      </c>
      <c r="L29" s="2" t="s">
        <v>9584</v>
      </c>
    </row>
    <row r="30">
      <c r="A30" s="2" t="s">
        <v>1779</v>
      </c>
      <c r="B30" s="2" t="s">
        <v>1779</v>
      </c>
      <c r="C30" s="3" t="str">
        <f>B30</f>
        <v>Functions</v>
      </c>
      <c r="D30" s="2" t="s">
        <v>9616</v>
      </c>
      <c r="E30" s="2" t="s">
        <v>7014</v>
      </c>
      <c r="F30" s="2" t="s">
        <v>9586</v>
      </c>
      <c r="G30" s="2" t="b">
        <v>0</v>
      </c>
      <c r="H30" s="3">
        <f>COUNTIFS(RulebookFields!C2:C999, A30)</f>
        <v>6</v>
      </c>
      <c r="I30" s="3">
        <f>COUNTIFS(AccessPolicies!D2:D999, A30)</f>
        <v>2</v>
      </c>
      <c r="J30" s="3" t="b">
        <f>I30 = 0</f>
        <v>0</v>
      </c>
      <c r="K30" s="3">
        <f>COUNTIFS(TableConformance!O2:O999, A30)</f>
        <v>0</v>
      </c>
      <c r="L30" s="2" t="s">
        <v>9584</v>
      </c>
    </row>
    <row r="31">
      <c r="A31" s="2" t="s">
        <v>1816</v>
      </c>
      <c r="B31" s="2" t="s">
        <v>1816</v>
      </c>
      <c r="C31" s="3" t="str">
        <f>B31</f>
        <v>IssueOccurrences</v>
      </c>
      <c r="D31" s="2" t="s">
        <v>9617</v>
      </c>
      <c r="E31" s="2" t="s">
        <v>7059</v>
      </c>
      <c r="F31" s="2" t="s">
        <v>8354</v>
      </c>
      <c r="G31" s="2" t="b">
        <v>0</v>
      </c>
      <c r="H31" s="3">
        <f>COUNTIFS(RulebookFields!C2:C999, A31)</f>
        <v>12</v>
      </c>
      <c r="I31" s="3">
        <f>COUNTIFS(AccessPolicies!D2:D999, A31)</f>
        <v>2</v>
      </c>
      <c r="J31" s="3" t="b">
        <f>I31 = 0</f>
        <v>0</v>
      </c>
      <c r="K31" s="3">
        <f>COUNTIFS(TableConformance!O2:O999, A31)</f>
        <v>6</v>
      </c>
      <c r="L31" s="2" t="s">
        <v>9584</v>
      </c>
    </row>
    <row r="32">
      <c r="A32" s="2" t="s">
        <v>5463</v>
      </c>
      <c r="B32" s="2" t="s">
        <v>5463</v>
      </c>
      <c r="C32" s="3" t="str">
        <f>B32</f>
        <v>JwtClaimMappings</v>
      </c>
      <c r="D32" s="2"/>
      <c r="E32" s="2"/>
      <c r="F32" s="2" t="s">
        <v>9583</v>
      </c>
      <c r="G32" s="2" t="b">
        <v>1</v>
      </c>
      <c r="H32" s="3">
        <f>COUNTIFS(RulebookFields!C2:C999, A32)</f>
        <v>0</v>
      </c>
      <c r="I32" s="3">
        <f>COUNTIFS(AccessPolicies!D2:D999, A32)</f>
        <v>0</v>
      </c>
      <c r="J32" s="3" t="b">
        <f>I32 = 0</f>
        <v>1</v>
      </c>
      <c r="K32" s="3">
        <f>COUNTIFS(TableConformance!O2:O999, A32)</f>
        <v>0</v>
      </c>
      <c r="L32" s="2" t="s">
        <v>9584</v>
      </c>
    </row>
    <row r="33">
      <c r="A33" s="2" t="s">
        <v>1831</v>
      </c>
      <c r="B33" s="2" t="s">
        <v>1831</v>
      </c>
      <c r="C33" s="3" t="str">
        <f>B33</f>
        <v>KnowledgeFragments</v>
      </c>
      <c r="D33" s="2" t="s">
        <v>9618</v>
      </c>
      <c r="E33" s="2" t="s">
        <v>7042</v>
      </c>
      <c r="F33" s="2" t="s">
        <v>8356</v>
      </c>
      <c r="G33" s="2" t="b">
        <v>1</v>
      </c>
      <c r="H33" s="3">
        <f>COUNTIFS(RulebookFields!C2:C999, A33)</f>
        <v>80</v>
      </c>
      <c r="I33" s="3">
        <f>COUNTIFS(AccessPolicies!D2:D999, A33)</f>
        <v>6</v>
      </c>
      <c r="J33" s="3" t="b">
        <f>I33 = 0</f>
        <v>0</v>
      </c>
      <c r="K33" s="3">
        <f>COUNTIFS(TableConformance!O2:O999, A33)</f>
        <v>7</v>
      </c>
      <c r="L33" s="2" t="s">
        <v>9584</v>
      </c>
    </row>
    <row r="34">
      <c r="A34" s="2" t="s">
        <v>3302</v>
      </c>
      <c r="B34" s="2" t="s">
        <v>3302</v>
      </c>
      <c r="C34" s="3" t="str">
        <f>B34</f>
        <v>KnowledgeGaps</v>
      </c>
      <c r="D34" s="2" t="s">
        <v>9619</v>
      </c>
      <c r="E34" s="2" t="s">
        <v>7045</v>
      </c>
      <c r="F34" s="2" t="s">
        <v>8356</v>
      </c>
      <c r="G34" s="2" t="b">
        <v>1</v>
      </c>
      <c r="H34" s="3">
        <f>COUNTIFS(RulebookFields!C2:C999, A34)</f>
        <v>28</v>
      </c>
      <c r="I34" s="3">
        <f>COUNTIFS(AccessPolicies!D2:D999, A34)</f>
        <v>4</v>
      </c>
      <c r="J34" s="3" t="b">
        <f>I34 = 0</f>
        <v>0</v>
      </c>
      <c r="K34" s="3">
        <f>COUNTIFS(TableConformance!O2:O999, A34)</f>
        <v>7</v>
      </c>
      <c r="L34" s="2" t="s">
        <v>9584</v>
      </c>
    </row>
    <row r="35">
      <c r="A35" s="2" t="s">
        <v>3951</v>
      </c>
      <c r="B35" s="2" t="s">
        <v>3951</v>
      </c>
      <c r="C35" s="3" t="str">
        <f>B35</f>
        <v>LearningActivities</v>
      </c>
      <c r="D35" s="2" t="s">
        <v>9620</v>
      </c>
      <c r="E35" s="2" t="s">
        <v>7071</v>
      </c>
      <c r="F35" s="2" t="s">
        <v>8388</v>
      </c>
      <c r="G35" s="2" t="b">
        <v>0</v>
      </c>
      <c r="H35" s="3">
        <f>COUNTIFS(RulebookFields!C2:C999, A35)</f>
        <v>10</v>
      </c>
      <c r="I35" s="3">
        <f>COUNTIFS(AccessPolicies!D2:D999, A35)</f>
        <v>2</v>
      </c>
      <c r="J35" s="3" t="b">
        <f>I35 = 0</f>
        <v>0</v>
      </c>
      <c r="K35" s="3">
        <f>COUNTIFS(TableConformance!O2:O999, A35)</f>
        <v>6</v>
      </c>
      <c r="L35" s="2" t="s">
        <v>9584</v>
      </c>
    </row>
    <row r="36">
      <c r="A36" s="2" t="s">
        <v>2633</v>
      </c>
      <c r="B36" s="2" t="s">
        <v>2633</v>
      </c>
      <c r="C36" s="3" t="str">
        <f>B36</f>
        <v>Mentorships</v>
      </c>
      <c r="D36" s="2" t="s">
        <v>9621</v>
      </c>
      <c r="E36" s="2" t="s">
        <v>6991</v>
      </c>
      <c r="F36" s="2" t="s">
        <v>9588</v>
      </c>
      <c r="G36" s="2" t="b">
        <v>0</v>
      </c>
      <c r="H36" s="3">
        <f>COUNTIFS(RulebookFields!C2:C999, A36)</f>
        <v>10</v>
      </c>
      <c r="I36" s="3">
        <f>COUNTIFS(AccessPolicies!D2:D999, A36)</f>
        <v>2</v>
      </c>
      <c r="J36" s="3" t="b">
        <f>I36 = 0</f>
        <v>0</v>
      </c>
      <c r="K36" s="3">
        <f>COUNTIFS(TableConformance!O2:O999, A36)</f>
        <v>0</v>
      </c>
      <c r="L36" s="2" t="s">
        <v>9584</v>
      </c>
    </row>
    <row r="37">
      <c r="A37" s="2" t="s">
        <v>4378</v>
      </c>
      <c r="B37" s="2" t="s">
        <v>4378</v>
      </c>
      <c r="C37" s="3" t="str">
        <f>B37</f>
        <v>MessageDeliveries</v>
      </c>
      <c r="D37" s="2" t="s">
        <v>9622</v>
      </c>
      <c r="E37" s="2" t="s">
        <v>7110</v>
      </c>
      <c r="F37" s="2" t="s">
        <v>9606</v>
      </c>
      <c r="G37" s="2" t="b">
        <v>0</v>
      </c>
      <c r="H37" s="3">
        <f>COUNTIFS(RulebookFields!C2:C999, A37)</f>
        <v>0</v>
      </c>
      <c r="I37" s="3">
        <f>COUNTIFS(AccessPolicies!D2:D999, A37)</f>
        <v>4</v>
      </c>
      <c r="J37" s="3" t="b">
        <f>I37 = 0</f>
        <v>0</v>
      </c>
      <c r="K37" s="3">
        <f>COUNTIFS(TableConformance!O2:O999, A37)</f>
        <v>7</v>
      </c>
      <c r="L37" s="2" t="s">
        <v>9584</v>
      </c>
    </row>
    <row r="38">
      <c r="A38" s="2" t="s">
        <v>4021</v>
      </c>
      <c r="B38" s="2" t="s">
        <v>4021</v>
      </c>
      <c r="C38" s="3" t="str">
        <f>B38</f>
        <v>MessageTemplates</v>
      </c>
      <c r="D38" s="2" t="s">
        <v>9623</v>
      </c>
      <c r="E38" s="2" t="s">
        <v>7077</v>
      </c>
      <c r="F38" s="2" t="s">
        <v>9606</v>
      </c>
      <c r="G38" s="2" t="b">
        <v>0</v>
      </c>
      <c r="H38" s="3">
        <f>COUNTIFS(RulebookFields!C2:C999, A38)</f>
        <v>0</v>
      </c>
      <c r="I38" s="3">
        <f>COUNTIFS(AccessPolicies!D2:D999, A38)</f>
        <v>5</v>
      </c>
      <c r="J38" s="3" t="b">
        <f>I38 = 0</f>
        <v>0</v>
      </c>
      <c r="K38" s="3">
        <f>COUNTIFS(TableConformance!O2:O999, A38)</f>
        <v>1</v>
      </c>
      <c r="L38" s="2" t="s">
        <v>9584</v>
      </c>
    </row>
    <row r="39">
      <c r="A39" s="2" t="s">
        <v>4332</v>
      </c>
      <c r="B39" s="2" t="s">
        <v>4332</v>
      </c>
      <c r="C39" s="3" t="str">
        <f>B39</f>
        <v>ObservedTransitions</v>
      </c>
      <c r="D39" s="2" t="s">
        <v>9624</v>
      </c>
      <c r="E39" s="2" t="s">
        <v>7106</v>
      </c>
      <c r="F39" s="2" t="s">
        <v>9586</v>
      </c>
      <c r="G39" s="2" t="b">
        <v>0</v>
      </c>
      <c r="H39" s="3">
        <f>COUNTIFS(RulebookFields!C2:C999, A39)</f>
        <v>0</v>
      </c>
      <c r="I39" s="3">
        <f>COUNTIFS(AccessPolicies!D2:D999, A39)</f>
        <v>2</v>
      </c>
      <c r="J39" s="3" t="b">
        <f>I39 = 0</f>
        <v>0</v>
      </c>
      <c r="K39" s="3">
        <f>COUNTIFS(TableConformance!O2:O999, A39)</f>
        <v>6</v>
      </c>
      <c r="L39" s="2" t="s">
        <v>9584</v>
      </c>
    </row>
    <row r="40">
      <c r="A40" s="2" t="s">
        <v>2403</v>
      </c>
      <c r="B40" s="2" t="s">
        <v>2403</v>
      </c>
      <c r="C40" s="3" t="str">
        <f>B40</f>
        <v>OntologyProfiles</v>
      </c>
      <c r="D40" s="2" t="s">
        <v>9625</v>
      </c>
      <c r="E40" s="2" t="s">
        <v>6971</v>
      </c>
      <c r="F40" s="2" t="s">
        <v>8388</v>
      </c>
      <c r="G40" s="2" t="b">
        <v>0</v>
      </c>
      <c r="H40" s="3">
        <f>COUNTIFS(RulebookFields!C2:C999, A40)</f>
        <v>8</v>
      </c>
      <c r="I40" s="3">
        <f>COUNTIFS(AccessPolicies!D2:D999, A40)</f>
        <v>2</v>
      </c>
      <c r="J40" s="3" t="b">
        <f>I40 = 0</f>
        <v>0</v>
      </c>
      <c r="K40" s="3">
        <f>COUNTIFS(TableConformance!O2:O999, A40)</f>
        <v>0</v>
      </c>
      <c r="L40" s="2" t="s">
        <v>9584</v>
      </c>
    </row>
    <row r="41">
      <c r="A41" s="2" t="s">
        <v>1842</v>
      </c>
      <c r="B41" s="2" t="s">
        <v>1842</v>
      </c>
      <c r="C41" s="3" t="str">
        <f>B41</f>
        <v>OperationalBindings</v>
      </c>
      <c r="D41" s="2" t="s">
        <v>9626</v>
      </c>
      <c r="E41" s="2" t="s">
        <v>7073</v>
      </c>
      <c r="F41" s="2" t="s">
        <v>8388</v>
      </c>
      <c r="G41" s="2" t="b">
        <v>1</v>
      </c>
      <c r="H41" s="3">
        <f>COUNTIFS(RulebookFields!C2:C999, A41)</f>
        <v>20</v>
      </c>
      <c r="I41" s="3">
        <f>COUNTIFS(AccessPolicies!D2:D999, A41)</f>
        <v>2</v>
      </c>
      <c r="J41" s="3" t="b">
        <f>I41 = 0</f>
        <v>0</v>
      </c>
      <c r="K41" s="3">
        <f>COUNTIFS(TableConformance!O2:O999, A41)</f>
        <v>2</v>
      </c>
      <c r="L41" s="2" t="s">
        <v>9584</v>
      </c>
    </row>
    <row r="42">
      <c r="A42" s="2" t="s">
        <v>2422</v>
      </c>
      <c r="B42" s="2" t="s">
        <v>2422</v>
      </c>
      <c r="C42" s="3" t="str">
        <f>B42</f>
        <v>Organizations</v>
      </c>
      <c r="D42" s="2" t="s">
        <v>9627</v>
      </c>
      <c r="E42" s="2" t="s">
        <v>6976</v>
      </c>
      <c r="F42" s="2" t="s">
        <v>9588</v>
      </c>
      <c r="G42" s="2" t="b">
        <v>0</v>
      </c>
      <c r="H42" s="3">
        <f>COUNTIFS(RulebookFields!C2:C999, A42)</f>
        <v>6</v>
      </c>
      <c r="I42" s="3">
        <f>COUNTIFS(AccessPolicies!D2:D999, A42)</f>
        <v>2</v>
      </c>
      <c r="J42" s="3" t="b">
        <f>I42 = 0</f>
        <v>0</v>
      </c>
      <c r="K42" s="3">
        <f>COUNTIFS(TableConformance!O2:O999, A42)</f>
        <v>0</v>
      </c>
      <c r="L42" s="2" t="s">
        <v>9584</v>
      </c>
    </row>
    <row r="43">
      <c r="A43" s="2" t="s">
        <v>1804</v>
      </c>
      <c r="B43" s="2" t="s">
        <v>1804</v>
      </c>
      <c r="C43" s="3" t="str">
        <f>B43</f>
        <v>ProcedureExecutions</v>
      </c>
      <c r="D43" s="2" t="s">
        <v>9628</v>
      </c>
      <c r="E43" s="2" t="s">
        <v>7051</v>
      </c>
      <c r="F43" s="2" t="s">
        <v>9586</v>
      </c>
      <c r="G43" s="2" t="b">
        <v>0</v>
      </c>
      <c r="H43" s="3">
        <f>COUNTIFS(RulebookFields!C2:C999, A43)</f>
        <v>78</v>
      </c>
      <c r="I43" s="3">
        <f>COUNTIFS(AccessPolicies!D2:D999, A43)</f>
        <v>5</v>
      </c>
      <c r="J43" s="3" t="b">
        <f>I43 = 0</f>
        <v>0</v>
      </c>
      <c r="K43" s="3">
        <f>COUNTIFS(TableConformance!O2:O999, A43)</f>
        <v>3</v>
      </c>
      <c r="L43" s="2" t="s">
        <v>9584</v>
      </c>
    </row>
    <row r="44">
      <c r="A44" s="2" t="s">
        <v>3121</v>
      </c>
      <c r="B44" s="2" t="s">
        <v>3121</v>
      </c>
      <c r="C44" s="3" t="str">
        <f>B44</f>
        <v>ProcedureResources</v>
      </c>
      <c r="D44" s="2" t="s">
        <v>9629</v>
      </c>
      <c r="E44" s="2" t="s">
        <v>7038</v>
      </c>
      <c r="F44" s="2" t="s">
        <v>9586</v>
      </c>
      <c r="G44" s="2" t="b">
        <v>0</v>
      </c>
      <c r="H44" s="3">
        <f>COUNTIFS(RulebookFields!C2:C999, A44)</f>
        <v>6</v>
      </c>
      <c r="I44" s="3">
        <f>COUNTIFS(AccessPolicies!D2:D999, A44)</f>
        <v>2</v>
      </c>
      <c r="J44" s="3" t="b">
        <f>I44 = 0</f>
        <v>0</v>
      </c>
      <c r="K44" s="3">
        <f>COUNTIFS(TableConformance!O2:O999, A44)</f>
        <v>0</v>
      </c>
      <c r="L44" s="2" t="s">
        <v>9584</v>
      </c>
    </row>
    <row r="45">
      <c r="A45" s="2" t="s">
        <v>1755</v>
      </c>
      <c r="B45" s="2" t="s">
        <v>1755</v>
      </c>
      <c r="C45" s="3" t="str">
        <f>B45</f>
        <v>ProcedureStatusChanges</v>
      </c>
      <c r="D45" s="2" t="s">
        <v>9630</v>
      </c>
      <c r="E45" s="2" t="s">
        <v>7002</v>
      </c>
      <c r="F45" s="2" t="s">
        <v>9586</v>
      </c>
      <c r="G45" s="2" t="b">
        <v>0</v>
      </c>
      <c r="H45" s="3">
        <f>COUNTIFS(RulebookFields!C2:C999, A45)</f>
        <v>9</v>
      </c>
      <c r="I45" s="3">
        <f>COUNTIFS(AccessPolicies!D2:D999, A45)</f>
        <v>2</v>
      </c>
      <c r="J45" s="3" t="b">
        <f>I45 = 0</f>
        <v>0</v>
      </c>
      <c r="K45" s="3">
        <f>COUNTIFS(TableConformance!O2:O999, A45)</f>
        <v>0</v>
      </c>
      <c r="L45" s="2" t="s">
        <v>9584</v>
      </c>
    </row>
    <row r="46">
      <c r="A46" s="2" t="s">
        <v>2645</v>
      </c>
      <c r="B46" s="2" t="s">
        <v>2645</v>
      </c>
      <c r="C46" s="3" t="str">
        <f>B46</f>
        <v>ProcedureTypes</v>
      </c>
      <c r="D46" s="2" t="s">
        <v>9631</v>
      </c>
      <c r="E46" s="2" t="s">
        <v>6993</v>
      </c>
      <c r="F46" s="2" t="s">
        <v>9586</v>
      </c>
      <c r="G46" s="2" t="b">
        <v>0</v>
      </c>
      <c r="H46" s="3">
        <f>COUNTIFS(RulebookFields!C2:C999, A46)</f>
        <v>5</v>
      </c>
      <c r="I46" s="3">
        <f>COUNTIFS(AccessPolicies!D2:D999, A46)</f>
        <v>2</v>
      </c>
      <c r="J46" s="3" t="b">
        <f>I46 = 0</f>
        <v>0</v>
      </c>
      <c r="K46" s="3">
        <f>COUNTIFS(TableConformance!O2:O999, A46)</f>
        <v>0</v>
      </c>
      <c r="L46" s="2" t="s">
        <v>9584</v>
      </c>
    </row>
    <row r="47">
      <c r="A47" s="2" t="s">
        <v>2818</v>
      </c>
      <c r="B47" s="2" t="s">
        <v>2818</v>
      </c>
      <c r="C47" s="3" t="str">
        <f>B47</f>
        <v>ProcedureVersionLinks</v>
      </c>
      <c r="D47" s="2" t="s">
        <v>9632</v>
      </c>
      <c r="E47" s="2" t="s">
        <v>7000</v>
      </c>
      <c r="F47" s="2" t="s">
        <v>9586</v>
      </c>
      <c r="G47" s="2" t="b">
        <v>0</v>
      </c>
      <c r="H47" s="3">
        <f>COUNTIFS(RulebookFields!C2:C999, A47)</f>
        <v>7</v>
      </c>
      <c r="I47" s="3">
        <f>COUNTIFS(AccessPolicies!D2:D999, A47)</f>
        <v>2</v>
      </c>
      <c r="J47" s="3" t="b">
        <f>I47 = 0</f>
        <v>0</v>
      </c>
      <c r="K47" s="3">
        <f>COUNTIFS(TableConformance!O2:O999, A47)</f>
        <v>1</v>
      </c>
      <c r="L47" s="2" t="s">
        <v>9584</v>
      </c>
    </row>
    <row r="48">
      <c r="A48" s="2" t="s">
        <v>1747</v>
      </c>
      <c r="B48" s="2" t="s">
        <v>1747</v>
      </c>
      <c r="C48" s="3" t="str">
        <f>B48</f>
        <v>ProcedureVersions</v>
      </c>
      <c r="D48" s="2" t="s">
        <v>9633</v>
      </c>
      <c r="E48" s="2" t="s">
        <v>6997</v>
      </c>
      <c r="F48" s="2" t="s">
        <v>9586</v>
      </c>
      <c r="G48" s="2" t="b">
        <v>0</v>
      </c>
      <c r="H48" s="3">
        <f>COUNTIFS(RulebookFields!C2:C999, A48)</f>
        <v>86</v>
      </c>
      <c r="I48" s="3">
        <f>COUNTIFS(AccessPolicies!D2:D999, A48)</f>
        <v>4</v>
      </c>
      <c r="J48" s="3" t="b">
        <f>I48 = 0</f>
        <v>0</v>
      </c>
      <c r="K48" s="3">
        <f>COUNTIFS(TableConformance!O2:O999, A48)</f>
        <v>7</v>
      </c>
      <c r="L48" s="2" t="s">
        <v>9584</v>
      </c>
    </row>
    <row r="49">
      <c r="A49" s="2" t="s">
        <v>1742</v>
      </c>
      <c r="B49" s="2" t="s">
        <v>1742</v>
      </c>
      <c r="C49" s="3" t="str">
        <f>B49</f>
        <v>Procedures</v>
      </c>
      <c r="D49" s="2" t="s">
        <v>9634</v>
      </c>
      <c r="E49" s="2" t="s">
        <v>6995</v>
      </c>
      <c r="F49" s="2" t="s">
        <v>9586</v>
      </c>
      <c r="G49" s="2" t="b">
        <v>0</v>
      </c>
      <c r="H49" s="3">
        <f>COUNTIFS(RulebookFields!C2:C999, A49)</f>
        <v>11</v>
      </c>
      <c r="I49" s="3">
        <f>COUNTIFS(AccessPolicies!D2:D999, A49)</f>
        <v>4</v>
      </c>
      <c r="J49" s="3" t="b">
        <f>I49 = 0</f>
        <v>0</v>
      </c>
      <c r="K49" s="3">
        <f>COUNTIFS(TableConformance!O2:O999, A49)</f>
        <v>0</v>
      </c>
      <c r="L49" s="2" t="s">
        <v>9584</v>
      </c>
    </row>
    <row r="50">
      <c r="A50" s="2" t="s">
        <v>3085</v>
      </c>
      <c r="B50" s="2" t="s">
        <v>3085</v>
      </c>
      <c r="C50" s="3" t="str">
        <f>B50</f>
        <v>Rationales</v>
      </c>
      <c r="D50" s="2" t="s">
        <v>9635</v>
      </c>
      <c r="E50" s="2" t="s">
        <v>7032</v>
      </c>
      <c r="F50" s="2" t="s">
        <v>8358</v>
      </c>
      <c r="G50" s="2" t="b">
        <v>0</v>
      </c>
      <c r="H50" s="3">
        <f>COUNTIFS(RulebookFields!C2:C999, A50)</f>
        <v>9</v>
      </c>
      <c r="I50" s="3">
        <f>COUNTIFS(AccessPolicies!D2:D999, A50)</f>
        <v>2</v>
      </c>
      <c r="J50" s="3" t="b">
        <f>I50 = 0</f>
        <v>0</v>
      </c>
      <c r="K50" s="3">
        <f>COUNTIFS(TableConformance!O2:O999, A50)</f>
        <v>0</v>
      </c>
      <c r="L50" s="2" t="s">
        <v>9584</v>
      </c>
    </row>
    <row r="51">
      <c r="A51" s="2" t="s">
        <v>4346</v>
      </c>
      <c r="B51" s="2" t="s">
        <v>4346</v>
      </c>
      <c r="C51" s="3" t="str">
        <f>B51</f>
        <v>Recipients</v>
      </c>
      <c r="D51" s="2" t="s">
        <v>9636</v>
      </c>
      <c r="E51" s="2" t="s">
        <v>7108</v>
      </c>
      <c r="F51" s="2" t="s">
        <v>9606</v>
      </c>
      <c r="G51" s="2" t="b">
        <v>0</v>
      </c>
      <c r="H51" s="3">
        <f>COUNTIFS(RulebookFields!C2:C999, A51)</f>
        <v>0</v>
      </c>
      <c r="I51" s="3">
        <f>COUNTIFS(AccessPolicies!D2:D999, A51)</f>
        <v>4</v>
      </c>
      <c r="J51" s="3" t="b">
        <f>I51 = 0</f>
        <v>0</v>
      </c>
      <c r="K51" s="3">
        <f>COUNTIFS(TableConformance!O2:O999, A51)</f>
        <v>0</v>
      </c>
      <c r="L51" s="2" t="s">
        <v>9584</v>
      </c>
    </row>
    <row r="52">
      <c r="A52" s="2" t="s">
        <v>1810</v>
      </c>
      <c r="B52" s="2" t="s">
        <v>1810</v>
      </c>
      <c r="C52" s="3" t="str">
        <f>B52</f>
        <v>RequirementSatisfactions</v>
      </c>
      <c r="D52" s="2" t="s">
        <v>9637</v>
      </c>
      <c r="E52" s="2" t="s">
        <v>7055</v>
      </c>
      <c r="F52" s="2" t="s">
        <v>8354</v>
      </c>
      <c r="G52" s="2" t="b">
        <v>0</v>
      </c>
      <c r="H52" s="3">
        <f>COUNTIFS(RulebookFields!C2:C999, A52)</f>
        <v>46</v>
      </c>
      <c r="I52" s="3">
        <f>COUNTIFS(AccessPolicies!D2:D999, A52)</f>
        <v>4</v>
      </c>
      <c r="J52" s="3" t="b">
        <f>I52 = 0</f>
        <v>0</v>
      </c>
      <c r="K52" s="3">
        <f>COUNTIFS(TableConformance!O2:O999, A52)</f>
        <v>1</v>
      </c>
      <c r="L52" s="2" t="s">
        <v>9584</v>
      </c>
    </row>
    <row r="53">
      <c r="A53" s="2" t="s">
        <v>1785</v>
      </c>
      <c r="B53" s="2" t="s">
        <v>1785</v>
      </c>
      <c r="C53" s="3" t="str">
        <f>B53</f>
        <v>Requirements</v>
      </c>
      <c r="D53" s="2" t="s">
        <v>9638</v>
      </c>
      <c r="E53" s="2" t="s">
        <v>7025</v>
      </c>
      <c r="F53" s="2" t="s">
        <v>8358</v>
      </c>
      <c r="G53" s="2" t="b">
        <v>0</v>
      </c>
      <c r="H53" s="3">
        <f>COUNTIFS(RulebookFields!C2:C999, A53)</f>
        <v>43</v>
      </c>
      <c r="I53" s="3">
        <f>COUNTIFS(AccessPolicies!D2:D999, A53)</f>
        <v>5</v>
      </c>
      <c r="J53" s="3" t="b">
        <f>I53 = 0</f>
        <v>0</v>
      </c>
      <c r="K53" s="3">
        <f>COUNTIFS(TableConformance!O2:O999, A53)</f>
        <v>7</v>
      </c>
      <c r="L53" s="2" t="s">
        <v>9584</v>
      </c>
    </row>
    <row r="54">
      <c r="A54" s="2" t="s">
        <v>1791</v>
      </c>
      <c r="B54" s="2" t="s">
        <v>1791</v>
      </c>
      <c r="C54" s="3" t="str">
        <f>B54</f>
        <v>Resources</v>
      </c>
      <c r="D54" s="2" t="s">
        <v>9639</v>
      </c>
      <c r="E54" s="2" t="s">
        <v>7036</v>
      </c>
      <c r="F54" s="2" t="s">
        <v>8388</v>
      </c>
      <c r="G54" s="2" t="b">
        <v>0</v>
      </c>
      <c r="H54" s="3">
        <f>COUNTIFS(RulebookFields!C2:C999, A54)</f>
        <v>11</v>
      </c>
      <c r="I54" s="3">
        <f>COUNTIFS(AccessPolicies!D2:D999, A54)</f>
        <v>2</v>
      </c>
      <c r="J54" s="3" t="b">
        <f>I54 = 0</f>
        <v>0</v>
      </c>
      <c r="K54" s="3">
        <f>COUNTIFS(TableConformance!O2:O999, A54)</f>
        <v>0</v>
      </c>
      <c r="L54" s="2" t="s">
        <v>9584</v>
      </c>
    </row>
    <row r="55">
      <c r="A55" s="2" t="s">
        <v>3922</v>
      </c>
      <c r="B55" s="2" t="s">
        <v>3922</v>
      </c>
      <c r="C55" s="3" t="str">
        <f>B55</f>
        <v>ReviewEvents</v>
      </c>
      <c r="D55" s="2" t="s">
        <v>9640</v>
      </c>
      <c r="E55" s="2" t="s">
        <v>7069</v>
      </c>
      <c r="F55" s="2" t="s">
        <v>8388</v>
      </c>
      <c r="G55" s="2" t="b">
        <v>0</v>
      </c>
      <c r="H55" s="3">
        <f>COUNTIFS(RulebookFields!C2:C999, A55)</f>
        <v>20</v>
      </c>
      <c r="I55" s="3">
        <f>COUNTIFS(AccessPolicies!D2:D999, A55)</f>
        <v>2</v>
      </c>
      <c r="J55" s="3" t="b">
        <f>I55 = 0</f>
        <v>0</v>
      </c>
      <c r="K55" s="3">
        <f>COUNTIFS(TableConformance!O2:O999, A55)</f>
        <v>7</v>
      </c>
      <c r="L55" s="2" t="s">
        <v>9584</v>
      </c>
    </row>
    <row r="56">
      <c r="A56" s="2" t="s">
        <v>1801</v>
      </c>
      <c r="B56" s="2" t="s">
        <v>1801</v>
      </c>
      <c r="C56" s="3" t="str">
        <f>B56</f>
        <v>RoleAssignments</v>
      </c>
      <c r="D56" s="2" t="s">
        <v>9641</v>
      </c>
      <c r="E56" s="2" t="s">
        <v>6985</v>
      </c>
      <c r="F56" s="2" t="s">
        <v>9588</v>
      </c>
      <c r="G56" s="2" t="b">
        <v>0</v>
      </c>
      <c r="H56" s="3">
        <f>COUNTIFS(RulebookFields!C2:C999, A56)</f>
        <v>65</v>
      </c>
      <c r="I56" s="3">
        <f>COUNTIFS(AccessPolicies!D2:D999, A56)</f>
        <v>2</v>
      </c>
      <c r="J56" s="3" t="b">
        <f>I56 = 0</f>
        <v>0</v>
      </c>
      <c r="K56" s="3">
        <f>COUNTIFS(TableConformance!O2:O999, A56)</f>
        <v>7</v>
      </c>
      <c r="L56" s="2" t="s">
        <v>9584</v>
      </c>
    </row>
    <row r="57">
      <c r="A57" s="2" t="s">
        <v>4091</v>
      </c>
      <c r="B57" s="2" t="s">
        <v>4091</v>
      </c>
      <c r="C57" s="3" t="str">
        <f>B57</f>
        <v>RoleQuestions</v>
      </c>
      <c r="D57" s="2" t="s">
        <v>9642</v>
      </c>
      <c r="E57" s="2" t="s">
        <v>7084</v>
      </c>
      <c r="F57" s="2" t="s">
        <v>9588</v>
      </c>
      <c r="G57" s="2" t="b">
        <v>1</v>
      </c>
      <c r="H57" s="3">
        <f>COUNTIFS(RulebookFields!C2:C999, A57)</f>
        <v>0</v>
      </c>
      <c r="I57" s="3">
        <f>COUNTIFS(AccessPolicies!D2:D999, A57)</f>
        <v>2</v>
      </c>
      <c r="J57" s="3" t="b">
        <f>I57 = 0</f>
        <v>0</v>
      </c>
      <c r="K57" s="3">
        <f>COUNTIFS(TableConformance!O2:O999, A57)</f>
        <v>1</v>
      </c>
      <c r="L57" s="2" t="s">
        <v>9584</v>
      </c>
    </row>
    <row r="58">
      <c r="A58" s="2" t="s">
        <v>5431</v>
      </c>
      <c r="B58" s="2" t="s">
        <v>5431</v>
      </c>
      <c r="C58" s="3" t="str">
        <f>B58</f>
        <v>RoleSchemaViews</v>
      </c>
      <c r="D58" s="2"/>
      <c r="E58" s="2"/>
      <c r="F58" s="2" t="s">
        <v>9588</v>
      </c>
      <c r="G58" s="2" t="b">
        <v>1</v>
      </c>
      <c r="H58" s="3">
        <f>COUNTIFS(RulebookFields!C2:C999, A58)</f>
        <v>0</v>
      </c>
      <c r="I58" s="3">
        <f>COUNTIFS(AccessPolicies!D2:D999, A58)</f>
        <v>0</v>
      </c>
      <c r="J58" s="3" t="b">
        <f>I58 = 0</f>
        <v>1</v>
      </c>
      <c r="K58" s="3">
        <f>COUNTIFS(TableConformance!O2:O999, A58)</f>
        <v>1</v>
      </c>
      <c r="L58" s="2" t="s">
        <v>9584</v>
      </c>
    </row>
    <row r="59">
      <c r="A59" s="2" t="s">
        <v>5413</v>
      </c>
      <c r="B59" s="2" t="s">
        <v>5413</v>
      </c>
      <c r="C59" s="3" t="str">
        <f>B59</f>
        <v>RoleSchemas</v>
      </c>
      <c r="D59" s="2"/>
      <c r="E59" s="2"/>
      <c r="F59" s="2" t="s">
        <v>9588</v>
      </c>
      <c r="G59" s="2" t="b">
        <v>1</v>
      </c>
      <c r="H59" s="3">
        <f>COUNTIFS(RulebookFields!C2:C999, A59)</f>
        <v>0</v>
      </c>
      <c r="I59" s="3">
        <f>COUNTIFS(AccessPolicies!D2:D999, A59)</f>
        <v>0</v>
      </c>
      <c r="J59" s="3" t="b">
        <f>I59 = 0</f>
        <v>1</v>
      </c>
      <c r="K59" s="3">
        <f>COUNTIFS(TableConformance!O2:O999, A59)</f>
        <v>0</v>
      </c>
      <c r="L59" s="2" t="s">
        <v>9584</v>
      </c>
    </row>
    <row r="60">
      <c r="A60" s="2" t="s">
        <v>1798</v>
      </c>
      <c r="B60" s="2" t="s">
        <v>1798</v>
      </c>
      <c r="C60" s="3" t="str">
        <f>B60</f>
        <v>Roles</v>
      </c>
      <c r="D60" s="2" t="s">
        <v>9643</v>
      </c>
      <c r="E60" s="2" t="s">
        <v>6982</v>
      </c>
      <c r="F60" s="2" t="s">
        <v>9588</v>
      </c>
      <c r="G60" s="2" t="b">
        <v>0</v>
      </c>
      <c r="H60" s="3">
        <f>COUNTIFS(RulebookFields!C2:C999, A60)</f>
        <v>24</v>
      </c>
      <c r="I60" s="3">
        <f>COUNTIFS(AccessPolicies!D2:D999, A60)</f>
        <v>2</v>
      </c>
      <c r="J60" s="3" t="b">
        <f>I60 = 0</f>
        <v>0</v>
      </c>
      <c r="K60" s="3">
        <f>COUNTIFS(TableConformance!O2:O999, A60)</f>
        <v>1</v>
      </c>
      <c r="L60" s="2" t="s">
        <v>9584</v>
      </c>
    </row>
    <row r="61">
      <c r="A61" s="2" t="s">
        <v>4106</v>
      </c>
      <c r="B61" s="2" t="s">
        <v>4106</v>
      </c>
      <c r="C61" s="3" t="str">
        <f>B61</f>
        <v>RulebookFields</v>
      </c>
      <c r="D61" s="2" t="s">
        <v>9644</v>
      </c>
      <c r="E61" s="2" t="s">
        <v>7087</v>
      </c>
      <c r="F61" s="2" t="s">
        <v>9583</v>
      </c>
      <c r="G61" s="2" t="b">
        <v>1</v>
      </c>
      <c r="H61" s="3">
        <f>COUNTIFS(RulebookFields!C2:C999, A61)</f>
        <v>0</v>
      </c>
      <c r="I61" s="3">
        <f>COUNTIFS(AccessPolicies!D2:D999, A61)</f>
        <v>2</v>
      </c>
      <c r="J61" s="3" t="b">
        <f>I61 = 0</f>
        <v>0</v>
      </c>
      <c r="K61" s="3">
        <f>COUNTIFS(TableConformance!O2:O999, A61)</f>
        <v>0</v>
      </c>
      <c r="L61" s="2" t="s">
        <v>9584</v>
      </c>
    </row>
    <row r="62">
      <c r="A62" s="2" t="s">
        <v>2384</v>
      </c>
      <c r="B62" s="2" t="s">
        <v>2384</v>
      </c>
      <c r="C62" s="3" t="str">
        <f>B62</f>
        <v>RulebookReleases</v>
      </c>
      <c r="D62" s="2" t="s">
        <v>9645</v>
      </c>
      <c r="E62" s="2" t="s">
        <v>6967</v>
      </c>
      <c r="F62" s="2" t="s">
        <v>9609</v>
      </c>
      <c r="G62" s="2" t="b">
        <v>1</v>
      </c>
      <c r="H62" s="3">
        <f>COUNTIFS(RulebookFields!C2:C999, A62)</f>
        <v>11</v>
      </c>
      <c r="I62" s="3">
        <f>COUNTIFS(AccessPolicies!D2:D999, A62)</f>
        <v>2</v>
      </c>
      <c r="J62" s="3" t="b">
        <f>I62 = 0</f>
        <v>0</v>
      </c>
      <c r="K62" s="3">
        <f>COUNTIFS(TableConformance!O2:O999, A62)</f>
        <v>1</v>
      </c>
      <c r="L62" s="2" t="s">
        <v>9584</v>
      </c>
    </row>
    <row r="63">
      <c r="A63" s="2" t="s">
        <v>5286</v>
      </c>
      <c r="B63" s="2" t="s">
        <v>5286</v>
      </c>
      <c r="C63" s="3" t="str">
        <f>B63</f>
        <v>RulebookTables</v>
      </c>
      <c r="D63" s="2"/>
      <c r="E63" s="2"/>
      <c r="F63" s="2" t="s">
        <v>9609</v>
      </c>
      <c r="G63" s="2" t="b">
        <v>1</v>
      </c>
      <c r="H63" s="3">
        <f>COUNTIFS(RulebookFields!C2:C999, A63)</f>
        <v>0</v>
      </c>
      <c r="I63" s="3">
        <f>COUNTIFS(AccessPolicies!D2:D999, A63)</f>
        <v>0</v>
      </c>
      <c r="J63" s="3" t="b">
        <f>I63 = 0</f>
        <v>1</v>
      </c>
      <c r="K63" s="3">
        <f>COUNTIFS(TableConformance!O2:O999, A63)</f>
        <v>1</v>
      </c>
      <c r="L63" s="2" t="s">
        <v>9584</v>
      </c>
    </row>
    <row r="64">
      <c r="A64" s="2" t="s">
        <v>4064</v>
      </c>
      <c r="B64" s="2" t="s">
        <v>4064</v>
      </c>
      <c r="C64" s="3" t="str">
        <f>B64</f>
        <v>SemanticMappings</v>
      </c>
      <c r="D64" s="2" t="s">
        <v>9646</v>
      </c>
      <c r="E64" s="2" t="s">
        <v>7079</v>
      </c>
      <c r="F64" s="2" t="s">
        <v>9609</v>
      </c>
      <c r="G64" s="2" t="b">
        <v>1</v>
      </c>
      <c r="H64" s="3">
        <f>COUNTIFS(RulebookFields!C2:C999, A64)</f>
        <v>0</v>
      </c>
      <c r="I64" s="3">
        <f>COUNTIFS(AccessPolicies!D2:D999, A64)</f>
        <v>2</v>
      </c>
      <c r="J64" s="3" t="b">
        <f>I64 = 0</f>
        <v>0</v>
      </c>
      <c r="K64" s="3">
        <f>COUNTIFS(TableConformance!O2:O999, A64)</f>
        <v>0</v>
      </c>
      <c r="L64" s="2" t="s">
        <v>9584</v>
      </c>
    </row>
    <row r="65">
      <c r="A65" s="2" t="s">
        <v>4662</v>
      </c>
      <c r="B65" s="2" t="s">
        <v>4662</v>
      </c>
      <c r="C65" s="3" t="str">
        <f>B65</f>
        <v>SendIntents</v>
      </c>
      <c r="D65" s="2" t="s">
        <v>9647</v>
      </c>
      <c r="E65" s="2" t="s">
        <v>7114</v>
      </c>
      <c r="F65" s="2" t="s">
        <v>9606</v>
      </c>
      <c r="G65" s="2" t="b">
        <v>0</v>
      </c>
      <c r="H65" s="3">
        <f>COUNTIFS(RulebookFields!C2:C999, A65)</f>
        <v>0</v>
      </c>
      <c r="I65" s="3">
        <f>COUNTIFS(AccessPolicies!D2:D999, A65)</f>
        <v>4</v>
      </c>
      <c r="J65" s="3" t="b">
        <f>I65 = 0</f>
        <v>0</v>
      </c>
      <c r="K65" s="3">
        <f>COUNTIFS(TableConformance!O2:O999, A65)</f>
        <v>7</v>
      </c>
      <c r="L65" s="2" t="s">
        <v>9584</v>
      </c>
    </row>
    <row r="66">
      <c r="A66" s="2" t="s">
        <v>2962</v>
      </c>
      <c r="B66" s="2" t="s">
        <v>2962</v>
      </c>
      <c r="C66" s="3" t="str">
        <f>B66</f>
        <v>StepActions</v>
      </c>
      <c r="D66" s="2" t="s">
        <v>9648</v>
      </c>
      <c r="E66" s="2" t="s">
        <v>7019</v>
      </c>
      <c r="F66" s="2" t="s">
        <v>9586</v>
      </c>
      <c r="G66" s="2" t="b">
        <v>0</v>
      </c>
      <c r="H66" s="3">
        <f>COUNTIFS(RulebookFields!C2:C999, A66)</f>
        <v>4</v>
      </c>
      <c r="I66" s="3">
        <f>COUNTIFS(AccessPolicies!D2:D999, A66)</f>
        <v>2</v>
      </c>
      <c r="J66" s="3" t="b">
        <f>I66 = 0</f>
        <v>0</v>
      </c>
      <c r="K66" s="3">
        <f>COUNTIFS(TableConformance!O2:O999, A66)</f>
        <v>0</v>
      </c>
      <c r="L66" s="2" t="s">
        <v>9584</v>
      </c>
    </row>
    <row r="67">
      <c r="A67" s="2" t="s">
        <v>1807</v>
      </c>
      <c r="B67" s="2" t="s">
        <v>1807</v>
      </c>
      <c r="C67" s="3" t="str">
        <f>B67</f>
        <v>StepExecutions</v>
      </c>
      <c r="D67" s="2" t="s">
        <v>9649</v>
      </c>
      <c r="E67" s="2" t="s">
        <v>7053</v>
      </c>
      <c r="F67" s="2" t="s">
        <v>9586</v>
      </c>
      <c r="G67" s="2" t="b">
        <v>0</v>
      </c>
      <c r="H67" s="3">
        <f>COUNTIFS(RulebookFields!C2:C999, A67)</f>
        <v>109</v>
      </c>
      <c r="I67" s="3">
        <f>COUNTIFS(AccessPolicies!D2:D999, A67)</f>
        <v>6</v>
      </c>
      <c r="J67" s="3" t="b">
        <f>I67 = 0</f>
        <v>0</v>
      </c>
      <c r="K67" s="3">
        <f>COUNTIFS(TableConformance!O2:O999, A67)</f>
        <v>2</v>
      </c>
      <c r="L67" s="2" t="s">
        <v>9584</v>
      </c>
    </row>
    <row r="68">
      <c r="A68" s="2" t="s">
        <v>2968</v>
      </c>
      <c r="B68" s="2" t="s">
        <v>2968</v>
      </c>
      <c r="C68" s="3" t="str">
        <f>B68</f>
        <v>StepFunctions</v>
      </c>
      <c r="D68" s="2" t="s">
        <v>9650</v>
      </c>
      <c r="E68" s="2" t="s">
        <v>7021</v>
      </c>
      <c r="F68" s="2" t="s">
        <v>9586</v>
      </c>
      <c r="G68" s="2" t="b">
        <v>0</v>
      </c>
      <c r="H68" s="3">
        <f>COUNTIFS(RulebookFields!C2:C999, A68)</f>
        <v>4</v>
      </c>
      <c r="I68" s="3">
        <f>COUNTIFS(AccessPolicies!D2:D999, A68)</f>
        <v>2</v>
      </c>
      <c r="J68" s="3" t="b">
        <f>I68 = 0</f>
        <v>0</v>
      </c>
      <c r="K68" s="3">
        <f>COUNTIFS(TableConformance!O2:O999, A68)</f>
        <v>0</v>
      </c>
      <c r="L68" s="2" t="s">
        <v>9584</v>
      </c>
    </row>
    <row r="69">
      <c r="A69" s="2" t="s">
        <v>3053</v>
      </c>
      <c r="B69" s="2" t="s">
        <v>3053</v>
      </c>
      <c r="C69" s="3" t="str">
        <f>B69</f>
        <v>StepRequirements</v>
      </c>
      <c r="D69" s="2" t="s">
        <v>9651</v>
      </c>
      <c r="E69" s="2" t="s">
        <v>7027</v>
      </c>
      <c r="F69" s="2" t="s">
        <v>9586</v>
      </c>
      <c r="G69" s="2" t="b">
        <v>0</v>
      </c>
      <c r="H69" s="3">
        <f>COUNTIFS(RulebookFields!C2:C999, A69)</f>
        <v>13</v>
      </c>
      <c r="I69" s="3">
        <f>COUNTIFS(AccessPolicies!D2:D999, A69)</f>
        <v>2</v>
      </c>
      <c r="J69" s="3" t="b">
        <f>I69 = 0</f>
        <v>0</v>
      </c>
      <c r="K69" s="3">
        <f>COUNTIFS(TableConformance!O2:O999, A69)</f>
        <v>0</v>
      </c>
      <c r="L69" s="2" t="s">
        <v>9584</v>
      </c>
    </row>
    <row r="70">
      <c r="A70" s="2" t="s">
        <v>2974</v>
      </c>
      <c r="B70" s="2" t="s">
        <v>2974</v>
      </c>
      <c r="C70" s="3" t="str">
        <f>B70</f>
        <v>StepTools</v>
      </c>
      <c r="D70" s="2" t="s">
        <v>9652</v>
      </c>
      <c r="E70" s="2" t="s">
        <v>7023</v>
      </c>
      <c r="F70" s="2" t="s">
        <v>9586</v>
      </c>
      <c r="G70" s="2" t="b">
        <v>0</v>
      </c>
      <c r="H70" s="3">
        <f>COUNTIFS(RulebookFields!C2:C999, A70)</f>
        <v>4</v>
      </c>
      <c r="I70" s="3">
        <f>COUNTIFS(AccessPolicies!D2:D999, A70)</f>
        <v>2</v>
      </c>
      <c r="J70" s="3" t="b">
        <f>I70 = 0</f>
        <v>0</v>
      </c>
      <c r="K70" s="3">
        <f>COUNTIFS(TableConformance!O2:O999, A70)</f>
        <v>0</v>
      </c>
      <c r="L70" s="2" t="s">
        <v>9584</v>
      </c>
    </row>
    <row r="71">
      <c r="A71" s="2" t="s">
        <v>1764</v>
      </c>
      <c r="B71" s="2" t="s">
        <v>1764</v>
      </c>
      <c r="C71" s="3" t="str">
        <f>B71</f>
        <v>StepTransitions</v>
      </c>
      <c r="D71" s="2" t="s">
        <v>9653</v>
      </c>
      <c r="E71" s="2" t="s">
        <v>7008</v>
      </c>
      <c r="F71" s="2" t="s">
        <v>9586</v>
      </c>
      <c r="G71" s="2" t="b">
        <v>0</v>
      </c>
      <c r="H71" s="3">
        <f>COUNTIFS(RulebookFields!C2:C999, A71)</f>
        <v>23</v>
      </c>
      <c r="I71" s="3">
        <f>COUNTIFS(AccessPolicies!D2:D999, A71)</f>
        <v>2</v>
      </c>
      <c r="J71" s="3" t="b">
        <f>I71 = 0</f>
        <v>0</v>
      </c>
      <c r="K71" s="3">
        <f>COUNTIFS(TableConformance!O2:O999, A71)</f>
        <v>1</v>
      </c>
      <c r="L71" s="2" t="s">
        <v>9584</v>
      </c>
    </row>
    <row r="72">
      <c r="A72" s="2" t="s">
        <v>1788</v>
      </c>
      <c r="B72" s="2" t="s">
        <v>1788</v>
      </c>
      <c r="C72" s="3" t="str">
        <f>B72</f>
        <v>StepVerifications</v>
      </c>
      <c r="D72" s="2" t="s">
        <v>9654</v>
      </c>
      <c r="E72" s="2" t="s">
        <v>7030</v>
      </c>
      <c r="F72" s="2" t="s">
        <v>9586</v>
      </c>
      <c r="G72" s="2" t="b">
        <v>0</v>
      </c>
      <c r="H72" s="3">
        <f>COUNTIFS(RulebookFields!C2:C999, A72)</f>
        <v>8</v>
      </c>
      <c r="I72" s="3">
        <f>COUNTIFS(AccessPolicies!D2:D999, A72)</f>
        <v>2</v>
      </c>
      <c r="J72" s="3" t="b">
        <f>I72 = 0</f>
        <v>0</v>
      </c>
      <c r="K72" s="3">
        <f>COUNTIFS(TableConformance!O2:O999, A72)</f>
        <v>0</v>
      </c>
      <c r="L72" s="2" t="s">
        <v>9584</v>
      </c>
    </row>
    <row r="73">
      <c r="A73" s="2" t="s">
        <v>1758</v>
      </c>
      <c r="B73" s="2" t="s">
        <v>1758</v>
      </c>
      <c r="C73" s="3" t="str">
        <f>B73</f>
        <v>Steps</v>
      </c>
      <c r="D73" s="2" t="s">
        <v>9655</v>
      </c>
      <c r="E73" s="2" t="s">
        <v>7005</v>
      </c>
      <c r="F73" s="2" t="s">
        <v>9586</v>
      </c>
      <c r="G73" s="2" t="b">
        <v>0</v>
      </c>
      <c r="H73" s="3">
        <f>COUNTIFS(RulebookFields!C2:C999, A73)</f>
        <v>42</v>
      </c>
      <c r="I73" s="3">
        <f>COUNTIFS(AccessPolicies!D2:D999, A73)</f>
        <v>10</v>
      </c>
      <c r="J73" s="3" t="b">
        <f>I73 = 0</f>
        <v>0</v>
      </c>
      <c r="K73" s="3">
        <f>COUNTIFS(TableConformance!O2:O999, A73)</f>
        <v>2</v>
      </c>
      <c r="L73" s="2" t="s">
        <v>9584</v>
      </c>
    </row>
    <row r="74">
      <c r="A74" s="2" t="s">
        <v>1839</v>
      </c>
      <c r="B74" s="2" t="s">
        <v>1839</v>
      </c>
      <c r="C74" s="3" t="str">
        <f>B74</f>
        <v>StewardshipAssignments</v>
      </c>
      <c r="D74" s="2" t="s">
        <v>9656</v>
      </c>
      <c r="E74" s="2" t="s">
        <v>7065</v>
      </c>
      <c r="F74" s="2" t="s">
        <v>9588</v>
      </c>
      <c r="G74" s="2" t="b">
        <v>1</v>
      </c>
      <c r="H74" s="3">
        <f>COUNTIFS(RulebookFields!C2:C999, A74)</f>
        <v>14</v>
      </c>
      <c r="I74" s="3">
        <f>COUNTIFS(AccessPolicies!D2:D999, A74)</f>
        <v>2</v>
      </c>
      <c r="J74" s="3" t="b">
        <f>I74 = 0</f>
        <v>0</v>
      </c>
      <c r="K74" s="3">
        <f>COUNTIFS(TableConformance!O2:O999, A74)</f>
        <v>1</v>
      </c>
      <c r="L74" s="2" t="s">
        <v>9584</v>
      </c>
    </row>
    <row r="75">
      <c r="A75" s="2" t="s">
        <v>4632</v>
      </c>
      <c r="B75" s="2" t="s">
        <v>4632</v>
      </c>
      <c r="C75" s="3" t="str">
        <f>B75</f>
        <v>TemplateApprovals</v>
      </c>
      <c r="D75" s="2" t="s">
        <v>9657</v>
      </c>
      <c r="E75" s="2" t="s">
        <v>7112</v>
      </c>
      <c r="F75" s="2" t="s">
        <v>9606</v>
      </c>
      <c r="G75" s="2" t="b">
        <v>0</v>
      </c>
      <c r="H75" s="3">
        <f>COUNTIFS(RulebookFields!C2:C999, A75)</f>
        <v>0</v>
      </c>
      <c r="I75" s="3">
        <f>COUNTIFS(AccessPolicies!D2:D999, A75)</f>
        <v>2</v>
      </c>
      <c r="J75" s="3" t="b">
        <f>I75 = 0</f>
        <v>0</v>
      </c>
      <c r="K75" s="3">
        <f>COUNTIFS(TableConformance!O2:O999, A75)</f>
        <v>6</v>
      </c>
      <c r="L75" s="2" t="s">
        <v>9584</v>
      </c>
    </row>
    <row r="76">
      <c r="A76" s="2" t="s">
        <v>4143</v>
      </c>
      <c r="B76" s="2" t="s">
        <v>4143</v>
      </c>
      <c r="C76" s="3" t="str">
        <f>B76</f>
        <v>TestCases</v>
      </c>
      <c r="D76" s="2" t="s">
        <v>9658</v>
      </c>
      <c r="E76" s="2" t="s">
        <v>7093</v>
      </c>
      <c r="F76" s="2" t="s">
        <v>9609</v>
      </c>
      <c r="G76" s="2" t="b">
        <v>1</v>
      </c>
      <c r="H76" s="3">
        <f>COUNTIFS(RulebookFields!C2:C999, A76)</f>
        <v>0</v>
      </c>
      <c r="I76" s="3">
        <f>COUNTIFS(AccessPolicies!D2:D999, A76)</f>
        <v>2</v>
      </c>
      <c r="J76" s="3" t="b">
        <f>I76 = 0</f>
        <v>0</v>
      </c>
      <c r="K76" s="3">
        <f>COUNTIFS(TableConformance!O2:O999, A76)</f>
        <v>0</v>
      </c>
      <c r="L76" s="2" t="s">
        <v>9584</v>
      </c>
    </row>
    <row r="77">
      <c r="A77" s="2" t="s">
        <v>4125</v>
      </c>
      <c r="B77" s="2" t="s">
        <v>4125</v>
      </c>
      <c r="C77" s="3" t="str">
        <f>B77</f>
        <v>TestSuites</v>
      </c>
      <c r="D77" s="2" t="s">
        <v>9659</v>
      </c>
      <c r="E77" s="2" t="s">
        <v>7090</v>
      </c>
      <c r="F77" s="2" t="s">
        <v>9609</v>
      </c>
      <c r="G77" s="2" t="b">
        <v>1</v>
      </c>
      <c r="H77" s="3">
        <f>COUNTIFS(RulebookFields!C2:C999, A77)</f>
        <v>0</v>
      </c>
      <c r="I77" s="3">
        <f>COUNTIFS(AccessPolicies!D2:D999, A77)</f>
        <v>2</v>
      </c>
      <c r="J77" s="3" t="b">
        <f>I77 = 0</f>
        <v>0</v>
      </c>
      <c r="K77" s="3">
        <f>COUNTIFS(TableConformance!O2:O999, A77)</f>
        <v>1</v>
      </c>
      <c r="L77" s="2" t="s">
        <v>9584</v>
      </c>
    </row>
    <row r="78">
      <c r="A78" s="2" t="s">
        <v>1782</v>
      </c>
      <c r="B78" s="2" t="s">
        <v>1782</v>
      </c>
      <c r="C78" s="3" t="str">
        <f>B78</f>
        <v>Tools</v>
      </c>
      <c r="D78" s="2" t="s">
        <v>9660</v>
      </c>
      <c r="E78" s="2" t="s">
        <v>7017</v>
      </c>
      <c r="F78" s="2" t="s">
        <v>9586</v>
      </c>
      <c r="G78" s="2" t="b">
        <v>0</v>
      </c>
      <c r="H78" s="3">
        <f>COUNTIFS(RulebookFields!C2:C999, A78)</f>
        <v>5</v>
      </c>
      <c r="I78" s="3">
        <f>COUNTIFS(AccessPolicies!D2:D999, A78)</f>
        <v>2</v>
      </c>
      <c r="J78" s="3" t="b">
        <f>I78 = 0</f>
        <v>0</v>
      </c>
      <c r="K78" s="3">
        <f>COUNTIFS(TableConformance!O2:O999, A78)</f>
        <v>0</v>
      </c>
      <c r="L78" s="2" t="s">
        <v>9584</v>
      </c>
    </row>
    <row r="79">
      <c r="A79" s="2" t="s">
        <v>1822</v>
      </c>
      <c r="B79" s="2" t="s">
        <v>1822</v>
      </c>
      <c r="C79" s="3" t="str">
        <f>B79</f>
        <v>UserFeedback</v>
      </c>
      <c r="D79" s="2" t="s">
        <v>9661</v>
      </c>
      <c r="E79" s="2" t="s">
        <v>7063</v>
      </c>
      <c r="F79" s="2" t="s">
        <v>8388</v>
      </c>
      <c r="G79" s="2" t="b">
        <v>0</v>
      </c>
      <c r="H79" s="3">
        <f>COUNTIFS(RulebookFields!C2:C999, A79)</f>
        <v>9</v>
      </c>
      <c r="I79" s="3">
        <f>COUNTIFS(AccessPolicies!D2:D999, A79)</f>
        <v>2</v>
      </c>
      <c r="J79" s="3" t="b">
        <f>I79 = 0</f>
        <v>0</v>
      </c>
      <c r="K79" s="3">
        <f>COUNTIFS(TableConformance!O2:O999, A79)</f>
        <v>0</v>
      </c>
      <c r="L79" s="2" t="s">
        <v>9584</v>
      </c>
    </row>
    <row r="80">
      <c r="A80" s="2" t="s">
        <v>1819</v>
      </c>
      <c r="B80" s="2" t="s">
        <v>1819</v>
      </c>
      <c r="C80" s="3" t="str">
        <f>B80</f>
        <v>UserQuestions</v>
      </c>
      <c r="D80" s="2" t="s">
        <v>9662</v>
      </c>
      <c r="E80" s="2" t="s">
        <v>7061</v>
      </c>
      <c r="F80" s="2" t="s">
        <v>8388</v>
      </c>
      <c r="G80" s="2" t="b">
        <v>0</v>
      </c>
      <c r="H80" s="3">
        <f>COUNTIFS(RulebookFields!C2:C999, A80)</f>
        <v>10</v>
      </c>
      <c r="I80" s="3">
        <f>COUNTIFS(AccessPolicies!D2:D999, A80)</f>
        <v>2</v>
      </c>
      <c r="J80" s="3" t="b">
        <f>I80 = 0</f>
        <v>0</v>
      </c>
      <c r="K80" s="3">
        <f>COUNTIFS(TableConformance!O2:O999, A80)</f>
        <v>0</v>
      </c>
      <c r="L80" s="2" t="s">
        <v>9584</v>
      </c>
    </row>
    <row r="81">
      <c r="A81" s="2" t="s">
        <v>4271</v>
      </c>
      <c r="B81" s="2" t="s">
        <v>4271</v>
      </c>
      <c r="C81" s="3" t="str">
        <f>B81</f>
        <v>VerificationOutcomes</v>
      </c>
      <c r="D81" s="2" t="s">
        <v>9663</v>
      </c>
      <c r="E81" s="2" t="s">
        <v>7104</v>
      </c>
      <c r="F81" s="2" t="s">
        <v>8354</v>
      </c>
      <c r="G81" s="2" t="b">
        <v>0</v>
      </c>
      <c r="H81" s="3">
        <f>COUNTIFS(RulebookFields!C2:C999, A81)</f>
        <v>0</v>
      </c>
      <c r="I81" s="3">
        <f>COUNTIFS(AccessPolicies!D2:D999, A81)</f>
        <v>2</v>
      </c>
      <c r="J81" s="3" t="b">
        <f>I81 = 0</f>
        <v>0</v>
      </c>
      <c r="K81" s="3">
        <f>COUNTIFS(TableConformance!O2:O999, A81)</f>
        <v>0</v>
      </c>
      <c r="L81" s="2" t="s">
        <v>9584</v>
      </c>
    </row>
    <row r="82">
      <c r="A82" s="2" t="s">
        <v>4074</v>
      </c>
      <c r="B82" s="2" t="s">
        <v>4074</v>
      </c>
      <c r="C82" s="3" t="str">
        <f>B82</f>
        <v>WitnessLoops</v>
      </c>
      <c r="D82" s="2" t="s">
        <v>9664</v>
      </c>
      <c r="E82" s="2" t="s">
        <v>7082</v>
      </c>
      <c r="F82" s="2" t="s">
        <v>9609</v>
      </c>
      <c r="G82" s="2" t="b">
        <v>1</v>
      </c>
      <c r="H82" s="3">
        <f>COUNTIFS(RulebookFields!C2:C999, A82)</f>
        <v>0</v>
      </c>
      <c r="I82" s="3">
        <f>COUNTIFS(AccessPolicies!D2:D999, A82)</f>
        <v>2</v>
      </c>
      <c r="J82" s="3" t="b">
        <f>I82 = 0</f>
        <v>0</v>
      </c>
      <c r="K82" s="3">
        <f>COUNTIFS(TableConformance!O2:O999, A82)</f>
        <v>0</v>
      </c>
      <c r="L82" s="2" t="s">
        <v>9584</v>
      </c>
    </row>
    <row r="83">
      <c r="A83" s="2" t="s">
        <v>4210</v>
      </c>
      <c r="B83" s="2" t="s">
        <v>4210</v>
      </c>
      <c r="C83" s="3" t="str">
        <f>B83</f>
        <v>__meta__</v>
      </c>
      <c r="D83" s="2"/>
      <c r="E83" s="2"/>
      <c r="F83" s="2" t="s">
        <v>9609</v>
      </c>
      <c r="G83" s="2" t="b">
        <v>1</v>
      </c>
      <c r="H83" s="3">
        <f>COUNTIFS(RulebookFields!C2:C999, A83)</f>
        <v>0</v>
      </c>
      <c r="I83" s="3">
        <f>COUNTIFS(AccessPolicies!D2:D999, A83)</f>
        <v>0</v>
      </c>
      <c r="J83" s="3" t="b">
        <f>I83 = 0</f>
        <v>1</v>
      </c>
      <c r="K83" s="3">
        <f>COUNTIFS(TableConformance!O2:O999, A83)</f>
        <v>0</v>
      </c>
      <c r="L83" s="2" t="s">
        <v>9584</v>
      </c>
    </row>
    <row r="84">
      <c r="A84" s="2" t="s">
        <v>1869</v>
      </c>
      <c r="B84" s="2" t="s">
        <v>1869</v>
      </c>
      <c r="C84" s="3" t="str">
        <f>B84</f>
        <v>ProcessMiningRuns</v>
      </c>
      <c r="D84" s="2" t="s">
        <v>9665</v>
      </c>
      <c r="E84" s="2" t="s">
        <v>9666</v>
      </c>
      <c r="F84" s="2" t="s">
        <v>8356</v>
      </c>
      <c r="G84" s="2" t="b">
        <v>1</v>
      </c>
      <c r="H84" s="3">
        <f>COUNTIFS(RulebookFields!C2:C999, A84)</f>
        <v>0</v>
      </c>
      <c r="I84" s="3">
        <f>COUNTIFS(AccessPolicies!D2:D999, A84)</f>
        <v>2</v>
      </c>
      <c r="J84" s="3" t="b">
        <f>I84 = 0</f>
        <v>0</v>
      </c>
      <c r="K84" s="3">
        <f>COUNTIFS(TableConformance!O2:O999, A84)</f>
        <v>6</v>
      </c>
      <c r="L84" s="2" t="s">
        <v>9584</v>
      </c>
    </row>
    <row r="85">
      <c r="A85" s="2" t="s">
        <v>1873</v>
      </c>
      <c r="B85" s="2" t="s">
        <v>1873</v>
      </c>
      <c r="C85" s="3" t="str">
        <f>B85</f>
        <v>Vocabularies</v>
      </c>
      <c r="D85" s="2" t="s">
        <v>9667</v>
      </c>
      <c r="E85" s="2" t="s">
        <v>9668</v>
      </c>
      <c r="F85" s="2" t="s">
        <v>8356</v>
      </c>
      <c r="G85" s="2" t="b">
        <v>1</v>
      </c>
      <c r="H85" s="3">
        <f>COUNTIFS(RulebookFields!C2:C999, A85)</f>
        <v>0</v>
      </c>
      <c r="I85" s="3">
        <f>COUNTIFS(AccessPolicies!D2:D999, A85)</f>
        <v>2</v>
      </c>
      <c r="J85" s="3" t="b">
        <f>I85 = 0</f>
        <v>0</v>
      </c>
      <c r="K85" s="3">
        <f>COUNTIFS(TableConformance!O2:O999, A85)</f>
        <v>0</v>
      </c>
      <c r="L85" s="2" t="s">
        <v>9584</v>
      </c>
    </row>
    <row r="86">
      <c r="A86" s="2" t="s">
        <v>1877</v>
      </c>
      <c r="B86" s="2" t="s">
        <v>1877</v>
      </c>
      <c r="C86" s="3" t="str">
        <f>B86</f>
        <v>VocabularyTerms</v>
      </c>
      <c r="D86" s="2" t="s">
        <v>9669</v>
      </c>
      <c r="E86" s="2" t="s">
        <v>9670</v>
      </c>
      <c r="F86" s="2" t="s">
        <v>8356</v>
      </c>
      <c r="G86" s="2" t="b">
        <v>1</v>
      </c>
      <c r="H86" s="3">
        <f>COUNTIFS(RulebookFields!C2:C999, A86)</f>
        <v>0</v>
      </c>
      <c r="I86" s="3">
        <f>COUNTIFS(AccessPolicies!D2:D999, A86)</f>
        <v>2</v>
      </c>
      <c r="J86" s="3" t="b">
        <f>I86 = 0</f>
        <v>0</v>
      </c>
      <c r="K86" s="3">
        <f>COUNTIFS(TableConformance!O2:O999, A86)</f>
        <v>0</v>
      </c>
      <c r="L86" s="2" t="s">
        <v>9584</v>
      </c>
    </row>
    <row r="87">
      <c r="A87" s="2" t="s">
        <v>1881</v>
      </c>
      <c r="B87" s="2" t="s">
        <v>1881</v>
      </c>
      <c r="C87" s="3" t="str">
        <f>B87</f>
        <v>KnowledgeBrokerLinks</v>
      </c>
      <c r="D87" s="2" t="s">
        <v>9671</v>
      </c>
      <c r="E87" s="2" t="s">
        <v>9672</v>
      </c>
      <c r="F87" s="2" t="s">
        <v>8356</v>
      </c>
      <c r="G87" s="2" t="b">
        <v>1</v>
      </c>
      <c r="H87" s="3">
        <f>COUNTIFS(RulebookFields!C2:C999, A87)</f>
        <v>0</v>
      </c>
      <c r="I87" s="3">
        <f>COUNTIFS(AccessPolicies!D2:D999, A87)</f>
        <v>2</v>
      </c>
      <c r="J87" s="3" t="b">
        <f>I87 = 0</f>
        <v>0</v>
      </c>
      <c r="K87" s="3">
        <f>COUNTIFS(TableConformance!O2:O999, A87)</f>
        <v>1</v>
      </c>
      <c r="L87" s="2" t="s">
        <v>9584</v>
      </c>
    </row>
    <row r="88">
      <c r="A88" s="2" t="s">
        <v>1885</v>
      </c>
      <c r="B88" s="2" t="s">
        <v>1885</v>
      </c>
      <c r="C88" s="3" t="str">
        <f>B88</f>
        <v>ConformanceSubstrates</v>
      </c>
      <c r="D88" s="2" t="s">
        <v>9673</v>
      </c>
      <c r="E88" s="2" t="s">
        <v>9674</v>
      </c>
      <c r="F88" s="2" t="s">
        <v>9609</v>
      </c>
      <c r="G88" s="2" t="b">
        <v>1</v>
      </c>
      <c r="H88" s="3">
        <f>COUNTIFS(RulebookFields!C2:C999, A88)</f>
        <v>0</v>
      </c>
      <c r="I88" s="3">
        <f>COUNTIFS(AccessPolicies!D2:D999, A88)</f>
        <v>0</v>
      </c>
      <c r="J88" s="3" t="b">
        <f>I88 = 0</f>
        <v>1</v>
      </c>
      <c r="K88" s="3">
        <f>COUNTIFS(TableConformance!O2:O999, A88)</f>
        <v>0</v>
      </c>
      <c r="L88" s="2" t="s">
        <v>9584</v>
      </c>
    </row>
    <row r="89">
      <c r="A89" s="2" t="s">
        <v>1889</v>
      </c>
      <c r="B89" s="2" t="s">
        <v>1889</v>
      </c>
      <c r="C89" s="3" t="str">
        <f>B89</f>
        <v>ConformanceRuns</v>
      </c>
      <c r="D89" s="2" t="s">
        <v>9675</v>
      </c>
      <c r="E89" s="2" t="s">
        <v>9676</v>
      </c>
      <c r="F89" s="2" t="s">
        <v>9609</v>
      </c>
      <c r="G89" s="2" t="b">
        <v>1</v>
      </c>
      <c r="H89" s="3">
        <f>COUNTIFS(RulebookFields!C2:C999, A89)</f>
        <v>0</v>
      </c>
      <c r="I89" s="3">
        <f>COUNTIFS(AccessPolicies!D2:D999, A89)</f>
        <v>0</v>
      </c>
      <c r="J89" s="3" t="b">
        <f>I89 = 0</f>
        <v>1</v>
      </c>
      <c r="K89" s="3">
        <f>COUNTIFS(TableConformance!O2:O999, A89)</f>
        <v>0</v>
      </c>
      <c r="L89" s="2" t="s">
        <v>9584</v>
      </c>
    </row>
    <row r="90">
      <c r="A90" s="2" t="s">
        <v>1893</v>
      </c>
      <c r="B90" s="2" t="s">
        <v>1893</v>
      </c>
      <c r="C90" s="3" t="str">
        <f>B90</f>
        <v>SubstrateRunScores</v>
      </c>
      <c r="D90" s="2" t="s">
        <v>9677</v>
      </c>
      <c r="E90" s="2" t="s">
        <v>9678</v>
      </c>
      <c r="F90" s="2" t="s">
        <v>9609</v>
      </c>
      <c r="G90" s="2" t="b">
        <v>1</v>
      </c>
      <c r="H90" s="3">
        <f>COUNTIFS(RulebookFields!C2:C999, A90)</f>
        <v>0</v>
      </c>
      <c r="I90" s="3">
        <f>COUNTIFS(AccessPolicies!D2:D999, A90)</f>
        <v>0</v>
      </c>
      <c r="J90" s="3" t="b">
        <f>I90 = 0</f>
        <v>1</v>
      </c>
      <c r="K90" s="3">
        <f>COUNTIFS(TableConformance!O2:O999, A90)</f>
        <v>0</v>
      </c>
      <c r="L90" s="2" t="s">
        <v>9584</v>
      </c>
    </row>
    <row r="91">
      <c r="A91" s="2" t="s">
        <v>1897</v>
      </c>
      <c r="B91" s="2" t="s">
        <v>1897</v>
      </c>
      <c r="C91" s="3" t="str">
        <f>B91</f>
        <v>TableConformance</v>
      </c>
      <c r="D91" s="2" t="s">
        <v>9679</v>
      </c>
      <c r="E91" s="2" t="s">
        <v>9680</v>
      </c>
      <c r="F91" s="2" t="s">
        <v>9609</v>
      </c>
      <c r="G91" s="2" t="b">
        <v>1</v>
      </c>
      <c r="H91" s="3">
        <f>COUNTIFS(RulebookFields!C2:C999, A91)</f>
        <v>0</v>
      </c>
      <c r="I91" s="3">
        <f>COUNTIFS(AccessPolicies!D2:D999, A91)</f>
        <v>0</v>
      </c>
      <c r="J91" s="3" t="b">
        <f>I91 = 0</f>
        <v>1</v>
      </c>
      <c r="K91" s="3">
        <f>COUNTIFS(TableConformance!O2:O999, A91)</f>
        <v>0</v>
      </c>
      <c r="L91" s="2" t="s">
        <v>9584</v>
      </c>
    </row>
    <row r="92">
      <c r="A92" s="2" t="s">
        <v>1901</v>
      </c>
      <c r="B92" s="2" t="s">
        <v>1901</v>
      </c>
      <c r="C92" s="3" t="str">
        <f>B92</f>
        <v>FieldDisagreements</v>
      </c>
      <c r="D92" s="2" t="s">
        <v>9681</v>
      </c>
      <c r="E92" s="2" t="s">
        <v>9682</v>
      </c>
      <c r="F92" s="2" t="s">
        <v>9609</v>
      </c>
      <c r="G92" s="2" t="b">
        <v>1</v>
      </c>
      <c r="H92" s="3">
        <f>COUNTIFS(RulebookFields!C2:C999, A92)</f>
        <v>0</v>
      </c>
      <c r="I92" s="3">
        <f>COUNTIFS(AccessPolicies!D2:D999, A92)</f>
        <v>0</v>
      </c>
      <c r="J92" s="3" t="b">
        <f>I92 = 0</f>
        <v>1</v>
      </c>
      <c r="K92" s="3">
        <f>COUNTIFS(TableConformance!O2:O999, A92)</f>
        <v>0</v>
      </c>
      <c r="L92" s="2" t="s">
        <v>9584</v>
      </c>
    </row>
    <row r="93">
      <c r="A93" s="2" t="s">
        <v>1905</v>
      </c>
      <c r="B93" s="2" t="s">
        <v>1905</v>
      </c>
      <c r="C93" s="3" t="str">
        <f>B93</f>
        <v>CellDisagreements</v>
      </c>
      <c r="D93" s="2" t="s">
        <v>9683</v>
      </c>
      <c r="E93" s="2" t="s">
        <v>9684</v>
      </c>
      <c r="F93" s="2" t="s">
        <v>9609</v>
      </c>
      <c r="G93" s="2" t="b">
        <v>1</v>
      </c>
      <c r="H93" s="3">
        <f>COUNTIFS(RulebookFields!C2:C999, A93)</f>
        <v>0</v>
      </c>
      <c r="I93" s="3">
        <f>COUNTIFS(AccessPolicies!D2:D999, A93)</f>
        <v>0</v>
      </c>
      <c r="J93" s="3" t="b">
        <f>I93 = 0</f>
        <v>1</v>
      </c>
      <c r="K93" s="3">
        <f>COUNTIFS(TableConformance!O2:O999, A93)</f>
        <v>0</v>
      </c>
      <c r="L93" s="2" t="s">
        <v>9584</v>
      </c>
    </row>
  </sheetData>
  <autoFilter ref="A1:L1"/>
  <headerFooter/>
  <legacyDrawing r:id="rId1"/>
</worksheet>
</file>

<file path=xl/worksheets/sheet7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33.99167251586914" customWidth="1"/>
    <col min="2" max="2" width="35.03915786743164" customWidth="1"/>
    <col min="3" max="3" width="35.03915786743164" customWidth="1"/>
    <col min="4" max="4" width="25.59624671936035" customWidth="1"/>
    <col min="5" max="5" width="29.93674087524414" customWidth="1"/>
    <col min="6" max="6" width="29.93674087524414" customWidth="1"/>
    <col min="7" max="7" width="17.443378448486328" customWidth="1"/>
    <col min="8" max="8" width="19.201013565063477" customWidth="1"/>
    <col min="9" max="9" width="35.03915786743164" customWidth="1"/>
    <col min="10" max="10" width="17.443378448486328" customWidth="1"/>
    <col min="11" max="11" width="17.443378448486328" customWidth="1"/>
    <col min="12" max="12" width="18.02218246459961" customWidth="1"/>
    <col min="13" max="13" width="17.443378448486328" customWidth="1"/>
    <col min="14" max="14" width="17.443378448486328" customWidth="1"/>
    <col min="15" max="15" width="42.9775505065918" customWidth="1"/>
  </cols>
  <sheetData>
    <row r="1">
      <c r="A1" s="1" t="s">
        <v>5314</v>
      </c>
      <c r="B1" s="1" t="s">
        <v>1</v>
      </c>
      <c r="C1" s="1" t="s">
        <v>19</v>
      </c>
      <c r="D1" s="1" t="s">
        <v>5318</v>
      </c>
      <c r="E1" s="1" t="s">
        <v>5320</v>
      </c>
      <c r="F1" s="1" t="s">
        <v>5322</v>
      </c>
      <c r="G1" s="1" t="s">
        <v>5324</v>
      </c>
      <c r="H1" s="1" t="s">
        <v>5326</v>
      </c>
      <c r="I1" s="1" t="s">
        <v>5329</v>
      </c>
      <c r="J1" s="1" t="s">
        <v>5304</v>
      </c>
      <c r="K1" s="1" t="s">
        <v>5334</v>
      </c>
      <c r="L1" s="1" t="s">
        <v>5337</v>
      </c>
      <c r="M1" s="1" t="s">
        <v>5340</v>
      </c>
      <c r="N1" s="1" t="s">
        <v>5342</v>
      </c>
      <c r="O1" s="1" t="s">
        <v>94</v>
      </c>
    </row>
    <row r="2">
      <c r="A2" s="2" t="s">
        <v>9685</v>
      </c>
      <c r="B2" s="3" t="str">
        <f>C2</f>
        <v>Finance Analyst</v>
      </c>
      <c r="C2" s="2" t="s">
        <v>204</v>
      </c>
      <c r="D2" s="2" t="s">
        <v>203</v>
      </c>
      <c r="E2" s="2" t="s">
        <v>9686</v>
      </c>
      <c r="F2" s="2" t="s">
        <v>9686</v>
      </c>
      <c r="G2" s="2" t="b">
        <v>0</v>
      </c>
      <c r="H2" s="3" t="str">
        <f>_xlfn.IFNA(INDEX(Roles!D2:D999, MATCH(D2,Roles!A2:A999, 0)), "")</f>
        <v>acme-finance</v>
      </c>
      <c r="I2" s="3" t="str">
        <f>_xlfn.IFNA(INDEX(Roles!C2:C999, MATCH(D2,Roles!A2:A999, 0)), "")</f>
        <v>Finance Analyst</v>
      </c>
      <c r="J2" s="3">
        <f>COUNTIFS(AccessPolicies!C2:C999, A2)</f>
        <v>7</v>
      </c>
      <c r="K2" s="3">
        <f>COUNTIFS(FieldGrants!C2:C999, A2)</f>
        <v>51</v>
      </c>
      <c r="L2" s="3">
        <f>COUNTIFS(RoleSchemaViews!D2:D999, A2)</f>
        <v>7</v>
      </c>
      <c r="M2" s="3" t="b">
        <f>J2 = 0</f>
        <v>0</v>
      </c>
      <c r="N2" s="3" t="b">
        <f>AND(NOT(G2), L2 &gt;= 74)</f>
        <v>0</v>
      </c>
      <c r="O2" s="2" t="s">
        <v>9687</v>
      </c>
    </row>
    <row r="3">
      <c r="A3" s="2" t="s">
        <v>9688</v>
      </c>
      <c r="B3" s="3" t="str">
        <f>C3</f>
        <v>Corporate Controller</v>
      </c>
      <c r="C3" s="2" t="s">
        <v>209</v>
      </c>
      <c r="D3" s="2" t="s">
        <v>208</v>
      </c>
      <c r="E3" s="2" t="s">
        <v>9689</v>
      </c>
      <c r="F3" s="2" t="s">
        <v>9689</v>
      </c>
      <c r="G3" s="2" t="b">
        <v>0</v>
      </c>
      <c r="H3" s="3" t="str">
        <f>_xlfn.IFNA(INDEX(Roles!D2:D999, MATCH(D3,Roles!A2:A999, 0)), "")</f>
        <v>acme-finance</v>
      </c>
      <c r="I3" s="3" t="str">
        <f>_xlfn.IFNA(INDEX(Roles!C2:C999, MATCH(D3,Roles!A2:A999, 0)), "")</f>
        <v>Corporate Controller</v>
      </c>
      <c r="J3" s="3">
        <f>COUNTIFS(AccessPolicies!C2:C999, A3)</f>
        <v>8</v>
      </c>
      <c r="K3" s="3">
        <f>COUNTIFS(FieldGrants!C2:C999, A3)</f>
        <v>69</v>
      </c>
      <c r="L3" s="3">
        <f>COUNTIFS(RoleSchemaViews!D2:D999, A3)</f>
        <v>8</v>
      </c>
      <c r="M3" s="3" t="b">
        <f>J3 = 0</f>
        <v>0</v>
      </c>
      <c r="N3" s="3" t="b">
        <f>AND(NOT(G3), L3 &gt;= 74)</f>
        <v>0</v>
      </c>
      <c r="O3" s="2" t="s">
        <v>9687</v>
      </c>
    </row>
    <row r="4">
      <c r="A4" s="2" t="s">
        <v>9690</v>
      </c>
      <c r="B4" s="3" t="str">
        <f>C4</f>
        <v>Chief Financial Officer</v>
      </c>
      <c r="C4" s="2" t="s">
        <v>213</v>
      </c>
      <c r="D4" s="2" t="s">
        <v>212</v>
      </c>
      <c r="E4" s="2" t="s">
        <v>9691</v>
      </c>
      <c r="F4" s="2" t="s">
        <v>9691</v>
      </c>
      <c r="G4" s="2" t="b">
        <v>0</v>
      </c>
      <c r="H4" s="3" t="str">
        <f>_xlfn.IFNA(INDEX(Roles!D2:D999, MATCH(D4,Roles!A2:A999, 0)), "")</f>
        <v>acme-finance</v>
      </c>
      <c r="I4" s="3" t="str">
        <f>_xlfn.IFNA(INDEX(Roles!C2:C999, MATCH(D4,Roles!A2:A999, 0)), "")</f>
        <v>Chief Financial Officer</v>
      </c>
      <c r="J4" s="3">
        <f>COUNTIFS(AccessPolicies!C2:C999, A4)</f>
        <v>5</v>
      </c>
      <c r="K4" s="3">
        <f>COUNTIFS(FieldGrants!C2:C999, A4)</f>
        <v>37</v>
      </c>
      <c r="L4" s="3">
        <f>COUNTIFS(RoleSchemaViews!D2:D999, A4)</f>
        <v>5</v>
      </c>
      <c r="M4" s="3" t="b">
        <f>J4 = 0</f>
        <v>0</v>
      </c>
      <c r="N4" s="3" t="b">
        <f>AND(NOT(G4), L4 &gt;= 74)</f>
        <v>0</v>
      </c>
      <c r="O4" s="2" t="s">
        <v>9687</v>
      </c>
    </row>
    <row r="5">
      <c r="A5" s="2" t="s">
        <v>9692</v>
      </c>
      <c r="B5" s="3" t="str">
        <f>C5</f>
        <v>People Policy Owner</v>
      </c>
      <c r="C5" s="2" t="s">
        <v>217</v>
      </c>
      <c r="D5" s="2" t="s">
        <v>216</v>
      </c>
      <c r="E5" s="2" t="s">
        <v>9693</v>
      </c>
      <c r="F5" s="2" t="s">
        <v>9693</v>
      </c>
      <c r="G5" s="2" t="b">
        <v>0</v>
      </c>
      <c r="H5" s="3" t="str">
        <f>_xlfn.IFNA(INDEX(Roles!D2:D999, MATCH(D5,Roles!A2:A999, 0)), "")</f>
        <v>acme-people</v>
      </c>
      <c r="I5" s="3" t="str">
        <f>_xlfn.IFNA(INDEX(Roles!C2:C999, MATCH(D5,Roles!A2:A999, 0)), "")</f>
        <v>People Policy Owner</v>
      </c>
      <c r="J5" s="3">
        <f>COUNTIFS(AccessPolicies!C2:C999, A5)</f>
        <v>6</v>
      </c>
      <c r="K5" s="3">
        <f>COUNTIFS(FieldGrants!C2:C999, A5)</f>
        <v>56</v>
      </c>
      <c r="L5" s="3">
        <f>COUNTIFS(RoleSchemaViews!D2:D999, A5)</f>
        <v>6</v>
      </c>
      <c r="M5" s="3" t="b">
        <f>J5 = 0</f>
        <v>0</v>
      </c>
      <c r="N5" s="3" t="b">
        <f>AND(NOT(G5), L5 &gt;= 74)</f>
        <v>0</v>
      </c>
      <c r="O5" s="2" t="s">
        <v>9687</v>
      </c>
    </row>
    <row r="6">
      <c r="A6" s="2" t="s">
        <v>9694</v>
      </c>
      <c r="B6" s="3" t="str">
        <f>C6</f>
        <v>Employment Counsel</v>
      </c>
      <c r="C6" s="2" t="s">
        <v>221</v>
      </c>
      <c r="D6" s="2" t="s">
        <v>220</v>
      </c>
      <c r="E6" s="2" t="s">
        <v>9695</v>
      </c>
      <c r="F6" s="2" t="s">
        <v>9695</v>
      </c>
      <c r="G6" s="2" t="b">
        <v>0</v>
      </c>
      <c r="H6" s="3" t="str">
        <f>_xlfn.IFNA(INDEX(Roles!D2:D999, MATCH(D6,Roles!A2:A999, 0)), "")</f>
        <v>acme-legal</v>
      </c>
      <c r="I6" s="3" t="str">
        <f>_xlfn.IFNA(INDEX(Roles!C2:C999, MATCH(D6,Roles!A2:A999, 0)), "")</f>
        <v>Employment Counsel</v>
      </c>
      <c r="J6" s="3">
        <f>COUNTIFS(AccessPolicies!C2:C999, A6)</f>
        <v>5</v>
      </c>
      <c r="K6" s="3">
        <f>COUNTIFS(FieldGrants!C2:C999, A6)</f>
        <v>40</v>
      </c>
      <c r="L6" s="3">
        <f>COUNTIFS(RoleSchemaViews!D2:D999, A6)</f>
        <v>5</v>
      </c>
      <c r="M6" s="3" t="b">
        <f>J6 = 0</f>
        <v>0</v>
      </c>
      <c r="N6" s="3" t="b">
        <f>AND(NOT(G6), L6 &gt;= 74)</f>
        <v>0</v>
      </c>
      <c r="O6" s="2" t="s">
        <v>9687</v>
      </c>
    </row>
    <row r="7">
      <c r="A7" s="2" t="s">
        <v>9696</v>
      </c>
      <c r="B7" s="3" t="str">
        <f>C7</f>
        <v>Employee Communications Manager</v>
      </c>
      <c r="C7" s="2" t="s">
        <v>225</v>
      </c>
      <c r="D7" s="2" t="s">
        <v>224</v>
      </c>
      <c r="E7" s="2" t="s">
        <v>9697</v>
      </c>
      <c r="F7" s="2" t="s">
        <v>9697</v>
      </c>
      <c r="G7" s="2" t="b">
        <v>0</v>
      </c>
      <c r="H7" s="3" t="str">
        <f>_xlfn.IFNA(INDEX(Roles!D2:D999, MATCH(D7,Roles!A2:A999, 0)), "")</f>
        <v>acme-people</v>
      </c>
      <c r="I7" s="3" t="str">
        <f>_xlfn.IFNA(INDEX(Roles!C2:C999, MATCH(D7,Roles!A2:A999, 0)), "")</f>
        <v>Employee Communications Manager</v>
      </c>
      <c r="J7" s="3">
        <f>COUNTIFS(AccessPolicies!C2:C999, A7)</f>
        <v>6</v>
      </c>
      <c r="K7" s="3">
        <f>COUNTIFS(FieldGrants!C2:C999, A7)</f>
        <v>57</v>
      </c>
      <c r="L7" s="3">
        <f>COUNTIFS(RoleSchemaViews!D2:D999, A7)</f>
        <v>6</v>
      </c>
      <c r="M7" s="3" t="b">
        <f>J7 = 0</f>
        <v>0</v>
      </c>
      <c r="N7" s="3" t="b">
        <f>AND(NOT(G7), L7 &gt;= 74)</f>
        <v>0</v>
      </c>
      <c r="O7" s="2" t="s">
        <v>9687</v>
      </c>
    </row>
    <row r="8">
      <c r="A8" s="2" t="s">
        <v>9698</v>
      </c>
      <c r="B8" s="3" t="str">
        <f>C8</f>
        <v>Close Automation Operator</v>
      </c>
      <c r="C8" s="2" t="s">
        <v>229</v>
      </c>
      <c r="D8" s="2" t="s">
        <v>228</v>
      </c>
      <c r="E8" s="2" t="s">
        <v>9699</v>
      </c>
      <c r="F8" s="2" t="s">
        <v>9699</v>
      </c>
      <c r="G8" s="2" t="b">
        <v>0</v>
      </c>
      <c r="H8" s="3" t="str">
        <f>_xlfn.IFNA(INDEX(Roles!D2:D999, MATCH(D8,Roles!A2:A999, 0)), "")</f>
        <v>acme-finance</v>
      </c>
      <c r="I8" s="3" t="str">
        <f>_xlfn.IFNA(INDEX(Roles!C2:C999, MATCH(D8,Roles!A2:A999, 0)), "")</f>
        <v>Close Automation Operator</v>
      </c>
      <c r="J8" s="3">
        <f>COUNTIFS(AccessPolicies!C2:C999, A8)</f>
        <v>3</v>
      </c>
      <c r="K8" s="3">
        <f>COUNTIFS(FieldGrants!C2:C999, A8)</f>
        <v>23</v>
      </c>
      <c r="L8" s="3">
        <f>COUNTIFS(RoleSchemaViews!D2:D999, A8)</f>
        <v>3</v>
      </c>
      <c r="M8" s="3" t="b">
        <f>J8 = 0</f>
        <v>0</v>
      </c>
      <c r="N8" s="3" t="b">
        <f>AND(NOT(G8), L8 &gt;= 74)</f>
        <v>0</v>
      </c>
      <c r="O8" s="2" t="s">
        <v>9687</v>
      </c>
    </row>
    <row r="9">
      <c r="A9" s="2" t="s">
        <v>9700</v>
      </c>
      <c r="B9" s="3" t="str">
        <f>C9</f>
        <v>Variance Review Agent</v>
      </c>
      <c r="C9" s="2" t="s">
        <v>233</v>
      </c>
      <c r="D9" s="2" t="s">
        <v>232</v>
      </c>
      <c r="E9" s="2" t="s">
        <v>9701</v>
      </c>
      <c r="F9" s="2" t="s">
        <v>9701</v>
      </c>
      <c r="G9" s="2" t="b">
        <v>0</v>
      </c>
      <c r="H9" s="3" t="str">
        <f>_xlfn.IFNA(INDEX(Roles!D2:D999, MATCH(D9,Roles!A2:A999, 0)), "")</f>
        <v>acme-finance</v>
      </c>
      <c r="I9" s="3" t="str">
        <f>_xlfn.IFNA(INDEX(Roles!C2:C999, MATCH(D9,Roles!A2:A999, 0)), "")</f>
        <v>Variance Review Agent</v>
      </c>
      <c r="J9" s="3">
        <f>COUNTIFS(AccessPolicies!C2:C999, A9)</f>
        <v>5</v>
      </c>
      <c r="K9" s="3">
        <f>COUNTIFS(FieldGrants!C2:C999, A9)</f>
        <v>35</v>
      </c>
      <c r="L9" s="3">
        <f>COUNTIFS(RoleSchemaViews!D2:D999, A9)</f>
        <v>5</v>
      </c>
      <c r="M9" s="3" t="b">
        <f>J9 = 0</f>
        <v>0</v>
      </c>
      <c r="N9" s="3" t="b">
        <f>AND(NOT(G9), L9 &gt;= 74)</f>
        <v>0</v>
      </c>
      <c r="O9" s="2" t="s">
        <v>9687</v>
      </c>
    </row>
    <row r="10">
      <c r="A10" s="2" t="s">
        <v>9702</v>
      </c>
      <c r="B10" s="3" t="str">
        <f>C10</f>
        <v>Policy Drafting Agent</v>
      </c>
      <c r="C10" s="2" t="s">
        <v>237</v>
      </c>
      <c r="D10" s="2" t="s">
        <v>236</v>
      </c>
      <c r="E10" s="2" t="s">
        <v>9703</v>
      </c>
      <c r="F10" s="2" t="s">
        <v>9703</v>
      </c>
      <c r="G10" s="2" t="b">
        <v>0</v>
      </c>
      <c r="H10" s="3" t="str">
        <f>_xlfn.IFNA(INDEX(Roles!D2:D999, MATCH(D10,Roles!A2:A999, 0)), "")</f>
        <v>acme-people</v>
      </c>
      <c r="I10" s="3" t="str">
        <f>_xlfn.IFNA(INDEX(Roles!C2:C999, MATCH(D10,Roles!A2:A999, 0)), "")</f>
        <v>Policy Drafting Agent</v>
      </c>
      <c r="J10" s="3">
        <f>COUNTIFS(AccessPolicies!C2:C999, A10)</f>
        <v>4</v>
      </c>
      <c r="K10" s="3">
        <f>COUNTIFS(FieldGrants!C2:C999, A10)</f>
        <v>29</v>
      </c>
      <c r="L10" s="3">
        <f>COUNTIFS(RoleSchemaViews!D2:D999, A10)</f>
        <v>4</v>
      </c>
      <c r="M10" s="3" t="b">
        <f>J10 = 0</f>
        <v>0</v>
      </c>
      <c r="N10" s="3" t="b">
        <f>AND(NOT(G10), L10 &gt;= 74)</f>
        <v>0</v>
      </c>
      <c r="O10" s="2" t="s">
        <v>9687</v>
      </c>
    </row>
    <row r="11">
      <c r="A11" s="2" t="s">
        <v>9704</v>
      </c>
      <c r="B11" s="3" t="str">
        <f>C11</f>
        <v>Notification Publisher</v>
      </c>
      <c r="C11" s="2" t="s">
        <v>241</v>
      </c>
      <c r="D11" s="2" t="s">
        <v>240</v>
      </c>
      <c r="E11" s="2" t="s">
        <v>9705</v>
      </c>
      <c r="F11" s="2" t="s">
        <v>9705</v>
      </c>
      <c r="G11" s="2" t="b">
        <v>0</v>
      </c>
      <c r="H11" s="3" t="str">
        <f>_xlfn.IFNA(INDEX(Roles!D2:D999, MATCH(D11,Roles!A2:A999, 0)), "")</f>
        <v>acme-people</v>
      </c>
      <c r="I11" s="3" t="str">
        <f>_xlfn.IFNA(INDEX(Roles!C2:C999, MATCH(D11,Roles!A2:A999, 0)), "")</f>
        <v>Notification Publisher</v>
      </c>
      <c r="J11" s="3">
        <f>COUNTIFS(AccessPolicies!C2:C999, A11)</f>
        <v>5</v>
      </c>
      <c r="K11" s="3">
        <f>COUNTIFS(FieldGrants!C2:C999, A11)</f>
        <v>36</v>
      </c>
      <c r="L11" s="3">
        <f>COUNTIFS(RoleSchemaViews!D2:D999, A11)</f>
        <v>5</v>
      </c>
      <c r="M11" s="3" t="b">
        <f>J11 = 0</f>
        <v>0</v>
      </c>
      <c r="N11" s="3" t="b">
        <f>AND(NOT(G11), L11 &gt;= 74)</f>
        <v>0</v>
      </c>
      <c r="O11" s="2" t="s">
        <v>9687</v>
      </c>
    </row>
    <row r="12">
      <c r="A12" s="2" t="s">
        <v>9706</v>
      </c>
      <c r="B12" s="3" t="str">
        <f>C12</f>
        <v>Procedural Knowledge Steward</v>
      </c>
      <c r="C12" s="2" t="s">
        <v>245</v>
      </c>
      <c r="D12" s="2" t="s">
        <v>244</v>
      </c>
      <c r="E12" s="2" t="s">
        <v>9707</v>
      </c>
      <c r="F12" s="2" t="s">
        <v>9707</v>
      </c>
      <c r="G12" s="2" t="b">
        <v>1</v>
      </c>
      <c r="H12" s="3" t="str">
        <f>_xlfn.IFNA(INDEX(Roles!D2:D999, MATCH(D12,Roles!A2:A999, 0)), "")</f>
        <v>acme-people</v>
      </c>
      <c r="I12" s="3" t="str">
        <f>_xlfn.IFNA(INDEX(Roles!C2:C999, MATCH(D12,Roles!A2:A999, 0)), "")</f>
        <v>Procedural Knowledge Steward</v>
      </c>
      <c r="J12" s="3">
        <f>COUNTIFS(AccessPolicies!C2:C999, A12)</f>
        <v>74</v>
      </c>
      <c r="K12" s="3">
        <f>COUNTIFS(FieldGrants!C2:C999, A12)</f>
        <v>565</v>
      </c>
      <c r="L12" s="3">
        <f>COUNTIFS(RoleSchemaViews!D2:D999, A12)</f>
        <v>74</v>
      </c>
      <c r="M12" s="3" t="b">
        <f>J12 = 0</f>
        <v>0</v>
      </c>
      <c r="N12" s="3" t="b">
        <f>AND(NOT(G12), L12 &gt;= 74)</f>
        <v>0</v>
      </c>
      <c r="O12" s="2" t="s">
        <v>9687</v>
      </c>
    </row>
    <row r="13">
      <c r="A13" s="2" t="s">
        <v>9708</v>
      </c>
      <c r="B13" s="3" t="str">
        <f>C13</f>
        <v>Procedural Knowledge Authority</v>
      </c>
      <c r="C13" s="2" t="s">
        <v>249</v>
      </c>
      <c r="D13" s="2" t="s">
        <v>248</v>
      </c>
      <c r="E13" s="2" t="s">
        <v>9709</v>
      </c>
      <c r="F13" s="2" t="s">
        <v>9709</v>
      </c>
      <c r="G13" s="2" t="b">
        <v>1</v>
      </c>
      <c r="H13" s="3" t="str">
        <f>_xlfn.IFNA(INDEX(Roles!D2:D999, MATCH(D13,Roles!A2:A999, 0)), "")</f>
        <v>acme-finance</v>
      </c>
      <c r="I13" s="3" t="str">
        <f>_xlfn.IFNA(INDEX(Roles!C2:C999, MATCH(D13,Roles!A2:A999, 0)), "")</f>
        <v>Procedural Knowledge Authority</v>
      </c>
      <c r="J13" s="3">
        <f>COUNTIFS(AccessPolicies!C2:C999, A13)</f>
        <v>74</v>
      </c>
      <c r="K13" s="3">
        <f>COUNTIFS(FieldGrants!C2:C999, A13)</f>
        <v>0</v>
      </c>
      <c r="L13" s="3">
        <f>COUNTIFS(RoleSchemaViews!D2:D999, A13)</f>
        <v>74</v>
      </c>
      <c r="M13" s="3" t="b">
        <f>J13 = 0</f>
        <v>0</v>
      </c>
      <c r="N13" s="3" t="b">
        <f>AND(NOT(G13), L13 &gt;= 74)</f>
        <v>0</v>
      </c>
      <c r="O13" s="2" t="s">
        <v>9687</v>
      </c>
    </row>
  </sheetData>
  <autoFilter ref="A1:O1"/>
  <headerFooter/>
  <legacyDrawing r:id="rId1"/>
</worksheet>
</file>

<file path=xl/worksheets/sheet7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203"/>
  <sheetViews>
    <sheetView workbookViewId="0">
      <pane ySplit="1" topLeftCell="A2" state="frozen" activePane="bottomLeft"/>
      <selection pane="bottomLeft" activeCell="A1" sqref="A1"/>
    </sheetView>
  </sheetViews>
  <sheetFormatPr defaultRowHeight="15"/>
  <cols>
    <col min="1" max="1" width="58.06645965576172" customWidth="1"/>
    <col min="2" max="2" width="64.84781646728516" customWidth="1"/>
    <col min="3" max="3" width="33.99167251586914" customWidth="1"/>
    <col min="4" max="4" width="25.653127670288086" customWidth="1"/>
    <col min="5" max="5" width="17.443378448486328" customWidth="1"/>
    <col min="6" max="6" width="55.537315368652344" customWidth="1"/>
    <col min="7" max="7" width="17.443378448486328" customWidth="1"/>
    <col min="8" max="8" width="208.50082397460938" customWidth="1"/>
    <col min="9" max="9" width="20.972410202026367" customWidth="1"/>
    <col min="10" max="10" width="17.743370056152344" customWidth="1"/>
    <col min="11" max="11" width="17.443378448486328" customWidth="1"/>
    <col min="12" max="12" width="17.443378448486328" customWidth="1"/>
    <col min="13" max="13" width="29.273351669311523" customWidth="1"/>
    <col min="14" max="14" width="20.159423828125" customWidth="1"/>
    <col min="15" max="15" width="17.443378448486328" customWidth="1"/>
    <col min="16" max="16" width="40.328826904296875" customWidth="1"/>
  </cols>
  <sheetData>
    <row r="1">
      <c r="A1" s="1" t="s">
        <v>5347</v>
      </c>
      <c r="B1" s="1" t="s">
        <v>1</v>
      </c>
      <c r="C1" s="1" t="s">
        <v>5351</v>
      </c>
      <c r="D1" s="1" t="s">
        <v>2373</v>
      </c>
      <c r="E1" s="1" t="s">
        <v>5354</v>
      </c>
      <c r="F1" s="1" t="s">
        <v>5356</v>
      </c>
      <c r="G1" s="1" t="s">
        <v>5358</v>
      </c>
      <c r="H1" s="1" t="s">
        <v>93</v>
      </c>
      <c r="I1" s="1" t="s">
        <v>5361</v>
      </c>
      <c r="J1" s="1" t="s">
        <v>5363</v>
      </c>
      <c r="K1" s="1" t="s">
        <v>5366</v>
      </c>
      <c r="L1" s="1" t="s">
        <v>5369</v>
      </c>
      <c r="M1" s="1" t="s">
        <v>5372</v>
      </c>
      <c r="N1" s="1" t="s">
        <v>5375</v>
      </c>
      <c r="O1" s="1" t="s">
        <v>5378</v>
      </c>
      <c r="P1" s="1" t="s">
        <v>94</v>
      </c>
    </row>
    <row r="2">
      <c r="A2" s="2" t="s">
        <v>9710</v>
      </c>
      <c r="B2" s="3" t="str">
        <f>C2 &amp; " " &amp; E2 &amp; " " &amp; D2</f>
        <v>principal-finance-analyst SELECT Steps</v>
      </c>
      <c r="C2" s="2" t="s">
        <v>9685</v>
      </c>
      <c r="D2" s="2" t="s">
        <v>1758</v>
      </c>
      <c r="E2" s="2" t="s">
        <v>9711</v>
      </c>
      <c r="F2" s="2" t="s">
        <v>168</v>
      </c>
      <c r="G2" s="2" t="s">
        <v>168</v>
      </c>
      <c r="H2" s="2" t="s">
        <v>9712</v>
      </c>
      <c r="I2" s="2" t="b">
        <v>0</v>
      </c>
      <c r="J2" s="3" t="b">
        <f>OR(E2 = "INSERT", E2 = "UPDATE", E2 = "DELETE", E2 = "ALL")</f>
        <v>0</v>
      </c>
      <c r="K2" s="3" t="b">
        <f>F2 = ""</f>
        <v>1</v>
      </c>
      <c r="L2" s="3" t="b">
        <f>_xlfn.IFNA(INDEX(AccessPrincipals!G2:G999, MATCH(C2,AccessPrincipals!A2:A999, 0)), "")</f>
        <v>0</v>
      </c>
      <c r="M2" s="3" t="b">
        <f>AND(K2, NOT(L2))</f>
        <v>1</v>
      </c>
      <c r="N2" s="3" t="b">
        <f>AND(J2, O2 = 0)</f>
        <v>0</v>
      </c>
      <c r="O2" s="3">
        <f>COUNTIFS(AccessDenialTests!C2:C999, A2)</f>
        <v>0</v>
      </c>
      <c r="P2" s="2" t="s">
        <v>9713</v>
      </c>
    </row>
    <row r="3">
      <c r="A3" s="2" t="s">
        <v>9714</v>
      </c>
      <c r="B3" s="3" t="str">
        <f>C3 &amp; " " &amp; E3 &amp; " " &amp; D3</f>
        <v>principal-finance-analyst SELECT StepExecutions</v>
      </c>
      <c r="C3" s="2" t="s">
        <v>9685</v>
      </c>
      <c r="D3" s="2" t="s">
        <v>1807</v>
      </c>
      <c r="E3" s="2" t="s">
        <v>9711</v>
      </c>
      <c r="F3" s="2" t="s">
        <v>168</v>
      </c>
      <c r="G3" s="2" t="s">
        <v>168</v>
      </c>
      <c r="H3" s="2" t="s">
        <v>9712</v>
      </c>
      <c r="I3" s="2" t="b">
        <v>0</v>
      </c>
      <c r="J3" s="3" t="b">
        <f>OR(E3 = "INSERT", E3 = "UPDATE", E3 = "DELETE", E3 = "ALL")</f>
        <v>0</v>
      </c>
      <c r="K3" s="3" t="b">
        <f>F3 = ""</f>
        <v>1</v>
      </c>
      <c r="L3" s="3" t="b">
        <f>_xlfn.IFNA(INDEX(AccessPrincipals!G2:G999, MATCH(C3,AccessPrincipals!A2:A999, 0)), "")</f>
        <v>0</v>
      </c>
      <c r="M3" s="3" t="b">
        <f>AND(K3, NOT(L3))</f>
        <v>1</v>
      </c>
      <c r="N3" s="3" t="b">
        <f>AND(J3, O3 = 0)</f>
        <v>0</v>
      </c>
      <c r="O3" s="3">
        <f>COUNTIFS(AccessDenialTests!C2:C999, A3)</f>
        <v>0</v>
      </c>
      <c r="P3" s="2" t="s">
        <v>9713</v>
      </c>
    </row>
    <row r="4">
      <c r="A4" s="2" t="s">
        <v>9715</v>
      </c>
      <c r="B4" s="3" t="str">
        <f>C4 &amp; " " &amp; E4 &amp; " " &amp; D4</f>
        <v>principal-finance-analyst SELECT ProcedureExecutions</v>
      </c>
      <c r="C4" s="2" t="s">
        <v>9685</v>
      </c>
      <c r="D4" s="2" t="s">
        <v>1804</v>
      </c>
      <c r="E4" s="2" t="s">
        <v>9711</v>
      </c>
      <c r="F4" s="2" t="s">
        <v>168</v>
      </c>
      <c r="G4" s="2" t="s">
        <v>168</v>
      </c>
      <c r="H4" s="2" t="s">
        <v>9712</v>
      </c>
      <c r="I4" s="2" t="b">
        <v>0</v>
      </c>
      <c r="J4" s="3" t="b">
        <f>OR(E4 = "INSERT", E4 = "UPDATE", E4 = "DELETE", E4 = "ALL")</f>
        <v>0</v>
      </c>
      <c r="K4" s="3" t="b">
        <f>F4 = ""</f>
        <v>1</v>
      </c>
      <c r="L4" s="3" t="b">
        <f>_xlfn.IFNA(INDEX(AccessPrincipals!G2:G999, MATCH(C4,AccessPrincipals!A2:A999, 0)), "")</f>
        <v>0</v>
      </c>
      <c r="M4" s="3" t="b">
        <f>AND(K4, NOT(L4))</f>
        <v>1</v>
      </c>
      <c r="N4" s="3" t="b">
        <f>AND(J4, O4 = 0)</f>
        <v>0</v>
      </c>
      <c r="O4" s="3">
        <f>COUNTIFS(AccessDenialTests!C2:C999, A4)</f>
        <v>0</v>
      </c>
      <c r="P4" s="2" t="s">
        <v>9713</v>
      </c>
    </row>
    <row r="5">
      <c r="A5" s="2" t="s">
        <v>9716</v>
      </c>
      <c r="B5" s="3" t="str">
        <f>C5 &amp; " " &amp; E5 &amp; " " &amp; D5</f>
        <v>principal-finance-analyst SELECT Requirements</v>
      </c>
      <c r="C5" s="2" t="s">
        <v>9685</v>
      </c>
      <c r="D5" s="2" t="s">
        <v>1785</v>
      </c>
      <c r="E5" s="2" t="s">
        <v>9711</v>
      </c>
      <c r="F5" s="2" t="s">
        <v>168</v>
      </c>
      <c r="G5" s="2" t="s">
        <v>168</v>
      </c>
      <c r="H5" s="2" t="s">
        <v>9712</v>
      </c>
      <c r="I5" s="2" t="b">
        <v>0</v>
      </c>
      <c r="J5" s="3" t="b">
        <f>OR(E5 = "INSERT", E5 = "UPDATE", E5 = "DELETE", E5 = "ALL")</f>
        <v>0</v>
      </c>
      <c r="K5" s="3" t="b">
        <f>F5 = ""</f>
        <v>1</v>
      </c>
      <c r="L5" s="3" t="b">
        <f>_xlfn.IFNA(INDEX(AccessPrincipals!G2:G999, MATCH(C5,AccessPrincipals!A2:A999, 0)), "")</f>
        <v>0</v>
      </c>
      <c r="M5" s="3" t="b">
        <f>AND(K5, NOT(L5))</f>
        <v>1</v>
      </c>
      <c r="N5" s="3" t="b">
        <f>AND(J5, O5 = 0)</f>
        <v>0</v>
      </c>
      <c r="O5" s="3">
        <f>COUNTIFS(AccessDenialTests!C2:C999, A5)</f>
        <v>0</v>
      </c>
      <c r="P5" s="2" t="s">
        <v>9713</v>
      </c>
    </row>
    <row r="6">
      <c r="A6" s="2" t="s">
        <v>9717</v>
      </c>
      <c r="B6" s="3" t="str">
        <f>C6 &amp; " " &amp; E6 &amp; " " &amp; D6</f>
        <v>principal-finance-analyst SELECT RequirementSatisfactions</v>
      </c>
      <c r="C6" s="2" t="s">
        <v>9685</v>
      </c>
      <c r="D6" s="2" t="s">
        <v>1810</v>
      </c>
      <c r="E6" s="2" t="s">
        <v>9711</v>
      </c>
      <c r="F6" s="2" t="s">
        <v>168</v>
      </c>
      <c r="G6" s="2" t="s">
        <v>168</v>
      </c>
      <c r="H6" s="2" t="s">
        <v>9712</v>
      </c>
      <c r="I6" s="2" t="b">
        <v>0</v>
      </c>
      <c r="J6" s="3" t="b">
        <f>OR(E6 = "INSERT", E6 = "UPDATE", E6 = "DELETE", E6 = "ALL")</f>
        <v>0</v>
      </c>
      <c r="K6" s="3" t="b">
        <f>F6 = ""</f>
        <v>1</v>
      </c>
      <c r="L6" s="3" t="b">
        <f>_xlfn.IFNA(INDEX(AccessPrincipals!G2:G999, MATCH(C6,AccessPrincipals!A2:A999, 0)), "")</f>
        <v>0</v>
      </c>
      <c r="M6" s="3" t="b">
        <f>AND(K6, NOT(L6))</f>
        <v>1</v>
      </c>
      <c r="N6" s="3" t="b">
        <f>AND(J6, O6 = 0)</f>
        <v>0</v>
      </c>
      <c r="O6" s="3">
        <f>COUNTIFS(AccessDenialTests!C2:C999, A6)</f>
        <v>0</v>
      </c>
      <c r="P6" s="2" t="s">
        <v>9713</v>
      </c>
    </row>
    <row r="7">
      <c r="A7" s="2" t="s">
        <v>9718</v>
      </c>
      <c r="B7" s="3" t="str">
        <f>C7 &amp; " " &amp; E7 &amp; " " &amp; D7</f>
        <v>principal-finance-analyst SELECT Procedures</v>
      </c>
      <c r="C7" s="2" t="s">
        <v>9685</v>
      </c>
      <c r="D7" s="2" t="s">
        <v>1742</v>
      </c>
      <c r="E7" s="2" t="s">
        <v>9711</v>
      </c>
      <c r="F7" s="2" t="s">
        <v>168</v>
      </c>
      <c r="G7" s="2" t="s">
        <v>168</v>
      </c>
      <c r="H7" s="2" t="s">
        <v>9712</v>
      </c>
      <c r="I7" s="2" t="b">
        <v>0</v>
      </c>
      <c r="J7" s="3" t="b">
        <f>OR(E7 = "INSERT", E7 = "UPDATE", E7 = "DELETE", E7 = "ALL")</f>
        <v>0</v>
      </c>
      <c r="K7" s="3" t="b">
        <f>F7 = ""</f>
        <v>1</v>
      </c>
      <c r="L7" s="3" t="b">
        <f>_xlfn.IFNA(INDEX(AccessPrincipals!G2:G999, MATCH(C7,AccessPrincipals!A2:A999, 0)), "")</f>
        <v>0</v>
      </c>
      <c r="M7" s="3" t="b">
        <f>AND(K7, NOT(L7))</f>
        <v>1</v>
      </c>
      <c r="N7" s="3" t="b">
        <f>AND(J7, O7 = 0)</f>
        <v>0</v>
      </c>
      <c r="O7" s="3">
        <f>COUNTIFS(AccessDenialTests!C2:C999, A7)</f>
        <v>0</v>
      </c>
      <c r="P7" s="2" t="s">
        <v>9713</v>
      </c>
    </row>
    <row r="8">
      <c r="A8" s="2" t="s">
        <v>9719</v>
      </c>
      <c r="B8" s="3" t="str">
        <f>C8 &amp; " " &amp; E8 &amp; " " &amp; D8</f>
        <v>principal-finance-analyst SELECT ProcedureVersions</v>
      </c>
      <c r="C8" s="2" t="s">
        <v>9685</v>
      </c>
      <c r="D8" s="2" t="s">
        <v>1747</v>
      </c>
      <c r="E8" s="2" t="s">
        <v>9711</v>
      </c>
      <c r="F8" s="2" t="s">
        <v>9720</v>
      </c>
      <c r="G8" s="2" t="s">
        <v>168</v>
      </c>
      <c r="H8" s="2" t="s">
        <v>9721</v>
      </c>
      <c r="I8" s="2" t="b">
        <v>0</v>
      </c>
      <c r="J8" s="3" t="b">
        <f>OR(E8 = "INSERT", E8 = "UPDATE", E8 = "DELETE", E8 = "ALL")</f>
        <v>0</v>
      </c>
      <c r="K8" s="3" t="b">
        <f>F8 = ""</f>
        <v>0</v>
      </c>
      <c r="L8" s="3" t="b">
        <f>_xlfn.IFNA(INDEX(AccessPrincipals!G2:G999, MATCH(C8,AccessPrincipals!A2:A999, 0)), "")</f>
        <v>0</v>
      </c>
      <c r="M8" s="3" t="b">
        <f>AND(K8, NOT(L8))</f>
        <v>0</v>
      </c>
      <c r="N8" s="3" t="b">
        <f>AND(J8, O8 = 0)</f>
        <v>0</v>
      </c>
      <c r="O8" s="3">
        <f>COUNTIFS(AccessDenialTests!C2:C999, A8)</f>
        <v>2</v>
      </c>
      <c r="P8" s="2" t="s">
        <v>9713</v>
      </c>
    </row>
    <row r="9">
      <c r="A9" s="2" t="s">
        <v>9722</v>
      </c>
      <c r="B9" s="3" t="str">
        <f>C9 &amp; " " &amp; E9 &amp; " " &amp; D9</f>
        <v>principal-controller SELECT Steps</v>
      </c>
      <c r="C9" s="2" t="s">
        <v>9688</v>
      </c>
      <c r="D9" s="2" t="s">
        <v>1758</v>
      </c>
      <c r="E9" s="2" t="s">
        <v>9711</v>
      </c>
      <c r="F9" s="2" t="s">
        <v>168</v>
      </c>
      <c r="G9" s="2" t="s">
        <v>168</v>
      </c>
      <c r="H9" s="2" t="s">
        <v>9723</v>
      </c>
      <c r="I9" s="2" t="b">
        <v>0</v>
      </c>
      <c r="J9" s="3" t="b">
        <f>OR(E9 = "INSERT", E9 = "UPDATE", E9 = "DELETE", E9 = "ALL")</f>
        <v>0</v>
      </c>
      <c r="K9" s="3" t="b">
        <f>F9 = ""</f>
        <v>1</v>
      </c>
      <c r="L9" s="3" t="b">
        <f>_xlfn.IFNA(INDEX(AccessPrincipals!G2:G999, MATCH(C9,AccessPrincipals!A2:A999, 0)), "")</f>
        <v>0</v>
      </c>
      <c r="M9" s="3" t="b">
        <f>AND(K9, NOT(L9))</f>
        <v>1</v>
      </c>
      <c r="N9" s="3" t="b">
        <f>AND(J9, O9 = 0)</f>
        <v>0</v>
      </c>
      <c r="O9" s="3">
        <f>COUNTIFS(AccessDenialTests!C2:C999, A9)</f>
        <v>0</v>
      </c>
      <c r="P9" s="2" t="s">
        <v>9713</v>
      </c>
    </row>
    <row r="10">
      <c r="A10" s="2" t="s">
        <v>9724</v>
      </c>
      <c r="B10" s="3" t="str">
        <f>C10 &amp; " " &amp; E10 &amp; " " &amp; D10</f>
        <v>principal-controller SELECT StepExecutions</v>
      </c>
      <c r="C10" s="2" t="s">
        <v>9688</v>
      </c>
      <c r="D10" s="2" t="s">
        <v>1807</v>
      </c>
      <c r="E10" s="2" t="s">
        <v>9711</v>
      </c>
      <c r="F10" s="2" t="s">
        <v>168</v>
      </c>
      <c r="G10" s="2" t="s">
        <v>168</v>
      </c>
      <c r="H10" s="2" t="s">
        <v>9723</v>
      </c>
      <c r="I10" s="2" t="b">
        <v>0</v>
      </c>
      <c r="J10" s="3" t="b">
        <f>OR(E10 = "INSERT", E10 = "UPDATE", E10 = "DELETE", E10 = "ALL")</f>
        <v>0</v>
      </c>
      <c r="K10" s="3" t="b">
        <f>F10 = ""</f>
        <v>1</v>
      </c>
      <c r="L10" s="3" t="b">
        <f>_xlfn.IFNA(INDEX(AccessPrincipals!G2:G999, MATCH(C10,AccessPrincipals!A2:A999, 0)), "")</f>
        <v>0</v>
      </c>
      <c r="M10" s="3" t="b">
        <f>AND(K10, NOT(L10))</f>
        <v>1</v>
      </c>
      <c r="N10" s="3" t="b">
        <f>AND(J10, O10 = 0)</f>
        <v>0</v>
      </c>
      <c r="O10" s="3">
        <f>COUNTIFS(AccessDenialTests!C2:C999, A10)</f>
        <v>0</v>
      </c>
      <c r="P10" s="2" t="s">
        <v>9713</v>
      </c>
    </row>
    <row r="11">
      <c r="A11" s="2" t="s">
        <v>9725</v>
      </c>
      <c r="B11" s="3" t="str">
        <f>C11 &amp; " " &amp; E11 &amp; " " &amp; D11</f>
        <v>principal-controller SELECT ProcedureExecutions</v>
      </c>
      <c r="C11" s="2" t="s">
        <v>9688</v>
      </c>
      <c r="D11" s="2" t="s">
        <v>1804</v>
      </c>
      <c r="E11" s="2" t="s">
        <v>9711</v>
      </c>
      <c r="F11" s="2" t="s">
        <v>168</v>
      </c>
      <c r="G11" s="2" t="s">
        <v>168</v>
      </c>
      <c r="H11" s="2" t="s">
        <v>9723</v>
      </c>
      <c r="I11" s="2" t="b">
        <v>0</v>
      </c>
      <c r="J11" s="3" t="b">
        <f>OR(E11 = "INSERT", E11 = "UPDATE", E11 = "DELETE", E11 = "ALL")</f>
        <v>0</v>
      </c>
      <c r="K11" s="3" t="b">
        <f>F11 = ""</f>
        <v>1</v>
      </c>
      <c r="L11" s="3" t="b">
        <f>_xlfn.IFNA(INDEX(AccessPrincipals!G2:G999, MATCH(C11,AccessPrincipals!A2:A999, 0)), "")</f>
        <v>0</v>
      </c>
      <c r="M11" s="3" t="b">
        <f>AND(K11, NOT(L11))</f>
        <v>1</v>
      </c>
      <c r="N11" s="3" t="b">
        <f>AND(J11, O11 = 0)</f>
        <v>0</v>
      </c>
      <c r="O11" s="3">
        <f>COUNTIFS(AccessDenialTests!C2:C999, A11)</f>
        <v>0</v>
      </c>
      <c r="P11" s="2" t="s">
        <v>9713</v>
      </c>
    </row>
    <row r="12">
      <c r="A12" s="2" t="s">
        <v>9726</v>
      </c>
      <c r="B12" s="3" t="str">
        <f>C12 &amp; " " &amp; E12 &amp; " " &amp; D12</f>
        <v>principal-controller SELECT Exceptions</v>
      </c>
      <c r="C12" s="2" t="s">
        <v>9688</v>
      </c>
      <c r="D12" s="2" t="s">
        <v>3095</v>
      </c>
      <c r="E12" s="2" t="s">
        <v>9711</v>
      </c>
      <c r="F12" s="2" t="s">
        <v>168</v>
      </c>
      <c r="G12" s="2" t="s">
        <v>168</v>
      </c>
      <c r="H12" s="2" t="s">
        <v>9723</v>
      </c>
      <c r="I12" s="2" t="b">
        <v>0</v>
      </c>
      <c r="J12" s="3" t="b">
        <f>OR(E12 = "INSERT", E12 = "UPDATE", E12 = "DELETE", E12 = "ALL")</f>
        <v>0</v>
      </c>
      <c r="K12" s="3" t="b">
        <f>F12 = ""</f>
        <v>1</v>
      </c>
      <c r="L12" s="3" t="b">
        <f>_xlfn.IFNA(INDEX(AccessPrincipals!G2:G999, MATCH(C12,AccessPrincipals!A2:A999, 0)), "")</f>
        <v>0</v>
      </c>
      <c r="M12" s="3" t="b">
        <f>AND(K12, NOT(L12))</f>
        <v>1</v>
      </c>
      <c r="N12" s="3" t="b">
        <f>AND(J12, O12 = 0)</f>
        <v>0</v>
      </c>
      <c r="O12" s="3">
        <f>COUNTIFS(AccessDenialTests!C2:C999, A12)</f>
        <v>0</v>
      </c>
      <c r="P12" s="2" t="s">
        <v>9713</v>
      </c>
    </row>
    <row r="13">
      <c r="A13" s="2" t="s">
        <v>9727</v>
      </c>
      <c r="B13" s="3" t="str">
        <f>C13 &amp; " " &amp; E13 &amp; " " &amp; D13</f>
        <v>principal-controller SELECT ChangeRequests</v>
      </c>
      <c r="C13" s="2" t="s">
        <v>9688</v>
      </c>
      <c r="D13" s="2" t="s">
        <v>3848</v>
      </c>
      <c r="E13" s="2" t="s">
        <v>9711</v>
      </c>
      <c r="F13" s="2" t="s">
        <v>9728</v>
      </c>
      <c r="G13" s="2" t="s">
        <v>168</v>
      </c>
      <c r="H13" s="2" t="s">
        <v>9729</v>
      </c>
      <c r="I13" s="2" t="b">
        <v>1</v>
      </c>
      <c r="J13" s="3" t="b">
        <f>OR(E13 = "INSERT", E13 = "UPDATE", E13 = "DELETE", E13 = "ALL")</f>
        <v>0</v>
      </c>
      <c r="K13" s="3" t="b">
        <f>F13 = ""</f>
        <v>0</v>
      </c>
      <c r="L13" s="3" t="b">
        <f>_xlfn.IFNA(INDEX(AccessPrincipals!G2:G999, MATCH(C13,AccessPrincipals!A2:A999, 0)), "")</f>
        <v>0</v>
      </c>
      <c r="M13" s="3" t="b">
        <f>AND(K13, NOT(L13))</f>
        <v>0</v>
      </c>
      <c r="N13" s="3" t="b">
        <f>AND(J13, O13 = 0)</f>
        <v>0</v>
      </c>
      <c r="O13" s="3">
        <f>COUNTIFS(AccessDenialTests!C2:C999, A13)</f>
        <v>2</v>
      </c>
      <c r="P13" s="2" t="s">
        <v>9713</v>
      </c>
    </row>
    <row r="14">
      <c r="A14" s="2" t="s">
        <v>9730</v>
      </c>
      <c r="B14" s="3" t="str">
        <f>C14 &amp; " " &amp; E14 &amp; " " &amp; D14</f>
        <v>principal-controller SELECT KnowledgeFragments</v>
      </c>
      <c r="C14" s="2" t="s">
        <v>9688</v>
      </c>
      <c r="D14" s="2" t="s">
        <v>1831</v>
      </c>
      <c r="E14" s="2" t="s">
        <v>9711</v>
      </c>
      <c r="F14" s="2" t="s">
        <v>9731</v>
      </c>
      <c r="G14" s="2" t="s">
        <v>168</v>
      </c>
      <c r="H14" s="2" t="s">
        <v>9732</v>
      </c>
      <c r="I14" s="2" t="b">
        <v>0</v>
      </c>
      <c r="J14" s="3" t="b">
        <f>OR(E14 = "INSERT", E14 = "UPDATE", E14 = "DELETE", E14 = "ALL")</f>
        <v>0</v>
      </c>
      <c r="K14" s="3" t="b">
        <f>F14 = ""</f>
        <v>0</v>
      </c>
      <c r="L14" s="3" t="b">
        <f>_xlfn.IFNA(INDEX(AccessPrincipals!G2:G999, MATCH(C14,AccessPrincipals!A2:A999, 0)), "")</f>
        <v>0</v>
      </c>
      <c r="M14" s="3" t="b">
        <f>AND(K14, NOT(L14))</f>
        <v>0</v>
      </c>
      <c r="N14" s="3" t="b">
        <f>AND(J14, O14 = 0)</f>
        <v>0</v>
      </c>
      <c r="O14" s="3">
        <f>COUNTIFS(AccessDenialTests!C2:C999, A14)</f>
        <v>1</v>
      </c>
      <c r="P14" s="2" t="s">
        <v>9713</v>
      </c>
    </row>
    <row r="15">
      <c r="A15" s="2" t="s">
        <v>9733</v>
      </c>
      <c r="B15" s="3" t="str">
        <f>C15 &amp; " " &amp; E15 &amp; " " &amp; D15</f>
        <v>principal-controller SELECT Requirements</v>
      </c>
      <c r="C15" s="2" t="s">
        <v>9688</v>
      </c>
      <c r="D15" s="2" t="s">
        <v>1785</v>
      </c>
      <c r="E15" s="2" t="s">
        <v>9711</v>
      </c>
      <c r="F15" s="2" t="s">
        <v>168</v>
      </c>
      <c r="G15" s="2" t="s">
        <v>168</v>
      </c>
      <c r="H15" s="2" t="s">
        <v>9723</v>
      </c>
      <c r="I15" s="2" t="b">
        <v>0</v>
      </c>
      <c r="J15" s="3" t="b">
        <f>OR(E15 = "INSERT", E15 = "UPDATE", E15 = "DELETE", E15 = "ALL")</f>
        <v>0</v>
      </c>
      <c r="K15" s="3" t="b">
        <f>F15 = ""</f>
        <v>1</v>
      </c>
      <c r="L15" s="3" t="b">
        <f>_xlfn.IFNA(INDEX(AccessPrincipals!G2:G999, MATCH(C15,AccessPrincipals!A2:A999, 0)), "")</f>
        <v>0</v>
      </c>
      <c r="M15" s="3" t="b">
        <f>AND(K15, NOT(L15))</f>
        <v>1</v>
      </c>
      <c r="N15" s="3" t="b">
        <f>AND(J15, O15 = 0)</f>
        <v>0</v>
      </c>
      <c r="O15" s="3">
        <f>COUNTIFS(AccessDenialTests!C2:C999, A15)</f>
        <v>0</v>
      </c>
      <c r="P15" s="2" t="s">
        <v>9713</v>
      </c>
    </row>
    <row r="16">
      <c r="A16" s="2" t="s">
        <v>9734</v>
      </c>
      <c r="B16" s="3" t="str">
        <f>C16 &amp; " " &amp; E16 &amp; " " &amp; D16</f>
        <v>principal-controller SELECT ProcedureVersions</v>
      </c>
      <c r="C16" s="2" t="s">
        <v>9688</v>
      </c>
      <c r="D16" s="2" t="s">
        <v>1747</v>
      </c>
      <c r="E16" s="2" t="s">
        <v>9711</v>
      </c>
      <c r="F16" s="2" t="s">
        <v>9720</v>
      </c>
      <c r="G16" s="2" t="s">
        <v>168</v>
      </c>
      <c r="H16" s="2" t="s">
        <v>9721</v>
      </c>
      <c r="I16" s="2" t="b">
        <v>0</v>
      </c>
      <c r="J16" s="3" t="b">
        <f>OR(E16 = "INSERT", E16 = "UPDATE", E16 = "DELETE", E16 = "ALL")</f>
        <v>0</v>
      </c>
      <c r="K16" s="3" t="b">
        <f>F16 = ""</f>
        <v>0</v>
      </c>
      <c r="L16" s="3" t="b">
        <f>_xlfn.IFNA(INDEX(AccessPrincipals!G2:G999, MATCH(C16,AccessPrincipals!A2:A999, 0)), "")</f>
        <v>0</v>
      </c>
      <c r="M16" s="3" t="b">
        <f>AND(K16, NOT(L16))</f>
        <v>0</v>
      </c>
      <c r="N16" s="3" t="b">
        <f>AND(J16, O16 = 0)</f>
        <v>0</v>
      </c>
      <c r="O16" s="3">
        <f>COUNTIFS(AccessDenialTests!C2:C999, A16)</f>
        <v>0</v>
      </c>
      <c r="P16" s="2" t="s">
        <v>9713</v>
      </c>
    </row>
    <row r="17">
      <c r="A17" s="2" t="s">
        <v>9735</v>
      </c>
      <c r="B17" s="3" t="str">
        <f>C17 &amp; " " &amp; E17 &amp; " " &amp; D17</f>
        <v>principal-cfo SELECT ProcedureExecutions</v>
      </c>
      <c r="C17" s="2" t="s">
        <v>9690</v>
      </c>
      <c r="D17" s="2" t="s">
        <v>1804</v>
      </c>
      <c r="E17" s="2" t="s">
        <v>9711</v>
      </c>
      <c r="F17" s="2" t="s">
        <v>168</v>
      </c>
      <c r="G17" s="2" t="s">
        <v>168</v>
      </c>
      <c r="H17" s="2" t="s">
        <v>9736</v>
      </c>
      <c r="I17" s="2" t="b">
        <v>0</v>
      </c>
      <c r="J17" s="3" t="b">
        <f>OR(E17 = "INSERT", E17 = "UPDATE", E17 = "DELETE", E17 = "ALL")</f>
        <v>0</v>
      </c>
      <c r="K17" s="3" t="b">
        <f>F17 = ""</f>
        <v>1</v>
      </c>
      <c r="L17" s="3" t="b">
        <f>_xlfn.IFNA(INDEX(AccessPrincipals!G2:G999, MATCH(C17,AccessPrincipals!A2:A999, 0)), "")</f>
        <v>0</v>
      </c>
      <c r="M17" s="3" t="b">
        <f>AND(K17, NOT(L17))</f>
        <v>1</v>
      </c>
      <c r="N17" s="3" t="b">
        <f>AND(J17, O17 = 0)</f>
        <v>0</v>
      </c>
      <c r="O17" s="3">
        <f>COUNTIFS(AccessDenialTests!C2:C999, A17)</f>
        <v>0</v>
      </c>
      <c r="P17" s="2" t="s">
        <v>9713</v>
      </c>
    </row>
    <row r="18">
      <c r="A18" s="2" t="s">
        <v>9737</v>
      </c>
      <c r="B18" s="3" t="str">
        <f>C18 &amp; " " &amp; E18 &amp; " " &amp; D18</f>
        <v>principal-cfo SELECT Exceptions</v>
      </c>
      <c r="C18" s="2" t="s">
        <v>9690</v>
      </c>
      <c r="D18" s="2" t="s">
        <v>3095</v>
      </c>
      <c r="E18" s="2" t="s">
        <v>9711</v>
      </c>
      <c r="F18" s="2" t="s">
        <v>168</v>
      </c>
      <c r="G18" s="2" t="s">
        <v>168</v>
      </c>
      <c r="H18" s="2" t="s">
        <v>9736</v>
      </c>
      <c r="I18" s="2" t="b">
        <v>0</v>
      </c>
      <c r="J18" s="3" t="b">
        <f>OR(E18 = "INSERT", E18 = "UPDATE", E18 = "DELETE", E18 = "ALL")</f>
        <v>0</v>
      </c>
      <c r="K18" s="3" t="b">
        <f>F18 = ""</f>
        <v>1</v>
      </c>
      <c r="L18" s="3" t="b">
        <f>_xlfn.IFNA(INDEX(AccessPrincipals!G2:G999, MATCH(C18,AccessPrincipals!A2:A999, 0)), "")</f>
        <v>0</v>
      </c>
      <c r="M18" s="3" t="b">
        <f>AND(K18, NOT(L18))</f>
        <v>1</v>
      </c>
      <c r="N18" s="3" t="b">
        <f>AND(J18, O18 = 0)</f>
        <v>0</v>
      </c>
      <c r="O18" s="3">
        <f>COUNTIFS(AccessDenialTests!C2:C999, A18)</f>
        <v>0</v>
      </c>
      <c r="P18" s="2" t="s">
        <v>9713</v>
      </c>
    </row>
    <row r="19">
      <c r="A19" s="2" t="s">
        <v>9738</v>
      </c>
      <c r="B19" s="3" t="str">
        <f>C19 &amp; " " &amp; E19 &amp; " " &amp; D19</f>
        <v>principal-cfo SELECT ChangeRequests</v>
      </c>
      <c r="C19" s="2" t="s">
        <v>9690</v>
      </c>
      <c r="D19" s="2" t="s">
        <v>3848</v>
      </c>
      <c r="E19" s="2" t="s">
        <v>9711</v>
      </c>
      <c r="F19" s="2" t="s">
        <v>9728</v>
      </c>
      <c r="G19" s="2" t="s">
        <v>168</v>
      </c>
      <c r="H19" s="2" t="s">
        <v>9729</v>
      </c>
      <c r="I19" s="2" t="b">
        <v>1</v>
      </c>
      <c r="J19" s="3" t="b">
        <f>OR(E19 = "INSERT", E19 = "UPDATE", E19 = "DELETE", E19 = "ALL")</f>
        <v>0</v>
      </c>
      <c r="K19" s="3" t="b">
        <f>F19 = ""</f>
        <v>0</v>
      </c>
      <c r="L19" s="3" t="b">
        <f>_xlfn.IFNA(INDEX(AccessPrincipals!G2:G999, MATCH(C19,AccessPrincipals!A2:A999, 0)), "")</f>
        <v>0</v>
      </c>
      <c r="M19" s="3" t="b">
        <f>AND(K19, NOT(L19))</f>
        <v>0</v>
      </c>
      <c r="N19" s="3" t="b">
        <f>AND(J19, O19 = 0)</f>
        <v>0</v>
      </c>
      <c r="O19" s="3">
        <f>COUNTIFS(AccessDenialTests!C2:C999, A19)</f>
        <v>0</v>
      </c>
      <c r="P19" s="2" t="s">
        <v>9713</v>
      </c>
    </row>
    <row r="20">
      <c r="A20" s="2" t="s">
        <v>9739</v>
      </c>
      <c r="B20" s="3" t="str">
        <f>C20 &amp; " " &amp; E20 &amp; " " &amp; D20</f>
        <v>principal-cfo SELECT AuthorityBoundaries</v>
      </c>
      <c r="C20" s="2" t="s">
        <v>9690</v>
      </c>
      <c r="D20" s="2" t="s">
        <v>5065</v>
      </c>
      <c r="E20" s="2" t="s">
        <v>9711</v>
      </c>
      <c r="F20" s="2" t="s">
        <v>168</v>
      </c>
      <c r="G20" s="2" t="s">
        <v>168</v>
      </c>
      <c r="H20" s="2" t="s">
        <v>9736</v>
      </c>
      <c r="I20" s="2" t="b">
        <v>0</v>
      </c>
      <c r="J20" s="3" t="b">
        <f>OR(E20 = "INSERT", E20 = "UPDATE", E20 = "DELETE", E20 = "ALL")</f>
        <v>0</v>
      </c>
      <c r="K20" s="3" t="b">
        <f>F20 = ""</f>
        <v>1</v>
      </c>
      <c r="L20" s="3" t="b">
        <f>_xlfn.IFNA(INDEX(AccessPrincipals!G2:G999, MATCH(C20,AccessPrincipals!A2:A999, 0)), "")</f>
        <v>0</v>
      </c>
      <c r="M20" s="3" t="b">
        <f>AND(K20, NOT(L20))</f>
        <v>1</v>
      </c>
      <c r="N20" s="3" t="b">
        <f>AND(J20, O20 = 0)</f>
        <v>0</v>
      </c>
      <c r="O20" s="3">
        <f>COUNTIFS(AccessDenialTests!C2:C999, A20)</f>
        <v>0</v>
      </c>
      <c r="P20" s="2" t="s">
        <v>9713</v>
      </c>
    </row>
    <row r="21">
      <c r="A21" s="2" t="s">
        <v>9740</v>
      </c>
      <c r="B21" s="3" t="str">
        <f>C21 &amp; " " &amp; E21 &amp; " " &amp; D21</f>
        <v>principal-cfo SELECT Procedures</v>
      </c>
      <c r="C21" s="2" t="s">
        <v>9690</v>
      </c>
      <c r="D21" s="2" t="s">
        <v>1742</v>
      </c>
      <c r="E21" s="2" t="s">
        <v>9711</v>
      </c>
      <c r="F21" s="2" t="s">
        <v>168</v>
      </c>
      <c r="G21" s="2" t="s">
        <v>168</v>
      </c>
      <c r="H21" s="2" t="s">
        <v>9736</v>
      </c>
      <c r="I21" s="2" t="b">
        <v>0</v>
      </c>
      <c r="J21" s="3" t="b">
        <f>OR(E21 = "INSERT", E21 = "UPDATE", E21 = "DELETE", E21 = "ALL")</f>
        <v>0</v>
      </c>
      <c r="K21" s="3" t="b">
        <f>F21 = ""</f>
        <v>1</v>
      </c>
      <c r="L21" s="3" t="b">
        <f>_xlfn.IFNA(INDEX(AccessPrincipals!G2:G999, MATCH(C21,AccessPrincipals!A2:A999, 0)), "")</f>
        <v>0</v>
      </c>
      <c r="M21" s="3" t="b">
        <f>AND(K21, NOT(L21))</f>
        <v>1</v>
      </c>
      <c r="N21" s="3" t="b">
        <f>AND(J21, O21 = 0)</f>
        <v>0</v>
      </c>
      <c r="O21" s="3">
        <f>COUNTIFS(AccessDenialTests!C2:C999, A21)</f>
        <v>0</v>
      </c>
      <c r="P21" s="2" t="s">
        <v>9713</v>
      </c>
    </row>
    <row r="22">
      <c r="A22" s="2" t="s">
        <v>9741</v>
      </c>
      <c r="B22" s="3" t="str">
        <f>C22 &amp; " " &amp; E22 &amp; " " &amp; D22</f>
        <v>principal-hr-policy-owner SELECT Steps</v>
      </c>
      <c r="C22" s="2" t="s">
        <v>9692</v>
      </c>
      <c r="D22" s="2" t="s">
        <v>1758</v>
      </c>
      <c r="E22" s="2" t="s">
        <v>9711</v>
      </c>
      <c r="F22" s="2" t="s">
        <v>168</v>
      </c>
      <c r="G22" s="2" t="s">
        <v>168</v>
      </c>
      <c r="H22" s="2" t="s">
        <v>9742</v>
      </c>
      <c r="I22" s="2" t="b">
        <v>0</v>
      </c>
      <c r="J22" s="3" t="b">
        <f>OR(E22 = "INSERT", E22 = "UPDATE", E22 = "DELETE", E22 = "ALL")</f>
        <v>0</v>
      </c>
      <c r="K22" s="3" t="b">
        <f>F22 = ""</f>
        <v>1</v>
      </c>
      <c r="L22" s="3" t="b">
        <f>_xlfn.IFNA(INDEX(AccessPrincipals!G2:G999, MATCH(C22,AccessPrincipals!A2:A999, 0)), "")</f>
        <v>0</v>
      </c>
      <c r="M22" s="3" t="b">
        <f>AND(K22, NOT(L22))</f>
        <v>1</v>
      </c>
      <c r="N22" s="3" t="b">
        <f>AND(J22, O22 = 0)</f>
        <v>0</v>
      </c>
      <c r="O22" s="3">
        <f>COUNTIFS(AccessDenialTests!C2:C999, A22)</f>
        <v>0</v>
      </c>
      <c r="P22" s="2" t="s">
        <v>9713</v>
      </c>
    </row>
    <row r="23">
      <c r="A23" s="2" t="s">
        <v>9743</v>
      </c>
      <c r="B23" s="3" t="str">
        <f>C23 &amp; " " &amp; E23 &amp; " " &amp; D23</f>
        <v>principal-hr-policy-owner SELECT KnowledgeFragments</v>
      </c>
      <c r="C23" s="2" t="s">
        <v>9692</v>
      </c>
      <c r="D23" s="2" t="s">
        <v>1831</v>
      </c>
      <c r="E23" s="2" t="s">
        <v>9711</v>
      </c>
      <c r="F23" s="2" t="s">
        <v>9731</v>
      </c>
      <c r="G23" s="2" t="s">
        <v>168</v>
      </c>
      <c r="H23" s="2" t="s">
        <v>9732</v>
      </c>
      <c r="I23" s="2" t="b">
        <v>0</v>
      </c>
      <c r="J23" s="3" t="b">
        <f>OR(E23 = "INSERT", E23 = "UPDATE", E23 = "DELETE", E23 = "ALL")</f>
        <v>0</v>
      </c>
      <c r="K23" s="3" t="b">
        <f>F23 = ""</f>
        <v>0</v>
      </c>
      <c r="L23" s="3" t="b">
        <f>_xlfn.IFNA(INDEX(AccessPrincipals!G2:G999, MATCH(C23,AccessPrincipals!A2:A999, 0)), "")</f>
        <v>0</v>
      </c>
      <c r="M23" s="3" t="b">
        <f>AND(K23, NOT(L23))</f>
        <v>0</v>
      </c>
      <c r="N23" s="3" t="b">
        <f>AND(J23, O23 = 0)</f>
        <v>0</v>
      </c>
      <c r="O23" s="3">
        <f>COUNTIFS(AccessDenialTests!C2:C999, A23)</f>
        <v>0</v>
      </c>
      <c r="P23" s="2" t="s">
        <v>9713</v>
      </c>
    </row>
    <row r="24">
      <c r="A24" s="2" t="s">
        <v>9744</v>
      </c>
      <c r="B24" s="3" t="str">
        <f>C24 &amp; " " &amp; E24 &amp; " " &amp; D24</f>
        <v>principal-hr-policy-owner SELECT KnowledgeGaps</v>
      </c>
      <c r="C24" s="2" t="s">
        <v>9692</v>
      </c>
      <c r="D24" s="2" t="s">
        <v>3302</v>
      </c>
      <c r="E24" s="2" t="s">
        <v>9711</v>
      </c>
      <c r="F24" s="2" t="s">
        <v>9745</v>
      </c>
      <c r="G24" s="2" t="s">
        <v>168</v>
      </c>
      <c r="H24" s="2" t="s">
        <v>9746</v>
      </c>
      <c r="I24" s="2" t="b">
        <v>1</v>
      </c>
      <c r="J24" s="3" t="b">
        <f>OR(E24 = "INSERT", E24 = "UPDATE", E24 = "DELETE", E24 = "ALL")</f>
        <v>0</v>
      </c>
      <c r="K24" s="3" t="b">
        <f>F24 = ""</f>
        <v>0</v>
      </c>
      <c r="L24" s="3" t="b">
        <f>_xlfn.IFNA(INDEX(AccessPrincipals!G2:G999, MATCH(C24,AccessPrincipals!A2:A999, 0)), "")</f>
        <v>0</v>
      </c>
      <c r="M24" s="3" t="b">
        <f>AND(K24, NOT(L24))</f>
        <v>0</v>
      </c>
      <c r="N24" s="3" t="b">
        <f>AND(J24, O24 = 0)</f>
        <v>0</v>
      </c>
      <c r="O24" s="3">
        <f>COUNTIFS(AccessDenialTests!C2:C999, A24)</f>
        <v>2</v>
      </c>
      <c r="P24" s="2" t="s">
        <v>9713</v>
      </c>
    </row>
    <row r="25">
      <c r="A25" s="2" t="s">
        <v>9747</v>
      </c>
      <c r="B25" s="3" t="str">
        <f>C25 &amp; " " &amp; E25 &amp; " " &amp; D25</f>
        <v>principal-hr-policy-owner SELECT ChangeRequests</v>
      </c>
      <c r="C25" s="2" t="s">
        <v>9692</v>
      </c>
      <c r="D25" s="2" t="s">
        <v>3848</v>
      </c>
      <c r="E25" s="2" t="s">
        <v>9711</v>
      </c>
      <c r="F25" s="2" t="s">
        <v>9728</v>
      </c>
      <c r="G25" s="2" t="s">
        <v>168</v>
      </c>
      <c r="H25" s="2" t="s">
        <v>9729</v>
      </c>
      <c r="I25" s="2" t="b">
        <v>1</v>
      </c>
      <c r="J25" s="3" t="b">
        <f>OR(E25 = "INSERT", E25 = "UPDATE", E25 = "DELETE", E25 = "ALL")</f>
        <v>0</v>
      </c>
      <c r="K25" s="3" t="b">
        <f>F25 = ""</f>
        <v>0</v>
      </c>
      <c r="L25" s="3" t="b">
        <f>_xlfn.IFNA(INDEX(AccessPrincipals!G2:G999, MATCH(C25,AccessPrincipals!A2:A999, 0)), "")</f>
        <v>0</v>
      </c>
      <c r="M25" s="3" t="b">
        <f>AND(K25, NOT(L25))</f>
        <v>0</v>
      </c>
      <c r="N25" s="3" t="b">
        <f>AND(J25, O25 = 0)</f>
        <v>0</v>
      </c>
      <c r="O25" s="3">
        <f>COUNTIFS(AccessDenialTests!C2:C999, A25)</f>
        <v>0</v>
      </c>
      <c r="P25" s="2" t="s">
        <v>9713</v>
      </c>
    </row>
    <row r="26">
      <c r="A26" s="2" t="s">
        <v>9748</v>
      </c>
      <c r="B26" s="3" t="str">
        <f>C26 &amp; " " &amp; E26 &amp; " " &amp; D26</f>
        <v>principal-hr-policy-owner SELECT Exceptions</v>
      </c>
      <c r="C26" s="2" t="s">
        <v>9692</v>
      </c>
      <c r="D26" s="2" t="s">
        <v>3095</v>
      </c>
      <c r="E26" s="2" t="s">
        <v>9711</v>
      </c>
      <c r="F26" s="2" t="s">
        <v>168</v>
      </c>
      <c r="G26" s="2" t="s">
        <v>168</v>
      </c>
      <c r="H26" s="2" t="s">
        <v>9742</v>
      </c>
      <c r="I26" s="2" t="b">
        <v>0</v>
      </c>
      <c r="J26" s="3" t="b">
        <f>OR(E26 = "INSERT", E26 = "UPDATE", E26 = "DELETE", E26 = "ALL")</f>
        <v>0</v>
      </c>
      <c r="K26" s="3" t="b">
        <f>F26 = ""</f>
        <v>1</v>
      </c>
      <c r="L26" s="3" t="b">
        <f>_xlfn.IFNA(INDEX(AccessPrincipals!G2:G999, MATCH(C26,AccessPrincipals!A2:A999, 0)), "")</f>
        <v>0</v>
      </c>
      <c r="M26" s="3" t="b">
        <f>AND(K26, NOT(L26))</f>
        <v>1</v>
      </c>
      <c r="N26" s="3" t="b">
        <f>AND(J26, O26 = 0)</f>
        <v>0</v>
      </c>
      <c r="O26" s="3">
        <f>COUNTIFS(AccessDenialTests!C2:C999, A26)</f>
        <v>0</v>
      </c>
      <c r="P26" s="2" t="s">
        <v>9713</v>
      </c>
    </row>
    <row r="27">
      <c r="A27" s="2" t="s">
        <v>9749</v>
      </c>
      <c r="B27" s="3" t="str">
        <f>C27 &amp; " " &amp; E27 &amp; " " &amp; D27</f>
        <v>principal-hr-policy-owner SELECT MessageTemplates</v>
      </c>
      <c r="C27" s="2" t="s">
        <v>9692</v>
      </c>
      <c r="D27" s="2" t="s">
        <v>4021</v>
      </c>
      <c r="E27" s="2" t="s">
        <v>9711</v>
      </c>
      <c r="F27" s="2" t="s">
        <v>168</v>
      </c>
      <c r="G27" s="2" t="s">
        <v>168</v>
      </c>
      <c r="H27" s="2" t="s">
        <v>9742</v>
      </c>
      <c r="I27" s="2" t="b">
        <v>0</v>
      </c>
      <c r="J27" s="3" t="b">
        <f>OR(E27 = "INSERT", E27 = "UPDATE", E27 = "DELETE", E27 = "ALL")</f>
        <v>0</v>
      </c>
      <c r="K27" s="3" t="b">
        <f>F27 = ""</f>
        <v>1</v>
      </c>
      <c r="L27" s="3" t="b">
        <f>_xlfn.IFNA(INDEX(AccessPrincipals!G2:G999, MATCH(C27,AccessPrincipals!A2:A999, 0)), "")</f>
        <v>0</v>
      </c>
      <c r="M27" s="3" t="b">
        <f>AND(K27, NOT(L27))</f>
        <v>1</v>
      </c>
      <c r="N27" s="3" t="b">
        <f>AND(J27, O27 = 0)</f>
        <v>0</v>
      </c>
      <c r="O27" s="3">
        <f>COUNTIFS(AccessDenialTests!C2:C999, A27)</f>
        <v>0</v>
      </c>
      <c r="P27" s="2" t="s">
        <v>9713</v>
      </c>
    </row>
    <row r="28">
      <c r="A28" s="2" t="s">
        <v>9750</v>
      </c>
      <c r="B28" s="3" t="str">
        <f>C28 &amp; " " &amp; E28 &amp; " " &amp; D28</f>
        <v>principal-employment-counsel SELECT ChangeRequests</v>
      </c>
      <c r="C28" s="2" t="s">
        <v>9694</v>
      </c>
      <c r="D28" s="2" t="s">
        <v>3848</v>
      </c>
      <c r="E28" s="2" t="s">
        <v>9711</v>
      </c>
      <c r="F28" s="2" t="s">
        <v>9728</v>
      </c>
      <c r="G28" s="2" t="s">
        <v>168</v>
      </c>
      <c r="H28" s="2" t="s">
        <v>9729</v>
      </c>
      <c r="I28" s="2" t="b">
        <v>1</v>
      </c>
      <c r="J28" s="3" t="b">
        <f>OR(E28 = "INSERT", E28 = "UPDATE", E28 = "DELETE", E28 = "ALL")</f>
        <v>0</v>
      </c>
      <c r="K28" s="3" t="b">
        <f>F28 = ""</f>
        <v>0</v>
      </c>
      <c r="L28" s="3" t="b">
        <f>_xlfn.IFNA(INDEX(AccessPrincipals!G2:G999, MATCH(C28,AccessPrincipals!A2:A999, 0)), "")</f>
        <v>0</v>
      </c>
      <c r="M28" s="3" t="b">
        <f>AND(K28, NOT(L28))</f>
        <v>0</v>
      </c>
      <c r="N28" s="3" t="b">
        <f>AND(J28, O28 = 0)</f>
        <v>0</v>
      </c>
      <c r="O28" s="3">
        <f>COUNTIFS(AccessDenialTests!C2:C999, A28)</f>
        <v>0</v>
      </c>
      <c r="P28" s="2" t="s">
        <v>9713</v>
      </c>
    </row>
    <row r="29">
      <c r="A29" s="2" t="s">
        <v>9751</v>
      </c>
      <c r="B29" s="3" t="str">
        <f>C29 &amp; " " &amp; E29 &amp; " " &amp; D29</f>
        <v>principal-employment-counsel SELECT KnowledgeFragments</v>
      </c>
      <c r="C29" s="2" t="s">
        <v>9694</v>
      </c>
      <c r="D29" s="2" t="s">
        <v>1831</v>
      </c>
      <c r="E29" s="2" t="s">
        <v>9711</v>
      </c>
      <c r="F29" s="2" t="s">
        <v>9731</v>
      </c>
      <c r="G29" s="2" t="s">
        <v>168</v>
      </c>
      <c r="H29" s="2" t="s">
        <v>9732</v>
      </c>
      <c r="I29" s="2" t="b">
        <v>0</v>
      </c>
      <c r="J29" s="3" t="b">
        <f>OR(E29 = "INSERT", E29 = "UPDATE", E29 = "DELETE", E29 = "ALL")</f>
        <v>0</v>
      </c>
      <c r="K29" s="3" t="b">
        <f>F29 = ""</f>
        <v>0</v>
      </c>
      <c r="L29" s="3" t="b">
        <f>_xlfn.IFNA(INDEX(AccessPrincipals!G2:G999, MATCH(C29,AccessPrincipals!A2:A999, 0)), "")</f>
        <v>0</v>
      </c>
      <c r="M29" s="3" t="b">
        <f>AND(K29, NOT(L29))</f>
        <v>0</v>
      </c>
      <c r="N29" s="3" t="b">
        <f>AND(J29, O29 = 0)</f>
        <v>0</v>
      </c>
      <c r="O29" s="3">
        <f>COUNTIFS(AccessDenialTests!C2:C999, A29)</f>
        <v>2</v>
      </c>
      <c r="P29" s="2" t="s">
        <v>9713</v>
      </c>
    </row>
    <row r="30">
      <c r="A30" s="2" t="s">
        <v>9752</v>
      </c>
      <c r="B30" s="3" t="str">
        <f>C30 &amp; " " &amp; E30 &amp; " " &amp; D30</f>
        <v>principal-employment-counsel SELECT AuthorityBoundaries</v>
      </c>
      <c r="C30" s="2" t="s">
        <v>9694</v>
      </c>
      <c r="D30" s="2" t="s">
        <v>5065</v>
      </c>
      <c r="E30" s="2" t="s">
        <v>9711</v>
      </c>
      <c r="F30" s="2" t="s">
        <v>168</v>
      </c>
      <c r="G30" s="2" t="s">
        <v>168</v>
      </c>
      <c r="H30" s="2" t="s">
        <v>9753</v>
      </c>
      <c r="I30" s="2" t="b">
        <v>0</v>
      </c>
      <c r="J30" s="3" t="b">
        <f>OR(E30 = "INSERT", E30 = "UPDATE", E30 = "DELETE", E30 = "ALL")</f>
        <v>0</v>
      </c>
      <c r="K30" s="3" t="b">
        <f>F30 = ""</f>
        <v>1</v>
      </c>
      <c r="L30" s="3" t="b">
        <f>_xlfn.IFNA(INDEX(AccessPrincipals!G2:G999, MATCH(C30,AccessPrincipals!A2:A999, 0)), "")</f>
        <v>0</v>
      </c>
      <c r="M30" s="3" t="b">
        <f>AND(K30, NOT(L30))</f>
        <v>1</v>
      </c>
      <c r="N30" s="3" t="b">
        <f>AND(J30, O30 = 0)</f>
        <v>0</v>
      </c>
      <c r="O30" s="3">
        <f>COUNTIFS(AccessDenialTests!C2:C999, A30)</f>
        <v>0</v>
      </c>
      <c r="P30" s="2" t="s">
        <v>9713</v>
      </c>
    </row>
    <row r="31">
      <c r="A31" s="2" t="s">
        <v>9754</v>
      </c>
      <c r="B31" s="3" t="str">
        <f>C31 &amp; " " &amp; E31 &amp; " " &amp; D31</f>
        <v>principal-employment-counsel SELECT CommunicationPolicies</v>
      </c>
      <c r="C31" s="2" t="s">
        <v>9694</v>
      </c>
      <c r="D31" s="2" t="s">
        <v>1845</v>
      </c>
      <c r="E31" s="2" t="s">
        <v>9711</v>
      </c>
      <c r="F31" s="2" t="s">
        <v>168</v>
      </c>
      <c r="G31" s="2" t="s">
        <v>168</v>
      </c>
      <c r="H31" s="2" t="s">
        <v>9753</v>
      </c>
      <c r="I31" s="2" t="b">
        <v>0</v>
      </c>
      <c r="J31" s="3" t="b">
        <f>OR(E31 = "INSERT", E31 = "UPDATE", E31 = "DELETE", E31 = "ALL")</f>
        <v>0</v>
      </c>
      <c r="K31" s="3" t="b">
        <f>F31 = ""</f>
        <v>1</v>
      </c>
      <c r="L31" s="3" t="b">
        <f>_xlfn.IFNA(INDEX(AccessPrincipals!G2:G999, MATCH(C31,AccessPrincipals!A2:A999, 0)), "")</f>
        <v>0</v>
      </c>
      <c r="M31" s="3" t="b">
        <f>AND(K31, NOT(L31))</f>
        <v>1</v>
      </c>
      <c r="N31" s="3" t="b">
        <f>AND(J31, O31 = 0)</f>
        <v>0</v>
      </c>
      <c r="O31" s="3">
        <f>COUNTIFS(AccessDenialTests!C2:C999, A31)</f>
        <v>0</v>
      </c>
      <c r="P31" s="2" t="s">
        <v>9713</v>
      </c>
    </row>
    <row r="32">
      <c r="A32" s="2" t="s">
        <v>9755</v>
      </c>
      <c r="B32" s="3" t="str">
        <f>C32 &amp; " " &amp; E32 &amp; " " &amp; D32</f>
        <v>principal-employment-counsel SELECT Steps</v>
      </c>
      <c r="C32" s="2" t="s">
        <v>9694</v>
      </c>
      <c r="D32" s="2" t="s">
        <v>1758</v>
      </c>
      <c r="E32" s="2" t="s">
        <v>9711</v>
      </c>
      <c r="F32" s="2" t="s">
        <v>168</v>
      </c>
      <c r="G32" s="2" t="s">
        <v>168</v>
      </c>
      <c r="H32" s="2" t="s">
        <v>9753</v>
      </c>
      <c r="I32" s="2" t="b">
        <v>0</v>
      </c>
      <c r="J32" s="3" t="b">
        <f>OR(E32 = "INSERT", E32 = "UPDATE", E32 = "DELETE", E32 = "ALL")</f>
        <v>0</v>
      </c>
      <c r="K32" s="3" t="b">
        <f>F32 = ""</f>
        <v>1</v>
      </c>
      <c r="L32" s="3" t="b">
        <f>_xlfn.IFNA(INDEX(AccessPrincipals!G2:G999, MATCH(C32,AccessPrincipals!A2:A999, 0)), "")</f>
        <v>0</v>
      </c>
      <c r="M32" s="3" t="b">
        <f>AND(K32, NOT(L32))</f>
        <v>1</v>
      </c>
      <c r="N32" s="3" t="b">
        <f>AND(J32, O32 = 0)</f>
        <v>0</v>
      </c>
      <c r="O32" s="3">
        <f>COUNTIFS(AccessDenialTests!C2:C999, A32)</f>
        <v>0</v>
      </c>
      <c r="P32" s="2" t="s">
        <v>9713</v>
      </c>
    </row>
    <row r="33">
      <c r="A33" s="2" t="s">
        <v>9756</v>
      </c>
      <c r="B33" s="3" t="str">
        <f>C33 &amp; " " &amp; E33 &amp; " " &amp; D33</f>
        <v>principal-communications-manager SELECT CommunicationPolicies</v>
      </c>
      <c r="C33" s="2" t="s">
        <v>9696</v>
      </c>
      <c r="D33" s="2" t="s">
        <v>1845</v>
      </c>
      <c r="E33" s="2" t="s">
        <v>9711</v>
      </c>
      <c r="F33" s="2" t="s">
        <v>168</v>
      </c>
      <c r="G33" s="2" t="s">
        <v>168</v>
      </c>
      <c r="H33" s="2" t="s">
        <v>9757</v>
      </c>
      <c r="I33" s="2" t="b">
        <v>0</v>
      </c>
      <c r="J33" s="3" t="b">
        <f>OR(E33 = "INSERT", E33 = "UPDATE", E33 = "DELETE", E33 = "ALL")</f>
        <v>0</v>
      </c>
      <c r="K33" s="3" t="b">
        <f>F33 = ""</f>
        <v>1</v>
      </c>
      <c r="L33" s="3" t="b">
        <f>_xlfn.IFNA(INDEX(AccessPrincipals!G2:G999, MATCH(C33,AccessPrincipals!A2:A999, 0)), "")</f>
        <v>0</v>
      </c>
      <c r="M33" s="3" t="b">
        <f>AND(K33, NOT(L33))</f>
        <v>1</v>
      </c>
      <c r="N33" s="3" t="b">
        <f>AND(J33, O33 = 0)</f>
        <v>0</v>
      </c>
      <c r="O33" s="3">
        <f>COUNTIFS(AccessDenialTests!C2:C999, A33)</f>
        <v>0</v>
      </c>
      <c r="P33" s="2" t="s">
        <v>9713</v>
      </c>
    </row>
    <row r="34">
      <c r="A34" s="2" t="s">
        <v>9758</v>
      </c>
      <c r="B34" s="3" t="str">
        <f>C34 &amp; " " &amp; E34 &amp; " " &amp; D34</f>
        <v>principal-communications-manager SELECT MessageTemplates</v>
      </c>
      <c r="C34" s="2" t="s">
        <v>9696</v>
      </c>
      <c r="D34" s="2" t="s">
        <v>4021</v>
      </c>
      <c r="E34" s="2" t="s">
        <v>9711</v>
      </c>
      <c r="F34" s="2" t="s">
        <v>168</v>
      </c>
      <c r="G34" s="2" t="s">
        <v>168</v>
      </c>
      <c r="H34" s="2" t="s">
        <v>9757</v>
      </c>
      <c r="I34" s="2" t="b">
        <v>0</v>
      </c>
      <c r="J34" s="3" t="b">
        <f>OR(E34 = "INSERT", E34 = "UPDATE", E34 = "DELETE", E34 = "ALL")</f>
        <v>0</v>
      </c>
      <c r="K34" s="3" t="b">
        <f>F34 = ""</f>
        <v>1</v>
      </c>
      <c r="L34" s="3" t="b">
        <f>_xlfn.IFNA(INDEX(AccessPrincipals!G2:G999, MATCH(C34,AccessPrincipals!A2:A999, 0)), "")</f>
        <v>0</v>
      </c>
      <c r="M34" s="3" t="b">
        <f>AND(K34, NOT(L34))</f>
        <v>1</v>
      </c>
      <c r="N34" s="3" t="b">
        <f>AND(J34, O34 = 0)</f>
        <v>0</v>
      </c>
      <c r="O34" s="3">
        <f>COUNTIFS(AccessDenialTests!C2:C999, A34)</f>
        <v>0</v>
      </c>
      <c r="P34" s="2" t="s">
        <v>9713</v>
      </c>
    </row>
    <row r="35">
      <c r="A35" s="2" t="s">
        <v>9759</v>
      </c>
      <c r="B35" s="3" t="str">
        <f>C35 &amp; " " &amp; E35 &amp; " " &amp; D35</f>
        <v>principal-communications-manager SELECT SendIntents</v>
      </c>
      <c r="C35" s="2" t="s">
        <v>9696</v>
      </c>
      <c r="D35" s="2" t="s">
        <v>4662</v>
      </c>
      <c r="E35" s="2" t="s">
        <v>9711</v>
      </c>
      <c r="F35" s="2" t="s">
        <v>168</v>
      </c>
      <c r="G35" s="2" t="s">
        <v>168</v>
      </c>
      <c r="H35" s="2" t="s">
        <v>9757</v>
      </c>
      <c r="I35" s="2" t="b">
        <v>0</v>
      </c>
      <c r="J35" s="3" t="b">
        <f>OR(E35 = "INSERT", E35 = "UPDATE", E35 = "DELETE", E35 = "ALL")</f>
        <v>0</v>
      </c>
      <c r="K35" s="3" t="b">
        <f>F35 = ""</f>
        <v>1</v>
      </c>
      <c r="L35" s="3" t="b">
        <f>_xlfn.IFNA(INDEX(AccessPrincipals!G2:G999, MATCH(C35,AccessPrincipals!A2:A999, 0)), "")</f>
        <v>0</v>
      </c>
      <c r="M35" s="3" t="b">
        <f>AND(K35, NOT(L35))</f>
        <v>1</v>
      </c>
      <c r="N35" s="3" t="b">
        <f>AND(J35, O35 = 0)</f>
        <v>0</v>
      </c>
      <c r="O35" s="3">
        <f>COUNTIFS(AccessDenialTests!C2:C999, A35)</f>
        <v>0</v>
      </c>
      <c r="P35" s="2" t="s">
        <v>9713</v>
      </c>
    </row>
    <row r="36">
      <c r="A36" s="2" t="s">
        <v>9760</v>
      </c>
      <c r="B36" s="3" t="str">
        <f>C36 &amp; " " &amp; E36 &amp; " " &amp; D36</f>
        <v>principal-communications-manager SELECT MessageDeliveries</v>
      </c>
      <c r="C36" s="2" t="s">
        <v>9696</v>
      </c>
      <c r="D36" s="2" t="s">
        <v>4378</v>
      </c>
      <c r="E36" s="2" t="s">
        <v>9711</v>
      </c>
      <c r="F36" s="2" t="s">
        <v>168</v>
      </c>
      <c r="G36" s="2" t="s">
        <v>168</v>
      </c>
      <c r="H36" s="2" t="s">
        <v>9757</v>
      </c>
      <c r="I36" s="2" t="b">
        <v>0</v>
      </c>
      <c r="J36" s="3" t="b">
        <f>OR(E36 = "INSERT", E36 = "UPDATE", E36 = "DELETE", E36 = "ALL")</f>
        <v>0</v>
      </c>
      <c r="K36" s="3" t="b">
        <f>F36 = ""</f>
        <v>1</v>
      </c>
      <c r="L36" s="3" t="b">
        <f>_xlfn.IFNA(INDEX(AccessPrincipals!G2:G999, MATCH(C36,AccessPrincipals!A2:A999, 0)), "")</f>
        <v>0</v>
      </c>
      <c r="M36" s="3" t="b">
        <f>AND(K36, NOT(L36))</f>
        <v>1</v>
      </c>
      <c r="N36" s="3" t="b">
        <f>AND(J36, O36 = 0)</f>
        <v>0</v>
      </c>
      <c r="O36" s="3">
        <f>COUNTIFS(AccessDenialTests!C2:C999, A36)</f>
        <v>0</v>
      </c>
      <c r="P36" s="2" t="s">
        <v>9713</v>
      </c>
    </row>
    <row r="37">
      <c r="A37" s="2" t="s">
        <v>9761</v>
      </c>
      <c r="B37" s="3" t="str">
        <f>C37 &amp; " " &amp; E37 &amp; " " &amp; D37</f>
        <v>principal-communications-manager SELECT Recipients</v>
      </c>
      <c r="C37" s="2" t="s">
        <v>9696</v>
      </c>
      <c r="D37" s="2" t="s">
        <v>4346</v>
      </c>
      <c r="E37" s="2" t="s">
        <v>9711</v>
      </c>
      <c r="F37" s="2" t="s">
        <v>9762</v>
      </c>
      <c r="G37" s="2" t="s">
        <v>168</v>
      </c>
      <c r="H37" s="2" t="s">
        <v>9763</v>
      </c>
      <c r="I37" s="2" t="b">
        <v>0</v>
      </c>
      <c r="J37" s="3" t="b">
        <f>OR(E37 = "INSERT", E37 = "UPDATE", E37 = "DELETE", E37 = "ALL")</f>
        <v>0</v>
      </c>
      <c r="K37" s="3" t="b">
        <f>F37 = ""</f>
        <v>0</v>
      </c>
      <c r="L37" s="3" t="b">
        <f>_xlfn.IFNA(INDEX(AccessPrincipals!G2:G999, MATCH(C37,AccessPrincipals!A2:A999, 0)), "")</f>
        <v>0</v>
      </c>
      <c r="M37" s="3" t="b">
        <f>AND(K37, NOT(L37))</f>
        <v>0</v>
      </c>
      <c r="N37" s="3" t="b">
        <f>AND(J37, O37 = 0)</f>
        <v>0</v>
      </c>
      <c r="O37" s="3">
        <f>COUNTIFS(AccessDenialTests!C2:C999, A37)</f>
        <v>0</v>
      </c>
      <c r="P37" s="2" t="s">
        <v>9713</v>
      </c>
    </row>
    <row r="38">
      <c r="A38" s="2" t="s">
        <v>9764</v>
      </c>
      <c r="B38" s="3" t="str">
        <f>C38 &amp; " " &amp; E38 &amp; " " &amp; D38</f>
        <v>principal-communications-manager SELECT KnowledgeGaps</v>
      </c>
      <c r="C38" s="2" t="s">
        <v>9696</v>
      </c>
      <c r="D38" s="2" t="s">
        <v>3302</v>
      </c>
      <c r="E38" s="2" t="s">
        <v>9711</v>
      </c>
      <c r="F38" s="2" t="s">
        <v>9745</v>
      </c>
      <c r="G38" s="2" t="s">
        <v>168</v>
      </c>
      <c r="H38" s="2" t="s">
        <v>9746</v>
      </c>
      <c r="I38" s="2" t="b">
        <v>1</v>
      </c>
      <c r="J38" s="3" t="b">
        <f>OR(E38 = "INSERT", E38 = "UPDATE", E38 = "DELETE", E38 = "ALL")</f>
        <v>0</v>
      </c>
      <c r="K38" s="3" t="b">
        <f>F38 = ""</f>
        <v>0</v>
      </c>
      <c r="L38" s="3" t="b">
        <f>_xlfn.IFNA(INDEX(AccessPrincipals!G2:G999, MATCH(C38,AccessPrincipals!A2:A999, 0)), "")</f>
        <v>0</v>
      </c>
      <c r="M38" s="3" t="b">
        <f>AND(K38, NOT(L38))</f>
        <v>0</v>
      </c>
      <c r="N38" s="3" t="b">
        <f>AND(J38, O38 = 0)</f>
        <v>0</v>
      </c>
      <c r="O38" s="3">
        <f>COUNTIFS(AccessDenialTests!C2:C999, A38)</f>
        <v>0</v>
      </c>
      <c r="P38" s="2" t="s">
        <v>9713</v>
      </c>
    </row>
    <row r="39">
      <c r="A39" s="2" t="s">
        <v>9765</v>
      </c>
      <c r="B39" s="3" t="str">
        <f>C39 &amp; " " &amp; E39 &amp; " " &amp; D39</f>
        <v>principal-close-automation SELECT Steps</v>
      </c>
      <c r="C39" s="2" t="s">
        <v>9698</v>
      </c>
      <c r="D39" s="2" t="s">
        <v>1758</v>
      </c>
      <c r="E39" s="2" t="s">
        <v>9711</v>
      </c>
      <c r="F39" s="2" t="s">
        <v>168</v>
      </c>
      <c r="G39" s="2" t="s">
        <v>168</v>
      </c>
      <c r="H39" s="2" t="s">
        <v>9766</v>
      </c>
      <c r="I39" s="2" t="b">
        <v>0</v>
      </c>
      <c r="J39" s="3" t="b">
        <f>OR(E39 = "INSERT", E39 = "UPDATE", E39 = "DELETE", E39 = "ALL")</f>
        <v>0</v>
      </c>
      <c r="K39" s="3" t="b">
        <f>F39 = ""</f>
        <v>1</v>
      </c>
      <c r="L39" s="3" t="b">
        <f>_xlfn.IFNA(INDEX(AccessPrincipals!G2:G999, MATCH(C39,AccessPrincipals!A2:A999, 0)), "")</f>
        <v>0</v>
      </c>
      <c r="M39" s="3" t="b">
        <f>AND(K39, NOT(L39))</f>
        <v>1</v>
      </c>
      <c r="N39" s="3" t="b">
        <f>AND(J39, O39 = 0)</f>
        <v>0</v>
      </c>
      <c r="O39" s="3">
        <f>COUNTIFS(AccessDenialTests!C2:C999, A39)</f>
        <v>0</v>
      </c>
      <c r="P39" s="2" t="s">
        <v>9713</v>
      </c>
    </row>
    <row r="40">
      <c r="A40" s="2" t="s">
        <v>9767</v>
      </c>
      <c r="B40" s="3" t="str">
        <f>C40 &amp; " " &amp; E40 &amp; " " &amp; D40</f>
        <v>principal-close-automation SELECT StepExecutions</v>
      </c>
      <c r="C40" s="2" t="s">
        <v>9698</v>
      </c>
      <c r="D40" s="2" t="s">
        <v>1807</v>
      </c>
      <c r="E40" s="2" t="s">
        <v>9711</v>
      </c>
      <c r="F40" s="2" t="s">
        <v>168</v>
      </c>
      <c r="G40" s="2" t="s">
        <v>168</v>
      </c>
      <c r="H40" s="2" t="s">
        <v>9766</v>
      </c>
      <c r="I40" s="2" t="b">
        <v>0</v>
      </c>
      <c r="J40" s="3" t="b">
        <f>OR(E40 = "INSERT", E40 = "UPDATE", E40 = "DELETE", E40 = "ALL")</f>
        <v>0</v>
      </c>
      <c r="K40" s="3" t="b">
        <f>F40 = ""</f>
        <v>1</v>
      </c>
      <c r="L40" s="3" t="b">
        <f>_xlfn.IFNA(INDEX(AccessPrincipals!G2:G999, MATCH(C40,AccessPrincipals!A2:A999, 0)), "")</f>
        <v>0</v>
      </c>
      <c r="M40" s="3" t="b">
        <f>AND(K40, NOT(L40))</f>
        <v>1</v>
      </c>
      <c r="N40" s="3" t="b">
        <f>AND(J40, O40 = 0)</f>
        <v>0</v>
      </c>
      <c r="O40" s="3">
        <f>COUNTIFS(AccessDenialTests!C2:C999, A40)</f>
        <v>0</v>
      </c>
      <c r="P40" s="2" t="s">
        <v>9713</v>
      </c>
    </row>
    <row r="41">
      <c r="A41" s="2" t="s">
        <v>9768</v>
      </c>
      <c r="B41" s="3" t="str">
        <f>C41 &amp; " " &amp; E41 &amp; " " &amp; D41</f>
        <v>principal-close-automation SELECT Errors</v>
      </c>
      <c r="C41" s="2" t="s">
        <v>9698</v>
      </c>
      <c r="D41" s="2" t="s">
        <v>1813</v>
      </c>
      <c r="E41" s="2" t="s">
        <v>9711</v>
      </c>
      <c r="F41" s="2" t="s">
        <v>168</v>
      </c>
      <c r="G41" s="2" t="s">
        <v>168</v>
      </c>
      <c r="H41" s="2" t="s">
        <v>9766</v>
      </c>
      <c r="I41" s="2" t="b">
        <v>0</v>
      </c>
      <c r="J41" s="3" t="b">
        <f>OR(E41 = "INSERT", E41 = "UPDATE", E41 = "DELETE", E41 = "ALL")</f>
        <v>0</v>
      </c>
      <c r="K41" s="3" t="b">
        <f>F41 = ""</f>
        <v>1</v>
      </c>
      <c r="L41" s="3" t="b">
        <f>_xlfn.IFNA(INDEX(AccessPrincipals!G2:G999, MATCH(C41,AccessPrincipals!A2:A999, 0)), "")</f>
        <v>0</v>
      </c>
      <c r="M41" s="3" t="b">
        <f>AND(K41, NOT(L41))</f>
        <v>1</v>
      </c>
      <c r="N41" s="3" t="b">
        <f>AND(J41, O41 = 0)</f>
        <v>0</v>
      </c>
      <c r="O41" s="3">
        <f>COUNTIFS(AccessDenialTests!C2:C999, A41)</f>
        <v>0</v>
      </c>
      <c r="P41" s="2" t="s">
        <v>9713</v>
      </c>
    </row>
    <row r="42">
      <c r="A42" s="2" t="s">
        <v>9769</v>
      </c>
      <c r="B42" s="3" t="str">
        <f>C42 &amp; " " &amp; E42 &amp; " " &amp; D42</f>
        <v>principal-variance-review-agent SELECT Steps</v>
      </c>
      <c r="C42" s="2" t="s">
        <v>9700</v>
      </c>
      <c r="D42" s="2" t="s">
        <v>1758</v>
      </c>
      <c r="E42" s="2" t="s">
        <v>9711</v>
      </c>
      <c r="F42" s="2" t="s">
        <v>168</v>
      </c>
      <c r="G42" s="2" t="s">
        <v>168</v>
      </c>
      <c r="H42" s="2" t="s">
        <v>9770</v>
      </c>
      <c r="I42" s="2" t="b">
        <v>0</v>
      </c>
      <c r="J42" s="3" t="b">
        <f>OR(E42 = "INSERT", E42 = "UPDATE", E42 = "DELETE", E42 = "ALL")</f>
        <v>0</v>
      </c>
      <c r="K42" s="3" t="b">
        <f>F42 = ""</f>
        <v>1</v>
      </c>
      <c r="L42" s="3" t="b">
        <f>_xlfn.IFNA(INDEX(AccessPrincipals!G2:G999, MATCH(C42,AccessPrincipals!A2:A999, 0)), "")</f>
        <v>0</v>
      </c>
      <c r="M42" s="3" t="b">
        <f>AND(K42, NOT(L42))</f>
        <v>1</v>
      </c>
      <c r="N42" s="3" t="b">
        <f>AND(J42, O42 = 0)</f>
        <v>0</v>
      </c>
      <c r="O42" s="3">
        <f>COUNTIFS(AccessDenialTests!C2:C999, A42)</f>
        <v>0</v>
      </c>
      <c r="P42" s="2" t="s">
        <v>9713</v>
      </c>
    </row>
    <row r="43">
      <c r="A43" s="2" t="s">
        <v>9771</v>
      </c>
      <c r="B43" s="3" t="str">
        <f>C43 &amp; " " &amp; E43 &amp; " " &amp; D43</f>
        <v>principal-variance-review-agent SELECT StepExecutions</v>
      </c>
      <c r="C43" s="2" t="s">
        <v>9700</v>
      </c>
      <c r="D43" s="2" t="s">
        <v>1807</v>
      </c>
      <c r="E43" s="2" t="s">
        <v>9711</v>
      </c>
      <c r="F43" s="2" t="s">
        <v>168</v>
      </c>
      <c r="G43" s="2" t="s">
        <v>168</v>
      </c>
      <c r="H43" s="2" t="s">
        <v>9770</v>
      </c>
      <c r="I43" s="2" t="b">
        <v>0</v>
      </c>
      <c r="J43" s="3" t="b">
        <f>OR(E43 = "INSERT", E43 = "UPDATE", E43 = "DELETE", E43 = "ALL")</f>
        <v>0</v>
      </c>
      <c r="K43" s="3" t="b">
        <f>F43 = ""</f>
        <v>1</v>
      </c>
      <c r="L43" s="3" t="b">
        <f>_xlfn.IFNA(INDEX(AccessPrincipals!G2:G999, MATCH(C43,AccessPrincipals!A2:A999, 0)), "")</f>
        <v>0</v>
      </c>
      <c r="M43" s="3" t="b">
        <f>AND(K43, NOT(L43))</f>
        <v>1</v>
      </c>
      <c r="N43" s="3" t="b">
        <f>AND(J43, O43 = 0)</f>
        <v>0</v>
      </c>
      <c r="O43" s="3">
        <f>COUNTIFS(AccessDenialTests!C2:C999, A43)</f>
        <v>0</v>
      </c>
      <c r="P43" s="2" t="s">
        <v>9713</v>
      </c>
    </row>
    <row r="44">
      <c r="A44" s="2" t="s">
        <v>9772</v>
      </c>
      <c r="B44" s="3" t="str">
        <f>C44 &amp; " " &amp; E44 &amp; " " &amp; D44</f>
        <v>principal-variance-review-agent SELECT Requirements</v>
      </c>
      <c r="C44" s="2" t="s">
        <v>9700</v>
      </c>
      <c r="D44" s="2" t="s">
        <v>1785</v>
      </c>
      <c r="E44" s="2" t="s">
        <v>9711</v>
      </c>
      <c r="F44" s="2" t="s">
        <v>168</v>
      </c>
      <c r="G44" s="2" t="s">
        <v>168</v>
      </c>
      <c r="H44" s="2" t="s">
        <v>9770</v>
      </c>
      <c r="I44" s="2" t="b">
        <v>0</v>
      </c>
      <c r="J44" s="3" t="b">
        <f>OR(E44 = "INSERT", E44 = "UPDATE", E44 = "DELETE", E44 = "ALL")</f>
        <v>0</v>
      </c>
      <c r="K44" s="3" t="b">
        <f>F44 = ""</f>
        <v>1</v>
      </c>
      <c r="L44" s="3" t="b">
        <f>_xlfn.IFNA(INDEX(AccessPrincipals!G2:G999, MATCH(C44,AccessPrincipals!A2:A999, 0)), "")</f>
        <v>0</v>
      </c>
      <c r="M44" s="3" t="b">
        <f>AND(K44, NOT(L44))</f>
        <v>1</v>
      </c>
      <c r="N44" s="3" t="b">
        <f>AND(J44, O44 = 0)</f>
        <v>0</v>
      </c>
      <c r="O44" s="3">
        <f>COUNTIFS(AccessDenialTests!C2:C999, A44)</f>
        <v>0</v>
      </c>
      <c r="P44" s="2" t="s">
        <v>9713</v>
      </c>
    </row>
    <row r="45">
      <c r="A45" s="2" t="s">
        <v>9773</v>
      </c>
      <c r="B45" s="3" t="str">
        <f>C45 &amp; " " &amp; E45 &amp; " " &amp; D45</f>
        <v>principal-variance-review-agent SELECT RequirementSatisfactions</v>
      </c>
      <c r="C45" s="2" t="s">
        <v>9700</v>
      </c>
      <c r="D45" s="2" t="s">
        <v>1810</v>
      </c>
      <c r="E45" s="2" t="s">
        <v>9711</v>
      </c>
      <c r="F45" s="2" t="s">
        <v>168</v>
      </c>
      <c r="G45" s="2" t="s">
        <v>168</v>
      </c>
      <c r="H45" s="2" t="s">
        <v>9770</v>
      </c>
      <c r="I45" s="2" t="b">
        <v>0</v>
      </c>
      <c r="J45" s="3" t="b">
        <f>OR(E45 = "INSERT", E45 = "UPDATE", E45 = "DELETE", E45 = "ALL")</f>
        <v>0</v>
      </c>
      <c r="K45" s="3" t="b">
        <f>F45 = ""</f>
        <v>1</v>
      </c>
      <c r="L45" s="3" t="b">
        <f>_xlfn.IFNA(INDEX(AccessPrincipals!G2:G999, MATCH(C45,AccessPrincipals!A2:A999, 0)), "")</f>
        <v>0</v>
      </c>
      <c r="M45" s="3" t="b">
        <f>AND(K45, NOT(L45))</f>
        <v>1</v>
      </c>
      <c r="N45" s="3" t="b">
        <f>AND(J45, O45 = 0)</f>
        <v>0</v>
      </c>
      <c r="O45" s="3">
        <f>COUNTIFS(AccessDenialTests!C2:C999, A45)</f>
        <v>0</v>
      </c>
      <c r="P45" s="2" t="s">
        <v>9713</v>
      </c>
    </row>
    <row r="46">
      <c r="A46" s="2" t="s">
        <v>9774</v>
      </c>
      <c r="B46" s="3" t="str">
        <f>C46 &amp; " " &amp; E46 &amp; " " &amp; D46</f>
        <v>principal-variance-review-agent SELECT Errors</v>
      </c>
      <c r="C46" s="2" t="s">
        <v>9700</v>
      </c>
      <c r="D46" s="2" t="s">
        <v>1813</v>
      </c>
      <c r="E46" s="2" t="s">
        <v>9711</v>
      </c>
      <c r="F46" s="2" t="s">
        <v>168</v>
      </c>
      <c r="G46" s="2" t="s">
        <v>168</v>
      </c>
      <c r="H46" s="2" t="s">
        <v>9770</v>
      </c>
      <c r="I46" s="2" t="b">
        <v>0</v>
      </c>
      <c r="J46" s="3" t="b">
        <f>OR(E46 = "INSERT", E46 = "UPDATE", E46 = "DELETE", E46 = "ALL")</f>
        <v>0</v>
      </c>
      <c r="K46" s="3" t="b">
        <f>F46 = ""</f>
        <v>1</v>
      </c>
      <c r="L46" s="3" t="b">
        <f>_xlfn.IFNA(INDEX(AccessPrincipals!G2:G999, MATCH(C46,AccessPrincipals!A2:A999, 0)), "")</f>
        <v>0</v>
      </c>
      <c r="M46" s="3" t="b">
        <f>AND(K46, NOT(L46))</f>
        <v>1</v>
      </c>
      <c r="N46" s="3" t="b">
        <f>AND(J46, O46 = 0)</f>
        <v>0</v>
      </c>
      <c r="O46" s="3">
        <f>COUNTIFS(AccessDenialTests!C2:C999, A46)</f>
        <v>0</v>
      </c>
      <c r="P46" s="2" t="s">
        <v>9713</v>
      </c>
    </row>
    <row r="47">
      <c r="A47" s="2" t="s">
        <v>9775</v>
      </c>
      <c r="B47" s="3" t="str">
        <f>C47 &amp; " " &amp; E47 &amp; " " &amp; D47</f>
        <v>principal-policy-drafting-agent SELECT MessageTemplates</v>
      </c>
      <c r="C47" s="2" t="s">
        <v>9702</v>
      </c>
      <c r="D47" s="2" t="s">
        <v>4021</v>
      </c>
      <c r="E47" s="2" t="s">
        <v>9711</v>
      </c>
      <c r="F47" s="2" t="s">
        <v>168</v>
      </c>
      <c r="G47" s="2" t="s">
        <v>168</v>
      </c>
      <c r="H47" s="2" t="s">
        <v>9776</v>
      </c>
      <c r="I47" s="2" t="b">
        <v>0</v>
      </c>
      <c r="J47" s="3" t="b">
        <f>OR(E47 = "INSERT", E47 = "UPDATE", E47 = "DELETE", E47 = "ALL")</f>
        <v>0</v>
      </c>
      <c r="K47" s="3" t="b">
        <f>F47 = ""</f>
        <v>1</v>
      </c>
      <c r="L47" s="3" t="b">
        <f>_xlfn.IFNA(INDEX(AccessPrincipals!G2:G999, MATCH(C47,AccessPrincipals!A2:A999, 0)), "")</f>
        <v>0</v>
      </c>
      <c r="M47" s="3" t="b">
        <f>AND(K47, NOT(L47))</f>
        <v>1</v>
      </c>
      <c r="N47" s="3" t="b">
        <f>AND(J47, O47 = 0)</f>
        <v>0</v>
      </c>
      <c r="O47" s="3">
        <f>COUNTIFS(AccessDenialTests!C2:C999, A47)</f>
        <v>0</v>
      </c>
      <c r="P47" s="2" t="s">
        <v>9713</v>
      </c>
    </row>
    <row r="48">
      <c r="A48" s="2" t="s">
        <v>9777</v>
      </c>
      <c r="B48" s="3" t="str">
        <f>C48 &amp; " " &amp; E48 &amp; " " &amp; D48</f>
        <v>principal-policy-drafting-agent SELECT CommunicationPolicies</v>
      </c>
      <c r="C48" s="2" t="s">
        <v>9702</v>
      </c>
      <c r="D48" s="2" t="s">
        <v>1845</v>
      </c>
      <c r="E48" s="2" t="s">
        <v>9711</v>
      </c>
      <c r="F48" s="2" t="s">
        <v>168</v>
      </c>
      <c r="G48" s="2" t="s">
        <v>168</v>
      </c>
      <c r="H48" s="2" t="s">
        <v>9776</v>
      </c>
      <c r="I48" s="2" t="b">
        <v>0</v>
      </c>
      <c r="J48" s="3" t="b">
        <f>OR(E48 = "INSERT", E48 = "UPDATE", E48 = "DELETE", E48 = "ALL")</f>
        <v>0</v>
      </c>
      <c r="K48" s="3" t="b">
        <f>F48 = ""</f>
        <v>1</v>
      </c>
      <c r="L48" s="3" t="b">
        <f>_xlfn.IFNA(INDEX(AccessPrincipals!G2:G999, MATCH(C48,AccessPrincipals!A2:A999, 0)), "")</f>
        <v>0</v>
      </c>
      <c r="M48" s="3" t="b">
        <f>AND(K48, NOT(L48))</f>
        <v>1</v>
      </c>
      <c r="N48" s="3" t="b">
        <f>AND(J48, O48 = 0)</f>
        <v>0</v>
      </c>
      <c r="O48" s="3">
        <f>COUNTIFS(AccessDenialTests!C2:C999, A48)</f>
        <v>0</v>
      </c>
      <c r="P48" s="2" t="s">
        <v>9713</v>
      </c>
    </row>
    <row r="49">
      <c r="A49" s="2" t="s">
        <v>9778</v>
      </c>
      <c r="B49" s="3" t="str">
        <f>C49 &amp; " " &amp; E49 &amp; " " &amp; D49</f>
        <v>principal-policy-drafting-agent SELECT KnowledgeFragments</v>
      </c>
      <c r="C49" s="2" t="s">
        <v>9702</v>
      </c>
      <c r="D49" s="2" t="s">
        <v>1831</v>
      </c>
      <c r="E49" s="2" t="s">
        <v>9711</v>
      </c>
      <c r="F49" s="2" t="s">
        <v>9731</v>
      </c>
      <c r="G49" s="2" t="s">
        <v>168</v>
      </c>
      <c r="H49" s="2" t="s">
        <v>9732</v>
      </c>
      <c r="I49" s="2" t="b">
        <v>0</v>
      </c>
      <c r="J49" s="3" t="b">
        <f>OR(E49 = "INSERT", E49 = "UPDATE", E49 = "DELETE", E49 = "ALL")</f>
        <v>0</v>
      </c>
      <c r="K49" s="3" t="b">
        <f>F49 = ""</f>
        <v>0</v>
      </c>
      <c r="L49" s="3" t="b">
        <f>_xlfn.IFNA(INDEX(AccessPrincipals!G2:G999, MATCH(C49,AccessPrincipals!A2:A999, 0)), "")</f>
        <v>0</v>
      </c>
      <c r="M49" s="3" t="b">
        <f>AND(K49, NOT(L49))</f>
        <v>0</v>
      </c>
      <c r="N49" s="3" t="b">
        <f>AND(J49, O49 = 0)</f>
        <v>0</v>
      </c>
      <c r="O49" s="3">
        <f>COUNTIFS(AccessDenialTests!C2:C999, A49)</f>
        <v>0</v>
      </c>
      <c r="P49" s="2" t="s">
        <v>9713</v>
      </c>
    </row>
    <row r="50">
      <c r="A50" s="2" t="s">
        <v>9779</v>
      </c>
      <c r="B50" s="3" t="str">
        <f>C50 &amp; " " &amp; E50 &amp; " " &amp; D50</f>
        <v>principal-policy-drafting-agent SELECT Steps</v>
      </c>
      <c r="C50" s="2" t="s">
        <v>9702</v>
      </c>
      <c r="D50" s="2" t="s">
        <v>1758</v>
      </c>
      <c r="E50" s="2" t="s">
        <v>9711</v>
      </c>
      <c r="F50" s="2" t="s">
        <v>168</v>
      </c>
      <c r="G50" s="2" t="s">
        <v>168</v>
      </c>
      <c r="H50" s="2" t="s">
        <v>9776</v>
      </c>
      <c r="I50" s="2" t="b">
        <v>0</v>
      </c>
      <c r="J50" s="3" t="b">
        <f>OR(E50 = "INSERT", E50 = "UPDATE", E50 = "DELETE", E50 = "ALL")</f>
        <v>0</v>
      </c>
      <c r="K50" s="3" t="b">
        <f>F50 = ""</f>
        <v>1</v>
      </c>
      <c r="L50" s="3" t="b">
        <f>_xlfn.IFNA(INDEX(AccessPrincipals!G2:G999, MATCH(C50,AccessPrincipals!A2:A999, 0)), "")</f>
        <v>0</v>
      </c>
      <c r="M50" s="3" t="b">
        <f>AND(K50, NOT(L50))</f>
        <v>1</v>
      </c>
      <c r="N50" s="3" t="b">
        <f>AND(J50, O50 = 0)</f>
        <v>0</v>
      </c>
      <c r="O50" s="3">
        <f>COUNTIFS(AccessDenialTests!C2:C999, A50)</f>
        <v>0</v>
      </c>
      <c r="P50" s="2" t="s">
        <v>9713</v>
      </c>
    </row>
    <row r="51">
      <c r="A51" s="2" t="s">
        <v>9780</v>
      </c>
      <c r="B51" s="3" t="str">
        <f>C51 &amp; " " &amp; E51 &amp; " " &amp; D51</f>
        <v>principal-notification-publisher SELECT CommunicationPolicies</v>
      </c>
      <c r="C51" s="2" t="s">
        <v>9704</v>
      </c>
      <c r="D51" s="2" t="s">
        <v>1845</v>
      </c>
      <c r="E51" s="2" t="s">
        <v>9711</v>
      </c>
      <c r="F51" s="2" t="s">
        <v>168</v>
      </c>
      <c r="G51" s="2" t="s">
        <v>168</v>
      </c>
      <c r="H51" s="2" t="s">
        <v>9781</v>
      </c>
      <c r="I51" s="2" t="b">
        <v>0</v>
      </c>
      <c r="J51" s="3" t="b">
        <f>OR(E51 = "INSERT", E51 = "UPDATE", E51 = "DELETE", E51 = "ALL")</f>
        <v>0</v>
      </c>
      <c r="K51" s="3" t="b">
        <f>F51 = ""</f>
        <v>1</v>
      </c>
      <c r="L51" s="3" t="b">
        <f>_xlfn.IFNA(INDEX(AccessPrincipals!G2:G999, MATCH(C51,AccessPrincipals!A2:A999, 0)), "")</f>
        <v>0</v>
      </c>
      <c r="M51" s="3" t="b">
        <f>AND(K51, NOT(L51))</f>
        <v>1</v>
      </c>
      <c r="N51" s="3" t="b">
        <f>AND(J51, O51 = 0)</f>
        <v>0</v>
      </c>
      <c r="O51" s="3">
        <f>COUNTIFS(AccessDenialTests!C2:C999, A51)</f>
        <v>0</v>
      </c>
      <c r="P51" s="2" t="s">
        <v>9713</v>
      </c>
    </row>
    <row r="52">
      <c r="A52" s="2" t="s">
        <v>9782</v>
      </c>
      <c r="B52" s="3" t="str">
        <f>C52 &amp; " " &amp; E52 &amp; " " &amp; D52</f>
        <v>principal-notification-publisher SELECT SendIntents</v>
      </c>
      <c r="C52" s="2" t="s">
        <v>9704</v>
      </c>
      <c r="D52" s="2" t="s">
        <v>4662</v>
      </c>
      <c r="E52" s="2" t="s">
        <v>9711</v>
      </c>
      <c r="F52" s="2" t="s">
        <v>168</v>
      </c>
      <c r="G52" s="2" t="s">
        <v>168</v>
      </c>
      <c r="H52" s="2" t="s">
        <v>9781</v>
      </c>
      <c r="I52" s="2" t="b">
        <v>0</v>
      </c>
      <c r="J52" s="3" t="b">
        <f>OR(E52 = "INSERT", E52 = "UPDATE", E52 = "DELETE", E52 = "ALL")</f>
        <v>0</v>
      </c>
      <c r="K52" s="3" t="b">
        <f>F52 = ""</f>
        <v>1</v>
      </c>
      <c r="L52" s="3" t="b">
        <f>_xlfn.IFNA(INDEX(AccessPrincipals!G2:G999, MATCH(C52,AccessPrincipals!A2:A999, 0)), "")</f>
        <v>0</v>
      </c>
      <c r="M52" s="3" t="b">
        <f>AND(K52, NOT(L52))</f>
        <v>1</v>
      </c>
      <c r="N52" s="3" t="b">
        <f>AND(J52, O52 = 0)</f>
        <v>0</v>
      </c>
      <c r="O52" s="3">
        <f>COUNTIFS(AccessDenialTests!C2:C999, A52)</f>
        <v>0</v>
      </c>
      <c r="P52" s="2" t="s">
        <v>9713</v>
      </c>
    </row>
    <row r="53">
      <c r="A53" s="2" t="s">
        <v>9783</v>
      </c>
      <c r="B53" s="3" t="str">
        <f>C53 &amp; " " &amp; E53 &amp; " " &amp; D53</f>
        <v>principal-notification-publisher SELECT MessageDeliveries</v>
      </c>
      <c r="C53" s="2" t="s">
        <v>9704</v>
      </c>
      <c r="D53" s="2" t="s">
        <v>4378</v>
      </c>
      <c r="E53" s="2" t="s">
        <v>9711</v>
      </c>
      <c r="F53" s="2" t="s">
        <v>168</v>
      </c>
      <c r="G53" s="2" t="s">
        <v>168</v>
      </c>
      <c r="H53" s="2" t="s">
        <v>9781</v>
      </c>
      <c r="I53" s="2" t="b">
        <v>0</v>
      </c>
      <c r="J53" s="3" t="b">
        <f>OR(E53 = "INSERT", E53 = "UPDATE", E53 = "DELETE", E53 = "ALL")</f>
        <v>0</v>
      </c>
      <c r="K53" s="3" t="b">
        <f>F53 = ""</f>
        <v>1</v>
      </c>
      <c r="L53" s="3" t="b">
        <f>_xlfn.IFNA(INDEX(AccessPrincipals!G2:G999, MATCH(C53,AccessPrincipals!A2:A999, 0)), "")</f>
        <v>0</v>
      </c>
      <c r="M53" s="3" t="b">
        <f>AND(K53, NOT(L53))</f>
        <v>1</v>
      </c>
      <c r="N53" s="3" t="b">
        <f>AND(J53, O53 = 0)</f>
        <v>0</v>
      </c>
      <c r="O53" s="3">
        <f>COUNTIFS(AccessDenialTests!C2:C999, A53)</f>
        <v>0</v>
      </c>
      <c r="P53" s="2" t="s">
        <v>9713</v>
      </c>
    </row>
    <row r="54">
      <c r="A54" s="2" t="s">
        <v>9784</v>
      </c>
      <c r="B54" s="3" t="str">
        <f>C54 &amp; " " &amp; E54 &amp; " " &amp; D54</f>
        <v>principal-notification-publisher SELECT Recipients</v>
      </c>
      <c r="C54" s="2" t="s">
        <v>9704</v>
      </c>
      <c r="D54" s="2" t="s">
        <v>4346</v>
      </c>
      <c r="E54" s="2" t="s">
        <v>9711</v>
      </c>
      <c r="F54" s="2" t="s">
        <v>9762</v>
      </c>
      <c r="G54" s="2" t="s">
        <v>168</v>
      </c>
      <c r="H54" s="2" t="s">
        <v>9763</v>
      </c>
      <c r="I54" s="2" t="b">
        <v>0</v>
      </c>
      <c r="J54" s="3" t="b">
        <f>OR(E54 = "INSERT", E54 = "UPDATE", E54 = "DELETE", E54 = "ALL")</f>
        <v>0</v>
      </c>
      <c r="K54" s="3" t="b">
        <f>F54 = ""</f>
        <v>0</v>
      </c>
      <c r="L54" s="3" t="b">
        <f>_xlfn.IFNA(INDEX(AccessPrincipals!G2:G999, MATCH(C54,AccessPrincipals!A2:A999, 0)), "")</f>
        <v>0</v>
      </c>
      <c r="M54" s="3" t="b">
        <f>AND(K54, NOT(L54))</f>
        <v>0</v>
      </c>
      <c r="N54" s="3" t="b">
        <f>AND(J54, O54 = 0)</f>
        <v>0</v>
      </c>
      <c r="O54" s="3">
        <f>COUNTIFS(AccessDenialTests!C2:C999, A54)</f>
        <v>0</v>
      </c>
      <c r="P54" s="2" t="s">
        <v>9713</v>
      </c>
    </row>
    <row r="55">
      <c r="A55" s="2" t="s">
        <v>9785</v>
      </c>
      <c r="B55" s="3" t="str">
        <f>C55 &amp; " " &amp; E55 &amp; " " &amp; D55</f>
        <v>principal-notification-publisher SELECT Steps</v>
      </c>
      <c r="C55" s="2" t="s">
        <v>9704</v>
      </c>
      <c r="D55" s="2" t="s">
        <v>1758</v>
      </c>
      <c r="E55" s="2" t="s">
        <v>9711</v>
      </c>
      <c r="F55" s="2" t="s">
        <v>168</v>
      </c>
      <c r="G55" s="2" t="s">
        <v>168</v>
      </c>
      <c r="H55" s="2" t="s">
        <v>9781</v>
      </c>
      <c r="I55" s="2" t="b">
        <v>0</v>
      </c>
      <c r="J55" s="3" t="b">
        <f>OR(E55 = "INSERT", E55 = "UPDATE", E55 = "DELETE", E55 = "ALL")</f>
        <v>0</v>
      </c>
      <c r="K55" s="3" t="b">
        <f>F55 = ""</f>
        <v>1</v>
      </c>
      <c r="L55" s="3" t="b">
        <f>_xlfn.IFNA(INDEX(AccessPrincipals!G2:G999, MATCH(C55,AccessPrincipals!A2:A999, 0)), "")</f>
        <v>0</v>
      </c>
      <c r="M55" s="3" t="b">
        <f>AND(K55, NOT(L55))</f>
        <v>1</v>
      </c>
      <c r="N55" s="3" t="b">
        <f>AND(J55, O55 = 0)</f>
        <v>0</v>
      </c>
      <c r="O55" s="3">
        <f>COUNTIFS(AccessDenialTests!C2:C999, A55)</f>
        <v>0</v>
      </c>
      <c r="P55" s="2" t="s">
        <v>9713</v>
      </c>
    </row>
    <row r="56">
      <c r="A56" s="2" t="s">
        <v>9786</v>
      </c>
      <c r="B56" s="3" t="str">
        <f>C56 &amp; " " &amp; E56 &amp; " " &amp; D56</f>
        <v>principal-process-steward SELECT Actions</v>
      </c>
      <c r="C56" s="2" t="s">
        <v>9706</v>
      </c>
      <c r="D56" s="2" t="s">
        <v>1776</v>
      </c>
      <c r="E56" s="2" t="s">
        <v>9711</v>
      </c>
      <c r="F56" s="2" t="s">
        <v>168</v>
      </c>
      <c r="G56" s="2" t="s">
        <v>168</v>
      </c>
      <c r="H56" s="2" t="s">
        <v>9787</v>
      </c>
      <c r="I56" s="2" t="b">
        <v>0</v>
      </c>
      <c r="J56" s="3" t="b">
        <f>OR(E56 = "INSERT", E56 = "UPDATE", E56 = "DELETE", E56 = "ALL")</f>
        <v>0</v>
      </c>
      <c r="K56" s="3" t="b">
        <f>F56 = ""</f>
        <v>1</v>
      </c>
      <c r="L56" s="3" t="b">
        <f>_xlfn.IFNA(INDEX(AccessPrincipals!G2:G999, MATCH(C56,AccessPrincipals!A2:A999, 0)), "")</f>
        <v>1</v>
      </c>
      <c r="M56" s="3" t="b">
        <f>AND(K56, NOT(L56))</f>
        <v>0</v>
      </c>
      <c r="N56" s="3" t="b">
        <f>AND(J56, O56 = 0)</f>
        <v>0</v>
      </c>
      <c r="O56" s="3">
        <f>COUNTIFS(AccessDenialTests!C2:C999, A56)</f>
        <v>0</v>
      </c>
      <c r="P56" s="2" t="s">
        <v>9713</v>
      </c>
    </row>
    <row r="57">
      <c r="A57" s="2" t="s">
        <v>9788</v>
      </c>
      <c r="B57" s="3" t="str">
        <f>C57 &amp; " " &amp; E57 &amp; " " &amp; D57</f>
        <v>principal-process-steward SELECT AgentDecisionRecords</v>
      </c>
      <c r="C57" s="2" t="s">
        <v>9706</v>
      </c>
      <c r="D57" s="2" t="s">
        <v>4928</v>
      </c>
      <c r="E57" s="2" t="s">
        <v>9711</v>
      </c>
      <c r="F57" s="2" t="s">
        <v>168</v>
      </c>
      <c r="G57" s="2" t="s">
        <v>168</v>
      </c>
      <c r="H57" s="2" t="s">
        <v>9787</v>
      </c>
      <c r="I57" s="2" t="b">
        <v>0</v>
      </c>
      <c r="J57" s="3" t="b">
        <f>OR(E57 = "INSERT", E57 = "UPDATE", E57 = "DELETE", E57 = "ALL")</f>
        <v>0</v>
      </c>
      <c r="K57" s="3" t="b">
        <f>F57 = ""</f>
        <v>1</v>
      </c>
      <c r="L57" s="3" t="b">
        <f>_xlfn.IFNA(INDEX(AccessPrincipals!G2:G999, MATCH(C57,AccessPrincipals!A2:A999, 0)), "")</f>
        <v>1</v>
      </c>
      <c r="M57" s="3" t="b">
        <f>AND(K57, NOT(L57))</f>
        <v>0</v>
      </c>
      <c r="N57" s="3" t="b">
        <f>AND(J57, O57 = 0)</f>
        <v>0</v>
      </c>
      <c r="O57" s="3">
        <f>COUNTIFS(AccessDenialTests!C2:C999, A57)</f>
        <v>0</v>
      </c>
      <c r="P57" s="2" t="s">
        <v>9713</v>
      </c>
    </row>
    <row r="58">
      <c r="A58" s="2" t="s">
        <v>9789</v>
      </c>
      <c r="B58" s="3" t="str">
        <f>C58 &amp; " " &amp; E58 &amp; " " &amp; D58</f>
        <v>principal-process-steward SELECT Agents</v>
      </c>
      <c r="C58" s="2" t="s">
        <v>9706</v>
      </c>
      <c r="D58" s="2" t="s">
        <v>1794</v>
      </c>
      <c r="E58" s="2" t="s">
        <v>9711</v>
      </c>
      <c r="F58" s="2" t="s">
        <v>168</v>
      </c>
      <c r="G58" s="2" t="s">
        <v>168</v>
      </c>
      <c r="H58" s="2" t="s">
        <v>9787</v>
      </c>
      <c r="I58" s="2" t="b">
        <v>0</v>
      </c>
      <c r="J58" s="3" t="b">
        <f>OR(E58 = "INSERT", E58 = "UPDATE", E58 = "DELETE", E58 = "ALL")</f>
        <v>0</v>
      </c>
      <c r="K58" s="3" t="b">
        <f>F58 = ""</f>
        <v>1</v>
      </c>
      <c r="L58" s="3" t="b">
        <f>_xlfn.IFNA(INDEX(AccessPrincipals!G2:G999, MATCH(C58,AccessPrincipals!A2:A999, 0)), "")</f>
        <v>1</v>
      </c>
      <c r="M58" s="3" t="b">
        <f>AND(K58, NOT(L58))</f>
        <v>0</v>
      </c>
      <c r="N58" s="3" t="b">
        <f>AND(J58, O58 = 0)</f>
        <v>0</v>
      </c>
      <c r="O58" s="3">
        <f>COUNTIFS(AccessDenialTests!C2:C999, A58)</f>
        <v>0</v>
      </c>
      <c r="P58" s="2" t="s">
        <v>9713</v>
      </c>
    </row>
    <row r="59">
      <c r="A59" s="2" t="s">
        <v>9790</v>
      </c>
      <c r="B59" s="3" t="str">
        <f>C59 &amp; " " &amp; E59 &amp; " " &amp; D59</f>
        <v>principal-process-steward SELECT AppNavGroups</v>
      </c>
      <c r="C59" s="2" t="s">
        <v>9706</v>
      </c>
      <c r="D59" s="2" t="s">
        <v>1853</v>
      </c>
      <c r="E59" s="2" t="s">
        <v>9711</v>
      </c>
      <c r="F59" s="2" t="s">
        <v>168</v>
      </c>
      <c r="G59" s="2" t="s">
        <v>168</v>
      </c>
      <c r="H59" s="2" t="s">
        <v>9787</v>
      </c>
      <c r="I59" s="2" t="b">
        <v>0</v>
      </c>
      <c r="J59" s="3" t="b">
        <f>OR(E59 = "INSERT", E59 = "UPDATE", E59 = "DELETE", E59 = "ALL")</f>
        <v>0</v>
      </c>
      <c r="K59" s="3" t="b">
        <f>F59 = ""</f>
        <v>1</v>
      </c>
      <c r="L59" s="3" t="b">
        <f>_xlfn.IFNA(INDEX(AccessPrincipals!G2:G999, MATCH(C59,AccessPrincipals!A2:A999, 0)), "")</f>
        <v>1</v>
      </c>
      <c r="M59" s="3" t="b">
        <f>AND(K59, NOT(L59))</f>
        <v>0</v>
      </c>
      <c r="N59" s="3" t="b">
        <f>AND(J59, O59 = 0)</f>
        <v>0</v>
      </c>
      <c r="O59" s="3">
        <f>COUNTIFS(AccessDenialTests!C2:C999, A59)</f>
        <v>0</v>
      </c>
      <c r="P59" s="2" t="s">
        <v>9713</v>
      </c>
    </row>
    <row r="60">
      <c r="A60" s="2" t="s">
        <v>9791</v>
      </c>
      <c r="B60" s="3" t="str">
        <f>C60 &amp; " " &amp; E60 &amp; " " &amp; D60</f>
        <v>principal-process-steward SELECT AppRoleProfiles</v>
      </c>
      <c r="C60" s="2" t="s">
        <v>9706</v>
      </c>
      <c r="D60" s="2" t="s">
        <v>1849</v>
      </c>
      <c r="E60" s="2" t="s">
        <v>9711</v>
      </c>
      <c r="F60" s="2" t="s">
        <v>168</v>
      </c>
      <c r="G60" s="2" t="s">
        <v>168</v>
      </c>
      <c r="H60" s="2" t="s">
        <v>9787</v>
      </c>
      <c r="I60" s="2" t="b">
        <v>0</v>
      </c>
      <c r="J60" s="3" t="b">
        <f>OR(E60 = "INSERT", E60 = "UPDATE", E60 = "DELETE", E60 = "ALL")</f>
        <v>0</v>
      </c>
      <c r="K60" s="3" t="b">
        <f>F60 = ""</f>
        <v>1</v>
      </c>
      <c r="L60" s="3" t="b">
        <f>_xlfn.IFNA(INDEX(AccessPrincipals!G2:G999, MATCH(C60,AccessPrincipals!A2:A999, 0)), "")</f>
        <v>1</v>
      </c>
      <c r="M60" s="3" t="b">
        <f>AND(K60, NOT(L60))</f>
        <v>0</v>
      </c>
      <c r="N60" s="3" t="b">
        <f>AND(J60, O60 = 0)</f>
        <v>0</v>
      </c>
      <c r="O60" s="3">
        <f>COUNTIFS(AccessDenialTests!C2:C999, A60)</f>
        <v>0</v>
      </c>
      <c r="P60" s="2" t="s">
        <v>9713</v>
      </c>
    </row>
    <row r="61">
      <c r="A61" s="2" t="s">
        <v>9792</v>
      </c>
      <c r="B61" s="3" t="str">
        <f>C61 &amp; " " &amp; E61 &amp; " " &amp; D61</f>
        <v>principal-process-steward SELECT AppRouteQuestions</v>
      </c>
      <c r="C61" s="2" t="s">
        <v>9706</v>
      </c>
      <c r="D61" s="2" t="s">
        <v>1861</v>
      </c>
      <c r="E61" s="2" t="s">
        <v>9711</v>
      </c>
      <c r="F61" s="2" t="s">
        <v>168</v>
      </c>
      <c r="G61" s="2" t="s">
        <v>168</v>
      </c>
      <c r="H61" s="2" t="s">
        <v>9787</v>
      </c>
      <c r="I61" s="2" t="b">
        <v>0</v>
      </c>
      <c r="J61" s="3" t="b">
        <f>OR(E61 = "INSERT", E61 = "UPDATE", E61 = "DELETE", E61 = "ALL")</f>
        <v>0</v>
      </c>
      <c r="K61" s="3" t="b">
        <f>F61 = ""</f>
        <v>1</v>
      </c>
      <c r="L61" s="3" t="b">
        <f>_xlfn.IFNA(INDEX(AccessPrincipals!G2:G999, MATCH(C61,AccessPrincipals!A2:A999, 0)), "")</f>
        <v>1</v>
      </c>
      <c r="M61" s="3" t="b">
        <f>AND(K61, NOT(L61))</f>
        <v>0</v>
      </c>
      <c r="N61" s="3" t="b">
        <f>AND(J61, O61 = 0)</f>
        <v>0</v>
      </c>
      <c r="O61" s="3">
        <f>COUNTIFS(AccessDenialTests!C2:C999, A61)</f>
        <v>0</v>
      </c>
      <c r="P61" s="2" t="s">
        <v>9713</v>
      </c>
    </row>
    <row r="62">
      <c r="A62" s="2" t="s">
        <v>9793</v>
      </c>
      <c r="B62" s="3" t="str">
        <f>C62 &amp; " " &amp; E62 &amp; " " &amp; D62</f>
        <v>principal-process-steward SELECT AppRouteReferences</v>
      </c>
      <c r="C62" s="2" t="s">
        <v>9706</v>
      </c>
      <c r="D62" s="2" t="s">
        <v>1865</v>
      </c>
      <c r="E62" s="2" t="s">
        <v>9711</v>
      </c>
      <c r="F62" s="2" t="s">
        <v>168</v>
      </c>
      <c r="G62" s="2" t="s">
        <v>168</v>
      </c>
      <c r="H62" s="2" t="s">
        <v>9787</v>
      </c>
      <c r="I62" s="2" t="b">
        <v>0</v>
      </c>
      <c r="J62" s="3" t="b">
        <f>OR(E62 = "INSERT", E62 = "UPDATE", E62 = "DELETE", E62 = "ALL")</f>
        <v>0</v>
      </c>
      <c r="K62" s="3" t="b">
        <f>F62 = ""</f>
        <v>1</v>
      </c>
      <c r="L62" s="3" t="b">
        <f>_xlfn.IFNA(INDEX(AccessPrincipals!G2:G999, MATCH(C62,AccessPrincipals!A2:A999, 0)), "")</f>
        <v>1</v>
      </c>
      <c r="M62" s="3" t="b">
        <f>AND(K62, NOT(L62))</f>
        <v>0</v>
      </c>
      <c r="N62" s="3" t="b">
        <f>AND(J62, O62 = 0)</f>
        <v>0</v>
      </c>
      <c r="O62" s="3">
        <f>COUNTIFS(AccessDenialTests!C2:C999, A62)</f>
        <v>0</v>
      </c>
      <c r="P62" s="2" t="s">
        <v>9713</v>
      </c>
    </row>
    <row r="63">
      <c r="A63" s="2" t="s">
        <v>9794</v>
      </c>
      <c r="B63" s="3" t="str">
        <f>C63 &amp; " " &amp; E63 &amp; " " &amp; D63</f>
        <v>principal-process-steward SELECT AppRoutes</v>
      </c>
      <c r="C63" s="2" t="s">
        <v>9706</v>
      </c>
      <c r="D63" s="2" t="s">
        <v>1857</v>
      </c>
      <c r="E63" s="2" t="s">
        <v>9711</v>
      </c>
      <c r="F63" s="2" t="s">
        <v>168</v>
      </c>
      <c r="G63" s="2" t="s">
        <v>168</v>
      </c>
      <c r="H63" s="2" t="s">
        <v>9787</v>
      </c>
      <c r="I63" s="2" t="b">
        <v>0</v>
      </c>
      <c r="J63" s="3" t="b">
        <f>OR(E63 = "INSERT", E63 = "UPDATE", E63 = "DELETE", E63 = "ALL")</f>
        <v>0</v>
      </c>
      <c r="K63" s="3" t="b">
        <f>F63 = ""</f>
        <v>1</v>
      </c>
      <c r="L63" s="3" t="b">
        <f>_xlfn.IFNA(INDEX(AccessPrincipals!G2:G999, MATCH(C63,AccessPrincipals!A2:A999, 0)), "")</f>
        <v>1</v>
      </c>
      <c r="M63" s="3" t="b">
        <f>AND(K63, NOT(L63))</f>
        <v>0</v>
      </c>
      <c r="N63" s="3" t="b">
        <f>AND(J63, O63 = 0)</f>
        <v>0</v>
      </c>
      <c r="O63" s="3">
        <f>COUNTIFS(AccessDenialTests!C2:C999, A63)</f>
        <v>0</v>
      </c>
      <c r="P63" s="2" t="s">
        <v>9713</v>
      </c>
    </row>
    <row r="64">
      <c r="A64" s="2" t="s">
        <v>9795</v>
      </c>
      <c r="B64" s="3" t="str">
        <f>C64 &amp; " " &amp; E64 &amp; " " &amp; D64</f>
        <v>principal-process-steward SELECT Attestations</v>
      </c>
      <c r="C64" s="2" t="s">
        <v>9706</v>
      </c>
      <c r="D64" s="2" t="s">
        <v>5169</v>
      </c>
      <c r="E64" s="2" t="s">
        <v>9711</v>
      </c>
      <c r="F64" s="2" t="s">
        <v>168</v>
      </c>
      <c r="G64" s="2" t="s">
        <v>168</v>
      </c>
      <c r="H64" s="2" t="s">
        <v>9787</v>
      </c>
      <c r="I64" s="2" t="b">
        <v>0</v>
      </c>
      <c r="J64" s="3" t="b">
        <f>OR(E64 = "INSERT", E64 = "UPDATE", E64 = "DELETE", E64 = "ALL")</f>
        <v>0</v>
      </c>
      <c r="K64" s="3" t="b">
        <f>F64 = ""</f>
        <v>1</v>
      </c>
      <c r="L64" s="3" t="b">
        <f>_xlfn.IFNA(INDEX(AccessPrincipals!G2:G999, MATCH(C64,AccessPrincipals!A2:A999, 0)), "")</f>
        <v>1</v>
      </c>
      <c r="M64" s="3" t="b">
        <f>AND(K64, NOT(L64))</f>
        <v>0</v>
      </c>
      <c r="N64" s="3" t="b">
        <f>AND(J64, O64 = 0)</f>
        <v>0</v>
      </c>
      <c r="O64" s="3">
        <f>COUNTIFS(AccessDenialTests!C2:C999, A64)</f>
        <v>0</v>
      </c>
      <c r="P64" s="2" t="s">
        <v>9713</v>
      </c>
    </row>
    <row r="65">
      <c r="A65" s="2" t="s">
        <v>9796</v>
      </c>
      <c r="B65" s="3" t="str">
        <f>C65 &amp; " " &amp; E65 &amp; " " &amp; D65</f>
        <v>principal-process-steward SELECT AuthorityBoundaries</v>
      </c>
      <c r="C65" s="2" t="s">
        <v>9706</v>
      </c>
      <c r="D65" s="2" t="s">
        <v>5065</v>
      </c>
      <c r="E65" s="2" t="s">
        <v>9711</v>
      </c>
      <c r="F65" s="2" t="s">
        <v>168</v>
      </c>
      <c r="G65" s="2" t="s">
        <v>168</v>
      </c>
      <c r="H65" s="2" t="s">
        <v>9787</v>
      </c>
      <c r="I65" s="2" t="b">
        <v>0</v>
      </c>
      <c r="J65" s="3" t="b">
        <f>OR(E65 = "INSERT", E65 = "UPDATE", E65 = "DELETE", E65 = "ALL")</f>
        <v>0</v>
      </c>
      <c r="K65" s="3" t="b">
        <f>F65 = ""</f>
        <v>1</v>
      </c>
      <c r="L65" s="3" t="b">
        <f>_xlfn.IFNA(INDEX(AccessPrincipals!G2:G999, MATCH(C65,AccessPrincipals!A2:A999, 0)), "")</f>
        <v>1</v>
      </c>
      <c r="M65" s="3" t="b">
        <f>AND(K65, NOT(L65))</f>
        <v>0</v>
      </c>
      <c r="N65" s="3" t="b">
        <f>AND(J65, O65 = 0)</f>
        <v>0</v>
      </c>
      <c r="O65" s="3">
        <f>COUNTIFS(AccessDenialTests!C2:C999, A65)</f>
        <v>0</v>
      </c>
      <c r="P65" s="2" t="s">
        <v>9713</v>
      </c>
    </row>
    <row r="66">
      <c r="A66" s="2" t="s">
        <v>9797</v>
      </c>
      <c r="B66" s="3" t="str">
        <f>C66 &amp; " " &amp; E66 &amp; " " &amp; D66</f>
        <v>principal-process-steward SELECT BindingObservations</v>
      </c>
      <c r="C66" s="2" t="s">
        <v>9706</v>
      </c>
      <c r="D66" s="2" t="s">
        <v>5142</v>
      </c>
      <c r="E66" s="2" t="s">
        <v>9711</v>
      </c>
      <c r="F66" s="2" t="s">
        <v>168</v>
      </c>
      <c r="G66" s="2" t="s">
        <v>168</v>
      </c>
      <c r="H66" s="2" t="s">
        <v>9787</v>
      </c>
      <c r="I66" s="2" t="b">
        <v>0</v>
      </c>
      <c r="J66" s="3" t="b">
        <f>OR(E66 = "INSERT", E66 = "UPDATE", E66 = "DELETE", E66 = "ALL")</f>
        <v>0</v>
      </c>
      <c r="K66" s="3" t="b">
        <f>F66 = ""</f>
        <v>1</v>
      </c>
      <c r="L66" s="3" t="b">
        <f>_xlfn.IFNA(INDEX(AccessPrincipals!G2:G999, MATCH(C66,AccessPrincipals!A2:A999, 0)), "")</f>
        <v>1</v>
      </c>
      <c r="M66" s="3" t="b">
        <f>AND(K66, NOT(L66))</f>
        <v>0</v>
      </c>
      <c r="N66" s="3" t="b">
        <f>AND(J66, O66 = 0)</f>
        <v>0</v>
      </c>
      <c r="O66" s="3">
        <f>COUNTIFS(AccessDenialTests!C2:C999, A66)</f>
        <v>0</v>
      </c>
      <c r="P66" s="2" t="s">
        <v>9713</v>
      </c>
    </row>
    <row r="67">
      <c r="A67" s="2" t="s">
        <v>9798</v>
      </c>
      <c r="B67" s="3" t="str">
        <f>C67 &amp; " " &amp; E67 &amp; " " &amp; D67</f>
        <v>principal-process-steward SELECT ChangeRequests</v>
      </c>
      <c r="C67" s="2" t="s">
        <v>9706</v>
      </c>
      <c r="D67" s="2" t="s">
        <v>3848</v>
      </c>
      <c r="E67" s="2" t="s">
        <v>9711</v>
      </c>
      <c r="F67" s="2" t="s">
        <v>168</v>
      </c>
      <c r="G67" s="2" t="s">
        <v>168</v>
      </c>
      <c r="H67" s="2" t="s">
        <v>9787</v>
      </c>
      <c r="I67" s="2" t="b">
        <v>0</v>
      </c>
      <c r="J67" s="3" t="b">
        <f>OR(E67 = "INSERT", E67 = "UPDATE", E67 = "DELETE", E67 = "ALL")</f>
        <v>0</v>
      </c>
      <c r="K67" s="3" t="b">
        <f>F67 = ""</f>
        <v>1</v>
      </c>
      <c r="L67" s="3" t="b">
        <f>_xlfn.IFNA(INDEX(AccessPrincipals!G2:G999, MATCH(C67,AccessPrincipals!A2:A999, 0)), "")</f>
        <v>1</v>
      </c>
      <c r="M67" s="3" t="b">
        <f>AND(K67, NOT(L67))</f>
        <v>0</v>
      </c>
      <c r="N67" s="3" t="b">
        <f>AND(J67, O67 = 0)</f>
        <v>0</v>
      </c>
      <c r="O67" s="3">
        <f>COUNTIFS(AccessDenialTests!C2:C999, A67)</f>
        <v>0</v>
      </c>
      <c r="P67" s="2" t="s">
        <v>9713</v>
      </c>
    </row>
    <row r="68">
      <c r="A68" s="2" t="s">
        <v>9799</v>
      </c>
      <c r="B68" s="3" t="str">
        <f>C68 &amp; " " &amp; E68 &amp; " " &amp; D68</f>
        <v>principal-process-steward SELECT CommunicationPolicies</v>
      </c>
      <c r="C68" s="2" t="s">
        <v>9706</v>
      </c>
      <c r="D68" s="2" t="s">
        <v>1845</v>
      </c>
      <c r="E68" s="2" t="s">
        <v>9711</v>
      </c>
      <c r="F68" s="2" t="s">
        <v>168</v>
      </c>
      <c r="G68" s="2" t="s">
        <v>168</v>
      </c>
      <c r="H68" s="2" t="s">
        <v>9787</v>
      </c>
      <c r="I68" s="2" t="b">
        <v>0</v>
      </c>
      <c r="J68" s="3" t="b">
        <f>OR(E68 = "INSERT", E68 = "UPDATE", E68 = "DELETE", E68 = "ALL")</f>
        <v>0</v>
      </c>
      <c r="K68" s="3" t="b">
        <f>F68 = ""</f>
        <v>1</v>
      </c>
      <c r="L68" s="3" t="b">
        <f>_xlfn.IFNA(INDEX(AccessPrincipals!G2:G999, MATCH(C68,AccessPrincipals!A2:A999, 0)), "")</f>
        <v>1</v>
      </c>
      <c r="M68" s="3" t="b">
        <f>AND(K68, NOT(L68))</f>
        <v>0</v>
      </c>
      <c r="N68" s="3" t="b">
        <f>AND(J68, O68 = 0)</f>
        <v>0</v>
      </c>
      <c r="O68" s="3">
        <f>COUNTIFS(AccessDenialTests!C2:C999, A68)</f>
        <v>0</v>
      </c>
      <c r="P68" s="2" t="s">
        <v>9713</v>
      </c>
    </row>
    <row r="69">
      <c r="A69" s="2" t="s">
        <v>9800</v>
      </c>
      <c r="B69" s="3" t="str">
        <f>C69 &amp; " " &amp; E69 &amp; " " &amp; D69</f>
        <v>principal-process-steward SELECT CommunitiesOfPractice</v>
      </c>
      <c r="C69" s="2" t="s">
        <v>9706</v>
      </c>
      <c r="D69" s="2" t="s">
        <v>2624</v>
      </c>
      <c r="E69" s="2" t="s">
        <v>9711</v>
      </c>
      <c r="F69" s="2" t="s">
        <v>168</v>
      </c>
      <c r="G69" s="2" t="s">
        <v>168</v>
      </c>
      <c r="H69" s="2" t="s">
        <v>9787</v>
      </c>
      <c r="I69" s="2" t="b">
        <v>0</v>
      </c>
      <c r="J69" s="3" t="b">
        <f>OR(E69 = "INSERT", E69 = "UPDATE", E69 = "DELETE", E69 = "ALL")</f>
        <v>0</v>
      </c>
      <c r="K69" s="3" t="b">
        <f>F69 = ""</f>
        <v>1</v>
      </c>
      <c r="L69" s="3" t="b">
        <f>_xlfn.IFNA(INDEX(AccessPrincipals!G2:G999, MATCH(C69,AccessPrincipals!A2:A999, 0)), "")</f>
        <v>1</v>
      </c>
      <c r="M69" s="3" t="b">
        <f>AND(K69, NOT(L69))</f>
        <v>0</v>
      </c>
      <c r="N69" s="3" t="b">
        <f>AND(J69, O69 = 0)</f>
        <v>0</v>
      </c>
      <c r="O69" s="3">
        <f>COUNTIFS(AccessDenialTests!C2:C999, A69)</f>
        <v>0</v>
      </c>
      <c r="P69" s="2" t="s">
        <v>9713</v>
      </c>
    </row>
    <row r="70">
      <c r="A70" s="2" t="s">
        <v>9801</v>
      </c>
      <c r="B70" s="3" t="str">
        <f>C70 &amp; " " &amp; E70 &amp; " " &amp; D70</f>
        <v>principal-process-steward SELECT DeliveredCommunications</v>
      </c>
      <c r="C70" s="2" t="s">
        <v>9706</v>
      </c>
      <c r="D70" s="2" t="s">
        <v>5029</v>
      </c>
      <c r="E70" s="2" t="s">
        <v>9711</v>
      </c>
      <c r="F70" s="2" t="s">
        <v>168</v>
      </c>
      <c r="G70" s="2" t="s">
        <v>168</v>
      </c>
      <c r="H70" s="2" t="s">
        <v>9787</v>
      </c>
      <c r="I70" s="2" t="b">
        <v>0</v>
      </c>
      <c r="J70" s="3" t="b">
        <f>OR(E70 = "INSERT", E70 = "UPDATE", E70 = "DELETE", E70 = "ALL")</f>
        <v>0</v>
      </c>
      <c r="K70" s="3" t="b">
        <f>F70 = ""</f>
        <v>1</v>
      </c>
      <c r="L70" s="3" t="b">
        <f>_xlfn.IFNA(INDEX(AccessPrincipals!G2:G999, MATCH(C70,AccessPrincipals!A2:A999, 0)), "")</f>
        <v>1</v>
      </c>
      <c r="M70" s="3" t="b">
        <f>AND(K70, NOT(L70))</f>
        <v>0</v>
      </c>
      <c r="N70" s="3" t="b">
        <f>AND(J70, O70 = 0)</f>
        <v>0</v>
      </c>
      <c r="O70" s="3">
        <f>COUNTIFS(AccessDenialTests!C2:C999, A70)</f>
        <v>0</v>
      </c>
      <c r="P70" s="2" t="s">
        <v>9713</v>
      </c>
    </row>
    <row r="71">
      <c r="A71" s="2" t="s">
        <v>9802</v>
      </c>
      <c r="B71" s="3" t="str">
        <f>C71 &amp; " " &amp; E71 &amp; " " &amp; D71</f>
        <v>principal-process-steward SELECT ElicitationSessions</v>
      </c>
      <c r="C71" s="2" t="s">
        <v>9706</v>
      </c>
      <c r="D71" s="2" t="s">
        <v>1835</v>
      </c>
      <c r="E71" s="2" t="s">
        <v>9711</v>
      </c>
      <c r="F71" s="2" t="s">
        <v>168</v>
      </c>
      <c r="G71" s="2" t="s">
        <v>168</v>
      </c>
      <c r="H71" s="2" t="s">
        <v>9787</v>
      </c>
      <c r="I71" s="2" t="b">
        <v>0</v>
      </c>
      <c r="J71" s="3" t="b">
        <f>OR(E71 = "INSERT", E71 = "UPDATE", E71 = "DELETE", E71 = "ALL")</f>
        <v>0</v>
      </c>
      <c r="K71" s="3" t="b">
        <f>F71 = ""</f>
        <v>1</v>
      </c>
      <c r="L71" s="3" t="b">
        <f>_xlfn.IFNA(INDEX(AccessPrincipals!G2:G999, MATCH(C71,AccessPrincipals!A2:A999, 0)), "")</f>
        <v>1</v>
      </c>
      <c r="M71" s="3" t="b">
        <f>AND(K71, NOT(L71))</f>
        <v>0</v>
      </c>
      <c r="N71" s="3" t="b">
        <f>AND(J71, O71 = 0)</f>
        <v>0</v>
      </c>
      <c r="O71" s="3">
        <f>COUNTIFS(AccessDenialTests!C2:C999, A71)</f>
        <v>0</v>
      </c>
      <c r="P71" s="2" t="s">
        <v>9713</v>
      </c>
    </row>
    <row r="72">
      <c r="A72" s="2" t="s">
        <v>9803</v>
      </c>
      <c r="B72" s="3" t="str">
        <f>C72 &amp; " " &amp; E72 &amp; " " &amp; D72</f>
        <v>principal-process-steward SELECT Errors</v>
      </c>
      <c r="C72" s="2" t="s">
        <v>9706</v>
      </c>
      <c r="D72" s="2" t="s">
        <v>1813</v>
      </c>
      <c r="E72" s="2" t="s">
        <v>9711</v>
      </c>
      <c r="F72" s="2" t="s">
        <v>168</v>
      </c>
      <c r="G72" s="2" t="s">
        <v>168</v>
      </c>
      <c r="H72" s="2" t="s">
        <v>9787</v>
      </c>
      <c r="I72" s="2" t="b">
        <v>0</v>
      </c>
      <c r="J72" s="3" t="b">
        <f>OR(E72 = "INSERT", E72 = "UPDATE", E72 = "DELETE", E72 = "ALL")</f>
        <v>0</v>
      </c>
      <c r="K72" s="3" t="b">
        <f>F72 = ""</f>
        <v>1</v>
      </c>
      <c r="L72" s="3" t="b">
        <f>_xlfn.IFNA(INDEX(AccessPrincipals!G2:G999, MATCH(C72,AccessPrincipals!A2:A999, 0)), "")</f>
        <v>1</v>
      </c>
      <c r="M72" s="3" t="b">
        <f>AND(K72, NOT(L72))</f>
        <v>0</v>
      </c>
      <c r="N72" s="3" t="b">
        <f>AND(J72, O72 = 0)</f>
        <v>0</v>
      </c>
      <c r="O72" s="3">
        <f>COUNTIFS(AccessDenialTests!C2:C999, A72)</f>
        <v>0</v>
      </c>
      <c r="P72" s="2" t="s">
        <v>9713</v>
      </c>
    </row>
    <row r="73">
      <c r="A73" s="2" t="s">
        <v>9804</v>
      </c>
      <c r="B73" s="3" t="str">
        <f>C73 &amp; " " &amp; E73 &amp; " " &amp; D73</f>
        <v>principal-process-steward SELECT EvaluationContexts</v>
      </c>
      <c r="C73" s="2" t="s">
        <v>9706</v>
      </c>
      <c r="D73" s="2" t="s">
        <v>2413</v>
      </c>
      <c r="E73" s="2" t="s">
        <v>9711</v>
      </c>
      <c r="F73" s="2" t="s">
        <v>168</v>
      </c>
      <c r="G73" s="2" t="s">
        <v>168</v>
      </c>
      <c r="H73" s="2" t="s">
        <v>9787</v>
      </c>
      <c r="I73" s="2" t="b">
        <v>0</v>
      </c>
      <c r="J73" s="3" t="b">
        <f>OR(E73 = "INSERT", E73 = "UPDATE", E73 = "DELETE", E73 = "ALL")</f>
        <v>0</v>
      </c>
      <c r="K73" s="3" t="b">
        <f>F73 = ""</f>
        <v>1</v>
      </c>
      <c r="L73" s="3" t="b">
        <f>_xlfn.IFNA(INDEX(AccessPrincipals!G2:G999, MATCH(C73,AccessPrincipals!A2:A999, 0)), "")</f>
        <v>1</v>
      </c>
      <c r="M73" s="3" t="b">
        <f>AND(K73, NOT(L73))</f>
        <v>0</v>
      </c>
      <c r="N73" s="3" t="b">
        <f>AND(J73, O73 = 0)</f>
        <v>0</v>
      </c>
      <c r="O73" s="3">
        <f>COUNTIFS(AccessDenialTests!C2:C999, A73)</f>
        <v>0</v>
      </c>
      <c r="P73" s="2" t="s">
        <v>9713</v>
      </c>
    </row>
    <row r="74">
      <c r="A74" s="2" t="s">
        <v>9805</v>
      </c>
      <c r="B74" s="3" t="str">
        <f>C74 &amp; " " &amp; E74 &amp; " " &amp; D74</f>
        <v>principal-process-steward SELECT ExceptionInvocations</v>
      </c>
      <c r="C74" s="2" t="s">
        <v>9706</v>
      </c>
      <c r="D74" s="2" t="s">
        <v>4221</v>
      </c>
      <c r="E74" s="2" t="s">
        <v>9711</v>
      </c>
      <c r="F74" s="2" t="s">
        <v>168</v>
      </c>
      <c r="G74" s="2" t="s">
        <v>168</v>
      </c>
      <c r="H74" s="2" t="s">
        <v>9787</v>
      </c>
      <c r="I74" s="2" t="b">
        <v>0</v>
      </c>
      <c r="J74" s="3" t="b">
        <f>OR(E74 = "INSERT", E74 = "UPDATE", E74 = "DELETE", E74 = "ALL")</f>
        <v>0</v>
      </c>
      <c r="K74" s="3" t="b">
        <f>F74 = ""</f>
        <v>1</v>
      </c>
      <c r="L74" s="3" t="b">
        <f>_xlfn.IFNA(INDEX(AccessPrincipals!G2:G999, MATCH(C74,AccessPrincipals!A2:A999, 0)), "")</f>
        <v>1</v>
      </c>
      <c r="M74" s="3" t="b">
        <f>AND(K74, NOT(L74))</f>
        <v>0</v>
      </c>
      <c r="N74" s="3" t="b">
        <f>AND(J74, O74 = 0)</f>
        <v>0</v>
      </c>
      <c r="O74" s="3">
        <f>COUNTIFS(AccessDenialTests!C2:C999, A74)</f>
        <v>0</v>
      </c>
      <c r="P74" s="2" t="s">
        <v>9713</v>
      </c>
    </row>
    <row r="75">
      <c r="A75" s="2" t="s">
        <v>9806</v>
      </c>
      <c r="B75" s="3" t="str">
        <f>C75 &amp; " " &amp; E75 &amp; " " &amp; D75</f>
        <v>principal-process-steward SELECT Exceptions</v>
      </c>
      <c r="C75" s="2" t="s">
        <v>9706</v>
      </c>
      <c r="D75" s="2" t="s">
        <v>3095</v>
      </c>
      <c r="E75" s="2" t="s">
        <v>9711</v>
      </c>
      <c r="F75" s="2" t="s">
        <v>168</v>
      </c>
      <c r="G75" s="2" t="s">
        <v>168</v>
      </c>
      <c r="H75" s="2" t="s">
        <v>9787</v>
      </c>
      <c r="I75" s="2" t="b">
        <v>0</v>
      </c>
      <c r="J75" s="3" t="b">
        <f>OR(E75 = "INSERT", E75 = "UPDATE", E75 = "DELETE", E75 = "ALL")</f>
        <v>0</v>
      </c>
      <c r="K75" s="3" t="b">
        <f>F75 = ""</f>
        <v>1</v>
      </c>
      <c r="L75" s="3" t="b">
        <f>_xlfn.IFNA(INDEX(AccessPrincipals!G2:G999, MATCH(C75,AccessPrincipals!A2:A999, 0)), "")</f>
        <v>1</v>
      </c>
      <c r="M75" s="3" t="b">
        <f>AND(K75, NOT(L75))</f>
        <v>0</v>
      </c>
      <c r="N75" s="3" t="b">
        <f>AND(J75, O75 = 0)</f>
        <v>0</v>
      </c>
      <c r="O75" s="3">
        <f>COUNTIFS(AccessDenialTests!C2:C999, A75)</f>
        <v>0</v>
      </c>
      <c r="P75" s="2" t="s">
        <v>9713</v>
      </c>
    </row>
    <row r="76">
      <c r="A76" s="2" t="s">
        <v>9807</v>
      </c>
      <c r="B76" s="3" t="str">
        <f>C76 &amp; " " &amp; E76 &amp; " " &amp; D76</f>
        <v>principal-process-steward SELECT Explanations</v>
      </c>
      <c r="C76" s="2" t="s">
        <v>9706</v>
      </c>
      <c r="D76" s="2" t="s">
        <v>1828</v>
      </c>
      <c r="E76" s="2" t="s">
        <v>9711</v>
      </c>
      <c r="F76" s="2" t="s">
        <v>168</v>
      </c>
      <c r="G76" s="2" t="s">
        <v>168</v>
      </c>
      <c r="H76" s="2" t="s">
        <v>9787</v>
      </c>
      <c r="I76" s="2" t="b">
        <v>0</v>
      </c>
      <c r="J76" s="3" t="b">
        <f>OR(E76 = "INSERT", E76 = "UPDATE", E76 = "DELETE", E76 = "ALL")</f>
        <v>0</v>
      </c>
      <c r="K76" s="3" t="b">
        <f>F76 = ""</f>
        <v>1</v>
      </c>
      <c r="L76" s="3" t="b">
        <f>_xlfn.IFNA(INDEX(AccessPrincipals!G2:G999, MATCH(C76,AccessPrincipals!A2:A999, 0)), "")</f>
        <v>1</v>
      </c>
      <c r="M76" s="3" t="b">
        <f>AND(K76, NOT(L76))</f>
        <v>0</v>
      </c>
      <c r="N76" s="3" t="b">
        <f>AND(J76, O76 = 0)</f>
        <v>0</v>
      </c>
      <c r="O76" s="3">
        <f>COUNTIFS(AccessDenialTests!C2:C999, A76)</f>
        <v>0</v>
      </c>
      <c r="P76" s="2" t="s">
        <v>9713</v>
      </c>
    </row>
    <row r="77">
      <c r="A77" s="2" t="s">
        <v>9808</v>
      </c>
      <c r="B77" s="3" t="str">
        <f>C77 &amp; " " &amp; E77 &amp; " " &amp; D77</f>
        <v>principal-process-steward SELECT Functions</v>
      </c>
      <c r="C77" s="2" t="s">
        <v>9706</v>
      </c>
      <c r="D77" s="2" t="s">
        <v>1779</v>
      </c>
      <c r="E77" s="2" t="s">
        <v>9711</v>
      </c>
      <c r="F77" s="2" t="s">
        <v>168</v>
      </c>
      <c r="G77" s="2" t="s">
        <v>168</v>
      </c>
      <c r="H77" s="2" t="s">
        <v>9787</v>
      </c>
      <c r="I77" s="2" t="b">
        <v>0</v>
      </c>
      <c r="J77" s="3" t="b">
        <f>OR(E77 = "INSERT", E77 = "UPDATE", E77 = "DELETE", E77 = "ALL")</f>
        <v>0</v>
      </c>
      <c r="K77" s="3" t="b">
        <f>F77 = ""</f>
        <v>1</v>
      </c>
      <c r="L77" s="3" t="b">
        <f>_xlfn.IFNA(INDEX(AccessPrincipals!G2:G999, MATCH(C77,AccessPrincipals!A2:A999, 0)), "")</f>
        <v>1</v>
      </c>
      <c r="M77" s="3" t="b">
        <f>AND(K77, NOT(L77))</f>
        <v>0</v>
      </c>
      <c r="N77" s="3" t="b">
        <f>AND(J77, O77 = 0)</f>
        <v>0</v>
      </c>
      <c r="O77" s="3">
        <f>COUNTIFS(AccessDenialTests!C2:C999, A77)</f>
        <v>0</v>
      </c>
      <c r="P77" s="2" t="s">
        <v>9713</v>
      </c>
    </row>
    <row r="78">
      <c r="A78" s="2" t="s">
        <v>9809</v>
      </c>
      <c r="B78" s="3" t="str">
        <f>C78 &amp; " " &amp; E78 &amp; " " &amp; D78</f>
        <v>principal-process-steward SELECT IssueOccurrences</v>
      </c>
      <c r="C78" s="2" t="s">
        <v>9706</v>
      </c>
      <c r="D78" s="2" t="s">
        <v>1816</v>
      </c>
      <c r="E78" s="2" t="s">
        <v>9711</v>
      </c>
      <c r="F78" s="2" t="s">
        <v>168</v>
      </c>
      <c r="G78" s="2" t="s">
        <v>168</v>
      </c>
      <c r="H78" s="2" t="s">
        <v>9787</v>
      </c>
      <c r="I78" s="2" t="b">
        <v>0</v>
      </c>
      <c r="J78" s="3" t="b">
        <f>OR(E78 = "INSERT", E78 = "UPDATE", E78 = "DELETE", E78 = "ALL")</f>
        <v>0</v>
      </c>
      <c r="K78" s="3" t="b">
        <f>F78 = ""</f>
        <v>1</v>
      </c>
      <c r="L78" s="3" t="b">
        <f>_xlfn.IFNA(INDEX(AccessPrincipals!G2:G999, MATCH(C78,AccessPrincipals!A2:A999, 0)), "")</f>
        <v>1</v>
      </c>
      <c r="M78" s="3" t="b">
        <f>AND(K78, NOT(L78))</f>
        <v>0</v>
      </c>
      <c r="N78" s="3" t="b">
        <f>AND(J78, O78 = 0)</f>
        <v>0</v>
      </c>
      <c r="O78" s="3">
        <f>COUNTIFS(AccessDenialTests!C2:C999, A78)</f>
        <v>0</v>
      </c>
      <c r="P78" s="2" t="s">
        <v>9713</v>
      </c>
    </row>
    <row r="79">
      <c r="A79" s="2" t="s">
        <v>9810</v>
      </c>
      <c r="B79" s="3" t="str">
        <f>C79 &amp; " " &amp; E79 &amp; " " &amp; D79</f>
        <v>principal-process-steward SELECT KnowledgeFragments</v>
      </c>
      <c r="C79" s="2" t="s">
        <v>9706</v>
      </c>
      <c r="D79" s="2" t="s">
        <v>1831</v>
      </c>
      <c r="E79" s="2" t="s">
        <v>9711</v>
      </c>
      <c r="F79" s="2" t="s">
        <v>168</v>
      </c>
      <c r="G79" s="2" t="s">
        <v>168</v>
      </c>
      <c r="H79" s="2" t="s">
        <v>9787</v>
      </c>
      <c r="I79" s="2" t="b">
        <v>0</v>
      </c>
      <c r="J79" s="3" t="b">
        <f>OR(E79 = "INSERT", E79 = "UPDATE", E79 = "DELETE", E79 = "ALL")</f>
        <v>0</v>
      </c>
      <c r="K79" s="3" t="b">
        <f>F79 = ""</f>
        <v>1</v>
      </c>
      <c r="L79" s="3" t="b">
        <f>_xlfn.IFNA(INDEX(AccessPrincipals!G2:G999, MATCH(C79,AccessPrincipals!A2:A999, 0)), "")</f>
        <v>1</v>
      </c>
      <c r="M79" s="3" t="b">
        <f>AND(K79, NOT(L79))</f>
        <v>0</v>
      </c>
      <c r="N79" s="3" t="b">
        <f>AND(J79, O79 = 0)</f>
        <v>0</v>
      </c>
      <c r="O79" s="3">
        <f>COUNTIFS(AccessDenialTests!C2:C999, A79)</f>
        <v>0</v>
      </c>
      <c r="P79" s="2" t="s">
        <v>9713</v>
      </c>
    </row>
    <row r="80">
      <c r="A80" s="2" t="s">
        <v>9811</v>
      </c>
      <c r="B80" s="3" t="str">
        <f>C80 &amp; " " &amp; E80 &amp; " " &amp; D80</f>
        <v>principal-process-steward SELECT KnowledgeGaps</v>
      </c>
      <c r="C80" s="2" t="s">
        <v>9706</v>
      </c>
      <c r="D80" s="2" t="s">
        <v>3302</v>
      </c>
      <c r="E80" s="2" t="s">
        <v>9711</v>
      </c>
      <c r="F80" s="2" t="s">
        <v>168</v>
      </c>
      <c r="G80" s="2" t="s">
        <v>168</v>
      </c>
      <c r="H80" s="2" t="s">
        <v>9787</v>
      </c>
      <c r="I80" s="2" t="b">
        <v>0</v>
      </c>
      <c r="J80" s="3" t="b">
        <f>OR(E80 = "INSERT", E80 = "UPDATE", E80 = "DELETE", E80 = "ALL")</f>
        <v>0</v>
      </c>
      <c r="K80" s="3" t="b">
        <f>F80 = ""</f>
        <v>1</v>
      </c>
      <c r="L80" s="3" t="b">
        <f>_xlfn.IFNA(INDEX(AccessPrincipals!G2:G999, MATCH(C80,AccessPrincipals!A2:A999, 0)), "")</f>
        <v>1</v>
      </c>
      <c r="M80" s="3" t="b">
        <f>AND(K80, NOT(L80))</f>
        <v>0</v>
      </c>
      <c r="N80" s="3" t="b">
        <f>AND(J80, O80 = 0)</f>
        <v>0</v>
      </c>
      <c r="O80" s="3">
        <f>COUNTIFS(AccessDenialTests!C2:C999, A80)</f>
        <v>0</v>
      </c>
      <c r="P80" s="2" t="s">
        <v>9713</v>
      </c>
    </row>
    <row r="81">
      <c r="A81" s="2" t="s">
        <v>9812</v>
      </c>
      <c r="B81" s="3" t="str">
        <f>C81 &amp; " " &amp; E81 &amp; " " &amp; D81</f>
        <v>principal-process-steward SELECT LearningActivities</v>
      </c>
      <c r="C81" s="2" t="s">
        <v>9706</v>
      </c>
      <c r="D81" s="2" t="s">
        <v>3951</v>
      </c>
      <c r="E81" s="2" t="s">
        <v>9711</v>
      </c>
      <c r="F81" s="2" t="s">
        <v>168</v>
      </c>
      <c r="G81" s="2" t="s">
        <v>168</v>
      </c>
      <c r="H81" s="2" t="s">
        <v>9787</v>
      </c>
      <c r="I81" s="2" t="b">
        <v>0</v>
      </c>
      <c r="J81" s="3" t="b">
        <f>OR(E81 = "INSERT", E81 = "UPDATE", E81 = "DELETE", E81 = "ALL")</f>
        <v>0</v>
      </c>
      <c r="K81" s="3" t="b">
        <f>F81 = ""</f>
        <v>1</v>
      </c>
      <c r="L81" s="3" t="b">
        <f>_xlfn.IFNA(INDEX(AccessPrincipals!G2:G999, MATCH(C81,AccessPrincipals!A2:A999, 0)), "")</f>
        <v>1</v>
      </c>
      <c r="M81" s="3" t="b">
        <f>AND(K81, NOT(L81))</f>
        <v>0</v>
      </c>
      <c r="N81" s="3" t="b">
        <f>AND(J81, O81 = 0)</f>
        <v>0</v>
      </c>
      <c r="O81" s="3">
        <f>COUNTIFS(AccessDenialTests!C2:C999, A81)</f>
        <v>0</v>
      </c>
      <c r="P81" s="2" t="s">
        <v>9713</v>
      </c>
    </row>
    <row r="82">
      <c r="A82" s="2" t="s">
        <v>9813</v>
      </c>
      <c r="B82" s="3" t="str">
        <f>C82 &amp; " " &amp; E82 &amp; " " &amp; D82</f>
        <v>principal-process-steward SELECT Mentorships</v>
      </c>
      <c r="C82" s="2" t="s">
        <v>9706</v>
      </c>
      <c r="D82" s="2" t="s">
        <v>2633</v>
      </c>
      <c r="E82" s="2" t="s">
        <v>9711</v>
      </c>
      <c r="F82" s="2" t="s">
        <v>168</v>
      </c>
      <c r="G82" s="2" t="s">
        <v>168</v>
      </c>
      <c r="H82" s="2" t="s">
        <v>9787</v>
      </c>
      <c r="I82" s="2" t="b">
        <v>0</v>
      </c>
      <c r="J82" s="3" t="b">
        <f>OR(E82 = "INSERT", E82 = "UPDATE", E82 = "DELETE", E82 = "ALL")</f>
        <v>0</v>
      </c>
      <c r="K82" s="3" t="b">
        <f>F82 = ""</f>
        <v>1</v>
      </c>
      <c r="L82" s="3" t="b">
        <f>_xlfn.IFNA(INDEX(AccessPrincipals!G2:G999, MATCH(C82,AccessPrincipals!A2:A999, 0)), "")</f>
        <v>1</v>
      </c>
      <c r="M82" s="3" t="b">
        <f>AND(K82, NOT(L82))</f>
        <v>0</v>
      </c>
      <c r="N82" s="3" t="b">
        <f>AND(J82, O82 = 0)</f>
        <v>0</v>
      </c>
      <c r="O82" s="3">
        <f>COUNTIFS(AccessDenialTests!C2:C999, A82)</f>
        <v>0</v>
      </c>
      <c r="P82" s="2" t="s">
        <v>9713</v>
      </c>
    </row>
    <row r="83">
      <c r="A83" s="2" t="s">
        <v>9814</v>
      </c>
      <c r="B83" s="3" t="str">
        <f>C83 &amp; " " &amp; E83 &amp; " " &amp; D83</f>
        <v>principal-process-steward SELECT MessageDeliveries</v>
      </c>
      <c r="C83" s="2" t="s">
        <v>9706</v>
      </c>
      <c r="D83" s="2" t="s">
        <v>4378</v>
      </c>
      <c r="E83" s="2" t="s">
        <v>9711</v>
      </c>
      <c r="F83" s="2" t="s">
        <v>168</v>
      </c>
      <c r="G83" s="2" t="s">
        <v>168</v>
      </c>
      <c r="H83" s="2" t="s">
        <v>9787</v>
      </c>
      <c r="I83" s="2" t="b">
        <v>0</v>
      </c>
      <c r="J83" s="3" t="b">
        <f>OR(E83 = "INSERT", E83 = "UPDATE", E83 = "DELETE", E83 = "ALL")</f>
        <v>0</v>
      </c>
      <c r="K83" s="3" t="b">
        <f>F83 = ""</f>
        <v>1</v>
      </c>
      <c r="L83" s="3" t="b">
        <f>_xlfn.IFNA(INDEX(AccessPrincipals!G2:G999, MATCH(C83,AccessPrincipals!A2:A999, 0)), "")</f>
        <v>1</v>
      </c>
      <c r="M83" s="3" t="b">
        <f>AND(K83, NOT(L83))</f>
        <v>0</v>
      </c>
      <c r="N83" s="3" t="b">
        <f>AND(J83, O83 = 0)</f>
        <v>0</v>
      </c>
      <c r="O83" s="3">
        <f>COUNTIFS(AccessDenialTests!C2:C999, A83)</f>
        <v>0</v>
      </c>
      <c r="P83" s="2" t="s">
        <v>9713</v>
      </c>
    </row>
    <row r="84">
      <c r="A84" s="2" t="s">
        <v>9815</v>
      </c>
      <c r="B84" s="3" t="str">
        <f>C84 &amp; " " &amp; E84 &amp; " " &amp; D84</f>
        <v>principal-process-steward SELECT MessageTemplates</v>
      </c>
      <c r="C84" s="2" t="s">
        <v>9706</v>
      </c>
      <c r="D84" s="2" t="s">
        <v>4021</v>
      </c>
      <c r="E84" s="2" t="s">
        <v>9711</v>
      </c>
      <c r="F84" s="2" t="s">
        <v>168</v>
      </c>
      <c r="G84" s="2" t="s">
        <v>168</v>
      </c>
      <c r="H84" s="2" t="s">
        <v>9787</v>
      </c>
      <c r="I84" s="2" t="b">
        <v>0</v>
      </c>
      <c r="J84" s="3" t="b">
        <f>OR(E84 = "INSERT", E84 = "UPDATE", E84 = "DELETE", E84 = "ALL")</f>
        <v>0</v>
      </c>
      <c r="K84" s="3" t="b">
        <f>F84 = ""</f>
        <v>1</v>
      </c>
      <c r="L84" s="3" t="b">
        <f>_xlfn.IFNA(INDEX(AccessPrincipals!G2:G999, MATCH(C84,AccessPrincipals!A2:A999, 0)), "")</f>
        <v>1</v>
      </c>
      <c r="M84" s="3" t="b">
        <f>AND(K84, NOT(L84))</f>
        <v>0</v>
      </c>
      <c r="N84" s="3" t="b">
        <f>AND(J84, O84 = 0)</f>
        <v>0</v>
      </c>
      <c r="O84" s="3">
        <f>COUNTIFS(AccessDenialTests!C2:C999, A84)</f>
        <v>0</v>
      </c>
      <c r="P84" s="2" t="s">
        <v>9713</v>
      </c>
    </row>
    <row r="85">
      <c r="A85" s="2" t="s">
        <v>9816</v>
      </c>
      <c r="B85" s="3" t="str">
        <f>C85 &amp; " " &amp; E85 &amp; " " &amp; D85</f>
        <v>principal-process-steward SELECT ObservedTransitions</v>
      </c>
      <c r="C85" s="2" t="s">
        <v>9706</v>
      </c>
      <c r="D85" s="2" t="s">
        <v>4332</v>
      </c>
      <c r="E85" s="2" t="s">
        <v>9711</v>
      </c>
      <c r="F85" s="2" t="s">
        <v>168</v>
      </c>
      <c r="G85" s="2" t="s">
        <v>168</v>
      </c>
      <c r="H85" s="2" t="s">
        <v>9787</v>
      </c>
      <c r="I85" s="2" t="b">
        <v>0</v>
      </c>
      <c r="J85" s="3" t="b">
        <f>OR(E85 = "INSERT", E85 = "UPDATE", E85 = "DELETE", E85 = "ALL")</f>
        <v>0</v>
      </c>
      <c r="K85" s="3" t="b">
        <f>F85 = ""</f>
        <v>1</v>
      </c>
      <c r="L85" s="3" t="b">
        <f>_xlfn.IFNA(INDEX(AccessPrincipals!G2:G999, MATCH(C85,AccessPrincipals!A2:A999, 0)), "")</f>
        <v>1</v>
      </c>
      <c r="M85" s="3" t="b">
        <f>AND(K85, NOT(L85))</f>
        <v>0</v>
      </c>
      <c r="N85" s="3" t="b">
        <f>AND(J85, O85 = 0)</f>
        <v>0</v>
      </c>
      <c r="O85" s="3">
        <f>COUNTIFS(AccessDenialTests!C2:C999, A85)</f>
        <v>0</v>
      </c>
      <c r="P85" s="2" t="s">
        <v>9713</v>
      </c>
    </row>
    <row r="86">
      <c r="A86" s="2" t="s">
        <v>9817</v>
      </c>
      <c r="B86" s="3" t="str">
        <f>C86 &amp; " " &amp; E86 &amp; " " &amp; D86</f>
        <v>principal-process-steward SELECT OntologyProfiles</v>
      </c>
      <c r="C86" s="2" t="s">
        <v>9706</v>
      </c>
      <c r="D86" s="2" t="s">
        <v>2403</v>
      </c>
      <c r="E86" s="2" t="s">
        <v>9711</v>
      </c>
      <c r="F86" s="2" t="s">
        <v>168</v>
      </c>
      <c r="G86" s="2" t="s">
        <v>168</v>
      </c>
      <c r="H86" s="2" t="s">
        <v>9787</v>
      </c>
      <c r="I86" s="2" t="b">
        <v>0</v>
      </c>
      <c r="J86" s="3" t="b">
        <f>OR(E86 = "INSERT", E86 = "UPDATE", E86 = "DELETE", E86 = "ALL")</f>
        <v>0</v>
      </c>
      <c r="K86" s="3" t="b">
        <f>F86 = ""</f>
        <v>1</v>
      </c>
      <c r="L86" s="3" t="b">
        <f>_xlfn.IFNA(INDEX(AccessPrincipals!G2:G999, MATCH(C86,AccessPrincipals!A2:A999, 0)), "")</f>
        <v>1</v>
      </c>
      <c r="M86" s="3" t="b">
        <f>AND(K86, NOT(L86))</f>
        <v>0</v>
      </c>
      <c r="N86" s="3" t="b">
        <f>AND(J86, O86 = 0)</f>
        <v>0</v>
      </c>
      <c r="O86" s="3">
        <f>COUNTIFS(AccessDenialTests!C2:C999, A86)</f>
        <v>0</v>
      </c>
      <c r="P86" s="2" t="s">
        <v>9713</v>
      </c>
    </row>
    <row r="87">
      <c r="A87" s="2" t="s">
        <v>9818</v>
      </c>
      <c r="B87" s="3" t="str">
        <f>C87 &amp; " " &amp; E87 &amp; " " &amp; D87</f>
        <v>principal-process-steward SELECT OperationalBindings</v>
      </c>
      <c r="C87" s="2" t="s">
        <v>9706</v>
      </c>
      <c r="D87" s="2" t="s">
        <v>1842</v>
      </c>
      <c r="E87" s="2" t="s">
        <v>9711</v>
      </c>
      <c r="F87" s="2" t="s">
        <v>168</v>
      </c>
      <c r="G87" s="2" t="s">
        <v>168</v>
      </c>
      <c r="H87" s="2" t="s">
        <v>9787</v>
      </c>
      <c r="I87" s="2" t="b">
        <v>0</v>
      </c>
      <c r="J87" s="3" t="b">
        <f>OR(E87 = "INSERT", E87 = "UPDATE", E87 = "DELETE", E87 = "ALL")</f>
        <v>0</v>
      </c>
      <c r="K87" s="3" t="b">
        <f>F87 = ""</f>
        <v>1</v>
      </c>
      <c r="L87" s="3" t="b">
        <f>_xlfn.IFNA(INDEX(AccessPrincipals!G2:G999, MATCH(C87,AccessPrincipals!A2:A999, 0)), "")</f>
        <v>1</v>
      </c>
      <c r="M87" s="3" t="b">
        <f>AND(K87, NOT(L87))</f>
        <v>0</v>
      </c>
      <c r="N87" s="3" t="b">
        <f>AND(J87, O87 = 0)</f>
        <v>0</v>
      </c>
      <c r="O87" s="3">
        <f>COUNTIFS(AccessDenialTests!C2:C999, A87)</f>
        <v>0</v>
      </c>
      <c r="P87" s="2" t="s">
        <v>9713</v>
      </c>
    </row>
    <row r="88">
      <c r="A88" s="2" t="s">
        <v>9819</v>
      </c>
      <c r="B88" s="3" t="str">
        <f>C88 &amp; " " &amp; E88 &amp; " " &amp; D88</f>
        <v>principal-process-steward SELECT Organizations</v>
      </c>
      <c r="C88" s="2" t="s">
        <v>9706</v>
      </c>
      <c r="D88" s="2" t="s">
        <v>2422</v>
      </c>
      <c r="E88" s="2" t="s">
        <v>9711</v>
      </c>
      <c r="F88" s="2" t="s">
        <v>168</v>
      </c>
      <c r="G88" s="2" t="s">
        <v>168</v>
      </c>
      <c r="H88" s="2" t="s">
        <v>9787</v>
      </c>
      <c r="I88" s="2" t="b">
        <v>0</v>
      </c>
      <c r="J88" s="3" t="b">
        <f>OR(E88 = "INSERT", E88 = "UPDATE", E88 = "DELETE", E88 = "ALL")</f>
        <v>0</v>
      </c>
      <c r="K88" s="3" t="b">
        <f>F88 = ""</f>
        <v>1</v>
      </c>
      <c r="L88" s="3" t="b">
        <f>_xlfn.IFNA(INDEX(AccessPrincipals!G2:G999, MATCH(C88,AccessPrincipals!A2:A999, 0)), "")</f>
        <v>1</v>
      </c>
      <c r="M88" s="3" t="b">
        <f>AND(K88, NOT(L88))</f>
        <v>0</v>
      </c>
      <c r="N88" s="3" t="b">
        <f>AND(J88, O88 = 0)</f>
        <v>0</v>
      </c>
      <c r="O88" s="3">
        <f>COUNTIFS(AccessDenialTests!C2:C999, A88)</f>
        <v>0</v>
      </c>
      <c r="P88" s="2" t="s">
        <v>9713</v>
      </c>
    </row>
    <row r="89">
      <c r="A89" s="2" t="s">
        <v>9820</v>
      </c>
      <c r="B89" s="3" t="str">
        <f>C89 &amp; " " &amp; E89 &amp; " " &amp; D89</f>
        <v>principal-process-steward SELECT ProcedureExecutions</v>
      </c>
      <c r="C89" s="2" t="s">
        <v>9706</v>
      </c>
      <c r="D89" s="2" t="s">
        <v>1804</v>
      </c>
      <c r="E89" s="2" t="s">
        <v>9711</v>
      </c>
      <c r="F89" s="2" t="s">
        <v>168</v>
      </c>
      <c r="G89" s="2" t="s">
        <v>168</v>
      </c>
      <c r="H89" s="2" t="s">
        <v>9787</v>
      </c>
      <c r="I89" s="2" t="b">
        <v>0</v>
      </c>
      <c r="J89" s="3" t="b">
        <f>OR(E89 = "INSERT", E89 = "UPDATE", E89 = "DELETE", E89 = "ALL")</f>
        <v>0</v>
      </c>
      <c r="K89" s="3" t="b">
        <f>F89 = ""</f>
        <v>1</v>
      </c>
      <c r="L89" s="3" t="b">
        <f>_xlfn.IFNA(INDEX(AccessPrincipals!G2:G999, MATCH(C89,AccessPrincipals!A2:A999, 0)), "")</f>
        <v>1</v>
      </c>
      <c r="M89" s="3" t="b">
        <f>AND(K89, NOT(L89))</f>
        <v>0</v>
      </c>
      <c r="N89" s="3" t="b">
        <f>AND(J89, O89 = 0)</f>
        <v>0</v>
      </c>
      <c r="O89" s="3">
        <f>COUNTIFS(AccessDenialTests!C2:C999, A89)</f>
        <v>0</v>
      </c>
      <c r="P89" s="2" t="s">
        <v>9713</v>
      </c>
    </row>
    <row r="90">
      <c r="A90" s="2" t="s">
        <v>9821</v>
      </c>
      <c r="B90" s="3" t="str">
        <f>C90 &amp; " " &amp; E90 &amp; " " &amp; D90</f>
        <v>principal-process-steward SELECT ProcedureResources</v>
      </c>
      <c r="C90" s="2" t="s">
        <v>9706</v>
      </c>
      <c r="D90" s="2" t="s">
        <v>3121</v>
      </c>
      <c r="E90" s="2" t="s">
        <v>9711</v>
      </c>
      <c r="F90" s="2" t="s">
        <v>168</v>
      </c>
      <c r="G90" s="2" t="s">
        <v>168</v>
      </c>
      <c r="H90" s="2" t="s">
        <v>9787</v>
      </c>
      <c r="I90" s="2" t="b">
        <v>0</v>
      </c>
      <c r="J90" s="3" t="b">
        <f>OR(E90 = "INSERT", E90 = "UPDATE", E90 = "DELETE", E90 = "ALL")</f>
        <v>0</v>
      </c>
      <c r="K90" s="3" t="b">
        <f>F90 = ""</f>
        <v>1</v>
      </c>
      <c r="L90" s="3" t="b">
        <f>_xlfn.IFNA(INDEX(AccessPrincipals!G2:G999, MATCH(C90,AccessPrincipals!A2:A999, 0)), "")</f>
        <v>1</v>
      </c>
      <c r="M90" s="3" t="b">
        <f>AND(K90, NOT(L90))</f>
        <v>0</v>
      </c>
      <c r="N90" s="3" t="b">
        <f>AND(J90, O90 = 0)</f>
        <v>0</v>
      </c>
      <c r="O90" s="3">
        <f>COUNTIFS(AccessDenialTests!C2:C999, A90)</f>
        <v>0</v>
      </c>
      <c r="P90" s="2" t="s">
        <v>9713</v>
      </c>
    </row>
    <row r="91">
      <c r="A91" s="2" t="s">
        <v>9822</v>
      </c>
      <c r="B91" s="3" t="str">
        <f>C91 &amp; " " &amp; E91 &amp; " " &amp; D91</f>
        <v>principal-process-steward SELECT ProcedureStatusChanges</v>
      </c>
      <c r="C91" s="2" t="s">
        <v>9706</v>
      </c>
      <c r="D91" s="2" t="s">
        <v>1755</v>
      </c>
      <c r="E91" s="2" t="s">
        <v>9711</v>
      </c>
      <c r="F91" s="2" t="s">
        <v>168</v>
      </c>
      <c r="G91" s="2" t="s">
        <v>168</v>
      </c>
      <c r="H91" s="2" t="s">
        <v>9787</v>
      </c>
      <c r="I91" s="2" t="b">
        <v>0</v>
      </c>
      <c r="J91" s="3" t="b">
        <f>OR(E91 = "INSERT", E91 = "UPDATE", E91 = "DELETE", E91 = "ALL")</f>
        <v>0</v>
      </c>
      <c r="K91" s="3" t="b">
        <f>F91 = ""</f>
        <v>1</v>
      </c>
      <c r="L91" s="3" t="b">
        <f>_xlfn.IFNA(INDEX(AccessPrincipals!G2:G999, MATCH(C91,AccessPrincipals!A2:A999, 0)), "")</f>
        <v>1</v>
      </c>
      <c r="M91" s="3" t="b">
        <f>AND(K91, NOT(L91))</f>
        <v>0</v>
      </c>
      <c r="N91" s="3" t="b">
        <f>AND(J91, O91 = 0)</f>
        <v>0</v>
      </c>
      <c r="O91" s="3">
        <f>COUNTIFS(AccessDenialTests!C2:C999, A91)</f>
        <v>0</v>
      </c>
      <c r="P91" s="2" t="s">
        <v>9713</v>
      </c>
    </row>
    <row r="92">
      <c r="A92" s="2" t="s">
        <v>9823</v>
      </c>
      <c r="B92" s="3" t="str">
        <f>C92 &amp; " " &amp; E92 &amp; " " &amp; D92</f>
        <v>principal-process-steward SELECT ProcedureTypes</v>
      </c>
      <c r="C92" s="2" t="s">
        <v>9706</v>
      </c>
      <c r="D92" s="2" t="s">
        <v>2645</v>
      </c>
      <c r="E92" s="2" t="s">
        <v>9711</v>
      </c>
      <c r="F92" s="2" t="s">
        <v>168</v>
      </c>
      <c r="G92" s="2" t="s">
        <v>168</v>
      </c>
      <c r="H92" s="2" t="s">
        <v>9787</v>
      </c>
      <c r="I92" s="2" t="b">
        <v>0</v>
      </c>
      <c r="J92" s="3" t="b">
        <f>OR(E92 = "INSERT", E92 = "UPDATE", E92 = "DELETE", E92 = "ALL")</f>
        <v>0</v>
      </c>
      <c r="K92" s="3" t="b">
        <f>F92 = ""</f>
        <v>1</v>
      </c>
      <c r="L92" s="3" t="b">
        <f>_xlfn.IFNA(INDEX(AccessPrincipals!G2:G999, MATCH(C92,AccessPrincipals!A2:A999, 0)), "")</f>
        <v>1</v>
      </c>
      <c r="M92" s="3" t="b">
        <f>AND(K92, NOT(L92))</f>
        <v>0</v>
      </c>
      <c r="N92" s="3" t="b">
        <f>AND(J92, O92 = 0)</f>
        <v>0</v>
      </c>
      <c r="O92" s="3">
        <f>COUNTIFS(AccessDenialTests!C2:C999, A92)</f>
        <v>0</v>
      </c>
      <c r="P92" s="2" t="s">
        <v>9713</v>
      </c>
    </row>
    <row r="93">
      <c r="A93" s="2" t="s">
        <v>9824</v>
      </c>
      <c r="B93" s="3" t="str">
        <f>C93 &amp; " " &amp; E93 &amp; " " &amp; D93</f>
        <v>principal-process-steward SELECT ProcedureVersionLinks</v>
      </c>
      <c r="C93" s="2" t="s">
        <v>9706</v>
      </c>
      <c r="D93" s="2" t="s">
        <v>2818</v>
      </c>
      <c r="E93" s="2" t="s">
        <v>9711</v>
      </c>
      <c r="F93" s="2" t="s">
        <v>168</v>
      </c>
      <c r="G93" s="2" t="s">
        <v>168</v>
      </c>
      <c r="H93" s="2" t="s">
        <v>9787</v>
      </c>
      <c r="I93" s="2" t="b">
        <v>0</v>
      </c>
      <c r="J93" s="3" t="b">
        <f>OR(E93 = "INSERT", E93 = "UPDATE", E93 = "DELETE", E93 = "ALL")</f>
        <v>0</v>
      </c>
      <c r="K93" s="3" t="b">
        <f>F93 = ""</f>
        <v>1</v>
      </c>
      <c r="L93" s="3" t="b">
        <f>_xlfn.IFNA(INDEX(AccessPrincipals!G2:G999, MATCH(C93,AccessPrincipals!A2:A999, 0)), "")</f>
        <v>1</v>
      </c>
      <c r="M93" s="3" t="b">
        <f>AND(K93, NOT(L93))</f>
        <v>0</v>
      </c>
      <c r="N93" s="3" t="b">
        <f>AND(J93, O93 = 0)</f>
        <v>0</v>
      </c>
      <c r="O93" s="3">
        <f>COUNTIFS(AccessDenialTests!C2:C999, A93)</f>
        <v>0</v>
      </c>
      <c r="P93" s="2" t="s">
        <v>9713</v>
      </c>
    </row>
    <row r="94">
      <c r="A94" s="2" t="s">
        <v>9825</v>
      </c>
      <c r="B94" s="3" t="str">
        <f>C94 &amp; " " &amp; E94 &amp; " " &amp; D94</f>
        <v>principal-process-steward SELECT ProcedureVersions</v>
      </c>
      <c r="C94" s="2" t="s">
        <v>9706</v>
      </c>
      <c r="D94" s="2" t="s">
        <v>1747</v>
      </c>
      <c r="E94" s="2" t="s">
        <v>9711</v>
      </c>
      <c r="F94" s="2" t="s">
        <v>168</v>
      </c>
      <c r="G94" s="2" t="s">
        <v>168</v>
      </c>
      <c r="H94" s="2" t="s">
        <v>9787</v>
      </c>
      <c r="I94" s="2" t="b">
        <v>0</v>
      </c>
      <c r="J94" s="3" t="b">
        <f>OR(E94 = "INSERT", E94 = "UPDATE", E94 = "DELETE", E94 = "ALL")</f>
        <v>0</v>
      </c>
      <c r="K94" s="3" t="b">
        <f>F94 = ""</f>
        <v>1</v>
      </c>
      <c r="L94" s="3" t="b">
        <f>_xlfn.IFNA(INDEX(AccessPrincipals!G2:G999, MATCH(C94,AccessPrincipals!A2:A999, 0)), "")</f>
        <v>1</v>
      </c>
      <c r="M94" s="3" t="b">
        <f>AND(K94, NOT(L94))</f>
        <v>0</v>
      </c>
      <c r="N94" s="3" t="b">
        <f>AND(J94, O94 = 0)</f>
        <v>0</v>
      </c>
      <c r="O94" s="3">
        <f>COUNTIFS(AccessDenialTests!C2:C999, A94)</f>
        <v>0</v>
      </c>
      <c r="P94" s="2" t="s">
        <v>9713</v>
      </c>
    </row>
    <row r="95">
      <c r="A95" s="2" t="s">
        <v>9826</v>
      </c>
      <c r="B95" s="3" t="str">
        <f>C95 &amp; " " &amp; E95 &amp; " " &amp; D95</f>
        <v>principal-process-steward SELECT Procedures</v>
      </c>
      <c r="C95" s="2" t="s">
        <v>9706</v>
      </c>
      <c r="D95" s="2" t="s">
        <v>1742</v>
      </c>
      <c r="E95" s="2" t="s">
        <v>9711</v>
      </c>
      <c r="F95" s="2" t="s">
        <v>168</v>
      </c>
      <c r="G95" s="2" t="s">
        <v>168</v>
      </c>
      <c r="H95" s="2" t="s">
        <v>9787</v>
      </c>
      <c r="I95" s="2" t="b">
        <v>0</v>
      </c>
      <c r="J95" s="3" t="b">
        <f>OR(E95 = "INSERT", E95 = "UPDATE", E95 = "DELETE", E95 = "ALL")</f>
        <v>0</v>
      </c>
      <c r="K95" s="3" t="b">
        <f>F95 = ""</f>
        <v>1</v>
      </c>
      <c r="L95" s="3" t="b">
        <f>_xlfn.IFNA(INDEX(AccessPrincipals!G2:G999, MATCH(C95,AccessPrincipals!A2:A999, 0)), "")</f>
        <v>1</v>
      </c>
      <c r="M95" s="3" t="b">
        <f>AND(K95, NOT(L95))</f>
        <v>0</v>
      </c>
      <c r="N95" s="3" t="b">
        <f>AND(J95, O95 = 0)</f>
        <v>0</v>
      </c>
      <c r="O95" s="3">
        <f>COUNTIFS(AccessDenialTests!C2:C999, A95)</f>
        <v>0</v>
      </c>
      <c r="P95" s="2" t="s">
        <v>9713</v>
      </c>
    </row>
    <row r="96">
      <c r="A96" s="2" t="s">
        <v>9827</v>
      </c>
      <c r="B96" s="3" t="str">
        <f>C96 &amp; " " &amp; E96 &amp; " " &amp; D96</f>
        <v>principal-process-steward SELECT Rationales</v>
      </c>
      <c r="C96" s="2" t="s">
        <v>9706</v>
      </c>
      <c r="D96" s="2" t="s">
        <v>3085</v>
      </c>
      <c r="E96" s="2" t="s">
        <v>9711</v>
      </c>
      <c r="F96" s="2" t="s">
        <v>168</v>
      </c>
      <c r="G96" s="2" t="s">
        <v>168</v>
      </c>
      <c r="H96" s="2" t="s">
        <v>9787</v>
      </c>
      <c r="I96" s="2" t="b">
        <v>0</v>
      </c>
      <c r="J96" s="3" t="b">
        <f>OR(E96 = "INSERT", E96 = "UPDATE", E96 = "DELETE", E96 = "ALL")</f>
        <v>0</v>
      </c>
      <c r="K96" s="3" t="b">
        <f>F96 = ""</f>
        <v>1</v>
      </c>
      <c r="L96" s="3" t="b">
        <f>_xlfn.IFNA(INDEX(AccessPrincipals!G2:G999, MATCH(C96,AccessPrincipals!A2:A999, 0)), "")</f>
        <v>1</v>
      </c>
      <c r="M96" s="3" t="b">
        <f>AND(K96, NOT(L96))</f>
        <v>0</v>
      </c>
      <c r="N96" s="3" t="b">
        <f>AND(J96, O96 = 0)</f>
        <v>0</v>
      </c>
      <c r="O96" s="3">
        <f>COUNTIFS(AccessDenialTests!C2:C999, A96)</f>
        <v>0</v>
      </c>
      <c r="P96" s="2" t="s">
        <v>9713</v>
      </c>
    </row>
    <row r="97">
      <c r="A97" s="2" t="s">
        <v>9828</v>
      </c>
      <c r="B97" s="3" t="str">
        <f>C97 &amp; " " &amp; E97 &amp; " " &amp; D97</f>
        <v>principal-process-steward SELECT Recipients</v>
      </c>
      <c r="C97" s="2" t="s">
        <v>9706</v>
      </c>
      <c r="D97" s="2" t="s">
        <v>4346</v>
      </c>
      <c r="E97" s="2" t="s">
        <v>9711</v>
      </c>
      <c r="F97" s="2" t="s">
        <v>168</v>
      </c>
      <c r="G97" s="2" t="s">
        <v>168</v>
      </c>
      <c r="H97" s="2" t="s">
        <v>9787</v>
      </c>
      <c r="I97" s="2" t="b">
        <v>0</v>
      </c>
      <c r="J97" s="3" t="b">
        <f>OR(E97 = "INSERT", E97 = "UPDATE", E97 = "DELETE", E97 = "ALL")</f>
        <v>0</v>
      </c>
      <c r="K97" s="3" t="b">
        <f>F97 = ""</f>
        <v>1</v>
      </c>
      <c r="L97" s="3" t="b">
        <f>_xlfn.IFNA(INDEX(AccessPrincipals!G2:G999, MATCH(C97,AccessPrincipals!A2:A999, 0)), "")</f>
        <v>1</v>
      </c>
      <c r="M97" s="3" t="b">
        <f>AND(K97, NOT(L97))</f>
        <v>0</v>
      </c>
      <c r="N97" s="3" t="b">
        <f>AND(J97, O97 = 0)</f>
        <v>0</v>
      </c>
      <c r="O97" s="3">
        <f>COUNTIFS(AccessDenialTests!C2:C999, A97)</f>
        <v>0</v>
      </c>
      <c r="P97" s="2" t="s">
        <v>9713</v>
      </c>
    </row>
    <row r="98">
      <c r="A98" s="2" t="s">
        <v>9829</v>
      </c>
      <c r="B98" s="3" t="str">
        <f>C98 &amp; " " &amp; E98 &amp; " " &amp; D98</f>
        <v>principal-process-steward SELECT RequirementSatisfactions</v>
      </c>
      <c r="C98" s="2" t="s">
        <v>9706</v>
      </c>
      <c r="D98" s="2" t="s">
        <v>1810</v>
      </c>
      <c r="E98" s="2" t="s">
        <v>9711</v>
      </c>
      <c r="F98" s="2" t="s">
        <v>168</v>
      </c>
      <c r="G98" s="2" t="s">
        <v>168</v>
      </c>
      <c r="H98" s="2" t="s">
        <v>9787</v>
      </c>
      <c r="I98" s="2" t="b">
        <v>0</v>
      </c>
      <c r="J98" s="3" t="b">
        <f>OR(E98 = "INSERT", E98 = "UPDATE", E98 = "DELETE", E98 = "ALL")</f>
        <v>0</v>
      </c>
      <c r="K98" s="3" t="b">
        <f>F98 = ""</f>
        <v>1</v>
      </c>
      <c r="L98" s="3" t="b">
        <f>_xlfn.IFNA(INDEX(AccessPrincipals!G2:G999, MATCH(C98,AccessPrincipals!A2:A999, 0)), "")</f>
        <v>1</v>
      </c>
      <c r="M98" s="3" t="b">
        <f>AND(K98, NOT(L98))</f>
        <v>0</v>
      </c>
      <c r="N98" s="3" t="b">
        <f>AND(J98, O98 = 0)</f>
        <v>0</v>
      </c>
      <c r="O98" s="3">
        <f>COUNTIFS(AccessDenialTests!C2:C999, A98)</f>
        <v>0</v>
      </c>
      <c r="P98" s="2" t="s">
        <v>9713</v>
      </c>
    </row>
    <row r="99">
      <c r="A99" s="2" t="s">
        <v>9830</v>
      </c>
      <c r="B99" s="3" t="str">
        <f>C99 &amp; " " &amp; E99 &amp; " " &amp; D99</f>
        <v>principal-process-steward SELECT Requirements</v>
      </c>
      <c r="C99" s="2" t="s">
        <v>9706</v>
      </c>
      <c r="D99" s="2" t="s">
        <v>1785</v>
      </c>
      <c r="E99" s="2" t="s">
        <v>9711</v>
      </c>
      <c r="F99" s="2" t="s">
        <v>168</v>
      </c>
      <c r="G99" s="2" t="s">
        <v>168</v>
      </c>
      <c r="H99" s="2" t="s">
        <v>9787</v>
      </c>
      <c r="I99" s="2" t="b">
        <v>0</v>
      </c>
      <c r="J99" s="3" t="b">
        <f>OR(E99 = "INSERT", E99 = "UPDATE", E99 = "DELETE", E99 = "ALL")</f>
        <v>0</v>
      </c>
      <c r="K99" s="3" t="b">
        <f>F99 = ""</f>
        <v>1</v>
      </c>
      <c r="L99" s="3" t="b">
        <f>_xlfn.IFNA(INDEX(AccessPrincipals!G2:G999, MATCH(C99,AccessPrincipals!A2:A999, 0)), "")</f>
        <v>1</v>
      </c>
      <c r="M99" s="3" t="b">
        <f>AND(K99, NOT(L99))</f>
        <v>0</v>
      </c>
      <c r="N99" s="3" t="b">
        <f>AND(J99, O99 = 0)</f>
        <v>0</v>
      </c>
      <c r="O99" s="3">
        <f>COUNTIFS(AccessDenialTests!C2:C999, A99)</f>
        <v>0</v>
      </c>
      <c r="P99" s="2" t="s">
        <v>9713</v>
      </c>
    </row>
    <row r="100">
      <c r="A100" s="2" t="s">
        <v>9831</v>
      </c>
      <c r="B100" s="3" t="str">
        <f>C100 &amp; " " &amp; E100 &amp; " " &amp; D100</f>
        <v>principal-process-steward SELECT Resources</v>
      </c>
      <c r="C100" s="2" t="s">
        <v>9706</v>
      </c>
      <c r="D100" s="2" t="s">
        <v>1791</v>
      </c>
      <c r="E100" s="2" t="s">
        <v>9711</v>
      </c>
      <c r="F100" s="2" t="s">
        <v>168</v>
      </c>
      <c r="G100" s="2" t="s">
        <v>168</v>
      </c>
      <c r="H100" s="2" t="s">
        <v>9787</v>
      </c>
      <c r="I100" s="2" t="b">
        <v>0</v>
      </c>
      <c r="J100" s="3" t="b">
        <f>OR(E100 = "INSERT", E100 = "UPDATE", E100 = "DELETE", E100 = "ALL")</f>
        <v>0</v>
      </c>
      <c r="K100" s="3" t="b">
        <f>F100 = ""</f>
        <v>1</v>
      </c>
      <c r="L100" s="3" t="b">
        <f>_xlfn.IFNA(INDEX(AccessPrincipals!G2:G999, MATCH(C100,AccessPrincipals!A2:A999, 0)), "")</f>
        <v>1</v>
      </c>
      <c r="M100" s="3" t="b">
        <f>AND(K100, NOT(L100))</f>
        <v>0</v>
      </c>
      <c r="N100" s="3" t="b">
        <f>AND(J100, O100 = 0)</f>
        <v>0</v>
      </c>
      <c r="O100" s="3">
        <f>COUNTIFS(AccessDenialTests!C2:C999, A100)</f>
        <v>0</v>
      </c>
      <c r="P100" s="2" t="s">
        <v>9713</v>
      </c>
    </row>
    <row r="101">
      <c r="A101" s="2" t="s">
        <v>9832</v>
      </c>
      <c r="B101" s="3" t="str">
        <f>C101 &amp; " " &amp; E101 &amp; " " &amp; D101</f>
        <v>principal-process-steward SELECT ReviewEvents</v>
      </c>
      <c r="C101" s="2" t="s">
        <v>9706</v>
      </c>
      <c r="D101" s="2" t="s">
        <v>3922</v>
      </c>
      <c r="E101" s="2" t="s">
        <v>9711</v>
      </c>
      <c r="F101" s="2" t="s">
        <v>168</v>
      </c>
      <c r="G101" s="2" t="s">
        <v>168</v>
      </c>
      <c r="H101" s="2" t="s">
        <v>9787</v>
      </c>
      <c r="I101" s="2" t="b">
        <v>0</v>
      </c>
      <c r="J101" s="3" t="b">
        <f>OR(E101 = "INSERT", E101 = "UPDATE", E101 = "DELETE", E101 = "ALL")</f>
        <v>0</v>
      </c>
      <c r="K101" s="3" t="b">
        <f>F101 = ""</f>
        <v>1</v>
      </c>
      <c r="L101" s="3" t="b">
        <f>_xlfn.IFNA(INDEX(AccessPrincipals!G2:G999, MATCH(C101,AccessPrincipals!A2:A999, 0)), "")</f>
        <v>1</v>
      </c>
      <c r="M101" s="3" t="b">
        <f>AND(K101, NOT(L101))</f>
        <v>0</v>
      </c>
      <c r="N101" s="3" t="b">
        <f>AND(J101, O101 = 0)</f>
        <v>0</v>
      </c>
      <c r="O101" s="3">
        <f>COUNTIFS(AccessDenialTests!C2:C999, A101)</f>
        <v>0</v>
      </c>
      <c r="P101" s="2" t="s">
        <v>9713</v>
      </c>
    </row>
    <row r="102">
      <c r="A102" s="2" t="s">
        <v>9833</v>
      </c>
      <c r="B102" s="3" t="str">
        <f>C102 &amp; " " &amp; E102 &amp; " " &amp; D102</f>
        <v>principal-process-steward SELECT RoleAssignments</v>
      </c>
      <c r="C102" s="2" t="s">
        <v>9706</v>
      </c>
      <c r="D102" s="2" t="s">
        <v>1801</v>
      </c>
      <c r="E102" s="2" t="s">
        <v>9711</v>
      </c>
      <c r="F102" s="2" t="s">
        <v>168</v>
      </c>
      <c r="G102" s="2" t="s">
        <v>168</v>
      </c>
      <c r="H102" s="2" t="s">
        <v>9787</v>
      </c>
      <c r="I102" s="2" t="b">
        <v>0</v>
      </c>
      <c r="J102" s="3" t="b">
        <f>OR(E102 = "INSERT", E102 = "UPDATE", E102 = "DELETE", E102 = "ALL")</f>
        <v>0</v>
      </c>
      <c r="K102" s="3" t="b">
        <f>F102 = ""</f>
        <v>1</v>
      </c>
      <c r="L102" s="3" t="b">
        <f>_xlfn.IFNA(INDEX(AccessPrincipals!G2:G999, MATCH(C102,AccessPrincipals!A2:A999, 0)), "")</f>
        <v>1</v>
      </c>
      <c r="M102" s="3" t="b">
        <f>AND(K102, NOT(L102))</f>
        <v>0</v>
      </c>
      <c r="N102" s="3" t="b">
        <f>AND(J102, O102 = 0)</f>
        <v>0</v>
      </c>
      <c r="O102" s="3">
        <f>COUNTIFS(AccessDenialTests!C2:C999, A102)</f>
        <v>0</v>
      </c>
      <c r="P102" s="2" t="s">
        <v>9713</v>
      </c>
    </row>
    <row r="103">
      <c r="A103" s="2" t="s">
        <v>9834</v>
      </c>
      <c r="B103" s="3" t="str">
        <f>C103 &amp; " " &amp; E103 &amp; " " &amp; D103</f>
        <v>principal-process-steward SELECT RoleQuestions</v>
      </c>
      <c r="C103" s="2" t="s">
        <v>9706</v>
      </c>
      <c r="D103" s="2" t="s">
        <v>4091</v>
      </c>
      <c r="E103" s="2" t="s">
        <v>9711</v>
      </c>
      <c r="F103" s="2" t="s">
        <v>168</v>
      </c>
      <c r="G103" s="2" t="s">
        <v>168</v>
      </c>
      <c r="H103" s="2" t="s">
        <v>9787</v>
      </c>
      <c r="I103" s="2" t="b">
        <v>0</v>
      </c>
      <c r="J103" s="3" t="b">
        <f>OR(E103 = "INSERT", E103 = "UPDATE", E103 = "DELETE", E103 = "ALL")</f>
        <v>0</v>
      </c>
      <c r="K103" s="3" t="b">
        <f>F103 = ""</f>
        <v>1</v>
      </c>
      <c r="L103" s="3" t="b">
        <f>_xlfn.IFNA(INDEX(AccessPrincipals!G2:G999, MATCH(C103,AccessPrincipals!A2:A999, 0)), "")</f>
        <v>1</v>
      </c>
      <c r="M103" s="3" t="b">
        <f>AND(K103, NOT(L103))</f>
        <v>0</v>
      </c>
      <c r="N103" s="3" t="b">
        <f>AND(J103, O103 = 0)</f>
        <v>0</v>
      </c>
      <c r="O103" s="3">
        <f>COUNTIFS(AccessDenialTests!C2:C999, A103)</f>
        <v>0</v>
      </c>
      <c r="P103" s="2" t="s">
        <v>9713</v>
      </c>
    </row>
    <row r="104">
      <c r="A104" s="2" t="s">
        <v>9835</v>
      </c>
      <c r="B104" s="3" t="str">
        <f>C104 &amp; " " &amp; E104 &amp; " " &amp; D104</f>
        <v>principal-process-steward SELECT Roles</v>
      </c>
      <c r="C104" s="2" t="s">
        <v>9706</v>
      </c>
      <c r="D104" s="2" t="s">
        <v>1798</v>
      </c>
      <c r="E104" s="2" t="s">
        <v>9711</v>
      </c>
      <c r="F104" s="2" t="s">
        <v>168</v>
      </c>
      <c r="G104" s="2" t="s">
        <v>168</v>
      </c>
      <c r="H104" s="2" t="s">
        <v>9787</v>
      </c>
      <c r="I104" s="2" t="b">
        <v>0</v>
      </c>
      <c r="J104" s="3" t="b">
        <f>OR(E104 = "INSERT", E104 = "UPDATE", E104 = "DELETE", E104 = "ALL")</f>
        <v>0</v>
      </c>
      <c r="K104" s="3" t="b">
        <f>F104 = ""</f>
        <v>1</v>
      </c>
      <c r="L104" s="3" t="b">
        <f>_xlfn.IFNA(INDEX(AccessPrincipals!G2:G999, MATCH(C104,AccessPrincipals!A2:A999, 0)), "")</f>
        <v>1</v>
      </c>
      <c r="M104" s="3" t="b">
        <f>AND(K104, NOT(L104))</f>
        <v>0</v>
      </c>
      <c r="N104" s="3" t="b">
        <f>AND(J104, O104 = 0)</f>
        <v>0</v>
      </c>
      <c r="O104" s="3">
        <f>COUNTIFS(AccessDenialTests!C2:C999, A104)</f>
        <v>0</v>
      </c>
      <c r="P104" s="2" t="s">
        <v>9713</v>
      </c>
    </row>
    <row r="105">
      <c r="A105" s="2" t="s">
        <v>9836</v>
      </c>
      <c r="B105" s="3" t="str">
        <f>C105 &amp; " " &amp; E105 &amp; " " &amp; D105</f>
        <v>principal-process-steward SELECT RulebookFields</v>
      </c>
      <c r="C105" s="2" t="s">
        <v>9706</v>
      </c>
      <c r="D105" s="2" t="s">
        <v>4106</v>
      </c>
      <c r="E105" s="2" t="s">
        <v>9711</v>
      </c>
      <c r="F105" s="2" t="s">
        <v>168</v>
      </c>
      <c r="G105" s="2" t="s">
        <v>168</v>
      </c>
      <c r="H105" s="2" t="s">
        <v>9787</v>
      </c>
      <c r="I105" s="2" t="b">
        <v>0</v>
      </c>
      <c r="J105" s="3" t="b">
        <f>OR(E105 = "INSERT", E105 = "UPDATE", E105 = "DELETE", E105 = "ALL")</f>
        <v>0</v>
      </c>
      <c r="K105" s="3" t="b">
        <f>F105 = ""</f>
        <v>1</v>
      </c>
      <c r="L105" s="3" t="b">
        <f>_xlfn.IFNA(INDEX(AccessPrincipals!G2:G999, MATCH(C105,AccessPrincipals!A2:A999, 0)), "")</f>
        <v>1</v>
      </c>
      <c r="M105" s="3" t="b">
        <f>AND(K105, NOT(L105))</f>
        <v>0</v>
      </c>
      <c r="N105" s="3" t="b">
        <f>AND(J105, O105 = 0)</f>
        <v>0</v>
      </c>
      <c r="O105" s="3">
        <f>COUNTIFS(AccessDenialTests!C2:C999, A105)</f>
        <v>0</v>
      </c>
      <c r="P105" s="2" t="s">
        <v>9713</v>
      </c>
    </row>
    <row r="106">
      <c r="A106" s="2" t="s">
        <v>9837</v>
      </c>
      <c r="B106" s="3" t="str">
        <f>C106 &amp; " " &amp; E106 &amp; " " &amp; D106</f>
        <v>principal-process-steward SELECT RulebookReleases</v>
      </c>
      <c r="C106" s="2" t="s">
        <v>9706</v>
      </c>
      <c r="D106" s="2" t="s">
        <v>2384</v>
      </c>
      <c r="E106" s="2" t="s">
        <v>9711</v>
      </c>
      <c r="F106" s="2" t="s">
        <v>168</v>
      </c>
      <c r="G106" s="2" t="s">
        <v>168</v>
      </c>
      <c r="H106" s="2" t="s">
        <v>9787</v>
      </c>
      <c r="I106" s="2" t="b">
        <v>0</v>
      </c>
      <c r="J106" s="3" t="b">
        <f>OR(E106 = "INSERT", E106 = "UPDATE", E106 = "DELETE", E106 = "ALL")</f>
        <v>0</v>
      </c>
      <c r="K106" s="3" t="b">
        <f>F106 = ""</f>
        <v>1</v>
      </c>
      <c r="L106" s="3" t="b">
        <f>_xlfn.IFNA(INDEX(AccessPrincipals!G2:G999, MATCH(C106,AccessPrincipals!A2:A999, 0)), "")</f>
        <v>1</v>
      </c>
      <c r="M106" s="3" t="b">
        <f>AND(K106, NOT(L106))</f>
        <v>0</v>
      </c>
      <c r="N106" s="3" t="b">
        <f>AND(J106, O106 = 0)</f>
        <v>0</v>
      </c>
      <c r="O106" s="3">
        <f>COUNTIFS(AccessDenialTests!C2:C999, A106)</f>
        <v>0</v>
      </c>
      <c r="P106" s="2" t="s">
        <v>9713</v>
      </c>
    </row>
    <row r="107">
      <c r="A107" s="2" t="s">
        <v>9838</v>
      </c>
      <c r="B107" s="3" t="str">
        <f>C107 &amp; " " &amp; E107 &amp; " " &amp; D107</f>
        <v>principal-process-steward SELECT SemanticMappings</v>
      </c>
      <c r="C107" s="2" t="s">
        <v>9706</v>
      </c>
      <c r="D107" s="2" t="s">
        <v>4064</v>
      </c>
      <c r="E107" s="2" t="s">
        <v>9711</v>
      </c>
      <c r="F107" s="2" t="s">
        <v>168</v>
      </c>
      <c r="G107" s="2" t="s">
        <v>168</v>
      </c>
      <c r="H107" s="2" t="s">
        <v>9787</v>
      </c>
      <c r="I107" s="2" t="b">
        <v>0</v>
      </c>
      <c r="J107" s="3" t="b">
        <f>OR(E107 = "INSERT", E107 = "UPDATE", E107 = "DELETE", E107 = "ALL")</f>
        <v>0</v>
      </c>
      <c r="K107" s="3" t="b">
        <f>F107 = ""</f>
        <v>1</v>
      </c>
      <c r="L107" s="3" t="b">
        <f>_xlfn.IFNA(INDEX(AccessPrincipals!G2:G999, MATCH(C107,AccessPrincipals!A2:A999, 0)), "")</f>
        <v>1</v>
      </c>
      <c r="M107" s="3" t="b">
        <f>AND(K107, NOT(L107))</f>
        <v>0</v>
      </c>
      <c r="N107" s="3" t="b">
        <f>AND(J107, O107 = 0)</f>
        <v>0</v>
      </c>
      <c r="O107" s="3">
        <f>COUNTIFS(AccessDenialTests!C2:C999, A107)</f>
        <v>0</v>
      </c>
      <c r="P107" s="2" t="s">
        <v>9713</v>
      </c>
    </row>
    <row r="108">
      <c r="A108" s="2" t="s">
        <v>9839</v>
      </c>
      <c r="B108" s="3" t="str">
        <f>C108 &amp; " " &amp; E108 &amp; " " &amp; D108</f>
        <v>principal-process-steward SELECT SendIntents</v>
      </c>
      <c r="C108" s="2" t="s">
        <v>9706</v>
      </c>
      <c r="D108" s="2" t="s">
        <v>4662</v>
      </c>
      <c r="E108" s="2" t="s">
        <v>9711</v>
      </c>
      <c r="F108" s="2" t="s">
        <v>168</v>
      </c>
      <c r="G108" s="2" t="s">
        <v>168</v>
      </c>
      <c r="H108" s="2" t="s">
        <v>9787</v>
      </c>
      <c r="I108" s="2" t="b">
        <v>0</v>
      </c>
      <c r="J108" s="3" t="b">
        <f>OR(E108 = "INSERT", E108 = "UPDATE", E108 = "DELETE", E108 = "ALL")</f>
        <v>0</v>
      </c>
      <c r="K108" s="3" t="b">
        <f>F108 = ""</f>
        <v>1</v>
      </c>
      <c r="L108" s="3" t="b">
        <f>_xlfn.IFNA(INDEX(AccessPrincipals!G2:G999, MATCH(C108,AccessPrincipals!A2:A999, 0)), "")</f>
        <v>1</v>
      </c>
      <c r="M108" s="3" t="b">
        <f>AND(K108, NOT(L108))</f>
        <v>0</v>
      </c>
      <c r="N108" s="3" t="b">
        <f>AND(J108, O108 = 0)</f>
        <v>0</v>
      </c>
      <c r="O108" s="3">
        <f>COUNTIFS(AccessDenialTests!C2:C999, A108)</f>
        <v>0</v>
      </c>
      <c r="P108" s="2" t="s">
        <v>9713</v>
      </c>
    </row>
    <row r="109">
      <c r="A109" s="2" t="s">
        <v>9840</v>
      </c>
      <c r="B109" s="3" t="str">
        <f>C109 &amp; " " &amp; E109 &amp; " " &amp; D109</f>
        <v>principal-process-steward SELECT StepActions</v>
      </c>
      <c r="C109" s="2" t="s">
        <v>9706</v>
      </c>
      <c r="D109" s="2" t="s">
        <v>2962</v>
      </c>
      <c r="E109" s="2" t="s">
        <v>9711</v>
      </c>
      <c r="F109" s="2" t="s">
        <v>168</v>
      </c>
      <c r="G109" s="2" t="s">
        <v>168</v>
      </c>
      <c r="H109" s="2" t="s">
        <v>9787</v>
      </c>
      <c r="I109" s="2" t="b">
        <v>0</v>
      </c>
      <c r="J109" s="3" t="b">
        <f>OR(E109 = "INSERT", E109 = "UPDATE", E109 = "DELETE", E109 = "ALL")</f>
        <v>0</v>
      </c>
      <c r="K109" s="3" t="b">
        <f>F109 = ""</f>
        <v>1</v>
      </c>
      <c r="L109" s="3" t="b">
        <f>_xlfn.IFNA(INDEX(AccessPrincipals!G2:G999, MATCH(C109,AccessPrincipals!A2:A999, 0)), "")</f>
        <v>1</v>
      </c>
      <c r="M109" s="3" t="b">
        <f>AND(K109, NOT(L109))</f>
        <v>0</v>
      </c>
      <c r="N109" s="3" t="b">
        <f>AND(J109, O109 = 0)</f>
        <v>0</v>
      </c>
      <c r="O109" s="3">
        <f>COUNTIFS(AccessDenialTests!C2:C999, A109)</f>
        <v>0</v>
      </c>
      <c r="P109" s="2" t="s">
        <v>9713</v>
      </c>
    </row>
    <row r="110">
      <c r="A110" s="2" t="s">
        <v>9841</v>
      </c>
      <c r="B110" s="3" t="str">
        <f>C110 &amp; " " &amp; E110 &amp; " " &amp; D110</f>
        <v>principal-process-steward SELECT StepExecutions</v>
      </c>
      <c r="C110" s="2" t="s">
        <v>9706</v>
      </c>
      <c r="D110" s="2" t="s">
        <v>1807</v>
      </c>
      <c r="E110" s="2" t="s">
        <v>9711</v>
      </c>
      <c r="F110" s="2" t="s">
        <v>168</v>
      </c>
      <c r="G110" s="2" t="s">
        <v>168</v>
      </c>
      <c r="H110" s="2" t="s">
        <v>9787</v>
      </c>
      <c r="I110" s="2" t="b">
        <v>0</v>
      </c>
      <c r="J110" s="3" t="b">
        <f>OR(E110 = "INSERT", E110 = "UPDATE", E110 = "DELETE", E110 = "ALL")</f>
        <v>0</v>
      </c>
      <c r="K110" s="3" t="b">
        <f>F110 = ""</f>
        <v>1</v>
      </c>
      <c r="L110" s="3" t="b">
        <f>_xlfn.IFNA(INDEX(AccessPrincipals!G2:G999, MATCH(C110,AccessPrincipals!A2:A999, 0)), "")</f>
        <v>1</v>
      </c>
      <c r="M110" s="3" t="b">
        <f>AND(K110, NOT(L110))</f>
        <v>0</v>
      </c>
      <c r="N110" s="3" t="b">
        <f>AND(J110, O110 = 0)</f>
        <v>0</v>
      </c>
      <c r="O110" s="3">
        <f>COUNTIFS(AccessDenialTests!C2:C999, A110)</f>
        <v>0</v>
      </c>
      <c r="P110" s="2" t="s">
        <v>9713</v>
      </c>
    </row>
    <row r="111">
      <c r="A111" s="2" t="s">
        <v>9842</v>
      </c>
      <c r="B111" s="3" t="str">
        <f>C111 &amp; " " &amp; E111 &amp; " " &amp; D111</f>
        <v>principal-process-steward SELECT StepFunctions</v>
      </c>
      <c r="C111" s="2" t="s">
        <v>9706</v>
      </c>
      <c r="D111" s="2" t="s">
        <v>2968</v>
      </c>
      <c r="E111" s="2" t="s">
        <v>9711</v>
      </c>
      <c r="F111" s="2" t="s">
        <v>168</v>
      </c>
      <c r="G111" s="2" t="s">
        <v>168</v>
      </c>
      <c r="H111" s="2" t="s">
        <v>9787</v>
      </c>
      <c r="I111" s="2" t="b">
        <v>0</v>
      </c>
      <c r="J111" s="3" t="b">
        <f>OR(E111 = "INSERT", E111 = "UPDATE", E111 = "DELETE", E111 = "ALL")</f>
        <v>0</v>
      </c>
      <c r="K111" s="3" t="b">
        <f>F111 = ""</f>
        <v>1</v>
      </c>
      <c r="L111" s="3" t="b">
        <f>_xlfn.IFNA(INDEX(AccessPrincipals!G2:G999, MATCH(C111,AccessPrincipals!A2:A999, 0)), "")</f>
        <v>1</v>
      </c>
      <c r="M111" s="3" t="b">
        <f>AND(K111, NOT(L111))</f>
        <v>0</v>
      </c>
      <c r="N111" s="3" t="b">
        <f>AND(J111, O111 = 0)</f>
        <v>0</v>
      </c>
      <c r="O111" s="3">
        <f>COUNTIFS(AccessDenialTests!C2:C999, A111)</f>
        <v>0</v>
      </c>
      <c r="P111" s="2" t="s">
        <v>9713</v>
      </c>
    </row>
    <row r="112">
      <c r="A112" s="2" t="s">
        <v>9843</v>
      </c>
      <c r="B112" s="3" t="str">
        <f>C112 &amp; " " &amp; E112 &amp; " " &amp; D112</f>
        <v>principal-process-steward SELECT StepRequirements</v>
      </c>
      <c r="C112" s="2" t="s">
        <v>9706</v>
      </c>
      <c r="D112" s="2" t="s">
        <v>3053</v>
      </c>
      <c r="E112" s="2" t="s">
        <v>9711</v>
      </c>
      <c r="F112" s="2" t="s">
        <v>168</v>
      </c>
      <c r="G112" s="2" t="s">
        <v>168</v>
      </c>
      <c r="H112" s="2" t="s">
        <v>9787</v>
      </c>
      <c r="I112" s="2" t="b">
        <v>0</v>
      </c>
      <c r="J112" s="3" t="b">
        <f>OR(E112 = "INSERT", E112 = "UPDATE", E112 = "DELETE", E112 = "ALL")</f>
        <v>0</v>
      </c>
      <c r="K112" s="3" t="b">
        <f>F112 = ""</f>
        <v>1</v>
      </c>
      <c r="L112" s="3" t="b">
        <f>_xlfn.IFNA(INDEX(AccessPrincipals!G2:G999, MATCH(C112,AccessPrincipals!A2:A999, 0)), "")</f>
        <v>1</v>
      </c>
      <c r="M112" s="3" t="b">
        <f>AND(K112, NOT(L112))</f>
        <v>0</v>
      </c>
      <c r="N112" s="3" t="b">
        <f>AND(J112, O112 = 0)</f>
        <v>0</v>
      </c>
      <c r="O112" s="3">
        <f>COUNTIFS(AccessDenialTests!C2:C999, A112)</f>
        <v>0</v>
      </c>
      <c r="P112" s="2" t="s">
        <v>9713</v>
      </c>
    </row>
    <row r="113">
      <c r="A113" s="2" t="s">
        <v>9844</v>
      </c>
      <c r="B113" s="3" t="str">
        <f>C113 &amp; " " &amp; E113 &amp; " " &amp; D113</f>
        <v>principal-process-steward SELECT StepTools</v>
      </c>
      <c r="C113" s="2" t="s">
        <v>9706</v>
      </c>
      <c r="D113" s="2" t="s">
        <v>2974</v>
      </c>
      <c r="E113" s="2" t="s">
        <v>9711</v>
      </c>
      <c r="F113" s="2" t="s">
        <v>168</v>
      </c>
      <c r="G113" s="2" t="s">
        <v>168</v>
      </c>
      <c r="H113" s="2" t="s">
        <v>9787</v>
      </c>
      <c r="I113" s="2" t="b">
        <v>0</v>
      </c>
      <c r="J113" s="3" t="b">
        <f>OR(E113 = "INSERT", E113 = "UPDATE", E113 = "DELETE", E113 = "ALL")</f>
        <v>0</v>
      </c>
      <c r="K113" s="3" t="b">
        <f>F113 = ""</f>
        <v>1</v>
      </c>
      <c r="L113" s="3" t="b">
        <f>_xlfn.IFNA(INDEX(AccessPrincipals!G2:G999, MATCH(C113,AccessPrincipals!A2:A999, 0)), "")</f>
        <v>1</v>
      </c>
      <c r="M113" s="3" t="b">
        <f>AND(K113, NOT(L113))</f>
        <v>0</v>
      </c>
      <c r="N113" s="3" t="b">
        <f>AND(J113, O113 = 0)</f>
        <v>0</v>
      </c>
      <c r="O113" s="3">
        <f>COUNTIFS(AccessDenialTests!C2:C999, A113)</f>
        <v>0</v>
      </c>
      <c r="P113" s="2" t="s">
        <v>9713</v>
      </c>
    </row>
    <row r="114">
      <c r="A114" s="2" t="s">
        <v>9845</v>
      </c>
      <c r="B114" s="3" t="str">
        <f>C114 &amp; " " &amp; E114 &amp; " " &amp; D114</f>
        <v>principal-process-steward SELECT StepTransitions</v>
      </c>
      <c r="C114" s="2" t="s">
        <v>9706</v>
      </c>
      <c r="D114" s="2" t="s">
        <v>1764</v>
      </c>
      <c r="E114" s="2" t="s">
        <v>9711</v>
      </c>
      <c r="F114" s="2" t="s">
        <v>168</v>
      </c>
      <c r="G114" s="2" t="s">
        <v>168</v>
      </c>
      <c r="H114" s="2" t="s">
        <v>9787</v>
      </c>
      <c r="I114" s="2" t="b">
        <v>0</v>
      </c>
      <c r="J114" s="3" t="b">
        <f>OR(E114 = "INSERT", E114 = "UPDATE", E114 = "DELETE", E114 = "ALL")</f>
        <v>0</v>
      </c>
      <c r="K114" s="3" t="b">
        <f>F114 = ""</f>
        <v>1</v>
      </c>
      <c r="L114" s="3" t="b">
        <f>_xlfn.IFNA(INDEX(AccessPrincipals!G2:G999, MATCH(C114,AccessPrincipals!A2:A999, 0)), "")</f>
        <v>1</v>
      </c>
      <c r="M114" s="3" t="b">
        <f>AND(K114, NOT(L114))</f>
        <v>0</v>
      </c>
      <c r="N114" s="3" t="b">
        <f>AND(J114, O114 = 0)</f>
        <v>0</v>
      </c>
      <c r="O114" s="3">
        <f>COUNTIFS(AccessDenialTests!C2:C999, A114)</f>
        <v>0</v>
      </c>
      <c r="P114" s="2" t="s">
        <v>9713</v>
      </c>
    </row>
    <row r="115">
      <c r="A115" s="2" t="s">
        <v>9846</v>
      </c>
      <c r="B115" s="3" t="str">
        <f>C115 &amp; " " &amp; E115 &amp; " " &amp; D115</f>
        <v>principal-process-steward SELECT StepVerifications</v>
      </c>
      <c r="C115" s="2" t="s">
        <v>9706</v>
      </c>
      <c r="D115" s="2" t="s">
        <v>1788</v>
      </c>
      <c r="E115" s="2" t="s">
        <v>9711</v>
      </c>
      <c r="F115" s="2" t="s">
        <v>168</v>
      </c>
      <c r="G115" s="2" t="s">
        <v>168</v>
      </c>
      <c r="H115" s="2" t="s">
        <v>9787</v>
      </c>
      <c r="I115" s="2" t="b">
        <v>0</v>
      </c>
      <c r="J115" s="3" t="b">
        <f>OR(E115 = "INSERT", E115 = "UPDATE", E115 = "DELETE", E115 = "ALL")</f>
        <v>0</v>
      </c>
      <c r="K115" s="3" t="b">
        <f>F115 = ""</f>
        <v>1</v>
      </c>
      <c r="L115" s="3" t="b">
        <f>_xlfn.IFNA(INDEX(AccessPrincipals!G2:G999, MATCH(C115,AccessPrincipals!A2:A999, 0)), "")</f>
        <v>1</v>
      </c>
      <c r="M115" s="3" t="b">
        <f>AND(K115, NOT(L115))</f>
        <v>0</v>
      </c>
      <c r="N115" s="3" t="b">
        <f>AND(J115, O115 = 0)</f>
        <v>0</v>
      </c>
      <c r="O115" s="3">
        <f>COUNTIFS(AccessDenialTests!C2:C999, A115)</f>
        <v>0</v>
      </c>
      <c r="P115" s="2" t="s">
        <v>9713</v>
      </c>
    </row>
    <row r="116">
      <c r="A116" s="2" t="s">
        <v>9847</v>
      </c>
      <c r="B116" s="3" t="str">
        <f>C116 &amp; " " &amp; E116 &amp; " " &amp; D116</f>
        <v>principal-process-steward SELECT Steps</v>
      </c>
      <c r="C116" s="2" t="s">
        <v>9706</v>
      </c>
      <c r="D116" s="2" t="s">
        <v>1758</v>
      </c>
      <c r="E116" s="2" t="s">
        <v>9711</v>
      </c>
      <c r="F116" s="2" t="s">
        <v>168</v>
      </c>
      <c r="G116" s="2" t="s">
        <v>168</v>
      </c>
      <c r="H116" s="2" t="s">
        <v>9787</v>
      </c>
      <c r="I116" s="2" t="b">
        <v>0</v>
      </c>
      <c r="J116" s="3" t="b">
        <f>OR(E116 = "INSERT", E116 = "UPDATE", E116 = "DELETE", E116 = "ALL")</f>
        <v>0</v>
      </c>
      <c r="K116" s="3" t="b">
        <f>F116 = ""</f>
        <v>1</v>
      </c>
      <c r="L116" s="3" t="b">
        <f>_xlfn.IFNA(INDEX(AccessPrincipals!G2:G999, MATCH(C116,AccessPrincipals!A2:A999, 0)), "")</f>
        <v>1</v>
      </c>
      <c r="M116" s="3" t="b">
        <f>AND(K116, NOT(L116))</f>
        <v>0</v>
      </c>
      <c r="N116" s="3" t="b">
        <f>AND(J116, O116 = 0)</f>
        <v>0</v>
      </c>
      <c r="O116" s="3">
        <f>COUNTIFS(AccessDenialTests!C2:C999, A116)</f>
        <v>0</v>
      </c>
      <c r="P116" s="2" t="s">
        <v>9713</v>
      </c>
    </row>
    <row r="117">
      <c r="A117" s="2" t="s">
        <v>9848</v>
      </c>
      <c r="B117" s="3" t="str">
        <f>C117 &amp; " " &amp; E117 &amp; " " &amp; D117</f>
        <v>principal-process-steward SELECT StewardshipAssignments</v>
      </c>
      <c r="C117" s="2" t="s">
        <v>9706</v>
      </c>
      <c r="D117" s="2" t="s">
        <v>1839</v>
      </c>
      <c r="E117" s="2" t="s">
        <v>9711</v>
      </c>
      <c r="F117" s="2" t="s">
        <v>168</v>
      </c>
      <c r="G117" s="2" t="s">
        <v>168</v>
      </c>
      <c r="H117" s="2" t="s">
        <v>9787</v>
      </c>
      <c r="I117" s="2" t="b">
        <v>0</v>
      </c>
      <c r="J117" s="3" t="b">
        <f>OR(E117 = "INSERT", E117 = "UPDATE", E117 = "DELETE", E117 = "ALL")</f>
        <v>0</v>
      </c>
      <c r="K117" s="3" t="b">
        <f>F117 = ""</f>
        <v>1</v>
      </c>
      <c r="L117" s="3" t="b">
        <f>_xlfn.IFNA(INDEX(AccessPrincipals!G2:G999, MATCH(C117,AccessPrincipals!A2:A999, 0)), "")</f>
        <v>1</v>
      </c>
      <c r="M117" s="3" t="b">
        <f>AND(K117, NOT(L117))</f>
        <v>0</v>
      </c>
      <c r="N117" s="3" t="b">
        <f>AND(J117, O117 = 0)</f>
        <v>0</v>
      </c>
      <c r="O117" s="3">
        <f>COUNTIFS(AccessDenialTests!C2:C999, A117)</f>
        <v>0</v>
      </c>
      <c r="P117" s="2" t="s">
        <v>9713</v>
      </c>
    </row>
    <row r="118">
      <c r="A118" s="2" t="s">
        <v>9849</v>
      </c>
      <c r="B118" s="3" t="str">
        <f>C118 &amp; " " &amp; E118 &amp; " " &amp; D118</f>
        <v>principal-process-steward SELECT TemplateApprovals</v>
      </c>
      <c r="C118" s="2" t="s">
        <v>9706</v>
      </c>
      <c r="D118" s="2" t="s">
        <v>4632</v>
      </c>
      <c r="E118" s="2" t="s">
        <v>9711</v>
      </c>
      <c r="F118" s="2" t="s">
        <v>168</v>
      </c>
      <c r="G118" s="2" t="s">
        <v>168</v>
      </c>
      <c r="H118" s="2" t="s">
        <v>9787</v>
      </c>
      <c r="I118" s="2" t="b">
        <v>0</v>
      </c>
      <c r="J118" s="3" t="b">
        <f>OR(E118 = "INSERT", E118 = "UPDATE", E118 = "DELETE", E118 = "ALL")</f>
        <v>0</v>
      </c>
      <c r="K118" s="3" t="b">
        <f>F118 = ""</f>
        <v>1</v>
      </c>
      <c r="L118" s="3" t="b">
        <f>_xlfn.IFNA(INDEX(AccessPrincipals!G2:G999, MATCH(C118,AccessPrincipals!A2:A999, 0)), "")</f>
        <v>1</v>
      </c>
      <c r="M118" s="3" t="b">
        <f>AND(K118, NOT(L118))</f>
        <v>0</v>
      </c>
      <c r="N118" s="3" t="b">
        <f>AND(J118, O118 = 0)</f>
        <v>0</v>
      </c>
      <c r="O118" s="3">
        <f>COUNTIFS(AccessDenialTests!C2:C999, A118)</f>
        <v>0</v>
      </c>
      <c r="P118" s="2" t="s">
        <v>9713</v>
      </c>
    </row>
    <row r="119">
      <c r="A119" s="2" t="s">
        <v>9850</v>
      </c>
      <c r="B119" s="3" t="str">
        <f>C119 &amp; " " &amp; E119 &amp; " " &amp; D119</f>
        <v>principal-process-steward SELECT TestCases</v>
      </c>
      <c r="C119" s="2" t="s">
        <v>9706</v>
      </c>
      <c r="D119" s="2" t="s">
        <v>4143</v>
      </c>
      <c r="E119" s="2" t="s">
        <v>9711</v>
      </c>
      <c r="F119" s="2" t="s">
        <v>168</v>
      </c>
      <c r="G119" s="2" t="s">
        <v>168</v>
      </c>
      <c r="H119" s="2" t="s">
        <v>9787</v>
      </c>
      <c r="I119" s="2" t="b">
        <v>0</v>
      </c>
      <c r="J119" s="3" t="b">
        <f>OR(E119 = "INSERT", E119 = "UPDATE", E119 = "DELETE", E119 = "ALL")</f>
        <v>0</v>
      </c>
      <c r="K119" s="3" t="b">
        <f>F119 = ""</f>
        <v>1</v>
      </c>
      <c r="L119" s="3" t="b">
        <f>_xlfn.IFNA(INDEX(AccessPrincipals!G2:G999, MATCH(C119,AccessPrincipals!A2:A999, 0)), "")</f>
        <v>1</v>
      </c>
      <c r="M119" s="3" t="b">
        <f>AND(K119, NOT(L119))</f>
        <v>0</v>
      </c>
      <c r="N119" s="3" t="b">
        <f>AND(J119, O119 = 0)</f>
        <v>0</v>
      </c>
      <c r="O119" s="3">
        <f>COUNTIFS(AccessDenialTests!C2:C999, A119)</f>
        <v>0</v>
      </c>
      <c r="P119" s="2" t="s">
        <v>9713</v>
      </c>
    </row>
    <row r="120">
      <c r="A120" s="2" t="s">
        <v>9851</v>
      </c>
      <c r="B120" s="3" t="str">
        <f>C120 &amp; " " &amp; E120 &amp; " " &amp; D120</f>
        <v>principal-process-steward SELECT TestSuites</v>
      </c>
      <c r="C120" s="2" t="s">
        <v>9706</v>
      </c>
      <c r="D120" s="2" t="s">
        <v>4125</v>
      </c>
      <c r="E120" s="2" t="s">
        <v>9711</v>
      </c>
      <c r="F120" s="2" t="s">
        <v>168</v>
      </c>
      <c r="G120" s="2" t="s">
        <v>168</v>
      </c>
      <c r="H120" s="2" t="s">
        <v>9787</v>
      </c>
      <c r="I120" s="2" t="b">
        <v>0</v>
      </c>
      <c r="J120" s="3" t="b">
        <f>OR(E120 = "INSERT", E120 = "UPDATE", E120 = "DELETE", E120 = "ALL")</f>
        <v>0</v>
      </c>
      <c r="K120" s="3" t="b">
        <f>F120 = ""</f>
        <v>1</v>
      </c>
      <c r="L120" s="3" t="b">
        <f>_xlfn.IFNA(INDEX(AccessPrincipals!G2:G999, MATCH(C120,AccessPrincipals!A2:A999, 0)), "")</f>
        <v>1</v>
      </c>
      <c r="M120" s="3" t="b">
        <f>AND(K120, NOT(L120))</f>
        <v>0</v>
      </c>
      <c r="N120" s="3" t="b">
        <f>AND(J120, O120 = 0)</f>
        <v>0</v>
      </c>
      <c r="O120" s="3">
        <f>COUNTIFS(AccessDenialTests!C2:C999, A120)</f>
        <v>0</v>
      </c>
      <c r="P120" s="2" t="s">
        <v>9713</v>
      </c>
    </row>
    <row r="121">
      <c r="A121" s="2" t="s">
        <v>9852</v>
      </c>
      <c r="B121" s="3" t="str">
        <f>C121 &amp; " " &amp; E121 &amp; " " &amp; D121</f>
        <v>principal-process-steward SELECT Tools</v>
      </c>
      <c r="C121" s="2" t="s">
        <v>9706</v>
      </c>
      <c r="D121" s="2" t="s">
        <v>1782</v>
      </c>
      <c r="E121" s="2" t="s">
        <v>9711</v>
      </c>
      <c r="F121" s="2" t="s">
        <v>168</v>
      </c>
      <c r="G121" s="2" t="s">
        <v>168</v>
      </c>
      <c r="H121" s="2" t="s">
        <v>9787</v>
      </c>
      <c r="I121" s="2" t="b">
        <v>0</v>
      </c>
      <c r="J121" s="3" t="b">
        <f>OR(E121 = "INSERT", E121 = "UPDATE", E121 = "DELETE", E121 = "ALL")</f>
        <v>0</v>
      </c>
      <c r="K121" s="3" t="b">
        <f>F121 = ""</f>
        <v>1</v>
      </c>
      <c r="L121" s="3" t="b">
        <f>_xlfn.IFNA(INDEX(AccessPrincipals!G2:G999, MATCH(C121,AccessPrincipals!A2:A999, 0)), "")</f>
        <v>1</v>
      </c>
      <c r="M121" s="3" t="b">
        <f>AND(K121, NOT(L121))</f>
        <v>0</v>
      </c>
      <c r="N121" s="3" t="b">
        <f>AND(J121, O121 = 0)</f>
        <v>0</v>
      </c>
      <c r="O121" s="3">
        <f>COUNTIFS(AccessDenialTests!C2:C999, A121)</f>
        <v>0</v>
      </c>
      <c r="P121" s="2" t="s">
        <v>9713</v>
      </c>
    </row>
    <row r="122">
      <c r="A122" s="2" t="s">
        <v>9853</v>
      </c>
      <c r="B122" s="3" t="str">
        <f>C122 &amp; " " &amp; E122 &amp; " " &amp; D122</f>
        <v>principal-process-steward SELECT UserFeedback</v>
      </c>
      <c r="C122" s="2" t="s">
        <v>9706</v>
      </c>
      <c r="D122" s="2" t="s">
        <v>1822</v>
      </c>
      <c r="E122" s="2" t="s">
        <v>9711</v>
      </c>
      <c r="F122" s="2" t="s">
        <v>168</v>
      </c>
      <c r="G122" s="2" t="s">
        <v>168</v>
      </c>
      <c r="H122" s="2" t="s">
        <v>9787</v>
      </c>
      <c r="I122" s="2" t="b">
        <v>0</v>
      </c>
      <c r="J122" s="3" t="b">
        <f>OR(E122 = "INSERT", E122 = "UPDATE", E122 = "DELETE", E122 = "ALL")</f>
        <v>0</v>
      </c>
      <c r="K122" s="3" t="b">
        <f>F122 = ""</f>
        <v>1</v>
      </c>
      <c r="L122" s="3" t="b">
        <f>_xlfn.IFNA(INDEX(AccessPrincipals!G2:G999, MATCH(C122,AccessPrincipals!A2:A999, 0)), "")</f>
        <v>1</v>
      </c>
      <c r="M122" s="3" t="b">
        <f>AND(K122, NOT(L122))</f>
        <v>0</v>
      </c>
      <c r="N122" s="3" t="b">
        <f>AND(J122, O122 = 0)</f>
        <v>0</v>
      </c>
      <c r="O122" s="3">
        <f>COUNTIFS(AccessDenialTests!C2:C999, A122)</f>
        <v>0</v>
      </c>
      <c r="P122" s="2" t="s">
        <v>9713</v>
      </c>
    </row>
    <row r="123">
      <c r="A123" s="2" t="s">
        <v>9854</v>
      </c>
      <c r="B123" s="3" t="str">
        <f>C123 &amp; " " &amp; E123 &amp; " " &amp; D123</f>
        <v>principal-process-steward SELECT UserQuestions</v>
      </c>
      <c r="C123" s="2" t="s">
        <v>9706</v>
      </c>
      <c r="D123" s="2" t="s">
        <v>1819</v>
      </c>
      <c r="E123" s="2" t="s">
        <v>9711</v>
      </c>
      <c r="F123" s="2" t="s">
        <v>168</v>
      </c>
      <c r="G123" s="2" t="s">
        <v>168</v>
      </c>
      <c r="H123" s="2" t="s">
        <v>9787</v>
      </c>
      <c r="I123" s="2" t="b">
        <v>0</v>
      </c>
      <c r="J123" s="3" t="b">
        <f>OR(E123 = "INSERT", E123 = "UPDATE", E123 = "DELETE", E123 = "ALL")</f>
        <v>0</v>
      </c>
      <c r="K123" s="3" t="b">
        <f>F123 = ""</f>
        <v>1</v>
      </c>
      <c r="L123" s="3" t="b">
        <f>_xlfn.IFNA(INDEX(AccessPrincipals!G2:G999, MATCH(C123,AccessPrincipals!A2:A999, 0)), "")</f>
        <v>1</v>
      </c>
      <c r="M123" s="3" t="b">
        <f>AND(K123, NOT(L123))</f>
        <v>0</v>
      </c>
      <c r="N123" s="3" t="b">
        <f>AND(J123, O123 = 0)</f>
        <v>0</v>
      </c>
      <c r="O123" s="3">
        <f>COUNTIFS(AccessDenialTests!C2:C999, A123)</f>
        <v>0</v>
      </c>
      <c r="P123" s="2" t="s">
        <v>9713</v>
      </c>
    </row>
    <row r="124">
      <c r="A124" s="2" t="s">
        <v>9855</v>
      </c>
      <c r="B124" s="3" t="str">
        <f>C124 &amp; " " &amp; E124 &amp; " " &amp; D124</f>
        <v>principal-process-steward SELECT VerificationOutcomes</v>
      </c>
      <c r="C124" s="2" t="s">
        <v>9706</v>
      </c>
      <c r="D124" s="2" t="s">
        <v>4271</v>
      </c>
      <c r="E124" s="2" t="s">
        <v>9711</v>
      </c>
      <c r="F124" s="2" t="s">
        <v>168</v>
      </c>
      <c r="G124" s="2" t="s">
        <v>168</v>
      </c>
      <c r="H124" s="2" t="s">
        <v>9787</v>
      </c>
      <c r="I124" s="2" t="b">
        <v>0</v>
      </c>
      <c r="J124" s="3" t="b">
        <f>OR(E124 = "INSERT", E124 = "UPDATE", E124 = "DELETE", E124 = "ALL")</f>
        <v>0</v>
      </c>
      <c r="K124" s="3" t="b">
        <f>F124 = ""</f>
        <v>1</v>
      </c>
      <c r="L124" s="3" t="b">
        <f>_xlfn.IFNA(INDEX(AccessPrincipals!G2:G999, MATCH(C124,AccessPrincipals!A2:A999, 0)), "")</f>
        <v>1</v>
      </c>
      <c r="M124" s="3" t="b">
        <f>AND(K124, NOT(L124))</f>
        <v>0</v>
      </c>
      <c r="N124" s="3" t="b">
        <f>AND(J124, O124 = 0)</f>
        <v>0</v>
      </c>
      <c r="O124" s="3">
        <f>COUNTIFS(AccessDenialTests!C2:C999, A124)</f>
        <v>0</v>
      </c>
      <c r="P124" s="2" t="s">
        <v>9713</v>
      </c>
    </row>
    <row r="125">
      <c r="A125" s="2" t="s">
        <v>9856</v>
      </c>
      <c r="B125" s="3" t="str">
        <f>C125 &amp; " " &amp; E125 &amp; " " &amp; D125</f>
        <v>principal-process-steward SELECT WitnessLoops</v>
      </c>
      <c r="C125" s="2" t="s">
        <v>9706</v>
      </c>
      <c r="D125" s="2" t="s">
        <v>4074</v>
      </c>
      <c r="E125" s="2" t="s">
        <v>9711</v>
      </c>
      <c r="F125" s="2" t="s">
        <v>168</v>
      </c>
      <c r="G125" s="2" t="s">
        <v>168</v>
      </c>
      <c r="H125" s="2" t="s">
        <v>9787</v>
      </c>
      <c r="I125" s="2" t="b">
        <v>0</v>
      </c>
      <c r="J125" s="3" t="b">
        <f>OR(E125 = "INSERT", E125 = "UPDATE", E125 = "DELETE", E125 = "ALL")</f>
        <v>0</v>
      </c>
      <c r="K125" s="3" t="b">
        <f>F125 = ""</f>
        <v>1</v>
      </c>
      <c r="L125" s="3" t="b">
        <f>_xlfn.IFNA(INDEX(AccessPrincipals!G2:G999, MATCH(C125,AccessPrincipals!A2:A999, 0)), "")</f>
        <v>1</v>
      </c>
      <c r="M125" s="3" t="b">
        <f>AND(K125, NOT(L125))</f>
        <v>0</v>
      </c>
      <c r="N125" s="3" t="b">
        <f>AND(J125, O125 = 0)</f>
        <v>0</v>
      </c>
      <c r="O125" s="3">
        <f>COUNTIFS(AccessDenialTests!C2:C999, A125)</f>
        <v>0</v>
      </c>
      <c r="P125" s="2" t="s">
        <v>9713</v>
      </c>
    </row>
    <row r="126">
      <c r="A126" s="2" t="s">
        <v>9857</v>
      </c>
      <c r="B126" s="3" t="str">
        <f>C126 &amp; " " &amp; E126 &amp; " " &amp; D126</f>
        <v>principal-knowledge-authority SELECT Actions</v>
      </c>
      <c r="C126" s="2" t="s">
        <v>9708</v>
      </c>
      <c r="D126" s="2" t="s">
        <v>1776</v>
      </c>
      <c r="E126" s="2" t="s">
        <v>9711</v>
      </c>
      <c r="F126" s="2" t="s">
        <v>168</v>
      </c>
      <c r="G126" s="2" t="s">
        <v>168</v>
      </c>
      <c r="H126" s="2" t="s">
        <v>9787</v>
      </c>
      <c r="I126" s="2" t="b">
        <v>0</v>
      </c>
      <c r="J126" s="3" t="b">
        <f>OR(E126 = "INSERT", E126 = "UPDATE", E126 = "DELETE", E126 = "ALL")</f>
        <v>0</v>
      </c>
      <c r="K126" s="3" t="b">
        <f>F126 = ""</f>
        <v>1</v>
      </c>
      <c r="L126" s="3" t="b">
        <f>_xlfn.IFNA(INDEX(AccessPrincipals!G2:G999, MATCH(C126,AccessPrincipals!A2:A999, 0)), "")</f>
        <v>1</v>
      </c>
      <c r="M126" s="3" t="b">
        <f>AND(K126, NOT(L126))</f>
        <v>0</v>
      </c>
      <c r="N126" s="3" t="b">
        <f>AND(J126, O126 = 0)</f>
        <v>0</v>
      </c>
      <c r="O126" s="3">
        <f>COUNTIFS(AccessDenialTests!C2:C999, A126)</f>
        <v>0</v>
      </c>
      <c r="P126" s="2" t="s">
        <v>9713</v>
      </c>
    </row>
    <row r="127">
      <c r="A127" s="2" t="s">
        <v>9858</v>
      </c>
      <c r="B127" s="3" t="str">
        <f>C127 &amp; " " &amp; E127 &amp; " " &amp; D127</f>
        <v>principal-knowledge-authority SELECT AgentDecisionRecords</v>
      </c>
      <c r="C127" s="2" t="s">
        <v>9708</v>
      </c>
      <c r="D127" s="2" t="s">
        <v>4928</v>
      </c>
      <c r="E127" s="2" t="s">
        <v>9711</v>
      </c>
      <c r="F127" s="2" t="s">
        <v>168</v>
      </c>
      <c r="G127" s="2" t="s">
        <v>168</v>
      </c>
      <c r="H127" s="2" t="s">
        <v>9787</v>
      </c>
      <c r="I127" s="2" t="b">
        <v>0</v>
      </c>
      <c r="J127" s="3" t="b">
        <f>OR(E127 = "INSERT", E127 = "UPDATE", E127 = "DELETE", E127 = "ALL")</f>
        <v>0</v>
      </c>
      <c r="K127" s="3" t="b">
        <f>F127 = ""</f>
        <v>1</v>
      </c>
      <c r="L127" s="3" t="b">
        <f>_xlfn.IFNA(INDEX(AccessPrincipals!G2:G999, MATCH(C127,AccessPrincipals!A2:A999, 0)), "")</f>
        <v>1</v>
      </c>
      <c r="M127" s="3" t="b">
        <f>AND(K127, NOT(L127))</f>
        <v>0</v>
      </c>
      <c r="N127" s="3" t="b">
        <f>AND(J127, O127 = 0)</f>
        <v>0</v>
      </c>
      <c r="O127" s="3">
        <f>COUNTIFS(AccessDenialTests!C2:C999, A127)</f>
        <v>0</v>
      </c>
      <c r="P127" s="2" t="s">
        <v>9713</v>
      </c>
    </row>
    <row r="128">
      <c r="A128" s="2" t="s">
        <v>9859</v>
      </c>
      <c r="B128" s="3" t="str">
        <f>C128 &amp; " " &amp; E128 &amp; " " &amp; D128</f>
        <v>principal-knowledge-authority SELECT Agents</v>
      </c>
      <c r="C128" s="2" t="s">
        <v>9708</v>
      </c>
      <c r="D128" s="2" t="s">
        <v>1794</v>
      </c>
      <c r="E128" s="2" t="s">
        <v>9711</v>
      </c>
      <c r="F128" s="2" t="s">
        <v>168</v>
      </c>
      <c r="G128" s="2" t="s">
        <v>168</v>
      </c>
      <c r="H128" s="2" t="s">
        <v>9787</v>
      </c>
      <c r="I128" s="2" t="b">
        <v>0</v>
      </c>
      <c r="J128" s="3" t="b">
        <f>OR(E128 = "INSERT", E128 = "UPDATE", E128 = "DELETE", E128 = "ALL")</f>
        <v>0</v>
      </c>
      <c r="K128" s="3" t="b">
        <f>F128 = ""</f>
        <v>1</v>
      </c>
      <c r="L128" s="3" t="b">
        <f>_xlfn.IFNA(INDEX(AccessPrincipals!G2:G999, MATCH(C128,AccessPrincipals!A2:A999, 0)), "")</f>
        <v>1</v>
      </c>
      <c r="M128" s="3" t="b">
        <f>AND(K128, NOT(L128))</f>
        <v>0</v>
      </c>
      <c r="N128" s="3" t="b">
        <f>AND(J128, O128 = 0)</f>
        <v>0</v>
      </c>
      <c r="O128" s="3">
        <f>COUNTIFS(AccessDenialTests!C2:C999, A128)</f>
        <v>0</v>
      </c>
      <c r="P128" s="2" t="s">
        <v>9713</v>
      </c>
    </row>
    <row r="129">
      <c r="A129" s="2" t="s">
        <v>9860</v>
      </c>
      <c r="B129" s="3" t="str">
        <f>C129 &amp; " " &amp; E129 &amp; " " &amp; D129</f>
        <v>principal-knowledge-authority SELECT AppNavGroups</v>
      </c>
      <c r="C129" s="2" t="s">
        <v>9708</v>
      </c>
      <c r="D129" s="2" t="s">
        <v>1853</v>
      </c>
      <c r="E129" s="2" t="s">
        <v>9711</v>
      </c>
      <c r="F129" s="2" t="s">
        <v>168</v>
      </c>
      <c r="G129" s="2" t="s">
        <v>168</v>
      </c>
      <c r="H129" s="2" t="s">
        <v>9787</v>
      </c>
      <c r="I129" s="2" t="b">
        <v>0</v>
      </c>
      <c r="J129" s="3" t="b">
        <f>OR(E129 = "INSERT", E129 = "UPDATE", E129 = "DELETE", E129 = "ALL")</f>
        <v>0</v>
      </c>
      <c r="K129" s="3" t="b">
        <f>F129 = ""</f>
        <v>1</v>
      </c>
      <c r="L129" s="3" t="b">
        <f>_xlfn.IFNA(INDEX(AccessPrincipals!G2:G999, MATCH(C129,AccessPrincipals!A2:A999, 0)), "")</f>
        <v>1</v>
      </c>
      <c r="M129" s="3" t="b">
        <f>AND(K129, NOT(L129))</f>
        <v>0</v>
      </c>
      <c r="N129" s="3" t="b">
        <f>AND(J129, O129 = 0)</f>
        <v>0</v>
      </c>
      <c r="O129" s="3">
        <f>COUNTIFS(AccessDenialTests!C2:C999, A129)</f>
        <v>0</v>
      </c>
      <c r="P129" s="2" t="s">
        <v>9713</v>
      </c>
    </row>
    <row r="130">
      <c r="A130" s="2" t="s">
        <v>9861</v>
      </c>
      <c r="B130" s="3" t="str">
        <f>C130 &amp; " " &amp; E130 &amp; " " &amp; D130</f>
        <v>principal-knowledge-authority SELECT AppRoleProfiles</v>
      </c>
      <c r="C130" s="2" t="s">
        <v>9708</v>
      </c>
      <c r="D130" s="2" t="s">
        <v>1849</v>
      </c>
      <c r="E130" s="2" t="s">
        <v>9711</v>
      </c>
      <c r="F130" s="2" t="s">
        <v>168</v>
      </c>
      <c r="G130" s="2" t="s">
        <v>168</v>
      </c>
      <c r="H130" s="2" t="s">
        <v>9787</v>
      </c>
      <c r="I130" s="2" t="b">
        <v>0</v>
      </c>
      <c r="J130" s="3" t="b">
        <f>OR(E130 = "INSERT", E130 = "UPDATE", E130 = "DELETE", E130 = "ALL")</f>
        <v>0</v>
      </c>
      <c r="K130" s="3" t="b">
        <f>F130 = ""</f>
        <v>1</v>
      </c>
      <c r="L130" s="3" t="b">
        <f>_xlfn.IFNA(INDEX(AccessPrincipals!G2:G999, MATCH(C130,AccessPrincipals!A2:A999, 0)), "")</f>
        <v>1</v>
      </c>
      <c r="M130" s="3" t="b">
        <f>AND(K130, NOT(L130))</f>
        <v>0</v>
      </c>
      <c r="N130" s="3" t="b">
        <f>AND(J130, O130 = 0)</f>
        <v>0</v>
      </c>
      <c r="O130" s="3">
        <f>COUNTIFS(AccessDenialTests!C2:C999, A130)</f>
        <v>0</v>
      </c>
      <c r="P130" s="2" t="s">
        <v>9713</v>
      </c>
    </row>
    <row r="131">
      <c r="A131" s="2" t="s">
        <v>9862</v>
      </c>
      <c r="B131" s="3" t="str">
        <f>C131 &amp; " " &amp; E131 &amp; " " &amp; D131</f>
        <v>principal-knowledge-authority SELECT AppRouteQuestions</v>
      </c>
      <c r="C131" s="2" t="s">
        <v>9708</v>
      </c>
      <c r="D131" s="2" t="s">
        <v>1861</v>
      </c>
      <c r="E131" s="2" t="s">
        <v>9711</v>
      </c>
      <c r="F131" s="2" t="s">
        <v>168</v>
      </c>
      <c r="G131" s="2" t="s">
        <v>168</v>
      </c>
      <c r="H131" s="2" t="s">
        <v>9787</v>
      </c>
      <c r="I131" s="2" t="b">
        <v>0</v>
      </c>
      <c r="J131" s="3" t="b">
        <f>OR(E131 = "INSERT", E131 = "UPDATE", E131 = "DELETE", E131 = "ALL")</f>
        <v>0</v>
      </c>
      <c r="K131" s="3" t="b">
        <f>F131 = ""</f>
        <v>1</v>
      </c>
      <c r="L131" s="3" t="b">
        <f>_xlfn.IFNA(INDEX(AccessPrincipals!G2:G999, MATCH(C131,AccessPrincipals!A2:A999, 0)), "")</f>
        <v>1</v>
      </c>
      <c r="M131" s="3" t="b">
        <f>AND(K131, NOT(L131))</f>
        <v>0</v>
      </c>
      <c r="N131" s="3" t="b">
        <f>AND(J131, O131 = 0)</f>
        <v>0</v>
      </c>
      <c r="O131" s="3">
        <f>COUNTIFS(AccessDenialTests!C2:C999, A131)</f>
        <v>0</v>
      </c>
      <c r="P131" s="2" t="s">
        <v>9713</v>
      </c>
    </row>
    <row r="132">
      <c r="A132" s="2" t="s">
        <v>9863</v>
      </c>
      <c r="B132" s="3" t="str">
        <f>C132 &amp; " " &amp; E132 &amp; " " &amp; D132</f>
        <v>principal-knowledge-authority SELECT AppRouteReferences</v>
      </c>
      <c r="C132" s="2" t="s">
        <v>9708</v>
      </c>
      <c r="D132" s="2" t="s">
        <v>1865</v>
      </c>
      <c r="E132" s="2" t="s">
        <v>9711</v>
      </c>
      <c r="F132" s="2" t="s">
        <v>168</v>
      </c>
      <c r="G132" s="2" t="s">
        <v>168</v>
      </c>
      <c r="H132" s="2" t="s">
        <v>9787</v>
      </c>
      <c r="I132" s="2" t="b">
        <v>0</v>
      </c>
      <c r="J132" s="3" t="b">
        <f>OR(E132 = "INSERT", E132 = "UPDATE", E132 = "DELETE", E132 = "ALL")</f>
        <v>0</v>
      </c>
      <c r="K132" s="3" t="b">
        <f>F132 = ""</f>
        <v>1</v>
      </c>
      <c r="L132" s="3" t="b">
        <f>_xlfn.IFNA(INDEX(AccessPrincipals!G2:G999, MATCH(C132,AccessPrincipals!A2:A999, 0)), "")</f>
        <v>1</v>
      </c>
      <c r="M132" s="3" t="b">
        <f>AND(K132, NOT(L132))</f>
        <v>0</v>
      </c>
      <c r="N132" s="3" t="b">
        <f>AND(J132, O132 = 0)</f>
        <v>0</v>
      </c>
      <c r="O132" s="3">
        <f>COUNTIFS(AccessDenialTests!C2:C999, A132)</f>
        <v>0</v>
      </c>
      <c r="P132" s="2" t="s">
        <v>9713</v>
      </c>
    </row>
    <row r="133">
      <c r="A133" s="2" t="s">
        <v>9864</v>
      </c>
      <c r="B133" s="3" t="str">
        <f>C133 &amp; " " &amp; E133 &amp; " " &amp; D133</f>
        <v>principal-knowledge-authority SELECT AppRoutes</v>
      </c>
      <c r="C133" s="2" t="s">
        <v>9708</v>
      </c>
      <c r="D133" s="2" t="s">
        <v>1857</v>
      </c>
      <c r="E133" s="2" t="s">
        <v>9711</v>
      </c>
      <c r="F133" s="2" t="s">
        <v>168</v>
      </c>
      <c r="G133" s="2" t="s">
        <v>168</v>
      </c>
      <c r="H133" s="2" t="s">
        <v>9787</v>
      </c>
      <c r="I133" s="2" t="b">
        <v>0</v>
      </c>
      <c r="J133" s="3" t="b">
        <f>OR(E133 = "INSERT", E133 = "UPDATE", E133 = "DELETE", E133 = "ALL")</f>
        <v>0</v>
      </c>
      <c r="K133" s="3" t="b">
        <f>F133 = ""</f>
        <v>1</v>
      </c>
      <c r="L133" s="3" t="b">
        <f>_xlfn.IFNA(INDEX(AccessPrincipals!G2:G999, MATCH(C133,AccessPrincipals!A2:A999, 0)), "")</f>
        <v>1</v>
      </c>
      <c r="M133" s="3" t="b">
        <f>AND(K133, NOT(L133))</f>
        <v>0</v>
      </c>
      <c r="N133" s="3" t="b">
        <f>AND(J133, O133 = 0)</f>
        <v>0</v>
      </c>
      <c r="O133" s="3">
        <f>COUNTIFS(AccessDenialTests!C2:C999, A133)</f>
        <v>0</v>
      </c>
      <c r="P133" s="2" t="s">
        <v>9713</v>
      </c>
    </row>
    <row r="134">
      <c r="A134" s="2" t="s">
        <v>9865</v>
      </c>
      <c r="B134" s="3" t="str">
        <f>C134 &amp; " " &amp; E134 &amp; " " &amp; D134</f>
        <v>principal-knowledge-authority SELECT Attestations</v>
      </c>
      <c r="C134" s="2" t="s">
        <v>9708</v>
      </c>
      <c r="D134" s="2" t="s">
        <v>5169</v>
      </c>
      <c r="E134" s="2" t="s">
        <v>9711</v>
      </c>
      <c r="F134" s="2" t="s">
        <v>168</v>
      </c>
      <c r="G134" s="2" t="s">
        <v>168</v>
      </c>
      <c r="H134" s="2" t="s">
        <v>9787</v>
      </c>
      <c r="I134" s="2" t="b">
        <v>0</v>
      </c>
      <c r="J134" s="3" t="b">
        <f>OR(E134 = "INSERT", E134 = "UPDATE", E134 = "DELETE", E134 = "ALL")</f>
        <v>0</v>
      </c>
      <c r="K134" s="3" t="b">
        <f>F134 = ""</f>
        <v>1</v>
      </c>
      <c r="L134" s="3" t="b">
        <f>_xlfn.IFNA(INDEX(AccessPrincipals!G2:G999, MATCH(C134,AccessPrincipals!A2:A999, 0)), "")</f>
        <v>1</v>
      </c>
      <c r="M134" s="3" t="b">
        <f>AND(K134, NOT(L134))</f>
        <v>0</v>
      </c>
      <c r="N134" s="3" t="b">
        <f>AND(J134, O134 = 0)</f>
        <v>0</v>
      </c>
      <c r="O134" s="3">
        <f>COUNTIFS(AccessDenialTests!C2:C999, A134)</f>
        <v>0</v>
      </c>
      <c r="P134" s="2" t="s">
        <v>9713</v>
      </c>
    </row>
    <row r="135">
      <c r="A135" s="2" t="s">
        <v>9866</v>
      </c>
      <c r="B135" s="3" t="str">
        <f>C135 &amp; " " &amp; E135 &amp; " " &amp; D135</f>
        <v>principal-knowledge-authority SELECT AuthorityBoundaries</v>
      </c>
      <c r="C135" s="2" t="s">
        <v>9708</v>
      </c>
      <c r="D135" s="2" t="s">
        <v>5065</v>
      </c>
      <c r="E135" s="2" t="s">
        <v>9711</v>
      </c>
      <c r="F135" s="2" t="s">
        <v>168</v>
      </c>
      <c r="G135" s="2" t="s">
        <v>168</v>
      </c>
      <c r="H135" s="2" t="s">
        <v>9787</v>
      </c>
      <c r="I135" s="2" t="b">
        <v>0</v>
      </c>
      <c r="J135" s="3" t="b">
        <f>OR(E135 = "INSERT", E135 = "UPDATE", E135 = "DELETE", E135 = "ALL")</f>
        <v>0</v>
      </c>
      <c r="K135" s="3" t="b">
        <f>F135 = ""</f>
        <v>1</v>
      </c>
      <c r="L135" s="3" t="b">
        <f>_xlfn.IFNA(INDEX(AccessPrincipals!G2:G999, MATCH(C135,AccessPrincipals!A2:A999, 0)), "")</f>
        <v>1</v>
      </c>
      <c r="M135" s="3" t="b">
        <f>AND(K135, NOT(L135))</f>
        <v>0</v>
      </c>
      <c r="N135" s="3" t="b">
        <f>AND(J135, O135 = 0)</f>
        <v>0</v>
      </c>
      <c r="O135" s="3">
        <f>COUNTIFS(AccessDenialTests!C2:C999, A135)</f>
        <v>0</v>
      </c>
      <c r="P135" s="2" t="s">
        <v>9713</v>
      </c>
    </row>
    <row r="136">
      <c r="A136" s="2" t="s">
        <v>9867</v>
      </c>
      <c r="B136" s="3" t="str">
        <f>C136 &amp; " " &amp; E136 &amp; " " &amp; D136</f>
        <v>principal-knowledge-authority SELECT BindingObservations</v>
      </c>
      <c r="C136" s="2" t="s">
        <v>9708</v>
      </c>
      <c r="D136" s="2" t="s">
        <v>5142</v>
      </c>
      <c r="E136" s="2" t="s">
        <v>9711</v>
      </c>
      <c r="F136" s="2" t="s">
        <v>168</v>
      </c>
      <c r="G136" s="2" t="s">
        <v>168</v>
      </c>
      <c r="H136" s="2" t="s">
        <v>9787</v>
      </c>
      <c r="I136" s="2" t="b">
        <v>0</v>
      </c>
      <c r="J136" s="3" t="b">
        <f>OR(E136 = "INSERT", E136 = "UPDATE", E136 = "DELETE", E136 = "ALL")</f>
        <v>0</v>
      </c>
      <c r="K136" s="3" t="b">
        <f>F136 = ""</f>
        <v>1</v>
      </c>
      <c r="L136" s="3" t="b">
        <f>_xlfn.IFNA(INDEX(AccessPrincipals!G2:G999, MATCH(C136,AccessPrincipals!A2:A999, 0)), "")</f>
        <v>1</v>
      </c>
      <c r="M136" s="3" t="b">
        <f>AND(K136, NOT(L136))</f>
        <v>0</v>
      </c>
      <c r="N136" s="3" t="b">
        <f>AND(J136, O136 = 0)</f>
        <v>0</v>
      </c>
      <c r="O136" s="3">
        <f>COUNTIFS(AccessDenialTests!C2:C999, A136)</f>
        <v>0</v>
      </c>
      <c r="P136" s="2" t="s">
        <v>9713</v>
      </c>
    </row>
    <row r="137">
      <c r="A137" s="2" t="s">
        <v>9868</v>
      </c>
      <c r="B137" s="3" t="str">
        <f>C137 &amp; " " &amp; E137 &amp; " " &amp; D137</f>
        <v>principal-knowledge-authority SELECT ChangeRequests</v>
      </c>
      <c r="C137" s="2" t="s">
        <v>9708</v>
      </c>
      <c r="D137" s="2" t="s">
        <v>3848</v>
      </c>
      <c r="E137" s="2" t="s">
        <v>9711</v>
      </c>
      <c r="F137" s="2" t="s">
        <v>168</v>
      </c>
      <c r="G137" s="2" t="s">
        <v>168</v>
      </c>
      <c r="H137" s="2" t="s">
        <v>9787</v>
      </c>
      <c r="I137" s="2" t="b">
        <v>0</v>
      </c>
      <c r="J137" s="3" t="b">
        <f>OR(E137 = "INSERT", E137 = "UPDATE", E137 = "DELETE", E137 = "ALL")</f>
        <v>0</v>
      </c>
      <c r="K137" s="3" t="b">
        <f>F137 = ""</f>
        <v>1</v>
      </c>
      <c r="L137" s="3" t="b">
        <f>_xlfn.IFNA(INDEX(AccessPrincipals!G2:G999, MATCH(C137,AccessPrincipals!A2:A999, 0)), "")</f>
        <v>1</v>
      </c>
      <c r="M137" s="3" t="b">
        <f>AND(K137, NOT(L137))</f>
        <v>0</v>
      </c>
      <c r="N137" s="3" t="b">
        <f>AND(J137, O137 = 0)</f>
        <v>0</v>
      </c>
      <c r="O137" s="3">
        <f>COUNTIFS(AccessDenialTests!C2:C999, A137)</f>
        <v>0</v>
      </c>
      <c r="P137" s="2" t="s">
        <v>9713</v>
      </c>
    </row>
    <row r="138">
      <c r="A138" s="2" t="s">
        <v>9869</v>
      </c>
      <c r="B138" s="3" t="str">
        <f>C138 &amp; " " &amp; E138 &amp; " " &amp; D138</f>
        <v>principal-knowledge-authority SELECT CommunicationPolicies</v>
      </c>
      <c r="C138" s="2" t="s">
        <v>9708</v>
      </c>
      <c r="D138" s="2" t="s">
        <v>1845</v>
      </c>
      <c r="E138" s="2" t="s">
        <v>9711</v>
      </c>
      <c r="F138" s="2" t="s">
        <v>168</v>
      </c>
      <c r="G138" s="2" t="s">
        <v>168</v>
      </c>
      <c r="H138" s="2" t="s">
        <v>9787</v>
      </c>
      <c r="I138" s="2" t="b">
        <v>0</v>
      </c>
      <c r="J138" s="3" t="b">
        <f>OR(E138 = "INSERT", E138 = "UPDATE", E138 = "DELETE", E138 = "ALL")</f>
        <v>0</v>
      </c>
      <c r="K138" s="3" t="b">
        <f>F138 = ""</f>
        <v>1</v>
      </c>
      <c r="L138" s="3" t="b">
        <f>_xlfn.IFNA(INDEX(AccessPrincipals!G2:G999, MATCH(C138,AccessPrincipals!A2:A999, 0)), "")</f>
        <v>1</v>
      </c>
      <c r="M138" s="3" t="b">
        <f>AND(K138, NOT(L138))</f>
        <v>0</v>
      </c>
      <c r="N138" s="3" t="b">
        <f>AND(J138, O138 = 0)</f>
        <v>0</v>
      </c>
      <c r="O138" s="3">
        <f>COUNTIFS(AccessDenialTests!C2:C999, A138)</f>
        <v>0</v>
      </c>
      <c r="P138" s="2" t="s">
        <v>9713</v>
      </c>
    </row>
    <row r="139">
      <c r="A139" s="2" t="s">
        <v>9870</v>
      </c>
      <c r="B139" s="3" t="str">
        <f>C139 &amp; " " &amp; E139 &amp; " " &amp; D139</f>
        <v>principal-knowledge-authority SELECT CommunitiesOfPractice</v>
      </c>
      <c r="C139" s="2" t="s">
        <v>9708</v>
      </c>
      <c r="D139" s="2" t="s">
        <v>2624</v>
      </c>
      <c r="E139" s="2" t="s">
        <v>9711</v>
      </c>
      <c r="F139" s="2" t="s">
        <v>168</v>
      </c>
      <c r="G139" s="2" t="s">
        <v>168</v>
      </c>
      <c r="H139" s="2" t="s">
        <v>9787</v>
      </c>
      <c r="I139" s="2" t="b">
        <v>0</v>
      </c>
      <c r="J139" s="3" t="b">
        <f>OR(E139 = "INSERT", E139 = "UPDATE", E139 = "DELETE", E139 = "ALL")</f>
        <v>0</v>
      </c>
      <c r="K139" s="3" t="b">
        <f>F139 = ""</f>
        <v>1</v>
      </c>
      <c r="L139" s="3" t="b">
        <f>_xlfn.IFNA(INDEX(AccessPrincipals!G2:G999, MATCH(C139,AccessPrincipals!A2:A999, 0)), "")</f>
        <v>1</v>
      </c>
      <c r="M139" s="3" t="b">
        <f>AND(K139, NOT(L139))</f>
        <v>0</v>
      </c>
      <c r="N139" s="3" t="b">
        <f>AND(J139, O139 = 0)</f>
        <v>0</v>
      </c>
      <c r="O139" s="3">
        <f>COUNTIFS(AccessDenialTests!C2:C999, A139)</f>
        <v>0</v>
      </c>
      <c r="P139" s="2" t="s">
        <v>9713</v>
      </c>
    </row>
    <row r="140">
      <c r="A140" s="2" t="s">
        <v>9871</v>
      </c>
      <c r="B140" s="3" t="str">
        <f>C140 &amp; " " &amp; E140 &amp; " " &amp; D140</f>
        <v>principal-knowledge-authority SELECT DeliveredCommunications</v>
      </c>
      <c r="C140" s="2" t="s">
        <v>9708</v>
      </c>
      <c r="D140" s="2" t="s">
        <v>5029</v>
      </c>
      <c r="E140" s="2" t="s">
        <v>9711</v>
      </c>
      <c r="F140" s="2" t="s">
        <v>168</v>
      </c>
      <c r="G140" s="2" t="s">
        <v>168</v>
      </c>
      <c r="H140" s="2" t="s">
        <v>9787</v>
      </c>
      <c r="I140" s="2" t="b">
        <v>0</v>
      </c>
      <c r="J140" s="3" t="b">
        <f>OR(E140 = "INSERT", E140 = "UPDATE", E140 = "DELETE", E140 = "ALL")</f>
        <v>0</v>
      </c>
      <c r="K140" s="3" t="b">
        <f>F140 = ""</f>
        <v>1</v>
      </c>
      <c r="L140" s="3" t="b">
        <f>_xlfn.IFNA(INDEX(AccessPrincipals!G2:G999, MATCH(C140,AccessPrincipals!A2:A999, 0)), "")</f>
        <v>1</v>
      </c>
      <c r="M140" s="3" t="b">
        <f>AND(K140, NOT(L140))</f>
        <v>0</v>
      </c>
      <c r="N140" s="3" t="b">
        <f>AND(J140, O140 = 0)</f>
        <v>0</v>
      </c>
      <c r="O140" s="3">
        <f>COUNTIFS(AccessDenialTests!C2:C999, A140)</f>
        <v>0</v>
      </c>
      <c r="P140" s="2" t="s">
        <v>9713</v>
      </c>
    </row>
    <row r="141">
      <c r="A141" s="2" t="s">
        <v>9872</v>
      </c>
      <c r="B141" s="3" t="str">
        <f>C141 &amp; " " &amp; E141 &amp; " " &amp; D141</f>
        <v>principal-knowledge-authority SELECT ElicitationSessions</v>
      </c>
      <c r="C141" s="2" t="s">
        <v>9708</v>
      </c>
      <c r="D141" s="2" t="s">
        <v>1835</v>
      </c>
      <c r="E141" s="2" t="s">
        <v>9711</v>
      </c>
      <c r="F141" s="2" t="s">
        <v>168</v>
      </c>
      <c r="G141" s="2" t="s">
        <v>168</v>
      </c>
      <c r="H141" s="2" t="s">
        <v>9787</v>
      </c>
      <c r="I141" s="2" t="b">
        <v>0</v>
      </c>
      <c r="J141" s="3" t="b">
        <f>OR(E141 = "INSERT", E141 = "UPDATE", E141 = "DELETE", E141 = "ALL")</f>
        <v>0</v>
      </c>
      <c r="K141" s="3" t="b">
        <f>F141 = ""</f>
        <v>1</v>
      </c>
      <c r="L141" s="3" t="b">
        <f>_xlfn.IFNA(INDEX(AccessPrincipals!G2:G999, MATCH(C141,AccessPrincipals!A2:A999, 0)), "")</f>
        <v>1</v>
      </c>
      <c r="M141" s="3" t="b">
        <f>AND(K141, NOT(L141))</f>
        <v>0</v>
      </c>
      <c r="N141" s="3" t="b">
        <f>AND(J141, O141 = 0)</f>
        <v>0</v>
      </c>
      <c r="O141" s="3">
        <f>COUNTIFS(AccessDenialTests!C2:C999, A141)</f>
        <v>0</v>
      </c>
      <c r="P141" s="2" t="s">
        <v>9713</v>
      </c>
    </row>
    <row r="142">
      <c r="A142" s="2" t="s">
        <v>9873</v>
      </c>
      <c r="B142" s="3" t="str">
        <f>C142 &amp; " " &amp; E142 &amp; " " &amp; D142</f>
        <v>principal-knowledge-authority SELECT Errors</v>
      </c>
      <c r="C142" s="2" t="s">
        <v>9708</v>
      </c>
      <c r="D142" s="2" t="s">
        <v>1813</v>
      </c>
      <c r="E142" s="2" t="s">
        <v>9711</v>
      </c>
      <c r="F142" s="2" t="s">
        <v>168</v>
      </c>
      <c r="G142" s="2" t="s">
        <v>168</v>
      </c>
      <c r="H142" s="2" t="s">
        <v>9787</v>
      </c>
      <c r="I142" s="2" t="b">
        <v>0</v>
      </c>
      <c r="J142" s="3" t="b">
        <f>OR(E142 = "INSERT", E142 = "UPDATE", E142 = "DELETE", E142 = "ALL")</f>
        <v>0</v>
      </c>
      <c r="K142" s="3" t="b">
        <f>F142 = ""</f>
        <v>1</v>
      </c>
      <c r="L142" s="3" t="b">
        <f>_xlfn.IFNA(INDEX(AccessPrincipals!G2:G999, MATCH(C142,AccessPrincipals!A2:A999, 0)), "")</f>
        <v>1</v>
      </c>
      <c r="M142" s="3" t="b">
        <f>AND(K142, NOT(L142))</f>
        <v>0</v>
      </c>
      <c r="N142" s="3" t="b">
        <f>AND(J142, O142 = 0)</f>
        <v>0</v>
      </c>
      <c r="O142" s="3">
        <f>COUNTIFS(AccessDenialTests!C2:C999, A142)</f>
        <v>0</v>
      </c>
      <c r="P142" s="2" t="s">
        <v>9713</v>
      </c>
    </row>
    <row r="143">
      <c r="A143" s="2" t="s">
        <v>9874</v>
      </c>
      <c r="B143" s="3" t="str">
        <f>C143 &amp; " " &amp; E143 &amp; " " &amp; D143</f>
        <v>principal-knowledge-authority SELECT EvaluationContexts</v>
      </c>
      <c r="C143" s="2" t="s">
        <v>9708</v>
      </c>
      <c r="D143" s="2" t="s">
        <v>2413</v>
      </c>
      <c r="E143" s="2" t="s">
        <v>9711</v>
      </c>
      <c r="F143" s="2" t="s">
        <v>168</v>
      </c>
      <c r="G143" s="2" t="s">
        <v>168</v>
      </c>
      <c r="H143" s="2" t="s">
        <v>9787</v>
      </c>
      <c r="I143" s="2" t="b">
        <v>0</v>
      </c>
      <c r="J143" s="3" t="b">
        <f>OR(E143 = "INSERT", E143 = "UPDATE", E143 = "DELETE", E143 = "ALL")</f>
        <v>0</v>
      </c>
      <c r="K143" s="3" t="b">
        <f>F143 = ""</f>
        <v>1</v>
      </c>
      <c r="L143" s="3" t="b">
        <f>_xlfn.IFNA(INDEX(AccessPrincipals!G2:G999, MATCH(C143,AccessPrincipals!A2:A999, 0)), "")</f>
        <v>1</v>
      </c>
      <c r="M143" s="3" t="b">
        <f>AND(K143, NOT(L143))</f>
        <v>0</v>
      </c>
      <c r="N143" s="3" t="b">
        <f>AND(J143, O143 = 0)</f>
        <v>0</v>
      </c>
      <c r="O143" s="3">
        <f>COUNTIFS(AccessDenialTests!C2:C999, A143)</f>
        <v>0</v>
      </c>
      <c r="P143" s="2" t="s">
        <v>9713</v>
      </c>
    </row>
    <row r="144">
      <c r="A144" s="2" t="s">
        <v>9875</v>
      </c>
      <c r="B144" s="3" t="str">
        <f>C144 &amp; " " &amp; E144 &amp; " " &amp; D144</f>
        <v>principal-knowledge-authority SELECT ExceptionInvocations</v>
      </c>
      <c r="C144" s="2" t="s">
        <v>9708</v>
      </c>
      <c r="D144" s="2" t="s">
        <v>4221</v>
      </c>
      <c r="E144" s="2" t="s">
        <v>9711</v>
      </c>
      <c r="F144" s="2" t="s">
        <v>168</v>
      </c>
      <c r="G144" s="2" t="s">
        <v>168</v>
      </c>
      <c r="H144" s="2" t="s">
        <v>9787</v>
      </c>
      <c r="I144" s="2" t="b">
        <v>0</v>
      </c>
      <c r="J144" s="3" t="b">
        <f>OR(E144 = "INSERT", E144 = "UPDATE", E144 = "DELETE", E144 = "ALL")</f>
        <v>0</v>
      </c>
      <c r="K144" s="3" t="b">
        <f>F144 = ""</f>
        <v>1</v>
      </c>
      <c r="L144" s="3" t="b">
        <f>_xlfn.IFNA(INDEX(AccessPrincipals!G2:G999, MATCH(C144,AccessPrincipals!A2:A999, 0)), "")</f>
        <v>1</v>
      </c>
      <c r="M144" s="3" t="b">
        <f>AND(K144, NOT(L144))</f>
        <v>0</v>
      </c>
      <c r="N144" s="3" t="b">
        <f>AND(J144, O144 = 0)</f>
        <v>0</v>
      </c>
      <c r="O144" s="3">
        <f>COUNTIFS(AccessDenialTests!C2:C999, A144)</f>
        <v>0</v>
      </c>
      <c r="P144" s="2" t="s">
        <v>9713</v>
      </c>
    </row>
    <row r="145">
      <c r="A145" s="2" t="s">
        <v>9876</v>
      </c>
      <c r="B145" s="3" t="str">
        <f>C145 &amp; " " &amp; E145 &amp; " " &amp; D145</f>
        <v>principal-knowledge-authority SELECT Exceptions</v>
      </c>
      <c r="C145" s="2" t="s">
        <v>9708</v>
      </c>
      <c r="D145" s="2" t="s">
        <v>3095</v>
      </c>
      <c r="E145" s="2" t="s">
        <v>9711</v>
      </c>
      <c r="F145" s="2" t="s">
        <v>168</v>
      </c>
      <c r="G145" s="2" t="s">
        <v>168</v>
      </c>
      <c r="H145" s="2" t="s">
        <v>9787</v>
      </c>
      <c r="I145" s="2" t="b">
        <v>0</v>
      </c>
      <c r="J145" s="3" t="b">
        <f>OR(E145 = "INSERT", E145 = "UPDATE", E145 = "DELETE", E145 = "ALL")</f>
        <v>0</v>
      </c>
      <c r="K145" s="3" t="b">
        <f>F145 = ""</f>
        <v>1</v>
      </c>
      <c r="L145" s="3" t="b">
        <f>_xlfn.IFNA(INDEX(AccessPrincipals!G2:G999, MATCH(C145,AccessPrincipals!A2:A999, 0)), "")</f>
        <v>1</v>
      </c>
      <c r="M145" s="3" t="b">
        <f>AND(K145, NOT(L145))</f>
        <v>0</v>
      </c>
      <c r="N145" s="3" t="b">
        <f>AND(J145, O145 = 0)</f>
        <v>0</v>
      </c>
      <c r="O145" s="3">
        <f>COUNTIFS(AccessDenialTests!C2:C999, A145)</f>
        <v>0</v>
      </c>
      <c r="P145" s="2" t="s">
        <v>9713</v>
      </c>
    </row>
    <row r="146">
      <c r="A146" s="2" t="s">
        <v>9877</v>
      </c>
      <c r="B146" s="3" t="str">
        <f>C146 &amp; " " &amp; E146 &amp; " " &amp; D146</f>
        <v>principal-knowledge-authority SELECT Explanations</v>
      </c>
      <c r="C146" s="2" t="s">
        <v>9708</v>
      </c>
      <c r="D146" s="2" t="s">
        <v>1828</v>
      </c>
      <c r="E146" s="2" t="s">
        <v>9711</v>
      </c>
      <c r="F146" s="2" t="s">
        <v>168</v>
      </c>
      <c r="G146" s="2" t="s">
        <v>168</v>
      </c>
      <c r="H146" s="2" t="s">
        <v>9787</v>
      </c>
      <c r="I146" s="2" t="b">
        <v>0</v>
      </c>
      <c r="J146" s="3" t="b">
        <f>OR(E146 = "INSERT", E146 = "UPDATE", E146 = "DELETE", E146 = "ALL")</f>
        <v>0</v>
      </c>
      <c r="K146" s="3" t="b">
        <f>F146 = ""</f>
        <v>1</v>
      </c>
      <c r="L146" s="3" t="b">
        <f>_xlfn.IFNA(INDEX(AccessPrincipals!G2:G999, MATCH(C146,AccessPrincipals!A2:A999, 0)), "")</f>
        <v>1</v>
      </c>
      <c r="M146" s="3" t="b">
        <f>AND(K146, NOT(L146))</f>
        <v>0</v>
      </c>
      <c r="N146" s="3" t="b">
        <f>AND(J146, O146 = 0)</f>
        <v>0</v>
      </c>
      <c r="O146" s="3">
        <f>COUNTIFS(AccessDenialTests!C2:C999, A146)</f>
        <v>0</v>
      </c>
      <c r="P146" s="2" t="s">
        <v>9713</v>
      </c>
    </row>
    <row r="147">
      <c r="A147" s="2" t="s">
        <v>9878</v>
      </c>
      <c r="B147" s="3" t="str">
        <f>C147 &amp; " " &amp; E147 &amp; " " &amp; D147</f>
        <v>principal-knowledge-authority SELECT Functions</v>
      </c>
      <c r="C147" s="2" t="s">
        <v>9708</v>
      </c>
      <c r="D147" s="2" t="s">
        <v>1779</v>
      </c>
      <c r="E147" s="2" t="s">
        <v>9711</v>
      </c>
      <c r="F147" s="2" t="s">
        <v>168</v>
      </c>
      <c r="G147" s="2" t="s">
        <v>168</v>
      </c>
      <c r="H147" s="2" t="s">
        <v>9787</v>
      </c>
      <c r="I147" s="2" t="b">
        <v>0</v>
      </c>
      <c r="J147" s="3" t="b">
        <f>OR(E147 = "INSERT", E147 = "UPDATE", E147 = "DELETE", E147 = "ALL")</f>
        <v>0</v>
      </c>
      <c r="K147" s="3" t="b">
        <f>F147 = ""</f>
        <v>1</v>
      </c>
      <c r="L147" s="3" t="b">
        <f>_xlfn.IFNA(INDEX(AccessPrincipals!G2:G999, MATCH(C147,AccessPrincipals!A2:A999, 0)), "")</f>
        <v>1</v>
      </c>
      <c r="M147" s="3" t="b">
        <f>AND(K147, NOT(L147))</f>
        <v>0</v>
      </c>
      <c r="N147" s="3" t="b">
        <f>AND(J147, O147 = 0)</f>
        <v>0</v>
      </c>
      <c r="O147" s="3">
        <f>COUNTIFS(AccessDenialTests!C2:C999, A147)</f>
        <v>0</v>
      </c>
      <c r="P147" s="2" t="s">
        <v>9713</v>
      </c>
    </row>
    <row r="148">
      <c r="A148" s="2" t="s">
        <v>9879</v>
      </c>
      <c r="B148" s="3" t="str">
        <f>C148 &amp; " " &amp; E148 &amp; " " &amp; D148</f>
        <v>principal-knowledge-authority SELECT IssueOccurrences</v>
      </c>
      <c r="C148" s="2" t="s">
        <v>9708</v>
      </c>
      <c r="D148" s="2" t="s">
        <v>1816</v>
      </c>
      <c r="E148" s="2" t="s">
        <v>9711</v>
      </c>
      <c r="F148" s="2" t="s">
        <v>168</v>
      </c>
      <c r="G148" s="2" t="s">
        <v>168</v>
      </c>
      <c r="H148" s="2" t="s">
        <v>9787</v>
      </c>
      <c r="I148" s="2" t="b">
        <v>0</v>
      </c>
      <c r="J148" s="3" t="b">
        <f>OR(E148 = "INSERT", E148 = "UPDATE", E148 = "DELETE", E148 = "ALL")</f>
        <v>0</v>
      </c>
      <c r="K148" s="3" t="b">
        <f>F148 = ""</f>
        <v>1</v>
      </c>
      <c r="L148" s="3" t="b">
        <f>_xlfn.IFNA(INDEX(AccessPrincipals!G2:G999, MATCH(C148,AccessPrincipals!A2:A999, 0)), "")</f>
        <v>1</v>
      </c>
      <c r="M148" s="3" t="b">
        <f>AND(K148, NOT(L148))</f>
        <v>0</v>
      </c>
      <c r="N148" s="3" t="b">
        <f>AND(J148, O148 = 0)</f>
        <v>0</v>
      </c>
      <c r="O148" s="3">
        <f>COUNTIFS(AccessDenialTests!C2:C999, A148)</f>
        <v>0</v>
      </c>
      <c r="P148" s="2" t="s">
        <v>9713</v>
      </c>
    </row>
    <row r="149">
      <c r="A149" s="2" t="s">
        <v>9880</v>
      </c>
      <c r="B149" s="3" t="str">
        <f>C149 &amp; " " &amp; E149 &amp; " " &amp; D149</f>
        <v>principal-knowledge-authority SELECT KnowledgeFragments</v>
      </c>
      <c r="C149" s="2" t="s">
        <v>9708</v>
      </c>
      <c r="D149" s="2" t="s">
        <v>1831</v>
      </c>
      <c r="E149" s="2" t="s">
        <v>9711</v>
      </c>
      <c r="F149" s="2" t="s">
        <v>168</v>
      </c>
      <c r="G149" s="2" t="s">
        <v>168</v>
      </c>
      <c r="H149" s="2" t="s">
        <v>9787</v>
      </c>
      <c r="I149" s="2" t="b">
        <v>0</v>
      </c>
      <c r="J149" s="3" t="b">
        <f>OR(E149 = "INSERT", E149 = "UPDATE", E149 = "DELETE", E149 = "ALL")</f>
        <v>0</v>
      </c>
      <c r="K149" s="3" t="b">
        <f>F149 = ""</f>
        <v>1</v>
      </c>
      <c r="L149" s="3" t="b">
        <f>_xlfn.IFNA(INDEX(AccessPrincipals!G2:G999, MATCH(C149,AccessPrincipals!A2:A999, 0)), "")</f>
        <v>1</v>
      </c>
      <c r="M149" s="3" t="b">
        <f>AND(K149, NOT(L149))</f>
        <v>0</v>
      </c>
      <c r="N149" s="3" t="b">
        <f>AND(J149, O149 = 0)</f>
        <v>0</v>
      </c>
      <c r="O149" s="3">
        <f>COUNTIFS(AccessDenialTests!C2:C999, A149)</f>
        <v>0</v>
      </c>
      <c r="P149" s="2" t="s">
        <v>9713</v>
      </c>
    </row>
    <row r="150">
      <c r="A150" s="2" t="s">
        <v>9881</v>
      </c>
      <c r="B150" s="3" t="str">
        <f>C150 &amp; " " &amp; E150 &amp; " " &amp; D150</f>
        <v>principal-knowledge-authority SELECT KnowledgeGaps</v>
      </c>
      <c r="C150" s="2" t="s">
        <v>9708</v>
      </c>
      <c r="D150" s="2" t="s">
        <v>3302</v>
      </c>
      <c r="E150" s="2" t="s">
        <v>9711</v>
      </c>
      <c r="F150" s="2" t="s">
        <v>168</v>
      </c>
      <c r="G150" s="2" t="s">
        <v>168</v>
      </c>
      <c r="H150" s="2" t="s">
        <v>9787</v>
      </c>
      <c r="I150" s="2" t="b">
        <v>0</v>
      </c>
      <c r="J150" s="3" t="b">
        <f>OR(E150 = "INSERT", E150 = "UPDATE", E150 = "DELETE", E150 = "ALL")</f>
        <v>0</v>
      </c>
      <c r="K150" s="3" t="b">
        <f>F150 = ""</f>
        <v>1</v>
      </c>
      <c r="L150" s="3" t="b">
        <f>_xlfn.IFNA(INDEX(AccessPrincipals!G2:G999, MATCH(C150,AccessPrincipals!A2:A999, 0)), "")</f>
        <v>1</v>
      </c>
      <c r="M150" s="3" t="b">
        <f>AND(K150, NOT(L150))</f>
        <v>0</v>
      </c>
      <c r="N150" s="3" t="b">
        <f>AND(J150, O150 = 0)</f>
        <v>0</v>
      </c>
      <c r="O150" s="3">
        <f>COUNTIFS(AccessDenialTests!C2:C999, A150)</f>
        <v>0</v>
      </c>
      <c r="P150" s="2" t="s">
        <v>9713</v>
      </c>
    </row>
    <row r="151">
      <c r="A151" s="2" t="s">
        <v>9882</v>
      </c>
      <c r="B151" s="3" t="str">
        <f>C151 &amp; " " &amp; E151 &amp; " " &amp; D151</f>
        <v>principal-knowledge-authority SELECT LearningActivities</v>
      </c>
      <c r="C151" s="2" t="s">
        <v>9708</v>
      </c>
      <c r="D151" s="2" t="s">
        <v>3951</v>
      </c>
      <c r="E151" s="2" t="s">
        <v>9711</v>
      </c>
      <c r="F151" s="2" t="s">
        <v>168</v>
      </c>
      <c r="G151" s="2" t="s">
        <v>168</v>
      </c>
      <c r="H151" s="2" t="s">
        <v>9787</v>
      </c>
      <c r="I151" s="2" t="b">
        <v>0</v>
      </c>
      <c r="J151" s="3" t="b">
        <f>OR(E151 = "INSERT", E151 = "UPDATE", E151 = "DELETE", E151 = "ALL")</f>
        <v>0</v>
      </c>
      <c r="K151" s="3" t="b">
        <f>F151 = ""</f>
        <v>1</v>
      </c>
      <c r="L151" s="3" t="b">
        <f>_xlfn.IFNA(INDEX(AccessPrincipals!G2:G999, MATCH(C151,AccessPrincipals!A2:A999, 0)), "")</f>
        <v>1</v>
      </c>
      <c r="M151" s="3" t="b">
        <f>AND(K151, NOT(L151))</f>
        <v>0</v>
      </c>
      <c r="N151" s="3" t="b">
        <f>AND(J151, O151 = 0)</f>
        <v>0</v>
      </c>
      <c r="O151" s="3">
        <f>COUNTIFS(AccessDenialTests!C2:C999, A151)</f>
        <v>0</v>
      </c>
      <c r="P151" s="2" t="s">
        <v>9713</v>
      </c>
    </row>
    <row r="152">
      <c r="A152" s="2" t="s">
        <v>9883</v>
      </c>
      <c r="B152" s="3" t="str">
        <f>C152 &amp; " " &amp; E152 &amp; " " &amp; D152</f>
        <v>principal-knowledge-authority SELECT Mentorships</v>
      </c>
      <c r="C152" s="2" t="s">
        <v>9708</v>
      </c>
      <c r="D152" s="2" t="s">
        <v>2633</v>
      </c>
      <c r="E152" s="2" t="s">
        <v>9711</v>
      </c>
      <c r="F152" s="2" t="s">
        <v>168</v>
      </c>
      <c r="G152" s="2" t="s">
        <v>168</v>
      </c>
      <c r="H152" s="2" t="s">
        <v>9787</v>
      </c>
      <c r="I152" s="2" t="b">
        <v>0</v>
      </c>
      <c r="J152" s="3" t="b">
        <f>OR(E152 = "INSERT", E152 = "UPDATE", E152 = "DELETE", E152 = "ALL")</f>
        <v>0</v>
      </c>
      <c r="K152" s="3" t="b">
        <f>F152 = ""</f>
        <v>1</v>
      </c>
      <c r="L152" s="3" t="b">
        <f>_xlfn.IFNA(INDEX(AccessPrincipals!G2:G999, MATCH(C152,AccessPrincipals!A2:A999, 0)), "")</f>
        <v>1</v>
      </c>
      <c r="M152" s="3" t="b">
        <f>AND(K152, NOT(L152))</f>
        <v>0</v>
      </c>
      <c r="N152" s="3" t="b">
        <f>AND(J152, O152 = 0)</f>
        <v>0</v>
      </c>
      <c r="O152" s="3">
        <f>COUNTIFS(AccessDenialTests!C2:C999, A152)</f>
        <v>0</v>
      </c>
      <c r="P152" s="2" t="s">
        <v>9713</v>
      </c>
    </row>
    <row r="153">
      <c r="A153" s="2" t="s">
        <v>9884</v>
      </c>
      <c r="B153" s="3" t="str">
        <f>C153 &amp; " " &amp; E153 &amp; " " &amp; D153</f>
        <v>principal-knowledge-authority SELECT MessageDeliveries</v>
      </c>
      <c r="C153" s="2" t="s">
        <v>9708</v>
      </c>
      <c r="D153" s="2" t="s">
        <v>4378</v>
      </c>
      <c r="E153" s="2" t="s">
        <v>9711</v>
      </c>
      <c r="F153" s="2" t="s">
        <v>168</v>
      </c>
      <c r="G153" s="2" t="s">
        <v>168</v>
      </c>
      <c r="H153" s="2" t="s">
        <v>9787</v>
      </c>
      <c r="I153" s="2" t="b">
        <v>0</v>
      </c>
      <c r="J153" s="3" t="b">
        <f>OR(E153 = "INSERT", E153 = "UPDATE", E153 = "DELETE", E153 = "ALL")</f>
        <v>0</v>
      </c>
      <c r="K153" s="3" t="b">
        <f>F153 = ""</f>
        <v>1</v>
      </c>
      <c r="L153" s="3" t="b">
        <f>_xlfn.IFNA(INDEX(AccessPrincipals!G2:G999, MATCH(C153,AccessPrincipals!A2:A999, 0)), "")</f>
        <v>1</v>
      </c>
      <c r="M153" s="3" t="b">
        <f>AND(K153, NOT(L153))</f>
        <v>0</v>
      </c>
      <c r="N153" s="3" t="b">
        <f>AND(J153, O153 = 0)</f>
        <v>0</v>
      </c>
      <c r="O153" s="3">
        <f>COUNTIFS(AccessDenialTests!C2:C999, A153)</f>
        <v>0</v>
      </c>
      <c r="P153" s="2" t="s">
        <v>9713</v>
      </c>
    </row>
    <row r="154">
      <c r="A154" s="2" t="s">
        <v>9885</v>
      </c>
      <c r="B154" s="3" t="str">
        <f>C154 &amp; " " &amp; E154 &amp; " " &amp; D154</f>
        <v>principal-knowledge-authority SELECT MessageTemplates</v>
      </c>
      <c r="C154" s="2" t="s">
        <v>9708</v>
      </c>
      <c r="D154" s="2" t="s">
        <v>4021</v>
      </c>
      <c r="E154" s="2" t="s">
        <v>9711</v>
      </c>
      <c r="F154" s="2" t="s">
        <v>168</v>
      </c>
      <c r="G154" s="2" t="s">
        <v>168</v>
      </c>
      <c r="H154" s="2" t="s">
        <v>9787</v>
      </c>
      <c r="I154" s="2" t="b">
        <v>0</v>
      </c>
      <c r="J154" s="3" t="b">
        <f>OR(E154 = "INSERT", E154 = "UPDATE", E154 = "DELETE", E154 = "ALL")</f>
        <v>0</v>
      </c>
      <c r="K154" s="3" t="b">
        <f>F154 = ""</f>
        <v>1</v>
      </c>
      <c r="L154" s="3" t="b">
        <f>_xlfn.IFNA(INDEX(AccessPrincipals!G2:G999, MATCH(C154,AccessPrincipals!A2:A999, 0)), "")</f>
        <v>1</v>
      </c>
      <c r="M154" s="3" t="b">
        <f>AND(K154, NOT(L154))</f>
        <v>0</v>
      </c>
      <c r="N154" s="3" t="b">
        <f>AND(J154, O154 = 0)</f>
        <v>0</v>
      </c>
      <c r="O154" s="3">
        <f>COUNTIFS(AccessDenialTests!C2:C999, A154)</f>
        <v>0</v>
      </c>
      <c r="P154" s="2" t="s">
        <v>9713</v>
      </c>
    </row>
    <row r="155">
      <c r="A155" s="2" t="s">
        <v>9886</v>
      </c>
      <c r="B155" s="3" t="str">
        <f>C155 &amp; " " &amp; E155 &amp; " " &amp; D155</f>
        <v>principal-knowledge-authority SELECT ObservedTransitions</v>
      </c>
      <c r="C155" s="2" t="s">
        <v>9708</v>
      </c>
      <c r="D155" s="2" t="s">
        <v>4332</v>
      </c>
      <c r="E155" s="2" t="s">
        <v>9711</v>
      </c>
      <c r="F155" s="2" t="s">
        <v>168</v>
      </c>
      <c r="G155" s="2" t="s">
        <v>168</v>
      </c>
      <c r="H155" s="2" t="s">
        <v>9787</v>
      </c>
      <c r="I155" s="2" t="b">
        <v>0</v>
      </c>
      <c r="J155" s="3" t="b">
        <f>OR(E155 = "INSERT", E155 = "UPDATE", E155 = "DELETE", E155 = "ALL")</f>
        <v>0</v>
      </c>
      <c r="K155" s="3" t="b">
        <f>F155 = ""</f>
        <v>1</v>
      </c>
      <c r="L155" s="3" t="b">
        <f>_xlfn.IFNA(INDEX(AccessPrincipals!G2:G999, MATCH(C155,AccessPrincipals!A2:A999, 0)), "")</f>
        <v>1</v>
      </c>
      <c r="M155" s="3" t="b">
        <f>AND(K155, NOT(L155))</f>
        <v>0</v>
      </c>
      <c r="N155" s="3" t="b">
        <f>AND(J155, O155 = 0)</f>
        <v>0</v>
      </c>
      <c r="O155" s="3">
        <f>COUNTIFS(AccessDenialTests!C2:C999, A155)</f>
        <v>0</v>
      </c>
      <c r="P155" s="2" t="s">
        <v>9713</v>
      </c>
    </row>
    <row r="156">
      <c r="A156" s="2" t="s">
        <v>9887</v>
      </c>
      <c r="B156" s="3" t="str">
        <f>C156 &amp; " " &amp; E156 &amp; " " &amp; D156</f>
        <v>principal-knowledge-authority SELECT OntologyProfiles</v>
      </c>
      <c r="C156" s="2" t="s">
        <v>9708</v>
      </c>
      <c r="D156" s="2" t="s">
        <v>2403</v>
      </c>
      <c r="E156" s="2" t="s">
        <v>9711</v>
      </c>
      <c r="F156" s="2" t="s">
        <v>168</v>
      </c>
      <c r="G156" s="2" t="s">
        <v>168</v>
      </c>
      <c r="H156" s="2" t="s">
        <v>9787</v>
      </c>
      <c r="I156" s="2" t="b">
        <v>0</v>
      </c>
      <c r="J156" s="3" t="b">
        <f>OR(E156 = "INSERT", E156 = "UPDATE", E156 = "DELETE", E156 = "ALL")</f>
        <v>0</v>
      </c>
      <c r="K156" s="3" t="b">
        <f>F156 = ""</f>
        <v>1</v>
      </c>
      <c r="L156" s="3" t="b">
        <f>_xlfn.IFNA(INDEX(AccessPrincipals!G2:G999, MATCH(C156,AccessPrincipals!A2:A999, 0)), "")</f>
        <v>1</v>
      </c>
      <c r="M156" s="3" t="b">
        <f>AND(K156, NOT(L156))</f>
        <v>0</v>
      </c>
      <c r="N156" s="3" t="b">
        <f>AND(J156, O156 = 0)</f>
        <v>0</v>
      </c>
      <c r="O156" s="3">
        <f>COUNTIFS(AccessDenialTests!C2:C999, A156)</f>
        <v>0</v>
      </c>
      <c r="P156" s="2" t="s">
        <v>9713</v>
      </c>
    </row>
    <row r="157">
      <c r="A157" s="2" t="s">
        <v>9888</v>
      </c>
      <c r="B157" s="3" t="str">
        <f>C157 &amp; " " &amp; E157 &amp; " " &amp; D157</f>
        <v>principal-knowledge-authority SELECT OperationalBindings</v>
      </c>
      <c r="C157" s="2" t="s">
        <v>9708</v>
      </c>
      <c r="D157" s="2" t="s">
        <v>1842</v>
      </c>
      <c r="E157" s="2" t="s">
        <v>9711</v>
      </c>
      <c r="F157" s="2" t="s">
        <v>168</v>
      </c>
      <c r="G157" s="2" t="s">
        <v>168</v>
      </c>
      <c r="H157" s="2" t="s">
        <v>9787</v>
      </c>
      <c r="I157" s="2" t="b">
        <v>0</v>
      </c>
      <c r="J157" s="3" t="b">
        <f>OR(E157 = "INSERT", E157 = "UPDATE", E157 = "DELETE", E157 = "ALL")</f>
        <v>0</v>
      </c>
      <c r="K157" s="3" t="b">
        <f>F157 = ""</f>
        <v>1</v>
      </c>
      <c r="L157" s="3" t="b">
        <f>_xlfn.IFNA(INDEX(AccessPrincipals!G2:G999, MATCH(C157,AccessPrincipals!A2:A999, 0)), "")</f>
        <v>1</v>
      </c>
      <c r="M157" s="3" t="b">
        <f>AND(K157, NOT(L157))</f>
        <v>0</v>
      </c>
      <c r="N157" s="3" t="b">
        <f>AND(J157, O157 = 0)</f>
        <v>0</v>
      </c>
      <c r="O157" s="3">
        <f>COUNTIFS(AccessDenialTests!C2:C999, A157)</f>
        <v>0</v>
      </c>
      <c r="P157" s="2" t="s">
        <v>9713</v>
      </c>
    </row>
    <row r="158">
      <c r="A158" s="2" t="s">
        <v>9889</v>
      </c>
      <c r="B158" s="3" t="str">
        <f>C158 &amp; " " &amp; E158 &amp; " " &amp; D158</f>
        <v>principal-knowledge-authority SELECT Organizations</v>
      </c>
      <c r="C158" s="2" t="s">
        <v>9708</v>
      </c>
      <c r="D158" s="2" t="s">
        <v>2422</v>
      </c>
      <c r="E158" s="2" t="s">
        <v>9711</v>
      </c>
      <c r="F158" s="2" t="s">
        <v>168</v>
      </c>
      <c r="G158" s="2" t="s">
        <v>168</v>
      </c>
      <c r="H158" s="2" t="s">
        <v>9787</v>
      </c>
      <c r="I158" s="2" t="b">
        <v>0</v>
      </c>
      <c r="J158" s="3" t="b">
        <f>OR(E158 = "INSERT", E158 = "UPDATE", E158 = "DELETE", E158 = "ALL")</f>
        <v>0</v>
      </c>
      <c r="K158" s="3" t="b">
        <f>F158 = ""</f>
        <v>1</v>
      </c>
      <c r="L158" s="3" t="b">
        <f>_xlfn.IFNA(INDEX(AccessPrincipals!G2:G999, MATCH(C158,AccessPrincipals!A2:A999, 0)), "")</f>
        <v>1</v>
      </c>
      <c r="M158" s="3" t="b">
        <f>AND(K158, NOT(L158))</f>
        <v>0</v>
      </c>
      <c r="N158" s="3" t="b">
        <f>AND(J158, O158 = 0)</f>
        <v>0</v>
      </c>
      <c r="O158" s="3">
        <f>COUNTIFS(AccessDenialTests!C2:C999, A158)</f>
        <v>0</v>
      </c>
      <c r="P158" s="2" t="s">
        <v>9713</v>
      </c>
    </row>
    <row r="159">
      <c r="A159" s="2" t="s">
        <v>9890</v>
      </c>
      <c r="B159" s="3" t="str">
        <f>C159 &amp; " " &amp; E159 &amp; " " &amp; D159</f>
        <v>principal-knowledge-authority SELECT ProcedureExecutions</v>
      </c>
      <c r="C159" s="2" t="s">
        <v>9708</v>
      </c>
      <c r="D159" s="2" t="s">
        <v>1804</v>
      </c>
      <c r="E159" s="2" t="s">
        <v>9711</v>
      </c>
      <c r="F159" s="2" t="s">
        <v>168</v>
      </c>
      <c r="G159" s="2" t="s">
        <v>168</v>
      </c>
      <c r="H159" s="2" t="s">
        <v>9787</v>
      </c>
      <c r="I159" s="2" t="b">
        <v>0</v>
      </c>
      <c r="J159" s="3" t="b">
        <f>OR(E159 = "INSERT", E159 = "UPDATE", E159 = "DELETE", E159 = "ALL")</f>
        <v>0</v>
      </c>
      <c r="K159" s="3" t="b">
        <f>F159 = ""</f>
        <v>1</v>
      </c>
      <c r="L159" s="3" t="b">
        <f>_xlfn.IFNA(INDEX(AccessPrincipals!G2:G999, MATCH(C159,AccessPrincipals!A2:A999, 0)), "")</f>
        <v>1</v>
      </c>
      <c r="M159" s="3" t="b">
        <f>AND(K159, NOT(L159))</f>
        <v>0</v>
      </c>
      <c r="N159" s="3" t="b">
        <f>AND(J159, O159 = 0)</f>
        <v>0</v>
      </c>
      <c r="O159" s="3">
        <f>COUNTIFS(AccessDenialTests!C2:C999, A159)</f>
        <v>0</v>
      </c>
      <c r="P159" s="2" t="s">
        <v>9713</v>
      </c>
    </row>
    <row r="160">
      <c r="A160" s="2" t="s">
        <v>9891</v>
      </c>
      <c r="B160" s="3" t="str">
        <f>C160 &amp; " " &amp; E160 &amp; " " &amp; D160</f>
        <v>principal-knowledge-authority SELECT ProcedureResources</v>
      </c>
      <c r="C160" s="2" t="s">
        <v>9708</v>
      </c>
      <c r="D160" s="2" t="s">
        <v>3121</v>
      </c>
      <c r="E160" s="2" t="s">
        <v>9711</v>
      </c>
      <c r="F160" s="2" t="s">
        <v>168</v>
      </c>
      <c r="G160" s="2" t="s">
        <v>168</v>
      </c>
      <c r="H160" s="2" t="s">
        <v>9787</v>
      </c>
      <c r="I160" s="2" t="b">
        <v>0</v>
      </c>
      <c r="J160" s="3" t="b">
        <f>OR(E160 = "INSERT", E160 = "UPDATE", E160 = "DELETE", E160 = "ALL")</f>
        <v>0</v>
      </c>
      <c r="K160" s="3" t="b">
        <f>F160 = ""</f>
        <v>1</v>
      </c>
      <c r="L160" s="3" t="b">
        <f>_xlfn.IFNA(INDEX(AccessPrincipals!G2:G999, MATCH(C160,AccessPrincipals!A2:A999, 0)), "")</f>
        <v>1</v>
      </c>
      <c r="M160" s="3" t="b">
        <f>AND(K160, NOT(L160))</f>
        <v>0</v>
      </c>
      <c r="N160" s="3" t="b">
        <f>AND(J160, O160 = 0)</f>
        <v>0</v>
      </c>
      <c r="O160" s="3">
        <f>COUNTIFS(AccessDenialTests!C2:C999, A160)</f>
        <v>0</v>
      </c>
      <c r="P160" s="2" t="s">
        <v>9713</v>
      </c>
    </row>
    <row r="161">
      <c r="A161" s="2" t="s">
        <v>9892</v>
      </c>
      <c r="B161" s="3" t="str">
        <f>C161 &amp; " " &amp; E161 &amp; " " &amp; D161</f>
        <v>principal-knowledge-authority SELECT ProcedureStatusChanges</v>
      </c>
      <c r="C161" s="2" t="s">
        <v>9708</v>
      </c>
      <c r="D161" s="2" t="s">
        <v>1755</v>
      </c>
      <c r="E161" s="2" t="s">
        <v>9711</v>
      </c>
      <c r="F161" s="2" t="s">
        <v>168</v>
      </c>
      <c r="G161" s="2" t="s">
        <v>168</v>
      </c>
      <c r="H161" s="2" t="s">
        <v>9787</v>
      </c>
      <c r="I161" s="2" t="b">
        <v>0</v>
      </c>
      <c r="J161" s="3" t="b">
        <f>OR(E161 = "INSERT", E161 = "UPDATE", E161 = "DELETE", E161 = "ALL")</f>
        <v>0</v>
      </c>
      <c r="K161" s="3" t="b">
        <f>F161 = ""</f>
        <v>1</v>
      </c>
      <c r="L161" s="3" t="b">
        <f>_xlfn.IFNA(INDEX(AccessPrincipals!G2:G999, MATCH(C161,AccessPrincipals!A2:A999, 0)), "")</f>
        <v>1</v>
      </c>
      <c r="M161" s="3" t="b">
        <f>AND(K161, NOT(L161))</f>
        <v>0</v>
      </c>
      <c r="N161" s="3" t="b">
        <f>AND(J161, O161 = 0)</f>
        <v>0</v>
      </c>
      <c r="O161" s="3">
        <f>COUNTIFS(AccessDenialTests!C2:C999, A161)</f>
        <v>0</v>
      </c>
      <c r="P161" s="2" t="s">
        <v>9713</v>
      </c>
    </row>
    <row r="162">
      <c r="A162" s="2" t="s">
        <v>9893</v>
      </c>
      <c r="B162" s="3" t="str">
        <f>C162 &amp; " " &amp; E162 &amp; " " &amp; D162</f>
        <v>principal-knowledge-authority SELECT ProcedureTypes</v>
      </c>
      <c r="C162" s="2" t="s">
        <v>9708</v>
      </c>
      <c r="D162" s="2" t="s">
        <v>2645</v>
      </c>
      <c r="E162" s="2" t="s">
        <v>9711</v>
      </c>
      <c r="F162" s="2" t="s">
        <v>168</v>
      </c>
      <c r="G162" s="2" t="s">
        <v>168</v>
      </c>
      <c r="H162" s="2" t="s">
        <v>9787</v>
      </c>
      <c r="I162" s="2" t="b">
        <v>0</v>
      </c>
      <c r="J162" s="3" t="b">
        <f>OR(E162 = "INSERT", E162 = "UPDATE", E162 = "DELETE", E162 = "ALL")</f>
        <v>0</v>
      </c>
      <c r="K162" s="3" t="b">
        <f>F162 = ""</f>
        <v>1</v>
      </c>
      <c r="L162" s="3" t="b">
        <f>_xlfn.IFNA(INDEX(AccessPrincipals!G2:G999, MATCH(C162,AccessPrincipals!A2:A999, 0)), "")</f>
        <v>1</v>
      </c>
      <c r="M162" s="3" t="b">
        <f>AND(K162, NOT(L162))</f>
        <v>0</v>
      </c>
      <c r="N162" s="3" t="b">
        <f>AND(J162, O162 = 0)</f>
        <v>0</v>
      </c>
      <c r="O162" s="3">
        <f>COUNTIFS(AccessDenialTests!C2:C999, A162)</f>
        <v>0</v>
      </c>
      <c r="P162" s="2" t="s">
        <v>9713</v>
      </c>
    </row>
    <row r="163">
      <c r="A163" s="2" t="s">
        <v>9894</v>
      </c>
      <c r="B163" s="3" t="str">
        <f>C163 &amp; " " &amp; E163 &amp; " " &amp; D163</f>
        <v>principal-knowledge-authority SELECT ProcedureVersionLinks</v>
      </c>
      <c r="C163" s="2" t="s">
        <v>9708</v>
      </c>
      <c r="D163" s="2" t="s">
        <v>2818</v>
      </c>
      <c r="E163" s="2" t="s">
        <v>9711</v>
      </c>
      <c r="F163" s="2" t="s">
        <v>168</v>
      </c>
      <c r="G163" s="2" t="s">
        <v>168</v>
      </c>
      <c r="H163" s="2" t="s">
        <v>9787</v>
      </c>
      <c r="I163" s="2" t="b">
        <v>0</v>
      </c>
      <c r="J163" s="3" t="b">
        <f>OR(E163 = "INSERT", E163 = "UPDATE", E163 = "DELETE", E163 = "ALL")</f>
        <v>0</v>
      </c>
      <c r="K163" s="3" t="b">
        <f>F163 = ""</f>
        <v>1</v>
      </c>
      <c r="L163" s="3" t="b">
        <f>_xlfn.IFNA(INDEX(AccessPrincipals!G2:G999, MATCH(C163,AccessPrincipals!A2:A999, 0)), "")</f>
        <v>1</v>
      </c>
      <c r="M163" s="3" t="b">
        <f>AND(K163, NOT(L163))</f>
        <v>0</v>
      </c>
      <c r="N163" s="3" t="b">
        <f>AND(J163, O163 = 0)</f>
        <v>0</v>
      </c>
      <c r="O163" s="3">
        <f>COUNTIFS(AccessDenialTests!C2:C999, A163)</f>
        <v>0</v>
      </c>
      <c r="P163" s="2" t="s">
        <v>9713</v>
      </c>
    </row>
    <row r="164">
      <c r="A164" s="2" t="s">
        <v>9895</v>
      </c>
      <c r="B164" s="3" t="str">
        <f>C164 &amp; " " &amp; E164 &amp; " " &amp; D164</f>
        <v>principal-knowledge-authority SELECT ProcedureVersions</v>
      </c>
      <c r="C164" s="2" t="s">
        <v>9708</v>
      </c>
      <c r="D164" s="2" t="s">
        <v>1747</v>
      </c>
      <c r="E164" s="2" t="s">
        <v>9711</v>
      </c>
      <c r="F164" s="2" t="s">
        <v>168</v>
      </c>
      <c r="G164" s="2" t="s">
        <v>168</v>
      </c>
      <c r="H164" s="2" t="s">
        <v>9787</v>
      </c>
      <c r="I164" s="2" t="b">
        <v>0</v>
      </c>
      <c r="J164" s="3" t="b">
        <f>OR(E164 = "INSERT", E164 = "UPDATE", E164 = "DELETE", E164 = "ALL")</f>
        <v>0</v>
      </c>
      <c r="K164" s="3" t="b">
        <f>F164 = ""</f>
        <v>1</v>
      </c>
      <c r="L164" s="3" t="b">
        <f>_xlfn.IFNA(INDEX(AccessPrincipals!G2:G999, MATCH(C164,AccessPrincipals!A2:A999, 0)), "")</f>
        <v>1</v>
      </c>
      <c r="M164" s="3" t="b">
        <f>AND(K164, NOT(L164))</f>
        <v>0</v>
      </c>
      <c r="N164" s="3" t="b">
        <f>AND(J164, O164 = 0)</f>
        <v>0</v>
      </c>
      <c r="O164" s="3">
        <f>COUNTIFS(AccessDenialTests!C2:C999, A164)</f>
        <v>0</v>
      </c>
      <c r="P164" s="2" t="s">
        <v>9713</v>
      </c>
    </row>
    <row r="165">
      <c r="A165" s="2" t="s">
        <v>9896</v>
      </c>
      <c r="B165" s="3" t="str">
        <f>C165 &amp; " " &amp; E165 &amp; " " &amp; D165</f>
        <v>principal-knowledge-authority SELECT Procedures</v>
      </c>
      <c r="C165" s="2" t="s">
        <v>9708</v>
      </c>
      <c r="D165" s="2" t="s">
        <v>1742</v>
      </c>
      <c r="E165" s="2" t="s">
        <v>9711</v>
      </c>
      <c r="F165" s="2" t="s">
        <v>168</v>
      </c>
      <c r="G165" s="2" t="s">
        <v>168</v>
      </c>
      <c r="H165" s="2" t="s">
        <v>9787</v>
      </c>
      <c r="I165" s="2" t="b">
        <v>0</v>
      </c>
      <c r="J165" s="3" t="b">
        <f>OR(E165 = "INSERT", E165 = "UPDATE", E165 = "DELETE", E165 = "ALL")</f>
        <v>0</v>
      </c>
      <c r="K165" s="3" t="b">
        <f>F165 = ""</f>
        <v>1</v>
      </c>
      <c r="L165" s="3" t="b">
        <f>_xlfn.IFNA(INDEX(AccessPrincipals!G2:G999, MATCH(C165,AccessPrincipals!A2:A999, 0)), "")</f>
        <v>1</v>
      </c>
      <c r="M165" s="3" t="b">
        <f>AND(K165, NOT(L165))</f>
        <v>0</v>
      </c>
      <c r="N165" s="3" t="b">
        <f>AND(J165, O165 = 0)</f>
        <v>0</v>
      </c>
      <c r="O165" s="3">
        <f>COUNTIFS(AccessDenialTests!C2:C999, A165)</f>
        <v>0</v>
      </c>
      <c r="P165" s="2" t="s">
        <v>9713</v>
      </c>
    </row>
    <row r="166">
      <c r="A166" s="2" t="s">
        <v>9897</v>
      </c>
      <c r="B166" s="3" t="str">
        <f>C166 &amp; " " &amp; E166 &amp; " " &amp; D166</f>
        <v>principal-knowledge-authority SELECT Rationales</v>
      </c>
      <c r="C166" s="2" t="s">
        <v>9708</v>
      </c>
      <c r="D166" s="2" t="s">
        <v>3085</v>
      </c>
      <c r="E166" s="2" t="s">
        <v>9711</v>
      </c>
      <c r="F166" s="2" t="s">
        <v>168</v>
      </c>
      <c r="G166" s="2" t="s">
        <v>168</v>
      </c>
      <c r="H166" s="2" t="s">
        <v>9787</v>
      </c>
      <c r="I166" s="2" t="b">
        <v>0</v>
      </c>
      <c r="J166" s="3" t="b">
        <f>OR(E166 = "INSERT", E166 = "UPDATE", E166 = "DELETE", E166 = "ALL")</f>
        <v>0</v>
      </c>
      <c r="K166" s="3" t="b">
        <f>F166 = ""</f>
        <v>1</v>
      </c>
      <c r="L166" s="3" t="b">
        <f>_xlfn.IFNA(INDEX(AccessPrincipals!G2:G999, MATCH(C166,AccessPrincipals!A2:A999, 0)), "")</f>
        <v>1</v>
      </c>
      <c r="M166" s="3" t="b">
        <f>AND(K166, NOT(L166))</f>
        <v>0</v>
      </c>
      <c r="N166" s="3" t="b">
        <f>AND(J166, O166 = 0)</f>
        <v>0</v>
      </c>
      <c r="O166" s="3">
        <f>COUNTIFS(AccessDenialTests!C2:C999, A166)</f>
        <v>0</v>
      </c>
      <c r="P166" s="2" t="s">
        <v>9713</v>
      </c>
    </row>
    <row r="167">
      <c r="A167" s="2" t="s">
        <v>9898</v>
      </c>
      <c r="B167" s="3" t="str">
        <f>C167 &amp; " " &amp; E167 &amp; " " &amp; D167</f>
        <v>principal-knowledge-authority SELECT Recipients</v>
      </c>
      <c r="C167" s="2" t="s">
        <v>9708</v>
      </c>
      <c r="D167" s="2" t="s">
        <v>4346</v>
      </c>
      <c r="E167" s="2" t="s">
        <v>9711</v>
      </c>
      <c r="F167" s="2" t="s">
        <v>168</v>
      </c>
      <c r="G167" s="2" t="s">
        <v>168</v>
      </c>
      <c r="H167" s="2" t="s">
        <v>9787</v>
      </c>
      <c r="I167" s="2" t="b">
        <v>0</v>
      </c>
      <c r="J167" s="3" t="b">
        <f>OR(E167 = "INSERT", E167 = "UPDATE", E167 = "DELETE", E167 = "ALL")</f>
        <v>0</v>
      </c>
      <c r="K167" s="3" t="b">
        <f>F167 = ""</f>
        <v>1</v>
      </c>
      <c r="L167" s="3" t="b">
        <f>_xlfn.IFNA(INDEX(AccessPrincipals!G2:G999, MATCH(C167,AccessPrincipals!A2:A999, 0)), "")</f>
        <v>1</v>
      </c>
      <c r="M167" s="3" t="b">
        <f>AND(K167, NOT(L167))</f>
        <v>0</v>
      </c>
      <c r="N167" s="3" t="b">
        <f>AND(J167, O167 = 0)</f>
        <v>0</v>
      </c>
      <c r="O167" s="3">
        <f>COUNTIFS(AccessDenialTests!C2:C999, A167)</f>
        <v>0</v>
      </c>
      <c r="P167" s="2" t="s">
        <v>9713</v>
      </c>
    </row>
    <row r="168">
      <c r="A168" s="2" t="s">
        <v>9899</v>
      </c>
      <c r="B168" s="3" t="str">
        <f>C168 &amp; " " &amp; E168 &amp; " " &amp; D168</f>
        <v>principal-knowledge-authority SELECT RequirementSatisfactions</v>
      </c>
      <c r="C168" s="2" t="s">
        <v>9708</v>
      </c>
      <c r="D168" s="2" t="s">
        <v>1810</v>
      </c>
      <c r="E168" s="2" t="s">
        <v>9711</v>
      </c>
      <c r="F168" s="2" t="s">
        <v>168</v>
      </c>
      <c r="G168" s="2" t="s">
        <v>168</v>
      </c>
      <c r="H168" s="2" t="s">
        <v>9787</v>
      </c>
      <c r="I168" s="2" t="b">
        <v>0</v>
      </c>
      <c r="J168" s="3" t="b">
        <f>OR(E168 = "INSERT", E168 = "UPDATE", E168 = "DELETE", E168 = "ALL")</f>
        <v>0</v>
      </c>
      <c r="K168" s="3" t="b">
        <f>F168 = ""</f>
        <v>1</v>
      </c>
      <c r="L168" s="3" t="b">
        <f>_xlfn.IFNA(INDEX(AccessPrincipals!G2:G999, MATCH(C168,AccessPrincipals!A2:A999, 0)), "")</f>
        <v>1</v>
      </c>
      <c r="M168" s="3" t="b">
        <f>AND(K168, NOT(L168))</f>
        <v>0</v>
      </c>
      <c r="N168" s="3" t="b">
        <f>AND(J168, O168 = 0)</f>
        <v>0</v>
      </c>
      <c r="O168" s="3">
        <f>COUNTIFS(AccessDenialTests!C2:C999, A168)</f>
        <v>0</v>
      </c>
      <c r="P168" s="2" t="s">
        <v>9713</v>
      </c>
    </row>
    <row r="169">
      <c r="A169" s="2" t="s">
        <v>9900</v>
      </c>
      <c r="B169" s="3" t="str">
        <f>C169 &amp; " " &amp; E169 &amp; " " &amp; D169</f>
        <v>principal-knowledge-authority SELECT Requirements</v>
      </c>
      <c r="C169" s="2" t="s">
        <v>9708</v>
      </c>
      <c r="D169" s="2" t="s">
        <v>1785</v>
      </c>
      <c r="E169" s="2" t="s">
        <v>9711</v>
      </c>
      <c r="F169" s="2" t="s">
        <v>168</v>
      </c>
      <c r="G169" s="2" t="s">
        <v>168</v>
      </c>
      <c r="H169" s="2" t="s">
        <v>9787</v>
      </c>
      <c r="I169" s="2" t="b">
        <v>0</v>
      </c>
      <c r="J169" s="3" t="b">
        <f>OR(E169 = "INSERT", E169 = "UPDATE", E169 = "DELETE", E169 = "ALL")</f>
        <v>0</v>
      </c>
      <c r="K169" s="3" t="b">
        <f>F169 = ""</f>
        <v>1</v>
      </c>
      <c r="L169" s="3" t="b">
        <f>_xlfn.IFNA(INDEX(AccessPrincipals!G2:G999, MATCH(C169,AccessPrincipals!A2:A999, 0)), "")</f>
        <v>1</v>
      </c>
      <c r="M169" s="3" t="b">
        <f>AND(K169, NOT(L169))</f>
        <v>0</v>
      </c>
      <c r="N169" s="3" t="b">
        <f>AND(J169, O169 = 0)</f>
        <v>0</v>
      </c>
      <c r="O169" s="3">
        <f>COUNTIFS(AccessDenialTests!C2:C999, A169)</f>
        <v>0</v>
      </c>
      <c r="P169" s="2" t="s">
        <v>9713</v>
      </c>
    </row>
    <row r="170">
      <c r="A170" s="2" t="s">
        <v>9901</v>
      </c>
      <c r="B170" s="3" t="str">
        <f>C170 &amp; " " &amp; E170 &amp; " " &amp; D170</f>
        <v>principal-knowledge-authority SELECT Resources</v>
      </c>
      <c r="C170" s="2" t="s">
        <v>9708</v>
      </c>
      <c r="D170" s="2" t="s">
        <v>1791</v>
      </c>
      <c r="E170" s="2" t="s">
        <v>9711</v>
      </c>
      <c r="F170" s="2" t="s">
        <v>168</v>
      </c>
      <c r="G170" s="2" t="s">
        <v>168</v>
      </c>
      <c r="H170" s="2" t="s">
        <v>9787</v>
      </c>
      <c r="I170" s="2" t="b">
        <v>0</v>
      </c>
      <c r="J170" s="3" t="b">
        <f>OR(E170 = "INSERT", E170 = "UPDATE", E170 = "DELETE", E170 = "ALL")</f>
        <v>0</v>
      </c>
      <c r="K170" s="3" t="b">
        <f>F170 = ""</f>
        <v>1</v>
      </c>
      <c r="L170" s="3" t="b">
        <f>_xlfn.IFNA(INDEX(AccessPrincipals!G2:G999, MATCH(C170,AccessPrincipals!A2:A999, 0)), "")</f>
        <v>1</v>
      </c>
      <c r="M170" s="3" t="b">
        <f>AND(K170, NOT(L170))</f>
        <v>0</v>
      </c>
      <c r="N170" s="3" t="b">
        <f>AND(J170, O170 = 0)</f>
        <v>0</v>
      </c>
      <c r="O170" s="3">
        <f>COUNTIFS(AccessDenialTests!C2:C999, A170)</f>
        <v>0</v>
      </c>
      <c r="P170" s="2" t="s">
        <v>9713</v>
      </c>
    </row>
    <row r="171">
      <c r="A171" s="2" t="s">
        <v>9902</v>
      </c>
      <c r="B171" s="3" t="str">
        <f>C171 &amp; " " &amp; E171 &amp; " " &amp; D171</f>
        <v>principal-knowledge-authority SELECT ReviewEvents</v>
      </c>
      <c r="C171" s="2" t="s">
        <v>9708</v>
      </c>
      <c r="D171" s="2" t="s">
        <v>3922</v>
      </c>
      <c r="E171" s="2" t="s">
        <v>9711</v>
      </c>
      <c r="F171" s="2" t="s">
        <v>168</v>
      </c>
      <c r="G171" s="2" t="s">
        <v>168</v>
      </c>
      <c r="H171" s="2" t="s">
        <v>9787</v>
      </c>
      <c r="I171" s="2" t="b">
        <v>0</v>
      </c>
      <c r="J171" s="3" t="b">
        <f>OR(E171 = "INSERT", E171 = "UPDATE", E171 = "DELETE", E171 = "ALL")</f>
        <v>0</v>
      </c>
      <c r="K171" s="3" t="b">
        <f>F171 = ""</f>
        <v>1</v>
      </c>
      <c r="L171" s="3" t="b">
        <f>_xlfn.IFNA(INDEX(AccessPrincipals!G2:G999, MATCH(C171,AccessPrincipals!A2:A999, 0)), "")</f>
        <v>1</v>
      </c>
      <c r="M171" s="3" t="b">
        <f>AND(K171, NOT(L171))</f>
        <v>0</v>
      </c>
      <c r="N171" s="3" t="b">
        <f>AND(J171, O171 = 0)</f>
        <v>0</v>
      </c>
      <c r="O171" s="3">
        <f>COUNTIFS(AccessDenialTests!C2:C999, A171)</f>
        <v>0</v>
      </c>
      <c r="P171" s="2" t="s">
        <v>9713</v>
      </c>
    </row>
    <row r="172">
      <c r="A172" s="2" t="s">
        <v>9903</v>
      </c>
      <c r="B172" s="3" t="str">
        <f>C172 &amp; " " &amp; E172 &amp; " " &amp; D172</f>
        <v>principal-knowledge-authority SELECT RoleAssignments</v>
      </c>
      <c r="C172" s="2" t="s">
        <v>9708</v>
      </c>
      <c r="D172" s="2" t="s">
        <v>1801</v>
      </c>
      <c r="E172" s="2" t="s">
        <v>9711</v>
      </c>
      <c r="F172" s="2" t="s">
        <v>168</v>
      </c>
      <c r="G172" s="2" t="s">
        <v>168</v>
      </c>
      <c r="H172" s="2" t="s">
        <v>9787</v>
      </c>
      <c r="I172" s="2" t="b">
        <v>0</v>
      </c>
      <c r="J172" s="3" t="b">
        <f>OR(E172 = "INSERT", E172 = "UPDATE", E172 = "DELETE", E172 = "ALL")</f>
        <v>0</v>
      </c>
      <c r="K172" s="3" t="b">
        <f>F172 = ""</f>
        <v>1</v>
      </c>
      <c r="L172" s="3" t="b">
        <f>_xlfn.IFNA(INDEX(AccessPrincipals!G2:G999, MATCH(C172,AccessPrincipals!A2:A999, 0)), "")</f>
        <v>1</v>
      </c>
      <c r="M172" s="3" t="b">
        <f>AND(K172, NOT(L172))</f>
        <v>0</v>
      </c>
      <c r="N172" s="3" t="b">
        <f>AND(J172, O172 = 0)</f>
        <v>0</v>
      </c>
      <c r="O172" s="3">
        <f>COUNTIFS(AccessDenialTests!C2:C999, A172)</f>
        <v>0</v>
      </c>
      <c r="P172" s="2" t="s">
        <v>9713</v>
      </c>
    </row>
    <row r="173">
      <c r="A173" s="2" t="s">
        <v>9904</v>
      </c>
      <c r="B173" s="3" t="str">
        <f>C173 &amp; " " &amp; E173 &amp; " " &amp; D173</f>
        <v>principal-knowledge-authority SELECT RoleQuestions</v>
      </c>
      <c r="C173" s="2" t="s">
        <v>9708</v>
      </c>
      <c r="D173" s="2" t="s">
        <v>4091</v>
      </c>
      <c r="E173" s="2" t="s">
        <v>9711</v>
      </c>
      <c r="F173" s="2" t="s">
        <v>168</v>
      </c>
      <c r="G173" s="2" t="s">
        <v>168</v>
      </c>
      <c r="H173" s="2" t="s">
        <v>9787</v>
      </c>
      <c r="I173" s="2" t="b">
        <v>0</v>
      </c>
      <c r="J173" s="3" t="b">
        <f>OR(E173 = "INSERT", E173 = "UPDATE", E173 = "DELETE", E173 = "ALL")</f>
        <v>0</v>
      </c>
      <c r="K173" s="3" t="b">
        <f>F173 = ""</f>
        <v>1</v>
      </c>
      <c r="L173" s="3" t="b">
        <f>_xlfn.IFNA(INDEX(AccessPrincipals!G2:G999, MATCH(C173,AccessPrincipals!A2:A999, 0)), "")</f>
        <v>1</v>
      </c>
      <c r="M173" s="3" t="b">
        <f>AND(K173, NOT(L173))</f>
        <v>0</v>
      </c>
      <c r="N173" s="3" t="b">
        <f>AND(J173, O173 = 0)</f>
        <v>0</v>
      </c>
      <c r="O173" s="3">
        <f>COUNTIFS(AccessDenialTests!C2:C999, A173)</f>
        <v>0</v>
      </c>
      <c r="P173" s="2" t="s">
        <v>9713</v>
      </c>
    </row>
    <row r="174">
      <c r="A174" s="2" t="s">
        <v>9905</v>
      </c>
      <c r="B174" s="3" t="str">
        <f>C174 &amp; " " &amp; E174 &amp; " " &amp; D174</f>
        <v>principal-knowledge-authority SELECT Roles</v>
      </c>
      <c r="C174" s="2" t="s">
        <v>9708</v>
      </c>
      <c r="D174" s="2" t="s">
        <v>1798</v>
      </c>
      <c r="E174" s="2" t="s">
        <v>9711</v>
      </c>
      <c r="F174" s="2" t="s">
        <v>168</v>
      </c>
      <c r="G174" s="2" t="s">
        <v>168</v>
      </c>
      <c r="H174" s="2" t="s">
        <v>9787</v>
      </c>
      <c r="I174" s="2" t="b">
        <v>0</v>
      </c>
      <c r="J174" s="3" t="b">
        <f>OR(E174 = "INSERT", E174 = "UPDATE", E174 = "DELETE", E174 = "ALL")</f>
        <v>0</v>
      </c>
      <c r="K174" s="3" t="b">
        <f>F174 = ""</f>
        <v>1</v>
      </c>
      <c r="L174" s="3" t="b">
        <f>_xlfn.IFNA(INDEX(AccessPrincipals!G2:G999, MATCH(C174,AccessPrincipals!A2:A999, 0)), "")</f>
        <v>1</v>
      </c>
      <c r="M174" s="3" t="b">
        <f>AND(K174, NOT(L174))</f>
        <v>0</v>
      </c>
      <c r="N174" s="3" t="b">
        <f>AND(J174, O174 = 0)</f>
        <v>0</v>
      </c>
      <c r="O174" s="3">
        <f>COUNTIFS(AccessDenialTests!C2:C999, A174)</f>
        <v>0</v>
      </c>
      <c r="P174" s="2" t="s">
        <v>9713</v>
      </c>
    </row>
    <row r="175">
      <c r="A175" s="2" t="s">
        <v>9906</v>
      </c>
      <c r="B175" s="3" t="str">
        <f>C175 &amp; " " &amp; E175 &amp; " " &amp; D175</f>
        <v>principal-knowledge-authority SELECT RulebookFields</v>
      </c>
      <c r="C175" s="2" t="s">
        <v>9708</v>
      </c>
      <c r="D175" s="2" t="s">
        <v>4106</v>
      </c>
      <c r="E175" s="2" t="s">
        <v>9711</v>
      </c>
      <c r="F175" s="2" t="s">
        <v>168</v>
      </c>
      <c r="G175" s="2" t="s">
        <v>168</v>
      </c>
      <c r="H175" s="2" t="s">
        <v>9787</v>
      </c>
      <c r="I175" s="2" t="b">
        <v>0</v>
      </c>
      <c r="J175" s="3" t="b">
        <f>OR(E175 = "INSERT", E175 = "UPDATE", E175 = "DELETE", E175 = "ALL")</f>
        <v>0</v>
      </c>
      <c r="K175" s="3" t="b">
        <f>F175 = ""</f>
        <v>1</v>
      </c>
      <c r="L175" s="3" t="b">
        <f>_xlfn.IFNA(INDEX(AccessPrincipals!G2:G999, MATCH(C175,AccessPrincipals!A2:A999, 0)), "")</f>
        <v>1</v>
      </c>
      <c r="M175" s="3" t="b">
        <f>AND(K175, NOT(L175))</f>
        <v>0</v>
      </c>
      <c r="N175" s="3" t="b">
        <f>AND(J175, O175 = 0)</f>
        <v>0</v>
      </c>
      <c r="O175" s="3">
        <f>COUNTIFS(AccessDenialTests!C2:C999, A175)</f>
        <v>0</v>
      </c>
      <c r="P175" s="2" t="s">
        <v>9713</v>
      </c>
    </row>
    <row r="176">
      <c r="A176" s="2" t="s">
        <v>9907</v>
      </c>
      <c r="B176" s="3" t="str">
        <f>C176 &amp; " " &amp; E176 &amp; " " &amp; D176</f>
        <v>principal-knowledge-authority SELECT RulebookReleases</v>
      </c>
      <c r="C176" s="2" t="s">
        <v>9708</v>
      </c>
      <c r="D176" s="2" t="s">
        <v>2384</v>
      </c>
      <c r="E176" s="2" t="s">
        <v>9711</v>
      </c>
      <c r="F176" s="2" t="s">
        <v>168</v>
      </c>
      <c r="G176" s="2" t="s">
        <v>168</v>
      </c>
      <c r="H176" s="2" t="s">
        <v>9787</v>
      </c>
      <c r="I176" s="2" t="b">
        <v>0</v>
      </c>
      <c r="J176" s="3" t="b">
        <f>OR(E176 = "INSERT", E176 = "UPDATE", E176 = "DELETE", E176 = "ALL")</f>
        <v>0</v>
      </c>
      <c r="K176" s="3" t="b">
        <f>F176 = ""</f>
        <v>1</v>
      </c>
      <c r="L176" s="3" t="b">
        <f>_xlfn.IFNA(INDEX(AccessPrincipals!G2:G999, MATCH(C176,AccessPrincipals!A2:A999, 0)), "")</f>
        <v>1</v>
      </c>
      <c r="M176" s="3" t="b">
        <f>AND(K176, NOT(L176))</f>
        <v>0</v>
      </c>
      <c r="N176" s="3" t="b">
        <f>AND(J176, O176 = 0)</f>
        <v>0</v>
      </c>
      <c r="O176" s="3">
        <f>COUNTIFS(AccessDenialTests!C2:C999, A176)</f>
        <v>0</v>
      </c>
      <c r="P176" s="2" t="s">
        <v>9713</v>
      </c>
    </row>
    <row r="177">
      <c r="A177" s="2" t="s">
        <v>9908</v>
      </c>
      <c r="B177" s="3" t="str">
        <f>C177 &amp; " " &amp; E177 &amp; " " &amp; D177</f>
        <v>principal-knowledge-authority SELECT SemanticMappings</v>
      </c>
      <c r="C177" s="2" t="s">
        <v>9708</v>
      </c>
      <c r="D177" s="2" t="s">
        <v>4064</v>
      </c>
      <c r="E177" s="2" t="s">
        <v>9711</v>
      </c>
      <c r="F177" s="2" t="s">
        <v>168</v>
      </c>
      <c r="G177" s="2" t="s">
        <v>168</v>
      </c>
      <c r="H177" s="2" t="s">
        <v>9787</v>
      </c>
      <c r="I177" s="2" t="b">
        <v>0</v>
      </c>
      <c r="J177" s="3" t="b">
        <f>OR(E177 = "INSERT", E177 = "UPDATE", E177 = "DELETE", E177 = "ALL")</f>
        <v>0</v>
      </c>
      <c r="K177" s="3" t="b">
        <f>F177 = ""</f>
        <v>1</v>
      </c>
      <c r="L177" s="3" t="b">
        <f>_xlfn.IFNA(INDEX(AccessPrincipals!G2:G999, MATCH(C177,AccessPrincipals!A2:A999, 0)), "")</f>
        <v>1</v>
      </c>
      <c r="M177" s="3" t="b">
        <f>AND(K177, NOT(L177))</f>
        <v>0</v>
      </c>
      <c r="N177" s="3" t="b">
        <f>AND(J177, O177 = 0)</f>
        <v>0</v>
      </c>
      <c r="O177" s="3">
        <f>COUNTIFS(AccessDenialTests!C2:C999, A177)</f>
        <v>0</v>
      </c>
      <c r="P177" s="2" t="s">
        <v>9713</v>
      </c>
    </row>
    <row r="178">
      <c r="A178" s="2" t="s">
        <v>9909</v>
      </c>
      <c r="B178" s="3" t="str">
        <f>C178 &amp; " " &amp; E178 &amp; " " &amp; D178</f>
        <v>principal-knowledge-authority SELECT SendIntents</v>
      </c>
      <c r="C178" s="2" t="s">
        <v>9708</v>
      </c>
      <c r="D178" s="2" t="s">
        <v>4662</v>
      </c>
      <c r="E178" s="2" t="s">
        <v>9711</v>
      </c>
      <c r="F178" s="2" t="s">
        <v>168</v>
      </c>
      <c r="G178" s="2" t="s">
        <v>168</v>
      </c>
      <c r="H178" s="2" t="s">
        <v>9787</v>
      </c>
      <c r="I178" s="2" t="b">
        <v>0</v>
      </c>
      <c r="J178" s="3" t="b">
        <f>OR(E178 = "INSERT", E178 = "UPDATE", E178 = "DELETE", E178 = "ALL")</f>
        <v>0</v>
      </c>
      <c r="K178" s="3" t="b">
        <f>F178 = ""</f>
        <v>1</v>
      </c>
      <c r="L178" s="3" t="b">
        <f>_xlfn.IFNA(INDEX(AccessPrincipals!G2:G999, MATCH(C178,AccessPrincipals!A2:A999, 0)), "")</f>
        <v>1</v>
      </c>
      <c r="M178" s="3" t="b">
        <f>AND(K178, NOT(L178))</f>
        <v>0</v>
      </c>
      <c r="N178" s="3" t="b">
        <f>AND(J178, O178 = 0)</f>
        <v>0</v>
      </c>
      <c r="O178" s="3">
        <f>COUNTIFS(AccessDenialTests!C2:C999, A178)</f>
        <v>0</v>
      </c>
      <c r="P178" s="2" t="s">
        <v>9713</v>
      </c>
    </row>
    <row r="179">
      <c r="A179" s="2" t="s">
        <v>9910</v>
      </c>
      <c r="B179" s="3" t="str">
        <f>C179 &amp; " " &amp; E179 &amp; " " &amp; D179</f>
        <v>principal-knowledge-authority SELECT StepActions</v>
      </c>
      <c r="C179" s="2" t="s">
        <v>9708</v>
      </c>
      <c r="D179" s="2" t="s">
        <v>2962</v>
      </c>
      <c r="E179" s="2" t="s">
        <v>9711</v>
      </c>
      <c r="F179" s="2" t="s">
        <v>168</v>
      </c>
      <c r="G179" s="2" t="s">
        <v>168</v>
      </c>
      <c r="H179" s="2" t="s">
        <v>9787</v>
      </c>
      <c r="I179" s="2" t="b">
        <v>0</v>
      </c>
      <c r="J179" s="3" t="b">
        <f>OR(E179 = "INSERT", E179 = "UPDATE", E179 = "DELETE", E179 = "ALL")</f>
        <v>0</v>
      </c>
      <c r="K179" s="3" t="b">
        <f>F179 = ""</f>
        <v>1</v>
      </c>
      <c r="L179" s="3" t="b">
        <f>_xlfn.IFNA(INDEX(AccessPrincipals!G2:G999, MATCH(C179,AccessPrincipals!A2:A999, 0)), "")</f>
        <v>1</v>
      </c>
      <c r="M179" s="3" t="b">
        <f>AND(K179, NOT(L179))</f>
        <v>0</v>
      </c>
      <c r="N179" s="3" t="b">
        <f>AND(J179, O179 = 0)</f>
        <v>0</v>
      </c>
      <c r="O179" s="3">
        <f>COUNTIFS(AccessDenialTests!C2:C999, A179)</f>
        <v>0</v>
      </c>
      <c r="P179" s="2" t="s">
        <v>9713</v>
      </c>
    </row>
    <row r="180">
      <c r="A180" s="2" t="s">
        <v>9911</v>
      </c>
      <c r="B180" s="3" t="str">
        <f>C180 &amp; " " &amp; E180 &amp; " " &amp; D180</f>
        <v>principal-knowledge-authority SELECT StepExecutions</v>
      </c>
      <c r="C180" s="2" t="s">
        <v>9708</v>
      </c>
      <c r="D180" s="2" t="s">
        <v>1807</v>
      </c>
      <c r="E180" s="2" t="s">
        <v>9711</v>
      </c>
      <c r="F180" s="2" t="s">
        <v>168</v>
      </c>
      <c r="G180" s="2" t="s">
        <v>168</v>
      </c>
      <c r="H180" s="2" t="s">
        <v>9787</v>
      </c>
      <c r="I180" s="2" t="b">
        <v>0</v>
      </c>
      <c r="J180" s="3" t="b">
        <f>OR(E180 = "INSERT", E180 = "UPDATE", E180 = "DELETE", E180 = "ALL")</f>
        <v>0</v>
      </c>
      <c r="K180" s="3" t="b">
        <f>F180 = ""</f>
        <v>1</v>
      </c>
      <c r="L180" s="3" t="b">
        <f>_xlfn.IFNA(INDEX(AccessPrincipals!G2:G999, MATCH(C180,AccessPrincipals!A2:A999, 0)), "")</f>
        <v>1</v>
      </c>
      <c r="M180" s="3" t="b">
        <f>AND(K180, NOT(L180))</f>
        <v>0</v>
      </c>
      <c r="N180" s="3" t="b">
        <f>AND(J180, O180 = 0)</f>
        <v>0</v>
      </c>
      <c r="O180" s="3">
        <f>COUNTIFS(AccessDenialTests!C2:C999, A180)</f>
        <v>0</v>
      </c>
      <c r="P180" s="2" t="s">
        <v>9713</v>
      </c>
    </row>
    <row r="181">
      <c r="A181" s="2" t="s">
        <v>9912</v>
      </c>
      <c r="B181" s="3" t="str">
        <f>C181 &amp; " " &amp; E181 &amp; " " &amp; D181</f>
        <v>principal-knowledge-authority SELECT StepFunctions</v>
      </c>
      <c r="C181" s="2" t="s">
        <v>9708</v>
      </c>
      <c r="D181" s="2" t="s">
        <v>2968</v>
      </c>
      <c r="E181" s="2" t="s">
        <v>9711</v>
      </c>
      <c r="F181" s="2" t="s">
        <v>168</v>
      </c>
      <c r="G181" s="2" t="s">
        <v>168</v>
      </c>
      <c r="H181" s="2" t="s">
        <v>9787</v>
      </c>
      <c r="I181" s="2" t="b">
        <v>0</v>
      </c>
      <c r="J181" s="3" t="b">
        <f>OR(E181 = "INSERT", E181 = "UPDATE", E181 = "DELETE", E181 = "ALL")</f>
        <v>0</v>
      </c>
      <c r="K181" s="3" t="b">
        <f>F181 = ""</f>
        <v>1</v>
      </c>
      <c r="L181" s="3" t="b">
        <f>_xlfn.IFNA(INDEX(AccessPrincipals!G2:G999, MATCH(C181,AccessPrincipals!A2:A999, 0)), "")</f>
        <v>1</v>
      </c>
      <c r="M181" s="3" t="b">
        <f>AND(K181, NOT(L181))</f>
        <v>0</v>
      </c>
      <c r="N181" s="3" t="b">
        <f>AND(J181, O181 = 0)</f>
        <v>0</v>
      </c>
      <c r="O181" s="3">
        <f>COUNTIFS(AccessDenialTests!C2:C999, A181)</f>
        <v>0</v>
      </c>
      <c r="P181" s="2" t="s">
        <v>9713</v>
      </c>
    </row>
    <row r="182">
      <c r="A182" s="2" t="s">
        <v>9913</v>
      </c>
      <c r="B182" s="3" t="str">
        <f>C182 &amp; " " &amp; E182 &amp; " " &amp; D182</f>
        <v>principal-knowledge-authority SELECT StepRequirements</v>
      </c>
      <c r="C182" s="2" t="s">
        <v>9708</v>
      </c>
      <c r="D182" s="2" t="s">
        <v>3053</v>
      </c>
      <c r="E182" s="2" t="s">
        <v>9711</v>
      </c>
      <c r="F182" s="2" t="s">
        <v>168</v>
      </c>
      <c r="G182" s="2" t="s">
        <v>168</v>
      </c>
      <c r="H182" s="2" t="s">
        <v>9787</v>
      </c>
      <c r="I182" s="2" t="b">
        <v>0</v>
      </c>
      <c r="J182" s="3" t="b">
        <f>OR(E182 = "INSERT", E182 = "UPDATE", E182 = "DELETE", E182 = "ALL")</f>
        <v>0</v>
      </c>
      <c r="K182" s="3" t="b">
        <f>F182 = ""</f>
        <v>1</v>
      </c>
      <c r="L182" s="3" t="b">
        <f>_xlfn.IFNA(INDEX(AccessPrincipals!G2:G999, MATCH(C182,AccessPrincipals!A2:A999, 0)), "")</f>
        <v>1</v>
      </c>
      <c r="M182" s="3" t="b">
        <f>AND(K182, NOT(L182))</f>
        <v>0</v>
      </c>
      <c r="N182" s="3" t="b">
        <f>AND(J182, O182 = 0)</f>
        <v>0</v>
      </c>
      <c r="O182" s="3">
        <f>COUNTIFS(AccessDenialTests!C2:C999, A182)</f>
        <v>0</v>
      </c>
      <c r="P182" s="2" t="s">
        <v>9713</v>
      </c>
    </row>
    <row r="183">
      <c r="A183" s="2" t="s">
        <v>9914</v>
      </c>
      <c r="B183" s="3" t="str">
        <f>C183 &amp; " " &amp; E183 &amp; " " &amp; D183</f>
        <v>principal-knowledge-authority SELECT StepTools</v>
      </c>
      <c r="C183" s="2" t="s">
        <v>9708</v>
      </c>
      <c r="D183" s="2" t="s">
        <v>2974</v>
      </c>
      <c r="E183" s="2" t="s">
        <v>9711</v>
      </c>
      <c r="F183" s="2" t="s">
        <v>168</v>
      </c>
      <c r="G183" s="2" t="s">
        <v>168</v>
      </c>
      <c r="H183" s="2" t="s">
        <v>9787</v>
      </c>
      <c r="I183" s="2" t="b">
        <v>0</v>
      </c>
      <c r="J183" s="3" t="b">
        <f>OR(E183 = "INSERT", E183 = "UPDATE", E183 = "DELETE", E183 = "ALL")</f>
        <v>0</v>
      </c>
      <c r="K183" s="3" t="b">
        <f>F183 = ""</f>
        <v>1</v>
      </c>
      <c r="L183" s="3" t="b">
        <f>_xlfn.IFNA(INDEX(AccessPrincipals!G2:G999, MATCH(C183,AccessPrincipals!A2:A999, 0)), "")</f>
        <v>1</v>
      </c>
      <c r="M183" s="3" t="b">
        <f>AND(K183, NOT(L183))</f>
        <v>0</v>
      </c>
      <c r="N183" s="3" t="b">
        <f>AND(J183, O183 = 0)</f>
        <v>0</v>
      </c>
      <c r="O183" s="3">
        <f>COUNTIFS(AccessDenialTests!C2:C999, A183)</f>
        <v>0</v>
      </c>
      <c r="P183" s="2" t="s">
        <v>9713</v>
      </c>
    </row>
    <row r="184">
      <c r="A184" s="2" t="s">
        <v>9915</v>
      </c>
      <c r="B184" s="3" t="str">
        <f>C184 &amp; " " &amp; E184 &amp; " " &amp; D184</f>
        <v>principal-knowledge-authority SELECT StepTransitions</v>
      </c>
      <c r="C184" s="2" t="s">
        <v>9708</v>
      </c>
      <c r="D184" s="2" t="s">
        <v>1764</v>
      </c>
      <c r="E184" s="2" t="s">
        <v>9711</v>
      </c>
      <c r="F184" s="2" t="s">
        <v>168</v>
      </c>
      <c r="G184" s="2" t="s">
        <v>168</v>
      </c>
      <c r="H184" s="2" t="s">
        <v>9787</v>
      </c>
      <c r="I184" s="2" t="b">
        <v>0</v>
      </c>
      <c r="J184" s="3" t="b">
        <f>OR(E184 = "INSERT", E184 = "UPDATE", E184 = "DELETE", E184 = "ALL")</f>
        <v>0</v>
      </c>
      <c r="K184" s="3" t="b">
        <f>F184 = ""</f>
        <v>1</v>
      </c>
      <c r="L184" s="3" t="b">
        <f>_xlfn.IFNA(INDEX(AccessPrincipals!G2:G999, MATCH(C184,AccessPrincipals!A2:A999, 0)), "")</f>
        <v>1</v>
      </c>
      <c r="M184" s="3" t="b">
        <f>AND(K184, NOT(L184))</f>
        <v>0</v>
      </c>
      <c r="N184" s="3" t="b">
        <f>AND(J184, O184 = 0)</f>
        <v>0</v>
      </c>
      <c r="O184" s="3">
        <f>COUNTIFS(AccessDenialTests!C2:C999, A184)</f>
        <v>0</v>
      </c>
      <c r="P184" s="2" t="s">
        <v>9713</v>
      </c>
    </row>
    <row r="185">
      <c r="A185" s="2" t="s">
        <v>9916</v>
      </c>
      <c r="B185" s="3" t="str">
        <f>C185 &amp; " " &amp; E185 &amp; " " &amp; D185</f>
        <v>principal-knowledge-authority SELECT StepVerifications</v>
      </c>
      <c r="C185" s="2" t="s">
        <v>9708</v>
      </c>
      <c r="D185" s="2" t="s">
        <v>1788</v>
      </c>
      <c r="E185" s="2" t="s">
        <v>9711</v>
      </c>
      <c r="F185" s="2" t="s">
        <v>168</v>
      </c>
      <c r="G185" s="2" t="s">
        <v>168</v>
      </c>
      <c r="H185" s="2" t="s">
        <v>9787</v>
      </c>
      <c r="I185" s="2" t="b">
        <v>0</v>
      </c>
      <c r="J185" s="3" t="b">
        <f>OR(E185 = "INSERT", E185 = "UPDATE", E185 = "DELETE", E185 = "ALL")</f>
        <v>0</v>
      </c>
      <c r="K185" s="3" t="b">
        <f>F185 = ""</f>
        <v>1</v>
      </c>
      <c r="L185" s="3" t="b">
        <f>_xlfn.IFNA(INDEX(AccessPrincipals!G2:G999, MATCH(C185,AccessPrincipals!A2:A999, 0)), "")</f>
        <v>1</v>
      </c>
      <c r="M185" s="3" t="b">
        <f>AND(K185, NOT(L185))</f>
        <v>0</v>
      </c>
      <c r="N185" s="3" t="b">
        <f>AND(J185, O185 = 0)</f>
        <v>0</v>
      </c>
      <c r="O185" s="3">
        <f>COUNTIFS(AccessDenialTests!C2:C999, A185)</f>
        <v>0</v>
      </c>
      <c r="P185" s="2" t="s">
        <v>9713</v>
      </c>
    </row>
    <row r="186">
      <c r="A186" s="2" t="s">
        <v>9917</v>
      </c>
      <c r="B186" s="3" t="str">
        <f>C186 &amp; " " &amp; E186 &amp; " " &amp; D186</f>
        <v>principal-knowledge-authority SELECT Steps</v>
      </c>
      <c r="C186" s="2" t="s">
        <v>9708</v>
      </c>
      <c r="D186" s="2" t="s">
        <v>1758</v>
      </c>
      <c r="E186" s="2" t="s">
        <v>9711</v>
      </c>
      <c r="F186" s="2" t="s">
        <v>168</v>
      </c>
      <c r="G186" s="2" t="s">
        <v>168</v>
      </c>
      <c r="H186" s="2" t="s">
        <v>9787</v>
      </c>
      <c r="I186" s="2" t="b">
        <v>0</v>
      </c>
      <c r="J186" s="3" t="b">
        <f>OR(E186 = "INSERT", E186 = "UPDATE", E186 = "DELETE", E186 = "ALL")</f>
        <v>0</v>
      </c>
      <c r="K186" s="3" t="b">
        <f>F186 = ""</f>
        <v>1</v>
      </c>
      <c r="L186" s="3" t="b">
        <f>_xlfn.IFNA(INDEX(AccessPrincipals!G2:G999, MATCH(C186,AccessPrincipals!A2:A999, 0)), "")</f>
        <v>1</v>
      </c>
      <c r="M186" s="3" t="b">
        <f>AND(K186, NOT(L186))</f>
        <v>0</v>
      </c>
      <c r="N186" s="3" t="b">
        <f>AND(J186, O186 = 0)</f>
        <v>0</v>
      </c>
      <c r="O186" s="3">
        <f>COUNTIFS(AccessDenialTests!C2:C999, A186)</f>
        <v>0</v>
      </c>
      <c r="P186" s="2" t="s">
        <v>9713</v>
      </c>
    </row>
    <row r="187">
      <c r="A187" s="2" t="s">
        <v>9918</v>
      </c>
      <c r="B187" s="3" t="str">
        <f>C187 &amp; " " &amp; E187 &amp; " " &amp; D187</f>
        <v>principal-knowledge-authority SELECT StewardshipAssignments</v>
      </c>
      <c r="C187" s="2" t="s">
        <v>9708</v>
      </c>
      <c r="D187" s="2" t="s">
        <v>1839</v>
      </c>
      <c r="E187" s="2" t="s">
        <v>9711</v>
      </c>
      <c r="F187" s="2" t="s">
        <v>168</v>
      </c>
      <c r="G187" s="2" t="s">
        <v>168</v>
      </c>
      <c r="H187" s="2" t="s">
        <v>9787</v>
      </c>
      <c r="I187" s="2" t="b">
        <v>0</v>
      </c>
      <c r="J187" s="3" t="b">
        <f>OR(E187 = "INSERT", E187 = "UPDATE", E187 = "DELETE", E187 = "ALL")</f>
        <v>0</v>
      </c>
      <c r="K187" s="3" t="b">
        <f>F187 = ""</f>
        <v>1</v>
      </c>
      <c r="L187" s="3" t="b">
        <f>_xlfn.IFNA(INDEX(AccessPrincipals!G2:G999, MATCH(C187,AccessPrincipals!A2:A999, 0)), "")</f>
        <v>1</v>
      </c>
      <c r="M187" s="3" t="b">
        <f>AND(K187, NOT(L187))</f>
        <v>0</v>
      </c>
      <c r="N187" s="3" t="b">
        <f>AND(J187, O187 = 0)</f>
        <v>0</v>
      </c>
      <c r="O187" s="3">
        <f>COUNTIFS(AccessDenialTests!C2:C999, A187)</f>
        <v>0</v>
      </c>
      <c r="P187" s="2" t="s">
        <v>9713</v>
      </c>
    </row>
    <row r="188">
      <c r="A188" s="2" t="s">
        <v>9919</v>
      </c>
      <c r="B188" s="3" t="str">
        <f>C188 &amp; " " &amp; E188 &amp; " " &amp; D188</f>
        <v>principal-knowledge-authority SELECT TemplateApprovals</v>
      </c>
      <c r="C188" s="2" t="s">
        <v>9708</v>
      </c>
      <c r="D188" s="2" t="s">
        <v>4632</v>
      </c>
      <c r="E188" s="2" t="s">
        <v>9711</v>
      </c>
      <c r="F188" s="2" t="s">
        <v>168</v>
      </c>
      <c r="G188" s="2" t="s">
        <v>168</v>
      </c>
      <c r="H188" s="2" t="s">
        <v>9787</v>
      </c>
      <c r="I188" s="2" t="b">
        <v>0</v>
      </c>
      <c r="J188" s="3" t="b">
        <f>OR(E188 = "INSERT", E188 = "UPDATE", E188 = "DELETE", E188 = "ALL")</f>
        <v>0</v>
      </c>
      <c r="K188" s="3" t="b">
        <f>F188 = ""</f>
        <v>1</v>
      </c>
      <c r="L188" s="3" t="b">
        <f>_xlfn.IFNA(INDEX(AccessPrincipals!G2:G999, MATCH(C188,AccessPrincipals!A2:A999, 0)), "")</f>
        <v>1</v>
      </c>
      <c r="M188" s="3" t="b">
        <f>AND(K188, NOT(L188))</f>
        <v>0</v>
      </c>
      <c r="N188" s="3" t="b">
        <f>AND(J188, O188 = 0)</f>
        <v>0</v>
      </c>
      <c r="O188" s="3">
        <f>COUNTIFS(AccessDenialTests!C2:C999, A188)</f>
        <v>0</v>
      </c>
      <c r="P188" s="2" t="s">
        <v>9713</v>
      </c>
    </row>
    <row r="189">
      <c r="A189" s="2" t="s">
        <v>9920</v>
      </c>
      <c r="B189" s="3" t="str">
        <f>C189 &amp; " " &amp; E189 &amp; " " &amp; D189</f>
        <v>principal-knowledge-authority SELECT TestCases</v>
      </c>
      <c r="C189" s="2" t="s">
        <v>9708</v>
      </c>
      <c r="D189" s="2" t="s">
        <v>4143</v>
      </c>
      <c r="E189" s="2" t="s">
        <v>9711</v>
      </c>
      <c r="F189" s="2" t="s">
        <v>168</v>
      </c>
      <c r="G189" s="2" t="s">
        <v>168</v>
      </c>
      <c r="H189" s="2" t="s">
        <v>9787</v>
      </c>
      <c r="I189" s="2" t="b">
        <v>0</v>
      </c>
      <c r="J189" s="3" t="b">
        <f>OR(E189 = "INSERT", E189 = "UPDATE", E189 = "DELETE", E189 = "ALL")</f>
        <v>0</v>
      </c>
      <c r="K189" s="3" t="b">
        <f>F189 = ""</f>
        <v>1</v>
      </c>
      <c r="L189" s="3" t="b">
        <f>_xlfn.IFNA(INDEX(AccessPrincipals!G2:G999, MATCH(C189,AccessPrincipals!A2:A999, 0)), "")</f>
        <v>1</v>
      </c>
      <c r="M189" s="3" t="b">
        <f>AND(K189, NOT(L189))</f>
        <v>0</v>
      </c>
      <c r="N189" s="3" t="b">
        <f>AND(J189, O189 = 0)</f>
        <v>0</v>
      </c>
      <c r="O189" s="3">
        <f>COUNTIFS(AccessDenialTests!C2:C999, A189)</f>
        <v>0</v>
      </c>
      <c r="P189" s="2" t="s">
        <v>9713</v>
      </c>
    </row>
    <row r="190">
      <c r="A190" s="2" t="s">
        <v>9921</v>
      </c>
      <c r="B190" s="3" t="str">
        <f>C190 &amp; " " &amp; E190 &amp; " " &amp; D190</f>
        <v>principal-knowledge-authority SELECT TestSuites</v>
      </c>
      <c r="C190" s="2" t="s">
        <v>9708</v>
      </c>
      <c r="D190" s="2" t="s">
        <v>4125</v>
      </c>
      <c r="E190" s="2" t="s">
        <v>9711</v>
      </c>
      <c r="F190" s="2" t="s">
        <v>168</v>
      </c>
      <c r="G190" s="2" t="s">
        <v>168</v>
      </c>
      <c r="H190" s="2" t="s">
        <v>9787</v>
      </c>
      <c r="I190" s="2" t="b">
        <v>0</v>
      </c>
      <c r="J190" s="3" t="b">
        <f>OR(E190 = "INSERT", E190 = "UPDATE", E190 = "DELETE", E190 = "ALL")</f>
        <v>0</v>
      </c>
      <c r="K190" s="3" t="b">
        <f>F190 = ""</f>
        <v>1</v>
      </c>
      <c r="L190" s="3" t="b">
        <f>_xlfn.IFNA(INDEX(AccessPrincipals!G2:G999, MATCH(C190,AccessPrincipals!A2:A999, 0)), "")</f>
        <v>1</v>
      </c>
      <c r="M190" s="3" t="b">
        <f>AND(K190, NOT(L190))</f>
        <v>0</v>
      </c>
      <c r="N190" s="3" t="b">
        <f>AND(J190, O190 = 0)</f>
        <v>0</v>
      </c>
      <c r="O190" s="3">
        <f>COUNTIFS(AccessDenialTests!C2:C999, A190)</f>
        <v>0</v>
      </c>
      <c r="P190" s="2" t="s">
        <v>9713</v>
      </c>
    </row>
    <row r="191">
      <c r="A191" s="2" t="s">
        <v>9922</v>
      </c>
      <c r="B191" s="3" t="str">
        <f>C191 &amp; " " &amp; E191 &amp; " " &amp; D191</f>
        <v>principal-knowledge-authority SELECT Tools</v>
      </c>
      <c r="C191" s="2" t="s">
        <v>9708</v>
      </c>
      <c r="D191" s="2" t="s">
        <v>1782</v>
      </c>
      <c r="E191" s="2" t="s">
        <v>9711</v>
      </c>
      <c r="F191" s="2" t="s">
        <v>168</v>
      </c>
      <c r="G191" s="2" t="s">
        <v>168</v>
      </c>
      <c r="H191" s="2" t="s">
        <v>9787</v>
      </c>
      <c r="I191" s="2" t="b">
        <v>0</v>
      </c>
      <c r="J191" s="3" t="b">
        <f>OR(E191 = "INSERT", E191 = "UPDATE", E191 = "DELETE", E191 = "ALL")</f>
        <v>0</v>
      </c>
      <c r="K191" s="3" t="b">
        <f>F191 = ""</f>
        <v>1</v>
      </c>
      <c r="L191" s="3" t="b">
        <f>_xlfn.IFNA(INDEX(AccessPrincipals!G2:G999, MATCH(C191,AccessPrincipals!A2:A999, 0)), "")</f>
        <v>1</v>
      </c>
      <c r="M191" s="3" t="b">
        <f>AND(K191, NOT(L191))</f>
        <v>0</v>
      </c>
      <c r="N191" s="3" t="b">
        <f>AND(J191, O191 = 0)</f>
        <v>0</v>
      </c>
      <c r="O191" s="3">
        <f>COUNTIFS(AccessDenialTests!C2:C999, A191)</f>
        <v>0</v>
      </c>
      <c r="P191" s="2" t="s">
        <v>9713</v>
      </c>
    </row>
    <row r="192">
      <c r="A192" s="2" t="s">
        <v>9923</v>
      </c>
      <c r="B192" s="3" t="str">
        <f>C192 &amp; " " &amp; E192 &amp; " " &amp; D192</f>
        <v>principal-knowledge-authority SELECT UserFeedback</v>
      </c>
      <c r="C192" s="2" t="s">
        <v>9708</v>
      </c>
      <c r="D192" s="2" t="s">
        <v>1822</v>
      </c>
      <c r="E192" s="2" t="s">
        <v>9711</v>
      </c>
      <c r="F192" s="2" t="s">
        <v>168</v>
      </c>
      <c r="G192" s="2" t="s">
        <v>168</v>
      </c>
      <c r="H192" s="2" t="s">
        <v>9787</v>
      </c>
      <c r="I192" s="2" t="b">
        <v>0</v>
      </c>
      <c r="J192" s="3" t="b">
        <f>OR(E192 = "INSERT", E192 = "UPDATE", E192 = "DELETE", E192 = "ALL")</f>
        <v>0</v>
      </c>
      <c r="K192" s="3" t="b">
        <f>F192 = ""</f>
        <v>1</v>
      </c>
      <c r="L192" s="3" t="b">
        <f>_xlfn.IFNA(INDEX(AccessPrincipals!G2:G999, MATCH(C192,AccessPrincipals!A2:A999, 0)), "")</f>
        <v>1</v>
      </c>
      <c r="M192" s="3" t="b">
        <f>AND(K192, NOT(L192))</f>
        <v>0</v>
      </c>
      <c r="N192" s="3" t="b">
        <f>AND(J192, O192 = 0)</f>
        <v>0</v>
      </c>
      <c r="O192" s="3">
        <f>COUNTIFS(AccessDenialTests!C2:C999, A192)</f>
        <v>0</v>
      </c>
      <c r="P192" s="2" t="s">
        <v>9713</v>
      </c>
    </row>
    <row r="193">
      <c r="A193" s="2" t="s">
        <v>9924</v>
      </c>
      <c r="B193" s="3" t="str">
        <f>C193 &amp; " " &amp; E193 &amp; " " &amp; D193</f>
        <v>principal-knowledge-authority SELECT UserQuestions</v>
      </c>
      <c r="C193" s="2" t="s">
        <v>9708</v>
      </c>
      <c r="D193" s="2" t="s">
        <v>1819</v>
      </c>
      <c r="E193" s="2" t="s">
        <v>9711</v>
      </c>
      <c r="F193" s="2" t="s">
        <v>168</v>
      </c>
      <c r="G193" s="2" t="s">
        <v>168</v>
      </c>
      <c r="H193" s="2" t="s">
        <v>9787</v>
      </c>
      <c r="I193" s="2" t="b">
        <v>0</v>
      </c>
      <c r="J193" s="3" t="b">
        <f>OR(E193 = "INSERT", E193 = "UPDATE", E193 = "DELETE", E193 = "ALL")</f>
        <v>0</v>
      </c>
      <c r="K193" s="3" t="b">
        <f>F193 = ""</f>
        <v>1</v>
      </c>
      <c r="L193" s="3" t="b">
        <f>_xlfn.IFNA(INDEX(AccessPrincipals!G2:G999, MATCH(C193,AccessPrincipals!A2:A999, 0)), "")</f>
        <v>1</v>
      </c>
      <c r="M193" s="3" t="b">
        <f>AND(K193, NOT(L193))</f>
        <v>0</v>
      </c>
      <c r="N193" s="3" t="b">
        <f>AND(J193, O193 = 0)</f>
        <v>0</v>
      </c>
      <c r="O193" s="3">
        <f>COUNTIFS(AccessDenialTests!C2:C999, A193)</f>
        <v>0</v>
      </c>
      <c r="P193" s="2" t="s">
        <v>9713</v>
      </c>
    </row>
    <row r="194">
      <c r="A194" s="2" t="s">
        <v>9925</v>
      </c>
      <c r="B194" s="3" t="str">
        <f>C194 &amp; " " &amp; E194 &amp; " " &amp; D194</f>
        <v>principal-knowledge-authority SELECT VerificationOutcomes</v>
      </c>
      <c r="C194" s="2" t="s">
        <v>9708</v>
      </c>
      <c r="D194" s="2" t="s">
        <v>4271</v>
      </c>
      <c r="E194" s="2" t="s">
        <v>9711</v>
      </c>
      <c r="F194" s="2" t="s">
        <v>168</v>
      </c>
      <c r="G194" s="2" t="s">
        <v>168</v>
      </c>
      <c r="H194" s="2" t="s">
        <v>9787</v>
      </c>
      <c r="I194" s="2" t="b">
        <v>0</v>
      </c>
      <c r="J194" s="3" t="b">
        <f>OR(E194 = "INSERT", E194 = "UPDATE", E194 = "DELETE", E194 = "ALL")</f>
        <v>0</v>
      </c>
      <c r="K194" s="3" t="b">
        <f>F194 = ""</f>
        <v>1</v>
      </c>
      <c r="L194" s="3" t="b">
        <f>_xlfn.IFNA(INDEX(AccessPrincipals!G2:G999, MATCH(C194,AccessPrincipals!A2:A999, 0)), "")</f>
        <v>1</v>
      </c>
      <c r="M194" s="3" t="b">
        <f>AND(K194, NOT(L194))</f>
        <v>0</v>
      </c>
      <c r="N194" s="3" t="b">
        <f>AND(J194, O194 = 0)</f>
        <v>0</v>
      </c>
      <c r="O194" s="3">
        <f>COUNTIFS(AccessDenialTests!C2:C999, A194)</f>
        <v>0</v>
      </c>
      <c r="P194" s="2" t="s">
        <v>9713</v>
      </c>
    </row>
    <row r="195">
      <c r="A195" s="2" t="s">
        <v>9926</v>
      </c>
      <c r="B195" s="3" t="str">
        <f>C195 &amp; " " &amp; E195 &amp; " " &amp; D195</f>
        <v>principal-knowledge-authority SELECT WitnessLoops</v>
      </c>
      <c r="C195" s="2" t="s">
        <v>9708</v>
      </c>
      <c r="D195" s="2" t="s">
        <v>4074</v>
      </c>
      <c r="E195" s="2" t="s">
        <v>9711</v>
      </c>
      <c r="F195" s="2" t="s">
        <v>168</v>
      </c>
      <c r="G195" s="2" t="s">
        <v>168</v>
      </c>
      <c r="H195" s="2" t="s">
        <v>9787</v>
      </c>
      <c r="I195" s="2" t="b">
        <v>0</v>
      </c>
      <c r="J195" s="3" t="b">
        <f>OR(E195 = "INSERT", E195 = "UPDATE", E195 = "DELETE", E195 = "ALL")</f>
        <v>0</v>
      </c>
      <c r="K195" s="3" t="b">
        <f>F195 = ""</f>
        <v>1</v>
      </c>
      <c r="L195" s="3" t="b">
        <f>_xlfn.IFNA(INDEX(AccessPrincipals!G2:G999, MATCH(C195,AccessPrincipals!A2:A999, 0)), "")</f>
        <v>1</v>
      </c>
      <c r="M195" s="3" t="b">
        <f>AND(K195, NOT(L195))</f>
        <v>0</v>
      </c>
      <c r="N195" s="3" t="b">
        <f>AND(J195, O195 = 0)</f>
        <v>0</v>
      </c>
      <c r="O195" s="3">
        <f>COUNTIFS(AccessDenialTests!C2:C999, A195)</f>
        <v>0</v>
      </c>
      <c r="P195" s="2" t="s">
        <v>9713</v>
      </c>
    </row>
    <row r="196">
      <c r="A196" s="2" t="s">
        <v>9927</v>
      </c>
      <c r="B196" s="3" t="str">
        <f>C196 &amp; " " &amp; E196 &amp; " " &amp; D196</f>
        <v>principal-process-steward SELECT ProcessMiningRuns</v>
      </c>
      <c r="C196" s="2" t="s">
        <v>9706</v>
      </c>
      <c r="D196" s="2" t="s">
        <v>1869</v>
      </c>
      <c r="E196" s="2" t="s">
        <v>9711</v>
      </c>
      <c r="F196" s="2" t="s">
        <v>168</v>
      </c>
      <c r="G196" s="2" t="s">
        <v>168</v>
      </c>
      <c r="H196" s="2" t="s">
        <v>9928</v>
      </c>
      <c r="I196" s="2"/>
      <c r="J196" s="3" t="b">
        <f>OR(E196 = "INSERT", E196 = "UPDATE", E196 = "DELETE", E196 = "ALL")</f>
        <v>0</v>
      </c>
      <c r="K196" s="3" t="b">
        <f>F196 = ""</f>
        <v>1</v>
      </c>
      <c r="L196" s="3" t="b">
        <f>_xlfn.IFNA(INDEX(AccessPrincipals!G2:G999, MATCH(C196,AccessPrincipals!A2:A999, 0)), "")</f>
        <v>1</v>
      </c>
      <c r="M196" s="3" t="b">
        <f>AND(K196, NOT(L196))</f>
        <v>0</v>
      </c>
      <c r="N196" s="3" t="b">
        <f>AND(J196, O196 = 0)</f>
        <v>0</v>
      </c>
      <c r="O196" s="3">
        <f>COUNTIFS(AccessDenialTests!C2:C999, A196)</f>
        <v>0</v>
      </c>
      <c r="P196" s="2" t="s">
        <v>9713</v>
      </c>
    </row>
    <row r="197">
      <c r="A197" s="2" t="s">
        <v>9929</v>
      </c>
      <c r="B197" s="3" t="str">
        <f>C197 &amp; " " &amp; E197 &amp; " " &amp; D197</f>
        <v>principal-process-steward SELECT Vocabularies</v>
      </c>
      <c r="C197" s="2" t="s">
        <v>9706</v>
      </c>
      <c r="D197" s="2" t="s">
        <v>1873</v>
      </c>
      <c r="E197" s="2" t="s">
        <v>9711</v>
      </c>
      <c r="F197" s="2" t="s">
        <v>168</v>
      </c>
      <c r="G197" s="2" t="s">
        <v>168</v>
      </c>
      <c r="H197" s="2" t="s">
        <v>9928</v>
      </c>
      <c r="I197" s="2"/>
      <c r="J197" s="3" t="b">
        <f>OR(E197 = "INSERT", E197 = "UPDATE", E197 = "DELETE", E197 = "ALL")</f>
        <v>0</v>
      </c>
      <c r="K197" s="3" t="b">
        <f>F197 = ""</f>
        <v>1</v>
      </c>
      <c r="L197" s="3" t="b">
        <f>_xlfn.IFNA(INDEX(AccessPrincipals!G2:G999, MATCH(C197,AccessPrincipals!A2:A999, 0)), "")</f>
        <v>1</v>
      </c>
      <c r="M197" s="3" t="b">
        <f>AND(K197, NOT(L197))</f>
        <v>0</v>
      </c>
      <c r="N197" s="3" t="b">
        <f>AND(J197, O197 = 0)</f>
        <v>0</v>
      </c>
      <c r="O197" s="3">
        <f>COUNTIFS(AccessDenialTests!C2:C999, A197)</f>
        <v>0</v>
      </c>
      <c r="P197" s="2" t="s">
        <v>9713</v>
      </c>
    </row>
    <row r="198">
      <c r="A198" s="2" t="s">
        <v>9930</v>
      </c>
      <c r="B198" s="3" t="str">
        <f>C198 &amp; " " &amp; E198 &amp; " " &amp; D198</f>
        <v>principal-process-steward SELECT VocabularyTerms</v>
      </c>
      <c r="C198" s="2" t="s">
        <v>9706</v>
      </c>
      <c r="D198" s="2" t="s">
        <v>1877</v>
      </c>
      <c r="E198" s="2" t="s">
        <v>9711</v>
      </c>
      <c r="F198" s="2" t="s">
        <v>168</v>
      </c>
      <c r="G198" s="2" t="s">
        <v>168</v>
      </c>
      <c r="H198" s="2" t="s">
        <v>9928</v>
      </c>
      <c r="I198" s="2"/>
      <c r="J198" s="3" t="b">
        <f>OR(E198 = "INSERT", E198 = "UPDATE", E198 = "DELETE", E198 = "ALL")</f>
        <v>0</v>
      </c>
      <c r="K198" s="3" t="b">
        <f>F198 = ""</f>
        <v>1</v>
      </c>
      <c r="L198" s="3" t="b">
        <f>_xlfn.IFNA(INDEX(AccessPrincipals!G2:G999, MATCH(C198,AccessPrincipals!A2:A999, 0)), "")</f>
        <v>1</v>
      </c>
      <c r="M198" s="3" t="b">
        <f>AND(K198, NOT(L198))</f>
        <v>0</v>
      </c>
      <c r="N198" s="3" t="b">
        <f>AND(J198, O198 = 0)</f>
        <v>0</v>
      </c>
      <c r="O198" s="3">
        <f>COUNTIFS(AccessDenialTests!C2:C999, A198)</f>
        <v>0</v>
      </c>
      <c r="P198" s="2" t="s">
        <v>9713</v>
      </c>
    </row>
    <row r="199">
      <c r="A199" s="2" t="s">
        <v>9931</v>
      </c>
      <c r="B199" s="3" t="str">
        <f>C199 &amp; " " &amp; E199 &amp; " " &amp; D199</f>
        <v>principal-process-steward SELECT KnowledgeBrokerLinks</v>
      </c>
      <c r="C199" s="2" t="s">
        <v>9706</v>
      </c>
      <c r="D199" s="2" t="s">
        <v>1881</v>
      </c>
      <c r="E199" s="2" t="s">
        <v>9711</v>
      </c>
      <c r="F199" s="2" t="s">
        <v>168</v>
      </c>
      <c r="G199" s="2" t="s">
        <v>168</v>
      </c>
      <c r="H199" s="2" t="s">
        <v>9928</v>
      </c>
      <c r="I199" s="2"/>
      <c r="J199" s="3" t="b">
        <f>OR(E199 = "INSERT", E199 = "UPDATE", E199 = "DELETE", E199 = "ALL")</f>
        <v>0</v>
      </c>
      <c r="K199" s="3" t="b">
        <f>F199 = ""</f>
        <v>1</v>
      </c>
      <c r="L199" s="3" t="b">
        <f>_xlfn.IFNA(INDEX(AccessPrincipals!G2:G999, MATCH(C199,AccessPrincipals!A2:A999, 0)), "")</f>
        <v>1</v>
      </c>
      <c r="M199" s="3" t="b">
        <f>AND(K199, NOT(L199))</f>
        <v>0</v>
      </c>
      <c r="N199" s="3" t="b">
        <f>AND(J199, O199 = 0)</f>
        <v>0</v>
      </c>
      <c r="O199" s="3">
        <f>COUNTIFS(AccessDenialTests!C2:C999, A199)</f>
        <v>0</v>
      </c>
      <c r="P199" s="2" t="s">
        <v>9713</v>
      </c>
    </row>
    <row r="200">
      <c r="A200" s="2" t="s">
        <v>9932</v>
      </c>
      <c r="B200" s="3" t="str">
        <f>C200 &amp; " " &amp; E200 &amp; " " &amp; D200</f>
        <v>principal-knowledge-authority SELECT ProcessMiningRuns</v>
      </c>
      <c r="C200" s="2" t="s">
        <v>9708</v>
      </c>
      <c r="D200" s="2" t="s">
        <v>1869</v>
      </c>
      <c r="E200" s="2" t="s">
        <v>9711</v>
      </c>
      <c r="F200" s="2" t="s">
        <v>168</v>
      </c>
      <c r="G200" s="2" t="s">
        <v>168</v>
      </c>
      <c r="H200" s="2" t="s">
        <v>9928</v>
      </c>
      <c r="I200" s="2"/>
      <c r="J200" s="3" t="b">
        <f>OR(E200 = "INSERT", E200 = "UPDATE", E200 = "DELETE", E200 = "ALL")</f>
        <v>0</v>
      </c>
      <c r="K200" s="3" t="b">
        <f>F200 = ""</f>
        <v>1</v>
      </c>
      <c r="L200" s="3" t="b">
        <f>_xlfn.IFNA(INDEX(AccessPrincipals!G2:G999, MATCH(C200,AccessPrincipals!A2:A999, 0)), "")</f>
        <v>1</v>
      </c>
      <c r="M200" s="3" t="b">
        <f>AND(K200, NOT(L200))</f>
        <v>0</v>
      </c>
      <c r="N200" s="3" t="b">
        <f>AND(J200, O200 = 0)</f>
        <v>0</v>
      </c>
      <c r="O200" s="3">
        <f>COUNTIFS(AccessDenialTests!C2:C999, A200)</f>
        <v>0</v>
      </c>
      <c r="P200" s="2" t="s">
        <v>9713</v>
      </c>
    </row>
    <row r="201">
      <c r="A201" s="2" t="s">
        <v>9933</v>
      </c>
      <c r="B201" s="3" t="str">
        <f>C201 &amp; " " &amp; E201 &amp; " " &amp; D201</f>
        <v>principal-knowledge-authority SELECT Vocabularies</v>
      </c>
      <c r="C201" s="2" t="s">
        <v>9708</v>
      </c>
      <c r="D201" s="2" t="s">
        <v>1873</v>
      </c>
      <c r="E201" s="2" t="s">
        <v>9711</v>
      </c>
      <c r="F201" s="2" t="s">
        <v>168</v>
      </c>
      <c r="G201" s="2" t="s">
        <v>168</v>
      </c>
      <c r="H201" s="2" t="s">
        <v>9928</v>
      </c>
      <c r="I201" s="2"/>
      <c r="J201" s="3" t="b">
        <f>OR(E201 = "INSERT", E201 = "UPDATE", E201 = "DELETE", E201 = "ALL")</f>
        <v>0</v>
      </c>
      <c r="K201" s="3" t="b">
        <f>F201 = ""</f>
        <v>1</v>
      </c>
      <c r="L201" s="3" t="b">
        <f>_xlfn.IFNA(INDEX(AccessPrincipals!G2:G999, MATCH(C201,AccessPrincipals!A2:A999, 0)), "")</f>
        <v>1</v>
      </c>
      <c r="M201" s="3" t="b">
        <f>AND(K201, NOT(L201))</f>
        <v>0</v>
      </c>
      <c r="N201" s="3" t="b">
        <f>AND(J201, O201 = 0)</f>
        <v>0</v>
      </c>
      <c r="O201" s="3">
        <f>COUNTIFS(AccessDenialTests!C2:C999, A201)</f>
        <v>0</v>
      </c>
      <c r="P201" s="2" t="s">
        <v>9713</v>
      </c>
    </row>
    <row r="202">
      <c r="A202" s="2" t="s">
        <v>9934</v>
      </c>
      <c r="B202" s="3" t="str">
        <f>C202 &amp; " " &amp; E202 &amp; " " &amp; D202</f>
        <v>principal-knowledge-authority SELECT VocabularyTerms</v>
      </c>
      <c r="C202" s="2" t="s">
        <v>9708</v>
      </c>
      <c r="D202" s="2" t="s">
        <v>1877</v>
      </c>
      <c r="E202" s="2" t="s">
        <v>9711</v>
      </c>
      <c r="F202" s="2" t="s">
        <v>168</v>
      </c>
      <c r="G202" s="2" t="s">
        <v>168</v>
      </c>
      <c r="H202" s="2" t="s">
        <v>9928</v>
      </c>
      <c r="I202" s="2"/>
      <c r="J202" s="3" t="b">
        <f>OR(E202 = "INSERT", E202 = "UPDATE", E202 = "DELETE", E202 = "ALL")</f>
        <v>0</v>
      </c>
      <c r="K202" s="3" t="b">
        <f>F202 = ""</f>
        <v>1</v>
      </c>
      <c r="L202" s="3" t="b">
        <f>_xlfn.IFNA(INDEX(AccessPrincipals!G2:G999, MATCH(C202,AccessPrincipals!A2:A999, 0)), "")</f>
        <v>1</v>
      </c>
      <c r="M202" s="3" t="b">
        <f>AND(K202, NOT(L202))</f>
        <v>0</v>
      </c>
      <c r="N202" s="3" t="b">
        <f>AND(J202, O202 = 0)</f>
        <v>0</v>
      </c>
      <c r="O202" s="3">
        <f>COUNTIFS(AccessDenialTests!C2:C999, A202)</f>
        <v>0</v>
      </c>
      <c r="P202" s="2" t="s">
        <v>9713</v>
      </c>
    </row>
    <row r="203">
      <c r="A203" s="2" t="s">
        <v>9935</v>
      </c>
      <c r="B203" s="3" t="str">
        <f>C203 &amp; " " &amp; E203 &amp; " " &amp; D203</f>
        <v>principal-knowledge-authority SELECT KnowledgeBrokerLinks</v>
      </c>
      <c r="C203" s="2" t="s">
        <v>9708</v>
      </c>
      <c r="D203" s="2" t="s">
        <v>1881</v>
      </c>
      <c r="E203" s="2" t="s">
        <v>9711</v>
      </c>
      <c r="F203" s="2" t="s">
        <v>168</v>
      </c>
      <c r="G203" s="2" t="s">
        <v>168</v>
      </c>
      <c r="H203" s="2" t="s">
        <v>9928</v>
      </c>
      <c r="I203" s="2"/>
      <c r="J203" s="3" t="b">
        <f>OR(E203 = "INSERT", E203 = "UPDATE", E203 = "DELETE", E203 = "ALL")</f>
        <v>0</v>
      </c>
      <c r="K203" s="3" t="b">
        <f>F203 = ""</f>
        <v>1</v>
      </c>
      <c r="L203" s="3" t="b">
        <f>_xlfn.IFNA(INDEX(AccessPrincipals!G2:G999, MATCH(C203,AccessPrincipals!A2:A999, 0)), "")</f>
        <v>1</v>
      </c>
      <c r="M203" s="3" t="b">
        <f>AND(K203, NOT(L203))</f>
        <v>0</v>
      </c>
      <c r="N203" s="3" t="b">
        <f>AND(J203, O203 = 0)</f>
        <v>0</v>
      </c>
      <c r="O203" s="3">
        <f>COUNTIFS(AccessDenialTests!C2:C999, A203)</f>
        <v>0</v>
      </c>
      <c r="P203" s="2" t="s">
        <v>9713</v>
      </c>
    </row>
  </sheetData>
  <autoFilter ref="A1:P1"/>
  <headerFooter/>
  <legacyDrawing r:id="rId1"/>
</worksheet>
</file>

<file path=xl/worksheets/sheet7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640"/>
  <sheetViews>
    <sheetView workbookViewId="0">
      <pane ySplit="1" topLeftCell="A2" state="frozen" activePane="bottomLeft"/>
      <selection pane="bottomLeft" activeCell="A1" sqref="A1"/>
    </sheetView>
  </sheetViews>
  <sheetFormatPr defaultRowHeight="15"/>
  <cols>
    <col min="1" max="1" width="84.30036163330078" customWidth="1"/>
    <col min="2" max="2" width="93.65895080566406" customWidth="1"/>
    <col min="3" max="3" width="33.99167251586914" customWidth="1"/>
    <col min="4" max="4" width="61.33533477783203" customWidth="1"/>
    <col min="5" max="5" width="17.443378448486328" customWidth="1"/>
    <col min="6" max="6" width="17.443378448486328" customWidth="1"/>
    <col min="7" max="7" width="17.443378448486328" customWidth="1"/>
    <col min="8" max="8" width="24.921140670776367" customWidth="1"/>
    <col min="9" max="9" width="41.25803756713867" customWidth="1"/>
    <col min="10" max="10" width="17.443378448486328" customWidth="1"/>
    <col min="11" max="11" width="22.50774574279785" customWidth="1"/>
    <col min="12" max="12" width="17.443378448486328" customWidth="1"/>
    <col min="13" max="13" width="55.537864685058594" customWidth="1"/>
    <col min="14" max="14" width="38.2347412109375" customWidth="1"/>
  </cols>
  <sheetData>
    <row r="1">
      <c r="A1" s="1" t="s">
        <v>5383</v>
      </c>
      <c r="B1" s="1" t="s">
        <v>1</v>
      </c>
      <c r="C1" s="1" t="s">
        <v>5351</v>
      </c>
      <c r="D1" s="1" t="s">
        <v>4153</v>
      </c>
      <c r="E1" s="1" t="s">
        <v>5389</v>
      </c>
      <c r="F1" s="1" t="s">
        <v>5391</v>
      </c>
      <c r="G1" s="1" t="s">
        <v>5393</v>
      </c>
      <c r="H1" s="1" t="s">
        <v>5395</v>
      </c>
      <c r="I1" s="1" t="s">
        <v>2374</v>
      </c>
      <c r="J1" s="1" t="s">
        <v>5400</v>
      </c>
      <c r="K1" s="1" t="s">
        <v>5403</v>
      </c>
      <c r="L1" s="1" t="s">
        <v>5406</v>
      </c>
      <c r="M1" s="1" t="s">
        <v>5409</v>
      </c>
      <c r="N1" s="1" t="s">
        <v>94</v>
      </c>
    </row>
    <row r="2">
      <c r="A2" s="2" t="s">
        <v>9936</v>
      </c>
      <c r="B2" s="3" t="str">
        <f>C2 &amp; " -&gt; " &amp; D2</f>
        <v>principal-finance-analyst -&gt; Steps.StepId</v>
      </c>
      <c r="C2" s="2" t="s">
        <v>9685</v>
      </c>
      <c r="D2" s="2" t="s">
        <v>2837</v>
      </c>
      <c r="E2" s="2" t="b">
        <v>1</v>
      </c>
      <c r="F2" s="2" t="b">
        <v>0</v>
      </c>
      <c r="G2" s="2" t="s">
        <v>9937</v>
      </c>
      <c r="H2" s="3" t="str">
        <f>_xlfn.IFNA(INDEX(RulebookFields!C2:C999, MATCH(D2,RulebookFields!A2:A999, 0)), "")</f>
        <v>Steps</v>
      </c>
      <c r="I2" s="3" t="str">
        <f>_xlfn.IFNA(INDEX(RulebookFields!D2:D999, MATCH(D2,RulebookFields!A2:A999, 0)), "")</f>
        <v>StepId</v>
      </c>
      <c r="J2" s="3" t="b">
        <f>_xlfn.IFNA(INDEX(RulebookFields!I2:I999, MATCH(D2,RulebookFields!A2:A999, 0)), "")</f>
        <v>0</v>
      </c>
      <c r="K2" s="3" t="b">
        <f>AND(F2, J2)</f>
        <v>0</v>
      </c>
      <c r="L2" s="3" t="b">
        <f>AND(G2 &lt;&gt; "plain", G2 &lt;&gt; "")</f>
        <v>0</v>
      </c>
      <c r="M2" s="3" t="str">
        <f>IF(E2, C2 &amp; "|" &amp; H2, "")</f>
        <v>principal-finance-analyst|Steps</v>
      </c>
      <c r="N2" s="2" t="s">
        <v>9938</v>
      </c>
    </row>
    <row r="3">
      <c r="A3" s="2" t="s">
        <v>9939</v>
      </c>
      <c r="B3" s="3" t="str">
        <f>C3 &amp; " -&gt; " &amp; D3</f>
        <v>principal-finance-analyst -&gt; Steps.StepNumber</v>
      </c>
      <c r="C3" s="2" t="s">
        <v>9685</v>
      </c>
      <c r="D3" s="2" t="s">
        <v>2841</v>
      </c>
      <c r="E3" s="2" t="b">
        <v>1</v>
      </c>
      <c r="F3" s="2" t="b">
        <v>0</v>
      </c>
      <c r="G3" s="2" t="s">
        <v>9937</v>
      </c>
      <c r="H3" s="3" t="str">
        <f>_xlfn.IFNA(INDEX(RulebookFields!C2:C999, MATCH(D3,RulebookFields!A2:A999, 0)), "")</f>
        <v>Steps</v>
      </c>
      <c r="I3" s="3" t="str">
        <f>_xlfn.IFNA(INDEX(RulebookFields!D2:D999, MATCH(D3,RulebookFields!A2:A999, 0)), "")</f>
        <v>StepNumber</v>
      </c>
      <c r="J3" s="3" t="b">
        <f>_xlfn.IFNA(INDEX(RulebookFields!I2:I999, MATCH(D3,RulebookFields!A2:A999, 0)), "")</f>
        <v>0</v>
      </c>
      <c r="K3" s="3" t="b">
        <f>AND(F3, J3)</f>
        <v>0</v>
      </c>
      <c r="L3" s="3" t="b">
        <f>AND(G3 &lt;&gt; "plain", G3 &lt;&gt; "")</f>
        <v>0</v>
      </c>
      <c r="M3" s="3" t="str">
        <f>IF(E3, C3 &amp; "|" &amp; H3, "")</f>
        <v>principal-finance-analyst|Steps</v>
      </c>
      <c r="N3" s="2" t="s">
        <v>9938</v>
      </c>
    </row>
    <row r="4">
      <c r="A4" s="2" t="s">
        <v>9940</v>
      </c>
      <c r="B4" s="3" t="str">
        <f>C4 &amp; " -&gt; " &amp; D4</f>
        <v>principal-finance-analyst -&gt; Steps.Title</v>
      </c>
      <c r="C4" s="2" t="s">
        <v>9685</v>
      </c>
      <c r="D4" s="2" t="s">
        <v>2842</v>
      </c>
      <c r="E4" s="2" t="b">
        <v>1</v>
      </c>
      <c r="F4" s="2" t="b">
        <v>0</v>
      </c>
      <c r="G4" s="2" t="s">
        <v>9937</v>
      </c>
      <c r="H4" s="3" t="str">
        <f>_xlfn.IFNA(INDEX(RulebookFields!C2:C999, MATCH(D4,RulebookFields!A2:A999, 0)), "")</f>
        <v>Steps</v>
      </c>
      <c r="I4" s="3" t="str">
        <f>_xlfn.IFNA(INDEX(RulebookFields!D2:D999, MATCH(D4,RulebookFields!A2:A999, 0)), "")</f>
        <v>Title</v>
      </c>
      <c r="J4" s="3" t="b">
        <f>_xlfn.IFNA(INDEX(RulebookFields!I2:I999, MATCH(D4,RulebookFields!A2:A999, 0)), "")</f>
        <v>0</v>
      </c>
      <c r="K4" s="3" t="b">
        <f>AND(F4, J4)</f>
        <v>0</v>
      </c>
      <c r="L4" s="3" t="b">
        <f>AND(G4 &lt;&gt; "plain", G4 &lt;&gt; "")</f>
        <v>0</v>
      </c>
      <c r="M4" s="3" t="str">
        <f>IF(E4, C4 &amp; "|" &amp; H4, "")</f>
        <v>principal-finance-analyst|Steps</v>
      </c>
      <c r="N4" s="2" t="s">
        <v>9938</v>
      </c>
    </row>
    <row r="5">
      <c r="A5" s="2" t="s">
        <v>9941</v>
      </c>
      <c r="B5" s="3" t="str">
        <f>C5 &amp; " -&gt; " &amp; D5</f>
        <v>principal-finance-analyst -&gt; Steps.StepKind</v>
      </c>
      <c r="C5" s="2" t="s">
        <v>9685</v>
      </c>
      <c r="D5" s="2" t="s">
        <v>2843</v>
      </c>
      <c r="E5" s="2" t="b">
        <v>1</v>
      </c>
      <c r="F5" s="2" t="b">
        <v>0</v>
      </c>
      <c r="G5" s="2" t="s">
        <v>9937</v>
      </c>
      <c r="H5" s="3" t="str">
        <f>_xlfn.IFNA(INDEX(RulebookFields!C2:C999, MATCH(D5,RulebookFields!A2:A999, 0)), "")</f>
        <v>Steps</v>
      </c>
      <c r="I5" s="3" t="str">
        <f>_xlfn.IFNA(INDEX(RulebookFields!D2:D999, MATCH(D5,RulebookFields!A2:A999, 0)), "")</f>
        <v>StepKind</v>
      </c>
      <c r="J5" s="3" t="b">
        <f>_xlfn.IFNA(INDEX(RulebookFields!I2:I999, MATCH(D5,RulebookFields!A2:A999, 0)), "")</f>
        <v>0</v>
      </c>
      <c r="K5" s="3" t="b">
        <f>AND(F5, J5)</f>
        <v>0</v>
      </c>
      <c r="L5" s="3" t="b">
        <f>AND(G5 &lt;&gt; "plain", G5 &lt;&gt; "")</f>
        <v>0</v>
      </c>
      <c r="M5" s="3" t="str">
        <f>IF(E5, C5 &amp; "|" &amp; H5, "")</f>
        <v>principal-finance-analyst|Steps</v>
      </c>
      <c r="N5" s="2" t="s">
        <v>9938</v>
      </c>
    </row>
    <row r="6">
      <c r="A6" s="2" t="s">
        <v>9942</v>
      </c>
      <c r="B6" s="3" t="str">
        <f>C6 &amp; " -&gt; " &amp; D6</f>
        <v>principal-finance-analyst -&gt; Steps.Instruction</v>
      </c>
      <c r="C6" s="2" t="s">
        <v>9685</v>
      </c>
      <c r="D6" s="2" t="s">
        <v>2849</v>
      </c>
      <c r="E6" s="2" t="b">
        <v>1</v>
      </c>
      <c r="F6" s="2" t="b">
        <v>0</v>
      </c>
      <c r="G6" s="2" t="s">
        <v>9937</v>
      </c>
      <c r="H6" s="3" t="str">
        <f>_xlfn.IFNA(INDEX(RulebookFields!C2:C999, MATCH(D6,RulebookFields!A2:A999, 0)), "")</f>
        <v>Steps</v>
      </c>
      <c r="I6" s="3" t="str">
        <f>_xlfn.IFNA(INDEX(RulebookFields!D2:D999, MATCH(D6,RulebookFields!A2:A999, 0)), "")</f>
        <v>Instruction</v>
      </c>
      <c r="J6" s="3" t="b">
        <f>_xlfn.IFNA(INDEX(RulebookFields!I2:I999, MATCH(D6,RulebookFields!A2:A999, 0)), "")</f>
        <v>0</v>
      </c>
      <c r="K6" s="3" t="b">
        <f>AND(F6, J6)</f>
        <v>0</v>
      </c>
      <c r="L6" s="3" t="b">
        <f>AND(G6 &lt;&gt; "plain", G6 &lt;&gt; "")</f>
        <v>0</v>
      </c>
      <c r="M6" s="3" t="str">
        <f>IF(E6, C6 &amp; "|" &amp; H6, "")</f>
        <v>principal-finance-analyst|Steps</v>
      </c>
      <c r="N6" s="2" t="s">
        <v>9938</v>
      </c>
    </row>
    <row r="7">
      <c r="A7" s="2" t="s">
        <v>9943</v>
      </c>
      <c r="B7" s="3" t="str">
        <f>C7 &amp; " -&gt; " &amp; D7</f>
        <v>principal-finance-analyst -&gt; Steps.AssignedRole</v>
      </c>
      <c r="C7" s="2" t="s">
        <v>9685</v>
      </c>
      <c r="D7" s="2" t="s">
        <v>2844</v>
      </c>
      <c r="E7" s="2" t="b">
        <v>1</v>
      </c>
      <c r="F7" s="2" t="b">
        <v>0</v>
      </c>
      <c r="G7" s="2" t="s">
        <v>9937</v>
      </c>
      <c r="H7" s="3" t="str">
        <f>_xlfn.IFNA(INDEX(RulebookFields!C2:C999, MATCH(D7,RulebookFields!A2:A999, 0)), "")</f>
        <v>Steps</v>
      </c>
      <c r="I7" s="3" t="str">
        <f>_xlfn.IFNA(INDEX(RulebookFields!D2:D999, MATCH(D7,RulebookFields!A2:A999, 0)), "")</f>
        <v>AssignedRole</v>
      </c>
      <c r="J7" s="3" t="b">
        <f>_xlfn.IFNA(INDEX(RulebookFields!I2:I999, MATCH(D7,RulebookFields!A2:A999, 0)), "")</f>
        <v>0</v>
      </c>
      <c r="K7" s="3" t="b">
        <f>AND(F7, J7)</f>
        <v>0</v>
      </c>
      <c r="L7" s="3" t="b">
        <f>AND(G7 &lt;&gt; "plain", G7 &lt;&gt; "")</f>
        <v>0</v>
      </c>
      <c r="M7" s="3" t="str">
        <f>IF(E7, C7 &amp; "|" &amp; H7, "")</f>
        <v>principal-finance-analyst|Steps</v>
      </c>
      <c r="N7" s="2" t="s">
        <v>9938</v>
      </c>
    </row>
    <row r="8">
      <c r="A8" s="2" t="s">
        <v>9944</v>
      </c>
      <c r="B8" s="3" t="str">
        <f>C8 &amp; " -&gt; " &amp; D8</f>
        <v>principal-finance-analyst -&gt; Steps.AssignedRoleLabel</v>
      </c>
      <c r="C8" s="2" t="s">
        <v>9685</v>
      </c>
      <c r="D8" s="2" t="s">
        <v>2845</v>
      </c>
      <c r="E8" s="2" t="b">
        <v>1</v>
      </c>
      <c r="F8" s="2" t="b">
        <v>0</v>
      </c>
      <c r="G8" s="2" t="s">
        <v>9937</v>
      </c>
      <c r="H8" s="3" t="str">
        <f>_xlfn.IFNA(INDEX(RulebookFields!C2:C999, MATCH(D8,RulebookFields!A2:A999, 0)), "")</f>
        <v>Steps</v>
      </c>
      <c r="I8" s="3" t="str">
        <f>_xlfn.IFNA(INDEX(RulebookFields!D2:D999, MATCH(D8,RulebookFields!A2:A999, 0)), "")</f>
        <v>AssignedRoleLabel</v>
      </c>
      <c r="J8" s="3" t="b">
        <f>_xlfn.IFNA(INDEX(RulebookFields!I2:I999, MATCH(D8,RulebookFields!A2:A999, 0)), "")</f>
        <v>1</v>
      </c>
      <c r="K8" s="3" t="b">
        <f>AND(F8, J8)</f>
        <v>0</v>
      </c>
      <c r="L8" s="3" t="b">
        <f>AND(G8 &lt;&gt; "plain", G8 &lt;&gt; "")</f>
        <v>0</v>
      </c>
      <c r="M8" s="3" t="str">
        <f>IF(E8, C8 &amp; "|" &amp; H8, "")</f>
        <v>principal-finance-analyst|Steps</v>
      </c>
      <c r="N8" s="2" t="s">
        <v>9938</v>
      </c>
    </row>
    <row r="9">
      <c r="A9" s="2" t="s">
        <v>9945</v>
      </c>
      <c r="B9" s="3" t="str">
        <f>C9 &amp; " -&gt; " &amp; D9</f>
        <v>principal-finance-analyst -&gt; Steps.ProcedureVersion</v>
      </c>
      <c r="C9" s="2" t="s">
        <v>9685</v>
      </c>
      <c r="D9" s="2" t="s">
        <v>2840</v>
      </c>
      <c r="E9" s="2" t="b">
        <v>1</v>
      </c>
      <c r="F9" s="2" t="b">
        <v>0</v>
      </c>
      <c r="G9" s="2" t="s">
        <v>9937</v>
      </c>
      <c r="H9" s="3" t="str">
        <f>_xlfn.IFNA(INDEX(RulebookFields!C2:C999, MATCH(D9,RulebookFields!A2:A999, 0)), "")</f>
        <v>Steps</v>
      </c>
      <c r="I9" s="3" t="str">
        <f>_xlfn.IFNA(INDEX(RulebookFields!D2:D999, MATCH(D9,RulebookFields!A2:A999, 0)), "")</f>
        <v>ProcedureVersion</v>
      </c>
      <c r="J9" s="3" t="b">
        <f>_xlfn.IFNA(INDEX(RulebookFields!I2:I999, MATCH(D9,RulebookFields!A2:A999, 0)), "")</f>
        <v>0</v>
      </c>
      <c r="K9" s="3" t="b">
        <f>AND(F9, J9)</f>
        <v>0</v>
      </c>
      <c r="L9" s="3" t="b">
        <f>AND(G9 &lt;&gt; "plain", G9 &lt;&gt; "")</f>
        <v>0</v>
      </c>
      <c r="M9" s="3" t="str">
        <f>IF(E9, C9 &amp; "|" &amp; H9, "")</f>
        <v>principal-finance-analyst|Steps</v>
      </c>
      <c r="N9" s="2" t="s">
        <v>9938</v>
      </c>
    </row>
    <row r="10">
      <c r="A10" s="2" t="s">
        <v>9946</v>
      </c>
      <c r="B10" s="3" t="str">
        <f>C10 &amp; " -&gt; " &amp; D10</f>
        <v>principal-finance-analyst -&gt; Steps.Name</v>
      </c>
      <c r="C10" s="2" t="s">
        <v>9685</v>
      </c>
      <c r="D10" s="2" t="s">
        <v>2838</v>
      </c>
      <c r="E10" s="2" t="b">
        <v>1</v>
      </c>
      <c r="F10" s="2" t="b">
        <v>0</v>
      </c>
      <c r="G10" s="2" t="s">
        <v>9937</v>
      </c>
      <c r="H10" s="3" t="str">
        <f>_xlfn.IFNA(INDEX(RulebookFields!C2:C999, MATCH(D10,RulebookFields!A2:A999, 0)), "")</f>
        <v>Steps</v>
      </c>
      <c r="I10" s="3" t="str">
        <f>_xlfn.IFNA(INDEX(RulebookFields!D2:D999, MATCH(D10,RulebookFields!A2:A999, 0)), "")</f>
        <v>Name</v>
      </c>
      <c r="J10" s="3" t="b">
        <f>_xlfn.IFNA(INDEX(RulebookFields!I2:I999, MATCH(D10,RulebookFields!A2:A999, 0)), "")</f>
        <v>1</v>
      </c>
      <c r="K10" s="3" t="b">
        <f>AND(F10, J10)</f>
        <v>0</v>
      </c>
      <c r="L10" s="3" t="b">
        <f>AND(G10 &lt;&gt; "plain", G10 &lt;&gt; "")</f>
        <v>0</v>
      </c>
      <c r="M10" s="3" t="str">
        <f>IF(E10, C10 &amp; "|" &amp; H10, "")</f>
        <v>principal-finance-analyst|Steps</v>
      </c>
      <c r="N10" s="2" t="s">
        <v>9938</v>
      </c>
    </row>
    <row r="11">
      <c r="A11" s="2" t="s">
        <v>9947</v>
      </c>
      <c r="B11" s="3" t="str">
        <f>C11 &amp; " -&gt; " &amp; D11</f>
        <v>principal-finance-analyst -&gt; Steps.IsApprovalStep</v>
      </c>
      <c r="C11" s="2" t="s">
        <v>9685</v>
      </c>
      <c r="D11" s="2" t="s">
        <v>2865</v>
      </c>
      <c r="E11" s="2" t="b">
        <v>1</v>
      </c>
      <c r="F11" s="2" t="b">
        <v>0</v>
      </c>
      <c r="G11" s="2" t="s">
        <v>9937</v>
      </c>
      <c r="H11" s="3" t="str">
        <f>_xlfn.IFNA(INDEX(RulebookFields!C2:C999, MATCH(D11,RulebookFields!A2:A999, 0)), "")</f>
        <v>Steps</v>
      </c>
      <c r="I11" s="3" t="str">
        <f>_xlfn.IFNA(INDEX(RulebookFields!D2:D999, MATCH(D11,RulebookFields!A2:A999, 0)), "")</f>
        <v>IsApprovalStep</v>
      </c>
      <c r="J11" s="3" t="b">
        <f>_xlfn.IFNA(INDEX(RulebookFields!I2:I999, MATCH(D11,RulebookFields!A2:A999, 0)), "")</f>
        <v>1</v>
      </c>
      <c r="K11" s="3" t="b">
        <f>AND(F11, J11)</f>
        <v>0</v>
      </c>
      <c r="L11" s="3" t="b">
        <f>AND(G11 &lt;&gt; "plain", G11 &lt;&gt; "")</f>
        <v>0</v>
      </c>
      <c r="M11" s="3" t="str">
        <f>IF(E11, C11 &amp; "|" &amp; H11, "")</f>
        <v>principal-finance-analyst|Steps</v>
      </c>
      <c r="N11" s="2" t="s">
        <v>9938</v>
      </c>
    </row>
    <row r="12">
      <c r="A12" s="2" t="s">
        <v>9948</v>
      </c>
      <c r="B12" s="3" t="str">
        <f>C12 &amp; " -&gt; " &amp; D12</f>
        <v>principal-finance-analyst -&gt; Steps.RequiresHumanConfirmation</v>
      </c>
      <c r="C12" s="2" t="s">
        <v>9685</v>
      </c>
      <c r="D12" s="2" t="s">
        <v>2852</v>
      </c>
      <c r="E12" s="2" t="b">
        <v>1</v>
      </c>
      <c r="F12" s="2" t="b">
        <v>0</v>
      </c>
      <c r="G12" s="2" t="s">
        <v>9937</v>
      </c>
      <c r="H12" s="3" t="str">
        <f>_xlfn.IFNA(INDEX(RulebookFields!C2:C999, MATCH(D12,RulebookFields!A2:A999, 0)), "")</f>
        <v>Steps</v>
      </c>
      <c r="I12" s="3" t="str">
        <f>_xlfn.IFNA(INDEX(RulebookFields!D2:D999, MATCH(D12,RulebookFields!A2:A999, 0)), "")</f>
        <v>RequiresHumanConfirmation</v>
      </c>
      <c r="J12" s="3" t="b">
        <f>_xlfn.IFNA(INDEX(RulebookFields!I2:I999, MATCH(D12,RulebookFields!A2:A999, 0)), "")</f>
        <v>0</v>
      </c>
      <c r="K12" s="3" t="b">
        <f>AND(F12, J12)</f>
        <v>0</v>
      </c>
      <c r="L12" s="3" t="b">
        <f>AND(G12 &lt;&gt; "plain", G12 &lt;&gt; "")</f>
        <v>0</v>
      </c>
      <c r="M12" s="3" t="str">
        <f>IF(E12, C12 &amp; "|" &amp; H12, "")</f>
        <v>principal-finance-analyst|Steps</v>
      </c>
      <c r="N12" s="2" t="s">
        <v>9938</v>
      </c>
    </row>
    <row r="13">
      <c r="A13" s="2" t="s">
        <v>9949</v>
      </c>
      <c r="B13" s="3" t="str">
        <f>C13 &amp; " -&gt; " &amp; D13</f>
        <v>principal-finance-analyst -&gt; Steps.ExpectedDurationMinutes</v>
      </c>
      <c r="C13" s="2" t="s">
        <v>9685</v>
      </c>
      <c r="D13" s="2" t="s">
        <v>2850</v>
      </c>
      <c r="E13" s="2" t="b">
        <v>1</v>
      </c>
      <c r="F13" s="2" t="b">
        <v>0</v>
      </c>
      <c r="G13" s="2" t="s">
        <v>9937</v>
      </c>
      <c r="H13" s="3" t="str">
        <f>_xlfn.IFNA(INDEX(RulebookFields!C2:C999, MATCH(D13,RulebookFields!A2:A999, 0)), "")</f>
        <v>Steps</v>
      </c>
      <c r="I13" s="3" t="str">
        <f>_xlfn.IFNA(INDEX(RulebookFields!D2:D999, MATCH(D13,RulebookFields!A2:A999, 0)), "")</f>
        <v>ExpectedDurationMinutes</v>
      </c>
      <c r="J13" s="3" t="b">
        <f>_xlfn.IFNA(INDEX(RulebookFields!I2:I999, MATCH(D13,RulebookFields!A2:A999, 0)), "")</f>
        <v>0</v>
      </c>
      <c r="K13" s="3" t="b">
        <f>AND(F13, J13)</f>
        <v>0</v>
      </c>
      <c r="L13" s="3" t="b">
        <f>AND(G13 &lt;&gt; "plain", G13 &lt;&gt; "")</f>
        <v>0</v>
      </c>
      <c r="M13" s="3" t="str">
        <f>IF(E13, C13 &amp; "|" &amp; H13, "")</f>
        <v>principal-finance-analyst|Steps</v>
      </c>
      <c r="N13" s="2" t="s">
        <v>9938</v>
      </c>
    </row>
    <row r="14">
      <c r="A14" s="2" t="s">
        <v>9950</v>
      </c>
      <c r="B14" s="3" t="str">
        <f>C14 &amp; " -&gt; " &amp; D14</f>
        <v>principal-finance-analyst -&gt; StepExecutions.StepExecutionId</v>
      </c>
      <c r="C14" s="2" t="s">
        <v>9685</v>
      </c>
      <c r="D14" s="2" t="s">
        <v>3507</v>
      </c>
      <c r="E14" s="2" t="b">
        <v>1</v>
      </c>
      <c r="F14" s="2" t="b">
        <v>0</v>
      </c>
      <c r="G14" s="2" t="s">
        <v>9937</v>
      </c>
      <c r="H14" s="3" t="str">
        <f>_xlfn.IFNA(INDEX(RulebookFields!C2:C999, MATCH(D14,RulebookFields!A2:A999, 0)), "")</f>
        <v>StepExecutions</v>
      </c>
      <c r="I14" s="3" t="str">
        <f>_xlfn.IFNA(INDEX(RulebookFields!D2:D999, MATCH(D14,RulebookFields!A2:A999, 0)), "")</f>
        <v>StepExecutionId</v>
      </c>
      <c r="J14" s="3" t="b">
        <f>_xlfn.IFNA(INDEX(RulebookFields!I2:I999, MATCH(D14,RulebookFields!A2:A999, 0)), "")</f>
        <v>0</v>
      </c>
      <c r="K14" s="3" t="b">
        <f>AND(F14, J14)</f>
        <v>0</v>
      </c>
      <c r="L14" s="3" t="b">
        <f>AND(G14 &lt;&gt; "plain", G14 &lt;&gt; "")</f>
        <v>0</v>
      </c>
      <c r="M14" s="3" t="str">
        <f>IF(E14, C14 &amp; "|" &amp; H14, "")</f>
        <v>principal-finance-analyst|StepExecutions</v>
      </c>
      <c r="N14" s="2" t="s">
        <v>9938</v>
      </c>
    </row>
    <row r="15">
      <c r="A15" s="2" t="s">
        <v>9951</v>
      </c>
      <c r="B15" s="3" t="str">
        <f>C15 &amp; " -&gt; " &amp; D15</f>
        <v>principal-finance-analyst -&gt; StepExecutions.Step</v>
      </c>
      <c r="C15" s="2" t="s">
        <v>9685</v>
      </c>
      <c r="D15" s="2" t="s">
        <v>3511</v>
      </c>
      <c r="E15" s="2" t="b">
        <v>1</v>
      </c>
      <c r="F15" s="2" t="b">
        <v>0</v>
      </c>
      <c r="G15" s="2" t="s">
        <v>9937</v>
      </c>
      <c r="H15" s="3" t="str">
        <f>_xlfn.IFNA(INDEX(RulebookFields!C2:C999, MATCH(D15,RulebookFields!A2:A999, 0)), "")</f>
        <v>StepExecutions</v>
      </c>
      <c r="I15" s="3" t="str">
        <f>_xlfn.IFNA(INDEX(RulebookFields!D2:D999, MATCH(D15,RulebookFields!A2:A999, 0)), "")</f>
        <v>Step</v>
      </c>
      <c r="J15" s="3" t="b">
        <f>_xlfn.IFNA(INDEX(RulebookFields!I2:I999, MATCH(D15,RulebookFields!A2:A999, 0)), "")</f>
        <v>0</v>
      </c>
      <c r="K15" s="3" t="b">
        <f>AND(F15, J15)</f>
        <v>0</v>
      </c>
      <c r="L15" s="3" t="b">
        <f>AND(G15 &lt;&gt; "plain", G15 &lt;&gt; "")</f>
        <v>0</v>
      </c>
      <c r="M15" s="3" t="str">
        <f>IF(E15, C15 &amp; "|" &amp; H15, "")</f>
        <v>principal-finance-analyst|StepExecutions</v>
      </c>
      <c r="N15" s="2" t="s">
        <v>9938</v>
      </c>
    </row>
    <row r="16">
      <c r="A16" s="2" t="s">
        <v>9952</v>
      </c>
      <c r="B16" s="3" t="str">
        <f>C16 &amp; " -&gt; " &amp; D16</f>
        <v>principal-finance-analyst -&gt; StepExecutions.ExecutionStatus</v>
      </c>
      <c r="C16" s="2" t="s">
        <v>9685</v>
      </c>
      <c r="D16" s="2" t="s">
        <v>3513</v>
      </c>
      <c r="E16" s="2" t="b">
        <v>1</v>
      </c>
      <c r="F16" s="2" t="b">
        <v>0</v>
      </c>
      <c r="G16" s="2" t="s">
        <v>9937</v>
      </c>
      <c r="H16" s="3" t="str">
        <f>_xlfn.IFNA(INDEX(RulebookFields!C2:C999, MATCH(D16,RulebookFields!A2:A999, 0)), "")</f>
        <v>StepExecutions</v>
      </c>
      <c r="I16" s="3" t="str">
        <f>_xlfn.IFNA(INDEX(RulebookFields!D2:D999, MATCH(D16,RulebookFields!A2:A999, 0)), "")</f>
        <v>ExecutionStatus</v>
      </c>
      <c r="J16" s="3" t="b">
        <f>_xlfn.IFNA(INDEX(RulebookFields!I2:I999, MATCH(D16,RulebookFields!A2:A999, 0)), "")</f>
        <v>0</v>
      </c>
      <c r="K16" s="3" t="b">
        <f>AND(F16, J16)</f>
        <v>0</v>
      </c>
      <c r="L16" s="3" t="b">
        <f>AND(G16 &lt;&gt; "plain", G16 &lt;&gt; "")</f>
        <v>0</v>
      </c>
      <c r="M16" s="3" t="str">
        <f>IF(E16, C16 &amp; "|" &amp; H16, "")</f>
        <v>principal-finance-analyst|StepExecutions</v>
      </c>
      <c r="N16" s="2" t="s">
        <v>9938</v>
      </c>
    </row>
    <row r="17">
      <c r="A17" s="2" t="s">
        <v>9953</v>
      </c>
      <c r="B17" s="3" t="str">
        <f>C17 &amp; " -&gt; " &amp; D17</f>
        <v>principal-finance-analyst -&gt; StepExecutions.StartedAt</v>
      </c>
      <c r="C17" s="2" t="s">
        <v>9685</v>
      </c>
      <c r="D17" s="2" t="s">
        <v>3514</v>
      </c>
      <c r="E17" s="2" t="b">
        <v>1</v>
      </c>
      <c r="F17" s="2" t="b">
        <v>0</v>
      </c>
      <c r="G17" s="2" t="s">
        <v>9937</v>
      </c>
      <c r="H17" s="3" t="str">
        <f>_xlfn.IFNA(INDEX(RulebookFields!C2:C999, MATCH(D17,RulebookFields!A2:A999, 0)), "")</f>
        <v>StepExecutions</v>
      </c>
      <c r="I17" s="3" t="str">
        <f>_xlfn.IFNA(INDEX(RulebookFields!D2:D999, MATCH(D17,RulebookFields!A2:A999, 0)), "")</f>
        <v>StartedAt</v>
      </c>
      <c r="J17" s="3" t="b">
        <f>_xlfn.IFNA(INDEX(RulebookFields!I2:I999, MATCH(D17,RulebookFields!A2:A999, 0)), "")</f>
        <v>0</v>
      </c>
      <c r="K17" s="3" t="b">
        <f>AND(F17, J17)</f>
        <v>0</v>
      </c>
      <c r="L17" s="3" t="b">
        <f>AND(G17 &lt;&gt; "plain", G17 &lt;&gt; "")</f>
        <v>0</v>
      </c>
      <c r="M17" s="3" t="str">
        <f>IF(E17, C17 &amp; "|" &amp; H17, "")</f>
        <v>principal-finance-analyst|StepExecutions</v>
      </c>
      <c r="N17" s="2" t="s">
        <v>9938</v>
      </c>
    </row>
    <row r="18">
      <c r="A18" s="2" t="s">
        <v>9954</v>
      </c>
      <c r="B18" s="3" t="str">
        <f>C18 &amp; " -&gt; " &amp; D18</f>
        <v>principal-finance-analyst -&gt; StepExecutions.EndedAt</v>
      </c>
      <c r="C18" s="2" t="s">
        <v>9685</v>
      </c>
      <c r="D18" s="2" t="s">
        <v>3515</v>
      </c>
      <c r="E18" s="2" t="b">
        <v>1</v>
      </c>
      <c r="F18" s="2" t="b">
        <v>0</v>
      </c>
      <c r="G18" s="2" t="s">
        <v>9937</v>
      </c>
      <c r="H18" s="3" t="str">
        <f>_xlfn.IFNA(INDEX(RulebookFields!C2:C999, MATCH(D18,RulebookFields!A2:A999, 0)), "")</f>
        <v>StepExecutions</v>
      </c>
      <c r="I18" s="3" t="str">
        <f>_xlfn.IFNA(INDEX(RulebookFields!D2:D999, MATCH(D18,RulebookFields!A2:A999, 0)), "")</f>
        <v>EndedAt</v>
      </c>
      <c r="J18" s="3" t="b">
        <f>_xlfn.IFNA(INDEX(RulebookFields!I2:I999, MATCH(D18,RulebookFields!A2:A999, 0)), "")</f>
        <v>0</v>
      </c>
      <c r="K18" s="3" t="b">
        <f>AND(F18, J18)</f>
        <v>0</v>
      </c>
      <c r="L18" s="3" t="b">
        <f>AND(G18 &lt;&gt; "plain", G18 &lt;&gt; "")</f>
        <v>0</v>
      </c>
      <c r="M18" s="3" t="str">
        <f>IF(E18, C18 &amp; "|" &amp; H18, "")</f>
        <v>principal-finance-analyst|StepExecutions</v>
      </c>
      <c r="N18" s="2" t="s">
        <v>9938</v>
      </c>
    </row>
    <row r="19">
      <c r="A19" s="2" t="s">
        <v>9955</v>
      </c>
      <c r="B19" s="3" t="str">
        <f>C19 &amp; " -&gt; " &amp; D19</f>
        <v>principal-finance-analyst -&gt; StepExecutions.VerificationResult</v>
      </c>
      <c r="C19" s="2" t="s">
        <v>9685</v>
      </c>
      <c r="D19" s="2" t="s">
        <v>3516</v>
      </c>
      <c r="E19" s="2" t="b">
        <v>1</v>
      </c>
      <c r="F19" s="2" t="b">
        <v>0</v>
      </c>
      <c r="G19" s="2" t="s">
        <v>9937</v>
      </c>
      <c r="H19" s="3" t="str">
        <f>_xlfn.IFNA(INDEX(RulebookFields!C2:C999, MATCH(D19,RulebookFields!A2:A999, 0)), "")</f>
        <v>StepExecutions</v>
      </c>
      <c r="I19" s="3" t="str">
        <f>_xlfn.IFNA(INDEX(RulebookFields!D2:D999, MATCH(D19,RulebookFields!A2:A999, 0)), "")</f>
        <v>VerificationResult</v>
      </c>
      <c r="J19" s="3" t="b">
        <f>_xlfn.IFNA(INDEX(RulebookFields!I2:I999, MATCH(D19,RulebookFields!A2:A999, 0)), "")</f>
        <v>0</v>
      </c>
      <c r="K19" s="3" t="b">
        <f>AND(F19, J19)</f>
        <v>0</v>
      </c>
      <c r="L19" s="3" t="b">
        <f>AND(G19 &lt;&gt; "plain", G19 &lt;&gt; "")</f>
        <v>0</v>
      </c>
      <c r="M19" s="3" t="str">
        <f>IF(E19, C19 &amp; "|" &amp; H19, "")</f>
        <v>principal-finance-analyst|StepExecutions</v>
      </c>
      <c r="N19" s="2" t="s">
        <v>9938</v>
      </c>
    </row>
    <row r="20">
      <c r="A20" s="2" t="s">
        <v>9956</v>
      </c>
      <c r="B20" s="3" t="str">
        <f>C20 &amp; " -&gt; " &amp; D20</f>
        <v>principal-finance-analyst -&gt; StepExecutions.Name</v>
      </c>
      <c r="C20" s="2" t="s">
        <v>9685</v>
      </c>
      <c r="D20" s="2" t="s">
        <v>3508</v>
      </c>
      <c r="E20" s="2" t="b">
        <v>1</v>
      </c>
      <c r="F20" s="2" t="b">
        <v>0</v>
      </c>
      <c r="G20" s="2" t="s">
        <v>9937</v>
      </c>
      <c r="H20" s="3" t="str">
        <f>_xlfn.IFNA(INDEX(RulebookFields!C2:C999, MATCH(D20,RulebookFields!A2:A999, 0)), "")</f>
        <v>StepExecutions</v>
      </c>
      <c r="I20" s="3" t="str">
        <f>_xlfn.IFNA(INDEX(RulebookFields!D2:D999, MATCH(D20,RulebookFields!A2:A999, 0)), "")</f>
        <v>Name</v>
      </c>
      <c r="J20" s="3" t="b">
        <f>_xlfn.IFNA(INDEX(RulebookFields!I2:I999, MATCH(D20,RulebookFields!A2:A999, 0)), "")</f>
        <v>1</v>
      </c>
      <c r="K20" s="3" t="b">
        <f>AND(F20, J20)</f>
        <v>0</v>
      </c>
      <c r="L20" s="3" t="b">
        <f>AND(G20 &lt;&gt; "plain", G20 &lt;&gt; "")</f>
        <v>0</v>
      </c>
      <c r="M20" s="3" t="str">
        <f>IF(E20, C20 &amp; "|" &amp; H20, "")</f>
        <v>principal-finance-analyst|StepExecutions</v>
      </c>
      <c r="N20" s="2" t="s">
        <v>9938</v>
      </c>
    </row>
    <row r="21">
      <c r="A21" s="2" t="s">
        <v>9957</v>
      </c>
      <c r="B21" s="3" t="str">
        <f>C21 &amp; " -&gt; " &amp; D21</f>
        <v>principal-finance-analyst -&gt; StepExecutions.Deviation</v>
      </c>
      <c r="C21" s="2" t="s">
        <v>9685</v>
      </c>
      <c r="D21" s="2" t="s">
        <v>3517</v>
      </c>
      <c r="E21" s="2" t="b">
        <v>1</v>
      </c>
      <c r="F21" s="2" t="b">
        <v>0</v>
      </c>
      <c r="G21" s="2" t="s">
        <v>9937</v>
      </c>
      <c r="H21" s="3" t="str">
        <f>_xlfn.IFNA(INDEX(RulebookFields!C2:C999, MATCH(D21,RulebookFields!A2:A999, 0)), "")</f>
        <v>StepExecutions</v>
      </c>
      <c r="I21" s="3" t="str">
        <f>_xlfn.IFNA(INDEX(RulebookFields!D2:D999, MATCH(D21,RulebookFields!A2:A999, 0)), "")</f>
        <v>Deviation</v>
      </c>
      <c r="J21" s="3" t="b">
        <f>_xlfn.IFNA(INDEX(RulebookFields!I2:I999, MATCH(D21,RulebookFields!A2:A999, 0)), "")</f>
        <v>0</v>
      </c>
      <c r="K21" s="3" t="b">
        <f>AND(F21, J21)</f>
        <v>0</v>
      </c>
      <c r="L21" s="3" t="b">
        <f>AND(G21 &lt;&gt; "plain", G21 &lt;&gt; "")</f>
        <v>0</v>
      </c>
      <c r="M21" s="3" t="str">
        <f>IF(E21, C21 &amp; "|" &amp; H21, "")</f>
        <v>principal-finance-analyst|StepExecutions</v>
      </c>
      <c r="N21" s="2" t="s">
        <v>9938</v>
      </c>
    </row>
    <row r="22">
      <c r="A22" s="2" t="s">
        <v>9958</v>
      </c>
      <c r="B22" s="3" t="str">
        <f>C22 &amp; " -&gt; " &amp; D22</f>
        <v>principal-finance-analyst -&gt; StepExecutions.ActualDurationMinutes</v>
      </c>
      <c r="C22" s="2" t="s">
        <v>9685</v>
      </c>
      <c r="D22" s="2" t="s">
        <v>3518</v>
      </c>
      <c r="E22" s="2" t="b">
        <v>1</v>
      </c>
      <c r="F22" s="2" t="b">
        <v>0</v>
      </c>
      <c r="G22" s="2" t="s">
        <v>9937</v>
      </c>
      <c r="H22" s="3" t="str">
        <f>_xlfn.IFNA(INDEX(RulebookFields!C2:C999, MATCH(D22,RulebookFields!A2:A999, 0)), "")</f>
        <v>StepExecutions</v>
      </c>
      <c r="I22" s="3" t="str">
        <f>_xlfn.IFNA(INDEX(RulebookFields!D2:D999, MATCH(D22,RulebookFields!A2:A999, 0)), "")</f>
        <v>ActualDurationMinutes</v>
      </c>
      <c r="J22" s="3" t="b">
        <f>_xlfn.IFNA(INDEX(RulebookFields!I2:I999, MATCH(D22,RulebookFields!A2:A999, 0)), "")</f>
        <v>1</v>
      </c>
      <c r="K22" s="3" t="b">
        <f>AND(F22, J22)</f>
        <v>0</v>
      </c>
      <c r="L22" s="3" t="b">
        <f>AND(G22 &lt;&gt; "plain", G22 &lt;&gt; "")</f>
        <v>0</v>
      </c>
      <c r="M22" s="3" t="str">
        <f>IF(E22, C22 &amp; "|" &amp; H22, "")</f>
        <v>principal-finance-analyst|StepExecutions</v>
      </c>
      <c r="N22" s="2" t="s">
        <v>9938</v>
      </c>
    </row>
    <row r="23">
      <c r="A23" s="2" t="s">
        <v>9959</v>
      </c>
      <c r="B23" s="3" t="str">
        <f>C23 &amp; " -&gt; " &amp; D23</f>
        <v>principal-finance-analyst -&gt; StepExecutions.IsLate</v>
      </c>
      <c r="C23" s="2" t="s">
        <v>9685</v>
      </c>
      <c r="D23" s="2" t="s">
        <v>3522</v>
      </c>
      <c r="E23" s="2" t="b">
        <v>1</v>
      </c>
      <c r="F23" s="2" t="b">
        <v>0</v>
      </c>
      <c r="G23" s="2" t="s">
        <v>9937</v>
      </c>
      <c r="H23" s="3" t="str">
        <f>_xlfn.IFNA(INDEX(RulebookFields!C2:C999, MATCH(D23,RulebookFields!A2:A999, 0)), "")</f>
        <v>StepExecutions</v>
      </c>
      <c r="I23" s="3" t="str">
        <f>_xlfn.IFNA(INDEX(RulebookFields!D2:D999, MATCH(D23,RulebookFields!A2:A999, 0)), "")</f>
        <v>IsLate</v>
      </c>
      <c r="J23" s="3" t="b">
        <f>_xlfn.IFNA(INDEX(RulebookFields!I2:I999, MATCH(D23,RulebookFields!A2:A999, 0)), "")</f>
        <v>1</v>
      </c>
      <c r="K23" s="3" t="b">
        <f>AND(F23, J23)</f>
        <v>0</v>
      </c>
      <c r="L23" s="3" t="b">
        <f>AND(G23 &lt;&gt; "plain", G23 &lt;&gt; "")</f>
        <v>0</v>
      </c>
      <c r="M23" s="3" t="str">
        <f>IF(E23, C23 &amp; "|" &amp; H23, "")</f>
        <v>principal-finance-analyst|StepExecutions</v>
      </c>
      <c r="N23" s="2" t="s">
        <v>9938</v>
      </c>
    </row>
    <row r="24">
      <c r="A24" s="2" t="s">
        <v>9960</v>
      </c>
      <c r="B24" s="3" t="str">
        <f>C24 &amp; " -&gt; " &amp; D24</f>
        <v>principal-finance-analyst -&gt; ProcedureExecutions.ProcedureExecutionId</v>
      </c>
      <c r="C24" s="2" t="s">
        <v>9685</v>
      </c>
      <c r="D24" s="2" t="s">
        <v>3360</v>
      </c>
      <c r="E24" s="2" t="b">
        <v>1</v>
      </c>
      <c r="F24" s="2" t="b">
        <v>0</v>
      </c>
      <c r="G24" s="2" t="s">
        <v>9937</v>
      </c>
      <c r="H24" s="3" t="str">
        <f>_xlfn.IFNA(INDEX(RulebookFields!C2:C999, MATCH(D24,RulebookFields!A2:A999, 0)), "")</f>
        <v>ProcedureExecutions</v>
      </c>
      <c r="I24" s="3" t="str">
        <f>_xlfn.IFNA(INDEX(RulebookFields!D2:D999, MATCH(D24,RulebookFields!A2:A999, 0)), "")</f>
        <v>ProcedureExecutionId</v>
      </c>
      <c r="J24" s="3" t="b">
        <f>_xlfn.IFNA(INDEX(RulebookFields!I2:I999, MATCH(D24,RulebookFields!A2:A999, 0)), "")</f>
        <v>0</v>
      </c>
      <c r="K24" s="3" t="b">
        <f>AND(F24, J24)</f>
        <v>0</v>
      </c>
      <c r="L24" s="3" t="b">
        <f>AND(G24 &lt;&gt; "plain", G24 &lt;&gt; "")</f>
        <v>0</v>
      </c>
      <c r="M24" s="3" t="str">
        <f>IF(E24, C24 &amp; "|" &amp; H24, "")</f>
        <v>principal-finance-analyst|ProcedureExecutions</v>
      </c>
      <c r="N24" s="2" t="s">
        <v>9938</v>
      </c>
    </row>
    <row r="25">
      <c r="A25" s="2" t="s">
        <v>9961</v>
      </c>
      <c r="B25" s="3" t="str">
        <f>C25 &amp; " -&gt; " &amp; D25</f>
        <v>principal-finance-analyst -&gt; ProcedureExecutions.ExecutionStatus</v>
      </c>
      <c r="C25" s="2" t="s">
        <v>9685</v>
      </c>
      <c r="D25" s="2" t="s">
        <v>3364</v>
      </c>
      <c r="E25" s="2" t="b">
        <v>1</v>
      </c>
      <c r="F25" s="2" t="b">
        <v>0</v>
      </c>
      <c r="G25" s="2" t="s">
        <v>9937</v>
      </c>
      <c r="H25" s="3" t="str">
        <f>_xlfn.IFNA(INDEX(RulebookFields!C2:C999, MATCH(D25,RulebookFields!A2:A999, 0)), "")</f>
        <v>ProcedureExecutions</v>
      </c>
      <c r="I25" s="3" t="str">
        <f>_xlfn.IFNA(INDEX(RulebookFields!D2:D999, MATCH(D25,RulebookFields!A2:A999, 0)), "")</f>
        <v>ExecutionStatus</v>
      </c>
      <c r="J25" s="3" t="b">
        <f>_xlfn.IFNA(INDEX(RulebookFields!I2:I999, MATCH(D25,RulebookFields!A2:A999, 0)), "")</f>
        <v>0</v>
      </c>
      <c r="K25" s="3" t="b">
        <f>AND(F25, J25)</f>
        <v>0</v>
      </c>
      <c r="L25" s="3" t="b">
        <f>AND(G25 &lt;&gt; "plain", G25 &lt;&gt; "")</f>
        <v>0</v>
      </c>
      <c r="M25" s="3" t="str">
        <f>IF(E25, C25 &amp; "|" &amp; H25, "")</f>
        <v>principal-finance-analyst|ProcedureExecutions</v>
      </c>
      <c r="N25" s="2" t="s">
        <v>9938</v>
      </c>
    </row>
    <row r="26">
      <c r="A26" s="2" t="s">
        <v>9962</v>
      </c>
      <c r="B26" s="3" t="str">
        <f>C26 &amp; " -&gt; " &amp; D26</f>
        <v>principal-finance-analyst -&gt; ProcedureExecutions.StartedAt</v>
      </c>
      <c r="C26" s="2" t="s">
        <v>9685</v>
      </c>
      <c r="D26" s="2" t="s">
        <v>3365</v>
      </c>
      <c r="E26" s="2" t="b">
        <v>1</v>
      </c>
      <c r="F26" s="2" t="b">
        <v>0</v>
      </c>
      <c r="G26" s="2" t="s">
        <v>9937</v>
      </c>
      <c r="H26" s="3" t="str">
        <f>_xlfn.IFNA(INDEX(RulebookFields!C2:C999, MATCH(D26,RulebookFields!A2:A999, 0)), "")</f>
        <v>ProcedureExecutions</v>
      </c>
      <c r="I26" s="3" t="str">
        <f>_xlfn.IFNA(INDEX(RulebookFields!D2:D999, MATCH(D26,RulebookFields!A2:A999, 0)), "")</f>
        <v>StartedAt</v>
      </c>
      <c r="J26" s="3" t="b">
        <f>_xlfn.IFNA(INDEX(RulebookFields!I2:I999, MATCH(D26,RulebookFields!A2:A999, 0)), "")</f>
        <v>0</v>
      </c>
      <c r="K26" s="3" t="b">
        <f>AND(F26, J26)</f>
        <v>0</v>
      </c>
      <c r="L26" s="3" t="b">
        <f>AND(G26 &lt;&gt; "plain", G26 &lt;&gt; "")</f>
        <v>0</v>
      </c>
      <c r="M26" s="3" t="str">
        <f>IF(E26, C26 &amp; "|" &amp; H26, "")</f>
        <v>principal-finance-analyst|ProcedureExecutions</v>
      </c>
      <c r="N26" s="2" t="s">
        <v>9938</v>
      </c>
    </row>
    <row r="27">
      <c r="A27" s="2" t="s">
        <v>9963</v>
      </c>
      <c r="B27" s="3" t="str">
        <f>C27 &amp; " -&gt; " &amp; D27</f>
        <v>principal-finance-analyst -&gt; ProcedureExecutions.EndedAt</v>
      </c>
      <c r="C27" s="2" t="s">
        <v>9685</v>
      </c>
      <c r="D27" s="2" t="s">
        <v>3366</v>
      </c>
      <c r="E27" s="2" t="b">
        <v>1</v>
      </c>
      <c r="F27" s="2" t="b">
        <v>0</v>
      </c>
      <c r="G27" s="2" t="s">
        <v>9937</v>
      </c>
      <c r="H27" s="3" t="str">
        <f>_xlfn.IFNA(INDEX(RulebookFields!C2:C999, MATCH(D27,RulebookFields!A2:A999, 0)), "")</f>
        <v>ProcedureExecutions</v>
      </c>
      <c r="I27" s="3" t="str">
        <f>_xlfn.IFNA(INDEX(RulebookFields!D2:D999, MATCH(D27,RulebookFields!A2:A999, 0)), "")</f>
        <v>EndedAt</v>
      </c>
      <c r="J27" s="3" t="b">
        <f>_xlfn.IFNA(INDEX(RulebookFields!I2:I999, MATCH(D27,RulebookFields!A2:A999, 0)), "")</f>
        <v>0</v>
      </c>
      <c r="K27" s="3" t="b">
        <f>AND(F27, J27)</f>
        <v>0</v>
      </c>
      <c r="L27" s="3" t="b">
        <f>AND(G27 &lt;&gt; "plain", G27 &lt;&gt; "")</f>
        <v>0</v>
      </c>
      <c r="M27" s="3" t="str">
        <f>IF(E27, C27 &amp; "|" &amp; H27, "")</f>
        <v>principal-finance-analyst|ProcedureExecutions</v>
      </c>
      <c r="N27" s="2" t="s">
        <v>9938</v>
      </c>
    </row>
    <row r="28">
      <c r="A28" s="2" t="s">
        <v>9964</v>
      </c>
      <c r="B28" s="3" t="str">
        <f>C28 &amp; " -&gt; " &amp; D28</f>
        <v>principal-finance-analyst -&gt; ProcedureExecutions.ProcedureVersion</v>
      </c>
      <c r="C28" s="2" t="s">
        <v>9685</v>
      </c>
      <c r="D28" s="2" t="s">
        <v>3363</v>
      </c>
      <c r="E28" s="2" t="b">
        <v>1</v>
      </c>
      <c r="F28" s="2" t="b">
        <v>0</v>
      </c>
      <c r="G28" s="2" t="s">
        <v>9937</v>
      </c>
      <c r="H28" s="3" t="str">
        <f>_xlfn.IFNA(INDEX(RulebookFields!C2:C999, MATCH(D28,RulebookFields!A2:A999, 0)), "")</f>
        <v>ProcedureExecutions</v>
      </c>
      <c r="I28" s="3" t="str">
        <f>_xlfn.IFNA(INDEX(RulebookFields!D2:D999, MATCH(D28,RulebookFields!A2:A999, 0)), "")</f>
        <v>ProcedureVersion</v>
      </c>
      <c r="J28" s="3" t="b">
        <f>_xlfn.IFNA(INDEX(RulebookFields!I2:I999, MATCH(D28,RulebookFields!A2:A999, 0)), "")</f>
        <v>0</v>
      </c>
      <c r="K28" s="3" t="b">
        <f>AND(F28, J28)</f>
        <v>0</v>
      </c>
      <c r="L28" s="3" t="b">
        <f>AND(G28 &lt;&gt; "plain", G28 &lt;&gt; "")</f>
        <v>0</v>
      </c>
      <c r="M28" s="3" t="str">
        <f>IF(E28, C28 &amp; "|" &amp; H28, "")</f>
        <v>principal-finance-analyst|ProcedureExecutions</v>
      </c>
      <c r="N28" s="2" t="s">
        <v>9938</v>
      </c>
    </row>
    <row r="29">
      <c r="A29" s="2" t="s">
        <v>9965</v>
      </c>
      <c r="B29" s="3" t="str">
        <f>C29 &amp; " -&gt; " &amp; D29</f>
        <v>principal-finance-analyst -&gt; ProcedureExecutions.Name</v>
      </c>
      <c r="C29" s="2" t="s">
        <v>9685</v>
      </c>
      <c r="D29" s="2" t="s">
        <v>3361</v>
      </c>
      <c r="E29" s="2" t="b">
        <v>1</v>
      </c>
      <c r="F29" s="2" t="b">
        <v>0</v>
      </c>
      <c r="G29" s="2" t="s">
        <v>9937</v>
      </c>
      <c r="H29" s="3" t="str">
        <f>_xlfn.IFNA(INDEX(RulebookFields!C2:C999, MATCH(D29,RulebookFields!A2:A999, 0)), "")</f>
        <v>ProcedureExecutions</v>
      </c>
      <c r="I29" s="3" t="str">
        <f>_xlfn.IFNA(INDEX(RulebookFields!D2:D999, MATCH(D29,RulebookFields!A2:A999, 0)), "")</f>
        <v>Name</v>
      </c>
      <c r="J29" s="3" t="b">
        <f>_xlfn.IFNA(INDEX(RulebookFields!I2:I999, MATCH(D29,RulebookFields!A2:A999, 0)), "")</f>
        <v>1</v>
      </c>
      <c r="K29" s="3" t="b">
        <f>AND(F29, J29)</f>
        <v>0</v>
      </c>
      <c r="L29" s="3" t="b">
        <f>AND(G29 &lt;&gt; "plain", G29 &lt;&gt; "")</f>
        <v>0</v>
      </c>
      <c r="M29" s="3" t="str">
        <f>IF(E29, C29 &amp; "|" &amp; H29, "")</f>
        <v>principal-finance-analyst|ProcedureExecutions</v>
      </c>
      <c r="N29" s="2" t="s">
        <v>9938</v>
      </c>
    </row>
    <row r="30">
      <c r="A30" s="2" t="s">
        <v>9966</v>
      </c>
      <c r="B30" s="3" t="str">
        <f>C30 &amp; " -&gt; " &amp; D30</f>
        <v>principal-finance-analyst -&gt; Requirements.RequirementId</v>
      </c>
      <c r="C30" s="2" t="s">
        <v>9685</v>
      </c>
      <c r="D30" s="2" t="s">
        <v>2979</v>
      </c>
      <c r="E30" s="2" t="b">
        <v>1</v>
      </c>
      <c r="F30" s="2" t="b">
        <v>0</v>
      </c>
      <c r="G30" s="2" t="s">
        <v>9937</v>
      </c>
      <c r="H30" s="3" t="str">
        <f>_xlfn.IFNA(INDEX(RulebookFields!C2:C999, MATCH(D30,RulebookFields!A2:A999, 0)), "")</f>
        <v>Requirements</v>
      </c>
      <c r="I30" s="3" t="str">
        <f>_xlfn.IFNA(INDEX(RulebookFields!D2:D999, MATCH(D30,RulebookFields!A2:A999, 0)), "")</f>
        <v>RequirementId</v>
      </c>
      <c r="J30" s="3" t="b">
        <f>_xlfn.IFNA(INDEX(RulebookFields!I2:I999, MATCH(D30,RulebookFields!A2:A999, 0)), "")</f>
        <v>0</v>
      </c>
      <c r="K30" s="3" t="b">
        <f>AND(F30, J30)</f>
        <v>0</v>
      </c>
      <c r="L30" s="3" t="b">
        <f>AND(G30 &lt;&gt; "plain", G30 &lt;&gt; "")</f>
        <v>0</v>
      </c>
      <c r="M30" s="3" t="str">
        <f>IF(E30, C30 &amp; "|" &amp; H30, "")</f>
        <v>principal-finance-analyst|Requirements</v>
      </c>
      <c r="N30" s="2" t="s">
        <v>9938</v>
      </c>
    </row>
    <row r="31">
      <c r="A31" s="2" t="s">
        <v>9967</v>
      </c>
      <c r="B31" s="3" t="str">
        <f>C31 &amp; " -&gt; " &amp; D31</f>
        <v>principal-finance-analyst -&gt; Requirements.Label</v>
      </c>
      <c r="C31" s="2" t="s">
        <v>9685</v>
      </c>
      <c r="D31" s="2" t="s">
        <v>2981</v>
      </c>
      <c r="E31" s="2" t="b">
        <v>1</v>
      </c>
      <c r="F31" s="2" t="b">
        <v>0</v>
      </c>
      <c r="G31" s="2" t="s">
        <v>9937</v>
      </c>
      <c r="H31" s="3" t="str">
        <f>_xlfn.IFNA(INDEX(RulebookFields!C2:C999, MATCH(D31,RulebookFields!A2:A999, 0)), "")</f>
        <v>Requirements</v>
      </c>
      <c r="I31" s="3" t="str">
        <f>_xlfn.IFNA(INDEX(RulebookFields!D2:D999, MATCH(D31,RulebookFields!A2:A999, 0)), "")</f>
        <v>Label</v>
      </c>
      <c r="J31" s="3" t="b">
        <f>_xlfn.IFNA(INDEX(RulebookFields!I2:I999, MATCH(D31,RulebookFields!A2:A999, 0)), "")</f>
        <v>0</v>
      </c>
      <c r="K31" s="3" t="b">
        <f>AND(F31, J31)</f>
        <v>0</v>
      </c>
      <c r="L31" s="3" t="b">
        <f>AND(G31 &lt;&gt; "plain", G31 &lt;&gt; "")</f>
        <v>0</v>
      </c>
      <c r="M31" s="3" t="str">
        <f>IF(E31, C31 &amp; "|" &amp; H31, "")</f>
        <v>principal-finance-analyst|Requirements</v>
      </c>
      <c r="N31" s="2" t="s">
        <v>9938</v>
      </c>
    </row>
    <row r="32">
      <c r="A32" s="2" t="s">
        <v>9968</v>
      </c>
      <c r="B32" s="3" t="str">
        <f>C32 &amp; " -&gt; " &amp; D32</f>
        <v>principal-finance-analyst -&gt; Requirements.RequirementType</v>
      </c>
      <c r="C32" s="2" t="s">
        <v>9685</v>
      </c>
      <c r="D32" s="2" t="s">
        <v>2982</v>
      </c>
      <c r="E32" s="2" t="b">
        <v>1</v>
      </c>
      <c r="F32" s="2" t="b">
        <v>0</v>
      </c>
      <c r="G32" s="2" t="s">
        <v>9937</v>
      </c>
      <c r="H32" s="3" t="str">
        <f>_xlfn.IFNA(INDEX(RulebookFields!C2:C999, MATCH(D32,RulebookFields!A2:A999, 0)), "")</f>
        <v>Requirements</v>
      </c>
      <c r="I32" s="3" t="str">
        <f>_xlfn.IFNA(INDEX(RulebookFields!D2:D999, MATCH(D32,RulebookFields!A2:A999, 0)), "")</f>
        <v>RequirementType</v>
      </c>
      <c r="J32" s="3" t="b">
        <f>_xlfn.IFNA(INDEX(RulebookFields!I2:I999, MATCH(D32,RulebookFields!A2:A999, 0)), "")</f>
        <v>0</v>
      </c>
      <c r="K32" s="3" t="b">
        <f>AND(F32, J32)</f>
        <v>0</v>
      </c>
      <c r="L32" s="3" t="b">
        <f>AND(G32 &lt;&gt; "plain", G32 &lt;&gt; "")</f>
        <v>0</v>
      </c>
      <c r="M32" s="3" t="str">
        <f>IF(E32, C32 &amp; "|" &amp; H32, "")</f>
        <v>principal-finance-analyst|Requirements</v>
      </c>
      <c r="N32" s="2" t="s">
        <v>9938</v>
      </c>
    </row>
    <row r="33">
      <c r="A33" s="2" t="s">
        <v>9969</v>
      </c>
      <c r="B33" s="3" t="str">
        <f>C33 &amp; " -&gt; " &amp; D33</f>
        <v>principal-finance-analyst -&gt; Requirements.Statement</v>
      </c>
      <c r="C33" s="2" t="s">
        <v>9685</v>
      </c>
      <c r="D33" s="2" t="s">
        <v>2983</v>
      </c>
      <c r="E33" s="2" t="b">
        <v>1</v>
      </c>
      <c r="F33" s="2" t="b">
        <v>0</v>
      </c>
      <c r="G33" s="2" t="s">
        <v>9937</v>
      </c>
      <c r="H33" s="3" t="str">
        <f>_xlfn.IFNA(INDEX(RulebookFields!C2:C999, MATCH(D33,RulebookFields!A2:A999, 0)), "")</f>
        <v>Requirements</v>
      </c>
      <c r="I33" s="3" t="str">
        <f>_xlfn.IFNA(INDEX(RulebookFields!D2:D999, MATCH(D33,RulebookFields!A2:A999, 0)), "")</f>
        <v>Statement</v>
      </c>
      <c r="J33" s="3" t="b">
        <f>_xlfn.IFNA(INDEX(RulebookFields!I2:I999, MATCH(D33,RulebookFields!A2:A999, 0)), "")</f>
        <v>0</v>
      </c>
      <c r="K33" s="3" t="b">
        <f>AND(F33, J33)</f>
        <v>0</v>
      </c>
      <c r="L33" s="3" t="b">
        <f>AND(G33 &lt;&gt; "plain", G33 &lt;&gt; "")</f>
        <v>0</v>
      </c>
      <c r="M33" s="3" t="str">
        <f>IF(E33, C33 &amp; "|" &amp; H33, "")</f>
        <v>principal-finance-analyst|Requirements</v>
      </c>
      <c r="N33" s="2" t="s">
        <v>9938</v>
      </c>
    </row>
    <row r="34">
      <c r="A34" s="2" t="s">
        <v>9970</v>
      </c>
      <c r="B34" s="3" t="str">
        <f>C34 &amp; " -&gt; " &amp; D34</f>
        <v>principal-finance-analyst -&gt; Requirements.IsBlocking</v>
      </c>
      <c r="C34" s="2" t="s">
        <v>9685</v>
      </c>
      <c r="D34" s="2" t="s">
        <v>2985</v>
      </c>
      <c r="E34" s="2" t="b">
        <v>1</v>
      </c>
      <c r="F34" s="2" t="b">
        <v>0</v>
      </c>
      <c r="G34" s="2" t="s">
        <v>9937</v>
      </c>
      <c r="H34" s="3" t="str">
        <f>_xlfn.IFNA(INDEX(RulebookFields!C2:C999, MATCH(D34,RulebookFields!A2:A999, 0)), "")</f>
        <v>Requirements</v>
      </c>
      <c r="I34" s="3" t="str">
        <f>_xlfn.IFNA(INDEX(RulebookFields!D2:D999, MATCH(D34,RulebookFields!A2:A999, 0)), "")</f>
        <v>IsBlocking</v>
      </c>
      <c r="J34" s="3" t="b">
        <f>_xlfn.IFNA(INDEX(RulebookFields!I2:I999, MATCH(D34,RulebookFields!A2:A999, 0)), "")</f>
        <v>0</v>
      </c>
      <c r="K34" s="3" t="b">
        <f>AND(F34, J34)</f>
        <v>0</v>
      </c>
      <c r="L34" s="3" t="b">
        <f>AND(G34 &lt;&gt; "plain", G34 &lt;&gt; "")</f>
        <v>0</v>
      </c>
      <c r="M34" s="3" t="str">
        <f>IF(E34, C34 &amp; "|" &amp; H34, "")</f>
        <v>principal-finance-analyst|Requirements</v>
      </c>
      <c r="N34" s="2" t="s">
        <v>9938</v>
      </c>
    </row>
    <row r="35">
      <c r="A35" s="2" t="s">
        <v>9971</v>
      </c>
      <c r="B35" s="3" t="str">
        <f>C35 &amp; " -&gt; " &amp; D35</f>
        <v>principal-finance-analyst -&gt; Requirements.Name</v>
      </c>
      <c r="C35" s="2" t="s">
        <v>9685</v>
      </c>
      <c r="D35" s="2" t="s">
        <v>2980</v>
      </c>
      <c r="E35" s="2" t="b">
        <v>1</v>
      </c>
      <c r="F35" s="2" t="b">
        <v>0</v>
      </c>
      <c r="G35" s="2" t="s">
        <v>9937</v>
      </c>
      <c r="H35" s="3" t="str">
        <f>_xlfn.IFNA(INDEX(RulebookFields!C2:C999, MATCH(D35,RulebookFields!A2:A999, 0)), "")</f>
        <v>Requirements</v>
      </c>
      <c r="I35" s="3" t="str">
        <f>_xlfn.IFNA(INDEX(RulebookFields!D2:D999, MATCH(D35,RulebookFields!A2:A999, 0)), "")</f>
        <v>Name</v>
      </c>
      <c r="J35" s="3" t="b">
        <f>_xlfn.IFNA(INDEX(RulebookFields!I2:I999, MATCH(D35,RulebookFields!A2:A999, 0)), "")</f>
        <v>1</v>
      </c>
      <c r="K35" s="3" t="b">
        <f>AND(F35, J35)</f>
        <v>0</v>
      </c>
      <c r="L35" s="3" t="b">
        <f>AND(G35 &lt;&gt; "plain", G35 &lt;&gt; "")</f>
        <v>0</v>
      </c>
      <c r="M35" s="3" t="str">
        <f>IF(E35, C35 &amp; "|" &amp; H35, "")</f>
        <v>principal-finance-analyst|Requirements</v>
      </c>
      <c r="N35" s="2" t="s">
        <v>9938</v>
      </c>
    </row>
    <row r="36">
      <c r="A36" s="2" t="s">
        <v>9972</v>
      </c>
      <c r="B36" s="3" t="str">
        <f>C36 &amp; " -&gt; " &amp; D36</f>
        <v>principal-finance-analyst -&gt; RequirementSatisfactions.RequirementSatisfactionId</v>
      </c>
      <c r="C36" s="2" t="s">
        <v>9685</v>
      </c>
      <c r="D36" s="2" t="s">
        <v>3707</v>
      </c>
      <c r="E36" s="2" t="b">
        <v>1</v>
      </c>
      <c r="F36" s="2" t="b">
        <v>0</v>
      </c>
      <c r="G36" s="2" t="s">
        <v>9937</v>
      </c>
      <c r="H36" s="3" t="str">
        <f>_xlfn.IFNA(INDEX(RulebookFields!C2:C999, MATCH(D36,RulebookFields!A2:A999, 0)), "")</f>
        <v>RequirementSatisfactions</v>
      </c>
      <c r="I36" s="3" t="str">
        <f>_xlfn.IFNA(INDEX(RulebookFields!D2:D999, MATCH(D36,RulebookFields!A2:A999, 0)), "")</f>
        <v>RequirementSatisfactionId</v>
      </c>
      <c r="J36" s="3" t="b">
        <f>_xlfn.IFNA(INDEX(RulebookFields!I2:I999, MATCH(D36,RulebookFields!A2:A999, 0)), "")</f>
        <v>0</v>
      </c>
      <c r="K36" s="3" t="b">
        <f>AND(F36, J36)</f>
        <v>0</v>
      </c>
      <c r="L36" s="3" t="b">
        <f>AND(G36 &lt;&gt; "plain", G36 &lt;&gt; "")</f>
        <v>0</v>
      </c>
      <c r="M36" s="3" t="str">
        <f>IF(E36, C36 &amp; "|" &amp; H36, "")</f>
        <v>principal-finance-analyst|RequirementSatisfactions</v>
      </c>
      <c r="N36" s="2" t="s">
        <v>9938</v>
      </c>
    </row>
    <row r="37">
      <c r="A37" s="2" t="s">
        <v>9973</v>
      </c>
      <c r="B37" s="3" t="str">
        <f>C37 &amp; " -&gt; " &amp; D37</f>
        <v>principal-finance-analyst -&gt; RequirementSatisfactions.Requirement</v>
      </c>
      <c r="C37" s="2" t="s">
        <v>9685</v>
      </c>
      <c r="D37" s="2" t="s">
        <v>3711</v>
      </c>
      <c r="E37" s="2" t="b">
        <v>1</v>
      </c>
      <c r="F37" s="2" t="b">
        <v>0</v>
      </c>
      <c r="G37" s="2" t="s">
        <v>9937</v>
      </c>
      <c r="H37" s="3" t="str">
        <f>_xlfn.IFNA(INDEX(RulebookFields!C2:C999, MATCH(D37,RulebookFields!A2:A999, 0)), "")</f>
        <v>RequirementSatisfactions</v>
      </c>
      <c r="I37" s="3" t="str">
        <f>_xlfn.IFNA(INDEX(RulebookFields!D2:D999, MATCH(D37,RulebookFields!A2:A999, 0)), "")</f>
        <v>Requirement</v>
      </c>
      <c r="J37" s="3" t="b">
        <f>_xlfn.IFNA(INDEX(RulebookFields!I2:I999, MATCH(D37,RulebookFields!A2:A999, 0)), "")</f>
        <v>0</v>
      </c>
      <c r="K37" s="3" t="b">
        <f>AND(F37, J37)</f>
        <v>0</v>
      </c>
      <c r="L37" s="3" t="b">
        <f>AND(G37 &lt;&gt; "plain", G37 &lt;&gt; "")</f>
        <v>0</v>
      </c>
      <c r="M37" s="3" t="str">
        <f>IF(E37, C37 &amp; "|" &amp; H37, "")</f>
        <v>principal-finance-analyst|RequirementSatisfactions</v>
      </c>
      <c r="N37" s="2" t="s">
        <v>9938</v>
      </c>
    </row>
    <row r="38">
      <c r="A38" s="2" t="s">
        <v>9974</v>
      </c>
      <c r="B38" s="3" t="str">
        <f>C38 &amp; " -&gt; " &amp; D38</f>
        <v>principal-finance-analyst -&gt; RequirementSatisfactions.SatisfactionLevel</v>
      </c>
      <c r="C38" s="2" t="s">
        <v>9685</v>
      </c>
      <c r="D38" s="2" t="s">
        <v>3712</v>
      </c>
      <c r="E38" s="2" t="b">
        <v>1</v>
      </c>
      <c r="F38" s="2" t="b">
        <v>0</v>
      </c>
      <c r="G38" s="2" t="s">
        <v>9937</v>
      </c>
      <c r="H38" s="3" t="str">
        <f>_xlfn.IFNA(INDEX(RulebookFields!C2:C999, MATCH(D38,RulebookFields!A2:A999, 0)), "")</f>
        <v>RequirementSatisfactions</v>
      </c>
      <c r="I38" s="3" t="str">
        <f>_xlfn.IFNA(INDEX(RulebookFields!D2:D999, MATCH(D38,RulebookFields!A2:A999, 0)), "")</f>
        <v>SatisfactionLevel</v>
      </c>
      <c r="J38" s="3" t="b">
        <f>_xlfn.IFNA(INDEX(RulebookFields!I2:I999, MATCH(D38,RulebookFields!A2:A999, 0)), "")</f>
        <v>0</v>
      </c>
      <c r="K38" s="3" t="b">
        <f>AND(F38, J38)</f>
        <v>0</v>
      </c>
      <c r="L38" s="3" t="b">
        <f>AND(G38 &lt;&gt; "plain", G38 &lt;&gt; "")</f>
        <v>0</v>
      </c>
      <c r="M38" s="3" t="str">
        <f>IF(E38, C38 &amp; "|" &amp; H38, "")</f>
        <v>principal-finance-analyst|RequirementSatisfactions</v>
      </c>
      <c r="N38" s="2" t="s">
        <v>9938</v>
      </c>
    </row>
    <row r="39">
      <c r="A39" s="2" t="s">
        <v>9975</v>
      </c>
      <c r="B39" s="3" t="str">
        <f>C39 &amp; " -&gt; " &amp; D39</f>
        <v>principal-finance-analyst -&gt; RequirementSatisfactions.Evidence</v>
      </c>
      <c r="C39" s="2" t="s">
        <v>9685</v>
      </c>
      <c r="D39" s="2" t="s">
        <v>3713</v>
      </c>
      <c r="E39" s="2" t="b">
        <v>1</v>
      </c>
      <c r="F39" s="2" t="b">
        <v>0</v>
      </c>
      <c r="G39" s="2" t="s">
        <v>9937</v>
      </c>
      <c r="H39" s="3" t="str">
        <f>_xlfn.IFNA(INDEX(RulebookFields!C2:C999, MATCH(D39,RulebookFields!A2:A999, 0)), "")</f>
        <v>RequirementSatisfactions</v>
      </c>
      <c r="I39" s="3" t="str">
        <f>_xlfn.IFNA(INDEX(RulebookFields!D2:D999, MATCH(D39,RulebookFields!A2:A999, 0)), "")</f>
        <v>Evidence</v>
      </c>
      <c r="J39" s="3" t="b">
        <f>_xlfn.IFNA(INDEX(RulebookFields!I2:I999, MATCH(D39,RulebookFields!A2:A999, 0)), "")</f>
        <v>0</v>
      </c>
      <c r="K39" s="3" t="b">
        <f>AND(F39, J39)</f>
        <v>0</v>
      </c>
      <c r="L39" s="3" t="b">
        <f>AND(G39 &lt;&gt; "plain", G39 &lt;&gt; "")</f>
        <v>0</v>
      </c>
      <c r="M39" s="3" t="str">
        <f>IF(E39, C39 &amp; "|" &amp; H39, "")</f>
        <v>principal-finance-analyst|RequirementSatisfactions</v>
      </c>
      <c r="N39" s="2" t="s">
        <v>9938</v>
      </c>
    </row>
    <row r="40">
      <c r="A40" s="2" t="s">
        <v>9976</v>
      </c>
      <c r="B40" s="3" t="str">
        <f>C40 &amp; " -&gt; " &amp; D40</f>
        <v>principal-finance-analyst -&gt; RequirementSatisfactions.EvaluatedAt</v>
      </c>
      <c r="C40" s="2" t="s">
        <v>9685</v>
      </c>
      <c r="D40" s="2" t="s">
        <v>3715</v>
      </c>
      <c r="E40" s="2" t="b">
        <v>1</v>
      </c>
      <c r="F40" s="2" t="b">
        <v>0</v>
      </c>
      <c r="G40" s="2" t="s">
        <v>9937</v>
      </c>
      <c r="H40" s="3" t="str">
        <f>_xlfn.IFNA(INDEX(RulebookFields!C2:C999, MATCH(D40,RulebookFields!A2:A999, 0)), "")</f>
        <v>RequirementSatisfactions</v>
      </c>
      <c r="I40" s="3" t="str">
        <f>_xlfn.IFNA(INDEX(RulebookFields!D2:D999, MATCH(D40,RulebookFields!A2:A999, 0)), "")</f>
        <v>EvaluatedAt</v>
      </c>
      <c r="J40" s="3" t="b">
        <f>_xlfn.IFNA(INDEX(RulebookFields!I2:I999, MATCH(D40,RulebookFields!A2:A999, 0)), "")</f>
        <v>0</v>
      </c>
      <c r="K40" s="3" t="b">
        <f>AND(F40, J40)</f>
        <v>0</v>
      </c>
      <c r="L40" s="3" t="b">
        <f>AND(G40 &lt;&gt; "plain", G40 &lt;&gt; "")</f>
        <v>0</v>
      </c>
      <c r="M40" s="3" t="str">
        <f>IF(E40, C40 &amp; "|" &amp; H40, "")</f>
        <v>principal-finance-analyst|RequirementSatisfactions</v>
      </c>
      <c r="N40" s="2" t="s">
        <v>9938</v>
      </c>
    </row>
    <row r="41">
      <c r="A41" s="2" t="s">
        <v>9977</v>
      </c>
      <c r="B41" s="3" t="str">
        <f>C41 &amp; " -&gt; " &amp; D41</f>
        <v>principal-finance-analyst -&gt; RequirementSatisfactions.Name</v>
      </c>
      <c r="C41" s="2" t="s">
        <v>9685</v>
      </c>
      <c r="D41" s="2" t="s">
        <v>3708</v>
      </c>
      <c r="E41" s="2" t="b">
        <v>1</v>
      </c>
      <c r="F41" s="2" t="b">
        <v>0</v>
      </c>
      <c r="G41" s="2" t="s">
        <v>9937</v>
      </c>
      <c r="H41" s="3" t="str">
        <f>_xlfn.IFNA(INDEX(RulebookFields!C2:C999, MATCH(D41,RulebookFields!A2:A999, 0)), "")</f>
        <v>RequirementSatisfactions</v>
      </c>
      <c r="I41" s="3" t="str">
        <f>_xlfn.IFNA(INDEX(RulebookFields!D2:D999, MATCH(D41,RulebookFields!A2:A999, 0)), "")</f>
        <v>Name</v>
      </c>
      <c r="J41" s="3" t="b">
        <f>_xlfn.IFNA(INDEX(RulebookFields!I2:I999, MATCH(D41,RulebookFields!A2:A999, 0)), "")</f>
        <v>1</v>
      </c>
      <c r="K41" s="3" t="b">
        <f>AND(F41, J41)</f>
        <v>0</v>
      </c>
      <c r="L41" s="3" t="b">
        <f>AND(G41 &lt;&gt; "plain", G41 &lt;&gt; "")</f>
        <v>0</v>
      </c>
      <c r="M41" s="3" t="str">
        <f>IF(E41, C41 &amp; "|" &amp; H41, "")</f>
        <v>principal-finance-analyst|RequirementSatisfactions</v>
      </c>
      <c r="N41" s="2" t="s">
        <v>9938</v>
      </c>
    </row>
    <row r="42">
      <c r="A42" s="2" t="s">
        <v>9978</v>
      </c>
      <c r="B42" s="3" t="str">
        <f>C42 &amp; " -&gt; " &amp; D42</f>
        <v>principal-finance-analyst -&gt; Procedures.ProcedureId</v>
      </c>
      <c r="C42" s="2" t="s">
        <v>9685</v>
      </c>
      <c r="D42" s="2" t="s">
        <v>2650</v>
      </c>
      <c r="E42" s="2" t="b">
        <v>1</v>
      </c>
      <c r="F42" s="2" t="b">
        <v>0</v>
      </c>
      <c r="G42" s="2" t="s">
        <v>9937</v>
      </c>
      <c r="H42" s="3" t="str">
        <f>_xlfn.IFNA(INDEX(RulebookFields!C2:C999, MATCH(D42,RulebookFields!A2:A999, 0)), "")</f>
        <v>Procedures</v>
      </c>
      <c r="I42" s="3" t="str">
        <f>_xlfn.IFNA(INDEX(RulebookFields!D2:D999, MATCH(D42,RulebookFields!A2:A999, 0)), "")</f>
        <v>ProcedureId</v>
      </c>
      <c r="J42" s="3" t="b">
        <f>_xlfn.IFNA(INDEX(RulebookFields!I2:I999, MATCH(D42,RulebookFields!A2:A999, 0)), "")</f>
        <v>0</v>
      </c>
      <c r="K42" s="3" t="b">
        <f>AND(F42, J42)</f>
        <v>0</v>
      </c>
      <c r="L42" s="3" t="b">
        <f>AND(G42 &lt;&gt; "plain", G42 &lt;&gt; "")</f>
        <v>0</v>
      </c>
      <c r="M42" s="3" t="str">
        <f>IF(E42, C42 &amp; "|" &amp; H42, "")</f>
        <v>principal-finance-analyst|Procedures</v>
      </c>
      <c r="N42" s="2" t="s">
        <v>9938</v>
      </c>
    </row>
    <row r="43">
      <c r="A43" s="2" t="s">
        <v>9979</v>
      </c>
      <c r="B43" s="3" t="str">
        <f>C43 &amp; " -&gt; " &amp; D43</f>
        <v>principal-finance-analyst -&gt; Procedures.Title</v>
      </c>
      <c r="C43" s="2" t="s">
        <v>9685</v>
      </c>
      <c r="D43" s="2" t="s">
        <v>2653</v>
      </c>
      <c r="E43" s="2" t="b">
        <v>1</v>
      </c>
      <c r="F43" s="2" t="b">
        <v>0</v>
      </c>
      <c r="G43" s="2" t="s">
        <v>9937</v>
      </c>
      <c r="H43" s="3" t="str">
        <f>_xlfn.IFNA(INDEX(RulebookFields!C2:C999, MATCH(D43,RulebookFields!A2:A999, 0)), "")</f>
        <v>Procedures</v>
      </c>
      <c r="I43" s="3" t="str">
        <f>_xlfn.IFNA(INDEX(RulebookFields!D2:D999, MATCH(D43,RulebookFields!A2:A999, 0)), "")</f>
        <v>Title</v>
      </c>
      <c r="J43" s="3" t="b">
        <f>_xlfn.IFNA(INDEX(RulebookFields!I2:I999, MATCH(D43,RulebookFields!A2:A999, 0)), "")</f>
        <v>0</v>
      </c>
      <c r="K43" s="3" t="b">
        <f>AND(F43, J43)</f>
        <v>0</v>
      </c>
      <c r="L43" s="3" t="b">
        <f>AND(G43 &lt;&gt; "plain", G43 &lt;&gt; "")</f>
        <v>0</v>
      </c>
      <c r="M43" s="3" t="str">
        <f>IF(E43, C43 &amp; "|" &amp; H43, "")</f>
        <v>principal-finance-analyst|Procedures</v>
      </c>
      <c r="N43" s="2" t="s">
        <v>9938</v>
      </c>
    </row>
    <row r="44">
      <c r="A44" s="2" t="s">
        <v>9980</v>
      </c>
      <c r="B44" s="3" t="str">
        <f>C44 &amp; " -&gt; " &amp; D44</f>
        <v>principal-finance-analyst -&gt; Procedures.Purpose</v>
      </c>
      <c r="C44" s="2" t="s">
        <v>9685</v>
      </c>
      <c r="D44" s="2" t="s">
        <v>2657</v>
      </c>
      <c r="E44" s="2" t="b">
        <v>1</v>
      </c>
      <c r="F44" s="2" t="b">
        <v>0</v>
      </c>
      <c r="G44" s="2" t="s">
        <v>9937</v>
      </c>
      <c r="H44" s="3" t="str">
        <f>_xlfn.IFNA(INDEX(RulebookFields!C2:C999, MATCH(D44,RulebookFields!A2:A999, 0)), "")</f>
        <v>Procedures</v>
      </c>
      <c r="I44" s="3" t="str">
        <f>_xlfn.IFNA(INDEX(RulebookFields!D2:D999, MATCH(D44,RulebookFields!A2:A999, 0)), "")</f>
        <v>Purpose</v>
      </c>
      <c r="J44" s="3" t="b">
        <f>_xlfn.IFNA(INDEX(RulebookFields!I2:I999, MATCH(D44,RulebookFields!A2:A999, 0)), "")</f>
        <v>0</v>
      </c>
      <c r="K44" s="3" t="b">
        <f>AND(F44, J44)</f>
        <v>0</v>
      </c>
      <c r="L44" s="3" t="b">
        <f>AND(G44 &lt;&gt; "plain", G44 &lt;&gt; "")</f>
        <v>0</v>
      </c>
      <c r="M44" s="3" t="str">
        <f>IF(E44, C44 &amp; "|" &amp; H44, "")</f>
        <v>principal-finance-analyst|Procedures</v>
      </c>
      <c r="N44" s="2" t="s">
        <v>9938</v>
      </c>
    </row>
    <row r="45">
      <c r="A45" s="2" t="s">
        <v>9981</v>
      </c>
      <c r="B45" s="3" t="str">
        <f>C45 &amp; " -&gt; " &amp; D45</f>
        <v>principal-finance-analyst -&gt; Procedures.Name</v>
      </c>
      <c r="C45" s="2" t="s">
        <v>9685</v>
      </c>
      <c r="D45" s="2" t="s">
        <v>2651</v>
      </c>
      <c r="E45" s="2" t="b">
        <v>1</v>
      </c>
      <c r="F45" s="2" t="b">
        <v>0</v>
      </c>
      <c r="G45" s="2" t="s">
        <v>9937</v>
      </c>
      <c r="H45" s="3" t="str">
        <f>_xlfn.IFNA(INDEX(RulebookFields!C2:C999, MATCH(D45,RulebookFields!A2:A999, 0)), "")</f>
        <v>Procedures</v>
      </c>
      <c r="I45" s="3" t="str">
        <f>_xlfn.IFNA(INDEX(RulebookFields!D2:D999, MATCH(D45,RulebookFields!A2:A999, 0)), "")</f>
        <v>Name</v>
      </c>
      <c r="J45" s="3" t="b">
        <f>_xlfn.IFNA(INDEX(RulebookFields!I2:I999, MATCH(D45,RulebookFields!A2:A999, 0)), "")</f>
        <v>1</v>
      </c>
      <c r="K45" s="3" t="b">
        <f>AND(F45, J45)</f>
        <v>0</v>
      </c>
      <c r="L45" s="3" t="b">
        <f>AND(G45 &lt;&gt; "plain", G45 &lt;&gt; "")</f>
        <v>0</v>
      </c>
      <c r="M45" s="3" t="str">
        <f>IF(E45, C45 &amp; "|" &amp; H45, "")</f>
        <v>principal-finance-analyst|Procedures</v>
      </c>
      <c r="N45" s="2" t="s">
        <v>9938</v>
      </c>
    </row>
    <row r="46">
      <c r="A46" s="2" t="s">
        <v>9982</v>
      </c>
      <c r="B46" s="3" t="str">
        <f>C46 &amp; " -&gt; " &amp; D46</f>
        <v>principal-finance-analyst -&gt; ProcedureVersions.ProcedureVersionId</v>
      </c>
      <c r="C46" s="2" t="s">
        <v>9685</v>
      </c>
      <c r="D46" s="2" t="s">
        <v>2662</v>
      </c>
      <c r="E46" s="2" t="b">
        <v>1</v>
      </c>
      <c r="F46" s="2" t="b">
        <v>0</v>
      </c>
      <c r="G46" s="2" t="s">
        <v>9937</v>
      </c>
      <c r="H46" s="3" t="str">
        <f>_xlfn.IFNA(INDEX(RulebookFields!C2:C999, MATCH(D46,RulebookFields!A2:A999, 0)), "")</f>
        <v>ProcedureVersions</v>
      </c>
      <c r="I46" s="3" t="str">
        <f>_xlfn.IFNA(INDEX(RulebookFields!D2:D999, MATCH(D46,RulebookFields!A2:A999, 0)), "")</f>
        <v>ProcedureVersionId</v>
      </c>
      <c r="J46" s="3" t="b">
        <f>_xlfn.IFNA(INDEX(RulebookFields!I2:I999, MATCH(D46,RulebookFields!A2:A999, 0)), "")</f>
        <v>0</v>
      </c>
      <c r="K46" s="3" t="b">
        <f>AND(F46, J46)</f>
        <v>0</v>
      </c>
      <c r="L46" s="3" t="b">
        <f>AND(G46 &lt;&gt; "plain", G46 &lt;&gt; "")</f>
        <v>0</v>
      </c>
      <c r="M46" s="3" t="str">
        <f>IF(E46, C46 &amp; "|" &amp; H46, "")</f>
        <v>principal-finance-analyst|ProcedureVersions</v>
      </c>
      <c r="N46" s="2" t="s">
        <v>9938</v>
      </c>
    </row>
    <row r="47">
      <c r="A47" s="2" t="s">
        <v>9983</v>
      </c>
      <c r="B47" s="3" t="str">
        <f>C47 &amp; " -&gt; " &amp; D47</f>
        <v>principal-finance-analyst -&gt; ProcedureVersions.VersionNumber</v>
      </c>
      <c r="C47" s="2" t="s">
        <v>9685</v>
      </c>
      <c r="D47" s="2" t="s">
        <v>1750</v>
      </c>
      <c r="E47" s="2" t="b">
        <v>1</v>
      </c>
      <c r="F47" s="2" t="b">
        <v>0</v>
      </c>
      <c r="G47" s="2" t="s">
        <v>9937</v>
      </c>
      <c r="H47" s="3" t="str">
        <f>_xlfn.IFNA(INDEX(RulebookFields!C2:C999, MATCH(D47,RulebookFields!A2:A999, 0)), "")</f>
        <v>ProcedureVersions</v>
      </c>
      <c r="I47" s="3" t="str">
        <f>_xlfn.IFNA(INDEX(RulebookFields!D2:D999, MATCH(D47,RulebookFields!A2:A999, 0)), "")</f>
        <v>VersionNumber</v>
      </c>
      <c r="J47" s="3" t="b">
        <f>_xlfn.IFNA(INDEX(RulebookFields!I2:I999, MATCH(D47,RulebookFields!A2:A999, 0)), "")</f>
        <v>0</v>
      </c>
      <c r="K47" s="3" t="b">
        <f>AND(F47, J47)</f>
        <v>0</v>
      </c>
      <c r="L47" s="3" t="b">
        <f>AND(G47 &lt;&gt; "plain", G47 &lt;&gt; "")</f>
        <v>0</v>
      </c>
      <c r="M47" s="3" t="str">
        <f>IF(E47, C47 &amp; "|" &amp; H47, "")</f>
        <v>principal-finance-analyst|ProcedureVersions</v>
      </c>
      <c r="N47" s="2" t="s">
        <v>9938</v>
      </c>
    </row>
    <row r="48">
      <c r="A48" s="2" t="s">
        <v>9984</v>
      </c>
      <c r="B48" s="3" t="str">
        <f>C48 &amp; " -&gt; " &amp; D48</f>
        <v>principal-finance-analyst -&gt; ProcedureVersions.Title</v>
      </c>
      <c r="C48" s="2" t="s">
        <v>9685</v>
      </c>
      <c r="D48" s="2" t="s">
        <v>2665</v>
      </c>
      <c r="E48" s="2" t="b">
        <v>1</v>
      </c>
      <c r="F48" s="2" t="b">
        <v>0</v>
      </c>
      <c r="G48" s="2" t="s">
        <v>9937</v>
      </c>
      <c r="H48" s="3" t="str">
        <f>_xlfn.IFNA(INDEX(RulebookFields!C2:C999, MATCH(D48,RulebookFields!A2:A999, 0)), "")</f>
        <v>ProcedureVersions</v>
      </c>
      <c r="I48" s="3" t="str">
        <f>_xlfn.IFNA(INDEX(RulebookFields!D2:D999, MATCH(D48,RulebookFields!A2:A999, 0)), "")</f>
        <v>Title</v>
      </c>
      <c r="J48" s="3" t="b">
        <f>_xlfn.IFNA(INDEX(RulebookFields!I2:I999, MATCH(D48,RulebookFields!A2:A999, 0)), "")</f>
        <v>0</v>
      </c>
      <c r="K48" s="3" t="b">
        <f>AND(F48, J48)</f>
        <v>0</v>
      </c>
      <c r="L48" s="3" t="b">
        <f>AND(G48 &lt;&gt; "plain", G48 &lt;&gt; "")</f>
        <v>0</v>
      </c>
      <c r="M48" s="3" t="str">
        <f>IF(E48, C48 &amp; "|" &amp; H48, "")</f>
        <v>principal-finance-analyst|ProcedureVersions</v>
      </c>
      <c r="N48" s="2" t="s">
        <v>9938</v>
      </c>
    </row>
    <row r="49">
      <c r="A49" s="2" t="s">
        <v>9985</v>
      </c>
      <c r="B49" s="3" t="str">
        <f>C49 &amp; " -&gt; " &amp; D49</f>
        <v>principal-finance-analyst -&gt; ProcedureVersions.Status</v>
      </c>
      <c r="C49" s="2" t="s">
        <v>9685</v>
      </c>
      <c r="D49" s="2" t="s">
        <v>2666</v>
      </c>
      <c r="E49" s="2" t="b">
        <v>1</v>
      </c>
      <c r="F49" s="2" t="b">
        <v>0</v>
      </c>
      <c r="G49" s="2" t="s">
        <v>9937</v>
      </c>
      <c r="H49" s="3" t="str">
        <f>_xlfn.IFNA(INDEX(RulebookFields!C2:C999, MATCH(D49,RulebookFields!A2:A999, 0)), "")</f>
        <v>ProcedureVersions</v>
      </c>
      <c r="I49" s="3" t="str">
        <f>_xlfn.IFNA(INDEX(RulebookFields!D2:D999, MATCH(D49,RulebookFields!A2:A999, 0)), "")</f>
        <v>Status</v>
      </c>
      <c r="J49" s="3" t="b">
        <f>_xlfn.IFNA(INDEX(RulebookFields!I2:I999, MATCH(D49,RulebookFields!A2:A999, 0)), "")</f>
        <v>0</v>
      </c>
      <c r="K49" s="3" t="b">
        <f>AND(F49, J49)</f>
        <v>0</v>
      </c>
      <c r="L49" s="3" t="b">
        <f>AND(G49 &lt;&gt; "plain", G49 &lt;&gt; "")</f>
        <v>0</v>
      </c>
      <c r="M49" s="3" t="str">
        <f>IF(E49, C49 &amp; "|" &amp; H49, "")</f>
        <v>principal-finance-analyst|ProcedureVersions</v>
      </c>
      <c r="N49" s="2" t="s">
        <v>9938</v>
      </c>
    </row>
    <row r="50">
      <c r="A50" s="2" t="s">
        <v>9986</v>
      </c>
      <c r="B50" s="3" t="str">
        <f>C50 &amp; " -&gt; " &amp; D50</f>
        <v>principal-finance-analyst -&gt; ProcedureVersions.IsCurrent</v>
      </c>
      <c r="C50" s="2" t="s">
        <v>9685</v>
      </c>
      <c r="D50" s="2" t="s">
        <v>2673</v>
      </c>
      <c r="E50" s="2" t="b">
        <v>1</v>
      </c>
      <c r="F50" s="2" t="b">
        <v>0</v>
      </c>
      <c r="G50" s="2" t="s">
        <v>9937</v>
      </c>
      <c r="H50" s="3" t="str">
        <f>_xlfn.IFNA(INDEX(RulebookFields!C2:C999, MATCH(D50,RulebookFields!A2:A999, 0)), "")</f>
        <v>ProcedureVersions</v>
      </c>
      <c r="I50" s="3" t="str">
        <f>_xlfn.IFNA(INDEX(RulebookFields!D2:D999, MATCH(D50,RulebookFields!A2:A999, 0)), "")</f>
        <v>IsCurrent</v>
      </c>
      <c r="J50" s="3" t="b">
        <f>_xlfn.IFNA(INDEX(RulebookFields!I2:I999, MATCH(D50,RulebookFields!A2:A999, 0)), "")</f>
        <v>0</v>
      </c>
      <c r="K50" s="3" t="b">
        <f>AND(F50, J50)</f>
        <v>0</v>
      </c>
      <c r="L50" s="3" t="b">
        <f>AND(G50 &lt;&gt; "plain", G50 &lt;&gt; "")</f>
        <v>0</v>
      </c>
      <c r="M50" s="3" t="str">
        <f>IF(E50, C50 &amp; "|" &amp; H50, "")</f>
        <v>principal-finance-analyst|ProcedureVersions</v>
      </c>
      <c r="N50" s="2" t="s">
        <v>9938</v>
      </c>
    </row>
    <row r="51">
      <c r="A51" s="2" t="s">
        <v>9987</v>
      </c>
      <c r="B51" s="3" t="str">
        <f>C51 &amp; " -&gt; " &amp; D51</f>
        <v>principal-finance-analyst -&gt; ProcedureVersions.Procedure</v>
      </c>
      <c r="C51" s="2" t="s">
        <v>9685</v>
      </c>
      <c r="D51" s="2" t="s">
        <v>2664</v>
      </c>
      <c r="E51" s="2" t="b">
        <v>1</v>
      </c>
      <c r="F51" s="2" t="b">
        <v>0</v>
      </c>
      <c r="G51" s="2" t="s">
        <v>9937</v>
      </c>
      <c r="H51" s="3" t="str">
        <f>_xlfn.IFNA(INDEX(RulebookFields!C2:C999, MATCH(D51,RulebookFields!A2:A999, 0)), "")</f>
        <v>ProcedureVersions</v>
      </c>
      <c r="I51" s="3" t="str">
        <f>_xlfn.IFNA(INDEX(RulebookFields!D2:D999, MATCH(D51,RulebookFields!A2:A999, 0)), "")</f>
        <v>Procedure</v>
      </c>
      <c r="J51" s="3" t="b">
        <f>_xlfn.IFNA(INDEX(RulebookFields!I2:I999, MATCH(D51,RulebookFields!A2:A999, 0)), "")</f>
        <v>0</v>
      </c>
      <c r="K51" s="3" t="b">
        <f>AND(F51, J51)</f>
        <v>0</v>
      </c>
      <c r="L51" s="3" t="b">
        <f>AND(G51 &lt;&gt; "plain", G51 &lt;&gt; "")</f>
        <v>0</v>
      </c>
      <c r="M51" s="3" t="str">
        <f>IF(E51, C51 &amp; "|" &amp; H51, "")</f>
        <v>principal-finance-analyst|ProcedureVersions</v>
      </c>
      <c r="N51" s="2" t="s">
        <v>9938</v>
      </c>
    </row>
    <row r="52">
      <c r="A52" s="2" t="s">
        <v>9988</v>
      </c>
      <c r="B52" s="3" t="str">
        <f>C52 &amp; " -&gt; " &amp; D52</f>
        <v>principal-finance-analyst -&gt; ProcedureVersions.Name</v>
      </c>
      <c r="C52" s="2" t="s">
        <v>9685</v>
      </c>
      <c r="D52" s="2" t="s">
        <v>2663</v>
      </c>
      <c r="E52" s="2" t="b">
        <v>1</v>
      </c>
      <c r="F52" s="2" t="b">
        <v>0</v>
      </c>
      <c r="G52" s="2" t="s">
        <v>9937</v>
      </c>
      <c r="H52" s="3" t="str">
        <f>_xlfn.IFNA(INDEX(RulebookFields!C2:C999, MATCH(D52,RulebookFields!A2:A999, 0)), "")</f>
        <v>ProcedureVersions</v>
      </c>
      <c r="I52" s="3" t="str">
        <f>_xlfn.IFNA(INDEX(RulebookFields!D2:D999, MATCH(D52,RulebookFields!A2:A999, 0)), "")</f>
        <v>Name</v>
      </c>
      <c r="J52" s="3" t="b">
        <f>_xlfn.IFNA(INDEX(RulebookFields!I2:I999, MATCH(D52,RulebookFields!A2:A999, 0)), "")</f>
        <v>1</v>
      </c>
      <c r="K52" s="3" t="b">
        <f>AND(F52, J52)</f>
        <v>0</v>
      </c>
      <c r="L52" s="3" t="b">
        <f>AND(G52 &lt;&gt; "plain", G52 &lt;&gt; "")</f>
        <v>0</v>
      </c>
      <c r="M52" s="3" t="str">
        <f>IF(E52, C52 &amp; "|" &amp; H52, "")</f>
        <v>principal-finance-analyst|ProcedureVersions</v>
      </c>
      <c r="N52" s="2" t="s">
        <v>9938</v>
      </c>
    </row>
    <row r="53">
      <c r="A53" s="2" t="s">
        <v>9989</v>
      </c>
      <c r="B53" s="3" t="str">
        <f>C53 &amp; " -&gt; " &amp; D53</f>
        <v>principal-controller -&gt; Steps.StepId</v>
      </c>
      <c r="C53" s="2" t="s">
        <v>9688</v>
      </c>
      <c r="D53" s="2" t="s">
        <v>2837</v>
      </c>
      <c r="E53" s="2" t="b">
        <v>1</v>
      </c>
      <c r="F53" s="2" t="b">
        <v>0</v>
      </c>
      <c r="G53" s="2" t="s">
        <v>9937</v>
      </c>
      <c r="H53" s="3" t="str">
        <f>_xlfn.IFNA(INDEX(RulebookFields!C2:C999, MATCH(D53,RulebookFields!A2:A999, 0)), "")</f>
        <v>Steps</v>
      </c>
      <c r="I53" s="3" t="str">
        <f>_xlfn.IFNA(INDEX(RulebookFields!D2:D999, MATCH(D53,RulebookFields!A2:A999, 0)), "")</f>
        <v>StepId</v>
      </c>
      <c r="J53" s="3" t="b">
        <f>_xlfn.IFNA(INDEX(RulebookFields!I2:I999, MATCH(D53,RulebookFields!A2:A999, 0)), "")</f>
        <v>0</v>
      </c>
      <c r="K53" s="3" t="b">
        <f>AND(F53, J53)</f>
        <v>0</v>
      </c>
      <c r="L53" s="3" t="b">
        <f>AND(G53 &lt;&gt; "plain", G53 &lt;&gt; "")</f>
        <v>0</v>
      </c>
      <c r="M53" s="3" t="str">
        <f>IF(E53, C53 &amp; "|" &amp; H53, "")</f>
        <v>principal-controller|Steps</v>
      </c>
      <c r="N53" s="2" t="s">
        <v>9938</v>
      </c>
    </row>
    <row r="54">
      <c r="A54" s="2" t="s">
        <v>9990</v>
      </c>
      <c r="B54" s="3" t="str">
        <f>C54 &amp; " -&gt; " &amp; D54</f>
        <v>principal-controller -&gt; Steps.StepNumber</v>
      </c>
      <c r="C54" s="2" t="s">
        <v>9688</v>
      </c>
      <c r="D54" s="2" t="s">
        <v>2841</v>
      </c>
      <c r="E54" s="2" t="b">
        <v>1</v>
      </c>
      <c r="F54" s="2" t="b">
        <v>0</v>
      </c>
      <c r="G54" s="2" t="s">
        <v>9937</v>
      </c>
      <c r="H54" s="3" t="str">
        <f>_xlfn.IFNA(INDEX(RulebookFields!C2:C999, MATCH(D54,RulebookFields!A2:A999, 0)), "")</f>
        <v>Steps</v>
      </c>
      <c r="I54" s="3" t="str">
        <f>_xlfn.IFNA(INDEX(RulebookFields!D2:D999, MATCH(D54,RulebookFields!A2:A999, 0)), "")</f>
        <v>StepNumber</v>
      </c>
      <c r="J54" s="3" t="b">
        <f>_xlfn.IFNA(INDEX(RulebookFields!I2:I999, MATCH(D54,RulebookFields!A2:A999, 0)), "")</f>
        <v>0</v>
      </c>
      <c r="K54" s="3" t="b">
        <f>AND(F54, J54)</f>
        <v>0</v>
      </c>
      <c r="L54" s="3" t="b">
        <f>AND(G54 &lt;&gt; "plain", G54 &lt;&gt; "")</f>
        <v>0</v>
      </c>
      <c r="M54" s="3" t="str">
        <f>IF(E54, C54 &amp; "|" &amp; H54, "")</f>
        <v>principal-controller|Steps</v>
      </c>
      <c r="N54" s="2" t="s">
        <v>9938</v>
      </c>
    </row>
    <row r="55">
      <c r="A55" s="2" t="s">
        <v>9991</v>
      </c>
      <c r="B55" s="3" t="str">
        <f>C55 &amp; " -&gt; " &amp; D55</f>
        <v>principal-controller -&gt; Steps.Title</v>
      </c>
      <c r="C55" s="2" t="s">
        <v>9688</v>
      </c>
      <c r="D55" s="2" t="s">
        <v>2842</v>
      </c>
      <c r="E55" s="2" t="b">
        <v>1</v>
      </c>
      <c r="F55" s="2" t="b">
        <v>0</v>
      </c>
      <c r="G55" s="2" t="s">
        <v>9937</v>
      </c>
      <c r="H55" s="3" t="str">
        <f>_xlfn.IFNA(INDEX(RulebookFields!C2:C999, MATCH(D55,RulebookFields!A2:A999, 0)), "")</f>
        <v>Steps</v>
      </c>
      <c r="I55" s="3" t="str">
        <f>_xlfn.IFNA(INDEX(RulebookFields!D2:D999, MATCH(D55,RulebookFields!A2:A999, 0)), "")</f>
        <v>Title</v>
      </c>
      <c r="J55" s="3" t="b">
        <f>_xlfn.IFNA(INDEX(RulebookFields!I2:I999, MATCH(D55,RulebookFields!A2:A999, 0)), "")</f>
        <v>0</v>
      </c>
      <c r="K55" s="3" t="b">
        <f>AND(F55, J55)</f>
        <v>0</v>
      </c>
      <c r="L55" s="3" t="b">
        <f>AND(G55 &lt;&gt; "plain", G55 &lt;&gt; "")</f>
        <v>0</v>
      </c>
      <c r="M55" s="3" t="str">
        <f>IF(E55, C55 &amp; "|" &amp; H55, "")</f>
        <v>principal-controller|Steps</v>
      </c>
      <c r="N55" s="2" t="s">
        <v>9938</v>
      </c>
    </row>
    <row r="56">
      <c r="A56" s="2" t="s">
        <v>9992</v>
      </c>
      <c r="B56" s="3" t="str">
        <f>C56 &amp; " -&gt; " &amp; D56</f>
        <v>principal-controller -&gt; Steps.StepKind</v>
      </c>
      <c r="C56" s="2" t="s">
        <v>9688</v>
      </c>
      <c r="D56" s="2" t="s">
        <v>2843</v>
      </c>
      <c r="E56" s="2" t="b">
        <v>1</v>
      </c>
      <c r="F56" s="2" t="b">
        <v>0</v>
      </c>
      <c r="G56" s="2" t="s">
        <v>9937</v>
      </c>
      <c r="H56" s="3" t="str">
        <f>_xlfn.IFNA(INDEX(RulebookFields!C2:C999, MATCH(D56,RulebookFields!A2:A999, 0)), "")</f>
        <v>Steps</v>
      </c>
      <c r="I56" s="3" t="str">
        <f>_xlfn.IFNA(INDEX(RulebookFields!D2:D999, MATCH(D56,RulebookFields!A2:A999, 0)), "")</f>
        <v>StepKind</v>
      </c>
      <c r="J56" s="3" t="b">
        <f>_xlfn.IFNA(INDEX(RulebookFields!I2:I999, MATCH(D56,RulebookFields!A2:A999, 0)), "")</f>
        <v>0</v>
      </c>
      <c r="K56" s="3" t="b">
        <f>AND(F56, J56)</f>
        <v>0</v>
      </c>
      <c r="L56" s="3" t="b">
        <f>AND(G56 &lt;&gt; "plain", G56 &lt;&gt; "")</f>
        <v>0</v>
      </c>
      <c r="M56" s="3" t="str">
        <f>IF(E56, C56 &amp; "|" &amp; H56, "")</f>
        <v>principal-controller|Steps</v>
      </c>
      <c r="N56" s="2" t="s">
        <v>9938</v>
      </c>
    </row>
    <row r="57">
      <c r="A57" s="2" t="s">
        <v>9993</v>
      </c>
      <c r="B57" s="3" t="str">
        <f>C57 &amp; " -&gt; " &amp; D57</f>
        <v>principal-controller -&gt; Steps.Instruction</v>
      </c>
      <c r="C57" s="2" t="s">
        <v>9688</v>
      </c>
      <c r="D57" s="2" t="s">
        <v>2849</v>
      </c>
      <c r="E57" s="2" t="b">
        <v>1</v>
      </c>
      <c r="F57" s="2" t="b">
        <v>0</v>
      </c>
      <c r="G57" s="2" t="s">
        <v>9937</v>
      </c>
      <c r="H57" s="3" t="str">
        <f>_xlfn.IFNA(INDEX(RulebookFields!C2:C999, MATCH(D57,RulebookFields!A2:A999, 0)), "")</f>
        <v>Steps</v>
      </c>
      <c r="I57" s="3" t="str">
        <f>_xlfn.IFNA(INDEX(RulebookFields!D2:D999, MATCH(D57,RulebookFields!A2:A999, 0)), "")</f>
        <v>Instruction</v>
      </c>
      <c r="J57" s="3" t="b">
        <f>_xlfn.IFNA(INDEX(RulebookFields!I2:I999, MATCH(D57,RulebookFields!A2:A999, 0)), "")</f>
        <v>0</v>
      </c>
      <c r="K57" s="3" t="b">
        <f>AND(F57, J57)</f>
        <v>0</v>
      </c>
      <c r="L57" s="3" t="b">
        <f>AND(G57 &lt;&gt; "plain", G57 &lt;&gt; "")</f>
        <v>0</v>
      </c>
      <c r="M57" s="3" t="str">
        <f>IF(E57, C57 &amp; "|" &amp; H57, "")</f>
        <v>principal-controller|Steps</v>
      </c>
      <c r="N57" s="2" t="s">
        <v>9938</v>
      </c>
    </row>
    <row r="58">
      <c r="A58" s="2" t="s">
        <v>9994</v>
      </c>
      <c r="B58" s="3" t="str">
        <f>C58 &amp; " -&gt; " &amp; D58</f>
        <v>principal-controller -&gt; Steps.AssignedRole</v>
      </c>
      <c r="C58" s="2" t="s">
        <v>9688</v>
      </c>
      <c r="D58" s="2" t="s">
        <v>2844</v>
      </c>
      <c r="E58" s="2" t="b">
        <v>1</v>
      </c>
      <c r="F58" s="2" t="b">
        <v>0</v>
      </c>
      <c r="G58" s="2" t="s">
        <v>9937</v>
      </c>
      <c r="H58" s="3" t="str">
        <f>_xlfn.IFNA(INDEX(RulebookFields!C2:C999, MATCH(D58,RulebookFields!A2:A999, 0)), "")</f>
        <v>Steps</v>
      </c>
      <c r="I58" s="3" t="str">
        <f>_xlfn.IFNA(INDEX(RulebookFields!D2:D999, MATCH(D58,RulebookFields!A2:A999, 0)), "")</f>
        <v>AssignedRole</v>
      </c>
      <c r="J58" s="3" t="b">
        <f>_xlfn.IFNA(INDEX(RulebookFields!I2:I999, MATCH(D58,RulebookFields!A2:A999, 0)), "")</f>
        <v>0</v>
      </c>
      <c r="K58" s="3" t="b">
        <f>AND(F58, J58)</f>
        <v>0</v>
      </c>
      <c r="L58" s="3" t="b">
        <f>AND(G58 &lt;&gt; "plain", G58 &lt;&gt; "")</f>
        <v>0</v>
      </c>
      <c r="M58" s="3" t="str">
        <f>IF(E58, C58 &amp; "|" &amp; H58, "")</f>
        <v>principal-controller|Steps</v>
      </c>
      <c r="N58" s="2" t="s">
        <v>9938</v>
      </c>
    </row>
    <row r="59">
      <c r="A59" s="2" t="s">
        <v>9995</v>
      </c>
      <c r="B59" s="3" t="str">
        <f>C59 &amp; " -&gt; " &amp; D59</f>
        <v>principal-controller -&gt; Steps.AssignedRoleLabel</v>
      </c>
      <c r="C59" s="2" t="s">
        <v>9688</v>
      </c>
      <c r="D59" s="2" t="s">
        <v>2845</v>
      </c>
      <c r="E59" s="2" t="b">
        <v>1</v>
      </c>
      <c r="F59" s="2" t="b">
        <v>0</v>
      </c>
      <c r="G59" s="2" t="s">
        <v>9937</v>
      </c>
      <c r="H59" s="3" t="str">
        <f>_xlfn.IFNA(INDEX(RulebookFields!C2:C999, MATCH(D59,RulebookFields!A2:A999, 0)), "")</f>
        <v>Steps</v>
      </c>
      <c r="I59" s="3" t="str">
        <f>_xlfn.IFNA(INDEX(RulebookFields!D2:D999, MATCH(D59,RulebookFields!A2:A999, 0)), "")</f>
        <v>AssignedRoleLabel</v>
      </c>
      <c r="J59" s="3" t="b">
        <f>_xlfn.IFNA(INDEX(RulebookFields!I2:I999, MATCH(D59,RulebookFields!A2:A999, 0)), "")</f>
        <v>1</v>
      </c>
      <c r="K59" s="3" t="b">
        <f>AND(F59, J59)</f>
        <v>0</v>
      </c>
      <c r="L59" s="3" t="b">
        <f>AND(G59 &lt;&gt; "plain", G59 &lt;&gt; "")</f>
        <v>0</v>
      </c>
      <c r="M59" s="3" t="str">
        <f>IF(E59, C59 &amp; "|" &amp; H59, "")</f>
        <v>principal-controller|Steps</v>
      </c>
      <c r="N59" s="2" t="s">
        <v>9938</v>
      </c>
    </row>
    <row r="60">
      <c r="A60" s="2" t="s">
        <v>9996</v>
      </c>
      <c r="B60" s="3" t="str">
        <f>C60 &amp; " -&gt; " &amp; D60</f>
        <v>principal-controller -&gt; Steps.ProcedureVersion</v>
      </c>
      <c r="C60" s="2" t="s">
        <v>9688</v>
      </c>
      <c r="D60" s="2" t="s">
        <v>2840</v>
      </c>
      <c r="E60" s="2" t="b">
        <v>1</v>
      </c>
      <c r="F60" s="2" t="b">
        <v>0</v>
      </c>
      <c r="G60" s="2" t="s">
        <v>9937</v>
      </c>
      <c r="H60" s="3" t="str">
        <f>_xlfn.IFNA(INDEX(RulebookFields!C2:C999, MATCH(D60,RulebookFields!A2:A999, 0)), "")</f>
        <v>Steps</v>
      </c>
      <c r="I60" s="3" t="str">
        <f>_xlfn.IFNA(INDEX(RulebookFields!D2:D999, MATCH(D60,RulebookFields!A2:A999, 0)), "")</f>
        <v>ProcedureVersion</v>
      </c>
      <c r="J60" s="3" t="b">
        <f>_xlfn.IFNA(INDEX(RulebookFields!I2:I999, MATCH(D60,RulebookFields!A2:A999, 0)), "")</f>
        <v>0</v>
      </c>
      <c r="K60" s="3" t="b">
        <f>AND(F60, J60)</f>
        <v>0</v>
      </c>
      <c r="L60" s="3" t="b">
        <f>AND(G60 &lt;&gt; "plain", G60 &lt;&gt; "")</f>
        <v>0</v>
      </c>
      <c r="M60" s="3" t="str">
        <f>IF(E60, C60 &amp; "|" &amp; H60, "")</f>
        <v>principal-controller|Steps</v>
      </c>
      <c r="N60" s="2" t="s">
        <v>9938</v>
      </c>
    </row>
    <row r="61">
      <c r="A61" s="2" t="s">
        <v>9997</v>
      </c>
      <c r="B61" s="3" t="str">
        <f>C61 &amp; " -&gt; " &amp; D61</f>
        <v>principal-controller -&gt; Steps.Name</v>
      </c>
      <c r="C61" s="2" t="s">
        <v>9688</v>
      </c>
      <c r="D61" s="2" t="s">
        <v>2838</v>
      </c>
      <c r="E61" s="2" t="b">
        <v>1</v>
      </c>
      <c r="F61" s="2" t="b">
        <v>0</v>
      </c>
      <c r="G61" s="2" t="s">
        <v>9937</v>
      </c>
      <c r="H61" s="3" t="str">
        <f>_xlfn.IFNA(INDEX(RulebookFields!C2:C999, MATCH(D61,RulebookFields!A2:A999, 0)), "")</f>
        <v>Steps</v>
      </c>
      <c r="I61" s="3" t="str">
        <f>_xlfn.IFNA(INDEX(RulebookFields!D2:D999, MATCH(D61,RulebookFields!A2:A999, 0)), "")</f>
        <v>Name</v>
      </c>
      <c r="J61" s="3" t="b">
        <f>_xlfn.IFNA(INDEX(RulebookFields!I2:I999, MATCH(D61,RulebookFields!A2:A999, 0)), "")</f>
        <v>1</v>
      </c>
      <c r="K61" s="3" t="b">
        <f>AND(F61, J61)</f>
        <v>0</v>
      </c>
      <c r="L61" s="3" t="b">
        <f>AND(G61 &lt;&gt; "plain", G61 &lt;&gt; "")</f>
        <v>0</v>
      </c>
      <c r="M61" s="3" t="str">
        <f>IF(E61, C61 &amp; "|" &amp; H61, "")</f>
        <v>principal-controller|Steps</v>
      </c>
      <c r="N61" s="2" t="s">
        <v>9938</v>
      </c>
    </row>
    <row r="62">
      <c r="A62" s="2" t="s">
        <v>9998</v>
      </c>
      <c r="B62" s="3" t="str">
        <f>C62 &amp; " -&gt; " &amp; D62</f>
        <v>principal-controller -&gt; Steps.IsApprovalStep</v>
      </c>
      <c r="C62" s="2" t="s">
        <v>9688</v>
      </c>
      <c r="D62" s="2" t="s">
        <v>2865</v>
      </c>
      <c r="E62" s="2" t="b">
        <v>1</v>
      </c>
      <c r="F62" s="2" t="b">
        <v>0</v>
      </c>
      <c r="G62" s="2" t="s">
        <v>9937</v>
      </c>
      <c r="H62" s="3" t="str">
        <f>_xlfn.IFNA(INDEX(RulebookFields!C2:C999, MATCH(D62,RulebookFields!A2:A999, 0)), "")</f>
        <v>Steps</v>
      </c>
      <c r="I62" s="3" t="str">
        <f>_xlfn.IFNA(INDEX(RulebookFields!D2:D999, MATCH(D62,RulebookFields!A2:A999, 0)), "")</f>
        <v>IsApprovalStep</v>
      </c>
      <c r="J62" s="3" t="b">
        <f>_xlfn.IFNA(INDEX(RulebookFields!I2:I999, MATCH(D62,RulebookFields!A2:A999, 0)), "")</f>
        <v>1</v>
      </c>
      <c r="K62" s="3" t="b">
        <f>AND(F62, J62)</f>
        <v>0</v>
      </c>
      <c r="L62" s="3" t="b">
        <f>AND(G62 &lt;&gt; "plain", G62 &lt;&gt; "")</f>
        <v>0</v>
      </c>
      <c r="M62" s="3" t="str">
        <f>IF(E62, C62 &amp; "|" &amp; H62, "")</f>
        <v>principal-controller|Steps</v>
      </c>
      <c r="N62" s="2" t="s">
        <v>9938</v>
      </c>
    </row>
    <row r="63">
      <c r="A63" s="2" t="s">
        <v>9999</v>
      </c>
      <c r="B63" s="3" t="str">
        <f>C63 &amp; " -&gt; " &amp; D63</f>
        <v>principal-controller -&gt; Steps.RequiresHumanConfirmation</v>
      </c>
      <c r="C63" s="2" t="s">
        <v>9688</v>
      </c>
      <c r="D63" s="2" t="s">
        <v>2852</v>
      </c>
      <c r="E63" s="2" t="b">
        <v>1</v>
      </c>
      <c r="F63" s="2" t="b">
        <v>0</v>
      </c>
      <c r="G63" s="2" t="s">
        <v>9937</v>
      </c>
      <c r="H63" s="3" t="str">
        <f>_xlfn.IFNA(INDEX(RulebookFields!C2:C999, MATCH(D63,RulebookFields!A2:A999, 0)), "")</f>
        <v>Steps</v>
      </c>
      <c r="I63" s="3" t="str">
        <f>_xlfn.IFNA(INDEX(RulebookFields!D2:D999, MATCH(D63,RulebookFields!A2:A999, 0)), "")</f>
        <v>RequiresHumanConfirmation</v>
      </c>
      <c r="J63" s="3" t="b">
        <f>_xlfn.IFNA(INDEX(RulebookFields!I2:I999, MATCH(D63,RulebookFields!A2:A999, 0)), "")</f>
        <v>0</v>
      </c>
      <c r="K63" s="3" t="b">
        <f>AND(F63, J63)</f>
        <v>0</v>
      </c>
      <c r="L63" s="3" t="b">
        <f>AND(G63 &lt;&gt; "plain", G63 &lt;&gt; "")</f>
        <v>0</v>
      </c>
      <c r="M63" s="3" t="str">
        <f>IF(E63, C63 &amp; "|" &amp; H63, "")</f>
        <v>principal-controller|Steps</v>
      </c>
      <c r="N63" s="2" t="s">
        <v>9938</v>
      </c>
    </row>
    <row r="64">
      <c r="A64" s="2" t="s">
        <v>10000</v>
      </c>
      <c r="B64" s="3" t="str">
        <f>C64 &amp; " -&gt; " &amp; D64</f>
        <v>principal-controller -&gt; Steps.ExpectedDurationMinutes</v>
      </c>
      <c r="C64" s="2" t="s">
        <v>9688</v>
      </c>
      <c r="D64" s="2" t="s">
        <v>2850</v>
      </c>
      <c r="E64" s="2" t="b">
        <v>1</v>
      </c>
      <c r="F64" s="2" t="b">
        <v>0</v>
      </c>
      <c r="G64" s="2" t="s">
        <v>9937</v>
      </c>
      <c r="H64" s="3" t="str">
        <f>_xlfn.IFNA(INDEX(RulebookFields!C2:C999, MATCH(D64,RulebookFields!A2:A999, 0)), "")</f>
        <v>Steps</v>
      </c>
      <c r="I64" s="3" t="str">
        <f>_xlfn.IFNA(INDEX(RulebookFields!D2:D999, MATCH(D64,RulebookFields!A2:A999, 0)), "")</f>
        <v>ExpectedDurationMinutes</v>
      </c>
      <c r="J64" s="3" t="b">
        <f>_xlfn.IFNA(INDEX(RulebookFields!I2:I999, MATCH(D64,RulebookFields!A2:A999, 0)), "")</f>
        <v>0</v>
      </c>
      <c r="K64" s="3" t="b">
        <f>AND(F64, J64)</f>
        <v>0</v>
      </c>
      <c r="L64" s="3" t="b">
        <f>AND(G64 &lt;&gt; "plain", G64 &lt;&gt; "")</f>
        <v>0</v>
      </c>
      <c r="M64" s="3" t="str">
        <f>IF(E64, C64 &amp; "|" &amp; H64, "")</f>
        <v>principal-controller|Steps</v>
      </c>
      <c r="N64" s="2" t="s">
        <v>9938</v>
      </c>
    </row>
    <row r="65">
      <c r="A65" s="2" t="s">
        <v>10001</v>
      </c>
      <c r="B65" s="3" t="str">
        <f>C65 &amp; " -&gt; " &amp; D65</f>
        <v>principal-controller -&gt; Steps.ControlKind</v>
      </c>
      <c r="C65" s="2" t="s">
        <v>9688</v>
      </c>
      <c r="D65" s="2" t="s">
        <v>2885</v>
      </c>
      <c r="E65" s="2" t="b">
        <v>1</v>
      </c>
      <c r="F65" s="2" t="b">
        <v>0</v>
      </c>
      <c r="G65" s="2" t="s">
        <v>9937</v>
      </c>
      <c r="H65" s="3" t="str">
        <f>_xlfn.IFNA(INDEX(RulebookFields!C2:C999, MATCH(D65,RulebookFields!A2:A999, 0)), "")</f>
        <v>Steps</v>
      </c>
      <c r="I65" s="3" t="str">
        <f>_xlfn.IFNA(INDEX(RulebookFields!D2:D999, MATCH(D65,RulebookFields!A2:A999, 0)), "")</f>
        <v>ControlKind</v>
      </c>
      <c r="J65" s="3" t="b">
        <f>_xlfn.IFNA(INDEX(RulebookFields!I2:I999, MATCH(D65,RulebookFields!A2:A999, 0)), "")</f>
        <v>0</v>
      </c>
      <c r="K65" s="3" t="b">
        <f>AND(F65, J65)</f>
        <v>0</v>
      </c>
      <c r="L65" s="3" t="b">
        <f>AND(G65 &lt;&gt; "plain", G65 &lt;&gt; "")</f>
        <v>0</v>
      </c>
      <c r="M65" s="3" t="str">
        <f>IF(E65, C65 &amp; "|" &amp; H65, "")</f>
        <v>principal-controller|Steps</v>
      </c>
      <c r="N65" s="2" t="s">
        <v>9938</v>
      </c>
    </row>
    <row r="66">
      <c r="A66" s="2" t="s">
        <v>10002</v>
      </c>
      <c r="B66" s="3" t="str">
        <f>C66 &amp; " -&gt; " &amp; D66</f>
        <v>principal-controller -&gt; StepExecutions.StepExecutionId</v>
      </c>
      <c r="C66" s="2" t="s">
        <v>9688</v>
      </c>
      <c r="D66" s="2" t="s">
        <v>3507</v>
      </c>
      <c r="E66" s="2" t="b">
        <v>1</v>
      </c>
      <c r="F66" s="2" t="b">
        <v>0</v>
      </c>
      <c r="G66" s="2" t="s">
        <v>9937</v>
      </c>
      <c r="H66" s="3" t="str">
        <f>_xlfn.IFNA(INDEX(RulebookFields!C2:C999, MATCH(D66,RulebookFields!A2:A999, 0)), "")</f>
        <v>StepExecutions</v>
      </c>
      <c r="I66" s="3" t="str">
        <f>_xlfn.IFNA(INDEX(RulebookFields!D2:D999, MATCH(D66,RulebookFields!A2:A999, 0)), "")</f>
        <v>StepExecutionId</v>
      </c>
      <c r="J66" s="3" t="b">
        <f>_xlfn.IFNA(INDEX(RulebookFields!I2:I999, MATCH(D66,RulebookFields!A2:A999, 0)), "")</f>
        <v>0</v>
      </c>
      <c r="K66" s="3" t="b">
        <f>AND(F66, J66)</f>
        <v>0</v>
      </c>
      <c r="L66" s="3" t="b">
        <f>AND(G66 &lt;&gt; "plain", G66 &lt;&gt; "")</f>
        <v>0</v>
      </c>
      <c r="M66" s="3" t="str">
        <f>IF(E66, C66 &amp; "|" &amp; H66, "")</f>
        <v>principal-controller|StepExecutions</v>
      </c>
      <c r="N66" s="2" t="s">
        <v>9938</v>
      </c>
    </row>
    <row r="67">
      <c r="A67" s="2" t="s">
        <v>10003</v>
      </c>
      <c r="B67" s="3" t="str">
        <f>C67 &amp; " -&gt; " &amp; D67</f>
        <v>principal-controller -&gt; StepExecutions.Step</v>
      </c>
      <c r="C67" s="2" t="s">
        <v>9688</v>
      </c>
      <c r="D67" s="2" t="s">
        <v>3511</v>
      </c>
      <c r="E67" s="2" t="b">
        <v>1</v>
      </c>
      <c r="F67" s="2" t="b">
        <v>0</v>
      </c>
      <c r="G67" s="2" t="s">
        <v>9937</v>
      </c>
      <c r="H67" s="3" t="str">
        <f>_xlfn.IFNA(INDEX(RulebookFields!C2:C999, MATCH(D67,RulebookFields!A2:A999, 0)), "")</f>
        <v>StepExecutions</v>
      </c>
      <c r="I67" s="3" t="str">
        <f>_xlfn.IFNA(INDEX(RulebookFields!D2:D999, MATCH(D67,RulebookFields!A2:A999, 0)), "")</f>
        <v>Step</v>
      </c>
      <c r="J67" s="3" t="b">
        <f>_xlfn.IFNA(INDEX(RulebookFields!I2:I999, MATCH(D67,RulebookFields!A2:A999, 0)), "")</f>
        <v>0</v>
      </c>
      <c r="K67" s="3" t="b">
        <f>AND(F67, J67)</f>
        <v>0</v>
      </c>
      <c r="L67" s="3" t="b">
        <f>AND(G67 &lt;&gt; "plain", G67 &lt;&gt; "")</f>
        <v>0</v>
      </c>
      <c r="M67" s="3" t="str">
        <f>IF(E67, C67 &amp; "|" &amp; H67, "")</f>
        <v>principal-controller|StepExecutions</v>
      </c>
      <c r="N67" s="2" t="s">
        <v>9938</v>
      </c>
    </row>
    <row r="68">
      <c r="A68" s="2" t="s">
        <v>10004</v>
      </c>
      <c r="B68" s="3" t="str">
        <f>C68 &amp; " -&gt; " &amp; D68</f>
        <v>principal-controller -&gt; StepExecutions.ExecutionStatus</v>
      </c>
      <c r="C68" s="2" t="s">
        <v>9688</v>
      </c>
      <c r="D68" s="2" t="s">
        <v>3513</v>
      </c>
      <c r="E68" s="2" t="b">
        <v>1</v>
      </c>
      <c r="F68" s="2" t="b">
        <v>0</v>
      </c>
      <c r="G68" s="2" t="s">
        <v>9937</v>
      </c>
      <c r="H68" s="3" t="str">
        <f>_xlfn.IFNA(INDEX(RulebookFields!C2:C999, MATCH(D68,RulebookFields!A2:A999, 0)), "")</f>
        <v>StepExecutions</v>
      </c>
      <c r="I68" s="3" t="str">
        <f>_xlfn.IFNA(INDEX(RulebookFields!D2:D999, MATCH(D68,RulebookFields!A2:A999, 0)), "")</f>
        <v>ExecutionStatus</v>
      </c>
      <c r="J68" s="3" t="b">
        <f>_xlfn.IFNA(INDEX(RulebookFields!I2:I999, MATCH(D68,RulebookFields!A2:A999, 0)), "")</f>
        <v>0</v>
      </c>
      <c r="K68" s="3" t="b">
        <f>AND(F68, J68)</f>
        <v>0</v>
      </c>
      <c r="L68" s="3" t="b">
        <f>AND(G68 &lt;&gt; "plain", G68 &lt;&gt; "")</f>
        <v>0</v>
      </c>
      <c r="M68" s="3" t="str">
        <f>IF(E68, C68 &amp; "|" &amp; H68, "")</f>
        <v>principal-controller|StepExecutions</v>
      </c>
      <c r="N68" s="2" t="s">
        <v>9938</v>
      </c>
    </row>
    <row r="69">
      <c r="A69" s="2" t="s">
        <v>10005</v>
      </c>
      <c r="B69" s="3" t="str">
        <f>C69 &amp; " -&gt; " &amp; D69</f>
        <v>principal-controller -&gt; StepExecutions.StartedAt</v>
      </c>
      <c r="C69" s="2" t="s">
        <v>9688</v>
      </c>
      <c r="D69" s="2" t="s">
        <v>3514</v>
      </c>
      <c r="E69" s="2" t="b">
        <v>1</v>
      </c>
      <c r="F69" s="2" t="b">
        <v>0</v>
      </c>
      <c r="G69" s="2" t="s">
        <v>9937</v>
      </c>
      <c r="H69" s="3" t="str">
        <f>_xlfn.IFNA(INDEX(RulebookFields!C2:C999, MATCH(D69,RulebookFields!A2:A999, 0)), "")</f>
        <v>StepExecutions</v>
      </c>
      <c r="I69" s="3" t="str">
        <f>_xlfn.IFNA(INDEX(RulebookFields!D2:D999, MATCH(D69,RulebookFields!A2:A999, 0)), "")</f>
        <v>StartedAt</v>
      </c>
      <c r="J69" s="3" t="b">
        <f>_xlfn.IFNA(INDEX(RulebookFields!I2:I999, MATCH(D69,RulebookFields!A2:A999, 0)), "")</f>
        <v>0</v>
      </c>
      <c r="K69" s="3" t="b">
        <f>AND(F69, J69)</f>
        <v>0</v>
      </c>
      <c r="L69" s="3" t="b">
        <f>AND(G69 &lt;&gt; "plain", G69 &lt;&gt; "")</f>
        <v>0</v>
      </c>
      <c r="M69" s="3" t="str">
        <f>IF(E69, C69 &amp; "|" &amp; H69, "")</f>
        <v>principal-controller|StepExecutions</v>
      </c>
      <c r="N69" s="2" t="s">
        <v>9938</v>
      </c>
    </row>
    <row r="70">
      <c r="A70" s="2" t="s">
        <v>10006</v>
      </c>
      <c r="B70" s="3" t="str">
        <f>C70 &amp; " -&gt; " &amp; D70</f>
        <v>principal-controller -&gt; StepExecutions.EndedAt</v>
      </c>
      <c r="C70" s="2" t="s">
        <v>9688</v>
      </c>
      <c r="D70" s="2" t="s">
        <v>3515</v>
      </c>
      <c r="E70" s="2" t="b">
        <v>1</v>
      </c>
      <c r="F70" s="2" t="b">
        <v>0</v>
      </c>
      <c r="G70" s="2" t="s">
        <v>9937</v>
      </c>
      <c r="H70" s="3" t="str">
        <f>_xlfn.IFNA(INDEX(RulebookFields!C2:C999, MATCH(D70,RulebookFields!A2:A999, 0)), "")</f>
        <v>StepExecutions</v>
      </c>
      <c r="I70" s="3" t="str">
        <f>_xlfn.IFNA(INDEX(RulebookFields!D2:D999, MATCH(D70,RulebookFields!A2:A999, 0)), "")</f>
        <v>EndedAt</v>
      </c>
      <c r="J70" s="3" t="b">
        <f>_xlfn.IFNA(INDEX(RulebookFields!I2:I999, MATCH(D70,RulebookFields!A2:A999, 0)), "")</f>
        <v>0</v>
      </c>
      <c r="K70" s="3" t="b">
        <f>AND(F70, J70)</f>
        <v>0</v>
      </c>
      <c r="L70" s="3" t="b">
        <f>AND(G70 &lt;&gt; "plain", G70 &lt;&gt; "")</f>
        <v>0</v>
      </c>
      <c r="M70" s="3" t="str">
        <f>IF(E70, C70 &amp; "|" &amp; H70, "")</f>
        <v>principal-controller|StepExecutions</v>
      </c>
      <c r="N70" s="2" t="s">
        <v>9938</v>
      </c>
    </row>
    <row r="71">
      <c r="A71" s="2" t="s">
        <v>10007</v>
      </c>
      <c r="B71" s="3" t="str">
        <f>C71 &amp; " -&gt; " &amp; D71</f>
        <v>principal-controller -&gt; StepExecutions.VerificationResult</v>
      </c>
      <c r="C71" s="2" t="s">
        <v>9688</v>
      </c>
      <c r="D71" s="2" t="s">
        <v>3516</v>
      </c>
      <c r="E71" s="2" t="b">
        <v>1</v>
      </c>
      <c r="F71" s="2" t="b">
        <v>0</v>
      </c>
      <c r="G71" s="2" t="s">
        <v>9937</v>
      </c>
      <c r="H71" s="3" t="str">
        <f>_xlfn.IFNA(INDEX(RulebookFields!C2:C999, MATCH(D71,RulebookFields!A2:A999, 0)), "")</f>
        <v>StepExecutions</v>
      </c>
      <c r="I71" s="3" t="str">
        <f>_xlfn.IFNA(INDEX(RulebookFields!D2:D999, MATCH(D71,RulebookFields!A2:A999, 0)), "")</f>
        <v>VerificationResult</v>
      </c>
      <c r="J71" s="3" t="b">
        <f>_xlfn.IFNA(INDEX(RulebookFields!I2:I999, MATCH(D71,RulebookFields!A2:A999, 0)), "")</f>
        <v>0</v>
      </c>
      <c r="K71" s="3" t="b">
        <f>AND(F71, J71)</f>
        <v>0</v>
      </c>
      <c r="L71" s="3" t="b">
        <f>AND(G71 &lt;&gt; "plain", G71 &lt;&gt; "")</f>
        <v>0</v>
      </c>
      <c r="M71" s="3" t="str">
        <f>IF(E71, C71 &amp; "|" &amp; H71, "")</f>
        <v>principal-controller|StepExecutions</v>
      </c>
      <c r="N71" s="2" t="s">
        <v>9938</v>
      </c>
    </row>
    <row r="72">
      <c r="A72" s="2" t="s">
        <v>10008</v>
      </c>
      <c r="B72" s="3" t="str">
        <f>C72 &amp; " -&gt; " &amp; D72</f>
        <v>principal-controller -&gt; StepExecutions.Name</v>
      </c>
      <c r="C72" s="2" t="s">
        <v>9688</v>
      </c>
      <c r="D72" s="2" t="s">
        <v>3508</v>
      </c>
      <c r="E72" s="2" t="b">
        <v>1</v>
      </c>
      <c r="F72" s="2" t="b">
        <v>0</v>
      </c>
      <c r="G72" s="2" t="s">
        <v>9937</v>
      </c>
      <c r="H72" s="3" t="str">
        <f>_xlfn.IFNA(INDEX(RulebookFields!C2:C999, MATCH(D72,RulebookFields!A2:A999, 0)), "")</f>
        <v>StepExecutions</v>
      </c>
      <c r="I72" s="3" t="str">
        <f>_xlfn.IFNA(INDEX(RulebookFields!D2:D999, MATCH(D72,RulebookFields!A2:A999, 0)), "")</f>
        <v>Name</v>
      </c>
      <c r="J72" s="3" t="b">
        <f>_xlfn.IFNA(INDEX(RulebookFields!I2:I999, MATCH(D72,RulebookFields!A2:A999, 0)), "")</f>
        <v>1</v>
      </c>
      <c r="K72" s="3" t="b">
        <f>AND(F72, J72)</f>
        <v>0</v>
      </c>
      <c r="L72" s="3" t="b">
        <f>AND(G72 &lt;&gt; "plain", G72 &lt;&gt; "")</f>
        <v>0</v>
      </c>
      <c r="M72" s="3" t="str">
        <f>IF(E72, C72 &amp; "|" &amp; H72, "")</f>
        <v>principal-controller|StepExecutions</v>
      </c>
      <c r="N72" s="2" t="s">
        <v>9938</v>
      </c>
    </row>
    <row r="73">
      <c r="A73" s="2" t="s">
        <v>10009</v>
      </c>
      <c r="B73" s="3" t="str">
        <f>C73 &amp; " -&gt; " &amp; D73</f>
        <v>principal-controller -&gt; StepExecutions.Deviation</v>
      </c>
      <c r="C73" s="2" t="s">
        <v>9688</v>
      </c>
      <c r="D73" s="2" t="s">
        <v>3517</v>
      </c>
      <c r="E73" s="2" t="b">
        <v>1</v>
      </c>
      <c r="F73" s="2" t="b">
        <v>0</v>
      </c>
      <c r="G73" s="2" t="s">
        <v>9937</v>
      </c>
      <c r="H73" s="3" t="str">
        <f>_xlfn.IFNA(INDEX(RulebookFields!C2:C999, MATCH(D73,RulebookFields!A2:A999, 0)), "")</f>
        <v>StepExecutions</v>
      </c>
      <c r="I73" s="3" t="str">
        <f>_xlfn.IFNA(INDEX(RulebookFields!D2:D999, MATCH(D73,RulebookFields!A2:A999, 0)), "")</f>
        <v>Deviation</v>
      </c>
      <c r="J73" s="3" t="b">
        <f>_xlfn.IFNA(INDEX(RulebookFields!I2:I999, MATCH(D73,RulebookFields!A2:A999, 0)), "")</f>
        <v>0</v>
      </c>
      <c r="K73" s="3" t="b">
        <f>AND(F73, J73)</f>
        <v>0</v>
      </c>
      <c r="L73" s="3" t="b">
        <f>AND(G73 &lt;&gt; "plain", G73 &lt;&gt; "")</f>
        <v>0</v>
      </c>
      <c r="M73" s="3" t="str">
        <f>IF(E73, C73 &amp; "|" &amp; H73, "")</f>
        <v>principal-controller|StepExecutions</v>
      </c>
      <c r="N73" s="2" t="s">
        <v>9938</v>
      </c>
    </row>
    <row r="74">
      <c r="A74" s="2" t="s">
        <v>10010</v>
      </c>
      <c r="B74" s="3" t="str">
        <f>C74 &amp; " -&gt; " &amp; D74</f>
        <v>principal-controller -&gt; ProcedureExecutions.ProcedureExecutionId</v>
      </c>
      <c r="C74" s="2" t="s">
        <v>9688</v>
      </c>
      <c r="D74" s="2" t="s">
        <v>3360</v>
      </c>
      <c r="E74" s="2" t="b">
        <v>1</v>
      </c>
      <c r="F74" s="2" t="b">
        <v>0</v>
      </c>
      <c r="G74" s="2" t="s">
        <v>9937</v>
      </c>
      <c r="H74" s="3" t="str">
        <f>_xlfn.IFNA(INDEX(RulebookFields!C2:C999, MATCH(D74,RulebookFields!A2:A999, 0)), "")</f>
        <v>ProcedureExecutions</v>
      </c>
      <c r="I74" s="3" t="str">
        <f>_xlfn.IFNA(INDEX(RulebookFields!D2:D999, MATCH(D74,RulebookFields!A2:A999, 0)), "")</f>
        <v>ProcedureExecutionId</v>
      </c>
      <c r="J74" s="3" t="b">
        <f>_xlfn.IFNA(INDEX(RulebookFields!I2:I999, MATCH(D74,RulebookFields!A2:A999, 0)), "")</f>
        <v>0</v>
      </c>
      <c r="K74" s="3" t="b">
        <f>AND(F74, J74)</f>
        <v>0</v>
      </c>
      <c r="L74" s="3" t="b">
        <f>AND(G74 &lt;&gt; "plain", G74 &lt;&gt; "")</f>
        <v>0</v>
      </c>
      <c r="M74" s="3" t="str">
        <f>IF(E74, C74 &amp; "|" &amp; H74, "")</f>
        <v>principal-controller|ProcedureExecutions</v>
      </c>
      <c r="N74" s="2" t="s">
        <v>9938</v>
      </c>
    </row>
    <row r="75">
      <c r="A75" s="2" t="s">
        <v>10011</v>
      </c>
      <c r="B75" s="3" t="str">
        <f>C75 &amp; " -&gt; " &amp; D75</f>
        <v>principal-controller -&gt; ProcedureExecutions.ExecutionStatus</v>
      </c>
      <c r="C75" s="2" t="s">
        <v>9688</v>
      </c>
      <c r="D75" s="2" t="s">
        <v>3364</v>
      </c>
      <c r="E75" s="2" t="b">
        <v>1</v>
      </c>
      <c r="F75" s="2" t="b">
        <v>0</v>
      </c>
      <c r="G75" s="2" t="s">
        <v>9937</v>
      </c>
      <c r="H75" s="3" t="str">
        <f>_xlfn.IFNA(INDEX(RulebookFields!C2:C999, MATCH(D75,RulebookFields!A2:A999, 0)), "")</f>
        <v>ProcedureExecutions</v>
      </c>
      <c r="I75" s="3" t="str">
        <f>_xlfn.IFNA(INDEX(RulebookFields!D2:D999, MATCH(D75,RulebookFields!A2:A999, 0)), "")</f>
        <v>ExecutionStatus</v>
      </c>
      <c r="J75" s="3" t="b">
        <f>_xlfn.IFNA(INDEX(RulebookFields!I2:I999, MATCH(D75,RulebookFields!A2:A999, 0)), "")</f>
        <v>0</v>
      </c>
      <c r="K75" s="3" t="b">
        <f>AND(F75, J75)</f>
        <v>0</v>
      </c>
      <c r="L75" s="3" t="b">
        <f>AND(G75 &lt;&gt; "plain", G75 &lt;&gt; "")</f>
        <v>0</v>
      </c>
      <c r="M75" s="3" t="str">
        <f>IF(E75, C75 &amp; "|" &amp; H75, "")</f>
        <v>principal-controller|ProcedureExecutions</v>
      </c>
      <c r="N75" s="2" t="s">
        <v>9938</v>
      </c>
    </row>
    <row r="76">
      <c r="A76" s="2" t="s">
        <v>10012</v>
      </c>
      <c r="B76" s="3" t="str">
        <f>C76 &amp; " -&gt; " &amp; D76</f>
        <v>principal-controller -&gt; ProcedureExecutions.StartedAt</v>
      </c>
      <c r="C76" s="2" t="s">
        <v>9688</v>
      </c>
      <c r="D76" s="2" t="s">
        <v>3365</v>
      </c>
      <c r="E76" s="2" t="b">
        <v>1</v>
      </c>
      <c r="F76" s="2" t="b">
        <v>0</v>
      </c>
      <c r="G76" s="2" t="s">
        <v>9937</v>
      </c>
      <c r="H76" s="3" t="str">
        <f>_xlfn.IFNA(INDEX(RulebookFields!C2:C999, MATCH(D76,RulebookFields!A2:A999, 0)), "")</f>
        <v>ProcedureExecutions</v>
      </c>
      <c r="I76" s="3" t="str">
        <f>_xlfn.IFNA(INDEX(RulebookFields!D2:D999, MATCH(D76,RulebookFields!A2:A999, 0)), "")</f>
        <v>StartedAt</v>
      </c>
      <c r="J76" s="3" t="b">
        <f>_xlfn.IFNA(INDEX(RulebookFields!I2:I999, MATCH(D76,RulebookFields!A2:A999, 0)), "")</f>
        <v>0</v>
      </c>
      <c r="K76" s="3" t="b">
        <f>AND(F76, J76)</f>
        <v>0</v>
      </c>
      <c r="L76" s="3" t="b">
        <f>AND(G76 &lt;&gt; "plain", G76 &lt;&gt; "")</f>
        <v>0</v>
      </c>
      <c r="M76" s="3" t="str">
        <f>IF(E76, C76 &amp; "|" &amp; H76, "")</f>
        <v>principal-controller|ProcedureExecutions</v>
      </c>
      <c r="N76" s="2" t="s">
        <v>9938</v>
      </c>
    </row>
    <row r="77">
      <c r="A77" s="2" t="s">
        <v>10013</v>
      </c>
      <c r="B77" s="3" t="str">
        <f>C77 &amp; " -&gt; " &amp; D77</f>
        <v>principal-controller -&gt; ProcedureExecutions.EndedAt</v>
      </c>
      <c r="C77" s="2" t="s">
        <v>9688</v>
      </c>
      <c r="D77" s="2" t="s">
        <v>3366</v>
      </c>
      <c r="E77" s="2" t="b">
        <v>1</v>
      </c>
      <c r="F77" s="2" t="b">
        <v>0</v>
      </c>
      <c r="G77" s="2" t="s">
        <v>9937</v>
      </c>
      <c r="H77" s="3" t="str">
        <f>_xlfn.IFNA(INDEX(RulebookFields!C2:C999, MATCH(D77,RulebookFields!A2:A999, 0)), "")</f>
        <v>ProcedureExecutions</v>
      </c>
      <c r="I77" s="3" t="str">
        <f>_xlfn.IFNA(INDEX(RulebookFields!D2:D999, MATCH(D77,RulebookFields!A2:A999, 0)), "")</f>
        <v>EndedAt</v>
      </c>
      <c r="J77" s="3" t="b">
        <f>_xlfn.IFNA(INDEX(RulebookFields!I2:I999, MATCH(D77,RulebookFields!A2:A999, 0)), "")</f>
        <v>0</v>
      </c>
      <c r="K77" s="3" t="b">
        <f>AND(F77, J77)</f>
        <v>0</v>
      </c>
      <c r="L77" s="3" t="b">
        <f>AND(G77 &lt;&gt; "plain", G77 &lt;&gt; "")</f>
        <v>0</v>
      </c>
      <c r="M77" s="3" t="str">
        <f>IF(E77, C77 &amp; "|" &amp; H77, "")</f>
        <v>principal-controller|ProcedureExecutions</v>
      </c>
      <c r="N77" s="2" t="s">
        <v>9938</v>
      </c>
    </row>
    <row r="78">
      <c r="A78" s="2" t="s">
        <v>10014</v>
      </c>
      <c r="B78" s="3" t="str">
        <f>C78 &amp; " -&gt; " &amp; D78</f>
        <v>principal-controller -&gt; ProcedureExecutions.ProcedureVersion</v>
      </c>
      <c r="C78" s="2" t="s">
        <v>9688</v>
      </c>
      <c r="D78" s="2" t="s">
        <v>3363</v>
      </c>
      <c r="E78" s="2" t="b">
        <v>1</v>
      </c>
      <c r="F78" s="2" t="b">
        <v>0</v>
      </c>
      <c r="G78" s="2" t="s">
        <v>9937</v>
      </c>
      <c r="H78" s="3" t="str">
        <f>_xlfn.IFNA(INDEX(RulebookFields!C2:C999, MATCH(D78,RulebookFields!A2:A999, 0)), "")</f>
        <v>ProcedureExecutions</v>
      </c>
      <c r="I78" s="3" t="str">
        <f>_xlfn.IFNA(INDEX(RulebookFields!D2:D999, MATCH(D78,RulebookFields!A2:A999, 0)), "")</f>
        <v>ProcedureVersion</v>
      </c>
      <c r="J78" s="3" t="b">
        <f>_xlfn.IFNA(INDEX(RulebookFields!I2:I999, MATCH(D78,RulebookFields!A2:A999, 0)), "")</f>
        <v>0</v>
      </c>
      <c r="K78" s="3" t="b">
        <f>AND(F78, J78)</f>
        <v>0</v>
      </c>
      <c r="L78" s="3" t="b">
        <f>AND(G78 &lt;&gt; "plain", G78 &lt;&gt; "")</f>
        <v>0</v>
      </c>
      <c r="M78" s="3" t="str">
        <f>IF(E78, C78 &amp; "|" &amp; H78, "")</f>
        <v>principal-controller|ProcedureExecutions</v>
      </c>
      <c r="N78" s="2" t="s">
        <v>9938</v>
      </c>
    </row>
    <row r="79">
      <c r="A79" s="2" t="s">
        <v>10015</v>
      </c>
      <c r="B79" s="3" t="str">
        <f>C79 &amp; " -&gt; " &amp; D79</f>
        <v>principal-controller -&gt; ProcedureExecutions.Name</v>
      </c>
      <c r="C79" s="2" t="s">
        <v>9688</v>
      </c>
      <c r="D79" s="2" t="s">
        <v>3361</v>
      </c>
      <c r="E79" s="2" t="b">
        <v>1</v>
      </c>
      <c r="F79" s="2" t="b">
        <v>0</v>
      </c>
      <c r="G79" s="2" t="s">
        <v>9937</v>
      </c>
      <c r="H79" s="3" t="str">
        <f>_xlfn.IFNA(INDEX(RulebookFields!C2:C999, MATCH(D79,RulebookFields!A2:A999, 0)), "")</f>
        <v>ProcedureExecutions</v>
      </c>
      <c r="I79" s="3" t="str">
        <f>_xlfn.IFNA(INDEX(RulebookFields!D2:D999, MATCH(D79,RulebookFields!A2:A999, 0)), "")</f>
        <v>Name</v>
      </c>
      <c r="J79" s="3" t="b">
        <f>_xlfn.IFNA(INDEX(RulebookFields!I2:I999, MATCH(D79,RulebookFields!A2:A999, 0)), "")</f>
        <v>1</v>
      </c>
      <c r="K79" s="3" t="b">
        <f>AND(F79, J79)</f>
        <v>0</v>
      </c>
      <c r="L79" s="3" t="b">
        <f>AND(G79 &lt;&gt; "plain", G79 &lt;&gt; "")</f>
        <v>0</v>
      </c>
      <c r="M79" s="3" t="str">
        <f>IF(E79, C79 &amp; "|" &amp; H79, "")</f>
        <v>principal-controller|ProcedureExecutions</v>
      </c>
      <c r="N79" s="2" t="s">
        <v>9938</v>
      </c>
    </row>
    <row r="80">
      <c r="A80" s="2" t="s">
        <v>10016</v>
      </c>
      <c r="B80" s="3" t="str">
        <f>C80 &amp; " -&gt; " &amp; D80</f>
        <v>principal-controller -&gt; Exceptions.ExceptionId</v>
      </c>
      <c r="C80" s="2" t="s">
        <v>9688</v>
      </c>
      <c r="D80" s="2" t="s">
        <v>3094</v>
      </c>
      <c r="E80" s="2" t="b">
        <v>1</v>
      </c>
      <c r="F80" s="2" t="b">
        <v>0</v>
      </c>
      <c r="G80" s="2" t="s">
        <v>9937</v>
      </c>
      <c r="H80" s="3" t="str">
        <f>_xlfn.IFNA(INDEX(RulebookFields!C2:C999, MATCH(D80,RulebookFields!A2:A999, 0)), "")</f>
        <v>Exceptions</v>
      </c>
      <c r="I80" s="3" t="str">
        <f>_xlfn.IFNA(INDEX(RulebookFields!D2:D999, MATCH(D80,RulebookFields!A2:A999, 0)), "")</f>
        <v>ExceptionId</v>
      </c>
      <c r="J80" s="3" t="b">
        <f>_xlfn.IFNA(INDEX(RulebookFields!I2:I999, MATCH(D80,RulebookFields!A2:A999, 0)), "")</f>
        <v>0</v>
      </c>
      <c r="K80" s="3" t="b">
        <f>AND(F80, J80)</f>
        <v>0</v>
      </c>
      <c r="L80" s="3" t="b">
        <f>AND(G80 &lt;&gt; "plain", G80 &lt;&gt; "")</f>
        <v>0</v>
      </c>
      <c r="M80" s="3" t="str">
        <f>IF(E80, C80 &amp; "|" &amp; H80, "")</f>
        <v>principal-controller|Exceptions</v>
      </c>
      <c r="N80" s="2" t="s">
        <v>9938</v>
      </c>
    </row>
    <row r="81">
      <c r="A81" s="2" t="s">
        <v>10017</v>
      </c>
      <c r="B81" s="3" t="str">
        <f>C81 &amp; " -&gt; " &amp; D81</f>
        <v>principal-controller -&gt; Exceptions.Name</v>
      </c>
      <c r="C81" s="2" t="s">
        <v>9688</v>
      </c>
      <c r="D81" s="2" t="s">
        <v>3096</v>
      </c>
      <c r="E81" s="2" t="b">
        <v>1</v>
      </c>
      <c r="F81" s="2" t="b">
        <v>0</v>
      </c>
      <c r="G81" s="2" t="s">
        <v>9937</v>
      </c>
      <c r="H81" s="3" t="str">
        <f>_xlfn.IFNA(INDEX(RulebookFields!C2:C999, MATCH(D81,RulebookFields!A2:A999, 0)), "")</f>
        <v>Exceptions</v>
      </c>
      <c r="I81" s="3" t="str">
        <f>_xlfn.IFNA(INDEX(RulebookFields!D2:D999, MATCH(D81,RulebookFields!A2:A999, 0)), "")</f>
        <v>Name</v>
      </c>
      <c r="J81" s="3" t="b">
        <f>_xlfn.IFNA(INDEX(RulebookFields!I2:I999, MATCH(D81,RulebookFields!A2:A999, 0)), "")</f>
        <v>1</v>
      </c>
      <c r="K81" s="3" t="b">
        <f>AND(F81, J81)</f>
        <v>0</v>
      </c>
      <c r="L81" s="3" t="b">
        <f>AND(G81 &lt;&gt; "plain", G81 &lt;&gt; "")</f>
        <v>0</v>
      </c>
      <c r="M81" s="3" t="str">
        <f>IF(E81, C81 &amp; "|" &amp; H81, "")</f>
        <v>principal-controller|Exceptions</v>
      </c>
      <c r="N81" s="2" t="s">
        <v>9938</v>
      </c>
    </row>
    <row r="82">
      <c r="A82" s="2" t="s">
        <v>10018</v>
      </c>
      <c r="B82" s="3" t="str">
        <f>C82 &amp; " -&gt; " &amp; D82</f>
        <v>principal-controller -&gt; Exceptions.ProcedureVersion</v>
      </c>
      <c r="C82" s="2" t="s">
        <v>9688</v>
      </c>
      <c r="D82" s="2" t="s">
        <v>3098</v>
      </c>
      <c r="E82" s="2" t="b">
        <v>1</v>
      </c>
      <c r="F82" s="2" t="b">
        <v>0</v>
      </c>
      <c r="G82" s="2" t="s">
        <v>9937</v>
      </c>
      <c r="H82" s="3" t="str">
        <f>_xlfn.IFNA(INDEX(RulebookFields!C2:C999, MATCH(D82,RulebookFields!A2:A999, 0)), "")</f>
        <v>Exceptions</v>
      </c>
      <c r="I82" s="3" t="str">
        <f>_xlfn.IFNA(INDEX(RulebookFields!D2:D999, MATCH(D82,RulebookFields!A2:A999, 0)), "")</f>
        <v>ProcedureVersion</v>
      </c>
      <c r="J82" s="3" t="b">
        <f>_xlfn.IFNA(INDEX(RulebookFields!I2:I999, MATCH(D82,RulebookFields!A2:A999, 0)), "")</f>
        <v>0</v>
      </c>
      <c r="K82" s="3" t="b">
        <f>AND(F82, J82)</f>
        <v>0</v>
      </c>
      <c r="L82" s="3" t="b">
        <f>AND(G82 &lt;&gt; "plain", G82 &lt;&gt; "")</f>
        <v>0</v>
      </c>
      <c r="M82" s="3" t="str">
        <f>IF(E82, C82 &amp; "|" &amp; H82, "")</f>
        <v>principal-controller|Exceptions</v>
      </c>
      <c r="N82" s="2" t="s">
        <v>9938</v>
      </c>
    </row>
    <row r="83">
      <c r="A83" s="2" t="s">
        <v>10019</v>
      </c>
      <c r="B83" s="3" t="str">
        <f>C83 &amp; " -&gt; " &amp; D83</f>
        <v>principal-controller -&gt; Exceptions.TriggerStep</v>
      </c>
      <c r="C83" s="2" t="s">
        <v>9688</v>
      </c>
      <c r="D83" s="2" t="s">
        <v>3099</v>
      </c>
      <c r="E83" s="2" t="b">
        <v>1</v>
      </c>
      <c r="F83" s="2" t="b">
        <v>0</v>
      </c>
      <c r="G83" s="2" t="s">
        <v>9937</v>
      </c>
      <c r="H83" s="3" t="str">
        <f>_xlfn.IFNA(INDEX(RulebookFields!C2:C999, MATCH(D83,RulebookFields!A2:A999, 0)), "")</f>
        <v>Exceptions</v>
      </c>
      <c r="I83" s="3" t="str">
        <f>_xlfn.IFNA(INDEX(RulebookFields!D2:D999, MATCH(D83,RulebookFields!A2:A999, 0)), "")</f>
        <v>TriggerStep</v>
      </c>
      <c r="J83" s="3" t="b">
        <f>_xlfn.IFNA(INDEX(RulebookFields!I2:I999, MATCH(D83,RulebookFields!A2:A999, 0)), "")</f>
        <v>0</v>
      </c>
      <c r="K83" s="3" t="b">
        <f>AND(F83, J83)</f>
        <v>0</v>
      </c>
      <c r="L83" s="3" t="b">
        <f>AND(G83 &lt;&gt; "plain", G83 &lt;&gt; "")</f>
        <v>0</v>
      </c>
      <c r="M83" s="3" t="str">
        <f>IF(E83, C83 &amp; "|" &amp; H83, "")</f>
        <v>principal-controller|Exceptions</v>
      </c>
      <c r="N83" s="2" t="s">
        <v>9938</v>
      </c>
    </row>
    <row r="84">
      <c r="A84" s="2" t="s">
        <v>10020</v>
      </c>
      <c r="B84" s="3" t="str">
        <f>C84 &amp; " -&gt; " &amp; D84</f>
        <v>principal-controller -&gt; Exceptions.Condition</v>
      </c>
      <c r="C84" s="2" t="s">
        <v>9688</v>
      </c>
      <c r="D84" s="2" t="s">
        <v>3100</v>
      </c>
      <c r="E84" s="2" t="b">
        <v>1</v>
      </c>
      <c r="F84" s="2" t="b">
        <v>0</v>
      </c>
      <c r="G84" s="2" t="s">
        <v>9937</v>
      </c>
      <c r="H84" s="3" t="str">
        <f>_xlfn.IFNA(INDEX(RulebookFields!C2:C999, MATCH(D84,RulebookFields!A2:A999, 0)), "")</f>
        <v>Exceptions</v>
      </c>
      <c r="I84" s="3" t="str">
        <f>_xlfn.IFNA(INDEX(RulebookFields!D2:D999, MATCH(D84,RulebookFields!A2:A999, 0)), "")</f>
        <v>Condition</v>
      </c>
      <c r="J84" s="3" t="b">
        <f>_xlfn.IFNA(INDEX(RulebookFields!I2:I999, MATCH(D84,RulebookFields!A2:A999, 0)), "")</f>
        <v>0</v>
      </c>
      <c r="K84" s="3" t="b">
        <f>AND(F84, J84)</f>
        <v>0</v>
      </c>
      <c r="L84" s="3" t="b">
        <f>AND(G84 &lt;&gt; "plain", G84 &lt;&gt; "")</f>
        <v>0</v>
      </c>
      <c r="M84" s="3" t="str">
        <f>IF(E84, C84 &amp; "|" &amp; H84, "")</f>
        <v>principal-controller|Exceptions</v>
      </c>
      <c r="N84" s="2" t="s">
        <v>9938</v>
      </c>
    </row>
    <row r="85">
      <c r="A85" s="2" t="s">
        <v>10021</v>
      </c>
      <c r="B85" s="3" t="str">
        <f>C85 &amp; " -&gt; " &amp; D85</f>
        <v>principal-controller -&gt; Exceptions.Handling</v>
      </c>
      <c r="C85" s="2" t="s">
        <v>9688</v>
      </c>
      <c r="D85" s="2" t="s">
        <v>3101</v>
      </c>
      <c r="E85" s="2" t="b">
        <v>1</v>
      </c>
      <c r="F85" s="2" t="b">
        <v>0</v>
      </c>
      <c r="G85" s="2" t="s">
        <v>9937</v>
      </c>
      <c r="H85" s="3" t="str">
        <f>_xlfn.IFNA(INDEX(RulebookFields!C2:C999, MATCH(D85,RulebookFields!A2:A999, 0)), "")</f>
        <v>Exceptions</v>
      </c>
      <c r="I85" s="3" t="str">
        <f>_xlfn.IFNA(INDEX(RulebookFields!D2:D999, MATCH(D85,RulebookFields!A2:A999, 0)), "")</f>
        <v>Handling</v>
      </c>
      <c r="J85" s="3" t="b">
        <f>_xlfn.IFNA(INDEX(RulebookFields!I2:I999, MATCH(D85,RulebookFields!A2:A999, 0)), "")</f>
        <v>0</v>
      </c>
      <c r="K85" s="3" t="b">
        <f>AND(F85, J85)</f>
        <v>0</v>
      </c>
      <c r="L85" s="3" t="b">
        <f>AND(G85 &lt;&gt; "plain", G85 &lt;&gt; "")</f>
        <v>0</v>
      </c>
      <c r="M85" s="3" t="str">
        <f>IF(E85, C85 &amp; "|" &amp; H85, "")</f>
        <v>principal-controller|Exceptions</v>
      </c>
      <c r="N85" s="2" t="s">
        <v>9938</v>
      </c>
    </row>
    <row r="86">
      <c r="A86" s="2" t="s">
        <v>10022</v>
      </c>
      <c r="B86" s="3" t="str">
        <f>C86 &amp; " -&gt; " &amp; D86</f>
        <v>principal-controller -&gt; Exceptions.ApprovalRole</v>
      </c>
      <c r="C86" s="2" t="s">
        <v>9688</v>
      </c>
      <c r="D86" s="2" t="s">
        <v>3102</v>
      </c>
      <c r="E86" s="2" t="b">
        <v>1</v>
      </c>
      <c r="F86" s="2" t="b">
        <v>0</v>
      </c>
      <c r="G86" s="2" t="s">
        <v>9937</v>
      </c>
      <c r="H86" s="3" t="str">
        <f>_xlfn.IFNA(INDEX(RulebookFields!C2:C999, MATCH(D86,RulebookFields!A2:A999, 0)), "")</f>
        <v>Exceptions</v>
      </c>
      <c r="I86" s="3" t="str">
        <f>_xlfn.IFNA(INDEX(RulebookFields!D2:D999, MATCH(D86,RulebookFields!A2:A999, 0)), "")</f>
        <v>ApprovalRole</v>
      </c>
      <c r="J86" s="3" t="b">
        <f>_xlfn.IFNA(INDEX(RulebookFields!I2:I999, MATCH(D86,RulebookFields!A2:A999, 0)), "")</f>
        <v>0</v>
      </c>
      <c r="K86" s="3" t="b">
        <f>AND(F86, J86)</f>
        <v>0</v>
      </c>
      <c r="L86" s="3" t="b">
        <f>AND(G86 &lt;&gt; "plain", G86 &lt;&gt; "")</f>
        <v>0</v>
      </c>
      <c r="M86" s="3" t="str">
        <f>IF(E86, C86 &amp; "|" &amp; H86, "")</f>
        <v>principal-controller|Exceptions</v>
      </c>
      <c r="N86" s="2" t="s">
        <v>9938</v>
      </c>
    </row>
    <row r="87">
      <c r="A87" s="2" t="s">
        <v>10023</v>
      </c>
      <c r="B87" s="3" t="str">
        <f>C87 &amp; " -&gt; " &amp; D87</f>
        <v>principal-controller -&gt; Exceptions.FallbackRole</v>
      </c>
      <c r="C87" s="2" t="s">
        <v>9688</v>
      </c>
      <c r="D87" s="2" t="s">
        <v>3103</v>
      </c>
      <c r="E87" s="2" t="b">
        <v>1</v>
      </c>
      <c r="F87" s="2" t="b">
        <v>0</v>
      </c>
      <c r="G87" s="2" t="s">
        <v>9937</v>
      </c>
      <c r="H87" s="3" t="str">
        <f>_xlfn.IFNA(INDEX(RulebookFields!C2:C999, MATCH(D87,RulebookFields!A2:A999, 0)), "")</f>
        <v>Exceptions</v>
      </c>
      <c r="I87" s="3" t="str">
        <f>_xlfn.IFNA(INDEX(RulebookFields!D2:D999, MATCH(D87,RulebookFields!A2:A999, 0)), "")</f>
        <v>FallbackRole</v>
      </c>
      <c r="J87" s="3" t="b">
        <f>_xlfn.IFNA(INDEX(RulebookFields!I2:I999, MATCH(D87,RulebookFields!A2:A999, 0)), "")</f>
        <v>0</v>
      </c>
      <c r="K87" s="3" t="b">
        <f>AND(F87, J87)</f>
        <v>0</v>
      </c>
      <c r="L87" s="3" t="b">
        <f>AND(G87 &lt;&gt; "plain", G87 &lt;&gt; "")</f>
        <v>0</v>
      </c>
      <c r="M87" s="3" t="str">
        <f>IF(E87, C87 &amp; "|" &amp; H87, "")</f>
        <v>principal-controller|Exceptions</v>
      </c>
      <c r="N87" s="2" t="s">
        <v>9938</v>
      </c>
    </row>
    <row r="88">
      <c r="A88" s="2" t="s">
        <v>10024</v>
      </c>
      <c r="B88" s="3" t="str">
        <f>C88 &amp; " -&gt; " &amp; D88</f>
        <v>principal-controller -&gt; Exceptions.Status</v>
      </c>
      <c r="C88" s="2" t="s">
        <v>9688</v>
      </c>
      <c r="D88" s="2" t="s">
        <v>3104</v>
      </c>
      <c r="E88" s="2" t="b">
        <v>1</v>
      </c>
      <c r="F88" s="2" t="b">
        <v>0</v>
      </c>
      <c r="G88" s="2" t="s">
        <v>9937</v>
      </c>
      <c r="H88" s="3" t="str">
        <f>_xlfn.IFNA(INDEX(RulebookFields!C2:C999, MATCH(D88,RulebookFields!A2:A999, 0)), "")</f>
        <v>Exceptions</v>
      </c>
      <c r="I88" s="3" t="str">
        <f>_xlfn.IFNA(INDEX(RulebookFields!D2:D999, MATCH(D88,RulebookFields!A2:A999, 0)), "")</f>
        <v>Status</v>
      </c>
      <c r="J88" s="3" t="b">
        <f>_xlfn.IFNA(INDEX(RulebookFields!I2:I999, MATCH(D88,RulebookFields!A2:A999, 0)), "")</f>
        <v>0</v>
      </c>
      <c r="K88" s="3" t="b">
        <f>AND(F88, J88)</f>
        <v>0</v>
      </c>
      <c r="L88" s="3" t="b">
        <f>AND(G88 &lt;&gt; "plain", G88 &lt;&gt; "")</f>
        <v>0</v>
      </c>
      <c r="M88" s="3" t="str">
        <f>IF(E88, C88 &amp; "|" &amp; H88, "")</f>
        <v>principal-controller|Exceptions</v>
      </c>
      <c r="N88" s="2" t="s">
        <v>9938</v>
      </c>
    </row>
    <row r="89">
      <c r="A89" s="2" t="s">
        <v>10025</v>
      </c>
      <c r="B89" s="3" t="str">
        <f>C89 &amp; " -&gt; " &amp; D89</f>
        <v>principal-controller -&gt; Exceptions.ActiveExceptionStepKey</v>
      </c>
      <c r="C89" s="2" t="s">
        <v>9688</v>
      </c>
      <c r="D89" s="2" t="s">
        <v>3105</v>
      </c>
      <c r="E89" s="2" t="b">
        <v>1</v>
      </c>
      <c r="F89" s="2" t="b">
        <v>0</v>
      </c>
      <c r="G89" s="2" t="s">
        <v>9937</v>
      </c>
      <c r="H89" s="3" t="str">
        <f>_xlfn.IFNA(INDEX(RulebookFields!C2:C999, MATCH(D89,RulebookFields!A2:A999, 0)), "")</f>
        <v>Exceptions</v>
      </c>
      <c r="I89" s="3" t="str">
        <f>_xlfn.IFNA(INDEX(RulebookFields!D2:D999, MATCH(D89,RulebookFields!A2:A999, 0)), "")</f>
        <v>ActiveExceptionStepKey</v>
      </c>
      <c r="J89" s="3" t="b">
        <f>_xlfn.IFNA(INDEX(RulebookFields!I2:I999, MATCH(D89,RulebookFields!A2:A999, 0)), "")</f>
        <v>1</v>
      </c>
      <c r="K89" s="3" t="b">
        <f>AND(F89, J89)</f>
        <v>0</v>
      </c>
      <c r="L89" s="3" t="b">
        <f>AND(G89 &lt;&gt; "plain", G89 &lt;&gt; "")</f>
        <v>0</v>
      </c>
      <c r="M89" s="3" t="str">
        <f>IF(E89, C89 &amp; "|" &amp; H89, "")</f>
        <v>principal-controller|Exceptions</v>
      </c>
      <c r="N89" s="2" t="s">
        <v>9938</v>
      </c>
    </row>
    <row r="90">
      <c r="A90" s="2" t="s">
        <v>10026</v>
      </c>
      <c r="B90" s="3" t="str">
        <f>C90 &amp; " -&gt; " &amp; D90</f>
        <v>principal-controller -&gt; Exceptions.SemanticTypeIri</v>
      </c>
      <c r="C90" s="2" t="s">
        <v>9688</v>
      </c>
      <c r="D90" s="2" t="s">
        <v>3107</v>
      </c>
      <c r="E90" s="2" t="b">
        <v>1</v>
      </c>
      <c r="F90" s="2" t="b">
        <v>0</v>
      </c>
      <c r="G90" s="2" t="s">
        <v>9937</v>
      </c>
      <c r="H90" s="3" t="str">
        <f>_xlfn.IFNA(INDEX(RulebookFields!C2:C999, MATCH(D90,RulebookFields!A2:A999, 0)), "")</f>
        <v>Exceptions</v>
      </c>
      <c r="I90" s="3" t="str">
        <f>_xlfn.IFNA(INDEX(RulebookFields!D2:D999, MATCH(D90,RulebookFields!A2:A999, 0)), "")</f>
        <v>SemanticTypeIri</v>
      </c>
      <c r="J90" s="3" t="b">
        <f>_xlfn.IFNA(INDEX(RulebookFields!I2:I999, MATCH(D90,RulebookFields!A2:A999, 0)), "")</f>
        <v>0</v>
      </c>
      <c r="K90" s="3" t="b">
        <f>AND(F90, J90)</f>
        <v>0</v>
      </c>
      <c r="L90" s="3" t="b">
        <f>AND(G90 &lt;&gt; "plain", G90 &lt;&gt; "")</f>
        <v>0</v>
      </c>
      <c r="M90" s="3" t="str">
        <f>IF(E90, C90 &amp; "|" &amp; H90, "")</f>
        <v>principal-controller|Exceptions</v>
      </c>
      <c r="N90" s="2" t="s">
        <v>9938</v>
      </c>
    </row>
    <row r="91">
      <c r="A91" s="2" t="s">
        <v>10027</v>
      </c>
      <c r="B91" s="3" t="str">
        <f>C91 &amp; " -&gt; " &amp; D91</f>
        <v>principal-controller -&gt; ChangeRequests.ChangeRequestId</v>
      </c>
      <c r="C91" s="2" t="s">
        <v>9688</v>
      </c>
      <c r="D91" s="2" t="s">
        <v>3847</v>
      </c>
      <c r="E91" s="2" t="b">
        <v>1</v>
      </c>
      <c r="F91" s="2" t="b">
        <v>0</v>
      </c>
      <c r="G91" s="2" t="s">
        <v>9937</v>
      </c>
      <c r="H91" s="3" t="str">
        <f>_xlfn.IFNA(INDEX(RulebookFields!C2:C999, MATCH(D91,RulebookFields!A2:A999, 0)), "")</f>
        <v>ChangeRequests</v>
      </c>
      <c r="I91" s="3" t="str">
        <f>_xlfn.IFNA(INDEX(RulebookFields!D2:D999, MATCH(D91,RulebookFields!A2:A999, 0)), "")</f>
        <v>ChangeRequestId</v>
      </c>
      <c r="J91" s="3" t="b">
        <f>_xlfn.IFNA(INDEX(RulebookFields!I2:I999, MATCH(D91,RulebookFields!A2:A999, 0)), "")</f>
        <v>0</v>
      </c>
      <c r="K91" s="3" t="b">
        <f>AND(F91, J91)</f>
        <v>0</v>
      </c>
      <c r="L91" s="3" t="b">
        <f>AND(G91 &lt;&gt; "plain", G91 &lt;&gt; "")</f>
        <v>0</v>
      </c>
      <c r="M91" s="3" t="str">
        <f>IF(E91, C91 &amp; "|" &amp; H91, "")</f>
        <v>principal-controller|ChangeRequests</v>
      </c>
      <c r="N91" s="2" t="s">
        <v>9938</v>
      </c>
    </row>
    <row r="92">
      <c r="A92" s="2" t="s">
        <v>10028</v>
      </c>
      <c r="B92" s="3" t="str">
        <f>C92 &amp; " -&gt; " &amp; D92</f>
        <v>principal-controller -&gt; ChangeRequests.Title</v>
      </c>
      <c r="C92" s="2" t="s">
        <v>9688</v>
      </c>
      <c r="D92" s="2" t="s">
        <v>3851</v>
      </c>
      <c r="E92" s="2" t="b">
        <v>1</v>
      </c>
      <c r="F92" s="2" t="b">
        <v>0</v>
      </c>
      <c r="G92" s="2" t="s">
        <v>9937</v>
      </c>
      <c r="H92" s="3" t="str">
        <f>_xlfn.IFNA(INDEX(RulebookFields!C2:C999, MATCH(D92,RulebookFields!A2:A999, 0)), "")</f>
        <v>ChangeRequests</v>
      </c>
      <c r="I92" s="3" t="str">
        <f>_xlfn.IFNA(INDEX(RulebookFields!D2:D999, MATCH(D92,RulebookFields!A2:A999, 0)), "")</f>
        <v>Title</v>
      </c>
      <c r="J92" s="3" t="b">
        <f>_xlfn.IFNA(INDEX(RulebookFields!I2:I999, MATCH(D92,RulebookFields!A2:A999, 0)), "")</f>
        <v>0</v>
      </c>
      <c r="K92" s="3" t="b">
        <f>AND(F92, J92)</f>
        <v>0</v>
      </c>
      <c r="L92" s="3" t="b">
        <f>AND(G92 &lt;&gt; "plain", G92 &lt;&gt; "")</f>
        <v>0</v>
      </c>
      <c r="M92" s="3" t="str">
        <f>IF(E92, C92 &amp; "|" &amp; H92, "")</f>
        <v>principal-controller|ChangeRequests</v>
      </c>
      <c r="N92" s="2" t="s">
        <v>9938</v>
      </c>
    </row>
    <row r="93">
      <c r="A93" s="2" t="s">
        <v>10029</v>
      </c>
      <c r="B93" s="3" t="str">
        <f>C93 &amp; " -&gt; " &amp; D93</f>
        <v>principal-controller -&gt; ChangeRequests.ChangeKind</v>
      </c>
      <c r="C93" s="2" t="s">
        <v>9688</v>
      </c>
      <c r="D93" s="2" t="s">
        <v>3852</v>
      </c>
      <c r="E93" s="2" t="b">
        <v>1</v>
      </c>
      <c r="F93" s="2" t="b">
        <v>0</v>
      </c>
      <c r="G93" s="2" t="s">
        <v>9937</v>
      </c>
      <c r="H93" s="3" t="str">
        <f>_xlfn.IFNA(INDEX(RulebookFields!C2:C999, MATCH(D93,RulebookFields!A2:A999, 0)), "")</f>
        <v>ChangeRequests</v>
      </c>
      <c r="I93" s="3" t="str">
        <f>_xlfn.IFNA(INDEX(RulebookFields!D2:D999, MATCH(D93,RulebookFields!A2:A999, 0)), "")</f>
        <v>ChangeKind</v>
      </c>
      <c r="J93" s="3" t="b">
        <f>_xlfn.IFNA(INDEX(RulebookFields!I2:I999, MATCH(D93,RulebookFields!A2:A999, 0)), "")</f>
        <v>0</v>
      </c>
      <c r="K93" s="3" t="b">
        <f>AND(F93, J93)</f>
        <v>0</v>
      </c>
      <c r="L93" s="3" t="b">
        <f>AND(G93 &lt;&gt; "plain", G93 &lt;&gt; "")</f>
        <v>0</v>
      </c>
      <c r="M93" s="3" t="str">
        <f>IF(E93, C93 &amp; "|" &amp; H93, "")</f>
        <v>principal-controller|ChangeRequests</v>
      </c>
      <c r="N93" s="2" t="s">
        <v>9938</v>
      </c>
    </row>
    <row r="94">
      <c r="A94" s="2" t="s">
        <v>10030</v>
      </c>
      <c r="B94" s="3" t="str">
        <f>C94 &amp; " -&gt; " &amp; D94</f>
        <v>principal-controller -&gt; ChangeRequests.Status</v>
      </c>
      <c r="C94" s="2" t="s">
        <v>9688</v>
      </c>
      <c r="D94" s="2" t="s">
        <v>3853</v>
      </c>
      <c r="E94" s="2" t="b">
        <v>1</v>
      </c>
      <c r="F94" s="2" t="b">
        <v>0</v>
      </c>
      <c r="G94" s="2" t="s">
        <v>9937</v>
      </c>
      <c r="H94" s="3" t="str">
        <f>_xlfn.IFNA(INDEX(RulebookFields!C2:C999, MATCH(D94,RulebookFields!A2:A999, 0)), "")</f>
        <v>ChangeRequests</v>
      </c>
      <c r="I94" s="3" t="str">
        <f>_xlfn.IFNA(INDEX(RulebookFields!D2:D999, MATCH(D94,RulebookFields!A2:A999, 0)), "")</f>
        <v>Status</v>
      </c>
      <c r="J94" s="3" t="b">
        <f>_xlfn.IFNA(INDEX(RulebookFields!I2:I999, MATCH(D94,RulebookFields!A2:A999, 0)), "")</f>
        <v>0</v>
      </c>
      <c r="K94" s="3" t="b">
        <f>AND(F94, J94)</f>
        <v>0</v>
      </c>
      <c r="L94" s="3" t="b">
        <f>AND(G94 &lt;&gt; "plain", G94 &lt;&gt; "")</f>
        <v>0</v>
      </c>
      <c r="M94" s="3" t="str">
        <f>IF(E94, C94 &amp; "|" &amp; H94, "")</f>
        <v>principal-controller|ChangeRequests</v>
      </c>
      <c r="N94" s="2" t="s">
        <v>9938</v>
      </c>
    </row>
    <row r="95">
      <c r="A95" s="2" t="s">
        <v>10031</v>
      </c>
      <c r="B95" s="3" t="str">
        <f>C95 &amp; " -&gt; " &amp; D95</f>
        <v>principal-controller -&gt; ChangeRequests.RequestedAt</v>
      </c>
      <c r="C95" s="2" t="s">
        <v>9688</v>
      </c>
      <c r="D95" s="2" t="s">
        <v>3856</v>
      </c>
      <c r="E95" s="2" t="b">
        <v>1</v>
      </c>
      <c r="F95" s="2" t="b">
        <v>0</v>
      </c>
      <c r="G95" s="2" t="s">
        <v>9937</v>
      </c>
      <c r="H95" s="3" t="str">
        <f>_xlfn.IFNA(INDEX(RulebookFields!C2:C999, MATCH(D95,RulebookFields!A2:A999, 0)), "")</f>
        <v>ChangeRequests</v>
      </c>
      <c r="I95" s="3" t="str">
        <f>_xlfn.IFNA(INDEX(RulebookFields!D2:D999, MATCH(D95,RulebookFields!A2:A999, 0)), "")</f>
        <v>RequestedAt</v>
      </c>
      <c r="J95" s="3" t="b">
        <f>_xlfn.IFNA(INDEX(RulebookFields!I2:I999, MATCH(D95,RulebookFields!A2:A999, 0)), "")</f>
        <v>0</v>
      </c>
      <c r="K95" s="3" t="b">
        <f>AND(F95, J95)</f>
        <v>0</v>
      </c>
      <c r="L95" s="3" t="b">
        <f>AND(G95 &lt;&gt; "plain", G95 &lt;&gt; "")</f>
        <v>0</v>
      </c>
      <c r="M95" s="3" t="str">
        <f>IF(E95, C95 &amp; "|" &amp; H95, "")</f>
        <v>principal-controller|ChangeRequests</v>
      </c>
      <c r="N95" s="2" t="s">
        <v>9938</v>
      </c>
    </row>
    <row r="96">
      <c r="A96" s="2" t="s">
        <v>10032</v>
      </c>
      <c r="B96" s="3" t="str">
        <f>C96 &amp; " -&gt; " &amp; D96</f>
        <v>principal-controller -&gt; ChangeRequests.DecidedAt</v>
      </c>
      <c r="C96" s="2" t="s">
        <v>9688</v>
      </c>
      <c r="D96" s="2" t="s">
        <v>3857</v>
      </c>
      <c r="E96" s="2" t="b">
        <v>1</v>
      </c>
      <c r="F96" s="2" t="b">
        <v>0</v>
      </c>
      <c r="G96" s="2" t="s">
        <v>9937</v>
      </c>
      <c r="H96" s="3" t="str">
        <f>_xlfn.IFNA(INDEX(RulebookFields!C2:C999, MATCH(D96,RulebookFields!A2:A999, 0)), "")</f>
        <v>ChangeRequests</v>
      </c>
      <c r="I96" s="3" t="str">
        <f>_xlfn.IFNA(INDEX(RulebookFields!D2:D999, MATCH(D96,RulebookFields!A2:A999, 0)), "")</f>
        <v>DecidedAt</v>
      </c>
      <c r="J96" s="3" t="b">
        <f>_xlfn.IFNA(INDEX(RulebookFields!I2:I999, MATCH(D96,RulebookFields!A2:A999, 0)), "")</f>
        <v>0</v>
      </c>
      <c r="K96" s="3" t="b">
        <f>AND(F96, J96)</f>
        <v>0</v>
      </c>
      <c r="L96" s="3" t="b">
        <f>AND(G96 &lt;&gt; "plain", G96 &lt;&gt; "")</f>
        <v>0</v>
      </c>
      <c r="M96" s="3" t="str">
        <f>IF(E96, C96 &amp; "|" &amp; H96, "")</f>
        <v>principal-controller|ChangeRequests</v>
      </c>
      <c r="N96" s="2" t="s">
        <v>9938</v>
      </c>
    </row>
    <row r="97">
      <c r="A97" s="2" t="s">
        <v>10033</v>
      </c>
      <c r="B97" s="3" t="str">
        <f>C97 &amp; " -&gt; " &amp; D97</f>
        <v>principal-controller -&gt; ChangeRequests.ImpactAssessment</v>
      </c>
      <c r="C97" s="2" t="s">
        <v>9688</v>
      </c>
      <c r="D97" s="2" t="s">
        <v>3858</v>
      </c>
      <c r="E97" s="2" t="b">
        <v>1</v>
      </c>
      <c r="F97" s="2" t="b">
        <v>0</v>
      </c>
      <c r="G97" s="2" t="s">
        <v>9937</v>
      </c>
      <c r="H97" s="3" t="str">
        <f>_xlfn.IFNA(INDEX(RulebookFields!C2:C999, MATCH(D97,RulebookFields!A2:A999, 0)), "")</f>
        <v>ChangeRequests</v>
      </c>
      <c r="I97" s="3" t="str">
        <f>_xlfn.IFNA(INDEX(RulebookFields!D2:D999, MATCH(D97,RulebookFields!A2:A999, 0)), "")</f>
        <v>ImpactAssessment</v>
      </c>
      <c r="J97" s="3" t="b">
        <f>_xlfn.IFNA(INDEX(RulebookFields!I2:I999, MATCH(D97,RulebookFields!A2:A999, 0)), "")</f>
        <v>0</v>
      </c>
      <c r="K97" s="3" t="b">
        <f>AND(F97, J97)</f>
        <v>0</v>
      </c>
      <c r="L97" s="3" t="b">
        <f>AND(G97 &lt;&gt; "plain", G97 &lt;&gt; "")</f>
        <v>0</v>
      </c>
      <c r="M97" s="3" t="str">
        <f>IF(E97, C97 &amp; "|" &amp; H97, "")</f>
        <v>principal-controller|ChangeRequests</v>
      </c>
      <c r="N97" s="2" t="s">
        <v>9938</v>
      </c>
    </row>
    <row r="98">
      <c r="A98" s="2" t="s">
        <v>10034</v>
      </c>
      <c r="B98" s="3" t="str">
        <f>C98 &amp; " -&gt; " &amp; D98</f>
        <v>principal-controller -&gt; ChangeRequests.AuthorityRole</v>
      </c>
      <c r="C98" s="2" t="s">
        <v>9688</v>
      </c>
      <c r="D98" s="2" t="s">
        <v>3855</v>
      </c>
      <c r="E98" s="2" t="b">
        <v>1</v>
      </c>
      <c r="F98" s="2" t="b">
        <v>0</v>
      </c>
      <c r="G98" s="2" t="s">
        <v>9937</v>
      </c>
      <c r="H98" s="3" t="str">
        <f>_xlfn.IFNA(INDEX(RulebookFields!C2:C999, MATCH(D98,RulebookFields!A2:A999, 0)), "")</f>
        <v>ChangeRequests</v>
      </c>
      <c r="I98" s="3" t="str">
        <f>_xlfn.IFNA(INDEX(RulebookFields!D2:D999, MATCH(D98,RulebookFields!A2:A999, 0)), "")</f>
        <v>AuthorityRole</v>
      </c>
      <c r="J98" s="3" t="b">
        <f>_xlfn.IFNA(INDEX(RulebookFields!I2:I999, MATCH(D98,RulebookFields!A2:A999, 0)), "")</f>
        <v>0</v>
      </c>
      <c r="K98" s="3" t="b">
        <f>AND(F98, J98)</f>
        <v>0</v>
      </c>
      <c r="L98" s="3" t="b">
        <f>AND(G98 &lt;&gt; "plain", G98 &lt;&gt; "")</f>
        <v>0</v>
      </c>
      <c r="M98" s="3" t="str">
        <f>IF(E98, C98 &amp; "|" &amp; H98, "")</f>
        <v>principal-controller|ChangeRequests</v>
      </c>
      <c r="N98" s="2" t="s">
        <v>9938</v>
      </c>
    </row>
    <row r="99">
      <c r="A99" s="2" t="s">
        <v>10035</v>
      </c>
      <c r="B99" s="3" t="str">
        <f>C99 &amp; " -&gt; " &amp; D99</f>
        <v>principal-controller -&gt; ChangeRequests.IsOpen</v>
      </c>
      <c r="C99" s="2" t="s">
        <v>9688</v>
      </c>
      <c r="D99" s="2" t="s">
        <v>3859</v>
      </c>
      <c r="E99" s="2" t="b">
        <v>1</v>
      </c>
      <c r="F99" s="2" t="b">
        <v>0</v>
      </c>
      <c r="G99" s="2" t="s">
        <v>9937</v>
      </c>
      <c r="H99" s="3" t="str">
        <f>_xlfn.IFNA(INDEX(RulebookFields!C2:C999, MATCH(D99,RulebookFields!A2:A999, 0)), "")</f>
        <v>ChangeRequests</v>
      </c>
      <c r="I99" s="3" t="str">
        <f>_xlfn.IFNA(INDEX(RulebookFields!D2:D999, MATCH(D99,RulebookFields!A2:A999, 0)), "")</f>
        <v>IsOpen</v>
      </c>
      <c r="J99" s="3" t="b">
        <f>_xlfn.IFNA(INDEX(RulebookFields!I2:I999, MATCH(D99,RulebookFields!A2:A999, 0)), "")</f>
        <v>1</v>
      </c>
      <c r="K99" s="3" t="b">
        <f>AND(F99, J99)</f>
        <v>0</v>
      </c>
      <c r="L99" s="3" t="b">
        <f>AND(G99 &lt;&gt; "plain", G99 &lt;&gt; "")</f>
        <v>0</v>
      </c>
      <c r="M99" s="3" t="str">
        <f>IF(E99, C99 &amp; "|" &amp; H99, "")</f>
        <v>principal-controller|ChangeRequests</v>
      </c>
      <c r="N99" s="2" t="s">
        <v>9938</v>
      </c>
    </row>
    <row r="100">
      <c r="A100" s="2" t="s">
        <v>10036</v>
      </c>
      <c r="B100" s="3" t="str">
        <f>C100 &amp; " -&gt; " &amp; D100</f>
        <v>principal-controller -&gt; ChangeRequests.Name</v>
      </c>
      <c r="C100" s="2" t="s">
        <v>9688</v>
      </c>
      <c r="D100" s="2" t="s">
        <v>3849</v>
      </c>
      <c r="E100" s="2" t="b">
        <v>1</v>
      </c>
      <c r="F100" s="2" t="b">
        <v>0</v>
      </c>
      <c r="G100" s="2" t="s">
        <v>9937</v>
      </c>
      <c r="H100" s="3" t="str">
        <f>_xlfn.IFNA(INDEX(RulebookFields!C2:C999, MATCH(D100,RulebookFields!A2:A999, 0)), "")</f>
        <v>ChangeRequests</v>
      </c>
      <c r="I100" s="3" t="str">
        <f>_xlfn.IFNA(INDEX(RulebookFields!D2:D999, MATCH(D100,RulebookFields!A2:A999, 0)), "")</f>
        <v>Name</v>
      </c>
      <c r="J100" s="3" t="b">
        <f>_xlfn.IFNA(INDEX(RulebookFields!I2:I999, MATCH(D100,RulebookFields!A2:A999, 0)), "")</f>
        <v>1</v>
      </c>
      <c r="K100" s="3" t="b">
        <f>AND(F100, J100)</f>
        <v>0</v>
      </c>
      <c r="L100" s="3" t="b">
        <f>AND(G100 &lt;&gt; "plain", G100 &lt;&gt; "")</f>
        <v>0</v>
      </c>
      <c r="M100" s="3" t="str">
        <f>IF(E100, C100 &amp; "|" &amp; H100, "")</f>
        <v>principal-controller|ChangeRequests</v>
      </c>
      <c r="N100" s="2" t="s">
        <v>9938</v>
      </c>
    </row>
    <row r="101">
      <c r="A101" s="2" t="s">
        <v>10037</v>
      </c>
      <c r="B101" s="3" t="str">
        <f>C101 &amp; " -&gt; " &amp; D101</f>
        <v>principal-controller -&gt; KnowledgeFragments.KnowledgeFragmentId</v>
      </c>
      <c r="C101" s="2" t="s">
        <v>9688</v>
      </c>
      <c r="D101" s="2" t="s">
        <v>3159</v>
      </c>
      <c r="E101" s="2" t="b">
        <v>1</v>
      </c>
      <c r="F101" s="2" t="b">
        <v>0</v>
      </c>
      <c r="G101" s="2" t="s">
        <v>9937</v>
      </c>
      <c r="H101" s="3" t="str">
        <f>_xlfn.IFNA(INDEX(RulebookFields!C2:C999, MATCH(D101,RulebookFields!A2:A999, 0)), "")</f>
        <v>KnowledgeFragments</v>
      </c>
      <c r="I101" s="3" t="str">
        <f>_xlfn.IFNA(INDEX(RulebookFields!D2:D999, MATCH(D101,RulebookFields!A2:A999, 0)), "")</f>
        <v>KnowledgeFragmentId</v>
      </c>
      <c r="J101" s="3" t="b">
        <f>_xlfn.IFNA(INDEX(RulebookFields!I2:I999, MATCH(D101,RulebookFields!A2:A999, 0)), "")</f>
        <v>0</v>
      </c>
      <c r="K101" s="3" t="b">
        <f>AND(F101, J101)</f>
        <v>0</v>
      </c>
      <c r="L101" s="3" t="b">
        <f>AND(G101 &lt;&gt; "plain", G101 &lt;&gt; "")</f>
        <v>0</v>
      </c>
      <c r="M101" s="3" t="str">
        <f>IF(E101, C101 &amp; "|" &amp; H101, "")</f>
        <v>principal-controller|KnowledgeFragments</v>
      </c>
      <c r="N101" s="2" t="s">
        <v>9938</v>
      </c>
    </row>
    <row r="102">
      <c r="A102" s="2" t="s">
        <v>10038</v>
      </c>
      <c r="B102" s="3" t="str">
        <f>C102 &amp; " -&gt; " &amp; D102</f>
        <v>principal-controller -&gt; KnowledgeFragments.Statement</v>
      </c>
      <c r="C102" s="2" t="s">
        <v>9688</v>
      </c>
      <c r="D102" s="2" t="s">
        <v>3165</v>
      </c>
      <c r="E102" s="2" t="b">
        <v>1</v>
      </c>
      <c r="F102" s="2" t="b">
        <v>0</v>
      </c>
      <c r="G102" s="2" t="s">
        <v>9937</v>
      </c>
      <c r="H102" s="3" t="str">
        <f>_xlfn.IFNA(INDEX(RulebookFields!C2:C999, MATCH(D102,RulebookFields!A2:A999, 0)), "")</f>
        <v>KnowledgeFragments</v>
      </c>
      <c r="I102" s="3" t="str">
        <f>_xlfn.IFNA(INDEX(RulebookFields!D2:D999, MATCH(D102,RulebookFields!A2:A999, 0)), "")</f>
        <v>Statement</v>
      </c>
      <c r="J102" s="3" t="b">
        <f>_xlfn.IFNA(INDEX(RulebookFields!I2:I999, MATCH(D102,RulebookFields!A2:A999, 0)), "")</f>
        <v>0</v>
      </c>
      <c r="K102" s="3" t="b">
        <f>AND(F102, J102)</f>
        <v>0</v>
      </c>
      <c r="L102" s="3" t="b">
        <f>AND(G102 &lt;&gt; "plain", G102 &lt;&gt; "")</f>
        <v>0</v>
      </c>
      <c r="M102" s="3" t="str">
        <f>IF(E102, C102 &amp; "|" &amp; H102, "")</f>
        <v>principal-controller|KnowledgeFragments</v>
      </c>
      <c r="N102" s="2" t="s">
        <v>9938</v>
      </c>
    </row>
    <row r="103">
      <c r="A103" s="2" t="s">
        <v>10039</v>
      </c>
      <c r="B103" s="3" t="str">
        <f>C103 &amp; " -&gt; " &amp; D103</f>
        <v>principal-controller -&gt; KnowledgeFragments.KnowledgeForm</v>
      </c>
      <c r="C103" s="2" t="s">
        <v>9688</v>
      </c>
      <c r="D103" s="2" t="s">
        <v>3164</v>
      </c>
      <c r="E103" s="2" t="b">
        <v>1</v>
      </c>
      <c r="F103" s="2" t="b">
        <v>0</v>
      </c>
      <c r="G103" s="2" t="s">
        <v>9937</v>
      </c>
      <c r="H103" s="3" t="str">
        <f>_xlfn.IFNA(INDEX(RulebookFields!C2:C999, MATCH(D103,RulebookFields!A2:A999, 0)), "")</f>
        <v>KnowledgeFragments</v>
      </c>
      <c r="I103" s="3" t="str">
        <f>_xlfn.IFNA(INDEX(RulebookFields!D2:D999, MATCH(D103,RulebookFields!A2:A999, 0)), "")</f>
        <v>KnowledgeForm</v>
      </c>
      <c r="J103" s="3" t="b">
        <f>_xlfn.IFNA(INDEX(RulebookFields!I2:I999, MATCH(D103,RulebookFields!A2:A999, 0)), "")</f>
        <v>0</v>
      </c>
      <c r="K103" s="3" t="b">
        <f>AND(F103, J103)</f>
        <v>0</v>
      </c>
      <c r="L103" s="3" t="b">
        <f>AND(G103 &lt;&gt; "plain", G103 &lt;&gt; "")</f>
        <v>0</v>
      </c>
      <c r="M103" s="3" t="str">
        <f>IF(E103, C103 &amp; "|" &amp; H103, "")</f>
        <v>principal-controller|KnowledgeFragments</v>
      </c>
      <c r="N103" s="2" t="s">
        <v>9938</v>
      </c>
    </row>
    <row r="104">
      <c r="A104" s="2" t="s">
        <v>10040</v>
      </c>
      <c r="B104" s="3" t="str">
        <f>C104 &amp; " -&gt; " &amp; D104</f>
        <v>principal-controller -&gt; KnowledgeFragments.Status</v>
      </c>
      <c r="C104" s="2" t="s">
        <v>9688</v>
      </c>
      <c r="D104" s="2" t="s">
        <v>3171</v>
      </c>
      <c r="E104" s="2" t="b">
        <v>1</v>
      </c>
      <c r="F104" s="2" t="b">
        <v>0</v>
      </c>
      <c r="G104" s="2" t="s">
        <v>9937</v>
      </c>
      <c r="H104" s="3" t="str">
        <f>_xlfn.IFNA(INDEX(RulebookFields!C2:C999, MATCH(D104,RulebookFields!A2:A999, 0)), "")</f>
        <v>KnowledgeFragments</v>
      </c>
      <c r="I104" s="3" t="str">
        <f>_xlfn.IFNA(INDEX(RulebookFields!D2:D999, MATCH(D104,RulebookFields!A2:A999, 0)), "")</f>
        <v>Status</v>
      </c>
      <c r="J104" s="3" t="b">
        <f>_xlfn.IFNA(INDEX(RulebookFields!I2:I999, MATCH(D104,RulebookFields!A2:A999, 0)), "")</f>
        <v>0</v>
      </c>
      <c r="K104" s="3" t="b">
        <f>AND(F104, J104)</f>
        <v>0</v>
      </c>
      <c r="L104" s="3" t="b">
        <f>AND(G104 &lt;&gt; "plain", G104 &lt;&gt; "")</f>
        <v>0</v>
      </c>
      <c r="M104" s="3" t="str">
        <f>IF(E104, C104 &amp; "|" &amp; H104, "")</f>
        <v>principal-controller|KnowledgeFragments</v>
      </c>
      <c r="N104" s="2" t="s">
        <v>9938</v>
      </c>
    </row>
    <row r="105">
      <c r="A105" s="2" t="s">
        <v>10041</v>
      </c>
      <c r="B105" s="3" t="str">
        <f>C105 &amp; " -&gt; " &amp; D105</f>
        <v>principal-controller -&gt; KnowledgeFragments.Confidence</v>
      </c>
      <c r="C105" s="2" t="s">
        <v>9688</v>
      </c>
      <c r="D105" s="2" t="s">
        <v>3168</v>
      </c>
      <c r="E105" s="2" t="b">
        <v>1</v>
      </c>
      <c r="F105" s="2" t="b">
        <v>0</v>
      </c>
      <c r="G105" s="2" t="s">
        <v>9937</v>
      </c>
      <c r="H105" s="3" t="str">
        <f>_xlfn.IFNA(INDEX(RulebookFields!C2:C999, MATCH(D105,RulebookFields!A2:A999, 0)), "")</f>
        <v>KnowledgeFragments</v>
      </c>
      <c r="I105" s="3" t="str">
        <f>_xlfn.IFNA(INDEX(RulebookFields!D2:D999, MATCH(D105,RulebookFields!A2:A999, 0)), "")</f>
        <v>Confidence</v>
      </c>
      <c r="J105" s="3" t="b">
        <f>_xlfn.IFNA(INDEX(RulebookFields!I2:I999, MATCH(D105,RulebookFields!A2:A999, 0)), "")</f>
        <v>0</v>
      </c>
      <c r="K105" s="3" t="b">
        <f>AND(F105, J105)</f>
        <v>0</v>
      </c>
      <c r="L105" s="3" t="b">
        <f>AND(G105 &lt;&gt; "plain", G105 &lt;&gt; "")</f>
        <v>0</v>
      </c>
      <c r="M105" s="3" t="str">
        <f>IF(E105, C105 &amp; "|" &amp; H105, "")</f>
        <v>principal-controller|KnowledgeFragments</v>
      </c>
      <c r="N105" s="2" t="s">
        <v>9938</v>
      </c>
    </row>
    <row r="106">
      <c r="A106" s="2" t="s">
        <v>10042</v>
      </c>
      <c r="B106" s="3" t="str">
        <f>C106 &amp; " -&gt; " &amp; D106</f>
        <v>principal-controller -&gt; KnowledgeFragments.OwnerRole</v>
      </c>
      <c r="C106" s="2" t="s">
        <v>9688</v>
      </c>
      <c r="D106" s="2" t="s">
        <v>3172</v>
      </c>
      <c r="E106" s="2" t="b">
        <v>1</v>
      </c>
      <c r="F106" s="2" t="b">
        <v>0</v>
      </c>
      <c r="G106" s="2" t="s">
        <v>9937</v>
      </c>
      <c r="H106" s="3" t="str">
        <f>_xlfn.IFNA(INDEX(RulebookFields!C2:C999, MATCH(D106,RulebookFields!A2:A999, 0)), "")</f>
        <v>KnowledgeFragments</v>
      </c>
      <c r="I106" s="3" t="str">
        <f>_xlfn.IFNA(INDEX(RulebookFields!D2:D999, MATCH(D106,RulebookFields!A2:A999, 0)), "")</f>
        <v>OwnerRole</v>
      </c>
      <c r="J106" s="3" t="b">
        <f>_xlfn.IFNA(INDEX(RulebookFields!I2:I999, MATCH(D106,RulebookFields!A2:A999, 0)), "")</f>
        <v>0</v>
      </c>
      <c r="K106" s="3" t="b">
        <f>AND(F106, J106)</f>
        <v>0</v>
      </c>
      <c r="L106" s="3" t="b">
        <f>AND(G106 &lt;&gt; "plain", G106 &lt;&gt; "")</f>
        <v>0</v>
      </c>
      <c r="M106" s="3" t="str">
        <f>IF(E106, C106 &amp; "|" &amp; H106, "")</f>
        <v>principal-controller|KnowledgeFragments</v>
      </c>
      <c r="N106" s="2" t="s">
        <v>9938</v>
      </c>
    </row>
    <row r="107">
      <c r="A107" s="2" t="s">
        <v>10043</v>
      </c>
      <c r="B107" s="3" t="str">
        <f>C107 &amp; " -&gt; " &amp; D107</f>
        <v>principal-controller -&gt; KnowledgeFragments.LastReviewedAt</v>
      </c>
      <c r="C107" s="2" t="s">
        <v>9688</v>
      </c>
      <c r="D107" s="2" t="s">
        <v>3245</v>
      </c>
      <c r="E107" s="2" t="b">
        <v>1</v>
      </c>
      <c r="F107" s="2" t="b">
        <v>0</v>
      </c>
      <c r="G107" s="2" t="s">
        <v>9937</v>
      </c>
      <c r="H107" s="3" t="str">
        <f>_xlfn.IFNA(INDEX(RulebookFields!C2:C999, MATCH(D107,RulebookFields!A2:A999, 0)), "")</f>
        <v>KnowledgeFragments</v>
      </c>
      <c r="I107" s="3" t="str">
        <f>_xlfn.IFNA(INDEX(RulebookFields!D2:D999, MATCH(D107,RulebookFields!A2:A999, 0)), "")</f>
        <v>LastReviewedAt</v>
      </c>
      <c r="J107" s="3" t="b">
        <f>_xlfn.IFNA(INDEX(RulebookFields!I2:I999, MATCH(D107,RulebookFields!A2:A999, 0)), "")</f>
        <v>0</v>
      </c>
      <c r="K107" s="3" t="b">
        <f>AND(F107, J107)</f>
        <v>0</v>
      </c>
      <c r="L107" s="3" t="b">
        <f>AND(G107 &lt;&gt; "plain", G107 &lt;&gt; "")</f>
        <v>0</v>
      </c>
      <c r="M107" s="3" t="str">
        <f>IF(E107, C107 &amp; "|" &amp; H107, "")</f>
        <v>principal-controller|KnowledgeFragments</v>
      </c>
      <c r="N107" s="2" t="s">
        <v>9938</v>
      </c>
    </row>
    <row r="108">
      <c r="A108" s="2" t="s">
        <v>10044</v>
      </c>
      <c r="B108" s="3" t="str">
        <f>C108 &amp; " -&gt; " &amp; D108</f>
        <v>principal-controller -&gt; KnowledgeFragments.Name</v>
      </c>
      <c r="C108" s="2" t="s">
        <v>9688</v>
      </c>
      <c r="D108" s="2" t="s">
        <v>3160</v>
      </c>
      <c r="E108" s="2" t="b">
        <v>1</v>
      </c>
      <c r="F108" s="2" t="b">
        <v>0</v>
      </c>
      <c r="G108" s="2" t="s">
        <v>9937</v>
      </c>
      <c r="H108" s="3" t="str">
        <f>_xlfn.IFNA(INDEX(RulebookFields!C2:C999, MATCH(D108,RulebookFields!A2:A999, 0)), "")</f>
        <v>KnowledgeFragments</v>
      </c>
      <c r="I108" s="3" t="str">
        <f>_xlfn.IFNA(INDEX(RulebookFields!D2:D999, MATCH(D108,RulebookFields!A2:A999, 0)), "")</f>
        <v>Name</v>
      </c>
      <c r="J108" s="3" t="b">
        <f>_xlfn.IFNA(INDEX(RulebookFields!I2:I999, MATCH(D108,RulebookFields!A2:A999, 0)), "")</f>
        <v>1</v>
      </c>
      <c r="K108" s="3" t="b">
        <f>AND(F108, J108)</f>
        <v>0</v>
      </c>
      <c r="L108" s="3" t="b">
        <f>AND(G108 &lt;&gt; "plain", G108 &lt;&gt; "")</f>
        <v>0</v>
      </c>
      <c r="M108" s="3" t="str">
        <f>IF(E108, C108 &amp; "|" &amp; H108, "")</f>
        <v>principal-controller|KnowledgeFragments</v>
      </c>
      <c r="N108" s="2" t="s">
        <v>9938</v>
      </c>
    </row>
    <row r="109">
      <c r="A109" s="2" t="s">
        <v>10045</v>
      </c>
      <c r="B109" s="3" t="str">
        <f>C109 &amp; " -&gt; " &amp; D109</f>
        <v>principal-controller -&gt; Requirements.RequirementId</v>
      </c>
      <c r="C109" s="2" t="s">
        <v>9688</v>
      </c>
      <c r="D109" s="2" t="s">
        <v>2979</v>
      </c>
      <c r="E109" s="2" t="b">
        <v>1</v>
      </c>
      <c r="F109" s="2" t="b">
        <v>0</v>
      </c>
      <c r="G109" s="2" t="s">
        <v>9937</v>
      </c>
      <c r="H109" s="3" t="str">
        <f>_xlfn.IFNA(INDEX(RulebookFields!C2:C999, MATCH(D109,RulebookFields!A2:A999, 0)), "")</f>
        <v>Requirements</v>
      </c>
      <c r="I109" s="3" t="str">
        <f>_xlfn.IFNA(INDEX(RulebookFields!D2:D999, MATCH(D109,RulebookFields!A2:A999, 0)), "")</f>
        <v>RequirementId</v>
      </c>
      <c r="J109" s="3" t="b">
        <f>_xlfn.IFNA(INDEX(RulebookFields!I2:I999, MATCH(D109,RulebookFields!A2:A999, 0)), "")</f>
        <v>0</v>
      </c>
      <c r="K109" s="3" t="b">
        <f>AND(F109, J109)</f>
        <v>0</v>
      </c>
      <c r="L109" s="3" t="b">
        <f>AND(G109 &lt;&gt; "plain", G109 &lt;&gt; "")</f>
        <v>0</v>
      </c>
      <c r="M109" s="3" t="str">
        <f>IF(E109, C109 &amp; "|" &amp; H109, "")</f>
        <v>principal-controller|Requirements</v>
      </c>
      <c r="N109" s="2" t="s">
        <v>9938</v>
      </c>
    </row>
    <row r="110">
      <c r="A110" s="2" t="s">
        <v>10046</v>
      </c>
      <c r="B110" s="3" t="str">
        <f>C110 &amp; " -&gt; " &amp; D110</f>
        <v>principal-controller -&gt; Requirements.Label</v>
      </c>
      <c r="C110" s="2" t="s">
        <v>9688</v>
      </c>
      <c r="D110" s="2" t="s">
        <v>2981</v>
      </c>
      <c r="E110" s="2" t="b">
        <v>1</v>
      </c>
      <c r="F110" s="2" t="b">
        <v>0</v>
      </c>
      <c r="G110" s="2" t="s">
        <v>9937</v>
      </c>
      <c r="H110" s="3" t="str">
        <f>_xlfn.IFNA(INDEX(RulebookFields!C2:C999, MATCH(D110,RulebookFields!A2:A999, 0)), "")</f>
        <v>Requirements</v>
      </c>
      <c r="I110" s="3" t="str">
        <f>_xlfn.IFNA(INDEX(RulebookFields!D2:D999, MATCH(D110,RulebookFields!A2:A999, 0)), "")</f>
        <v>Label</v>
      </c>
      <c r="J110" s="3" t="b">
        <f>_xlfn.IFNA(INDEX(RulebookFields!I2:I999, MATCH(D110,RulebookFields!A2:A999, 0)), "")</f>
        <v>0</v>
      </c>
      <c r="K110" s="3" t="b">
        <f>AND(F110, J110)</f>
        <v>0</v>
      </c>
      <c r="L110" s="3" t="b">
        <f>AND(G110 &lt;&gt; "plain", G110 &lt;&gt; "")</f>
        <v>0</v>
      </c>
      <c r="M110" s="3" t="str">
        <f>IF(E110, C110 &amp; "|" &amp; H110, "")</f>
        <v>principal-controller|Requirements</v>
      </c>
      <c r="N110" s="2" t="s">
        <v>9938</v>
      </c>
    </row>
    <row r="111">
      <c r="A111" s="2" t="s">
        <v>10047</v>
      </c>
      <c r="B111" s="3" t="str">
        <f>C111 &amp; " -&gt; " &amp; D111</f>
        <v>principal-controller -&gt; Requirements.Statement</v>
      </c>
      <c r="C111" s="2" t="s">
        <v>9688</v>
      </c>
      <c r="D111" s="2" t="s">
        <v>2983</v>
      </c>
      <c r="E111" s="2" t="b">
        <v>1</v>
      </c>
      <c r="F111" s="2" t="b">
        <v>0</v>
      </c>
      <c r="G111" s="2" t="s">
        <v>9937</v>
      </c>
      <c r="H111" s="3" t="str">
        <f>_xlfn.IFNA(INDEX(RulebookFields!C2:C999, MATCH(D111,RulebookFields!A2:A999, 0)), "")</f>
        <v>Requirements</v>
      </c>
      <c r="I111" s="3" t="str">
        <f>_xlfn.IFNA(INDEX(RulebookFields!D2:D999, MATCH(D111,RulebookFields!A2:A999, 0)), "")</f>
        <v>Statement</v>
      </c>
      <c r="J111" s="3" t="b">
        <f>_xlfn.IFNA(INDEX(RulebookFields!I2:I999, MATCH(D111,RulebookFields!A2:A999, 0)), "")</f>
        <v>0</v>
      </c>
      <c r="K111" s="3" t="b">
        <f>AND(F111, J111)</f>
        <v>0</v>
      </c>
      <c r="L111" s="3" t="b">
        <f>AND(G111 &lt;&gt; "plain", G111 &lt;&gt; "")</f>
        <v>0</v>
      </c>
      <c r="M111" s="3" t="str">
        <f>IF(E111, C111 &amp; "|" &amp; H111, "")</f>
        <v>principal-controller|Requirements</v>
      </c>
      <c r="N111" s="2" t="s">
        <v>9938</v>
      </c>
    </row>
    <row r="112">
      <c r="A112" s="2" t="s">
        <v>10048</v>
      </c>
      <c r="B112" s="3" t="str">
        <f>C112 &amp; " -&gt; " &amp; D112</f>
        <v>principal-controller -&gt; Requirements.IsBlocking</v>
      </c>
      <c r="C112" s="2" t="s">
        <v>9688</v>
      </c>
      <c r="D112" s="2" t="s">
        <v>2985</v>
      </c>
      <c r="E112" s="2" t="b">
        <v>1</v>
      </c>
      <c r="F112" s="2" t="b">
        <v>0</v>
      </c>
      <c r="G112" s="2" t="s">
        <v>9937</v>
      </c>
      <c r="H112" s="3" t="str">
        <f>_xlfn.IFNA(INDEX(RulebookFields!C2:C999, MATCH(D112,RulebookFields!A2:A999, 0)), "")</f>
        <v>Requirements</v>
      </c>
      <c r="I112" s="3" t="str">
        <f>_xlfn.IFNA(INDEX(RulebookFields!D2:D999, MATCH(D112,RulebookFields!A2:A999, 0)), "")</f>
        <v>IsBlocking</v>
      </c>
      <c r="J112" s="3" t="b">
        <f>_xlfn.IFNA(INDEX(RulebookFields!I2:I999, MATCH(D112,RulebookFields!A2:A999, 0)), "")</f>
        <v>0</v>
      </c>
      <c r="K112" s="3" t="b">
        <f>AND(F112, J112)</f>
        <v>0</v>
      </c>
      <c r="L112" s="3" t="b">
        <f>AND(G112 &lt;&gt; "plain", G112 &lt;&gt; "")</f>
        <v>0</v>
      </c>
      <c r="M112" s="3" t="str">
        <f>IF(E112, C112 &amp; "|" &amp; H112, "")</f>
        <v>principal-controller|Requirements</v>
      </c>
      <c r="N112" s="2" t="s">
        <v>9938</v>
      </c>
    </row>
    <row r="113">
      <c r="A113" s="2" t="s">
        <v>10049</v>
      </c>
      <c r="B113" s="3" t="str">
        <f>C113 &amp; " -&gt; " &amp; D113</f>
        <v>principal-controller -&gt; Requirements.AccountableRole</v>
      </c>
      <c r="C113" s="2" t="s">
        <v>9688</v>
      </c>
      <c r="D113" s="2" t="s">
        <v>3035</v>
      </c>
      <c r="E113" s="2" t="b">
        <v>1</v>
      </c>
      <c r="F113" s="2" t="b">
        <v>0</v>
      </c>
      <c r="G113" s="2" t="s">
        <v>9937</v>
      </c>
      <c r="H113" s="3" t="str">
        <f>_xlfn.IFNA(INDEX(RulebookFields!C2:C999, MATCH(D113,RulebookFields!A2:A999, 0)), "")</f>
        <v>Requirements</v>
      </c>
      <c r="I113" s="3" t="str">
        <f>_xlfn.IFNA(INDEX(RulebookFields!D2:D999, MATCH(D113,RulebookFields!A2:A999, 0)), "")</f>
        <v>AccountableRole</v>
      </c>
      <c r="J113" s="3" t="b">
        <f>_xlfn.IFNA(INDEX(RulebookFields!I2:I999, MATCH(D113,RulebookFields!A2:A999, 0)), "")</f>
        <v>0</v>
      </c>
      <c r="K113" s="3" t="b">
        <f>AND(F113, J113)</f>
        <v>0</v>
      </c>
      <c r="L113" s="3" t="b">
        <f>AND(G113 &lt;&gt; "plain", G113 &lt;&gt; "")</f>
        <v>0</v>
      </c>
      <c r="M113" s="3" t="str">
        <f>IF(E113, C113 &amp; "|" &amp; H113, "")</f>
        <v>principal-controller|Requirements</v>
      </c>
      <c r="N113" s="2" t="s">
        <v>9938</v>
      </c>
    </row>
    <row r="114">
      <c r="A114" s="2" t="s">
        <v>10050</v>
      </c>
      <c r="B114" s="3" t="str">
        <f>C114 &amp; " -&gt; " &amp; D114</f>
        <v>principal-controller -&gt; Requirements.Name</v>
      </c>
      <c r="C114" s="2" t="s">
        <v>9688</v>
      </c>
      <c r="D114" s="2" t="s">
        <v>2980</v>
      </c>
      <c r="E114" s="2" t="b">
        <v>1</v>
      </c>
      <c r="F114" s="2" t="b">
        <v>0</v>
      </c>
      <c r="G114" s="2" t="s">
        <v>9937</v>
      </c>
      <c r="H114" s="3" t="str">
        <f>_xlfn.IFNA(INDEX(RulebookFields!C2:C999, MATCH(D114,RulebookFields!A2:A999, 0)), "")</f>
        <v>Requirements</v>
      </c>
      <c r="I114" s="3" t="str">
        <f>_xlfn.IFNA(INDEX(RulebookFields!D2:D999, MATCH(D114,RulebookFields!A2:A999, 0)), "")</f>
        <v>Name</v>
      </c>
      <c r="J114" s="3" t="b">
        <f>_xlfn.IFNA(INDEX(RulebookFields!I2:I999, MATCH(D114,RulebookFields!A2:A999, 0)), "")</f>
        <v>1</v>
      </c>
      <c r="K114" s="3" t="b">
        <f>AND(F114, J114)</f>
        <v>0</v>
      </c>
      <c r="L114" s="3" t="b">
        <f>AND(G114 &lt;&gt; "plain", G114 &lt;&gt; "")</f>
        <v>0</v>
      </c>
      <c r="M114" s="3" t="str">
        <f>IF(E114, C114 &amp; "|" &amp; H114, "")</f>
        <v>principal-controller|Requirements</v>
      </c>
      <c r="N114" s="2" t="s">
        <v>9938</v>
      </c>
    </row>
    <row r="115">
      <c r="A115" s="2" t="s">
        <v>10051</v>
      </c>
      <c r="B115" s="3" t="str">
        <f>C115 &amp; " -&gt; " &amp; D115</f>
        <v>principal-controller -&gt; ProcedureVersions.ProcedureVersionId</v>
      </c>
      <c r="C115" s="2" t="s">
        <v>9688</v>
      </c>
      <c r="D115" s="2" t="s">
        <v>2662</v>
      </c>
      <c r="E115" s="2" t="b">
        <v>1</v>
      </c>
      <c r="F115" s="2" t="b">
        <v>0</v>
      </c>
      <c r="G115" s="2" t="s">
        <v>9937</v>
      </c>
      <c r="H115" s="3" t="str">
        <f>_xlfn.IFNA(INDEX(RulebookFields!C2:C999, MATCH(D115,RulebookFields!A2:A999, 0)), "")</f>
        <v>ProcedureVersions</v>
      </c>
      <c r="I115" s="3" t="str">
        <f>_xlfn.IFNA(INDEX(RulebookFields!D2:D999, MATCH(D115,RulebookFields!A2:A999, 0)), "")</f>
        <v>ProcedureVersionId</v>
      </c>
      <c r="J115" s="3" t="b">
        <f>_xlfn.IFNA(INDEX(RulebookFields!I2:I999, MATCH(D115,RulebookFields!A2:A999, 0)), "")</f>
        <v>0</v>
      </c>
      <c r="K115" s="3" t="b">
        <f>AND(F115, J115)</f>
        <v>0</v>
      </c>
      <c r="L115" s="3" t="b">
        <f>AND(G115 &lt;&gt; "plain", G115 &lt;&gt; "")</f>
        <v>0</v>
      </c>
      <c r="M115" s="3" t="str">
        <f>IF(E115, C115 &amp; "|" &amp; H115, "")</f>
        <v>principal-controller|ProcedureVersions</v>
      </c>
      <c r="N115" s="2" t="s">
        <v>9938</v>
      </c>
    </row>
    <row r="116">
      <c r="A116" s="2" t="s">
        <v>10052</v>
      </c>
      <c r="B116" s="3" t="str">
        <f>C116 &amp; " -&gt; " &amp; D116</f>
        <v>principal-controller -&gt; ProcedureVersions.VersionNumber</v>
      </c>
      <c r="C116" s="2" t="s">
        <v>9688</v>
      </c>
      <c r="D116" s="2" t="s">
        <v>1750</v>
      </c>
      <c r="E116" s="2" t="b">
        <v>1</v>
      </c>
      <c r="F116" s="2" t="b">
        <v>0</v>
      </c>
      <c r="G116" s="2" t="s">
        <v>9937</v>
      </c>
      <c r="H116" s="3" t="str">
        <f>_xlfn.IFNA(INDEX(RulebookFields!C2:C999, MATCH(D116,RulebookFields!A2:A999, 0)), "")</f>
        <v>ProcedureVersions</v>
      </c>
      <c r="I116" s="3" t="str">
        <f>_xlfn.IFNA(INDEX(RulebookFields!D2:D999, MATCH(D116,RulebookFields!A2:A999, 0)), "")</f>
        <v>VersionNumber</v>
      </c>
      <c r="J116" s="3" t="b">
        <f>_xlfn.IFNA(INDEX(RulebookFields!I2:I999, MATCH(D116,RulebookFields!A2:A999, 0)), "")</f>
        <v>0</v>
      </c>
      <c r="K116" s="3" t="b">
        <f>AND(F116, J116)</f>
        <v>0</v>
      </c>
      <c r="L116" s="3" t="b">
        <f>AND(G116 &lt;&gt; "plain", G116 &lt;&gt; "")</f>
        <v>0</v>
      </c>
      <c r="M116" s="3" t="str">
        <f>IF(E116, C116 &amp; "|" &amp; H116, "")</f>
        <v>principal-controller|ProcedureVersions</v>
      </c>
      <c r="N116" s="2" t="s">
        <v>9938</v>
      </c>
    </row>
    <row r="117">
      <c r="A117" s="2" t="s">
        <v>10053</v>
      </c>
      <c r="B117" s="3" t="str">
        <f>C117 &amp; " -&gt; " &amp; D117</f>
        <v>principal-controller -&gt; ProcedureVersions.Title</v>
      </c>
      <c r="C117" s="2" t="s">
        <v>9688</v>
      </c>
      <c r="D117" s="2" t="s">
        <v>2665</v>
      </c>
      <c r="E117" s="2" t="b">
        <v>1</v>
      </c>
      <c r="F117" s="2" t="b">
        <v>0</v>
      </c>
      <c r="G117" s="2" t="s">
        <v>9937</v>
      </c>
      <c r="H117" s="3" t="str">
        <f>_xlfn.IFNA(INDEX(RulebookFields!C2:C999, MATCH(D117,RulebookFields!A2:A999, 0)), "")</f>
        <v>ProcedureVersions</v>
      </c>
      <c r="I117" s="3" t="str">
        <f>_xlfn.IFNA(INDEX(RulebookFields!D2:D999, MATCH(D117,RulebookFields!A2:A999, 0)), "")</f>
        <v>Title</v>
      </c>
      <c r="J117" s="3" t="b">
        <f>_xlfn.IFNA(INDEX(RulebookFields!I2:I999, MATCH(D117,RulebookFields!A2:A999, 0)), "")</f>
        <v>0</v>
      </c>
      <c r="K117" s="3" t="b">
        <f>AND(F117, J117)</f>
        <v>0</v>
      </c>
      <c r="L117" s="3" t="b">
        <f>AND(G117 &lt;&gt; "plain", G117 &lt;&gt; "")</f>
        <v>0</v>
      </c>
      <c r="M117" s="3" t="str">
        <f>IF(E117, C117 &amp; "|" &amp; H117, "")</f>
        <v>principal-controller|ProcedureVersions</v>
      </c>
      <c r="N117" s="2" t="s">
        <v>9938</v>
      </c>
    </row>
    <row r="118">
      <c r="A118" s="2" t="s">
        <v>10054</v>
      </c>
      <c r="B118" s="3" t="str">
        <f>C118 &amp; " -&gt; " &amp; D118</f>
        <v>principal-controller -&gt; ProcedureVersions.Status</v>
      </c>
      <c r="C118" s="2" t="s">
        <v>9688</v>
      </c>
      <c r="D118" s="2" t="s">
        <v>2666</v>
      </c>
      <c r="E118" s="2" t="b">
        <v>1</v>
      </c>
      <c r="F118" s="2" t="b">
        <v>0</v>
      </c>
      <c r="G118" s="2" t="s">
        <v>9937</v>
      </c>
      <c r="H118" s="3" t="str">
        <f>_xlfn.IFNA(INDEX(RulebookFields!C2:C999, MATCH(D118,RulebookFields!A2:A999, 0)), "")</f>
        <v>ProcedureVersions</v>
      </c>
      <c r="I118" s="3" t="str">
        <f>_xlfn.IFNA(INDEX(RulebookFields!D2:D999, MATCH(D118,RulebookFields!A2:A999, 0)), "")</f>
        <v>Status</v>
      </c>
      <c r="J118" s="3" t="b">
        <f>_xlfn.IFNA(INDEX(RulebookFields!I2:I999, MATCH(D118,RulebookFields!A2:A999, 0)), "")</f>
        <v>0</v>
      </c>
      <c r="K118" s="3" t="b">
        <f>AND(F118, J118)</f>
        <v>0</v>
      </c>
      <c r="L118" s="3" t="b">
        <f>AND(G118 &lt;&gt; "plain", G118 &lt;&gt; "")</f>
        <v>0</v>
      </c>
      <c r="M118" s="3" t="str">
        <f>IF(E118, C118 &amp; "|" &amp; H118, "")</f>
        <v>principal-controller|ProcedureVersions</v>
      </c>
      <c r="N118" s="2" t="s">
        <v>9938</v>
      </c>
    </row>
    <row r="119">
      <c r="A119" s="2" t="s">
        <v>10055</v>
      </c>
      <c r="B119" s="3" t="str">
        <f>C119 &amp; " -&gt; " &amp; D119</f>
        <v>principal-controller -&gt; ProcedureVersions.IsCurrent</v>
      </c>
      <c r="C119" s="2" t="s">
        <v>9688</v>
      </c>
      <c r="D119" s="2" t="s">
        <v>2673</v>
      </c>
      <c r="E119" s="2" t="b">
        <v>1</v>
      </c>
      <c r="F119" s="2" t="b">
        <v>0</v>
      </c>
      <c r="G119" s="2" t="s">
        <v>9937</v>
      </c>
      <c r="H119" s="3" t="str">
        <f>_xlfn.IFNA(INDEX(RulebookFields!C2:C999, MATCH(D119,RulebookFields!A2:A999, 0)), "")</f>
        <v>ProcedureVersions</v>
      </c>
      <c r="I119" s="3" t="str">
        <f>_xlfn.IFNA(INDEX(RulebookFields!D2:D999, MATCH(D119,RulebookFields!A2:A999, 0)), "")</f>
        <v>IsCurrent</v>
      </c>
      <c r="J119" s="3" t="b">
        <f>_xlfn.IFNA(INDEX(RulebookFields!I2:I999, MATCH(D119,RulebookFields!A2:A999, 0)), "")</f>
        <v>0</v>
      </c>
      <c r="K119" s="3" t="b">
        <f>AND(F119, J119)</f>
        <v>0</v>
      </c>
      <c r="L119" s="3" t="b">
        <f>AND(G119 &lt;&gt; "plain", G119 &lt;&gt; "")</f>
        <v>0</v>
      </c>
      <c r="M119" s="3" t="str">
        <f>IF(E119, C119 &amp; "|" &amp; H119, "")</f>
        <v>principal-controller|ProcedureVersions</v>
      </c>
      <c r="N119" s="2" t="s">
        <v>9938</v>
      </c>
    </row>
    <row r="120">
      <c r="A120" s="2" t="s">
        <v>10056</v>
      </c>
      <c r="B120" s="3" t="str">
        <f>C120 &amp; " -&gt; " &amp; D120</f>
        <v>principal-controller -&gt; ProcedureVersions.Procedure</v>
      </c>
      <c r="C120" s="2" t="s">
        <v>9688</v>
      </c>
      <c r="D120" s="2" t="s">
        <v>2664</v>
      </c>
      <c r="E120" s="2" t="b">
        <v>1</v>
      </c>
      <c r="F120" s="2" t="b">
        <v>0</v>
      </c>
      <c r="G120" s="2" t="s">
        <v>9937</v>
      </c>
      <c r="H120" s="3" t="str">
        <f>_xlfn.IFNA(INDEX(RulebookFields!C2:C999, MATCH(D120,RulebookFields!A2:A999, 0)), "")</f>
        <v>ProcedureVersions</v>
      </c>
      <c r="I120" s="3" t="str">
        <f>_xlfn.IFNA(INDEX(RulebookFields!D2:D999, MATCH(D120,RulebookFields!A2:A999, 0)), "")</f>
        <v>Procedure</v>
      </c>
      <c r="J120" s="3" t="b">
        <f>_xlfn.IFNA(INDEX(RulebookFields!I2:I999, MATCH(D120,RulebookFields!A2:A999, 0)), "")</f>
        <v>0</v>
      </c>
      <c r="K120" s="3" t="b">
        <f>AND(F120, J120)</f>
        <v>0</v>
      </c>
      <c r="L120" s="3" t="b">
        <f>AND(G120 &lt;&gt; "plain", G120 &lt;&gt; "")</f>
        <v>0</v>
      </c>
      <c r="M120" s="3" t="str">
        <f>IF(E120, C120 &amp; "|" &amp; H120, "")</f>
        <v>principal-controller|ProcedureVersions</v>
      </c>
      <c r="N120" s="2" t="s">
        <v>9938</v>
      </c>
    </row>
    <row r="121">
      <c r="A121" s="2" t="s">
        <v>10057</v>
      </c>
      <c r="B121" s="3" t="str">
        <f>C121 &amp; " -&gt; " &amp; D121</f>
        <v>principal-controller -&gt; ProcedureVersions.Name</v>
      </c>
      <c r="C121" s="2" t="s">
        <v>9688</v>
      </c>
      <c r="D121" s="2" t="s">
        <v>2663</v>
      </c>
      <c r="E121" s="2" t="b">
        <v>1</v>
      </c>
      <c r="F121" s="2" t="b">
        <v>0</v>
      </c>
      <c r="G121" s="2" t="s">
        <v>9937</v>
      </c>
      <c r="H121" s="3" t="str">
        <f>_xlfn.IFNA(INDEX(RulebookFields!C2:C999, MATCH(D121,RulebookFields!A2:A999, 0)), "")</f>
        <v>ProcedureVersions</v>
      </c>
      <c r="I121" s="3" t="str">
        <f>_xlfn.IFNA(INDEX(RulebookFields!D2:D999, MATCH(D121,RulebookFields!A2:A999, 0)), "")</f>
        <v>Name</v>
      </c>
      <c r="J121" s="3" t="b">
        <f>_xlfn.IFNA(INDEX(RulebookFields!I2:I999, MATCH(D121,RulebookFields!A2:A999, 0)), "")</f>
        <v>1</v>
      </c>
      <c r="K121" s="3" t="b">
        <f>AND(F121, J121)</f>
        <v>0</v>
      </c>
      <c r="L121" s="3" t="b">
        <f>AND(G121 &lt;&gt; "plain", G121 &lt;&gt; "")</f>
        <v>0</v>
      </c>
      <c r="M121" s="3" t="str">
        <f>IF(E121, C121 &amp; "|" &amp; H121, "")</f>
        <v>principal-controller|ProcedureVersions</v>
      </c>
      <c r="N121" s="2" t="s">
        <v>9938</v>
      </c>
    </row>
    <row r="122">
      <c r="A122" s="2" t="s">
        <v>10058</v>
      </c>
      <c r="B122" s="3" t="str">
        <f>C122 &amp; " -&gt; " &amp; D122</f>
        <v>principal-cfo -&gt; ProcedureExecutions.ProcedureExecutionId</v>
      </c>
      <c r="C122" s="2" t="s">
        <v>9690</v>
      </c>
      <c r="D122" s="2" t="s">
        <v>3360</v>
      </c>
      <c r="E122" s="2" t="b">
        <v>1</v>
      </c>
      <c r="F122" s="2" t="b">
        <v>0</v>
      </c>
      <c r="G122" s="2" t="s">
        <v>9937</v>
      </c>
      <c r="H122" s="3" t="str">
        <f>_xlfn.IFNA(INDEX(RulebookFields!C2:C999, MATCH(D122,RulebookFields!A2:A999, 0)), "")</f>
        <v>ProcedureExecutions</v>
      </c>
      <c r="I122" s="3" t="str">
        <f>_xlfn.IFNA(INDEX(RulebookFields!D2:D999, MATCH(D122,RulebookFields!A2:A999, 0)), "")</f>
        <v>ProcedureExecutionId</v>
      </c>
      <c r="J122" s="3" t="b">
        <f>_xlfn.IFNA(INDEX(RulebookFields!I2:I999, MATCH(D122,RulebookFields!A2:A999, 0)), "")</f>
        <v>0</v>
      </c>
      <c r="K122" s="3" t="b">
        <f>AND(F122, J122)</f>
        <v>0</v>
      </c>
      <c r="L122" s="3" t="b">
        <f>AND(G122 &lt;&gt; "plain", G122 &lt;&gt; "")</f>
        <v>0</v>
      </c>
      <c r="M122" s="3" t="str">
        <f>IF(E122, C122 &amp; "|" &amp; H122, "")</f>
        <v>principal-cfo|ProcedureExecutions</v>
      </c>
      <c r="N122" s="2" t="s">
        <v>9938</v>
      </c>
    </row>
    <row r="123">
      <c r="A123" s="2" t="s">
        <v>10059</v>
      </c>
      <c r="B123" s="3" t="str">
        <f>C123 &amp; " -&gt; " &amp; D123</f>
        <v>principal-cfo -&gt; ProcedureExecutions.ExecutionStatus</v>
      </c>
      <c r="C123" s="2" t="s">
        <v>9690</v>
      </c>
      <c r="D123" s="2" t="s">
        <v>3364</v>
      </c>
      <c r="E123" s="2" t="b">
        <v>1</v>
      </c>
      <c r="F123" s="2" t="b">
        <v>0</v>
      </c>
      <c r="G123" s="2" t="s">
        <v>9937</v>
      </c>
      <c r="H123" s="3" t="str">
        <f>_xlfn.IFNA(INDEX(RulebookFields!C2:C999, MATCH(D123,RulebookFields!A2:A999, 0)), "")</f>
        <v>ProcedureExecutions</v>
      </c>
      <c r="I123" s="3" t="str">
        <f>_xlfn.IFNA(INDEX(RulebookFields!D2:D999, MATCH(D123,RulebookFields!A2:A999, 0)), "")</f>
        <v>ExecutionStatus</v>
      </c>
      <c r="J123" s="3" t="b">
        <f>_xlfn.IFNA(INDEX(RulebookFields!I2:I999, MATCH(D123,RulebookFields!A2:A999, 0)), "")</f>
        <v>0</v>
      </c>
      <c r="K123" s="3" t="b">
        <f>AND(F123, J123)</f>
        <v>0</v>
      </c>
      <c r="L123" s="3" t="b">
        <f>AND(G123 &lt;&gt; "plain", G123 &lt;&gt; "")</f>
        <v>0</v>
      </c>
      <c r="M123" s="3" t="str">
        <f>IF(E123, C123 &amp; "|" &amp; H123, "")</f>
        <v>principal-cfo|ProcedureExecutions</v>
      </c>
      <c r="N123" s="2" t="s">
        <v>9938</v>
      </c>
    </row>
    <row r="124">
      <c r="A124" s="2" t="s">
        <v>10060</v>
      </c>
      <c r="B124" s="3" t="str">
        <f>C124 &amp; " -&gt; " &amp; D124</f>
        <v>principal-cfo -&gt; ProcedureExecutions.StartedAt</v>
      </c>
      <c r="C124" s="2" t="s">
        <v>9690</v>
      </c>
      <c r="D124" s="2" t="s">
        <v>3365</v>
      </c>
      <c r="E124" s="2" t="b">
        <v>1</v>
      </c>
      <c r="F124" s="2" t="b">
        <v>0</v>
      </c>
      <c r="G124" s="2" t="s">
        <v>9937</v>
      </c>
      <c r="H124" s="3" t="str">
        <f>_xlfn.IFNA(INDEX(RulebookFields!C2:C999, MATCH(D124,RulebookFields!A2:A999, 0)), "")</f>
        <v>ProcedureExecutions</v>
      </c>
      <c r="I124" s="3" t="str">
        <f>_xlfn.IFNA(INDEX(RulebookFields!D2:D999, MATCH(D124,RulebookFields!A2:A999, 0)), "")</f>
        <v>StartedAt</v>
      </c>
      <c r="J124" s="3" t="b">
        <f>_xlfn.IFNA(INDEX(RulebookFields!I2:I999, MATCH(D124,RulebookFields!A2:A999, 0)), "")</f>
        <v>0</v>
      </c>
      <c r="K124" s="3" t="b">
        <f>AND(F124, J124)</f>
        <v>0</v>
      </c>
      <c r="L124" s="3" t="b">
        <f>AND(G124 &lt;&gt; "plain", G124 &lt;&gt; "")</f>
        <v>0</v>
      </c>
      <c r="M124" s="3" t="str">
        <f>IF(E124, C124 &amp; "|" &amp; H124, "")</f>
        <v>principal-cfo|ProcedureExecutions</v>
      </c>
      <c r="N124" s="2" t="s">
        <v>9938</v>
      </c>
    </row>
    <row r="125">
      <c r="A125" s="2" t="s">
        <v>10061</v>
      </c>
      <c r="B125" s="3" t="str">
        <f>C125 &amp; " -&gt; " &amp; D125</f>
        <v>principal-cfo -&gt; ProcedureExecutions.EndedAt</v>
      </c>
      <c r="C125" s="2" t="s">
        <v>9690</v>
      </c>
      <c r="D125" s="2" t="s">
        <v>3366</v>
      </c>
      <c r="E125" s="2" t="b">
        <v>1</v>
      </c>
      <c r="F125" s="2" t="b">
        <v>0</v>
      </c>
      <c r="G125" s="2" t="s">
        <v>9937</v>
      </c>
      <c r="H125" s="3" t="str">
        <f>_xlfn.IFNA(INDEX(RulebookFields!C2:C999, MATCH(D125,RulebookFields!A2:A999, 0)), "")</f>
        <v>ProcedureExecutions</v>
      </c>
      <c r="I125" s="3" t="str">
        <f>_xlfn.IFNA(INDEX(RulebookFields!D2:D999, MATCH(D125,RulebookFields!A2:A999, 0)), "")</f>
        <v>EndedAt</v>
      </c>
      <c r="J125" s="3" t="b">
        <f>_xlfn.IFNA(INDEX(RulebookFields!I2:I999, MATCH(D125,RulebookFields!A2:A999, 0)), "")</f>
        <v>0</v>
      </c>
      <c r="K125" s="3" t="b">
        <f>AND(F125, J125)</f>
        <v>0</v>
      </c>
      <c r="L125" s="3" t="b">
        <f>AND(G125 &lt;&gt; "plain", G125 &lt;&gt; "")</f>
        <v>0</v>
      </c>
      <c r="M125" s="3" t="str">
        <f>IF(E125, C125 &amp; "|" &amp; H125, "")</f>
        <v>principal-cfo|ProcedureExecutions</v>
      </c>
      <c r="N125" s="2" t="s">
        <v>9938</v>
      </c>
    </row>
    <row r="126">
      <c r="A126" s="2" t="s">
        <v>10062</v>
      </c>
      <c r="B126" s="3" t="str">
        <f>C126 &amp; " -&gt; " &amp; D126</f>
        <v>principal-cfo -&gt; ProcedureExecutions.ProcedureVersion</v>
      </c>
      <c r="C126" s="2" t="s">
        <v>9690</v>
      </c>
      <c r="D126" s="2" t="s">
        <v>3363</v>
      </c>
      <c r="E126" s="2" t="b">
        <v>1</v>
      </c>
      <c r="F126" s="2" t="b">
        <v>0</v>
      </c>
      <c r="G126" s="2" t="s">
        <v>9937</v>
      </c>
      <c r="H126" s="3" t="str">
        <f>_xlfn.IFNA(INDEX(RulebookFields!C2:C999, MATCH(D126,RulebookFields!A2:A999, 0)), "")</f>
        <v>ProcedureExecutions</v>
      </c>
      <c r="I126" s="3" t="str">
        <f>_xlfn.IFNA(INDEX(RulebookFields!D2:D999, MATCH(D126,RulebookFields!A2:A999, 0)), "")</f>
        <v>ProcedureVersion</v>
      </c>
      <c r="J126" s="3" t="b">
        <f>_xlfn.IFNA(INDEX(RulebookFields!I2:I999, MATCH(D126,RulebookFields!A2:A999, 0)), "")</f>
        <v>0</v>
      </c>
      <c r="K126" s="3" t="b">
        <f>AND(F126, J126)</f>
        <v>0</v>
      </c>
      <c r="L126" s="3" t="b">
        <f>AND(G126 &lt;&gt; "plain", G126 &lt;&gt; "")</f>
        <v>0</v>
      </c>
      <c r="M126" s="3" t="str">
        <f>IF(E126, C126 &amp; "|" &amp; H126, "")</f>
        <v>principal-cfo|ProcedureExecutions</v>
      </c>
      <c r="N126" s="2" t="s">
        <v>9938</v>
      </c>
    </row>
    <row r="127">
      <c r="A127" s="2" t="s">
        <v>10063</v>
      </c>
      <c r="B127" s="3" t="str">
        <f>C127 &amp; " -&gt; " &amp; D127</f>
        <v>principal-cfo -&gt; ProcedureExecutions.Name</v>
      </c>
      <c r="C127" s="2" t="s">
        <v>9690</v>
      </c>
      <c r="D127" s="2" t="s">
        <v>3361</v>
      </c>
      <c r="E127" s="2" t="b">
        <v>1</v>
      </c>
      <c r="F127" s="2" t="b">
        <v>0</v>
      </c>
      <c r="G127" s="2" t="s">
        <v>9937</v>
      </c>
      <c r="H127" s="3" t="str">
        <f>_xlfn.IFNA(INDEX(RulebookFields!C2:C999, MATCH(D127,RulebookFields!A2:A999, 0)), "")</f>
        <v>ProcedureExecutions</v>
      </c>
      <c r="I127" s="3" t="str">
        <f>_xlfn.IFNA(INDEX(RulebookFields!D2:D999, MATCH(D127,RulebookFields!A2:A999, 0)), "")</f>
        <v>Name</v>
      </c>
      <c r="J127" s="3" t="b">
        <f>_xlfn.IFNA(INDEX(RulebookFields!I2:I999, MATCH(D127,RulebookFields!A2:A999, 0)), "")</f>
        <v>1</v>
      </c>
      <c r="K127" s="3" t="b">
        <f>AND(F127, J127)</f>
        <v>0</v>
      </c>
      <c r="L127" s="3" t="b">
        <f>AND(G127 &lt;&gt; "plain", G127 &lt;&gt; "")</f>
        <v>0</v>
      </c>
      <c r="M127" s="3" t="str">
        <f>IF(E127, C127 &amp; "|" &amp; H127, "")</f>
        <v>principal-cfo|ProcedureExecutions</v>
      </c>
      <c r="N127" s="2" t="s">
        <v>9938</v>
      </c>
    </row>
    <row r="128">
      <c r="A128" s="2" t="s">
        <v>10064</v>
      </c>
      <c r="B128" s="3" t="str">
        <f>C128 &amp; " -&gt; " &amp; D128</f>
        <v>principal-cfo -&gt; Exceptions.ExceptionId</v>
      </c>
      <c r="C128" s="2" t="s">
        <v>9690</v>
      </c>
      <c r="D128" s="2" t="s">
        <v>3094</v>
      </c>
      <c r="E128" s="2" t="b">
        <v>1</v>
      </c>
      <c r="F128" s="2" t="b">
        <v>0</v>
      </c>
      <c r="G128" s="2" t="s">
        <v>9937</v>
      </c>
      <c r="H128" s="3" t="str">
        <f>_xlfn.IFNA(INDEX(RulebookFields!C2:C999, MATCH(D128,RulebookFields!A2:A999, 0)), "")</f>
        <v>Exceptions</v>
      </c>
      <c r="I128" s="3" t="str">
        <f>_xlfn.IFNA(INDEX(RulebookFields!D2:D999, MATCH(D128,RulebookFields!A2:A999, 0)), "")</f>
        <v>ExceptionId</v>
      </c>
      <c r="J128" s="3" t="b">
        <f>_xlfn.IFNA(INDEX(RulebookFields!I2:I999, MATCH(D128,RulebookFields!A2:A999, 0)), "")</f>
        <v>0</v>
      </c>
      <c r="K128" s="3" t="b">
        <f>AND(F128, J128)</f>
        <v>0</v>
      </c>
      <c r="L128" s="3" t="b">
        <f>AND(G128 &lt;&gt; "plain", G128 &lt;&gt; "")</f>
        <v>0</v>
      </c>
      <c r="M128" s="3" t="str">
        <f>IF(E128, C128 &amp; "|" &amp; H128, "")</f>
        <v>principal-cfo|Exceptions</v>
      </c>
      <c r="N128" s="2" t="s">
        <v>9938</v>
      </c>
    </row>
    <row r="129">
      <c r="A129" s="2" t="s">
        <v>10065</v>
      </c>
      <c r="B129" s="3" t="str">
        <f>C129 &amp; " -&gt; " &amp; D129</f>
        <v>principal-cfo -&gt; Exceptions.Name</v>
      </c>
      <c r="C129" s="2" t="s">
        <v>9690</v>
      </c>
      <c r="D129" s="2" t="s">
        <v>3096</v>
      </c>
      <c r="E129" s="2" t="b">
        <v>1</v>
      </c>
      <c r="F129" s="2" t="b">
        <v>0</v>
      </c>
      <c r="G129" s="2" t="s">
        <v>9937</v>
      </c>
      <c r="H129" s="3" t="str">
        <f>_xlfn.IFNA(INDEX(RulebookFields!C2:C999, MATCH(D129,RulebookFields!A2:A999, 0)), "")</f>
        <v>Exceptions</v>
      </c>
      <c r="I129" s="3" t="str">
        <f>_xlfn.IFNA(INDEX(RulebookFields!D2:D999, MATCH(D129,RulebookFields!A2:A999, 0)), "")</f>
        <v>Name</v>
      </c>
      <c r="J129" s="3" t="b">
        <f>_xlfn.IFNA(INDEX(RulebookFields!I2:I999, MATCH(D129,RulebookFields!A2:A999, 0)), "")</f>
        <v>1</v>
      </c>
      <c r="K129" s="3" t="b">
        <f>AND(F129, J129)</f>
        <v>0</v>
      </c>
      <c r="L129" s="3" t="b">
        <f>AND(G129 &lt;&gt; "plain", G129 &lt;&gt; "")</f>
        <v>0</v>
      </c>
      <c r="M129" s="3" t="str">
        <f>IF(E129, C129 &amp; "|" &amp; H129, "")</f>
        <v>principal-cfo|Exceptions</v>
      </c>
      <c r="N129" s="2" t="s">
        <v>9938</v>
      </c>
    </row>
    <row r="130">
      <c r="A130" s="2" t="s">
        <v>10066</v>
      </c>
      <c r="B130" s="3" t="str">
        <f>C130 &amp; " -&gt; " &amp; D130</f>
        <v>principal-cfo -&gt; Exceptions.ProcedureVersion</v>
      </c>
      <c r="C130" s="2" t="s">
        <v>9690</v>
      </c>
      <c r="D130" s="2" t="s">
        <v>3098</v>
      </c>
      <c r="E130" s="2" t="b">
        <v>1</v>
      </c>
      <c r="F130" s="2" t="b">
        <v>0</v>
      </c>
      <c r="G130" s="2" t="s">
        <v>9937</v>
      </c>
      <c r="H130" s="3" t="str">
        <f>_xlfn.IFNA(INDEX(RulebookFields!C2:C999, MATCH(D130,RulebookFields!A2:A999, 0)), "")</f>
        <v>Exceptions</v>
      </c>
      <c r="I130" s="3" t="str">
        <f>_xlfn.IFNA(INDEX(RulebookFields!D2:D999, MATCH(D130,RulebookFields!A2:A999, 0)), "")</f>
        <v>ProcedureVersion</v>
      </c>
      <c r="J130" s="3" t="b">
        <f>_xlfn.IFNA(INDEX(RulebookFields!I2:I999, MATCH(D130,RulebookFields!A2:A999, 0)), "")</f>
        <v>0</v>
      </c>
      <c r="K130" s="3" t="b">
        <f>AND(F130, J130)</f>
        <v>0</v>
      </c>
      <c r="L130" s="3" t="b">
        <f>AND(G130 &lt;&gt; "plain", G130 &lt;&gt; "")</f>
        <v>0</v>
      </c>
      <c r="M130" s="3" t="str">
        <f>IF(E130, C130 &amp; "|" &amp; H130, "")</f>
        <v>principal-cfo|Exceptions</v>
      </c>
      <c r="N130" s="2" t="s">
        <v>9938</v>
      </c>
    </row>
    <row r="131">
      <c r="A131" s="2" t="s">
        <v>10067</v>
      </c>
      <c r="B131" s="3" t="str">
        <f>C131 &amp; " -&gt; " &amp; D131</f>
        <v>principal-cfo -&gt; Exceptions.TriggerStep</v>
      </c>
      <c r="C131" s="2" t="s">
        <v>9690</v>
      </c>
      <c r="D131" s="2" t="s">
        <v>3099</v>
      </c>
      <c r="E131" s="2" t="b">
        <v>1</v>
      </c>
      <c r="F131" s="2" t="b">
        <v>0</v>
      </c>
      <c r="G131" s="2" t="s">
        <v>9937</v>
      </c>
      <c r="H131" s="3" t="str">
        <f>_xlfn.IFNA(INDEX(RulebookFields!C2:C999, MATCH(D131,RulebookFields!A2:A999, 0)), "")</f>
        <v>Exceptions</v>
      </c>
      <c r="I131" s="3" t="str">
        <f>_xlfn.IFNA(INDEX(RulebookFields!D2:D999, MATCH(D131,RulebookFields!A2:A999, 0)), "")</f>
        <v>TriggerStep</v>
      </c>
      <c r="J131" s="3" t="b">
        <f>_xlfn.IFNA(INDEX(RulebookFields!I2:I999, MATCH(D131,RulebookFields!A2:A999, 0)), "")</f>
        <v>0</v>
      </c>
      <c r="K131" s="3" t="b">
        <f>AND(F131, J131)</f>
        <v>0</v>
      </c>
      <c r="L131" s="3" t="b">
        <f>AND(G131 &lt;&gt; "plain", G131 &lt;&gt; "")</f>
        <v>0</v>
      </c>
      <c r="M131" s="3" t="str">
        <f>IF(E131, C131 &amp; "|" &amp; H131, "")</f>
        <v>principal-cfo|Exceptions</v>
      </c>
      <c r="N131" s="2" t="s">
        <v>9938</v>
      </c>
    </row>
    <row r="132">
      <c r="A132" s="2" t="s">
        <v>10068</v>
      </c>
      <c r="B132" s="3" t="str">
        <f>C132 &amp; " -&gt; " &amp; D132</f>
        <v>principal-cfo -&gt; Exceptions.Condition</v>
      </c>
      <c r="C132" s="2" t="s">
        <v>9690</v>
      </c>
      <c r="D132" s="2" t="s">
        <v>3100</v>
      </c>
      <c r="E132" s="2" t="b">
        <v>1</v>
      </c>
      <c r="F132" s="2" t="b">
        <v>0</v>
      </c>
      <c r="G132" s="2" t="s">
        <v>9937</v>
      </c>
      <c r="H132" s="3" t="str">
        <f>_xlfn.IFNA(INDEX(RulebookFields!C2:C999, MATCH(D132,RulebookFields!A2:A999, 0)), "")</f>
        <v>Exceptions</v>
      </c>
      <c r="I132" s="3" t="str">
        <f>_xlfn.IFNA(INDEX(RulebookFields!D2:D999, MATCH(D132,RulebookFields!A2:A999, 0)), "")</f>
        <v>Condition</v>
      </c>
      <c r="J132" s="3" t="b">
        <f>_xlfn.IFNA(INDEX(RulebookFields!I2:I999, MATCH(D132,RulebookFields!A2:A999, 0)), "")</f>
        <v>0</v>
      </c>
      <c r="K132" s="3" t="b">
        <f>AND(F132, J132)</f>
        <v>0</v>
      </c>
      <c r="L132" s="3" t="b">
        <f>AND(G132 &lt;&gt; "plain", G132 &lt;&gt; "")</f>
        <v>0</v>
      </c>
      <c r="M132" s="3" t="str">
        <f>IF(E132, C132 &amp; "|" &amp; H132, "")</f>
        <v>principal-cfo|Exceptions</v>
      </c>
      <c r="N132" s="2" t="s">
        <v>9938</v>
      </c>
    </row>
    <row r="133">
      <c r="A133" s="2" t="s">
        <v>10069</v>
      </c>
      <c r="B133" s="3" t="str">
        <f>C133 &amp; " -&gt; " &amp; D133</f>
        <v>principal-cfo -&gt; Exceptions.Handling</v>
      </c>
      <c r="C133" s="2" t="s">
        <v>9690</v>
      </c>
      <c r="D133" s="2" t="s">
        <v>3101</v>
      </c>
      <c r="E133" s="2" t="b">
        <v>1</v>
      </c>
      <c r="F133" s="2" t="b">
        <v>0</v>
      </c>
      <c r="G133" s="2" t="s">
        <v>9937</v>
      </c>
      <c r="H133" s="3" t="str">
        <f>_xlfn.IFNA(INDEX(RulebookFields!C2:C999, MATCH(D133,RulebookFields!A2:A999, 0)), "")</f>
        <v>Exceptions</v>
      </c>
      <c r="I133" s="3" t="str">
        <f>_xlfn.IFNA(INDEX(RulebookFields!D2:D999, MATCH(D133,RulebookFields!A2:A999, 0)), "")</f>
        <v>Handling</v>
      </c>
      <c r="J133" s="3" t="b">
        <f>_xlfn.IFNA(INDEX(RulebookFields!I2:I999, MATCH(D133,RulebookFields!A2:A999, 0)), "")</f>
        <v>0</v>
      </c>
      <c r="K133" s="3" t="b">
        <f>AND(F133, J133)</f>
        <v>0</v>
      </c>
      <c r="L133" s="3" t="b">
        <f>AND(G133 &lt;&gt; "plain", G133 &lt;&gt; "")</f>
        <v>0</v>
      </c>
      <c r="M133" s="3" t="str">
        <f>IF(E133, C133 &amp; "|" &amp; H133, "")</f>
        <v>principal-cfo|Exceptions</v>
      </c>
      <c r="N133" s="2" t="s">
        <v>9938</v>
      </c>
    </row>
    <row r="134">
      <c r="A134" s="2" t="s">
        <v>10070</v>
      </c>
      <c r="B134" s="3" t="str">
        <f>C134 &amp; " -&gt; " &amp; D134</f>
        <v>principal-cfo -&gt; Exceptions.ApprovalRole</v>
      </c>
      <c r="C134" s="2" t="s">
        <v>9690</v>
      </c>
      <c r="D134" s="2" t="s">
        <v>3102</v>
      </c>
      <c r="E134" s="2" t="b">
        <v>1</v>
      </c>
      <c r="F134" s="2" t="b">
        <v>0</v>
      </c>
      <c r="G134" s="2" t="s">
        <v>9937</v>
      </c>
      <c r="H134" s="3" t="str">
        <f>_xlfn.IFNA(INDEX(RulebookFields!C2:C999, MATCH(D134,RulebookFields!A2:A999, 0)), "")</f>
        <v>Exceptions</v>
      </c>
      <c r="I134" s="3" t="str">
        <f>_xlfn.IFNA(INDEX(RulebookFields!D2:D999, MATCH(D134,RulebookFields!A2:A999, 0)), "")</f>
        <v>ApprovalRole</v>
      </c>
      <c r="J134" s="3" t="b">
        <f>_xlfn.IFNA(INDEX(RulebookFields!I2:I999, MATCH(D134,RulebookFields!A2:A999, 0)), "")</f>
        <v>0</v>
      </c>
      <c r="K134" s="3" t="b">
        <f>AND(F134, J134)</f>
        <v>0</v>
      </c>
      <c r="L134" s="3" t="b">
        <f>AND(G134 &lt;&gt; "plain", G134 &lt;&gt; "")</f>
        <v>0</v>
      </c>
      <c r="M134" s="3" t="str">
        <f>IF(E134, C134 &amp; "|" &amp; H134, "")</f>
        <v>principal-cfo|Exceptions</v>
      </c>
      <c r="N134" s="2" t="s">
        <v>9938</v>
      </c>
    </row>
    <row r="135">
      <c r="A135" s="2" t="s">
        <v>10071</v>
      </c>
      <c r="B135" s="3" t="str">
        <f>C135 &amp; " -&gt; " &amp; D135</f>
        <v>principal-cfo -&gt; Exceptions.FallbackRole</v>
      </c>
      <c r="C135" s="2" t="s">
        <v>9690</v>
      </c>
      <c r="D135" s="2" t="s">
        <v>3103</v>
      </c>
      <c r="E135" s="2" t="b">
        <v>1</v>
      </c>
      <c r="F135" s="2" t="b">
        <v>0</v>
      </c>
      <c r="G135" s="2" t="s">
        <v>9937</v>
      </c>
      <c r="H135" s="3" t="str">
        <f>_xlfn.IFNA(INDEX(RulebookFields!C2:C999, MATCH(D135,RulebookFields!A2:A999, 0)), "")</f>
        <v>Exceptions</v>
      </c>
      <c r="I135" s="3" t="str">
        <f>_xlfn.IFNA(INDEX(RulebookFields!D2:D999, MATCH(D135,RulebookFields!A2:A999, 0)), "")</f>
        <v>FallbackRole</v>
      </c>
      <c r="J135" s="3" t="b">
        <f>_xlfn.IFNA(INDEX(RulebookFields!I2:I999, MATCH(D135,RulebookFields!A2:A999, 0)), "")</f>
        <v>0</v>
      </c>
      <c r="K135" s="3" t="b">
        <f>AND(F135, J135)</f>
        <v>0</v>
      </c>
      <c r="L135" s="3" t="b">
        <f>AND(G135 &lt;&gt; "plain", G135 &lt;&gt; "")</f>
        <v>0</v>
      </c>
      <c r="M135" s="3" t="str">
        <f>IF(E135, C135 &amp; "|" &amp; H135, "")</f>
        <v>principal-cfo|Exceptions</v>
      </c>
      <c r="N135" s="2" t="s">
        <v>9938</v>
      </c>
    </row>
    <row r="136">
      <c r="A136" s="2" t="s">
        <v>10072</v>
      </c>
      <c r="B136" s="3" t="str">
        <f>C136 &amp; " -&gt; " &amp; D136</f>
        <v>principal-cfo -&gt; Exceptions.Status</v>
      </c>
      <c r="C136" s="2" t="s">
        <v>9690</v>
      </c>
      <c r="D136" s="2" t="s">
        <v>3104</v>
      </c>
      <c r="E136" s="2" t="b">
        <v>1</v>
      </c>
      <c r="F136" s="2" t="b">
        <v>0</v>
      </c>
      <c r="G136" s="2" t="s">
        <v>9937</v>
      </c>
      <c r="H136" s="3" t="str">
        <f>_xlfn.IFNA(INDEX(RulebookFields!C2:C999, MATCH(D136,RulebookFields!A2:A999, 0)), "")</f>
        <v>Exceptions</v>
      </c>
      <c r="I136" s="3" t="str">
        <f>_xlfn.IFNA(INDEX(RulebookFields!D2:D999, MATCH(D136,RulebookFields!A2:A999, 0)), "")</f>
        <v>Status</v>
      </c>
      <c r="J136" s="3" t="b">
        <f>_xlfn.IFNA(INDEX(RulebookFields!I2:I999, MATCH(D136,RulebookFields!A2:A999, 0)), "")</f>
        <v>0</v>
      </c>
      <c r="K136" s="3" t="b">
        <f>AND(F136, J136)</f>
        <v>0</v>
      </c>
      <c r="L136" s="3" t="b">
        <f>AND(G136 &lt;&gt; "plain", G136 &lt;&gt; "")</f>
        <v>0</v>
      </c>
      <c r="M136" s="3" t="str">
        <f>IF(E136, C136 &amp; "|" &amp; H136, "")</f>
        <v>principal-cfo|Exceptions</v>
      </c>
      <c r="N136" s="2" t="s">
        <v>9938</v>
      </c>
    </row>
    <row r="137">
      <c r="A137" s="2" t="s">
        <v>10073</v>
      </c>
      <c r="B137" s="3" t="str">
        <f>C137 &amp; " -&gt; " &amp; D137</f>
        <v>principal-cfo -&gt; Exceptions.ActiveExceptionStepKey</v>
      </c>
      <c r="C137" s="2" t="s">
        <v>9690</v>
      </c>
      <c r="D137" s="2" t="s">
        <v>3105</v>
      </c>
      <c r="E137" s="2" t="b">
        <v>1</v>
      </c>
      <c r="F137" s="2" t="b">
        <v>0</v>
      </c>
      <c r="G137" s="2" t="s">
        <v>9937</v>
      </c>
      <c r="H137" s="3" t="str">
        <f>_xlfn.IFNA(INDEX(RulebookFields!C2:C999, MATCH(D137,RulebookFields!A2:A999, 0)), "")</f>
        <v>Exceptions</v>
      </c>
      <c r="I137" s="3" t="str">
        <f>_xlfn.IFNA(INDEX(RulebookFields!D2:D999, MATCH(D137,RulebookFields!A2:A999, 0)), "")</f>
        <v>ActiveExceptionStepKey</v>
      </c>
      <c r="J137" s="3" t="b">
        <f>_xlfn.IFNA(INDEX(RulebookFields!I2:I999, MATCH(D137,RulebookFields!A2:A999, 0)), "")</f>
        <v>1</v>
      </c>
      <c r="K137" s="3" t="b">
        <f>AND(F137, J137)</f>
        <v>0</v>
      </c>
      <c r="L137" s="3" t="b">
        <f>AND(G137 &lt;&gt; "plain", G137 &lt;&gt; "")</f>
        <v>0</v>
      </c>
      <c r="M137" s="3" t="str">
        <f>IF(E137, C137 &amp; "|" &amp; H137, "")</f>
        <v>principal-cfo|Exceptions</v>
      </c>
      <c r="N137" s="2" t="s">
        <v>9938</v>
      </c>
    </row>
    <row r="138">
      <c r="A138" s="2" t="s">
        <v>10074</v>
      </c>
      <c r="B138" s="3" t="str">
        <f>C138 &amp; " -&gt; " &amp; D138</f>
        <v>principal-cfo -&gt; Exceptions.SemanticTypeIri</v>
      </c>
      <c r="C138" s="2" t="s">
        <v>9690</v>
      </c>
      <c r="D138" s="2" t="s">
        <v>3107</v>
      </c>
      <c r="E138" s="2" t="b">
        <v>1</v>
      </c>
      <c r="F138" s="2" t="b">
        <v>0</v>
      </c>
      <c r="G138" s="2" t="s">
        <v>9937</v>
      </c>
      <c r="H138" s="3" t="str">
        <f>_xlfn.IFNA(INDEX(RulebookFields!C2:C999, MATCH(D138,RulebookFields!A2:A999, 0)), "")</f>
        <v>Exceptions</v>
      </c>
      <c r="I138" s="3" t="str">
        <f>_xlfn.IFNA(INDEX(RulebookFields!D2:D999, MATCH(D138,RulebookFields!A2:A999, 0)), "")</f>
        <v>SemanticTypeIri</v>
      </c>
      <c r="J138" s="3" t="b">
        <f>_xlfn.IFNA(INDEX(RulebookFields!I2:I999, MATCH(D138,RulebookFields!A2:A999, 0)), "")</f>
        <v>0</v>
      </c>
      <c r="K138" s="3" t="b">
        <f>AND(F138, J138)</f>
        <v>0</v>
      </c>
      <c r="L138" s="3" t="b">
        <f>AND(G138 &lt;&gt; "plain", G138 &lt;&gt; "")</f>
        <v>0</v>
      </c>
      <c r="M138" s="3" t="str">
        <f>IF(E138, C138 &amp; "|" &amp; H138, "")</f>
        <v>principal-cfo|Exceptions</v>
      </c>
      <c r="N138" s="2" t="s">
        <v>9938</v>
      </c>
    </row>
    <row r="139">
      <c r="A139" s="2" t="s">
        <v>10075</v>
      </c>
      <c r="B139" s="3" t="str">
        <f>C139 &amp; " -&gt; " &amp; D139</f>
        <v>principal-cfo -&gt; ChangeRequests.ChangeRequestId</v>
      </c>
      <c r="C139" s="2" t="s">
        <v>9690</v>
      </c>
      <c r="D139" s="2" t="s">
        <v>3847</v>
      </c>
      <c r="E139" s="2" t="b">
        <v>1</v>
      </c>
      <c r="F139" s="2" t="b">
        <v>0</v>
      </c>
      <c r="G139" s="2" t="s">
        <v>9937</v>
      </c>
      <c r="H139" s="3" t="str">
        <f>_xlfn.IFNA(INDEX(RulebookFields!C2:C999, MATCH(D139,RulebookFields!A2:A999, 0)), "")</f>
        <v>ChangeRequests</v>
      </c>
      <c r="I139" s="3" t="str">
        <f>_xlfn.IFNA(INDEX(RulebookFields!D2:D999, MATCH(D139,RulebookFields!A2:A999, 0)), "")</f>
        <v>ChangeRequestId</v>
      </c>
      <c r="J139" s="3" t="b">
        <f>_xlfn.IFNA(INDEX(RulebookFields!I2:I999, MATCH(D139,RulebookFields!A2:A999, 0)), "")</f>
        <v>0</v>
      </c>
      <c r="K139" s="3" t="b">
        <f>AND(F139, J139)</f>
        <v>0</v>
      </c>
      <c r="L139" s="3" t="b">
        <f>AND(G139 &lt;&gt; "plain", G139 &lt;&gt; "")</f>
        <v>0</v>
      </c>
      <c r="M139" s="3" t="str">
        <f>IF(E139, C139 &amp; "|" &amp; H139, "")</f>
        <v>principal-cfo|ChangeRequests</v>
      </c>
      <c r="N139" s="2" t="s">
        <v>9938</v>
      </c>
    </row>
    <row r="140">
      <c r="A140" s="2" t="s">
        <v>10076</v>
      </c>
      <c r="B140" s="3" t="str">
        <f>C140 &amp; " -&gt; " &amp; D140</f>
        <v>principal-cfo -&gt; ChangeRequests.Title</v>
      </c>
      <c r="C140" s="2" t="s">
        <v>9690</v>
      </c>
      <c r="D140" s="2" t="s">
        <v>3851</v>
      </c>
      <c r="E140" s="2" t="b">
        <v>1</v>
      </c>
      <c r="F140" s="2" t="b">
        <v>0</v>
      </c>
      <c r="G140" s="2" t="s">
        <v>9937</v>
      </c>
      <c r="H140" s="3" t="str">
        <f>_xlfn.IFNA(INDEX(RulebookFields!C2:C999, MATCH(D140,RulebookFields!A2:A999, 0)), "")</f>
        <v>ChangeRequests</v>
      </c>
      <c r="I140" s="3" t="str">
        <f>_xlfn.IFNA(INDEX(RulebookFields!D2:D999, MATCH(D140,RulebookFields!A2:A999, 0)), "")</f>
        <v>Title</v>
      </c>
      <c r="J140" s="3" t="b">
        <f>_xlfn.IFNA(INDEX(RulebookFields!I2:I999, MATCH(D140,RulebookFields!A2:A999, 0)), "")</f>
        <v>0</v>
      </c>
      <c r="K140" s="3" t="b">
        <f>AND(F140, J140)</f>
        <v>0</v>
      </c>
      <c r="L140" s="3" t="b">
        <f>AND(G140 &lt;&gt; "plain", G140 &lt;&gt; "")</f>
        <v>0</v>
      </c>
      <c r="M140" s="3" t="str">
        <f>IF(E140, C140 &amp; "|" &amp; H140, "")</f>
        <v>principal-cfo|ChangeRequests</v>
      </c>
      <c r="N140" s="2" t="s">
        <v>9938</v>
      </c>
    </row>
    <row r="141">
      <c r="A141" s="2" t="s">
        <v>10077</v>
      </c>
      <c r="B141" s="3" t="str">
        <f>C141 &amp; " -&gt; " &amp; D141</f>
        <v>principal-cfo -&gt; ChangeRequests.ChangeKind</v>
      </c>
      <c r="C141" s="2" t="s">
        <v>9690</v>
      </c>
      <c r="D141" s="2" t="s">
        <v>3852</v>
      </c>
      <c r="E141" s="2" t="b">
        <v>1</v>
      </c>
      <c r="F141" s="2" t="b">
        <v>0</v>
      </c>
      <c r="G141" s="2" t="s">
        <v>9937</v>
      </c>
      <c r="H141" s="3" t="str">
        <f>_xlfn.IFNA(INDEX(RulebookFields!C2:C999, MATCH(D141,RulebookFields!A2:A999, 0)), "")</f>
        <v>ChangeRequests</v>
      </c>
      <c r="I141" s="3" t="str">
        <f>_xlfn.IFNA(INDEX(RulebookFields!D2:D999, MATCH(D141,RulebookFields!A2:A999, 0)), "")</f>
        <v>ChangeKind</v>
      </c>
      <c r="J141" s="3" t="b">
        <f>_xlfn.IFNA(INDEX(RulebookFields!I2:I999, MATCH(D141,RulebookFields!A2:A999, 0)), "")</f>
        <v>0</v>
      </c>
      <c r="K141" s="3" t="b">
        <f>AND(F141, J141)</f>
        <v>0</v>
      </c>
      <c r="L141" s="3" t="b">
        <f>AND(G141 &lt;&gt; "plain", G141 &lt;&gt; "")</f>
        <v>0</v>
      </c>
      <c r="M141" s="3" t="str">
        <f>IF(E141, C141 &amp; "|" &amp; H141, "")</f>
        <v>principal-cfo|ChangeRequests</v>
      </c>
      <c r="N141" s="2" t="s">
        <v>9938</v>
      </c>
    </row>
    <row r="142">
      <c r="A142" s="2" t="s">
        <v>10078</v>
      </c>
      <c r="B142" s="3" t="str">
        <f>C142 &amp; " -&gt; " &amp; D142</f>
        <v>principal-cfo -&gt; ChangeRequests.Status</v>
      </c>
      <c r="C142" s="2" t="s">
        <v>9690</v>
      </c>
      <c r="D142" s="2" t="s">
        <v>3853</v>
      </c>
      <c r="E142" s="2" t="b">
        <v>1</v>
      </c>
      <c r="F142" s="2" t="b">
        <v>0</v>
      </c>
      <c r="G142" s="2" t="s">
        <v>9937</v>
      </c>
      <c r="H142" s="3" t="str">
        <f>_xlfn.IFNA(INDEX(RulebookFields!C2:C999, MATCH(D142,RulebookFields!A2:A999, 0)), "")</f>
        <v>ChangeRequests</v>
      </c>
      <c r="I142" s="3" t="str">
        <f>_xlfn.IFNA(INDEX(RulebookFields!D2:D999, MATCH(D142,RulebookFields!A2:A999, 0)), "")</f>
        <v>Status</v>
      </c>
      <c r="J142" s="3" t="b">
        <f>_xlfn.IFNA(INDEX(RulebookFields!I2:I999, MATCH(D142,RulebookFields!A2:A999, 0)), "")</f>
        <v>0</v>
      </c>
      <c r="K142" s="3" t="b">
        <f>AND(F142, J142)</f>
        <v>0</v>
      </c>
      <c r="L142" s="3" t="b">
        <f>AND(G142 &lt;&gt; "plain", G142 &lt;&gt; "")</f>
        <v>0</v>
      </c>
      <c r="M142" s="3" t="str">
        <f>IF(E142, C142 &amp; "|" &amp; H142, "")</f>
        <v>principal-cfo|ChangeRequests</v>
      </c>
      <c r="N142" s="2" t="s">
        <v>9938</v>
      </c>
    </row>
    <row r="143">
      <c r="A143" s="2" t="s">
        <v>10079</v>
      </c>
      <c r="B143" s="3" t="str">
        <f>C143 &amp; " -&gt; " &amp; D143</f>
        <v>principal-cfo -&gt; ChangeRequests.RequestedAt</v>
      </c>
      <c r="C143" s="2" t="s">
        <v>9690</v>
      </c>
      <c r="D143" s="2" t="s">
        <v>3856</v>
      </c>
      <c r="E143" s="2" t="b">
        <v>1</v>
      </c>
      <c r="F143" s="2" t="b">
        <v>0</v>
      </c>
      <c r="G143" s="2" t="s">
        <v>9937</v>
      </c>
      <c r="H143" s="3" t="str">
        <f>_xlfn.IFNA(INDEX(RulebookFields!C2:C999, MATCH(D143,RulebookFields!A2:A999, 0)), "")</f>
        <v>ChangeRequests</v>
      </c>
      <c r="I143" s="3" t="str">
        <f>_xlfn.IFNA(INDEX(RulebookFields!D2:D999, MATCH(D143,RulebookFields!A2:A999, 0)), "")</f>
        <v>RequestedAt</v>
      </c>
      <c r="J143" s="3" t="b">
        <f>_xlfn.IFNA(INDEX(RulebookFields!I2:I999, MATCH(D143,RulebookFields!A2:A999, 0)), "")</f>
        <v>0</v>
      </c>
      <c r="K143" s="3" t="b">
        <f>AND(F143, J143)</f>
        <v>0</v>
      </c>
      <c r="L143" s="3" t="b">
        <f>AND(G143 &lt;&gt; "plain", G143 &lt;&gt; "")</f>
        <v>0</v>
      </c>
      <c r="M143" s="3" t="str">
        <f>IF(E143, C143 &amp; "|" &amp; H143, "")</f>
        <v>principal-cfo|ChangeRequests</v>
      </c>
      <c r="N143" s="2" t="s">
        <v>9938</v>
      </c>
    </row>
    <row r="144">
      <c r="A144" s="2" t="s">
        <v>10080</v>
      </c>
      <c r="B144" s="3" t="str">
        <f>C144 &amp; " -&gt; " &amp; D144</f>
        <v>principal-cfo -&gt; ChangeRequests.DecidedAt</v>
      </c>
      <c r="C144" s="2" t="s">
        <v>9690</v>
      </c>
      <c r="D144" s="2" t="s">
        <v>3857</v>
      </c>
      <c r="E144" s="2" t="b">
        <v>1</v>
      </c>
      <c r="F144" s="2" t="b">
        <v>0</v>
      </c>
      <c r="G144" s="2" t="s">
        <v>9937</v>
      </c>
      <c r="H144" s="3" t="str">
        <f>_xlfn.IFNA(INDEX(RulebookFields!C2:C999, MATCH(D144,RulebookFields!A2:A999, 0)), "")</f>
        <v>ChangeRequests</v>
      </c>
      <c r="I144" s="3" t="str">
        <f>_xlfn.IFNA(INDEX(RulebookFields!D2:D999, MATCH(D144,RulebookFields!A2:A999, 0)), "")</f>
        <v>DecidedAt</v>
      </c>
      <c r="J144" s="3" t="b">
        <f>_xlfn.IFNA(INDEX(RulebookFields!I2:I999, MATCH(D144,RulebookFields!A2:A999, 0)), "")</f>
        <v>0</v>
      </c>
      <c r="K144" s="3" t="b">
        <f>AND(F144, J144)</f>
        <v>0</v>
      </c>
      <c r="L144" s="3" t="b">
        <f>AND(G144 &lt;&gt; "plain", G144 &lt;&gt; "")</f>
        <v>0</v>
      </c>
      <c r="M144" s="3" t="str">
        <f>IF(E144, C144 &amp; "|" &amp; H144, "")</f>
        <v>principal-cfo|ChangeRequests</v>
      </c>
      <c r="N144" s="2" t="s">
        <v>9938</v>
      </c>
    </row>
    <row r="145">
      <c r="A145" s="2" t="s">
        <v>10081</v>
      </c>
      <c r="B145" s="3" t="str">
        <f>C145 &amp; " -&gt; " &amp; D145</f>
        <v>principal-cfo -&gt; ChangeRequests.ImpactAssessment</v>
      </c>
      <c r="C145" s="2" t="s">
        <v>9690</v>
      </c>
      <c r="D145" s="2" t="s">
        <v>3858</v>
      </c>
      <c r="E145" s="2" t="b">
        <v>1</v>
      </c>
      <c r="F145" s="2" t="b">
        <v>0</v>
      </c>
      <c r="G145" s="2" t="s">
        <v>9937</v>
      </c>
      <c r="H145" s="3" t="str">
        <f>_xlfn.IFNA(INDEX(RulebookFields!C2:C999, MATCH(D145,RulebookFields!A2:A999, 0)), "")</f>
        <v>ChangeRequests</v>
      </c>
      <c r="I145" s="3" t="str">
        <f>_xlfn.IFNA(INDEX(RulebookFields!D2:D999, MATCH(D145,RulebookFields!A2:A999, 0)), "")</f>
        <v>ImpactAssessment</v>
      </c>
      <c r="J145" s="3" t="b">
        <f>_xlfn.IFNA(INDEX(RulebookFields!I2:I999, MATCH(D145,RulebookFields!A2:A999, 0)), "")</f>
        <v>0</v>
      </c>
      <c r="K145" s="3" t="b">
        <f>AND(F145, J145)</f>
        <v>0</v>
      </c>
      <c r="L145" s="3" t="b">
        <f>AND(G145 &lt;&gt; "plain", G145 &lt;&gt; "")</f>
        <v>0</v>
      </c>
      <c r="M145" s="3" t="str">
        <f>IF(E145, C145 &amp; "|" &amp; H145, "")</f>
        <v>principal-cfo|ChangeRequests</v>
      </c>
      <c r="N145" s="2" t="s">
        <v>9938</v>
      </c>
    </row>
    <row r="146">
      <c r="A146" s="2" t="s">
        <v>10082</v>
      </c>
      <c r="B146" s="3" t="str">
        <f>C146 &amp; " -&gt; " &amp; D146</f>
        <v>principal-cfo -&gt; ChangeRequests.IsOpen</v>
      </c>
      <c r="C146" s="2" t="s">
        <v>9690</v>
      </c>
      <c r="D146" s="2" t="s">
        <v>3859</v>
      </c>
      <c r="E146" s="2" t="b">
        <v>1</v>
      </c>
      <c r="F146" s="2" t="b">
        <v>0</v>
      </c>
      <c r="G146" s="2" t="s">
        <v>9937</v>
      </c>
      <c r="H146" s="3" t="str">
        <f>_xlfn.IFNA(INDEX(RulebookFields!C2:C999, MATCH(D146,RulebookFields!A2:A999, 0)), "")</f>
        <v>ChangeRequests</v>
      </c>
      <c r="I146" s="3" t="str">
        <f>_xlfn.IFNA(INDEX(RulebookFields!D2:D999, MATCH(D146,RulebookFields!A2:A999, 0)), "")</f>
        <v>IsOpen</v>
      </c>
      <c r="J146" s="3" t="b">
        <f>_xlfn.IFNA(INDEX(RulebookFields!I2:I999, MATCH(D146,RulebookFields!A2:A999, 0)), "")</f>
        <v>1</v>
      </c>
      <c r="K146" s="3" t="b">
        <f>AND(F146, J146)</f>
        <v>0</v>
      </c>
      <c r="L146" s="3" t="b">
        <f>AND(G146 &lt;&gt; "plain", G146 &lt;&gt; "")</f>
        <v>0</v>
      </c>
      <c r="M146" s="3" t="str">
        <f>IF(E146, C146 &amp; "|" &amp; H146, "")</f>
        <v>principal-cfo|ChangeRequests</v>
      </c>
      <c r="N146" s="2" t="s">
        <v>9938</v>
      </c>
    </row>
    <row r="147">
      <c r="A147" s="2" t="s">
        <v>10083</v>
      </c>
      <c r="B147" s="3" t="str">
        <f>C147 &amp; " -&gt; " &amp; D147</f>
        <v>principal-cfo -&gt; ChangeRequests.Name</v>
      </c>
      <c r="C147" s="2" t="s">
        <v>9690</v>
      </c>
      <c r="D147" s="2" t="s">
        <v>3849</v>
      </c>
      <c r="E147" s="2" t="b">
        <v>1</v>
      </c>
      <c r="F147" s="2" t="b">
        <v>0</v>
      </c>
      <c r="G147" s="2" t="s">
        <v>9937</v>
      </c>
      <c r="H147" s="3" t="str">
        <f>_xlfn.IFNA(INDEX(RulebookFields!C2:C999, MATCH(D147,RulebookFields!A2:A999, 0)), "")</f>
        <v>ChangeRequests</v>
      </c>
      <c r="I147" s="3" t="str">
        <f>_xlfn.IFNA(INDEX(RulebookFields!D2:D999, MATCH(D147,RulebookFields!A2:A999, 0)), "")</f>
        <v>Name</v>
      </c>
      <c r="J147" s="3" t="b">
        <f>_xlfn.IFNA(INDEX(RulebookFields!I2:I999, MATCH(D147,RulebookFields!A2:A999, 0)), "")</f>
        <v>1</v>
      </c>
      <c r="K147" s="3" t="b">
        <f>AND(F147, J147)</f>
        <v>0</v>
      </c>
      <c r="L147" s="3" t="b">
        <f>AND(G147 &lt;&gt; "plain", G147 &lt;&gt; "")</f>
        <v>0</v>
      </c>
      <c r="M147" s="3" t="str">
        <f>IF(E147, C147 &amp; "|" &amp; H147, "")</f>
        <v>principal-cfo|ChangeRequests</v>
      </c>
      <c r="N147" s="2" t="s">
        <v>9938</v>
      </c>
    </row>
    <row r="148">
      <c r="A148" s="2" t="s">
        <v>10084</v>
      </c>
      <c r="B148" s="3" t="str">
        <f>C148 &amp; " -&gt; " &amp; D148</f>
        <v>principal-cfo -&gt; AuthorityBoundaries.AuthorityBoundaryId</v>
      </c>
      <c r="C148" s="2" t="s">
        <v>9690</v>
      </c>
      <c r="D148" s="2" t="s">
        <v>5064</v>
      </c>
      <c r="E148" s="2" t="b">
        <v>1</v>
      </c>
      <c r="F148" s="2" t="b">
        <v>0</v>
      </c>
      <c r="G148" s="2" t="s">
        <v>9937</v>
      </c>
      <c r="H148" s="3" t="str">
        <f>_xlfn.IFNA(INDEX(RulebookFields!C2:C999, MATCH(D148,RulebookFields!A2:A999, 0)), "")</f>
      </c>
      <c r="I148" s="3" t="str">
        <f>_xlfn.IFNA(INDEX(RulebookFields!D2:D999, MATCH(D148,RulebookFields!A2:A999, 0)), "")</f>
      </c>
      <c r="J148" s="3" t="str">
        <f>_xlfn.IFNA(INDEX(RulebookFields!I2:I999, MATCH(D148,RulebookFields!A2:A999, 0)), "")</f>
      </c>
      <c r="K148" s="3" t="b">
        <f>AND(F148, J148)</f>
        <v>0</v>
      </c>
      <c r="L148" s="3" t="b">
        <f>AND(G148 &lt;&gt; "plain", G148 &lt;&gt; "")</f>
        <v>0</v>
      </c>
      <c r="M148" s="3" t="str">
        <f>IF(E148, C148 &amp; "|" &amp; H148, "")</f>
        <v>principal-cfo|</v>
      </c>
      <c r="N148" s="2" t="s">
        <v>9938</v>
      </c>
    </row>
    <row r="149">
      <c r="A149" s="2" t="s">
        <v>10085</v>
      </c>
      <c r="B149" s="3" t="str">
        <f>C149 &amp; " -&gt; " &amp; D149</f>
        <v>principal-cfo -&gt; AuthorityBoundaries.ForbiddenAgentKind</v>
      </c>
      <c r="C149" s="2" t="s">
        <v>9690</v>
      </c>
      <c r="D149" s="2" t="s">
        <v>5070</v>
      </c>
      <c r="E149" s="2" t="b">
        <v>1</v>
      </c>
      <c r="F149" s="2" t="b">
        <v>0</v>
      </c>
      <c r="G149" s="2" t="s">
        <v>9937</v>
      </c>
      <c r="H149" s="3" t="str">
        <f>_xlfn.IFNA(INDEX(RulebookFields!C2:C999, MATCH(D149,RulebookFields!A2:A999, 0)), "")</f>
      </c>
      <c r="I149" s="3" t="str">
        <f>_xlfn.IFNA(INDEX(RulebookFields!D2:D999, MATCH(D149,RulebookFields!A2:A999, 0)), "")</f>
      </c>
      <c r="J149" s="3" t="str">
        <f>_xlfn.IFNA(INDEX(RulebookFields!I2:I999, MATCH(D149,RulebookFields!A2:A999, 0)), "")</f>
      </c>
      <c r="K149" s="3" t="b">
        <f>AND(F149, J149)</f>
        <v>0</v>
      </c>
      <c r="L149" s="3" t="b">
        <f>AND(G149 &lt;&gt; "plain", G149 &lt;&gt; "")</f>
        <v>0</v>
      </c>
      <c r="M149" s="3" t="str">
        <f>IF(E149, C149 &amp; "|" &amp; H149, "")</f>
        <v>principal-cfo|</v>
      </c>
      <c r="N149" s="2" t="s">
        <v>9938</v>
      </c>
    </row>
    <row r="150">
      <c r="A150" s="2" t="s">
        <v>10086</v>
      </c>
      <c r="B150" s="3" t="str">
        <f>C150 &amp; " -&gt; " &amp; D150</f>
        <v>principal-cfo -&gt; AuthorityBoundaries.ForbiddenDecisionKind</v>
      </c>
      <c r="C150" s="2" t="s">
        <v>9690</v>
      </c>
      <c r="D150" s="2" t="s">
        <v>5072</v>
      </c>
      <c r="E150" s="2" t="b">
        <v>1</v>
      </c>
      <c r="F150" s="2" t="b">
        <v>0</v>
      </c>
      <c r="G150" s="2" t="s">
        <v>9937</v>
      </c>
      <c r="H150" s="3" t="str">
        <f>_xlfn.IFNA(INDEX(RulebookFields!C2:C999, MATCH(D150,RulebookFields!A2:A999, 0)), "")</f>
      </c>
      <c r="I150" s="3" t="str">
        <f>_xlfn.IFNA(INDEX(RulebookFields!D2:D999, MATCH(D150,RulebookFields!A2:A999, 0)), "")</f>
      </c>
      <c r="J150" s="3" t="str">
        <f>_xlfn.IFNA(INDEX(RulebookFields!I2:I999, MATCH(D150,RulebookFields!A2:A999, 0)), "")</f>
      </c>
      <c r="K150" s="3" t="b">
        <f>AND(F150, J150)</f>
        <v>0</v>
      </c>
      <c r="L150" s="3" t="b">
        <f>AND(G150 &lt;&gt; "plain", G150 &lt;&gt; "")</f>
        <v>0</v>
      </c>
      <c r="M150" s="3" t="str">
        <f>IF(E150, C150 &amp; "|" &amp; H150, "")</f>
        <v>principal-cfo|</v>
      </c>
      <c r="N150" s="2" t="s">
        <v>9938</v>
      </c>
    </row>
    <row r="151">
      <c r="A151" s="2" t="s">
        <v>10087</v>
      </c>
      <c r="B151" s="3" t="str">
        <f>C151 &amp; " -&gt; " &amp; D151</f>
        <v>principal-cfo -&gt; AuthorityBoundaries.Status</v>
      </c>
      <c r="C151" s="2" t="s">
        <v>9690</v>
      </c>
      <c r="D151" s="2" t="s">
        <v>5081</v>
      </c>
      <c r="E151" s="2" t="b">
        <v>1</v>
      </c>
      <c r="F151" s="2" t="b">
        <v>0</v>
      </c>
      <c r="G151" s="2" t="s">
        <v>9937</v>
      </c>
      <c r="H151" s="3" t="str">
        <f>_xlfn.IFNA(INDEX(RulebookFields!C2:C999, MATCH(D151,RulebookFields!A2:A999, 0)), "")</f>
      </c>
      <c r="I151" s="3" t="str">
        <f>_xlfn.IFNA(INDEX(RulebookFields!D2:D999, MATCH(D151,RulebookFields!A2:A999, 0)), "")</f>
      </c>
      <c r="J151" s="3" t="str">
        <f>_xlfn.IFNA(INDEX(RulebookFields!I2:I999, MATCH(D151,RulebookFields!A2:A999, 0)), "")</f>
      </c>
      <c r="K151" s="3" t="b">
        <f>AND(F151, J151)</f>
        <v>0</v>
      </c>
      <c r="L151" s="3" t="b">
        <f>AND(G151 &lt;&gt; "plain", G151 &lt;&gt; "")</f>
        <v>0</v>
      </c>
      <c r="M151" s="3" t="str">
        <f>IF(E151, C151 &amp; "|" &amp; H151, "")</f>
        <v>principal-cfo|</v>
      </c>
      <c r="N151" s="2" t="s">
        <v>9938</v>
      </c>
    </row>
    <row r="152">
      <c r="A152" s="2" t="s">
        <v>10088</v>
      </c>
      <c r="B152" s="3" t="str">
        <f>C152 &amp; " -&gt; " &amp; D152</f>
        <v>principal-cfo -&gt; AuthorityBoundaries.AuthorityRole</v>
      </c>
      <c r="C152" s="2" t="s">
        <v>9690</v>
      </c>
      <c r="D152" s="2" t="s">
        <v>5078</v>
      </c>
      <c r="E152" s="2" t="b">
        <v>1</v>
      </c>
      <c r="F152" s="2" t="b">
        <v>0</v>
      </c>
      <c r="G152" s="2" t="s">
        <v>9937</v>
      </c>
      <c r="H152" s="3" t="str">
        <f>_xlfn.IFNA(INDEX(RulebookFields!C2:C999, MATCH(D152,RulebookFields!A2:A999, 0)), "")</f>
      </c>
      <c r="I152" s="3" t="str">
        <f>_xlfn.IFNA(INDEX(RulebookFields!D2:D999, MATCH(D152,RulebookFields!A2:A999, 0)), "")</f>
      </c>
      <c r="J152" s="3" t="str">
        <f>_xlfn.IFNA(INDEX(RulebookFields!I2:I999, MATCH(D152,RulebookFields!A2:A999, 0)), "")</f>
      </c>
      <c r="K152" s="3" t="b">
        <f>AND(F152, J152)</f>
        <v>0</v>
      </c>
      <c r="L152" s="3" t="b">
        <f>AND(G152 &lt;&gt; "plain", G152 &lt;&gt; "")</f>
        <v>0</v>
      </c>
      <c r="M152" s="3" t="str">
        <f>IF(E152, C152 &amp; "|" &amp; H152, "")</f>
        <v>principal-cfo|</v>
      </c>
      <c r="N152" s="2" t="s">
        <v>9938</v>
      </c>
    </row>
    <row r="153">
      <c r="A153" s="2" t="s">
        <v>10089</v>
      </c>
      <c r="B153" s="3" t="str">
        <f>C153 &amp; " -&gt; " &amp; D153</f>
        <v>principal-cfo -&gt; AuthorityBoundaries.Step</v>
      </c>
      <c r="C153" s="2" t="s">
        <v>9690</v>
      </c>
      <c r="D153" s="2" t="s">
        <v>5069</v>
      </c>
      <c r="E153" s="2" t="b">
        <v>1</v>
      </c>
      <c r="F153" s="2" t="b">
        <v>0</v>
      </c>
      <c r="G153" s="2" t="s">
        <v>9937</v>
      </c>
      <c r="H153" s="3" t="str">
        <f>_xlfn.IFNA(INDEX(RulebookFields!C2:C999, MATCH(D153,RulebookFields!A2:A999, 0)), "")</f>
      </c>
      <c r="I153" s="3" t="str">
        <f>_xlfn.IFNA(INDEX(RulebookFields!D2:D999, MATCH(D153,RulebookFields!A2:A999, 0)), "")</f>
      </c>
      <c r="J153" s="3" t="str">
        <f>_xlfn.IFNA(INDEX(RulebookFields!I2:I999, MATCH(D153,RulebookFields!A2:A999, 0)), "")</f>
      </c>
      <c r="K153" s="3" t="b">
        <f>AND(F153, J153)</f>
        <v>0</v>
      </c>
      <c r="L153" s="3" t="b">
        <f>AND(G153 &lt;&gt; "plain", G153 &lt;&gt; "")</f>
        <v>0</v>
      </c>
      <c r="M153" s="3" t="str">
        <f>IF(E153, C153 &amp; "|" &amp; H153, "")</f>
        <v>principal-cfo|</v>
      </c>
      <c r="N153" s="2" t="s">
        <v>9938</v>
      </c>
    </row>
    <row r="154">
      <c r="A154" s="2" t="s">
        <v>10090</v>
      </c>
      <c r="B154" s="3" t="str">
        <f>C154 &amp; " -&gt; " &amp; D154</f>
        <v>principal-cfo -&gt; AuthorityBoundaries.Name</v>
      </c>
      <c r="C154" s="2" t="s">
        <v>9690</v>
      </c>
      <c r="D154" s="2" t="s">
        <v>5067</v>
      </c>
      <c r="E154" s="2" t="b">
        <v>1</v>
      </c>
      <c r="F154" s="2" t="b">
        <v>0</v>
      </c>
      <c r="G154" s="2" t="s">
        <v>9937</v>
      </c>
      <c r="H154" s="3" t="str">
        <f>_xlfn.IFNA(INDEX(RulebookFields!C2:C999, MATCH(D154,RulebookFields!A2:A999, 0)), "")</f>
      </c>
      <c r="I154" s="3" t="str">
        <f>_xlfn.IFNA(INDEX(RulebookFields!D2:D999, MATCH(D154,RulebookFields!A2:A999, 0)), "")</f>
      </c>
      <c r="J154" s="3" t="str">
        <f>_xlfn.IFNA(INDEX(RulebookFields!I2:I999, MATCH(D154,RulebookFields!A2:A999, 0)), "")</f>
      </c>
      <c r="K154" s="3" t="b">
        <f>AND(F154, J154)</f>
        <v>0</v>
      </c>
      <c r="L154" s="3" t="b">
        <f>AND(G154 &lt;&gt; "plain", G154 &lt;&gt; "")</f>
        <v>0</v>
      </c>
      <c r="M154" s="3" t="str">
        <f>IF(E154, C154 &amp; "|" &amp; H154, "")</f>
        <v>principal-cfo|</v>
      </c>
      <c r="N154" s="2" t="s">
        <v>9938</v>
      </c>
    </row>
    <row r="155">
      <c r="A155" s="2" t="s">
        <v>10091</v>
      </c>
      <c r="B155" s="3" t="str">
        <f>C155 &amp; " -&gt; " &amp; D155</f>
        <v>principal-cfo -&gt; Procedures.ProcedureId</v>
      </c>
      <c r="C155" s="2" t="s">
        <v>9690</v>
      </c>
      <c r="D155" s="2" t="s">
        <v>2650</v>
      </c>
      <c r="E155" s="2" t="b">
        <v>1</v>
      </c>
      <c r="F155" s="2" t="b">
        <v>0</v>
      </c>
      <c r="G155" s="2" t="s">
        <v>9937</v>
      </c>
      <c r="H155" s="3" t="str">
        <f>_xlfn.IFNA(INDEX(RulebookFields!C2:C999, MATCH(D155,RulebookFields!A2:A999, 0)), "")</f>
        <v>Procedures</v>
      </c>
      <c r="I155" s="3" t="str">
        <f>_xlfn.IFNA(INDEX(RulebookFields!D2:D999, MATCH(D155,RulebookFields!A2:A999, 0)), "")</f>
        <v>ProcedureId</v>
      </c>
      <c r="J155" s="3" t="b">
        <f>_xlfn.IFNA(INDEX(RulebookFields!I2:I999, MATCH(D155,RulebookFields!A2:A999, 0)), "")</f>
        <v>0</v>
      </c>
      <c r="K155" s="3" t="b">
        <f>AND(F155, J155)</f>
        <v>0</v>
      </c>
      <c r="L155" s="3" t="b">
        <f>AND(G155 &lt;&gt; "plain", G155 &lt;&gt; "")</f>
        <v>0</v>
      </c>
      <c r="M155" s="3" t="str">
        <f>IF(E155, C155 &amp; "|" &amp; H155, "")</f>
        <v>principal-cfo|Procedures</v>
      </c>
      <c r="N155" s="2" t="s">
        <v>9938</v>
      </c>
    </row>
    <row r="156">
      <c r="A156" s="2" t="s">
        <v>10092</v>
      </c>
      <c r="B156" s="3" t="str">
        <f>C156 &amp; " -&gt; " &amp; D156</f>
        <v>principal-cfo -&gt; Procedures.Title</v>
      </c>
      <c r="C156" s="2" t="s">
        <v>9690</v>
      </c>
      <c r="D156" s="2" t="s">
        <v>2653</v>
      </c>
      <c r="E156" s="2" t="b">
        <v>1</v>
      </c>
      <c r="F156" s="2" t="b">
        <v>0</v>
      </c>
      <c r="G156" s="2" t="s">
        <v>9937</v>
      </c>
      <c r="H156" s="3" t="str">
        <f>_xlfn.IFNA(INDEX(RulebookFields!C2:C999, MATCH(D156,RulebookFields!A2:A999, 0)), "")</f>
        <v>Procedures</v>
      </c>
      <c r="I156" s="3" t="str">
        <f>_xlfn.IFNA(INDEX(RulebookFields!D2:D999, MATCH(D156,RulebookFields!A2:A999, 0)), "")</f>
        <v>Title</v>
      </c>
      <c r="J156" s="3" t="b">
        <f>_xlfn.IFNA(INDEX(RulebookFields!I2:I999, MATCH(D156,RulebookFields!A2:A999, 0)), "")</f>
        <v>0</v>
      </c>
      <c r="K156" s="3" t="b">
        <f>AND(F156, J156)</f>
        <v>0</v>
      </c>
      <c r="L156" s="3" t="b">
        <f>AND(G156 &lt;&gt; "plain", G156 &lt;&gt; "")</f>
        <v>0</v>
      </c>
      <c r="M156" s="3" t="str">
        <f>IF(E156, C156 &amp; "|" &amp; H156, "")</f>
        <v>principal-cfo|Procedures</v>
      </c>
      <c r="N156" s="2" t="s">
        <v>9938</v>
      </c>
    </row>
    <row r="157">
      <c r="A157" s="2" t="s">
        <v>10093</v>
      </c>
      <c r="B157" s="3" t="str">
        <f>C157 &amp; " -&gt; " &amp; D157</f>
        <v>principal-cfo -&gt; Procedures.Purpose</v>
      </c>
      <c r="C157" s="2" t="s">
        <v>9690</v>
      </c>
      <c r="D157" s="2" t="s">
        <v>2657</v>
      </c>
      <c r="E157" s="2" t="b">
        <v>1</v>
      </c>
      <c r="F157" s="2" t="b">
        <v>0</v>
      </c>
      <c r="G157" s="2" t="s">
        <v>9937</v>
      </c>
      <c r="H157" s="3" t="str">
        <f>_xlfn.IFNA(INDEX(RulebookFields!C2:C999, MATCH(D157,RulebookFields!A2:A999, 0)), "")</f>
        <v>Procedures</v>
      </c>
      <c r="I157" s="3" t="str">
        <f>_xlfn.IFNA(INDEX(RulebookFields!D2:D999, MATCH(D157,RulebookFields!A2:A999, 0)), "")</f>
        <v>Purpose</v>
      </c>
      <c r="J157" s="3" t="b">
        <f>_xlfn.IFNA(INDEX(RulebookFields!I2:I999, MATCH(D157,RulebookFields!A2:A999, 0)), "")</f>
        <v>0</v>
      </c>
      <c r="K157" s="3" t="b">
        <f>AND(F157, J157)</f>
        <v>0</v>
      </c>
      <c r="L157" s="3" t="b">
        <f>AND(G157 &lt;&gt; "plain", G157 &lt;&gt; "")</f>
        <v>0</v>
      </c>
      <c r="M157" s="3" t="str">
        <f>IF(E157, C157 &amp; "|" &amp; H157, "")</f>
        <v>principal-cfo|Procedures</v>
      </c>
      <c r="N157" s="2" t="s">
        <v>9938</v>
      </c>
    </row>
    <row r="158">
      <c r="A158" s="2" t="s">
        <v>10094</v>
      </c>
      <c r="B158" s="3" t="str">
        <f>C158 &amp; " -&gt; " &amp; D158</f>
        <v>principal-cfo -&gt; Procedures.Name</v>
      </c>
      <c r="C158" s="2" t="s">
        <v>9690</v>
      </c>
      <c r="D158" s="2" t="s">
        <v>2651</v>
      </c>
      <c r="E158" s="2" t="b">
        <v>1</v>
      </c>
      <c r="F158" s="2" t="b">
        <v>0</v>
      </c>
      <c r="G158" s="2" t="s">
        <v>9937</v>
      </c>
      <c r="H158" s="3" t="str">
        <f>_xlfn.IFNA(INDEX(RulebookFields!C2:C999, MATCH(D158,RulebookFields!A2:A999, 0)), "")</f>
        <v>Procedures</v>
      </c>
      <c r="I158" s="3" t="str">
        <f>_xlfn.IFNA(INDEX(RulebookFields!D2:D999, MATCH(D158,RulebookFields!A2:A999, 0)), "")</f>
        <v>Name</v>
      </c>
      <c r="J158" s="3" t="b">
        <f>_xlfn.IFNA(INDEX(RulebookFields!I2:I999, MATCH(D158,RulebookFields!A2:A999, 0)), "")</f>
        <v>1</v>
      </c>
      <c r="K158" s="3" t="b">
        <f>AND(F158, J158)</f>
        <v>0</v>
      </c>
      <c r="L158" s="3" t="b">
        <f>AND(G158 &lt;&gt; "plain", G158 &lt;&gt; "")</f>
        <v>0</v>
      </c>
      <c r="M158" s="3" t="str">
        <f>IF(E158, C158 &amp; "|" &amp; H158, "")</f>
        <v>principal-cfo|Procedures</v>
      </c>
      <c r="N158" s="2" t="s">
        <v>9938</v>
      </c>
    </row>
    <row r="159">
      <c r="A159" s="2" t="s">
        <v>10095</v>
      </c>
      <c r="B159" s="3" t="str">
        <f>C159 &amp; " -&gt; " &amp; D159</f>
        <v>principal-hr-policy-owner -&gt; Steps.StepId</v>
      </c>
      <c r="C159" s="2" t="s">
        <v>9692</v>
      </c>
      <c r="D159" s="2" t="s">
        <v>2837</v>
      </c>
      <c r="E159" s="2" t="b">
        <v>1</v>
      </c>
      <c r="F159" s="2" t="b">
        <v>0</v>
      </c>
      <c r="G159" s="2" t="s">
        <v>9937</v>
      </c>
      <c r="H159" s="3" t="str">
        <f>_xlfn.IFNA(INDEX(RulebookFields!C2:C999, MATCH(D159,RulebookFields!A2:A999, 0)), "")</f>
        <v>Steps</v>
      </c>
      <c r="I159" s="3" t="str">
        <f>_xlfn.IFNA(INDEX(RulebookFields!D2:D999, MATCH(D159,RulebookFields!A2:A999, 0)), "")</f>
        <v>StepId</v>
      </c>
      <c r="J159" s="3" t="b">
        <f>_xlfn.IFNA(INDEX(RulebookFields!I2:I999, MATCH(D159,RulebookFields!A2:A999, 0)), "")</f>
        <v>0</v>
      </c>
      <c r="K159" s="3" t="b">
        <f>AND(F159, J159)</f>
        <v>0</v>
      </c>
      <c r="L159" s="3" t="b">
        <f>AND(G159 &lt;&gt; "plain", G159 &lt;&gt; "")</f>
        <v>0</v>
      </c>
      <c r="M159" s="3" t="str">
        <f>IF(E159, C159 &amp; "|" &amp; H159, "")</f>
        <v>principal-hr-policy-owner|Steps</v>
      </c>
      <c r="N159" s="2" t="s">
        <v>9938</v>
      </c>
    </row>
    <row r="160">
      <c r="A160" s="2" t="s">
        <v>10096</v>
      </c>
      <c r="B160" s="3" t="str">
        <f>C160 &amp; " -&gt; " &amp; D160</f>
        <v>principal-hr-policy-owner -&gt; Steps.StepNumber</v>
      </c>
      <c r="C160" s="2" t="s">
        <v>9692</v>
      </c>
      <c r="D160" s="2" t="s">
        <v>2841</v>
      </c>
      <c r="E160" s="2" t="b">
        <v>1</v>
      </c>
      <c r="F160" s="2" t="b">
        <v>0</v>
      </c>
      <c r="G160" s="2" t="s">
        <v>9937</v>
      </c>
      <c r="H160" s="3" t="str">
        <f>_xlfn.IFNA(INDEX(RulebookFields!C2:C999, MATCH(D160,RulebookFields!A2:A999, 0)), "")</f>
        <v>Steps</v>
      </c>
      <c r="I160" s="3" t="str">
        <f>_xlfn.IFNA(INDEX(RulebookFields!D2:D999, MATCH(D160,RulebookFields!A2:A999, 0)), "")</f>
        <v>StepNumber</v>
      </c>
      <c r="J160" s="3" t="b">
        <f>_xlfn.IFNA(INDEX(RulebookFields!I2:I999, MATCH(D160,RulebookFields!A2:A999, 0)), "")</f>
        <v>0</v>
      </c>
      <c r="K160" s="3" t="b">
        <f>AND(F160, J160)</f>
        <v>0</v>
      </c>
      <c r="L160" s="3" t="b">
        <f>AND(G160 &lt;&gt; "plain", G160 &lt;&gt; "")</f>
        <v>0</v>
      </c>
      <c r="M160" s="3" t="str">
        <f>IF(E160, C160 &amp; "|" &amp; H160, "")</f>
        <v>principal-hr-policy-owner|Steps</v>
      </c>
      <c r="N160" s="2" t="s">
        <v>9938</v>
      </c>
    </row>
    <row r="161">
      <c r="A161" s="2" t="s">
        <v>10097</v>
      </c>
      <c r="B161" s="3" t="str">
        <f>C161 &amp; " -&gt; " &amp; D161</f>
        <v>principal-hr-policy-owner -&gt; Steps.Title</v>
      </c>
      <c r="C161" s="2" t="s">
        <v>9692</v>
      </c>
      <c r="D161" s="2" t="s">
        <v>2842</v>
      </c>
      <c r="E161" s="2" t="b">
        <v>1</v>
      </c>
      <c r="F161" s="2" t="b">
        <v>0</v>
      </c>
      <c r="G161" s="2" t="s">
        <v>9937</v>
      </c>
      <c r="H161" s="3" t="str">
        <f>_xlfn.IFNA(INDEX(RulebookFields!C2:C999, MATCH(D161,RulebookFields!A2:A999, 0)), "")</f>
        <v>Steps</v>
      </c>
      <c r="I161" s="3" t="str">
        <f>_xlfn.IFNA(INDEX(RulebookFields!D2:D999, MATCH(D161,RulebookFields!A2:A999, 0)), "")</f>
        <v>Title</v>
      </c>
      <c r="J161" s="3" t="b">
        <f>_xlfn.IFNA(INDEX(RulebookFields!I2:I999, MATCH(D161,RulebookFields!A2:A999, 0)), "")</f>
        <v>0</v>
      </c>
      <c r="K161" s="3" t="b">
        <f>AND(F161, J161)</f>
        <v>0</v>
      </c>
      <c r="L161" s="3" t="b">
        <f>AND(G161 &lt;&gt; "plain", G161 &lt;&gt; "")</f>
        <v>0</v>
      </c>
      <c r="M161" s="3" t="str">
        <f>IF(E161, C161 &amp; "|" &amp; H161, "")</f>
        <v>principal-hr-policy-owner|Steps</v>
      </c>
      <c r="N161" s="2" t="s">
        <v>9938</v>
      </c>
    </row>
    <row r="162">
      <c r="A162" s="2" t="s">
        <v>10098</v>
      </c>
      <c r="B162" s="3" t="str">
        <f>C162 &amp; " -&gt; " &amp; D162</f>
        <v>principal-hr-policy-owner -&gt; Steps.StepKind</v>
      </c>
      <c r="C162" s="2" t="s">
        <v>9692</v>
      </c>
      <c r="D162" s="2" t="s">
        <v>2843</v>
      </c>
      <c r="E162" s="2" t="b">
        <v>1</v>
      </c>
      <c r="F162" s="2" t="b">
        <v>0</v>
      </c>
      <c r="G162" s="2" t="s">
        <v>9937</v>
      </c>
      <c r="H162" s="3" t="str">
        <f>_xlfn.IFNA(INDEX(RulebookFields!C2:C999, MATCH(D162,RulebookFields!A2:A999, 0)), "")</f>
        <v>Steps</v>
      </c>
      <c r="I162" s="3" t="str">
        <f>_xlfn.IFNA(INDEX(RulebookFields!D2:D999, MATCH(D162,RulebookFields!A2:A999, 0)), "")</f>
        <v>StepKind</v>
      </c>
      <c r="J162" s="3" t="b">
        <f>_xlfn.IFNA(INDEX(RulebookFields!I2:I999, MATCH(D162,RulebookFields!A2:A999, 0)), "")</f>
        <v>0</v>
      </c>
      <c r="K162" s="3" t="b">
        <f>AND(F162, J162)</f>
        <v>0</v>
      </c>
      <c r="L162" s="3" t="b">
        <f>AND(G162 &lt;&gt; "plain", G162 &lt;&gt; "")</f>
        <v>0</v>
      </c>
      <c r="M162" s="3" t="str">
        <f>IF(E162, C162 &amp; "|" &amp; H162, "")</f>
        <v>principal-hr-policy-owner|Steps</v>
      </c>
      <c r="N162" s="2" t="s">
        <v>9938</v>
      </c>
    </row>
    <row r="163">
      <c r="A163" s="2" t="s">
        <v>10099</v>
      </c>
      <c r="B163" s="3" t="str">
        <f>C163 &amp; " -&gt; " &amp; D163</f>
        <v>principal-hr-policy-owner -&gt; Steps.Instruction</v>
      </c>
      <c r="C163" s="2" t="s">
        <v>9692</v>
      </c>
      <c r="D163" s="2" t="s">
        <v>2849</v>
      </c>
      <c r="E163" s="2" t="b">
        <v>1</v>
      </c>
      <c r="F163" s="2" t="b">
        <v>0</v>
      </c>
      <c r="G163" s="2" t="s">
        <v>9937</v>
      </c>
      <c r="H163" s="3" t="str">
        <f>_xlfn.IFNA(INDEX(RulebookFields!C2:C999, MATCH(D163,RulebookFields!A2:A999, 0)), "")</f>
        <v>Steps</v>
      </c>
      <c r="I163" s="3" t="str">
        <f>_xlfn.IFNA(INDEX(RulebookFields!D2:D999, MATCH(D163,RulebookFields!A2:A999, 0)), "")</f>
        <v>Instruction</v>
      </c>
      <c r="J163" s="3" t="b">
        <f>_xlfn.IFNA(INDEX(RulebookFields!I2:I999, MATCH(D163,RulebookFields!A2:A999, 0)), "")</f>
        <v>0</v>
      </c>
      <c r="K163" s="3" t="b">
        <f>AND(F163, J163)</f>
        <v>0</v>
      </c>
      <c r="L163" s="3" t="b">
        <f>AND(G163 &lt;&gt; "plain", G163 &lt;&gt; "")</f>
        <v>0</v>
      </c>
      <c r="M163" s="3" t="str">
        <f>IF(E163, C163 &amp; "|" &amp; H163, "")</f>
        <v>principal-hr-policy-owner|Steps</v>
      </c>
      <c r="N163" s="2" t="s">
        <v>9938</v>
      </c>
    </row>
    <row r="164">
      <c r="A164" s="2" t="s">
        <v>10100</v>
      </c>
      <c r="B164" s="3" t="str">
        <f>C164 &amp; " -&gt; " &amp; D164</f>
        <v>principal-hr-policy-owner -&gt; Steps.AssignedRole</v>
      </c>
      <c r="C164" s="2" t="s">
        <v>9692</v>
      </c>
      <c r="D164" s="2" t="s">
        <v>2844</v>
      </c>
      <c r="E164" s="2" t="b">
        <v>1</v>
      </c>
      <c r="F164" s="2" t="b">
        <v>0</v>
      </c>
      <c r="G164" s="2" t="s">
        <v>9937</v>
      </c>
      <c r="H164" s="3" t="str">
        <f>_xlfn.IFNA(INDEX(RulebookFields!C2:C999, MATCH(D164,RulebookFields!A2:A999, 0)), "")</f>
        <v>Steps</v>
      </c>
      <c r="I164" s="3" t="str">
        <f>_xlfn.IFNA(INDEX(RulebookFields!D2:D999, MATCH(D164,RulebookFields!A2:A999, 0)), "")</f>
        <v>AssignedRole</v>
      </c>
      <c r="J164" s="3" t="b">
        <f>_xlfn.IFNA(INDEX(RulebookFields!I2:I999, MATCH(D164,RulebookFields!A2:A999, 0)), "")</f>
        <v>0</v>
      </c>
      <c r="K164" s="3" t="b">
        <f>AND(F164, J164)</f>
        <v>0</v>
      </c>
      <c r="L164" s="3" t="b">
        <f>AND(G164 &lt;&gt; "plain", G164 &lt;&gt; "")</f>
        <v>0</v>
      </c>
      <c r="M164" s="3" t="str">
        <f>IF(E164, C164 &amp; "|" &amp; H164, "")</f>
        <v>principal-hr-policy-owner|Steps</v>
      </c>
      <c r="N164" s="2" t="s">
        <v>9938</v>
      </c>
    </row>
    <row r="165">
      <c r="A165" s="2" t="s">
        <v>10101</v>
      </c>
      <c r="B165" s="3" t="str">
        <f>C165 &amp; " -&gt; " &amp; D165</f>
        <v>principal-hr-policy-owner -&gt; Steps.AssignedRoleLabel</v>
      </c>
      <c r="C165" s="2" t="s">
        <v>9692</v>
      </c>
      <c r="D165" s="2" t="s">
        <v>2845</v>
      </c>
      <c r="E165" s="2" t="b">
        <v>1</v>
      </c>
      <c r="F165" s="2" t="b">
        <v>0</v>
      </c>
      <c r="G165" s="2" t="s">
        <v>9937</v>
      </c>
      <c r="H165" s="3" t="str">
        <f>_xlfn.IFNA(INDEX(RulebookFields!C2:C999, MATCH(D165,RulebookFields!A2:A999, 0)), "")</f>
        <v>Steps</v>
      </c>
      <c r="I165" s="3" t="str">
        <f>_xlfn.IFNA(INDEX(RulebookFields!D2:D999, MATCH(D165,RulebookFields!A2:A999, 0)), "")</f>
        <v>AssignedRoleLabel</v>
      </c>
      <c r="J165" s="3" t="b">
        <f>_xlfn.IFNA(INDEX(RulebookFields!I2:I999, MATCH(D165,RulebookFields!A2:A999, 0)), "")</f>
        <v>1</v>
      </c>
      <c r="K165" s="3" t="b">
        <f>AND(F165, J165)</f>
        <v>0</v>
      </c>
      <c r="L165" s="3" t="b">
        <f>AND(G165 &lt;&gt; "plain", G165 &lt;&gt; "")</f>
        <v>0</v>
      </c>
      <c r="M165" s="3" t="str">
        <f>IF(E165, C165 &amp; "|" &amp; H165, "")</f>
        <v>principal-hr-policy-owner|Steps</v>
      </c>
      <c r="N165" s="2" t="s">
        <v>9938</v>
      </c>
    </row>
    <row r="166">
      <c r="A166" s="2" t="s">
        <v>10102</v>
      </c>
      <c r="B166" s="3" t="str">
        <f>C166 &amp; " -&gt; " &amp; D166</f>
        <v>principal-hr-policy-owner -&gt; Steps.ProcedureVersion</v>
      </c>
      <c r="C166" s="2" t="s">
        <v>9692</v>
      </c>
      <c r="D166" s="2" t="s">
        <v>2840</v>
      </c>
      <c r="E166" s="2" t="b">
        <v>1</v>
      </c>
      <c r="F166" s="2" t="b">
        <v>0</v>
      </c>
      <c r="G166" s="2" t="s">
        <v>9937</v>
      </c>
      <c r="H166" s="3" t="str">
        <f>_xlfn.IFNA(INDEX(RulebookFields!C2:C999, MATCH(D166,RulebookFields!A2:A999, 0)), "")</f>
        <v>Steps</v>
      </c>
      <c r="I166" s="3" t="str">
        <f>_xlfn.IFNA(INDEX(RulebookFields!D2:D999, MATCH(D166,RulebookFields!A2:A999, 0)), "")</f>
        <v>ProcedureVersion</v>
      </c>
      <c r="J166" s="3" t="b">
        <f>_xlfn.IFNA(INDEX(RulebookFields!I2:I999, MATCH(D166,RulebookFields!A2:A999, 0)), "")</f>
        <v>0</v>
      </c>
      <c r="K166" s="3" t="b">
        <f>AND(F166, J166)</f>
        <v>0</v>
      </c>
      <c r="L166" s="3" t="b">
        <f>AND(G166 &lt;&gt; "plain", G166 &lt;&gt; "")</f>
        <v>0</v>
      </c>
      <c r="M166" s="3" t="str">
        <f>IF(E166, C166 &amp; "|" &amp; H166, "")</f>
        <v>principal-hr-policy-owner|Steps</v>
      </c>
      <c r="N166" s="2" t="s">
        <v>9938</v>
      </c>
    </row>
    <row r="167">
      <c r="A167" s="2" t="s">
        <v>10103</v>
      </c>
      <c r="B167" s="3" t="str">
        <f>C167 &amp; " -&gt; " &amp; D167</f>
        <v>principal-hr-policy-owner -&gt; Steps.Name</v>
      </c>
      <c r="C167" s="2" t="s">
        <v>9692</v>
      </c>
      <c r="D167" s="2" t="s">
        <v>2838</v>
      </c>
      <c r="E167" s="2" t="b">
        <v>1</v>
      </c>
      <c r="F167" s="2" t="b">
        <v>0</v>
      </c>
      <c r="G167" s="2" t="s">
        <v>9937</v>
      </c>
      <c r="H167" s="3" t="str">
        <f>_xlfn.IFNA(INDEX(RulebookFields!C2:C999, MATCH(D167,RulebookFields!A2:A999, 0)), "")</f>
        <v>Steps</v>
      </c>
      <c r="I167" s="3" t="str">
        <f>_xlfn.IFNA(INDEX(RulebookFields!D2:D999, MATCH(D167,RulebookFields!A2:A999, 0)), "")</f>
        <v>Name</v>
      </c>
      <c r="J167" s="3" t="b">
        <f>_xlfn.IFNA(INDEX(RulebookFields!I2:I999, MATCH(D167,RulebookFields!A2:A999, 0)), "")</f>
        <v>1</v>
      </c>
      <c r="K167" s="3" t="b">
        <f>AND(F167, J167)</f>
        <v>0</v>
      </c>
      <c r="L167" s="3" t="b">
        <f>AND(G167 &lt;&gt; "plain", G167 &lt;&gt; "")</f>
        <v>0</v>
      </c>
      <c r="M167" s="3" t="str">
        <f>IF(E167, C167 &amp; "|" &amp; H167, "")</f>
        <v>principal-hr-policy-owner|Steps</v>
      </c>
      <c r="N167" s="2" t="s">
        <v>9938</v>
      </c>
    </row>
    <row r="168">
      <c r="A168" s="2" t="s">
        <v>10104</v>
      </c>
      <c r="B168" s="3" t="str">
        <f>C168 &amp; " -&gt; " &amp; D168</f>
        <v>principal-hr-policy-owner -&gt; Steps.IsApprovalStep</v>
      </c>
      <c r="C168" s="2" t="s">
        <v>9692</v>
      </c>
      <c r="D168" s="2" t="s">
        <v>2865</v>
      </c>
      <c r="E168" s="2" t="b">
        <v>1</v>
      </c>
      <c r="F168" s="2" t="b">
        <v>0</v>
      </c>
      <c r="G168" s="2" t="s">
        <v>9937</v>
      </c>
      <c r="H168" s="3" t="str">
        <f>_xlfn.IFNA(INDEX(RulebookFields!C2:C999, MATCH(D168,RulebookFields!A2:A999, 0)), "")</f>
        <v>Steps</v>
      </c>
      <c r="I168" s="3" t="str">
        <f>_xlfn.IFNA(INDEX(RulebookFields!D2:D999, MATCH(D168,RulebookFields!A2:A999, 0)), "")</f>
        <v>IsApprovalStep</v>
      </c>
      <c r="J168" s="3" t="b">
        <f>_xlfn.IFNA(INDEX(RulebookFields!I2:I999, MATCH(D168,RulebookFields!A2:A999, 0)), "")</f>
        <v>1</v>
      </c>
      <c r="K168" s="3" t="b">
        <f>AND(F168, J168)</f>
        <v>0</v>
      </c>
      <c r="L168" s="3" t="b">
        <f>AND(G168 &lt;&gt; "plain", G168 &lt;&gt; "")</f>
        <v>0</v>
      </c>
      <c r="M168" s="3" t="str">
        <f>IF(E168, C168 &amp; "|" &amp; H168, "")</f>
        <v>principal-hr-policy-owner|Steps</v>
      </c>
      <c r="N168" s="2" t="s">
        <v>9938</v>
      </c>
    </row>
    <row r="169">
      <c r="A169" s="2" t="s">
        <v>10105</v>
      </c>
      <c r="B169" s="3" t="str">
        <f>C169 &amp; " -&gt; " &amp; D169</f>
        <v>principal-hr-policy-owner -&gt; Steps.RequiresHumanConfirmation</v>
      </c>
      <c r="C169" s="2" t="s">
        <v>9692</v>
      </c>
      <c r="D169" s="2" t="s">
        <v>2852</v>
      </c>
      <c r="E169" s="2" t="b">
        <v>1</v>
      </c>
      <c r="F169" s="2" t="b">
        <v>0</v>
      </c>
      <c r="G169" s="2" t="s">
        <v>9937</v>
      </c>
      <c r="H169" s="3" t="str">
        <f>_xlfn.IFNA(INDEX(RulebookFields!C2:C999, MATCH(D169,RulebookFields!A2:A999, 0)), "")</f>
        <v>Steps</v>
      </c>
      <c r="I169" s="3" t="str">
        <f>_xlfn.IFNA(INDEX(RulebookFields!D2:D999, MATCH(D169,RulebookFields!A2:A999, 0)), "")</f>
        <v>RequiresHumanConfirmation</v>
      </c>
      <c r="J169" s="3" t="b">
        <f>_xlfn.IFNA(INDEX(RulebookFields!I2:I999, MATCH(D169,RulebookFields!A2:A999, 0)), "")</f>
        <v>0</v>
      </c>
      <c r="K169" s="3" t="b">
        <f>AND(F169, J169)</f>
        <v>0</v>
      </c>
      <c r="L169" s="3" t="b">
        <f>AND(G169 &lt;&gt; "plain", G169 &lt;&gt; "")</f>
        <v>0</v>
      </c>
      <c r="M169" s="3" t="str">
        <f>IF(E169, C169 &amp; "|" &amp; H169, "")</f>
        <v>principal-hr-policy-owner|Steps</v>
      </c>
      <c r="N169" s="2" t="s">
        <v>9938</v>
      </c>
    </row>
    <row r="170">
      <c r="A170" s="2" t="s">
        <v>10106</v>
      </c>
      <c r="B170" s="3" t="str">
        <f>C170 &amp; " -&gt; " &amp; D170</f>
        <v>principal-hr-policy-owner -&gt; Steps.ExpectedDurationMinutes</v>
      </c>
      <c r="C170" s="2" t="s">
        <v>9692</v>
      </c>
      <c r="D170" s="2" t="s">
        <v>2850</v>
      </c>
      <c r="E170" s="2" t="b">
        <v>1</v>
      </c>
      <c r="F170" s="2" t="b">
        <v>0</v>
      </c>
      <c r="G170" s="2" t="s">
        <v>9937</v>
      </c>
      <c r="H170" s="3" t="str">
        <f>_xlfn.IFNA(INDEX(RulebookFields!C2:C999, MATCH(D170,RulebookFields!A2:A999, 0)), "")</f>
        <v>Steps</v>
      </c>
      <c r="I170" s="3" t="str">
        <f>_xlfn.IFNA(INDEX(RulebookFields!D2:D999, MATCH(D170,RulebookFields!A2:A999, 0)), "")</f>
        <v>ExpectedDurationMinutes</v>
      </c>
      <c r="J170" s="3" t="b">
        <f>_xlfn.IFNA(INDEX(RulebookFields!I2:I999, MATCH(D170,RulebookFields!A2:A999, 0)), "")</f>
        <v>0</v>
      </c>
      <c r="K170" s="3" t="b">
        <f>AND(F170, J170)</f>
        <v>0</v>
      </c>
      <c r="L170" s="3" t="b">
        <f>AND(G170 &lt;&gt; "plain", G170 &lt;&gt; "")</f>
        <v>0</v>
      </c>
      <c r="M170" s="3" t="str">
        <f>IF(E170, C170 &amp; "|" &amp; H170, "")</f>
        <v>principal-hr-policy-owner|Steps</v>
      </c>
      <c r="N170" s="2" t="s">
        <v>9938</v>
      </c>
    </row>
    <row r="171">
      <c r="A171" s="2" t="s">
        <v>10107</v>
      </c>
      <c r="B171" s="3" t="str">
        <f>C171 &amp; " -&gt; " &amp; D171</f>
        <v>principal-hr-policy-owner -&gt; KnowledgeFragments.KnowledgeFragmentId</v>
      </c>
      <c r="C171" s="2" t="s">
        <v>9692</v>
      </c>
      <c r="D171" s="2" t="s">
        <v>3159</v>
      </c>
      <c r="E171" s="2" t="b">
        <v>1</v>
      </c>
      <c r="F171" s="2" t="b">
        <v>0</v>
      </c>
      <c r="G171" s="2" t="s">
        <v>9937</v>
      </c>
      <c r="H171" s="3" t="str">
        <f>_xlfn.IFNA(INDEX(RulebookFields!C2:C999, MATCH(D171,RulebookFields!A2:A999, 0)), "")</f>
        <v>KnowledgeFragments</v>
      </c>
      <c r="I171" s="3" t="str">
        <f>_xlfn.IFNA(INDEX(RulebookFields!D2:D999, MATCH(D171,RulebookFields!A2:A999, 0)), "")</f>
        <v>KnowledgeFragmentId</v>
      </c>
      <c r="J171" s="3" t="b">
        <f>_xlfn.IFNA(INDEX(RulebookFields!I2:I999, MATCH(D171,RulebookFields!A2:A999, 0)), "")</f>
        <v>0</v>
      </c>
      <c r="K171" s="3" t="b">
        <f>AND(F171, J171)</f>
        <v>0</v>
      </c>
      <c r="L171" s="3" t="b">
        <f>AND(G171 &lt;&gt; "plain", G171 &lt;&gt; "")</f>
        <v>0</v>
      </c>
      <c r="M171" s="3" t="str">
        <f>IF(E171, C171 &amp; "|" &amp; H171, "")</f>
        <v>principal-hr-policy-owner|KnowledgeFragments</v>
      </c>
      <c r="N171" s="2" t="s">
        <v>9938</v>
      </c>
    </row>
    <row r="172">
      <c r="A172" s="2" t="s">
        <v>10108</v>
      </c>
      <c r="B172" s="3" t="str">
        <f>C172 &amp; " -&gt; " &amp; D172</f>
        <v>principal-hr-policy-owner -&gt; KnowledgeFragments.Statement</v>
      </c>
      <c r="C172" s="2" t="s">
        <v>9692</v>
      </c>
      <c r="D172" s="2" t="s">
        <v>3165</v>
      </c>
      <c r="E172" s="2" t="b">
        <v>1</v>
      </c>
      <c r="F172" s="2" t="b">
        <v>0</v>
      </c>
      <c r="G172" s="2" t="s">
        <v>9937</v>
      </c>
      <c r="H172" s="3" t="str">
        <f>_xlfn.IFNA(INDEX(RulebookFields!C2:C999, MATCH(D172,RulebookFields!A2:A999, 0)), "")</f>
        <v>KnowledgeFragments</v>
      </c>
      <c r="I172" s="3" t="str">
        <f>_xlfn.IFNA(INDEX(RulebookFields!D2:D999, MATCH(D172,RulebookFields!A2:A999, 0)), "")</f>
        <v>Statement</v>
      </c>
      <c r="J172" s="3" t="b">
        <f>_xlfn.IFNA(INDEX(RulebookFields!I2:I999, MATCH(D172,RulebookFields!A2:A999, 0)), "")</f>
        <v>0</v>
      </c>
      <c r="K172" s="3" t="b">
        <f>AND(F172, J172)</f>
        <v>0</v>
      </c>
      <c r="L172" s="3" t="b">
        <f>AND(G172 &lt;&gt; "plain", G172 &lt;&gt; "")</f>
        <v>0</v>
      </c>
      <c r="M172" s="3" t="str">
        <f>IF(E172, C172 &amp; "|" &amp; H172, "")</f>
        <v>principal-hr-policy-owner|KnowledgeFragments</v>
      </c>
      <c r="N172" s="2" t="s">
        <v>9938</v>
      </c>
    </row>
    <row r="173">
      <c r="A173" s="2" t="s">
        <v>10109</v>
      </c>
      <c r="B173" s="3" t="str">
        <f>C173 &amp; " -&gt; " &amp; D173</f>
        <v>principal-hr-policy-owner -&gt; KnowledgeFragments.KnowledgeForm</v>
      </c>
      <c r="C173" s="2" t="s">
        <v>9692</v>
      </c>
      <c r="D173" s="2" t="s">
        <v>3164</v>
      </c>
      <c r="E173" s="2" t="b">
        <v>1</v>
      </c>
      <c r="F173" s="2" t="b">
        <v>0</v>
      </c>
      <c r="G173" s="2" t="s">
        <v>9937</v>
      </c>
      <c r="H173" s="3" t="str">
        <f>_xlfn.IFNA(INDEX(RulebookFields!C2:C999, MATCH(D173,RulebookFields!A2:A999, 0)), "")</f>
        <v>KnowledgeFragments</v>
      </c>
      <c r="I173" s="3" t="str">
        <f>_xlfn.IFNA(INDEX(RulebookFields!D2:D999, MATCH(D173,RulebookFields!A2:A999, 0)), "")</f>
        <v>KnowledgeForm</v>
      </c>
      <c r="J173" s="3" t="b">
        <f>_xlfn.IFNA(INDEX(RulebookFields!I2:I999, MATCH(D173,RulebookFields!A2:A999, 0)), "")</f>
        <v>0</v>
      </c>
      <c r="K173" s="3" t="b">
        <f>AND(F173, J173)</f>
        <v>0</v>
      </c>
      <c r="L173" s="3" t="b">
        <f>AND(G173 &lt;&gt; "plain", G173 &lt;&gt; "")</f>
        <v>0</v>
      </c>
      <c r="M173" s="3" t="str">
        <f>IF(E173, C173 &amp; "|" &amp; H173, "")</f>
        <v>principal-hr-policy-owner|KnowledgeFragments</v>
      </c>
      <c r="N173" s="2" t="s">
        <v>9938</v>
      </c>
    </row>
    <row r="174">
      <c r="A174" s="2" t="s">
        <v>10110</v>
      </c>
      <c r="B174" s="3" t="str">
        <f>C174 &amp; " -&gt; " &amp; D174</f>
        <v>principal-hr-policy-owner -&gt; KnowledgeFragments.Status</v>
      </c>
      <c r="C174" s="2" t="s">
        <v>9692</v>
      </c>
      <c r="D174" s="2" t="s">
        <v>3171</v>
      </c>
      <c r="E174" s="2" t="b">
        <v>1</v>
      </c>
      <c r="F174" s="2" t="b">
        <v>0</v>
      </c>
      <c r="G174" s="2" t="s">
        <v>9937</v>
      </c>
      <c r="H174" s="3" t="str">
        <f>_xlfn.IFNA(INDEX(RulebookFields!C2:C999, MATCH(D174,RulebookFields!A2:A999, 0)), "")</f>
        <v>KnowledgeFragments</v>
      </c>
      <c r="I174" s="3" t="str">
        <f>_xlfn.IFNA(INDEX(RulebookFields!D2:D999, MATCH(D174,RulebookFields!A2:A999, 0)), "")</f>
        <v>Status</v>
      </c>
      <c r="J174" s="3" t="b">
        <f>_xlfn.IFNA(INDEX(RulebookFields!I2:I999, MATCH(D174,RulebookFields!A2:A999, 0)), "")</f>
        <v>0</v>
      </c>
      <c r="K174" s="3" t="b">
        <f>AND(F174, J174)</f>
        <v>0</v>
      </c>
      <c r="L174" s="3" t="b">
        <f>AND(G174 &lt;&gt; "plain", G174 &lt;&gt; "")</f>
        <v>0</v>
      </c>
      <c r="M174" s="3" t="str">
        <f>IF(E174, C174 &amp; "|" &amp; H174, "")</f>
        <v>principal-hr-policy-owner|KnowledgeFragments</v>
      </c>
      <c r="N174" s="2" t="s">
        <v>9938</v>
      </c>
    </row>
    <row r="175">
      <c r="A175" s="2" t="s">
        <v>10111</v>
      </c>
      <c r="B175" s="3" t="str">
        <f>C175 &amp; " -&gt; " &amp; D175</f>
        <v>principal-hr-policy-owner -&gt; KnowledgeFragments.Confidence</v>
      </c>
      <c r="C175" s="2" t="s">
        <v>9692</v>
      </c>
      <c r="D175" s="2" t="s">
        <v>3168</v>
      </c>
      <c r="E175" s="2" t="b">
        <v>1</v>
      </c>
      <c r="F175" s="2" t="b">
        <v>0</v>
      </c>
      <c r="G175" s="2" t="s">
        <v>9937</v>
      </c>
      <c r="H175" s="3" t="str">
        <f>_xlfn.IFNA(INDEX(RulebookFields!C2:C999, MATCH(D175,RulebookFields!A2:A999, 0)), "")</f>
        <v>KnowledgeFragments</v>
      </c>
      <c r="I175" s="3" t="str">
        <f>_xlfn.IFNA(INDEX(RulebookFields!D2:D999, MATCH(D175,RulebookFields!A2:A999, 0)), "")</f>
        <v>Confidence</v>
      </c>
      <c r="J175" s="3" t="b">
        <f>_xlfn.IFNA(INDEX(RulebookFields!I2:I999, MATCH(D175,RulebookFields!A2:A999, 0)), "")</f>
        <v>0</v>
      </c>
      <c r="K175" s="3" t="b">
        <f>AND(F175, J175)</f>
        <v>0</v>
      </c>
      <c r="L175" s="3" t="b">
        <f>AND(G175 &lt;&gt; "plain", G175 &lt;&gt; "")</f>
        <v>0</v>
      </c>
      <c r="M175" s="3" t="str">
        <f>IF(E175, C175 &amp; "|" &amp; H175, "")</f>
        <v>principal-hr-policy-owner|KnowledgeFragments</v>
      </c>
      <c r="N175" s="2" t="s">
        <v>9938</v>
      </c>
    </row>
    <row r="176">
      <c r="A176" s="2" t="s">
        <v>10112</v>
      </c>
      <c r="B176" s="3" t="str">
        <f>C176 &amp; " -&gt; " &amp; D176</f>
        <v>principal-hr-policy-owner -&gt; KnowledgeFragments.OwnerRole</v>
      </c>
      <c r="C176" s="2" t="s">
        <v>9692</v>
      </c>
      <c r="D176" s="2" t="s">
        <v>3172</v>
      </c>
      <c r="E176" s="2" t="b">
        <v>1</v>
      </c>
      <c r="F176" s="2" t="b">
        <v>0</v>
      </c>
      <c r="G176" s="2" t="s">
        <v>9937</v>
      </c>
      <c r="H176" s="3" t="str">
        <f>_xlfn.IFNA(INDEX(RulebookFields!C2:C999, MATCH(D176,RulebookFields!A2:A999, 0)), "")</f>
        <v>KnowledgeFragments</v>
      </c>
      <c r="I176" s="3" t="str">
        <f>_xlfn.IFNA(INDEX(RulebookFields!D2:D999, MATCH(D176,RulebookFields!A2:A999, 0)), "")</f>
        <v>OwnerRole</v>
      </c>
      <c r="J176" s="3" t="b">
        <f>_xlfn.IFNA(INDEX(RulebookFields!I2:I999, MATCH(D176,RulebookFields!A2:A999, 0)), "")</f>
        <v>0</v>
      </c>
      <c r="K176" s="3" t="b">
        <f>AND(F176, J176)</f>
        <v>0</v>
      </c>
      <c r="L176" s="3" t="b">
        <f>AND(G176 &lt;&gt; "plain", G176 &lt;&gt; "")</f>
        <v>0</v>
      </c>
      <c r="M176" s="3" t="str">
        <f>IF(E176, C176 &amp; "|" &amp; H176, "")</f>
        <v>principal-hr-policy-owner|KnowledgeFragments</v>
      </c>
      <c r="N176" s="2" t="s">
        <v>9938</v>
      </c>
    </row>
    <row r="177">
      <c r="A177" s="2" t="s">
        <v>10113</v>
      </c>
      <c r="B177" s="3" t="str">
        <f>C177 &amp; " -&gt; " &amp; D177</f>
        <v>principal-hr-policy-owner -&gt; KnowledgeFragments.ValidFrom</v>
      </c>
      <c r="C177" s="2" t="s">
        <v>9692</v>
      </c>
      <c r="D177" s="2" t="s">
        <v>3169</v>
      </c>
      <c r="E177" s="2" t="b">
        <v>1</v>
      </c>
      <c r="F177" s="2" t="b">
        <v>0</v>
      </c>
      <c r="G177" s="2" t="s">
        <v>9937</v>
      </c>
      <c r="H177" s="3" t="str">
        <f>_xlfn.IFNA(INDEX(RulebookFields!C2:C999, MATCH(D177,RulebookFields!A2:A999, 0)), "")</f>
        <v>KnowledgeFragments</v>
      </c>
      <c r="I177" s="3" t="str">
        <f>_xlfn.IFNA(INDEX(RulebookFields!D2:D999, MATCH(D177,RulebookFields!A2:A999, 0)), "")</f>
        <v>ValidFrom</v>
      </c>
      <c r="J177" s="3" t="b">
        <f>_xlfn.IFNA(INDEX(RulebookFields!I2:I999, MATCH(D177,RulebookFields!A2:A999, 0)), "")</f>
        <v>0</v>
      </c>
      <c r="K177" s="3" t="b">
        <f>AND(F177, J177)</f>
        <v>0</v>
      </c>
      <c r="L177" s="3" t="b">
        <f>AND(G177 &lt;&gt; "plain", G177 &lt;&gt; "")</f>
        <v>0</v>
      </c>
      <c r="M177" s="3" t="str">
        <f>IF(E177, C177 &amp; "|" &amp; H177, "")</f>
        <v>principal-hr-policy-owner|KnowledgeFragments</v>
      </c>
      <c r="N177" s="2" t="s">
        <v>9938</v>
      </c>
    </row>
    <row r="178">
      <c r="A178" s="2" t="s">
        <v>10114</v>
      </c>
      <c r="B178" s="3" t="str">
        <f>C178 &amp; " -&gt; " &amp; D178</f>
        <v>principal-hr-policy-owner -&gt; KnowledgeFragments.ValidTo</v>
      </c>
      <c r="C178" s="2" t="s">
        <v>9692</v>
      </c>
      <c r="D178" s="2" t="s">
        <v>3170</v>
      </c>
      <c r="E178" s="2" t="b">
        <v>1</v>
      </c>
      <c r="F178" s="2" t="b">
        <v>0</v>
      </c>
      <c r="G178" s="2" t="s">
        <v>9937</v>
      </c>
      <c r="H178" s="3" t="str">
        <f>_xlfn.IFNA(INDEX(RulebookFields!C2:C999, MATCH(D178,RulebookFields!A2:A999, 0)), "")</f>
        <v>KnowledgeFragments</v>
      </c>
      <c r="I178" s="3" t="str">
        <f>_xlfn.IFNA(INDEX(RulebookFields!D2:D999, MATCH(D178,RulebookFields!A2:A999, 0)), "")</f>
        <v>ValidTo</v>
      </c>
      <c r="J178" s="3" t="b">
        <f>_xlfn.IFNA(INDEX(RulebookFields!I2:I999, MATCH(D178,RulebookFields!A2:A999, 0)), "")</f>
        <v>0</v>
      </c>
      <c r="K178" s="3" t="b">
        <f>AND(F178, J178)</f>
        <v>0</v>
      </c>
      <c r="L178" s="3" t="b">
        <f>AND(G178 &lt;&gt; "plain", G178 &lt;&gt; "")</f>
        <v>0</v>
      </c>
      <c r="M178" s="3" t="str">
        <f>IF(E178, C178 &amp; "|" &amp; H178, "")</f>
        <v>principal-hr-policy-owner|KnowledgeFragments</v>
      </c>
      <c r="N178" s="2" t="s">
        <v>9938</v>
      </c>
    </row>
    <row r="179">
      <c r="A179" s="2" t="s">
        <v>10115</v>
      </c>
      <c r="B179" s="3" t="str">
        <f>C179 &amp; " -&gt; " &amp; D179</f>
        <v>principal-hr-policy-owner -&gt; KnowledgeFragments.LastReviewedAt</v>
      </c>
      <c r="C179" s="2" t="s">
        <v>9692</v>
      </c>
      <c r="D179" s="2" t="s">
        <v>3245</v>
      </c>
      <c r="E179" s="2" t="b">
        <v>1</v>
      </c>
      <c r="F179" s="2" t="b">
        <v>0</v>
      </c>
      <c r="G179" s="2" t="s">
        <v>9937</v>
      </c>
      <c r="H179" s="3" t="str">
        <f>_xlfn.IFNA(INDEX(RulebookFields!C2:C999, MATCH(D179,RulebookFields!A2:A999, 0)), "")</f>
        <v>KnowledgeFragments</v>
      </c>
      <c r="I179" s="3" t="str">
        <f>_xlfn.IFNA(INDEX(RulebookFields!D2:D999, MATCH(D179,RulebookFields!A2:A999, 0)), "")</f>
        <v>LastReviewedAt</v>
      </c>
      <c r="J179" s="3" t="b">
        <f>_xlfn.IFNA(INDEX(RulebookFields!I2:I999, MATCH(D179,RulebookFields!A2:A999, 0)), "")</f>
        <v>0</v>
      </c>
      <c r="K179" s="3" t="b">
        <f>AND(F179, J179)</f>
        <v>0</v>
      </c>
      <c r="L179" s="3" t="b">
        <f>AND(G179 &lt;&gt; "plain", G179 &lt;&gt; "")</f>
        <v>0</v>
      </c>
      <c r="M179" s="3" t="str">
        <f>IF(E179, C179 &amp; "|" &amp; H179, "")</f>
        <v>principal-hr-policy-owner|KnowledgeFragments</v>
      </c>
      <c r="N179" s="2" t="s">
        <v>9938</v>
      </c>
    </row>
    <row r="180">
      <c r="A180" s="2" t="s">
        <v>10116</v>
      </c>
      <c r="B180" s="3" t="str">
        <f>C180 &amp; " -&gt; " &amp; D180</f>
        <v>principal-hr-policy-owner -&gt; KnowledgeFragments.Name</v>
      </c>
      <c r="C180" s="2" t="s">
        <v>9692</v>
      </c>
      <c r="D180" s="2" t="s">
        <v>3160</v>
      </c>
      <c r="E180" s="2" t="b">
        <v>1</v>
      </c>
      <c r="F180" s="2" t="b">
        <v>0</v>
      </c>
      <c r="G180" s="2" t="s">
        <v>9937</v>
      </c>
      <c r="H180" s="3" t="str">
        <f>_xlfn.IFNA(INDEX(RulebookFields!C2:C999, MATCH(D180,RulebookFields!A2:A999, 0)), "")</f>
        <v>KnowledgeFragments</v>
      </c>
      <c r="I180" s="3" t="str">
        <f>_xlfn.IFNA(INDEX(RulebookFields!D2:D999, MATCH(D180,RulebookFields!A2:A999, 0)), "")</f>
        <v>Name</v>
      </c>
      <c r="J180" s="3" t="b">
        <f>_xlfn.IFNA(INDEX(RulebookFields!I2:I999, MATCH(D180,RulebookFields!A2:A999, 0)), "")</f>
        <v>1</v>
      </c>
      <c r="K180" s="3" t="b">
        <f>AND(F180, J180)</f>
        <v>0</v>
      </c>
      <c r="L180" s="3" t="b">
        <f>AND(G180 &lt;&gt; "plain", G180 &lt;&gt; "")</f>
        <v>0</v>
      </c>
      <c r="M180" s="3" t="str">
        <f>IF(E180, C180 &amp; "|" &amp; H180, "")</f>
        <v>principal-hr-policy-owner|KnowledgeFragments</v>
      </c>
      <c r="N180" s="2" t="s">
        <v>9938</v>
      </c>
    </row>
    <row r="181">
      <c r="A181" s="2" t="s">
        <v>10117</v>
      </c>
      <c r="B181" s="3" t="str">
        <f>C181 &amp; " -&gt; " &amp; D181</f>
        <v>principal-hr-policy-owner -&gt; KnowledgeGaps.KnowledgeGapId</v>
      </c>
      <c r="C181" s="2" t="s">
        <v>9692</v>
      </c>
      <c r="D181" s="2" t="s">
        <v>3301</v>
      </c>
      <c r="E181" s="2" t="b">
        <v>1</v>
      </c>
      <c r="F181" s="2" t="b">
        <v>0</v>
      </c>
      <c r="G181" s="2" t="s">
        <v>9937</v>
      </c>
      <c r="H181" s="3" t="str">
        <f>_xlfn.IFNA(INDEX(RulebookFields!C2:C999, MATCH(D181,RulebookFields!A2:A999, 0)), "")</f>
        <v>KnowledgeGaps</v>
      </c>
      <c r="I181" s="3" t="str">
        <f>_xlfn.IFNA(INDEX(RulebookFields!D2:D999, MATCH(D181,RulebookFields!A2:A999, 0)), "")</f>
        <v>KnowledgeGapId</v>
      </c>
      <c r="J181" s="3" t="b">
        <f>_xlfn.IFNA(INDEX(RulebookFields!I2:I999, MATCH(D181,RulebookFields!A2:A999, 0)), "")</f>
        <v>0</v>
      </c>
      <c r="K181" s="3" t="b">
        <f>AND(F181, J181)</f>
        <v>0</v>
      </c>
      <c r="L181" s="3" t="b">
        <f>AND(G181 &lt;&gt; "plain", G181 &lt;&gt; "")</f>
        <v>0</v>
      </c>
      <c r="M181" s="3" t="str">
        <f>IF(E181, C181 &amp; "|" &amp; H181, "")</f>
        <v>principal-hr-policy-owner|KnowledgeGaps</v>
      </c>
      <c r="N181" s="2" t="s">
        <v>9938</v>
      </c>
    </row>
    <row r="182">
      <c r="A182" s="2" t="s">
        <v>10118</v>
      </c>
      <c r="B182" s="3" t="str">
        <f>C182 &amp; " -&gt; " &amp; D182</f>
        <v>principal-hr-policy-owner -&gt; KnowledgeGaps.Statement</v>
      </c>
      <c r="C182" s="2" t="s">
        <v>9692</v>
      </c>
      <c r="D182" s="2" t="s">
        <v>3307</v>
      </c>
      <c r="E182" s="2" t="b">
        <v>1</v>
      </c>
      <c r="F182" s="2" t="b">
        <v>0</v>
      </c>
      <c r="G182" s="2" t="s">
        <v>9937</v>
      </c>
      <c r="H182" s="3" t="str">
        <f>_xlfn.IFNA(INDEX(RulebookFields!C2:C999, MATCH(D182,RulebookFields!A2:A999, 0)), "")</f>
        <v>KnowledgeGaps</v>
      </c>
      <c r="I182" s="3" t="str">
        <f>_xlfn.IFNA(INDEX(RulebookFields!D2:D999, MATCH(D182,RulebookFields!A2:A999, 0)), "")</f>
        <v>Statement</v>
      </c>
      <c r="J182" s="3" t="b">
        <f>_xlfn.IFNA(INDEX(RulebookFields!I2:I999, MATCH(D182,RulebookFields!A2:A999, 0)), "")</f>
        <v>0</v>
      </c>
      <c r="K182" s="3" t="b">
        <f>AND(F182, J182)</f>
        <v>0</v>
      </c>
      <c r="L182" s="3" t="b">
        <f>AND(G182 &lt;&gt; "plain", G182 &lt;&gt; "")</f>
        <v>0</v>
      </c>
      <c r="M182" s="3" t="str">
        <f>IF(E182, C182 &amp; "|" &amp; H182, "")</f>
        <v>principal-hr-policy-owner|KnowledgeGaps</v>
      </c>
      <c r="N182" s="2" t="s">
        <v>9938</v>
      </c>
    </row>
    <row r="183">
      <c r="A183" s="2" t="s">
        <v>10119</v>
      </c>
      <c r="B183" s="3" t="str">
        <f>C183 &amp; " -&gt; " &amp; D183</f>
        <v>principal-hr-policy-owner -&gt; KnowledgeGaps.Severity</v>
      </c>
      <c r="C183" s="2" t="s">
        <v>9692</v>
      </c>
      <c r="D183" s="2" t="s">
        <v>3308</v>
      </c>
      <c r="E183" s="2" t="b">
        <v>1</v>
      </c>
      <c r="F183" s="2" t="b">
        <v>0</v>
      </c>
      <c r="G183" s="2" t="s">
        <v>9937</v>
      </c>
      <c r="H183" s="3" t="str">
        <f>_xlfn.IFNA(INDEX(RulebookFields!C2:C999, MATCH(D183,RulebookFields!A2:A999, 0)), "")</f>
        <v>KnowledgeGaps</v>
      </c>
      <c r="I183" s="3" t="str">
        <f>_xlfn.IFNA(INDEX(RulebookFields!D2:D999, MATCH(D183,RulebookFields!A2:A999, 0)), "")</f>
        <v>Severity</v>
      </c>
      <c r="J183" s="3" t="b">
        <f>_xlfn.IFNA(INDEX(RulebookFields!I2:I999, MATCH(D183,RulebookFields!A2:A999, 0)), "")</f>
        <v>0</v>
      </c>
      <c r="K183" s="3" t="b">
        <f>AND(F183, J183)</f>
        <v>0</v>
      </c>
      <c r="L183" s="3" t="b">
        <f>AND(G183 &lt;&gt; "plain", G183 &lt;&gt; "")</f>
        <v>0</v>
      </c>
      <c r="M183" s="3" t="str">
        <f>IF(E183, C183 &amp; "|" &amp; H183, "")</f>
        <v>principal-hr-policy-owner|KnowledgeGaps</v>
      </c>
      <c r="N183" s="2" t="s">
        <v>9938</v>
      </c>
    </row>
    <row r="184">
      <c r="A184" s="2" t="s">
        <v>10120</v>
      </c>
      <c r="B184" s="3" t="str">
        <f>C184 &amp; " -&gt; " &amp; D184</f>
        <v>principal-hr-policy-owner -&gt; KnowledgeGaps.Status</v>
      </c>
      <c r="C184" s="2" t="s">
        <v>9692</v>
      </c>
      <c r="D184" s="2" t="s">
        <v>3310</v>
      </c>
      <c r="E184" s="2" t="b">
        <v>1</v>
      </c>
      <c r="F184" s="2" t="b">
        <v>0</v>
      </c>
      <c r="G184" s="2" t="s">
        <v>9937</v>
      </c>
      <c r="H184" s="3" t="str">
        <f>_xlfn.IFNA(INDEX(RulebookFields!C2:C999, MATCH(D184,RulebookFields!A2:A999, 0)), "")</f>
        <v>KnowledgeGaps</v>
      </c>
      <c r="I184" s="3" t="str">
        <f>_xlfn.IFNA(INDEX(RulebookFields!D2:D999, MATCH(D184,RulebookFields!A2:A999, 0)), "")</f>
        <v>Status</v>
      </c>
      <c r="J184" s="3" t="b">
        <f>_xlfn.IFNA(INDEX(RulebookFields!I2:I999, MATCH(D184,RulebookFields!A2:A999, 0)), "")</f>
        <v>0</v>
      </c>
      <c r="K184" s="3" t="b">
        <f>AND(F184, J184)</f>
        <v>0</v>
      </c>
      <c r="L184" s="3" t="b">
        <f>AND(G184 &lt;&gt; "plain", G184 &lt;&gt; "")</f>
        <v>0</v>
      </c>
      <c r="M184" s="3" t="str">
        <f>IF(E184, C184 &amp; "|" &amp; H184, "")</f>
        <v>principal-hr-policy-owner|KnowledgeGaps</v>
      </c>
      <c r="N184" s="2" t="s">
        <v>9938</v>
      </c>
    </row>
    <row r="185">
      <c r="A185" s="2" t="s">
        <v>10121</v>
      </c>
      <c r="B185" s="3" t="str">
        <f>C185 &amp; " -&gt; " &amp; D185</f>
        <v>principal-hr-policy-owner -&gt; KnowledgeGaps.OwnerRole</v>
      </c>
      <c r="C185" s="2" t="s">
        <v>9692</v>
      </c>
      <c r="D185" s="2" t="s">
        <v>3311</v>
      </c>
      <c r="E185" s="2" t="b">
        <v>1</v>
      </c>
      <c r="F185" s="2" t="b">
        <v>0</v>
      </c>
      <c r="G185" s="2" t="s">
        <v>9937</v>
      </c>
      <c r="H185" s="3" t="str">
        <f>_xlfn.IFNA(INDEX(RulebookFields!C2:C999, MATCH(D185,RulebookFields!A2:A999, 0)), "")</f>
        <v>KnowledgeGaps</v>
      </c>
      <c r="I185" s="3" t="str">
        <f>_xlfn.IFNA(INDEX(RulebookFields!D2:D999, MATCH(D185,RulebookFields!A2:A999, 0)), "")</f>
        <v>OwnerRole</v>
      </c>
      <c r="J185" s="3" t="b">
        <f>_xlfn.IFNA(INDEX(RulebookFields!I2:I999, MATCH(D185,RulebookFields!A2:A999, 0)), "")</f>
        <v>0</v>
      </c>
      <c r="K185" s="3" t="b">
        <f>AND(F185, J185)</f>
        <v>0</v>
      </c>
      <c r="L185" s="3" t="b">
        <f>AND(G185 &lt;&gt; "plain", G185 &lt;&gt; "")</f>
        <v>0</v>
      </c>
      <c r="M185" s="3" t="str">
        <f>IF(E185, C185 &amp; "|" &amp; H185, "")</f>
        <v>principal-hr-policy-owner|KnowledgeGaps</v>
      </c>
      <c r="N185" s="2" t="s">
        <v>9938</v>
      </c>
    </row>
    <row r="186">
      <c r="A186" s="2" t="s">
        <v>10122</v>
      </c>
      <c r="B186" s="3" t="str">
        <f>C186 &amp; " -&gt; " &amp; D186</f>
        <v>principal-hr-policy-owner -&gt; KnowledgeGaps.ResolutionPlan</v>
      </c>
      <c r="C186" s="2" t="s">
        <v>9692</v>
      </c>
      <c r="D186" s="2" t="s">
        <v>3313</v>
      </c>
      <c r="E186" s="2" t="b">
        <v>1</v>
      </c>
      <c r="F186" s="2" t="b">
        <v>0</v>
      </c>
      <c r="G186" s="2" t="s">
        <v>9937</v>
      </c>
      <c r="H186" s="3" t="str">
        <f>_xlfn.IFNA(INDEX(RulebookFields!C2:C999, MATCH(D186,RulebookFields!A2:A999, 0)), "")</f>
        <v>KnowledgeGaps</v>
      </c>
      <c r="I186" s="3" t="str">
        <f>_xlfn.IFNA(INDEX(RulebookFields!D2:D999, MATCH(D186,RulebookFields!A2:A999, 0)), "")</f>
        <v>ResolutionPlan</v>
      </c>
      <c r="J186" s="3" t="b">
        <f>_xlfn.IFNA(INDEX(RulebookFields!I2:I999, MATCH(D186,RulebookFields!A2:A999, 0)), "")</f>
        <v>0</v>
      </c>
      <c r="K186" s="3" t="b">
        <f>AND(F186, J186)</f>
        <v>0</v>
      </c>
      <c r="L186" s="3" t="b">
        <f>AND(G186 &lt;&gt; "plain", G186 &lt;&gt; "")</f>
        <v>0</v>
      </c>
      <c r="M186" s="3" t="str">
        <f>IF(E186, C186 &amp; "|" &amp; H186, "")</f>
        <v>principal-hr-policy-owner|KnowledgeGaps</v>
      </c>
      <c r="N186" s="2" t="s">
        <v>9938</v>
      </c>
    </row>
    <row r="187">
      <c r="A187" s="2" t="s">
        <v>10123</v>
      </c>
      <c r="B187" s="3" t="str">
        <f>C187 &amp; " -&gt; " &amp; D187</f>
        <v>principal-hr-policy-owner -&gt; KnowledgeGaps.IsOpen</v>
      </c>
      <c r="C187" s="2" t="s">
        <v>9692</v>
      </c>
      <c r="D187" s="2" t="s">
        <v>3314</v>
      </c>
      <c r="E187" s="2" t="b">
        <v>1</v>
      </c>
      <c r="F187" s="2" t="b">
        <v>0</v>
      </c>
      <c r="G187" s="2" t="s">
        <v>9937</v>
      </c>
      <c r="H187" s="3" t="str">
        <f>_xlfn.IFNA(INDEX(RulebookFields!C2:C999, MATCH(D187,RulebookFields!A2:A999, 0)), "")</f>
        <v>KnowledgeGaps</v>
      </c>
      <c r="I187" s="3" t="str">
        <f>_xlfn.IFNA(INDEX(RulebookFields!D2:D999, MATCH(D187,RulebookFields!A2:A999, 0)), "")</f>
        <v>IsOpen</v>
      </c>
      <c r="J187" s="3" t="b">
        <f>_xlfn.IFNA(INDEX(RulebookFields!I2:I999, MATCH(D187,RulebookFields!A2:A999, 0)), "")</f>
        <v>1</v>
      </c>
      <c r="K187" s="3" t="b">
        <f>AND(F187, J187)</f>
        <v>0</v>
      </c>
      <c r="L187" s="3" t="b">
        <f>AND(G187 &lt;&gt; "plain", G187 &lt;&gt; "")</f>
        <v>0</v>
      </c>
      <c r="M187" s="3" t="str">
        <f>IF(E187, C187 &amp; "|" &amp; H187, "")</f>
        <v>principal-hr-policy-owner|KnowledgeGaps</v>
      </c>
      <c r="N187" s="2" t="s">
        <v>9938</v>
      </c>
    </row>
    <row r="188">
      <c r="A188" s="2" t="s">
        <v>10124</v>
      </c>
      <c r="B188" s="3" t="str">
        <f>C188 &amp; " -&gt; " &amp; D188</f>
        <v>principal-hr-policy-owner -&gt; KnowledgeGaps.Name</v>
      </c>
      <c r="C188" s="2" t="s">
        <v>9692</v>
      </c>
      <c r="D188" s="2" t="s">
        <v>3303</v>
      </c>
      <c r="E188" s="2" t="b">
        <v>1</v>
      </c>
      <c r="F188" s="2" t="b">
        <v>0</v>
      </c>
      <c r="G188" s="2" t="s">
        <v>9937</v>
      </c>
      <c r="H188" s="3" t="str">
        <f>_xlfn.IFNA(INDEX(RulebookFields!C2:C999, MATCH(D188,RulebookFields!A2:A999, 0)), "")</f>
        <v>KnowledgeGaps</v>
      </c>
      <c r="I188" s="3" t="str">
        <f>_xlfn.IFNA(INDEX(RulebookFields!D2:D999, MATCH(D188,RulebookFields!A2:A999, 0)), "")</f>
        <v>Name</v>
      </c>
      <c r="J188" s="3" t="b">
        <f>_xlfn.IFNA(INDEX(RulebookFields!I2:I999, MATCH(D188,RulebookFields!A2:A999, 0)), "")</f>
        <v>1</v>
      </c>
      <c r="K188" s="3" t="b">
        <f>AND(F188, J188)</f>
        <v>0</v>
      </c>
      <c r="L188" s="3" t="b">
        <f>AND(G188 &lt;&gt; "plain", G188 &lt;&gt; "")</f>
        <v>0</v>
      </c>
      <c r="M188" s="3" t="str">
        <f>IF(E188, C188 &amp; "|" &amp; H188, "")</f>
        <v>principal-hr-policy-owner|KnowledgeGaps</v>
      </c>
      <c r="N188" s="2" t="s">
        <v>9938</v>
      </c>
    </row>
    <row r="189">
      <c r="A189" s="2" t="s">
        <v>10125</v>
      </c>
      <c r="B189" s="3" t="str">
        <f>C189 &amp; " -&gt; " &amp; D189</f>
        <v>principal-hr-policy-owner -&gt; ChangeRequests.ChangeRequestId</v>
      </c>
      <c r="C189" s="2" t="s">
        <v>9692</v>
      </c>
      <c r="D189" s="2" t="s">
        <v>3847</v>
      </c>
      <c r="E189" s="2" t="b">
        <v>1</v>
      </c>
      <c r="F189" s="2" t="b">
        <v>0</v>
      </c>
      <c r="G189" s="2" t="s">
        <v>9937</v>
      </c>
      <c r="H189" s="3" t="str">
        <f>_xlfn.IFNA(INDEX(RulebookFields!C2:C999, MATCH(D189,RulebookFields!A2:A999, 0)), "")</f>
        <v>ChangeRequests</v>
      </c>
      <c r="I189" s="3" t="str">
        <f>_xlfn.IFNA(INDEX(RulebookFields!D2:D999, MATCH(D189,RulebookFields!A2:A999, 0)), "")</f>
        <v>ChangeRequestId</v>
      </c>
      <c r="J189" s="3" t="b">
        <f>_xlfn.IFNA(INDEX(RulebookFields!I2:I999, MATCH(D189,RulebookFields!A2:A999, 0)), "")</f>
        <v>0</v>
      </c>
      <c r="K189" s="3" t="b">
        <f>AND(F189, J189)</f>
        <v>0</v>
      </c>
      <c r="L189" s="3" t="b">
        <f>AND(G189 &lt;&gt; "plain", G189 &lt;&gt; "")</f>
        <v>0</v>
      </c>
      <c r="M189" s="3" t="str">
        <f>IF(E189, C189 &amp; "|" &amp; H189, "")</f>
        <v>principal-hr-policy-owner|ChangeRequests</v>
      </c>
      <c r="N189" s="2" t="s">
        <v>9938</v>
      </c>
    </row>
    <row r="190">
      <c r="A190" s="2" t="s">
        <v>10126</v>
      </c>
      <c r="B190" s="3" t="str">
        <f>C190 &amp; " -&gt; " &amp; D190</f>
        <v>principal-hr-policy-owner -&gt; ChangeRequests.Title</v>
      </c>
      <c r="C190" s="2" t="s">
        <v>9692</v>
      </c>
      <c r="D190" s="2" t="s">
        <v>3851</v>
      </c>
      <c r="E190" s="2" t="b">
        <v>1</v>
      </c>
      <c r="F190" s="2" t="b">
        <v>0</v>
      </c>
      <c r="G190" s="2" t="s">
        <v>9937</v>
      </c>
      <c r="H190" s="3" t="str">
        <f>_xlfn.IFNA(INDEX(RulebookFields!C2:C999, MATCH(D190,RulebookFields!A2:A999, 0)), "")</f>
        <v>ChangeRequests</v>
      </c>
      <c r="I190" s="3" t="str">
        <f>_xlfn.IFNA(INDEX(RulebookFields!D2:D999, MATCH(D190,RulebookFields!A2:A999, 0)), "")</f>
        <v>Title</v>
      </c>
      <c r="J190" s="3" t="b">
        <f>_xlfn.IFNA(INDEX(RulebookFields!I2:I999, MATCH(D190,RulebookFields!A2:A999, 0)), "")</f>
        <v>0</v>
      </c>
      <c r="K190" s="3" t="b">
        <f>AND(F190, J190)</f>
        <v>0</v>
      </c>
      <c r="L190" s="3" t="b">
        <f>AND(G190 &lt;&gt; "plain", G190 &lt;&gt; "")</f>
        <v>0</v>
      </c>
      <c r="M190" s="3" t="str">
        <f>IF(E190, C190 &amp; "|" &amp; H190, "")</f>
        <v>principal-hr-policy-owner|ChangeRequests</v>
      </c>
      <c r="N190" s="2" t="s">
        <v>9938</v>
      </c>
    </row>
    <row r="191">
      <c r="A191" s="2" t="s">
        <v>10127</v>
      </c>
      <c r="B191" s="3" t="str">
        <f>C191 &amp; " -&gt; " &amp; D191</f>
        <v>principal-hr-policy-owner -&gt; ChangeRequests.ChangeKind</v>
      </c>
      <c r="C191" s="2" t="s">
        <v>9692</v>
      </c>
      <c r="D191" s="2" t="s">
        <v>3852</v>
      </c>
      <c r="E191" s="2" t="b">
        <v>1</v>
      </c>
      <c r="F191" s="2" t="b">
        <v>0</v>
      </c>
      <c r="G191" s="2" t="s">
        <v>9937</v>
      </c>
      <c r="H191" s="3" t="str">
        <f>_xlfn.IFNA(INDEX(RulebookFields!C2:C999, MATCH(D191,RulebookFields!A2:A999, 0)), "")</f>
        <v>ChangeRequests</v>
      </c>
      <c r="I191" s="3" t="str">
        <f>_xlfn.IFNA(INDEX(RulebookFields!D2:D999, MATCH(D191,RulebookFields!A2:A999, 0)), "")</f>
        <v>ChangeKind</v>
      </c>
      <c r="J191" s="3" t="b">
        <f>_xlfn.IFNA(INDEX(RulebookFields!I2:I999, MATCH(D191,RulebookFields!A2:A999, 0)), "")</f>
        <v>0</v>
      </c>
      <c r="K191" s="3" t="b">
        <f>AND(F191, J191)</f>
        <v>0</v>
      </c>
      <c r="L191" s="3" t="b">
        <f>AND(G191 &lt;&gt; "plain", G191 &lt;&gt; "")</f>
        <v>0</v>
      </c>
      <c r="M191" s="3" t="str">
        <f>IF(E191, C191 &amp; "|" &amp; H191, "")</f>
        <v>principal-hr-policy-owner|ChangeRequests</v>
      </c>
      <c r="N191" s="2" t="s">
        <v>9938</v>
      </c>
    </row>
    <row r="192">
      <c r="A192" s="2" t="s">
        <v>10128</v>
      </c>
      <c r="B192" s="3" t="str">
        <f>C192 &amp; " -&gt; " &amp; D192</f>
        <v>principal-hr-policy-owner -&gt; ChangeRequests.Status</v>
      </c>
      <c r="C192" s="2" t="s">
        <v>9692</v>
      </c>
      <c r="D192" s="2" t="s">
        <v>3853</v>
      </c>
      <c r="E192" s="2" t="b">
        <v>1</v>
      </c>
      <c r="F192" s="2" t="b">
        <v>0</v>
      </c>
      <c r="G192" s="2" t="s">
        <v>9937</v>
      </c>
      <c r="H192" s="3" t="str">
        <f>_xlfn.IFNA(INDEX(RulebookFields!C2:C999, MATCH(D192,RulebookFields!A2:A999, 0)), "")</f>
        <v>ChangeRequests</v>
      </c>
      <c r="I192" s="3" t="str">
        <f>_xlfn.IFNA(INDEX(RulebookFields!D2:D999, MATCH(D192,RulebookFields!A2:A999, 0)), "")</f>
        <v>Status</v>
      </c>
      <c r="J192" s="3" t="b">
        <f>_xlfn.IFNA(INDEX(RulebookFields!I2:I999, MATCH(D192,RulebookFields!A2:A999, 0)), "")</f>
        <v>0</v>
      </c>
      <c r="K192" s="3" t="b">
        <f>AND(F192, J192)</f>
        <v>0</v>
      </c>
      <c r="L192" s="3" t="b">
        <f>AND(G192 &lt;&gt; "plain", G192 &lt;&gt; "")</f>
        <v>0</v>
      </c>
      <c r="M192" s="3" t="str">
        <f>IF(E192, C192 &amp; "|" &amp; H192, "")</f>
        <v>principal-hr-policy-owner|ChangeRequests</v>
      </c>
      <c r="N192" s="2" t="s">
        <v>9938</v>
      </c>
    </row>
    <row r="193">
      <c r="A193" s="2" t="s">
        <v>10129</v>
      </c>
      <c r="B193" s="3" t="str">
        <f>C193 &amp; " -&gt; " &amp; D193</f>
        <v>principal-hr-policy-owner -&gt; ChangeRequests.RequestedAt</v>
      </c>
      <c r="C193" s="2" t="s">
        <v>9692</v>
      </c>
      <c r="D193" s="2" t="s">
        <v>3856</v>
      </c>
      <c r="E193" s="2" t="b">
        <v>1</v>
      </c>
      <c r="F193" s="2" t="b">
        <v>0</v>
      </c>
      <c r="G193" s="2" t="s">
        <v>9937</v>
      </c>
      <c r="H193" s="3" t="str">
        <f>_xlfn.IFNA(INDEX(RulebookFields!C2:C999, MATCH(D193,RulebookFields!A2:A999, 0)), "")</f>
        <v>ChangeRequests</v>
      </c>
      <c r="I193" s="3" t="str">
        <f>_xlfn.IFNA(INDEX(RulebookFields!D2:D999, MATCH(D193,RulebookFields!A2:A999, 0)), "")</f>
        <v>RequestedAt</v>
      </c>
      <c r="J193" s="3" t="b">
        <f>_xlfn.IFNA(INDEX(RulebookFields!I2:I999, MATCH(D193,RulebookFields!A2:A999, 0)), "")</f>
        <v>0</v>
      </c>
      <c r="K193" s="3" t="b">
        <f>AND(F193, J193)</f>
        <v>0</v>
      </c>
      <c r="L193" s="3" t="b">
        <f>AND(G193 &lt;&gt; "plain", G193 &lt;&gt; "")</f>
        <v>0</v>
      </c>
      <c r="M193" s="3" t="str">
        <f>IF(E193, C193 &amp; "|" &amp; H193, "")</f>
        <v>principal-hr-policy-owner|ChangeRequests</v>
      </c>
      <c r="N193" s="2" t="s">
        <v>9938</v>
      </c>
    </row>
    <row r="194">
      <c r="A194" s="2" t="s">
        <v>10130</v>
      </c>
      <c r="B194" s="3" t="str">
        <f>C194 &amp; " -&gt; " &amp; D194</f>
        <v>principal-hr-policy-owner -&gt; ChangeRequests.DecidedAt</v>
      </c>
      <c r="C194" s="2" t="s">
        <v>9692</v>
      </c>
      <c r="D194" s="2" t="s">
        <v>3857</v>
      </c>
      <c r="E194" s="2" t="b">
        <v>1</v>
      </c>
      <c r="F194" s="2" t="b">
        <v>0</v>
      </c>
      <c r="G194" s="2" t="s">
        <v>9937</v>
      </c>
      <c r="H194" s="3" t="str">
        <f>_xlfn.IFNA(INDEX(RulebookFields!C2:C999, MATCH(D194,RulebookFields!A2:A999, 0)), "")</f>
        <v>ChangeRequests</v>
      </c>
      <c r="I194" s="3" t="str">
        <f>_xlfn.IFNA(INDEX(RulebookFields!D2:D999, MATCH(D194,RulebookFields!A2:A999, 0)), "")</f>
        <v>DecidedAt</v>
      </c>
      <c r="J194" s="3" t="b">
        <f>_xlfn.IFNA(INDEX(RulebookFields!I2:I999, MATCH(D194,RulebookFields!A2:A999, 0)), "")</f>
        <v>0</v>
      </c>
      <c r="K194" s="3" t="b">
        <f>AND(F194, J194)</f>
        <v>0</v>
      </c>
      <c r="L194" s="3" t="b">
        <f>AND(G194 &lt;&gt; "plain", G194 &lt;&gt; "")</f>
        <v>0</v>
      </c>
      <c r="M194" s="3" t="str">
        <f>IF(E194, C194 &amp; "|" &amp; H194, "")</f>
        <v>principal-hr-policy-owner|ChangeRequests</v>
      </c>
      <c r="N194" s="2" t="s">
        <v>9938</v>
      </c>
    </row>
    <row r="195">
      <c r="A195" s="2" t="s">
        <v>10131</v>
      </c>
      <c r="B195" s="3" t="str">
        <f>C195 &amp; " -&gt; " &amp; D195</f>
        <v>principal-hr-policy-owner -&gt; ChangeRequests.ImpactAssessment</v>
      </c>
      <c r="C195" s="2" t="s">
        <v>9692</v>
      </c>
      <c r="D195" s="2" t="s">
        <v>3858</v>
      </c>
      <c r="E195" s="2" t="b">
        <v>1</v>
      </c>
      <c r="F195" s="2" t="b">
        <v>0</v>
      </c>
      <c r="G195" s="2" t="s">
        <v>9937</v>
      </c>
      <c r="H195" s="3" t="str">
        <f>_xlfn.IFNA(INDEX(RulebookFields!C2:C999, MATCH(D195,RulebookFields!A2:A999, 0)), "")</f>
        <v>ChangeRequests</v>
      </c>
      <c r="I195" s="3" t="str">
        <f>_xlfn.IFNA(INDEX(RulebookFields!D2:D999, MATCH(D195,RulebookFields!A2:A999, 0)), "")</f>
        <v>ImpactAssessment</v>
      </c>
      <c r="J195" s="3" t="b">
        <f>_xlfn.IFNA(INDEX(RulebookFields!I2:I999, MATCH(D195,RulebookFields!A2:A999, 0)), "")</f>
        <v>0</v>
      </c>
      <c r="K195" s="3" t="b">
        <f>AND(F195, J195)</f>
        <v>0</v>
      </c>
      <c r="L195" s="3" t="b">
        <f>AND(G195 &lt;&gt; "plain", G195 &lt;&gt; "")</f>
        <v>0</v>
      </c>
      <c r="M195" s="3" t="str">
        <f>IF(E195, C195 &amp; "|" &amp; H195, "")</f>
        <v>principal-hr-policy-owner|ChangeRequests</v>
      </c>
      <c r="N195" s="2" t="s">
        <v>9938</v>
      </c>
    </row>
    <row r="196">
      <c r="A196" s="2" t="s">
        <v>10132</v>
      </c>
      <c r="B196" s="3" t="str">
        <f>C196 &amp; " -&gt; " &amp; D196</f>
        <v>principal-hr-policy-owner -&gt; ChangeRequests.AuthorityRole</v>
      </c>
      <c r="C196" s="2" t="s">
        <v>9692</v>
      </c>
      <c r="D196" s="2" t="s">
        <v>3855</v>
      </c>
      <c r="E196" s="2" t="b">
        <v>1</v>
      </c>
      <c r="F196" s="2" t="b">
        <v>0</v>
      </c>
      <c r="G196" s="2" t="s">
        <v>9937</v>
      </c>
      <c r="H196" s="3" t="str">
        <f>_xlfn.IFNA(INDEX(RulebookFields!C2:C999, MATCH(D196,RulebookFields!A2:A999, 0)), "")</f>
        <v>ChangeRequests</v>
      </c>
      <c r="I196" s="3" t="str">
        <f>_xlfn.IFNA(INDEX(RulebookFields!D2:D999, MATCH(D196,RulebookFields!A2:A999, 0)), "")</f>
        <v>AuthorityRole</v>
      </c>
      <c r="J196" s="3" t="b">
        <f>_xlfn.IFNA(INDEX(RulebookFields!I2:I999, MATCH(D196,RulebookFields!A2:A999, 0)), "")</f>
        <v>0</v>
      </c>
      <c r="K196" s="3" t="b">
        <f>AND(F196, J196)</f>
        <v>0</v>
      </c>
      <c r="L196" s="3" t="b">
        <f>AND(G196 &lt;&gt; "plain", G196 &lt;&gt; "")</f>
        <v>0</v>
      </c>
      <c r="M196" s="3" t="str">
        <f>IF(E196, C196 &amp; "|" &amp; H196, "")</f>
        <v>principal-hr-policy-owner|ChangeRequests</v>
      </c>
      <c r="N196" s="2" t="s">
        <v>9938</v>
      </c>
    </row>
    <row r="197">
      <c r="A197" s="2" t="s">
        <v>10133</v>
      </c>
      <c r="B197" s="3" t="str">
        <f>C197 &amp; " -&gt; " &amp; D197</f>
        <v>principal-hr-policy-owner -&gt; ChangeRequests.IsOpen</v>
      </c>
      <c r="C197" s="2" t="s">
        <v>9692</v>
      </c>
      <c r="D197" s="2" t="s">
        <v>3859</v>
      </c>
      <c r="E197" s="2" t="b">
        <v>1</v>
      </c>
      <c r="F197" s="2" t="b">
        <v>0</v>
      </c>
      <c r="G197" s="2" t="s">
        <v>9937</v>
      </c>
      <c r="H197" s="3" t="str">
        <f>_xlfn.IFNA(INDEX(RulebookFields!C2:C999, MATCH(D197,RulebookFields!A2:A999, 0)), "")</f>
        <v>ChangeRequests</v>
      </c>
      <c r="I197" s="3" t="str">
        <f>_xlfn.IFNA(INDEX(RulebookFields!D2:D999, MATCH(D197,RulebookFields!A2:A999, 0)), "")</f>
        <v>IsOpen</v>
      </c>
      <c r="J197" s="3" t="b">
        <f>_xlfn.IFNA(INDEX(RulebookFields!I2:I999, MATCH(D197,RulebookFields!A2:A999, 0)), "")</f>
        <v>1</v>
      </c>
      <c r="K197" s="3" t="b">
        <f>AND(F197, J197)</f>
        <v>0</v>
      </c>
      <c r="L197" s="3" t="b">
        <f>AND(G197 &lt;&gt; "plain", G197 &lt;&gt; "")</f>
        <v>0</v>
      </c>
      <c r="M197" s="3" t="str">
        <f>IF(E197, C197 &amp; "|" &amp; H197, "")</f>
        <v>principal-hr-policy-owner|ChangeRequests</v>
      </c>
      <c r="N197" s="2" t="s">
        <v>9938</v>
      </c>
    </row>
    <row r="198">
      <c r="A198" s="2" t="s">
        <v>10134</v>
      </c>
      <c r="B198" s="3" t="str">
        <f>C198 &amp; " -&gt; " &amp; D198</f>
        <v>principal-hr-policy-owner -&gt; ChangeRequests.Name</v>
      </c>
      <c r="C198" s="2" t="s">
        <v>9692</v>
      </c>
      <c r="D198" s="2" t="s">
        <v>3849</v>
      </c>
      <c r="E198" s="2" t="b">
        <v>1</v>
      </c>
      <c r="F198" s="2" t="b">
        <v>0</v>
      </c>
      <c r="G198" s="2" t="s">
        <v>9937</v>
      </c>
      <c r="H198" s="3" t="str">
        <f>_xlfn.IFNA(INDEX(RulebookFields!C2:C999, MATCH(D198,RulebookFields!A2:A999, 0)), "")</f>
        <v>ChangeRequests</v>
      </c>
      <c r="I198" s="3" t="str">
        <f>_xlfn.IFNA(INDEX(RulebookFields!D2:D999, MATCH(D198,RulebookFields!A2:A999, 0)), "")</f>
        <v>Name</v>
      </c>
      <c r="J198" s="3" t="b">
        <f>_xlfn.IFNA(INDEX(RulebookFields!I2:I999, MATCH(D198,RulebookFields!A2:A999, 0)), "")</f>
        <v>1</v>
      </c>
      <c r="K198" s="3" t="b">
        <f>AND(F198, J198)</f>
        <v>0</v>
      </c>
      <c r="L198" s="3" t="b">
        <f>AND(G198 &lt;&gt; "plain", G198 &lt;&gt; "")</f>
        <v>0</v>
      </c>
      <c r="M198" s="3" t="str">
        <f>IF(E198, C198 &amp; "|" &amp; H198, "")</f>
        <v>principal-hr-policy-owner|ChangeRequests</v>
      </c>
      <c r="N198" s="2" t="s">
        <v>9938</v>
      </c>
    </row>
    <row r="199">
      <c r="A199" s="2" t="s">
        <v>10135</v>
      </c>
      <c r="B199" s="3" t="str">
        <f>C199 &amp; " -&gt; " &amp; D199</f>
        <v>principal-hr-policy-owner -&gt; Exceptions.ExceptionId</v>
      </c>
      <c r="C199" s="2" t="s">
        <v>9692</v>
      </c>
      <c r="D199" s="2" t="s">
        <v>3094</v>
      </c>
      <c r="E199" s="2" t="b">
        <v>1</v>
      </c>
      <c r="F199" s="2" t="b">
        <v>0</v>
      </c>
      <c r="G199" s="2" t="s">
        <v>9937</v>
      </c>
      <c r="H199" s="3" t="str">
        <f>_xlfn.IFNA(INDEX(RulebookFields!C2:C999, MATCH(D199,RulebookFields!A2:A999, 0)), "")</f>
        <v>Exceptions</v>
      </c>
      <c r="I199" s="3" t="str">
        <f>_xlfn.IFNA(INDEX(RulebookFields!D2:D999, MATCH(D199,RulebookFields!A2:A999, 0)), "")</f>
        <v>ExceptionId</v>
      </c>
      <c r="J199" s="3" t="b">
        <f>_xlfn.IFNA(INDEX(RulebookFields!I2:I999, MATCH(D199,RulebookFields!A2:A999, 0)), "")</f>
        <v>0</v>
      </c>
      <c r="K199" s="3" t="b">
        <f>AND(F199, J199)</f>
        <v>0</v>
      </c>
      <c r="L199" s="3" t="b">
        <f>AND(G199 &lt;&gt; "plain", G199 &lt;&gt; "")</f>
        <v>0</v>
      </c>
      <c r="M199" s="3" t="str">
        <f>IF(E199, C199 &amp; "|" &amp; H199, "")</f>
        <v>principal-hr-policy-owner|Exceptions</v>
      </c>
      <c r="N199" s="2" t="s">
        <v>9938</v>
      </c>
    </row>
    <row r="200">
      <c r="A200" s="2" t="s">
        <v>10136</v>
      </c>
      <c r="B200" s="3" t="str">
        <f>C200 &amp; " -&gt; " &amp; D200</f>
        <v>principal-hr-policy-owner -&gt; Exceptions.Name</v>
      </c>
      <c r="C200" s="2" t="s">
        <v>9692</v>
      </c>
      <c r="D200" s="2" t="s">
        <v>3096</v>
      </c>
      <c r="E200" s="2" t="b">
        <v>1</v>
      </c>
      <c r="F200" s="2" t="b">
        <v>0</v>
      </c>
      <c r="G200" s="2" t="s">
        <v>9937</v>
      </c>
      <c r="H200" s="3" t="str">
        <f>_xlfn.IFNA(INDEX(RulebookFields!C2:C999, MATCH(D200,RulebookFields!A2:A999, 0)), "")</f>
        <v>Exceptions</v>
      </c>
      <c r="I200" s="3" t="str">
        <f>_xlfn.IFNA(INDEX(RulebookFields!D2:D999, MATCH(D200,RulebookFields!A2:A999, 0)), "")</f>
        <v>Name</v>
      </c>
      <c r="J200" s="3" t="b">
        <f>_xlfn.IFNA(INDEX(RulebookFields!I2:I999, MATCH(D200,RulebookFields!A2:A999, 0)), "")</f>
        <v>1</v>
      </c>
      <c r="K200" s="3" t="b">
        <f>AND(F200, J200)</f>
        <v>0</v>
      </c>
      <c r="L200" s="3" t="b">
        <f>AND(G200 &lt;&gt; "plain", G200 &lt;&gt; "")</f>
        <v>0</v>
      </c>
      <c r="M200" s="3" t="str">
        <f>IF(E200, C200 &amp; "|" &amp; H200, "")</f>
        <v>principal-hr-policy-owner|Exceptions</v>
      </c>
      <c r="N200" s="2" t="s">
        <v>9938</v>
      </c>
    </row>
    <row r="201">
      <c r="A201" s="2" t="s">
        <v>10137</v>
      </c>
      <c r="B201" s="3" t="str">
        <f>C201 &amp; " -&gt; " &amp; D201</f>
        <v>principal-hr-policy-owner -&gt; Exceptions.ProcedureVersion</v>
      </c>
      <c r="C201" s="2" t="s">
        <v>9692</v>
      </c>
      <c r="D201" s="2" t="s">
        <v>3098</v>
      </c>
      <c r="E201" s="2" t="b">
        <v>1</v>
      </c>
      <c r="F201" s="2" t="b">
        <v>0</v>
      </c>
      <c r="G201" s="2" t="s">
        <v>9937</v>
      </c>
      <c r="H201" s="3" t="str">
        <f>_xlfn.IFNA(INDEX(RulebookFields!C2:C999, MATCH(D201,RulebookFields!A2:A999, 0)), "")</f>
        <v>Exceptions</v>
      </c>
      <c r="I201" s="3" t="str">
        <f>_xlfn.IFNA(INDEX(RulebookFields!D2:D999, MATCH(D201,RulebookFields!A2:A999, 0)), "")</f>
        <v>ProcedureVersion</v>
      </c>
      <c r="J201" s="3" t="b">
        <f>_xlfn.IFNA(INDEX(RulebookFields!I2:I999, MATCH(D201,RulebookFields!A2:A999, 0)), "")</f>
        <v>0</v>
      </c>
      <c r="K201" s="3" t="b">
        <f>AND(F201, J201)</f>
        <v>0</v>
      </c>
      <c r="L201" s="3" t="b">
        <f>AND(G201 &lt;&gt; "plain", G201 &lt;&gt; "")</f>
        <v>0</v>
      </c>
      <c r="M201" s="3" t="str">
        <f>IF(E201, C201 &amp; "|" &amp; H201, "")</f>
        <v>principal-hr-policy-owner|Exceptions</v>
      </c>
      <c r="N201" s="2" t="s">
        <v>9938</v>
      </c>
    </row>
    <row r="202">
      <c r="A202" s="2" t="s">
        <v>10138</v>
      </c>
      <c r="B202" s="3" t="str">
        <f>C202 &amp; " -&gt; " &amp; D202</f>
        <v>principal-hr-policy-owner -&gt; Exceptions.TriggerStep</v>
      </c>
      <c r="C202" s="2" t="s">
        <v>9692</v>
      </c>
      <c r="D202" s="2" t="s">
        <v>3099</v>
      </c>
      <c r="E202" s="2" t="b">
        <v>1</v>
      </c>
      <c r="F202" s="2" t="b">
        <v>0</v>
      </c>
      <c r="G202" s="2" t="s">
        <v>9937</v>
      </c>
      <c r="H202" s="3" t="str">
        <f>_xlfn.IFNA(INDEX(RulebookFields!C2:C999, MATCH(D202,RulebookFields!A2:A999, 0)), "")</f>
        <v>Exceptions</v>
      </c>
      <c r="I202" s="3" t="str">
        <f>_xlfn.IFNA(INDEX(RulebookFields!D2:D999, MATCH(D202,RulebookFields!A2:A999, 0)), "")</f>
        <v>TriggerStep</v>
      </c>
      <c r="J202" s="3" t="b">
        <f>_xlfn.IFNA(INDEX(RulebookFields!I2:I999, MATCH(D202,RulebookFields!A2:A999, 0)), "")</f>
        <v>0</v>
      </c>
      <c r="K202" s="3" t="b">
        <f>AND(F202, J202)</f>
        <v>0</v>
      </c>
      <c r="L202" s="3" t="b">
        <f>AND(G202 &lt;&gt; "plain", G202 &lt;&gt; "")</f>
        <v>0</v>
      </c>
      <c r="M202" s="3" t="str">
        <f>IF(E202, C202 &amp; "|" &amp; H202, "")</f>
        <v>principal-hr-policy-owner|Exceptions</v>
      </c>
      <c r="N202" s="2" t="s">
        <v>9938</v>
      </c>
    </row>
    <row r="203">
      <c r="A203" s="2" t="s">
        <v>10139</v>
      </c>
      <c r="B203" s="3" t="str">
        <f>C203 &amp; " -&gt; " &amp; D203</f>
        <v>principal-hr-policy-owner -&gt; Exceptions.Condition</v>
      </c>
      <c r="C203" s="2" t="s">
        <v>9692</v>
      </c>
      <c r="D203" s="2" t="s">
        <v>3100</v>
      </c>
      <c r="E203" s="2" t="b">
        <v>1</v>
      </c>
      <c r="F203" s="2" t="b">
        <v>0</v>
      </c>
      <c r="G203" s="2" t="s">
        <v>9937</v>
      </c>
      <c r="H203" s="3" t="str">
        <f>_xlfn.IFNA(INDEX(RulebookFields!C2:C999, MATCH(D203,RulebookFields!A2:A999, 0)), "")</f>
        <v>Exceptions</v>
      </c>
      <c r="I203" s="3" t="str">
        <f>_xlfn.IFNA(INDEX(RulebookFields!D2:D999, MATCH(D203,RulebookFields!A2:A999, 0)), "")</f>
        <v>Condition</v>
      </c>
      <c r="J203" s="3" t="b">
        <f>_xlfn.IFNA(INDEX(RulebookFields!I2:I999, MATCH(D203,RulebookFields!A2:A999, 0)), "")</f>
        <v>0</v>
      </c>
      <c r="K203" s="3" t="b">
        <f>AND(F203, J203)</f>
        <v>0</v>
      </c>
      <c r="L203" s="3" t="b">
        <f>AND(G203 &lt;&gt; "plain", G203 &lt;&gt; "")</f>
        <v>0</v>
      </c>
      <c r="M203" s="3" t="str">
        <f>IF(E203, C203 &amp; "|" &amp; H203, "")</f>
        <v>principal-hr-policy-owner|Exceptions</v>
      </c>
      <c r="N203" s="2" t="s">
        <v>9938</v>
      </c>
    </row>
    <row r="204">
      <c r="A204" s="2" t="s">
        <v>10140</v>
      </c>
      <c r="B204" s="3" t="str">
        <f>C204 &amp; " -&gt; " &amp; D204</f>
        <v>principal-hr-policy-owner -&gt; Exceptions.Handling</v>
      </c>
      <c r="C204" s="2" t="s">
        <v>9692</v>
      </c>
      <c r="D204" s="2" t="s">
        <v>3101</v>
      </c>
      <c r="E204" s="2" t="b">
        <v>1</v>
      </c>
      <c r="F204" s="2" t="b">
        <v>0</v>
      </c>
      <c r="G204" s="2" t="s">
        <v>9937</v>
      </c>
      <c r="H204" s="3" t="str">
        <f>_xlfn.IFNA(INDEX(RulebookFields!C2:C999, MATCH(D204,RulebookFields!A2:A999, 0)), "")</f>
        <v>Exceptions</v>
      </c>
      <c r="I204" s="3" t="str">
        <f>_xlfn.IFNA(INDEX(RulebookFields!D2:D999, MATCH(D204,RulebookFields!A2:A999, 0)), "")</f>
        <v>Handling</v>
      </c>
      <c r="J204" s="3" t="b">
        <f>_xlfn.IFNA(INDEX(RulebookFields!I2:I999, MATCH(D204,RulebookFields!A2:A999, 0)), "")</f>
        <v>0</v>
      </c>
      <c r="K204" s="3" t="b">
        <f>AND(F204, J204)</f>
        <v>0</v>
      </c>
      <c r="L204" s="3" t="b">
        <f>AND(G204 &lt;&gt; "plain", G204 &lt;&gt; "")</f>
        <v>0</v>
      </c>
      <c r="M204" s="3" t="str">
        <f>IF(E204, C204 &amp; "|" &amp; H204, "")</f>
        <v>principal-hr-policy-owner|Exceptions</v>
      </c>
      <c r="N204" s="2" t="s">
        <v>9938</v>
      </c>
    </row>
    <row r="205">
      <c r="A205" s="2" t="s">
        <v>10141</v>
      </c>
      <c r="B205" s="3" t="str">
        <f>C205 &amp; " -&gt; " &amp; D205</f>
        <v>principal-hr-policy-owner -&gt; Exceptions.ApprovalRole</v>
      </c>
      <c r="C205" s="2" t="s">
        <v>9692</v>
      </c>
      <c r="D205" s="2" t="s">
        <v>3102</v>
      </c>
      <c r="E205" s="2" t="b">
        <v>1</v>
      </c>
      <c r="F205" s="2" t="b">
        <v>0</v>
      </c>
      <c r="G205" s="2" t="s">
        <v>9937</v>
      </c>
      <c r="H205" s="3" t="str">
        <f>_xlfn.IFNA(INDEX(RulebookFields!C2:C999, MATCH(D205,RulebookFields!A2:A999, 0)), "")</f>
        <v>Exceptions</v>
      </c>
      <c r="I205" s="3" t="str">
        <f>_xlfn.IFNA(INDEX(RulebookFields!D2:D999, MATCH(D205,RulebookFields!A2:A999, 0)), "")</f>
        <v>ApprovalRole</v>
      </c>
      <c r="J205" s="3" t="b">
        <f>_xlfn.IFNA(INDEX(RulebookFields!I2:I999, MATCH(D205,RulebookFields!A2:A999, 0)), "")</f>
        <v>0</v>
      </c>
      <c r="K205" s="3" t="b">
        <f>AND(F205, J205)</f>
        <v>0</v>
      </c>
      <c r="L205" s="3" t="b">
        <f>AND(G205 &lt;&gt; "plain", G205 &lt;&gt; "")</f>
        <v>0</v>
      </c>
      <c r="M205" s="3" t="str">
        <f>IF(E205, C205 &amp; "|" &amp; H205, "")</f>
        <v>principal-hr-policy-owner|Exceptions</v>
      </c>
      <c r="N205" s="2" t="s">
        <v>9938</v>
      </c>
    </row>
    <row r="206">
      <c r="A206" s="2" t="s">
        <v>10142</v>
      </c>
      <c r="B206" s="3" t="str">
        <f>C206 &amp; " -&gt; " &amp; D206</f>
        <v>principal-hr-policy-owner -&gt; Exceptions.FallbackRole</v>
      </c>
      <c r="C206" s="2" t="s">
        <v>9692</v>
      </c>
      <c r="D206" s="2" t="s">
        <v>3103</v>
      </c>
      <c r="E206" s="2" t="b">
        <v>1</v>
      </c>
      <c r="F206" s="2" t="b">
        <v>0</v>
      </c>
      <c r="G206" s="2" t="s">
        <v>9937</v>
      </c>
      <c r="H206" s="3" t="str">
        <f>_xlfn.IFNA(INDEX(RulebookFields!C2:C999, MATCH(D206,RulebookFields!A2:A999, 0)), "")</f>
        <v>Exceptions</v>
      </c>
      <c r="I206" s="3" t="str">
        <f>_xlfn.IFNA(INDEX(RulebookFields!D2:D999, MATCH(D206,RulebookFields!A2:A999, 0)), "")</f>
        <v>FallbackRole</v>
      </c>
      <c r="J206" s="3" t="b">
        <f>_xlfn.IFNA(INDEX(RulebookFields!I2:I999, MATCH(D206,RulebookFields!A2:A999, 0)), "")</f>
        <v>0</v>
      </c>
      <c r="K206" s="3" t="b">
        <f>AND(F206, J206)</f>
        <v>0</v>
      </c>
      <c r="L206" s="3" t="b">
        <f>AND(G206 &lt;&gt; "plain", G206 &lt;&gt; "")</f>
        <v>0</v>
      </c>
      <c r="M206" s="3" t="str">
        <f>IF(E206, C206 &amp; "|" &amp; H206, "")</f>
        <v>principal-hr-policy-owner|Exceptions</v>
      </c>
      <c r="N206" s="2" t="s">
        <v>9938</v>
      </c>
    </row>
    <row r="207">
      <c r="A207" s="2" t="s">
        <v>10143</v>
      </c>
      <c r="B207" s="3" t="str">
        <f>C207 &amp; " -&gt; " &amp; D207</f>
        <v>principal-hr-policy-owner -&gt; Exceptions.Status</v>
      </c>
      <c r="C207" s="2" t="s">
        <v>9692</v>
      </c>
      <c r="D207" s="2" t="s">
        <v>3104</v>
      </c>
      <c r="E207" s="2" t="b">
        <v>1</v>
      </c>
      <c r="F207" s="2" t="b">
        <v>0</v>
      </c>
      <c r="G207" s="2" t="s">
        <v>9937</v>
      </c>
      <c r="H207" s="3" t="str">
        <f>_xlfn.IFNA(INDEX(RulebookFields!C2:C999, MATCH(D207,RulebookFields!A2:A999, 0)), "")</f>
        <v>Exceptions</v>
      </c>
      <c r="I207" s="3" t="str">
        <f>_xlfn.IFNA(INDEX(RulebookFields!D2:D999, MATCH(D207,RulebookFields!A2:A999, 0)), "")</f>
        <v>Status</v>
      </c>
      <c r="J207" s="3" t="b">
        <f>_xlfn.IFNA(INDEX(RulebookFields!I2:I999, MATCH(D207,RulebookFields!A2:A999, 0)), "")</f>
        <v>0</v>
      </c>
      <c r="K207" s="3" t="b">
        <f>AND(F207, J207)</f>
        <v>0</v>
      </c>
      <c r="L207" s="3" t="b">
        <f>AND(G207 &lt;&gt; "plain", G207 &lt;&gt; "")</f>
        <v>0</v>
      </c>
      <c r="M207" s="3" t="str">
        <f>IF(E207, C207 &amp; "|" &amp; H207, "")</f>
        <v>principal-hr-policy-owner|Exceptions</v>
      </c>
      <c r="N207" s="2" t="s">
        <v>9938</v>
      </c>
    </row>
    <row r="208">
      <c r="A208" s="2" t="s">
        <v>10144</v>
      </c>
      <c r="B208" s="3" t="str">
        <f>C208 &amp; " -&gt; " &amp; D208</f>
        <v>principal-hr-policy-owner -&gt; Exceptions.ActiveExceptionStepKey</v>
      </c>
      <c r="C208" s="2" t="s">
        <v>9692</v>
      </c>
      <c r="D208" s="2" t="s">
        <v>3105</v>
      </c>
      <c r="E208" s="2" t="b">
        <v>1</v>
      </c>
      <c r="F208" s="2" t="b">
        <v>0</v>
      </c>
      <c r="G208" s="2" t="s">
        <v>9937</v>
      </c>
      <c r="H208" s="3" t="str">
        <f>_xlfn.IFNA(INDEX(RulebookFields!C2:C999, MATCH(D208,RulebookFields!A2:A999, 0)), "")</f>
        <v>Exceptions</v>
      </c>
      <c r="I208" s="3" t="str">
        <f>_xlfn.IFNA(INDEX(RulebookFields!D2:D999, MATCH(D208,RulebookFields!A2:A999, 0)), "")</f>
        <v>ActiveExceptionStepKey</v>
      </c>
      <c r="J208" s="3" t="b">
        <f>_xlfn.IFNA(INDEX(RulebookFields!I2:I999, MATCH(D208,RulebookFields!A2:A999, 0)), "")</f>
        <v>1</v>
      </c>
      <c r="K208" s="3" t="b">
        <f>AND(F208, J208)</f>
        <v>0</v>
      </c>
      <c r="L208" s="3" t="b">
        <f>AND(G208 &lt;&gt; "plain", G208 &lt;&gt; "")</f>
        <v>0</v>
      </c>
      <c r="M208" s="3" t="str">
        <f>IF(E208, C208 &amp; "|" &amp; H208, "")</f>
        <v>principal-hr-policy-owner|Exceptions</v>
      </c>
      <c r="N208" s="2" t="s">
        <v>9938</v>
      </c>
    </row>
    <row r="209">
      <c r="A209" s="2" t="s">
        <v>10145</v>
      </c>
      <c r="B209" s="3" t="str">
        <f>C209 &amp; " -&gt; " &amp; D209</f>
        <v>principal-hr-policy-owner -&gt; Exceptions.SemanticTypeIri</v>
      </c>
      <c r="C209" s="2" t="s">
        <v>9692</v>
      </c>
      <c r="D209" s="2" t="s">
        <v>3107</v>
      </c>
      <c r="E209" s="2" t="b">
        <v>1</v>
      </c>
      <c r="F209" s="2" t="b">
        <v>0</v>
      </c>
      <c r="G209" s="2" t="s">
        <v>9937</v>
      </c>
      <c r="H209" s="3" t="str">
        <f>_xlfn.IFNA(INDEX(RulebookFields!C2:C999, MATCH(D209,RulebookFields!A2:A999, 0)), "")</f>
        <v>Exceptions</v>
      </c>
      <c r="I209" s="3" t="str">
        <f>_xlfn.IFNA(INDEX(RulebookFields!D2:D999, MATCH(D209,RulebookFields!A2:A999, 0)), "")</f>
        <v>SemanticTypeIri</v>
      </c>
      <c r="J209" s="3" t="b">
        <f>_xlfn.IFNA(INDEX(RulebookFields!I2:I999, MATCH(D209,RulebookFields!A2:A999, 0)), "")</f>
        <v>0</v>
      </c>
      <c r="K209" s="3" t="b">
        <f>AND(F209, J209)</f>
        <v>0</v>
      </c>
      <c r="L209" s="3" t="b">
        <f>AND(G209 &lt;&gt; "plain", G209 &lt;&gt; "")</f>
        <v>0</v>
      </c>
      <c r="M209" s="3" t="str">
        <f>IF(E209, C209 &amp; "|" &amp; H209, "")</f>
        <v>principal-hr-policy-owner|Exceptions</v>
      </c>
      <c r="N209" s="2" t="s">
        <v>9938</v>
      </c>
    </row>
    <row r="210">
      <c r="A210" s="2" t="s">
        <v>10146</v>
      </c>
      <c r="B210" s="3" t="str">
        <f>C210 &amp; " -&gt; " &amp; D210</f>
        <v>principal-hr-policy-owner -&gt; MessageTemplates.MessageTemplateId</v>
      </c>
      <c r="C210" s="2" t="s">
        <v>9692</v>
      </c>
      <c r="D210" s="2" t="s">
        <v>4020</v>
      </c>
      <c r="E210" s="2" t="b">
        <v>1</v>
      </c>
      <c r="F210" s="2" t="b">
        <v>0</v>
      </c>
      <c r="G210" s="2" t="s">
        <v>9937</v>
      </c>
      <c r="H210" s="3" t="str">
        <f>_xlfn.IFNA(INDEX(RulebookFields!C2:C999, MATCH(D210,RulebookFields!A2:A999, 0)), "")</f>
      </c>
      <c r="I210" s="3" t="str">
        <f>_xlfn.IFNA(INDEX(RulebookFields!D2:D999, MATCH(D210,RulebookFields!A2:A999, 0)), "")</f>
      </c>
      <c r="J210" s="3" t="str">
        <f>_xlfn.IFNA(INDEX(RulebookFields!I2:I999, MATCH(D210,RulebookFields!A2:A999, 0)), "")</f>
      </c>
      <c r="K210" s="3" t="b">
        <f>AND(F210, J210)</f>
        <v>0</v>
      </c>
      <c r="L210" s="3" t="b">
        <f>AND(G210 &lt;&gt; "plain", G210 &lt;&gt; "")</f>
        <v>0</v>
      </c>
      <c r="M210" s="3" t="str">
        <f>IF(E210, C210 &amp; "|" &amp; H210, "")</f>
        <v>principal-hr-policy-owner|</v>
      </c>
      <c r="N210" s="2" t="s">
        <v>9938</v>
      </c>
    </row>
    <row r="211">
      <c r="A211" s="2" t="s">
        <v>10147</v>
      </c>
      <c r="B211" s="3" t="str">
        <f>C211 &amp; " -&gt; " &amp; D211</f>
        <v>principal-hr-policy-owner -&gt; MessageTemplates.SubjectTemplate</v>
      </c>
      <c r="C211" s="2" t="s">
        <v>9692</v>
      </c>
      <c r="D211" s="2" t="s">
        <v>4026</v>
      </c>
      <c r="E211" s="2" t="b">
        <v>1</v>
      </c>
      <c r="F211" s="2" t="b">
        <v>0</v>
      </c>
      <c r="G211" s="2" t="s">
        <v>9937</v>
      </c>
      <c r="H211" s="3" t="str">
        <f>_xlfn.IFNA(INDEX(RulebookFields!C2:C999, MATCH(D211,RulebookFields!A2:A999, 0)), "")</f>
      </c>
      <c r="I211" s="3" t="str">
        <f>_xlfn.IFNA(INDEX(RulebookFields!D2:D999, MATCH(D211,RulebookFields!A2:A999, 0)), "")</f>
      </c>
      <c r="J211" s="3" t="str">
        <f>_xlfn.IFNA(INDEX(RulebookFields!I2:I999, MATCH(D211,RulebookFields!A2:A999, 0)), "")</f>
      </c>
      <c r="K211" s="3" t="b">
        <f>AND(F211, J211)</f>
        <v>0</v>
      </c>
      <c r="L211" s="3" t="b">
        <f>AND(G211 &lt;&gt; "plain", G211 &lt;&gt; "")</f>
        <v>0</v>
      </c>
      <c r="M211" s="3" t="str">
        <f>IF(E211, C211 &amp; "|" &amp; H211, "")</f>
        <v>principal-hr-policy-owner|</v>
      </c>
      <c r="N211" s="2" t="s">
        <v>9938</v>
      </c>
    </row>
    <row r="212">
      <c r="A212" s="2" t="s">
        <v>10148</v>
      </c>
      <c r="B212" s="3" t="str">
        <f>C212 &amp; " -&gt; " &amp; D212</f>
        <v>principal-hr-policy-owner -&gt; MessageTemplates.BodyTemplate</v>
      </c>
      <c r="C212" s="2" t="s">
        <v>9692</v>
      </c>
      <c r="D212" s="2" t="s">
        <v>4027</v>
      </c>
      <c r="E212" s="2" t="b">
        <v>1</v>
      </c>
      <c r="F212" s="2" t="b">
        <v>0</v>
      </c>
      <c r="G212" s="2" t="s">
        <v>9937</v>
      </c>
      <c r="H212" s="3" t="str">
        <f>_xlfn.IFNA(INDEX(RulebookFields!C2:C999, MATCH(D212,RulebookFields!A2:A999, 0)), "")</f>
      </c>
      <c r="I212" s="3" t="str">
        <f>_xlfn.IFNA(INDEX(RulebookFields!D2:D999, MATCH(D212,RulebookFields!A2:A999, 0)), "")</f>
      </c>
      <c r="J212" s="3" t="str">
        <f>_xlfn.IFNA(INDEX(RulebookFields!I2:I999, MATCH(D212,RulebookFields!A2:A999, 0)), "")</f>
      </c>
      <c r="K212" s="3" t="b">
        <f>AND(F212, J212)</f>
        <v>0</v>
      </c>
      <c r="L212" s="3" t="b">
        <f>AND(G212 &lt;&gt; "plain", G212 &lt;&gt; "")</f>
        <v>0</v>
      </c>
      <c r="M212" s="3" t="str">
        <f>IF(E212, C212 &amp; "|" &amp; H212, "")</f>
        <v>principal-hr-policy-owner|</v>
      </c>
      <c r="N212" s="2" t="s">
        <v>9938</v>
      </c>
    </row>
    <row r="213">
      <c r="A213" s="2" t="s">
        <v>10149</v>
      </c>
      <c r="B213" s="3" t="str">
        <f>C213 &amp; " -&gt; " &amp; D213</f>
        <v>principal-hr-policy-owner -&gt; MessageTemplates.Status</v>
      </c>
      <c r="C213" s="2" t="s">
        <v>9692</v>
      </c>
      <c r="D213" s="2" t="s">
        <v>4029</v>
      </c>
      <c r="E213" s="2" t="b">
        <v>1</v>
      </c>
      <c r="F213" s="2" t="b">
        <v>0</v>
      </c>
      <c r="G213" s="2" t="s">
        <v>9937</v>
      </c>
      <c r="H213" s="3" t="str">
        <f>_xlfn.IFNA(INDEX(RulebookFields!C2:C999, MATCH(D213,RulebookFields!A2:A999, 0)), "")</f>
      </c>
      <c r="I213" s="3" t="str">
        <f>_xlfn.IFNA(INDEX(RulebookFields!D2:D999, MATCH(D213,RulebookFields!A2:A999, 0)), "")</f>
      </c>
      <c r="J213" s="3" t="str">
        <f>_xlfn.IFNA(INDEX(RulebookFields!I2:I999, MATCH(D213,RulebookFields!A2:A999, 0)), "")</f>
      </c>
      <c r="K213" s="3" t="b">
        <f>AND(F213, J213)</f>
        <v>0</v>
      </c>
      <c r="L213" s="3" t="b">
        <f>AND(G213 &lt;&gt; "plain", G213 &lt;&gt; "")</f>
        <v>0</v>
      </c>
      <c r="M213" s="3" t="str">
        <f>IF(E213, C213 &amp; "|" &amp; H213, "")</f>
        <v>principal-hr-policy-owner|</v>
      </c>
      <c r="N213" s="2" t="s">
        <v>9938</v>
      </c>
    </row>
    <row r="214">
      <c r="A214" s="2" t="s">
        <v>10150</v>
      </c>
      <c r="B214" s="3" t="str">
        <f>C214 &amp; " -&gt; " &amp; D214</f>
        <v>principal-hr-policy-owner -&gt; MessageTemplates.Name</v>
      </c>
      <c r="C214" s="2" t="s">
        <v>9692</v>
      </c>
      <c r="D214" s="2" t="s">
        <v>4022</v>
      </c>
      <c r="E214" s="2" t="b">
        <v>1</v>
      </c>
      <c r="F214" s="2" t="b">
        <v>0</v>
      </c>
      <c r="G214" s="2" t="s">
        <v>9937</v>
      </c>
      <c r="H214" s="3" t="str">
        <f>_xlfn.IFNA(INDEX(RulebookFields!C2:C999, MATCH(D214,RulebookFields!A2:A999, 0)), "")</f>
      </c>
      <c r="I214" s="3" t="str">
        <f>_xlfn.IFNA(INDEX(RulebookFields!D2:D999, MATCH(D214,RulebookFields!A2:A999, 0)), "")</f>
      </c>
      <c r="J214" s="3" t="str">
        <f>_xlfn.IFNA(INDEX(RulebookFields!I2:I999, MATCH(D214,RulebookFields!A2:A999, 0)), "")</f>
      </c>
      <c r="K214" s="3" t="b">
        <f>AND(F214, J214)</f>
        <v>0</v>
      </c>
      <c r="L214" s="3" t="b">
        <f>AND(G214 &lt;&gt; "plain", G214 &lt;&gt; "")</f>
        <v>0</v>
      </c>
      <c r="M214" s="3" t="str">
        <f>IF(E214, C214 &amp; "|" &amp; H214, "")</f>
        <v>principal-hr-policy-owner|</v>
      </c>
      <c r="N214" s="2" t="s">
        <v>9938</v>
      </c>
    </row>
    <row r="215">
      <c r="A215" s="2" t="s">
        <v>10151</v>
      </c>
      <c r="B215" s="3" t="str">
        <f>C215 &amp; " -&gt; " &amp; D215</f>
        <v>principal-employment-counsel -&gt; ChangeRequests.ChangeRequestId</v>
      </c>
      <c r="C215" s="2" t="s">
        <v>9694</v>
      </c>
      <c r="D215" s="2" t="s">
        <v>3847</v>
      </c>
      <c r="E215" s="2" t="b">
        <v>1</v>
      </c>
      <c r="F215" s="2" t="b">
        <v>0</v>
      </c>
      <c r="G215" s="2" t="s">
        <v>9937</v>
      </c>
      <c r="H215" s="3" t="str">
        <f>_xlfn.IFNA(INDEX(RulebookFields!C2:C999, MATCH(D215,RulebookFields!A2:A999, 0)), "")</f>
        <v>ChangeRequests</v>
      </c>
      <c r="I215" s="3" t="str">
        <f>_xlfn.IFNA(INDEX(RulebookFields!D2:D999, MATCH(D215,RulebookFields!A2:A999, 0)), "")</f>
        <v>ChangeRequestId</v>
      </c>
      <c r="J215" s="3" t="b">
        <f>_xlfn.IFNA(INDEX(RulebookFields!I2:I999, MATCH(D215,RulebookFields!A2:A999, 0)), "")</f>
        <v>0</v>
      </c>
      <c r="K215" s="3" t="b">
        <f>AND(F215, J215)</f>
        <v>0</v>
      </c>
      <c r="L215" s="3" t="b">
        <f>AND(G215 &lt;&gt; "plain", G215 &lt;&gt; "")</f>
        <v>0</v>
      </c>
      <c r="M215" s="3" t="str">
        <f>IF(E215, C215 &amp; "|" &amp; H215, "")</f>
        <v>principal-employment-counsel|ChangeRequests</v>
      </c>
      <c r="N215" s="2" t="s">
        <v>9938</v>
      </c>
    </row>
    <row r="216">
      <c r="A216" s="2" t="s">
        <v>10152</v>
      </c>
      <c r="B216" s="3" t="str">
        <f>C216 &amp; " -&gt; " &amp; D216</f>
        <v>principal-employment-counsel -&gt; ChangeRequests.Title</v>
      </c>
      <c r="C216" s="2" t="s">
        <v>9694</v>
      </c>
      <c r="D216" s="2" t="s">
        <v>3851</v>
      </c>
      <c r="E216" s="2" t="b">
        <v>1</v>
      </c>
      <c r="F216" s="2" t="b">
        <v>0</v>
      </c>
      <c r="G216" s="2" t="s">
        <v>9937</v>
      </c>
      <c r="H216" s="3" t="str">
        <f>_xlfn.IFNA(INDEX(RulebookFields!C2:C999, MATCH(D216,RulebookFields!A2:A999, 0)), "")</f>
        <v>ChangeRequests</v>
      </c>
      <c r="I216" s="3" t="str">
        <f>_xlfn.IFNA(INDEX(RulebookFields!D2:D999, MATCH(D216,RulebookFields!A2:A999, 0)), "")</f>
        <v>Title</v>
      </c>
      <c r="J216" s="3" t="b">
        <f>_xlfn.IFNA(INDEX(RulebookFields!I2:I999, MATCH(D216,RulebookFields!A2:A999, 0)), "")</f>
        <v>0</v>
      </c>
      <c r="K216" s="3" t="b">
        <f>AND(F216, J216)</f>
        <v>0</v>
      </c>
      <c r="L216" s="3" t="b">
        <f>AND(G216 &lt;&gt; "plain", G216 &lt;&gt; "")</f>
        <v>0</v>
      </c>
      <c r="M216" s="3" t="str">
        <f>IF(E216, C216 &amp; "|" &amp; H216, "")</f>
        <v>principal-employment-counsel|ChangeRequests</v>
      </c>
      <c r="N216" s="2" t="s">
        <v>9938</v>
      </c>
    </row>
    <row r="217">
      <c r="A217" s="2" t="s">
        <v>10153</v>
      </c>
      <c r="B217" s="3" t="str">
        <f>C217 &amp; " -&gt; " &amp; D217</f>
        <v>principal-employment-counsel -&gt; ChangeRequests.ChangeKind</v>
      </c>
      <c r="C217" s="2" t="s">
        <v>9694</v>
      </c>
      <c r="D217" s="2" t="s">
        <v>3852</v>
      </c>
      <c r="E217" s="2" t="b">
        <v>1</v>
      </c>
      <c r="F217" s="2" t="b">
        <v>0</v>
      </c>
      <c r="G217" s="2" t="s">
        <v>9937</v>
      </c>
      <c r="H217" s="3" t="str">
        <f>_xlfn.IFNA(INDEX(RulebookFields!C2:C999, MATCH(D217,RulebookFields!A2:A999, 0)), "")</f>
        <v>ChangeRequests</v>
      </c>
      <c r="I217" s="3" t="str">
        <f>_xlfn.IFNA(INDEX(RulebookFields!D2:D999, MATCH(D217,RulebookFields!A2:A999, 0)), "")</f>
        <v>ChangeKind</v>
      </c>
      <c r="J217" s="3" t="b">
        <f>_xlfn.IFNA(INDEX(RulebookFields!I2:I999, MATCH(D217,RulebookFields!A2:A999, 0)), "")</f>
        <v>0</v>
      </c>
      <c r="K217" s="3" t="b">
        <f>AND(F217, J217)</f>
        <v>0</v>
      </c>
      <c r="L217" s="3" t="b">
        <f>AND(G217 &lt;&gt; "plain", G217 &lt;&gt; "")</f>
        <v>0</v>
      </c>
      <c r="M217" s="3" t="str">
        <f>IF(E217, C217 &amp; "|" &amp; H217, "")</f>
        <v>principal-employment-counsel|ChangeRequests</v>
      </c>
      <c r="N217" s="2" t="s">
        <v>9938</v>
      </c>
    </row>
    <row r="218">
      <c r="A218" s="2" t="s">
        <v>10154</v>
      </c>
      <c r="B218" s="3" t="str">
        <f>C218 &amp; " -&gt; " &amp; D218</f>
        <v>principal-employment-counsel -&gt; ChangeRequests.Status</v>
      </c>
      <c r="C218" s="2" t="s">
        <v>9694</v>
      </c>
      <c r="D218" s="2" t="s">
        <v>3853</v>
      </c>
      <c r="E218" s="2" t="b">
        <v>1</v>
      </c>
      <c r="F218" s="2" t="b">
        <v>0</v>
      </c>
      <c r="G218" s="2" t="s">
        <v>9937</v>
      </c>
      <c r="H218" s="3" t="str">
        <f>_xlfn.IFNA(INDEX(RulebookFields!C2:C999, MATCH(D218,RulebookFields!A2:A999, 0)), "")</f>
        <v>ChangeRequests</v>
      </c>
      <c r="I218" s="3" t="str">
        <f>_xlfn.IFNA(INDEX(RulebookFields!D2:D999, MATCH(D218,RulebookFields!A2:A999, 0)), "")</f>
        <v>Status</v>
      </c>
      <c r="J218" s="3" t="b">
        <f>_xlfn.IFNA(INDEX(RulebookFields!I2:I999, MATCH(D218,RulebookFields!A2:A999, 0)), "")</f>
        <v>0</v>
      </c>
      <c r="K218" s="3" t="b">
        <f>AND(F218, J218)</f>
        <v>0</v>
      </c>
      <c r="L218" s="3" t="b">
        <f>AND(G218 &lt;&gt; "plain", G218 &lt;&gt; "")</f>
        <v>0</v>
      </c>
      <c r="M218" s="3" t="str">
        <f>IF(E218, C218 &amp; "|" &amp; H218, "")</f>
        <v>principal-employment-counsel|ChangeRequests</v>
      </c>
      <c r="N218" s="2" t="s">
        <v>9938</v>
      </c>
    </row>
    <row r="219">
      <c r="A219" s="2" t="s">
        <v>10155</v>
      </c>
      <c r="B219" s="3" t="str">
        <f>C219 &amp; " -&gt; " &amp; D219</f>
        <v>principal-employment-counsel -&gt; ChangeRequests.RequestedAt</v>
      </c>
      <c r="C219" s="2" t="s">
        <v>9694</v>
      </c>
      <c r="D219" s="2" t="s">
        <v>3856</v>
      </c>
      <c r="E219" s="2" t="b">
        <v>1</v>
      </c>
      <c r="F219" s="2" t="b">
        <v>0</v>
      </c>
      <c r="G219" s="2" t="s">
        <v>9937</v>
      </c>
      <c r="H219" s="3" t="str">
        <f>_xlfn.IFNA(INDEX(RulebookFields!C2:C999, MATCH(D219,RulebookFields!A2:A999, 0)), "")</f>
        <v>ChangeRequests</v>
      </c>
      <c r="I219" s="3" t="str">
        <f>_xlfn.IFNA(INDEX(RulebookFields!D2:D999, MATCH(D219,RulebookFields!A2:A999, 0)), "")</f>
        <v>RequestedAt</v>
      </c>
      <c r="J219" s="3" t="b">
        <f>_xlfn.IFNA(INDEX(RulebookFields!I2:I999, MATCH(D219,RulebookFields!A2:A999, 0)), "")</f>
        <v>0</v>
      </c>
      <c r="K219" s="3" t="b">
        <f>AND(F219, J219)</f>
        <v>0</v>
      </c>
      <c r="L219" s="3" t="b">
        <f>AND(G219 &lt;&gt; "plain", G219 &lt;&gt; "")</f>
        <v>0</v>
      </c>
      <c r="M219" s="3" t="str">
        <f>IF(E219, C219 &amp; "|" &amp; H219, "")</f>
        <v>principal-employment-counsel|ChangeRequests</v>
      </c>
      <c r="N219" s="2" t="s">
        <v>9938</v>
      </c>
    </row>
    <row r="220">
      <c r="A220" s="2" t="s">
        <v>10156</v>
      </c>
      <c r="B220" s="3" t="str">
        <f>C220 &amp; " -&gt; " &amp; D220</f>
        <v>principal-employment-counsel -&gt; ChangeRequests.DecidedAt</v>
      </c>
      <c r="C220" s="2" t="s">
        <v>9694</v>
      </c>
      <c r="D220" s="2" t="s">
        <v>3857</v>
      </c>
      <c r="E220" s="2" t="b">
        <v>1</v>
      </c>
      <c r="F220" s="2" t="b">
        <v>0</v>
      </c>
      <c r="G220" s="2" t="s">
        <v>9937</v>
      </c>
      <c r="H220" s="3" t="str">
        <f>_xlfn.IFNA(INDEX(RulebookFields!C2:C999, MATCH(D220,RulebookFields!A2:A999, 0)), "")</f>
        <v>ChangeRequests</v>
      </c>
      <c r="I220" s="3" t="str">
        <f>_xlfn.IFNA(INDEX(RulebookFields!D2:D999, MATCH(D220,RulebookFields!A2:A999, 0)), "")</f>
        <v>DecidedAt</v>
      </c>
      <c r="J220" s="3" t="b">
        <f>_xlfn.IFNA(INDEX(RulebookFields!I2:I999, MATCH(D220,RulebookFields!A2:A999, 0)), "")</f>
        <v>0</v>
      </c>
      <c r="K220" s="3" t="b">
        <f>AND(F220, J220)</f>
        <v>0</v>
      </c>
      <c r="L220" s="3" t="b">
        <f>AND(G220 &lt;&gt; "plain", G220 &lt;&gt; "")</f>
        <v>0</v>
      </c>
      <c r="M220" s="3" t="str">
        <f>IF(E220, C220 &amp; "|" &amp; H220, "")</f>
        <v>principal-employment-counsel|ChangeRequests</v>
      </c>
      <c r="N220" s="2" t="s">
        <v>9938</v>
      </c>
    </row>
    <row r="221">
      <c r="A221" s="2" t="s">
        <v>10157</v>
      </c>
      <c r="B221" s="3" t="str">
        <f>C221 &amp; " -&gt; " &amp; D221</f>
        <v>principal-employment-counsel -&gt; ChangeRequests.ImpactAssessment</v>
      </c>
      <c r="C221" s="2" t="s">
        <v>9694</v>
      </c>
      <c r="D221" s="2" t="s">
        <v>3858</v>
      </c>
      <c r="E221" s="2" t="b">
        <v>1</v>
      </c>
      <c r="F221" s="2" t="b">
        <v>0</v>
      </c>
      <c r="G221" s="2" t="s">
        <v>9937</v>
      </c>
      <c r="H221" s="3" t="str">
        <f>_xlfn.IFNA(INDEX(RulebookFields!C2:C999, MATCH(D221,RulebookFields!A2:A999, 0)), "")</f>
        <v>ChangeRequests</v>
      </c>
      <c r="I221" s="3" t="str">
        <f>_xlfn.IFNA(INDEX(RulebookFields!D2:D999, MATCH(D221,RulebookFields!A2:A999, 0)), "")</f>
        <v>ImpactAssessment</v>
      </c>
      <c r="J221" s="3" t="b">
        <f>_xlfn.IFNA(INDEX(RulebookFields!I2:I999, MATCH(D221,RulebookFields!A2:A999, 0)), "")</f>
        <v>0</v>
      </c>
      <c r="K221" s="3" t="b">
        <f>AND(F221, J221)</f>
        <v>0</v>
      </c>
      <c r="L221" s="3" t="b">
        <f>AND(G221 &lt;&gt; "plain", G221 &lt;&gt; "")</f>
        <v>0</v>
      </c>
      <c r="M221" s="3" t="str">
        <f>IF(E221, C221 &amp; "|" &amp; H221, "")</f>
        <v>principal-employment-counsel|ChangeRequests</v>
      </c>
      <c r="N221" s="2" t="s">
        <v>9938</v>
      </c>
    </row>
    <row r="222">
      <c r="A222" s="2" t="s">
        <v>10158</v>
      </c>
      <c r="B222" s="3" t="str">
        <f>C222 &amp; " -&gt; " &amp; D222</f>
        <v>principal-employment-counsel -&gt; ChangeRequests.IsOpen</v>
      </c>
      <c r="C222" s="2" t="s">
        <v>9694</v>
      </c>
      <c r="D222" s="2" t="s">
        <v>3859</v>
      </c>
      <c r="E222" s="2" t="b">
        <v>1</v>
      </c>
      <c r="F222" s="2" t="b">
        <v>0</v>
      </c>
      <c r="G222" s="2" t="s">
        <v>9937</v>
      </c>
      <c r="H222" s="3" t="str">
        <f>_xlfn.IFNA(INDEX(RulebookFields!C2:C999, MATCH(D222,RulebookFields!A2:A999, 0)), "")</f>
        <v>ChangeRequests</v>
      </c>
      <c r="I222" s="3" t="str">
        <f>_xlfn.IFNA(INDEX(RulebookFields!D2:D999, MATCH(D222,RulebookFields!A2:A999, 0)), "")</f>
        <v>IsOpen</v>
      </c>
      <c r="J222" s="3" t="b">
        <f>_xlfn.IFNA(INDEX(RulebookFields!I2:I999, MATCH(D222,RulebookFields!A2:A999, 0)), "")</f>
        <v>1</v>
      </c>
      <c r="K222" s="3" t="b">
        <f>AND(F222, J222)</f>
        <v>0</v>
      </c>
      <c r="L222" s="3" t="b">
        <f>AND(G222 &lt;&gt; "plain", G222 &lt;&gt; "")</f>
        <v>0</v>
      </c>
      <c r="M222" s="3" t="str">
        <f>IF(E222, C222 &amp; "|" &amp; H222, "")</f>
        <v>principal-employment-counsel|ChangeRequests</v>
      </c>
      <c r="N222" s="2" t="s">
        <v>9938</v>
      </c>
    </row>
    <row r="223">
      <c r="A223" s="2" t="s">
        <v>10159</v>
      </c>
      <c r="B223" s="3" t="str">
        <f>C223 &amp; " -&gt; " &amp; D223</f>
        <v>principal-employment-counsel -&gt; ChangeRequests.Name</v>
      </c>
      <c r="C223" s="2" t="s">
        <v>9694</v>
      </c>
      <c r="D223" s="2" t="s">
        <v>3849</v>
      </c>
      <c r="E223" s="2" t="b">
        <v>1</v>
      </c>
      <c r="F223" s="2" t="b">
        <v>0</v>
      </c>
      <c r="G223" s="2" t="s">
        <v>9937</v>
      </c>
      <c r="H223" s="3" t="str">
        <f>_xlfn.IFNA(INDEX(RulebookFields!C2:C999, MATCH(D223,RulebookFields!A2:A999, 0)), "")</f>
        <v>ChangeRequests</v>
      </c>
      <c r="I223" s="3" t="str">
        <f>_xlfn.IFNA(INDEX(RulebookFields!D2:D999, MATCH(D223,RulebookFields!A2:A999, 0)), "")</f>
        <v>Name</v>
      </c>
      <c r="J223" s="3" t="b">
        <f>_xlfn.IFNA(INDEX(RulebookFields!I2:I999, MATCH(D223,RulebookFields!A2:A999, 0)), "")</f>
        <v>1</v>
      </c>
      <c r="K223" s="3" t="b">
        <f>AND(F223, J223)</f>
        <v>0</v>
      </c>
      <c r="L223" s="3" t="b">
        <f>AND(G223 &lt;&gt; "plain", G223 &lt;&gt; "")</f>
        <v>0</v>
      </c>
      <c r="M223" s="3" t="str">
        <f>IF(E223, C223 &amp; "|" &amp; H223, "")</f>
        <v>principal-employment-counsel|ChangeRequests</v>
      </c>
      <c r="N223" s="2" t="s">
        <v>9938</v>
      </c>
    </row>
    <row r="224">
      <c r="A224" s="2" t="s">
        <v>10160</v>
      </c>
      <c r="B224" s="3" t="str">
        <f>C224 &amp; " -&gt; " &amp; D224</f>
        <v>principal-employment-counsel -&gt; KnowledgeFragments.KnowledgeFragmentId</v>
      </c>
      <c r="C224" s="2" t="s">
        <v>9694</v>
      </c>
      <c r="D224" s="2" t="s">
        <v>3159</v>
      </c>
      <c r="E224" s="2" t="b">
        <v>1</v>
      </c>
      <c r="F224" s="2" t="b">
        <v>0</v>
      </c>
      <c r="G224" s="2" t="s">
        <v>9937</v>
      </c>
      <c r="H224" s="3" t="str">
        <f>_xlfn.IFNA(INDEX(RulebookFields!C2:C999, MATCH(D224,RulebookFields!A2:A999, 0)), "")</f>
        <v>KnowledgeFragments</v>
      </c>
      <c r="I224" s="3" t="str">
        <f>_xlfn.IFNA(INDEX(RulebookFields!D2:D999, MATCH(D224,RulebookFields!A2:A999, 0)), "")</f>
        <v>KnowledgeFragmentId</v>
      </c>
      <c r="J224" s="3" t="b">
        <f>_xlfn.IFNA(INDEX(RulebookFields!I2:I999, MATCH(D224,RulebookFields!A2:A999, 0)), "")</f>
        <v>0</v>
      </c>
      <c r="K224" s="3" t="b">
        <f>AND(F224, J224)</f>
        <v>0</v>
      </c>
      <c r="L224" s="3" t="b">
        <f>AND(G224 &lt;&gt; "plain", G224 &lt;&gt; "")</f>
        <v>0</v>
      </c>
      <c r="M224" s="3" t="str">
        <f>IF(E224, C224 &amp; "|" &amp; H224, "")</f>
        <v>principal-employment-counsel|KnowledgeFragments</v>
      </c>
      <c r="N224" s="2" t="s">
        <v>9938</v>
      </c>
    </row>
    <row r="225">
      <c r="A225" s="2" t="s">
        <v>10161</v>
      </c>
      <c r="B225" s="3" t="str">
        <f>C225 &amp; " -&gt; " &amp; D225</f>
        <v>principal-employment-counsel -&gt; KnowledgeFragments.Statement</v>
      </c>
      <c r="C225" s="2" t="s">
        <v>9694</v>
      </c>
      <c r="D225" s="2" t="s">
        <v>3165</v>
      </c>
      <c r="E225" s="2" t="b">
        <v>1</v>
      </c>
      <c r="F225" s="2" t="b">
        <v>0</v>
      </c>
      <c r="G225" s="2" t="s">
        <v>9937</v>
      </c>
      <c r="H225" s="3" t="str">
        <f>_xlfn.IFNA(INDEX(RulebookFields!C2:C999, MATCH(D225,RulebookFields!A2:A999, 0)), "")</f>
        <v>KnowledgeFragments</v>
      </c>
      <c r="I225" s="3" t="str">
        <f>_xlfn.IFNA(INDEX(RulebookFields!D2:D999, MATCH(D225,RulebookFields!A2:A999, 0)), "")</f>
        <v>Statement</v>
      </c>
      <c r="J225" s="3" t="b">
        <f>_xlfn.IFNA(INDEX(RulebookFields!I2:I999, MATCH(D225,RulebookFields!A2:A999, 0)), "")</f>
        <v>0</v>
      </c>
      <c r="K225" s="3" t="b">
        <f>AND(F225, J225)</f>
        <v>0</v>
      </c>
      <c r="L225" s="3" t="b">
        <f>AND(G225 &lt;&gt; "plain", G225 &lt;&gt; "")</f>
        <v>0</v>
      </c>
      <c r="M225" s="3" t="str">
        <f>IF(E225, C225 &amp; "|" &amp; H225, "")</f>
        <v>principal-employment-counsel|KnowledgeFragments</v>
      </c>
      <c r="N225" s="2" t="s">
        <v>9938</v>
      </c>
    </row>
    <row r="226">
      <c r="A226" s="2" t="s">
        <v>10162</v>
      </c>
      <c r="B226" s="3" t="str">
        <f>C226 &amp; " -&gt; " &amp; D226</f>
        <v>principal-employment-counsel -&gt; KnowledgeFragments.KnowledgeForm</v>
      </c>
      <c r="C226" s="2" t="s">
        <v>9694</v>
      </c>
      <c r="D226" s="2" t="s">
        <v>3164</v>
      </c>
      <c r="E226" s="2" t="b">
        <v>1</v>
      </c>
      <c r="F226" s="2" t="b">
        <v>0</v>
      </c>
      <c r="G226" s="2" t="s">
        <v>9937</v>
      </c>
      <c r="H226" s="3" t="str">
        <f>_xlfn.IFNA(INDEX(RulebookFields!C2:C999, MATCH(D226,RulebookFields!A2:A999, 0)), "")</f>
        <v>KnowledgeFragments</v>
      </c>
      <c r="I226" s="3" t="str">
        <f>_xlfn.IFNA(INDEX(RulebookFields!D2:D999, MATCH(D226,RulebookFields!A2:A999, 0)), "")</f>
        <v>KnowledgeForm</v>
      </c>
      <c r="J226" s="3" t="b">
        <f>_xlfn.IFNA(INDEX(RulebookFields!I2:I999, MATCH(D226,RulebookFields!A2:A999, 0)), "")</f>
        <v>0</v>
      </c>
      <c r="K226" s="3" t="b">
        <f>AND(F226, J226)</f>
        <v>0</v>
      </c>
      <c r="L226" s="3" t="b">
        <f>AND(G226 &lt;&gt; "plain", G226 &lt;&gt; "")</f>
        <v>0</v>
      </c>
      <c r="M226" s="3" t="str">
        <f>IF(E226, C226 &amp; "|" &amp; H226, "")</f>
        <v>principal-employment-counsel|KnowledgeFragments</v>
      </c>
      <c r="N226" s="2" t="s">
        <v>9938</v>
      </c>
    </row>
    <row r="227">
      <c r="A227" s="2" t="s">
        <v>10163</v>
      </c>
      <c r="B227" s="3" t="str">
        <f>C227 &amp; " -&gt; " &amp; D227</f>
        <v>principal-employment-counsel -&gt; KnowledgeFragments.Status</v>
      </c>
      <c r="C227" s="2" t="s">
        <v>9694</v>
      </c>
      <c r="D227" s="2" t="s">
        <v>3171</v>
      </c>
      <c r="E227" s="2" t="b">
        <v>1</v>
      </c>
      <c r="F227" s="2" t="b">
        <v>0</v>
      </c>
      <c r="G227" s="2" t="s">
        <v>9937</v>
      </c>
      <c r="H227" s="3" t="str">
        <f>_xlfn.IFNA(INDEX(RulebookFields!C2:C999, MATCH(D227,RulebookFields!A2:A999, 0)), "")</f>
        <v>KnowledgeFragments</v>
      </c>
      <c r="I227" s="3" t="str">
        <f>_xlfn.IFNA(INDEX(RulebookFields!D2:D999, MATCH(D227,RulebookFields!A2:A999, 0)), "")</f>
        <v>Status</v>
      </c>
      <c r="J227" s="3" t="b">
        <f>_xlfn.IFNA(INDEX(RulebookFields!I2:I999, MATCH(D227,RulebookFields!A2:A999, 0)), "")</f>
        <v>0</v>
      </c>
      <c r="K227" s="3" t="b">
        <f>AND(F227, J227)</f>
        <v>0</v>
      </c>
      <c r="L227" s="3" t="b">
        <f>AND(G227 &lt;&gt; "plain", G227 &lt;&gt; "")</f>
        <v>0</v>
      </c>
      <c r="M227" s="3" t="str">
        <f>IF(E227, C227 &amp; "|" &amp; H227, "")</f>
        <v>principal-employment-counsel|KnowledgeFragments</v>
      </c>
      <c r="N227" s="2" t="s">
        <v>9938</v>
      </c>
    </row>
    <row r="228">
      <c r="A228" s="2" t="s">
        <v>10164</v>
      </c>
      <c r="B228" s="3" t="str">
        <f>C228 &amp; " -&gt; " &amp; D228</f>
        <v>principal-employment-counsel -&gt; KnowledgeFragments.OwnerRole</v>
      </c>
      <c r="C228" s="2" t="s">
        <v>9694</v>
      </c>
      <c r="D228" s="2" t="s">
        <v>3172</v>
      </c>
      <c r="E228" s="2" t="b">
        <v>1</v>
      </c>
      <c r="F228" s="2" t="b">
        <v>0</v>
      </c>
      <c r="G228" s="2" t="s">
        <v>9937</v>
      </c>
      <c r="H228" s="3" t="str">
        <f>_xlfn.IFNA(INDEX(RulebookFields!C2:C999, MATCH(D228,RulebookFields!A2:A999, 0)), "")</f>
        <v>KnowledgeFragments</v>
      </c>
      <c r="I228" s="3" t="str">
        <f>_xlfn.IFNA(INDEX(RulebookFields!D2:D999, MATCH(D228,RulebookFields!A2:A999, 0)), "")</f>
        <v>OwnerRole</v>
      </c>
      <c r="J228" s="3" t="b">
        <f>_xlfn.IFNA(INDEX(RulebookFields!I2:I999, MATCH(D228,RulebookFields!A2:A999, 0)), "")</f>
        <v>0</v>
      </c>
      <c r="K228" s="3" t="b">
        <f>AND(F228, J228)</f>
        <v>0</v>
      </c>
      <c r="L228" s="3" t="b">
        <f>AND(G228 &lt;&gt; "plain", G228 &lt;&gt; "")</f>
        <v>0</v>
      </c>
      <c r="M228" s="3" t="str">
        <f>IF(E228, C228 &amp; "|" &amp; H228, "")</f>
        <v>principal-employment-counsel|KnowledgeFragments</v>
      </c>
      <c r="N228" s="2" t="s">
        <v>9938</v>
      </c>
    </row>
    <row r="229">
      <c r="A229" s="2" t="s">
        <v>10165</v>
      </c>
      <c r="B229" s="3" t="str">
        <f>C229 &amp; " -&gt; " &amp; D229</f>
        <v>principal-employment-counsel -&gt; KnowledgeFragments.ValidFrom</v>
      </c>
      <c r="C229" s="2" t="s">
        <v>9694</v>
      </c>
      <c r="D229" s="2" t="s">
        <v>3169</v>
      </c>
      <c r="E229" s="2" t="b">
        <v>1</v>
      </c>
      <c r="F229" s="2" t="b">
        <v>0</v>
      </c>
      <c r="G229" s="2" t="s">
        <v>9937</v>
      </c>
      <c r="H229" s="3" t="str">
        <f>_xlfn.IFNA(INDEX(RulebookFields!C2:C999, MATCH(D229,RulebookFields!A2:A999, 0)), "")</f>
        <v>KnowledgeFragments</v>
      </c>
      <c r="I229" s="3" t="str">
        <f>_xlfn.IFNA(INDEX(RulebookFields!D2:D999, MATCH(D229,RulebookFields!A2:A999, 0)), "")</f>
        <v>ValidFrom</v>
      </c>
      <c r="J229" s="3" t="b">
        <f>_xlfn.IFNA(INDEX(RulebookFields!I2:I999, MATCH(D229,RulebookFields!A2:A999, 0)), "")</f>
        <v>0</v>
      </c>
      <c r="K229" s="3" t="b">
        <f>AND(F229, J229)</f>
        <v>0</v>
      </c>
      <c r="L229" s="3" t="b">
        <f>AND(G229 &lt;&gt; "plain", G229 &lt;&gt; "")</f>
        <v>0</v>
      </c>
      <c r="M229" s="3" t="str">
        <f>IF(E229, C229 &amp; "|" &amp; H229, "")</f>
        <v>principal-employment-counsel|KnowledgeFragments</v>
      </c>
      <c r="N229" s="2" t="s">
        <v>9938</v>
      </c>
    </row>
    <row r="230">
      <c r="A230" s="2" t="s">
        <v>10166</v>
      </c>
      <c r="B230" s="3" t="str">
        <f>C230 &amp; " -&gt; " &amp; D230</f>
        <v>principal-employment-counsel -&gt; KnowledgeFragments.ValidTo</v>
      </c>
      <c r="C230" s="2" t="s">
        <v>9694</v>
      </c>
      <c r="D230" s="2" t="s">
        <v>3170</v>
      </c>
      <c r="E230" s="2" t="b">
        <v>1</v>
      </c>
      <c r="F230" s="2" t="b">
        <v>0</v>
      </c>
      <c r="G230" s="2" t="s">
        <v>9937</v>
      </c>
      <c r="H230" s="3" t="str">
        <f>_xlfn.IFNA(INDEX(RulebookFields!C2:C999, MATCH(D230,RulebookFields!A2:A999, 0)), "")</f>
        <v>KnowledgeFragments</v>
      </c>
      <c r="I230" s="3" t="str">
        <f>_xlfn.IFNA(INDEX(RulebookFields!D2:D999, MATCH(D230,RulebookFields!A2:A999, 0)), "")</f>
        <v>ValidTo</v>
      </c>
      <c r="J230" s="3" t="b">
        <f>_xlfn.IFNA(INDEX(RulebookFields!I2:I999, MATCH(D230,RulebookFields!A2:A999, 0)), "")</f>
        <v>0</v>
      </c>
      <c r="K230" s="3" t="b">
        <f>AND(F230, J230)</f>
        <v>0</v>
      </c>
      <c r="L230" s="3" t="b">
        <f>AND(G230 &lt;&gt; "plain", G230 &lt;&gt; "")</f>
        <v>0</v>
      </c>
      <c r="M230" s="3" t="str">
        <f>IF(E230, C230 &amp; "|" &amp; H230, "")</f>
        <v>principal-employment-counsel|KnowledgeFragments</v>
      </c>
      <c r="N230" s="2" t="s">
        <v>9938</v>
      </c>
    </row>
    <row r="231">
      <c r="A231" s="2" t="s">
        <v>10167</v>
      </c>
      <c r="B231" s="3" t="str">
        <f>C231 &amp; " -&gt; " &amp; D231</f>
        <v>principal-employment-counsel -&gt; KnowledgeFragments.Name</v>
      </c>
      <c r="C231" s="2" t="s">
        <v>9694</v>
      </c>
      <c r="D231" s="2" t="s">
        <v>3160</v>
      </c>
      <c r="E231" s="2" t="b">
        <v>1</v>
      </c>
      <c r="F231" s="2" t="b">
        <v>0</v>
      </c>
      <c r="G231" s="2" t="s">
        <v>9937</v>
      </c>
      <c r="H231" s="3" t="str">
        <f>_xlfn.IFNA(INDEX(RulebookFields!C2:C999, MATCH(D231,RulebookFields!A2:A999, 0)), "")</f>
        <v>KnowledgeFragments</v>
      </c>
      <c r="I231" s="3" t="str">
        <f>_xlfn.IFNA(INDEX(RulebookFields!D2:D999, MATCH(D231,RulebookFields!A2:A999, 0)), "")</f>
        <v>Name</v>
      </c>
      <c r="J231" s="3" t="b">
        <f>_xlfn.IFNA(INDEX(RulebookFields!I2:I999, MATCH(D231,RulebookFields!A2:A999, 0)), "")</f>
        <v>1</v>
      </c>
      <c r="K231" s="3" t="b">
        <f>AND(F231, J231)</f>
        <v>0</v>
      </c>
      <c r="L231" s="3" t="b">
        <f>AND(G231 &lt;&gt; "plain", G231 &lt;&gt; "")</f>
        <v>0</v>
      </c>
      <c r="M231" s="3" t="str">
        <f>IF(E231, C231 &amp; "|" &amp; H231, "")</f>
        <v>principal-employment-counsel|KnowledgeFragments</v>
      </c>
      <c r="N231" s="2" t="s">
        <v>9938</v>
      </c>
    </row>
    <row r="232">
      <c r="A232" s="2" t="s">
        <v>10168</v>
      </c>
      <c r="B232" s="3" t="str">
        <f>C232 &amp; " -&gt; " &amp; D232</f>
        <v>principal-employment-counsel -&gt; AuthorityBoundaries.AuthorityBoundaryId</v>
      </c>
      <c r="C232" s="2" t="s">
        <v>9694</v>
      </c>
      <c r="D232" s="2" t="s">
        <v>5064</v>
      </c>
      <c r="E232" s="2" t="b">
        <v>1</v>
      </c>
      <c r="F232" s="2" t="b">
        <v>0</v>
      </c>
      <c r="G232" s="2" t="s">
        <v>9937</v>
      </c>
      <c r="H232" s="3" t="str">
        <f>_xlfn.IFNA(INDEX(RulebookFields!C2:C999, MATCH(D232,RulebookFields!A2:A999, 0)), "")</f>
      </c>
      <c r="I232" s="3" t="str">
        <f>_xlfn.IFNA(INDEX(RulebookFields!D2:D999, MATCH(D232,RulebookFields!A2:A999, 0)), "")</f>
      </c>
      <c r="J232" s="3" t="str">
        <f>_xlfn.IFNA(INDEX(RulebookFields!I2:I999, MATCH(D232,RulebookFields!A2:A999, 0)), "")</f>
      </c>
      <c r="K232" s="3" t="b">
        <f>AND(F232, J232)</f>
        <v>0</v>
      </c>
      <c r="L232" s="3" t="b">
        <f>AND(G232 &lt;&gt; "plain", G232 &lt;&gt; "")</f>
        <v>0</v>
      </c>
      <c r="M232" s="3" t="str">
        <f>IF(E232, C232 &amp; "|" &amp; H232, "")</f>
        <v>principal-employment-counsel|</v>
      </c>
      <c r="N232" s="2" t="s">
        <v>9938</v>
      </c>
    </row>
    <row r="233">
      <c r="A233" s="2" t="s">
        <v>10169</v>
      </c>
      <c r="B233" s="3" t="str">
        <f>C233 &amp; " -&gt; " &amp; D233</f>
        <v>principal-employment-counsel -&gt; AuthorityBoundaries.ForbiddenAgentKind</v>
      </c>
      <c r="C233" s="2" t="s">
        <v>9694</v>
      </c>
      <c r="D233" s="2" t="s">
        <v>5070</v>
      </c>
      <c r="E233" s="2" t="b">
        <v>1</v>
      </c>
      <c r="F233" s="2" t="b">
        <v>0</v>
      </c>
      <c r="G233" s="2" t="s">
        <v>9937</v>
      </c>
      <c r="H233" s="3" t="str">
        <f>_xlfn.IFNA(INDEX(RulebookFields!C2:C999, MATCH(D233,RulebookFields!A2:A999, 0)), "")</f>
      </c>
      <c r="I233" s="3" t="str">
        <f>_xlfn.IFNA(INDEX(RulebookFields!D2:D999, MATCH(D233,RulebookFields!A2:A999, 0)), "")</f>
      </c>
      <c r="J233" s="3" t="str">
        <f>_xlfn.IFNA(INDEX(RulebookFields!I2:I999, MATCH(D233,RulebookFields!A2:A999, 0)), "")</f>
      </c>
      <c r="K233" s="3" t="b">
        <f>AND(F233, J233)</f>
        <v>0</v>
      </c>
      <c r="L233" s="3" t="b">
        <f>AND(G233 &lt;&gt; "plain", G233 &lt;&gt; "")</f>
        <v>0</v>
      </c>
      <c r="M233" s="3" t="str">
        <f>IF(E233, C233 &amp; "|" &amp; H233, "")</f>
        <v>principal-employment-counsel|</v>
      </c>
      <c r="N233" s="2" t="s">
        <v>9938</v>
      </c>
    </row>
    <row r="234">
      <c r="A234" s="2" t="s">
        <v>10170</v>
      </c>
      <c r="B234" s="3" t="str">
        <f>C234 &amp; " -&gt; " &amp; D234</f>
        <v>principal-employment-counsel -&gt; AuthorityBoundaries.ForbiddenDecisionKind</v>
      </c>
      <c r="C234" s="2" t="s">
        <v>9694</v>
      </c>
      <c r="D234" s="2" t="s">
        <v>5072</v>
      </c>
      <c r="E234" s="2" t="b">
        <v>1</v>
      </c>
      <c r="F234" s="2" t="b">
        <v>0</v>
      </c>
      <c r="G234" s="2" t="s">
        <v>9937</v>
      </c>
      <c r="H234" s="3" t="str">
        <f>_xlfn.IFNA(INDEX(RulebookFields!C2:C999, MATCH(D234,RulebookFields!A2:A999, 0)), "")</f>
      </c>
      <c r="I234" s="3" t="str">
        <f>_xlfn.IFNA(INDEX(RulebookFields!D2:D999, MATCH(D234,RulebookFields!A2:A999, 0)), "")</f>
      </c>
      <c r="J234" s="3" t="str">
        <f>_xlfn.IFNA(INDEX(RulebookFields!I2:I999, MATCH(D234,RulebookFields!A2:A999, 0)), "")</f>
      </c>
      <c r="K234" s="3" t="b">
        <f>AND(F234, J234)</f>
        <v>0</v>
      </c>
      <c r="L234" s="3" t="b">
        <f>AND(G234 &lt;&gt; "plain", G234 &lt;&gt; "")</f>
        <v>0</v>
      </c>
      <c r="M234" s="3" t="str">
        <f>IF(E234, C234 &amp; "|" &amp; H234, "")</f>
        <v>principal-employment-counsel|</v>
      </c>
      <c r="N234" s="2" t="s">
        <v>9938</v>
      </c>
    </row>
    <row r="235">
      <c r="A235" s="2" t="s">
        <v>10171</v>
      </c>
      <c r="B235" s="3" t="str">
        <f>C235 &amp; " -&gt; " &amp; D235</f>
        <v>principal-employment-counsel -&gt; AuthorityBoundaries.Status</v>
      </c>
      <c r="C235" s="2" t="s">
        <v>9694</v>
      </c>
      <c r="D235" s="2" t="s">
        <v>5081</v>
      </c>
      <c r="E235" s="2" t="b">
        <v>1</v>
      </c>
      <c r="F235" s="2" t="b">
        <v>0</v>
      </c>
      <c r="G235" s="2" t="s">
        <v>9937</v>
      </c>
      <c r="H235" s="3" t="str">
        <f>_xlfn.IFNA(INDEX(RulebookFields!C2:C999, MATCH(D235,RulebookFields!A2:A999, 0)), "")</f>
      </c>
      <c r="I235" s="3" t="str">
        <f>_xlfn.IFNA(INDEX(RulebookFields!D2:D999, MATCH(D235,RulebookFields!A2:A999, 0)), "")</f>
      </c>
      <c r="J235" s="3" t="str">
        <f>_xlfn.IFNA(INDEX(RulebookFields!I2:I999, MATCH(D235,RulebookFields!A2:A999, 0)), "")</f>
      </c>
      <c r="K235" s="3" t="b">
        <f>AND(F235, J235)</f>
        <v>0</v>
      </c>
      <c r="L235" s="3" t="b">
        <f>AND(G235 &lt;&gt; "plain", G235 &lt;&gt; "")</f>
        <v>0</v>
      </c>
      <c r="M235" s="3" t="str">
        <f>IF(E235, C235 &amp; "|" &amp; H235, "")</f>
        <v>principal-employment-counsel|</v>
      </c>
      <c r="N235" s="2" t="s">
        <v>9938</v>
      </c>
    </row>
    <row r="236">
      <c r="A236" s="2" t="s">
        <v>10172</v>
      </c>
      <c r="B236" s="3" t="str">
        <f>C236 &amp; " -&gt; " &amp; D236</f>
        <v>principal-employment-counsel -&gt; AuthorityBoundaries.AuthorityRole</v>
      </c>
      <c r="C236" s="2" t="s">
        <v>9694</v>
      </c>
      <c r="D236" s="2" t="s">
        <v>5078</v>
      </c>
      <c r="E236" s="2" t="b">
        <v>1</v>
      </c>
      <c r="F236" s="2" t="b">
        <v>0</v>
      </c>
      <c r="G236" s="2" t="s">
        <v>9937</v>
      </c>
      <c r="H236" s="3" t="str">
        <f>_xlfn.IFNA(INDEX(RulebookFields!C2:C999, MATCH(D236,RulebookFields!A2:A999, 0)), "")</f>
      </c>
      <c r="I236" s="3" t="str">
        <f>_xlfn.IFNA(INDEX(RulebookFields!D2:D999, MATCH(D236,RulebookFields!A2:A999, 0)), "")</f>
      </c>
      <c r="J236" s="3" t="str">
        <f>_xlfn.IFNA(INDEX(RulebookFields!I2:I999, MATCH(D236,RulebookFields!A2:A999, 0)), "")</f>
      </c>
      <c r="K236" s="3" t="b">
        <f>AND(F236, J236)</f>
        <v>0</v>
      </c>
      <c r="L236" s="3" t="b">
        <f>AND(G236 &lt;&gt; "plain", G236 &lt;&gt; "")</f>
        <v>0</v>
      </c>
      <c r="M236" s="3" t="str">
        <f>IF(E236, C236 &amp; "|" &amp; H236, "")</f>
        <v>principal-employment-counsel|</v>
      </c>
      <c r="N236" s="2" t="s">
        <v>9938</v>
      </c>
    </row>
    <row r="237">
      <c r="A237" s="2" t="s">
        <v>10173</v>
      </c>
      <c r="B237" s="3" t="str">
        <f>C237 &amp; " -&gt; " &amp; D237</f>
        <v>principal-employment-counsel -&gt; AuthorityBoundaries.Name</v>
      </c>
      <c r="C237" s="2" t="s">
        <v>9694</v>
      </c>
      <c r="D237" s="2" t="s">
        <v>5067</v>
      </c>
      <c r="E237" s="2" t="b">
        <v>1</v>
      </c>
      <c r="F237" s="2" t="b">
        <v>0</v>
      </c>
      <c r="G237" s="2" t="s">
        <v>9937</v>
      </c>
      <c r="H237" s="3" t="str">
        <f>_xlfn.IFNA(INDEX(RulebookFields!C2:C999, MATCH(D237,RulebookFields!A2:A999, 0)), "")</f>
      </c>
      <c r="I237" s="3" t="str">
        <f>_xlfn.IFNA(INDEX(RulebookFields!D2:D999, MATCH(D237,RulebookFields!A2:A999, 0)), "")</f>
      </c>
      <c r="J237" s="3" t="str">
        <f>_xlfn.IFNA(INDEX(RulebookFields!I2:I999, MATCH(D237,RulebookFields!A2:A999, 0)), "")</f>
      </c>
      <c r="K237" s="3" t="b">
        <f>AND(F237, J237)</f>
        <v>0</v>
      </c>
      <c r="L237" s="3" t="b">
        <f>AND(G237 &lt;&gt; "plain", G237 &lt;&gt; "")</f>
        <v>0</v>
      </c>
      <c r="M237" s="3" t="str">
        <f>IF(E237, C237 &amp; "|" &amp; H237, "")</f>
        <v>principal-employment-counsel|</v>
      </c>
      <c r="N237" s="2" t="s">
        <v>9938</v>
      </c>
    </row>
    <row r="238">
      <c r="A238" s="2" t="s">
        <v>10174</v>
      </c>
      <c r="B238" s="3" t="str">
        <f>C238 &amp; " -&gt; " &amp; D238</f>
        <v>principal-employment-counsel -&gt; CommunicationPolicies.CommunicationPolicyId</v>
      </c>
      <c r="C238" s="2" t="s">
        <v>9694</v>
      </c>
      <c r="D238" s="2" t="s">
        <v>3994</v>
      </c>
      <c r="E238" s="2" t="b">
        <v>1</v>
      </c>
      <c r="F238" s="2" t="b">
        <v>0</v>
      </c>
      <c r="G238" s="2" t="s">
        <v>9937</v>
      </c>
      <c r="H238" s="3" t="str">
        <f>_xlfn.IFNA(INDEX(RulebookFields!C2:C999, MATCH(D238,RulebookFields!A2:A999, 0)), "")</f>
      </c>
      <c r="I238" s="3" t="str">
        <f>_xlfn.IFNA(INDEX(RulebookFields!D2:D999, MATCH(D238,RulebookFields!A2:A999, 0)), "")</f>
      </c>
      <c r="J238" s="3" t="str">
        <f>_xlfn.IFNA(INDEX(RulebookFields!I2:I999, MATCH(D238,RulebookFields!A2:A999, 0)), "")</f>
      </c>
      <c r="K238" s="3" t="b">
        <f>AND(F238, J238)</f>
        <v>0</v>
      </c>
      <c r="L238" s="3" t="b">
        <f>AND(G238 &lt;&gt; "plain", G238 &lt;&gt; "")</f>
        <v>0</v>
      </c>
      <c r="M238" s="3" t="str">
        <f>IF(E238, C238 &amp; "|" &amp; H238, "")</f>
        <v>principal-employment-counsel|</v>
      </c>
      <c r="N238" s="2" t="s">
        <v>9938</v>
      </c>
    </row>
    <row r="239">
      <c r="A239" s="2" t="s">
        <v>10175</v>
      </c>
      <c r="B239" s="3" t="str">
        <f>C239 &amp; " -&gt; " &amp; D239</f>
        <v>principal-employment-counsel -&gt; CommunicationPolicies.Channel</v>
      </c>
      <c r="C239" s="2" t="s">
        <v>9694</v>
      </c>
      <c r="D239" s="2" t="s">
        <v>3998</v>
      </c>
      <c r="E239" s="2" t="b">
        <v>1</v>
      </c>
      <c r="F239" s="2" t="b">
        <v>0</v>
      </c>
      <c r="G239" s="2" t="s">
        <v>9937</v>
      </c>
      <c r="H239" s="3" t="str">
        <f>_xlfn.IFNA(INDEX(RulebookFields!C2:C999, MATCH(D239,RulebookFields!A2:A999, 0)), "")</f>
      </c>
      <c r="I239" s="3" t="str">
        <f>_xlfn.IFNA(INDEX(RulebookFields!D2:D999, MATCH(D239,RulebookFields!A2:A999, 0)), "")</f>
      </c>
      <c r="J239" s="3" t="str">
        <f>_xlfn.IFNA(INDEX(RulebookFields!I2:I999, MATCH(D239,RulebookFields!A2:A999, 0)), "")</f>
      </c>
      <c r="K239" s="3" t="b">
        <f>AND(F239, J239)</f>
        <v>0</v>
      </c>
      <c r="L239" s="3" t="b">
        <f>AND(G239 &lt;&gt; "plain", G239 &lt;&gt; "")</f>
        <v>0</v>
      </c>
      <c r="M239" s="3" t="str">
        <f>IF(E239, C239 &amp; "|" &amp; H239, "")</f>
        <v>principal-employment-counsel|</v>
      </c>
      <c r="N239" s="2" t="s">
        <v>9938</v>
      </c>
    </row>
    <row r="240">
      <c r="A240" s="2" t="s">
        <v>10176</v>
      </c>
      <c r="B240" s="3" t="str">
        <f>C240 &amp; " -&gt; " &amp; D240</f>
        <v>principal-employment-counsel -&gt; CommunicationPolicies.ConsentRequired</v>
      </c>
      <c r="C240" s="2" t="s">
        <v>9694</v>
      </c>
      <c r="D240" s="2" t="s">
        <v>4000</v>
      </c>
      <c r="E240" s="2" t="b">
        <v>1</v>
      </c>
      <c r="F240" s="2" t="b">
        <v>0</v>
      </c>
      <c r="G240" s="2" t="s">
        <v>9937</v>
      </c>
      <c r="H240" s="3" t="str">
        <f>_xlfn.IFNA(INDEX(RulebookFields!C2:C999, MATCH(D240,RulebookFields!A2:A999, 0)), "")</f>
      </c>
      <c r="I240" s="3" t="str">
        <f>_xlfn.IFNA(INDEX(RulebookFields!D2:D999, MATCH(D240,RulebookFields!A2:A999, 0)), "")</f>
      </c>
      <c r="J240" s="3" t="str">
        <f>_xlfn.IFNA(INDEX(RulebookFields!I2:I999, MATCH(D240,RulebookFields!A2:A999, 0)), "")</f>
      </c>
      <c r="K240" s="3" t="b">
        <f>AND(F240, J240)</f>
        <v>0</v>
      </c>
      <c r="L240" s="3" t="b">
        <f>AND(G240 &lt;&gt; "plain", G240 &lt;&gt; "")</f>
        <v>0</v>
      </c>
      <c r="M240" s="3" t="str">
        <f>IF(E240, C240 &amp; "|" &amp; H240, "")</f>
        <v>principal-employment-counsel|</v>
      </c>
      <c r="N240" s="2" t="s">
        <v>9938</v>
      </c>
    </row>
    <row r="241">
      <c r="A241" s="2" t="s">
        <v>10177</v>
      </c>
      <c r="B241" s="3" t="str">
        <f>C241 &amp; " -&gt; " &amp; D241</f>
        <v>principal-employment-counsel -&gt; CommunicationPolicies.RequiredContent</v>
      </c>
      <c r="C241" s="2" t="s">
        <v>9694</v>
      </c>
      <c r="D241" s="2" t="s">
        <v>4007</v>
      </c>
      <c r="E241" s="2" t="b">
        <v>1</v>
      </c>
      <c r="F241" s="2" t="b">
        <v>0</v>
      </c>
      <c r="G241" s="2" t="s">
        <v>9937</v>
      </c>
      <c r="H241" s="3" t="str">
        <f>_xlfn.IFNA(INDEX(RulebookFields!C2:C999, MATCH(D241,RulebookFields!A2:A999, 0)), "")</f>
      </c>
      <c r="I241" s="3" t="str">
        <f>_xlfn.IFNA(INDEX(RulebookFields!D2:D999, MATCH(D241,RulebookFields!A2:A999, 0)), "")</f>
      </c>
      <c r="J241" s="3" t="str">
        <f>_xlfn.IFNA(INDEX(RulebookFields!I2:I999, MATCH(D241,RulebookFields!A2:A999, 0)), "")</f>
      </c>
      <c r="K241" s="3" t="b">
        <f>AND(F241, J241)</f>
        <v>0</v>
      </c>
      <c r="L241" s="3" t="b">
        <f>AND(G241 &lt;&gt; "plain", G241 &lt;&gt; "")</f>
        <v>0</v>
      </c>
      <c r="M241" s="3" t="str">
        <f>IF(E241, C241 &amp; "|" &amp; H241, "")</f>
        <v>principal-employment-counsel|</v>
      </c>
      <c r="N241" s="2" t="s">
        <v>9938</v>
      </c>
    </row>
    <row r="242">
      <c r="A242" s="2" t="s">
        <v>10178</v>
      </c>
      <c r="B242" s="3" t="str">
        <f>C242 &amp; " -&gt; " &amp; D242</f>
        <v>principal-employment-counsel -&gt; CommunicationPolicies.AuthorityStatement</v>
      </c>
      <c r="C242" s="2" t="s">
        <v>9694</v>
      </c>
      <c r="D242" s="2" t="s">
        <v>4008</v>
      </c>
      <c r="E242" s="2" t="b">
        <v>1</v>
      </c>
      <c r="F242" s="2" t="b">
        <v>0</v>
      </c>
      <c r="G242" s="2" t="s">
        <v>9937</v>
      </c>
      <c r="H242" s="3" t="str">
        <f>_xlfn.IFNA(INDEX(RulebookFields!C2:C999, MATCH(D242,RulebookFields!A2:A999, 0)), "")</f>
      </c>
      <c r="I242" s="3" t="str">
        <f>_xlfn.IFNA(INDEX(RulebookFields!D2:D999, MATCH(D242,RulebookFields!A2:A999, 0)), "")</f>
      </c>
      <c r="J242" s="3" t="str">
        <f>_xlfn.IFNA(INDEX(RulebookFields!I2:I999, MATCH(D242,RulebookFields!A2:A999, 0)), "")</f>
      </c>
      <c r="K242" s="3" t="b">
        <f>AND(F242, J242)</f>
        <v>0</v>
      </c>
      <c r="L242" s="3" t="b">
        <f>AND(G242 &lt;&gt; "plain", G242 &lt;&gt; "")</f>
        <v>0</v>
      </c>
      <c r="M242" s="3" t="str">
        <f>IF(E242, C242 &amp; "|" &amp; H242, "")</f>
        <v>principal-employment-counsel|</v>
      </c>
      <c r="N242" s="2" t="s">
        <v>9938</v>
      </c>
    </row>
    <row r="243">
      <c r="A243" s="2" t="s">
        <v>10179</v>
      </c>
      <c r="B243" s="3" t="str">
        <f>C243 &amp; " -&gt; " &amp; D243</f>
        <v>principal-employment-counsel -&gt; CommunicationPolicies.RetentionDays</v>
      </c>
      <c r="C243" s="2" t="s">
        <v>9694</v>
      </c>
      <c r="D243" s="2" t="s">
        <v>4005</v>
      </c>
      <c r="E243" s="2" t="b">
        <v>1</v>
      </c>
      <c r="F243" s="2" t="b">
        <v>0</v>
      </c>
      <c r="G243" s="2" t="s">
        <v>9937</v>
      </c>
      <c r="H243" s="3" t="str">
        <f>_xlfn.IFNA(INDEX(RulebookFields!C2:C999, MATCH(D243,RulebookFields!A2:A999, 0)), "")</f>
      </c>
      <c r="I243" s="3" t="str">
        <f>_xlfn.IFNA(INDEX(RulebookFields!D2:D999, MATCH(D243,RulebookFields!A2:A999, 0)), "")</f>
      </c>
      <c r="J243" s="3" t="str">
        <f>_xlfn.IFNA(INDEX(RulebookFields!I2:I999, MATCH(D243,RulebookFields!A2:A999, 0)), "")</f>
      </c>
      <c r="K243" s="3" t="b">
        <f>AND(F243, J243)</f>
        <v>0</v>
      </c>
      <c r="L243" s="3" t="b">
        <f>AND(G243 &lt;&gt; "plain", G243 &lt;&gt; "")</f>
        <v>0</v>
      </c>
      <c r="M243" s="3" t="str">
        <f>IF(E243, C243 &amp; "|" &amp; H243, "")</f>
        <v>principal-employment-counsel|</v>
      </c>
      <c r="N243" s="2" t="s">
        <v>9938</v>
      </c>
    </row>
    <row r="244">
      <c r="A244" s="2" t="s">
        <v>10180</v>
      </c>
      <c r="B244" s="3" t="str">
        <f>C244 &amp; " -&gt; " &amp; D244</f>
        <v>principal-employment-counsel -&gt; CommunicationPolicies.Status</v>
      </c>
      <c r="C244" s="2" t="s">
        <v>9694</v>
      </c>
      <c r="D244" s="2" t="s">
        <v>4009</v>
      </c>
      <c r="E244" s="2" t="b">
        <v>1</v>
      </c>
      <c r="F244" s="2" t="b">
        <v>0</v>
      </c>
      <c r="G244" s="2" t="s">
        <v>9937</v>
      </c>
      <c r="H244" s="3" t="str">
        <f>_xlfn.IFNA(INDEX(RulebookFields!C2:C999, MATCH(D244,RulebookFields!A2:A999, 0)), "")</f>
      </c>
      <c r="I244" s="3" t="str">
        <f>_xlfn.IFNA(INDEX(RulebookFields!D2:D999, MATCH(D244,RulebookFields!A2:A999, 0)), "")</f>
      </c>
      <c r="J244" s="3" t="str">
        <f>_xlfn.IFNA(INDEX(RulebookFields!I2:I999, MATCH(D244,RulebookFields!A2:A999, 0)), "")</f>
      </c>
      <c r="K244" s="3" t="b">
        <f>AND(F244, J244)</f>
        <v>0</v>
      </c>
      <c r="L244" s="3" t="b">
        <f>AND(G244 &lt;&gt; "plain", G244 &lt;&gt; "")</f>
        <v>0</v>
      </c>
      <c r="M244" s="3" t="str">
        <f>IF(E244, C244 &amp; "|" &amp; H244, "")</f>
        <v>principal-employment-counsel|</v>
      </c>
      <c r="N244" s="2" t="s">
        <v>9938</v>
      </c>
    </row>
    <row r="245">
      <c r="A245" s="2" t="s">
        <v>10181</v>
      </c>
      <c r="B245" s="3" t="str">
        <f>C245 &amp; " -&gt; " &amp; D245</f>
        <v>principal-employment-counsel -&gt; CommunicationPolicies.Name</v>
      </c>
      <c r="C245" s="2" t="s">
        <v>9694</v>
      </c>
      <c r="D245" s="2" t="s">
        <v>3995</v>
      </c>
      <c r="E245" s="2" t="b">
        <v>1</v>
      </c>
      <c r="F245" s="2" t="b">
        <v>0</v>
      </c>
      <c r="G245" s="2" t="s">
        <v>9937</v>
      </c>
      <c r="H245" s="3" t="str">
        <f>_xlfn.IFNA(INDEX(RulebookFields!C2:C999, MATCH(D245,RulebookFields!A2:A999, 0)), "")</f>
      </c>
      <c r="I245" s="3" t="str">
        <f>_xlfn.IFNA(INDEX(RulebookFields!D2:D999, MATCH(D245,RulebookFields!A2:A999, 0)), "")</f>
      </c>
      <c r="J245" s="3" t="str">
        <f>_xlfn.IFNA(INDEX(RulebookFields!I2:I999, MATCH(D245,RulebookFields!A2:A999, 0)), "")</f>
      </c>
      <c r="K245" s="3" t="b">
        <f>AND(F245, J245)</f>
        <v>0</v>
      </c>
      <c r="L245" s="3" t="b">
        <f>AND(G245 &lt;&gt; "plain", G245 &lt;&gt; "")</f>
        <v>0</v>
      </c>
      <c r="M245" s="3" t="str">
        <f>IF(E245, C245 &amp; "|" &amp; H245, "")</f>
        <v>principal-employment-counsel|</v>
      </c>
      <c r="N245" s="2" t="s">
        <v>9938</v>
      </c>
    </row>
    <row r="246">
      <c r="A246" s="2" t="s">
        <v>10182</v>
      </c>
      <c r="B246" s="3" t="str">
        <f>C246 &amp; " -&gt; " &amp; D246</f>
        <v>principal-employment-counsel -&gt; Steps.StepId</v>
      </c>
      <c r="C246" s="2" t="s">
        <v>9694</v>
      </c>
      <c r="D246" s="2" t="s">
        <v>2837</v>
      </c>
      <c r="E246" s="2" t="b">
        <v>1</v>
      </c>
      <c r="F246" s="2" t="b">
        <v>0</v>
      </c>
      <c r="G246" s="2" t="s">
        <v>9937</v>
      </c>
      <c r="H246" s="3" t="str">
        <f>_xlfn.IFNA(INDEX(RulebookFields!C2:C999, MATCH(D246,RulebookFields!A2:A999, 0)), "")</f>
        <v>Steps</v>
      </c>
      <c r="I246" s="3" t="str">
        <f>_xlfn.IFNA(INDEX(RulebookFields!D2:D999, MATCH(D246,RulebookFields!A2:A999, 0)), "")</f>
        <v>StepId</v>
      </c>
      <c r="J246" s="3" t="b">
        <f>_xlfn.IFNA(INDEX(RulebookFields!I2:I999, MATCH(D246,RulebookFields!A2:A999, 0)), "")</f>
        <v>0</v>
      </c>
      <c r="K246" s="3" t="b">
        <f>AND(F246, J246)</f>
        <v>0</v>
      </c>
      <c r="L246" s="3" t="b">
        <f>AND(G246 &lt;&gt; "plain", G246 &lt;&gt; "")</f>
        <v>0</v>
      </c>
      <c r="M246" s="3" t="str">
        <f>IF(E246, C246 &amp; "|" &amp; H246, "")</f>
        <v>principal-employment-counsel|Steps</v>
      </c>
      <c r="N246" s="2" t="s">
        <v>9938</v>
      </c>
    </row>
    <row r="247">
      <c r="A247" s="2" t="s">
        <v>10183</v>
      </c>
      <c r="B247" s="3" t="str">
        <f>C247 &amp; " -&gt; " &amp; D247</f>
        <v>principal-employment-counsel -&gt; Steps.StepNumber</v>
      </c>
      <c r="C247" s="2" t="s">
        <v>9694</v>
      </c>
      <c r="D247" s="2" t="s">
        <v>2841</v>
      </c>
      <c r="E247" s="2" t="b">
        <v>1</v>
      </c>
      <c r="F247" s="2" t="b">
        <v>0</v>
      </c>
      <c r="G247" s="2" t="s">
        <v>9937</v>
      </c>
      <c r="H247" s="3" t="str">
        <f>_xlfn.IFNA(INDEX(RulebookFields!C2:C999, MATCH(D247,RulebookFields!A2:A999, 0)), "")</f>
        <v>Steps</v>
      </c>
      <c r="I247" s="3" t="str">
        <f>_xlfn.IFNA(INDEX(RulebookFields!D2:D999, MATCH(D247,RulebookFields!A2:A999, 0)), "")</f>
        <v>StepNumber</v>
      </c>
      <c r="J247" s="3" t="b">
        <f>_xlfn.IFNA(INDEX(RulebookFields!I2:I999, MATCH(D247,RulebookFields!A2:A999, 0)), "")</f>
        <v>0</v>
      </c>
      <c r="K247" s="3" t="b">
        <f>AND(F247, J247)</f>
        <v>0</v>
      </c>
      <c r="L247" s="3" t="b">
        <f>AND(G247 &lt;&gt; "plain", G247 &lt;&gt; "")</f>
        <v>0</v>
      </c>
      <c r="M247" s="3" t="str">
        <f>IF(E247, C247 &amp; "|" &amp; H247, "")</f>
        <v>principal-employment-counsel|Steps</v>
      </c>
      <c r="N247" s="2" t="s">
        <v>9938</v>
      </c>
    </row>
    <row r="248">
      <c r="A248" s="2" t="s">
        <v>10184</v>
      </c>
      <c r="B248" s="3" t="str">
        <f>C248 &amp; " -&gt; " &amp; D248</f>
        <v>principal-employment-counsel -&gt; Steps.Title</v>
      </c>
      <c r="C248" s="2" t="s">
        <v>9694</v>
      </c>
      <c r="D248" s="2" t="s">
        <v>2842</v>
      </c>
      <c r="E248" s="2" t="b">
        <v>1</v>
      </c>
      <c r="F248" s="2" t="b">
        <v>0</v>
      </c>
      <c r="G248" s="2" t="s">
        <v>9937</v>
      </c>
      <c r="H248" s="3" t="str">
        <f>_xlfn.IFNA(INDEX(RulebookFields!C2:C999, MATCH(D248,RulebookFields!A2:A999, 0)), "")</f>
        <v>Steps</v>
      </c>
      <c r="I248" s="3" t="str">
        <f>_xlfn.IFNA(INDEX(RulebookFields!D2:D999, MATCH(D248,RulebookFields!A2:A999, 0)), "")</f>
        <v>Title</v>
      </c>
      <c r="J248" s="3" t="b">
        <f>_xlfn.IFNA(INDEX(RulebookFields!I2:I999, MATCH(D248,RulebookFields!A2:A999, 0)), "")</f>
        <v>0</v>
      </c>
      <c r="K248" s="3" t="b">
        <f>AND(F248, J248)</f>
        <v>0</v>
      </c>
      <c r="L248" s="3" t="b">
        <f>AND(G248 &lt;&gt; "plain", G248 &lt;&gt; "")</f>
        <v>0</v>
      </c>
      <c r="M248" s="3" t="str">
        <f>IF(E248, C248 &amp; "|" &amp; H248, "")</f>
        <v>principal-employment-counsel|Steps</v>
      </c>
      <c r="N248" s="2" t="s">
        <v>9938</v>
      </c>
    </row>
    <row r="249">
      <c r="A249" s="2" t="s">
        <v>10185</v>
      </c>
      <c r="B249" s="3" t="str">
        <f>C249 &amp; " -&gt; " &amp; D249</f>
        <v>principal-employment-counsel -&gt; Steps.StepKind</v>
      </c>
      <c r="C249" s="2" t="s">
        <v>9694</v>
      </c>
      <c r="D249" s="2" t="s">
        <v>2843</v>
      </c>
      <c r="E249" s="2" t="b">
        <v>1</v>
      </c>
      <c r="F249" s="2" t="b">
        <v>0</v>
      </c>
      <c r="G249" s="2" t="s">
        <v>9937</v>
      </c>
      <c r="H249" s="3" t="str">
        <f>_xlfn.IFNA(INDEX(RulebookFields!C2:C999, MATCH(D249,RulebookFields!A2:A999, 0)), "")</f>
        <v>Steps</v>
      </c>
      <c r="I249" s="3" t="str">
        <f>_xlfn.IFNA(INDEX(RulebookFields!D2:D999, MATCH(D249,RulebookFields!A2:A999, 0)), "")</f>
        <v>StepKind</v>
      </c>
      <c r="J249" s="3" t="b">
        <f>_xlfn.IFNA(INDEX(RulebookFields!I2:I999, MATCH(D249,RulebookFields!A2:A999, 0)), "")</f>
        <v>0</v>
      </c>
      <c r="K249" s="3" t="b">
        <f>AND(F249, J249)</f>
        <v>0</v>
      </c>
      <c r="L249" s="3" t="b">
        <f>AND(G249 &lt;&gt; "plain", G249 &lt;&gt; "")</f>
        <v>0</v>
      </c>
      <c r="M249" s="3" t="str">
        <f>IF(E249, C249 &amp; "|" &amp; H249, "")</f>
        <v>principal-employment-counsel|Steps</v>
      </c>
      <c r="N249" s="2" t="s">
        <v>9938</v>
      </c>
    </row>
    <row r="250">
      <c r="A250" s="2" t="s">
        <v>10186</v>
      </c>
      <c r="B250" s="3" t="str">
        <f>C250 &amp; " -&gt; " &amp; D250</f>
        <v>principal-employment-counsel -&gt; Steps.Instruction</v>
      </c>
      <c r="C250" s="2" t="s">
        <v>9694</v>
      </c>
      <c r="D250" s="2" t="s">
        <v>2849</v>
      </c>
      <c r="E250" s="2" t="b">
        <v>1</v>
      </c>
      <c r="F250" s="2" t="b">
        <v>0</v>
      </c>
      <c r="G250" s="2" t="s">
        <v>9937</v>
      </c>
      <c r="H250" s="3" t="str">
        <f>_xlfn.IFNA(INDEX(RulebookFields!C2:C999, MATCH(D250,RulebookFields!A2:A999, 0)), "")</f>
        <v>Steps</v>
      </c>
      <c r="I250" s="3" t="str">
        <f>_xlfn.IFNA(INDEX(RulebookFields!D2:D999, MATCH(D250,RulebookFields!A2:A999, 0)), "")</f>
        <v>Instruction</v>
      </c>
      <c r="J250" s="3" t="b">
        <f>_xlfn.IFNA(INDEX(RulebookFields!I2:I999, MATCH(D250,RulebookFields!A2:A999, 0)), "")</f>
        <v>0</v>
      </c>
      <c r="K250" s="3" t="b">
        <f>AND(F250, J250)</f>
        <v>0</v>
      </c>
      <c r="L250" s="3" t="b">
        <f>AND(G250 &lt;&gt; "plain", G250 &lt;&gt; "")</f>
        <v>0</v>
      </c>
      <c r="M250" s="3" t="str">
        <f>IF(E250, C250 &amp; "|" &amp; H250, "")</f>
        <v>principal-employment-counsel|Steps</v>
      </c>
      <c r="N250" s="2" t="s">
        <v>9938</v>
      </c>
    </row>
    <row r="251">
      <c r="A251" s="2" t="s">
        <v>10187</v>
      </c>
      <c r="B251" s="3" t="str">
        <f>C251 &amp; " -&gt; " &amp; D251</f>
        <v>principal-employment-counsel -&gt; Steps.AssignedRole</v>
      </c>
      <c r="C251" s="2" t="s">
        <v>9694</v>
      </c>
      <c r="D251" s="2" t="s">
        <v>2844</v>
      </c>
      <c r="E251" s="2" t="b">
        <v>1</v>
      </c>
      <c r="F251" s="2" t="b">
        <v>0</v>
      </c>
      <c r="G251" s="2" t="s">
        <v>9937</v>
      </c>
      <c r="H251" s="3" t="str">
        <f>_xlfn.IFNA(INDEX(RulebookFields!C2:C999, MATCH(D251,RulebookFields!A2:A999, 0)), "")</f>
        <v>Steps</v>
      </c>
      <c r="I251" s="3" t="str">
        <f>_xlfn.IFNA(INDEX(RulebookFields!D2:D999, MATCH(D251,RulebookFields!A2:A999, 0)), "")</f>
        <v>AssignedRole</v>
      </c>
      <c r="J251" s="3" t="b">
        <f>_xlfn.IFNA(INDEX(RulebookFields!I2:I999, MATCH(D251,RulebookFields!A2:A999, 0)), "")</f>
        <v>0</v>
      </c>
      <c r="K251" s="3" t="b">
        <f>AND(F251, J251)</f>
        <v>0</v>
      </c>
      <c r="L251" s="3" t="b">
        <f>AND(G251 &lt;&gt; "plain", G251 &lt;&gt; "")</f>
        <v>0</v>
      </c>
      <c r="M251" s="3" t="str">
        <f>IF(E251, C251 &amp; "|" &amp; H251, "")</f>
        <v>principal-employment-counsel|Steps</v>
      </c>
      <c r="N251" s="2" t="s">
        <v>9938</v>
      </c>
    </row>
    <row r="252">
      <c r="A252" s="2" t="s">
        <v>10188</v>
      </c>
      <c r="B252" s="3" t="str">
        <f>C252 &amp; " -&gt; " &amp; D252</f>
        <v>principal-employment-counsel -&gt; Steps.AssignedRoleLabel</v>
      </c>
      <c r="C252" s="2" t="s">
        <v>9694</v>
      </c>
      <c r="D252" s="2" t="s">
        <v>2845</v>
      </c>
      <c r="E252" s="2" t="b">
        <v>1</v>
      </c>
      <c r="F252" s="2" t="b">
        <v>0</v>
      </c>
      <c r="G252" s="2" t="s">
        <v>9937</v>
      </c>
      <c r="H252" s="3" t="str">
        <f>_xlfn.IFNA(INDEX(RulebookFields!C2:C999, MATCH(D252,RulebookFields!A2:A999, 0)), "")</f>
        <v>Steps</v>
      </c>
      <c r="I252" s="3" t="str">
        <f>_xlfn.IFNA(INDEX(RulebookFields!D2:D999, MATCH(D252,RulebookFields!A2:A999, 0)), "")</f>
        <v>AssignedRoleLabel</v>
      </c>
      <c r="J252" s="3" t="b">
        <f>_xlfn.IFNA(INDEX(RulebookFields!I2:I999, MATCH(D252,RulebookFields!A2:A999, 0)), "")</f>
        <v>1</v>
      </c>
      <c r="K252" s="3" t="b">
        <f>AND(F252, J252)</f>
        <v>0</v>
      </c>
      <c r="L252" s="3" t="b">
        <f>AND(G252 &lt;&gt; "plain", G252 &lt;&gt; "")</f>
        <v>0</v>
      </c>
      <c r="M252" s="3" t="str">
        <f>IF(E252, C252 &amp; "|" &amp; H252, "")</f>
        <v>principal-employment-counsel|Steps</v>
      </c>
      <c r="N252" s="2" t="s">
        <v>9938</v>
      </c>
    </row>
    <row r="253">
      <c r="A253" s="2" t="s">
        <v>10189</v>
      </c>
      <c r="B253" s="3" t="str">
        <f>C253 &amp; " -&gt; " &amp; D253</f>
        <v>principal-employment-counsel -&gt; Steps.ProcedureVersion</v>
      </c>
      <c r="C253" s="2" t="s">
        <v>9694</v>
      </c>
      <c r="D253" s="2" t="s">
        <v>2840</v>
      </c>
      <c r="E253" s="2" t="b">
        <v>1</v>
      </c>
      <c r="F253" s="2" t="b">
        <v>0</v>
      </c>
      <c r="G253" s="2" t="s">
        <v>9937</v>
      </c>
      <c r="H253" s="3" t="str">
        <f>_xlfn.IFNA(INDEX(RulebookFields!C2:C999, MATCH(D253,RulebookFields!A2:A999, 0)), "")</f>
        <v>Steps</v>
      </c>
      <c r="I253" s="3" t="str">
        <f>_xlfn.IFNA(INDEX(RulebookFields!D2:D999, MATCH(D253,RulebookFields!A2:A999, 0)), "")</f>
        <v>ProcedureVersion</v>
      </c>
      <c r="J253" s="3" t="b">
        <f>_xlfn.IFNA(INDEX(RulebookFields!I2:I999, MATCH(D253,RulebookFields!A2:A999, 0)), "")</f>
        <v>0</v>
      </c>
      <c r="K253" s="3" t="b">
        <f>AND(F253, J253)</f>
        <v>0</v>
      </c>
      <c r="L253" s="3" t="b">
        <f>AND(G253 &lt;&gt; "plain", G253 &lt;&gt; "")</f>
        <v>0</v>
      </c>
      <c r="M253" s="3" t="str">
        <f>IF(E253, C253 &amp; "|" &amp; H253, "")</f>
        <v>principal-employment-counsel|Steps</v>
      </c>
      <c r="N253" s="2" t="s">
        <v>9938</v>
      </c>
    </row>
    <row r="254">
      <c r="A254" s="2" t="s">
        <v>10190</v>
      </c>
      <c r="B254" s="3" t="str">
        <f>C254 &amp; " -&gt; " &amp; D254</f>
        <v>principal-employment-counsel -&gt; Steps.Name</v>
      </c>
      <c r="C254" s="2" t="s">
        <v>9694</v>
      </c>
      <c r="D254" s="2" t="s">
        <v>2838</v>
      </c>
      <c r="E254" s="2" t="b">
        <v>1</v>
      </c>
      <c r="F254" s="2" t="b">
        <v>0</v>
      </c>
      <c r="G254" s="2" t="s">
        <v>9937</v>
      </c>
      <c r="H254" s="3" t="str">
        <f>_xlfn.IFNA(INDEX(RulebookFields!C2:C999, MATCH(D254,RulebookFields!A2:A999, 0)), "")</f>
        <v>Steps</v>
      </c>
      <c r="I254" s="3" t="str">
        <f>_xlfn.IFNA(INDEX(RulebookFields!D2:D999, MATCH(D254,RulebookFields!A2:A999, 0)), "")</f>
        <v>Name</v>
      </c>
      <c r="J254" s="3" t="b">
        <f>_xlfn.IFNA(INDEX(RulebookFields!I2:I999, MATCH(D254,RulebookFields!A2:A999, 0)), "")</f>
        <v>1</v>
      </c>
      <c r="K254" s="3" t="b">
        <f>AND(F254, J254)</f>
        <v>0</v>
      </c>
      <c r="L254" s="3" t="b">
        <f>AND(G254 &lt;&gt; "plain", G254 &lt;&gt; "")</f>
        <v>0</v>
      </c>
      <c r="M254" s="3" t="str">
        <f>IF(E254, C254 &amp; "|" &amp; H254, "")</f>
        <v>principal-employment-counsel|Steps</v>
      </c>
      <c r="N254" s="2" t="s">
        <v>9938</v>
      </c>
    </row>
    <row r="255">
      <c r="A255" s="2" t="s">
        <v>10191</v>
      </c>
      <c r="B255" s="3" t="str">
        <f>C255 &amp; " -&gt; " &amp; D255</f>
        <v>principal-communications-manager -&gt; CommunicationPolicies.CommunicationPolicyId</v>
      </c>
      <c r="C255" s="2" t="s">
        <v>9696</v>
      </c>
      <c r="D255" s="2" t="s">
        <v>3994</v>
      </c>
      <c r="E255" s="2" t="b">
        <v>1</v>
      </c>
      <c r="F255" s="2" t="b">
        <v>0</v>
      </c>
      <c r="G255" s="2" t="s">
        <v>9937</v>
      </c>
      <c r="H255" s="3" t="str">
        <f>_xlfn.IFNA(INDEX(RulebookFields!C2:C999, MATCH(D255,RulebookFields!A2:A999, 0)), "")</f>
      </c>
      <c r="I255" s="3" t="str">
        <f>_xlfn.IFNA(INDEX(RulebookFields!D2:D999, MATCH(D255,RulebookFields!A2:A999, 0)), "")</f>
      </c>
      <c r="J255" s="3" t="str">
        <f>_xlfn.IFNA(INDEX(RulebookFields!I2:I999, MATCH(D255,RulebookFields!A2:A999, 0)), "")</f>
      </c>
      <c r="K255" s="3" t="b">
        <f>AND(F255, J255)</f>
        <v>0</v>
      </c>
      <c r="L255" s="3" t="b">
        <f>AND(G255 &lt;&gt; "plain", G255 &lt;&gt; "")</f>
        <v>0</v>
      </c>
      <c r="M255" s="3" t="str">
        <f>IF(E255, C255 &amp; "|" &amp; H255, "")</f>
        <v>principal-communications-manager|</v>
      </c>
      <c r="N255" s="2" t="s">
        <v>9938</v>
      </c>
    </row>
    <row r="256">
      <c r="A256" s="2" t="s">
        <v>10192</v>
      </c>
      <c r="B256" s="3" t="str">
        <f>C256 &amp; " -&gt; " &amp; D256</f>
        <v>principal-communications-manager -&gt; CommunicationPolicies.Name</v>
      </c>
      <c r="C256" s="2" t="s">
        <v>9696</v>
      </c>
      <c r="D256" s="2" t="s">
        <v>3995</v>
      </c>
      <c r="E256" s="2" t="b">
        <v>1</v>
      </c>
      <c r="F256" s="2" t="b">
        <v>0</v>
      </c>
      <c r="G256" s="2" t="s">
        <v>9937</v>
      </c>
      <c r="H256" s="3" t="str">
        <f>_xlfn.IFNA(INDEX(RulebookFields!C2:C999, MATCH(D256,RulebookFields!A2:A999, 0)), "")</f>
      </c>
      <c r="I256" s="3" t="str">
        <f>_xlfn.IFNA(INDEX(RulebookFields!D2:D999, MATCH(D256,RulebookFields!A2:A999, 0)), "")</f>
      </c>
      <c r="J256" s="3" t="str">
        <f>_xlfn.IFNA(INDEX(RulebookFields!I2:I999, MATCH(D256,RulebookFields!A2:A999, 0)), "")</f>
      </c>
      <c r="K256" s="3" t="b">
        <f>AND(F256, J256)</f>
        <v>0</v>
      </c>
      <c r="L256" s="3" t="b">
        <f>AND(G256 &lt;&gt; "plain", G256 &lt;&gt; "")</f>
        <v>0</v>
      </c>
      <c r="M256" s="3" t="str">
        <f>IF(E256, C256 &amp; "|" &amp; H256, "")</f>
        <v>principal-communications-manager|</v>
      </c>
      <c r="N256" s="2" t="s">
        <v>9938</v>
      </c>
    </row>
    <row r="257">
      <c r="A257" s="2" t="s">
        <v>10193</v>
      </c>
      <c r="B257" s="3" t="str">
        <f>C257 &amp; " -&gt; " &amp; D257</f>
        <v>principal-communications-manager -&gt; CommunicationPolicies.ProcedureVersion</v>
      </c>
      <c r="C257" s="2" t="s">
        <v>9696</v>
      </c>
      <c r="D257" s="2" t="s">
        <v>3997</v>
      </c>
      <c r="E257" s="2" t="b">
        <v>1</v>
      </c>
      <c r="F257" s="2" t="b">
        <v>0</v>
      </c>
      <c r="G257" s="2" t="s">
        <v>9937</v>
      </c>
      <c r="H257" s="3" t="str">
        <f>_xlfn.IFNA(INDEX(RulebookFields!C2:C999, MATCH(D257,RulebookFields!A2:A999, 0)), "")</f>
      </c>
      <c r="I257" s="3" t="str">
        <f>_xlfn.IFNA(INDEX(RulebookFields!D2:D999, MATCH(D257,RulebookFields!A2:A999, 0)), "")</f>
      </c>
      <c r="J257" s="3" t="str">
        <f>_xlfn.IFNA(INDEX(RulebookFields!I2:I999, MATCH(D257,RulebookFields!A2:A999, 0)), "")</f>
      </c>
      <c r="K257" s="3" t="b">
        <f>AND(F257, J257)</f>
        <v>0</v>
      </c>
      <c r="L257" s="3" t="b">
        <f>AND(G257 &lt;&gt; "plain", G257 &lt;&gt; "")</f>
        <v>0</v>
      </c>
      <c r="M257" s="3" t="str">
        <f>IF(E257, C257 &amp; "|" &amp; H257, "")</f>
        <v>principal-communications-manager|</v>
      </c>
      <c r="N257" s="2" t="s">
        <v>9938</v>
      </c>
    </row>
    <row r="258">
      <c r="A258" s="2" t="s">
        <v>10194</v>
      </c>
      <c r="B258" s="3" t="str">
        <f>C258 &amp; " -&gt; " &amp; D258</f>
        <v>principal-communications-manager -&gt; CommunicationPolicies.Channel</v>
      </c>
      <c r="C258" s="2" t="s">
        <v>9696</v>
      </c>
      <c r="D258" s="2" t="s">
        <v>3998</v>
      </c>
      <c r="E258" s="2" t="b">
        <v>1</v>
      </c>
      <c r="F258" s="2" t="b">
        <v>0</v>
      </c>
      <c r="G258" s="2" t="s">
        <v>9937</v>
      </c>
      <c r="H258" s="3" t="str">
        <f>_xlfn.IFNA(INDEX(RulebookFields!C2:C999, MATCH(D258,RulebookFields!A2:A999, 0)), "")</f>
      </c>
      <c r="I258" s="3" t="str">
        <f>_xlfn.IFNA(INDEX(RulebookFields!D2:D999, MATCH(D258,RulebookFields!A2:A999, 0)), "")</f>
      </c>
      <c r="J258" s="3" t="str">
        <f>_xlfn.IFNA(INDEX(RulebookFields!I2:I999, MATCH(D258,RulebookFields!A2:A999, 0)), "")</f>
      </c>
      <c r="K258" s="3" t="b">
        <f>AND(F258, J258)</f>
        <v>0</v>
      </c>
      <c r="L258" s="3" t="b">
        <f>AND(G258 &lt;&gt; "plain", G258 &lt;&gt; "")</f>
        <v>0</v>
      </c>
      <c r="M258" s="3" t="str">
        <f>IF(E258, C258 &amp; "|" &amp; H258, "")</f>
        <v>principal-communications-manager|</v>
      </c>
      <c r="N258" s="2" t="s">
        <v>9938</v>
      </c>
    </row>
    <row r="259">
      <c r="A259" s="2" t="s">
        <v>10195</v>
      </c>
      <c r="B259" s="3" t="str">
        <f>C259 &amp; " -&gt; " &amp; D259</f>
        <v>principal-communications-manager -&gt; CommunicationPolicies.AudienceRule</v>
      </c>
      <c r="C259" s="2" t="s">
        <v>9696</v>
      </c>
      <c r="D259" s="2" t="s">
        <v>3999</v>
      </c>
      <c r="E259" s="2" t="b">
        <v>1</v>
      </c>
      <c r="F259" s="2" t="b">
        <v>0</v>
      </c>
      <c r="G259" s="2" t="s">
        <v>9937</v>
      </c>
      <c r="H259" s="3" t="str">
        <f>_xlfn.IFNA(INDEX(RulebookFields!C2:C999, MATCH(D259,RulebookFields!A2:A999, 0)), "")</f>
      </c>
      <c r="I259" s="3" t="str">
        <f>_xlfn.IFNA(INDEX(RulebookFields!D2:D999, MATCH(D259,RulebookFields!A2:A999, 0)), "")</f>
      </c>
      <c r="J259" s="3" t="str">
        <f>_xlfn.IFNA(INDEX(RulebookFields!I2:I999, MATCH(D259,RulebookFields!A2:A999, 0)), "")</f>
      </c>
      <c r="K259" s="3" t="b">
        <f>AND(F259, J259)</f>
        <v>0</v>
      </c>
      <c r="L259" s="3" t="b">
        <f>AND(G259 &lt;&gt; "plain", G259 &lt;&gt; "")</f>
        <v>0</v>
      </c>
      <c r="M259" s="3" t="str">
        <f>IF(E259, C259 &amp; "|" &amp; H259, "")</f>
        <v>principal-communications-manager|</v>
      </c>
      <c r="N259" s="2" t="s">
        <v>9938</v>
      </c>
    </row>
    <row r="260">
      <c r="A260" s="2" t="s">
        <v>10196</v>
      </c>
      <c r="B260" s="3" t="str">
        <f>C260 &amp; " -&gt; " &amp; D260</f>
        <v>principal-communications-manager -&gt; CommunicationPolicies.ConsentRequired</v>
      </c>
      <c r="C260" s="2" t="s">
        <v>9696</v>
      </c>
      <c r="D260" s="2" t="s">
        <v>4000</v>
      </c>
      <c r="E260" s="2" t="b">
        <v>1</v>
      </c>
      <c r="F260" s="2" t="b">
        <v>0</v>
      </c>
      <c r="G260" s="2" t="s">
        <v>9937</v>
      </c>
      <c r="H260" s="3" t="str">
        <f>_xlfn.IFNA(INDEX(RulebookFields!C2:C999, MATCH(D260,RulebookFields!A2:A999, 0)), "")</f>
      </c>
      <c r="I260" s="3" t="str">
        <f>_xlfn.IFNA(INDEX(RulebookFields!D2:D999, MATCH(D260,RulebookFields!A2:A999, 0)), "")</f>
      </c>
      <c r="J260" s="3" t="str">
        <f>_xlfn.IFNA(INDEX(RulebookFields!I2:I999, MATCH(D260,RulebookFields!A2:A999, 0)), "")</f>
      </c>
      <c r="K260" s="3" t="b">
        <f>AND(F260, J260)</f>
        <v>0</v>
      </c>
      <c r="L260" s="3" t="b">
        <f>AND(G260 &lt;&gt; "plain", G260 &lt;&gt; "")</f>
        <v>0</v>
      </c>
      <c r="M260" s="3" t="str">
        <f>IF(E260, C260 &amp; "|" &amp; H260, "")</f>
        <v>principal-communications-manager|</v>
      </c>
      <c r="N260" s="2" t="s">
        <v>9938</v>
      </c>
    </row>
    <row r="261">
      <c r="A261" s="2" t="s">
        <v>10197</v>
      </c>
      <c r="B261" s="3" t="str">
        <f>C261 &amp; " -&gt; " &amp; D261</f>
        <v>principal-communications-manager -&gt; CommunicationPolicies.QuietHoursStart</v>
      </c>
      <c r="C261" s="2" t="s">
        <v>9696</v>
      </c>
      <c r="D261" s="2" t="s">
        <v>4001</v>
      </c>
      <c r="E261" s="2" t="b">
        <v>1</v>
      </c>
      <c r="F261" s="2" t="b">
        <v>0</v>
      </c>
      <c r="G261" s="2" t="s">
        <v>9937</v>
      </c>
      <c r="H261" s="3" t="str">
        <f>_xlfn.IFNA(INDEX(RulebookFields!C2:C999, MATCH(D261,RulebookFields!A2:A999, 0)), "")</f>
      </c>
      <c r="I261" s="3" t="str">
        <f>_xlfn.IFNA(INDEX(RulebookFields!D2:D999, MATCH(D261,RulebookFields!A2:A999, 0)), "")</f>
      </c>
      <c r="J261" s="3" t="str">
        <f>_xlfn.IFNA(INDEX(RulebookFields!I2:I999, MATCH(D261,RulebookFields!A2:A999, 0)), "")</f>
      </c>
      <c r="K261" s="3" t="b">
        <f>AND(F261, J261)</f>
        <v>0</v>
      </c>
      <c r="L261" s="3" t="b">
        <f>AND(G261 &lt;&gt; "plain", G261 &lt;&gt; "")</f>
        <v>0</v>
      </c>
      <c r="M261" s="3" t="str">
        <f>IF(E261, C261 &amp; "|" &amp; H261, "")</f>
        <v>principal-communications-manager|</v>
      </c>
      <c r="N261" s="2" t="s">
        <v>9938</v>
      </c>
    </row>
    <row r="262">
      <c r="A262" s="2" t="s">
        <v>10198</v>
      </c>
      <c r="B262" s="3" t="str">
        <f>C262 &amp; " -&gt; " &amp; D262</f>
        <v>principal-communications-manager -&gt; CommunicationPolicies.QuietHoursEnd</v>
      </c>
      <c r="C262" s="2" t="s">
        <v>9696</v>
      </c>
      <c r="D262" s="2" t="s">
        <v>4002</v>
      </c>
      <c r="E262" s="2" t="b">
        <v>1</v>
      </c>
      <c r="F262" s="2" t="b">
        <v>0</v>
      </c>
      <c r="G262" s="2" t="s">
        <v>9937</v>
      </c>
      <c r="H262" s="3" t="str">
        <f>_xlfn.IFNA(INDEX(RulebookFields!C2:C999, MATCH(D262,RulebookFields!A2:A999, 0)), "")</f>
      </c>
      <c r="I262" s="3" t="str">
        <f>_xlfn.IFNA(INDEX(RulebookFields!D2:D999, MATCH(D262,RulebookFields!A2:A999, 0)), "")</f>
      </c>
      <c r="J262" s="3" t="str">
        <f>_xlfn.IFNA(INDEX(RulebookFields!I2:I999, MATCH(D262,RulebookFields!A2:A999, 0)), "")</f>
      </c>
      <c r="K262" s="3" t="b">
        <f>AND(F262, J262)</f>
        <v>0</v>
      </c>
      <c r="L262" s="3" t="b">
        <f>AND(G262 &lt;&gt; "plain", G262 &lt;&gt; "")</f>
        <v>0</v>
      </c>
      <c r="M262" s="3" t="str">
        <f>IF(E262, C262 &amp; "|" &amp; H262, "")</f>
        <v>principal-communications-manager|</v>
      </c>
      <c r="N262" s="2" t="s">
        <v>9938</v>
      </c>
    </row>
    <row r="263">
      <c r="A263" s="2" t="s">
        <v>10199</v>
      </c>
      <c r="B263" s="3" t="str">
        <f>C263 &amp; " -&gt; " &amp; D263</f>
        <v>principal-communications-manager -&gt; CommunicationPolicies.MaxMessageLength</v>
      </c>
      <c r="C263" s="2" t="s">
        <v>9696</v>
      </c>
      <c r="D263" s="2" t="s">
        <v>4003</v>
      </c>
      <c r="E263" s="2" t="b">
        <v>1</v>
      </c>
      <c r="F263" s="2" t="b">
        <v>0</v>
      </c>
      <c r="G263" s="2" t="s">
        <v>9937</v>
      </c>
      <c r="H263" s="3" t="str">
        <f>_xlfn.IFNA(INDEX(RulebookFields!C2:C999, MATCH(D263,RulebookFields!A2:A999, 0)), "")</f>
      </c>
      <c r="I263" s="3" t="str">
        <f>_xlfn.IFNA(INDEX(RulebookFields!D2:D999, MATCH(D263,RulebookFields!A2:A999, 0)), "")</f>
      </c>
      <c r="J263" s="3" t="str">
        <f>_xlfn.IFNA(INDEX(RulebookFields!I2:I999, MATCH(D263,RulebookFields!A2:A999, 0)), "")</f>
      </c>
      <c r="K263" s="3" t="b">
        <f>AND(F263, J263)</f>
        <v>0</v>
      </c>
      <c r="L263" s="3" t="b">
        <f>AND(G263 &lt;&gt; "plain", G263 &lt;&gt; "")</f>
        <v>0</v>
      </c>
      <c r="M263" s="3" t="str">
        <f>IF(E263, C263 &amp; "|" &amp; H263, "")</f>
        <v>principal-communications-manager|</v>
      </c>
      <c r="N263" s="2" t="s">
        <v>9938</v>
      </c>
    </row>
    <row r="264">
      <c r="A264" s="2" t="s">
        <v>10200</v>
      </c>
      <c r="B264" s="3" t="str">
        <f>C264 &amp; " -&gt; " &amp; D264</f>
        <v>principal-communications-manager -&gt; CommunicationPolicies.MaxSegments</v>
      </c>
      <c r="C264" s="2" t="s">
        <v>9696</v>
      </c>
      <c r="D264" s="2" t="s">
        <v>4004</v>
      </c>
      <c r="E264" s="2" t="b">
        <v>1</v>
      </c>
      <c r="F264" s="2" t="b">
        <v>0</v>
      </c>
      <c r="G264" s="2" t="s">
        <v>9937</v>
      </c>
      <c r="H264" s="3" t="str">
        <f>_xlfn.IFNA(INDEX(RulebookFields!C2:C999, MATCH(D264,RulebookFields!A2:A999, 0)), "")</f>
      </c>
      <c r="I264" s="3" t="str">
        <f>_xlfn.IFNA(INDEX(RulebookFields!D2:D999, MATCH(D264,RulebookFields!A2:A999, 0)), "")</f>
      </c>
      <c r="J264" s="3" t="str">
        <f>_xlfn.IFNA(INDEX(RulebookFields!I2:I999, MATCH(D264,RulebookFields!A2:A999, 0)), "")</f>
      </c>
      <c r="K264" s="3" t="b">
        <f>AND(F264, J264)</f>
        <v>0</v>
      </c>
      <c r="L264" s="3" t="b">
        <f>AND(G264 &lt;&gt; "plain", G264 &lt;&gt; "")</f>
        <v>0</v>
      </c>
      <c r="M264" s="3" t="str">
        <f>IF(E264, C264 &amp; "|" &amp; H264, "")</f>
        <v>principal-communications-manager|</v>
      </c>
      <c r="N264" s="2" t="s">
        <v>9938</v>
      </c>
    </row>
    <row r="265">
      <c r="A265" s="2" t="s">
        <v>10201</v>
      </c>
      <c r="B265" s="3" t="str">
        <f>C265 &amp; " -&gt; " &amp; D265</f>
        <v>principal-communications-manager -&gt; CommunicationPolicies.RetentionDays</v>
      </c>
      <c r="C265" s="2" t="s">
        <v>9696</v>
      </c>
      <c r="D265" s="2" t="s">
        <v>4005</v>
      </c>
      <c r="E265" s="2" t="b">
        <v>1</v>
      </c>
      <c r="F265" s="2" t="b">
        <v>0</v>
      </c>
      <c r="G265" s="2" t="s">
        <v>9937</v>
      </c>
      <c r="H265" s="3" t="str">
        <f>_xlfn.IFNA(INDEX(RulebookFields!C2:C999, MATCH(D265,RulebookFields!A2:A999, 0)), "")</f>
      </c>
      <c r="I265" s="3" t="str">
        <f>_xlfn.IFNA(INDEX(RulebookFields!D2:D999, MATCH(D265,RulebookFields!A2:A999, 0)), "")</f>
      </c>
      <c r="J265" s="3" t="str">
        <f>_xlfn.IFNA(INDEX(RulebookFields!I2:I999, MATCH(D265,RulebookFields!A2:A999, 0)), "")</f>
      </c>
      <c r="K265" s="3" t="b">
        <f>AND(F265, J265)</f>
        <v>0</v>
      </c>
      <c r="L265" s="3" t="b">
        <f>AND(G265 &lt;&gt; "plain", G265 &lt;&gt; "")</f>
        <v>0</v>
      </c>
      <c r="M265" s="3" t="str">
        <f>IF(E265, C265 &amp; "|" &amp; H265, "")</f>
        <v>principal-communications-manager|</v>
      </c>
      <c r="N265" s="2" t="s">
        <v>9938</v>
      </c>
    </row>
    <row r="266">
      <c r="A266" s="2" t="s">
        <v>10202</v>
      </c>
      <c r="B266" s="3" t="str">
        <f>C266 &amp; " -&gt; " &amp; D266</f>
        <v>principal-communications-manager -&gt; CommunicationPolicies.ApprovalRole</v>
      </c>
      <c r="C266" s="2" t="s">
        <v>9696</v>
      </c>
      <c r="D266" s="2" t="s">
        <v>4006</v>
      </c>
      <c r="E266" s="2" t="b">
        <v>1</v>
      </c>
      <c r="F266" s="2" t="b">
        <v>0</v>
      </c>
      <c r="G266" s="2" t="s">
        <v>9937</v>
      </c>
      <c r="H266" s="3" t="str">
        <f>_xlfn.IFNA(INDEX(RulebookFields!C2:C999, MATCH(D266,RulebookFields!A2:A999, 0)), "")</f>
      </c>
      <c r="I266" s="3" t="str">
        <f>_xlfn.IFNA(INDEX(RulebookFields!D2:D999, MATCH(D266,RulebookFields!A2:A999, 0)), "")</f>
      </c>
      <c r="J266" s="3" t="str">
        <f>_xlfn.IFNA(INDEX(RulebookFields!I2:I999, MATCH(D266,RulebookFields!A2:A999, 0)), "")</f>
      </c>
      <c r="K266" s="3" t="b">
        <f>AND(F266, J266)</f>
        <v>0</v>
      </c>
      <c r="L266" s="3" t="b">
        <f>AND(G266 &lt;&gt; "plain", G266 &lt;&gt; "")</f>
        <v>0</v>
      </c>
      <c r="M266" s="3" t="str">
        <f>IF(E266, C266 &amp; "|" &amp; H266, "")</f>
        <v>principal-communications-manager|</v>
      </c>
      <c r="N266" s="2" t="s">
        <v>9938</v>
      </c>
    </row>
    <row r="267">
      <c r="A267" s="2" t="s">
        <v>10203</v>
      </c>
      <c r="B267" s="3" t="str">
        <f>C267 &amp; " -&gt; " &amp; D267</f>
        <v>principal-communications-manager -&gt; CommunicationPolicies.RequiredContent</v>
      </c>
      <c r="C267" s="2" t="s">
        <v>9696</v>
      </c>
      <c r="D267" s="2" t="s">
        <v>4007</v>
      </c>
      <c r="E267" s="2" t="b">
        <v>1</v>
      </c>
      <c r="F267" s="2" t="b">
        <v>0</v>
      </c>
      <c r="G267" s="2" t="s">
        <v>9937</v>
      </c>
      <c r="H267" s="3" t="str">
        <f>_xlfn.IFNA(INDEX(RulebookFields!C2:C999, MATCH(D267,RulebookFields!A2:A999, 0)), "")</f>
      </c>
      <c r="I267" s="3" t="str">
        <f>_xlfn.IFNA(INDEX(RulebookFields!D2:D999, MATCH(D267,RulebookFields!A2:A999, 0)), "")</f>
      </c>
      <c r="J267" s="3" t="str">
        <f>_xlfn.IFNA(INDEX(RulebookFields!I2:I999, MATCH(D267,RulebookFields!A2:A999, 0)), "")</f>
      </c>
      <c r="K267" s="3" t="b">
        <f>AND(F267, J267)</f>
        <v>0</v>
      </c>
      <c r="L267" s="3" t="b">
        <f>AND(G267 &lt;&gt; "plain", G267 &lt;&gt; "")</f>
        <v>0</v>
      </c>
      <c r="M267" s="3" t="str">
        <f>IF(E267, C267 &amp; "|" &amp; H267, "")</f>
        <v>principal-communications-manager|</v>
      </c>
      <c r="N267" s="2" t="s">
        <v>9938</v>
      </c>
    </row>
    <row r="268">
      <c r="A268" s="2" t="s">
        <v>10204</v>
      </c>
      <c r="B268" s="3" t="str">
        <f>C268 &amp; " -&gt; " &amp; D268</f>
        <v>principal-communications-manager -&gt; CommunicationPolicies.AuthorityStatement</v>
      </c>
      <c r="C268" s="2" t="s">
        <v>9696</v>
      </c>
      <c r="D268" s="2" t="s">
        <v>4008</v>
      </c>
      <c r="E268" s="2" t="b">
        <v>1</v>
      </c>
      <c r="F268" s="2" t="b">
        <v>0</v>
      </c>
      <c r="G268" s="2" t="s">
        <v>9937</v>
      </c>
      <c r="H268" s="3" t="str">
        <f>_xlfn.IFNA(INDEX(RulebookFields!C2:C999, MATCH(D268,RulebookFields!A2:A999, 0)), "")</f>
      </c>
      <c r="I268" s="3" t="str">
        <f>_xlfn.IFNA(INDEX(RulebookFields!D2:D999, MATCH(D268,RulebookFields!A2:A999, 0)), "")</f>
      </c>
      <c r="J268" s="3" t="str">
        <f>_xlfn.IFNA(INDEX(RulebookFields!I2:I999, MATCH(D268,RulebookFields!A2:A999, 0)), "")</f>
      </c>
      <c r="K268" s="3" t="b">
        <f>AND(F268, J268)</f>
        <v>0</v>
      </c>
      <c r="L268" s="3" t="b">
        <f>AND(G268 &lt;&gt; "plain", G268 &lt;&gt; "")</f>
        <v>0</v>
      </c>
      <c r="M268" s="3" t="str">
        <f>IF(E268, C268 &amp; "|" &amp; H268, "")</f>
        <v>principal-communications-manager|</v>
      </c>
      <c r="N268" s="2" t="s">
        <v>9938</v>
      </c>
    </row>
    <row r="269">
      <c r="A269" s="2" t="s">
        <v>10205</v>
      </c>
      <c r="B269" s="3" t="str">
        <f>C269 &amp; " -&gt; " &amp; D269</f>
        <v>principal-communications-manager -&gt; CommunicationPolicies.Status</v>
      </c>
      <c r="C269" s="2" t="s">
        <v>9696</v>
      </c>
      <c r="D269" s="2" t="s">
        <v>4009</v>
      </c>
      <c r="E269" s="2" t="b">
        <v>1</v>
      </c>
      <c r="F269" s="2" t="b">
        <v>0</v>
      </c>
      <c r="G269" s="2" t="s">
        <v>9937</v>
      </c>
      <c r="H269" s="3" t="str">
        <f>_xlfn.IFNA(INDEX(RulebookFields!C2:C999, MATCH(D269,RulebookFields!A2:A999, 0)), "")</f>
      </c>
      <c r="I269" s="3" t="str">
        <f>_xlfn.IFNA(INDEX(RulebookFields!D2:D999, MATCH(D269,RulebookFields!A2:A999, 0)), "")</f>
      </c>
      <c r="J269" s="3" t="str">
        <f>_xlfn.IFNA(INDEX(RulebookFields!I2:I999, MATCH(D269,RulebookFields!A2:A999, 0)), "")</f>
      </c>
      <c r="K269" s="3" t="b">
        <f>AND(F269, J269)</f>
        <v>0</v>
      </c>
      <c r="L269" s="3" t="b">
        <f>AND(G269 &lt;&gt; "plain", G269 &lt;&gt; "")</f>
        <v>0</v>
      </c>
      <c r="M269" s="3" t="str">
        <f>IF(E269, C269 &amp; "|" &amp; H269, "")</f>
        <v>principal-communications-manager|</v>
      </c>
      <c r="N269" s="2" t="s">
        <v>9938</v>
      </c>
    </row>
    <row r="270">
      <c r="A270" s="2" t="s">
        <v>10206</v>
      </c>
      <c r="B270" s="3" t="str">
        <f>C270 &amp; " -&gt; " &amp; D270</f>
        <v>principal-communications-manager -&gt; CommunicationPolicies.ConsentViolationCount</v>
      </c>
      <c r="C270" s="2" t="s">
        <v>9696</v>
      </c>
      <c r="D270" s="2" t="s">
        <v>4010</v>
      </c>
      <c r="E270" s="2" t="b">
        <v>1</v>
      </c>
      <c r="F270" s="2" t="b">
        <v>0</v>
      </c>
      <c r="G270" s="2" t="s">
        <v>9937</v>
      </c>
      <c r="H270" s="3" t="str">
        <f>_xlfn.IFNA(INDEX(RulebookFields!C2:C999, MATCH(D270,RulebookFields!A2:A999, 0)), "")</f>
      </c>
      <c r="I270" s="3" t="str">
        <f>_xlfn.IFNA(INDEX(RulebookFields!D2:D999, MATCH(D270,RulebookFields!A2:A999, 0)), "")</f>
      </c>
      <c r="J270" s="3" t="str">
        <f>_xlfn.IFNA(INDEX(RulebookFields!I2:I999, MATCH(D270,RulebookFields!A2:A999, 0)), "")</f>
      </c>
      <c r="K270" s="3" t="b">
        <f>AND(F270, J270)</f>
        <v>0</v>
      </c>
      <c r="L270" s="3" t="b">
        <f>AND(G270 &lt;&gt; "plain", G270 &lt;&gt; "")</f>
        <v>0</v>
      </c>
      <c r="M270" s="3" t="str">
        <f>IF(E270, C270 &amp; "|" &amp; H270, "")</f>
        <v>principal-communications-manager|</v>
      </c>
      <c r="N270" s="2" t="s">
        <v>9938</v>
      </c>
    </row>
    <row r="271">
      <c r="A271" s="2" t="s">
        <v>10207</v>
      </c>
      <c r="B271" s="3" t="str">
        <f>C271 &amp; " -&gt; " &amp; D271</f>
        <v>principal-communications-manager -&gt; CommunicationPolicies.QuietHoursStartHour</v>
      </c>
      <c r="C271" s="2" t="s">
        <v>9696</v>
      </c>
      <c r="D271" s="2" t="s">
        <v>4012</v>
      </c>
      <c r="E271" s="2" t="b">
        <v>1</v>
      </c>
      <c r="F271" s="2" t="b">
        <v>0</v>
      </c>
      <c r="G271" s="2" t="s">
        <v>9937</v>
      </c>
      <c r="H271" s="3" t="str">
        <f>_xlfn.IFNA(INDEX(RulebookFields!C2:C999, MATCH(D271,RulebookFields!A2:A999, 0)), "")</f>
      </c>
      <c r="I271" s="3" t="str">
        <f>_xlfn.IFNA(INDEX(RulebookFields!D2:D999, MATCH(D271,RulebookFields!A2:A999, 0)), "")</f>
      </c>
      <c r="J271" s="3" t="str">
        <f>_xlfn.IFNA(INDEX(RulebookFields!I2:I999, MATCH(D271,RulebookFields!A2:A999, 0)), "")</f>
      </c>
      <c r="K271" s="3" t="b">
        <f>AND(F271, J271)</f>
        <v>0</v>
      </c>
      <c r="L271" s="3" t="b">
        <f>AND(G271 &lt;&gt; "plain", G271 &lt;&gt; "")</f>
        <v>0</v>
      </c>
      <c r="M271" s="3" t="str">
        <f>IF(E271, C271 &amp; "|" &amp; H271, "")</f>
        <v>principal-communications-manager|</v>
      </c>
      <c r="N271" s="2" t="s">
        <v>9938</v>
      </c>
    </row>
    <row r="272">
      <c r="A272" s="2" t="s">
        <v>10208</v>
      </c>
      <c r="B272" s="3" t="str">
        <f>C272 &amp; " -&gt; " &amp; D272</f>
        <v>principal-communications-manager -&gt; CommunicationPolicies.QuietHoursEndHour</v>
      </c>
      <c r="C272" s="2" t="s">
        <v>9696</v>
      </c>
      <c r="D272" s="2" t="s">
        <v>4013</v>
      </c>
      <c r="E272" s="2" t="b">
        <v>1</v>
      </c>
      <c r="F272" s="2" t="b">
        <v>0</v>
      </c>
      <c r="G272" s="2" t="s">
        <v>9937</v>
      </c>
      <c r="H272" s="3" t="str">
        <f>_xlfn.IFNA(INDEX(RulebookFields!C2:C999, MATCH(D272,RulebookFields!A2:A999, 0)), "")</f>
      </c>
      <c r="I272" s="3" t="str">
        <f>_xlfn.IFNA(INDEX(RulebookFields!D2:D999, MATCH(D272,RulebookFields!A2:A999, 0)), "")</f>
      </c>
      <c r="J272" s="3" t="str">
        <f>_xlfn.IFNA(INDEX(RulebookFields!I2:I999, MATCH(D272,RulebookFields!A2:A999, 0)), "")</f>
      </c>
      <c r="K272" s="3" t="b">
        <f>AND(F272, J272)</f>
        <v>0</v>
      </c>
      <c r="L272" s="3" t="b">
        <f>AND(G272 &lt;&gt; "plain", G272 &lt;&gt; "")</f>
        <v>0</v>
      </c>
      <c r="M272" s="3" t="str">
        <f>IF(E272, C272 &amp; "|" &amp; H272, "")</f>
        <v>principal-communications-manager|</v>
      </c>
      <c r="N272" s="2" t="s">
        <v>9938</v>
      </c>
    </row>
    <row r="273">
      <c r="A273" s="2" t="s">
        <v>10209</v>
      </c>
      <c r="B273" s="3" t="str">
        <f>C273 &amp; " -&gt; " &amp; D273</f>
        <v>principal-communications-manager -&gt; CommunicationPolicies.QuietHoursViolationCount</v>
      </c>
      <c r="C273" s="2" t="s">
        <v>9696</v>
      </c>
      <c r="D273" s="2" t="s">
        <v>4014</v>
      </c>
      <c r="E273" s="2" t="b">
        <v>1</v>
      </c>
      <c r="F273" s="2" t="b">
        <v>0</v>
      </c>
      <c r="G273" s="2" t="s">
        <v>9937</v>
      </c>
      <c r="H273" s="3" t="str">
        <f>_xlfn.IFNA(INDEX(RulebookFields!C2:C999, MATCH(D273,RulebookFields!A2:A999, 0)), "")</f>
      </c>
      <c r="I273" s="3" t="str">
        <f>_xlfn.IFNA(INDEX(RulebookFields!D2:D999, MATCH(D273,RulebookFields!A2:A999, 0)), "")</f>
      </c>
      <c r="J273" s="3" t="str">
        <f>_xlfn.IFNA(INDEX(RulebookFields!I2:I999, MATCH(D273,RulebookFields!A2:A999, 0)), "")</f>
      </c>
      <c r="K273" s="3" t="b">
        <f>AND(F273, J273)</f>
        <v>0</v>
      </c>
      <c r="L273" s="3" t="b">
        <f>AND(G273 &lt;&gt; "plain", G273 &lt;&gt; "")</f>
        <v>0</v>
      </c>
      <c r="M273" s="3" t="str">
        <f>IF(E273, C273 &amp; "|" &amp; H273, "")</f>
        <v>principal-communications-manager|</v>
      </c>
      <c r="N273" s="2" t="s">
        <v>9938</v>
      </c>
    </row>
    <row r="274">
      <c r="A274" s="2" t="s">
        <v>10210</v>
      </c>
      <c r="B274" s="3" t="str">
        <f>C274 &amp; " -&gt; " &amp; D274</f>
        <v>principal-communications-manager -&gt; CommunicationPolicies.RequiredOptOutPhrase</v>
      </c>
      <c r="C274" s="2" t="s">
        <v>9696</v>
      </c>
      <c r="D274" s="2" t="s">
        <v>4016</v>
      </c>
      <c r="E274" s="2" t="b">
        <v>1</v>
      </c>
      <c r="F274" s="2" t="b">
        <v>0</v>
      </c>
      <c r="G274" s="2" t="s">
        <v>9937</v>
      </c>
      <c r="H274" s="3" t="str">
        <f>_xlfn.IFNA(INDEX(RulebookFields!C2:C999, MATCH(D274,RulebookFields!A2:A999, 0)), "")</f>
      </c>
      <c r="I274" s="3" t="str">
        <f>_xlfn.IFNA(INDEX(RulebookFields!D2:D999, MATCH(D274,RulebookFields!A2:A999, 0)), "")</f>
      </c>
      <c r="J274" s="3" t="str">
        <f>_xlfn.IFNA(INDEX(RulebookFields!I2:I999, MATCH(D274,RulebookFields!A2:A999, 0)), "")</f>
      </c>
      <c r="K274" s="3" t="b">
        <f>AND(F274, J274)</f>
        <v>0</v>
      </c>
      <c r="L274" s="3" t="b">
        <f>AND(G274 &lt;&gt; "plain", G274 &lt;&gt; "")</f>
        <v>0</v>
      </c>
      <c r="M274" s="3" t="str">
        <f>IF(E274, C274 &amp; "|" &amp; H274, "")</f>
        <v>principal-communications-manager|</v>
      </c>
      <c r="N274" s="2" t="s">
        <v>9938</v>
      </c>
    </row>
    <row r="275">
      <c r="A275" s="2" t="s">
        <v>10211</v>
      </c>
      <c r="B275" s="3" t="str">
        <f>C275 &amp; " -&gt; " &amp; D275</f>
        <v>principal-communications-manager -&gt; CommunicationPolicies.IsActivePolicy</v>
      </c>
      <c r="C275" s="2" t="s">
        <v>9696</v>
      </c>
      <c r="D275" s="2" t="s">
        <v>4017</v>
      </c>
      <c r="E275" s="2" t="b">
        <v>1</v>
      </c>
      <c r="F275" s="2" t="b">
        <v>0</v>
      </c>
      <c r="G275" s="2" t="s">
        <v>9937</v>
      </c>
      <c r="H275" s="3" t="str">
        <f>_xlfn.IFNA(INDEX(RulebookFields!C2:C999, MATCH(D275,RulebookFields!A2:A999, 0)), "")</f>
      </c>
      <c r="I275" s="3" t="str">
        <f>_xlfn.IFNA(INDEX(RulebookFields!D2:D999, MATCH(D275,RulebookFields!A2:A999, 0)), "")</f>
      </c>
      <c r="J275" s="3" t="str">
        <f>_xlfn.IFNA(INDEX(RulebookFields!I2:I999, MATCH(D275,RulebookFields!A2:A999, 0)), "")</f>
      </c>
      <c r="K275" s="3" t="b">
        <f>AND(F275, J275)</f>
        <v>0</v>
      </c>
      <c r="L275" s="3" t="b">
        <f>AND(G275 &lt;&gt; "plain", G275 &lt;&gt; "")</f>
        <v>0</v>
      </c>
      <c r="M275" s="3" t="str">
        <f>IF(E275, C275 &amp; "|" &amp; H275, "")</f>
        <v>principal-communications-manager|</v>
      </c>
      <c r="N275" s="2" t="s">
        <v>9938</v>
      </c>
    </row>
    <row r="276">
      <c r="A276" s="2" t="s">
        <v>10212</v>
      </c>
      <c r="B276" s="3" t="str">
        <f>C276 &amp; " -&gt; " &amp; D276</f>
        <v>principal-communications-manager -&gt; CommunicationPolicies.SemanticTypeIri</v>
      </c>
      <c r="C276" s="2" t="s">
        <v>9696</v>
      </c>
      <c r="D276" s="2" t="s">
        <v>4019</v>
      </c>
      <c r="E276" s="2" t="b">
        <v>1</v>
      </c>
      <c r="F276" s="2" t="b">
        <v>0</v>
      </c>
      <c r="G276" s="2" t="s">
        <v>9937</v>
      </c>
      <c r="H276" s="3" t="str">
        <f>_xlfn.IFNA(INDEX(RulebookFields!C2:C999, MATCH(D276,RulebookFields!A2:A999, 0)), "")</f>
      </c>
      <c r="I276" s="3" t="str">
        <f>_xlfn.IFNA(INDEX(RulebookFields!D2:D999, MATCH(D276,RulebookFields!A2:A999, 0)), "")</f>
      </c>
      <c r="J276" s="3" t="str">
        <f>_xlfn.IFNA(INDEX(RulebookFields!I2:I999, MATCH(D276,RulebookFields!A2:A999, 0)), "")</f>
      </c>
      <c r="K276" s="3" t="b">
        <f>AND(F276, J276)</f>
        <v>0</v>
      </c>
      <c r="L276" s="3" t="b">
        <f>AND(G276 &lt;&gt; "plain", G276 &lt;&gt; "")</f>
        <v>0</v>
      </c>
      <c r="M276" s="3" t="str">
        <f>IF(E276, C276 &amp; "|" &amp; H276, "")</f>
        <v>principal-communications-manager|</v>
      </c>
      <c r="N276" s="2" t="s">
        <v>9938</v>
      </c>
    </row>
    <row r="277">
      <c r="A277" s="2" t="s">
        <v>10213</v>
      </c>
      <c r="B277" s="3" t="str">
        <f>C277 &amp; " -&gt; " &amp; D277</f>
        <v>principal-communications-manager -&gt; MessageTemplates.MessageTemplateId</v>
      </c>
      <c r="C277" s="2" t="s">
        <v>9696</v>
      </c>
      <c r="D277" s="2" t="s">
        <v>4020</v>
      </c>
      <c r="E277" s="2" t="b">
        <v>1</v>
      </c>
      <c r="F277" s="2" t="b">
        <v>0</v>
      </c>
      <c r="G277" s="2" t="s">
        <v>9937</v>
      </c>
      <c r="H277" s="3" t="str">
        <f>_xlfn.IFNA(INDEX(RulebookFields!C2:C999, MATCH(D277,RulebookFields!A2:A999, 0)), "")</f>
      </c>
      <c r="I277" s="3" t="str">
        <f>_xlfn.IFNA(INDEX(RulebookFields!D2:D999, MATCH(D277,RulebookFields!A2:A999, 0)), "")</f>
      </c>
      <c r="J277" s="3" t="str">
        <f>_xlfn.IFNA(INDEX(RulebookFields!I2:I999, MATCH(D277,RulebookFields!A2:A999, 0)), "")</f>
      </c>
      <c r="K277" s="3" t="b">
        <f>AND(F277, J277)</f>
        <v>0</v>
      </c>
      <c r="L277" s="3" t="b">
        <f>AND(G277 &lt;&gt; "plain", G277 &lt;&gt; "")</f>
        <v>0</v>
      </c>
      <c r="M277" s="3" t="str">
        <f>IF(E277, C277 &amp; "|" &amp; H277, "")</f>
        <v>principal-communications-manager|</v>
      </c>
      <c r="N277" s="2" t="s">
        <v>9938</v>
      </c>
    </row>
    <row r="278">
      <c r="A278" s="2" t="s">
        <v>10214</v>
      </c>
      <c r="B278" s="3" t="str">
        <f>C278 &amp; " -&gt; " &amp; D278</f>
        <v>principal-communications-manager -&gt; MessageTemplates.SubjectTemplate</v>
      </c>
      <c r="C278" s="2" t="s">
        <v>9696</v>
      </c>
      <c r="D278" s="2" t="s">
        <v>4026</v>
      </c>
      <c r="E278" s="2" t="b">
        <v>1</v>
      </c>
      <c r="F278" s="2" t="b">
        <v>0</v>
      </c>
      <c r="G278" s="2" t="s">
        <v>9937</v>
      </c>
      <c r="H278" s="3" t="str">
        <f>_xlfn.IFNA(INDEX(RulebookFields!C2:C999, MATCH(D278,RulebookFields!A2:A999, 0)), "")</f>
      </c>
      <c r="I278" s="3" t="str">
        <f>_xlfn.IFNA(INDEX(RulebookFields!D2:D999, MATCH(D278,RulebookFields!A2:A999, 0)), "")</f>
      </c>
      <c r="J278" s="3" t="str">
        <f>_xlfn.IFNA(INDEX(RulebookFields!I2:I999, MATCH(D278,RulebookFields!A2:A999, 0)), "")</f>
      </c>
      <c r="K278" s="3" t="b">
        <f>AND(F278, J278)</f>
        <v>0</v>
      </c>
      <c r="L278" s="3" t="b">
        <f>AND(G278 &lt;&gt; "plain", G278 &lt;&gt; "")</f>
        <v>0</v>
      </c>
      <c r="M278" s="3" t="str">
        <f>IF(E278, C278 &amp; "|" &amp; H278, "")</f>
        <v>principal-communications-manager|</v>
      </c>
      <c r="N278" s="2" t="s">
        <v>9938</v>
      </c>
    </row>
    <row r="279">
      <c r="A279" s="2" t="s">
        <v>10215</v>
      </c>
      <c r="B279" s="3" t="str">
        <f>C279 &amp; " -&gt; " &amp; D279</f>
        <v>principal-communications-manager -&gt; MessageTemplates.BodyTemplate</v>
      </c>
      <c r="C279" s="2" t="s">
        <v>9696</v>
      </c>
      <c r="D279" s="2" t="s">
        <v>4027</v>
      </c>
      <c r="E279" s="2" t="b">
        <v>1</v>
      </c>
      <c r="F279" s="2" t="b">
        <v>0</v>
      </c>
      <c r="G279" s="2" t="s">
        <v>9937</v>
      </c>
      <c r="H279" s="3" t="str">
        <f>_xlfn.IFNA(INDEX(RulebookFields!C2:C999, MATCH(D279,RulebookFields!A2:A999, 0)), "")</f>
      </c>
      <c r="I279" s="3" t="str">
        <f>_xlfn.IFNA(INDEX(RulebookFields!D2:D999, MATCH(D279,RulebookFields!A2:A999, 0)), "")</f>
      </c>
      <c r="J279" s="3" t="str">
        <f>_xlfn.IFNA(INDEX(RulebookFields!I2:I999, MATCH(D279,RulebookFields!A2:A999, 0)), "")</f>
      </c>
      <c r="K279" s="3" t="b">
        <f>AND(F279, J279)</f>
        <v>0</v>
      </c>
      <c r="L279" s="3" t="b">
        <f>AND(G279 &lt;&gt; "plain", G279 &lt;&gt; "")</f>
        <v>0</v>
      </c>
      <c r="M279" s="3" t="str">
        <f>IF(E279, C279 &amp; "|" &amp; H279, "")</f>
        <v>principal-communications-manager|</v>
      </c>
      <c r="N279" s="2" t="s">
        <v>9938</v>
      </c>
    </row>
    <row r="280">
      <c r="A280" s="2" t="s">
        <v>10216</v>
      </c>
      <c r="B280" s="3" t="str">
        <f>C280 &amp; " -&gt; " &amp; D280</f>
        <v>principal-communications-manager -&gt; MessageTemplates.Locale</v>
      </c>
      <c r="C280" s="2" t="s">
        <v>9696</v>
      </c>
      <c r="D280" s="2" t="s">
        <v>4028</v>
      </c>
      <c r="E280" s="2" t="b">
        <v>1</v>
      </c>
      <c r="F280" s="2" t="b">
        <v>0</v>
      </c>
      <c r="G280" s="2" t="s">
        <v>9937</v>
      </c>
      <c r="H280" s="3" t="str">
        <f>_xlfn.IFNA(INDEX(RulebookFields!C2:C999, MATCH(D280,RulebookFields!A2:A999, 0)), "")</f>
      </c>
      <c r="I280" s="3" t="str">
        <f>_xlfn.IFNA(INDEX(RulebookFields!D2:D999, MATCH(D280,RulebookFields!A2:A999, 0)), "")</f>
      </c>
      <c r="J280" s="3" t="str">
        <f>_xlfn.IFNA(INDEX(RulebookFields!I2:I999, MATCH(D280,RulebookFields!A2:A999, 0)), "")</f>
      </c>
      <c r="K280" s="3" t="b">
        <f>AND(F280, J280)</f>
        <v>0</v>
      </c>
      <c r="L280" s="3" t="b">
        <f>AND(G280 &lt;&gt; "plain", G280 &lt;&gt; "")</f>
        <v>0</v>
      </c>
      <c r="M280" s="3" t="str">
        <f>IF(E280, C280 &amp; "|" &amp; H280, "")</f>
        <v>principal-communications-manager|</v>
      </c>
      <c r="N280" s="2" t="s">
        <v>9938</v>
      </c>
    </row>
    <row r="281">
      <c r="A281" s="2" t="s">
        <v>10217</v>
      </c>
      <c r="B281" s="3" t="str">
        <f>C281 &amp; " -&gt; " &amp; D281</f>
        <v>principal-communications-manager -&gt; MessageTemplates.Status</v>
      </c>
      <c r="C281" s="2" t="s">
        <v>9696</v>
      </c>
      <c r="D281" s="2" t="s">
        <v>4029</v>
      </c>
      <c r="E281" s="2" t="b">
        <v>1</v>
      </c>
      <c r="F281" s="2" t="b">
        <v>0</v>
      </c>
      <c r="G281" s="2" t="s">
        <v>9937</v>
      </c>
      <c r="H281" s="3" t="str">
        <f>_xlfn.IFNA(INDEX(RulebookFields!C2:C999, MATCH(D281,RulebookFields!A2:A999, 0)), "")</f>
      </c>
      <c r="I281" s="3" t="str">
        <f>_xlfn.IFNA(INDEX(RulebookFields!D2:D999, MATCH(D281,RulebookFields!A2:A999, 0)), "")</f>
      </c>
      <c r="J281" s="3" t="str">
        <f>_xlfn.IFNA(INDEX(RulebookFields!I2:I999, MATCH(D281,RulebookFields!A2:A999, 0)), "")</f>
      </c>
      <c r="K281" s="3" t="b">
        <f>AND(F281, J281)</f>
        <v>0</v>
      </c>
      <c r="L281" s="3" t="b">
        <f>AND(G281 &lt;&gt; "plain", G281 &lt;&gt; "")</f>
        <v>0</v>
      </c>
      <c r="M281" s="3" t="str">
        <f>IF(E281, C281 &amp; "|" &amp; H281, "")</f>
        <v>principal-communications-manager|</v>
      </c>
      <c r="N281" s="2" t="s">
        <v>9938</v>
      </c>
    </row>
    <row r="282">
      <c r="A282" s="2" t="s">
        <v>10218</v>
      </c>
      <c r="B282" s="3" t="str">
        <f>C282 &amp; " -&gt; " &amp; D282</f>
        <v>principal-communications-manager -&gt; MessageTemplates.LastValidApproval</v>
      </c>
      <c r="C282" s="2" t="s">
        <v>9696</v>
      </c>
      <c r="D282" s="2" t="s">
        <v>4047</v>
      </c>
      <c r="E282" s="2" t="b">
        <v>1</v>
      </c>
      <c r="F282" s="2" t="b">
        <v>0</v>
      </c>
      <c r="G282" s="2" t="s">
        <v>9937</v>
      </c>
      <c r="H282" s="3" t="str">
        <f>_xlfn.IFNA(INDEX(RulebookFields!C2:C999, MATCH(D282,RulebookFields!A2:A999, 0)), "")</f>
      </c>
      <c r="I282" s="3" t="str">
        <f>_xlfn.IFNA(INDEX(RulebookFields!D2:D999, MATCH(D282,RulebookFields!A2:A999, 0)), "")</f>
      </c>
      <c r="J282" s="3" t="str">
        <f>_xlfn.IFNA(INDEX(RulebookFields!I2:I999, MATCH(D282,RulebookFields!A2:A999, 0)), "")</f>
      </c>
      <c r="K282" s="3" t="b">
        <f>AND(F282, J282)</f>
        <v>0</v>
      </c>
      <c r="L282" s="3" t="b">
        <f>AND(G282 &lt;&gt; "plain", G282 &lt;&gt; "")</f>
        <v>0</v>
      </c>
      <c r="M282" s="3" t="str">
        <f>IF(E282, C282 &amp; "|" &amp; H282, "")</f>
        <v>principal-communications-manager|</v>
      </c>
      <c r="N282" s="2" t="s">
        <v>9938</v>
      </c>
    </row>
    <row r="283">
      <c r="A283" s="2" t="s">
        <v>10219</v>
      </c>
      <c r="B283" s="3" t="str">
        <f>C283 &amp; " -&gt; " &amp; D283</f>
        <v>principal-communications-manager -&gt; MessageTemplates.Name</v>
      </c>
      <c r="C283" s="2" t="s">
        <v>9696</v>
      </c>
      <c r="D283" s="2" t="s">
        <v>4022</v>
      </c>
      <c r="E283" s="2" t="b">
        <v>1</v>
      </c>
      <c r="F283" s="2" t="b">
        <v>0</v>
      </c>
      <c r="G283" s="2" t="s">
        <v>9937</v>
      </c>
      <c r="H283" s="3" t="str">
        <f>_xlfn.IFNA(INDEX(RulebookFields!C2:C999, MATCH(D283,RulebookFields!A2:A999, 0)), "")</f>
      </c>
      <c r="I283" s="3" t="str">
        <f>_xlfn.IFNA(INDEX(RulebookFields!D2:D999, MATCH(D283,RulebookFields!A2:A999, 0)), "")</f>
      </c>
      <c r="J283" s="3" t="str">
        <f>_xlfn.IFNA(INDEX(RulebookFields!I2:I999, MATCH(D283,RulebookFields!A2:A999, 0)), "")</f>
      </c>
      <c r="K283" s="3" t="b">
        <f>AND(F283, J283)</f>
        <v>0</v>
      </c>
      <c r="L283" s="3" t="b">
        <f>AND(G283 &lt;&gt; "plain", G283 &lt;&gt; "")</f>
        <v>0</v>
      </c>
      <c r="M283" s="3" t="str">
        <f>IF(E283, C283 &amp; "|" &amp; H283, "")</f>
        <v>principal-communications-manager|</v>
      </c>
      <c r="N283" s="2" t="s">
        <v>9938</v>
      </c>
    </row>
    <row r="284">
      <c r="A284" s="2" t="s">
        <v>10220</v>
      </c>
      <c r="B284" s="3" t="str">
        <f>C284 &amp; " -&gt; " &amp; D284</f>
        <v>principal-communications-manager -&gt; SendIntents.SendIntentId</v>
      </c>
      <c r="C284" s="2" t="s">
        <v>9696</v>
      </c>
      <c r="D284" s="2" t="s">
        <v>4661</v>
      </c>
      <c r="E284" s="2" t="b">
        <v>1</v>
      </c>
      <c r="F284" s="2" t="b">
        <v>0</v>
      </c>
      <c r="G284" s="2" t="s">
        <v>9937</v>
      </c>
      <c r="H284" s="3" t="str">
        <f>_xlfn.IFNA(INDEX(RulebookFields!C2:C999, MATCH(D284,RulebookFields!A2:A999, 0)), "")</f>
      </c>
      <c r="I284" s="3" t="str">
        <f>_xlfn.IFNA(INDEX(RulebookFields!D2:D999, MATCH(D284,RulebookFields!A2:A999, 0)), "")</f>
      </c>
      <c r="J284" s="3" t="str">
        <f>_xlfn.IFNA(INDEX(RulebookFields!I2:I999, MATCH(D284,RulebookFields!A2:A999, 0)), "")</f>
      </c>
      <c r="K284" s="3" t="b">
        <f>AND(F284, J284)</f>
        <v>0</v>
      </c>
      <c r="L284" s="3" t="b">
        <f>AND(G284 &lt;&gt; "plain", G284 &lt;&gt; "")</f>
        <v>0</v>
      </c>
      <c r="M284" s="3" t="str">
        <f>IF(E284, C284 &amp; "|" &amp; H284, "")</f>
        <v>principal-communications-manager|</v>
      </c>
      <c r="N284" s="2" t="s">
        <v>9938</v>
      </c>
    </row>
    <row r="285">
      <c r="A285" s="2" t="s">
        <v>10221</v>
      </c>
      <c r="B285" s="3" t="str">
        <f>C285 &amp; " -&gt; " &amp; D285</f>
        <v>principal-communications-manager -&gt; SendIntents.ProposedBody</v>
      </c>
      <c r="C285" s="2" t="s">
        <v>9696</v>
      </c>
      <c r="D285" s="2" t="s">
        <v>4670</v>
      </c>
      <c r="E285" s="2" t="b">
        <v>1</v>
      </c>
      <c r="F285" s="2" t="b">
        <v>0</v>
      </c>
      <c r="G285" s="2" t="s">
        <v>9937</v>
      </c>
      <c r="H285" s="3" t="str">
        <f>_xlfn.IFNA(INDEX(RulebookFields!C2:C999, MATCH(D285,RulebookFields!A2:A999, 0)), "")</f>
      </c>
      <c r="I285" s="3" t="str">
        <f>_xlfn.IFNA(INDEX(RulebookFields!D2:D999, MATCH(D285,RulebookFields!A2:A999, 0)), "")</f>
      </c>
      <c r="J285" s="3" t="str">
        <f>_xlfn.IFNA(INDEX(RulebookFields!I2:I999, MATCH(D285,RulebookFields!A2:A999, 0)), "")</f>
      </c>
      <c r="K285" s="3" t="b">
        <f>AND(F285, J285)</f>
        <v>0</v>
      </c>
      <c r="L285" s="3" t="b">
        <f>AND(G285 &lt;&gt; "plain", G285 &lt;&gt; "")</f>
        <v>0</v>
      </c>
      <c r="M285" s="3" t="str">
        <f>IF(E285, C285 &amp; "|" &amp; H285, "")</f>
        <v>principal-communications-manager|</v>
      </c>
      <c r="N285" s="2" t="s">
        <v>9938</v>
      </c>
    </row>
    <row r="286">
      <c r="A286" s="2" t="s">
        <v>10222</v>
      </c>
      <c r="B286" s="3" t="str">
        <f>C286 &amp; " -&gt; " &amp; D286</f>
        <v>principal-communications-manager -&gt; SendIntents.ProposedSendAtLocalHour</v>
      </c>
      <c r="C286" s="2" t="s">
        <v>9696</v>
      </c>
      <c r="D286" s="2" t="s">
        <v>4672</v>
      </c>
      <c r="E286" s="2" t="b">
        <v>1</v>
      </c>
      <c r="F286" s="2" t="b">
        <v>0</v>
      </c>
      <c r="G286" s="2" t="s">
        <v>9937</v>
      </c>
      <c r="H286" s="3" t="str">
        <f>_xlfn.IFNA(INDEX(RulebookFields!C2:C999, MATCH(D286,RulebookFields!A2:A999, 0)), "")</f>
      </c>
      <c r="I286" s="3" t="str">
        <f>_xlfn.IFNA(INDEX(RulebookFields!D2:D999, MATCH(D286,RulebookFields!A2:A999, 0)), "")</f>
      </c>
      <c r="J286" s="3" t="str">
        <f>_xlfn.IFNA(INDEX(RulebookFields!I2:I999, MATCH(D286,RulebookFields!A2:A999, 0)), "")</f>
      </c>
      <c r="K286" s="3" t="b">
        <f>AND(F286, J286)</f>
        <v>0</v>
      </c>
      <c r="L286" s="3" t="b">
        <f>AND(G286 &lt;&gt; "plain", G286 &lt;&gt; "")</f>
        <v>0</v>
      </c>
      <c r="M286" s="3" t="str">
        <f>IF(E286, C286 &amp; "|" &amp; H286, "")</f>
        <v>principal-communications-manager|</v>
      </c>
      <c r="N286" s="2" t="s">
        <v>9938</v>
      </c>
    </row>
    <row r="287">
      <c r="A287" s="2" t="s">
        <v>10223</v>
      </c>
      <c r="B287" s="3" t="str">
        <f>C287 &amp; " -&gt; " &amp; D287</f>
        <v>principal-communications-manager -&gt; SendIntents.EvaluatedAt</v>
      </c>
      <c r="C287" s="2" t="s">
        <v>9696</v>
      </c>
      <c r="D287" s="2" t="s">
        <v>4674</v>
      </c>
      <c r="E287" s="2" t="b">
        <v>1</v>
      </c>
      <c r="F287" s="2" t="b">
        <v>0</v>
      </c>
      <c r="G287" s="2" t="s">
        <v>9937</v>
      </c>
      <c r="H287" s="3" t="str">
        <f>_xlfn.IFNA(INDEX(RulebookFields!C2:C999, MATCH(D287,RulebookFields!A2:A999, 0)), "")</f>
      </c>
      <c r="I287" s="3" t="str">
        <f>_xlfn.IFNA(INDEX(RulebookFields!D2:D999, MATCH(D287,RulebookFields!A2:A999, 0)), "")</f>
      </c>
      <c r="J287" s="3" t="str">
        <f>_xlfn.IFNA(INDEX(RulebookFields!I2:I999, MATCH(D287,RulebookFields!A2:A999, 0)), "")</f>
      </c>
      <c r="K287" s="3" t="b">
        <f>AND(F287, J287)</f>
        <v>0</v>
      </c>
      <c r="L287" s="3" t="b">
        <f>AND(G287 &lt;&gt; "plain", G287 &lt;&gt; "")</f>
        <v>0</v>
      </c>
      <c r="M287" s="3" t="str">
        <f>IF(E287, C287 &amp; "|" &amp; H287, "")</f>
        <v>principal-communications-manager|</v>
      </c>
      <c r="N287" s="2" t="s">
        <v>9938</v>
      </c>
    </row>
    <row r="288">
      <c r="A288" s="2" t="s">
        <v>10224</v>
      </c>
      <c r="B288" s="3" t="str">
        <f>C288 &amp; " -&gt; " &amp; D288</f>
        <v>principal-communications-manager -&gt; SendIntents.MessageTemplate</v>
      </c>
      <c r="C288" s="2" t="s">
        <v>9696</v>
      </c>
      <c r="D288" s="2" t="s">
        <v>4669</v>
      </c>
      <c r="E288" s="2" t="b">
        <v>1</v>
      </c>
      <c r="F288" s="2" t="b">
        <v>0</v>
      </c>
      <c r="G288" s="2" t="s">
        <v>9937</v>
      </c>
      <c r="H288" s="3" t="str">
        <f>_xlfn.IFNA(INDEX(RulebookFields!C2:C999, MATCH(D288,RulebookFields!A2:A999, 0)), "")</f>
      </c>
      <c r="I288" s="3" t="str">
        <f>_xlfn.IFNA(INDEX(RulebookFields!D2:D999, MATCH(D288,RulebookFields!A2:A999, 0)), "")</f>
      </c>
      <c r="J288" s="3" t="str">
        <f>_xlfn.IFNA(INDEX(RulebookFields!I2:I999, MATCH(D288,RulebookFields!A2:A999, 0)), "")</f>
      </c>
      <c r="K288" s="3" t="b">
        <f>AND(F288, J288)</f>
        <v>0</v>
      </c>
      <c r="L288" s="3" t="b">
        <f>AND(G288 &lt;&gt; "plain", G288 &lt;&gt; "")</f>
        <v>0</v>
      </c>
      <c r="M288" s="3" t="str">
        <f>IF(E288, C288 &amp; "|" &amp; H288, "")</f>
        <v>principal-communications-manager|</v>
      </c>
      <c r="N288" s="2" t="s">
        <v>9938</v>
      </c>
    </row>
    <row r="289">
      <c r="A289" s="2" t="s">
        <v>10225</v>
      </c>
      <c r="B289" s="3" t="str">
        <f>C289 &amp; " -&gt; " &amp; D289</f>
        <v>principal-communications-manager -&gt; SendIntents.Recipient</v>
      </c>
      <c r="C289" s="2" t="s">
        <v>9696</v>
      </c>
      <c r="D289" s="2" t="s">
        <v>4668</v>
      </c>
      <c r="E289" s="2" t="b">
        <v>1</v>
      </c>
      <c r="F289" s="2" t="b">
        <v>0</v>
      </c>
      <c r="G289" s="2" t="s">
        <v>9937</v>
      </c>
      <c r="H289" s="3" t="str">
        <f>_xlfn.IFNA(INDEX(RulebookFields!C2:C999, MATCH(D289,RulebookFields!A2:A999, 0)), "")</f>
      </c>
      <c r="I289" s="3" t="str">
        <f>_xlfn.IFNA(INDEX(RulebookFields!D2:D999, MATCH(D289,RulebookFields!A2:A999, 0)), "")</f>
      </c>
      <c r="J289" s="3" t="str">
        <f>_xlfn.IFNA(INDEX(RulebookFields!I2:I999, MATCH(D289,RulebookFields!A2:A999, 0)), "")</f>
      </c>
      <c r="K289" s="3" t="b">
        <f>AND(F289, J289)</f>
        <v>0</v>
      </c>
      <c r="L289" s="3" t="b">
        <f>AND(G289 &lt;&gt; "plain", G289 &lt;&gt; "")</f>
        <v>0</v>
      </c>
      <c r="M289" s="3" t="str">
        <f>IF(E289, C289 &amp; "|" &amp; H289, "")</f>
        <v>principal-communications-manager|</v>
      </c>
      <c r="N289" s="2" t="s">
        <v>9938</v>
      </c>
    </row>
    <row r="290">
      <c r="A290" s="2" t="s">
        <v>10226</v>
      </c>
      <c r="B290" s="3" t="str">
        <f>C290 &amp; " -&gt; " &amp; D290</f>
        <v>principal-communications-manager -&gt; SendIntents.Name</v>
      </c>
      <c r="C290" s="2" t="s">
        <v>9696</v>
      </c>
      <c r="D290" s="2" t="s">
        <v>4664</v>
      </c>
      <c r="E290" s="2" t="b">
        <v>1</v>
      </c>
      <c r="F290" s="2" t="b">
        <v>0</v>
      </c>
      <c r="G290" s="2" t="s">
        <v>9937</v>
      </c>
      <c r="H290" s="3" t="str">
        <f>_xlfn.IFNA(INDEX(RulebookFields!C2:C999, MATCH(D290,RulebookFields!A2:A999, 0)), "")</f>
      </c>
      <c r="I290" s="3" t="str">
        <f>_xlfn.IFNA(INDEX(RulebookFields!D2:D999, MATCH(D290,RulebookFields!A2:A999, 0)), "")</f>
      </c>
      <c r="J290" s="3" t="str">
        <f>_xlfn.IFNA(INDEX(RulebookFields!I2:I999, MATCH(D290,RulebookFields!A2:A999, 0)), "")</f>
      </c>
      <c r="K290" s="3" t="b">
        <f>AND(F290, J290)</f>
        <v>0</v>
      </c>
      <c r="L290" s="3" t="b">
        <f>AND(G290 &lt;&gt; "plain", G290 &lt;&gt; "")</f>
        <v>0</v>
      </c>
      <c r="M290" s="3" t="str">
        <f>IF(E290, C290 &amp; "|" &amp; H290, "")</f>
        <v>principal-communications-manager|</v>
      </c>
      <c r="N290" s="2" t="s">
        <v>9938</v>
      </c>
    </row>
    <row r="291">
      <c r="A291" s="2" t="s">
        <v>10227</v>
      </c>
      <c r="B291" s="3" t="str">
        <f>C291 &amp; " -&gt; " &amp; D291</f>
        <v>principal-communications-manager -&gt; MessageDeliveries.MessageDeliveryId</v>
      </c>
      <c r="C291" s="2" t="s">
        <v>9696</v>
      </c>
      <c r="D291" s="2" t="s">
        <v>4377</v>
      </c>
      <c r="E291" s="2" t="b">
        <v>1</v>
      </c>
      <c r="F291" s="2" t="b">
        <v>0</v>
      </c>
      <c r="G291" s="2" t="s">
        <v>9937</v>
      </c>
      <c r="H291" s="3" t="str">
        <f>_xlfn.IFNA(INDEX(RulebookFields!C2:C999, MATCH(D291,RulebookFields!A2:A999, 0)), "")</f>
      </c>
      <c r="I291" s="3" t="str">
        <f>_xlfn.IFNA(INDEX(RulebookFields!D2:D999, MATCH(D291,RulebookFields!A2:A999, 0)), "")</f>
      </c>
      <c r="J291" s="3" t="str">
        <f>_xlfn.IFNA(INDEX(RulebookFields!I2:I999, MATCH(D291,RulebookFields!A2:A999, 0)), "")</f>
      </c>
      <c r="K291" s="3" t="b">
        <f>AND(F291, J291)</f>
        <v>0</v>
      </c>
      <c r="L291" s="3" t="b">
        <f>AND(G291 &lt;&gt; "plain", G291 &lt;&gt; "")</f>
        <v>0</v>
      </c>
      <c r="M291" s="3" t="str">
        <f>IF(E291, C291 &amp; "|" &amp; H291, "")</f>
        <v>principal-communications-manager|</v>
      </c>
      <c r="N291" s="2" t="s">
        <v>9938</v>
      </c>
    </row>
    <row r="292">
      <c r="A292" s="2" t="s">
        <v>10228</v>
      </c>
      <c r="B292" s="3" t="str">
        <f>C292 &amp; " -&gt; " &amp; D292</f>
        <v>principal-communications-manager -&gt; MessageDeliveries.RenderedBody</v>
      </c>
      <c r="C292" s="2" t="s">
        <v>9696</v>
      </c>
      <c r="D292" s="2" t="s">
        <v>4390</v>
      </c>
      <c r="E292" s="2" t="b">
        <v>1</v>
      </c>
      <c r="F292" s="2" t="b">
        <v>0</v>
      </c>
      <c r="G292" s="2" t="s">
        <v>9937</v>
      </c>
      <c r="H292" s="3" t="str">
        <f>_xlfn.IFNA(INDEX(RulebookFields!C2:C999, MATCH(D292,RulebookFields!A2:A999, 0)), "")</f>
      </c>
      <c r="I292" s="3" t="str">
        <f>_xlfn.IFNA(INDEX(RulebookFields!D2:D999, MATCH(D292,RulebookFields!A2:A999, 0)), "")</f>
      </c>
      <c r="J292" s="3" t="str">
        <f>_xlfn.IFNA(INDEX(RulebookFields!I2:I999, MATCH(D292,RulebookFields!A2:A999, 0)), "")</f>
      </c>
      <c r="K292" s="3" t="b">
        <f>AND(F292, J292)</f>
        <v>0</v>
      </c>
      <c r="L292" s="3" t="b">
        <f>AND(G292 &lt;&gt; "plain", G292 &lt;&gt; "")</f>
        <v>0</v>
      </c>
      <c r="M292" s="3" t="str">
        <f>IF(E292, C292 &amp; "|" &amp; H292, "")</f>
        <v>principal-communications-manager|</v>
      </c>
      <c r="N292" s="2" t="s">
        <v>9938</v>
      </c>
    </row>
    <row r="293">
      <c r="A293" s="2" t="s">
        <v>10229</v>
      </c>
      <c r="B293" s="3" t="str">
        <f>C293 &amp; " -&gt; " &amp; D293</f>
        <v>principal-communications-manager -&gt; MessageDeliveries.SentAt</v>
      </c>
      <c r="C293" s="2" t="s">
        <v>9696</v>
      </c>
      <c r="D293" s="2" t="s">
        <v>4392</v>
      </c>
      <c r="E293" s="2" t="b">
        <v>1</v>
      </c>
      <c r="F293" s="2" t="b">
        <v>0</v>
      </c>
      <c r="G293" s="2" t="s">
        <v>9937</v>
      </c>
      <c r="H293" s="3" t="str">
        <f>_xlfn.IFNA(INDEX(RulebookFields!C2:C999, MATCH(D293,RulebookFields!A2:A999, 0)), "")</f>
      </c>
      <c r="I293" s="3" t="str">
        <f>_xlfn.IFNA(INDEX(RulebookFields!D2:D999, MATCH(D293,RulebookFields!A2:A999, 0)), "")</f>
      </c>
      <c r="J293" s="3" t="str">
        <f>_xlfn.IFNA(INDEX(RulebookFields!I2:I999, MATCH(D293,RulebookFields!A2:A999, 0)), "")</f>
      </c>
      <c r="K293" s="3" t="b">
        <f>AND(F293, J293)</f>
        <v>0</v>
      </c>
      <c r="L293" s="3" t="b">
        <f>AND(G293 &lt;&gt; "plain", G293 &lt;&gt; "")</f>
        <v>0</v>
      </c>
      <c r="M293" s="3" t="str">
        <f>IF(E293, C293 &amp; "|" &amp; H293, "")</f>
        <v>principal-communications-manager|</v>
      </c>
      <c r="N293" s="2" t="s">
        <v>9938</v>
      </c>
    </row>
    <row r="294">
      <c r="A294" s="2" t="s">
        <v>10230</v>
      </c>
      <c r="B294" s="3" t="str">
        <f>C294 &amp; " -&gt; " &amp; D294</f>
        <v>principal-communications-manager -&gt; MessageDeliveries.DeliveryStatus</v>
      </c>
      <c r="C294" s="2" t="s">
        <v>9696</v>
      </c>
      <c r="D294" s="2" t="s">
        <v>4396</v>
      </c>
      <c r="E294" s="2" t="b">
        <v>1</v>
      </c>
      <c r="F294" s="2" t="b">
        <v>0</v>
      </c>
      <c r="G294" s="2" t="s">
        <v>9937</v>
      </c>
      <c r="H294" s="3" t="str">
        <f>_xlfn.IFNA(INDEX(RulebookFields!C2:C999, MATCH(D294,RulebookFields!A2:A999, 0)), "")</f>
      </c>
      <c r="I294" s="3" t="str">
        <f>_xlfn.IFNA(INDEX(RulebookFields!D2:D999, MATCH(D294,RulebookFields!A2:A999, 0)), "")</f>
      </c>
      <c r="J294" s="3" t="str">
        <f>_xlfn.IFNA(INDEX(RulebookFields!I2:I999, MATCH(D294,RulebookFields!A2:A999, 0)), "")</f>
      </c>
      <c r="K294" s="3" t="b">
        <f>AND(F294, J294)</f>
        <v>0</v>
      </c>
      <c r="L294" s="3" t="b">
        <f>AND(G294 &lt;&gt; "plain", G294 &lt;&gt; "")</f>
        <v>0</v>
      </c>
      <c r="M294" s="3" t="str">
        <f>IF(E294, C294 &amp; "|" &amp; H294, "")</f>
        <v>principal-communications-manager|</v>
      </c>
      <c r="N294" s="2" t="s">
        <v>9938</v>
      </c>
    </row>
    <row r="295">
      <c r="A295" s="2" t="s">
        <v>10231</v>
      </c>
      <c r="B295" s="3" t="str">
        <f>C295 &amp; " -&gt; " &amp; D295</f>
        <v>principal-communications-manager -&gt; MessageDeliveries.SuppressionReason</v>
      </c>
      <c r="C295" s="2" t="s">
        <v>9696</v>
      </c>
      <c r="D295" s="2" t="s">
        <v>4398</v>
      </c>
      <c r="E295" s="2" t="b">
        <v>1</v>
      </c>
      <c r="F295" s="2" t="b">
        <v>0</v>
      </c>
      <c r="G295" s="2" t="s">
        <v>9937</v>
      </c>
      <c r="H295" s="3" t="str">
        <f>_xlfn.IFNA(INDEX(RulebookFields!C2:C999, MATCH(D295,RulebookFields!A2:A999, 0)), "")</f>
      </c>
      <c r="I295" s="3" t="str">
        <f>_xlfn.IFNA(INDEX(RulebookFields!D2:D999, MATCH(D295,RulebookFields!A2:A999, 0)), "")</f>
      </c>
      <c r="J295" s="3" t="str">
        <f>_xlfn.IFNA(INDEX(RulebookFields!I2:I999, MATCH(D295,RulebookFields!A2:A999, 0)), "")</f>
      </c>
      <c r="K295" s="3" t="b">
        <f>AND(F295, J295)</f>
        <v>0</v>
      </c>
      <c r="L295" s="3" t="b">
        <f>AND(G295 &lt;&gt; "plain", G295 &lt;&gt; "")</f>
        <v>0</v>
      </c>
      <c r="M295" s="3" t="str">
        <f>IF(E295, C295 &amp; "|" &amp; H295, "")</f>
        <v>principal-communications-manager|</v>
      </c>
      <c r="N295" s="2" t="s">
        <v>9938</v>
      </c>
    </row>
    <row r="296">
      <c r="A296" s="2" t="s">
        <v>10232</v>
      </c>
      <c r="B296" s="3" t="str">
        <f>C296 &amp; " -&gt; " &amp; D296</f>
        <v>principal-communications-manager -&gt; MessageDeliveries.AcknowledgedAt</v>
      </c>
      <c r="C296" s="2" t="s">
        <v>9696</v>
      </c>
      <c r="D296" s="2" t="s">
        <v>4402</v>
      </c>
      <c r="E296" s="2" t="b">
        <v>1</v>
      </c>
      <c r="F296" s="2" t="b">
        <v>0</v>
      </c>
      <c r="G296" s="2" t="s">
        <v>9937</v>
      </c>
      <c r="H296" s="3" t="str">
        <f>_xlfn.IFNA(INDEX(RulebookFields!C2:C999, MATCH(D296,RulebookFields!A2:A999, 0)), "")</f>
      </c>
      <c r="I296" s="3" t="str">
        <f>_xlfn.IFNA(INDEX(RulebookFields!D2:D999, MATCH(D296,RulebookFields!A2:A999, 0)), "")</f>
      </c>
      <c r="J296" s="3" t="str">
        <f>_xlfn.IFNA(INDEX(RulebookFields!I2:I999, MATCH(D296,RulebookFields!A2:A999, 0)), "")</f>
      </c>
      <c r="K296" s="3" t="b">
        <f>AND(F296, J296)</f>
        <v>0</v>
      </c>
      <c r="L296" s="3" t="b">
        <f>AND(G296 &lt;&gt; "plain", G296 &lt;&gt; "")</f>
        <v>0</v>
      </c>
      <c r="M296" s="3" t="str">
        <f>IF(E296, C296 &amp; "|" &amp; H296, "")</f>
        <v>principal-communications-manager|</v>
      </c>
      <c r="N296" s="2" t="s">
        <v>9938</v>
      </c>
    </row>
    <row r="297">
      <c r="A297" s="2" t="s">
        <v>10233</v>
      </c>
      <c r="B297" s="3" t="str">
        <f>C297 &amp; " -&gt; " &amp; D297</f>
        <v>principal-communications-manager -&gt; MessageDeliveries.Recipient</v>
      </c>
      <c r="C297" s="2" t="s">
        <v>9696</v>
      </c>
      <c r="D297" s="2" t="s">
        <v>4384</v>
      </c>
      <c r="E297" s="2" t="b">
        <v>1</v>
      </c>
      <c r="F297" s="2" t="b">
        <v>0</v>
      </c>
      <c r="G297" s="2" t="s">
        <v>9937</v>
      </c>
      <c r="H297" s="3" t="str">
        <f>_xlfn.IFNA(INDEX(RulebookFields!C2:C999, MATCH(D297,RulebookFields!A2:A999, 0)), "")</f>
      </c>
      <c r="I297" s="3" t="str">
        <f>_xlfn.IFNA(INDEX(RulebookFields!D2:D999, MATCH(D297,RulebookFields!A2:A999, 0)), "")</f>
      </c>
      <c r="J297" s="3" t="str">
        <f>_xlfn.IFNA(INDEX(RulebookFields!I2:I999, MATCH(D297,RulebookFields!A2:A999, 0)), "")</f>
      </c>
      <c r="K297" s="3" t="b">
        <f>AND(F297, J297)</f>
        <v>0</v>
      </c>
      <c r="L297" s="3" t="b">
        <f>AND(G297 &lt;&gt; "plain", G297 &lt;&gt; "")</f>
        <v>0</v>
      </c>
      <c r="M297" s="3" t="str">
        <f>IF(E297, C297 &amp; "|" &amp; H297, "")</f>
        <v>principal-communications-manager|</v>
      </c>
      <c r="N297" s="2" t="s">
        <v>9938</v>
      </c>
    </row>
    <row r="298">
      <c r="A298" s="2" t="s">
        <v>10234</v>
      </c>
      <c r="B298" s="3" t="str">
        <f>C298 &amp; " -&gt; " &amp; D298</f>
        <v>principal-communications-manager -&gt; MessageDeliveries.Name</v>
      </c>
      <c r="C298" s="2" t="s">
        <v>9696</v>
      </c>
      <c r="D298" s="2" t="s">
        <v>4380</v>
      </c>
      <c r="E298" s="2" t="b">
        <v>1</v>
      </c>
      <c r="F298" s="2" t="b">
        <v>0</v>
      </c>
      <c r="G298" s="2" t="s">
        <v>9937</v>
      </c>
      <c r="H298" s="3" t="str">
        <f>_xlfn.IFNA(INDEX(RulebookFields!C2:C999, MATCH(D298,RulebookFields!A2:A999, 0)), "")</f>
      </c>
      <c r="I298" s="3" t="str">
        <f>_xlfn.IFNA(INDEX(RulebookFields!D2:D999, MATCH(D298,RulebookFields!A2:A999, 0)), "")</f>
      </c>
      <c r="J298" s="3" t="str">
        <f>_xlfn.IFNA(INDEX(RulebookFields!I2:I999, MATCH(D298,RulebookFields!A2:A999, 0)), "")</f>
      </c>
      <c r="K298" s="3" t="b">
        <f>AND(F298, J298)</f>
        <v>0</v>
      </c>
      <c r="L298" s="3" t="b">
        <f>AND(G298 &lt;&gt; "plain", G298 &lt;&gt; "")</f>
        <v>0</v>
      </c>
      <c r="M298" s="3" t="str">
        <f>IF(E298, C298 &amp; "|" &amp; H298, "")</f>
        <v>principal-communications-manager|</v>
      </c>
      <c r="N298" s="2" t="s">
        <v>9938</v>
      </c>
    </row>
    <row r="299">
      <c r="A299" s="2" t="s">
        <v>10235</v>
      </c>
      <c r="B299" s="3" t="str">
        <f>C299 &amp; " -&gt; " &amp; D299</f>
        <v>principal-communications-manager -&gt; Recipients.RecipientId</v>
      </c>
      <c r="C299" s="2" t="s">
        <v>9696</v>
      </c>
      <c r="D299" s="2" t="s">
        <v>4345</v>
      </c>
      <c r="E299" s="2" t="b">
        <v>1</v>
      </c>
      <c r="F299" s="2" t="b">
        <v>0</v>
      </c>
      <c r="G299" s="2" t="s">
        <v>9937</v>
      </c>
      <c r="H299" s="3" t="str">
        <f>_xlfn.IFNA(INDEX(RulebookFields!C2:C999, MATCH(D299,RulebookFields!A2:A999, 0)), "")</f>
      </c>
      <c r="I299" s="3" t="str">
        <f>_xlfn.IFNA(INDEX(RulebookFields!D2:D999, MATCH(D299,RulebookFields!A2:A999, 0)), "")</f>
      </c>
      <c r="J299" s="3" t="str">
        <f>_xlfn.IFNA(INDEX(RulebookFields!I2:I999, MATCH(D299,RulebookFields!A2:A999, 0)), "")</f>
      </c>
      <c r="K299" s="3" t="b">
        <f>AND(F299, J299)</f>
        <v>0</v>
      </c>
      <c r="L299" s="3" t="b">
        <f>AND(G299 &lt;&gt; "plain", G299 &lt;&gt; "")</f>
        <v>0</v>
      </c>
      <c r="M299" s="3" t="str">
        <f>IF(E299, C299 &amp; "|" &amp; H299, "")</f>
        <v>principal-communications-manager|</v>
      </c>
      <c r="N299" s="2" t="s">
        <v>9938</v>
      </c>
    </row>
    <row r="300">
      <c r="A300" s="2" t="s">
        <v>10236</v>
      </c>
      <c r="B300" s="3" t="str">
        <f>C300 &amp; " -&gt; " &amp; D300</f>
        <v>principal-communications-manager -&gt; Recipients.DisplayName</v>
      </c>
      <c r="C300" s="2" t="s">
        <v>9696</v>
      </c>
      <c r="D300" s="2" t="s">
        <v>4349</v>
      </c>
      <c r="E300" s="2" t="b">
        <v>1</v>
      </c>
      <c r="F300" s="2" t="b">
        <v>0</v>
      </c>
      <c r="G300" s="2" t="s">
        <v>9937</v>
      </c>
      <c r="H300" s="3" t="str">
        <f>_xlfn.IFNA(INDEX(RulebookFields!C2:C999, MATCH(D300,RulebookFields!A2:A999, 0)), "")</f>
      </c>
      <c r="I300" s="3" t="str">
        <f>_xlfn.IFNA(INDEX(RulebookFields!D2:D999, MATCH(D300,RulebookFields!A2:A999, 0)), "")</f>
      </c>
      <c r="J300" s="3" t="str">
        <f>_xlfn.IFNA(INDEX(RulebookFields!I2:I999, MATCH(D300,RulebookFields!A2:A999, 0)), "")</f>
      </c>
      <c r="K300" s="3" t="b">
        <f>AND(F300, J300)</f>
        <v>0</v>
      </c>
      <c r="L300" s="3" t="b">
        <f>AND(G300 &lt;&gt; "plain", G300 &lt;&gt; "")</f>
        <v>0</v>
      </c>
      <c r="M300" s="3" t="str">
        <f>IF(E300, C300 &amp; "|" &amp; H300, "")</f>
        <v>principal-communications-manager|</v>
      </c>
      <c r="N300" s="2" t="s">
        <v>9938</v>
      </c>
    </row>
    <row r="301">
      <c r="A301" s="2" t="s">
        <v>10237</v>
      </c>
      <c r="B301" s="3" t="str">
        <f>C301 &amp; " -&gt; " &amp; D301</f>
        <v>principal-communications-manager -&gt; Recipients.EmailAddress</v>
      </c>
      <c r="C301" s="2" t="s">
        <v>9696</v>
      </c>
      <c r="D301" s="2" t="s">
        <v>4351</v>
      </c>
      <c r="E301" s="2" t="b">
        <v>1</v>
      </c>
      <c r="F301" s="2" t="b">
        <v>0</v>
      </c>
      <c r="G301" s="2" t="s">
        <v>9937</v>
      </c>
      <c r="H301" s="3" t="str">
        <f>_xlfn.IFNA(INDEX(RulebookFields!C2:C999, MATCH(D301,RulebookFields!A2:A999, 0)), "")</f>
      </c>
      <c r="I301" s="3" t="str">
        <f>_xlfn.IFNA(INDEX(RulebookFields!D2:D999, MATCH(D301,RulebookFields!A2:A999, 0)), "")</f>
      </c>
      <c r="J301" s="3" t="str">
        <f>_xlfn.IFNA(INDEX(RulebookFields!I2:I999, MATCH(D301,RulebookFields!A2:A999, 0)), "")</f>
      </c>
      <c r="K301" s="3" t="b">
        <f>AND(F301, J301)</f>
        <v>0</v>
      </c>
      <c r="L301" s="3" t="b">
        <f>AND(G301 &lt;&gt; "plain", G301 &lt;&gt; "")</f>
        <v>0</v>
      </c>
      <c r="M301" s="3" t="str">
        <f>IF(E301, C301 &amp; "|" &amp; H301, "")</f>
        <v>principal-communications-manager|</v>
      </c>
      <c r="N301" s="2" t="s">
        <v>9938</v>
      </c>
    </row>
    <row r="302">
      <c r="A302" s="2" t="s">
        <v>10238</v>
      </c>
      <c r="B302" s="3" t="str">
        <f>C302 &amp; " -&gt; " &amp; D302</f>
        <v>principal-communications-manager -&gt; Recipients.SmsConsentStatus</v>
      </c>
      <c r="C302" s="2" t="s">
        <v>9696</v>
      </c>
      <c r="D302" s="2" t="s">
        <v>4355</v>
      </c>
      <c r="E302" s="2" t="b">
        <v>1</v>
      </c>
      <c r="F302" s="2" t="b">
        <v>0</v>
      </c>
      <c r="G302" s="2" t="s">
        <v>9937</v>
      </c>
      <c r="H302" s="3" t="str">
        <f>_xlfn.IFNA(INDEX(RulebookFields!C2:C999, MATCH(D302,RulebookFields!A2:A999, 0)), "")</f>
      </c>
      <c r="I302" s="3" t="str">
        <f>_xlfn.IFNA(INDEX(RulebookFields!D2:D999, MATCH(D302,RulebookFields!A2:A999, 0)), "")</f>
      </c>
      <c r="J302" s="3" t="str">
        <f>_xlfn.IFNA(INDEX(RulebookFields!I2:I999, MATCH(D302,RulebookFields!A2:A999, 0)), "")</f>
      </c>
      <c r="K302" s="3" t="b">
        <f>AND(F302, J302)</f>
        <v>0</v>
      </c>
      <c r="L302" s="3" t="b">
        <f>AND(G302 &lt;&gt; "plain", G302 &lt;&gt; "")</f>
        <v>0</v>
      </c>
      <c r="M302" s="3" t="str">
        <f>IF(E302, C302 &amp; "|" &amp; H302, "")</f>
        <v>principal-communications-manager|</v>
      </c>
      <c r="N302" s="2" t="s">
        <v>9938</v>
      </c>
    </row>
    <row r="303">
      <c r="A303" s="2" t="s">
        <v>10239</v>
      </c>
      <c r="B303" s="3" t="str">
        <f>C303 &amp; " -&gt; " &amp; D303</f>
        <v>principal-communications-manager -&gt; Recipients.SmsConsentAt</v>
      </c>
      <c r="C303" s="2" t="s">
        <v>9696</v>
      </c>
      <c r="D303" s="2" t="s">
        <v>4357</v>
      </c>
      <c r="E303" s="2" t="b">
        <v>1</v>
      </c>
      <c r="F303" s="2" t="b">
        <v>0</v>
      </c>
      <c r="G303" s="2" t="s">
        <v>9937</v>
      </c>
      <c r="H303" s="3" t="str">
        <f>_xlfn.IFNA(INDEX(RulebookFields!C2:C999, MATCH(D303,RulebookFields!A2:A999, 0)), "")</f>
      </c>
      <c r="I303" s="3" t="str">
        <f>_xlfn.IFNA(INDEX(RulebookFields!D2:D999, MATCH(D303,RulebookFields!A2:A999, 0)), "")</f>
      </c>
      <c r="J303" s="3" t="str">
        <f>_xlfn.IFNA(INDEX(RulebookFields!I2:I999, MATCH(D303,RulebookFields!A2:A999, 0)), "")</f>
      </c>
      <c r="K303" s="3" t="b">
        <f>AND(F303, J303)</f>
        <v>0</v>
      </c>
      <c r="L303" s="3" t="b">
        <f>AND(G303 &lt;&gt; "plain", G303 &lt;&gt; "")</f>
        <v>0</v>
      </c>
      <c r="M303" s="3" t="str">
        <f>IF(E303, C303 &amp; "|" &amp; H303, "")</f>
        <v>principal-communications-manager|</v>
      </c>
      <c r="N303" s="2" t="s">
        <v>9938</v>
      </c>
    </row>
    <row r="304">
      <c r="A304" s="2" t="s">
        <v>10240</v>
      </c>
      <c r="B304" s="3" t="str">
        <f>C304 &amp; " -&gt; " &amp; D304</f>
        <v>principal-communications-manager -&gt; Recipients.Name</v>
      </c>
      <c r="C304" s="2" t="s">
        <v>9696</v>
      </c>
      <c r="D304" s="2" t="s">
        <v>4348</v>
      </c>
      <c r="E304" s="2" t="b">
        <v>1</v>
      </c>
      <c r="F304" s="2" t="b">
        <v>0</v>
      </c>
      <c r="G304" s="2" t="s">
        <v>9937</v>
      </c>
      <c r="H304" s="3" t="str">
        <f>_xlfn.IFNA(INDEX(RulebookFields!C2:C999, MATCH(D304,RulebookFields!A2:A999, 0)), "")</f>
      </c>
      <c r="I304" s="3" t="str">
        <f>_xlfn.IFNA(INDEX(RulebookFields!D2:D999, MATCH(D304,RulebookFields!A2:A999, 0)), "")</f>
      </c>
      <c r="J304" s="3" t="str">
        <f>_xlfn.IFNA(INDEX(RulebookFields!I2:I999, MATCH(D304,RulebookFields!A2:A999, 0)), "")</f>
      </c>
      <c r="K304" s="3" t="b">
        <f>AND(F304, J304)</f>
        <v>0</v>
      </c>
      <c r="L304" s="3" t="b">
        <f>AND(G304 &lt;&gt; "plain", G304 &lt;&gt; "")</f>
        <v>0</v>
      </c>
      <c r="M304" s="3" t="str">
        <f>IF(E304, C304 &amp; "|" &amp; H304, "")</f>
        <v>principal-communications-manager|</v>
      </c>
      <c r="N304" s="2" t="s">
        <v>9938</v>
      </c>
    </row>
    <row r="305">
      <c r="A305" s="2" t="s">
        <v>10241</v>
      </c>
      <c r="B305" s="3" t="str">
        <f>C305 &amp; " -&gt; " &amp; D305</f>
        <v>principal-communications-manager -&gt; KnowledgeGaps.KnowledgeGapId</v>
      </c>
      <c r="C305" s="2" t="s">
        <v>9696</v>
      </c>
      <c r="D305" s="2" t="s">
        <v>3301</v>
      </c>
      <c r="E305" s="2" t="b">
        <v>1</v>
      </c>
      <c r="F305" s="2" t="b">
        <v>0</v>
      </c>
      <c r="G305" s="2" t="s">
        <v>9937</v>
      </c>
      <c r="H305" s="3" t="str">
        <f>_xlfn.IFNA(INDEX(RulebookFields!C2:C999, MATCH(D305,RulebookFields!A2:A999, 0)), "")</f>
        <v>KnowledgeGaps</v>
      </c>
      <c r="I305" s="3" t="str">
        <f>_xlfn.IFNA(INDEX(RulebookFields!D2:D999, MATCH(D305,RulebookFields!A2:A999, 0)), "")</f>
        <v>KnowledgeGapId</v>
      </c>
      <c r="J305" s="3" t="b">
        <f>_xlfn.IFNA(INDEX(RulebookFields!I2:I999, MATCH(D305,RulebookFields!A2:A999, 0)), "")</f>
        <v>0</v>
      </c>
      <c r="K305" s="3" t="b">
        <f>AND(F305, J305)</f>
        <v>0</v>
      </c>
      <c r="L305" s="3" t="b">
        <f>AND(G305 &lt;&gt; "plain", G305 &lt;&gt; "")</f>
        <v>0</v>
      </c>
      <c r="M305" s="3" t="str">
        <f>IF(E305, C305 &amp; "|" &amp; H305, "")</f>
        <v>principal-communications-manager|KnowledgeGaps</v>
      </c>
      <c r="N305" s="2" t="s">
        <v>9938</v>
      </c>
    </row>
    <row r="306">
      <c r="A306" s="2" t="s">
        <v>10242</v>
      </c>
      <c r="B306" s="3" t="str">
        <f>C306 &amp; " -&gt; " &amp; D306</f>
        <v>principal-communications-manager -&gt; KnowledgeGaps.Statement</v>
      </c>
      <c r="C306" s="2" t="s">
        <v>9696</v>
      </c>
      <c r="D306" s="2" t="s">
        <v>3307</v>
      </c>
      <c r="E306" s="2" t="b">
        <v>1</v>
      </c>
      <c r="F306" s="2" t="b">
        <v>0</v>
      </c>
      <c r="G306" s="2" t="s">
        <v>9937</v>
      </c>
      <c r="H306" s="3" t="str">
        <f>_xlfn.IFNA(INDEX(RulebookFields!C2:C999, MATCH(D306,RulebookFields!A2:A999, 0)), "")</f>
        <v>KnowledgeGaps</v>
      </c>
      <c r="I306" s="3" t="str">
        <f>_xlfn.IFNA(INDEX(RulebookFields!D2:D999, MATCH(D306,RulebookFields!A2:A999, 0)), "")</f>
        <v>Statement</v>
      </c>
      <c r="J306" s="3" t="b">
        <f>_xlfn.IFNA(INDEX(RulebookFields!I2:I999, MATCH(D306,RulebookFields!A2:A999, 0)), "")</f>
        <v>0</v>
      </c>
      <c r="K306" s="3" t="b">
        <f>AND(F306, J306)</f>
        <v>0</v>
      </c>
      <c r="L306" s="3" t="b">
        <f>AND(G306 &lt;&gt; "plain", G306 &lt;&gt; "")</f>
        <v>0</v>
      </c>
      <c r="M306" s="3" t="str">
        <f>IF(E306, C306 &amp; "|" &amp; H306, "")</f>
        <v>principal-communications-manager|KnowledgeGaps</v>
      </c>
      <c r="N306" s="2" t="s">
        <v>9938</v>
      </c>
    </row>
    <row r="307">
      <c r="A307" s="2" t="s">
        <v>10243</v>
      </c>
      <c r="B307" s="3" t="str">
        <f>C307 &amp; " -&gt; " &amp; D307</f>
        <v>principal-communications-manager -&gt; KnowledgeGaps.Severity</v>
      </c>
      <c r="C307" s="2" t="s">
        <v>9696</v>
      </c>
      <c r="D307" s="2" t="s">
        <v>3308</v>
      </c>
      <c r="E307" s="2" t="b">
        <v>1</v>
      </c>
      <c r="F307" s="2" t="b">
        <v>0</v>
      </c>
      <c r="G307" s="2" t="s">
        <v>9937</v>
      </c>
      <c r="H307" s="3" t="str">
        <f>_xlfn.IFNA(INDEX(RulebookFields!C2:C999, MATCH(D307,RulebookFields!A2:A999, 0)), "")</f>
        <v>KnowledgeGaps</v>
      </c>
      <c r="I307" s="3" t="str">
        <f>_xlfn.IFNA(INDEX(RulebookFields!D2:D999, MATCH(D307,RulebookFields!A2:A999, 0)), "")</f>
        <v>Severity</v>
      </c>
      <c r="J307" s="3" t="b">
        <f>_xlfn.IFNA(INDEX(RulebookFields!I2:I999, MATCH(D307,RulebookFields!A2:A999, 0)), "")</f>
        <v>0</v>
      </c>
      <c r="K307" s="3" t="b">
        <f>AND(F307, J307)</f>
        <v>0</v>
      </c>
      <c r="L307" s="3" t="b">
        <f>AND(G307 &lt;&gt; "plain", G307 &lt;&gt; "")</f>
        <v>0</v>
      </c>
      <c r="M307" s="3" t="str">
        <f>IF(E307, C307 &amp; "|" &amp; H307, "")</f>
        <v>principal-communications-manager|KnowledgeGaps</v>
      </c>
      <c r="N307" s="2" t="s">
        <v>9938</v>
      </c>
    </row>
    <row r="308">
      <c r="A308" s="2" t="s">
        <v>10244</v>
      </c>
      <c r="B308" s="3" t="str">
        <f>C308 &amp; " -&gt; " &amp; D308</f>
        <v>principal-communications-manager -&gt; KnowledgeGaps.Status</v>
      </c>
      <c r="C308" s="2" t="s">
        <v>9696</v>
      </c>
      <c r="D308" s="2" t="s">
        <v>3310</v>
      </c>
      <c r="E308" s="2" t="b">
        <v>1</v>
      </c>
      <c r="F308" s="2" t="b">
        <v>0</v>
      </c>
      <c r="G308" s="2" t="s">
        <v>9937</v>
      </c>
      <c r="H308" s="3" t="str">
        <f>_xlfn.IFNA(INDEX(RulebookFields!C2:C999, MATCH(D308,RulebookFields!A2:A999, 0)), "")</f>
        <v>KnowledgeGaps</v>
      </c>
      <c r="I308" s="3" t="str">
        <f>_xlfn.IFNA(INDEX(RulebookFields!D2:D999, MATCH(D308,RulebookFields!A2:A999, 0)), "")</f>
        <v>Status</v>
      </c>
      <c r="J308" s="3" t="b">
        <f>_xlfn.IFNA(INDEX(RulebookFields!I2:I999, MATCH(D308,RulebookFields!A2:A999, 0)), "")</f>
        <v>0</v>
      </c>
      <c r="K308" s="3" t="b">
        <f>AND(F308, J308)</f>
        <v>0</v>
      </c>
      <c r="L308" s="3" t="b">
        <f>AND(G308 &lt;&gt; "plain", G308 &lt;&gt; "")</f>
        <v>0</v>
      </c>
      <c r="M308" s="3" t="str">
        <f>IF(E308, C308 &amp; "|" &amp; H308, "")</f>
        <v>principal-communications-manager|KnowledgeGaps</v>
      </c>
      <c r="N308" s="2" t="s">
        <v>9938</v>
      </c>
    </row>
    <row r="309">
      <c r="A309" s="2" t="s">
        <v>10245</v>
      </c>
      <c r="B309" s="3" t="str">
        <f>C309 &amp; " -&gt; " &amp; D309</f>
        <v>principal-communications-manager -&gt; KnowledgeGaps.OwnerRole</v>
      </c>
      <c r="C309" s="2" t="s">
        <v>9696</v>
      </c>
      <c r="D309" s="2" t="s">
        <v>3311</v>
      </c>
      <c r="E309" s="2" t="b">
        <v>1</v>
      </c>
      <c r="F309" s="2" t="b">
        <v>0</v>
      </c>
      <c r="G309" s="2" t="s">
        <v>9937</v>
      </c>
      <c r="H309" s="3" t="str">
        <f>_xlfn.IFNA(INDEX(RulebookFields!C2:C999, MATCH(D309,RulebookFields!A2:A999, 0)), "")</f>
        <v>KnowledgeGaps</v>
      </c>
      <c r="I309" s="3" t="str">
        <f>_xlfn.IFNA(INDEX(RulebookFields!D2:D999, MATCH(D309,RulebookFields!A2:A999, 0)), "")</f>
        <v>OwnerRole</v>
      </c>
      <c r="J309" s="3" t="b">
        <f>_xlfn.IFNA(INDEX(RulebookFields!I2:I999, MATCH(D309,RulebookFields!A2:A999, 0)), "")</f>
        <v>0</v>
      </c>
      <c r="K309" s="3" t="b">
        <f>AND(F309, J309)</f>
        <v>0</v>
      </c>
      <c r="L309" s="3" t="b">
        <f>AND(G309 &lt;&gt; "plain", G309 &lt;&gt; "")</f>
        <v>0</v>
      </c>
      <c r="M309" s="3" t="str">
        <f>IF(E309, C309 &amp; "|" &amp; H309, "")</f>
        <v>principal-communications-manager|KnowledgeGaps</v>
      </c>
      <c r="N309" s="2" t="s">
        <v>9938</v>
      </c>
    </row>
    <row r="310">
      <c r="A310" s="2" t="s">
        <v>10246</v>
      </c>
      <c r="B310" s="3" t="str">
        <f>C310 &amp; " -&gt; " &amp; D310</f>
        <v>principal-communications-manager -&gt; KnowledgeGaps.IsOpen</v>
      </c>
      <c r="C310" s="2" t="s">
        <v>9696</v>
      </c>
      <c r="D310" s="2" t="s">
        <v>3314</v>
      </c>
      <c r="E310" s="2" t="b">
        <v>1</v>
      </c>
      <c r="F310" s="2" t="b">
        <v>0</v>
      </c>
      <c r="G310" s="2" t="s">
        <v>9937</v>
      </c>
      <c r="H310" s="3" t="str">
        <f>_xlfn.IFNA(INDEX(RulebookFields!C2:C999, MATCH(D310,RulebookFields!A2:A999, 0)), "")</f>
        <v>KnowledgeGaps</v>
      </c>
      <c r="I310" s="3" t="str">
        <f>_xlfn.IFNA(INDEX(RulebookFields!D2:D999, MATCH(D310,RulebookFields!A2:A999, 0)), "")</f>
        <v>IsOpen</v>
      </c>
      <c r="J310" s="3" t="b">
        <f>_xlfn.IFNA(INDEX(RulebookFields!I2:I999, MATCH(D310,RulebookFields!A2:A999, 0)), "")</f>
        <v>1</v>
      </c>
      <c r="K310" s="3" t="b">
        <f>AND(F310, J310)</f>
        <v>0</v>
      </c>
      <c r="L310" s="3" t="b">
        <f>AND(G310 &lt;&gt; "plain", G310 &lt;&gt; "")</f>
        <v>0</v>
      </c>
      <c r="M310" s="3" t="str">
        <f>IF(E310, C310 &amp; "|" &amp; H310, "")</f>
        <v>principal-communications-manager|KnowledgeGaps</v>
      </c>
      <c r="N310" s="2" t="s">
        <v>9938</v>
      </c>
    </row>
    <row r="311">
      <c r="A311" s="2" t="s">
        <v>10247</v>
      </c>
      <c r="B311" s="3" t="str">
        <f>C311 &amp; " -&gt; " &amp; D311</f>
        <v>principal-communications-manager -&gt; KnowledgeGaps.Name</v>
      </c>
      <c r="C311" s="2" t="s">
        <v>9696</v>
      </c>
      <c r="D311" s="2" t="s">
        <v>3303</v>
      </c>
      <c r="E311" s="2" t="b">
        <v>1</v>
      </c>
      <c r="F311" s="2" t="b">
        <v>0</v>
      </c>
      <c r="G311" s="2" t="s">
        <v>9937</v>
      </c>
      <c r="H311" s="3" t="str">
        <f>_xlfn.IFNA(INDEX(RulebookFields!C2:C999, MATCH(D311,RulebookFields!A2:A999, 0)), "")</f>
        <v>KnowledgeGaps</v>
      </c>
      <c r="I311" s="3" t="str">
        <f>_xlfn.IFNA(INDEX(RulebookFields!D2:D999, MATCH(D311,RulebookFields!A2:A999, 0)), "")</f>
        <v>Name</v>
      </c>
      <c r="J311" s="3" t="b">
        <f>_xlfn.IFNA(INDEX(RulebookFields!I2:I999, MATCH(D311,RulebookFields!A2:A999, 0)), "")</f>
        <v>1</v>
      </c>
      <c r="K311" s="3" t="b">
        <f>AND(F311, J311)</f>
        <v>0</v>
      </c>
      <c r="L311" s="3" t="b">
        <f>AND(G311 &lt;&gt; "plain", G311 &lt;&gt; "")</f>
        <v>0</v>
      </c>
      <c r="M311" s="3" t="str">
        <f>IF(E311, C311 &amp; "|" &amp; H311, "")</f>
        <v>principal-communications-manager|KnowledgeGaps</v>
      </c>
      <c r="N311" s="2" t="s">
        <v>9938</v>
      </c>
    </row>
    <row r="312">
      <c r="A312" s="2" t="s">
        <v>10248</v>
      </c>
      <c r="B312" s="3" t="str">
        <f>C312 &amp; " -&gt; " &amp; D312</f>
        <v>principal-close-automation -&gt; Steps.StepId</v>
      </c>
      <c r="C312" s="2" t="s">
        <v>9698</v>
      </c>
      <c r="D312" s="2" t="s">
        <v>2837</v>
      </c>
      <c r="E312" s="2" t="b">
        <v>1</v>
      </c>
      <c r="F312" s="2" t="b">
        <v>0</v>
      </c>
      <c r="G312" s="2" t="s">
        <v>9937</v>
      </c>
      <c r="H312" s="3" t="str">
        <f>_xlfn.IFNA(INDEX(RulebookFields!C2:C999, MATCH(D312,RulebookFields!A2:A999, 0)), "")</f>
        <v>Steps</v>
      </c>
      <c r="I312" s="3" t="str">
        <f>_xlfn.IFNA(INDEX(RulebookFields!D2:D999, MATCH(D312,RulebookFields!A2:A999, 0)), "")</f>
        <v>StepId</v>
      </c>
      <c r="J312" s="3" t="b">
        <f>_xlfn.IFNA(INDEX(RulebookFields!I2:I999, MATCH(D312,RulebookFields!A2:A999, 0)), "")</f>
        <v>0</v>
      </c>
      <c r="K312" s="3" t="b">
        <f>AND(F312, J312)</f>
        <v>0</v>
      </c>
      <c r="L312" s="3" t="b">
        <f>AND(G312 &lt;&gt; "plain", G312 &lt;&gt; "")</f>
        <v>0</v>
      </c>
      <c r="M312" s="3" t="str">
        <f>IF(E312, C312 &amp; "|" &amp; H312, "")</f>
        <v>principal-close-automation|Steps</v>
      </c>
      <c r="N312" s="2" t="s">
        <v>9938</v>
      </c>
    </row>
    <row r="313">
      <c r="A313" s="2" t="s">
        <v>10249</v>
      </c>
      <c r="B313" s="3" t="str">
        <f>C313 &amp; " -&gt; " &amp; D313</f>
        <v>principal-close-automation -&gt; Steps.StepNumber</v>
      </c>
      <c r="C313" s="2" t="s">
        <v>9698</v>
      </c>
      <c r="D313" s="2" t="s">
        <v>2841</v>
      </c>
      <c r="E313" s="2" t="b">
        <v>1</v>
      </c>
      <c r="F313" s="2" t="b">
        <v>0</v>
      </c>
      <c r="G313" s="2" t="s">
        <v>9937</v>
      </c>
      <c r="H313" s="3" t="str">
        <f>_xlfn.IFNA(INDEX(RulebookFields!C2:C999, MATCH(D313,RulebookFields!A2:A999, 0)), "")</f>
        <v>Steps</v>
      </c>
      <c r="I313" s="3" t="str">
        <f>_xlfn.IFNA(INDEX(RulebookFields!D2:D999, MATCH(D313,RulebookFields!A2:A999, 0)), "")</f>
        <v>StepNumber</v>
      </c>
      <c r="J313" s="3" t="b">
        <f>_xlfn.IFNA(INDEX(RulebookFields!I2:I999, MATCH(D313,RulebookFields!A2:A999, 0)), "")</f>
        <v>0</v>
      </c>
      <c r="K313" s="3" t="b">
        <f>AND(F313, J313)</f>
        <v>0</v>
      </c>
      <c r="L313" s="3" t="b">
        <f>AND(G313 &lt;&gt; "plain", G313 &lt;&gt; "")</f>
        <v>0</v>
      </c>
      <c r="M313" s="3" t="str">
        <f>IF(E313, C313 &amp; "|" &amp; H313, "")</f>
        <v>principal-close-automation|Steps</v>
      </c>
      <c r="N313" s="2" t="s">
        <v>9938</v>
      </c>
    </row>
    <row r="314">
      <c r="A314" s="2" t="s">
        <v>10250</v>
      </c>
      <c r="B314" s="3" t="str">
        <f>C314 &amp; " -&gt; " &amp; D314</f>
        <v>principal-close-automation -&gt; Steps.Title</v>
      </c>
      <c r="C314" s="2" t="s">
        <v>9698</v>
      </c>
      <c r="D314" s="2" t="s">
        <v>2842</v>
      </c>
      <c r="E314" s="2" t="b">
        <v>1</v>
      </c>
      <c r="F314" s="2" t="b">
        <v>0</v>
      </c>
      <c r="G314" s="2" t="s">
        <v>9937</v>
      </c>
      <c r="H314" s="3" t="str">
        <f>_xlfn.IFNA(INDEX(RulebookFields!C2:C999, MATCH(D314,RulebookFields!A2:A999, 0)), "")</f>
        <v>Steps</v>
      </c>
      <c r="I314" s="3" t="str">
        <f>_xlfn.IFNA(INDEX(RulebookFields!D2:D999, MATCH(D314,RulebookFields!A2:A999, 0)), "")</f>
        <v>Title</v>
      </c>
      <c r="J314" s="3" t="b">
        <f>_xlfn.IFNA(INDEX(RulebookFields!I2:I999, MATCH(D314,RulebookFields!A2:A999, 0)), "")</f>
        <v>0</v>
      </c>
      <c r="K314" s="3" t="b">
        <f>AND(F314, J314)</f>
        <v>0</v>
      </c>
      <c r="L314" s="3" t="b">
        <f>AND(G314 &lt;&gt; "plain", G314 &lt;&gt; "")</f>
        <v>0</v>
      </c>
      <c r="M314" s="3" t="str">
        <f>IF(E314, C314 &amp; "|" &amp; H314, "")</f>
        <v>principal-close-automation|Steps</v>
      </c>
      <c r="N314" s="2" t="s">
        <v>9938</v>
      </c>
    </row>
    <row r="315">
      <c r="A315" s="2" t="s">
        <v>10251</v>
      </c>
      <c r="B315" s="3" t="str">
        <f>C315 &amp; " -&gt; " &amp; D315</f>
        <v>principal-close-automation -&gt; Steps.StepKind</v>
      </c>
      <c r="C315" s="2" t="s">
        <v>9698</v>
      </c>
      <c r="D315" s="2" t="s">
        <v>2843</v>
      </c>
      <c r="E315" s="2" t="b">
        <v>1</v>
      </c>
      <c r="F315" s="2" t="b">
        <v>0</v>
      </c>
      <c r="G315" s="2" t="s">
        <v>9937</v>
      </c>
      <c r="H315" s="3" t="str">
        <f>_xlfn.IFNA(INDEX(RulebookFields!C2:C999, MATCH(D315,RulebookFields!A2:A999, 0)), "")</f>
        <v>Steps</v>
      </c>
      <c r="I315" s="3" t="str">
        <f>_xlfn.IFNA(INDEX(RulebookFields!D2:D999, MATCH(D315,RulebookFields!A2:A999, 0)), "")</f>
        <v>StepKind</v>
      </c>
      <c r="J315" s="3" t="b">
        <f>_xlfn.IFNA(INDEX(RulebookFields!I2:I999, MATCH(D315,RulebookFields!A2:A999, 0)), "")</f>
        <v>0</v>
      </c>
      <c r="K315" s="3" t="b">
        <f>AND(F315, J315)</f>
        <v>0</v>
      </c>
      <c r="L315" s="3" t="b">
        <f>AND(G315 &lt;&gt; "plain", G315 &lt;&gt; "")</f>
        <v>0</v>
      </c>
      <c r="M315" s="3" t="str">
        <f>IF(E315, C315 &amp; "|" &amp; H315, "")</f>
        <v>principal-close-automation|Steps</v>
      </c>
      <c r="N315" s="2" t="s">
        <v>9938</v>
      </c>
    </row>
    <row r="316">
      <c r="A316" s="2" t="s">
        <v>10252</v>
      </c>
      <c r="B316" s="3" t="str">
        <f>C316 &amp; " -&gt; " &amp; D316</f>
        <v>principal-close-automation -&gt; Steps.Instruction</v>
      </c>
      <c r="C316" s="2" t="s">
        <v>9698</v>
      </c>
      <c r="D316" s="2" t="s">
        <v>2849</v>
      </c>
      <c r="E316" s="2" t="b">
        <v>1</v>
      </c>
      <c r="F316" s="2" t="b">
        <v>0</v>
      </c>
      <c r="G316" s="2" t="s">
        <v>9937</v>
      </c>
      <c r="H316" s="3" t="str">
        <f>_xlfn.IFNA(INDEX(RulebookFields!C2:C999, MATCH(D316,RulebookFields!A2:A999, 0)), "")</f>
        <v>Steps</v>
      </c>
      <c r="I316" s="3" t="str">
        <f>_xlfn.IFNA(INDEX(RulebookFields!D2:D999, MATCH(D316,RulebookFields!A2:A999, 0)), "")</f>
        <v>Instruction</v>
      </c>
      <c r="J316" s="3" t="b">
        <f>_xlfn.IFNA(INDEX(RulebookFields!I2:I999, MATCH(D316,RulebookFields!A2:A999, 0)), "")</f>
        <v>0</v>
      </c>
      <c r="K316" s="3" t="b">
        <f>AND(F316, J316)</f>
        <v>0</v>
      </c>
      <c r="L316" s="3" t="b">
        <f>AND(G316 &lt;&gt; "plain", G316 &lt;&gt; "")</f>
        <v>0</v>
      </c>
      <c r="M316" s="3" t="str">
        <f>IF(E316, C316 &amp; "|" &amp; H316, "")</f>
        <v>principal-close-automation|Steps</v>
      </c>
      <c r="N316" s="2" t="s">
        <v>9938</v>
      </c>
    </row>
    <row r="317">
      <c r="A317" s="2" t="s">
        <v>10253</v>
      </c>
      <c r="B317" s="3" t="str">
        <f>C317 &amp; " -&gt; " &amp; D317</f>
        <v>principal-close-automation -&gt; Steps.AssignedRole</v>
      </c>
      <c r="C317" s="2" t="s">
        <v>9698</v>
      </c>
      <c r="D317" s="2" t="s">
        <v>2844</v>
      </c>
      <c r="E317" s="2" t="b">
        <v>1</v>
      </c>
      <c r="F317" s="2" t="b">
        <v>0</v>
      </c>
      <c r="G317" s="2" t="s">
        <v>9937</v>
      </c>
      <c r="H317" s="3" t="str">
        <f>_xlfn.IFNA(INDEX(RulebookFields!C2:C999, MATCH(D317,RulebookFields!A2:A999, 0)), "")</f>
        <v>Steps</v>
      </c>
      <c r="I317" s="3" t="str">
        <f>_xlfn.IFNA(INDEX(RulebookFields!D2:D999, MATCH(D317,RulebookFields!A2:A999, 0)), "")</f>
        <v>AssignedRole</v>
      </c>
      <c r="J317" s="3" t="b">
        <f>_xlfn.IFNA(INDEX(RulebookFields!I2:I999, MATCH(D317,RulebookFields!A2:A999, 0)), "")</f>
        <v>0</v>
      </c>
      <c r="K317" s="3" t="b">
        <f>AND(F317, J317)</f>
        <v>0</v>
      </c>
      <c r="L317" s="3" t="b">
        <f>AND(G317 &lt;&gt; "plain", G317 &lt;&gt; "")</f>
        <v>0</v>
      </c>
      <c r="M317" s="3" t="str">
        <f>IF(E317, C317 &amp; "|" &amp; H317, "")</f>
        <v>principal-close-automation|Steps</v>
      </c>
      <c r="N317" s="2" t="s">
        <v>9938</v>
      </c>
    </row>
    <row r="318">
      <c r="A318" s="2" t="s">
        <v>10254</v>
      </c>
      <c r="B318" s="3" t="str">
        <f>C318 &amp; " -&gt; " &amp; D318</f>
        <v>principal-close-automation -&gt; Steps.AssignedRoleLabel</v>
      </c>
      <c r="C318" s="2" t="s">
        <v>9698</v>
      </c>
      <c r="D318" s="2" t="s">
        <v>2845</v>
      </c>
      <c r="E318" s="2" t="b">
        <v>1</v>
      </c>
      <c r="F318" s="2" t="b">
        <v>0</v>
      </c>
      <c r="G318" s="2" t="s">
        <v>9937</v>
      </c>
      <c r="H318" s="3" t="str">
        <f>_xlfn.IFNA(INDEX(RulebookFields!C2:C999, MATCH(D318,RulebookFields!A2:A999, 0)), "")</f>
        <v>Steps</v>
      </c>
      <c r="I318" s="3" t="str">
        <f>_xlfn.IFNA(INDEX(RulebookFields!D2:D999, MATCH(D318,RulebookFields!A2:A999, 0)), "")</f>
        <v>AssignedRoleLabel</v>
      </c>
      <c r="J318" s="3" t="b">
        <f>_xlfn.IFNA(INDEX(RulebookFields!I2:I999, MATCH(D318,RulebookFields!A2:A999, 0)), "")</f>
        <v>1</v>
      </c>
      <c r="K318" s="3" t="b">
        <f>AND(F318, J318)</f>
        <v>0</v>
      </c>
      <c r="L318" s="3" t="b">
        <f>AND(G318 &lt;&gt; "plain", G318 &lt;&gt; "")</f>
        <v>0</v>
      </c>
      <c r="M318" s="3" t="str">
        <f>IF(E318, C318 &amp; "|" &amp; H318, "")</f>
        <v>principal-close-automation|Steps</v>
      </c>
      <c r="N318" s="2" t="s">
        <v>9938</v>
      </c>
    </row>
    <row r="319">
      <c r="A319" s="2" t="s">
        <v>10255</v>
      </c>
      <c r="B319" s="3" t="str">
        <f>C319 &amp; " -&gt; " &amp; D319</f>
        <v>principal-close-automation -&gt; Steps.ProcedureVersion</v>
      </c>
      <c r="C319" s="2" t="s">
        <v>9698</v>
      </c>
      <c r="D319" s="2" t="s">
        <v>2840</v>
      </c>
      <c r="E319" s="2" t="b">
        <v>1</v>
      </c>
      <c r="F319" s="2" t="b">
        <v>0</v>
      </c>
      <c r="G319" s="2" t="s">
        <v>9937</v>
      </c>
      <c r="H319" s="3" t="str">
        <f>_xlfn.IFNA(INDEX(RulebookFields!C2:C999, MATCH(D319,RulebookFields!A2:A999, 0)), "")</f>
        <v>Steps</v>
      </c>
      <c r="I319" s="3" t="str">
        <f>_xlfn.IFNA(INDEX(RulebookFields!D2:D999, MATCH(D319,RulebookFields!A2:A999, 0)), "")</f>
        <v>ProcedureVersion</v>
      </c>
      <c r="J319" s="3" t="b">
        <f>_xlfn.IFNA(INDEX(RulebookFields!I2:I999, MATCH(D319,RulebookFields!A2:A999, 0)), "")</f>
        <v>0</v>
      </c>
      <c r="K319" s="3" t="b">
        <f>AND(F319, J319)</f>
        <v>0</v>
      </c>
      <c r="L319" s="3" t="b">
        <f>AND(G319 &lt;&gt; "plain", G319 &lt;&gt; "")</f>
        <v>0</v>
      </c>
      <c r="M319" s="3" t="str">
        <f>IF(E319, C319 &amp; "|" &amp; H319, "")</f>
        <v>principal-close-automation|Steps</v>
      </c>
      <c r="N319" s="2" t="s">
        <v>9938</v>
      </c>
    </row>
    <row r="320">
      <c r="A320" s="2" t="s">
        <v>10256</v>
      </c>
      <c r="B320" s="3" t="str">
        <f>C320 &amp; " -&gt; " &amp; D320</f>
        <v>principal-close-automation -&gt; Steps.Name</v>
      </c>
      <c r="C320" s="2" t="s">
        <v>9698</v>
      </c>
      <c r="D320" s="2" t="s">
        <v>2838</v>
      </c>
      <c r="E320" s="2" t="b">
        <v>1</v>
      </c>
      <c r="F320" s="2" t="b">
        <v>0</v>
      </c>
      <c r="G320" s="2" t="s">
        <v>9937</v>
      </c>
      <c r="H320" s="3" t="str">
        <f>_xlfn.IFNA(INDEX(RulebookFields!C2:C999, MATCH(D320,RulebookFields!A2:A999, 0)), "")</f>
        <v>Steps</v>
      </c>
      <c r="I320" s="3" t="str">
        <f>_xlfn.IFNA(INDEX(RulebookFields!D2:D999, MATCH(D320,RulebookFields!A2:A999, 0)), "")</f>
        <v>Name</v>
      </c>
      <c r="J320" s="3" t="b">
        <f>_xlfn.IFNA(INDEX(RulebookFields!I2:I999, MATCH(D320,RulebookFields!A2:A999, 0)), "")</f>
        <v>1</v>
      </c>
      <c r="K320" s="3" t="b">
        <f>AND(F320, J320)</f>
        <v>0</v>
      </c>
      <c r="L320" s="3" t="b">
        <f>AND(G320 &lt;&gt; "plain", G320 &lt;&gt; "")</f>
        <v>0</v>
      </c>
      <c r="M320" s="3" t="str">
        <f>IF(E320, C320 &amp; "|" &amp; H320, "")</f>
        <v>principal-close-automation|Steps</v>
      </c>
      <c r="N320" s="2" t="s">
        <v>9938</v>
      </c>
    </row>
    <row r="321">
      <c r="A321" s="2" t="s">
        <v>10257</v>
      </c>
      <c r="B321" s="3" t="str">
        <f>C321 &amp; " -&gt; " &amp; D321</f>
        <v>principal-close-automation -&gt; Steps.ExpectedDurationMinutes</v>
      </c>
      <c r="C321" s="2" t="s">
        <v>9698</v>
      </c>
      <c r="D321" s="2" t="s">
        <v>2850</v>
      </c>
      <c r="E321" s="2" t="b">
        <v>1</v>
      </c>
      <c r="F321" s="2" t="b">
        <v>0</v>
      </c>
      <c r="G321" s="2" t="s">
        <v>9937</v>
      </c>
      <c r="H321" s="3" t="str">
        <f>_xlfn.IFNA(INDEX(RulebookFields!C2:C999, MATCH(D321,RulebookFields!A2:A999, 0)), "")</f>
        <v>Steps</v>
      </c>
      <c r="I321" s="3" t="str">
        <f>_xlfn.IFNA(INDEX(RulebookFields!D2:D999, MATCH(D321,RulebookFields!A2:A999, 0)), "")</f>
        <v>ExpectedDurationMinutes</v>
      </c>
      <c r="J321" s="3" t="b">
        <f>_xlfn.IFNA(INDEX(RulebookFields!I2:I999, MATCH(D321,RulebookFields!A2:A999, 0)), "")</f>
        <v>0</v>
      </c>
      <c r="K321" s="3" t="b">
        <f>AND(F321, J321)</f>
        <v>0</v>
      </c>
      <c r="L321" s="3" t="b">
        <f>AND(G321 &lt;&gt; "plain", G321 &lt;&gt; "")</f>
        <v>0</v>
      </c>
      <c r="M321" s="3" t="str">
        <f>IF(E321, C321 &amp; "|" &amp; H321, "")</f>
        <v>principal-close-automation|Steps</v>
      </c>
      <c r="N321" s="2" t="s">
        <v>9938</v>
      </c>
    </row>
    <row r="322">
      <c r="A322" s="2" t="s">
        <v>10258</v>
      </c>
      <c r="B322" s="3" t="str">
        <f>C322 &amp; " -&gt; " &amp; D322</f>
        <v>principal-close-automation -&gt; StepExecutions.StepExecutionId</v>
      </c>
      <c r="C322" s="2" t="s">
        <v>9698</v>
      </c>
      <c r="D322" s="2" t="s">
        <v>3507</v>
      </c>
      <c r="E322" s="2" t="b">
        <v>1</v>
      </c>
      <c r="F322" s="2" t="b">
        <v>0</v>
      </c>
      <c r="G322" s="2" t="s">
        <v>9937</v>
      </c>
      <c r="H322" s="3" t="str">
        <f>_xlfn.IFNA(INDEX(RulebookFields!C2:C999, MATCH(D322,RulebookFields!A2:A999, 0)), "")</f>
        <v>StepExecutions</v>
      </c>
      <c r="I322" s="3" t="str">
        <f>_xlfn.IFNA(INDEX(RulebookFields!D2:D999, MATCH(D322,RulebookFields!A2:A999, 0)), "")</f>
        <v>StepExecutionId</v>
      </c>
      <c r="J322" s="3" t="b">
        <f>_xlfn.IFNA(INDEX(RulebookFields!I2:I999, MATCH(D322,RulebookFields!A2:A999, 0)), "")</f>
        <v>0</v>
      </c>
      <c r="K322" s="3" t="b">
        <f>AND(F322, J322)</f>
        <v>0</v>
      </c>
      <c r="L322" s="3" t="b">
        <f>AND(G322 &lt;&gt; "plain", G322 &lt;&gt; "")</f>
        <v>0</v>
      </c>
      <c r="M322" s="3" t="str">
        <f>IF(E322, C322 &amp; "|" &amp; H322, "")</f>
        <v>principal-close-automation|StepExecutions</v>
      </c>
      <c r="N322" s="2" t="s">
        <v>9938</v>
      </c>
    </row>
    <row r="323">
      <c r="A323" s="2" t="s">
        <v>10259</v>
      </c>
      <c r="B323" s="3" t="str">
        <f>C323 &amp; " -&gt; " &amp; D323</f>
        <v>principal-close-automation -&gt; StepExecutions.Step</v>
      </c>
      <c r="C323" s="2" t="s">
        <v>9698</v>
      </c>
      <c r="D323" s="2" t="s">
        <v>3511</v>
      </c>
      <c r="E323" s="2" t="b">
        <v>1</v>
      </c>
      <c r="F323" s="2" t="b">
        <v>0</v>
      </c>
      <c r="G323" s="2" t="s">
        <v>9937</v>
      </c>
      <c r="H323" s="3" t="str">
        <f>_xlfn.IFNA(INDEX(RulebookFields!C2:C999, MATCH(D323,RulebookFields!A2:A999, 0)), "")</f>
        <v>StepExecutions</v>
      </c>
      <c r="I323" s="3" t="str">
        <f>_xlfn.IFNA(INDEX(RulebookFields!D2:D999, MATCH(D323,RulebookFields!A2:A999, 0)), "")</f>
        <v>Step</v>
      </c>
      <c r="J323" s="3" t="b">
        <f>_xlfn.IFNA(INDEX(RulebookFields!I2:I999, MATCH(D323,RulebookFields!A2:A999, 0)), "")</f>
        <v>0</v>
      </c>
      <c r="K323" s="3" t="b">
        <f>AND(F323, J323)</f>
        <v>0</v>
      </c>
      <c r="L323" s="3" t="b">
        <f>AND(G323 &lt;&gt; "plain", G323 &lt;&gt; "")</f>
        <v>0</v>
      </c>
      <c r="M323" s="3" t="str">
        <f>IF(E323, C323 &amp; "|" &amp; H323, "")</f>
        <v>principal-close-automation|StepExecutions</v>
      </c>
      <c r="N323" s="2" t="s">
        <v>9938</v>
      </c>
    </row>
    <row r="324">
      <c r="A324" s="2" t="s">
        <v>10260</v>
      </c>
      <c r="B324" s="3" t="str">
        <f>C324 &amp; " -&gt; " &amp; D324</f>
        <v>principal-close-automation -&gt; StepExecutions.ExecutionStatus</v>
      </c>
      <c r="C324" s="2" t="s">
        <v>9698</v>
      </c>
      <c r="D324" s="2" t="s">
        <v>3513</v>
      </c>
      <c r="E324" s="2" t="b">
        <v>1</v>
      </c>
      <c r="F324" s="2" t="b">
        <v>0</v>
      </c>
      <c r="G324" s="2" t="s">
        <v>9937</v>
      </c>
      <c r="H324" s="3" t="str">
        <f>_xlfn.IFNA(INDEX(RulebookFields!C2:C999, MATCH(D324,RulebookFields!A2:A999, 0)), "")</f>
        <v>StepExecutions</v>
      </c>
      <c r="I324" s="3" t="str">
        <f>_xlfn.IFNA(INDEX(RulebookFields!D2:D999, MATCH(D324,RulebookFields!A2:A999, 0)), "")</f>
        <v>ExecutionStatus</v>
      </c>
      <c r="J324" s="3" t="b">
        <f>_xlfn.IFNA(INDEX(RulebookFields!I2:I999, MATCH(D324,RulebookFields!A2:A999, 0)), "")</f>
        <v>0</v>
      </c>
      <c r="K324" s="3" t="b">
        <f>AND(F324, J324)</f>
        <v>0</v>
      </c>
      <c r="L324" s="3" t="b">
        <f>AND(G324 &lt;&gt; "plain", G324 &lt;&gt; "")</f>
        <v>0</v>
      </c>
      <c r="M324" s="3" t="str">
        <f>IF(E324, C324 &amp; "|" &amp; H324, "")</f>
        <v>principal-close-automation|StepExecutions</v>
      </c>
      <c r="N324" s="2" t="s">
        <v>9938</v>
      </c>
    </row>
    <row r="325">
      <c r="A325" s="2" t="s">
        <v>10261</v>
      </c>
      <c r="B325" s="3" t="str">
        <f>C325 &amp; " -&gt; " &amp; D325</f>
        <v>principal-close-automation -&gt; StepExecutions.StartedAt</v>
      </c>
      <c r="C325" s="2" t="s">
        <v>9698</v>
      </c>
      <c r="D325" s="2" t="s">
        <v>3514</v>
      </c>
      <c r="E325" s="2" t="b">
        <v>1</v>
      </c>
      <c r="F325" s="2" t="b">
        <v>0</v>
      </c>
      <c r="G325" s="2" t="s">
        <v>9937</v>
      </c>
      <c r="H325" s="3" t="str">
        <f>_xlfn.IFNA(INDEX(RulebookFields!C2:C999, MATCH(D325,RulebookFields!A2:A999, 0)), "")</f>
        <v>StepExecutions</v>
      </c>
      <c r="I325" s="3" t="str">
        <f>_xlfn.IFNA(INDEX(RulebookFields!D2:D999, MATCH(D325,RulebookFields!A2:A999, 0)), "")</f>
        <v>StartedAt</v>
      </c>
      <c r="J325" s="3" t="b">
        <f>_xlfn.IFNA(INDEX(RulebookFields!I2:I999, MATCH(D325,RulebookFields!A2:A999, 0)), "")</f>
        <v>0</v>
      </c>
      <c r="K325" s="3" t="b">
        <f>AND(F325, J325)</f>
        <v>0</v>
      </c>
      <c r="L325" s="3" t="b">
        <f>AND(G325 &lt;&gt; "plain", G325 &lt;&gt; "")</f>
        <v>0</v>
      </c>
      <c r="M325" s="3" t="str">
        <f>IF(E325, C325 &amp; "|" &amp; H325, "")</f>
        <v>principal-close-automation|StepExecutions</v>
      </c>
      <c r="N325" s="2" t="s">
        <v>9938</v>
      </c>
    </row>
    <row r="326">
      <c r="A326" s="2" t="s">
        <v>10262</v>
      </c>
      <c r="B326" s="3" t="str">
        <f>C326 &amp; " -&gt; " &amp; D326</f>
        <v>principal-close-automation -&gt; StepExecutions.EndedAt</v>
      </c>
      <c r="C326" s="2" t="s">
        <v>9698</v>
      </c>
      <c r="D326" s="2" t="s">
        <v>3515</v>
      </c>
      <c r="E326" s="2" t="b">
        <v>1</v>
      </c>
      <c r="F326" s="2" t="b">
        <v>0</v>
      </c>
      <c r="G326" s="2" t="s">
        <v>9937</v>
      </c>
      <c r="H326" s="3" t="str">
        <f>_xlfn.IFNA(INDEX(RulebookFields!C2:C999, MATCH(D326,RulebookFields!A2:A999, 0)), "")</f>
        <v>StepExecutions</v>
      </c>
      <c r="I326" s="3" t="str">
        <f>_xlfn.IFNA(INDEX(RulebookFields!D2:D999, MATCH(D326,RulebookFields!A2:A999, 0)), "")</f>
        <v>EndedAt</v>
      </c>
      <c r="J326" s="3" t="b">
        <f>_xlfn.IFNA(INDEX(RulebookFields!I2:I999, MATCH(D326,RulebookFields!A2:A999, 0)), "")</f>
        <v>0</v>
      </c>
      <c r="K326" s="3" t="b">
        <f>AND(F326, J326)</f>
        <v>0</v>
      </c>
      <c r="L326" s="3" t="b">
        <f>AND(G326 &lt;&gt; "plain", G326 &lt;&gt; "")</f>
        <v>0</v>
      </c>
      <c r="M326" s="3" t="str">
        <f>IF(E326, C326 &amp; "|" &amp; H326, "")</f>
        <v>principal-close-automation|StepExecutions</v>
      </c>
      <c r="N326" s="2" t="s">
        <v>9938</v>
      </c>
    </row>
    <row r="327">
      <c r="A327" s="2" t="s">
        <v>10263</v>
      </c>
      <c r="B327" s="3" t="str">
        <f>C327 &amp; " -&gt; " &amp; D327</f>
        <v>principal-close-automation -&gt; StepExecutions.VerificationResult</v>
      </c>
      <c r="C327" s="2" t="s">
        <v>9698</v>
      </c>
      <c r="D327" s="2" t="s">
        <v>3516</v>
      </c>
      <c r="E327" s="2" t="b">
        <v>1</v>
      </c>
      <c r="F327" s="2" t="b">
        <v>0</v>
      </c>
      <c r="G327" s="2" t="s">
        <v>9937</v>
      </c>
      <c r="H327" s="3" t="str">
        <f>_xlfn.IFNA(INDEX(RulebookFields!C2:C999, MATCH(D327,RulebookFields!A2:A999, 0)), "")</f>
        <v>StepExecutions</v>
      </c>
      <c r="I327" s="3" t="str">
        <f>_xlfn.IFNA(INDEX(RulebookFields!D2:D999, MATCH(D327,RulebookFields!A2:A999, 0)), "")</f>
        <v>VerificationResult</v>
      </c>
      <c r="J327" s="3" t="b">
        <f>_xlfn.IFNA(INDEX(RulebookFields!I2:I999, MATCH(D327,RulebookFields!A2:A999, 0)), "")</f>
        <v>0</v>
      </c>
      <c r="K327" s="3" t="b">
        <f>AND(F327, J327)</f>
        <v>0</v>
      </c>
      <c r="L327" s="3" t="b">
        <f>AND(G327 &lt;&gt; "plain", G327 &lt;&gt; "")</f>
        <v>0</v>
      </c>
      <c r="M327" s="3" t="str">
        <f>IF(E327, C327 &amp; "|" &amp; H327, "")</f>
        <v>principal-close-automation|StepExecutions</v>
      </c>
      <c r="N327" s="2" t="s">
        <v>9938</v>
      </c>
    </row>
    <row r="328">
      <c r="A328" s="2" t="s">
        <v>10264</v>
      </c>
      <c r="B328" s="3" t="str">
        <f>C328 &amp; " -&gt; " &amp; D328</f>
        <v>principal-close-automation -&gt; StepExecutions.Name</v>
      </c>
      <c r="C328" s="2" t="s">
        <v>9698</v>
      </c>
      <c r="D328" s="2" t="s">
        <v>3508</v>
      </c>
      <c r="E328" s="2" t="b">
        <v>1</v>
      </c>
      <c r="F328" s="2" t="b">
        <v>0</v>
      </c>
      <c r="G328" s="2" t="s">
        <v>9937</v>
      </c>
      <c r="H328" s="3" t="str">
        <f>_xlfn.IFNA(INDEX(RulebookFields!C2:C999, MATCH(D328,RulebookFields!A2:A999, 0)), "")</f>
        <v>StepExecutions</v>
      </c>
      <c r="I328" s="3" t="str">
        <f>_xlfn.IFNA(INDEX(RulebookFields!D2:D999, MATCH(D328,RulebookFields!A2:A999, 0)), "")</f>
        <v>Name</v>
      </c>
      <c r="J328" s="3" t="b">
        <f>_xlfn.IFNA(INDEX(RulebookFields!I2:I999, MATCH(D328,RulebookFields!A2:A999, 0)), "")</f>
        <v>1</v>
      </c>
      <c r="K328" s="3" t="b">
        <f>AND(F328, J328)</f>
        <v>0</v>
      </c>
      <c r="L328" s="3" t="b">
        <f>AND(G328 &lt;&gt; "plain", G328 &lt;&gt; "")</f>
        <v>0</v>
      </c>
      <c r="M328" s="3" t="str">
        <f>IF(E328, C328 &amp; "|" &amp; H328, "")</f>
        <v>principal-close-automation|StepExecutions</v>
      </c>
      <c r="N328" s="2" t="s">
        <v>9938</v>
      </c>
    </row>
    <row r="329">
      <c r="A329" s="2" t="s">
        <v>10265</v>
      </c>
      <c r="B329" s="3" t="str">
        <f>C329 &amp; " -&gt; " &amp; D329</f>
        <v>principal-close-automation -&gt; Errors.ErrorId</v>
      </c>
      <c r="C329" s="2" t="s">
        <v>9698</v>
      </c>
      <c r="D329" s="2" t="s">
        <v>3787</v>
      </c>
      <c r="E329" s="2" t="b">
        <v>1</v>
      </c>
      <c r="F329" s="2" t="b">
        <v>0</v>
      </c>
      <c r="G329" s="2" t="s">
        <v>9937</v>
      </c>
      <c r="H329" s="3" t="str">
        <f>_xlfn.IFNA(INDEX(RulebookFields!C2:C999, MATCH(D329,RulebookFields!A2:A999, 0)), "")</f>
        <v>Errors</v>
      </c>
      <c r="I329" s="3" t="str">
        <f>_xlfn.IFNA(INDEX(RulebookFields!D2:D999, MATCH(D329,RulebookFields!A2:A999, 0)), "")</f>
        <v>ErrorId</v>
      </c>
      <c r="J329" s="3" t="b">
        <f>_xlfn.IFNA(INDEX(RulebookFields!I2:I999, MATCH(D329,RulebookFields!A2:A999, 0)), "")</f>
        <v>0</v>
      </c>
      <c r="K329" s="3" t="b">
        <f>AND(F329, J329)</f>
        <v>0</v>
      </c>
      <c r="L329" s="3" t="b">
        <f>AND(G329 &lt;&gt; "plain", G329 &lt;&gt; "")</f>
        <v>0</v>
      </c>
      <c r="M329" s="3" t="str">
        <f>IF(E329, C329 &amp; "|" &amp; H329, "")</f>
        <v>principal-close-automation|Errors</v>
      </c>
      <c r="N329" s="2" t="s">
        <v>9938</v>
      </c>
    </row>
    <row r="330">
      <c r="A330" s="2" t="s">
        <v>10266</v>
      </c>
      <c r="B330" s="3" t="str">
        <f>C330 &amp; " -&gt; " &amp; D330</f>
        <v>principal-close-automation -&gt; Errors.Name</v>
      </c>
      <c r="C330" s="2" t="s">
        <v>9698</v>
      </c>
      <c r="D330" s="2" t="s">
        <v>3788</v>
      </c>
      <c r="E330" s="2" t="b">
        <v>1</v>
      </c>
      <c r="F330" s="2" t="b">
        <v>0</v>
      </c>
      <c r="G330" s="2" t="s">
        <v>9937</v>
      </c>
      <c r="H330" s="3" t="str">
        <f>_xlfn.IFNA(INDEX(RulebookFields!C2:C999, MATCH(D330,RulebookFields!A2:A999, 0)), "")</f>
        <v>Errors</v>
      </c>
      <c r="I330" s="3" t="str">
        <f>_xlfn.IFNA(INDEX(RulebookFields!D2:D999, MATCH(D330,RulebookFields!A2:A999, 0)), "")</f>
        <v>Name</v>
      </c>
      <c r="J330" s="3" t="b">
        <f>_xlfn.IFNA(INDEX(RulebookFields!I2:I999, MATCH(D330,RulebookFields!A2:A999, 0)), "")</f>
        <v>1</v>
      </c>
      <c r="K330" s="3" t="b">
        <f>AND(F330, J330)</f>
        <v>0</v>
      </c>
      <c r="L330" s="3" t="b">
        <f>AND(G330 &lt;&gt; "plain", G330 &lt;&gt; "")</f>
        <v>0</v>
      </c>
      <c r="M330" s="3" t="str">
        <f>IF(E330, C330 &amp; "|" &amp; H330, "")</f>
        <v>principal-close-automation|Errors</v>
      </c>
      <c r="N330" s="2" t="s">
        <v>9938</v>
      </c>
    </row>
    <row r="331">
      <c r="A331" s="2" t="s">
        <v>10267</v>
      </c>
      <c r="B331" s="3" t="str">
        <f>C331 &amp; " -&gt; " &amp; D331</f>
        <v>principal-close-automation -&gt; Errors.Label</v>
      </c>
      <c r="C331" s="2" t="s">
        <v>9698</v>
      </c>
      <c r="D331" s="2" t="s">
        <v>3790</v>
      </c>
      <c r="E331" s="2" t="b">
        <v>1</v>
      </c>
      <c r="F331" s="2" t="b">
        <v>0</v>
      </c>
      <c r="G331" s="2" t="s">
        <v>9937</v>
      </c>
      <c r="H331" s="3" t="str">
        <f>_xlfn.IFNA(INDEX(RulebookFields!C2:C999, MATCH(D331,RulebookFields!A2:A999, 0)), "")</f>
        <v>Errors</v>
      </c>
      <c r="I331" s="3" t="str">
        <f>_xlfn.IFNA(INDEX(RulebookFields!D2:D999, MATCH(D331,RulebookFields!A2:A999, 0)), "")</f>
        <v>Label</v>
      </c>
      <c r="J331" s="3" t="b">
        <f>_xlfn.IFNA(INDEX(RulebookFields!I2:I999, MATCH(D331,RulebookFields!A2:A999, 0)), "")</f>
        <v>0</v>
      </c>
      <c r="K331" s="3" t="b">
        <f>AND(F331, J331)</f>
        <v>0</v>
      </c>
      <c r="L331" s="3" t="b">
        <f>AND(G331 &lt;&gt; "plain", G331 &lt;&gt; "")</f>
        <v>0</v>
      </c>
      <c r="M331" s="3" t="str">
        <f>IF(E331, C331 &amp; "|" &amp; H331, "")</f>
        <v>principal-close-automation|Errors</v>
      </c>
      <c r="N331" s="2" t="s">
        <v>9938</v>
      </c>
    </row>
    <row r="332">
      <c r="A332" s="2" t="s">
        <v>10268</v>
      </c>
      <c r="B332" s="3" t="str">
        <f>C332 &amp; " -&gt; " &amp; D332</f>
        <v>principal-close-automation -&gt; Errors.ErrorCode</v>
      </c>
      <c r="C332" s="2" t="s">
        <v>9698</v>
      </c>
      <c r="D332" s="2" t="s">
        <v>3791</v>
      </c>
      <c r="E332" s="2" t="b">
        <v>1</v>
      </c>
      <c r="F332" s="2" t="b">
        <v>0</v>
      </c>
      <c r="G332" s="2" t="s">
        <v>9937</v>
      </c>
      <c r="H332" s="3" t="str">
        <f>_xlfn.IFNA(INDEX(RulebookFields!C2:C999, MATCH(D332,RulebookFields!A2:A999, 0)), "")</f>
        <v>Errors</v>
      </c>
      <c r="I332" s="3" t="str">
        <f>_xlfn.IFNA(INDEX(RulebookFields!D2:D999, MATCH(D332,RulebookFields!A2:A999, 0)), "")</f>
        <v>ErrorCode</v>
      </c>
      <c r="J332" s="3" t="b">
        <f>_xlfn.IFNA(INDEX(RulebookFields!I2:I999, MATCH(D332,RulebookFields!A2:A999, 0)), "")</f>
        <v>0</v>
      </c>
      <c r="K332" s="3" t="b">
        <f>AND(F332, J332)</f>
        <v>0</v>
      </c>
      <c r="L332" s="3" t="b">
        <f>AND(G332 &lt;&gt; "plain", G332 &lt;&gt; "")</f>
        <v>0</v>
      </c>
      <c r="M332" s="3" t="str">
        <f>IF(E332, C332 &amp; "|" &amp; H332, "")</f>
        <v>principal-close-automation|Errors</v>
      </c>
      <c r="N332" s="2" t="s">
        <v>9938</v>
      </c>
    </row>
    <row r="333">
      <c r="A333" s="2" t="s">
        <v>10269</v>
      </c>
      <c r="B333" s="3" t="str">
        <f>C333 &amp; " -&gt; " &amp; D333</f>
        <v>principal-close-automation -&gt; Errors.ErrorCause</v>
      </c>
      <c r="C333" s="2" t="s">
        <v>9698</v>
      </c>
      <c r="D333" s="2" t="s">
        <v>3792</v>
      </c>
      <c r="E333" s="2" t="b">
        <v>1</v>
      </c>
      <c r="F333" s="2" t="b">
        <v>0</v>
      </c>
      <c r="G333" s="2" t="s">
        <v>9937</v>
      </c>
      <c r="H333" s="3" t="str">
        <f>_xlfn.IFNA(INDEX(RulebookFields!C2:C999, MATCH(D333,RulebookFields!A2:A999, 0)), "")</f>
        <v>Errors</v>
      </c>
      <c r="I333" s="3" t="str">
        <f>_xlfn.IFNA(INDEX(RulebookFields!D2:D999, MATCH(D333,RulebookFields!A2:A999, 0)), "")</f>
        <v>ErrorCause</v>
      </c>
      <c r="J333" s="3" t="b">
        <f>_xlfn.IFNA(INDEX(RulebookFields!I2:I999, MATCH(D333,RulebookFields!A2:A999, 0)), "")</f>
        <v>0</v>
      </c>
      <c r="K333" s="3" t="b">
        <f>AND(F333, J333)</f>
        <v>0</v>
      </c>
      <c r="L333" s="3" t="b">
        <f>AND(G333 &lt;&gt; "plain", G333 &lt;&gt; "")</f>
        <v>0</v>
      </c>
      <c r="M333" s="3" t="str">
        <f>IF(E333, C333 &amp; "|" &amp; H333, "")</f>
        <v>principal-close-automation|Errors</v>
      </c>
      <c r="N333" s="2" t="s">
        <v>9938</v>
      </c>
    </row>
    <row r="334">
      <c r="A334" s="2" t="s">
        <v>10270</v>
      </c>
      <c r="B334" s="3" t="str">
        <f>C334 &amp; " -&gt; " &amp; D334</f>
        <v>principal-close-automation -&gt; Errors.SemanticTypeIri</v>
      </c>
      <c r="C334" s="2" t="s">
        <v>9698</v>
      </c>
      <c r="D334" s="2" t="s">
        <v>3793</v>
      </c>
      <c r="E334" s="2" t="b">
        <v>1</v>
      </c>
      <c r="F334" s="2" t="b">
        <v>0</v>
      </c>
      <c r="G334" s="2" t="s">
        <v>9937</v>
      </c>
      <c r="H334" s="3" t="str">
        <f>_xlfn.IFNA(INDEX(RulebookFields!C2:C999, MATCH(D334,RulebookFields!A2:A999, 0)), "")</f>
        <v>Errors</v>
      </c>
      <c r="I334" s="3" t="str">
        <f>_xlfn.IFNA(INDEX(RulebookFields!D2:D999, MATCH(D334,RulebookFields!A2:A999, 0)), "")</f>
        <v>SemanticTypeIri</v>
      </c>
      <c r="J334" s="3" t="b">
        <f>_xlfn.IFNA(INDEX(RulebookFields!I2:I999, MATCH(D334,RulebookFields!A2:A999, 0)), "")</f>
        <v>0</v>
      </c>
      <c r="K334" s="3" t="b">
        <f>AND(F334, J334)</f>
        <v>0</v>
      </c>
      <c r="L334" s="3" t="b">
        <f>AND(G334 &lt;&gt; "plain", G334 &lt;&gt; "")</f>
        <v>0</v>
      </c>
      <c r="M334" s="3" t="str">
        <f>IF(E334, C334 &amp; "|" &amp; H334, "")</f>
        <v>principal-close-automation|Errors</v>
      </c>
      <c r="N334" s="2" t="s">
        <v>9938</v>
      </c>
    </row>
    <row r="335">
      <c r="A335" s="2" t="s">
        <v>10271</v>
      </c>
      <c r="B335" s="3" t="str">
        <f>C335 &amp; " -&gt; " &amp; D335</f>
        <v>principal-variance-review-agent -&gt; Steps.StepId</v>
      </c>
      <c r="C335" s="2" t="s">
        <v>9700</v>
      </c>
      <c r="D335" s="2" t="s">
        <v>2837</v>
      </c>
      <c r="E335" s="2" t="b">
        <v>1</v>
      </c>
      <c r="F335" s="2" t="b">
        <v>0</v>
      </c>
      <c r="G335" s="2" t="s">
        <v>9937</v>
      </c>
      <c r="H335" s="3" t="str">
        <f>_xlfn.IFNA(INDEX(RulebookFields!C2:C999, MATCH(D335,RulebookFields!A2:A999, 0)), "")</f>
        <v>Steps</v>
      </c>
      <c r="I335" s="3" t="str">
        <f>_xlfn.IFNA(INDEX(RulebookFields!D2:D999, MATCH(D335,RulebookFields!A2:A999, 0)), "")</f>
        <v>StepId</v>
      </c>
      <c r="J335" s="3" t="b">
        <f>_xlfn.IFNA(INDEX(RulebookFields!I2:I999, MATCH(D335,RulebookFields!A2:A999, 0)), "")</f>
        <v>0</v>
      </c>
      <c r="K335" s="3" t="b">
        <f>AND(F335, J335)</f>
        <v>0</v>
      </c>
      <c r="L335" s="3" t="b">
        <f>AND(G335 &lt;&gt; "plain", G335 &lt;&gt; "")</f>
        <v>0</v>
      </c>
      <c r="M335" s="3" t="str">
        <f>IF(E335, C335 &amp; "|" &amp; H335, "")</f>
        <v>principal-variance-review-agent|Steps</v>
      </c>
      <c r="N335" s="2" t="s">
        <v>9938</v>
      </c>
    </row>
    <row r="336">
      <c r="A336" s="2" t="s">
        <v>10272</v>
      </c>
      <c r="B336" s="3" t="str">
        <f>C336 &amp; " -&gt; " &amp; D336</f>
        <v>principal-variance-review-agent -&gt; Steps.StepNumber</v>
      </c>
      <c r="C336" s="2" t="s">
        <v>9700</v>
      </c>
      <c r="D336" s="2" t="s">
        <v>2841</v>
      </c>
      <c r="E336" s="2" t="b">
        <v>1</v>
      </c>
      <c r="F336" s="2" t="b">
        <v>0</v>
      </c>
      <c r="G336" s="2" t="s">
        <v>9937</v>
      </c>
      <c r="H336" s="3" t="str">
        <f>_xlfn.IFNA(INDEX(RulebookFields!C2:C999, MATCH(D336,RulebookFields!A2:A999, 0)), "")</f>
        <v>Steps</v>
      </c>
      <c r="I336" s="3" t="str">
        <f>_xlfn.IFNA(INDEX(RulebookFields!D2:D999, MATCH(D336,RulebookFields!A2:A999, 0)), "")</f>
        <v>StepNumber</v>
      </c>
      <c r="J336" s="3" t="b">
        <f>_xlfn.IFNA(INDEX(RulebookFields!I2:I999, MATCH(D336,RulebookFields!A2:A999, 0)), "")</f>
        <v>0</v>
      </c>
      <c r="K336" s="3" t="b">
        <f>AND(F336, J336)</f>
        <v>0</v>
      </c>
      <c r="L336" s="3" t="b">
        <f>AND(G336 &lt;&gt; "plain", G336 &lt;&gt; "")</f>
        <v>0</v>
      </c>
      <c r="M336" s="3" t="str">
        <f>IF(E336, C336 &amp; "|" &amp; H336, "")</f>
        <v>principal-variance-review-agent|Steps</v>
      </c>
      <c r="N336" s="2" t="s">
        <v>9938</v>
      </c>
    </row>
    <row r="337">
      <c r="A337" s="2" t="s">
        <v>10273</v>
      </c>
      <c r="B337" s="3" t="str">
        <f>C337 &amp; " -&gt; " &amp; D337</f>
        <v>principal-variance-review-agent -&gt; Steps.Title</v>
      </c>
      <c r="C337" s="2" t="s">
        <v>9700</v>
      </c>
      <c r="D337" s="2" t="s">
        <v>2842</v>
      </c>
      <c r="E337" s="2" t="b">
        <v>1</v>
      </c>
      <c r="F337" s="2" t="b">
        <v>0</v>
      </c>
      <c r="G337" s="2" t="s">
        <v>9937</v>
      </c>
      <c r="H337" s="3" t="str">
        <f>_xlfn.IFNA(INDEX(RulebookFields!C2:C999, MATCH(D337,RulebookFields!A2:A999, 0)), "")</f>
        <v>Steps</v>
      </c>
      <c r="I337" s="3" t="str">
        <f>_xlfn.IFNA(INDEX(RulebookFields!D2:D999, MATCH(D337,RulebookFields!A2:A999, 0)), "")</f>
        <v>Title</v>
      </c>
      <c r="J337" s="3" t="b">
        <f>_xlfn.IFNA(INDEX(RulebookFields!I2:I999, MATCH(D337,RulebookFields!A2:A999, 0)), "")</f>
        <v>0</v>
      </c>
      <c r="K337" s="3" t="b">
        <f>AND(F337, J337)</f>
        <v>0</v>
      </c>
      <c r="L337" s="3" t="b">
        <f>AND(G337 &lt;&gt; "plain", G337 &lt;&gt; "")</f>
        <v>0</v>
      </c>
      <c r="M337" s="3" t="str">
        <f>IF(E337, C337 &amp; "|" &amp; H337, "")</f>
        <v>principal-variance-review-agent|Steps</v>
      </c>
      <c r="N337" s="2" t="s">
        <v>9938</v>
      </c>
    </row>
    <row r="338">
      <c r="A338" s="2" t="s">
        <v>10274</v>
      </c>
      <c r="B338" s="3" t="str">
        <f>C338 &amp; " -&gt; " &amp; D338</f>
        <v>principal-variance-review-agent -&gt; Steps.StepKind</v>
      </c>
      <c r="C338" s="2" t="s">
        <v>9700</v>
      </c>
      <c r="D338" s="2" t="s">
        <v>2843</v>
      </c>
      <c r="E338" s="2" t="b">
        <v>1</v>
      </c>
      <c r="F338" s="2" t="b">
        <v>0</v>
      </c>
      <c r="G338" s="2" t="s">
        <v>9937</v>
      </c>
      <c r="H338" s="3" t="str">
        <f>_xlfn.IFNA(INDEX(RulebookFields!C2:C999, MATCH(D338,RulebookFields!A2:A999, 0)), "")</f>
        <v>Steps</v>
      </c>
      <c r="I338" s="3" t="str">
        <f>_xlfn.IFNA(INDEX(RulebookFields!D2:D999, MATCH(D338,RulebookFields!A2:A999, 0)), "")</f>
        <v>StepKind</v>
      </c>
      <c r="J338" s="3" t="b">
        <f>_xlfn.IFNA(INDEX(RulebookFields!I2:I999, MATCH(D338,RulebookFields!A2:A999, 0)), "")</f>
        <v>0</v>
      </c>
      <c r="K338" s="3" t="b">
        <f>AND(F338, J338)</f>
        <v>0</v>
      </c>
      <c r="L338" s="3" t="b">
        <f>AND(G338 &lt;&gt; "plain", G338 &lt;&gt; "")</f>
        <v>0</v>
      </c>
      <c r="M338" s="3" t="str">
        <f>IF(E338, C338 &amp; "|" &amp; H338, "")</f>
        <v>principal-variance-review-agent|Steps</v>
      </c>
      <c r="N338" s="2" t="s">
        <v>9938</v>
      </c>
    </row>
    <row r="339">
      <c r="A339" s="2" t="s">
        <v>10275</v>
      </c>
      <c r="B339" s="3" t="str">
        <f>C339 &amp; " -&gt; " &amp; D339</f>
        <v>principal-variance-review-agent -&gt; Steps.Instruction</v>
      </c>
      <c r="C339" s="2" t="s">
        <v>9700</v>
      </c>
      <c r="D339" s="2" t="s">
        <v>2849</v>
      </c>
      <c r="E339" s="2" t="b">
        <v>1</v>
      </c>
      <c r="F339" s="2" t="b">
        <v>0</v>
      </c>
      <c r="G339" s="2" t="s">
        <v>9937</v>
      </c>
      <c r="H339" s="3" t="str">
        <f>_xlfn.IFNA(INDEX(RulebookFields!C2:C999, MATCH(D339,RulebookFields!A2:A999, 0)), "")</f>
        <v>Steps</v>
      </c>
      <c r="I339" s="3" t="str">
        <f>_xlfn.IFNA(INDEX(RulebookFields!D2:D999, MATCH(D339,RulebookFields!A2:A999, 0)), "")</f>
        <v>Instruction</v>
      </c>
      <c r="J339" s="3" t="b">
        <f>_xlfn.IFNA(INDEX(RulebookFields!I2:I999, MATCH(D339,RulebookFields!A2:A999, 0)), "")</f>
        <v>0</v>
      </c>
      <c r="K339" s="3" t="b">
        <f>AND(F339, J339)</f>
        <v>0</v>
      </c>
      <c r="L339" s="3" t="b">
        <f>AND(G339 &lt;&gt; "plain", G339 &lt;&gt; "")</f>
        <v>0</v>
      </c>
      <c r="M339" s="3" t="str">
        <f>IF(E339, C339 &amp; "|" &amp; H339, "")</f>
        <v>principal-variance-review-agent|Steps</v>
      </c>
      <c r="N339" s="2" t="s">
        <v>9938</v>
      </c>
    </row>
    <row r="340">
      <c r="A340" s="2" t="s">
        <v>10276</v>
      </c>
      <c r="B340" s="3" t="str">
        <f>C340 &amp; " -&gt; " &amp; D340</f>
        <v>principal-variance-review-agent -&gt; Steps.AssignedRole</v>
      </c>
      <c r="C340" s="2" t="s">
        <v>9700</v>
      </c>
      <c r="D340" s="2" t="s">
        <v>2844</v>
      </c>
      <c r="E340" s="2" t="b">
        <v>1</v>
      </c>
      <c r="F340" s="2" t="b">
        <v>0</v>
      </c>
      <c r="G340" s="2" t="s">
        <v>9937</v>
      </c>
      <c r="H340" s="3" t="str">
        <f>_xlfn.IFNA(INDEX(RulebookFields!C2:C999, MATCH(D340,RulebookFields!A2:A999, 0)), "")</f>
        <v>Steps</v>
      </c>
      <c r="I340" s="3" t="str">
        <f>_xlfn.IFNA(INDEX(RulebookFields!D2:D999, MATCH(D340,RulebookFields!A2:A999, 0)), "")</f>
        <v>AssignedRole</v>
      </c>
      <c r="J340" s="3" t="b">
        <f>_xlfn.IFNA(INDEX(RulebookFields!I2:I999, MATCH(D340,RulebookFields!A2:A999, 0)), "")</f>
        <v>0</v>
      </c>
      <c r="K340" s="3" t="b">
        <f>AND(F340, J340)</f>
        <v>0</v>
      </c>
      <c r="L340" s="3" t="b">
        <f>AND(G340 &lt;&gt; "plain", G340 &lt;&gt; "")</f>
        <v>0</v>
      </c>
      <c r="M340" s="3" t="str">
        <f>IF(E340, C340 &amp; "|" &amp; H340, "")</f>
        <v>principal-variance-review-agent|Steps</v>
      </c>
      <c r="N340" s="2" t="s">
        <v>9938</v>
      </c>
    </row>
    <row r="341">
      <c r="A341" s="2" t="s">
        <v>10277</v>
      </c>
      <c r="B341" s="3" t="str">
        <f>C341 &amp; " -&gt; " &amp; D341</f>
        <v>principal-variance-review-agent -&gt; Steps.AssignedRoleLabel</v>
      </c>
      <c r="C341" s="2" t="s">
        <v>9700</v>
      </c>
      <c r="D341" s="2" t="s">
        <v>2845</v>
      </c>
      <c r="E341" s="2" t="b">
        <v>1</v>
      </c>
      <c r="F341" s="2" t="b">
        <v>0</v>
      </c>
      <c r="G341" s="2" t="s">
        <v>9937</v>
      </c>
      <c r="H341" s="3" t="str">
        <f>_xlfn.IFNA(INDEX(RulebookFields!C2:C999, MATCH(D341,RulebookFields!A2:A999, 0)), "")</f>
        <v>Steps</v>
      </c>
      <c r="I341" s="3" t="str">
        <f>_xlfn.IFNA(INDEX(RulebookFields!D2:D999, MATCH(D341,RulebookFields!A2:A999, 0)), "")</f>
        <v>AssignedRoleLabel</v>
      </c>
      <c r="J341" s="3" t="b">
        <f>_xlfn.IFNA(INDEX(RulebookFields!I2:I999, MATCH(D341,RulebookFields!A2:A999, 0)), "")</f>
        <v>1</v>
      </c>
      <c r="K341" s="3" t="b">
        <f>AND(F341, J341)</f>
        <v>0</v>
      </c>
      <c r="L341" s="3" t="b">
        <f>AND(G341 &lt;&gt; "plain", G341 &lt;&gt; "")</f>
        <v>0</v>
      </c>
      <c r="M341" s="3" t="str">
        <f>IF(E341, C341 &amp; "|" &amp; H341, "")</f>
        <v>principal-variance-review-agent|Steps</v>
      </c>
      <c r="N341" s="2" t="s">
        <v>9938</v>
      </c>
    </row>
    <row r="342">
      <c r="A342" s="2" t="s">
        <v>10278</v>
      </c>
      <c r="B342" s="3" t="str">
        <f>C342 &amp; " -&gt; " &amp; D342</f>
        <v>principal-variance-review-agent -&gt; Steps.ProcedureVersion</v>
      </c>
      <c r="C342" s="2" t="s">
        <v>9700</v>
      </c>
      <c r="D342" s="2" t="s">
        <v>2840</v>
      </c>
      <c r="E342" s="2" t="b">
        <v>1</v>
      </c>
      <c r="F342" s="2" t="b">
        <v>0</v>
      </c>
      <c r="G342" s="2" t="s">
        <v>9937</v>
      </c>
      <c r="H342" s="3" t="str">
        <f>_xlfn.IFNA(INDEX(RulebookFields!C2:C999, MATCH(D342,RulebookFields!A2:A999, 0)), "")</f>
        <v>Steps</v>
      </c>
      <c r="I342" s="3" t="str">
        <f>_xlfn.IFNA(INDEX(RulebookFields!D2:D999, MATCH(D342,RulebookFields!A2:A999, 0)), "")</f>
        <v>ProcedureVersion</v>
      </c>
      <c r="J342" s="3" t="b">
        <f>_xlfn.IFNA(INDEX(RulebookFields!I2:I999, MATCH(D342,RulebookFields!A2:A999, 0)), "")</f>
        <v>0</v>
      </c>
      <c r="K342" s="3" t="b">
        <f>AND(F342, J342)</f>
        <v>0</v>
      </c>
      <c r="L342" s="3" t="b">
        <f>AND(G342 &lt;&gt; "plain", G342 &lt;&gt; "")</f>
        <v>0</v>
      </c>
      <c r="M342" s="3" t="str">
        <f>IF(E342, C342 &amp; "|" &amp; H342, "")</f>
        <v>principal-variance-review-agent|Steps</v>
      </c>
      <c r="N342" s="2" t="s">
        <v>9938</v>
      </c>
    </row>
    <row r="343">
      <c r="A343" s="2" t="s">
        <v>10279</v>
      </c>
      <c r="B343" s="3" t="str">
        <f>C343 &amp; " -&gt; " &amp; D343</f>
        <v>principal-variance-review-agent -&gt; Steps.Name</v>
      </c>
      <c r="C343" s="2" t="s">
        <v>9700</v>
      </c>
      <c r="D343" s="2" t="s">
        <v>2838</v>
      </c>
      <c r="E343" s="2" t="b">
        <v>1</v>
      </c>
      <c r="F343" s="2" t="b">
        <v>0</v>
      </c>
      <c r="G343" s="2" t="s">
        <v>9937</v>
      </c>
      <c r="H343" s="3" t="str">
        <f>_xlfn.IFNA(INDEX(RulebookFields!C2:C999, MATCH(D343,RulebookFields!A2:A999, 0)), "")</f>
        <v>Steps</v>
      </c>
      <c r="I343" s="3" t="str">
        <f>_xlfn.IFNA(INDEX(RulebookFields!D2:D999, MATCH(D343,RulebookFields!A2:A999, 0)), "")</f>
        <v>Name</v>
      </c>
      <c r="J343" s="3" t="b">
        <f>_xlfn.IFNA(INDEX(RulebookFields!I2:I999, MATCH(D343,RulebookFields!A2:A999, 0)), "")</f>
        <v>1</v>
      </c>
      <c r="K343" s="3" t="b">
        <f>AND(F343, J343)</f>
        <v>0</v>
      </c>
      <c r="L343" s="3" t="b">
        <f>AND(G343 &lt;&gt; "plain", G343 &lt;&gt; "")</f>
        <v>0</v>
      </c>
      <c r="M343" s="3" t="str">
        <f>IF(E343, C343 &amp; "|" &amp; H343, "")</f>
        <v>principal-variance-review-agent|Steps</v>
      </c>
      <c r="N343" s="2" t="s">
        <v>9938</v>
      </c>
    </row>
    <row r="344">
      <c r="A344" s="2" t="s">
        <v>10280</v>
      </c>
      <c r="B344" s="3" t="str">
        <f>C344 &amp; " -&gt; " &amp; D344</f>
        <v>principal-variance-review-agent -&gt; StepExecutions.StepExecutionId</v>
      </c>
      <c r="C344" s="2" t="s">
        <v>9700</v>
      </c>
      <c r="D344" s="2" t="s">
        <v>3507</v>
      </c>
      <c r="E344" s="2" t="b">
        <v>1</v>
      </c>
      <c r="F344" s="2" t="b">
        <v>0</v>
      </c>
      <c r="G344" s="2" t="s">
        <v>9937</v>
      </c>
      <c r="H344" s="3" t="str">
        <f>_xlfn.IFNA(INDEX(RulebookFields!C2:C999, MATCH(D344,RulebookFields!A2:A999, 0)), "")</f>
        <v>StepExecutions</v>
      </c>
      <c r="I344" s="3" t="str">
        <f>_xlfn.IFNA(INDEX(RulebookFields!D2:D999, MATCH(D344,RulebookFields!A2:A999, 0)), "")</f>
        <v>StepExecutionId</v>
      </c>
      <c r="J344" s="3" t="b">
        <f>_xlfn.IFNA(INDEX(RulebookFields!I2:I999, MATCH(D344,RulebookFields!A2:A999, 0)), "")</f>
        <v>0</v>
      </c>
      <c r="K344" s="3" t="b">
        <f>AND(F344, J344)</f>
        <v>0</v>
      </c>
      <c r="L344" s="3" t="b">
        <f>AND(G344 &lt;&gt; "plain", G344 &lt;&gt; "")</f>
        <v>0</v>
      </c>
      <c r="M344" s="3" t="str">
        <f>IF(E344, C344 &amp; "|" &amp; H344, "")</f>
        <v>principal-variance-review-agent|StepExecutions</v>
      </c>
      <c r="N344" s="2" t="s">
        <v>9938</v>
      </c>
    </row>
    <row r="345">
      <c r="A345" s="2" t="s">
        <v>10281</v>
      </c>
      <c r="B345" s="3" t="str">
        <f>C345 &amp; " -&gt; " &amp; D345</f>
        <v>principal-variance-review-agent -&gt; StepExecutions.Step</v>
      </c>
      <c r="C345" s="2" t="s">
        <v>9700</v>
      </c>
      <c r="D345" s="2" t="s">
        <v>3511</v>
      </c>
      <c r="E345" s="2" t="b">
        <v>1</v>
      </c>
      <c r="F345" s="2" t="b">
        <v>0</v>
      </c>
      <c r="G345" s="2" t="s">
        <v>9937</v>
      </c>
      <c r="H345" s="3" t="str">
        <f>_xlfn.IFNA(INDEX(RulebookFields!C2:C999, MATCH(D345,RulebookFields!A2:A999, 0)), "")</f>
        <v>StepExecutions</v>
      </c>
      <c r="I345" s="3" t="str">
        <f>_xlfn.IFNA(INDEX(RulebookFields!D2:D999, MATCH(D345,RulebookFields!A2:A999, 0)), "")</f>
        <v>Step</v>
      </c>
      <c r="J345" s="3" t="b">
        <f>_xlfn.IFNA(INDEX(RulebookFields!I2:I999, MATCH(D345,RulebookFields!A2:A999, 0)), "")</f>
        <v>0</v>
      </c>
      <c r="K345" s="3" t="b">
        <f>AND(F345, J345)</f>
        <v>0</v>
      </c>
      <c r="L345" s="3" t="b">
        <f>AND(G345 &lt;&gt; "plain", G345 &lt;&gt; "")</f>
        <v>0</v>
      </c>
      <c r="M345" s="3" t="str">
        <f>IF(E345, C345 &amp; "|" &amp; H345, "")</f>
        <v>principal-variance-review-agent|StepExecutions</v>
      </c>
      <c r="N345" s="2" t="s">
        <v>9938</v>
      </c>
    </row>
    <row r="346">
      <c r="A346" s="2" t="s">
        <v>10282</v>
      </c>
      <c r="B346" s="3" t="str">
        <f>C346 &amp; " -&gt; " &amp; D346</f>
        <v>principal-variance-review-agent -&gt; StepExecutions.ExecutionStatus</v>
      </c>
      <c r="C346" s="2" t="s">
        <v>9700</v>
      </c>
      <c r="D346" s="2" t="s">
        <v>3513</v>
      </c>
      <c r="E346" s="2" t="b">
        <v>1</v>
      </c>
      <c r="F346" s="2" t="b">
        <v>0</v>
      </c>
      <c r="G346" s="2" t="s">
        <v>9937</v>
      </c>
      <c r="H346" s="3" t="str">
        <f>_xlfn.IFNA(INDEX(RulebookFields!C2:C999, MATCH(D346,RulebookFields!A2:A999, 0)), "")</f>
        <v>StepExecutions</v>
      </c>
      <c r="I346" s="3" t="str">
        <f>_xlfn.IFNA(INDEX(RulebookFields!D2:D999, MATCH(D346,RulebookFields!A2:A999, 0)), "")</f>
        <v>ExecutionStatus</v>
      </c>
      <c r="J346" s="3" t="b">
        <f>_xlfn.IFNA(INDEX(RulebookFields!I2:I999, MATCH(D346,RulebookFields!A2:A999, 0)), "")</f>
        <v>0</v>
      </c>
      <c r="K346" s="3" t="b">
        <f>AND(F346, J346)</f>
        <v>0</v>
      </c>
      <c r="L346" s="3" t="b">
        <f>AND(G346 &lt;&gt; "plain", G346 &lt;&gt; "")</f>
        <v>0</v>
      </c>
      <c r="M346" s="3" t="str">
        <f>IF(E346, C346 &amp; "|" &amp; H346, "")</f>
        <v>principal-variance-review-agent|StepExecutions</v>
      </c>
      <c r="N346" s="2" t="s">
        <v>9938</v>
      </c>
    </row>
    <row r="347">
      <c r="A347" s="2" t="s">
        <v>10283</v>
      </c>
      <c r="B347" s="3" t="str">
        <f>C347 &amp; " -&gt; " &amp; D347</f>
        <v>principal-variance-review-agent -&gt; StepExecutions.StartedAt</v>
      </c>
      <c r="C347" s="2" t="s">
        <v>9700</v>
      </c>
      <c r="D347" s="2" t="s">
        <v>3514</v>
      </c>
      <c r="E347" s="2" t="b">
        <v>1</v>
      </c>
      <c r="F347" s="2" t="b">
        <v>0</v>
      </c>
      <c r="G347" s="2" t="s">
        <v>9937</v>
      </c>
      <c r="H347" s="3" t="str">
        <f>_xlfn.IFNA(INDEX(RulebookFields!C2:C999, MATCH(D347,RulebookFields!A2:A999, 0)), "")</f>
        <v>StepExecutions</v>
      </c>
      <c r="I347" s="3" t="str">
        <f>_xlfn.IFNA(INDEX(RulebookFields!D2:D999, MATCH(D347,RulebookFields!A2:A999, 0)), "")</f>
        <v>StartedAt</v>
      </c>
      <c r="J347" s="3" t="b">
        <f>_xlfn.IFNA(INDEX(RulebookFields!I2:I999, MATCH(D347,RulebookFields!A2:A999, 0)), "")</f>
        <v>0</v>
      </c>
      <c r="K347" s="3" t="b">
        <f>AND(F347, J347)</f>
        <v>0</v>
      </c>
      <c r="L347" s="3" t="b">
        <f>AND(G347 &lt;&gt; "plain", G347 &lt;&gt; "")</f>
        <v>0</v>
      </c>
      <c r="M347" s="3" t="str">
        <f>IF(E347, C347 &amp; "|" &amp; H347, "")</f>
        <v>principal-variance-review-agent|StepExecutions</v>
      </c>
      <c r="N347" s="2" t="s">
        <v>9938</v>
      </c>
    </row>
    <row r="348">
      <c r="A348" s="2" t="s">
        <v>10284</v>
      </c>
      <c r="B348" s="3" t="str">
        <f>C348 &amp; " -&gt; " &amp; D348</f>
        <v>principal-variance-review-agent -&gt; StepExecutions.EndedAt</v>
      </c>
      <c r="C348" s="2" t="s">
        <v>9700</v>
      </c>
      <c r="D348" s="2" t="s">
        <v>3515</v>
      </c>
      <c r="E348" s="2" t="b">
        <v>1</v>
      </c>
      <c r="F348" s="2" t="b">
        <v>0</v>
      </c>
      <c r="G348" s="2" t="s">
        <v>9937</v>
      </c>
      <c r="H348" s="3" t="str">
        <f>_xlfn.IFNA(INDEX(RulebookFields!C2:C999, MATCH(D348,RulebookFields!A2:A999, 0)), "")</f>
        <v>StepExecutions</v>
      </c>
      <c r="I348" s="3" t="str">
        <f>_xlfn.IFNA(INDEX(RulebookFields!D2:D999, MATCH(D348,RulebookFields!A2:A999, 0)), "")</f>
        <v>EndedAt</v>
      </c>
      <c r="J348" s="3" t="b">
        <f>_xlfn.IFNA(INDEX(RulebookFields!I2:I999, MATCH(D348,RulebookFields!A2:A999, 0)), "")</f>
        <v>0</v>
      </c>
      <c r="K348" s="3" t="b">
        <f>AND(F348, J348)</f>
        <v>0</v>
      </c>
      <c r="L348" s="3" t="b">
        <f>AND(G348 &lt;&gt; "plain", G348 &lt;&gt; "")</f>
        <v>0</v>
      </c>
      <c r="M348" s="3" t="str">
        <f>IF(E348, C348 &amp; "|" &amp; H348, "")</f>
        <v>principal-variance-review-agent|StepExecutions</v>
      </c>
      <c r="N348" s="2" t="s">
        <v>9938</v>
      </c>
    </row>
    <row r="349">
      <c r="A349" s="2" t="s">
        <v>10285</v>
      </c>
      <c r="B349" s="3" t="str">
        <f>C349 &amp; " -&gt; " &amp; D349</f>
        <v>principal-variance-review-agent -&gt; StepExecutions.VerificationResult</v>
      </c>
      <c r="C349" s="2" t="s">
        <v>9700</v>
      </c>
      <c r="D349" s="2" t="s">
        <v>3516</v>
      </c>
      <c r="E349" s="2" t="b">
        <v>1</v>
      </c>
      <c r="F349" s="2" t="b">
        <v>0</v>
      </c>
      <c r="G349" s="2" t="s">
        <v>9937</v>
      </c>
      <c r="H349" s="3" t="str">
        <f>_xlfn.IFNA(INDEX(RulebookFields!C2:C999, MATCH(D349,RulebookFields!A2:A999, 0)), "")</f>
        <v>StepExecutions</v>
      </c>
      <c r="I349" s="3" t="str">
        <f>_xlfn.IFNA(INDEX(RulebookFields!D2:D999, MATCH(D349,RulebookFields!A2:A999, 0)), "")</f>
        <v>VerificationResult</v>
      </c>
      <c r="J349" s="3" t="b">
        <f>_xlfn.IFNA(INDEX(RulebookFields!I2:I999, MATCH(D349,RulebookFields!A2:A999, 0)), "")</f>
        <v>0</v>
      </c>
      <c r="K349" s="3" t="b">
        <f>AND(F349, J349)</f>
        <v>0</v>
      </c>
      <c r="L349" s="3" t="b">
        <f>AND(G349 &lt;&gt; "plain", G349 &lt;&gt; "")</f>
        <v>0</v>
      </c>
      <c r="M349" s="3" t="str">
        <f>IF(E349, C349 &amp; "|" &amp; H349, "")</f>
        <v>principal-variance-review-agent|StepExecutions</v>
      </c>
      <c r="N349" s="2" t="s">
        <v>9938</v>
      </c>
    </row>
    <row r="350">
      <c r="A350" s="2" t="s">
        <v>10286</v>
      </c>
      <c r="B350" s="3" t="str">
        <f>C350 &amp; " -&gt; " &amp; D350</f>
        <v>principal-variance-review-agent -&gt; StepExecutions.Name</v>
      </c>
      <c r="C350" s="2" t="s">
        <v>9700</v>
      </c>
      <c r="D350" s="2" t="s">
        <v>3508</v>
      </c>
      <c r="E350" s="2" t="b">
        <v>1</v>
      </c>
      <c r="F350" s="2" t="b">
        <v>0</v>
      </c>
      <c r="G350" s="2" t="s">
        <v>9937</v>
      </c>
      <c r="H350" s="3" t="str">
        <f>_xlfn.IFNA(INDEX(RulebookFields!C2:C999, MATCH(D350,RulebookFields!A2:A999, 0)), "")</f>
        <v>StepExecutions</v>
      </c>
      <c r="I350" s="3" t="str">
        <f>_xlfn.IFNA(INDEX(RulebookFields!D2:D999, MATCH(D350,RulebookFields!A2:A999, 0)), "")</f>
        <v>Name</v>
      </c>
      <c r="J350" s="3" t="b">
        <f>_xlfn.IFNA(INDEX(RulebookFields!I2:I999, MATCH(D350,RulebookFields!A2:A999, 0)), "")</f>
        <v>1</v>
      </c>
      <c r="K350" s="3" t="b">
        <f>AND(F350, J350)</f>
        <v>0</v>
      </c>
      <c r="L350" s="3" t="b">
        <f>AND(G350 &lt;&gt; "plain", G350 &lt;&gt; "")</f>
        <v>0</v>
      </c>
      <c r="M350" s="3" t="str">
        <f>IF(E350, C350 &amp; "|" &amp; H350, "")</f>
        <v>principal-variance-review-agent|StepExecutions</v>
      </c>
      <c r="N350" s="2" t="s">
        <v>9938</v>
      </c>
    </row>
    <row r="351">
      <c r="A351" s="2" t="s">
        <v>10287</v>
      </c>
      <c r="B351" s="3" t="str">
        <f>C351 &amp; " -&gt; " &amp; D351</f>
        <v>principal-variance-review-agent -&gt; StepExecutions.Deviation</v>
      </c>
      <c r="C351" s="2" t="s">
        <v>9700</v>
      </c>
      <c r="D351" s="2" t="s">
        <v>3517</v>
      </c>
      <c r="E351" s="2" t="b">
        <v>1</v>
      </c>
      <c r="F351" s="2" t="b">
        <v>0</v>
      </c>
      <c r="G351" s="2" t="s">
        <v>9937</v>
      </c>
      <c r="H351" s="3" t="str">
        <f>_xlfn.IFNA(INDEX(RulebookFields!C2:C999, MATCH(D351,RulebookFields!A2:A999, 0)), "")</f>
        <v>StepExecutions</v>
      </c>
      <c r="I351" s="3" t="str">
        <f>_xlfn.IFNA(INDEX(RulebookFields!D2:D999, MATCH(D351,RulebookFields!A2:A999, 0)), "")</f>
        <v>Deviation</v>
      </c>
      <c r="J351" s="3" t="b">
        <f>_xlfn.IFNA(INDEX(RulebookFields!I2:I999, MATCH(D351,RulebookFields!A2:A999, 0)), "")</f>
        <v>0</v>
      </c>
      <c r="K351" s="3" t="b">
        <f>AND(F351, J351)</f>
        <v>0</v>
      </c>
      <c r="L351" s="3" t="b">
        <f>AND(G351 &lt;&gt; "plain", G351 &lt;&gt; "")</f>
        <v>0</v>
      </c>
      <c r="M351" s="3" t="str">
        <f>IF(E351, C351 &amp; "|" &amp; H351, "")</f>
        <v>principal-variance-review-agent|StepExecutions</v>
      </c>
      <c r="N351" s="2" t="s">
        <v>9938</v>
      </c>
    </row>
    <row r="352">
      <c r="A352" s="2" t="s">
        <v>10288</v>
      </c>
      <c r="B352" s="3" t="str">
        <f>C352 &amp; " -&gt; " &amp; D352</f>
        <v>principal-variance-review-agent -&gt; StepExecutions.IsLate</v>
      </c>
      <c r="C352" s="2" t="s">
        <v>9700</v>
      </c>
      <c r="D352" s="2" t="s">
        <v>3522</v>
      </c>
      <c r="E352" s="2" t="b">
        <v>1</v>
      </c>
      <c r="F352" s="2" t="b">
        <v>0</v>
      </c>
      <c r="G352" s="2" t="s">
        <v>9937</v>
      </c>
      <c r="H352" s="3" t="str">
        <f>_xlfn.IFNA(INDEX(RulebookFields!C2:C999, MATCH(D352,RulebookFields!A2:A999, 0)), "")</f>
        <v>StepExecutions</v>
      </c>
      <c r="I352" s="3" t="str">
        <f>_xlfn.IFNA(INDEX(RulebookFields!D2:D999, MATCH(D352,RulebookFields!A2:A999, 0)), "")</f>
        <v>IsLate</v>
      </c>
      <c r="J352" s="3" t="b">
        <f>_xlfn.IFNA(INDEX(RulebookFields!I2:I999, MATCH(D352,RulebookFields!A2:A999, 0)), "")</f>
        <v>1</v>
      </c>
      <c r="K352" s="3" t="b">
        <f>AND(F352, J352)</f>
        <v>0</v>
      </c>
      <c r="L352" s="3" t="b">
        <f>AND(G352 &lt;&gt; "plain", G352 &lt;&gt; "")</f>
        <v>0</v>
      </c>
      <c r="M352" s="3" t="str">
        <f>IF(E352, C352 &amp; "|" &amp; H352, "")</f>
        <v>principal-variance-review-agent|StepExecutions</v>
      </c>
      <c r="N352" s="2" t="s">
        <v>9938</v>
      </c>
    </row>
    <row r="353">
      <c r="A353" s="2" t="s">
        <v>10289</v>
      </c>
      <c r="B353" s="3" t="str">
        <f>C353 &amp; " -&gt; " &amp; D353</f>
        <v>principal-variance-review-agent -&gt; Requirements.RequirementId</v>
      </c>
      <c r="C353" s="2" t="s">
        <v>9700</v>
      </c>
      <c r="D353" s="2" t="s">
        <v>2979</v>
      </c>
      <c r="E353" s="2" t="b">
        <v>1</v>
      </c>
      <c r="F353" s="2" t="b">
        <v>0</v>
      </c>
      <c r="G353" s="2" t="s">
        <v>9937</v>
      </c>
      <c r="H353" s="3" t="str">
        <f>_xlfn.IFNA(INDEX(RulebookFields!C2:C999, MATCH(D353,RulebookFields!A2:A999, 0)), "")</f>
        <v>Requirements</v>
      </c>
      <c r="I353" s="3" t="str">
        <f>_xlfn.IFNA(INDEX(RulebookFields!D2:D999, MATCH(D353,RulebookFields!A2:A999, 0)), "")</f>
        <v>RequirementId</v>
      </c>
      <c r="J353" s="3" t="b">
        <f>_xlfn.IFNA(INDEX(RulebookFields!I2:I999, MATCH(D353,RulebookFields!A2:A999, 0)), "")</f>
        <v>0</v>
      </c>
      <c r="K353" s="3" t="b">
        <f>AND(F353, J353)</f>
        <v>0</v>
      </c>
      <c r="L353" s="3" t="b">
        <f>AND(G353 &lt;&gt; "plain", G353 &lt;&gt; "")</f>
        <v>0</v>
      </c>
      <c r="M353" s="3" t="str">
        <f>IF(E353, C353 &amp; "|" &amp; H353, "")</f>
        <v>principal-variance-review-agent|Requirements</v>
      </c>
      <c r="N353" s="2" t="s">
        <v>9938</v>
      </c>
    </row>
    <row r="354">
      <c r="A354" s="2" t="s">
        <v>10290</v>
      </c>
      <c r="B354" s="3" t="str">
        <f>C354 &amp; " -&gt; " &amp; D354</f>
        <v>principal-variance-review-agent -&gt; Requirements.Label</v>
      </c>
      <c r="C354" s="2" t="s">
        <v>9700</v>
      </c>
      <c r="D354" s="2" t="s">
        <v>2981</v>
      </c>
      <c r="E354" s="2" t="b">
        <v>1</v>
      </c>
      <c r="F354" s="2" t="b">
        <v>0</v>
      </c>
      <c r="G354" s="2" t="s">
        <v>9937</v>
      </c>
      <c r="H354" s="3" t="str">
        <f>_xlfn.IFNA(INDEX(RulebookFields!C2:C999, MATCH(D354,RulebookFields!A2:A999, 0)), "")</f>
        <v>Requirements</v>
      </c>
      <c r="I354" s="3" t="str">
        <f>_xlfn.IFNA(INDEX(RulebookFields!D2:D999, MATCH(D354,RulebookFields!A2:A999, 0)), "")</f>
        <v>Label</v>
      </c>
      <c r="J354" s="3" t="b">
        <f>_xlfn.IFNA(INDEX(RulebookFields!I2:I999, MATCH(D354,RulebookFields!A2:A999, 0)), "")</f>
        <v>0</v>
      </c>
      <c r="K354" s="3" t="b">
        <f>AND(F354, J354)</f>
        <v>0</v>
      </c>
      <c r="L354" s="3" t="b">
        <f>AND(G354 &lt;&gt; "plain", G354 &lt;&gt; "")</f>
        <v>0</v>
      </c>
      <c r="M354" s="3" t="str">
        <f>IF(E354, C354 &amp; "|" &amp; H354, "")</f>
        <v>principal-variance-review-agent|Requirements</v>
      </c>
      <c r="N354" s="2" t="s">
        <v>9938</v>
      </c>
    </row>
    <row r="355">
      <c r="A355" s="2" t="s">
        <v>10291</v>
      </c>
      <c r="B355" s="3" t="str">
        <f>C355 &amp; " -&gt; " &amp; D355</f>
        <v>principal-variance-review-agent -&gt; Requirements.RequirementType</v>
      </c>
      <c r="C355" s="2" t="s">
        <v>9700</v>
      </c>
      <c r="D355" s="2" t="s">
        <v>2982</v>
      </c>
      <c r="E355" s="2" t="b">
        <v>1</v>
      </c>
      <c r="F355" s="2" t="b">
        <v>0</v>
      </c>
      <c r="G355" s="2" t="s">
        <v>9937</v>
      </c>
      <c r="H355" s="3" t="str">
        <f>_xlfn.IFNA(INDEX(RulebookFields!C2:C999, MATCH(D355,RulebookFields!A2:A999, 0)), "")</f>
        <v>Requirements</v>
      </c>
      <c r="I355" s="3" t="str">
        <f>_xlfn.IFNA(INDEX(RulebookFields!D2:D999, MATCH(D355,RulebookFields!A2:A999, 0)), "")</f>
        <v>RequirementType</v>
      </c>
      <c r="J355" s="3" t="b">
        <f>_xlfn.IFNA(INDEX(RulebookFields!I2:I999, MATCH(D355,RulebookFields!A2:A999, 0)), "")</f>
        <v>0</v>
      </c>
      <c r="K355" s="3" t="b">
        <f>AND(F355, J355)</f>
        <v>0</v>
      </c>
      <c r="L355" s="3" t="b">
        <f>AND(G355 &lt;&gt; "plain", G355 &lt;&gt; "")</f>
        <v>0</v>
      </c>
      <c r="M355" s="3" t="str">
        <f>IF(E355, C355 &amp; "|" &amp; H355, "")</f>
        <v>principal-variance-review-agent|Requirements</v>
      </c>
      <c r="N355" s="2" t="s">
        <v>9938</v>
      </c>
    </row>
    <row r="356">
      <c r="A356" s="2" t="s">
        <v>10292</v>
      </c>
      <c r="B356" s="3" t="str">
        <f>C356 &amp; " -&gt; " &amp; D356</f>
        <v>principal-variance-review-agent -&gt; Requirements.Statement</v>
      </c>
      <c r="C356" s="2" t="s">
        <v>9700</v>
      </c>
      <c r="D356" s="2" t="s">
        <v>2983</v>
      </c>
      <c r="E356" s="2" t="b">
        <v>1</v>
      </c>
      <c r="F356" s="2" t="b">
        <v>0</v>
      </c>
      <c r="G356" s="2" t="s">
        <v>9937</v>
      </c>
      <c r="H356" s="3" t="str">
        <f>_xlfn.IFNA(INDEX(RulebookFields!C2:C999, MATCH(D356,RulebookFields!A2:A999, 0)), "")</f>
        <v>Requirements</v>
      </c>
      <c r="I356" s="3" t="str">
        <f>_xlfn.IFNA(INDEX(RulebookFields!D2:D999, MATCH(D356,RulebookFields!A2:A999, 0)), "")</f>
        <v>Statement</v>
      </c>
      <c r="J356" s="3" t="b">
        <f>_xlfn.IFNA(INDEX(RulebookFields!I2:I999, MATCH(D356,RulebookFields!A2:A999, 0)), "")</f>
        <v>0</v>
      </c>
      <c r="K356" s="3" t="b">
        <f>AND(F356, J356)</f>
        <v>0</v>
      </c>
      <c r="L356" s="3" t="b">
        <f>AND(G356 &lt;&gt; "plain", G356 &lt;&gt; "")</f>
        <v>0</v>
      </c>
      <c r="M356" s="3" t="str">
        <f>IF(E356, C356 &amp; "|" &amp; H356, "")</f>
        <v>principal-variance-review-agent|Requirements</v>
      </c>
      <c r="N356" s="2" t="s">
        <v>9938</v>
      </c>
    </row>
    <row r="357">
      <c r="A357" s="2" t="s">
        <v>10293</v>
      </c>
      <c r="B357" s="3" t="str">
        <f>C357 &amp; " -&gt; " &amp; D357</f>
        <v>principal-variance-review-agent -&gt; Requirements.IsBlocking</v>
      </c>
      <c r="C357" s="2" t="s">
        <v>9700</v>
      </c>
      <c r="D357" s="2" t="s">
        <v>2985</v>
      </c>
      <c r="E357" s="2" t="b">
        <v>1</v>
      </c>
      <c r="F357" s="2" t="b">
        <v>0</v>
      </c>
      <c r="G357" s="2" t="s">
        <v>9937</v>
      </c>
      <c r="H357" s="3" t="str">
        <f>_xlfn.IFNA(INDEX(RulebookFields!C2:C999, MATCH(D357,RulebookFields!A2:A999, 0)), "")</f>
        <v>Requirements</v>
      </c>
      <c r="I357" s="3" t="str">
        <f>_xlfn.IFNA(INDEX(RulebookFields!D2:D999, MATCH(D357,RulebookFields!A2:A999, 0)), "")</f>
        <v>IsBlocking</v>
      </c>
      <c r="J357" s="3" t="b">
        <f>_xlfn.IFNA(INDEX(RulebookFields!I2:I999, MATCH(D357,RulebookFields!A2:A999, 0)), "")</f>
        <v>0</v>
      </c>
      <c r="K357" s="3" t="b">
        <f>AND(F357, J357)</f>
        <v>0</v>
      </c>
      <c r="L357" s="3" t="b">
        <f>AND(G357 &lt;&gt; "plain", G357 &lt;&gt; "")</f>
        <v>0</v>
      </c>
      <c r="M357" s="3" t="str">
        <f>IF(E357, C357 &amp; "|" &amp; H357, "")</f>
        <v>principal-variance-review-agent|Requirements</v>
      </c>
      <c r="N357" s="2" t="s">
        <v>9938</v>
      </c>
    </row>
    <row r="358">
      <c r="A358" s="2" t="s">
        <v>10294</v>
      </c>
      <c r="B358" s="3" t="str">
        <f>C358 &amp; " -&gt; " &amp; D358</f>
        <v>principal-variance-review-agent -&gt; Requirements.Name</v>
      </c>
      <c r="C358" s="2" t="s">
        <v>9700</v>
      </c>
      <c r="D358" s="2" t="s">
        <v>2980</v>
      </c>
      <c r="E358" s="2" t="b">
        <v>1</v>
      </c>
      <c r="F358" s="2" t="b">
        <v>0</v>
      </c>
      <c r="G358" s="2" t="s">
        <v>9937</v>
      </c>
      <c r="H358" s="3" t="str">
        <f>_xlfn.IFNA(INDEX(RulebookFields!C2:C999, MATCH(D358,RulebookFields!A2:A999, 0)), "")</f>
        <v>Requirements</v>
      </c>
      <c r="I358" s="3" t="str">
        <f>_xlfn.IFNA(INDEX(RulebookFields!D2:D999, MATCH(D358,RulebookFields!A2:A999, 0)), "")</f>
        <v>Name</v>
      </c>
      <c r="J358" s="3" t="b">
        <f>_xlfn.IFNA(INDEX(RulebookFields!I2:I999, MATCH(D358,RulebookFields!A2:A999, 0)), "")</f>
        <v>1</v>
      </c>
      <c r="K358" s="3" t="b">
        <f>AND(F358, J358)</f>
        <v>0</v>
      </c>
      <c r="L358" s="3" t="b">
        <f>AND(G358 &lt;&gt; "plain", G358 &lt;&gt; "")</f>
        <v>0</v>
      </c>
      <c r="M358" s="3" t="str">
        <f>IF(E358, C358 &amp; "|" &amp; H358, "")</f>
        <v>principal-variance-review-agent|Requirements</v>
      </c>
      <c r="N358" s="2" t="s">
        <v>9938</v>
      </c>
    </row>
    <row r="359">
      <c r="A359" s="2" t="s">
        <v>10295</v>
      </c>
      <c r="B359" s="3" t="str">
        <f>C359 &amp; " -&gt; " &amp; D359</f>
        <v>principal-variance-review-agent -&gt; RequirementSatisfactions.RequirementSatisfactionId</v>
      </c>
      <c r="C359" s="2" t="s">
        <v>9700</v>
      </c>
      <c r="D359" s="2" t="s">
        <v>3707</v>
      </c>
      <c r="E359" s="2" t="b">
        <v>1</v>
      </c>
      <c r="F359" s="2" t="b">
        <v>0</v>
      </c>
      <c r="G359" s="2" t="s">
        <v>9937</v>
      </c>
      <c r="H359" s="3" t="str">
        <f>_xlfn.IFNA(INDEX(RulebookFields!C2:C999, MATCH(D359,RulebookFields!A2:A999, 0)), "")</f>
        <v>RequirementSatisfactions</v>
      </c>
      <c r="I359" s="3" t="str">
        <f>_xlfn.IFNA(INDEX(RulebookFields!D2:D999, MATCH(D359,RulebookFields!A2:A999, 0)), "")</f>
        <v>RequirementSatisfactionId</v>
      </c>
      <c r="J359" s="3" t="b">
        <f>_xlfn.IFNA(INDEX(RulebookFields!I2:I999, MATCH(D359,RulebookFields!A2:A999, 0)), "")</f>
        <v>0</v>
      </c>
      <c r="K359" s="3" t="b">
        <f>AND(F359, J359)</f>
        <v>0</v>
      </c>
      <c r="L359" s="3" t="b">
        <f>AND(G359 &lt;&gt; "plain", G359 &lt;&gt; "")</f>
        <v>0</v>
      </c>
      <c r="M359" s="3" t="str">
        <f>IF(E359, C359 &amp; "|" &amp; H359, "")</f>
        <v>principal-variance-review-agent|RequirementSatisfactions</v>
      </c>
      <c r="N359" s="2" t="s">
        <v>9938</v>
      </c>
    </row>
    <row r="360">
      <c r="A360" s="2" t="s">
        <v>10296</v>
      </c>
      <c r="B360" s="3" t="str">
        <f>C360 &amp; " -&gt; " &amp; D360</f>
        <v>principal-variance-review-agent -&gt; RequirementSatisfactions.Requirement</v>
      </c>
      <c r="C360" s="2" t="s">
        <v>9700</v>
      </c>
      <c r="D360" s="2" t="s">
        <v>3711</v>
      </c>
      <c r="E360" s="2" t="b">
        <v>1</v>
      </c>
      <c r="F360" s="2" t="b">
        <v>0</v>
      </c>
      <c r="G360" s="2" t="s">
        <v>9937</v>
      </c>
      <c r="H360" s="3" t="str">
        <f>_xlfn.IFNA(INDEX(RulebookFields!C2:C999, MATCH(D360,RulebookFields!A2:A999, 0)), "")</f>
        <v>RequirementSatisfactions</v>
      </c>
      <c r="I360" s="3" t="str">
        <f>_xlfn.IFNA(INDEX(RulebookFields!D2:D999, MATCH(D360,RulebookFields!A2:A999, 0)), "")</f>
        <v>Requirement</v>
      </c>
      <c r="J360" s="3" t="b">
        <f>_xlfn.IFNA(INDEX(RulebookFields!I2:I999, MATCH(D360,RulebookFields!A2:A999, 0)), "")</f>
        <v>0</v>
      </c>
      <c r="K360" s="3" t="b">
        <f>AND(F360, J360)</f>
        <v>0</v>
      </c>
      <c r="L360" s="3" t="b">
        <f>AND(G360 &lt;&gt; "plain", G360 &lt;&gt; "")</f>
        <v>0</v>
      </c>
      <c r="M360" s="3" t="str">
        <f>IF(E360, C360 &amp; "|" &amp; H360, "")</f>
        <v>principal-variance-review-agent|RequirementSatisfactions</v>
      </c>
      <c r="N360" s="2" t="s">
        <v>9938</v>
      </c>
    </row>
    <row r="361">
      <c r="A361" s="2" t="s">
        <v>10297</v>
      </c>
      <c r="B361" s="3" t="str">
        <f>C361 &amp; " -&gt; " &amp; D361</f>
        <v>principal-variance-review-agent -&gt; RequirementSatisfactions.SatisfactionLevel</v>
      </c>
      <c r="C361" s="2" t="s">
        <v>9700</v>
      </c>
      <c r="D361" s="2" t="s">
        <v>3712</v>
      </c>
      <c r="E361" s="2" t="b">
        <v>1</v>
      </c>
      <c r="F361" s="2" t="b">
        <v>0</v>
      </c>
      <c r="G361" s="2" t="s">
        <v>9937</v>
      </c>
      <c r="H361" s="3" t="str">
        <f>_xlfn.IFNA(INDEX(RulebookFields!C2:C999, MATCH(D361,RulebookFields!A2:A999, 0)), "")</f>
        <v>RequirementSatisfactions</v>
      </c>
      <c r="I361" s="3" t="str">
        <f>_xlfn.IFNA(INDEX(RulebookFields!D2:D999, MATCH(D361,RulebookFields!A2:A999, 0)), "")</f>
        <v>SatisfactionLevel</v>
      </c>
      <c r="J361" s="3" t="b">
        <f>_xlfn.IFNA(INDEX(RulebookFields!I2:I999, MATCH(D361,RulebookFields!A2:A999, 0)), "")</f>
        <v>0</v>
      </c>
      <c r="K361" s="3" t="b">
        <f>AND(F361, J361)</f>
        <v>0</v>
      </c>
      <c r="L361" s="3" t="b">
        <f>AND(G361 &lt;&gt; "plain", G361 &lt;&gt; "")</f>
        <v>0</v>
      </c>
      <c r="M361" s="3" t="str">
        <f>IF(E361, C361 &amp; "|" &amp; H361, "")</f>
        <v>principal-variance-review-agent|RequirementSatisfactions</v>
      </c>
      <c r="N361" s="2" t="s">
        <v>9938</v>
      </c>
    </row>
    <row r="362">
      <c r="A362" s="2" t="s">
        <v>10298</v>
      </c>
      <c r="B362" s="3" t="str">
        <f>C362 &amp; " -&gt; " &amp; D362</f>
        <v>principal-variance-review-agent -&gt; RequirementSatisfactions.Evidence</v>
      </c>
      <c r="C362" s="2" t="s">
        <v>9700</v>
      </c>
      <c r="D362" s="2" t="s">
        <v>3713</v>
      </c>
      <c r="E362" s="2" t="b">
        <v>1</v>
      </c>
      <c r="F362" s="2" t="b">
        <v>0</v>
      </c>
      <c r="G362" s="2" t="s">
        <v>9937</v>
      </c>
      <c r="H362" s="3" t="str">
        <f>_xlfn.IFNA(INDEX(RulebookFields!C2:C999, MATCH(D362,RulebookFields!A2:A999, 0)), "")</f>
        <v>RequirementSatisfactions</v>
      </c>
      <c r="I362" s="3" t="str">
        <f>_xlfn.IFNA(INDEX(RulebookFields!D2:D999, MATCH(D362,RulebookFields!A2:A999, 0)), "")</f>
        <v>Evidence</v>
      </c>
      <c r="J362" s="3" t="b">
        <f>_xlfn.IFNA(INDEX(RulebookFields!I2:I999, MATCH(D362,RulebookFields!A2:A999, 0)), "")</f>
        <v>0</v>
      </c>
      <c r="K362" s="3" t="b">
        <f>AND(F362, J362)</f>
        <v>0</v>
      </c>
      <c r="L362" s="3" t="b">
        <f>AND(G362 &lt;&gt; "plain", G362 &lt;&gt; "")</f>
        <v>0</v>
      </c>
      <c r="M362" s="3" t="str">
        <f>IF(E362, C362 &amp; "|" &amp; H362, "")</f>
        <v>principal-variance-review-agent|RequirementSatisfactions</v>
      </c>
      <c r="N362" s="2" t="s">
        <v>9938</v>
      </c>
    </row>
    <row r="363">
      <c r="A363" s="2" t="s">
        <v>10299</v>
      </c>
      <c r="B363" s="3" t="str">
        <f>C363 &amp; " -&gt; " &amp; D363</f>
        <v>principal-variance-review-agent -&gt; RequirementSatisfactions.Name</v>
      </c>
      <c r="C363" s="2" t="s">
        <v>9700</v>
      </c>
      <c r="D363" s="2" t="s">
        <v>3708</v>
      </c>
      <c r="E363" s="2" t="b">
        <v>1</v>
      </c>
      <c r="F363" s="2" t="b">
        <v>0</v>
      </c>
      <c r="G363" s="2" t="s">
        <v>9937</v>
      </c>
      <c r="H363" s="3" t="str">
        <f>_xlfn.IFNA(INDEX(RulebookFields!C2:C999, MATCH(D363,RulebookFields!A2:A999, 0)), "")</f>
        <v>RequirementSatisfactions</v>
      </c>
      <c r="I363" s="3" t="str">
        <f>_xlfn.IFNA(INDEX(RulebookFields!D2:D999, MATCH(D363,RulebookFields!A2:A999, 0)), "")</f>
        <v>Name</v>
      </c>
      <c r="J363" s="3" t="b">
        <f>_xlfn.IFNA(INDEX(RulebookFields!I2:I999, MATCH(D363,RulebookFields!A2:A999, 0)), "")</f>
        <v>1</v>
      </c>
      <c r="K363" s="3" t="b">
        <f>AND(F363, J363)</f>
        <v>0</v>
      </c>
      <c r="L363" s="3" t="b">
        <f>AND(G363 &lt;&gt; "plain", G363 &lt;&gt; "")</f>
        <v>0</v>
      </c>
      <c r="M363" s="3" t="str">
        <f>IF(E363, C363 &amp; "|" &amp; H363, "")</f>
        <v>principal-variance-review-agent|RequirementSatisfactions</v>
      </c>
      <c r="N363" s="2" t="s">
        <v>9938</v>
      </c>
    </row>
    <row r="364">
      <c r="A364" s="2" t="s">
        <v>10300</v>
      </c>
      <c r="B364" s="3" t="str">
        <f>C364 &amp; " -&gt; " &amp; D364</f>
        <v>principal-variance-review-agent -&gt; Errors.ErrorId</v>
      </c>
      <c r="C364" s="2" t="s">
        <v>9700</v>
      </c>
      <c r="D364" s="2" t="s">
        <v>3787</v>
      </c>
      <c r="E364" s="2" t="b">
        <v>1</v>
      </c>
      <c r="F364" s="2" t="b">
        <v>0</v>
      </c>
      <c r="G364" s="2" t="s">
        <v>9937</v>
      </c>
      <c r="H364" s="3" t="str">
        <f>_xlfn.IFNA(INDEX(RulebookFields!C2:C999, MATCH(D364,RulebookFields!A2:A999, 0)), "")</f>
        <v>Errors</v>
      </c>
      <c r="I364" s="3" t="str">
        <f>_xlfn.IFNA(INDEX(RulebookFields!D2:D999, MATCH(D364,RulebookFields!A2:A999, 0)), "")</f>
        <v>ErrorId</v>
      </c>
      <c r="J364" s="3" t="b">
        <f>_xlfn.IFNA(INDEX(RulebookFields!I2:I999, MATCH(D364,RulebookFields!A2:A999, 0)), "")</f>
        <v>0</v>
      </c>
      <c r="K364" s="3" t="b">
        <f>AND(F364, J364)</f>
        <v>0</v>
      </c>
      <c r="L364" s="3" t="b">
        <f>AND(G364 &lt;&gt; "plain", G364 &lt;&gt; "")</f>
        <v>0</v>
      </c>
      <c r="M364" s="3" t="str">
        <f>IF(E364, C364 &amp; "|" &amp; H364, "")</f>
        <v>principal-variance-review-agent|Errors</v>
      </c>
      <c r="N364" s="2" t="s">
        <v>9938</v>
      </c>
    </row>
    <row r="365">
      <c r="A365" s="2" t="s">
        <v>10301</v>
      </c>
      <c r="B365" s="3" t="str">
        <f>C365 &amp; " -&gt; " &amp; D365</f>
        <v>principal-variance-review-agent -&gt; Errors.Name</v>
      </c>
      <c r="C365" s="2" t="s">
        <v>9700</v>
      </c>
      <c r="D365" s="2" t="s">
        <v>3788</v>
      </c>
      <c r="E365" s="2" t="b">
        <v>1</v>
      </c>
      <c r="F365" s="2" t="b">
        <v>0</v>
      </c>
      <c r="G365" s="2" t="s">
        <v>9937</v>
      </c>
      <c r="H365" s="3" t="str">
        <f>_xlfn.IFNA(INDEX(RulebookFields!C2:C999, MATCH(D365,RulebookFields!A2:A999, 0)), "")</f>
        <v>Errors</v>
      </c>
      <c r="I365" s="3" t="str">
        <f>_xlfn.IFNA(INDEX(RulebookFields!D2:D999, MATCH(D365,RulebookFields!A2:A999, 0)), "")</f>
        <v>Name</v>
      </c>
      <c r="J365" s="3" t="b">
        <f>_xlfn.IFNA(INDEX(RulebookFields!I2:I999, MATCH(D365,RulebookFields!A2:A999, 0)), "")</f>
        <v>1</v>
      </c>
      <c r="K365" s="3" t="b">
        <f>AND(F365, J365)</f>
        <v>0</v>
      </c>
      <c r="L365" s="3" t="b">
        <f>AND(G365 &lt;&gt; "plain", G365 &lt;&gt; "")</f>
        <v>0</v>
      </c>
      <c r="M365" s="3" t="str">
        <f>IF(E365, C365 &amp; "|" &amp; H365, "")</f>
        <v>principal-variance-review-agent|Errors</v>
      </c>
      <c r="N365" s="2" t="s">
        <v>9938</v>
      </c>
    </row>
    <row r="366">
      <c r="A366" s="2" t="s">
        <v>10302</v>
      </c>
      <c r="B366" s="3" t="str">
        <f>C366 &amp; " -&gt; " &amp; D366</f>
        <v>principal-variance-review-agent -&gt; Errors.Label</v>
      </c>
      <c r="C366" s="2" t="s">
        <v>9700</v>
      </c>
      <c r="D366" s="2" t="s">
        <v>3790</v>
      </c>
      <c r="E366" s="2" t="b">
        <v>1</v>
      </c>
      <c r="F366" s="2" t="b">
        <v>0</v>
      </c>
      <c r="G366" s="2" t="s">
        <v>9937</v>
      </c>
      <c r="H366" s="3" t="str">
        <f>_xlfn.IFNA(INDEX(RulebookFields!C2:C999, MATCH(D366,RulebookFields!A2:A999, 0)), "")</f>
        <v>Errors</v>
      </c>
      <c r="I366" s="3" t="str">
        <f>_xlfn.IFNA(INDEX(RulebookFields!D2:D999, MATCH(D366,RulebookFields!A2:A999, 0)), "")</f>
        <v>Label</v>
      </c>
      <c r="J366" s="3" t="b">
        <f>_xlfn.IFNA(INDEX(RulebookFields!I2:I999, MATCH(D366,RulebookFields!A2:A999, 0)), "")</f>
        <v>0</v>
      </c>
      <c r="K366" s="3" t="b">
        <f>AND(F366, J366)</f>
        <v>0</v>
      </c>
      <c r="L366" s="3" t="b">
        <f>AND(G366 &lt;&gt; "plain", G366 &lt;&gt; "")</f>
        <v>0</v>
      </c>
      <c r="M366" s="3" t="str">
        <f>IF(E366, C366 &amp; "|" &amp; H366, "")</f>
        <v>principal-variance-review-agent|Errors</v>
      </c>
      <c r="N366" s="2" t="s">
        <v>9938</v>
      </c>
    </row>
    <row r="367">
      <c r="A367" s="2" t="s">
        <v>10303</v>
      </c>
      <c r="B367" s="3" t="str">
        <f>C367 &amp; " -&gt; " &amp; D367</f>
        <v>principal-variance-review-agent -&gt; Errors.ErrorCode</v>
      </c>
      <c r="C367" s="2" t="s">
        <v>9700</v>
      </c>
      <c r="D367" s="2" t="s">
        <v>3791</v>
      </c>
      <c r="E367" s="2" t="b">
        <v>1</v>
      </c>
      <c r="F367" s="2" t="b">
        <v>0</v>
      </c>
      <c r="G367" s="2" t="s">
        <v>9937</v>
      </c>
      <c r="H367" s="3" t="str">
        <f>_xlfn.IFNA(INDEX(RulebookFields!C2:C999, MATCH(D367,RulebookFields!A2:A999, 0)), "")</f>
        <v>Errors</v>
      </c>
      <c r="I367" s="3" t="str">
        <f>_xlfn.IFNA(INDEX(RulebookFields!D2:D999, MATCH(D367,RulebookFields!A2:A999, 0)), "")</f>
        <v>ErrorCode</v>
      </c>
      <c r="J367" s="3" t="b">
        <f>_xlfn.IFNA(INDEX(RulebookFields!I2:I999, MATCH(D367,RulebookFields!A2:A999, 0)), "")</f>
        <v>0</v>
      </c>
      <c r="K367" s="3" t="b">
        <f>AND(F367, J367)</f>
        <v>0</v>
      </c>
      <c r="L367" s="3" t="b">
        <f>AND(G367 &lt;&gt; "plain", G367 &lt;&gt; "")</f>
        <v>0</v>
      </c>
      <c r="M367" s="3" t="str">
        <f>IF(E367, C367 &amp; "|" &amp; H367, "")</f>
        <v>principal-variance-review-agent|Errors</v>
      </c>
      <c r="N367" s="2" t="s">
        <v>9938</v>
      </c>
    </row>
    <row r="368">
      <c r="A368" s="2" t="s">
        <v>10304</v>
      </c>
      <c r="B368" s="3" t="str">
        <f>C368 &amp; " -&gt; " &amp; D368</f>
        <v>principal-variance-review-agent -&gt; Errors.ErrorCause</v>
      </c>
      <c r="C368" s="2" t="s">
        <v>9700</v>
      </c>
      <c r="D368" s="2" t="s">
        <v>3792</v>
      </c>
      <c r="E368" s="2" t="b">
        <v>1</v>
      </c>
      <c r="F368" s="2" t="b">
        <v>0</v>
      </c>
      <c r="G368" s="2" t="s">
        <v>9937</v>
      </c>
      <c r="H368" s="3" t="str">
        <f>_xlfn.IFNA(INDEX(RulebookFields!C2:C999, MATCH(D368,RulebookFields!A2:A999, 0)), "")</f>
        <v>Errors</v>
      </c>
      <c r="I368" s="3" t="str">
        <f>_xlfn.IFNA(INDEX(RulebookFields!D2:D999, MATCH(D368,RulebookFields!A2:A999, 0)), "")</f>
        <v>ErrorCause</v>
      </c>
      <c r="J368" s="3" t="b">
        <f>_xlfn.IFNA(INDEX(RulebookFields!I2:I999, MATCH(D368,RulebookFields!A2:A999, 0)), "")</f>
        <v>0</v>
      </c>
      <c r="K368" s="3" t="b">
        <f>AND(F368, J368)</f>
        <v>0</v>
      </c>
      <c r="L368" s="3" t="b">
        <f>AND(G368 &lt;&gt; "plain", G368 &lt;&gt; "")</f>
        <v>0</v>
      </c>
      <c r="M368" s="3" t="str">
        <f>IF(E368, C368 &amp; "|" &amp; H368, "")</f>
        <v>principal-variance-review-agent|Errors</v>
      </c>
      <c r="N368" s="2" t="s">
        <v>9938</v>
      </c>
    </row>
    <row r="369">
      <c r="A369" s="2" t="s">
        <v>10305</v>
      </c>
      <c r="B369" s="3" t="str">
        <f>C369 &amp; " -&gt; " &amp; D369</f>
        <v>principal-variance-review-agent -&gt; Errors.SemanticTypeIri</v>
      </c>
      <c r="C369" s="2" t="s">
        <v>9700</v>
      </c>
      <c r="D369" s="2" t="s">
        <v>3793</v>
      </c>
      <c r="E369" s="2" t="b">
        <v>1</v>
      </c>
      <c r="F369" s="2" t="b">
        <v>0</v>
      </c>
      <c r="G369" s="2" t="s">
        <v>9937</v>
      </c>
      <c r="H369" s="3" t="str">
        <f>_xlfn.IFNA(INDEX(RulebookFields!C2:C999, MATCH(D369,RulebookFields!A2:A999, 0)), "")</f>
        <v>Errors</v>
      </c>
      <c r="I369" s="3" t="str">
        <f>_xlfn.IFNA(INDEX(RulebookFields!D2:D999, MATCH(D369,RulebookFields!A2:A999, 0)), "")</f>
        <v>SemanticTypeIri</v>
      </c>
      <c r="J369" s="3" t="b">
        <f>_xlfn.IFNA(INDEX(RulebookFields!I2:I999, MATCH(D369,RulebookFields!A2:A999, 0)), "")</f>
        <v>0</v>
      </c>
      <c r="K369" s="3" t="b">
        <f>AND(F369, J369)</f>
        <v>0</v>
      </c>
      <c r="L369" s="3" t="b">
        <f>AND(G369 &lt;&gt; "plain", G369 &lt;&gt; "")</f>
        <v>0</v>
      </c>
      <c r="M369" s="3" t="str">
        <f>IF(E369, C369 &amp; "|" &amp; H369, "")</f>
        <v>principal-variance-review-agent|Errors</v>
      </c>
      <c r="N369" s="2" t="s">
        <v>9938</v>
      </c>
    </row>
    <row r="370">
      <c r="A370" s="2" t="s">
        <v>10306</v>
      </c>
      <c r="B370" s="3" t="str">
        <f>C370 &amp; " -&gt; " &amp; D370</f>
        <v>principal-policy-drafting-agent -&gt; MessageTemplates.MessageTemplateId</v>
      </c>
      <c r="C370" s="2" t="s">
        <v>9702</v>
      </c>
      <c r="D370" s="2" t="s">
        <v>4020</v>
      </c>
      <c r="E370" s="2" t="b">
        <v>1</v>
      </c>
      <c r="F370" s="2" t="b">
        <v>0</v>
      </c>
      <c r="G370" s="2" t="s">
        <v>9937</v>
      </c>
      <c r="H370" s="3" t="str">
        <f>_xlfn.IFNA(INDEX(RulebookFields!C2:C999, MATCH(D370,RulebookFields!A2:A999, 0)), "")</f>
      </c>
      <c r="I370" s="3" t="str">
        <f>_xlfn.IFNA(INDEX(RulebookFields!D2:D999, MATCH(D370,RulebookFields!A2:A999, 0)), "")</f>
      </c>
      <c r="J370" s="3" t="str">
        <f>_xlfn.IFNA(INDEX(RulebookFields!I2:I999, MATCH(D370,RulebookFields!A2:A999, 0)), "")</f>
      </c>
      <c r="K370" s="3" t="b">
        <f>AND(F370, J370)</f>
        <v>0</v>
      </c>
      <c r="L370" s="3" t="b">
        <f>AND(G370 &lt;&gt; "plain", G370 &lt;&gt; "")</f>
        <v>0</v>
      </c>
      <c r="M370" s="3" t="str">
        <f>IF(E370, C370 &amp; "|" &amp; H370, "")</f>
        <v>principal-policy-drafting-agent|</v>
      </c>
      <c r="N370" s="2" t="s">
        <v>9938</v>
      </c>
    </row>
    <row r="371">
      <c r="A371" s="2" t="s">
        <v>10307</v>
      </c>
      <c r="B371" s="3" t="str">
        <f>C371 &amp; " -&gt; " &amp; D371</f>
        <v>principal-policy-drafting-agent -&gt; MessageTemplates.SubjectTemplate</v>
      </c>
      <c r="C371" s="2" t="s">
        <v>9702</v>
      </c>
      <c r="D371" s="2" t="s">
        <v>4026</v>
      </c>
      <c r="E371" s="2" t="b">
        <v>1</v>
      </c>
      <c r="F371" s="2" t="b">
        <v>0</v>
      </c>
      <c r="G371" s="2" t="s">
        <v>9937</v>
      </c>
      <c r="H371" s="3" t="str">
        <f>_xlfn.IFNA(INDEX(RulebookFields!C2:C999, MATCH(D371,RulebookFields!A2:A999, 0)), "")</f>
      </c>
      <c r="I371" s="3" t="str">
        <f>_xlfn.IFNA(INDEX(RulebookFields!D2:D999, MATCH(D371,RulebookFields!A2:A999, 0)), "")</f>
      </c>
      <c r="J371" s="3" t="str">
        <f>_xlfn.IFNA(INDEX(RulebookFields!I2:I999, MATCH(D371,RulebookFields!A2:A999, 0)), "")</f>
      </c>
      <c r="K371" s="3" t="b">
        <f>AND(F371, J371)</f>
        <v>0</v>
      </c>
      <c r="L371" s="3" t="b">
        <f>AND(G371 &lt;&gt; "plain", G371 &lt;&gt; "")</f>
        <v>0</v>
      </c>
      <c r="M371" s="3" t="str">
        <f>IF(E371, C371 &amp; "|" &amp; H371, "")</f>
        <v>principal-policy-drafting-agent|</v>
      </c>
      <c r="N371" s="2" t="s">
        <v>9938</v>
      </c>
    </row>
    <row r="372">
      <c r="A372" s="2" t="s">
        <v>10308</v>
      </c>
      <c r="B372" s="3" t="str">
        <f>C372 &amp; " -&gt; " &amp; D372</f>
        <v>principal-policy-drafting-agent -&gt; MessageTemplates.BodyTemplate</v>
      </c>
      <c r="C372" s="2" t="s">
        <v>9702</v>
      </c>
      <c r="D372" s="2" t="s">
        <v>4027</v>
      </c>
      <c r="E372" s="2" t="b">
        <v>1</v>
      </c>
      <c r="F372" s="2" t="b">
        <v>0</v>
      </c>
      <c r="G372" s="2" t="s">
        <v>9937</v>
      </c>
      <c r="H372" s="3" t="str">
        <f>_xlfn.IFNA(INDEX(RulebookFields!C2:C999, MATCH(D372,RulebookFields!A2:A999, 0)), "")</f>
      </c>
      <c r="I372" s="3" t="str">
        <f>_xlfn.IFNA(INDEX(RulebookFields!D2:D999, MATCH(D372,RulebookFields!A2:A999, 0)), "")</f>
      </c>
      <c r="J372" s="3" t="str">
        <f>_xlfn.IFNA(INDEX(RulebookFields!I2:I999, MATCH(D372,RulebookFields!A2:A999, 0)), "")</f>
      </c>
      <c r="K372" s="3" t="b">
        <f>AND(F372, J372)</f>
        <v>0</v>
      </c>
      <c r="L372" s="3" t="b">
        <f>AND(G372 &lt;&gt; "plain", G372 &lt;&gt; "")</f>
        <v>0</v>
      </c>
      <c r="M372" s="3" t="str">
        <f>IF(E372, C372 &amp; "|" &amp; H372, "")</f>
        <v>principal-policy-drafting-agent|</v>
      </c>
      <c r="N372" s="2" t="s">
        <v>9938</v>
      </c>
    </row>
    <row r="373">
      <c r="A373" s="2" t="s">
        <v>10309</v>
      </c>
      <c r="B373" s="3" t="str">
        <f>C373 &amp; " -&gt; " &amp; D373</f>
        <v>principal-policy-drafting-agent -&gt; MessageTemplates.Locale</v>
      </c>
      <c r="C373" s="2" t="s">
        <v>9702</v>
      </c>
      <c r="D373" s="2" t="s">
        <v>4028</v>
      </c>
      <c r="E373" s="2" t="b">
        <v>1</v>
      </c>
      <c r="F373" s="2" t="b">
        <v>0</v>
      </c>
      <c r="G373" s="2" t="s">
        <v>9937</v>
      </c>
      <c r="H373" s="3" t="str">
        <f>_xlfn.IFNA(INDEX(RulebookFields!C2:C999, MATCH(D373,RulebookFields!A2:A999, 0)), "")</f>
      </c>
      <c r="I373" s="3" t="str">
        <f>_xlfn.IFNA(INDEX(RulebookFields!D2:D999, MATCH(D373,RulebookFields!A2:A999, 0)), "")</f>
      </c>
      <c r="J373" s="3" t="str">
        <f>_xlfn.IFNA(INDEX(RulebookFields!I2:I999, MATCH(D373,RulebookFields!A2:A999, 0)), "")</f>
      </c>
      <c r="K373" s="3" t="b">
        <f>AND(F373, J373)</f>
        <v>0</v>
      </c>
      <c r="L373" s="3" t="b">
        <f>AND(G373 &lt;&gt; "plain", G373 &lt;&gt; "")</f>
        <v>0</v>
      </c>
      <c r="M373" s="3" t="str">
        <f>IF(E373, C373 &amp; "|" &amp; H373, "")</f>
        <v>principal-policy-drafting-agent|</v>
      </c>
      <c r="N373" s="2" t="s">
        <v>9938</v>
      </c>
    </row>
    <row r="374">
      <c r="A374" s="2" t="s">
        <v>10310</v>
      </c>
      <c r="B374" s="3" t="str">
        <f>C374 &amp; " -&gt; " &amp; D374</f>
        <v>principal-policy-drafting-agent -&gt; MessageTemplates.Status</v>
      </c>
      <c r="C374" s="2" t="s">
        <v>9702</v>
      </c>
      <c r="D374" s="2" t="s">
        <v>4029</v>
      </c>
      <c r="E374" s="2" t="b">
        <v>1</v>
      </c>
      <c r="F374" s="2" t="b">
        <v>0</v>
      </c>
      <c r="G374" s="2" t="s">
        <v>9937</v>
      </c>
      <c r="H374" s="3" t="str">
        <f>_xlfn.IFNA(INDEX(RulebookFields!C2:C999, MATCH(D374,RulebookFields!A2:A999, 0)), "")</f>
      </c>
      <c r="I374" s="3" t="str">
        <f>_xlfn.IFNA(INDEX(RulebookFields!D2:D999, MATCH(D374,RulebookFields!A2:A999, 0)), "")</f>
      </c>
      <c r="J374" s="3" t="str">
        <f>_xlfn.IFNA(INDEX(RulebookFields!I2:I999, MATCH(D374,RulebookFields!A2:A999, 0)), "")</f>
      </c>
      <c r="K374" s="3" t="b">
        <f>AND(F374, J374)</f>
        <v>0</v>
      </c>
      <c r="L374" s="3" t="b">
        <f>AND(G374 &lt;&gt; "plain", G374 &lt;&gt; "")</f>
        <v>0</v>
      </c>
      <c r="M374" s="3" t="str">
        <f>IF(E374, C374 &amp; "|" &amp; H374, "")</f>
        <v>principal-policy-drafting-agent|</v>
      </c>
      <c r="N374" s="2" t="s">
        <v>9938</v>
      </c>
    </row>
    <row r="375">
      <c r="A375" s="2" t="s">
        <v>10311</v>
      </c>
      <c r="B375" s="3" t="str">
        <f>C375 &amp; " -&gt; " &amp; D375</f>
        <v>principal-policy-drafting-agent -&gt; MessageTemplates.Name</v>
      </c>
      <c r="C375" s="2" t="s">
        <v>9702</v>
      </c>
      <c r="D375" s="2" t="s">
        <v>4022</v>
      </c>
      <c r="E375" s="2" t="b">
        <v>1</v>
      </c>
      <c r="F375" s="2" t="b">
        <v>0</v>
      </c>
      <c r="G375" s="2" t="s">
        <v>9937</v>
      </c>
      <c r="H375" s="3" t="str">
        <f>_xlfn.IFNA(INDEX(RulebookFields!C2:C999, MATCH(D375,RulebookFields!A2:A999, 0)), "")</f>
      </c>
      <c r="I375" s="3" t="str">
        <f>_xlfn.IFNA(INDEX(RulebookFields!D2:D999, MATCH(D375,RulebookFields!A2:A999, 0)), "")</f>
      </c>
      <c r="J375" s="3" t="str">
        <f>_xlfn.IFNA(INDEX(RulebookFields!I2:I999, MATCH(D375,RulebookFields!A2:A999, 0)), "")</f>
      </c>
      <c r="K375" s="3" t="b">
        <f>AND(F375, J375)</f>
        <v>0</v>
      </c>
      <c r="L375" s="3" t="b">
        <f>AND(G375 &lt;&gt; "plain", G375 &lt;&gt; "")</f>
        <v>0</v>
      </c>
      <c r="M375" s="3" t="str">
        <f>IF(E375, C375 &amp; "|" &amp; H375, "")</f>
        <v>principal-policy-drafting-agent|</v>
      </c>
      <c r="N375" s="2" t="s">
        <v>9938</v>
      </c>
    </row>
    <row r="376">
      <c r="A376" s="2" t="s">
        <v>10312</v>
      </c>
      <c r="B376" s="3" t="str">
        <f>C376 &amp; " -&gt; " &amp; D376</f>
        <v>principal-policy-drafting-agent -&gt; CommunicationPolicies.CommunicationPolicyId</v>
      </c>
      <c r="C376" s="2" t="s">
        <v>9702</v>
      </c>
      <c r="D376" s="2" t="s">
        <v>3994</v>
      </c>
      <c r="E376" s="2" t="b">
        <v>1</v>
      </c>
      <c r="F376" s="2" t="b">
        <v>0</v>
      </c>
      <c r="G376" s="2" t="s">
        <v>9937</v>
      </c>
      <c r="H376" s="3" t="str">
        <f>_xlfn.IFNA(INDEX(RulebookFields!C2:C999, MATCH(D376,RulebookFields!A2:A999, 0)), "")</f>
      </c>
      <c r="I376" s="3" t="str">
        <f>_xlfn.IFNA(INDEX(RulebookFields!D2:D999, MATCH(D376,RulebookFields!A2:A999, 0)), "")</f>
      </c>
      <c r="J376" s="3" t="str">
        <f>_xlfn.IFNA(INDEX(RulebookFields!I2:I999, MATCH(D376,RulebookFields!A2:A999, 0)), "")</f>
      </c>
      <c r="K376" s="3" t="b">
        <f>AND(F376, J376)</f>
        <v>0</v>
      </c>
      <c r="L376" s="3" t="b">
        <f>AND(G376 &lt;&gt; "plain", G376 &lt;&gt; "")</f>
        <v>0</v>
      </c>
      <c r="M376" s="3" t="str">
        <f>IF(E376, C376 &amp; "|" &amp; H376, "")</f>
        <v>principal-policy-drafting-agent|</v>
      </c>
      <c r="N376" s="2" t="s">
        <v>9938</v>
      </c>
    </row>
    <row r="377">
      <c r="A377" s="2" t="s">
        <v>10313</v>
      </c>
      <c r="B377" s="3" t="str">
        <f>C377 &amp; " -&gt; " &amp; D377</f>
        <v>principal-policy-drafting-agent -&gt; CommunicationPolicies.Channel</v>
      </c>
      <c r="C377" s="2" t="s">
        <v>9702</v>
      </c>
      <c r="D377" s="2" t="s">
        <v>3998</v>
      </c>
      <c r="E377" s="2" t="b">
        <v>1</v>
      </c>
      <c r="F377" s="2" t="b">
        <v>0</v>
      </c>
      <c r="G377" s="2" t="s">
        <v>9937</v>
      </c>
      <c r="H377" s="3" t="str">
        <f>_xlfn.IFNA(INDEX(RulebookFields!C2:C999, MATCH(D377,RulebookFields!A2:A999, 0)), "")</f>
      </c>
      <c r="I377" s="3" t="str">
        <f>_xlfn.IFNA(INDEX(RulebookFields!D2:D999, MATCH(D377,RulebookFields!A2:A999, 0)), "")</f>
      </c>
      <c r="J377" s="3" t="str">
        <f>_xlfn.IFNA(INDEX(RulebookFields!I2:I999, MATCH(D377,RulebookFields!A2:A999, 0)), "")</f>
      </c>
      <c r="K377" s="3" t="b">
        <f>AND(F377, J377)</f>
        <v>0</v>
      </c>
      <c r="L377" s="3" t="b">
        <f>AND(G377 &lt;&gt; "plain", G377 &lt;&gt; "")</f>
        <v>0</v>
      </c>
      <c r="M377" s="3" t="str">
        <f>IF(E377, C377 &amp; "|" &amp; H377, "")</f>
        <v>principal-policy-drafting-agent|</v>
      </c>
      <c r="N377" s="2" t="s">
        <v>9938</v>
      </c>
    </row>
    <row r="378">
      <c r="A378" s="2" t="s">
        <v>10314</v>
      </c>
      <c r="B378" s="3" t="str">
        <f>C378 &amp; " -&gt; " &amp; D378</f>
        <v>principal-policy-drafting-agent -&gt; CommunicationPolicies.AudienceRule</v>
      </c>
      <c r="C378" s="2" t="s">
        <v>9702</v>
      </c>
      <c r="D378" s="2" t="s">
        <v>3999</v>
      </c>
      <c r="E378" s="2" t="b">
        <v>1</v>
      </c>
      <c r="F378" s="2" t="b">
        <v>0</v>
      </c>
      <c r="G378" s="2" t="s">
        <v>9937</v>
      </c>
      <c r="H378" s="3" t="str">
        <f>_xlfn.IFNA(INDEX(RulebookFields!C2:C999, MATCH(D378,RulebookFields!A2:A999, 0)), "")</f>
      </c>
      <c r="I378" s="3" t="str">
        <f>_xlfn.IFNA(INDEX(RulebookFields!D2:D999, MATCH(D378,RulebookFields!A2:A999, 0)), "")</f>
      </c>
      <c r="J378" s="3" t="str">
        <f>_xlfn.IFNA(INDEX(RulebookFields!I2:I999, MATCH(D378,RulebookFields!A2:A999, 0)), "")</f>
      </c>
      <c r="K378" s="3" t="b">
        <f>AND(F378, J378)</f>
        <v>0</v>
      </c>
      <c r="L378" s="3" t="b">
        <f>AND(G378 &lt;&gt; "plain", G378 &lt;&gt; "")</f>
        <v>0</v>
      </c>
      <c r="M378" s="3" t="str">
        <f>IF(E378, C378 &amp; "|" &amp; H378, "")</f>
        <v>principal-policy-drafting-agent|</v>
      </c>
      <c r="N378" s="2" t="s">
        <v>9938</v>
      </c>
    </row>
    <row r="379">
      <c r="A379" s="2" t="s">
        <v>10315</v>
      </c>
      <c r="B379" s="3" t="str">
        <f>C379 &amp; " -&gt; " &amp; D379</f>
        <v>principal-policy-drafting-agent -&gt; CommunicationPolicies.MaxMessageLength</v>
      </c>
      <c r="C379" s="2" t="s">
        <v>9702</v>
      </c>
      <c r="D379" s="2" t="s">
        <v>4003</v>
      </c>
      <c r="E379" s="2" t="b">
        <v>1</v>
      </c>
      <c r="F379" s="2" t="b">
        <v>0</v>
      </c>
      <c r="G379" s="2" t="s">
        <v>9937</v>
      </c>
      <c r="H379" s="3" t="str">
        <f>_xlfn.IFNA(INDEX(RulebookFields!C2:C999, MATCH(D379,RulebookFields!A2:A999, 0)), "")</f>
      </c>
      <c r="I379" s="3" t="str">
        <f>_xlfn.IFNA(INDEX(RulebookFields!D2:D999, MATCH(D379,RulebookFields!A2:A999, 0)), "")</f>
      </c>
      <c r="J379" s="3" t="str">
        <f>_xlfn.IFNA(INDEX(RulebookFields!I2:I999, MATCH(D379,RulebookFields!A2:A999, 0)), "")</f>
      </c>
      <c r="K379" s="3" t="b">
        <f>AND(F379, J379)</f>
        <v>0</v>
      </c>
      <c r="L379" s="3" t="b">
        <f>AND(G379 &lt;&gt; "plain", G379 &lt;&gt; "")</f>
        <v>0</v>
      </c>
      <c r="M379" s="3" t="str">
        <f>IF(E379, C379 &amp; "|" &amp; H379, "")</f>
        <v>principal-policy-drafting-agent|</v>
      </c>
      <c r="N379" s="2" t="s">
        <v>9938</v>
      </c>
    </row>
    <row r="380">
      <c r="A380" s="2" t="s">
        <v>10316</v>
      </c>
      <c r="B380" s="3" t="str">
        <f>C380 &amp; " -&gt; " &amp; D380</f>
        <v>principal-policy-drafting-agent -&gt; CommunicationPolicies.MaxSegments</v>
      </c>
      <c r="C380" s="2" t="s">
        <v>9702</v>
      </c>
      <c r="D380" s="2" t="s">
        <v>4004</v>
      </c>
      <c r="E380" s="2" t="b">
        <v>1</v>
      </c>
      <c r="F380" s="2" t="b">
        <v>0</v>
      </c>
      <c r="G380" s="2" t="s">
        <v>9937</v>
      </c>
      <c r="H380" s="3" t="str">
        <f>_xlfn.IFNA(INDEX(RulebookFields!C2:C999, MATCH(D380,RulebookFields!A2:A999, 0)), "")</f>
      </c>
      <c r="I380" s="3" t="str">
        <f>_xlfn.IFNA(INDEX(RulebookFields!D2:D999, MATCH(D380,RulebookFields!A2:A999, 0)), "")</f>
      </c>
      <c r="J380" s="3" t="str">
        <f>_xlfn.IFNA(INDEX(RulebookFields!I2:I999, MATCH(D380,RulebookFields!A2:A999, 0)), "")</f>
      </c>
      <c r="K380" s="3" t="b">
        <f>AND(F380, J380)</f>
        <v>0</v>
      </c>
      <c r="L380" s="3" t="b">
        <f>AND(G380 &lt;&gt; "plain", G380 &lt;&gt; "")</f>
        <v>0</v>
      </c>
      <c r="M380" s="3" t="str">
        <f>IF(E380, C380 &amp; "|" &amp; H380, "")</f>
        <v>principal-policy-drafting-agent|</v>
      </c>
      <c r="N380" s="2" t="s">
        <v>9938</v>
      </c>
    </row>
    <row r="381">
      <c r="A381" s="2" t="s">
        <v>10317</v>
      </c>
      <c r="B381" s="3" t="str">
        <f>C381 &amp; " -&gt; " &amp; D381</f>
        <v>principal-policy-drafting-agent -&gt; CommunicationPolicies.RequiredContent</v>
      </c>
      <c r="C381" s="2" t="s">
        <v>9702</v>
      </c>
      <c r="D381" s="2" t="s">
        <v>4007</v>
      </c>
      <c r="E381" s="2" t="b">
        <v>1</v>
      </c>
      <c r="F381" s="2" t="b">
        <v>0</v>
      </c>
      <c r="G381" s="2" t="s">
        <v>9937</v>
      </c>
      <c r="H381" s="3" t="str">
        <f>_xlfn.IFNA(INDEX(RulebookFields!C2:C999, MATCH(D381,RulebookFields!A2:A999, 0)), "")</f>
      </c>
      <c r="I381" s="3" t="str">
        <f>_xlfn.IFNA(INDEX(RulebookFields!D2:D999, MATCH(D381,RulebookFields!A2:A999, 0)), "")</f>
      </c>
      <c r="J381" s="3" t="str">
        <f>_xlfn.IFNA(INDEX(RulebookFields!I2:I999, MATCH(D381,RulebookFields!A2:A999, 0)), "")</f>
      </c>
      <c r="K381" s="3" t="b">
        <f>AND(F381, J381)</f>
        <v>0</v>
      </c>
      <c r="L381" s="3" t="b">
        <f>AND(G381 &lt;&gt; "plain", G381 &lt;&gt; "")</f>
        <v>0</v>
      </c>
      <c r="M381" s="3" t="str">
        <f>IF(E381, C381 &amp; "|" &amp; H381, "")</f>
        <v>principal-policy-drafting-agent|</v>
      </c>
      <c r="N381" s="2" t="s">
        <v>9938</v>
      </c>
    </row>
    <row r="382">
      <c r="A382" s="2" t="s">
        <v>10318</v>
      </c>
      <c r="B382" s="3" t="str">
        <f>C382 &amp; " -&gt; " &amp; D382</f>
        <v>principal-policy-drafting-agent -&gt; CommunicationPolicies.AuthorityStatement</v>
      </c>
      <c r="C382" s="2" t="s">
        <v>9702</v>
      </c>
      <c r="D382" s="2" t="s">
        <v>4008</v>
      </c>
      <c r="E382" s="2" t="b">
        <v>1</v>
      </c>
      <c r="F382" s="2" t="b">
        <v>0</v>
      </c>
      <c r="G382" s="2" t="s">
        <v>9937</v>
      </c>
      <c r="H382" s="3" t="str">
        <f>_xlfn.IFNA(INDEX(RulebookFields!C2:C999, MATCH(D382,RulebookFields!A2:A999, 0)), "")</f>
      </c>
      <c r="I382" s="3" t="str">
        <f>_xlfn.IFNA(INDEX(RulebookFields!D2:D999, MATCH(D382,RulebookFields!A2:A999, 0)), "")</f>
      </c>
      <c r="J382" s="3" t="str">
        <f>_xlfn.IFNA(INDEX(RulebookFields!I2:I999, MATCH(D382,RulebookFields!A2:A999, 0)), "")</f>
      </c>
      <c r="K382" s="3" t="b">
        <f>AND(F382, J382)</f>
        <v>0</v>
      </c>
      <c r="L382" s="3" t="b">
        <f>AND(G382 &lt;&gt; "plain", G382 &lt;&gt; "")</f>
        <v>0</v>
      </c>
      <c r="M382" s="3" t="str">
        <f>IF(E382, C382 &amp; "|" &amp; H382, "")</f>
        <v>principal-policy-drafting-agent|</v>
      </c>
      <c r="N382" s="2" t="s">
        <v>9938</v>
      </c>
    </row>
    <row r="383">
      <c r="A383" s="2" t="s">
        <v>10319</v>
      </c>
      <c r="B383" s="3" t="str">
        <f>C383 &amp; " -&gt; " &amp; D383</f>
        <v>principal-policy-drafting-agent -&gt; CommunicationPolicies.Status</v>
      </c>
      <c r="C383" s="2" t="s">
        <v>9702</v>
      </c>
      <c r="D383" s="2" t="s">
        <v>4009</v>
      </c>
      <c r="E383" s="2" t="b">
        <v>1</v>
      </c>
      <c r="F383" s="2" t="b">
        <v>0</v>
      </c>
      <c r="G383" s="2" t="s">
        <v>9937</v>
      </c>
      <c r="H383" s="3" t="str">
        <f>_xlfn.IFNA(INDEX(RulebookFields!C2:C999, MATCH(D383,RulebookFields!A2:A999, 0)), "")</f>
      </c>
      <c r="I383" s="3" t="str">
        <f>_xlfn.IFNA(INDEX(RulebookFields!D2:D999, MATCH(D383,RulebookFields!A2:A999, 0)), "")</f>
      </c>
      <c r="J383" s="3" t="str">
        <f>_xlfn.IFNA(INDEX(RulebookFields!I2:I999, MATCH(D383,RulebookFields!A2:A999, 0)), "")</f>
      </c>
      <c r="K383" s="3" t="b">
        <f>AND(F383, J383)</f>
        <v>0</v>
      </c>
      <c r="L383" s="3" t="b">
        <f>AND(G383 &lt;&gt; "plain", G383 &lt;&gt; "")</f>
        <v>0</v>
      </c>
      <c r="M383" s="3" t="str">
        <f>IF(E383, C383 &amp; "|" &amp; H383, "")</f>
        <v>principal-policy-drafting-agent|</v>
      </c>
      <c r="N383" s="2" t="s">
        <v>9938</v>
      </c>
    </row>
    <row r="384">
      <c r="A384" s="2" t="s">
        <v>10320</v>
      </c>
      <c r="B384" s="3" t="str">
        <f>C384 &amp; " -&gt; " &amp; D384</f>
        <v>principal-policy-drafting-agent -&gt; CommunicationPolicies.Name</v>
      </c>
      <c r="C384" s="2" t="s">
        <v>9702</v>
      </c>
      <c r="D384" s="2" t="s">
        <v>3995</v>
      </c>
      <c r="E384" s="2" t="b">
        <v>1</v>
      </c>
      <c r="F384" s="2" t="b">
        <v>0</v>
      </c>
      <c r="G384" s="2" t="s">
        <v>9937</v>
      </c>
      <c r="H384" s="3" t="str">
        <f>_xlfn.IFNA(INDEX(RulebookFields!C2:C999, MATCH(D384,RulebookFields!A2:A999, 0)), "")</f>
      </c>
      <c r="I384" s="3" t="str">
        <f>_xlfn.IFNA(INDEX(RulebookFields!D2:D999, MATCH(D384,RulebookFields!A2:A999, 0)), "")</f>
      </c>
      <c r="J384" s="3" t="str">
        <f>_xlfn.IFNA(INDEX(RulebookFields!I2:I999, MATCH(D384,RulebookFields!A2:A999, 0)), "")</f>
      </c>
      <c r="K384" s="3" t="b">
        <f>AND(F384, J384)</f>
        <v>0</v>
      </c>
      <c r="L384" s="3" t="b">
        <f>AND(G384 &lt;&gt; "plain", G384 &lt;&gt; "")</f>
        <v>0</v>
      </c>
      <c r="M384" s="3" t="str">
        <f>IF(E384, C384 &amp; "|" &amp; H384, "")</f>
        <v>principal-policy-drafting-agent|</v>
      </c>
      <c r="N384" s="2" t="s">
        <v>9938</v>
      </c>
    </row>
    <row r="385">
      <c r="A385" s="2" t="s">
        <v>10321</v>
      </c>
      <c r="B385" s="3" t="str">
        <f>C385 &amp; " -&gt; " &amp; D385</f>
        <v>principal-policy-drafting-agent -&gt; KnowledgeFragments.KnowledgeFragmentId</v>
      </c>
      <c r="C385" s="2" t="s">
        <v>9702</v>
      </c>
      <c r="D385" s="2" t="s">
        <v>3159</v>
      </c>
      <c r="E385" s="2" t="b">
        <v>1</v>
      </c>
      <c r="F385" s="2" t="b">
        <v>0</v>
      </c>
      <c r="G385" s="2" t="s">
        <v>9937</v>
      </c>
      <c r="H385" s="3" t="str">
        <f>_xlfn.IFNA(INDEX(RulebookFields!C2:C999, MATCH(D385,RulebookFields!A2:A999, 0)), "")</f>
        <v>KnowledgeFragments</v>
      </c>
      <c r="I385" s="3" t="str">
        <f>_xlfn.IFNA(INDEX(RulebookFields!D2:D999, MATCH(D385,RulebookFields!A2:A999, 0)), "")</f>
        <v>KnowledgeFragmentId</v>
      </c>
      <c r="J385" s="3" t="b">
        <f>_xlfn.IFNA(INDEX(RulebookFields!I2:I999, MATCH(D385,RulebookFields!A2:A999, 0)), "")</f>
        <v>0</v>
      </c>
      <c r="K385" s="3" t="b">
        <f>AND(F385, J385)</f>
        <v>0</v>
      </c>
      <c r="L385" s="3" t="b">
        <f>AND(G385 &lt;&gt; "plain", G385 &lt;&gt; "")</f>
        <v>0</v>
      </c>
      <c r="M385" s="3" t="str">
        <f>IF(E385, C385 &amp; "|" &amp; H385, "")</f>
        <v>principal-policy-drafting-agent|KnowledgeFragments</v>
      </c>
      <c r="N385" s="2" t="s">
        <v>9938</v>
      </c>
    </row>
    <row r="386">
      <c r="A386" s="2" t="s">
        <v>10322</v>
      </c>
      <c r="B386" s="3" t="str">
        <f>C386 &amp; " -&gt; " &amp; D386</f>
        <v>principal-policy-drafting-agent -&gt; KnowledgeFragments.Statement</v>
      </c>
      <c r="C386" s="2" t="s">
        <v>9702</v>
      </c>
      <c r="D386" s="2" t="s">
        <v>3165</v>
      </c>
      <c r="E386" s="2" t="b">
        <v>1</v>
      </c>
      <c r="F386" s="2" t="b">
        <v>0</v>
      </c>
      <c r="G386" s="2" t="s">
        <v>9937</v>
      </c>
      <c r="H386" s="3" t="str">
        <f>_xlfn.IFNA(INDEX(RulebookFields!C2:C999, MATCH(D386,RulebookFields!A2:A999, 0)), "")</f>
        <v>KnowledgeFragments</v>
      </c>
      <c r="I386" s="3" t="str">
        <f>_xlfn.IFNA(INDEX(RulebookFields!D2:D999, MATCH(D386,RulebookFields!A2:A999, 0)), "")</f>
        <v>Statement</v>
      </c>
      <c r="J386" s="3" t="b">
        <f>_xlfn.IFNA(INDEX(RulebookFields!I2:I999, MATCH(D386,RulebookFields!A2:A999, 0)), "")</f>
        <v>0</v>
      </c>
      <c r="K386" s="3" t="b">
        <f>AND(F386, J386)</f>
        <v>0</v>
      </c>
      <c r="L386" s="3" t="b">
        <f>AND(G386 &lt;&gt; "plain", G386 &lt;&gt; "")</f>
        <v>0</v>
      </c>
      <c r="M386" s="3" t="str">
        <f>IF(E386, C386 &amp; "|" &amp; H386, "")</f>
        <v>principal-policy-drafting-agent|KnowledgeFragments</v>
      </c>
      <c r="N386" s="2" t="s">
        <v>9938</v>
      </c>
    </row>
    <row r="387">
      <c r="A387" s="2" t="s">
        <v>10323</v>
      </c>
      <c r="B387" s="3" t="str">
        <f>C387 &amp; " -&gt; " &amp; D387</f>
        <v>principal-policy-drafting-agent -&gt; KnowledgeFragments.KnowledgeForm</v>
      </c>
      <c r="C387" s="2" t="s">
        <v>9702</v>
      </c>
      <c r="D387" s="2" t="s">
        <v>3164</v>
      </c>
      <c r="E387" s="2" t="b">
        <v>1</v>
      </c>
      <c r="F387" s="2" t="b">
        <v>0</v>
      </c>
      <c r="G387" s="2" t="s">
        <v>9937</v>
      </c>
      <c r="H387" s="3" t="str">
        <f>_xlfn.IFNA(INDEX(RulebookFields!C2:C999, MATCH(D387,RulebookFields!A2:A999, 0)), "")</f>
        <v>KnowledgeFragments</v>
      </c>
      <c r="I387" s="3" t="str">
        <f>_xlfn.IFNA(INDEX(RulebookFields!D2:D999, MATCH(D387,RulebookFields!A2:A999, 0)), "")</f>
        <v>KnowledgeForm</v>
      </c>
      <c r="J387" s="3" t="b">
        <f>_xlfn.IFNA(INDEX(RulebookFields!I2:I999, MATCH(D387,RulebookFields!A2:A999, 0)), "")</f>
        <v>0</v>
      </c>
      <c r="K387" s="3" t="b">
        <f>AND(F387, J387)</f>
        <v>0</v>
      </c>
      <c r="L387" s="3" t="b">
        <f>AND(G387 &lt;&gt; "plain", G387 &lt;&gt; "")</f>
        <v>0</v>
      </c>
      <c r="M387" s="3" t="str">
        <f>IF(E387, C387 &amp; "|" &amp; H387, "")</f>
        <v>principal-policy-drafting-agent|KnowledgeFragments</v>
      </c>
      <c r="N387" s="2" t="s">
        <v>9938</v>
      </c>
    </row>
    <row r="388">
      <c r="A388" s="2" t="s">
        <v>10324</v>
      </c>
      <c r="B388" s="3" t="str">
        <f>C388 &amp; " -&gt; " &amp; D388</f>
        <v>principal-policy-drafting-agent -&gt; KnowledgeFragments.Status</v>
      </c>
      <c r="C388" s="2" t="s">
        <v>9702</v>
      </c>
      <c r="D388" s="2" t="s">
        <v>3171</v>
      </c>
      <c r="E388" s="2" t="b">
        <v>1</v>
      </c>
      <c r="F388" s="2" t="b">
        <v>0</v>
      </c>
      <c r="G388" s="2" t="s">
        <v>9937</v>
      </c>
      <c r="H388" s="3" t="str">
        <f>_xlfn.IFNA(INDEX(RulebookFields!C2:C999, MATCH(D388,RulebookFields!A2:A999, 0)), "")</f>
        <v>KnowledgeFragments</v>
      </c>
      <c r="I388" s="3" t="str">
        <f>_xlfn.IFNA(INDEX(RulebookFields!D2:D999, MATCH(D388,RulebookFields!A2:A999, 0)), "")</f>
        <v>Status</v>
      </c>
      <c r="J388" s="3" t="b">
        <f>_xlfn.IFNA(INDEX(RulebookFields!I2:I999, MATCH(D388,RulebookFields!A2:A999, 0)), "")</f>
        <v>0</v>
      </c>
      <c r="K388" s="3" t="b">
        <f>AND(F388, J388)</f>
        <v>0</v>
      </c>
      <c r="L388" s="3" t="b">
        <f>AND(G388 &lt;&gt; "plain", G388 &lt;&gt; "")</f>
        <v>0</v>
      </c>
      <c r="M388" s="3" t="str">
        <f>IF(E388, C388 &amp; "|" &amp; H388, "")</f>
        <v>principal-policy-drafting-agent|KnowledgeFragments</v>
      </c>
      <c r="N388" s="2" t="s">
        <v>9938</v>
      </c>
    </row>
    <row r="389">
      <c r="A389" s="2" t="s">
        <v>10325</v>
      </c>
      <c r="B389" s="3" t="str">
        <f>C389 &amp; " -&gt; " &amp; D389</f>
        <v>principal-policy-drafting-agent -&gt; KnowledgeFragments.Name</v>
      </c>
      <c r="C389" s="2" t="s">
        <v>9702</v>
      </c>
      <c r="D389" s="2" t="s">
        <v>3160</v>
      </c>
      <c r="E389" s="2" t="b">
        <v>1</v>
      </c>
      <c r="F389" s="2" t="b">
        <v>0</v>
      </c>
      <c r="G389" s="2" t="s">
        <v>9937</v>
      </c>
      <c r="H389" s="3" t="str">
        <f>_xlfn.IFNA(INDEX(RulebookFields!C2:C999, MATCH(D389,RulebookFields!A2:A999, 0)), "")</f>
        <v>KnowledgeFragments</v>
      </c>
      <c r="I389" s="3" t="str">
        <f>_xlfn.IFNA(INDEX(RulebookFields!D2:D999, MATCH(D389,RulebookFields!A2:A999, 0)), "")</f>
        <v>Name</v>
      </c>
      <c r="J389" s="3" t="b">
        <f>_xlfn.IFNA(INDEX(RulebookFields!I2:I999, MATCH(D389,RulebookFields!A2:A999, 0)), "")</f>
        <v>1</v>
      </c>
      <c r="K389" s="3" t="b">
        <f>AND(F389, J389)</f>
        <v>0</v>
      </c>
      <c r="L389" s="3" t="b">
        <f>AND(G389 &lt;&gt; "plain", G389 &lt;&gt; "")</f>
        <v>0</v>
      </c>
      <c r="M389" s="3" t="str">
        <f>IF(E389, C389 &amp; "|" &amp; H389, "")</f>
        <v>principal-policy-drafting-agent|KnowledgeFragments</v>
      </c>
      <c r="N389" s="2" t="s">
        <v>9938</v>
      </c>
    </row>
    <row r="390">
      <c r="A390" s="2" t="s">
        <v>10326</v>
      </c>
      <c r="B390" s="3" t="str">
        <f>C390 &amp; " -&gt; " &amp; D390</f>
        <v>principal-policy-drafting-agent -&gt; Steps.StepId</v>
      </c>
      <c r="C390" s="2" t="s">
        <v>9702</v>
      </c>
      <c r="D390" s="2" t="s">
        <v>2837</v>
      </c>
      <c r="E390" s="2" t="b">
        <v>1</v>
      </c>
      <c r="F390" s="2" t="b">
        <v>0</v>
      </c>
      <c r="G390" s="2" t="s">
        <v>9937</v>
      </c>
      <c r="H390" s="3" t="str">
        <f>_xlfn.IFNA(INDEX(RulebookFields!C2:C999, MATCH(D390,RulebookFields!A2:A999, 0)), "")</f>
        <v>Steps</v>
      </c>
      <c r="I390" s="3" t="str">
        <f>_xlfn.IFNA(INDEX(RulebookFields!D2:D999, MATCH(D390,RulebookFields!A2:A999, 0)), "")</f>
        <v>StepId</v>
      </c>
      <c r="J390" s="3" t="b">
        <f>_xlfn.IFNA(INDEX(RulebookFields!I2:I999, MATCH(D390,RulebookFields!A2:A999, 0)), "")</f>
        <v>0</v>
      </c>
      <c r="K390" s="3" t="b">
        <f>AND(F390, J390)</f>
        <v>0</v>
      </c>
      <c r="L390" s="3" t="b">
        <f>AND(G390 &lt;&gt; "plain", G390 &lt;&gt; "")</f>
        <v>0</v>
      </c>
      <c r="M390" s="3" t="str">
        <f>IF(E390, C390 &amp; "|" &amp; H390, "")</f>
        <v>principal-policy-drafting-agent|Steps</v>
      </c>
      <c r="N390" s="2" t="s">
        <v>9938</v>
      </c>
    </row>
    <row r="391">
      <c r="A391" s="2" t="s">
        <v>10327</v>
      </c>
      <c r="B391" s="3" t="str">
        <f>C391 &amp; " -&gt; " &amp; D391</f>
        <v>principal-policy-drafting-agent -&gt; Steps.StepNumber</v>
      </c>
      <c r="C391" s="2" t="s">
        <v>9702</v>
      </c>
      <c r="D391" s="2" t="s">
        <v>2841</v>
      </c>
      <c r="E391" s="2" t="b">
        <v>1</v>
      </c>
      <c r="F391" s="2" t="b">
        <v>0</v>
      </c>
      <c r="G391" s="2" t="s">
        <v>9937</v>
      </c>
      <c r="H391" s="3" t="str">
        <f>_xlfn.IFNA(INDEX(RulebookFields!C2:C999, MATCH(D391,RulebookFields!A2:A999, 0)), "")</f>
        <v>Steps</v>
      </c>
      <c r="I391" s="3" t="str">
        <f>_xlfn.IFNA(INDEX(RulebookFields!D2:D999, MATCH(D391,RulebookFields!A2:A999, 0)), "")</f>
        <v>StepNumber</v>
      </c>
      <c r="J391" s="3" t="b">
        <f>_xlfn.IFNA(INDEX(RulebookFields!I2:I999, MATCH(D391,RulebookFields!A2:A999, 0)), "")</f>
        <v>0</v>
      </c>
      <c r="K391" s="3" t="b">
        <f>AND(F391, J391)</f>
        <v>0</v>
      </c>
      <c r="L391" s="3" t="b">
        <f>AND(G391 &lt;&gt; "plain", G391 &lt;&gt; "")</f>
        <v>0</v>
      </c>
      <c r="M391" s="3" t="str">
        <f>IF(E391, C391 &amp; "|" &amp; H391, "")</f>
        <v>principal-policy-drafting-agent|Steps</v>
      </c>
      <c r="N391" s="2" t="s">
        <v>9938</v>
      </c>
    </row>
    <row r="392">
      <c r="A392" s="2" t="s">
        <v>10328</v>
      </c>
      <c r="B392" s="3" t="str">
        <f>C392 &amp; " -&gt; " &amp; D392</f>
        <v>principal-policy-drafting-agent -&gt; Steps.Title</v>
      </c>
      <c r="C392" s="2" t="s">
        <v>9702</v>
      </c>
      <c r="D392" s="2" t="s">
        <v>2842</v>
      </c>
      <c r="E392" s="2" t="b">
        <v>1</v>
      </c>
      <c r="F392" s="2" t="b">
        <v>0</v>
      </c>
      <c r="G392" s="2" t="s">
        <v>9937</v>
      </c>
      <c r="H392" s="3" t="str">
        <f>_xlfn.IFNA(INDEX(RulebookFields!C2:C999, MATCH(D392,RulebookFields!A2:A999, 0)), "")</f>
        <v>Steps</v>
      </c>
      <c r="I392" s="3" t="str">
        <f>_xlfn.IFNA(INDEX(RulebookFields!D2:D999, MATCH(D392,RulebookFields!A2:A999, 0)), "")</f>
        <v>Title</v>
      </c>
      <c r="J392" s="3" t="b">
        <f>_xlfn.IFNA(INDEX(RulebookFields!I2:I999, MATCH(D392,RulebookFields!A2:A999, 0)), "")</f>
        <v>0</v>
      </c>
      <c r="K392" s="3" t="b">
        <f>AND(F392, J392)</f>
        <v>0</v>
      </c>
      <c r="L392" s="3" t="b">
        <f>AND(G392 &lt;&gt; "plain", G392 &lt;&gt; "")</f>
        <v>0</v>
      </c>
      <c r="M392" s="3" t="str">
        <f>IF(E392, C392 &amp; "|" &amp; H392, "")</f>
        <v>principal-policy-drafting-agent|Steps</v>
      </c>
      <c r="N392" s="2" t="s">
        <v>9938</v>
      </c>
    </row>
    <row r="393">
      <c r="A393" s="2" t="s">
        <v>10329</v>
      </c>
      <c r="B393" s="3" t="str">
        <f>C393 &amp; " -&gt; " &amp; D393</f>
        <v>principal-policy-drafting-agent -&gt; Steps.StepKind</v>
      </c>
      <c r="C393" s="2" t="s">
        <v>9702</v>
      </c>
      <c r="D393" s="2" t="s">
        <v>2843</v>
      </c>
      <c r="E393" s="2" t="b">
        <v>1</v>
      </c>
      <c r="F393" s="2" t="b">
        <v>0</v>
      </c>
      <c r="G393" s="2" t="s">
        <v>9937</v>
      </c>
      <c r="H393" s="3" t="str">
        <f>_xlfn.IFNA(INDEX(RulebookFields!C2:C999, MATCH(D393,RulebookFields!A2:A999, 0)), "")</f>
        <v>Steps</v>
      </c>
      <c r="I393" s="3" t="str">
        <f>_xlfn.IFNA(INDEX(RulebookFields!D2:D999, MATCH(D393,RulebookFields!A2:A999, 0)), "")</f>
        <v>StepKind</v>
      </c>
      <c r="J393" s="3" t="b">
        <f>_xlfn.IFNA(INDEX(RulebookFields!I2:I999, MATCH(D393,RulebookFields!A2:A999, 0)), "")</f>
        <v>0</v>
      </c>
      <c r="K393" s="3" t="b">
        <f>AND(F393, J393)</f>
        <v>0</v>
      </c>
      <c r="L393" s="3" t="b">
        <f>AND(G393 &lt;&gt; "plain", G393 &lt;&gt; "")</f>
        <v>0</v>
      </c>
      <c r="M393" s="3" t="str">
        <f>IF(E393, C393 &amp; "|" &amp; H393, "")</f>
        <v>principal-policy-drafting-agent|Steps</v>
      </c>
      <c r="N393" s="2" t="s">
        <v>9938</v>
      </c>
    </row>
    <row r="394">
      <c r="A394" s="2" t="s">
        <v>10330</v>
      </c>
      <c r="B394" s="3" t="str">
        <f>C394 &amp; " -&gt; " &amp; D394</f>
        <v>principal-policy-drafting-agent -&gt; Steps.Instruction</v>
      </c>
      <c r="C394" s="2" t="s">
        <v>9702</v>
      </c>
      <c r="D394" s="2" t="s">
        <v>2849</v>
      </c>
      <c r="E394" s="2" t="b">
        <v>1</v>
      </c>
      <c r="F394" s="2" t="b">
        <v>0</v>
      </c>
      <c r="G394" s="2" t="s">
        <v>9937</v>
      </c>
      <c r="H394" s="3" t="str">
        <f>_xlfn.IFNA(INDEX(RulebookFields!C2:C999, MATCH(D394,RulebookFields!A2:A999, 0)), "")</f>
        <v>Steps</v>
      </c>
      <c r="I394" s="3" t="str">
        <f>_xlfn.IFNA(INDEX(RulebookFields!D2:D999, MATCH(D394,RulebookFields!A2:A999, 0)), "")</f>
        <v>Instruction</v>
      </c>
      <c r="J394" s="3" t="b">
        <f>_xlfn.IFNA(INDEX(RulebookFields!I2:I999, MATCH(D394,RulebookFields!A2:A999, 0)), "")</f>
        <v>0</v>
      </c>
      <c r="K394" s="3" t="b">
        <f>AND(F394, J394)</f>
        <v>0</v>
      </c>
      <c r="L394" s="3" t="b">
        <f>AND(G394 &lt;&gt; "plain", G394 &lt;&gt; "")</f>
        <v>0</v>
      </c>
      <c r="M394" s="3" t="str">
        <f>IF(E394, C394 &amp; "|" &amp; H394, "")</f>
        <v>principal-policy-drafting-agent|Steps</v>
      </c>
      <c r="N394" s="2" t="s">
        <v>9938</v>
      </c>
    </row>
    <row r="395">
      <c r="A395" s="2" t="s">
        <v>10331</v>
      </c>
      <c r="B395" s="3" t="str">
        <f>C395 &amp; " -&gt; " &amp; D395</f>
        <v>principal-policy-drafting-agent -&gt; Steps.AssignedRole</v>
      </c>
      <c r="C395" s="2" t="s">
        <v>9702</v>
      </c>
      <c r="D395" s="2" t="s">
        <v>2844</v>
      </c>
      <c r="E395" s="2" t="b">
        <v>1</v>
      </c>
      <c r="F395" s="2" t="b">
        <v>0</v>
      </c>
      <c r="G395" s="2" t="s">
        <v>9937</v>
      </c>
      <c r="H395" s="3" t="str">
        <f>_xlfn.IFNA(INDEX(RulebookFields!C2:C999, MATCH(D395,RulebookFields!A2:A999, 0)), "")</f>
        <v>Steps</v>
      </c>
      <c r="I395" s="3" t="str">
        <f>_xlfn.IFNA(INDEX(RulebookFields!D2:D999, MATCH(D395,RulebookFields!A2:A999, 0)), "")</f>
        <v>AssignedRole</v>
      </c>
      <c r="J395" s="3" t="b">
        <f>_xlfn.IFNA(INDEX(RulebookFields!I2:I999, MATCH(D395,RulebookFields!A2:A999, 0)), "")</f>
        <v>0</v>
      </c>
      <c r="K395" s="3" t="b">
        <f>AND(F395, J395)</f>
        <v>0</v>
      </c>
      <c r="L395" s="3" t="b">
        <f>AND(G395 &lt;&gt; "plain", G395 &lt;&gt; "")</f>
        <v>0</v>
      </c>
      <c r="M395" s="3" t="str">
        <f>IF(E395, C395 &amp; "|" &amp; H395, "")</f>
        <v>principal-policy-drafting-agent|Steps</v>
      </c>
      <c r="N395" s="2" t="s">
        <v>9938</v>
      </c>
    </row>
    <row r="396">
      <c r="A396" s="2" t="s">
        <v>10332</v>
      </c>
      <c r="B396" s="3" t="str">
        <f>C396 &amp; " -&gt; " &amp; D396</f>
        <v>principal-policy-drafting-agent -&gt; Steps.AssignedRoleLabel</v>
      </c>
      <c r="C396" s="2" t="s">
        <v>9702</v>
      </c>
      <c r="D396" s="2" t="s">
        <v>2845</v>
      </c>
      <c r="E396" s="2" t="b">
        <v>1</v>
      </c>
      <c r="F396" s="2" t="b">
        <v>0</v>
      </c>
      <c r="G396" s="2" t="s">
        <v>9937</v>
      </c>
      <c r="H396" s="3" t="str">
        <f>_xlfn.IFNA(INDEX(RulebookFields!C2:C999, MATCH(D396,RulebookFields!A2:A999, 0)), "")</f>
        <v>Steps</v>
      </c>
      <c r="I396" s="3" t="str">
        <f>_xlfn.IFNA(INDEX(RulebookFields!D2:D999, MATCH(D396,RulebookFields!A2:A999, 0)), "")</f>
        <v>AssignedRoleLabel</v>
      </c>
      <c r="J396" s="3" t="b">
        <f>_xlfn.IFNA(INDEX(RulebookFields!I2:I999, MATCH(D396,RulebookFields!A2:A999, 0)), "")</f>
        <v>1</v>
      </c>
      <c r="K396" s="3" t="b">
        <f>AND(F396, J396)</f>
        <v>0</v>
      </c>
      <c r="L396" s="3" t="b">
        <f>AND(G396 &lt;&gt; "plain", G396 &lt;&gt; "")</f>
        <v>0</v>
      </c>
      <c r="M396" s="3" t="str">
        <f>IF(E396, C396 &amp; "|" &amp; H396, "")</f>
        <v>principal-policy-drafting-agent|Steps</v>
      </c>
      <c r="N396" s="2" t="s">
        <v>9938</v>
      </c>
    </row>
    <row r="397">
      <c r="A397" s="2" t="s">
        <v>10333</v>
      </c>
      <c r="B397" s="3" t="str">
        <f>C397 &amp; " -&gt; " &amp; D397</f>
        <v>principal-policy-drafting-agent -&gt; Steps.ProcedureVersion</v>
      </c>
      <c r="C397" s="2" t="s">
        <v>9702</v>
      </c>
      <c r="D397" s="2" t="s">
        <v>2840</v>
      </c>
      <c r="E397" s="2" t="b">
        <v>1</v>
      </c>
      <c r="F397" s="2" t="b">
        <v>0</v>
      </c>
      <c r="G397" s="2" t="s">
        <v>9937</v>
      </c>
      <c r="H397" s="3" t="str">
        <f>_xlfn.IFNA(INDEX(RulebookFields!C2:C999, MATCH(D397,RulebookFields!A2:A999, 0)), "")</f>
        <v>Steps</v>
      </c>
      <c r="I397" s="3" t="str">
        <f>_xlfn.IFNA(INDEX(RulebookFields!D2:D999, MATCH(D397,RulebookFields!A2:A999, 0)), "")</f>
        <v>ProcedureVersion</v>
      </c>
      <c r="J397" s="3" t="b">
        <f>_xlfn.IFNA(INDEX(RulebookFields!I2:I999, MATCH(D397,RulebookFields!A2:A999, 0)), "")</f>
        <v>0</v>
      </c>
      <c r="K397" s="3" t="b">
        <f>AND(F397, J397)</f>
        <v>0</v>
      </c>
      <c r="L397" s="3" t="b">
        <f>AND(G397 &lt;&gt; "plain", G397 &lt;&gt; "")</f>
        <v>0</v>
      </c>
      <c r="M397" s="3" t="str">
        <f>IF(E397, C397 &amp; "|" &amp; H397, "")</f>
        <v>principal-policy-drafting-agent|Steps</v>
      </c>
      <c r="N397" s="2" t="s">
        <v>9938</v>
      </c>
    </row>
    <row r="398">
      <c r="A398" s="2" t="s">
        <v>10334</v>
      </c>
      <c r="B398" s="3" t="str">
        <f>C398 &amp; " -&gt; " &amp; D398</f>
        <v>principal-policy-drafting-agent -&gt; Steps.Name</v>
      </c>
      <c r="C398" s="2" t="s">
        <v>9702</v>
      </c>
      <c r="D398" s="2" t="s">
        <v>2838</v>
      </c>
      <c r="E398" s="2" t="b">
        <v>1</v>
      </c>
      <c r="F398" s="2" t="b">
        <v>0</v>
      </c>
      <c r="G398" s="2" t="s">
        <v>9937</v>
      </c>
      <c r="H398" s="3" t="str">
        <f>_xlfn.IFNA(INDEX(RulebookFields!C2:C999, MATCH(D398,RulebookFields!A2:A999, 0)), "")</f>
        <v>Steps</v>
      </c>
      <c r="I398" s="3" t="str">
        <f>_xlfn.IFNA(INDEX(RulebookFields!D2:D999, MATCH(D398,RulebookFields!A2:A999, 0)), "")</f>
        <v>Name</v>
      </c>
      <c r="J398" s="3" t="b">
        <f>_xlfn.IFNA(INDEX(RulebookFields!I2:I999, MATCH(D398,RulebookFields!A2:A999, 0)), "")</f>
        <v>1</v>
      </c>
      <c r="K398" s="3" t="b">
        <f>AND(F398, J398)</f>
        <v>0</v>
      </c>
      <c r="L398" s="3" t="b">
        <f>AND(G398 &lt;&gt; "plain", G398 &lt;&gt; "")</f>
        <v>0</v>
      </c>
      <c r="M398" s="3" t="str">
        <f>IF(E398, C398 &amp; "|" &amp; H398, "")</f>
        <v>principal-policy-drafting-agent|Steps</v>
      </c>
      <c r="N398" s="2" t="s">
        <v>9938</v>
      </c>
    </row>
    <row r="399">
      <c r="A399" s="2" t="s">
        <v>10335</v>
      </c>
      <c r="B399" s="3" t="str">
        <f>C399 &amp; " -&gt; " &amp; D399</f>
        <v>principal-notification-publisher -&gt; CommunicationPolicies.CommunicationPolicyId</v>
      </c>
      <c r="C399" s="2" t="s">
        <v>9704</v>
      </c>
      <c r="D399" s="2" t="s">
        <v>3994</v>
      </c>
      <c r="E399" s="2" t="b">
        <v>1</v>
      </c>
      <c r="F399" s="2" t="b">
        <v>0</v>
      </c>
      <c r="G399" s="2" t="s">
        <v>9937</v>
      </c>
      <c r="H399" s="3" t="str">
        <f>_xlfn.IFNA(INDEX(RulebookFields!C2:C999, MATCH(D399,RulebookFields!A2:A999, 0)), "")</f>
      </c>
      <c r="I399" s="3" t="str">
        <f>_xlfn.IFNA(INDEX(RulebookFields!D2:D999, MATCH(D399,RulebookFields!A2:A999, 0)), "")</f>
      </c>
      <c r="J399" s="3" t="str">
        <f>_xlfn.IFNA(INDEX(RulebookFields!I2:I999, MATCH(D399,RulebookFields!A2:A999, 0)), "")</f>
      </c>
      <c r="K399" s="3" t="b">
        <f>AND(F399, J399)</f>
        <v>0</v>
      </c>
      <c r="L399" s="3" t="b">
        <f>AND(G399 &lt;&gt; "plain", G399 &lt;&gt; "")</f>
        <v>0</v>
      </c>
      <c r="M399" s="3" t="str">
        <f>IF(E399, C399 &amp; "|" &amp; H399, "")</f>
        <v>principal-notification-publisher|</v>
      </c>
      <c r="N399" s="2" t="s">
        <v>9938</v>
      </c>
    </row>
    <row r="400">
      <c r="A400" s="2" t="s">
        <v>10336</v>
      </c>
      <c r="B400" s="3" t="str">
        <f>C400 &amp; " -&gt; " &amp; D400</f>
        <v>principal-notification-publisher -&gt; CommunicationPolicies.Channel</v>
      </c>
      <c r="C400" s="2" t="s">
        <v>9704</v>
      </c>
      <c r="D400" s="2" t="s">
        <v>3998</v>
      </c>
      <c r="E400" s="2" t="b">
        <v>1</v>
      </c>
      <c r="F400" s="2" t="b">
        <v>0</v>
      </c>
      <c r="G400" s="2" t="s">
        <v>9937</v>
      </c>
      <c r="H400" s="3" t="str">
        <f>_xlfn.IFNA(INDEX(RulebookFields!C2:C999, MATCH(D400,RulebookFields!A2:A999, 0)), "")</f>
      </c>
      <c r="I400" s="3" t="str">
        <f>_xlfn.IFNA(INDEX(RulebookFields!D2:D999, MATCH(D400,RulebookFields!A2:A999, 0)), "")</f>
      </c>
      <c r="J400" s="3" t="str">
        <f>_xlfn.IFNA(INDEX(RulebookFields!I2:I999, MATCH(D400,RulebookFields!A2:A999, 0)), "")</f>
      </c>
      <c r="K400" s="3" t="b">
        <f>AND(F400, J400)</f>
        <v>0</v>
      </c>
      <c r="L400" s="3" t="b">
        <f>AND(G400 &lt;&gt; "plain", G400 &lt;&gt; "")</f>
        <v>0</v>
      </c>
      <c r="M400" s="3" t="str">
        <f>IF(E400, C400 &amp; "|" &amp; H400, "")</f>
        <v>principal-notification-publisher|</v>
      </c>
      <c r="N400" s="2" t="s">
        <v>9938</v>
      </c>
    </row>
    <row r="401">
      <c r="A401" s="2" t="s">
        <v>10337</v>
      </c>
      <c r="B401" s="3" t="str">
        <f>C401 &amp; " -&gt; " &amp; D401</f>
        <v>principal-notification-publisher -&gt; CommunicationPolicies.QuietHoursStartHour</v>
      </c>
      <c r="C401" s="2" t="s">
        <v>9704</v>
      </c>
      <c r="D401" s="2" t="s">
        <v>4012</v>
      </c>
      <c r="E401" s="2" t="b">
        <v>1</v>
      </c>
      <c r="F401" s="2" t="b">
        <v>0</v>
      </c>
      <c r="G401" s="2" t="s">
        <v>9937</v>
      </c>
      <c r="H401" s="3" t="str">
        <f>_xlfn.IFNA(INDEX(RulebookFields!C2:C999, MATCH(D401,RulebookFields!A2:A999, 0)), "")</f>
      </c>
      <c r="I401" s="3" t="str">
        <f>_xlfn.IFNA(INDEX(RulebookFields!D2:D999, MATCH(D401,RulebookFields!A2:A999, 0)), "")</f>
      </c>
      <c r="J401" s="3" t="str">
        <f>_xlfn.IFNA(INDEX(RulebookFields!I2:I999, MATCH(D401,RulebookFields!A2:A999, 0)), "")</f>
      </c>
      <c r="K401" s="3" t="b">
        <f>AND(F401, J401)</f>
        <v>0</v>
      </c>
      <c r="L401" s="3" t="b">
        <f>AND(G401 &lt;&gt; "plain", G401 &lt;&gt; "")</f>
        <v>0</v>
      </c>
      <c r="M401" s="3" t="str">
        <f>IF(E401, C401 &amp; "|" &amp; H401, "")</f>
        <v>principal-notification-publisher|</v>
      </c>
      <c r="N401" s="2" t="s">
        <v>9938</v>
      </c>
    </row>
    <row r="402">
      <c r="A402" s="2" t="s">
        <v>10338</v>
      </c>
      <c r="B402" s="3" t="str">
        <f>C402 &amp; " -&gt; " &amp; D402</f>
        <v>principal-notification-publisher -&gt; CommunicationPolicies.QuietHoursEndHour</v>
      </c>
      <c r="C402" s="2" t="s">
        <v>9704</v>
      </c>
      <c r="D402" s="2" t="s">
        <v>4013</v>
      </c>
      <c r="E402" s="2" t="b">
        <v>1</v>
      </c>
      <c r="F402" s="2" t="b">
        <v>0</v>
      </c>
      <c r="G402" s="2" t="s">
        <v>9937</v>
      </c>
      <c r="H402" s="3" t="str">
        <f>_xlfn.IFNA(INDEX(RulebookFields!C2:C999, MATCH(D402,RulebookFields!A2:A999, 0)), "")</f>
      </c>
      <c r="I402" s="3" t="str">
        <f>_xlfn.IFNA(INDEX(RulebookFields!D2:D999, MATCH(D402,RulebookFields!A2:A999, 0)), "")</f>
      </c>
      <c r="J402" s="3" t="str">
        <f>_xlfn.IFNA(INDEX(RulebookFields!I2:I999, MATCH(D402,RulebookFields!A2:A999, 0)), "")</f>
      </c>
      <c r="K402" s="3" t="b">
        <f>AND(F402, J402)</f>
        <v>0</v>
      </c>
      <c r="L402" s="3" t="b">
        <f>AND(G402 &lt;&gt; "plain", G402 &lt;&gt; "")</f>
        <v>0</v>
      </c>
      <c r="M402" s="3" t="str">
        <f>IF(E402, C402 &amp; "|" &amp; H402, "")</f>
        <v>principal-notification-publisher|</v>
      </c>
      <c r="N402" s="2" t="s">
        <v>9938</v>
      </c>
    </row>
    <row r="403">
      <c r="A403" s="2" t="s">
        <v>10339</v>
      </c>
      <c r="B403" s="3" t="str">
        <f>C403 &amp; " -&gt; " &amp; D403</f>
        <v>principal-notification-publisher -&gt; CommunicationPolicies.MaxMessageLength</v>
      </c>
      <c r="C403" s="2" t="s">
        <v>9704</v>
      </c>
      <c r="D403" s="2" t="s">
        <v>4003</v>
      </c>
      <c r="E403" s="2" t="b">
        <v>1</v>
      </c>
      <c r="F403" s="2" t="b">
        <v>0</v>
      </c>
      <c r="G403" s="2" t="s">
        <v>9937</v>
      </c>
      <c r="H403" s="3" t="str">
        <f>_xlfn.IFNA(INDEX(RulebookFields!C2:C999, MATCH(D403,RulebookFields!A2:A999, 0)), "")</f>
      </c>
      <c r="I403" s="3" t="str">
        <f>_xlfn.IFNA(INDEX(RulebookFields!D2:D999, MATCH(D403,RulebookFields!A2:A999, 0)), "")</f>
      </c>
      <c r="J403" s="3" t="str">
        <f>_xlfn.IFNA(INDEX(RulebookFields!I2:I999, MATCH(D403,RulebookFields!A2:A999, 0)), "")</f>
      </c>
      <c r="K403" s="3" t="b">
        <f>AND(F403, J403)</f>
        <v>0</v>
      </c>
      <c r="L403" s="3" t="b">
        <f>AND(G403 &lt;&gt; "plain", G403 &lt;&gt; "")</f>
        <v>0</v>
      </c>
      <c r="M403" s="3" t="str">
        <f>IF(E403, C403 &amp; "|" &amp; H403, "")</f>
        <v>principal-notification-publisher|</v>
      </c>
      <c r="N403" s="2" t="s">
        <v>9938</v>
      </c>
    </row>
    <row r="404">
      <c r="A404" s="2" t="s">
        <v>10340</v>
      </c>
      <c r="B404" s="3" t="str">
        <f>C404 &amp; " -&gt; " &amp; D404</f>
        <v>principal-notification-publisher -&gt; CommunicationPolicies.MaxSegments</v>
      </c>
      <c r="C404" s="2" t="s">
        <v>9704</v>
      </c>
      <c r="D404" s="2" t="s">
        <v>4004</v>
      </c>
      <c r="E404" s="2" t="b">
        <v>1</v>
      </c>
      <c r="F404" s="2" t="b">
        <v>0</v>
      </c>
      <c r="G404" s="2" t="s">
        <v>9937</v>
      </c>
      <c r="H404" s="3" t="str">
        <f>_xlfn.IFNA(INDEX(RulebookFields!C2:C999, MATCH(D404,RulebookFields!A2:A999, 0)), "")</f>
      </c>
      <c r="I404" s="3" t="str">
        <f>_xlfn.IFNA(INDEX(RulebookFields!D2:D999, MATCH(D404,RulebookFields!A2:A999, 0)), "")</f>
      </c>
      <c r="J404" s="3" t="str">
        <f>_xlfn.IFNA(INDEX(RulebookFields!I2:I999, MATCH(D404,RulebookFields!A2:A999, 0)), "")</f>
      </c>
      <c r="K404" s="3" t="b">
        <f>AND(F404, J404)</f>
        <v>0</v>
      </c>
      <c r="L404" s="3" t="b">
        <f>AND(G404 &lt;&gt; "plain", G404 &lt;&gt; "")</f>
        <v>0</v>
      </c>
      <c r="M404" s="3" t="str">
        <f>IF(E404, C404 &amp; "|" &amp; H404, "")</f>
        <v>principal-notification-publisher|</v>
      </c>
      <c r="N404" s="2" t="s">
        <v>9938</v>
      </c>
    </row>
    <row r="405">
      <c r="A405" s="2" t="s">
        <v>10341</v>
      </c>
      <c r="B405" s="3" t="str">
        <f>C405 &amp; " -&gt; " &amp; D405</f>
        <v>principal-notification-publisher -&gt; CommunicationPolicies.ConsentRequired</v>
      </c>
      <c r="C405" s="2" t="s">
        <v>9704</v>
      </c>
      <c r="D405" s="2" t="s">
        <v>4000</v>
      </c>
      <c r="E405" s="2" t="b">
        <v>1</v>
      </c>
      <c r="F405" s="2" t="b">
        <v>0</v>
      </c>
      <c r="G405" s="2" t="s">
        <v>9937</v>
      </c>
      <c r="H405" s="3" t="str">
        <f>_xlfn.IFNA(INDEX(RulebookFields!C2:C999, MATCH(D405,RulebookFields!A2:A999, 0)), "")</f>
      </c>
      <c r="I405" s="3" t="str">
        <f>_xlfn.IFNA(INDEX(RulebookFields!D2:D999, MATCH(D405,RulebookFields!A2:A999, 0)), "")</f>
      </c>
      <c r="J405" s="3" t="str">
        <f>_xlfn.IFNA(INDEX(RulebookFields!I2:I999, MATCH(D405,RulebookFields!A2:A999, 0)), "")</f>
      </c>
      <c r="K405" s="3" t="b">
        <f>AND(F405, J405)</f>
        <v>0</v>
      </c>
      <c r="L405" s="3" t="b">
        <f>AND(G405 &lt;&gt; "plain", G405 &lt;&gt; "")</f>
        <v>0</v>
      </c>
      <c r="M405" s="3" t="str">
        <f>IF(E405, C405 &amp; "|" &amp; H405, "")</f>
        <v>principal-notification-publisher|</v>
      </c>
      <c r="N405" s="2" t="s">
        <v>9938</v>
      </c>
    </row>
    <row r="406">
      <c r="A406" s="2" t="s">
        <v>10342</v>
      </c>
      <c r="B406" s="3" t="str">
        <f>C406 &amp; " -&gt; " &amp; D406</f>
        <v>principal-notification-publisher -&gt; CommunicationPolicies.Status</v>
      </c>
      <c r="C406" s="2" t="s">
        <v>9704</v>
      </c>
      <c r="D406" s="2" t="s">
        <v>4009</v>
      </c>
      <c r="E406" s="2" t="b">
        <v>1</v>
      </c>
      <c r="F406" s="2" t="b">
        <v>0</v>
      </c>
      <c r="G406" s="2" t="s">
        <v>9937</v>
      </c>
      <c r="H406" s="3" t="str">
        <f>_xlfn.IFNA(INDEX(RulebookFields!C2:C999, MATCH(D406,RulebookFields!A2:A999, 0)), "")</f>
      </c>
      <c r="I406" s="3" t="str">
        <f>_xlfn.IFNA(INDEX(RulebookFields!D2:D999, MATCH(D406,RulebookFields!A2:A999, 0)), "")</f>
      </c>
      <c r="J406" s="3" t="str">
        <f>_xlfn.IFNA(INDEX(RulebookFields!I2:I999, MATCH(D406,RulebookFields!A2:A999, 0)), "")</f>
      </c>
      <c r="K406" s="3" t="b">
        <f>AND(F406, J406)</f>
        <v>0</v>
      </c>
      <c r="L406" s="3" t="b">
        <f>AND(G406 &lt;&gt; "plain", G406 &lt;&gt; "")</f>
        <v>0</v>
      </c>
      <c r="M406" s="3" t="str">
        <f>IF(E406, C406 &amp; "|" &amp; H406, "")</f>
        <v>principal-notification-publisher|</v>
      </c>
      <c r="N406" s="2" t="s">
        <v>9938</v>
      </c>
    </row>
    <row r="407">
      <c r="A407" s="2" t="s">
        <v>10343</v>
      </c>
      <c r="B407" s="3" t="str">
        <f>C407 &amp; " -&gt; " &amp; D407</f>
        <v>principal-notification-publisher -&gt; CommunicationPolicies.Name</v>
      </c>
      <c r="C407" s="2" t="s">
        <v>9704</v>
      </c>
      <c r="D407" s="2" t="s">
        <v>3995</v>
      </c>
      <c r="E407" s="2" t="b">
        <v>1</v>
      </c>
      <c r="F407" s="2" t="b">
        <v>0</v>
      </c>
      <c r="G407" s="2" t="s">
        <v>9937</v>
      </c>
      <c r="H407" s="3" t="str">
        <f>_xlfn.IFNA(INDEX(RulebookFields!C2:C999, MATCH(D407,RulebookFields!A2:A999, 0)), "")</f>
      </c>
      <c r="I407" s="3" t="str">
        <f>_xlfn.IFNA(INDEX(RulebookFields!D2:D999, MATCH(D407,RulebookFields!A2:A999, 0)), "")</f>
      </c>
      <c r="J407" s="3" t="str">
        <f>_xlfn.IFNA(INDEX(RulebookFields!I2:I999, MATCH(D407,RulebookFields!A2:A999, 0)), "")</f>
      </c>
      <c r="K407" s="3" t="b">
        <f>AND(F407, J407)</f>
        <v>0</v>
      </c>
      <c r="L407" s="3" t="b">
        <f>AND(G407 &lt;&gt; "plain", G407 &lt;&gt; "")</f>
        <v>0</v>
      </c>
      <c r="M407" s="3" t="str">
        <f>IF(E407, C407 &amp; "|" &amp; H407, "")</f>
        <v>principal-notification-publisher|</v>
      </c>
      <c r="N407" s="2" t="s">
        <v>9938</v>
      </c>
    </row>
    <row r="408">
      <c r="A408" s="2" t="s">
        <v>10344</v>
      </c>
      <c r="B408" s="3" t="str">
        <f>C408 &amp; " -&gt; " &amp; D408</f>
        <v>principal-notification-publisher -&gt; SendIntents.SendIntentId</v>
      </c>
      <c r="C408" s="2" t="s">
        <v>9704</v>
      </c>
      <c r="D408" s="2" t="s">
        <v>4661</v>
      </c>
      <c r="E408" s="2" t="b">
        <v>1</v>
      </c>
      <c r="F408" s="2" t="b">
        <v>0</v>
      </c>
      <c r="G408" s="2" t="s">
        <v>9937</v>
      </c>
      <c r="H408" s="3" t="str">
        <f>_xlfn.IFNA(INDEX(RulebookFields!C2:C999, MATCH(D408,RulebookFields!A2:A999, 0)), "")</f>
      </c>
      <c r="I408" s="3" t="str">
        <f>_xlfn.IFNA(INDEX(RulebookFields!D2:D999, MATCH(D408,RulebookFields!A2:A999, 0)), "")</f>
      </c>
      <c r="J408" s="3" t="str">
        <f>_xlfn.IFNA(INDEX(RulebookFields!I2:I999, MATCH(D408,RulebookFields!A2:A999, 0)), "")</f>
      </c>
      <c r="K408" s="3" t="b">
        <f>AND(F408, J408)</f>
        <v>0</v>
      </c>
      <c r="L408" s="3" t="b">
        <f>AND(G408 &lt;&gt; "plain", G408 &lt;&gt; "")</f>
        <v>0</v>
      </c>
      <c r="M408" s="3" t="str">
        <f>IF(E408, C408 &amp; "|" &amp; H408, "")</f>
        <v>principal-notification-publisher|</v>
      </c>
      <c r="N408" s="2" t="s">
        <v>9938</v>
      </c>
    </row>
    <row r="409">
      <c r="A409" s="2" t="s">
        <v>10345</v>
      </c>
      <c r="B409" s="3" t="str">
        <f>C409 &amp; " -&gt; " &amp; D409</f>
        <v>principal-notification-publisher -&gt; SendIntents.ProposedBody</v>
      </c>
      <c r="C409" s="2" t="s">
        <v>9704</v>
      </c>
      <c r="D409" s="2" t="s">
        <v>4670</v>
      </c>
      <c r="E409" s="2" t="b">
        <v>1</v>
      </c>
      <c r="F409" s="2" t="b">
        <v>0</v>
      </c>
      <c r="G409" s="2" t="s">
        <v>9937</v>
      </c>
      <c r="H409" s="3" t="str">
        <f>_xlfn.IFNA(INDEX(RulebookFields!C2:C999, MATCH(D409,RulebookFields!A2:A999, 0)), "")</f>
      </c>
      <c r="I409" s="3" t="str">
        <f>_xlfn.IFNA(INDEX(RulebookFields!D2:D999, MATCH(D409,RulebookFields!A2:A999, 0)), "")</f>
      </c>
      <c r="J409" s="3" t="str">
        <f>_xlfn.IFNA(INDEX(RulebookFields!I2:I999, MATCH(D409,RulebookFields!A2:A999, 0)), "")</f>
      </c>
      <c r="K409" s="3" t="b">
        <f>AND(F409, J409)</f>
        <v>0</v>
      </c>
      <c r="L409" s="3" t="b">
        <f>AND(G409 &lt;&gt; "plain", G409 &lt;&gt; "")</f>
        <v>0</v>
      </c>
      <c r="M409" s="3" t="str">
        <f>IF(E409, C409 &amp; "|" &amp; H409, "")</f>
        <v>principal-notification-publisher|</v>
      </c>
      <c r="N409" s="2" t="s">
        <v>9938</v>
      </c>
    </row>
    <row r="410">
      <c r="A410" s="2" t="s">
        <v>10346</v>
      </c>
      <c r="B410" s="3" t="str">
        <f>C410 &amp; " -&gt; " &amp; D410</f>
        <v>principal-notification-publisher -&gt; SendIntents.ProposedSendAtLocalHour</v>
      </c>
      <c r="C410" s="2" t="s">
        <v>9704</v>
      </c>
      <c r="D410" s="2" t="s">
        <v>4672</v>
      </c>
      <c r="E410" s="2" t="b">
        <v>1</v>
      </c>
      <c r="F410" s="2" t="b">
        <v>0</v>
      </c>
      <c r="G410" s="2" t="s">
        <v>9937</v>
      </c>
      <c r="H410" s="3" t="str">
        <f>_xlfn.IFNA(INDEX(RulebookFields!C2:C999, MATCH(D410,RulebookFields!A2:A999, 0)), "")</f>
      </c>
      <c r="I410" s="3" t="str">
        <f>_xlfn.IFNA(INDEX(RulebookFields!D2:D999, MATCH(D410,RulebookFields!A2:A999, 0)), "")</f>
      </c>
      <c r="J410" s="3" t="str">
        <f>_xlfn.IFNA(INDEX(RulebookFields!I2:I999, MATCH(D410,RulebookFields!A2:A999, 0)), "")</f>
      </c>
      <c r="K410" s="3" t="b">
        <f>AND(F410, J410)</f>
        <v>0</v>
      </c>
      <c r="L410" s="3" t="b">
        <f>AND(G410 &lt;&gt; "plain", G410 &lt;&gt; "")</f>
        <v>0</v>
      </c>
      <c r="M410" s="3" t="str">
        <f>IF(E410, C410 &amp; "|" &amp; H410, "")</f>
        <v>principal-notification-publisher|</v>
      </c>
      <c r="N410" s="2" t="s">
        <v>9938</v>
      </c>
    </row>
    <row r="411">
      <c r="A411" s="2" t="s">
        <v>10347</v>
      </c>
      <c r="B411" s="3" t="str">
        <f>C411 &amp; " -&gt; " &amp; D411</f>
        <v>principal-notification-publisher -&gt; SendIntents.Recipient</v>
      </c>
      <c r="C411" s="2" t="s">
        <v>9704</v>
      </c>
      <c r="D411" s="2" t="s">
        <v>4668</v>
      </c>
      <c r="E411" s="2" t="b">
        <v>1</v>
      </c>
      <c r="F411" s="2" t="b">
        <v>0</v>
      </c>
      <c r="G411" s="2" t="s">
        <v>9937</v>
      </c>
      <c r="H411" s="3" t="str">
        <f>_xlfn.IFNA(INDEX(RulebookFields!C2:C999, MATCH(D411,RulebookFields!A2:A999, 0)), "")</f>
      </c>
      <c r="I411" s="3" t="str">
        <f>_xlfn.IFNA(INDEX(RulebookFields!D2:D999, MATCH(D411,RulebookFields!A2:A999, 0)), "")</f>
      </c>
      <c r="J411" s="3" t="str">
        <f>_xlfn.IFNA(INDEX(RulebookFields!I2:I999, MATCH(D411,RulebookFields!A2:A999, 0)), "")</f>
      </c>
      <c r="K411" s="3" t="b">
        <f>AND(F411, J411)</f>
        <v>0</v>
      </c>
      <c r="L411" s="3" t="b">
        <f>AND(G411 &lt;&gt; "plain", G411 &lt;&gt; "")</f>
        <v>0</v>
      </c>
      <c r="M411" s="3" t="str">
        <f>IF(E411, C411 &amp; "|" &amp; H411, "")</f>
        <v>principal-notification-publisher|</v>
      </c>
      <c r="N411" s="2" t="s">
        <v>9938</v>
      </c>
    </row>
    <row r="412">
      <c r="A412" s="2" t="s">
        <v>10348</v>
      </c>
      <c r="B412" s="3" t="str">
        <f>C412 &amp; " -&gt; " &amp; D412</f>
        <v>principal-notification-publisher -&gt; SendIntents.MessageTemplate</v>
      </c>
      <c r="C412" s="2" t="s">
        <v>9704</v>
      </c>
      <c r="D412" s="2" t="s">
        <v>4669</v>
      </c>
      <c r="E412" s="2" t="b">
        <v>1</v>
      </c>
      <c r="F412" s="2" t="b">
        <v>0</v>
      </c>
      <c r="G412" s="2" t="s">
        <v>9937</v>
      </c>
      <c r="H412" s="3" t="str">
        <f>_xlfn.IFNA(INDEX(RulebookFields!C2:C999, MATCH(D412,RulebookFields!A2:A999, 0)), "")</f>
      </c>
      <c r="I412" s="3" t="str">
        <f>_xlfn.IFNA(INDEX(RulebookFields!D2:D999, MATCH(D412,RulebookFields!A2:A999, 0)), "")</f>
      </c>
      <c r="J412" s="3" t="str">
        <f>_xlfn.IFNA(INDEX(RulebookFields!I2:I999, MATCH(D412,RulebookFields!A2:A999, 0)), "")</f>
      </c>
      <c r="K412" s="3" t="b">
        <f>AND(F412, J412)</f>
        <v>0</v>
      </c>
      <c r="L412" s="3" t="b">
        <f>AND(G412 &lt;&gt; "plain", G412 &lt;&gt; "")</f>
        <v>0</v>
      </c>
      <c r="M412" s="3" t="str">
        <f>IF(E412, C412 &amp; "|" &amp; H412, "")</f>
        <v>principal-notification-publisher|</v>
      </c>
      <c r="N412" s="2" t="s">
        <v>9938</v>
      </c>
    </row>
    <row r="413">
      <c r="A413" s="2" t="s">
        <v>10349</v>
      </c>
      <c r="B413" s="3" t="str">
        <f>C413 &amp; " -&gt; " &amp; D413</f>
        <v>principal-notification-publisher -&gt; SendIntents.Name</v>
      </c>
      <c r="C413" s="2" t="s">
        <v>9704</v>
      </c>
      <c r="D413" s="2" t="s">
        <v>4664</v>
      </c>
      <c r="E413" s="2" t="b">
        <v>1</v>
      </c>
      <c r="F413" s="2" t="b">
        <v>0</v>
      </c>
      <c r="G413" s="2" t="s">
        <v>9937</v>
      </c>
      <c r="H413" s="3" t="str">
        <f>_xlfn.IFNA(INDEX(RulebookFields!C2:C999, MATCH(D413,RulebookFields!A2:A999, 0)), "")</f>
      </c>
      <c r="I413" s="3" t="str">
        <f>_xlfn.IFNA(INDEX(RulebookFields!D2:D999, MATCH(D413,RulebookFields!A2:A999, 0)), "")</f>
      </c>
      <c r="J413" s="3" t="str">
        <f>_xlfn.IFNA(INDEX(RulebookFields!I2:I999, MATCH(D413,RulebookFields!A2:A999, 0)), "")</f>
      </c>
      <c r="K413" s="3" t="b">
        <f>AND(F413, J413)</f>
        <v>0</v>
      </c>
      <c r="L413" s="3" t="b">
        <f>AND(G413 &lt;&gt; "plain", G413 &lt;&gt; "")</f>
        <v>0</v>
      </c>
      <c r="M413" s="3" t="str">
        <f>IF(E413, C413 &amp; "|" &amp; H413, "")</f>
        <v>principal-notification-publisher|</v>
      </c>
      <c r="N413" s="2" t="s">
        <v>9938</v>
      </c>
    </row>
    <row r="414">
      <c r="A414" s="2" t="s">
        <v>10350</v>
      </c>
      <c r="B414" s="3" t="str">
        <f>C414 &amp; " -&gt; " &amp; D414</f>
        <v>principal-notification-publisher -&gt; MessageDeliveries.MessageDeliveryId</v>
      </c>
      <c r="C414" s="2" t="s">
        <v>9704</v>
      </c>
      <c r="D414" s="2" t="s">
        <v>4377</v>
      </c>
      <c r="E414" s="2" t="b">
        <v>1</v>
      </c>
      <c r="F414" s="2" t="b">
        <v>0</v>
      </c>
      <c r="G414" s="2" t="s">
        <v>9937</v>
      </c>
      <c r="H414" s="3" t="str">
        <f>_xlfn.IFNA(INDEX(RulebookFields!C2:C999, MATCH(D414,RulebookFields!A2:A999, 0)), "")</f>
      </c>
      <c r="I414" s="3" t="str">
        <f>_xlfn.IFNA(INDEX(RulebookFields!D2:D999, MATCH(D414,RulebookFields!A2:A999, 0)), "")</f>
      </c>
      <c r="J414" s="3" t="str">
        <f>_xlfn.IFNA(INDEX(RulebookFields!I2:I999, MATCH(D414,RulebookFields!A2:A999, 0)), "")</f>
      </c>
      <c r="K414" s="3" t="b">
        <f>AND(F414, J414)</f>
        <v>0</v>
      </c>
      <c r="L414" s="3" t="b">
        <f>AND(G414 &lt;&gt; "plain", G414 &lt;&gt; "")</f>
        <v>0</v>
      </c>
      <c r="M414" s="3" t="str">
        <f>IF(E414, C414 &amp; "|" &amp; H414, "")</f>
        <v>principal-notification-publisher|</v>
      </c>
      <c r="N414" s="2" t="s">
        <v>9938</v>
      </c>
    </row>
    <row r="415">
      <c r="A415" s="2" t="s">
        <v>10351</v>
      </c>
      <c r="B415" s="3" t="str">
        <f>C415 &amp; " -&gt; " &amp; D415</f>
        <v>principal-notification-publisher -&gt; MessageDeliveries.RenderedBody</v>
      </c>
      <c r="C415" s="2" t="s">
        <v>9704</v>
      </c>
      <c r="D415" s="2" t="s">
        <v>4390</v>
      </c>
      <c r="E415" s="2" t="b">
        <v>1</v>
      </c>
      <c r="F415" s="2" t="b">
        <v>0</v>
      </c>
      <c r="G415" s="2" t="s">
        <v>9937</v>
      </c>
      <c r="H415" s="3" t="str">
        <f>_xlfn.IFNA(INDEX(RulebookFields!C2:C999, MATCH(D415,RulebookFields!A2:A999, 0)), "")</f>
      </c>
      <c r="I415" s="3" t="str">
        <f>_xlfn.IFNA(INDEX(RulebookFields!D2:D999, MATCH(D415,RulebookFields!A2:A999, 0)), "")</f>
      </c>
      <c r="J415" s="3" t="str">
        <f>_xlfn.IFNA(INDEX(RulebookFields!I2:I999, MATCH(D415,RulebookFields!A2:A999, 0)), "")</f>
      </c>
      <c r="K415" s="3" t="b">
        <f>AND(F415, J415)</f>
        <v>0</v>
      </c>
      <c r="L415" s="3" t="b">
        <f>AND(G415 &lt;&gt; "plain", G415 &lt;&gt; "")</f>
        <v>0</v>
      </c>
      <c r="M415" s="3" t="str">
        <f>IF(E415, C415 &amp; "|" &amp; H415, "")</f>
        <v>principal-notification-publisher|</v>
      </c>
      <c r="N415" s="2" t="s">
        <v>9938</v>
      </c>
    </row>
    <row r="416">
      <c r="A416" s="2" t="s">
        <v>10352</v>
      </c>
      <c r="B416" s="3" t="str">
        <f>C416 &amp; " -&gt; " &amp; D416</f>
        <v>principal-notification-publisher -&gt; MessageDeliveries.SentAt</v>
      </c>
      <c r="C416" s="2" t="s">
        <v>9704</v>
      </c>
      <c r="D416" s="2" t="s">
        <v>4392</v>
      </c>
      <c r="E416" s="2" t="b">
        <v>1</v>
      </c>
      <c r="F416" s="2" t="b">
        <v>0</v>
      </c>
      <c r="G416" s="2" t="s">
        <v>9937</v>
      </c>
      <c r="H416" s="3" t="str">
        <f>_xlfn.IFNA(INDEX(RulebookFields!C2:C999, MATCH(D416,RulebookFields!A2:A999, 0)), "")</f>
      </c>
      <c r="I416" s="3" t="str">
        <f>_xlfn.IFNA(INDEX(RulebookFields!D2:D999, MATCH(D416,RulebookFields!A2:A999, 0)), "")</f>
      </c>
      <c r="J416" s="3" t="str">
        <f>_xlfn.IFNA(INDEX(RulebookFields!I2:I999, MATCH(D416,RulebookFields!A2:A999, 0)), "")</f>
      </c>
      <c r="K416" s="3" t="b">
        <f>AND(F416, J416)</f>
        <v>0</v>
      </c>
      <c r="L416" s="3" t="b">
        <f>AND(G416 &lt;&gt; "plain", G416 &lt;&gt; "")</f>
        <v>0</v>
      </c>
      <c r="M416" s="3" t="str">
        <f>IF(E416, C416 &amp; "|" &amp; H416, "")</f>
        <v>principal-notification-publisher|</v>
      </c>
      <c r="N416" s="2" t="s">
        <v>9938</v>
      </c>
    </row>
    <row r="417">
      <c r="A417" s="2" t="s">
        <v>10353</v>
      </c>
      <c r="B417" s="3" t="str">
        <f>C417 &amp; " -&gt; " &amp; D417</f>
        <v>principal-notification-publisher -&gt; MessageDeliveries.DeliveryStatus</v>
      </c>
      <c r="C417" s="2" t="s">
        <v>9704</v>
      </c>
      <c r="D417" s="2" t="s">
        <v>4396</v>
      </c>
      <c r="E417" s="2" t="b">
        <v>1</v>
      </c>
      <c r="F417" s="2" t="b">
        <v>0</v>
      </c>
      <c r="G417" s="2" t="s">
        <v>9937</v>
      </c>
      <c r="H417" s="3" t="str">
        <f>_xlfn.IFNA(INDEX(RulebookFields!C2:C999, MATCH(D417,RulebookFields!A2:A999, 0)), "")</f>
      </c>
      <c r="I417" s="3" t="str">
        <f>_xlfn.IFNA(INDEX(RulebookFields!D2:D999, MATCH(D417,RulebookFields!A2:A999, 0)), "")</f>
      </c>
      <c r="J417" s="3" t="str">
        <f>_xlfn.IFNA(INDEX(RulebookFields!I2:I999, MATCH(D417,RulebookFields!A2:A999, 0)), "")</f>
      </c>
      <c r="K417" s="3" t="b">
        <f>AND(F417, J417)</f>
        <v>0</v>
      </c>
      <c r="L417" s="3" t="b">
        <f>AND(G417 &lt;&gt; "plain", G417 &lt;&gt; "")</f>
        <v>0</v>
      </c>
      <c r="M417" s="3" t="str">
        <f>IF(E417, C417 &amp; "|" &amp; H417, "")</f>
        <v>principal-notification-publisher|</v>
      </c>
      <c r="N417" s="2" t="s">
        <v>9938</v>
      </c>
    </row>
    <row r="418">
      <c r="A418" s="2" t="s">
        <v>10354</v>
      </c>
      <c r="B418" s="3" t="str">
        <f>C418 &amp; " -&gt; " &amp; D418</f>
        <v>principal-notification-publisher -&gt; MessageDeliveries.SuppressionReason</v>
      </c>
      <c r="C418" s="2" t="s">
        <v>9704</v>
      </c>
      <c r="D418" s="2" t="s">
        <v>4398</v>
      </c>
      <c r="E418" s="2" t="b">
        <v>1</v>
      </c>
      <c r="F418" s="2" t="b">
        <v>0</v>
      </c>
      <c r="G418" s="2" t="s">
        <v>9937</v>
      </c>
      <c r="H418" s="3" t="str">
        <f>_xlfn.IFNA(INDEX(RulebookFields!C2:C999, MATCH(D418,RulebookFields!A2:A999, 0)), "")</f>
      </c>
      <c r="I418" s="3" t="str">
        <f>_xlfn.IFNA(INDEX(RulebookFields!D2:D999, MATCH(D418,RulebookFields!A2:A999, 0)), "")</f>
      </c>
      <c r="J418" s="3" t="str">
        <f>_xlfn.IFNA(INDEX(RulebookFields!I2:I999, MATCH(D418,RulebookFields!A2:A999, 0)), "")</f>
      </c>
      <c r="K418" s="3" t="b">
        <f>AND(F418, J418)</f>
        <v>0</v>
      </c>
      <c r="L418" s="3" t="b">
        <f>AND(G418 &lt;&gt; "plain", G418 &lt;&gt; "")</f>
        <v>0</v>
      </c>
      <c r="M418" s="3" t="str">
        <f>IF(E418, C418 &amp; "|" &amp; H418, "")</f>
        <v>principal-notification-publisher|</v>
      </c>
      <c r="N418" s="2" t="s">
        <v>9938</v>
      </c>
    </row>
    <row r="419">
      <c r="A419" s="2" t="s">
        <v>10355</v>
      </c>
      <c r="B419" s="3" t="str">
        <f>C419 &amp; " -&gt; " &amp; D419</f>
        <v>principal-notification-publisher -&gt; MessageDeliveries.Recipient</v>
      </c>
      <c r="C419" s="2" t="s">
        <v>9704</v>
      </c>
      <c r="D419" s="2" t="s">
        <v>4384</v>
      </c>
      <c r="E419" s="2" t="b">
        <v>1</v>
      </c>
      <c r="F419" s="2" t="b">
        <v>0</v>
      </c>
      <c r="G419" s="2" t="s">
        <v>9937</v>
      </c>
      <c r="H419" s="3" t="str">
        <f>_xlfn.IFNA(INDEX(RulebookFields!C2:C999, MATCH(D419,RulebookFields!A2:A999, 0)), "")</f>
      </c>
      <c r="I419" s="3" t="str">
        <f>_xlfn.IFNA(INDEX(RulebookFields!D2:D999, MATCH(D419,RulebookFields!A2:A999, 0)), "")</f>
      </c>
      <c r="J419" s="3" t="str">
        <f>_xlfn.IFNA(INDEX(RulebookFields!I2:I999, MATCH(D419,RulebookFields!A2:A999, 0)), "")</f>
      </c>
      <c r="K419" s="3" t="b">
        <f>AND(F419, J419)</f>
        <v>0</v>
      </c>
      <c r="L419" s="3" t="b">
        <f>AND(G419 &lt;&gt; "plain", G419 &lt;&gt; "")</f>
        <v>0</v>
      </c>
      <c r="M419" s="3" t="str">
        <f>IF(E419, C419 &amp; "|" &amp; H419, "")</f>
        <v>principal-notification-publisher|</v>
      </c>
      <c r="N419" s="2" t="s">
        <v>9938</v>
      </c>
    </row>
    <row r="420">
      <c r="A420" s="2" t="s">
        <v>10356</v>
      </c>
      <c r="B420" s="3" t="str">
        <f>C420 &amp; " -&gt; " &amp; D420</f>
        <v>principal-notification-publisher -&gt; MessageDeliveries.Name</v>
      </c>
      <c r="C420" s="2" t="s">
        <v>9704</v>
      </c>
      <c r="D420" s="2" t="s">
        <v>4380</v>
      </c>
      <c r="E420" s="2" t="b">
        <v>1</v>
      </c>
      <c r="F420" s="2" t="b">
        <v>0</v>
      </c>
      <c r="G420" s="2" t="s">
        <v>9937</v>
      </c>
      <c r="H420" s="3" t="str">
        <f>_xlfn.IFNA(INDEX(RulebookFields!C2:C999, MATCH(D420,RulebookFields!A2:A999, 0)), "")</f>
      </c>
      <c r="I420" s="3" t="str">
        <f>_xlfn.IFNA(INDEX(RulebookFields!D2:D999, MATCH(D420,RulebookFields!A2:A999, 0)), "")</f>
      </c>
      <c r="J420" s="3" t="str">
        <f>_xlfn.IFNA(INDEX(RulebookFields!I2:I999, MATCH(D420,RulebookFields!A2:A999, 0)), "")</f>
      </c>
      <c r="K420" s="3" t="b">
        <f>AND(F420, J420)</f>
        <v>0</v>
      </c>
      <c r="L420" s="3" t="b">
        <f>AND(G420 &lt;&gt; "plain", G420 &lt;&gt; "")</f>
        <v>0</v>
      </c>
      <c r="M420" s="3" t="str">
        <f>IF(E420, C420 &amp; "|" &amp; H420, "")</f>
        <v>principal-notification-publisher|</v>
      </c>
      <c r="N420" s="2" t="s">
        <v>9938</v>
      </c>
    </row>
    <row r="421">
      <c r="A421" s="2" t="s">
        <v>10357</v>
      </c>
      <c r="B421" s="3" t="str">
        <f>C421 &amp; " -&gt; " &amp; D421</f>
        <v>principal-notification-publisher -&gt; Recipients.RecipientId</v>
      </c>
      <c r="C421" s="2" t="s">
        <v>9704</v>
      </c>
      <c r="D421" s="2" t="s">
        <v>4345</v>
      </c>
      <c r="E421" s="2" t="b">
        <v>1</v>
      </c>
      <c r="F421" s="2" t="b">
        <v>0</v>
      </c>
      <c r="G421" s="2" t="s">
        <v>9937</v>
      </c>
      <c r="H421" s="3" t="str">
        <f>_xlfn.IFNA(INDEX(RulebookFields!C2:C999, MATCH(D421,RulebookFields!A2:A999, 0)), "")</f>
      </c>
      <c r="I421" s="3" t="str">
        <f>_xlfn.IFNA(INDEX(RulebookFields!D2:D999, MATCH(D421,RulebookFields!A2:A999, 0)), "")</f>
      </c>
      <c r="J421" s="3" t="str">
        <f>_xlfn.IFNA(INDEX(RulebookFields!I2:I999, MATCH(D421,RulebookFields!A2:A999, 0)), "")</f>
      </c>
      <c r="K421" s="3" t="b">
        <f>AND(F421, J421)</f>
        <v>0</v>
      </c>
      <c r="L421" s="3" t="b">
        <f>AND(G421 &lt;&gt; "plain", G421 &lt;&gt; "")</f>
        <v>0</v>
      </c>
      <c r="M421" s="3" t="str">
        <f>IF(E421, C421 &amp; "|" &amp; H421, "")</f>
        <v>principal-notification-publisher|</v>
      </c>
      <c r="N421" s="2" t="s">
        <v>9938</v>
      </c>
    </row>
    <row r="422">
      <c r="A422" s="2" t="s">
        <v>10358</v>
      </c>
      <c r="B422" s="3" t="str">
        <f>C422 &amp; " -&gt; " &amp; D422</f>
        <v>principal-notification-publisher -&gt; Recipients.EmailAddress</v>
      </c>
      <c r="C422" s="2" t="s">
        <v>9704</v>
      </c>
      <c r="D422" s="2" t="s">
        <v>4351</v>
      </c>
      <c r="E422" s="2" t="b">
        <v>1</v>
      </c>
      <c r="F422" s="2" t="b">
        <v>0</v>
      </c>
      <c r="G422" s="2" t="s">
        <v>9937</v>
      </c>
      <c r="H422" s="3" t="str">
        <f>_xlfn.IFNA(INDEX(RulebookFields!C2:C999, MATCH(D422,RulebookFields!A2:A999, 0)), "")</f>
      </c>
      <c r="I422" s="3" t="str">
        <f>_xlfn.IFNA(INDEX(RulebookFields!D2:D999, MATCH(D422,RulebookFields!A2:A999, 0)), "")</f>
      </c>
      <c r="J422" s="3" t="str">
        <f>_xlfn.IFNA(INDEX(RulebookFields!I2:I999, MATCH(D422,RulebookFields!A2:A999, 0)), "")</f>
      </c>
      <c r="K422" s="3" t="b">
        <f>AND(F422, J422)</f>
        <v>0</v>
      </c>
      <c r="L422" s="3" t="b">
        <f>AND(G422 &lt;&gt; "plain", G422 &lt;&gt; "")</f>
        <v>0</v>
      </c>
      <c r="M422" s="3" t="str">
        <f>IF(E422, C422 &amp; "|" &amp; H422, "")</f>
        <v>principal-notification-publisher|</v>
      </c>
      <c r="N422" s="2" t="s">
        <v>9938</v>
      </c>
    </row>
    <row r="423">
      <c r="A423" s="2" t="s">
        <v>10359</v>
      </c>
      <c r="B423" s="3" t="str">
        <f>C423 &amp; " -&gt; " &amp; D423</f>
        <v>principal-notification-publisher -&gt; Recipients.MobileNumber</v>
      </c>
      <c r="C423" s="2" t="s">
        <v>9704</v>
      </c>
      <c r="D423" s="2" t="s">
        <v>4353</v>
      </c>
      <c r="E423" s="2" t="b">
        <v>1</v>
      </c>
      <c r="F423" s="2" t="b">
        <v>0</v>
      </c>
      <c r="G423" s="2" t="s">
        <v>9937</v>
      </c>
      <c r="H423" s="3" t="str">
        <f>_xlfn.IFNA(INDEX(RulebookFields!C2:C999, MATCH(D423,RulebookFields!A2:A999, 0)), "")</f>
      </c>
      <c r="I423" s="3" t="str">
        <f>_xlfn.IFNA(INDEX(RulebookFields!D2:D999, MATCH(D423,RulebookFields!A2:A999, 0)), "")</f>
      </c>
      <c r="J423" s="3" t="str">
        <f>_xlfn.IFNA(INDEX(RulebookFields!I2:I999, MATCH(D423,RulebookFields!A2:A999, 0)), "")</f>
      </c>
      <c r="K423" s="3" t="b">
        <f>AND(F423, J423)</f>
        <v>0</v>
      </c>
      <c r="L423" s="3" t="b">
        <f>AND(G423 &lt;&gt; "plain", G423 &lt;&gt; "")</f>
        <v>0</v>
      </c>
      <c r="M423" s="3" t="str">
        <f>IF(E423, C423 &amp; "|" &amp; H423, "")</f>
        <v>principal-notification-publisher|</v>
      </c>
      <c r="N423" s="2" t="s">
        <v>9938</v>
      </c>
    </row>
    <row r="424">
      <c r="A424" s="2" t="s">
        <v>10360</v>
      </c>
      <c r="B424" s="3" t="str">
        <f>C424 &amp; " -&gt; " &amp; D424</f>
        <v>principal-notification-publisher -&gt; Recipients.SmsConsentStatus</v>
      </c>
      <c r="C424" s="2" t="s">
        <v>9704</v>
      </c>
      <c r="D424" s="2" t="s">
        <v>4355</v>
      </c>
      <c r="E424" s="2" t="b">
        <v>1</v>
      </c>
      <c r="F424" s="2" t="b">
        <v>0</v>
      </c>
      <c r="G424" s="2" t="s">
        <v>9937</v>
      </c>
      <c r="H424" s="3" t="str">
        <f>_xlfn.IFNA(INDEX(RulebookFields!C2:C999, MATCH(D424,RulebookFields!A2:A999, 0)), "")</f>
      </c>
      <c r="I424" s="3" t="str">
        <f>_xlfn.IFNA(INDEX(RulebookFields!D2:D999, MATCH(D424,RulebookFields!A2:A999, 0)), "")</f>
      </c>
      <c r="J424" s="3" t="str">
        <f>_xlfn.IFNA(INDEX(RulebookFields!I2:I999, MATCH(D424,RulebookFields!A2:A999, 0)), "")</f>
      </c>
      <c r="K424" s="3" t="b">
        <f>AND(F424, J424)</f>
        <v>0</v>
      </c>
      <c r="L424" s="3" t="b">
        <f>AND(G424 &lt;&gt; "plain", G424 &lt;&gt; "")</f>
        <v>0</v>
      </c>
      <c r="M424" s="3" t="str">
        <f>IF(E424, C424 &amp; "|" &amp; H424, "")</f>
        <v>principal-notification-publisher|</v>
      </c>
      <c r="N424" s="2" t="s">
        <v>9938</v>
      </c>
    </row>
    <row r="425">
      <c r="A425" s="2" t="s">
        <v>10361</v>
      </c>
      <c r="B425" s="3" t="str">
        <f>C425 &amp; " -&gt; " &amp; D425</f>
        <v>principal-notification-publisher -&gt; Recipients.Name</v>
      </c>
      <c r="C425" s="2" t="s">
        <v>9704</v>
      </c>
      <c r="D425" s="2" t="s">
        <v>4348</v>
      </c>
      <c r="E425" s="2" t="b">
        <v>1</v>
      </c>
      <c r="F425" s="2" t="b">
        <v>0</v>
      </c>
      <c r="G425" s="2" t="s">
        <v>9937</v>
      </c>
      <c r="H425" s="3" t="str">
        <f>_xlfn.IFNA(INDEX(RulebookFields!C2:C999, MATCH(D425,RulebookFields!A2:A999, 0)), "")</f>
      </c>
      <c r="I425" s="3" t="str">
        <f>_xlfn.IFNA(INDEX(RulebookFields!D2:D999, MATCH(D425,RulebookFields!A2:A999, 0)), "")</f>
      </c>
      <c r="J425" s="3" t="str">
        <f>_xlfn.IFNA(INDEX(RulebookFields!I2:I999, MATCH(D425,RulebookFields!A2:A999, 0)), "")</f>
      </c>
      <c r="K425" s="3" t="b">
        <f>AND(F425, J425)</f>
        <v>0</v>
      </c>
      <c r="L425" s="3" t="b">
        <f>AND(G425 &lt;&gt; "plain", G425 &lt;&gt; "")</f>
        <v>0</v>
      </c>
      <c r="M425" s="3" t="str">
        <f>IF(E425, C425 &amp; "|" &amp; H425, "")</f>
        <v>principal-notification-publisher|</v>
      </c>
      <c r="N425" s="2" t="s">
        <v>9938</v>
      </c>
    </row>
    <row r="426">
      <c r="A426" s="2" t="s">
        <v>10362</v>
      </c>
      <c r="B426" s="3" t="str">
        <f>C426 &amp; " -&gt; " &amp; D426</f>
        <v>principal-notification-publisher -&gt; Steps.StepId</v>
      </c>
      <c r="C426" s="2" t="s">
        <v>9704</v>
      </c>
      <c r="D426" s="2" t="s">
        <v>2837</v>
      </c>
      <c r="E426" s="2" t="b">
        <v>1</v>
      </c>
      <c r="F426" s="2" t="b">
        <v>0</v>
      </c>
      <c r="G426" s="2" t="s">
        <v>9937</v>
      </c>
      <c r="H426" s="3" t="str">
        <f>_xlfn.IFNA(INDEX(RulebookFields!C2:C999, MATCH(D426,RulebookFields!A2:A999, 0)), "")</f>
        <v>Steps</v>
      </c>
      <c r="I426" s="3" t="str">
        <f>_xlfn.IFNA(INDEX(RulebookFields!D2:D999, MATCH(D426,RulebookFields!A2:A999, 0)), "")</f>
        <v>StepId</v>
      </c>
      <c r="J426" s="3" t="b">
        <f>_xlfn.IFNA(INDEX(RulebookFields!I2:I999, MATCH(D426,RulebookFields!A2:A999, 0)), "")</f>
        <v>0</v>
      </c>
      <c r="K426" s="3" t="b">
        <f>AND(F426, J426)</f>
        <v>0</v>
      </c>
      <c r="L426" s="3" t="b">
        <f>AND(G426 &lt;&gt; "plain", G426 &lt;&gt; "")</f>
        <v>0</v>
      </c>
      <c r="M426" s="3" t="str">
        <f>IF(E426, C426 &amp; "|" &amp; H426, "")</f>
        <v>principal-notification-publisher|Steps</v>
      </c>
      <c r="N426" s="2" t="s">
        <v>9938</v>
      </c>
    </row>
    <row r="427">
      <c r="A427" s="2" t="s">
        <v>10363</v>
      </c>
      <c r="B427" s="3" t="str">
        <f>C427 &amp; " -&gt; " &amp; D427</f>
        <v>principal-notification-publisher -&gt; Steps.StepNumber</v>
      </c>
      <c r="C427" s="2" t="s">
        <v>9704</v>
      </c>
      <c r="D427" s="2" t="s">
        <v>2841</v>
      </c>
      <c r="E427" s="2" t="b">
        <v>1</v>
      </c>
      <c r="F427" s="2" t="b">
        <v>0</v>
      </c>
      <c r="G427" s="2" t="s">
        <v>9937</v>
      </c>
      <c r="H427" s="3" t="str">
        <f>_xlfn.IFNA(INDEX(RulebookFields!C2:C999, MATCH(D427,RulebookFields!A2:A999, 0)), "")</f>
        <v>Steps</v>
      </c>
      <c r="I427" s="3" t="str">
        <f>_xlfn.IFNA(INDEX(RulebookFields!D2:D999, MATCH(D427,RulebookFields!A2:A999, 0)), "")</f>
        <v>StepNumber</v>
      </c>
      <c r="J427" s="3" t="b">
        <f>_xlfn.IFNA(INDEX(RulebookFields!I2:I999, MATCH(D427,RulebookFields!A2:A999, 0)), "")</f>
        <v>0</v>
      </c>
      <c r="K427" s="3" t="b">
        <f>AND(F427, J427)</f>
        <v>0</v>
      </c>
      <c r="L427" s="3" t="b">
        <f>AND(G427 &lt;&gt; "plain", G427 &lt;&gt; "")</f>
        <v>0</v>
      </c>
      <c r="M427" s="3" t="str">
        <f>IF(E427, C427 &amp; "|" &amp; H427, "")</f>
        <v>principal-notification-publisher|Steps</v>
      </c>
      <c r="N427" s="2" t="s">
        <v>9938</v>
      </c>
    </row>
    <row r="428">
      <c r="A428" s="2" t="s">
        <v>10364</v>
      </c>
      <c r="B428" s="3" t="str">
        <f>C428 &amp; " -&gt; " &amp; D428</f>
        <v>principal-notification-publisher -&gt; Steps.Title</v>
      </c>
      <c r="C428" s="2" t="s">
        <v>9704</v>
      </c>
      <c r="D428" s="2" t="s">
        <v>2842</v>
      </c>
      <c r="E428" s="2" t="b">
        <v>1</v>
      </c>
      <c r="F428" s="2" t="b">
        <v>0</v>
      </c>
      <c r="G428" s="2" t="s">
        <v>9937</v>
      </c>
      <c r="H428" s="3" t="str">
        <f>_xlfn.IFNA(INDEX(RulebookFields!C2:C999, MATCH(D428,RulebookFields!A2:A999, 0)), "")</f>
        <v>Steps</v>
      </c>
      <c r="I428" s="3" t="str">
        <f>_xlfn.IFNA(INDEX(RulebookFields!D2:D999, MATCH(D428,RulebookFields!A2:A999, 0)), "")</f>
        <v>Title</v>
      </c>
      <c r="J428" s="3" t="b">
        <f>_xlfn.IFNA(INDEX(RulebookFields!I2:I999, MATCH(D428,RulebookFields!A2:A999, 0)), "")</f>
        <v>0</v>
      </c>
      <c r="K428" s="3" t="b">
        <f>AND(F428, J428)</f>
        <v>0</v>
      </c>
      <c r="L428" s="3" t="b">
        <f>AND(G428 &lt;&gt; "plain", G428 &lt;&gt; "")</f>
        <v>0</v>
      </c>
      <c r="M428" s="3" t="str">
        <f>IF(E428, C428 &amp; "|" &amp; H428, "")</f>
        <v>principal-notification-publisher|Steps</v>
      </c>
      <c r="N428" s="2" t="s">
        <v>9938</v>
      </c>
    </row>
    <row r="429">
      <c r="A429" s="2" t="s">
        <v>10365</v>
      </c>
      <c r="B429" s="3" t="str">
        <f>C429 &amp; " -&gt; " &amp; D429</f>
        <v>principal-notification-publisher -&gt; Steps.StepKind</v>
      </c>
      <c r="C429" s="2" t="s">
        <v>9704</v>
      </c>
      <c r="D429" s="2" t="s">
        <v>2843</v>
      </c>
      <c r="E429" s="2" t="b">
        <v>1</v>
      </c>
      <c r="F429" s="2" t="b">
        <v>0</v>
      </c>
      <c r="G429" s="2" t="s">
        <v>9937</v>
      </c>
      <c r="H429" s="3" t="str">
        <f>_xlfn.IFNA(INDEX(RulebookFields!C2:C999, MATCH(D429,RulebookFields!A2:A999, 0)), "")</f>
        <v>Steps</v>
      </c>
      <c r="I429" s="3" t="str">
        <f>_xlfn.IFNA(INDEX(RulebookFields!D2:D999, MATCH(D429,RulebookFields!A2:A999, 0)), "")</f>
        <v>StepKind</v>
      </c>
      <c r="J429" s="3" t="b">
        <f>_xlfn.IFNA(INDEX(RulebookFields!I2:I999, MATCH(D429,RulebookFields!A2:A999, 0)), "")</f>
        <v>0</v>
      </c>
      <c r="K429" s="3" t="b">
        <f>AND(F429, J429)</f>
        <v>0</v>
      </c>
      <c r="L429" s="3" t="b">
        <f>AND(G429 &lt;&gt; "plain", G429 &lt;&gt; "")</f>
        <v>0</v>
      </c>
      <c r="M429" s="3" t="str">
        <f>IF(E429, C429 &amp; "|" &amp; H429, "")</f>
        <v>principal-notification-publisher|Steps</v>
      </c>
      <c r="N429" s="2" t="s">
        <v>9938</v>
      </c>
    </row>
    <row r="430">
      <c r="A430" s="2" t="s">
        <v>10366</v>
      </c>
      <c r="B430" s="3" t="str">
        <f>C430 &amp; " -&gt; " &amp; D430</f>
        <v>principal-notification-publisher -&gt; Steps.Instruction</v>
      </c>
      <c r="C430" s="2" t="s">
        <v>9704</v>
      </c>
      <c r="D430" s="2" t="s">
        <v>2849</v>
      </c>
      <c r="E430" s="2" t="b">
        <v>1</v>
      </c>
      <c r="F430" s="2" t="b">
        <v>0</v>
      </c>
      <c r="G430" s="2" t="s">
        <v>9937</v>
      </c>
      <c r="H430" s="3" t="str">
        <f>_xlfn.IFNA(INDEX(RulebookFields!C2:C999, MATCH(D430,RulebookFields!A2:A999, 0)), "")</f>
        <v>Steps</v>
      </c>
      <c r="I430" s="3" t="str">
        <f>_xlfn.IFNA(INDEX(RulebookFields!D2:D999, MATCH(D430,RulebookFields!A2:A999, 0)), "")</f>
        <v>Instruction</v>
      </c>
      <c r="J430" s="3" t="b">
        <f>_xlfn.IFNA(INDEX(RulebookFields!I2:I999, MATCH(D430,RulebookFields!A2:A999, 0)), "")</f>
        <v>0</v>
      </c>
      <c r="K430" s="3" t="b">
        <f>AND(F430, J430)</f>
        <v>0</v>
      </c>
      <c r="L430" s="3" t="b">
        <f>AND(G430 &lt;&gt; "plain", G430 &lt;&gt; "")</f>
        <v>0</v>
      </c>
      <c r="M430" s="3" t="str">
        <f>IF(E430, C430 &amp; "|" &amp; H430, "")</f>
        <v>principal-notification-publisher|Steps</v>
      </c>
      <c r="N430" s="2" t="s">
        <v>9938</v>
      </c>
    </row>
    <row r="431">
      <c r="A431" s="2" t="s">
        <v>10367</v>
      </c>
      <c r="B431" s="3" t="str">
        <f>C431 &amp; " -&gt; " &amp; D431</f>
        <v>principal-notification-publisher -&gt; Steps.AssignedRole</v>
      </c>
      <c r="C431" s="2" t="s">
        <v>9704</v>
      </c>
      <c r="D431" s="2" t="s">
        <v>2844</v>
      </c>
      <c r="E431" s="2" t="b">
        <v>1</v>
      </c>
      <c r="F431" s="2" t="b">
        <v>0</v>
      </c>
      <c r="G431" s="2" t="s">
        <v>9937</v>
      </c>
      <c r="H431" s="3" t="str">
        <f>_xlfn.IFNA(INDEX(RulebookFields!C2:C999, MATCH(D431,RulebookFields!A2:A999, 0)), "")</f>
        <v>Steps</v>
      </c>
      <c r="I431" s="3" t="str">
        <f>_xlfn.IFNA(INDEX(RulebookFields!D2:D999, MATCH(D431,RulebookFields!A2:A999, 0)), "")</f>
        <v>AssignedRole</v>
      </c>
      <c r="J431" s="3" t="b">
        <f>_xlfn.IFNA(INDEX(RulebookFields!I2:I999, MATCH(D431,RulebookFields!A2:A999, 0)), "")</f>
        <v>0</v>
      </c>
      <c r="K431" s="3" t="b">
        <f>AND(F431, J431)</f>
        <v>0</v>
      </c>
      <c r="L431" s="3" t="b">
        <f>AND(G431 &lt;&gt; "plain", G431 &lt;&gt; "")</f>
        <v>0</v>
      </c>
      <c r="M431" s="3" t="str">
        <f>IF(E431, C431 &amp; "|" &amp; H431, "")</f>
        <v>principal-notification-publisher|Steps</v>
      </c>
      <c r="N431" s="2" t="s">
        <v>9938</v>
      </c>
    </row>
    <row r="432">
      <c r="A432" s="2" t="s">
        <v>10368</v>
      </c>
      <c r="B432" s="3" t="str">
        <f>C432 &amp; " -&gt; " &amp; D432</f>
        <v>principal-notification-publisher -&gt; Steps.AssignedRoleLabel</v>
      </c>
      <c r="C432" s="2" t="s">
        <v>9704</v>
      </c>
      <c r="D432" s="2" t="s">
        <v>2845</v>
      </c>
      <c r="E432" s="2" t="b">
        <v>1</v>
      </c>
      <c r="F432" s="2" t="b">
        <v>0</v>
      </c>
      <c r="G432" s="2" t="s">
        <v>9937</v>
      </c>
      <c r="H432" s="3" t="str">
        <f>_xlfn.IFNA(INDEX(RulebookFields!C2:C999, MATCH(D432,RulebookFields!A2:A999, 0)), "")</f>
        <v>Steps</v>
      </c>
      <c r="I432" s="3" t="str">
        <f>_xlfn.IFNA(INDEX(RulebookFields!D2:D999, MATCH(D432,RulebookFields!A2:A999, 0)), "")</f>
        <v>AssignedRoleLabel</v>
      </c>
      <c r="J432" s="3" t="b">
        <f>_xlfn.IFNA(INDEX(RulebookFields!I2:I999, MATCH(D432,RulebookFields!A2:A999, 0)), "")</f>
        <v>1</v>
      </c>
      <c r="K432" s="3" t="b">
        <f>AND(F432, J432)</f>
        <v>0</v>
      </c>
      <c r="L432" s="3" t="b">
        <f>AND(G432 &lt;&gt; "plain", G432 &lt;&gt; "")</f>
        <v>0</v>
      </c>
      <c r="M432" s="3" t="str">
        <f>IF(E432, C432 &amp; "|" &amp; H432, "")</f>
        <v>principal-notification-publisher|Steps</v>
      </c>
      <c r="N432" s="2" t="s">
        <v>9938</v>
      </c>
    </row>
    <row r="433">
      <c r="A433" s="2" t="s">
        <v>10369</v>
      </c>
      <c r="B433" s="3" t="str">
        <f>C433 &amp; " -&gt; " &amp; D433</f>
        <v>principal-notification-publisher -&gt; Steps.ProcedureVersion</v>
      </c>
      <c r="C433" s="2" t="s">
        <v>9704</v>
      </c>
      <c r="D433" s="2" t="s">
        <v>2840</v>
      </c>
      <c r="E433" s="2" t="b">
        <v>1</v>
      </c>
      <c r="F433" s="2" t="b">
        <v>0</v>
      </c>
      <c r="G433" s="2" t="s">
        <v>9937</v>
      </c>
      <c r="H433" s="3" t="str">
        <f>_xlfn.IFNA(INDEX(RulebookFields!C2:C999, MATCH(D433,RulebookFields!A2:A999, 0)), "")</f>
        <v>Steps</v>
      </c>
      <c r="I433" s="3" t="str">
        <f>_xlfn.IFNA(INDEX(RulebookFields!D2:D999, MATCH(D433,RulebookFields!A2:A999, 0)), "")</f>
        <v>ProcedureVersion</v>
      </c>
      <c r="J433" s="3" t="b">
        <f>_xlfn.IFNA(INDEX(RulebookFields!I2:I999, MATCH(D433,RulebookFields!A2:A999, 0)), "")</f>
        <v>0</v>
      </c>
      <c r="K433" s="3" t="b">
        <f>AND(F433, J433)</f>
        <v>0</v>
      </c>
      <c r="L433" s="3" t="b">
        <f>AND(G433 &lt;&gt; "plain", G433 &lt;&gt; "")</f>
        <v>0</v>
      </c>
      <c r="M433" s="3" t="str">
        <f>IF(E433, C433 &amp; "|" &amp; H433, "")</f>
        <v>principal-notification-publisher|Steps</v>
      </c>
      <c r="N433" s="2" t="s">
        <v>9938</v>
      </c>
    </row>
    <row r="434">
      <c r="A434" s="2" t="s">
        <v>10370</v>
      </c>
      <c r="B434" s="3" t="str">
        <f>C434 &amp; " -&gt; " &amp; D434</f>
        <v>principal-notification-publisher -&gt; Steps.Name</v>
      </c>
      <c r="C434" s="2" t="s">
        <v>9704</v>
      </c>
      <c r="D434" s="2" t="s">
        <v>2838</v>
      </c>
      <c r="E434" s="2" t="b">
        <v>1</v>
      </c>
      <c r="F434" s="2" t="b">
        <v>0</v>
      </c>
      <c r="G434" s="2" t="s">
        <v>9937</v>
      </c>
      <c r="H434" s="3" t="str">
        <f>_xlfn.IFNA(INDEX(RulebookFields!C2:C999, MATCH(D434,RulebookFields!A2:A999, 0)), "")</f>
        <v>Steps</v>
      </c>
      <c r="I434" s="3" t="str">
        <f>_xlfn.IFNA(INDEX(RulebookFields!D2:D999, MATCH(D434,RulebookFields!A2:A999, 0)), "")</f>
        <v>Name</v>
      </c>
      <c r="J434" s="3" t="b">
        <f>_xlfn.IFNA(INDEX(RulebookFields!I2:I999, MATCH(D434,RulebookFields!A2:A999, 0)), "")</f>
        <v>1</v>
      </c>
      <c r="K434" s="3" t="b">
        <f>AND(F434, J434)</f>
        <v>0</v>
      </c>
      <c r="L434" s="3" t="b">
        <f>AND(G434 &lt;&gt; "plain", G434 &lt;&gt; "")</f>
        <v>0</v>
      </c>
      <c r="M434" s="3" t="str">
        <f>IF(E434, C434 &amp; "|" &amp; H434, "")</f>
        <v>principal-notification-publisher|Steps</v>
      </c>
      <c r="N434" s="2" t="s">
        <v>9938</v>
      </c>
    </row>
    <row r="435">
      <c r="A435" s="2" t="s">
        <v>10371</v>
      </c>
      <c r="B435" s="3" t="str">
        <f>C435 &amp; " -&gt; " &amp; D435</f>
        <v>principal-process-steward -&gt; Actions.ActionId</v>
      </c>
      <c r="C435" s="2" t="s">
        <v>9706</v>
      </c>
      <c r="D435" s="2" t="s">
        <v>2945</v>
      </c>
      <c r="E435" s="2" t="b">
        <v>1</v>
      </c>
      <c r="F435" s="2" t="b">
        <v>0</v>
      </c>
      <c r="G435" s="2" t="s">
        <v>9937</v>
      </c>
      <c r="H435" s="3" t="str">
        <f>_xlfn.IFNA(INDEX(RulebookFields!C2:C999, MATCH(D435,RulebookFields!A2:A999, 0)), "")</f>
        <v>Actions</v>
      </c>
      <c r="I435" s="3" t="str">
        <f>_xlfn.IFNA(INDEX(RulebookFields!D2:D999, MATCH(D435,RulebookFields!A2:A999, 0)), "")</f>
        <v>ActionId</v>
      </c>
      <c r="J435" s="3" t="b">
        <f>_xlfn.IFNA(INDEX(RulebookFields!I2:I999, MATCH(D435,RulebookFields!A2:A999, 0)), "")</f>
        <v>0</v>
      </c>
      <c r="K435" s="3" t="b">
        <f>AND(F435, J435)</f>
        <v>0</v>
      </c>
      <c r="L435" s="3" t="b">
        <f>AND(G435 &lt;&gt; "plain", G435 &lt;&gt; "")</f>
        <v>0</v>
      </c>
      <c r="M435" s="3" t="str">
        <f>IF(E435, C435 &amp; "|" &amp; H435, "")</f>
        <v>principal-process-steward|Actions</v>
      </c>
      <c r="N435" s="2" t="s">
        <v>9938</v>
      </c>
    </row>
    <row r="436">
      <c r="A436" s="2" t="s">
        <v>10372</v>
      </c>
      <c r="B436" s="3" t="str">
        <f>C436 &amp; " -&gt; " &amp; D436</f>
        <v>principal-process-steward -&gt; Actions.Name</v>
      </c>
      <c r="C436" s="2" t="s">
        <v>9706</v>
      </c>
      <c r="D436" s="2" t="s">
        <v>2946</v>
      </c>
      <c r="E436" s="2" t="b">
        <v>1</v>
      </c>
      <c r="F436" s="2" t="b">
        <v>0</v>
      </c>
      <c r="G436" s="2" t="s">
        <v>9937</v>
      </c>
      <c r="H436" s="3" t="str">
        <f>_xlfn.IFNA(INDEX(RulebookFields!C2:C999, MATCH(D436,RulebookFields!A2:A999, 0)), "")</f>
        <v>Actions</v>
      </c>
      <c r="I436" s="3" t="str">
        <f>_xlfn.IFNA(INDEX(RulebookFields!D2:D999, MATCH(D436,RulebookFields!A2:A999, 0)), "")</f>
        <v>Name</v>
      </c>
      <c r="J436" s="3" t="b">
        <f>_xlfn.IFNA(INDEX(RulebookFields!I2:I999, MATCH(D436,RulebookFields!A2:A999, 0)), "")</f>
        <v>1</v>
      </c>
      <c r="K436" s="3" t="b">
        <f>AND(F436, J436)</f>
        <v>0</v>
      </c>
      <c r="L436" s="3" t="b">
        <f>AND(G436 &lt;&gt; "plain", G436 &lt;&gt; "")</f>
        <v>0</v>
      </c>
      <c r="M436" s="3" t="str">
        <f>IF(E436, C436 &amp; "|" &amp; H436, "")</f>
        <v>principal-process-steward|Actions</v>
      </c>
      <c r="N436" s="2" t="s">
        <v>9938</v>
      </c>
    </row>
    <row r="437">
      <c r="A437" s="2" t="s">
        <v>10373</v>
      </c>
      <c r="B437" s="3" t="str">
        <f>C437 &amp; " -&gt; " &amp; D437</f>
        <v>principal-process-steward -&gt; Actions.Label</v>
      </c>
      <c r="C437" s="2" t="s">
        <v>9706</v>
      </c>
      <c r="D437" s="2" t="s">
        <v>2947</v>
      </c>
      <c r="E437" s="2" t="b">
        <v>1</v>
      </c>
      <c r="F437" s="2" t="b">
        <v>0</v>
      </c>
      <c r="G437" s="2" t="s">
        <v>9937</v>
      </c>
      <c r="H437" s="3" t="str">
        <f>_xlfn.IFNA(INDEX(RulebookFields!C2:C999, MATCH(D437,RulebookFields!A2:A999, 0)), "")</f>
        <v>Actions</v>
      </c>
      <c r="I437" s="3" t="str">
        <f>_xlfn.IFNA(INDEX(RulebookFields!D2:D999, MATCH(D437,RulebookFields!A2:A999, 0)), "")</f>
        <v>Label</v>
      </c>
      <c r="J437" s="3" t="b">
        <f>_xlfn.IFNA(INDEX(RulebookFields!I2:I999, MATCH(D437,RulebookFields!A2:A999, 0)), "")</f>
        <v>0</v>
      </c>
      <c r="K437" s="3" t="b">
        <f>AND(F437, J437)</f>
        <v>0</v>
      </c>
      <c r="L437" s="3" t="b">
        <f>AND(G437 &lt;&gt; "plain", G437 &lt;&gt; "")</f>
        <v>0</v>
      </c>
      <c r="M437" s="3" t="str">
        <f>IF(E437, C437 &amp; "|" &amp; H437, "")</f>
        <v>principal-process-steward|Actions</v>
      </c>
      <c r="N437" s="2" t="s">
        <v>9938</v>
      </c>
    </row>
    <row r="438">
      <c r="A438" s="2" t="s">
        <v>10374</v>
      </c>
      <c r="B438" s="3" t="str">
        <f>C438 &amp; " -&gt; " &amp; D438</f>
        <v>principal-process-steward -&gt; Actions.Definition</v>
      </c>
      <c r="C438" s="2" t="s">
        <v>9706</v>
      </c>
      <c r="D438" s="2" t="s">
        <v>2948</v>
      </c>
      <c r="E438" s="2" t="b">
        <v>1</v>
      </c>
      <c r="F438" s="2" t="b">
        <v>0</v>
      </c>
      <c r="G438" s="2" t="s">
        <v>9937</v>
      </c>
      <c r="H438" s="3" t="str">
        <f>_xlfn.IFNA(INDEX(RulebookFields!C2:C999, MATCH(D438,RulebookFields!A2:A999, 0)), "")</f>
        <v>Actions</v>
      </c>
      <c r="I438" s="3" t="str">
        <f>_xlfn.IFNA(INDEX(RulebookFields!D2:D999, MATCH(D438,RulebookFields!A2:A999, 0)), "")</f>
        <v>Definition</v>
      </c>
      <c r="J438" s="3" t="b">
        <f>_xlfn.IFNA(INDEX(RulebookFields!I2:I999, MATCH(D438,RulebookFields!A2:A999, 0)), "")</f>
        <v>0</v>
      </c>
      <c r="K438" s="3" t="b">
        <f>AND(F438, J438)</f>
        <v>0</v>
      </c>
      <c r="L438" s="3" t="b">
        <f>AND(G438 &lt;&gt; "plain", G438 &lt;&gt; "")</f>
        <v>0</v>
      </c>
      <c r="M438" s="3" t="str">
        <f>IF(E438, C438 &amp; "|" &amp; H438, "")</f>
        <v>principal-process-steward|Actions</v>
      </c>
      <c r="N438" s="2" t="s">
        <v>9938</v>
      </c>
    </row>
    <row r="439">
      <c r="A439" s="2" t="s">
        <v>10375</v>
      </c>
      <c r="B439" s="3" t="str">
        <f>C439 &amp; " -&gt; " &amp; D439</f>
        <v>principal-process-steward -&gt; Actions.SemanticTypeIri</v>
      </c>
      <c r="C439" s="2" t="s">
        <v>9706</v>
      </c>
      <c r="D439" s="2" t="s">
        <v>2949</v>
      </c>
      <c r="E439" s="2" t="b">
        <v>1</v>
      </c>
      <c r="F439" s="2" t="b">
        <v>0</v>
      </c>
      <c r="G439" s="2" t="s">
        <v>9937</v>
      </c>
      <c r="H439" s="3" t="str">
        <f>_xlfn.IFNA(INDEX(RulebookFields!C2:C999, MATCH(D439,RulebookFields!A2:A999, 0)), "")</f>
        <v>Actions</v>
      </c>
      <c r="I439" s="3" t="str">
        <f>_xlfn.IFNA(INDEX(RulebookFields!D2:D999, MATCH(D439,RulebookFields!A2:A999, 0)), "")</f>
        <v>SemanticTypeIri</v>
      </c>
      <c r="J439" s="3" t="b">
        <f>_xlfn.IFNA(INDEX(RulebookFields!I2:I999, MATCH(D439,RulebookFields!A2:A999, 0)), "")</f>
        <v>0</v>
      </c>
      <c r="K439" s="3" t="b">
        <f>AND(F439, J439)</f>
        <v>0</v>
      </c>
      <c r="L439" s="3" t="b">
        <f>AND(G439 &lt;&gt; "plain", G439 &lt;&gt; "")</f>
        <v>0</v>
      </c>
      <c r="M439" s="3" t="str">
        <f>IF(E439, C439 &amp; "|" &amp; H439, "")</f>
        <v>principal-process-steward|Actions</v>
      </c>
      <c r="N439" s="2" t="s">
        <v>9938</v>
      </c>
    </row>
    <row r="440">
      <c r="A440" s="2" t="s">
        <v>10376</v>
      </c>
      <c r="B440" s="3" t="str">
        <f>C440 &amp; " -&gt; " &amp; D440</f>
        <v>principal-process-steward -&gt; AgentDecisionRecords.AgentDecisionRecordId</v>
      </c>
      <c r="C440" s="2" t="s">
        <v>9706</v>
      </c>
      <c r="D440" s="2" t="s">
        <v>4927</v>
      </c>
      <c r="E440" s="2" t="b">
        <v>1</v>
      </c>
      <c r="F440" s="2" t="b">
        <v>0</v>
      </c>
      <c r="G440" s="2" t="s">
        <v>9937</v>
      </c>
      <c r="H440" s="3" t="str">
        <f>_xlfn.IFNA(INDEX(RulebookFields!C2:C999, MATCH(D440,RulebookFields!A2:A999, 0)), "")</f>
      </c>
      <c r="I440" s="3" t="str">
        <f>_xlfn.IFNA(INDEX(RulebookFields!D2:D999, MATCH(D440,RulebookFields!A2:A999, 0)), "")</f>
      </c>
      <c r="J440" s="3" t="str">
        <f>_xlfn.IFNA(INDEX(RulebookFields!I2:I999, MATCH(D440,RulebookFields!A2:A999, 0)), "")</f>
      </c>
      <c r="K440" s="3" t="b">
        <f>AND(F440, J440)</f>
        <v>0</v>
      </c>
      <c r="L440" s="3" t="b">
        <f>AND(G440 &lt;&gt; "plain", G440 &lt;&gt; "")</f>
        <v>0</v>
      </c>
      <c r="M440" s="3" t="str">
        <f>IF(E440, C440 &amp; "|" &amp; H440, "")</f>
        <v>principal-process-steward|</v>
      </c>
      <c r="N440" s="2" t="s">
        <v>9938</v>
      </c>
    </row>
    <row r="441">
      <c r="A441" s="2" t="s">
        <v>10377</v>
      </c>
      <c r="B441" s="3" t="str">
        <f>C441 &amp; " -&gt; " &amp; D441</f>
        <v>principal-process-steward -&gt; AgentDecisionRecords.Name</v>
      </c>
      <c r="C441" s="2" t="s">
        <v>9706</v>
      </c>
      <c r="D441" s="2" t="s">
        <v>4930</v>
      </c>
      <c r="E441" s="2" t="b">
        <v>1</v>
      </c>
      <c r="F441" s="2" t="b">
        <v>0</v>
      </c>
      <c r="G441" s="2" t="s">
        <v>9937</v>
      </c>
      <c r="H441" s="3" t="str">
        <f>_xlfn.IFNA(INDEX(RulebookFields!C2:C999, MATCH(D441,RulebookFields!A2:A999, 0)), "")</f>
      </c>
      <c r="I441" s="3" t="str">
        <f>_xlfn.IFNA(INDEX(RulebookFields!D2:D999, MATCH(D441,RulebookFields!A2:A999, 0)), "")</f>
      </c>
      <c r="J441" s="3" t="str">
        <f>_xlfn.IFNA(INDEX(RulebookFields!I2:I999, MATCH(D441,RulebookFields!A2:A999, 0)), "")</f>
      </c>
      <c r="K441" s="3" t="b">
        <f>AND(F441, J441)</f>
        <v>0</v>
      </c>
      <c r="L441" s="3" t="b">
        <f>AND(G441 &lt;&gt; "plain", G441 &lt;&gt; "")</f>
        <v>0</v>
      </c>
      <c r="M441" s="3" t="str">
        <f>IF(E441, C441 &amp; "|" &amp; H441, "")</f>
        <v>principal-process-steward|</v>
      </c>
      <c r="N441" s="2" t="s">
        <v>9938</v>
      </c>
    </row>
    <row r="442">
      <c r="A442" s="2" t="s">
        <v>10378</v>
      </c>
      <c r="B442" s="3" t="str">
        <f>C442 &amp; " -&gt; " &amp; D442</f>
        <v>principal-process-steward -&gt; AgentDecisionRecords.StepExecution</v>
      </c>
      <c r="C442" s="2" t="s">
        <v>9706</v>
      </c>
      <c r="D442" s="2" t="s">
        <v>4932</v>
      </c>
      <c r="E442" s="2" t="b">
        <v>1</v>
      </c>
      <c r="F442" s="2" t="b">
        <v>0</v>
      </c>
      <c r="G442" s="2" t="s">
        <v>9937</v>
      </c>
      <c r="H442" s="3" t="str">
        <f>_xlfn.IFNA(INDEX(RulebookFields!C2:C999, MATCH(D442,RulebookFields!A2:A999, 0)), "")</f>
      </c>
      <c r="I442" s="3" t="str">
        <f>_xlfn.IFNA(INDEX(RulebookFields!D2:D999, MATCH(D442,RulebookFields!A2:A999, 0)), "")</f>
      </c>
      <c r="J442" s="3" t="str">
        <f>_xlfn.IFNA(INDEX(RulebookFields!I2:I999, MATCH(D442,RulebookFields!A2:A999, 0)), "")</f>
      </c>
      <c r="K442" s="3" t="b">
        <f>AND(F442, J442)</f>
        <v>0</v>
      </c>
      <c r="L442" s="3" t="b">
        <f>AND(G442 &lt;&gt; "plain", G442 &lt;&gt; "")</f>
        <v>0</v>
      </c>
      <c r="M442" s="3" t="str">
        <f>IF(E442, C442 &amp; "|" &amp; H442, "")</f>
        <v>principal-process-steward|</v>
      </c>
      <c r="N442" s="2" t="s">
        <v>9938</v>
      </c>
    </row>
    <row r="443">
      <c r="A443" s="2" t="s">
        <v>10379</v>
      </c>
      <c r="B443" s="3" t="str">
        <f>C443 &amp; " -&gt; " &amp; D443</f>
        <v>principal-process-steward -&gt; AgentDecisionRecords.DecidingAgent</v>
      </c>
      <c r="C443" s="2" t="s">
        <v>9706</v>
      </c>
      <c r="D443" s="2" t="s">
        <v>4933</v>
      </c>
      <c r="E443" s="2" t="b">
        <v>1</v>
      </c>
      <c r="F443" s="2" t="b">
        <v>0</v>
      </c>
      <c r="G443" s="2" t="s">
        <v>9937</v>
      </c>
      <c r="H443" s="3" t="str">
        <f>_xlfn.IFNA(INDEX(RulebookFields!C2:C999, MATCH(D443,RulebookFields!A2:A999, 0)), "")</f>
      </c>
      <c r="I443" s="3" t="str">
        <f>_xlfn.IFNA(INDEX(RulebookFields!D2:D999, MATCH(D443,RulebookFields!A2:A999, 0)), "")</f>
      </c>
      <c r="J443" s="3" t="str">
        <f>_xlfn.IFNA(INDEX(RulebookFields!I2:I999, MATCH(D443,RulebookFields!A2:A999, 0)), "")</f>
      </c>
      <c r="K443" s="3" t="b">
        <f>AND(F443, J443)</f>
        <v>0</v>
      </c>
      <c r="L443" s="3" t="b">
        <f>AND(G443 &lt;&gt; "plain", G443 &lt;&gt; "")</f>
        <v>0</v>
      </c>
      <c r="M443" s="3" t="str">
        <f>IF(E443, C443 &amp; "|" &amp; H443, "")</f>
        <v>principal-process-steward|</v>
      </c>
      <c r="N443" s="2" t="s">
        <v>9938</v>
      </c>
    </row>
    <row r="444">
      <c r="A444" s="2" t="s">
        <v>10380</v>
      </c>
      <c r="B444" s="3" t="str">
        <f>C444 &amp; " -&gt; " &amp; D444</f>
        <v>principal-process-steward -&gt; AgentDecisionRecords.DecisionKind</v>
      </c>
      <c r="C444" s="2" t="s">
        <v>9706</v>
      </c>
      <c r="D444" s="2" t="s">
        <v>4935</v>
      </c>
      <c r="E444" s="2" t="b">
        <v>1</v>
      </c>
      <c r="F444" s="2" t="b">
        <v>0</v>
      </c>
      <c r="G444" s="2" t="s">
        <v>9937</v>
      </c>
      <c r="H444" s="3" t="str">
        <f>_xlfn.IFNA(INDEX(RulebookFields!C2:C999, MATCH(D444,RulebookFields!A2:A999, 0)), "")</f>
      </c>
      <c r="I444" s="3" t="str">
        <f>_xlfn.IFNA(INDEX(RulebookFields!D2:D999, MATCH(D444,RulebookFields!A2:A999, 0)), "")</f>
      </c>
      <c r="J444" s="3" t="str">
        <f>_xlfn.IFNA(INDEX(RulebookFields!I2:I999, MATCH(D444,RulebookFields!A2:A999, 0)), "")</f>
      </c>
      <c r="K444" s="3" t="b">
        <f>AND(F444, J444)</f>
        <v>0</v>
      </c>
      <c r="L444" s="3" t="b">
        <f>AND(G444 &lt;&gt; "plain", G444 &lt;&gt; "")</f>
        <v>0</v>
      </c>
      <c r="M444" s="3" t="str">
        <f>IF(E444, C444 &amp; "|" &amp; H444, "")</f>
        <v>principal-process-steward|</v>
      </c>
      <c r="N444" s="2" t="s">
        <v>9938</v>
      </c>
    </row>
    <row r="445">
      <c r="A445" s="2" t="s">
        <v>10381</v>
      </c>
      <c r="B445" s="3" t="str">
        <f>C445 &amp; " -&gt; " &amp; D445</f>
        <v>principal-process-steward -&gt; AgentDecisionRecords.DecisionSummary</v>
      </c>
      <c r="C445" s="2" t="s">
        <v>9706</v>
      </c>
      <c r="D445" s="2" t="s">
        <v>4937</v>
      </c>
      <c r="E445" s="2" t="b">
        <v>1</v>
      </c>
      <c r="F445" s="2" t="b">
        <v>0</v>
      </c>
      <c r="G445" s="2" t="s">
        <v>9937</v>
      </c>
      <c r="H445" s="3" t="str">
        <f>_xlfn.IFNA(INDEX(RulebookFields!C2:C999, MATCH(D445,RulebookFields!A2:A999, 0)), "")</f>
      </c>
      <c r="I445" s="3" t="str">
        <f>_xlfn.IFNA(INDEX(RulebookFields!D2:D999, MATCH(D445,RulebookFields!A2:A999, 0)), "")</f>
      </c>
      <c r="J445" s="3" t="str">
        <f>_xlfn.IFNA(INDEX(RulebookFields!I2:I999, MATCH(D445,RulebookFields!A2:A999, 0)), "")</f>
      </c>
      <c r="K445" s="3" t="b">
        <f>AND(F445, J445)</f>
        <v>0</v>
      </c>
      <c r="L445" s="3" t="b">
        <f>AND(G445 &lt;&gt; "plain", G445 &lt;&gt; "")</f>
        <v>0</v>
      </c>
      <c r="M445" s="3" t="str">
        <f>IF(E445, C445 &amp; "|" &amp; H445, "")</f>
        <v>principal-process-steward|</v>
      </c>
      <c r="N445" s="2" t="s">
        <v>9938</v>
      </c>
    </row>
    <row r="446">
      <c r="A446" s="2" t="s">
        <v>10382</v>
      </c>
      <c r="B446" s="3" t="str">
        <f>C446 &amp; " -&gt; " &amp; D446</f>
        <v>principal-process-steward -&gt; AgentDecisionRecords.DecidedAt</v>
      </c>
      <c r="C446" s="2" t="s">
        <v>9706</v>
      </c>
      <c r="D446" s="2" t="s">
        <v>4939</v>
      </c>
      <c r="E446" s="2" t="b">
        <v>1</v>
      </c>
      <c r="F446" s="2" t="b">
        <v>0</v>
      </c>
      <c r="G446" s="2" t="s">
        <v>9937</v>
      </c>
      <c r="H446" s="3" t="str">
        <f>_xlfn.IFNA(INDEX(RulebookFields!C2:C999, MATCH(D446,RulebookFields!A2:A999, 0)), "")</f>
      </c>
      <c r="I446" s="3" t="str">
        <f>_xlfn.IFNA(INDEX(RulebookFields!D2:D999, MATCH(D446,RulebookFields!A2:A999, 0)), "")</f>
      </c>
      <c r="J446" s="3" t="str">
        <f>_xlfn.IFNA(INDEX(RulebookFields!I2:I999, MATCH(D446,RulebookFields!A2:A999, 0)), "")</f>
      </c>
      <c r="K446" s="3" t="b">
        <f>AND(F446, J446)</f>
        <v>0</v>
      </c>
      <c r="L446" s="3" t="b">
        <f>AND(G446 &lt;&gt; "plain", G446 &lt;&gt; "")</f>
        <v>0</v>
      </c>
      <c r="M446" s="3" t="str">
        <f>IF(E446, C446 &amp; "|" &amp; H446, "")</f>
        <v>principal-process-steward|</v>
      </c>
      <c r="N446" s="2" t="s">
        <v>9938</v>
      </c>
    </row>
    <row r="447">
      <c r="A447" s="2" t="s">
        <v>10383</v>
      </c>
      <c r="B447" s="3" t="str">
        <f>C447 &amp; " -&gt; " &amp; D447</f>
        <v>principal-process-steward -&gt; AgentDecisionRecords.MaterialityBand</v>
      </c>
      <c r="C447" s="2" t="s">
        <v>9706</v>
      </c>
      <c r="D447" s="2" t="s">
        <v>4940</v>
      </c>
      <c r="E447" s="2" t="b">
        <v>1</v>
      </c>
      <c r="F447" s="2" t="b">
        <v>0</v>
      </c>
      <c r="G447" s="2" t="s">
        <v>9937</v>
      </c>
      <c r="H447" s="3" t="str">
        <f>_xlfn.IFNA(INDEX(RulebookFields!C2:C999, MATCH(D447,RulebookFields!A2:A999, 0)), "")</f>
      </c>
      <c r="I447" s="3" t="str">
        <f>_xlfn.IFNA(INDEX(RulebookFields!D2:D999, MATCH(D447,RulebookFields!A2:A999, 0)), "")</f>
      </c>
      <c r="J447" s="3" t="str">
        <f>_xlfn.IFNA(INDEX(RulebookFields!I2:I999, MATCH(D447,RulebookFields!A2:A999, 0)), "")</f>
      </c>
      <c r="K447" s="3" t="b">
        <f>AND(F447, J447)</f>
        <v>0</v>
      </c>
      <c r="L447" s="3" t="b">
        <f>AND(G447 &lt;&gt; "plain", G447 &lt;&gt; "")</f>
        <v>0</v>
      </c>
      <c r="M447" s="3" t="str">
        <f>IF(E447, C447 &amp; "|" &amp; H447, "")</f>
        <v>principal-process-steward|</v>
      </c>
      <c r="N447" s="2" t="s">
        <v>9938</v>
      </c>
    </row>
    <row r="448">
      <c r="A448" s="2" t="s">
        <v>10384</v>
      </c>
      <c r="B448" s="3" t="str">
        <f>C448 &amp; " -&gt; " &amp; D448</f>
        <v>principal-process-steward -&gt; AgentDecisionRecords.HumanDisposition</v>
      </c>
      <c r="C448" s="2" t="s">
        <v>9706</v>
      </c>
      <c r="D448" s="2" t="s">
        <v>4942</v>
      </c>
      <c r="E448" s="2" t="b">
        <v>1</v>
      </c>
      <c r="F448" s="2" t="b">
        <v>0</v>
      </c>
      <c r="G448" s="2" t="s">
        <v>9937</v>
      </c>
      <c r="H448" s="3" t="str">
        <f>_xlfn.IFNA(INDEX(RulebookFields!C2:C999, MATCH(D448,RulebookFields!A2:A999, 0)), "")</f>
      </c>
      <c r="I448" s="3" t="str">
        <f>_xlfn.IFNA(INDEX(RulebookFields!D2:D999, MATCH(D448,RulebookFields!A2:A999, 0)), "")</f>
      </c>
      <c r="J448" s="3" t="str">
        <f>_xlfn.IFNA(INDEX(RulebookFields!I2:I999, MATCH(D448,RulebookFields!A2:A999, 0)), "")</f>
      </c>
      <c r="K448" s="3" t="b">
        <f>AND(F448, J448)</f>
        <v>0</v>
      </c>
      <c r="L448" s="3" t="b">
        <f>AND(G448 &lt;&gt; "plain", G448 &lt;&gt; "")</f>
        <v>0</v>
      </c>
      <c r="M448" s="3" t="str">
        <f>IF(E448, C448 &amp; "|" &amp; H448, "")</f>
        <v>principal-process-steward|</v>
      </c>
      <c r="N448" s="2" t="s">
        <v>9938</v>
      </c>
    </row>
    <row r="449">
      <c r="A449" s="2" t="s">
        <v>10385</v>
      </c>
      <c r="B449" s="3" t="str">
        <f>C449 &amp; " -&gt; " &amp; D449</f>
        <v>principal-process-steward -&gt; AgentDecisionRecords.ReviewedByAgent</v>
      </c>
      <c r="C449" s="2" t="s">
        <v>9706</v>
      </c>
      <c r="D449" s="2" t="s">
        <v>4944</v>
      </c>
      <c r="E449" s="2" t="b">
        <v>1</v>
      </c>
      <c r="F449" s="2" t="b">
        <v>0</v>
      </c>
      <c r="G449" s="2" t="s">
        <v>9937</v>
      </c>
      <c r="H449" s="3" t="str">
        <f>_xlfn.IFNA(INDEX(RulebookFields!C2:C999, MATCH(D449,RulebookFields!A2:A999, 0)), "")</f>
      </c>
      <c r="I449" s="3" t="str">
        <f>_xlfn.IFNA(INDEX(RulebookFields!D2:D999, MATCH(D449,RulebookFields!A2:A999, 0)), "")</f>
      </c>
      <c r="J449" s="3" t="str">
        <f>_xlfn.IFNA(INDEX(RulebookFields!I2:I999, MATCH(D449,RulebookFields!A2:A999, 0)), "")</f>
      </c>
      <c r="K449" s="3" t="b">
        <f>AND(F449, J449)</f>
        <v>0</v>
      </c>
      <c r="L449" s="3" t="b">
        <f>AND(G449 &lt;&gt; "plain", G449 &lt;&gt; "")</f>
        <v>0</v>
      </c>
      <c r="M449" s="3" t="str">
        <f>IF(E449, C449 &amp; "|" &amp; H449, "")</f>
        <v>principal-process-steward|</v>
      </c>
      <c r="N449" s="2" t="s">
        <v>9938</v>
      </c>
    </row>
    <row r="450">
      <c r="A450" s="2" t="s">
        <v>10386</v>
      </c>
      <c r="B450" s="3" t="str">
        <f>C450 &amp; " -&gt; " &amp; D450</f>
        <v>principal-process-steward -&gt; AgentDecisionRecords.ReviewedAt</v>
      </c>
      <c r="C450" s="2" t="s">
        <v>9706</v>
      </c>
      <c r="D450" s="2" t="s">
        <v>4945</v>
      </c>
      <c r="E450" s="2" t="b">
        <v>1</v>
      </c>
      <c r="F450" s="2" t="b">
        <v>0</v>
      </c>
      <c r="G450" s="2" t="s">
        <v>9937</v>
      </c>
      <c r="H450" s="3" t="str">
        <f>_xlfn.IFNA(INDEX(RulebookFields!C2:C999, MATCH(D450,RulebookFields!A2:A999, 0)), "")</f>
      </c>
      <c r="I450" s="3" t="str">
        <f>_xlfn.IFNA(INDEX(RulebookFields!D2:D999, MATCH(D450,RulebookFields!A2:A999, 0)), "")</f>
      </c>
      <c r="J450" s="3" t="str">
        <f>_xlfn.IFNA(INDEX(RulebookFields!I2:I999, MATCH(D450,RulebookFields!A2:A999, 0)), "")</f>
      </c>
      <c r="K450" s="3" t="b">
        <f>AND(F450, J450)</f>
        <v>0</v>
      </c>
      <c r="L450" s="3" t="b">
        <f>AND(G450 &lt;&gt; "plain", G450 &lt;&gt; "")</f>
        <v>0</v>
      </c>
      <c r="M450" s="3" t="str">
        <f>IF(E450, C450 &amp; "|" &amp; H450, "")</f>
        <v>principal-process-steward|</v>
      </c>
      <c r="N450" s="2" t="s">
        <v>9938</v>
      </c>
    </row>
    <row r="451">
      <c r="A451" s="2" t="s">
        <v>10387</v>
      </c>
      <c r="B451" s="3" t="str">
        <f>C451 &amp; " -&gt; " &amp; D451</f>
        <v>principal-process-steward -&gt; AgentDecisionRecords.WasOverridden</v>
      </c>
      <c r="C451" s="2" t="s">
        <v>9706</v>
      </c>
      <c r="D451" s="2" t="s">
        <v>4946</v>
      </c>
      <c r="E451" s="2" t="b">
        <v>1</v>
      </c>
      <c r="F451" s="2" t="b">
        <v>0</v>
      </c>
      <c r="G451" s="2" t="s">
        <v>9937</v>
      </c>
      <c r="H451" s="3" t="str">
        <f>_xlfn.IFNA(INDEX(RulebookFields!C2:C999, MATCH(D451,RulebookFields!A2:A999, 0)), "")</f>
      </c>
      <c r="I451" s="3" t="str">
        <f>_xlfn.IFNA(INDEX(RulebookFields!D2:D999, MATCH(D451,RulebookFields!A2:A999, 0)), "")</f>
      </c>
      <c r="J451" s="3" t="str">
        <f>_xlfn.IFNA(INDEX(RulebookFields!I2:I999, MATCH(D451,RulebookFields!A2:A999, 0)), "")</f>
      </c>
      <c r="K451" s="3" t="b">
        <f>AND(F451, J451)</f>
        <v>0</v>
      </c>
      <c r="L451" s="3" t="b">
        <f>AND(G451 &lt;&gt; "plain", G451 &lt;&gt; "")</f>
        <v>0</v>
      </c>
      <c r="M451" s="3" t="str">
        <f>IF(E451, C451 &amp; "|" &amp; H451, "")</f>
        <v>principal-process-steward|</v>
      </c>
      <c r="N451" s="2" t="s">
        <v>9938</v>
      </c>
    </row>
    <row r="452">
      <c r="A452" s="2" t="s">
        <v>10388</v>
      </c>
      <c r="B452" s="3" t="str">
        <f>C452 &amp; " -&gt; " &amp; D452</f>
        <v>principal-process-steward -&gt; AgentDecisionRecords.WasReviewed</v>
      </c>
      <c r="C452" s="2" t="s">
        <v>9706</v>
      </c>
      <c r="D452" s="2" t="s">
        <v>4949</v>
      </c>
      <c r="E452" s="2" t="b">
        <v>1</v>
      </c>
      <c r="F452" s="2" t="b">
        <v>0</v>
      </c>
      <c r="G452" s="2" t="s">
        <v>9937</v>
      </c>
      <c r="H452" s="3" t="str">
        <f>_xlfn.IFNA(INDEX(RulebookFields!C2:C999, MATCH(D452,RulebookFields!A2:A999, 0)), "")</f>
      </c>
      <c r="I452" s="3" t="str">
        <f>_xlfn.IFNA(INDEX(RulebookFields!D2:D999, MATCH(D452,RulebookFields!A2:A999, 0)), "")</f>
      </c>
      <c r="J452" s="3" t="str">
        <f>_xlfn.IFNA(INDEX(RulebookFields!I2:I999, MATCH(D452,RulebookFields!A2:A999, 0)), "")</f>
      </c>
      <c r="K452" s="3" t="b">
        <f>AND(F452, J452)</f>
        <v>0</v>
      </c>
      <c r="L452" s="3" t="b">
        <f>AND(G452 &lt;&gt; "plain", G452 &lt;&gt; "")</f>
        <v>0</v>
      </c>
      <c r="M452" s="3" t="str">
        <f>IF(E452, C452 &amp; "|" &amp; H452, "")</f>
        <v>principal-process-steward|</v>
      </c>
      <c r="N452" s="2" t="s">
        <v>9938</v>
      </c>
    </row>
    <row r="453">
      <c r="A453" s="2" t="s">
        <v>10389</v>
      </c>
      <c r="B453" s="3" t="str">
        <f>C453 &amp; " -&gt; " &amp; D453</f>
        <v>principal-process-steward -&gt; AgentDecisionRecords.DecidingAgentKind</v>
      </c>
      <c r="C453" s="2" t="s">
        <v>9706</v>
      </c>
      <c r="D453" s="2" t="s">
        <v>4952</v>
      </c>
      <c r="E453" s="2" t="b">
        <v>1</v>
      </c>
      <c r="F453" s="2" t="b">
        <v>0</v>
      </c>
      <c r="G453" s="2" t="s">
        <v>9937</v>
      </c>
      <c r="H453" s="3" t="str">
        <f>_xlfn.IFNA(INDEX(RulebookFields!C2:C999, MATCH(D453,RulebookFields!A2:A999, 0)), "")</f>
      </c>
      <c r="I453" s="3" t="str">
        <f>_xlfn.IFNA(INDEX(RulebookFields!D2:D999, MATCH(D453,RulebookFields!A2:A999, 0)), "")</f>
      </c>
      <c r="J453" s="3" t="str">
        <f>_xlfn.IFNA(INDEX(RulebookFields!I2:I999, MATCH(D453,RulebookFields!A2:A999, 0)), "")</f>
      </c>
      <c r="K453" s="3" t="b">
        <f>AND(F453, J453)</f>
        <v>0</v>
      </c>
      <c r="L453" s="3" t="b">
        <f>AND(G453 &lt;&gt; "plain", G453 &lt;&gt; "")</f>
        <v>0</v>
      </c>
      <c r="M453" s="3" t="str">
        <f>IF(E453, C453 &amp; "|" &amp; H453, "")</f>
        <v>principal-process-steward|</v>
      </c>
      <c r="N453" s="2" t="s">
        <v>9938</v>
      </c>
    </row>
    <row r="454">
      <c r="A454" s="2" t="s">
        <v>10390</v>
      </c>
      <c r="B454" s="3" t="str">
        <f>C454 &amp; " -&gt; " &amp; D454</f>
        <v>principal-process-steward -&gt; AgentDecisionRecords.DecidingAgentWhenOverridden</v>
      </c>
      <c r="C454" s="2" t="s">
        <v>9706</v>
      </c>
      <c r="D454" s="2" t="s">
        <v>4955</v>
      </c>
      <c r="E454" s="2" t="b">
        <v>1</v>
      </c>
      <c r="F454" s="2" t="b">
        <v>0</v>
      </c>
      <c r="G454" s="2" t="s">
        <v>9937</v>
      </c>
      <c r="H454" s="3" t="str">
        <f>_xlfn.IFNA(INDEX(RulebookFields!C2:C999, MATCH(D454,RulebookFields!A2:A999, 0)), "")</f>
      </c>
      <c r="I454" s="3" t="str">
        <f>_xlfn.IFNA(INDEX(RulebookFields!D2:D999, MATCH(D454,RulebookFields!A2:A999, 0)), "")</f>
      </c>
      <c r="J454" s="3" t="str">
        <f>_xlfn.IFNA(INDEX(RulebookFields!I2:I999, MATCH(D454,RulebookFields!A2:A999, 0)), "")</f>
      </c>
      <c r="K454" s="3" t="b">
        <f>AND(F454, J454)</f>
        <v>0</v>
      </c>
      <c r="L454" s="3" t="b">
        <f>AND(G454 &lt;&gt; "plain", G454 &lt;&gt; "")</f>
        <v>0</v>
      </c>
      <c r="M454" s="3" t="str">
        <f>IF(E454, C454 &amp; "|" &amp; H454, "")</f>
        <v>principal-process-steward|</v>
      </c>
      <c r="N454" s="2" t="s">
        <v>9938</v>
      </c>
    </row>
    <row r="455">
      <c r="A455" s="2" t="s">
        <v>10391</v>
      </c>
      <c r="B455" s="3" t="str">
        <f>C455 &amp; " -&gt; " &amp; D455</f>
        <v>principal-process-steward -&gt; AgentDecisionRecords.UnderRoleAssignment</v>
      </c>
      <c r="C455" s="2" t="s">
        <v>9706</v>
      </c>
      <c r="D455" s="2" t="s">
        <v>4958</v>
      </c>
      <c r="E455" s="2" t="b">
        <v>1</v>
      </c>
      <c r="F455" s="2" t="b">
        <v>0</v>
      </c>
      <c r="G455" s="2" t="s">
        <v>9937</v>
      </c>
      <c r="H455" s="3" t="str">
        <f>_xlfn.IFNA(INDEX(RulebookFields!C2:C999, MATCH(D455,RulebookFields!A2:A999, 0)), "")</f>
      </c>
      <c r="I455" s="3" t="str">
        <f>_xlfn.IFNA(INDEX(RulebookFields!D2:D999, MATCH(D455,RulebookFields!A2:A999, 0)), "")</f>
      </c>
      <c r="J455" s="3" t="str">
        <f>_xlfn.IFNA(INDEX(RulebookFields!I2:I999, MATCH(D455,RulebookFields!A2:A999, 0)), "")</f>
      </c>
      <c r="K455" s="3" t="b">
        <f>AND(F455, J455)</f>
        <v>0</v>
      </c>
      <c r="L455" s="3" t="b">
        <f>AND(G455 &lt;&gt; "plain", G455 &lt;&gt; "")</f>
        <v>0</v>
      </c>
      <c r="M455" s="3" t="str">
        <f>IF(E455, C455 &amp; "|" &amp; H455, "")</f>
        <v>principal-process-steward|</v>
      </c>
      <c r="N455" s="2" t="s">
        <v>9938</v>
      </c>
    </row>
    <row r="456">
      <c r="A456" s="2" t="s">
        <v>10392</v>
      </c>
      <c r="B456" s="3" t="str">
        <f>C456 &amp; " -&gt; " &amp; D456</f>
        <v>principal-process-steward -&gt; AgentDecisionRecords.RoleAssignmentWhenScored</v>
      </c>
      <c r="C456" s="2" t="s">
        <v>9706</v>
      </c>
      <c r="D456" s="2" t="s">
        <v>4960</v>
      </c>
      <c r="E456" s="2" t="b">
        <v>1</v>
      </c>
      <c r="F456" s="2" t="b">
        <v>0</v>
      </c>
      <c r="G456" s="2" t="s">
        <v>9937</v>
      </c>
      <c r="H456" s="3" t="str">
        <f>_xlfn.IFNA(INDEX(RulebookFields!C2:C999, MATCH(D456,RulebookFields!A2:A999, 0)), "")</f>
      </c>
      <c r="I456" s="3" t="str">
        <f>_xlfn.IFNA(INDEX(RulebookFields!D2:D999, MATCH(D456,RulebookFields!A2:A999, 0)), "")</f>
      </c>
      <c r="J456" s="3" t="str">
        <f>_xlfn.IFNA(INDEX(RulebookFields!I2:I999, MATCH(D456,RulebookFields!A2:A999, 0)), "")</f>
      </c>
      <c r="K456" s="3" t="b">
        <f>AND(F456, J456)</f>
        <v>0</v>
      </c>
      <c r="L456" s="3" t="b">
        <f>AND(G456 &lt;&gt; "plain", G456 &lt;&gt; "")</f>
        <v>0</v>
      </c>
      <c r="M456" s="3" t="str">
        <f>IF(E456, C456 &amp; "|" &amp; H456, "")</f>
        <v>principal-process-steward|</v>
      </c>
      <c r="N456" s="2" t="s">
        <v>9938</v>
      </c>
    </row>
    <row r="457">
      <c r="A457" s="2" t="s">
        <v>10393</v>
      </c>
      <c r="B457" s="3" t="str">
        <f>C457 &amp; " -&gt; " &amp; D457</f>
        <v>principal-process-steward -&gt; AgentDecisionRecords.RoleAssignmentWhenOverridden</v>
      </c>
      <c r="C457" s="2" t="s">
        <v>9706</v>
      </c>
      <c r="D457" s="2" t="s">
        <v>4963</v>
      </c>
      <c r="E457" s="2" t="b">
        <v>1</v>
      </c>
      <c r="F457" s="2" t="b">
        <v>0</v>
      </c>
      <c r="G457" s="2" t="s">
        <v>9937</v>
      </c>
      <c r="H457" s="3" t="str">
        <f>_xlfn.IFNA(INDEX(RulebookFields!C2:C999, MATCH(D457,RulebookFields!A2:A999, 0)), "")</f>
      </c>
      <c r="I457" s="3" t="str">
        <f>_xlfn.IFNA(INDEX(RulebookFields!D2:D999, MATCH(D457,RulebookFields!A2:A999, 0)), "")</f>
      </c>
      <c r="J457" s="3" t="str">
        <f>_xlfn.IFNA(INDEX(RulebookFields!I2:I999, MATCH(D457,RulebookFields!A2:A999, 0)), "")</f>
      </c>
      <c r="K457" s="3" t="b">
        <f>AND(F457, J457)</f>
        <v>0</v>
      </c>
      <c r="L457" s="3" t="b">
        <f>AND(G457 &lt;&gt; "plain", G457 &lt;&gt; "")</f>
        <v>0</v>
      </c>
      <c r="M457" s="3" t="str">
        <f>IF(E457, C457 &amp; "|" &amp; H457, "")</f>
        <v>principal-process-steward|</v>
      </c>
      <c r="N457" s="2" t="s">
        <v>9938</v>
      </c>
    </row>
    <row r="458">
      <c r="A458" s="2" t="s">
        <v>10394</v>
      </c>
      <c r="B458" s="3" t="str">
        <f>C458 &amp; " -&gt; " &amp; D458</f>
        <v>principal-process-steward -&gt; AgentDecisionRecords.StepOfDecision</v>
      </c>
      <c r="C458" s="2" t="s">
        <v>9706</v>
      </c>
      <c r="D458" s="2" t="s">
        <v>4966</v>
      </c>
      <c r="E458" s="2" t="b">
        <v>1</v>
      </c>
      <c r="F458" s="2" t="b">
        <v>0</v>
      </c>
      <c r="G458" s="2" t="s">
        <v>9937</v>
      </c>
      <c r="H458" s="3" t="str">
        <f>_xlfn.IFNA(INDEX(RulebookFields!C2:C999, MATCH(D458,RulebookFields!A2:A999, 0)), "")</f>
      </c>
      <c r="I458" s="3" t="str">
        <f>_xlfn.IFNA(INDEX(RulebookFields!D2:D999, MATCH(D458,RulebookFields!A2:A999, 0)), "")</f>
      </c>
      <c r="J458" s="3" t="str">
        <f>_xlfn.IFNA(INDEX(RulebookFields!I2:I999, MATCH(D458,RulebookFields!A2:A999, 0)), "")</f>
      </c>
      <c r="K458" s="3" t="b">
        <f>AND(F458, J458)</f>
        <v>0</v>
      </c>
      <c r="L458" s="3" t="b">
        <f>AND(G458 &lt;&gt; "plain", G458 &lt;&gt; "")</f>
        <v>0</v>
      </c>
      <c r="M458" s="3" t="str">
        <f>IF(E458, C458 &amp; "|" &amp; H458, "")</f>
        <v>principal-process-steward|</v>
      </c>
      <c r="N458" s="2" t="s">
        <v>9938</v>
      </c>
    </row>
    <row r="459">
      <c r="A459" s="2" t="s">
        <v>10395</v>
      </c>
      <c r="B459" s="3" t="str">
        <f>C459 &amp; " -&gt; " &amp; D459</f>
        <v>principal-process-steward -&gt; AgentDecisionRecords.BoundaryMatchKey</v>
      </c>
      <c r="C459" s="2" t="s">
        <v>9706</v>
      </c>
      <c r="D459" s="2" t="s">
        <v>4968</v>
      </c>
      <c r="E459" s="2" t="b">
        <v>1</v>
      </c>
      <c r="F459" s="2" t="b">
        <v>0</v>
      </c>
      <c r="G459" s="2" t="s">
        <v>9937</v>
      </c>
      <c r="H459" s="3" t="str">
        <f>_xlfn.IFNA(INDEX(RulebookFields!C2:C999, MATCH(D459,RulebookFields!A2:A999, 0)), "")</f>
      </c>
      <c r="I459" s="3" t="str">
        <f>_xlfn.IFNA(INDEX(RulebookFields!D2:D999, MATCH(D459,RulebookFields!A2:A999, 0)), "")</f>
      </c>
      <c r="J459" s="3" t="str">
        <f>_xlfn.IFNA(INDEX(RulebookFields!I2:I999, MATCH(D459,RulebookFields!A2:A999, 0)), "")</f>
      </c>
      <c r="K459" s="3" t="b">
        <f>AND(F459, J459)</f>
        <v>0</v>
      </c>
      <c r="L459" s="3" t="b">
        <f>AND(G459 &lt;&gt; "plain", G459 &lt;&gt; "")</f>
        <v>0</v>
      </c>
      <c r="M459" s="3" t="str">
        <f>IF(E459, C459 &amp; "|" &amp; H459, "")</f>
        <v>principal-process-steward|</v>
      </c>
      <c r="N459" s="2" t="s">
        <v>9938</v>
      </c>
    </row>
    <row r="460">
      <c r="A460" s="2" t="s">
        <v>10396</v>
      </c>
      <c r="B460" s="3" t="str">
        <f>C460 &amp; " -&gt; " &amp; D460</f>
        <v>principal-process-steward -&gt; AgentDecisionRecords.MatchingBoundaryCount</v>
      </c>
      <c r="C460" s="2" t="s">
        <v>9706</v>
      </c>
      <c r="D460" s="2" t="s">
        <v>4971</v>
      </c>
      <c r="E460" s="2" t="b">
        <v>1</v>
      </c>
      <c r="F460" s="2" t="b">
        <v>0</v>
      </c>
      <c r="G460" s="2" t="s">
        <v>9937</v>
      </c>
      <c r="H460" s="3" t="str">
        <f>_xlfn.IFNA(INDEX(RulebookFields!C2:C999, MATCH(D460,RulebookFields!A2:A999, 0)), "")</f>
      </c>
      <c r="I460" s="3" t="str">
        <f>_xlfn.IFNA(INDEX(RulebookFields!D2:D999, MATCH(D460,RulebookFields!A2:A999, 0)), "")</f>
      </c>
      <c r="J460" s="3" t="str">
        <f>_xlfn.IFNA(INDEX(RulebookFields!I2:I999, MATCH(D460,RulebookFields!A2:A999, 0)), "")</f>
      </c>
      <c r="K460" s="3" t="b">
        <f>AND(F460, J460)</f>
        <v>0</v>
      </c>
      <c r="L460" s="3" t="b">
        <f>AND(G460 &lt;&gt; "plain", G460 &lt;&gt; "")</f>
        <v>0</v>
      </c>
      <c r="M460" s="3" t="str">
        <f>IF(E460, C460 &amp; "|" &amp; H460, "")</f>
        <v>principal-process-steward|</v>
      </c>
      <c r="N460" s="2" t="s">
        <v>9938</v>
      </c>
    </row>
    <row r="461">
      <c r="A461" s="2" t="s">
        <v>10397</v>
      </c>
      <c r="B461" s="3" t="str">
        <f>C461 &amp; " -&gt; " &amp; D461</f>
        <v>principal-process-steward -&gt; AgentDecisionRecords.ViolatedAuthorityBoundary</v>
      </c>
      <c r="C461" s="2" t="s">
        <v>9706</v>
      </c>
      <c r="D461" s="2" t="s">
        <v>4974</v>
      </c>
      <c r="E461" s="2" t="b">
        <v>1</v>
      </c>
      <c r="F461" s="2" t="b">
        <v>0</v>
      </c>
      <c r="G461" s="2" t="s">
        <v>9937</v>
      </c>
      <c r="H461" s="3" t="str">
        <f>_xlfn.IFNA(INDEX(RulebookFields!C2:C999, MATCH(D461,RulebookFields!A2:A999, 0)), "")</f>
      </c>
      <c r="I461" s="3" t="str">
        <f>_xlfn.IFNA(INDEX(RulebookFields!D2:D999, MATCH(D461,RulebookFields!A2:A999, 0)), "")</f>
      </c>
      <c r="J461" s="3" t="str">
        <f>_xlfn.IFNA(INDEX(RulebookFields!I2:I999, MATCH(D461,RulebookFields!A2:A999, 0)), "")</f>
      </c>
      <c r="K461" s="3" t="b">
        <f>AND(F461, J461)</f>
        <v>0</v>
      </c>
      <c r="L461" s="3" t="b">
        <f>AND(G461 &lt;&gt; "plain", G461 &lt;&gt; "")</f>
        <v>0</v>
      </c>
      <c r="M461" s="3" t="str">
        <f>IF(E461, C461 &amp; "|" &amp; H461, "")</f>
        <v>principal-process-steward|</v>
      </c>
      <c r="N461" s="2" t="s">
        <v>9938</v>
      </c>
    </row>
    <row r="462">
      <c r="A462" s="2" t="s">
        <v>10398</v>
      </c>
      <c r="B462" s="3" t="str">
        <f>C462 &amp; " -&gt; " &amp; D462</f>
        <v>principal-process-steward -&gt; AgentDecisionRecords.ReviewerAgentKind</v>
      </c>
      <c r="C462" s="2" t="s">
        <v>9706</v>
      </c>
      <c r="D462" s="2" t="s">
        <v>4977</v>
      </c>
      <c r="E462" s="2" t="b">
        <v>1</v>
      </c>
      <c r="F462" s="2" t="b">
        <v>0</v>
      </c>
      <c r="G462" s="2" t="s">
        <v>9937</v>
      </c>
      <c r="H462" s="3" t="str">
        <f>_xlfn.IFNA(INDEX(RulebookFields!C2:C999, MATCH(D462,RulebookFields!A2:A999, 0)), "")</f>
      </c>
      <c r="I462" s="3" t="str">
        <f>_xlfn.IFNA(INDEX(RulebookFields!D2:D999, MATCH(D462,RulebookFields!A2:A999, 0)), "")</f>
      </c>
      <c r="J462" s="3" t="str">
        <f>_xlfn.IFNA(INDEX(RulebookFields!I2:I999, MATCH(D462,RulebookFields!A2:A999, 0)), "")</f>
      </c>
      <c r="K462" s="3" t="b">
        <f>AND(F462, J462)</f>
        <v>0</v>
      </c>
      <c r="L462" s="3" t="b">
        <f>AND(G462 &lt;&gt; "plain", G462 &lt;&gt; "")</f>
        <v>0</v>
      </c>
      <c r="M462" s="3" t="str">
        <f>IF(E462, C462 &amp; "|" &amp; H462, "")</f>
        <v>principal-process-steward|</v>
      </c>
      <c r="N462" s="2" t="s">
        <v>9938</v>
      </c>
    </row>
    <row r="463">
      <c r="A463" s="2" t="s">
        <v>10399</v>
      </c>
      <c r="B463" s="3" t="str">
        <f>C463 &amp; " -&gt; " &amp; D463</f>
        <v>principal-process-steward -&gt; AgentDecisionRecords.HasHumanConfirmation</v>
      </c>
      <c r="C463" s="2" t="s">
        <v>9706</v>
      </c>
      <c r="D463" s="2" t="s">
        <v>4980</v>
      </c>
      <c r="E463" s="2" t="b">
        <v>1</v>
      </c>
      <c r="F463" s="2" t="b">
        <v>0</v>
      </c>
      <c r="G463" s="2" t="s">
        <v>9937</v>
      </c>
      <c r="H463" s="3" t="str">
        <f>_xlfn.IFNA(INDEX(RulebookFields!C2:C999, MATCH(D463,RulebookFields!A2:A999, 0)), "")</f>
      </c>
      <c r="I463" s="3" t="str">
        <f>_xlfn.IFNA(INDEX(RulebookFields!D2:D999, MATCH(D463,RulebookFields!A2:A999, 0)), "")</f>
      </c>
      <c r="J463" s="3" t="str">
        <f>_xlfn.IFNA(INDEX(RulebookFields!I2:I999, MATCH(D463,RulebookFields!A2:A999, 0)), "")</f>
      </c>
      <c r="K463" s="3" t="b">
        <f>AND(F463, J463)</f>
        <v>0</v>
      </c>
      <c r="L463" s="3" t="b">
        <f>AND(G463 &lt;&gt; "plain", G463 &lt;&gt; "")</f>
        <v>0</v>
      </c>
      <c r="M463" s="3" t="str">
        <f>IF(E463, C463 &amp; "|" &amp; H463, "")</f>
        <v>principal-process-steward|</v>
      </c>
      <c r="N463" s="2" t="s">
        <v>9938</v>
      </c>
    </row>
    <row r="464">
      <c r="A464" s="2" t="s">
        <v>10400</v>
      </c>
      <c r="B464" s="3" t="str">
        <f>C464 &amp; " -&gt; " &amp; D464</f>
        <v>principal-process-steward -&gt; AgentDecisionRecords.NeedsHumanConfirmation</v>
      </c>
      <c r="C464" s="2" t="s">
        <v>9706</v>
      </c>
      <c r="D464" s="2" t="s">
        <v>4983</v>
      </c>
      <c r="E464" s="2" t="b">
        <v>1</v>
      </c>
      <c r="F464" s="2" t="b">
        <v>0</v>
      </c>
      <c r="G464" s="2" t="s">
        <v>9937</v>
      </c>
      <c r="H464" s="3" t="str">
        <f>_xlfn.IFNA(INDEX(RulebookFields!C2:C999, MATCH(D464,RulebookFields!A2:A999, 0)), "")</f>
      </c>
      <c r="I464" s="3" t="str">
        <f>_xlfn.IFNA(INDEX(RulebookFields!D2:D999, MATCH(D464,RulebookFields!A2:A999, 0)), "")</f>
      </c>
      <c r="J464" s="3" t="str">
        <f>_xlfn.IFNA(INDEX(RulebookFields!I2:I999, MATCH(D464,RulebookFields!A2:A999, 0)), "")</f>
      </c>
      <c r="K464" s="3" t="b">
        <f>AND(F464, J464)</f>
        <v>0</v>
      </c>
      <c r="L464" s="3" t="b">
        <f>AND(G464 &lt;&gt; "plain", G464 &lt;&gt; "")</f>
        <v>0</v>
      </c>
      <c r="M464" s="3" t="str">
        <f>IF(E464, C464 &amp; "|" &amp; H464, "")</f>
        <v>principal-process-steward|</v>
      </c>
      <c r="N464" s="2" t="s">
        <v>9938</v>
      </c>
    </row>
    <row r="465">
      <c r="A465" s="2" t="s">
        <v>10401</v>
      </c>
      <c r="B465" s="3" t="str">
        <f>C465 &amp; " -&gt; " &amp; D465</f>
        <v>principal-process-steward -&gt; AgentDecisionRecords.IsUnconfirmedNonHumanDecision</v>
      </c>
      <c r="C465" s="2" t="s">
        <v>9706</v>
      </c>
      <c r="D465" s="2" t="s">
        <v>4986</v>
      </c>
      <c r="E465" s="2" t="b">
        <v>1</v>
      </c>
      <c r="F465" s="2" t="b">
        <v>0</v>
      </c>
      <c r="G465" s="2" t="s">
        <v>9937</v>
      </c>
      <c r="H465" s="3" t="str">
        <f>_xlfn.IFNA(INDEX(RulebookFields!C2:C999, MATCH(D465,RulebookFields!A2:A999, 0)), "")</f>
      </c>
      <c r="I465" s="3" t="str">
        <f>_xlfn.IFNA(INDEX(RulebookFields!D2:D999, MATCH(D465,RulebookFields!A2:A999, 0)), "")</f>
      </c>
      <c r="J465" s="3" t="str">
        <f>_xlfn.IFNA(INDEX(RulebookFields!I2:I999, MATCH(D465,RulebookFields!A2:A999, 0)), "")</f>
      </c>
      <c r="K465" s="3" t="b">
        <f>AND(F465, J465)</f>
        <v>0</v>
      </c>
      <c r="L465" s="3" t="b">
        <f>AND(G465 &lt;&gt; "plain", G465 &lt;&gt; "")</f>
        <v>0</v>
      </c>
      <c r="M465" s="3" t="str">
        <f>IF(E465, C465 &amp; "|" &amp; H465, "")</f>
        <v>principal-process-steward|</v>
      </c>
      <c r="N465" s="2" t="s">
        <v>9938</v>
      </c>
    </row>
    <row r="466">
      <c r="A466" s="2" t="s">
        <v>10402</v>
      </c>
      <c r="B466" s="3" t="str">
        <f>C466 &amp; " -&gt; " &amp; D466</f>
        <v>principal-process-steward -&gt; AgentDecisionRecords.StepExecutionWhenUnconfirmed</v>
      </c>
      <c r="C466" s="2" t="s">
        <v>9706</v>
      </c>
      <c r="D466" s="2" t="s">
        <v>4989</v>
      </c>
      <c r="E466" s="2" t="b">
        <v>1</v>
      </c>
      <c r="F466" s="2" t="b">
        <v>0</v>
      </c>
      <c r="G466" s="2" t="s">
        <v>9937</v>
      </c>
      <c r="H466" s="3" t="str">
        <f>_xlfn.IFNA(INDEX(RulebookFields!C2:C999, MATCH(D466,RulebookFields!A2:A999, 0)), "")</f>
      </c>
      <c r="I466" s="3" t="str">
        <f>_xlfn.IFNA(INDEX(RulebookFields!D2:D999, MATCH(D466,RulebookFields!A2:A999, 0)), "")</f>
      </c>
      <c r="J466" s="3" t="str">
        <f>_xlfn.IFNA(INDEX(RulebookFields!I2:I999, MATCH(D466,RulebookFields!A2:A999, 0)), "")</f>
      </c>
      <c r="K466" s="3" t="b">
        <f>AND(F466, J466)</f>
        <v>0</v>
      </c>
      <c r="L466" s="3" t="b">
        <f>AND(G466 &lt;&gt; "plain", G466 &lt;&gt; "")</f>
        <v>0</v>
      </c>
      <c r="M466" s="3" t="str">
        <f>IF(E466, C466 &amp; "|" &amp; H466, "")</f>
        <v>principal-process-steward|</v>
      </c>
      <c r="N466" s="2" t="s">
        <v>9938</v>
      </c>
    </row>
    <row r="467">
      <c r="A467" s="2" t="s">
        <v>10403</v>
      </c>
      <c r="B467" s="3" t="str">
        <f>C467 &amp; " -&gt; " &amp; D467</f>
        <v>principal-process-steward -&gt; AgentDecisionRecords.AgentWhenBoundaryViolated</v>
      </c>
      <c r="C467" s="2" t="s">
        <v>9706</v>
      </c>
      <c r="D467" s="2" t="s">
        <v>4992</v>
      </c>
      <c r="E467" s="2" t="b">
        <v>1</v>
      </c>
      <c r="F467" s="2" t="b">
        <v>0</v>
      </c>
      <c r="G467" s="2" t="s">
        <v>9937</v>
      </c>
      <c r="H467" s="3" t="str">
        <f>_xlfn.IFNA(INDEX(RulebookFields!C2:C999, MATCH(D467,RulebookFields!A2:A999, 0)), "")</f>
      </c>
      <c r="I467" s="3" t="str">
        <f>_xlfn.IFNA(INDEX(RulebookFields!D2:D999, MATCH(D467,RulebookFields!A2:A999, 0)), "")</f>
      </c>
      <c r="J467" s="3" t="str">
        <f>_xlfn.IFNA(INDEX(RulebookFields!I2:I999, MATCH(D467,RulebookFields!A2:A999, 0)), "")</f>
      </c>
      <c r="K467" s="3" t="b">
        <f>AND(F467, J467)</f>
        <v>0</v>
      </c>
      <c r="L467" s="3" t="b">
        <f>AND(G467 &lt;&gt; "plain", G467 &lt;&gt; "")</f>
        <v>0</v>
      </c>
      <c r="M467" s="3" t="str">
        <f>IF(E467, C467 &amp; "|" &amp; H467, "")</f>
        <v>principal-process-steward|</v>
      </c>
      <c r="N467" s="2" t="s">
        <v>9938</v>
      </c>
    </row>
    <row r="468">
      <c r="A468" s="2" t="s">
        <v>10404</v>
      </c>
      <c r="B468" s="3" t="str">
        <f>C468 &amp; " -&gt; " &amp; D468</f>
        <v>principal-process-steward -&gt; AgentDecisionRecords.ReviewLatencyMinutes</v>
      </c>
      <c r="C468" s="2" t="s">
        <v>9706</v>
      </c>
      <c r="D468" s="2" t="s">
        <v>4995</v>
      </c>
      <c r="E468" s="2" t="b">
        <v>1</v>
      </c>
      <c r="F468" s="2" t="b">
        <v>0</v>
      </c>
      <c r="G468" s="2" t="s">
        <v>9937</v>
      </c>
      <c r="H468" s="3" t="str">
        <f>_xlfn.IFNA(INDEX(RulebookFields!C2:C999, MATCH(D468,RulebookFields!A2:A999, 0)), "")</f>
      </c>
      <c r="I468" s="3" t="str">
        <f>_xlfn.IFNA(INDEX(RulebookFields!D2:D999, MATCH(D468,RulebookFields!A2:A999, 0)), "")</f>
      </c>
      <c r="J468" s="3" t="str">
        <f>_xlfn.IFNA(INDEX(RulebookFields!I2:I999, MATCH(D468,RulebookFields!A2:A999, 0)), "")</f>
      </c>
      <c r="K468" s="3" t="b">
        <f>AND(F468, J468)</f>
        <v>0</v>
      </c>
      <c r="L468" s="3" t="b">
        <f>AND(G468 &lt;&gt; "plain", G468 &lt;&gt; "")</f>
        <v>0</v>
      </c>
      <c r="M468" s="3" t="str">
        <f>IF(E468, C468 &amp; "|" &amp; H468, "")</f>
        <v>principal-process-steward|</v>
      </c>
      <c r="N468" s="2" t="s">
        <v>9938</v>
      </c>
    </row>
    <row r="469">
      <c r="A469" s="2" t="s">
        <v>10405</v>
      </c>
      <c r="B469" s="3" t="str">
        <f>C469 &amp; " -&gt; " &amp; D469</f>
        <v>principal-process-steward -&gt; AgentDecisionRecords.IsDraftKind</v>
      </c>
      <c r="C469" s="2" t="s">
        <v>9706</v>
      </c>
      <c r="D469" s="2" t="s">
        <v>4998</v>
      </c>
      <c r="E469" s="2" t="b">
        <v>1</v>
      </c>
      <c r="F469" s="2" t="b">
        <v>0</v>
      </c>
      <c r="G469" s="2" t="s">
        <v>9937</v>
      </c>
      <c r="H469" s="3" t="str">
        <f>_xlfn.IFNA(INDEX(RulebookFields!C2:C999, MATCH(D469,RulebookFields!A2:A999, 0)), "")</f>
      </c>
      <c r="I469" s="3" t="str">
        <f>_xlfn.IFNA(INDEX(RulebookFields!D2:D999, MATCH(D469,RulebookFields!A2:A999, 0)), "")</f>
      </c>
      <c r="J469" s="3" t="str">
        <f>_xlfn.IFNA(INDEX(RulebookFields!I2:I999, MATCH(D469,RulebookFields!A2:A999, 0)), "")</f>
      </c>
      <c r="K469" s="3" t="b">
        <f>AND(F469, J469)</f>
        <v>0</v>
      </c>
      <c r="L469" s="3" t="b">
        <f>AND(G469 &lt;&gt; "plain", G469 &lt;&gt; "")</f>
        <v>0</v>
      </c>
      <c r="M469" s="3" t="str">
        <f>IF(E469, C469 &amp; "|" &amp; H469, "")</f>
        <v>principal-process-steward|</v>
      </c>
      <c r="N469" s="2" t="s">
        <v>9938</v>
      </c>
    </row>
    <row r="470">
      <c r="A470" s="2" t="s">
        <v>10406</v>
      </c>
      <c r="B470" s="3" t="str">
        <f>C470 &amp; " -&gt; " &amp; D470</f>
        <v>principal-process-steward -&gt; AgentDecisionRecords.AgentWhenDraftOverridden</v>
      </c>
      <c r="C470" s="2" t="s">
        <v>9706</v>
      </c>
      <c r="D470" s="2" t="s">
        <v>5001</v>
      </c>
      <c r="E470" s="2" t="b">
        <v>1</v>
      </c>
      <c r="F470" s="2" t="b">
        <v>0</v>
      </c>
      <c r="G470" s="2" t="s">
        <v>9937</v>
      </c>
      <c r="H470" s="3" t="str">
        <f>_xlfn.IFNA(INDEX(RulebookFields!C2:C999, MATCH(D470,RulebookFields!A2:A999, 0)), "")</f>
      </c>
      <c r="I470" s="3" t="str">
        <f>_xlfn.IFNA(INDEX(RulebookFields!D2:D999, MATCH(D470,RulebookFields!A2:A999, 0)), "")</f>
      </c>
      <c r="J470" s="3" t="str">
        <f>_xlfn.IFNA(INDEX(RulebookFields!I2:I999, MATCH(D470,RulebookFields!A2:A999, 0)), "")</f>
      </c>
      <c r="K470" s="3" t="b">
        <f>AND(F470, J470)</f>
        <v>0</v>
      </c>
      <c r="L470" s="3" t="b">
        <f>AND(G470 &lt;&gt; "plain", G470 &lt;&gt; "")</f>
        <v>0</v>
      </c>
      <c r="M470" s="3" t="str">
        <f>IF(E470, C470 &amp; "|" &amp; H470, "")</f>
        <v>principal-process-steward|</v>
      </c>
      <c r="N470" s="2" t="s">
        <v>9938</v>
      </c>
    </row>
    <row r="471">
      <c r="A471" s="2" t="s">
        <v>10407</v>
      </c>
      <c r="B471" s="3" t="str">
        <f>C471 &amp; " -&gt; " &amp; D471</f>
        <v>principal-process-steward -&gt; AgentDecisionRecords.AgentWhenDraft</v>
      </c>
      <c r="C471" s="2" t="s">
        <v>9706</v>
      </c>
      <c r="D471" s="2" t="s">
        <v>5004</v>
      </c>
      <c r="E471" s="2" t="b">
        <v>1</v>
      </c>
      <c r="F471" s="2" t="b">
        <v>0</v>
      </c>
      <c r="G471" s="2" t="s">
        <v>9937</v>
      </c>
      <c r="H471" s="3" t="str">
        <f>_xlfn.IFNA(INDEX(RulebookFields!C2:C999, MATCH(D471,RulebookFields!A2:A999, 0)), "")</f>
      </c>
      <c r="I471" s="3" t="str">
        <f>_xlfn.IFNA(INDEX(RulebookFields!D2:D999, MATCH(D471,RulebookFields!A2:A999, 0)), "")</f>
      </c>
      <c r="J471" s="3" t="str">
        <f>_xlfn.IFNA(INDEX(RulebookFields!I2:I999, MATCH(D471,RulebookFields!A2:A999, 0)), "")</f>
      </c>
      <c r="K471" s="3" t="b">
        <f>AND(F471, J471)</f>
        <v>0</v>
      </c>
      <c r="L471" s="3" t="b">
        <f>AND(G471 &lt;&gt; "plain", G471 &lt;&gt; "")</f>
        <v>0</v>
      </c>
      <c r="M471" s="3" t="str">
        <f>IF(E471, C471 &amp; "|" &amp; H471, "")</f>
        <v>principal-process-steward|</v>
      </c>
      <c r="N471" s="2" t="s">
        <v>9938</v>
      </c>
    </row>
    <row r="472">
      <c r="A472" s="2" t="s">
        <v>10408</v>
      </c>
      <c r="B472" s="3" t="str">
        <f>C472 &amp; " -&gt; " &amp; D472</f>
        <v>principal-process-steward -&gt; AgentDecisionRecords.OverrideReasonKind</v>
      </c>
      <c r="C472" s="2" t="s">
        <v>9706</v>
      </c>
      <c r="D472" s="2" t="s">
        <v>5007</v>
      </c>
      <c r="E472" s="2" t="b">
        <v>1</v>
      </c>
      <c r="F472" s="2" t="b">
        <v>0</v>
      </c>
      <c r="G472" s="2" t="s">
        <v>9937</v>
      </c>
      <c r="H472" s="3" t="str">
        <f>_xlfn.IFNA(INDEX(RulebookFields!C2:C999, MATCH(D472,RulebookFields!A2:A999, 0)), "")</f>
      </c>
      <c r="I472" s="3" t="str">
        <f>_xlfn.IFNA(INDEX(RulebookFields!D2:D999, MATCH(D472,RulebookFields!A2:A999, 0)), "")</f>
      </c>
      <c r="J472" s="3" t="str">
        <f>_xlfn.IFNA(INDEX(RulebookFields!I2:I999, MATCH(D472,RulebookFields!A2:A999, 0)), "")</f>
      </c>
      <c r="K472" s="3" t="b">
        <f>AND(F472, J472)</f>
        <v>0</v>
      </c>
      <c r="L472" s="3" t="b">
        <f>AND(G472 &lt;&gt; "plain", G472 &lt;&gt; "")</f>
        <v>0</v>
      </c>
      <c r="M472" s="3" t="str">
        <f>IF(E472, C472 &amp; "|" &amp; H472, "")</f>
        <v>principal-process-steward|</v>
      </c>
      <c r="N472" s="2" t="s">
        <v>9938</v>
      </c>
    </row>
    <row r="473">
      <c r="A473" s="2" t="s">
        <v>10409</v>
      </c>
      <c r="B473" s="3" t="str">
        <f>C473 &amp; " -&gt; " &amp; D473</f>
        <v>principal-process-steward -&gt; AgentDecisionRecords.IsErrorCorrection</v>
      </c>
      <c r="C473" s="2" t="s">
        <v>9706</v>
      </c>
      <c r="D473" s="2" t="s">
        <v>5009</v>
      </c>
      <c r="E473" s="2" t="b">
        <v>1</v>
      </c>
      <c r="F473" s="2" t="b">
        <v>0</v>
      </c>
      <c r="G473" s="2" t="s">
        <v>9937</v>
      </c>
      <c r="H473" s="3" t="str">
        <f>_xlfn.IFNA(INDEX(RulebookFields!C2:C999, MATCH(D473,RulebookFields!A2:A999, 0)), "")</f>
      </c>
      <c r="I473" s="3" t="str">
        <f>_xlfn.IFNA(INDEX(RulebookFields!D2:D999, MATCH(D473,RulebookFields!A2:A999, 0)), "")</f>
      </c>
      <c r="J473" s="3" t="str">
        <f>_xlfn.IFNA(INDEX(RulebookFields!I2:I999, MATCH(D473,RulebookFields!A2:A999, 0)), "")</f>
      </c>
      <c r="K473" s="3" t="b">
        <f>AND(F473, J473)</f>
        <v>0</v>
      </c>
      <c r="L473" s="3" t="b">
        <f>AND(G473 &lt;&gt; "plain", G473 &lt;&gt; "")</f>
        <v>0</v>
      </c>
      <c r="M473" s="3" t="str">
        <f>IF(E473, C473 &amp; "|" &amp; H473, "")</f>
        <v>principal-process-steward|</v>
      </c>
      <c r="N473" s="2" t="s">
        <v>9938</v>
      </c>
    </row>
    <row r="474">
      <c r="A474" s="2" t="s">
        <v>10410</v>
      </c>
      <c r="B474" s="3" t="str">
        <f>C474 &amp; " -&gt; " &amp; D474</f>
        <v>principal-process-steward -&gt; AgentDecisionRecords.IsReservedJudgmentOverride</v>
      </c>
      <c r="C474" s="2" t="s">
        <v>9706</v>
      </c>
      <c r="D474" s="2" t="s">
        <v>5012</v>
      </c>
      <c r="E474" s="2" t="b">
        <v>1</v>
      </c>
      <c r="F474" s="2" t="b">
        <v>0</v>
      </c>
      <c r="G474" s="2" t="s">
        <v>9937</v>
      </c>
      <c r="H474" s="3" t="str">
        <f>_xlfn.IFNA(INDEX(RulebookFields!C2:C999, MATCH(D474,RulebookFields!A2:A999, 0)), "")</f>
      </c>
      <c r="I474" s="3" t="str">
        <f>_xlfn.IFNA(INDEX(RulebookFields!D2:D999, MATCH(D474,RulebookFields!A2:A999, 0)), "")</f>
      </c>
      <c r="J474" s="3" t="str">
        <f>_xlfn.IFNA(INDEX(RulebookFields!I2:I999, MATCH(D474,RulebookFields!A2:A999, 0)), "")</f>
      </c>
      <c r="K474" s="3" t="b">
        <f>AND(F474, J474)</f>
        <v>0</v>
      </c>
      <c r="L474" s="3" t="b">
        <f>AND(G474 &lt;&gt; "plain", G474 &lt;&gt; "")</f>
        <v>0</v>
      </c>
      <c r="M474" s="3" t="str">
        <f>IF(E474, C474 &amp; "|" &amp; H474, "")</f>
        <v>principal-process-steward|</v>
      </c>
      <c r="N474" s="2" t="s">
        <v>9938</v>
      </c>
    </row>
    <row r="475">
      <c r="A475" s="2" t="s">
        <v>10411</v>
      </c>
      <c r="B475" s="3" t="str">
        <f>C475 &amp; " -&gt; " &amp; D475</f>
        <v>principal-process-steward -&gt; AgentDecisionRecords.OverrideReasonIsRecorded</v>
      </c>
      <c r="C475" s="2" t="s">
        <v>9706</v>
      </c>
      <c r="D475" s="2" t="s">
        <v>5015</v>
      </c>
      <c r="E475" s="2" t="b">
        <v>1</v>
      </c>
      <c r="F475" s="2" t="b">
        <v>0</v>
      </c>
      <c r="G475" s="2" t="s">
        <v>9937</v>
      </c>
      <c r="H475" s="3" t="str">
        <f>_xlfn.IFNA(INDEX(RulebookFields!C2:C999, MATCH(D475,RulebookFields!A2:A999, 0)), "")</f>
      </c>
      <c r="I475" s="3" t="str">
        <f>_xlfn.IFNA(INDEX(RulebookFields!D2:D999, MATCH(D475,RulebookFields!A2:A999, 0)), "")</f>
      </c>
      <c r="J475" s="3" t="str">
        <f>_xlfn.IFNA(INDEX(RulebookFields!I2:I999, MATCH(D475,RulebookFields!A2:A999, 0)), "")</f>
      </c>
      <c r="K475" s="3" t="b">
        <f>AND(F475, J475)</f>
        <v>0</v>
      </c>
      <c r="L475" s="3" t="b">
        <f>AND(G475 &lt;&gt; "plain", G475 &lt;&gt; "")</f>
        <v>0</v>
      </c>
      <c r="M475" s="3" t="str">
        <f>IF(E475, C475 &amp; "|" &amp; H475, "")</f>
        <v>principal-process-steward|</v>
      </c>
      <c r="N475" s="2" t="s">
        <v>9938</v>
      </c>
    </row>
    <row r="476">
      <c r="A476" s="2" t="s">
        <v>10412</v>
      </c>
      <c r="B476" s="3" t="str">
        <f>C476 &amp; " -&gt; " &amp; D476</f>
        <v>principal-process-steward -&gt; AgentDecisionRecords.IsUnexplainedOverride</v>
      </c>
      <c r="C476" s="2" t="s">
        <v>9706</v>
      </c>
      <c r="D476" s="2" t="s">
        <v>5018</v>
      </c>
      <c r="E476" s="2" t="b">
        <v>1</v>
      </c>
      <c r="F476" s="2" t="b">
        <v>0</v>
      </c>
      <c r="G476" s="2" t="s">
        <v>9937</v>
      </c>
      <c r="H476" s="3" t="str">
        <f>_xlfn.IFNA(INDEX(RulebookFields!C2:C999, MATCH(D476,RulebookFields!A2:A999, 0)), "")</f>
      </c>
      <c r="I476" s="3" t="str">
        <f>_xlfn.IFNA(INDEX(RulebookFields!D2:D999, MATCH(D476,RulebookFields!A2:A999, 0)), "")</f>
      </c>
      <c r="J476" s="3" t="str">
        <f>_xlfn.IFNA(INDEX(RulebookFields!I2:I999, MATCH(D476,RulebookFields!A2:A999, 0)), "")</f>
      </c>
      <c r="K476" s="3" t="b">
        <f>AND(F476, J476)</f>
        <v>0</v>
      </c>
      <c r="L476" s="3" t="b">
        <f>AND(G476 &lt;&gt; "plain", G476 &lt;&gt; "")</f>
        <v>0</v>
      </c>
      <c r="M476" s="3" t="str">
        <f>IF(E476, C476 &amp; "|" &amp; H476, "")</f>
        <v>principal-process-steward|</v>
      </c>
      <c r="N476" s="2" t="s">
        <v>9938</v>
      </c>
    </row>
    <row r="477">
      <c r="A477" s="2" t="s">
        <v>10413</v>
      </c>
      <c r="B477" s="3" t="str">
        <f>C477 &amp; " -&gt; " &amp; D477</f>
        <v>principal-process-steward -&gt; AgentDecisionRecords.ErrorCorrectionRoleAssignmentKey</v>
      </c>
      <c r="C477" s="2" t="s">
        <v>9706</v>
      </c>
      <c r="D477" s="2" t="s">
        <v>5021</v>
      </c>
      <c r="E477" s="2" t="b">
        <v>1</v>
      </c>
      <c r="F477" s="2" t="b">
        <v>0</v>
      </c>
      <c r="G477" s="2" t="s">
        <v>9937</v>
      </c>
      <c r="H477" s="3" t="str">
        <f>_xlfn.IFNA(INDEX(RulebookFields!C2:C999, MATCH(D477,RulebookFields!A2:A999, 0)), "")</f>
      </c>
      <c r="I477" s="3" t="str">
        <f>_xlfn.IFNA(INDEX(RulebookFields!D2:D999, MATCH(D477,RulebookFields!A2:A999, 0)), "")</f>
      </c>
      <c r="J477" s="3" t="str">
        <f>_xlfn.IFNA(INDEX(RulebookFields!I2:I999, MATCH(D477,RulebookFields!A2:A999, 0)), "")</f>
      </c>
      <c r="K477" s="3" t="b">
        <f>AND(F477, J477)</f>
        <v>0</v>
      </c>
      <c r="L477" s="3" t="b">
        <f>AND(G477 &lt;&gt; "plain", G477 &lt;&gt; "")</f>
        <v>0</v>
      </c>
      <c r="M477" s="3" t="str">
        <f>IF(E477, C477 &amp; "|" &amp; H477, "")</f>
        <v>principal-process-steward|</v>
      </c>
      <c r="N477" s="2" t="s">
        <v>9938</v>
      </c>
    </row>
    <row r="478">
      <c r="A478" s="2" t="s">
        <v>10414</v>
      </c>
      <c r="B478" s="3" t="str">
        <f>C478 &amp; " -&gt; " &amp; D478</f>
        <v>principal-process-steward -&gt; AgentDecisionRecords.BoundaryViolationRoleAssignmentKey</v>
      </c>
      <c r="C478" s="2" t="s">
        <v>9706</v>
      </c>
      <c r="D478" s="2" t="s">
        <v>5024</v>
      </c>
      <c r="E478" s="2" t="b">
        <v>1</v>
      </c>
      <c r="F478" s="2" t="b">
        <v>0</v>
      </c>
      <c r="G478" s="2" t="s">
        <v>9937</v>
      </c>
      <c r="H478" s="3" t="str">
        <f>_xlfn.IFNA(INDEX(RulebookFields!C2:C999, MATCH(D478,RulebookFields!A2:A999, 0)), "")</f>
      </c>
      <c r="I478" s="3" t="str">
        <f>_xlfn.IFNA(INDEX(RulebookFields!D2:D999, MATCH(D478,RulebookFields!A2:A999, 0)), "")</f>
      </c>
      <c r="J478" s="3" t="str">
        <f>_xlfn.IFNA(INDEX(RulebookFields!I2:I999, MATCH(D478,RulebookFields!A2:A999, 0)), "")</f>
      </c>
      <c r="K478" s="3" t="b">
        <f>AND(F478, J478)</f>
        <v>0</v>
      </c>
      <c r="L478" s="3" t="b">
        <f>AND(G478 &lt;&gt; "plain", G478 &lt;&gt; "")</f>
        <v>0</v>
      </c>
      <c r="M478" s="3" t="str">
        <f>IF(E478, C478 &amp; "|" &amp; H478, "")</f>
        <v>principal-process-steward|</v>
      </c>
      <c r="N478" s="2" t="s">
        <v>9938</v>
      </c>
    </row>
    <row r="479">
      <c r="A479" s="2" t="s">
        <v>10415</v>
      </c>
      <c r="B479" s="3" t="str">
        <f>C479 &amp; " -&gt; " &amp; D479</f>
        <v>principal-process-steward -&gt; AgentDecisionRecords.SemanticTypeIri</v>
      </c>
      <c r="C479" s="2" t="s">
        <v>9706</v>
      </c>
      <c r="D479" s="2" t="s">
        <v>5027</v>
      </c>
      <c r="E479" s="2" t="b">
        <v>1</v>
      </c>
      <c r="F479" s="2" t="b">
        <v>0</v>
      </c>
      <c r="G479" s="2" t="s">
        <v>9937</v>
      </c>
      <c r="H479" s="3" t="str">
        <f>_xlfn.IFNA(INDEX(RulebookFields!C2:C999, MATCH(D479,RulebookFields!A2:A999, 0)), "")</f>
      </c>
      <c r="I479" s="3" t="str">
        <f>_xlfn.IFNA(INDEX(RulebookFields!D2:D999, MATCH(D479,RulebookFields!A2:A999, 0)), "")</f>
      </c>
      <c r="J479" s="3" t="str">
        <f>_xlfn.IFNA(INDEX(RulebookFields!I2:I999, MATCH(D479,RulebookFields!A2:A999, 0)), "")</f>
      </c>
      <c r="K479" s="3" t="b">
        <f>AND(F479, J479)</f>
        <v>0</v>
      </c>
      <c r="L479" s="3" t="b">
        <f>AND(G479 &lt;&gt; "plain", G479 &lt;&gt; "")</f>
        <v>0</v>
      </c>
      <c r="M479" s="3" t="str">
        <f>IF(E479, C479 &amp; "|" &amp; H479, "")</f>
        <v>principal-process-steward|</v>
      </c>
      <c r="N479" s="2" t="s">
        <v>9938</v>
      </c>
    </row>
    <row r="480">
      <c r="A480" s="2" t="s">
        <v>10416</v>
      </c>
      <c r="B480" s="3" t="str">
        <f>C480 &amp; " -&gt; " &amp; D480</f>
        <v>principal-process-steward -&gt; Agents.AgentId</v>
      </c>
      <c r="C480" s="2" t="s">
        <v>9706</v>
      </c>
      <c r="D480" s="2" t="s">
        <v>2429</v>
      </c>
      <c r="E480" s="2" t="b">
        <v>1</v>
      </c>
      <c r="F480" s="2" t="b">
        <v>0</v>
      </c>
      <c r="G480" s="2" t="s">
        <v>9937</v>
      </c>
      <c r="H480" s="3" t="str">
        <f>_xlfn.IFNA(INDEX(RulebookFields!C2:C999, MATCH(D480,RulebookFields!A2:A999, 0)), "")</f>
        <v>Agents</v>
      </c>
      <c r="I480" s="3" t="str">
        <f>_xlfn.IFNA(INDEX(RulebookFields!D2:D999, MATCH(D480,RulebookFields!A2:A999, 0)), "")</f>
        <v>AgentId</v>
      </c>
      <c r="J480" s="3" t="b">
        <f>_xlfn.IFNA(INDEX(RulebookFields!I2:I999, MATCH(D480,RulebookFields!A2:A999, 0)), "")</f>
        <v>0</v>
      </c>
      <c r="K480" s="3" t="b">
        <f>AND(F480, J480)</f>
        <v>0</v>
      </c>
      <c r="L480" s="3" t="b">
        <f>AND(G480 &lt;&gt; "plain", G480 &lt;&gt; "")</f>
        <v>0</v>
      </c>
      <c r="M480" s="3" t="str">
        <f>IF(E480, C480 &amp; "|" &amp; H480, "")</f>
        <v>principal-process-steward|Agents</v>
      </c>
      <c r="N480" s="2" t="s">
        <v>9938</v>
      </c>
    </row>
    <row r="481">
      <c r="A481" s="2" t="s">
        <v>10417</v>
      </c>
      <c r="B481" s="3" t="str">
        <f>C481 &amp; " -&gt; " &amp; D481</f>
        <v>principal-process-steward -&gt; Agents.Name</v>
      </c>
      <c r="C481" s="2" t="s">
        <v>9706</v>
      </c>
      <c r="D481" s="2" t="s">
        <v>2430</v>
      </c>
      <c r="E481" s="2" t="b">
        <v>1</v>
      </c>
      <c r="F481" s="2" t="b">
        <v>0</v>
      </c>
      <c r="G481" s="2" t="s">
        <v>9937</v>
      </c>
      <c r="H481" s="3" t="str">
        <f>_xlfn.IFNA(INDEX(RulebookFields!C2:C999, MATCH(D481,RulebookFields!A2:A999, 0)), "")</f>
        <v>Agents</v>
      </c>
      <c r="I481" s="3" t="str">
        <f>_xlfn.IFNA(INDEX(RulebookFields!D2:D999, MATCH(D481,RulebookFields!A2:A999, 0)), "")</f>
        <v>Name</v>
      </c>
      <c r="J481" s="3" t="b">
        <f>_xlfn.IFNA(INDEX(RulebookFields!I2:I999, MATCH(D481,RulebookFields!A2:A999, 0)), "")</f>
        <v>1</v>
      </c>
      <c r="K481" s="3" t="b">
        <f>AND(F481, J481)</f>
        <v>0</v>
      </c>
      <c r="L481" s="3" t="b">
        <f>AND(G481 &lt;&gt; "plain", G481 &lt;&gt; "")</f>
        <v>0</v>
      </c>
      <c r="M481" s="3" t="str">
        <f>IF(E481, C481 &amp; "|" &amp; H481, "")</f>
        <v>principal-process-steward|Agents</v>
      </c>
      <c r="N481" s="2" t="s">
        <v>9938</v>
      </c>
    </row>
    <row r="482">
      <c r="A482" s="2" t="s">
        <v>10418</v>
      </c>
      <c r="B482" s="3" t="str">
        <f>C482 &amp; " -&gt; " &amp; D482</f>
        <v>principal-process-steward -&gt; Agents.DisplayName</v>
      </c>
      <c r="C482" s="2" t="s">
        <v>9706</v>
      </c>
      <c r="D482" s="2" t="s">
        <v>2431</v>
      </c>
      <c r="E482" s="2" t="b">
        <v>1</v>
      </c>
      <c r="F482" s="2" t="b">
        <v>0</v>
      </c>
      <c r="G482" s="2" t="s">
        <v>9937</v>
      </c>
      <c r="H482" s="3" t="str">
        <f>_xlfn.IFNA(INDEX(RulebookFields!C2:C999, MATCH(D482,RulebookFields!A2:A999, 0)), "")</f>
        <v>Agents</v>
      </c>
      <c r="I482" s="3" t="str">
        <f>_xlfn.IFNA(INDEX(RulebookFields!D2:D999, MATCH(D482,RulebookFields!A2:A999, 0)), "")</f>
        <v>DisplayName</v>
      </c>
      <c r="J482" s="3" t="b">
        <f>_xlfn.IFNA(INDEX(RulebookFields!I2:I999, MATCH(D482,RulebookFields!A2:A999, 0)), "")</f>
        <v>0</v>
      </c>
      <c r="K482" s="3" t="b">
        <f>AND(F482, J482)</f>
        <v>0</v>
      </c>
      <c r="L482" s="3" t="b">
        <f>AND(G482 &lt;&gt; "plain", G482 &lt;&gt; "")</f>
        <v>0</v>
      </c>
      <c r="M482" s="3" t="str">
        <f>IF(E482, C482 &amp; "|" &amp; H482, "")</f>
        <v>principal-process-steward|Agents</v>
      </c>
      <c r="N482" s="2" t="s">
        <v>9938</v>
      </c>
    </row>
    <row r="483">
      <c r="A483" s="2" t="s">
        <v>10419</v>
      </c>
      <c r="B483" s="3" t="str">
        <f>C483 &amp; " -&gt; " &amp; D483</f>
        <v>principal-process-steward -&gt; Agents.AgentKind</v>
      </c>
      <c r="C483" s="2" t="s">
        <v>9706</v>
      </c>
      <c r="D483" s="2" t="s">
        <v>2432</v>
      </c>
      <c r="E483" s="2" t="b">
        <v>1</v>
      </c>
      <c r="F483" s="2" t="b">
        <v>0</v>
      </c>
      <c r="G483" s="2" t="s">
        <v>9937</v>
      </c>
      <c r="H483" s="3" t="str">
        <f>_xlfn.IFNA(INDEX(RulebookFields!C2:C999, MATCH(D483,RulebookFields!A2:A999, 0)), "")</f>
        <v>Agents</v>
      </c>
      <c r="I483" s="3" t="str">
        <f>_xlfn.IFNA(INDEX(RulebookFields!D2:D999, MATCH(D483,RulebookFields!A2:A999, 0)), "")</f>
        <v>AgentKind</v>
      </c>
      <c r="J483" s="3" t="b">
        <f>_xlfn.IFNA(INDEX(RulebookFields!I2:I999, MATCH(D483,RulebookFields!A2:A999, 0)), "")</f>
        <v>0</v>
      </c>
      <c r="K483" s="3" t="b">
        <f>AND(F483, J483)</f>
        <v>0</v>
      </c>
      <c r="L483" s="3" t="b">
        <f>AND(G483 &lt;&gt; "plain", G483 &lt;&gt; "")</f>
        <v>0</v>
      </c>
      <c r="M483" s="3" t="str">
        <f>IF(E483, C483 &amp; "|" &amp; H483, "")</f>
        <v>principal-process-steward|Agents</v>
      </c>
      <c r="N483" s="2" t="s">
        <v>9938</v>
      </c>
    </row>
    <row r="484">
      <c r="A484" s="2" t="s">
        <v>10420</v>
      </c>
      <c r="B484" s="3" t="str">
        <f>C484 &amp; " -&gt; " &amp; D484</f>
        <v>principal-process-steward -&gt; Agents.Organization</v>
      </c>
      <c r="C484" s="2" t="s">
        <v>9706</v>
      </c>
      <c r="D484" s="2" t="s">
        <v>2433</v>
      </c>
      <c r="E484" s="2" t="b">
        <v>1</v>
      </c>
      <c r="F484" s="2" t="b">
        <v>0</v>
      </c>
      <c r="G484" s="2" t="s">
        <v>9937</v>
      </c>
      <c r="H484" s="3" t="str">
        <f>_xlfn.IFNA(INDEX(RulebookFields!C2:C999, MATCH(D484,RulebookFields!A2:A999, 0)), "")</f>
        <v>Agents</v>
      </c>
      <c r="I484" s="3" t="str">
        <f>_xlfn.IFNA(INDEX(RulebookFields!D2:D999, MATCH(D484,RulebookFields!A2:A999, 0)), "")</f>
        <v>Organization</v>
      </c>
      <c r="J484" s="3" t="b">
        <f>_xlfn.IFNA(INDEX(RulebookFields!I2:I999, MATCH(D484,RulebookFields!A2:A999, 0)), "")</f>
        <v>0</v>
      </c>
      <c r="K484" s="3" t="b">
        <f>AND(F484, J484)</f>
        <v>0</v>
      </c>
      <c r="L484" s="3" t="b">
        <f>AND(G484 &lt;&gt; "plain", G484 &lt;&gt; "")</f>
        <v>0</v>
      </c>
      <c r="M484" s="3" t="str">
        <f>IF(E484, C484 &amp; "|" &amp; H484, "")</f>
        <v>principal-process-steward|Agents</v>
      </c>
      <c r="N484" s="2" t="s">
        <v>9938</v>
      </c>
    </row>
    <row r="485">
      <c r="A485" s="2" t="s">
        <v>10421</v>
      </c>
      <c r="B485" s="3" t="str">
        <f>C485 &amp; " -&gt; " &amp; D485</f>
        <v>principal-process-steward -&gt; Agents.ContactAddress</v>
      </c>
      <c r="C485" s="2" t="s">
        <v>9706</v>
      </c>
      <c r="D485" s="2" t="s">
        <v>2435</v>
      </c>
      <c r="E485" s="2" t="b">
        <v>1</v>
      </c>
      <c r="F485" s="2" t="b">
        <v>0</v>
      </c>
      <c r="G485" s="2" t="s">
        <v>9937</v>
      </c>
      <c r="H485" s="3" t="str">
        <f>_xlfn.IFNA(INDEX(RulebookFields!C2:C999, MATCH(D485,RulebookFields!A2:A999, 0)), "")</f>
        <v>Agents</v>
      </c>
      <c r="I485" s="3" t="str">
        <f>_xlfn.IFNA(INDEX(RulebookFields!D2:D999, MATCH(D485,RulebookFields!A2:A999, 0)), "")</f>
        <v>ContactAddress</v>
      </c>
      <c r="J485" s="3" t="b">
        <f>_xlfn.IFNA(INDEX(RulebookFields!I2:I999, MATCH(D485,RulebookFields!A2:A999, 0)), "")</f>
        <v>0</v>
      </c>
      <c r="K485" s="3" t="b">
        <f>AND(F485, J485)</f>
        <v>0</v>
      </c>
      <c r="L485" s="3" t="b">
        <f>AND(G485 &lt;&gt; "plain", G485 &lt;&gt; "")</f>
        <v>0</v>
      </c>
      <c r="M485" s="3" t="str">
        <f>IF(E485, C485 &amp; "|" &amp; H485, "")</f>
        <v>principal-process-steward|Agents</v>
      </c>
      <c r="N485" s="2" t="s">
        <v>9938</v>
      </c>
    </row>
    <row r="486">
      <c r="A486" s="2" t="s">
        <v>10422</v>
      </c>
      <c r="B486" s="3" t="str">
        <f>C486 &amp; " -&gt; " &amp; D486</f>
        <v>principal-process-steward -&gt; Agents.VersionOrEmploymentKey</v>
      </c>
      <c r="C486" s="2" t="s">
        <v>9706</v>
      </c>
      <c r="D486" s="2" t="s">
        <v>2436</v>
      </c>
      <c r="E486" s="2" t="b">
        <v>1</v>
      </c>
      <c r="F486" s="2" t="b">
        <v>0</v>
      </c>
      <c r="G486" s="2" t="s">
        <v>9937</v>
      </c>
      <c r="H486" s="3" t="str">
        <f>_xlfn.IFNA(INDEX(RulebookFields!C2:C999, MATCH(D486,RulebookFields!A2:A999, 0)), "")</f>
        <v>Agents</v>
      </c>
      <c r="I486" s="3" t="str">
        <f>_xlfn.IFNA(INDEX(RulebookFields!D2:D999, MATCH(D486,RulebookFields!A2:A999, 0)), "")</f>
        <v>VersionOrEmploymentKey</v>
      </c>
      <c r="J486" s="3" t="b">
        <f>_xlfn.IFNA(INDEX(RulebookFields!I2:I999, MATCH(D486,RulebookFields!A2:A999, 0)), "")</f>
        <v>0</v>
      </c>
      <c r="K486" s="3" t="b">
        <f>AND(F486, J486)</f>
        <v>0</v>
      </c>
      <c r="L486" s="3" t="b">
        <f>AND(G486 &lt;&gt; "plain", G486 &lt;&gt; "")</f>
        <v>0</v>
      </c>
      <c r="M486" s="3" t="str">
        <f>IF(E486, C486 &amp; "|" &amp; H486, "")</f>
        <v>principal-process-steward|Agents</v>
      </c>
      <c r="N486" s="2" t="s">
        <v>9938</v>
      </c>
    </row>
    <row r="487">
      <c r="A487" s="2" t="s">
        <v>10423</v>
      </c>
      <c r="B487" s="3" t="str">
        <f>C487 &amp; " -&gt; " &amp; D487</f>
        <v>principal-process-steward -&gt; Agents.CountOfCurrentRoleAssignments</v>
      </c>
      <c r="C487" s="2" t="s">
        <v>9706</v>
      </c>
      <c r="D487" s="2" t="s">
        <v>2437</v>
      </c>
      <c r="E487" s="2" t="b">
        <v>1</v>
      </c>
      <c r="F487" s="2" t="b">
        <v>0</v>
      </c>
      <c r="G487" s="2" t="s">
        <v>9937</v>
      </c>
      <c r="H487" s="3" t="str">
        <f>_xlfn.IFNA(INDEX(RulebookFields!C2:C999, MATCH(D487,RulebookFields!A2:A999, 0)), "")</f>
        <v>Agents</v>
      </c>
      <c r="I487" s="3" t="str">
        <f>_xlfn.IFNA(INDEX(RulebookFields!D2:D999, MATCH(D487,RulebookFields!A2:A999, 0)), "")</f>
        <v>CountOfCurrentRoleAssignments</v>
      </c>
      <c r="J487" s="3" t="b">
        <f>_xlfn.IFNA(INDEX(RulebookFields!I2:I999, MATCH(D487,RulebookFields!A2:A999, 0)), "")</f>
        <v>1</v>
      </c>
      <c r="K487" s="3" t="b">
        <f>AND(F487, J487)</f>
        <v>0</v>
      </c>
      <c r="L487" s="3" t="b">
        <f>AND(G487 &lt;&gt; "plain", G487 &lt;&gt; "")</f>
        <v>0</v>
      </c>
      <c r="M487" s="3" t="str">
        <f>IF(E487, C487 &amp; "|" &amp; H487, "")</f>
        <v>principal-process-steward|Agents</v>
      </c>
      <c r="N487" s="2" t="s">
        <v>9938</v>
      </c>
    </row>
    <row r="488">
      <c r="A488" s="2" t="s">
        <v>10424</v>
      </c>
      <c r="B488" s="3" t="str">
        <f>C488 &amp; " -&gt; " &amp; D488</f>
        <v>principal-process-steward -&gt; Agents.IsStillEngaged</v>
      </c>
      <c r="C488" s="2" t="s">
        <v>9706</v>
      </c>
      <c r="D488" s="2" t="s">
        <v>2441</v>
      </c>
      <c r="E488" s="2" t="b">
        <v>1</v>
      </c>
      <c r="F488" s="2" t="b">
        <v>0</v>
      </c>
      <c r="G488" s="2" t="s">
        <v>9937</v>
      </c>
      <c r="H488" s="3" t="str">
        <f>_xlfn.IFNA(INDEX(RulebookFields!C2:C999, MATCH(D488,RulebookFields!A2:A999, 0)), "")</f>
        <v>Agents</v>
      </c>
      <c r="I488" s="3" t="str">
        <f>_xlfn.IFNA(INDEX(RulebookFields!D2:D999, MATCH(D488,RulebookFields!A2:A999, 0)), "")</f>
        <v>IsStillEngaged</v>
      </c>
      <c r="J488" s="3" t="b">
        <f>_xlfn.IFNA(INDEX(RulebookFields!I2:I999, MATCH(D488,RulebookFields!A2:A999, 0)), "")</f>
        <v>1</v>
      </c>
      <c r="K488" s="3" t="b">
        <f>AND(F488, J488)</f>
        <v>0</v>
      </c>
      <c r="L488" s="3" t="b">
        <f>AND(G488 &lt;&gt; "plain", G488 &lt;&gt; "")</f>
        <v>0</v>
      </c>
      <c r="M488" s="3" t="str">
        <f>IF(E488, C488 &amp; "|" &amp; H488, "")</f>
        <v>principal-process-steward|Agents</v>
      </c>
      <c r="N488" s="2" t="s">
        <v>9938</v>
      </c>
    </row>
    <row r="489">
      <c r="A489" s="2" t="s">
        <v>10425</v>
      </c>
      <c r="B489" s="3" t="str">
        <f>C489 &amp; " -&gt; " &amp; D489</f>
        <v>principal-process-steward -&gt; Agents.DecisionCount</v>
      </c>
      <c r="C489" s="2" t="s">
        <v>9706</v>
      </c>
      <c r="D489" s="2" t="s">
        <v>2443</v>
      </c>
      <c r="E489" s="2" t="b">
        <v>1</v>
      </c>
      <c r="F489" s="2" t="b">
        <v>0</v>
      </c>
      <c r="G489" s="2" t="s">
        <v>9937</v>
      </c>
      <c r="H489" s="3" t="str">
        <f>_xlfn.IFNA(INDEX(RulebookFields!C2:C999, MATCH(D489,RulebookFields!A2:A999, 0)), "")</f>
        <v>Agents</v>
      </c>
      <c r="I489" s="3" t="str">
        <f>_xlfn.IFNA(INDEX(RulebookFields!D2:D999, MATCH(D489,RulebookFields!A2:A999, 0)), "")</f>
        <v>DecisionCount</v>
      </c>
      <c r="J489" s="3" t="b">
        <f>_xlfn.IFNA(INDEX(RulebookFields!I2:I999, MATCH(D489,RulebookFields!A2:A999, 0)), "")</f>
        <v>1</v>
      </c>
      <c r="K489" s="3" t="b">
        <f>AND(F489, J489)</f>
        <v>0</v>
      </c>
      <c r="L489" s="3" t="b">
        <f>AND(G489 &lt;&gt; "plain", G489 &lt;&gt; "")</f>
        <v>0</v>
      </c>
      <c r="M489" s="3" t="str">
        <f>IF(E489, C489 &amp; "|" &amp; H489, "")</f>
        <v>principal-process-steward|Agents</v>
      </c>
      <c r="N489" s="2" t="s">
        <v>9938</v>
      </c>
    </row>
    <row r="490">
      <c r="A490" s="2" t="s">
        <v>10426</v>
      </c>
      <c r="B490" s="3" t="str">
        <f>C490 &amp; " -&gt; " &amp; D490</f>
        <v>principal-process-steward -&gt; Agents.OverriddenDecisionCount</v>
      </c>
      <c r="C490" s="2" t="s">
        <v>9706</v>
      </c>
      <c r="D490" s="2" t="s">
        <v>2446</v>
      </c>
      <c r="E490" s="2" t="b">
        <v>1</v>
      </c>
      <c r="F490" s="2" t="b">
        <v>0</v>
      </c>
      <c r="G490" s="2" t="s">
        <v>9937</v>
      </c>
      <c r="H490" s="3" t="str">
        <f>_xlfn.IFNA(INDEX(RulebookFields!C2:C999, MATCH(D490,RulebookFields!A2:A999, 0)), "")</f>
        <v>Agents</v>
      </c>
      <c r="I490" s="3" t="str">
        <f>_xlfn.IFNA(INDEX(RulebookFields!D2:D999, MATCH(D490,RulebookFields!A2:A999, 0)), "")</f>
        <v>OverriddenDecisionCount</v>
      </c>
      <c r="J490" s="3" t="b">
        <f>_xlfn.IFNA(INDEX(RulebookFields!I2:I999, MATCH(D490,RulebookFields!A2:A999, 0)), "")</f>
        <v>1</v>
      </c>
      <c r="K490" s="3" t="b">
        <f>AND(F490, J490)</f>
        <v>0</v>
      </c>
      <c r="L490" s="3" t="b">
        <f>AND(G490 &lt;&gt; "plain", G490 &lt;&gt; "")</f>
        <v>0</v>
      </c>
      <c r="M490" s="3" t="str">
        <f>IF(E490, C490 &amp; "|" &amp; H490, "")</f>
        <v>principal-process-steward|Agents</v>
      </c>
      <c r="N490" s="2" t="s">
        <v>9938</v>
      </c>
    </row>
    <row r="491">
      <c r="A491" s="2" t="s">
        <v>10427</v>
      </c>
      <c r="B491" s="3" t="str">
        <f>C491 &amp; " -&gt; " &amp; D491</f>
        <v>principal-process-steward -&gt; Agents.OverrideRatePercent</v>
      </c>
      <c r="C491" s="2" t="s">
        <v>9706</v>
      </c>
      <c r="D491" s="2" t="s">
        <v>2448</v>
      </c>
      <c r="E491" s="2" t="b">
        <v>1</v>
      </c>
      <c r="F491" s="2" t="b">
        <v>0</v>
      </c>
      <c r="G491" s="2" t="s">
        <v>9937</v>
      </c>
      <c r="H491" s="3" t="str">
        <f>_xlfn.IFNA(INDEX(RulebookFields!C2:C999, MATCH(D491,RulebookFields!A2:A999, 0)), "")</f>
        <v>Agents</v>
      </c>
      <c r="I491" s="3" t="str">
        <f>_xlfn.IFNA(INDEX(RulebookFields!D2:D999, MATCH(D491,RulebookFields!A2:A999, 0)), "")</f>
        <v>OverrideRatePercent</v>
      </c>
      <c r="J491" s="3" t="b">
        <f>_xlfn.IFNA(INDEX(RulebookFields!I2:I999, MATCH(D491,RulebookFields!A2:A999, 0)), "")</f>
        <v>1</v>
      </c>
      <c r="K491" s="3" t="b">
        <f>AND(F491, J491)</f>
        <v>0</v>
      </c>
      <c r="L491" s="3" t="b">
        <f>AND(G491 &lt;&gt; "plain", G491 &lt;&gt; "")</f>
        <v>0</v>
      </c>
      <c r="M491" s="3" t="str">
        <f>IF(E491, C491 &amp; "|" &amp; H491, "")</f>
        <v>principal-process-steward|Agents</v>
      </c>
      <c r="N491" s="2" t="s">
        <v>9938</v>
      </c>
    </row>
    <row r="492">
      <c r="A492" s="2" t="s">
        <v>10428</v>
      </c>
      <c r="B492" s="3" t="str">
        <f>C492 &amp; " -&gt; " &amp; D492</f>
        <v>principal-process-steward -&gt; Agents.IsNonHuman</v>
      </c>
      <c r="C492" s="2" t="s">
        <v>9706</v>
      </c>
      <c r="D492" s="2" t="s">
        <v>2450</v>
      </c>
      <c r="E492" s="2" t="b">
        <v>1</v>
      </c>
      <c r="F492" s="2" t="b">
        <v>0</v>
      </c>
      <c r="G492" s="2" t="s">
        <v>9937</v>
      </c>
      <c r="H492" s="3" t="str">
        <f>_xlfn.IFNA(INDEX(RulebookFields!C2:C999, MATCH(D492,RulebookFields!A2:A999, 0)), "")</f>
        <v>Agents</v>
      </c>
      <c r="I492" s="3" t="str">
        <f>_xlfn.IFNA(INDEX(RulebookFields!D2:D999, MATCH(D492,RulebookFields!A2:A999, 0)), "")</f>
        <v>IsNonHuman</v>
      </c>
      <c r="J492" s="3" t="b">
        <f>_xlfn.IFNA(INDEX(RulebookFields!I2:I999, MATCH(D492,RulebookFields!A2:A999, 0)), "")</f>
        <v>1</v>
      </c>
      <c r="K492" s="3" t="b">
        <f>AND(F492, J492)</f>
        <v>0</v>
      </c>
      <c r="L492" s="3" t="b">
        <f>AND(G492 &lt;&gt; "plain", G492 &lt;&gt; "")</f>
        <v>0</v>
      </c>
      <c r="M492" s="3" t="str">
        <f>IF(E492, C492 &amp; "|" &amp; H492, "")</f>
        <v>principal-process-steward|Agents</v>
      </c>
      <c r="N492" s="2" t="s">
        <v>9938</v>
      </c>
    </row>
    <row r="493">
      <c r="A493" s="2" t="s">
        <v>10429</v>
      </c>
      <c r="B493" s="3" t="str">
        <f>C493 &amp; " -&gt; " &amp; D493</f>
        <v>principal-process-steward -&gt; Agents.BoundaryViolationCount</v>
      </c>
      <c r="C493" s="2" t="s">
        <v>9706</v>
      </c>
      <c r="D493" s="2" t="s">
        <v>2452</v>
      </c>
      <c r="E493" s="2" t="b">
        <v>1</v>
      </c>
      <c r="F493" s="2" t="b">
        <v>0</v>
      </c>
      <c r="G493" s="2" t="s">
        <v>9937</v>
      </c>
      <c r="H493" s="3" t="str">
        <f>_xlfn.IFNA(INDEX(RulebookFields!C2:C999, MATCH(D493,RulebookFields!A2:A999, 0)), "")</f>
        <v>Agents</v>
      </c>
      <c r="I493" s="3" t="str">
        <f>_xlfn.IFNA(INDEX(RulebookFields!D2:D999, MATCH(D493,RulebookFields!A2:A999, 0)), "")</f>
        <v>BoundaryViolationCount</v>
      </c>
      <c r="J493" s="3" t="b">
        <f>_xlfn.IFNA(INDEX(RulebookFields!I2:I999, MATCH(D493,RulebookFields!A2:A999, 0)), "")</f>
        <v>1</v>
      </c>
      <c r="K493" s="3" t="b">
        <f>AND(F493, J493)</f>
        <v>0</v>
      </c>
      <c r="L493" s="3" t="b">
        <f>AND(G493 &lt;&gt; "plain", G493 &lt;&gt; "")</f>
        <v>0</v>
      </c>
      <c r="M493" s="3" t="str">
        <f>IF(E493, C493 &amp; "|" &amp; H493, "")</f>
        <v>principal-process-steward|Agents</v>
      </c>
      <c r="N493" s="2" t="s">
        <v>9938</v>
      </c>
    </row>
    <row r="494">
      <c r="A494" s="2" t="s">
        <v>10430</v>
      </c>
      <c r="B494" s="3" t="str">
        <f>C494 &amp; " -&gt; " &amp; D494</f>
        <v>principal-process-steward -&gt; Agents.IsOperatingOutsideBoundary</v>
      </c>
      <c r="C494" s="2" t="s">
        <v>9706</v>
      </c>
      <c r="D494" s="2" t="s">
        <v>2454</v>
      </c>
      <c r="E494" s="2" t="b">
        <v>1</v>
      </c>
      <c r="F494" s="2" t="b">
        <v>0</v>
      </c>
      <c r="G494" s="2" t="s">
        <v>9937</v>
      </c>
      <c r="H494" s="3" t="str">
        <f>_xlfn.IFNA(INDEX(RulebookFields!C2:C999, MATCH(D494,RulebookFields!A2:A999, 0)), "")</f>
        <v>Agents</v>
      </c>
      <c r="I494" s="3" t="str">
        <f>_xlfn.IFNA(INDEX(RulebookFields!D2:D999, MATCH(D494,RulebookFields!A2:A999, 0)), "")</f>
        <v>IsOperatingOutsideBoundary</v>
      </c>
      <c r="J494" s="3" t="b">
        <f>_xlfn.IFNA(INDEX(RulebookFields!I2:I999, MATCH(D494,RulebookFields!A2:A999, 0)), "")</f>
        <v>1</v>
      </c>
      <c r="K494" s="3" t="b">
        <f>AND(F494, J494)</f>
        <v>0</v>
      </c>
      <c r="L494" s="3" t="b">
        <f>AND(G494 &lt;&gt; "plain", G494 &lt;&gt; "")</f>
        <v>0</v>
      </c>
      <c r="M494" s="3" t="str">
        <f>IF(E494, C494 &amp; "|" &amp; H494, "")</f>
        <v>principal-process-steward|Agents</v>
      </c>
      <c r="N494" s="2" t="s">
        <v>9938</v>
      </c>
    </row>
    <row r="495">
      <c r="A495" s="2" t="s">
        <v>10431</v>
      </c>
      <c r="B495" s="3" t="str">
        <f>C495 &amp; " -&gt; " &amp; D495</f>
        <v>principal-process-steward -&gt; Agents.DraftDecisionCount</v>
      </c>
      <c r="C495" s="2" t="s">
        <v>9706</v>
      </c>
      <c r="D495" s="2" t="s">
        <v>2456</v>
      </c>
      <c r="E495" s="2" t="b">
        <v>1</v>
      </c>
      <c r="F495" s="2" t="b">
        <v>0</v>
      </c>
      <c r="G495" s="2" t="s">
        <v>9937</v>
      </c>
      <c r="H495" s="3" t="str">
        <f>_xlfn.IFNA(INDEX(RulebookFields!C2:C999, MATCH(D495,RulebookFields!A2:A999, 0)), "")</f>
        <v>Agents</v>
      </c>
      <c r="I495" s="3" t="str">
        <f>_xlfn.IFNA(INDEX(RulebookFields!D2:D999, MATCH(D495,RulebookFields!A2:A999, 0)), "")</f>
        <v>DraftDecisionCount</v>
      </c>
      <c r="J495" s="3" t="b">
        <f>_xlfn.IFNA(INDEX(RulebookFields!I2:I999, MATCH(D495,RulebookFields!A2:A999, 0)), "")</f>
        <v>1</v>
      </c>
      <c r="K495" s="3" t="b">
        <f>AND(F495, J495)</f>
        <v>0</v>
      </c>
      <c r="L495" s="3" t="b">
        <f>AND(G495 &lt;&gt; "plain", G495 &lt;&gt; "")</f>
        <v>0</v>
      </c>
      <c r="M495" s="3" t="str">
        <f>IF(E495, C495 &amp; "|" &amp; H495, "")</f>
        <v>principal-process-steward|Agents</v>
      </c>
      <c r="N495" s="2" t="s">
        <v>9938</v>
      </c>
    </row>
    <row r="496">
      <c r="A496" s="2" t="s">
        <v>10432</v>
      </c>
      <c r="B496" s="3" t="str">
        <f>C496 &amp; " -&gt; " &amp; D496</f>
        <v>principal-process-steward -&gt; Agents.OverriddenDraftCount</v>
      </c>
      <c r="C496" s="2" t="s">
        <v>9706</v>
      </c>
      <c r="D496" s="2" t="s">
        <v>2458</v>
      </c>
      <c r="E496" s="2" t="b">
        <v>1</v>
      </c>
      <c r="F496" s="2" t="b">
        <v>0</v>
      </c>
      <c r="G496" s="2" t="s">
        <v>9937</v>
      </c>
      <c r="H496" s="3" t="str">
        <f>_xlfn.IFNA(INDEX(RulebookFields!C2:C999, MATCH(D496,RulebookFields!A2:A999, 0)), "")</f>
        <v>Agents</v>
      </c>
      <c r="I496" s="3" t="str">
        <f>_xlfn.IFNA(INDEX(RulebookFields!D2:D999, MATCH(D496,RulebookFields!A2:A999, 0)), "")</f>
        <v>OverriddenDraftCount</v>
      </c>
      <c r="J496" s="3" t="b">
        <f>_xlfn.IFNA(INDEX(RulebookFields!I2:I999, MATCH(D496,RulebookFields!A2:A999, 0)), "")</f>
        <v>1</v>
      </c>
      <c r="K496" s="3" t="b">
        <f>AND(F496, J496)</f>
        <v>0</v>
      </c>
      <c r="L496" s="3" t="b">
        <f>AND(G496 &lt;&gt; "plain", G496 &lt;&gt; "")</f>
        <v>0</v>
      </c>
      <c r="M496" s="3" t="str">
        <f>IF(E496, C496 &amp; "|" &amp; H496, "")</f>
        <v>principal-process-steward|Agents</v>
      </c>
      <c r="N496" s="2" t="s">
        <v>9938</v>
      </c>
    </row>
    <row r="497">
      <c r="A497" s="2" t="s">
        <v>10433</v>
      </c>
      <c r="B497" s="3" t="str">
        <f>C497 &amp; " -&gt; " &amp; D497</f>
        <v>principal-process-steward -&gt; Agents.DraftRewriteRatePercent</v>
      </c>
      <c r="C497" s="2" t="s">
        <v>9706</v>
      </c>
      <c r="D497" s="2" t="s">
        <v>2460</v>
      </c>
      <c r="E497" s="2" t="b">
        <v>1</v>
      </c>
      <c r="F497" s="2" t="b">
        <v>0</v>
      </c>
      <c r="G497" s="2" t="s">
        <v>9937</v>
      </c>
      <c r="H497" s="3" t="str">
        <f>_xlfn.IFNA(INDEX(RulebookFields!C2:C999, MATCH(D497,RulebookFields!A2:A999, 0)), "")</f>
        <v>Agents</v>
      </c>
      <c r="I497" s="3" t="str">
        <f>_xlfn.IFNA(INDEX(RulebookFields!D2:D999, MATCH(D497,RulebookFields!A2:A999, 0)), "")</f>
        <v>DraftRewriteRatePercent</v>
      </c>
      <c r="J497" s="3" t="b">
        <f>_xlfn.IFNA(INDEX(RulebookFields!I2:I999, MATCH(D497,RulebookFields!A2:A999, 0)), "")</f>
        <v>1</v>
      </c>
      <c r="K497" s="3" t="b">
        <f>AND(F497, J497)</f>
        <v>0</v>
      </c>
      <c r="L497" s="3" t="b">
        <f>AND(G497 &lt;&gt; "plain", G497 &lt;&gt; "")</f>
        <v>0</v>
      </c>
      <c r="M497" s="3" t="str">
        <f>IF(E497, C497 &amp; "|" &amp; H497, "")</f>
        <v>principal-process-steward|Agents</v>
      </c>
      <c r="N497" s="2" t="s">
        <v>9938</v>
      </c>
    </row>
    <row r="498">
      <c r="A498" s="2" t="s">
        <v>10434</v>
      </c>
      <c r="B498" s="3" t="str">
        <f>C498 &amp; " -&gt; " &amp; D498</f>
        <v>principal-process-steward -&gt; Agents.SemanticTypeIri</v>
      </c>
      <c r="C498" s="2" t="s">
        <v>9706</v>
      </c>
      <c r="D498" s="2" t="s">
        <v>2470</v>
      </c>
      <c r="E498" s="2" t="b">
        <v>1</v>
      </c>
      <c r="F498" s="2" t="b">
        <v>0</v>
      </c>
      <c r="G498" s="2" t="s">
        <v>9937</v>
      </c>
      <c r="H498" s="3" t="str">
        <f>_xlfn.IFNA(INDEX(RulebookFields!C2:C999, MATCH(D498,RulebookFields!A2:A999, 0)), "")</f>
        <v>Agents</v>
      </c>
      <c r="I498" s="3" t="str">
        <f>_xlfn.IFNA(INDEX(RulebookFields!D2:D999, MATCH(D498,RulebookFields!A2:A999, 0)), "")</f>
        <v>SemanticTypeIri</v>
      </c>
      <c r="J498" s="3" t="b">
        <f>_xlfn.IFNA(INDEX(RulebookFields!I2:I999, MATCH(D498,RulebookFields!A2:A999, 0)), "")</f>
        <v>0</v>
      </c>
      <c r="K498" s="3" t="b">
        <f>AND(F498, J498)</f>
        <v>0</v>
      </c>
      <c r="L498" s="3" t="b">
        <f>AND(G498 &lt;&gt; "plain", G498 &lt;&gt; "")</f>
        <v>0</v>
      </c>
      <c r="M498" s="3" t="str">
        <f>IF(E498, C498 &amp; "|" &amp; H498, "")</f>
        <v>principal-process-steward|Agents</v>
      </c>
      <c r="N498" s="2" t="s">
        <v>9938</v>
      </c>
    </row>
    <row r="499">
      <c r="A499" s="2" t="s">
        <v>10435</v>
      </c>
      <c r="B499" s="3" t="str">
        <f>C499 &amp; " -&gt; " &amp; D499</f>
        <v>principal-process-steward -&gt; AppNavGroups.AppNavGroupId</v>
      </c>
      <c r="C499" s="2" t="s">
        <v>9706</v>
      </c>
      <c r="D499" s="2" t="s">
        <v>5220</v>
      </c>
      <c r="E499" s="2" t="b">
        <v>1</v>
      </c>
      <c r="F499" s="2" t="b">
        <v>0</v>
      </c>
      <c r="G499" s="2" t="s">
        <v>9937</v>
      </c>
      <c r="H499" s="3" t="str">
        <f>_xlfn.IFNA(INDEX(RulebookFields!C2:C999, MATCH(D499,RulebookFields!A2:A999, 0)), "")</f>
      </c>
      <c r="I499" s="3" t="str">
        <f>_xlfn.IFNA(INDEX(RulebookFields!D2:D999, MATCH(D499,RulebookFields!A2:A999, 0)), "")</f>
      </c>
      <c r="J499" s="3" t="str">
        <f>_xlfn.IFNA(INDEX(RulebookFields!I2:I999, MATCH(D499,RulebookFields!A2:A999, 0)), "")</f>
      </c>
      <c r="K499" s="3" t="b">
        <f>AND(F499, J499)</f>
        <v>0</v>
      </c>
      <c r="L499" s="3" t="b">
        <f>AND(G499 &lt;&gt; "plain", G499 &lt;&gt; "")</f>
        <v>0</v>
      </c>
      <c r="M499" s="3" t="str">
        <f>IF(E499, C499 &amp; "|" &amp; H499, "")</f>
        <v>principal-process-steward|</v>
      </c>
      <c r="N499" s="2" t="s">
        <v>9938</v>
      </c>
    </row>
    <row r="500">
      <c r="A500" s="2" t="s">
        <v>10436</v>
      </c>
      <c r="B500" s="3" t="str">
        <f>C500 &amp; " -&gt; " &amp; D500</f>
        <v>principal-process-steward -&gt; AppNavGroups.Name</v>
      </c>
      <c r="C500" s="2" t="s">
        <v>9706</v>
      </c>
      <c r="D500" s="2" t="s">
        <v>5222</v>
      </c>
      <c r="E500" s="2" t="b">
        <v>1</v>
      </c>
      <c r="F500" s="2" t="b">
        <v>0</v>
      </c>
      <c r="G500" s="2" t="s">
        <v>9937</v>
      </c>
      <c r="H500" s="3" t="str">
        <f>_xlfn.IFNA(INDEX(RulebookFields!C2:C999, MATCH(D500,RulebookFields!A2:A999, 0)), "")</f>
      </c>
      <c r="I500" s="3" t="str">
        <f>_xlfn.IFNA(INDEX(RulebookFields!D2:D999, MATCH(D500,RulebookFields!A2:A999, 0)), "")</f>
      </c>
      <c r="J500" s="3" t="str">
        <f>_xlfn.IFNA(INDEX(RulebookFields!I2:I999, MATCH(D500,RulebookFields!A2:A999, 0)), "")</f>
      </c>
      <c r="K500" s="3" t="b">
        <f>AND(F500, J500)</f>
        <v>0</v>
      </c>
      <c r="L500" s="3" t="b">
        <f>AND(G500 &lt;&gt; "plain", G500 &lt;&gt; "")</f>
        <v>0</v>
      </c>
      <c r="M500" s="3" t="str">
        <f>IF(E500, C500 &amp; "|" &amp; H500, "")</f>
        <v>principal-process-steward|</v>
      </c>
      <c r="N500" s="2" t="s">
        <v>9938</v>
      </c>
    </row>
    <row r="501">
      <c r="A501" s="2" t="s">
        <v>10437</v>
      </c>
      <c r="B501" s="3" t="str">
        <f>C501 &amp; " -&gt; " &amp; D501</f>
        <v>principal-process-steward -&gt; AppNavGroups.GroupLabel</v>
      </c>
      <c r="C501" s="2" t="s">
        <v>9706</v>
      </c>
      <c r="D501" s="2" t="s">
        <v>5224</v>
      </c>
      <c r="E501" s="2" t="b">
        <v>1</v>
      </c>
      <c r="F501" s="2" t="b">
        <v>0</v>
      </c>
      <c r="G501" s="2" t="s">
        <v>9937</v>
      </c>
      <c r="H501" s="3" t="str">
        <f>_xlfn.IFNA(INDEX(RulebookFields!C2:C999, MATCH(D501,RulebookFields!A2:A999, 0)), "")</f>
      </c>
      <c r="I501" s="3" t="str">
        <f>_xlfn.IFNA(INDEX(RulebookFields!D2:D999, MATCH(D501,RulebookFields!A2:A999, 0)), "")</f>
      </c>
      <c r="J501" s="3" t="str">
        <f>_xlfn.IFNA(INDEX(RulebookFields!I2:I999, MATCH(D501,RulebookFields!A2:A999, 0)), "")</f>
      </c>
      <c r="K501" s="3" t="b">
        <f>AND(F501, J501)</f>
        <v>0</v>
      </c>
      <c r="L501" s="3" t="b">
        <f>AND(G501 &lt;&gt; "plain", G501 &lt;&gt; "")</f>
        <v>0</v>
      </c>
      <c r="M501" s="3" t="str">
        <f>IF(E501, C501 &amp; "|" &amp; H501, "")</f>
        <v>principal-process-steward|</v>
      </c>
      <c r="N501" s="2" t="s">
        <v>9938</v>
      </c>
    </row>
    <row r="502">
      <c r="A502" s="2" t="s">
        <v>10438</v>
      </c>
      <c r="B502" s="3" t="str">
        <f>C502 &amp; " -&gt; " &amp; D502</f>
        <v>principal-process-steward -&gt; AppNavGroups.RouteCount</v>
      </c>
      <c r="C502" s="2" t="s">
        <v>9706</v>
      </c>
      <c r="D502" s="2" t="s">
        <v>5226</v>
      </c>
      <c r="E502" s="2" t="b">
        <v>1</v>
      </c>
      <c r="F502" s="2" t="b">
        <v>0</v>
      </c>
      <c r="G502" s="2" t="s">
        <v>9937</v>
      </c>
      <c r="H502" s="3" t="str">
        <f>_xlfn.IFNA(INDEX(RulebookFields!C2:C999, MATCH(D502,RulebookFields!A2:A999, 0)), "")</f>
      </c>
      <c r="I502" s="3" t="str">
        <f>_xlfn.IFNA(INDEX(RulebookFields!D2:D999, MATCH(D502,RulebookFields!A2:A999, 0)), "")</f>
      </c>
      <c r="J502" s="3" t="str">
        <f>_xlfn.IFNA(INDEX(RulebookFields!I2:I999, MATCH(D502,RulebookFields!A2:A999, 0)), "")</f>
      </c>
      <c r="K502" s="3" t="b">
        <f>AND(F502, J502)</f>
        <v>0</v>
      </c>
      <c r="L502" s="3" t="b">
        <f>AND(G502 &lt;&gt; "plain", G502 &lt;&gt; "")</f>
        <v>0</v>
      </c>
      <c r="M502" s="3" t="str">
        <f>IF(E502, C502 &amp; "|" &amp; H502, "")</f>
        <v>principal-process-steward|</v>
      </c>
      <c r="N502" s="2" t="s">
        <v>9938</v>
      </c>
    </row>
    <row r="503">
      <c r="A503" s="2" t="s">
        <v>10439</v>
      </c>
      <c r="B503" s="3" t="str">
        <f>C503 &amp; " -&gt; " &amp; D503</f>
        <v>principal-process-steward -&gt; AppNavGroups.SemanticTypeIri</v>
      </c>
      <c r="C503" s="2" t="s">
        <v>9706</v>
      </c>
      <c r="D503" s="2" t="s">
        <v>5228</v>
      </c>
      <c r="E503" s="2" t="b">
        <v>1</v>
      </c>
      <c r="F503" s="2" t="b">
        <v>0</v>
      </c>
      <c r="G503" s="2" t="s">
        <v>9937</v>
      </c>
      <c r="H503" s="3" t="str">
        <f>_xlfn.IFNA(INDEX(RulebookFields!C2:C999, MATCH(D503,RulebookFields!A2:A999, 0)), "")</f>
      </c>
      <c r="I503" s="3" t="str">
        <f>_xlfn.IFNA(INDEX(RulebookFields!D2:D999, MATCH(D503,RulebookFields!A2:A999, 0)), "")</f>
      </c>
      <c r="J503" s="3" t="str">
        <f>_xlfn.IFNA(INDEX(RulebookFields!I2:I999, MATCH(D503,RulebookFields!A2:A999, 0)), "")</f>
      </c>
      <c r="K503" s="3" t="b">
        <f>AND(F503, J503)</f>
        <v>0</v>
      </c>
      <c r="L503" s="3" t="b">
        <f>AND(G503 &lt;&gt; "plain", G503 &lt;&gt; "")</f>
        <v>0</v>
      </c>
      <c r="M503" s="3" t="str">
        <f>IF(E503, C503 &amp; "|" &amp; H503, "")</f>
        <v>principal-process-steward|</v>
      </c>
      <c r="N503" s="2" t="s">
        <v>9938</v>
      </c>
    </row>
    <row r="504">
      <c r="A504" s="2" t="s">
        <v>10440</v>
      </c>
      <c r="B504" s="3" t="str">
        <f>C504 &amp; " -&gt; " &amp; D504</f>
        <v>principal-process-steward -&gt; AppRoleProfiles.AppRoleProfileId</v>
      </c>
      <c r="C504" s="2" t="s">
        <v>9706</v>
      </c>
      <c r="D504" s="2" t="s">
        <v>5197</v>
      </c>
      <c r="E504" s="2" t="b">
        <v>1</v>
      </c>
      <c r="F504" s="2" t="b">
        <v>0</v>
      </c>
      <c r="G504" s="2" t="s">
        <v>9937</v>
      </c>
      <c r="H504" s="3" t="str">
        <f>_xlfn.IFNA(INDEX(RulebookFields!C2:C999, MATCH(D504,RulebookFields!A2:A999, 0)), "")</f>
      </c>
      <c r="I504" s="3" t="str">
        <f>_xlfn.IFNA(INDEX(RulebookFields!D2:D999, MATCH(D504,RulebookFields!A2:A999, 0)), "")</f>
      </c>
      <c r="J504" s="3" t="str">
        <f>_xlfn.IFNA(INDEX(RulebookFields!I2:I999, MATCH(D504,RulebookFields!A2:A999, 0)), "")</f>
      </c>
      <c r="K504" s="3" t="b">
        <f>AND(F504, J504)</f>
        <v>0</v>
      </c>
      <c r="L504" s="3" t="b">
        <f>AND(G504 &lt;&gt; "plain", G504 &lt;&gt; "")</f>
        <v>0</v>
      </c>
      <c r="M504" s="3" t="str">
        <f>IF(E504, C504 &amp; "|" &amp; H504, "")</f>
        <v>principal-process-steward|</v>
      </c>
      <c r="N504" s="2" t="s">
        <v>9938</v>
      </c>
    </row>
    <row r="505">
      <c r="A505" s="2" t="s">
        <v>10441</v>
      </c>
      <c r="B505" s="3" t="str">
        <f>C505 &amp; " -&gt; " &amp; D505</f>
        <v>principal-process-steward -&gt; AppRoleProfiles.Name</v>
      </c>
      <c r="C505" s="2" t="s">
        <v>9706</v>
      </c>
      <c r="D505" s="2" t="s">
        <v>5199</v>
      </c>
      <c r="E505" s="2" t="b">
        <v>1</v>
      </c>
      <c r="F505" s="2" t="b">
        <v>0</v>
      </c>
      <c r="G505" s="2" t="s">
        <v>9937</v>
      </c>
      <c r="H505" s="3" t="str">
        <f>_xlfn.IFNA(INDEX(RulebookFields!C2:C999, MATCH(D505,RulebookFields!A2:A999, 0)), "")</f>
      </c>
      <c r="I505" s="3" t="str">
        <f>_xlfn.IFNA(INDEX(RulebookFields!D2:D999, MATCH(D505,RulebookFields!A2:A999, 0)), "")</f>
      </c>
      <c r="J505" s="3" t="str">
        <f>_xlfn.IFNA(INDEX(RulebookFields!I2:I999, MATCH(D505,RulebookFields!A2:A999, 0)), "")</f>
      </c>
      <c r="K505" s="3" t="b">
        <f>AND(F505, J505)</f>
        <v>0</v>
      </c>
      <c r="L505" s="3" t="b">
        <f>AND(G505 &lt;&gt; "plain", G505 &lt;&gt; "")</f>
        <v>0</v>
      </c>
      <c r="M505" s="3" t="str">
        <f>IF(E505, C505 &amp; "|" &amp; H505, "")</f>
        <v>principal-process-steward|</v>
      </c>
      <c r="N505" s="2" t="s">
        <v>9938</v>
      </c>
    </row>
    <row r="506">
      <c r="A506" s="2" t="s">
        <v>10442</v>
      </c>
      <c r="B506" s="3" t="str">
        <f>C506 &amp; " -&gt; " &amp; D506</f>
        <v>principal-process-steward -&gt; AppRoleProfiles.Role</v>
      </c>
      <c r="C506" s="2" t="s">
        <v>9706</v>
      </c>
      <c r="D506" s="2" t="s">
        <v>5201</v>
      </c>
      <c r="E506" s="2" t="b">
        <v>1</v>
      </c>
      <c r="F506" s="2" t="b">
        <v>0</v>
      </c>
      <c r="G506" s="2" t="s">
        <v>9937</v>
      </c>
      <c r="H506" s="3" t="str">
        <f>_xlfn.IFNA(INDEX(RulebookFields!C2:C999, MATCH(D506,RulebookFields!A2:A999, 0)), "")</f>
      </c>
      <c r="I506" s="3" t="str">
        <f>_xlfn.IFNA(INDEX(RulebookFields!D2:D999, MATCH(D506,RulebookFields!A2:A999, 0)), "")</f>
      </c>
      <c r="J506" s="3" t="str">
        <f>_xlfn.IFNA(INDEX(RulebookFields!I2:I999, MATCH(D506,RulebookFields!A2:A999, 0)), "")</f>
      </c>
      <c r="K506" s="3" t="b">
        <f>AND(F506, J506)</f>
        <v>0</v>
      </c>
      <c r="L506" s="3" t="b">
        <f>AND(G506 &lt;&gt; "plain", G506 &lt;&gt; "")</f>
        <v>0</v>
      </c>
      <c r="M506" s="3" t="str">
        <f>IF(E506, C506 &amp; "|" &amp; H506, "")</f>
        <v>principal-process-steward|</v>
      </c>
      <c r="N506" s="2" t="s">
        <v>9938</v>
      </c>
    </row>
    <row r="507">
      <c r="A507" s="2" t="s">
        <v>10443</v>
      </c>
      <c r="B507" s="3" t="str">
        <f>C507 &amp; " -&gt; " &amp; D507</f>
        <v>principal-process-steward -&gt; AppRoleProfiles.DisplayLabel</v>
      </c>
      <c r="C507" s="2" t="s">
        <v>9706</v>
      </c>
      <c r="D507" s="2" t="s">
        <v>5202</v>
      </c>
      <c r="E507" s="2" t="b">
        <v>1</v>
      </c>
      <c r="F507" s="2" t="b">
        <v>0</v>
      </c>
      <c r="G507" s="2" t="s">
        <v>9937</v>
      </c>
      <c r="H507" s="3" t="str">
        <f>_xlfn.IFNA(INDEX(RulebookFields!C2:C999, MATCH(D507,RulebookFields!A2:A999, 0)), "")</f>
      </c>
      <c r="I507" s="3" t="str">
        <f>_xlfn.IFNA(INDEX(RulebookFields!D2:D999, MATCH(D507,RulebookFields!A2:A999, 0)), "")</f>
      </c>
      <c r="J507" s="3" t="str">
        <f>_xlfn.IFNA(INDEX(RulebookFields!I2:I999, MATCH(D507,RulebookFields!A2:A999, 0)), "")</f>
      </c>
      <c r="K507" s="3" t="b">
        <f>AND(F507, J507)</f>
        <v>0</v>
      </c>
      <c r="L507" s="3" t="b">
        <f>AND(G507 &lt;&gt; "plain", G507 &lt;&gt; "")</f>
        <v>0</v>
      </c>
      <c r="M507" s="3" t="str">
        <f>IF(E507, C507 &amp; "|" &amp; H507, "")</f>
        <v>principal-process-steward|</v>
      </c>
      <c r="N507" s="2" t="s">
        <v>9938</v>
      </c>
    </row>
    <row r="508">
      <c r="A508" s="2" t="s">
        <v>10444</v>
      </c>
      <c r="B508" s="3" t="str">
        <f>C508 &amp; " -&gt; " &amp; D508</f>
        <v>principal-process-steward -&gt; AppRoleProfiles.RoleKind</v>
      </c>
      <c r="C508" s="2" t="s">
        <v>9706</v>
      </c>
      <c r="D508" s="2" t="s">
        <v>5204</v>
      </c>
      <c r="E508" s="2" t="b">
        <v>1</v>
      </c>
      <c r="F508" s="2" t="b">
        <v>0</v>
      </c>
      <c r="G508" s="2" t="s">
        <v>9937</v>
      </c>
      <c r="H508" s="3" t="str">
        <f>_xlfn.IFNA(INDEX(RulebookFields!C2:C999, MATCH(D508,RulebookFields!A2:A999, 0)), "")</f>
      </c>
      <c r="I508" s="3" t="str">
        <f>_xlfn.IFNA(INDEX(RulebookFields!D2:D999, MATCH(D508,RulebookFields!A2:A999, 0)), "")</f>
      </c>
      <c r="J508" s="3" t="str">
        <f>_xlfn.IFNA(INDEX(RulebookFields!I2:I999, MATCH(D508,RulebookFields!A2:A999, 0)), "")</f>
      </c>
      <c r="K508" s="3" t="b">
        <f>AND(F508, J508)</f>
        <v>0</v>
      </c>
      <c r="L508" s="3" t="b">
        <f>AND(G508 &lt;&gt; "plain", G508 &lt;&gt; "")</f>
        <v>0</v>
      </c>
      <c r="M508" s="3" t="str">
        <f>IF(E508, C508 &amp; "|" &amp; H508, "")</f>
        <v>principal-process-steward|</v>
      </c>
      <c r="N508" s="2" t="s">
        <v>9938</v>
      </c>
    </row>
    <row r="509">
      <c r="A509" s="2" t="s">
        <v>10445</v>
      </c>
      <c r="B509" s="3" t="str">
        <f>C509 &amp; " -&gt; " &amp; D509</f>
        <v>principal-process-steward -&gt; AppRoleProfiles.AccentColor</v>
      </c>
      <c r="C509" s="2" t="s">
        <v>9706</v>
      </c>
      <c r="D509" s="2" t="s">
        <v>5206</v>
      </c>
      <c r="E509" s="2" t="b">
        <v>1</v>
      </c>
      <c r="F509" s="2" t="b">
        <v>0</v>
      </c>
      <c r="G509" s="2" t="s">
        <v>9937</v>
      </c>
      <c r="H509" s="3" t="str">
        <f>_xlfn.IFNA(INDEX(RulebookFields!C2:C999, MATCH(D509,RulebookFields!A2:A999, 0)), "")</f>
      </c>
      <c r="I509" s="3" t="str">
        <f>_xlfn.IFNA(INDEX(RulebookFields!D2:D999, MATCH(D509,RulebookFields!A2:A999, 0)), "")</f>
      </c>
      <c r="J509" s="3" t="str">
        <f>_xlfn.IFNA(INDEX(RulebookFields!I2:I999, MATCH(D509,RulebookFields!A2:A999, 0)), "")</f>
      </c>
      <c r="K509" s="3" t="b">
        <f>AND(F509, J509)</f>
        <v>0</v>
      </c>
      <c r="L509" s="3" t="b">
        <f>AND(G509 &lt;&gt; "plain", G509 &lt;&gt; "")</f>
        <v>0</v>
      </c>
      <c r="M509" s="3" t="str">
        <f>IF(E509, C509 &amp; "|" &amp; H509, "")</f>
        <v>principal-process-steward|</v>
      </c>
      <c r="N509" s="2" t="s">
        <v>9938</v>
      </c>
    </row>
    <row r="510">
      <c r="A510" s="2" t="s">
        <v>10446</v>
      </c>
      <c r="B510" s="3" t="str">
        <f>C510 &amp; " -&gt; " &amp; D510</f>
        <v>principal-process-steward -&gt; AppRoleProfiles.IconMark</v>
      </c>
      <c r="C510" s="2" t="s">
        <v>9706</v>
      </c>
      <c r="D510" s="2" t="s">
        <v>5208</v>
      </c>
      <c r="E510" s="2" t="b">
        <v>1</v>
      </c>
      <c r="F510" s="2" t="b">
        <v>0</v>
      </c>
      <c r="G510" s="2" t="s">
        <v>9937</v>
      </c>
      <c r="H510" s="3" t="str">
        <f>_xlfn.IFNA(INDEX(RulebookFields!C2:C999, MATCH(D510,RulebookFields!A2:A999, 0)), "")</f>
      </c>
      <c r="I510" s="3" t="str">
        <f>_xlfn.IFNA(INDEX(RulebookFields!D2:D999, MATCH(D510,RulebookFields!A2:A999, 0)), "")</f>
      </c>
      <c r="J510" s="3" t="str">
        <f>_xlfn.IFNA(INDEX(RulebookFields!I2:I999, MATCH(D510,RulebookFields!A2:A999, 0)), "")</f>
      </c>
      <c r="K510" s="3" t="b">
        <f>AND(F510, J510)</f>
        <v>0</v>
      </c>
      <c r="L510" s="3" t="b">
        <f>AND(G510 &lt;&gt; "plain", G510 &lt;&gt; "")</f>
        <v>0</v>
      </c>
      <c r="M510" s="3" t="str">
        <f>IF(E510, C510 &amp; "|" &amp; H510, "")</f>
        <v>principal-process-steward|</v>
      </c>
      <c r="N510" s="2" t="s">
        <v>9938</v>
      </c>
    </row>
    <row r="511">
      <c r="A511" s="2" t="s">
        <v>10447</v>
      </c>
      <c r="B511" s="3" t="str">
        <f>C511 &amp; " -&gt; " &amp; D511</f>
        <v>principal-process-steward -&gt; AppRoleProfiles.IconPngBase64</v>
      </c>
      <c r="C511" s="2" t="s">
        <v>9706</v>
      </c>
      <c r="D511" s="2" t="s">
        <v>5210</v>
      </c>
      <c r="E511" s="2" t="b">
        <v>1</v>
      </c>
      <c r="F511" s="2" t="b">
        <v>0</v>
      </c>
      <c r="G511" s="2" t="s">
        <v>9937</v>
      </c>
      <c r="H511" s="3" t="str">
        <f>_xlfn.IFNA(INDEX(RulebookFields!C2:C999, MATCH(D511,RulebookFields!A2:A999, 0)), "")</f>
      </c>
      <c r="I511" s="3" t="str">
        <f>_xlfn.IFNA(INDEX(RulebookFields!D2:D999, MATCH(D511,RulebookFields!A2:A999, 0)), "")</f>
      </c>
      <c r="J511" s="3" t="str">
        <f>_xlfn.IFNA(INDEX(RulebookFields!I2:I999, MATCH(D511,RulebookFields!A2:A999, 0)), "")</f>
      </c>
      <c r="K511" s="3" t="b">
        <f>AND(F511, J511)</f>
        <v>0</v>
      </c>
      <c r="L511" s="3" t="b">
        <f>AND(G511 &lt;&gt; "plain", G511 &lt;&gt; "")</f>
        <v>0</v>
      </c>
      <c r="M511" s="3" t="str">
        <f>IF(E511, C511 &amp; "|" &amp; H511, "")</f>
        <v>principal-process-steward|</v>
      </c>
      <c r="N511" s="2" t="s">
        <v>9938</v>
      </c>
    </row>
    <row r="512">
      <c r="A512" s="2" t="s">
        <v>10448</v>
      </c>
      <c r="B512" s="3" t="str">
        <f>C512 &amp; " -&gt; " &amp; D512</f>
        <v>principal-process-steward -&gt; AppRoleProfiles.Pitch</v>
      </c>
      <c r="C512" s="2" t="s">
        <v>9706</v>
      </c>
      <c r="D512" s="2" t="s">
        <v>5212</v>
      </c>
      <c r="E512" s="2" t="b">
        <v>1</v>
      </c>
      <c r="F512" s="2" t="b">
        <v>0</v>
      </c>
      <c r="G512" s="2" t="s">
        <v>9937</v>
      </c>
      <c r="H512" s="3" t="str">
        <f>_xlfn.IFNA(INDEX(RulebookFields!C2:C999, MATCH(D512,RulebookFields!A2:A999, 0)), "")</f>
      </c>
      <c r="I512" s="3" t="str">
        <f>_xlfn.IFNA(INDEX(RulebookFields!D2:D999, MATCH(D512,RulebookFields!A2:A999, 0)), "")</f>
      </c>
      <c r="J512" s="3" t="str">
        <f>_xlfn.IFNA(INDEX(RulebookFields!I2:I999, MATCH(D512,RulebookFields!A2:A999, 0)), "")</f>
      </c>
      <c r="K512" s="3" t="b">
        <f>AND(F512, J512)</f>
        <v>0</v>
      </c>
      <c r="L512" s="3" t="b">
        <f>AND(G512 &lt;&gt; "plain", G512 &lt;&gt; "")</f>
        <v>0</v>
      </c>
      <c r="M512" s="3" t="str">
        <f>IF(E512, C512 &amp; "|" &amp; H512, "")</f>
        <v>principal-process-steward|</v>
      </c>
      <c r="N512" s="2" t="s">
        <v>9938</v>
      </c>
    </row>
    <row r="513">
      <c r="A513" s="2" t="s">
        <v>10449</v>
      </c>
      <c r="B513" s="3" t="str">
        <f>C513 &amp; " -&gt; " &amp; D513</f>
        <v>principal-process-steward -&gt; AppRoleProfiles.SortOrder</v>
      </c>
      <c r="C513" s="2" t="s">
        <v>9706</v>
      </c>
      <c r="D513" s="2" t="s">
        <v>5214</v>
      </c>
      <c r="E513" s="2" t="b">
        <v>1</v>
      </c>
      <c r="F513" s="2" t="b">
        <v>0</v>
      </c>
      <c r="G513" s="2" t="s">
        <v>9937</v>
      </c>
      <c r="H513" s="3" t="str">
        <f>_xlfn.IFNA(INDEX(RulebookFields!C2:C999, MATCH(D513,RulebookFields!A2:A999, 0)), "")</f>
      </c>
      <c r="I513" s="3" t="str">
        <f>_xlfn.IFNA(INDEX(RulebookFields!D2:D999, MATCH(D513,RulebookFields!A2:A999, 0)), "")</f>
      </c>
      <c r="J513" s="3" t="str">
        <f>_xlfn.IFNA(INDEX(RulebookFields!I2:I999, MATCH(D513,RulebookFields!A2:A999, 0)), "")</f>
      </c>
      <c r="K513" s="3" t="b">
        <f>AND(F513, J513)</f>
        <v>0</v>
      </c>
      <c r="L513" s="3" t="b">
        <f>AND(G513 &lt;&gt; "plain", G513 &lt;&gt; "")</f>
        <v>0</v>
      </c>
      <c r="M513" s="3" t="str">
        <f>IF(E513, C513 &amp; "|" &amp; H513, "")</f>
        <v>principal-process-steward|</v>
      </c>
      <c r="N513" s="2" t="s">
        <v>9938</v>
      </c>
    </row>
    <row r="514">
      <c r="A514" s="2" t="s">
        <v>10450</v>
      </c>
      <c r="B514" s="3" t="str">
        <f>C514 &amp; " -&gt; " &amp; D514</f>
        <v>principal-process-steward -&gt; AppRoleProfiles.RouteCount</v>
      </c>
      <c r="C514" s="2" t="s">
        <v>9706</v>
      </c>
      <c r="D514" s="2" t="s">
        <v>5216</v>
      </c>
      <c r="E514" s="2" t="b">
        <v>1</v>
      </c>
      <c r="F514" s="2" t="b">
        <v>0</v>
      </c>
      <c r="G514" s="2" t="s">
        <v>9937</v>
      </c>
      <c r="H514" s="3" t="str">
        <f>_xlfn.IFNA(INDEX(RulebookFields!C2:C999, MATCH(D514,RulebookFields!A2:A999, 0)), "")</f>
      </c>
      <c r="I514" s="3" t="str">
        <f>_xlfn.IFNA(INDEX(RulebookFields!D2:D999, MATCH(D514,RulebookFields!A2:A999, 0)), "")</f>
      </c>
      <c r="J514" s="3" t="str">
        <f>_xlfn.IFNA(INDEX(RulebookFields!I2:I999, MATCH(D514,RulebookFields!A2:A999, 0)), "")</f>
      </c>
      <c r="K514" s="3" t="b">
        <f>AND(F514, J514)</f>
        <v>0</v>
      </c>
      <c r="L514" s="3" t="b">
        <f>AND(G514 &lt;&gt; "plain", G514 &lt;&gt; "")</f>
        <v>0</v>
      </c>
      <c r="M514" s="3" t="str">
        <f>IF(E514, C514 &amp; "|" &amp; H514, "")</f>
        <v>principal-process-steward|</v>
      </c>
      <c r="N514" s="2" t="s">
        <v>9938</v>
      </c>
    </row>
    <row r="515">
      <c r="A515" s="2" t="s">
        <v>10451</v>
      </c>
      <c r="B515" s="3" t="str">
        <f>C515 &amp; " -&gt; " &amp; D515</f>
        <v>principal-process-steward -&gt; AppRoleProfiles.SemanticTypeIri</v>
      </c>
      <c r="C515" s="2" t="s">
        <v>9706</v>
      </c>
      <c r="D515" s="2" t="s">
        <v>5219</v>
      </c>
      <c r="E515" s="2" t="b">
        <v>1</v>
      </c>
      <c r="F515" s="2" t="b">
        <v>0</v>
      </c>
      <c r="G515" s="2" t="s">
        <v>9937</v>
      </c>
      <c r="H515" s="3" t="str">
        <f>_xlfn.IFNA(INDEX(RulebookFields!C2:C999, MATCH(D515,RulebookFields!A2:A999, 0)), "")</f>
      </c>
      <c r="I515" s="3" t="str">
        <f>_xlfn.IFNA(INDEX(RulebookFields!D2:D999, MATCH(D515,RulebookFields!A2:A999, 0)), "")</f>
      </c>
      <c r="J515" s="3" t="str">
        <f>_xlfn.IFNA(INDEX(RulebookFields!I2:I999, MATCH(D515,RulebookFields!A2:A999, 0)), "")</f>
      </c>
      <c r="K515" s="3" t="b">
        <f>AND(F515, J515)</f>
        <v>0</v>
      </c>
      <c r="L515" s="3" t="b">
        <f>AND(G515 &lt;&gt; "plain", G515 &lt;&gt; "")</f>
        <v>0</v>
      </c>
      <c r="M515" s="3" t="str">
        <f>IF(E515, C515 &amp; "|" &amp; H515, "")</f>
        <v>principal-process-steward|</v>
      </c>
      <c r="N515" s="2" t="s">
        <v>9938</v>
      </c>
    </row>
    <row r="516">
      <c r="A516" s="2" t="s">
        <v>10452</v>
      </c>
      <c r="B516" s="3" t="str">
        <f>C516 &amp; " -&gt; " &amp; D516</f>
        <v>principal-process-steward -&gt; AppRouteQuestions.AppRouteQuestionId</v>
      </c>
      <c r="C516" s="2" t="s">
        <v>9706</v>
      </c>
      <c r="D516" s="2" t="s">
        <v>5268</v>
      </c>
      <c r="E516" s="2" t="b">
        <v>1</v>
      </c>
      <c r="F516" s="2" t="b">
        <v>0</v>
      </c>
      <c r="G516" s="2" t="s">
        <v>9937</v>
      </c>
      <c r="H516" s="3" t="str">
        <f>_xlfn.IFNA(INDEX(RulebookFields!C2:C999, MATCH(D516,RulebookFields!A2:A999, 0)), "")</f>
      </c>
      <c r="I516" s="3" t="str">
        <f>_xlfn.IFNA(INDEX(RulebookFields!D2:D999, MATCH(D516,RulebookFields!A2:A999, 0)), "")</f>
      </c>
      <c r="J516" s="3" t="str">
        <f>_xlfn.IFNA(INDEX(RulebookFields!I2:I999, MATCH(D516,RulebookFields!A2:A999, 0)), "")</f>
      </c>
      <c r="K516" s="3" t="b">
        <f>AND(F516, J516)</f>
        <v>0</v>
      </c>
      <c r="L516" s="3" t="b">
        <f>AND(G516 &lt;&gt; "plain", G516 &lt;&gt; "")</f>
        <v>0</v>
      </c>
      <c r="M516" s="3" t="str">
        <f>IF(E516, C516 &amp; "|" &amp; H516, "")</f>
        <v>principal-process-steward|</v>
      </c>
      <c r="N516" s="2" t="s">
        <v>9938</v>
      </c>
    </row>
    <row r="517">
      <c r="A517" s="2" t="s">
        <v>10453</v>
      </c>
      <c r="B517" s="3" t="str">
        <f>C517 &amp; " -&gt; " &amp; D517</f>
        <v>principal-process-steward -&gt; AppRouteQuestions.Name</v>
      </c>
      <c r="C517" s="2" t="s">
        <v>9706</v>
      </c>
      <c r="D517" s="2" t="s">
        <v>5270</v>
      </c>
      <c r="E517" s="2" t="b">
        <v>1</v>
      </c>
      <c r="F517" s="2" t="b">
        <v>0</v>
      </c>
      <c r="G517" s="2" t="s">
        <v>9937</v>
      </c>
      <c r="H517" s="3" t="str">
        <f>_xlfn.IFNA(INDEX(RulebookFields!C2:C999, MATCH(D517,RulebookFields!A2:A999, 0)), "")</f>
      </c>
      <c r="I517" s="3" t="str">
        <f>_xlfn.IFNA(INDEX(RulebookFields!D2:D999, MATCH(D517,RulebookFields!A2:A999, 0)), "")</f>
      </c>
      <c r="J517" s="3" t="str">
        <f>_xlfn.IFNA(INDEX(RulebookFields!I2:I999, MATCH(D517,RulebookFields!A2:A999, 0)), "")</f>
      </c>
      <c r="K517" s="3" t="b">
        <f>AND(F517, J517)</f>
        <v>0</v>
      </c>
      <c r="L517" s="3" t="b">
        <f>AND(G517 &lt;&gt; "plain", G517 &lt;&gt; "")</f>
        <v>0</v>
      </c>
      <c r="M517" s="3" t="str">
        <f>IF(E517, C517 &amp; "|" &amp; H517, "")</f>
        <v>principal-process-steward|</v>
      </c>
      <c r="N517" s="2" t="s">
        <v>9938</v>
      </c>
    </row>
    <row r="518">
      <c r="A518" s="2" t="s">
        <v>10454</v>
      </c>
      <c r="B518" s="3" t="str">
        <f>C518 &amp; " -&gt; " &amp; D518</f>
        <v>principal-process-steward -&gt; AppRouteQuestions.Route</v>
      </c>
      <c r="C518" s="2" t="s">
        <v>9706</v>
      </c>
      <c r="D518" s="2" t="s">
        <v>5272</v>
      </c>
      <c r="E518" s="2" t="b">
        <v>1</v>
      </c>
      <c r="F518" s="2" t="b">
        <v>0</v>
      </c>
      <c r="G518" s="2" t="s">
        <v>9937</v>
      </c>
      <c r="H518" s="3" t="str">
        <f>_xlfn.IFNA(INDEX(RulebookFields!C2:C999, MATCH(D518,RulebookFields!A2:A999, 0)), "")</f>
      </c>
      <c r="I518" s="3" t="str">
        <f>_xlfn.IFNA(INDEX(RulebookFields!D2:D999, MATCH(D518,RulebookFields!A2:A999, 0)), "")</f>
      </c>
      <c r="J518" s="3" t="str">
        <f>_xlfn.IFNA(INDEX(RulebookFields!I2:I999, MATCH(D518,RulebookFields!A2:A999, 0)), "")</f>
      </c>
      <c r="K518" s="3" t="b">
        <f>AND(F518, J518)</f>
        <v>0</v>
      </c>
      <c r="L518" s="3" t="b">
        <f>AND(G518 &lt;&gt; "plain", G518 &lt;&gt; "")</f>
        <v>0</v>
      </c>
      <c r="M518" s="3" t="str">
        <f>IF(E518, C518 &amp; "|" &amp; H518, "")</f>
        <v>principal-process-steward|</v>
      </c>
      <c r="N518" s="2" t="s">
        <v>9938</v>
      </c>
    </row>
    <row r="519">
      <c r="A519" s="2" t="s">
        <v>10455</v>
      </c>
      <c r="B519" s="3" t="str">
        <f>C519 &amp; " -&gt; " &amp; D519</f>
        <v>principal-process-steward -&gt; AppRouteQuestions.Question</v>
      </c>
      <c r="C519" s="2" t="s">
        <v>9706</v>
      </c>
      <c r="D519" s="2" t="s">
        <v>5274</v>
      </c>
      <c r="E519" s="2" t="b">
        <v>1</v>
      </c>
      <c r="F519" s="2" t="b">
        <v>0</v>
      </c>
      <c r="G519" s="2" t="s">
        <v>9937</v>
      </c>
      <c r="H519" s="3" t="str">
        <f>_xlfn.IFNA(INDEX(RulebookFields!C2:C999, MATCH(D519,RulebookFields!A2:A999, 0)), "")</f>
      </c>
      <c r="I519" s="3" t="str">
        <f>_xlfn.IFNA(INDEX(RulebookFields!D2:D999, MATCH(D519,RulebookFields!A2:A999, 0)), "")</f>
      </c>
      <c r="J519" s="3" t="str">
        <f>_xlfn.IFNA(INDEX(RulebookFields!I2:I999, MATCH(D519,RulebookFields!A2:A999, 0)), "")</f>
      </c>
      <c r="K519" s="3" t="b">
        <f>AND(F519, J519)</f>
        <v>0</v>
      </c>
      <c r="L519" s="3" t="b">
        <f>AND(G519 &lt;&gt; "plain", G519 &lt;&gt; "")</f>
        <v>0</v>
      </c>
      <c r="M519" s="3" t="str">
        <f>IF(E519, C519 &amp; "|" &amp; H519, "")</f>
        <v>principal-process-steward|</v>
      </c>
      <c r="N519" s="2" t="s">
        <v>9938</v>
      </c>
    </row>
    <row r="520">
      <c r="A520" s="2" t="s">
        <v>10456</v>
      </c>
      <c r="B520" s="3" t="str">
        <f>C520 &amp; " -&gt; " &amp; D520</f>
        <v>principal-process-steward -&gt; AppRouteQuestions.SemanticTypeIri</v>
      </c>
      <c r="C520" s="2" t="s">
        <v>9706</v>
      </c>
      <c r="D520" s="2" t="s">
        <v>5275</v>
      </c>
      <c r="E520" s="2" t="b">
        <v>1</v>
      </c>
      <c r="F520" s="2" t="b">
        <v>0</v>
      </c>
      <c r="G520" s="2" t="s">
        <v>9937</v>
      </c>
      <c r="H520" s="3" t="str">
        <f>_xlfn.IFNA(INDEX(RulebookFields!C2:C999, MATCH(D520,RulebookFields!A2:A999, 0)), "")</f>
      </c>
      <c r="I520" s="3" t="str">
        <f>_xlfn.IFNA(INDEX(RulebookFields!D2:D999, MATCH(D520,RulebookFields!A2:A999, 0)), "")</f>
      </c>
      <c r="J520" s="3" t="str">
        <f>_xlfn.IFNA(INDEX(RulebookFields!I2:I999, MATCH(D520,RulebookFields!A2:A999, 0)), "")</f>
      </c>
      <c r="K520" s="3" t="b">
        <f>AND(F520, J520)</f>
        <v>0</v>
      </c>
      <c r="L520" s="3" t="b">
        <f>AND(G520 &lt;&gt; "plain", G520 &lt;&gt; "")</f>
        <v>0</v>
      </c>
      <c r="M520" s="3" t="str">
        <f>IF(E520, C520 &amp; "|" &amp; H520, "")</f>
        <v>principal-process-steward|</v>
      </c>
      <c r="N520" s="2" t="s">
        <v>9938</v>
      </c>
    </row>
    <row r="521">
      <c r="A521" s="2" t="s">
        <v>10457</v>
      </c>
      <c r="B521" s="3" t="str">
        <f>C521 &amp; " -&gt; " &amp; D521</f>
        <v>principal-process-steward -&gt; AppRouteReferences.AppRouteReferenceId</v>
      </c>
      <c r="C521" s="2" t="s">
        <v>9706</v>
      </c>
      <c r="D521" s="2" t="s">
        <v>5276</v>
      </c>
      <c r="E521" s="2" t="b">
        <v>1</v>
      </c>
      <c r="F521" s="2" t="b">
        <v>0</v>
      </c>
      <c r="G521" s="2" t="s">
        <v>9937</v>
      </c>
      <c r="H521" s="3" t="str">
        <f>_xlfn.IFNA(INDEX(RulebookFields!C2:C999, MATCH(D521,RulebookFields!A2:A999, 0)), "")</f>
      </c>
      <c r="I521" s="3" t="str">
        <f>_xlfn.IFNA(INDEX(RulebookFields!D2:D999, MATCH(D521,RulebookFields!A2:A999, 0)), "")</f>
      </c>
      <c r="J521" s="3" t="str">
        <f>_xlfn.IFNA(INDEX(RulebookFields!I2:I999, MATCH(D521,RulebookFields!A2:A999, 0)), "")</f>
      </c>
      <c r="K521" s="3" t="b">
        <f>AND(F521, J521)</f>
        <v>0</v>
      </c>
      <c r="L521" s="3" t="b">
        <f>AND(G521 &lt;&gt; "plain", G521 &lt;&gt; "")</f>
        <v>0</v>
      </c>
      <c r="M521" s="3" t="str">
        <f>IF(E521, C521 &amp; "|" &amp; H521, "")</f>
        <v>principal-process-steward|</v>
      </c>
      <c r="N521" s="2" t="s">
        <v>9938</v>
      </c>
    </row>
    <row r="522">
      <c r="A522" s="2" t="s">
        <v>10458</v>
      </c>
      <c r="B522" s="3" t="str">
        <f>C522 &amp; " -&gt; " &amp; D522</f>
        <v>principal-process-steward -&gt; AppRouteReferences.Name</v>
      </c>
      <c r="C522" s="2" t="s">
        <v>9706</v>
      </c>
      <c r="D522" s="2" t="s">
        <v>5278</v>
      </c>
      <c r="E522" s="2" t="b">
        <v>1</v>
      </c>
      <c r="F522" s="2" t="b">
        <v>0</v>
      </c>
      <c r="G522" s="2" t="s">
        <v>9937</v>
      </c>
      <c r="H522" s="3" t="str">
        <f>_xlfn.IFNA(INDEX(RulebookFields!C2:C999, MATCH(D522,RulebookFields!A2:A999, 0)), "")</f>
      </c>
      <c r="I522" s="3" t="str">
        <f>_xlfn.IFNA(INDEX(RulebookFields!D2:D999, MATCH(D522,RulebookFields!A2:A999, 0)), "")</f>
      </c>
      <c r="J522" s="3" t="str">
        <f>_xlfn.IFNA(INDEX(RulebookFields!I2:I999, MATCH(D522,RulebookFields!A2:A999, 0)), "")</f>
      </c>
      <c r="K522" s="3" t="b">
        <f>AND(F522, J522)</f>
        <v>0</v>
      </c>
      <c r="L522" s="3" t="b">
        <f>AND(G522 &lt;&gt; "plain", G522 &lt;&gt; "")</f>
        <v>0</v>
      </c>
      <c r="M522" s="3" t="str">
        <f>IF(E522, C522 &amp; "|" &amp; H522, "")</f>
        <v>principal-process-steward|</v>
      </c>
      <c r="N522" s="2" t="s">
        <v>9938</v>
      </c>
    </row>
    <row r="523">
      <c r="A523" s="2" t="s">
        <v>10459</v>
      </c>
      <c r="B523" s="3" t="str">
        <f>C523 &amp; " -&gt; " &amp; D523</f>
        <v>principal-process-steward -&gt; AppRouteReferences.FromRoute</v>
      </c>
      <c r="C523" s="2" t="s">
        <v>9706</v>
      </c>
      <c r="D523" s="2" t="s">
        <v>5280</v>
      </c>
      <c r="E523" s="2" t="b">
        <v>1</v>
      </c>
      <c r="F523" s="2" t="b">
        <v>0</v>
      </c>
      <c r="G523" s="2" t="s">
        <v>9937</v>
      </c>
      <c r="H523" s="3" t="str">
        <f>_xlfn.IFNA(INDEX(RulebookFields!C2:C999, MATCH(D523,RulebookFields!A2:A999, 0)), "")</f>
      </c>
      <c r="I523" s="3" t="str">
        <f>_xlfn.IFNA(INDEX(RulebookFields!D2:D999, MATCH(D523,RulebookFields!A2:A999, 0)), "")</f>
      </c>
      <c r="J523" s="3" t="str">
        <f>_xlfn.IFNA(INDEX(RulebookFields!I2:I999, MATCH(D523,RulebookFields!A2:A999, 0)), "")</f>
      </c>
      <c r="K523" s="3" t="b">
        <f>AND(F523, J523)</f>
        <v>0</v>
      </c>
      <c r="L523" s="3" t="b">
        <f>AND(G523 &lt;&gt; "plain", G523 &lt;&gt; "")</f>
        <v>0</v>
      </c>
      <c r="M523" s="3" t="str">
        <f>IF(E523, C523 &amp; "|" &amp; H523, "")</f>
        <v>principal-process-steward|</v>
      </c>
      <c r="N523" s="2" t="s">
        <v>9938</v>
      </c>
    </row>
    <row r="524">
      <c r="A524" s="2" t="s">
        <v>10460</v>
      </c>
      <c r="B524" s="3" t="str">
        <f>C524 &amp; " -&gt; " &amp; D524</f>
        <v>principal-process-steward -&gt; AppRouteReferences.ToRoute</v>
      </c>
      <c r="C524" s="2" t="s">
        <v>9706</v>
      </c>
      <c r="D524" s="2" t="s">
        <v>5282</v>
      </c>
      <c r="E524" s="2" t="b">
        <v>1</v>
      </c>
      <c r="F524" s="2" t="b">
        <v>0</v>
      </c>
      <c r="G524" s="2" t="s">
        <v>9937</v>
      </c>
      <c r="H524" s="3" t="str">
        <f>_xlfn.IFNA(INDEX(RulebookFields!C2:C999, MATCH(D524,RulebookFields!A2:A999, 0)), "")</f>
      </c>
      <c r="I524" s="3" t="str">
        <f>_xlfn.IFNA(INDEX(RulebookFields!D2:D999, MATCH(D524,RulebookFields!A2:A999, 0)), "")</f>
      </c>
      <c r="J524" s="3" t="str">
        <f>_xlfn.IFNA(INDEX(RulebookFields!I2:I999, MATCH(D524,RulebookFields!A2:A999, 0)), "")</f>
      </c>
      <c r="K524" s="3" t="b">
        <f>AND(F524, J524)</f>
        <v>0</v>
      </c>
      <c r="L524" s="3" t="b">
        <f>AND(G524 &lt;&gt; "plain", G524 &lt;&gt; "")</f>
        <v>0</v>
      </c>
      <c r="M524" s="3" t="str">
        <f>IF(E524, C524 &amp; "|" &amp; H524, "")</f>
        <v>principal-process-steward|</v>
      </c>
      <c r="N524" s="2" t="s">
        <v>9938</v>
      </c>
    </row>
    <row r="525">
      <c r="A525" s="2" t="s">
        <v>10461</v>
      </c>
      <c r="B525" s="3" t="str">
        <f>C525 &amp; " -&gt; " &amp; D525</f>
        <v>principal-process-steward -&gt; AppRouteReferences.SemanticTypeIri</v>
      </c>
      <c r="C525" s="2" t="s">
        <v>9706</v>
      </c>
      <c r="D525" s="2" t="s">
        <v>5284</v>
      </c>
      <c r="E525" s="2" t="b">
        <v>1</v>
      </c>
      <c r="F525" s="2" t="b">
        <v>0</v>
      </c>
      <c r="G525" s="2" t="s">
        <v>9937</v>
      </c>
      <c r="H525" s="3" t="str">
        <f>_xlfn.IFNA(INDEX(RulebookFields!C2:C999, MATCH(D525,RulebookFields!A2:A999, 0)), "")</f>
      </c>
      <c r="I525" s="3" t="str">
        <f>_xlfn.IFNA(INDEX(RulebookFields!D2:D999, MATCH(D525,RulebookFields!A2:A999, 0)), "")</f>
      </c>
      <c r="J525" s="3" t="str">
        <f>_xlfn.IFNA(INDEX(RulebookFields!I2:I999, MATCH(D525,RulebookFields!A2:A999, 0)), "")</f>
      </c>
      <c r="K525" s="3" t="b">
        <f>AND(F525, J525)</f>
        <v>0</v>
      </c>
      <c r="L525" s="3" t="b">
        <f>AND(G525 &lt;&gt; "plain", G525 &lt;&gt; "")</f>
        <v>0</v>
      </c>
      <c r="M525" s="3" t="str">
        <f>IF(E525, C525 &amp; "|" &amp; H525, "")</f>
        <v>principal-process-steward|</v>
      </c>
      <c r="N525" s="2" t="s">
        <v>9938</v>
      </c>
    </row>
    <row r="526">
      <c r="A526" s="2" t="s">
        <v>10462</v>
      </c>
      <c r="B526" s="3" t="str">
        <f>C526 &amp; " -&gt; " &amp; D526</f>
        <v>principal-process-steward -&gt; AppRoutes.AppRouteId</v>
      </c>
      <c r="C526" s="2" t="s">
        <v>9706</v>
      </c>
      <c r="D526" s="2" t="s">
        <v>5229</v>
      </c>
      <c r="E526" s="2" t="b">
        <v>1</v>
      </c>
      <c r="F526" s="2" t="b">
        <v>0</v>
      </c>
      <c r="G526" s="2" t="s">
        <v>9937</v>
      </c>
      <c r="H526" s="3" t="str">
        <f>_xlfn.IFNA(INDEX(RulebookFields!C2:C999, MATCH(D526,RulebookFields!A2:A999, 0)), "")</f>
      </c>
      <c r="I526" s="3" t="str">
        <f>_xlfn.IFNA(INDEX(RulebookFields!D2:D999, MATCH(D526,RulebookFields!A2:A999, 0)), "")</f>
      </c>
      <c r="J526" s="3" t="str">
        <f>_xlfn.IFNA(INDEX(RulebookFields!I2:I999, MATCH(D526,RulebookFields!A2:A999, 0)), "")</f>
      </c>
      <c r="K526" s="3" t="b">
        <f>AND(F526, J526)</f>
        <v>0</v>
      </c>
      <c r="L526" s="3" t="b">
        <f>AND(G526 &lt;&gt; "plain", G526 &lt;&gt; "")</f>
        <v>0</v>
      </c>
      <c r="M526" s="3" t="str">
        <f>IF(E526, C526 &amp; "|" &amp; H526, "")</f>
        <v>principal-process-steward|</v>
      </c>
      <c r="N526" s="2" t="s">
        <v>9938</v>
      </c>
    </row>
    <row r="527">
      <c r="A527" s="2" t="s">
        <v>10463</v>
      </c>
      <c r="B527" s="3" t="str">
        <f>C527 &amp; " -&gt; " &amp; D527</f>
        <v>principal-process-steward -&gt; AppRoutes.Name</v>
      </c>
      <c r="C527" s="2" t="s">
        <v>9706</v>
      </c>
      <c r="D527" s="2" t="s">
        <v>5231</v>
      </c>
      <c r="E527" s="2" t="b">
        <v>1</v>
      </c>
      <c r="F527" s="2" t="b">
        <v>0</v>
      </c>
      <c r="G527" s="2" t="s">
        <v>9937</v>
      </c>
      <c r="H527" s="3" t="str">
        <f>_xlfn.IFNA(INDEX(RulebookFields!C2:C999, MATCH(D527,RulebookFields!A2:A999, 0)), "")</f>
      </c>
      <c r="I527" s="3" t="str">
        <f>_xlfn.IFNA(INDEX(RulebookFields!D2:D999, MATCH(D527,RulebookFields!A2:A999, 0)), "")</f>
      </c>
      <c r="J527" s="3" t="str">
        <f>_xlfn.IFNA(INDEX(RulebookFields!I2:I999, MATCH(D527,RulebookFields!A2:A999, 0)), "")</f>
      </c>
      <c r="K527" s="3" t="b">
        <f>AND(F527, J527)</f>
        <v>0</v>
      </c>
      <c r="L527" s="3" t="b">
        <f>AND(G527 &lt;&gt; "plain", G527 &lt;&gt; "")</f>
        <v>0</v>
      </c>
      <c r="M527" s="3" t="str">
        <f>IF(E527, C527 &amp; "|" &amp; H527, "")</f>
        <v>principal-process-steward|</v>
      </c>
      <c r="N527" s="2" t="s">
        <v>9938</v>
      </c>
    </row>
    <row r="528">
      <c r="A528" s="2" t="s">
        <v>10464</v>
      </c>
      <c r="B528" s="3" t="str">
        <f>C528 &amp; " -&gt; " &amp; D528</f>
        <v>principal-process-steward -&gt; AppRoutes.RoutePath</v>
      </c>
      <c r="C528" s="2" t="s">
        <v>9706</v>
      </c>
      <c r="D528" s="2" t="s">
        <v>5233</v>
      </c>
      <c r="E528" s="2" t="b">
        <v>1</v>
      </c>
      <c r="F528" s="2" t="b">
        <v>0</v>
      </c>
      <c r="G528" s="2" t="s">
        <v>9937</v>
      </c>
      <c r="H528" s="3" t="str">
        <f>_xlfn.IFNA(INDEX(RulebookFields!C2:C999, MATCH(D528,RulebookFields!A2:A999, 0)), "")</f>
      </c>
      <c r="I528" s="3" t="str">
        <f>_xlfn.IFNA(INDEX(RulebookFields!D2:D999, MATCH(D528,RulebookFields!A2:A999, 0)), "")</f>
      </c>
      <c r="J528" s="3" t="str">
        <f>_xlfn.IFNA(INDEX(RulebookFields!I2:I999, MATCH(D528,RulebookFields!A2:A999, 0)), "")</f>
      </c>
      <c r="K528" s="3" t="b">
        <f>AND(F528, J528)</f>
        <v>0</v>
      </c>
      <c r="L528" s="3" t="b">
        <f>AND(G528 &lt;&gt; "plain", G528 &lt;&gt; "")</f>
        <v>0</v>
      </c>
      <c r="M528" s="3" t="str">
        <f>IF(E528, C528 &amp; "|" &amp; H528, "")</f>
        <v>principal-process-steward|</v>
      </c>
      <c r="N528" s="2" t="s">
        <v>9938</v>
      </c>
    </row>
    <row r="529">
      <c r="A529" s="2" t="s">
        <v>10465</v>
      </c>
      <c r="B529" s="3" t="str">
        <f>C529 &amp; " -&gt; " &amp; D529</f>
        <v>principal-process-steward -&gt; AppRoutes.RouteName</v>
      </c>
      <c r="C529" s="2" t="s">
        <v>9706</v>
      </c>
      <c r="D529" s="2" t="s">
        <v>5235</v>
      </c>
      <c r="E529" s="2" t="b">
        <v>1</v>
      </c>
      <c r="F529" s="2" t="b">
        <v>0</v>
      </c>
      <c r="G529" s="2" t="s">
        <v>9937</v>
      </c>
      <c r="H529" s="3" t="str">
        <f>_xlfn.IFNA(INDEX(RulebookFields!C2:C999, MATCH(D529,RulebookFields!A2:A999, 0)), "")</f>
      </c>
      <c r="I529" s="3" t="str">
        <f>_xlfn.IFNA(INDEX(RulebookFields!D2:D999, MATCH(D529,RulebookFields!A2:A999, 0)), "")</f>
      </c>
      <c r="J529" s="3" t="str">
        <f>_xlfn.IFNA(INDEX(RulebookFields!I2:I999, MATCH(D529,RulebookFields!A2:A999, 0)), "")</f>
      </c>
      <c r="K529" s="3" t="b">
        <f>AND(F529, J529)</f>
        <v>0</v>
      </c>
      <c r="L529" s="3" t="b">
        <f>AND(G529 &lt;&gt; "plain", G529 &lt;&gt; "")</f>
        <v>0</v>
      </c>
      <c r="M529" s="3" t="str">
        <f>IF(E529, C529 &amp; "|" &amp; H529, "")</f>
        <v>principal-process-steward|</v>
      </c>
      <c r="N529" s="2" t="s">
        <v>9938</v>
      </c>
    </row>
    <row r="530">
      <c r="A530" s="2" t="s">
        <v>10466</v>
      </c>
      <c r="B530" s="3" t="str">
        <f>C530 &amp; " -&gt; " &amp; D530</f>
        <v>principal-process-steward -&gt; AppRoutes.Surface</v>
      </c>
      <c r="C530" s="2" t="s">
        <v>9706</v>
      </c>
      <c r="D530" s="2" t="s">
        <v>5237</v>
      </c>
      <c r="E530" s="2" t="b">
        <v>1</v>
      </c>
      <c r="F530" s="2" t="b">
        <v>0</v>
      </c>
      <c r="G530" s="2" t="s">
        <v>9937</v>
      </c>
      <c r="H530" s="3" t="str">
        <f>_xlfn.IFNA(INDEX(RulebookFields!C2:C999, MATCH(D530,RulebookFields!A2:A999, 0)), "")</f>
      </c>
      <c r="I530" s="3" t="str">
        <f>_xlfn.IFNA(INDEX(RulebookFields!D2:D999, MATCH(D530,RulebookFields!A2:A999, 0)), "")</f>
      </c>
      <c r="J530" s="3" t="str">
        <f>_xlfn.IFNA(INDEX(RulebookFields!I2:I999, MATCH(D530,RulebookFields!A2:A999, 0)), "")</f>
      </c>
      <c r="K530" s="3" t="b">
        <f>AND(F530, J530)</f>
        <v>0</v>
      </c>
      <c r="L530" s="3" t="b">
        <f>AND(G530 &lt;&gt; "plain", G530 &lt;&gt; "")</f>
        <v>0</v>
      </c>
      <c r="M530" s="3" t="str">
        <f>IF(E530, C530 &amp; "|" &amp; H530, "")</f>
        <v>principal-process-steward|</v>
      </c>
      <c r="N530" s="2" t="s">
        <v>9938</v>
      </c>
    </row>
    <row r="531">
      <c r="A531" s="2" t="s">
        <v>10467</v>
      </c>
      <c r="B531" s="3" t="str">
        <f>C531 &amp; " -&gt; " &amp; D531</f>
        <v>principal-process-steward -&gt; AppRoutes.OwningRole</v>
      </c>
      <c r="C531" s="2" t="s">
        <v>9706</v>
      </c>
      <c r="D531" s="2" t="s">
        <v>5239</v>
      </c>
      <c r="E531" s="2" t="b">
        <v>1</v>
      </c>
      <c r="F531" s="2" t="b">
        <v>0</v>
      </c>
      <c r="G531" s="2" t="s">
        <v>9937</v>
      </c>
      <c r="H531" s="3" t="str">
        <f>_xlfn.IFNA(INDEX(RulebookFields!C2:C999, MATCH(D531,RulebookFields!A2:A999, 0)), "")</f>
      </c>
      <c r="I531" s="3" t="str">
        <f>_xlfn.IFNA(INDEX(RulebookFields!D2:D999, MATCH(D531,RulebookFields!A2:A999, 0)), "")</f>
      </c>
      <c r="J531" s="3" t="str">
        <f>_xlfn.IFNA(INDEX(RulebookFields!I2:I999, MATCH(D531,RulebookFields!A2:A999, 0)), "")</f>
      </c>
      <c r="K531" s="3" t="b">
        <f>AND(F531, J531)</f>
        <v>0</v>
      </c>
      <c r="L531" s="3" t="b">
        <f>AND(G531 &lt;&gt; "plain", G531 &lt;&gt; "")</f>
        <v>0</v>
      </c>
      <c r="M531" s="3" t="str">
        <f>IF(E531, C531 &amp; "|" &amp; H531, "")</f>
        <v>principal-process-steward|</v>
      </c>
      <c r="N531" s="2" t="s">
        <v>9938</v>
      </c>
    </row>
    <row r="532">
      <c r="A532" s="2" t="s">
        <v>10468</v>
      </c>
      <c r="B532" s="3" t="str">
        <f>C532 &amp; " -&gt; " &amp; D532</f>
        <v>principal-process-steward -&gt; AppRoutes.NavGroup</v>
      </c>
      <c r="C532" s="2" t="s">
        <v>9706</v>
      </c>
      <c r="D532" s="2" t="s">
        <v>5241</v>
      </c>
      <c r="E532" s="2" t="b">
        <v>1</v>
      </c>
      <c r="F532" s="2" t="b">
        <v>0</v>
      </c>
      <c r="G532" s="2" t="s">
        <v>9937</v>
      </c>
      <c r="H532" s="3" t="str">
        <f>_xlfn.IFNA(INDEX(RulebookFields!C2:C999, MATCH(D532,RulebookFields!A2:A999, 0)), "")</f>
      </c>
      <c r="I532" s="3" t="str">
        <f>_xlfn.IFNA(INDEX(RulebookFields!D2:D999, MATCH(D532,RulebookFields!A2:A999, 0)), "")</f>
      </c>
      <c r="J532" s="3" t="str">
        <f>_xlfn.IFNA(INDEX(RulebookFields!I2:I999, MATCH(D532,RulebookFields!A2:A999, 0)), "")</f>
      </c>
      <c r="K532" s="3" t="b">
        <f>AND(F532, J532)</f>
        <v>0</v>
      </c>
      <c r="L532" s="3" t="b">
        <f>AND(G532 &lt;&gt; "plain", G532 &lt;&gt; "")</f>
        <v>0</v>
      </c>
      <c r="M532" s="3" t="str">
        <f>IF(E532, C532 &amp; "|" &amp; H532, "")</f>
        <v>principal-process-steward|</v>
      </c>
      <c r="N532" s="2" t="s">
        <v>9938</v>
      </c>
    </row>
    <row r="533">
      <c r="A533" s="2" t="s">
        <v>10469</v>
      </c>
      <c r="B533" s="3" t="str">
        <f>C533 &amp; " -&gt; " &amp; D533</f>
        <v>principal-process-steward -&gt; AppRoutes.NavOrder</v>
      </c>
      <c r="C533" s="2" t="s">
        <v>9706</v>
      </c>
      <c r="D533" s="2" t="s">
        <v>5243</v>
      </c>
      <c r="E533" s="2" t="b">
        <v>1</v>
      </c>
      <c r="F533" s="2" t="b">
        <v>0</v>
      </c>
      <c r="G533" s="2" t="s">
        <v>9937</v>
      </c>
      <c r="H533" s="3" t="str">
        <f>_xlfn.IFNA(INDEX(RulebookFields!C2:C999, MATCH(D533,RulebookFields!A2:A999, 0)), "")</f>
      </c>
      <c r="I533" s="3" t="str">
        <f>_xlfn.IFNA(INDEX(RulebookFields!D2:D999, MATCH(D533,RulebookFields!A2:A999, 0)), "")</f>
      </c>
      <c r="J533" s="3" t="str">
        <f>_xlfn.IFNA(INDEX(RulebookFields!I2:I999, MATCH(D533,RulebookFields!A2:A999, 0)), "")</f>
      </c>
      <c r="K533" s="3" t="b">
        <f>AND(F533, J533)</f>
        <v>0</v>
      </c>
      <c r="L533" s="3" t="b">
        <f>AND(G533 &lt;&gt; "plain", G533 &lt;&gt; "")</f>
        <v>0</v>
      </c>
      <c r="M533" s="3" t="str">
        <f>IF(E533, C533 &amp; "|" &amp; H533, "")</f>
        <v>principal-process-steward|</v>
      </c>
      <c r="N533" s="2" t="s">
        <v>9938</v>
      </c>
    </row>
    <row r="534">
      <c r="A534" s="2" t="s">
        <v>10470</v>
      </c>
      <c r="B534" s="3" t="str">
        <f>C534 &amp; " -&gt; " &amp; D534</f>
        <v>principal-process-steward -&gt; AppRoutes.RouteKind</v>
      </c>
      <c r="C534" s="2" t="s">
        <v>9706</v>
      </c>
      <c r="D534" s="2" t="s">
        <v>5245</v>
      </c>
      <c r="E534" s="2" t="b">
        <v>1</v>
      </c>
      <c r="F534" s="2" t="b">
        <v>0</v>
      </c>
      <c r="G534" s="2" t="s">
        <v>9937</v>
      </c>
      <c r="H534" s="3" t="str">
        <f>_xlfn.IFNA(INDEX(RulebookFields!C2:C999, MATCH(D534,RulebookFields!A2:A999, 0)), "")</f>
      </c>
      <c r="I534" s="3" t="str">
        <f>_xlfn.IFNA(INDEX(RulebookFields!D2:D999, MATCH(D534,RulebookFields!A2:A999, 0)), "")</f>
      </c>
      <c r="J534" s="3" t="str">
        <f>_xlfn.IFNA(INDEX(RulebookFields!I2:I999, MATCH(D534,RulebookFields!A2:A999, 0)), "")</f>
      </c>
      <c r="K534" s="3" t="b">
        <f>AND(F534, J534)</f>
        <v>0</v>
      </c>
      <c r="L534" s="3" t="b">
        <f>AND(G534 &lt;&gt; "plain", G534 &lt;&gt; "")</f>
        <v>0</v>
      </c>
      <c r="M534" s="3" t="str">
        <f>IF(E534, C534 &amp; "|" &amp; H534, "")</f>
        <v>principal-process-steward|</v>
      </c>
      <c r="N534" s="2" t="s">
        <v>9938</v>
      </c>
    </row>
    <row r="535">
      <c r="A535" s="2" t="s">
        <v>10471</v>
      </c>
      <c r="B535" s="3" t="str">
        <f>C535 &amp; " -&gt; " &amp; D535</f>
        <v>principal-process-steward -&gt; AppRoutes.Purpose</v>
      </c>
      <c r="C535" s="2" t="s">
        <v>9706</v>
      </c>
      <c r="D535" s="2" t="s">
        <v>5247</v>
      </c>
      <c r="E535" s="2" t="b">
        <v>1</v>
      </c>
      <c r="F535" s="2" t="b">
        <v>0</v>
      </c>
      <c r="G535" s="2" t="s">
        <v>9937</v>
      </c>
      <c r="H535" s="3" t="str">
        <f>_xlfn.IFNA(INDEX(RulebookFields!C2:C999, MATCH(D535,RulebookFields!A2:A999, 0)), "")</f>
      </c>
      <c r="I535" s="3" t="str">
        <f>_xlfn.IFNA(INDEX(RulebookFields!D2:D999, MATCH(D535,RulebookFields!A2:A999, 0)), "")</f>
      </c>
      <c r="J535" s="3" t="str">
        <f>_xlfn.IFNA(INDEX(RulebookFields!I2:I999, MATCH(D535,RulebookFields!A2:A999, 0)), "")</f>
      </c>
      <c r="K535" s="3" t="b">
        <f>AND(F535, J535)</f>
        <v>0</v>
      </c>
      <c r="L535" s="3" t="b">
        <f>AND(G535 &lt;&gt; "plain", G535 &lt;&gt; "")</f>
        <v>0</v>
      </c>
      <c r="M535" s="3" t="str">
        <f>IF(E535, C535 &amp; "|" &amp; H535, "")</f>
        <v>principal-process-steward|</v>
      </c>
      <c r="N535" s="2" t="s">
        <v>9938</v>
      </c>
    </row>
    <row r="536">
      <c r="A536" s="2" t="s">
        <v>10472</v>
      </c>
      <c r="B536" s="3" t="str">
        <f>C536 &amp; " -&gt; " &amp; D536</f>
        <v>principal-process-steward -&gt; AppRoutes.LayoutHints</v>
      </c>
      <c r="C536" s="2" t="s">
        <v>9706</v>
      </c>
      <c r="D536" s="2" t="s">
        <v>5248</v>
      </c>
      <c r="E536" s="2" t="b">
        <v>1</v>
      </c>
      <c r="F536" s="2" t="b">
        <v>0</v>
      </c>
      <c r="G536" s="2" t="s">
        <v>9937</v>
      </c>
      <c r="H536" s="3" t="str">
        <f>_xlfn.IFNA(INDEX(RulebookFields!C2:C999, MATCH(D536,RulebookFields!A2:A999, 0)), "")</f>
      </c>
      <c r="I536" s="3" t="str">
        <f>_xlfn.IFNA(INDEX(RulebookFields!D2:D999, MATCH(D536,RulebookFields!A2:A999, 0)), "")</f>
      </c>
      <c r="J536" s="3" t="str">
        <f>_xlfn.IFNA(INDEX(RulebookFields!I2:I999, MATCH(D536,RulebookFields!A2:A999, 0)), "")</f>
      </c>
      <c r="K536" s="3" t="b">
        <f>AND(F536, J536)</f>
        <v>0</v>
      </c>
      <c r="L536" s="3" t="b">
        <f>AND(G536 &lt;&gt; "plain", G536 &lt;&gt; "")</f>
        <v>0</v>
      </c>
      <c r="M536" s="3" t="str">
        <f>IF(E536, C536 &amp; "|" &amp; H536, "")</f>
        <v>principal-process-steward|</v>
      </c>
      <c r="N536" s="2" t="s">
        <v>9938</v>
      </c>
    </row>
    <row r="537">
      <c r="A537" s="2" t="s">
        <v>10473</v>
      </c>
      <c r="B537" s="3" t="str">
        <f>C537 &amp; " -&gt; " &amp; D537</f>
        <v>principal-process-steward -&gt; AppRoutes.IsInNav</v>
      </c>
      <c r="C537" s="2" t="s">
        <v>9706</v>
      </c>
      <c r="D537" s="2" t="s">
        <v>5250</v>
      </c>
      <c r="E537" s="2" t="b">
        <v>1</v>
      </c>
      <c r="F537" s="2" t="b">
        <v>0</v>
      </c>
      <c r="G537" s="2" t="s">
        <v>9937</v>
      </c>
      <c r="H537" s="3" t="str">
        <f>_xlfn.IFNA(INDEX(RulebookFields!C2:C999, MATCH(D537,RulebookFields!A2:A999, 0)), "")</f>
      </c>
      <c r="I537" s="3" t="str">
        <f>_xlfn.IFNA(INDEX(RulebookFields!D2:D999, MATCH(D537,RulebookFields!A2:A999, 0)), "")</f>
      </c>
      <c r="J537" s="3" t="str">
        <f>_xlfn.IFNA(INDEX(RulebookFields!I2:I999, MATCH(D537,RulebookFields!A2:A999, 0)), "")</f>
      </c>
      <c r="K537" s="3" t="b">
        <f>AND(F537, J537)</f>
        <v>0</v>
      </c>
      <c r="L537" s="3" t="b">
        <f>AND(G537 &lt;&gt; "plain", G537 &lt;&gt; "")</f>
        <v>0</v>
      </c>
      <c r="M537" s="3" t="str">
        <f>IF(E537, C537 &amp; "|" &amp; H537, "")</f>
        <v>principal-process-steward|</v>
      </c>
      <c r="N537" s="2" t="s">
        <v>9938</v>
      </c>
    </row>
    <row r="538">
      <c r="A538" s="2" t="s">
        <v>10474</v>
      </c>
      <c r="B538" s="3" t="str">
        <f>C538 &amp; " -&gt; " &amp; D538</f>
        <v>principal-process-steward -&gt; AppRoutes.IsShared</v>
      </c>
      <c r="C538" s="2" t="s">
        <v>9706</v>
      </c>
      <c r="D538" s="2" t="s">
        <v>5253</v>
      </c>
      <c r="E538" s="2" t="b">
        <v>1</v>
      </c>
      <c r="F538" s="2" t="b">
        <v>0</v>
      </c>
      <c r="G538" s="2" t="s">
        <v>9937</v>
      </c>
      <c r="H538" s="3" t="str">
        <f>_xlfn.IFNA(INDEX(RulebookFields!C2:C999, MATCH(D538,RulebookFields!A2:A999, 0)), "")</f>
      </c>
      <c r="I538" s="3" t="str">
        <f>_xlfn.IFNA(INDEX(RulebookFields!D2:D999, MATCH(D538,RulebookFields!A2:A999, 0)), "")</f>
      </c>
      <c r="J538" s="3" t="str">
        <f>_xlfn.IFNA(INDEX(RulebookFields!I2:I999, MATCH(D538,RulebookFields!A2:A999, 0)), "")</f>
      </c>
      <c r="K538" s="3" t="b">
        <f>AND(F538, J538)</f>
        <v>0</v>
      </c>
      <c r="L538" s="3" t="b">
        <f>AND(G538 &lt;&gt; "plain", G538 &lt;&gt; "")</f>
        <v>0</v>
      </c>
      <c r="M538" s="3" t="str">
        <f>IF(E538, C538 &amp; "|" &amp; H538, "")</f>
        <v>principal-process-steward|</v>
      </c>
      <c r="N538" s="2" t="s">
        <v>9938</v>
      </c>
    </row>
    <row r="539">
      <c r="A539" s="2" t="s">
        <v>10475</v>
      </c>
      <c r="B539" s="3" t="str">
        <f>C539 &amp; " -&gt; " &amp; D539</f>
        <v>principal-process-steward -&gt; AppRoutes.IsMaintainer</v>
      </c>
      <c r="C539" s="2" t="s">
        <v>9706</v>
      </c>
      <c r="D539" s="2" t="s">
        <v>5256</v>
      </c>
      <c r="E539" s="2" t="b">
        <v>1</v>
      </c>
      <c r="F539" s="2" t="b">
        <v>0</v>
      </c>
      <c r="G539" s="2" t="s">
        <v>9937</v>
      </c>
      <c r="H539" s="3" t="str">
        <f>_xlfn.IFNA(INDEX(RulebookFields!C2:C999, MATCH(D539,RulebookFields!A2:A999, 0)), "")</f>
      </c>
      <c r="I539" s="3" t="str">
        <f>_xlfn.IFNA(INDEX(RulebookFields!D2:D999, MATCH(D539,RulebookFields!A2:A999, 0)), "")</f>
      </c>
      <c r="J539" s="3" t="str">
        <f>_xlfn.IFNA(INDEX(RulebookFields!I2:I999, MATCH(D539,RulebookFields!A2:A999, 0)), "")</f>
      </c>
      <c r="K539" s="3" t="b">
        <f>AND(F539, J539)</f>
        <v>0</v>
      </c>
      <c r="L539" s="3" t="b">
        <f>AND(G539 &lt;&gt; "plain", G539 &lt;&gt; "")</f>
        <v>0</v>
      </c>
      <c r="M539" s="3" t="str">
        <f>IF(E539, C539 &amp; "|" &amp; H539, "")</f>
        <v>principal-process-steward|</v>
      </c>
      <c r="N539" s="2" t="s">
        <v>9938</v>
      </c>
    </row>
    <row r="540">
      <c r="A540" s="2" t="s">
        <v>10476</v>
      </c>
      <c r="B540" s="3" t="str">
        <f>C540 &amp; " -&gt; " &amp; D540</f>
        <v>principal-process-steward -&gt; AppRoutes.QuestionCount</v>
      </c>
      <c r="C540" s="2" t="s">
        <v>9706</v>
      </c>
      <c r="D540" s="2" t="s">
        <v>5259</v>
      </c>
      <c r="E540" s="2" t="b">
        <v>1</v>
      </c>
      <c r="F540" s="2" t="b">
        <v>0</v>
      </c>
      <c r="G540" s="2" t="s">
        <v>9937</v>
      </c>
      <c r="H540" s="3" t="str">
        <f>_xlfn.IFNA(INDEX(RulebookFields!C2:C999, MATCH(D540,RulebookFields!A2:A999, 0)), "")</f>
      </c>
      <c r="I540" s="3" t="str">
        <f>_xlfn.IFNA(INDEX(RulebookFields!D2:D999, MATCH(D540,RulebookFields!A2:A999, 0)), "")</f>
      </c>
      <c r="J540" s="3" t="str">
        <f>_xlfn.IFNA(INDEX(RulebookFields!I2:I999, MATCH(D540,RulebookFields!A2:A999, 0)), "")</f>
      </c>
      <c r="K540" s="3" t="b">
        <f>AND(F540, J540)</f>
        <v>0</v>
      </c>
      <c r="L540" s="3" t="b">
        <f>AND(G540 &lt;&gt; "plain", G540 &lt;&gt; "")</f>
        <v>0</v>
      </c>
      <c r="M540" s="3" t="str">
        <f>IF(E540, C540 &amp; "|" &amp; H540, "")</f>
        <v>principal-process-steward|</v>
      </c>
      <c r="N540" s="2" t="s">
        <v>9938</v>
      </c>
    </row>
    <row r="541">
      <c r="A541" s="2" t="s">
        <v>10477</v>
      </c>
      <c r="B541" s="3" t="str">
        <f>C541 &amp; " -&gt; " &amp; D541</f>
        <v>principal-process-steward -&gt; AppRoutes.ReferenceCount</v>
      </c>
      <c r="C541" s="2" t="s">
        <v>9706</v>
      </c>
      <c r="D541" s="2" t="s">
        <v>5261</v>
      </c>
      <c r="E541" s="2" t="b">
        <v>1</v>
      </c>
      <c r="F541" s="2" t="b">
        <v>0</v>
      </c>
      <c r="G541" s="2" t="s">
        <v>9937</v>
      </c>
      <c r="H541" s="3" t="str">
        <f>_xlfn.IFNA(INDEX(RulebookFields!C2:C999, MATCH(D541,RulebookFields!A2:A999, 0)), "")</f>
      </c>
      <c r="I541" s="3" t="str">
        <f>_xlfn.IFNA(INDEX(RulebookFields!D2:D999, MATCH(D541,RulebookFields!A2:A999, 0)), "")</f>
      </c>
      <c r="J541" s="3" t="str">
        <f>_xlfn.IFNA(INDEX(RulebookFields!I2:I999, MATCH(D541,RulebookFields!A2:A999, 0)), "")</f>
      </c>
      <c r="K541" s="3" t="b">
        <f>AND(F541, J541)</f>
        <v>0</v>
      </c>
      <c r="L541" s="3" t="b">
        <f>AND(G541 &lt;&gt; "plain", G541 &lt;&gt; "")</f>
        <v>0</v>
      </c>
      <c r="M541" s="3" t="str">
        <f>IF(E541, C541 &amp; "|" &amp; H541, "")</f>
        <v>principal-process-steward|</v>
      </c>
      <c r="N541" s="2" t="s">
        <v>9938</v>
      </c>
    </row>
    <row r="542">
      <c r="A542" s="2" t="s">
        <v>10478</v>
      </c>
      <c r="B542" s="3" t="str">
        <f>C542 &amp; " -&gt; " &amp; D542</f>
        <v>principal-process-steward -&gt; AppRoutes.AnswersNoQuestion</v>
      </c>
      <c r="C542" s="2" t="s">
        <v>9706</v>
      </c>
      <c r="D542" s="2" t="s">
        <v>5264</v>
      </c>
      <c r="E542" s="2" t="b">
        <v>1</v>
      </c>
      <c r="F542" s="2" t="b">
        <v>0</v>
      </c>
      <c r="G542" s="2" t="s">
        <v>9937</v>
      </c>
      <c r="H542" s="3" t="str">
        <f>_xlfn.IFNA(INDEX(RulebookFields!C2:C999, MATCH(D542,RulebookFields!A2:A999, 0)), "")</f>
      </c>
      <c r="I542" s="3" t="str">
        <f>_xlfn.IFNA(INDEX(RulebookFields!D2:D999, MATCH(D542,RulebookFields!A2:A999, 0)), "")</f>
      </c>
      <c r="J542" s="3" t="str">
        <f>_xlfn.IFNA(INDEX(RulebookFields!I2:I999, MATCH(D542,RulebookFields!A2:A999, 0)), "")</f>
      </c>
      <c r="K542" s="3" t="b">
        <f>AND(F542, J542)</f>
        <v>0</v>
      </c>
      <c r="L542" s="3" t="b">
        <f>AND(G542 &lt;&gt; "plain", G542 &lt;&gt; "")</f>
        <v>0</v>
      </c>
      <c r="M542" s="3" t="str">
        <f>IF(E542, C542 &amp; "|" &amp; H542, "")</f>
        <v>principal-process-steward|</v>
      </c>
      <c r="N542" s="2" t="s">
        <v>9938</v>
      </c>
    </row>
    <row r="543">
      <c r="A543" s="2" t="s">
        <v>10479</v>
      </c>
      <c r="B543" s="3" t="str">
        <f>C543 &amp; " -&gt; " &amp; D543</f>
        <v>principal-process-steward -&gt; AppRoutes.SemanticTypeIri</v>
      </c>
      <c r="C543" s="2" t="s">
        <v>9706</v>
      </c>
      <c r="D543" s="2" t="s">
        <v>5267</v>
      </c>
      <c r="E543" s="2" t="b">
        <v>1</v>
      </c>
      <c r="F543" s="2" t="b">
        <v>0</v>
      </c>
      <c r="G543" s="2" t="s">
        <v>9937</v>
      </c>
      <c r="H543" s="3" t="str">
        <f>_xlfn.IFNA(INDEX(RulebookFields!C2:C999, MATCH(D543,RulebookFields!A2:A999, 0)), "")</f>
      </c>
      <c r="I543" s="3" t="str">
        <f>_xlfn.IFNA(INDEX(RulebookFields!D2:D999, MATCH(D543,RulebookFields!A2:A999, 0)), "")</f>
      </c>
      <c r="J543" s="3" t="str">
        <f>_xlfn.IFNA(INDEX(RulebookFields!I2:I999, MATCH(D543,RulebookFields!A2:A999, 0)), "")</f>
      </c>
      <c r="K543" s="3" t="b">
        <f>AND(F543, J543)</f>
        <v>0</v>
      </c>
      <c r="L543" s="3" t="b">
        <f>AND(G543 &lt;&gt; "plain", G543 &lt;&gt; "")</f>
        <v>0</v>
      </c>
      <c r="M543" s="3" t="str">
        <f>IF(E543, C543 &amp; "|" &amp; H543, "")</f>
        <v>principal-process-steward|</v>
      </c>
      <c r="N543" s="2" t="s">
        <v>9938</v>
      </c>
    </row>
    <row r="544">
      <c r="A544" s="2" t="s">
        <v>10480</v>
      </c>
      <c r="B544" s="3" t="str">
        <f>C544 &amp; " -&gt; " &amp; D544</f>
        <v>principal-process-steward -&gt; Attestations.AttestationId</v>
      </c>
      <c r="C544" s="2" t="s">
        <v>9706</v>
      </c>
      <c r="D544" s="2" t="s">
        <v>5168</v>
      </c>
      <c r="E544" s="2" t="b">
        <v>1</v>
      </c>
      <c r="F544" s="2" t="b">
        <v>0</v>
      </c>
      <c r="G544" s="2" t="s">
        <v>9937</v>
      </c>
      <c r="H544" s="3" t="str">
        <f>_xlfn.IFNA(INDEX(RulebookFields!C2:C999, MATCH(D544,RulebookFields!A2:A999, 0)), "")</f>
      </c>
      <c r="I544" s="3" t="str">
        <f>_xlfn.IFNA(INDEX(RulebookFields!D2:D999, MATCH(D544,RulebookFields!A2:A999, 0)), "")</f>
      </c>
      <c r="J544" s="3" t="str">
        <f>_xlfn.IFNA(INDEX(RulebookFields!I2:I999, MATCH(D544,RulebookFields!A2:A999, 0)), "")</f>
      </c>
      <c r="K544" s="3" t="b">
        <f>AND(F544, J544)</f>
        <v>0</v>
      </c>
      <c r="L544" s="3" t="b">
        <f>AND(G544 &lt;&gt; "plain", G544 &lt;&gt; "")</f>
        <v>0</v>
      </c>
      <c r="M544" s="3" t="str">
        <f>IF(E544, C544 &amp; "|" &amp; H544, "")</f>
        <v>principal-process-steward|</v>
      </c>
      <c r="N544" s="2" t="s">
        <v>9938</v>
      </c>
    </row>
    <row r="545">
      <c r="A545" s="2" t="s">
        <v>10481</v>
      </c>
      <c r="B545" s="3" t="str">
        <f>C545 &amp; " -&gt; " &amp; D545</f>
        <v>principal-process-steward -&gt; Attestations.Name</v>
      </c>
      <c r="C545" s="2" t="s">
        <v>9706</v>
      </c>
      <c r="D545" s="2" t="s">
        <v>5171</v>
      </c>
      <c r="E545" s="2" t="b">
        <v>1</v>
      </c>
      <c r="F545" s="2" t="b">
        <v>0</v>
      </c>
      <c r="G545" s="2" t="s">
        <v>9937</v>
      </c>
      <c r="H545" s="3" t="str">
        <f>_xlfn.IFNA(INDEX(RulebookFields!C2:C999, MATCH(D545,RulebookFields!A2:A999, 0)), "")</f>
      </c>
      <c r="I545" s="3" t="str">
        <f>_xlfn.IFNA(INDEX(RulebookFields!D2:D999, MATCH(D545,RulebookFields!A2:A999, 0)), "")</f>
      </c>
      <c r="J545" s="3" t="str">
        <f>_xlfn.IFNA(INDEX(RulebookFields!I2:I999, MATCH(D545,RulebookFields!A2:A999, 0)), "")</f>
      </c>
      <c r="K545" s="3" t="b">
        <f>AND(F545, J545)</f>
        <v>0</v>
      </c>
      <c r="L545" s="3" t="b">
        <f>AND(G545 &lt;&gt; "plain", G545 &lt;&gt; "")</f>
        <v>0</v>
      </c>
      <c r="M545" s="3" t="str">
        <f>IF(E545, C545 &amp; "|" &amp; H545, "")</f>
        <v>principal-process-steward|</v>
      </c>
      <c r="N545" s="2" t="s">
        <v>9938</v>
      </c>
    </row>
    <row r="546">
      <c r="A546" s="2" t="s">
        <v>10482</v>
      </c>
      <c r="B546" s="3" t="str">
        <f>C546 &amp; " -&gt; " &amp; D546</f>
        <v>principal-process-steward -&gt; Attestations.ProcedureExecution</v>
      </c>
      <c r="C546" s="2" t="s">
        <v>9706</v>
      </c>
      <c r="D546" s="2" t="s">
        <v>5173</v>
      </c>
      <c r="E546" s="2" t="b">
        <v>1</v>
      </c>
      <c r="F546" s="2" t="b">
        <v>0</v>
      </c>
      <c r="G546" s="2" t="s">
        <v>9937</v>
      </c>
      <c r="H546" s="3" t="str">
        <f>_xlfn.IFNA(INDEX(RulebookFields!C2:C999, MATCH(D546,RulebookFields!A2:A999, 0)), "")</f>
      </c>
      <c r="I546" s="3" t="str">
        <f>_xlfn.IFNA(INDEX(RulebookFields!D2:D999, MATCH(D546,RulebookFields!A2:A999, 0)), "")</f>
      </c>
      <c r="J546" s="3" t="str">
        <f>_xlfn.IFNA(INDEX(RulebookFields!I2:I999, MATCH(D546,RulebookFields!A2:A999, 0)), "")</f>
      </c>
      <c r="K546" s="3" t="b">
        <f>AND(F546, J546)</f>
        <v>0</v>
      </c>
      <c r="L546" s="3" t="b">
        <f>AND(G546 &lt;&gt; "plain", G546 &lt;&gt; "")</f>
        <v>0</v>
      </c>
      <c r="M546" s="3" t="str">
        <f>IF(E546, C546 &amp; "|" &amp; H546, "")</f>
        <v>principal-process-steward|</v>
      </c>
      <c r="N546" s="2" t="s">
        <v>9938</v>
      </c>
    </row>
    <row r="547">
      <c r="A547" s="2" t="s">
        <v>10483</v>
      </c>
      <c r="B547" s="3" t="str">
        <f>C547 &amp; " -&gt; " &amp; D547</f>
        <v>principal-process-steward -&gt; Attestations.SignedByAgent</v>
      </c>
      <c r="C547" s="2" t="s">
        <v>9706</v>
      </c>
      <c r="D547" s="2" t="s">
        <v>5174</v>
      </c>
      <c r="E547" s="2" t="b">
        <v>1</v>
      </c>
      <c r="F547" s="2" t="b">
        <v>0</v>
      </c>
      <c r="G547" s="2" t="s">
        <v>9937</v>
      </c>
      <c r="H547" s="3" t="str">
        <f>_xlfn.IFNA(INDEX(RulebookFields!C2:C999, MATCH(D547,RulebookFields!A2:A999, 0)), "")</f>
      </c>
      <c r="I547" s="3" t="str">
        <f>_xlfn.IFNA(INDEX(RulebookFields!D2:D999, MATCH(D547,RulebookFields!A2:A999, 0)), "")</f>
      </c>
      <c r="J547" s="3" t="str">
        <f>_xlfn.IFNA(INDEX(RulebookFields!I2:I999, MATCH(D547,RulebookFields!A2:A999, 0)), "")</f>
      </c>
      <c r="K547" s="3" t="b">
        <f>AND(F547, J547)</f>
        <v>0</v>
      </c>
      <c r="L547" s="3" t="b">
        <f>AND(G547 &lt;&gt; "plain", G547 &lt;&gt; "")</f>
        <v>0</v>
      </c>
      <c r="M547" s="3" t="str">
        <f>IF(E547, C547 &amp; "|" &amp; H547, "")</f>
        <v>principal-process-steward|</v>
      </c>
      <c r="N547" s="2" t="s">
        <v>9938</v>
      </c>
    </row>
    <row r="548">
      <c r="A548" s="2" t="s">
        <v>10484</v>
      </c>
      <c r="B548" s="3" t="str">
        <f>C548 &amp; " -&gt; " &amp; D548</f>
        <v>principal-process-steward -&gt; Attestations.SignedAt</v>
      </c>
      <c r="C548" s="2" t="s">
        <v>9706</v>
      </c>
      <c r="D548" s="2" t="s">
        <v>5176</v>
      </c>
      <c r="E548" s="2" t="b">
        <v>1</v>
      </c>
      <c r="F548" s="2" t="b">
        <v>0</v>
      </c>
      <c r="G548" s="2" t="s">
        <v>9937</v>
      </c>
      <c r="H548" s="3" t="str">
        <f>_xlfn.IFNA(INDEX(RulebookFields!C2:C999, MATCH(D548,RulebookFields!A2:A999, 0)), "")</f>
      </c>
      <c r="I548" s="3" t="str">
        <f>_xlfn.IFNA(INDEX(RulebookFields!D2:D999, MATCH(D548,RulebookFields!A2:A999, 0)), "")</f>
      </c>
      <c r="J548" s="3" t="str">
        <f>_xlfn.IFNA(INDEX(RulebookFields!I2:I999, MATCH(D548,RulebookFields!A2:A999, 0)), "")</f>
      </c>
      <c r="K548" s="3" t="b">
        <f>AND(F548, J548)</f>
        <v>0</v>
      </c>
      <c r="L548" s="3" t="b">
        <f>AND(G548 &lt;&gt; "plain", G548 &lt;&gt; "")</f>
        <v>0</v>
      </c>
      <c r="M548" s="3" t="str">
        <f>IF(E548, C548 &amp; "|" &amp; H548, "")</f>
        <v>principal-process-steward|</v>
      </c>
      <c r="N548" s="2" t="s">
        <v>9938</v>
      </c>
    </row>
    <row r="549">
      <c r="A549" s="2" t="s">
        <v>10485</v>
      </c>
      <c r="B549" s="3" t="str">
        <f>C549 &amp; " -&gt; " &amp; D549</f>
        <v>principal-process-steward -&gt; Attestations.AssuranceGradeAtSigning</v>
      </c>
      <c r="C549" s="2" t="s">
        <v>9706</v>
      </c>
      <c r="D549" s="2" t="s">
        <v>5178</v>
      </c>
      <c r="E549" s="2" t="b">
        <v>1</v>
      </c>
      <c r="F549" s="2" t="b">
        <v>0</v>
      </c>
      <c r="G549" s="2" t="s">
        <v>9937</v>
      </c>
      <c r="H549" s="3" t="str">
        <f>_xlfn.IFNA(INDEX(RulebookFields!C2:C999, MATCH(D549,RulebookFields!A2:A999, 0)), "")</f>
      </c>
      <c r="I549" s="3" t="str">
        <f>_xlfn.IFNA(INDEX(RulebookFields!D2:D999, MATCH(D549,RulebookFields!A2:A999, 0)), "")</f>
      </c>
      <c r="J549" s="3" t="str">
        <f>_xlfn.IFNA(INDEX(RulebookFields!I2:I999, MATCH(D549,RulebookFields!A2:A999, 0)), "")</f>
      </c>
      <c r="K549" s="3" t="b">
        <f>AND(F549, J549)</f>
        <v>0</v>
      </c>
      <c r="L549" s="3" t="b">
        <f>AND(G549 &lt;&gt; "plain", G549 &lt;&gt; "")</f>
        <v>0</v>
      </c>
      <c r="M549" s="3" t="str">
        <f>IF(E549, C549 &amp; "|" &amp; H549, "")</f>
        <v>principal-process-steward|</v>
      </c>
      <c r="N549" s="2" t="s">
        <v>9938</v>
      </c>
    </row>
    <row r="550">
      <c r="A550" s="2" t="s">
        <v>10486</v>
      </c>
      <c r="B550" s="3" t="str">
        <f>C550 &amp; " -&gt; " &amp; D550</f>
        <v>principal-process-steward -&gt; Attestations.VersionWasFitAtSigning</v>
      </c>
      <c r="C550" s="2" t="s">
        <v>9706</v>
      </c>
      <c r="D550" s="2" t="s">
        <v>5180</v>
      </c>
      <c r="E550" s="2" t="b">
        <v>1</v>
      </c>
      <c r="F550" s="2" t="b">
        <v>0</v>
      </c>
      <c r="G550" s="2" t="s">
        <v>9937</v>
      </c>
      <c r="H550" s="3" t="str">
        <f>_xlfn.IFNA(INDEX(RulebookFields!C2:C999, MATCH(D550,RulebookFields!A2:A999, 0)), "")</f>
      </c>
      <c r="I550" s="3" t="str">
        <f>_xlfn.IFNA(INDEX(RulebookFields!D2:D999, MATCH(D550,RulebookFields!A2:A999, 0)), "")</f>
      </c>
      <c r="J550" s="3" t="str">
        <f>_xlfn.IFNA(INDEX(RulebookFields!I2:I999, MATCH(D550,RulebookFields!A2:A999, 0)), "")</f>
      </c>
      <c r="K550" s="3" t="b">
        <f>AND(F550, J550)</f>
        <v>0</v>
      </c>
      <c r="L550" s="3" t="b">
        <f>AND(G550 &lt;&gt; "plain", G550 &lt;&gt; "")</f>
        <v>0</v>
      </c>
      <c r="M550" s="3" t="str">
        <f>IF(E550, C550 &amp; "|" &amp; H550, "")</f>
        <v>principal-process-steward|</v>
      </c>
      <c r="N550" s="2" t="s">
        <v>9938</v>
      </c>
    </row>
    <row r="551">
      <c r="A551" s="2" t="s">
        <v>10487</v>
      </c>
      <c r="B551" s="3" t="str">
        <f>C551 &amp; " -&gt; " &amp; D551</f>
        <v>principal-process-steward -&gt; Attestations.VersionIsFitNow</v>
      </c>
      <c r="C551" s="2" t="s">
        <v>9706</v>
      </c>
      <c r="D551" s="2" t="s">
        <v>5182</v>
      </c>
      <c r="E551" s="2" t="b">
        <v>1</v>
      </c>
      <c r="F551" s="2" t="b">
        <v>0</v>
      </c>
      <c r="G551" s="2" t="s">
        <v>9937</v>
      </c>
      <c r="H551" s="3" t="str">
        <f>_xlfn.IFNA(INDEX(RulebookFields!C2:C999, MATCH(D551,RulebookFields!A2:A999, 0)), "")</f>
      </c>
      <c r="I551" s="3" t="str">
        <f>_xlfn.IFNA(INDEX(RulebookFields!D2:D999, MATCH(D551,RulebookFields!A2:A999, 0)), "")</f>
      </c>
      <c r="J551" s="3" t="str">
        <f>_xlfn.IFNA(INDEX(RulebookFields!I2:I999, MATCH(D551,RulebookFields!A2:A999, 0)), "")</f>
      </c>
      <c r="K551" s="3" t="b">
        <f>AND(F551, J551)</f>
        <v>0</v>
      </c>
      <c r="L551" s="3" t="b">
        <f>AND(G551 &lt;&gt; "plain", G551 &lt;&gt; "")</f>
        <v>0</v>
      </c>
      <c r="M551" s="3" t="str">
        <f>IF(E551, C551 &amp; "|" &amp; H551, "")</f>
        <v>principal-process-steward|</v>
      </c>
      <c r="N551" s="2" t="s">
        <v>9938</v>
      </c>
    </row>
    <row r="552">
      <c r="A552" s="2" t="s">
        <v>10488</v>
      </c>
      <c r="B552" s="3" t="str">
        <f>C552 &amp; " -&gt; " &amp; D552</f>
        <v>principal-process-steward -&gt; Attestations.FitnessVerdictHasDrifted</v>
      </c>
      <c r="C552" s="2" t="s">
        <v>9706</v>
      </c>
      <c r="D552" s="2" t="s">
        <v>5185</v>
      </c>
      <c r="E552" s="2" t="b">
        <v>1</v>
      </c>
      <c r="F552" s="2" t="b">
        <v>0</v>
      </c>
      <c r="G552" s="2" t="s">
        <v>9937</v>
      </c>
      <c r="H552" s="3" t="str">
        <f>_xlfn.IFNA(INDEX(RulebookFields!C2:C999, MATCH(D552,RulebookFields!A2:A999, 0)), "")</f>
      </c>
      <c r="I552" s="3" t="str">
        <f>_xlfn.IFNA(INDEX(RulebookFields!D2:D999, MATCH(D552,RulebookFields!A2:A999, 0)), "")</f>
      </c>
      <c r="J552" s="3" t="str">
        <f>_xlfn.IFNA(INDEX(RulebookFields!I2:I999, MATCH(D552,RulebookFields!A2:A999, 0)), "")</f>
      </c>
      <c r="K552" s="3" t="b">
        <f>AND(F552, J552)</f>
        <v>0</v>
      </c>
      <c r="L552" s="3" t="b">
        <f>AND(G552 &lt;&gt; "plain", G552 &lt;&gt; "")</f>
        <v>0</v>
      </c>
      <c r="M552" s="3" t="str">
        <f>IF(E552, C552 &amp; "|" &amp; H552, "")</f>
        <v>principal-process-steward|</v>
      </c>
      <c r="N552" s="2" t="s">
        <v>9938</v>
      </c>
    </row>
    <row r="553">
      <c r="A553" s="2" t="s">
        <v>10489</v>
      </c>
      <c r="B553" s="3" t="str">
        <f>C553 &amp; " -&gt; " &amp; D553</f>
        <v>principal-process-steward -&gt; Attestations.AssuranceGradeNow</v>
      </c>
      <c r="C553" s="2" t="s">
        <v>9706</v>
      </c>
      <c r="D553" s="2" t="s">
        <v>5188</v>
      </c>
      <c r="E553" s="2" t="b">
        <v>1</v>
      </c>
      <c r="F553" s="2" t="b">
        <v>0</v>
      </c>
      <c r="G553" s="2" t="s">
        <v>9937</v>
      </c>
      <c r="H553" s="3" t="str">
        <f>_xlfn.IFNA(INDEX(RulebookFields!C2:C999, MATCH(D553,RulebookFields!A2:A999, 0)), "")</f>
      </c>
      <c r="I553" s="3" t="str">
        <f>_xlfn.IFNA(INDEX(RulebookFields!D2:D999, MATCH(D553,RulebookFields!A2:A999, 0)), "")</f>
      </c>
      <c r="J553" s="3" t="str">
        <f>_xlfn.IFNA(INDEX(RulebookFields!I2:I999, MATCH(D553,RulebookFields!A2:A999, 0)), "")</f>
      </c>
      <c r="K553" s="3" t="b">
        <f>AND(F553, J553)</f>
        <v>0</v>
      </c>
      <c r="L553" s="3" t="b">
        <f>AND(G553 &lt;&gt; "plain", G553 &lt;&gt; "")</f>
        <v>0</v>
      </c>
      <c r="M553" s="3" t="str">
        <f>IF(E553, C553 &amp; "|" &amp; H553, "")</f>
        <v>principal-process-steward|</v>
      </c>
      <c r="N553" s="2" t="s">
        <v>9938</v>
      </c>
    </row>
    <row r="554">
      <c r="A554" s="2" t="s">
        <v>10490</v>
      </c>
      <c r="B554" s="3" t="str">
        <f>C554 &amp; " -&gt; " &amp; D554</f>
        <v>principal-process-steward -&gt; Attestations.AssuranceGradeHasDrifted</v>
      </c>
      <c r="C554" s="2" t="s">
        <v>9706</v>
      </c>
      <c r="D554" s="2" t="s">
        <v>5191</v>
      </c>
      <c r="E554" s="2" t="b">
        <v>1</v>
      </c>
      <c r="F554" s="2" t="b">
        <v>0</v>
      </c>
      <c r="G554" s="2" t="s">
        <v>9937</v>
      </c>
      <c r="H554" s="3" t="str">
        <f>_xlfn.IFNA(INDEX(RulebookFields!C2:C999, MATCH(D554,RulebookFields!A2:A999, 0)), "")</f>
      </c>
      <c r="I554" s="3" t="str">
        <f>_xlfn.IFNA(INDEX(RulebookFields!D2:D999, MATCH(D554,RulebookFields!A2:A999, 0)), "")</f>
      </c>
      <c r="J554" s="3" t="str">
        <f>_xlfn.IFNA(INDEX(RulebookFields!I2:I999, MATCH(D554,RulebookFields!A2:A999, 0)), "")</f>
      </c>
      <c r="K554" s="3" t="b">
        <f>AND(F554, J554)</f>
        <v>0</v>
      </c>
      <c r="L554" s="3" t="b">
        <f>AND(G554 &lt;&gt; "plain", G554 &lt;&gt; "")</f>
        <v>0</v>
      </c>
      <c r="M554" s="3" t="str">
        <f>IF(E554, C554 &amp; "|" &amp; H554, "")</f>
        <v>principal-process-steward|</v>
      </c>
      <c r="N554" s="2" t="s">
        <v>9938</v>
      </c>
    </row>
    <row r="555">
      <c r="A555" s="2" t="s">
        <v>10491</v>
      </c>
      <c r="B555" s="3" t="str">
        <f>C555 &amp; " -&gt; " &amp; D555</f>
        <v>principal-process-steward -&gt; Attestations.WouldNotSurviveRestatement</v>
      </c>
      <c r="C555" s="2" t="s">
        <v>9706</v>
      </c>
      <c r="D555" s="2" t="s">
        <v>5194</v>
      </c>
      <c r="E555" s="2" t="b">
        <v>1</v>
      </c>
      <c r="F555" s="2" t="b">
        <v>0</v>
      </c>
      <c r="G555" s="2" t="s">
        <v>9937</v>
      </c>
      <c r="H555" s="3" t="str">
        <f>_xlfn.IFNA(INDEX(RulebookFields!C2:C999, MATCH(D555,RulebookFields!A2:A999, 0)), "")</f>
      </c>
      <c r="I555" s="3" t="str">
        <f>_xlfn.IFNA(INDEX(RulebookFields!D2:D999, MATCH(D555,RulebookFields!A2:A999, 0)), "")</f>
      </c>
      <c r="J555" s="3" t="str">
        <f>_xlfn.IFNA(INDEX(RulebookFields!I2:I999, MATCH(D555,RulebookFields!A2:A999, 0)), "")</f>
      </c>
      <c r="K555" s="3" t="b">
        <f>AND(F555, J555)</f>
        <v>0</v>
      </c>
      <c r="L555" s="3" t="b">
        <f>AND(G555 &lt;&gt; "plain", G555 &lt;&gt; "")</f>
        <v>0</v>
      </c>
      <c r="M555" s="3" t="str">
        <f>IF(E555, C555 &amp; "|" &amp; H555, "")</f>
        <v>principal-process-steward|</v>
      </c>
      <c r="N555" s="2" t="s">
        <v>9938</v>
      </c>
    </row>
    <row r="556">
      <c r="A556" s="2" t="s">
        <v>10492</v>
      </c>
      <c r="B556" s="3" t="str">
        <f>C556 &amp; " -&gt; " &amp; D556</f>
        <v>principal-process-steward -&gt; AuthorityBoundaries.AuthorityBoundaryId</v>
      </c>
      <c r="C556" s="2" t="s">
        <v>9706</v>
      </c>
      <c r="D556" s="2" t="s">
        <v>5064</v>
      </c>
      <c r="E556" s="2" t="b">
        <v>1</v>
      </c>
      <c r="F556" s="2" t="b">
        <v>0</v>
      </c>
      <c r="G556" s="2" t="s">
        <v>9937</v>
      </c>
      <c r="H556" s="3" t="str">
        <f>_xlfn.IFNA(INDEX(RulebookFields!C2:C999, MATCH(D556,RulebookFields!A2:A999, 0)), "")</f>
      </c>
      <c r="I556" s="3" t="str">
        <f>_xlfn.IFNA(INDEX(RulebookFields!D2:D999, MATCH(D556,RulebookFields!A2:A999, 0)), "")</f>
      </c>
      <c r="J556" s="3" t="str">
        <f>_xlfn.IFNA(INDEX(RulebookFields!I2:I999, MATCH(D556,RulebookFields!A2:A999, 0)), "")</f>
      </c>
      <c r="K556" s="3" t="b">
        <f>AND(F556, J556)</f>
        <v>0</v>
      </c>
      <c r="L556" s="3" t="b">
        <f>AND(G556 &lt;&gt; "plain", G556 &lt;&gt; "")</f>
        <v>0</v>
      </c>
      <c r="M556" s="3" t="str">
        <f>IF(E556, C556 &amp; "|" &amp; H556, "")</f>
        <v>principal-process-steward|</v>
      </c>
      <c r="N556" s="2" t="s">
        <v>9938</v>
      </c>
    </row>
    <row r="557">
      <c r="A557" s="2" t="s">
        <v>10493</v>
      </c>
      <c r="B557" s="3" t="str">
        <f>C557 &amp; " -&gt; " &amp; D557</f>
        <v>principal-process-steward -&gt; AuthorityBoundaries.Name</v>
      </c>
      <c r="C557" s="2" t="s">
        <v>9706</v>
      </c>
      <c r="D557" s="2" t="s">
        <v>5067</v>
      </c>
      <c r="E557" s="2" t="b">
        <v>1</v>
      </c>
      <c r="F557" s="2" t="b">
        <v>0</v>
      </c>
      <c r="G557" s="2" t="s">
        <v>9937</v>
      </c>
      <c r="H557" s="3" t="str">
        <f>_xlfn.IFNA(INDEX(RulebookFields!C2:C999, MATCH(D557,RulebookFields!A2:A999, 0)), "")</f>
      </c>
      <c r="I557" s="3" t="str">
        <f>_xlfn.IFNA(INDEX(RulebookFields!D2:D999, MATCH(D557,RulebookFields!A2:A999, 0)), "")</f>
      </c>
      <c r="J557" s="3" t="str">
        <f>_xlfn.IFNA(INDEX(RulebookFields!I2:I999, MATCH(D557,RulebookFields!A2:A999, 0)), "")</f>
      </c>
      <c r="K557" s="3" t="b">
        <f>AND(F557, J557)</f>
        <v>0</v>
      </c>
      <c r="L557" s="3" t="b">
        <f>AND(G557 &lt;&gt; "plain", G557 &lt;&gt; "")</f>
        <v>0</v>
      </c>
      <c r="M557" s="3" t="str">
        <f>IF(E557, C557 &amp; "|" &amp; H557, "")</f>
        <v>principal-process-steward|</v>
      </c>
      <c r="N557" s="2" t="s">
        <v>9938</v>
      </c>
    </row>
    <row r="558">
      <c r="A558" s="2" t="s">
        <v>10494</v>
      </c>
      <c r="B558" s="3" t="str">
        <f>C558 &amp; " -&gt; " &amp; D558</f>
        <v>principal-process-steward -&gt; AuthorityBoundaries.Step</v>
      </c>
      <c r="C558" s="2" t="s">
        <v>9706</v>
      </c>
      <c r="D558" s="2" t="s">
        <v>5069</v>
      </c>
      <c r="E558" s="2" t="b">
        <v>1</v>
      </c>
      <c r="F558" s="2" t="b">
        <v>0</v>
      </c>
      <c r="G558" s="2" t="s">
        <v>9937</v>
      </c>
      <c r="H558" s="3" t="str">
        <f>_xlfn.IFNA(INDEX(RulebookFields!C2:C999, MATCH(D558,RulebookFields!A2:A999, 0)), "")</f>
      </c>
      <c r="I558" s="3" t="str">
        <f>_xlfn.IFNA(INDEX(RulebookFields!D2:D999, MATCH(D558,RulebookFields!A2:A999, 0)), "")</f>
      </c>
      <c r="J558" s="3" t="str">
        <f>_xlfn.IFNA(INDEX(RulebookFields!I2:I999, MATCH(D558,RulebookFields!A2:A999, 0)), "")</f>
      </c>
      <c r="K558" s="3" t="b">
        <f>AND(F558, J558)</f>
        <v>0</v>
      </c>
      <c r="L558" s="3" t="b">
        <f>AND(G558 &lt;&gt; "plain", G558 &lt;&gt; "")</f>
        <v>0</v>
      </c>
      <c r="M558" s="3" t="str">
        <f>IF(E558, C558 &amp; "|" &amp; H558, "")</f>
        <v>principal-process-steward|</v>
      </c>
      <c r="N558" s="2" t="s">
        <v>9938</v>
      </c>
    </row>
    <row r="559">
      <c r="A559" s="2" t="s">
        <v>10495</v>
      </c>
      <c r="B559" s="3" t="str">
        <f>C559 &amp; " -&gt; " &amp; D559</f>
        <v>principal-process-steward -&gt; AuthorityBoundaries.ForbiddenAgentKind</v>
      </c>
      <c r="C559" s="2" t="s">
        <v>9706</v>
      </c>
      <c r="D559" s="2" t="s">
        <v>5070</v>
      </c>
      <c r="E559" s="2" t="b">
        <v>1</v>
      </c>
      <c r="F559" s="2" t="b">
        <v>0</v>
      </c>
      <c r="G559" s="2" t="s">
        <v>9937</v>
      </c>
      <c r="H559" s="3" t="str">
        <f>_xlfn.IFNA(INDEX(RulebookFields!C2:C999, MATCH(D559,RulebookFields!A2:A999, 0)), "")</f>
      </c>
      <c r="I559" s="3" t="str">
        <f>_xlfn.IFNA(INDEX(RulebookFields!D2:D999, MATCH(D559,RulebookFields!A2:A999, 0)), "")</f>
      </c>
      <c r="J559" s="3" t="str">
        <f>_xlfn.IFNA(INDEX(RulebookFields!I2:I999, MATCH(D559,RulebookFields!A2:A999, 0)), "")</f>
      </c>
      <c r="K559" s="3" t="b">
        <f>AND(F559, J559)</f>
        <v>0</v>
      </c>
      <c r="L559" s="3" t="b">
        <f>AND(G559 &lt;&gt; "plain", G559 &lt;&gt; "")</f>
        <v>0</v>
      </c>
      <c r="M559" s="3" t="str">
        <f>IF(E559, C559 &amp; "|" &amp; H559, "")</f>
        <v>principal-process-steward|</v>
      </c>
      <c r="N559" s="2" t="s">
        <v>9938</v>
      </c>
    </row>
    <row r="560">
      <c r="A560" s="2" t="s">
        <v>10496</v>
      </c>
      <c r="B560" s="3" t="str">
        <f>C560 &amp; " -&gt; " &amp; D560</f>
        <v>principal-process-steward -&gt; AuthorityBoundaries.ForbiddenDecisionKind</v>
      </c>
      <c r="C560" s="2" t="s">
        <v>9706</v>
      </c>
      <c r="D560" s="2" t="s">
        <v>5072</v>
      </c>
      <c r="E560" s="2" t="b">
        <v>1</v>
      </c>
      <c r="F560" s="2" t="b">
        <v>0</v>
      </c>
      <c r="G560" s="2" t="s">
        <v>9937</v>
      </c>
      <c r="H560" s="3" t="str">
        <f>_xlfn.IFNA(INDEX(RulebookFields!C2:C999, MATCH(D560,RulebookFields!A2:A999, 0)), "")</f>
      </c>
      <c r="I560" s="3" t="str">
        <f>_xlfn.IFNA(INDEX(RulebookFields!D2:D999, MATCH(D560,RulebookFields!A2:A999, 0)), "")</f>
      </c>
      <c r="J560" s="3" t="str">
        <f>_xlfn.IFNA(INDEX(RulebookFields!I2:I999, MATCH(D560,RulebookFields!A2:A999, 0)), "")</f>
      </c>
      <c r="K560" s="3" t="b">
        <f>AND(F560, J560)</f>
        <v>0</v>
      </c>
      <c r="L560" s="3" t="b">
        <f>AND(G560 &lt;&gt; "plain", G560 &lt;&gt; "")</f>
        <v>0</v>
      </c>
      <c r="M560" s="3" t="str">
        <f>IF(E560, C560 &amp; "|" &amp; H560, "")</f>
        <v>principal-process-steward|</v>
      </c>
      <c r="N560" s="2" t="s">
        <v>9938</v>
      </c>
    </row>
    <row r="561">
      <c r="A561" s="2" t="s">
        <v>10497</v>
      </c>
      <c r="B561" s="3" t="str">
        <f>C561 &amp; " -&gt; " &amp; D561</f>
        <v>principal-process-steward -&gt; AuthorityBoundaries.RatifiedByKnowledgeFragment</v>
      </c>
      <c r="C561" s="2" t="s">
        <v>9706</v>
      </c>
      <c r="D561" s="2" t="s">
        <v>5074</v>
      </c>
      <c r="E561" s="2" t="b">
        <v>1</v>
      </c>
      <c r="F561" s="2" t="b">
        <v>0</v>
      </c>
      <c r="G561" s="2" t="s">
        <v>9937</v>
      </c>
      <c r="H561" s="3" t="str">
        <f>_xlfn.IFNA(INDEX(RulebookFields!C2:C999, MATCH(D561,RulebookFields!A2:A999, 0)), "")</f>
      </c>
      <c r="I561" s="3" t="str">
        <f>_xlfn.IFNA(INDEX(RulebookFields!D2:D999, MATCH(D561,RulebookFields!A2:A999, 0)), "")</f>
      </c>
      <c r="J561" s="3" t="str">
        <f>_xlfn.IFNA(INDEX(RulebookFields!I2:I999, MATCH(D561,RulebookFields!A2:A999, 0)), "")</f>
      </c>
      <c r="K561" s="3" t="b">
        <f>AND(F561, J561)</f>
        <v>0</v>
      </c>
      <c r="L561" s="3" t="b">
        <f>AND(G561 &lt;&gt; "plain", G561 &lt;&gt; "")</f>
        <v>0</v>
      </c>
      <c r="M561" s="3" t="str">
        <f>IF(E561, C561 &amp; "|" &amp; H561, "")</f>
        <v>principal-process-steward|</v>
      </c>
      <c r="N561" s="2" t="s">
        <v>9938</v>
      </c>
    </row>
    <row r="562">
      <c r="A562" s="2" t="s">
        <v>10498</v>
      </c>
      <c r="B562" s="3" t="str">
        <f>C562 &amp; " -&gt; " &amp; D562</f>
        <v>principal-process-steward -&gt; AuthorityBoundaries.EnforcingRequirement</v>
      </c>
      <c r="C562" s="2" t="s">
        <v>9706</v>
      </c>
      <c r="D562" s="2" t="s">
        <v>5076</v>
      </c>
      <c r="E562" s="2" t="b">
        <v>1</v>
      </c>
      <c r="F562" s="2" t="b">
        <v>0</v>
      </c>
      <c r="G562" s="2" t="s">
        <v>9937</v>
      </c>
      <c r="H562" s="3" t="str">
        <f>_xlfn.IFNA(INDEX(RulebookFields!C2:C999, MATCH(D562,RulebookFields!A2:A999, 0)), "")</f>
      </c>
      <c r="I562" s="3" t="str">
        <f>_xlfn.IFNA(INDEX(RulebookFields!D2:D999, MATCH(D562,RulebookFields!A2:A999, 0)), "")</f>
      </c>
      <c r="J562" s="3" t="str">
        <f>_xlfn.IFNA(INDEX(RulebookFields!I2:I999, MATCH(D562,RulebookFields!A2:A999, 0)), "")</f>
      </c>
      <c r="K562" s="3" t="b">
        <f>AND(F562, J562)</f>
        <v>0</v>
      </c>
      <c r="L562" s="3" t="b">
        <f>AND(G562 &lt;&gt; "plain", G562 &lt;&gt; "")</f>
        <v>0</v>
      </c>
      <c r="M562" s="3" t="str">
        <f>IF(E562, C562 &amp; "|" &amp; H562, "")</f>
        <v>principal-process-steward|</v>
      </c>
      <c r="N562" s="2" t="s">
        <v>9938</v>
      </c>
    </row>
    <row r="563">
      <c r="A563" s="2" t="s">
        <v>10499</v>
      </c>
      <c r="B563" s="3" t="str">
        <f>C563 &amp; " -&gt; " &amp; D563</f>
        <v>principal-process-steward -&gt; AuthorityBoundaries.AuthorityRole</v>
      </c>
      <c r="C563" s="2" t="s">
        <v>9706</v>
      </c>
      <c r="D563" s="2" t="s">
        <v>5078</v>
      </c>
      <c r="E563" s="2" t="b">
        <v>1</v>
      </c>
      <c r="F563" s="2" t="b">
        <v>0</v>
      </c>
      <c r="G563" s="2" t="s">
        <v>9937</v>
      </c>
      <c r="H563" s="3" t="str">
        <f>_xlfn.IFNA(INDEX(RulebookFields!C2:C999, MATCH(D563,RulebookFields!A2:A999, 0)), "")</f>
      </c>
      <c r="I563" s="3" t="str">
        <f>_xlfn.IFNA(INDEX(RulebookFields!D2:D999, MATCH(D563,RulebookFields!A2:A999, 0)), "")</f>
      </c>
      <c r="J563" s="3" t="str">
        <f>_xlfn.IFNA(INDEX(RulebookFields!I2:I999, MATCH(D563,RulebookFields!A2:A999, 0)), "")</f>
      </c>
      <c r="K563" s="3" t="b">
        <f>AND(F563, J563)</f>
        <v>0</v>
      </c>
      <c r="L563" s="3" t="b">
        <f>AND(G563 &lt;&gt; "plain", G563 &lt;&gt; "")</f>
        <v>0</v>
      </c>
      <c r="M563" s="3" t="str">
        <f>IF(E563, C563 &amp; "|" &amp; H563, "")</f>
        <v>principal-process-steward|</v>
      </c>
      <c r="N563" s="2" t="s">
        <v>9938</v>
      </c>
    </row>
    <row r="564">
      <c r="A564" s="2" t="s">
        <v>10500</v>
      </c>
      <c r="B564" s="3" t="str">
        <f>C564 &amp; " -&gt; " &amp; D564</f>
        <v>principal-process-steward -&gt; AuthorityBoundaries.ValidFrom</v>
      </c>
      <c r="C564" s="2" t="s">
        <v>9706</v>
      </c>
      <c r="D564" s="2" t="s">
        <v>5079</v>
      </c>
      <c r="E564" s="2" t="b">
        <v>1</v>
      </c>
      <c r="F564" s="2" t="b">
        <v>0</v>
      </c>
      <c r="G564" s="2" t="s">
        <v>9937</v>
      </c>
      <c r="H564" s="3" t="str">
        <f>_xlfn.IFNA(INDEX(RulebookFields!C2:C999, MATCH(D564,RulebookFields!A2:A999, 0)), "")</f>
      </c>
      <c r="I564" s="3" t="str">
        <f>_xlfn.IFNA(INDEX(RulebookFields!D2:D999, MATCH(D564,RulebookFields!A2:A999, 0)), "")</f>
      </c>
      <c r="J564" s="3" t="str">
        <f>_xlfn.IFNA(INDEX(RulebookFields!I2:I999, MATCH(D564,RulebookFields!A2:A999, 0)), "")</f>
      </c>
      <c r="K564" s="3" t="b">
        <f>AND(F564, J564)</f>
        <v>0</v>
      </c>
      <c r="L564" s="3" t="b">
        <f>AND(G564 &lt;&gt; "plain", G564 &lt;&gt; "")</f>
        <v>0</v>
      </c>
      <c r="M564" s="3" t="str">
        <f>IF(E564, C564 &amp; "|" &amp; H564, "")</f>
        <v>principal-process-steward|</v>
      </c>
      <c r="N564" s="2" t="s">
        <v>9938</v>
      </c>
    </row>
    <row r="565">
      <c r="A565" s="2" t="s">
        <v>10501</v>
      </c>
      <c r="B565" s="3" t="str">
        <f>C565 &amp; " -&gt; " &amp; D565</f>
        <v>principal-process-steward -&gt; AuthorityBoundaries.ValidTo</v>
      </c>
      <c r="C565" s="2" t="s">
        <v>9706</v>
      </c>
      <c r="D565" s="2" t="s">
        <v>5080</v>
      </c>
      <c r="E565" s="2" t="b">
        <v>1</v>
      </c>
      <c r="F565" s="2" t="b">
        <v>0</v>
      </c>
      <c r="G565" s="2" t="s">
        <v>9937</v>
      </c>
      <c r="H565" s="3" t="str">
        <f>_xlfn.IFNA(INDEX(RulebookFields!C2:C999, MATCH(D565,RulebookFields!A2:A999, 0)), "")</f>
      </c>
      <c r="I565" s="3" t="str">
        <f>_xlfn.IFNA(INDEX(RulebookFields!D2:D999, MATCH(D565,RulebookFields!A2:A999, 0)), "")</f>
      </c>
      <c r="J565" s="3" t="str">
        <f>_xlfn.IFNA(INDEX(RulebookFields!I2:I999, MATCH(D565,RulebookFields!A2:A999, 0)), "")</f>
      </c>
      <c r="K565" s="3" t="b">
        <f>AND(F565, J565)</f>
        <v>0</v>
      </c>
      <c r="L565" s="3" t="b">
        <f>AND(G565 &lt;&gt; "plain", G565 &lt;&gt; "")</f>
        <v>0</v>
      </c>
      <c r="M565" s="3" t="str">
        <f>IF(E565, C565 &amp; "|" &amp; H565, "")</f>
        <v>principal-process-steward|</v>
      </c>
      <c r="N565" s="2" t="s">
        <v>9938</v>
      </c>
    </row>
    <row r="566">
      <c r="A566" s="2" t="s">
        <v>10502</v>
      </c>
      <c r="B566" s="3" t="str">
        <f>C566 &amp; " -&gt; " &amp; D566</f>
        <v>principal-process-steward -&gt; AuthorityBoundaries.Status</v>
      </c>
      <c r="C566" s="2" t="s">
        <v>9706</v>
      </c>
      <c r="D566" s="2" t="s">
        <v>5081</v>
      </c>
      <c r="E566" s="2" t="b">
        <v>1</v>
      </c>
      <c r="F566" s="2" t="b">
        <v>0</v>
      </c>
      <c r="G566" s="2" t="s">
        <v>9937</v>
      </c>
      <c r="H566" s="3" t="str">
        <f>_xlfn.IFNA(INDEX(RulebookFields!C2:C999, MATCH(D566,RulebookFields!A2:A999, 0)), "")</f>
      </c>
      <c r="I566" s="3" t="str">
        <f>_xlfn.IFNA(INDEX(RulebookFields!D2:D999, MATCH(D566,RulebookFields!A2:A999, 0)), "")</f>
      </c>
      <c r="J566" s="3" t="str">
        <f>_xlfn.IFNA(INDEX(RulebookFields!I2:I999, MATCH(D566,RulebookFields!A2:A999, 0)), "")</f>
      </c>
      <c r="K566" s="3" t="b">
        <f>AND(F566, J566)</f>
        <v>0</v>
      </c>
      <c r="L566" s="3" t="b">
        <f>AND(G566 &lt;&gt; "plain", G566 &lt;&gt; "")</f>
        <v>0</v>
      </c>
      <c r="M566" s="3" t="str">
        <f>IF(E566, C566 &amp; "|" &amp; H566, "")</f>
        <v>principal-process-steward|</v>
      </c>
      <c r="N566" s="2" t="s">
        <v>9938</v>
      </c>
    </row>
    <row r="567">
      <c r="A567" s="2" t="s">
        <v>10503</v>
      </c>
      <c r="B567" s="3" t="str">
        <f>C567 &amp; " -&gt; " &amp; D567</f>
        <v>principal-process-steward -&gt; AuthorityBoundaries.EvaluationContext</v>
      </c>
      <c r="C567" s="2" t="s">
        <v>9706</v>
      </c>
      <c r="D567" s="2" t="s">
        <v>5082</v>
      </c>
      <c r="E567" s="2" t="b">
        <v>1</v>
      </c>
      <c r="F567" s="2" t="b">
        <v>0</v>
      </c>
      <c r="G567" s="2" t="s">
        <v>9937</v>
      </c>
      <c r="H567" s="3" t="str">
        <f>_xlfn.IFNA(INDEX(RulebookFields!C2:C999, MATCH(D567,RulebookFields!A2:A999, 0)), "")</f>
      </c>
      <c r="I567" s="3" t="str">
        <f>_xlfn.IFNA(INDEX(RulebookFields!D2:D999, MATCH(D567,RulebookFields!A2:A999, 0)), "")</f>
      </c>
      <c r="J567" s="3" t="str">
        <f>_xlfn.IFNA(INDEX(RulebookFields!I2:I999, MATCH(D567,RulebookFields!A2:A999, 0)), "")</f>
      </c>
      <c r="K567" s="3" t="b">
        <f>AND(F567, J567)</f>
        <v>0</v>
      </c>
      <c r="L567" s="3" t="b">
        <f>AND(G567 &lt;&gt; "plain", G567 &lt;&gt; "")</f>
        <v>0</v>
      </c>
      <c r="M567" s="3" t="str">
        <f>IF(E567, C567 &amp; "|" &amp; H567, "")</f>
        <v>principal-process-steward|</v>
      </c>
      <c r="N567" s="2" t="s">
        <v>9938</v>
      </c>
    </row>
    <row r="568">
      <c r="A568" s="2" t="s">
        <v>10504</v>
      </c>
      <c r="B568" s="3" t="str">
        <f>C568 &amp; " -&gt; " &amp; D568</f>
        <v>principal-process-steward -&gt; AuthorityBoundaries.AsOfInstant</v>
      </c>
      <c r="C568" s="2" t="s">
        <v>9706</v>
      </c>
      <c r="D568" s="2" t="s">
        <v>5083</v>
      </c>
      <c r="E568" s="2" t="b">
        <v>1</v>
      </c>
      <c r="F568" s="2" t="b">
        <v>0</v>
      </c>
      <c r="G568" s="2" t="s">
        <v>9937</v>
      </c>
      <c r="H568" s="3" t="str">
        <f>_xlfn.IFNA(INDEX(RulebookFields!C2:C999, MATCH(D568,RulebookFields!A2:A999, 0)), "")</f>
      </c>
      <c r="I568" s="3" t="str">
        <f>_xlfn.IFNA(INDEX(RulebookFields!D2:D999, MATCH(D568,RulebookFields!A2:A999, 0)), "")</f>
      </c>
      <c r="J568" s="3" t="str">
        <f>_xlfn.IFNA(INDEX(RulebookFields!I2:I999, MATCH(D568,RulebookFields!A2:A999, 0)), "")</f>
      </c>
      <c r="K568" s="3" t="b">
        <f>AND(F568, J568)</f>
        <v>0</v>
      </c>
      <c r="L568" s="3" t="b">
        <f>AND(G568 &lt;&gt; "plain", G568 &lt;&gt; "")</f>
        <v>0</v>
      </c>
      <c r="M568" s="3" t="str">
        <f>IF(E568, C568 &amp; "|" &amp; H568, "")</f>
        <v>principal-process-steward|</v>
      </c>
      <c r="N568" s="2" t="s">
        <v>9938</v>
      </c>
    </row>
    <row r="569">
      <c r="A569" s="2" t="s">
        <v>10505</v>
      </c>
      <c r="B569" s="3" t="str">
        <f>C569 &amp; " -&gt; " &amp; D569</f>
        <v>principal-process-steward -&gt; AuthorityBoundaries.IsCurrentlyBinding</v>
      </c>
      <c r="C569" s="2" t="s">
        <v>9706</v>
      </c>
      <c r="D569" s="2" t="s">
        <v>5084</v>
      </c>
      <c r="E569" s="2" t="b">
        <v>1</v>
      </c>
      <c r="F569" s="2" t="b">
        <v>0</v>
      </c>
      <c r="G569" s="2" t="s">
        <v>9937</v>
      </c>
      <c r="H569" s="3" t="str">
        <f>_xlfn.IFNA(INDEX(RulebookFields!C2:C999, MATCH(D569,RulebookFields!A2:A999, 0)), "")</f>
      </c>
      <c r="I569" s="3" t="str">
        <f>_xlfn.IFNA(INDEX(RulebookFields!D2:D999, MATCH(D569,RulebookFields!A2:A999, 0)), "")</f>
      </c>
      <c r="J569" s="3" t="str">
        <f>_xlfn.IFNA(INDEX(RulebookFields!I2:I999, MATCH(D569,RulebookFields!A2:A999, 0)), "")</f>
      </c>
      <c r="K569" s="3" t="b">
        <f>AND(F569, J569)</f>
        <v>0</v>
      </c>
      <c r="L569" s="3" t="b">
        <f>AND(G569 &lt;&gt; "plain", G569 &lt;&gt; "")</f>
        <v>0</v>
      </c>
      <c r="M569" s="3" t="str">
        <f>IF(E569, C569 &amp; "|" &amp; H569, "")</f>
        <v>principal-process-steward|</v>
      </c>
      <c r="N569" s="2" t="s">
        <v>9938</v>
      </c>
    </row>
    <row r="570">
      <c r="A570" s="2" t="s">
        <v>10506</v>
      </c>
      <c r="B570" s="3" t="str">
        <f>C570 &amp; " -&gt; " &amp; D570</f>
        <v>principal-process-steward -&gt; AuthorityBoundaries.RatifyingFragmentIsValid</v>
      </c>
      <c r="C570" s="2" t="s">
        <v>9706</v>
      </c>
      <c r="D570" s="2" t="s">
        <v>5087</v>
      </c>
      <c r="E570" s="2" t="b">
        <v>1</v>
      </c>
      <c r="F570" s="2" t="b">
        <v>0</v>
      </c>
      <c r="G570" s="2" t="s">
        <v>9937</v>
      </c>
      <c r="H570" s="3" t="str">
        <f>_xlfn.IFNA(INDEX(RulebookFields!C2:C999, MATCH(D570,RulebookFields!A2:A999, 0)), "")</f>
      </c>
      <c r="I570" s="3" t="str">
        <f>_xlfn.IFNA(INDEX(RulebookFields!D2:D999, MATCH(D570,RulebookFields!A2:A999, 0)), "")</f>
      </c>
      <c r="J570" s="3" t="str">
        <f>_xlfn.IFNA(INDEX(RulebookFields!I2:I999, MATCH(D570,RulebookFields!A2:A999, 0)), "")</f>
      </c>
      <c r="K570" s="3" t="b">
        <f>AND(F570, J570)</f>
        <v>0</v>
      </c>
      <c r="L570" s="3" t="b">
        <f>AND(G570 &lt;&gt; "plain", G570 &lt;&gt; "")</f>
        <v>0</v>
      </c>
      <c r="M570" s="3" t="str">
        <f>IF(E570, C570 &amp; "|" &amp; H570, "")</f>
        <v>principal-process-steward|</v>
      </c>
      <c r="N570" s="2" t="s">
        <v>9938</v>
      </c>
    </row>
    <row r="571">
      <c r="A571" s="2" t="s">
        <v>10507</v>
      </c>
      <c r="B571" s="3" t="str">
        <f>C571 &amp; " -&gt; " &amp; D571</f>
        <v>principal-process-steward -&gt; AuthorityBoundaries.StepWhenBinding</v>
      </c>
      <c r="C571" s="2" t="s">
        <v>9706</v>
      </c>
      <c r="D571" s="2" t="s">
        <v>5090</v>
      </c>
      <c r="E571" s="2" t="b">
        <v>1</v>
      </c>
      <c r="F571" s="2" t="b">
        <v>0</v>
      </c>
      <c r="G571" s="2" t="s">
        <v>9937</v>
      </c>
      <c r="H571" s="3" t="str">
        <f>_xlfn.IFNA(INDEX(RulebookFields!C2:C999, MATCH(D571,RulebookFields!A2:A999, 0)), "")</f>
      </c>
      <c r="I571" s="3" t="str">
        <f>_xlfn.IFNA(INDEX(RulebookFields!D2:D999, MATCH(D571,RulebookFields!A2:A999, 0)), "")</f>
      </c>
      <c r="J571" s="3" t="str">
        <f>_xlfn.IFNA(INDEX(RulebookFields!I2:I999, MATCH(D571,RulebookFields!A2:A999, 0)), "")</f>
      </c>
      <c r="K571" s="3" t="b">
        <f>AND(F571, J571)</f>
        <v>0</v>
      </c>
      <c r="L571" s="3" t="b">
        <f>AND(G571 &lt;&gt; "plain", G571 &lt;&gt; "")</f>
        <v>0</v>
      </c>
      <c r="M571" s="3" t="str">
        <f>IF(E571, C571 &amp; "|" &amp; H571, "")</f>
        <v>principal-process-steward|</v>
      </c>
      <c r="N571" s="2" t="s">
        <v>9938</v>
      </c>
    </row>
    <row r="572">
      <c r="A572" s="2" t="s">
        <v>10508</v>
      </c>
      <c r="B572" s="3" t="str">
        <f>C572 &amp; " -&gt; " &amp; D572</f>
        <v>principal-process-steward -&gt; AuthorityBoundaries.BoundaryMatchKey</v>
      </c>
      <c r="C572" s="2" t="s">
        <v>9706</v>
      </c>
      <c r="D572" s="2" t="s">
        <v>5093</v>
      </c>
      <c r="E572" s="2" t="b">
        <v>1</v>
      </c>
      <c r="F572" s="2" t="b">
        <v>0</v>
      </c>
      <c r="G572" s="2" t="s">
        <v>9937</v>
      </c>
      <c r="H572" s="3" t="str">
        <f>_xlfn.IFNA(INDEX(RulebookFields!C2:C999, MATCH(D572,RulebookFields!A2:A999, 0)), "")</f>
      </c>
      <c r="I572" s="3" t="str">
        <f>_xlfn.IFNA(INDEX(RulebookFields!D2:D999, MATCH(D572,RulebookFields!A2:A999, 0)), "")</f>
      </c>
      <c r="J572" s="3" t="str">
        <f>_xlfn.IFNA(INDEX(RulebookFields!I2:I999, MATCH(D572,RulebookFields!A2:A999, 0)), "")</f>
      </c>
      <c r="K572" s="3" t="b">
        <f>AND(F572, J572)</f>
        <v>0</v>
      </c>
      <c r="L572" s="3" t="b">
        <f>AND(G572 &lt;&gt; "plain", G572 &lt;&gt; "")</f>
        <v>0</v>
      </c>
      <c r="M572" s="3" t="str">
        <f>IF(E572, C572 &amp; "|" &amp; H572, "")</f>
        <v>principal-process-steward|</v>
      </c>
      <c r="N572" s="2" t="s">
        <v>9938</v>
      </c>
    </row>
    <row r="573">
      <c r="A573" s="2" t="s">
        <v>10509</v>
      </c>
      <c r="B573" s="3" t="str">
        <f>C573 &amp; " -&gt; " &amp; D573</f>
        <v>principal-process-steward -&gt; AuthorityBoundaries.ViolationCount</v>
      </c>
      <c r="C573" s="2" t="s">
        <v>9706</v>
      </c>
      <c r="D573" s="2" t="s">
        <v>5095</v>
      </c>
      <c r="E573" s="2" t="b">
        <v>1</v>
      </c>
      <c r="F573" s="2" t="b">
        <v>0</v>
      </c>
      <c r="G573" s="2" t="s">
        <v>9937</v>
      </c>
      <c r="H573" s="3" t="str">
        <f>_xlfn.IFNA(INDEX(RulebookFields!C2:C999, MATCH(D573,RulebookFields!A2:A999, 0)), "")</f>
      </c>
      <c r="I573" s="3" t="str">
        <f>_xlfn.IFNA(INDEX(RulebookFields!D2:D999, MATCH(D573,RulebookFields!A2:A999, 0)), "")</f>
      </c>
      <c r="J573" s="3" t="str">
        <f>_xlfn.IFNA(INDEX(RulebookFields!I2:I999, MATCH(D573,RulebookFields!A2:A999, 0)), "")</f>
      </c>
      <c r="K573" s="3" t="b">
        <f>AND(F573, J573)</f>
        <v>0</v>
      </c>
      <c r="L573" s="3" t="b">
        <f>AND(G573 &lt;&gt; "plain", G573 &lt;&gt; "")</f>
        <v>0</v>
      </c>
      <c r="M573" s="3" t="str">
        <f>IF(E573, C573 &amp; "|" &amp; H573, "")</f>
        <v>principal-process-steward|</v>
      </c>
      <c r="N573" s="2" t="s">
        <v>9938</v>
      </c>
    </row>
    <row r="574">
      <c r="A574" s="2" t="s">
        <v>10510</v>
      </c>
      <c r="B574" s="3" t="str">
        <f>C574 &amp; " -&gt; " &amp; D574</f>
        <v>principal-process-steward -&gt; AuthorityBoundaries.IsUntested</v>
      </c>
      <c r="C574" s="2" t="s">
        <v>9706</v>
      </c>
      <c r="D574" s="2" t="s">
        <v>5098</v>
      </c>
      <c r="E574" s="2" t="b">
        <v>1</v>
      </c>
      <c r="F574" s="2" t="b">
        <v>0</v>
      </c>
      <c r="G574" s="2" t="s">
        <v>9937</v>
      </c>
      <c r="H574" s="3" t="str">
        <f>_xlfn.IFNA(INDEX(RulebookFields!C2:C999, MATCH(D574,RulebookFields!A2:A999, 0)), "")</f>
      </c>
      <c r="I574" s="3" t="str">
        <f>_xlfn.IFNA(INDEX(RulebookFields!D2:D999, MATCH(D574,RulebookFields!A2:A999, 0)), "")</f>
      </c>
      <c r="J574" s="3" t="str">
        <f>_xlfn.IFNA(INDEX(RulebookFields!I2:I999, MATCH(D574,RulebookFields!A2:A999, 0)), "")</f>
      </c>
      <c r="K574" s="3" t="b">
        <f>AND(F574, J574)</f>
        <v>0</v>
      </c>
      <c r="L574" s="3" t="b">
        <f>AND(G574 &lt;&gt; "plain", G574 &lt;&gt; "")</f>
        <v>0</v>
      </c>
      <c r="M574" s="3" t="str">
        <f>IF(E574, C574 &amp; "|" &amp; H574, "")</f>
        <v>principal-process-steward|</v>
      </c>
      <c r="N574" s="2" t="s">
        <v>9938</v>
      </c>
    </row>
    <row r="575">
      <c r="A575" s="2" t="s">
        <v>10511</v>
      </c>
      <c r="B575" s="3" t="str">
        <f>C575 &amp; " -&gt; " &amp; D575</f>
        <v>principal-process-steward -&gt; AuthorityBoundaries.HasRatifyingFragment</v>
      </c>
      <c r="C575" s="2" t="s">
        <v>9706</v>
      </c>
      <c r="D575" s="2" t="s">
        <v>5101</v>
      </c>
      <c r="E575" s="2" t="b">
        <v>1</v>
      </c>
      <c r="F575" s="2" t="b">
        <v>0</v>
      </c>
      <c r="G575" s="2" t="s">
        <v>9937</v>
      </c>
      <c r="H575" s="3" t="str">
        <f>_xlfn.IFNA(INDEX(RulebookFields!C2:C999, MATCH(D575,RulebookFields!A2:A999, 0)), "")</f>
      </c>
      <c r="I575" s="3" t="str">
        <f>_xlfn.IFNA(INDEX(RulebookFields!D2:D999, MATCH(D575,RulebookFields!A2:A999, 0)), "")</f>
      </c>
      <c r="J575" s="3" t="str">
        <f>_xlfn.IFNA(INDEX(RulebookFields!I2:I999, MATCH(D575,RulebookFields!A2:A999, 0)), "")</f>
      </c>
      <c r="K575" s="3" t="b">
        <f>AND(F575, J575)</f>
        <v>0</v>
      </c>
      <c r="L575" s="3" t="b">
        <f>AND(G575 &lt;&gt; "plain", G575 &lt;&gt; "")</f>
        <v>0</v>
      </c>
      <c r="M575" s="3" t="str">
        <f>IF(E575, C575 &amp; "|" &amp; H575, "")</f>
        <v>principal-process-steward|</v>
      </c>
      <c r="N575" s="2" t="s">
        <v>9938</v>
      </c>
    </row>
    <row r="576">
      <c r="A576" s="2" t="s">
        <v>10512</v>
      </c>
      <c r="B576" s="3" t="str">
        <f>C576 &amp; " -&gt; " &amp; D576</f>
        <v>principal-process-steward -&gt; AuthorityBoundaries.IsUnwarranted</v>
      </c>
      <c r="C576" s="2" t="s">
        <v>9706</v>
      </c>
      <c r="D576" s="2" t="s">
        <v>5104</v>
      </c>
      <c r="E576" s="2" t="b">
        <v>1</v>
      </c>
      <c r="F576" s="2" t="b">
        <v>0</v>
      </c>
      <c r="G576" s="2" t="s">
        <v>9937</v>
      </c>
      <c r="H576" s="3" t="str">
        <f>_xlfn.IFNA(INDEX(RulebookFields!C2:C999, MATCH(D576,RulebookFields!A2:A999, 0)), "")</f>
      </c>
      <c r="I576" s="3" t="str">
        <f>_xlfn.IFNA(INDEX(RulebookFields!D2:D999, MATCH(D576,RulebookFields!A2:A999, 0)), "")</f>
      </c>
      <c r="J576" s="3" t="str">
        <f>_xlfn.IFNA(INDEX(RulebookFields!I2:I999, MATCH(D576,RulebookFields!A2:A999, 0)), "")</f>
      </c>
      <c r="K576" s="3" t="b">
        <f>AND(F576, J576)</f>
        <v>0</v>
      </c>
      <c r="L576" s="3" t="b">
        <f>AND(G576 &lt;&gt; "plain", G576 &lt;&gt; "")</f>
        <v>0</v>
      </c>
      <c r="M576" s="3" t="str">
        <f>IF(E576, C576 &amp; "|" &amp; H576, "")</f>
        <v>principal-process-steward|</v>
      </c>
      <c r="N576" s="2" t="s">
        <v>9938</v>
      </c>
    </row>
    <row r="577">
      <c r="A577" s="2" t="s">
        <v>10513</v>
      </c>
      <c r="B577" s="3" t="str">
        <f>C577 &amp; " -&gt; " &amp; D577</f>
        <v>principal-process-steward -&gt; AuthorityBoundaries.RatifyingFragmentIsOverdue</v>
      </c>
      <c r="C577" s="2" t="s">
        <v>9706</v>
      </c>
      <c r="D577" s="2" t="s">
        <v>5107</v>
      </c>
      <c r="E577" s="2" t="b">
        <v>1</v>
      </c>
      <c r="F577" s="2" t="b">
        <v>0</v>
      </c>
      <c r="G577" s="2" t="s">
        <v>9937</v>
      </c>
      <c r="H577" s="3" t="str">
        <f>_xlfn.IFNA(INDEX(RulebookFields!C2:C999, MATCH(D577,RulebookFields!A2:A999, 0)), "")</f>
      </c>
      <c r="I577" s="3" t="str">
        <f>_xlfn.IFNA(INDEX(RulebookFields!D2:D999, MATCH(D577,RulebookFields!A2:A999, 0)), "")</f>
      </c>
      <c r="J577" s="3" t="str">
        <f>_xlfn.IFNA(INDEX(RulebookFields!I2:I999, MATCH(D577,RulebookFields!A2:A999, 0)), "")</f>
      </c>
      <c r="K577" s="3" t="b">
        <f>AND(F577, J577)</f>
        <v>0</v>
      </c>
      <c r="L577" s="3" t="b">
        <f>AND(G577 &lt;&gt; "plain", G577 &lt;&gt; "")</f>
        <v>0</v>
      </c>
      <c r="M577" s="3" t="str">
        <f>IF(E577, C577 &amp; "|" &amp; H577, "")</f>
        <v>principal-process-steward|</v>
      </c>
      <c r="N577" s="2" t="s">
        <v>9938</v>
      </c>
    </row>
    <row r="578">
      <c r="A578" s="2" t="s">
        <v>10514</v>
      </c>
      <c r="B578" s="3" t="str">
        <f>C578 &amp; " -&gt; " &amp; D578</f>
        <v>principal-process-steward -&gt; AuthorityBoundaries.RatifyingFragmentIsSingleWitness</v>
      </c>
      <c r="C578" s="2" t="s">
        <v>9706</v>
      </c>
      <c r="D578" s="2" t="s">
        <v>5110</v>
      </c>
      <c r="E578" s="2" t="b">
        <v>1</v>
      </c>
      <c r="F578" s="2" t="b">
        <v>0</v>
      </c>
      <c r="G578" s="2" t="s">
        <v>9937</v>
      </c>
      <c r="H578" s="3" t="str">
        <f>_xlfn.IFNA(INDEX(RulebookFields!C2:C999, MATCH(D578,RulebookFields!A2:A999, 0)), "")</f>
      </c>
      <c r="I578" s="3" t="str">
        <f>_xlfn.IFNA(INDEX(RulebookFields!D2:D999, MATCH(D578,RulebookFields!A2:A999, 0)), "")</f>
      </c>
      <c r="J578" s="3" t="str">
        <f>_xlfn.IFNA(INDEX(RulebookFields!I2:I999, MATCH(D578,RulebookFields!A2:A999, 0)), "")</f>
      </c>
      <c r="K578" s="3" t="b">
        <f>AND(F578, J578)</f>
        <v>0</v>
      </c>
      <c r="L578" s="3" t="b">
        <f>AND(G578 &lt;&gt; "plain", G578 &lt;&gt; "")</f>
        <v>0</v>
      </c>
      <c r="M578" s="3" t="str">
        <f>IF(E578, C578 &amp; "|" &amp; H578, "")</f>
        <v>principal-process-steward|</v>
      </c>
      <c r="N578" s="2" t="s">
        <v>9938</v>
      </c>
    </row>
    <row r="579">
      <c r="A579" s="2" t="s">
        <v>10515</v>
      </c>
      <c r="B579" s="3" t="str">
        <f>C579 &amp; " -&gt; " &amp; D579</f>
        <v>principal-process-steward -&gt; AuthorityBoundaries.WarrantIsThin</v>
      </c>
      <c r="C579" s="2" t="s">
        <v>9706</v>
      </c>
      <c r="D579" s="2" t="s">
        <v>5113</v>
      </c>
      <c r="E579" s="2" t="b">
        <v>1</v>
      </c>
      <c r="F579" s="2" t="b">
        <v>0</v>
      </c>
      <c r="G579" s="2" t="s">
        <v>9937</v>
      </c>
      <c r="H579" s="3" t="str">
        <f>_xlfn.IFNA(INDEX(RulebookFields!C2:C999, MATCH(D579,RulebookFields!A2:A999, 0)), "")</f>
      </c>
      <c r="I579" s="3" t="str">
        <f>_xlfn.IFNA(INDEX(RulebookFields!D2:D999, MATCH(D579,RulebookFields!A2:A999, 0)), "")</f>
      </c>
      <c r="J579" s="3" t="str">
        <f>_xlfn.IFNA(INDEX(RulebookFields!I2:I999, MATCH(D579,RulebookFields!A2:A999, 0)), "")</f>
      </c>
      <c r="K579" s="3" t="b">
        <f>AND(F579, J579)</f>
        <v>0</v>
      </c>
      <c r="L579" s="3" t="b">
        <f>AND(G579 &lt;&gt; "plain", G579 &lt;&gt; "")</f>
        <v>0</v>
      </c>
      <c r="M579" s="3" t="str">
        <f>IF(E579, C579 &amp; "|" &amp; H579, "")</f>
        <v>principal-process-steward|</v>
      </c>
      <c r="N579" s="2" t="s">
        <v>9938</v>
      </c>
    </row>
    <row r="580">
      <c r="A580" s="2" t="s">
        <v>10516</v>
      </c>
      <c r="B580" s="3" t="str">
        <f>C580 &amp; " -&gt; " &amp; D580</f>
        <v>principal-process-steward -&gt; AuthorityBoundaries.IsUnwarrantedAndUntested</v>
      </c>
      <c r="C580" s="2" t="s">
        <v>9706</v>
      </c>
      <c r="D580" s="2" t="s">
        <v>5116</v>
      </c>
      <c r="E580" s="2" t="b">
        <v>1</v>
      </c>
      <c r="F580" s="2" t="b">
        <v>0</v>
      </c>
      <c r="G580" s="2" t="s">
        <v>9937</v>
      </c>
      <c r="H580" s="3" t="str">
        <f>_xlfn.IFNA(INDEX(RulebookFields!C2:C999, MATCH(D580,RulebookFields!A2:A999, 0)), "")</f>
      </c>
      <c r="I580" s="3" t="str">
        <f>_xlfn.IFNA(INDEX(RulebookFields!D2:D999, MATCH(D580,RulebookFields!A2:A999, 0)), "")</f>
      </c>
      <c r="J580" s="3" t="str">
        <f>_xlfn.IFNA(INDEX(RulebookFields!I2:I999, MATCH(D580,RulebookFields!A2:A999, 0)), "")</f>
      </c>
      <c r="K580" s="3" t="b">
        <f>AND(F580, J580)</f>
        <v>0</v>
      </c>
      <c r="L580" s="3" t="b">
        <f>AND(G580 &lt;&gt; "plain", G580 &lt;&gt; "")</f>
        <v>0</v>
      </c>
      <c r="M580" s="3" t="str">
        <f>IF(E580, C580 &amp; "|" &amp; H580, "")</f>
        <v>principal-process-steward|</v>
      </c>
      <c r="N580" s="2" t="s">
        <v>9938</v>
      </c>
    </row>
    <row r="581">
      <c r="A581" s="2" t="s">
        <v>10517</v>
      </c>
      <c r="B581" s="3" t="str">
        <f>C581 &amp; " -&gt; " &amp; D581</f>
        <v>principal-process-steward -&gt; AuthorityBoundaries.UnwarrantedBoundaryStepKey</v>
      </c>
      <c r="C581" s="2" t="s">
        <v>9706</v>
      </c>
      <c r="D581" s="2" t="s">
        <v>5119</v>
      </c>
      <c r="E581" s="2" t="b">
        <v>1</v>
      </c>
      <c r="F581" s="2" t="b">
        <v>0</v>
      </c>
      <c r="G581" s="2" t="s">
        <v>9937</v>
      </c>
      <c r="H581" s="3" t="str">
        <f>_xlfn.IFNA(INDEX(RulebookFields!C2:C999, MATCH(D581,RulebookFields!A2:A999, 0)), "")</f>
      </c>
      <c r="I581" s="3" t="str">
        <f>_xlfn.IFNA(INDEX(RulebookFields!D2:D999, MATCH(D581,RulebookFields!A2:A999, 0)), "")</f>
      </c>
      <c r="J581" s="3" t="str">
        <f>_xlfn.IFNA(INDEX(RulebookFields!I2:I999, MATCH(D581,RulebookFields!A2:A999, 0)), "")</f>
      </c>
      <c r="K581" s="3" t="b">
        <f>AND(F581, J581)</f>
        <v>0</v>
      </c>
      <c r="L581" s="3" t="b">
        <f>AND(G581 &lt;&gt; "plain", G581 &lt;&gt; "")</f>
        <v>0</v>
      </c>
      <c r="M581" s="3" t="str">
        <f>IF(E581, C581 &amp; "|" &amp; H581, "")</f>
        <v>principal-process-steward|</v>
      </c>
      <c r="N581" s="2" t="s">
        <v>9938</v>
      </c>
    </row>
    <row r="582">
      <c r="A582" s="2" t="s">
        <v>10518</v>
      </c>
      <c r="B582" s="3" t="str">
        <f>C582 &amp; " -&gt; " &amp; D582</f>
        <v>principal-process-steward -&gt; AuthorityBoundaries.RatifyingFragmentKey</v>
      </c>
      <c r="C582" s="2" t="s">
        <v>9706</v>
      </c>
      <c r="D582" s="2" t="s">
        <v>5122</v>
      </c>
      <c r="E582" s="2" t="b">
        <v>1</v>
      </c>
      <c r="F582" s="2" t="b">
        <v>0</v>
      </c>
      <c r="G582" s="2" t="s">
        <v>9937</v>
      </c>
      <c r="H582" s="3" t="str">
        <f>_xlfn.IFNA(INDEX(RulebookFields!C2:C999, MATCH(D582,RulebookFields!A2:A999, 0)), "")</f>
      </c>
      <c r="I582" s="3" t="str">
        <f>_xlfn.IFNA(INDEX(RulebookFields!D2:D999, MATCH(D582,RulebookFields!A2:A999, 0)), "")</f>
      </c>
      <c r="J582" s="3" t="str">
        <f>_xlfn.IFNA(INDEX(RulebookFields!I2:I999, MATCH(D582,RulebookFields!A2:A999, 0)), "")</f>
      </c>
      <c r="K582" s="3" t="b">
        <f>AND(F582, J582)</f>
        <v>0</v>
      </c>
      <c r="L582" s="3" t="b">
        <f>AND(G582 &lt;&gt; "plain", G582 &lt;&gt; "")</f>
        <v>0</v>
      </c>
      <c r="M582" s="3" t="str">
        <f>IF(E582, C582 &amp; "|" &amp; H582, "")</f>
        <v>principal-process-steward|</v>
      </c>
      <c r="N582" s="2" t="s">
        <v>9938</v>
      </c>
    </row>
    <row r="583">
      <c r="A583" s="2" t="s">
        <v>10519</v>
      </c>
      <c r="B583" s="3" t="str">
        <f>C583 &amp; " -&gt; " &amp; D583</f>
        <v>principal-process-steward -&gt; AuthorityBoundaries.RatifyingFragmentStatus</v>
      </c>
      <c r="C583" s="2" t="s">
        <v>9706</v>
      </c>
      <c r="D583" s="2" t="s">
        <v>5125</v>
      </c>
      <c r="E583" s="2" t="b">
        <v>1</v>
      </c>
      <c r="F583" s="2" t="b">
        <v>0</v>
      </c>
      <c r="G583" s="2" t="s">
        <v>9937</v>
      </c>
      <c r="H583" s="3" t="str">
        <f>_xlfn.IFNA(INDEX(RulebookFields!C2:C999, MATCH(D583,RulebookFields!A2:A999, 0)), "")</f>
      </c>
      <c r="I583" s="3" t="str">
        <f>_xlfn.IFNA(INDEX(RulebookFields!D2:D999, MATCH(D583,RulebookFields!A2:A999, 0)), "")</f>
      </c>
      <c r="J583" s="3" t="str">
        <f>_xlfn.IFNA(INDEX(RulebookFields!I2:I999, MATCH(D583,RulebookFields!A2:A999, 0)), "")</f>
      </c>
      <c r="K583" s="3" t="b">
        <f>AND(F583, J583)</f>
        <v>0</v>
      </c>
      <c r="L583" s="3" t="b">
        <f>AND(G583 &lt;&gt; "plain", G583 &lt;&gt; "")</f>
        <v>0</v>
      </c>
      <c r="M583" s="3" t="str">
        <f>IF(E583, C583 &amp; "|" &amp; H583, "")</f>
        <v>principal-process-steward|</v>
      </c>
      <c r="N583" s="2" t="s">
        <v>9938</v>
      </c>
    </row>
    <row r="584">
      <c r="A584" s="2" t="s">
        <v>10520</v>
      </c>
      <c r="B584" s="3" t="str">
        <f>C584 &amp; " -&gt; " &amp; D584</f>
        <v>principal-process-steward -&gt; AuthorityBoundaries.RatificationLapsed</v>
      </c>
      <c r="C584" s="2" t="s">
        <v>9706</v>
      </c>
      <c r="D584" s="2" t="s">
        <v>5128</v>
      </c>
      <c r="E584" s="2" t="b">
        <v>1</v>
      </c>
      <c r="F584" s="2" t="b">
        <v>0</v>
      </c>
      <c r="G584" s="2" t="s">
        <v>9937</v>
      </c>
      <c r="H584" s="3" t="str">
        <f>_xlfn.IFNA(INDEX(RulebookFields!C2:C999, MATCH(D584,RulebookFields!A2:A999, 0)), "")</f>
      </c>
      <c r="I584" s="3" t="str">
        <f>_xlfn.IFNA(INDEX(RulebookFields!D2:D999, MATCH(D584,RulebookFields!A2:A999, 0)), "")</f>
      </c>
      <c r="J584" s="3" t="str">
        <f>_xlfn.IFNA(INDEX(RulebookFields!I2:I999, MATCH(D584,RulebookFields!A2:A999, 0)), "")</f>
      </c>
      <c r="K584" s="3" t="b">
        <f>AND(F584, J584)</f>
        <v>0</v>
      </c>
      <c r="L584" s="3" t="b">
        <f>AND(G584 &lt;&gt; "plain", G584 &lt;&gt; "")</f>
        <v>0</v>
      </c>
      <c r="M584" s="3" t="str">
        <f>IF(E584, C584 &amp; "|" &amp; H584, "")</f>
        <v>principal-process-steward|</v>
      </c>
      <c r="N584" s="2" t="s">
        <v>9938</v>
      </c>
    </row>
    <row r="585">
      <c r="A585" s="2" t="s">
        <v>10521</v>
      </c>
      <c r="B585" s="3" t="str">
        <f>C585 &amp; " -&gt; " &amp; D585</f>
        <v>principal-process-steward -&gt; AuthorityBoundaries.BindsDespiteLapsedRatification</v>
      </c>
      <c r="C585" s="2" t="s">
        <v>9706</v>
      </c>
      <c r="D585" s="2" t="s">
        <v>5131</v>
      </c>
      <c r="E585" s="2" t="b">
        <v>1</v>
      </c>
      <c r="F585" s="2" t="b">
        <v>0</v>
      </c>
      <c r="G585" s="2" t="s">
        <v>9937</v>
      </c>
      <c r="H585" s="3" t="str">
        <f>_xlfn.IFNA(INDEX(RulebookFields!C2:C999, MATCH(D585,RulebookFields!A2:A999, 0)), "")</f>
      </c>
      <c r="I585" s="3" t="str">
        <f>_xlfn.IFNA(INDEX(RulebookFields!D2:D999, MATCH(D585,RulebookFields!A2:A999, 0)), "")</f>
      </c>
      <c r="J585" s="3" t="str">
        <f>_xlfn.IFNA(INDEX(RulebookFields!I2:I999, MATCH(D585,RulebookFields!A2:A999, 0)), "")</f>
      </c>
      <c r="K585" s="3" t="b">
        <f>AND(F585, J585)</f>
        <v>0</v>
      </c>
      <c r="L585" s="3" t="b">
        <f>AND(G585 &lt;&gt; "plain", G585 &lt;&gt; "")</f>
        <v>0</v>
      </c>
      <c r="M585" s="3" t="str">
        <f>IF(E585, C585 &amp; "|" &amp; H585, "")</f>
        <v>principal-process-steward|</v>
      </c>
      <c r="N585" s="2" t="s">
        <v>9938</v>
      </c>
    </row>
    <row r="586">
      <c r="A586" s="2" t="s">
        <v>10522</v>
      </c>
      <c r="B586" s="3" t="str">
        <f>C586 &amp; " -&gt; " &amp; D586</f>
        <v>principal-process-steward -&gt; AuthorityBoundaries.IsUngroundedAndUntested</v>
      </c>
      <c r="C586" s="2" t="s">
        <v>9706</v>
      </c>
      <c r="D586" s="2" t="s">
        <v>5134</v>
      </c>
      <c r="E586" s="2" t="b">
        <v>1</v>
      </c>
      <c r="F586" s="2" t="b">
        <v>0</v>
      </c>
      <c r="G586" s="2" t="s">
        <v>9937</v>
      </c>
      <c r="H586" s="3" t="str">
        <f>_xlfn.IFNA(INDEX(RulebookFields!C2:C999, MATCH(D586,RulebookFields!A2:A999, 0)), "")</f>
      </c>
      <c r="I586" s="3" t="str">
        <f>_xlfn.IFNA(INDEX(RulebookFields!D2:D999, MATCH(D586,RulebookFields!A2:A999, 0)), "")</f>
      </c>
      <c r="J586" s="3" t="str">
        <f>_xlfn.IFNA(INDEX(RulebookFields!I2:I999, MATCH(D586,RulebookFields!A2:A999, 0)), "")</f>
      </c>
      <c r="K586" s="3" t="b">
        <f>AND(F586, J586)</f>
        <v>0</v>
      </c>
      <c r="L586" s="3" t="b">
        <f>AND(G586 &lt;&gt; "plain", G586 &lt;&gt; "")</f>
        <v>0</v>
      </c>
      <c r="M586" s="3" t="str">
        <f>IF(E586, C586 &amp; "|" &amp; H586, "")</f>
        <v>principal-process-steward|</v>
      </c>
      <c r="N586" s="2" t="s">
        <v>9938</v>
      </c>
    </row>
    <row r="587">
      <c r="A587" s="2" t="s">
        <v>10523</v>
      </c>
      <c r="B587" s="3" t="str">
        <f>C587 &amp; " -&gt; " &amp; D587</f>
        <v>principal-process-steward -&gt; AuthorityBoundaries.ConstrainedRoleAssignmentKey</v>
      </c>
      <c r="C587" s="2" t="s">
        <v>9706</v>
      </c>
      <c r="D587" s="2" t="s">
        <v>5137</v>
      </c>
      <c r="E587" s="2" t="b">
        <v>1</v>
      </c>
      <c r="F587" s="2" t="b">
        <v>0</v>
      </c>
      <c r="G587" s="2" t="s">
        <v>9937</v>
      </c>
      <c r="H587" s="3" t="str">
        <f>_xlfn.IFNA(INDEX(RulebookFields!C2:C999, MATCH(D587,RulebookFields!A2:A999, 0)), "")</f>
      </c>
      <c r="I587" s="3" t="str">
        <f>_xlfn.IFNA(INDEX(RulebookFields!D2:D999, MATCH(D587,RulebookFields!A2:A999, 0)), "")</f>
      </c>
      <c r="J587" s="3" t="str">
        <f>_xlfn.IFNA(INDEX(RulebookFields!I2:I999, MATCH(D587,RulebookFields!A2:A999, 0)), "")</f>
      </c>
      <c r="K587" s="3" t="b">
        <f>AND(F587, J587)</f>
        <v>0</v>
      </c>
      <c r="L587" s="3" t="b">
        <f>AND(G587 &lt;&gt; "plain", G587 &lt;&gt; "")</f>
        <v>0</v>
      </c>
      <c r="M587" s="3" t="str">
        <f>IF(E587, C587 &amp; "|" &amp; H587, "")</f>
        <v>principal-process-steward|</v>
      </c>
      <c r="N587" s="2" t="s">
        <v>9938</v>
      </c>
    </row>
    <row r="588">
      <c r="A588" s="2" t="s">
        <v>10524</v>
      </c>
      <c r="B588" s="3" t="str">
        <f>C588 &amp; " -&gt; " &amp; D588</f>
        <v>principal-process-steward -&gt; AuthorityBoundaries.SemanticTypeIri</v>
      </c>
      <c r="C588" s="2" t="s">
        <v>9706</v>
      </c>
      <c r="D588" s="2" t="s">
        <v>5140</v>
      </c>
      <c r="E588" s="2" t="b">
        <v>1</v>
      </c>
      <c r="F588" s="2" t="b">
        <v>0</v>
      </c>
      <c r="G588" s="2" t="s">
        <v>9937</v>
      </c>
      <c r="H588" s="3" t="str">
        <f>_xlfn.IFNA(INDEX(RulebookFields!C2:C999, MATCH(D588,RulebookFields!A2:A999, 0)), "")</f>
      </c>
      <c r="I588" s="3" t="str">
        <f>_xlfn.IFNA(INDEX(RulebookFields!D2:D999, MATCH(D588,RulebookFields!A2:A999, 0)), "")</f>
      </c>
      <c r="J588" s="3" t="str">
        <f>_xlfn.IFNA(INDEX(RulebookFields!I2:I999, MATCH(D588,RulebookFields!A2:A999, 0)), "")</f>
      </c>
      <c r="K588" s="3" t="b">
        <f>AND(F588, J588)</f>
        <v>0</v>
      </c>
      <c r="L588" s="3" t="b">
        <f>AND(G588 &lt;&gt; "plain", G588 &lt;&gt; "")</f>
        <v>0</v>
      </c>
      <c r="M588" s="3" t="str">
        <f>IF(E588, C588 &amp; "|" &amp; H588, "")</f>
        <v>principal-process-steward|</v>
      </c>
      <c r="N588" s="2" t="s">
        <v>9938</v>
      </c>
    </row>
    <row r="589">
      <c r="A589" s="2" t="s">
        <v>10525</v>
      </c>
      <c r="B589" s="3" t="str">
        <f>C589 &amp; " -&gt; " &amp; D589</f>
        <v>principal-process-steward -&gt; BindingObservations.BindingObservationId</v>
      </c>
      <c r="C589" s="2" t="s">
        <v>9706</v>
      </c>
      <c r="D589" s="2" t="s">
        <v>5141</v>
      </c>
      <c r="E589" s="2" t="b">
        <v>1</v>
      </c>
      <c r="F589" s="2" t="b">
        <v>0</v>
      </c>
      <c r="G589" s="2" t="s">
        <v>9937</v>
      </c>
      <c r="H589" s="3" t="str">
        <f>_xlfn.IFNA(INDEX(RulebookFields!C2:C999, MATCH(D589,RulebookFields!A2:A999, 0)), "")</f>
      </c>
      <c r="I589" s="3" t="str">
        <f>_xlfn.IFNA(INDEX(RulebookFields!D2:D999, MATCH(D589,RulebookFields!A2:A999, 0)), "")</f>
      </c>
      <c r="J589" s="3" t="str">
        <f>_xlfn.IFNA(INDEX(RulebookFields!I2:I999, MATCH(D589,RulebookFields!A2:A999, 0)), "")</f>
      </c>
      <c r="K589" s="3" t="b">
        <f>AND(F589, J589)</f>
        <v>0</v>
      </c>
      <c r="L589" s="3" t="b">
        <f>AND(G589 &lt;&gt; "plain", G589 &lt;&gt; "")</f>
        <v>0</v>
      </c>
      <c r="M589" s="3" t="str">
        <f>IF(E589, C589 &amp; "|" &amp; H589, "")</f>
        <v>principal-process-steward|</v>
      </c>
      <c r="N589" s="2" t="s">
        <v>9938</v>
      </c>
    </row>
    <row r="590">
      <c r="A590" s="2" t="s">
        <v>10526</v>
      </c>
      <c r="B590" s="3" t="str">
        <f>C590 &amp; " -&gt; " &amp; D590</f>
        <v>principal-process-steward -&gt; BindingObservations.Name</v>
      </c>
      <c r="C590" s="2" t="s">
        <v>9706</v>
      </c>
      <c r="D590" s="2" t="s">
        <v>5144</v>
      </c>
      <c r="E590" s="2" t="b">
        <v>1</v>
      </c>
      <c r="F590" s="2" t="b">
        <v>0</v>
      </c>
      <c r="G590" s="2" t="s">
        <v>9937</v>
      </c>
      <c r="H590" s="3" t="str">
        <f>_xlfn.IFNA(INDEX(RulebookFields!C2:C999, MATCH(D590,RulebookFields!A2:A999, 0)), "")</f>
      </c>
      <c r="I590" s="3" t="str">
        <f>_xlfn.IFNA(INDEX(RulebookFields!D2:D999, MATCH(D590,RulebookFields!A2:A999, 0)), "")</f>
      </c>
      <c r="J590" s="3" t="str">
        <f>_xlfn.IFNA(INDEX(RulebookFields!I2:I999, MATCH(D590,RulebookFields!A2:A999, 0)), "")</f>
      </c>
      <c r="K590" s="3" t="b">
        <f>AND(F590, J590)</f>
        <v>0</v>
      </c>
      <c r="L590" s="3" t="b">
        <f>AND(G590 &lt;&gt; "plain", G590 &lt;&gt; "")</f>
        <v>0</v>
      </c>
      <c r="M590" s="3" t="str">
        <f>IF(E590, C590 &amp; "|" &amp; H590, "")</f>
        <v>principal-process-steward|</v>
      </c>
      <c r="N590" s="2" t="s">
        <v>9938</v>
      </c>
    </row>
    <row r="591">
      <c r="A591" s="2" t="s">
        <v>10527</v>
      </c>
      <c r="B591" s="3" t="str">
        <f>C591 &amp; " -&gt; " &amp; D591</f>
        <v>principal-process-steward -&gt; BindingObservations.StepExecution</v>
      </c>
      <c r="C591" s="2" t="s">
        <v>9706</v>
      </c>
      <c r="D591" s="2" t="s">
        <v>5146</v>
      </c>
      <c r="E591" s="2" t="b">
        <v>1</v>
      </c>
      <c r="F591" s="2" t="b">
        <v>0</v>
      </c>
      <c r="G591" s="2" t="s">
        <v>9937</v>
      </c>
      <c r="H591" s="3" t="str">
        <f>_xlfn.IFNA(INDEX(RulebookFields!C2:C999, MATCH(D591,RulebookFields!A2:A999, 0)), "")</f>
      </c>
      <c r="I591" s="3" t="str">
        <f>_xlfn.IFNA(INDEX(RulebookFields!D2:D999, MATCH(D591,RulebookFields!A2:A999, 0)), "")</f>
      </c>
      <c r="J591" s="3" t="str">
        <f>_xlfn.IFNA(INDEX(RulebookFields!I2:I999, MATCH(D591,RulebookFields!A2:A999, 0)), "")</f>
      </c>
      <c r="K591" s="3" t="b">
        <f>AND(F591, J591)</f>
        <v>0</v>
      </c>
      <c r="L591" s="3" t="b">
        <f>AND(G591 &lt;&gt; "plain", G591 &lt;&gt; "")</f>
        <v>0</v>
      </c>
      <c r="M591" s="3" t="str">
        <f>IF(E591, C591 &amp; "|" &amp; H591, "")</f>
        <v>principal-process-steward|</v>
      </c>
      <c r="N591" s="2" t="s">
        <v>9938</v>
      </c>
    </row>
    <row r="592">
      <c r="A592" s="2" t="s">
        <v>10528</v>
      </c>
      <c r="B592" s="3" t="str">
        <f>C592 &amp; " -&gt; " &amp; D592</f>
        <v>principal-process-steward -&gt; BindingObservations.OperationalBinding</v>
      </c>
      <c r="C592" s="2" t="s">
        <v>9706</v>
      </c>
      <c r="D592" s="2" t="s">
        <v>5147</v>
      </c>
      <c r="E592" s="2" t="b">
        <v>1</v>
      </c>
      <c r="F592" s="2" t="b">
        <v>0</v>
      </c>
      <c r="G592" s="2" t="s">
        <v>9937</v>
      </c>
      <c r="H592" s="3" t="str">
        <f>_xlfn.IFNA(INDEX(RulebookFields!C2:C999, MATCH(D592,RulebookFields!A2:A999, 0)), "")</f>
      </c>
      <c r="I592" s="3" t="str">
        <f>_xlfn.IFNA(INDEX(RulebookFields!D2:D999, MATCH(D592,RulebookFields!A2:A999, 0)), "")</f>
      </c>
      <c r="J592" s="3" t="str">
        <f>_xlfn.IFNA(INDEX(RulebookFields!I2:I999, MATCH(D592,RulebookFields!A2:A999, 0)), "")</f>
      </c>
      <c r="K592" s="3" t="b">
        <f>AND(F592, J592)</f>
        <v>0</v>
      </c>
      <c r="L592" s="3" t="b">
        <f>AND(G592 &lt;&gt; "plain", G592 &lt;&gt; "")</f>
        <v>0</v>
      </c>
      <c r="M592" s="3" t="str">
        <f>IF(E592, C592 &amp; "|" &amp; H592, "")</f>
        <v>principal-process-steward|</v>
      </c>
      <c r="N592" s="2" t="s">
        <v>9938</v>
      </c>
    </row>
    <row r="593">
      <c r="A593" s="2" t="s">
        <v>10529</v>
      </c>
      <c r="B593" s="3" t="str">
        <f>C593 &amp; " -&gt; " &amp; D593</f>
        <v>principal-process-steward -&gt; BindingObservations.ObservedSourceTimestamp</v>
      </c>
      <c r="C593" s="2" t="s">
        <v>9706</v>
      </c>
      <c r="D593" s="2" t="s">
        <v>5149</v>
      </c>
      <c r="E593" s="2" t="b">
        <v>1</v>
      </c>
      <c r="F593" s="2" t="b">
        <v>0</v>
      </c>
      <c r="G593" s="2" t="s">
        <v>9937</v>
      </c>
      <c r="H593" s="3" t="str">
        <f>_xlfn.IFNA(INDEX(RulebookFields!C2:C999, MATCH(D593,RulebookFields!A2:A999, 0)), "")</f>
      </c>
      <c r="I593" s="3" t="str">
        <f>_xlfn.IFNA(INDEX(RulebookFields!D2:D999, MATCH(D593,RulebookFields!A2:A999, 0)), "")</f>
      </c>
      <c r="J593" s="3" t="str">
        <f>_xlfn.IFNA(INDEX(RulebookFields!I2:I999, MATCH(D593,RulebookFields!A2:A999, 0)), "")</f>
      </c>
      <c r="K593" s="3" t="b">
        <f>AND(F593, J593)</f>
        <v>0</v>
      </c>
      <c r="L593" s="3" t="b">
        <f>AND(G593 &lt;&gt; "plain", G593 &lt;&gt; "")</f>
        <v>0</v>
      </c>
      <c r="M593" s="3" t="str">
        <f>IF(E593, C593 &amp; "|" &amp; H593, "")</f>
        <v>principal-process-steward|</v>
      </c>
      <c r="N593" s="2" t="s">
        <v>9938</v>
      </c>
    </row>
    <row r="594">
      <c r="A594" s="2" t="s">
        <v>10530</v>
      </c>
      <c r="B594" s="3" t="str">
        <f>C594 &amp; " -&gt; " &amp; D594</f>
        <v>principal-process-steward -&gt; BindingObservations.ReadAt</v>
      </c>
      <c r="C594" s="2" t="s">
        <v>9706</v>
      </c>
      <c r="D594" s="2" t="s">
        <v>5151</v>
      </c>
      <c r="E594" s="2" t="b">
        <v>1</v>
      </c>
      <c r="F594" s="2" t="b">
        <v>0</v>
      </c>
      <c r="G594" s="2" t="s">
        <v>9937</v>
      </c>
      <c r="H594" s="3" t="str">
        <f>_xlfn.IFNA(INDEX(RulebookFields!C2:C999, MATCH(D594,RulebookFields!A2:A999, 0)), "")</f>
      </c>
      <c r="I594" s="3" t="str">
        <f>_xlfn.IFNA(INDEX(RulebookFields!D2:D999, MATCH(D594,RulebookFields!A2:A999, 0)), "")</f>
      </c>
      <c r="J594" s="3" t="str">
        <f>_xlfn.IFNA(INDEX(RulebookFields!I2:I999, MATCH(D594,RulebookFields!A2:A999, 0)), "")</f>
      </c>
      <c r="K594" s="3" t="b">
        <f>AND(F594, J594)</f>
        <v>0</v>
      </c>
      <c r="L594" s="3" t="b">
        <f>AND(G594 &lt;&gt; "plain", G594 &lt;&gt; "")</f>
        <v>0</v>
      </c>
      <c r="M594" s="3" t="str">
        <f>IF(E594, C594 &amp; "|" &amp; H594, "")</f>
        <v>principal-process-steward|</v>
      </c>
      <c r="N594" s="2" t="s">
        <v>9938</v>
      </c>
    </row>
    <row r="595">
      <c r="A595" s="2" t="s">
        <v>10531</v>
      </c>
      <c r="B595" s="3" t="str">
        <f>C595 &amp; " -&gt; " &amp; D595</f>
        <v>principal-process-steward -&gt; BindingObservations.SlaMinutesAtRun</v>
      </c>
      <c r="C595" s="2" t="s">
        <v>9706</v>
      </c>
      <c r="D595" s="2" t="s">
        <v>5153</v>
      </c>
      <c r="E595" s="2" t="b">
        <v>1</v>
      </c>
      <c r="F595" s="2" t="b">
        <v>0</v>
      </c>
      <c r="G595" s="2" t="s">
        <v>9937</v>
      </c>
      <c r="H595" s="3" t="str">
        <f>_xlfn.IFNA(INDEX(RulebookFields!C2:C999, MATCH(D595,RulebookFields!A2:A999, 0)), "")</f>
      </c>
      <c r="I595" s="3" t="str">
        <f>_xlfn.IFNA(INDEX(RulebookFields!D2:D999, MATCH(D595,RulebookFields!A2:A999, 0)), "")</f>
      </c>
      <c r="J595" s="3" t="str">
        <f>_xlfn.IFNA(INDEX(RulebookFields!I2:I999, MATCH(D595,RulebookFields!A2:A999, 0)), "")</f>
      </c>
      <c r="K595" s="3" t="b">
        <f>AND(F595, J595)</f>
        <v>0</v>
      </c>
      <c r="L595" s="3" t="b">
        <f>AND(G595 &lt;&gt; "plain", G595 &lt;&gt; "")</f>
        <v>0</v>
      </c>
      <c r="M595" s="3" t="str">
        <f>IF(E595, C595 &amp; "|" &amp; H595, "")</f>
        <v>principal-process-steward|</v>
      </c>
      <c r="N595" s="2" t="s">
        <v>9938</v>
      </c>
    </row>
    <row r="596">
      <c r="A596" s="2" t="s">
        <v>10532</v>
      </c>
      <c r="B596" s="3" t="str">
        <f>C596 &amp; " -&gt; " &amp; D596</f>
        <v>principal-process-steward -&gt; BindingObservations.AgeAtRunMinutes</v>
      </c>
      <c r="C596" s="2" t="s">
        <v>9706</v>
      </c>
      <c r="D596" s="2" t="s">
        <v>5156</v>
      </c>
      <c r="E596" s="2" t="b">
        <v>1</v>
      </c>
      <c r="F596" s="2" t="b">
        <v>0</v>
      </c>
      <c r="G596" s="2" t="s">
        <v>9937</v>
      </c>
      <c r="H596" s="3" t="str">
        <f>_xlfn.IFNA(INDEX(RulebookFields!C2:C999, MATCH(D596,RulebookFields!A2:A999, 0)), "")</f>
      </c>
      <c r="I596" s="3" t="str">
        <f>_xlfn.IFNA(INDEX(RulebookFields!D2:D999, MATCH(D596,RulebookFields!A2:A999, 0)), "")</f>
      </c>
      <c r="J596" s="3" t="str">
        <f>_xlfn.IFNA(INDEX(RulebookFields!I2:I999, MATCH(D596,RulebookFields!A2:A999, 0)), "")</f>
      </c>
      <c r="K596" s="3" t="b">
        <f>AND(F596, J596)</f>
        <v>0</v>
      </c>
      <c r="L596" s="3" t="b">
        <f>AND(G596 &lt;&gt; "plain", G596 &lt;&gt; "")</f>
        <v>0</v>
      </c>
      <c r="M596" s="3" t="str">
        <f>IF(E596, C596 &amp; "|" &amp; H596, "")</f>
        <v>principal-process-steward|</v>
      </c>
      <c r="N596" s="2" t="s">
        <v>9938</v>
      </c>
    </row>
    <row r="597">
      <c r="A597" s="2" t="s">
        <v>10533</v>
      </c>
      <c r="B597" s="3" t="str">
        <f>C597 &amp; " -&gt; " &amp; D597</f>
        <v>principal-process-steward -&gt; BindingObservations.WasStaleAtRun</v>
      </c>
      <c r="C597" s="2" t="s">
        <v>9706</v>
      </c>
      <c r="D597" s="2" t="s">
        <v>5159</v>
      </c>
      <c r="E597" s="2" t="b">
        <v>1</v>
      </c>
      <c r="F597" s="2" t="b">
        <v>0</v>
      </c>
      <c r="G597" s="2" t="s">
        <v>9937</v>
      </c>
      <c r="H597" s="3" t="str">
        <f>_xlfn.IFNA(INDEX(RulebookFields!C2:C999, MATCH(D597,RulebookFields!A2:A999, 0)), "")</f>
      </c>
      <c r="I597" s="3" t="str">
        <f>_xlfn.IFNA(INDEX(RulebookFields!D2:D999, MATCH(D597,RulebookFields!A2:A999, 0)), "")</f>
      </c>
      <c r="J597" s="3" t="str">
        <f>_xlfn.IFNA(INDEX(RulebookFields!I2:I999, MATCH(D597,RulebookFields!A2:A999, 0)), "")</f>
      </c>
      <c r="K597" s="3" t="b">
        <f>AND(F597, J597)</f>
        <v>0</v>
      </c>
      <c r="L597" s="3" t="b">
        <f>AND(G597 &lt;&gt; "plain", G597 &lt;&gt; "")</f>
        <v>0</v>
      </c>
      <c r="M597" s="3" t="str">
        <f>IF(E597, C597 &amp; "|" &amp; H597, "")</f>
        <v>principal-process-steward|</v>
      </c>
      <c r="N597" s="2" t="s">
        <v>9938</v>
      </c>
    </row>
    <row r="598">
      <c r="A598" s="2" t="s">
        <v>10534</v>
      </c>
      <c r="B598" s="3" t="str">
        <f>C598 &amp; " -&gt; " &amp; D598</f>
        <v>principal-process-steward -&gt; BindingObservations.IsAuthoritativeBinding</v>
      </c>
      <c r="C598" s="2" t="s">
        <v>9706</v>
      </c>
      <c r="D598" s="2" t="s">
        <v>5162</v>
      </c>
      <c r="E598" s="2" t="b">
        <v>1</v>
      </c>
      <c r="F598" s="2" t="b">
        <v>0</v>
      </c>
      <c r="G598" s="2" t="s">
        <v>9937</v>
      </c>
      <c r="H598" s="3" t="str">
        <f>_xlfn.IFNA(INDEX(RulebookFields!C2:C999, MATCH(D598,RulebookFields!A2:A999, 0)), "")</f>
      </c>
      <c r="I598" s="3" t="str">
        <f>_xlfn.IFNA(INDEX(RulebookFields!D2:D999, MATCH(D598,RulebookFields!A2:A999, 0)), "")</f>
      </c>
      <c r="J598" s="3" t="str">
        <f>_xlfn.IFNA(INDEX(RulebookFields!I2:I999, MATCH(D598,RulebookFields!A2:A999, 0)), "")</f>
      </c>
      <c r="K598" s="3" t="b">
        <f>AND(F598, J598)</f>
        <v>0</v>
      </c>
      <c r="L598" s="3" t="b">
        <f>AND(G598 &lt;&gt; "plain", G598 &lt;&gt; "")</f>
        <v>0</v>
      </c>
      <c r="M598" s="3" t="str">
        <f>IF(E598, C598 &amp; "|" &amp; H598, "")</f>
        <v>principal-process-steward|</v>
      </c>
      <c r="N598" s="2" t="s">
        <v>9938</v>
      </c>
    </row>
    <row r="599">
      <c r="A599" s="2" t="s">
        <v>10535</v>
      </c>
      <c r="B599" s="3" t="str">
        <f>C599 &amp; " -&gt; " &amp; D599</f>
        <v>principal-process-steward -&gt; BindingObservations.StaleAtRunStepKey</v>
      </c>
      <c r="C599" s="2" t="s">
        <v>9706</v>
      </c>
      <c r="D599" s="2" t="s">
        <v>5165</v>
      </c>
      <c r="E599" s="2" t="b">
        <v>1</v>
      </c>
      <c r="F599" s="2" t="b">
        <v>0</v>
      </c>
      <c r="G599" s="2" t="s">
        <v>9937</v>
      </c>
      <c r="H599" s="3" t="str">
        <f>_xlfn.IFNA(INDEX(RulebookFields!C2:C999, MATCH(D599,RulebookFields!A2:A999, 0)), "")</f>
      </c>
      <c r="I599" s="3" t="str">
        <f>_xlfn.IFNA(INDEX(RulebookFields!D2:D999, MATCH(D599,RulebookFields!A2:A999, 0)), "")</f>
      </c>
      <c r="J599" s="3" t="str">
        <f>_xlfn.IFNA(INDEX(RulebookFields!I2:I999, MATCH(D599,RulebookFields!A2:A999, 0)), "")</f>
      </c>
      <c r="K599" s="3" t="b">
        <f>AND(F599, J599)</f>
        <v>0</v>
      </c>
      <c r="L599" s="3" t="b">
        <f>AND(G599 &lt;&gt; "plain", G599 &lt;&gt; "")</f>
        <v>0</v>
      </c>
      <c r="M599" s="3" t="str">
        <f>IF(E599, C599 &amp; "|" &amp; H599, "")</f>
        <v>principal-process-steward|</v>
      </c>
      <c r="N599" s="2" t="s">
        <v>9938</v>
      </c>
    </row>
    <row r="600">
      <c r="A600" s="2" t="s">
        <v>10536</v>
      </c>
      <c r="B600" s="3" t="str">
        <f>C600 &amp; " -&gt; " &amp; D600</f>
        <v>principal-process-steward -&gt; ChangeRequests.ChangeRequestId</v>
      </c>
      <c r="C600" s="2" t="s">
        <v>9706</v>
      </c>
      <c r="D600" s="2" t="s">
        <v>3847</v>
      </c>
      <c r="E600" s="2" t="b">
        <v>1</v>
      </c>
      <c r="F600" s="2" t="b">
        <v>0</v>
      </c>
      <c r="G600" s="2" t="s">
        <v>9937</v>
      </c>
      <c r="H600" s="3" t="str">
        <f>_xlfn.IFNA(INDEX(RulebookFields!C2:C999, MATCH(D600,RulebookFields!A2:A999, 0)), "")</f>
        <v>ChangeRequests</v>
      </c>
      <c r="I600" s="3" t="str">
        <f>_xlfn.IFNA(INDEX(RulebookFields!D2:D999, MATCH(D600,RulebookFields!A2:A999, 0)), "")</f>
        <v>ChangeRequestId</v>
      </c>
      <c r="J600" s="3" t="b">
        <f>_xlfn.IFNA(INDEX(RulebookFields!I2:I999, MATCH(D600,RulebookFields!A2:A999, 0)), "")</f>
        <v>0</v>
      </c>
      <c r="K600" s="3" t="b">
        <f>AND(F600, J600)</f>
        <v>0</v>
      </c>
      <c r="L600" s="3" t="b">
        <f>AND(G600 &lt;&gt; "plain", G600 &lt;&gt; "")</f>
        <v>0</v>
      </c>
      <c r="M600" s="3" t="str">
        <f>IF(E600, C600 &amp; "|" &amp; H600, "")</f>
        <v>principal-process-steward|ChangeRequests</v>
      </c>
      <c r="N600" s="2" t="s">
        <v>9938</v>
      </c>
    </row>
    <row r="601">
      <c r="A601" s="2" t="s">
        <v>10537</v>
      </c>
      <c r="B601" s="3" t="str">
        <f>C601 &amp; " -&gt; " &amp; D601</f>
        <v>principal-process-steward -&gt; ChangeRequests.Name</v>
      </c>
      <c r="C601" s="2" t="s">
        <v>9706</v>
      </c>
      <c r="D601" s="2" t="s">
        <v>3849</v>
      </c>
      <c r="E601" s="2" t="b">
        <v>1</v>
      </c>
      <c r="F601" s="2" t="b">
        <v>0</v>
      </c>
      <c r="G601" s="2" t="s">
        <v>9937</v>
      </c>
      <c r="H601" s="3" t="str">
        <f>_xlfn.IFNA(INDEX(RulebookFields!C2:C999, MATCH(D601,RulebookFields!A2:A999, 0)), "")</f>
        <v>ChangeRequests</v>
      </c>
      <c r="I601" s="3" t="str">
        <f>_xlfn.IFNA(INDEX(RulebookFields!D2:D999, MATCH(D601,RulebookFields!A2:A999, 0)), "")</f>
        <v>Name</v>
      </c>
      <c r="J601" s="3" t="b">
        <f>_xlfn.IFNA(INDEX(RulebookFields!I2:I999, MATCH(D601,RulebookFields!A2:A999, 0)), "")</f>
        <v>1</v>
      </c>
      <c r="K601" s="3" t="b">
        <f>AND(F601, J601)</f>
        <v>0</v>
      </c>
      <c r="L601" s="3" t="b">
        <f>AND(G601 &lt;&gt; "plain", G601 &lt;&gt; "")</f>
        <v>0</v>
      </c>
      <c r="M601" s="3" t="str">
        <f>IF(E601, C601 &amp; "|" &amp; H601, "")</f>
        <v>principal-process-steward|ChangeRequests</v>
      </c>
      <c r="N601" s="2" t="s">
        <v>9938</v>
      </c>
    </row>
    <row r="602">
      <c r="A602" s="2" t="s">
        <v>10538</v>
      </c>
      <c r="B602" s="3" t="str">
        <f>C602 &amp; " -&gt; " &amp; D602</f>
        <v>principal-process-steward -&gt; ChangeRequests.ProcedureVersion</v>
      </c>
      <c r="C602" s="2" t="s">
        <v>9706</v>
      </c>
      <c r="D602" s="2" t="s">
        <v>3850</v>
      </c>
      <c r="E602" s="2" t="b">
        <v>1</v>
      </c>
      <c r="F602" s="2" t="b">
        <v>0</v>
      </c>
      <c r="G602" s="2" t="s">
        <v>9937</v>
      </c>
      <c r="H602" s="3" t="str">
        <f>_xlfn.IFNA(INDEX(RulebookFields!C2:C999, MATCH(D602,RulebookFields!A2:A999, 0)), "")</f>
        <v>ChangeRequests</v>
      </c>
      <c r="I602" s="3" t="str">
        <f>_xlfn.IFNA(INDEX(RulebookFields!D2:D999, MATCH(D602,RulebookFields!A2:A999, 0)), "")</f>
        <v>ProcedureVersion</v>
      </c>
      <c r="J602" s="3" t="b">
        <f>_xlfn.IFNA(INDEX(RulebookFields!I2:I999, MATCH(D602,RulebookFields!A2:A999, 0)), "")</f>
        <v>0</v>
      </c>
      <c r="K602" s="3" t="b">
        <f>AND(F602, J602)</f>
        <v>0</v>
      </c>
      <c r="L602" s="3" t="b">
        <f>AND(G602 &lt;&gt; "plain", G602 &lt;&gt; "")</f>
        <v>0</v>
      </c>
      <c r="M602" s="3" t="str">
        <f>IF(E602, C602 &amp; "|" &amp; H602, "")</f>
        <v>principal-process-steward|ChangeRequests</v>
      </c>
      <c r="N602" s="2" t="s">
        <v>9938</v>
      </c>
    </row>
    <row r="603">
      <c r="A603" s="2" t="s">
        <v>10539</v>
      </c>
      <c r="B603" s="3" t="str">
        <f>C603 &amp; " -&gt; " &amp; D603</f>
        <v>principal-process-steward -&gt; ChangeRequests.Title</v>
      </c>
      <c r="C603" s="2" t="s">
        <v>9706</v>
      </c>
      <c r="D603" s="2" t="s">
        <v>3851</v>
      </c>
      <c r="E603" s="2" t="b">
        <v>1</v>
      </c>
      <c r="F603" s="2" t="b">
        <v>0</v>
      </c>
      <c r="G603" s="2" t="s">
        <v>9937</v>
      </c>
      <c r="H603" s="3" t="str">
        <f>_xlfn.IFNA(INDEX(RulebookFields!C2:C999, MATCH(D603,RulebookFields!A2:A999, 0)), "")</f>
        <v>ChangeRequests</v>
      </c>
      <c r="I603" s="3" t="str">
        <f>_xlfn.IFNA(INDEX(RulebookFields!D2:D999, MATCH(D603,RulebookFields!A2:A999, 0)), "")</f>
        <v>Title</v>
      </c>
      <c r="J603" s="3" t="b">
        <f>_xlfn.IFNA(INDEX(RulebookFields!I2:I999, MATCH(D603,RulebookFields!A2:A999, 0)), "")</f>
        <v>0</v>
      </c>
      <c r="K603" s="3" t="b">
        <f>AND(F603, J603)</f>
        <v>0</v>
      </c>
      <c r="L603" s="3" t="b">
        <f>AND(G603 &lt;&gt; "plain", G603 &lt;&gt; "")</f>
        <v>0</v>
      </c>
      <c r="M603" s="3" t="str">
        <f>IF(E603, C603 &amp; "|" &amp; H603, "")</f>
        <v>principal-process-steward|ChangeRequests</v>
      </c>
      <c r="N603" s="2" t="s">
        <v>9938</v>
      </c>
    </row>
    <row r="604">
      <c r="A604" s="2" t="s">
        <v>10540</v>
      </c>
      <c r="B604" s="3" t="str">
        <f>C604 &amp; " -&gt; " &amp; D604</f>
        <v>principal-process-steward -&gt; ChangeRequests.ChangeKind</v>
      </c>
      <c r="C604" s="2" t="s">
        <v>9706</v>
      </c>
      <c r="D604" s="2" t="s">
        <v>3852</v>
      </c>
      <c r="E604" s="2" t="b">
        <v>1</v>
      </c>
      <c r="F604" s="2" t="b">
        <v>0</v>
      </c>
      <c r="G604" s="2" t="s">
        <v>9937</v>
      </c>
      <c r="H604" s="3" t="str">
        <f>_xlfn.IFNA(INDEX(RulebookFields!C2:C999, MATCH(D604,RulebookFields!A2:A999, 0)), "")</f>
        <v>ChangeRequests</v>
      </c>
      <c r="I604" s="3" t="str">
        <f>_xlfn.IFNA(INDEX(RulebookFields!D2:D999, MATCH(D604,RulebookFields!A2:A999, 0)), "")</f>
        <v>ChangeKind</v>
      </c>
      <c r="J604" s="3" t="b">
        <f>_xlfn.IFNA(INDEX(RulebookFields!I2:I999, MATCH(D604,RulebookFields!A2:A999, 0)), "")</f>
        <v>0</v>
      </c>
      <c r="K604" s="3" t="b">
        <f>AND(F604, J604)</f>
        <v>0</v>
      </c>
      <c r="L604" s="3" t="b">
        <f>AND(G604 &lt;&gt; "plain", G604 &lt;&gt; "")</f>
        <v>0</v>
      </c>
      <c r="M604" s="3" t="str">
        <f>IF(E604, C604 &amp; "|" &amp; H604, "")</f>
        <v>principal-process-steward|ChangeRequests</v>
      </c>
      <c r="N604" s="2" t="s">
        <v>9938</v>
      </c>
    </row>
    <row r="605">
      <c r="A605" s="2" t="s">
        <v>10541</v>
      </c>
      <c r="B605" s="3" t="str">
        <f>C605 &amp; " -&gt; " &amp; D605</f>
        <v>principal-process-steward -&gt; ChangeRequests.Status</v>
      </c>
      <c r="C605" s="2" t="s">
        <v>9706</v>
      </c>
      <c r="D605" s="2" t="s">
        <v>3853</v>
      </c>
      <c r="E605" s="2" t="b">
        <v>1</v>
      </c>
      <c r="F605" s="2" t="b">
        <v>0</v>
      </c>
      <c r="G605" s="2" t="s">
        <v>9937</v>
      </c>
      <c r="H605" s="3" t="str">
        <f>_xlfn.IFNA(INDEX(RulebookFields!C2:C999, MATCH(D605,RulebookFields!A2:A999, 0)), "")</f>
        <v>ChangeRequests</v>
      </c>
      <c r="I605" s="3" t="str">
        <f>_xlfn.IFNA(INDEX(RulebookFields!D2:D999, MATCH(D605,RulebookFields!A2:A999, 0)), "")</f>
        <v>Status</v>
      </c>
      <c r="J605" s="3" t="b">
        <f>_xlfn.IFNA(INDEX(RulebookFields!I2:I999, MATCH(D605,RulebookFields!A2:A999, 0)), "")</f>
        <v>0</v>
      </c>
      <c r="K605" s="3" t="b">
        <f>AND(F605, J605)</f>
        <v>0</v>
      </c>
      <c r="L605" s="3" t="b">
        <f>AND(G605 &lt;&gt; "plain", G605 &lt;&gt; "")</f>
        <v>0</v>
      </c>
      <c r="M605" s="3" t="str">
        <f>IF(E605, C605 &amp; "|" &amp; H605, "")</f>
        <v>principal-process-steward|ChangeRequests</v>
      </c>
      <c r="N605" s="2" t="s">
        <v>9938</v>
      </c>
    </row>
    <row r="606">
      <c r="A606" s="2" t="s">
        <v>10542</v>
      </c>
      <c r="B606" s="3" t="str">
        <f>C606 &amp; " -&gt; " &amp; D606</f>
        <v>principal-process-steward -&gt; ChangeRequests.RequestedByAgent</v>
      </c>
      <c r="C606" s="2" t="s">
        <v>9706</v>
      </c>
      <c r="D606" s="2" t="s">
        <v>3854</v>
      </c>
      <c r="E606" s="2" t="b">
        <v>1</v>
      </c>
      <c r="F606" s="2" t="b">
        <v>0</v>
      </c>
      <c r="G606" s="2" t="s">
        <v>9937</v>
      </c>
      <c r="H606" s="3" t="str">
        <f>_xlfn.IFNA(INDEX(RulebookFields!C2:C999, MATCH(D606,RulebookFields!A2:A999, 0)), "")</f>
        <v>ChangeRequests</v>
      </c>
      <c r="I606" s="3" t="str">
        <f>_xlfn.IFNA(INDEX(RulebookFields!D2:D999, MATCH(D606,RulebookFields!A2:A999, 0)), "")</f>
        <v>RequestedByAgent</v>
      </c>
      <c r="J606" s="3" t="b">
        <f>_xlfn.IFNA(INDEX(RulebookFields!I2:I999, MATCH(D606,RulebookFields!A2:A999, 0)), "")</f>
        <v>0</v>
      </c>
      <c r="K606" s="3" t="b">
        <f>AND(F606, J606)</f>
        <v>0</v>
      </c>
      <c r="L606" s="3" t="b">
        <f>AND(G606 &lt;&gt; "plain", G606 &lt;&gt; "")</f>
        <v>0</v>
      </c>
      <c r="M606" s="3" t="str">
        <f>IF(E606, C606 &amp; "|" &amp; H606, "")</f>
        <v>principal-process-steward|ChangeRequests</v>
      </c>
      <c r="N606" s="2" t="s">
        <v>9938</v>
      </c>
    </row>
    <row r="607">
      <c r="A607" s="2" t="s">
        <v>10543</v>
      </c>
      <c r="B607" s="3" t="str">
        <f>C607 &amp; " -&gt; " &amp; D607</f>
        <v>principal-process-steward -&gt; ChangeRequests.AuthorityRole</v>
      </c>
      <c r="C607" s="2" t="s">
        <v>9706</v>
      </c>
      <c r="D607" s="2" t="s">
        <v>3855</v>
      </c>
      <c r="E607" s="2" t="b">
        <v>1</v>
      </c>
      <c r="F607" s="2" t="b">
        <v>0</v>
      </c>
      <c r="G607" s="2" t="s">
        <v>9937</v>
      </c>
      <c r="H607" s="3" t="str">
        <f>_xlfn.IFNA(INDEX(RulebookFields!C2:C999, MATCH(D607,RulebookFields!A2:A999, 0)), "")</f>
        <v>ChangeRequests</v>
      </c>
      <c r="I607" s="3" t="str">
        <f>_xlfn.IFNA(INDEX(RulebookFields!D2:D999, MATCH(D607,RulebookFields!A2:A999, 0)), "")</f>
        <v>AuthorityRole</v>
      </c>
      <c r="J607" s="3" t="b">
        <f>_xlfn.IFNA(INDEX(RulebookFields!I2:I999, MATCH(D607,RulebookFields!A2:A999, 0)), "")</f>
        <v>0</v>
      </c>
      <c r="K607" s="3" t="b">
        <f>AND(F607, J607)</f>
        <v>0</v>
      </c>
      <c r="L607" s="3" t="b">
        <f>AND(G607 &lt;&gt; "plain", G607 &lt;&gt; "")</f>
        <v>0</v>
      </c>
      <c r="M607" s="3" t="str">
        <f>IF(E607, C607 &amp; "|" &amp; H607, "")</f>
        <v>principal-process-steward|ChangeRequests</v>
      </c>
      <c r="N607" s="2" t="s">
        <v>9938</v>
      </c>
    </row>
    <row r="608">
      <c r="A608" s="2" t="s">
        <v>10544</v>
      </c>
      <c r="B608" s="3" t="str">
        <f>C608 &amp; " -&gt; " &amp; D608</f>
        <v>principal-process-steward -&gt; ChangeRequests.RequestedAt</v>
      </c>
      <c r="C608" s="2" t="s">
        <v>9706</v>
      </c>
      <c r="D608" s="2" t="s">
        <v>3856</v>
      </c>
      <c r="E608" s="2" t="b">
        <v>1</v>
      </c>
      <c r="F608" s="2" t="b">
        <v>0</v>
      </c>
      <c r="G608" s="2" t="s">
        <v>9937</v>
      </c>
      <c r="H608" s="3" t="str">
        <f>_xlfn.IFNA(INDEX(RulebookFields!C2:C999, MATCH(D608,RulebookFields!A2:A999, 0)), "")</f>
        <v>ChangeRequests</v>
      </c>
      <c r="I608" s="3" t="str">
        <f>_xlfn.IFNA(INDEX(RulebookFields!D2:D999, MATCH(D608,RulebookFields!A2:A999, 0)), "")</f>
        <v>RequestedAt</v>
      </c>
      <c r="J608" s="3" t="b">
        <f>_xlfn.IFNA(INDEX(RulebookFields!I2:I999, MATCH(D608,RulebookFields!A2:A999, 0)), "")</f>
        <v>0</v>
      </c>
      <c r="K608" s="3" t="b">
        <f>AND(F608, J608)</f>
        <v>0</v>
      </c>
      <c r="L608" s="3" t="b">
        <f>AND(G608 &lt;&gt; "plain", G608 &lt;&gt; "")</f>
        <v>0</v>
      </c>
      <c r="M608" s="3" t="str">
        <f>IF(E608, C608 &amp; "|" &amp; H608, "")</f>
        <v>principal-process-steward|ChangeRequests</v>
      </c>
      <c r="N608" s="2" t="s">
        <v>9938</v>
      </c>
    </row>
    <row r="609">
      <c r="A609" s="2" t="s">
        <v>10545</v>
      </c>
      <c r="B609" s="3" t="str">
        <f>C609 &amp; " -&gt; " &amp; D609</f>
        <v>principal-process-steward -&gt; ChangeRequests.DecidedAt</v>
      </c>
      <c r="C609" s="2" t="s">
        <v>9706</v>
      </c>
      <c r="D609" s="2" t="s">
        <v>3857</v>
      </c>
      <c r="E609" s="2" t="b">
        <v>1</v>
      </c>
      <c r="F609" s="2" t="b">
        <v>0</v>
      </c>
      <c r="G609" s="2" t="s">
        <v>9937</v>
      </c>
      <c r="H609" s="3" t="str">
        <f>_xlfn.IFNA(INDEX(RulebookFields!C2:C999, MATCH(D609,RulebookFields!A2:A999, 0)), "")</f>
        <v>ChangeRequests</v>
      </c>
      <c r="I609" s="3" t="str">
        <f>_xlfn.IFNA(INDEX(RulebookFields!D2:D999, MATCH(D609,RulebookFields!A2:A999, 0)), "")</f>
        <v>DecidedAt</v>
      </c>
      <c r="J609" s="3" t="b">
        <f>_xlfn.IFNA(INDEX(RulebookFields!I2:I999, MATCH(D609,RulebookFields!A2:A999, 0)), "")</f>
        <v>0</v>
      </c>
      <c r="K609" s="3" t="b">
        <f>AND(F609, J609)</f>
        <v>0</v>
      </c>
      <c r="L609" s="3" t="b">
        <f>AND(G609 &lt;&gt; "plain", G609 &lt;&gt; "")</f>
        <v>0</v>
      </c>
      <c r="M609" s="3" t="str">
        <f>IF(E609, C609 &amp; "|" &amp; H609, "")</f>
        <v>principal-process-steward|ChangeRequests</v>
      </c>
      <c r="N609" s="2" t="s">
        <v>9938</v>
      </c>
    </row>
    <row r="610">
      <c r="A610" s="2" t="s">
        <v>10546</v>
      </c>
      <c r="B610" s="3" t="str">
        <f>C610 &amp; " -&gt; " &amp; D610</f>
        <v>principal-process-steward -&gt; ChangeRequests.ImpactAssessment</v>
      </c>
      <c r="C610" s="2" t="s">
        <v>9706</v>
      </c>
      <c r="D610" s="2" t="s">
        <v>3858</v>
      </c>
      <c r="E610" s="2" t="b">
        <v>1</v>
      </c>
      <c r="F610" s="2" t="b">
        <v>0</v>
      </c>
      <c r="G610" s="2" t="s">
        <v>9937</v>
      </c>
      <c r="H610" s="3" t="str">
        <f>_xlfn.IFNA(INDEX(RulebookFields!C2:C999, MATCH(D610,RulebookFields!A2:A999, 0)), "")</f>
        <v>ChangeRequests</v>
      </c>
      <c r="I610" s="3" t="str">
        <f>_xlfn.IFNA(INDEX(RulebookFields!D2:D999, MATCH(D610,RulebookFields!A2:A999, 0)), "")</f>
        <v>ImpactAssessment</v>
      </c>
      <c r="J610" s="3" t="b">
        <f>_xlfn.IFNA(INDEX(RulebookFields!I2:I999, MATCH(D610,RulebookFields!A2:A999, 0)), "")</f>
        <v>0</v>
      </c>
      <c r="K610" s="3" t="b">
        <f>AND(F610, J610)</f>
        <v>0</v>
      </c>
      <c r="L610" s="3" t="b">
        <f>AND(G610 &lt;&gt; "plain", G610 &lt;&gt; "")</f>
        <v>0</v>
      </c>
      <c r="M610" s="3" t="str">
        <f>IF(E610, C610 &amp; "|" &amp; H610, "")</f>
        <v>principal-process-steward|ChangeRequests</v>
      </c>
      <c r="N610" s="2" t="s">
        <v>9938</v>
      </c>
    </row>
    <row r="611">
      <c r="A611" s="2" t="s">
        <v>10547</v>
      </c>
      <c r="B611" s="3" t="str">
        <f>C611 &amp; " -&gt; " &amp; D611</f>
        <v>principal-process-steward -&gt; ChangeRequests.IsOpen</v>
      </c>
      <c r="C611" s="2" t="s">
        <v>9706</v>
      </c>
      <c r="D611" s="2" t="s">
        <v>3859</v>
      </c>
      <c r="E611" s="2" t="b">
        <v>1</v>
      </c>
      <c r="F611" s="2" t="b">
        <v>0</v>
      </c>
      <c r="G611" s="2" t="s">
        <v>9937</v>
      </c>
      <c r="H611" s="3" t="str">
        <f>_xlfn.IFNA(INDEX(RulebookFields!C2:C999, MATCH(D611,RulebookFields!A2:A999, 0)), "")</f>
        <v>ChangeRequests</v>
      </c>
      <c r="I611" s="3" t="str">
        <f>_xlfn.IFNA(INDEX(RulebookFields!D2:D999, MATCH(D611,RulebookFields!A2:A999, 0)), "")</f>
        <v>IsOpen</v>
      </c>
      <c r="J611" s="3" t="b">
        <f>_xlfn.IFNA(INDEX(RulebookFields!I2:I999, MATCH(D611,RulebookFields!A2:A999, 0)), "")</f>
        <v>1</v>
      </c>
      <c r="K611" s="3" t="b">
        <f>AND(F611, J611)</f>
        <v>0</v>
      </c>
      <c r="L611" s="3" t="b">
        <f>AND(G611 &lt;&gt; "plain", G611 &lt;&gt; "")</f>
        <v>0</v>
      </c>
      <c r="M611" s="3" t="str">
        <f>IF(E611, C611 &amp; "|" &amp; H611, "")</f>
        <v>principal-process-steward|ChangeRequests</v>
      </c>
      <c r="N611" s="2" t="s">
        <v>9938</v>
      </c>
    </row>
    <row r="612">
      <c r="A612" s="2" t="s">
        <v>10548</v>
      </c>
      <c r="B612" s="3" t="str">
        <f>C612 &amp; " -&gt; " &amp; D612</f>
        <v>principal-process-steward -&gt; ChangeRequests.OpenChangeVersionKey</v>
      </c>
      <c r="C612" s="2" t="s">
        <v>9706</v>
      </c>
      <c r="D612" s="2" t="s">
        <v>3861</v>
      </c>
      <c r="E612" s="2" t="b">
        <v>1</v>
      </c>
      <c r="F612" s="2" t="b">
        <v>0</v>
      </c>
      <c r="G612" s="2" t="s">
        <v>9937</v>
      </c>
      <c r="H612" s="3" t="str">
        <f>_xlfn.IFNA(INDEX(RulebookFields!C2:C999, MATCH(D612,RulebookFields!A2:A999, 0)), "")</f>
        <v>ChangeRequests</v>
      </c>
      <c r="I612" s="3" t="str">
        <f>_xlfn.IFNA(INDEX(RulebookFields!D2:D999, MATCH(D612,RulebookFields!A2:A999, 0)), "")</f>
        <v>OpenChangeVersionKey</v>
      </c>
      <c r="J612" s="3" t="b">
        <f>_xlfn.IFNA(INDEX(RulebookFields!I2:I999, MATCH(D612,RulebookFields!A2:A999, 0)), "")</f>
        <v>1</v>
      </c>
      <c r="K612" s="3" t="b">
        <f>AND(F612, J612)</f>
        <v>0</v>
      </c>
      <c r="L612" s="3" t="b">
        <f>AND(G612 &lt;&gt; "plain", G612 &lt;&gt; "")</f>
        <v>0</v>
      </c>
      <c r="M612" s="3" t="str">
        <f>IF(E612, C612 &amp; "|" &amp; H612, "")</f>
        <v>principal-process-steward|ChangeRequests</v>
      </c>
      <c r="N612" s="2" t="s">
        <v>9938</v>
      </c>
    </row>
    <row r="613">
      <c r="A613" s="2" t="s">
        <v>10549</v>
      </c>
      <c r="B613" s="3" t="str">
        <f>C613 &amp; " -&gt; " &amp; D613</f>
        <v>principal-process-steward -&gt; ChangeRequests.IsDecided</v>
      </c>
      <c r="C613" s="2" t="s">
        <v>9706</v>
      </c>
      <c r="D613" s="2" t="s">
        <v>3863</v>
      </c>
      <c r="E613" s="2" t="b">
        <v>1</v>
      </c>
      <c r="F613" s="2" t="b">
        <v>0</v>
      </c>
      <c r="G613" s="2" t="s">
        <v>9937</v>
      </c>
      <c r="H613" s="3" t="str">
        <f>_xlfn.IFNA(INDEX(RulebookFields!C2:C999, MATCH(D613,RulebookFields!A2:A999, 0)), "")</f>
        <v>ChangeRequests</v>
      </c>
      <c r="I613" s="3" t="str">
        <f>_xlfn.IFNA(INDEX(RulebookFields!D2:D999, MATCH(D613,RulebookFields!A2:A999, 0)), "")</f>
        <v>IsDecided</v>
      </c>
      <c r="J613" s="3" t="b">
        <f>_xlfn.IFNA(INDEX(RulebookFields!I2:I999, MATCH(D613,RulebookFields!A2:A999, 0)), "")</f>
        <v>1</v>
      </c>
      <c r="K613" s="3" t="b">
        <f>AND(F613, J613)</f>
        <v>0</v>
      </c>
      <c r="L613" s="3" t="b">
        <f>AND(G613 &lt;&gt; "plain", G613 &lt;&gt; "")</f>
        <v>0</v>
      </c>
      <c r="M613" s="3" t="str">
        <f>IF(E613, C613 &amp; "|" &amp; H613, "")</f>
        <v>principal-process-steward|ChangeRequests</v>
      </c>
      <c r="N613" s="2" t="s">
        <v>9938</v>
      </c>
    </row>
    <row r="614">
      <c r="A614" s="2" t="s">
        <v>10550</v>
      </c>
      <c r="B614" s="3" t="str">
        <f>C614 &amp; " -&gt; " &amp; D614</f>
        <v>principal-process-steward -&gt; ChangeRequests.EvaluationContext</v>
      </c>
      <c r="C614" s="2" t="s">
        <v>9706</v>
      </c>
      <c r="D614" s="2" t="s">
        <v>3865</v>
      </c>
      <c r="E614" s="2" t="b">
        <v>1</v>
      </c>
      <c r="F614" s="2" t="b">
        <v>0</v>
      </c>
      <c r="G614" s="2" t="s">
        <v>9937</v>
      </c>
      <c r="H614" s="3" t="str">
        <f>_xlfn.IFNA(INDEX(RulebookFields!C2:C999, MATCH(D614,RulebookFields!A2:A999, 0)), "")</f>
        <v>ChangeRequests</v>
      </c>
      <c r="I614" s="3" t="str">
        <f>_xlfn.IFNA(INDEX(RulebookFields!D2:D999, MATCH(D614,RulebookFields!A2:A999, 0)), "")</f>
        <v>EvaluationContext</v>
      </c>
      <c r="J614" s="3" t="b">
        <f>_xlfn.IFNA(INDEX(RulebookFields!I2:I999, MATCH(D614,RulebookFields!A2:A999, 0)), "")</f>
        <v>0</v>
      </c>
      <c r="K614" s="3" t="b">
        <f>AND(F614, J614)</f>
        <v>0</v>
      </c>
      <c r="L614" s="3" t="b">
        <f>AND(G614 &lt;&gt; "plain", G614 &lt;&gt; "")</f>
        <v>0</v>
      </c>
      <c r="M614" s="3" t="str">
        <f>IF(E614, C614 &amp; "|" &amp; H614, "")</f>
        <v>principal-process-steward|ChangeRequests</v>
      </c>
      <c r="N614" s="2" t="s">
        <v>9938</v>
      </c>
    </row>
    <row r="615">
      <c r="A615" s="2" t="s">
        <v>10551</v>
      </c>
      <c r="B615" s="3" t="str">
        <f>C615 &amp; " -&gt; " &amp; D615</f>
        <v>principal-process-steward -&gt; ChangeRequests.AsOfInstant</v>
      </c>
      <c r="C615" s="2" t="s">
        <v>9706</v>
      </c>
      <c r="D615" s="2" t="s">
        <v>3866</v>
      </c>
      <c r="E615" s="2" t="b">
        <v>1</v>
      </c>
      <c r="F615" s="2" t="b">
        <v>0</v>
      </c>
      <c r="G615" s="2" t="s">
        <v>9937</v>
      </c>
      <c r="H615" s="3" t="str">
        <f>_xlfn.IFNA(INDEX(RulebookFields!C2:C999, MATCH(D615,RulebookFields!A2:A999, 0)), "")</f>
        <v>ChangeRequests</v>
      </c>
      <c r="I615" s="3" t="str">
        <f>_xlfn.IFNA(INDEX(RulebookFields!D2:D999, MATCH(D615,RulebookFields!A2:A999, 0)), "")</f>
        <v>AsOfInstant</v>
      </c>
      <c r="J615" s="3" t="b">
        <f>_xlfn.IFNA(INDEX(RulebookFields!I2:I999, MATCH(D615,RulebookFields!A2:A999, 0)), "")</f>
        <v>1</v>
      </c>
      <c r="K615" s="3" t="b">
        <f>AND(F615, J615)</f>
        <v>0</v>
      </c>
      <c r="L615" s="3" t="b">
        <f>AND(G615 &lt;&gt; "plain", G615 &lt;&gt; "")</f>
        <v>0</v>
      </c>
      <c r="M615" s="3" t="str">
        <f>IF(E615, C615 &amp; "|" &amp; H615, "")</f>
        <v>principal-process-steward|ChangeRequests</v>
      </c>
      <c r="N615" s="2" t="s">
        <v>9938</v>
      </c>
    </row>
    <row r="616">
      <c r="A616" s="2" t="s">
        <v>10552</v>
      </c>
      <c r="B616" s="3" t="str">
        <f>C616 &amp; " -&gt; " &amp; D616</f>
        <v>principal-process-steward -&gt; ChangeRequests.DaysPending</v>
      </c>
      <c r="C616" s="2" t="s">
        <v>9706</v>
      </c>
      <c r="D616" s="2" t="s">
        <v>3867</v>
      </c>
      <c r="E616" s="2" t="b">
        <v>1</v>
      </c>
      <c r="F616" s="2" t="b">
        <v>0</v>
      </c>
      <c r="G616" s="2" t="s">
        <v>9937</v>
      </c>
      <c r="H616" s="3" t="str">
        <f>_xlfn.IFNA(INDEX(RulebookFields!C2:C999, MATCH(D616,RulebookFields!A2:A999, 0)), "")</f>
        <v>ChangeRequests</v>
      </c>
      <c r="I616" s="3" t="str">
        <f>_xlfn.IFNA(INDEX(RulebookFields!D2:D999, MATCH(D616,RulebookFields!A2:A999, 0)), "")</f>
        <v>DaysPending</v>
      </c>
      <c r="J616" s="3" t="b">
        <f>_xlfn.IFNA(INDEX(RulebookFields!I2:I999, MATCH(D616,RulebookFields!A2:A999, 0)), "")</f>
        <v>1</v>
      </c>
      <c r="K616" s="3" t="b">
        <f>AND(F616, J616)</f>
        <v>0</v>
      </c>
      <c r="L616" s="3" t="b">
        <f>AND(G616 &lt;&gt; "plain", G616 &lt;&gt; "")</f>
        <v>0</v>
      </c>
      <c r="M616" s="3" t="str">
        <f>IF(E616, C616 &amp; "|" &amp; H616, "")</f>
        <v>principal-process-steward|ChangeRequests</v>
      </c>
      <c r="N616" s="2" t="s">
        <v>9938</v>
      </c>
    </row>
    <row r="617">
      <c r="A617" s="2" t="s">
        <v>10553</v>
      </c>
      <c r="B617" s="3" t="str">
        <f>C617 &amp; " -&gt; " &amp; D617</f>
        <v>principal-process-steward -&gt; ChangeRequests.IsStillPending</v>
      </c>
      <c r="C617" s="2" t="s">
        <v>9706</v>
      </c>
      <c r="D617" s="2" t="s">
        <v>3869</v>
      </c>
      <c r="E617" s="2" t="b">
        <v>1</v>
      </c>
      <c r="F617" s="2" t="b">
        <v>0</v>
      </c>
      <c r="G617" s="2" t="s">
        <v>9937</v>
      </c>
      <c r="H617" s="3" t="str">
        <f>_xlfn.IFNA(INDEX(RulebookFields!C2:C999, MATCH(D617,RulebookFields!A2:A999, 0)), "")</f>
        <v>ChangeRequests</v>
      </c>
      <c r="I617" s="3" t="str">
        <f>_xlfn.IFNA(INDEX(RulebookFields!D2:D999, MATCH(D617,RulebookFields!A2:A999, 0)), "")</f>
        <v>IsStillPending</v>
      </c>
      <c r="J617" s="3" t="b">
        <f>_xlfn.IFNA(INDEX(RulebookFields!I2:I999, MATCH(D617,RulebookFields!A2:A999, 0)), "")</f>
        <v>1</v>
      </c>
      <c r="K617" s="3" t="b">
        <f>AND(F617, J617)</f>
        <v>0</v>
      </c>
      <c r="L617" s="3" t="b">
        <f>AND(G617 &lt;&gt; "plain", G617 &lt;&gt; "")</f>
        <v>0</v>
      </c>
      <c r="M617" s="3" t="str">
        <f>IF(E617, C617 &amp; "|" &amp; H617, "")</f>
        <v>principal-process-steward|ChangeRequests</v>
      </c>
      <c r="N617" s="2" t="s">
        <v>9938</v>
      </c>
    </row>
    <row r="618">
      <c r="A618" s="2" t="s">
        <v>10554</v>
      </c>
      <c r="B618" s="3" t="str">
        <f>C618 &amp; " -&gt; " &amp; D618</f>
        <v>principal-process-steward -&gt; ChangeRequests.IsStalled</v>
      </c>
      <c r="C618" s="2" t="s">
        <v>9706</v>
      </c>
      <c r="D618" s="2" t="s">
        <v>3871</v>
      </c>
      <c r="E618" s="2" t="b">
        <v>1</v>
      </c>
      <c r="F618" s="2" t="b">
        <v>0</v>
      </c>
      <c r="G618" s="2" t="s">
        <v>9937</v>
      </c>
      <c r="H618" s="3" t="str">
        <f>_xlfn.IFNA(INDEX(RulebookFields!C2:C999, MATCH(D618,RulebookFields!A2:A999, 0)), "")</f>
        <v>ChangeRequests</v>
      </c>
      <c r="I618" s="3" t="str">
        <f>_xlfn.IFNA(INDEX(RulebookFields!D2:D999, MATCH(D618,RulebookFields!A2:A999, 0)), "")</f>
        <v>IsStalled</v>
      </c>
      <c r="J618" s="3" t="b">
        <f>_xlfn.IFNA(INDEX(RulebookFields!I2:I999, MATCH(D618,RulebookFields!A2:A999, 0)), "")</f>
        <v>1</v>
      </c>
      <c r="K618" s="3" t="b">
        <f>AND(F618, J618)</f>
        <v>0</v>
      </c>
      <c r="L618" s="3" t="b">
        <f>AND(G618 &lt;&gt; "plain", G618 &lt;&gt; "")</f>
        <v>0</v>
      </c>
      <c r="M618" s="3" t="str">
        <f>IF(E618, C618 &amp; "|" &amp; H618, "")</f>
        <v>principal-process-steward|ChangeRequests</v>
      </c>
      <c r="N618" s="2" t="s">
        <v>9938</v>
      </c>
    </row>
    <row r="619">
      <c r="A619" s="2" t="s">
        <v>10555</v>
      </c>
      <c r="B619" s="3" t="str">
        <f>C619 &amp; " -&gt; " &amp; D619</f>
        <v>principal-process-steward -&gt; ChangeRequests.AuthorityAgent</v>
      </c>
      <c r="C619" s="2" t="s">
        <v>9706</v>
      </c>
      <c r="D619" s="2" t="s">
        <v>3873</v>
      </c>
      <c r="E619" s="2" t="b">
        <v>1</v>
      </c>
      <c r="F619" s="2" t="b">
        <v>0</v>
      </c>
      <c r="G619" s="2" t="s">
        <v>9937</v>
      </c>
      <c r="H619" s="3" t="str">
        <f>_xlfn.IFNA(INDEX(RulebookFields!C2:C999, MATCH(D619,RulebookFields!A2:A999, 0)), "")</f>
        <v>ChangeRequests</v>
      </c>
      <c r="I619" s="3" t="str">
        <f>_xlfn.IFNA(INDEX(RulebookFields!D2:D999, MATCH(D619,RulebookFields!A2:A999, 0)), "")</f>
        <v>AuthorityAgent</v>
      </c>
      <c r="J619" s="3" t="b">
        <f>_xlfn.IFNA(INDEX(RulebookFields!I2:I999, MATCH(D619,RulebookFields!A2:A999, 0)), "")</f>
        <v>1</v>
      </c>
      <c r="K619" s="3" t="b">
        <f>AND(F619, J619)</f>
        <v>0</v>
      </c>
      <c r="L619" s="3" t="b">
        <f>AND(G619 &lt;&gt; "plain", G619 &lt;&gt; "")</f>
        <v>0</v>
      </c>
      <c r="M619" s="3" t="str">
        <f>IF(E619, C619 &amp; "|" &amp; H619, "")</f>
        <v>principal-process-steward|ChangeRequests</v>
      </c>
      <c r="N619" s="2" t="s">
        <v>9938</v>
      </c>
    </row>
    <row r="620">
      <c r="A620" s="2" t="s">
        <v>10556</v>
      </c>
      <c r="B620" s="3" t="str">
        <f>C620 &amp; " -&gt; " &amp; D620</f>
        <v>principal-process-steward -&gt; ChangeRequests.RequesterIsAuthority</v>
      </c>
      <c r="C620" s="2" t="s">
        <v>9706</v>
      </c>
      <c r="D620" s="2" t="s">
        <v>3875</v>
      </c>
      <c r="E620" s="2" t="b">
        <v>1</v>
      </c>
      <c r="F620" s="2" t="b">
        <v>0</v>
      </c>
      <c r="G620" s="2" t="s">
        <v>9937</v>
      </c>
      <c r="H620" s="3" t="str">
        <f>_xlfn.IFNA(INDEX(RulebookFields!C2:C999, MATCH(D620,RulebookFields!A2:A999, 0)), "")</f>
        <v>ChangeRequests</v>
      </c>
      <c r="I620" s="3" t="str">
        <f>_xlfn.IFNA(INDEX(RulebookFields!D2:D999, MATCH(D620,RulebookFields!A2:A999, 0)), "")</f>
        <v>RequesterIsAuthority</v>
      </c>
      <c r="J620" s="3" t="b">
        <f>_xlfn.IFNA(INDEX(RulebookFields!I2:I999, MATCH(D620,RulebookFields!A2:A999, 0)), "")</f>
        <v>1</v>
      </c>
      <c r="K620" s="3" t="b">
        <f>AND(F620, J620)</f>
        <v>0</v>
      </c>
      <c r="L620" s="3" t="b">
        <f>AND(G620 &lt;&gt; "plain", G620 &lt;&gt; "")</f>
        <v>0</v>
      </c>
      <c r="M620" s="3" t="str">
        <f>IF(E620, C620 &amp; "|" &amp; H620, "")</f>
        <v>principal-process-steward|ChangeRequests</v>
      </c>
      <c r="N620" s="2" t="s">
        <v>9938</v>
      </c>
    </row>
    <row r="621">
      <c r="A621" s="2" t="s">
        <v>10557</v>
      </c>
      <c r="B621" s="3" t="str">
        <f>C621 &amp; " -&gt; " &amp; D621</f>
        <v>principal-process-steward -&gt; ChangeRequests.AwaitsAuthorityDecision</v>
      </c>
      <c r="C621" s="2" t="s">
        <v>9706</v>
      </c>
      <c r="D621" s="2" t="s">
        <v>3877</v>
      </c>
      <c r="E621" s="2" t="b">
        <v>1</v>
      </c>
      <c r="F621" s="2" t="b">
        <v>0</v>
      </c>
      <c r="G621" s="2" t="s">
        <v>9937</v>
      </c>
      <c r="H621" s="3" t="str">
        <f>_xlfn.IFNA(INDEX(RulebookFields!C2:C999, MATCH(D621,RulebookFields!A2:A999, 0)), "")</f>
        <v>ChangeRequests</v>
      </c>
      <c r="I621" s="3" t="str">
        <f>_xlfn.IFNA(INDEX(RulebookFields!D2:D999, MATCH(D621,RulebookFields!A2:A999, 0)), "")</f>
        <v>AwaitsAuthorityDecision</v>
      </c>
      <c r="J621" s="3" t="b">
        <f>_xlfn.IFNA(INDEX(RulebookFields!I2:I999, MATCH(D621,RulebookFields!A2:A999, 0)), "")</f>
        <v>1</v>
      </c>
      <c r="K621" s="3" t="b">
        <f>AND(F621, J621)</f>
        <v>0</v>
      </c>
      <c r="L621" s="3" t="b">
        <f>AND(G621 &lt;&gt; "plain", G621 &lt;&gt; "")</f>
        <v>0</v>
      </c>
      <c r="M621" s="3" t="str">
        <f>IF(E621, C621 &amp; "|" &amp; H621, "")</f>
        <v>principal-process-steward|ChangeRequests</v>
      </c>
      <c r="N621" s="2" t="s">
        <v>9938</v>
      </c>
    </row>
    <row r="622">
      <c r="A622" s="2" t="s">
        <v>10558</v>
      </c>
      <c r="B622" s="3" t="str">
        <f>C622 &amp; " -&gt; " &amp; D622</f>
        <v>principal-process-steward -&gt; ChangeRequests.AuthorityRoleLabel</v>
      </c>
      <c r="C622" s="2" t="s">
        <v>9706</v>
      </c>
      <c r="D622" s="2" t="s">
        <v>3879</v>
      </c>
      <c r="E622" s="2" t="b">
        <v>1</v>
      </c>
      <c r="F622" s="2" t="b">
        <v>0</v>
      </c>
      <c r="G622" s="2" t="s">
        <v>9937</v>
      </c>
      <c r="H622" s="3" t="str">
        <f>_xlfn.IFNA(INDEX(RulebookFields!C2:C999, MATCH(D622,RulebookFields!A2:A999, 0)), "")</f>
        <v>ChangeRequests</v>
      </c>
      <c r="I622" s="3" t="str">
        <f>_xlfn.IFNA(INDEX(RulebookFields!D2:D999, MATCH(D622,RulebookFields!A2:A999, 0)), "")</f>
        <v>AuthorityRoleLabel</v>
      </c>
      <c r="J622" s="3" t="b">
        <f>_xlfn.IFNA(INDEX(RulebookFields!I2:I999, MATCH(D622,RulebookFields!A2:A999, 0)), "")</f>
        <v>1</v>
      </c>
      <c r="K622" s="3" t="b">
        <f>AND(F622, J622)</f>
        <v>0</v>
      </c>
      <c r="L622" s="3" t="b">
        <f>AND(G622 &lt;&gt; "plain", G622 &lt;&gt; "")</f>
        <v>0</v>
      </c>
      <c r="M622" s="3" t="str">
        <f>IF(E622, C622 &amp; "|" &amp; H622, "")</f>
        <v>principal-process-steward|ChangeRequests</v>
      </c>
      <c r="N622" s="2" t="s">
        <v>9938</v>
      </c>
    </row>
    <row r="623">
      <c r="A623" s="2" t="s">
        <v>10559</v>
      </c>
      <c r="B623" s="3" t="str">
        <f>C623 &amp; " -&gt; " &amp; D623</f>
        <v>principal-process-steward -&gt; ChangeRequests.TouchesLiveVersion</v>
      </c>
      <c r="C623" s="2" t="s">
        <v>9706</v>
      </c>
      <c r="D623" s="2" t="s">
        <v>3881</v>
      </c>
      <c r="E623" s="2" t="b">
        <v>1</v>
      </c>
      <c r="F623" s="2" t="b">
        <v>0</v>
      </c>
      <c r="G623" s="2" t="s">
        <v>9937</v>
      </c>
      <c r="H623" s="3" t="str">
        <f>_xlfn.IFNA(INDEX(RulebookFields!C2:C999, MATCH(D623,RulebookFields!A2:A999, 0)), "")</f>
        <v>ChangeRequests</v>
      </c>
      <c r="I623" s="3" t="str">
        <f>_xlfn.IFNA(INDEX(RulebookFields!D2:D999, MATCH(D623,RulebookFields!A2:A999, 0)), "")</f>
        <v>TouchesLiveVersion</v>
      </c>
      <c r="J623" s="3" t="b">
        <f>_xlfn.IFNA(INDEX(RulebookFields!I2:I999, MATCH(D623,RulebookFields!A2:A999, 0)), "")</f>
        <v>1</v>
      </c>
      <c r="K623" s="3" t="b">
        <f>AND(F623, J623)</f>
        <v>0</v>
      </c>
      <c r="L623" s="3" t="b">
        <f>AND(G623 &lt;&gt; "plain", G623 &lt;&gt; "")</f>
        <v>0</v>
      </c>
      <c r="M623" s="3" t="str">
        <f>IF(E623, C623 &amp; "|" &amp; H623, "")</f>
        <v>principal-process-steward|ChangeRequests</v>
      </c>
      <c r="N623" s="2" t="s">
        <v>9938</v>
      </c>
    </row>
    <row r="624">
      <c r="A624" s="2" t="s">
        <v>10560</v>
      </c>
      <c r="B624" s="3" t="str">
        <f>C624 &amp; " -&gt; " &amp; D624</f>
        <v>principal-process-steward -&gt; ChangeRequests.IsLiveDecisionBacklog</v>
      </c>
      <c r="C624" s="2" t="s">
        <v>9706</v>
      </c>
      <c r="D624" s="2" t="s">
        <v>3882</v>
      </c>
      <c r="E624" s="2" t="b">
        <v>1</v>
      </c>
      <c r="F624" s="2" t="b">
        <v>0</v>
      </c>
      <c r="G624" s="2" t="s">
        <v>9937</v>
      </c>
      <c r="H624" s="3" t="str">
        <f>_xlfn.IFNA(INDEX(RulebookFields!C2:C999, MATCH(D624,RulebookFields!A2:A999, 0)), "")</f>
        <v>ChangeRequests</v>
      </c>
      <c r="I624" s="3" t="str">
        <f>_xlfn.IFNA(INDEX(RulebookFields!D2:D999, MATCH(D624,RulebookFields!A2:A999, 0)), "")</f>
        <v>IsLiveDecisionBacklog</v>
      </c>
      <c r="J624" s="3" t="b">
        <f>_xlfn.IFNA(INDEX(RulebookFields!I2:I999, MATCH(D624,RulebookFields!A2:A999, 0)), "")</f>
        <v>1</v>
      </c>
      <c r="K624" s="3" t="b">
        <f>AND(F624, J624)</f>
        <v>0</v>
      </c>
      <c r="L624" s="3" t="b">
        <f>AND(G624 &lt;&gt; "plain", G624 &lt;&gt; "")</f>
        <v>0</v>
      </c>
      <c r="M624" s="3" t="str">
        <f>IF(E624, C624 &amp; "|" &amp; H624, "")</f>
        <v>principal-process-steward|ChangeRequests</v>
      </c>
      <c r="N624" s="2" t="s">
        <v>9938</v>
      </c>
    </row>
    <row r="625">
      <c r="A625" s="2" t="s">
        <v>10561</v>
      </c>
      <c r="B625" s="3" t="str">
        <f>C625 &amp; " -&gt; " &amp; D625</f>
        <v>principal-process-steward -&gt; ChangeRequests.BlocksAnOpenGap</v>
      </c>
      <c r="C625" s="2" t="s">
        <v>9706</v>
      </c>
      <c r="D625" s="2" t="s">
        <v>3884</v>
      </c>
      <c r="E625" s="2" t="b">
        <v>1</v>
      </c>
      <c r="F625" s="2" t="b">
        <v>0</v>
      </c>
      <c r="G625" s="2" t="s">
        <v>9937</v>
      </c>
      <c r="H625" s="3" t="str">
        <f>_xlfn.IFNA(INDEX(RulebookFields!C2:C999, MATCH(D625,RulebookFields!A2:A999, 0)), "")</f>
        <v>ChangeRequests</v>
      </c>
      <c r="I625" s="3" t="str">
        <f>_xlfn.IFNA(INDEX(RulebookFields!D2:D999, MATCH(D625,RulebookFields!A2:A999, 0)), "")</f>
        <v>BlocksAnOpenGap</v>
      </c>
      <c r="J625" s="3" t="b">
        <f>_xlfn.IFNA(INDEX(RulebookFields!I2:I999, MATCH(D625,RulebookFields!A2:A999, 0)), "")</f>
        <v>1</v>
      </c>
      <c r="K625" s="3" t="b">
        <f>AND(F625, J625)</f>
        <v>0</v>
      </c>
      <c r="L625" s="3" t="b">
        <f>AND(G625 &lt;&gt; "plain", G625 &lt;&gt; "")</f>
        <v>0</v>
      </c>
      <c r="M625" s="3" t="str">
        <f>IF(E625, C625 &amp; "|" &amp; H625, "")</f>
        <v>principal-process-steward|ChangeRequests</v>
      </c>
      <c r="N625" s="2" t="s">
        <v>9938</v>
      </c>
    </row>
    <row r="626">
      <c r="A626" s="2" t="s">
        <v>10562</v>
      </c>
      <c r="B626" s="3" t="str">
        <f>C626 &amp; " -&gt; " &amp; D626</f>
        <v>principal-process-steward -&gt; ChangeRequests.ImplementedAt</v>
      </c>
      <c r="C626" s="2" t="s">
        <v>9706</v>
      </c>
      <c r="D626" s="2" t="s">
        <v>3886</v>
      </c>
      <c r="E626" s="2" t="b">
        <v>1</v>
      </c>
      <c r="F626" s="2" t="b">
        <v>0</v>
      </c>
      <c r="G626" s="2" t="s">
        <v>9937</v>
      </c>
      <c r="H626" s="3" t="str">
        <f>_xlfn.IFNA(INDEX(RulebookFields!C2:C999, MATCH(D626,RulebookFields!A2:A999, 0)), "")</f>
        <v>ChangeRequests</v>
      </c>
      <c r="I626" s="3" t="str">
        <f>_xlfn.IFNA(INDEX(RulebookFields!D2:D999, MATCH(D626,RulebookFields!A2:A999, 0)), "")</f>
        <v>ImplementedAt</v>
      </c>
      <c r="J626" s="3" t="b">
        <f>_xlfn.IFNA(INDEX(RulebookFields!I2:I999, MATCH(D626,RulebookFields!A2:A999, 0)), "")</f>
        <v>0</v>
      </c>
      <c r="K626" s="3" t="b">
        <f>AND(F626, J626)</f>
        <v>0</v>
      </c>
      <c r="L626" s="3" t="b">
        <f>AND(G626 &lt;&gt; "plain", G626 &lt;&gt; "")</f>
        <v>0</v>
      </c>
      <c r="M626" s="3" t="str">
        <f>IF(E626, C626 &amp; "|" &amp; H626, "")</f>
        <v>principal-process-steward|ChangeRequests</v>
      </c>
      <c r="N626" s="2" t="s">
        <v>9938</v>
      </c>
    </row>
    <row r="627">
      <c r="A627" s="2" t="s">
        <v>10563</v>
      </c>
      <c r="B627" s="3" t="str">
        <f>C627 &amp; " -&gt; " &amp; D627</f>
        <v>principal-process-steward -&gt; ChangeRequests.BacklogVersionKey</v>
      </c>
      <c r="C627" s="2" t="s">
        <v>9706</v>
      </c>
      <c r="D627" s="2" t="s">
        <v>3887</v>
      </c>
      <c r="E627" s="2" t="b">
        <v>1</v>
      </c>
      <c r="F627" s="2" t="b">
        <v>0</v>
      </c>
      <c r="G627" s="2" t="s">
        <v>9937</v>
      </c>
      <c r="H627" s="3" t="str">
        <f>_xlfn.IFNA(INDEX(RulebookFields!C2:C999, MATCH(D627,RulebookFields!A2:A999, 0)), "")</f>
        <v>ChangeRequests</v>
      </c>
      <c r="I627" s="3" t="str">
        <f>_xlfn.IFNA(INDEX(RulebookFields!D2:D999, MATCH(D627,RulebookFields!A2:A999, 0)), "")</f>
        <v>BacklogVersionKey</v>
      </c>
      <c r="J627" s="3" t="b">
        <f>_xlfn.IFNA(INDEX(RulebookFields!I2:I999, MATCH(D627,RulebookFields!A2:A999, 0)), "")</f>
        <v>1</v>
      </c>
      <c r="K627" s="3" t="b">
        <f>AND(F627, J627)</f>
        <v>0</v>
      </c>
      <c r="L627" s="3" t="b">
        <f>AND(G627 &lt;&gt; "plain", G627 &lt;&gt; "")</f>
        <v>0</v>
      </c>
      <c r="M627" s="3" t="str">
        <f>IF(E627, C627 &amp; "|" &amp; H627, "")</f>
        <v>principal-process-steward|ChangeRequests</v>
      </c>
      <c r="N627" s="2" t="s">
        <v>9938</v>
      </c>
    </row>
    <row r="628">
      <c r="A628" s="2" t="s">
        <v>10564</v>
      </c>
      <c r="B628" s="3" t="str">
        <f>C628 &amp; " -&gt; " &amp; D628</f>
        <v>principal-process-steward -&gt; ChangeRequests.IsMyPendingDecision</v>
      </c>
      <c r="C628" s="2" t="s">
        <v>9706</v>
      </c>
      <c r="D628" s="2" t="s">
        <v>3889</v>
      </c>
      <c r="E628" s="2" t="b">
        <v>1</v>
      </c>
      <c r="F628" s="2" t="b">
        <v>0</v>
      </c>
      <c r="G628" s="2" t="s">
        <v>9937</v>
      </c>
      <c r="H628" s="3" t="str">
        <f>_xlfn.IFNA(INDEX(RulebookFields!C2:C999, MATCH(D628,RulebookFields!A2:A999, 0)), "")</f>
        <v>ChangeRequests</v>
      </c>
      <c r="I628" s="3" t="str">
        <f>_xlfn.IFNA(INDEX(RulebookFields!D2:D999, MATCH(D628,RulebookFields!A2:A999, 0)), "")</f>
        <v>IsMyPendingDecision</v>
      </c>
      <c r="J628" s="3" t="b">
        <f>_xlfn.IFNA(INDEX(RulebookFields!I2:I999, MATCH(D628,RulebookFields!A2:A999, 0)), "")</f>
        <v>1</v>
      </c>
      <c r="K628" s="3" t="b">
        <f>AND(F628, J628)</f>
        <v>0</v>
      </c>
      <c r="L628" s="3" t="b">
        <f>AND(G628 &lt;&gt; "plain", G628 &lt;&gt; "")</f>
        <v>0</v>
      </c>
      <c r="M628" s="3" t="str">
        <f>IF(E628, C628 &amp; "|" &amp; H628, "")</f>
        <v>principal-process-steward|ChangeRequests</v>
      </c>
      <c r="N628" s="2" t="s">
        <v>9938</v>
      </c>
    </row>
    <row r="629">
      <c r="A629" s="2" t="s">
        <v>10565</v>
      </c>
      <c r="B629" s="3" t="str">
        <f>C629 &amp; " -&gt; " &amp; D629</f>
        <v>principal-process-steward -&gt; ChangeRequests.IsMyBlockingBacklog</v>
      </c>
      <c r="C629" s="2" t="s">
        <v>9706</v>
      </c>
      <c r="D629" s="2" t="s">
        <v>3891</v>
      </c>
      <c r="E629" s="2" t="b">
        <v>1</v>
      </c>
      <c r="F629" s="2" t="b">
        <v>0</v>
      </c>
      <c r="G629" s="2" t="s">
        <v>9937</v>
      </c>
      <c r="H629" s="3" t="str">
        <f>_xlfn.IFNA(INDEX(RulebookFields!C2:C999, MATCH(D629,RulebookFields!A2:A999, 0)), "")</f>
        <v>ChangeRequests</v>
      </c>
      <c r="I629" s="3" t="str">
        <f>_xlfn.IFNA(INDEX(RulebookFields!D2:D999, MATCH(D629,RulebookFields!A2:A999, 0)), "")</f>
        <v>IsMyBlockingBacklog</v>
      </c>
      <c r="J629" s="3" t="b">
        <f>_xlfn.IFNA(INDEX(RulebookFields!I2:I999, MATCH(D629,RulebookFields!A2:A999, 0)), "")</f>
        <v>1</v>
      </c>
      <c r="K629" s="3" t="b">
        <f>AND(F629, J629)</f>
        <v>0</v>
      </c>
      <c r="L629" s="3" t="b">
        <f>AND(G629 &lt;&gt; "plain", G629 &lt;&gt; "")</f>
        <v>0</v>
      </c>
      <c r="M629" s="3" t="str">
        <f>IF(E629, C629 &amp; "|" &amp; H629, "")</f>
        <v>principal-process-steward|ChangeRequests</v>
      </c>
      <c r="N629" s="2" t="s">
        <v>9938</v>
      </c>
    </row>
    <row r="630">
      <c r="A630" s="2" t="s">
        <v>10566</v>
      </c>
      <c r="B630" s="3" t="str">
        <f>C630 &amp; " -&gt; " &amp; D630</f>
        <v>principal-process-steward -&gt; ChangeRequests.IsMyOverdueBacklog</v>
      </c>
      <c r="C630" s="2" t="s">
        <v>9706</v>
      </c>
      <c r="D630" s="2" t="s">
        <v>3893</v>
      </c>
      <c r="E630" s="2" t="b">
        <v>1</v>
      </c>
      <c r="F630" s="2" t="b">
        <v>0</v>
      </c>
      <c r="G630" s="2" t="s">
        <v>9937</v>
      </c>
      <c r="H630" s="3" t="str">
        <f>_xlfn.IFNA(INDEX(RulebookFields!C2:C999, MATCH(D630,RulebookFields!A2:A999, 0)), "")</f>
        <v>ChangeRequests</v>
      </c>
      <c r="I630" s="3" t="str">
        <f>_xlfn.IFNA(INDEX(RulebookFields!D2:D999, MATCH(D630,RulebookFields!A2:A999, 0)), "")</f>
        <v>IsMyOverdueBacklog</v>
      </c>
      <c r="J630" s="3" t="b">
        <f>_xlfn.IFNA(INDEX(RulebookFields!I2:I999, MATCH(D630,RulebookFields!A2:A999, 0)), "")</f>
        <v>1</v>
      </c>
      <c r="K630" s="3" t="b">
        <f>AND(F630, J630)</f>
        <v>0</v>
      </c>
      <c r="L630" s="3" t="b">
        <f>AND(G630 &lt;&gt; "plain", G630 &lt;&gt; "")</f>
        <v>0</v>
      </c>
      <c r="M630" s="3" t="str">
        <f>IF(E630, C630 &amp; "|" &amp; H630, "")</f>
        <v>principal-process-steward|ChangeRequests</v>
      </c>
      <c r="N630" s="2" t="s">
        <v>9938</v>
      </c>
    </row>
    <row r="631">
      <c r="A631" s="2" t="s">
        <v>10567</v>
      </c>
      <c r="B631" s="3" t="str">
        <f>C631 &amp; " -&gt; " &amp; D631</f>
        <v>principal-process-steward -&gt; ChangeRequests.IsImplemented</v>
      </c>
      <c r="C631" s="2" t="s">
        <v>9706</v>
      </c>
      <c r="D631" s="2" t="s">
        <v>3895</v>
      </c>
      <c r="E631" s="2" t="b">
        <v>1</v>
      </c>
      <c r="F631" s="2" t="b">
        <v>0</v>
      </c>
      <c r="G631" s="2" t="s">
        <v>9937</v>
      </c>
      <c r="H631" s="3" t="str">
        <f>_xlfn.IFNA(INDEX(RulebookFields!C2:C999, MATCH(D631,RulebookFields!A2:A999, 0)), "")</f>
        <v>ChangeRequests</v>
      </c>
      <c r="I631" s="3" t="str">
        <f>_xlfn.IFNA(INDEX(RulebookFields!D2:D999, MATCH(D631,RulebookFields!A2:A999, 0)), "")</f>
        <v>IsImplemented</v>
      </c>
      <c r="J631" s="3" t="b">
        <f>_xlfn.IFNA(INDEX(RulebookFields!I2:I999, MATCH(D631,RulebookFields!A2:A999, 0)), "")</f>
        <v>1</v>
      </c>
      <c r="K631" s="3" t="b">
        <f>AND(F631, J631)</f>
        <v>0</v>
      </c>
      <c r="L631" s="3" t="b">
        <f>AND(G631 &lt;&gt; "plain", G631 &lt;&gt; "")</f>
        <v>0</v>
      </c>
      <c r="M631" s="3" t="str">
        <f>IF(E631, C631 &amp; "|" &amp; H631, "")</f>
        <v>principal-process-steward|ChangeRequests</v>
      </c>
      <c r="N631" s="2" t="s">
        <v>9938</v>
      </c>
    </row>
    <row r="632">
      <c r="A632" s="2" t="s">
        <v>10568</v>
      </c>
      <c r="B632" s="3" t="str">
        <f>C632 &amp; " -&gt; " &amp; D632</f>
        <v>principal-process-steward -&gt; ChangeRequests.IsMyDecidedRequest</v>
      </c>
      <c r="C632" s="2" t="s">
        <v>9706</v>
      </c>
      <c r="D632" s="2" t="s">
        <v>3897</v>
      </c>
      <c r="E632" s="2" t="b">
        <v>1</v>
      </c>
      <c r="F632" s="2" t="b">
        <v>0</v>
      </c>
      <c r="G632" s="2" t="s">
        <v>9937</v>
      </c>
      <c r="H632" s="3" t="str">
        <f>_xlfn.IFNA(INDEX(RulebookFields!C2:C999, MATCH(D632,RulebookFields!A2:A999, 0)), "")</f>
        <v>ChangeRequests</v>
      </c>
      <c r="I632" s="3" t="str">
        <f>_xlfn.IFNA(INDEX(RulebookFields!D2:D999, MATCH(D632,RulebookFields!A2:A999, 0)), "")</f>
        <v>IsMyDecidedRequest</v>
      </c>
      <c r="J632" s="3" t="b">
        <f>_xlfn.IFNA(INDEX(RulebookFields!I2:I999, MATCH(D632,RulebookFields!A2:A999, 0)), "")</f>
        <v>1</v>
      </c>
      <c r="K632" s="3" t="b">
        <f>AND(F632, J632)</f>
        <v>0</v>
      </c>
      <c r="L632" s="3" t="b">
        <f>AND(G632 &lt;&gt; "plain", G632 &lt;&gt; "")</f>
        <v>0</v>
      </c>
      <c r="M632" s="3" t="str">
        <f>IF(E632, C632 &amp; "|" &amp; H632, "")</f>
        <v>principal-process-steward|ChangeRequests</v>
      </c>
      <c r="N632" s="2" t="s">
        <v>9938</v>
      </c>
    </row>
    <row r="633">
      <c r="A633" s="2" t="s">
        <v>10569</v>
      </c>
      <c r="B633" s="3" t="str">
        <f>C633 &amp; " -&gt; " &amp; D633</f>
        <v>principal-process-steward -&gt; ChangeRequests.IsMyDecidedButUnlanded</v>
      </c>
      <c r="C633" s="2" t="s">
        <v>9706</v>
      </c>
      <c r="D633" s="2" t="s">
        <v>3899</v>
      </c>
      <c r="E633" s="2" t="b">
        <v>1</v>
      </c>
      <c r="F633" s="2" t="b">
        <v>0</v>
      </c>
      <c r="G633" s="2" t="s">
        <v>9937</v>
      </c>
      <c r="H633" s="3" t="str">
        <f>_xlfn.IFNA(INDEX(RulebookFields!C2:C999, MATCH(D633,RulebookFields!A2:A999, 0)), "")</f>
        <v>ChangeRequests</v>
      </c>
      <c r="I633" s="3" t="str">
        <f>_xlfn.IFNA(INDEX(RulebookFields!D2:D999, MATCH(D633,RulebookFields!A2:A999, 0)), "")</f>
        <v>IsMyDecidedButUnlanded</v>
      </c>
      <c r="J633" s="3" t="b">
        <f>_xlfn.IFNA(INDEX(RulebookFields!I2:I999, MATCH(D633,RulebookFields!A2:A999, 0)), "")</f>
        <v>1</v>
      </c>
      <c r="K633" s="3" t="b">
        <f>AND(F633, J633)</f>
        <v>0</v>
      </c>
      <c r="L633" s="3" t="b">
        <f>AND(G633 &lt;&gt; "plain", G633 &lt;&gt; "")</f>
        <v>0</v>
      </c>
      <c r="M633" s="3" t="str">
        <f>IF(E633, C633 &amp; "|" &amp; H633, "")</f>
        <v>principal-process-steward|ChangeRequests</v>
      </c>
      <c r="N633" s="2" t="s">
        <v>9938</v>
      </c>
    </row>
    <row r="634">
      <c r="A634" s="2" t="s">
        <v>10570</v>
      </c>
      <c r="B634" s="3" t="str">
        <f>C634 &amp; " -&gt; " &amp; D634</f>
        <v>principal-process-steward -&gt; ChangeRequests.DecisionLatencyDays</v>
      </c>
      <c r="C634" s="2" t="s">
        <v>9706</v>
      </c>
      <c r="D634" s="2" t="s">
        <v>3901</v>
      </c>
      <c r="E634" s="2" t="b">
        <v>1</v>
      </c>
      <c r="F634" s="2" t="b">
        <v>0</v>
      </c>
      <c r="G634" s="2" t="s">
        <v>9937</v>
      </c>
      <c r="H634" s="3" t="str">
        <f>_xlfn.IFNA(INDEX(RulebookFields!C2:C999, MATCH(D634,RulebookFields!A2:A999, 0)), "")</f>
        <v>ChangeRequests</v>
      </c>
      <c r="I634" s="3" t="str">
        <f>_xlfn.IFNA(INDEX(RulebookFields!D2:D999, MATCH(D634,RulebookFields!A2:A999, 0)), "")</f>
        <v>DecisionLatencyDays</v>
      </c>
      <c r="J634" s="3" t="b">
        <f>_xlfn.IFNA(INDEX(RulebookFields!I2:I999, MATCH(D634,RulebookFields!A2:A999, 0)), "")</f>
        <v>1</v>
      </c>
      <c r="K634" s="3" t="b">
        <f>AND(F634, J634)</f>
        <v>0</v>
      </c>
      <c r="L634" s="3" t="b">
        <f>AND(G634 &lt;&gt; "plain", G634 &lt;&gt; "")</f>
        <v>0</v>
      </c>
      <c r="M634" s="3" t="str">
        <f>IF(E634, C634 &amp; "|" &amp; H634, "")</f>
        <v>principal-process-steward|ChangeRequests</v>
      </c>
      <c r="N634" s="2" t="s">
        <v>9938</v>
      </c>
    </row>
    <row r="635">
      <c r="A635" s="2" t="s">
        <v>10571</v>
      </c>
      <c r="B635" s="3" t="str">
        <f>C635 &amp; " -&gt; " &amp; D635</f>
        <v>principal-process-steward -&gt; ChangeRequests.ImplementationLatencyDays</v>
      </c>
      <c r="C635" s="2" t="s">
        <v>9706</v>
      </c>
      <c r="D635" s="2" t="s">
        <v>3903</v>
      </c>
      <c r="E635" s="2" t="b">
        <v>1</v>
      </c>
      <c r="F635" s="2" t="b">
        <v>0</v>
      </c>
      <c r="G635" s="2" t="s">
        <v>9937</v>
      </c>
      <c r="H635" s="3" t="str">
        <f>_xlfn.IFNA(INDEX(RulebookFields!C2:C999, MATCH(D635,RulebookFields!A2:A999, 0)), "")</f>
        <v>ChangeRequests</v>
      </c>
      <c r="I635" s="3" t="str">
        <f>_xlfn.IFNA(INDEX(RulebookFields!D2:D999, MATCH(D635,RulebookFields!A2:A999, 0)), "")</f>
        <v>ImplementationLatencyDays</v>
      </c>
      <c r="J635" s="3" t="b">
        <f>_xlfn.IFNA(INDEX(RulebookFields!I2:I999, MATCH(D635,RulebookFields!A2:A999, 0)), "")</f>
        <v>1</v>
      </c>
      <c r="K635" s="3" t="b">
        <f>AND(F635, J635)</f>
        <v>0</v>
      </c>
      <c r="L635" s="3" t="b">
        <f>AND(G635 &lt;&gt; "plain", G635 &lt;&gt; "")</f>
        <v>0</v>
      </c>
      <c r="M635" s="3" t="str">
        <f>IF(E635, C635 &amp; "|" &amp; H635, "")</f>
        <v>principal-process-steward|ChangeRequests</v>
      </c>
      <c r="N635" s="2" t="s">
        <v>9938</v>
      </c>
    </row>
    <row r="636">
      <c r="A636" s="2" t="s">
        <v>10572</v>
      </c>
      <c r="B636" s="3" t="str">
        <f>C636 &amp; " -&gt; " &amp; D636</f>
        <v>principal-process-steward -&gt; ChangeRequests.DelayIsDownstreamOfMe</v>
      </c>
      <c r="C636" s="2" t="s">
        <v>9706</v>
      </c>
      <c r="D636" s="2" t="s">
        <v>3905</v>
      </c>
      <c r="E636" s="2" t="b">
        <v>1</v>
      </c>
      <c r="F636" s="2" t="b">
        <v>0</v>
      </c>
      <c r="G636" s="2" t="s">
        <v>9937</v>
      </c>
      <c r="H636" s="3" t="str">
        <f>_xlfn.IFNA(INDEX(RulebookFields!C2:C999, MATCH(D636,RulebookFields!A2:A999, 0)), "")</f>
        <v>ChangeRequests</v>
      </c>
      <c r="I636" s="3" t="str">
        <f>_xlfn.IFNA(INDEX(RulebookFields!D2:D999, MATCH(D636,RulebookFields!A2:A999, 0)), "")</f>
        <v>DelayIsDownstreamOfMe</v>
      </c>
      <c r="J636" s="3" t="b">
        <f>_xlfn.IFNA(INDEX(RulebookFields!I2:I999, MATCH(D636,RulebookFields!A2:A999, 0)), "")</f>
        <v>1</v>
      </c>
      <c r="K636" s="3" t="b">
        <f>AND(F636, J636)</f>
        <v>0</v>
      </c>
      <c r="L636" s="3" t="b">
        <f>AND(G636 &lt;&gt; "plain", G636 &lt;&gt; "")</f>
        <v>0</v>
      </c>
      <c r="M636" s="3" t="str">
        <f>IF(E636, C636 &amp; "|" &amp; H636, "")</f>
        <v>principal-process-steward|ChangeRequests</v>
      </c>
      <c r="N636" s="2" t="s">
        <v>9938</v>
      </c>
    </row>
    <row r="637">
      <c r="A637" s="2" t="s">
        <v>10573</v>
      </c>
      <c r="B637" s="3" t="str">
        <f>C637 &amp; " -&gt; " &amp; D637</f>
        <v>principal-process-steward -&gt; ChangeRequests.UnlandedVersionKey</v>
      </c>
      <c r="C637" s="2" t="s">
        <v>9706</v>
      </c>
      <c r="D637" s="2" t="s">
        <v>3907</v>
      </c>
      <c r="E637" s="2" t="b">
        <v>1</v>
      </c>
      <c r="F637" s="2" t="b">
        <v>0</v>
      </c>
      <c r="G637" s="2" t="s">
        <v>9937</v>
      </c>
      <c r="H637" s="3" t="str">
        <f>_xlfn.IFNA(INDEX(RulebookFields!C2:C999, MATCH(D637,RulebookFields!A2:A999, 0)), "")</f>
        <v>ChangeRequests</v>
      </c>
      <c r="I637" s="3" t="str">
        <f>_xlfn.IFNA(INDEX(RulebookFields!D2:D999, MATCH(D637,RulebookFields!A2:A999, 0)), "")</f>
        <v>UnlandedVersionKey</v>
      </c>
      <c r="J637" s="3" t="b">
        <f>_xlfn.IFNA(INDEX(RulebookFields!I2:I999, MATCH(D637,RulebookFields!A2:A999, 0)), "")</f>
        <v>1</v>
      </c>
      <c r="K637" s="3" t="b">
        <f>AND(F637, J637)</f>
        <v>0</v>
      </c>
      <c r="L637" s="3" t="b">
        <f>AND(G637 &lt;&gt; "plain", G637 &lt;&gt; "")</f>
        <v>0</v>
      </c>
      <c r="M637" s="3" t="str">
        <f>IF(E637, C637 &amp; "|" &amp; H637, "")</f>
        <v>principal-process-steward|ChangeRequests</v>
      </c>
      <c r="N637" s="2" t="s">
        <v>9938</v>
      </c>
    </row>
    <row r="638">
      <c r="A638" s="2" t="s">
        <v>10574</v>
      </c>
      <c r="B638" s="3" t="str">
        <f>C638 &amp; " -&gt; " &amp; D638</f>
        <v>principal-process-steward -&gt; ChangeRequests.IsApprovedNotImplemented</v>
      </c>
      <c r="C638" s="2" t="s">
        <v>9706</v>
      </c>
      <c r="D638" s="2" t="s">
        <v>3909</v>
      </c>
      <c r="E638" s="2" t="b">
        <v>1</v>
      </c>
      <c r="F638" s="2" t="b">
        <v>0</v>
      </c>
      <c r="G638" s="2" t="s">
        <v>9937</v>
      </c>
      <c r="H638" s="3" t="str">
        <f>_xlfn.IFNA(INDEX(RulebookFields!C2:C999, MATCH(D638,RulebookFields!A2:A999, 0)), "")</f>
        <v>ChangeRequests</v>
      </c>
      <c r="I638" s="3" t="str">
        <f>_xlfn.IFNA(INDEX(RulebookFields!D2:D999, MATCH(D638,RulebookFields!A2:A999, 0)), "")</f>
        <v>IsApprovedNotImplemented</v>
      </c>
      <c r="J638" s="3" t="b">
        <f>_xlfn.IFNA(INDEX(RulebookFields!I2:I999, MATCH(D638,RulebookFields!A2:A999, 0)), "")</f>
        <v>1</v>
      </c>
      <c r="K638" s="3" t="b">
        <f>AND(F638, J638)</f>
        <v>0</v>
      </c>
      <c r="L638" s="3" t="b">
        <f>AND(G638 &lt;&gt; "plain", G638 &lt;&gt; "")</f>
        <v>0</v>
      </c>
      <c r="M638" s="3" t="str">
        <f>IF(E638, C638 &amp; "|" &amp; H638, "")</f>
        <v>principal-process-steward|ChangeRequests</v>
      </c>
      <c r="N638" s="2" t="s">
        <v>9938</v>
      </c>
    </row>
    <row r="639">
      <c r="A639" s="2" t="s">
        <v>10575</v>
      </c>
      <c r="B639" s="3" t="str">
        <f>C639 &amp; " -&gt; " &amp; D639</f>
        <v>principal-process-steward -&gt; ChangeRequests.DaysSinceApproval</v>
      </c>
      <c r="C639" s="2" t="s">
        <v>9706</v>
      </c>
      <c r="D639" s="2" t="s">
        <v>3911</v>
      </c>
      <c r="E639" s="2" t="b">
        <v>1</v>
      </c>
      <c r="F639" s="2" t="b">
        <v>0</v>
      </c>
      <c r="G639" s="2" t="s">
        <v>9937</v>
      </c>
      <c r="H639" s="3" t="str">
        <f>_xlfn.IFNA(INDEX(RulebookFields!C2:C999, MATCH(D639,RulebookFields!A2:A999, 0)), "")</f>
        <v>ChangeRequests</v>
      </c>
      <c r="I639" s="3" t="str">
        <f>_xlfn.IFNA(INDEX(RulebookFields!D2:D999, MATCH(D639,RulebookFields!A2:A999, 0)), "")</f>
        <v>DaysSinceApproval</v>
      </c>
      <c r="J639" s="3" t="b">
        <f>_xlfn.IFNA(INDEX(RulebookFields!I2:I999, MATCH(D639,RulebookFields!A2:A999, 0)), "")</f>
        <v>1</v>
      </c>
      <c r="K639" s="3" t="b">
        <f>AND(F639, J639)</f>
        <v>0</v>
      </c>
      <c r="L639" s="3" t="b">
        <f>AND(G639 &lt;&gt; "plain", G639 &lt;&gt; "")</f>
        <v>0</v>
      </c>
      <c r="M639" s="3" t="str">
        <f>IF(E639, C639 &amp; "|" &amp; H639, "")</f>
        <v>principal-process-steward|ChangeRequests</v>
      </c>
      <c r="N639" s="2" t="s">
        <v>9938</v>
      </c>
    </row>
    <row r="640">
      <c r="A640" s="2" t="s">
        <v>10576</v>
      </c>
      <c r="B640" s="3" t="str">
        <f>C640 &amp; " -&gt; " &amp; D640</f>
        <v>principal-process-steward -&gt; ChangeRequests.IsStalledImplementation</v>
      </c>
      <c r="C640" s="2" t="s">
        <v>9706</v>
      </c>
      <c r="D640" s="2" t="s">
        <v>3913</v>
      </c>
      <c r="E640" s="2" t="b">
        <v>1</v>
      </c>
      <c r="F640" s="2" t="b">
        <v>0</v>
      </c>
      <c r="G640" s="2" t="s">
        <v>9937</v>
      </c>
      <c r="H640" s="3" t="str">
        <f>_xlfn.IFNA(INDEX(RulebookFields!C2:C999, MATCH(D640,RulebookFields!A2:A999, 0)), "")</f>
        <v>ChangeRequests</v>
      </c>
      <c r="I640" s="3" t="str">
        <f>_xlfn.IFNA(INDEX(RulebookFields!D2:D999, MATCH(D640,RulebookFields!A2:A999, 0)), "")</f>
        <v>IsStalledImplementation</v>
      </c>
      <c r="J640" s="3" t="b">
        <f>_xlfn.IFNA(INDEX(RulebookFields!I2:I999, MATCH(D640,RulebookFields!A2:A999, 0)), "")</f>
        <v>1</v>
      </c>
      <c r="K640" s="3" t="b">
        <f>AND(F640, J640)</f>
        <v>0</v>
      </c>
      <c r="L640" s="3" t="b">
        <f>AND(G640 &lt;&gt; "plain", G640 &lt;&gt; "")</f>
        <v>0</v>
      </c>
      <c r="M640" s="3" t="str">
        <f>IF(E640, C640 &amp; "|" &amp; H640, "")</f>
        <v>principal-process-steward|ChangeRequests</v>
      </c>
      <c r="N640" s="2" t="s">
        <v>9938</v>
      </c>
    </row>
    <row r="641">
      <c r="A641" s="2" t="s">
        <v>10577</v>
      </c>
      <c r="B641" s="3" t="str">
        <f>C641 &amp; " -&gt; " &amp; D641</f>
        <v>principal-process-steward -&gt; ChangeRequests.StalledImplementationVersionKey</v>
      </c>
      <c r="C641" s="2" t="s">
        <v>9706</v>
      </c>
      <c r="D641" s="2" t="s">
        <v>3915</v>
      </c>
      <c r="E641" s="2" t="b">
        <v>1</v>
      </c>
      <c r="F641" s="2" t="b">
        <v>0</v>
      </c>
      <c r="G641" s="2" t="s">
        <v>9937</v>
      </c>
      <c r="H641" s="3" t="str">
        <f>_xlfn.IFNA(INDEX(RulebookFields!C2:C999, MATCH(D641,RulebookFields!A2:A999, 0)), "")</f>
        <v>ChangeRequests</v>
      </c>
      <c r="I641" s="3" t="str">
        <f>_xlfn.IFNA(INDEX(RulebookFields!D2:D999, MATCH(D641,RulebookFields!A2:A999, 0)), "")</f>
        <v>StalledImplementationVersionKey</v>
      </c>
      <c r="J641" s="3" t="b">
        <f>_xlfn.IFNA(INDEX(RulebookFields!I2:I999, MATCH(D641,RulebookFields!A2:A999, 0)), "")</f>
        <v>1</v>
      </c>
      <c r="K641" s="3" t="b">
        <f>AND(F641, J641)</f>
        <v>0</v>
      </c>
      <c r="L641" s="3" t="b">
        <f>AND(G641 &lt;&gt; "plain", G641 &lt;&gt; "")</f>
        <v>0</v>
      </c>
      <c r="M641" s="3" t="str">
        <f>IF(E641, C641 &amp; "|" &amp; H641, "")</f>
        <v>principal-process-steward|ChangeRequests</v>
      </c>
      <c r="N641" s="2" t="s">
        <v>9938</v>
      </c>
    </row>
    <row r="642">
      <c r="A642" s="2" t="s">
        <v>10578</v>
      </c>
      <c r="B642" s="3" t="str">
        <f>C642 &amp; " -&gt; " &amp; D642</f>
        <v>principal-process-steward -&gt; ChangeRequests.ApprovedVersionKey</v>
      </c>
      <c r="C642" s="2" t="s">
        <v>9706</v>
      </c>
      <c r="D642" s="2" t="s">
        <v>3917</v>
      </c>
      <c r="E642" s="2" t="b">
        <v>1</v>
      </c>
      <c r="F642" s="2" t="b">
        <v>0</v>
      </c>
      <c r="G642" s="2" t="s">
        <v>9937</v>
      </c>
      <c r="H642" s="3" t="str">
        <f>_xlfn.IFNA(INDEX(RulebookFields!C2:C999, MATCH(D642,RulebookFields!A2:A999, 0)), "")</f>
        <v>ChangeRequests</v>
      </c>
      <c r="I642" s="3" t="str">
        <f>_xlfn.IFNA(INDEX(RulebookFields!D2:D999, MATCH(D642,RulebookFields!A2:A999, 0)), "")</f>
        <v>ApprovedVersionKey</v>
      </c>
      <c r="J642" s="3" t="b">
        <f>_xlfn.IFNA(INDEX(RulebookFields!I2:I999, MATCH(D642,RulebookFields!A2:A999, 0)), "")</f>
        <v>1</v>
      </c>
      <c r="K642" s="3" t="b">
        <f>AND(F642, J642)</f>
        <v>0</v>
      </c>
      <c r="L642" s="3" t="b">
        <f>AND(G642 &lt;&gt; "plain", G642 &lt;&gt; "")</f>
        <v>0</v>
      </c>
      <c r="M642" s="3" t="str">
        <f>IF(E642, C642 &amp; "|" &amp; H642, "")</f>
        <v>principal-process-steward|ChangeRequests</v>
      </c>
      <c r="N642" s="2" t="s">
        <v>9938</v>
      </c>
    </row>
    <row r="643">
      <c r="A643" s="2" t="s">
        <v>10579</v>
      </c>
      <c r="B643" s="3" t="str">
        <f>C643 &amp; " -&gt; " &amp; D643</f>
        <v>principal-process-steward -&gt; ChangeRequests.IsApprovedDecision</v>
      </c>
      <c r="C643" s="2" t="s">
        <v>9706</v>
      </c>
      <c r="D643" s="2" t="s">
        <v>3919</v>
      </c>
      <c r="E643" s="2" t="b">
        <v>1</v>
      </c>
      <c r="F643" s="2" t="b">
        <v>0</v>
      </c>
      <c r="G643" s="2" t="s">
        <v>9937</v>
      </c>
      <c r="H643" s="3" t="str">
        <f>_xlfn.IFNA(INDEX(RulebookFields!C2:C999, MATCH(D643,RulebookFields!A2:A999, 0)), "")</f>
        <v>ChangeRequests</v>
      </c>
      <c r="I643" s="3" t="str">
        <f>_xlfn.IFNA(INDEX(RulebookFields!D2:D999, MATCH(D643,RulebookFields!A2:A999, 0)), "")</f>
        <v>IsApprovedDecision</v>
      </c>
      <c r="J643" s="3" t="b">
        <f>_xlfn.IFNA(INDEX(RulebookFields!I2:I999, MATCH(D643,RulebookFields!A2:A999, 0)), "")</f>
        <v>1</v>
      </c>
      <c r="K643" s="3" t="b">
        <f>AND(F643, J643)</f>
        <v>0</v>
      </c>
      <c r="L643" s="3" t="b">
        <f>AND(G643 &lt;&gt; "plain", G643 &lt;&gt; "")</f>
        <v>0</v>
      </c>
      <c r="M643" s="3" t="str">
        <f>IF(E643, C643 &amp; "|" &amp; H643, "")</f>
        <v>principal-process-steward|ChangeRequests</v>
      </c>
      <c r="N643" s="2" t="s">
        <v>9938</v>
      </c>
    </row>
    <row r="644">
      <c r="A644" s="2" t="s">
        <v>10580</v>
      </c>
      <c r="B644" s="3" t="str">
        <f>C644 &amp; " -&gt; " &amp; D644</f>
        <v>principal-process-steward -&gt; ChangeRequests.SemanticTypeIri</v>
      </c>
      <c r="C644" s="2" t="s">
        <v>9706</v>
      </c>
      <c r="D644" s="2" t="s">
        <v>3920</v>
      </c>
      <c r="E644" s="2" t="b">
        <v>1</v>
      </c>
      <c r="F644" s="2" t="b">
        <v>0</v>
      </c>
      <c r="G644" s="2" t="s">
        <v>9937</v>
      </c>
      <c r="H644" s="3" t="str">
        <f>_xlfn.IFNA(INDEX(RulebookFields!C2:C999, MATCH(D644,RulebookFields!A2:A999, 0)), "")</f>
        <v>ChangeRequests</v>
      </c>
      <c r="I644" s="3" t="str">
        <f>_xlfn.IFNA(INDEX(RulebookFields!D2:D999, MATCH(D644,RulebookFields!A2:A999, 0)), "")</f>
        <v>SemanticTypeIri</v>
      </c>
      <c r="J644" s="3" t="b">
        <f>_xlfn.IFNA(INDEX(RulebookFields!I2:I999, MATCH(D644,RulebookFields!A2:A999, 0)), "")</f>
        <v>0</v>
      </c>
      <c r="K644" s="3" t="b">
        <f>AND(F644, J644)</f>
        <v>0</v>
      </c>
      <c r="L644" s="3" t="b">
        <f>AND(G644 &lt;&gt; "plain", G644 &lt;&gt; "")</f>
        <v>0</v>
      </c>
      <c r="M644" s="3" t="str">
        <f>IF(E644, C644 &amp; "|" &amp; H644, "")</f>
        <v>principal-process-steward|ChangeRequests</v>
      </c>
      <c r="N644" s="2" t="s">
        <v>9938</v>
      </c>
    </row>
    <row r="645">
      <c r="A645" s="2" t="s">
        <v>10581</v>
      </c>
      <c r="B645" s="3" t="str">
        <f>C645 &amp; " -&gt; " &amp; D645</f>
        <v>principal-process-steward -&gt; CommunicationPolicies.CommunicationPolicyId</v>
      </c>
      <c r="C645" s="2" t="s">
        <v>9706</v>
      </c>
      <c r="D645" s="2" t="s">
        <v>3994</v>
      </c>
      <c r="E645" s="2" t="b">
        <v>1</v>
      </c>
      <c r="F645" s="2" t="b">
        <v>0</v>
      </c>
      <c r="G645" s="2" t="s">
        <v>9937</v>
      </c>
      <c r="H645" s="3" t="str">
        <f>_xlfn.IFNA(INDEX(RulebookFields!C2:C999, MATCH(D645,RulebookFields!A2:A999, 0)), "")</f>
      </c>
      <c r="I645" s="3" t="str">
        <f>_xlfn.IFNA(INDEX(RulebookFields!D2:D999, MATCH(D645,RulebookFields!A2:A999, 0)), "")</f>
      </c>
      <c r="J645" s="3" t="str">
        <f>_xlfn.IFNA(INDEX(RulebookFields!I2:I999, MATCH(D645,RulebookFields!A2:A999, 0)), "")</f>
      </c>
      <c r="K645" s="3" t="b">
        <f>AND(F645, J645)</f>
        <v>0</v>
      </c>
      <c r="L645" s="3" t="b">
        <f>AND(G645 &lt;&gt; "plain", G645 &lt;&gt; "")</f>
        <v>0</v>
      </c>
      <c r="M645" s="3" t="str">
        <f>IF(E645, C645 &amp; "|" &amp; H645, "")</f>
        <v>principal-process-steward|</v>
      </c>
      <c r="N645" s="2" t="s">
        <v>9938</v>
      </c>
    </row>
    <row r="646">
      <c r="A646" s="2" t="s">
        <v>10582</v>
      </c>
      <c r="B646" s="3" t="str">
        <f>C646 &amp; " -&gt; " &amp; D646</f>
        <v>principal-process-steward -&gt; CommunicationPolicies.Name</v>
      </c>
      <c r="C646" s="2" t="s">
        <v>9706</v>
      </c>
      <c r="D646" s="2" t="s">
        <v>3995</v>
      </c>
      <c r="E646" s="2" t="b">
        <v>1</v>
      </c>
      <c r="F646" s="2" t="b">
        <v>0</v>
      </c>
      <c r="G646" s="2" t="s">
        <v>9937</v>
      </c>
      <c r="H646" s="3" t="str">
        <f>_xlfn.IFNA(INDEX(RulebookFields!C2:C999, MATCH(D646,RulebookFields!A2:A999, 0)), "")</f>
      </c>
      <c r="I646" s="3" t="str">
        <f>_xlfn.IFNA(INDEX(RulebookFields!D2:D999, MATCH(D646,RulebookFields!A2:A999, 0)), "")</f>
      </c>
      <c r="J646" s="3" t="str">
        <f>_xlfn.IFNA(INDEX(RulebookFields!I2:I999, MATCH(D646,RulebookFields!A2:A999, 0)), "")</f>
      </c>
      <c r="K646" s="3" t="b">
        <f>AND(F646, J646)</f>
        <v>0</v>
      </c>
      <c r="L646" s="3" t="b">
        <f>AND(G646 &lt;&gt; "plain", G646 &lt;&gt; "")</f>
        <v>0</v>
      </c>
      <c r="M646" s="3" t="str">
        <f>IF(E646, C646 &amp; "|" &amp; H646, "")</f>
        <v>principal-process-steward|</v>
      </c>
      <c r="N646" s="2" t="s">
        <v>9938</v>
      </c>
    </row>
    <row r="647">
      <c r="A647" s="2" t="s">
        <v>10583</v>
      </c>
      <c r="B647" s="3" t="str">
        <f>C647 &amp; " -&gt; " &amp; D647</f>
        <v>principal-process-steward -&gt; CommunicationPolicies.ProcedureVersion</v>
      </c>
      <c r="C647" s="2" t="s">
        <v>9706</v>
      </c>
      <c r="D647" s="2" t="s">
        <v>3997</v>
      </c>
      <c r="E647" s="2" t="b">
        <v>1</v>
      </c>
      <c r="F647" s="2" t="b">
        <v>0</v>
      </c>
      <c r="G647" s="2" t="s">
        <v>9937</v>
      </c>
      <c r="H647" s="3" t="str">
        <f>_xlfn.IFNA(INDEX(RulebookFields!C2:C999, MATCH(D647,RulebookFields!A2:A999, 0)), "")</f>
      </c>
      <c r="I647" s="3" t="str">
        <f>_xlfn.IFNA(INDEX(RulebookFields!D2:D999, MATCH(D647,RulebookFields!A2:A999, 0)), "")</f>
      </c>
      <c r="J647" s="3" t="str">
        <f>_xlfn.IFNA(INDEX(RulebookFields!I2:I999, MATCH(D647,RulebookFields!A2:A999, 0)), "")</f>
      </c>
      <c r="K647" s="3" t="b">
        <f>AND(F647, J647)</f>
        <v>0</v>
      </c>
      <c r="L647" s="3" t="b">
        <f>AND(G647 &lt;&gt; "plain", G647 &lt;&gt; "")</f>
        <v>0</v>
      </c>
      <c r="M647" s="3" t="str">
        <f>IF(E647, C647 &amp; "|" &amp; H647, "")</f>
        <v>principal-process-steward|</v>
      </c>
      <c r="N647" s="2" t="s">
        <v>9938</v>
      </c>
    </row>
    <row r="648">
      <c r="A648" s="2" t="s">
        <v>10584</v>
      </c>
      <c r="B648" s="3" t="str">
        <f>C648 &amp; " -&gt; " &amp; D648</f>
        <v>principal-process-steward -&gt; CommunicationPolicies.Channel</v>
      </c>
      <c r="C648" s="2" t="s">
        <v>9706</v>
      </c>
      <c r="D648" s="2" t="s">
        <v>3998</v>
      </c>
      <c r="E648" s="2" t="b">
        <v>1</v>
      </c>
      <c r="F648" s="2" t="b">
        <v>0</v>
      </c>
      <c r="G648" s="2" t="s">
        <v>9937</v>
      </c>
      <c r="H648" s="3" t="str">
        <f>_xlfn.IFNA(INDEX(RulebookFields!C2:C999, MATCH(D648,RulebookFields!A2:A999, 0)), "")</f>
      </c>
      <c r="I648" s="3" t="str">
        <f>_xlfn.IFNA(INDEX(RulebookFields!D2:D999, MATCH(D648,RulebookFields!A2:A999, 0)), "")</f>
      </c>
      <c r="J648" s="3" t="str">
        <f>_xlfn.IFNA(INDEX(RulebookFields!I2:I999, MATCH(D648,RulebookFields!A2:A999, 0)), "")</f>
      </c>
      <c r="K648" s="3" t="b">
        <f>AND(F648, J648)</f>
        <v>0</v>
      </c>
      <c r="L648" s="3" t="b">
        <f>AND(G648 &lt;&gt; "plain", G648 &lt;&gt; "")</f>
        <v>0</v>
      </c>
      <c r="M648" s="3" t="str">
        <f>IF(E648, C648 &amp; "|" &amp; H648, "")</f>
        <v>principal-process-steward|</v>
      </c>
      <c r="N648" s="2" t="s">
        <v>9938</v>
      </c>
    </row>
    <row r="649">
      <c r="A649" s="2" t="s">
        <v>10585</v>
      </c>
      <c r="B649" s="3" t="str">
        <f>C649 &amp; " -&gt; " &amp; D649</f>
        <v>principal-process-steward -&gt; CommunicationPolicies.AudienceRule</v>
      </c>
      <c r="C649" s="2" t="s">
        <v>9706</v>
      </c>
      <c r="D649" s="2" t="s">
        <v>3999</v>
      </c>
      <c r="E649" s="2" t="b">
        <v>1</v>
      </c>
      <c r="F649" s="2" t="b">
        <v>0</v>
      </c>
      <c r="G649" s="2" t="s">
        <v>9937</v>
      </c>
      <c r="H649" s="3" t="str">
        <f>_xlfn.IFNA(INDEX(RulebookFields!C2:C999, MATCH(D649,RulebookFields!A2:A999, 0)), "")</f>
      </c>
      <c r="I649" s="3" t="str">
        <f>_xlfn.IFNA(INDEX(RulebookFields!D2:D999, MATCH(D649,RulebookFields!A2:A999, 0)), "")</f>
      </c>
      <c r="J649" s="3" t="str">
        <f>_xlfn.IFNA(INDEX(RulebookFields!I2:I999, MATCH(D649,RulebookFields!A2:A999, 0)), "")</f>
      </c>
      <c r="K649" s="3" t="b">
        <f>AND(F649, J649)</f>
        <v>0</v>
      </c>
      <c r="L649" s="3" t="b">
        <f>AND(G649 &lt;&gt; "plain", G649 &lt;&gt; "")</f>
        <v>0</v>
      </c>
      <c r="M649" s="3" t="str">
        <f>IF(E649, C649 &amp; "|" &amp; H649, "")</f>
        <v>principal-process-steward|</v>
      </c>
      <c r="N649" s="2" t="s">
        <v>9938</v>
      </c>
    </row>
    <row r="650">
      <c r="A650" s="2" t="s">
        <v>10586</v>
      </c>
      <c r="B650" s="3" t="str">
        <f>C650 &amp; " -&gt; " &amp; D650</f>
        <v>principal-process-steward -&gt; CommunicationPolicies.ConsentRequired</v>
      </c>
      <c r="C650" s="2" t="s">
        <v>9706</v>
      </c>
      <c r="D650" s="2" t="s">
        <v>4000</v>
      </c>
      <c r="E650" s="2" t="b">
        <v>1</v>
      </c>
      <c r="F650" s="2" t="b">
        <v>0</v>
      </c>
      <c r="G650" s="2" t="s">
        <v>9937</v>
      </c>
      <c r="H650" s="3" t="str">
        <f>_xlfn.IFNA(INDEX(RulebookFields!C2:C999, MATCH(D650,RulebookFields!A2:A999, 0)), "")</f>
      </c>
      <c r="I650" s="3" t="str">
        <f>_xlfn.IFNA(INDEX(RulebookFields!D2:D999, MATCH(D650,RulebookFields!A2:A999, 0)), "")</f>
      </c>
      <c r="J650" s="3" t="str">
        <f>_xlfn.IFNA(INDEX(RulebookFields!I2:I999, MATCH(D650,RulebookFields!A2:A999, 0)), "")</f>
      </c>
      <c r="K650" s="3" t="b">
        <f>AND(F650, J650)</f>
        <v>0</v>
      </c>
      <c r="L650" s="3" t="b">
        <f>AND(G650 &lt;&gt; "plain", G650 &lt;&gt; "")</f>
        <v>0</v>
      </c>
      <c r="M650" s="3" t="str">
        <f>IF(E650, C650 &amp; "|" &amp; H650, "")</f>
        <v>principal-process-steward|</v>
      </c>
      <c r="N650" s="2" t="s">
        <v>9938</v>
      </c>
    </row>
    <row r="651">
      <c r="A651" s="2" t="s">
        <v>10587</v>
      </c>
      <c r="B651" s="3" t="str">
        <f>C651 &amp; " -&gt; " &amp; D651</f>
        <v>principal-process-steward -&gt; CommunicationPolicies.QuietHoursStart</v>
      </c>
      <c r="C651" s="2" t="s">
        <v>9706</v>
      </c>
      <c r="D651" s="2" t="s">
        <v>4001</v>
      </c>
      <c r="E651" s="2" t="b">
        <v>1</v>
      </c>
      <c r="F651" s="2" t="b">
        <v>0</v>
      </c>
      <c r="G651" s="2" t="s">
        <v>9937</v>
      </c>
      <c r="H651" s="3" t="str">
        <f>_xlfn.IFNA(INDEX(RulebookFields!C2:C999, MATCH(D651,RulebookFields!A2:A999, 0)), "")</f>
      </c>
      <c r="I651" s="3" t="str">
        <f>_xlfn.IFNA(INDEX(RulebookFields!D2:D999, MATCH(D651,RulebookFields!A2:A999, 0)), "")</f>
      </c>
      <c r="J651" s="3" t="str">
        <f>_xlfn.IFNA(INDEX(RulebookFields!I2:I999, MATCH(D651,RulebookFields!A2:A999, 0)), "")</f>
      </c>
      <c r="K651" s="3" t="b">
        <f>AND(F651, J651)</f>
        <v>0</v>
      </c>
      <c r="L651" s="3" t="b">
        <f>AND(G651 &lt;&gt; "plain", G651 &lt;&gt; "")</f>
        <v>0</v>
      </c>
      <c r="M651" s="3" t="str">
        <f>IF(E651, C651 &amp; "|" &amp; H651, "")</f>
        <v>principal-process-steward|</v>
      </c>
      <c r="N651" s="2" t="s">
        <v>9938</v>
      </c>
    </row>
    <row r="652">
      <c r="A652" s="2" t="s">
        <v>10588</v>
      </c>
      <c r="B652" s="3" t="str">
        <f>C652 &amp; " -&gt; " &amp; D652</f>
        <v>principal-process-steward -&gt; CommunicationPolicies.QuietHoursEnd</v>
      </c>
      <c r="C652" s="2" t="s">
        <v>9706</v>
      </c>
      <c r="D652" s="2" t="s">
        <v>4002</v>
      </c>
      <c r="E652" s="2" t="b">
        <v>1</v>
      </c>
      <c r="F652" s="2" t="b">
        <v>0</v>
      </c>
      <c r="G652" s="2" t="s">
        <v>9937</v>
      </c>
      <c r="H652" s="3" t="str">
        <f>_xlfn.IFNA(INDEX(RulebookFields!C2:C999, MATCH(D652,RulebookFields!A2:A999, 0)), "")</f>
      </c>
      <c r="I652" s="3" t="str">
        <f>_xlfn.IFNA(INDEX(RulebookFields!D2:D999, MATCH(D652,RulebookFields!A2:A999, 0)), "")</f>
      </c>
      <c r="J652" s="3" t="str">
        <f>_xlfn.IFNA(INDEX(RulebookFields!I2:I999, MATCH(D652,RulebookFields!A2:A999, 0)), "")</f>
      </c>
      <c r="K652" s="3" t="b">
        <f>AND(F652, J652)</f>
        <v>0</v>
      </c>
      <c r="L652" s="3" t="b">
        <f>AND(G652 &lt;&gt; "plain", G652 &lt;&gt; "")</f>
        <v>0</v>
      </c>
      <c r="M652" s="3" t="str">
        <f>IF(E652, C652 &amp; "|" &amp; H652, "")</f>
        <v>principal-process-steward|</v>
      </c>
      <c r="N652" s="2" t="s">
        <v>9938</v>
      </c>
    </row>
    <row r="653">
      <c r="A653" s="2" t="s">
        <v>10589</v>
      </c>
      <c r="B653" s="3" t="str">
        <f>C653 &amp; " -&gt; " &amp; D653</f>
        <v>principal-process-steward -&gt; CommunicationPolicies.MaxMessageLength</v>
      </c>
      <c r="C653" s="2" t="s">
        <v>9706</v>
      </c>
      <c r="D653" s="2" t="s">
        <v>4003</v>
      </c>
      <c r="E653" s="2" t="b">
        <v>1</v>
      </c>
      <c r="F653" s="2" t="b">
        <v>0</v>
      </c>
      <c r="G653" s="2" t="s">
        <v>9937</v>
      </c>
      <c r="H653" s="3" t="str">
        <f>_xlfn.IFNA(INDEX(RulebookFields!C2:C999, MATCH(D653,RulebookFields!A2:A999, 0)), "")</f>
      </c>
      <c r="I653" s="3" t="str">
        <f>_xlfn.IFNA(INDEX(RulebookFields!D2:D999, MATCH(D653,RulebookFields!A2:A999, 0)), "")</f>
      </c>
      <c r="J653" s="3" t="str">
        <f>_xlfn.IFNA(INDEX(RulebookFields!I2:I999, MATCH(D653,RulebookFields!A2:A999, 0)), "")</f>
      </c>
      <c r="K653" s="3" t="b">
        <f>AND(F653, J653)</f>
        <v>0</v>
      </c>
      <c r="L653" s="3" t="b">
        <f>AND(G653 &lt;&gt; "plain", G653 &lt;&gt; "")</f>
        <v>0</v>
      </c>
      <c r="M653" s="3" t="str">
        <f>IF(E653, C653 &amp; "|" &amp; H653, "")</f>
        <v>principal-process-steward|</v>
      </c>
      <c r="N653" s="2" t="s">
        <v>9938</v>
      </c>
    </row>
    <row r="654">
      <c r="A654" s="2" t="s">
        <v>10590</v>
      </c>
      <c r="B654" s="3" t="str">
        <f>C654 &amp; " -&gt; " &amp; D654</f>
        <v>principal-process-steward -&gt; CommunicationPolicies.MaxSegments</v>
      </c>
      <c r="C654" s="2" t="s">
        <v>9706</v>
      </c>
      <c r="D654" s="2" t="s">
        <v>4004</v>
      </c>
      <c r="E654" s="2" t="b">
        <v>1</v>
      </c>
      <c r="F654" s="2" t="b">
        <v>0</v>
      </c>
      <c r="G654" s="2" t="s">
        <v>9937</v>
      </c>
      <c r="H654" s="3" t="str">
        <f>_xlfn.IFNA(INDEX(RulebookFields!C2:C999, MATCH(D654,RulebookFields!A2:A999, 0)), "")</f>
      </c>
      <c r="I654" s="3" t="str">
        <f>_xlfn.IFNA(INDEX(RulebookFields!D2:D999, MATCH(D654,RulebookFields!A2:A999, 0)), "")</f>
      </c>
      <c r="J654" s="3" t="str">
        <f>_xlfn.IFNA(INDEX(RulebookFields!I2:I999, MATCH(D654,RulebookFields!A2:A999, 0)), "")</f>
      </c>
      <c r="K654" s="3" t="b">
        <f>AND(F654, J654)</f>
        <v>0</v>
      </c>
      <c r="L654" s="3" t="b">
        <f>AND(G654 &lt;&gt; "plain", G654 &lt;&gt; "")</f>
        <v>0</v>
      </c>
      <c r="M654" s="3" t="str">
        <f>IF(E654, C654 &amp; "|" &amp; H654, "")</f>
        <v>principal-process-steward|</v>
      </c>
      <c r="N654" s="2" t="s">
        <v>9938</v>
      </c>
    </row>
    <row r="655">
      <c r="A655" s="2" t="s">
        <v>10591</v>
      </c>
      <c r="B655" s="3" t="str">
        <f>C655 &amp; " -&gt; " &amp; D655</f>
        <v>principal-process-steward -&gt; CommunicationPolicies.RetentionDays</v>
      </c>
      <c r="C655" s="2" t="s">
        <v>9706</v>
      </c>
      <c r="D655" s="2" t="s">
        <v>4005</v>
      </c>
      <c r="E655" s="2" t="b">
        <v>1</v>
      </c>
      <c r="F655" s="2" t="b">
        <v>0</v>
      </c>
      <c r="G655" s="2" t="s">
        <v>9937</v>
      </c>
      <c r="H655" s="3" t="str">
        <f>_xlfn.IFNA(INDEX(RulebookFields!C2:C999, MATCH(D655,RulebookFields!A2:A999, 0)), "")</f>
      </c>
      <c r="I655" s="3" t="str">
        <f>_xlfn.IFNA(INDEX(RulebookFields!D2:D999, MATCH(D655,RulebookFields!A2:A999, 0)), "")</f>
      </c>
      <c r="J655" s="3" t="str">
        <f>_xlfn.IFNA(INDEX(RulebookFields!I2:I999, MATCH(D655,RulebookFields!A2:A999, 0)), "")</f>
      </c>
      <c r="K655" s="3" t="b">
        <f>AND(F655, J655)</f>
        <v>0</v>
      </c>
      <c r="L655" s="3" t="b">
        <f>AND(G655 &lt;&gt; "plain", G655 &lt;&gt; "")</f>
        <v>0</v>
      </c>
      <c r="M655" s="3" t="str">
        <f>IF(E655, C655 &amp; "|" &amp; H655, "")</f>
        <v>principal-process-steward|</v>
      </c>
      <c r="N655" s="2" t="s">
        <v>9938</v>
      </c>
    </row>
    <row r="656">
      <c r="A656" s="2" t="s">
        <v>10592</v>
      </c>
      <c r="B656" s="3" t="str">
        <f>C656 &amp; " -&gt; " &amp; D656</f>
        <v>principal-process-steward -&gt; CommunicationPolicies.ApprovalRole</v>
      </c>
      <c r="C656" s="2" t="s">
        <v>9706</v>
      </c>
      <c r="D656" s="2" t="s">
        <v>4006</v>
      </c>
      <c r="E656" s="2" t="b">
        <v>1</v>
      </c>
      <c r="F656" s="2" t="b">
        <v>0</v>
      </c>
      <c r="G656" s="2" t="s">
        <v>9937</v>
      </c>
      <c r="H656" s="3" t="str">
        <f>_xlfn.IFNA(INDEX(RulebookFields!C2:C999, MATCH(D656,RulebookFields!A2:A999, 0)), "")</f>
      </c>
      <c r="I656" s="3" t="str">
        <f>_xlfn.IFNA(INDEX(RulebookFields!D2:D999, MATCH(D656,RulebookFields!A2:A999, 0)), "")</f>
      </c>
      <c r="J656" s="3" t="str">
        <f>_xlfn.IFNA(INDEX(RulebookFields!I2:I999, MATCH(D656,RulebookFields!A2:A999, 0)), "")</f>
      </c>
      <c r="K656" s="3" t="b">
        <f>AND(F656, J656)</f>
        <v>0</v>
      </c>
      <c r="L656" s="3" t="b">
        <f>AND(G656 &lt;&gt; "plain", G656 &lt;&gt; "")</f>
        <v>0</v>
      </c>
      <c r="M656" s="3" t="str">
        <f>IF(E656, C656 &amp; "|" &amp; H656, "")</f>
        <v>principal-process-steward|</v>
      </c>
      <c r="N656" s="2" t="s">
        <v>9938</v>
      </c>
    </row>
    <row r="657">
      <c r="A657" s="2" t="s">
        <v>10593</v>
      </c>
      <c r="B657" s="3" t="str">
        <f>C657 &amp; " -&gt; " &amp; D657</f>
        <v>principal-process-steward -&gt; CommunicationPolicies.RequiredContent</v>
      </c>
      <c r="C657" s="2" t="s">
        <v>9706</v>
      </c>
      <c r="D657" s="2" t="s">
        <v>4007</v>
      </c>
      <c r="E657" s="2" t="b">
        <v>1</v>
      </c>
      <c r="F657" s="2" t="b">
        <v>0</v>
      </c>
      <c r="G657" s="2" t="s">
        <v>9937</v>
      </c>
      <c r="H657" s="3" t="str">
        <f>_xlfn.IFNA(INDEX(RulebookFields!C2:C999, MATCH(D657,RulebookFields!A2:A999, 0)), "")</f>
      </c>
      <c r="I657" s="3" t="str">
        <f>_xlfn.IFNA(INDEX(RulebookFields!D2:D999, MATCH(D657,RulebookFields!A2:A999, 0)), "")</f>
      </c>
      <c r="J657" s="3" t="str">
        <f>_xlfn.IFNA(INDEX(RulebookFields!I2:I999, MATCH(D657,RulebookFields!A2:A999, 0)), "")</f>
      </c>
      <c r="K657" s="3" t="b">
        <f>AND(F657, J657)</f>
        <v>0</v>
      </c>
      <c r="L657" s="3" t="b">
        <f>AND(G657 &lt;&gt; "plain", G657 &lt;&gt; "")</f>
        <v>0</v>
      </c>
      <c r="M657" s="3" t="str">
        <f>IF(E657, C657 &amp; "|" &amp; H657, "")</f>
        <v>principal-process-steward|</v>
      </c>
      <c r="N657" s="2" t="s">
        <v>9938</v>
      </c>
    </row>
    <row r="658">
      <c r="A658" s="2" t="s">
        <v>10594</v>
      </c>
      <c r="B658" s="3" t="str">
        <f>C658 &amp; " -&gt; " &amp; D658</f>
        <v>principal-process-steward -&gt; CommunicationPolicies.AuthorityStatement</v>
      </c>
      <c r="C658" s="2" t="s">
        <v>9706</v>
      </c>
      <c r="D658" s="2" t="s">
        <v>4008</v>
      </c>
      <c r="E658" s="2" t="b">
        <v>1</v>
      </c>
      <c r="F658" s="2" t="b">
        <v>0</v>
      </c>
      <c r="G658" s="2" t="s">
        <v>9937</v>
      </c>
      <c r="H658" s="3" t="str">
        <f>_xlfn.IFNA(INDEX(RulebookFields!C2:C999, MATCH(D658,RulebookFields!A2:A999, 0)), "")</f>
      </c>
      <c r="I658" s="3" t="str">
        <f>_xlfn.IFNA(INDEX(RulebookFields!D2:D999, MATCH(D658,RulebookFields!A2:A999, 0)), "")</f>
      </c>
      <c r="J658" s="3" t="str">
        <f>_xlfn.IFNA(INDEX(RulebookFields!I2:I999, MATCH(D658,RulebookFields!A2:A999, 0)), "")</f>
      </c>
      <c r="K658" s="3" t="b">
        <f>AND(F658, J658)</f>
        <v>0</v>
      </c>
      <c r="L658" s="3" t="b">
        <f>AND(G658 &lt;&gt; "plain", G658 &lt;&gt; "")</f>
        <v>0</v>
      </c>
      <c r="M658" s="3" t="str">
        <f>IF(E658, C658 &amp; "|" &amp; H658, "")</f>
        <v>principal-process-steward|</v>
      </c>
      <c r="N658" s="2" t="s">
        <v>9938</v>
      </c>
    </row>
    <row r="659">
      <c r="A659" s="2" t="s">
        <v>10595</v>
      </c>
      <c r="B659" s="3" t="str">
        <f>C659 &amp; " -&gt; " &amp; D659</f>
        <v>principal-process-steward -&gt; CommunicationPolicies.Status</v>
      </c>
      <c r="C659" s="2" t="s">
        <v>9706</v>
      </c>
      <c r="D659" s="2" t="s">
        <v>4009</v>
      </c>
      <c r="E659" s="2" t="b">
        <v>1</v>
      </c>
      <c r="F659" s="2" t="b">
        <v>0</v>
      </c>
      <c r="G659" s="2" t="s">
        <v>9937</v>
      </c>
      <c r="H659" s="3" t="str">
        <f>_xlfn.IFNA(INDEX(RulebookFields!C2:C999, MATCH(D659,RulebookFields!A2:A999, 0)), "")</f>
      </c>
      <c r="I659" s="3" t="str">
        <f>_xlfn.IFNA(INDEX(RulebookFields!D2:D999, MATCH(D659,RulebookFields!A2:A999, 0)), "")</f>
      </c>
      <c r="J659" s="3" t="str">
        <f>_xlfn.IFNA(INDEX(RulebookFields!I2:I999, MATCH(D659,RulebookFields!A2:A999, 0)), "")</f>
      </c>
      <c r="K659" s="3" t="b">
        <f>AND(F659, J659)</f>
        <v>0</v>
      </c>
      <c r="L659" s="3" t="b">
        <f>AND(G659 &lt;&gt; "plain", G659 &lt;&gt; "")</f>
        <v>0</v>
      </c>
      <c r="M659" s="3" t="str">
        <f>IF(E659, C659 &amp; "|" &amp; H659, "")</f>
        <v>principal-process-steward|</v>
      </c>
      <c r="N659" s="2" t="s">
        <v>9938</v>
      </c>
    </row>
    <row r="660">
      <c r="A660" s="2" t="s">
        <v>10596</v>
      </c>
      <c r="B660" s="3" t="str">
        <f>C660 &amp; " -&gt; " &amp; D660</f>
        <v>principal-process-steward -&gt; CommunicationPolicies.ConsentViolationCount</v>
      </c>
      <c r="C660" s="2" t="s">
        <v>9706</v>
      </c>
      <c r="D660" s="2" t="s">
        <v>4010</v>
      </c>
      <c r="E660" s="2" t="b">
        <v>1</v>
      </c>
      <c r="F660" s="2" t="b">
        <v>0</v>
      </c>
      <c r="G660" s="2" t="s">
        <v>9937</v>
      </c>
      <c r="H660" s="3" t="str">
        <f>_xlfn.IFNA(INDEX(RulebookFields!C2:C999, MATCH(D660,RulebookFields!A2:A999, 0)), "")</f>
      </c>
      <c r="I660" s="3" t="str">
        <f>_xlfn.IFNA(INDEX(RulebookFields!D2:D999, MATCH(D660,RulebookFields!A2:A999, 0)), "")</f>
      </c>
      <c r="J660" s="3" t="str">
        <f>_xlfn.IFNA(INDEX(RulebookFields!I2:I999, MATCH(D660,RulebookFields!A2:A999, 0)), "")</f>
      </c>
      <c r="K660" s="3" t="b">
        <f>AND(F660, J660)</f>
        <v>0</v>
      </c>
      <c r="L660" s="3" t="b">
        <f>AND(G660 &lt;&gt; "plain", G660 &lt;&gt; "")</f>
        <v>0</v>
      </c>
      <c r="M660" s="3" t="str">
        <f>IF(E660, C660 &amp; "|" &amp; H660, "")</f>
        <v>principal-process-steward|</v>
      </c>
      <c r="N660" s="2" t="s">
        <v>9938</v>
      </c>
    </row>
    <row r="661">
      <c r="A661" s="2" t="s">
        <v>10597</v>
      </c>
      <c r="B661" s="3" t="str">
        <f>C661 &amp; " -&gt; " &amp; D661</f>
        <v>principal-process-steward -&gt; CommunicationPolicies.QuietHoursStartHour</v>
      </c>
      <c r="C661" s="2" t="s">
        <v>9706</v>
      </c>
      <c r="D661" s="2" t="s">
        <v>4012</v>
      </c>
      <c r="E661" s="2" t="b">
        <v>1</v>
      </c>
      <c r="F661" s="2" t="b">
        <v>0</v>
      </c>
      <c r="G661" s="2" t="s">
        <v>9937</v>
      </c>
      <c r="H661" s="3" t="str">
        <f>_xlfn.IFNA(INDEX(RulebookFields!C2:C999, MATCH(D661,RulebookFields!A2:A999, 0)), "")</f>
      </c>
      <c r="I661" s="3" t="str">
        <f>_xlfn.IFNA(INDEX(RulebookFields!D2:D999, MATCH(D661,RulebookFields!A2:A999, 0)), "")</f>
      </c>
      <c r="J661" s="3" t="str">
        <f>_xlfn.IFNA(INDEX(RulebookFields!I2:I999, MATCH(D661,RulebookFields!A2:A999, 0)), "")</f>
      </c>
      <c r="K661" s="3" t="b">
        <f>AND(F661, J661)</f>
        <v>0</v>
      </c>
      <c r="L661" s="3" t="b">
        <f>AND(G661 &lt;&gt; "plain", G661 &lt;&gt; "")</f>
        <v>0</v>
      </c>
      <c r="M661" s="3" t="str">
        <f>IF(E661, C661 &amp; "|" &amp; H661, "")</f>
        <v>principal-process-steward|</v>
      </c>
      <c r="N661" s="2" t="s">
        <v>9938</v>
      </c>
    </row>
    <row r="662">
      <c r="A662" s="2" t="s">
        <v>10598</v>
      </c>
      <c r="B662" s="3" t="str">
        <f>C662 &amp; " -&gt; " &amp; D662</f>
        <v>principal-process-steward -&gt; CommunicationPolicies.QuietHoursEndHour</v>
      </c>
      <c r="C662" s="2" t="s">
        <v>9706</v>
      </c>
      <c r="D662" s="2" t="s">
        <v>4013</v>
      </c>
      <c r="E662" s="2" t="b">
        <v>1</v>
      </c>
      <c r="F662" s="2" t="b">
        <v>0</v>
      </c>
      <c r="G662" s="2" t="s">
        <v>9937</v>
      </c>
      <c r="H662" s="3" t="str">
        <f>_xlfn.IFNA(INDEX(RulebookFields!C2:C999, MATCH(D662,RulebookFields!A2:A999, 0)), "")</f>
      </c>
      <c r="I662" s="3" t="str">
        <f>_xlfn.IFNA(INDEX(RulebookFields!D2:D999, MATCH(D662,RulebookFields!A2:A999, 0)), "")</f>
      </c>
      <c r="J662" s="3" t="str">
        <f>_xlfn.IFNA(INDEX(RulebookFields!I2:I999, MATCH(D662,RulebookFields!A2:A999, 0)), "")</f>
      </c>
      <c r="K662" s="3" t="b">
        <f>AND(F662, J662)</f>
        <v>0</v>
      </c>
      <c r="L662" s="3" t="b">
        <f>AND(G662 &lt;&gt; "plain", G662 &lt;&gt; "")</f>
        <v>0</v>
      </c>
      <c r="M662" s="3" t="str">
        <f>IF(E662, C662 &amp; "|" &amp; H662, "")</f>
        <v>principal-process-steward|</v>
      </c>
      <c r="N662" s="2" t="s">
        <v>9938</v>
      </c>
    </row>
    <row r="663">
      <c r="A663" s="2" t="s">
        <v>10599</v>
      </c>
      <c r="B663" s="3" t="str">
        <f>C663 &amp; " -&gt; " &amp; D663</f>
        <v>principal-process-steward -&gt; CommunicationPolicies.QuietHoursViolationCount</v>
      </c>
      <c r="C663" s="2" t="s">
        <v>9706</v>
      </c>
      <c r="D663" s="2" t="s">
        <v>4014</v>
      </c>
      <c r="E663" s="2" t="b">
        <v>1</v>
      </c>
      <c r="F663" s="2" t="b">
        <v>0</v>
      </c>
      <c r="G663" s="2" t="s">
        <v>9937</v>
      </c>
      <c r="H663" s="3" t="str">
        <f>_xlfn.IFNA(INDEX(RulebookFields!C2:C999, MATCH(D663,RulebookFields!A2:A999, 0)), "")</f>
      </c>
      <c r="I663" s="3" t="str">
        <f>_xlfn.IFNA(INDEX(RulebookFields!D2:D999, MATCH(D663,RulebookFields!A2:A999, 0)), "")</f>
      </c>
      <c r="J663" s="3" t="str">
        <f>_xlfn.IFNA(INDEX(RulebookFields!I2:I999, MATCH(D663,RulebookFields!A2:A999, 0)), "")</f>
      </c>
      <c r="K663" s="3" t="b">
        <f>AND(F663, J663)</f>
        <v>0</v>
      </c>
      <c r="L663" s="3" t="b">
        <f>AND(G663 &lt;&gt; "plain", G663 &lt;&gt; "")</f>
        <v>0</v>
      </c>
      <c r="M663" s="3" t="str">
        <f>IF(E663, C663 &amp; "|" &amp; H663, "")</f>
        <v>principal-process-steward|</v>
      </c>
      <c r="N663" s="2" t="s">
        <v>9938</v>
      </c>
    </row>
    <row r="664">
      <c r="A664" s="2" t="s">
        <v>10600</v>
      </c>
      <c r="B664" s="3" t="str">
        <f>C664 &amp; " -&gt; " &amp; D664</f>
        <v>principal-process-steward -&gt; CommunicationPolicies.RequiredOptOutPhrase</v>
      </c>
      <c r="C664" s="2" t="s">
        <v>9706</v>
      </c>
      <c r="D664" s="2" t="s">
        <v>4016</v>
      </c>
      <c r="E664" s="2" t="b">
        <v>1</v>
      </c>
      <c r="F664" s="2" t="b">
        <v>0</v>
      </c>
      <c r="G664" s="2" t="s">
        <v>9937</v>
      </c>
      <c r="H664" s="3" t="str">
        <f>_xlfn.IFNA(INDEX(RulebookFields!C2:C999, MATCH(D664,RulebookFields!A2:A999, 0)), "")</f>
      </c>
      <c r="I664" s="3" t="str">
        <f>_xlfn.IFNA(INDEX(RulebookFields!D2:D999, MATCH(D664,RulebookFields!A2:A999, 0)), "")</f>
      </c>
      <c r="J664" s="3" t="str">
        <f>_xlfn.IFNA(INDEX(RulebookFields!I2:I999, MATCH(D664,RulebookFields!A2:A999, 0)), "")</f>
      </c>
      <c r="K664" s="3" t="b">
        <f>AND(F664, J664)</f>
        <v>0</v>
      </c>
      <c r="L664" s="3" t="b">
        <f>AND(G664 &lt;&gt; "plain", G664 &lt;&gt; "")</f>
        <v>0</v>
      </c>
      <c r="M664" s="3" t="str">
        <f>IF(E664, C664 &amp; "|" &amp; H664, "")</f>
        <v>principal-process-steward|</v>
      </c>
      <c r="N664" s="2" t="s">
        <v>9938</v>
      </c>
    </row>
    <row r="665">
      <c r="A665" s="2" t="s">
        <v>10601</v>
      </c>
      <c r="B665" s="3" t="str">
        <f>C665 &amp; " -&gt; " &amp; D665</f>
        <v>principal-process-steward -&gt; CommunicationPolicies.IsActivePolicy</v>
      </c>
      <c r="C665" s="2" t="s">
        <v>9706</v>
      </c>
      <c r="D665" s="2" t="s">
        <v>4017</v>
      </c>
      <c r="E665" s="2" t="b">
        <v>1</v>
      </c>
      <c r="F665" s="2" t="b">
        <v>0</v>
      </c>
      <c r="G665" s="2" t="s">
        <v>9937</v>
      </c>
      <c r="H665" s="3" t="str">
        <f>_xlfn.IFNA(INDEX(RulebookFields!C2:C999, MATCH(D665,RulebookFields!A2:A999, 0)), "")</f>
      </c>
      <c r="I665" s="3" t="str">
        <f>_xlfn.IFNA(INDEX(RulebookFields!D2:D999, MATCH(D665,RulebookFields!A2:A999, 0)), "")</f>
      </c>
      <c r="J665" s="3" t="str">
        <f>_xlfn.IFNA(INDEX(RulebookFields!I2:I999, MATCH(D665,RulebookFields!A2:A999, 0)), "")</f>
      </c>
      <c r="K665" s="3" t="b">
        <f>AND(F665, J665)</f>
        <v>0</v>
      </c>
      <c r="L665" s="3" t="b">
        <f>AND(G665 &lt;&gt; "plain", G665 &lt;&gt; "")</f>
        <v>0</v>
      </c>
      <c r="M665" s="3" t="str">
        <f>IF(E665, C665 &amp; "|" &amp; H665, "")</f>
        <v>principal-process-steward|</v>
      </c>
      <c r="N665" s="2" t="s">
        <v>9938</v>
      </c>
    </row>
    <row r="666">
      <c r="A666" s="2" t="s">
        <v>10602</v>
      </c>
      <c r="B666" s="3" t="str">
        <f>C666 &amp; " -&gt; " &amp; D666</f>
        <v>principal-process-steward -&gt; CommunicationPolicies.SemanticTypeIri</v>
      </c>
      <c r="C666" s="2" t="s">
        <v>9706</v>
      </c>
      <c r="D666" s="2" t="s">
        <v>4019</v>
      </c>
      <c r="E666" s="2" t="b">
        <v>1</v>
      </c>
      <c r="F666" s="2" t="b">
        <v>0</v>
      </c>
      <c r="G666" s="2" t="s">
        <v>9937</v>
      </c>
      <c r="H666" s="3" t="str">
        <f>_xlfn.IFNA(INDEX(RulebookFields!C2:C999, MATCH(D666,RulebookFields!A2:A999, 0)), "")</f>
      </c>
      <c r="I666" s="3" t="str">
        <f>_xlfn.IFNA(INDEX(RulebookFields!D2:D999, MATCH(D666,RulebookFields!A2:A999, 0)), "")</f>
      </c>
      <c r="J666" s="3" t="str">
        <f>_xlfn.IFNA(INDEX(RulebookFields!I2:I999, MATCH(D666,RulebookFields!A2:A999, 0)), "")</f>
      </c>
      <c r="K666" s="3" t="b">
        <f>AND(F666, J666)</f>
        <v>0</v>
      </c>
      <c r="L666" s="3" t="b">
        <f>AND(G666 &lt;&gt; "plain", G666 &lt;&gt; "")</f>
        <v>0</v>
      </c>
      <c r="M666" s="3" t="str">
        <f>IF(E666, C666 &amp; "|" &amp; H666, "")</f>
        <v>principal-process-steward|</v>
      </c>
      <c r="N666" s="2" t="s">
        <v>9938</v>
      </c>
    </row>
    <row r="667">
      <c r="A667" s="2" t="s">
        <v>10603</v>
      </c>
      <c r="B667" s="3" t="str">
        <f>C667 &amp; " -&gt; " &amp; D667</f>
        <v>principal-process-steward -&gt; CommunitiesOfPractice.CommunityOfPracticeId</v>
      </c>
      <c r="C667" s="2" t="s">
        <v>9706</v>
      </c>
      <c r="D667" s="2" t="s">
        <v>2623</v>
      </c>
      <c r="E667" s="2" t="b">
        <v>1</v>
      </c>
      <c r="F667" s="2" t="b">
        <v>0</v>
      </c>
      <c r="G667" s="2" t="s">
        <v>9937</v>
      </c>
      <c r="H667" s="3" t="str">
        <f>_xlfn.IFNA(INDEX(RulebookFields!C2:C999, MATCH(D667,RulebookFields!A2:A999, 0)), "")</f>
        <v>CommunitiesOfPractice</v>
      </c>
      <c r="I667" s="3" t="str">
        <f>_xlfn.IFNA(INDEX(RulebookFields!D2:D999, MATCH(D667,RulebookFields!A2:A999, 0)), "")</f>
        <v>CommunityOfPracticeId</v>
      </c>
      <c r="J667" s="3" t="b">
        <f>_xlfn.IFNA(INDEX(RulebookFields!I2:I999, MATCH(D667,RulebookFields!A2:A999, 0)), "")</f>
        <v>0</v>
      </c>
      <c r="K667" s="3" t="b">
        <f>AND(F667, J667)</f>
        <v>0</v>
      </c>
      <c r="L667" s="3" t="b">
        <f>AND(G667 &lt;&gt; "plain", G667 &lt;&gt; "")</f>
        <v>0</v>
      </c>
      <c r="M667" s="3" t="str">
        <f>IF(E667, C667 &amp; "|" &amp; H667, "")</f>
        <v>principal-process-steward|CommunitiesOfPractice</v>
      </c>
      <c r="N667" s="2" t="s">
        <v>9938</v>
      </c>
    </row>
    <row r="668">
      <c r="A668" s="2" t="s">
        <v>10604</v>
      </c>
      <c r="B668" s="3" t="str">
        <f>C668 &amp; " -&gt; " &amp; D668</f>
        <v>principal-process-steward -&gt; CommunitiesOfPractice.Name</v>
      </c>
      <c r="C668" s="2" t="s">
        <v>9706</v>
      </c>
      <c r="D668" s="2" t="s">
        <v>2625</v>
      </c>
      <c r="E668" s="2" t="b">
        <v>1</v>
      </c>
      <c r="F668" s="2" t="b">
        <v>0</v>
      </c>
      <c r="G668" s="2" t="s">
        <v>9937</v>
      </c>
      <c r="H668" s="3" t="str">
        <f>_xlfn.IFNA(INDEX(RulebookFields!C2:C999, MATCH(D668,RulebookFields!A2:A999, 0)), "")</f>
        <v>CommunitiesOfPractice</v>
      </c>
      <c r="I668" s="3" t="str">
        <f>_xlfn.IFNA(INDEX(RulebookFields!D2:D999, MATCH(D668,RulebookFields!A2:A999, 0)), "")</f>
        <v>Name</v>
      </c>
      <c r="J668" s="3" t="b">
        <f>_xlfn.IFNA(INDEX(RulebookFields!I2:I999, MATCH(D668,RulebookFields!A2:A999, 0)), "")</f>
        <v>1</v>
      </c>
      <c r="K668" s="3" t="b">
        <f>AND(F668, J668)</f>
        <v>0</v>
      </c>
      <c r="L668" s="3" t="b">
        <f>AND(G668 &lt;&gt; "plain", G668 &lt;&gt; "")</f>
        <v>0</v>
      </c>
      <c r="M668" s="3" t="str">
        <f>IF(E668, C668 &amp; "|" &amp; H668, "")</f>
        <v>principal-process-steward|CommunitiesOfPractice</v>
      </c>
      <c r="N668" s="2" t="s">
        <v>9938</v>
      </c>
    </row>
    <row r="669">
      <c r="A669" s="2" t="s">
        <v>10605</v>
      </c>
      <c r="B669" s="3" t="str">
        <f>C669 &amp; " -&gt; " &amp; D669</f>
        <v>principal-process-steward -&gt; CommunitiesOfPractice.Label</v>
      </c>
      <c r="C669" s="2" t="s">
        <v>9706</v>
      </c>
      <c r="D669" s="2" t="s">
        <v>2626</v>
      </c>
      <c r="E669" s="2" t="b">
        <v>1</v>
      </c>
      <c r="F669" s="2" t="b">
        <v>0</v>
      </c>
      <c r="G669" s="2" t="s">
        <v>9937</v>
      </c>
      <c r="H669" s="3" t="str">
        <f>_xlfn.IFNA(INDEX(RulebookFields!C2:C999, MATCH(D669,RulebookFields!A2:A999, 0)), "")</f>
        <v>CommunitiesOfPractice</v>
      </c>
      <c r="I669" s="3" t="str">
        <f>_xlfn.IFNA(INDEX(RulebookFields!D2:D999, MATCH(D669,RulebookFields!A2:A999, 0)), "")</f>
        <v>Label</v>
      </c>
      <c r="J669" s="3" t="b">
        <f>_xlfn.IFNA(INDEX(RulebookFields!I2:I999, MATCH(D669,RulebookFields!A2:A999, 0)), "")</f>
        <v>0</v>
      </c>
      <c r="K669" s="3" t="b">
        <f>AND(F669, J669)</f>
        <v>0</v>
      </c>
      <c r="L669" s="3" t="b">
        <f>AND(G669 &lt;&gt; "plain", G669 &lt;&gt; "")</f>
        <v>0</v>
      </c>
      <c r="M669" s="3" t="str">
        <f>IF(E669, C669 &amp; "|" &amp; H669, "")</f>
        <v>principal-process-steward|CommunitiesOfPractice</v>
      </c>
      <c r="N669" s="2" t="s">
        <v>9938</v>
      </c>
    </row>
    <row r="670">
      <c r="A670" s="2" t="s">
        <v>10606</v>
      </c>
      <c r="B670" s="3" t="str">
        <f>C670 &amp; " -&gt; " &amp; D670</f>
        <v>principal-process-steward -&gt; CommunitiesOfPractice.Organization</v>
      </c>
      <c r="C670" s="2" t="s">
        <v>9706</v>
      </c>
      <c r="D670" s="2" t="s">
        <v>2627</v>
      </c>
      <c r="E670" s="2" t="b">
        <v>1</v>
      </c>
      <c r="F670" s="2" t="b">
        <v>0</v>
      </c>
      <c r="G670" s="2" t="s">
        <v>9937</v>
      </c>
      <c r="H670" s="3" t="str">
        <f>_xlfn.IFNA(INDEX(RulebookFields!C2:C999, MATCH(D670,RulebookFields!A2:A999, 0)), "")</f>
        <v>CommunitiesOfPractice</v>
      </c>
      <c r="I670" s="3" t="str">
        <f>_xlfn.IFNA(INDEX(RulebookFields!D2:D999, MATCH(D670,RulebookFields!A2:A999, 0)), "")</f>
        <v>Organization</v>
      </c>
      <c r="J670" s="3" t="b">
        <f>_xlfn.IFNA(INDEX(RulebookFields!I2:I999, MATCH(D670,RulebookFields!A2:A999, 0)), "")</f>
        <v>0</v>
      </c>
      <c r="K670" s="3" t="b">
        <f>AND(F670, J670)</f>
        <v>0</v>
      </c>
      <c r="L670" s="3" t="b">
        <f>AND(G670 &lt;&gt; "plain", G670 &lt;&gt; "")</f>
        <v>0</v>
      </c>
      <c r="M670" s="3" t="str">
        <f>IF(E670, C670 &amp; "|" &amp; H670, "")</f>
        <v>principal-process-steward|CommunitiesOfPractice</v>
      </c>
      <c r="N670" s="2" t="s">
        <v>9938</v>
      </c>
    </row>
    <row r="671">
      <c r="A671" s="2" t="s">
        <v>10607</v>
      </c>
      <c r="B671" s="3" t="str">
        <f>C671 &amp; " -&gt; " &amp; D671</f>
        <v>principal-process-steward -&gt; CommunitiesOfPractice.StewardRole</v>
      </c>
      <c r="C671" s="2" t="s">
        <v>9706</v>
      </c>
      <c r="D671" s="2" t="s">
        <v>2628</v>
      </c>
      <c r="E671" s="2" t="b">
        <v>1</v>
      </c>
      <c r="F671" s="2" t="b">
        <v>0</v>
      </c>
      <c r="G671" s="2" t="s">
        <v>9937</v>
      </c>
      <c r="H671" s="3" t="str">
        <f>_xlfn.IFNA(INDEX(RulebookFields!C2:C999, MATCH(D671,RulebookFields!A2:A999, 0)), "")</f>
        <v>CommunitiesOfPractice</v>
      </c>
      <c r="I671" s="3" t="str">
        <f>_xlfn.IFNA(INDEX(RulebookFields!D2:D999, MATCH(D671,RulebookFields!A2:A999, 0)), "")</f>
        <v>StewardRole</v>
      </c>
      <c r="J671" s="3" t="b">
        <f>_xlfn.IFNA(INDEX(RulebookFields!I2:I999, MATCH(D671,RulebookFields!A2:A999, 0)), "")</f>
        <v>0</v>
      </c>
      <c r="K671" s="3" t="b">
        <f>AND(F671, J671)</f>
        <v>0</v>
      </c>
      <c r="L671" s="3" t="b">
        <f>AND(G671 &lt;&gt; "plain", G671 &lt;&gt; "")</f>
        <v>0</v>
      </c>
      <c r="M671" s="3" t="str">
        <f>IF(E671, C671 &amp; "|" &amp; H671, "")</f>
        <v>principal-process-steward|CommunitiesOfPractice</v>
      </c>
      <c r="N671" s="2" t="s">
        <v>9938</v>
      </c>
    </row>
    <row r="672">
      <c r="A672" s="2" t="s">
        <v>10608</v>
      </c>
      <c r="B672" s="3" t="str">
        <f>C672 &amp; " -&gt; " &amp; D672</f>
        <v>principal-process-steward -&gt; CommunitiesOfPractice.Purpose</v>
      </c>
      <c r="C672" s="2" t="s">
        <v>9706</v>
      </c>
      <c r="D672" s="2" t="s">
        <v>2629</v>
      </c>
      <c r="E672" s="2" t="b">
        <v>1</v>
      </c>
      <c r="F672" s="2" t="b">
        <v>0</v>
      </c>
      <c r="G672" s="2" t="s">
        <v>9937</v>
      </c>
      <c r="H672" s="3" t="str">
        <f>_xlfn.IFNA(INDEX(RulebookFields!C2:C999, MATCH(D672,RulebookFields!A2:A999, 0)), "")</f>
        <v>CommunitiesOfPractice</v>
      </c>
      <c r="I672" s="3" t="str">
        <f>_xlfn.IFNA(INDEX(RulebookFields!D2:D999, MATCH(D672,RulebookFields!A2:A999, 0)), "")</f>
        <v>Purpose</v>
      </c>
      <c r="J672" s="3" t="b">
        <f>_xlfn.IFNA(INDEX(RulebookFields!I2:I999, MATCH(D672,RulebookFields!A2:A999, 0)), "")</f>
        <v>0</v>
      </c>
      <c r="K672" s="3" t="b">
        <f>AND(F672, J672)</f>
        <v>0</v>
      </c>
      <c r="L672" s="3" t="b">
        <f>AND(G672 &lt;&gt; "plain", G672 &lt;&gt; "")</f>
        <v>0</v>
      </c>
      <c r="M672" s="3" t="str">
        <f>IF(E672, C672 &amp; "|" &amp; H672, "")</f>
        <v>principal-process-steward|CommunitiesOfPractice</v>
      </c>
      <c r="N672" s="2" t="s">
        <v>9938</v>
      </c>
    </row>
    <row r="673">
      <c r="A673" s="2" t="s">
        <v>10609</v>
      </c>
      <c r="B673" s="3" t="str">
        <f>C673 &amp; " -&gt; " &amp; D673</f>
        <v>principal-process-steward -&gt; CommunitiesOfPractice.Cadence</v>
      </c>
      <c r="C673" s="2" t="s">
        <v>9706</v>
      </c>
      <c r="D673" s="2" t="s">
        <v>2630</v>
      </c>
      <c r="E673" s="2" t="b">
        <v>1</v>
      </c>
      <c r="F673" s="2" t="b">
        <v>0</v>
      </c>
      <c r="G673" s="2" t="s">
        <v>9937</v>
      </c>
      <c r="H673" s="3" t="str">
        <f>_xlfn.IFNA(INDEX(RulebookFields!C2:C999, MATCH(D673,RulebookFields!A2:A999, 0)), "")</f>
        <v>CommunitiesOfPractice</v>
      </c>
      <c r="I673" s="3" t="str">
        <f>_xlfn.IFNA(INDEX(RulebookFields!D2:D999, MATCH(D673,RulebookFields!A2:A999, 0)), "")</f>
        <v>Cadence</v>
      </c>
      <c r="J673" s="3" t="b">
        <f>_xlfn.IFNA(INDEX(RulebookFields!I2:I999, MATCH(D673,RulebookFields!A2:A999, 0)), "")</f>
        <v>0</v>
      </c>
      <c r="K673" s="3" t="b">
        <f>AND(F673, J673)</f>
        <v>0</v>
      </c>
      <c r="L673" s="3" t="b">
        <f>AND(G673 &lt;&gt; "plain", G673 &lt;&gt; "")</f>
        <v>0</v>
      </c>
      <c r="M673" s="3" t="str">
        <f>IF(E673, C673 &amp; "|" &amp; H673, "")</f>
        <v>principal-process-steward|CommunitiesOfPractice</v>
      </c>
      <c r="N673" s="2" t="s">
        <v>9938</v>
      </c>
    </row>
    <row r="674">
      <c r="A674" s="2" t="s">
        <v>10610</v>
      </c>
      <c r="B674" s="3" t="str">
        <f>C674 &amp; " -&gt; " &amp; D674</f>
        <v>principal-process-steward -&gt; CommunitiesOfPractice.SemanticTypeIri</v>
      </c>
      <c r="C674" s="2" t="s">
        <v>9706</v>
      </c>
      <c r="D674" s="2" t="s">
        <v>2631</v>
      </c>
      <c r="E674" s="2" t="b">
        <v>1</v>
      </c>
      <c r="F674" s="2" t="b">
        <v>0</v>
      </c>
      <c r="G674" s="2" t="s">
        <v>9937</v>
      </c>
      <c r="H674" s="3" t="str">
        <f>_xlfn.IFNA(INDEX(RulebookFields!C2:C999, MATCH(D674,RulebookFields!A2:A999, 0)), "")</f>
        <v>CommunitiesOfPractice</v>
      </c>
      <c r="I674" s="3" t="str">
        <f>_xlfn.IFNA(INDEX(RulebookFields!D2:D999, MATCH(D674,RulebookFields!A2:A999, 0)), "")</f>
        <v>SemanticTypeIri</v>
      </c>
      <c r="J674" s="3" t="b">
        <f>_xlfn.IFNA(INDEX(RulebookFields!I2:I999, MATCH(D674,RulebookFields!A2:A999, 0)), "")</f>
        <v>0</v>
      </c>
      <c r="K674" s="3" t="b">
        <f>AND(F674, J674)</f>
        <v>0</v>
      </c>
      <c r="L674" s="3" t="b">
        <f>AND(G674 &lt;&gt; "plain", G674 &lt;&gt; "")</f>
        <v>0</v>
      </c>
      <c r="M674" s="3" t="str">
        <f>IF(E674, C674 &amp; "|" &amp; H674, "")</f>
        <v>principal-process-steward|CommunitiesOfPractice</v>
      </c>
      <c r="N674" s="2" t="s">
        <v>9938</v>
      </c>
    </row>
    <row r="675">
      <c r="A675" s="2" t="s">
        <v>10611</v>
      </c>
      <c r="B675" s="3" t="str">
        <f>C675 &amp; " -&gt; " &amp; D675</f>
        <v>principal-process-steward -&gt; DeliveredCommunications.DeliveredCommunicationId</v>
      </c>
      <c r="C675" s="2" t="s">
        <v>9706</v>
      </c>
      <c r="D675" s="2" t="s">
        <v>5028</v>
      </c>
      <c r="E675" s="2" t="b">
        <v>1</v>
      </c>
      <c r="F675" s="2" t="b">
        <v>0</v>
      </c>
      <c r="G675" s="2" t="s">
        <v>9937</v>
      </c>
      <c r="H675" s="3" t="str">
        <f>_xlfn.IFNA(INDEX(RulebookFields!C2:C999, MATCH(D675,RulebookFields!A2:A999, 0)), "")</f>
      </c>
      <c r="I675" s="3" t="str">
        <f>_xlfn.IFNA(INDEX(RulebookFields!D2:D999, MATCH(D675,RulebookFields!A2:A999, 0)), "")</f>
      </c>
      <c r="J675" s="3" t="str">
        <f>_xlfn.IFNA(INDEX(RulebookFields!I2:I999, MATCH(D675,RulebookFields!A2:A999, 0)), "")</f>
      </c>
      <c r="K675" s="3" t="b">
        <f>AND(F675, J675)</f>
        <v>0</v>
      </c>
      <c r="L675" s="3" t="b">
        <f>AND(G675 &lt;&gt; "plain", G675 &lt;&gt; "")</f>
        <v>0</v>
      </c>
      <c r="M675" s="3" t="str">
        <f>IF(E675, C675 &amp; "|" &amp; H675, "")</f>
        <v>principal-process-steward|</v>
      </c>
      <c r="N675" s="2" t="s">
        <v>9938</v>
      </c>
    </row>
    <row r="676">
      <c r="A676" s="2" t="s">
        <v>10612</v>
      </c>
      <c r="B676" s="3" t="str">
        <f>C676 &amp; " -&gt; " &amp; D676</f>
        <v>principal-process-steward -&gt; DeliveredCommunications.Name</v>
      </c>
      <c r="C676" s="2" t="s">
        <v>9706</v>
      </c>
      <c r="D676" s="2" t="s">
        <v>5031</v>
      </c>
      <c r="E676" s="2" t="b">
        <v>1</v>
      </c>
      <c r="F676" s="2" t="b">
        <v>0</v>
      </c>
      <c r="G676" s="2" t="s">
        <v>9937</v>
      </c>
      <c r="H676" s="3" t="str">
        <f>_xlfn.IFNA(INDEX(RulebookFields!C2:C999, MATCH(D676,RulebookFields!A2:A999, 0)), "")</f>
      </c>
      <c r="I676" s="3" t="str">
        <f>_xlfn.IFNA(INDEX(RulebookFields!D2:D999, MATCH(D676,RulebookFields!A2:A999, 0)), "")</f>
      </c>
      <c r="J676" s="3" t="str">
        <f>_xlfn.IFNA(INDEX(RulebookFields!I2:I999, MATCH(D676,RulebookFields!A2:A999, 0)), "")</f>
      </c>
      <c r="K676" s="3" t="b">
        <f>AND(F676, J676)</f>
        <v>0</v>
      </c>
      <c r="L676" s="3" t="b">
        <f>AND(G676 &lt;&gt; "plain", G676 &lt;&gt; "")</f>
        <v>0</v>
      </c>
      <c r="M676" s="3" t="str">
        <f>IF(E676, C676 &amp; "|" &amp; H676, "")</f>
        <v>principal-process-steward|</v>
      </c>
      <c r="N676" s="2" t="s">
        <v>9938</v>
      </c>
    </row>
    <row r="677">
      <c r="A677" s="2" t="s">
        <v>10613</v>
      </c>
      <c r="B677" s="3" t="str">
        <f>C677 &amp; " -&gt; " &amp; D677</f>
        <v>principal-process-steward -&gt; DeliveredCommunications.ProcedureExecution</v>
      </c>
      <c r="C677" s="2" t="s">
        <v>9706</v>
      </c>
      <c r="D677" s="2" t="s">
        <v>5033</v>
      </c>
      <c r="E677" s="2" t="b">
        <v>1</v>
      </c>
      <c r="F677" s="2" t="b">
        <v>0</v>
      </c>
      <c r="G677" s="2" t="s">
        <v>9937</v>
      </c>
      <c r="H677" s="3" t="str">
        <f>_xlfn.IFNA(INDEX(RulebookFields!C2:C999, MATCH(D677,RulebookFields!A2:A999, 0)), "")</f>
      </c>
      <c r="I677" s="3" t="str">
        <f>_xlfn.IFNA(INDEX(RulebookFields!D2:D999, MATCH(D677,RulebookFields!A2:A999, 0)), "")</f>
      </c>
      <c r="J677" s="3" t="str">
        <f>_xlfn.IFNA(INDEX(RulebookFields!I2:I999, MATCH(D677,RulebookFields!A2:A999, 0)), "")</f>
      </c>
      <c r="K677" s="3" t="b">
        <f>AND(F677, J677)</f>
        <v>0</v>
      </c>
      <c r="L677" s="3" t="b">
        <f>AND(G677 &lt;&gt; "plain", G677 &lt;&gt; "")</f>
        <v>0</v>
      </c>
      <c r="M677" s="3" t="str">
        <f>IF(E677, C677 &amp; "|" &amp; H677, "")</f>
        <v>principal-process-steward|</v>
      </c>
      <c r="N677" s="2" t="s">
        <v>9938</v>
      </c>
    </row>
    <row r="678">
      <c r="A678" s="2" t="s">
        <v>10614</v>
      </c>
      <c r="B678" s="3" t="str">
        <f>C678 &amp; " -&gt; " &amp; D678</f>
        <v>principal-process-steward -&gt; DeliveredCommunications.SendingStepExecution</v>
      </c>
      <c r="C678" s="2" t="s">
        <v>9706</v>
      </c>
      <c r="D678" s="2" t="s">
        <v>5034</v>
      </c>
      <c r="E678" s="2" t="b">
        <v>1</v>
      </c>
      <c r="F678" s="2" t="b">
        <v>0</v>
      </c>
      <c r="G678" s="2" t="s">
        <v>9937</v>
      </c>
      <c r="H678" s="3" t="str">
        <f>_xlfn.IFNA(INDEX(RulebookFields!C2:C999, MATCH(D678,RulebookFields!A2:A999, 0)), "")</f>
      </c>
      <c r="I678" s="3" t="str">
        <f>_xlfn.IFNA(INDEX(RulebookFields!D2:D999, MATCH(D678,RulebookFields!A2:A999, 0)), "")</f>
      </c>
      <c r="J678" s="3" t="str">
        <f>_xlfn.IFNA(INDEX(RulebookFields!I2:I999, MATCH(D678,RulebookFields!A2:A999, 0)), "")</f>
      </c>
      <c r="K678" s="3" t="b">
        <f>AND(F678, J678)</f>
        <v>0</v>
      </c>
      <c r="L678" s="3" t="b">
        <f>AND(G678 &lt;&gt; "plain", G678 &lt;&gt; "")</f>
        <v>0</v>
      </c>
      <c r="M678" s="3" t="str">
        <f>IF(E678, C678 &amp; "|" &amp; H678, "")</f>
        <v>principal-process-steward|</v>
      </c>
      <c r="N678" s="2" t="s">
        <v>9938</v>
      </c>
    </row>
    <row r="679">
      <c r="A679" s="2" t="s">
        <v>10615</v>
      </c>
      <c r="B679" s="3" t="str">
        <f>C679 &amp; " -&gt; " &amp; D679</f>
        <v>principal-process-steward -&gt; DeliveredCommunications.AuthorizingStepExecution</v>
      </c>
      <c r="C679" s="2" t="s">
        <v>9706</v>
      </c>
      <c r="D679" s="2" t="s">
        <v>5036</v>
      </c>
      <c r="E679" s="2" t="b">
        <v>1</v>
      </c>
      <c r="F679" s="2" t="b">
        <v>0</v>
      </c>
      <c r="G679" s="2" t="s">
        <v>9937</v>
      </c>
      <c r="H679" s="3" t="str">
        <f>_xlfn.IFNA(INDEX(RulebookFields!C2:C999, MATCH(D679,RulebookFields!A2:A999, 0)), "")</f>
      </c>
      <c r="I679" s="3" t="str">
        <f>_xlfn.IFNA(INDEX(RulebookFields!D2:D999, MATCH(D679,RulebookFields!A2:A999, 0)), "")</f>
      </c>
      <c r="J679" s="3" t="str">
        <f>_xlfn.IFNA(INDEX(RulebookFields!I2:I999, MATCH(D679,RulebookFields!A2:A999, 0)), "")</f>
      </c>
      <c r="K679" s="3" t="b">
        <f>AND(F679, J679)</f>
        <v>0</v>
      </c>
      <c r="L679" s="3" t="b">
        <f>AND(G679 &lt;&gt; "plain", G679 &lt;&gt; "")</f>
        <v>0</v>
      </c>
      <c r="M679" s="3" t="str">
        <f>IF(E679, C679 &amp; "|" &amp; H679, "")</f>
        <v>principal-process-steward|</v>
      </c>
      <c r="N679" s="2" t="s">
        <v>9938</v>
      </c>
    </row>
    <row r="680">
      <c r="A680" s="2" t="s">
        <v>10616</v>
      </c>
      <c r="B680" s="3" t="str">
        <f>C680 &amp; " -&gt; " &amp; D680</f>
        <v>principal-process-steward -&gt; DeliveredCommunications.MessageTemplate</v>
      </c>
      <c r="C680" s="2" t="s">
        <v>9706</v>
      </c>
      <c r="D680" s="2" t="s">
        <v>5038</v>
      </c>
      <c r="E680" s="2" t="b">
        <v>1</v>
      </c>
      <c r="F680" s="2" t="b">
        <v>0</v>
      </c>
      <c r="G680" s="2" t="s">
        <v>9937</v>
      </c>
      <c r="H680" s="3" t="str">
        <f>_xlfn.IFNA(INDEX(RulebookFields!C2:C999, MATCH(D680,RulebookFields!A2:A999, 0)), "")</f>
      </c>
      <c r="I680" s="3" t="str">
        <f>_xlfn.IFNA(INDEX(RulebookFields!D2:D999, MATCH(D680,RulebookFields!A2:A999, 0)), "")</f>
      </c>
      <c r="J680" s="3" t="str">
        <f>_xlfn.IFNA(INDEX(RulebookFields!I2:I999, MATCH(D680,RulebookFields!A2:A999, 0)), "")</f>
      </c>
      <c r="K680" s="3" t="b">
        <f>AND(F680, J680)</f>
        <v>0</v>
      </c>
      <c r="L680" s="3" t="b">
        <f>AND(G680 &lt;&gt; "plain", G680 &lt;&gt; "")</f>
        <v>0</v>
      </c>
      <c r="M680" s="3" t="str">
        <f>IF(E680, C680 &amp; "|" &amp; H680, "")</f>
        <v>principal-process-steward|</v>
      </c>
      <c r="N680" s="2" t="s">
        <v>9938</v>
      </c>
    </row>
    <row r="681">
      <c r="A681" s="2" t="s">
        <v>10617</v>
      </c>
      <c r="B681" s="3" t="str">
        <f>C681 &amp; " -&gt; " &amp; D681</f>
        <v>principal-process-steward -&gt; DeliveredCommunications.Channel</v>
      </c>
      <c r="C681" s="2" t="s">
        <v>9706</v>
      </c>
      <c r="D681" s="2" t="s">
        <v>5039</v>
      </c>
      <c r="E681" s="2" t="b">
        <v>1</v>
      </c>
      <c r="F681" s="2" t="b">
        <v>0</v>
      </c>
      <c r="G681" s="2" t="s">
        <v>9937</v>
      </c>
      <c r="H681" s="3" t="str">
        <f>_xlfn.IFNA(INDEX(RulebookFields!C2:C999, MATCH(D681,RulebookFields!A2:A999, 0)), "")</f>
      </c>
      <c r="I681" s="3" t="str">
        <f>_xlfn.IFNA(INDEX(RulebookFields!D2:D999, MATCH(D681,RulebookFields!A2:A999, 0)), "")</f>
      </c>
      <c r="J681" s="3" t="str">
        <f>_xlfn.IFNA(INDEX(RulebookFields!I2:I999, MATCH(D681,RulebookFields!A2:A999, 0)), "")</f>
      </c>
      <c r="K681" s="3" t="b">
        <f>AND(F681, J681)</f>
        <v>0</v>
      </c>
      <c r="L681" s="3" t="b">
        <f>AND(G681 &lt;&gt; "plain", G681 &lt;&gt; "")</f>
        <v>0</v>
      </c>
      <c r="M681" s="3" t="str">
        <f>IF(E681, C681 &amp; "|" &amp; H681, "")</f>
        <v>principal-process-steward|</v>
      </c>
      <c r="N681" s="2" t="s">
        <v>9938</v>
      </c>
    </row>
    <row r="682">
      <c r="A682" s="2" t="s">
        <v>10618</v>
      </c>
      <c r="B682" s="3" t="str">
        <f>C682 &amp; " -&gt; " &amp; D682</f>
        <v>principal-process-steward -&gt; DeliveredCommunications.RecipientKey</v>
      </c>
      <c r="C682" s="2" t="s">
        <v>9706</v>
      </c>
      <c r="D682" s="2" t="s">
        <v>5040</v>
      </c>
      <c r="E682" s="2" t="b">
        <v>1</v>
      </c>
      <c r="F682" s="2" t="b">
        <v>0</v>
      </c>
      <c r="G682" s="2" t="s">
        <v>9937</v>
      </c>
      <c r="H682" s="3" t="str">
        <f>_xlfn.IFNA(INDEX(RulebookFields!C2:C999, MATCH(D682,RulebookFields!A2:A999, 0)), "")</f>
      </c>
      <c r="I682" s="3" t="str">
        <f>_xlfn.IFNA(INDEX(RulebookFields!D2:D999, MATCH(D682,RulebookFields!A2:A999, 0)), "")</f>
      </c>
      <c r="J682" s="3" t="str">
        <f>_xlfn.IFNA(INDEX(RulebookFields!I2:I999, MATCH(D682,RulebookFields!A2:A999, 0)), "")</f>
      </c>
      <c r="K682" s="3" t="b">
        <f>AND(F682, J682)</f>
        <v>0</v>
      </c>
      <c r="L682" s="3" t="b">
        <f>AND(G682 &lt;&gt; "plain", G682 &lt;&gt; "")</f>
        <v>0</v>
      </c>
      <c r="M682" s="3" t="str">
        <f>IF(E682, C682 &amp; "|" &amp; H682, "")</f>
        <v>principal-process-steward|</v>
      </c>
      <c r="N682" s="2" t="s">
        <v>9938</v>
      </c>
    </row>
    <row r="683">
      <c r="A683" s="2" t="s">
        <v>10619</v>
      </c>
      <c r="B683" s="3" t="str">
        <f>C683 &amp; " -&gt; " &amp; D683</f>
        <v>principal-process-steward -&gt; DeliveredCommunications.SentAt</v>
      </c>
      <c r="C683" s="2" t="s">
        <v>9706</v>
      </c>
      <c r="D683" s="2" t="s">
        <v>5042</v>
      </c>
      <c r="E683" s="2" t="b">
        <v>1</v>
      </c>
      <c r="F683" s="2" t="b">
        <v>0</v>
      </c>
      <c r="G683" s="2" t="s">
        <v>9937</v>
      </c>
      <c r="H683" s="3" t="str">
        <f>_xlfn.IFNA(INDEX(RulebookFields!C2:C999, MATCH(D683,RulebookFields!A2:A999, 0)), "")</f>
      </c>
      <c r="I683" s="3" t="str">
        <f>_xlfn.IFNA(INDEX(RulebookFields!D2:D999, MATCH(D683,RulebookFields!A2:A999, 0)), "")</f>
      </c>
      <c r="J683" s="3" t="str">
        <f>_xlfn.IFNA(INDEX(RulebookFields!I2:I999, MATCH(D683,RulebookFields!A2:A999, 0)), "")</f>
      </c>
      <c r="K683" s="3" t="b">
        <f>AND(F683, J683)</f>
        <v>0</v>
      </c>
      <c r="L683" s="3" t="b">
        <f>AND(G683 &lt;&gt; "plain", G683 &lt;&gt; "")</f>
        <v>0</v>
      </c>
      <c r="M683" s="3" t="str">
        <f>IF(E683, C683 &amp; "|" &amp; H683, "")</f>
        <v>principal-process-steward|</v>
      </c>
      <c r="N683" s="2" t="s">
        <v>9938</v>
      </c>
    </row>
    <row r="684">
      <c r="A684" s="2" t="s">
        <v>10620</v>
      </c>
      <c r="B684" s="3" t="str">
        <f>C684 &amp; " -&gt; " &amp; D684</f>
        <v>principal-process-steward -&gt; DeliveredCommunications.RenderedContentHash</v>
      </c>
      <c r="C684" s="2" t="s">
        <v>9706</v>
      </c>
      <c r="D684" s="2" t="s">
        <v>5043</v>
      </c>
      <c r="E684" s="2" t="b">
        <v>1</v>
      </c>
      <c r="F684" s="2" t="b">
        <v>0</v>
      </c>
      <c r="G684" s="2" t="s">
        <v>9937</v>
      </c>
      <c r="H684" s="3" t="str">
        <f>_xlfn.IFNA(INDEX(RulebookFields!C2:C999, MATCH(D684,RulebookFields!A2:A999, 0)), "")</f>
      </c>
      <c r="I684" s="3" t="str">
        <f>_xlfn.IFNA(INDEX(RulebookFields!D2:D999, MATCH(D684,RulebookFields!A2:A999, 0)), "")</f>
      </c>
      <c r="J684" s="3" t="str">
        <f>_xlfn.IFNA(INDEX(RulebookFields!I2:I999, MATCH(D684,RulebookFields!A2:A999, 0)), "")</f>
      </c>
      <c r="K684" s="3" t="b">
        <f>AND(F684, J684)</f>
        <v>0</v>
      </c>
      <c r="L684" s="3" t="b">
        <f>AND(G684 &lt;&gt; "plain", G684 &lt;&gt; "")</f>
        <v>0</v>
      </c>
      <c r="M684" s="3" t="str">
        <f>IF(E684, C684 &amp; "|" &amp; H684, "")</f>
        <v>principal-process-steward|</v>
      </c>
      <c r="N684" s="2" t="s">
        <v>9938</v>
      </c>
    </row>
    <row r="685">
      <c r="A685" s="2" t="s">
        <v>10621</v>
      </c>
      <c r="B685" s="3" t="str">
        <f>C685 &amp; " -&gt; " &amp; D685</f>
        <v>principal-process-steward -&gt; DeliveredCommunications.ApprovedContentHash</v>
      </c>
      <c r="C685" s="2" t="s">
        <v>9706</v>
      </c>
      <c r="D685" s="2" t="s">
        <v>5045</v>
      </c>
      <c r="E685" s="2" t="b">
        <v>1</v>
      </c>
      <c r="F685" s="2" t="b">
        <v>0</v>
      </c>
      <c r="G685" s="2" t="s">
        <v>9937</v>
      </c>
      <c r="H685" s="3" t="str">
        <f>_xlfn.IFNA(INDEX(RulebookFields!C2:C999, MATCH(D685,RulebookFields!A2:A999, 0)), "")</f>
      </c>
      <c r="I685" s="3" t="str">
        <f>_xlfn.IFNA(INDEX(RulebookFields!D2:D999, MATCH(D685,RulebookFields!A2:A999, 0)), "")</f>
      </c>
      <c r="J685" s="3" t="str">
        <f>_xlfn.IFNA(INDEX(RulebookFields!I2:I999, MATCH(D685,RulebookFields!A2:A999, 0)), "")</f>
      </c>
      <c r="K685" s="3" t="b">
        <f>AND(F685, J685)</f>
        <v>0</v>
      </c>
      <c r="L685" s="3" t="b">
        <f>AND(G685 &lt;&gt; "plain", G685 &lt;&gt; "")</f>
        <v>0</v>
      </c>
      <c r="M685" s="3" t="str">
        <f>IF(E685, C685 &amp; "|" &amp; H685, "")</f>
        <v>principal-process-steward|</v>
      </c>
      <c r="N685" s="2" t="s">
        <v>9938</v>
      </c>
    </row>
    <row r="686">
      <c r="A686" s="2" t="s">
        <v>10622</v>
      </c>
      <c r="B686" s="3" t="str">
        <f>C686 &amp; " -&gt; " &amp; D686</f>
        <v>principal-process-steward -&gt; DeliveredCommunications.DeliveryStatus</v>
      </c>
      <c r="C686" s="2" t="s">
        <v>9706</v>
      </c>
      <c r="D686" s="2" t="s">
        <v>5047</v>
      </c>
      <c r="E686" s="2" t="b">
        <v>1</v>
      </c>
      <c r="F686" s="2" t="b">
        <v>0</v>
      </c>
      <c r="G686" s="2" t="s">
        <v>9937</v>
      </c>
      <c r="H686" s="3" t="str">
        <f>_xlfn.IFNA(INDEX(RulebookFields!C2:C999, MATCH(D686,RulebookFields!A2:A999, 0)), "")</f>
      </c>
      <c r="I686" s="3" t="str">
        <f>_xlfn.IFNA(INDEX(RulebookFields!D2:D999, MATCH(D686,RulebookFields!A2:A999, 0)), "")</f>
      </c>
      <c r="J686" s="3" t="str">
        <f>_xlfn.IFNA(INDEX(RulebookFields!I2:I999, MATCH(D686,RulebookFields!A2:A999, 0)), "")</f>
      </c>
      <c r="K686" s="3" t="b">
        <f>AND(F686, J686)</f>
        <v>0</v>
      </c>
      <c r="L686" s="3" t="b">
        <f>AND(G686 &lt;&gt; "plain", G686 &lt;&gt; "")</f>
        <v>0</v>
      </c>
      <c r="M686" s="3" t="str">
        <f>IF(E686, C686 &amp; "|" &amp; H686, "")</f>
        <v>principal-process-steward|</v>
      </c>
      <c r="N686" s="2" t="s">
        <v>9938</v>
      </c>
    </row>
    <row r="687">
      <c r="A687" s="2" t="s">
        <v>10623</v>
      </c>
      <c r="B687" s="3" t="str">
        <f>C687 &amp; " -&gt; " &amp; D687</f>
        <v>principal-process-steward -&gt; DeliveredCommunications.SemanticTypeIri</v>
      </c>
      <c r="C687" s="2" t="s">
        <v>9706</v>
      </c>
      <c r="D687" s="2" t="s">
        <v>5048</v>
      </c>
      <c r="E687" s="2" t="b">
        <v>1</v>
      </c>
      <c r="F687" s="2" t="b">
        <v>0</v>
      </c>
      <c r="G687" s="2" t="s">
        <v>9937</v>
      </c>
      <c r="H687" s="3" t="str">
        <f>_xlfn.IFNA(INDEX(RulebookFields!C2:C999, MATCH(D687,RulebookFields!A2:A999, 0)), "")</f>
      </c>
      <c r="I687" s="3" t="str">
        <f>_xlfn.IFNA(INDEX(RulebookFields!D2:D999, MATCH(D687,RulebookFields!A2:A999, 0)), "")</f>
      </c>
      <c r="J687" s="3" t="str">
        <f>_xlfn.IFNA(INDEX(RulebookFields!I2:I999, MATCH(D687,RulebookFields!A2:A999, 0)), "")</f>
      </c>
      <c r="K687" s="3" t="b">
        <f>AND(F687, J687)</f>
        <v>0</v>
      </c>
      <c r="L687" s="3" t="b">
        <f>AND(G687 &lt;&gt; "plain", G687 &lt;&gt; "")</f>
        <v>0</v>
      </c>
      <c r="M687" s="3" t="str">
        <f>IF(E687, C687 &amp; "|" &amp; H687, "")</f>
        <v>principal-process-steward|</v>
      </c>
      <c r="N687" s="2" t="s">
        <v>9938</v>
      </c>
    </row>
    <row r="688">
      <c r="A688" s="2" t="s">
        <v>10624</v>
      </c>
      <c r="B688" s="3" t="str">
        <f>C688 &amp; " -&gt; " &amp; D688</f>
        <v>principal-process-steward -&gt; DeliveredCommunications.HasAuthorization</v>
      </c>
      <c r="C688" s="2" t="s">
        <v>9706</v>
      </c>
      <c r="D688" s="2" t="s">
        <v>5049</v>
      </c>
      <c r="E688" s="2" t="b">
        <v>1</v>
      </c>
      <c r="F688" s="2" t="b">
        <v>0</v>
      </c>
      <c r="G688" s="2" t="s">
        <v>9937</v>
      </c>
      <c r="H688" s="3" t="str">
        <f>_xlfn.IFNA(INDEX(RulebookFields!C2:C999, MATCH(D688,RulebookFields!A2:A999, 0)), "")</f>
      </c>
      <c r="I688" s="3" t="str">
        <f>_xlfn.IFNA(INDEX(RulebookFields!D2:D999, MATCH(D688,RulebookFields!A2:A999, 0)), "")</f>
      </c>
      <c r="J688" s="3" t="str">
        <f>_xlfn.IFNA(INDEX(RulebookFields!I2:I999, MATCH(D688,RulebookFields!A2:A999, 0)), "")</f>
      </c>
      <c r="K688" s="3" t="b">
        <f>AND(F688, J688)</f>
        <v>0</v>
      </c>
      <c r="L688" s="3" t="b">
        <f>AND(G688 &lt;&gt; "plain", G688 &lt;&gt; "")</f>
        <v>0</v>
      </c>
      <c r="M688" s="3" t="str">
        <f>IF(E688, C688 &amp; "|" &amp; H688, "")</f>
        <v>principal-process-steward|</v>
      </c>
      <c r="N688" s="2" t="s">
        <v>9938</v>
      </c>
    </row>
    <row r="689">
      <c r="A689" s="2" t="s">
        <v>10625</v>
      </c>
      <c r="B689" s="3" t="str">
        <f>C689 &amp; " -&gt; " &amp; D689</f>
        <v>principal-process-steward -&gt; DeliveredCommunications.ContentMatchesApproval</v>
      </c>
      <c r="C689" s="2" t="s">
        <v>9706</v>
      </c>
      <c r="D689" s="2" t="s">
        <v>5052</v>
      </c>
      <c r="E689" s="2" t="b">
        <v>1</v>
      </c>
      <c r="F689" s="2" t="b">
        <v>0</v>
      </c>
      <c r="G689" s="2" t="s">
        <v>9937</v>
      </c>
      <c r="H689" s="3" t="str">
        <f>_xlfn.IFNA(INDEX(RulebookFields!C2:C999, MATCH(D689,RulebookFields!A2:A999, 0)), "")</f>
      </c>
      <c r="I689" s="3" t="str">
        <f>_xlfn.IFNA(INDEX(RulebookFields!D2:D999, MATCH(D689,RulebookFields!A2:A999, 0)), "")</f>
      </c>
      <c r="J689" s="3" t="str">
        <f>_xlfn.IFNA(INDEX(RulebookFields!I2:I999, MATCH(D689,RulebookFields!A2:A999, 0)), "")</f>
      </c>
      <c r="K689" s="3" t="b">
        <f>AND(F689, J689)</f>
        <v>0</v>
      </c>
      <c r="L689" s="3" t="b">
        <f>AND(G689 &lt;&gt; "plain", G689 &lt;&gt; "")</f>
        <v>0</v>
      </c>
      <c r="M689" s="3" t="str">
        <f>IF(E689, C689 &amp; "|" &amp; H689, "")</f>
        <v>principal-process-steward|</v>
      </c>
      <c r="N689" s="2" t="s">
        <v>9938</v>
      </c>
    </row>
    <row r="690">
      <c r="A690" s="2" t="s">
        <v>10626</v>
      </c>
      <c r="B690" s="3" t="str">
        <f>C690 &amp; " -&gt; " &amp; D690</f>
        <v>principal-process-steward -&gt; DeliveredCommunications.AuthorizedAt</v>
      </c>
      <c r="C690" s="2" t="s">
        <v>9706</v>
      </c>
      <c r="D690" s="2" t="s">
        <v>5055</v>
      </c>
      <c r="E690" s="2" t="b">
        <v>1</v>
      </c>
      <c r="F690" s="2" t="b">
        <v>0</v>
      </c>
      <c r="G690" s="2" t="s">
        <v>9937</v>
      </c>
      <c r="H690" s="3" t="str">
        <f>_xlfn.IFNA(INDEX(RulebookFields!C2:C999, MATCH(D690,RulebookFields!A2:A999, 0)), "")</f>
      </c>
      <c r="I690" s="3" t="str">
        <f>_xlfn.IFNA(INDEX(RulebookFields!D2:D999, MATCH(D690,RulebookFields!A2:A999, 0)), "")</f>
      </c>
      <c r="J690" s="3" t="str">
        <f>_xlfn.IFNA(INDEX(RulebookFields!I2:I999, MATCH(D690,RulebookFields!A2:A999, 0)), "")</f>
      </c>
      <c r="K690" s="3" t="b">
        <f>AND(F690, J690)</f>
        <v>0</v>
      </c>
      <c r="L690" s="3" t="b">
        <f>AND(G690 &lt;&gt; "plain", G690 &lt;&gt; "")</f>
        <v>0</v>
      </c>
      <c r="M690" s="3" t="str">
        <f>IF(E690, C690 &amp; "|" &amp; H690, "")</f>
        <v>principal-process-steward|</v>
      </c>
      <c r="N690" s="2" t="s">
        <v>9938</v>
      </c>
    </row>
    <row r="691">
      <c r="A691" s="2" t="s">
        <v>10627</v>
      </c>
      <c r="B691" s="3" t="str">
        <f>C691 &amp; " -&gt; " &amp; D691</f>
        <v>principal-process-steward -&gt; DeliveredCommunications.WasApprovedBeforeSending</v>
      </c>
      <c r="C691" s="2" t="s">
        <v>9706</v>
      </c>
      <c r="D691" s="2" t="s">
        <v>5058</v>
      </c>
      <c r="E691" s="2" t="b">
        <v>1</v>
      </c>
      <c r="F691" s="2" t="b">
        <v>0</v>
      </c>
      <c r="G691" s="2" t="s">
        <v>9937</v>
      </c>
      <c r="H691" s="3" t="str">
        <f>_xlfn.IFNA(INDEX(RulebookFields!C2:C999, MATCH(D691,RulebookFields!A2:A999, 0)), "")</f>
      </c>
      <c r="I691" s="3" t="str">
        <f>_xlfn.IFNA(INDEX(RulebookFields!D2:D999, MATCH(D691,RulebookFields!A2:A999, 0)), "")</f>
      </c>
      <c r="J691" s="3" t="str">
        <f>_xlfn.IFNA(INDEX(RulebookFields!I2:I999, MATCH(D691,RulebookFields!A2:A999, 0)), "")</f>
      </c>
      <c r="K691" s="3" t="b">
        <f>AND(F691, J691)</f>
        <v>0</v>
      </c>
      <c r="L691" s="3" t="b">
        <f>AND(G691 &lt;&gt; "plain", G691 &lt;&gt; "")</f>
        <v>0</v>
      </c>
      <c r="M691" s="3" t="str">
        <f>IF(E691, C691 &amp; "|" &amp; H691, "")</f>
        <v>principal-process-steward|</v>
      </c>
      <c r="N691" s="2" t="s">
        <v>9938</v>
      </c>
    </row>
    <row r="692">
      <c r="A692" s="2" t="s">
        <v>10628</v>
      </c>
      <c r="B692" s="3" t="str">
        <f>C692 &amp; " -&gt; " &amp; D692</f>
        <v>principal-process-steward -&gt; DeliveredCommunications.IsDefensible</v>
      </c>
      <c r="C692" s="2" t="s">
        <v>9706</v>
      </c>
      <c r="D692" s="2" t="s">
        <v>5061</v>
      </c>
      <c r="E692" s="2" t="b">
        <v>1</v>
      </c>
      <c r="F692" s="2" t="b">
        <v>0</v>
      </c>
      <c r="G692" s="2" t="s">
        <v>9937</v>
      </c>
      <c r="H692" s="3" t="str">
        <f>_xlfn.IFNA(INDEX(RulebookFields!C2:C999, MATCH(D692,RulebookFields!A2:A999, 0)), "")</f>
      </c>
      <c r="I692" s="3" t="str">
        <f>_xlfn.IFNA(INDEX(RulebookFields!D2:D999, MATCH(D692,RulebookFields!A2:A999, 0)), "")</f>
      </c>
      <c r="J692" s="3" t="str">
        <f>_xlfn.IFNA(INDEX(RulebookFields!I2:I999, MATCH(D692,RulebookFields!A2:A999, 0)), "")</f>
      </c>
      <c r="K692" s="3" t="b">
        <f>AND(F692, J692)</f>
        <v>0</v>
      </c>
      <c r="L692" s="3" t="b">
        <f>AND(G692 &lt;&gt; "plain", G692 &lt;&gt; "")</f>
        <v>0</v>
      </c>
      <c r="M692" s="3" t="str">
        <f>IF(E692, C692 &amp; "|" &amp; H692, "")</f>
        <v>principal-process-steward|</v>
      </c>
      <c r="N692" s="2" t="s">
        <v>9938</v>
      </c>
    </row>
    <row r="693">
      <c r="A693" s="2" t="s">
        <v>10629</v>
      </c>
      <c r="B693" s="3" t="str">
        <f>C693 &amp; " -&gt; " &amp; D693</f>
        <v>principal-process-steward -&gt; ElicitationSessions.ElicitationSessionId</v>
      </c>
      <c r="C693" s="2" t="s">
        <v>9706</v>
      </c>
      <c r="D693" s="2" t="s">
        <v>3129</v>
      </c>
      <c r="E693" s="2" t="b">
        <v>1</v>
      </c>
      <c r="F693" s="2" t="b">
        <v>0</v>
      </c>
      <c r="G693" s="2" t="s">
        <v>9937</v>
      </c>
      <c r="H693" s="3" t="str">
        <f>_xlfn.IFNA(INDEX(RulebookFields!C2:C999, MATCH(D693,RulebookFields!A2:A999, 0)), "")</f>
        <v>ElicitationSessions</v>
      </c>
      <c r="I693" s="3" t="str">
        <f>_xlfn.IFNA(INDEX(RulebookFields!D2:D999, MATCH(D693,RulebookFields!A2:A999, 0)), "")</f>
        <v>ElicitationSessionId</v>
      </c>
      <c r="J693" s="3" t="b">
        <f>_xlfn.IFNA(INDEX(RulebookFields!I2:I999, MATCH(D693,RulebookFields!A2:A999, 0)), "")</f>
        <v>0</v>
      </c>
      <c r="K693" s="3" t="b">
        <f>AND(F693, J693)</f>
        <v>0</v>
      </c>
      <c r="L693" s="3" t="b">
        <f>AND(G693 &lt;&gt; "plain", G693 &lt;&gt; "")</f>
        <v>0</v>
      </c>
      <c r="M693" s="3" t="str">
        <f>IF(E693, C693 &amp; "|" &amp; H693, "")</f>
        <v>principal-process-steward|ElicitationSessions</v>
      </c>
      <c r="N693" s="2" t="s">
        <v>9938</v>
      </c>
    </row>
    <row r="694">
      <c r="A694" s="2" t="s">
        <v>10630</v>
      </c>
      <c r="B694" s="3" t="str">
        <f>C694 &amp; " -&gt; " &amp; D694</f>
        <v>principal-process-steward -&gt; ElicitationSessions.Name</v>
      </c>
      <c r="C694" s="2" t="s">
        <v>9706</v>
      </c>
      <c r="D694" s="2" t="s">
        <v>3130</v>
      </c>
      <c r="E694" s="2" t="b">
        <v>1</v>
      </c>
      <c r="F694" s="2" t="b">
        <v>0</v>
      </c>
      <c r="G694" s="2" t="s">
        <v>9937</v>
      </c>
      <c r="H694" s="3" t="str">
        <f>_xlfn.IFNA(INDEX(RulebookFields!C2:C999, MATCH(D694,RulebookFields!A2:A999, 0)), "")</f>
        <v>ElicitationSessions</v>
      </c>
      <c r="I694" s="3" t="str">
        <f>_xlfn.IFNA(INDEX(RulebookFields!D2:D999, MATCH(D694,RulebookFields!A2:A999, 0)), "")</f>
        <v>Name</v>
      </c>
      <c r="J694" s="3" t="b">
        <f>_xlfn.IFNA(INDEX(RulebookFields!I2:I999, MATCH(D694,RulebookFields!A2:A999, 0)), "")</f>
        <v>1</v>
      </c>
      <c r="K694" s="3" t="b">
        <f>AND(F694, J694)</f>
        <v>0</v>
      </c>
      <c r="L694" s="3" t="b">
        <f>AND(G694 &lt;&gt; "plain", G694 &lt;&gt; "")</f>
        <v>0</v>
      </c>
      <c r="M694" s="3" t="str">
        <f>IF(E694, C694 &amp; "|" &amp; H694, "")</f>
        <v>principal-process-steward|ElicitationSessions</v>
      </c>
      <c r="N694" s="2" t="s">
        <v>9938</v>
      </c>
    </row>
    <row r="695">
      <c r="A695" s="2" t="s">
        <v>10631</v>
      </c>
      <c r="B695" s="3" t="str">
        <f>C695 &amp; " -&gt; " &amp; D695</f>
        <v>principal-process-steward -&gt; ElicitationSessions.ProcedureVersion</v>
      </c>
      <c r="C695" s="2" t="s">
        <v>9706</v>
      </c>
      <c r="D695" s="2" t="s">
        <v>3132</v>
      </c>
      <c r="E695" s="2" t="b">
        <v>1</v>
      </c>
      <c r="F695" s="2" t="b">
        <v>0</v>
      </c>
      <c r="G695" s="2" t="s">
        <v>9937</v>
      </c>
      <c r="H695" s="3" t="str">
        <f>_xlfn.IFNA(INDEX(RulebookFields!C2:C999, MATCH(D695,RulebookFields!A2:A999, 0)), "")</f>
        <v>ElicitationSessions</v>
      </c>
      <c r="I695" s="3" t="str">
        <f>_xlfn.IFNA(INDEX(RulebookFields!D2:D999, MATCH(D695,RulebookFields!A2:A999, 0)), "")</f>
        <v>ProcedureVersion</v>
      </c>
      <c r="J695" s="3" t="b">
        <f>_xlfn.IFNA(INDEX(RulebookFields!I2:I999, MATCH(D695,RulebookFields!A2:A999, 0)), "")</f>
        <v>0</v>
      </c>
      <c r="K695" s="3" t="b">
        <f>AND(F695, J695)</f>
        <v>0</v>
      </c>
      <c r="L695" s="3" t="b">
        <f>AND(G695 &lt;&gt; "plain", G695 &lt;&gt; "")</f>
        <v>0</v>
      </c>
      <c r="M695" s="3" t="str">
        <f>IF(E695, C695 &amp; "|" &amp; H695, "")</f>
        <v>principal-process-steward|ElicitationSessions</v>
      </c>
      <c r="N695" s="2" t="s">
        <v>9938</v>
      </c>
    </row>
    <row r="696">
      <c r="A696" s="2" t="s">
        <v>10632</v>
      </c>
      <c r="B696" s="3" t="str">
        <f>C696 &amp; " -&gt; " &amp; D696</f>
        <v>principal-process-steward -&gt; ElicitationSessions.Method</v>
      </c>
      <c r="C696" s="2" t="s">
        <v>9706</v>
      </c>
      <c r="D696" s="2" t="s">
        <v>3133</v>
      </c>
      <c r="E696" s="2" t="b">
        <v>1</v>
      </c>
      <c r="F696" s="2" t="b">
        <v>0</v>
      </c>
      <c r="G696" s="2" t="s">
        <v>9937</v>
      </c>
      <c r="H696" s="3" t="str">
        <f>_xlfn.IFNA(INDEX(RulebookFields!C2:C999, MATCH(D696,RulebookFields!A2:A999, 0)), "")</f>
        <v>ElicitationSessions</v>
      </c>
      <c r="I696" s="3" t="str">
        <f>_xlfn.IFNA(INDEX(RulebookFields!D2:D999, MATCH(D696,RulebookFields!A2:A999, 0)), "")</f>
        <v>Method</v>
      </c>
      <c r="J696" s="3" t="b">
        <f>_xlfn.IFNA(INDEX(RulebookFields!I2:I999, MATCH(D696,RulebookFields!A2:A999, 0)), "")</f>
        <v>0</v>
      </c>
      <c r="K696" s="3" t="b">
        <f>AND(F696, J696)</f>
        <v>0</v>
      </c>
      <c r="L696" s="3" t="b">
        <f>AND(G696 &lt;&gt; "plain", G696 &lt;&gt; "")</f>
        <v>0</v>
      </c>
      <c r="M696" s="3" t="str">
        <f>IF(E696, C696 &amp; "|" &amp; H696, "")</f>
        <v>principal-process-steward|ElicitationSessions</v>
      </c>
      <c r="N696" s="2" t="s">
        <v>9938</v>
      </c>
    </row>
    <row r="697">
      <c r="A697" s="2" t="s">
        <v>10633</v>
      </c>
      <c r="B697" s="3" t="str">
        <f>C697 &amp; " -&gt; " &amp; D697</f>
        <v>principal-process-steward -&gt; ElicitationSessions.StartedAt</v>
      </c>
      <c r="C697" s="2" t="s">
        <v>9706</v>
      </c>
      <c r="D697" s="2" t="s">
        <v>3134</v>
      </c>
      <c r="E697" s="2" t="b">
        <v>1</v>
      </c>
      <c r="F697" s="2" t="b">
        <v>0</v>
      </c>
      <c r="G697" s="2" t="s">
        <v>9937</v>
      </c>
      <c r="H697" s="3" t="str">
        <f>_xlfn.IFNA(INDEX(RulebookFields!C2:C999, MATCH(D697,RulebookFields!A2:A999, 0)), "")</f>
        <v>ElicitationSessions</v>
      </c>
      <c r="I697" s="3" t="str">
        <f>_xlfn.IFNA(INDEX(RulebookFields!D2:D999, MATCH(D697,RulebookFields!A2:A999, 0)), "")</f>
        <v>StartedAt</v>
      </c>
      <c r="J697" s="3" t="b">
        <f>_xlfn.IFNA(INDEX(RulebookFields!I2:I999, MATCH(D697,RulebookFields!A2:A999, 0)), "")</f>
        <v>0</v>
      </c>
      <c r="K697" s="3" t="b">
        <f>AND(F697, J697)</f>
        <v>0</v>
      </c>
      <c r="L697" s="3" t="b">
        <f>AND(G697 &lt;&gt; "plain", G697 &lt;&gt; "")</f>
        <v>0</v>
      </c>
      <c r="M697" s="3" t="str">
        <f>IF(E697, C697 &amp; "|" &amp; H697, "")</f>
        <v>principal-process-steward|ElicitationSessions</v>
      </c>
      <c r="N697" s="2" t="s">
        <v>9938</v>
      </c>
    </row>
    <row r="698">
      <c r="A698" s="2" t="s">
        <v>10634</v>
      </c>
      <c r="B698" s="3" t="str">
        <f>C698 &amp; " -&gt; " &amp; D698</f>
        <v>principal-process-steward -&gt; ElicitationSessions.EndedAt</v>
      </c>
      <c r="C698" s="2" t="s">
        <v>9706</v>
      </c>
      <c r="D698" s="2" t="s">
        <v>3135</v>
      </c>
      <c r="E698" s="2" t="b">
        <v>1</v>
      </c>
      <c r="F698" s="2" t="b">
        <v>0</v>
      </c>
      <c r="G698" s="2" t="s">
        <v>9937</v>
      </c>
      <c r="H698" s="3" t="str">
        <f>_xlfn.IFNA(INDEX(RulebookFields!C2:C999, MATCH(D698,RulebookFields!A2:A999, 0)), "")</f>
        <v>ElicitationSessions</v>
      </c>
      <c r="I698" s="3" t="str">
        <f>_xlfn.IFNA(INDEX(RulebookFields!D2:D999, MATCH(D698,RulebookFields!A2:A999, 0)), "")</f>
        <v>EndedAt</v>
      </c>
      <c r="J698" s="3" t="b">
        <f>_xlfn.IFNA(INDEX(RulebookFields!I2:I999, MATCH(D698,RulebookFields!A2:A999, 0)), "")</f>
        <v>0</v>
      </c>
      <c r="K698" s="3" t="b">
        <f>AND(F698, J698)</f>
        <v>0</v>
      </c>
      <c r="L698" s="3" t="b">
        <f>AND(G698 &lt;&gt; "plain", G698 &lt;&gt; "")</f>
        <v>0</v>
      </c>
      <c r="M698" s="3" t="str">
        <f>IF(E698, C698 &amp; "|" &amp; H698, "")</f>
        <v>principal-process-steward|ElicitationSessions</v>
      </c>
      <c r="N698" s="2" t="s">
        <v>9938</v>
      </c>
    </row>
    <row r="699">
      <c r="A699" s="2" t="s">
        <v>10635</v>
      </c>
      <c r="B699" s="3" t="str">
        <f>C699 &amp; " -&gt; " &amp; D699</f>
        <v>principal-process-steward -&gt; ElicitationSessions.PractitionerAgent</v>
      </c>
      <c r="C699" s="2" t="s">
        <v>9706</v>
      </c>
      <c r="D699" s="2" t="s">
        <v>3136</v>
      </c>
      <c r="E699" s="2" t="b">
        <v>1</v>
      </c>
      <c r="F699" s="2" t="b">
        <v>0</v>
      </c>
      <c r="G699" s="2" t="s">
        <v>9937</v>
      </c>
      <c r="H699" s="3" t="str">
        <f>_xlfn.IFNA(INDEX(RulebookFields!C2:C999, MATCH(D699,RulebookFields!A2:A999, 0)), "")</f>
        <v>ElicitationSessions</v>
      </c>
      <c r="I699" s="3" t="str">
        <f>_xlfn.IFNA(INDEX(RulebookFields!D2:D999, MATCH(D699,RulebookFields!A2:A999, 0)), "")</f>
        <v>PractitionerAgent</v>
      </c>
      <c r="J699" s="3" t="b">
        <f>_xlfn.IFNA(INDEX(RulebookFields!I2:I999, MATCH(D699,RulebookFields!A2:A999, 0)), "")</f>
        <v>0</v>
      </c>
      <c r="K699" s="3" t="b">
        <f>AND(F699, J699)</f>
        <v>0</v>
      </c>
      <c r="L699" s="3" t="b">
        <f>AND(G699 &lt;&gt; "plain", G699 &lt;&gt; "")</f>
        <v>0</v>
      </c>
      <c r="M699" s="3" t="str">
        <f>IF(E699, C699 &amp; "|" &amp; H699, "")</f>
        <v>principal-process-steward|ElicitationSessions</v>
      </c>
      <c r="N699" s="2" t="s">
        <v>9938</v>
      </c>
    </row>
    <row r="700">
      <c r="A700" s="2" t="s">
        <v>10636</v>
      </c>
      <c r="B700" s="3" t="str">
        <f>C700 &amp; " -&gt; " &amp; D700</f>
        <v>principal-process-steward -&gt; ElicitationSessions.FacilitatorAgent</v>
      </c>
      <c r="C700" s="2" t="s">
        <v>9706</v>
      </c>
      <c r="D700" s="2" t="s">
        <v>3137</v>
      </c>
      <c r="E700" s="2" t="b">
        <v>1</v>
      </c>
      <c r="F700" s="2" t="b">
        <v>0</v>
      </c>
      <c r="G700" s="2" t="s">
        <v>9937</v>
      </c>
      <c r="H700" s="3" t="str">
        <f>_xlfn.IFNA(INDEX(RulebookFields!C2:C999, MATCH(D700,RulebookFields!A2:A999, 0)), "")</f>
        <v>ElicitationSessions</v>
      </c>
      <c r="I700" s="3" t="str">
        <f>_xlfn.IFNA(INDEX(RulebookFields!D2:D999, MATCH(D700,RulebookFields!A2:A999, 0)), "")</f>
        <v>FacilitatorAgent</v>
      </c>
      <c r="J700" s="3" t="b">
        <f>_xlfn.IFNA(INDEX(RulebookFields!I2:I999, MATCH(D700,RulebookFields!A2:A999, 0)), "")</f>
        <v>0</v>
      </c>
      <c r="K700" s="3" t="b">
        <f>AND(F700, J700)</f>
        <v>0</v>
      </c>
      <c r="L700" s="3" t="b">
        <f>AND(G700 &lt;&gt; "plain", G700 &lt;&gt; "")</f>
        <v>0</v>
      </c>
      <c r="M700" s="3" t="str">
        <f>IF(E700, C700 &amp; "|" &amp; H700, "")</f>
        <v>principal-process-steward|ElicitationSessions</v>
      </c>
      <c r="N700" s="2" t="s">
        <v>9938</v>
      </c>
    </row>
    <row r="701">
      <c r="A701" s="2" t="s">
        <v>10637</v>
      </c>
      <c r="B701" s="3" t="str">
        <f>C701 &amp; " -&gt; " &amp; D701</f>
        <v>principal-process-steward -&gt; ElicitationSessions.Summary</v>
      </c>
      <c r="C701" s="2" t="s">
        <v>9706</v>
      </c>
      <c r="D701" s="2" t="s">
        <v>3138</v>
      </c>
      <c r="E701" s="2" t="b">
        <v>1</v>
      </c>
      <c r="F701" s="2" t="b">
        <v>0</v>
      </c>
      <c r="G701" s="2" t="s">
        <v>9937</v>
      </c>
      <c r="H701" s="3" t="str">
        <f>_xlfn.IFNA(INDEX(RulebookFields!C2:C999, MATCH(D701,RulebookFields!A2:A999, 0)), "")</f>
        <v>ElicitationSessions</v>
      </c>
      <c r="I701" s="3" t="str">
        <f>_xlfn.IFNA(INDEX(RulebookFields!D2:D999, MATCH(D701,RulebookFields!A2:A999, 0)), "")</f>
        <v>Summary</v>
      </c>
      <c r="J701" s="3" t="b">
        <f>_xlfn.IFNA(INDEX(RulebookFields!I2:I999, MATCH(D701,RulebookFields!A2:A999, 0)), "")</f>
        <v>0</v>
      </c>
      <c r="K701" s="3" t="b">
        <f>AND(F701, J701)</f>
        <v>0</v>
      </c>
      <c r="L701" s="3" t="b">
        <f>AND(G701 &lt;&gt; "plain", G701 &lt;&gt; "")</f>
        <v>0</v>
      </c>
      <c r="M701" s="3" t="str">
        <f>IF(E701, C701 &amp; "|" &amp; H701, "")</f>
        <v>principal-process-steward|ElicitationSessions</v>
      </c>
      <c r="N701" s="2" t="s">
        <v>9938</v>
      </c>
    </row>
    <row r="702">
      <c r="A702" s="2" t="s">
        <v>10638</v>
      </c>
      <c r="B702" s="3" t="str">
        <f>C702 &amp; " -&gt; " &amp; D702</f>
        <v>principal-process-steward -&gt; ElicitationSessions.Status</v>
      </c>
      <c r="C702" s="2" t="s">
        <v>9706</v>
      </c>
      <c r="D702" s="2" t="s">
        <v>3139</v>
      </c>
      <c r="E702" s="2" t="b">
        <v>1</v>
      </c>
      <c r="F702" s="2" t="b">
        <v>0</v>
      </c>
      <c r="G702" s="2" t="s">
        <v>9937</v>
      </c>
      <c r="H702" s="3" t="str">
        <f>_xlfn.IFNA(INDEX(RulebookFields!C2:C999, MATCH(D702,RulebookFields!A2:A999, 0)), "")</f>
        <v>ElicitationSessions</v>
      </c>
      <c r="I702" s="3" t="str">
        <f>_xlfn.IFNA(INDEX(RulebookFields!D2:D999, MATCH(D702,RulebookFields!A2:A999, 0)), "")</f>
        <v>Status</v>
      </c>
      <c r="J702" s="3" t="b">
        <f>_xlfn.IFNA(INDEX(RulebookFields!I2:I999, MATCH(D702,RulebookFields!A2:A999, 0)), "")</f>
        <v>0</v>
      </c>
      <c r="K702" s="3" t="b">
        <f>AND(F702, J702)</f>
        <v>0</v>
      </c>
      <c r="L702" s="3" t="b">
        <f>AND(G702 &lt;&gt; "plain", G702 &lt;&gt; "")</f>
        <v>0</v>
      </c>
      <c r="M702" s="3" t="str">
        <f>IF(E702, C702 &amp; "|" &amp; H702, "")</f>
        <v>principal-process-steward|ElicitationSessions</v>
      </c>
      <c r="N702" s="2" t="s">
        <v>9938</v>
      </c>
    </row>
    <row r="703">
      <c r="A703" s="2" t="s">
        <v>10639</v>
      </c>
      <c r="B703" s="3" t="str">
        <f>C703 &amp; " -&gt; " &amp; D703</f>
        <v>principal-process-steward -&gt; ElicitationSessions.EvaluationContext</v>
      </c>
      <c r="C703" s="2" t="s">
        <v>9706</v>
      </c>
      <c r="D703" s="2" t="s">
        <v>3140</v>
      </c>
      <c r="E703" s="2" t="b">
        <v>1</v>
      </c>
      <c r="F703" s="2" t="b">
        <v>0</v>
      </c>
      <c r="G703" s="2" t="s">
        <v>9937</v>
      </c>
      <c r="H703" s="3" t="str">
        <f>_xlfn.IFNA(INDEX(RulebookFields!C2:C999, MATCH(D703,RulebookFields!A2:A999, 0)), "")</f>
        <v>ElicitationSessions</v>
      </c>
      <c r="I703" s="3" t="str">
        <f>_xlfn.IFNA(INDEX(RulebookFields!D2:D999, MATCH(D703,RulebookFields!A2:A999, 0)), "")</f>
        <v>EvaluationContext</v>
      </c>
      <c r="J703" s="3" t="b">
        <f>_xlfn.IFNA(INDEX(RulebookFields!I2:I999, MATCH(D703,RulebookFields!A2:A999, 0)), "")</f>
        <v>0</v>
      </c>
      <c r="K703" s="3" t="b">
        <f>AND(F703, J703)</f>
        <v>0</v>
      </c>
      <c r="L703" s="3" t="b">
        <f>AND(G703 &lt;&gt; "plain", G703 &lt;&gt; "")</f>
        <v>0</v>
      </c>
      <c r="M703" s="3" t="str">
        <f>IF(E703, C703 &amp; "|" &amp; H703, "")</f>
        <v>principal-process-steward|ElicitationSessions</v>
      </c>
      <c r="N703" s="2" t="s">
        <v>9938</v>
      </c>
    </row>
    <row r="704">
      <c r="A704" s="2" t="s">
        <v>10640</v>
      </c>
      <c r="B704" s="3" t="str">
        <f>C704 &amp; " -&gt; " &amp; D704</f>
        <v>principal-process-steward -&gt; ElicitationSessions.AsOfInstant</v>
      </c>
      <c r="C704" s="2" t="s">
        <v>9706</v>
      </c>
      <c r="D704" s="2" t="s">
        <v>3141</v>
      </c>
      <c r="E704" s="2" t="b">
        <v>1</v>
      </c>
      <c r="F704" s="2" t="b">
        <v>0</v>
      </c>
      <c r="G704" s="2" t="s">
        <v>9937</v>
      </c>
      <c r="H704" s="3" t="str">
        <f>_xlfn.IFNA(INDEX(RulebookFields!C2:C999, MATCH(D704,RulebookFields!A2:A999, 0)), "")</f>
        <v>ElicitationSessions</v>
      </c>
      <c r="I704" s="3" t="str">
        <f>_xlfn.IFNA(INDEX(RulebookFields!D2:D999, MATCH(D704,RulebookFields!A2:A999, 0)), "")</f>
        <v>AsOfInstant</v>
      </c>
      <c r="J704" s="3" t="b">
        <f>_xlfn.IFNA(INDEX(RulebookFields!I2:I999, MATCH(D704,RulebookFields!A2:A999, 0)), "")</f>
        <v>1</v>
      </c>
      <c r="K704" s="3" t="b">
        <f>AND(F704, J704)</f>
        <v>0</v>
      </c>
      <c r="L704" s="3" t="b">
        <f>AND(G704 &lt;&gt; "plain", G704 &lt;&gt; "")</f>
        <v>0</v>
      </c>
      <c r="M704" s="3" t="str">
        <f>IF(E704, C704 &amp; "|" &amp; H704, "")</f>
        <v>principal-process-steward|ElicitationSessions</v>
      </c>
      <c r="N704" s="2" t="s">
        <v>9938</v>
      </c>
    </row>
    <row r="705">
      <c r="A705" s="2" t="s">
        <v>10641</v>
      </c>
      <c r="B705" s="3" t="str">
        <f>C705 &amp; " -&gt; " &amp; D705</f>
        <v>principal-process-steward -&gt; ElicitationSessions.DaysSinceElicited</v>
      </c>
      <c r="C705" s="2" t="s">
        <v>9706</v>
      </c>
      <c r="D705" s="2" t="s">
        <v>3142</v>
      </c>
      <c r="E705" s="2" t="b">
        <v>1</v>
      </c>
      <c r="F705" s="2" t="b">
        <v>0</v>
      </c>
      <c r="G705" s="2" t="s">
        <v>9937</v>
      </c>
      <c r="H705" s="3" t="str">
        <f>_xlfn.IFNA(INDEX(RulebookFields!C2:C999, MATCH(D705,RulebookFields!A2:A999, 0)), "")</f>
        <v>ElicitationSessions</v>
      </c>
      <c r="I705" s="3" t="str">
        <f>_xlfn.IFNA(INDEX(RulebookFields!D2:D999, MATCH(D705,RulebookFields!A2:A999, 0)), "")</f>
        <v>DaysSinceElicited</v>
      </c>
      <c r="J705" s="3" t="b">
        <f>_xlfn.IFNA(INDEX(RulebookFields!I2:I999, MATCH(D705,RulebookFields!A2:A999, 0)), "")</f>
        <v>1</v>
      </c>
      <c r="K705" s="3" t="b">
        <f>AND(F705, J705)</f>
        <v>0</v>
      </c>
      <c r="L705" s="3" t="b">
        <f>AND(G705 &lt;&gt; "plain", G705 &lt;&gt; "")</f>
        <v>0</v>
      </c>
      <c r="M705" s="3" t="str">
        <f>IF(E705, C705 &amp; "|" &amp; H705, "")</f>
        <v>principal-process-steward|ElicitationSessions</v>
      </c>
      <c r="N705" s="2" t="s">
        <v>9938</v>
      </c>
    </row>
    <row r="706">
      <c r="A706" s="2" t="s">
        <v>10642</v>
      </c>
      <c r="B706" s="3" t="str">
        <f>C706 &amp; " -&gt; " &amp; D706</f>
        <v>principal-process-steward -&gt; ElicitationSessions.IsSingleWitnessMethod</v>
      </c>
      <c r="C706" s="2" t="s">
        <v>9706</v>
      </c>
      <c r="D706" s="2" t="s">
        <v>3144</v>
      </c>
      <c r="E706" s="2" t="b">
        <v>1</v>
      </c>
      <c r="F706" s="2" t="b">
        <v>0</v>
      </c>
      <c r="G706" s="2" t="s">
        <v>9937</v>
      </c>
      <c r="H706" s="3" t="str">
        <f>_xlfn.IFNA(INDEX(RulebookFields!C2:C999, MATCH(D706,RulebookFields!A2:A999, 0)), "")</f>
        <v>ElicitationSessions</v>
      </c>
      <c r="I706" s="3" t="str">
        <f>_xlfn.IFNA(INDEX(RulebookFields!D2:D999, MATCH(D706,RulebookFields!A2:A999, 0)), "")</f>
        <v>IsSingleWitnessMethod</v>
      </c>
      <c r="J706" s="3" t="b">
        <f>_xlfn.IFNA(INDEX(RulebookFields!I2:I999, MATCH(D706,RulebookFields!A2:A999, 0)), "")</f>
        <v>1</v>
      </c>
      <c r="K706" s="3" t="b">
        <f>AND(F706, J706)</f>
        <v>0</v>
      </c>
      <c r="L706" s="3" t="b">
        <f>AND(G706 &lt;&gt; "plain", G706 &lt;&gt; "")</f>
        <v>0</v>
      </c>
      <c r="M706" s="3" t="str">
        <f>IF(E706, C706 &amp; "|" &amp; H706, "")</f>
        <v>principal-process-steward|ElicitationSessions</v>
      </c>
      <c r="N706" s="2" t="s">
        <v>9938</v>
      </c>
    </row>
    <row r="707">
      <c r="A707" s="2" t="s">
        <v>10643</v>
      </c>
      <c r="B707" s="3" t="str">
        <f>C707 &amp; " -&gt; " &amp; D707</f>
        <v>principal-process-steward -&gt; ElicitationSessions.PractitionerIsStillEngaged</v>
      </c>
      <c r="C707" s="2" t="s">
        <v>9706</v>
      </c>
      <c r="D707" s="2" t="s">
        <v>3146</v>
      </c>
      <c r="E707" s="2" t="b">
        <v>1</v>
      </c>
      <c r="F707" s="2" t="b">
        <v>0</v>
      </c>
      <c r="G707" s="2" t="s">
        <v>9937</v>
      </c>
      <c r="H707" s="3" t="str">
        <f>_xlfn.IFNA(INDEX(RulebookFields!C2:C999, MATCH(D707,RulebookFields!A2:A999, 0)), "")</f>
        <v>ElicitationSessions</v>
      </c>
      <c r="I707" s="3" t="str">
        <f>_xlfn.IFNA(INDEX(RulebookFields!D2:D999, MATCH(D707,RulebookFields!A2:A999, 0)), "")</f>
        <v>PractitionerIsStillEngaged</v>
      </c>
      <c r="J707" s="3" t="b">
        <f>_xlfn.IFNA(INDEX(RulebookFields!I2:I999, MATCH(D707,RulebookFields!A2:A999, 0)), "")</f>
        <v>1</v>
      </c>
      <c r="K707" s="3" t="b">
        <f>AND(F707, J707)</f>
        <v>0</v>
      </c>
      <c r="L707" s="3" t="b">
        <f>AND(G707 &lt;&gt; "plain", G707 &lt;&gt; "")</f>
        <v>0</v>
      </c>
      <c r="M707" s="3" t="str">
        <f>IF(E707, C707 &amp; "|" &amp; H707, "")</f>
        <v>principal-process-steward|ElicitationSessions</v>
      </c>
      <c r="N707" s="2" t="s">
        <v>9938</v>
      </c>
    </row>
    <row r="708">
      <c r="A708" s="2" t="s">
        <v>10644</v>
      </c>
      <c r="B708" s="3" t="str">
        <f>C708 &amp; " -&gt; " &amp; D708</f>
        <v>principal-process-steward -&gt; ElicitationSessions.ValidFragmentsProduced</v>
      </c>
      <c r="C708" s="2" t="s">
        <v>9706</v>
      </c>
      <c r="D708" s="2" t="s">
        <v>3148</v>
      </c>
      <c r="E708" s="2" t="b">
        <v>1</v>
      </c>
      <c r="F708" s="2" t="b">
        <v>0</v>
      </c>
      <c r="G708" s="2" t="s">
        <v>9937</v>
      </c>
      <c r="H708" s="3" t="str">
        <f>_xlfn.IFNA(INDEX(RulebookFields!C2:C999, MATCH(D708,RulebookFields!A2:A999, 0)), "")</f>
        <v>ElicitationSessions</v>
      </c>
      <c r="I708" s="3" t="str">
        <f>_xlfn.IFNA(INDEX(RulebookFields!D2:D999, MATCH(D708,RulebookFields!A2:A999, 0)), "")</f>
        <v>ValidFragmentsProduced</v>
      </c>
      <c r="J708" s="3" t="b">
        <f>_xlfn.IFNA(INDEX(RulebookFields!I2:I999, MATCH(D708,RulebookFields!A2:A999, 0)), "")</f>
        <v>1</v>
      </c>
      <c r="K708" s="3" t="b">
        <f>AND(F708, J708)</f>
        <v>0</v>
      </c>
      <c r="L708" s="3" t="b">
        <f>AND(G708 &lt;&gt; "plain", G708 &lt;&gt; "")</f>
        <v>0</v>
      </c>
      <c r="M708" s="3" t="str">
        <f>IF(E708, C708 &amp; "|" &amp; H708, "")</f>
        <v>principal-process-steward|ElicitationSessions</v>
      </c>
      <c r="N708" s="2" t="s">
        <v>9938</v>
      </c>
    </row>
    <row r="709">
      <c r="A709" s="2" t="s">
        <v>10645</v>
      </c>
      <c r="B709" s="3" t="str">
        <f>C709 &amp; " -&gt; " &amp; D709</f>
        <v>principal-process-steward -&gt; ElicitationSessions.IsHighYieldSession</v>
      </c>
      <c r="C709" s="2" t="s">
        <v>9706</v>
      </c>
      <c r="D709" s="2" t="s">
        <v>3150</v>
      </c>
      <c r="E709" s="2" t="b">
        <v>1</v>
      </c>
      <c r="F709" s="2" t="b">
        <v>0</v>
      </c>
      <c r="G709" s="2" t="s">
        <v>9937</v>
      </c>
      <c r="H709" s="3" t="str">
        <f>_xlfn.IFNA(INDEX(RulebookFields!C2:C999, MATCH(D709,RulebookFields!A2:A999, 0)), "")</f>
        <v>ElicitationSessions</v>
      </c>
      <c r="I709" s="3" t="str">
        <f>_xlfn.IFNA(INDEX(RulebookFields!D2:D999, MATCH(D709,RulebookFields!A2:A999, 0)), "")</f>
        <v>IsHighYieldSession</v>
      </c>
      <c r="J709" s="3" t="b">
        <f>_xlfn.IFNA(INDEX(RulebookFields!I2:I999, MATCH(D709,RulebookFields!A2:A999, 0)), "")</f>
        <v>1</v>
      </c>
      <c r="K709" s="3" t="b">
        <f>AND(F709, J709)</f>
        <v>0</v>
      </c>
      <c r="L709" s="3" t="b">
        <f>AND(G709 &lt;&gt; "plain", G709 &lt;&gt; "")</f>
        <v>0</v>
      </c>
      <c r="M709" s="3" t="str">
        <f>IF(E709, C709 &amp; "|" &amp; H709, "")</f>
        <v>principal-process-steward|ElicitationSessions</v>
      </c>
      <c r="N709" s="2" t="s">
        <v>9938</v>
      </c>
    </row>
    <row r="710">
      <c r="A710" s="2" t="s">
        <v>10646</v>
      </c>
      <c r="B710" s="3" t="str">
        <f>C710 &amp; " -&gt; " &amp; D710</f>
        <v>principal-process-steward -&gt; ElicitationSessions.IsConcentratedSingleWitness</v>
      </c>
      <c r="C710" s="2" t="s">
        <v>9706</v>
      </c>
      <c r="D710" s="2" t="s">
        <v>3152</v>
      </c>
      <c r="E710" s="2" t="b">
        <v>1</v>
      </c>
      <c r="F710" s="2" t="b">
        <v>0</v>
      </c>
      <c r="G710" s="2" t="s">
        <v>9937</v>
      </c>
      <c r="H710" s="3" t="str">
        <f>_xlfn.IFNA(INDEX(RulebookFields!C2:C999, MATCH(D710,RulebookFields!A2:A999, 0)), "")</f>
        <v>ElicitationSessions</v>
      </c>
      <c r="I710" s="3" t="str">
        <f>_xlfn.IFNA(INDEX(RulebookFields!D2:D999, MATCH(D710,RulebookFields!A2:A999, 0)), "")</f>
        <v>IsConcentratedSingleWitness</v>
      </c>
      <c r="J710" s="3" t="b">
        <f>_xlfn.IFNA(INDEX(RulebookFields!I2:I999, MATCH(D710,RulebookFields!A2:A999, 0)), "")</f>
        <v>1</v>
      </c>
      <c r="K710" s="3" t="b">
        <f>AND(F710, J710)</f>
        <v>0</v>
      </c>
      <c r="L710" s="3" t="b">
        <f>AND(G710 &lt;&gt; "plain", G710 &lt;&gt; "")</f>
        <v>0</v>
      </c>
      <c r="M710" s="3" t="str">
        <f>IF(E710, C710 &amp; "|" &amp; H710, "")</f>
        <v>principal-process-steward|ElicitationSessions</v>
      </c>
      <c r="N710" s="2" t="s">
        <v>9938</v>
      </c>
    </row>
    <row r="711">
      <c r="A711" s="2" t="s">
        <v>10647</v>
      </c>
      <c r="B711" s="3" t="str">
        <f>C711 &amp; " -&gt; " &amp; D711</f>
        <v>principal-process-steward -&gt; ElicitationSessions.IsStaleConcentratedWitness</v>
      </c>
      <c r="C711" s="2" t="s">
        <v>9706</v>
      </c>
      <c r="D711" s="2" t="s">
        <v>3154</v>
      </c>
      <c r="E711" s="2" t="b">
        <v>1</v>
      </c>
      <c r="F711" s="2" t="b">
        <v>0</v>
      </c>
      <c r="G711" s="2" t="s">
        <v>9937</v>
      </c>
      <c r="H711" s="3" t="str">
        <f>_xlfn.IFNA(INDEX(RulebookFields!C2:C999, MATCH(D711,RulebookFields!A2:A999, 0)), "")</f>
        <v>ElicitationSessions</v>
      </c>
      <c r="I711" s="3" t="str">
        <f>_xlfn.IFNA(INDEX(RulebookFields!D2:D999, MATCH(D711,RulebookFields!A2:A999, 0)), "")</f>
        <v>IsStaleConcentratedWitness</v>
      </c>
      <c r="J711" s="3" t="b">
        <f>_xlfn.IFNA(INDEX(RulebookFields!I2:I999, MATCH(D711,RulebookFields!A2:A999, 0)), "")</f>
        <v>1</v>
      </c>
      <c r="K711" s="3" t="b">
        <f>AND(F711, J711)</f>
        <v>0</v>
      </c>
      <c r="L711" s="3" t="b">
        <f>AND(G711 &lt;&gt; "plain", G711 &lt;&gt; "")</f>
        <v>0</v>
      </c>
      <c r="M711" s="3" t="str">
        <f>IF(E711, C711 &amp; "|" &amp; H711, "")</f>
        <v>principal-process-steward|ElicitationSessions</v>
      </c>
      <c r="N711" s="2" t="s">
        <v>9938</v>
      </c>
    </row>
    <row r="712">
      <c r="A712" s="2" t="s">
        <v>10648</v>
      </c>
      <c r="B712" s="3" t="str">
        <f>C712 &amp; " -&gt; " &amp; D712</f>
        <v>principal-process-steward -&gt; ElicitationSessions.ConcentratedSessionVersionKey</v>
      </c>
      <c r="C712" s="2" t="s">
        <v>9706</v>
      </c>
      <c r="D712" s="2" t="s">
        <v>3156</v>
      </c>
      <c r="E712" s="2" t="b">
        <v>1</v>
      </c>
      <c r="F712" s="2" t="b">
        <v>0</v>
      </c>
      <c r="G712" s="2" t="s">
        <v>9937</v>
      </c>
      <c r="H712" s="3" t="str">
        <f>_xlfn.IFNA(INDEX(RulebookFields!C2:C999, MATCH(D712,RulebookFields!A2:A999, 0)), "")</f>
        <v>ElicitationSessions</v>
      </c>
      <c r="I712" s="3" t="str">
        <f>_xlfn.IFNA(INDEX(RulebookFields!D2:D999, MATCH(D712,RulebookFields!A2:A999, 0)), "")</f>
        <v>ConcentratedSessionVersionKey</v>
      </c>
      <c r="J712" s="3" t="b">
        <f>_xlfn.IFNA(INDEX(RulebookFields!I2:I999, MATCH(D712,RulebookFields!A2:A999, 0)), "")</f>
        <v>1</v>
      </c>
      <c r="K712" s="3" t="b">
        <f>AND(F712, J712)</f>
        <v>0</v>
      </c>
      <c r="L712" s="3" t="b">
        <f>AND(G712 &lt;&gt; "plain", G712 &lt;&gt; "")</f>
        <v>0</v>
      </c>
      <c r="M712" s="3" t="str">
        <f>IF(E712, C712 &amp; "|" &amp; H712, "")</f>
        <v>principal-process-steward|ElicitationSessions</v>
      </c>
      <c r="N712" s="2" t="s">
        <v>9938</v>
      </c>
    </row>
    <row r="713">
      <c r="A713" s="2" t="s">
        <v>10649</v>
      </c>
      <c r="B713" s="3" t="str">
        <f>C713 &amp; " -&gt; " &amp; D713</f>
        <v>principal-process-steward -&gt; ElicitationSessions.SemanticTypeIri</v>
      </c>
      <c r="C713" s="2" t="s">
        <v>9706</v>
      </c>
      <c r="D713" s="2" t="s">
        <v>3158</v>
      </c>
      <c r="E713" s="2" t="b">
        <v>1</v>
      </c>
      <c r="F713" s="2" t="b">
        <v>0</v>
      </c>
      <c r="G713" s="2" t="s">
        <v>9937</v>
      </c>
      <c r="H713" s="3" t="str">
        <f>_xlfn.IFNA(INDEX(RulebookFields!C2:C999, MATCH(D713,RulebookFields!A2:A999, 0)), "")</f>
        <v>ElicitationSessions</v>
      </c>
      <c r="I713" s="3" t="str">
        <f>_xlfn.IFNA(INDEX(RulebookFields!D2:D999, MATCH(D713,RulebookFields!A2:A999, 0)), "")</f>
        <v>SemanticTypeIri</v>
      </c>
      <c r="J713" s="3" t="b">
        <f>_xlfn.IFNA(INDEX(RulebookFields!I2:I999, MATCH(D713,RulebookFields!A2:A999, 0)), "")</f>
        <v>0</v>
      </c>
      <c r="K713" s="3" t="b">
        <f>AND(F713, J713)</f>
        <v>0</v>
      </c>
      <c r="L713" s="3" t="b">
        <f>AND(G713 &lt;&gt; "plain", G713 &lt;&gt; "")</f>
        <v>0</v>
      </c>
      <c r="M713" s="3" t="str">
        <f>IF(E713, C713 &amp; "|" &amp; H713, "")</f>
        <v>principal-process-steward|ElicitationSessions</v>
      </c>
      <c r="N713" s="2" t="s">
        <v>9938</v>
      </c>
    </row>
    <row r="714">
      <c r="A714" s="2" t="s">
        <v>10650</v>
      </c>
      <c r="B714" s="3" t="str">
        <f>C714 &amp; " -&gt; " &amp; D714</f>
        <v>principal-process-steward -&gt; Errors.ErrorId</v>
      </c>
      <c r="C714" s="2" t="s">
        <v>9706</v>
      </c>
      <c r="D714" s="2" t="s">
        <v>3787</v>
      </c>
      <c r="E714" s="2" t="b">
        <v>1</v>
      </c>
      <c r="F714" s="2" t="b">
        <v>0</v>
      </c>
      <c r="G714" s="2" t="s">
        <v>9937</v>
      </c>
      <c r="H714" s="3" t="str">
        <f>_xlfn.IFNA(INDEX(RulebookFields!C2:C999, MATCH(D714,RulebookFields!A2:A999, 0)), "")</f>
        <v>Errors</v>
      </c>
      <c r="I714" s="3" t="str">
        <f>_xlfn.IFNA(INDEX(RulebookFields!D2:D999, MATCH(D714,RulebookFields!A2:A999, 0)), "")</f>
        <v>ErrorId</v>
      </c>
      <c r="J714" s="3" t="b">
        <f>_xlfn.IFNA(INDEX(RulebookFields!I2:I999, MATCH(D714,RulebookFields!A2:A999, 0)), "")</f>
        <v>0</v>
      </c>
      <c r="K714" s="3" t="b">
        <f>AND(F714, J714)</f>
        <v>0</v>
      </c>
      <c r="L714" s="3" t="b">
        <f>AND(G714 &lt;&gt; "plain", G714 &lt;&gt; "")</f>
        <v>0</v>
      </c>
      <c r="M714" s="3" t="str">
        <f>IF(E714, C714 &amp; "|" &amp; H714, "")</f>
        <v>principal-process-steward|Errors</v>
      </c>
      <c r="N714" s="2" t="s">
        <v>9938</v>
      </c>
    </row>
    <row r="715">
      <c r="A715" s="2" t="s">
        <v>10651</v>
      </c>
      <c r="B715" s="3" t="str">
        <f>C715 &amp; " -&gt; " &amp; D715</f>
        <v>principal-process-steward -&gt; Errors.Name</v>
      </c>
      <c r="C715" s="2" t="s">
        <v>9706</v>
      </c>
      <c r="D715" s="2" t="s">
        <v>3788</v>
      </c>
      <c r="E715" s="2" t="b">
        <v>1</v>
      </c>
      <c r="F715" s="2" t="b">
        <v>0</v>
      </c>
      <c r="G715" s="2" t="s">
        <v>9937</v>
      </c>
      <c r="H715" s="3" t="str">
        <f>_xlfn.IFNA(INDEX(RulebookFields!C2:C999, MATCH(D715,RulebookFields!A2:A999, 0)), "")</f>
        <v>Errors</v>
      </c>
      <c r="I715" s="3" t="str">
        <f>_xlfn.IFNA(INDEX(RulebookFields!D2:D999, MATCH(D715,RulebookFields!A2:A999, 0)), "")</f>
        <v>Name</v>
      </c>
      <c r="J715" s="3" t="b">
        <f>_xlfn.IFNA(INDEX(RulebookFields!I2:I999, MATCH(D715,RulebookFields!A2:A999, 0)), "")</f>
        <v>1</v>
      </c>
      <c r="K715" s="3" t="b">
        <f>AND(F715, J715)</f>
        <v>0</v>
      </c>
      <c r="L715" s="3" t="b">
        <f>AND(G715 &lt;&gt; "plain", G715 &lt;&gt; "")</f>
        <v>0</v>
      </c>
      <c r="M715" s="3" t="str">
        <f>IF(E715, C715 &amp; "|" &amp; H715, "")</f>
        <v>principal-process-steward|Errors</v>
      </c>
      <c r="N715" s="2" t="s">
        <v>9938</v>
      </c>
    </row>
    <row r="716">
      <c r="A716" s="2" t="s">
        <v>10652</v>
      </c>
      <c r="B716" s="3" t="str">
        <f>C716 &amp; " -&gt; " &amp; D716</f>
        <v>principal-process-steward -&gt; Errors.Label</v>
      </c>
      <c r="C716" s="2" t="s">
        <v>9706</v>
      </c>
      <c r="D716" s="2" t="s">
        <v>3790</v>
      </c>
      <c r="E716" s="2" t="b">
        <v>1</v>
      </c>
      <c r="F716" s="2" t="b">
        <v>0</v>
      </c>
      <c r="G716" s="2" t="s">
        <v>9937</v>
      </c>
      <c r="H716" s="3" t="str">
        <f>_xlfn.IFNA(INDEX(RulebookFields!C2:C999, MATCH(D716,RulebookFields!A2:A999, 0)), "")</f>
        <v>Errors</v>
      </c>
      <c r="I716" s="3" t="str">
        <f>_xlfn.IFNA(INDEX(RulebookFields!D2:D999, MATCH(D716,RulebookFields!A2:A999, 0)), "")</f>
        <v>Label</v>
      </c>
      <c r="J716" s="3" t="b">
        <f>_xlfn.IFNA(INDEX(RulebookFields!I2:I999, MATCH(D716,RulebookFields!A2:A999, 0)), "")</f>
        <v>0</v>
      </c>
      <c r="K716" s="3" t="b">
        <f>AND(F716, J716)</f>
        <v>0</v>
      </c>
      <c r="L716" s="3" t="b">
        <f>AND(G716 &lt;&gt; "plain", G716 &lt;&gt; "")</f>
        <v>0</v>
      </c>
      <c r="M716" s="3" t="str">
        <f>IF(E716, C716 &amp; "|" &amp; H716, "")</f>
        <v>principal-process-steward|Errors</v>
      </c>
      <c r="N716" s="2" t="s">
        <v>9938</v>
      </c>
    </row>
    <row r="717">
      <c r="A717" s="2" t="s">
        <v>10653</v>
      </c>
      <c r="B717" s="3" t="str">
        <f>C717 &amp; " -&gt; " &amp; D717</f>
        <v>principal-process-steward -&gt; Errors.ErrorCode</v>
      </c>
      <c r="C717" s="2" t="s">
        <v>9706</v>
      </c>
      <c r="D717" s="2" t="s">
        <v>3791</v>
      </c>
      <c r="E717" s="2" t="b">
        <v>1</v>
      </c>
      <c r="F717" s="2" t="b">
        <v>0</v>
      </c>
      <c r="G717" s="2" t="s">
        <v>9937</v>
      </c>
      <c r="H717" s="3" t="str">
        <f>_xlfn.IFNA(INDEX(RulebookFields!C2:C999, MATCH(D717,RulebookFields!A2:A999, 0)), "")</f>
        <v>Errors</v>
      </c>
      <c r="I717" s="3" t="str">
        <f>_xlfn.IFNA(INDEX(RulebookFields!D2:D999, MATCH(D717,RulebookFields!A2:A999, 0)), "")</f>
        <v>ErrorCode</v>
      </c>
      <c r="J717" s="3" t="b">
        <f>_xlfn.IFNA(INDEX(RulebookFields!I2:I999, MATCH(D717,RulebookFields!A2:A999, 0)), "")</f>
        <v>0</v>
      </c>
      <c r="K717" s="3" t="b">
        <f>AND(F717, J717)</f>
        <v>0</v>
      </c>
      <c r="L717" s="3" t="b">
        <f>AND(G717 &lt;&gt; "plain", G717 &lt;&gt; "")</f>
        <v>0</v>
      </c>
      <c r="M717" s="3" t="str">
        <f>IF(E717, C717 &amp; "|" &amp; H717, "")</f>
        <v>principal-process-steward|Errors</v>
      </c>
      <c r="N717" s="2" t="s">
        <v>9938</v>
      </c>
    </row>
    <row r="718">
      <c r="A718" s="2" t="s">
        <v>10654</v>
      </c>
      <c r="B718" s="3" t="str">
        <f>C718 &amp; " -&gt; " &amp; D718</f>
        <v>principal-process-steward -&gt; Errors.ErrorCause</v>
      </c>
      <c r="C718" s="2" t="s">
        <v>9706</v>
      </c>
      <c r="D718" s="2" t="s">
        <v>3792</v>
      </c>
      <c r="E718" s="2" t="b">
        <v>1</v>
      </c>
      <c r="F718" s="2" t="b">
        <v>0</v>
      </c>
      <c r="G718" s="2" t="s">
        <v>9937</v>
      </c>
      <c r="H718" s="3" t="str">
        <f>_xlfn.IFNA(INDEX(RulebookFields!C2:C999, MATCH(D718,RulebookFields!A2:A999, 0)), "")</f>
        <v>Errors</v>
      </c>
      <c r="I718" s="3" t="str">
        <f>_xlfn.IFNA(INDEX(RulebookFields!D2:D999, MATCH(D718,RulebookFields!A2:A999, 0)), "")</f>
        <v>ErrorCause</v>
      </c>
      <c r="J718" s="3" t="b">
        <f>_xlfn.IFNA(INDEX(RulebookFields!I2:I999, MATCH(D718,RulebookFields!A2:A999, 0)), "")</f>
        <v>0</v>
      </c>
      <c r="K718" s="3" t="b">
        <f>AND(F718, J718)</f>
        <v>0</v>
      </c>
      <c r="L718" s="3" t="b">
        <f>AND(G718 &lt;&gt; "plain", G718 &lt;&gt; "")</f>
        <v>0</v>
      </c>
      <c r="M718" s="3" t="str">
        <f>IF(E718, C718 &amp; "|" &amp; H718, "")</f>
        <v>principal-process-steward|Errors</v>
      </c>
      <c r="N718" s="2" t="s">
        <v>9938</v>
      </c>
    </row>
    <row r="719">
      <c r="A719" s="2" t="s">
        <v>10655</v>
      </c>
      <c r="B719" s="3" t="str">
        <f>C719 &amp; " -&gt; " &amp; D719</f>
        <v>principal-process-steward -&gt; Errors.SemanticTypeIri</v>
      </c>
      <c r="C719" s="2" t="s">
        <v>9706</v>
      </c>
      <c r="D719" s="2" t="s">
        <v>3793</v>
      </c>
      <c r="E719" s="2" t="b">
        <v>1</v>
      </c>
      <c r="F719" s="2" t="b">
        <v>0</v>
      </c>
      <c r="G719" s="2" t="s">
        <v>9937</v>
      </c>
      <c r="H719" s="3" t="str">
        <f>_xlfn.IFNA(INDEX(RulebookFields!C2:C999, MATCH(D719,RulebookFields!A2:A999, 0)), "")</f>
        <v>Errors</v>
      </c>
      <c r="I719" s="3" t="str">
        <f>_xlfn.IFNA(INDEX(RulebookFields!D2:D999, MATCH(D719,RulebookFields!A2:A999, 0)), "")</f>
        <v>SemanticTypeIri</v>
      </c>
      <c r="J719" s="3" t="b">
        <f>_xlfn.IFNA(INDEX(RulebookFields!I2:I999, MATCH(D719,RulebookFields!A2:A999, 0)), "")</f>
        <v>0</v>
      </c>
      <c r="K719" s="3" t="b">
        <f>AND(F719, J719)</f>
        <v>0</v>
      </c>
      <c r="L719" s="3" t="b">
        <f>AND(G719 &lt;&gt; "plain", G719 &lt;&gt; "")</f>
        <v>0</v>
      </c>
      <c r="M719" s="3" t="str">
        <f>IF(E719, C719 &amp; "|" &amp; H719, "")</f>
        <v>principal-process-steward|Errors</v>
      </c>
      <c r="N719" s="2" t="s">
        <v>9938</v>
      </c>
    </row>
    <row r="720">
      <c r="A720" s="2" t="s">
        <v>10656</v>
      </c>
      <c r="B720" s="3" t="str">
        <f>C720 &amp; " -&gt; " &amp; D720</f>
        <v>principal-process-steward -&gt; EvaluationContexts.EvaluationContextId</v>
      </c>
      <c r="C720" s="2" t="s">
        <v>9706</v>
      </c>
      <c r="D720" s="2" t="s">
        <v>2412</v>
      </c>
      <c r="E720" s="2" t="b">
        <v>1</v>
      </c>
      <c r="F720" s="2" t="b">
        <v>0</v>
      </c>
      <c r="G720" s="2" t="s">
        <v>9937</v>
      </c>
      <c r="H720" s="3" t="str">
        <f>_xlfn.IFNA(INDEX(RulebookFields!C2:C999, MATCH(D720,RulebookFields!A2:A999, 0)), "")</f>
        <v>EvaluationContexts</v>
      </c>
      <c r="I720" s="3" t="str">
        <f>_xlfn.IFNA(INDEX(RulebookFields!D2:D999, MATCH(D720,RulebookFields!A2:A999, 0)), "")</f>
        <v>EvaluationContextId</v>
      </c>
      <c r="J720" s="3" t="b">
        <f>_xlfn.IFNA(INDEX(RulebookFields!I2:I999, MATCH(D720,RulebookFields!A2:A999, 0)), "")</f>
        <v>0</v>
      </c>
      <c r="K720" s="3" t="b">
        <f>AND(F720, J720)</f>
        <v>0</v>
      </c>
      <c r="L720" s="3" t="b">
        <f>AND(G720 &lt;&gt; "plain", G720 &lt;&gt; "")</f>
        <v>0</v>
      </c>
      <c r="M720" s="3" t="str">
        <f>IF(E720, C720 &amp; "|" &amp; H720, "")</f>
        <v>principal-process-steward|EvaluationContexts</v>
      </c>
      <c r="N720" s="2" t="s">
        <v>9938</v>
      </c>
    </row>
    <row r="721">
      <c r="A721" s="2" t="s">
        <v>10657</v>
      </c>
      <c r="B721" s="3" t="str">
        <f>C721 &amp; " -&gt; " &amp; D721</f>
        <v>principal-process-steward -&gt; EvaluationContexts.Name</v>
      </c>
      <c r="C721" s="2" t="s">
        <v>9706</v>
      </c>
      <c r="D721" s="2" t="s">
        <v>2414</v>
      </c>
      <c r="E721" s="2" t="b">
        <v>1</v>
      </c>
      <c r="F721" s="2" t="b">
        <v>0</v>
      </c>
      <c r="G721" s="2" t="s">
        <v>9937</v>
      </c>
      <c r="H721" s="3" t="str">
        <f>_xlfn.IFNA(INDEX(RulebookFields!C2:C999, MATCH(D721,RulebookFields!A2:A999, 0)), "")</f>
        <v>EvaluationContexts</v>
      </c>
      <c r="I721" s="3" t="str">
        <f>_xlfn.IFNA(INDEX(RulebookFields!D2:D999, MATCH(D721,RulebookFields!A2:A999, 0)), "")</f>
        <v>Name</v>
      </c>
      <c r="J721" s="3" t="b">
        <f>_xlfn.IFNA(INDEX(RulebookFields!I2:I999, MATCH(D721,RulebookFields!A2:A999, 0)), "")</f>
        <v>1</v>
      </c>
      <c r="K721" s="3" t="b">
        <f>AND(F721, J721)</f>
        <v>0</v>
      </c>
      <c r="L721" s="3" t="b">
        <f>AND(G721 &lt;&gt; "plain", G721 &lt;&gt; "")</f>
        <v>0</v>
      </c>
      <c r="M721" s="3" t="str">
        <f>IF(E721, C721 &amp; "|" &amp; H721, "")</f>
        <v>principal-process-steward|EvaluationContexts</v>
      </c>
      <c r="N721" s="2" t="s">
        <v>9938</v>
      </c>
    </row>
    <row r="722">
      <c r="A722" s="2" t="s">
        <v>10658</v>
      </c>
      <c r="B722" s="3" t="str">
        <f>C722 &amp; " -&gt; " &amp; D722</f>
        <v>principal-process-steward -&gt; EvaluationContexts.Label</v>
      </c>
      <c r="C722" s="2" t="s">
        <v>9706</v>
      </c>
      <c r="D722" s="2" t="s">
        <v>2416</v>
      </c>
      <c r="E722" s="2" t="b">
        <v>1</v>
      </c>
      <c r="F722" s="2" t="b">
        <v>0</v>
      </c>
      <c r="G722" s="2" t="s">
        <v>9937</v>
      </c>
      <c r="H722" s="3" t="str">
        <f>_xlfn.IFNA(INDEX(RulebookFields!C2:C999, MATCH(D722,RulebookFields!A2:A999, 0)), "")</f>
        <v>EvaluationContexts</v>
      </c>
      <c r="I722" s="3" t="str">
        <f>_xlfn.IFNA(INDEX(RulebookFields!D2:D999, MATCH(D722,RulebookFields!A2:A999, 0)), "")</f>
        <v>Label</v>
      </c>
      <c r="J722" s="3" t="b">
        <f>_xlfn.IFNA(INDEX(RulebookFields!I2:I999, MATCH(D722,RulebookFields!A2:A999, 0)), "")</f>
        <v>0</v>
      </c>
      <c r="K722" s="3" t="b">
        <f>AND(F722, J722)</f>
        <v>0</v>
      </c>
      <c r="L722" s="3" t="b">
        <f>AND(G722 &lt;&gt; "plain", G722 &lt;&gt; "")</f>
        <v>0</v>
      </c>
      <c r="M722" s="3" t="str">
        <f>IF(E722, C722 &amp; "|" &amp; H722, "")</f>
        <v>principal-process-steward|EvaluationContexts</v>
      </c>
      <c r="N722" s="2" t="s">
        <v>9938</v>
      </c>
    </row>
    <row r="723">
      <c r="A723" s="2" t="s">
        <v>10659</v>
      </c>
      <c r="B723" s="3" t="str">
        <f>C723 &amp; " -&gt; " &amp; D723</f>
        <v>principal-process-steward -&gt; EvaluationContexts.AsOfInstant</v>
      </c>
      <c r="C723" s="2" t="s">
        <v>9706</v>
      </c>
      <c r="D723" s="2" t="s">
        <v>2417</v>
      </c>
      <c r="E723" s="2" t="b">
        <v>1</v>
      </c>
      <c r="F723" s="2" t="b">
        <v>0</v>
      </c>
      <c r="G723" s="2" t="s">
        <v>9937</v>
      </c>
      <c r="H723" s="3" t="str">
        <f>_xlfn.IFNA(INDEX(RulebookFields!C2:C999, MATCH(D723,RulebookFields!A2:A999, 0)), "")</f>
        <v>EvaluationContexts</v>
      </c>
      <c r="I723" s="3" t="str">
        <f>_xlfn.IFNA(INDEX(RulebookFields!D2:D999, MATCH(D723,RulebookFields!A2:A999, 0)), "")</f>
        <v>AsOfInstant</v>
      </c>
      <c r="J723" s="3" t="b">
        <f>_xlfn.IFNA(INDEX(RulebookFields!I2:I999, MATCH(D723,RulebookFields!A2:A999, 0)), "")</f>
        <v>0</v>
      </c>
      <c r="K723" s="3" t="b">
        <f>AND(F723, J723)</f>
        <v>0</v>
      </c>
      <c r="L723" s="3" t="b">
        <f>AND(G723 &lt;&gt; "plain", G723 &lt;&gt; "")</f>
        <v>0</v>
      </c>
      <c r="M723" s="3" t="str">
        <f>IF(E723, C723 &amp; "|" &amp; H723, "")</f>
        <v>principal-process-steward|EvaluationContexts</v>
      </c>
      <c r="N723" s="2" t="s">
        <v>9938</v>
      </c>
    </row>
    <row r="724">
      <c r="A724" s="2" t="s">
        <v>10660</v>
      </c>
      <c r="B724" s="3" t="str">
        <f>C724 &amp; " -&gt; " &amp; D724</f>
        <v>principal-process-steward -&gt; EvaluationContexts.IsCurrent</v>
      </c>
      <c r="C724" s="2" t="s">
        <v>9706</v>
      </c>
      <c r="D724" s="2" t="s">
        <v>2418</v>
      </c>
      <c r="E724" s="2" t="b">
        <v>1</v>
      </c>
      <c r="F724" s="2" t="b">
        <v>0</v>
      </c>
      <c r="G724" s="2" t="s">
        <v>9937</v>
      </c>
      <c r="H724" s="3" t="str">
        <f>_xlfn.IFNA(INDEX(RulebookFields!C2:C999, MATCH(D724,RulebookFields!A2:A999, 0)), "")</f>
        <v>EvaluationContexts</v>
      </c>
      <c r="I724" s="3" t="str">
        <f>_xlfn.IFNA(INDEX(RulebookFields!D2:D999, MATCH(D724,RulebookFields!A2:A999, 0)), "")</f>
        <v>IsCurrent</v>
      </c>
      <c r="J724" s="3" t="b">
        <f>_xlfn.IFNA(INDEX(RulebookFields!I2:I999, MATCH(D724,RulebookFields!A2:A999, 0)), "")</f>
        <v>0</v>
      </c>
      <c r="K724" s="3" t="b">
        <f>AND(F724, J724)</f>
        <v>0</v>
      </c>
      <c r="L724" s="3" t="b">
        <f>AND(G724 &lt;&gt; "plain", G724 &lt;&gt; "")</f>
        <v>0</v>
      </c>
      <c r="M724" s="3" t="str">
        <f>IF(E724, C724 &amp; "|" &amp; H724, "")</f>
        <v>principal-process-steward|EvaluationContexts</v>
      </c>
      <c r="N724" s="2" t="s">
        <v>9938</v>
      </c>
    </row>
    <row r="725">
      <c r="A725" s="2" t="s">
        <v>10661</v>
      </c>
      <c r="B725" s="3" t="str">
        <f>C725 &amp; " -&gt; " &amp; D725</f>
        <v>principal-process-steward -&gt; EvaluationContexts.Rationale</v>
      </c>
      <c r="C725" s="2" t="s">
        <v>9706</v>
      </c>
      <c r="D725" s="2" t="s">
        <v>2419</v>
      </c>
      <c r="E725" s="2" t="b">
        <v>1</v>
      </c>
      <c r="F725" s="2" t="b">
        <v>0</v>
      </c>
      <c r="G725" s="2" t="s">
        <v>9937</v>
      </c>
      <c r="H725" s="3" t="str">
        <f>_xlfn.IFNA(INDEX(RulebookFields!C2:C999, MATCH(D725,RulebookFields!A2:A999, 0)), "")</f>
        <v>EvaluationContexts</v>
      </c>
      <c r="I725" s="3" t="str">
        <f>_xlfn.IFNA(INDEX(RulebookFields!D2:D999, MATCH(D725,RulebookFields!A2:A999, 0)), "")</f>
        <v>Rationale</v>
      </c>
      <c r="J725" s="3" t="b">
        <f>_xlfn.IFNA(INDEX(RulebookFields!I2:I999, MATCH(D725,RulebookFields!A2:A999, 0)), "")</f>
        <v>0</v>
      </c>
      <c r="K725" s="3" t="b">
        <f>AND(F725, J725)</f>
        <v>0</v>
      </c>
      <c r="L725" s="3" t="b">
        <f>AND(G725 &lt;&gt; "plain", G725 &lt;&gt; "")</f>
        <v>0</v>
      </c>
      <c r="M725" s="3" t="str">
        <f>IF(E725, C725 &amp; "|" &amp; H725, "")</f>
        <v>principal-process-steward|EvaluationContexts</v>
      </c>
      <c r="N725" s="2" t="s">
        <v>9938</v>
      </c>
    </row>
    <row r="726">
      <c r="A726" s="2" t="s">
        <v>10662</v>
      </c>
      <c r="B726" s="3" t="str">
        <f>C726 &amp; " -&gt; " &amp; D726</f>
        <v>principal-process-steward -&gt; EvaluationContexts.SemanticTypeIri</v>
      </c>
      <c r="C726" s="2" t="s">
        <v>9706</v>
      </c>
      <c r="D726" s="2" t="s">
        <v>2420</v>
      </c>
      <c r="E726" s="2" t="b">
        <v>1</v>
      </c>
      <c r="F726" s="2" t="b">
        <v>0</v>
      </c>
      <c r="G726" s="2" t="s">
        <v>9937</v>
      </c>
      <c r="H726" s="3" t="str">
        <f>_xlfn.IFNA(INDEX(RulebookFields!C2:C999, MATCH(D726,RulebookFields!A2:A999, 0)), "")</f>
        <v>EvaluationContexts</v>
      </c>
      <c r="I726" s="3" t="str">
        <f>_xlfn.IFNA(INDEX(RulebookFields!D2:D999, MATCH(D726,RulebookFields!A2:A999, 0)), "")</f>
        <v>SemanticTypeIri</v>
      </c>
      <c r="J726" s="3" t="b">
        <f>_xlfn.IFNA(INDEX(RulebookFields!I2:I999, MATCH(D726,RulebookFields!A2:A999, 0)), "")</f>
        <v>0</v>
      </c>
      <c r="K726" s="3" t="b">
        <f>AND(F726, J726)</f>
        <v>0</v>
      </c>
      <c r="L726" s="3" t="b">
        <f>AND(G726 &lt;&gt; "plain", G726 &lt;&gt; "")</f>
        <v>0</v>
      </c>
      <c r="M726" s="3" t="str">
        <f>IF(E726, C726 &amp; "|" &amp; H726, "")</f>
        <v>principal-process-steward|EvaluationContexts</v>
      </c>
      <c r="N726" s="2" t="s">
        <v>9938</v>
      </c>
    </row>
    <row r="727">
      <c r="A727" s="2" t="s">
        <v>10663</v>
      </c>
      <c r="B727" s="3" t="str">
        <f>C727 &amp; " -&gt; " &amp; D727</f>
        <v>principal-process-steward -&gt; ExceptionInvocations.ExceptionInvocationId</v>
      </c>
      <c r="C727" s="2" t="s">
        <v>9706</v>
      </c>
      <c r="D727" s="2" t="s">
        <v>4220</v>
      </c>
      <c r="E727" s="2" t="b">
        <v>1</v>
      </c>
      <c r="F727" s="2" t="b">
        <v>0</v>
      </c>
      <c r="G727" s="2" t="s">
        <v>9937</v>
      </c>
      <c r="H727" s="3" t="str">
        <f>_xlfn.IFNA(INDEX(RulebookFields!C2:C999, MATCH(D727,RulebookFields!A2:A999, 0)), "")</f>
      </c>
      <c r="I727" s="3" t="str">
        <f>_xlfn.IFNA(INDEX(RulebookFields!D2:D999, MATCH(D727,RulebookFields!A2:A999, 0)), "")</f>
      </c>
      <c r="J727" s="3" t="str">
        <f>_xlfn.IFNA(INDEX(RulebookFields!I2:I999, MATCH(D727,RulebookFields!A2:A999, 0)), "")</f>
      </c>
      <c r="K727" s="3" t="b">
        <f>AND(F727, J727)</f>
        <v>0</v>
      </c>
      <c r="L727" s="3" t="b">
        <f>AND(G727 &lt;&gt; "plain", G727 &lt;&gt; "")</f>
        <v>0</v>
      </c>
      <c r="M727" s="3" t="str">
        <f>IF(E727, C727 &amp; "|" &amp; H727, "")</f>
        <v>principal-process-steward|</v>
      </c>
      <c r="N727" s="2" t="s">
        <v>9938</v>
      </c>
    </row>
    <row r="728">
      <c r="A728" s="2" t="s">
        <v>10664</v>
      </c>
      <c r="B728" s="3" t="str">
        <f>C728 &amp; " -&gt; " &amp; D728</f>
        <v>principal-process-steward -&gt; ExceptionInvocations.Name</v>
      </c>
      <c r="C728" s="2" t="s">
        <v>9706</v>
      </c>
      <c r="D728" s="2" t="s">
        <v>4223</v>
      </c>
      <c r="E728" s="2" t="b">
        <v>1</v>
      </c>
      <c r="F728" s="2" t="b">
        <v>0</v>
      </c>
      <c r="G728" s="2" t="s">
        <v>9937</v>
      </c>
      <c r="H728" s="3" t="str">
        <f>_xlfn.IFNA(INDEX(RulebookFields!C2:C999, MATCH(D728,RulebookFields!A2:A999, 0)), "")</f>
      </c>
      <c r="I728" s="3" t="str">
        <f>_xlfn.IFNA(INDEX(RulebookFields!D2:D999, MATCH(D728,RulebookFields!A2:A999, 0)), "")</f>
      </c>
      <c r="J728" s="3" t="str">
        <f>_xlfn.IFNA(INDEX(RulebookFields!I2:I999, MATCH(D728,RulebookFields!A2:A999, 0)), "")</f>
      </c>
      <c r="K728" s="3" t="b">
        <f>AND(F728, J728)</f>
        <v>0</v>
      </c>
      <c r="L728" s="3" t="b">
        <f>AND(G728 &lt;&gt; "plain", G728 &lt;&gt; "")</f>
        <v>0</v>
      </c>
      <c r="M728" s="3" t="str">
        <f>IF(E728, C728 &amp; "|" &amp; H728, "")</f>
        <v>principal-process-steward|</v>
      </c>
      <c r="N728" s="2" t="s">
        <v>9938</v>
      </c>
    </row>
    <row r="729">
      <c r="A729" s="2" t="s">
        <v>10665</v>
      </c>
      <c r="B729" s="3" t="str">
        <f>C729 &amp; " -&gt; " &amp; D729</f>
        <v>principal-process-steward -&gt; ExceptionInvocations.StepExecution</v>
      </c>
      <c r="C729" s="2" t="s">
        <v>9706</v>
      </c>
      <c r="D729" s="2" t="s">
        <v>4225</v>
      </c>
      <c r="E729" s="2" t="b">
        <v>1</v>
      </c>
      <c r="F729" s="2" t="b">
        <v>0</v>
      </c>
      <c r="G729" s="2" t="s">
        <v>9937</v>
      </c>
      <c r="H729" s="3" t="str">
        <f>_xlfn.IFNA(INDEX(RulebookFields!C2:C999, MATCH(D729,RulebookFields!A2:A999, 0)), "")</f>
      </c>
      <c r="I729" s="3" t="str">
        <f>_xlfn.IFNA(INDEX(RulebookFields!D2:D999, MATCH(D729,RulebookFields!A2:A999, 0)), "")</f>
      </c>
      <c r="J729" s="3" t="str">
        <f>_xlfn.IFNA(INDEX(RulebookFields!I2:I999, MATCH(D729,RulebookFields!A2:A999, 0)), "")</f>
      </c>
      <c r="K729" s="3" t="b">
        <f>AND(F729, J729)</f>
        <v>0</v>
      </c>
      <c r="L729" s="3" t="b">
        <f>AND(G729 &lt;&gt; "plain", G729 &lt;&gt; "")</f>
        <v>0</v>
      </c>
      <c r="M729" s="3" t="str">
        <f>IF(E729, C729 &amp; "|" &amp; H729, "")</f>
        <v>principal-process-steward|</v>
      </c>
      <c r="N729" s="2" t="s">
        <v>9938</v>
      </c>
    </row>
    <row r="730">
      <c r="A730" s="2" t="s">
        <v>10666</v>
      </c>
      <c r="B730" s="3" t="str">
        <f>C730 &amp; " -&gt; " &amp; D730</f>
        <v>principal-process-steward -&gt; ExceptionInvocations.Exception</v>
      </c>
      <c r="C730" s="2" t="s">
        <v>9706</v>
      </c>
      <c r="D730" s="2" t="s">
        <v>4226</v>
      </c>
      <c r="E730" s="2" t="b">
        <v>1</v>
      </c>
      <c r="F730" s="2" t="b">
        <v>0</v>
      </c>
      <c r="G730" s="2" t="s">
        <v>9937</v>
      </c>
      <c r="H730" s="3" t="str">
        <f>_xlfn.IFNA(INDEX(RulebookFields!C2:C999, MATCH(D730,RulebookFields!A2:A999, 0)), "")</f>
      </c>
      <c r="I730" s="3" t="str">
        <f>_xlfn.IFNA(INDEX(RulebookFields!D2:D999, MATCH(D730,RulebookFields!A2:A999, 0)), "")</f>
      </c>
      <c r="J730" s="3" t="str">
        <f>_xlfn.IFNA(INDEX(RulebookFields!I2:I999, MATCH(D730,RulebookFields!A2:A999, 0)), "")</f>
      </c>
      <c r="K730" s="3" t="b">
        <f>AND(F730, J730)</f>
        <v>0</v>
      </c>
      <c r="L730" s="3" t="b">
        <f>AND(G730 &lt;&gt; "plain", G730 &lt;&gt; "")</f>
        <v>0</v>
      </c>
      <c r="M730" s="3" t="str">
        <f>IF(E730, C730 &amp; "|" &amp; H730, "")</f>
        <v>principal-process-steward|</v>
      </c>
      <c r="N730" s="2" t="s">
        <v>9938</v>
      </c>
    </row>
    <row r="731">
      <c r="A731" s="2" t="s">
        <v>10667</v>
      </c>
      <c r="B731" s="3" t="str">
        <f>C731 &amp; " -&gt; " &amp; D731</f>
        <v>principal-process-steward -&gt; ExceptionInvocations.InvokedByAgent</v>
      </c>
      <c r="C731" s="2" t="s">
        <v>9706</v>
      </c>
      <c r="D731" s="2" t="s">
        <v>4228</v>
      </c>
      <c r="E731" s="2" t="b">
        <v>1</v>
      </c>
      <c r="F731" s="2" t="b">
        <v>0</v>
      </c>
      <c r="G731" s="2" t="s">
        <v>9937</v>
      </c>
      <c r="H731" s="3" t="str">
        <f>_xlfn.IFNA(INDEX(RulebookFields!C2:C999, MATCH(D731,RulebookFields!A2:A999, 0)), "")</f>
      </c>
      <c r="I731" s="3" t="str">
        <f>_xlfn.IFNA(INDEX(RulebookFields!D2:D999, MATCH(D731,RulebookFields!A2:A999, 0)), "")</f>
      </c>
      <c r="J731" s="3" t="str">
        <f>_xlfn.IFNA(INDEX(RulebookFields!I2:I999, MATCH(D731,RulebookFields!A2:A999, 0)), "")</f>
      </c>
      <c r="K731" s="3" t="b">
        <f>AND(F731, J731)</f>
        <v>0</v>
      </c>
      <c r="L731" s="3" t="b">
        <f>AND(G731 &lt;&gt; "plain", G731 &lt;&gt; "")</f>
        <v>0</v>
      </c>
      <c r="M731" s="3" t="str">
        <f>IF(E731, C731 &amp; "|" &amp; H731, "")</f>
        <v>principal-process-steward|</v>
      </c>
      <c r="N731" s="2" t="s">
        <v>9938</v>
      </c>
    </row>
    <row r="732">
      <c r="A732" s="2" t="s">
        <v>10668</v>
      </c>
      <c r="B732" s="3" t="str">
        <f>C732 &amp; " -&gt; " &amp; D732</f>
        <v>principal-process-steward -&gt; ExceptionInvocations.ApprovedByAgent</v>
      </c>
      <c r="C732" s="2" t="s">
        <v>9706</v>
      </c>
      <c r="D732" s="2" t="s">
        <v>4230</v>
      </c>
      <c r="E732" s="2" t="b">
        <v>1</v>
      </c>
      <c r="F732" s="2" t="b">
        <v>0</v>
      </c>
      <c r="G732" s="2" t="s">
        <v>9937</v>
      </c>
      <c r="H732" s="3" t="str">
        <f>_xlfn.IFNA(INDEX(RulebookFields!C2:C999, MATCH(D732,RulebookFields!A2:A999, 0)), "")</f>
      </c>
      <c r="I732" s="3" t="str">
        <f>_xlfn.IFNA(INDEX(RulebookFields!D2:D999, MATCH(D732,RulebookFields!A2:A999, 0)), "")</f>
      </c>
      <c r="J732" s="3" t="str">
        <f>_xlfn.IFNA(INDEX(RulebookFields!I2:I999, MATCH(D732,RulebookFields!A2:A999, 0)), "")</f>
      </c>
      <c r="K732" s="3" t="b">
        <f>AND(F732, J732)</f>
        <v>0</v>
      </c>
      <c r="L732" s="3" t="b">
        <f>AND(G732 &lt;&gt; "plain", G732 &lt;&gt; "")</f>
        <v>0</v>
      </c>
      <c r="M732" s="3" t="str">
        <f>IF(E732, C732 &amp; "|" &amp; H732, "")</f>
        <v>principal-process-steward|</v>
      </c>
      <c r="N732" s="2" t="s">
        <v>9938</v>
      </c>
    </row>
    <row r="733">
      <c r="A733" s="2" t="s">
        <v>10669</v>
      </c>
      <c r="B733" s="3" t="str">
        <f>C733 &amp; " -&gt; " &amp; D733</f>
        <v>principal-process-steward -&gt; ExceptionInvocations.InvokedAt</v>
      </c>
      <c r="C733" s="2" t="s">
        <v>9706</v>
      </c>
      <c r="D733" s="2" t="s">
        <v>4232</v>
      </c>
      <c r="E733" s="2" t="b">
        <v>1</v>
      </c>
      <c r="F733" s="2" t="b">
        <v>0</v>
      </c>
      <c r="G733" s="2" t="s">
        <v>9937</v>
      </c>
      <c r="H733" s="3" t="str">
        <f>_xlfn.IFNA(INDEX(RulebookFields!C2:C999, MATCH(D733,RulebookFields!A2:A999, 0)), "")</f>
      </c>
      <c r="I733" s="3" t="str">
        <f>_xlfn.IFNA(INDEX(RulebookFields!D2:D999, MATCH(D733,RulebookFields!A2:A999, 0)), "")</f>
      </c>
      <c r="J733" s="3" t="str">
        <f>_xlfn.IFNA(INDEX(RulebookFields!I2:I999, MATCH(D733,RulebookFields!A2:A999, 0)), "")</f>
      </c>
      <c r="K733" s="3" t="b">
        <f>AND(F733, J733)</f>
        <v>0</v>
      </c>
      <c r="L733" s="3" t="b">
        <f>AND(G733 &lt;&gt; "plain", G733 &lt;&gt; "")</f>
        <v>0</v>
      </c>
      <c r="M733" s="3" t="str">
        <f>IF(E733, C733 &amp; "|" &amp; H733, "")</f>
        <v>principal-process-steward|</v>
      </c>
      <c r="N733" s="2" t="s">
        <v>9938</v>
      </c>
    </row>
    <row r="734">
      <c r="A734" s="2" t="s">
        <v>10670</v>
      </c>
      <c r="B734" s="3" t="str">
        <f>C734 &amp; " -&gt; " &amp; D734</f>
        <v>principal-process-steward -&gt; ExceptionInvocations.HandlingApplied</v>
      </c>
      <c r="C734" s="2" t="s">
        <v>9706</v>
      </c>
      <c r="D734" s="2" t="s">
        <v>4234</v>
      </c>
      <c r="E734" s="2" t="b">
        <v>1</v>
      </c>
      <c r="F734" s="2" t="b">
        <v>0</v>
      </c>
      <c r="G734" s="2" t="s">
        <v>9937</v>
      </c>
      <c r="H734" s="3" t="str">
        <f>_xlfn.IFNA(INDEX(RulebookFields!C2:C999, MATCH(D734,RulebookFields!A2:A999, 0)), "")</f>
      </c>
      <c r="I734" s="3" t="str">
        <f>_xlfn.IFNA(INDEX(RulebookFields!D2:D999, MATCH(D734,RulebookFields!A2:A999, 0)), "")</f>
      </c>
      <c r="J734" s="3" t="str">
        <f>_xlfn.IFNA(INDEX(RulebookFields!I2:I999, MATCH(D734,RulebookFields!A2:A999, 0)), "")</f>
      </c>
      <c r="K734" s="3" t="b">
        <f>AND(F734, J734)</f>
        <v>0</v>
      </c>
      <c r="L734" s="3" t="b">
        <f>AND(G734 &lt;&gt; "plain", G734 &lt;&gt; "")</f>
        <v>0</v>
      </c>
      <c r="M734" s="3" t="str">
        <f>IF(E734, C734 &amp; "|" &amp; H734, "")</f>
        <v>principal-process-steward|</v>
      </c>
      <c r="N734" s="2" t="s">
        <v>9938</v>
      </c>
    </row>
    <row r="735">
      <c r="A735" s="2" t="s">
        <v>10671</v>
      </c>
      <c r="B735" s="3" t="str">
        <f>C735 &amp; " -&gt; " &amp; D735</f>
        <v>principal-process-steward -&gt; ExceptionInvocations.ExpectedHandling</v>
      </c>
      <c r="C735" s="2" t="s">
        <v>9706</v>
      </c>
      <c r="D735" s="2" t="s">
        <v>4236</v>
      </c>
      <c r="E735" s="2" t="b">
        <v>1</v>
      </c>
      <c r="F735" s="2" t="b">
        <v>0</v>
      </c>
      <c r="G735" s="2" t="s">
        <v>9937</v>
      </c>
      <c r="H735" s="3" t="str">
        <f>_xlfn.IFNA(INDEX(RulebookFields!C2:C999, MATCH(D735,RulebookFields!A2:A999, 0)), "")</f>
      </c>
      <c r="I735" s="3" t="str">
        <f>_xlfn.IFNA(INDEX(RulebookFields!D2:D999, MATCH(D735,RulebookFields!A2:A999, 0)), "")</f>
      </c>
      <c r="J735" s="3" t="str">
        <f>_xlfn.IFNA(INDEX(RulebookFields!I2:I999, MATCH(D735,RulebookFields!A2:A999, 0)), "")</f>
      </c>
      <c r="K735" s="3" t="b">
        <f>AND(F735, J735)</f>
        <v>0</v>
      </c>
      <c r="L735" s="3" t="b">
        <f>AND(G735 &lt;&gt; "plain", G735 &lt;&gt; "")</f>
        <v>0</v>
      </c>
      <c r="M735" s="3" t="str">
        <f>IF(E735, C735 &amp; "|" &amp; H735, "")</f>
        <v>principal-process-steward|</v>
      </c>
      <c r="N735" s="2" t="s">
        <v>9938</v>
      </c>
    </row>
    <row r="736">
      <c r="A736" s="2" t="s">
        <v>10672</v>
      </c>
      <c r="B736" s="3" t="str">
        <f>C736 &amp; " -&gt; " &amp; D736</f>
        <v>principal-process-steward -&gt; ExceptionInvocations.RequiredApprovalRole</v>
      </c>
      <c r="C736" s="2" t="s">
        <v>9706</v>
      </c>
      <c r="D736" s="2" t="s">
        <v>4239</v>
      </c>
      <c r="E736" s="2" t="b">
        <v>1</v>
      </c>
      <c r="F736" s="2" t="b">
        <v>0</v>
      </c>
      <c r="G736" s="2" t="s">
        <v>9937</v>
      </c>
      <c r="H736" s="3" t="str">
        <f>_xlfn.IFNA(INDEX(RulebookFields!C2:C999, MATCH(D736,RulebookFields!A2:A999, 0)), "")</f>
      </c>
      <c r="I736" s="3" t="str">
        <f>_xlfn.IFNA(INDEX(RulebookFields!D2:D999, MATCH(D736,RulebookFields!A2:A999, 0)), "")</f>
      </c>
      <c r="J736" s="3" t="str">
        <f>_xlfn.IFNA(INDEX(RulebookFields!I2:I999, MATCH(D736,RulebookFields!A2:A999, 0)), "")</f>
      </c>
      <c r="K736" s="3" t="b">
        <f>AND(F736, J736)</f>
        <v>0</v>
      </c>
      <c r="L736" s="3" t="b">
        <f>AND(G736 &lt;&gt; "plain", G736 &lt;&gt; "")</f>
        <v>0</v>
      </c>
      <c r="M736" s="3" t="str">
        <f>IF(E736, C736 &amp; "|" &amp; H736, "")</f>
        <v>principal-process-steward|</v>
      </c>
      <c r="N736" s="2" t="s">
        <v>9938</v>
      </c>
    </row>
    <row r="737">
      <c r="A737" s="2" t="s">
        <v>10673</v>
      </c>
      <c r="B737" s="3" t="str">
        <f>C737 &amp; " -&gt; " &amp; D737</f>
        <v>principal-process-steward -&gt; ExceptionInvocations.RequiredApprovalRoleHolder</v>
      </c>
      <c r="C737" s="2" t="s">
        <v>9706</v>
      </c>
      <c r="D737" s="2" t="s">
        <v>4242</v>
      </c>
      <c r="E737" s="2" t="b">
        <v>1</v>
      </c>
      <c r="F737" s="2" t="b">
        <v>0</v>
      </c>
      <c r="G737" s="2" t="s">
        <v>9937</v>
      </c>
      <c r="H737" s="3" t="str">
        <f>_xlfn.IFNA(INDEX(RulebookFields!C2:C999, MATCH(D737,RulebookFields!A2:A999, 0)), "")</f>
      </c>
      <c r="I737" s="3" t="str">
        <f>_xlfn.IFNA(INDEX(RulebookFields!D2:D999, MATCH(D737,RulebookFields!A2:A999, 0)), "")</f>
      </c>
      <c r="J737" s="3" t="str">
        <f>_xlfn.IFNA(INDEX(RulebookFields!I2:I999, MATCH(D737,RulebookFields!A2:A999, 0)), "")</f>
      </c>
      <c r="K737" s="3" t="b">
        <f>AND(F737, J737)</f>
        <v>0</v>
      </c>
      <c r="L737" s="3" t="b">
        <f>AND(G737 &lt;&gt; "plain", G737 &lt;&gt; "")</f>
        <v>0</v>
      </c>
      <c r="M737" s="3" t="str">
        <f>IF(E737, C737 &amp; "|" &amp; H737, "")</f>
        <v>principal-process-steward|</v>
      </c>
      <c r="N737" s="2" t="s">
        <v>9938</v>
      </c>
    </row>
    <row r="738">
      <c r="A738" s="2" t="s">
        <v>10674</v>
      </c>
      <c r="B738" s="3" t="str">
        <f>C738 &amp; " -&gt; " &amp; D738</f>
        <v>principal-process-steward -&gt; ExceptionInvocations.ApprovalRoleMatches</v>
      </c>
      <c r="C738" s="2" t="s">
        <v>9706</v>
      </c>
      <c r="D738" s="2" t="s">
        <v>4245</v>
      </c>
      <c r="E738" s="2" t="b">
        <v>1</v>
      </c>
      <c r="F738" s="2" t="b">
        <v>0</v>
      </c>
      <c r="G738" s="2" t="s">
        <v>9937</v>
      </c>
      <c r="H738" s="3" t="str">
        <f>_xlfn.IFNA(INDEX(RulebookFields!C2:C999, MATCH(D738,RulebookFields!A2:A999, 0)), "")</f>
      </c>
      <c r="I738" s="3" t="str">
        <f>_xlfn.IFNA(INDEX(RulebookFields!D2:D999, MATCH(D738,RulebookFields!A2:A999, 0)), "")</f>
      </c>
      <c r="J738" s="3" t="str">
        <f>_xlfn.IFNA(INDEX(RulebookFields!I2:I999, MATCH(D738,RulebookFields!A2:A999, 0)), "")</f>
      </c>
      <c r="K738" s="3" t="b">
        <f>AND(F738, J738)</f>
        <v>0</v>
      </c>
      <c r="L738" s="3" t="b">
        <f>AND(G738 &lt;&gt; "plain", G738 &lt;&gt; "")</f>
        <v>0</v>
      </c>
      <c r="M738" s="3" t="str">
        <f>IF(E738, C738 &amp; "|" &amp; H738, "")</f>
        <v>principal-process-steward|</v>
      </c>
      <c r="N738" s="2" t="s">
        <v>9938</v>
      </c>
    </row>
    <row r="739">
      <c r="A739" s="2" t="s">
        <v>10675</v>
      </c>
      <c r="B739" s="3" t="str">
        <f>C739 &amp; " -&gt; " &amp; D739</f>
        <v>principal-process-steward -&gt; ExceptionInvocations.IsApproved</v>
      </c>
      <c r="C739" s="2" t="s">
        <v>9706</v>
      </c>
      <c r="D739" s="2" t="s">
        <v>4248</v>
      </c>
      <c r="E739" s="2" t="b">
        <v>1</v>
      </c>
      <c r="F739" s="2" t="b">
        <v>0</v>
      </c>
      <c r="G739" s="2" t="s">
        <v>9937</v>
      </c>
      <c r="H739" s="3" t="str">
        <f>_xlfn.IFNA(INDEX(RulebookFields!C2:C999, MATCH(D739,RulebookFields!A2:A999, 0)), "")</f>
      </c>
      <c r="I739" s="3" t="str">
        <f>_xlfn.IFNA(INDEX(RulebookFields!D2:D999, MATCH(D739,RulebookFields!A2:A999, 0)), "")</f>
      </c>
      <c r="J739" s="3" t="str">
        <f>_xlfn.IFNA(INDEX(RulebookFields!I2:I999, MATCH(D739,RulebookFields!A2:A999, 0)), "")</f>
      </c>
      <c r="K739" s="3" t="b">
        <f>AND(F739, J739)</f>
        <v>0</v>
      </c>
      <c r="L739" s="3" t="b">
        <f>AND(G739 &lt;&gt; "plain", G739 &lt;&gt; "")</f>
        <v>0</v>
      </c>
      <c r="M739" s="3" t="str">
        <f>IF(E739, C739 &amp; "|" &amp; H739, "")</f>
        <v>principal-process-steward|</v>
      </c>
      <c r="N739" s="2" t="s">
        <v>9938</v>
      </c>
    </row>
    <row r="740">
      <c r="A740" s="2" t="s">
        <v>10676</v>
      </c>
      <c r="B740" s="3" t="str">
        <f>C740 &amp; " -&gt; " &amp; D740</f>
        <v>principal-process-steward -&gt; ExceptionInvocations.IsImproperlyApproved</v>
      </c>
      <c r="C740" s="2" t="s">
        <v>9706</v>
      </c>
      <c r="D740" s="2" t="s">
        <v>4250</v>
      </c>
      <c r="E740" s="2" t="b">
        <v>1</v>
      </c>
      <c r="F740" s="2" t="b">
        <v>0</v>
      </c>
      <c r="G740" s="2" t="s">
        <v>9937</v>
      </c>
      <c r="H740" s="3" t="str">
        <f>_xlfn.IFNA(INDEX(RulebookFields!C2:C999, MATCH(D740,RulebookFields!A2:A999, 0)), "")</f>
      </c>
      <c r="I740" s="3" t="str">
        <f>_xlfn.IFNA(INDEX(RulebookFields!D2:D999, MATCH(D740,RulebookFields!A2:A999, 0)), "")</f>
      </c>
      <c r="J740" s="3" t="str">
        <f>_xlfn.IFNA(INDEX(RulebookFields!I2:I999, MATCH(D740,RulebookFields!A2:A999, 0)), "")</f>
      </c>
      <c r="K740" s="3" t="b">
        <f>AND(F740, J740)</f>
        <v>0</v>
      </c>
      <c r="L740" s="3" t="b">
        <f>AND(G740 &lt;&gt; "plain", G740 &lt;&gt; "")</f>
        <v>0</v>
      </c>
      <c r="M740" s="3" t="str">
        <f>IF(E740, C740 &amp; "|" &amp; H740, "")</f>
        <v>principal-process-steward|</v>
      </c>
      <c r="N740" s="2" t="s">
        <v>9938</v>
      </c>
    </row>
    <row r="741">
      <c r="A741" s="2" t="s">
        <v>10677</v>
      </c>
      <c r="B741" s="3" t="str">
        <f>C741 &amp; " -&gt; " &amp; D741</f>
        <v>principal-process-steward -&gt; ExceptionInvocations.InvokerAgentKind</v>
      </c>
      <c r="C741" s="2" t="s">
        <v>9706</v>
      </c>
      <c r="D741" s="2" t="s">
        <v>4253</v>
      </c>
      <c r="E741" s="2" t="b">
        <v>1</v>
      </c>
      <c r="F741" s="2" t="b">
        <v>0</v>
      </c>
      <c r="G741" s="2" t="s">
        <v>9937</v>
      </c>
      <c r="H741" s="3" t="str">
        <f>_xlfn.IFNA(INDEX(RulebookFields!C2:C999, MATCH(D741,RulebookFields!A2:A999, 0)), "")</f>
      </c>
      <c r="I741" s="3" t="str">
        <f>_xlfn.IFNA(INDEX(RulebookFields!D2:D999, MATCH(D741,RulebookFields!A2:A999, 0)), "")</f>
      </c>
      <c r="J741" s="3" t="str">
        <f>_xlfn.IFNA(INDEX(RulebookFields!I2:I999, MATCH(D741,RulebookFields!A2:A999, 0)), "")</f>
      </c>
      <c r="K741" s="3" t="b">
        <f>AND(F741, J741)</f>
        <v>0</v>
      </c>
      <c r="L741" s="3" t="b">
        <f>AND(G741 &lt;&gt; "plain", G741 &lt;&gt; "")</f>
        <v>0</v>
      </c>
      <c r="M741" s="3" t="str">
        <f>IF(E741, C741 &amp; "|" &amp; H741, "")</f>
        <v>principal-process-steward|</v>
      </c>
      <c r="N741" s="2" t="s">
        <v>9938</v>
      </c>
    </row>
    <row r="742">
      <c r="A742" s="2" t="s">
        <v>10678</v>
      </c>
      <c r="B742" s="3" t="str">
        <f>C742 &amp; " -&gt; " &amp; D742</f>
        <v>principal-process-steward -&gt; ExceptionInvocations.InvokerAlsoPreparedKey</v>
      </c>
      <c r="C742" s="2" t="s">
        <v>9706</v>
      </c>
      <c r="D742" s="2" t="s">
        <v>4256</v>
      </c>
      <c r="E742" s="2" t="b">
        <v>1</v>
      </c>
      <c r="F742" s="2" t="b">
        <v>0</v>
      </c>
      <c r="G742" s="2" t="s">
        <v>9937</v>
      </c>
      <c r="H742" s="3" t="str">
        <f>_xlfn.IFNA(INDEX(RulebookFields!C2:C999, MATCH(D742,RulebookFields!A2:A999, 0)), "")</f>
      </c>
      <c r="I742" s="3" t="str">
        <f>_xlfn.IFNA(INDEX(RulebookFields!D2:D999, MATCH(D742,RulebookFields!A2:A999, 0)), "")</f>
      </c>
      <c r="J742" s="3" t="str">
        <f>_xlfn.IFNA(INDEX(RulebookFields!I2:I999, MATCH(D742,RulebookFields!A2:A999, 0)), "")</f>
      </c>
      <c r="K742" s="3" t="b">
        <f>AND(F742, J742)</f>
        <v>0</v>
      </c>
      <c r="L742" s="3" t="b">
        <f>AND(G742 &lt;&gt; "plain", G742 &lt;&gt; "")</f>
        <v>0</v>
      </c>
      <c r="M742" s="3" t="str">
        <f>IF(E742, C742 &amp; "|" &amp; H742, "")</f>
        <v>principal-process-steward|</v>
      </c>
      <c r="N742" s="2" t="s">
        <v>9938</v>
      </c>
    </row>
    <row r="743">
      <c r="A743" s="2" t="s">
        <v>10679</v>
      </c>
      <c r="B743" s="3" t="str">
        <f>C743 &amp; " -&gt; " &amp; D743</f>
        <v>principal-process-steward -&gt; ExceptionInvocations.ParentProcedureExecution</v>
      </c>
      <c r="C743" s="2" t="s">
        <v>9706</v>
      </c>
      <c r="D743" s="2" t="s">
        <v>4259</v>
      </c>
      <c r="E743" s="2" t="b">
        <v>1</v>
      </c>
      <c r="F743" s="2" t="b">
        <v>0</v>
      </c>
      <c r="G743" s="2" t="s">
        <v>9937</v>
      </c>
      <c r="H743" s="3" t="str">
        <f>_xlfn.IFNA(INDEX(RulebookFields!C2:C999, MATCH(D743,RulebookFields!A2:A999, 0)), "")</f>
      </c>
      <c r="I743" s="3" t="str">
        <f>_xlfn.IFNA(INDEX(RulebookFields!D2:D999, MATCH(D743,RulebookFields!A2:A999, 0)), "")</f>
      </c>
      <c r="J743" s="3" t="str">
        <f>_xlfn.IFNA(INDEX(RulebookFields!I2:I999, MATCH(D743,RulebookFields!A2:A999, 0)), "")</f>
      </c>
      <c r="K743" s="3" t="b">
        <f>AND(F743, J743)</f>
        <v>0</v>
      </c>
      <c r="L743" s="3" t="b">
        <f>AND(G743 &lt;&gt; "plain", G743 &lt;&gt; "")</f>
        <v>0</v>
      </c>
      <c r="M743" s="3" t="str">
        <f>IF(E743, C743 &amp; "|" &amp; H743, "")</f>
        <v>principal-process-steward|</v>
      </c>
      <c r="N743" s="2" t="s">
        <v>9938</v>
      </c>
    </row>
    <row r="744">
      <c r="A744" s="2" t="s">
        <v>10680</v>
      </c>
      <c r="B744" s="3" t="str">
        <f>C744 &amp; " -&gt; " &amp; D744</f>
        <v>principal-process-steward -&gt; ExceptionInvocations.ApproverPreparedCount</v>
      </c>
      <c r="C744" s="2" t="s">
        <v>9706</v>
      </c>
      <c r="D744" s="2" t="s">
        <v>4260</v>
      </c>
      <c r="E744" s="2" t="b">
        <v>1</v>
      </c>
      <c r="F744" s="2" t="b">
        <v>0</v>
      </c>
      <c r="G744" s="2" t="s">
        <v>9937</v>
      </c>
      <c r="H744" s="3" t="str">
        <f>_xlfn.IFNA(INDEX(RulebookFields!C2:C999, MATCH(D744,RulebookFields!A2:A999, 0)), "")</f>
      </c>
      <c r="I744" s="3" t="str">
        <f>_xlfn.IFNA(INDEX(RulebookFields!D2:D999, MATCH(D744,RulebookFields!A2:A999, 0)), "")</f>
      </c>
      <c r="J744" s="3" t="str">
        <f>_xlfn.IFNA(INDEX(RulebookFields!I2:I999, MATCH(D744,RulebookFields!A2:A999, 0)), "")</f>
      </c>
      <c r="K744" s="3" t="b">
        <f>AND(F744, J744)</f>
        <v>0</v>
      </c>
      <c r="L744" s="3" t="b">
        <f>AND(G744 &lt;&gt; "plain", G744 &lt;&gt; "")</f>
        <v>0</v>
      </c>
      <c r="M744" s="3" t="str">
        <f>IF(E744, C744 &amp; "|" &amp; H744, "")</f>
        <v>principal-process-steward|</v>
      </c>
      <c r="N744" s="2" t="s">
        <v>9938</v>
      </c>
    </row>
    <row r="745">
      <c r="A745" s="2" t="s">
        <v>10681</v>
      </c>
      <c r="B745" s="3" t="str">
        <f>C745 &amp; " -&gt; " &amp; D745</f>
        <v>principal-process-steward -&gt; ExceptionInvocations.DelegatedToPreparer</v>
      </c>
      <c r="C745" s="2" t="s">
        <v>9706</v>
      </c>
      <c r="D745" s="2" t="s">
        <v>4263</v>
      </c>
      <c r="E745" s="2" t="b">
        <v>1</v>
      </c>
      <c r="F745" s="2" t="b">
        <v>0</v>
      </c>
      <c r="G745" s="2" t="s">
        <v>9937</v>
      </c>
      <c r="H745" s="3" t="str">
        <f>_xlfn.IFNA(INDEX(RulebookFields!C2:C999, MATCH(D745,RulebookFields!A2:A999, 0)), "")</f>
      </c>
      <c r="I745" s="3" t="str">
        <f>_xlfn.IFNA(INDEX(RulebookFields!D2:D999, MATCH(D745,RulebookFields!A2:A999, 0)), "")</f>
      </c>
      <c r="J745" s="3" t="str">
        <f>_xlfn.IFNA(INDEX(RulebookFields!I2:I999, MATCH(D745,RulebookFields!A2:A999, 0)), "")</f>
      </c>
      <c r="K745" s="3" t="b">
        <f>AND(F745, J745)</f>
        <v>0</v>
      </c>
      <c r="L745" s="3" t="b">
        <f>AND(G745 &lt;&gt; "plain", G745 &lt;&gt; "")</f>
        <v>0</v>
      </c>
      <c r="M745" s="3" t="str">
        <f>IF(E745, C745 &amp; "|" &amp; H745, "")</f>
        <v>principal-process-steward|</v>
      </c>
      <c r="N745" s="2" t="s">
        <v>9938</v>
      </c>
    </row>
    <row r="746">
      <c r="A746" s="2" t="s">
        <v>10682</v>
      </c>
      <c r="B746" s="3" t="str">
        <f>C746 &amp; " -&gt; " &amp; D746</f>
        <v>principal-process-steward -&gt; ExceptionInvocations.IsUngovernedInvocation</v>
      </c>
      <c r="C746" s="2" t="s">
        <v>9706</v>
      </c>
      <c r="D746" s="2" t="s">
        <v>4266</v>
      </c>
      <c r="E746" s="2" t="b">
        <v>1</v>
      </c>
      <c r="F746" s="2" t="b">
        <v>0</v>
      </c>
      <c r="G746" s="2" t="s">
        <v>9937</v>
      </c>
      <c r="H746" s="3" t="str">
        <f>_xlfn.IFNA(INDEX(RulebookFields!C2:C999, MATCH(D746,RulebookFields!A2:A999, 0)), "")</f>
      </c>
      <c r="I746" s="3" t="str">
        <f>_xlfn.IFNA(INDEX(RulebookFields!D2:D999, MATCH(D746,RulebookFields!A2:A999, 0)), "")</f>
      </c>
      <c r="J746" s="3" t="str">
        <f>_xlfn.IFNA(INDEX(RulebookFields!I2:I999, MATCH(D746,RulebookFields!A2:A999, 0)), "")</f>
      </c>
      <c r="K746" s="3" t="b">
        <f>AND(F746, J746)</f>
        <v>0</v>
      </c>
      <c r="L746" s="3" t="b">
        <f>AND(G746 &lt;&gt; "plain", G746 &lt;&gt; "")</f>
        <v>0</v>
      </c>
      <c r="M746" s="3" t="str">
        <f>IF(E746, C746 &amp; "|" &amp; H746, "")</f>
        <v>principal-process-steward|</v>
      </c>
      <c r="N746" s="2" t="s">
        <v>9938</v>
      </c>
    </row>
    <row r="747">
      <c r="A747" s="2" t="s">
        <v>10683</v>
      </c>
      <c r="B747" s="3" t="str">
        <f>C747 &amp; " -&gt; " &amp; D747</f>
        <v>principal-process-steward -&gt; ExceptionInvocations.SemanticTypeIri</v>
      </c>
      <c r="C747" s="2" t="s">
        <v>9706</v>
      </c>
      <c r="D747" s="2" t="s">
        <v>4269</v>
      </c>
      <c r="E747" s="2" t="b">
        <v>1</v>
      </c>
      <c r="F747" s="2" t="b">
        <v>0</v>
      </c>
      <c r="G747" s="2" t="s">
        <v>9937</v>
      </c>
      <c r="H747" s="3" t="str">
        <f>_xlfn.IFNA(INDEX(RulebookFields!C2:C999, MATCH(D747,RulebookFields!A2:A999, 0)), "")</f>
      </c>
      <c r="I747" s="3" t="str">
        <f>_xlfn.IFNA(INDEX(RulebookFields!D2:D999, MATCH(D747,RulebookFields!A2:A999, 0)), "")</f>
      </c>
      <c r="J747" s="3" t="str">
        <f>_xlfn.IFNA(INDEX(RulebookFields!I2:I999, MATCH(D747,RulebookFields!A2:A999, 0)), "")</f>
      </c>
      <c r="K747" s="3" t="b">
        <f>AND(F747, J747)</f>
        <v>0</v>
      </c>
      <c r="L747" s="3" t="b">
        <f>AND(G747 &lt;&gt; "plain", G747 &lt;&gt; "")</f>
        <v>0</v>
      </c>
      <c r="M747" s="3" t="str">
        <f>IF(E747, C747 &amp; "|" &amp; H747, "")</f>
        <v>principal-process-steward|</v>
      </c>
      <c r="N747" s="2" t="s">
        <v>9938</v>
      </c>
    </row>
    <row r="748">
      <c r="A748" s="2" t="s">
        <v>10684</v>
      </c>
      <c r="B748" s="3" t="str">
        <f>C748 &amp; " -&gt; " &amp; D748</f>
        <v>principal-process-steward -&gt; Exceptions.ExceptionId</v>
      </c>
      <c r="C748" s="2" t="s">
        <v>9706</v>
      </c>
      <c r="D748" s="2" t="s">
        <v>3094</v>
      </c>
      <c r="E748" s="2" t="b">
        <v>1</v>
      </c>
      <c r="F748" s="2" t="b">
        <v>0</v>
      </c>
      <c r="G748" s="2" t="s">
        <v>9937</v>
      </c>
      <c r="H748" s="3" t="str">
        <f>_xlfn.IFNA(INDEX(RulebookFields!C2:C999, MATCH(D748,RulebookFields!A2:A999, 0)), "")</f>
        <v>Exceptions</v>
      </c>
      <c r="I748" s="3" t="str">
        <f>_xlfn.IFNA(INDEX(RulebookFields!D2:D999, MATCH(D748,RulebookFields!A2:A999, 0)), "")</f>
        <v>ExceptionId</v>
      </c>
      <c r="J748" s="3" t="b">
        <f>_xlfn.IFNA(INDEX(RulebookFields!I2:I999, MATCH(D748,RulebookFields!A2:A999, 0)), "")</f>
        <v>0</v>
      </c>
      <c r="K748" s="3" t="b">
        <f>AND(F748, J748)</f>
        <v>0</v>
      </c>
      <c r="L748" s="3" t="b">
        <f>AND(G748 &lt;&gt; "plain", G748 &lt;&gt; "")</f>
        <v>0</v>
      </c>
      <c r="M748" s="3" t="str">
        <f>IF(E748, C748 &amp; "|" &amp; H748, "")</f>
        <v>principal-process-steward|Exceptions</v>
      </c>
      <c r="N748" s="2" t="s">
        <v>9938</v>
      </c>
    </row>
    <row r="749">
      <c r="A749" s="2" t="s">
        <v>10685</v>
      </c>
      <c r="B749" s="3" t="str">
        <f>C749 &amp; " -&gt; " &amp; D749</f>
        <v>principal-process-steward -&gt; Exceptions.Name</v>
      </c>
      <c r="C749" s="2" t="s">
        <v>9706</v>
      </c>
      <c r="D749" s="2" t="s">
        <v>3096</v>
      </c>
      <c r="E749" s="2" t="b">
        <v>1</v>
      </c>
      <c r="F749" s="2" t="b">
        <v>0</v>
      </c>
      <c r="G749" s="2" t="s">
        <v>9937</v>
      </c>
      <c r="H749" s="3" t="str">
        <f>_xlfn.IFNA(INDEX(RulebookFields!C2:C999, MATCH(D749,RulebookFields!A2:A999, 0)), "")</f>
        <v>Exceptions</v>
      </c>
      <c r="I749" s="3" t="str">
        <f>_xlfn.IFNA(INDEX(RulebookFields!D2:D999, MATCH(D749,RulebookFields!A2:A999, 0)), "")</f>
        <v>Name</v>
      </c>
      <c r="J749" s="3" t="b">
        <f>_xlfn.IFNA(INDEX(RulebookFields!I2:I999, MATCH(D749,RulebookFields!A2:A999, 0)), "")</f>
        <v>1</v>
      </c>
      <c r="K749" s="3" t="b">
        <f>AND(F749, J749)</f>
        <v>0</v>
      </c>
      <c r="L749" s="3" t="b">
        <f>AND(G749 &lt;&gt; "plain", G749 &lt;&gt; "")</f>
        <v>0</v>
      </c>
      <c r="M749" s="3" t="str">
        <f>IF(E749, C749 &amp; "|" &amp; H749, "")</f>
        <v>principal-process-steward|Exceptions</v>
      </c>
      <c r="N749" s="2" t="s">
        <v>9938</v>
      </c>
    </row>
    <row r="750">
      <c r="A750" s="2" t="s">
        <v>10686</v>
      </c>
      <c r="B750" s="3" t="str">
        <f>C750 &amp; " -&gt; " &amp; D750</f>
        <v>principal-process-steward -&gt; Exceptions.ProcedureVersion</v>
      </c>
      <c r="C750" s="2" t="s">
        <v>9706</v>
      </c>
      <c r="D750" s="2" t="s">
        <v>3098</v>
      </c>
      <c r="E750" s="2" t="b">
        <v>1</v>
      </c>
      <c r="F750" s="2" t="b">
        <v>0</v>
      </c>
      <c r="G750" s="2" t="s">
        <v>9937</v>
      </c>
      <c r="H750" s="3" t="str">
        <f>_xlfn.IFNA(INDEX(RulebookFields!C2:C999, MATCH(D750,RulebookFields!A2:A999, 0)), "")</f>
        <v>Exceptions</v>
      </c>
      <c r="I750" s="3" t="str">
        <f>_xlfn.IFNA(INDEX(RulebookFields!D2:D999, MATCH(D750,RulebookFields!A2:A999, 0)), "")</f>
        <v>ProcedureVersion</v>
      </c>
      <c r="J750" s="3" t="b">
        <f>_xlfn.IFNA(INDEX(RulebookFields!I2:I999, MATCH(D750,RulebookFields!A2:A999, 0)), "")</f>
        <v>0</v>
      </c>
      <c r="K750" s="3" t="b">
        <f>AND(F750, J750)</f>
        <v>0</v>
      </c>
      <c r="L750" s="3" t="b">
        <f>AND(G750 &lt;&gt; "plain", G750 &lt;&gt; "")</f>
        <v>0</v>
      </c>
      <c r="M750" s="3" t="str">
        <f>IF(E750, C750 &amp; "|" &amp; H750, "")</f>
        <v>principal-process-steward|Exceptions</v>
      </c>
      <c r="N750" s="2" t="s">
        <v>9938</v>
      </c>
    </row>
    <row r="751">
      <c r="A751" s="2" t="s">
        <v>10687</v>
      </c>
      <c r="B751" s="3" t="str">
        <f>C751 &amp; " -&gt; " &amp; D751</f>
        <v>principal-process-steward -&gt; Exceptions.TriggerStep</v>
      </c>
      <c r="C751" s="2" t="s">
        <v>9706</v>
      </c>
      <c r="D751" s="2" t="s">
        <v>3099</v>
      </c>
      <c r="E751" s="2" t="b">
        <v>1</v>
      </c>
      <c r="F751" s="2" t="b">
        <v>0</v>
      </c>
      <c r="G751" s="2" t="s">
        <v>9937</v>
      </c>
      <c r="H751" s="3" t="str">
        <f>_xlfn.IFNA(INDEX(RulebookFields!C2:C999, MATCH(D751,RulebookFields!A2:A999, 0)), "")</f>
        <v>Exceptions</v>
      </c>
      <c r="I751" s="3" t="str">
        <f>_xlfn.IFNA(INDEX(RulebookFields!D2:D999, MATCH(D751,RulebookFields!A2:A999, 0)), "")</f>
        <v>TriggerStep</v>
      </c>
      <c r="J751" s="3" t="b">
        <f>_xlfn.IFNA(INDEX(RulebookFields!I2:I999, MATCH(D751,RulebookFields!A2:A999, 0)), "")</f>
        <v>0</v>
      </c>
      <c r="K751" s="3" t="b">
        <f>AND(F751, J751)</f>
        <v>0</v>
      </c>
      <c r="L751" s="3" t="b">
        <f>AND(G751 &lt;&gt; "plain", G751 &lt;&gt; "")</f>
        <v>0</v>
      </c>
      <c r="M751" s="3" t="str">
        <f>IF(E751, C751 &amp; "|" &amp; H751, "")</f>
        <v>principal-process-steward|Exceptions</v>
      </c>
      <c r="N751" s="2" t="s">
        <v>9938</v>
      </c>
    </row>
    <row r="752">
      <c r="A752" s="2" t="s">
        <v>10688</v>
      </c>
      <c r="B752" s="3" t="str">
        <f>C752 &amp; " -&gt; " &amp; D752</f>
        <v>principal-process-steward -&gt; Exceptions.Condition</v>
      </c>
      <c r="C752" s="2" t="s">
        <v>9706</v>
      </c>
      <c r="D752" s="2" t="s">
        <v>3100</v>
      </c>
      <c r="E752" s="2" t="b">
        <v>1</v>
      </c>
      <c r="F752" s="2" t="b">
        <v>0</v>
      </c>
      <c r="G752" s="2" t="s">
        <v>9937</v>
      </c>
      <c r="H752" s="3" t="str">
        <f>_xlfn.IFNA(INDEX(RulebookFields!C2:C999, MATCH(D752,RulebookFields!A2:A999, 0)), "")</f>
        <v>Exceptions</v>
      </c>
      <c r="I752" s="3" t="str">
        <f>_xlfn.IFNA(INDEX(RulebookFields!D2:D999, MATCH(D752,RulebookFields!A2:A999, 0)), "")</f>
        <v>Condition</v>
      </c>
      <c r="J752" s="3" t="b">
        <f>_xlfn.IFNA(INDEX(RulebookFields!I2:I999, MATCH(D752,RulebookFields!A2:A999, 0)), "")</f>
        <v>0</v>
      </c>
      <c r="K752" s="3" t="b">
        <f>AND(F752, J752)</f>
        <v>0</v>
      </c>
      <c r="L752" s="3" t="b">
        <f>AND(G752 &lt;&gt; "plain", G752 &lt;&gt; "")</f>
        <v>0</v>
      </c>
      <c r="M752" s="3" t="str">
        <f>IF(E752, C752 &amp; "|" &amp; H752, "")</f>
        <v>principal-process-steward|Exceptions</v>
      </c>
      <c r="N752" s="2" t="s">
        <v>9938</v>
      </c>
    </row>
    <row r="753">
      <c r="A753" s="2" t="s">
        <v>10689</v>
      </c>
      <c r="B753" s="3" t="str">
        <f>C753 &amp; " -&gt; " &amp; D753</f>
        <v>principal-process-steward -&gt; Exceptions.Handling</v>
      </c>
      <c r="C753" s="2" t="s">
        <v>9706</v>
      </c>
      <c r="D753" s="2" t="s">
        <v>3101</v>
      </c>
      <c r="E753" s="2" t="b">
        <v>1</v>
      </c>
      <c r="F753" s="2" t="b">
        <v>0</v>
      </c>
      <c r="G753" s="2" t="s">
        <v>9937</v>
      </c>
      <c r="H753" s="3" t="str">
        <f>_xlfn.IFNA(INDEX(RulebookFields!C2:C999, MATCH(D753,RulebookFields!A2:A999, 0)), "")</f>
        <v>Exceptions</v>
      </c>
      <c r="I753" s="3" t="str">
        <f>_xlfn.IFNA(INDEX(RulebookFields!D2:D999, MATCH(D753,RulebookFields!A2:A999, 0)), "")</f>
        <v>Handling</v>
      </c>
      <c r="J753" s="3" t="b">
        <f>_xlfn.IFNA(INDEX(RulebookFields!I2:I999, MATCH(D753,RulebookFields!A2:A999, 0)), "")</f>
        <v>0</v>
      </c>
      <c r="K753" s="3" t="b">
        <f>AND(F753, J753)</f>
        <v>0</v>
      </c>
      <c r="L753" s="3" t="b">
        <f>AND(G753 &lt;&gt; "plain", G753 &lt;&gt; "")</f>
        <v>0</v>
      </c>
      <c r="M753" s="3" t="str">
        <f>IF(E753, C753 &amp; "|" &amp; H753, "")</f>
        <v>principal-process-steward|Exceptions</v>
      </c>
      <c r="N753" s="2" t="s">
        <v>9938</v>
      </c>
    </row>
    <row r="754">
      <c r="A754" s="2" t="s">
        <v>10690</v>
      </c>
      <c r="B754" s="3" t="str">
        <f>C754 &amp; " -&gt; " &amp; D754</f>
        <v>principal-process-steward -&gt; Exceptions.ApprovalRole</v>
      </c>
      <c r="C754" s="2" t="s">
        <v>9706</v>
      </c>
      <c r="D754" s="2" t="s">
        <v>3102</v>
      </c>
      <c r="E754" s="2" t="b">
        <v>1</v>
      </c>
      <c r="F754" s="2" t="b">
        <v>0</v>
      </c>
      <c r="G754" s="2" t="s">
        <v>9937</v>
      </c>
      <c r="H754" s="3" t="str">
        <f>_xlfn.IFNA(INDEX(RulebookFields!C2:C999, MATCH(D754,RulebookFields!A2:A999, 0)), "")</f>
        <v>Exceptions</v>
      </c>
      <c r="I754" s="3" t="str">
        <f>_xlfn.IFNA(INDEX(RulebookFields!D2:D999, MATCH(D754,RulebookFields!A2:A999, 0)), "")</f>
        <v>ApprovalRole</v>
      </c>
      <c r="J754" s="3" t="b">
        <f>_xlfn.IFNA(INDEX(RulebookFields!I2:I999, MATCH(D754,RulebookFields!A2:A999, 0)), "")</f>
        <v>0</v>
      </c>
      <c r="K754" s="3" t="b">
        <f>AND(F754, J754)</f>
        <v>0</v>
      </c>
      <c r="L754" s="3" t="b">
        <f>AND(G754 &lt;&gt; "plain", G754 &lt;&gt; "")</f>
        <v>0</v>
      </c>
      <c r="M754" s="3" t="str">
        <f>IF(E754, C754 &amp; "|" &amp; H754, "")</f>
        <v>principal-process-steward|Exceptions</v>
      </c>
      <c r="N754" s="2" t="s">
        <v>9938</v>
      </c>
    </row>
    <row r="755">
      <c r="A755" s="2" t="s">
        <v>10691</v>
      </c>
      <c r="B755" s="3" t="str">
        <f>C755 &amp; " -&gt; " &amp; D755</f>
        <v>principal-process-steward -&gt; Exceptions.FallbackRole</v>
      </c>
      <c r="C755" s="2" t="s">
        <v>9706</v>
      </c>
      <c r="D755" s="2" t="s">
        <v>3103</v>
      </c>
      <c r="E755" s="2" t="b">
        <v>1</v>
      </c>
      <c r="F755" s="2" t="b">
        <v>0</v>
      </c>
      <c r="G755" s="2" t="s">
        <v>9937</v>
      </c>
      <c r="H755" s="3" t="str">
        <f>_xlfn.IFNA(INDEX(RulebookFields!C2:C999, MATCH(D755,RulebookFields!A2:A999, 0)), "")</f>
        <v>Exceptions</v>
      </c>
      <c r="I755" s="3" t="str">
        <f>_xlfn.IFNA(INDEX(RulebookFields!D2:D999, MATCH(D755,RulebookFields!A2:A999, 0)), "")</f>
        <v>FallbackRole</v>
      </c>
      <c r="J755" s="3" t="b">
        <f>_xlfn.IFNA(INDEX(RulebookFields!I2:I999, MATCH(D755,RulebookFields!A2:A999, 0)), "")</f>
        <v>0</v>
      </c>
      <c r="K755" s="3" t="b">
        <f>AND(F755, J755)</f>
        <v>0</v>
      </c>
      <c r="L755" s="3" t="b">
        <f>AND(G755 &lt;&gt; "plain", G755 &lt;&gt; "")</f>
        <v>0</v>
      </c>
      <c r="M755" s="3" t="str">
        <f>IF(E755, C755 &amp; "|" &amp; H755, "")</f>
        <v>principal-process-steward|Exceptions</v>
      </c>
      <c r="N755" s="2" t="s">
        <v>9938</v>
      </c>
    </row>
    <row r="756">
      <c r="A756" s="2" t="s">
        <v>10692</v>
      </c>
      <c r="B756" s="3" t="str">
        <f>C756 &amp; " -&gt; " &amp; D756</f>
        <v>principal-process-steward -&gt; Exceptions.Status</v>
      </c>
      <c r="C756" s="2" t="s">
        <v>9706</v>
      </c>
      <c r="D756" s="2" t="s">
        <v>3104</v>
      </c>
      <c r="E756" s="2" t="b">
        <v>1</v>
      </c>
      <c r="F756" s="2" t="b">
        <v>0</v>
      </c>
      <c r="G756" s="2" t="s">
        <v>9937</v>
      </c>
      <c r="H756" s="3" t="str">
        <f>_xlfn.IFNA(INDEX(RulebookFields!C2:C999, MATCH(D756,RulebookFields!A2:A999, 0)), "")</f>
        <v>Exceptions</v>
      </c>
      <c r="I756" s="3" t="str">
        <f>_xlfn.IFNA(INDEX(RulebookFields!D2:D999, MATCH(D756,RulebookFields!A2:A999, 0)), "")</f>
        <v>Status</v>
      </c>
      <c r="J756" s="3" t="b">
        <f>_xlfn.IFNA(INDEX(RulebookFields!I2:I999, MATCH(D756,RulebookFields!A2:A999, 0)), "")</f>
        <v>0</v>
      </c>
      <c r="K756" s="3" t="b">
        <f>AND(F756, J756)</f>
        <v>0</v>
      </c>
      <c r="L756" s="3" t="b">
        <f>AND(G756 &lt;&gt; "plain", G756 &lt;&gt; "")</f>
        <v>0</v>
      </c>
      <c r="M756" s="3" t="str">
        <f>IF(E756, C756 &amp; "|" &amp; H756, "")</f>
        <v>principal-process-steward|Exceptions</v>
      </c>
      <c r="N756" s="2" t="s">
        <v>9938</v>
      </c>
    </row>
    <row r="757">
      <c r="A757" s="2" t="s">
        <v>10693</v>
      </c>
      <c r="B757" s="3" t="str">
        <f>C757 &amp; " -&gt; " &amp; D757</f>
        <v>principal-process-steward -&gt; Exceptions.ActiveExceptionStepKey</v>
      </c>
      <c r="C757" s="2" t="s">
        <v>9706</v>
      </c>
      <c r="D757" s="2" t="s">
        <v>3105</v>
      </c>
      <c r="E757" s="2" t="b">
        <v>1</v>
      </c>
      <c r="F757" s="2" t="b">
        <v>0</v>
      </c>
      <c r="G757" s="2" t="s">
        <v>9937</v>
      </c>
      <c r="H757" s="3" t="str">
        <f>_xlfn.IFNA(INDEX(RulebookFields!C2:C999, MATCH(D757,RulebookFields!A2:A999, 0)), "")</f>
        <v>Exceptions</v>
      </c>
      <c r="I757" s="3" t="str">
        <f>_xlfn.IFNA(INDEX(RulebookFields!D2:D999, MATCH(D757,RulebookFields!A2:A999, 0)), "")</f>
        <v>ActiveExceptionStepKey</v>
      </c>
      <c r="J757" s="3" t="b">
        <f>_xlfn.IFNA(INDEX(RulebookFields!I2:I999, MATCH(D757,RulebookFields!A2:A999, 0)), "")</f>
        <v>1</v>
      </c>
      <c r="K757" s="3" t="b">
        <f>AND(F757, J757)</f>
        <v>0</v>
      </c>
      <c r="L757" s="3" t="b">
        <f>AND(G757 &lt;&gt; "plain", G757 &lt;&gt; "")</f>
        <v>0</v>
      </c>
      <c r="M757" s="3" t="str">
        <f>IF(E757, C757 &amp; "|" &amp; H757, "")</f>
        <v>principal-process-steward|Exceptions</v>
      </c>
      <c r="N757" s="2" t="s">
        <v>9938</v>
      </c>
    </row>
    <row r="758">
      <c r="A758" s="2" t="s">
        <v>10694</v>
      </c>
      <c r="B758" s="3" t="str">
        <f>C758 &amp; " -&gt; " &amp; D758</f>
        <v>principal-process-steward -&gt; Exceptions.SemanticTypeIri</v>
      </c>
      <c r="C758" s="2" t="s">
        <v>9706</v>
      </c>
      <c r="D758" s="2" t="s">
        <v>3107</v>
      </c>
      <c r="E758" s="2" t="b">
        <v>1</v>
      </c>
      <c r="F758" s="2" t="b">
        <v>0</v>
      </c>
      <c r="G758" s="2" t="s">
        <v>9937</v>
      </c>
      <c r="H758" s="3" t="str">
        <f>_xlfn.IFNA(INDEX(RulebookFields!C2:C999, MATCH(D758,RulebookFields!A2:A999, 0)), "")</f>
        <v>Exceptions</v>
      </c>
      <c r="I758" s="3" t="str">
        <f>_xlfn.IFNA(INDEX(RulebookFields!D2:D999, MATCH(D758,RulebookFields!A2:A999, 0)), "")</f>
        <v>SemanticTypeIri</v>
      </c>
      <c r="J758" s="3" t="b">
        <f>_xlfn.IFNA(INDEX(RulebookFields!I2:I999, MATCH(D758,RulebookFields!A2:A999, 0)), "")</f>
        <v>0</v>
      </c>
      <c r="K758" s="3" t="b">
        <f>AND(F758, J758)</f>
        <v>0</v>
      </c>
      <c r="L758" s="3" t="b">
        <f>AND(G758 &lt;&gt; "plain", G758 &lt;&gt; "")</f>
        <v>0</v>
      </c>
      <c r="M758" s="3" t="str">
        <f>IF(E758, C758 &amp; "|" &amp; H758, "")</f>
        <v>principal-process-steward|Exceptions</v>
      </c>
      <c r="N758" s="2" t="s">
        <v>9938</v>
      </c>
    </row>
    <row r="759">
      <c r="A759" s="2" t="s">
        <v>10695</v>
      </c>
      <c r="B759" s="3" t="str">
        <f>C759 &amp; " -&gt; " &amp; D759</f>
        <v>principal-process-steward -&gt; Explanations.ExplanationId</v>
      </c>
      <c r="C759" s="2" t="s">
        <v>9706</v>
      </c>
      <c r="D759" s="2" t="s">
        <v>3353</v>
      </c>
      <c r="E759" s="2" t="b">
        <v>1</v>
      </c>
      <c r="F759" s="2" t="b">
        <v>0</v>
      </c>
      <c r="G759" s="2" t="s">
        <v>9937</v>
      </c>
      <c r="H759" s="3" t="str">
        <f>_xlfn.IFNA(INDEX(RulebookFields!C2:C999, MATCH(D759,RulebookFields!A2:A999, 0)), "")</f>
        <v>Explanations</v>
      </c>
      <c r="I759" s="3" t="str">
        <f>_xlfn.IFNA(INDEX(RulebookFields!D2:D999, MATCH(D759,RulebookFields!A2:A999, 0)), "")</f>
        <v>ExplanationId</v>
      </c>
      <c r="J759" s="3" t="b">
        <f>_xlfn.IFNA(INDEX(RulebookFields!I2:I999, MATCH(D759,RulebookFields!A2:A999, 0)), "")</f>
        <v>0</v>
      </c>
      <c r="K759" s="3" t="b">
        <f>AND(F759, J759)</f>
        <v>0</v>
      </c>
      <c r="L759" s="3" t="b">
        <f>AND(G759 &lt;&gt; "plain", G759 &lt;&gt; "")</f>
        <v>0</v>
      </c>
      <c r="M759" s="3" t="str">
        <f>IF(E759, C759 &amp; "|" &amp; H759, "")</f>
        <v>principal-process-steward|Explanations</v>
      </c>
      <c r="N759" s="2" t="s">
        <v>9938</v>
      </c>
    </row>
    <row r="760">
      <c r="A760" s="2" t="s">
        <v>10696</v>
      </c>
      <c r="B760" s="3" t="str">
        <f>C760 &amp; " -&gt; " &amp; D760</f>
        <v>principal-process-steward -&gt; Explanations.Name</v>
      </c>
      <c r="C760" s="2" t="s">
        <v>9706</v>
      </c>
      <c r="D760" s="2" t="s">
        <v>3354</v>
      </c>
      <c r="E760" s="2" t="b">
        <v>1</v>
      </c>
      <c r="F760" s="2" t="b">
        <v>0</v>
      </c>
      <c r="G760" s="2" t="s">
        <v>9937</v>
      </c>
      <c r="H760" s="3" t="str">
        <f>_xlfn.IFNA(INDEX(RulebookFields!C2:C999, MATCH(D760,RulebookFields!A2:A999, 0)), "")</f>
        <v>Explanations</v>
      </c>
      <c r="I760" s="3" t="str">
        <f>_xlfn.IFNA(INDEX(RulebookFields!D2:D999, MATCH(D760,RulebookFields!A2:A999, 0)), "")</f>
        <v>Name</v>
      </c>
      <c r="J760" s="3" t="b">
        <f>_xlfn.IFNA(INDEX(RulebookFields!I2:I999, MATCH(D760,RulebookFields!A2:A999, 0)), "")</f>
        <v>1</v>
      </c>
      <c r="K760" s="3" t="b">
        <f>AND(F760, J760)</f>
        <v>0</v>
      </c>
      <c r="L760" s="3" t="b">
        <f>AND(G760 &lt;&gt; "plain", G760 &lt;&gt; "")</f>
        <v>0</v>
      </c>
      <c r="M760" s="3" t="str">
        <f>IF(E760, C760 &amp; "|" &amp; H760, "")</f>
        <v>principal-process-steward|Explanations</v>
      </c>
      <c r="N760" s="2" t="s">
        <v>9938</v>
      </c>
    </row>
    <row r="761">
      <c r="A761" s="2" t="s">
        <v>10697</v>
      </c>
      <c r="B761" s="3" t="str">
        <f>C761 &amp; " -&gt; " &amp; D761</f>
        <v>principal-process-steward -&gt; Explanations.ProcedureVersion</v>
      </c>
      <c r="C761" s="2" t="s">
        <v>9706</v>
      </c>
      <c r="D761" s="2" t="s">
        <v>3355</v>
      </c>
      <c r="E761" s="2" t="b">
        <v>1</v>
      </c>
      <c r="F761" s="2" t="b">
        <v>0</v>
      </c>
      <c r="G761" s="2" t="s">
        <v>9937</v>
      </c>
      <c r="H761" s="3" t="str">
        <f>_xlfn.IFNA(INDEX(RulebookFields!C2:C999, MATCH(D761,RulebookFields!A2:A999, 0)), "")</f>
        <v>Explanations</v>
      </c>
      <c r="I761" s="3" t="str">
        <f>_xlfn.IFNA(INDEX(RulebookFields!D2:D999, MATCH(D761,RulebookFields!A2:A999, 0)), "")</f>
        <v>ProcedureVersion</v>
      </c>
      <c r="J761" s="3" t="b">
        <f>_xlfn.IFNA(INDEX(RulebookFields!I2:I999, MATCH(D761,RulebookFields!A2:A999, 0)), "")</f>
        <v>0</v>
      </c>
      <c r="K761" s="3" t="b">
        <f>AND(F761, J761)</f>
        <v>0</v>
      </c>
      <c r="L761" s="3" t="b">
        <f>AND(G761 &lt;&gt; "plain", G761 &lt;&gt; "")</f>
        <v>0</v>
      </c>
      <c r="M761" s="3" t="str">
        <f>IF(E761, C761 &amp; "|" &amp; H761, "")</f>
        <v>principal-process-steward|Explanations</v>
      </c>
      <c r="N761" s="2" t="s">
        <v>9938</v>
      </c>
    </row>
    <row r="762">
      <c r="A762" s="2" t="s">
        <v>10698</v>
      </c>
      <c r="B762" s="3" t="str">
        <f>C762 &amp; " -&gt; " &amp; D762</f>
        <v>principal-process-steward -&gt; Explanations.Step</v>
      </c>
      <c r="C762" s="2" t="s">
        <v>9706</v>
      </c>
      <c r="D762" s="2" t="s">
        <v>3356</v>
      </c>
      <c r="E762" s="2" t="b">
        <v>1</v>
      </c>
      <c r="F762" s="2" t="b">
        <v>0</v>
      </c>
      <c r="G762" s="2" t="s">
        <v>9937</v>
      </c>
      <c r="H762" s="3" t="str">
        <f>_xlfn.IFNA(INDEX(RulebookFields!C2:C999, MATCH(D762,RulebookFields!A2:A999, 0)), "")</f>
        <v>Explanations</v>
      </c>
      <c r="I762" s="3" t="str">
        <f>_xlfn.IFNA(INDEX(RulebookFields!D2:D999, MATCH(D762,RulebookFields!A2:A999, 0)), "")</f>
        <v>Step</v>
      </c>
      <c r="J762" s="3" t="b">
        <f>_xlfn.IFNA(INDEX(RulebookFields!I2:I999, MATCH(D762,RulebookFields!A2:A999, 0)), "")</f>
        <v>0</v>
      </c>
      <c r="K762" s="3" t="b">
        <f>AND(F762, J762)</f>
        <v>0</v>
      </c>
      <c r="L762" s="3" t="b">
        <f>AND(G762 &lt;&gt; "plain", G762 &lt;&gt; "")</f>
        <v>0</v>
      </c>
      <c r="M762" s="3" t="str">
        <f>IF(E762, C762 &amp; "|" &amp; H762, "")</f>
        <v>principal-process-steward|Explanations</v>
      </c>
      <c r="N762" s="2" t="s">
        <v>9938</v>
      </c>
    </row>
    <row r="763">
      <c r="A763" s="2" t="s">
        <v>10699</v>
      </c>
      <c r="B763" s="3" t="str">
        <f>C763 &amp; " -&gt; " &amp; D763</f>
        <v>principal-process-steward -&gt; Explanations.Title</v>
      </c>
      <c r="C763" s="2" t="s">
        <v>9706</v>
      </c>
      <c r="D763" s="2" t="s">
        <v>3357</v>
      </c>
      <c r="E763" s="2" t="b">
        <v>1</v>
      </c>
      <c r="F763" s="2" t="b">
        <v>0</v>
      </c>
      <c r="G763" s="2" t="s">
        <v>9937</v>
      </c>
      <c r="H763" s="3" t="str">
        <f>_xlfn.IFNA(INDEX(RulebookFields!C2:C999, MATCH(D763,RulebookFields!A2:A999, 0)), "")</f>
        <v>Explanations</v>
      </c>
      <c r="I763" s="3" t="str">
        <f>_xlfn.IFNA(INDEX(RulebookFields!D2:D999, MATCH(D763,RulebookFields!A2:A999, 0)), "")</f>
        <v>Title</v>
      </c>
      <c r="J763" s="3" t="b">
        <f>_xlfn.IFNA(INDEX(RulebookFields!I2:I999, MATCH(D763,RulebookFields!A2:A999, 0)), "")</f>
        <v>0</v>
      </c>
      <c r="K763" s="3" t="b">
        <f>AND(F763, J763)</f>
        <v>0</v>
      </c>
      <c r="L763" s="3" t="b">
        <f>AND(G763 &lt;&gt; "plain", G763 &lt;&gt; "")</f>
        <v>0</v>
      </c>
      <c r="M763" s="3" t="str">
        <f>IF(E763, C763 &amp; "|" &amp; H763, "")</f>
        <v>principal-process-steward|Explanations</v>
      </c>
      <c r="N763" s="2" t="s">
        <v>9938</v>
      </c>
    </row>
    <row r="764">
      <c r="A764" s="2" t="s">
        <v>10700</v>
      </c>
      <c r="B764" s="3" t="str">
        <f>C764 &amp; " -&gt; " &amp; D764</f>
        <v>principal-process-steward -&gt; Explanations.Description</v>
      </c>
      <c r="C764" s="2" t="s">
        <v>9706</v>
      </c>
      <c r="D764" s="2" t="s">
        <v>3358</v>
      </c>
      <c r="E764" s="2" t="b">
        <v>1</v>
      </c>
      <c r="F764" s="2" t="b">
        <v>0</v>
      </c>
      <c r="G764" s="2" t="s">
        <v>9937</v>
      </c>
      <c r="H764" s="3" t="str">
        <f>_xlfn.IFNA(INDEX(RulebookFields!C2:C999, MATCH(D764,RulebookFields!A2:A999, 0)), "")</f>
        <v>Explanations</v>
      </c>
      <c r="I764" s="3" t="str">
        <f>_xlfn.IFNA(INDEX(RulebookFields!D2:D999, MATCH(D764,RulebookFields!A2:A999, 0)), "")</f>
        <v>Description</v>
      </c>
      <c r="J764" s="3" t="b">
        <f>_xlfn.IFNA(INDEX(RulebookFields!I2:I999, MATCH(D764,RulebookFields!A2:A999, 0)), "")</f>
        <v>0</v>
      </c>
      <c r="K764" s="3" t="b">
        <f>AND(F764, J764)</f>
        <v>0</v>
      </c>
      <c r="L764" s="3" t="b">
        <f>AND(G764 &lt;&gt; "plain", G764 &lt;&gt; "")</f>
        <v>0</v>
      </c>
      <c r="M764" s="3" t="str">
        <f>IF(E764, C764 &amp; "|" &amp; H764, "")</f>
        <v>principal-process-steward|Explanations</v>
      </c>
      <c r="N764" s="2" t="s">
        <v>9938</v>
      </c>
    </row>
    <row r="765">
      <c r="A765" s="2" t="s">
        <v>10701</v>
      </c>
      <c r="B765" s="3" t="str">
        <f>C765 &amp; " -&gt; " &amp; D765</f>
        <v>principal-process-steward -&gt; Explanations.SemanticTypeIri</v>
      </c>
      <c r="C765" s="2" t="s">
        <v>9706</v>
      </c>
      <c r="D765" s="2" t="s">
        <v>3359</v>
      </c>
      <c r="E765" s="2" t="b">
        <v>1</v>
      </c>
      <c r="F765" s="2" t="b">
        <v>0</v>
      </c>
      <c r="G765" s="2" t="s">
        <v>9937</v>
      </c>
      <c r="H765" s="3" t="str">
        <f>_xlfn.IFNA(INDEX(RulebookFields!C2:C999, MATCH(D765,RulebookFields!A2:A999, 0)), "")</f>
        <v>Explanations</v>
      </c>
      <c r="I765" s="3" t="str">
        <f>_xlfn.IFNA(INDEX(RulebookFields!D2:D999, MATCH(D765,RulebookFields!A2:A999, 0)), "")</f>
        <v>SemanticTypeIri</v>
      </c>
      <c r="J765" s="3" t="b">
        <f>_xlfn.IFNA(INDEX(RulebookFields!I2:I999, MATCH(D765,RulebookFields!A2:A999, 0)), "")</f>
        <v>0</v>
      </c>
      <c r="K765" s="3" t="b">
        <f>AND(F765, J765)</f>
        <v>0</v>
      </c>
      <c r="L765" s="3" t="b">
        <f>AND(G765 &lt;&gt; "plain", G765 &lt;&gt; "")</f>
        <v>0</v>
      </c>
      <c r="M765" s="3" t="str">
        <f>IF(E765, C765 &amp; "|" &amp; H765, "")</f>
        <v>principal-process-steward|Explanations</v>
      </c>
      <c r="N765" s="2" t="s">
        <v>9938</v>
      </c>
    </row>
    <row r="766">
      <c r="A766" s="2" t="s">
        <v>10702</v>
      </c>
      <c r="B766" s="3" t="str">
        <f>C766 &amp; " -&gt; " &amp; D766</f>
        <v>principal-process-steward -&gt; Functions.FunctionId</v>
      </c>
      <c r="C766" s="2" t="s">
        <v>9706</v>
      </c>
      <c r="D766" s="2" t="s">
        <v>2950</v>
      </c>
      <c r="E766" s="2" t="b">
        <v>1</v>
      </c>
      <c r="F766" s="2" t="b">
        <v>0</v>
      </c>
      <c r="G766" s="2" t="s">
        <v>9937</v>
      </c>
      <c r="H766" s="3" t="str">
        <f>_xlfn.IFNA(INDEX(RulebookFields!C2:C999, MATCH(D766,RulebookFields!A2:A999, 0)), "")</f>
        <v>Functions</v>
      </c>
      <c r="I766" s="3" t="str">
        <f>_xlfn.IFNA(INDEX(RulebookFields!D2:D999, MATCH(D766,RulebookFields!A2:A999, 0)), "")</f>
        <v>FunctionId</v>
      </c>
      <c r="J766" s="3" t="b">
        <f>_xlfn.IFNA(INDEX(RulebookFields!I2:I999, MATCH(D766,RulebookFields!A2:A999, 0)), "")</f>
        <v>0</v>
      </c>
      <c r="K766" s="3" t="b">
        <f>AND(F766, J766)</f>
        <v>0</v>
      </c>
      <c r="L766" s="3" t="b">
        <f>AND(G766 &lt;&gt; "plain", G766 &lt;&gt; "")</f>
        <v>0</v>
      </c>
      <c r="M766" s="3" t="str">
        <f>IF(E766, C766 &amp; "|" &amp; H766, "")</f>
        <v>principal-process-steward|Functions</v>
      </c>
      <c r="N766" s="2" t="s">
        <v>9938</v>
      </c>
    </row>
    <row r="767">
      <c r="A767" s="2" t="s">
        <v>10703</v>
      </c>
      <c r="B767" s="3" t="str">
        <f>C767 &amp; " -&gt; " &amp; D767</f>
        <v>principal-process-steward -&gt; Functions.Name</v>
      </c>
      <c r="C767" s="2" t="s">
        <v>9706</v>
      </c>
      <c r="D767" s="2" t="s">
        <v>2951</v>
      </c>
      <c r="E767" s="2" t="b">
        <v>1</v>
      </c>
      <c r="F767" s="2" t="b">
        <v>0</v>
      </c>
      <c r="G767" s="2" t="s">
        <v>9937</v>
      </c>
      <c r="H767" s="3" t="str">
        <f>_xlfn.IFNA(INDEX(RulebookFields!C2:C999, MATCH(D767,RulebookFields!A2:A999, 0)), "")</f>
        <v>Functions</v>
      </c>
      <c r="I767" s="3" t="str">
        <f>_xlfn.IFNA(INDEX(RulebookFields!D2:D999, MATCH(D767,RulebookFields!A2:A999, 0)), "")</f>
        <v>Name</v>
      </c>
      <c r="J767" s="3" t="b">
        <f>_xlfn.IFNA(INDEX(RulebookFields!I2:I999, MATCH(D767,RulebookFields!A2:A999, 0)), "")</f>
        <v>1</v>
      </c>
      <c r="K767" s="3" t="b">
        <f>AND(F767, J767)</f>
        <v>0</v>
      </c>
      <c r="L767" s="3" t="b">
        <f>AND(G767 &lt;&gt; "plain", G767 &lt;&gt; "")</f>
        <v>0</v>
      </c>
      <c r="M767" s="3" t="str">
        <f>IF(E767, C767 &amp; "|" &amp; H767, "")</f>
        <v>principal-process-steward|Functions</v>
      </c>
      <c r="N767" s="2" t="s">
        <v>9938</v>
      </c>
    </row>
    <row r="768">
      <c r="A768" s="2" t="s">
        <v>10704</v>
      </c>
      <c r="B768" s="3" t="str">
        <f>C768 &amp; " -&gt; " &amp; D768</f>
        <v>principal-process-steward -&gt; Functions.Label</v>
      </c>
      <c r="C768" s="2" t="s">
        <v>9706</v>
      </c>
      <c r="D768" s="2" t="s">
        <v>2952</v>
      </c>
      <c r="E768" s="2" t="b">
        <v>1</v>
      </c>
      <c r="F768" s="2" t="b">
        <v>0</v>
      </c>
      <c r="G768" s="2" t="s">
        <v>9937</v>
      </c>
      <c r="H768" s="3" t="str">
        <f>_xlfn.IFNA(INDEX(RulebookFields!C2:C999, MATCH(D768,RulebookFields!A2:A999, 0)), "")</f>
        <v>Functions</v>
      </c>
      <c r="I768" s="3" t="str">
        <f>_xlfn.IFNA(INDEX(RulebookFields!D2:D999, MATCH(D768,RulebookFields!A2:A999, 0)), "")</f>
        <v>Label</v>
      </c>
      <c r="J768" s="3" t="b">
        <f>_xlfn.IFNA(INDEX(RulebookFields!I2:I999, MATCH(D768,RulebookFields!A2:A999, 0)), "")</f>
        <v>0</v>
      </c>
      <c r="K768" s="3" t="b">
        <f>AND(F768, J768)</f>
        <v>0</v>
      </c>
      <c r="L768" s="3" t="b">
        <f>AND(G768 &lt;&gt; "plain", G768 &lt;&gt; "")</f>
        <v>0</v>
      </c>
      <c r="M768" s="3" t="str">
        <f>IF(E768, C768 &amp; "|" &amp; H768, "")</f>
        <v>principal-process-steward|Functions</v>
      </c>
      <c r="N768" s="2" t="s">
        <v>9938</v>
      </c>
    </row>
    <row r="769">
      <c r="A769" s="2" t="s">
        <v>10705</v>
      </c>
      <c r="B769" s="3" t="str">
        <f>C769 &amp; " -&gt; " &amp; D769</f>
        <v>principal-process-steward -&gt; Functions.Definition</v>
      </c>
      <c r="C769" s="2" t="s">
        <v>9706</v>
      </c>
      <c r="D769" s="2" t="s">
        <v>2953</v>
      </c>
      <c r="E769" s="2" t="b">
        <v>1</v>
      </c>
      <c r="F769" s="2" t="b">
        <v>0</v>
      </c>
      <c r="G769" s="2" t="s">
        <v>9937</v>
      </c>
      <c r="H769" s="3" t="str">
        <f>_xlfn.IFNA(INDEX(RulebookFields!C2:C999, MATCH(D769,RulebookFields!A2:A999, 0)), "")</f>
        <v>Functions</v>
      </c>
      <c r="I769" s="3" t="str">
        <f>_xlfn.IFNA(INDEX(RulebookFields!D2:D999, MATCH(D769,RulebookFields!A2:A999, 0)), "")</f>
        <v>Definition</v>
      </c>
      <c r="J769" s="3" t="b">
        <f>_xlfn.IFNA(INDEX(RulebookFields!I2:I999, MATCH(D769,RulebookFields!A2:A999, 0)), "")</f>
        <v>0</v>
      </c>
      <c r="K769" s="3" t="b">
        <f>AND(F769, J769)</f>
        <v>0</v>
      </c>
      <c r="L769" s="3" t="b">
        <f>AND(G769 &lt;&gt; "plain", G769 &lt;&gt; "")</f>
        <v>0</v>
      </c>
      <c r="M769" s="3" t="str">
        <f>IF(E769, C769 &amp; "|" &amp; H769, "")</f>
        <v>principal-process-steward|Functions</v>
      </c>
      <c r="N769" s="2" t="s">
        <v>9938</v>
      </c>
    </row>
    <row r="770">
      <c r="A770" s="2" t="s">
        <v>10706</v>
      </c>
      <c r="B770" s="3" t="str">
        <f>C770 &amp; " -&gt; " &amp; D770</f>
        <v>principal-process-steward -&gt; Functions.ImplementationKey</v>
      </c>
      <c r="C770" s="2" t="s">
        <v>9706</v>
      </c>
      <c r="D770" s="2" t="s">
        <v>2954</v>
      </c>
      <c r="E770" s="2" t="b">
        <v>1</v>
      </c>
      <c r="F770" s="2" t="b">
        <v>0</v>
      </c>
      <c r="G770" s="2" t="s">
        <v>9937</v>
      </c>
      <c r="H770" s="3" t="str">
        <f>_xlfn.IFNA(INDEX(RulebookFields!C2:C999, MATCH(D770,RulebookFields!A2:A999, 0)), "")</f>
        <v>Functions</v>
      </c>
      <c r="I770" s="3" t="str">
        <f>_xlfn.IFNA(INDEX(RulebookFields!D2:D999, MATCH(D770,RulebookFields!A2:A999, 0)), "")</f>
        <v>ImplementationKey</v>
      </c>
      <c r="J770" s="3" t="b">
        <f>_xlfn.IFNA(INDEX(RulebookFields!I2:I999, MATCH(D770,RulebookFields!A2:A999, 0)), "")</f>
        <v>0</v>
      </c>
      <c r="K770" s="3" t="b">
        <f>AND(F770, J770)</f>
        <v>0</v>
      </c>
      <c r="L770" s="3" t="b">
        <f>AND(G770 &lt;&gt; "plain", G770 &lt;&gt; "")</f>
        <v>0</v>
      </c>
      <c r="M770" s="3" t="str">
        <f>IF(E770, C770 &amp; "|" &amp; H770, "")</f>
        <v>principal-process-steward|Functions</v>
      </c>
      <c r="N770" s="2" t="s">
        <v>9938</v>
      </c>
    </row>
    <row r="771">
      <c r="A771" s="2" t="s">
        <v>10707</v>
      </c>
      <c r="B771" s="3" t="str">
        <f>C771 &amp; " -&gt; " &amp; D771</f>
        <v>principal-process-steward -&gt; Functions.SemanticTypeIri</v>
      </c>
      <c r="C771" s="2" t="s">
        <v>9706</v>
      </c>
      <c r="D771" s="2" t="s">
        <v>2955</v>
      </c>
      <c r="E771" s="2" t="b">
        <v>1</v>
      </c>
      <c r="F771" s="2" t="b">
        <v>0</v>
      </c>
      <c r="G771" s="2" t="s">
        <v>9937</v>
      </c>
      <c r="H771" s="3" t="str">
        <f>_xlfn.IFNA(INDEX(RulebookFields!C2:C999, MATCH(D771,RulebookFields!A2:A999, 0)), "")</f>
        <v>Functions</v>
      </c>
      <c r="I771" s="3" t="str">
        <f>_xlfn.IFNA(INDEX(RulebookFields!D2:D999, MATCH(D771,RulebookFields!A2:A999, 0)), "")</f>
        <v>SemanticTypeIri</v>
      </c>
      <c r="J771" s="3" t="b">
        <f>_xlfn.IFNA(INDEX(RulebookFields!I2:I999, MATCH(D771,RulebookFields!A2:A999, 0)), "")</f>
        <v>0</v>
      </c>
      <c r="K771" s="3" t="b">
        <f>AND(F771, J771)</f>
        <v>0</v>
      </c>
      <c r="L771" s="3" t="b">
        <f>AND(G771 &lt;&gt; "plain", G771 &lt;&gt; "")</f>
        <v>0</v>
      </c>
      <c r="M771" s="3" t="str">
        <f>IF(E771, C771 &amp; "|" &amp; H771, "")</f>
        <v>principal-process-steward|Functions</v>
      </c>
      <c r="N771" s="2" t="s">
        <v>9938</v>
      </c>
    </row>
    <row r="772">
      <c r="A772" s="2" t="s">
        <v>10708</v>
      </c>
      <c r="B772" s="3" t="str">
        <f>C772 &amp; " -&gt; " &amp; D772</f>
        <v>principal-process-steward -&gt; IssueOccurrences.IssueOccurrenceId</v>
      </c>
      <c r="C772" s="2" t="s">
        <v>9706</v>
      </c>
      <c r="D772" s="2" t="s">
        <v>3794</v>
      </c>
      <c r="E772" s="2" t="b">
        <v>1</v>
      </c>
      <c r="F772" s="2" t="b">
        <v>0</v>
      </c>
      <c r="G772" s="2" t="s">
        <v>9937</v>
      </c>
      <c r="H772" s="3" t="str">
        <f>_xlfn.IFNA(INDEX(RulebookFields!C2:C999, MATCH(D772,RulebookFields!A2:A999, 0)), "")</f>
        <v>IssueOccurrences</v>
      </c>
      <c r="I772" s="3" t="str">
        <f>_xlfn.IFNA(INDEX(RulebookFields!D2:D999, MATCH(D772,RulebookFields!A2:A999, 0)), "")</f>
        <v>IssueOccurrenceId</v>
      </c>
      <c r="J772" s="3" t="b">
        <f>_xlfn.IFNA(INDEX(RulebookFields!I2:I999, MATCH(D772,RulebookFields!A2:A999, 0)), "")</f>
        <v>0</v>
      </c>
      <c r="K772" s="3" t="b">
        <f>AND(F772, J772)</f>
        <v>0</v>
      </c>
      <c r="L772" s="3" t="b">
        <f>AND(G772 &lt;&gt; "plain", G772 &lt;&gt; "")</f>
        <v>0</v>
      </c>
      <c r="M772" s="3" t="str">
        <f>IF(E772, C772 &amp; "|" &amp; H772, "")</f>
        <v>principal-process-steward|IssueOccurrences</v>
      </c>
      <c r="N772" s="2" t="s">
        <v>9938</v>
      </c>
    </row>
    <row r="773">
      <c r="A773" s="2" t="s">
        <v>10709</v>
      </c>
      <c r="B773" s="3" t="str">
        <f>C773 &amp; " -&gt; " &amp; D773</f>
        <v>principal-process-steward -&gt; IssueOccurrences.Name</v>
      </c>
      <c r="C773" s="2" t="s">
        <v>9706</v>
      </c>
      <c r="D773" s="2" t="s">
        <v>3795</v>
      </c>
      <c r="E773" s="2" t="b">
        <v>1</v>
      </c>
      <c r="F773" s="2" t="b">
        <v>0</v>
      </c>
      <c r="G773" s="2" t="s">
        <v>9937</v>
      </c>
      <c r="H773" s="3" t="str">
        <f>_xlfn.IFNA(INDEX(RulebookFields!C2:C999, MATCH(D773,RulebookFields!A2:A999, 0)), "")</f>
        <v>IssueOccurrences</v>
      </c>
      <c r="I773" s="3" t="str">
        <f>_xlfn.IFNA(INDEX(RulebookFields!D2:D999, MATCH(D773,RulebookFields!A2:A999, 0)), "")</f>
        <v>Name</v>
      </c>
      <c r="J773" s="3" t="b">
        <f>_xlfn.IFNA(INDEX(RulebookFields!I2:I999, MATCH(D773,RulebookFields!A2:A999, 0)), "")</f>
        <v>1</v>
      </c>
      <c r="K773" s="3" t="b">
        <f>AND(F773, J773)</f>
        <v>0</v>
      </c>
      <c r="L773" s="3" t="b">
        <f>AND(G773 &lt;&gt; "plain", G773 &lt;&gt; "")</f>
        <v>0</v>
      </c>
      <c r="M773" s="3" t="str">
        <f>IF(E773, C773 &amp; "|" &amp; H773, "")</f>
        <v>principal-process-steward|IssueOccurrences</v>
      </c>
      <c r="N773" s="2" t="s">
        <v>9938</v>
      </c>
    </row>
    <row r="774">
      <c r="A774" s="2" t="s">
        <v>10710</v>
      </c>
      <c r="B774" s="3" t="str">
        <f>C774 &amp; " -&gt; " &amp; D774</f>
        <v>principal-process-steward -&gt; IssueOccurrences.StepExecution</v>
      </c>
      <c r="C774" s="2" t="s">
        <v>9706</v>
      </c>
      <c r="D774" s="2" t="s">
        <v>3797</v>
      </c>
      <c r="E774" s="2" t="b">
        <v>1</v>
      </c>
      <c r="F774" s="2" t="b">
        <v>0</v>
      </c>
      <c r="G774" s="2" t="s">
        <v>9937</v>
      </c>
      <c r="H774" s="3" t="str">
        <f>_xlfn.IFNA(INDEX(RulebookFields!C2:C999, MATCH(D774,RulebookFields!A2:A999, 0)), "")</f>
        <v>IssueOccurrences</v>
      </c>
      <c r="I774" s="3" t="str">
        <f>_xlfn.IFNA(INDEX(RulebookFields!D2:D999, MATCH(D774,RulebookFields!A2:A999, 0)), "")</f>
        <v>StepExecution</v>
      </c>
      <c r="J774" s="3" t="b">
        <f>_xlfn.IFNA(INDEX(RulebookFields!I2:I999, MATCH(D774,RulebookFields!A2:A999, 0)), "")</f>
        <v>0</v>
      </c>
      <c r="K774" s="3" t="b">
        <f>AND(F774, J774)</f>
        <v>0</v>
      </c>
      <c r="L774" s="3" t="b">
        <f>AND(G774 &lt;&gt; "plain", G774 &lt;&gt; "")</f>
        <v>0</v>
      </c>
      <c r="M774" s="3" t="str">
        <f>IF(E774, C774 &amp; "|" &amp; H774, "")</f>
        <v>principal-process-steward|IssueOccurrences</v>
      </c>
      <c r="N774" s="2" t="s">
        <v>9938</v>
      </c>
    </row>
    <row r="775">
      <c r="A775" s="2" t="s">
        <v>10711</v>
      </c>
      <c r="B775" s="3" t="str">
        <f>C775 &amp; " -&gt; " &amp; D775</f>
        <v>principal-process-steward -&gt; IssueOccurrences.Error</v>
      </c>
      <c r="C775" s="2" t="s">
        <v>9706</v>
      </c>
      <c r="D775" s="2" t="s">
        <v>3798</v>
      </c>
      <c r="E775" s="2" t="b">
        <v>1</v>
      </c>
      <c r="F775" s="2" t="b">
        <v>0</v>
      </c>
      <c r="G775" s="2" t="s">
        <v>9937</v>
      </c>
      <c r="H775" s="3" t="str">
        <f>_xlfn.IFNA(INDEX(RulebookFields!C2:C999, MATCH(D775,RulebookFields!A2:A999, 0)), "")</f>
        <v>IssueOccurrences</v>
      </c>
      <c r="I775" s="3" t="str">
        <f>_xlfn.IFNA(INDEX(RulebookFields!D2:D999, MATCH(D775,RulebookFields!A2:A999, 0)), "")</f>
        <v>Error</v>
      </c>
      <c r="J775" s="3" t="b">
        <f>_xlfn.IFNA(INDEX(RulebookFields!I2:I999, MATCH(D775,RulebookFields!A2:A999, 0)), "")</f>
        <v>0</v>
      </c>
      <c r="K775" s="3" t="b">
        <f>AND(F775, J775)</f>
        <v>0</v>
      </c>
      <c r="L775" s="3" t="b">
        <f>AND(G775 &lt;&gt; "plain", G775 &lt;&gt; "")</f>
        <v>0</v>
      </c>
      <c r="M775" s="3" t="str">
        <f>IF(E775, C775 &amp; "|" &amp; H775, "")</f>
        <v>principal-process-steward|IssueOccurrences</v>
      </c>
      <c r="N775" s="2" t="s">
        <v>9938</v>
      </c>
    </row>
    <row r="776">
      <c r="A776" s="2" t="s">
        <v>10712</v>
      </c>
      <c r="B776" s="3" t="str">
        <f>C776 &amp; " -&gt; " &amp; D776</f>
        <v>principal-process-steward -&gt; IssueOccurrences.EncounteredByAgent</v>
      </c>
      <c r="C776" s="2" t="s">
        <v>9706</v>
      </c>
      <c r="D776" s="2" t="s">
        <v>3799</v>
      </c>
      <c r="E776" s="2" t="b">
        <v>1</v>
      </c>
      <c r="F776" s="2" t="b">
        <v>0</v>
      </c>
      <c r="G776" s="2" t="s">
        <v>9937</v>
      </c>
      <c r="H776" s="3" t="str">
        <f>_xlfn.IFNA(INDEX(RulebookFields!C2:C999, MATCH(D776,RulebookFields!A2:A999, 0)), "")</f>
        <v>IssueOccurrences</v>
      </c>
      <c r="I776" s="3" t="str">
        <f>_xlfn.IFNA(INDEX(RulebookFields!D2:D999, MATCH(D776,RulebookFields!A2:A999, 0)), "")</f>
        <v>EncounteredByAgent</v>
      </c>
      <c r="J776" s="3" t="b">
        <f>_xlfn.IFNA(INDEX(RulebookFields!I2:I999, MATCH(D776,RulebookFields!A2:A999, 0)), "")</f>
        <v>0</v>
      </c>
      <c r="K776" s="3" t="b">
        <f>AND(F776, J776)</f>
        <v>0</v>
      </c>
      <c r="L776" s="3" t="b">
        <f>AND(G776 &lt;&gt; "plain", G776 &lt;&gt; "")</f>
        <v>0</v>
      </c>
      <c r="M776" s="3" t="str">
        <f>IF(E776, C776 &amp; "|" &amp; H776, "")</f>
        <v>principal-process-steward|IssueOccurrences</v>
      </c>
      <c r="N776" s="2" t="s">
        <v>9938</v>
      </c>
    </row>
    <row r="777">
      <c r="A777" s="2" t="s">
        <v>10713</v>
      </c>
      <c r="B777" s="3" t="str">
        <f>C777 &amp; " -&gt; " &amp; D777</f>
        <v>principal-process-steward -&gt; IssueOccurrences.OccurredAt</v>
      </c>
      <c r="C777" s="2" t="s">
        <v>9706</v>
      </c>
      <c r="D777" s="2" t="s">
        <v>3800</v>
      </c>
      <c r="E777" s="2" t="b">
        <v>1</v>
      </c>
      <c r="F777" s="2" t="b">
        <v>0</v>
      </c>
      <c r="G777" s="2" t="s">
        <v>9937</v>
      </c>
      <c r="H777" s="3" t="str">
        <f>_xlfn.IFNA(INDEX(RulebookFields!C2:C999, MATCH(D777,RulebookFields!A2:A999, 0)), "")</f>
        <v>IssueOccurrences</v>
      </c>
      <c r="I777" s="3" t="str">
        <f>_xlfn.IFNA(INDEX(RulebookFields!D2:D999, MATCH(D777,RulebookFields!A2:A999, 0)), "")</f>
        <v>OccurredAt</v>
      </c>
      <c r="J777" s="3" t="b">
        <f>_xlfn.IFNA(INDEX(RulebookFields!I2:I999, MATCH(D777,RulebookFields!A2:A999, 0)), "")</f>
        <v>0</v>
      </c>
      <c r="K777" s="3" t="b">
        <f>AND(F777, J777)</f>
        <v>0</v>
      </c>
      <c r="L777" s="3" t="b">
        <f>AND(G777 &lt;&gt; "plain", G777 &lt;&gt; "")</f>
        <v>0</v>
      </c>
      <c r="M777" s="3" t="str">
        <f>IF(E777, C777 &amp; "|" &amp; H777, "")</f>
        <v>principal-process-steward|IssueOccurrences</v>
      </c>
      <c r="N777" s="2" t="s">
        <v>9938</v>
      </c>
    </row>
    <row r="778">
      <c r="A778" s="2" t="s">
        <v>10714</v>
      </c>
      <c r="B778" s="3" t="str">
        <f>C778 &amp; " -&gt; " &amp; D778</f>
        <v>principal-process-steward -&gt; IssueOccurrences.IssueCause</v>
      </c>
      <c r="C778" s="2" t="s">
        <v>9706</v>
      </c>
      <c r="D778" s="2" t="s">
        <v>3801</v>
      </c>
      <c r="E778" s="2" t="b">
        <v>1</v>
      </c>
      <c r="F778" s="2" t="b">
        <v>0</v>
      </c>
      <c r="G778" s="2" t="s">
        <v>9937</v>
      </c>
      <c r="H778" s="3" t="str">
        <f>_xlfn.IFNA(INDEX(RulebookFields!C2:C999, MATCH(D778,RulebookFields!A2:A999, 0)), "")</f>
        <v>IssueOccurrences</v>
      </c>
      <c r="I778" s="3" t="str">
        <f>_xlfn.IFNA(INDEX(RulebookFields!D2:D999, MATCH(D778,RulebookFields!A2:A999, 0)), "")</f>
        <v>IssueCause</v>
      </c>
      <c r="J778" s="3" t="b">
        <f>_xlfn.IFNA(INDEX(RulebookFields!I2:I999, MATCH(D778,RulebookFields!A2:A999, 0)), "")</f>
        <v>0</v>
      </c>
      <c r="K778" s="3" t="b">
        <f>AND(F778, J778)</f>
        <v>0</v>
      </c>
      <c r="L778" s="3" t="b">
        <f>AND(G778 &lt;&gt; "plain", G778 &lt;&gt; "")</f>
        <v>0</v>
      </c>
      <c r="M778" s="3" t="str">
        <f>IF(E778, C778 &amp; "|" &amp; H778, "")</f>
        <v>principal-process-steward|IssueOccurrences</v>
      </c>
      <c r="N778" s="2" t="s">
        <v>9938</v>
      </c>
    </row>
    <row r="779">
      <c r="A779" s="2" t="s">
        <v>10715</v>
      </c>
      <c r="B779" s="3" t="str">
        <f>C779 &amp; " -&gt; " &amp; D779</f>
        <v>principal-process-steward -&gt; IssueOccurrences.IssueSolution</v>
      </c>
      <c r="C779" s="2" t="s">
        <v>9706</v>
      </c>
      <c r="D779" s="2" t="s">
        <v>3802</v>
      </c>
      <c r="E779" s="2" t="b">
        <v>1</v>
      </c>
      <c r="F779" s="2" t="b">
        <v>0</v>
      </c>
      <c r="G779" s="2" t="s">
        <v>9937</v>
      </c>
      <c r="H779" s="3" t="str">
        <f>_xlfn.IFNA(INDEX(RulebookFields!C2:C999, MATCH(D779,RulebookFields!A2:A999, 0)), "")</f>
        <v>IssueOccurrences</v>
      </c>
      <c r="I779" s="3" t="str">
        <f>_xlfn.IFNA(INDEX(RulebookFields!D2:D999, MATCH(D779,RulebookFields!A2:A999, 0)), "")</f>
        <v>IssueSolution</v>
      </c>
      <c r="J779" s="3" t="b">
        <f>_xlfn.IFNA(INDEX(RulebookFields!I2:I999, MATCH(D779,RulebookFields!A2:A999, 0)), "")</f>
        <v>0</v>
      </c>
      <c r="K779" s="3" t="b">
        <f>AND(F779, J779)</f>
        <v>0</v>
      </c>
      <c r="L779" s="3" t="b">
        <f>AND(G779 &lt;&gt; "plain", G779 &lt;&gt; "")</f>
        <v>0</v>
      </c>
      <c r="M779" s="3" t="str">
        <f>IF(E779, C779 &amp; "|" &amp; H779, "")</f>
        <v>principal-process-steward|IssueOccurrences</v>
      </c>
      <c r="N779" s="2" t="s">
        <v>9938</v>
      </c>
    </row>
    <row r="780">
      <c r="A780" s="2" t="s">
        <v>10716</v>
      </c>
      <c r="B780" s="3" t="str">
        <f>C780 &amp; " -&gt; " &amp; D780</f>
        <v>principal-process-steward -&gt; IssueOccurrences.Status</v>
      </c>
      <c r="C780" s="2" t="s">
        <v>9706</v>
      </c>
      <c r="D780" s="2" t="s">
        <v>3803</v>
      </c>
      <c r="E780" s="2" t="b">
        <v>1</v>
      </c>
      <c r="F780" s="2" t="b">
        <v>0</v>
      </c>
      <c r="G780" s="2" t="s">
        <v>9937</v>
      </c>
      <c r="H780" s="3" t="str">
        <f>_xlfn.IFNA(INDEX(RulebookFields!C2:C999, MATCH(D780,RulebookFields!A2:A999, 0)), "")</f>
        <v>IssueOccurrences</v>
      </c>
      <c r="I780" s="3" t="str">
        <f>_xlfn.IFNA(INDEX(RulebookFields!D2:D999, MATCH(D780,RulebookFields!A2:A999, 0)), "")</f>
        <v>Status</v>
      </c>
      <c r="J780" s="3" t="b">
        <f>_xlfn.IFNA(INDEX(RulebookFields!I2:I999, MATCH(D780,RulebookFields!A2:A999, 0)), "")</f>
        <v>0</v>
      </c>
      <c r="K780" s="3" t="b">
        <f>AND(F780, J780)</f>
        <v>0</v>
      </c>
      <c r="L780" s="3" t="b">
        <f>AND(G780 &lt;&gt; "plain", G780 &lt;&gt; "")</f>
        <v>0</v>
      </c>
      <c r="M780" s="3" t="str">
        <f>IF(E780, C780 &amp; "|" &amp; H780, "")</f>
        <v>principal-process-steward|IssueOccurrences</v>
      </c>
      <c r="N780" s="2" t="s">
        <v>9938</v>
      </c>
    </row>
    <row r="781">
      <c r="A781" s="2" t="s">
        <v>10717</v>
      </c>
      <c r="B781" s="3" t="str">
        <f>C781 &amp; " -&gt; " &amp; D781</f>
        <v>principal-process-steward -&gt; IssueOccurrences.IsUnresolved</v>
      </c>
      <c r="C781" s="2" t="s">
        <v>9706</v>
      </c>
      <c r="D781" s="2" t="s">
        <v>3804</v>
      </c>
      <c r="E781" s="2" t="b">
        <v>1</v>
      </c>
      <c r="F781" s="2" t="b">
        <v>0</v>
      </c>
      <c r="G781" s="2" t="s">
        <v>9937</v>
      </c>
      <c r="H781" s="3" t="str">
        <f>_xlfn.IFNA(INDEX(RulebookFields!C2:C999, MATCH(D781,RulebookFields!A2:A999, 0)), "")</f>
        <v>IssueOccurrences</v>
      </c>
      <c r="I781" s="3" t="str">
        <f>_xlfn.IFNA(INDEX(RulebookFields!D2:D999, MATCH(D781,RulebookFields!A2:A999, 0)), "")</f>
        <v>IsUnresolved</v>
      </c>
      <c r="J781" s="3" t="b">
        <f>_xlfn.IFNA(INDEX(RulebookFields!I2:I999, MATCH(D781,RulebookFields!A2:A999, 0)), "")</f>
        <v>1</v>
      </c>
      <c r="K781" s="3" t="b">
        <f>AND(F781, J781)</f>
        <v>0</v>
      </c>
      <c r="L781" s="3" t="b">
        <f>AND(G781 &lt;&gt; "plain", G781 &lt;&gt; "")</f>
        <v>0</v>
      </c>
      <c r="M781" s="3" t="str">
        <f>IF(E781, C781 &amp; "|" &amp; H781, "")</f>
        <v>principal-process-steward|IssueOccurrences</v>
      </c>
      <c r="N781" s="2" t="s">
        <v>9938</v>
      </c>
    </row>
    <row r="782">
      <c r="A782" s="2" t="s">
        <v>10718</v>
      </c>
      <c r="B782" s="3" t="str">
        <f>C782 &amp; " -&gt; " &amp; D782</f>
        <v>principal-process-steward -&gt; IssueOccurrences.StepExecutionWhenUnresolved</v>
      </c>
      <c r="C782" s="2" t="s">
        <v>9706</v>
      </c>
      <c r="D782" s="2" t="s">
        <v>3806</v>
      </c>
      <c r="E782" s="2" t="b">
        <v>1</v>
      </c>
      <c r="F782" s="2" t="b">
        <v>0</v>
      </c>
      <c r="G782" s="2" t="s">
        <v>9937</v>
      </c>
      <c r="H782" s="3" t="str">
        <f>_xlfn.IFNA(INDEX(RulebookFields!C2:C999, MATCH(D782,RulebookFields!A2:A999, 0)), "")</f>
        <v>IssueOccurrences</v>
      </c>
      <c r="I782" s="3" t="str">
        <f>_xlfn.IFNA(INDEX(RulebookFields!D2:D999, MATCH(D782,RulebookFields!A2:A999, 0)), "")</f>
        <v>StepExecutionWhenUnresolved</v>
      </c>
      <c r="J782" s="3" t="b">
        <f>_xlfn.IFNA(INDEX(RulebookFields!I2:I999, MATCH(D782,RulebookFields!A2:A999, 0)), "")</f>
        <v>1</v>
      </c>
      <c r="K782" s="3" t="b">
        <f>AND(F782, J782)</f>
        <v>0</v>
      </c>
      <c r="L782" s="3" t="b">
        <f>AND(G782 &lt;&gt; "plain", G782 &lt;&gt; "")</f>
        <v>0</v>
      </c>
      <c r="M782" s="3" t="str">
        <f>IF(E782, C782 &amp; "|" &amp; H782, "")</f>
        <v>principal-process-steward|IssueOccurrences</v>
      </c>
      <c r="N782" s="2" t="s">
        <v>9938</v>
      </c>
    </row>
    <row r="783">
      <c r="A783" s="2" t="s">
        <v>10719</v>
      </c>
      <c r="B783" s="3" t="str">
        <f>C783 &amp; " -&gt; " &amp; D783</f>
        <v>principal-process-steward -&gt; IssueOccurrences.SemanticTypeIri</v>
      </c>
      <c r="C783" s="2" t="s">
        <v>9706</v>
      </c>
      <c r="D783" s="2" t="s">
        <v>3808</v>
      </c>
      <c r="E783" s="2" t="b">
        <v>1</v>
      </c>
      <c r="F783" s="2" t="b">
        <v>0</v>
      </c>
      <c r="G783" s="2" t="s">
        <v>9937</v>
      </c>
      <c r="H783" s="3" t="str">
        <f>_xlfn.IFNA(INDEX(RulebookFields!C2:C999, MATCH(D783,RulebookFields!A2:A999, 0)), "")</f>
        <v>IssueOccurrences</v>
      </c>
      <c r="I783" s="3" t="str">
        <f>_xlfn.IFNA(INDEX(RulebookFields!D2:D999, MATCH(D783,RulebookFields!A2:A999, 0)), "")</f>
        <v>SemanticTypeIri</v>
      </c>
      <c r="J783" s="3" t="b">
        <f>_xlfn.IFNA(INDEX(RulebookFields!I2:I999, MATCH(D783,RulebookFields!A2:A999, 0)), "")</f>
        <v>0</v>
      </c>
      <c r="K783" s="3" t="b">
        <f>AND(F783, J783)</f>
        <v>0</v>
      </c>
      <c r="L783" s="3" t="b">
        <f>AND(G783 &lt;&gt; "plain", G783 &lt;&gt; "")</f>
        <v>0</v>
      </c>
      <c r="M783" s="3" t="str">
        <f>IF(E783, C783 &amp; "|" &amp; H783, "")</f>
        <v>principal-process-steward|IssueOccurrences</v>
      </c>
      <c r="N783" s="2" t="s">
        <v>9938</v>
      </c>
    </row>
    <row r="784">
      <c r="A784" s="2" t="s">
        <v>10720</v>
      </c>
      <c r="B784" s="3" t="str">
        <f>C784 &amp; " -&gt; " &amp; D784</f>
        <v>principal-process-steward -&gt; KnowledgeFragments.KnowledgeFragmentId</v>
      </c>
      <c r="C784" s="2" t="s">
        <v>9706</v>
      </c>
      <c r="D784" s="2" t="s">
        <v>3159</v>
      </c>
      <c r="E784" s="2" t="b">
        <v>1</v>
      </c>
      <c r="F784" s="2" t="b">
        <v>0</v>
      </c>
      <c r="G784" s="2" t="s">
        <v>9937</v>
      </c>
      <c r="H784" s="3" t="str">
        <f>_xlfn.IFNA(INDEX(RulebookFields!C2:C999, MATCH(D784,RulebookFields!A2:A999, 0)), "")</f>
        <v>KnowledgeFragments</v>
      </c>
      <c r="I784" s="3" t="str">
        <f>_xlfn.IFNA(INDEX(RulebookFields!D2:D999, MATCH(D784,RulebookFields!A2:A999, 0)), "")</f>
        <v>KnowledgeFragmentId</v>
      </c>
      <c r="J784" s="3" t="b">
        <f>_xlfn.IFNA(INDEX(RulebookFields!I2:I999, MATCH(D784,RulebookFields!A2:A999, 0)), "")</f>
        <v>0</v>
      </c>
      <c r="K784" s="3" t="b">
        <f>AND(F784, J784)</f>
        <v>0</v>
      </c>
      <c r="L784" s="3" t="b">
        <f>AND(G784 &lt;&gt; "plain", G784 &lt;&gt; "")</f>
        <v>0</v>
      </c>
      <c r="M784" s="3" t="str">
        <f>IF(E784, C784 &amp; "|" &amp; H784, "")</f>
        <v>principal-process-steward|KnowledgeFragments</v>
      </c>
      <c r="N784" s="2" t="s">
        <v>9938</v>
      </c>
    </row>
    <row r="785">
      <c r="A785" s="2" t="s">
        <v>10721</v>
      </c>
      <c r="B785" s="3" t="str">
        <f>C785 &amp; " -&gt; " &amp; D785</f>
        <v>principal-process-steward -&gt; KnowledgeFragments.Name</v>
      </c>
      <c r="C785" s="2" t="s">
        <v>9706</v>
      </c>
      <c r="D785" s="2" t="s">
        <v>3160</v>
      </c>
      <c r="E785" s="2" t="b">
        <v>1</v>
      </c>
      <c r="F785" s="2" t="b">
        <v>0</v>
      </c>
      <c r="G785" s="2" t="s">
        <v>9937</v>
      </c>
      <c r="H785" s="3" t="str">
        <f>_xlfn.IFNA(INDEX(RulebookFields!C2:C999, MATCH(D785,RulebookFields!A2:A999, 0)), "")</f>
        <v>KnowledgeFragments</v>
      </c>
      <c r="I785" s="3" t="str">
        <f>_xlfn.IFNA(INDEX(RulebookFields!D2:D999, MATCH(D785,RulebookFields!A2:A999, 0)), "")</f>
        <v>Name</v>
      </c>
      <c r="J785" s="3" t="b">
        <f>_xlfn.IFNA(INDEX(RulebookFields!I2:I999, MATCH(D785,RulebookFields!A2:A999, 0)), "")</f>
        <v>1</v>
      </c>
      <c r="K785" s="3" t="b">
        <f>AND(F785, J785)</f>
        <v>0</v>
      </c>
      <c r="L785" s="3" t="b">
        <f>AND(G785 &lt;&gt; "plain", G785 &lt;&gt; "")</f>
        <v>0</v>
      </c>
      <c r="M785" s="3" t="str">
        <f>IF(E785, C785 &amp; "|" &amp; H785, "")</f>
        <v>principal-process-steward|KnowledgeFragments</v>
      </c>
      <c r="N785" s="2" t="s">
        <v>9938</v>
      </c>
    </row>
    <row r="786">
      <c r="A786" s="2" t="s">
        <v>10722</v>
      </c>
      <c r="B786" s="3" t="str">
        <f>C786 &amp; " -&gt; " &amp; D786</f>
        <v>principal-process-steward -&gt; KnowledgeFragments.ProcedureVersion</v>
      </c>
      <c r="C786" s="2" t="s">
        <v>9706</v>
      </c>
      <c r="D786" s="2" t="s">
        <v>3162</v>
      </c>
      <c r="E786" s="2" t="b">
        <v>1</v>
      </c>
      <c r="F786" s="2" t="b">
        <v>0</v>
      </c>
      <c r="G786" s="2" t="s">
        <v>9937</v>
      </c>
      <c r="H786" s="3" t="str">
        <f>_xlfn.IFNA(INDEX(RulebookFields!C2:C999, MATCH(D786,RulebookFields!A2:A999, 0)), "")</f>
        <v>KnowledgeFragments</v>
      </c>
      <c r="I786" s="3" t="str">
        <f>_xlfn.IFNA(INDEX(RulebookFields!D2:D999, MATCH(D786,RulebookFields!A2:A999, 0)), "")</f>
        <v>ProcedureVersion</v>
      </c>
      <c r="J786" s="3" t="b">
        <f>_xlfn.IFNA(INDEX(RulebookFields!I2:I999, MATCH(D786,RulebookFields!A2:A999, 0)), "")</f>
        <v>0</v>
      </c>
      <c r="K786" s="3" t="b">
        <f>AND(F786, J786)</f>
        <v>0</v>
      </c>
      <c r="L786" s="3" t="b">
        <f>AND(G786 &lt;&gt; "plain", G786 &lt;&gt; "")</f>
        <v>0</v>
      </c>
      <c r="M786" s="3" t="str">
        <f>IF(E786, C786 &amp; "|" &amp; H786, "")</f>
        <v>principal-process-steward|KnowledgeFragments</v>
      </c>
      <c r="N786" s="2" t="s">
        <v>9938</v>
      </c>
    </row>
    <row r="787">
      <c r="A787" s="2" t="s">
        <v>10723</v>
      </c>
      <c r="B787" s="3" t="str">
        <f>C787 &amp; " -&gt; " &amp; D787</f>
        <v>principal-process-steward -&gt; KnowledgeFragments.Step</v>
      </c>
      <c r="C787" s="2" t="s">
        <v>9706</v>
      </c>
      <c r="D787" s="2" t="s">
        <v>3163</v>
      </c>
      <c r="E787" s="2" t="b">
        <v>1</v>
      </c>
      <c r="F787" s="2" t="b">
        <v>0</v>
      </c>
      <c r="G787" s="2" t="s">
        <v>9937</v>
      </c>
      <c r="H787" s="3" t="str">
        <f>_xlfn.IFNA(INDEX(RulebookFields!C2:C999, MATCH(D787,RulebookFields!A2:A999, 0)), "")</f>
        <v>KnowledgeFragments</v>
      </c>
      <c r="I787" s="3" t="str">
        <f>_xlfn.IFNA(INDEX(RulebookFields!D2:D999, MATCH(D787,RulebookFields!A2:A999, 0)), "")</f>
        <v>Step</v>
      </c>
      <c r="J787" s="3" t="b">
        <f>_xlfn.IFNA(INDEX(RulebookFields!I2:I999, MATCH(D787,RulebookFields!A2:A999, 0)), "")</f>
        <v>0</v>
      </c>
      <c r="K787" s="3" t="b">
        <f>AND(F787, J787)</f>
        <v>0</v>
      </c>
      <c r="L787" s="3" t="b">
        <f>AND(G787 &lt;&gt; "plain", G787 &lt;&gt; "")</f>
        <v>0</v>
      </c>
      <c r="M787" s="3" t="str">
        <f>IF(E787, C787 &amp; "|" &amp; H787, "")</f>
        <v>principal-process-steward|KnowledgeFragments</v>
      </c>
      <c r="N787" s="2" t="s">
        <v>9938</v>
      </c>
    </row>
    <row r="788">
      <c r="A788" s="2" t="s">
        <v>10724</v>
      </c>
      <c r="B788" s="3" t="str">
        <f>C788 &amp; " -&gt; " &amp; D788</f>
        <v>principal-process-steward -&gt; KnowledgeFragments.KnowledgeForm</v>
      </c>
      <c r="C788" s="2" t="s">
        <v>9706</v>
      </c>
      <c r="D788" s="2" t="s">
        <v>3164</v>
      </c>
      <c r="E788" s="2" t="b">
        <v>1</v>
      </c>
      <c r="F788" s="2" t="b">
        <v>0</v>
      </c>
      <c r="G788" s="2" t="s">
        <v>9937</v>
      </c>
      <c r="H788" s="3" t="str">
        <f>_xlfn.IFNA(INDEX(RulebookFields!C2:C999, MATCH(D788,RulebookFields!A2:A999, 0)), "")</f>
        <v>KnowledgeFragments</v>
      </c>
      <c r="I788" s="3" t="str">
        <f>_xlfn.IFNA(INDEX(RulebookFields!D2:D999, MATCH(D788,RulebookFields!A2:A999, 0)), "")</f>
        <v>KnowledgeForm</v>
      </c>
      <c r="J788" s="3" t="b">
        <f>_xlfn.IFNA(INDEX(RulebookFields!I2:I999, MATCH(D788,RulebookFields!A2:A999, 0)), "")</f>
        <v>0</v>
      </c>
      <c r="K788" s="3" t="b">
        <f>AND(F788, J788)</f>
        <v>0</v>
      </c>
      <c r="L788" s="3" t="b">
        <f>AND(G788 &lt;&gt; "plain", G788 &lt;&gt; "")</f>
        <v>0</v>
      </c>
      <c r="M788" s="3" t="str">
        <f>IF(E788, C788 &amp; "|" &amp; H788, "")</f>
        <v>principal-process-steward|KnowledgeFragments</v>
      </c>
      <c r="N788" s="2" t="s">
        <v>9938</v>
      </c>
    </row>
    <row r="789">
      <c r="A789" s="2" t="s">
        <v>10725</v>
      </c>
      <c r="B789" s="3" t="str">
        <f>C789 &amp; " -&gt; " &amp; D789</f>
        <v>principal-process-steward -&gt; KnowledgeFragments.Statement</v>
      </c>
      <c r="C789" s="2" t="s">
        <v>9706</v>
      </c>
      <c r="D789" s="2" t="s">
        <v>3165</v>
      </c>
      <c r="E789" s="2" t="b">
        <v>1</v>
      </c>
      <c r="F789" s="2" t="b">
        <v>0</v>
      </c>
      <c r="G789" s="2" t="s">
        <v>9937</v>
      </c>
      <c r="H789" s="3" t="str">
        <f>_xlfn.IFNA(INDEX(RulebookFields!C2:C999, MATCH(D789,RulebookFields!A2:A999, 0)), "")</f>
        <v>KnowledgeFragments</v>
      </c>
      <c r="I789" s="3" t="str">
        <f>_xlfn.IFNA(INDEX(RulebookFields!D2:D999, MATCH(D789,RulebookFields!A2:A999, 0)), "")</f>
        <v>Statement</v>
      </c>
      <c r="J789" s="3" t="b">
        <f>_xlfn.IFNA(INDEX(RulebookFields!I2:I999, MATCH(D789,RulebookFields!A2:A999, 0)), "")</f>
        <v>0</v>
      </c>
      <c r="K789" s="3" t="b">
        <f>AND(F789, J789)</f>
        <v>0</v>
      </c>
      <c r="L789" s="3" t="b">
        <f>AND(G789 &lt;&gt; "plain", G789 &lt;&gt; "")</f>
        <v>0</v>
      </c>
      <c r="M789" s="3" t="str">
        <f>IF(E789, C789 &amp; "|" &amp; H789, "")</f>
        <v>principal-process-steward|KnowledgeFragments</v>
      </c>
      <c r="N789" s="2" t="s">
        <v>9938</v>
      </c>
    </row>
    <row r="790">
      <c r="A790" s="2" t="s">
        <v>10726</v>
      </c>
      <c r="B790" s="3" t="str">
        <f>C790 &amp; " -&gt; " &amp; D790</f>
        <v>principal-process-steward -&gt; KnowledgeFragments.ElicitationSession</v>
      </c>
      <c r="C790" s="2" t="s">
        <v>9706</v>
      </c>
      <c r="D790" s="2" t="s">
        <v>3166</v>
      </c>
      <c r="E790" s="2" t="b">
        <v>1</v>
      </c>
      <c r="F790" s="2" t="b">
        <v>0</v>
      </c>
      <c r="G790" s="2" t="s">
        <v>9937</v>
      </c>
      <c r="H790" s="3" t="str">
        <f>_xlfn.IFNA(INDEX(RulebookFields!C2:C999, MATCH(D790,RulebookFields!A2:A999, 0)), "")</f>
        <v>KnowledgeFragments</v>
      </c>
      <c r="I790" s="3" t="str">
        <f>_xlfn.IFNA(INDEX(RulebookFields!D2:D999, MATCH(D790,RulebookFields!A2:A999, 0)), "")</f>
        <v>ElicitationSession</v>
      </c>
      <c r="J790" s="3" t="b">
        <f>_xlfn.IFNA(INDEX(RulebookFields!I2:I999, MATCH(D790,RulebookFields!A2:A999, 0)), "")</f>
        <v>0</v>
      </c>
      <c r="K790" s="3" t="b">
        <f>AND(F790, J790)</f>
        <v>0</v>
      </c>
      <c r="L790" s="3" t="b">
        <f>AND(G790 &lt;&gt; "plain", G790 &lt;&gt; "")</f>
        <v>0</v>
      </c>
      <c r="M790" s="3" t="str">
        <f>IF(E790, C790 &amp; "|" &amp; H790, "")</f>
        <v>principal-process-steward|KnowledgeFragments</v>
      </c>
      <c r="N790" s="2" t="s">
        <v>9938</v>
      </c>
    </row>
    <row r="791">
      <c r="A791" s="2" t="s">
        <v>10727</v>
      </c>
      <c r="B791" s="3" t="str">
        <f>C791 &amp; " -&gt; " &amp; D791</f>
        <v>principal-process-steward -&gt; KnowledgeFragments.SourceAgent</v>
      </c>
      <c r="C791" s="2" t="s">
        <v>9706</v>
      </c>
      <c r="D791" s="2" t="s">
        <v>3167</v>
      </c>
      <c r="E791" s="2" t="b">
        <v>1</v>
      </c>
      <c r="F791" s="2" t="b">
        <v>0</v>
      </c>
      <c r="G791" s="2" t="s">
        <v>9937</v>
      </c>
      <c r="H791" s="3" t="str">
        <f>_xlfn.IFNA(INDEX(RulebookFields!C2:C999, MATCH(D791,RulebookFields!A2:A999, 0)), "")</f>
        <v>KnowledgeFragments</v>
      </c>
      <c r="I791" s="3" t="str">
        <f>_xlfn.IFNA(INDEX(RulebookFields!D2:D999, MATCH(D791,RulebookFields!A2:A999, 0)), "")</f>
        <v>SourceAgent</v>
      </c>
      <c r="J791" s="3" t="b">
        <f>_xlfn.IFNA(INDEX(RulebookFields!I2:I999, MATCH(D791,RulebookFields!A2:A999, 0)), "")</f>
        <v>0</v>
      </c>
      <c r="K791" s="3" t="b">
        <f>AND(F791, J791)</f>
        <v>0</v>
      </c>
      <c r="L791" s="3" t="b">
        <f>AND(G791 &lt;&gt; "plain", G791 &lt;&gt; "")</f>
        <v>0</v>
      </c>
      <c r="M791" s="3" t="str">
        <f>IF(E791, C791 &amp; "|" &amp; H791, "")</f>
        <v>principal-process-steward|KnowledgeFragments</v>
      </c>
      <c r="N791" s="2" t="s">
        <v>9938</v>
      </c>
    </row>
    <row r="792">
      <c r="A792" s="2" t="s">
        <v>10728</v>
      </c>
      <c r="B792" s="3" t="str">
        <f>C792 &amp; " -&gt; " &amp; D792</f>
        <v>principal-process-steward -&gt; KnowledgeFragments.Confidence</v>
      </c>
      <c r="C792" s="2" t="s">
        <v>9706</v>
      </c>
      <c r="D792" s="2" t="s">
        <v>3168</v>
      </c>
      <c r="E792" s="2" t="b">
        <v>1</v>
      </c>
      <c r="F792" s="2" t="b">
        <v>0</v>
      </c>
      <c r="G792" s="2" t="s">
        <v>9937</v>
      </c>
      <c r="H792" s="3" t="str">
        <f>_xlfn.IFNA(INDEX(RulebookFields!C2:C999, MATCH(D792,RulebookFields!A2:A999, 0)), "")</f>
        <v>KnowledgeFragments</v>
      </c>
      <c r="I792" s="3" t="str">
        <f>_xlfn.IFNA(INDEX(RulebookFields!D2:D999, MATCH(D792,RulebookFields!A2:A999, 0)), "")</f>
        <v>Confidence</v>
      </c>
      <c r="J792" s="3" t="b">
        <f>_xlfn.IFNA(INDEX(RulebookFields!I2:I999, MATCH(D792,RulebookFields!A2:A999, 0)), "")</f>
        <v>0</v>
      </c>
      <c r="K792" s="3" t="b">
        <f>AND(F792, J792)</f>
        <v>0</v>
      </c>
      <c r="L792" s="3" t="b">
        <f>AND(G792 &lt;&gt; "plain", G792 &lt;&gt; "")</f>
        <v>0</v>
      </c>
      <c r="M792" s="3" t="str">
        <f>IF(E792, C792 &amp; "|" &amp; H792, "")</f>
        <v>principal-process-steward|KnowledgeFragments</v>
      </c>
      <c r="N792" s="2" t="s">
        <v>9938</v>
      </c>
    </row>
    <row r="793">
      <c r="A793" s="2" t="s">
        <v>10729</v>
      </c>
      <c r="B793" s="3" t="str">
        <f>C793 &amp; " -&gt; " &amp; D793</f>
        <v>principal-process-steward -&gt; KnowledgeFragments.ValidFrom</v>
      </c>
      <c r="C793" s="2" t="s">
        <v>9706</v>
      </c>
      <c r="D793" s="2" t="s">
        <v>3169</v>
      </c>
      <c r="E793" s="2" t="b">
        <v>1</v>
      </c>
      <c r="F793" s="2" t="b">
        <v>0</v>
      </c>
      <c r="G793" s="2" t="s">
        <v>9937</v>
      </c>
      <c r="H793" s="3" t="str">
        <f>_xlfn.IFNA(INDEX(RulebookFields!C2:C999, MATCH(D793,RulebookFields!A2:A999, 0)), "")</f>
        <v>KnowledgeFragments</v>
      </c>
      <c r="I793" s="3" t="str">
        <f>_xlfn.IFNA(INDEX(RulebookFields!D2:D999, MATCH(D793,RulebookFields!A2:A999, 0)), "")</f>
        <v>ValidFrom</v>
      </c>
      <c r="J793" s="3" t="b">
        <f>_xlfn.IFNA(INDEX(RulebookFields!I2:I999, MATCH(D793,RulebookFields!A2:A999, 0)), "")</f>
        <v>0</v>
      </c>
      <c r="K793" s="3" t="b">
        <f>AND(F793, J793)</f>
        <v>0</v>
      </c>
      <c r="L793" s="3" t="b">
        <f>AND(G793 &lt;&gt; "plain", G793 &lt;&gt; "")</f>
        <v>0</v>
      </c>
      <c r="M793" s="3" t="str">
        <f>IF(E793, C793 &amp; "|" &amp; H793, "")</f>
        <v>principal-process-steward|KnowledgeFragments</v>
      </c>
      <c r="N793" s="2" t="s">
        <v>9938</v>
      </c>
    </row>
    <row r="794">
      <c r="A794" s="2" t="s">
        <v>10730</v>
      </c>
      <c r="B794" s="3" t="str">
        <f>C794 &amp; " -&gt; " &amp; D794</f>
        <v>principal-process-steward -&gt; KnowledgeFragments.ValidTo</v>
      </c>
      <c r="C794" s="2" t="s">
        <v>9706</v>
      </c>
      <c r="D794" s="2" t="s">
        <v>3170</v>
      </c>
      <c r="E794" s="2" t="b">
        <v>1</v>
      </c>
      <c r="F794" s="2" t="b">
        <v>0</v>
      </c>
      <c r="G794" s="2" t="s">
        <v>9937</v>
      </c>
      <c r="H794" s="3" t="str">
        <f>_xlfn.IFNA(INDEX(RulebookFields!C2:C999, MATCH(D794,RulebookFields!A2:A999, 0)), "")</f>
        <v>KnowledgeFragments</v>
      </c>
      <c r="I794" s="3" t="str">
        <f>_xlfn.IFNA(INDEX(RulebookFields!D2:D999, MATCH(D794,RulebookFields!A2:A999, 0)), "")</f>
        <v>ValidTo</v>
      </c>
      <c r="J794" s="3" t="b">
        <f>_xlfn.IFNA(INDEX(RulebookFields!I2:I999, MATCH(D794,RulebookFields!A2:A999, 0)), "")</f>
        <v>0</v>
      </c>
      <c r="K794" s="3" t="b">
        <f>AND(F794, J794)</f>
        <v>0</v>
      </c>
      <c r="L794" s="3" t="b">
        <f>AND(G794 &lt;&gt; "plain", G794 &lt;&gt; "")</f>
        <v>0</v>
      </c>
      <c r="M794" s="3" t="str">
        <f>IF(E794, C794 &amp; "|" &amp; H794, "")</f>
        <v>principal-process-steward|KnowledgeFragments</v>
      </c>
      <c r="N794" s="2" t="s">
        <v>9938</v>
      </c>
    </row>
    <row r="795">
      <c r="A795" s="2" t="s">
        <v>10731</v>
      </c>
      <c r="B795" s="3" t="str">
        <f>C795 &amp; " -&gt; " &amp; D795</f>
        <v>principal-process-steward -&gt; KnowledgeFragments.Status</v>
      </c>
      <c r="C795" s="2" t="s">
        <v>9706</v>
      </c>
      <c r="D795" s="2" t="s">
        <v>3171</v>
      </c>
      <c r="E795" s="2" t="b">
        <v>1</v>
      </c>
      <c r="F795" s="2" t="b">
        <v>0</v>
      </c>
      <c r="G795" s="2" t="s">
        <v>9937</v>
      </c>
      <c r="H795" s="3" t="str">
        <f>_xlfn.IFNA(INDEX(RulebookFields!C2:C999, MATCH(D795,RulebookFields!A2:A999, 0)), "")</f>
        <v>KnowledgeFragments</v>
      </c>
      <c r="I795" s="3" t="str">
        <f>_xlfn.IFNA(INDEX(RulebookFields!D2:D999, MATCH(D795,RulebookFields!A2:A999, 0)), "")</f>
        <v>Status</v>
      </c>
      <c r="J795" s="3" t="b">
        <f>_xlfn.IFNA(INDEX(RulebookFields!I2:I999, MATCH(D795,RulebookFields!A2:A999, 0)), "")</f>
        <v>0</v>
      </c>
      <c r="K795" s="3" t="b">
        <f>AND(F795, J795)</f>
        <v>0</v>
      </c>
      <c r="L795" s="3" t="b">
        <f>AND(G795 &lt;&gt; "plain", G795 &lt;&gt; "")</f>
        <v>0</v>
      </c>
      <c r="M795" s="3" t="str">
        <f>IF(E795, C795 &amp; "|" &amp; H795, "")</f>
        <v>principal-process-steward|KnowledgeFragments</v>
      </c>
      <c r="N795" s="2" t="s">
        <v>9938</v>
      </c>
    </row>
    <row r="796">
      <c r="A796" s="2" t="s">
        <v>10732</v>
      </c>
      <c r="B796" s="3" t="str">
        <f>C796 &amp; " -&gt; " &amp; D796</f>
        <v>principal-process-steward -&gt; KnowledgeFragments.OwnerRole</v>
      </c>
      <c r="C796" s="2" t="s">
        <v>9706</v>
      </c>
      <c r="D796" s="2" t="s">
        <v>3172</v>
      </c>
      <c r="E796" s="2" t="b">
        <v>1</v>
      </c>
      <c r="F796" s="2" t="b">
        <v>0</v>
      </c>
      <c r="G796" s="2" t="s">
        <v>9937</v>
      </c>
      <c r="H796" s="3" t="str">
        <f>_xlfn.IFNA(INDEX(RulebookFields!C2:C999, MATCH(D796,RulebookFields!A2:A999, 0)), "")</f>
        <v>KnowledgeFragments</v>
      </c>
      <c r="I796" s="3" t="str">
        <f>_xlfn.IFNA(INDEX(RulebookFields!D2:D999, MATCH(D796,RulebookFields!A2:A999, 0)), "")</f>
        <v>OwnerRole</v>
      </c>
      <c r="J796" s="3" t="b">
        <f>_xlfn.IFNA(INDEX(RulebookFields!I2:I999, MATCH(D796,RulebookFields!A2:A999, 0)), "")</f>
        <v>0</v>
      </c>
      <c r="K796" s="3" t="b">
        <f>AND(F796, J796)</f>
        <v>0</v>
      </c>
      <c r="L796" s="3" t="b">
        <f>AND(G796 &lt;&gt; "plain", G796 &lt;&gt; "")</f>
        <v>0</v>
      </c>
      <c r="M796" s="3" t="str">
        <f>IF(E796, C796 &amp; "|" &amp; H796, "")</f>
        <v>principal-process-steward|KnowledgeFragments</v>
      </c>
      <c r="N796" s="2" t="s">
        <v>9938</v>
      </c>
    </row>
    <row r="797">
      <c r="A797" s="2" t="s">
        <v>10733</v>
      </c>
      <c r="B797" s="3" t="str">
        <f>C797 &amp; " -&gt; " &amp; D797</f>
        <v>principal-process-steward -&gt; KnowledgeFragments.EvaluationContext</v>
      </c>
      <c r="C797" s="2" t="s">
        <v>9706</v>
      </c>
      <c r="D797" s="2" t="s">
        <v>3173</v>
      </c>
      <c r="E797" s="2" t="b">
        <v>1</v>
      </c>
      <c r="F797" s="2" t="b">
        <v>0</v>
      </c>
      <c r="G797" s="2" t="s">
        <v>9937</v>
      </c>
      <c r="H797" s="3" t="str">
        <f>_xlfn.IFNA(INDEX(RulebookFields!C2:C999, MATCH(D797,RulebookFields!A2:A999, 0)), "")</f>
        <v>KnowledgeFragments</v>
      </c>
      <c r="I797" s="3" t="str">
        <f>_xlfn.IFNA(INDEX(RulebookFields!D2:D999, MATCH(D797,RulebookFields!A2:A999, 0)), "")</f>
        <v>EvaluationContext</v>
      </c>
      <c r="J797" s="3" t="b">
        <f>_xlfn.IFNA(INDEX(RulebookFields!I2:I999, MATCH(D797,RulebookFields!A2:A999, 0)), "")</f>
        <v>0</v>
      </c>
      <c r="K797" s="3" t="b">
        <f>AND(F797, J797)</f>
        <v>0</v>
      </c>
      <c r="L797" s="3" t="b">
        <f>AND(G797 &lt;&gt; "plain", G797 &lt;&gt; "")</f>
        <v>0</v>
      </c>
      <c r="M797" s="3" t="str">
        <f>IF(E797, C797 &amp; "|" &amp; H797, "")</f>
        <v>principal-process-steward|KnowledgeFragments</v>
      </c>
      <c r="N797" s="2" t="s">
        <v>9938</v>
      </c>
    </row>
    <row r="798">
      <c r="A798" s="2" t="s">
        <v>10734</v>
      </c>
      <c r="B798" s="3" t="str">
        <f>C798 &amp; " -&gt; " &amp; D798</f>
        <v>principal-process-steward -&gt; KnowledgeFragments.AsOfInstant</v>
      </c>
      <c r="C798" s="2" t="s">
        <v>9706</v>
      </c>
      <c r="D798" s="2" t="s">
        <v>3174</v>
      </c>
      <c r="E798" s="2" t="b">
        <v>1</v>
      </c>
      <c r="F798" s="2" t="b">
        <v>0</v>
      </c>
      <c r="G798" s="2" t="s">
        <v>9937</v>
      </c>
      <c r="H798" s="3" t="str">
        <f>_xlfn.IFNA(INDEX(RulebookFields!C2:C999, MATCH(D798,RulebookFields!A2:A999, 0)), "")</f>
        <v>KnowledgeFragments</v>
      </c>
      <c r="I798" s="3" t="str">
        <f>_xlfn.IFNA(INDEX(RulebookFields!D2:D999, MATCH(D798,RulebookFields!A2:A999, 0)), "")</f>
        <v>AsOfInstant</v>
      </c>
      <c r="J798" s="3" t="b">
        <f>_xlfn.IFNA(INDEX(RulebookFields!I2:I999, MATCH(D798,RulebookFields!A2:A999, 0)), "")</f>
        <v>1</v>
      </c>
      <c r="K798" s="3" t="b">
        <f>AND(F798, J798)</f>
        <v>0</v>
      </c>
      <c r="L798" s="3" t="b">
        <f>AND(G798 &lt;&gt; "plain", G798 &lt;&gt; "")</f>
        <v>0</v>
      </c>
      <c r="M798" s="3" t="str">
        <f>IF(E798, C798 &amp; "|" &amp; H798, "")</f>
        <v>principal-process-steward|KnowledgeFragments</v>
      </c>
      <c r="N798" s="2" t="s">
        <v>9938</v>
      </c>
    </row>
    <row r="799">
      <c r="A799" s="2" t="s">
        <v>10735</v>
      </c>
      <c r="B799" s="3" t="str">
        <f>C799 &amp; " -&gt; " &amp; D799</f>
        <v>principal-process-steward -&gt; KnowledgeFragments.IsCurrentlyValid</v>
      </c>
      <c r="C799" s="2" t="s">
        <v>9706</v>
      </c>
      <c r="D799" s="2" t="s">
        <v>3175</v>
      </c>
      <c r="E799" s="2" t="b">
        <v>1</v>
      </c>
      <c r="F799" s="2" t="b">
        <v>0</v>
      </c>
      <c r="G799" s="2" t="s">
        <v>9937</v>
      </c>
      <c r="H799" s="3" t="str">
        <f>_xlfn.IFNA(INDEX(RulebookFields!C2:C999, MATCH(D799,RulebookFields!A2:A999, 0)), "")</f>
        <v>KnowledgeFragments</v>
      </c>
      <c r="I799" s="3" t="str">
        <f>_xlfn.IFNA(INDEX(RulebookFields!D2:D999, MATCH(D799,RulebookFields!A2:A999, 0)), "")</f>
        <v>IsCurrentlyValid</v>
      </c>
      <c r="J799" s="3" t="b">
        <f>_xlfn.IFNA(INDEX(RulebookFields!I2:I999, MATCH(D799,RulebookFields!A2:A999, 0)), "")</f>
        <v>1</v>
      </c>
      <c r="K799" s="3" t="b">
        <f>AND(F799, J799)</f>
        <v>0</v>
      </c>
      <c r="L799" s="3" t="b">
        <f>AND(G799 &lt;&gt; "plain", G799 &lt;&gt; "")</f>
        <v>0</v>
      </c>
      <c r="M799" s="3" t="str">
        <f>IF(E799, C799 &amp; "|" &amp; H799, "")</f>
        <v>principal-process-steward|KnowledgeFragments</v>
      </c>
      <c r="N799" s="2" t="s">
        <v>9938</v>
      </c>
    </row>
    <row r="800">
      <c r="A800" s="2" t="s">
        <v>10736</v>
      </c>
      <c r="B800" s="3" t="str">
        <f>C800 &amp; " -&gt; " &amp; D800</f>
        <v>principal-process-steward -&gt; KnowledgeFragments.SourceAgentIsStillEngaged</v>
      </c>
      <c r="C800" s="2" t="s">
        <v>9706</v>
      </c>
      <c r="D800" s="2" t="s">
        <v>3177</v>
      </c>
      <c r="E800" s="2" t="b">
        <v>1</v>
      </c>
      <c r="F800" s="2" t="b">
        <v>0</v>
      </c>
      <c r="G800" s="2" t="s">
        <v>9937</v>
      </c>
      <c r="H800" s="3" t="str">
        <f>_xlfn.IFNA(INDEX(RulebookFields!C2:C999, MATCH(D800,RulebookFields!A2:A999, 0)), "")</f>
        <v>KnowledgeFragments</v>
      </c>
      <c r="I800" s="3" t="str">
        <f>_xlfn.IFNA(INDEX(RulebookFields!D2:D999, MATCH(D800,RulebookFields!A2:A999, 0)), "")</f>
        <v>SourceAgentIsStillEngaged</v>
      </c>
      <c r="J800" s="3" t="b">
        <f>_xlfn.IFNA(INDEX(RulebookFields!I2:I999, MATCH(D800,RulebookFields!A2:A999, 0)), "")</f>
        <v>1</v>
      </c>
      <c r="K800" s="3" t="b">
        <f>AND(F800, J800)</f>
        <v>0</v>
      </c>
      <c r="L800" s="3" t="b">
        <f>AND(G800 &lt;&gt; "plain", G800 &lt;&gt; "")</f>
        <v>0</v>
      </c>
      <c r="M800" s="3" t="str">
        <f>IF(E800, C800 &amp; "|" &amp; H800, "")</f>
        <v>principal-process-steward|KnowledgeFragments</v>
      </c>
      <c r="N800" s="2" t="s">
        <v>9938</v>
      </c>
    </row>
    <row r="801">
      <c r="A801" s="2" t="s">
        <v>10737</v>
      </c>
      <c r="B801" s="3" t="str">
        <f>C801 &amp; " -&gt; " &amp; D801</f>
        <v>principal-process-steward -&gt; KnowledgeFragments.SourceAgentKind</v>
      </c>
      <c r="C801" s="2" t="s">
        <v>9706</v>
      </c>
      <c r="D801" s="2" t="s">
        <v>3179</v>
      </c>
      <c r="E801" s="2" t="b">
        <v>1</v>
      </c>
      <c r="F801" s="2" t="b">
        <v>0</v>
      </c>
      <c r="G801" s="2" t="s">
        <v>9937</v>
      </c>
      <c r="H801" s="3" t="str">
        <f>_xlfn.IFNA(INDEX(RulebookFields!C2:C999, MATCH(D801,RulebookFields!A2:A999, 0)), "")</f>
        <v>KnowledgeFragments</v>
      </c>
      <c r="I801" s="3" t="str">
        <f>_xlfn.IFNA(INDEX(RulebookFields!D2:D999, MATCH(D801,RulebookFields!A2:A999, 0)), "")</f>
        <v>SourceAgentKind</v>
      </c>
      <c r="J801" s="3" t="b">
        <f>_xlfn.IFNA(INDEX(RulebookFields!I2:I999, MATCH(D801,RulebookFields!A2:A999, 0)), "")</f>
        <v>1</v>
      </c>
      <c r="K801" s="3" t="b">
        <f>AND(F801, J801)</f>
        <v>0</v>
      </c>
      <c r="L801" s="3" t="b">
        <f>AND(G801 &lt;&gt; "plain", G801 &lt;&gt; "")</f>
        <v>0</v>
      </c>
      <c r="M801" s="3" t="str">
        <f>IF(E801, C801 &amp; "|" &amp; H801, "")</f>
        <v>principal-process-steward|KnowledgeFragments</v>
      </c>
      <c r="N801" s="2" t="s">
        <v>9938</v>
      </c>
    </row>
    <row r="802">
      <c r="A802" s="2" t="s">
        <v>10738</v>
      </c>
      <c r="B802" s="3" t="str">
        <f>C802 &amp; " -&gt; " &amp; D802</f>
        <v>principal-process-steward -&gt; KnowledgeFragments.HasHumanSource</v>
      </c>
      <c r="C802" s="2" t="s">
        <v>9706</v>
      </c>
      <c r="D802" s="2" t="s">
        <v>3181</v>
      </c>
      <c r="E802" s="2" t="b">
        <v>1</v>
      </c>
      <c r="F802" s="2" t="b">
        <v>0</v>
      </c>
      <c r="G802" s="2" t="s">
        <v>9937</v>
      </c>
      <c r="H802" s="3" t="str">
        <f>_xlfn.IFNA(INDEX(RulebookFields!C2:C999, MATCH(D802,RulebookFields!A2:A999, 0)), "")</f>
        <v>KnowledgeFragments</v>
      </c>
      <c r="I802" s="3" t="str">
        <f>_xlfn.IFNA(INDEX(RulebookFields!D2:D999, MATCH(D802,RulebookFields!A2:A999, 0)), "")</f>
        <v>HasHumanSource</v>
      </c>
      <c r="J802" s="3" t="b">
        <f>_xlfn.IFNA(INDEX(RulebookFields!I2:I999, MATCH(D802,RulebookFields!A2:A999, 0)), "")</f>
        <v>1</v>
      </c>
      <c r="K802" s="3" t="b">
        <f>AND(F802, J802)</f>
        <v>0</v>
      </c>
      <c r="L802" s="3" t="b">
        <f>AND(G802 &lt;&gt; "plain", G802 &lt;&gt; "")</f>
        <v>0</v>
      </c>
      <c r="M802" s="3" t="str">
        <f>IF(E802, C802 &amp; "|" &amp; H802, "")</f>
        <v>principal-process-steward|KnowledgeFragments</v>
      </c>
      <c r="N802" s="2" t="s">
        <v>9938</v>
      </c>
    </row>
    <row r="803">
      <c r="A803" s="2" t="s">
        <v>10739</v>
      </c>
      <c r="B803" s="3" t="str">
        <f>C803 &amp; " -&gt; " &amp; D803</f>
        <v>principal-process-steward -&gt; KnowledgeFragments.HasOrphanedProvenance</v>
      </c>
      <c r="C803" s="2" t="s">
        <v>9706</v>
      </c>
      <c r="D803" s="2" t="s">
        <v>3183</v>
      </c>
      <c r="E803" s="2" t="b">
        <v>1</v>
      </c>
      <c r="F803" s="2" t="b">
        <v>0</v>
      </c>
      <c r="G803" s="2" t="s">
        <v>9937</v>
      </c>
      <c r="H803" s="3" t="str">
        <f>_xlfn.IFNA(INDEX(RulebookFields!C2:C999, MATCH(D803,RulebookFields!A2:A999, 0)), "")</f>
        <v>KnowledgeFragments</v>
      </c>
      <c r="I803" s="3" t="str">
        <f>_xlfn.IFNA(INDEX(RulebookFields!D2:D999, MATCH(D803,RulebookFields!A2:A999, 0)), "")</f>
        <v>HasOrphanedProvenance</v>
      </c>
      <c r="J803" s="3" t="b">
        <f>_xlfn.IFNA(INDEX(RulebookFields!I2:I999, MATCH(D803,RulebookFields!A2:A999, 0)), "")</f>
        <v>1</v>
      </c>
      <c r="K803" s="3" t="b">
        <f>AND(F803, J803)</f>
        <v>0</v>
      </c>
      <c r="L803" s="3" t="b">
        <f>AND(G803 &lt;&gt; "plain", G803 &lt;&gt; "")</f>
        <v>0</v>
      </c>
      <c r="M803" s="3" t="str">
        <f>IF(E803, C803 &amp; "|" &amp; H803, "")</f>
        <v>principal-process-steward|KnowledgeFragments</v>
      </c>
      <c r="N803" s="2" t="s">
        <v>9938</v>
      </c>
    </row>
    <row r="804">
      <c r="A804" s="2" t="s">
        <v>10740</v>
      </c>
      <c r="B804" s="3" t="str">
        <f>C804 &amp; " -&gt; " &amp; D804</f>
        <v>principal-process-steward -&gt; KnowledgeFragments.IsUndefendableTacitClaim</v>
      </c>
      <c r="C804" s="2" t="s">
        <v>9706</v>
      </c>
      <c r="D804" s="2" t="s">
        <v>3185</v>
      </c>
      <c r="E804" s="2" t="b">
        <v>1</v>
      </c>
      <c r="F804" s="2" t="b">
        <v>0</v>
      </c>
      <c r="G804" s="2" t="s">
        <v>9937</v>
      </c>
      <c r="H804" s="3" t="str">
        <f>_xlfn.IFNA(INDEX(RulebookFields!C2:C999, MATCH(D804,RulebookFields!A2:A999, 0)), "")</f>
        <v>KnowledgeFragments</v>
      </c>
      <c r="I804" s="3" t="str">
        <f>_xlfn.IFNA(INDEX(RulebookFields!D2:D999, MATCH(D804,RulebookFields!A2:A999, 0)), "")</f>
        <v>IsUndefendableTacitClaim</v>
      </c>
      <c r="J804" s="3" t="b">
        <f>_xlfn.IFNA(INDEX(RulebookFields!I2:I999, MATCH(D804,RulebookFields!A2:A999, 0)), "")</f>
        <v>1</v>
      </c>
      <c r="K804" s="3" t="b">
        <f>AND(F804, J804)</f>
        <v>0</v>
      </c>
      <c r="L804" s="3" t="b">
        <f>AND(G804 &lt;&gt; "plain", G804 &lt;&gt; "")</f>
        <v>0</v>
      </c>
      <c r="M804" s="3" t="str">
        <f>IF(E804, C804 &amp; "|" &amp; H804, "")</f>
        <v>principal-process-steward|KnowledgeFragments</v>
      </c>
      <c r="N804" s="2" t="s">
        <v>9938</v>
      </c>
    </row>
    <row r="805">
      <c r="A805" s="2" t="s">
        <v>10741</v>
      </c>
      <c r="B805" s="3" t="str">
        <f>C805 &amp; " -&gt; " &amp; D805</f>
        <v>principal-process-steward -&gt; KnowledgeFragments.IsApproved</v>
      </c>
      <c r="C805" s="2" t="s">
        <v>9706</v>
      </c>
      <c r="D805" s="2" t="s">
        <v>3187</v>
      </c>
      <c r="E805" s="2" t="b">
        <v>1</v>
      </c>
      <c r="F805" s="2" t="b">
        <v>0</v>
      </c>
      <c r="G805" s="2" t="s">
        <v>9937</v>
      </c>
      <c r="H805" s="3" t="str">
        <f>_xlfn.IFNA(INDEX(RulebookFields!C2:C999, MATCH(D805,RulebookFields!A2:A999, 0)), "")</f>
        <v>KnowledgeFragments</v>
      </c>
      <c r="I805" s="3" t="str">
        <f>_xlfn.IFNA(INDEX(RulebookFields!D2:D999, MATCH(D805,RulebookFields!A2:A999, 0)), "")</f>
        <v>IsApproved</v>
      </c>
      <c r="J805" s="3" t="b">
        <f>_xlfn.IFNA(INDEX(RulebookFields!I2:I999, MATCH(D805,RulebookFields!A2:A999, 0)), "")</f>
        <v>1</v>
      </c>
      <c r="K805" s="3" t="b">
        <f>AND(F805, J805)</f>
        <v>0</v>
      </c>
      <c r="L805" s="3" t="b">
        <f>AND(G805 &lt;&gt; "plain", G805 &lt;&gt; "")</f>
        <v>0</v>
      </c>
      <c r="M805" s="3" t="str">
        <f>IF(E805, C805 &amp; "|" &amp; H805, "")</f>
        <v>principal-process-steward|KnowledgeFragments</v>
      </c>
      <c r="N805" s="2" t="s">
        <v>9938</v>
      </c>
    </row>
    <row r="806">
      <c r="A806" s="2" t="s">
        <v>10742</v>
      </c>
      <c r="B806" s="3" t="str">
        <f>C806 &amp; " -&gt; " &amp; D806</f>
        <v>principal-process-steward -&gt; KnowledgeFragments.IsWithinValidityWindow</v>
      </c>
      <c r="C806" s="2" t="s">
        <v>9706</v>
      </c>
      <c r="D806" s="2" t="s">
        <v>3189</v>
      </c>
      <c r="E806" s="2" t="b">
        <v>1</v>
      </c>
      <c r="F806" s="2" t="b">
        <v>0</v>
      </c>
      <c r="G806" s="2" t="s">
        <v>9937</v>
      </c>
      <c r="H806" s="3" t="str">
        <f>_xlfn.IFNA(INDEX(RulebookFields!C2:C999, MATCH(D806,RulebookFields!A2:A999, 0)), "")</f>
        <v>KnowledgeFragments</v>
      </c>
      <c r="I806" s="3" t="str">
        <f>_xlfn.IFNA(INDEX(RulebookFields!D2:D999, MATCH(D806,RulebookFields!A2:A999, 0)), "")</f>
        <v>IsWithinValidityWindow</v>
      </c>
      <c r="J806" s="3" t="b">
        <f>_xlfn.IFNA(INDEX(RulebookFields!I2:I999, MATCH(D806,RulebookFields!A2:A999, 0)), "")</f>
        <v>1</v>
      </c>
      <c r="K806" s="3" t="b">
        <f>AND(F806, J806)</f>
        <v>0</v>
      </c>
      <c r="L806" s="3" t="b">
        <f>AND(G806 &lt;&gt; "plain", G806 &lt;&gt; "")</f>
        <v>0</v>
      </c>
      <c r="M806" s="3" t="str">
        <f>IF(E806, C806 &amp; "|" &amp; H806, "")</f>
        <v>principal-process-steward|KnowledgeFragments</v>
      </c>
      <c r="N806" s="2" t="s">
        <v>9938</v>
      </c>
    </row>
    <row r="807">
      <c r="A807" s="2" t="s">
        <v>10743</v>
      </c>
      <c r="B807" s="3" t="str">
        <f>C807 &amp; " -&gt; " &amp; D807</f>
        <v>principal-process-steward -&gt; KnowledgeFragments.IsReliedUpon</v>
      </c>
      <c r="C807" s="2" t="s">
        <v>9706</v>
      </c>
      <c r="D807" s="2" t="s">
        <v>3190</v>
      </c>
      <c r="E807" s="2" t="b">
        <v>1</v>
      </c>
      <c r="F807" s="2" t="b">
        <v>0</v>
      </c>
      <c r="G807" s="2" t="s">
        <v>9937</v>
      </c>
      <c r="H807" s="3" t="str">
        <f>_xlfn.IFNA(INDEX(RulebookFields!C2:C999, MATCH(D807,RulebookFields!A2:A999, 0)), "")</f>
        <v>KnowledgeFragments</v>
      </c>
      <c r="I807" s="3" t="str">
        <f>_xlfn.IFNA(INDEX(RulebookFields!D2:D999, MATCH(D807,RulebookFields!A2:A999, 0)), "")</f>
        <v>IsReliedUpon</v>
      </c>
      <c r="J807" s="3" t="b">
        <f>_xlfn.IFNA(INDEX(RulebookFields!I2:I999, MATCH(D807,RulebookFields!A2:A999, 0)), "")</f>
        <v>1</v>
      </c>
      <c r="K807" s="3" t="b">
        <f>AND(F807, J807)</f>
        <v>0</v>
      </c>
      <c r="L807" s="3" t="b">
        <f>AND(G807 &lt;&gt; "plain", G807 &lt;&gt; "")</f>
        <v>0</v>
      </c>
      <c r="M807" s="3" t="str">
        <f>IF(E807, C807 &amp; "|" &amp; H807, "")</f>
        <v>principal-process-steward|KnowledgeFragments</v>
      </c>
      <c r="N807" s="2" t="s">
        <v>9938</v>
      </c>
    </row>
    <row r="808">
      <c r="A808" s="2" t="s">
        <v>10744</v>
      </c>
      <c r="B808" s="3" t="str">
        <f>C808 &amp; " -&gt; " &amp; D808</f>
        <v>principal-process-steward -&gt; KnowledgeFragments.StepProcedureVersionStatus</v>
      </c>
      <c r="C808" s="2" t="s">
        <v>9706</v>
      </c>
      <c r="D808" s="2" t="s">
        <v>3192</v>
      </c>
      <c r="E808" s="2" t="b">
        <v>1</v>
      </c>
      <c r="F808" s="2" t="b">
        <v>0</v>
      </c>
      <c r="G808" s="2" t="s">
        <v>9937</v>
      </c>
      <c r="H808" s="3" t="str">
        <f>_xlfn.IFNA(INDEX(RulebookFields!C2:C999, MATCH(D808,RulebookFields!A2:A999, 0)), "")</f>
        <v>KnowledgeFragments</v>
      </c>
      <c r="I808" s="3" t="str">
        <f>_xlfn.IFNA(INDEX(RulebookFields!D2:D999, MATCH(D808,RulebookFields!A2:A999, 0)), "")</f>
        <v>StepProcedureVersionStatus</v>
      </c>
      <c r="J808" s="3" t="b">
        <f>_xlfn.IFNA(INDEX(RulebookFields!I2:I999, MATCH(D808,RulebookFields!A2:A999, 0)), "")</f>
        <v>1</v>
      </c>
      <c r="K808" s="3" t="b">
        <f>AND(F808, J808)</f>
        <v>0</v>
      </c>
      <c r="L808" s="3" t="b">
        <f>AND(G808 &lt;&gt; "plain", G808 &lt;&gt; "")</f>
        <v>0</v>
      </c>
      <c r="M808" s="3" t="str">
        <f>IF(E808, C808 &amp; "|" &amp; H808, "")</f>
        <v>principal-process-steward|KnowledgeFragments</v>
      </c>
      <c r="N808" s="2" t="s">
        <v>9938</v>
      </c>
    </row>
    <row r="809">
      <c r="A809" s="2" t="s">
        <v>10745</v>
      </c>
      <c r="B809" s="3" t="str">
        <f>C809 &amp; " -&gt; " &amp; D809</f>
        <v>principal-process-steward -&gt; KnowledgeFragments.IsAttachedToLiveVersion</v>
      </c>
      <c r="C809" s="2" t="s">
        <v>9706</v>
      </c>
      <c r="D809" s="2" t="s">
        <v>3194</v>
      </c>
      <c r="E809" s="2" t="b">
        <v>1</v>
      </c>
      <c r="F809" s="2" t="b">
        <v>0</v>
      </c>
      <c r="G809" s="2" t="s">
        <v>9937</v>
      </c>
      <c r="H809" s="3" t="str">
        <f>_xlfn.IFNA(INDEX(RulebookFields!C2:C999, MATCH(D809,RulebookFields!A2:A999, 0)), "")</f>
        <v>KnowledgeFragments</v>
      </c>
      <c r="I809" s="3" t="str">
        <f>_xlfn.IFNA(INDEX(RulebookFields!D2:D999, MATCH(D809,RulebookFields!A2:A999, 0)), "")</f>
        <v>IsAttachedToLiveVersion</v>
      </c>
      <c r="J809" s="3" t="b">
        <f>_xlfn.IFNA(INDEX(RulebookFields!I2:I999, MATCH(D809,RulebookFields!A2:A999, 0)), "")</f>
        <v>1</v>
      </c>
      <c r="K809" s="3" t="b">
        <f>AND(F809, J809)</f>
        <v>0</v>
      </c>
      <c r="L809" s="3" t="b">
        <f>AND(G809 &lt;&gt; "plain", G809 &lt;&gt; "")</f>
        <v>0</v>
      </c>
      <c r="M809" s="3" t="str">
        <f>IF(E809, C809 &amp; "|" &amp; H809, "")</f>
        <v>principal-process-steward|KnowledgeFragments</v>
      </c>
      <c r="N809" s="2" t="s">
        <v>9938</v>
      </c>
    </row>
    <row r="810">
      <c r="A810" s="2" t="s">
        <v>10746</v>
      </c>
      <c r="B810" s="3" t="str">
        <f>C810 &amp; " -&gt; " &amp; D810</f>
        <v>principal-process-steward -&gt; KnowledgeFragments.IsUnapprovedButReliedOn</v>
      </c>
      <c r="C810" s="2" t="s">
        <v>9706</v>
      </c>
      <c r="D810" s="2" t="s">
        <v>3196</v>
      </c>
      <c r="E810" s="2" t="b">
        <v>1</v>
      </c>
      <c r="F810" s="2" t="b">
        <v>0</v>
      </c>
      <c r="G810" s="2" t="s">
        <v>9937</v>
      </c>
      <c r="H810" s="3" t="str">
        <f>_xlfn.IFNA(INDEX(RulebookFields!C2:C999, MATCH(D810,RulebookFields!A2:A999, 0)), "")</f>
        <v>KnowledgeFragments</v>
      </c>
      <c r="I810" s="3" t="str">
        <f>_xlfn.IFNA(INDEX(RulebookFields!D2:D999, MATCH(D810,RulebookFields!A2:A999, 0)), "")</f>
        <v>IsUnapprovedButReliedOn</v>
      </c>
      <c r="J810" s="3" t="b">
        <f>_xlfn.IFNA(INDEX(RulebookFields!I2:I999, MATCH(D810,RulebookFields!A2:A999, 0)), "")</f>
        <v>1</v>
      </c>
      <c r="K810" s="3" t="b">
        <f>AND(F810, J810)</f>
        <v>0</v>
      </c>
      <c r="L810" s="3" t="b">
        <f>AND(G810 &lt;&gt; "plain", G810 &lt;&gt; "")</f>
        <v>0</v>
      </c>
      <c r="M810" s="3" t="str">
        <f>IF(E810, C810 &amp; "|" &amp; H810, "")</f>
        <v>principal-process-steward|KnowledgeFragments</v>
      </c>
      <c r="N810" s="2" t="s">
        <v>9938</v>
      </c>
    </row>
    <row r="811">
      <c r="A811" s="2" t="s">
        <v>10747</v>
      </c>
      <c r="B811" s="3" t="str">
        <f>C811 &amp; " -&gt; " &amp; D811</f>
        <v>principal-process-steward -&gt; KnowledgeFragments.EvidenceAgeDays</v>
      </c>
      <c r="C811" s="2" t="s">
        <v>9706</v>
      </c>
      <c r="D811" s="2" t="s">
        <v>3198</v>
      </c>
      <c r="E811" s="2" t="b">
        <v>1</v>
      </c>
      <c r="F811" s="2" t="b">
        <v>0</v>
      </c>
      <c r="G811" s="2" t="s">
        <v>9937</v>
      </c>
      <c r="H811" s="3" t="str">
        <f>_xlfn.IFNA(INDEX(RulebookFields!C2:C999, MATCH(D811,RulebookFields!A2:A999, 0)), "")</f>
        <v>KnowledgeFragments</v>
      </c>
      <c r="I811" s="3" t="str">
        <f>_xlfn.IFNA(INDEX(RulebookFields!D2:D999, MATCH(D811,RulebookFields!A2:A999, 0)), "")</f>
        <v>EvidenceAgeDays</v>
      </c>
      <c r="J811" s="3" t="b">
        <f>_xlfn.IFNA(INDEX(RulebookFields!I2:I999, MATCH(D811,RulebookFields!A2:A999, 0)), "")</f>
        <v>1</v>
      </c>
      <c r="K811" s="3" t="b">
        <f>AND(F811, J811)</f>
        <v>0</v>
      </c>
      <c r="L811" s="3" t="b">
        <f>AND(G811 &lt;&gt; "plain", G811 &lt;&gt; "")</f>
        <v>0</v>
      </c>
      <c r="M811" s="3" t="str">
        <f>IF(E811, C811 &amp; "|" &amp; H811, "")</f>
        <v>principal-process-steward|KnowledgeFragments</v>
      </c>
      <c r="N811" s="2" t="s">
        <v>9938</v>
      </c>
    </row>
    <row r="812">
      <c r="A812" s="2" t="s">
        <v>10748</v>
      </c>
      <c r="B812" s="3" t="str">
        <f>C812 &amp; " -&gt; " &amp; D812</f>
        <v>principal-process-steward -&gt; KnowledgeFragments.HasRecordedElicitation</v>
      </c>
      <c r="C812" s="2" t="s">
        <v>9706</v>
      </c>
      <c r="D812" s="2" t="s">
        <v>3200</v>
      </c>
      <c r="E812" s="2" t="b">
        <v>1</v>
      </c>
      <c r="F812" s="2" t="b">
        <v>0</v>
      </c>
      <c r="G812" s="2" t="s">
        <v>9937</v>
      </c>
      <c r="H812" s="3" t="str">
        <f>_xlfn.IFNA(INDEX(RulebookFields!C2:C999, MATCH(D812,RulebookFields!A2:A999, 0)), "")</f>
        <v>KnowledgeFragments</v>
      </c>
      <c r="I812" s="3" t="str">
        <f>_xlfn.IFNA(INDEX(RulebookFields!D2:D999, MATCH(D812,RulebookFields!A2:A999, 0)), "")</f>
        <v>HasRecordedElicitation</v>
      </c>
      <c r="J812" s="3" t="b">
        <f>_xlfn.IFNA(INDEX(RulebookFields!I2:I999, MATCH(D812,RulebookFields!A2:A999, 0)), "")</f>
        <v>1</v>
      </c>
      <c r="K812" s="3" t="b">
        <f>AND(F812, J812)</f>
        <v>0</v>
      </c>
      <c r="L812" s="3" t="b">
        <f>AND(G812 &lt;&gt; "plain", G812 &lt;&gt; "")</f>
        <v>0</v>
      </c>
      <c r="M812" s="3" t="str">
        <f>IF(E812, C812 &amp; "|" &amp; H812, "")</f>
        <v>principal-process-steward|KnowledgeFragments</v>
      </c>
      <c r="N812" s="2" t="s">
        <v>9938</v>
      </c>
    </row>
    <row r="813">
      <c r="A813" s="2" t="s">
        <v>10749</v>
      </c>
      <c r="B813" s="3" t="str">
        <f>C813 &amp; " -&gt; " &amp; D813</f>
        <v>principal-process-steward -&gt; KnowledgeFragments.IsFromSingleWitness</v>
      </c>
      <c r="C813" s="2" t="s">
        <v>9706</v>
      </c>
      <c r="D813" s="2" t="s">
        <v>3202</v>
      </c>
      <c r="E813" s="2" t="b">
        <v>1</v>
      </c>
      <c r="F813" s="2" t="b">
        <v>0</v>
      </c>
      <c r="G813" s="2" t="s">
        <v>9937</v>
      </c>
      <c r="H813" s="3" t="str">
        <f>_xlfn.IFNA(INDEX(RulebookFields!C2:C999, MATCH(D813,RulebookFields!A2:A999, 0)), "")</f>
        <v>KnowledgeFragments</v>
      </c>
      <c r="I813" s="3" t="str">
        <f>_xlfn.IFNA(INDEX(RulebookFields!D2:D999, MATCH(D813,RulebookFields!A2:A999, 0)), "")</f>
        <v>IsFromSingleWitness</v>
      </c>
      <c r="J813" s="3" t="b">
        <f>_xlfn.IFNA(INDEX(RulebookFields!I2:I999, MATCH(D813,RulebookFields!A2:A999, 0)), "")</f>
        <v>1</v>
      </c>
      <c r="K813" s="3" t="b">
        <f>AND(F813, J813)</f>
        <v>0</v>
      </c>
      <c r="L813" s="3" t="b">
        <f>AND(G813 &lt;&gt; "plain", G813 &lt;&gt; "")</f>
        <v>0</v>
      </c>
      <c r="M813" s="3" t="str">
        <f>IF(E813, C813 &amp; "|" &amp; H813, "")</f>
        <v>principal-process-steward|KnowledgeFragments</v>
      </c>
      <c r="N813" s="2" t="s">
        <v>9938</v>
      </c>
    </row>
    <row r="814">
      <c r="A814" s="2" t="s">
        <v>10750</v>
      </c>
      <c r="B814" s="3" t="str">
        <f>C814 &amp; " -&gt; " &amp; D814</f>
        <v>principal-process-steward -&gt; KnowledgeFragments.EvidenceExpiryDays</v>
      </c>
      <c r="C814" s="2" t="s">
        <v>9706</v>
      </c>
      <c r="D814" s="2" t="s">
        <v>3204</v>
      </c>
      <c r="E814" s="2" t="b">
        <v>1</v>
      </c>
      <c r="F814" s="2" t="b">
        <v>0</v>
      </c>
      <c r="G814" s="2" t="s">
        <v>9937</v>
      </c>
      <c r="H814" s="3" t="str">
        <f>_xlfn.IFNA(INDEX(RulebookFields!C2:C999, MATCH(D814,RulebookFields!A2:A999, 0)), "")</f>
        <v>KnowledgeFragments</v>
      </c>
      <c r="I814" s="3" t="str">
        <f>_xlfn.IFNA(INDEX(RulebookFields!D2:D999, MATCH(D814,RulebookFields!A2:A999, 0)), "")</f>
        <v>EvidenceExpiryDays</v>
      </c>
      <c r="J814" s="3" t="b">
        <f>_xlfn.IFNA(INDEX(RulebookFields!I2:I999, MATCH(D814,RulebookFields!A2:A999, 0)), "")</f>
        <v>1</v>
      </c>
      <c r="K814" s="3" t="b">
        <f>AND(F814, J814)</f>
        <v>0</v>
      </c>
      <c r="L814" s="3" t="b">
        <f>AND(G814 &lt;&gt; "plain", G814 &lt;&gt; "")</f>
        <v>0</v>
      </c>
      <c r="M814" s="3" t="str">
        <f>IF(E814, C814 &amp; "|" &amp; H814, "")</f>
        <v>principal-process-steward|KnowledgeFragments</v>
      </c>
      <c r="N814" s="2" t="s">
        <v>9938</v>
      </c>
    </row>
    <row r="815">
      <c r="A815" s="2" t="s">
        <v>10751</v>
      </c>
      <c r="B815" s="3" t="str">
        <f>C815 &amp; " -&gt; " &amp; D815</f>
        <v>principal-process-steward -&gt; KnowledgeFragments.EvidenceHasExpired</v>
      </c>
      <c r="C815" s="2" t="s">
        <v>9706</v>
      </c>
      <c r="D815" s="2" t="s">
        <v>3206</v>
      </c>
      <c r="E815" s="2" t="b">
        <v>1</v>
      </c>
      <c r="F815" s="2" t="b">
        <v>0</v>
      </c>
      <c r="G815" s="2" t="s">
        <v>9937</v>
      </c>
      <c r="H815" s="3" t="str">
        <f>_xlfn.IFNA(INDEX(RulebookFields!C2:C999, MATCH(D815,RulebookFields!A2:A999, 0)), "")</f>
        <v>KnowledgeFragments</v>
      </c>
      <c r="I815" s="3" t="str">
        <f>_xlfn.IFNA(INDEX(RulebookFields!D2:D999, MATCH(D815,RulebookFields!A2:A999, 0)), "")</f>
        <v>EvidenceHasExpired</v>
      </c>
      <c r="J815" s="3" t="b">
        <f>_xlfn.IFNA(INDEX(RulebookFields!I2:I999, MATCH(D815,RulebookFields!A2:A999, 0)), "")</f>
        <v>1</v>
      </c>
      <c r="K815" s="3" t="b">
        <f>AND(F815, J815)</f>
        <v>0</v>
      </c>
      <c r="L815" s="3" t="b">
        <f>AND(G815 &lt;&gt; "plain", G815 &lt;&gt; "")</f>
        <v>0</v>
      </c>
      <c r="M815" s="3" t="str">
        <f>IF(E815, C815 &amp; "|" &amp; H815, "")</f>
        <v>principal-process-steward|KnowledgeFragments</v>
      </c>
      <c r="N815" s="2" t="s">
        <v>9938</v>
      </c>
    </row>
    <row r="816">
      <c r="A816" s="2" t="s">
        <v>10752</v>
      </c>
      <c r="B816" s="3" t="str">
        <f>C816 &amp; " -&gt; " &amp; D816</f>
        <v>principal-process-steward -&gt; KnowledgeFragments.OwnerAgent</v>
      </c>
      <c r="C816" s="2" t="s">
        <v>9706</v>
      </c>
      <c r="D816" s="2" t="s">
        <v>3208</v>
      </c>
      <c r="E816" s="2" t="b">
        <v>1</v>
      </c>
      <c r="F816" s="2" t="b">
        <v>0</v>
      </c>
      <c r="G816" s="2" t="s">
        <v>9937</v>
      </c>
      <c r="H816" s="3" t="str">
        <f>_xlfn.IFNA(INDEX(RulebookFields!C2:C999, MATCH(D816,RulebookFields!A2:A999, 0)), "")</f>
        <v>KnowledgeFragments</v>
      </c>
      <c r="I816" s="3" t="str">
        <f>_xlfn.IFNA(INDEX(RulebookFields!D2:D999, MATCH(D816,RulebookFields!A2:A999, 0)), "")</f>
        <v>OwnerAgent</v>
      </c>
      <c r="J816" s="3" t="b">
        <f>_xlfn.IFNA(INDEX(RulebookFields!I2:I999, MATCH(D816,RulebookFields!A2:A999, 0)), "")</f>
        <v>1</v>
      </c>
      <c r="K816" s="3" t="b">
        <f>AND(F816, J816)</f>
        <v>0</v>
      </c>
      <c r="L816" s="3" t="b">
        <f>AND(G816 &lt;&gt; "plain", G816 &lt;&gt; "")</f>
        <v>0</v>
      </c>
      <c r="M816" s="3" t="str">
        <f>IF(E816, C816 &amp; "|" &amp; H816, "")</f>
        <v>principal-process-steward|KnowledgeFragments</v>
      </c>
      <c r="N816" s="2" t="s">
        <v>9938</v>
      </c>
    </row>
    <row r="817">
      <c r="A817" s="2" t="s">
        <v>10753</v>
      </c>
      <c r="B817" s="3" t="str">
        <f>C817 &amp; " -&gt; " &amp; D817</f>
        <v>principal-process-steward -&gt; KnowledgeFragments.IsAwaitingApproval</v>
      </c>
      <c r="C817" s="2" t="s">
        <v>9706</v>
      </c>
      <c r="D817" s="2" t="s">
        <v>3210</v>
      </c>
      <c r="E817" s="2" t="b">
        <v>1</v>
      </c>
      <c r="F817" s="2" t="b">
        <v>0</v>
      </c>
      <c r="G817" s="2" t="s">
        <v>9937</v>
      </c>
      <c r="H817" s="3" t="str">
        <f>_xlfn.IFNA(INDEX(RulebookFields!C2:C999, MATCH(D817,RulebookFields!A2:A999, 0)), "")</f>
        <v>KnowledgeFragments</v>
      </c>
      <c r="I817" s="3" t="str">
        <f>_xlfn.IFNA(INDEX(RulebookFields!D2:D999, MATCH(D817,RulebookFields!A2:A999, 0)), "")</f>
        <v>IsAwaitingApproval</v>
      </c>
      <c r="J817" s="3" t="b">
        <f>_xlfn.IFNA(INDEX(RulebookFields!I2:I999, MATCH(D817,RulebookFields!A2:A999, 0)), "")</f>
        <v>1</v>
      </c>
      <c r="K817" s="3" t="b">
        <f>AND(F817, J817)</f>
        <v>0</v>
      </c>
      <c r="L817" s="3" t="b">
        <f>AND(G817 &lt;&gt; "plain", G817 &lt;&gt; "")</f>
        <v>0</v>
      </c>
      <c r="M817" s="3" t="str">
        <f>IF(E817, C817 &amp; "|" &amp; H817, "")</f>
        <v>principal-process-steward|KnowledgeFragments</v>
      </c>
      <c r="N817" s="2" t="s">
        <v>9938</v>
      </c>
    </row>
    <row r="818">
      <c r="A818" s="2" t="s">
        <v>10754</v>
      </c>
      <c r="B818" s="3" t="str">
        <f>C818 &amp; " -&gt; " &amp; D818</f>
        <v>principal-process-steward -&gt; KnowledgeFragments.OwnerIsMe</v>
      </c>
      <c r="C818" s="2" t="s">
        <v>9706</v>
      </c>
      <c r="D818" s="2" t="s">
        <v>3212</v>
      </c>
      <c r="E818" s="2" t="b">
        <v>1</v>
      </c>
      <c r="F818" s="2" t="b">
        <v>0</v>
      </c>
      <c r="G818" s="2" t="s">
        <v>9937</v>
      </c>
      <c r="H818" s="3" t="str">
        <f>_xlfn.IFNA(INDEX(RulebookFields!C2:C999, MATCH(D818,RulebookFields!A2:A999, 0)), "")</f>
        <v>KnowledgeFragments</v>
      </c>
      <c r="I818" s="3" t="str">
        <f>_xlfn.IFNA(INDEX(RulebookFields!D2:D999, MATCH(D818,RulebookFields!A2:A999, 0)), "")</f>
        <v>OwnerIsMe</v>
      </c>
      <c r="J818" s="3" t="b">
        <f>_xlfn.IFNA(INDEX(RulebookFields!I2:I999, MATCH(D818,RulebookFields!A2:A999, 0)), "")</f>
        <v>1</v>
      </c>
      <c r="K818" s="3" t="b">
        <f>AND(F818, J818)</f>
        <v>0</v>
      </c>
      <c r="L818" s="3" t="b">
        <f>AND(G818 &lt;&gt; "plain", G818 &lt;&gt; "")</f>
        <v>0</v>
      </c>
      <c r="M818" s="3" t="str">
        <f>IF(E818, C818 &amp; "|" &amp; H818, "")</f>
        <v>principal-process-steward|KnowledgeFragments</v>
      </c>
      <c r="N818" s="2" t="s">
        <v>9938</v>
      </c>
    </row>
    <row r="819">
      <c r="A819" s="2" t="s">
        <v>10755</v>
      </c>
      <c r="B819" s="3" t="str">
        <f>C819 &amp; " -&gt; " &amp; D819</f>
        <v>principal-process-steward -&gt; KnowledgeFragments.IsMyUnfinishedApproval</v>
      </c>
      <c r="C819" s="2" t="s">
        <v>9706</v>
      </c>
      <c r="D819" s="2" t="s">
        <v>3214</v>
      </c>
      <c r="E819" s="2" t="b">
        <v>1</v>
      </c>
      <c r="F819" s="2" t="b">
        <v>0</v>
      </c>
      <c r="G819" s="2" t="s">
        <v>9937</v>
      </c>
      <c r="H819" s="3" t="str">
        <f>_xlfn.IFNA(INDEX(RulebookFields!C2:C999, MATCH(D819,RulebookFields!A2:A999, 0)), "")</f>
        <v>KnowledgeFragments</v>
      </c>
      <c r="I819" s="3" t="str">
        <f>_xlfn.IFNA(INDEX(RulebookFields!D2:D999, MATCH(D819,RulebookFields!A2:A999, 0)), "")</f>
        <v>IsMyUnfinishedApproval</v>
      </c>
      <c r="J819" s="3" t="b">
        <f>_xlfn.IFNA(INDEX(RulebookFields!I2:I999, MATCH(D819,RulebookFields!A2:A999, 0)), "")</f>
        <v>1</v>
      </c>
      <c r="K819" s="3" t="b">
        <f>AND(F819, J819)</f>
        <v>0</v>
      </c>
      <c r="L819" s="3" t="b">
        <f>AND(G819 &lt;&gt; "plain", G819 &lt;&gt; "")</f>
        <v>0</v>
      </c>
      <c r="M819" s="3" t="str">
        <f>IF(E819, C819 &amp; "|" &amp; H819, "")</f>
        <v>principal-process-steward|KnowledgeFragments</v>
      </c>
      <c r="N819" s="2" t="s">
        <v>9938</v>
      </c>
    </row>
    <row r="820">
      <c r="A820" s="2" t="s">
        <v>10756</v>
      </c>
      <c r="B820" s="3" t="str">
        <f>C820 &amp; " -&gt; " &amp; D820</f>
        <v>principal-process-steward -&gt; KnowledgeFragments.IsInvokedByAnException</v>
      </c>
      <c r="C820" s="2" t="s">
        <v>9706</v>
      </c>
      <c r="D820" s="2" t="s">
        <v>3216</v>
      </c>
      <c r="E820" s="2" t="b">
        <v>1</v>
      </c>
      <c r="F820" s="2" t="b">
        <v>0</v>
      </c>
      <c r="G820" s="2" t="s">
        <v>9937</v>
      </c>
      <c r="H820" s="3" t="str">
        <f>_xlfn.IFNA(INDEX(RulebookFields!C2:C999, MATCH(D820,RulebookFields!A2:A999, 0)), "")</f>
        <v>KnowledgeFragments</v>
      </c>
      <c r="I820" s="3" t="str">
        <f>_xlfn.IFNA(INDEX(RulebookFields!D2:D999, MATCH(D820,RulebookFields!A2:A999, 0)), "")</f>
        <v>IsInvokedByAnException</v>
      </c>
      <c r="J820" s="3" t="b">
        <f>_xlfn.IFNA(INDEX(RulebookFields!I2:I999, MATCH(D820,RulebookFields!A2:A999, 0)), "")</f>
        <v>1</v>
      </c>
      <c r="K820" s="3" t="b">
        <f>AND(F820, J820)</f>
        <v>0</v>
      </c>
      <c r="L820" s="3" t="b">
        <f>AND(G820 &lt;&gt; "plain", G820 &lt;&gt; "")</f>
        <v>0</v>
      </c>
      <c r="M820" s="3" t="str">
        <f>IF(E820, C820 &amp; "|" &amp; H820, "")</f>
        <v>principal-process-steward|KnowledgeFragments</v>
      </c>
      <c r="N820" s="2" t="s">
        <v>9938</v>
      </c>
    </row>
    <row r="821">
      <c r="A821" s="2" t="s">
        <v>10757</v>
      </c>
      <c r="B821" s="3" t="str">
        <f>C821 &amp; " -&gt; " &amp; D821</f>
        <v>principal-process-steward -&gt; KnowledgeFragments.HasOperationalReliance</v>
      </c>
      <c r="C821" s="2" t="s">
        <v>9706</v>
      </c>
      <c r="D821" s="2" t="s">
        <v>3218</v>
      </c>
      <c r="E821" s="2" t="b">
        <v>1</v>
      </c>
      <c r="F821" s="2" t="b">
        <v>0</v>
      </c>
      <c r="G821" s="2" t="s">
        <v>9937</v>
      </c>
      <c r="H821" s="3" t="str">
        <f>_xlfn.IFNA(INDEX(RulebookFields!C2:C999, MATCH(D821,RulebookFields!A2:A999, 0)), "")</f>
        <v>KnowledgeFragments</v>
      </c>
      <c r="I821" s="3" t="str">
        <f>_xlfn.IFNA(INDEX(RulebookFields!D2:D999, MATCH(D821,RulebookFields!A2:A999, 0)), "")</f>
        <v>HasOperationalReliance</v>
      </c>
      <c r="J821" s="3" t="b">
        <f>_xlfn.IFNA(INDEX(RulebookFields!I2:I999, MATCH(D821,RulebookFields!A2:A999, 0)), "")</f>
        <v>1</v>
      </c>
      <c r="K821" s="3" t="b">
        <f>AND(F821, J821)</f>
        <v>0</v>
      </c>
      <c r="L821" s="3" t="b">
        <f>AND(G821 &lt;&gt; "plain", G821 &lt;&gt; "")</f>
        <v>0</v>
      </c>
      <c r="M821" s="3" t="str">
        <f>IF(E821, C821 &amp; "|" &amp; H821, "")</f>
        <v>principal-process-steward|KnowledgeFragments</v>
      </c>
      <c r="N821" s="2" t="s">
        <v>9938</v>
      </c>
    </row>
    <row r="822">
      <c r="A822" s="2" t="s">
        <v>10758</v>
      </c>
      <c r="B822" s="3" t="str">
        <f>C822 &amp; " -&gt; " &amp; D822</f>
        <v>principal-process-steward -&gt; KnowledgeFragments.IsUnapprovedAndOperationallyLive</v>
      </c>
      <c r="C822" s="2" t="s">
        <v>9706</v>
      </c>
      <c r="D822" s="2" t="s">
        <v>3220</v>
      </c>
      <c r="E822" s="2" t="b">
        <v>1</v>
      </c>
      <c r="F822" s="2" t="b">
        <v>0</v>
      </c>
      <c r="G822" s="2" t="s">
        <v>9937</v>
      </c>
      <c r="H822" s="3" t="str">
        <f>_xlfn.IFNA(INDEX(RulebookFields!C2:C999, MATCH(D822,RulebookFields!A2:A999, 0)), "")</f>
        <v>KnowledgeFragments</v>
      </c>
      <c r="I822" s="3" t="str">
        <f>_xlfn.IFNA(INDEX(RulebookFields!D2:D999, MATCH(D822,RulebookFields!A2:A999, 0)), "")</f>
        <v>IsUnapprovedAndOperationallyLive</v>
      </c>
      <c r="J822" s="3" t="b">
        <f>_xlfn.IFNA(INDEX(RulebookFields!I2:I999, MATCH(D822,RulebookFields!A2:A999, 0)), "")</f>
        <v>1</v>
      </c>
      <c r="K822" s="3" t="b">
        <f>AND(F822, J822)</f>
        <v>0</v>
      </c>
      <c r="L822" s="3" t="b">
        <f>AND(G822 &lt;&gt; "plain", G822 &lt;&gt; "")</f>
        <v>0</v>
      </c>
      <c r="M822" s="3" t="str">
        <f>IF(E822, C822 &amp; "|" &amp; H822, "")</f>
        <v>principal-process-steward|KnowledgeFragments</v>
      </c>
      <c r="N822" s="2" t="s">
        <v>9938</v>
      </c>
    </row>
    <row r="823">
      <c r="A823" s="2" t="s">
        <v>10759</v>
      </c>
      <c r="B823" s="3" t="str">
        <f>C823 &amp; " -&gt; " &amp; D823</f>
        <v>principal-process-steward -&gt; KnowledgeFragments.AgeDays</v>
      </c>
      <c r="C823" s="2" t="s">
        <v>9706</v>
      </c>
      <c r="D823" s="2" t="s">
        <v>3222</v>
      </c>
      <c r="E823" s="2" t="b">
        <v>1</v>
      </c>
      <c r="F823" s="2" t="b">
        <v>0</v>
      </c>
      <c r="G823" s="2" t="s">
        <v>9937</v>
      </c>
      <c r="H823" s="3" t="str">
        <f>_xlfn.IFNA(INDEX(RulebookFields!C2:C999, MATCH(D823,RulebookFields!A2:A999, 0)), "")</f>
        <v>KnowledgeFragments</v>
      </c>
      <c r="I823" s="3" t="str">
        <f>_xlfn.IFNA(INDEX(RulebookFields!D2:D999, MATCH(D823,RulebookFields!A2:A999, 0)), "")</f>
        <v>AgeDays</v>
      </c>
      <c r="J823" s="3" t="b">
        <f>_xlfn.IFNA(INDEX(RulebookFields!I2:I999, MATCH(D823,RulebookFields!A2:A999, 0)), "")</f>
        <v>1</v>
      </c>
      <c r="K823" s="3" t="b">
        <f>AND(F823, J823)</f>
        <v>0</v>
      </c>
      <c r="L823" s="3" t="b">
        <f>AND(G823 &lt;&gt; "plain", G823 &lt;&gt; "")</f>
        <v>0</v>
      </c>
      <c r="M823" s="3" t="str">
        <f>IF(E823, C823 &amp; "|" &amp; H823, "")</f>
        <v>principal-process-steward|KnowledgeFragments</v>
      </c>
      <c r="N823" s="2" t="s">
        <v>9938</v>
      </c>
    </row>
    <row r="824">
      <c r="A824" s="2" t="s">
        <v>10760</v>
      </c>
      <c r="B824" s="3" t="str">
        <f>C824 &amp; " -&gt; " &amp; D824</f>
        <v>principal-process-steward -&gt; KnowledgeFragments.IsLowConfidence</v>
      </c>
      <c r="C824" s="2" t="s">
        <v>9706</v>
      </c>
      <c r="D824" s="2" t="s">
        <v>3224</v>
      </c>
      <c r="E824" s="2" t="b">
        <v>1</v>
      </c>
      <c r="F824" s="2" t="b">
        <v>0</v>
      </c>
      <c r="G824" s="2" t="s">
        <v>9937</v>
      </c>
      <c r="H824" s="3" t="str">
        <f>_xlfn.IFNA(INDEX(RulebookFields!C2:C999, MATCH(D824,RulebookFields!A2:A999, 0)), "")</f>
        <v>KnowledgeFragments</v>
      </c>
      <c r="I824" s="3" t="str">
        <f>_xlfn.IFNA(INDEX(RulebookFields!D2:D999, MATCH(D824,RulebookFields!A2:A999, 0)), "")</f>
        <v>IsLowConfidence</v>
      </c>
      <c r="J824" s="3" t="b">
        <f>_xlfn.IFNA(INDEX(RulebookFields!I2:I999, MATCH(D824,RulebookFields!A2:A999, 0)), "")</f>
        <v>1</v>
      </c>
      <c r="K824" s="3" t="b">
        <f>AND(F824, J824)</f>
        <v>0</v>
      </c>
      <c r="L824" s="3" t="b">
        <f>AND(G824 &lt;&gt; "plain", G824 &lt;&gt; "")</f>
        <v>0</v>
      </c>
      <c r="M824" s="3" t="str">
        <f>IF(E824, C824 &amp; "|" &amp; H824, "")</f>
        <v>principal-process-steward|KnowledgeFragments</v>
      </c>
      <c r="N824" s="2" t="s">
        <v>9938</v>
      </c>
    </row>
    <row r="825">
      <c r="A825" s="2" t="s">
        <v>10761</v>
      </c>
      <c r="B825" s="3" t="str">
        <f>C825 &amp; " -&gt; " &amp; D825</f>
        <v>principal-process-steward -&gt; KnowledgeFragments.OwningVersionCadenceDays</v>
      </c>
      <c r="C825" s="2" t="s">
        <v>9706</v>
      </c>
      <c r="D825" s="2" t="s">
        <v>3226</v>
      </c>
      <c r="E825" s="2" t="b">
        <v>1</v>
      </c>
      <c r="F825" s="2" t="b">
        <v>0</v>
      </c>
      <c r="G825" s="2" t="s">
        <v>9937</v>
      </c>
      <c r="H825" s="3" t="str">
        <f>_xlfn.IFNA(INDEX(RulebookFields!C2:C999, MATCH(D825,RulebookFields!A2:A999, 0)), "")</f>
        <v>KnowledgeFragments</v>
      </c>
      <c r="I825" s="3" t="str">
        <f>_xlfn.IFNA(INDEX(RulebookFields!D2:D999, MATCH(D825,RulebookFields!A2:A999, 0)), "")</f>
        <v>OwningVersionCadenceDays</v>
      </c>
      <c r="J825" s="3" t="b">
        <f>_xlfn.IFNA(INDEX(RulebookFields!I2:I999, MATCH(D825,RulebookFields!A2:A999, 0)), "")</f>
        <v>1</v>
      </c>
      <c r="K825" s="3" t="b">
        <f>AND(F825, J825)</f>
        <v>0</v>
      </c>
      <c r="L825" s="3" t="b">
        <f>AND(G825 &lt;&gt; "plain", G825 &lt;&gt; "")</f>
        <v>0</v>
      </c>
      <c r="M825" s="3" t="str">
        <f>IF(E825, C825 &amp; "|" &amp; H825, "")</f>
        <v>principal-process-steward|KnowledgeFragments</v>
      </c>
      <c r="N825" s="2" t="s">
        <v>9938</v>
      </c>
    </row>
    <row r="826">
      <c r="A826" s="2" t="s">
        <v>10762</v>
      </c>
      <c r="B826" s="3" t="str">
        <f>C826 &amp; " -&gt; " &amp; D826</f>
        <v>principal-process-steward -&gt; KnowledgeFragments.ExceedsOwningCadence</v>
      </c>
      <c r="C826" s="2" t="s">
        <v>9706</v>
      </c>
      <c r="D826" s="2" t="s">
        <v>3228</v>
      </c>
      <c r="E826" s="2" t="b">
        <v>1</v>
      </c>
      <c r="F826" s="2" t="b">
        <v>0</v>
      </c>
      <c r="G826" s="2" t="s">
        <v>9937</v>
      </c>
      <c r="H826" s="3" t="str">
        <f>_xlfn.IFNA(INDEX(RulebookFields!C2:C999, MATCH(D826,RulebookFields!A2:A999, 0)), "")</f>
        <v>KnowledgeFragments</v>
      </c>
      <c r="I826" s="3" t="str">
        <f>_xlfn.IFNA(INDEX(RulebookFields!D2:D999, MATCH(D826,RulebookFields!A2:A999, 0)), "")</f>
        <v>ExceedsOwningCadence</v>
      </c>
      <c r="J826" s="3" t="b">
        <f>_xlfn.IFNA(INDEX(RulebookFields!I2:I999, MATCH(D826,RulebookFields!A2:A999, 0)), "")</f>
        <v>1</v>
      </c>
      <c r="K826" s="3" t="b">
        <f>AND(F826, J826)</f>
        <v>0</v>
      </c>
      <c r="L826" s="3" t="b">
        <f>AND(G826 &lt;&gt; "plain", G826 &lt;&gt; "")</f>
        <v>0</v>
      </c>
      <c r="M826" s="3" t="str">
        <f>IF(E826, C826 &amp; "|" &amp; H826, "")</f>
        <v>principal-process-steward|KnowledgeFragments</v>
      </c>
      <c r="N826" s="2" t="s">
        <v>9938</v>
      </c>
    </row>
    <row r="827">
      <c r="A827" s="2" t="s">
        <v>10763</v>
      </c>
      <c r="B827" s="3" t="str">
        <f>C827 &amp; " -&gt; " &amp; D827</f>
        <v>principal-process-steward -&gt; KnowledgeFragments.IsAgingLowConfidenceClaim</v>
      </c>
      <c r="C827" s="2" t="s">
        <v>9706</v>
      </c>
      <c r="D827" s="2" t="s">
        <v>3230</v>
      </c>
      <c r="E827" s="2" t="b">
        <v>1</v>
      </c>
      <c r="F827" s="2" t="b">
        <v>0</v>
      </c>
      <c r="G827" s="2" t="s">
        <v>9937</v>
      </c>
      <c r="H827" s="3" t="str">
        <f>_xlfn.IFNA(INDEX(RulebookFields!C2:C999, MATCH(D827,RulebookFields!A2:A999, 0)), "")</f>
        <v>KnowledgeFragments</v>
      </c>
      <c r="I827" s="3" t="str">
        <f>_xlfn.IFNA(INDEX(RulebookFields!D2:D999, MATCH(D827,RulebookFields!A2:A999, 0)), "")</f>
        <v>IsAgingLowConfidenceClaim</v>
      </c>
      <c r="J827" s="3" t="b">
        <f>_xlfn.IFNA(INDEX(RulebookFields!I2:I999, MATCH(D827,RulebookFields!A2:A999, 0)), "")</f>
        <v>1</v>
      </c>
      <c r="K827" s="3" t="b">
        <f>AND(F827, J827)</f>
        <v>0</v>
      </c>
      <c r="L827" s="3" t="b">
        <f>AND(G827 &lt;&gt; "plain", G827 &lt;&gt; "")</f>
        <v>0</v>
      </c>
      <c r="M827" s="3" t="str">
        <f>IF(E827, C827 &amp; "|" &amp; H827, "")</f>
        <v>principal-process-steward|KnowledgeFragments</v>
      </c>
      <c r="N827" s="2" t="s">
        <v>9938</v>
      </c>
    </row>
    <row r="828">
      <c r="A828" s="2" t="s">
        <v>10764</v>
      </c>
      <c r="B828" s="3" t="str">
        <f>C828 &amp; " -&gt; " &amp; D828</f>
        <v>principal-process-steward -&gt; KnowledgeFragments.OwnerRoleAgentKind</v>
      </c>
      <c r="C828" s="2" t="s">
        <v>9706</v>
      </c>
      <c r="D828" s="2" t="s">
        <v>3232</v>
      </c>
      <c r="E828" s="2" t="b">
        <v>1</v>
      </c>
      <c r="F828" s="2" t="b">
        <v>0</v>
      </c>
      <c r="G828" s="2" t="s">
        <v>9937</v>
      </c>
      <c r="H828" s="3" t="str">
        <f>_xlfn.IFNA(INDEX(RulebookFields!C2:C999, MATCH(D828,RulebookFields!A2:A999, 0)), "")</f>
        <v>KnowledgeFragments</v>
      </c>
      <c r="I828" s="3" t="str">
        <f>_xlfn.IFNA(INDEX(RulebookFields!D2:D999, MATCH(D828,RulebookFields!A2:A999, 0)), "")</f>
        <v>OwnerRoleAgentKind</v>
      </c>
      <c r="J828" s="3" t="b">
        <f>_xlfn.IFNA(INDEX(RulebookFields!I2:I999, MATCH(D828,RulebookFields!A2:A999, 0)), "")</f>
        <v>1</v>
      </c>
      <c r="K828" s="3" t="b">
        <f>AND(F828, J828)</f>
        <v>0</v>
      </c>
      <c r="L828" s="3" t="b">
        <f>AND(G828 &lt;&gt; "plain", G828 &lt;&gt; "")</f>
        <v>0</v>
      </c>
      <c r="M828" s="3" t="str">
        <f>IF(E828, C828 &amp; "|" &amp; H828, "")</f>
        <v>principal-process-steward|KnowledgeFragments</v>
      </c>
      <c r="N828" s="2" t="s">
        <v>9938</v>
      </c>
    </row>
    <row r="829">
      <c r="A829" s="2" t="s">
        <v>10765</v>
      </c>
      <c r="B829" s="3" t="str">
        <f>C829 &amp; " -&gt; " &amp; D829</f>
        <v>principal-process-steward -&gt; KnowledgeFragments.IsHumanOwned</v>
      </c>
      <c r="C829" s="2" t="s">
        <v>9706</v>
      </c>
      <c r="D829" s="2" t="s">
        <v>3234</v>
      </c>
      <c r="E829" s="2" t="b">
        <v>1</v>
      </c>
      <c r="F829" s="2" t="b">
        <v>0</v>
      </c>
      <c r="G829" s="2" t="s">
        <v>9937</v>
      </c>
      <c r="H829" s="3" t="str">
        <f>_xlfn.IFNA(INDEX(RulebookFields!C2:C999, MATCH(D829,RulebookFields!A2:A999, 0)), "")</f>
        <v>KnowledgeFragments</v>
      </c>
      <c r="I829" s="3" t="str">
        <f>_xlfn.IFNA(INDEX(RulebookFields!D2:D999, MATCH(D829,RulebookFields!A2:A999, 0)), "")</f>
        <v>IsHumanOwned</v>
      </c>
      <c r="J829" s="3" t="b">
        <f>_xlfn.IFNA(INDEX(RulebookFields!I2:I999, MATCH(D829,RulebookFields!A2:A999, 0)), "")</f>
        <v>1</v>
      </c>
      <c r="K829" s="3" t="b">
        <f>AND(F829, J829)</f>
        <v>0</v>
      </c>
      <c r="L829" s="3" t="b">
        <f>AND(G829 &lt;&gt; "plain", G829 &lt;&gt; "")</f>
        <v>0</v>
      </c>
      <c r="M829" s="3" t="str">
        <f>IF(E829, C829 &amp; "|" &amp; H829, "")</f>
        <v>principal-process-steward|KnowledgeFragments</v>
      </c>
      <c r="N829" s="2" t="s">
        <v>9938</v>
      </c>
    </row>
    <row r="830">
      <c r="A830" s="2" t="s">
        <v>10766</v>
      </c>
      <c r="B830" s="3" t="str">
        <f>C830 &amp; " -&gt; " &amp; D830</f>
        <v>principal-process-steward -&gt; KnowledgeFragments.IsAiValidatedByAi</v>
      </c>
      <c r="C830" s="2" t="s">
        <v>9706</v>
      </c>
      <c r="D830" s="2" t="s">
        <v>3236</v>
      </c>
      <c r="E830" s="2" t="b">
        <v>1</v>
      </c>
      <c r="F830" s="2" t="b">
        <v>0</v>
      </c>
      <c r="G830" s="2" t="s">
        <v>9937</v>
      </c>
      <c r="H830" s="3" t="str">
        <f>_xlfn.IFNA(INDEX(RulebookFields!C2:C999, MATCH(D830,RulebookFields!A2:A999, 0)), "")</f>
        <v>KnowledgeFragments</v>
      </c>
      <c r="I830" s="3" t="str">
        <f>_xlfn.IFNA(INDEX(RulebookFields!D2:D999, MATCH(D830,RulebookFields!A2:A999, 0)), "")</f>
        <v>IsAiValidatedByAi</v>
      </c>
      <c r="J830" s="3" t="b">
        <f>_xlfn.IFNA(INDEX(RulebookFields!I2:I999, MATCH(D830,RulebookFields!A2:A999, 0)), "")</f>
        <v>1</v>
      </c>
      <c r="K830" s="3" t="b">
        <f>AND(F830, J830)</f>
        <v>0</v>
      </c>
      <c r="L830" s="3" t="b">
        <f>AND(G830 &lt;&gt; "plain", G830 &lt;&gt; "")</f>
        <v>0</v>
      </c>
      <c r="M830" s="3" t="str">
        <f>IF(E830, C830 &amp; "|" &amp; H830, "")</f>
        <v>principal-process-steward|KnowledgeFragments</v>
      </c>
      <c r="N830" s="2" t="s">
        <v>9938</v>
      </c>
    </row>
    <row r="831">
      <c r="A831" s="2" t="s">
        <v>10767</v>
      </c>
      <c r="B831" s="3" t="str">
        <f>C831 &amp; " -&gt; " &amp; D831</f>
        <v>principal-process-steward -&gt; KnowledgeFragments.ReviewCadenceDays</v>
      </c>
      <c r="C831" s="2" t="s">
        <v>9706</v>
      </c>
      <c r="D831" s="2" t="s">
        <v>3238</v>
      </c>
      <c r="E831" s="2" t="b">
        <v>1</v>
      </c>
      <c r="F831" s="2" t="b">
        <v>0</v>
      </c>
      <c r="G831" s="2" t="s">
        <v>9937</v>
      </c>
      <c r="H831" s="3" t="str">
        <f>_xlfn.IFNA(INDEX(RulebookFields!C2:C999, MATCH(D831,RulebookFields!A2:A999, 0)), "")</f>
        <v>KnowledgeFragments</v>
      </c>
      <c r="I831" s="3" t="str">
        <f>_xlfn.IFNA(INDEX(RulebookFields!D2:D999, MATCH(D831,RulebookFields!A2:A999, 0)), "")</f>
        <v>ReviewCadenceDays</v>
      </c>
      <c r="J831" s="3" t="b">
        <f>_xlfn.IFNA(INDEX(RulebookFields!I2:I999, MATCH(D831,RulebookFields!A2:A999, 0)), "")</f>
        <v>1</v>
      </c>
      <c r="K831" s="3" t="b">
        <f>AND(F831, J831)</f>
        <v>0</v>
      </c>
      <c r="L831" s="3" t="b">
        <f>AND(G831 &lt;&gt; "plain", G831 &lt;&gt; "")</f>
        <v>0</v>
      </c>
      <c r="M831" s="3" t="str">
        <f>IF(E831, C831 &amp; "|" &amp; H831, "")</f>
        <v>principal-process-steward|KnowledgeFragments</v>
      </c>
      <c r="N831" s="2" t="s">
        <v>9938</v>
      </c>
    </row>
    <row r="832">
      <c r="A832" s="2" t="s">
        <v>10768</v>
      </c>
      <c r="B832" s="3" t="str">
        <f>C832 &amp; " -&gt; " &amp; D832</f>
        <v>principal-process-steward -&gt; KnowledgeFragments.IsOverdueForReview</v>
      </c>
      <c r="C832" s="2" t="s">
        <v>9706</v>
      </c>
      <c r="D832" s="2" t="s">
        <v>3239</v>
      </c>
      <c r="E832" s="2" t="b">
        <v>1</v>
      </c>
      <c r="F832" s="2" t="b">
        <v>0</v>
      </c>
      <c r="G832" s="2" t="s">
        <v>9937</v>
      </c>
      <c r="H832" s="3" t="str">
        <f>_xlfn.IFNA(INDEX(RulebookFields!C2:C999, MATCH(D832,RulebookFields!A2:A999, 0)), "")</f>
        <v>KnowledgeFragments</v>
      </c>
      <c r="I832" s="3" t="str">
        <f>_xlfn.IFNA(INDEX(RulebookFields!D2:D999, MATCH(D832,RulebookFields!A2:A999, 0)), "")</f>
        <v>IsOverdueForReview</v>
      </c>
      <c r="J832" s="3" t="b">
        <f>_xlfn.IFNA(INDEX(RulebookFields!I2:I999, MATCH(D832,RulebookFields!A2:A999, 0)), "")</f>
        <v>1</v>
      </c>
      <c r="K832" s="3" t="b">
        <f>AND(F832, J832)</f>
        <v>0</v>
      </c>
      <c r="L832" s="3" t="b">
        <f>AND(G832 &lt;&gt; "plain", G832 &lt;&gt; "")</f>
        <v>0</v>
      </c>
      <c r="M832" s="3" t="str">
        <f>IF(E832, C832 &amp; "|" &amp; H832, "")</f>
        <v>principal-process-steward|KnowledgeFragments</v>
      </c>
      <c r="N832" s="2" t="s">
        <v>9938</v>
      </c>
    </row>
    <row r="833">
      <c r="A833" s="2" t="s">
        <v>10769</v>
      </c>
      <c r="B833" s="3" t="str">
        <f>C833 &amp; " -&gt; " &amp; D833</f>
        <v>principal-process-steward -&gt; KnowledgeFragments.PredatesCurrentRoleHolder</v>
      </c>
      <c r="C833" s="2" t="s">
        <v>9706</v>
      </c>
      <c r="D833" s="2" t="s">
        <v>3241</v>
      </c>
      <c r="E833" s="2" t="b">
        <v>1</v>
      </c>
      <c r="F833" s="2" t="b">
        <v>0</v>
      </c>
      <c r="G833" s="2" t="s">
        <v>9937</v>
      </c>
      <c r="H833" s="3" t="str">
        <f>_xlfn.IFNA(INDEX(RulebookFields!C2:C999, MATCH(D833,RulebookFields!A2:A999, 0)), "")</f>
        <v>KnowledgeFragments</v>
      </c>
      <c r="I833" s="3" t="str">
        <f>_xlfn.IFNA(INDEX(RulebookFields!D2:D999, MATCH(D833,RulebookFields!A2:A999, 0)), "")</f>
        <v>PredatesCurrentRoleHolder</v>
      </c>
      <c r="J833" s="3" t="b">
        <f>_xlfn.IFNA(INDEX(RulebookFields!I2:I999, MATCH(D833,RulebookFields!A2:A999, 0)), "")</f>
        <v>1</v>
      </c>
      <c r="K833" s="3" t="b">
        <f>AND(F833, J833)</f>
        <v>0</v>
      </c>
      <c r="L833" s="3" t="b">
        <f>AND(G833 &lt;&gt; "plain", G833 &lt;&gt; "")</f>
        <v>0</v>
      </c>
      <c r="M833" s="3" t="str">
        <f>IF(E833, C833 &amp; "|" &amp; H833, "")</f>
        <v>principal-process-steward|KnowledgeFragments</v>
      </c>
      <c r="N833" s="2" t="s">
        <v>9938</v>
      </c>
    </row>
    <row r="834">
      <c r="A834" s="2" t="s">
        <v>10770</v>
      </c>
      <c r="B834" s="3" t="str">
        <f>C834 &amp; " -&gt; " &amp; D834</f>
        <v>principal-process-steward -&gt; KnowledgeFragments.OwnerRoleAssignmentValidFrom</v>
      </c>
      <c r="C834" s="2" t="s">
        <v>9706</v>
      </c>
      <c r="D834" s="2" t="s">
        <v>3243</v>
      </c>
      <c r="E834" s="2" t="b">
        <v>1</v>
      </c>
      <c r="F834" s="2" t="b">
        <v>0</v>
      </c>
      <c r="G834" s="2" t="s">
        <v>9937</v>
      </c>
      <c r="H834" s="3" t="str">
        <f>_xlfn.IFNA(INDEX(RulebookFields!C2:C999, MATCH(D834,RulebookFields!A2:A999, 0)), "")</f>
        <v>KnowledgeFragments</v>
      </c>
      <c r="I834" s="3" t="str">
        <f>_xlfn.IFNA(INDEX(RulebookFields!D2:D999, MATCH(D834,RulebookFields!A2:A999, 0)), "")</f>
        <v>OwnerRoleAssignmentValidFrom</v>
      </c>
      <c r="J834" s="3" t="b">
        <f>_xlfn.IFNA(INDEX(RulebookFields!I2:I999, MATCH(D834,RulebookFields!A2:A999, 0)), "")</f>
        <v>1</v>
      </c>
      <c r="K834" s="3" t="b">
        <f>AND(F834, J834)</f>
        <v>0</v>
      </c>
      <c r="L834" s="3" t="b">
        <f>AND(G834 &lt;&gt; "plain", G834 &lt;&gt; "")</f>
        <v>0</v>
      </c>
      <c r="M834" s="3" t="str">
        <f>IF(E834, C834 &amp; "|" &amp; H834, "")</f>
        <v>principal-process-steward|KnowledgeFragments</v>
      </c>
      <c r="N834" s="2" t="s">
        <v>9938</v>
      </c>
    </row>
    <row r="835">
      <c r="A835" s="2" t="s">
        <v>10771</v>
      </c>
      <c r="B835" s="3" t="str">
        <f>C835 &amp; " -&gt; " &amp; D835</f>
        <v>principal-process-steward -&gt; KnowledgeFragments.LastReviewedAt</v>
      </c>
      <c r="C835" s="2" t="s">
        <v>9706</v>
      </c>
      <c r="D835" s="2" t="s">
        <v>3245</v>
      </c>
      <c r="E835" s="2" t="b">
        <v>1</v>
      </c>
      <c r="F835" s="2" t="b">
        <v>0</v>
      </c>
      <c r="G835" s="2" t="s">
        <v>9937</v>
      </c>
      <c r="H835" s="3" t="str">
        <f>_xlfn.IFNA(INDEX(RulebookFields!C2:C999, MATCH(D835,RulebookFields!A2:A999, 0)), "")</f>
        <v>KnowledgeFragments</v>
      </c>
      <c r="I835" s="3" t="str">
        <f>_xlfn.IFNA(INDEX(RulebookFields!D2:D999, MATCH(D835,RulebookFields!A2:A999, 0)), "")</f>
        <v>LastReviewedAt</v>
      </c>
      <c r="J835" s="3" t="b">
        <f>_xlfn.IFNA(INDEX(RulebookFields!I2:I999, MATCH(D835,RulebookFields!A2:A999, 0)), "")</f>
        <v>0</v>
      </c>
      <c r="K835" s="3" t="b">
        <f>AND(F835, J835)</f>
        <v>0</v>
      </c>
      <c r="L835" s="3" t="b">
        <f>AND(G835 &lt;&gt; "plain", G835 &lt;&gt; "")</f>
        <v>0</v>
      </c>
      <c r="M835" s="3" t="str">
        <f>IF(E835, C835 &amp; "|" &amp; H835, "")</f>
        <v>principal-process-steward|KnowledgeFragments</v>
      </c>
      <c r="N835" s="2" t="s">
        <v>9938</v>
      </c>
    </row>
    <row r="836">
      <c r="A836" s="2" t="s">
        <v>10772</v>
      </c>
      <c r="B836" s="3" t="str">
        <f>C836 &amp; " -&gt; " &amp; D836</f>
        <v>principal-process-steward -&gt; KnowledgeFragments.FragilitySignalCount</v>
      </c>
      <c r="C836" s="2" t="s">
        <v>9706</v>
      </c>
      <c r="D836" s="2" t="s">
        <v>3246</v>
      </c>
      <c r="E836" s="2" t="b">
        <v>1</v>
      </c>
      <c r="F836" s="2" t="b">
        <v>0</v>
      </c>
      <c r="G836" s="2" t="s">
        <v>9937</v>
      </c>
      <c r="H836" s="3" t="str">
        <f>_xlfn.IFNA(INDEX(RulebookFields!C2:C999, MATCH(D836,RulebookFields!A2:A999, 0)), "")</f>
        <v>KnowledgeFragments</v>
      </c>
      <c r="I836" s="3" t="str">
        <f>_xlfn.IFNA(INDEX(RulebookFields!D2:D999, MATCH(D836,RulebookFields!A2:A999, 0)), "")</f>
        <v>FragilitySignalCount</v>
      </c>
      <c r="J836" s="3" t="b">
        <f>_xlfn.IFNA(INDEX(RulebookFields!I2:I999, MATCH(D836,RulebookFields!A2:A999, 0)), "")</f>
        <v>1</v>
      </c>
      <c r="K836" s="3" t="b">
        <f>AND(F836, J836)</f>
        <v>0</v>
      </c>
      <c r="L836" s="3" t="b">
        <f>AND(G836 &lt;&gt; "plain", G836 &lt;&gt; "")</f>
        <v>0</v>
      </c>
      <c r="M836" s="3" t="str">
        <f>IF(E836, C836 &amp; "|" &amp; H836, "")</f>
        <v>principal-process-steward|KnowledgeFragments</v>
      </c>
      <c r="N836" s="2" t="s">
        <v>9938</v>
      </c>
    </row>
    <row r="837">
      <c r="A837" s="2" t="s">
        <v>10773</v>
      </c>
      <c r="B837" s="3" t="str">
        <f>C837 &amp; " -&gt; " &amp; D837</f>
        <v>principal-process-steward -&gt; KnowledgeFragments.IsCompoundFragile</v>
      </c>
      <c r="C837" s="2" t="s">
        <v>9706</v>
      </c>
      <c r="D837" s="2" t="s">
        <v>3248</v>
      </c>
      <c r="E837" s="2" t="b">
        <v>1</v>
      </c>
      <c r="F837" s="2" t="b">
        <v>0</v>
      </c>
      <c r="G837" s="2" t="s">
        <v>9937</v>
      </c>
      <c r="H837" s="3" t="str">
        <f>_xlfn.IFNA(INDEX(RulebookFields!C2:C999, MATCH(D837,RulebookFields!A2:A999, 0)), "")</f>
        <v>KnowledgeFragments</v>
      </c>
      <c r="I837" s="3" t="str">
        <f>_xlfn.IFNA(INDEX(RulebookFields!D2:D999, MATCH(D837,RulebookFields!A2:A999, 0)), "")</f>
        <v>IsCompoundFragile</v>
      </c>
      <c r="J837" s="3" t="b">
        <f>_xlfn.IFNA(INDEX(RulebookFields!I2:I999, MATCH(D837,RulebookFields!A2:A999, 0)), "")</f>
        <v>1</v>
      </c>
      <c r="K837" s="3" t="b">
        <f>AND(F837, J837)</f>
        <v>0</v>
      </c>
      <c r="L837" s="3" t="b">
        <f>AND(G837 &lt;&gt; "plain", G837 &lt;&gt; "")</f>
        <v>0</v>
      </c>
      <c r="M837" s="3" t="str">
        <f>IF(E837, C837 &amp; "|" &amp; H837, "")</f>
        <v>principal-process-steward|KnowledgeFragments</v>
      </c>
      <c r="N837" s="2" t="s">
        <v>9938</v>
      </c>
    </row>
    <row r="838">
      <c r="A838" s="2" t="s">
        <v>10774</v>
      </c>
      <c r="B838" s="3" t="str">
        <f>C838 &amp; " -&gt; " &amp; D838</f>
        <v>principal-process-steward -&gt; KnowledgeFragments.IsSinglePointOfFailure</v>
      </c>
      <c r="C838" s="2" t="s">
        <v>9706</v>
      </c>
      <c r="D838" s="2" t="s">
        <v>3250</v>
      </c>
      <c r="E838" s="2" t="b">
        <v>1</v>
      </c>
      <c r="F838" s="2" t="b">
        <v>0</v>
      </c>
      <c r="G838" s="2" t="s">
        <v>9937</v>
      </c>
      <c r="H838" s="3" t="str">
        <f>_xlfn.IFNA(INDEX(RulebookFields!C2:C999, MATCH(D838,RulebookFields!A2:A999, 0)), "")</f>
        <v>KnowledgeFragments</v>
      </c>
      <c r="I838" s="3" t="str">
        <f>_xlfn.IFNA(INDEX(RulebookFields!D2:D999, MATCH(D838,RulebookFields!A2:A999, 0)), "")</f>
        <v>IsSinglePointOfFailure</v>
      </c>
      <c r="J838" s="3" t="b">
        <f>_xlfn.IFNA(INDEX(RulebookFields!I2:I999, MATCH(D838,RulebookFields!A2:A999, 0)), "")</f>
        <v>1</v>
      </c>
      <c r="K838" s="3" t="b">
        <f>AND(F838, J838)</f>
        <v>0</v>
      </c>
      <c r="L838" s="3" t="b">
        <f>AND(G838 &lt;&gt; "plain", G838 &lt;&gt; "")</f>
        <v>0</v>
      </c>
      <c r="M838" s="3" t="str">
        <f>IF(E838, C838 &amp; "|" &amp; H838, "")</f>
        <v>principal-process-steward|KnowledgeFragments</v>
      </c>
      <c r="N838" s="2" t="s">
        <v>9938</v>
      </c>
    </row>
    <row r="839">
      <c r="A839" s="2" t="s">
        <v>10775</v>
      </c>
      <c r="B839" s="3" t="str">
        <f>C839 &amp; " -&gt; " &amp; D839</f>
        <v>principal-process-steward -&gt; KnowledgeFragments.IsExpiringSinglePointOfFailure</v>
      </c>
      <c r="C839" s="2" t="s">
        <v>9706</v>
      </c>
      <c r="D839" s="2" t="s">
        <v>3252</v>
      </c>
      <c r="E839" s="2" t="b">
        <v>1</v>
      </c>
      <c r="F839" s="2" t="b">
        <v>0</v>
      </c>
      <c r="G839" s="2" t="s">
        <v>9937</v>
      </c>
      <c r="H839" s="3" t="str">
        <f>_xlfn.IFNA(INDEX(RulebookFields!C2:C999, MATCH(D839,RulebookFields!A2:A999, 0)), "")</f>
        <v>KnowledgeFragments</v>
      </c>
      <c r="I839" s="3" t="str">
        <f>_xlfn.IFNA(INDEX(RulebookFields!D2:D999, MATCH(D839,RulebookFields!A2:A999, 0)), "")</f>
        <v>IsExpiringSinglePointOfFailure</v>
      </c>
      <c r="J839" s="3" t="b">
        <f>_xlfn.IFNA(INDEX(RulebookFields!I2:I999, MATCH(D839,RulebookFields!A2:A999, 0)), "")</f>
        <v>1</v>
      </c>
      <c r="K839" s="3" t="b">
        <f>AND(F839, J839)</f>
        <v>0</v>
      </c>
      <c r="L839" s="3" t="b">
        <f>AND(G839 &lt;&gt; "plain", G839 &lt;&gt; "")</f>
        <v>0</v>
      </c>
      <c r="M839" s="3" t="str">
        <f>IF(E839, C839 &amp; "|" &amp; H839, "")</f>
        <v>principal-process-steward|KnowledgeFragments</v>
      </c>
      <c r="N839" s="2" t="s">
        <v>9938</v>
      </c>
    </row>
    <row r="840">
      <c r="A840" s="2" t="s">
        <v>10776</v>
      </c>
      <c r="B840" s="3" t="str">
        <f>C840 &amp; " -&gt; " &amp; D840</f>
        <v>principal-process-steward -&gt; KnowledgeFragments.CompoundFragileVersionKey</v>
      </c>
      <c r="C840" s="2" t="s">
        <v>9706</v>
      </c>
      <c r="D840" s="2" t="s">
        <v>3254</v>
      </c>
      <c r="E840" s="2" t="b">
        <v>1</v>
      </c>
      <c r="F840" s="2" t="b">
        <v>0</v>
      </c>
      <c r="G840" s="2" t="s">
        <v>9937</v>
      </c>
      <c r="H840" s="3" t="str">
        <f>_xlfn.IFNA(INDEX(RulebookFields!C2:C999, MATCH(D840,RulebookFields!A2:A999, 0)), "")</f>
        <v>KnowledgeFragments</v>
      </c>
      <c r="I840" s="3" t="str">
        <f>_xlfn.IFNA(INDEX(RulebookFields!D2:D999, MATCH(D840,RulebookFields!A2:A999, 0)), "")</f>
        <v>CompoundFragileVersionKey</v>
      </c>
      <c r="J840" s="3" t="b">
        <f>_xlfn.IFNA(INDEX(RulebookFields!I2:I999, MATCH(D840,RulebookFields!A2:A999, 0)), "")</f>
        <v>1</v>
      </c>
      <c r="K840" s="3" t="b">
        <f>AND(F840, J840)</f>
        <v>0</v>
      </c>
      <c r="L840" s="3" t="b">
        <f>AND(G840 &lt;&gt; "plain", G840 &lt;&gt; "")</f>
        <v>0</v>
      </c>
      <c r="M840" s="3" t="str">
        <f>IF(E840, C840 &amp; "|" &amp; H840, "")</f>
        <v>principal-process-steward|KnowledgeFragments</v>
      </c>
      <c r="N840" s="2" t="s">
        <v>9938</v>
      </c>
    </row>
    <row r="841">
      <c r="A841" s="2" t="s">
        <v>10777</v>
      </c>
      <c r="B841" s="3" t="str">
        <f>C841 &amp; " -&gt; " &amp; D841</f>
        <v>principal-process-steward -&gt; KnowledgeFragments.ValidFragmentSessionKey</v>
      </c>
      <c r="C841" s="2" t="s">
        <v>9706</v>
      </c>
      <c r="D841" s="2" t="s">
        <v>3256</v>
      </c>
      <c r="E841" s="2" t="b">
        <v>1</v>
      </c>
      <c r="F841" s="2" t="b">
        <v>0</v>
      </c>
      <c r="G841" s="2" t="s">
        <v>9937</v>
      </c>
      <c r="H841" s="3" t="str">
        <f>_xlfn.IFNA(INDEX(RulebookFields!C2:C999, MATCH(D841,RulebookFields!A2:A999, 0)), "")</f>
        <v>KnowledgeFragments</v>
      </c>
      <c r="I841" s="3" t="str">
        <f>_xlfn.IFNA(INDEX(RulebookFields!D2:D999, MATCH(D841,RulebookFields!A2:A999, 0)), "")</f>
        <v>ValidFragmentSessionKey</v>
      </c>
      <c r="J841" s="3" t="b">
        <f>_xlfn.IFNA(INDEX(RulebookFields!I2:I999, MATCH(D841,RulebookFields!A2:A999, 0)), "")</f>
        <v>1</v>
      </c>
      <c r="K841" s="3" t="b">
        <f>AND(F841, J841)</f>
        <v>0</v>
      </c>
      <c r="L841" s="3" t="b">
        <f>AND(G841 &lt;&gt; "plain", G841 &lt;&gt; "")</f>
        <v>0</v>
      </c>
      <c r="M841" s="3" t="str">
        <f>IF(E841, C841 &amp; "|" &amp; H841, "")</f>
        <v>principal-process-steward|KnowledgeFragments</v>
      </c>
      <c r="N841" s="2" t="s">
        <v>9938</v>
      </c>
    </row>
    <row r="842">
      <c r="A842" s="2" t="s">
        <v>10778</v>
      </c>
      <c r="B842" s="3" t="str">
        <f>C842 &amp; " -&gt; " &amp; D842</f>
        <v>principal-process-steward -&gt; KnowledgeFragments.ConsumingStepIsSoftwareAssigned</v>
      </c>
      <c r="C842" s="2" t="s">
        <v>9706</v>
      </c>
      <c r="D842" s="2" t="s">
        <v>3258</v>
      </c>
      <c r="E842" s="2" t="b">
        <v>1</v>
      </c>
      <c r="F842" s="2" t="b">
        <v>0</v>
      </c>
      <c r="G842" s="2" t="s">
        <v>9937</v>
      </c>
      <c r="H842" s="3" t="str">
        <f>_xlfn.IFNA(INDEX(RulebookFields!C2:C999, MATCH(D842,RulebookFields!A2:A999, 0)), "")</f>
        <v>KnowledgeFragments</v>
      </c>
      <c r="I842" s="3" t="str">
        <f>_xlfn.IFNA(INDEX(RulebookFields!D2:D999, MATCH(D842,RulebookFields!A2:A999, 0)), "")</f>
        <v>ConsumingStepIsSoftwareAssigned</v>
      </c>
      <c r="J842" s="3" t="b">
        <f>_xlfn.IFNA(INDEX(RulebookFields!I2:I999, MATCH(D842,RulebookFields!A2:A999, 0)), "")</f>
        <v>1</v>
      </c>
      <c r="K842" s="3" t="b">
        <f>AND(F842, J842)</f>
        <v>0</v>
      </c>
      <c r="L842" s="3" t="b">
        <f>AND(G842 &lt;&gt; "plain", G842 &lt;&gt; "")</f>
        <v>0</v>
      </c>
      <c r="M842" s="3" t="str">
        <f>IF(E842, C842 &amp; "|" &amp; H842, "")</f>
        <v>principal-process-steward|KnowledgeFragments</v>
      </c>
      <c r="N842" s="2" t="s">
        <v>9938</v>
      </c>
    </row>
    <row r="843">
      <c r="A843" s="2" t="s">
        <v>10779</v>
      </c>
      <c r="B843" s="3" t="str">
        <f>C843 &amp; " -&gt; " &amp; D843</f>
        <v>principal-process-steward -&gt; KnowledgeFragments.ConsumingStepAgentKind</v>
      </c>
      <c r="C843" s="2" t="s">
        <v>9706</v>
      </c>
      <c r="D843" s="2" t="s">
        <v>3260</v>
      </c>
      <c r="E843" s="2" t="b">
        <v>1</v>
      </c>
      <c r="F843" s="2" t="b">
        <v>0</v>
      </c>
      <c r="G843" s="2" t="s">
        <v>9937</v>
      </c>
      <c r="H843" s="3" t="str">
        <f>_xlfn.IFNA(INDEX(RulebookFields!C2:C999, MATCH(D843,RulebookFields!A2:A999, 0)), "")</f>
        <v>KnowledgeFragments</v>
      </c>
      <c r="I843" s="3" t="str">
        <f>_xlfn.IFNA(INDEX(RulebookFields!D2:D999, MATCH(D843,RulebookFields!A2:A999, 0)), "")</f>
        <v>ConsumingStepAgentKind</v>
      </c>
      <c r="J843" s="3" t="b">
        <f>_xlfn.IFNA(INDEX(RulebookFields!I2:I999, MATCH(D843,RulebookFields!A2:A999, 0)), "")</f>
        <v>1</v>
      </c>
      <c r="K843" s="3" t="b">
        <f>AND(F843, J843)</f>
        <v>0</v>
      </c>
      <c r="L843" s="3" t="b">
        <f>AND(G843 &lt;&gt; "plain", G843 &lt;&gt; "")</f>
        <v>0</v>
      </c>
      <c r="M843" s="3" t="str">
        <f>IF(E843, C843 &amp; "|" &amp; H843, "")</f>
        <v>principal-process-steward|KnowledgeFragments</v>
      </c>
      <c r="N843" s="2" t="s">
        <v>9938</v>
      </c>
    </row>
    <row r="844">
      <c r="A844" s="2" t="s">
        <v>10780</v>
      </c>
      <c r="B844" s="3" t="str">
        <f>C844 &amp; " -&gt; " &amp; D844</f>
        <v>principal-process-steward -&gt; KnowledgeFragments.IsUnapprovedAndMachineConsumed</v>
      </c>
      <c r="C844" s="2" t="s">
        <v>9706</v>
      </c>
      <c r="D844" s="2" t="s">
        <v>3262</v>
      </c>
      <c r="E844" s="2" t="b">
        <v>1</v>
      </c>
      <c r="F844" s="2" t="b">
        <v>0</v>
      </c>
      <c r="G844" s="2" t="s">
        <v>9937</v>
      </c>
      <c r="H844" s="3" t="str">
        <f>_xlfn.IFNA(INDEX(RulebookFields!C2:C999, MATCH(D844,RulebookFields!A2:A999, 0)), "")</f>
        <v>KnowledgeFragments</v>
      </c>
      <c r="I844" s="3" t="str">
        <f>_xlfn.IFNA(INDEX(RulebookFields!D2:D999, MATCH(D844,RulebookFields!A2:A999, 0)), "")</f>
        <v>IsUnapprovedAndMachineConsumed</v>
      </c>
      <c r="J844" s="3" t="b">
        <f>_xlfn.IFNA(INDEX(RulebookFields!I2:I999, MATCH(D844,RulebookFields!A2:A999, 0)), "")</f>
        <v>1</v>
      </c>
      <c r="K844" s="3" t="b">
        <f>AND(F844, J844)</f>
        <v>0</v>
      </c>
      <c r="L844" s="3" t="b">
        <f>AND(G844 &lt;&gt; "plain", G844 &lt;&gt; "")</f>
        <v>0</v>
      </c>
      <c r="M844" s="3" t="str">
        <f>IF(E844, C844 &amp; "|" &amp; H844, "")</f>
        <v>principal-process-steward|KnowledgeFragments</v>
      </c>
      <c r="N844" s="2" t="s">
        <v>9938</v>
      </c>
    </row>
    <row r="845">
      <c r="A845" s="2" t="s">
        <v>10781</v>
      </c>
      <c r="B845" s="3" t="str">
        <f>C845 &amp; " -&gt; " &amp; D845</f>
        <v>principal-process-steward -&gt; KnowledgeFragments.IsUnapprovedAndHumanConsumed</v>
      </c>
      <c r="C845" s="2" t="s">
        <v>9706</v>
      </c>
      <c r="D845" s="2" t="s">
        <v>3264</v>
      </c>
      <c r="E845" s="2" t="b">
        <v>1</v>
      </c>
      <c r="F845" s="2" t="b">
        <v>0</v>
      </c>
      <c r="G845" s="2" t="s">
        <v>9937</v>
      </c>
      <c r="H845" s="3" t="str">
        <f>_xlfn.IFNA(INDEX(RulebookFields!C2:C999, MATCH(D845,RulebookFields!A2:A999, 0)), "")</f>
        <v>KnowledgeFragments</v>
      </c>
      <c r="I845" s="3" t="str">
        <f>_xlfn.IFNA(INDEX(RulebookFields!D2:D999, MATCH(D845,RulebookFields!A2:A999, 0)), "")</f>
        <v>IsUnapprovedAndHumanConsumed</v>
      </c>
      <c r="J845" s="3" t="b">
        <f>_xlfn.IFNA(INDEX(RulebookFields!I2:I999, MATCH(D845,RulebookFields!A2:A999, 0)), "")</f>
        <v>1</v>
      </c>
      <c r="K845" s="3" t="b">
        <f>AND(F845, J845)</f>
        <v>0</v>
      </c>
      <c r="L845" s="3" t="b">
        <f>AND(G845 &lt;&gt; "plain", G845 &lt;&gt; "")</f>
        <v>0</v>
      </c>
      <c r="M845" s="3" t="str">
        <f>IF(E845, C845 &amp; "|" &amp; H845, "")</f>
        <v>principal-process-steward|KnowledgeFragments</v>
      </c>
      <c r="N845" s="2" t="s">
        <v>9938</v>
      </c>
    </row>
    <row r="846">
      <c r="A846" s="2" t="s">
        <v>10782</v>
      </c>
      <c r="B846" s="3" t="str">
        <f>C846 &amp; " -&gt; " &amp; D846</f>
        <v>principal-process-steward -&gt; KnowledgeFragments.MachineConsumedUnapprovedVersionKey</v>
      </c>
      <c r="C846" s="2" t="s">
        <v>9706</v>
      </c>
      <c r="D846" s="2" t="s">
        <v>3266</v>
      </c>
      <c r="E846" s="2" t="b">
        <v>1</v>
      </c>
      <c r="F846" s="2" t="b">
        <v>0</v>
      </c>
      <c r="G846" s="2" t="s">
        <v>9937</v>
      </c>
      <c r="H846" s="3" t="str">
        <f>_xlfn.IFNA(INDEX(RulebookFields!C2:C999, MATCH(D846,RulebookFields!A2:A999, 0)), "")</f>
        <v>KnowledgeFragments</v>
      </c>
      <c r="I846" s="3" t="str">
        <f>_xlfn.IFNA(INDEX(RulebookFields!D2:D999, MATCH(D846,RulebookFields!A2:A999, 0)), "")</f>
        <v>MachineConsumedUnapprovedVersionKey</v>
      </c>
      <c r="J846" s="3" t="b">
        <f>_xlfn.IFNA(INDEX(RulebookFields!I2:I999, MATCH(D846,RulebookFields!A2:A999, 0)), "")</f>
        <v>1</v>
      </c>
      <c r="K846" s="3" t="b">
        <f>AND(F846, J846)</f>
        <v>0</v>
      </c>
      <c r="L846" s="3" t="b">
        <f>AND(G846 &lt;&gt; "plain", G846 &lt;&gt; "")</f>
        <v>0</v>
      </c>
      <c r="M846" s="3" t="str">
        <f>IF(E846, C846 &amp; "|" &amp; H846, "")</f>
        <v>principal-process-steward|KnowledgeFragments</v>
      </c>
      <c r="N846" s="2" t="s">
        <v>9938</v>
      </c>
    </row>
    <row r="847">
      <c r="A847" s="2" t="s">
        <v>10783</v>
      </c>
      <c r="B847" s="3" t="str">
        <f>C847 &amp; " -&gt; " &amp; D847</f>
        <v>principal-process-steward -&gt; KnowledgeFragments.HasReviewRecord</v>
      </c>
      <c r="C847" s="2" t="s">
        <v>9706</v>
      </c>
      <c r="D847" s="2" t="s">
        <v>3268</v>
      </c>
      <c r="E847" s="2" t="b">
        <v>1</v>
      </c>
      <c r="F847" s="2" t="b">
        <v>0</v>
      </c>
      <c r="G847" s="2" t="s">
        <v>9937</v>
      </c>
      <c r="H847" s="3" t="str">
        <f>_xlfn.IFNA(INDEX(RulebookFields!C2:C999, MATCH(D847,RulebookFields!A2:A999, 0)), "")</f>
        <v>KnowledgeFragments</v>
      </c>
      <c r="I847" s="3" t="str">
        <f>_xlfn.IFNA(INDEX(RulebookFields!D2:D999, MATCH(D847,RulebookFields!A2:A999, 0)), "")</f>
        <v>HasReviewRecord</v>
      </c>
      <c r="J847" s="3" t="b">
        <f>_xlfn.IFNA(INDEX(RulebookFields!I2:I999, MATCH(D847,RulebookFields!A2:A999, 0)), "")</f>
        <v>1</v>
      </c>
      <c r="K847" s="3" t="b">
        <f>AND(F847, J847)</f>
        <v>0</v>
      </c>
      <c r="L847" s="3" t="b">
        <f>AND(G847 &lt;&gt; "plain", G847 &lt;&gt; "")</f>
        <v>0</v>
      </c>
      <c r="M847" s="3" t="str">
        <f>IF(E847, C847 &amp; "|" &amp; H847, "")</f>
        <v>principal-process-steward|KnowledgeFragments</v>
      </c>
      <c r="N847" s="2" t="s">
        <v>9938</v>
      </c>
    </row>
    <row r="848">
      <c r="A848" s="2" t="s">
        <v>10784</v>
      </c>
      <c r="B848" s="3" t="str">
        <f>C848 &amp; " -&gt; " &amp; D848</f>
        <v>principal-process-steward -&gt; KnowledgeFragments.DaysSinceActualReview</v>
      </c>
      <c r="C848" s="2" t="s">
        <v>9706</v>
      </c>
      <c r="D848" s="2" t="s">
        <v>3270</v>
      </c>
      <c r="E848" s="2" t="b">
        <v>1</v>
      </c>
      <c r="F848" s="2" t="b">
        <v>0</v>
      </c>
      <c r="G848" s="2" t="s">
        <v>9937</v>
      </c>
      <c r="H848" s="3" t="str">
        <f>_xlfn.IFNA(INDEX(RulebookFields!C2:C999, MATCH(D848,RulebookFields!A2:A999, 0)), "")</f>
        <v>KnowledgeFragments</v>
      </c>
      <c r="I848" s="3" t="str">
        <f>_xlfn.IFNA(INDEX(RulebookFields!D2:D999, MATCH(D848,RulebookFields!A2:A999, 0)), "")</f>
        <v>DaysSinceActualReview</v>
      </c>
      <c r="J848" s="3" t="b">
        <f>_xlfn.IFNA(INDEX(RulebookFields!I2:I999, MATCH(D848,RulebookFields!A2:A999, 0)), "")</f>
        <v>1</v>
      </c>
      <c r="K848" s="3" t="b">
        <f>AND(F848, J848)</f>
        <v>0</v>
      </c>
      <c r="L848" s="3" t="b">
        <f>AND(G848 &lt;&gt; "plain", G848 &lt;&gt; "")</f>
        <v>0</v>
      </c>
      <c r="M848" s="3" t="str">
        <f>IF(E848, C848 &amp; "|" &amp; H848, "")</f>
        <v>principal-process-steward|KnowledgeFragments</v>
      </c>
      <c r="N848" s="2" t="s">
        <v>9938</v>
      </c>
    </row>
    <row r="849">
      <c r="A849" s="2" t="s">
        <v>10785</v>
      </c>
      <c r="B849" s="3" t="str">
        <f>C849 &amp; " -&gt; " &amp; D849</f>
        <v>principal-process-steward -&gt; KnowledgeFragments.IsUnreviewedSinceAuthoring</v>
      </c>
      <c r="C849" s="2" t="s">
        <v>9706</v>
      </c>
      <c r="D849" s="2" t="s">
        <v>3272</v>
      </c>
      <c r="E849" s="2" t="b">
        <v>1</v>
      </c>
      <c r="F849" s="2" t="b">
        <v>0</v>
      </c>
      <c r="G849" s="2" t="s">
        <v>9937</v>
      </c>
      <c r="H849" s="3" t="str">
        <f>_xlfn.IFNA(INDEX(RulebookFields!C2:C999, MATCH(D849,RulebookFields!A2:A999, 0)), "")</f>
        <v>KnowledgeFragments</v>
      </c>
      <c r="I849" s="3" t="str">
        <f>_xlfn.IFNA(INDEX(RulebookFields!D2:D999, MATCH(D849,RulebookFields!A2:A999, 0)), "")</f>
        <v>IsUnreviewedSinceAuthoring</v>
      </c>
      <c r="J849" s="3" t="b">
        <f>_xlfn.IFNA(INDEX(RulebookFields!I2:I999, MATCH(D849,RulebookFields!A2:A999, 0)), "")</f>
        <v>1</v>
      </c>
      <c r="K849" s="3" t="b">
        <f>AND(F849, J849)</f>
        <v>0</v>
      </c>
      <c r="L849" s="3" t="b">
        <f>AND(G849 &lt;&gt; "plain", G849 &lt;&gt; "")</f>
        <v>0</v>
      </c>
      <c r="M849" s="3" t="str">
        <f>IF(E849, C849 &amp; "|" &amp; H849, "")</f>
        <v>principal-process-steward|KnowledgeFragments</v>
      </c>
      <c r="N849" s="2" t="s">
        <v>9938</v>
      </c>
    </row>
    <row r="850">
      <c r="A850" s="2" t="s">
        <v>10786</v>
      </c>
      <c r="B850" s="3" t="str">
        <f>C850 &amp; " -&gt; " &amp; D850</f>
        <v>principal-process-steward -&gt; KnowledgeFragments.IsGenuinelyOverdue</v>
      </c>
      <c r="C850" s="2" t="s">
        <v>9706</v>
      </c>
      <c r="D850" s="2" t="s">
        <v>3274</v>
      </c>
      <c r="E850" s="2" t="b">
        <v>1</v>
      </c>
      <c r="F850" s="2" t="b">
        <v>0</v>
      </c>
      <c r="G850" s="2" t="s">
        <v>9937</v>
      </c>
      <c r="H850" s="3" t="str">
        <f>_xlfn.IFNA(INDEX(RulebookFields!C2:C999, MATCH(D850,RulebookFields!A2:A999, 0)), "")</f>
        <v>KnowledgeFragments</v>
      </c>
      <c r="I850" s="3" t="str">
        <f>_xlfn.IFNA(INDEX(RulebookFields!D2:D999, MATCH(D850,RulebookFields!A2:A999, 0)), "")</f>
        <v>IsGenuinelyOverdue</v>
      </c>
      <c r="J850" s="3" t="b">
        <f>_xlfn.IFNA(INDEX(RulebookFields!I2:I999, MATCH(D850,RulebookFields!A2:A999, 0)), "")</f>
        <v>1</v>
      </c>
      <c r="K850" s="3" t="b">
        <f>AND(F850, J850)</f>
        <v>0</v>
      </c>
      <c r="L850" s="3" t="b">
        <f>AND(G850 &lt;&gt; "plain", G850 &lt;&gt; "")</f>
        <v>0</v>
      </c>
      <c r="M850" s="3" t="str">
        <f>IF(E850, C850 &amp; "|" &amp; H850, "")</f>
        <v>principal-process-steward|KnowledgeFragments</v>
      </c>
      <c r="N850" s="2" t="s">
        <v>9938</v>
      </c>
    </row>
    <row r="851">
      <c r="A851" s="2" t="s">
        <v>10787</v>
      </c>
      <c r="B851" s="3" t="str">
        <f>C851 &amp; " -&gt; " &amp; D851</f>
        <v>principal-process-steward -&gt; KnowledgeFragments.ReviewRecencyIsInferred</v>
      </c>
      <c r="C851" s="2" t="s">
        <v>9706</v>
      </c>
      <c r="D851" s="2" t="s">
        <v>3276</v>
      </c>
      <c r="E851" s="2" t="b">
        <v>1</v>
      </c>
      <c r="F851" s="2" t="b">
        <v>0</v>
      </c>
      <c r="G851" s="2" t="s">
        <v>9937</v>
      </c>
      <c r="H851" s="3" t="str">
        <f>_xlfn.IFNA(INDEX(RulebookFields!C2:C999, MATCH(D851,RulebookFields!A2:A999, 0)), "")</f>
        <v>KnowledgeFragments</v>
      </c>
      <c r="I851" s="3" t="str">
        <f>_xlfn.IFNA(INDEX(RulebookFields!D2:D999, MATCH(D851,RulebookFields!A2:A999, 0)), "")</f>
        <v>ReviewRecencyIsInferred</v>
      </c>
      <c r="J851" s="3" t="b">
        <f>_xlfn.IFNA(INDEX(RulebookFields!I2:I999, MATCH(D851,RulebookFields!A2:A999, 0)), "")</f>
        <v>1</v>
      </c>
      <c r="K851" s="3" t="b">
        <f>AND(F851, J851)</f>
        <v>0</v>
      </c>
      <c r="L851" s="3" t="b">
        <f>AND(G851 &lt;&gt; "plain", G851 &lt;&gt; "")</f>
        <v>0</v>
      </c>
      <c r="M851" s="3" t="str">
        <f>IF(E851, C851 &amp; "|" &amp; H851, "")</f>
        <v>principal-process-steward|KnowledgeFragments</v>
      </c>
      <c r="N851" s="2" t="s">
        <v>9938</v>
      </c>
    </row>
    <row r="852">
      <c r="A852" s="2" t="s">
        <v>10788</v>
      </c>
      <c r="B852" s="3" t="str">
        <f>C852 &amp; " -&gt; " &amp; D852</f>
        <v>principal-process-steward -&gt; KnowledgeFragments.InferenceDisagreesWithRecord</v>
      </c>
      <c r="C852" s="2" t="s">
        <v>9706</v>
      </c>
      <c r="D852" s="2" t="s">
        <v>3278</v>
      </c>
      <c r="E852" s="2" t="b">
        <v>1</v>
      </c>
      <c r="F852" s="2" t="b">
        <v>0</v>
      </c>
      <c r="G852" s="2" t="s">
        <v>9937</v>
      </c>
      <c r="H852" s="3" t="str">
        <f>_xlfn.IFNA(INDEX(RulebookFields!C2:C999, MATCH(D852,RulebookFields!A2:A999, 0)), "")</f>
        <v>KnowledgeFragments</v>
      </c>
      <c r="I852" s="3" t="str">
        <f>_xlfn.IFNA(INDEX(RulebookFields!D2:D999, MATCH(D852,RulebookFields!A2:A999, 0)), "")</f>
        <v>InferenceDisagreesWithRecord</v>
      </c>
      <c r="J852" s="3" t="b">
        <f>_xlfn.IFNA(INDEX(RulebookFields!I2:I999, MATCH(D852,RulebookFields!A2:A999, 0)), "")</f>
        <v>1</v>
      </c>
      <c r="K852" s="3" t="b">
        <f>AND(F852, J852)</f>
        <v>0</v>
      </c>
      <c r="L852" s="3" t="b">
        <f>AND(G852 &lt;&gt; "plain", G852 &lt;&gt; "")</f>
        <v>0</v>
      </c>
      <c r="M852" s="3" t="str">
        <f>IF(E852, C852 &amp; "|" &amp; H852, "")</f>
        <v>principal-process-steward|KnowledgeFragments</v>
      </c>
      <c r="N852" s="2" t="s">
        <v>9938</v>
      </c>
    </row>
    <row r="853">
      <c r="A853" s="2" t="s">
        <v>10789</v>
      </c>
      <c r="B853" s="3" t="str">
        <f>C853 &amp; " -&gt; " &amp; D853</f>
        <v>principal-process-steward -&gt; KnowledgeFragments.GenuinelyOverdueVersionKey</v>
      </c>
      <c r="C853" s="2" t="s">
        <v>9706</v>
      </c>
      <c r="D853" s="2" t="s">
        <v>3280</v>
      </c>
      <c r="E853" s="2" t="b">
        <v>1</v>
      </c>
      <c r="F853" s="2" t="b">
        <v>0</v>
      </c>
      <c r="G853" s="2" t="s">
        <v>9937</v>
      </c>
      <c r="H853" s="3" t="str">
        <f>_xlfn.IFNA(INDEX(RulebookFields!C2:C999, MATCH(D853,RulebookFields!A2:A999, 0)), "")</f>
        <v>KnowledgeFragments</v>
      </c>
      <c r="I853" s="3" t="str">
        <f>_xlfn.IFNA(INDEX(RulebookFields!D2:D999, MATCH(D853,RulebookFields!A2:A999, 0)), "")</f>
        <v>GenuinelyOverdueVersionKey</v>
      </c>
      <c r="J853" s="3" t="b">
        <f>_xlfn.IFNA(INDEX(RulebookFields!I2:I999, MATCH(D853,RulebookFields!A2:A999, 0)), "")</f>
        <v>1</v>
      </c>
      <c r="K853" s="3" t="b">
        <f>AND(F853, J853)</f>
        <v>0</v>
      </c>
      <c r="L853" s="3" t="b">
        <f>AND(G853 &lt;&gt; "plain", G853 &lt;&gt; "")</f>
        <v>0</v>
      </c>
      <c r="M853" s="3" t="str">
        <f>IF(E853, C853 &amp; "|" &amp; H853, "")</f>
        <v>principal-process-steward|KnowledgeFragments</v>
      </c>
      <c r="N853" s="2" t="s">
        <v>9938</v>
      </c>
    </row>
    <row r="854">
      <c r="A854" s="2" t="s">
        <v>10790</v>
      </c>
      <c r="B854" s="3" t="str">
        <f>C854 &amp; " -&gt; " &amp; D854</f>
        <v>principal-process-steward -&gt; KnowledgeFragments.RatifiedBoundaryCount</v>
      </c>
      <c r="C854" s="2" t="s">
        <v>9706</v>
      </c>
      <c r="D854" s="2" t="s">
        <v>3282</v>
      </c>
      <c r="E854" s="2" t="b">
        <v>1</v>
      </c>
      <c r="F854" s="2" t="b">
        <v>0</v>
      </c>
      <c r="G854" s="2" t="s">
        <v>9937</v>
      </c>
      <c r="H854" s="3" t="str">
        <f>_xlfn.IFNA(INDEX(RulebookFields!C2:C999, MATCH(D854,RulebookFields!A2:A999, 0)), "")</f>
        <v>KnowledgeFragments</v>
      </c>
      <c r="I854" s="3" t="str">
        <f>_xlfn.IFNA(INDEX(RulebookFields!D2:D999, MATCH(D854,RulebookFields!A2:A999, 0)), "")</f>
        <v>RatifiedBoundaryCount</v>
      </c>
      <c r="J854" s="3" t="b">
        <f>_xlfn.IFNA(INDEX(RulebookFields!I2:I999, MATCH(D854,RulebookFields!A2:A999, 0)), "")</f>
        <v>1</v>
      </c>
      <c r="K854" s="3" t="b">
        <f>AND(F854, J854)</f>
        <v>0</v>
      </c>
      <c r="L854" s="3" t="b">
        <f>AND(G854 &lt;&gt; "plain", G854 &lt;&gt; "")</f>
        <v>0</v>
      </c>
      <c r="M854" s="3" t="str">
        <f>IF(E854, C854 &amp; "|" &amp; H854, "")</f>
        <v>principal-process-steward|KnowledgeFragments</v>
      </c>
      <c r="N854" s="2" t="s">
        <v>9938</v>
      </c>
    </row>
    <row r="855">
      <c r="A855" s="2" t="s">
        <v>10791</v>
      </c>
      <c r="B855" s="3" t="str">
        <f>C855 &amp; " -&gt; " &amp; D855</f>
        <v>principal-process-steward -&gt; KnowledgeFragments.RelianceSurfaceCount</v>
      </c>
      <c r="C855" s="2" t="s">
        <v>9706</v>
      </c>
      <c r="D855" s="2" t="s">
        <v>3284</v>
      </c>
      <c r="E855" s="2" t="b">
        <v>1</v>
      </c>
      <c r="F855" s="2" t="b">
        <v>0</v>
      </c>
      <c r="G855" s="2" t="s">
        <v>9937</v>
      </c>
      <c r="H855" s="3" t="str">
        <f>_xlfn.IFNA(INDEX(RulebookFields!C2:C999, MATCH(D855,RulebookFields!A2:A999, 0)), "")</f>
        <v>KnowledgeFragments</v>
      </c>
      <c r="I855" s="3" t="str">
        <f>_xlfn.IFNA(INDEX(RulebookFields!D2:D999, MATCH(D855,RulebookFields!A2:A999, 0)), "")</f>
        <v>RelianceSurfaceCount</v>
      </c>
      <c r="J855" s="3" t="b">
        <f>_xlfn.IFNA(INDEX(RulebookFields!I2:I999, MATCH(D855,RulebookFields!A2:A999, 0)), "")</f>
        <v>1</v>
      </c>
      <c r="K855" s="3" t="b">
        <f>AND(F855, J855)</f>
        <v>0</v>
      </c>
      <c r="L855" s="3" t="b">
        <f>AND(G855 &lt;&gt; "plain", G855 &lt;&gt; "")</f>
        <v>0</v>
      </c>
      <c r="M855" s="3" t="str">
        <f>IF(E855, C855 &amp; "|" &amp; H855, "")</f>
        <v>principal-process-steward|KnowledgeFragments</v>
      </c>
      <c r="N855" s="2" t="s">
        <v>9938</v>
      </c>
    </row>
    <row r="856">
      <c r="A856" s="2" t="s">
        <v>10792</v>
      </c>
      <c r="B856" s="3" t="str">
        <f>C856 &amp; " -&gt; " &amp; D856</f>
        <v>principal-process-steward -&gt; KnowledgeFragments.DaysAwaitingMyApproval</v>
      </c>
      <c r="C856" s="2" t="s">
        <v>9706</v>
      </c>
      <c r="D856" s="2" t="s">
        <v>3286</v>
      </c>
      <c r="E856" s="2" t="b">
        <v>1</v>
      </c>
      <c r="F856" s="2" t="b">
        <v>0</v>
      </c>
      <c r="G856" s="2" t="s">
        <v>9937</v>
      </c>
      <c r="H856" s="3" t="str">
        <f>_xlfn.IFNA(INDEX(RulebookFields!C2:C999, MATCH(D856,RulebookFields!A2:A999, 0)), "")</f>
        <v>KnowledgeFragments</v>
      </c>
      <c r="I856" s="3" t="str">
        <f>_xlfn.IFNA(INDEX(RulebookFields!D2:D999, MATCH(D856,RulebookFields!A2:A999, 0)), "")</f>
        <v>DaysAwaitingMyApproval</v>
      </c>
      <c r="J856" s="3" t="b">
        <f>_xlfn.IFNA(INDEX(RulebookFields!I2:I999, MATCH(D856,RulebookFields!A2:A999, 0)), "")</f>
        <v>1</v>
      </c>
      <c r="K856" s="3" t="b">
        <f>AND(F856, J856)</f>
        <v>0</v>
      </c>
      <c r="L856" s="3" t="b">
        <f>AND(G856 &lt;&gt; "plain", G856 &lt;&gt; "")</f>
        <v>0</v>
      </c>
      <c r="M856" s="3" t="str">
        <f>IF(E856, C856 &amp; "|" &amp; H856, "")</f>
        <v>principal-process-steward|KnowledgeFragments</v>
      </c>
      <c r="N856" s="2" t="s">
        <v>9938</v>
      </c>
    </row>
    <row r="857">
      <c r="A857" s="2" t="s">
        <v>10793</v>
      </c>
      <c r="B857" s="3" t="str">
        <f>C857 &amp; " -&gt; " &amp; D857</f>
        <v>principal-process-steward -&gt; KnowledgeFragments.IsHighBlastRadiusUnapproved</v>
      </c>
      <c r="C857" s="2" t="s">
        <v>9706</v>
      </c>
      <c r="D857" s="2" t="s">
        <v>3288</v>
      </c>
      <c r="E857" s="2" t="b">
        <v>1</v>
      </c>
      <c r="F857" s="2" t="b">
        <v>0</v>
      </c>
      <c r="G857" s="2" t="s">
        <v>9937</v>
      </c>
      <c r="H857" s="3" t="str">
        <f>_xlfn.IFNA(INDEX(RulebookFields!C2:C999, MATCH(D857,RulebookFields!A2:A999, 0)), "")</f>
        <v>KnowledgeFragments</v>
      </c>
      <c r="I857" s="3" t="str">
        <f>_xlfn.IFNA(INDEX(RulebookFields!D2:D999, MATCH(D857,RulebookFields!A2:A999, 0)), "")</f>
        <v>IsHighBlastRadiusUnapproved</v>
      </c>
      <c r="J857" s="3" t="b">
        <f>_xlfn.IFNA(INDEX(RulebookFields!I2:I999, MATCH(D857,RulebookFields!A2:A999, 0)), "")</f>
        <v>1</v>
      </c>
      <c r="K857" s="3" t="b">
        <f>AND(F857, J857)</f>
        <v>0</v>
      </c>
      <c r="L857" s="3" t="b">
        <f>AND(G857 &lt;&gt; "plain", G857 &lt;&gt; "")</f>
        <v>0</v>
      </c>
      <c r="M857" s="3" t="str">
        <f>IF(E857, C857 &amp; "|" &amp; H857, "")</f>
        <v>principal-process-steward|KnowledgeFragments</v>
      </c>
      <c r="N857" s="2" t="s">
        <v>9938</v>
      </c>
    </row>
    <row r="858">
      <c r="A858" s="2" t="s">
        <v>10794</v>
      </c>
      <c r="B858" s="3" t="str">
        <f>C858 &amp; " -&gt; " &amp; D858</f>
        <v>principal-process-steward -&gt; KnowledgeFragments.IsLongUnapproved</v>
      </c>
      <c r="C858" s="2" t="s">
        <v>9706</v>
      </c>
      <c r="D858" s="2" t="s">
        <v>3290</v>
      </c>
      <c r="E858" s="2" t="b">
        <v>1</v>
      </c>
      <c r="F858" s="2" t="b">
        <v>0</v>
      </c>
      <c r="G858" s="2" t="s">
        <v>9937</v>
      </c>
      <c r="H858" s="3" t="str">
        <f>_xlfn.IFNA(INDEX(RulebookFields!C2:C999, MATCH(D858,RulebookFields!A2:A999, 0)), "")</f>
        <v>KnowledgeFragments</v>
      </c>
      <c r="I858" s="3" t="str">
        <f>_xlfn.IFNA(INDEX(RulebookFields!D2:D999, MATCH(D858,RulebookFields!A2:A999, 0)), "")</f>
        <v>IsLongUnapproved</v>
      </c>
      <c r="J858" s="3" t="b">
        <f>_xlfn.IFNA(INDEX(RulebookFields!I2:I999, MATCH(D858,RulebookFields!A2:A999, 0)), "")</f>
        <v>1</v>
      </c>
      <c r="K858" s="3" t="b">
        <f>AND(F858, J858)</f>
        <v>0</v>
      </c>
      <c r="L858" s="3" t="b">
        <f>AND(G858 &lt;&gt; "plain", G858 &lt;&gt; "")</f>
        <v>0</v>
      </c>
      <c r="M858" s="3" t="str">
        <f>IF(E858, C858 &amp; "|" &amp; H858, "")</f>
        <v>principal-process-steward|KnowledgeFragments</v>
      </c>
      <c r="N858" s="2" t="s">
        <v>9938</v>
      </c>
    </row>
    <row r="859">
      <c r="A859" s="2" t="s">
        <v>10795</v>
      </c>
      <c r="B859" s="3" t="str">
        <f>C859 &amp; " -&gt; " &amp; D859</f>
        <v>principal-process-steward -&gt; KnowledgeFragments.UnapprovedLoadBearingVersionKey</v>
      </c>
      <c r="C859" s="2" t="s">
        <v>9706</v>
      </c>
      <c r="D859" s="2" t="s">
        <v>3292</v>
      </c>
      <c r="E859" s="2" t="b">
        <v>1</v>
      </c>
      <c r="F859" s="2" t="b">
        <v>0</v>
      </c>
      <c r="G859" s="2" t="s">
        <v>9937</v>
      </c>
      <c r="H859" s="3" t="str">
        <f>_xlfn.IFNA(INDEX(RulebookFields!C2:C999, MATCH(D859,RulebookFields!A2:A999, 0)), "")</f>
        <v>KnowledgeFragments</v>
      </c>
      <c r="I859" s="3" t="str">
        <f>_xlfn.IFNA(INDEX(RulebookFields!D2:D999, MATCH(D859,RulebookFields!A2:A999, 0)), "")</f>
        <v>UnapprovedLoadBearingVersionKey</v>
      </c>
      <c r="J859" s="3" t="b">
        <f>_xlfn.IFNA(INDEX(RulebookFields!I2:I999, MATCH(D859,RulebookFields!A2:A999, 0)), "")</f>
        <v>1</v>
      </c>
      <c r="K859" s="3" t="b">
        <f>AND(F859, J859)</f>
        <v>0</v>
      </c>
      <c r="L859" s="3" t="b">
        <f>AND(G859 &lt;&gt; "plain", G859 &lt;&gt; "")</f>
        <v>0</v>
      </c>
      <c r="M859" s="3" t="str">
        <f>IF(E859, C859 &amp; "|" &amp; H859, "")</f>
        <v>principal-process-steward|KnowledgeFragments</v>
      </c>
      <c r="N859" s="2" t="s">
        <v>9938</v>
      </c>
    </row>
    <row r="860">
      <c r="A860" s="2" t="s">
        <v>10796</v>
      </c>
      <c r="B860" s="3" t="str">
        <f>C860 &amp; " -&gt; " &amp; D860</f>
        <v>principal-process-steward -&gt; KnowledgeFragments.OwnerRoleIsVacated</v>
      </c>
      <c r="C860" s="2" t="s">
        <v>9706</v>
      </c>
      <c r="D860" s="2" t="s">
        <v>3294</v>
      </c>
      <c r="E860" s="2" t="b">
        <v>1</v>
      </c>
      <c r="F860" s="2" t="b">
        <v>0</v>
      </c>
      <c r="G860" s="2" t="s">
        <v>9937</v>
      </c>
      <c r="H860" s="3" t="str">
        <f>_xlfn.IFNA(INDEX(RulebookFields!C2:C999, MATCH(D860,RulebookFields!A2:A999, 0)), "")</f>
        <v>KnowledgeFragments</v>
      </c>
      <c r="I860" s="3" t="str">
        <f>_xlfn.IFNA(INDEX(RulebookFields!D2:D999, MATCH(D860,RulebookFields!A2:A999, 0)), "")</f>
        <v>OwnerRoleIsVacated</v>
      </c>
      <c r="J860" s="3" t="b">
        <f>_xlfn.IFNA(INDEX(RulebookFields!I2:I999, MATCH(D860,RulebookFields!A2:A999, 0)), "")</f>
        <v>1</v>
      </c>
      <c r="K860" s="3" t="b">
        <f>AND(F860, J860)</f>
        <v>0</v>
      </c>
      <c r="L860" s="3" t="b">
        <f>AND(G860 &lt;&gt; "plain", G860 &lt;&gt; "")</f>
        <v>0</v>
      </c>
      <c r="M860" s="3" t="str">
        <f>IF(E860, C860 &amp; "|" &amp; H860, "")</f>
        <v>principal-process-steward|KnowledgeFragments</v>
      </c>
      <c r="N860" s="2" t="s">
        <v>9938</v>
      </c>
    </row>
    <row r="861">
      <c r="A861" s="2" t="s">
        <v>10797</v>
      </c>
      <c r="B861" s="3" t="str">
        <f>C861 &amp; " -&gt; " &amp; D861</f>
        <v>principal-process-steward -&gt; KnowledgeFragments.IsOrphanedByRole</v>
      </c>
      <c r="C861" s="2" t="s">
        <v>9706</v>
      </c>
      <c r="D861" s="2" t="s">
        <v>3296</v>
      </c>
      <c r="E861" s="2" t="b">
        <v>1</v>
      </c>
      <c r="F861" s="2" t="b">
        <v>0</v>
      </c>
      <c r="G861" s="2" t="s">
        <v>9937</v>
      </c>
      <c r="H861" s="3" t="str">
        <f>_xlfn.IFNA(INDEX(RulebookFields!C2:C999, MATCH(D861,RulebookFields!A2:A999, 0)), "")</f>
        <v>KnowledgeFragments</v>
      </c>
      <c r="I861" s="3" t="str">
        <f>_xlfn.IFNA(INDEX(RulebookFields!D2:D999, MATCH(D861,RulebookFields!A2:A999, 0)), "")</f>
        <v>IsOrphanedByRole</v>
      </c>
      <c r="J861" s="3" t="b">
        <f>_xlfn.IFNA(INDEX(RulebookFields!I2:I999, MATCH(D861,RulebookFields!A2:A999, 0)), "")</f>
        <v>1</v>
      </c>
      <c r="K861" s="3" t="b">
        <f>AND(F861, J861)</f>
        <v>0</v>
      </c>
      <c r="L861" s="3" t="b">
        <f>AND(G861 &lt;&gt; "plain", G861 &lt;&gt; "")</f>
        <v>0</v>
      </c>
      <c r="M861" s="3" t="str">
        <f>IF(E861, C861 &amp; "|" &amp; H861, "")</f>
        <v>principal-process-steward|KnowledgeFragments</v>
      </c>
      <c r="N861" s="2" t="s">
        <v>9938</v>
      </c>
    </row>
    <row r="862">
      <c r="A862" s="2" t="s">
        <v>10798</v>
      </c>
      <c r="B862" s="3" t="str">
        <f>C862 &amp; " -&gt; " &amp; D862</f>
        <v>principal-process-steward -&gt; KnowledgeFragments.ValidFragmentVersionKey</v>
      </c>
      <c r="C862" s="2" t="s">
        <v>9706</v>
      </c>
      <c r="D862" s="2" t="s">
        <v>3298</v>
      </c>
      <c r="E862" s="2" t="b">
        <v>1</v>
      </c>
      <c r="F862" s="2" t="b">
        <v>0</v>
      </c>
      <c r="G862" s="2" t="s">
        <v>9937</v>
      </c>
      <c r="H862" s="3" t="str">
        <f>_xlfn.IFNA(INDEX(RulebookFields!C2:C999, MATCH(D862,RulebookFields!A2:A999, 0)), "")</f>
        <v>KnowledgeFragments</v>
      </c>
      <c r="I862" s="3" t="str">
        <f>_xlfn.IFNA(INDEX(RulebookFields!D2:D999, MATCH(D862,RulebookFields!A2:A999, 0)), "")</f>
        <v>ValidFragmentVersionKey</v>
      </c>
      <c r="J862" s="3" t="b">
        <f>_xlfn.IFNA(INDEX(RulebookFields!I2:I999, MATCH(D862,RulebookFields!A2:A999, 0)), "")</f>
        <v>1</v>
      </c>
      <c r="K862" s="3" t="b">
        <f>AND(F862, J862)</f>
        <v>0</v>
      </c>
      <c r="L862" s="3" t="b">
        <f>AND(G862 &lt;&gt; "plain", G862 &lt;&gt; "")</f>
        <v>0</v>
      </c>
      <c r="M862" s="3" t="str">
        <f>IF(E862, C862 &amp; "|" &amp; H862, "")</f>
        <v>principal-process-steward|KnowledgeFragments</v>
      </c>
      <c r="N862" s="2" t="s">
        <v>9938</v>
      </c>
    </row>
    <row r="863">
      <c r="A863" s="2" t="s">
        <v>10799</v>
      </c>
      <c r="B863" s="3" t="str">
        <f>C863 &amp; " -&gt; " &amp; D863</f>
        <v>principal-process-steward -&gt; KnowledgeFragments.SemanticTypeIri</v>
      </c>
      <c r="C863" s="2" t="s">
        <v>9706</v>
      </c>
      <c r="D863" s="2" t="s">
        <v>3300</v>
      </c>
      <c r="E863" s="2" t="b">
        <v>1</v>
      </c>
      <c r="F863" s="2" t="b">
        <v>0</v>
      </c>
      <c r="G863" s="2" t="s">
        <v>9937</v>
      </c>
      <c r="H863" s="3" t="str">
        <f>_xlfn.IFNA(INDEX(RulebookFields!C2:C999, MATCH(D863,RulebookFields!A2:A999, 0)), "")</f>
        <v>KnowledgeFragments</v>
      </c>
      <c r="I863" s="3" t="str">
        <f>_xlfn.IFNA(INDEX(RulebookFields!D2:D999, MATCH(D863,RulebookFields!A2:A999, 0)), "")</f>
        <v>SemanticTypeIri</v>
      </c>
      <c r="J863" s="3" t="b">
        <f>_xlfn.IFNA(INDEX(RulebookFields!I2:I999, MATCH(D863,RulebookFields!A2:A999, 0)), "")</f>
        <v>0</v>
      </c>
      <c r="K863" s="3" t="b">
        <f>AND(F863, J863)</f>
        <v>0</v>
      </c>
      <c r="L863" s="3" t="b">
        <f>AND(G863 &lt;&gt; "plain", G863 &lt;&gt; "")</f>
        <v>0</v>
      </c>
      <c r="M863" s="3" t="str">
        <f>IF(E863, C863 &amp; "|" &amp; H863, "")</f>
        <v>principal-process-steward|KnowledgeFragments</v>
      </c>
      <c r="N863" s="2" t="s">
        <v>9938</v>
      </c>
    </row>
    <row r="864">
      <c r="A864" s="2" t="s">
        <v>10800</v>
      </c>
      <c r="B864" s="3" t="str">
        <f>C864 &amp; " -&gt; " &amp; D864</f>
        <v>principal-process-steward -&gt; KnowledgeGaps.KnowledgeGapId</v>
      </c>
      <c r="C864" s="2" t="s">
        <v>9706</v>
      </c>
      <c r="D864" s="2" t="s">
        <v>3301</v>
      </c>
      <c r="E864" s="2" t="b">
        <v>1</v>
      </c>
      <c r="F864" s="2" t="b">
        <v>0</v>
      </c>
      <c r="G864" s="2" t="s">
        <v>9937</v>
      </c>
      <c r="H864" s="3" t="str">
        <f>_xlfn.IFNA(INDEX(RulebookFields!C2:C999, MATCH(D864,RulebookFields!A2:A999, 0)), "")</f>
        <v>KnowledgeGaps</v>
      </c>
      <c r="I864" s="3" t="str">
        <f>_xlfn.IFNA(INDEX(RulebookFields!D2:D999, MATCH(D864,RulebookFields!A2:A999, 0)), "")</f>
        <v>KnowledgeGapId</v>
      </c>
      <c r="J864" s="3" t="b">
        <f>_xlfn.IFNA(INDEX(RulebookFields!I2:I999, MATCH(D864,RulebookFields!A2:A999, 0)), "")</f>
        <v>0</v>
      </c>
      <c r="K864" s="3" t="b">
        <f>AND(F864, J864)</f>
        <v>0</v>
      </c>
      <c r="L864" s="3" t="b">
        <f>AND(G864 &lt;&gt; "plain", G864 &lt;&gt; "")</f>
        <v>0</v>
      </c>
      <c r="M864" s="3" t="str">
        <f>IF(E864, C864 &amp; "|" &amp; H864, "")</f>
        <v>principal-process-steward|KnowledgeGaps</v>
      </c>
      <c r="N864" s="2" t="s">
        <v>9938</v>
      </c>
    </row>
    <row r="865">
      <c r="A865" s="2" t="s">
        <v>10801</v>
      </c>
      <c r="B865" s="3" t="str">
        <f>C865 &amp; " -&gt; " &amp; D865</f>
        <v>principal-process-steward -&gt; KnowledgeGaps.Name</v>
      </c>
      <c r="C865" s="2" t="s">
        <v>9706</v>
      </c>
      <c r="D865" s="2" t="s">
        <v>3303</v>
      </c>
      <c r="E865" s="2" t="b">
        <v>1</v>
      </c>
      <c r="F865" s="2" t="b">
        <v>0</v>
      </c>
      <c r="G865" s="2" t="s">
        <v>9937</v>
      </c>
      <c r="H865" s="3" t="str">
        <f>_xlfn.IFNA(INDEX(RulebookFields!C2:C999, MATCH(D865,RulebookFields!A2:A999, 0)), "")</f>
        <v>KnowledgeGaps</v>
      </c>
      <c r="I865" s="3" t="str">
        <f>_xlfn.IFNA(INDEX(RulebookFields!D2:D999, MATCH(D865,RulebookFields!A2:A999, 0)), "")</f>
        <v>Name</v>
      </c>
      <c r="J865" s="3" t="b">
        <f>_xlfn.IFNA(INDEX(RulebookFields!I2:I999, MATCH(D865,RulebookFields!A2:A999, 0)), "")</f>
        <v>1</v>
      </c>
      <c r="K865" s="3" t="b">
        <f>AND(F865, J865)</f>
        <v>0</v>
      </c>
      <c r="L865" s="3" t="b">
        <f>AND(G865 &lt;&gt; "plain", G865 &lt;&gt; "")</f>
        <v>0</v>
      </c>
      <c r="M865" s="3" t="str">
        <f>IF(E865, C865 &amp; "|" &amp; H865, "")</f>
        <v>principal-process-steward|KnowledgeGaps</v>
      </c>
      <c r="N865" s="2" t="s">
        <v>9938</v>
      </c>
    </row>
    <row r="866">
      <c r="A866" s="2" t="s">
        <v>10802</v>
      </c>
      <c r="B866" s="3" t="str">
        <f>C866 &amp; " -&gt; " &amp; D866</f>
        <v>principal-process-steward -&gt; KnowledgeGaps.ProcedureVersion</v>
      </c>
      <c r="C866" s="2" t="s">
        <v>9706</v>
      </c>
      <c r="D866" s="2" t="s">
        <v>3305</v>
      </c>
      <c r="E866" s="2" t="b">
        <v>1</v>
      </c>
      <c r="F866" s="2" t="b">
        <v>0</v>
      </c>
      <c r="G866" s="2" t="s">
        <v>9937</v>
      </c>
      <c r="H866" s="3" t="str">
        <f>_xlfn.IFNA(INDEX(RulebookFields!C2:C999, MATCH(D866,RulebookFields!A2:A999, 0)), "")</f>
        <v>KnowledgeGaps</v>
      </c>
      <c r="I866" s="3" t="str">
        <f>_xlfn.IFNA(INDEX(RulebookFields!D2:D999, MATCH(D866,RulebookFields!A2:A999, 0)), "")</f>
        <v>ProcedureVersion</v>
      </c>
      <c r="J866" s="3" t="b">
        <f>_xlfn.IFNA(INDEX(RulebookFields!I2:I999, MATCH(D866,RulebookFields!A2:A999, 0)), "")</f>
        <v>0</v>
      </c>
      <c r="K866" s="3" t="b">
        <f>AND(F866, J866)</f>
        <v>0</v>
      </c>
      <c r="L866" s="3" t="b">
        <f>AND(G866 &lt;&gt; "plain", G866 &lt;&gt; "")</f>
        <v>0</v>
      </c>
      <c r="M866" s="3" t="str">
        <f>IF(E866, C866 &amp; "|" &amp; H866, "")</f>
        <v>principal-process-steward|KnowledgeGaps</v>
      </c>
      <c r="N866" s="2" t="s">
        <v>9938</v>
      </c>
    </row>
    <row r="867">
      <c r="A867" s="2" t="s">
        <v>10803</v>
      </c>
      <c r="B867" s="3" t="str">
        <f>C867 &amp; " -&gt; " &amp; D867</f>
        <v>principal-process-steward -&gt; KnowledgeGaps.Step</v>
      </c>
      <c r="C867" s="2" t="s">
        <v>9706</v>
      </c>
      <c r="D867" s="2" t="s">
        <v>3306</v>
      </c>
      <c r="E867" s="2" t="b">
        <v>1</v>
      </c>
      <c r="F867" s="2" t="b">
        <v>0</v>
      </c>
      <c r="G867" s="2" t="s">
        <v>9937</v>
      </c>
      <c r="H867" s="3" t="str">
        <f>_xlfn.IFNA(INDEX(RulebookFields!C2:C999, MATCH(D867,RulebookFields!A2:A999, 0)), "")</f>
        <v>KnowledgeGaps</v>
      </c>
      <c r="I867" s="3" t="str">
        <f>_xlfn.IFNA(INDEX(RulebookFields!D2:D999, MATCH(D867,RulebookFields!A2:A999, 0)), "")</f>
        <v>Step</v>
      </c>
      <c r="J867" s="3" t="b">
        <f>_xlfn.IFNA(INDEX(RulebookFields!I2:I999, MATCH(D867,RulebookFields!A2:A999, 0)), "")</f>
        <v>0</v>
      </c>
      <c r="K867" s="3" t="b">
        <f>AND(F867, J867)</f>
        <v>0</v>
      </c>
      <c r="L867" s="3" t="b">
        <f>AND(G867 &lt;&gt; "plain", G867 &lt;&gt; "")</f>
        <v>0</v>
      </c>
      <c r="M867" s="3" t="str">
        <f>IF(E867, C867 &amp; "|" &amp; H867, "")</f>
        <v>principal-process-steward|KnowledgeGaps</v>
      </c>
      <c r="N867" s="2" t="s">
        <v>9938</v>
      </c>
    </row>
    <row r="868">
      <c r="A868" s="2" t="s">
        <v>10804</v>
      </c>
      <c r="B868" s="3" t="str">
        <f>C868 &amp; " -&gt; " &amp; D868</f>
        <v>principal-process-steward -&gt; KnowledgeGaps.Statement</v>
      </c>
      <c r="C868" s="2" t="s">
        <v>9706</v>
      </c>
      <c r="D868" s="2" t="s">
        <v>3307</v>
      </c>
      <c r="E868" s="2" t="b">
        <v>1</v>
      </c>
      <c r="F868" s="2" t="b">
        <v>0</v>
      </c>
      <c r="G868" s="2" t="s">
        <v>9937</v>
      </c>
      <c r="H868" s="3" t="str">
        <f>_xlfn.IFNA(INDEX(RulebookFields!C2:C999, MATCH(D868,RulebookFields!A2:A999, 0)), "")</f>
        <v>KnowledgeGaps</v>
      </c>
      <c r="I868" s="3" t="str">
        <f>_xlfn.IFNA(INDEX(RulebookFields!D2:D999, MATCH(D868,RulebookFields!A2:A999, 0)), "")</f>
        <v>Statement</v>
      </c>
      <c r="J868" s="3" t="b">
        <f>_xlfn.IFNA(INDEX(RulebookFields!I2:I999, MATCH(D868,RulebookFields!A2:A999, 0)), "")</f>
        <v>0</v>
      </c>
      <c r="K868" s="3" t="b">
        <f>AND(F868, J868)</f>
        <v>0</v>
      </c>
      <c r="L868" s="3" t="b">
        <f>AND(G868 &lt;&gt; "plain", G868 &lt;&gt; "")</f>
        <v>0</v>
      </c>
      <c r="M868" s="3" t="str">
        <f>IF(E868, C868 &amp; "|" &amp; H868, "")</f>
        <v>principal-process-steward|KnowledgeGaps</v>
      </c>
      <c r="N868" s="2" t="s">
        <v>9938</v>
      </c>
    </row>
    <row r="869">
      <c r="A869" s="2" t="s">
        <v>10805</v>
      </c>
      <c r="B869" s="3" t="str">
        <f>C869 &amp; " -&gt; " &amp; D869</f>
        <v>principal-process-steward -&gt; KnowledgeGaps.Severity</v>
      </c>
      <c r="C869" s="2" t="s">
        <v>9706</v>
      </c>
      <c r="D869" s="2" t="s">
        <v>3308</v>
      </c>
      <c r="E869" s="2" t="b">
        <v>1</v>
      </c>
      <c r="F869" s="2" t="b">
        <v>0</v>
      </c>
      <c r="G869" s="2" t="s">
        <v>9937</v>
      </c>
      <c r="H869" s="3" t="str">
        <f>_xlfn.IFNA(INDEX(RulebookFields!C2:C999, MATCH(D869,RulebookFields!A2:A999, 0)), "")</f>
        <v>KnowledgeGaps</v>
      </c>
      <c r="I869" s="3" t="str">
        <f>_xlfn.IFNA(INDEX(RulebookFields!D2:D999, MATCH(D869,RulebookFields!A2:A999, 0)), "")</f>
        <v>Severity</v>
      </c>
      <c r="J869" s="3" t="b">
        <f>_xlfn.IFNA(INDEX(RulebookFields!I2:I999, MATCH(D869,RulebookFields!A2:A999, 0)), "")</f>
        <v>0</v>
      </c>
      <c r="K869" s="3" t="b">
        <f>AND(F869, J869)</f>
        <v>0</v>
      </c>
      <c r="L869" s="3" t="b">
        <f>AND(G869 &lt;&gt; "plain", G869 &lt;&gt; "")</f>
        <v>0</v>
      </c>
      <c r="M869" s="3" t="str">
        <f>IF(E869, C869 &amp; "|" &amp; H869, "")</f>
        <v>principal-process-steward|KnowledgeGaps</v>
      </c>
      <c r="N869" s="2" t="s">
        <v>9938</v>
      </c>
    </row>
    <row r="870">
      <c r="A870" s="2" t="s">
        <v>10806</v>
      </c>
      <c r="B870" s="3" t="str">
        <f>C870 &amp; " -&gt; " &amp; D870</f>
        <v>principal-process-steward -&gt; KnowledgeGaps.BlockingKind</v>
      </c>
      <c r="C870" s="2" t="s">
        <v>9706</v>
      </c>
      <c r="D870" s="2" t="s">
        <v>3309</v>
      </c>
      <c r="E870" s="2" t="b">
        <v>1</v>
      </c>
      <c r="F870" s="2" t="b">
        <v>0</v>
      </c>
      <c r="G870" s="2" t="s">
        <v>9937</v>
      </c>
      <c r="H870" s="3" t="str">
        <f>_xlfn.IFNA(INDEX(RulebookFields!C2:C999, MATCH(D870,RulebookFields!A2:A999, 0)), "")</f>
        <v>KnowledgeGaps</v>
      </c>
      <c r="I870" s="3" t="str">
        <f>_xlfn.IFNA(INDEX(RulebookFields!D2:D999, MATCH(D870,RulebookFields!A2:A999, 0)), "")</f>
        <v>BlockingKind</v>
      </c>
      <c r="J870" s="3" t="b">
        <f>_xlfn.IFNA(INDEX(RulebookFields!I2:I999, MATCH(D870,RulebookFields!A2:A999, 0)), "")</f>
        <v>0</v>
      </c>
      <c r="K870" s="3" t="b">
        <f>AND(F870, J870)</f>
        <v>0</v>
      </c>
      <c r="L870" s="3" t="b">
        <f>AND(G870 &lt;&gt; "plain", G870 &lt;&gt; "")</f>
        <v>0</v>
      </c>
      <c r="M870" s="3" t="str">
        <f>IF(E870, C870 &amp; "|" &amp; H870, "")</f>
        <v>principal-process-steward|KnowledgeGaps</v>
      </c>
      <c r="N870" s="2" t="s">
        <v>9938</v>
      </c>
    </row>
    <row r="871">
      <c r="A871" s="2" t="s">
        <v>10807</v>
      </c>
      <c r="B871" s="3" t="str">
        <f>C871 &amp; " -&gt; " &amp; D871</f>
        <v>principal-process-steward -&gt; KnowledgeGaps.Status</v>
      </c>
      <c r="C871" s="2" t="s">
        <v>9706</v>
      </c>
      <c r="D871" s="2" t="s">
        <v>3310</v>
      </c>
      <c r="E871" s="2" t="b">
        <v>1</v>
      </c>
      <c r="F871" s="2" t="b">
        <v>0</v>
      </c>
      <c r="G871" s="2" t="s">
        <v>9937</v>
      </c>
      <c r="H871" s="3" t="str">
        <f>_xlfn.IFNA(INDEX(RulebookFields!C2:C999, MATCH(D871,RulebookFields!A2:A999, 0)), "")</f>
        <v>KnowledgeGaps</v>
      </c>
      <c r="I871" s="3" t="str">
        <f>_xlfn.IFNA(INDEX(RulebookFields!D2:D999, MATCH(D871,RulebookFields!A2:A999, 0)), "")</f>
        <v>Status</v>
      </c>
      <c r="J871" s="3" t="b">
        <f>_xlfn.IFNA(INDEX(RulebookFields!I2:I999, MATCH(D871,RulebookFields!A2:A999, 0)), "")</f>
        <v>0</v>
      </c>
      <c r="K871" s="3" t="b">
        <f>AND(F871, J871)</f>
        <v>0</v>
      </c>
      <c r="L871" s="3" t="b">
        <f>AND(G871 &lt;&gt; "plain", G871 &lt;&gt; "")</f>
        <v>0</v>
      </c>
      <c r="M871" s="3" t="str">
        <f>IF(E871, C871 &amp; "|" &amp; H871, "")</f>
        <v>principal-process-steward|KnowledgeGaps</v>
      </c>
      <c r="N871" s="2" t="s">
        <v>9938</v>
      </c>
    </row>
    <row r="872">
      <c r="A872" s="2" t="s">
        <v>10808</v>
      </c>
      <c r="B872" s="3" t="str">
        <f>C872 &amp; " -&gt; " &amp; D872</f>
        <v>principal-process-steward -&gt; KnowledgeGaps.OwnerRole</v>
      </c>
      <c r="C872" s="2" t="s">
        <v>9706</v>
      </c>
      <c r="D872" s="2" t="s">
        <v>3311</v>
      </c>
      <c r="E872" s="2" t="b">
        <v>1</v>
      </c>
      <c r="F872" s="2" t="b">
        <v>0</v>
      </c>
      <c r="G872" s="2" t="s">
        <v>9937</v>
      </c>
      <c r="H872" s="3" t="str">
        <f>_xlfn.IFNA(INDEX(RulebookFields!C2:C999, MATCH(D872,RulebookFields!A2:A999, 0)), "")</f>
        <v>KnowledgeGaps</v>
      </c>
      <c r="I872" s="3" t="str">
        <f>_xlfn.IFNA(INDEX(RulebookFields!D2:D999, MATCH(D872,RulebookFields!A2:A999, 0)), "")</f>
        <v>OwnerRole</v>
      </c>
      <c r="J872" s="3" t="b">
        <f>_xlfn.IFNA(INDEX(RulebookFields!I2:I999, MATCH(D872,RulebookFields!A2:A999, 0)), "")</f>
        <v>0</v>
      </c>
      <c r="K872" s="3" t="b">
        <f>AND(F872, J872)</f>
        <v>0</v>
      </c>
      <c r="L872" s="3" t="b">
        <f>AND(G872 &lt;&gt; "plain", G872 &lt;&gt; "")</f>
        <v>0</v>
      </c>
      <c r="M872" s="3" t="str">
        <f>IF(E872, C872 &amp; "|" &amp; H872, "")</f>
        <v>principal-process-steward|KnowledgeGaps</v>
      </c>
      <c r="N872" s="2" t="s">
        <v>9938</v>
      </c>
    </row>
    <row r="873">
      <c r="A873" s="2" t="s">
        <v>10809</v>
      </c>
      <c r="B873" s="3" t="str">
        <f>C873 &amp; " -&gt; " &amp; D873</f>
        <v>principal-process-steward -&gt; KnowledgeGaps.IdentifiedAt</v>
      </c>
      <c r="C873" s="2" t="s">
        <v>9706</v>
      </c>
      <c r="D873" s="2" t="s">
        <v>3312</v>
      </c>
      <c r="E873" s="2" t="b">
        <v>1</v>
      </c>
      <c r="F873" s="2" t="b">
        <v>0</v>
      </c>
      <c r="G873" s="2" t="s">
        <v>9937</v>
      </c>
      <c r="H873" s="3" t="str">
        <f>_xlfn.IFNA(INDEX(RulebookFields!C2:C999, MATCH(D873,RulebookFields!A2:A999, 0)), "")</f>
        <v>KnowledgeGaps</v>
      </c>
      <c r="I873" s="3" t="str">
        <f>_xlfn.IFNA(INDEX(RulebookFields!D2:D999, MATCH(D873,RulebookFields!A2:A999, 0)), "")</f>
        <v>IdentifiedAt</v>
      </c>
      <c r="J873" s="3" t="b">
        <f>_xlfn.IFNA(INDEX(RulebookFields!I2:I999, MATCH(D873,RulebookFields!A2:A999, 0)), "")</f>
        <v>0</v>
      </c>
      <c r="K873" s="3" t="b">
        <f>AND(F873, J873)</f>
        <v>0</v>
      </c>
      <c r="L873" s="3" t="b">
        <f>AND(G873 &lt;&gt; "plain", G873 &lt;&gt; "")</f>
        <v>0</v>
      </c>
      <c r="M873" s="3" t="str">
        <f>IF(E873, C873 &amp; "|" &amp; H873, "")</f>
        <v>principal-process-steward|KnowledgeGaps</v>
      </c>
      <c r="N873" s="2" t="s">
        <v>9938</v>
      </c>
    </row>
    <row r="874">
      <c r="A874" s="2" t="s">
        <v>10810</v>
      </c>
      <c r="B874" s="3" t="str">
        <f>C874 &amp; " -&gt; " &amp; D874</f>
        <v>principal-process-steward -&gt; KnowledgeGaps.ResolutionPlan</v>
      </c>
      <c r="C874" s="2" t="s">
        <v>9706</v>
      </c>
      <c r="D874" s="2" t="s">
        <v>3313</v>
      </c>
      <c r="E874" s="2" t="b">
        <v>1</v>
      </c>
      <c r="F874" s="2" t="b">
        <v>0</v>
      </c>
      <c r="G874" s="2" t="s">
        <v>9937</v>
      </c>
      <c r="H874" s="3" t="str">
        <f>_xlfn.IFNA(INDEX(RulebookFields!C2:C999, MATCH(D874,RulebookFields!A2:A999, 0)), "")</f>
        <v>KnowledgeGaps</v>
      </c>
      <c r="I874" s="3" t="str">
        <f>_xlfn.IFNA(INDEX(RulebookFields!D2:D999, MATCH(D874,RulebookFields!A2:A999, 0)), "")</f>
        <v>ResolutionPlan</v>
      </c>
      <c r="J874" s="3" t="b">
        <f>_xlfn.IFNA(INDEX(RulebookFields!I2:I999, MATCH(D874,RulebookFields!A2:A999, 0)), "")</f>
        <v>0</v>
      </c>
      <c r="K874" s="3" t="b">
        <f>AND(F874, J874)</f>
        <v>0</v>
      </c>
      <c r="L874" s="3" t="b">
        <f>AND(G874 &lt;&gt; "plain", G874 &lt;&gt; "")</f>
        <v>0</v>
      </c>
      <c r="M874" s="3" t="str">
        <f>IF(E874, C874 &amp; "|" &amp; H874, "")</f>
        <v>principal-process-steward|KnowledgeGaps</v>
      </c>
      <c r="N874" s="2" t="s">
        <v>9938</v>
      </c>
    </row>
    <row r="875">
      <c r="A875" s="2" t="s">
        <v>10811</v>
      </c>
      <c r="B875" s="3" t="str">
        <f>C875 &amp; " -&gt; " &amp; D875</f>
        <v>principal-process-steward -&gt; KnowledgeGaps.IsOpen</v>
      </c>
      <c r="C875" s="2" t="s">
        <v>9706</v>
      </c>
      <c r="D875" s="2" t="s">
        <v>3314</v>
      </c>
      <c r="E875" s="2" t="b">
        <v>1</v>
      </c>
      <c r="F875" s="2" t="b">
        <v>0</v>
      </c>
      <c r="G875" s="2" t="s">
        <v>9937</v>
      </c>
      <c r="H875" s="3" t="str">
        <f>_xlfn.IFNA(INDEX(RulebookFields!C2:C999, MATCH(D875,RulebookFields!A2:A999, 0)), "")</f>
        <v>KnowledgeGaps</v>
      </c>
      <c r="I875" s="3" t="str">
        <f>_xlfn.IFNA(INDEX(RulebookFields!D2:D999, MATCH(D875,RulebookFields!A2:A999, 0)), "")</f>
        <v>IsOpen</v>
      </c>
      <c r="J875" s="3" t="b">
        <f>_xlfn.IFNA(INDEX(RulebookFields!I2:I999, MATCH(D875,RulebookFields!A2:A999, 0)), "")</f>
        <v>1</v>
      </c>
      <c r="K875" s="3" t="b">
        <f>AND(F875, J875)</f>
        <v>0</v>
      </c>
      <c r="L875" s="3" t="b">
        <f>AND(G875 &lt;&gt; "plain", G875 &lt;&gt; "")</f>
        <v>0</v>
      </c>
      <c r="M875" s="3" t="str">
        <f>IF(E875, C875 &amp; "|" &amp; H875, "")</f>
        <v>principal-process-steward|KnowledgeGaps</v>
      </c>
      <c r="N875" s="2" t="s">
        <v>9938</v>
      </c>
    </row>
    <row r="876">
      <c r="A876" s="2" t="s">
        <v>10812</v>
      </c>
      <c r="B876" s="3" t="str">
        <f>C876 &amp; " -&gt; " &amp; D876</f>
        <v>principal-process-steward -&gt; KnowledgeGaps.OpenGapVersionKey</v>
      </c>
      <c r="C876" s="2" t="s">
        <v>9706</v>
      </c>
      <c r="D876" s="2" t="s">
        <v>3316</v>
      </c>
      <c r="E876" s="2" t="b">
        <v>1</v>
      </c>
      <c r="F876" s="2" t="b">
        <v>0</v>
      </c>
      <c r="G876" s="2" t="s">
        <v>9937</v>
      </c>
      <c r="H876" s="3" t="str">
        <f>_xlfn.IFNA(INDEX(RulebookFields!C2:C999, MATCH(D876,RulebookFields!A2:A999, 0)), "")</f>
        <v>KnowledgeGaps</v>
      </c>
      <c r="I876" s="3" t="str">
        <f>_xlfn.IFNA(INDEX(RulebookFields!D2:D999, MATCH(D876,RulebookFields!A2:A999, 0)), "")</f>
        <v>OpenGapVersionKey</v>
      </c>
      <c r="J876" s="3" t="b">
        <f>_xlfn.IFNA(INDEX(RulebookFields!I2:I999, MATCH(D876,RulebookFields!A2:A999, 0)), "")</f>
        <v>1</v>
      </c>
      <c r="K876" s="3" t="b">
        <f>AND(F876, J876)</f>
        <v>0</v>
      </c>
      <c r="L876" s="3" t="b">
        <f>AND(G876 &lt;&gt; "plain", G876 &lt;&gt; "")</f>
        <v>0</v>
      </c>
      <c r="M876" s="3" t="str">
        <f>IF(E876, C876 &amp; "|" &amp; H876, "")</f>
        <v>principal-process-steward|KnowledgeGaps</v>
      </c>
      <c r="N876" s="2" t="s">
        <v>9938</v>
      </c>
    </row>
    <row r="877">
      <c r="A877" s="2" t="s">
        <v>10813</v>
      </c>
      <c r="B877" s="3" t="str">
        <f>C877 &amp; " -&gt; " &amp; D877</f>
        <v>principal-process-steward -&gt; KnowledgeGaps.IsBlocking</v>
      </c>
      <c r="C877" s="2" t="s">
        <v>9706</v>
      </c>
      <c r="D877" s="2" t="s">
        <v>3318</v>
      </c>
      <c r="E877" s="2" t="b">
        <v>1</v>
      </c>
      <c r="F877" s="2" t="b">
        <v>0</v>
      </c>
      <c r="G877" s="2" t="s">
        <v>9937</v>
      </c>
      <c r="H877" s="3" t="str">
        <f>_xlfn.IFNA(INDEX(RulebookFields!C2:C999, MATCH(D877,RulebookFields!A2:A999, 0)), "")</f>
        <v>KnowledgeGaps</v>
      </c>
      <c r="I877" s="3" t="str">
        <f>_xlfn.IFNA(INDEX(RulebookFields!D2:D999, MATCH(D877,RulebookFields!A2:A999, 0)), "")</f>
        <v>IsBlocking</v>
      </c>
      <c r="J877" s="3" t="b">
        <f>_xlfn.IFNA(INDEX(RulebookFields!I2:I999, MATCH(D877,RulebookFields!A2:A999, 0)), "")</f>
        <v>1</v>
      </c>
      <c r="K877" s="3" t="b">
        <f>AND(F877, J877)</f>
        <v>0</v>
      </c>
      <c r="L877" s="3" t="b">
        <f>AND(G877 &lt;&gt; "plain", G877 &lt;&gt; "")</f>
        <v>0</v>
      </c>
      <c r="M877" s="3" t="str">
        <f>IF(E877, C877 &amp; "|" &amp; H877, "")</f>
        <v>principal-process-steward|KnowledgeGaps</v>
      </c>
      <c r="N877" s="2" t="s">
        <v>9938</v>
      </c>
    </row>
    <row r="878">
      <c r="A878" s="2" t="s">
        <v>10814</v>
      </c>
      <c r="B878" s="3" t="str">
        <f>C878 &amp; " -&gt; " &amp; D878</f>
        <v>principal-process-steward -&gt; KnowledgeGaps.IsOpenAndBlocking</v>
      </c>
      <c r="C878" s="2" t="s">
        <v>9706</v>
      </c>
      <c r="D878" s="2" t="s">
        <v>3320</v>
      </c>
      <c r="E878" s="2" t="b">
        <v>1</v>
      </c>
      <c r="F878" s="2" t="b">
        <v>0</v>
      </c>
      <c r="G878" s="2" t="s">
        <v>9937</v>
      </c>
      <c r="H878" s="3" t="str">
        <f>_xlfn.IFNA(INDEX(RulebookFields!C2:C999, MATCH(D878,RulebookFields!A2:A999, 0)), "")</f>
        <v>KnowledgeGaps</v>
      </c>
      <c r="I878" s="3" t="str">
        <f>_xlfn.IFNA(INDEX(RulebookFields!D2:D999, MATCH(D878,RulebookFields!A2:A999, 0)), "")</f>
        <v>IsOpenAndBlocking</v>
      </c>
      <c r="J878" s="3" t="b">
        <f>_xlfn.IFNA(INDEX(RulebookFields!I2:I999, MATCH(D878,RulebookFields!A2:A999, 0)), "")</f>
        <v>1</v>
      </c>
      <c r="K878" s="3" t="b">
        <f>AND(F878, J878)</f>
        <v>0</v>
      </c>
      <c r="L878" s="3" t="b">
        <f>AND(G878 &lt;&gt; "plain", G878 &lt;&gt; "")</f>
        <v>0</v>
      </c>
      <c r="M878" s="3" t="str">
        <f>IF(E878, C878 &amp; "|" &amp; H878, "")</f>
        <v>principal-process-steward|KnowledgeGaps</v>
      </c>
      <c r="N878" s="2" t="s">
        <v>9938</v>
      </c>
    </row>
    <row r="879">
      <c r="A879" s="2" t="s">
        <v>10815</v>
      </c>
      <c r="B879" s="3" t="str">
        <f>C879 &amp; " -&gt; " &amp; D879</f>
        <v>principal-process-steward -&gt; KnowledgeGaps.EvaluationContext</v>
      </c>
      <c r="C879" s="2" t="s">
        <v>9706</v>
      </c>
      <c r="D879" s="2" t="s">
        <v>3322</v>
      </c>
      <c r="E879" s="2" t="b">
        <v>1</v>
      </c>
      <c r="F879" s="2" t="b">
        <v>0</v>
      </c>
      <c r="G879" s="2" t="s">
        <v>9937</v>
      </c>
      <c r="H879" s="3" t="str">
        <f>_xlfn.IFNA(INDEX(RulebookFields!C2:C999, MATCH(D879,RulebookFields!A2:A999, 0)), "")</f>
        <v>KnowledgeGaps</v>
      </c>
      <c r="I879" s="3" t="str">
        <f>_xlfn.IFNA(INDEX(RulebookFields!D2:D999, MATCH(D879,RulebookFields!A2:A999, 0)), "")</f>
        <v>EvaluationContext</v>
      </c>
      <c r="J879" s="3" t="b">
        <f>_xlfn.IFNA(INDEX(RulebookFields!I2:I999, MATCH(D879,RulebookFields!A2:A999, 0)), "")</f>
        <v>0</v>
      </c>
      <c r="K879" s="3" t="b">
        <f>AND(F879, J879)</f>
        <v>0</v>
      </c>
      <c r="L879" s="3" t="b">
        <f>AND(G879 &lt;&gt; "plain", G879 &lt;&gt; "")</f>
        <v>0</v>
      </c>
      <c r="M879" s="3" t="str">
        <f>IF(E879, C879 &amp; "|" &amp; H879, "")</f>
        <v>principal-process-steward|KnowledgeGaps</v>
      </c>
      <c r="N879" s="2" t="s">
        <v>9938</v>
      </c>
    </row>
    <row r="880">
      <c r="A880" s="2" t="s">
        <v>10816</v>
      </c>
      <c r="B880" s="3" t="str">
        <f>C880 &amp; " -&gt; " &amp; D880</f>
        <v>principal-process-steward -&gt; KnowledgeGaps.AsOfInstant</v>
      </c>
      <c r="C880" s="2" t="s">
        <v>9706</v>
      </c>
      <c r="D880" s="2" t="s">
        <v>3323</v>
      </c>
      <c r="E880" s="2" t="b">
        <v>1</v>
      </c>
      <c r="F880" s="2" t="b">
        <v>0</v>
      </c>
      <c r="G880" s="2" t="s">
        <v>9937</v>
      </c>
      <c r="H880" s="3" t="str">
        <f>_xlfn.IFNA(INDEX(RulebookFields!C2:C999, MATCH(D880,RulebookFields!A2:A999, 0)), "")</f>
        <v>KnowledgeGaps</v>
      </c>
      <c r="I880" s="3" t="str">
        <f>_xlfn.IFNA(INDEX(RulebookFields!D2:D999, MATCH(D880,RulebookFields!A2:A999, 0)), "")</f>
        <v>AsOfInstant</v>
      </c>
      <c r="J880" s="3" t="b">
        <f>_xlfn.IFNA(INDEX(RulebookFields!I2:I999, MATCH(D880,RulebookFields!A2:A999, 0)), "")</f>
        <v>1</v>
      </c>
      <c r="K880" s="3" t="b">
        <f>AND(F880, J880)</f>
        <v>0</v>
      </c>
      <c r="L880" s="3" t="b">
        <f>AND(G880 &lt;&gt; "plain", G880 &lt;&gt; "")</f>
        <v>0</v>
      </c>
      <c r="M880" s="3" t="str">
        <f>IF(E880, C880 &amp; "|" &amp; H880, "")</f>
        <v>principal-process-steward|KnowledgeGaps</v>
      </c>
      <c r="N880" s="2" t="s">
        <v>9938</v>
      </c>
    </row>
    <row r="881">
      <c r="A881" s="2" t="s">
        <v>10817</v>
      </c>
      <c r="B881" s="3" t="str">
        <f>C881 &amp; " -&gt; " &amp; D881</f>
        <v>principal-process-steward -&gt; KnowledgeGaps.DaysOpen</v>
      </c>
      <c r="C881" s="2" t="s">
        <v>9706</v>
      </c>
      <c r="D881" s="2" t="s">
        <v>3324</v>
      </c>
      <c r="E881" s="2" t="b">
        <v>1</v>
      </c>
      <c r="F881" s="2" t="b">
        <v>0</v>
      </c>
      <c r="G881" s="2" t="s">
        <v>9937</v>
      </c>
      <c r="H881" s="3" t="str">
        <f>_xlfn.IFNA(INDEX(RulebookFields!C2:C999, MATCH(D881,RulebookFields!A2:A999, 0)), "")</f>
        <v>KnowledgeGaps</v>
      </c>
      <c r="I881" s="3" t="str">
        <f>_xlfn.IFNA(INDEX(RulebookFields!D2:D999, MATCH(D881,RulebookFields!A2:A999, 0)), "")</f>
        <v>DaysOpen</v>
      </c>
      <c r="J881" s="3" t="b">
        <f>_xlfn.IFNA(INDEX(RulebookFields!I2:I999, MATCH(D881,RulebookFields!A2:A999, 0)), "")</f>
        <v>1</v>
      </c>
      <c r="K881" s="3" t="b">
        <f>AND(F881, J881)</f>
        <v>0</v>
      </c>
      <c r="L881" s="3" t="b">
        <f>AND(G881 &lt;&gt; "plain", G881 &lt;&gt; "")</f>
        <v>0</v>
      </c>
      <c r="M881" s="3" t="str">
        <f>IF(E881, C881 &amp; "|" &amp; H881, "")</f>
        <v>principal-process-steward|KnowledgeGaps</v>
      </c>
      <c r="N881" s="2" t="s">
        <v>9938</v>
      </c>
    </row>
    <row r="882">
      <c r="A882" s="2" t="s">
        <v>10818</v>
      </c>
      <c r="B882" s="3" t="str">
        <f>C882 &amp; " -&gt; " &amp; D882</f>
        <v>principal-process-steward -&gt; KnowledgeGaps.ToleranceDays</v>
      </c>
      <c r="C882" s="2" t="s">
        <v>9706</v>
      </c>
      <c r="D882" s="2" t="s">
        <v>3326</v>
      </c>
      <c r="E882" s="2" t="b">
        <v>1</v>
      </c>
      <c r="F882" s="2" t="b">
        <v>0</v>
      </c>
      <c r="G882" s="2" t="s">
        <v>9937</v>
      </c>
      <c r="H882" s="3" t="str">
        <f>_xlfn.IFNA(INDEX(RulebookFields!C2:C999, MATCH(D882,RulebookFields!A2:A999, 0)), "")</f>
        <v>KnowledgeGaps</v>
      </c>
      <c r="I882" s="3" t="str">
        <f>_xlfn.IFNA(INDEX(RulebookFields!D2:D999, MATCH(D882,RulebookFields!A2:A999, 0)), "")</f>
        <v>ToleranceDays</v>
      </c>
      <c r="J882" s="3" t="b">
        <f>_xlfn.IFNA(INDEX(RulebookFields!I2:I999, MATCH(D882,RulebookFields!A2:A999, 0)), "")</f>
        <v>1</v>
      </c>
      <c r="K882" s="3" t="b">
        <f>AND(F882, J882)</f>
        <v>0</v>
      </c>
      <c r="L882" s="3" t="b">
        <f>AND(G882 &lt;&gt; "plain", G882 &lt;&gt; "")</f>
        <v>0</v>
      </c>
      <c r="M882" s="3" t="str">
        <f>IF(E882, C882 &amp; "|" &amp; H882, "")</f>
        <v>principal-process-steward|KnowledgeGaps</v>
      </c>
      <c r="N882" s="2" t="s">
        <v>9938</v>
      </c>
    </row>
    <row r="883">
      <c r="A883" s="2" t="s">
        <v>10819</v>
      </c>
      <c r="B883" s="3" t="str">
        <f>C883 &amp; " -&gt; " &amp; D883</f>
        <v>principal-process-steward -&gt; KnowledgeGaps.IsOverdueGap</v>
      </c>
      <c r="C883" s="2" t="s">
        <v>9706</v>
      </c>
      <c r="D883" s="2" t="s">
        <v>3328</v>
      </c>
      <c r="E883" s="2" t="b">
        <v>1</v>
      </c>
      <c r="F883" s="2" t="b">
        <v>0</v>
      </c>
      <c r="G883" s="2" t="s">
        <v>9937</v>
      </c>
      <c r="H883" s="3" t="str">
        <f>_xlfn.IFNA(INDEX(RulebookFields!C2:C999, MATCH(D883,RulebookFields!A2:A999, 0)), "")</f>
        <v>KnowledgeGaps</v>
      </c>
      <c r="I883" s="3" t="str">
        <f>_xlfn.IFNA(INDEX(RulebookFields!D2:D999, MATCH(D883,RulebookFields!A2:A999, 0)), "")</f>
        <v>IsOverdueGap</v>
      </c>
      <c r="J883" s="3" t="b">
        <f>_xlfn.IFNA(INDEX(RulebookFields!I2:I999, MATCH(D883,RulebookFields!A2:A999, 0)), "")</f>
        <v>1</v>
      </c>
      <c r="K883" s="3" t="b">
        <f>AND(F883, J883)</f>
        <v>0</v>
      </c>
      <c r="L883" s="3" t="b">
        <f>AND(G883 &lt;&gt; "plain", G883 &lt;&gt; "")</f>
        <v>0</v>
      </c>
      <c r="M883" s="3" t="str">
        <f>IF(E883, C883 &amp; "|" &amp; H883, "")</f>
        <v>principal-process-steward|KnowledgeGaps</v>
      </c>
      <c r="N883" s="2" t="s">
        <v>9938</v>
      </c>
    </row>
    <row r="884">
      <c r="A884" s="2" t="s">
        <v>10820</v>
      </c>
      <c r="B884" s="3" t="str">
        <f>C884 &amp; " -&gt; " &amp; D884</f>
        <v>principal-process-steward -&gt; KnowledgeGaps.OwnerAgent</v>
      </c>
      <c r="C884" s="2" t="s">
        <v>9706</v>
      </c>
      <c r="D884" s="2" t="s">
        <v>3330</v>
      </c>
      <c r="E884" s="2" t="b">
        <v>1</v>
      </c>
      <c r="F884" s="2" t="b">
        <v>0</v>
      </c>
      <c r="G884" s="2" t="s">
        <v>9937</v>
      </c>
      <c r="H884" s="3" t="str">
        <f>_xlfn.IFNA(INDEX(RulebookFields!C2:C999, MATCH(D884,RulebookFields!A2:A999, 0)), "")</f>
        <v>KnowledgeGaps</v>
      </c>
      <c r="I884" s="3" t="str">
        <f>_xlfn.IFNA(INDEX(RulebookFields!D2:D999, MATCH(D884,RulebookFields!A2:A999, 0)), "")</f>
        <v>OwnerAgent</v>
      </c>
      <c r="J884" s="3" t="b">
        <f>_xlfn.IFNA(INDEX(RulebookFields!I2:I999, MATCH(D884,RulebookFields!A2:A999, 0)), "")</f>
        <v>1</v>
      </c>
      <c r="K884" s="3" t="b">
        <f>AND(F884, J884)</f>
        <v>0</v>
      </c>
      <c r="L884" s="3" t="b">
        <f>AND(G884 &lt;&gt; "plain", G884 &lt;&gt; "")</f>
        <v>0</v>
      </c>
      <c r="M884" s="3" t="str">
        <f>IF(E884, C884 &amp; "|" &amp; H884, "")</f>
        <v>principal-process-steward|KnowledgeGaps</v>
      </c>
      <c r="N884" s="2" t="s">
        <v>9938</v>
      </c>
    </row>
    <row r="885">
      <c r="A885" s="2" t="s">
        <v>10821</v>
      </c>
      <c r="B885" s="3" t="str">
        <f>C885 &amp; " -&gt; " &amp; D885</f>
        <v>principal-process-steward -&gt; KnowledgeGaps.OwnerIsStillEngaged</v>
      </c>
      <c r="C885" s="2" t="s">
        <v>9706</v>
      </c>
      <c r="D885" s="2" t="s">
        <v>3331</v>
      </c>
      <c r="E885" s="2" t="b">
        <v>1</v>
      </c>
      <c r="F885" s="2" t="b">
        <v>0</v>
      </c>
      <c r="G885" s="2" t="s">
        <v>9937</v>
      </c>
      <c r="H885" s="3" t="str">
        <f>_xlfn.IFNA(INDEX(RulebookFields!C2:C999, MATCH(D885,RulebookFields!A2:A999, 0)), "")</f>
        <v>KnowledgeGaps</v>
      </c>
      <c r="I885" s="3" t="str">
        <f>_xlfn.IFNA(INDEX(RulebookFields!D2:D999, MATCH(D885,RulebookFields!A2:A999, 0)), "")</f>
        <v>OwnerIsStillEngaged</v>
      </c>
      <c r="J885" s="3" t="b">
        <f>_xlfn.IFNA(INDEX(RulebookFields!I2:I999, MATCH(D885,RulebookFields!A2:A999, 0)), "")</f>
        <v>1</v>
      </c>
      <c r="K885" s="3" t="b">
        <f>AND(F885, J885)</f>
        <v>0</v>
      </c>
      <c r="L885" s="3" t="b">
        <f>AND(G885 &lt;&gt; "plain", G885 &lt;&gt; "")</f>
        <v>0</v>
      </c>
      <c r="M885" s="3" t="str">
        <f>IF(E885, C885 &amp; "|" &amp; H885, "")</f>
        <v>principal-process-steward|KnowledgeGaps</v>
      </c>
      <c r="N885" s="2" t="s">
        <v>9938</v>
      </c>
    </row>
    <row r="886">
      <c r="A886" s="2" t="s">
        <v>10822</v>
      </c>
      <c r="B886" s="3" t="str">
        <f>C886 &amp; " -&gt; " &amp; D886</f>
        <v>principal-process-steward -&gt; KnowledgeGaps.HasResolutionPlan</v>
      </c>
      <c r="C886" s="2" t="s">
        <v>9706</v>
      </c>
      <c r="D886" s="2" t="s">
        <v>3333</v>
      </c>
      <c r="E886" s="2" t="b">
        <v>1</v>
      </c>
      <c r="F886" s="2" t="b">
        <v>0</v>
      </c>
      <c r="G886" s="2" t="s">
        <v>9937</v>
      </c>
      <c r="H886" s="3" t="str">
        <f>_xlfn.IFNA(INDEX(RulebookFields!C2:C999, MATCH(D886,RulebookFields!A2:A999, 0)), "")</f>
        <v>KnowledgeGaps</v>
      </c>
      <c r="I886" s="3" t="str">
        <f>_xlfn.IFNA(INDEX(RulebookFields!D2:D999, MATCH(D886,RulebookFields!A2:A999, 0)), "")</f>
        <v>HasResolutionPlan</v>
      </c>
      <c r="J886" s="3" t="b">
        <f>_xlfn.IFNA(INDEX(RulebookFields!I2:I999, MATCH(D886,RulebookFields!A2:A999, 0)), "")</f>
        <v>1</v>
      </c>
      <c r="K886" s="3" t="b">
        <f>AND(F886, J886)</f>
        <v>0</v>
      </c>
      <c r="L886" s="3" t="b">
        <f>AND(G886 &lt;&gt; "plain", G886 &lt;&gt; "")</f>
        <v>0</v>
      </c>
      <c r="M886" s="3" t="str">
        <f>IF(E886, C886 &amp; "|" &amp; H886, "")</f>
        <v>principal-process-steward|KnowledgeGaps</v>
      </c>
      <c r="N886" s="2" t="s">
        <v>9938</v>
      </c>
    </row>
    <row r="887">
      <c r="A887" s="2" t="s">
        <v>10823</v>
      </c>
      <c r="B887" s="3" t="str">
        <f>C887 &amp; " -&gt; " &amp; D887</f>
        <v>principal-process-steward -&gt; KnowledgeGaps.IsAbandonedUnknown</v>
      </c>
      <c r="C887" s="2" t="s">
        <v>9706</v>
      </c>
      <c r="D887" s="2" t="s">
        <v>3335</v>
      </c>
      <c r="E887" s="2" t="b">
        <v>1</v>
      </c>
      <c r="F887" s="2" t="b">
        <v>0</v>
      </c>
      <c r="G887" s="2" t="s">
        <v>9937</v>
      </c>
      <c r="H887" s="3" t="str">
        <f>_xlfn.IFNA(INDEX(RulebookFields!C2:C999, MATCH(D887,RulebookFields!A2:A999, 0)), "")</f>
        <v>KnowledgeGaps</v>
      </c>
      <c r="I887" s="3" t="str">
        <f>_xlfn.IFNA(INDEX(RulebookFields!D2:D999, MATCH(D887,RulebookFields!A2:A999, 0)), "")</f>
        <v>IsAbandonedUnknown</v>
      </c>
      <c r="J887" s="3" t="b">
        <f>_xlfn.IFNA(INDEX(RulebookFields!I2:I999, MATCH(D887,RulebookFields!A2:A999, 0)), "")</f>
        <v>1</v>
      </c>
      <c r="K887" s="3" t="b">
        <f>AND(F887, J887)</f>
        <v>0</v>
      </c>
      <c r="L887" s="3" t="b">
        <f>AND(G887 &lt;&gt; "plain", G887 &lt;&gt; "")</f>
        <v>0</v>
      </c>
      <c r="M887" s="3" t="str">
        <f>IF(E887, C887 &amp; "|" &amp; H887, "")</f>
        <v>principal-process-steward|KnowledgeGaps</v>
      </c>
      <c r="N887" s="2" t="s">
        <v>9938</v>
      </c>
    </row>
    <row r="888">
      <c r="A888" s="2" t="s">
        <v>10824</v>
      </c>
      <c r="B888" s="3" t="str">
        <f>C888 &amp; " -&gt; " &amp; D888</f>
        <v>principal-process-steward -&gt; KnowledgeGaps.OpenBlockingGapVersionKey</v>
      </c>
      <c r="C888" s="2" t="s">
        <v>9706</v>
      </c>
      <c r="D888" s="2" t="s">
        <v>3337</v>
      </c>
      <c r="E888" s="2" t="b">
        <v>1</v>
      </c>
      <c r="F888" s="2" t="b">
        <v>0</v>
      </c>
      <c r="G888" s="2" t="s">
        <v>9937</v>
      </c>
      <c r="H888" s="3" t="str">
        <f>_xlfn.IFNA(INDEX(RulebookFields!C2:C999, MATCH(D888,RulebookFields!A2:A999, 0)), "")</f>
        <v>KnowledgeGaps</v>
      </c>
      <c r="I888" s="3" t="str">
        <f>_xlfn.IFNA(INDEX(RulebookFields!D2:D999, MATCH(D888,RulebookFields!A2:A999, 0)), "")</f>
        <v>OpenBlockingGapVersionKey</v>
      </c>
      <c r="J888" s="3" t="b">
        <f>_xlfn.IFNA(INDEX(RulebookFields!I2:I999, MATCH(D888,RulebookFields!A2:A999, 0)), "")</f>
        <v>1</v>
      </c>
      <c r="K888" s="3" t="b">
        <f>AND(F888, J888)</f>
        <v>0</v>
      </c>
      <c r="L888" s="3" t="b">
        <f>AND(G888 &lt;&gt; "plain", G888 &lt;&gt; "")</f>
        <v>0</v>
      </c>
      <c r="M888" s="3" t="str">
        <f>IF(E888, C888 &amp; "|" &amp; H888, "")</f>
        <v>principal-process-steward|KnowledgeGaps</v>
      </c>
      <c r="N888" s="2" t="s">
        <v>9938</v>
      </c>
    </row>
    <row r="889">
      <c r="A889" s="2" t="s">
        <v>10825</v>
      </c>
      <c r="B889" s="3" t="str">
        <f>C889 &amp; " -&gt; " &amp; D889</f>
        <v>principal-process-steward -&gt; KnowledgeGaps.OwnerRoleIsVacated</v>
      </c>
      <c r="C889" s="2" t="s">
        <v>9706</v>
      </c>
      <c r="D889" s="2" t="s">
        <v>3339</v>
      </c>
      <c r="E889" s="2" t="b">
        <v>1</v>
      </c>
      <c r="F889" s="2" t="b">
        <v>0</v>
      </c>
      <c r="G889" s="2" t="s">
        <v>9937</v>
      </c>
      <c r="H889" s="3" t="str">
        <f>_xlfn.IFNA(INDEX(RulebookFields!C2:C999, MATCH(D889,RulebookFields!A2:A999, 0)), "")</f>
        <v>KnowledgeGaps</v>
      </c>
      <c r="I889" s="3" t="str">
        <f>_xlfn.IFNA(INDEX(RulebookFields!D2:D999, MATCH(D889,RulebookFields!A2:A999, 0)), "")</f>
        <v>OwnerRoleIsVacated</v>
      </c>
      <c r="J889" s="3" t="b">
        <f>_xlfn.IFNA(INDEX(RulebookFields!I2:I999, MATCH(D889,RulebookFields!A2:A999, 0)), "")</f>
        <v>1</v>
      </c>
      <c r="K889" s="3" t="b">
        <f>AND(F889, J889)</f>
        <v>0</v>
      </c>
      <c r="L889" s="3" t="b">
        <f>AND(G889 &lt;&gt; "plain", G889 &lt;&gt; "")</f>
        <v>0</v>
      </c>
      <c r="M889" s="3" t="str">
        <f>IF(E889, C889 &amp; "|" &amp; H889, "")</f>
        <v>principal-process-steward|KnowledgeGaps</v>
      </c>
      <c r="N889" s="2" t="s">
        <v>9938</v>
      </c>
    </row>
    <row r="890">
      <c r="A890" s="2" t="s">
        <v>10826</v>
      </c>
      <c r="B890" s="3" t="str">
        <f>C890 &amp; " -&gt; " &amp; D890</f>
        <v>principal-process-steward -&gt; KnowledgeGaps.IsOwnerlessOpenGap</v>
      </c>
      <c r="C890" s="2" t="s">
        <v>9706</v>
      </c>
      <c r="D890" s="2" t="s">
        <v>3340</v>
      </c>
      <c r="E890" s="2" t="b">
        <v>1</v>
      </c>
      <c r="F890" s="2" t="b">
        <v>0</v>
      </c>
      <c r="G890" s="2" t="s">
        <v>9937</v>
      </c>
      <c r="H890" s="3" t="str">
        <f>_xlfn.IFNA(INDEX(RulebookFields!C2:C999, MATCH(D890,RulebookFields!A2:A999, 0)), "")</f>
        <v>KnowledgeGaps</v>
      </c>
      <c r="I890" s="3" t="str">
        <f>_xlfn.IFNA(INDEX(RulebookFields!D2:D999, MATCH(D890,RulebookFields!A2:A999, 0)), "")</f>
        <v>IsOwnerlessOpenGap</v>
      </c>
      <c r="J890" s="3" t="b">
        <f>_xlfn.IFNA(INDEX(RulebookFields!I2:I999, MATCH(D890,RulebookFields!A2:A999, 0)), "")</f>
        <v>1</v>
      </c>
      <c r="K890" s="3" t="b">
        <f>AND(F890, J890)</f>
        <v>0</v>
      </c>
      <c r="L890" s="3" t="b">
        <f>AND(G890 &lt;&gt; "plain", G890 &lt;&gt; "")</f>
        <v>0</v>
      </c>
      <c r="M890" s="3" t="str">
        <f>IF(E890, C890 &amp; "|" &amp; H890, "")</f>
        <v>principal-process-steward|KnowledgeGaps</v>
      </c>
      <c r="N890" s="2" t="s">
        <v>9938</v>
      </c>
    </row>
    <row r="891">
      <c r="A891" s="2" t="s">
        <v>10827</v>
      </c>
      <c r="B891" s="3" t="str">
        <f>C891 &amp; " -&gt; " &amp; D891</f>
        <v>principal-process-steward -&gt; KnowledgeGaps.SemanticTypeIri</v>
      </c>
      <c r="C891" s="2" t="s">
        <v>9706</v>
      </c>
      <c r="D891" s="2" t="s">
        <v>3342</v>
      </c>
      <c r="E891" s="2" t="b">
        <v>1</v>
      </c>
      <c r="F891" s="2" t="b">
        <v>0</v>
      </c>
      <c r="G891" s="2" t="s">
        <v>9937</v>
      </c>
      <c r="H891" s="3" t="str">
        <f>_xlfn.IFNA(INDEX(RulebookFields!C2:C999, MATCH(D891,RulebookFields!A2:A999, 0)), "")</f>
        <v>KnowledgeGaps</v>
      </c>
      <c r="I891" s="3" t="str">
        <f>_xlfn.IFNA(INDEX(RulebookFields!D2:D999, MATCH(D891,RulebookFields!A2:A999, 0)), "")</f>
        <v>SemanticTypeIri</v>
      </c>
      <c r="J891" s="3" t="b">
        <f>_xlfn.IFNA(INDEX(RulebookFields!I2:I999, MATCH(D891,RulebookFields!A2:A999, 0)), "")</f>
        <v>0</v>
      </c>
      <c r="K891" s="3" t="b">
        <f>AND(F891, J891)</f>
        <v>0</v>
      </c>
      <c r="L891" s="3" t="b">
        <f>AND(G891 &lt;&gt; "plain", G891 &lt;&gt; "")</f>
        <v>0</v>
      </c>
      <c r="M891" s="3" t="str">
        <f>IF(E891, C891 &amp; "|" &amp; H891, "")</f>
        <v>principal-process-steward|KnowledgeGaps</v>
      </c>
      <c r="N891" s="2" t="s">
        <v>9938</v>
      </c>
    </row>
    <row r="892">
      <c r="A892" s="2" t="s">
        <v>10828</v>
      </c>
      <c r="B892" s="3" t="str">
        <f>C892 &amp; " -&gt; " &amp; D892</f>
        <v>principal-process-steward -&gt; LearningActivities.LearningActivityId</v>
      </c>
      <c r="C892" s="2" t="s">
        <v>9706</v>
      </c>
      <c r="D892" s="2" t="s">
        <v>3950</v>
      </c>
      <c r="E892" s="2" t="b">
        <v>1</v>
      </c>
      <c r="F892" s="2" t="b">
        <v>0</v>
      </c>
      <c r="G892" s="2" t="s">
        <v>9937</v>
      </c>
      <c r="H892" s="3" t="str">
        <f>_xlfn.IFNA(INDEX(RulebookFields!C2:C999, MATCH(D892,RulebookFields!A2:A999, 0)), "")</f>
        <v>LearningActivities</v>
      </c>
      <c r="I892" s="3" t="str">
        <f>_xlfn.IFNA(INDEX(RulebookFields!D2:D999, MATCH(D892,RulebookFields!A2:A999, 0)), "")</f>
        <v>LearningActivityId</v>
      </c>
      <c r="J892" s="3" t="b">
        <f>_xlfn.IFNA(INDEX(RulebookFields!I2:I999, MATCH(D892,RulebookFields!A2:A999, 0)), "")</f>
        <v>0</v>
      </c>
      <c r="K892" s="3" t="b">
        <f>AND(F892, J892)</f>
        <v>0</v>
      </c>
      <c r="L892" s="3" t="b">
        <f>AND(G892 &lt;&gt; "plain", G892 &lt;&gt; "")</f>
        <v>0</v>
      </c>
      <c r="M892" s="3" t="str">
        <f>IF(E892, C892 &amp; "|" &amp; H892, "")</f>
        <v>principal-process-steward|LearningActivities</v>
      </c>
      <c r="N892" s="2" t="s">
        <v>9938</v>
      </c>
    </row>
    <row r="893">
      <c r="A893" s="2" t="s">
        <v>10829</v>
      </c>
      <c r="B893" s="3" t="str">
        <f>C893 &amp; " -&gt; " &amp; D893</f>
        <v>principal-process-steward -&gt; LearningActivities.Name</v>
      </c>
      <c r="C893" s="2" t="s">
        <v>9706</v>
      </c>
      <c r="D893" s="2" t="s">
        <v>3952</v>
      </c>
      <c r="E893" s="2" t="b">
        <v>1</v>
      </c>
      <c r="F893" s="2" t="b">
        <v>0</v>
      </c>
      <c r="G893" s="2" t="s">
        <v>9937</v>
      </c>
      <c r="H893" s="3" t="str">
        <f>_xlfn.IFNA(INDEX(RulebookFields!C2:C999, MATCH(D893,RulebookFields!A2:A999, 0)), "")</f>
        <v>LearningActivities</v>
      </c>
      <c r="I893" s="3" t="str">
        <f>_xlfn.IFNA(INDEX(RulebookFields!D2:D999, MATCH(D893,RulebookFields!A2:A999, 0)), "")</f>
        <v>Name</v>
      </c>
      <c r="J893" s="3" t="b">
        <f>_xlfn.IFNA(INDEX(RulebookFields!I2:I999, MATCH(D893,RulebookFields!A2:A999, 0)), "")</f>
        <v>1</v>
      </c>
      <c r="K893" s="3" t="b">
        <f>AND(F893, J893)</f>
        <v>0</v>
      </c>
      <c r="L893" s="3" t="b">
        <f>AND(G893 &lt;&gt; "plain", G893 &lt;&gt; "")</f>
        <v>0</v>
      </c>
      <c r="M893" s="3" t="str">
        <f>IF(E893, C893 &amp; "|" &amp; H893, "")</f>
        <v>principal-process-steward|LearningActivities</v>
      </c>
      <c r="N893" s="2" t="s">
        <v>9938</v>
      </c>
    </row>
    <row r="894">
      <c r="A894" s="2" t="s">
        <v>10830</v>
      </c>
      <c r="B894" s="3" t="str">
        <f>C894 &amp; " -&gt; " &amp; D894</f>
        <v>principal-process-steward -&gt; LearningActivities.CommunityOfPractice</v>
      </c>
      <c r="C894" s="2" t="s">
        <v>9706</v>
      </c>
      <c r="D894" s="2" t="s">
        <v>3954</v>
      </c>
      <c r="E894" s="2" t="b">
        <v>1</v>
      </c>
      <c r="F894" s="2" t="b">
        <v>0</v>
      </c>
      <c r="G894" s="2" t="s">
        <v>9937</v>
      </c>
      <c r="H894" s="3" t="str">
        <f>_xlfn.IFNA(INDEX(RulebookFields!C2:C999, MATCH(D894,RulebookFields!A2:A999, 0)), "")</f>
        <v>LearningActivities</v>
      </c>
      <c r="I894" s="3" t="str">
        <f>_xlfn.IFNA(INDEX(RulebookFields!D2:D999, MATCH(D894,RulebookFields!A2:A999, 0)), "")</f>
        <v>CommunityOfPractice</v>
      </c>
      <c r="J894" s="3" t="b">
        <f>_xlfn.IFNA(INDEX(RulebookFields!I2:I999, MATCH(D894,RulebookFields!A2:A999, 0)), "")</f>
        <v>0</v>
      </c>
      <c r="K894" s="3" t="b">
        <f>AND(F894, J894)</f>
        <v>0</v>
      </c>
      <c r="L894" s="3" t="b">
        <f>AND(G894 &lt;&gt; "plain", G894 &lt;&gt; "")</f>
        <v>0</v>
      </c>
      <c r="M894" s="3" t="str">
        <f>IF(E894, C894 &amp; "|" &amp; H894, "")</f>
        <v>principal-process-steward|LearningActivities</v>
      </c>
      <c r="N894" s="2" t="s">
        <v>9938</v>
      </c>
    </row>
    <row r="895">
      <c r="A895" s="2" t="s">
        <v>10831</v>
      </c>
      <c r="B895" s="3" t="str">
        <f>C895 &amp; " -&gt; " &amp; D895</f>
        <v>principal-process-steward -&gt; LearningActivities.ProcedureVersion</v>
      </c>
      <c r="C895" s="2" t="s">
        <v>9706</v>
      </c>
      <c r="D895" s="2" t="s">
        <v>3955</v>
      </c>
      <c r="E895" s="2" t="b">
        <v>1</v>
      </c>
      <c r="F895" s="2" t="b">
        <v>0</v>
      </c>
      <c r="G895" s="2" t="s">
        <v>9937</v>
      </c>
      <c r="H895" s="3" t="str">
        <f>_xlfn.IFNA(INDEX(RulebookFields!C2:C999, MATCH(D895,RulebookFields!A2:A999, 0)), "")</f>
        <v>LearningActivities</v>
      </c>
      <c r="I895" s="3" t="str">
        <f>_xlfn.IFNA(INDEX(RulebookFields!D2:D999, MATCH(D895,RulebookFields!A2:A999, 0)), "")</f>
        <v>ProcedureVersion</v>
      </c>
      <c r="J895" s="3" t="b">
        <f>_xlfn.IFNA(INDEX(RulebookFields!I2:I999, MATCH(D895,RulebookFields!A2:A999, 0)), "")</f>
        <v>0</v>
      </c>
      <c r="K895" s="3" t="b">
        <f>AND(F895, J895)</f>
        <v>0</v>
      </c>
      <c r="L895" s="3" t="b">
        <f>AND(G895 &lt;&gt; "plain", G895 &lt;&gt; "")</f>
        <v>0</v>
      </c>
      <c r="M895" s="3" t="str">
        <f>IF(E895, C895 &amp; "|" &amp; H895, "")</f>
        <v>principal-process-steward|LearningActivities</v>
      </c>
      <c r="N895" s="2" t="s">
        <v>9938</v>
      </c>
    </row>
    <row r="896">
      <c r="A896" s="2" t="s">
        <v>10832</v>
      </c>
      <c r="B896" s="3" t="str">
        <f>C896 &amp; " -&gt; " &amp; D896</f>
        <v>principal-process-steward -&gt; LearningActivities.ActivityKind</v>
      </c>
      <c r="C896" s="2" t="s">
        <v>9706</v>
      </c>
      <c r="D896" s="2" t="s">
        <v>3956</v>
      </c>
      <c r="E896" s="2" t="b">
        <v>1</v>
      </c>
      <c r="F896" s="2" t="b">
        <v>0</v>
      </c>
      <c r="G896" s="2" t="s">
        <v>9937</v>
      </c>
      <c r="H896" s="3" t="str">
        <f>_xlfn.IFNA(INDEX(RulebookFields!C2:C999, MATCH(D896,RulebookFields!A2:A999, 0)), "")</f>
        <v>LearningActivities</v>
      </c>
      <c r="I896" s="3" t="str">
        <f>_xlfn.IFNA(INDEX(RulebookFields!D2:D999, MATCH(D896,RulebookFields!A2:A999, 0)), "")</f>
        <v>ActivityKind</v>
      </c>
      <c r="J896" s="3" t="b">
        <f>_xlfn.IFNA(INDEX(RulebookFields!I2:I999, MATCH(D896,RulebookFields!A2:A999, 0)), "")</f>
        <v>0</v>
      </c>
      <c r="K896" s="3" t="b">
        <f>AND(F896, J896)</f>
        <v>0</v>
      </c>
      <c r="L896" s="3" t="b">
        <f>AND(G896 &lt;&gt; "plain", G896 &lt;&gt; "")</f>
        <v>0</v>
      </c>
      <c r="M896" s="3" t="str">
        <f>IF(E896, C896 &amp; "|" &amp; H896, "")</f>
        <v>principal-process-steward|LearningActivities</v>
      </c>
      <c r="N896" s="2" t="s">
        <v>9938</v>
      </c>
    </row>
    <row r="897">
      <c r="A897" s="2" t="s">
        <v>10833</v>
      </c>
      <c r="B897" s="3" t="str">
        <f>C897 &amp; " -&gt; " &amp; D897</f>
        <v>principal-process-steward -&gt; LearningActivities.OccurredAt</v>
      </c>
      <c r="C897" s="2" t="s">
        <v>9706</v>
      </c>
      <c r="D897" s="2" t="s">
        <v>3957</v>
      </c>
      <c r="E897" s="2" t="b">
        <v>1</v>
      </c>
      <c r="F897" s="2" t="b">
        <v>0</v>
      </c>
      <c r="G897" s="2" t="s">
        <v>9937</v>
      </c>
      <c r="H897" s="3" t="str">
        <f>_xlfn.IFNA(INDEX(RulebookFields!C2:C999, MATCH(D897,RulebookFields!A2:A999, 0)), "")</f>
        <v>LearningActivities</v>
      </c>
      <c r="I897" s="3" t="str">
        <f>_xlfn.IFNA(INDEX(RulebookFields!D2:D999, MATCH(D897,RulebookFields!A2:A999, 0)), "")</f>
        <v>OccurredAt</v>
      </c>
      <c r="J897" s="3" t="b">
        <f>_xlfn.IFNA(INDEX(RulebookFields!I2:I999, MATCH(D897,RulebookFields!A2:A999, 0)), "")</f>
        <v>0</v>
      </c>
      <c r="K897" s="3" t="b">
        <f>AND(F897, J897)</f>
        <v>0</v>
      </c>
      <c r="L897" s="3" t="b">
        <f>AND(G897 &lt;&gt; "plain", G897 &lt;&gt; "")</f>
        <v>0</v>
      </c>
      <c r="M897" s="3" t="str">
        <f>IF(E897, C897 &amp; "|" &amp; H897, "")</f>
        <v>principal-process-steward|LearningActivities</v>
      </c>
      <c r="N897" s="2" t="s">
        <v>9938</v>
      </c>
    </row>
    <row r="898">
      <c r="A898" s="2" t="s">
        <v>10834</v>
      </c>
      <c r="B898" s="3" t="str">
        <f>C898 &amp; " -&gt; " &amp; D898</f>
        <v>principal-process-steward -&gt; LearningActivities.FacilitatorAgent</v>
      </c>
      <c r="C898" s="2" t="s">
        <v>9706</v>
      </c>
      <c r="D898" s="2" t="s">
        <v>3958</v>
      </c>
      <c r="E898" s="2" t="b">
        <v>1</v>
      </c>
      <c r="F898" s="2" t="b">
        <v>0</v>
      </c>
      <c r="G898" s="2" t="s">
        <v>9937</v>
      </c>
      <c r="H898" s="3" t="str">
        <f>_xlfn.IFNA(INDEX(RulebookFields!C2:C999, MATCH(D898,RulebookFields!A2:A999, 0)), "")</f>
        <v>LearningActivities</v>
      </c>
      <c r="I898" s="3" t="str">
        <f>_xlfn.IFNA(INDEX(RulebookFields!D2:D999, MATCH(D898,RulebookFields!A2:A999, 0)), "")</f>
        <v>FacilitatorAgent</v>
      </c>
      <c r="J898" s="3" t="b">
        <f>_xlfn.IFNA(INDEX(RulebookFields!I2:I999, MATCH(D898,RulebookFields!A2:A999, 0)), "")</f>
        <v>0</v>
      </c>
      <c r="K898" s="3" t="b">
        <f>AND(F898, J898)</f>
        <v>0</v>
      </c>
      <c r="L898" s="3" t="b">
        <f>AND(G898 &lt;&gt; "plain", G898 &lt;&gt; "")</f>
        <v>0</v>
      </c>
      <c r="M898" s="3" t="str">
        <f>IF(E898, C898 &amp; "|" &amp; H898, "")</f>
        <v>principal-process-steward|LearningActivities</v>
      </c>
      <c r="N898" s="2" t="s">
        <v>9938</v>
      </c>
    </row>
    <row r="899">
      <c r="A899" s="2" t="s">
        <v>10835</v>
      </c>
      <c r="B899" s="3" t="str">
        <f>C899 &amp; " -&gt; " &amp; D899</f>
        <v>principal-process-steward -&gt; LearningActivities.Outcome</v>
      </c>
      <c r="C899" s="2" t="s">
        <v>9706</v>
      </c>
      <c r="D899" s="2" t="s">
        <v>3959</v>
      </c>
      <c r="E899" s="2" t="b">
        <v>1</v>
      </c>
      <c r="F899" s="2" t="b">
        <v>0</v>
      </c>
      <c r="G899" s="2" t="s">
        <v>9937</v>
      </c>
      <c r="H899" s="3" t="str">
        <f>_xlfn.IFNA(INDEX(RulebookFields!C2:C999, MATCH(D899,RulebookFields!A2:A999, 0)), "")</f>
        <v>LearningActivities</v>
      </c>
      <c r="I899" s="3" t="str">
        <f>_xlfn.IFNA(INDEX(RulebookFields!D2:D999, MATCH(D899,RulebookFields!A2:A999, 0)), "")</f>
        <v>Outcome</v>
      </c>
      <c r="J899" s="3" t="b">
        <f>_xlfn.IFNA(INDEX(RulebookFields!I2:I999, MATCH(D899,RulebookFields!A2:A999, 0)), "")</f>
        <v>0</v>
      </c>
      <c r="K899" s="3" t="b">
        <f>AND(F899, J899)</f>
        <v>0</v>
      </c>
      <c r="L899" s="3" t="b">
        <f>AND(G899 &lt;&gt; "plain", G899 &lt;&gt; "")</f>
        <v>0</v>
      </c>
      <c r="M899" s="3" t="str">
        <f>IF(E899, C899 &amp; "|" &amp; H899, "")</f>
        <v>principal-process-steward|LearningActivities</v>
      </c>
      <c r="N899" s="2" t="s">
        <v>9938</v>
      </c>
    </row>
    <row r="900">
      <c r="A900" s="2" t="s">
        <v>10836</v>
      </c>
      <c r="B900" s="3" t="str">
        <f>C900 &amp; " -&gt; " &amp; D900</f>
        <v>principal-process-steward -&gt; LearningActivities.EvidenceResource</v>
      </c>
      <c r="C900" s="2" t="s">
        <v>9706</v>
      </c>
      <c r="D900" s="2" t="s">
        <v>3960</v>
      </c>
      <c r="E900" s="2" t="b">
        <v>1</v>
      </c>
      <c r="F900" s="2" t="b">
        <v>0</v>
      </c>
      <c r="G900" s="2" t="s">
        <v>9937</v>
      </c>
      <c r="H900" s="3" t="str">
        <f>_xlfn.IFNA(INDEX(RulebookFields!C2:C999, MATCH(D900,RulebookFields!A2:A999, 0)), "")</f>
        <v>LearningActivities</v>
      </c>
      <c r="I900" s="3" t="str">
        <f>_xlfn.IFNA(INDEX(RulebookFields!D2:D999, MATCH(D900,RulebookFields!A2:A999, 0)), "")</f>
        <v>EvidenceResource</v>
      </c>
      <c r="J900" s="3" t="b">
        <f>_xlfn.IFNA(INDEX(RulebookFields!I2:I999, MATCH(D900,RulebookFields!A2:A999, 0)), "")</f>
        <v>0</v>
      </c>
      <c r="K900" s="3" t="b">
        <f>AND(F900, J900)</f>
        <v>0</v>
      </c>
      <c r="L900" s="3" t="b">
        <f>AND(G900 &lt;&gt; "plain", G900 &lt;&gt; "")</f>
        <v>0</v>
      </c>
      <c r="M900" s="3" t="str">
        <f>IF(E900, C900 &amp; "|" &amp; H900, "")</f>
        <v>principal-process-steward|LearningActivities</v>
      </c>
      <c r="N900" s="2" t="s">
        <v>9938</v>
      </c>
    </row>
    <row r="901">
      <c r="A901" s="2" t="s">
        <v>10837</v>
      </c>
      <c r="B901" s="3" t="str">
        <f>C901 &amp; " -&gt; " &amp; D901</f>
        <v>principal-process-steward -&gt; LearningActivities.SemanticTypeIri</v>
      </c>
      <c r="C901" s="2" t="s">
        <v>9706</v>
      </c>
      <c r="D901" s="2" t="s">
        <v>3961</v>
      </c>
      <c r="E901" s="2" t="b">
        <v>1</v>
      </c>
      <c r="F901" s="2" t="b">
        <v>0</v>
      </c>
      <c r="G901" s="2" t="s">
        <v>9937</v>
      </c>
      <c r="H901" s="3" t="str">
        <f>_xlfn.IFNA(INDEX(RulebookFields!C2:C999, MATCH(D901,RulebookFields!A2:A999, 0)), "")</f>
        <v>LearningActivities</v>
      </c>
      <c r="I901" s="3" t="str">
        <f>_xlfn.IFNA(INDEX(RulebookFields!D2:D999, MATCH(D901,RulebookFields!A2:A999, 0)), "")</f>
        <v>SemanticTypeIri</v>
      </c>
      <c r="J901" s="3" t="b">
        <f>_xlfn.IFNA(INDEX(RulebookFields!I2:I999, MATCH(D901,RulebookFields!A2:A999, 0)), "")</f>
        <v>0</v>
      </c>
      <c r="K901" s="3" t="b">
        <f>AND(F901, J901)</f>
        <v>0</v>
      </c>
      <c r="L901" s="3" t="b">
        <f>AND(G901 &lt;&gt; "plain", G901 &lt;&gt; "")</f>
        <v>0</v>
      </c>
      <c r="M901" s="3" t="str">
        <f>IF(E901, C901 &amp; "|" &amp; H901, "")</f>
        <v>principal-process-steward|LearningActivities</v>
      </c>
      <c r="N901" s="2" t="s">
        <v>9938</v>
      </c>
    </row>
    <row r="902">
      <c r="A902" s="2" t="s">
        <v>10838</v>
      </c>
      <c r="B902" s="3" t="str">
        <f>C902 &amp; " -&gt; " &amp; D902</f>
        <v>principal-process-steward -&gt; Mentorships.MentorshipId</v>
      </c>
      <c r="C902" s="2" t="s">
        <v>9706</v>
      </c>
      <c r="D902" s="2" t="s">
        <v>2632</v>
      </c>
      <c r="E902" s="2" t="b">
        <v>1</v>
      </c>
      <c r="F902" s="2" t="b">
        <v>0</v>
      </c>
      <c r="G902" s="2" t="s">
        <v>9937</v>
      </c>
      <c r="H902" s="3" t="str">
        <f>_xlfn.IFNA(INDEX(RulebookFields!C2:C999, MATCH(D902,RulebookFields!A2:A999, 0)), "")</f>
        <v>Mentorships</v>
      </c>
      <c r="I902" s="3" t="str">
        <f>_xlfn.IFNA(INDEX(RulebookFields!D2:D999, MATCH(D902,RulebookFields!A2:A999, 0)), "")</f>
        <v>MentorshipId</v>
      </c>
      <c r="J902" s="3" t="b">
        <f>_xlfn.IFNA(INDEX(RulebookFields!I2:I999, MATCH(D902,RulebookFields!A2:A999, 0)), "")</f>
        <v>0</v>
      </c>
      <c r="K902" s="3" t="b">
        <f>AND(F902, J902)</f>
        <v>0</v>
      </c>
      <c r="L902" s="3" t="b">
        <f>AND(G902 &lt;&gt; "plain", G902 &lt;&gt; "")</f>
        <v>0</v>
      </c>
      <c r="M902" s="3" t="str">
        <f>IF(E902, C902 &amp; "|" &amp; H902, "")</f>
        <v>principal-process-steward|Mentorships</v>
      </c>
      <c r="N902" s="2" t="s">
        <v>9938</v>
      </c>
    </row>
    <row r="903">
      <c r="A903" s="2" t="s">
        <v>10839</v>
      </c>
      <c r="B903" s="3" t="str">
        <f>C903 &amp; " -&gt; " &amp; D903</f>
        <v>principal-process-steward -&gt; Mentorships.Name</v>
      </c>
      <c r="C903" s="2" t="s">
        <v>9706</v>
      </c>
      <c r="D903" s="2" t="s">
        <v>2634</v>
      </c>
      <c r="E903" s="2" t="b">
        <v>1</v>
      </c>
      <c r="F903" s="2" t="b">
        <v>0</v>
      </c>
      <c r="G903" s="2" t="s">
        <v>9937</v>
      </c>
      <c r="H903" s="3" t="str">
        <f>_xlfn.IFNA(INDEX(RulebookFields!C2:C999, MATCH(D903,RulebookFields!A2:A999, 0)), "")</f>
        <v>Mentorships</v>
      </c>
      <c r="I903" s="3" t="str">
        <f>_xlfn.IFNA(INDEX(RulebookFields!D2:D999, MATCH(D903,RulebookFields!A2:A999, 0)), "")</f>
        <v>Name</v>
      </c>
      <c r="J903" s="3" t="b">
        <f>_xlfn.IFNA(INDEX(RulebookFields!I2:I999, MATCH(D903,RulebookFields!A2:A999, 0)), "")</f>
        <v>1</v>
      </c>
      <c r="K903" s="3" t="b">
        <f>AND(F903, J903)</f>
        <v>0</v>
      </c>
      <c r="L903" s="3" t="b">
        <f>AND(G903 &lt;&gt; "plain", G903 &lt;&gt; "")</f>
        <v>0</v>
      </c>
      <c r="M903" s="3" t="str">
        <f>IF(E903, C903 &amp; "|" &amp; H903, "")</f>
        <v>principal-process-steward|Mentorships</v>
      </c>
      <c r="N903" s="2" t="s">
        <v>9938</v>
      </c>
    </row>
    <row r="904">
      <c r="A904" s="2" t="s">
        <v>10840</v>
      </c>
      <c r="B904" s="3" t="str">
        <f>C904 &amp; " -&gt; " &amp; D904</f>
        <v>principal-process-steward -&gt; Mentorships.CommunityOfPractice</v>
      </c>
      <c r="C904" s="2" t="s">
        <v>9706</v>
      </c>
      <c r="D904" s="2" t="s">
        <v>2636</v>
      </c>
      <c r="E904" s="2" t="b">
        <v>1</v>
      </c>
      <c r="F904" s="2" t="b">
        <v>0</v>
      </c>
      <c r="G904" s="2" t="s">
        <v>9937</v>
      </c>
      <c r="H904" s="3" t="str">
        <f>_xlfn.IFNA(INDEX(RulebookFields!C2:C999, MATCH(D904,RulebookFields!A2:A999, 0)), "")</f>
        <v>Mentorships</v>
      </c>
      <c r="I904" s="3" t="str">
        <f>_xlfn.IFNA(INDEX(RulebookFields!D2:D999, MATCH(D904,RulebookFields!A2:A999, 0)), "")</f>
        <v>CommunityOfPractice</v>
      </c>
      <c r="J904" s="3" t="b">
        <f>_xlfn.IFNA(INDEX(RulebookFields!I2:I999, MATCH(D904,RulebookFields!A2:A999, 0)), "")</f>
        <v>0</v>
      </c>
      <c r="K904" s="3" t="b">
        <f>AND(F904, J904)</f>
        <v>0</v>
      </c>
      <c r="L904" s="3" t="b">
        <f>AND(G904 &lt;&gt; "plain", G904 &lt;&gt; "")</f>
        <v>0</v>
      </c>
      <c r="M904" s="3" t="str">
        <f>IF(E904, C904 &amp; "|" &amp; H904, "")</f>
        <v>principal-process-steward|Mentorships</v>
      </c>
      <c r="N904" s="2" t="s">
        <v>9938</v>
      </c>
    </row>
    <row r="905">
      <c r="A905" s="2" t="s">
        <v>10841</v>
      </c>
      <c r="B905" s="3" t="str">
        <f>C905 &amp; " -&gt; " &amp; D905</f>
        <v>principal-process-steward -&gt; Mentorships.MentorAgent</v>
      </c>
      <c r="C905" s="2" t="s">
        <v>9706</v>
      </c>
      <c r="D905" s="2" t="s">
        <v>2637</v>
      </c>
      <c r="E905" s="2" t="b">
        <v>1</v>
      </c>
      <c r="F905" s="2" t="b">
        <v>0</v>
      </c>
      <c r="G905" s="2" t="s">
        <v>9937</v>
      </c>
      <c r="H905" s="3" t="str">
        <f>_xlfn.IFNA(INDEX(RulebookFields!C2:C999, MATCH(D905,RulebookFields!A2:A999, 0)), "")</f>
        <v>Mentorships</v>
      </c>
      <c r="I905" s="3" t="str">
        <f>_xlfn.IFNA(INDEX(RulebookFields!D2:D999, MATCH(D905,RulebookFields!A2:A999, 0)), "")</f>
        <v>MentorAgent</v>
      </c>
      <c r="J905" s="3" t="b">
        <f>_xlfn.IFNA(INDEX(RulebookFields!I2:I999, MATCH(D905,RulebookFields!A2:A999, 0)), "")</f>
        <v>0</v>
      </c>
      <c r="K905" s="3" t="b">
        <f>AND(F905, J905)</f>
        <v>0</v>
      </c>
      <c r="L905" s="3" t="b">
        <f>AND(G905 &lt;&gt; "plain", G905 &lt;&gt; "")</f>
        <v>0</v>
      </c>
      <c r="M905" s="3" t="str">
        <f>IF(E905, C905 &amp; "|" &amp; H905, "")</f>
        <v>principal-process-steward|Mentorships</v>
      </c>
      <c r="N905" s="2" t="s">
        <v>9938</v>
      </c>
    </row>
    <row r="906">
      <c r="A906" s="2" t="s">
        <v>10842</v>
      </c>
      <c r="B906" s="3" t="str">
        <f>C906 &amp; " -&gt; " &amp; D906</f>
        <v>principal-process-steward -&gt; Mentorships.LearnerAgent</v>
      </c>
      <c r="C906" s="2" t="s">
        <v>9706</v>
      </c>
      <c r="D906" s="2" t="s">
        <v>2638</v>
      </c>
      <c r="E906" s="2" t="b">
        <v>1</v>
      </c>
      <c r="F906" s="2" t="b">
        <v>0</v>
      </c>
      <c r="G906" s="2" t="s">
        <v>9937</v>
      </c>
      <c r="H906" s="3" t="str">
        <f>_xlfn.IFNA(INDEX(RulebookFields!C2:C999, MATCH(D906,RulebookFields!A2:A999, 0)), "")</f>
        <v>Mentorships</v>
      </c>
      <c r="I906" s="3" t="str">
        <f>_xlfn.IFNA(INDEX(RulebookFields!D2:D999, MATCH(D906,RulebookFields!A2:A999, 0)), "")</f>
        <v>LearnerAgent</v>
      </c>
      <c r="J906" s="3" t="b">
        <f>_xlfn.IFNA(INDEX(RulebookFields!I2:I999, MATCH(D906,RulebookFields!A2:A999, 0)), "")</f>
        <v>0</v>
      </c>
      <c r="K906" s="3" t="b">
        <f>AND(F906, J906)</f>
        <v>0</v>
      </c>
      <c r="L906" s="3" t="b">
        <f>AND(G906 &lt;&gt; "plain", G906 &lt;&gt; "")</f>
        <v>0</v>
      </c>
      <c r="M906" s="3" t="str">
        <f>IF(E906, C906 &amp; "|" &amp; H906, "")</f>
        <v>principal-process-steward|Mentorships</v>
      </c>
      <c r="N906" s="2" t="s">
        <v>9938</v>
      </c>
    </row>
    <row r="907">
      <c r="A907" s="2" t="s">
        <v>10843</v>
      </c>
      <c r="B907" s="3" t="str">
        <f>C907 &amp; " -&gt; " &amp; D907</f>
        <v>principal-process-steward -&gt; Mentorships.ValidFrom</v>
      </c>
      <c r="C907" s="2" t="s">
        <v>9706</v>
      </c>
      <c r="D907" s="2" t="s">
        <v>2639</v>
      </c>
      <c r="E907" s="2" t="b">
        <v>1</v>
      </c>
      <c r="F907" s="2" t="b">
        <v>0</v>
      </c>
      <c r="G907" s="2" t="s">
        <v>9937</v>
      </c>
      <c r="H907" s="3" t="str">
        <f>_xlfn.IFNA(INDEX(RulebookFields!C2:C999, MATCH(D907,RulebookFields!A2:A999, 0)), "")</f>
        <v>Mentorships</v>
      </c>
      <c r="I907" s="3" t="str">
        <f>_xlfn.IFNA(INDEX(RulebookFields!D2:D999, MATCH(D907,RulebookFields!A2:A999, 0)), "")</f>
        <v>ValidFrom</v>
      </c>
      <c r="J907" s="3" t="b">
        <f>_xlfn.IFNA(INDEX(RulebookFields!I2:I999, MATCH(D907,RulebookFields!A2:A999, 0)), "")</f>
        <v>0</v>
      </c>
      <c r="K907" s="3" t="b">
        <f>AND(F907, J907)</f>
        <v>0</v>
      </c>
      <c r="L907" s="3" t="b">
        <f>AND(G907 &lt;&gt; "plain", G907 &lt;&gt; "")</f>
        <v>0</v>
      </c>
      <c r="M907" s="3" t="str">
        <f>IF(E907, C907 &amp; "|" &amp; H907, "")</f>
        <v>principal-process-steward|Mentorships</v>
      </c>
      <c r="N907" s="2" t="s">
        <v>9938</v>
      </c>
    </row>
    <row r="908">
      <c r="A908" s="2" t="s">
        <v>10844</v>
      </c>
      <c r="B908" s="3" t="str">
        <f>C908 &amp; " -&gt; " &amp; D908</f>
        <v>principal-process-steward -&gt; Mentorships.ValidTo</v>
      </c>
      <c r="C908" s="2" t="s">
        <v>9706</v>
      </c>
      <c r="D908" s="2" t="s">
        <v>2640</v>
      </c>
      <c r="E908" s="2" t="b">
        <v>1</v>
      </c>
      <c r="F908" s="2" t="b">
        <v>0</v>
      </c>
      <c r="G908" s="2" t="s">
        <v>9937</v>
      </c>
      <c r="H908" s="3" t="str">
        <f>_xlfn.IFNA(INDEX(RulebookFields!C2:C999, MATCH(D908,RulebookFields!A2:A999, 0)), "")</f>
        <v>Mentorships</v>
      </c>
      <c r="I908" s="3" t="str">
        <f>_xlfn.IFNA(INDEX(RulebookFields!D2:D999, MATCH(D908,RulebookFields!A2:A999, 0)), "")</f>
        <v>ValidTo</v>
      </c>
      <c r="J908" s="3" t="b">
        <f>_xlfn.IFNA(INDEX(RulebookFields!I2:I999, MATCH(D908,RulebookFields!A2:A999, 0)), "")</f>
        <v>0</v>
      </c>
      <c r="K908" s="3" t="b">
        <f>AND(F908, J908)</f>
        <v>0</v>
      </c>
      <c r="L908" s="3" t="b">
        <f>AND(G908 &lt;&gt; "plain", G908 &lt;&gt; "")</f>
        <v>0</v>
      </c>
      <c r="M908" s="3" t="str">
        <f>IF(E908, C908 &amp; "|" &amp; H908, "")</f>
        <v>principal-process-steward|Mentorships</v>
      </c>
      <c r="N908" s="2" t="s">
        <v>9938</v>
      </c>
    </row>
    <row r="909">
      <c r="A909" s="2" t="s">
        <v>10845</v>
      </c>
      <c r="B909" s="3" t="str">
        <f>C909 &amp; " -&gt; " &amp; D909</f>
        <v>principal-process-steward -&gt; Mentorships.LearningObjective</v>
      </c>
      <c r="C909" s="2" t="s">
        <v>9706</v>
      </c>
      <c r="D909" s="2" t="s">
        <v>2641</v>
      </c>
      <c r="E909" s="2" t="b">
        <v>1</v>
      </c>
      <c r="F909" s="2" t="b">
        <v>0</v>
      </c>
      <c r="G909" s="2" t="s">
        <v>9937</v>
      </c>
      <c r="H909" s="3" t="str">
        <f>_xlfn.IFNA(INDEX(RulebookFields!C2:C999, MATCH(D909,RulebookFields!A2:A999, 0)), "")</f>
        <v>Mentorships</v>
      </c>
      <c r="I909" s="3" t="str">
        <f>_xlfn.IFNA(INDEX(RulebookFields!D2:D999, MATCH(D909,RulebookFields!A2:A999, 0)), "")</f>
        <v>LearningObjective</v>
      </c>
      <c r="J909" s="3" t="b">
        <f>_xlfn.IFNA(INDEX(RulebookFields!I2:I999, MATCH(D909,RulebookFields!A2:A999, 0)), "")</f>
        <v>0</v>
      </c>
      <c r="K909" s="3" t="b">
        <f>AND(F909, J909)</f>
        <v>0</v>
      </c>
      <c r="L909" s="3" t="b">
        <f>AND(G909 &lt;&gt; "plain", G909 &lt;&gt; "")</f>
        <v>0</v>
      </c>
      <c r="M909" s="3" t="str">
        <f>IF(E909, C909 &amp; "|" &amp; H909, "")</f>
        <v>principal-process-steward|Mentorships</v>
      </c>
      <c r="N909" s="2" t="s">
        <v>9938</v>
      </c>
    </row>
    <row r="910">
      <c r="A910" s="2" t="s">
        <v>10846</v>
      </c>
      <c r="B910" s="3" t="str">
        <f>C910 &amp; " -&gt; " &amp; D910</f>
        <v>principal-process-steward -&gt; Mentorships.EvidenceOfCompletion</v>
      </c>
      <c r="C910" s="2" t="s">
        <v>9706</v>
      </c>
      <c r="D910" s="2" t="s">
        <v>2642</v>
      </c>
      <c r="E910" s="2" t="b">
        <v>1</v>
      </c>
      <c r="F910" s="2" t="b">
        <v>0</v>
      </c>
      <c r="G910" s="2" t="s">
        <v>9937</v>
      </c>
      <c r="H910" s="3" t="str">
        <f>_xlfn.IFNA(INDEX(RulebookFields!C2:C999, MATCH(D910,RulebookFields!A2:A999, 0)), "")</f>
        <v>Mentorships</v>
      </c>
      <c r="I910" s="3" t="str">
        <f>_xlfn.IFNA(INDEX(RulebookFields!D2:D999, MATCH(D910,RulebookFields!A2:A999, 0)), "")</f>
        <v>EvidenceOfCompletion</v>
      </c>
      <c r="J910" s="3" t="b">
        <f>_xlfn.IFNA(INDEX(RulebookFields!I2:I999, MATCH(D910,RulebookFields!A2:A999, 0)), "")</f>
        <v>0</v>
      </c>
      <c r="K910" s="3" t="b">
        <f>AND(F910, J910)</f>
        <v>0</v>
      </c>
      <c r="L910" s="3" t="b">
        <f>AND(G910 &lt;&gt; "plain", G910 &lt;&gt; "")</f>
        <v>0</v>
      </c>
      <c r="M910" s="3" t="str">
        <f>IF(E910, C910 &amp; "|" &amp; H910, "")</f>
        <v>principal-process-steward|Mentorships</v>
      </c>
      <c r="N910" s="2" t="s">
        <v>9938</v>
      </c>
    </row>
    <row r="911">
      <c r="A911" s="2" t="s">
        <v>10847</v>
      </c>
      <c r="B911" s="3" t="str">
        <f>C911 &amp; " -&gt; " &amp; D911</f>
        <v>principal-process-steward -&gt; Mentorships.SemanticTypeIri</v>
      </c>
      <c r="C911" s="2" t="s">
        <v>9706</v>
      </c>
      <c r="D911" s="2" t="s">
        <v>2643</v>
      </c>
      <c r="E911" s="2" t="b">
        <v>1</v>
      </c>
      <c r="F911" s="2" t="b">
        <v>0</v>
      </c>
      <c r="G911" s="2" t="s">
        <v>9937</v>
      </c>
      <c r="H911" s="3" t="str">
        <f>_xlfn.IFNA(INDEX(RulebookFields!C2:C999, MATCH(D911,RulebookFields!A2:A999, 0)), "")</f>
        <v>Mentorships</v>
      </c>
      <c r="I911" s="3" t="str">
        <f>_xlfn.IFNA(INDEX(RulebookFields!D2:D999, MATCH(D911,RulebookFields!A2:A999, 0)), "")</f>
        <v>SemanticTypeIri</v>
      </c>
      <c r="J911" s="3" t="b">
        <f>_xlfn.IFNA(INDEX(RulebookFields!I2:I999, MATCH(D911,RulebookFields!A2:A999, 0)), "")</f>
        <v>0</v>
      </c>
      <c r="K911" s="3" t="b">
        <f>AND(F911, J911)</f>
        <v>0</v>
      </c>
      <c r="L911" s="3" t="b">
        <f>AND(G911 &lt;&gt; "plain", G911 &lt;&gt; "")</f>
        <v>0</v>
      </c>
      <c r="M911" s="3" t="str">
        <f>IF(E911, C911 &amp; "|" &amp; H911, "")</f>
        <v>principal-process-steward|Mentorships</v>
      </c>
      <c r="N911" s="2" t="s">
        <v>9938</v>
      </c>
    </row>
    <row r="912">
      <c r="A912" s="2" t="s">
        <v>10848</v>
      </c>
      <c r="B912" s="3" t="str">
        <f>C912 &amp; " -&gt; " &amp; D912</f>
        <v>principal-process-steward -&gt; MessageDeliveries.MessageDeliveryId</v>
      </c>
      <c r="C912" s="2" t="s">
        <v>9706</v>
      </c>
      <c r="D912" s="2" t="s">
        <v>4377</v>
      </c>
      <c r="E912" s="2" t="b">
        <v>1</v>
      </c>
      <c r="F912" s="2" t="b">
        <v>0</v>
      </c>
      <c r="G912" s="2" t="s">
        <v>9937</v>
      </c>
      <c r="H912" s="3" t="str">
        <f>_xlfn.IFNA(INDEX(RulebookFields!C2:C999, MATCH(D912,RulebookFields!A2:A999, 0)), "")</f>
      </c>
      <c r="I912" s="3" t="str">
        <f>_xlfn.IFNA(INDEX(RulebookFields!D2:D999, MATCH(D912,RulebookFields!A2:A999, 0)), "")</f>
      </c>
      <c r="J912" s="3" t="str">
        <f>_xlfn.IFNA(INDEX(RulebookFields!I2:I999, MATCH(D912,RulebookFields!A2:A999, 0)), "")</f>
      </c>
      <c r="K912" s="3" t="b">
        <f>AND(F912, J912)</f>
        <v>0</v>
      </c>
      <c r="L912" s="3" t="b">
        <f>AND(G912 &lt;&gt; "plain", G912 &lt;&gt; "")</f>
        <v>0</v>
      </c>
      <c r="M912" s="3" t="str">
        <f>IF(E912, C912 &amp; "|" &amp; H912, "")</f>
        <v>principal-process-steward|</v>
      </c>
      <c r="N912" s="2" t="s">
        <v>9938</v>
      </c>
    </row>
    <row r="913">
      <c r="A913" s="2" t="s">
        <v>10849</v>
      </c>
      <c r="B913" s="3" t="str">
        <f>C913 &amp; " -&gt; " &amp; D913</f>
        <v>principal-process-steward -&gt; MessageDeliveries.Name</v>
      </c>
      <c r="C913" s="2" t="s">
        <v>9706</v>
      </c>
      <c r="D913" s="2" t="s">
        <v>4380</v>
      </c>
      <c r="E913" s="2" t="b">
        <v>1</v>
      </c>
      <c r="F913" s="2" t="b">
        <v>0</v>
      </c>
      <c r="G913" s="2" t="s">
        <v>9937</v>
      </c>
      <c r="H913" s="3" t="str">
        <f>_xlfn.IFNA(INDEX(RulebookFields!C2:C999, MATCH(D913,RulebookFields!A2:A999, 0)), "")</f>
      </c>
      <c r="I913" s="3" t="str">
        <f>_xlfn.IFNA(INDEX(RulebookFields!D2:D999, MATCH(D913,RulebookFields!A2:A999, 0)), "")</f>
      </c>
      <c r="J913" s="3" t="str">
        <f>_xlfn.IFNA(INDEX(RulebookFields!I2:I999, MATCH(D913,RulebookFields!A2:A999, 0)), "")</f>
      </c>
      <c r="K913" s="3" t="b">
        <f>AND(F913, J913)</f>
        <v>0</v>
      </c>
      <c r="L913" s="3" t="b">
        <f>AND(G913 &lt;&gt; "plain", G913 &lt;&gt; "")</f>
        <v>0</v>
      </c>
      <c r="M913" s="3" t="str">
        <f>IF(E913, C913 &amp; "|" &amp; H913, "")</f>
        <v>principal-process-steward|</v>
      </c>
      <c r="N913" s="2" t="s">
        <v>9938</v>
      </c>
    </row>
    <row r="914">
      <c r="A914" s="2" t="s">
        <v>10850</v>
      </c>
      <c r="B914" s="3" t="str">
        <f>C914 &amp; " -&gt; " &amp; D914</f>
        <v>principal-process-steward -&gt; MessageDeliveries.ProcedureExecution</v>
      </c>
      <c r="C914" s="2" t="s">
        <v>9706</v>
      </c>
      <c r="D914" s="2" t="s">
        <v>4382</v>
      </c>
      <c r="E914" s="2" t="b">
        <v>1</v>
      </c>
      <c r="F914" s="2" t="b">
        <v>0</v>
      </c>
      <c r="G914" s="2" t="s">
        <v>9937</v>
      </c>
      <c r="H914" s="3" t="str">
        <f>_xlfn.IFNA(INDEX(RulebookFields!C2:C999, MATCH(D914,RulebookFields!A2:A999, 0)), "")</f>
      </c>
      <c r="I914" s="3" t="str">
        <f>_xlfn.IFNA(INDEX(RulebookFields!D2:D999, MATCH(D914,RulebookFields!A2:A999, 0)), "")</f>
      </c>
      <c r="J914" s="3" t="str">
        <f>_xlfn.IFNA(INDEX(RulebookFields!I2:I999, MATCH(D914,RulebookFields!A2:A999, 0)), "")</f>
      </c>
      <c r="K914" s="3" t="b">
        <f>AND(F914, J914)</f>
        <v>0</v>
      </c>
      <c r="L914" s="3" t="b">
        <f>AND(G914 &lt;&gt; "plain", G914 &lt;&gt; "")</f>
        <v>0</v>
      </c>
      <c r="M914" s="3" t="str">
        <f>IF(E914, C914 &amp; "|" &amp; H914, "")</f>
        <v>principal-process-steward|</v>
      </c>
      <c r="N914" s="2" t="s">
        <v>9938</v>
      </c>
    </row>
    <row r="915">
      <c r="A915" s="2" t="s">
        <v>10851</v>
      </c>
      <c r="B915" s="3" t="str">
        <f>C915 &amp; " -&gt; " &amp; D915</f>
        <v>principal-process-steward -&gt; MessageDeliveries.StepExecution</v>
      </c>
      <c r="C915" s="2" t="s">
        <v>9706</v>
      </c>
      <c r="D915" s="2" t="s">
        <v>4383</v>
      </c>
      <c r="E915" s="2" t="b">
        <v>1</v>
      </c>
      <c r="F915" s="2" t="b">
        <v>0</v>
      </c>
      <c r="G915" s="2" t="s">
        <v>9937</v>
      </c>
      <c r="H915" s="3" t="str">
        <f>_xlfn.IFNA(INDEX(RulebookFields!C2:C999, MATCH(D915,RulebookFields!A2:A999, 0)), "")</f>
      </c>
      <c r="I915" s="3" t="str">
        <f>_xlfn.IFNA(INDEX(RulebookFields!D2:D999, MATCH(D915,RulebookFields!A2:A999, 0)), "")</f>
      </c>
      <c r="J915" s="3" t="str">
        <f>_xlfn.IFNA(INDEX(RulebookFields!I2:I999, MATCH(D915,RulebookFields!A2:A999, 0)), "")</f>
      </c>
      <c r="K915" s="3" t="b">
        <f>AND(F915, J915)</f>
        <v>0</v>
      </c>
      <c r="L915" s="3" t="b">
        <f>AND(G915 &lt;&gt; "plain", G915 &lt;&gt; "")</f>
        <v>0</v>
      </c>
      <c r="M915" s="3" t="str">
        <f>IF(E915, C915 &amp; "|" &amp; H915, "")</f>
        <v>principal-process-steward|</v>
      </c>
      <c r="N915" s="2" t="s">
        <v>9938</v>
      </c>
    </row>
    <row r="916">
      <c r="A916" s="2" t="s">
        <v>10852</v>
      </c>
      <c r="B916" s="3" t="str">
        <f>C916 &amp; " -&gt; " &amp; D916</f>
        <v>principal-process-steward -&gt; MessageDeliveries.Recipient</v>
      </c>
      <c r="C916" s="2" t="s">
        <v>9706</v>
      </c>
      <c r="D916" s="2" t="s">
        <v>4384</v>
      </c>
      <c r="E916" s="2" t="b">
        <v>1</v>
      </c>
      <c r="F916" s="2" t="b">
        <v>0</v>
      </c>
      <c r="G916" s="2" t="s">
        <v>9937</v>
      </c>
      <c r="H916" s="3" t="str">
        <f>_xlfn.IFNA(INDEX(RulebookFields!C2:C999, MATCH(D916,RulebookFields!A2:A999, 0)), "")</f>
      </c>
      <c r="I916" s="3" t="str">
        <f>_xlfn.IFNA(INDEX(RulebookFields!D2:D999, MATCH(D916,RulebookFields!A2:A999, 0)), "")</f>
      </c>
      <c r="J916" s="3" t="str">
        <f>_xlfn.IFNA(INDEX(RulebookFields!I2:I999, MATCH(D916,RulebookFields!A2:A999, 0)), "")</f>
      </c>
      <c r="K916" s="3" t="b">
        <f>AND(F916, J916)</f>
        <v>0</v>
      </c>
      <c r="L916" s="3" t="b">
        <f>AND(G916 &lt;&gt; "plain", G916 &lt;&gt; "")</f>
        <v>0</v>
      </c>
      <c r="M916" s="3" t="str">
        <f>IF(E916, C916 &amp; "|" &amp; H916, "")</f>
        <v>principal-process-steward|</v>
      </c>
      <c r="N916" s="2" t="s">
        <v>9938</v>
      </c>
    </row>
    <row r="917">
      <c r="A917" s="2" t="s">
        <v>10853</v>
      </c>
      <c r="B917" s="3" t="str">
        <f>C917 &amp; " -&gt; " &amp; D917</f>
        <v>principal-process-steward -&gt; MessageDeliveries.MessageTemplate</v>
      </c>
      <c r="C917" s="2" t="s">
        <v>9706</v>
      </c>
      <c r="D917" s="2" t="s">
        <v>4386</v>
      </c>
      <c r="E917" s="2" t="b">
        <v>1</v>
      </c>
      <c r="F917" s="2" t="b">
        <v>0</v>
      </c>
      <c r="G917" s="2" t="s">
        <v>9937</v>
      </c>
      <c r="H917" s="3" t="str">
        <f>_xlfn.IFNA(INDEX(RulebookFields!C2:C999, MATCH(D917,RulebookFields!A2:A999, 0)), "")</f>
      </c>
      <c r="I917" s="3" t="str">
        <f>_xlfn.IFNA(INDEX(RulebookFields!D2:D999, MATCH(D917,RulebookFields!A2:A999, 0)), "")</f>
      </c>
      <c r="J917" s="3" t="str">
        <f>_xlfn.IFNA(INDEX(RulebookFields!I2:I999, MATCH(D917,RulebookFields!A2:A999, 0)), "")</f>
      </c>
      <c r="K917" s="3" t="b">
        <f>AND(F917, J917)</f>
        <v>0</v>
      </c>
      <c r="L917" s="3" t="b">
        <f>AND(G917 &lt;&gt; "plain", G917 &lt;&gt; "")</f>
        <v>0</v>
      </c>
      <c r="M917" s="3" t="str">
        <f>IF(E917, C917 &amp; "|" &amp; H917, "")</f>
        <v>principal-process-steward|</v>
      </c>
      <c r="N917" s="2" t="s">
        <v>9938</v>
      </c>
    </row>
    <row r="918">
      <c r="A918" s="2" t="s">
        <v>10854</v>
      </c>
      <c r="B918" s="3" t="str">
        <f>C918 &amp; " -&gt; " &amp; D918</f>
        <v>principal-process-steward -&gt; MessageDeliveries.SentByAgent</v>
      </c>
      <c r="C918" s="2" t="s">
        <v>9706</v>
      </c>
      <c r="D918" s="2" t="s">
        <v>4388</v>
      </c>
      <c r="E918" s="2" t="b">
        <v>1</v>
      </c>
      <c r="F918" s="2" t="b">
        <v>0</v>
      </c>
      <c r="G918" s="2" t="s">
        <v>9937</v>
      </c>
      <c r="H918" s="3" t="str">
        <f>_xlfn.IFNA(INDEX(RulebookFields!C2:C999, MATCH(D918,RulebookFields!A2:A999, 0)), "")</f>
      </c>
      <c r="I918" s="3" t="str">
        <f>_xlfn.IFNA(INDEX(RulebookFields!D2:D999, MATCH(D918,RulebookFields!A2:A999, 0)), "")</f>
      </c>
      <c r="J918" s="3" t="str">
        <f>_xlfn.IFNA(INDEX(RulebookFields!I2:I999, MATCH(D918,RulebookFields!A2:A999, 0)), "")</f>
      </c>
      <c r="K918" s="3" t="b">
        <f>AND(F918, J918)</f>
        <v>0</v>
      </c>
      <c r="L918" s="3" t="b">
        <f>AND(G918 &lt;&gt; "plain", G918 &lt;&gt; "")</f>
        <v>0</v>
      </c>
      <c r="M918" s="3" t="str">
        <f>IF(E918, C918 &amp; "|" &amp; H918, "")</f>
        <v>principal-process-steward|</v>
      </c>
      <c r="N918" s="2" t="s">
        <v>9938</v>
      </c>
    </row>
    <row r="919">
      <c r="A919" s="2" t="s">
        <v>10855</v>
      </c>
      <c r="B919" s="3" t="str">
        <f>C919 &amp; " -&gt; " &amp; D919</f>
        <v>principal-process-steward -&gt; MessageDeliveries.RenderedBody</v>
      </c>
      <c r="C919" s="2" t="s">
        <v>9706</v>
      </c>
      <c r="D919" s="2" t="s">
        <v>4390</v>
      </c>
      <c r="E919" s="2" t="b">
        <v>1</v>
      </c>
      <c r="F919" s="2" t="b">
        <v>0</v>
      </c>
      <c r="G919" s="2" t="s">
        <v>9937</v>
      </c>
      <c r="H919" s="3" t="str">
        <f>_xlfn.IFNA(INDEX(RulebookFields!C2:C999, MATCH(D919,RulebookFields!A2:A999, 0)), "")</f>
      </c>
      <c r="I919" s="3" t="str">
        <f>_xlfn.IFNA(INDEX(RulebookFields!D2:D999, MATCH(D919,RulebookFields!A2:A999, 0)), "")</f>
      </c>
      <c r="J919" s="3" t="str">
        <f>_xlfn.IFNA(INDEX(RulebookFields!I2:I999, MATCH(D919,RulebookFields!A2:A999, 0)), "")</f>
      </c>
      <c r="K919" s="3" t="b">
        <f>AND(F919, J919)</f>
        <v>0</v>
      </c>
      <c r="L919" s="3" t="b">
        <f>AND(G919 &lt;&gt; "plain", G919 &lt;&gt; "")</f>
        <v>0</v>
      </c>
      <c r="M919" s="3" t="str">
        <f>IF(E919, C919 &amp; "|" &amp; H919, "")</f>
        <v>principal-process-steward|</v>
      </c>
      <c r="N919" s="2" t="s">
        <v>9938</v>
      </c>
    </row>
    <row r="920">
      <c r="A920" s="2" t="s">
        <v>10856</v>
      </c>
      <c r="B920" s="3" t="str">
        <f>C920 &amp; " -&gt; " &amp; D920</f>
        <v>principal-process-steward -&gt; MessageDeliveries.SentAt</v>
      </c>
      <c r="C920" s="2" t="s">
        <v>9706</v>
      </c>
      <c r="D920" s="2" t="s">
        <v>4392</v>
      </c>
      <c r="E920" s="2" t="b">
        <v>1</v>
      </c>
      <c r="F920" s="2" t="b">
        <v>0</v>
      </c>
      <c r="G920" s="2" t="s">
        <v>9937</v>
      </c>
      <c r="H920" s="3" t="str">
        <f>_xlfn.IFNA(INDEX(RulebookFields!C2:C999, MATCH(D920,RulebookFields!A2:A999, 0)), "")</f>
      </c>
      <c r="I920" s="3" t="str">
        <f>_xlfn.IFNA(INDEX(RulebookFields!D2:D999, MATCH(D920,RulebookFields!A2:A999, 0)), "")</f>
      </c>
      <c r="J920" s="3" t="str">
        <f>_xlfn.IFNA(INDEX(RulebookFields!I2:I999, MATCH(D920,RulebookFields!A2:A999, 0)), "")</f>
      </c>
      <c r="K920" s="3" t="b">
        <f>AND(F920, J920)</f>
        <v>0</v>
      </c>
      <c r="L920" s="3" t="b">
        <f>AND(G920 &lt;&gt; "plain", G920 &lt;&gt; "")</f>
        <v>0</v>
      </c>
      <c r="M920" s="3" t="str">
        <f>IF(E920, C920 &amp; "|" &amp; H920, "")</f>
        <v>principal-process-steward|</v>
      </c>
      <c r="N920" s="2" t="s">
        <v>9938</v>
      </c>
    </row>
    <row r="921">
      <c r="A921" s="2" t="s">
        <v>10857</v>
      </c>
      <c r="B921" s="3" t="str">
        <f>C921 &amp; " -&gt; " &amp; D921</f>
        <v>principal-process-steward -&gt; MessageDeliveries.SentAtLocalHour</v>
      </c>
      <c r="C921" s="2" t="s">
        <v>9706</v>
      </c>
      <c r="D921" s="2" t="s">
        <v>4394</v>
      </c>
      <c r="E921" s="2" t="b">
        <v>1</v>
      </c>
      <c r="F921" s="2" t="b">
        <v>0</v>
      </c>
      <c r="G921" s="2" t="s">
        <v>9937</v>
      </c>
      <c r="H921" s="3" t="str">
        <f>_xlfn.IFNA(INDEX(RulebookFields!C2:C999, MATCH(D921,RulebookFields!A2:A999, 0)), "")</f>
      </c>
      <c r="I921" s="3" t="str">
        <f>_xlfn.IFNA(INDEX(RulebookFields!D2:D999, MATCH(D921,RulebookFields!A2:A999, 0)), "")</f>
      </c>
      <c r="J921" s="3" t="str">
        <f>_xlfn.IFNA(INDEX(RulebookFields!I2:I999, MATCH(D921,RulebookFields!A2:A999, 0)), "")</f>
      </c>
      <c r="K921" s="3" t="b">
        <f>AND(F921, J921)</f>
        <v>0</v>
      </c>
      <c r="L921" s="3" t="b">
        <f>AND(G921 &lt;&gt; "plain", G921 &lt;&gt; "")</f>
        <v>0</v>
      </c>
      <c r="M921" s="3" t="str">
        <f>IF(E921, C921 &amp; "|" &amp; H921, "")</f>
        <v>principal-process-steward|</v>
      </c>
      <c r="N921" s="2" t="s">
        <v>9938</v>
      </c>
    </row>
    <row r="922">
      <c r="A922" s="2" t="s">
        <v>10858</v>
      </c>
      <c r="B922" s="3" t="str">
        <f>C922 &amp; " -&gt; " &amp; D922</f>
        <v>principal-process-steward -&gt; MessageDeliveries.DeliveryStatus</v>
      </c>
      <c r="C922" s="2" t="s">
        <v>9706</v>
      </c>
      <c r="D922" s="2" t="s">
        <v>4396</v>
      </c>
      <c r="E922" s="2" t="b">
        <v>1</v>
      </c>
      <c r="F922" s="2" t="b">
        <v>0</v>
      </c>
      <c r="G922" s="2" t="s">
        <v>9937</v>
      </c>
      <c r="H922" s="3" t="str">
        <f>_xlfn.IFNA(INDEX(RulebookFields!C2:C999, MATCH(D922,RulebookFields!A2:A999, 0)), "")</f>
      </c>
      <c r="I922" s="3" t="str">
        <f>_xlfn.IFNA(INDEX(RulebookFields!D2:D999, MATCH(D922,RulebookFields!A2:A999, 0)), "")</f>
      </c>
      <c r="J922" s="3" t="str">
        <f>_xlfn.IFNA(INDEX(RulebookFields!I2:I999, MATCH(D922,RulebookFields!A2:A999, 0)), "")</f>
      </c>
      <c r="K922" s="3" t="b">
        <f>AND(F922, J922)</f>
        <v>0</v>
      </c>
      <c r="L922" s="3" t="b">
        <f>AND(G922 &lt;&gt; "plain", G922 &lt;&gt; "")</f>
        <v>0</v>
      </c>
      <c r="M922" s="3" t="str">
        <f>IF(E922, C922 &amp; "|" &amp; H922, "")</f>
        <v>principal-process-steward|</v>
      </c>
      <c r="N922" s="2" t="s">
        <v>9938</v>
      </c>
    </row>
    <row r="923">
      <c r="A923" s="2" t="s">
        <v>10859</v>
      </c>
      <c r="B923" s="3" t="str">
        <f>C923 &amp; " -&gt; " &amp; D923</f>
        <v>principal-process-steward -&gt; MessageDeliveries.SuppressionReason</v>
      </c>
      <c r="C923" s="2" t="s">
        <v>9706</v>
      </c>
      <c r="D923" s="2" t="s">
        <v>4398</v>
      </c>
      <c r="E923" s="2" t="b">
        <v>1</v>
      </c>
      <c r="F923" s="2" t="b">
        <v>0</v>
      </c>
      <c r="G923" s="2" t="s">
        <v>9937</v>
      </c>
      <c r="H923" s="3" t="str">
        <f>_xlfn.IFNA(INDEX(RulebookFields!C2:C999, MATCH(D923,RulebookFields!A2:A999, 0)), "")</f>
      </c>
      <c r="I923" s="3" t="str">
        <f>_xlfn.IFNA(INDEX(RulebookFields!D2:D999, MATCH(D923,RulebookFields!A2:A999, 0)), "")</f>
      </c>
      <c r="J923" s="3" t="str">
        <f>_xlfn.IFNA(INDEX(RulebookFields!I2:I999, MATCH(D923,RulebookFields!A2:A999, 0)), "")</f>
      </c>
      <c r="K923" s="3" t="b">
        <f>AND(F923, J923)</f>
        <v>0</v>
      </c>
      <c r="L923" s="3" t="b">
        <f>AND(G923 &lt;&gt; "plain", G923 &lt;&gt; "")</f>
        <v>0</v>
      </c>
      <c r="M923" s="3" t="str">
        <f>IF(E923, C923 &amp; "|" &amp; H923, "")</f>
        <v>principal-process-steward|</v>
      </c>
      <c r="N923" s="2" t="s">
        <v>9938</v>
      </c>
    </row>
    <row r="924">
      <c r="A924" s="2" t="s">
        <v>10860</v>
      </c>
      <c r="B924" s="3" t="str">
        <f>C924 &amp; " -&gt; " &amp; D924</f>
        <v>principal-process-steward -&gt; MessageDeliveries.InvokedException</v>
      </c>
      <c r="C924" s="2" t="s">
        <v>9706</v>
      </c>
      <c r="D924" s="2" t="s">
        <v>4400</v>
      </c>
      <c r="E924" s="2" t="b">
        <v>1</v>
      </c>
      <c r="F924" s="2" t="b">
        <v>0</v>
      </c>
      <c r="G924" s="2" t="s">
        <v>9937</v>
      </c>
      <c r="H924" s="3" t="str">
        <f>_xlfn.IFNA(INDEX(RulebookFields!C2:C999, MATCH(D924,RulebookFields!A2:A999, 0)), "")</f>
      </c>
      <c r="I924" s="3" t="str">
        <f>_xlfn.IFNA(INDEX(RulebookFields!D2:D999, MATCH(D924,RulebookFields!A2:A999, 0)), "")</f>
      </c>
      <c r="J924" s="3" t="str">
        <f>_xlfn.IFNA(INDEX(RulebookFields!I2:I999, MATCH(D924,RulebookFields!A2:A999, 0)), "")</f>
      </c>
      <c r="K924" s="3" t="b">
        <f>AND(F924, J924)</f>
        <v>0</v>
      </c>
      <c r="L924" s="3" t="b">
        <f>AND(G924 &lt;&gt; "plain", G924 &lt;&gt; "")</f>
        <v>0</v>
      </c>
      <c r="M924" s="3" t="str">
        <f>IF(E924, C924 &amp; "|" &amp; H924, "")</f>
        <v>principal-process-steward|</v>
      </c>
      <c r="N924" s="2" t="s">
        <v>9938</v>
      </c>
    </row>
    <row r="925">
      <c r="A925" s="2" t="s">
        <v>10861</v>
      </c>
      <c r="B925" s="3" t="str">
        <f>C925 &amp; " -&gt; " &amp; D925</f>
        <v>principal-process-steward -&gt; MessageDeliveries.AcknowledgedAt</v>
      </c>
      <c r="C925" s="2" t="s">
        <v>9706</v>
      </c>
      <c r="D925" s="2" t="s">
        <v>4402</v>
      </c>
      <c r="E925" s="2" t="b">
        <v>1</v>
      </c>
      <c r="F925" s="2" t="b">
        <v>0</v>
      </c>
      <c r="G925" s="2" t="s">
        <v>9937</v>
      </c>
      <c r="H925" s="3" t="str">
        <f>_xlfn.IFNA(INDEX(RulebookFields!C2:C999, MATCH(D925,RulebookFields!A2:A999, 0)), "")</f>
      </c>
      <c r="I925" s="3" t="str">
        <f>_xlfn.IFNA(INDEX(RulebookFields!D2:D999, MATCH(D925,RulebookFields!A2:A999, 0)), "")</f>
      </c>
      <c r="J925" s="3" t="str">
        <f>_xlfn.IFNA(INDEX(RulebookFields!I2:I999, MATCH(D925,RulebookFields!A2:A999, 0)), "")</f>
      </c>
      <c r="K925" s="3" t="b">
        <f>AND(F925, J925)</f>
        <v>0</v>
      </c>
      <c r="L925" s="3" t="b">
        <f>AND(G925 &lt;&gt; "plain", G925 &lt;&gt; "")</f>
        <v>0</v>
      </c>
      <c r="M925" s="3" t="str">
        <f>IF(E925, C925 &amp; "|" &amp; H925, "")</f>
        <v>principal-process-steward|</v>
      </c>
      <c r="N925" s="2" t="s">
        <v>9938</v>
      </c>
    </row>
    <row r="926">
      <c r="A926" s="2" t="s">
        <v>10862</v>
      </c>
      <c r="B926" s="3" t="str">
        <f>C926 &amp; " -&gt; " &amp; D926</f>
        <v>principal-process-steward -&gt; MessageDeliveries.PolicyChannel</v>
      </c>
      <c r="C926" s="2" t="s">
        <v>9706</v>
      </c>
      <c r="D926" s="2" t="s">
        <v>4404</v>
      </c>
      <c r="E926" s="2" t="b">
        <v>1</v>
      </c>
      <c r="F926" s="2" t="b">
        <v>0</v>
      </c>
      <c r="G926" s="2" t="s">
        <v>9937</v>
      </c>
      <c r="H926" s="3" t="str">
        <f>_xlfn.IFNA(INDEX(RulebookFields!C2:C999, MATCH(D926,RulebookFields!A2:A999, 0)), "")</f>
      </c>
      <c r="I926" s="3" t="str">
        <f>_xlfn.IFNA(INDEX(RulebookFields!D2:D999, MATCH(D926,RulebookFields!A2:A999, 0)), "")</f>
      </c>
      <c r="J926" s="3" t="str">
        <f>_xlfn.IFNA(INDEX(RulebookFields!I2:I999, MATCH(D926,RulebookFields!A2:A999, 0)), "")</f>
      </c>
      <c r="K926" s="3" t="b">
        <f>AND(F926, J926)</f>
        <v>0</v>
      </c>
      <c r="L926" s="3" t="b">
        <f>AND(G926 &lt;&gt; "plain", G926 &lt;&gt; "")</f>
        <v>0</v>
      </c>
      <c r="M926" s="3" t="str">
        <f>IF(E926, C926 &amp; "|" &amp; H926, "")</f>
        <v>principal-process-steward|</v>
      </c>
      <c r="N926" s="2" t="s">
        <v>9938</v>
      </c>
    </row>
    <row r="927">
      <c r="A927" s="2" t="s">
        <v>10863</v>
      </c>
      <c r="B927" s="3" t="str">
        <f>C927 &amp; " -&gt; " &amp; D927</f>
        <v>principal-process-steward -&gt; MessageDeliveries.ChannelName</v>
      </c>
      <c r="C927" s="2" t="s">
        <v>9706</v>
      </c>
      <c r="D927" s="2" t="s">
        <v>4407</v>
      </c>
      <c r="E927" s="2" t="b">
        <v>1</v>
      </c>
      <c r="F927" s="2" t="b">
        <v>0</v>
      </c>
      <c r="G927" s="2" t="s">
        <v>9937</v>
      </c>
      <c r="H927" s="3" t="str">
        <f>_xlfn.IFNA(INDEX(RulebookFields!C2:C999, MATCH(D927,RulebookFields!A2:A999, 0)), "")</f>
      </c>
      <c r="I927" s="3" t="str">
        <f>_xlfn.IFNA(INDEX(RulebookFields!D2:D999, MATCH(D927,RulebookFields!A2:A999, 0)), "")</f>
      </c>
      <c r="J927" s="3" t="str">
        <f>_xlfn.IFNA(INDEX(RulebookFields!I2:I999, MATCH(D927,RulebookFields!A2:A999, 0)), "")</f>
      </c>
      <c r="K927" s="3" t="b">
        <f>AND(F927, J927)</f>
        <v>0</v>
      </c>
      <c r="L927" s="3" t="b">
        <f>AND(G927 &lt;&gt; "plain", G927 &lt;&gt; "")</f>
        <v>0</v>
      </c>
      <c r="M927" s="3" t="str">
        <f>IF(E927, C927 &amp; "|" &amp; H927, "")</f>
        <v>principal-process-steward|</v>
      </c>
      <c r="N927" s="2" t="s">
        <v>9938</v>
      </c>
    </row>
    <row r="928">
      <c r="A928" s="2" t="s">
        <v>10864</v>
      </c>
      <c r="B928" s="3" t="str">
        <f>C928 &amp; " -&gt; " &amp; D928</f>
        <v>principal-process-steward -&gt; MessageDeliveries.PolicyRequiresConsent</v>
      </c>
      <c r="C928" s="2" t="s">
        <v>9706</v>
      </c>
      <c r="D928" s="2" t="s">
        <v>4410</v>
      </c>
      <c r="E928" s="2" t="b">
        <v>1</v>
      </c>
      <c r="F928" s="2" t="b">
        <v>0</v>
      </c>
      <c r="G928" s="2" t="s">
        <v>9937</v>
      </c>
      <c r="H928" s="3" t="str">
        <f>_xlfn.IFNA(INDEX(RulebookFields!C2:C999, MATCH(D928,RulebookFields!A2:A999, 0)), "")</f>
      </c>
      <c r="I928" s="3" t="str">
        <f>_xlfn.IFNA(INDEX(RulebookFields!D2:D999, MATCH(D928,RulebookFields!A2:A999, 0)), "")</f>
      </c>
      <c r="J928" s="3" t="str">
        <f>_xlfn.IFNA(INDEX(RulebookFields!I2:I999, MATCH(D928,RulebookFields!A2:A999, 0)), "")</f>
      </c>
      <c r="K928" s="3" t="b">
        <f>AND(F928, J928)</f>
        <v>0</v>
      </c>
      <c r="L928" s="3" t="b">
        <f>AND(G928 &lt;&gt; "plain", G928 &lt;&gt; "")</f>
        <v>0</v>
      </c>
      <c r="M928" s="3" t="str">
        <f>IF(E928, C928 &amp; "|" &amp; H928, "")</f>
        <v>principal-process-steward|</v>
      </c>
      <c r="N928" s="2" t="s">
        <v>9938</v>
      </c>
    </row>
    <row r="929">
      <c r="A929" s="2" t="s">
        <v>10865</v>
      </c>
      <c r="B929" s="3" t="str">
        <f>C929 &amp; " -&gt; " &amp; D929</f>
        <v>principal-process-steward -&gt; MessageDeliveries.RecipientHasSmsConsent</v>
      </c>
      <c r="C929" s="2" t="s">
        <v>9706</v>
      </c>
      <c r="D929" s="2" t="s">
        <v>4413</v>
      </c>
      <c r="E929" s="2" t="b">
        <v>1</v>
      </c>
      <c r="F929" s="2" t="b">
        <v>0</v>
      </c>
      <c r="G929" s="2" t="s">
        <v>9937</v>
      </c>
      <c r="H929" s="3" t="str">
        <f>_xlfn.IFNA(INDEX(RulebookFields!C2:C999, MATCH(D929,RulebookFields!A2:A999, 0)), "")</f>
      </c>
      <c r="I929" s="3" t="str">
        <f>_xlfn.IFNA(INDEX(RulebookFields!D2:D999, MATCH(D929,RulebookFields!A2:A999, 0)), "")</f>
      </c>
      <c r="J929" s="3" t="str">
        <f>_xlfn.IFNA(INDEX(RulebookFields!I2:I999, MATCH(D929,RulebookFields!A2:A999, 0)), "")</f>
      </c>
      <c r="K929" s="3" t="b">
        <f>AND(F929, J929)</f>
        <v>0</v>
      </c>
      <c r="L929" s="3" t="b">
        <f>AND(G929 &lt;&gt; "plain", G929 &lt;&gt; "")</f>
        <v>0</v>
      </c>
      <c r="M929" s="3" t="str">
        <f>IF(E929, C929 &amp; "|" &amp; H929, "")</f>
        <v>principal-process-steward|</v>
      </c>
      <c r="N929" s="2" t="s">
        <v>9938</v>
      </c>
    </row>
    <row r="930">
      <c r="A930" s="2" t="s">
        <v>10866</v>
      </c>
      <c r="B930" s="3" t="str">
        <f>C930 &amp; " -&gt; " &amp; D930</f>
        <v>principal-process-steward -&gt; MessageDeliveries.WasActuallyTransmitted</v>
      </c>
      <c r="C930" s="2" t="s">
        <v>9706</v>
      </c>
      <c r="D930" s="2" t="s">
        <v>4416</v>
      </c>
      <c r="E930" s="2" t="b">
        <v>1</v>
      </c>
      <c r="F930" s="2" t="b">
        <v>0</v>
      </c>
      <c r="G930" s="2" t="s">
        <v>9937</v>
      </c>
      <c r="H930" s="3" t="str">
        <f>_xlfn.IFNA(INDEX(RulebookFields!C2:C999, MATCH(D930,RulebookFields!A2:A999, 0)), "")</f>
      </c>
      <c r="I930" s="3" t="str">
        <f>_xlfn.IFNA(INDEX(RulebookFields!D2:D999, MATCH(D930,RulebookFields!A2:A999, 0)), "")</f>
      </c>
      <c r="J930" s="3" t="str">
        <f>_xlfn.IFNA(INDEX(RulebookFields!I2:I999, MATCH(D930,RulebookFields!A2:A999, 0)), "")</f>
      </c>
      <c r="K930" s="3" t="b">
        <f>AND(F930, J930)</f>
        <v>0</v>
      </c>
      <c r="L930" s="3" t="b">
        <f>AND(G930 &lt;&gt; "plain", G930 &lt;&gt; "")</f>
        <v>0</v>
      </c>
      <c r="M930" s="3" t="str">
        <f>IF(E930, C930 &amp; "|" &amp; H930, "")</f>
        <v>principal-process-steward|</v>
      </c>
      <c r="N930" s="2" t="s">
        <v>9938</v>
      </c>
    </row>
    <row r="931">
      <c r="A931" s="2" t="s">
        <v>10867</v>
      </c>
      <c r="B931" s="3" t="str">
        <f>C931 &amp; " -&gt; " &amp; D931</f>
        <v>principal-process-steward -&gt; MessageDeliveries.IsConsentViolation</v>
      </c>
      <c r="C931" s="2" t="s">
        <v>9706</v>
      </c>
      <c r="D931" s="2" t="s">
        <v>4419</v>
      </c>
      <c r="E931" s="2" t="b">
        <v>1</v>
      </c>
      <c r="F931" s="2" t="b">
        <v>0</v>
      </c>
      <c r="G931" s="2" t="s">
        <v>9937</v>
      </c>
      <c r="H931" s="3" t="str">
        <f>_xlfn.IFNA(INDEX(RulebookFields!C2:C999, MATCH(D931,RulebookFields!A2:A999, 0)), "")</f>
      </c>
      <c r="I931" s="3" t="str">
        <f>_xlfn.IFNA(INDEX(RulebookFields!D2:D999, MATCH(D931,RulebookFields!A2:A999, 0)), "")</f>
      </c>
      <c r="J931" s="3" t="str">
        <f>_xlfn.IFNA(INDEX(RulebookFields!I2:I999, MATCH(D931,RulebookFields!A2:A999, 0)), "")</f>
      </c>
      <c r="K931" s="3" t="b">
        <f>AND(F931, J931)</f>
        <v>0</v>
      </c>
      <c r="L931" s="3" t="b">
        <f>AND(G931 &lt;&gt; "plain", G931 &lt;&gt; "")</f>
        <v>0</v>
      </c>
      <c r="M931" s="3" t="str">
        <f>IF(E931, C931 &amp; "|" &amp; H931, "")</f>
        <v>principal-process-steward|</v>
      </c>
      <c r="N931" s="2" t="s">
        <v>9938</v>
      </c>
    </row>
    <row r="932">
      <c r="A932" s="2" t="s">
        <v>10868</v>
      </c>
      <c r="B932" s="3" t="str">
        <f>C932 &amp; " -&gt; " &amp; D932</f>
        <v>principal-process-steward -&gt; MessageDeliveries.ConsentViolationPolicyKey</v>
      </c>
      <c r="C932" s="2" t="s">
        <v>9706</v>
      </c>
      <c r="D932" s="2" t="s">
        <v>4422</v>
      </c>
      <c r="E932" s="2" t="b">
        <v>1</v>
      </c>
      <c r="F932" s="2" t="b">
        <v>0</v>
      </c>
      <c r="G932" s="2" t="s">
        <v>9937</v>
      </c>
      <c r="H932" s="3" t="str">
        <f>_xlfn.IFNA(INDEX(RulebookFields!C2:C999, MATCH(D932,RulebookFields!A2:A999, 0)), "")</f>
      </c>
      <c r="I932" s="3" t="str">
        <f>_xlfn.IFNA(INDEX(RulebookFields!D2:D999, MATCH(D932,RulebookFields!A2:A999, 0)), "")</f>
      </c>
      <c r="J932" s="3" t="str">
        <f>_xlfn.IFNA(INDEX(RulebookFields!I2:I999, MATCH(D932,RulebookFields!A2:A999, 0)), "")</f>
      </c>
      <c r="K932" s="3" t="b">
        <f>AND(F932, J932)</f>
        <v>0</v>
      </c>
      <c r="L932" s="3" t="b">
        <f>AND(G932 &lt;&gt; "plain", G932 &lt;&gt; "")</f>
        <v>0</v>
      </c>
      <c r="M932" s="3" t="str">
        <f>IF(E932, C932 &amp; "|" &amp; H932, "")</f>
        <v>principal-process-steward|</v>
      </c>
      <c r="N932" s="2" t="s">
        <v>9938</v>
      </c>
    </row>
    <row r="933">
      <c r="A933" s="2" t="s">
        <v>10869</v>
      </c>
      <c r="B933" s="3" t="str">
        <f>C933 &amp; " -&gt; " &amp; D933</f>
        <v>principal-process-steward -&gt; MessageDeliveries.PolicyQuietHoursStartHour</v>
      </c>
      <c r="C933" s="2" t="s">
        <v>9706</v>
      </c>
      <c r="D933" s="2" t="s">
        <v>4425</v>
      </c>
      <c r="E933" s="2" t="b">
        <v>1</v>
      </c>
      <c r="F933" s="2" t="b">
        <v>0</v>
      </c>
      <c r="G933" s="2" t="s">
        <v>9937</v>
      </c>
      <c r="H933" s="3" t="str">
        <f>_xlfn.IFNA(INDEX(RulebookFields!C2:C999, MATCH(D933,RulebookFields!A2:A999, 0)), "")</f>
      </c>
      <c r="I933" s="3" t="str">
        <f>_xlfn.IFNA(INDEX(RulebookFields!D2:D999, MATCH(D933,RulebookFields!A2:A999, 0)), "")</f>
      </c>
      <c r="J933" s="3" t="str">
        <f>_xlfn.IFNA(INDEX(RulebookFields!I2:I999, MATCH(D933,RulebookFields!A2:A999, 0)), "")</f>
      </c>
      <c r="K933" s="3" t="b">
        <f>AND(F933, J933)</f>
        <v>0</v>
      </c>
      <c r="L933" s="3" t="b">
        <f>AND(G933 &lt;&gt; "plain", G933 &lt;&gt; "")</f>
        <v>0</v>
      </c>
      <c r="M933" s="3" t="str">
        <f>IF(E933, C933 &amp; "|" &amp; H933, "")</f>
        <v>principal-process-steward|</v>
      </c>
      <c r="N933" s="2" t="s">
        <v>9938</v>
      </c>
    </row>
    <row r="934">
      <c r="A934" s="2" t="s">
        <v>10870</v>
      </c>
      <c r="B934" s="3" t="str">
        <f>C934 &amp; " -&gt; " &amp; D934</f>
        <v>principal-process-steward -&gt; MessageDeliveries.PolicyQuietHoursEndHour</v>
      </c>
      <c r="C934" s="2" t="s">
        <v>9706</v>
      </c>
      <c r="D934" s="2" t="s">
        <v>4428</v>
      </c>
      <c r="E934" s="2" t="b">
        <v>1</v>
      </c>
      <c r="F934" s="2" t="b">
        <v>0</v>
      </c>
      <c r="G934" s="2" t="s">
        <v>9937</v>
      </c>
      <c r="H934" s="3" t="str">
        <f>_xlfn.IFNA(INDEX(RulebookFields!C2:C999, MATCH(D934,RulebookFields!A2:A999, 0)), "")</f>
      </c>
      <c r="I934" s="3" t="str">
        <f>_xlfn.IFNA(INDEX(RulebookFields!D2:D999, MATCH(D934,RulebookFields!A2:A999, 0)), "")</f>
      </c>
      <c r="J934" s="3" t="str">
        <f>_xlfn.IFNA(INDEX(RulebookFields!I2:I999, MATCH(D934,RulebookFields!A2:A999, 0)), "")</f>
      </c>
      <c r="K934" s="3" t="b">
        <f>AND(F934, J934)</f>
        <v>0</v>
      </c>
      <c r="L934" s="3" t="b">
        <f>AND(G934 &lt;&gt; "plain", G934 &lt;&gt; "")</f>
        <v>0</v>
      </c>
      <c r="M934" s="3" t="str">
        <f>IF(E934, C934 &amp; "|" &amp; H934, "")</f>
        <v>principal-process-steward|</v>
      </c>
      <c r="N934" s="2" t="s">
        <v>9938</v>
      </c>
    </row>
    <row r="935">
      <c r="A935" s="2" t="s">
        <v>10871</v>
      </c>
      <c r="B935" s="3" t="str">
        <f>C935 &amp; " -&gt; " &amp; D935</f>
        <v>principal-process-steward -&gt; MessageDeliveries.PolicyHasQuietHours</v>
      </c>
      <c r="C935" s="2" t="s">
        <v>9706</v>
      </c>
      <c r="D935" s="2" t="s">
        <v>4431</v>
      </c>
      <c r="E935" s="2" t="b">
        <v>1</v>
      </c>
      <c r="F935" s="2" t="b">
        <v>0</v>
      </c>
      <c r="G935" s="2" t="s">
        <v>9937</v>
      </c>
      <c r="H935" s="3" t="str">
        <f>_xlfn.IFNA(INDEX(RulebookFields!C2:C999, MATCH(D935,RulebookFields!A2:A999, 0)), "")</f>
      </c>
      <c r="I935" s="3" t="str">
        <f>_xlfn.IFNA(INDEX(RulebookFields!D2:D999, MATCH(D935,RulebookFields!A2:A999, 0)), "")</f>
      </c>
      <c r="J935" s="3" t="str">
        <f>_xlfn.IFNA(INDEX(RulebookFields!I2:I999, MATCH(D935,RulebookFields!A2:A999, 0)), "")</f>
      </c>
      <c r="K935" s="3" t="b">
        <f>AND(F935, J935)</f>
        <v>0</v>
      </c>
      <c r="L935" s="3" t="b">
        <f>AND(G935 &lt;&gt; "plain", G935 &lt;&gt; "")</f>
        <v>0</v>
      </c>
      <c r="M935" s="3" t="str">
        <f>IF(E935, C935 &amp; "|" &amp; H935, "")</f>
        <v>principal-process-steward|</v>
      </c>
      <c r="N935" s="2" t="s">
        <v>9938</v>
      </c>
    </row>
    <row r="936">
      <c r="A936" s="2" t="s">
        <v>10872</v>
      </c>
      <c r="B936" s="3" t="str">
        <f>C936 &amp; " -&gt; " &amp; D936</f>
        <v>principal-process-steward -&gt; MessageDeliveries.QuietWindowWrapsMidnight</v>
      </c>
      <c r="C936" s="2" t="s">
        <v>9706</v>
      </c>
      <c r="D936" s="2" t="s">
        <v>4434</v>
      </c>
      <c r="E936" s="2" t="b">
        <v>1</v>
      </c>
      <c r="F936" s="2" t="b">
        <v>0</v>
      </c>
      <c r="G936" s="2" t="s">
        <v>9937</v>
      </c>
      <c r="H936" s="3" t="str">
        <f>_xlfn.IFNA(INDEX(RulebookFields!C2:C999, MATCH(D936,RulebookFields!A2:A999, 0)), "")</f>
      </c>
      <c r="I936" s="3" t="str">
        <f>_xlfn.IFNA(INDEX(RulebookFields!D2:D999, MATCH(D936,RulebookFields!A2:A999, 0)), "")</f>
      </c>
      <c r="J936" s="3" t="str">
        <f>_xlfn.IFNA(INDEX(RulebookFields!I2:I999, MATCH(D936,RulebookFields!A2:A999, 0)), "")</f>
      </c>
      <c r="K936" s="3" t="b">
        <f>AND(F936, J936)</f>
        <v>0</v>
      </c>
      <c r="L936" s="3" t="b">
        <f>AND(G936 &lt;&gt; "plain", G936 &lt;&gt; "")</f>
        <v>0</v>
      </c>
      <c r="M936" s="3" t="str">
        <f>IF(E936, C936 &amp; "|" &amp; H936, "")</f>
        <v>principal-process-steward|</v>
      </c>
      <c r="N936" s="2" t="s">
        <v>9938</v>
      </c>
    </row>
    <row r="937">
      <c r="A937" s="2" t="s">
        <v>10873</v>
      </c>
      <c r="B937" s="3" t="str">
        <f>C937 &amp; " -&gt; " &amp; D937</f>
        <v>principal-process-steward -&gt; MessageDeliveries.IsInsideQuietWindow</v>
      </c>
      <c r="C937" s="2" t="s">
        <v>9706</v>
      </c>
      <c r="D937" s="2" t="s">
        <v>4437</v>
      </c>
      <c r="E937" s="2" t="b">
        <v>1</v>
      </c>
      <c r="F937" s="2" t="b">
        <v>0</v>
      </c>
      <c r="G937" s="2" t="s">
        <v>9937</v>
      </c>
      <c r="H937" s="3" t="str">
        <f>_xlfn.IFNA(INDEX(RulebookFields!C2:C999, MATCH(D937,RulebookFields!A2:A999, 0)), "")</f>
      </c>
      <c r="I937" s="3" t="str">
        <f>_xlfn.IFNA(INDEX(RulebookFields!D2:D999, MATCH(D937,RulebookFields!A2:A999, 0)), "")</f>
      </c>
      <c r="J937" s="3" t="str">
        <f>_xlfn.IFNA(INDEX(RulebookFields!I2:I999, MATCH(D937,RulebookFields!A2:A999, 0)), "")</f>
      </c>
      <c r="K937" s="3" t="b">
        <f>AND(F937, J937)</f>
        <v>0</v>
      </c>
      <c r="L937" s="3" t="b">
        <f>AND(G937 &lt;&gt; "plain", G937 &lt;&gt; "")</f>
        <v>0</v>
      </c>
      <c r="M937" s="3" t="str">
        <f>IF(E937, C937 &amp; "|" &amp; H937, "")</f>
        <v>principal-process-steward|</v>
      </c>
      <c r="N937" s="2" t="s">
        <v>9938</v>
      </c>
    </row>
    <row r="938">
      <c r="A938" s="2" t="s">
        <v>10874</v>
      </c>
      <c r="B938" s="3" t="str">
        <f>C938 &amp; " -&gt; " &amp; D938</f>
        <v>principal-process-steward -&gt; MessageDeliveries.IsQuietHoursViolation</v>
      </c>
      <c r="C938" s="2" t="s">
        <v>9706</v>
      </c>
      <c r="D938" s="2" t="s">
        <v>4440</v>
      </c>
      <c r="E938" s="2" t="b">
        <v>1</v>
      </c>
      <c r="F938" s="2" t="b">
        <v>0</v>
      </c>
      <c r="G938" s="2" t="s">
        <v>9937</v>
      </c>
      <c r="H938" s="3" t="str">
        <f>_xlfn.IFNA(INDEX(RulebookFields!C2:C999, MATCH(D938,RulebookFields!A2:A999, 0)), "")</f>
      </c>
      <c r="I938" s="3" t="str">
        <f>_xlfn.IFNA(INDEX(RulebookFields!D2:D999, MATCH(D938,RulebookFields!A2:A999, 0)), "")</f>
      </c>
      <c r="J938" s="3" t="str">
        <f>_xlfn.IFNA(INDEX(RulebookFields!I2:I999, MATCH(D938,RulebookFields!A2:A999, 0)), "")</f>
      </c>
      <c r="K938" s="3" t="b">
        <f>AND(F938, J938)</f>
        <v>0</v>
      </c>
      <c r="L938" s="3" t="b">
        <f>AND(G938 &lt;&gt; "plain", G938 &lt;&gt; "")</f>
        <v>0</v>
      </c>
      <c r="M938" s="3" t="str">
        <f>IF(E938, C938 &amp; "|" &amp; H938, "")</f>
        <v>principal-process-steward|</v>
      </c>
      <c r="N938" s="2" t="s">
        <v>9938</v>
      </c>
    </row>
    <row r="939">
      <c r="A939" s="2" t="s">
        <v>10875</v>
      </c>
      <c r="B939" s="3" t="str">
        <f>C939 &amp; " -&gt; " &amp; D939</f>
        <v>principal-process-steward -&gt; MessageDeliveries.QuietHoursViolationPolicyKey</v>
      </c>
      <c r="C939" s="2" t="s">
        <v>9706</v>
      </c>
      <c r="D939" s="2" t="s">
        <v>4443</v>
      </c>
      <c r="E939" s="2" t="b">
        <v>1</v>
      </c>
      <c r="F939" s="2" t="b">
        <v>0</v>
      </c>
      <c r="G939" s="2" t="s">
        <v>9937</v>
      </c>
      <c r="H939" s="3" t="str">
        <f>_xlfn.IFNA(INDEX(RulebookFields!C2:C999, MATCH(D939,RulebookFields!A2:A999, 0)), "")</f>
      </c>
      <c r="I939" s="3" t="str">
        <f>_xlfn.IFNA(INDEX(RulebookFields!D2:D999, MATCH(D939,RulebookFields!A2:A999, 0)), "")</f>
      </c>
      <c r="J939" s="3" t="str">
        <f>_xlfn.IFNA(INDEX(RulebookFields!I2:I999, MATCH(D939,RulebookFields!A2:A999, 0)), "")</f>
      </c>
      <c r="K939" s="3" t="b">
        <f>AND(F939, J939)</f>
        <v>0</v>
      </c>
      <c r="L939" s="3" t="b">
        <f>AND(G939 &lt;&gt; "plain", G939 &lt;&gt; "")</f>
        <v>0</v>
      </c>
      <c r="M939" s="3" t="str">
        <f>IF(E939, C939 &amp; "|" &amp; H939, "")</f>
        <v>principal-process-steward|</v>
      </c>
      <c r="N939" s="2" t="s">
        <v>9938</v>
      </c>
    </row>
    <row r="940">
      <c r="A940" s="2" t="s">
        <v>10876</v>
      </c>
      <c r="B940" s="3" t="str">
        <f>C940 &amp; " -&gt; " &amp; D940</f>
        <v>principal-process-steward -&gt; MessageDeliveries.RecipientIsUnreachable</v>
      </c>
      <c r="C940" s="2" t="s">
        <v>9706</v>
      </c>
      <c r="D940" s="2" t="s">
        <v>4446</v>
      </c>
      <c r="E940" s="2" t="b">
        <v>1</v>
      </c>
      <c r="F940" s="2" t="b">
        <v>0</v>
      </c>
      <c r="G940" s="2" t="s">
        <v>9937</v>
      </c>
      <c r="H940" s="3" t="str">
        <f>_xlfn.IFNA(INDEX(RulebookFields!C2:C999, MATCH(D940,RulebookFields!A2:A999, 0)), "")</f>
      </c>
      <c r="I940" s="3" t="str">
        <f>_xlfn.IFNA(INDEX(RulebookFields!D2:D999, MATCH(D940,RulebookFields!A2:A999, 0)), "")</f>
      </c>
      <c r="J940" s="3" t="str">
        <f>_xlfn.IFNA(INDEX(RulebookFields!I2:I999, MATCH(D940,RulebookFields!A2:A999, 0)), "")</f>
      </c>
      <c r="K940" s="3" t="b">
        <f>AND(F940, J940)</f>
        <v>0</v>
      </c>
      <c r="L940" s="3" t="b">
        <f>AND(G940 &lt;&gt; "plain", G940 &lt;&gt; "")</f>
        <v>0</v>
      </c>
      <c r="M940" s="3" t="str">
        <f>IF(E940, C940 &amp; "|" &amp; H940, "")</f>
        <v>principal-process-steward|</v>
      </c>
      <c r="N940" s="2" t="s">
        <v>9938</v>
      </c>
    </row>
    <row r="941">
      <c r="A941" s="2" t="s">
        <v>10877</v>
      </c>
      <c r="B941" s="3" t="str">
        <f>C941 &amp; " -&gt; " &amp; D941</f>
        <v>principal-process-steward -&gt; MessageDeliveries.IsAcknowledged</v>
      </c>
      <c r="C941" s="2" t="s">
        <v>9706</v>
      </c>
      <c r="D941" s="2" t="s">
        <v>4449</v>
      </c>
      <c r="E941" s="2" t="b">
        <v>1</v>
      </c>
      <c r="F941" s="2" t="b">
        <v>0</v>
      </c>
      <c r="G941" s="2" t="s">
        <v>9937</v>
      </c>
      <c r="H941" s="3" t="str">
        <f>_xlfn.IFNA(INDEX(RulebookFields!C2:C999, MATCH(D941,RulebookFields!A2:A999, 0)), "")</f>
      </c>
      <c r="I941" s="3" t="str">
        <f>_xlfn.IFNA(INDEX(RulebookFields!D2:D999, MATCH(D941,RulebookFields!A2:A999, 0)), "")</f>
      </c>
      <c r="J941" s="3" t="str">
        <f>_xlfn.IFNA(INDEX(RulebookFields!I2:I999, MATCH(D941,RulebookFields!A2:A999, 0)), "")</f>
      </c>
      <c r="K941" s="3" t="b">
        <f>AND(F941, J941)</f>
        <v>0</v>
      </c>
      <c r="L941" s="3" t="b">
        <f>AND(G941 &lt;&gt; "plain", G941 &lt;&gt; "")</f>
        <v>0</v>
      </c>
      <c r="M941" s="3" t="str">
        <f>IF(E941, C941 &amp; "|" &amp; H941, "")</f>
        <v>principal-process-steward|</v>
      </c>
      <c r="N941" s="2" t="s">
        <v>9938</v>
      </c>
    </row>
    <row r="942">
      <c r="A942" s="2" t="s">
        <v>10878</v>
      </c>
      <c r="B942" s="3" t="str">
        <f>C942 &amp; " -&gt; " &amp; D942</f>
        <v>principal-process-steward -&gt; MessageDeliveries.InvokedExceptionCondition</v>
      </c>
      <c r="C942" s="2" t="s">
        <v>9706</v>
      </c>
      <c r="D942" s="2" t="s">
        <v>4452</v>
      </c>
      <c r="E942" s="2" t="b">
        <v>1</v>
      </c>
      <c r="F942" s="2" t="b">
        <v>0</v>
      </c>
      <c r="G942" s="2" t="s">
        <v>9937</v>
      </c>
      <c r="H942" s="3" t="str">
        <f>_xlfn.IFNA(INDEX(RulebookFields!C2:C999, MATCH(D942,RulebookFields!A2:A999, 0)), "")</f>
      </c>
      <c r="I942" s="3" t="str">
        <f>_xlfn.IFNA(INDEX(RulebookFields!D2:D999, MATCH(D942,RulebookFields!A2:A999, 0)), "")</f>
      </c>
      <c r="J942" s="3" t="str">
        <f>_xlfn.IFNA(INDEX(RulebookFields!I2:I999, MATCH(D942,RulebookFields!A2:A999, 0)), "")</f>
      </c>
      <c r="K942" s="3" t="b">
        <f>AND(F942, J942)</f>
        <v>0</v>
      </c>
      <c r="L942" s="3" t="b">
        <f>AND(G942 &lt;&gt; "plain", G942 &lt;&gt; "")</f>
        <v>0</v>
      </c>
      <c r="M942" s="3" t="str">
        <f>IF(E942, C942 &amp; "|" &amp; H942, "")</f>
        <v>principal-process-steward|</v>
      </c>
      <c r="N942" s="2" t="s">
        <v>9938</v>
      </c>
    </row>
    <row r="943">
      <c r="A943" s="2" t="s">
        <v>10879</v>
      </c>
      <c r="B943" s="3" t="str">
        <f>C943 &amp; " -&gt; " &amp; D943</f>
        <v>principal-process-steward -&gt; MessageDeliveries.HasUnreachableExceptionInvoked</v>
      </c>
      <c r="C943" s="2" t="s">
        <v>9706</v>
      </c>
      <c r="D943" s="2" t="s">
        <v>4455</v>
      </c>
      <c r="E943" s="2" t="b">
        <v>1</v>
      </c>
      <c r="F943" s="2" t="b">
        <v>0</v>
      </c>
      <c r="G943" s="2" t="s">
        <v>9937</v>
      </c>
      <c r="H943" s="3" t="str">
        <f>_xlfn.IFNA(INDEX(RulebookFields!C2:C999, MATCH(D943,RulebookFields!A2:A999, 0)), "")</f>
      </c>
      <c r="I943" s="3" t="str">
        <f>_xlfn.IFNA(INDEX(RulebookFields!D2:D999, MATCH(D943,RulebookFields!A2:A999, 0)), "")</f>
      </c>
      <c r="J943" s="3" t="str">
        <f>_xlfn.IFNA(INDEX(RulebookFields!I2:I999, MATCH(D943,RulebookFields!A2:A999, 0)), "")</f>
      </c>
      <c r="K943" s="3" t="b">
        <f>AND(F943, J943)</f>
        <v>0</v>
      </c>
      <c r="L943" s="3" t="b">
        <f>AND(G943 &lt;&gt; "plain", G943 &lt;&gt; "")</f>
        <v>0</v>
      </c>
      <c r="M943" s="3" t="str">
        <f>IF(E943, C943 &amp; "|" &amp; H943, "")</f>
        <v>principal-process-steward|</v>
      </c>
      <c r="N943" s="2" t="s">
        <v>9938</v>
      </c>
    </row>
    <row r="944">
      <c r="A944" s="2" t="s">
        <v>10880</v>
      </c>
      <c r="B944" s="3" t="str">
        <f>C944 &amp; " -&gt; " &amp; D944</f>
        <v>principal-process-steward -&gt; MessageDeliveries.IsFabricatedAcknowledgement</v>
      </c>
      <c r="C944" s="2" t="s">
        <v>9706</v>
      </c>
      <c r="D944" s="2" t="s">
        <v>4458</v>
      </c>
      <c r="E944" s="2" t="b">
        <v>1</v>
      </c>
      <c r="F944" s="2" t="b">
        <v>0</v>
      </c>
      <c r="G944" s="2" t="s">
        <v>9937</v>
      </c>
      <c r="H944" s="3" t="str">
        <f>_xlfn.IFNA(INDEX(RulebookFields!C2:C999, MATCH(D944,RulebookFields!A2:A999, 0)), "")</f>
      </c>
      <c r="I944" s="3" t="str">
        <f>_xlfn.IFNA(INDEX(RulebookFields!D2:D999, MATCH(D944,RulebookFields!A2:A999, 0)), "")</f>
      </c>
      <c r="J944" s="3" t="str">
        <f>_xlfn.IFNA(INDEX(RulebookFields!I2:I999, MATCH(D944,RulebookFields!A2:A999, 0)), "")</f>
      </c>
      <c r="K944" s="3" t="b">
        <f>AND(F944, J944)</f>
        <v>0</v>
      </c>
      <c r="L944" s="3" t="b">
        <f>AND(G944 &lt;&gt; "plain", G944 &lt;&gt; "")</f>
        <v>0</v>
      </c>
      <c r="M944" s="3" t="str">
        <f>IF(E944, C944 &amp; "|" &amp; H944, "")</f>
        <v>principal-process-steward|</v>
      </c>
      <c r="N944" s="2" t="s">
        <v>9938</v>
      </c>
    </row>
    <row r="945">
      <c r="A945" s="2" t="s">
        <v>10881</v>
      </c>
      <c r="B945" s="3" t="str">
        <f>C945 &amp; " -&gt; " &amp; D945</f>
        <v>principal-process-steward -&gt; MessageDeliveries.IsUnhandledUnreachable</v>
      </c>
      <c r="C945" s="2" t="s">
        <v>9706</v>
      </c>
      <c r="D945" s="2" t="s">
        <v>4461</v>
      </c>
      <c r="E945" s="2" t="b">
        <v>1</v>
      </c>
      <c r="F945" s="2" t="b">
        <v>0</v>
      </c>
      <c r="G945" s="2" t="s">
        <v>9937</v>
      </c>
      <c r="H945" s="3" t="str">
        <f>_xlfn.IFNA(INDEX(RulebookFields!C2:C999, MATCH(D945,RulebookFields!A2:A999, 0)), "")</f>
      </c>
      <c r="I945" s="3" t="str">
        <f>_xlfn.IFNA(INDEX(RulebookFields!D2:D999, MATCH(D945,RulebookFields!A2:A999, 0)), "")</f>
      </c>
      <c r="J945" s="3" t="str">
        <f>_xlfn.IFNA(INDEX(RulebookFields!I2:I999, MATCH(D945,RulebookFields!A2:A999, 0)), "")</f>
      </c>
      <c r="K945" s="3" t="b">
        <f>AND(F945, J945)</f>
        <v>0</v>
      </c>
      <c r="L945" s="3" t="b">
        <f>AND(G945 &lt;&gt; "plain", G945 &lt;&gt; "")</f>
        <v>0</v>
      </c>
      <c r="M945" s="3" t="str">
        <f>IF(E945, C945 &amp; "|" &amp; H945, "")</f>
        <v>principal-process-steward|</v>
      </c>
      <c r="N945" s="2" t="s">
        <v>9938</v>
      </c>
    </row>
    <row r="946">
      <c r="A946" s="2" t="s">
        <v>10882</v>
      </c>
      <c r="B946" s="3" t="str">
        <f>C946 &amp; " -&gt; " &amp; D946</f>
        <v>principal-process-steward -&gt; MessageDeliveries.UnreachableFailureKey</v>
      </c>
      <c r="C946" s="2" t="s">
        <v>9706</v>
      </c>
      <c r="D946" s="2" t="s">
        <v>4464</v>
      </c>
      <c r="E946" s="2" t="b">
        <v>1</v>
      </c>
      <c r="F946" s="2" t="b">
        <v>0</v>
      </c>
      <c r="G946" s="2" t="s">
        <v>9937</v>
      </c>
      <c r="H946" s="3" t="str">
        <f>_xlfn.IFNA(INDEX(RulebookFields!C2:C999, MATCH(D946,RulebookFields!A2:A999, 0)), "")</f>
      </c>
      <c r="I946" s="3" t="str">
        <f>_xlfn.IFNA(INDEX(RulebookFields!D2:D999, MATCH(D946,RulebookFields!A2:A999, 0)), "")</f>
      </c>
      <c r="J946" s="3" t="str">
        <f>_xlfn.IFNA(INDEX(RulebookFields!I2:I999, MATCH(D946,RulebookFields!A2:A999, 0)), "")</f>
      </c>
      <c r="K946" s="3" t="b">
        <f>AND(F946, J946)</f>
        <v>0</v>
      </c>
      <c r="L946" s="3" t="b">
        <f>AND(G946 &lt;&gt; "plain", G946 &lt;&gt; "")</f>
        <v>0</v>
      </c>
      <c r="M946" s="3" t="str">
        <f>IF(E946, C946 &amp; "|" &amp; H946, "")</f>
        <v>principal-process-steward|</v>
      </c>
      <c r="N946" s="2" t="s">
        <v>9938</v>
      </c>
    </row>
    <row r="947">
      <c r="A947" s="2" t="s">
        <v>10883</v>
      </c>
      <c r="B947" s="3" t="str">
        <f>C947 &amp; " -&gt; " &amp; D947</f>
        <v>principal-process-steward -&gt; MessageDeliveries.PolicyRetentionDays</v>
      </c>
      <c r="C947" s="2" t="s">
        <v>9706</v>
      </c>
      <c r="D947" s="2" t="s">
        <v>4467</v>
      </c>
      <c r="E947" s="2" t="b">
        <v>1</v>
      </c>
      <c r="F947" s="2" t="b">
        <v>0</v>
      </c>
      <c r="G947" s="2" t="s">
        <v>9937</v>
      </c>
      <c r="H947" s="3" t="str">
        <f>_xlfn.IFNA(INDEX(RulebookFields!C2:C999, MATCH(D947,RulebookFields!A2:A999, 0)), "")</f>
      </c>
      <c r="I947" s="3" t="str">
        <f>_xlfn.IFNA(INDEX(RulebookFields!D2:D999, MATCH(D947,RulebookFields!A2:A999, 0)), "")</f>
      </c>
      <c r="J947" s="3" t="str">
        <f>_xlfn.IFNA(INDEX(RulebookFields!I2:I999, MATCH(D947,RulebookFields!A2:A999, 0)), "")</f>
      </c>
      <c r="K947" s="3" t="b">
        <f>AND(F947, J947)</f>
        <v>0</v>
      </c>
      <c r="L947" s="3" t="b">
        <f>AND(G947 &lt;&gt; "plain", G947 &lt;&gt; "")</f>
        <v>0</v>
      </c>
      <c r="M947" s="3" t="str">
        <f>IF(E947, C947 &amp; "|" &amp; H947, "")</f>
        <v>principal-process-steward|</v>
      </c>
      <c r="N947" s="2" t="s">
        <v>9938</v>
      </c>
    </row>
    <row r="948">
      <c r="A948" s="2" t="s">
        <v>10884</v>
      </c>
      <c r="B948" s="3" t="str">
        <f>C948 &amp; " -&gt; " &amp; D948</f>
        <v>principal-process-steward -&gt; MessageDeliveries.EvaluationContext</v>
      </c>
      <c r="C948" s="2" t="s">
        <v>9706</v>
      </c>
      <c r="D948" s="2" t="s">
        <v>4470</v>
      </c>
      <c r="E948" s="2" t="b">
        <v>1</v>
      </c>
      <c r="F948" s="2" t="b">
        <v>0</v>
      </c>
      <c r="G948" s="2" t="s">
        <v>9937</v>
      </c>
      <c r="H948" s="3" t="str">
        <f>_xlfn.IFNA(INDEX(RulebookFields!C2:C999, MATCH(D948,RulebookFields!A2:A999, 0)), "")</f>
      </c>
      <c r="I948" s="3" t="str">
        <f>_xlfn.IFNA(INDEX(RulebookFields!D2:D999, MATCH(D948,RulebookFields!A2:A999, 0)), "")</f>
      </c>
      <c r="J948" s="3" t="str">
        <f>_xlfn.IFNA(INDEX(RulebookFields!I2:I999, MATCH(D948,RulebookFields!A2:A999, 0)), "")</f>
      </c>
      <c r="K948" s="3" t="b">
        <f>AND(F948, J948)</f>
        <v>0</v>
      </c>
      <c r="L948" s="3" t="b">
        <f>AND(G948 &lt;&gt; "plain", G948 &lt;&gt; "")</f>
        <v>0</v>
      </c>
      <c r="M948" s="3" t="str">
        <f>IF(E948, C948 &amp; "|" &amp; H948, "")</f>
        <v>principal-process-steward|</v>
      </c>
      <c r="N948" s="2" t="s">
        <v>9938</v>
      </c>
    </row>
    <row r="949">
      <c r="A949" s="2" t="s">
        <v>10885</v>
      </c>
      <c r="B949" s="3" t="str">
        <f>C949 &amp; " -&gt; " &amp; D949</f>
        <v>principal-process-steward -&gt; MessageDeliveries.AsOfInstant</v>
      </c>
      <c r="C949" s="2" t="s">
        <v>9706</v>
      </c>
      <c r="D949" s="2" t="s">
        <v>4471</v>
      </c>
      <c r="E949" s="2" t="b">
        <v>1</v>
      </c>
      <c r="F949" s="2" t="b">
        <v>0</v>
      </c>
      <c r="G949" s="2" t="s">
        <v>9937</v>
      </c>
      <c r="H949" s="3" t="str">
        <f>_xlfn.IFNA(INDEX(RulebookFields!C2:C999, MATCH(D949,RulebookFields!A2:A999, 0)), "")</f>
      </c>
      <c r="I949" s="3" t="str">
        <f>_xlfn.IFNA(INDEX(RulebookFields!D2:D999, MATCH(D949,RulebookFields!A2:A999, 0)), "")</f>
      </c>
      <c r="J949" s="3" t="str">
        <f>_xlfn.IFNA(INDEX(RulebookFields!I2:I999, MATCH(D949,RulebookFields!A2:A999, 0)), "")</f>
      </c>
      <c r="K949" s="3" t="b">
        <f>AND(F949, J949)</f>
        <v>0</v>
      </c>
      <c r="L949" s="3" t="b">
        <f>AND(G949 &lt;&gt; "plain", G949 &lt;&gt; "")</f>
        <v>0</v>
      </c>
      <c r="M949" s="3" t="str">
        <f>IF(E949, C949 &amp; "|" &amp; H949, "")</f>
        <v>principal-process-steward|</v>
      </c>
      <c r="N949" s="2" t="s">
        <v>9938</v>
      </c>
    </row>
    <row r="950">
      <c r="A950" s="2" t="s">
        <v>10886</v>
      </c>
      <c r="B950" s="3" t="str">
        <f>C950 &amp; " -&gt; " &amp; D950</f>
        <v>principal-process-steward -&gt; MessageDeliveries.AgeDays</v>
      </c>
      <c r="C950" s="2" t="s">
        <v>9706</v>
      </c>
      <c r="D950" s="2" t="s">
        <v>4472</v>
      </c>
      <c r="E950" s="2" t="b">
        <v>1</v>
      </c>
      <c r="F950" s="2" t="b">
        <v>0</v>
      </c>
      <c r="G950" s="2" t="s">
        <v>9937</v>
      </c>
      <c r="H950" s="3" t="str">
        <f>_xlfn.IFNA(INDEX(RulebookFields!C2:C999, MATCH(D950,RulebookFields!A2:A999, 0)), "")</f>
      </c>
      <c r="I950" s="3" t="str">
        <f>_xlfn.IFNA(INDEX(RulebookFields!D2:D999, MATCH(D950,RulebookFields!A2:A999, 0)), "")</f>
      </c>
      <c r="J950" s="3" t="str">
        <f>_xlfn.IFNA(INDEX(RulebookFields!I2:I999, MATCH(D950,RulebookFields!A2:A999, 0)), "")</f>
      </c>
      <c r="K950" s="3" t="b">
        <f>AND(F950, J950)</f>
        <v>0</v>
      </c>
      <c r="L950" s="3" t="b">
        <f>AND(G950 &lt;&gt; "plain", G950 &lt;&gt; "")</f>
        <v>0</v>
      </c>
      <c r="M950" s="3" t="str">
        <f>IF(E950, C950 &amp; "|" &amp; H950, "")</f>
        <v>principal-process-steward|</v>
      </c>
      <c r="N950" s="2" t="s">
        <v>9938</v>
      </c>
    </row>
    <row r="951">
      <c r="A951" s="2" t="s">
        <v>10887</v>
      </c>
      <c r="B951" s="3" t="str">
        <f>C951 &amp; " -&gt; " &amp; D951</f>
        <v>principal-process-steward -&gt; MessageDeliveries.IsWithinRetentionWindow</v>
      </c>
      <c r="C951" s="2" t="s">
        <v>9706</v>
      </c>
      <c r="D951" s="2" t="s">
        <v>4474</v>
      </c>
      <c r="E951" s="2" t="b">
        <v>1</v>
      </c>
      <c r="F951" s="2" t="b">
        <v>0</v>
      </c>
      <c r="G951" s="2" t="s">
        <v>9937</v>
      </c>
      <c r="H951" s="3" t="str">
        <f>_xlfn.IFNA(INDEX(RulebookFields!C2:C999, MATCH(D951,RulebookFields!A2:A999, 0)), "")</f>
      </c>
      <c r="I951" s="3" t="str">
        <f>_xlfn.IFNA(INDEX(RulebookFields!D2:D999, MATCH(D951,RulebookFields!A2:A999, 0)), "")</f>
      </c>
      <c r="J951" s="3" t="str">
        <f>_xlfn.IFNA(INDEX(RulebookFields!I2:I999, MATCH(D951,RulebookFields!A2:A999, 0)), "")</f>
      </c>
      <c r="K951" s="3" t="b">
        <f>AND(F951, J951)</f>
        <v>0</v>
      </c>
      <c r="L951" s="3" t="b">
        <f>AND(G951 &lt;&gt; "plain", G951 &lt;&gt; "")</f>
        <v>0</v>
      </c>
      <c r="M951" s="3" t="str">
        <f>IF(E951, C951 &amp; "|" &amp; H951, "")</f>
        <v>principal-process-steward|</v>
      </c>
      <c r="N951" s="2" t="s">
        <v>9938</v>
      </c>
    </row>
    <row r="952">
      <c r="A952" s="2" t="s">
        <v>10888</v>
      </c>
      <c r="B952" s="3" t="str">
        <f>C952 &amp; " -&gt; " &amp; D952</f>
        <v>principal-process-steward -&gt; MessageDeliveries.HasRenderedBody</v>
      </c>
      <c r="C952" s="2" t="s">
        <v>9706</v>
      </c>
      <c r="D952" s="2" t="s">
        <v>4477</v>
      </c>
      <c r="E952" s="2" t="b">
        <v>1</v>
      </c>
      <c r="F952" s="2" t="b">
        <v>0</v>
      </c>
      <c r="G952" s="2" t="s">
        <v>9937</v>
      </c>
      <c r="H952" s="3" t="str">
        <f>_xlfn.IFNA(INDEX(RulebookFields!C2:C999, MATCH(D952,RulebookFields!A2:A999, 0)), "")</f>
      </c>
      <c r="I952" s="3" t="str">
        <f>_xlfn.IFNA(INDEX(RulebookFields!D2:D999, MATCH(D952,RulebookFields!A2:A999, 0)), "")</f>
      </c>
      <c r="J952" s="3" t="str">
        <f>_xlfn.IFNA(INDEX(RulebookFields!I2:I999, MATCH(D952,RulebookFields!A2:A999, 0)), "")</f>
      </c>
      <c r="K952" s="3" t="b">
        <f>AND(F952, J952)</f>
        <v>0</v>
      </c>
      <c r="L952" s="3" t="b">
        <f>AND(G952 &lt;&gt; "plain", G952 &lt;&gt; "")</f>
        <v>0</v>
      </c>
      <c r="M952" s="3" t="str">
        <f>IF(E952, C952 &amp; "|" &amp; H952, "")</f>
        <v>principal-process-steward|</v>
      </c>
      <c r="N952" s="2" t="s">
        <v>9938</v>
      </c>
    </row>
    <row r="953">
      <c r="A953" s="2" t="s">
        <v>10889</v>
      </c>
      <c r="B953" s="3" t="str">
        <f>C953 &amp; " -&gt; " &amp; D953</f>
        <v>principal-process-steward -&gt; MessageDeliveries.IsEvidenceRequired</v>
      </c>
      <c r="C953" s="2" t="s">
        <v>9706</v>
      </c>
      <c r="D953" s="2" t="s">
        <v>4480</v>
      </c>
      <c r="E953" s="2" t="b">
        <v>1</v>
      </c>
      <c r="F953" s="2" t="b">
        <v>0</v>
      </c>
      <c r="G953" s="2" t="s">
        <v>9937</v>
      </c>
      <c r="H953" s="3" t="str">
        <f>_xlfn.IFNA(INDEX(RulebookFields!C2:C999, MATCH(D953,RulebookFields!A2:A999, 0)), "")</f>
      </c>
      <c r="I953" s="3" t="str">
        <f>_xlfn.IFNA(INDEX(RulebookFields!D2:D999, MATCH(D953,RulebookFields!A2:A999, 0)), "")</f>
      </c>
      <c r="J953" s="3" t="str">
        <f>_xlfn.IFNA(INDEX(RulebookFields!I2:I999, MATCH(D953,RulebookFields!A2:A999, 0)), "")</f>
      </c>
      <c r="K953" s="3" t="b">
        <f>AND(F953, J953)</f>
        <v>0</v>
      </c>
      <c r="L953" s="3" t="b">
        <f>AND(G953 &lt;&gt; "plain", G953 &lt;&gt; "")</f>
        <v>0</v>
      </c>
      <c r="M953" s="3" t="str">
        <f>IF(E953, C953 &amp; "|" &amp; H953, "")</f>
        <v>principal-process-steward|</v>
      </c>
      <c r="N953" s="2" t="s">
        <v>9938</v>
      </c>
    </row>
    <row r="954">
      <c r="A954" s="2" t="s">
        <v>10890</v>
      </c>
      <c r="B954" s="3" t="str">
        <f>C954 &amp; " -&gt; " &amp; D954</f>
        <v>principal-process-steward -&gt; MessageDeliveries.IsRetentionBreach</v>
      </c>
      <c r="C954" s="2" t="s">
        <v>9706</v>
      </c>
      <c r="D954" s="2" t="s">
        <v>4483</v>
      </c>
      <c r="E954" s="2" t="b">
        <v>1</v>
      </c>
      <c r="F954" s="2" t="b">
        <v>0</v>
      </c>
      <c r="G954" s="2" t="s">
        <v>9937</v>
      </c>
      <c r="H954" s="3" t="str">
        <f>_xlfn.IFNA(INDEX(RulebookFields!C2:C999, MATCH(D954,RulebookFields!A2:A999, 0)), "")</f>
      </c>
      <c r="I954" s="3" t="str">
        <f>_xlfn.IFNA(INDEX(RulebookFields!D2:D999, MATCH(D954,RulebookFields!A2:A999, 0)), "")</f>
      </c>
      <c r="J954" s="3" t="str">
        <f>_xlfn.IFNA(INDEX(RulebookFields!I2:I999, MATCH(D954,RulebookFields!A2:A999, 0)), "")</f>
      </c>
      <c r="K954" s="3" t="b">
        <f>AND(F954, J954)</f>
        <v>0</v>
      </c>
      <c r="L954" s="3" t="b">
        <f>AND(G954 &lt;&gt; "plain", G954 &lt;&gt; "")</f>
        <v>0</v>
      </c>
      <c r="M954" s="3" t="str">
        <f>IF(E954, C954 &amp; "|" &amp; H954, "")</f>
        <v>principal-process-steward|</v>
      </c>
      <c r="N954" s="2" t="s">
        <v>9938</v>
      </c>
    </row>
    <row r="955">
      <c r="A955" s="2" t="s">
        <v>10891</v>
      </c>
      <c r="B955" s="3" t="str">
        <f>C955 &amp; " -&gt; " &amp; D955</f>
        <v>principal-process-steward -&gt; MessageDeliveries.RetentionBreachExecutionKey</v>
      </c>
      <c r="C955" s="2" t="s">
        <v>9706</v>
      </c>
      <c r="D955" s="2" t="s">
        <v>4486</v>
      </c>
      <c r="E955" s="2" t="b">
        <v>1</v>
      </c>
      <c r="F955" s="2" t="b">
        <v>0</v>
      </c>
      <c r="G955" s="2" t="s">
        <v>9937</v>
      </c>
      <c r="H955" s="3" t="str">
        <f>_xlfn.IFNA(INDEX(RulebookFields!C2:C999, MATCH(D955,RulebookFields!A2:A999, 0)), "")</f>
      </c>
      <c r="I955" s="3" t="str">
        <f>_xlfn.IFNA(INDEX(RulebookFields!D2:D999, MATCH(D955,RulebookFields!A2:A999, 0)), "")</f>
      </c>
      <c r="J955" s="3" t="str">
        <f>_xlfn.IFNA(INDEX(RulebookFields!I2:I999, MATCH(D955,RulebookFields!A2:A999, 0)), "")</f>
      </c>
      <c r="K955" s="3" t="b">
        <f>AND(F955, J955)</f>
        <v>0</v>
      </c>
      <c r="L955" s="3" t="b">
        <f>AND(G955 &lt;&gt; "plain", G955 &lt;&gt; "")</f>
        <v>0</v>
      </c>
      <c r="M955" s="3" t="str">
        <f>IF(E955, C955 &amp; "|" &amp; H955, "")</f>
        <v>principal-process-steward|</v>
      </c>
      <c r="N955" s="2" t="s">
        <v>9938</v>
      </c>
    </row>
    <row r="956">
      <c r="A956" s="2" t="s">
        <v>10892</v>
      </c>
      <c r="B956" s="3" t="str">
        <f>C956 &amp; " -&gt; " &amp; D956</f>
        <v>principal-process-steward -&gt; MessageDeliveries.SendingStepExecutionStep</v>
      </c>
      <c r="C956" s="2" t="s">
        <v>9706</v>
      </c>
      <c r="D956" s="2" t="s">
        <v>4489</v>
      </c>
      <c r="E956" s="2" t="b">
        <v>1</v>
      </c>
      <c r="F956" s="2" t="b">
        <v>0</v>
      </c>
      <c r="G956" s="2" t="s">
        <v>9937</v>
      </c>
      <c r="H956" s="3" t="str">
        <f>_xlfn.IFNA(INDEX(RulebookFields!C2:C999, MATCH(D956,RulebookFields!A2:A999, 0)), "")</f>
      </c>
      <c r="I956" s="3" t="str">
        <f>_xlfn.IFNA(INDEX(RulebookFields!D2:D999, MATCH(D956,RulebookFields!A2:A999, 0)), "")</f>
      </c>
      <c r="J956" s="3" t="str">
        <f>_xlfn.IFNA(INDEX(RulebookFields!I2:I999, MATCH(D956,RulebookFields!A2:A999, 0)), "")</f>
      </c>
      <c r="K956" s="3" t="b">
        <f>AND(F956, J956)</f>
        <v>0</v>
      </c>
      <c r="L956" s="3" t="b">
        <f>AND(G956 &lt;&gt; "plain", G956 &lt;&gt; "")</f>
        <v>0</v>
      </c>
      <c r="M956" s="3" t="str">
        <f>IF(E956, C956 &amp; "|" &amp; H956, "")</f>
        <v>principal-process-steward|</v>
      </c>
      <c r="N956" s="2" t="s">
        <v>9938</v>
      </c>
    </row>
    <row r="957">
      <c r="A957" s="2" t="s">
        <v>10893</v>
      </c>
      <c r="B957" s="3" t="str">
        <f>C957 &amp; " -&gt; " &amp; D957</f>
        <v>principal-process-steward -&gt; MessageDeliveries.ExecutionHasClearedLegalReview</v>
      </c>
      <c r="C957" s="2" t="s">
        <v>9706</v>
      </c>
      <c r="D957" s="2" t="s">
        <v>4491</v>
      </c>
      <c r="E957" s="2" t="b">
        <v>1</v>
      </c>
      <c r="F957" s="2" t="b">
        <v>0</v>
      </c>
      <c r="G957" s="2" t="s">
        <v>9937</v>
      </c>
      <c r="H957" s="3" t="str">
        <f>_xlfn.IFNA(INDEX(RulebookFields!C2:C999, MATCH(D957,RulebookFields!A2:A999, 0)), "")</f>
      </c>
      <c r="I957" s="3" t="str">
        <f>_xlfn.IFNA(INDEX(RulebookFields!D2:D999, MATCH(D957,RulebookFields!A2:A999, 0)), "")</f>
      </c>
      <c r="J957" s="3" t="str">
        <f>_xlfn.IFNA(INDEX(RulebookFields!I2:I999, MATCH(D957,RulebookFields!A2:A999, 0)), "")</f>
      </c>
      <c r="K957" s="3" t="b">
        <f>AND(F957, J957)</f>
        <v>0</v>
      </c>
      <c r="L957" s="3" t="b">
        <f>AND(G957 &lt;&gt; "plain", G957 &lt;&gt; "")</f>
        <v>0</v>
      </c>
      <c r="M957" s="3" t="str">
        <f>IF(E957, C957 &amp; "|" &amp; H957, "")</f>
        <v>principal-process-steward|</v>
      </c>
      <c r="N957" s="2" t="s">
        <v>9938</v>
      </c>
    </row>
    <row r="958">
      <c r="A958" s="2" t="s">
        <v>10894</v>
      </c>
      <c r="B958" s="3" t="str">
        <f>C958 &amp; " -&gt; " &amp; D958</f>
        <v>principal-process-steward -&gt; MessageDeliveries.IsUnreviewedSend</v>
      </c>
      <c r="C958" s="2" t="s">
        <v>9706</v>
      </c>
      <c r="D958" s="2" t="s">
        <v>4494</v>
      </c>
      <c r="E958" s="2" t="b">
        <v>1</v>
      </c>
      <c r="F958" s="2" t="b">
        <v>0</v>
      </c>
      <c r="G958" s="2" t="s">
        <v>9937</v>
      </c>
      <c r="H958" s="3" t="str">
        <f>_xlfn.IFNA(INDEX(RulebookFields!C2:C999, MATCH(D958,RulebookFields!A2:A999, 0)), "")</f>
      </c>
      <c r="I958" s="3" t="str">
        <f>_xlfn.IFNA(INDEX(RulebookFields!D2:D999, MATCH(D958,RulebookFields!A2:A999, 0)), "")</f>
      </c>
      <c r="J958" s="3" t="str">
        <f>_xlfn.IFNA(INDEX(RulebookFields!I2:I999, MATCH(D958,RulebookFields!A2:A999, 0)), "")</f>
      </c>
      <c r="K958" s="3" t="b">
        <f>AND(F958, J958)</f>
        <v>0</v>
      </c>
      <c r="L958" s="3" t="b">
        <f>AND(G958 &lt;&gt; "plain", G958 &lt;&gt; "")</f>
        <v>0</v>
      </c>
      <c r="M958" s="3" t="str">
        <f>IF(E958, C958 &amp; "|" &amp; H958, "")</f>
        <v>principal-process-steward|</v>
      </c>
      <c r="N958" s="2" t="s">
        <v>9938</v>
      </c>
    </row>
    <row r="959">
      <c r="A959" s="2" t="s">
        <v>10895</v>
      </c>
      <c r="B959" s="3" t="str">
        <f>C959 &amp; " -&gt; " &amp; D959</f>
        <v>principal-process-steward -&gt; MessageDeliveries.RenderedBodyLength</v>
      </c>
      <c r="C959" s="2" t="s">
        <v>9706</v>
      </c>
      <c r="D959" s="2" t="s">
        <v>4497</v>
      </c>
      <c r="E959" s="2" t="b">
        <v>1</v>
      </c>
      <c r="F959" s="2" t="b">
        <v>0</v>
      </c>
      <c r="G959" s="2" t="s">
        <v>9937</v>
      </c>
      <c r="H959" s="3" t="str">
        <f>_xlfn.IFNA(INDEX(RulebookFields!C2:C999, MATCH(D959,RulebookFields!A2:A999, 0)), "")</f>
      </c>
      <c r="I959" s="3" t="str">
        <f>_xlfn.IFNA(INDEX(RulebookFields!D2:D999, MATCH(D959,RulebookFields!A2:A999, 0)), "")</f>
      </c>
      <c r="J959" s="3" t="str">
        <f>_xlfn.IFNA(INDEX(RulebookFields!I2:I999, MATCH(D959,RulebookFields!A2:A999, 0)), "")</f>
      </c>
      <c r="K959" s="3" t="b">
        <f>AND(F959, J959)</f>
        <v>0</v>
      </c>
      <c r="L959" s="3" t="b">
        <f>AND(G959 &lt;&gt; "plain", G959 &lt;&gt; "")</f>
        <v>0</v>
      </c>
      <c r="M959" s="3" t="str">
        <f>IF(E959, C959 &amp; "|" &amp; H959, "")</f>
        <v>principal-process-steward|</v>
      </c>
      <c r="N959" s="2" t="s">
        <v>9938</v>
      </c>
    </row>
    <row r="960">
      <c r="A960" s="2" t="s">
        <v>10896</v>
      </c>
      <c r="B960" s="3" t="str">
        <f>C960 &amp; " -&gt; " &amp; D960</f>
        <v>principal-process-steward -&gt; MessageDeliveries.PolicyMaxMessageLengthAtSend</v>
      </c>
      <c r="C960" s="2" t="s">
        <v>9706</v>
      </c>
      <c r="D960" s="2" t="s">
        <v>4500</v>
      </c>
      <c r="E960" s="2" t="b">
        <v>1</v>
      </c>
      <c r="F960" s="2" t="b">
        <v>0</v>
      </c>
      <c r="G960" s="2" t="s">
        <v>9937</v>
      </c>
      <c r="H960" s="3" t="str">
        <f>_xlfn.IFNA(INDEX(RulebookFields!C2:C999, MATCH(D960,RulebookFields!A2:A999, 0)), "")</f>
      </c>
      <c r="I960" s="3" t="str">
        <f>_xlfn.IFNA(INDEX(RulebookFields!D2:D999, MATCH(D960,RulebookFields!A2:A999, 0)), "")</f>
      </c>
      <c r="J960" s="3" t="str">
        <f>_xlfn.IFNA(INDEX(RulebookFields!I2:I999, MATCH(D960,RulebookFields!A2:A999, 0)), "")</f>
      </c>
      <c r="K960" s="3" t="b">
        <f>AND(F960, J960)</f>
        <v>0</v>
      </c>
      <c r="L960" s="3" t="b">
        <f>AND(G960 &lt;&gt; "plain", G960 &lt;&gt; "")</f>
        <v>0</v>
      </c>
      <c r="M960" s="3" t="str">
        <f>IF(E960, C960 &amp; "|" &amp; H960, "")</f>
        <v>principal-process-steward|</v>
      </c>
      <c r="N960" s="2" t="s">
        <v>9938</v>
      </c>
    </row>
    <row r="961">
      <c r="A961" s="2" t="s">
        <v>10897</v>
      </c>
      <c r="B961" s="3" t="str">
        <f>C961 &amp; " -&gt; " &amp; D961</f>
        <v>principal-process-steward -&gt; MessageDeliveries.SegmentCount</v>
      </c>
      <c r="C961" s="2" t="s">
        <v>9706</v>
      </c>
      <c r="D961" s="2" t="s">
        <v>4503</v>
      </c>
      <c r="E961" s="2" t="b">
        <v>1</v>
      </c>
      <c r="F961" s="2" t="b">
        <v>0</v>
      </c>
      <c r="G961" s="2" t="s">
        <v>9937</v>
      </c>
      <c r="H961" s="3" t="str">
        <f>_xlfn.IFNA(INDEX(RulebookFields!C2:C999, MATCH(D961,RulebookFields!A2:A999, 0)), "")</f>
      </c>
      <c r="I961" s="3" t="str">
        <f>_xlfn.IFNA(INDEX(RulebookFields!D2:D999, MATCH(D961,RulebookFields!A2:A999, 0)), "")</f>
      </c>
      <c r="J961" s="3" t="str">
        <f>_xlfn.IFNA(INDEX(RulebookFields!I2:I999, MATCH(D961,RulebookFields!A2:A999, 0)), "")</f>
      </c>
      <c r="K961" s="3" t="b">
        <f>AND(F961, J961)</f>
        <v>0</v>
      </c>
      <c r="L961" s="3" t="b">
        <f>AND(G961 &lt;&gt; "plain", G961 &lt;&gt; "")</f>
        <v>0</v>
      </c>
      <c r="M961" s="3" t="str">
        <f>IF(E961, C961 &amp; "|" &amp; H961, "")</f>
        <v>principal-process-steward|</v>
      </c>
      <c r="N961" s="2" t="s">
        <v>9938</v>
      </c>
    </row>
    <row r="962">
      <c r="A962" s="2" t="s">
        <v>10898</v>
      </c>
      <c r="B962" s="3" t="str">
        <f>C962 &amp; " -&gt; " &amp; D962</f>
        <v>principal-process-steward -&gt; MessageDeliveries.PolicyMaxSegmentsAtSend</v>
      </c>
      <c r="C962" s="2" t="s">
        <v>9706</v>
      </c>
      <c r="D962" s="2" t="s">
        <v>4506</v>
      </c>
      <c r="E962" s="2" t="b">
        <v>1</v>
      </c>
      <c r="F962" s="2" t="b">
        <v>0</v>
      </c>
      <c r="G962" s="2" t="s">
        <v>9937</v>
      </c>
      <c r="H962" s="3" t="str">
        <f>_xlfn.IFNA(INDEX(RulebookFields!C2:C999, MATCH(D962,RulebookFields!A2:A999, 0)), "")</f>
      </c>
      <c r="I962" s="3" t="str">
        <f>_xlfn.IFNA(INDEX(RulebookFields!D2:D999, MATCH(D962,RulebookFields!A2:A999, 0)), "")</f>
      </c>
      <c r="J962" s="3" t="str">
        <f>_xlfn.IFNA(INDEX(RulebookFields!I2:I999, MATCH(D962,RulebookFields!A2:A999, 0)), "")</f>
      </c>
      <c r="K962" s="3" t="b">
        <f>AND(F962, J962)</f>
        <v>0</v>
      </c>
      <c r="L962" s="3" t="b">
        <f>AND(G962 &lt;&gt; "plain", G962 &lt;&gt; "")</f>
        <v>0</v>
      </c>
      <c r="M962" s="3" t="str">
        <f>IF(E962, C962 &amp; "|" &amp; H962, "")</f>
        <v>principal-process-steward|</v>
      </c>
      <c r="N962" s="2" t="s">
        <v>9938</v>
      </c>
    </row>
    <row r="963">
      <c r="A963" s="2" t="s">
        <v>10899</v>
      </c>
      <c r="B963" s="3" t="str">
        <f>C963 &amp; " -&gt; " &amp; D963</f>
        <v>principal-process-steward -&gt; MessageDeliveries.IsOverSegmentLimit</v>
      </c>
      <c r="C963" s="2" t="s">
        <v>9706</v>
      </c>
      <c r="D963" s="2" t="s">
        <v>4509</v>
      </c>
      <c r="E963" s="2" t="b">
        <v>1</v>
      </c>
      <c r="F963" s="2" t="b">
        <v>0</v>
      </c>
      <c r="G963" s="2" t="s">
        <v>9937</v>
      </c>
      <c r="H963" s="3" t="str">
        <f>_xlfn.IFNA(INDEX(RulebookFields!C2:C999, MATCH(D963,RulebookFields!A2:A999, 0)), "")</f>
      </c>
      <c r="I963" s="3" t="str">
        <f>_xlfn.IFNA(INDEX(RulebookFields!D2:D999, MATCH(D963,RulebookFields!A2:A999, 0)), "")</f>
      </c>
      <c r="J963" s="3" t="str">
        <f>_xlfn.IFNA(INDEX(RulebookFields!I2:I999, MATCH(D963,RulebookFields!A2:A999, 0)), "")</f>
      </c>
      <c r="K963" s="3" t="b">
        <f>AND(F963, J963)</f>
        <v>0</v>
      </c>
      <c r="L963" s="3" t="b">
        <f>AND(G963 &lt;&gt; "plain", G963 &lt;&gt; "")</f>
        <v>0</v>
      </c>
      <c r="M963" s="3" t="str">
        <f>IF(E963, C963 &amp; "|" &amp; H963, "")</f>
        <v>principal-process-steward|</v>
      </c>
      <c r="N963" s="2" t="s">
        <v>9938</v>
      </c>
    </row>
    <row r="964">
      <c r="A964" s="2" t="s">
        <v>10900</v>
      </c>
      <c r="B964" s="3" t="str">
        <f>C964 &amp; " -&gt; " &amp; D964</f>
        <v>principal-process-steward -&gt; MessageDeliveries.TemplateHasValidApproval</v>
      </c>
      <c r="C964" s="2" t="s">
        <v>9706</v>
      </c>
      <c r="D964" s="2" t="s">
        <v>4512</v>
      </c>
      <c r="E964" s="2" t="b">
        <v>1</v>
      </c>
      <c r="F964" s="2" t="b">
        <v>0</v>
      </c>
      <c r="G964" s="2" t="s">
        <v>9937</v>
      </c>
      <c r="H964" s="3" t="str">
        <f>_xlfn.IFNA(INDEX(RulebookFields!C2:C999, MATCH(D964,RulebookFields!A2:A999, 0)), "")</f>
      </c>
      <c r="I964" s="3" t="str">
        <f>_xlfn.IFNA(INDEX(RulebookFields!D2:D999, MATCH(D964,RulebookFields!A2:A999, 0)), "")</f>
      </c>
      <c r="J964" s="3" t="str">
        <f>_xlfn.IFNA(INDEX(RulebookFields!I2:I999, MATCH(D964,RulebookFields!A2:A999, 0)), "")</f>
      </c>
      <c r="K964" s="3" t="b">
        <f>AND(F964, J964)</f>
        <v>0</v>
      </c>
      <c r="L964" s="3" t="b">
        <f>AND(G964 &lt;&gt; "plain", G964 &lt;&gt; "")</f>
        <v>0</v>
      </c>
      <c r="M964" s="3" t="str">
        <f>IF(E964, C964 &amp; "|" &amp; H964, "")</f>
        <v>principal-process-steward|</v>
      </c>
      <c r="N964" s="2" t="s">
        <v>9938</v>
      </c>
    </row>
    <row r="965">
      <c r="A965" s="2" t="s">
        <v>10901</v>
      </c>
      <c r="B965" s="3" t="str">
        <f>C965 &amp; " -&gt; " &amp; D965</f>
        <v>principal-process-steward -&gt; MessageDeliveries.IsUnapprovedSend</v>
      </c>
      <c r="C965" s="2" t="s">
        <v>9706</v>
      </c>
      <c r="D965" s="2" t="s">
        <v>4515</v>
      </c>
      <c r="E965" s="2" t="b">
        <v>1</v>
      </c>
      <c r="F965" s="2" t="b">
        <v>0</v>
      </c>
      <c r="G965" s="2" t="s">
        <v>9937</v>
      </c>
      <c r="H965" s="3" t="str">
        <f>_xlfn.IFNA(INDEX(RulebookFields!C2:C999, MATCH(D965,RulebookFields!A2:A999, 0)), "")</f>
      </c>
      <c r="I965" s="3" t="str">
        <f>_xlfn.IFNA(INDEX(RulebookFields!D2:D999, MATCH(D965,RulebookFields!A2:A999, 0)), "")</f>
      </c>
      <c r="J965" s="3" t="str">
        <f>_xlfn.IFNA(INDEX(RulebookFields!I2:I999, MATCH(D965,RulebookFields!A2:A999, 0)), "")</f>
      </c>
      <c r="K965" s="3" t="b">
        <f>AND(F965, J965)</f>
        <v>0</v>
      </c>
      <c r="L965" s="3" t="b">
        <f>AND(G965 &lt;&gt; "plain", G965 &lt;&gt; "")</f>
        <v>0</v>
      </c>
      <c r="M965" s="3" t="str">
        <f>IF(E965, C965 &amp; "|" &amp; H965, "")</f>
        <v>principal-process-steward|</v>
      </c>
      <c r="N965" s="2" t="s">
        <v>9938</v>
      </c>
    </row>
    <row r="966">
      <c r="A966" s="2" t="s">
        <v>10902</v>
      </c>
      <c r="B966" s="3" t="str">
        <f>C966 &amp; " -&gt; " &amp; D966</f>
        <v>principal-process-steward -&gt; MessageDeliveries.PolicyRequiredOptOutPhrase</v>
      </c>
      <c r="C966" s="2" t="s">
        <v>9706</v>
      </c>
      <c r="D966" s="2" t="s">
        <v>4518</v>
      </c>
      <c r="E966" s="2" t="b">
        <v>1</v>
      </c>
      <c r="F966" s="2" t="b">
        <v>0</v>
      </c>
      <c r="G966" s="2" t="s">
        <v>9937</v>
      </c>
      <c r="H966" s="3" t="str">
        <f>_xlfn.IFNA(INDEX(RulebookFields!C2:C999, MATCH(D966,RulebookFields!A2:A999, 0)), "")</f>
      </c>
      <c r="I966" s="3" t="str">
        <f>_xlfn.IFNA(INDEX(RulebookFields!D2:D999, MATCH(D966,RulebookFields!A2:A999, 0)), "")</f>
      </c>
      <c r="J966" s="3" t="str">
        <f>_xlfn.IFNA(INDEX(RulebookFields!I2:I999, MATCH(D966,RulebookFields!A2:A999, 0)), "")</f>
      </c>
      <c r="K966" s="3" t="b">
        <f>AND(F966, J966)</f>
        <v>0</v>
      </c>
      <c r="L966" s="3" t="b">
        <f>AND(G966 &lt;&gt; "plain", G966 &lt;&gt; "")</f>
        <v>0</v>
      </c>
      <c r="M966" s="3" t="str">
        <f>IF(E966, C966 &amp; "|" &amp; H966, "")</f>
        <v>principal-process-steward|</v>
      </c>
      <c r="N966" s="2" t="s">
        <v>9938</v>
      </c>
    </row>
    <row r="967">
      <c r="A967" s="2" t="s">
        <v>10903</v>
      </c>
      <c r="B967" s="3" t="str">
        <f>C967 &amp; " -&gt; " &amp; D967</f>
        <v>principal-process-steward -&gt; MessageDeliveries.PolicyRequiresOptOut</v>
      </c>
      <c r="C967" s="2" t="s">
        <v>9706</v>
      </c>
      <c r="D967" s="2" t="s">
        <v>4521</v>
      </c>
      <c r="E967" s="2" t="b">
        <v>1</v>
      </c>
      <c r="F967" s="2" t="b">
        <v>0</v>
      </c>
      <c r="G967" s="2" t="s">
        <v>9937</v>
      </c>
      <c r="H967" s="3" t="str">
        <f>_xlfn.IFNA(INDEX(RulebookFields!C2:C999, MATCH(D967,RulebookFields!A2:A999, 0)), "")</f>
      </c>
      <c r="I967" s="3" t="str">
        <f>_xlfn.IFNA(INDEX(RulebookFields!D2:D999, MATCH(D967,RulebookFields!A2:A999, 0)), "")</f>
      </c>
      <c r="J967" s="3" t="str">
        <f>_xlfn.IFNA(INDEX(RulebookFields!I2:I999, MATCH(D967,RulebookFields!A2:A999, 0)), "")</f>
      </c>
      <c r="K967" s="3" t="b">
        <f>AND(F967, J967)</f>
        <v>0</v>
      </c>
      <c r="L967" s="3" t="b">
        <f>AND(G967 &lt;&gt; "plain", G967 &lt;&gt; "")</f>
        <v>0</v>
      </c>
      <c r="M967" s="3" t="str">
        <f>IF(E967, C967 &amp; "|" &amp; H967, "")</f>
        <v>principal-process-steward|</v>
      </c>
      <c r="N967" s="2" t="s">
        <v>9938</v>
      </c>
    </row>
    <row r="968">
      <c r="A968" s="2" t="s">
        <v>10904</v>
      </c>
      <c r="B968" s="3" t="str">
        <f>C968 &amp; " -&gt; " &amp; D968</f>
        <v>principal-process-steward -&gt; MessageDeliveries.OptOutPhrasePosition</v>
      </c>
      <c r="C968" s="2" t="s">
        <v>9706</v>
      </c>
      <c r="D968" s="2" t="s">
        <v>4524</v>
      </c>
      <c r="E968" s="2" t="b">
        <v>1</v>
      </c>
      <c r="F968" s="2" t="b">
        <v>0</v>
      </c>
      <c r="G968" s="2" t="s">
        <v>9937</v>
      </c>
      <c r="H968" s="3" t="str">
        <f>_xlfn.IFNA(INDEX(RulebookFields!C2:C999, MATCH(D968,RulebookFields!A2:A999, 0)), "")</f>
      </c>
      <c r="I968" s="3" t="str">
        <f>_xlfn.IFNA(INDEX(RulebookFields!D2:D999, MATCH(D968,RulebookFields!A2:A999, 0)), "")</f>
      </c>
      <c r="J968" s="3" t="str">
        <f>_xlfn.IFNA(INDEX(RulebookFields!I2:I999, MATCH(D968,RulebookFields!A2:A999, 0)), "")</f>
      </c>
      <c r="K968" s="3" t="b">
        <f>AND(F968, J968)</f>
        <v>0</v>
      </c>
      <c r="L968" s="3" t="b">
        <f>AND(G968 &lt;&gt; "plain", G968 &lt;&gt; "")</f>
        <v>0</v>
      </c>
      <c r="M968" s="3" t="str">
        <f>IF(E968, C968 &amp; "|" &amp; H968, "")</f>
        <v>principal-process-steward|</v>
      </c>
      <c r="N968" s="2" t="s">
        <v>9938</v>
      </c>
    </row>
    <row r="969">
      <c r="A969" s="2" t="s">
        <v>10905</v>
      </c>
      <c r="B969" s="3" t="str">
        <f>C969 &amp; " -&gt; " &amp; D969</f>
        <v>principal-process-steward -&gt; MessageDeliveries.HasOptOutPhrase</v>
      </c>
      <c r="C969" s="2" t="s">
        <v>9706</v>
      </c>
      <c r="D969" s="2" t="s">
        <v>4527</v>
      </c>
      <c r="E969" s="2" t="b">
        <v>1</v>
      </c>
      <c r="F969" s="2" t="b">
        <v>0</v>
      </c>
      <c r="G969" s="2" t="s">
        <v>9937</v>
      </c>
      <c r="H969" s="3" t="str">
        <f>_xlfn.IFNA(INDEX(RulebookFields!C2:C999, MATCH(D969,RulebookFields!A2:A999, 0)), "")</f>
      </c>
      <c r="I969" s="3" t="str">
        <f>_xlfn.IFNA(INDEX(RulebookFields!D2:D999, MATCH(D969,RulebookFields!A2:A999, 0)), "")</f>
      </c>
      <c r="J969" s="3" t="str">
        <f>_xlfn.IFNA(INDEX(RulebookFields!I2:I999, MATCH(D969,RulebookFields!A2:A999, 0)), "")</f>
      </c>
      <c r="K969" s="3" t="b">
        <f>AND(F969, J969)</f>
        <v>0</v>
      </c>
      <c r="L969" s="3" t="b">
        <f>AND(G969 &lt;&gt; "plain", G969 &lt;&gt; "")</f>
        <v>0</v>
      </c>
      <c r="M969" s="3" t="str">
        <f>IF(E969, C969 &amp; "|" &amp; H969, "")</f>
        <v>principal-process-steward|</v>
      </c>
      <c r="N969" s="2" t="s">
        <v>9938</v>
      </c>
    </row>
    <row r="970">
      <c r="A970" s="2" t="s">
        <v>10906</v>
      </c>
      <c r="B970" s="3" t="str">
        <f>C970 &amp; " -&gt; " &amp; D970</f>
        <v>principal-process-steward -&gt; MessageDeliveries.IsOptOutInFirstSegment</v>
      </c>
      <c r="C970" s="2" t="s">
        <v>9706</v>
      </c>
      <c r="D970" s="2" t="s">
        <v>4530</v>
      </c>
      <c r="E970" s="2" t="b">
        <v>1</v>
      </c>
      <c r="F970" s="2" t="b">
        <v>0</v>
      </c>
      <c r="G970" s="2" t="s">
        <v>9937</v>
      </c>
      <c r="H970" s="3" t="str">
        <f>_xlfn.IFNA(INDEX(RulebookFields!C2:C999, MATCH(D970,RulebookFields!A2:A999, 0)), "")</f>
      </c>
      <c r="I970" s="3" t="str">
        <f>_xlfn.IFNA(INDEX(RulebookFields!D2:D999, MATCH(D970,RulebookFields!A2:A999, 0)), "")</f>
      </c>
      <c r="J970" s="3" t="str">
        <f>_xlfn.IFNA(INDEX(RulebookFields!I2:I999, MATCH(D970,RulebookFields!A2:A999, 0)), "")</f>
      </c>
      <c r="K970" s="3" t="b">
        <f>AND(F970, J970)</f>
        <v>0</v>
      </c>
      <c r="L970" s="3" t="b">
        <f>AND(G970 &lt;&gt; "plain", G970 &lt;&gt; "")</f>
        <v>0</v>
      </c>
      <c r="M970" s="3" t="str">
        <f>IF(E970, C970 &amp; "|" &amp; H970, "")</f>
        <v>principal-process-steward|</v>
      </c>
      <c r="N970" s="2" t="s">
        <v>9938</v>
      </c>
    </row>
    <row r="971">
      <c r="A971" s="2" t="s">
        <v>10907</v>
      </c>
      <c r="B971" s="3" t="str">
        <f>C971 &amp; " -&gt; " &amp; D971</f>
        <v>principal-process-steward -&gt; MessageDeliveries.IsMissingRequiredOptOut</v>
      </c>
      <c r="C971" s="2" t="s">
        <v>9706</v>
      </c>
      <c r="D971" s="2" t="s">
        <v>4533</v>
      </c>
      <c r="E971" s="2" t="b">
        <v>1</v>
      </c>
      <c r="F971" s="2" t="b">
        <v>0</v>
      </c>
      <c r="G971" s="2" t="s">
        <v>9937</v>
      </c>
      <c r="H971" s="3" t="str">
        <f>_xlfn.IFNA(INDEX(RulebookFields!C2:C999, MATCH(D971,RulebookFields!A2:A999, 0)), "")</f>
      </c>
      <c r="I971" s="3" t="str">
        <f>_xlfn.IFNA(INDEX(RulebookFields!D2:D999, MATCH(D971,RulebookFields!A2:A999, 0)), "")</f>
      </c>
      <c r="J971" s="3" t="str">
        <f>_xlfn.IFNA(INDEX(RulebookFields!I2:I999, MATCH(D971,RulebookFields!A2:A999, 0)), "")</f>
      </c>
      <c r="K971" s="3" t="b">
        <f>AND(F971, J971)</f>
        <v>0</v>
      </c>
      <c r="L971" s="3" t="b">
        <f>AND(G971 &lt;&gt; "plain", G971 &lt;&gt; "")</f>
        <v>0</v>
      </c>
      <c r="M971" s="3" t="str">
        <f>IF(E971, C971 &amp; "|" &amp; H971, "")</f>
        <v>principal-process-steward|</v>
      </c>
      <c r="N971" s="2" t="s">
        <v>9938</v>
      </c>
    </row>
    <row r="972">
      <c r="A972" s="2" t="s">
        <v>10908</v>
      </c>
      <c r="B972" s="3" t="str">
        <f>C972 &amp; " -&gt; " &amp; D972</f>
        <v>principal-process-steward -&gt; MessageDeliveries.IsOptOutAtRiskOfTruncation</v>
      </c>
      <c r="C972" s="2" t="s">
        <v>9706</v>
      </c>
      <c r="D972" s="2" t="s">
        <v>4536</v>
      </c>
      <c r="E972" s="2" t="b">
        <v>1</v>
      </c>
      <c r="F972" s="2" t="b">
        <v>0</v>
      </c>
      <c r="G972" s="2" t="s">
        <v>9937</v>
      </c>
      <c r="H972" s="3" t="str">
        <f>_xlfn.IFNA(INDEX(RulebookFields!C2:C999, MATCH(D972,RulebookFields!A2:A999, 0)), "")</f>
      </c>
      <c r="I972" s="3" t="str">
        <f>_xlfn.IFNA(INDEX(RulebookFields!D2:D999, MATCH(D972,RulebookFields!A2:A999, 0)), "")</f>
      </c>
      <c r="J972" s="3" t="str">
        <f>_xlfn.IFNA(INDEX(RulebookFields!I2:I999, MATCH(D972,RulebookFields!A2:A999, 0)), "")</f>
      </c>
      <c r="K972" s="3" t="b">
        <f>AND(F972, J972)</f>
        <v>0</v>
      </c>
      <c r="L972" s="3" t="b">
        <f>AND(G972 &lt;&gt; "plain", G972 &lt;&gt; "")</f>
        <v>0</v>
      </c>
      <c r="M972" s="3" t="str">
        <f>IF(E972, C972 &amp; "|" &amp; H972, "")</f>
        <v>principal-process-steward|</v>
      </c>
      <c r="N972" s="2" t="s">
        <v>9938</v>
      </c>
    </row>
    <row r="973">
      <c r="A973" s="2" t="s">
        <v>10909</v>
      </c>
      <c r="B973" s="3" t="str">
        <f>C973 &amp; " -&gt; " &amp; D973</f>
        <v>principal-process-steward -&gt; MessageDeliveries.IsFailedDelivery</v>
      </c>
      <c r="C973" s="2" t="s">
        <v>9706</v>
      </c>
      <c r="D973" s="2" t="s">
        <v>4539</v>
      </c>
      <c r="E973" s="2" t="b">
        <v>1</v>
      </c>
      <c r="F973" s="2" t="b">
        <v>0</v>
      </c>
      <c r="G973" s="2" t="s">
        <v>9937</v>
      </c>
      <c r="H973" s="3" t="str">
        <f>_xlfn.IFNA(INDEX(RulebookFields!C2:C999, MATCH(D973,RulebookFields!A2:A999, 0)), "")</f>
      </c>
      <c r="I973" s="3" t="str">
        <f>_xlfn.IFNA(INDEX(RulebookFields!D2:D999, MATCH(D973,RulebookFields!A2:A999, 0)), "")</f>
      </c>
      <c r="J973" s="3" t="str">
        <f>_xlfn.IFNA(INDEX(RulebookFields!I2:I999, MATCH(D973,RulebookFields!A2:A999, 0)), "")</f>
      </c>
      <c r="K973" s="3" t="b">
        <f>AND(F973, J973)</f>
        <v>0</v>
      </c>
      <c r="L973" s="3" t="b">
        <f>AND(G973 &lt;&gt; "plain", G973 &lt;&gt; "")</f>
        <v>0</v>
      </c>
      <c r="M973" s="3" t="str">
        <f>IF(E973, C973 &amp; "|" &amp; H973, "")</f>
        <v>principal-process-steward|</v>
      </c>
      <c r="N973" s="2" t="s">
        <v>9938</v>
      </c>
    </row>
    <row r="974">
      <c r="A974" s="2" t="s">
        <v>10910</v>
      </c>
      <c r="B974" s="3" t="str">
        <f>C974 &amp; " -&gt; " &amp; D974</f>
        <v>principal-process-steward -&gt; MessageDeliveries.IsSuppressed</v>
      </c>
      <c r="C974" s="2" t="s">
        <v>9706</v>
      </c>
      <c r="D974" s="2" t="s">
        <v>4542</v>
      </c>
      <c r="E974" s="2" t="b">
        <v>1</v>
      </c>
      <c r="F974" s="2" t="b">
        <v>0</v>
      </c>
      <c r="G974" s="2" t="s">
        <v>9937</v>
      </c>
      <c r="H974" s="3" t="str">
        <f>_xlfn.IFNA(INDEX(RulebookFields!C2:C999, MATCH(D974,RulebookFields!A2:A999, 0)), "")</f>
      </c>
      <c r="I974" s="3" t="str">
        <f>_xlfn.IFNA(INDEX(RulebookFields!D2:D999, MATCH(D974,RulebookFields!A2:A999, 0)), "")</f>
      </c>
      <c r="J974" s="3" t="str">
        <f>_xlfn.IFNA(INDEX(RulebookFields!I2:I999, MATCH(D974,RulebookFields!A2:A999, 0)), "")</f>
      </c>
      <c r="K974" s="3" t="b">
        <f>AND(F974, J974)</f>
        <v>0</v>
      </c>
      <c r="L974" s="3" t="b">
        <f>AND(G974 &lt;&gt; "plain", G974 &lt;&gt; "")</f>
        <v>0</v>
      </c>
      <c r="M974" s="3" t="str">
        <f>IF(E974, C974 &amp; "|" &amp; H974, "")</f>
        <v>principal-process-steward|</v>
      </c>
      <c r="N974" s="2" t="s">
        <v>9938</v>
      </c>
    </row>
    <row r="975">
      <c r="A975" s="2" t="s">
        <v>10911</v>
      </c>
      <c r="B975" s="3" t="str">
        <f>C975 &amp; " -&gt; " &amp; D975</f>
        <v>principal-process-steward -&gt; MessageDeliveries.IsTriaged</v>
      </c>
      <c r="C975" s="2" t="s">
        <v>9706</v>
      </c>
      <c r="D975" s="2" t="s">
        <v>4545</v>
      </c>
      <c r="E975" s="2" t="b">
        <v>1</v>
      </c>
      <c r="F975" s="2" t="b">
        <v>0</v>
      </c>
      <c r="G975" s="2" t="s">
        <v>9937</v>
      </c>
      <c r="H975" s="3" t="str">
        <f>_xlfn.IFNA(INDEX(RulebookFields!C2:C999, MATCH(D975,RulebookFields!A2:A999, 0)), "")</f>
      </c>
      <c r="I975" s="3" t="str">
        <f>_xlfn.IFNA(INDEX(RulebookFields!D2:D999, MATCH(D975,RulebookFields!A2:A999, 0)), "")</f>
      </c>
      <c r="J975" s="3" t="str">
        <f>_xlfn.IFNA(INDEX(RulebookFields!I2:I999, MATCH(D975,RulebookFields!A2:A999, 0)), "")</f>
      </c>
      <c r="K975" s="3" t="b">
        <f>AND(F975, J975)</f>
        <v>0</v>
      </c>
      <c r="L975" s="3" t="b">
        <f>AND(G975 &lt;&gt; "plain", G975 &lt;&gt; "")</f>
        <v>0</v>
      </c>
      <c r="M975" s="3" t="str">
        <f>IF(E975, C975 &amp; "|" &amp; H975, "")</f>
        <v>principal-process-steward|</v>
      </c>
      <c r="N975" s="2" t="s">
        <v>9938</v>
      </c>
    </row>
    <row r="976">
      <c r="A976" s="2" t="s">
        <v>10912</v>
      </c>
      <c r="B976" s="3" t="str">
        <f>C976 &amp; " -&gt; " &amp; D976</f>
        <v>principal-process-steward -&gt; MessageDeliveries.IsAbandonedFailure</v>
      </c>
      <c r="C976" s="2" t="s">
        <v>9706</v>
      </c>
      <c r="D976" s="2" t="s">
        <v>4548</v>
      </c>
      <c r="E976" s="2" t="b">
        <v>1</v>
      </c>
      <c r="F976" s="2" t="b">
        <v>0</v>
      </c>
      <c r="G976" s="2" t="s">
        <v>9937</v>
      </c>
      <c r="H976" s="3" t="str">
        <f>_xlfn.IFNA(INDEX(RulebookFields!C2:C999, MATCH(D976,RulebookFields!A2:A999, 0)), "")</f>
      </c>
      <c r="I976" s="3" t="str">
        <f>_xlfn.IFNA(INDEX(RulebookFields!D2:D999, MATCH(D976,RulebookFields!A2:A999, 0)), "")</f>
      </c>
      <c r="J976" s="3" t="str">
        <f>_xlfn.IFNA(INDEX(RulebookFields!I2:I999, MATCH(D976,RulebookFields!A2:A999, 0)), "")</f>
      </c>
      <c r="K976" s="3" t="b">
        <f>AND(F976, J976)</f>
        <v>0</v>
      </c>
      <c r="L976" s="3" t="b">
        <f>AND(G976 &lt;&gt; "plain", G976 &lt;&gt; "")</f>
        <v>0</v>
      </c>
      <c r="M976" s="3" t="str">
        <f>IF(E976, C976 &amp; "|" &amp; H976, "")</f>
        <v>principal-process-steward|</v>
      </c>
      <c r="N976" s="2" t="s">
        <v>9938</v>
      </c>
    </row>
    <row r="977">
      <c r="A977" s="2" t="s">
        <v>10913</v>
      </c>
      <c r="B977" s="3" t="str">
        <f>C977 &amp; " -&gt; " &amp; D977</f>
        <v>principal-process-steward -&gt; MessageDeliveries.AbandonedFailureExecutionKey</v>
      </c>
      <c r="C977" s="2" t="s">
        <v>9706</v>
      </c>
      <c r="D977" s="2" t="s">
        <v>4551</v>
      </c>
      <c r="E977" s="2" t="b">
        <v>1</v>
      </c>
      <c r="F977" s="2" t="b">
        <v>0</v>
      </c>
      <c r="G977" s="2" t="s">
        <v>9937</v>
      </c>
      <c r="H977" s="3" t="str">
        <f>_xlfn.IFNA(INDEX(RulebookFields!C2:C999, MATCH(D977,RulebookFields!A2:A999, 0)), "")</f>
      </c>
      <c r="I977" s="3" t="str">
        <f>_xlfn.IFNA(INDEX(RulebookFields!D2:D999, MATCH(D977,RulebookFields!A2:A999, 0)), "")</f>
      </c>
      <c r="J977" s="3" t="str">
        <f>_xlfn.IFNA(INDEX(RulebookFields!I2:I999, MATCH(D977,RulebookFields!A2:A999, 0)), "")</f>
      </c>
      <c r="K977" s="3" t="b">
        <f>AND(F977, J977)</f>
        <v>0</v>
      </c>
      <c r="L977" s="3" t="b">
        <f>AND(G977 &lt;&gt; "plain", G977 &lt;&gt; "")</f>
        <v>0</v>
      </c>
      <c r="M977" s="3" t="str">
        <f>IF(E977, C977 &amp; "|" &amp; H977, "")</f>
        <v>principal-process-steward|</v>
      </c>
      <c r="N977" s="2" t="s">
        <v>9938</v>
      </c>
    </row>
    <row r="978">
      <c r="A978" s="2" t="s">
        <v>10914</v>
      </c>
      <c r="B978" s="3" t="str">
        <f>C978 &amp; " -&gt; " &amp; D978</f>
        <v>principal-process-steward -&gt; MessageDeliveries.ReachedExecutionKey</v>
      </c>
      <c r="C978" s="2" t="s">
        <v>9706</v>
      </c>
      <c r="D978" s="2" t="s">
        <v>4554</v>
      </c>
      <c r="E978" s="2" t="b">
        <v>1</v>
      </c>
      <c r="F978" s="2" t="b">
        <v>0</v>
      </c>
      <c r="G978" s="2" t="s">
        <v>9937</v>
      </c>
      <c r="H978" s="3" t="str">
        <f>_xlfn.IFNA(INDEX(RulebookFields!C2:C999, MATCH(D978,RulebookFields!A2:A999, 0)), "")</f>
      </c>
      <c r="I978" s="3" t="str">
        <f>_xlfn.IFNA(INDEX(RulebookFields!D2:D999, MATCH(D978,RulebookFields!A2:A999, 0)), "")</f>
      </c>
      <c r="J978" s="3" t="str">
        <f>_xlfn.IFNA(INDEX(RulebookFields!I2:I999, MATCH(D978,RulebookFields!A2:A999, 0)), "")</f>
      </c>
      <c r="K978" s="3" t="b">
        <f>AND(F978, J978)</f>
        <v>0</v>
      </c>
      <c r="L978" s="3" t="b">
        <f>AND(G978 &lt;&gt; "plain", G978 &lt;&gt; "")</f>
        <v>0</v>
      </c>
      <c r="M978" s="3" t="str">
        <f>IF(E978, C978 &amp; "|" &amp; H978, "")</f>
        <v>principal-process-steward|</v>
      </c>
      <c r="N978" s="2" t="s">
        <v>9938</v>
      </c>
    </row>
    <row r="979">
      <c r="A979" s="2" t="s">
        <v>10915</v>
      </c>
      <c r="B979" s="3" t="str">
        <f>C979 &amp; " -&gt; " &amp; D979</f>
        <v>principal-process-steward -&gt; MessageDeliveries.TemplateWasSendable</v>
      </c>
      <c r="C979" s="2" t="s">
        <v>9706</v>
      </c>
      <c r="D979" s="2" t="s">
        <v>4557</v>
      </c>
      <c r="E979" s="2" t="b">
        <v>1</v>
      </c>
      <c r="F979" s="2" t="b">
        <v>0</v>
      </c>
      <c r="G979" s="2" t="s">
        <v>9937</v>
      </c>
      <c r="H979" s="3" t="str">
        <f>_xlfn.IFNA(INDEX(RulebookFields!C2:C999, MATCH(D979,RulebookFields!A2:A999, 0)), "")</f>
      </c>
      <c r="I979" s="3" t="str">
        <f>_xlfn.IFNA(INDEX(RulebookFields!D2:D999, MATCH(D979,RulebookFields!A2:A999, 0)), "")</f>
      </c>
      <c r="J979" s="3" t="str">
        <f>_xlfn.IFNA(INDEX(RulebookFields!I2:I999, MATCH(D979,RulebookFields!A2:A999, 0)), "")</f>
      </c>
      <c r="K979" s="3" t="b">
        <f>AND(F979, J979)</f>
        <v>0</v>
      </c>
      <c r="L979" s="3" t="b">
        <f>AND(G979 &lt;&gt; "plain", G979 &lt;&gt; "")</f>
        <v>0</v>
      </c>
      <c r="M979" s="3" t="str">
        <f>IF(E979, C979 &amp; "|" &amp; H979, "")</f>
        <v>principal-process-steward|</v>
      </c>
      <c r="N979" s="2" t="s">
        <v>9938</v>
      </c>
    </row>
    <row r="980">
      <c r="A980" s="2" t="s">
        <v>10916</v>
      </c>
      <c r="B980" s="3" t="str">
        <f>C980 &amp; " -&gt; " &amp; D980</f>
        <v>principal-process-steward -&gt; MessageDeliveries.IsDriftedSend</v>
      </c>
      <c r="C980" s="2" t="s">
        <v>9706</v>
      </c>
      <c r="D980" s="2" t="s">
        <v>4560</v>
      </c>
      <c r="E980" s="2" t="b">
        <v>1</v>
      </c>
      <c r="F980" s="2" t="b">
        <v>0</v>
      </c>
      <c r="G980" s="2" t="s">
        <v>9937</v>
      </c>
      <c r="H980" s="3" t="str">
        <f>_xlfn.IFNA(INDEX(RulebookFields!C2:C999, MATCH(D980,RulebookFields!A2:A999, 0)), "")</f>
      </c>
      <c r="I980" s="3" t="str">
        <f>_xlfn.IFNA(INDEX(RulebookFields!D2:D999, MATCH(D980,RulebookFields!A2:A999, 0)), "")</f>
      </c>
      <c r="J980" s="3" t="str">
        <f>_xlfn.IFNA(INDEX(RulebookFields!I2:I999, MATCH(D980,RulebookFields!A2:A999, 0)), "")</f>
      </c>
      <c r="K980" s="3" t="b">
        <f>AND(F980, J980)</f>
        <v>0</v>
      </c>
      <c r="L980" s="3" t="b">
        <f>AND(G980 &lt;&gt; "plain", G980 &lt;&gt; "")</f>
        <v>0</v>
      </c>
      <c r="M980" s="3" t="str">
        <f>IF(E980, C980 &amp; "|" &amp; H980, "")</f>
        <v>principal-process-steward|</v>
      </c>
      <c r="N980" s="2" t="s">
        <v>9938</v>
      </c>
    </row>
    <row r="981">
      <c r="A981" s="2" t="s">
        <v>10917</v>
      </c>
      <c r="B981" s="3" t="str">
        <f>C981 &amp; " -&gt; " &amp; D981</f>
        <v>principal-process-steward -&gt; MessageDeliveries.DriftedSendTemplateKey</v>
      </c>
      <c r="C981" s="2" t="s">
        <v>9706</v>
      </c>
      <c r="D981" s="2" t="s">
        <v>4563</v>
      </c>
      <c r="E981" s="2" t="b">
        <v>1</v>
      </c>
      <c r="F981" s="2" t="b">
        <v>0</v>
      </c>
      <c r="G981" s="2" t="s">
        <v>9937</v>
      </c>
      <c r="H981" s="3" t="str">
        <f>_xlfn.IFNA(INDEX(RulebookFields!C2:C999, MATCH(D981,RulebookFields!A2:A999, 0)), "")</f>
      </c>
      <c r="I981" s="3" t="str">
        <f>_xlfn.IFNA(INDEX(RulebookFields!D2:D999, MATCH(D981,RulebookFields!A2:A999, 0)), "")</f>
      </c>
      <c r="J981" s="3" t="str">
        <f>_xlfn.IFNA(INDEX(RulebookFields!I2:I999, MATCH(D981,RulebookFields!A2:A999, 0)), "")</f>
      </c>
      <c r="K981" s="3" t="b">
        <f>AND(F981, J981)</f>
        <v>0</v>
      </c>
      <c r="L981" s="3" t="b">
        <f>AND(G981 &lt;&gt; "plain", G981 &lt;&gt; "")</f>
        <v>0</v>
      </c>
      <c r="M981" s="3" t="str">
        <f>IF(E981, C981 &amp; "|" &amp; H981, "")</f>
        <v>principal-process-steward|</v>
      </c>
      <c r="N981" s="2" t="s">
        <v>9938</v>
      </c>
    </row>
    <row r="982">
      <c r="A982" s="2" t="s">
        <v>10918</v>
      </c>
      <c r="B982" s="3" t="str">
        <f>C982 &amp; " -&gt; " &amp; D982</f>
        <v>principal-process-steward -&gt; MessageDeliveries.WasSentOutsideBusinessHours</v>
      </c>
      <c r="C982" s="2" t="s">
        <v>9706</v>
      </c>
      <c r="D982" s="2" t="s">
        <v>4566</v>
      </c>
      <c r="E982" s="2" t="b">
        <v>1</v>
      </c>
      <c r="F982" s="2" t="b">
        <v>0</v>
      </c>
      <c r="G982" s="2" t="s">
        <v>9937</v>
      </c>
      <c r="H982" s="3" t="str">
        <f>_xlfn.IFNA(INDEX(RulebookFields!C2:C999, MATCH(D982,RulebookFields!A2:A999, 0)), "")</f>
      </c>
      <c r="I982" s="3" t="str">
        <f>_xlfn.IFNA(INDEX(RulebookFields!D2:D999, MATCH(D982,RulebookFields!A2:A999, 0)), "")</f>
      </c>
      <c r="J982" s="3" t="str">
        <f>_xlfn.IFNA(INDEX(RulebookFields!I2:I999, MATCH(D982,RulebookFields!A2:A999, 0)), "")</f>
      </c>
      <c r="K982" s="3" t="b">
        <f>AND(F982, J982)</f>
        <v>0</v>
      </c>
      <c r="L982" s="3" t="b">
        <f>AND(G982 &lt;&gt; "plain", G982 &lt;&gt; "")</f>
        <v>0</v>
      </c>
      <c r="M982" s="3" t="str">
        <f>IF(E982, C982 &amp; "|" &amp; H982, "")</f>
        <v>principal-process-steward|</v>
      </c>
      <c r="N982" s="2" t="s">
        <v>9938</v>
      </c>
    </row>
    <row r="983">
      <c r="A983" s="2" t="s">
        <v>10919</v>
      </c>
      <c r="B983" s="3" t="str">
        <f>C983 &amp; " -&gt; " &amp; D983</f>
        <v>principal-process-steward -&gt; MessageDeliveries.WasDeliveredAndUnanswered</v>
      </c>
      <c r="C983" s="2" t="s">
        <v>9706</v>
      </c>
      <c r="D983" s="2" t="s">
        <v>4569</v>
      </c>
      <c r="E983" s="2" t="b">
        <v>1</v>
      </c>
      <c r="F983" s="2" t="b">
        <v>0</v>
      </c>
      <c r="G983" s="2" t="s">
        <v>9937</v>
      </c>
      <c r="H983" s="3" t="str">
        <f>_xlfn.IFNA(INDEX(RulebookFields!C2:C999, MATCH(D983,RulebookFields!A2:A999, 0)), "")</f>
      </c>
      <c r="I983" s="3" t="str">
        <f>_xlfn.IFNA(INDEX(RulebookFields!D2:D999, MATCH(D983,RulebookFields!A2:A999, 0)), "")</f>
      </c>
      <c r="J983" s="3" t="str">
        <f>_xlfn.IFNA(INDEX(RulebookFields!I2:I999, MATCH(D983,RulebookFields!A2:A999, 0)), "")</f>
      </c>
      <c r="K983" s="3" t="b">
        <f>AND(F983, J983)</f>
        <v>0</v>
      </c>
      <c r="L983" s="3" t="b">
        <f>AND(G983 &lt;&gt; "plain", G983 &lt;&gt; "")</f>
        <v>0</v>
      </c>
      <c r="M983" s="3" t="str">
        <f>IF(E983, C983 &amp; "|" &amp; H983, "")</f>
        <v>principal-process-steward|</v>
      </c>
      <c r="N983" s="2" t="s">
        <v>9938</v>
      </c>
    </row>
    <row r="984">
      <c r="A984" s="2" t="s">
        <v>10920</v>
      </c>
      <c r="B984" s="3" t="str">
        <f>C984 &amp; " -&gt; " &amp; D984</f>
        <v>principal-process-steward -&gt; MessageDeliveries.IsPoorlyTimedUnanswered</v>
      </c>
      <c r="C984" s="2" t="s">
        <v>9706</v>
      </c>
      <c r="D984" s="2" t="s">
        <v>4572</v>
      </c>
      <c r="E984" s="2" t="b">
        <v>1</v>
      </c>
      <c r="F984" s="2" t="b">
        <v>0</v>
      </c>
      <c r="G984" s="2" t="s">
        <v>9937</v>
      </c>
      <c r="H984" s="3" t="str">
        <f>_xlfn.IFNA(INDEX(RulebookFields!C2:C999, MATCH(D984,RulebookFields!A2:A999, 0)), "")</f>
      </c>
      <c r="I984" s="3" t="str">
        <f>_xlfn.IFNA(INDEX(RulebookFields!D2:D999, MATCH(D984,RulebookFields!A2:A999, 0)), "")</f>
      </c>
      <c r="J984" s="3" t="str">
        <f>_xlfn.IFNA(INDEX(RulebookFields!I2:I999, MATCH(D984,RulebookFields!A2:A999, 0)), "")</f>
      </c>
      <c r="K984" s="3" t="b">
        <f>AND(F984, J984)</f>
        <v>0</v>
      </c>
      <c r="L984" s="3" t="b">
        <f>AND(G984 &lt;&gt; "plain", G984 &lt;&gt; "")</f>
        <v>0</v>
      </c>
      <c r="M984" s="3" t="str">
        <f>IF(E984, C984 &amp; "|" &amp; H984, "")</f>
        <v>principal-process-steward|</v>
      </c>
      <c r="N984" s="2" t="s">
        <v>9938</v>
      </c>
    </row>
    <row r="985">
      <c r="A985" s="2" t="s">
        <v>10921</v>
      </c>
      <c r="B985" s="3" t="str">
        <f>C985 &amp; " -&gt; " &amp; D985</f>
        <v>principal-process-steward -&gt; MessageDeliveries.IsWellTimedUnanswered</v>
      </c>
      <c r="C985" s="2" t="s">
        <v>9706</v>
      </c>
      <c r="D985" s="2" t="s">
        <v>4575</v>
      </c>
      <c r="E985" s="2" t="b">
        <v>1</v>
      </c>
      <c r="F985" s="2" t="b">
        <v>0</v>
      </c>
      <c r="G985" s="2" t="s">
        <v>9937</v>
      </c>
      <c r="H985" s="3" t="str">
        <f>_xlfn.IFNA(INDEX(RulebookFields!C2:C999, MATCH(D985,RulebookFields!A2:A999, 0)), "")</f>
      </c>
      <c r="I985" s="3" t="str">
        <f>_xlfn.IFNA(INDEX(RulebookFields!D2:D999, MATCH(D985,RulebookFields!A2:A999, 0)), "")</f>
      </c>
      <c r="J985" s="3" t="str">
        <f>_xlfn.IFNA(INDEX(RulebookFields!I2:I999, MATCH(D985,RulebookFields!A2:A999, 0)), "")</f>
      </c>
      <c r="K985" s="3" t="b">
        <f>AND(F985, J985)</f>
        <v>0</v>
      </c>
      <c r="L985" s="3" t="b">
        <f>AND(G985 &lt;&gt; "plain", G985 &lt;&gt; "")</f>
        <v>0</v>
      </c>
      <c r="M985" s="3" t="str">
        <f>IF(E985, C985 &amp; "|" &amp; H985, "")</f>
        <v>principal-process-steward|</v>
      </c>
      <c r="N985" s="2" t="s">
        <v>9938</v>
      </c>
    </row>
    <row r="986">
      <c r="A986" s="2" t="s">
        <v>10922</v>
      </c>
      <c r="B986" s="3" t="str">
        <f>C986 &amp; " -&gt; " &amp; D986</f>
        <v>principal-process-steward -&gt; MessageDeliveries.UnansweredTemplateKey</v>
      </c>
      <c r="C986" s="2" t="s">
        <v>9706</v>
      </c>
      <c r="D986" s="2" t="s">
        <v>4578</v>
      </c>
      <c r="E986" s="2" t="b">
        <v>1</v>
      </c>
      <c r="F986" s="2" t="b">
        <v>0</v>
      </c>
      <c r="G986" s="2" t="s">
        <v>9937</v>
      </c>
      <c r="H986" s="3" t="str">
        <f>_xlfn.IFNA(INDEX(RulebookFields!C2:C999, MATCH(D986,RulebookFields!A2:A999, 0)), "")</f>
      </c>
      <c r="I986" s="3" t="str">
        <f>_xlfn.IFNA(INDEX(RulebookFields!D2:D999, MATCH(D986,RulebookFields!A2:A999, 0)), "")</f>
      </c>
      <c r="J986" s="3" t="str">
        <f>_xlfn.IFNA(INDEX(RulebookFields!I2:I999, MATCH(D986,RulebookFields!A2:A999, 0)), "")</f>
      </c>
      <c r="K986" s="3" t="b">
        <f>AND(F986, J986)</f>
        <v>0</v>
      </c>
      <c r="L986" s="3" t="b">
        <f>AND(G986 &lt;&gt; "plain", G986 &lt;&gt; "")</f>
        <v>0</v>
      </c>
      <c r="M986" s="3" t="str">
        <f>IF(E986, C986 &amp; "|" &amp; H986, "")</f>
        <v>principal-process-steward|</v>
      </c>
      <c r="N986" s="2" t="s">
        <v>9938</v>
      </c>
    </row>
    <row r="987">
      <c r="A987" s="2" t="s">
        <v>10923</v>
      </c>
      <c r="B987" s="3" t="str">
        <f>C987 &amp; " -&gt; " &amp; D987</f>
        <v>principal-process-steward -&gt; MessageDeliveries.TransmittedTemplateKey</v>
      </c>
      <c r="C987" s="2" t="s">
        <v>9706</v>
      </c>
      <c r="D987" s="2" t="s">
        <v>4581</v>
      </c>
      <c r="E987" s="2" t="b">
        <v>1</v>
      </c>
      <c r="F987" s="2" t="b">
        <v>0</v>
      </c>
      <c r="G987" s="2" t="s">
        <v>9937</v>
      </c>
      <c r="H987" s="3" t="str">
        <f>_xlfn.IFNA(INDEX(RulebookFields!C2:C999, MATCH(D987,RulebookFields!A2:A999, 0)), "")</f>
      </c>
      <c r="I987" s="3" t="str">
        <f>_xlfn.IFNA(INDEX(RulebookFields!D2:D999, MATCH(D987,RulebookFields!A2:A999, 0)), "")</f>
      </c>
      <c r="J987" s="3" t="str">
        <f>_xlfn.IFNA(INDEX(RulebookFields!I2:I999, MATCH(D987,RulebookFields!A2:A999, 0)), "")</f>
      </c>
      <c r="K987" s="3" t="b">
        <f>AND(F987, J987)</f>
        <v>0</v>
      </c>
      <c r="L987" s="3" t="b">
        <f>AND(G987 &lt;&gt; "plain", G987 &lt;&gt; "")</f>
        <v>0</v>
      </c>
      <c r="M987" s="3" t="str">
        <f>IF(E987, C987 &amp; "|" &amp; H987, "")</f>
        <v>principal-process-steward|</v>
      </c>
      <c r="N987" s="2" t="s">
        <v>9938</v>
      </c>
    </row>
    <row r="988">
      <c r="A988" s="2" t="s">
        <v>10924</v>
      </c>
      <c r="B988" s="3" t="str">
        <f>C988 &amp; " -&gt; " &amp; D988</f>
        <v>principal-process-steward -&gt; MessageDeliveries.ApprovingAgentAtSend</v>
      </c>
      <c r="C988" s="2" t="s">
        <v>9706</v>
      </c>
      <c r="D988" s="2" t="s">
        <v>4584</v>
      </c>
      <c r="E988" s="2" t="b">
        <v>1</v>
      </c>
      <c r="F988" s="2" t="b">
        <v>0</v>
      </c>
      <c r="G988" s="2" t="s">
        <v>9937</v>
      </c>
      <c r="H988" s="3" t="str">
        <f>_xlfn.IFNA(INDEX(RulebookFields!C2:C999, MATCH(D988,RulebookFields!A2:A999, 0)), "")</f>
      </c>
      <c r="I988" s="3" t="str">
        <f>_xlfn.IFNA(INDEX(RulebookFields!D2:D999, MATCH(D988,RulebookFields!A2:A999, 0)), "")</f>
      </c>
      <c r="J988" s="3" t="str">
        <f>_xlfn.IFNA(INDEX(RulebookFields!I2:I999, MATCH(D988,RulebookFields!A2:A999, 0)), "")</f>
      </c>
      <c r="K988" s="3" t="b">
        <f>AND(F988, J988)</f>
        <v>0</v>
      </c>
      <c r="L988" s="3" t="b">
        <f>AND(G988 &lt;&gt; "plain", G988 &lt;&gt; "")</f>
        <v>0</v>
      </c>
      <c r="M988" s="3" t="str">
        <f>IF(E988, C988 &amp; "|" &amp; H988, "")</f>
        <v>principal-process-steward|</v>
      </c>
      <c r="N988" s="2" t="s">
        <v>9938</v>
      </c>
    </row>
    <row r="989">
      <c r="A989" s="2" t="s">
        <v>10925</v>
      </c>
      <c r="B989" s="3" t="str">
        <f>C989 &amp; " -&gt; " &amp; D989</f>
        <v>principal-process-steward -&gt; MessageDeliveries.ApprovingRoleAtSend</v>
      </c>
      <c r="C989" s="2" t="s">
        <v>9706</v>
      </c>
      <c r="D989" s="2" t="s">
        <v>4586</v>
      </c>
      <c r="E989" s="2" t="b">
        <v>1</v>
      </c>
      <c r="F989" s="2" t="b">
        <v>0</v>
      </c>
      <c r="G989" s="2" t="s">
        <v>9937</v>
      </c>
      <c r="H989" s="3" t="str">
        <f>_xlfn.IFNA(INDEX(RulebookFields!C2:C999, MATCH(D989,RulebookFields!A2:A999, 0)), "")</f>
      </c>
      <c r="I989" s="3" t="str">
        <f>_xlfn.IFNA(INDEX(RulebookFields!D2:D999, MATCH(D989,RulebookFields!A2:A999, 0)), "")</f>
      </c>
      <c r="J989" s="3" t="str">
        <f>_xlfn.IFNA(INDEX(RulebookFields!I2:I999, MATCH(D989,RulebookFields!A2:A999, 0)), "")</f>
      </c>
      <c r="K989" s="3" t="b">
        <f>AND(F989, J989)</f>
        <v>0</v>
      </c>
      <c r="L989" s="3" t="b">
        <f>AND(G989 &lt;&gt; "plain", G989 &lt;&gt; "")</f>
        <v>0</v>
      </c>
      <c r="M989" s="3" t="str">
        <f>IF(E989, C989 &amp; "|" &amp; H989, "")</f>
        <v>principal-process-steward|</v>
      </c>
      <c r="N989" s="2" t="s">
        <v>9938</v>
      </c>
    </row>
    <row r="990">
      <c r="A990" s="2" t="s">
        <v>10926</v>
      </c>
      <c r="B990" s="3" t="str">
        <f>C990 &amp; " -&gt; " &amp; D990</f>
        <v>principal-process-steward -&gt; MessageDeliveries.ApprovalDecidedAtSend</v>
      </c>
      <c r="C990" s="2" t="s">
        <v>9706</v>
      </c>
      <c r="D990" s="2" t="s">
        <v>4588</v>
      </c>
      <c r="E990" s="2" t="b">
        <v>1</v>
      </c>
      <c r="F990" s="2" t="b">
        <v>0</v>
      </c>
      <c r="G990" s="2" t="s">
        <v>9937</v>
      </c>
      <c r="H990" s="3" t="str">
        <f>_xlfn.IFNA(INDEX(RulebookFields!C2:C999, MATCH(D990,RulebookFields!A2:A999, 0)), "")</f>
      </c>
      <c r="I990" s="3" t="str">
        <f>_xlfn.IFNA(INDEX(RulebookFields!D2:D999, MATCH(D990,RulebookFields!A2:A999, 0)), "")</f>
      </c>
      <c r="J990" s="3" t="str">
        <f>_xlfn.IFNA(INDEX(RulebookFields!I2:I999, MATCH(D990,RulebookFields!A2:A999, 0)), "")</f>
      </c>
      <c r="K990" s="3" t="b">
        <f>AND(F990, J990)</f>
        <v>0</v>
      </c>
      <c r="L990" s="3" t="b">
        <f>AND(G990 &lt;&gt; "plain", G990 &lt;&gt; "")</f>
        <v>0</v>
      </c>
      <c r="M990" s="3" t="str">
        <f>IF(E990, C990 &amp; "|" &amp; H990, "")</f>
        <v>principal-process-steward|</v>
      </c>
      <c r="N990" s="2" t="s">
        <v>9938</v>
      </c>
    </row>
    <row r="991">
      <c r="A991" s="2" t="s">
        <v>10927</v>
      </c>
      <c r="B991" s="3" t="str">
        <f>C991 &amp; " -&gt; " &amp; D991</f>
        <v>principal-process-steward -&gt; MessageDeliveries.ApprovalPrecededSend</v>
      </c>
      <c r="C991" s="2" t="s">
        <v>9706</v>
      </c>
      <c r="D991" s="2" t="s">
        <v>4590</v>
      </c>
      <c r="E991" s="2" t="b">
        <v>1</v>
      </c>
      <c r="F991" s="2" t="b">
        <v>0</v>
      </c>
      <c r="G991" s="2" t="s">
        <v>9937</v>
      </c>
      <c r="H991" s="3" t="str">
        <f>_xlfn.IFNA(INDEX(RulebookFields!C2:C999, MATCH(D991,RulebookFields!A2:A999, 0)), "")</f>
      </c>
      <c r="I991" s="3" t="str">
        <f>_xlfn.IFNA(INDEX(RulebookFields!D2:D999, MATCH(D991,RulebookFields!A2:A999, 0)), "")</f>
      </c>
      <c r="J991" s="3" t="str">
        <f>_xlfn.IFNA(INDEX(RulebookFields!I2:I999, MATCH(D991,RulebookFields!A2:A999, 0)), "")</f>
      </c>
      <c r="K991" s="3" t="b">
        <f>AND(F991, J991)</f>
        <v>0</v>
      </c>
      <c r="L991" s="3" t="b">
        <f>AND(G991 &lt;&gt; "plain", G991 &lt;&gt; "")</f>
        <v>0</v>
      </c>
      <c r="M991" s="3" t="str">
        <f>IF(E991, C991 &amp; "|" &amp; H991, "")</f>
        <v>principal-process-steward|</v>
      </c>
      <c r="N991" s="2" t="s">
        <v>9938</v>
      </c>
    </row>
    <row r="992">
      <c r="A992" s="2" t="s">
        <v>10928</v>
      </c>
      <c r="B992" s="3" t="str">
        <f>C992 &amp; " -&gt; " &amp; D992</f>
        <v>principal-process-steward -&gt; MessageDeliveries.HasFrozenApprovalEvidence</v>
      </c>
      <c r="C992" s="2" t="s">
        <v>9706</v>
      </c>
      <c r="D992" s="2" t="s">
        <v>4593</v>
      </c>
      <c r="E992" s="2" t="b">
        <v>1</v>
      </c>
      <c r="F992" s="2" t="b">
        <v>0</v>
      </c>
      <c r="G992" s="2" t="s">
        <v>9937</v>
      </c>
      <c r="H992" s="3" t="str">
        <f>_xlfn.IFNA(INDEX(RulebookFields!C2:C999, MATCH(D992,RulebookFields!A2:A999, 0)), "")</f>
      </c>
      <c r="I992" s="3" t="str">
        <f>_xlfn.IFNA(INDEX(RulebookFields!D2:D999, MATCH(D992,RulebookFields!A2:A999, 0)), "")</f>
      </c>
      <c r="J992" s="3" t="str">
        <f>_xlfn.IFNA(INDEX(RulebookFields!I2:I999, MATCH(D992,RulebookFields!A2:A999, 0)), "")</f>
      </c>
      <c r="K992" s="3" t="b">
        <f>AND(F992, J992)</f>
        <v>0</v>
      </c>
      <c r="L992" s="3" t="b">
        <f>AND(G992 &lt;&gt; "plain", G992 &lt;&gt; "")</f>
        <v>0</v>
      </c>
      <c r="M992" s="3" t="str">
        <f>IF(E992, C992 &amp; "|" &amp; H992, "")</f>
        <v>principal-process-steward|</v>
      </c>
      <c r="N992" s="2" t="s">
        <v>9938</v>
      </c>
    </row>
    <row r="993">
      <c r="A993" s="2" t="s">
        <v>10929</v>
      </c>
      <c r="B993" s="3" t="str">
        <f>C993 &amp; " -&gt; " &amp; D993</f>
        <v>principal-process-steward -&gt; MessageDeliveries.ProvenanceIsLiveDerived</v>
      </c>
      <c r="C993" s="2" t="s">
        <v>9706</v>
      </c>
      <c r="D993" s="2" t="s">
        <v>4596</v>
      </c>
      <c r="E993" s="2" t="b">
        <v>1</v>
      </c>
      <c r="F993" s="2" t="b">
        <v>0</v>
      </c>
      <c r="G993" s="2" t="s">
        <v>9937</v>
      </c>
      <c r="H993" s="3" t="str">
        <f>_xlfn.IFNA(INDEX(RulebookFields!C2:C999, MATCH(D993,RulebookFields!A2:A999, 0)), "")</f>
      </c>
      <c r="I993" s="3" t="str">
        <f>_xlfn.IFNA(INDEX(RulebookFields!D2:D999, MATCH(D993,RulebookFields!A2:A999, 0)), "")</f>
      </c>
      <c r="J993" s="3" t="str">
        <f>_xlfn.IFNA(INDEX(RulebookFields!I2:I999, MATCH(D993,RulebookFields!A2:A999, 0)), "")</f>
      </c>
      <c r="K993" s="3" t="b">
        <f>AND(F993, J993)</f>
        <v>0</v>
      </c>
      <c r="L993" s="3" t="b">
        <f>AND(G993 &lt;&gt; "plain", G993 &lt;&gt; "")</f>
        <v>0</v>
      </c>
      <c r="M993" s="3" t="str">
        <f>IF(E993, C993 &amp; "|" &amp; H993, "")</f>
        <v>principal-process-steward|</v>
      </c>
      <c r="N993" s="2" t="s">
        <v>9938</v>
      </c>
    </row>
    <row r="994">
      <c r="A994" s="2" t="s">
        <v>10930</v>
      </c>
      <c r="B994" s="3" t="str">
        <f>C994 &amp; " -&gt; " &amp; D994</f>
        <v>principal-process-steward -&gt; MessageDeliveries.CurrentLastApprovalAt</v>
      </c>
      <c r="C994" s="2" t="s">
        <v>9706</v>
      </c>
      <c r="D994" s="2" t="s">
        <v>4599</v>
      </c>
      <c r="E994" s="2" t="b">
        <v>1</v>
      </c>
      <c r="F994" s="2" t="b">
        <v>0</v>
      </c>
      <c r="G994" s="2" t="s">
        <v>9937</v>
      </c>
      <c r="H994" s="3" t="str">
        <f>_xlfn.IFNA(INDEX(RulebookFields!C2:C999, MATCH(D994,RulebookFields!A2:A999, 0)), "")</f>
      </c>
      <c r="I994" s="3" t="str">
        <f>_xlfn.IFNA(INDEX(RulebookFields!D2:D999, MATCH(D994,RulebookFields!A2:A999, 0)), "")</f>
      </c>
      <c r="J994" s="3" t="str">
        <f>_xlfn.IFNA(INDEX(RulebookFields!I2:I999, MATCH(D994,RulebookFields!A2:A999, 0)), "")</f>
      </c>
      <c r="K994" s="3" t="b">
        <f>AND(F994, J994)</f>
        <v>0</v>
      </c>
      <c r="L994" s="3" t="b">
        <f>AND(G994 &lt;&gt; "plain", G994 &lt;&gt; "")</f>
        <v>0</v>
      </c>
      <c r="M994" s="3" t="str">
        <f>IF(E994, C994 &amp; "|" &amp; H994, "")</f>
        <v>principal-process-steward|</v>
      </c>
      <c r="N994" s="2" t="s">
        <v>9938</v>
      </c>
    </row>
    <row r="995">
      <c r="A995" s="2" t="s">
        <v>10931</v>
      </c>
      <c r="B995" s="3" t="str">
        <f>C995 &amp; " -&gt; " &amp; D995</f>
        <v>principal-process-steward -&gt; MessageDeliveries.TemplateReapprovedSinceSend</v>
      </c>
      <c r="C995" s="2" t="s">
        <v>9706</v>
      </c>
      <c r="D995" s="2" t="s">
        <v>4602</v>
      </c>
      <c r="E995" s="2" t="b">
        <v>1</v>
      </c>
      <c r="F995" s="2" t="b">
        <v>0</v>
      </c>
      <c r="G995" s="2" t="s">
        <v>9937</v>
      </c>
      <c r="H995" s="3" t="str">
        <f>_xlfn.IFNA(INDEX(RulebookFields!C2:C999, MATCH(D995,RulebookFields!A2:A999, 0)), "")</f>
      </c>
      <c r="I995" s="3" t="str">
        <f>_xlfn.IFNA(INDEX(RulebookFields!D2:D999, MATCH(D995,RulebookFields!A2:A999, 0)), "")</f>
      </c>
      <c r="J995" s="3" t="str">
        <f>_xlfn.IFNA(INDEX(RulebookFields!I2:I999, MATCH(D995,RulebookFields!A2:A999, 0)), "")</f>
      </c>
      <c r="K995" s="3" t="b">
        <f>AND(F995, J995)</f>
        <v>0</v>
      </c>
      <c r="L995" s="3" t="b">
        <f>AND(G995 &lt;&gt; "plain", G995 &lt;&gt; "")</f>
        <v>0</v>
      </c>
      <c r="M995" s="3" t="str">
        <f>IF(E995, C995 &amp; "|" &amp; H995, "")</f>
        <v>principal-process-steward|</v>
      </c>
      <c r="N995" s="2" t="s">
        <v>9938</v>
      </c>
    </row>
    <row r="996">
      <c r="A996" s="2" t="s">
        <v>10932</v>
      </c>
      <c r="B996" s="3" t="str">
        <f>C996 &amp; " -&gt; " &amp; D996</f>
        <v>principal-process-steward -&gt; MessageDeliveries.IsUnprovableApprovalClaim</v>
      </c>
      <c r="C996" s="2" t="s">
        <v>9706</v>
      </c>
      <c r="D996" s="2" t="s">
        <v>4605</v>
      </c>
      <c r="E996" s="2" t="b">
        <v>1</v>
      </c>
      <c r="F996" s="2" t="b">
        <v>0</v>
      </c>
      <c r="G996" s="2" t="s">
        <v>9937</v>
      </c>
      <c r="H996" s="3" t="str">
        <f>_xlfn.IFNA(INDEX(RulebookFields!C2:C999, MATCH(D996,RulebookFields!A2:A999, 0)), "")</f>
      </c>
      <c r="I996" s="3" t="str">
        <f>_xlfn.IFNA(INDEX(RulebookFields!D2:D999, MATCH(D996,RulebookFields!A2:A999, 0)), "")</f>
      </c>
      <c r="J996" s="3" t="str">
        <f>_xlfn.IFNA(INDEX(RulebookFields!I2:I999, MATCH(D996,RulebookFields!A2:A999, 0)), "")</f>
      </c>
      <c r="K996" s="3" t="b">
        <f>AND(F996, J996)</f>
        <v>0</v>
      </c>
      <c r="L996" s="3" t="b">
        <f>AND(G996 &lt;&gt; "plain", G996 &lt;&gt; "")</f>
        <v>0</v>
      </c>
      <c r="M996" s="3" t="str">
        <f>IF(E996, C996 &amp; "|" &amp; H996, "")</f>
        <v>principal-process-steward|</v>
      </c>
      <c r="N996" s="2" t="s">
        <v>9938</v>
      </c>
    </row>
    <row r="997">
      <c r="A997" s="2" t="s">
        <v>10933</v>
      </c>
      <c r="B997" s="3" t="str">
        <f>C997 &amp; " -&gt; " &amp; D997</f>
        <v>principal-process-steward -&gt; MessageDeliveries.ReminderSentAt</v>
      </c>
      <c r="C997" s="2" t="s">
        <v>9706</v>
      </c>
      <c r="D997" s="2" t="s">
        <v>4608</v>
      </c>
      <c r="E997" s="2" t="b">
        <v>1</v>
      </c>
      <c r="F997" s="2" t="b">
        <v>0</v>
      </c>
      <c r="G997" s="2" t="s">
        <v>9937</v>
      </c>
      <c r="H997" s="3" t="str">
        <f>_xlfn.IFNA(INDEX(RulebookFields!C2:C999, MATCH(D997,RulebookFields!A2:A999, 0)), "")</f>
      </c>
      <c r="I997" s="3" t="str">
        <f>_xlfn.IFNA(INDEX(RulebookFields!D2:D999, MATCH(D997,RulebookFields!A2:A999, 0)), "")</f>
      </c>
      <c r="J997" s="3" t="str">
        <f>_xlfn.IFNA(INDEX(RulebookFields!I2:I999, MATCH(D997,RulebookFields!A2:A999, 0)), "")</f>
      </c>
      <c r="K997" s="3" t="b">
        <f>AND(F997, J997)</f>
        <v>0</v>
      </c>
      <c r="L997" s="3" t="b">
        <f>AND(G997 &lt;&gt; "plain", G997 &lt;&gt; "")</f>
        <v>0</v>
      </c>
      <c r="M997" s="3" t="str">
        <f>IF(E997, C997 &amp; "|" &amp; H997, "")</f>
        <v>principal-process-steward|</v>
      </c>
      <c r="N997" s="2" t="s">
        <v>9938</v>
      </c>
    </row>
    <row r="998">
      <c r="A998" s="2" t="s">
        <v>10934</v>
      </c>
      <c r="B998" s="3" t="str">
        <f>C998 &amp; " -&gt; " &amp; D998</f>
        <v>principal-process-steward -&gt; MessageDeliveries.ReminderCount</v>
      </c>
      <c r="C998" s="2" t="s">
        <v>9706</v>
      </c>
      <c r="D998" s="2" t="s">
        <v>4610</v>
      </c>
      <c r="E998" s="2" t="b">
        <v>1</v>
      </c>
      <c r="F998" s="2" t="b">
        <v>0</v>
      </c>
      <c r="G998" s="2" t="s">
        <v>9937</v>
      </c>
      <c r="H998" s="3" t="str">
        <f>_xlfn.IFNA(INDEX(RulebookFields!C2:C999, MATCH(D998,RulebookFields!A2:A999, 0)), "")</f>
      </c>
      <c r="I998" s="3" t="str">
        <f>_xlfn.IFNA(INDEX(RulebookFields!D2:D999, MATCH(D998,RulebookFields!A2:A999, 0)), "")</f>
      </c>
      <c r="J998" s="3" t="str">
        <f>_xlfn.IFNA(INDEX(RulebookFields!I2:I999, MATCH(D998,RulebookFields!A2:A999, 0)), "")</f>
      </c>
      <c r="K998" s="3" t="b">
        <f>AND(F998, J998)</f>
        <v>0</v>
      </c>
      <c r="L998" s="3" t="b">
        <f>AND(G998 &lt;&gt; "plain", G998 &lt;&gt; "")</f>
        <v>0</v>
      </c>
      <c r="M998" s="3" t="str">
        <f>IF(E998, C998 &amp; "|" &amp; H998, "")</f>
        <v>principal-process-steward|</v>
      </c>
      <c r="N998" s="2" t="s">
        <v>9938</v>
      </c>
    </row>
    <row r="999">
      <c r="A999" s="2" t="s">
        <v>10935</v>
      </c>
      <c r="B999" s="3" t="str">
        <f>C999 &amp; " -&gt; " &amp; D999</f>
        <v>principal-process-steward -&gt; MessageDeliveries.HasSentReminder</v>
      </c>
      <c r="C999" s="2" t="s">
        <v>9706</v>
      </c>
      <c r="D999" s="2" t="s">
        <v>4612</v>
      </c>
      <c r="E999" s="2" t="b">
        <v>1</v>
      </c>
      <c r="F999" s="2" t="b">
        <v>0</v>
      </c>
      <c r="G999" s="2" t="s">
        <v>9937</v>
      </c>
      <c r="H999" s="3" t="str">
        <f>_xlfn.IFNA(INDEX(RulebookFields!C2:C999, MATCH(D999,RulebookFields!A2:A999, 0)), "")</f>
      </c>
      <c r="I999" s="3" t="str">
        <f>_xlfn.IFNA(INDEX(RulebookFields!D2:D999, MATCH(D999,RulebookFields!A2:A999, 0)), "")</f>
      </c>
      <c r="J999" s="3" t="str">
        <f>_xlfn.IFNA(INDEX(RulebookFields!I2:I999, MATCH(D999,RulebookFields!A2:A999, 0)), "")</f>
      </c>
      <c r="K999" s="3" t="b">
        <f>AND(F999, J999)</f>
        <v>0</v>
      </c>
      <c r="L999" s="3" t="b">
        <f>AND(G999 &lt;&gt; "plain", G999 &lt;&gt; "")</f>
        <v>0</v>
      </c>
      <c r="M999" s="3" t="str">
        <f>IF(E999, C999 &amp; "|" &amp; H999, "")</f>
        <v>principal-process-steward|</v>
      </c>
      <c r="N999" s="2" t="s">
        <v>9938</v>
      </c>
    </row>
    <row r="1000">
      <c r="A1000" s="2" t="s">
        <v>10936</v>
      </c>
      <c r="B1000" s="3" t="str">
        <f>C1000 &amp; " -&gt; " &amp; D1000</f>
        <v>principal-process-steward -&gt; MessageDeliveries.AcknowledgementIsOutstanding</v>
      </c>
      <c r="C1000" s="2" t="s">
        <v>9706</v>
      </c>
      <c r="D1000" s="2" t="s">
        <v>4615</v>
      </c>
      <c r="E1000" s="2" t="b">
        <v>1</v>
      </c>
      <c r="F1000" s="2" t="b">
        <v>0</v>
      </c>
      <c r="G1000" s="2" t="s">
        <v>9937</v>
      </c>
      <c r="H1000" s="3" t="str">
        <f>_xlfn.IFNA(INDEX(RulebookFields!C2:C999, MATCH(D1000,RulebookFields!A2:A999, 0)), "")</f>
      </c>
      <c r="I1000" s="3" t="str">
        <f>_xlfn.IFNA(INDEX(RulebookFields!D2:D999, MATCH(D1000,RulebookFields!A2:A999, 0)), "")</f>
      </c>
      <c r="J1000" s="3" t="str">
        <f>_xlfn.IFNA(INDEX(RulebookFields!I2:I999, MATCH(D1000,RulebookFields!A2:A999, 0)), "")</f>
      </c>
      <c r="K1000" s="3" t="b">
        <f>AND(F1000, J1000)</f>
        <v>0</v>
      </c>
      <c r="L1000" s="3" t="b">
        <f>AND(G1000 &lt;&gt; "plain", G1000 &lt;&gt; "")</f>
        <v>0</v>
      </c>
      <c r="M1000" s="3" t="str">
        <f>IF(E1000, C1000 &amp; "|" &amp; H1000, "")</f>
        <v>principal-process-steward|</v>
      </c>
      <c r="N1000" s="2" t="s">
        <v>9938</v>
      </c>
    </row>
    <row r="1001">
      <c r="A1001" s="2" t="s">
        <v>10937</v>
      </c>
      <c r="B1001" s="3" t="str">
        <f>C1001 &amp; " -&gt; " &amp; D1001</f>
        <v>principal-process-steward -&gt; MessageDeliveries.OutstandingAgeDays</v>
      </c>
      <c r="C1001" s="2" t="s">
        <v>9706</v>
      </c>
      <c r="D1001" s="2" t="s">
        <v>4618</v>
      </c>
      <c r="E1001" s="2" t="b">
        <v>1</v>
      </c>
      <c r="F1001" s="2" t="b">
        <v>0</v>
      </c>
      <c r="G1001" s="2" t="s">
        <v>9937</v>
      </c>
      <c r="H1001" s="3" t="str">
        <f>_xlfn.IFNA(INDEX(RulebookFields!C2:C999, MATCH(D1001,RulebookFields!A2:A999, 0)), "")</f>
      </c>
      <c r="I1001" s="3" t="str">
        <f>_xlfn.IFNA(INDEX(RulebookFields!D2:D999, MATCH(D1001,RulebookFields!A2:A999, 0)), "")</f>
      </c>
      <c r="J1001" s="3" t="str">
        <f>_xlfn.IFNA(INDEX(RulebookFields!I2:I999, MATCH(D1001,RulebookFields!A2:A999, 0)), "")</f>
      </c>
      <c r="K1001" s="3" t="b">
        <f>AND(F1001, J1001)</f>
        <v>0</v>
      </c>
      <c r="L1001" s="3" t="b">
        <f>AND(G1001 &lt;&gt; "plain", G1001 &lt;&gt; "")</f>
        <v>0</v>
      </c>
      <c r="M1001" s="3" t="str">
        <f>IF(E1001, C1001 &amp; "|" &amp; H1001, "")</f>
        <v>principal-process-steward|</v>
      </c>
      <c r="N1001" s="2" t="s">
        <v>9938</v>
      </c>
    </row>
    <row r="1002">
      <c r="A1002" s="2" t="s">
        <v>10938</v>
      </c>
      <c r="B1002" s="3" t="str">
        <f>C1002 &amp; " -&gt; " &amp; D1002</f>
        <v>principal-process-steward -&gt; MessageDeliveries.IsUnchasedAcknowledgement</v>
      </c>
      <c r="C1002" s="2" t="s">
        <v>9706</v>
      </c>
      <c r="D1002" s="2" t="s">
        <v>4621</v>
      </c>
      <c r="E1002" s="2" t="b">
        <v>1</v>
      </c>
      <c r="F1002" s="2" t="b">
        <v>0</v>
      </c>
      <c r="G1002" s="2" t="s">
        <v>9937</v>
      </c>
      <c r="H1002" s="3" t="str">
        <f>_xlfn.IFNA(INDEX(RulebookFields!C2:C999, MATCH(D1002,RulebookFields!A2:A999, 0)), "")</f>
      </c>
      <c r="I1002" s="3" t="str">
        <f>_xlfn.IFNA(INDEX(RulebookFields!D2:D999, MATCH(D1002,RulebookFields!A2:A999, 0)), "")</f>
      </c>
      <c r="J1002" s="3" t="str">
        <f>_xlfn.IFNA(INDEX(RulebookFields!I2:I999, MATCH(D1002,RulebookFields!A2:A999, 0)), "")</f>
      </c>
      <c r="K1002" s="3" t="b">
        <f>AND(F1002, J1002)</f>
        <v>0</v>
      </c>
      <c r="L1002" s="3" t="b">
        <f>AND(G1002 &lt;&gt; "plain", G1002 &lt;&gt; "")</f>
        <v>0</v>
      </c>
      <c r="M1002" s="3" t="str">
        <f>IF(E1002, C1002 &amp; "|" &amp; H1002, "")</f>
        <v>principal-process-steward|</v>
      </c>
      <c r="N1002" s="2" t="s">
        <v>9938</v>
      </c>
    </row>
    <row r="1003">
      <c r="A1003" s="2" t="s">
        <v>10939</v>
      </c>
      <c r="B1003" s="3" t="str">
        <f>C1003 &amp; " -&gt; " &amp; D1003</f>
        <v>principal-process-steward -&gt; MessageDeliveries.IsExhaustedFollowUp</v>
      </c>
      <c r="C1003" s="2" t="s">
        <v>9706</v>
      </c>
      <c r="D1003" s="2" t="s">
        <v>4624</v>
      </c>
      <c r="E1003" s="2" t="b">
        <v>1</v>
      </c>
      <c r="F1003" s="2" t="b">
        <v>0</v>
      </c>
      <c r="G1003" s="2" t="s">
        <v>9937</v>
      </c>
      <c r="H1003" s="3" t="str">
        <f>_xlfn.IFNA(INDEX(RulebookFields!C2:C999, MATCH(D1003,RulebookFields!A2:A999, 0)), "")</f>
      </c>
      <c r="I1003" s="3" t="str">
        <f>_xlfn.IFNA(INDEX(RulebookFields!D2:D999, MATCH(D1003,RulebookFields!A2:A999, 0)), "")</f>
      </c>
      <c r="J1003" s="3" t="str">
        <f>_xlfn.IFNA(INDEX(RulebookFields!I2:I999, MATCH(D1003,RulebookFields!A2:A999, 0)), "")</f>
      </c>
      <c r="K1003" s="3" t="b">
        <f>AND(F1003, J1003)</f>
        <v>0</v>
      </c>
      <c r="L1003" s="3" t="b">
        <f>AND(G1003 &lt;&gt; "plain", G1003 &lt;&gt; "")</f>
        <v>0</v>
      </c>
      <c r="M1003" s="3" t="str">
        <f>IF(E1003, C1003 &amp; "|" &amp; H1003, "")</f>
        <v>principal-process-steward|</v>
      </c>
      <c r="N1003" s="2" t="s">
        <v>9938</v>
      </c>
    </row>
    <row r="1004">
      <c r="A1004" s="2" t="s">
        <v>10940</v>
      </c>
      <c r="B1004" s="3" t="str">
        <f>C1004 &amp; " -&gt; " &amp; D1004</f>
        <v>principal-process-steward -&gt; MessageDeliveries.NeedsHumanEscalation</v>
      </c>
      <c r="C1004" s="2" t="s">
        <v>9706</v>
      </c>
      <c r="D1004" s="2" t="s">
        <v>4627</v>
      </c>
      <c r="E1004" s="2" t="b">
        <v>1</v>
      </c>
      <c r="F1004" s="2" t="b">
        <v>0</v>
      </c>
      <c r="G1004" s="2" t="s">
        <v>9937</v>
      </c>
      <c r="H1004" s="3" t="str">
        <f>_xlfn.IFNA(INDEX(RulebookFields!C2:C999, MATCH(D1004,RulebookFields!A2:A999, 0)), "")</f>
      </c>
      <c r="I1004" s="3" t="str">
        <f>_xlfn.IFNA(INDEX(RulebookFields!D2:D999, MATCH(D1004,RulebookFields!A2:A999, 0)), "")</f>
      </c>
      <c r="J1004" s="3" t="str">
        <f>_xlfn.IFNA(INDEX(RulebookFields!I2:I999, MATCH(D1004,RulebookFields!A2:A999, 0)), "")</f>
      </c>
      <c r="K1004" s="3" t="b">
        <f>AND(F1004, J1004)</f>
        <v>0</v>
      </c>
      <c r="L1004" s="3" t="b">
        <f>AND(G1004 &lt;&gt; "plain", G1004 &lt;&gt; "")</f>
        <v>0</v>
      </c>
      <c r="M1004" s="3" t="str">
        <f>IF(E1004, C1004 &amp; "|" &amp; H1004, "")</f>
        <v>principal-process-steward|</v>
      </c>
      <c r="N1004" s="2" t="s">
        <v>9938</v>
      </c>
    </row>
    <row r="1005">
      <c r="A1005" s="2" t="s">
        <v>10941</v>
      </c>
      <c r="B1005" s="3" t="str">
        <f>C1005 &amp; " -&gt; " &amp; D1005</f>
        <v>principal-process-steward -&gt; MessageDeliveries.SemanticTypeIri</v>
      </c>
      <c r="C1005" s="2" t="s">
        <v>9706</v>
      </c>
      <c r="D1005" s="2" t="s">
        <v>4630</v>
      </c>
      <c r="E1005" s="2" t="b">
        <v>1</v>
      </c>
      <c r="F1005" s="2" t="b">
        <v>0</v>
      </c>
      <c r="G1005" s="2" t="s">
        <v>9937</v>
      </c>
      <c r="H1005" s="3" t="str">
        <f>_xlfn.IFNA(INDEX(RulebookFields!C2:C999, MATCH(D1005,RulebookFields!A2:A999, 0)), "")</f>
      </c>
      <c r="I1005" s="3" t="str">
        <f>_xlfn.IFNA(INDEX(RulebookFields!D2:D999, MATCH(D1005,RulebookFields!A2:A999, 0)), "")</f>
      </c>
      <c r="J1005" s="3" t="str">
        <f>_xlfn.IFNA(INDEX(RulebookFields!I2:I999, MATCH(D1005,RulebookFields!A2:A999, 0)), "")</f>
      </c>
      <c r="K1005" s="3" t="b">
        <f>AND(F1005, J1005)</f>
        <v>0</v>
      </c>
      <c r="L1005" s="3" t="b">
        <f>AND(G1005 &lt;&gt; "plain", G1005 &lt;&gt; "")</f>
        <v>0</v>
      </c>
      <c r="M1005" s="3" t="str">
        <f>IF(E1005, C1005 &amp; "|" &amp; H1005, "")</f>
        <v>principal-process-steward|</v>
      </c>
      <c r="N1005" s="2" t="s">
        <v>9938</v>
      </c>
    </row>
    <row r="1006">
      <c r="A1006" s="2" t="s">
        <v>10942</v>
      </c>
      <c r="B1006" s="3" t="str">
        <f>C1006 &amp; " -&gt; " &amp; D1006</f>
        <v>principal-process-steward -&gt; MessageTemplates.MessageTemplateId</v>
      </c>
      <c r="C1006" s="2" t="s">
        <v>9706</v>
      </c>
      <c r="D1006" s="2" t="s">
        <v>4020</v>
      </c>
      <c r="E1006" s="2" t="b">
        <v>1</v>
      </c>
      <c r="F1006" s="2" t="b">
        <v>0</v>
      </c>
      <c r="G1006" s="2" t="s">
        <v>9937</v>
      </c>
      <c r="H1006" s="3" t="str">
        <f>_xlfn.IFNA(INDEX(RulebookFields!C2:C999, MATCH(D1006,RulebookFields!A2:A999, 0)), "")</f>
      </c>
      <c r="I1006" s="3" t="str">
        <f>_xlfn.IFNA(INDEX(RulebookFields!D2:D999, MATCH(D1006,RulebookFields!A2:A999, 0)), "")</f>
      </c>
      <c r="J1006" s="3" t="str">
        <f>_xlfn.IFNA(INDEX(RulebookFields!I2:I999, MATCH(D1006,RulebookFields!A2:A999, 0)), "")</f>
      </c>
      <c r="K1006" s="3" t="b">
        <f>AND(F1006, J1006)</f>
        <v>0</v>
      </c>
      <c r="L1006" s="3" t="b">
        <f>AND(G1006 &lt;&gt; "plain", G1006 &lt;&gt; "")</f>
        <v>0</v>
      </c>
      <c r="M1006" s="3" t="str">
        <f>IF(E1006, C1006 &amp; "|" &amp; H1006, "")</f>
        <v>principal-process-steward|</v>
      </c>
      <c r="N1006" s="2" t="s">
        <v>9938</v>
      </c>
    </row>
    <row r="1007">
      <c r="A1007" s="2" t="s">
        <v>10943</v>
      </c>
      <c r="B1007" s="3" t="str">
        <f>C1007 &amp; " -&gt; " &amp; D1007</f>
        <v>principal-process-steward -&gt; MessageTemplates.Name</v>
      </c>
      <c r="C1007" s="2" t="s">
        <v>9706</v>
      </c>
      <c r="D1007" s="2" t="s">
        <v>4022</v>
      </c>
      <c r="E1007" s="2" t="b">
        <v>1</v>
      </c>
      <c r="F1007" s="2" t="b">
        <v>0</v>
      </c>
      <c r="G1007" s="2" t="s">
        <v>9937</v>
      </c>
      <c r="H1007" s="3" t="str">
        <f>_xlfn.IFNA(INDEX(RulebookFields!C2:C999, MATCH(D1007,RulebookFields!A2:A999, 0)), "")</f>
      </c>
      <c r="I1007" s="3" t="str">
        <f>_xlfn.IFNA(INDEX(RulebookFields!D2:D999, MATCH(D1007,RulebookFields!A2:A999, 0)), "")</f>
      </c>
      <c r="J1007" s="3" t="str">
        <f>_xlfn.IFNA(INDEX(RulebookFields!I2:I999, MATCH(D1007,RulebookFields!A2:A999, 0)), "")</f>
      </c>
      <c r="K1007" s="3" t="b">
        <f>AND(F1007, J1007)</f>
        <v>0</v>
      </c>
      <c r="L1007" s="3" t="b">
        <f>AND(G1007 &lt;&gt; "plain", G1007 &lt;&gt; "")</f>
        <v>0</v>
      </c>
      <c r="M1007" s="3" t="str">
        <f>IF(E1007, C1007 &amp; "|" &amp; H1007, "")</f>
        <v>principal-process-steward|</v>
      </c>
      <c r="N1007" s="2" t="s">
        <v>9938</v>
      </c>
    </row>
    <row r="1008">
      <c r="A1008" s="2" t="s">
        <v>10944</v>
      </c>
      <c r="B1008" s="3" t="str">
        <f>C1008 &amp; " -&gt; " &amp; D1008</f>
        <v>principal-process-steward -&gt; MessageTemplates.CommunicationPolicy</v>
      </c>
      <c r="C1008" s="2" t="s">
        <v>9706</v>
      </c>
      <c r="D1008" s="2" t="s">
        <v>4024</v>
      </c>
      <c r="E1008" s="2" t="b">
        <v>1</v>
      </c>
      <c r="F1008" s="2" t="b">
        <v>0</v>
      </c>
      <c r="G1008" s="2" t="s">
        <v>9937</v>
      </c>
      <c r="H1008" s="3" t="str">
        <f>_xlfn.IFNA(INDEX(RulebookFields!C2:C999, MATCH(D1008,RulebookFields!A2:A999, 0)), "")</f>
      </c>
      <c r="I1008" s="3" t="str">
        <f>_xlfn.IFNA(INDEX(RulebookFields!D2:D999, MATCH(D1008,RulebookFields!A2:A999, 0)), "")</f>
      </c>
      <c r="J1008" s="3" t="str">
        <f>_xlfn.IFNA(INDEX(RulebookFields!I2:I999, MATCH(D1008,RulebookFields!A2:A999, 0)), "")</f>
      </c>
      <c r="K1008" s="3" t="b">
        <f>AND(F1008, J1008)</f>
        <v>0</v>
      </c>
      <c r="L1008" s="3" t="b">
        <f>AND(G1008 &lt;&gt; "plain", G1008 &lt;&gt; "")</f>
        <v>0</v>
      </c>
      <c r="M1008" s="3" t="str">
        <f>IF(E1008, C1008 &amp; "|" &amp; H1008, "")</f>
        <v>principal-process-steward|</v>
      </c>
      <c r="N1008" s="2" t="s">
        <v>9938</v>
      </c>
    </row>
    <row r="1009">
      <c r="A1009" s="2" t="s">
        <v>10945</v>
      </c>
      <c r="B1009" s="3" t="str">
        <f>C1009 &amp; " -&gt; " &amp; D1009</f>
        <v>principal-process-steward -&gt; MessageTemplates.Resource</v>
      </c>
      <c r="C1009" s="2" t="s">
        <v>9706</v>
      </c>
      <c r="D1009" s="2" t="s">
        <v>4025</v>
      </c>
      <c r="E1009" s="2" t="b">
        <v>1</v>
      </c>
      <c r="F1009" s="2" t="b">
        <v>0</v>
      </c>
      <c r="G1009" s="2" t="s">
        <v>9937</v>
      </c>
      <c r="H1009" s="3" t="str">
        <f>_xlfn.IFNA(INDEX(RulebookFields!C2:C999, MATCH(D1009,RulebookFields!A2:A999, 0)), "")</f>
      </c>
      <c r="I1009" s="3" t="str">
        <f>_xlfn.IFNA(INDEX(RulebookFields!D2:D999, MATCH(D1009,RulebookFields!A2:A999, 0)), "")</f>
      </c>
      <c r="J1009" s="3" t="str">
        <f>_xlfn.IFNA(INDEX(RulebookFields!I2:I999, MATCH(D1009,RulebookFields!A2:A999, 0)), "")</f>
      </c>
      <c r="K1009" s="3" t="b">
        <f>AND(F1009, J1009)</f>
        <v>0</v>
      </c>
      <c r="L1009" s="3" t="b">
        <f>AND(G1009 &lt;&gt; "plain", G1009 &lt;&gt; "")</f>
        <v>0</v>
      </c>
      <c r="M1009" s="3" t="str">
        <f>IF(E1009, C1009 &amp; "|" &amp; H1009, "")</f>
        <v>principal-process-steward|</v>
      </c>
      <c r="N1009" s="2" t="s">
        <v>9938</v>
      </c>
    </row>
    <row r="1010">
      <c r="A1010" s="2" t="s">
        <v>10946</v>
      </c>
      <c r="B1010" s="3" t="str">
        <f>C1010 &amp; " -&gt; " &amp; D1010</f>
        <v>principal-process-steward -&gt; MessageTemplates.SubjectTemplate</v>
      </c>
      <c r="C1010" s="2" t="s">
        <v>9706</v>
      </c>
      <c r="D1010" s="2" t="s">
        <v>4026</v>
      </c>
      <c r="E1010" s="2" t="b">
        <v>1</v>
      </c>
      <c r="F1010" s="2" t="b">
        <v>0</v>
      </c>
      <c r="G1010" s="2" t="s">
        <v>9937</v>
      </c>
      <c r="H1010" s="3" t="str">
        <f>_xlfn.IFNA(INDEX(RulebookFields!C2:C999, MATCH(D1010,RulebookFields!A2:A999, 0)), "")</f>
      </c>
      <c r="I1010" s="3" t="str">
        <f>_xlfn.IFNA(INDEX(RulebookFields!D2:D999, MATCH(D1010,RulebookFields!A2:A999, 0)), "")</f>
      </c>
      <c r="J1010" s="3" t="str">
        <f>_xlfn.IFNA(INDEX(RulebookFields!I2:I999, MATCH(D1010,RulebookFields!A2:A999, 0)), "")</f>
      </c>
      <c r="K1010" s="3" t="b">
        <f>AND(F1010, J1010)</f>
        <v>0</v>
      </c>
      <c r="L1010" s="3" t="b">
        <f>AND(G1010 &lt;&gt; "plain", G1010 &lt;&gt; "")</f>
        <v>0</v>
      </c>
      <c r="M1010" s="3" t="str">
        <f>IF(E1010, C1010 &amp; "|" &amp; H1010, "")</f>
        <v>principal-process-steward|</v>
      </c>
      <c r="N1010" s="2" t="s">
        <v>9938</v>
      </c>
    </row>
    <row r="1011">
      <c r="A1011" s="2" t="s">
        <v>10947</v>
      </c>
      <c r="B1011" s="3" t="str">
        <f>C1011 &amp; " -&gt; " &amp; D1011</f>
        <v>principal-process-steward -&gt; MessageTemplates.BodyTemplate</v>
      </c>
      <c r="C1011" s="2" t="s">
        <v>9706</v>
      </c>
      <c r="D1011" s="2" t="s">
        <v>4027</v>
      </c>
      <c r="E1011" s="2" t="b">
        <v>1</v>
      </c>
      <c r="F1011" s="2" t="b">
        <v>0</v>
      </c>
      <c r="G1011" s="2" t="s">
        <v>9937</v>
      </c>
      <c r="H1011" s="3" t="str">
        <f>_xlfn.IFNA(INDEX(RulebookFields!C2:C999, MATCH(D1011,RulebookFields!A2:A999, 0)), "")</f>
      </c>
      <c r="I1011" s="3" t="str">
        <f>_xlfn.IFNA(INDEX(RulebookFields!D2:D999, MATCH(D1011,RulebookFields!A2:A999, 0)), "")</f>
      </c>
      <c r="J1011" s="3" t="str">
        <f>_xlfn.IFNA(INDEX(RulebookFields!I2:I999, MATCH(D1011,RulebookFields!A2:A999, 0)), "")</f>
      </c>
      <c r="K1011" s="3" t="b">
        <f>AND(F1011, J1011)</f>
        <v>0</v>
      </c>
      <c r="L1011" s="3" t="b">
        <f>AND(G1011 &lt;&gt; "plain", G1011 &lt;&gt; "")</f>
        <v>0</v>
      </c>
      <c r="M1011" s="3" t="str">
        <f>IF(E1011, C1011 &amp; "|" &amp; H1011, "")</f>
        <v>principal-process-steward|</v>
      </c>
      <c r="N1011" s="2" t="s">
        <v>9938</v>
      </c>
    </row>
    <row r="1012">
      <c r="A1012" s="2" t="s">
        <v>10948</v>
      </c>
      <c r="B1012" s="3" t="str">
        <f>C1012 &amp; " -&gt; " &amp; D1012</f>
        <v>principal-process-steward -&gt; MessageTemplates.Locale</v>
      </c>
      <c r="C1012" s="2" t="s">
        <v>9706</v>
      </c>
      <c r="D1012" s="2" t="s">
        <v>4028</v>
      </c>
      <c r="E1012" s="2" t="b">
        <v>1</v>
      </c>
      <c r="F1012" s="2" t="b">
        <v>0</v>
      </c>
      <c r="G1012" s="2" t="s">
        <v>9937</v>
      </c>
      <c r="H1012" s="3" t="str">
        <f>_xlfn.IFNA(INDEX(RulebookFields!C2:C999, MATCH(D1012,RulebookFields!A2:A999, 0)), "")</f>
      </c>
      <c r="I1012" s="3" t="str">
        <f>_xlfn.IFNA(INDEX(RulebookFields!D2:D999, MATCH(D1012,RulebookFields!A2:A999, 0)), "")</f>
      </c>
      <c r="J1012" s="3" t="str">
        <f>_xlfn.IFNA(INDEX(RulebookFields!I2:I999, MATCH(D1012,RulebookFields!A2:A999, 0)), "")</f>
      </c>
      <c r="K1012" s="3" t="b">
        <f>AND(F1012, J1012)</f>
        <v>0</v>
      </c>
      <c r="L1012" s="3" t="b">
        <f>AND(G1012 &lt;&gt; "plain", G1012 &lt;&gt; "")</f>
        <v>0</v>
      </c>
      <c r="M1012" s="3" t="str">
        <f>IF(E1012, C1012 &amp; "|" &amp; H1012, "")</f>
        <v>principal-process-steward|</v>
      </c>
      <c r="N1012" s="2" t="s">
        <v>9938</v>
      </c>
    </row>
    <row r="1013">
      <c r="A1013" s="2" t="s">
        <v>10949</v>
      </c>
      <c r="B1013" s="3" t="str">
        <f>C1013 &amp; " -&gt; " &amp; D1013</f>
        <v>principal-process-steward -&gt; MessageTemplates.Status</v>
      </c>
      <c r="C1013" s="2" t="s">
        <v>9706</v>
      </c>
      <c r="D1013" s="2" t="s">
        <v>4029</v>
      </c>
      <c r="E1013" s="2" t="b">
        <v>1</v>
      </c>
      <c r="F1013" s="2" t="b">
        <v>0</v>
      </c>
      <c r="G1013" s="2" t="s">
        <v>9937</v>
      </c>
      <c r="H1013" s="3" t="str">
        <f>_xlfn.IFNA(INDEX(RulebookFields!C2:C999, MATCH(D1013,RulebookFields!A2:A999, 0)), "")</f>
      </c>
      <c r="I1013" s="3" t="str">
        <f>_xlfn.IFNA(INDEX(RulebookFields!D2:D999, MATCH(D1013,RulebookFields!A2:A999, 0)), "")</f>
      </c>
      <c r="J1013" s="3" t="str">
        <f>_xlfn.IFNA(INDEX(RulebookFields!I2:I999, MATCH(D1013,RulebookFields!A2:A999, 0)), "")</f>
      </c>
      <c r="K1013" s="3" t="b">
        <f>AND(F1013, J1013)</f>
        <v>0</v>
      </c>
      <c r="L1013" s="3" t="b">
        <f>AND(G1013 &lt;&gt; "plain", G1013 &lt;&gt; "")</f>
        <v>0</v>
      </c>
      <c r="M1013" s="3" t="str">
        <f>IF(E1013, C1013 &amp; "|" &amp; H1013, "")</f>
        <v>principal-process-steward|</v>
      </c>
      <c r="N1013" s="2" t="s">
        <v>9938</v>
      </c>
    </row>
    <row r="1014">
      <c r="A1014" s="2" t="s">
        <v>10950</v>
      </c>
      <c r="B1014" s="3" t="str">
        <f>C1014 &amp; " -&gt; " &amp; D1014</f>
        <v>principal-process-steward -&gt; MessageTemplates.PolicyMaxMessageLength</v>
      </c>
      <c r="C1014" s="2" t="s">
        <v>9706</v>
      </c>
      <c r="D1014" s="2" t="s">
        <v>4030</v>
      </c>
      <c r="E1014" s="2" t="b">
        <v>1</v>
      </c>
      <c r="F1014" s="2" t="b">
        <v>0</v>
      </c>
      <c r="G1014" s="2" t="s">
        <v>9937</v>
      </c>
      <c r="H1014" s="3" t="str">
        <f>_xlfn.IFNA(INDEX(RulebookFields!C2:C999, MATCH(D1014,RulebookFields!A2:A999, 0)), "")</f>
      </c>
      <c r="I1014" s="3" t="str">
        <f>_xlfn.IFNA(INDEX(RulebookFields!D2:D999, MATCH(D1014,RulebookFields!A2:A999, 0)), "")</f>
      </c>
      <c r="J1014" s="3" t="str">
        <f>_xlfn.IFNA(INDEX(RulebookFields!I2:I999, MATCH(D1014,RulebookFields!A2:A999, 0)), "")</f>
      </c>
      <c r="K1014" s="3" t="b">
        <f>AND(F1014, J1014)</f>
        <v>0</v>
      </c>
      <c r="L1014" s="3" t="b">
        <f>AND(G1014 &lt;&gt; "plain", G1014 &lt;&gt; "")</f>
        <v>0</v>
      </c>
      <c r="M1014" s="3" t="str">
        <f>IF(E1014, C1014 &amp; "|" &amp; H1014, "")</f>
        <v>principal-process-steward|</v>
      </c>
      <c r="N1014" s="2" t="s">
        <v>9938</v>
      </c>
    </row>
    <row r="1015">
      <c r="A1015" s="2" t="s">
        <v>10951</v>
      </c>
      <c r="B1015" s="3" t="str">
        <f>C1015 &amp; " -&gt; " &amp; D1015</f>
        <v>principal-process-steward -&gt; MessageTemplates.PolicyMaxSegments</v>
      </c>
      <c r="C1015" s="2" t="s">
        <v>9706</v>
      </c>
      <c r="D1015" s="2" t="s">
        <v>4032</v>
      </c>
      <c r="E1015" s="2" t="b">
        <v>1</v>
      </c>
      <c r="F1015" s="2" t="b">
        <v>0</v>
      </c>
      <c r="G1015" s="2" t="s">
        <v>9937</v>
      </c>
      <c r="H1015" s="3" t="str">
        <f>_xlfn.IFNA(INDEX(RulebookFields!C2:C999, MATCH(D1015,RulebookFields!A2:A999, 0)), "")</f>
      </c>
      <c r="I1015" s="3" t="str">
        <f>_xlfn.IFNA(INDEX(RulebookFields!D2:D999, MATCH(D1015,RulebookFields!A2:A999, 0)), "")</f>
      </c>
      <c r="J1015" s="3" t="str">
        <f>_xlfn.IFNA(INDEX(RulebookFields!I2:I999, MATCH(D1015,RulebookFields!A2:A999, 0)), "")</f>
      </c>
      <c r="K1015" s="3" t="b">
        <f>AND(F1015, J1015)</f>
        <v>0</v>
      </c>
      <c r="L1015" s="3" t="b">
        <f>AND(G1015 &lt;&gt; "plain", G1015 &lt;&gt; "")</f>
        <v>0</v>
      </c>
      <c r="M1015" s="3" t="str">
        <f>IF(E1015, C1015 &amp; "|" &amp; H1015, "")</f>
        <v>principal-process-steward|</v>
      </c>
      <c r="N1015" s="2" t="s">
        <v>9938</v>
      </c>
    </row>
    <row r="1016">
      <c r="A1016" s="2" t="s">
        <v>10952</v>
      </c>
      <c r="B1016" s="3" t="str">
        <f>C1016 &amp; " -&gt; " &amp; D1016</f>
        <v>principal-process-steward -&gt; MessageTemplates.BodyTemplateLength</v>
      </c>
      <c r="C1016" s="2" t="s">
        <v>9706</v>
      </c>
      <c r="D1016" s="2" t="s">
        <v>4034</v>
      </c>
      <c r="E1016" s="2" t="b">
        <v>1</v>
      </c>
      <c r="F1016" s="2" t="b">
        <v>0</v>
      </c>
      <c r="G1016" s="2" t="s">
        <v>9937</v>
      </c>
      <c r="H1016" s="3" t="str">
        <f>_xlfn.IFNA(INDEX(RulebookFields!C2:C999, MATCH(D1016,RulebookFields!A2:A999, 0)), "")</f>
      </c>
      <c r="I1016" s="3" t="str">
        <f>_xlfn.IFNA(INDEX(RulebookFields!D2:D999, MATCH(D1016,RulebookFields!A2:A999, 0)), "")</f>
      </c>
      <c r="J1016" s="3" t="str">
        <f>_xlfn.IFNA(INDEX(RulebookFields!I2:I999, MATCH(D1016,RulebookFields!A2:A999, 0)), "")</f>
      </c>
      <c r="K1016" s="3" t="b">
        <f>AND(F1016, J1016)</f>
        <v>0</v>
      </c>
      <c r="L1016" s="3" t="b">
        <f>AND(G1016 &lt;&gt; "plain", G1016 &lt;&gt; "")</f>
        <v>0</v>
      </c>
      <c r="M1016" s="3" t="str">
        <f>IF(E1016, C1016 &amp; "|" &amp; H1016, "")</f>
        <v>principal-process-steward|</v>
      </c>
      <c r="N1016" s="2" t="s">
        <v>9938</v>
      </c>
    </row>
    <row r="1017">
      <c r="A1017" s="2" t="s">
        <v>10953</v>
      </c>
      <c r="B1017" s="3" t="str">
        <f>C1017 &amp; " -&gt; " &amp; D1017</f>
        <v>principal-process-steward -&gt; MessageTemplates.IsTemplateOverLength</v>
      </c>
      <c r="C1017" s="2" t="s">
        <v>9706</v>
      </c>
      <c r="D1017" s="2" t="s">
        <v>4036</v>
      </c>
      <c r="E1017" s="2" t="b">
        <v>1</v>
      </c>
      <c r="F1017" s="2" t="b">
        <v>0</v>
      </c>
      <c r="G1017" s="2" t="s">
        <v>9937</v>
      </c>
      <c r="H1017" s="3" t="str">
        <f>_xlfn.IFNA(INDEX(RulebookFields!C2:C999, MATCH(D1017,RulebookFields!A2:A999, 0)), "")</f>
      </c>
      <c r="I1017" s="3" t="str">
        <f>_xlfn.IFNA(INDEX(RulebookFields!D2:D999, MATCH(D1017,RulebookFields!A2:A999, 0)), "")</f>
      </c>
      <c r="J1017" s="3" t="str">
        <f>_xlfn.IFNA(INDEX(RulebookFields!I2:I999, MATCH(D1017,RulebookFields!A2:A999, 0)), "")</f>
      </c>
      <c r="K1017" s="3" t="b">
        <f>AND(F1017, J1017)</f>
        <v>0</v>
      </c>
      <c r="L1017" s="3" t="b">
        <f>AND(G1017 &lt;&gt; "plain", G1017 &lt;&gt; "")</f>
        <v>0</v>
      </c>
      <c r="M1017" s="3" t="str">
        <f>IF(E1017, C1017 &amp; "|" &amp; H1017, "")</f>
        <v>principal-process-steward|</v>
      </c>
      <c r="N1017" s="2" t="s">
        <v>9938</v>
      </c>
    </row>
    <row r="1018">
      <c r="A1018" s="2" t="s">
        <v>10954</v>
      </c>
      <c r="B1018" s="3" t="str">
        <f>C1018 &amp; " -&gt; " &amp; D1018</f>
        <v>principal-process-steward -&gt; MessageTemplates.ValidApprovalCount</v>
      </c>
      <c r="C1018" s="2" t="s">
        <v>9706</v>
      </c>
      <c r="D1018" s="2" t="s">
        <v>4038</v>
      </c>
      <c r="E1018" s="2" t="b">
        <v>1</v>
      </c>
      <c r="F1018" s="2" t="b">
        <v>0</v>
      </c>
      <c r="G1018" s="2" t="s">
        <v>9937</v>
      </c>
      <c r="H1018" s="3" t="str">
        <f>_xlfn.IFNA(INDEX(RulebookFields!C2:C999, MATCH(D1018,RulebookFields!A2:A999, 0)), "")</f>
      </c>
      <c r="I1018" s="3" t="str">
        <f>_xlfn.IFNA(INDEX(RulebookFields!D2:D999, MATCH(D1018,RulebookFields!A2:A999, 0)), "")</f>
      </c>
      <c r="J1018" s="3" t="str">
        <f>_xlfn.IFNA(INDEX(RulebookFields!I2:I999, MATCH(D1018,RulebookFields!A2:A999, 0)), "")</f>
      </c>
      <c r="K1018" s="3" t="b">
        <f>AND(F1018, J1018)</f>
        <v>0</v>
      </c>
      <c r="L1018" s="3" t="b">
        <f>AND(G1018 &lt;&gt; "plain", G1018 &lt;&gt; "")</f>
        <v>0</v>
      </c>
      <c r="M1018" s="3" t="str">
        <f>IF(E1018, C1018 &amp; "|" &amp; H1018, "")</f>
        <v>principal-process-steward|</v>
      </c>
      <c r="N1018" s="2" t="s">
        <v>9938</v>
      </c>
    </row>
    <row r="1019">
      <c r="A1019" s="2" t="s">
        <v>10955</v>
      </c>
      <c r="B1019" s="3" t="str">
        <f>C1019 &amp; " -&gt; " &amp; D1019</f>
        <v>principal-process-steward -&gt; MessageTemplates.HasValidApproval</v>
      </c>
      <c r="C1019" s="2" t="s">
        <v>9706</v>
      </c>
      <c r="D1019" s="2" t="s">
        <v>4040</v>
      </c>
      <c r="E1019" s="2" t="b">
        <v>1</v>
      </c>
      <c r="F1019" s="2" t="b">
        <v>0</v>
      </c>
      <c r="G1019" s="2" t="s">
        <v>9937</v>
      </c>
      <c r="H1019" s="3" t="str">
        <f>_xlfn.IFNA(INDEX(RulebookFields!C2:C999, MATCH(D1019,RulebookFields!A2:A999, 0)), "")</f>
      </c>
      <c r="I1019" s="3" t="str">
        <f>_xlfn.IFNA(INDEX(RulebookFields!D2:D999, MATCH(D1019,RulebookFields!A2:A999, 0)), "")</f>
      </c>
      <c r="J1019" s="3" t="str">
        <f>_xlfn.IFNA(INDEX(RulebookFields!I2:I999, MATCH(D1019,RulebookFields!A2:A999, 0)), "")</f>
      </c>
      <c r="K1019" s="3" t="b">
        <f>AND(F1019, J1019)</f>
        <v>0</v>
      </c>
      <c r="L1019" s="3" t="b">
        <f>AND(G1019 &lt;&gt; "plain", G1019 &lt;&gt; "")</f>
        <v>0</v>
      </c>
      <c r="M1019" s="3" t="str">
        <f>IF(E1019, C1019 &amp; "|" &amp; H1019, "")</f>
        <v>principal-process-steward|</v>
      </c>
      <c r="N1019" s="2" t="s">
        <v>9938</v>
      </c>
    </row>
    <row r="1020">
      <c r="A1020" s="2" t="s">
        <v>10956</v>
      </c>
      <c r="B1020" s="3" t="str">
        <f>C1020 &amp; " -&gt; " &amp; D1020</f>
        <v>principal-process-steward -&gt; MessageTemplates.IsClaimingUnbackedApproval</v>
      </c>
      <c r="C1020" s="2" t="s">
        <v>9706</v>
      </c>
      <c r="D1020" s="2" t="s">
        <v>4042</v>
      </c>
      <c r="E1020" s="2" t="b">
        <v>1</v>
      </c>
      <c r="F1020" s="2" t="b">
        <v>0</v>
      </c>
      <c r="G1020" s="2" t="s">
        <v>9937</v>
      </c>
      <c r="H1020" s="3" t="str">
        <f>_xlfn.IFNA(INDEX(RulebookFields!C2:C999, MATCH(D1020,RulebookFields!A2:A999, 0)), "")</f>
      </c>
      <c r="I1020" s="3" t="str">
        <f>_xlfn.IFNA(INDEX(RulebookFields!D2:D999, MATCH(D1020,RulebookFields!A2:A999, 0)), "")</f>
      </c>
      <c r="J1020" s="3" t="str">
        <f>_xlfn.IFNA(INDEX(RulebookFields!I2:I999, MATCH(D1020,RulebookFields!A2:A999, 0)), "")</f>
      </c>
      <c r="K1020" s="3" t="b">
        <f>AND(F1020, J1020)</f>
        <v>0</v>
      </c>
      <c r="L1020" s="3" t="b">
        <f>AND(G1020 &lt;&gt; "plain", G1020 &lt;&gt; "")</f>
        <v>0</v>
      </c>
      <c r="M1020" s="3" t="str">
        <f>IF(E1020, C1020 &amp; "|" &amp; H1020, "")</f>
        <v>principal-process-steward|</v>
      </c>
      <c r="N1020" s="2" t="s">
        <v>9938</v>
      </c>
    </row>
    <row r="1021">
      <c r="A1021" s="2" t="s">
        <v>10957</v>
      </c>
      <c r="B1021" s="3" t="str">
        <f>C1021 &amp; " -&gt; " &amp; D1021</f>
        <v>principal-process-steward -&gt; MessageTemplates.CurrentBodyHash</v>
      </c>
      <c r="C1021" s="2" t="s">
        <v>9706</v>
      </c>
      <c r="D1021" s="2" t="s">
        <v>4044</v>
      </c>
      <c r="E1021" s="2" t="b">
        <v>1</v>
      </c>
      <c r="F1021" s="2" t="b">
        <v>0</v>
      </c>
      <c r="G1021" s="2" t="s">
        <v>9937</v>
      </c>
      <c r="H1021" s="3" t="str">
        <f>_xlfn.IFNA(INDEX(RulebookFields!C2:C999, MATCH(D1021,RulebookFields!A2:A999, 0)), "")</f>
      </c>
      <c r="I1021" s="3" t="str">
        <f>_xlfn.IFNA(INDEX(RulebookFields!D2:D999, MATCH(D1021,RulebookFields!A2:A999, 0)), "")</f>
      </c>
      <c r="J1021" s="3" t="str">
        <f>_xlfn.IFNA(INDEX(RulebookFields!I2:I999, MATCH(D1021,RulebookFields!A2:A999, 0)), "")</f>
      </c>
      <c r="K1021" s="3" t="b">
        <f>AND(F1021, J1021)</f>
        <v>0</v>
      </c>
      <c r="L1021" s="3" t="b">
        <f>AND(G1021 &lt;&gt; "plain", G1021 &lt;&gt; "")</f>
        <v>0</v>
      </c>
      <c r="M1021" s="3" t="str">
        <f>IF(E1021, C1021 &amp; "|" &amp; H1021, "")</f>
        <v>principal-process-steward|</v>
      </c>
      <c r="N1021" s="2" t="s">
        <v>9938</v>
      </c>
    </row>
    <row r="1022">
      <c r="A1022" s="2" t="s">
        <v>10958</v>
      </c>
      <c r="B1022" s="3" t="str">
        <f>C1022 &amp; " -&gt; " &amp; D1022</f>
        <v>principal-process-steward -&gt; MessageTemplates.LastApprovedBodyHash</v>
      </c>
      <c r="C1022" s="2" t="s">
        <v>9706</v>
      </c>
      <c r="D1022" s="2" t="s">
        <v>4045</v>
      </c>
      <c r="E1022" s="2" t="b">
        <v>1</v>
      </c>
      <c r="F1022" s="2" t="b">
        <v>0</v>
      </c>
      <c r="G1022" s="2" t="s">
        <v>9937</v>
      </c>
      <c r="H1022" s="3" t="str">
        <f>_xlfn.IFNA(INDEX(RulebookFields!C2:C999, MATCH(D1022,RulebookFields!A2:A999, 0)), "")</f>
      </c>
      <c r="I1022" s="3" t="str">
        <f>_xlfn.IFNA(INDEX(RulebookFields!D2:D999, MATCH(D1022,RulebookFields!A2:A999, 0)), "")</f>
      </c>
      <c r="J1022" s="3" t="str">
        <f>_xlfn.IFNA(INDEX(RulebookFields!I2:I999, MATCH(D1022,RulebookFields!A2:A999, 0)), "")</f>
      </c>
      <c r="K1022" s="3" t="b">
        <f>AND(F1022, J1022)</f>
        <v>0</v>
      </c>
      <c r="L1022" s="3" t="b">
        <f>AND(G1022 &lt;&gt; "plain", G1022 &lt;&gt; "")</f>
        <v>0</v>
      </c>
      <c r="M1022" s="3" t="str">
        <f>IF(E1022, C1022 &amp; "|" &amp; H1022, "")</f>
        <v>principal-process-steward|</v>
      </c>
      <c r="N1022" s="2" t="s">
        <v>9938</v>
      </c>
    </row>
    <row r="1023">
      <c r="A1023" s="2" t="s">
        <v>10959</v>
      </c>
      <c r="B1023" s="3" t="str">
        <f>C1023 &amp; " -&gt; " &amp; D1023</f>
        <v>principal-process-steward -&gt; MessageTemplates.LastValidApproval</v>
      </c>
      <c r="C1023" s="2" t="s">
        <v>9706</v>
      </c>
      <c r="D1023" s="2" t="s">
        <v>4047</v>
      </c>
      <c r="E1023" s="2" t="b">
        <v>1</v>
      </c>
      <c r="F1023" s="2" t="b">
        <v>0</v>
      </c>
      <c r="G1023" s="2" t="s">
        <v>9937</v>
      </c>
      <c r="H1023" s="3" t="str">
        <f>_xlfn.IFNA(INDEX(RulebookFields!C2:C999, MATCH(D1023,RulebookFields!A2:A999, 0)), "")</f>
      </c>
      <c r="I1023" s="3" t="str">
        <f>_xlfn.IFNA(INDEX(RulebookFields!D2:D999, MATCH(D1023,RulebookFields!A2:A999, 0)), "")</f>
      </c>
      <c r="J1023" s="3" t="str">
        <f>_xlfn.IFNA(INDEX(RulebookFields!I2:I999, MATCH(D1023,RulebookFields!A2:A999, 0)), "")</f>
      </c>
      <c r="K1023" s="3" t="b">
        <f>AND(F1023, J1023)</f>
        <v>0</v>
      </c>
      <c r="L1023" s="3" t="b">
        <f>AND(G1023 &lt;&gt; "plain", G1023 &lt;&gt; "")</f>
        <v>0</v>
      </c>
      <c r="M1023" s="3" t="str">
        <f>IF(E1023, C1023 &amp; "|" &amp; H1023, "")</f>
        <v>principal-process-steward|</v>
      </c>
      <c r="N1023" s="2" t="s">
        <v>9938</v>
      </c>
    </row>
    <row r="1024">
      <c r="A1024" s="2" t="s">
        <v>10960</v>
      </c>
      <c r="B1024" s="3" t="str">
        <f>C1024 &amp; " -&gt; " &amp; D1024</f>
        <v>principal-process-steward -&gt; MessageTemplates.HasBodyDrifted</v>
      </c>
      <c r="C1024" s="2" t="s">
        <v>9706</v>
      </c>
      <c r="D1024" s="2" t="s">
        <v>4048</v>
      </c>
      <c r="E1024" s="2" t="b">
        <v>1</v>
      </c>
      <c r="F1024" s="2" t="b">
        <v>0</v>
      </c>
      <c r="G1024" s="2" t="s">
        <v>9937</v>
      </c>
      <c r="H1024" s="3" t="str">
        <f>_xlfn.IFNA(INDEX(RulebookFields!C2:C999, MATCH(D1024,RulebookFields!A2:A999, 0)), "")</f>
      </c>
      <c r="I1024" s="3" t="str">
        <f>_xlfn.IFNA(INDEX(RulebookFields!D2:D999, MATCH(D1024,RulebookFields!A2:A999, 0)), "")</f>
      </c>
      <c r="J1024" s="3" t="str">
        <f>_xlfn.IFNA(INDEX(RulebookFields!I2:I999, MATCH(D1024,RulebookFields!A2:A999, 0)), "")</f>
      </c>
      <c r="K1024" s="3" t="b">
        <f>AND(F1024, J1024)</f>
        <v>0</v>
      </c>
      <c r="L1024" s="3" t="b">
        <f>AND(G1024 &lt;&gt; "plain", G1024 &lt;&gt; "")</f>
        <v>0</v>
      </c>
      <c r="M1024" s="3" t="str">
        <f>IF(E1024, C1024 &amp; "|" &amp; H1024, "")</f>
        <v>principal-process-steward|</v>
      </c>
      <c r="N1024" s="2" t="s">
        <v>9938</v>
      </c>
    </row>
    <row r="1025">
      <c r="A1025" s="2" t="s">
        <v>10961</v>
      </c>
      <c r="B1025" s="3" t="str">
        <f>C1025 &amp; " -&gt; " &amp; D1025</f>
        <v>principal-process-steward -&gt; MessageTemplates.IsSendableUnderApproval</v>
      </c>
      <c r="C1025" s="2" t="s">
        <v>9706</v>
      </c>
      <c r="D1025" s="2" t="s">
        <v>4050</v>
      </c>
      <c r="E1025" s="2" t="b">
        <v>1</v>
      </c>
      <c r="F1025" s="2" t="b">
        <v>0</v>
      </c>
      <c r="G1025" s="2" t="s">
        <v>9937</v>
      </c>
      <c r="H1025" s="3" t="str">
        <f>_xlfn.IFNA(INDEX(RulebookFields!C2:C999, MATCH(D1025,RulebookFields!A2:A999, 0)), "")</f>
      </c>
      <c r="I1025" s="3" t="str">
        <f>_xlfn.IFNA(INDEX(RulebookFields!D2:D999, MATCH(D1025,RulebookFields!A2:A999, 0)), "")</f>
      </c>
      <c r="J1025" s="3" t="str">
        <f>_xlfn.IFNA(INDEX(RulebookFields!I2:I999, MATCH(D1025,RulebookFields!A2:A999, 0)), "")</f>
      </c>
      <c r="K1025" s="3" t="b">
        <f>AND(F1025, J1025)</f>
        <v>0</v>
      </c>
      <c r="L1025" s="3" t="b">
        <f>AND(G1025 &lt;&gt; "plain", G1025 &lt;&gt; "")</f>
        <v>0</v>
      </c>
      <c r="M1025" s="3" t="str">
        <f>IF(E1025, C1025 &amp; "|" &amp; H1025, "")</f>
        <v>principal-process-steward|</v>
      </c>
      <c r="N1025" s="2" t="s">
        <v>9938</v>
      </c>
    </row>
    <row r="1026">
      <c r="A1026" s="2" t="s">
        <v>10962</v>
      </c>
      <c r="B1026" s="3" t="str">
        <f>C1026 &amp; " -&gt; " &amp; D1026</f>
        <v>principal-process-steward -&gt; MessageTemplates.DriftedSendCount</v>
      </c>
      <c r="C1026" s="2" t="s">
        <v>9706</v>
      </c>
      <c r="D1026" s="2" t="s">
        <v>4052</v>
      </c>
      <c r="E1026" s="2" t="b">
        <v>1</v>
      </c>
      <c r="F1026" s="2" t="b">
        <v>0</v>
      </c>
      <c r="G1026" s="2" t="s">
        <v>9937</v>
      </c>
      <c r="H1026" s="3" t="str">
        <f>_xlfn.IFNA(INDEX(RulebookFields!C2:C999, MATCH(D1026,RulebookFields!A2:A999, 0)), "")</f>
      </c>
      <c r="I1026" s="3" t="str">
        <f>_xlfn.IFNA(INDEX(RulebookFields!D2:D999, MATCH(D1026,RulebookFields!A2:A999, 0)), "")</f>
      </c>
      <c r="J1026" s="3" t="str">
        <f>_xlfn.IFNA(INDEX(RulebookFields!I2:I999, MATCH(D1026,RulebookFields!A2:A999, 0)), "")</f>
      </c>
      <c r="K1026" s="3" t="b">
        <f>AND(F1026, J1026)</f>
        <v>0</v>
      </c>
      <c r="L1026" s="3" t="b">
        <f>AND(G1026 &lt;&gt; "plain", G1026 &lt;&gt; "")</f>
        <v>0</v>
      </c>
      <c r="M1026" s="3" t="str">
        <f>IF(E1026, C1026 &amp; "|" &amp; H1026, "")</f>
        <v>principal-process-steward|</v>
      </c>
      <c r="N1026" s="2" t="s">
        <v>9938</v>
      </c>
    </row>
    <row r="1027">
      <c r="A1027" s="2" t="s">
        <v>10963</v>
      </c>
      <c r="B1027" s="3" t="str">
        <f>C1027 &amp; " -&gt; " &amp; D1027</f>
        <v>principal-process-steward -&gt; MessageTemplates.UnansweredDeliveryCount</v>
      </c>
      <c r="C1027" s="2" t="s">
        <v>9706</v>
      </c>
      <c r="D1027" s="2" t="s">
        <v>4054</v>
      </c>
      <c r="E1027" s="2" t="b">
        <v>1</v>
      </c>
      <c r="F1027" s="2" t="b">
        <v>0</v>
      </c>
      <c r="G1027" s="2" t="s">
        <v>9937</v>
      </c>
      <c r="H1027" s="3" t="str">
        <f>_xlfn.IFNA(INDEX(RulebookFields!C2:C999, MATCH(D1027,RulebookFields!A2:A999, 0)), "")</f>
      </c>
      <c r="I1027" s="3" t="str">
        <f>_xlfn.IFNA(INDEX(RulebookFields!D2:D999, MATCH(D1027,RulebookFields!A2:A999, 0)), "")</f>
      </c>
      <c r="J1027" s="3" t="str">
        <f>_xlfn.IFNA(INDEX(RulebookFields!I2:I999, MATCH(D1027,RulebookFields!A2:A999, 0)), "")</f>
      </c>
      <c r="K1027" s="3" t="b">
        <f>AND(F1027, J1027)</f>
        <v>0</v>
      </c>
      <c r="L1027" s="3" t="b">
        <f>AND(G1027 &lt;&gt; "plain", G1027 &lt;&gt; "")</f>
        <v>0</v>
      </c>
      <c r="M1027" s="3" t="str">
        <f>IF(E1027, C1027 &amp; "|" &amp; H1027, "")</f>
        <v>principal-process-steward|</v>
      </c>
      <c r="N1027" s="2" t="s">
        <v>9938</v>
      </c>
    </row>
    <row r="1028">
      <c r="A1028" s="2" t="s">
        <v>10964</v>
      </c>
      <c r="B1028" s="3" t="str">
        <f>C1028 &amp; " -&gt; " &amp; D1028</f>
        <v>principal-process-steward -&gt; MessageTemplates.TransmittedDeliveryCount</v>
      </c>
      <c r="C1028" s="2" t="s">
        <v>9706</v>
      </c>
      <c r="D1028" s="2" t="s">
        <v>4056</v>
      </c>
      <c r="E1028" s="2" t="b">
        <v>1</v>
      </c>
      <c r="F1028" s="2" t="b">
        <v>0</v>
      </c>
      <c r="G1028" s="2" t="s">
        <v>9937</v>
      </c>
      <c r="H1028" s="3" t="str">
        <f>_xlfn.IFNA(INDEX(RulebookFields!C2:C999, MATCH(D1028,RulebookFields!A2:A999, 0)), "")</f>
      </c>
      <c r="I1028" s="3" t="str">
        <f>_xlfn.IFNA(INDEX(RulebookFields!D2:D999, MATCH(D1028,RulebookFields!A2:A999, 0)), "")</f>
      </c>
      <c r="J1028" s="3" t="str">
        <f>_xlfn.IFNA(INDEX(RulebookFields!I2:I999, MATCH(D1028,RulebookFields!A2:A999, 0)), "")</f>
      </c>
      <c r="K1028" s="3" t="b">
        <f>AND(F1028, J1028)</f>
        <v>0</v>
      </c>
      <c r="L1028" s="3" t="b">
        <f>AND(G1028 &lt;&gt; "plain", G1028 &lt;&gt; "")</f>
        <v>0</v>
      </c>
      <c r="M1028" s="3" t="str">
        <f>IF(E1028, C1028 &amp; "|" &amp; H1028, "")</f>
        <v>principal-process-steward|</v>
      </c>
      <c r="N1028" s="2" t="s">
        <v>9938</v>
      </c>
    </row>
    <row r="1029">
      <c r="A1029" s="2" t="s">
        <v>10965</v>
      </c>
      <c r="B1029" s="3" t="str">
        <f>C1029 &amp; " -&gt; " &amp; D1029</f>
        <v>principal-process-steward -&gt; MessageTemplates.TemplateDrawsNoResponse</v>
      </c>
      <c r="C1029" s="2" t="s">
        <v>9706</v>
      </c>
      <c r="D1029" s="2" t="s">
        <v>4058</v>
      </c>
      <c r="E1029" s="2" t="b">
        <v>1</v>
      </c>
      <c r="F1029" s="2" t="b">
        <v>0</v>
      </c>
      <c r="G1029" s="2" t="s">
        <v>9937</v>
      </c>
      <c r="H1029" s="3" t="str">
        <f>_xlfn.IFNA(INDEX(RulebookFields!C2:C999, MATCH(D1029,RulebookFields!A2:A999, 0)), "")</f>
      </c>
      <c r="I1029" s="3" t="str">
        <f>_xlfn.IFNA(INDEX(RulebookFields!D2:D999, MATCH(D1029,RulebookFields!A2:A999, 0)), "")</f>
      </c>
      <c r="J1029" s="3" t="str">
        <f>_xlfn.IFNA(INDEX(RulebookFields!I2:I999, MATCH(D1029,RulebookFields!A2:A999, 0)), "")</f>
      </c>
      <c r="K1029" s="3" t="b">
        <f>AND(F1029, J1029)</f>
        <v>0</v>
      </c>
      <c r="L1029" s="3" t="b">
        <f>AND(G1029 &lt;&gt; "plain", G1029 &lt;&gt; "")</f>
        <v>0</v>
      </c>
      <c r="M1029" s="3" t="str">
        <f>IF(E1029, C1029 &amp; "|" &amp; H1029, "")</f>
        <v>principal-process-steward|</v>
      </c>
      <c r="N1029" s="2" t="s">
        <v>9938</v>
      </c>
    </row>
    <row r="1030">
      <c r="A1030" s="2" t="s">
        <v>10966</v>
      </c>
      <c r="B1030" s="3" t="str">
        <f>C1030 &amp; " -&gt; " &amp; D1030</f>
        <v>principal-process-steward -&gt; MessageTemplates.LastApprovalAt</v>
      </c>
      <c r="C1030" s="2" t="s">
        <v>9706</v>
      </c>
      <c r="D1030" s="2" t="s">
        <v>4060</v>
      </c>
      <c r="E1030" s="2" t="b">
        <v>1</v>
      </c>
      <c r="F1030" s="2" t="b">
        <v>0</v>
      </c>
      <c r="G1030" s="2" t="s">
        <v>9937</v>
      </c>
      <c r="H1030" s="3" t="str">
        <f>_xlfn.IFNA(INDEX(RulebookFields!C2:C999, MATCH(D1030,RulebookFields!A2:A999, 0)), "")</f>
      </c>
      <c r="I1030" s="3" t="str">
        <f>_xlfn.IFNA(INDEX(RulebookFields!D2:D999, MATCH(D1030,RulebookFields!A2:A999, 0)), "")</f>
      </c>
      <c r="J1030" s="3" t="str">
        <f>_xlfn.IFNA(INDEX(RulebookFields!I2:I999, MATCH(D1030,RulebookFields!A2:A999, 0)), "")</f>
      </c>
      <c r="K1030" s="3" t="b">
        <f>AND(F1030, J1030)</f>
        <v>0</v>
      </c>
      <c r="L1030" s="3" t="b">
        <f>AND(G1030 &lt;&gt; "plain", G1030 &lt;&gt; "")</f>
        <v>0</v>
      </c>
      <c r="M1030" s="3" t="str">
        <f>IF(E1030, C1030 &amp; "|" &amp; H1030, "")</f>
        <v>principal-process-steward|</v>
      </c>
      <c r="N1030" s="2" t="s">
        <v>9938</v>
      </c>
    </row>
    <row r="1031">
      <c r="A1031" s="2" t="s">
        <v>10967</v>
      </c>
      <c r="B1031" s="3" t="str">
        <f>C1031 &amp; " -&gt; " &amp; D1031</f>
        <v>principal-process-steward -&gt; MessageTemplates.SemanticTypeIri</v>
      </c>
      <c r="C1031" s="2" t="s">
        <v>9706</v>
      </c>
      <c r="D1031" s="2" t="s">
        <v>4062</v>
      </c>
      <c r="E1031" s="2" t="b">
        <v>1</v>
      </c>
      <c r="F1031" s="2" t="b">
        <v>0</v>
      </c>
      <c r="G1031" s="2" t="s">
        <v>9937</v>
      </c>
      <c r="H1031" s="3" t="str">
        <f>_xlfn.IFNA(INDEX(RulebookFields!C2:C999, MATCH(D1031,RulebookFields!A2:A999, 0)), "")</f>
      </c>
      <c r="I1031" s="3" t="str">
        <f>_xlfn.IFNA(INDEX(RulebookFields!D2:D999, MATCH(D1031,RulebookFields!A2:A999, 0)), "")</f>
      </c>
      <c r="J1031" s="3" t="str">
        <f>_xlfn.IFNA(INDEX(RulebookFields!I2:I999, MATCH(D1031,RulebookFields!A2:A999, 0)), "")</f>
      </c>
      <c r="K1031" s="3" t="b">
        <f>AND(F1031, J1031)</f>
        <v>0</v>
      </c>
      <c r="L1031" s="3" t="b">
        <f>AND(G1031 &lt;&gt; "plain", G1031 &lt;&gt; "")</f>
        <v>0</v>
      </c>
      <c r="M1031" s="3" t="str">
        <f>IF(E1031, C1031 &amp; "|" &amp; H1031, "")</f>
        <v>principal-process-steward|</v>
      </c>
      <c r="N1031" s="2" t="s">
        <v>9938</v>
      </c>
    </row>
    <row r="1032">
      <c r="A1032" s="2" t="s">
        <v>10968</v>
      </c>
      <c r="B1032" s="3" t="str">
        <f>C1032 &amp; " -&gt; " &amp; D1032</f>
        <v>principal-process-steward -&gt; ObservedTransitions.ObservedTransitionId</v>
      </c>
      <c r="C1032" s="2" t="s">
        <v>9706</v>
      </c>
      <c r="D1032" s="2" t="s">
        <v>4331</v>
      </c>
      <c r="E1032" s="2" t="b">
        <v>1</v>
      </c>
      <c r="F1032" s="2" t="b">
        <v>0</v>
      </c>
      <c r="G1032" s="2" t="s">
        <v>9937</v>
      </c>
      <c r="H1032" s="3" t="str">
        <f>_xlfn.IFNA(INDEX(RulebookFields!C2:C999, MATCH(D1032,RulebookFields!A2:A999, 0)), "")</f>
      </c>
      <c r="I1032" s="3" t="str">
        <f>_xlfn.IFNA(INDEX(RulebookFields!D2:D999, MATCH(D1032,RulebookFields!A2:A999, 0)), "")</f>
      </c>
      <c r="J1032" s="3" t="str">
        <f>_xlfn.IFNA(INDEX(RulebookFields!I2:I999, MATCH(D1032,RulebookFields!A2:A999, 0)), "")</f>
      </c>
      <c r="K1032" s="3" t="b">
        <f>AND(F1032, J1032)</f>
        <v>0</v>
      </c>
      <c r="L1032" s="3" t="b">
        <f>AND(G1032 &lt;&gt; "plain", G1032 &lt;&gt; "")</f>
        <v>0</v>
      </c>
      <c r="M1032" s="3" t="str">
        <f>IF(E1032, C1032 &amp; "|" &amp; H1032, "")</f>
        <v>principal-process-steward|</v>
      </c>
      <c r="N1032" s="2" t="s">
        <v>9938</v>
      </c>
    </row>
    <row r="1033">
      <c r="A1033" s="2" t="s">
        <v>10969</v>
      </c>
      <c r="B1033" s="3" t="str">
        <f>C1033 &amp; " -&gt; " &amp; D1033</f>
        <v>principal-process-steward -&gt; ObservedTransitions.Name</v>
      </c>
      <c r="C1033" s="2" t="s">
        <v>9706</v>
      </c>
      <c r="D1033" s="2" t="s">
        <v>4334</v>
      </c>
      <c r="E1033" s="2" t="b">
        <v>1</v>
      </c>
      <c r="F1033" s="2" t="b">
        <v>0</v>
      </c>
      <c r="G1033" s="2" t="s">
        <v>9937</v>
      </c>
      <c r="H1033" s="3" t="str">
        <f>_xlfn.IFNA(INDEX(RulebookFields!C2:C999, MATCH(D1033,RulebookFields!A2:A999, 0)), "")</f>
      </c>
      <c r="I1033" s="3" t="str">
        <f>_xlfn.IFNA(INDEX(RulebookFields!D2:D999, MATCH(D1033,RulebookFields!A2:A999, 0)), "")</f>
      </c>
      <c r="J1033" s="3" t="str">
        <f>_xlfn.IFNA(INDEX(RulebookFields!I2:I999, MATCH(D1033,RulebookFields!A2:A999, 0)), "")</f>
      </c>
      <c r="K1033" s="3" t="b">
        <f>AND(F1033, J1033)</f>
        <v>0</v>
      </c>
      <c r="L1033" s="3" t="b">
        <f>AND(G1033 &lt;&gt; "plain", G1033 &lt;&gt; "")</f>
        <v>0</v>
      </c>
      <c r="M1033" s="3" t="str">
        <f>IF(E1033, C1033 &amp; "|" &amp; H1033, "")</f>
        <v>principal-process-steward|</v>
      </c>
      <c r="N1033" s="2" t="s">
        <v>9938</v>
      </c>
    </row>
    <row r="1034">
      <c r="A1034" s="2" t="s">
        <v>10970</v>
      </c>
      <c r="B1034" s="3" t="str">
        <f>C1034 &amp; " -&gt; " &amp; D1034</f>
        <v>principal-process-steward -&gt; ObservedTransitions.ProcedureExecution</v>
      </c>
      <c r="C1034" s="2" t="s">
        <v>9706</v>
      </c>
      <c r="D1034" s="2" t="s">
        <v>4336</v>
      </c>
      <c r="E1034" s="2" t="b">
        <v>1</v>
      </c>
      <c r="F1034" s="2" t="b">
        <v>0</v>
      </c>
      <c r="G1034" s="2" t="s">
        <v>9937</v>
      </c>
      <c r="H1034" s="3" t="str">
        <f>_xlfn.IFNA(INDEX(RulebookFields!C2:C999, MATCH(D1034,RulebookFields!A2:A999, 0)), "")</f>
      </c>
      <c r="I1034" s="3" t="str">
        <f>_xlfn.IFNA(INDEX(RulebookFields!D2:D999, MATCH(D1034,RulebookFields!A2:A999, 0)), "")</f>
      </c>
      <c r="J1034" s="3" t="str">
        <f>_xlfn.IFNA(INDEX(RulebookFields!I2:I999, MATCH(D1034,RulebookFields!A2:A999, 0)), "")</f>
      </c>
      <c r="K1034" s="3" t="b">
        <f>AND(F1034, J1034)</f>
        <v>0</v>
      </c>
      <c r="L1034" s="3" t="b">
        <f>AND(G1034 &lt;&gt; "plain", G1034 &lt;&gt; "")</f>
        <v>0</v>
      </c>
      <c r="M1034" s="3" t="str">
        <f>IF(E1034, C1034 &amp; "|" &amp; H1034, "")</f>
        <v>principal-process-steward|</v>
      </c>
      <c r="N1034" s="2" t="s">
        <v>9938</v>
      </c>
    </row>
    <row r="1035">
      <c r="A1035" s="2" t="s">
        <v>10971</v>
      </c>
      <c r="B1035" s="3" t="str">
        <f>C1035 &amp; " -&gt; " &amp; D1035</f>
        <v>principal-process-steward -&gt; ObservedTransitions.StepTransition</v>
      </c>
      <c r="C1035" s="2" t="s">
        <v>9706</v>
      </c>
      <c r="D1035" s="2" t="s">
        <v>4337</v>
      </c>
      <c r="E1035" s="2" t="b">
        <v>1</v>
      </c>
      <c r="F1035" s="2" t="b">
        <v>0</v>
      </c>
      <c r="G1035" s="2" t="s">
        <v>9937</v>
      </c>
      <c r="H1035" s="3" t="str">
        <f>_xlfn.IFNA(INDEX(RulebookFields!C2:C999, MATCH(D1035,RulebookFields!A2:A999, 0)), "")</f>
      </c>
      <c r="I1035" s="3" t="str">
        <f>_xlfn.IFNA(INDEX(RulebookFields!D2:D999, MATCH(D1035,RulebookFields!A2:A999, 0)), "")</f>
      </c>
      <c r="J1035" s="3" t="str">
        <f>_xlfn.IFNA(INDEX(RulebookFields!I2:I999, MATCH(D1035,RulebookFields!A2:A999, 0)), "")</f>
      </c>
      <c r="K1035" s="3" t="b">
        <f>AND(F1035, J1035)</f>
        <v>0</v>
      </c>
      <c r="L1035" s="3" t="b">
        <f>AND(G1035 &lt;&gt; "plain", G1035 &lt;&gt; "")</f>
        <v>0</v>
      </c>
      <c r="M1035" s="3" t="str">
        <f>IF(E1035, C1035 &amp; "|" &amp; H1035, "")</f>
        <v>principal-process-steward|</v>
      </c>
      <c r="N1035" s="2" t="s">
        <v>9938</v>
      </c>
    </row>
    <row r="1036">
      <c r="A1036" s="2" t="s">
        <v>10972</v>
      </c>
      <c r="B1036" s="3" t="str">
        <f>C1036 &amp; " -&gt; " &amp; D1036</f>
        <v>principal-process-steward -&gt; ObservedTransitions.ArrivingStepExecution</v>
      </c>
      <c r="C1036" s="2" t="s">
        <v>9706</v>
      </c>
      <c r="D1036" s="2" t="s">
        <v>4339</v>
      </c>
      <c r="E1036" s="2" t="b">
        <v>1</v>
      </c>
      <c r="F1036" s="2" t="b">
        <v>0</v>
      </c>
      <c r="G1036" s="2" t="s">
        <v>9937</v>
      </c>
      <c r="H1036" s="3" t="str">
        <f>_xlfn.IFNA(INDEX(RulebookFields!C2:C999, MATCH(D1036,RulebookFields!A2:A999, 0)), "")</f>
      </c>
      <c r="I1036" s="3" t="str">
        <f>_xlfn.IFNA(INDEX(RulebookFields!D2:D999, MATCH(D1036,RulebookFields!A2:A999, 0)), "")</f>
      </c>
      <c r="J1036" s="3" t="str">
        <f>_xlfn.IFNA(INDEX(RulebookFields!I2:I999, MATCH(D1036,RulebookFields!A2:A999, 0)), "")</f>
      </c>
      <c r="K1036" s="3" t="b">
        <f>AND(F1036, J1036)</f>
        <v>0</v>
      </c>
      <c r="L1036" s="3" t="b">
        <f>AND(G1036 &lt;&gt; "plain", G1036 &lt;&gt; "")</f>
        <v>0</v>
      </c>
      <c r="M1036" s="3" t="str">
        <f>IF(E1036, C1036 &amp; "|" &amp; H1036, "")</f>
        <v>principal-process-steward|</v>
      </c>
      <c r="N1036" s="2" t="s">
        <v>9938</v>
      </c>
    </row>
    <row r="1037">
      <c r="A1037" s="2" t="s">
        <v>10973</v>
      </c>
      <c r="B1037" s="3" t="str">
        <f>C1037 &amp; " -&gt; " &amp; D1037</f>
        <v>principal-process-steward -&gt; ObservedTransitions.ObservedAt</v>
      </c>
      <c r="C1037" s="2" t="s">
        <v>9706</v>
      </c>
      <c r="D1037" s="2" t="s">
        <v>4341</v>
      </c>
      <c r="E1037" s="2" t="b">
        <v>1</v>
      </c>
      <c r="F1037" s="2" t="b">
        <v>0</v>
      </c>
      <c r="G1037" s="2" t="s">
        <v>9937</v>
      </c>
      <c r="H1037" s="3" t="str">
        <f>_xlfn.IFNA(INDEX(RulebookFields!C2:C999, MATCH(D1037,RulebookFields!A2:A999, 0)), "")</f>
      </c>
      <c r="I1037" s="3" t="str">
        <f>_xlfn.IFNA(INDEX(RulebookFields!D2:D999, MATCH(D1037,RulebookFields!A2:A999, 0)), "")</f>
      </c>
      <c r="J1037" s="3" t="str">
        <f>_xlfn.IFNA(INDEX(RulebookFields!I2:I999, MATCH(D1037,RulebookFields!A2:A999, 0)), "")</f>
      </c>
      <c r="K1037" s="3" t="b">
        <f>AND(F1037, J1037)</f>
        <v>0</v>
      </c>
      <c r="L1037" s="3" t="b">
        <f>AND(G1037 &lt;&gt; "plain", G1037 &lt;&gt; "")</f>
        <v>0</v>
      </c>
      <c r="M1037" s="3" t="str">
        <f>IF(E1037, C1037 &amp; "|" &amp; H1037, "")</f>
        <v>principal-process-steward|</v>
      </c>
      <c r="N1037" s="2" t="s">
        <v>9938</v>
      </c>
    </row>
    <row r="1038">
      <c r="A1038" s="2" t="s">
        <v>10974</v>
      </c>
      <c r="B1038" s="3" t="str">
        <f>C1038 &amp; " -&gt; " &amp; D1038</f>
        <v>principal-process-steward -&gt; ObservedTransitions.TriggerReason</v>
      </c>
      <c r="C1038" s="2" t="s">
        <v>9706</v>
      </c>
      <c r="D1038" s="2" t="s">
        <v>4342</v>
      </c>
      <c r="E1038" s="2" t="b">
        <v>1</v>
      </c>
      <c r="F1038" s="2" t="b">
        <v>0</v>
      </c>
      <c r="G1038" s="2" t="s">
        <v>9937</v>
      </c>
      <c r="H1038" s="3" t="str">
        <f>_xlfn.IFNA(INDEX(RulebookFields!C2:C999, MATCH(D1038,RulebookFields!A2:A999, 0)), "")</f>
      </c>
      <c r="I1038" s="3" t="str">
        <f>_xlfn.IFNA(INDEX(RulebookFields!D2:D999, MATCH(D1038,RulebookFields!A2:A999, 0)), "")</f>
      </c>
      <c r="J1038" s="3" t="str">
        <f>_xlfn.IFNA(INDEX(RulebookFields!I2:I999, MATCH(D1038,RulebookFields!A2:A999, 0)), "")</f>
      </c>
      <c r="K1038" s="3" t="b">
        <f>AND(F1038, J1038)</f>
        <v>0</v>
      </c>
      <c r="L1038" s="3" t="b">
        <f>AND(G1038 &lt;&gt; "plain", G1038 &lt;&gt; "")</f>
        <v>0</v>
      </c>
      <c r="M1038" s="3" t="str">
        <f>IF(E1038, C1038 &amp; "|" &amp; H1038, "")</f>
        <v>principal-process-steward|</v>
      </c>
      <c r="N1038" s="2" t="s">
        <v>9938</v>
      </c>
    </row>
    <row r="1039">
      <c r="A1039" s="2" t="s">
        <v>10975</v>
      </c>
      <c r="B1039" s="3" t="str">
        <f>C1039 &amp; " -&gt; " &amp; D1039</f>
        <v>principal-process-steward -&gt; ObservedTransitions.SemanticTypeIri</v>
      </c>
      <c r="C1039" s="2" t="s">
        <v>9706</v>
      </c>
      <c r="D1039" s="2" t="s">
        <v>4344</v>
      </c>
      <c r="E1039" s="2" t="b">
        <v>1</v>
      </c>
      <c r="F1039" s="2" t="b">
        <v>0</v>
      </c>
      <c r="G1039" s="2" t="s">
        <v>9937</v>
      </c>
      <c r="H1039" s="3" t="str">
        <f>_xlfn.IFNA(INDEX(RulebookFields!C2:C999, MATCH(D1039,RulebookFields!A2:A999, 0)), "")</f>
      </c>
      <c r="I1039" s="3" t="str">
        <f>_xlfn.IFNA(INDEX(RulebookFields!D2:D999, MATCH(D1039,RulebookFields!A2:A999, 0)), "")</f>
      </c>
      <c r="J1039" s="3" t="str">
        <f>_xlfn.IFNA(INDEX(RulebookFields!I2:I999, MATCH(D1039,RulebookFields!A2:A999, 0)), "")</f>
      </c>
      <c r="K1039" s="3" t="b">
        <f>AND(F1039, J1039)</f>
        <v>0</v>
      </c>
      <c r="L1039" s="3" t="b">
        <f>AND(G1039 &lt;&gt; "plain", G1039 &lt;&gt; "")</f>
        <v>0</v>
      </c>
      <c r="M1039" s="3" t="str">
        <f>IF(E1039, C1039 &amp; "|" &amp; H1039, "")</f>
        <v>principal-process-steward|</v>
      </c>
      <c r="N1039" s="2" t="s">
        <v>9938</v>
      </c>
    </row>
    <row r="1040">
      <c r="A1040" s="2" t="s">
        <v>10976</v>
      </c>
      <c r="B1040" s="3" t="str">
        <f>C1040 &amp; " -&gt; " &amp; D1040</f>
        <v>principal-process-steward -&gt; OntologyProfiles.OntologyProfileId</v>
      </c>
      <c r="C1040" s="2" t="s">
        <v>9706</v>
      </c>
      <c r="D1040" s="2" t="s">
        <v>2402</v>
      </c>
      <c r="E1040" s="2" t="b">
        <v>1</v>
      </c>
      <c r="F1040" s="2" t="b">
        <v>0</v>
      </c>
      <c r="G1040" s="2" t="s">
        <v>9937</v>
      </c>
      <c r="H1040" s="3" t="str">
        <f>_xlfn.IFNA(INDEX(RulebookFields!C2:C999, MATCH(D1040,RulebookFields!A2:A999, 0)), "")</f>
        <v>OntologyProfiles</v>
      </c>
      <c r="I1040" s="3" t="str">
        <f>_xlfn.IFNA(INDEX(RulebookFields!D2:D999, MATCH(D1040,RulebookFields!A2:A999, 0)), "")</f>
        <v>OntologyProfileId</v>
      </c>
      <c r="J1040" s="3" t="b">
        <f>_xlfn.IFNA(INDEX(RulebookFields!I2:I999, MATCH(D1040,RulebookFields!A2:A999, 0)), "")</f>
        <v>0</v>
      </c>
      <c r="K1040" s="3" t="b">
        <f>AND(F1040, J1040)</f>
        <v>0</v>
      </c>
      <c r="L1040" s="3" t="b">
        <f>AND(G1040 &lt;&gt; "plain", G1040 &lt;&gt; "")</f>
        <v>0</v>
      </c>
      <c r="M1040" s="3" t="str">
        <f>IF(E1040, C1040 &amp; "|" &amp; H1040, "")</f>
        <v>principal-process-steward|OntologyProfiles</v>
      </c>
      <c r="N1040" s="2" t="s">
        <v>9938</v>
      </c>
    </row>
    <row r="1041">
      <c r="A1041" s="2" t="s">
        <v>10977</v>
      </c>
      <c r="B1041" s="3" t="str">
        <f>C1041 &amp; " -&gt; " &amp; D1041</f>
        <v>principal-process-steward -&gt; OntologyProfiles.Name</v>
      </c>
      <c r="C1041" s="2" t="s">
        <v>9706</v>
      </c>
      <c r="D1041" s="2" t="s">
        <v>2404</v>
      </c>
      <c r="E1041" s="2" t="b">
        <v>1</v>
      </c>
      <c r="F1041" s="2" t="b">
        <v>0</v>
      </c>
      <c r="G1041" s="2" t="s">
        <v>9937</v>
      </c>
      <c r="H1041" s="3" t="str">
        <f>_xlfn.IFNA(INDEX(RulebookFields!C2:C999, MATCH(D1041,RulebookFields!A2:A999, 0)), "")</f>
        <v>OntologyProfiles</v>
      </c>
      <c r="I1041" s="3" t="str">
        <f>_xlfn.IFNA(INDEX(RulebookFields!D2:D999, MATCH(D1041,RulebookFields!A2:A999, 0)), "")</f>
        <v>Name</v>
      </c>
      <c r="J1041" s="3" t="b">
        <f>_xlfn.IFNA(INDEX(RulebookFields!I2:I999, MATCH(D1041,RulebookFields!A2:A999, 0)), "")</f>
        <v>1</v>
      </c>
      <c r="K1041" s="3" t="b">
        <f>AND(F1041, J1041)</f>
        <v>0</v>
      </c>
      <c r="L1041" s="3" t="b">
        <f>AND(G1041 &lt;&gt; "plain", G1041 &lt;&gt; "")</f>
        <v>0</v>
      </c>
      <c r="M1041" s="3" t="str">
        <f>IF(E1041, C1041 &amp; "|" &amp; H1041, "")</f>
        <v>principal-process-steward|OntologyProfiles</v>
      </c>
      <c r="N1041" s="2" t="s">
        <v>9938</v>
      </c>
    </row>
    <row r="1042">
      <c r="A1042" s="2" t="s">
        <v>10978</v>
      </c>
      <c r="B1042" s="3" t="str">
        <f>C1042 &amp; " -&gt; " &amp; D1042</f>
        <v>principal-process-steward -&gt; OntologyProfiles.Label</v>
      </c>
      <c r="C1042" s="2" t="s">
        <v>9706</v>
      </c>
      <c r="D1042" s="2" t="s">
        <v>2406</v>
      </c>
      <c r="E1042" s="2" t="b">
        <v>1</v>
      </c>
      <c r="F1042" s="2" t="b">
        <v>0</v>
      </c>
      <c r="G1042" s="2" t="s">
        <v>9937</v>
      </c>
      <c r="H1042" s="3" t="str">
        <f>_xlfn.IFNA(INDEX(RulebookFields!C2:C999, MATCH(D1042,RulebookFields!A2:A999, 0)), "")</f>
        <v>OntologyProfiles</v>
      </c>
      <c r="I1042" s="3" t="str">
        <f>_xlfn.IFNA(INDEX(RulebookFields!D2:D999, MATCH(D1042,RulebookFields!A2:A999, 0)), "")</f>
        <v>Label</v>
      </c>
      <c r="J1042" s="3" t="b">
        <f>_xlfn.IFNA(INDEX(RulebookFields!I2:I999, MATCH(D1042,RulebookFields!A2:A999, 0)), "")</f>
        <v>0</v>
      </c>
      <c r="K1042" s="3" t="b">
        <f>AND(F1042, J1042)</f>
        <v>0</v>
      </c>
      <c r="L1042" s="3" t="b">
        <f>AND(G1042 &lt;&gt; "plain", G1042 &lt;&gt; "")</f>
        <v>0</v>
      </c>
      <c r="M1042" s="3" t="str">
        <f>IF(E1042, C1042 &amp; "|" &amp; H1042, "")</f>
        <v>principal-process-steward|OntologyProfiles</v>
      </c>
      <c r="N1042" s="2" t="s">
        <v>9938</v>
      </c>
    </row>
    <row r="1043">
      <c r="A1043" s="2" t="s">
        <v>10979</v>
      </c>
      <c r="B1043" s="3" t="str">
        <f>C1043 &amp; " -&gt; " &amp; D1043</f>
        <v>principal-process-steward -&gt; OntologyProfiles.Version</v>
      </c>
      <c r="C1043" s="2" t="s">
        <v>9706</v>
      </c>
      <c r="D1043" s="2" t="s">
        <v>2407</v>
      </c>
      <c r="E1043" s="2" t="b">
        <v>1</v>
      </c>
      <c r="F1043" s="2" t="b">
        <v>0</v>
      </c>
      <c r="G1043" s="2" t="s">
        <v>9937</v>
      </c>
      <c r="H1043" s="3" t="str">
        <f>_xlfn.IFNA(INDEX(RulebookFields!C2:C999, MATCH(D1043,RulebookFields!A2:A999, 0)), "")</f>
        <v>OntologyProfiles</v>
      </c>
      <c r="I1043" s="3" t="str">
        <f>_xlfn.IFNA(INDEX(RulebookFields!D2:D999, MATCH(D1043,RulebookFields!A2:A999, 0)), "")</f>
        <v>Version</v>
      </c>
      <c r="J1043" s="3" t="b">
        <f>_xlfn.IFNA(INDEX(RulebookFields!I2:I999, MATCH(D1043,RulebookFields!A2:A999, 0)), "")</f>
        <v>0</v>
      </c>
      <c r="K1043" s="3" t="b">
        <f>AND(F1043, J1043)</f>
        <v>0</v>
      </c>
      <c r="L1043" s="3" t="b">
        <f>AND(G1043 &lt;&gt; "plain", G1043 &lt;&gt; "")</f>
        <v>0</v>
      </c>
      <c r="M1043" s="3" t="str">
        <f>IF(E1043, C1043 &amp; "|" &amp; H1043, "")</f>
        <v>principal-process-steward|OntologyProfiles</v>
      </c>
      <c r="N1043" s="2" t="s">
        <v>9938</v>
      </c>
    </row>
    <row r="1044">
      <c r="A1044" s="2" t="s">
        <v>10980</v>
      </c>
      <c r="B1044" s="3" t="str">
        <f>C1044 &amp; " -&gt; " &amp; D1044</f>
        <v>principal-process-steward -&gt; OntologyProfiles.VersionIri</v>
      </c>
      <c r="C1044" s="2" t="s">
        <v>9706</v>
      </c>
      <c r="D1044" s="2" t="s">
        <v>2408</v>
      </c>
      <c r="E1044" s="2" t="b">
        <v>1</v>
      </c>
      <c r="F1044" s="2" t="b">
        <v>0</v>
      </c>
      <c r="G1044" s="2" t="s">
        <v>9937</v>
      </c>
      <c r="H1044" s="3" t="str">
        <f>_xlfn.IFNA(INDEX(RulebookFields!C2:C999, MATCH(D1044,RulebookFields!A2:A999, 0)), "")</f>
        <v>OntologyProfiles</v>
      </c>
      <c r="I1044" s="3" t="str">
        <f>_xlfn.IFNA(INDEX(RulebookFields!D2:D999, MATCH(D1044,RulebookFields!A2:A999, 0)), "")</f>
        <v>VersionIri</v>
      </c>
      <c r="J1044" s="3" t="b">
        <f>_xlfn.IFNA(INDEX(RulebookFields!I2:I999, MATCH(D1044,RulebookFields!A2:A999, 0)), "")</f>
        <v>0</v>
      </c>
      <c r="K1044" s="3" t="b">
        <f>AND(F1044, J1044)</f>
        <v>0</v>
      </c>
      <c r="L1044" s="3" t="b">
        <f>AND(G1044 &lt;&gt; "plain", G1044 &lt;&gt; "")</f>
        <v>0</v>
      </c>
      <c r="M1044" s="3" t="str">
        <f>IF(E1044, C1044 &amp; "|" &amp; H1044, "")</f>
        <v>principal-process-steward|OntologyProfiles</v>
      </c>
      <c r="N1044" s="2" t="s">
        <v>9938</v>
      </c>
    </row>
    <row r="1045">
      <c r="A1045" s="2" t="s">
        <v>10981</v>
      </c>
      <c r="B1045" s="3" t="str">
        <f>C1045 &amp; " -&gt; " &amp; D1045</f>
        <v>principal-process-steward -&gt; OntologyProfiles.NamespaceIri</v>
      </c>
      <c r="C1045" s="2" t="s">
        <v>9706</v>
      </c>
      <c r="D1045" s="2" t="s">
        <v>2409</v>
      </c>
      <c r="E1045" s="2" t="b">
        <v>1</v>
      </c>
      <c r="F1045" s="2" t="b">
        <v>0</v>
      </c>
      <c r="G1045" s="2" t="s">
        <v>9937</v>
      </c>
      <c r="H1045" s="3" t="str">
        <f>_xlfn.IFNA(INDEX(RulebookFields!C2:C999, MATCH(D1045,RulebookFields!A2:A999, 0)), "")</f>
        <v>OntologyProfiles</v>
      </c>
      <c r="I1045" s="3" t="str">
        <f>_xlfn.IFNA(INDEX(RulebookFields!D2:D999, MATCH(D1045,RulebookFields!A2:A999, 0)), "")</f>
        <v>NamespaceIri</v>
      </c>
      <c r="J1045" s="3" t="b">
        <f>_xlfn.IFNA(INDEX(RulebookFields!I2:I999, MATCH(D1045,RulebookFields!A2:A999, 0)), "")</f>
        <v>0</v>
      </c>
      <c r="K1045" s="3" t="b">
        <f>AND(F1045, J1045)</f>
        <v>0</v>
      </c>
      <c r="L1045" s="3" t="b">
        <f>AND(G1045 &lt;&gt; "plain", G1045 &lt;&gt; "")</f>
        <v>0</v>
      </c>
      <c r="M1045" s="3" t="str">
        <f>IF(E1045, C1045 &amp; "|" &amp; H1045, "")</f>
        <v>principal-process-steward|OntologyProfiles</v>
      </c>
      <c r="N1045" s="2" t="s">
        <v>9938</v>
      </c>
    </row>
    <row r="1046">
      <c r="A1046" s="2" t="s">
        <v>10982</v>
      </c>
      <c r="B1046" s="3" t="str">
        <f>C1046 &amp; " -&gt; " &amp; D1046</f>
        <v>principal-process-steward -&gt; OntologyProfiles.License</v>
      </c>
      <c r="C1046" s="2" t="s">
        <v>9706</v>
      </c>
      <c r="D1046" s="2" t="s">
        <v>2410</v>
      </c>
      <c r="E1046" s="2" t="b">
        <v>1</v>
      </c>
      <c r="F1046" s="2" t="b">
        <v>0</v>
      </c>
      <c r="G1046" s="2" t="s">
        <v>9937</v>
      </c>
      <c r="H1046" s="3" t="str">
        <f>_xlfn.IFNA(INDEX(RulebookFields!C2:C999, MATCH(D1046,RulebookFields!A2:A999, 0)), "")</f>
        <v>OntologyProfiles</v>
      </c>
      <c r="I1046" s="3" t="str">
        <f>_xlfn.IFNA(INDEX(RulebookFields!D2:D999, MATCH(D1046,RulebookFields!A2:A999, 0)), "")</f>
        <v>License</v>
      </c>
      <c r="J1046" s="3" t="b">
        <f>_xlfn.IFNA(INDEX(RulebookFields!I2:I999, MATCH(D1046,RulebookFields!A2:A999, 0)), "")</f>
        <v>0</v>
      </c>
      <c r="K1046" s="3" t="b">
        <f>AND(F1046, J1046)</f>
        <v>0</v>
      </c>
      <c r="L1046" s="3" t="b">
        <f>AND(G1046 &lt;&gt; "plain", G1046 &lt;&gt; "")</f>
        <v>0</v>
      </c>
      <c r="M1046" s="3" t="str">
        <f>IF(E1046, C1046 &amp; "|" &amp; H1046, "")</f>
        <v>principal-process-steward|OntologyProfiles</v>
      </c>
      <c r="N1046" s="2" t="s">
        <v>9938</v>
      </c>
    </row>
    <row r="1047">
      <c r="A1047" s="2" t="s">
        <v>10983</v>
      </c>
      <c r="B1047" s="3" t="str">
        <f>C1047 &amp; " -&gt; " &amp; D1047</f>
        <v>principal-process-steward -&gt; OntologyProfiles.Scope</v>
      </c>
      <c r="C1047" s="2" t="s">
        <v>9706</v>
      </c>
      <c r="D1047" s="2" t="s">
        <v>2411</v>
      </c>
      <c r="E1047" s="2" t="b">
        <v>1</v>
      </c>
      <c r="F1047" s="2" t="b">
        <v>0</v>
      </c>
      <c r="G1047" s="2" t="s">
        <v>9937</v>
      </c>
      <c r="H1047" s="3" t="str">
        <f>_xlfn.IFNA(INDEX(RulebookFields!C2:C999, MATCH(D1047,RulebookFields!A2:A999, 0)), "")</f>
        <v>OntologyProfiles</v>
      </c>
      <c r="I1047" s="3" t="str">
        <f>_xlfn.IFNA(INDEX(RulebookFields!D2:D999, MATCH(D1047,RulebookFields!A2:A999, 0)), "")</f>
        <v>Scope</v>
      </c>
      <c r="J1047" s="3" t="b">
        <f>_xlfn.IFNA(INDEX(RulebookFields!I2:I999, MATCH(D1047,RulebookFields!A2:A999, 0)), "")</f>
        <v>0</v>
      </c>
      <c r="K1047" s="3" t="b">
        <f>AND(F1047, J1047)</f>
        <v>0</v>
      </c>
      <c r="L1047" s="3" t="b">
        <f>AND(G1047 &lt;&gt; "plain", G1047 &lt;&gt; "")</f>
        <v>0</v>
      </c>
      <c r="M1047" s="3" t="str">
        <f>IF(E1047, C1047 &amp; "|" &amp; H1047, "")</f>
        <v>principal-process-steward|OntologyProfiles</v>
      </c>
      <c r="N1047" s="2" t="s">
        <v>9938</v>
      </c>
    </row>
    <row r="1048">
      <c r="A1048" s="2" t="s">
        <v>10984</v>
      </c>
      <c r="B1048" s="3" t="str">
        <f>C1048 &amp; " -&gt; " &amp; D1048</f>
        <v>principal-process-steward -&gt; OperationalBindings.OperationalBindingId</v>
      </c>
      <c r="C1048" s="2" t="s">
        <v>9706</v>
      </c>
      <c r="D1048" s="2" t="s">
        <v>3962</v>
      </c>
      <c r="E1048" s="2" t="b">
        <v>1</v>
      </c>
      <c r="F1048" s="2" t="b">
        <v>0</v>
      </c>
      <c r="G1048" s="2" t="s">
        <v>9937</v>
      </c>
      <c r="H1048" s="3" t="str">
        <f>_xlfn.IFNA(INDEX(RulebookFields!C2:C999, MATCH(D1048,RulebookFields!A2:A999, 0)), "")</f>
        <v>OperationalBindings</v>
      </c>
      <c r="I1048" s="3" t="str">
        <f>_xlfn.IFNA(INDEX(RulebookFields!D2:D999, MATCH(D1048,RulebookFields!A2:A999, 0)), "")</f>
        <v>OperationalBindingId</v>
      </c>
      <c r="J1048" s="3" t="b">
        <f>_xlfn.IFNA(INDEX(RulebookFields!I2:I999, MATCH(D1048,RulebookFields!A2:A999, 0)), "")</f>
        <v>0</v>
      </c>
      <c r="K1048" s="3" t="b">
        <f>AND(F1048, J1048)</f>
        <v>0</v>
      </c>
      <c r="L1048" s="3" t="b">
        <f>AND(G1048 &lt;&gt; "plain", G1048 &lt;&gt; "")</f>
        <v>0</v>
      </c>
      <c r="M1048" s="3" t="str">
        <f>IF(E1048, C1048 &amp; "|" &amp; H1048, "")</f>
        <v>principal-process-steward|OperationalBindings</v>
      </c>
      <c r="N1048" s="2" t="s">
        <v>9938</v>
      </c>
    </row>
    <row r="1049">
      <c r="A1049" s="2" t="s">
        <v>10985</v>
      </c>
      <c r="B1049" s="3" t="str">
        <f>C1049 &amp; " -&gt; " &amp; D1049</f>
        <v>principal-process-steward -&gt; OperationalBindings.Name</v>
      </c>
      <c r="C1049" s="2" t="s">
        <v>9706</v>
      </c>
      <c r="D1049" s="2" t="s">
        <v>3963</v>
      </c>
      <c r="E1049" s="2" t="b">
        <v>1</v>
      </c>
      <c r="F1049" s="2" t="b">
        <v>0</v>
      </c>
      <c r="G1049" s="2" t="s">
        <v>9937</v>
      </c>
      <c r="H1049" s="3" t="str">
        <f>_xlfn.IFNA(INDEX(RulebookFields!C2:C999, MATCH(D1049,RulebookFields!A2:A999, 0)), "")</f>
        <v>OperationalBindings</v>
      </c>
      <c r="I1049" s="3" t="str">
        <f>_xlfn.IFNA(INDEX(RulebookFields!D2:D999, MATCH(D1049,RulebookFields!A2:A999, 0)), "")</f>
        <v>Name</v>
      </c>
      <c r="J1049" s="3" t="b">
        <f>_xlfn.IFNA(INDEX(RulebookFields!I2:I999, MATCH(D1049,RulebookFields!A2:A999, 0)), "")</f>
        <v>1</v>
      </c>
      <c r="K1049" s="3" t="b">
        <f>AND(F1049, J1049)</f>
        <v>0</v>
      </c>
      <c r="L1049" s="3" t="b">
        <f>AND(G1049 &lt;&gt; "plain", G1049 &lt;&gt; "")</f>
        <v>0</v>
      </c>
      <c r="M1049" s="3" t="str">
        <f>IF(E1049, C1049 &amp; "|" &amp; H1049, "")</f>
        <v>principal-process-steward|OperationalBindings</v>
      </c>
      <c r="N1049" s="2" t="s">
        <v>9938</v>
      </c>
    </row>
    <row r="1050">
      <c r="A1050" s="2" t="s">
        <v>10986</v>
      </c>
      <c r="B1050" s="3" t="str">
        <f>C1050 &amp; " -&gt; " &amp; D1050</f>
        <v>principal-process-steward -&gt; OperationalBindings.ProcedureVersion</v>
      </c>
      <c r="C1050" s="2" t="s">
        <v>9706</v>
      </c>
      <c r="D1050" s="2" t="s">
        <v>3965</v>
      </c>
      <c r="E1050" s="2" t="b">
        <v>1</v>
      </c>
      <c r="F1050" s="2" t="b">
        <v>0</v>
      </c>
      <c r="G1050" s="2" t="s">
        <v>9937</v>
      </c>
      <c r="H1050" s="3" t="str">
        <f>_xlfn.IFNA(INDEX(RulebookFields!C2:C999, MATCH(D1050,RulebookFields!A2:A999, 0)), "")</f>
        <v>OperationalBindings</v>
      </c>
      <c r="I1050" s="3" t="str">
        <f>_xlfn.IFNA(INDEX(RulebookFields!D2:D999, MATCH(D1050,RulebookFields!A2:A999, 0)), "")</f>
        <v>ProcedureVersion</v>
      </c>
      <c r="J1050" s="3" t="b">
        <f>_xlfn.IFNA(INDEX(RulebookFields!I2:I999, MATCH(D1050,RulebookFields!A2:A999, 0)), "")</f>
        <v>0</v>
      </c>
      <c r="K1050" s="3" t="b">
        <f>AND(F1050, J1050)</f>
        <v>0</v>
      </c>
      <c r="L1050" s="3" t="b">
        <f>AND(G1050 &lt;&gt; "plain", G1050 &lt;&gt; "")</f>
        <v>0</v>
      </c>
      <c r="M1050" s="3" t="str">
        <f>IF(E1050, C1050 &amp; "|" &amp; H1050, "")</f>
        <v>principal-process-steward|OperationalBindings</v>
      </c>
      <c r="N1050" s="2" t="s">
        <v>9938</v>
      </c>
    </row>
    <row r="1051">
      <c r="A1051" s="2" t="s">
        <v>10987</v>
      </c>
      <c r="B1051" s="3" t="str">
        <f>C1051 &amp; " -&gt; " &amp; D1051</f>
        <v>principal-process-steward -&gt; OperationalBindings.Step</v>
      </c>
      <c r="C1051" s="2" t="s">
        <v>9706</v>
      </c>
      <c r="D1051" s="2" t="s">
        <v>3966</v>
      </c>
      <c r="E1051" s="2" t="b">
        <v>1</v>
      </c>
      <c r="F1051" s="2" t="b">
        <v>0</v>
      </c>
      <c r="G1051" s="2" t="s">
        <v>9937</v>
      </c>
      <c r="H1051" s="3" t="str">
        <f>_xlfn.IFNA(INDEX(RulebookFields!C2:C999, MATCH(D1051,RulebookFields!A2:A999, 0)), "")</f>
        <v>OperationalBindings</v>
      </c>
      <c r="I1051" s="3" t="str">
        <f>_xlfn.IFNA(INDEX(RulebookFields!D2:D999, MATCH(D1051,RulebookFields!A2:A999, 0)), "")</f>
        <v>Step</v>
      </c>
      <c r="J1051" s="3" t="b">
        <f>_xlfn.IFNA(INDEX(RulebookFields!I2:I999, MATCH(D1051,RulebookFields!A2:A999, 0)), "")</f>
        <v>0</v>
      </c>
      <c r="K1051" s="3" t="b">
        <f>AND(F1051, J1051)</f>
        <v>0</v>
      </c>
      <c r="L1051" s="3" t="b">
        <f>AND(G1051 &lt;&gt; "plain", G1051 &lt;&gt; "")</f>
        <v>0</v>
      </c>
      <c r="M1051" s="3" t="str">
        <f>IF(E1051, C1051 &amp; "|" &amp; H1051, "")</f>
        <v>principal-process-steward|OperationalBindings</v>
      </c>
      <c r="N1051" s="2" t="s">
        <v>9938</v>
      </c>
    </row>
    <row r="1052">
      <c r="A1052" s="2" t="s">
        <v>10988</v>
      </c>
      <c r="B1052" s="3" t="str">
        <f>C1052 &amp; " -&gt; " &amp; D1052</f>
        <v>principal-process-steward -&gt; OperationalBindings.Resource</v>
      </c>
      <c r="C1052" s="2" t="s">
        <v>9706</v>
      </c>
      <c r="D1052" s="2" t="s">
        <v>3967</v>
      </c>
      <c r="E1052" s="2" t="b">
        <v>1</v>
      </c>
      <c r="F1052" s="2" t="b">
        <v>0</v>
      </c>
      <c r="G1052" s="2" t="s">
        <v>9937</v>
      </c>
      <c r="H1052" s="3" t="str">
        <f>_xlfn.IFNA(INDEX(RulebookFields!C2:C999, MATCH(D1052,RulebookFields!A2:A999, 0)), "")</f>
        <v>OperationalBindings</v>
      </c>
      <c r="I1052" s="3" t="str">
        <f>_xlfn.IFNA(INDEX(RulebookFields!D2:D999, MATCH(D1052,RulebookFields!A2:A999, 0)), "")</f>
        <v>Resource</v>
      </c>
      <c r="J1052" s="3" t="b">
        <f>_xlfn.IFNA(INDEX(RulebookFields!I2:I999, MATCH(D1052,RulebookFields!A2:A999, 0)), "")</f>
        <v>0</v>
      </c>
      <c r="K1052" s="3" t="b">
        <f>AND(F1052, J1052)</f>
        <v>0</v>
      </c>
      <c r="L1052" s="3" t="b">
        <f>AND(G1052 &lt;&gt; "plain", G1052 &lt;&gt; "")</f>
        <v>0</v>
      </c>
      <c r="M1052" s="3" t="str">
        <f>IF(E1052, C1052 &amp; "|" &amp; H1052, "")</f>
        <v>principal-process-steward|OperationalBindings</v>
      </c>
      <c r="N1052" s="2" t="s">
        <v>9938</v>
      </c>
    </row>
    <row r="1053">
      <c r="A1053" s="2" t="s">
        <v>10989</v>
      </c>
      <c r="B1053" s="3" t="str">
        <f>C1053 &amp; " -&gt; " &amp; D1053</f>
        <v>principal-process-steward -&gt; OperationalBindings.AccessMode</v>
      </c>
      <c r="C1053" s="2" t="s">
        <v>9706</v>
      </c>
      <c r="D1053" s="2" t="s">
        <v>3968</v>
      </c>
      <c r="E1053" s="2" t="b">
        <v>1</v>
      </c>
      <c r="F1053" s="2" t="b">
        <v>0</v>
      </c>
      <c r="G1053" s="2" t="s">
        <v>9937</v>
      </c>
      <c r="H1053" s="3" t="str">
        <f>_xlfn.IFNA(INDEX(RulebookFields!C2:C999, MATCH(D1053,RulebookFields!A2:A999, 0)), "")</f>
        <v>OperationalBindings</v>
      </c>
      <c r="I1053" s="3" t="str">
        <f>_xlfn.IFNA(INDEX(RulebookFields!D2:D999, MATCH(D1053,RulebookFields!A2:A999, 0)), "")</f>
        <v>AccessMode</v>
      </c>
      <c r="J1053" s="3" t="b">
        <f>_xlfn.IFNA(INDEX(RulebookFields!I2:I999, MATCH(D1053,RulebookFields!A2:A999, 0)), "")</f>
        <v>0</v>
      </c>
      <c r="K1053" s="3" t="b">
        <f>AND(F1053, J1053)</f>
        <v>0</v>
      </c>
      <c r="L1053" s="3" t="b">
        <f>AND(G1053 &lt;&gt; "plain", G1053 &lt;&gt; "")</f>
        <v>0</v>
      </c>
      <c r="M1053" s="3" t="str">
        <f>IF(E1053, C1053 &amp; "|" &amp; H1053, "")</f>
        <v>principal-process-steward|OperationalBindings</v>
      </c>
      <c r="N1053" s="2" t="s">
        <v>9938</v>
      </c>
    </row>
    <row r="1054">
      <c r="A1054" s="2" t="s">
        <v>10990</v>
      </c>
      <c r="B1054" s="3" t="str">
        <f>C1054 &amp; " -&gt; " &amp; D1054</f>
        <v>principal-process-steward -&gt; OperationalBindings.RecordOrSchemaKey</v>
      </c>
      <c r="C1054" s="2" t="s">
        <v>9706</v>
      </c>
      <c r="D1054" s="2" t="s">
        <v>3969</v>
      </c>
      <c r="E1054" s="2" t="b">
        <v>1</v>
      </c>
      <c r="F1054" s="2" t="b">
        <v>0</v>
      </c>
      <c r="G1054" s="2" t="s">
        <v>9937</v>
      </c>
      <c r="H1054" s="3" t="str">
        <f>_xlfn.IFNA(INDEX(RulebookFields!C2:C999, MATCH(D1054,RulebookFields!A2:A999, 0)), "")</f>
        <v>OperationalBindings</v>
      </c>
      <c r="I1054" s="3" t="str">
        <f>_xlfn.IFNA(INDEX(RulebookFields!D2:D999, MATCH(D1054,RulebookFields!A2:A999, 0)), "")</f>
        <v>RecordOrSchemaKey</v>
      </c>
      <c r="J1054" s="3" t="b">
        <f>_xlfn.IFNA(INDEX(RulebookFields!I2:I999, MATCH(D1054,RulebookFields!A2:A999, 0)), "")</f>
        <v>0</v>
      </c>
      <c r="K1054" s="3" t="b">
        <f>AND(F1054, J1054)</f>
        <v>0</v>
      </c>
      <c r="L1054" s="3" t="b">
        <f>AND(G1054 &lt;&gt; "plain", G1054 &lt;&gt; "")</f>
        <v>0</v>
      </c>
      <c r="M1054" s="3" t="str">
        <f>IF(E1054, C1054 &amp; "|" &amp; H1054, "")</f>
        <v>principal-process-steward|OperationalBindings</v>
      </c>
      <c r="N1054" s="2" t="s">
        <v>9938</v>
      </c>
    </row>
    <row r="1055">
      <c r="A1055" s="2" t="s">
        <v>10991</v>
      </c>
      <c r="B1055" s="3" t="str">
        <f>C1055 &amp; " -&gt; " &amp; D1055</f>
        <v>principal-process-steward -&gt; OperationalBindings.LastObservedAt</v>
      </c>
      <c r="C1055" s="2" t="s">
        <v>9706</v>
      </c>
      <c r="D1055" s="2" t="s">
        <v>3970</v>
      </c>
      <c r="E1055" s="2" t="b">
        <v>1</v>
      </c>
      <c r="F1055" s="2" t="b">
        <v>0</v>
      </c>
      <c r="G1055" s="2" t="s">
        <v>9937</v>
      </c>
      <c r="H1055" s="3" t="str">
        <f>_xlfn.IFNA(INDEX(RulebookFields!C2:C999, MATCH(D1055,RulebookFields!A2:A999, 0)), "")</f>
        <v>OperationalBindings</v>
      </c>
      <c r="I1055" s="3" t="str">
        <f>_xlfn.IFNA(INDEX(RulebookFields!D2:D999, MATCH(D1055,RulebookFields!A2:A999, 0)), "")</f>
        <v>LastObservedAt</v>
      </c>
      <c r="J1055" s="3" t="b">
        <f>_xlfn.IFNA(INDEX(RulebookFields!I2:I999, MATCH(D1055,RulebookFields!A2:A999, 0)), "")</f>
        <v>0</v>
      </c>
      <c r="K1055" s="3" t="b">
        <f>AND(F1055, J1055)</f>
        <v>0</v>
      </c>
      <c r="L1055" s="3" t="b">
        <f>AND(G1055 &lt;&gt; "plain", G1055 &lt;&gt; "")</f>
        <v>0</v>
      </c>
      <c r="M1055" s="3" t="str">
        <f>IF(E1055, C1055 &amp; "|" &amp; H1055, "")</f>
        <v>principal-process-steward|OperationalBindings</v>
      </c>
      <c r="N1055" s="2" t="s">
        <v>9938</v>
      </c>
    </row>
    <row r="1056">
      <c r="A1056" s="2" t="s">
        <v>10992</v>
      </c>
      <c r="B1056" s="3" t="str">
        <f>C1056 &amp; " -&gt; " &amp; D1056</f>
        <v>principal-process-steward -&gt; OperationalBindings.FreshnessSlaMinutes</v>
      </c>
      <c r="C1056" s="2" t="s">
        <v>9706</v>
      </c>
      <c r="D1056" s="2" t="s">
        <v>3971</v>
      </c>
      <c r="E1056" s="2" t="b">
        <v>1</v>
      </c>
      <c r="F1056" s="2" t="b">
        <v>0</v>
      </c>
      <c r="G1056" s="2" t="s">
        <v>9937</v>
      </c>
      <c r="H1056" s="3" t="str">
        <f>_xlfn.IFNA(INDEX(RulebookFields!C2:C999, MATCH(D1056,RulebookFields!A2:A999, 0)), "")</f>
        <v>OperationalBindings</v>
      </c>
      <c r="I1056" s="3" t="str">
        <f>_xlfn.IFNA(INDEX(RulebookFields!D2:D999, MATCH(D1056,RulebookFields!A2:A999, 0)), "")</f>
        <v>FreshnessSlaMinutes</v>
      </c>
      <c r="J1056" s="3" t="b">
        <f>_xlfn.IFNA(INDEX(RulebookFields!I2:I999, MATCH(D1056,RulebookFields!A2:A999, 0)), "")</f>
        <v>0</v>
      </c>
      <c r="K1056" s="3" t="b">
        <f>AND(F1056, J1056)</f>
        <v>0</v>
      </c>
      <c r="L1056" s="3" t="b">
        <f>AND(G1056 &lt;&gt; "plain", G1056 &lt;&gt; "")</f>
        <v>0</v>
      </c>
      <c r="M1056" s="3" t="str">
        <f>IF(E1056, C1056 &amp; "|" &amp; H1056, "")</f>
        <v>principal-process-steward|OperationalBindings</v>
      </c>
      <c r="N1056" s="2" t="s">
        <v>9938</v>
      </c>
    </row>
    <row r="1057">
      <c r="A1057" s="2" t="s">
        <v>10993</v>
      </c>
      <c r="B1057" s="3" t="str">
        <f>C1057 &amp; " -&gt; " &amp; D1057</f>
        <v>principal-process-steward -&gt; OperationalBindings.IsAuthoritative</v>
      </c>
      <c r="C1057" s="2" t="s">
        <v>9706</v>
      </c>
      <c r="D1057" s="2" t="s">
        <v>3972</v>
      </c>
      <c r="E1057" s="2" t="b">
        <v>1</v>
      </c>
      <c r="F1057" s="2" t="b">
        <v>0</v>
      </c>
      <c r="G1057" s="2" t="s">
        <v>9937</v>
      </c>
      <c r="H1057" s="3" t="str">
        <f>_xlfn.IFNA(INDEX(RulebookFields!C2:C999, MATCH(D1057,RulebookFields!A2:A999, 0)), "")</f>
        <v>OperationalBindings</v>
      </c>
      <c r="I1057" s="3" t="str">
        <f>_xlfn.IFNA(INDEX(RulebookFields!D2:D999, MATCH(D1057,RulebookFields!A2:A999, 0)), "")</f>
        <v>IsAuthoritative</v>
      </c>
      <c r="J1057" s="3" t="b">
        <f>_xlfn.IFNA(INDEX(RulebookFields!I2:I999, MATCH(D1057,RulebookFields!A2:A999, 0)), "")</f>
        <v>0</v>
      </c>
      <c r="K1057" s="3" t="b">
        <f>AND(F1057, J1057)</f>
        <v>0</v>
      </c>
      <c r="L1057" s="3" t="b">
        <f>AND(G1057 &lt;&gt; "plain", G1057 &lt;&gt; "")</f>
        <v>0</v>
      </c>
      <c r="M1057" s="3" t="str">
        <f>IF(E1057, C1057 &amp; "|" &amp; H1057, "")</f>
        <v>principal-process-steward|OperationalBindings</v>
      </c>
      <c r="N1057" s="2" t="s">
        <v>9938</v>
      </c>
    </row>
    <row r="1058">
      <c r="A1058" s="2" t="s">
        <v>10994</v>
      </c>
      <c r="B1058" s="3" t="str">
        <f>C1058 &amp; " -&gt; " &amp; D1058</f>
        <v>principal-process-steward -&gt; OperationalBindings.EvaluationContext</v>
      </c>
      <c r="C1058" s="2" t="s">
        <v>9706</v>
      </c>
      <c r="D1058" s="2" t="s">
        <v>3973</v>
      </c>
      <c r="E1058" s="2" t="b">
        <v>1</v>
      </c>
      <c r="F1058" s="2" t="b">
        <v>0</v>
      </c>
      <c r="G1058" s="2" t="s">
        <v>9937</v>
      </c>
      <c r="H1058" s="3" t="str">
        <f>_xlfn.IFNA(INDEX(RulebookFields!C2:C999, MATCH(D1058,RulebookFields!A2:A999, 0)), "")</f>
        <v>OperationalBindings</v>
      </c>
      <c r="I1058" s="3" t="str">
        <f>_xlfn.IFNA(INDEX(RulebookFields!D2:D999, MATCH(D1058,RulebookFields!A2:A999, 0)), "")</f>
        <v>EvaluationContext</v>
      </c>
      <c r="J1058" s="3" t="b">
        <f>_xlfn.IFNA(INDEX(RulebookFields!I2:I999, MATCH(D1058,RulebookFields!A2:A999, 0)), "")</f>
        <v>0</v>
      </c>
      <c r="K1058" s="3" t="b">
        <f>AND(F1058, J1058)</f>
        <v>0</v>
      </c>
      <c r="L1058" s="3" t="b">
        <f>AND(G1058 &lt;&gt; "plain", G1058 &lt;&gt; "")</f>
        <v>0</v>
      </c>
      <c r="M1058" s="3" t="str">
        <f>IF(E1058, C1058 &amp; "|" &amp; H1058, "")</f>
        <v>principal-process-steward|OperationalBindings</v>
      </c>
      <c r="N1058" s="2" t="s">
        <v>9938</v>
      </c>
    </row>
    <row r="1059">
      <c r="A1059" s="2" t="s">
        <v>10995</v>
      </c>
      <c r="B1059" s="3" t="str">
        <f>C1059 &amp; " -&gt; " &amp; D1059</f>
        <v>principal-process-steward -&gt; OperationalBindings.AsOfInstant</v>
      </c>
      <c r="C1059" s="2" t="s">
        <v>9706</v>
      </c>
      <c r="D1059" s="2" t="s">
        <v>3974</v>
      </c>
      <c r="E1059" s="2" t="b">
        <v>1</v>
      </c>
      <c r="F1059" s="2" t="b">
        <v>0</v>
      </c>
      <c r="G1059" s="2" t="s">
        <v>9937</v>
      </c>
      <c r="H1059" s="3" t="str">
        <f>_xlfn.IFNA(INDEX(RulebookFields!C2:C999, MATCH(D1059,RulebookFields!A2:A999, 0)), "")</f>
        <v>OperationalBindings</v>
      </c>
      <c r="I1059" s="3" t="str">
        <f>_xlfn.IFNA(INDEX(RulebookFields!D2:D999, MATCH(D1059,RulebookFields!A2:A999, 0)), "")</f>
        <v>AsOfInstant</v>
      </c>
      <c r="J1059" s="3" t="b">
        <f>_xlfn.IFNA(INDEX(RulebookFields!I2:I999, MATCH(D1059,RulebookFields!A2:A999, 0)), "")</f>
        <v>1</v>
      </c>
      <c r="K1059" s="3" t="b">
        <f>AND(F1059, J1059)</f>
        <v>0</v>
      </c>
      <c r="L1059" s="3" t="b">
        <f>AND(G1059 &lt;&gt; "plain", G1059 &lt;&gt; "")</f>
        <v>0</v>
      </c>
      <c r="M1059" s="3" t="str">
        <f>IF(E1059, C1059 &amp; "|" &amp; H1059, "")</f>
        <v>principal-process-steward|OperationalBindings</v>
      </c>
      <c r="N1059" s="2" t="s">
        <v>9938</v>
      </c>
    </row>
    <row r="1060">
      <c r="A1060" s="2" t="s">
        <v>10996</v>
      </c>
      <c r="B1060" s="3" t="str">
        <f>C1060 &amp; " -&gt; " &amp; D1060</f>
        <v>principal-process-steward -&gt; OperationalBindings.AgeMinutes</v>
      </c>
      <c r="C1060" s="2" t="s">
        <v>9706</v>
      </c>
      <c r="D1060" s="2" t="s">
        <v>3975</v>
      </c>
      <c r="E1060" s="2" t="b">
        <v>1</v>
      </c>
      <c r="F1060" s="2" t="b">
        <v>0</v>
      </c>
      <c r="G1060" s="2" t="s">
        <v>9937</v>
      </c>
      <c r="H1060" s="3" t="str">
        <f>_xlfn.IFNA(INDEX(RulebookFields!C2:C999, MATCH(D1060,RulebookFields!A2:A999, 0)), "")</f>
        <v>OperationalBindings</v>
      </c>
      <c r="I1060" s="3" t="str">
        <f>_xlfn.IFNA(INDEX(RulebookFields!D2:D999, MATCH(D1060,RulebookFields!A2:A999, 0)), "")</f>
        <v>AgeMinutes</v>
      </c>
      <c r="J1060" s="3" t="b">
        <f>_xlfn.IFNA(INDEX(RulebookFields!I2:I999, MATCH(D1060,RulebookFields!A2:A999, 0)), "")</f>
        <v>1</v>
      </c>
      <c r="K1060" s="3" t="b">
        <f>AND(F1060, J1060)</f>
        <v>0</v>
      </c>
      <c r="L1060" s="3" t="b">
        <f>AND(G1060 &lt;&gt; "plain", G1060 &lt;&gt; "")</f>
        <v>0</v>
      </c>
      <c r="M1060" s="3" t="str">
        <f>IF(E1060, C1060 &amp; "|" &amp; H1060, "")</f>
        <v>principal-process-steward|OperationalBindings</v>
      </c>
      <c r="N1060" s="2" t="s">
        <v>9938</v>
      </c>
    </row>
    <row r="1061">
      <c r="A1061" s="2" t="s">
        <v>10997</v>
      </c>
      <c r="B1061" s="3" t="str">
        <f>C1061 &amp; " -&gt; " &amp; D1061</f>
        <v>principal-process-steward -&gt; OperationalBindings.IsFresh</v>
      </c>
      <c r="C1061" s="2" t="s">
        <v>9706</v>
      </c>
      <c r="D1061" s="2" t="s">
        <v>3977</v>
      </c>
      <c r="E1061" s="2" t="b">
        <v>1</v>
      </c>
      <c r="F1061" s="2" t="b">
        <v>0</v>
      </c>
      <c r="G1061" s="2" t="s">
        <v>9937</v>
      </c>
      <c r="H1061" s="3" t="str">
        <f>_xlfn.IFNA(INDEX(RulebookFields!C2:C999, MATCH(D1061,RulebookFields!A2:A999, 0)), "")</f>
        <v>OperationalBindings</v>
      </c>
      <c r="I1061" s="3" t="str">
        <f>_xlfn.IFNA(INDEX(RulebookFields!D2:D999, MATCH(D1061,RulebookFields!A2:A999, 0)), "")</f>
        <v>IsFresh</v>
      </c>
      <c r="J1061" s="3" t="b">
        <f>_xlfn.IFNA(INDEX(RulebookFields!I2:I999, MATCH(D1061,RulebookFields!A2:A999, 0)), "")</f>
        <v>1</v>
      </c>
      <c r="K1061" s="3" t="b">
        <f>AND(F1061, J1061)</f>
        <v>0</v>
      </c>
      <c r="L1061" s="3" t="b">
        <f>AND(G1061 &lt;&gt; "plain", G1061 &lt;&gt; "")</f>
        <v>0</v>
      </c>
      <c r="M1061" s="3" t="str">
        <f>IF(E1061, C1061 &amp; "|" &amp; H1061, "")</f>
        <v>principal-process-steward|OperationalBindings</v>
      </c>
      <c r="N1061" s="2" t="s">
        <v>9938</v>
      </c>
    </row>
    <row r="1062">
      <c r="A1062" s="2" t="s">
        <v>10998</v>
      </c>
      <c r="B1062" s="3" t="str">
        <f>C1062 &amp; " -&gt; " &amp; D1062</f>
        <v>principal-process-steward -&gt; OperationalBindings.StaleBindingStepKey</v>
      </c>
      <c r="C1062" s="2" t="s">
        <v>9706</v>
      </c>
      <c r="D1062" s="2" t="s">
        <v>3979</v>
      </c>
      <c r="E1062" s="2" t="b">
        <v>1</v>
      </c>
      <c r="F1062" s="2" t="b">
        <v>0</v>
      </c>
      <c r="G1062" s="2" t="s">
        <v>9937</v>
      </c>
      <c r="H1062" s="3" t="str">
        <f>_xlfn.IFNA(INDEX(RulebookFields!C2:C999, MATCH(D1062,RulebookFields!A2:A999, 0)), "")</f>
        <v>OperationalBindings</v>
      </c>
      <c r="I1062" s="3" t="str">
        <f>_xlfn.IFNA(INDEX(RulebookFields!D2:D999, MATCH(D1062,RulebookFields!A2:A999, 0)), "")</f>
        <v>StaleBindingStepKey</v>
      </c>
      <c r="J1062" s="3" t="b">
        <f>_xlfn.IFNA(INDEX(RulebookFields!I2:I999, MATCH(D1062,RulebookFields!A2:A999, 0)), "")</f>
        <v>1</v>
      </c>
      <c r="K1062" s="3" t="b">
        <f>AND(F1062, J1062)</f>
        <v>0</v>
      </c>
      <c r="L1062" s="3" t="b">
        <f>AND(G1062 &lt;&gt; "plain", G1062 &lt;&gt; "")</f>
        <v>0</v>
      </c>
      <c r="M1062" s="3" t="str">
        <f>IF(E1062, C1062 &amp; "|" &amp; H1062, "")</f>
        <v>principal-process-steward|OperationalBindings</v>
      </c>
      <c r="N1062" s="2" t="s">
        <v>9938</v>
      </c>
    </row>
    <row r="1063">
      <c r="A1063" s="2" t="s">
        <v>10999</v>
      </c>
      <c r="B1063" s="3" t="str">
        <f>C1063 &amp; " -&gt; " &amp; D1063</f>
        <v>principal-process-steward -&gt; OperationalBindings.AuthoritativeStaleStepKey</v>
      </c>
      <c r="C1063" s="2" t="s">
        <v>9706</v>
      </c>
      <c r="D1063" s="2" t="s">
        <v>3981</v>
      </c>
      <c r="E1063" s="2" t="b">
        <v>1</v>
      </c>
      <c r="F1063" s="2" t="b">
        <v>0</v>
      </c>
      <c r="G1063" s="2" t="s">
        <v>9937</v>
      </c>
      <c r="H1063" s="3" t="str">
        <f>_xlfn.IFNA(INDEX(RulebookFields!C2:C999, MATCH(D1063,RulebookFields!A2:A999, 0)), "")</f>
        <v>OperationalBindings</v>
      </c>
      <c r="I1063" s="3" t="str">
        <f>_xlfn.IFNA(INDEX(RulebookFields!D2:D999, MATCH(D1063,RulebookFields!A2:A999, 0)), "")</f>
        <v>AuthoritativeStaleStepKey</v>
      </c>
      <c r="J1063" s="3" t="b">
        <f>_xlfn.IFNA(INDEX(RulebookFields!I2:I999, MATCH(D1063,RulebookFields!A2:A999, 0)), "")</f>
        <v>1</v>
      </c>
      <c r="K1063" s="3" t="b">
        <f>AND(F1063, J1063)</f>
        <v>0</v>
      </c>
      <c r="L1063" s="3" t="b">
        <f>AND(G1063 &lt;&gt; "plain", G1063 &lt;&gt; "")</f>
        <v>0</v>
      </c>
      <c r="M1063" s="3" t="str">
        <f>IF(E1063, C1063 &amp; "|" &amp; H1063, "")</f>
        <v>principal-process-steward|OperationalBindings</v>
      </c>
      <c r="N1063" s="2" t="s">
        <v>9938</v>
      </c>
    </row>
    <row r="1064">
      <c r="A1064" s="2" t="s">
        <v>11000</v>
      </c>
      <c r="B1064" s="3" t="str">
        <f>C1064 &amp; " -&gt; " &amp; D1064</f>
        <v>principal-process-steward -&gt; OperationalBindings.IsStaleAndAuthoritative</v>
      </c>
      <c r="C1064" s="2" t="s">
        <v>9706</v>
      </c>
      <c r="D1064" s="2" t="s">
        <v>3983</v>
      </c>
      <c r="E1064" s="2" t="b">
        <v>1</v>
      </c>
      <c r="F1064" s="2" t="b">
        <v>0</v>
      </c>
      <c r="G1064" s="2" t="s">
        <v>9937</v>
      </c>
      <c r="H1064" s="3" t="str">
        <f>_xlfn.IFNA(INDEX(RulebookFields!C2:C999, MATCH(D1064,RulebookFields!A2:A999, 0)), "")</f>
        <v>OperationalBindings</v>
      </c>
      <c r="I1064" s="3" t="str">
        <f>_xlfn.IFNA(INDEX(RulebookFields!D2:D999, MATCH(D1064,RulebookFields!A2:A999, 0)), "")</f>
        <v>IsStaleAndAuthoritative</v>
      </c>
      <c r="J1064" s="3" t="b">
        <f>_xlfn.IFNA(INDEX(RulebookFields!I2:I999, MATCH(D1064,RulebookFields!A2:A999, 0)), "")</f>
        <v>1</v>
      </c>
      <c r="K1064" s="3" t="b">
        <f>AND(F1064, J1064)</f>
        <v>0</v>
      </c>
      <c r="L1064" s="3" t="b">
        <f>AND(G1064 &lt;&gt; "plain", G1064 &lt;&gt; "")</f>
        <v>0</v>
      </c>
      <c r="M1064" s="3" t="str">
        <f>IF(E1064, C1064 &amp; "|" &amp; H1064, "")</f>
        <v>principal-process-steward|OperationalBindings</v>
      </c>
      <c r="N1064" s="2" t="s">
        <v>9938</v>
      </c>
    </row>
    <row r="1065">
      <c r="A1065" s="2" t="s">
        <v>11001</v>
      </c>
      <c r="B1065" s="3" t="str">
        <f>C1065 &amp; " -&gt; " &amp; D1065</f>
        <v>principal-process-steward -&gt; OperationalBindings.StepWhenStale</v>
      </c>
      <c r="C1065" s="2" t="s">
        <v>9706</v>
      </c>
      <c r="D1065" s="2" t="s">
        <v>3985</v>
      </c>
      <c r="E1065" s="2" t="b">
        <v>1</v>
      </c>
      <c r="F1065" s="2" t="b">
        <v>0</v>
      </c>
      <c r="G1065" s="2" t="s">
        <v>9937</v>
      </c>
      <c r="H1065" s="3" t="str">
        <f>_xlfn.IFNA(INDEX(RulebookFields!C2:C999, MATCH(D1065,RulebookFields!A2:A999, 0)), "")</f>
        <v>OperationalBindings</v>
      </c>
      <c r="I1065" s="3" t="str">
        <f>_xlfn.IFNA(INDEX(RulebookFields!D2:D999, MATCH(D1065,RulebookFields!A2:A999, 0)), "")</f>
        <v>StepWhenStale</v>
      </c>
      <c r="J1065" s="3" t="b">
        <f>_xlfn.IFNA(INDEX(RulebookFields!I2:I999, MATCH(D1065,RulebookFields!A2:A999, 0)), "")</f>
        <v>1</v>
      </c>
      <c r="K1065" s="3" t="b">
        <f>AND(F1065, J1065)</f>
        <v>0</v>
      </c>
      <c r="L1065" s="3" t="b">
        <f>AND(G1065 &lt;&gt; "plain", G1065 &lt;&gt; "")</f>
        <v>0</v>
      </c>
      <c r="M1065" s="3" t="str">
        <f>IF(E1065, C1065 &amp; "|" &amp; H1065, "")</f>
        <v>principal-process-steward|OperationalBindings</v>
      </c>
      <c r="N1065" s="2" t="s">
        <v>9938</v>
      </c>
    </row>
    <row r="1066">
      <c r="A1066" s="2" t="s">
        <v>11002</v>
      </c>
      <c r="B1066" s="3" t="str">
        <f>C1066 &amp; " -&gt; " &amp; D1066</f>
        <v>principal-process-steward -&gt; OperationalBindings.ResourceIsApproved</v>
      </c>
      <c r="C1066" s="2" t="s">
        <v>9706</v>
      </c>
      <c r="D1066" s="2" t="s">
        <v>3987</v>
      </c>
      <c r="E1066" s="2" t="b">
        <v>1</v>
      </c>
      <c r="F1066" s="2" t="b">
        <v>0</v>
      </c>
      <c r="G1066" s="2" t="s">
        <v>9937</v>
      </c>
      <c r="H1066" s="3" t="str">
        <f>_xlfn.IFNA(INDEX(RulebookFields!C2:C999, MATCH(D1066,RulebookFields!A2:A999, 0)), "")</f>
        <v>OperationalBindings</v>
      </c>
      <c r="I1066" s="3" t="str">
        <f>_xlfn.IFNA(INDEX(RulebookFields!D2:D999, MATCH(D1066,RulebookFields!A2:A999, 0)), "")</f>
        <v>ResourceIsApproved</v>
      </c>
      <c r="J1066" s="3" t="b">
        <f>_xlfn.IFNA(INDEX(RulebookFields!I2:I999, MATCH(D1066,RulebookFields!A2:A999, 0)), "")</f>
        <v>1</v>
      </c>
      <c r="K1066" s="3" t="b">
        <f>AND(F1066, J1066)</f>
        <v>0</v>
      </c>
      <c r="L1066" s="3" t="b">
        <f>AND(G1066 &lt;&gt; "plain", G1066 &lt;&gt; "")</f>
        <v>0</v>
      </c>
      <c r="M1066" s="3" t="str">
        <f>IF(E1066, C1066 &amp; "|" &amp; H1066, "")</f>
        <v>principal-process-steward|OperationalBindings</v>
      </c>
      <c r="N1066" s="2" t="s">
        <v>9938</v>
      </c>
    </row>
    <row r="1067">
      <c r="A1067" s="2" t="s">
        <v>11003</v>
      </c>
      <c r="B1067" s="3" t="str">
        <f>C1067 &amp; " -&gt; " &amp; D1067</f>
        <v>principal-process-steward -&gt; OperationalBindings.IsUsableForDrafting</v>
      </c>
      <c r="C1067" s="2" t="s">
        <v>9706</v>
      </c>
      <c r="D1067" s="2" t="s">
        <v>3989</v>
      </c>
      <c r="E1067" s="2" t="b">
        <v>1</v>
      </c>
      <c r="F1067" s="2" t="b">
        <v>0</v>
      </c>
      <c r="G1067" s="2" t="s">
        <v>9937</v>
      </c>
      <c r="H1067" s="3" t="str">
        <f>_xlfn.IFNA(INDEX(RulebookFields!C2:C999, MATCH(D1067,RulebookFields!A2:A999, 0)), "")</f>
        <v>OperationalBindings</v>
      </c>
      <c r="I1067" s="3" t="str">
        <f>_xlfn.IFNA(INDEX(RulebookFields!D2:D999, MATCH(D1067,RulebookFields!A2:A999, 0)), "")</f>
        <v>IsUsableForDrafting</v>
      </c>
      <c r="J1067" s="3" t="b">
        <f>_xlfn.IFNA(INDEX(RulebookFields!I2:I999, MATCH(D1067,RulebookFields!A2:A999, 0)), "")</f>
        <v>1</v>
      </c>
      <c r="K1067" s="3" t="b">
        <f>AND(F1067, J1067)</f>
        <v>0</v>
      </c>
      <c r="L1067" s="3" t="b">
        <f>AND(G1067 &lt;&gt; "plain", G1067 &lt;&gt; "")</f>
        <v>0</v>
      </c>
      <c r="M1067" s="3" t="str">
        <f>IF(E1067, C1067 &amp; "|" &amp; H1067, "")</f>
        <v>principal-process-steward|OperationalBindings</v>
      </c>
      <c r="N1067" s="2" t="s">
        <v>9938</v>
      </c>
    </row>
    <row r="1068">
      <c r="A1068" s="2" t="s">
        <v>11004</v>
      </c>
      <c r="B1068" s="3" t="str">
        <f>C1068 &amp; " -&gt; " &amp; D1068</f>
        <v>principal-process-steward -&gt; OperationalBindings.StepWhenUnusable</v>
      </c>
      <c r="C1068" s="2" t="s">
        <v>9706</v>
      </c>
      <c r="D1068" s="2" t="s">
        <v>3991</v>
      </c>
      <c r="E1068" s="2" t="b">
        <v>1</v>
      </c>
      <c r="F1068" s="2" t="b">
        <v>0</v>
      </c>
      <c r="G1068" s="2" t="s">
        <v>9937</v>
      </c>
      <c r="H1068" s="3" t="str">
        <f>_xlfn.IFNA(INDEX(RulebookFields!C2:C999, MATCH(D1068,RulebookFields!A2:A999, 0)), "")</f>
      </c>
      <c r="I1068" s="3" t="str">
        <f>_xlfn.IFNA(INDEX(RulebookFields!D2:D999, MATCH(D1068,RulebookFields!A2:A999, 0)), "")</f>
      </c>
      <c r="J1068" s="3" t="str">
        <f>_xlfn.IFNA(INDEX(RulebookFields!I2:I999, MATCH(D1068,RulebookFields!A2:A999, 0)), "")</f>
      </c>
      <c r="K1068" s="3" t="b">
        <f>AND(F1068, J1068)</f>
        <v>0</v>
      </c>
      <c r="L1068" s="3" t="b">
        <f>AND(G1068 &lt;&gt; "plain", G1068 &lt;&gt; "")</f>
        <v>0</v>
      </c>
      <c r="M1068" s="3" t="str">
        <f>IF(E1068, C1068 &amp; "|" &amp; H1068, "")</f>
        <v>principal-process-steward|</v>
      </c>
      <c r="N1068" s="2" t="s">
        <v>9938</v>
      </c>
    </row>
    <row r="1069">
      <c r="A1069" s="2" t="s">
        <v>11005</v>
      </c>
      <c r="B1069" s="3" t="str">
        <f>C1069 &amp; " -&gt; " &amp; D1069</f>
        <v>principal-process-steward -&gt; OperationalBindings.SemanticTypeIri</v>
      </c>
      <c r="C1069" s="2" t="s">
        <v>9706</v>
      </c>
      <c r="D1069" s="2" t="s">
        <v>3993</v>
      </c>
      <c r="E1069" s="2" t="b">
        <v>1</v>
      </c>
      <c r="F1069" s="2" t="b">
        <v>0</v>
      </c>
      <c r="G1069" s="2" t="s">
        <v>9937</v>
      </c>
      <c r="H1069" s="3" t="str">
        <f>_xlfn.IFNA(INDEX(RulebookFields!C2:C999, MATCH(D1069,RulebookFields!A2:A999, 0)), "")</f>
      </c>
      <c r="I1069" s="3" t="str">
        <f>_xlfn.IFNA(INDEX(RulebookFields!D2:D999, MATCH(D1069,RulebookFields!A2:A999, 0)), "")</f>
      </c>
      <c r="J1069" s="3" t="str">
        <f>_xlfn.IFNA(INDEX(RulebookFields!I2:I999, MATCH(D1069,RulebookFields!A2:A999, 0)), "")</f>
      </c>
      <c r="K1069" s="3" t="b">
        <f>AND(F1069, J1069)</f>
        <v>0</v>
      </c>
      <c r="L1069" s="3" t="b">
        <f>AND(G1069 &lt;&gt; "plain", G1069 &lt;&gt; "")</f>
        <v>0</v>
      </c>
      <c r="M1069" s="3" t="str">
        <f>IF(E1069, C1069 &amp; "|" &amp; H1069, "")</f>
        <v>principal-process-steward|</v>
      </c>
      <c r="N1069" s="2" t="s">
        <v>9938</v>
      </c>
    </row>
    <row r="1070">
      <c r="A1070" s="2" t="s">
        <v>11006</v>
      </c>
      <c r="B1070" s="3" t="str">
        <f>C1070 &amp; " -&gt; " &amp; D1070</f>
        <v>principal-process-steward -&gt; Organizations.OrganizationId</v>
      </c>
      <c r="C1070" s="2" t="s">
        <v>9706</v>
      </c>
      <c r="D1070" s="2" t="s">
        <v>2421</v>
      </c>
      <c r="E1070" s="2" t="b">
        <v>1</v>
      </c>
      <c r="F1070" s="2" t="b">
        <v>0</v>
      </c>
      <c r="G1070" s="2" t="s">
        <v>9937</v>
      </c>
      <c r="H1070" s="3" t="str">
        <f>_xlfn.IFNA(INDEX(RulebookFields!C2:C999, MATCH(D1070,RulebookFields!A2:A999, 0)), "")</f>
        <v>Organizations</v>
      </c>
      <c r="I1070" s="3" t="str">
        <f>_xlfn.IFNA(INDEX(RulebookFields!D2:D999, MATCH(D1070,RulebookFields!A2:A999, 0)), "")</f>
        <v>OrganizationId</v>
      </c>
      <c r="J1070" s="3" t="b">
        <f>_xlfn.IFNA(INDEX(RulebookFields!I2:I999, MATCH(D1070,RulebookFields!A2:A999, 0)), "")</f>
        <v>0</v>
      </c>
      <c r="K1070" s="3" t="b">
        <f>AND(F1070, J1070)</f>
        <v>0</v>
      </c>
      <c r="L1070" s="3" t="b">
        <f>AND(G1070 &lt;&gt; "plain", G1070 &lt;&gt; "")</f>
        <v>0</v>
      </c>
      <c r="M1070" s="3" t="str">
        <f>IF(E1070, C1070 &amp; "|" &amp; H1070, "")</f>
        <v>principal-process-steward|Organizations</v>
      </c>
      <c r="N1070" s="2" t="s">
        <v>9938</v>
      </c>
    </row>
    <row r="1071">
      <c r="A1071" s="2" t="s">
        <v>11007</v>
      </c>
      <c r="B1071" s="3" t="str">
        <f>C1071 &amp; " -&gt; " &amp; D1071</f>
        <v>principal-process-steward -&gt; Organizations.Name</v>
      </c>
      <c r="C1071" s="2" t="s">
        <v>9706</v>
      </c>
      <c r="D1071" s="2" t="s">
        <v>2423</v>
      </c>
      <c r="E1071" s="2" t="b">
        <v>1</v>
      </c>
      <c r="F1071" s="2" t="b">
        <v>0</v>
      </c>
      <c r="G1071" s="2" t="s">
        <v>9937</v>
      </c>
      <c r="H1071" s="3" t="str">
        <f>_xlfn.IFNA(INDEX(RulebookFields!C2:C999, MATCH(D1071,RulebookFields!A2:A999, 0)), "")</f>
        <v>Organizations</v>
      </c>
      <c r="I1071" s="3" t="str">
        <f>_xlfn.IFNA(INDEX(RulebookFields!D2:D999, MATCH(D1071,RulebookFields!A2:A999, 0)), "")</f>
        <v>Name</v>
      </c>
      <c r="J1071" s="3" t="b">
        <f>_xlfn.IFNA(INDEX(RulebookFields!I2:I999, MATCH(D1071,RulebookFields!A2:A999, 0)), "")</f>
        <v>1</v>
      </c>
      <c r="K1071" s="3" t="b">
        <f>AND(F1071, J1071)</f>
        <v>0</v>
      </c>
      <c r="L1071" s="3" t="b">
        <f>AND(G1071 &lt;&gt; "plain", G1071 &lt;&gt; "")</f>
        <v>0</v>
      </c>
      <c r="M1071" s="3" t="str">
        <f>IF(E1071, C1071 &amp; "|" &amp; H1071, "")</f>
        <v>principal-process-steward|Organizations</v>
      </c>
      <c r="N1071" s="2" t="s">
        <v>9938</v>
      </c>
    </row>
    <row r="1072">
      <c r="A1072" s="2" t="s">
        <v>11008</v>
      </c>
      <c r="B1072" s="3" t="str">
        <f>C1072 &amp; " -&gt; " &amp; D1072</f>
        <v>principal-process-steward -&gt; Organizations.DisplayName</v>
      </c>
      <c r="C1072" s="2" t="s">
        <v>9706</v>
      </c>
      <c r="D1072" s="2" t="s">
        <v>2425</v>
      </c>
      <c r="E1072" s="2" t="b">
        <v>1</v>
      </c>
      <c r="F1072" s="2" t="b">
        <v>0</v>
      </c>
      <c r="G1072" s="2" t="s">
        <v>9937</v>
      </c>
      <c r="H1072" s="3" t="str">
        <f>_xlfn.IFNA(INDEX(RulebookFields!C2:C999, MATCH(D1072,RulebookFields!A2:A999, 0)), "")</f>
        <v>Organizations</v>
      </c>
      <c r="I1072" s="3" t="str">
        <f>_xlfn.IFNA(INDEX(RulebookFields!D2:D999, MATCH(D1072,RulebookFields!A2:A999, 0)), "")</f>
        <v>DisplayName</v>
      </c>
      <c r="J1072" s="3" t="b">
        <f>_xlfn.IFNA(INDEX(RulebookFields!I2:I999, MATCH(D1072,RulebookFields!A2:A999, 0)), "")</f>
        <v>0</v>
      </c>
      <c r="K1072" s="3" t="b">
        <f>AND(F1072, J1072)</f>
        <v>0</v>
      </c>
      <c r="L1072" s="3" t="b">
        <f>AND(G1072 &lt;&gt; "plain", G1072 &lt;&gt; "")</f>
        <v>0</v>
      </c>
      <c r="M1072" s="3" t="str">
        <f>IF(E1072, C1072 &amp; "|" &amp; H1072, "")</f>
        <v>principal-process-steward|Organizations</v>
      </c>
      <c r="N1072" s="2" t="s">
        <v>9938</v>
      </c>
    </row>
    <row r="1073">
      <c r="A1073" s="2" t="s">
        <v>11009</v>
      </c>
      <c r="B1073" s="3" t="str">
        <f>C1073 &amp; " -&gt; " &amp; D1073</f>
        <v>principal-process-steward -&gt; Organizations.OrganizationType</v>
      </c>
      <c r="C1073" s="2" t="s">
        <v>9706</v>
      </c>
      <c r="D1073" s="2" t="s">
        <v>2426</v>
      </c>
      <c r="E1073" s="2" t="b">
        <v>1</v>
      </c>
      <c r="F1073" s="2" t="b">
        <v>0</v>
      </c>
      <c r="G1073" s="2" t="s">
        <v>9937</v>
      </c>
      <c r="H1073" s="3" t="str">
        <f>_xlfn.IFNA(INDEX(RulebookFields!C2:C999, MATCH(D1073,RulebookFields!A2:A999, 0)), "")</f>
        <v>Organizations</v>
      </c>
      <c r="I1073" s="3" t="str">
        <f>_xlfn.IFNA(INDEX(RulebookFields!D2:D999, MATCH(D1073,RulebookFields!A2:A999, 0)), "")</f>
        <v>OrganizationType</v>
      </c>
      <c r="J1073" s="3" t="b">
        <f>_xlfn.IFNA(INDEX(RulebookFields!I2:I999, MATCH(D1073,RulebookFields!A2:A999, 0)), "")</f>
        <v>0</v>
      </c>
      <c r="K1073" s="3" t="b">
        <f>AND(F1073, J1073)</f>
        <v>0</v>
      </c>
      <c r="L1073" s="3" t="b">
        <f>AND(G1073 &lt;&gt; "plain", G1073 &lt;&gt; "")</f>
        <v>0</v>
      </c>
      <c r="M1073" s="3" t="str">
        <f>IF(E1073, C1073 &amp; "|" &amp; H1073, "")</f>
        <v>principal-process-steward|Organizations</v>
      </c>
      <c r="N1073" s="2" t="s">
        <v>9938</v>
      </c>
    </row>
    <row r="1074">
      <c r="A1074" s="2" t="s">
        <v>11010</v>
      </c>
      <c r="B1074" s="3" t="str">
        <f>C1074 &amp; " -&gt; " &amp; D1074</f>
        <v>principal-process-steward -&gt; Organizations.ExternalIdentifier</v>
      </c>
      <c r="C1074" s="2" t="s">
        <v>9706</v>
      </c>
      <c r="D1074" s="2" t="s">
        <v>2427</v>
      </c>
      <c r="E1074" s="2" t="b">
        <v>1</v>
      </c>
      <c r="F1074" s="2" t="b">
        <v>0</v>
      </c>
      <c r="G1074" s="2" t="s">
        <v>9937</v>
      </c>
      <c r="H1074" s="3" t="str">
        <f>_xlfn.IFNA(INDEX(RulebookFields!C2:C999, MATCH(D1074,RulebookFields!A2:A999, 0)), "")</f>
        <v>Organizations</v>
      </c>
      <c r="I1074" s="3" t="str">
        <f>_xlfn.IFNA(INDEX(RulebookFields!D2:D999, MATCH(D1074,RulebookFields!A2:A999, 0)), "")</f>
        <v>ExternalIdentifier</v>
      </c>
      <c r="J1074" s="3" t="b">
        <f>_xlfn.IFNA(INDEX(RulebookFields!I2:I999, MATCH(D1074,RulebookFields!A2:A999, 0)), "")</f>
        <v>0</v>
      </c>
      <c r="K1074" s="3" t="b">
        <f>AND(F1074, J1074)</f>
        <v>0</v>
      </c>
      <c r="L1074" s="3" t="b">
        <f>AND(G1074 &lt;&gt; "plain", G1074 &lt;&gt; "")</f>
        <v>0</v>
      </c>
      <c r="M1074" s="3" t="str">
        <f>IF(E1074, C1074 &amp; "|" &amp; H1074, "")</f>
        <v>principal-process-steward|Organizations</v>
      </c>
      <c r="N1074" s="2" t="s">
        <v>9938</v>
      </c>
    </row>
    <row r="1075">
      <c r="A1075" s="2" t="s">
        <v>11011</v>
      </c>
      <c r="B1075" s="3" t="str">
        <f>C1075 &amp; " -&gt; " &amp; D1075</f>
        <v>principal-process-steward -&gt; Organizations.SemanticTypeIri</v>
      </c>
      <c r="C1075" s="2" t="s">
        <v>9706</v>
      </c>
      <c r="D1075" s="2" t="s">
        <v>2428</v>
      </c>
      <c r="E1075" s="2" t="b">
        <v>1</v>
      </c>
      <c r="F1075" s="2" t="b">
        <v>0</v>
      </c>
      <c r="G1075" s="2" t="s">
        <v>9937</v>
      </c>
      <c r="H1075" s="3" t="str">
        <f>_xlfn.IFNA(INDEX(RulebookFields!C2:C999, MATCH(D1075,RulebookFields!A2:A999, 0)), "")</f>
        <v>Organizations</v>
      </c>
      <c r="I1075" s="3" t="str">
        <f>_xlfn.IFNA(INDEX(RulebookFields!D2:D999, MATCH(D1075,RulebookFields!A2:A999, 0)), "")</f>
        <v>SemanticTypeIri</v>
      </c>
      <c r="J1075" s="3" t="b">
        <f>_xlfn.IFNA(INDEX(RulebookFields!I2:I999, MATCH(D1075,RulebookFields!A2:A999, 0)), "")</f>
        <v>0</v>
      </c>
      <c r="K1075" s="3" t="b">
        <f>AND(F1075, J1075)</f>
        <v>0</v>
      </c>
      <c r="L1075" s="3" t="b">
        <f>AND(G1075 &lt;&gt; "plain", G1075 &lt;&gt; "")</f>
        <v>0</v>
      </c>
      <c r="M1075" s="3" t="str">
        <f>IF(E1075, C1075 &amp; "|" &amp; H1075, "")</f>
        <v>principal-process-steward|Organizations</v>
      </c>
      <c r="N1075" s="2" t="s">
        <v>9938</v>
      </c>
    </row>
    <row r="1076">
      <c r="A1076" s="2" t="s">
        <v>11012</v>
      </c>
      <c r="B1076" s="3" t="str">
        <f>C1076 &amp; " -&gt; " &amp; D1076</f>
        <v>principal-process-steward -&gt; ProcedureExecutions.ProcedureExecutionId</v>
      </c>
      <c r="C1076" s="2" t="s">
        <v>9706</v>
      </c>
      <c r="D1076" s="2" t="s">
        <v>3360</v>
      </c>
      <c r="E1076" s="2" t="b">
        <v>1</v>
      </c>
      <c r="F1076" s="2" t="b">
        <v>0</v>
      </c>
      <c r="G1076" s="2" t="s">
        <v>9937</v>
      </c>
      <c r="H1076" s="3" t="str">
        <f>_xlfn.IFNA(INDEX(RulebookFields!C2:C999, MATCH(D1076,RulebookFields!A2:A999, 0)), "")</f>
        <v>ProcedureExecutions</v>
      </c>
      <c r="I1076" s="3" t="str">
        <f>_xlfn.IFNA(INDEX(RulebookFields!D2:D999, MATCH(D1076,RulebookFields!A2:A999, 0)), "")</f>
        <v>ProcedureExecutionId</v>
      </c>
      <c r="J1076" s="3" t="b">
        <f>_xlfn.IFNA(INDEX(RulebookFields!I2:I999, MATCH(D1076,RulebookFields!A2:A999, 0)), "")</f>
        <v>0</v>
      </c>
      <c r="K1076" s="3" t="b">
        <f>AND(F1076, J1076)</f>
        <v>0</v>
      </c>
      <c r="L1076" s="3" t="b">
        <f>AND(G1076 &lt;&gt; "plain", G1076 &lt;&gt; "")</f>
        <v>0</v>
      </c>
      <c r="M1076" s="3" t="str">
        <f>IF(E1076, C1076 &amp; "|" &amp; H1076, "")</f>
        <v>principal-process-steward|ProcedureExecutions</v>
      </c>
      <c r="N1076" s="2" t="s">
        <v>9938</v>
      </c>
    </row>
    <row r="1077">
      <c r="A1077" s="2" t="s">
        <v>11013</v>
      </c>
      <c r="B1077" s="3" t="str">
        <f>C1077 &amp; " -&gt; " &amp; D1077</f>
        <v>principal-process-steward -&gt; ProcedureExecutions.Name</v>
      </c>
      <c r="C1077" s="2" t="s">
        <v>9706</v>
      </c>
      <c r="D1077" s="2" t="s">
        <v>3361</v>
      </c>
      <c r="E1077" s="2" t="b">
        <v>1</v>
      </c>
      <c r="F1077" s="2" t="b">
        <v>0</v>
      </c>
      <c r="G1077" s="2" t="s">
        <v>9937</v>
      </c>
      <c r="H1077" s="3" t="str">
        <f>_xlfn.IFNA(INDEX(RulebookFields!C2:C999, MATCH(D1077,RulebookFields!A2:A999, 0)), "")</f>
        <v>ProcedureExecutions</v>
      </c>
      <c r="I1077" s="3" t="str">
        <f>_xlfn.IFNA(INDEX(RulebookFields!D2:D999, MATCH(D1077,RulebookFields!A2:A999, 0)), "")</f>
        <v>Name</v>
      </c>
      <c r="J1077" s="3" t="b">
        <f>_xlfn.IFNA(INDEX(RulebookFields!I2:I999, MATCH(D1077,RulebookFields!A2:A999, 0)), "")</f>
        <v>1</v>
      </c>
      <c r="K1077" s="3" t="b">
        <f>AND(F1077, J1077)</f>
        <v>0</v>
      </c>
      <c r="L1077" s="3" t="b">
        <f>AND(G1077 &lt;&gt; "plain", G1077 &lt;&gt; "")</f>
        <v>0</v>
      </c>
      <c r="M1077" s="3" t="str">
        <f>IF(E1077, C1077 &amp; "|" &amp; H1077, "")</f>
        <v>principal-process-steward|ProcedureExecutions</v>
      </c>
      <c r="N1077" s="2" t="s">
        <v>9938</v>
      </c>
    </row>
    <row r="1078">
      <c r="A1078" s="2" t="s">
        <v>11014</v>
      </c>
      <c r="B1078" s="3" t="str">
        <f>C1078 &amp; " -&gt; " &amp; D1078</f>
        <v>principal-process-steward -&gt; ProcedureExecutions.ProcedureVersion</v>
      </c>
      <c r="C1078" s="2" t="s">
        <v>9706</v>
      </c>
      <c r="D1078" s="2" t="s">
        <v>3363</v>
      </c>
      <c r="E1078" s="2" t="b">
        <v>1</v>
      </c>
      <c r="F1078" s="2" t="b">
        <v>0</v>
      </c>
      <c r="G1078" s="2" t="s">
        <v>9937</v>
      </c>
      <c r="H1078" s="3" t="str">
        <f>_xlfn.IFNA(INDEX(RulebookFields!C2:C999, MATCH(D1078,RulebookFields!A2:A999, 0)), "")</f>
        <v>ProcedureExecutions</v>
      </c>
      <c r="I1078" s="3" t="str">
        <f>_xlfn.IFNA(INDEX(RulebookFields!D2:D999, MATCH(D1078,RulebookFields!A2:A999, 0)), "")</f>
        <v>ProcedureVersion</v>
      </c>
      <c r="J1078" s="3" t="b">
        <f>_xlfn.IFNA(INDEX(RulebookFields!I2:I999, MATCH(D1078,RulebookFields!A2:A999, 0)), "")</f>
        <v>0</v>
      </c>
      <c r="K1078" s="3" t="b">
        <f>AND(F1078, J1078)</f>
        <v>0</v>
      </c>
      <c r="L1078" s="3" t="b">
        <f>AND(G1078 &lt;&gt; "plain", G1078 &lt;&gt; "")</f>
        <v>0</v>
      </c>
      <c r="M1078" s="3" t="str">
        <f>IF(E1078, C1078 &amp; "|" &amp; H1078, "")</f>
        <v>principal-process-steward|ProcedureExecutions</v>
      </c>
      <c r="N1078" s="2" t="s">
        <v>9938</v>
      </c>
    </row>
    <row r="1079">
      <c r="A1079" s="2" t="s">
        <v>11015</v>
      </c>
      <c r="B1079" s="3" t="str">
        <f>C1079 &amp; " -&gt; " &amp; D1079</f>
        <v>principal-process-steward -&gt; ProcedureExecutions.ExecutionStatus</v>
      </c>
      <c r="C1079" s="2" t="s">
        <v>9706</v>
      </c>
      <c r="D1079" s="2" t="s">
        <v>3364</v>
      </c>
      <c r="E1079" s="2" t="b">
        <v>1</v>
      </c>
      <c r="F1079" s="2" t="b">
        <v>0</v>
      </c>
      <c r="G1079" s="2" t="s">
        <v>9937</v>
      </c>
      <c r="H1079" s="3" t="str">
        <f>_xlfn.IFNA(INDEX(RulebookFields!C2:C999, MATCH(D1079,RulebookFields!A2:A999, 0)), "")</f>
        <v>ProcedureExecutions</v>
      </c>
      <c r="I1079" s="3" t="str">
        <f>_xlfn.IFNA(INDEX(RulebookFields!D2:D999, MATCH(D1079,RulebookFields!A2:A999, 0)), "")</f>
        <v>ExecutionStatus</v>
      </c>
      <c r="J1079" s="3" t="b">
        <f>_xlfn.IFNA(INDEX(RulebookFields!I2:I999, MATCH(D1079,RulebookFields!A2:A999, 0)), "")</f>
        <v>0</v>
      </c>
      <c r="K1079" s="3" t="b">
        <f>AND(F1079, J1079)</f>
        <v>0</v>
      </c>
      <c r="L1079" s="3" t="b">
        <f>AND(G1079 &lt;&gt; "plain", G1079 &lt;&gt; "")</f>
        <v>0</v>
      </c>
      <c r="M1079" s="3" t="str">
        <f>IF(E1079, C1079 &amp; "|" &amp; H1079, "")</f>
        <v>principal-process-steward|ProcedureExecutions</v>
      </c>
      <c r="N1079" s="2" t="s">
        <v>9938</v>
      </c>
    </row>
    <row r="1080">
      <c r="A1080" s="2" t="s">
        <v>11016</v>
      </c>
      <c r="B1080" s="3" t="str">
        <f>C1080 &amp; " -&gt; " &amp; D1080</f>
        <v>principal-process-steward -&gt; ProcedureExecutions.StartedAt</v>
      </c>
      <c r="C1080" s="2" t="s">
        <v>9706</v>
      </c>
      <c r="D1080" s="2" t="s">
        <v>3365</v>
      </c>
      <c r="E1080" s="2" t="b">
        <v>1</v>
      </c>
      <c r="F1080" s="2" t="b">
        <v>0</v>
      </c>
      <c r="G1080" s="2" t="s">
        <v>9937</v>
      </c>
      <c r="H1080" s="3" t="str">
        <f>_xlfn.IFNA(INDEX(RulebookFields!C2:C999, MATCH(D1080,RulebookFields!A2:A999, 0)), "")</f>
        <v>ProcedureExecutions</v>
      </c>
      <c r="I1080" s="3" t="str">
        <f>_xlfn.IFNA(INDEX(RulebookFields!D2:D999, MATCH(D1080,RulebookFields!A2:A999, 0)), "")</f>
        <v>StartedAt</v>
      </c>
      <c r="J1080" s="3" t="b">
        <f>_xlfn.IFNA(INDEX(RulebookFields!I2:I999, MATCH(D1080,RulebookFields!A2:A999, 0)), "")</f>
        <v>0</v>
      </c>
      <c r="K1080" s="3" t="b">
        <f>AND(F1080, J1080)</f>
        <v>0</v>
      </c>
      <c r="L1080" s="3" t="b">
        <f>AND(G1080 &lt;&gt; "plain", G1080 &lt;&gt; "")</f>
        <v>0</v>
      </c>
      <c r="M1080" s="3" t="str">
        <f>IF(E1080, C1080 &amp; "|" &amp; H1080, "")</f>
        <v>principal-process-steward|ProcedureExecutions</v>
      </c>
      <c r="N1080" s="2" t="s">
        <v>9938</v>
      </c>
    </row>
    <row r="1081">
      <c r="A1081" s="2" t="s">
        <v>11017</v>
      </c>
      <c r="B1081" s="3" t="str">
        <f>C1081 &amp; " -&gt; " &amp; D1081</f>
        <v>principal-process-steward -&gt; ProcedureExecutions.EndedAt</v>
      </c>
      <c r="C1081" s="2" t="s">
        <v>9706</v>
      </c>
      <c r="D1081" s="2" t="s">
        <v>3366</v>
      </c>
      <c r="E1081" s="2" t="b">
        <v>1</v>
      </c>
      <c r="F1081" s="2" t="b">
        <v>0</v>
      </c>
      <c r="G1081" s="2" t="s">
        <v>9937</v>
      </c>
      <c r="H1081" s="3" t="str">
        <f>_xlfn.IFNA(INDEX(RulebookFields!C2:C999, MATCH(D1081,RulebookFields!A2:A999, 0)), "")</f>
        <v>ProcedureExecutions</v>
      </c>
      <c r="I1081" s="3" t="str">
        <f>_xlfn.IFNA(INDEX(RulebookFields!D2:D999, MATCH(D1081,RulebookFields!A2:A999, 0)), "")</f>
        <v>EndedAt</v>
      </c>
      <c r="J1081" s="3" t="b">
        <f>_xlfn.IFNA(INDEX(RulebookFields!I2:I999, MATCH(D1081,RulebookFields!A2:A999, 0)), "")</f>
        <v>0</v>
      </c>
      <c r="K1081" s="3" t="b">
        <f>AND(F1081, J1081)</f>
        <v>0</v>
      </c>
      <c r="L1081" s="3" t="b">
        <f>AND(G1081 &lt;&gt; "plain", G1081 &lt;&gt; "")</f>
        <v>0</v>
      </c>
      <c r="M1081" s="3" t="str">
        <f>IF(E1081, C1081 &amp; "|" &amp; H1081, "")</f>
        <v>principal-process-steward|ProcedureExecutions</v>
      </c>
      <c r="N1081" s="2" t="s">
        <v>9938</v>
      </c>
    </row>
    <row r="1082">
      <c r="A1082" s="2" t="s">
        <v>11018</v>
      </c>
      <c r="B1082" s="3" t="str">
        <f>C1082 &amp; " -&gt; " &amp; D1082</f>
        <v>principal-process-steward -&gt; ProcedureExecutions.ExecutedByAgent</v>
      </c>
      <c r="C1082" s="2" t="s">
        <v>9706</v>
      </c>
      <c r="D1082" s="2" t="s">
        <v>3367</v>
      </c>
      <c r="E1082" s="2" t="b">
        <v>1</v>
      </c>
      <c r="F1082" s="2" t="b">
        <v>0</v>
      </c>
      <c r="G1082" s="2" t="s">
        <v>9937</v>
      </c>
      <c r="H1082" s="3" t="str">
        <f>_xlfn.IFNA(INDEX(RulebookFields!C2:C999, MATCH(D1082,RulebookFields!A2:A999, 0)), "")</f>
        <v>ProcedureExecutions</v>
      </c>
      <c r="I1082" s="3" t="str">
        <f>_xlfn.IFNA(INDEX(RulebookFields!D2:D999, MATCH(D1082,RulebookFields!A2:A999, 0)), "")</f>
        <v>ExecutedByAgent</v>
      </c>
      <c r="J1082" s="3" t="b">
        <f>_xlfn.IFNA(INDEX(RulebookFields!I2:I999, MATCH(D1082,RulebookFields!A2:A999, 0)), "")</f>
        <v>0</v>
      </c>
      <c r="K1082" s="3" t="b">
        <f>AND(F1082, J1082)</f>
        <v>0</v>
      </c>
      <c r="L1082" s="3" t="b">
        <f>AND(G1082 &lt;&gt; "plain", G1082 &lt;&gt; "")</f>
        <v>0</v>
      </c>
      <c r="M1082" s="3" t="str">
        <f>IF(E1082, C1082 &amp; "|" &amp; H1082, "")</f>
        <v>principal-process-steward|ProcedureExecutions</v>
      </c>
      <c r="N1082" s="2" t="s">
        <v>9938</v>
      </c>
    </row>
    <row r="1083">
      <c r="A1083" s="2" t="s">
        <v>11019</v>
      </c>
      <c r="B1083" s="3" t="str">
        <f>C1083 &amp; " -&gt; " &amp; D1083</f>
        <v>principal-process-steward -&gt; ProcedureExecutions.Context</v>
      </c>
      <c r="C1083" s="2" t="s">
        <v>9706</v>
      </c>
      <c r="D1083" s="2" t="s">
        <v>3368</v>
      </c>
      <c r="E1083" s="2" t="b">
        <v>1</v>
      </c>
      <c r="F1083" s="2" t="b">
        <v>0</v>
      </c>
      <c r="G1083" s="2" t="s">
        <v>9937</v>
      </c>
      <c r="H1083" s="3" t="str">
        <f>_xlfn.IFNA(INDEX(RulebookFields!C2:C999, MATCH(D1083,RulebookFields!A2:A999, 0)), "")</f>
        <v>ProcedureExecutions</v>
      </c>
      <c r="I1083" s="3" t="str">
        <f>_xlfn.IFNA(INDEX(RulebookFields!D2:D999, MATCH(D1083,RulebookFields!A2:A999, 0)), "")</f>
        <v>Context</v>
      </c>
      <c r="J1083" s="3" t="b">
        <f>_xlfn.IFNA(INDEX(RulebookFields!I2:I999, MATCH(D1083,RulebookFields!A2:A999, 0)), "")</f>
        <v>0</v>
      </c>
      <c r="K1083" s="3" t="b">
        <f>AND(F1083, J1083)</f>
        <v>0</v>
      </c>
      <c r="L1083" s="3" t="b">
        <f>AND(G1083 &lt;&gt; "plain", G1083 &lt;&gt; "")</f>
        <v>0</v>
      </c>
      <c r="M1083" s="3" t="str">
        <f>IF(E1083, C1083 &amp; "|" &amp; H1083, "")</f>
        <v>principal-process-steward|ProcedureExecutions</v>
      </c>
      <c r="N1083" s="2" t="s">
        <v>9938</v>
      </c>
    </row>
    <row r="1084">
      <c r="A1084" s="2" t="s">
        <v>11020</v>
      </c>
      <c r="B1084" s="3" t="str">
        <f>C1084 &amp; " -&gt; " &amp; D1084</f>
        <v>principal-process-steward -&gt; ProcedureExecutions.OperationalRecordUri</v>
      </c>
      <c r="C1084" s="2" t="s">
        <v>9706</v>
      </c>
      <c r="D1084" s="2" t="s">
        <v>3369</v>
      </c>
      <c r="E1084" s="2" t="b">
        <v>1</v>
      </c>
      <c r="F1084" s="2" t="b">
        <v>0</v>
      </c>
      <c r="G1084" s="2" t="s">
        <v>9937</v>
      </c>
      <c r="H1084" s="3" t="str">
        <f>_xlfn.IFNA(INDEX(RulebookFields!C2:C999, MATCH(D1084,RulebookFields!A2:A999, 0)), "")</f>
        <v>ProcedureExecutions</v>
      </c>
      <c r="I1084" s="3" t="str">
        <f>_xlfn.IFNA(INDEX(RulebookFields!D2:D999, MATCH(D1084,RulebookFields!A2:A999, 0)), "")</f>
        <v>OperationalRecordUri</v>
      </c>
      <c r="J1084" s="3" t="b">
        <f>_xlfn.IFNA(INDEX(RulebookFields!I2:I999, MATCH(D1084,RulebookFields!A2:A999, 0)), "")</f>
        <v>0</v>
      </c>
      <c r="K1084" s="3" t="b">
        <f>AND(F1084, J1084)</f>
        <v>0</v>
      </c>
      <c r="L1084" s="3" t="b">
        <f>AND(G1084 &lt;&gt; "plain", G1084 &lt;&gt; "")</f>
        <v>0</v>
      </c>
      <c r="M1084" s="3" t="str">
        <f>IF(E1084, C1084 &amp; "|" &amp; H1084, "")</f>
        <v>principal-process-steward|ProcedureExecutions</v>
      </c>
      <c r="N1084" s="2" t="s">
        <v>9938</v>
      </c>
    </row>
    <row r="1085">
      <c r="A1085" s="2" t="s">
        <v>11021</v>
      </c>
      <c r="B1085" s="3" t="str">
        <f>C1085 &amp; " -&gt; " &amp; D1085</f>
        <v>principal-process-steward -&gt; ProcedureExecutions.ExpectedStepCount</v>
      </c>
      <c r="C1085" s="2" t="s">
        <v>9706</v>
      </c>
      <c r="D1085" s="2" t="s">
        <v>3370</v>
      </c>
      <c r="E1085" s="2" t="b">
        <v>1</v>
      </c>
      <c r="F1085" s="2" t="b">
        <v>0</v>
      </c>
      <c r="G1085" s="2" t="s">
        <v>9937</v>
      </c>
      <c r="H1085" s="3" t="str">
        <f>_xlfn.IFNA(INDEX(RulebookFields!C2:C999, MATCH(D1085,RulebookFields!A2:A999, 0)), "")</f>
        <v>ProcedureExecutions</v>
      </c>
      <c r="I1085" s="3" t="str">
        <f>_xlfn.IFNA(INDEX(RulebookFields!D2:D999, MATCH(D1085,RulebookFields!A2:A999, 0)), "")</f>
        <v>ExpectedStepCount</v>
      </c>
      <c r="J1085" s="3" t="b">
        <f>_xlfn.IFNA(INDEX(RulebookFields!I2:I999, MATCH(D1085,RulebookFields!A2:A999, 0)), "")</f>
        <v>1</v>
      </c>
      <c r="K1085" s="3" t="b">
        <f>AND(F1085, J1085)</f>
        <v>0</v>
      </c>
      <c r="L1085" s="3" t="b">
        <f>AND(G1085 &lt;&gt; "plain", G1085 &lt;&gt; "")</f>
        <v>0</v>
      </c>
      <c r="M1085" s="3" t="str">
        <f>IF(E1085, C1085 &amp; "|" &amp; H1085, "")</f>
        <v>principal-process-steward|ProcedureExecutions</v>
      </c>
      <c r="N1085" s="2" t="s">
        <v>9938</v>
      </c>
    </row>
    <row r="1086">
      <c r="A1086" s="2" t="s">
        <v>11022</v>
      </c>
      <c r="B1086" s="3" t="str">
        <f>C1086 &amp; " -&gt; " &amp; D1086</f>
        <v>principal-process-steward -&gt; ProcedureExecutions.CompletedStepCount</v>
      </c>
      <c r="C1086" s="2" t="s">
        <v>9706</v>
      </c>
      <c r="D1086" s="2" t="s">
        <v>3372</v>
      </c>
      <c r="E1086" s="2" t="b">
        <v>1</v>
      </c>
      <c r="F1086" s="2" t="b">
        <v>0</v>
      </c>
      <c r="G1086" s="2" t="s">
        <v>9937</v>
      </c>
      <c r="H1086" s="3" t="str">
        <f>_xlfn.IFNA(INDEX(RulebookFields!C2:C999, MATCH(D1086,RulebookFields!A2:A999, 0)), "")</f>
        <v>ProcedureExecutions</v>
      </c>
      <c r="I1086" s="3" t="str">
        <f>_xlfn.IFNA(INDEX(RulebookFields!D2:D999, MATCH(D1086,RulebookFields!A2:A999, 0)), "")</f>
        <v>CompletedStepCount</v>
      </c>
      <c r="J1086" s="3" t="b">
        <f>_xlfn.IFNA(INDEX(RulebookFields!I2:I999, MATCH(D1086,RulebookFields!A2:A999, 0)), "")</f>
        <v>1</v>
      </c>
      <c r="K1086" s="3" t="b">
        <f>AND(F1086, J1086)</f>
        <v>0</v>
      </c>
      <c r="L1086" s="3" t="b">
        <f>AND(G1086 &lt;&gt; "plain", G1086 &lt;&gt; "")</f>
        <v>0</v>
      </c>
      <c r="M1086" s="3" t="str">
        <f>IF(E1086, C1086 &amp; "|" &amp; H1086, "")</f>
        <v>principal-process-steward|ProcedureExecutions</v>
      </c>
      <c r="N1086" s="2" t="s">
        <v>9938</v>
      </c>
    </row>
    <row r="1087">
      <c r="A1087" s="2" t="s">
        <v>11023</v>
      </c>
      <c r="B1087" s="3" t="str">
        <f>C1087 &amp; " -&gt; " &amp; D1087</f>
        <v>principal-process-steward -&gt; ProcedureExecutions.ControlBreachCount</v>
      </c>
      <c r="C1087" s="2" t="s">
        <v>9706</v>
      </c>
      <c r="D1087" s="2" t="s">
        <v>3374</v>
      </c>
      <c r="E1087" s="2" t="b">
        <v>1</v>
      </c>
      <c r="F1087" s="2" t="b">
        <v>0</v>
      </c>
      <c r="G1087" s="2" t="s">
        <v>9937</v>
      </c>
      <c r="H1087" s="3" t="str">
        <f>_xlfn.IFNA(INDEX(RulebookFields!C2:C999, MATCH(D1087,RulebookFields!A2:A999, 0)), "")</f>
        <v>ProcedureExecutions</v>
      </c>
      <c r="I1087" s="3" t="str">
        <f>_xlfn.IFNA(INDEX(RulebookFields!D2:D999, MATCH(D1087,RulebookFields!A2:A999, 0)), "")</f>
        <v>ControlBreachCount</v>
      </c>
      <c r="J1087" s="3" t="b">
        <f>_xlfn.IFNA(INDEX(RulebookFields!I2:I999, MATCH(D1087,RulebookFields!A2:A999, 0)), "")</f>
        <v>1</v>
      </c>
      <c r="K1087" s="3" t="b">
        <f>AND(F1087, J1087)</f>
        <v>0</v>
      </c>
      <c r="L1087" s="3" t="b">
        <f>AND(G1087 &lt;&gt; "plain", G1087 &lt;&gt; "")</f>
        <v>0</v>
      </c>
      <c r="M1087" s="3" t="str">
        <f>IF(E1087, C1087 &amp; "|" &amp; H1087, "")</f>
        <v>principal-process-steward|ProcedureExecutions</v>
      </c>
      <c r="N1087" s="2" t="s">
        <v>9938</v>
      </c>
    </row>
    <row r="1088">
      <c r="A1088" s="2" t="s">
        <v>11024</v>
      </c>
      <c r="B1088" s="3" t="str">
        <f>C1088 &amp; " -&gt; " &amp; D1088</f>
        <v>principal-process-steward -&gt; ProcedureExecutions.LateStepCount</v>
      </c>
      <c r="C1088" s="2" t="s">
        <v>9706</v>
      </c>
      <c r="D1088" s="2" t="s">
        <v>3376</v>
      </c>
      <c r="E1088" s="2" t="b">
        <v>1</v>
      </c>
      <c r="F1088" s="2" t="b">
        <v>0</v>
      </c>
      <c r="G1088" s="2" t="s">
        <v>9937</v>
      </c>
      <c r="H1088" s="3" t="str">
        <f>_xlfn.IFNA(INDEX(RulebookFields!C2:C999, MATCH(D1088,RulebookFields!A2:A999, 0)), "")</f>
        <v>ProcedureExecutions</v>
      </c>
      <c r="I1088" s="3" t="str">
        <f>_xlfn.IFNA(INDEX(RulebookFields!D2:D999, MATCH(D1088,RulebookFields!A2:A999, 0)), "")</f>
        <v>LateStepCount</v>
      </c>
      <c r="J1088" s="3" t="b">
        <f>_xlfn.IFNA(INDEX(RulebookFields!I2:I999, MATCH(D1088,RulebookFields!A2:A999, 0)), "")</f>
        <v>1</v>
      </c>
      <c r="K1088" s="3" t="b">
        <f>AND(F1088, J1088)</f>
        <v>0</v>
      </c>
      <c r="L1088" s="3" t="b">
        <f>AND(G1088 &lt;&gt; "plain", G1088 &lt;&gt; "")</f>
        <v>0</v>
      </c>
      <c r="M1088" s="3" t="str">
        <f>IF(E1088, C1088 &amp; "|" &amp; H1088, "")</f>
        <v>principal-process-steward|ProcedureExecutions</v>
      </c>
      <c r="N1088" s="2" t="s">
        <v>9938</v>
      </c>
    </row>
    <row r="1089">
      <c r="A1089" s="2" t="s">
        <v>11025</v>
      </c>
      <c r="B1089" s="3" t="str">
        <f>C1089 &amp; " -&gt; " &amp; D1089</f>
        <v>principal-process-steward -&gt; ProcedureExecutions.IsStructurallyComplete</v>
      </c>
      <c r="C1089" s="2" t="s">
        <v>9706</v>
      </c>
      <c r="D1089" s="2" t="s">
        <v>3378</v>
      </c>
      <c r="E1089" s="2" t="b">
        <v>1</v>
      </c>
      <c r="F1089" s="2" t="b">
        <v>0</v>
      </c>
      <c r="G1089" s="2" t="s">
        <v>9937</v>
      </c>
      <c r="H1089" s="3" t="str">
        <f>_xlfn.IFNA(INDEX(RulebookFields!C2:C999, MATCH(D1089,RulebookFields!A2:A999, 0)), "")</f>
        <v>ProcedureExecutions</v>
      </c>
      <c r="I1089" s="3" t="str">
        <f>_xlfn.IFNA(INDEX(RulebookFields!D2:D999, MATCH(D1089,RulebookFields!A2:A999, 0)), "")</f>
        <v>IsStructurallyComplete</v>
      </c>
      <c r="J1089" s="3" t="b">
        <f>_xlfn.IFNA(INDEX(RulebookFields!I2:I999, MATCH(D1089,RulebookFields!A2:A999, 0)), "")</f>
        <v>1</v>
      </c>
      <c r="K1089" s="3" t="b">
        <f>AND(F1089, J1089)</f>
        <v>0</v>
      </c>
      <c r="L1089" s="3" t="b">
        <f>AND(G1089 &lt;&gt; "plain", G1089 &lt;&gt; "")</f>
        <v>0</v>
      </c>
      <c r="M1089" s="3" t="str">
        <f>IF(E1089, C1089 &amp; "|" &amp; H1089, "")</f>
        <v>principal-process-steward|ProcedureExecutions</v>
      </c>
      <c r="N1089" s="2" t="s">
        <v>9938</v>
      </c>
    </row>
    <row r="1090">
      <c r="A1090" s="2" t="s">
        <v>11026</v>
      </c>
      <c r="B1090" s="3" t="str">
        <f>C1090 &amp; " -&gt; " &amp; D1090</f>
        <v>principal-process-steward -&gt; ProcedureExecutions.DivergedFromSpecification</v>
      </c>
      <c r="C1090" s="2" t="s">
        <v>9706</v>
      </c>
      <c r="D1090" s="2" t="s">
        <v>3380</v>
      </c>
      <c r="E1090" s="2" t="b">
        <v>1</v>
      </c>
      <c r="F1090" s="2" t="b">
        <v>0</v>
      </c>
      <c r="G1090" s="2" t="s">
        <v>9937</v>
      </c>
      <c r="H1090" s="3" t="str">
        <f>_xlfn.IFNA(INDEX(RulebookFields!C2:C999, MATCH(D1090,RulebookFields!A2:A999, 0)), "")</f>
        <v>ProcedureExecutions</v>
      </c>
      <c r="I1090" s="3" t="str">
        <f>_xlfn.IFNA(INDEX(RulebookFields!D2:D999, MATCH(D1090,RulebookFields!A2:A999, 0)), "")</f>
        <v>DivergedFromSpecification</v>
      </c>
      <c r="J1090" s="3" t="b">
        <f>_xlfn.IFNA(INDEX(RulebookFields!I2:I999, MATCH(D1090,RulebookFields!A2:A999, 0)), "")</f>
        <v>1</v>
      </c>
      <c r="K1090" s="3" t="b">
        <f>AND(F1090, J1090)</f>
        <v>0</v>
      </c>
      <c r="L1090" s="3" t="b">
        <f>AND(G1090 &lt;&gt; "plain", G1090 &lt;&gt; "")</f>
        <v>0</v>
      </c>
      <c r="M1090" s="3" t="str">
        <f>IF(E1090, C1090 &amp; "|" &amp; H1090, "")</f>
        <v>principal-process-steward|ProcedureExecutions</v>
      </c>
      <c r="N1090" s="2" t="s">
        <v>9938</v>
      </c>
    </row>
    <row r="1091">
      <c r="A1091" s="2" t="s">
        <v>11027</v>
      </c>
      <c r="B1091" s="3" t="str">
        <f>C1091 &amp; " -&gt; " &amp; D1091</f>
        <v>principal-process-steward -&gt; ProcedureExecutions.AllBlockingControlsEvaluated</v>
      </c>
      <c r="C1091" s="2" t="s">
        <v>9706</v>
      </c>
      <c r="D1091" s="2" t="s">
        <v>3382</v>
      </c>
      <c r="E1091" s="2" t="b">
        <v>1</v>
      </c>
      <c r="F1091" s="2" t="b">
        <v>0</v>
      </c>
      <c r="G1091" s="2" t="s">
        <v>9937</v>
      </c>
      <c r="H1091" s="3" t="str">
        <f>_xlfn.IFNA(INDEX(RulebookFields!C2:C999, MATCH(D1091,RulebookFields!A2:A999, 0)), "")</f>
        <v>ProcedureExecutions</v>
      </c>
      <c r="I1091" s="3" t="str">
        <f>_xlfn.IFNA(INDEX(RulebookFields!D2:D999, MATCH(D1091,RulebookFields!A2:A999, 0)), "")</f>
        <v>AllBlockingControlsEvaluated</v>
      </c>
      <c r="J1091" s="3" t="b">
        <f>_xlfn.IFNA(INDEX(RulebookFields!I2:I999, MATCH(D1091,RulebookFields!A2:A999, 0)), "")</f>
        <v>1</v>
      </c>
      <c r="K1091" s="3" t="b">
        <f>AND(F1091, J1091)</f>
        <v>0</v>
      </c>
      <c r="L1091" s="3" t="b">
        <f>AND(G1091 &lt;&gt; "plain", G1091 &lt;&gt; "")</f>
        <v>0</v>
      </c>
      <c r="M1091" s="3" t="str">
        <f>IF(E1091, C1091 &amp; "|" &amp; H1091, "")</f>
        <v>principal-process-steward|ProcedureExecutions</v>
      </c>
      <c r="N1091" s="2" t="s">
        <v>9938</v>
      </c>
    </row>
    <row r="1092">
      <c r="A1092" s="2" t="s">
        <v>11028</v>
      </c>
      <c r="B1092" s="3" t="str">
        <f>C1092 &amp; " -&gt; " &amp; D1092</f>
        <v>principal-process-steward -&gt; ProcedureExecutions.UnevaluatedBlockingTotal</v>
      </c>
      <c r="C1092" s="2" t="s">
        <v>9706</v>
      </c>
      <c r="D1092" s="2" t="s">
        <v>3384</v>
      </c>
      <c r="E1092" s="2" t="b">
        <v>1</v>
      </c>
      <c r="F1092" s="2" t="b">
        <v>0</v>
      </c>
      <c r="G1092" s="2" t="s">
        <v>9937</v>
      </c>
      <c r="H1092" s="3" t="str">
        <f>_xlfn.IFNA(INDEX(RulebookFields!C2:C999, MATCH(D1092,RulebookFields!A2:A999, 0)), "")</f>
        <v>ProcedureExecutions</v>
      </c>
      <c r="I1092" s="3" t="str">
        <f>_xlfn.IFNA(INDEX(RulebookFields!D2:D999, MATCH(D1092,RulebookFields!A2:A999, 0)), "")</f>
        <v>UnevaluatedBlockingTotal</v>
      </c>
      <c r="J1092" s="3" t="b">
        <f>_xlfn.IFNA(INDEX(RulebookFields!I2:I999, MATCH(D1092,RulebookFields!A2:A999, 0)), "")</f>
        <v>1</v>
      </c>
      <c r="K1092" s="3" t="b">
        <f>AND(F1092, J1092)</f>
        <v>0</v>
      </c>
      <c r="L1092" s="3" t="b">
        <f>AND(G1092 &lt;&gt; "plain", G1092 &lt;&gt; "")</f>
        <v>0</v>
      </c>
      <c r="M1092" s="3" t="str">
        <f>IF(E1092, C1092 &amp; "|" &amp; H1092, "")</f>
        <v>principal-process-steward|ProcedureExecutions</v>
      </c>
      <c r="N1092" s="2" t="s">
        <v>9938</v>
      </c>
    </row>
    <row r="1093">
      <c r="A1093" s="2" t="s">
        <v>11029</v>
      </c>
      <c r="B1093" s="3" t="str">
        <f>C1093 &amp; " -&gt; " &amp; D1093</f>
        <v>principal-process-steward -&gt; ProcedureExecutions.SeparationOfDutiesHeld</v>
      </c>
      <c r="C1093" s="2" t="s">
        <v>9706</v>
      </c>
      <c r="D1093" s="2" t="s">
        <v>3386</v>
      </c>
      <c r="E1093" s="2" t="b">
        <v>1</v>
      </c>
      <c r="F1093" s="2" t="b">
        <v>0</v>
      </c>
      <c r="G1093" s="2" t="s">
        <v>9937</v>
      </c>
      <c r="H1093" s="3" t="str">
        <f>_xlfn.IFNA(INDEX(RulebookFields!C2:C999, MATCH(D1093,RulebookFields!A2:A999, 0)), "")</f>
        <v>ProcedureExecutions</v>
      </c>
      <c r="I1093" s="3" t="str">
        <f>_xlfn.IFNA(INDEX(RulebookFields!D2:D999, MATCH(D1093,RulebookFields!A2:A999, 0)), "")</f>
        <v>SeparationOfDutiesHeld</v>
      </c>
      <c r="J1093" s="3" t="b">
        <f>_xlfn.IFNA(INDEX(RulebookFields!I2:I999, MATCH(D1093,RulebookFields!A2:A999, 0)), "")</f>
        <v>1</v>
      </c>
      <c r="K1093" s="3" t="b">
        <f>AND(F1093, J1093)</f>
        <v>0</v>
      </c>
      <c r="L1093" s="3" t="b">
        <f>AND(G1093 &lt;&gt; "plain", G1093 &lt;&gt; "")</f>
        <v>0</v>
      </c>
      <c r="M1093" s="3" t="str">
        <f>IF(E1093, C1093 &amp; "|" &amp; H1093, "")</f>
        <v>principal-process-steward|ProcedureExecutions</v>
      </c>
      <c r="N1093" s="2" t="s">
        <v>9938</v>
      </c>
    </row>
    <row r="1094">
      <c r="A1094" s="2" t="s">
        <v>11030</v>
      </c>
      <c r="B1094" s="3" t="str">
        <f>C1094 &amp; " -&gt; " &amp; D1094</f>
        <v>principal-process-steward -&gt; ProcedureExecutions.SeparationViolationCount</v>
      </c>
      <c r="C1094" s="2" t="s">
        <v>9706</v>
      </c>
      <c r="D1094" s="2" t="s">
        <v>3388</v>
      </c>
      <c r="E1094" s="2" t="b">
        <v>1</v>
      </c>
      <c r="F1094" s="2" t="b">
        <v>0</v>
      </c>
      <c r="G1094" s="2" t="s">
        <v>9937</v>
      </c>
      <c r="H1094" s="3" t="str">
        <f>_xlfn.IFNA(INDEX(RulebookFields!C2:C999, MATCH(D1094,RulebookFields!A2:A999, 0)), "")</f>
        <v>ProcedureExecutions</v>
      </c>
      <c r="I1094" s="3" t="str">
        <f>_xlfn.IFNA(INDEX(RulebookFields!D2:D999, MATCH(D1094,RulebookFields!A2:A999, 0)), "")</f>
        <v>SeparationViolationCount</v>
      </c>
      <c r="J1094" s="3" t="b">
        <f>_xlfn.IFNA(INDEX(RulebookFields!I2:I999, MATCH(D1094,RulebookFields!A2:A999, 0)), "")</f>
        <v>1</v>
      </c>
      <c r="K1094" s="3" t="b">
        <f>AND(F1094, J1094)</f>
        <v>0</v>
      </c>
      <c r="L1094" s="3" t="b">
        <f>AND(G1094 &lt;&gt; "plain", G1094 &lt;&gt; "")</f>
        <v>0</v>
      </c>
      <c r="M1094" s="3" t="str">
        <f>IF(E1094, C1094 &amp; "|" &amp; H1094, "")</f>
        <v>principal-process-steward|ProcedureExecutions</v>
      </c>
      <c r="N1094" s="2" t="s">
        <v>9938</v>
      </c>
    </row>
    <row r="1095">
      <c r="A1095" s="2" t="s">
        <v>11031</v>
      </c>
      <c r="B1095" s="3" t="str">
        <f>C1095 &amp; " -&gt; " &amp; D1095</f>
        <v>principal-process-steward -&gt; ProcedureExecutions.IsAttestationReady</v>
      </c>
      <c r="C1095" s="2" t="s">
        <v>9706</v>
      </c>
      <c r="D1095" s="2" t="s">
        <v>3390</v>
      </c>
      <c r="E1095" s="2" t="b">
        <v>1</v>
      </c>
      <c r="F1095" s="2" t="b">
        <v>0</v>
      </c>
      <c r="G1095" s="2" t="s">
        <v>9937</v>
      </c>
      <c r="H1095" s="3" t="str">
        <f>_xlfn.IFNA(INDEX(RulebookFields!C2:C999, MATCH(D1095,RulebookFields!A2:A999, 0)), "")</f>
        <v>ProcedureExecutions</v>
      </c>
      <c r="I1095" s="3" t="str">
        <f>_xlfn.IFNA(INDEX(RulebookFields!D2:D999, MATCH(D1095,RulebookFields!A2:A999, 0)), "")</f>
        <v>IsAttestationReady</v>
      </c>
      <c r="J1095" s="3" t="b">
        <f>_xlfn.IFNA(INDEX(RulebookFields!I2:I999, MATCH(D1095,RulebookFields!A2:A999, 0)), "")</f>
        <v>1</v>
      </c>
      <c r="K1095" s="3" t="b">
        <f>AND(F1095, J1095)</f>
        <v>0</v>
      </c>
      <c r="L1095" s="3" t="b">
        <f>AND(G1095 &lt;&gt; "plain", G1095 &lt;&gt; "")</f>
        <v>0</v>
      </c>
      <c r="M1095" s="3" t="str">
        <f>IF(E1095, C1095 &amp; "|" &amp; H1095, "")</f>
        <v>principal-process-steward|ProcedureExecutions</v>
      </c>
      <c r="N1095" s="2" t="s">
        <v>9938</v>
      </c>
    </row>
    <row r="1096">
      <c r="A1096" s="2" t="s">
        <v>11032</v>
      </c>
      <c r="B1096" s="3" t="str">
        <f>C1096 &amp; " -&gt; " &amp; D1096</f>
        <v>principal-process-steward -&gt; ProcedureExecutions.AttestationBlockerSummary</v>
      </c>
      <c r="C1096" s="2" t="s">
        <v>9706</v>
      </c>
      <c r="D1096" s="2" t="s">
        <v>3392</v>
      </c>
      <c r="E1096" s="2" t="b">
        <v>1</v>
      </c>
      <c r="F1096" s="2" t="b">
        <v>0</v>
      </c>
      <c r="G1096" s="2" t="s">
        <v>9937</v>
      </c>
      <c r="H1096" s="3" t="str">
        <f>_xlfn.IFNA(INDEX(RulebookFields!C2:C999, MATCH(D1096,RulebookFields!A2:A999, 0)), "")</f>
        <v>ProcedureExecutions</v>
      </c>
      <c r="I1096" s="3" t="str">
        <f>_xlfn.IFNA(INDEX(RulebookFields!D2:D999, MATCH(D1096,RulebookFields!A2:A999, 0)), "")</f>
        <v>AttestationBlockerSummary</v>
      </c>
      <c r="J1096" s="3" t="b">
        <f>_xlfn.IFNA(INDEX(RulebookFields!I2:I999, MATCH(D1096,RulebookFields!A2:A999, 0)), "")</f>
        <v>1</v>
      </c>
      <c r="K1096" s="3" t="b">
        <f>AND(F1096, J1096)</f>
        <v>0</v>
      </c>
      <c r="L1096" s="3" t="b">
        <f>AND(G1096 &lt;&gt; "plain", G1096 &lt;&gt; "")</f>
        <v>0</v>
      </c>
      <c r="M1096" s="3" t="str">
        <f>IF(E1096, C1096 &amp; "|" &amp; H1096, "")</f>
        <v>principal-process-steward|ProcedureExecutions</v>
      </c>
      <c r="N1096" s="2" t="s">
        <v>9938</v>
      </c>
    </row>
    <row r="1097">
      <c r="A1097" s="2" t="s">
        <v>11033</v>
      </c>
      <c r="B1097" s="3" t="str">
        <f>C1097 &amp; " -&gt; " &amp; D1097</f>
        <v>principal-process-steward -&gt; ProcedureExecutions.ExecutedVersionIsFit</v>
      </c>
      <c r="C1097" s="2" t="s">
        <v>9706</v>
      </c>
      <c r="D1097" s="2" t="s">
        <v>3394</v>
      </c>
      <c r="E1097" s="2" t="b">
        <v>1</v>
      </c>
      <c r="F1097" s="2" t="b">
        <v>0</v>
      </c>
      <c r="G1097" s="2" t="s">
        <v>9937</v>
      </c>
      <c r="H1097" s="3" t="str">
        <f>_xlfn.IFNA(INDEX(RulebookFields!C2:C999, MATCH(D1097,RulebookFields!A2:A999, 0)), "")</f>
        <v>ProcedureExecutions</v>
      </c>
      <c r="I1097" s="3" t="str">
        <f>_xlfn.IFNA(INDEX(RulebookFields!D2:D999, MATCH(D1097,RulebookFields!A2:A999, 0)), "")</f>
        <v>ExecutedVersionIsFit</v>
      </c>
      <c r="J1097" s="3" t="b">
        <f>_xlfn.IFNA(INDEX(RulebookFields!I2:I999, MATCH(D1097,RulebookFields!A2:A999, 0)), "")</f>
        <v>1</v>
      </c>
      <c r="K1097" s="3" t="b">
        <f>AND(F1097, J1097)</f>
        <v>0</v>
      </c>
      <c r="L1097" s="3" t="b">
        <f>AND(G1097 &lt;&gt; "plain", G1097 &lt;&gt; "")</f>
        <v>0</v>
      </c>
      <c r="M1097" s="3" t="str">
        <f>IF(E1097, C1097 &amp; "|" &amp; H1097, "")</f>
        <v>principal-process-steward|ProcedureExecutions</v>
      </c>
      <c r="N1097" s="2" t="s">
        <v>9938</v>
      </c>
    </row>
    <row r="1098">
      <c r="A1098" s="2" t="s">
        <v>11034</v>
      </c>
      <c r="B1098" s="3" t="str">
        <f>C1098 &amp; " -&gt; " &amp; D1098</f>
        <v>principal-process-steward -&gt; ProcedureExecutions.SignedAgainstUnfitVersion</v>
      </c>
      <c r="C1098" s="2" t="s">
        <v>9706</v>
      </c>
      <c r="D1098" s="2" t="s">
        <v>3396</v>
      </c>
      <c r="E1098" s="2" t="b">
        <v>1</v>
      </c>
      <c r="F1098" s="2" t="b">
        <v>0</v>
      </c>
      <c r="G1098" s="2" t="s">
        <v>9937</v>
      </c>
      <c r="H1098" s="3" t="str">
        <f>_xlfn.IFNA(INDEX(RulebookFields!C2:C999, MATCH(D1098,RulebookFields!A2:A999, 0)), "")</f>
        <v>ProcedureExecutions</v>
      </c>
      <c r="I1098" s="3" t="str">
        <f>_xlfn.IFNA(INDEX(RulebookFields!D2:D999, MATCH(D1098,RulebookFields!A2:A999, 0)), "")</f>
        <v>SignedAgainstUnfitVersion</v>
      </c>
      <c r="J1098" s="3" t="b">
        <f>_xlfn.IFNA(INDEX(RulebookFields!I2:I999, MATCH(D1098,RulebookFields!A2:A999, 0)), "")</f>
        <v>1</v>
      </c>
      <c r="K1098" s="3" t="b">
        <f>AND(F1098, J1098)</f>
        <v>0</v>
      </c>
      <c r="L1098" s="3" t="b">
        <f>AND(G1098 &lt;&gt; "plain", G1098 &lt;&gt; "")</f>
        <v>0</v>
      </c>
      <c r="M1098" s="3" t="str">
        <f>IF(E1098, C1098 &amp; "|" &amp; H1098, "")</f>
        <v>principal-process-steward|ProcedureExecutions</v>
      </c>
      <c r="N1098" s="2" t="s">
        <v>9938</v>
      </c>
    </row>
    <row r="1099">
      <c r="A1099" s="2" t="s">
        <v>11035</v>
      </c>
      <c r="B1099" s="3" t="str">
        <f>C1099 &amp; " -&gt; " &amp; D1099</f>
        <v>principal-process-steward -&gt; ProcedureExecutions.AssertedOnlyControlCount</v>
      </c>
      <c r="C1099" s="2" t="s">
        <v>9706</v>
      </c>
      <c r="D1099" s="2" t="s">
        <v>3398</v>
      </c>
      <c r="E1099" s="2" t="b">
        <v>1</v>
      </c>
      <c r="F1099" s="2" t="b">
        <v>0</v>
      </c>
      <c r="G1099" s="2" t="s">
        <v>9937</v>
      </c>
      <c r="H1099" s="3" t="str">
        <f>_xlfn.IFNA(INDEX(RulebookFields!C2:C999, MATCH(D1099,RulebookFields!A2:A999, 0)), "")</f>
        <v>ProcedureExecutions</v>
      </c>
      <c r="I1099" s="3" t="str">
        <f>_xlfn.IFNA(INDEX(RulebookFields!D2:D999, MATCH(D1099,RulebookFields!A2:A999, 0)), "")</f>
        <v>AssertedOnlyControlCount</v>
      </c>
      <c r="J1099" s="3" t="b">
        <f>_xlfn.IFNA(INDEX(RulebookFields!I2:I999, MATCH(D1099,RulebookFields!A2:A999, 0)), "")</f>
        <v>1</v>
      </c>
      <c r="K1099" s="3" t="b">
        <f>AND(F1099, J1099)</f>
        <v>0</v>
      </c>
      <c r="L1099" s="3" t="b">
        <f>AND(G1099 &lt;&gt; "plain", G1099 &lt;&gt; "")</f>
        <v>0</v>
      </c>
      <c r="M1099" s="3" t="str">
        <f>IF(E1099, C1099 &amp; "|" &amp; H1099, "")</f>
        <v>principal-process-steward|ProcedureExecutions</v>
      </c>
      <c r="N1099" s="2" t="s">
        <v>9938</v>
      </c>
    </row>
    <row r="1100">
      <c r="A1100" s="2" t="s">
        <v>11036</v>
      </c>
      <c r="B1100" s="3" t="str">
        <f>C1100 &amp; " -&gt; " &amp; D1100</f>
        <v>principal-process-steward -&gt; ProcedureExecutions.AssuranceIsMostlyAsserted</v>
      </c>
      <c r="C1100" s="2" t="s">
        <v>9706</v>
      </c>
      <c r="D1100" s="2" t="s">
        <v>3400</v>
      </c>
      <c r="E1100" s="2" t="b">
        <v>1</v>
      </c>
      <c r="F1100" s="2" t="b">
        <v>0</v>
      </c>
      <c r="G1100" s="2" t="s">
        <v>9937</v>
      </c>
      <c r="H1100" s="3" t="str">
        <f>_xlfn.IFNA(INDEX(RulebookFields!C2:C999, MATCH(D1100,RulebookFields!A2:A999, 0)), "")</f>
        <v>ProcedureExecutions</v>
      </c>
      <c r="I1100" s="3" t="str">
        <f>_xlfn.IFNA(INDEX(RulebookFields!D2:D999, MATCH(D1100,RulebookFields!A2:A999, 0)), "")</f>
        <v>AssuranceIsMostlyAsserted</v>
      </c>
      <c r="J1100" s="3" t="b">
        <f>_xlfn.IFNA(INDEX(RulebookFields!I2:I999, MATCH(D1100,RulebookFields!A2:A999, 0)), "")</f>
        <v>1</v>
      </c>
      <c r="K1100" s="3" t="b">
        <f>AND(F1100, J1100)</f>
        <v>0</v>
      </c>
      <c r="L1100" s="3" t="b">
        <f>AND(G1100 &lt;&gt; "plain", G1100 &lt;&gt; "")</f>
        <v>0</v>
      </c>
      <c r="M1100" s="3" t="str">
        <f>IF(E1100, C1100 &amp; "|" &amp; H1100, "")</f>
        <v>principal-process-steward|ProcedureExecutions</v>
      </c>
      <c r="N1100" s="2" t="s">
        <v>9938</v>
      </c>
    </row>
    <row r="1101">
      <c r="A1101" s="2" t="s">
        <v>11037</v>
      </c>
      <c r="B1101" s="3" t="str">
        <f>C1101 &amp; " -&gt; " &amp; D1101</f>
        <v>principal-process-steward -&gt; ProcedureExecutions.UnreachableHandlingFailureCount</v>
      </c>
      <c r="C1101" s="2" t="s">
        <v>9706</v>
      </c>
      <c r="D1101" s="2" t="s">
        <v>3402</v>
      </c>
      <c r="E1101" s="2" t="b">
        <v>1</v>
      </c>
      <c r="F1101" s="2" t="b">
        <v>0</v>
      </c>
      <c r="G1101" s="2" t="s">
        <v>9937</v>
      </c>
      <c r="H1101" s="3" t="str">
        <f>_xlfn.IFNA(INDEX(RulebookFields!C2:C999, MATCH(D1101,RulebookFields!A2:A999, 0)), "")</f>
        <v>ProcedureExecutions</v>
      </c>
      <c r="I1101" s="3" t="str">
        <f>_xlfn.IFNA(INDEX(RulebookFields!D2:D999, MATCH(D1101,RulebookFields!A2:A999, 0)), "")</f>
        <v>UnreachableHandlingFailureCount</v>
      </c>
      <c r="J1101" s="3" t="b">
        <f>_xlfn.IFNA(INDEX(RulebookFields!I2:I999, MATCH(D1101,RulebookFields!A2:A999, 0)), "")</f>
        <v>1</v>
      </c>
      <c r="K1101" s="3" t="b">
        <f>AND(F1101, J1101)</f>
        <v>0</v>
      </c>
      <c r="L1101" s="3" t="b">
        <f>AND(G1101 &lt;&gt; "plain", G1101 &lt;&gt; "")</f>
        <v>0</v>
      </c>
      <c r="M1101" s="3" t="str">
        <f>IF(E1101, C1101 &amp; "|" &amp; H1101, "")</f>
        <v>principal-process-steward|ProcedureExecutions</v>
      </c>
      <c r="N1101" s="2" t="s">
        <v>9938</v>
      </c>
    </row>
    <row r="1102">
      <c r="A1102" s="2" t="s">
        <v>11038</v>
      </c>
      <c r="B1102" s="3" t="str">
        <f>C1102 &amp; " -&gt; " &amp; D1102</f>
        <v>principal-process-steward -&gt; ProcedureExecutions.RetentionBreachCount</v>
      </c>
      <c r="C1102" s="2" t="s">
        <v>9706</v>
      </c>
      <c r="D1102" s="2" t="s">
        <v>3404</v>
      </c>
      <c r="E1102" s="2" t="b">
        <v>1</v>
      </c>
      <c r="F1102" s="2" t="b">
        <v>0</v>
      </c>
      <c r="G1102" s="2" t="s">
        <v>9937</v>
      </c>
      <c r="H1102" s="3" t="str">
        <f>_xlfn.IFNA(INDEX(RulebookFields!C2:C999, MATCH(D1102,RulebookFields!A2:A999, 0)), "")</f>
        <v>ProcedureExecutions</v>
      </c>
      <c r="I1102" s="3" t="str">
        <f>_xlfn.IFNA(INDEX(RulebookFields!D2:D999, MATCH(D1102,RulebookFields!A2:A999, 0)), "")</f>
        <v>RetentionBreachCount</v>
      </c>
      <c r="J1102" s="3" t="b">
        <f>_xlfn.IFNA(INDEX(RulebookFields!I2:I999, MATCH(D1102,RulebookFields!A2:A999, 0)), "")</f>
        <v>1</v>
      </c>
      <c r="K1102" s="3" t="b">
        <f>AND(F1102, J1102)</f>
        <v>0</v>
      </c>
      <c r="L1102" s="3" t="b">
        <f>AND(G1102 &lt;&gt; "plain", G1102 &lt;&gt; "")</f>
        <v>0</v>
      </c>
      <c r="M1102" s="3" t="str">
        <f>IF(E1102, C1102 &amp; "|" &amp; H1102, "")</f>
        <v>principal-process-steward|ProcedureExecutions</v>
      </c>
      <c r="N1102" s="2" t="s">
        <v>9938</v>
      </c>
    </row>
    <row r="1103">
      <c r="A1103" s="2" t="s">
        <v>11039</v>
      </c>
      <c r="B1103" s="3" t="str">
        <f>C1103 &amp; " -&gt; " &amp; D1103</f>
        <v>principal-process-steward -&gt; ProcedureExecutions.ClearedLegalReviewCount</v>
      </c>
      <c r="C1103" s="2" t="s">
        <v>9706</v>
      </c>
      <c r="D1103" s="2" t="s">
        <v>3406</v>
      </c>
      <c r="E1103" s="2" t="b">
        <v>1</v>
      </c>
      <c r="F1103" s="2" t="b">
        <v>0</v>
      </c>
      <c r="G1103" s="2" t="s">
        <v>9937</v>
      </c>
      <c r="H1103" s="3" t="str">
        <f>_xlfn.IFNA(INDEX(RulebookFields!C2:C999, MATCH(D1103,RulebookFields!A2:A999, 0)), "")</f>
        <v>ProcedureExecutions</v>
      </c>
      <c r="I1103" s="3" t="str">
        <f>_xlfn.IFNA(INDEX(RulebookFields!D2:D999, MATCH(D1103,RulebookFields!A2:A999, 0)), "")</f>
        <v>ClearedLegalReviewCount</v>
      </c>
      <c r="J1103" s="3" t="b">
        <f>_xlfn.IFNA(INDEX(RulebookFields!I2:I999, MATCH(D1103,RulebookFields!A2:A999, 0)), "")</f>
        <v>1</v>
      </c>
      <c r="K1103" s="3" t="b">
        <f>AND(F1103, J1103)</f>
        <v>0</v>
      </c>
      <c r="L1103" s="3" t="b">
        <f>AND(G1103 &lt;&gt; "plain", G1103 &lt;&gt; "")</f>
        <v>0</v>
      </c>
      <c r="M1103" s="3" t="str">
        <f>IF(E1103, C1103 &amp; "|" &amp; H1103, "")</f>
        <v>principal-process-steward|ProcedureExecutions</v>
      </c>
      <c r="N1103" s="2" t="s">
        <v>9938</v>
      </c>
    </row>
    <row r="1104">
      <c r="A1104" s="2" t="s">
        <v>11040</v>
      </c>
      <c r="B1104" s="3" t="str">
        <f>C1104 &amp; " -&gt; " &amp; D1104</f>
        <v>principal-process-steward -&gt; ProcedureExecutions.HasClearedLegalReview</v>
      </c>
      <c r="C1104" s="2" t="s">
        <v>9706</v>
      </c>
      <c r="D1104" s="2" t="s">
        <v>3408</v>
      </c>
      <c r="E1104" s="2" t="b">
        <v>1</v>
      </c>
      <c r="F1104" s="2" t="b">
        <v>0</v>
      </c>
      <c r="G1104" s="2" t="s">
        <v>9937</v>
      </c>
      <c r="H1104" s="3" t="str">
        <f>_xlfn.IFNA(INDEX(RulebookFields!C2:C999, MATCH(D1104,RulebookFields!A2:A999, 0)), "")</f>
        <v>ProcedureExecutions</v>
      </c>
      <c r="I1104" s="3" t="str">
        <f>_xlfn.IFNA(INDEX(RulebookFields!D2:D999, MATCH(D1104,RulebookFields!A2:A999, 0)), "")</f>
        <v>HasClearedLegalReview</v>
      </c>
      <c r="J1104" s="3" t="b">
        <f>_xlfn.IFNA(INDEX(RulebookFields!I2:I999, MATCH(D1104,RulebookFields!A2:A999, 0)), "")</f>
        <v>1</v>
      </c>
      <c r="K1104" s="3" t="b">
        <f>AND(F1104, J1104)</f>
        <v>0</v>
      </c>
      <c r="L1104" s="3" t="b">
        <f>AND(G1104 &lt;&gt; "plain", G1104 &lt;&gt; "")</f>
        <v>0</v>
      </c>
      <c r="M1104" s="3" t="str">
        <f>IF(E1104, C1104 &amp; "|" &amp; H1104, "")</f>
        <v>principal-process-steward|ProcedureExecutions</v>
      </c>
      <c r="N1104" s="2" t="s">
        <v>9938</v>
      </c>
    </row>
    <row r="1105">
      <c r="A1105" s="2" t="s">
        <v>11041</v>
      </c>
      <c r="B1105" s="3" t="str">
        <f>C1105 &amp; " -&gt; " &amp; D1105</f>
        <v>principal-process-steward -&gt; ProcedureExecutions.AbandonedFailureCount</v>
      </c>
      <c r="C1105" s="2" t="s">
        <v>9706</v>
      </c>
      <c r="D1105" s="2" t="s">
        <v>3410</v>
      </c>
      <c r="E1105" s="2" t="b">
        <v>1</v>
      </c>
      <c r="F1105" s="2" t="b">
        <v>0</v>
      </c>
      <c r="G1105" s="2" t="s">
        <v>9937</v>
      </c>
      <c r="H1105" s="3" t="str">
        <f>_xlfn.IFNA(INDEX(RulebookFields!C2:C999, MATCH(D1105,RulebookFields!A2:A999, 0)), "")</f>
        <v>ProcedureExecutions</v>
      </c>
      <c r="I1105" s="3" t="str">
        <f>_xlfn.IFNA(INDEX(RulebookFields!D2:D999, MATCH(D1105,RulebookFields!A2:A999, 0)), "")</f>
        <v>AbandonedFailureCount</v>
      </c>
      <c r="J1105" s="3" t="b">
        <f>_xlfn.IFNA(INDEX(RulebookFields!I2:I999, MATCH(D1105,RulebookFields!A2:A999, 0)), "")</f>
        <v>1</v>
      </c>
      <c r="K1105" s="3" t="b">
        <f>AND(F1105, J1105)</f>
        <v>0</v>
      </c>
      <c r="L1105" s="3" t="b">
        <f>AND(G1105 &lt;&gt; "plain", G1105 &lt;&gt; "")</f>
        <v>0</v>
      </c>
      <c r="M1105" s="3" t="str">
        <f>IF(E1105, C1105 &amp; "|" &amp; H1105, "")</f>
        <v>principal-process-steward|ProcedureExecutions</v>
      </c>
      <c r="N1105" s="2" t="s">
        <v>9938</v>
      </c>
    </row>
    <row r="1106">
      <c r="A1106" s="2" t="s">
        <v>11042</v>
      </c>
      <c r="B1106" s="3" t="str">
        <f>C1106 &amp; " -&gt; " &amp; D1106</f>
        <v>principal-process-steward -&gt; ProcedureExecutions.DeliveredCount</v>
      </c>
      <c r="C1106" s="2" t="s">
        <v>9706</v>
      </c>
      <c r="D1106" s="2" t="s">
        <v>3412</v>
      </c>
      <c r="E1106" s="2" t="b">
        <v>1</v>
      </c>
      <c r="F1106" s="2" t="b">
        <v>0</v>
      </c>
      <c r="G1106" s="2" t="s">
        <v>9937</v>
      </c>
      <c r="H1106" s="3" t="str">
        <f>_xlfn.IFNA(INDEX(RulebookFields!C2:C999, MATCH(D1106,RulebookFields!A2:A999, 0)), "")</f>
        <v>ProcedureExecutions</v>
      </c>
      <c r="I1106" s="3" t="str">
        <f>_xlfn.IFNA(INDEX(RulebookFields!D2:D999, MATCH(D1106,RulebookFields!A2:A999, 0)), "")</f>
        <v>DeliveredCount</v>
      </c>
      <c r="J1106" s="3" t="b">
        <f>_xlfn.IFNA(INDEX(RulebookFields!I2:I999, MATCH(D1106,RulebookFields!A2:A999, 0)), "")</f>
        <v>1</v>
      </c>
      <c r="K1106" s="3" t="b">
        <f>AND(F1106, J1106)</f>
        <v>0</v>
      </c>
      <c r="L1106" s="3" t="b">
        <f>AND(G1106 &lt;&gt; "plain", G1106 &lt;&gt; "")</f>
        <v>0</v>
      </c>
      <c r="M1106" s="3" t="str">
        <f>IF(E1106, C1106 &amp; "|" &amp; H1106, "")</f>
        <v>principal-process-steward|ProcedureExecutions</v>
      </c>
      <c r="N1106" s="2" t="s">
        <v>9938</v>
      </c>
    </row>
    <row r="1107">
      <c r="A1107" s="2" t="s">
        <v>11043</v>
      </c>
      <c r="B1107" s="3" t="str">
        <f>C1107 &amp; " -&gt; " &amp; D1107</f>
        <v>principal-process-steward -&gt; ProcedureExecutions.TotalDeliveryAttemptCount</v>
      </c>
      <c r="C1107" s="2" t="s">
        <v>9706</v>
      </c>
      <c r="D1107" s="2" t="s">
        <v>3414</v>
      </c>
      <c r="E1107" s="2" t="b">
        <v>1</v>
      </c>
      <c r="F1107" s="2" t="b">
        <v>0</v>
      </c>
      <c r="G1107" s="2" t="s">
        <v>9937</v>
      </c>
      <c r="H1107" s="3" t="str">
        <f>_xlfn.IFNA(INDEX(RulebookFields!C2:C999, MATCH(D1107,RulebookFields!A2:A999, 0)), "")</f>
        <v>ProcedureExecutions</v>
      </c>
      <c r="I1107" s="3" t="str">
        <f>_xlfn.IFNA(INDEX(RulebookFields!D2:D999, MATCH(D1107,RulebookFields!A2:A999, 0)), "")</f>
        <v>TotalDeliveryAttemptCount</v>
      </c>
      <c r="J1107" s="3" t="b">
        <f>_xlfn.IFNA(INDEX(RulebookFields!I2:I999, MATCH(D1107,RulebookFields!A2:A999, 0)), "")</f>
        <v>1</v>
      </c>
      <c r="K1107" s="3" t="b">
        <f>AND(F1107, J1107)</f>
        <v>0</v>
      </c>
      <c r="L1107" s="3" t="b">
        <f>AND(G1107 &lt;&gt; "plain", G1107 &lt;&gt; "")</f>
        <v>0</v>
      </c>
      <c r="M1107" s="3" t="str">
        <f>IF(E1107, C1107 &amp; "|" &amp; H1107, "")</f>
        <v>principal-process-steward|ProcedureExecutions</v>
      </c>
      <c r="N1107" s="2" t="s">
        <v>9938</v>
      </c>
    </row>
    <row r="1108">
      <c r="A1108" s="2" t="s">
        <v>11044</v>
      </c>
      <c r="B1108" s="3" t="str">
        <f>C1108 &amp; " -&gt; " &amp; D1108</f>
        <v>principal-process-steward -&gt; ProcedureExecutions.HasAbandonedFailures</v>
      </c>
      <c r="C1108" s="2" t="s">
        <v>9706</v>
      </c>
      <c r="D1108" s="2" t="s">
        <v>3416</v>
      </c>
      <c r="E1108" s="2" t="b">
        <v>1</v>
      </c>
      <c r="F1108" s="2" t="b">
        <v>0</v>
      </c>
      <c r="G1108" s="2" t="s">
        <v>9937</v>
      </c>
      <c r="H1108" s="3" t="str">
        <f>_xlfn.IFNA(INDEX(RulebookFields!C2:C999, MATCH(D1108,RulebookFields!A2:A999, 0)), "")</f>
        <v>ProcedureExecutions</v>
      </c>
      <c r="I1108" s="3" t="str">
        <f>_xlfn.IFNA(INDEX(RulebookFields!D2:D999, MATCH(D1108,RulebookFields!A2:A999, 0)), "")</f>
        <v>HasAbandonedFailures</v>
      </c>
      <c r="J1108" s="3" t="b">
        <f>_xlfn.IFNA(INDEX(RulebookFields!I2:I999, MATCH(D1108,RulebookFields!A2:A999, 0)), "")</f>
        <v>1</v>
      </c>
      <c r="K1108" s="3" t="b">
        <f>AND(F1108, J1108)</f>
        <v>0</v>
      </c>
      <c r="L1108" s="3" t="b">
        <f>AND(G1108 &lt;&gt; "plain", G1108 &lt;&gt; "")</f>
        <v>0</v>
      </c>
      <c r="M1108" s="3" t="str">
        <f>IF(E1108, C1108 &amp; "|" &amp; H1108, "")</f>
        <v>principal-process-steward|ProcedureExecutions</v>
      </c>
      <c r="N1108" s="2" t="s">
        <v>9938</v>
      </c>
    </row>
    <row r="1109">
      <c r="A1109" s="2" t="s">
        <v>11045</v>
      </c>
      <c r="B1109" s="3" t="str">
        <f>C1109 &amp; " -&gt; " &amp; D1109</f>
        <v>principal-process-steward -&gt; ProcedureExecutions.MishandledRefusalCount</v>
      </c>
      <c r="C1109" s="2" t="s">
        <v>9706</v>
      </c>
      <c r="D1109" s="2" t="s">
        <v>3418</v>
      </c>
      <c r="E1109" s="2" t="b">
        <v>1</v>
      </c>
      <c r="F1109" s="2" t="b">
        <v>0</v>
      </c>
      <c r="G1109" s="2" t="s">
        <v>9937</v>
      </c>
      <c r="H1109" s="3" t="str">
        <f>_xlfn.IFNA(INDEX(RulebookFields!C2:C999, MATCH(D1109,RulebookFields!A2:A999, 0)), "")</f>
        <v>ProcedureExecutions</v>
      </c>
      <c r="I1109" s="3" t="str">
        <f>_xlfn.IFNA(INDEX(RulebookFields!D2:D999, MATCH(D1109,RulebookFields!A2:A999, 0)), "")</f>
        <v>MishandledRefusalCount</v>
      </c>
      <c r="J1109" s="3" t="b">
        <f>_xlfn.IFNA(INDEX(RulebookFields!I2:I999, MATCH(D1109,RulebookFields!A2:A999, 0)), "")</f>
        <v>1</v>
      </c>
      <c r="K1109" s="3" t="b">
        <f>AND(F1109, J1109)</f>
        <v>0</v>
      </c>
      <c r="L1109" s="3" t="b">
        <f>AND(G1109 &lt;&gt; "plain", G1109 &lt;&gt; "")</f>
        <v>0</v>
      </c>
      <c r="M1109" s="3" t="str">
        <f>IF(E1109, C1109 &amp; "|" &amp; H1109, "")</f>
        <v>principal-process-steward|ProcedureExecutions</v>
      </c>
      <c r="N1109" s="2" t="s">
        <v>9938</v>
      </c>
    </row>
    <row r="1110">
      <c r="A1110" s="2" t="s">
        <v>11046</v>
      </c>
      <c r="B1110" s="3" t="str">
        <f>C1110 &amp; " -&gt; " &amp; D1110</f>
        <v>principal-process-steward -&gt; ProcedureExecutions.UncleanStepCount</v>
      </c>
      <c r="C1110" s="2" t="s">
        <v>9706</v>
      </c>
      <c r="D1110" s="2" t="s">
        <v>3420</v>
      </c>
      <c r="E1110" s="2" t="b">
        <v>1</v>
      </c>
      <c r="F1110" s="2" t="b">
        <v>0</v>
      </c>
      <c r="G1110" s="2" t="s">
        <v>9937</v>
      </c>
      <c r="H1110" s="3" t="str">
        <f>_xlfn.IFNA(INDEX(RulebookFields!C2:C999, MATCH(D1110,RulebookFields!A2:A999, 0)), "")</f>
        <v>ProcedureExecutions</v>
      </c>
      <c r="I1110" s="3" t="str">
        <f>_xlfn.IFNA(INDEX(RulebookFields!D2:D999, MATCH(D1110,RulebookFields!A2:A999, 0)), "")</f>
        <v>UncleanStepCount</v>
      </c>
      <c r="J1110" s="3" t="b">
        <f>_xlfn.IFNA(INDEX(RulebookFields!I2:I999, MATCH(D1110,RulebookFields!A2:A999, 0)), "")</f>
        <v>1</v>
      </c>
      <c r="K1110" s="3" t="b">
        <f>AND(F1110, J1110)</f>
        <v>0</v>
      </c>
      <c r="L1110" s="3" t="b">
        <f>AND(G1110 &lt;&gt; "plain", G1110 &lt;&gt; "")</f>
        <v>0</v>
      </c>
      <c r="M1110" s="3" t="str">
        <f>IF(E1110, C1110 &amp; "|" &amp; H1110, "")</f>
        <v>principal-process-steward|ProcedureExecutions</v>
      </c>
      <c r="N1110" s="2" t="s">
        <v>9938</v>
      </c>
    </row>
    <row r="1111">
      <c r="A1111" s="2" t="s">
        <v>11047</v>
      </c>
      <c r="B1111" s="3" t="str">
        <f>C1111 &amp; " -&gt; " &amp; D1111</f>
        <v>principal-process-steward -&gt; ProcedureExecutions.RanClean</v>
      </c>
      <c r="C1111" s="2" t="s">
        <v>9706</v>
      </c>
      <c r="D1111" s="2" t="s">
        <v>3422</v>
      </c>
      <c r="E1111" s="2" t="b">
        <v>1</v>
      </c>
      <c r="F1111" s="2" t="b">
        <v>0</v>
      </c>
      <c r="G1111" s="2" t="s">
        <v>9937</v>
      </c>
      <c r="H1111" s="3" t="str">
        <f>_xlfn.IFNA(INDEX(RulebookFields!C2:C999, MATCH(D1111,RulebookFields!A2:A999, 0)), "")</f>
        <v>ProcedureExecutions</v>
      </c>
      <c r="I1111" s="3" t="str">
        <f>_xlfn.IFNA(INDEX(RulebookFields!D2:D999, MATCH(D1111,RulebookFields!A2:A999, 0)), "")</f>
        <v>RanClean</v>
      </c>
      <c r="J1111" s="3" t="b">
        <f>_xlfn.IFNA(INDEX(RulebookFields!I2:I999, MATCH(D1111,RulebookFields!A2:A999, 0)), "")</f>
        <v>1</v>
      </c>
      <c r="K1111" s="3" t="b">
        <f>AND(F1111, J1111)</f>
        <v>0</v>
      </c>
      <c r="L1111" s="3" t="b">
        <f>AND(G1111 &lt;&gt; "plain", G1111 &lt;&gt; "")</f>
        <v>0</v>
      </c>
      <c r="M1111" s="3" t="str">
        <f>IF(E1111, C1111 &amp; "|" &amp; H1111, "")</f>
        <v>principal-process-steward|ProcedureExecutions</v>
      </c>
      <c r="N1111" s="2" t="s">
        <v>9938</v>
      </c>
    </row>
    <row r="1112">
      <c r="A1112" s="2" t="s">
        <v>11048</v>
      </c>
      <c r="B1112" s="3" t="str">
        <f>C1112 &amp; " -&gt; " &amp; D1112</f>
        <v>principal-process-steward -&gt; ProcedureExecutions.CountOfApprovalExecutions</v>
      </c>
      <c r="C1112" s="2" t="s">
        <v>9706</v>
      </c>
      <c r="D1112" s="2" t="s">
        <v>3424</v>
      </c>
      <c r="E1112" s="2" t="b">
        <v>1</v>
      </c>
      <c r="F1112" s="2" t="b">
        <v>0</v>
      </c>
      <c r="G1112" s="2" t="s">
        <v>9937</v>
      </c>
      <c r="H1112" s="3" t="str">
        <f>_xlfn.IFNA(INDEX(RulebookFields!C2:C999, MATCH(D1112,RulebookFields!A2:A999, 0)), "")</f>
        <v>ProcedureExecutions</v>
      </c>
      <c r="I1112" s="3" t="str">
        <f>_xlfn.IFNA(INDEX(RulebookFields!D2:D999, MATCH(D1112,RulebookFields!A2:A999, 0)), "")</f>
        <v>CountOfApprovalExecutions</v>
      </c>
      <c r="J1112" s="3" t="b">
        <f>_xlfn.IFNA(INDEX(RulebookFields!I2:I999, MATCH(D1112,RulebookFields!A2:A999, 0)), "")</f>
        <v>1</v>
      </c>
      <c r="K1112" s="3" t="b">
        <f>AND(F1112, J1112)</f>
        <v>0</v>
      </c>
      <c r="L1112" s="3" t="b">
        <f>AND(G1112 &lt;&gt; "plain", G1112 &lt;&gt; "")</f>
        <v>0</v>
      </c>
      <c r="M1112" s="3" t="str">
        <f>IF(E1112, C1112 &amp; "|" &amp; H1112, "")</f>
        <v>principal-process-steward|ProcedureExecutions</v>
      </c>
      <c r="N1112" s="2" t="s">
        <v>9938</v>
      </c>
    </row>
    <row r="1113">
      <c r="A1113" s="2" t="s">
        <v>11049</v>
      </c>
      <c r="B1113" s="3" t="str">
        <f>C1113 &amp; " -&gt; " &amp; D1113</f>
        <v>principal-process-steward -&gt; ProcedureExecutions.HasHumanApproval</v>
      </c>
      <c r="C1113" s="2" t="s">
        <v>9706</v>
      </c>
      <c r="D1113" s="2" t="s">
        <v>3426</v>
      </c>
      <c r="E1113" s="2" t="b">
        <v>1</v>
      </c>
      <c r="F1113" s="2" t="b">
        <v>0</v>
      </c>
      <c r="G1113" s="2" t="s">
        <v>9937</v>
      </c>
      <c r="H1113" s="3" t="str">
        <f>_xlfn.IFNA(INDEX(RulebookFields!C2:C999, MATCH(D1113,RulebookFields!A2:A999, 0)), "")</f>
        <v>ProcedureExecutions</v>
      </c>
      <c r="I1113" s="3" t="str">
        <f>_xlfn.IFNA(INDEX(RulebookFields!D2:D999, MATCH(D1113,RulebookFields!A2:A999, 0)), "")</f>
        <v>HasHumanApproval</v>
      </c>
      <c r="J1113" s="3" t="b">
        <f>_xlfn.IFNA(INDEX(RulebookFields!I2:I999, MATCH(D1113,RulebookFields!A2:A999, 0)), "")</f>
        <v>1</v>
      </c>
      <c r="K1113" s="3" t="b">
        <f>AND(F1113, J1113)</f>
        <v>0</v>
      </c>
      <c r="L1113" s="3" t="b">
        <f>AND(G1113 &lt;&gt; "plain", G1113 &lt;&gt; "")</f>
        <v>0</v>
      </c>
      <c r="M1113" s="3" t="str">
        <f>IF(E1113, C1113 &amp; "|" &amp; H1113, "")</f>
        <v>principal-process-steward|ProcedureExecutions</v>
      </c>
      <c r="N1113" s="2" t="s">
        <v>9938</v>
      </c>
    </row>
    <row r="1114">
      <c r="A1114" s="2" t="s">
        <v>11050</v>
      </c>
      <c r="B1114" s="3" t="str">
        <f>C1114 &amp; " -&gt; " &amp; D1114</f>
        <v>principal-process-steward -&gt; ProcedureExecutions.CountOfDeliveryExecutions</v>
      </c>
      <c r="C1114" s="2" t="s">
        <v>9706</v>
      </c>
      <c r="D1114" s="2" t="s">
        <v>3428</v>
      </c>
      <c r="E1114" s="2" t="b">
        <v>1</v>
      </c>
      <c r="F1114" s="2" t="b">
        <v>0</v>
      </c>
      <c r="G1114" s="2" t="s">
        <v>9937</v>
      </c>
      <c r="H1114" s="3" t="str">
        <f>_xlfn.IFNA(INDEX(RulebookFields!C2:C999, MATCH(D1114,RulebookFields!A2:A999, 0)), "")</f>
        <v>ProcedureExecutions</v>
      </c>
      <c r="I1114" s="3" t="str">
        <f>_xlfn.IFNA(INDEX(RulebookFields!D2:D999, MATCH(D1114,RulebookFields!A2:A999, 0)), "")</f>
        <v>CountOfDeliveryExecutions</v>
      </c>
      <c r="J1114" s="3" t="b">
        <f>_xlfn.IFNA(INDEX(RulebookFields!I2:I999, MATCH(D1114,RulebookFields!A2:A999, 0)), "")</f>
        <v>1</v>
      </c>
      <c r="K1114" s="3" t="b">
        <f>AND(F1114, J1114)</f>
        <v>0</v>
      </c>
      <c r="L1114" s="3" t="b">
        <f>AND(G1114 &lt;&gt; "plain", G1114 &lt;&gt; "")</f>
        <v>0</v>
      </c>
      <c r="M1114" s="3" t="str">
        <f>IF(E1114, C1114 &amp; "|" &amp; H1114, "")</f>
        <v>principal-process-steward|ProcedureExecutions</v>
      </c>
      <c r="N1114" s="2" t="s">
        <v>9938</v>
      </c>
    </row>
    <row r="1115">
      <c r="A1115" s="2" t="s">
        <v>11051</v>
      </c>
      <c r="B1115" s="3" t="str">
        <f>C1115 &amp; " -&gt; " &amp; D1115</f>
        <v>principal-process-steward -&gt; ProcedureExecutions.HasDelivered</v>
      </c>
      <c r="C1115" s="2" t="s">
        <v>9706</v>
      </c>
      <c r="D1115" s="2" t="s">
        <v>3430</v>
      </c>
      <c r="E1115" s="2" t="b">
        <v>1</v>
      </c>
      <c r="F1115" s="2" t="b">
        <v>0</v>
      </c>
      <c r="G1115" s="2" t="s">
        <v>9937</v>
      </c>
      <c r="H1115" s="3" t="str">
        <f>_xlfn.IFNA(INDEX(RulebookFields!C2:C999, MATCH(D1115,RulebookFields!A2:A999, 0)), "")</f>
        <v>ProcedureExecutions</v>
      </c>
      <c r="I1115" s="3" t="str">
        <f>_xlfn.IFNA(INDEX(RulebookFields!D2:D999, MATCH(D1115,RulebookFields!A2:A999, 0)), "")</f>
        <v>HasDelivered</v>
      </c>
      <c r="J1115" s="3" t="b">
        <f>_xlfn.IFNA(INDEX(RulebookFields!I2:I999, MATCH(D1115,RulebookFields!A2:A999, 0)), "")</f>
        <v>1</v>
      </c>
      <c r="K1115" s="3" t="b">
        <f>AND(F1115, J1115)</f>
        <v>0</v>
      </c>
      <c r="L1115" s="3" t="b">
        <f>AND(G1115 &lt;&gt; "plain", G1115 &lt;&gt; "")</f>
        <v>0</v>
      </c>
      <c r="M1115" s="3" t="str">
        <f>IF(E1115, C1115 &amp; "|" &amp; H1115, "")</f>
        <v>principal-process-steward|ProcedureExecutions</v>
      </c>
      <c r="N1115" s="2" t="s">
        <v>9938</v>
      </c>
    </row>
    <row r="1116">
      <c r="A1116" s="2" t="s">
        <v>11052</v>
      </c>
      <c r="B1116" s="3" t="str">
        <f>C1116 &amp; " -&gt; " &amp; D1116</f>
        <v>principal-process-steward -&gt; ProcedureExecutions.DeliveredWithoutApproval</v>
      </c>
      <c r="C1116" s="2" t="s">
        <v>9706</v>
      </c>
      <c r="D1116" s="2" t="s">
        <v>3432</v>
      </c>
      <c r="E1116" s="2" t="b">
        <v>1</v>
      </c>
      <c r="F1116" s="2" t="b">
        <v>0</v>
      </c>
      <c r="G1116" s="2" t="s">
        <v>9937</v>
      </c>
      <c r="H1116" s="3" t="str">
        <f>_xlfn.IFNA(INDEX(RulebookFields!C2:C999, MATCH(D1116,RulebookFields!A2:A999, 0)), "")</f>
        <v>ProcedureExecutions</v>
      </c>
      <c r="I1116" s="3" t="str">
        <f>_xlfn.IFNA(INDEX(RulebookFields!D2:D999, MATCH(D1116,RulebookFields!A2:A999, 0)), "")</f>
        <v>DeliveredWithoutApproval</v>
      </c>
      <c r="J1116" s="3" t="b">
        <f>_xlfn.IFNA(INDEX(RulebookFields!I2:I999, MATCH(D1116,RulebookFields!A2:A999, 0)), "")</f>
        <v>1</v>
      </c>
      <c r="K1116" s="3" t="b">
        <f>AND(F1116, J1116)</f>
        <v>0</v>
      </c>
      <c r="L1116" s="3" t="b">
        <f>AND(G1116 &lt;&gt; "plain", G1116 &lt;&gt; "")</f>
        <v>0</v>
      </c>
      <c r="M1116" s="3" t="str">
        <f>IF(E1116, C1116 &amp; "|" &amp; H1116, "")</f>
        <v>principal-process-steward|ProcedureExecutions</v>
      </c>
      <c r="N1116" s="2" t="s">
        <v>9938</v>
      </c>
    </row>
    <row r="1117">
      <c r="A1117" s="2" t="s">
        <v>11053</v>
      </c>
      <c r="B1117" s="3" t="str">
        <f>C1117 &amp; " -&gt; " &amp; D1117</f>
        <v>principal-process-steward -&gt; ProcedureExecutions.InvalidApprovalCount</v>
      </c>
      <c r="C1117" s="2" t="s">
        <v>9706</v>
      </c>
      <c r="D1117" s="2" t="s">
        <v>3434</v>
      </c>
      <c r="E1117" s="2" t="b">
        <v>1</v>
      </c>
      <c r="F1117" s="2" t="b">
        <v>0</v>
      </c>
      <c r="G1117" s="2" t="s">
        <v>9937</v>
      </c>
      <c r="H1117" s="3" t="str">
        <f>_xlfn.IFNA(INDEX(RulebookFields!C2:C999, MATCH(D1117,RulebookFields!A2:A999, 0)), "")</f>
        <v>ProcedureExecutions</v>
      </c>
      <c r="I1117" s="3" t="str">
        <f>_xlfn.IFNA(INDEX(RulebookFields!D2:D999, MATCH(D1117,RulebookFields!A2:A999, 0)), "")</f>
        <v>InvalidApprovalCount</v>
      </c>
      <c r="J1117" s="3" t="b">
        <f>_xlfn.IFNA(INDEX(RulebookFields!I2:I999, MATCH(D1117,RulebookFields!A2:A999, 0)), "")</f>
        <v>1</v>
      </c>
      <c r="K1117" s="3" t="b">
        <f>AND(F1117, J1117)</f>
        <v>0</v>
      </c>
      <c r="L1117" s="3" t="b">
        <f>AND(G1117 &lt;&gt; "plain", G1117 &lt;&gt; "")</f>
        <v>0</v>
      </c>
      <c r="M1117" s="3" t="str">
        <f>IF(E1117, C1117 &amp; "|" &amp; H1117, "")</f>
        <v>principal-process-steward|ProcedureExecutions</v>
      </c>
      <c r="N1117" s="2" t="s">
        <v>9938</v>
      </c>
    </row>
    <row r="1118">
      <c r="A1118" s="2" t="s">
        <v>11054</v>
      </c>
      <c r="B1118" s="3" t="str">
        <f>C1118 &amp; " -&gt; " &amp; D1118</f>
        <v>principal-process-steward -&gt; ProcedureExecutions.ApprovalChainIsComplete</v>
      </c>
      <c r="C1118" s="2" t="s">
        <v>9706</v>
      </c>
      <c r="D1118" s="2" t="s">
        <v>3436</v>
      </c>
      <c r="E1118" s="2" t="b">
        <v>1</v>
      </c>
      <c r="F1118" s="2" t="b">
        <v>0</v>
      </c>
      <c r="G1118" s="2" t="s">
        <v>9937</v>
      </c>
      <c r="H1118" s="3" t="str">
        <f>_xlfn.IFNA(INDEX(RulebookFields!C2:C999, MATCH(D1118,RulebookFields!A2:A999, 0)), "")</f>
        <v>ProcedureExecutions</v>
      </c>
      <c r="I1118" s="3" t="str">
        <f>_xlfn.IFNA(INDEX(RulebookFields!D2:D999, MATCH(D1118,RulebookFields!A2:A999, 0)), "")</f>
        <v>ApprovalChainIsComplete</v>
      </c>
      <c r="J1118" s="3" t="b">
        <f>_xlfn.IFNA(INDEX(RulebookFields!I2:I999, MATCH(D1118,RulebookFields!A2:A999, 0)), "")</f>
        <v>1</v>
      </c>
      <c r="K1118" s="3" t="b">
        <f>AND(F1118, J1118)</f>
        <v>0</v>
      </c>
      <c r="L1118" s="3" t="b">
        <f>AND(G1118 &lt;&gt; "plain", G1118 &lt;&gt; "")</f>
        <v>0</v>
      </c>
      <c r="M1118" s="3" t="str">
        <f>IF(E1118, C1118 &amp; "|" &amp; H1118, "")</f>
        <v>principal-process-steward|ProcedureExecutions</v>
      </c>
      <c r="N1118" s="2" t="s">
        <v>9938</v>
      </c>
    </row>
    <row r="1119">
      <c r="A1119" s="2" t="s">
        <v>11055</v>
      </c>
      <c r="B1119" s="3" t="str">
        <f>C1119 &amp; " -&gt; " &amp; D1119</f>
        <v>principal-process-steward -&gt; ProcedureExecutions.VacuouslyCleanStepCount</v>
      </c>
      <c r="C1119" s="2" t="s">
        <v>9706</v>
      </c>
      <c r="D1119" s="2" t="s">
        <v>3438</v>
      </c>
      <c r="E1119" s="2" t="b">
        <v>1</v>
      </c>
      <c r="F1119" s="2" t="b">
        <v>0</v>
      </c>
      <c r="G1119" s="2" t="s">
        <v>9937</v>
      </c>
      <c r="H1119" s="3" t="str">
        <f>_xlfn.IFNA(INDEX(RulebookFields!C2:C999, MATCH(D1119,RulebookFields!A2:A999, 0)), "")</f>
        <v>ProcedureExecutions</v>
      </c>
      <c r="I1119" s="3" t="str">
        <f>_xlfn.IFNA(INDEX(RulebookFields!D2:D999, MATCH(D1119,RulebookFields!A2:A999, 0)), "")</f>
        <v>VacuouslyCleanStepCount</v>
      </c>
      <c r="J1119" s="3" t="b">
        <f>_xlfn.IFNA(INDEX(RulebookFields!I2:I999, MATCH(D1119,RulebookFields!A2:A999, 0)), "")</f>
        <v>1</v>
      </c>
      <c r="K1119" s="3" t="b">
        <f>AND(F1119, J1119)</f>
        <v>0</v>
      </c>
      <c r="L1119" s="3" t="b">
        <f>AND(G1119 &lt;&gt; "plain", G1119 &lt;&gt; "")</f>
        <v>0</v>
      </c>
      <c r="M1119" s="3" t="str">
        <f>IF(E1119, C1119 &amp; "|" &amp; H1119, "")</f>
        <v>principal-process-steward|ProcedureExecutions</v>
      </c>
      <c r="N1119" s="2" t="s">
        <v>9938</v>
      </c>
    </row>
    <row r="1120">
      <c r="A1120" s="2" t="s">
        <v>11056</v>
      </c>
      <c r="B1120" s="3" t="str">
        <f>C1120 &amp; " -&gt; " &amp; D1120</f>
        <v>principal-process-steward -&gt; ProcedureExecutions.PreparationStepCount</v>
      </c>
      <c r="C1120" s="2" t="s">
        <v>9706</v>
      </c>
      <c r="D1120" s="2" t="s">
        <v>3440</v>
      </c>
      <c r="E1120" s="2" t="b">
        <v>1</v>
      </c>
      <c r="F1120" s="2" t="b">
        <v>0</v>
      </c>
      <c r="G1120" s="2" t="s">
        <v>9937</v>
      </c>
      <c r="H1120" s="3" t="str">
        <f>_xlfn.IFNA(INDEX(RulebookFields!C2:C999, MATCH(D1120,RulebookFields!A2:A999, 0)), "")</f>
        <v>ProcedureExecutions</v>
      </c>
      <c r="I1120" s="3" t="str">
        <f>_xlfn.IFNA(INDEX(RulebookFields!D2:D999, MATCH(D1120,RulebookFields!A2:A999, 0)), "")</f>
        <v>PreparationStepCount</v>
      </c>
      <c r="J1120" s="3" t="b">
        <f>_xlfn.IFNA(INDEX(RulebookFields!I2:I999, MATCH(D1120,RulebookFields!A2:A999, 0)), "")</f>
        <v>1</v>
      </c>
      <c r="K1120" s="3" t="b">
        <f>AND(F1120, J1120)</f>
        <v>0</v>
      </c>
      <c r="L1120" s="3" t="b">
        <f>AND(G1120 &lt;&gt; "plain", G1120 &lt;&gt; "")</f>
        <v>0</v>
      </c>
      <c r="M1120" s="3" t="str">
        <f>IF(E1120, C1120 &amp; "|" &amp; H1120, "")</f>
        <v>principal-process-steward|ProcedureExecutions</v>
      </c>
      <c r="N1120" s="2" t="s">
        <v>9938</v>
      </c>
    </row>
    <row r="1121">
      <c r="A1121" s="2" t="s">
        <v>11057</v>
      </c>
      <c r="B1121" s="3" t="str">
        <f>C1121 &amp; " -&gt; " &amp; D1121</f>
        <v>principal-process-steward -&gt; ProcedureExecutions.ApprovalStepCount</v>
      </c>
      <c r="C1121" s="2" t="s">
        <v>9706</v>
      </c>
      <c r="D1121" s="2" t="s">
        <v>3442</v>
      </c>
      <c r="E1121" s="2" t="b">
        <v>1</v>
      </c>
      <c r="F1121" s="2" t="b">
        <v>0</v>
      </c>
      <c r="G1121" s="2" t="s">
        <v>9937</v>
      </c>
      <c r="H1121" s="3" t="str">
        <f>_xlfn.IFNA(INDEX(RulebookFields!C2:C999, MATCH(D1121,RulebookFields!A2:A999, 0)), "")</f>
        <v>ProcedureExecutions</v>
      </c>
      <c r="I1121" s="3" t="str">
        <f>_xlfn.IFNA(INDEX(RulebookFields!D2:D999, MATCH(D1121,RulebookFields!A2:A999, 0)), "")</f>
        <v>ApprovalStepCount</v>
      </c>
      <c r="J1121" s="3" t="b">
        <f>_xlfn.IFNA(INDEX(RulebookFields!I2:I999, MATCH(D1121,RulebookFields!A2:A999, 0)), "")</f>
        <v>1</v>
      </c>
      <c r="K1121" s="3" t="b">
        <f>AND(F1121, J1121)</f>
        <v>0</v>
      </c>
      <c r="L1121" s="3" t="b">
        <f>AND(G1121 &lt;&gt; "plain", G1121 &lt;&gt; "")</f>
        <v>0</v>
      </c>
      <c r="M1121" s="3" t="str">
        <f>IF(E1121, C1121 &amp; "|" &amp; H1121, "")</f>
        <v>principal-process-steward|ProcedureExecutions</v>
      </c>
      <c r="N1121" s="2" t="s">
        <v>9938</v>
      </c>
    </row>
    <row r="1122">
      <c r="A1122" s="2" t="s">
        <v>11058</v>
      </c>
      <c r="B1122" s="3" t="str">
        <f>C1122 &amp; " -&gt; " &amp; D1122</f>
        <v>principal-process-steward -&gt; ProcedureExecutions.SeparationWasTestable</v>
      </c>
      <c r="C1122" s="2" t="s">
        <v>9706</v>
      </c>
      <c r="D1122" s="2" t="s">
        <v>3444</v>
      </c>
      <c r="E1122" s="2" t="b">
        <v>1</v>
      </c>
      <c r="F1122" s="2" t="b">
        <v>0</v>
      </c>
      <c r="G1122" s="2" t="s">
        <v>9937</v>
      </c>
      <c r="H1122" s="3" t="str">
        <f>_xlfn.IFNA(INDEX(RulebookFields!C2:C999, MATCH(D1122,RulebookFields!A2:A999, 0)), "")</f>
        <v>ProcedureExecutions</v>
      </c>
      <c r="I1122" s="3" t="str">
        <f>_xlfn.IFNA(INDEX(RulebookFields!D2:D999, MATCH(D1122,RulebookFields!A2:A999, 0)), "")</f>
        <v>SeparationWasTestable</v>
      </c>
      <c r="J1122" s="3" t="b">
        <f>_xlfn.IFNA(INDEX(RulebookFields!I2:I999, MATCH(D1122,RulebookFields!A2:A999, 0)), "")</f>
        <v>1</v>
      </c>
      <c r="K1122" s="3" t="b">
        <f>AND(F1122, J1122)</f>
        <v>0</v>
      </c>
      <c r="L1122" s="3" t="b">
        <f>AND(G1122 &lt;&gt; "plain", G1122 &lt;&gt; "")</f>
        <v>0</v>
      </c>
      <c r="M1122" s="3" t="str">
        <f>IF(E1122, C1122 &amp; "|" &amp; H1122, "")</f>
        <v>principal-process-steward|ProcedureExecutions</v>
      </c>
      <c r="N1122" s="2" t="s">
        <v>9938</v>
      </c>
    </row>
    <row r="1123">
      <c r="A1123" s="2" t="s">
        <v>11059</v>
      </c>
      <c r="B1123" s="3" t="str">
        <f>C1123 &amp; " -&gt; " &amp; D1123</f>
        <v>principal-process-steward -&gt; ProcedureExecutions.SeparationHeldUnderTest</v>
      </c>
      <c r="C1123" s="2" t="s">
        <v>9706</v>
      </c>
      <c r="D1123" s="2" t="s">
        <v>3446</v>
      </c>
      <c r="E1123" s="2" t="b">
        <v>1</v>
      </c>
      <c r="F1123" s="2" t="b">
        <v>0</v>
      </c>
      <c r="G1123" s="2" t="s">
        <v>9937</v>
      </c>
      <c r="H1123" s="3" t="str">
        <f>_xlfn.IFNA(INDEX(RulebookFields!C2:C999, MATCH(D1123,RulebookFields!A2:A999, 0)), "")</f>
        <v>ProcedureExecutions</v>
      </c>
      <c r="I1123" s="3" t="str">
        <f>_xlfn.IFNA(INDEX(RulebookFields!D2:D999, MATCH(D1123,RulebookFields!A2:A999, 0)), "")</f>
        <v>SeparationHeldUnderTest</v>
      </c>
      <c r="J1123" s="3" t="b">
        <f>_xlfn.IFNA(INDEX(RulebookFields!I2:I999, MATCH(D1123,RulebookFields!A2:A999, 0)), "")</f>
        <v>1</v>
      </c>
      <c r="K1123" s="3" t="b">
        <f>AND(F1123, J1123)</f>
        <v>0</v>
      </c>
      <c r="L1123" s="3" t="b">
        <f>AND(G1123 &lt;&gt; "plain", G1123 &lt;&gt; "")</f>
        <v>0</v>
      </c>
      <c r="M1123" s="3" t="str">
        <f>IF(E1123, C1123 &amp; "|" &amp; H1123, "")</f>
        <v>principal-process-steward|ProcedureExecutions</v>
      </c>
      <c r="N1123" s="2" t="s">
        <v>9938</v>
      </c>
    </row>
    <row r="1124">
      <c r="A1124" s="2" t="s">
        <v>11060</v>
      </c>
      <c r="B1124" s="3" t="str">
        <f>C1124 &amp; " -&gt; " &amp; D1124</f>
        <v>principal-process-steward -&gt; ProcedureExecutions.SeparationIsVacuouslyGreen</v>
      </c>
      <c r="C1124" s="2" t="s">
        <v>9706</v>
      </c>
      <c r="D1124" s="2" t="s">
        <v>3448</v>
      </c>
      <c r="E1124" s="2" t="b">
        <v>1</v>
      </c>
      <c r="F1124" s="2" t="b">
        <v>0</v>
      </c>
      <c r="G1124" s="2" t="s">
        <v>9937</v>
      </c>
      <c r="H1124" s="3" t="str">
        <f>_xlfn.IFNA(INDEX(RulebookFields!C2:C999, MATCH(D1124,RulebookFields!A2:A999, 0)), "")</f>
        <v>ProcedureExecutions</v>
      </c>
      <c r="I1124" s="3" t="str">
        <f>_xlfn.IFNA(INDEX(RulebookFields!D2:D999, MATCH(D1124,RulebookFields!A2:A999, 0)), "")</f>
        <v>SeparationIsVacuouslyGreen</v>
      </c>
      <c r="J1124" s="3" t="b">
        <f>_xlfn.IFNA(INDEX(RulebookFields!I2:I999, MATCH(D1124,RulebookFields!A2:A999, 0)), "")</f>
        <v>1</v>
      </c>
      <c r="K1124" s="3" t="b">
        <f>AND(F1124, J1124)</f>
        <v>0</v>
      </c>
      <c r="L1124" s="3" t="b">
        <f>AND(G1124 &lt;&gt; "plain", G1124 &lt;&gt; "")</f>
        <v>0</v>
      </c>
      <c r="M1124" s="3" t="str">
        <f>IF(E1124, C1124 &amp; "|" &amp; H1124, "")</f>
        <v>principal-process-steward|ProcedureExecutions</v>
      </c>
      <c r="N1124" s="2" t="s">
        <v>9938</v>
      </c>
    </row>
    <row r="1125">
      <c r="A1125" s="2" t="s">
        <v>11061</v>
      </c>
      <c r="B1125" s="3" t="str">
        <f>C1125 &amp; " -&gt; " &amp; D1125</f>
        <v>principal-process-steward -&gt; ProcedureExecutions.SeparationAssuranceNote</v>
      </c>
      <c r="C1125" s="2" t="s">
        <v>9706</v>
      </c>
      <c r="D1125" s="2" t="s">
        <v>3450</v>
      </c>
      <c r="E1125" s="2" t="b">
        <v>1</v>
      </c>
      <c r="F1125" s="2" t="b">
        <v>0</v>
      </c>
      <c r="G1125" s="2" t="s">
        <v>9937</v>
      </c>
      <c r="H1125" s="3" t="str">
        <f>_xlfn.IFNA(INDEX(RulebookFields!C2:C999, MATCH(D1125,RulebookFields!A2:A999, 0)), "")</f>
        <v>ProcedureExecutions</v>
      </c>
      <c r="I1125" s="3" t="str">
        <f>_xlfn.IFNA(INDEX(RulebookFields!D2:D999, MATCH(D1125,RulebookFields!A2:A999, 0)), "")</f>
        <v>SeparationAssuranceNote</v>
      </c>
      <c r="J1125" s="3" t="b">
        <f>_xlfn.IFNA(INDEX(RulebookFields!I2:I999, MATCH(D1125,RulebookFields!A2:A999, 0)), "")</f>
        <v>1</v>
      </c>
      <c r="K1125" s="3" t="b">
        <f>AND(F1125, J1125)</f>
        <v>0</v>
      </c>
      <c r="L1125" s="3" t="b">
        <f>AND(G1125 &lt;&gt; "plain", G1125 &lt;&gt; "")</f>
        <v>0</v>
      </c>
      <c r="M1125" s="3" t="str">
        <f>IF(E1125, C1125 &amp; "|" &amp; H1125, "")</f>
        <v>principal-process-steward|ProcedureExecutions</v>
      </c>
      <c r="N1125" s="2" t="s">
        <v>9938</v>
      </c>
    </row>
    <row r="1126">
      <c r="A1126" s="2" t="s">
        <v>11062</v>
      </c>
      <c r="B1126" s="3" t="str">
        <f>C1126 &amp; " -&gt; " &amp; D1126</f>
        <v>principal-process-steward -&gt; ProcedureExecutions.UngovernedDivergenceCount</v>
      </c>
      <c r="C1126" s="2" t="s">
        <v>9706</v>
      </c>
      <c r="D1126" s="2" t="s">
        <v>3452</v>
      </c>
      <c r="E1126" s="2" t="b">
        <v>1</v>
      </c>
      <c r="F1126" s="2" t="b">
        <v>0</v>
      </c>
      <c r="G1126" s="2" t="s">
        <v>9937</v>
      </c>
      <c r="H1126" s="3" t="str">
        <f>_xlfn.IFNA(INDEX(RulebookFields!C2:C999, MATCH(D1126,RulebookFields!A2:A999, 0)), "")</f>
        <v>ProcedureExecutions</v>
      </c>
      <c r="I1126" s="3" t="str">
        <f>_xlfn.IFNA(INDEX(RulebookFields!D2:D999, MATCH(D1126,RulebookFields!A2:A999, 0)), "")</f>
        <v>UngovernedDivergenceCount</v>
      </c>
      <c r="J1126" s="3" t="b">
        <f>_xlfn.IFNA(INDEX(RulebookFields!I2:I999, MATCH(D1126,RulebookFields!A2:A999, 0)), "")</f>
        <v>1</v>
      </c>
      <c r="K1126" s="3" t="b">
        <f>AND(F1126, J1126)</f>
        <v>0</v>
      </c>
      <c r="L1126" s="3" t="b">
        <f>AND(G1126 &lt;&gt; "plain", G1126 &lt;&gt; "")</f>
        <v>0</v>
      </c>
      <c r="M1126" s="3" t="str">
        <f>IF(E1126, C1126 &amp; "|" &amp; H1126, "")</f>
        <v>principal-process-steward|ProcedureExecutions</v>
      </c>
      <c r="N1126" s="2" t="s">
        <v>9938</v>
      </c>
    </row>
    <row r="1127">
      <c r="A1127" s="2" t="s">
        <v>11063</v>
      </c>
      <c r="B1127" s="3" t="str">
        <f>C1127 &amp; " -&gt; " &amp; D1127</f>
        <v>principal-process-steward -&gt; ProcedureExecutions.DivergenceWasFullyGoverned</v>
      </c>
      <c r="C1127" s="2" t="s">
        <v>9706</v>
      </c>
      <c r="D1127" s="2" t="s">
        <v>3454</v>
      </c>
      <c r="E1127" s="2" t="b">
        <v>1</v>
      </c>
      <c r="F1127" s="2" t="b">
        <v>0</v>
      </c>
      <c r="G1127" s="2" t="s">
        <v>9937</v>
      </c>
      <c r="H1127" s="3" t="str">
        <f>_xlfn.IFNA(INDEX(RulebookFields!C2:C999, MATCH(D1127,RulebookFields!A2:A999, 0)), "")</f>
        <v>ProcedureExecutions</v>
      </c>
      <c r="I1127" s="3" t="str">
        <f>_xlfn.IFNA(INDEX(RulebookFields!D2:D999, MATCH(D1127,RulebookFields!A2:A999, 0)), "")</f>
        <v>DivergenceWasFullyGoverned</v>
      </c>
      <c r="J1127" s="3" t="b">
        <f>_xlfn.IFNA(INDEX(RulebookFields!I2:I999, MATCH(D1127,RulebookFields!A2:A999, 0)), "")</f>
        <v>1</v>
      </c>
      <c r="K1127" s="3" t="b">
        <f>AND(F1127, J1127)</f>
        <v>0</v>
      </c>
      <c r="L1127" s="3" t="b">
        <f>AND(G1127 &lt;&gt; "plain", G1127 &lt;&gt; "")</f>
        <v>0</v>
      </c>
      <c r="M1127" s="3" t="str">
        <f>IF(E1127, C1127 &amp; "|" &amp; H1127, "")</f>
        <v>principal-process-steward|ProcedureExecutions</v>
      </c>
      <c r="N1127" s="2" t="s">
        <v>9938</v>
      </c>
    </row>
    <row r="1128">
      <c r="A1128" s="2" t="s">
        <v>11064</v>
      </c>
      <c r="B1128" s="3" t="str">
        <f>C1128 &amp; " -&gt; " &amp; D1128</f>
        <v>principal-process-steward -&gt; ProcedureExecutions.ComputedlyWitnessedControlCount</v>
      </c>
      <c r="C1128" s="2" t="s">
        <v>9706</v>
      </c>
      <c r="D1128" s="2" t="s">
        <v>3456</v>
      </c>
      <c r="E1128" s="2" t="b">
        <v>1</v>
      </c>
      <c r="F1128" s="2" t="b">
        <v>0</v>
      </c>
      <c r="G1128" s="2" t="s">
        <v>9937</v>
      </c>
      <c r="H1128" s="3" t="str">
        <f>_xlfn.IFNA(INDEX(RulebookFields!C2:C999, MATCH(D1128,RulebookFields!A2:A999, 0)), "")</f>
        <v>ProcedureExecutions</v>
      </c>
      <c r="I1128" s="3" t="str">
        <f>_xlfn.IFNA(INDEX(RulebookFields!D2:D999, MATCH(D1128,RulebookFields!A2:A999, 0)), "")</f>
        <v>ComputedlyWitnessedControlCount</v>
      </c>
      <c r="J1128" s="3" t="b">
        <f>_xlfn.IFNA(INDEX(RulebookFields!I2:I999, MATCH(D1128,RulebookFields!A2:A999, 0)), "")</f>
        <v>1</v>
      </c>
      <c r="K1128" s="3" t="b">
        <f>AND(F1128, J1128)</f>
        <v>0</v>
      </c>
      <c r="L1128" s="3" t="b">
        <f>AND(G1128 &lt;&gt; "plain", G1128 &lt;&gt; "")</f>
        <v>0</v>
      </c>
      <c r="M1128" s="3" t="str">
        <f>IF(E1128, C1128 &amp; "|" &amp; H1128, "")</f>
        <v>principal-process-steward|ProcedureExecutions</v>
      </c>
      <c r="N1128" s="2" t="s">
        <v>9938</v>
      </c>
    </row>
    <row r="1129">
      <c r="A1129" s="2" t="s">
        <v>11065</v>
      </c>
      <c r="B1129" s="3" t="str">
        <f>C1129 &amp; " -&gt; " &amp; D1129</f>
        <v>principal-process-steward -&gt; ProcedureExecutions.EvaluatedControlCount</v>
      </c>
      <c r="C1129" s="2" t="s">
        <v>9706</v>
      </c>
      <c r="D1129" s="2" t="s">
        <v>3458</v>
      </c>
      <c r="E1129" s="2" t="b">
        <v>1</v>
      </c>
      <c r="F1129" s="2" t="b">
        <v>0</v>
      </c>
      <c r="G1129" s="2" t="s">
        <v>9937</v>
      </c>
      <c r="H1129" s="3" t="str">
        <f>_xlfn.IFNA(INDEX(RulebookFields!C2:C999, MATCH(D1129,RulebookFields!A2:A999, 0)), "")</f>
        <v>ProcedureExecutions</v>
      </c>
      <c r="I1129" s="3" t="str">
        <f>_xlfn.IFNA(INDEX(RulebookFields!D2:D999, MATCH(D1129,RulebookFields!A2:A999, 0)), "")</f>
        <v>EvaluatedControlCount</v>
      </c>
      <c r="J1129" s="3" t="b">
        <f>_xlfn.IFNA(INDEX(RulebookFields!I2:I999, MATCH(D1129,RulebookFields!A2:A999, 0)), "")</f>
        <v>1</v>
      </c>
      <c r="K1129" s="3" t="b">
        <f>AND(F1129, J1129)</f>
        <v>0</v>
      </c>
      <c r="L1129" s="3" t="b">
        <f>AND(G1129 &lt;&gt; "plain", G1129 &lt;&gt; "")</f>
        <v>0</v>
      </c>
      <c r="M1129" s="3" t="str">
        <f>IF(E1129, C1129 &amp; "|" &amp; H1129, "")</f>
        <v>principal-process-steward|ProcedureExecutions</v>
      </c>
      <c r="N1129" s="2" t="s">
        <v>9938</v>
      </c>
    </row>
    <row r="1130">
      <c r="A1130" s="2" t="s">
        <v>11066</v>
      </c>
      <c r="B1130" s="3" t="str">
        <f>C1130 &amp; " -&gt; " &amp; D1130</f>
        <v>principal-process-steward -&gt; ProcedureExecutions.ComputedAssuranceRatio</v>
      </c>
      <c r="C1130" s="2" t="s">
        <v>9706</v>
      </c>
      <c r="D1130" s="2" t="s">
        <v>3460</v>
      </c>
      <c r="E1130" s="2" t="b">
        <v>1</v>
      </c>
      <c r="F1130" s="2" t="b">
        <v>0</v>
      </c>
      <c r="G1130" s="2" t="s">
        <v>9937</v>
      </c>
      <c r="H1130" s="3" t="str">
        <f>_xlfn.IFNA(INDEX(RulebookFields!C2:C999, MATCH(D1130,RulebookFields!A2:A999, 0)), "")</f>
        <v>ProcedureExecutions</v>
      </c>
      <c r="I1130" s="3" t="str">
        <f>_xlfn.IFNA(INDEX(RulebookFields!D2:D999, MATCH(D1130,RulebookFields!A2:A999, 0)), "")</f>
        <v>ComputedAssuranceRatio</v>
      </c>
      <c r="J1130" s="3" t="b">
        <f>_xlfn.IFNA(INDEX(RulebookFields!I2:I999, MATCH(D1130,RulebookFields!A2:A999, 0)), "")</f>
        <v>1</v>
      </c>
      <c r="K1130" s="3" t="b">
        <f>AND(F1130, J1130)</f>
        <v>0</v>
      </c>
      <c r="L1130" s="3" t="b">
        <f>AND(G1130 &lt;&gt; "plain", G1130 &lt;&gt; "")</f>
        <v>0</v>
      </c>
      <c r="M1130" s="3" t="str">
        <f>IF(E1130, C1130 &amp; "|" &amp; H1130, "")</f>
        <v>principal-process-steward|ProcedureExecutions</v>
      </c>
      <c r="N1130" s="2" t="s">
        <v>9938</v>
      </c>
    </row>
    <row r="1131">
      <c r="A1131" s="2" t="s">
        <v>11067</v>
      </c>
      <c r="B1131" s="3" t="str">
        <f>C1131 &amp; " -&gt; " &amp; D1131</f>
        <v>principal-process-steward -&gt; ProcedureExecutions.InterestedPartyAssertionCount</v>
      </c>
      <c r="C1131" s="2" t="s">
        <v>9706</v>
      </c>
      <c r="D1131" s="2" t="s">
        <v>3462</v>
      </c>
      <c r="E1131" s="2" t="b">
        <v>1</v>
      </c>
      <c r="F1131" s="2" t="b">
        <v>0</v>
      </c>
      <c r="G1131" s="2" t="s">
        <v>9937</v>
      </c>
      <c r="H1131" s="3" t="str">
        <f>_xlfn.IFNA(INDEX(RulebookFields!C2:C999, MATCH(D1131,RulebookFields!A2:A999, 0)), "")</f>
        <v>ProcedureExecutions</v>
      </c>
      <c r="I1131" s="3" t="str">
        <f>_xlfn.IFNA(INDEX(RulebookFields!D2:D999, MATCH(D1131,RulebookFields!A2:A999, 0)), "")</f>
        <v>InterestedPartyAssertionCount</v>
      </c>
      <c r="J1131" s="3" t="b">
        <f>_xlfn.IFNA(INDEX(RulebookFields!I2:I999, MATCH(D1131,RulebookFields!A2:A999, 0)), "")</f>
        <v>1</v>
      </c>
      <c r="K1131" s="3" t="b">
        <f>AND(F1131, J1131)</f>
        <v>0</v>
      </c>
      <c r="L1131" s="3" t="b">
        <f>AND(G1131 &lt;&gt; "plain", G1131 &lt;&gt; "")</f>
        <v>0</v>
      </c>
      <c r="M1131" s="3" t="str">
        <f>IF(E1131, C1131 &amp; "|" &amp; H1131, "")</f>
        <v>principal-process-steward|ProcedureExecutions</v>
      </c>
      <c r="N1131" s="2" t="s">
        <v>9938</v>
      </c>
    </row>
    <row r="1132">
      <c r="A1132" s="2" t="s">
        <v>11068</v>
      </c>
      <c r="B1132" s="3" t="str">
        <f>C1132 &amp; " -&gt; " &amp; D1132</f>
        <v>principal-process-steward -&gt; ProcedureExecutions.AssuranceGrade</v>
      </c>
      <c r="C1132" s="2" t="s">
        <v>9706</v>
      </c>
      <c r="D1132" s="2" t="s">
        <v>3464</v>
      </c>
      <c r="E1132" s="2" t="b">
        <v>1</v>
      </c>
      <c r="F1132" s="2" t="b">
        <v>0</v>
      </c>
      <c r="G1132" s="2" t="s">
        <v>9937</v>
      </c>
      <c r="H1132" s="3" t="str">
        <f>_xlfn.IFNA(INDEX(RulebookFields!C2:C999, MATCH(D1132,RulebookFields!A2:A999, 0)), "")</f>
        <v>ProcedureExecutions</v>
      </c>
      <c r="I1132" s="3" t="str">
        <f>_xlfn.IFNA(INDEX(RulebookFields!D2:D999, MATCH(D1132,RulebookFields!A2:A999, 0)), "")</f>
        <v>AssuranceGrade</v>
      </c>
      <c r="J1132" s="3" t="b">
        <f>_xlfn.IFNA(INDEX(RulebookFields!I2:I999, MATCH(D1132,RulebookFields!A2:A999, 0)), "")</f>
        <v>1</v>
      </c>
      <c r="K1132" s="3" t="b">
        <f>AND(F1132, J1132)</f>
        <v>0</v>
      </c>
      <c r="L1132" s="3" t="b">
        <f>AND(G1132 &lt;&gt; "plain", G1132 &lt;&gt; "")</f>
        <v>0</v>
      </c>
      <c r="M1132" s="3" t="str">
        <f>IF(E1132, C1132 &amp; "|" &amp; H1132, "")</f>
        <v>principal-process-steward|ProcedureExecutions</v>
      </c>
      <c r="N1132" s="2" t="s">
        <v>9938</v>
      </c>
    </row>
    <row r="1133">
      <c r="A1133" s="2" t="s">
        <v>11069</v>
      </c>
      <c r="B1133" s="3" t="str">
        <f>C1133 &amp; " -&gt; " &amp; D1133</f>
        <v>principal-process-steward -&gt; ProcedureExecutions.AttestationWouldBeWeaklyBased</v>
      </c>
      <c r="C1133" s="2" t="s">
        <v>9706</v>
      </c>
      <c r="D1133" s="2" t="s">
        <v>3466</v>
      </c>
      <c r="E1133" s="2" t="b">
        <v>1</v>
      </c>
      <c r="F1133" s="2" t="b">
        <v>0</v>
      </c>
      <c r="G1133" s="2" t="s">
        <v>9937</v>
      </c>
      <c r="H1133" s="3" t="str">
        <f>_xlfn.IFNA(INDEX(RulebookFields!C2:C999, MATCH(D1133,RulebookFields!A2:A999, 0)), "")</f>
        <v>ProcedureExecutions</v>
      </c>
      <c r="I1133" s="3" t="str">
        <f>_xlfn.IFNA(INDEX(RulebookFields!D2:D999, MATCH(D1133,RulebookFields!A2:A999, 0)), "")</f>
        <v>AttestationWouldBeWeaklyBased</v>
      </c>
      <c r="J1133" s="3" t="b">
        <f>_xlfn.IFNA(INDEX(RulebookFields!I2:I999, MATCH(D1133,RulebookFields!A2:A999, 0)), "")</f>
        <v>1</v>
      </c>
      <c r="K1133" s="3" t="b">
        <f>AND(F1133, J1133)</f>
        <v>0</v>
      </c>
      <c r="L1133" s="3" t="b">
        <f>AND(G1133 &lt;&gt; "plain", G1133 &lt;&gt; "")</f>
        <v>0</v>
      </c>
      <c r="M1133" s="3" t="str">
        <f>IF(E1133, C1133 &amp; "|" &amp; H1133, "")</f>
        <v>principal-process-steward|ProcedureExecutions</v>
      </c>
      <c r="N1133" s="2" t="s">
        <v>9938</v>
      </c>
    </row>
    <row r="1134">
      <c r="A1134" s="2" t="s">
        <v>11070</v>
      </c>
      <c r="B1134" s="3" t="str">
        <f>C1134 &amp; " -&gt; " &amp; D1134</f>
        <v>principal-process-steward -&gt; ProcedureExecutions.IndependentHumanObservationCount</v>
      </c>
      <c r="C1134" s="2" t="s">
        <v>9706</v>
      </c>
      <c r="D1134" s="2" t="s">
        <v>3468</v>
      </c>
      <c r="E1134" s="2" t="b">
        <v>1</v>
      </c>
      <c r="F1134" s="2" t="b">
        <v>0</v>
      </c>
      <c r="G1134" s="2" t="s">
        <v>9937</v>
      </c>
      <c r="H1134" s="3" t="str">
        <f>_xlfn.IFNA(INDEX(RulebookFields!C2:C999, MATCH(D1134,RulebookFields!A2:A999, 0)), "")</f>
        <v>ProcedureExecutions</v>
      </c>
      <c r="I1134" s="3" t="str">
        <f>_xlfn.IFNA(INDEX(RulebookFields!D2:D999, MATCH(D1134,RulebookFields!A2:A999, 0)), "")</f>
        <v>IndependentHumanObservationCount</v>
      </c>
      <c r="J1134" s="3" t="b">
        <f>_xlfn.IFNA(INDEX(RulebookFields!I2:I999, MATCH(D1134,RulebookFields!A2:A999, 0)), "")</f>
        <v>1</v>
      </c>
      <c r="K1134" s="3" t="b">
        <f>AND(F1134, J1134)</f>
        <v>0</v>
      </c>
      <c r="L1134" s="3" t="b">
        <f>AND(G1134 &lt;&gt; "plain", G1134 &lt;&gt; "")</f>
        <v>0</v>
      </c>
      <c r="M1134" s="3" t="str">
        <f>IF(E1134, C1134 &amp; "|" &amp; H1134, "")</f>
        <v>principal-process-steward|ProcedureExecutions</v>
      </c>
      <c r="N1134" s="2" t="s">
        <v>9938</v>
      </c>
    </row>
    <row r="1135">
      <c r="A1135" s="2" t="s">
        <v>11071</v>
      </c>
      <c r="B1135" s="3" t="str">
        <f>C1135 &amp; " -&gt; " &amp; D1135</f>
        <v>principal-process-steward -&gt; ProcedureExecutions.HasAnyIndependentObservation</v>
      </c>
      <c r="C1135" s="2" t="s">
        <v>9706</v>
      </c>
      <c r="D1135" s="2" t="s">
        <v>3470</v>
      </c>
      <c r="E1135" s="2" t="b">
        <v>1</v>
      </c>
      <c r="F1135" s="2" t="b">
        <v>0</v>
      </c>
      <c r="G1135" s="2" t="s">
        <v>9937</v>
      </c>
      <c r="H1135" s="3" t="str">
        <f>_xlfn.IFNA(INDEX(RulebookFields!C2:C999, MATCH(D1135,RulebookFields!A2:A999, 0)), "")</f>
        <v>ProcedureExecutions</v>
      </c>
      <c r="I1135" s="3" t="str">
        <f>_xlfn.IFNA(INDEX(RulebookFields!D2:D999, MATCH(D1135,RulebookFields!A2:A999, 0)), "")</f>
        <v>HasAnyIndependentObservation</v>
      </c>
      <c r="J1135" s="3" t="b">
        <f>_xlfn.IFNA(INDEX(RulebookFields!I2:I999, MATCH(D1135,RulebookFields!A2:A999, 0)), "")</f>
        <v>1</v>
      </c>
      <c r="K1135" s="3" t="b">
        <f>AND(F1135, J1135)</f>
        <v>0</v>
      </c>
      <c r="L1135" s="3" t="b">
        <f>AND(G1135 &lt;&gt; "plain", G1135 &lt;&gt; "")</f>
        <v>0</v>
      </c>
      <c r="M1135" s="3" t="str">
        <f>IF(E1135, C1135 &amp; "|" &amp; H1135, "")</f>
        <v>principal-process-steward|ProcedureExecutions</v>
      </c>
      <c r="N1135" s="2" t="s">
        <v>9938</v>
      </c>
    </row>
    <row r="1136">
      <c r="A1136" s="2" t="s">
        <v>11072</v>
      </c>
      <c r="B1136" s="3" t="str">
        <f>C1136 &amp; " -&gt; " &amp; D1136</f>
        <v>principal-process-steward -&gt; ProcedureExecutions.SelfAttestedApprovalCount</v>
      </c>
      <c r="C1136" s="2" t="s">
        <v>9706</v>
      </c>
      <c r="D1136" s="2" t="s">
        <v>3472</v>
      </c>
      <c r="E1136" s="2" t="b">
        <v>1</v>
      </c>
      <c r="F1136" s="2" t="b">
        <v>0</v>
      </c>
      <c r="G1136" s="2" t="s">
        <v>9937</v>
      </c>
      <c r="H1136" s="3" t="str">
        <f>_xlfn.IFNA(INDEX(RulebookFields!C2:C999, MATCH(D1136,RulebookFields!A2:A999, 0)), "")</f>
        <v>ProcedureExecutions</v>
      </c>
      <c r="I1136" s="3" t="str">
        <f>_xlfn.IFNA(INDEX(RulebookFields!D2:D999, MATCH(D1136,RulebookFields!A2:A999, 0)), "")</f>
        <v>SelfAttestedApprovalCount</v>
      </c>
      <c r="J1136" s="3" t="b">
        <f>_xlfn.IFNA(INDEX(RulebookFields!I2:I999, MATCH(D1136,RulebookFields!A2:A999, 0)), "")</f>
        <v>1</v>
      </c>
      <c r="K1136" s="3" t="b">
        <f>AND(F1136, J1136)</f>
        <v>0</v>
      </c>
      <c r="L1136" s="3" t="b">
        <f>AND(G1136 &lt;&gt; "plain", G1136 &lt;&gt; "")</f>
        <v>0</v>
      </c>
      <c r="M1136" s="3" t="str">
        <f>IF(E1136, C1136 &amp; "|" &amp; H1136, "")</f>
        <v>principal-process-steward|ProcedureExecutions</v>
      </c>
      <c r="N1136" s="2" t="s">
        <v>9938</v>
      </c>
    </row>
    <row r="1137">
      <c r="A1137" s="2" t="s">
        <v>11073</v>
      </c>
      <c r="B1137" s="3" t="str">
        <f>C1137 &amp; " -&gt; " &amp; D1137</f>
        <v>principal-process-steward -&gt; ProcedureExecutions.AssuranceChainIsCircular</v>
      </c>
      <c r="C1137" s="2" t="s">
        <v>9706</v>
      </c>
      <c r="D1137" s="2" t="s">
        <v>3474</v>
      </c>
      <c r="E1137" s="2" t="b">
        <v>1</v>
      </c>
      <c r="F1137" s="2" t="b">
        <v>0</v>
      </c>
      <c r="G1137" s="2" t="s">
        <v>9937</v>
      </c>
      <c r="H1137" s="3" t="str">
        <f>_xlfn.IFNA(INDEX(RulebookFields!C2:C999, MATCH(D1137,RulebookFields!A2:A999, 0)), "")</f>
        <v>ProcedureExecutions</v>
      </c>
      <c r="I1137" s="3" t="str">
        <f>_xlfn.IFNA(INDEX(RulebookFields!D2:D999, MATCH(D1137,RulebookFields!A2:A999, 0)), "")</f>
        <v>AssuranceChainIsCircular</v>
      </c>
      <c r="J1137" s="3" t="b">
        <f>_xlfn.IFNA(INDEX(RulebookFields!I2:I999, MATCH(D1137,RulebookFields!A2:A999, 0)), "")</f>
        <v>1</v>
      </c>
      <c r="K1137" s="3" t="b">
        <f>AND(F1137, J1137)</f>
        <v>0</v>
      </c>
      <c r="L1137" s="3" t="b">
        <f>AND(G1137 &lt;&gt; "plain", G1137 &lt;&gt; "")</f>
        <v>0</v>
      </c>
      <c r="M1137" s="3" t="str">
        <f>IF(E1137, C1137 &amp; "|" &amp; H1137, "")</f>
        <v>principal-process-steward|ProcedureExecutions</v>
      </c>
      <c r="N1137" s="2" t="s">
        <v>9938</v>
      </c>
    </row>
    <row r="1138">
      <c r="A1138" s="2" t="s">
        <v>11074</v>
      </c>
      <c r="B1138" s="3" t="str">
        <f>C1138 &amp; " -&gt; " &amp; D1138</f>
        <v>principal-process-steward -&gt; ProcedureExecutions.LatestAttestationInstant</v>
      </c>
      <c r="C1138" s="2" t="s">
        <v>9706</v>
      </c>
      <c r="D1138" s="2" t="s">
        <v>3476</v>
      </c>
      <c r="E1138" s="2" t="b">
        <v>1</v>
      </c>
      <c r="F1138" s="2" t="b">
        <v>0</v>
      </c>
      <c r="G1138" s="2" t="s">
        <v>9937</v>
      </c>
      <c r="H1138" s="3" t="str">
        <f>_xlfn.IFNA(INDEX(RulebookFields!C2:C999, MATCH(D1138,RulebookFields!A2:A999, 0)), "")</f>
        <v>ProcedureExecutions</v>
      </c>
      <c r="I1138" s="3" t="str">
        <f>_xlfn.IFNA(INDEX(RulebookFields!D2:D999, MATCH(D1138,RulebookFields!A2:A999, 0)), "")</f>
        <v>LatestAttestationInstant</v>
      </c>
      <c r="J1138" s="3" t="b">
        <f>_xlfn.IFNA(INDEX(RulebookFields!I2:I999, MATCH(D1138,RulebookFields!A2:A999, 0)), "")</f>
        <v>1</v>
      </c>
      <c r="K1138" s="3" t="b">
        <f>AND(F1138, J1138)</f>
        <v>0</v>
      </c>
      <c r="L1138" s="3" t="b">
        <f>AND(G1138 &lt;&gt; "plain", G1138 &lt;&gt; "")</f>
        <v>0</v>
      </c>
      <c r="M1138" s="3" t="str">
        <f>IF(E1138, C1138 &amp; "|" &amp; H1138, "")</f>
        <v>principal-process-steward|ProcedureExecutions</v>
      </c>
      <c r="N1138" s="2" t="s">
        <v>9938</v>
      </c>
    </row>
    <row r="1139">
      <c r="A1139" s="2" t="s">
        <v>11075</v>
      </c>
      <c r="B1139" s="3" t="str">
        <f>C1139 &amp; " -&gt; " &amp; D1139</f>
        <v>principal-process-steward -&gt; ProcedureExecutions.HasBeenAttested</v>
      </c>
      <c r="C1139" s="2" t="s">
        <v>9706</v>
      </c>
      <c r="D1139" s="2" t="s">
        <v>3478</v>
      </c>
      <c r="E1139" s="2" t="b">
        <v>1</v>
      </c>
      <c r="F1139" s="2" t="b">
        <v>0</v>
      </c>
      <c r="G1139" s="2" t="s">
        <v>9937</v>
      </c>
      <c r="H1139" s="3" t="str">
        <f>_xlfn.IFNA(INDEX(RulebookFields!C2:C999, MATCH(D1139,RulebookFields!A2:A999, 0)), "")</f>
        <v>ProcedureExecutions</v>
      </c>
      <c r="I1139" s="3" t="str">
        <f>_xlfn.IFNA(INDEX(RulebookFields!D2:D999, MATCH(D1139,RulebookFields!A2:A999, 0)), "")</f>
        <v>HasBeenAttested</v>
      </c>
      <c r="J1139" s="3" t="b">
        <f>_xlfn.IFNA(INDEX(RulebookFields!I2:I999, MATCH(D1139,RulebookFields!A2:A999, 0)), "")</f>
        <v>1</v>
      </c>
      <c r="K1139" s="3" t="b">
        <f>AND(F1139, J1139)</f>
        <v>0</v>
      </c>
      <c r="L1139" s="3" t="b">
        <f>AND(G1139 &lt;&gt; "plain", G1139 &lt;&gt; "")</f>
        <v>0</v>
      </c>
      <c r="M1139" s="3" t="str">
        <f>IF(E1139, C1139 &amp; "|" &amp; H1139, "")</f>
        <v>principal-process-steward|ProcedureExecutions</v>
      </c>
      <c r="N1139" s="2" t="s">
        <v>9938</v>
      </c>
    </row>
    <row r="1140">
      <c r="A1140" s="2" t="s">
        <v>11076</v>
      </c>
      <c r="B1140" s="3" t="str">
        <f>C1140 &amp; " -&gt; " &amp; D1140</f>
        <v>principal-process-steward -&gt; ProcedureExecutions.AttestationCount</v>
      </c>
      <c r="C1140" s="2" t="s">
        <v>9706</v>
      </c>
      <c r="D1140" s="2" t="s">
        <v>3480</v>
      </c>
      <c r="E1140" s="2" t="b">
        <v>1</v>
      </c>
      <c r="F1140" s="2" t="b">
        <v>0</v>
      </c>
      <c r="G1140" s="2" t="s">
        <v>9937</v>
      </c>
      <c r="H1140" s="3" t="str">
        <f>_xlfn.IFNA(INDEX(RulebookFields!C2:C999, MATCH(D1140,RulebookFields!A2:A999, 0)), "")</f>
        <v>ProcedureExecutions</v>
      </c>
      <c r="I1140" s="3" t="str">
        <f>_xlfn.IFNA(INDEX(RulebookFields!D2:D999, MATCH(D1140,RulebookFields!A2:A999, 0)), "")</f>
        <v>AttestationCount</v>
      </c>
      <c r="J1140" s="3" t="b">
        <f>_xlfn.IFNA(INDEX(RulebookFields!I2:I999, MATCH(D1140,RulebookFields!A2:A999, 0)), "")</f>
        <v>1</v>
      </c>
      <c r="K1140" s="3" t="b">
        <f>AND(F1140, J1140)</f>
        <v>0</v>
      </c>
      <c r="L1140" s="3" t="b">
        <f>AND(G1140 &lt;&gt; "plain", G1140 &lt;&gt; "")</f>
        <v>0</v>
      </c>
      <c r="M1140" s="3" t="str">
        <f>IF(E1140, C1140 &amp; "|" &amp; H1140, "")</f>
        <v>principal-process-steward|ProcedureExecutions</v>
      </c>
      <c r="N1140" s="2" t="s">
        <v>9938</v>
      </c>
    </row>
    <row r="1141">
      <c r="A1141" s="2" t="s">
        <v>11077</v>
      </c>
      <c r="B1141" s="3" t="str">
        <f>C1141 &amp; " -&gt; " &amp; D1141</f>
        <v>principal-process-steward -&gt; ProcedureExecutions.PostAttestationScoreCount</v>
      </c>
      <c r="C1141" s="2" t="s">
        <v>9706</v>
      </c>
      <c r="D1141" s="2" t="s">
        <v>3482</v>
      </c>
      <c r="E1141" s="2" t="b">
        <v>1</v>
      </c>
      <c r="F1141" s="2" t="b">
        <v>0</v>
      </c>
      <c r="G1141" s="2" t="s">
        <v>9937</v>
      </c>
      <c r="H1141" s="3" t="str">
        <f>_xlfn.IFNA(INDEX(RulebookFields!C2:C999, MATCH(D1141,RulebookFields!A2:A999, 0)), "")</f>
        <v>ProcedureExecutions</v>
      </c>
      <c r="I1141" s="3" t="str">
        <f>_xlfn.IFNA(INDEX(RulebookFields!D2:D999, MATCH(D1141,RulebookFields!A2:A999, 0)), "")</f>
        <v>PostAttestationScoreCount</v>
      </c>
      <c r="J1141" s="3" t="b">
        <f>_xlfn.IFNA(INDEX(RulebookFields!I2:I999, MATCH(D1141,RulebookFields!A2:A999, 0)), "")</f>
        <v>1</v>
      </c>
      <c r="K1141" s="3" t="b">
        <f>AND(F1141, J1141)</f>
        <v>0</v>
      </c>
      <c r="L1141" s="3" t="b">
        <f>AND(G1141 &lt;&gt; "plain", G1141 &lt;&gt; "")</f>
        <v>0</v>
      </c>
      <c r="M1141" s="3" t="str">
        <f>IF(E1141, C1141 &amp; "|" &amp; H1141, "")</f>
        <v>principal-process-steward|ProcedureExecutions</v>
      </c>
      <c r="N1141" s="2" t="s">
        <v>9938</v>
      </c>
    </row>
    <row r="1142">
      <c r="A1142" s="2" t="s">
        <v>11078</v>
      </c>
      <c r="B1142" s="3" t="str">
        <f>C1142 &amp; " -&gt; " &amp; D1142</f>
        <v>principal-process-steward -&gt; ProcedureExecutions.BasisChangedAfterSignature</v>
      </c>
      <c r="C1142" s="2" t="s">
        <v>9706</v>
      </c>
      <c r="D1142" s="2" t="s">
        <v>3484</v>
      </c>
      <c r="E1142" s="2" t="b">
        <v>1</v>
      </c>
      <c r="F1142" s="2" t="b">
        <v>0</v>
      </c>
      <c r="G1142" s="2" t="s">
        <v>9937</v>
      </c>
      <c r="H1142" s="3" t="str">
        <f>_xlfn.IFNA(INDEX(RulebookFields!C2:C999, MATCH(D1142,RulebookFields!A2:A999, 0)), "")</f>
        <v>ProcedureExecutions</v>
      </c>
      <c r="I1142" s="3" t="str">
        <f>_xlfn.IFNA(INDEX(RulebookFields!D2:D999, MATCH(D1142,RulebookFields!A2:A999, 0)), "")</f>
        <v>BasisChangedAfterSignature</v>
      </c>
      <c r="J1142" s="3" t="b">
        <f>_xlfn.IFNA(INDEX(RulebookFields!I2:I999, MATCH(D1142,RulebookFields!A2:A999, 0)), "")</f>
        <v>1</v>
      </c>
      <c r="K1142" s="3" t="b">
        <f>AND(F1142, J1142)</f>
        <v>0</v>
      </c>
      <c r="L1142" s="3" t="b">
        <f>AND(G1142 &lt;&gt; "plain", G1142 &lt;&gt; "")</f>
        <v>0</v>
      </c>
      <c r="M1142" s="3" t="str">
        <f>IF(E1142, C1142 &amp; "|" &amp; H1142, "")</f>
        <v>principal-process-steward|ProcedureExecutions</v>
      </c>
      <c r="N1142" s="2" t="s">
        <v>9938</v>
      </c>
    </row>
    <row r="1143">
      <c r="A1143" s="2" t="s">
        <v>11079</v>
      </c>
      <c r="B1143" s="3" t="str">
        <f>C1143 &amp; " -&gt; " &amp; D1143</f>
        <v>principal-process-steward -&gt; ProcedureExecutions.RequiresReAttestation</v>
      </c>
      <c r="C1143" s="2" t="s">
        <v>9706</v>
      </c>
      <c r="D1143" s="2" t="s">
        <v>3486</v>
      </c>
      <c r="E1143" s="2" t="b">
        <v>1</v>
      </c>
      <c r="F1143" s="2" t="b">
        <v>0</v>
      </c>
      <c r="G1143" s="2" t="s">
        <v>9937</v>
      </c>
      <c r="H1143" s="3" t="str">
        <f>_xlfn.IFNA(INDEX(RulebookFields!C2:C999, MATCH(D1143,RulebookFields!A2:A999, 0)), "")</f>
        <v>ProcedureExecutions</v>
      </c>
      <c r="I1143" s="3" t="str">
        <f>_xlfn.IFNA(INDEX(RulebookFields!D2:D999, MATCH(D1143,RulebookFields!A2:A999, 0)), "")</f>
        <v>RequiresReAttestation</v>
      </c>
      <c r="J1143" s="3" t="b">
        <f>_xlfn.IFNA(INDEX(RulebookFields!I2:I999, MATCH(D1143,RulebookFields!A2:A999, 0)), "")</f>
        <v>1</v>
      </c>
      <c r="K1143" s="3" t="b">
        <f>AND(F1143, J1143)</f>
        <v>0</v>
      </c>
      <c r="L1143" s="3" t="b">
        <f>AND(G1143 &lt;&gt; "plain", G1143 &lt;&gt; "")</f>
        <v>0</v>
      </c>
      <c r="M1143" s="3" t="str">
        <f>IF(E1143, C1143 &amp; "|" &amp; H1143, "")</f>
        <v>principal-process-steward|ProcedureExecutions</v>
      </c>
      <c r="N1143" s="2" t="s">
        <v>9938</v>
      </c>
    </row>
    <row r="1144">
      <c r="A1144" s="2" t="s">
        <v>11080</v>
      </c>
      <c r="B1144" s="3" t="str">
        <f>C1144 &amp; " -&gt; " &amp; D1144</f>
        <v>principal-process-steward -&gt; ProcedureExecutions.IntendedRecipientCount</v>
      </c>
      <c r="C1144" s="2" t="s">
        <v>9706</v>
      </c>
      <c r="D1144" s="2" t="s">
        <v>3488</v>
      </c>
      <c r="E1144" s="2" t="b">
        <v>1</v>
      </c>
      <c r="F1144" s="2" t="b">
        <v>0</v>
      </c>
      <c r="G1144" s="2" t="s">
        <v>9937</v>
      </c>
      <c r="H1144" s="3" t="str">
        <f>_xlfn.IFNA(INDEX(RulebookFields!C2:C999, MATCH(D1144,RulebookFields!A2:A999, 0)), "")</f>
        <v>ProcedureExecutions</v>
      </c>
      <c r="I1144" s="3" t="str">
        <f>_xlfn.IFNA(INDEX(RulebookFields!D2:D999, MATCH(D1144,RulebookFields!A2:A999, 0)), "")</f>
        <v>IntendedRecipientCount</v>
      </c>
      <c r="J1144" s="3" t="b">
        <f>_xlfn.IFNA(INDEX(RulebookFields!I2:I999, MATCH(D1144,RulebookFields!A2:A999, 0)), "")</f>
        <v>1</v>
      </c>
      <c r="K1144" s="3" t="b">
        <f>AND(F1144, J1144)</f>
        <v>0</v>
      </c>
      <c r="L1144" s="3" t="b">
        <f>AND(G1144 &lt;&gt; "plain", G1144 &lt;&gt; "")</f>
        <v>0</v>
      </c>
      <c r="M1144" s="3" t="str">
        <f>IF(E1144, C1144 &amp; "|" &amp; H1144, "")</f>
        <v>principal-process-steward|ProcedureExecutions</v>
      </c>
      <c r="N1144" s="2" t="s">
        <v>9938</v>
      </c>
    </row>
    <row r="1145">
      <c r="A1145" s="2" t="s">
        <v>11081</v>
      </c>
      <c r="B1145" s="3" t="str">
        <f>C1145 &amp; " -&gt; " &amp; D1145</f>
        <v>principal-process-steward -&gt; ProcedureExecutions.ReachedRecipientCount</v>
      </c>
      <c r="C1145" s="2" t="s">
        <v>9706</v>
      </c>
      <c r="D1145" s="2" t="s">
        <v>3490</v>
      </c>
      <c r="E1145" s="2" t="b">
        <v>1</v>
      </c>
      <c r="F1145" s="2" t="b">
        <v>0</v>
      </c>
      <c r="G1145" s="2" t="s">
        <v>9937</v>
      </c>
      <c r="H1145" s="3" t="str">
        <f>_xlfn.IFNA(INDEX(RulebookFields!C2:C999, MATCH(D1145,RulebookFields!A2:A999, 0)), "")</f>
        <v>ProcedureExecutions</v>
      </c>
      <c r="I1145" s="3" t="str">
        <f>_xlfn.IFNA(INDEX(RulebookFields!D2:D999, MATCH(D1145,RulebookFields!A2:A999, 0)), "")</f>
        <v>ReachedRecipientCount</v>
      </c>
      <c r="J1145" s="3" t="b">
        <f>_xlfn.IFNA(INDEX(RulebookFields!I2:I999, MATCH(D1145,RulebookFields!A2:A999, 0)), "")</f>
        <v>1</v>
      </c>
      <c r="K1145" s="3" t="b">
        <f>AND(F1145, J1145)</f>
        <v>0</v>
      </c>
      <c r="L1145" s="3" t="b">
        <f>AND(G1145 &lt;&gt; "plain", G1145 &lt;&gt; "")</f>
        <v>0</v>
      </c>
      <c r="M1145" s="3" t="str">
        <f>IF(E1145, C1145 &amp; "|" &amp; H1145, "")</f>
        <v>principal-process-steward|ProcedureExecutions</v>
      </c>
      <c r="N1145" s="2" t="s">
        <v>9938</v>
      </c>
    </row>
    <row r="1146">
      <c r="A1146" s="2" t="s">
        <v>11082</v>
      </c>
      <c r="B1146" s="3" t="str">
        <f>C1146 &amp; " -&gt; " &amp; D1146</f>
        <v>principal-process-steward -&gt; ProcedureExecutions.SilentlyDroppedCount</v>
      </c>
      <c r="C1146" s="2" t="s">
        <v>9706</v>
      </c>
      <c r="D1146" s="2" t="s">
        <v>3492</v>
      </c>
      <c r="E1146" s="2" t="b">
        <v>1</v>
      </c>
      <c r="F1146" s="2" t="b">
        <v>0</v>
      </c>
      <c r="G1146" s="2" t="s">
        <v>9937</v>
      </c>
      <c r="H1146" s="3" t="str">
        <f>_xlfn.IFNA(INDEX(RulebookFields!C2:C999, MATCH(D1146,RulebookFields!A2:A999, 0)), "")</f>
        <v>ProcedureExecutions</v>
      </c>
      <c r="I1146" s="3" t="str">
        <f>_xlfn.IFNA(INDEX(RulebookFields!D2:D999, MATCH(D1146,RulebookFields!A2:A999, 0)), "")</f>
        <v>SilentlyDroppedCount</v>
      </c>
      <c r="J1146" s="3" t="b">
        <f>_xlfn.IFNA(INDEX(RulebookFields!I2:I999, MATCH(D1146,RulebookFields!A2:A999, 0)), "")</f>
        <v>1</v>
      </c>
      <c r="K1146" s="3" t="b">
        <f>AND(F1146, J1146)</f>
        <v>0</v>
      </c>
      <c r="L1146" s="3" t="b">
        <f>AND(G1146 &lt;&gt; "plain", G1146 &lt;&gt; "")</f>
        <v>0</v>
      </c>
      <c r="M1146" s="3" t="str">
        <f>IF(E1146, C1146 &amp; "|" &amp; H1146, "")</f>
        <v>principal-process-steward|ProcedureExecutions</v>
      </c>
      <c r="N1146" s="2" t="s">
        <v>9938</v>
      </c>
    </row>
    <row r="1147">
      <c r="A1147" s="2" t="s">
        <v>11083</v>
      </c>
      <c r="B1147" s="3" t="str">
        <f>C1147 &amp; " -&gt; " &amp; D1147</f>
        <v>principal-process-steward -&gt; ProcedureExecutions.DeliveryYieldPercent</v>
      </c>
      <c r="C1147" s="2" t="s">
        <v>9706</v>
      </c>
      <c r="D1147" s="2" t="s">
        <v>3494</v>
      </c>
      <c r="E1147" s="2" t="b">
        <v>1</v>
      </c>
      <c r="F1147" s="2" t="b">
        <v>0</v>
      </c>
      <c r="G1147" s="2" t="s">
        <v>9937</v>
      </c>
      <c r="H1147" s="3" t="str">
        <f>_xlfn.IFNA(INDEX(RulebookFields!C2:C999, MATCH(D1147,RulebookFields!A2:A999, 0)), "")</f>
        <v>ProcedureExecutions</v>
      </c>
      <c r="I1147" s="3" t="str">
        <f>_xlfn.IFNA(INDEX(RulebookFields!D2:D999, MATCH(D1147,RulebookFields!A2:A999, 0)), "")</f>
        <v>DeliveryYieldPercent</v>
      </c>
      <c r="J1147" s="3" t="b">
        <f>_xlfn.IFNA(INDEX(RulebookFields!I2:I999, MATCH(D1147,RulebookFields!A2:A999, 0)), "")</f>
        <v>1</v>
      </c>
      <c r="K1147" s="3" t="b">
        <f>AND(F1147, J1147)</f>
        <v>0</v>
      </c>
      <c r="L1147" s="3" t="b">
        <f>AND(G1147 &lt;&gt; "plain", G1147 &lt;&gt; "")</f>
        <v>0</v>
      </c>
      <c r="M1147" s="3" t="str">
        <f>IF(E1147, C1147 &amp; "|" &amp; H1147, "")</f>
        <v>principal-process-steward|ProcedureExecutions</v>
      </c>
      <c r="N1147" s="2" t="s">
        <v>9938</v>
      </c>
    </row>
    <row r="1148">
      <c r="A1148" s="2" t="s">
        <v>11084</v>
      </c>
      <c r="B1148" s="3" t="str">
        <f>C1148 &amp; " -&gt; " &amp; D1148</f>
        <v>principal-process-steward -&gt; ProcedureExecutions.CampaignSilentlyLostAudience</v>
      </c>
      <c r="C1148" s="2" t="s">
        <v>9706</v>
      </c>
      <c r="D1148" s="2" t="s">
        <v>3496</v>
      </c>
      <c r="E1148" s="2" t="b">
        <v>1</v>
      </c>
      <c r="F1148" s="2" t="b">
        <v>0</v>
      </c>
      <c r="G1148" s="2" t="s">
        <v>9937</v>
      </c>
      <c r="H1148" s="3" t="str">
        <f>_xlfn.IFNA(INDEX(RulebookFields!C2:C999, MATCH(D1148,RulebookFields!A2:A999, 0)), "")</f>
        <v>ProcedureExecutions</v>
      </c>
      <c r="I1148" s="3" t="str">
        <f>_xlfn.IFNA(INDEX(RulebookFields!D2:D999, MATCH(D1148,RulebookFields!A2:A999, 0)), "")</f>
        <v>CampaignSilentlyLostAudience</v>
      </c>
      <c r="J1148" s="3" t="b">
        <f>_xlfn.IFNA(INDEX(RulebookFields!I2:I999, MATCH(D1148,RulebookFields!A2:A999, 0)), "")</f>
        <v>1</v>
      </c>
      <c r="K1148" s="3" t="b">
        <f>AND(F1148, J1148)</f>
        <v>0</v>
      </c>
      <c r="L1148" s="3" t="b">
        <f>AND(G1148 &lt;&gt; "plain", G1148 &lt;&gt; "")</f>
        <v>0</v>
      </c>
      <c r="M1148" s="3" t="str">
        <f>IF(E1148, C1148 &amp; "|" &amp; H1148, "")</f>
        <v>principal-process-steward|ProcedureExecutions</v>
      </c>
      <c r="N1148" s="2" t="s">
        <v>9938</v>
      </c>
    </row>
    <row r="1149">
      <c r="A1149" s="2" t="s">
        <v>11085</v>
      </c>
      <c r="B1149" s="3" t="str">
        <f>C1149 &amp; " -&gt; " &amp; D1149</f>
        <v>principal-process-steward -&gt; ProcedureExecutions.UnrecordedRefusalCount</v>
      </c>
      <c r="C1149" s="2" t="s">
        <v>9706</v>
      </c>
      <c r="D1149" s="2" t="s">
        <v>3498</v>
      </c>
      <c r="E1149" s="2" t="b">
        <v>1</v>
      </c>
      <c r="F1149" s="2" t="b">
        <v>0</v>
      </c>
      <c r="G1149" s="2" t="s">
        <v>9937</v>
      </c>
      <c r="H1149" s="3" t="str">
        <f>_xlfn.IFNA(INDEX(RulebookFields!C2:C999, MATCH(D1149,RulebookFields!A2:A999, 0)), "")</f>
        <v>ProcedureExecutions</v>
      </c>
      <c r="I1149" s="3" t="str">
        <f>_xlfn.IFNA(INDEX(RulebookFields!D2:D999, MATCH(D1149,RulebookFields!A2:A999, 0)), "")</f>
        <v>UnrecordedRefusalCount</v>
      </c>
      <c r="J1149" s="3" t="b">
        <f>_xlfn.IFNA(INDEX(RulebookFields!I2:I999, MATCH(D1149,RulebookFields!A2:A999, 0)), "")</f>
        <v>1</v>
      </c>
      <c r="K1149" s="3" t="b">
        <f>AND(F1149, J1149)</f>
        <v>0</v>
      </c>
      <c r="L1149" s="3" t="b">
        <f>AND(G1149 &lt;&gt; "plain", G1149 &lt;&gt; "")</f>
        <v>0</v>
      </c>
      <c r="M1149" s="3" t="str">
        <f>IF(E1149, C1149 &amp; "|" &amp; H1149, "")</f>
        <v>principal-process-steward|ProcedureExecutions</v>
      </c>
      <c r="N1149" s="2" t="s">
        <v>9938</v>
      </c>
    </row>
    <row r="1150">
      <c r="A1150" s="2" t="s">
        <v>11086</v>
      </c>
      <c r="B1150" s="3" t="str">
        <f>C1150 &amp; " -&gt; " &amp; D1150</f>
        <v>principal-process-steward -&gt; ProcedureExecutions.HasUnrecordedRefusals</v>
      </c>
      <c r="C1150" s="2" t="s">
        <v>9706</v>
      </c>
      <c r="D1150" s="2" t="s">
        <v>3500</v>
      </c>
      <c r="E1150" s="2" t="b">
        <v>1</v>
      </c>
      <c r="F1150" s="2" t="b">
        <v>0</v>
      </c>
      <c r="G1150" s="2" t="s">
        <v>9937</v>
      </c>
      <c r="H1150" s="3" t="str">
        <f>_xlfn.IFNA(INDEX(RulebookFields!C2:C999, MATCH(D1150,RulebookFields!A2:A999, 0)), "")</f>
        <v>ProcedureExecutions</v>
      </c>
      <c r="I1150" s="3" t="str">
        <f>_xlfn.IFNA(INDEX(RulebookFields!D2:D999, MATCH(D1150,RulebookFields!A2:A999, 0)), "")</f>
        <v>HasUnrecordedRefusals</v>
      </c>
      <c r="J1150" s="3" t="b">
        <f>_xlfn.IFNA(INDEX(RulebookFields!I2:I999, MATCH(D1150,RulebookFields!A2:A999, 0)), "")</f>
        <v>1</v>
      </c>
      <c r="K1150" s="3" t="b">
        <f>AND(F1150, J1150)</f>
        <v>0</v>
      </c>
      <c r="L1150" s="3" t="b">
        <f>AND(G1150 &lt;&gt; "plain", G1150 &lt;&gt; "")</f>
        <v>0</v>
      </c>
      <c r="M1150" s="3" t="str">
        <f>IF(E1150, C1150 &amp; "|" &amp; H1150, "")</f>
        <v>principal-process-steward|ProcedureExecutions</v>
      </c>
      <c r="N1150" s="2" t="s">
        <v>9938</v>
      </c>
    </row>
    <row r="1151">
      <c r="A1151" s="2" t="s">
        <v>11087</v>
      </c>
      <c r="B1151" s="3" t="str">
        <f>C1151 &amp; " -&gt; " &amp; D1151</f>
        <v>principal-process-steward -&gt; ProcedureExecutions.IndependentlyConfirmedIntentCount</v>
      </c>
      <c r="C1151" s="2" t="s">
        <v>9706</v>
      </c>
      <c r="D1151" s="2" t="s">
        <v>3502</v>
      </c>
      <c r="E1151" s="2" t="b">
        <v>1</v>
      </c>
      <c r="F1151" s="2" t="b">
        <v>0</v>
      </c>
      <c r="G1151" s="2" t="s">
        <v>9937</v>
      </c>
      <c r="H1151" s="3" t="str">
        <f>_xlfn.IFNA(INDEX(RulebookFields!C2:C999, MATCH(D1151,RulebookFields!A2:A999, 0)), "")</f>
        <v>ProcedureExecutions</v>
      </c>
      <c r="I1151" s="3" t="str">
        <f>_xlfn.IFNA(INDEX(RulebookFields!D2:D999, MATCH(D1151,RulebookFields!A2:A999, 0)), "")</f>
        <v>IndependentlyConfirmedIntentCount</v>
      </c>
      <c r="J1151" s="3" t="b">
        <f>_xlfn.IFNA(INDEX(RulebookFields!I2:I999, MATCH(D1151,RulebookFields!A2:A999, 0)), "")</f>
        <v>1</v>
      </c>
      <c r="K1151" s="3" t="b">
        <f>AND(F1151, J1151)</f>
        <v>0</v>
      </c>
      <c r="L1151" s="3" t="b">
        <f>AND(G1151 &lt;&gt; "plain", G1151 &lt;&gt; "")</f>
        <v>0</v>
      </c>
      <c r="M1151" s="3" t="str">
        <f>IF(E1151, C1151 &amp; "|" &amp; H1151, "")</f>
        <v>principal-process-steward|ProcedureExecutions</v>
      </c>
      <c r="N1151" s="2" t="s">
        <v>9938</v>
      </c>
    </row>
    <row r="1152">
      <c r="A1152" s="2" t="s">
        <v>11088</v>
      </c>
      <c r="B1152" s="3" t="str">
        <f>C1152 &amp; " -&gt; " &amp; D1152</f>
        <v>principal-process-steward -&gt; ProcedureExecutions.SendDecisionsAreEntirelySelfWitnessed</v>
      </c>
      <c r="C1152" s="2" t="s">
        <v>9706</v>
      </c>
      <c r="D1152" s="2" t="s">
        <v>3504</v>
      </c>
      <c r="E1152" s="2" t="b">
        <v>1</v>
      </c>
      <c r="F1152" s="2" t="b">
        <v>0</v>
      </c>
      <c r="G1152" s="2" t="s">
        <v>9937</v>
      </c>
      <c r="H1152" s="3" t="str">
        <f>_xlfn.IFNA(INDEX(RulebookFields!C2:C999, MATCH(D1152,RulebookFields!A2:A999, 0)), "")</f>
        <v>ProcedureExecutions</v>
      </c>
      <c r="I1152" s="3" t="str">
        <f>_xlfn.IFNA(INDEX(RulebookFields!D2:D999, MATCH(D1152,RulebookFields!A2:A999, 0)), "")</f>
        <v>SendDecisionsAreEntirelySelfWitnessed</v>
      </c>
      <c r="J1152" s="3" t="b">
        <f>_xlfn.IFNA(INDEX(RulebookFields!I2:I999, MATCH(D1152,RulebookFields!A2:A999, 0)), "")</f>
        <v>1</v>
      </c>
      <c r="K1152" s="3" t="b">
        <f>AND(F1152, J1152)</f>
        <v>0</v>
      </c>
      <c r="L1152" s="3" t="b">
        <f>AND(G1152 &lt;&gt; "plain", G1152 &lt;&gt; "")</f>
        <v>0</v>
      </c>
      <c r="M1152" s="3" t="str">
        <f>IF(E1152, C1152 &amp; "|" &amp; H1152, "")</f>
        <v>principal-process-steward|ProcedureExecutions</v>
      </c>
      <c r="N1152" s="2" t="s">
        <v>9938</v>
      </c>
    </row>
    <row r="1153">
      <c r="A1153" s="2" t="s">
        <v>11089</v>
      </c>
      <c r="B1153" s="3" t="str">
        <f>C1153 &amp; " -&gt; " &amp; D1153</f>
        <v>principal-process-steward -&gt; ProcedureExecutions.SemanticTypeIri</v>
      </c>
      <c r="C1153" s="2" t="s">
        <v>9706</v>
      </c>
      <c r="D1153" s="2" t="s">
        <v>3506</v>
      </c>
      <c r="E1153" s="2" t="b">
        <v>1</v>
      </c>
      <c r="F1153" s="2" t="b">
        <v>0</v>
      </c>
      <c r="G1153" s="2" t="s">
        <v>9937</v>
      </c>
      <c r="H1153" s="3" t="str">
        <f>_xlfn.IFNA(INDEX(RulebookFields!C2:C999, MATCH(D1153,RulebookFields!A2:A999, 0)), "")</f>
        <v>ProcedureExecutions</v>
      </c>
      <c r="I1153" s="3" t="str">
        <f>_xlfn.IFNA(INDEX(RulebookFields!D2:D999, MATCH(D1153,RulebookFields!A2:A999, 0)), "")</f>
        <v>SemanticTypeIri</v>
      </c>
      <c r="J1153" s="3" t="b">
        <f>_xlfn.IFNA(INDEX(RulebookFields!I2:I999, MATCH(D1153,RulebookFields!A2:A999, 0)), "")</f>
        <v>0</v>
      </c>
      <c r="K1153" s="3" t="b">
        <f>AND(F1153, J1153)</f>
        <v>0</v>
      </c>
      <c r="L1153" s="3" t="b">
        <f>AND(G1153 &lt;&gt; "plain", G1153 &lt;&gt; "")</f>
        <v>0</v>
      </c>
      <c r="M1153" s="3" t="str">
        <f>IF(E1153, C1153 &amp; "|" &amp; H1153, "")</f>
        <v>principal-process-steward|ProcedureExecutions</v>
      </c>
      <c r="N1153" s="2" t="s">
        <v>9938</v>
      </c>
    </row>
    <row r="1154">
      <c r="A1154" s="2" t="s">
        <v>11090</v>
      </c>
      <c r="B1154" s="3" t="str">
        <f>C1154 &amp; " -&gt; " &amp; D1154</f>
        <v>principal-process-steward -&gt; ProcedureResources.ProcedureResourceId</v>
      </c>
      <c r="C1154" s="2" t="s">
        <v>9706</v>
      </c>
      <c r="D1154" s="2" t="s">
        <v>3120</v>
      </c>
      <c r="E1154" s="2" t="b">
        <v>1</v>
      </c>
      <c r="F1154" s="2" t="b">
        <v>0</v>
      </c>
      <c r="G1154" s="2" t="s">
        <v>9937</v>
      </c>
      <c r="H1154" s="3" t="str">
        <f>_xlfn.IFNA(INDEX(RulebookFields!C2:C999, MATCH(D1154,RulebookFields!A2:A999, 0)), "")</f>
        <v>ProcedureResources</v>
      </c>
      <c r="I1154" s="3" t="str">
        <f>_xlfn.IFNA(INDEX(RulebookFields!D2:D999, MATCH(D1154,RulebookFields!A2:A999, 0)), "")</f>
        <v>ProcedureResourceId</v>
      </c>
      <c r="J1154" s="3" t="b">
        <f>_xlfn.IFNA(INDEX(RulebookFields!I2:I999, MATCH(D1154,RulebookFields!A2:A999, 0)), "")</f>
        <v>0</v>
      </c>
      <c r="K1154" s="3" t="b">
        <f>AND(F1154, J1154)</f>
        <v>0</v>
      </c>
      <c r="L1154" s="3" t="b">
        <f>AND(G1154 &lt;&gt; "plain", G1154 &lt;&gt; "")</f>
        <v>0</v>
      </c>
      <c r="M1154" s="3" t="str">
        <f>IF(E1154, C1154 &amp; "|" &amp; H1154, "")</f>
        <v>principal-process-steward|ProcedureResources</v>
      </c>
      <c r="N1154" s="2" t="s">
        <v>9938</v>
      </c>
    </row>
    <row r="1155">
      <c r="A1155" s="2" t="s">
        <v>11091</v>
      </c>
      <c r="B1155" s="3" t="str">
        <f>C1155 &amp; " -&gt; " &amp; D1155</f>
        <v>principal-process-steward -&gt; ProcedureResources.Name</v>
      </c>
      <c r="C1155" s="2" t="s">
        <v>9706</v>
      </c>
      <c r="D1155" s="2" t="s">
        <v>3122</v>
      </c>
      <c r="E1155" s="2" t="b">
        <v>1</v>
      </c>
      <c r="F1155" s="2" t="b">
        <v>0</v>
      </c>
      <c r="G1155" s="2" t="s">
        <v>9937</v>
      </c>
      <c r="H1155" s="3" t="str">
        <f>_xlfn.IFNA(INDEX(RulebookFields!C2:C999, MATCH(D1155,RulebookFields!A2:A999, 0)), "")</f>
        <v>ProcedureResources</v>
      </c>
      <c r="I1155" s="3" t="str">
        <f>_xlfn.IFNA(INDEX(RulebookFields!D2:D999, MATCH(D1155,RulebookFields!A2:A999, 0)), "")</f>
        <v>Name</v>
      </c>
      <c r="J1155" s="3" t="b">
        <f>_xlfn.IFNA(INDEX(RulebookFields!I2:I999, MATCH(D1155,RulebookFields!A2:A999, 0)), "")</f>
        <v>1</v>
      </c>
      <c r="K1155" s="3" t="b">
        <f>AND(F1155, J1155)</f>
        <v>0</v>
      </c>
      <c r="L1155" s="3" t="b">
        <f>AND(G1155 &lt;&gt; "plain", G1155 &lt;&gt; "")</f>
        <v>0</v>
      </c>
      <c r="M1155" s="3" t="str">
        <f>IF(E1155, C1155 &amp; "|" &amp; H1155, "")</f>
        <v>principal-process-steward|ProcedureResources</v>
      </c>
      <c r="N1155" s="2" t="s">
        <v>9938</v>
      </c>
    </row>
    <row r="1156">
      <c r="A1156" s="2" t="s">
        <v>11092</v>
      </c>
      <c r="B1156" s="3" t="str">
        <f>C1156 &amp; " -&gt; " &amp; D1156</f>
        <v>principal-process-steward -&gt; ProcedureResources.ProcedureVersion</v>
      </c>
      <c r="C1156" s="2" t="s">
        <v>9706</v>
      </c>
      <c r="D1156" s="2" t="s">
        <v>3124</v>
      </c>
      <c r="E1156" s="2" t="b">
        <v>1</v>
      </c>
      <c r="F1156" s="2" t="b">
        <v>0</v>
      </c>
      <c r="G1156" s="2" t="s">
        <v>9937</v>
      </c>
      <c r="H1156" s="3" t="str">
        <f>_xlfn.IFNA(INDEX(RulebookFields!C2:C999, MATCH(D1156,RulebookFields!A2:A999, 0)), "")</f>
        <v>ProcedureResources</v>
      </c>
      <c r="I1156" s="3" t="str">
        <f>_xlfn.IFNA(INDEX(RulebookFields!D2:D999, MATCH(D1156,RulebookFields!A2:A999, 0)), "")</f>
        <v>ProcedureVersion</v>
      </c>
      <c r="J1156" s="3" t="b">
        <f>_xlfn.IFNA(INDEX(RulebookFields!I2:I999, MATCH(D1156,RulebookFields!A2:A999, 0)), "")</f>
        <v>0</v>
      </c>
      <c r="K1156" s="3" t="b">
        <f>AND(F1156, J1156)</f>
        <v>0</v>
      </c>
      <c r="L1156" s="3" t="b">
        <f>AND(G1156 &lt;&gt; "plain", G1156 &lt;&gt; "")</f>
        <v>0</v>
      </c>
      <c r="M1156" s="3" t="str">
        <f>IF(E1156, C1156 &amp; "|" &amp; H1156, "")</f>
        <v>principal-process-steward|ProcedureResources</v>
      </c>
      <c r="N1156" s="2" t="s">
        <v>9938</v>
      </c>
    </row>
    <row r="1157">
      <c r="A1157" s="2" t="s">
        <v>11093</v>
      </c>
      <c r="B1157" s="3" t="str">
        <f>C1157 &amp; " -&gt; " &amp; D1157</f>
        <v>principal-process-steward -&gt; ProcedureResources.Resource</v>
      </c>
      <c r="C1157" s="2" t="s">
        <v>9706</v>
      </c>
      <c r="D1157" s="2" t="s">
        <v>3125</v>
      </c>
      <c r="E1157" s="2" t="b">
        <v>1</v>
      </c>
      <c r="F1157" s="2" t="b">
        <v>0</v>
      </c>
      <c r="G1157" s="2" t="s">
        <v>9937</v>
      </c>
      <c r="H1157" s="3" t="str">
        <f>_xlfn.IFNA(INDEX(RulebookFields!C2:C999, MATCH(D1157,RulebookFields!A2:A999, 0)), "")</f>
        <v>ProcedureResources</v>
      </c>
      <c r="I1157" s="3" t="str">
        <f>_xlfn.IFNA(INDEX(RulebookFields!D2:D999, MATCH(D1157,RulebookFields!A2:A999, 0)), "")</f>
        <v>Resource</v>
      </c>
      <c r="J1157" s="3" t="b">
        <f>_xlfn.IFNA(INDEX(RulebookFields!I2:I999, MATCH(D1157,RulebookFields!A2:A999, 0)), "")</f>
        <v>0</v>
      </c>
      <c r="K1157" s="3" t="b">
        <f>AND(F1157, J1157)</f>
        <v>0</v>
      </c>
      <c r="L1157" s="3" t="b">
        <f>AND(G1157 &lt;&gt; "plain", G1157 &lt;&gt; "")</f>
        <v>0</v>
      </c>
      <c r="M1157" s="3" t="str">
        <f>IF(E1157, C1157 &amp; "|" &amp; H1157, "")</f>
        <v>principal-process-steward|ProcedureResources</v>
      </c>
      <c r="N1157" s="2" t="s">
        <v>9938</v>
      </c>
    </row>
    <row r="1158">
      <c r="A1158" s="2" t="s">
        <v>11094</v>
      </c>
      <c r="B1158" s="3" t="str">
        <f>C1158 &amp; " -&gt; " &amp; D1158</f>
        <v>principal-process-steward -&gt; ProcedureResources.Relation</v>
      </c>
      <c r="C1158" s="2" t="s">
        <v>9706</v>
      </c>
      <c r="D1158" s="2" t="s">
        <v>3126</v>
      </c>
      <c r="E1158" s="2" t="b">
        <v>1</v>
      </c>
      <c r="F1158" s="2" t="b">
        <v>0</v>
      </c>
      <c r="G1158" s="2" t="s">
        <v>9937</v>
      </c>
      <c r="H1158" s="3" t="str">
        <f>_xlfn.IFNA(INDEX(RulebookFields!C2:C999, MATCH(D1158,RulebookFields!A2:A999, 0)), "")</f>
        <v>ProcedureResources</v>
      </c>
      <c r="I1158" s="3" t="str">
        <f>_xlfn.IFNA(INDEX(RulebookFields!D2:D999, MATCH(D1158,RulebookFields!A2:A999, 0)), "")</f>
        <v>Relation</v>
      </c>
      <c r="J1158" s="3" t="b">
        <f>_xlfn.IFNA(INDEX(RulebookFields!I2:I999, MATCH(D1158,RulebookFields!A2:A999, 0)), "")</f>
        <v>0</v>
      </c>
      <c r="K1158" s="3" t="b">
        <f>AND(F1158, J1158)</f>
        <v>0</v>
      </c>
      <c r="L1158" s="3" t="b">
        <f>AND(G1158 &lt;&gt; "plain", G1158 &lt;&gt; "")</f>
        <v>0</v>
      </c>
      <c r="M1158" s="3" t="str">
        <f>IF(E1158, C1158 &amp; "|" &amp; H1158, "")</f>
        <v>principal-process-steward|ProcedureResources</v>
      </c>
      <c r="N1158" s="2" t="s">
        <v>9938</v>
      </c>
    </row>
    <row r="1159">
      <c r="A1159" s="2" t="s">
        <v>11095</v>
      </c>
      <c r="B1159" s="3" t="str">
        <f>C1159 &amp; " -&gt; " &amp; D1159</f>
        <v>principal-process-steward -&gt; ProcedureResources.RelationIri</v>
      </c>
      <c r="C1159" s="2" t="s">
        <v>9706</v>
      </c>
      <c r="D1159" s="2" t="s">
        <v>3127</v>
      </c>
      <c r="E1159" s="2" t="b">
        <v>1</v>
      </c>
      <c r="F1159" s="2" t="b">
        <v>0</v>
      </c>
      <c r="G1159" s="2" t="s">
        <v>9937</v>
      </c>
      <c r="H1159" s="3" t="str">
        <f>_xlfn.IFNA(INDEX(RulebookFields!C2:C999, MATCH(D1159,RulebookFields!A2:A999, 0)), "")</f>
        <v>ProcedureResources</v>
      </c>
      <c r="I1159" s="3" t="str">
        <f>_xlfn.IFNA(INDEX(RulebookFields!D2:D999, MATCH(D1159,RulebookFields!A2:A999, 0)), "")</f>
        <v>RelationIri</v>
      </c>
      <c r="J1159" s="3" t="b">
        <f>_xlfn.IFNA(INDEX(RulebookFields!I2:I999, MATCH(D1159,RulebookFields!A2:A999, 0)), "")</f>
        <v>1</v>
      </c>
      <c r="K1159" s="3" t="b">
        <f>AND(F1159, J1159)</f>
        <v>0</v>
      </c>
      <c r="L1159" s="3" t="b">
        <f>AND(G1159 &lt;&gt; "plain", G1159 &lt;&gt; "")</f>
        <v>0</v>
      </c>
      <c r="M1159" s="3" t="str">
        <f>IF(E1159, C1159 &amp; "|" &amp; H1159, "")</f>
        <v>principal-process-steward|ProcedureResources</v>
      </c>
      <c r="N1159" s="2" t="s">
        <v>9938</v>
      </c>
    </row>
    <row r="1160">
      <c r="A1160" s="2" t="s">
        <v>11096</v>
      </c>
      <c r="B1160" s="3" t="str">
        <f>C1160 &amp; " -&gt; " &amp; D1160</f>
        <v>principal-process-steward -&gt; ProcedureStatusChanges.ProcedureStatusChangeId</v>
      </c>
      <c r="C1160" s="2" t="s">
        <v>9706</v>
      </c>
      <c r="D1160" s="2" t="s">
        <v>2827</v>
      </c>
      <c r="E1160" s="2" t="b">
        <v>1</v>
      </c>
      <c r="F1160" s="2" t="b">
        <v>0</v>
      </c>
      <c r="G1160" s="2" t="s">
        <v>9937</v>
      </c>
      <c r="H1160" s="3" t="str">
        <f>_xlfn.IFNA(INDEX(RulebookFields!C2:C999, MATCH(D1160,RulebookFields!A2:A999, 0)), "")</f>
        <v>ProcedureStatusChanges</v>
      </c>
      <c r="I1160" s="3" t="str">
        <f>_xlfn.IFNA(INDEX(RulebookFields!D2:D999, MATCH(D1160,RulebookFields!A2:A999, 0)), "")</f>
        <v>ProcedureStatusChangeId</v>
      </c>
      <c r="J1160" s="3" t="b">
        <f>_xlfn.IFNA(INDEX(RulebookFields!I2:I999, MATCH(D1160,RulebookFields!A2:A999, 0)), "")</f>
        <v>0</v>
      </c>
      <c r="K1160" s="3" t="b">
        <f>AND(F1160, J1160)</f>
        <v>0</v>
      </c>
      <c r="L1160" s="3" t="b">
        <f>AND(G1160 &lt;&gt; "plain", G1160 &lt;&gt; "")</f>
        <v>0</v>
      </c>
      <c r="M1160" s="3" t="str">
        <f>IF(E1160, C1160 &amp; "|" &amp; H1160, "")</f>
        <v>principal-process-steward|ProcedureStatusChanges</v>
      </c>
      <c r="N1160" s="2" t="s">
        <v>9938</v>
      </c>
    </row>
    <row r="1161">
      <c r="A1161" s="2" t="s">
        <v>11097</v>
      </c>
      <c r="B1161" s="3" t="str">
        <f>C1161 &amp; " -&gt; " &amp; D1161</f>
        <v>principal-process-steward -&gt; ProcedureStatusChanges.Name</v>
      </c>
      <c r="C1161" s="2" t="s">
        <v>9706</v>
      </c>
      <c r="D1161" s="2" t="s">
        <v>2828</v>
      </c>
      <c r="E1161" s="2" t="b">
        <v>1</v>
      </c>
      <c r="F1161" s="2" t="b">
        <v>0</v>
      </c>
      <c r="G1161" s="2" t="s">
        <v>9937</v>
      </c>
      <c r="H1161" s="3" t="str">
        <f>_xlfn.IFNA(INDEX(RulebookFields!C2:C999, MATCH(D1161,RulebookFields!A2:A999, 0)), "")</f>
        <v>ProcedureStatusChanges</v>
      </c>
      <c r="I1161" s="3" t="str">
        <f>_xlfn.IFNA(INDEX(RulebookFields!D2:D999, MATCH(D1161,RulebookFields!A2:A999, 0)), "")</f>
        <v>Name</v>
      </c>
      <c r="J1161" s="3" t="b">
        <f>_xlfn.IFNA(INDEX(RulebookFields!I2:I999, MATCH(D1161,RulebookFields!A2:A999, 0)), "")</f>
        <v>1</v>
      </c>
      <c r="K1161" s="3" t="b">
        <f>AND(F1161, J1161)</f>
        <v>0</v>
      </c>
      <c r="L1161" s="3" t="b">
        <f>AND(G1161 &lt;&gt; "plain", G1161 &lt;&gt; "")</f>
        <v>0</v>
      </c>
      <c r="M1161" s="3" t="str">
        <f>IF(E1161, C1161 &amp; "|" &amp; H1161, "")</f>
        <v>principal-process-steward|ProcedureStatusChanges</v>
      </c>
      <c r="N1161" s="2" t="s">
        <v>9938</v>
      </c>
    </row>
    <row r="1162">
      <c r="A1162" s="2" t="s">
        <v>11098</v>
      </c>
      <c r="B1162" s="3" t="str">
        <f>C1162 &amp; " -&gt; " &amp; D1162</f>
        <v>principal-process-steward -&gt; ProcedureStatusChanges.ProcedureVersion</v>
      </c>
      <c r="C1162" s="2" t="s">
        <v>9706</v>
      </c>
      <c r="D1162" s="2" t="s">
        <v>2830</v>
      </c>
      <c r="E1162" s="2" t="b">
        <v>1</v>
      </c>
      <c r="F1162" s="2" t="b">
        <v>0</v>
      </c>
      <c r="G1162" s="2" t="s">
        <v>9937</v>
      </c>
      <c r="H1162" s="3" t="str">
        <f>_xlfn.IFNA(INDEX(RulebookFields!C2:C999, MATCH(D1162,RulebookFields!A2:A999, 0)), "")</f>
        <v>ProcedureStatusChanges</v>
      </c>
      <c r="I1162" s="3" t="str">
        <f>_xlfn.IFNA(INDEX(RulebookFields!D2:D999, MATCH(D1162,RulebookFields!A2:A999, 0)), "")</f>
        <v>ProcedureVersion</v>
      </c>
      <c r="J1162" s="3" t="b">
        <f>_xlfn.IFNA(INDEX(RulebookFields!I2:I999, MATCH(D1162,RulebookFields!A2:A999, 0)), "")</f>
        <v>0</v>
      </c>
      <c r="K1162" s="3" t="b">
        <f>AND(F1162, J1162)</f>
        <v>0</v>
      </c>
      <c r="L1162" s="3" t="b">
        <f>AND(G1162 &lt;&gt; "plain", G1162 &lt;&gt; "")</f>
        <v>0</v>
      </c>
      <c r="M1162" s="3" t="str">
        <f>IF(E1162, C1162 &amp; "|" &amp; H1162, "")</f>
        <v>principal-process-steward|ProcedureStatusChanges</v>
      </c>
      <c r="N1162" s="2" t="s">
        <v>9938</v>
      </c>
    </row>
    <row r="1163">
      <c r="A1163" s="2" t="s">
        <v>11099</v>
      </c>
      <c r="B1163" s="3" t="str">
        <f>C1163 &amp; " -&gt; " &amp; D1163</f>
        <v>principal-process-steward -&gt; ProcedureStatusChanges.FromStatus</v>
      </c>
      <c r="C1163" s="2" t="s">
        <v>9706</v>
      </c>
      <c r="D1163" s="2" t="s">
        <v>2831</v>
      </c>
      <c r="E1163" s="2" t="b">
        <v>1</v>
      </c>
      <c r="F1163" s="2" t="b">
        <v>0</v>
      </c>
      <c r="G1163" s="2" t="s">
        <v>9937</v>
      </c>
      <c r="H1163" s="3" t="str">
        <f>_xlfn.IFNA(INDEX(RulebookFields!C2:C999, MATCH(D1163,RulebookFields!A2:A999, 0)), "")</f>
        <v>ProcedureStatusChanges</v>
      </c>
      <c r="I1163" s="3" t="str">
        <f>_xlfn.IFNA(INDEX(RulebookFields!D2:D999, MATCH(D1163,RulebookFields!A2:A999, 0)), "")</f>
        <v>FromStatus</v>
      </c>
      <c r="J1163" s="3" t="b">
        <f>_xlfn.IFNA(INDEX(RulebookFields!I2:I999, MATCH(D1163,RulebookFields!A2:A999, 0)), "")</f>
        <v>0</v>
      </c>
      <c r="K1163" s="3" t="b">
        <f>AND(F1163, J1163)</f>
        <v>0</v>
      </c>
      <c r="L1163" s="3" t="b">
        <f>AND(G1163 &lt;&gt; "plain", G1163 &lt;&gt; "")</f>
        <v>0</v>
      </c>
      <c r="M1163" s="3" t="str">
        <f>IF(E1163, C1163 &amp; "|" &amp; H1163, "")</f>
        <v>principal-process-steward|ProcedureStatusChanges</v>
      </c>
      <c r="N1163" s="2" t="s">
        <v>9938</v>
      </c>
    </row>
    <row r="1164">
      <c r="A1164" s="2" t="s">
        <v>11100</v>
      </c>
      <c r="B1164" s="3" t="str">
        <f>C1164 &amp; " -&gt; " &amp; D1164</f>
        <v>principal-process-steward -&gt; ProcedureStatusChanges.ToStatus</v>
      </c>
      <c r="C1164" s="2" t="s">
        <v>9706</v>
      </c>
      <c r="D1164" s="2" t="s">
        <v>2832</v>
      </c>
      <c r="E1164" s="2" t="b">
        <v>1</v>
      </c>
      <c r="F1164" s="2" t="b">
        <v>0</v>
      </c>
      <c r="G1164" s="2" t="s">
        <v>9937</v>
      </c>
      <c r="H1164" s="3" t="str">
        <f>_xlfn.IFNA(INDEX(RulebookFields!C2:C999, MATCH(D1164,RulebookFields!A2:A999, 0)), "")</f>
        <v>ProcedureStatusChanges</v>
      </c>
      <c r="I1164" s="3" t="str">
        <f>_xlfn.IFNA(INDEX(RulebookFields!D2:D999, MATCH(D1164,RulebookFields!A2:A999, 0)), "")</f>
        <v>ToStatus</v>
      </c>
      <c r="J1164" s="3" t="b">
        <f>_xlfn.IFNA(INDEX(RulebookFields!I2:I999, MATCH(D1164,RulebookFields!A2:A999, 0)), "")</f>
        <v>0</v>
      </c>
      <c r="K1164" s="3" t="b">
        <f>AND(F1164, J1164)</f>
        <v>0</v>
      </c>
      <c r="L1164" s="3" t="b">
        <f>AND(G1164 &lt;&gt; "plain", G1164 &lt;&gt; "")</f>
        <v>0</v>
      </c>
      <c r="M1164" s="3" t="str">
        <f>IF(E1164, C1164 &amp; "|" &amp; H1164, "")</f>
        <v>principal-process-steward|ProcedureStatusChanges</v>
      </c>
      <c r="N1164" s="2" t="s">
        <v>9938</v>
      </c>
    </row>
    <row r="1165">
      <c r="A1165" s="2" t="s">
        <v>11101</v>
      </c>
      <c r="B1165" s="3" t="str">
        <f>C1165 &amp; " -&gt; " &amp; D1165</f>
        <v>principal-process-steward -&gt; ProcedureStatusChanges.ChangedAt</v>
      </c>
      <c r="C1165" s="2" t="s">
        <v>9706</v>
      </c>
      <c r="D1165" s="2" t="s">
        <v>2833</v>
      </c>
      <c r="E1165" s="2" t="b">
        <v>1</v>
      </c>
      <c r="F1165" s="2" t="b">
        <v>0</v>
      </c>
      <c r="G1165" s="2" t="s">
        <v>9937</v>
      </c>
      <c r="H1165" s="3" t="str">
        <f>_xlfn.IFNA(INDEX(RulebookFields!C2:C999, MATCH(D1165,RulebookFields!A2:A999, 0)), "")</f>
        <v>ProcedureStatusChanges</v>
      </c>
      <c r="I1165" s="3" t="str">
        <f>_xlfn.IFNA(INDEX(RulebookFields!D2:D999, MATCH(D1165,RulebookFields!A2:A999, 0)), "")</f>
        <v>ChangedAt</v>
      </c>
      <c r="J1165" s="3" t="b">
        <f>_xlfn.IFNA(INDEX(RulebookFields!I2:I999, MATCH(D1165,RulebookFields!A2:A999, 0)), "")</f>
        <v>0</v>
      </c>
      <c r="K1165" s="3" t="b">
        <f>AND(F1165, J1165)</f>
        <v>0</v>
      </c>
      <c r="L1165" s="3" t="b">
        <f>AND(G1165 &lt;&gt; "plain", G1165 &lt;&gt; "")</f>
        <v>0</v>
      </c>
      <c r="M1165" s="3" t="str">
        <f>IF(E1165, C1165 &amp; "|" &amp; H1165, "")</f>
        <v>principal-process-steward|ProcedureStatusChanges</v>
      </c>
      <c r="N1165" s="2" t="s">
        <v>9938</v>
      </c>
    </row>
    <row r="1166">
      <c r="A1166" s="2" t="s">
        <v>11102</v>
      </c>
      <c r="B1166" s="3" t="str">
        <f>C1166 &amp; " -&gt; " &amp; D1166</f>
        <v>principal-process-steward -&gt; ProcedureStatusChanges.ChangedByAgent</v>
      </c>
      <c r="C1166" s="2" t="s">
        <v>9706</v>
      </c>
      <c r="D1166" s="2" t="s">
        <v>2834</v>
      </c>
      <c r="E1166" s="2" t="b">
        <v>1</v>
      </c>
      <c r="F1166" s="2" t="b">
        <v>0</v>
      </c>
      <c r="G1166" s="2" t="s">
        <v>9937</v>
      </c>
      <c r="H1166" s="3" t="str">
        <f>_xlfn.IFNA(INDEX(RulebookFields!C2:C999, MATCH(D1166,RulebookFields!A2:A999, 0)), "")</f>
        <v>ProcedureStatusChanges</v>
      </c>
      <c r="I1166" s="3" t="str">
        <f>_xlfn.IFNA(INDEX(RulebookFields!D2:D999, MATCH(D1166,RulebookFields!A2:A999, 0)), "")</f>
        <v>ChangedByAgent</v>
      </c>
      <c r="J1166" s="3" t="b">
        <f>_xlfn.IFNA(INDEX(RulebookFields!I2:I999, MATCH(D1166,RulebookFields!A2:A999, 0)), "")</f>
        <v>0</v>
      </c>
      <c r="K1166" s="3" t="b">
        <f>AND(F1166, J1166)</f>
        <v>0</v>
      </c>
      <c r="L1166" s="3" t="b">
        <f>AND(G1166 &lt;&gt; "plain", G1166 &lt;&gt; "")</f>
        <v>0</v>
      </c>
      <c r="M1166" s="3" t="str">
        <f>IF(E1166, C1166 &amp; "|" &amp; H1166, "")</f>
        <v>principal-process-steward|ProcedureStatusChanges</v>
      </c>
      <c r="N1166" s="2" t="s">
        <v>9938</v>
      </c>
    </row>
    <row r="1167">
      <c r="A1167" s="2" t="s">
        <v>11103</v>
      </c>
      <c r="B1167" s="3" t="str">
        <f>C1167 &amp; " -&gt; " &amp; D1167</f>
        <v>principal-process-steward -&gt; ProcedureStatusChanges.Motivation</v>
      </c>
      <c r="C1167" s="2" t="s">
        <v>9706</v>
      </c>
      <c r="D1167" s="2" t="s">
        <v>2835</v>
      </c>
      <c r="E1167" s="2" t="b">
        <v>1</v>
      </c>
      <c r="F1167" s="2" t="b">
        <v>0</v>
      </c>
      <c r="G1167" s="2" t="s">
        <v>9937</v>
      </c>
      <c r="H1167" s="3" t="str">
        <f>_xlfn.IFNA(INDEX(RulebookFields!C2:C999, MATCH(D1167,RulebookFields!A2:A999, 0)), "")</f>
        <v>ProcedureStatusChanges</v>
      </c>
      <c r="I1167" s="3" t="str">
        <f>_xlfn.IFNA(INDEX(RulebookFields!D2:D999, MATCH(D1167,RulebookFields!A2:A999, 0)), "")</f>
        <v>Motivation</v>
      </c>
      <c r="J1167" s="3" t="b">
        <f>_xlfn.IFNA(INDEX(RulebookFields!I2:I999, MATCH(D1167,RulebookFields!A2:A999, 0)), "")</f>
        <v>0</v>
      </c>
      <c r="K1167" s="3" t="b">
        <f>AND(F1167, J1167)</f>
        <v>0</v>
      </c>
      <c r="L1167" s="3" t="b">
        <f>AND(G1167 &lt;&gt; "plain", G1167 &lt;&gt; "")</f>
        <v>0</v>
      </c>
      <c r="M1167" s="3" t="str">
        <f>IF(E1167, C1167 &amp; "|" &amp; H1167, "")</f>
        <v>principal-process-steward|ProcedureStatusChanges</v>
      </c>
      <c r="N1167" s="2" t="s">
        <v>9938</v>
      </c>
    </row>
    <row r="1168">
      <c r="A1168" s="2" t="s">
        <v>11104</v>
      </c>
      <c r="B1168" s="3" t="str">
        <f>C1168 &amp; " -&gt; " &amp; D1168</f>
        <v>principal-process-steward -&gt; ProcedureStatusChanges.SemanticTypeIri</v>
      </c>
      <c r="C1168" s="2" t="s">
        <v>9706</v>
      </c>
      <c r="D1168" s="2" t="s">
        <v>2836</v>
      </c>
      <c r="E1168" s="2" t="b">
        <v>1</v>
      </c>
      <c r="F1168" s="2" t="b">
        <v>0</v>
      </c>
      <c r="G1168" s="2" t="s">
        <v>9937</v>
      </c>
      <c r="H1168" s="3" t="str">
        <f>_xlfn.IFNA(INDEX(RulebookFields!C2:C999, MATCH(D1168,RulebookFields!A2:A999, 0)), "")</f>
        <v>ProcedureStatusChanges</v>
      </c>
      <c r="I1168" s="3" t="str">
        <f>_xlfn.IFNA(INDEX(RulebookFields!D2:D999, MATCH(D1168,RulebookFields!A2:A999, 0)), "")</f>
        <v>SemanticTypeIri</v>
      </c>
      <c r="J1168" s="3" t="b">
        <f>_xlfn.IFNA(INDEX(RulebookFields!I2:I999, MATCH(D1168,RulebookFields!A2:A999, 0)), "")</f>
        <v>0</v>
      </c>
      <c r="K1168" s="3" t="b">
        <f>AND(F1168, J1168)</f>
        <v>0</v>
      </c>
      <c r="L1168" s="3" t="b">
        <f>AND(G1168 &lt;&gt; "plain", G1168 &lt;&gt; "")</f>
        <v>0</v>
      </c>
      <c r="M1168" s="3" t="str">
        <f>IF(E1168, C1168 &amp; "|" &amp; H1168, "")</f>
        <v>principal-process-steward|ProcedureStatusChanges</v>
      </c>
      <c r="N1168" s="2" t="s">
        <v>9938</v>
      </c>
    </row>
    <row r="1169">
      <c r="A1169" s="2" t="s">
        <v>11105</v>
      </c>
      <c r="B1169" s="3" t="str">
        <f>C1169 &amp; " -&gt; " &amp; D1169</f>
        <v>principal-process-steward -&gt; ProcedureTypes.ProcedureTypeId</v>
      </c>
      <c r="C1169" s="2" t="s">
        <v>9706</v>
      </c>
      <c r="D1169" s="2" t="s">
        <v>2644</v>
      </c>
      <c r="E1169" s="2" t="b">
        <v>1</v>
      </c>
      <c r="F1169" s="2" t="b">
        <v>0</v>
      </c>
      <c r="G1169" s="2" t="s">
        <v>9937</v>
      </c>
      <c r="H1169" s="3" t="str">
        <f>_xlfn.IFNA(INDEX(RulebookFields!C2:C999, MATCH(D1169,RulebookFields!A2:A999, 0)), "")</f>
        <v>ProcedureTypes</v>
      </c>
      <c r="I1169" s="3" t="str">
        <f>_xlfn.IFNA(INDEX(RulebookFields!D2:D999, MATCH(D1169,RulebookFields!A2:A999, 0)), "")</f>
        <v>ProcedureTypeId</v>
      </c>
      <c r="J1169" s="3" t="b">
        <f>_xlfn.IFNA(INDEX(RulebookFields!I2:I999, MATCH(D1169,RulebookFields!A2:A999, 0)), "")</f>
        <v>0</v>
      </c>
      <c r="K1169" s="3" t="b">
        <f>AND(F1169, J1169)</f>
        <v>0</v>
      </c>
      <c r="L1169" s="3" t="b">
        <f>AND(G1169 &lt;&gt; "plain", G1169 &lt;&gt; "")</f>
        <v>0</v>
      </c>
      <c r="M1169" s="3" t="str">
        <f>IF(E1169, C1169 &amp; "|" &amp; H1169, "")</f>
        <v>principal-process-steward|ProcedureTypes</v>
      </c>
      <c r="N1169" s="2" t="s">
        <v>9938</v>
      </c>
    </row>
    <row r="1170">
      <c r="A1170" s="2" t="s">
        <v>11106</v>
      </c>
      <c r="B1170" s="3" t="str">
        <f>C1170 &amp; " -&gt; " &amp; D1170</f>
        <v>principal-process-steward -&gt; ProcedureTypes.Name</v>
      </c>
      <c r="C1170" s="2" t="s">
        <v>9706</v>
      </c>
      <c r="D1170" s="2" t="s">
        <v>2646</v>
      </c>
      <c r="E1170" s="2" t="b">
        <v>1</v>
      </c>
      <c r="F1170" s="2" t="b">
        <v>0</v>
      </c>
      <c r="G1170" s="2" t="s">
        <v>9937</v>
      </c>
      <c r="H1170" s="3" t="str">
        <f>_xlfn.IFNA(INDEX(RulebookFields!C2:C999, MATCH(D1170,RulebookFields!A2:A999, 0)), "")</f>
        <v>ProcedureTypes</v>
      </c>
      <c r="I1170" s="3" t="str">
        <f>_xlfn.IFNA(INDEX(RulebookFields!D2:D999, MATCH(D1170,RulebookFields!A2:A999, 0)), "")</f>
        <v>Name</v>
      </c>
      <c r="J1170" s="3" t="b">
        <f>_xlfn.IFNA(INDEX(RulebookFields!I2:I999, MATCH(D1170,RulebookFields!A2:A999, 0)), "")</f>
        <v>1</v>
      </c>
      <c r="K1170" s="3" t="b">
        <f>AND(F1170, J1170)</f>
        <v>0</v>
      </c>
      <c r="L1170" s="3" t="b">
        <f>AND(G1170 &lt;&gt; "plain", G1170 &lt;&gt; "")</f>
        <v>0</v>
      </c>
      <c r="M1170" s="3" t="str">
        <f>IF(E1170, C1170 &amp; "|" &amp; H1170, "")</f>
        <v>principal-process-steward|ProcedureTypes</v>
      </c>
      <c r="N1170" s="2" t="s">
        <v>9938</v>
      </c>
    </row>
    <row r="1171">
      <c r="A1171" s="2" t="s">
        <v>11107</v>
      </c>
      <c r="B1171" s="3" t="str">
        <f>C1171 &amp; " -&gt; " &amp; D1171</f>
        <v>principal-process-steward -&gt; ProcedureTypes.Label</v>
      </c>
      <c r="C1171" s="2" t="s">
        <v>9706</v>
      </c>
      <c r="D1171" s="2" t="s">
        <v>2647</v>
      </c>
      <c r="E1171" s="2" t="b">
        <v>1</v>
      </c>
      <c r="F1171" s="2" t="b">
        <v>0</v>
      </c>
      <c r="G1171" s="2" t="s">
        <v>9937</v>
      </c>
      <c r="H1171" s="3" t="str">
        <f>_xlfn.IFNA(INDEX(RulebookFields!C2:C999, MATCH(D1171,RulebookFields!A2:A999, 0)), "")</f>
        <v>ProcedureTypes</v>
      </c>
      <c r="I1171" s="3" t="str">
        <f>_xlfn.IFNA(INDEX(RulebookFields!D2:D999, MATCH(D1171,RulebookFields!A2:A999, 0)), "")</f>
        <v>Label</v>
      </c>
      <c r="J1171" s="3" t="b">
        <f>_xlfn.IFNA(INDEX(RulebookFields!I2:I999, MATCH(D1171,RulebookFields!A2:A999, 0)), "")</f>
        <v>0</v>
      </c>
      <c r="K1171" s="3" t="b">
        <f>AND(F1171, J1171)</f>
        <v>0</v>
      </c>
      <c r="L1171" s="3" t="b">
        <f>AND(G1171 &lt;&gt; "plain", G1171 &lt;&gt; "")</f>
        <v>0</v>
      </c>
      <c r="M1171" s="3" t="str">
        <f>IF(E1171, C1171 &amp; "|" &amp; H1171, "")</f>
        <v>principal-process-steward|ProcedureTypes</v>
      </c>
      <c r="N1171" s="2" t="s">
        <v>9938</v>
      </c>
    </row>
    <row r="1172">
      <c r="A1172" s="2" t="s">
        <v>11108</v>
      </c>
      <c r="B1172" s="3" t="str">
        <f>C1172 &amp; " -&gt; " &amp; D1172</f>
        <v>principal-process-steward -&gt; ProcedureTypes.Definition</v>
      </c>
      <c r="C1172" s="2" t="s">
        <v>9706</v>
      </c>
      <c r="D1172" s="2" t="s">
        <v>2648</v>
      </c>
      <c r="E1172" s="2" t="b">
        <v>1</v>
      </c>
      <c r="F1172" s="2" t="b">
        <v>0</v>
      </c>
      <c r="G1172" s="2" t="s">
        <v>9937</v>
      </c>
      <c r="H1172" s="3" t="str">
        <f>_xlfn.IFNA(INDEX(RulebookFields!C2:C999, MATCH(D1172,RulebookFields!A2:A999, 0)), "")</f>
        <v>ProcedureTypes</v>
      </c>
      <c r="I1172" s="3" t="str">
        <f>_xlfn.IFNA(INDEX(RulebookFields!D2:D999, MATCH(D1172,RulebookFields!A2:A999, 0)), "")</f>
        <v>Definition</v>
      </c>
      <c r="J1172" s="3" t="b">
        <f>_xlfn.IFNA(INDEX(RulebookFields!I2:I999, MATCH(D1172,RulebookFields!A2:A999, 0)), "")</f>
        <v>0</v>
      </c>
      <c r="K1172" s="3" t="b">
        <f>AND(F1172, J1172)</f>
        <v>0</v>
      </c>
      <c r="L1172" s="3" t="b">
        <f>AND(G1172 &lt;&gt; "plain", G1172 &lt;&gt; "")</f>
        <v>0</v>
      </c>
      <c r="M1172" s="3" t="str">
        <f>IF(E1172, C1172 &amp; "|" &amp; H1172, "")</f>
        <v>principal-process-steward|ProcedureTypes</v>
      </c>
      <c r="N1172" s="2" t="s">
        <v>9938</v>
      </c>
    </row>
    <row r="1173">
      <c r="A1173" s="2" t="s">
        <v>11109</v>
      </c>
      <c r="B1173" s="3" t="str">
        <f>C1173 &amp; " -&gt; " &amp; D1173</f>
        <v>principal-process-steward -&gt; ProcedureTypes.SemanticTypeIri</v>
      </c>
      <c r="C1173" s="2" t="s">
        <v>9706</v>
      </c>
      <c r="D1173" s="2" t="s">
        <v>2649</v>
      </c>
      <c r="E1173" s="2" t="b">
        <v>1</v>
      </c>
      <c r="F1173" s="2" t="b">
        <v>0</v>
      </c>
      <c r="G1173" s="2" t="s">
        <v>9937</v>
      </c>
      <c r="H1173" s="3" t="str">
        <f>_xlfn.IFNA(INDEX(RulebookFields!C2:C999, MATCH(D1173,RulebookFields!A2:A999, 0)), "")</f>
        <v>ProcedureTypes</v>
      </c>
      <c r="I1173" s="3" t="str">
        <f>_xlfn.IFNA(INDEX(RulebookFields!D2:D999, MATCH(D1173,RulebookFields!A2:A999, 0)), "")</f>
        <v>SemanticTypeIri</v>
      </c>
      <c r="J1173" s="3" t="b">
        <f>_xlfn.IFNA(INDEX(RulebookFields!I2:I999, MATCH(D1173,RulebookFields!A2:A999, 0)), "")</f>
        <v>0</v>
      </c>
      <c r="K1173" s="3" t="b">
        <f>AND(F1173, J1173)</f>
        <v>0</v>
      </c>
      <c r="L1173" s="3" t="b">
        <f>AND(G1173 &lt;&gt; "plain", G1173 &lt;&gt; "")</f>
        <v>0</v>
      </c>
      <c r="M1173" s="3" t="str">
        <f>IF(E1173, C1173 &amp; "|" &amp; H1173, "")</f>
        <v>principal-process-steward|ProcedureTypes</v>
      </c>
      <c r="N1173" s="2" t="s">
        <v>9938</v>
      </c>
    </row>
    <row r="1174">
      <c r="A1174" s="2" t="s">
        <v>11110</v>
      </c>
      <c r="B1174" s="3" t="str">
        <f>C1174 &amp; " -&gt; " &amp; D1174</f>
        <v>principal-process-steward -&gt; ProcedureVersionLinks.ProcedureVersionLinkId</v>
      </c>
      <c r="C1174" s="2" t="s">
        <v>9706</v>
      </c>
      <c r="D1174" s="2" t="s">
        <v>2817</v>
      </c>
      <c r="E1174" s="2" t="b">
        <v>1</v>
      </c>
      <c r="F1174" s="2" t="b">
        <v>0</v>
      </c>
      <c r="G1174" s="2" t="s">
        <v>9937</v>
      </c>
      <c r="H1174" s="3" t="str">
        <f>_xlfn.IFNA(INDEX(RulebookFields!C2:C999, MATCH(D1174,RulebookFields!A2:A999, 0)), "")</f>
        <v>ProcedureVersionLinks</v>
      </c>
      <c r="I1174" s="3" t="str">
        <f>_xlfn.IFNA(INDEX(RulebookFields!D2:D999, MATCH(D1174,RulebookFields!A2:A999, 0)), "")</f>
        <v>ProcedureVersionLinkId</v>
      </c>
      <c r="J1174" s="3" t="b">
        <f>_xlfn.IFNA(INDEX(RulebookFields!I2:I999, MATCH(D1174,RulebookFields!A2:A999, 0)), "")</f>
        <v>0</v>
      </c>
      <c r="K1174" s="3" t="b">
        <f>AND(F1174, J1174)</f>
        <v>0</v>
      </c>
      <c r="L1174" s="3" t="b">
        <f>AND(G1174 &lt;&gt; "plain", G1174 &lt;&gt; "")</f>
        <v>0</v>
      </c>
      <c r="M1174" s="3" t="str">
        <f>IF(E1174, C1174 &amp; "|" &amp; H1174, "")</f>
        <v>principal-process-steward|ProcedureVersionLinks</v>
      </c>
      <c r="N1174" s="2" t="s">
        <v>9938</v>
      </c>
    </row>
    <row r="1175">
      <c r="A1175" s="2" t="s">
        <v>11111</v>
      </c>
      <c r="B1175" s="3" t="str">
        <f>C1175 &amp; " -&gt; " &amp; D1175</f>
        <v>principal-process-steward -&gt; ProcedureVersionLinks.Name</v>
      </c>
      <c r="C1175" s="2" t="s">
        <v>9706</v>
      </c>
      <c r="D1175" s="2" t="s">
        <v>2819</v>
      </c>
      <c r="E1175" s="2" t="b">
        <v>1</v>
      </c>
      <c r="F1175" s="2" t="b">
        <v>0</v>
      </c>
      <c r="G1175" s="2" t="s">
        <v>9937</v>
      </c>
      <c r="H1175" s="3" t="str">
        <f>_xlfn.IFNA(INDEX(RulebookFields!C2:C999, MATCH(D1175,RulebookFields!A2:A999, 0)), "")</f>
        <v>ProcedureVersionLinks</v>
      </c>
      <c r="I1175" s="3" t="str">
        <f>_xlfn.IFNA(INDEX(RulebookFields!D2:D999, MATCH(D1175,RulebookFields!A2:A999, 0)), "")</f>
        <v>Name</v>
      </c>
      <c r="J1175" s="3" t="b">
        <f>_xlfn.IFNA(INDEX(RulebookFields!I2:I999, MATCH(D1175,RulebookFields!A2:A999, 0)), "")</f>
        <v>1</v>
      </c>
      <c r="K1175" s="3" t="b">
        <f>AND(F1175, J1175)</f>
        <v>0</v>
      </c>
      <c r="L1175" s="3" t="b">
        <f>AND(G1175 &lt;&gt; "plain", G1175 &lt;&gt; "")</f>
        <v>0</v>
      </c>
      <c r="M1175" s="3" t="str">
        <f>IF(E1175, C1175 &amp; "|" &amp; H1175, "")</f>
        <v>principal-process-steward|ProcedureVersionLinks</v>
      </c>
      <c r="N1175" s="2" t="s">
        <v>9938</v>
      </c>
    </row>
    <row r="1176">
      <c r="A1176" s="2" t="s">
        <v>11112</v>
      </c>
      <c r="B1176" s="3" t="str">
        <f>C1176 &amp; " -&gt; " &amp; D1176</f>
        <v>principal-process-steward -&gt; ProcedureVersionLinks.PreviousProcedureVersion</v>
      </c>
      <c r="C1176" s="2" t="s">
        <v>9706</v>
      </c>
      <c r="D1176" s="2" t="s">
        <v>2821</v>
      </c>
      <c r="E1176" s="2" t="b">
        <v>1</v>
      </c>
      <c r="F1176" s="2" t="b">
        <v>0</v>
      </c>
      <c r="G1176" s="2" t="s">
        <v>9937</v>
      </c>
      <c r="H1176" s="3" t="str">
        <f>_xlfn.IFNA(INDEX(RulebookFields!C2:C999, MATCH(D1176,RulebookFields!A2:A999, 0)), "")</f>
        <v>ProcedureVersionLinks</v>
      </c>
      <c r="I1176" s="3" t="str">
        <f>_xlfn.IFNA(INDEX(RulebookFields!D2:D999, MATCH(D1176,RulebookFields!A2:A999, 0)), "")</f>
        <v>PreviousProcedureVersion</v>
      </c>
      <c r="J1176" s="3" t="b">
        <f>_xlfn.IFNA(INDEX(RulebookFields!I2:I999, MATCH(D1176,RulebookFields!A2:A999, 0)), "")</f>
        <v>0</v>
      </c>
      <c r="K1176" s="3" t="b">
        <f>AND(F1176, J1176)</f>
        <v>0</v>
      </c>
      <c r="L1176" s="3" t="b">
        <f>AND(G1176 &lt;&gt; "plain", G1176 &lt;&gt; "")</f>
        <v>0</v>
      </c>
      <c r="M1176" s="3" t="str">
        <f>IF(E1176, C1176 &amp; "|" &amp; H1176, "")</f>
        <v>principal-process-steward|ProcedureVersionLinks</v>
      </c>
      <c r="N1176" s="2" t="s">
        <v>9938</v>
      </c>
    </row>
    <row r="1177">
      <c r="A1177" s="2" t="s">
        <v>11113</v>
      </c>
      <c r="B1177" s="3" t="str">
        <f>C1177 &amp; " -&gt; " &amp; D1177</f>
        <v>principal-process-steward -&gt; ProcedureVersionLinks.NextProcedureVersion</v>
      </c>
      <c r="C1177" s="2" t="s">
        <v>9706</v>
      </c>
      <c r="D1177" s="2" t="s">
        <v>2822</v>
      </c>
      <c r="E1177" s="2" t="b">
        <v>1</v>
      </c>
      <c r="F1177" s="2" t="b">
        <v>0</v>
      </c>
      <c r="G1177" s="2" t="s">
        <v>9937</v>
      </c>
      <c r="H1177" s="3" t="str">
        <f>_xlfn.IFNA(INDEX(RulebookFields!C2:C999, MATCH(D1177,RulebookFields!A2:A999, 0)), "")</f>
        <v>ProcedureVersionLinks</v>
      </c>
      <c r="I1177" s="3" t="str">
        <f>_xlfn.IFNA(INDEX(RulebookFields!D2:D999, MATCH(D1177,RulebookFields!A2:A999, 0)), "")</f>
        <v>NextProcedureVersion</v>
      </c>
      <c r="J1177" s="3" t="b">
        <f>_xlfn.IFNA(INDEX(RulebookFields!I2:I999, MATCH(D1177,RulebookFields!A2:A999, 0)), "")</f>
        <v>0</v>
      </c>
      <c r="K1177" s="3" t="b">
        <f>AND(F1177, J1177)</f>
        <v>0</v>
      </c>
      <c r="L1177" s="3" t="b">
        <f>AND(G1177 &lt;&gt; "plain", G1177 &lt;&gt; "")</f>
        <v>0</v>
      </c>
      <c r="M1177" s="3" t="str">
        <f>IF(E1177, C1177 &amp; "|" &amp; H1177, "")</f>
        <v>principal-process-steward|ProcedureVersionLinks</v>
      </c>
      <c r="N1177" s="2" t="s">
        <v>9938</v>
      </c>
    </row>
    <row r="1178">
      <c r="A1178" s="2" t="s">
        <v>11114</v>
      </c>
      <c r="B1178" s="3" t="str">
        <f>C1178 &amp; " -&gt; " &amp; D1178</f>
        <v>principal-process-steward -&gt; ProcedureVersionLinks.RelationIri</v>
      </c>
      <c r="C1178" s="2" t="s">
        <v>9706</v>
      </c>
      <c r="D1178" s="2" t="s">
        <v>2823</v>
      </c>
      <c r="E1178" s="2" t="b">
        <v>1</v>
      </c>
      <c r="F1178" s="2" t="b">
        <v>0</v>
      </c>
      <c r="G1178" s="2" t="s">
        <v>9937</v>
      </c>
      <c r="H1178" s="3" t="str">
        <f>_xlfn.IFNA(INDEX(RulebookFields!C2:C999, MATCH(D1178,RulebookFields!A2:A999, 0)), "")</f>
        <v>ProcedureVersionLinks</v>
      </c>
      <c r="I1178" s="3" t="str">
        <f>_xlfn.IFNA(INDEX(RulebookFields!D2:D999, MATCH(D1178,RulebookFields!A2:A999, 0)), "")</f>
        <v>RelationIri</v>
      </c>
      <c r="J1178" s="3" t="b">
        <f>_xlfn.IFNA(INDEX(RulebookFields!I2:I999, MATCH(D1178,RulebookFields!A2:A999, 0)), "")</f>
        <v>0</v>
      </c>
      <c r="K1178" s="3" t="b">
        <f>AND(F1178, J1178)</f>
        <v>0</v>
      </c>
      <c r="L1178" s="3" t="b">
        <f>AND(G1178 &lt;&gt; "plain", G1178 &lt;&gt; "")</f>
        <v>0</v>
      </c>
      <c r="M1178" s="3" t="str">
        <f>IF(E1178, C1178 &amp; "|" &amp; H1178, "")</f>
        <v>principal-process-steward|ProcedureVersionLinks</v>
      </c>
      <c r="N1178" s="2" t="s">
        <v>9938</v>
      </c>
    </row>
    <row r="1179">
      <c r="A1179" s="2" t="s">
        <v>11115</v>
      </c>
      <c r="B1179" s="3" t="str">
        <f>C1179 &amp; " -&gt; " &amp; D1179</f>
        <v>principal-process-steward -&gt; ProcedureVersionLinks.ChangeSummary</v>
      </c>
      <c r="C1179" s="2" t="s">
        <v>9706</v>
      </c>
      <c r="D1179" s="2" t="s">
        <v>2824</v>
      </c>
      <c r="E1179" s="2" t="b">
        <v>1</v>
      </c>
      <c r="F1179" s="2" t="b">
        <v>0</v>
      </c>
      <c r="G1179" s="2" t="s">
        <v>9937</v>
      </c>
      <c r="H1179" s="3" t="str">
        <f>_xlfn.IFNA(INDEX(RulebookFields!C2:C999, MATCH(D1179,RulebookFields!A2:A999, 0)), "")</f>
        <v>ProcedureVersionLinks</v>
      </c>
      <c r="I1179" s="3" t="str">
        <f>_xlfn.IFNA(INDEX(RulebookFields!D2:D999, MATCH(D1179,RulebookFields!A2:A999, 0)), "")</f>
        <v>ChangeSummary</v>
      </c>
      <c r="J1179" s="3" t="b">
        <f>_xlfn.IFNA(INDEX(RulebookFields!I2:I999, MATCH(D1179,RulebookFields!A2:A999, 0)), "")</f>
        <v>0</v>
      </c>
      <c r="K1179" s="3" t="b">
        <f>AND(F1179, J1179)</f>
        <v>0</v>
      </c>
      <c r="L1179" s="3" t="b">
        <f>AND(G1179 &lt;&gt; "plain", G1179 &lt;&gt; "")</f>
        <v>0</v>
      </c>
      <c r="M1179" s="3" t="str">
        <f>IF(E1179, C1179 &amp; "|" &amp; H1179, "")</f>
        <v>principal-process-steward|ProcedureVersionLinks</v>
      </c>
      <c r="N1179" s="2" t="s">
        <v>9938</v>
      </c>
    </row>
    <row r="1180">
      <c r="A1180" s="2" t="s">
        <v>11116</v>
      </c>
      <c r="B1180" s="3" t="str">
        <f>C1180 &amp; " -&gt; " &amp; D1180</f>
        <v>principal-process-steward -&gt; ProcedureVersionLinks.SupersededVersionKey</v>
      </c>
      <c r="C1180" s="2" t="s">
        <v>9706</v>
      </c>
      <c r="D1180" s="2" t="s">
        <v>2825</v>
      </c>
      <c r="E1180" s="2" t="b">
        <v>1</v>
      </c>
      <c r="F1180" s="2" t="b">
        <v>0</v>
      </c>
      <c r="G1180" s="2" t="s">
        <v>9937</v>
      </c>
      <c r="H1180" s="3" t="str">
        <f>_xlfn.IFNA(INDEX(RulebookFields!C2:C999, MATCH(D1180,RulebookFields!A2:A999, 0)), "")</f>
        <v>ProcedureVersionLinks</v>
      </c>
      <c r="I1180" s="3" t="str">
        <f>_xlfn.IFNA(INDEX(RulebookFields!D2:D999, MATCH(D1180,RulebookFields!A2:A999, 0)), "")</f>
        <v>SupersededVersionKey</v>
      </c>
      <c r="J1180" s="3" t="b">
        <f>_xlfn.IFNA(INDEX(RulebookFields!I2:I999, MATCH(D1180,RulebookFields!A2:A999, 0)), "")</f>
        <v>1</v>
      </c>
      <c r="K1180" s="3" t="b">
        <f>AND(F1180, J1180)</f>
        <v>0</v>
      </c>
      <c r="L1180" s="3" t="b">
        <f>AND(G1180 &lt;&gt; "plain", G1180 &lt;&gt; "")</f>
        <v>0</v>
      </c>
      <c r="M1180" s="3" t="str">
        <f>IF(E1180, C1180 &amp; "|" &amp; H1180, "")</f>
        <v>principal-process-steward|ProcedureVersionLinks</v>
      </c>
      <c r="N1180" s="2" t="s">
        <v>9938</v>
      </c>
    </row>
    <row r="1181">
      <c r="A1181" s="2" t="s">
        <v>11117</v>
      </c>
      <c r="B1181" s="3" t="str">
        <f>C1181 &amp; " -&gt; " &amp; D1181</f>
        <v>principal-process-steward -&gt; ProcedureVersions.ProcedureVersionId</v>
      </c>
      <c r="C1181" s="2" t="s">
        <v>9706</v>
      </c>
      <c r="D1181" s="2" t="s">
        <v>2662</v>
      </c>
      <c r="E1181" s="2" t="b">
        <v>1</v>
      </c>
      <c r="F1181" s="2" t="b">
        <v>0</v>
      </c>
      <c r="G1181" s="2" t="s">
        <v>9937</v>
      </c>
      <c r="H1181" s="3" t="str">
        <f>_xlfn.IFNA(INDEX(RulebookFields!C2:C999, MATCH(D1181,RulebookFields!A2:A999, 0)), "")</f>
        <v>ProcedureVersions</v>
      </c>
      <c r="I1181" s="3" t="str">
        <f>_xlfn.IFNA(INDEX(RulebookFields!D2:D999, MATCH(D1181,RulebookFields!A2:A999, 0)), "")</f>
        <v>ProcedureVersionId</v>
      </c>
      <c r="J1181" s="3" t="b">
        <f>_xlfn.IFNA(INDEX(RulebookFields!I2:I999, MATCH(D1181,RulebookFields!A2:A999, 0)), "")</f>
        <v>0</v>
      </c>
      <c r="K1181" s="3" t="b">
        <f>AND(F1181, J1181)</f>
        <v>0</v>
      </c>
      <c r="L1181" s="3" t="b">
        <f>AND(G1181 &lt;&gt; "plain", G1181 &lt;&gt; "")</f>
        <v>0</v>
      </c>
      <c r="M1181" s="3" t="str">
        <f>IF(E1181, C1181 &amp; "|" &amp; H1181, "")</f>
        <v>principal-process-steward|ProcedureVersions</v>
      </c>
      <c r="N1181" s="2" t="s">
        <v>9938</v>
      </c>
    </row>
    <row r="1182">
      <c r="A1182" s="2" t="s">
        <v>11118</v>
      </c>
      <c r="B1182" s="3" t="str">
        <f>C1182 &amp; " -&gt; " &amp; D1182</f>
        <v>principal-process-steward -&gt; ProcedureVersions.Name</v>
      </c>
      <c r="C1182" s="2" t="s">
        <v>9706</v>
      </c>
      <c r="D1182" s="2" t="s">
        <v>2663</v>
      </c>
      <c r="E1182" s="2" t="b">
        <v>1</v>
      </c>
      <c r="F1182" s="2" t="b">
        <v>0</v>
      </c>
      <c r="G1182" s="2" t="s">
        <v>9937</v>
      </c>
      <c r="H1182" s="3" t="str">
        <f>_xlfn.IFNA(INDEX(RulebookFields!C2:C999, MATCH(D1182,RulebookFields!A2:A999, 0)), "")</f>
        <v>ProcedureVersions</v>
      </c>
      <c r="I1182" s="3" t="str">
        <f>_xlfn.IFNA(INDEX(RulebookFields!D2:D999, MATCH(D1182,RulebookFields!A2:A999, 0)), "")</f>
        <v>Name</v>
      </c>
      <c r="J1182" s="3" t="b">
        <f>_xlfn.IFNA(INDEX(RulebookFields!I2:I999, MATCH(D1182,RulebookFields!A2:A999, 0)), "")</f>
        <v>1</v>
      </c>
      <c r="K1182" s="3" t="b">
        <f>AND(F1182, J1182)</f>
        <v>0</v>
      </c>
      <c r="L1182" s="3" t="b">
        <f>AND(G1182 &lt;&gt; "plain", G1182 &lt;&gt; "")</f>
        <v>0</v>
      </c>
      <c r="M1182" s="3" t="str">
        <f>IF(E1182, C1182 &amp; "|" &amp; H1182, "")</f>
        <v>principal-process-steward|ProcedureVersions</v>
      </c>
      <c r="N1182" s="2" t="s">
        <v>9938</v>
      </c>
    </row>
    <row r="1183">
      <c r="A1183" s="2" t="s">
        <v>11119</v>
      </c>
      <c r="B1183" s="3" t="str">
        <f>C1183 &amp; " -&gt; " &amp; D1183</f>
        <v>principal-process-steward -&gt; ProcedureVersions.Procedure</v>
      </c>
      <c r="C1183" s="2" t="s">
        <v>9706</v>
      </c>
      <c r="D1183" s="2" t="s">
        <v>2664</v>
      </c>
      <c r="E1183" s="2" t="b">
        <v>1</v>
      </c>
      <c r="F1183" s="2" t="b">
        <v>0</v>
      </c>
      <c r="G1183" s="2" t="s">
        <v>9937</v>
      </c>
      <c r="H1183" s="3" t="str">
        <f>_xlfn.IFNA(INDEX(RulebookFields!C2:C999, MATCH(D1183,RulebookFields!A2:A999, 0)), "")</f>
        <v>ProcedureVersions</v>
      </c>
      <c r="I1183" s="3" t="str">
        <f>_xlfn.IFNA(INDEX(RulebookFields!D2:D999, MATCH(D1183,RulebookFields!A2:A999, 0)), "")</f>
        <v>Procedure</v>
      </c>
      <c r="J1183" s="3" t="b">
        <f>_xlfn.IFNA(INDEX(RulebookFields!I2:I999, MATCH(D1183,RulebookFields!A2:A999, 0)), "")</f>
        <v>0</v>
      </c>
      <c r="K1183" s="3" t="b">
        <f>AND(F1183, J1183)</f>
        <v>0</v>
      </c>
      <c r="L1183" s="3" t="b">
        <f>AND(G1183 &lt;&gt; "plain", G1183 &lt;&gt; "")</f>
        <v>0</v>
      </c>
      <c r="M1183" s="3" t="str">
        <f>IF(E1183, C1183 &amp; "|" &amp; H1183, "")</f>
        <v>principal-process-steward|ProcedureVersions</v>
      </c>
      <c r="N1183" s="2" t="s">
        <v>9938</v>
      </c>
    </row>
    <row r="1184">
      <c r="A1184" s="2" t="s">
        <v>11120</v>
      </c>
      <c r="B1184" s="3" t="str">
        <f>C1184 &amp; " -&gt; " &amp; D1184</f>
        <v>principal-process-steward -&gt; ProcedureVersions.VersionNumber</v>
      </c>
      <c r="C1184" s="2" t="s">
        <v>9706</v>
      </c>
      <c r="D1184" s="2" t="s">
        <v>1750</v>
      </c>
      <c r="E1184" s="2" t="b">
        <v>1</v>
      </c>
      <c r="F1184" s="2" t="b">
        <v>0</v>
      </c>
      <c r="G1184" s="2" t="s">
        <v>9937</v>
      </c>
      <c r="H1184" s="3" t="str">
        <f>_xlfn.IFNA(INDEX(RulebookFields!C2:C999, MATCH(D1184,RulebookFields!A2:A999, 0)), "")</f>
        <v>ProcedureVersions</v>
      </c>
      <c r="I1184" s="3" t="str">
        <f>_xlfn.IFNA(INDEX(RulebookFields!D2:D999, MATCH(D1184,RulebookFields!A2:A999, 0)), "")</f>
        <v>VersionNumber</v>
      </c>
      <c r="J1184" s="3" t="b">
        <f>_xlfn.IFNA(INDEX(RulebookFields!I2:I999, MATCH(D1184,RulebookFields!A2:A999, 0)), "")</f>
        <v>0</v>
      </c>
      <c r="K1184" s="3" t="b">
        <f>AND(F1184, J1184)</f>
        <v>0</v>
      </c>
      <c r="L1184" s="3" t="b">
        <f>AND(G1184 &lt;&gt; "plain", G1184 &lt;&gt; "")</f>
        <v>0</v>
      </c>
      <c r="M1184" s="3" t="str">
        <f>IF(E1184, C1184 &amp; "|" &amp; H1184, "")</f>
        <v>principal-process-steward|ProcedureVersions</v>
      </c>
      <c r="N1184" s="2" t="s">
        <v>9938</v>
      </c>
    </row>
    <row r="1185">
      <c r="A1185" s="2" t="s">
        <v>11121</v>
      </c>
      <c r="B1185" s="3" t="str">
        <f>C1185 &amp; " -&gt; " &amp; D1185</f>
        <v>principal-process-steward -&gt; ProcedureVersions.Title</v>
      </c>
      <c r="C1185" s="2" t="s">
        <v>9706</v>
      </c>
      <c r="D1185" s="2" t="s">
        <v>2665</v>
      </c>
      <c r="E1185" s="2" t="b">
        <v>1</v>
      </c>
      <c r="F1185" s="2" t="b">
        <v>0</v>
      </c>
      <c r="G1185" s="2" t="s">
        <v>9937</v>
      </c>
      <c r="H1185" s="3" t="str">
        <f>_xlfn.IFNA(INDEX(RulebookFields!C2:C999, MATCH(D1185,RulebookFields!A2:A999, 0)), "")</f>
        <v>ProcedureVersions</v>
      </c>
      <c r="I1185" s="3" t="str">
        <f>_xlfn.IFNA(INDEX(RulebookFields!D2:D999, MATCH(D1185,RulebookFields!A2:A999, 0)), "")</f>
        <v>Title</v>
      </c>
      <c r="J1185" s="3" t="b">
        <f>_xlfn.IFNA(INDEX(RulebookFields!I2:I999, MATCH(D1185,RulebookFields!A2:A999, 0)), "")</f>
        <v>0</v>
      </c>
      <c r="K1185" s="3" t="b">
        <f>AND(F1185, J1185)</f>
        <v>0</v>
      </c>
      <c r="L1185" s="3" t="b">
        <f>AND(G1185 &lt;&gt; "plain", G1185 &lt;&gt; "")</f>
        <v>0</v>
      </c>
      <c r="M1185" s="3" t="str">
        <f>IF(E1185, C1185 &amp; "|" &amp; H1185, "")</f>
        <v>principal-process-steward|ProcedureVersions</v>
      </c>
      <c r="N1185" s="2" t="s">
        <v>9938</v>
      </c>
    </row>
    <row r="1186">
      <c r="A1186" s="2" t="s">
        <v>11122</v>
      </c>
      <c r="B1186" s="3" t="str">
        <f>C1186 &amp; " -&gt; " &amp; D1186</f>
        <v>principal-process-steward -&gt; ProcedureVersions.Status</v>
      </c>
      <c r="C1186" s="2" t="s">
        <v>9706</v>
      </c>
      <c r="D1186" s="2" t="s">
        <v>2666</v>
      </c>
      <c r="E1186" s="2" t="b">
        <v>1</v>
      </c>
      <c r="F1186" s="2" t="b">
        <v>0</v>
      </c>
      <c r="G1186" s="2" t="s">
        <v>9937</v>
      </c>
      <c r="H1186" s="3" t="str">
        <f>_xlfn.IFNA(INDEX(RulebookFields!C2:C999, MATCH(D1186,RulebookFields!A2:A999, 0)), "")</f>
        <v>ProcedureVersions</v>
      </c>
      <c r="I1186" s="3" t="str">
        <f>_xlfn.IFNA(INDEX(RulebookFields!D2:D999, MATCH(D1186,RulebookFields!A2:A999, 0)), "")</f>
        <v>Status</v>
      </c>
      <c r="J1186" s="3" t="b">
        <f>_xlfn.IFNA(INDEX(RulebookFields!I2:I999, MATCH(D1186,RulebookFields!A2:A999, 0)), "")</f>
        <v>0</v>
      </c>
      <c r="K1186" s="3" t="b">
        <f>AND(F1186, J1186)</f>
        <v>0</v>
      </c>
      <c r="L1186" s="3" t="b">
        <f>AND(G1186 &lt;&gt; "plain", G1186 &lt;&gt; "")</f>
        <v>0</v>
      </c>
      <c r="M1186" s="3" t="str">
        <f>IF(E1186, C1186 &amp; "|" &amp; H1186, "")</f>
        <v>principal-process-steward|ProcedureVersions</v>
      </c>
      <c r="N1186" s="2" t="s">
        <v>9938</v>
      </c>
    </row>
    <row r="1187">
      <c r="A1187" s="2" t="s">
        <v>11123</v>
      </c>
      <c r="B1187" s="3" t="str">
        <f>C1187 &amp; " -&gt; " &amp; D1187</f>
        <v>principal-process-steward -&gt; ProcedureVersions.IssuedAt</v>
      </c>
      <c r="C1187" s="2" t="s">
        <v>9706</v>
      </c>
      <c r="D1187" s="2" t="s">
        <v>2667</v>
      </c>
      <c r="E1187" s="2" t="b">
        <v>1</v>
      </c>
      <c r="F1187" s="2" t="b">
        <v>0</v>
      </c>
      <c r="G1187" s="2" t="s">
        <v>9937</v>
      </c>
      <c r="H1187" s="3" t="str">
        <f>_xlfn.IFNA(INDEX(RulebookFields!C2:C999, MATCH(D1187,RulebookFields!A2:A999, 0)), "")</f>
        <v>ProcedureVersions</v>
      </c>
      <c r="I1187" s="3" t="str">
        <f>_xlfn.IFNA(INDEX(RulebookFields!D2:D999, MATCH(D1187,RulebookFields!A2:A999, 0)), "")</f>
        <v>IssuedAt</v>
      </c>
      <c r="J1187" s="3" t="b">
        <f>_xlfn.IFNA(INDEX(RulebookFields!I2:I999, MATCH(D1187,RulebookFields!A2:A999, 0)), "")</f>
        <v>0</v>
      </c>
      <c r="K1187" s="3" t="b">
        <f>AND(F1187, J1187)</f>
        <v>0</v>
      </c>
      <c r="L1187" s="3" t="b">
        <f>AND(G1187 &lt;&gt; "plain", G1187 &lt;&gt; "")</f>
        <v>0</v>
      </c>
      <c r="M1187" s="3" t="str">
        <f>IF(E1187, C1187 &amp; "|" &amp; H1187, "")</f>
        <v>principal-process-steward|ProcedureVersions</v>
      </c>
      <c r="N1187" s="2" t="s">
        <v>9938</v>
      </c>
    </row>
    <row r="1188">
      <c r="A1188" s="2" t="s">
        <v>11124</v>
      </c>
      <c r="B1188" s="3" t="str">
        <f>C1188 &amp; " -&gt; " &amp; D1188</f>
        <v>principal-process-steward -&gt; ProcedureVersions.ModifiedAt</v>
      </c>
      <c r="C1188" s="2" t="s">
        <v>9706</v>
      </c>
      <c r="D1188" s="2" t="s">
        <v>2668</v>
      </c>
      <c r="E1188" s="2" t="b">
        <v>1</v>
      </c>
      <c r="F1188" s="2" t="b">
        <v>0</v>
      </c>
      <c r="G1188" s="2" t="s">
        <v>9937</v>
      </c>
      <c r="H1188" s="3" t="str">
        <f>_xlfn.IFNA(INDEX(RulebookFields!C2:C999, MATCH(D1188,RulebookFields!A2:A999, 0)), "")</f>
        <v>ProcedureVersions</v>
      </c>
      <c r="I1188" s="3" t="str">
        <f>_xlfn.IFNA(INDEX(RulebookFields!D2:D999, MATCH(D1188,RulebookFields!A2:A999, 0)), "")</f>
        <v>ModifiedAt</v>
      </c>
      <c r="J1188" s="3" t="b">
        <f>_xlfn.IFNA(INDEX(RulebookFields!I2:I999, MATCH(D1188,RulebookFields!A2:A999, 0)), "")</f>
        <v>0</v>
      </c>
      <c r="K1188" s="3" t="b">
        <f>AND(F1188, J1188)</f>
        <v>0</v>
      </c>
      <c r="L1188" s="3" t="b">
        <f>AND(G1188 &lt;&gt; "plain", G1188 &lt;&gt; "")</f>
        <v>0</v>
      </c>
      <c r="M1188" s="3" t="str">
        <f>IF(E1188, C1188 &amp; "|" &amp; H1188, "")</f>
        <v>principal-process-steward|ProcedureVersions</v>
      </c>
      <c r="N1188" s="2" t="s">
        <v>9938</v>
      </c>
    </row>
    <row r="1189">
      <c r="A1189" s="2" t="s">
        <v>11125</v>
      </c>
      <c r="B1189" s="3" t="str">
        <f>C1189 &amp; " -&gt; " &amp; D1189</f>
        <v>principal-process-steward -&gt; ProcedureVersions.CreatedByAgent</v>
      </c>
      <c r="C1189" s="2" t="s">
        <v>9706</v>
      </c>
      <c r="D1189" s="2" t="s">
        <v>2669</v>
      </c>
      <c r="E1189" s="2" t="b">
        <v>1</v>
      </c>
      <c r="F1189" s="2" t="b">
        <v>0</v>
      </c>
      <c r="G1189" s="2" t="s">
        <v>9937</v>
      </c>
      <c r="H1189" s="3" t="str">
        <f>_xlfn.IFNA(INDEX(RulebookFields!C2:C999, MATCH(D1189,RulebookFields!A2:A999, 0)), "")</f>
        <v>ProcedureVersions</v>
      </c>
      <c r="I1189" s="3" t="str">
        <f>_xlfn.IFNA(INDEX(RulebookFields!D2:D999, MATCH(D1189,RulebookFields!A2:A999, 0)), "")</f>
        <v>CreatedByAgent</v>
      </c>
      <c r="J1189" s="3" t="b">
        <f>_xlfn.IFNA(INDEX(RulebookFields!I2:I999, MATCH(D1189,RulebookFields!A2:A999, 0)), "")</f>
        <v>0</v>
      </c>
      <c r="K1189" s="3" t="b">
        <f>AND(F1189, J1189)</f>
        <v>0</v>
      </c>
      <c r="L1189" s="3" t="b">
        <f>AND(G1189 &lt;&gt; "plain", G1189 &lt;&gt; "")</f>
        <v>0</v>
      </c>
      <c r="M1189" s="3" t="str">
        <f>IF(E1189, C1189 &amp; "|" &amp; H1189, "")</f>
        <v>principal-process-steward|ProcedureVersions</v>
      </c>
      <c r="N1189" s="2" t="s">
        <v>9938</v>
      </c>
    </row>
    <row r="1190">
      <c r="A1190" s="2" t="s">
        <v>11126</v>
      </c>
      <c r="B1190" s="3" t="str">
        <f>C1190 &amp; " -&gt; " &amp; D1190</f>
        <v>principal-process-steward -&gt; ProcedureVersions.ModifiedByAgent</v>
      </c>
      <c r="C1190" s="2" t="s">
        <v>9706</v>
      </c>
      <c r="D1190" s="2" t="s">
        <v>2670</v>
      </c>
      <c r="E1190" s="2" t="b">
        <v>1</v>
      </c>
      <c r="F1190" s="2" t="b">
        <v>0</v>
      </c>
      <c r="G1190" s="2" t="s">
        <v>9937</v>
      </c>
      <c r="H1190" s="3" t="str">
        <f>_xlfn.IFNA(INDEX(RulebookFields!C2:C999, MATCH(D1190,RulebookFields!A2:A999, 0)), "")</f>
        <v>ProcedureVersions</v>
      </c>
      <c r="I1190" s="3" t="str">
        <f>_xlfn.IFNA(INDEX(RulebookFields!D2:D999, MATCH(D1190,RulebookFields!A2:A999, 0)), "")</f>
        <v>ModifiedByAgent</v>
      </c>
      <c r="J1190" s="3" t="b">
        <f>_xlfn.IFNA(INDEX(RulebookFields!I2:I999, MATCH(D1190,RulebookFields!A2:A999, 0)), "")</f>
        <v>0</v>
      </c>
      <c r="K1190" s="3" t="b">
        <f>AND(F1190, J1190)</f>
        <v>0</v>
      </c>
      <c r="L1190" s="3" t="b">
        <f>AND(G1190 &lt;&gt; "plain", G1190 &lt;&gt; "")</f>
        <v>0</v>
      </c>
      <c r="M1190" s="3" t="str">
        <f>IF(E1190, C1190 &amp; "|" &amp; H1190, "")</f>
        <v>principal-process-steward|ProcedureVersions</v>
      </c>
      <c r="N1190" s="2" t="s">
        <v>9938</v>
      </c>
    </row>
    <row r="1191">
      <c r="A1191" s="2" t="s">
        <v>11127</v>
      </c>
      <c r="B1191" s="3" t="str">
        <f>C1191 &amp; " -&gt; " &amp; D1191</f>
        <v>principal-process-steward -&gt; ProcedureVersions.NewVersionMotivation</v>
      </c>
      <c r="C1191" s="2" t="s">
        <v>9706</v>
      </c>
      <c r="D1191" s="2" t="s">
        <v>2671</v>
      </c>
      <c r="E1191" s="2" t="b">
        <v>1</v>
      </c>
      <c r="F1191" s="2" t="b">
        <v>0</v>
      </c>
      <c r="G1191" s="2" t="s">
        <v>9937</v>
      </c>
      <c r="H1191" s="3" t="str">
        <f>_xlfn.IFNA(INDEX(RulebookFields!C2:C999, MATCH(D1191,RulebookFields!A2:A999, 0)), "")</f>
        <v>ProcedureVersions</v>
      </c>
      <c r="I1191" s="3" t="str">
        <f>_xlfn.IFNA(INDEX(RulebookFields!D2:D999, MATCH(D1191,RulebookFields!A2:A999, 0)), "")</f>
        <v>NewVersionMotivation</v>
      </c>
      <c r="J1191" s="3" t="b">
        <f>_xlfn.IFNA(INDEX(RulebookFields!I2:I999, MATCH(D1191,RulebookFields!A2:A999, 0)), "")</f>
        <v>0</v>
      </c>
      <c r="K1191" s="3" t="b">
        <f>AND(F1191, J1191)</f>
        <v>0</v>
      </c>
      <c r="L1191" s="3" t="b">
        <f>AND(G1191 &lt;&gt; "plain", G1191 &lt;&gt; "")</f>
        <v>0</v>
      </c>
      <c r="M1191" s="3" t="str">
        <f>IF(E1191, C1191 &amp; "|" &amp; H1191, "")</f>
        <v>principal-process-steward|ProcedureVersions</v>
      </c>
      <c r="N1191" s="2" t="s">
        <v>9938</v>
      </c>
    </row>
    <row r="1192">
      <c r="A1192" s="2" t="s">
        <v>11128</v>
      </c>
      <c r="B1192" s="3" t="str">
        <f>C1192 &amp; " -&gt; " &amp; D1192</f>
        <v>principal-process-steward -&gt; ProcedureVersions.ChangelogDescription</v>
      </c>
      <c r="C1192" s="2" t="s">
        <v>9706</v>
      </c>
      <c r="D1192" s="2" t="s">
        <v>2672</v>
      </c>
      <c r="E1192" s="2" t="b">
        <v>1</v>
      </c>
      <c r="F1192" s="2" t="b">
        <v>0</v>
      </c>
      <c r="G1192" s="2" t="s">
        <v>9937</v>
      </c>
      <c r="H1192" s="3" t="str">
        <f>_xlfn.IFNA(INDEX(RulebookFields!C2:C999, MATCH(D1192,RulebookFields!A2:A999, 0)), "")</f>
        <v>ProcedureVersions</v>
      </c>
      <c r="I1192" s="3" t="str">
        <f>_xlfn.IFNA(INDEX(RulebookFields!D2:D999, MATCH(D1192,RulebookFields!A2:A999, 0)), "")</f>
        <v>ChangelogDescription</v>
      </c>
      <c r="J1192" s="3" t="b">
        <f>_xlfn.IFNA(INDEX(RulebookFields!I2:I999, MATCH(D1192,RulebookFields!A2:A999, 0)), "")</f>
        <v>0</v>
      </c>
      <c r="K1192" s="3" t="b">
        <f>AND(F1192, J1192)</f>
        <v>0</v>
      </c>
      <c r="L1192" s="3" t="b">
        <f>AND(G1192 &lt;&gt; "plain", G1192 &lt;&gt; "")</f>
        <v>0</v>
      </c>
      <c r="M1192" s="3" t="str">
        <f>IF(E1192, C1192 &amp; "|" &amp; H1192, "")</f>
        <v>principal-process-steward|ProcedureVersions</v>
      </c>
      <c r="N1192" s="2" t="s">
        <v>9938</v>
      </c>
    </row>
    <row r="1193">
      <c r="A1193" s="2" t="s">
        <v>11129</v>
      </c>
      <c r="B1193" s="3" t="str">
        <f>C1193 &amp; " -&gt; " &amp; D1193</f>
        <v>principal-process-steward -&gt; ProcedureVersions.IsCurrent</v>
      </c>
      <c r="C1193" s="2" t="s">
        <v>9706</v>
      </c>
      <c r="D1193" s="2" t="s">
        <v>2673</v>
      </c>
      <c r="E1193" s="2" t="b">
        <v>1</v>
      </c>
      <c r="F1193" s="2" t="b">
        <v>0</v>
      </c>
      <c r="G1193" s="2" t="s">
        <v>9937</v>
      </c>
      <c r="H1193" s="3" t="str">
        <f>_xlfn.IFNA(INDEX(RulebookFields!C2:C999, MATCH(D1193,RulebookFields!A2:A999, 0)), "")</f>
        <v>ProcedureVersions</v>
      </c>
      <c r="I1193" s="3" t="str">
        <f>_xlfn.IFNA(INDEX(RulebookFields!D2:D999, MATCH(D1193,RulebookFields!A2:A999, 0)), "")</f>
        <v>IsCurrent</v>
      </c>
      <c r="J1193" s="3" t="b">
        <f>_xlfn.IFNA(INDEX(RulebookFields!I2:I999, MATCH(D1193,RulebookFields!A2:A999, 0)), "")</f>
        <v>0</v>
      </c>
      <c r="K1193" s="3" t="b">
        <f>AND(F1193, J1193)</f>
        <v>0</v>
      </c>
      <c r="L1193" s="3" t="b">
        <f>AND(G1193 &lt;&gt; "plain", G1193 &lt;&gt; "")</f>
        <v>0</v>
      </c>
      <c r="M1193" s="3" t="str">
        <f>IF(E1193, C1193 &amp; "|" &amp; H1193, "")</f>
        <v>principal-process-steward|ProcedureVersions</v>
      </c>
      <c r="N1193" s="2" t="s">
        <v>9938</v>
      </c>
    </row>
    <row r="1194">
      <c r="A1194" s="2" t="s">
        <v>11130</v>
      </c>
      <c r="B1194" s="3" t="str">
        <f>C1194 &amp; " -&gt; " &amp; D1194</f>
        <v>principal-process-steward -&gt; ProcedureVersions.CountOfSteps</v>
      </c>
      <c r="C1194" s="2" t="s">
        <v>9706</v>
      </c>
      <c r="D1194" s="2" t="s">
        <v>2674</v>
      </c>
      <c r="E1194" s="2" t="b">
        <v>1</v>
      </c>
      <c r="F1194" s="2" t="b">
        <v>0</v>
      </c>
      <c r="G1194" s="2" t="s">
        <v>9937</v>
      </c>
      <c r="H1194" s="3" t="str">
        <f>_xlfn.IFNA(INDEX(RulebookFields!C2:C999, MATCH(D1194,RulebookFields!A2:A999, 0)), "")</f>
        <v>ProcedureVersions</v>
      </c>
      <c r="I1194" s="3" t="str">
        <f>_xlfn.IFNA(INDEX(RulebookFields!D2:D999, MATCH(D1194,RulebookFields!A2:A999, 0)), "")</f>
        <v>CountOfSteps</v>
      </c>
      <c r="J1194" s="3" t="b">
        <f>_xlfn.IFNA(INDEX(RulebookFields!I2:I999, MATCH(D1194,RulebookFields!A2:A999, 0)), "")</f>
        <v>1</v>
      </c>
      <c r="K1194" s="3" t="b">
        <f>AND(F1194, J1194)</f>
        <v>0</v>
      </c>
      <c r="L1194" s="3" t="b">
        <f>AND(G1194 &lt;&gt; "plain", G1194 &lt;&gt; "")</f>
        <v>0</v>
      </c>
      <c r="M1194" s="3" t="str">
        <f>IF(E1194, C1194 &amp; "|" &amp; H1194, "")</f>
        <v>principal-process-steward|ProcedureVersions</v>
      </c>
      <c r="N1194" s="2" t="s">
        <v>9938</v>
      </c>
    </row>
    <row r="1195">
      <c r="A1195" s="2" t="s">
        <v>11131</v>
      </c>
      <c r="B1195" s="3" t="str">
        <f>C1195 &amp; " -&gt; " &amp; D1195</f>
        <v>principal-process-steward -&gt; ProcedureVersions.CountOfOpenKnowledgeGaps</v>
      </c>
      <c r="C1195" s="2" t="s">
        <v>9706</v>
      </c>
      <c r="D1195" s="2" t="s">
        <v>2676</v>
      </c>
      <c r="E1195" s="2" t="b">
        <v>1</v>
      </c>
      <c r="F1195" s="2" t="b">
        <v>0</v>
      </c>
      <c r="G1195" s="2" t="s">
        <v>9937</v>
      </c>
      <c r="H1195" s="3" t="str">
        <f>_xlfn.IFNA(INDEX(RulebookFields!C2:C999, MATCH(D1195,RulebookFields!A2:A999, 0)), "")</f>
        <v>ProcedureVersions</v>
      </c>
      <c r="I1195" s="3" t="str">
        <f>_xlfn.IFNA(INDEX(RulebookFields!D2:D999, MATCH(D1195,RulebookFields!A2:A999, 0)), "")</f>
        <v>CountOfOpenKnowledgeGaps</v>
      </c>
      <c r="J1195" s="3" t="b">
        <f>_xlfn.IFNA(INDEX(RulebookFields!I2:I999, MATCH(D1195,RulebookFields!A2:A999, 0)), "")</f>
        <v>1</v>
      </c>
      <c r="K1195" s="3" t="b">
        <f>AND(F1195, J1195)</f>
        <v>0</v>
      </c>
      <c r="L1195" s="3" t="b">
        <f>AND(G1195 &lt;&gt; "plain", G1195 &lt;&gt; "")</f>
        <v>0</v>
      </c>
      <c r="M1195" s="3" t="str">
        <f>IF(E1195, C1195 &amp; "|" &amp; H1195, "")</f>
        <v>principal-process-steward|ProcedureVersions</v>
      </c>
      <c r="N1195" s="2" t="s">
        <v>9938</v>
      </c>
    </row>
    <row r="1196">
      <c r="A1196" s="2" t="s">
        <v>11132</v>
      </c>
      <c r="B1196" s="3" t="str">
        <f>C1196 &amp; " -&gt; " &amp; D1196</f>
        <v>principal-process-steward -&gt; ProcedureVersions.IsReadyForExecution</v>
      </c>
      <c r="C1196" s="2" t="s">
        <v>9706</v>
      </c>
      <c r="D1196" s="2" t="s">
        <v>2678</v>
      </c>
      <c r="E1196" s="2" t="b">
        <v>1</v>
      </c>
      <c r="F1196" s="2" t="b">
        <v>0</v>
      </c>
      <c r="G1196" s="2" t="s">
        <v>9937</v>
      </c>
      <c r="H1196" s="3" t="str">
        <f>_xlfn.IFNA(INDEX(RulebookFields!C2:C999, MATCH(D1196,RulebookFields!A2:A999, 0)), "")</f>
        <v>ProcedureVersions</v>
      </c>
      <c r="I1196" s="3" t="str">
        <f>_xlfn.IFNA(INDEX(RulebookFields!D2:D999, MATCH(D1196,RulebookFields!A2:A999, 0)), "")</f>
        <v>IsReadyForExecution</v>
      </c>
      <c r="J1196" s="3" t="b">
        <f>_xlfn.IFNA(INDEX(RulebookFields!I2:I999, MATCH(D1196,RulebookFields!A2:A999, 0)), "")</f>
        <v>1</v>
      </c>
      <c r="K1196" s="3" t="b">
        <f>AND(F1196, J1196)</f>
        <v>0</v>
      </c>
      <c r="L1196" s="3" t="b">
        <f>AND(G1196 &lt;&gt; "plain", G1196 &lt;&gt; "")</f>
        <v>0</v>
      </c>
      <c r="M1196" s="3" t="str">
        <f>IF(E1196, C1196 &amp; "|" &amp; H1196, "")</f>
        <v>principal-process-steward|ProcedureVersions</v>
      </c>
      <c r="N1196" s="2" t="s">
        <v>9938</v>
      </c>
    </row>
    <row r="1197">
      <c r="A1197" s="2" t="s">
        <v>11133</v>
      </c>
      <c r="B1197" s="3" t="str">
        <f>C1197 &amp; " -&gt; " &amp; D1197</f>
        <v>principal-process-steward -&gt; ProcedureVersions.SpecifiedStepCount</v>
      </c>
      <c r="C1197" s="2" t="s">
        <v>9706</v>
      </c>
      <c r="D1197" s="2" t="s">
        <v>2680</v>
      </c>
      <c r="E1197" s="2" t="b">
        <v>1</v>
      </c>
      <c r="F1197" s="2" t="b">
        <v>0</v>
      </c>
      <c r="G1197" s="2" t="s">
        <v>9937</v>
      </c>
      <c r="H1197" s="3" t="str">
        <f>_xlfn.IFNA(INDEX(RulebookFields!C2:C999, MATCH(D1197,RulebookFields!A2:A999, 0)), "")</f>
        <v>ProcedureVersions</v>
      </c>
      <c r="I1197" s="3" t="str">
        <f>_xlfn.IFNA(INDEX(RulebookFields!D2:D999, MATCH(D1197,RulebookFields!A2:A999, 0)), "")</f>
        <v>SpecifiedStepCount</v>
      </c>
      <c r="J1197" s="3" t="b">
        <f>_xlfn.IFNA(INDEX(RulebookFields!I2:I999, MATCH(D1197,RulebookFields!A2:A999, 0)), "")</f>
        <v>1</v>
      </c>
      <c r="K1197" s="3" t="b">
        <f>AND(F1197, J1197)</f>
        <v>0</v>
      </c>
      <c r="L1197" s="3" t="b">
        <f>AND(G1197 &lt;&gt; "plain", G1197 &lt;&gt; "")</f>
        <v>0</v>
      </c>
      <c r="M1197" s="3" t="str">
        <f>IF(E1197, C1197 &amp; "|" &amp; H1197, "")</f>
        <v>principal-process-steward|ProcedureVersions</v>
      </c>
      <c r="N1197" s="2" t="s">
        <v>9938</v>
      </c>
    </row>
    <row r="1198">
      <c r="A1198" s="2" t="s">
        <v>11134</v>
      </c>
      <c r="B1198" s="3" t="str">
        <f>C1198 &amp; " -&gt; " &amp; D1198</f>
        <v>principal-process-steward -&gt; ProcedureVersions.OverdueReviewCount</v>
      </c>
      <c r="C1198" s="2" t="s">
        <v>9706</v>
      </c>
      <c r="D1198" s="2" t="s">
        <v>2682</v>
      </c>
      <c r="E1198" s="2" t="b">
        <v>1</v>
      </c>
      <c r="F1198" s="2" t="b">
        <v>0</v>
      </c>
      <c r="G1198" s="2" t="s">
        <v>9937</v>
      </c>
      <c r="H1198" s="3" t="str">
        <f>_xlfn.IFNA(INDEX(RulebookFields!C2:C999, MATCH(D1198,RulebookFields!A2:A999, 0)), "")</f>
        <v>ProcedureVersions</v>
      </c>
      <c r="I1198" s="3" t="str">
        <f>_xlfn.IFNA(INDEX(RulebookFields!D2:D999, MATCH(D1198,RulebookFields!A2:A999, 0)), "")</f>
        <v>OverdueReviewCount</v>
      </c>
      <c r="J1198" s="3" t="b">
        <f>_xlfn.IFNA(INDEX(RulebookFields!I2:I999, MATCH(D1198,RulebookFields!A2:A999, 0)), "")</f>
        <v>1</v>
      </c>
      <c r="K1198" s="3" t="b">
        <f>AND(F1198, J1198)</f>
        <v>0</v>
      </c>
      <c r="L1198" s="3" t="b">
        <f>AND(G1198 &lt;&gt; "plain", G1198 &lt;&gt; "")</f>
        <v>0</v>
      </c>
      <c r="M1198" s="3" t="str">
        <f>IF(E1198, C1198 &amp; "|" &amp; H1198, "")</f>
        <v>principal-process-steward|ProcedureVersions</v>
      </c>
      <c r="N1198" s="2" t="s">
        <v>9938</v>
      </c>
    </row>
    <row r="1199">
      <c r="A1199" s="2" t="s">
        <v>11135</v>
      </c>
      <c r="B1199" s="3" t="str">
        <f>C1199 &amp; " -&gt; " &amp; D1199</f>
        <v>principal-process-steward -&gt; ProcedureVersions.OpenChangeRequestCount</v>
      </c>
      <c r="C1199" s="2" t="s">
        <v>9706</v>
      </c>
      <c r="D1199" s="2" t="s">
        <v>2684</v>
      </c>
      <c r="E1199" s="2" t="b">
        <v>1</v>
      </c>
      <c r="F1199" s="2" t="b">
        <v>0</v>
      </c>
      <c r="G1199" s="2" t="s">
        <v>9937</v>
      </c>
      <c r="H1199" s="3" t="str">
        <f>_xlfn.IFNA(INDEX(RulebookFields!C2:C999, MATCH(D1199,RulebookFields!A2:A999, 0)), "")</f>
        <v>ProcedureVersions</v>
      </c>
      <c r="I1199" s="3" t="str">
        <f>_xlfn.IFNA(INDEX(RulebookFields!D2:D999, MATCH(D1199,RulebookFields!A2:A999, 0)), "")</f>
        <v>OpenChangeRequestCount</v>
      </c>
      <c r="J1199" s="3" t="b">
        <f>_xlfn.IFNA(INDEX(RulebookFields!I2:I999, MATCH(D1199,RulebookFields!A2:A999, 0)), "")</f>
        <v>1</v>
      </c>
      <c r="K1199" s="3" t="b">
        <f>AND(F1199, J1199)</f>
        <v>0</v>
      </c>
      <c r="L1199" s="3" t="b">
        <f>AND(G1199 &lt;&gt; "plain", G1199 &lt;&gt; "")</f>
        <v>0</v>
      </c>
      <c r="M1199" s="3" t="str">
        <f>IF(E1199, C1199 &amp; "|" &amp; H1199, "")</f>
        <v>principal-process-steward|ProcedureVersions</v>
      </c>
      <c r="N1199" s="2" t="s">
        <v>9938</v>
      </c>
    </row>
    <row r="1200">
      <c r="A1200" s="2" t="s">
        <v>11136</v>
      </c>
      <c r="B1200" s="3" t="str">
        <f>C1200 &amp; " -&gt; " &amp; D1200</f>
        <v>principal-process-steward -&gt; ProcedureVersions.OpenHighSeverityGapCount</v>
      </c>
      <c r="C1200" s="2" t="s">
        <v>9706</v>
      </c>
      <c r="D1200" s="2" t="s">
        <v>2686</v>
      </c>
      <c r="E1200" s="2" t="b">
        <v>1</v>
      </c>
      <c r="F1200" s="2" t="b">
        <v>0</v>
      </c>
      <c r="G1200" s="2" t="s">
        <v>9937</v>
      </c>
      <c r="H1200" s="3" t="str">
        <f>_xlfn.IFNA(INDEX(RulebookFields!C2:C999, MATCH(D1200,RulebookFields!A2:A999, 0)), "")</f>
        <v>ProcedureVersions</v>
      </c>
      <c r="I1200" s="3" t="str">
        <f>_xlfn.IFNA(INDEX(RulebookFields!D2:D999, MATCH(D1200,RulebookFields!A2:A999, 0)), "")</f>
        <v>OpenHighSeverityGapCount</v>
      </c>
      <c r="J1200" s="3" t="b">
        <f>_xlfn.IFNA(INDEX(RulebookFields!I2:I999, MATCH(D1200,RulebookFields!A2:A999, 0)), "")</f>
        <v>1</v>
      </c>
      <c r="K1200" s="3" t="b">
        <f>AND(F1200, J1200)</f>
        <v>0</v>
      </c>
      <c r="L1200" s="3" t="b">
        <f>AND(G1200 &lt;&gt; "plain", G1200 &lt;&gt; "")</f>
        <v>0</v>
      </c>
      <c r="M1200" s="3" t="str">
        <f>IF(E1200, C1200 &amp; "|" &amp; H1200, "")</f>
        <v>principal-process-steward|ProcedureVersions</v>
      </c>
      <c r="N1200" s="2" t="s">
        <v>9938</v>
      </c>
    </row>
    <row r="1201">
      <c r="A1201" s="2" t="s">
        <v>11137</v>
      </c>
      <c r="B1201" s="3" t="str">
        <f>C1201 &amp; " -&gt; " &amp; D1201</f>
        <v>principal-process-steward -&gt; ProcedureVersions.IsFitToExecute</v>
      </c>
      <c r="C1201" s="2" t="s">
        <v>9706</v>
      </c>
      <c r="D1201" s="2" t="s">
        <v>2688</v>
      </c>
      <c r="E1201" s="2" t="b">
        <v>1</v>
      </c>
      <c r="F1201" s="2" t="b">
        <v>0</v>
      </c>
      <c r="G1201" s="2" t="s">
        <v>9937</v>
      </c>
      <c r="H1201" s="3" t="str">
        <f>_xlfn.IFNA(INDEX(RulebookFields!C2:C999, MATCH(D1201,RulebookFields!A2:A999, 0)), "")</f>
        <v>ProcedureVersions</v>
      </c>
      <c r="I1201" s="3" t="str">
        <f>_xlfn.IFNA(INDEX(RulebookFields!D2:D999, MATCH(D1201,RulebookFields!A2:A999, 0)), "")</f>
        <v>IsFitToExecute</v>
      </c>
      <c r="J1201" s="3" t="b">
        <f>_xlfn.IFNA(INDEX(RulebookFields!I2:I999, MATCH(D1201,RulebookFields!A2:A999, 0)), "")</f>
        <v>1</v>
      </c>
      <c r="K1201" s="3" t="b">
        <f>AND(F1201, J1201)</f>
        <v>0</v>
      </c>
      <c r="L1201" s="3" t="b">
        <f>AND(G1201 &lt;&gt; "plain", G1201 &lt;&gt; "")</f>
        <v>0</v>
      </c>
      <c r="M1201" s="3" t="str">
        <f>IF(E1201, C1201 &amp; "|" &amp; H1201, "")</f>
        <v>principal-process-steward|ProcedureVersions</v>
      </c>
      <c r="N1201" s="2" t="s">
        <v>9938</v>
      </c>
    </row>
    <row r="1202">
      <c r="A1202" s="2" t="s">
        <v>11138</v>
      </c>
      <c r="B1202" s="3" t="str">
        <f>C1202 &amp; " -&gt; " &amp; D1202</f>
        <v>principal-process-steward -&gt; ProcedureVersions.StewardReviewCadenceDays</v>
      </c>
      <c r="C1202" s="2" t="s">
        <v>9706</v>
      </c>
      <c r="D1202" s="2" t="s">
        <v>2690</v>
      </c>
      <c r="E1202" s="2" t="b">
        <v>1</v>
      </c>
      <c r="F1202" s="2" t="b">
        <v>0</v>
      </c>
      <c r="G1202" s="2" t="s">
        <v>9937</v>
      </c>
      <c r="H1202" s="3" t="str">
        <f>_xlfn.IFNA(INDEX(RulebookFields!C2:C999, MATCH(D1202,RulebookFields!A2:A999, 0)), "")</f>
        <v>ProcedureVersions</v>
      </c>
      <c r="I1202" s="3" t="str">
        <f>_xlfn.IFNA(INDEX(RulebookFields!D2:D999, MATCH(D1202,RulebookFields!A2:A999, 0)), "")</f>
        <v>StewardReviewCadenceDays</v>
      </c>
      <c r="J1202" s="3" t="b">
        <f>_xlfn.IFNA(INDEX(RulebookFields!I2:I999, MATCH(D1202,RulebookFields!A2:A999, 0)), "")</f>
        <v>1</v>
      </c>
      <c r="K1202" s="3" t="b">
        <f>AND(F1202, J1202)</f>
        <v>0</v>
      </c>
      <c r="L1202" s="3" t="b">
        <f>AND(G1202 &lt;&gt; "plain", G1202 &lt;&gt; "")</f>
        <v>0</v>
      </c>
      <c r="M1202" s="3" t="str">
        <f>IF(E1202, C1202 &amp; "|" &amp; H1202, "")</f>
        <v>principal-process-steward|ProcedureVersions</v>
      </c>
      <c r="N1202" s="2" t="s">
        <v>9938</v>
      </c>
    </row>
    <row r="1203">
      <c r="A1203" s="2" t="s">
        <v>11139</v>
      </c>
      <c r="B1203" s="3" t="str">
        <f>C1203 &amp; " -&gt; " &amp; D1203</f>
        <v>principal-process-steward -&gt; ProcedureVersions.CountOfStewardshipAssignments</v>
      </c>
      <c r="C1203" s="2" t="s">
        <v>9706</v>
      </c>
      <c r="D1203" s="2" t="s">
        <v>2692</v>
      </c>
      <c r="E1203" s="2" t="b">
        <v>1</v>
      </c>
      <c r="F1203" s="2" t="b">
        <v>0</v>
      </c>
      <c r="G1203" s="2" t="s">
        <v>9937</v>
      </c>
      <c r="H1203" s="3" t="str">
        <f>_xlfn.IFNA(INDEX(RulebookFields!C2:C999, MATCH(D1203,RulebookFields!A2:A999, 0)), "")</f>
        <v>ProcedureVersions</v>
      </c>
      <c r="I1203" s="3" t="str">
        <f>_xlfn.IFNA(INDEX(RulebookFields!D2:D999, MATCH(D1203,RulebookFields!A2:A999, 0)), "")</f>
        <v>CountOfStewardshipAssignments</v>
      </c>
      <c r="J1203" s="3" t="b">
        <f>_xlfn.IFNA(INDEX(RulebookFields!I2:I999, MATCH(D1203,RulebookFields!A2:A999, 0)), "")</f>
        <v>1</v>
      </c>
      <c r="K1203" s="3" t="b">
        <f>AND(F1203, J1203)</f>
        <v>0</v>
      </c>
      <c r="L1203" s="3" t="b">
        <f>AND(G1203 &lt;&gt; "plain", G1203 &lt;&gt; "")</f>
        <v>0</v>
      </c>
      <c r="M1203" s="3" t="str">
        <f>IF(E1203, C1203 &amp; "|" &amp; H1203, "")</f>
        <v>principal-process-steward|ProcedureVersions</v>
      </c>
      <c r="N1203" s="2" t="s">
        <v>9938</v>
      </c>
    </row>
    <row r="1204">
      <c r="A1204" s="2" t="s">
        <v>11140</v>
      </c>
      <c r="B1204" s="3" t="str">
        <f>C1204 &amp; " -&gt; " &amp; D1204</f>
        <v>principal-process-steward -&gt; ProcedureVersions.HasAnySteward</v>
      </c>
      <c r="C1204" s="2" t="s">
        <v>9706</v>
      </c>
      <c r="D1204" s="2" t="s">
        <v>2694</v>
      </c>
      <c r="E1204" s="2" t="b">
        <v>1</v>
      </c>
      <c r="F1204" s="2" t="b">
        <v>0</v>
      </c>
      <c r="G1204" s="2" t="s">
        <v>9937</v>
      </c>
      <c r="H1204" s="3" t="str">
        <f>_xlfn.IFNA(INDEX(RulebookFields!C2:C999, MATCH(D1204,RulebookFields!A2:A999, 0)), "")</f>
        <v>ProcedureVersions</v>
      </c>
      <c r="I1204" s="3" t="str">
        <f>_xlfn.IFNA(INDEX(RulebookFields!D2:D999, MATCH(D1204,RulebookFields!A2:A999, 0)), "")</f>
        <v>HasAnySteward</v>
      </c>
      <c r="J1204" s="3" t="b">
        <f>_xlfn.IFNA(INDEX(RulebookFields!I2:I999, MATCH(D1204,RulebookFields!A2:A999, 0)), "")</f>
        <v>1</v>
      </c>
      <c r="K1204" s="3" t="b">
        <f>AND(F1204, J1204)</f>
        <v>0</v>
      </c>
      <c r="L1204" s="3" t="b">
        <f>AND(G1204 &lt;&gt; "plain", G1204 &lt;&gt; "")</f>
        <v>0</v>
      </c>
      <c r="M1204" s="3" t="str">
        <f>IF(E1204, C1204 &amp; "|" &amp; H1204, "")</f>
        <v>principal-process-steward|ProcedureVersions</v>
      </c>
      <c r="N1204" s="2" t="s">
        <v>9938</v>
      </c>
    </row>
    <row r="1205">
      <c r="A1205" s="2" t="s">
        <v>11141</v>
      </c>
      <c r="B1205" s="3" t="str">
        <f>C1205 &amp; " -&gt; " &amp; D1205</f>
        <v>principal-process-steward -&gt; ProcedureVersions.IsLive</v>
      </c>
      <c r="C1205" s="2" t="s">
        <v>9706</v>
      </c>
      <c r="D1205" s="2" t="s">
        <v>2696</v>
      </c>
      <c r="E1205" s="2" t="b">
        <v>1</v>
      </c>
      <c r="F1205" s="2" t="b">
        <v>0</v>
      </c>
      <c r="G1205" s="2" t="s">
        <v>9937</v>
      </c>
      <c r="H1205" s="3" t="str">
        <f>_xlfn.IFNA(INDEX(RulebookFields!C2:C999, MATCH(D1205,RulebookFields!A2:A999, 0)), "")</f>
        <v>ProcedureVersions</v>
      </c>
      <c r="I1205" s="3" t="str">
        <f>_xlfn.IFNA(INDEX(RulebookFields!D2:D999, MATCH(D1205,RulebookFields!A2:A999, 0)), "")</f>
        <v>IsLive</v>
      </c>
      <c r="J1205" s="3" t="b">
        <f>_xlfn.IFNA(INDEX(RulebookFields!I2:I999, MATCH(D1205,RulebookFields!A2:A999, 0)), "")</f>
        <v>1</v>
      </c>
      <c r="K1205" s="3" t="b">
        <f>AND(F1205, J1205)</f>
        <v>0</v>
      </c>
      <c r="L1205" s="3" t="b">
        <f>AND(G1205 &lt;&gt; "plain", G1205 &lt;&gt; "")</f>
        <v>0</v>
      </c>
      <c r="M1205" s="3" t="str">
        <f>IF(E1205, C1205 &amp; "|" &amp; H1205, "")</f>
        <v>principal-process-steward|ProcedureVersions</v>
      </c>
      <c r="N1205" s="2" t="s">
        <v>9938</v>
      </c>
    </row>
    <row r="1206">
      <c r="A1206" s="2" t="s">
        <v>11142</v>
      </c>
      <c r="B1206" s="3" t="str">
        <f>C1206 &amp; " -&gt; " &amp; D1206</f>
        <v>principal-process-steward -&gt; ProcedureVersions.IsUnstewarded</v>
      </c>
      <c r="C1206" s="2" t="s">
        <v>9706</v>
      </c>
      <c r="D1206" s="2" t="s">
        <v>2698</v>
      </c>
      <c r="E1206" s="2" t="b">
        <v>1</v>
      </c>
      <c r="F1206" s="2" t="b">
        <v>0</v>
      </c>
      <c r="G1206" s="2" t="s">
        <v>9937</v>
      </c>
      <c r="H1206" s="3" t="str">
        <f>_xlfn.IFNA(INDEX(RulebookFields!C2:C999, MATCH(D1206,RulebookFields!A2:A999, 0)), "")</f>
        <v>ProcedureVersions</v>
      </c>
      <c r="I1206" s="3" t="str">
        <f>_xlfn.IFNA(INDEX(RulebookFields!D2:D999, MATCH(D1206,RulebookFields!A2:A999, 0)), "")</f>
        <v>IsUnstewarded</v>
      </c>
      <c r="J1206" s="3" t="b">
        <f>_xlfn.IFNA(INDEX(RulebookFields!I2:I999, MATCH(D1206,RulebookFields!A2:A999, 0)), "")</f>
        <v>1</v>
      </c>
      <c r="K1206" s="3" t="b">
        <f>AND(F1206, J1206)</f>
        <v>0</v>
      </c>
      <c r="L1206" s="3" t="b">
        <f>AND(G1206 &lt;&gt; "plain", G1206 &lt;&gt; "")</f>
        <v>0</v>
      </c>
      <c r="M1206" s="3" t="str">
        <f>IF(E1206, C1206 &amp; "|" &amp; H1206, "")</f>
        <v>principal-process-steward|ProcedureVersions</v>
      </c>
      <c r="N1206" s="2" t="s">
        <v>9938</v>
      </c>
    </row>
    <row r="1207">
      <c r="A1207" s="2" t="s">
        <v>11143</v>
      </c>
      <c r="B1207" s="3" t="str">
        <f>C1207 &amp; " -&gt; " &amp; D1207</f>
        <v>principal-process-steward -&gt; ProcedureVersions.IsLiveAndUnstewarded</v>
      </c>
      <c r="C1207" s="2" t="s">
        <v>9706</v>
      </c>
      <c r="D1207" s="2" t="s">
        <v>2700</v>
      </c>
      <c r="E1207" s="2" t="b">
        <v>1</v>
      </c>
      <c r="F1207" s="2" t="b">
        <v>0</v>
      </c>
      <c r="G1207" s="2" t="s">
        <v>9937</v>
      </c>
      <c r="H1207" s="3" t="str">
        <f>_xlfn.IFNA(INDEX(RulebookFields!C2:C999, MATCH(D1207,RulebookFields!A2:A999, 0)), "")</f>
        <v>ProcedureVersions</v>
      </c>
      <c r="I1207" s="3" t="str">
        <f>_xlfn.IFNA(INDEX(RulebookFields!D2:D999, MATCH(D1207,RulebookFields!A2:A999, 0)), "")</f>
        <v>IsLiveAndUnstewarded</v>
      </c>
      <c r="J1207" s="3" t="b">
        <f>_xlfn.IFNA(INDEX(RulebookFields!I2:I999, MATCH(D1207,RulebookFields!A2:A999, 0)), "")</f>
        <v>1</v>
      </c>
      <c r="K1207" s="3" t="b">
        <f>AND(F1207, J1207)</f>
        <v>0</v>
      </c>
      <c r="L1207" s="3" t="b">
        <f>AND(G1207 &lt;&gt; "plain", G1207 &lt;&gt; "")</f>
        <v>0</v>
      </c>
      <c r="M1207" s="3" t="str">
        <f>IF(E1207, C1207 &amp; "|" &amp; H1207, "")</f>
        <v>principal-process-steward|ProcedureVersions</v>
      </c>
      <c r="N1207" s="2" t="s">
        <v>9938</v>
      </c>
    </row>
    <row r="1208">
      <c r="A1208" s="2" t="s">
        <v>11144</v>
      </c>
      <c r="B1208" s="3" t="str">
        <f>C1208 &amp; " -&gt; " &amp; D1208</f>
        <v>principal-process-steward -&gt; ProcedureVersions.CountOfOpenBlockingGaps</v>
      </c>
      <c r="C1208" s="2" t="s">
        <v>9706</v>
      </c>
      <c r="D1208" s="2" t="s">
        <v>2702</v>
      </c>
      <c r="E1208" s="2" t="b">
        <v>1</v>
      </c>
      <c r="F1208" s="2" t="b">
        <v>0</v>
      </c>
      <c r="G1208" s="2" t="s">
        <v>9937</v>
      </c>
      <c r="H1208" s="3" t="str">
        <f>_xlfn.IFNA(INDEX(RulebookFields!C2:C999, MATCH(D1208,RulebookFields!A2:A999, 0)), "")</f>
        <v>ProcedureVersions</v>
      </c>
      <c r="I1208" s="3" t="str">
        <f>_xlfn.IFNA(INDEX(RulebookFields!D2:D999, MATCH(D1208,RulebookFields!A2:A999, 0)), "")</f>
        <v>CountOfOpenBlockingGaps</v>
      </c>
      <c r="J1208" s="3" t="b">
        <f>_xlfn.IFNA(INDEX(RulebookFields!I2:I999, MATCH(D1208,RulebookFields!A2:A999, 0)), "")</f>
        <v>1</v>
      </c>
      <c r="K1208" s="3" t="b">
        <f>AND(F1208, J1208)</f>
        <v>0</v>
      </c>
      <c r="L1208" s="3" t="b">
        <f>AND(G1208 &lt;&gt; "plain", G1208 &lt;&gt; "")</f>
        <v>0</v>
      </c>
      <c r="M1208" s="3" t="str">
        <f>IF(E1208, C1208 &amp; "|" &amp; H1208, "")</f>
        <v>principal-process-steward|ProcedureVersions</v>
      </c>
      <c r="N1208" s="2" t="s">
        <v>9938</v>
      </c>
    </row>
    <row r="1209">
      <c r="A1209" s="2" t="s">
        <v>11145</v>
      </c>
      <c r="B1209" s="3" t="str">
        <f>C1209 &amp; " -&gt; " &amp; D1209</f>
        <v>principal-process-steward -&gt; ProcedureVersions.HasOpenBlockingGap</v>
      </c>
      <c r="C1209" s="2" t="s">
        <v>9706</v>
      </c>
      <c r="D1209" s="2" t="s">
        <v>2704</v>
      </c>
      <c r="E1209" s="2" t="b">
        <v>1</v>
      </c>
      <c r="F1209" s="2" t="b">
        <v>0</v>
      </c>
      <c r="G1209" s="2" t="s">
        <v>9937</v>
      </c>
      <c r="H1209" s="3" t="str">
        <f>_xlfn.IFNA(INDEX(RulebookFields!C2:C999, MATCH(D1209,RulebookFields!A2:A999, 0)), "")</f>
        <v>ProcedureVersions</v>
      </c>
      <c r="I1209" s="3" t="str">
        <f>_xlfn.IFNA(INDEX(RulebookFields!D2:D999, MATCH(D1209,RulebookFields!A2:A999, 0)), "")</f>
        <v>HasOpenBlockingGap</v>
      </c>
      <c r="J1209" s="3" t="b">
        <f>_xlfn.IFNA(INDEX(RulebookFields!I2:I999, MATCH(D1209,RulebookFields!A2:A999, 0)), "")</f>
        <v>1</v>
      </c>
      <c r="K1209" s="3" t="b">
        <f>AND(F1209, J1209)</f>
        <v>0</v>
      </c>
      <c r="L1209" s="3" t="b">
        <f>AND(G1209 &lt;&gt; "plain", G1209 &lt;&gt; "")</f>
        <v>0</v>
      </c>
      <c r="M1209" s="3" t="str">
        <f>IF(E1209, C1209 &amp; "|" &amp; H1209, "")</f>
        <v>principal-process-steward|ProcedureVersions</v>
      </c>
      <c r="N1209" s="2" t="s">
        <v>9938</v>
      </c>
    </row>
    <row r="1210">
      <c r="A1210" s="2" t="s">
        <v>11146</v>
      </c>
      <c r="B1210" s="3" t="str">
        <f>C1210 &amp; " -&gt; " &amp; D1210</f>
        <v>principal-process-steward -&gt; ProcedureVersions.IsLiveWithBlockingGap</v>
      </c>
      <c r="C1210" s="2" t="s">
        <v>9706</v>
      </c>
      <c r="D1210" s="2" t="s">
        <v>2706</v>
      </c>
      <c r="E1210" s="2" t="b">
        <v>1</v>
      </c>
      <c r="F1210" s="2" t="b">
        <v>0</v>
      </c>
      <c r="G1210" s="2" t="s">
        <v>9937</v>
      </c>
      <c r="H1210" s="3" t="str">
        <f>_xlfn.IFNA(INDEX(RulebookFields!C2:C999, MATCH(D1210,RulebookFields!A2:A999, 0)), "")</f>
        <v>ProcedureVersions</v>
      </c>
      <c r="I1210" s="3" t="str">
        <f>_xlfn.IFNA(INDEX(RulebookFields!D2:D999, MATCH(D1210,RulebookFields!A2:A999, 0)), "")</f>
        <v>IsLiveWithBlockingGap</v>
      </c>
      <c r="J1210" s="3" t="b">
        <f>_xlfn.IFNA(INDEX(RulebookFields!I2:I999, MATCH(D1210,RulebookFields!A2:A999, 0)), "")</f>
        <v>1</v>
      </c>
      <c r="K1210" s="3" t="b">
        <f>AND(F1210, J1210)</f>
        <v>0</v>
      </c>
      <c r="L1210" s="3" t="b">
        <f>AND(G1210 &lt;&gt; "plain", G1210 &lt;&gt; "")</f>
        <v>0</v>
      </c>
      <c r="M1210" s="3" t="str">
        <f>IF(E1210, C1210 &amp; "|" &amp; H1210, "")</f>
        <v>principal-process-steward|ProcedureVersions</v>
      </c>
      <c r="N1210" s="2" t="s">
        <v>9938</v>
      </c>
    </row>
    <row r="1211">
      <c r="A1211" s="2" t="s">
        <v>11147</v>
      </c>
      <c r="B1211" s="3" t="str">
        <f>C1211 &amp; " -&gt; " &amp; D1211</f>
        <v>principal-process-steward -&gt; ProcedureVersions.ShouldNotBeExecutable</v>
      </c>
      <c r="C1211" s="2" t="s">
        <v>9706</v>
      </c>
      <c r="D1211" s="2" t="s">
        <v>2708</v>
      </c>
      <c r="E1211" s="2" t="b">
        <v>1</v>
      </c>
      <c r="F1211" s="2" t="b">
        <v>0</v>
      </c>
      <c r="G1211" s="2" t="s">
        <v>9937</v>
      </c>
      <c r="H1211" s="3" t="str">
        <f>_xlfn.IFNA(INDEX(RulebookFields!C2:C999, MATCH(D1211,RulebookFields!A2:A999, 0)), "")</f>
        <v>ProcedureVersions</v>
      </c>
      <c r="I1211" s="3" t="str">
        <f>_xlfn.IFNA(INDEX(RulebookFields!D2:D999, MATCH(D1211,RulebookFields!A2:A999, 0)), "")</f>
        <v>ShouldNotBeExecutable</v>
      </c>
      <c r="J1211" s="3" t="b">
        <f>_xlfn.IFNA(INDEX(RulebookFields!I2:I999, MATCH(D1211,RulebookFields!A2:A999, 0)), "")</f>
        <v>1</v>
      </c>
      <c r="K1211" s="3" t="b">
        <f>AND(F1211, J1211)</f>
        <v>0</v>
      </c>
      <c r="L1211" s="3" t="b">
        <f>AND(G1211 &lt;&gt; "plain", G1211 &lt;&gt; "")</f>
        <v>0</v>
      </c>
      <c r="M1211" s="3" t="str">
        <f>IF(E1211, C1211 &amp; "|" &amp; H1211, "")</f>
        <v>principal-process-steward|ProcedureVersions</v>
      </c>
      <c r="N1211" s="2" t="s">
        <v>9938</v>
      </c>
    </row>
    <row r="1212">
      <c r="A1212" s="2" t="s">
        <v>11148</v>
      </c>
      <c r="B1212" s="3" t="str">
        <f>C1212 &amp; " -&gt; " &amp; D1212</f>
        <v>principal-process-steward -&gt; ProcedureVersions.CountOfUnapprovedRelianceFragments</v>
      </c>
      <c r="C1212" s="2" t="s">
        <v>9706</v>
      </c>
      <c r="D1212" s="2" t="s">
        <v>2710</v>
      </c>
      <c r="E1212" s="2" t="b">
        <v>1</v>
      </c>
      <c r="F1212" s="2" t="b">
        <v>0</v>
      </c>
      <c r="G1212" s="2" t="s">
        <v>9937</v>
      </c>
      <c r="H1212" s="3" t="str">
        <f>_xlfn.IFNA(INDEX(RulebookFields!C2:C999, MATCH(D1212,RulebookFields!A2:A999, 0)), "")</f>
        <v>ProcedureVersions</v>
      </c>
      <c r="I1212" s="3" t="str">
        <f>_xlfn.IFNA(INDEX(RulebookFields!D2:D999, MATCH(D1212,RulebookFields!A2:A999, 0)), "")</f>
        <v>CountOfUnapprovedRelianceFragments</v>
      </c>
      <c r="J1212" s="3" t="b">
        <f>_xlfn.IFNA(INDEX(RulebookFields!I2:I999, MATCH(D1212,RulebookFields!A2:A999, 0)), "")</f>
        <v>1</v>
      </c>
      <c r="K1212" s="3" t="b">
        <f>AND(F1212, J1212)</f>
        <v>0</v>
      </c>
      <c r="L1212" s="3" t="b">
        <f>AND(G1212 &lt;&gt; "plain", G1212 &lt;&gt; "")</f>
        <v>0</v>
      </c>
      <c r="M1212" s="3" t="str">
        <f>IF(E1212, C1212 &amp; "|" &amp; H1212, "")</f>
        <v>principal-process-steward|ProcedureVersions</v>
      </c>
      <c r="N1212" s="2" t="s">
        <v>9938</v>
      </c>
    </row>
    <row r="1213">
      <c r="A1213" s="2" t="s">
        <v>11149</v>
      </c>
      <c r="B1213" s="3" t="str">
        <f>C1213 &amp; " -&gt; " &amp; D1213</f>
        <v>principal-process-steward -&gt; ProcedureVersions.RunsOnUnapprovedKnowledge</v>
      </c>
      <c r="C1213" s="2" t="s">
        <v>9706</v>
      </c>
      <c r="D1213" s="2" t="s">
        <v>2712</v>
      </c>
      <c r="E1213" s="2" t="b">
        <v>1</v>
      </c>
      <c r="F1213" s="2" t="b">
        <v>0</v>
      </c>
      <c r="G1213" s="2" t="s">
        <v>9937</v>
      </c>
      <c r="H1213" s="3" t="str">
        <f>_xlfn.IFNA(INDEX(RulebookFields!C2:C999, MATCH(D1213,RulebookFields!A2:A999, 0)), "")</f>
        <v>ProcedureVersions</v>
      </c>
      <c r="I1213" s="3" t="str">
        <f>_xlfn.IFNA(INDEX(RulebookFields!D2:D999, MATCH(D1213,RulebookFields!A2:A999, 0)), "")</f>
        <v>RunsOnUnapprovedKnowledge</v>
      </c>
      <c r="J1213" s="3" t="b">
        <f>_xlfn.IFNA(INDEX(RulebookFields!I2:I999, MATCH(D1213,RulebookFields!A2:A999, 0)), "")</f>
        <v>1</v>
      </c>
      <c r="K1213" s="3" t="b">
        <f>AND(F1213, J1213)</f>
        <v>0</v>
      </c>
      <c r="L1213" s="3" t="b">
        <f>AND(G1213 &lt;&gt; "plain", G1213 &lt;&gt; "")</f>
        <v>0</v>
      </c>
      <c r="M1213" s="3" t="str">
        <f>IF(E1213, C1213 &amp; "|" &amp; H1213, "")</f>
        <v>principal-process-steward|ProcedureVersions</v>
      </c>
      <c r="N1213" s="2" t="s">
        <v>9938</v>
      </c>
    </row>
    <row r="1214">
      <c r="A1214" s="2" t="s">
        <v>11150</v>
      </c>
      <c r="B1214" s="3" t="str">
        <f>C1214 &amp; " -&gt; " &amp; D1214</f>
        <v>principal-process-steward -&gt; ProcedureVersions.CountOfOverdueGaps</v>
      </c>
      <c r="C1214" s="2" t="s">
        <v>9706</v>
      </c>
      <c r="D1214" s="2" t="s">
        <v>2714</v>
      </c>
      <c r="E1214" s="2" t="b">
        <v>1</v>
      </c>
      <c r="F1214" s="2" t="b">
        <v>0</v>
      </c>
      <c r="G1214" s="2" t="s">
        <v>9937</v>
      </c>
      <c r="H1214" s="3" t="str">
        <f>_xlfn.IFNA(INDEX(RulebookFields!C2:C999, MATCH(D1214,RulebookFields!A2:A999, 0)), "")</f>
        <v>ProcedureVersions</v>
      </c>
      <c r="I1214" s="3" t="str">
        <f>_xlfn.IFNA(INDEX(RulebookFields!D2:D999, MATCH(D1214,RulebookFields!A2:A999, 0)), "")</f>
        <v>CountOfOverdueGaps</v>
      </c>
      <c r="J1214" s="3" t="b">
        <f>_xlfn.IFNA(INDEX(RulebookFields!I2:I999, MATCH(D1214,RulebookFields!A2:A999, 0)), "")</f>
        <v>1</v>
      </c>
      <c r="K1214" s="3" t="b">
        <f>AND(F1214, J1214)</f>
        <v>0</v>
      </c>
      <c r="L1214" s="3" t="b">
        <f>AND(G1214 &lt;&gt; "plain", G1214 &lt;&gt; "")</f>
        <v>0</v>
      </c>
      <c r="M1214" s="3" t="str">
        <f>IF(E1214, C1214 &amp; "|" &amp; H1214, "")</f>
        <v>principal-process-steward|ProcedureVersions</v>
      </c>
      <c r="N1214" s="2" t="s">
        <v>9938</v>
      </c>
    </row>
    <row r="1215">
      <c r="A1215" s="2" t="s">
        <v>11151</v>
      </c>
      <c r="B1215" s="3" t="str">
        <f>C1215 &amp; " -&gt; " &amp; D1215</f>
        <v>principal-process-steward -&gt; ProcedureVersions.CountOfChangeRequests</v>
      </c>
      <c r="C1215" s="2" t="s">
        <v>9706</v>
      </c>
      <c r="D1215" s="2" t="s">
        <v>2716</v>
      </c>
      <c r="E1215" s="2" t="b">
        <v>1</v>
      </c>
      <c r="F1215" s="2" t="b">
        <v>0</v>
      </c>
      <c r="G1215" s="2" t="s">
        <v>9937</v>
      </c>
      <c r="H1215" s="3" t="str">
        <f>_xlfn.IFNA(INDEX(RulebookFields!C2:C999, MATCH(D1215,RulebookFields!A2:A999, 0)), "")</f>
        <v>ProcedureVersions</v>
      </c>
      <c r="I1215" s="3" t="str">
        <f>_xlfn.IFNA(INDEX(RulebookFields!D2:D999, MATCH(D1215,RulebookFields!A2:A999, 0)), "")</f>
        <v>CountOfChangeRequests</v>
      </c>
      <c r="J1215" s="3" t="b">
        <f>_xlfn.IFNA(INDEX(RulebookFields!I2:I999, MATCH(D1215,RulebookFields!A2:A999, 0)), "")</f>
        <v>1</v>
      </c>
      <c r="K1215" s="3" t="b">
        <f>AND(F1215, J1215)</f>
        <v>0</v>
      </c>
      <c r="L1215" s="3" t="b">
        <f>AND(G1215 &lt;&gt; "plain", G1215 &lt;&gt; "")</f>
        <v>0</v>
      </c>
      <c r="M1215" s="3" t="str">
        <f>IF(E1215, C1215 &amp; "|" &amp; H1215, "")</f>
        <v>principal-process-steward|ProcedureVersions</v>
      </c>
      <c r="N1215" s="2" t="s">
        <v>9938</v>
      </c>
    </row>
    <row r="1216">
      <c r="A1216" s="2" t="s">
        <v>11152</v>
      </c>
      <c r="B1216" s="3" t="str">
        <f>C1216 &amp; " -&gt; " &amp; D1216</f>
        <v>principal-process-steward -&gt; ProcedureVersions.CountOfReviewEvents</v>
      </c>
      <c r="C1216" s="2" t="s">
        <v>9706</v>
      </c>
      <c r="D1216" s="2" t="s">
        <v>2718</v>
      </c>
      <c r="E1216" s="2" t="b">
        <v>1</v>
      </c>
      <c r="F1216" s="2" t="b">
        <v>0</v>
      </c>
      <c r="G1216" s="2" t="s">
        <v>9937</v>
      </c>
      <c r="H1216" s="3" t="str">
        <f>_xlfn.IFNA(INDEX(RulebookFields!C2:C999, MATCH(D1216,RulebookFields!A2:A999, 0)), "")</f>
        <v>ProcedureVersions</v>
      </c>
      <c r="I1216" s="3" t="str">
        <f>_xlfn.IFNA(INDEX(RulebookFields!D2:D999, MATCH(D1216,RulebookFields!A2:A999, 0)), "")</f>
        <v>CountOfReviewEvents</v>
      </c>
      <c r="J1216" s="3" t="b">
        <f>_xlfn.IFNA(INDEX(RulebookFields!I2:I999, MATCH(D1216,RulebookFields!A2:A999, 0)), "")</f>
        <v>1</v>
      </c>
      <c r="K1216" s="3" t="b">
        <f>AND(F1216, J1216)</f>
        <v>0</v>
      </c>
      <c r="L1216" s="3" t="b">
        <f>AND(G1216 &lt;&gt; "plain", G1216 &lt;&gt; "")</f>
        <v>0</v>
      </c>
      <c r="M1216" s="3" t="str">
        <f>IF(E1216, C1216 &amp; "|" &amp; H1216, "")</f>
        <v>principal-process-steward|ProcedureVersions</v>
      </c>
      <c r="N1216" s="2" t="s">
        <v>9938</v>
      </c>
    </row>
    <row r="1217">
      <c r="A1217" s="2" t="s">
        <v>11153</v>
      </c>
      <c r="B1217" s="3" t="str">
        <f>C1217 &amp; " -&gt; " &amp; D1217</f>
        <v>principal-process-steward -&gt; ProcedureVersions.HasGovernanceRecord</v>
      </c>
      <c r="C1217" s="2" t="s">
        <v>9706</v>
      </c>
      <c r="D1217" s="2" t="s">
        <v>2720</v>
      </c>
      <c r="E1217" s="2" t="b">
        <v>1</v>
      </c>
      <c r="F1217" s="2" t="b">
        <v>0</v>
      </c>
      <c r="G1217" s="2" t="s">
        <v>9937</v>
      </c>
      <c r="H1217" s="3" t="str">
        <f>_xlfn.IFNA(INDEX(RulebookFields!C2:C999, MATCH(D1217,RulebookFields!A2:A999, 0)), "")</f>
        <v>ProcedureVersions</v>
      </c>
      <c r="I1217" s="3" t="str">
        <f>_xlfn.IFNA(INDEX(RulebookFields!D2:D999, MATCH(D1217,RulebookFields!A2:A999, 0)), "")</f>
        <v>HasGovernanceRecord</v>
      </c>
      <c r="J1217" s="3" t="b">
        <f>_xlfn.IFNA(INDEX(RulebookFields!I2:I999, MATCH(D1217,RulebookFields!A2:A999, 0)), "")</f>
        <v>1</v>
      </c>
      <c r="K1217" s="3" t="b">
        <f>AND(F1217, J1217)</f>
        <v>0</v>
      </c>
      <c r="L1217" s="3" t="b">
        <f>AND(G1217 &lt;&gt; "plain", G1217 &lt;&gt; "")</f>
        <v>0</v>
      </c>
      <c r="M1217" s="3" t="str">
        <f>IF(E1217, C1217 &amp; "|" &amp; H1217, "")</f>
        <v>principal-process-steward|ProcedureVersions</v>
      </c>
      <c r="N1217" s="2" t="s">
        <v>9938</v>
      </c>
    </row>
    <row r="1218">
      <c r="A1218" s="2" t="s">
        <v>11154</v>
      </c>
      <c r="B1218" s="3" t="str">
        <f>C1218 &amp; " -&gt; " &amp; D1218</f>
        <v>principal-process-steward -&gt; ProcedureVersions.EvaluationContext</v>
      </c>
      <c r="C1218" s="2" t="s">
        <v>9706</v>
      </c>
      <c r="D1218" s="2" t="s">
        <v>2722</v>
      </c>
      <c r="E1218" s="2" t="b">
        <v>1</v>
      </c>
      <c r="F1218" s="2" t="b">
        <v>0</v>
      </c>
      <c r="G1218" s="2" t="s">
        <v>9937</v>
      </c>
      <c r="H1218" s="3" t="str">
        <f>_xlfn.IFNA(INDEX(RulebookFields!C2:C999, MATCH(D1218,RulebookFields!A2:A999, 0)), "")</f>
        <v>ProcedureVersions</v>
      </c>
      <c r="I1218" s="3" t="str">
        <f>_xlfn.IFNA(INDEX(RulebookFields!D2:D999, MATCH(D1218,RulebookFields!A2:A999, 0)), "")</f>
        <v>EvaluationContext</v>
      </c>
      <c r="J1218" s="3" t="b">
        <f>_xlfn.IFNA(INDEX(RulebookFields!I2:I999, MATCH(D1218,RulebookFields!A2:A999, 0)), "")</f>
        <v>0</v>
      </c>
      <c r="K1218" s="3" t="b">
        <f>AND(F1218, J1218)</f>
        <v>0</v>
      </c>
      <c r="L1218" s="3" t="b">
        <f>AND(G1218 &lt;&gt; "plain", G1218 &lt;&gt; "")</f>
        <v>0</v>
      </c>
      <c r="M1218" s="3" t="str">
        <f>IF(E1218, C1218 &amp; "|" &amp; H1218, "")</f>
        <v>principal-process-steward|ProcedureVersions</v>
      </c>
      <c r="N1218" s="2" t="s">
        <v>9938</v>
      </c>
    </row>
    <row r="1219">
      <c r="A1219" s="2" t="s">
        <v>11155</v>
      </c>
      <c r="B1219" s="3" t="str">
        <f>C1219 &amp; " -&gt; " &amp; D1219</f>
        <v>principal-process-steward -&gt; ProcedureVersions.AsOfInstant</v>
      </c>
      <c r="C1219" s="2" t="s">
        <v>9706</v>
      </c>
      <c r="D1219" s="2" t="s">
        <v>2723</v>
      </c>
      <c r="E1219" s="2" t="b">
        <v>1</v>
      </c>
      <c r="F1219" s="2" t="b">
        <v>0</v>
      </c>
      <c r="G1219" s="2" t="s">
        <v>9937</v>
      </c>
      <c r="H1219" s="3" t="str">
        <f>_xlfn.IFNA(INDEX(RulebookFields!C2:C999, MATCH(D1219,RulebookFields!A2:A999, 0)), "")</f>
        <v>ProcedureVersions</v>
      </c>
      <c r="I1219" s="3" t="str">
        <f>_xlfn.IFNA(INDEX(RulebookFields!D2:D999, MATCH(D1219,RulebookFields!A2:A999, 0)), "")</f>
        <v>AsOfInstant</v>
      </c>
      <c r="J1219" s="3" t="b">
        <f>_xlfn.IFNA(INDEX(RulebookFields!I2:I999, MATCH(D1219,RulebookFields!A2:A999, 0)), "")</f>
        <v>1</v>
      </c>
      <c r="K1219" s="3" t="b">
        <f>AND(F1219, J1219)</f>
        <v>0</v>
      </c>
      <c r="L1219" s="3" t="b">
        <f>AND(G1219 &lt;&gt; "plain", G1219 &lt;&gt; "")</f>
        <v>0</v>
      </c>
      <c r="M1219" s="3" t="str">
        <f>IF(E1219, C1219 &amp; "|" &amp; H1219, "")</f>
        <v>principal-process-steward|ProcedureVersions</v>
      </c>
      <c r="N1219" s="2" t="s">
        <v>9938</v>
      </c>
    </row>
    <row r="1220">
      <c r="A1220" s="2" t="s">
        <v>11156</v>
      </c>
      <c r="B1220" s="3" t="str">
        <f>C1220 &amp; " -&gt; " &amp; D1220</f>
        <v>principal-process-steward -&gt; ProcedureVersions.DaysSinceModified</v>
      </c>
      <c r="C1220" s="2" t="s">
        <v>9706</v>
      </c>
      <c r="D1220" s="2" t="s">
        <v>2724</v>
      </c>
      <c r="E1220" s="2" t="b">
        <v>1</v>
      </c>
      <c r="F1220" s="2" t="b">
        <v>0</v>
      </c>
      <c r="G1220" s="2" t="s">
        <v>9937</v>
      </c>
      <c r="H1220" s="3" t="str">
        <f>_xlfn.IFNA(INDEX(RulebookFields!C2:C999, MATCH(D1220,RulebookFields!A2:A999, 0)), "")</f>
        <v>ProcedureVersions</v>
      </c>
      <c r="I1220" s="3" t="str">
        <f>_xlfn.IFNA(INDEX(RulebookFields!D2:D999, MATCH(D1220,RulebookFields!A2:A999, 0)), "")</f>
        <v>DaysSinceModified</v>
      </c>
      <c r="J1220" s="3" t="b">
        <f>_xlfn.IFNA(INDEX(RulebookFields!I2:I999, MATCH(D1220,RulebookFields!A2:A999, 0)), "")</f>
        <v>1</v>
      </c>
      <c r="K1220" s="3" t="b">
        <f>AND(F1220, J1220)</f>
        <v>0</v>
      </c>
      <c r="L1220" s="3" t="b">
        <f>AND(G1220 &lt;&gt; "plain", G1220 &lt;&gt; "")</f>
        <v>0</v>
      </c>
      <c r="M1220" s="3" t="str">
        <f>IF(E1220, C1220 &amp; "|" &amp; H1220, "")</f>
        <v>principal-process-steward|ProcedureVersions</v>
      </c>
      <c r="N1220" s="2" t="s">
        <v>9938</v>
      </c>
    </row>
    <row r="1221">
      <c r="A1221" s="2" t="s">
        <v>11157</v>
      </c>
      <c r="B1221" s="3" t="str">
        <f>C1221 &amp; " -&gt; " &amp; D1221</f>
        <v>principal-process-steward -&gt; ProcedureVersions.DaysSinceLastReview</v>
      </c>
      <c r="C1221" s="2" t="s">
        <v>9706</v>
      </c>
      <c r="D1221" s="2" t="s">
        <v>2726</v>
      </c>
      <c r="E1221" s="2" t="b">
        <v>1</v>
      </c>
      <c r="F1221" s="2" t="b">
        <v>0</v>
      </c>
      <c r="G1221" s="2" t="s">
        <v>9937</v>
      </c>
      <c r="H1221" s="3" t="str">
        <f>_xlfn.IFNA(INDEX(RulebookFields!C2:C999, MATCH(D1221,RulebookFields!A2:A999, 0)), "")</f>
        <v>ProcedureVersions</v>
      </c>
      <c r="I1221" s="3" t="str">
        <f>_xlfn.IFNA(INDEX(RulebookFields!D2:D999, MATCH(D1221,RulebookFields!A2:A999, 0)), "")</f>
        <v>DaysSinceLastReview</v>
      </c>
      <c r="J1221" s="3" t="b">
        <f>_xlfn.IFNA(INDEX(RulebookFields!I2:I999, MATCH(D1221,RulebookFields!A2:A999, 0)), "")</f>
        <v>1</v>
      </c>
      <c r="K1221" s="3" t="b">
        <f>AND(F1221, J1221)</f>
        <v>0</v>
      </c>
      <c r="L1221" s="3" t="b">
        <f>AND(G1221 &lt;&gt; "plain", G1221 &lt;&gt; "")</f>
        <v>0</v>
      </c>
      <c r="M1221" s="3" t="str">
        <f>IF(E1221, C1221 &amp; "|" &amp; H1221, "")</f>
        <v>principal-process-steward|ProcedureVersions</v>
      </c>
      <c r="N1221" s="2" t="s">
        <v>9938</v>
      </c>
    </row>
    <row r="1222">
      <c r="A1222" s="2" t="s">
        <v>11158</v>
      </c>
      <c r="B1222" s="3" t="str">
        <f>C1222 &amp; " -&gt; " &amp; D1222</f>
        <v>principal-process-steward -&gt; ProcedureVersions.WasModifiedSinceLastReview</v>
      </c>
      <c r="C1222" s="2" t="s">
        <v>9706</v>
      </c>
      <c r="D1222" s="2" t="s">
        <v>2728</v>
      </c>
      <c r="E1222" s="2" t="b">
        <v>1</v>
      </c>
      <c r="F1222" s="2" t="b">
        <v>0</v>
      </c>
      <c r="G1222" s="2" t="s">
        <v>9937</v>
      </c>
      <c r="H1222" s="3" t="str">
        <f>_xlfn.IFNA(INDEX(RulebookFields!C2:C999, MATCH(D1222,RulebookFields!A2:A999, 0)), "")</f>
        <v>ProcedureVersions</v>
      </c>
      <c r="I1222" s="3" t="str">
        <f>_xlfn.IFNA(INDEX(RulebookFields!D2:D999, MATCH(D1222,RulebookFields!A2:A999, 0)), "")</f>
        <v>WasModifiedSinceLastReview</v>
      </c>
      <c r="J1222" s="3" t="b">
        <f>_xlfn.IFNA(INDEX(RulebookFields!I2:I999, MATCH(D1222,RulebookFields!A2:A999, 0)), "")</f>
        <v>1</v>
      </c>
      <c r="K1222" s="3" t="b">
        <f>AND(F1222, J1222)</f>
        <v>0</v>
      </c>
      <c r="L1222" s="3" t="b">
        <f>AND(G1222 &lt;&gt; "plain", G1222 &lt;&gt; "")</f>
        <v>0</v>
      </c>
      <c r="M1222" s="3" t="str">
        <f>IF(E1222, C1222 &amp; "|" &amp; H1222, "")</f>
        <v>principal-process-steward|ProcedureVersions</v>
      </c>
      <c r="N1222" s="2" t="s">
        <v>9938</v>
      </c>
    </row>
    <row r="1223">
      <c r="A1223" s="2" t="s">
        <v>11159</v>
      </c>
      <c r="B1223" s="3" t="str">
        <f>C1223 &amp; " -&gt; " &amp; D1223</f>
        <v>principal-process-steward -&gt; ProcedureVersions.ModifierIsAuthority</v>
      </c>
      <c r="C1223" s="2" t="s">
        <v>9706</v>
      </c>
      <c r="D1223" s="2" t="s">
        <v>2730</v>
      </c>
      <c r="E1223" s="2" t="b">
        <v>1</v>
      </c>
      <c r="F1223" s="2" t="b">
        <v>0</v>
      </c>
      <c r="G1223" s="2" t="s">
        <v>9937</v>
      </c>
      <c r="H1223" s="3" t="str">
        <f>_xlfn.IFNA(INDEX(RulebookFields!C2:C999, MATCH(D1223,RulebookFields!A2:A999, 0)), "")</f>
        <v>ProcedureVersions</v>
      </c>
      <c r="I1223" s="3" t="str">
        <f>_xlfn.IFNA(INDEX(RulebookFields!D2:D999, MATCH(D1223,RulebookFields!A2:A999, 0)), "")</f>
        <v>ModifierIsAuthority</v>
      </c>
      <c r="J1223" s="3" t="b">
        <f>_xlfn.IFNA(INDEX(RulebookFields!I2:I999, MATCH(D1223,RulebookFields!A2:A999, 0)), "")</f>
        <v>1</v>
      </c>
      <c r="K1223" s="3" t="b">
        <f>AND(F1223, J1223)</f>
        <v>0</v>
      </c>
      <c r="L1223" s="3" t="b">
        <f>AND(G1223 &lt;&gt; "plain", G1223 &lt;&gt; "")</f>
        <v>0</v>
      </c>
      <c r="M1223" s="3" t="str">
        <f>IF(E1223, C1223 &amp; "|" &amp; H1223, "")</f>
        <v>principal-process-steward|ProcedureVersions</v>
      </c>
      <c r="N1223" s="2" t="s">
        <v>9938</v>
      </c>
    </row>
    <row r="1224">
      <c r="A1224" s="2" t="s">
        <v>11160</v>
      </c>
      <c r="B1224" s="3" t="str">
        <f>C1224 &amp; " -&gt; " &amp; D1224</f>
        <v>principal-process-steward -&gt; ProcedureVersions.HasUnwitnessedChange</v>
      </c>
      <c r="C1224" s="2" t="s">
        <v>9706</v>
      </c>
      <c r="D1224" s="2" t="s">
        <v>2732</v>
      </c>
      <c r="E1224" s="2" t="b">
        <v>1</v>
      </c>
      <c r="F1224" s="2" t="b">
        <v>0</v>
      </c>
      <c r="G1224" s="2" t="s">
        <v>9937</v>
      </c>
      <c r="H1224" s="3" t="str">
        <f>_xlfn.IFNA(INDEX(RulebookFields!C2:C999, MATCH(D1224,RulebookFields!A2:A999, 0)), "")</f>
        <v>ProcedureVersions</v>
      </c>
      <c r="I1224" s="3" t="str">
        <f>_xlfn.IFNA(INDEX(RulebookFields!D2:D999, MATCH(D1224,RulebookFields!A2:A999, 0)), "")</f>
        <v>HasUnwitnessedChange</v>
      </c>
      <c r="J1224" s="3" t="b">
        <f>_xlfn.IFNA(INDEX(RulebookFields!I2:I999, MATCH(D1224,RulebookFields!A2:A999, 0)), "")</f>
        <v>1</v>
      </c>
      <c r="K1224" s="3" t="b">
        <f>AND(F1224, J1224)</f>
        <v>0</v>
      </c>
      <c r="L1224" s="3" t="b">
        <f>AND(G1224 &lt;&gt; "plain", G1224 &lt;&gt; "")</f>
        <v>0</v>
      </c>
      <c r="M1224" s="3" t="str">
        <f>IF(E1224, C1224 &amp; "|" &amp; H1224, "")</f>
        <v>principal-process-steward|ProcedureVersions</v>
      </c>
      <c r="N1224" s="2" t="s">
        <v>9938</v>
      </c>
    </row>
    <row r="1225">
      <c r="A1225" s="2" t="s">
        <v>11161</v>
      </c>
      <c r="B1225" s="3" t="str">
        <f>C1225 &amp; " -&gt; " &amp; D1225</f>
        <v>principal-process-steward -&gt; ProcedureVersions.CountOfStaleFragments</v>
      </c>
      <c r="C1225" s="2" t="s">
        <v>9706</v>
      </c>
      <c r="D1225" s="2" t="s">
        <v>2734</v>
      </c>
      <c r="E1225" s="2" t="b">
        <v>1</v>
      </c>
      <c r="F1225" s="2" t="b">
        <v>0</v>
      </c>
      <c r="G1225" s="2" t="s">
        <v>9937</v>
      </c>
      <c r="H1225" s="3" t="str">
        <f>_xlfn.IFNA(INDEX(RulebookFields!C2:C999, MATCH(D1225,RulebookFields!A2:A999, 0)), "")</f>
        <v>ProcedureVersions</v>
      </c>
      <c r="I1225" s="3" t="str">
        <f>_xlfn.IFNA(INDEX(RulebookFields!D2:D999, MATCH(D1225,RulebookFields!A2:A999, 0)), "")</f>
        <v>CountOfStaleFragments</v>
      </c>
      <c r="J1225" s="3" t="b">
        <f>_xlfn.IFNA(INDEX(RulebookFields!I2:I999, MATCH(D1225,RulebookFields!A2:A999, 0)), "")</f>
        <v>1</v>
      </c>
      <c r="K1225" s="3" t="b">
        <f>AND(F1225, J1225)</f>
        <v>0</v>
      </c>
      <c r="L1225" s="3" t="b">
        <f>AND(G1225 &lt;&gt; "plain", G1225 &lt;&gt; "")</f>
        <v>0</v>
      </c>
      <c r="M1225" s="3" t="str">
        <f>IF(E1225, C1225 &amp; "|" &amp; H1225, "")</f>
        <v>principal-process-steward|ProcedureVersions</v>
      </c>
      <c r="N1225" s="2" t="s">
        <v>9938</v>
      </c>
    </row>
    <row r="1226">
      <c r="A1226" s="2" t="s">
        <v>11162</v>
      </c>
      <c r="B1226" s="3" t="str">
        <f>C1226 &amp; " -&gt; " &amp; D1226</f>
        <v>principal-process-steward -&gt; ProcedureVersions.KnowledgeIsStalerThanCadence</v>
      </c>
      <c r="C1226" s="2" t="s">
        <v>9706</v>
      </c>
      <c r="D1226" s="2" t="s">
        <v>2736</v>
      </c>
      <c r="E1226" s="2" t="b">
        <v>1</v>
      </c>
      <c r="F1226" s="2" t="b">
        <v>0</v>
      </c>
      <c r="G1226" s="2" t="s">
        <v>9937</v>
      </c>
      <c r="H1226" s="3" t="str">
        <f>_xlfn.IFNA(INDEX(RulebookFields!C2:C999, MATCH(D1226,RulebookFields!A2:A999, 0)), "")</f>
        <v>ProcedureVersions</v>
      </c>
      <c r="I1226" s="3" t="str">
        <f>_xlfn.IFNA(INDEX(RulebookFields!D2:D999, MATCH(D1226,RulebookFields!A2:A999, 0)), "")</f>
        <v>KnowledgeIsStalerThanCadence</v>
      </c>
      <c r="J1226" s="3" t="b">
        <f>_xlfn.IFNA(INDEX(RulebookFields!I2:I999, MATCH(D1226,RulebookFields!A2:A999, 0)), "")</f>
        <v>1</v>
      </c>
      <c r="K1226" s="3" t="b">
        <f>AND(F1226, J1226)</f>
        <v>0</v>
      </c>
      <c r="L1226" s="3" t="b">
        <f>AND(G1226 &lt;&gt; "plain", G1226 &lt;&gt; "")</f>
        <v>0</v>
      </c>
      <c r="M1226" s="3" t="str">
        <f>IF(E1226, C1226 &amp; "|" &amp; H1226, "")</f>
        <v>principal-process-steward|ProcedureVersions</v>
      </c>
      <c r="N1226" s="2" t="s">
        <v>9938</v>
      </c>
    </row>
    <row r="1227">
      <c r="A1227" s="2" t="s">
        <v>11163</v>
      </c>
      <c r="B1227" s="3" t="str">
        <f>C1227 &amp; " -&gt; " &amp; D1227</f>
        <v>principal-process-steward -&gt; ProcedureVersions.CompoundFragileFragmentCount</v>
      </c>
      <c r="C1227" s="2" t="s">
        <v>9706</v>
      </c>
      <c r="D1227" s="2" t="s">
        <v>2738</v>
      </c>
      <c r="E1227" s="2" t="b">
        <v>1</v>
      </c>
      <c r="F1227" s="2" t="b">
        <v>0</v>
      </c>
      <c r="G1227" s="2" t="s">
        <v>9937</v>
      </c>
      <c r="H1227" s="3" t="str">
        <f>_xlfn.IFNA(INDEX(RulebookFields!C2:C999, MATCH(D1227,RulebookFields!A2:A999, 0)), "")</f>
        <v>ProcedureVersions</v>
      </c>
      <c r="I1227" s="3" t="str">
        <f>_xlfn.IFNA(INDEX(RulebookFields!D2:D999, MATCH(D1227,RulebookFields!A2:A999, 0)), "")</f>
        <v>CompoundFragileFragmentCount</v>
      </c>
      <c r="J1227" s="3" t="b">
        <f>_xlfn.IFNA(INDEX(RulebookFields!I2:I999, MATCH(D1227,RulebookFields!A2:A999, 0)), "")</f>
        <v>1</v>
      </c>
      <c r="K1227" s="3" t="b">
        <f>AND(F1227, J1227)</f>
        <v>0</v>
      </c>
      <c r="L1227" s="3" t="b">
        <f>AND(G1227 &lt;&gt; "plain", G1227 &lt;&gt; "")</f>
        <v>0</v>
      </c>
      <c r="M1227" s="3" t="str">
        <f>IF(E1227, C1227 &amp; "|" &amp; H1227, "")</f>
        <v>principal-process-steward|ProcedureVersions</v>
      </c>
      <c r="N1227" s="2" t="s">
        <v>9938</v>
      </c>
    </row>
    <row r="1228">
      <c r="A1228" s="2" t="s">
        <v>11164</v>
      </c>
      <c r="B1228" s="3" t="str">
        <f>C1228 &amp; " -&gt; " &amp; D1228</f>
        <v>principal-process-steward -&gt; ProcedureVersions.RestsOnCompoundFragileKnowledge</v>
      </c>
      <c r="C1228" s="2" t="s">
        <v>9706</v>
      </c>
      <c r="D1228" s="2" t="s">
        <v>2740</v>
      </c>
      <c r="E1228" s="2" t="b">
        <v>1</v>
      </c>
      <c r="F1228" s="2" t="b">
        <v>0</v>
      </c>
      <c r="G1228" s="2" t="s">
        <v>9937</v>
      </c>
      <c r="H1228" s="3" t="str">
        <f>_xlfn.IFNA(INDEX(RulebookFields!C2:C999, MATCH(D1228,RulebookFields!A2:A999, 0)), "")</f>
        <v>ProcedureVersions</v>
      </c>
      <c r="I1228" s="3" t="str">
        <f>_xlfn.IFNA(INDEX(RulebookFields!D2:D999, MATCH(D1228,RulebookFields!A2:A999, 0)), "")</f>
        <v>RestsOnCompoundFragileKnowledge</v>
      </c>
      <c r="J1228" s="3" t="b">
        <f>_xlfn.IFNA(INDEX(RulebookFields!I2:I999, MATCH(D1228,RulebookFields!A2:A999, 0)), "")</f>
        <v>1</v>
      </c>
      <c r="K1228" s="3" t="b">
        <f>AND(F1228, J1228)</f>
        <v>0</v>
      </c>
      <c r="L1228" s="3" t="b">
        <f>AND(G1228 &lt;&gt; "plain", G1228 &lt;&gt; "")</f>
        <v>0</v>
      </c>
      <c r="M1228" s="3" t="str">
        <f>IF(E1228, C1228 &amp; "|" &amp; H1228, "")</f>
        <v>principal-process-steward|ProcedureVersions</v>
      </c>
      <c r="N1228" s="2" t="s">
        <v>9938</v>
      </c>
    </row>
    <row r="1229">
      <c r="A1229" s="2" t="s">
        <v>11165</v>
      </c>
      <c r="B1229" s="3" t="str">
        <f>C1229 &amp; " -&gt; " &amp; D1229</f>
        <v>principal-process-steward -&gt; ProcedureVersions.ConcentratedWitnessSessionCount</v>
      </c>
      <c r="C1229" s="2" t="s">
        <v>9706</v>
      </c>
      <c r="D1229" s="2" t="s">
        <v>2742</v>
      </c>
      <c r="E1229" s="2" t="b">
        <v>1</v>
      </c>
      <c r="F1229" s="2" t="b">
        <v>0</v>
      </c>
      <c r="G1229" s="2" t="s">
        <v>9937</v>
      </c>
      <c r="H1229" s="3" t="str">
        <f>_xlfn.IFNA(INDEX(RulebookFields!C2:C999, MATCH(D1229,RulebookFields!A2:A999, 0)), "")</f>
        <v>ProcedureVersions</v>
      </c>
      <c r="I1229" s="3" t="str">
        <f>_xlfn.IFNA(INDEX(RulebookFields!D2:D999, MATCH(D1229,RulebookFields!A2:A999, 0)), "")</f>
        <v>ConcentratedWitnessSessionCount</v>
      </c>
      <c r="J1229" s="3" t="b">
        <f>_xlfn.IFNA(INDEX(RulebookFields!I2:I999, MATCH(D1229,RulebookFields!A2:A999, 0)), "")</f>
        <v>1</v>
      </c>
      <c r="K1229" s="3" t="b">
        <f>AND(F1229, J1229)</f>
        <v>0</v>
      </c>
      <c r="L1229" s="3" t="b">
        <f>AND(G1229 &lt;&gt; "plain", G1229 &lt;&gt; "")</f>
        <v>0</v>
      </c>
      <c r="M1229" s="3" t="str">
        <f>IF(E1229, C1229 &amp; "|" &amp; H1229, "")</f>
        <v>principal-process-steward|ProcedureVersions</v>
      </c>
      <c r="N1229" s="2" t="s">
        <v>9938</v>
      </c>
    </row>
    <row r="1230">
      <c r="A1230" s="2" t="s">
        <v>11166</v>
      </c>
      <c r="B1230" s="3" t="str">
        <f>C1230 &amp; " -&gt; " &amp; D1230</f>
        <v>principal-process-steward -&gt; ProcedureVersions.KnowledgeBaseIsConcentrated</v>
      </c>
      <c r="C1230" s="2" t="s">
        <v>9706</v>
      </c>
      <c r="D1230" s="2" t="s">
        <v>2744</v>
      </c>
      <c r="E1230" s="2" t="b">
        <v>1</v>
      </c>
      <c r="F1230" s="2" t="b">
        <v>0</v>
      </c>
      <c r="G1230" s="2" t="s">
        <v>9937</v>
      </c>
      <c r="H1230" s="3" t="str">
        <f>_xlfn.IFNA(INDEX(RulebookFields!C2:C999, MATCH(D1230,RulebookFields!A2:A999, 0)), "")</f>
        <v>ProcedureVersions</v>
      </c>
      <c r="I1230" s="3" t="str">
        <f>_xlfn.IFNA(INDEX(RulebookFields!D2:D999, MATCH(D1230,RulebookFields!A2:A999, 0)), "")</f>
        <v>KnowledgeBaseIsConcentrated</v>
      </c>
      <c r="J1230" s="3" t="b">
        <f>_xlfn.IFNA(INDEX(RulebookFields!I2:I999, MATCH(D1230,RulebookFields!A2:A999, 0)), "")</f>
        <v>1</v>
      </c>
      <c r="K1230" s="3" t="b">
        <f>AND(F1230, J1230)</f>
        <v>0</v>
      </c>
      <c r="L1230" s="3" t="b">
        <f>AND(G1230 &lt;&gt; "plain", G1230 &lt;&gt; "")</f>
        <v>0</v>
      </c>
      <c r="M1230" s="3" t="str">
        <f>IF(E1230, C1230 &amp; "|" &amp; H1230, "")</f>
        <v>principal-process-steward|ProcedureVersions</v>
      </c>
      <c r="N1230" s="2" t="s">
        <v>9938</v>
      </c>
    </row>
    <row r="1231">
      <c r="A1231" s="2" t="s">
        <v>11167</v>
      </c>
      <c r="B1231" s="3" t="str">
        <f>C1231 &amp; " -&gt; " &amp; D1231</f>
        <v>principal-process-steward -&gt; ProcedureVersions.MachineConsumedUnapprovedCount</v>
      </c>
      <c r="C1231" s="2" t="s">
        <v>9706</v>
      </c>
      <c r="D1231" s="2" t="s">
        <v>2746</v>
      </c>
      <c r="E1231" s="2" t="b">
        <v>1</v>
      </c>
      <c r="F1231" s="2" t="b">
        <v>0</v>
      </c>
      <c r="G1231" s="2" t="s">
        <v>9937</v>
      </c>
      <c r="H1231" s="3" t="str">
        <f>_xlfn.IFNA(INDEX(RulebookFields!C2:C999, MATCH(D1231,RulebookFields!A2:A999, 0)), "")</f>
        <v>ProcedureVersions</v>
      </c>
      <c r="I1231" s="3" t="str">
        <f>_xlfn.IFNA(INDEX(RulebookFields!D2:D999, MATCH(D1231,RulebookFields!A2:A999, 0)), "")</f>
        <v>MachineConsumedUnapprovedCount</v>
      </c>
      <c r="J1231" s="3" t="b">
        <f>_xlfn.IFNA(INDEX(RulebookFields!I2:I999, MATCH(D1231,RulebookFields!A2:A999, 0)), "")</f>
        <v>1</v>
      </c>
      <c r="K1231" s="3" t="b">
        <f>AND(F1231, J1231)</f>
        <v>0</v>
      </c>
      <c r="L1231" s="3" t="b">
        <f>AND(G1231 &lt;&gt; "plain", G1231 &lt;&gt; "")</f>
        <v>0</v>
      </c>
      <c r="M1231" s="3" t="str">
        <f>IF(E1231, C1231 &amp; "|" &amp; H1231, "")</f>
        <v>principal-process-steward|ProcedureVersions</v>
      </c>
      <c r="N1231" s="2" t="s">
        <v>9938</v>
      </c>
    </row>
    <row r="1232">
      <c r="A1232" s="2" t="s">
        <v>11168</v>
      </c>
      <c r="B1232" s="3" t="str">
        <f>C1232 &amp; " -&gt; " &amp; D1232</f>
        <v>principal-process-steward -&gt; ProcedureVersions.FeedsUnapprovedKnowledgeToMachines</v>
      </c>
      <c r="C1232" s="2" t="s">
        <v>9706</v>
      </c>
      <c r="D1232" s="2" t="s">
        <v>2748</v>
      </c>
      <c r="E1232" s="2" t="b">
        <v>1</v>
      </c>
      <c r="F1232" s="2" t="b">
        <v>0</v>
      </c>
      <c r="G1232" s="2" t="s">
        <v>9937</v>
      </c>
      <c r="H1232" s="3" t="str">
        <f>_xlfn.IFNA(INDEX(RulebookFields!C2:C999, MATCH(D1232,RulebookFields!A2:A999, 0)), "")</f>
        <v>ProcedureVersions</v>
      </c>
      <c r="I1232" s="3" t="str">
        <f>_xlfn.IFNA(INDEX(RulebookFields!D2:D999, MATCH(D1232,RulebookFields!A2:A999, 0)), "")</f>
        <v>FeedsUnapprovedKnowledgeToMachines</v>
      </c>
      <c r="J1232" s="3" t="b">
        <f>_xlfn.IFNA(INDEX(RulebookFields!I2:I999, MATCH(D1232,RulebookFields!A2:A999, 0)), "")</f>
        <v>1</v>
      </c>
      <c r="K1232" s="3" t="b">
        <f>AND(F1232, J1232)</f>
        <v>0</v>
      </c>
      <c r="L1232" s="3" t="b">
        <f>AND(G1232 &lt;&gt; "plain", G1232 &lt;&gt; "")</f>
        <v>0</v>
      </c>
      <c r="M1232" s="3" t="str">
        <f>IF(E1232, C1232 &amp; "|" &amp; H1232, "")</f>
        <v>principal-process-steward|ProcedureVersions</v>
      </c>
      <c r="N1232" s="2" t="s">
        <v>9938</v>
      </c>
    </row>
    <row r="1233">
      <c r="A1233" s="2" t="s">
        <v>11169</v>
      </c>
      <c r="B1233" s="3" t="str">
        <f>C1233 &amp; " -&gt; " &amp; D1233</f>
        <v>principal-process-steward -&gt; ProcedureVersions.GenuinelyOverdueFragmentCount</v>
      </c>
      <c r="C1233" s="2" t="s">
        <v>9706</v>
      </c>
      <c r="D1233" s="2" t="s">
        <v>2750</v>
      </c>
      <c r="E1233" s="2" t="b">
        <v>1</v>
      </c>
      <c r="F1233" s="2" t="b">
        <v>0</v>
      </c>
      <c r="G1233" s="2" t="s">
        <v>9937</v>
      </c>
      <c r="H1233" s="3" t="str">
        <f>_xlfn.IFNA(INDEX(RulebookFields!C2:C999, MATCH(D1233,RulebookFields!A2:A999, 0)), "")</f>
        <v>ProcedureVersions</v>
      </c>
      <c r="I1233" s="3" t="str">
        <f>_xlfn.IFNA(INDEX(RulebookFields!D2:D999, MATCH(D1233,RulebookFields!A2:A999, 0)), "")</f>
        <v>GenuinelyOverdueFragmentCount</v>
      </c>
      <c r="J1233" s="3" t="b">
        <f>_xlfn.IFNA(INDEX(RulebookFields!I2:I999, MATCH(D1233,RulebookFields!A2:A999, 0)), "")</f>
        <v>1</v>
      </c>
      <c r="K1233" s="3" t="b">
        <f>AND(F1233, J1233)</f>
        <v>0</v>
      </c>
      <c r="L1233" s="3" t="b">
        <f>AND(G1233 &lt;&gt; "plain", G1233 &lt;&gt; "")</f>
        <v>0</v>
      </c>
      <c r="M1233" s="3" t="str">
        <f>IF(E1233, C1233 &amp; "|" &amp; H1233, "")</f>
        <v>principal-process-steward|ProcedureVersions</v>
      </c>
      <c r="N1233" s="2" t="s">
        <v>9938</v>
      </c>
    </row>
    <row r="1234">
      <c r="A1234" s="2" t="s">
        <v>11170</v>
      </c>
      <c r="B1234" s="3" t="str">
        <f>C1234 &amp; " -&gt; " &amp; D1234</f>
        <v>principal-process-steward -&gt; ProcedureVersions.AwaitedDecisionCount</v>
      </c>
      <c r="C1234" s="2" t="s">
        <v>9706</v>
      </c>
      <c r="D1234" s="2" t="s">
        <v>2752</v>
      </c>
      <c r="E1234" s="2" t="b">
        <v>1</v>
      </c>
      <c r="F1234" s="2" t="b">
        <v>0</v>
      </c>
      <c r="G1234" s="2" t="s">
        <v>9937</v>
      </c>
      <c r="H1234" s="3" t="str">
        <f>_xlfn.IFNA(INDEX(RulebookFields!C2:C999, MATCH(D1234,RulebookFields!A2:A999, 0)), "")</f>
        <v>ProcedureVersions</v>
      </c>
      <c r="I1234" s="3" t="str">
        <f>_xlfn.IFNA(INDEX(RulebookFields!D2:D999, MATCH(D1234,RulebookFields!A2:A999, 0)), "")</f>
        <v>AwaitedDecisionCount</v>
      </c>
      <c r="J1234" s="3" t="b">
        <f>_xlfn.IFNA(INDEX(RulebookFields!I2:I999, MATCH(D1234,RulebookFields!A2:A999, 0)), "")</f>
        <v>1</v>
      </c>
      <c r="K1234" s="3" t="b">
        <f>AND(F1234, J1234)</f>
        <v>0</v>
      </c>
      <c r="L1234" s="3" t="b">
        <f>AND(G1234 &lt;&gt; "plain", G1234 &lt;&gt; "")</f>
        <v>0</v>
      </c>
      <c r="M1234" s="3" t="str">
        <f>IF(E1234, C1234 &amp; "|" &amp; H1234, "")</f>
        <v>principal-process-steward|ProcedureVersions</v>
      </c>
      <c r="N1234" s="2" t="s">
        <v>9938</v>
      </c>
    </row>
    <row r="1235">
      <c r="A1235" s="2" t="s">
        <v>11171</v>
      </c>
      <c r="B1235" s="3" t="str">
        <f>C1235 &amp; " -&gt; " &amp; D1235</f>
        <v>principal-process-steward -&gt; ProcedureVersions.ScopedOpenBlockingGapCount</v>
      </c>
      <c r="C1235" s="2" t="s">
        <v>9706</v>
      </c>
      <c r="D1235" s="2" t="s">
        <v>2754</v>
      </c>
      <c r="E1235" s="2" t="b">
        <v>1</v>
      </c>
      <c r="F1235" s="2" t="b">
        <v>0</v>
      </c>
      <c r="G1235" s="2" t="s">
        <v>9937</v>
      </c>
      <c r="H1235" s="3" t="str">
        <f>_xlfn.IFNA(INDEX(RulebookFields!C2:C999, MATCH(D1235,RulebookFields!A2:A999, 0)), "")</f>
        <v>ProcedureVersions</v>
      </c>
      <c r="I1235" s="3" t="str">
        <f>_xlfn.IFNA(INDEX(RulebookFields!D2:D999, MATCH(D1235,RulebookFields!A2:A999, 0)), "")</f>
        <v>ScopedOpenBlockingGapCount</v>
      </c>
      <c r="J1235" s="3" t="b">
        <f>_xlfn.IFNA(INDEX(RulebookFields!I2:I999, MATCH(D1235,RulebookFields!A2:A999, 0)), "")</f>
        <v>1</v>
      </c>
      <c r="K1235" s="3" t="b">
        <f>AND(F1235, J1235)</f>
        <v>0</v>
      </c>
      <c r="L1235" s="3" t="b">
        <f>AND(G1235 &lt;&gt; "plain", G1235 &lt;&gt; "")</f>
        <v>0</v>
      </c>
      <c r="M1235" s="3" t="str">
        <f>IF(E1235, C1235 &amp; "|" &amp; H1235, "")</f>
        <v>principal-process-steward|ProcedureVersions</v>
      </c>
      <c r="N1235" s="2" t="s">
        <v>9938</v>
      </c>
    </row>
    <row r="1236">
      <c r="A1236" s="2" t="s">
        <v>11172</v>
      </c>
      <c r="B1236" s="3" t="str">
        <f>C1236 &amp; " -&gt; " &amp; D1236</f>
        <v>principal-process-steward -&gt; ProcedureVersions.IsBlockedOnPendingDecision</v>
      </c>
      <c r="C1236" s="2" t="s">
        <v>9706</v>
      </c>
      <c r="D1236" s="2" t="s">
        <v>2756</v>
      </c>
      <c r="E1236" s="2" t="b">
        <v>1</v>
      </c>
      <c r="F1236" s="2" t="b">
        <v>0</v>
      </c>
      <c r="G1236" s="2" t="s">
        <v>9937</v>
      </c>
      <c r="H1236" s="3" t="str">
        <f>_xlfn.IFNA(INDEX(RulebookFields!C2:C999, MATCH(D1236,RulebookFields!A2:A999, 0)), "")</f>
        <v>ProcedureVersions</v>
      </c>
      <c r="I1236" s="3" t="str">
        <f>_xlfn.IFNA(INDEX(RulebookFields!D2:D999, MATCH(D1236,RulebookFields!A2:A999, 0)), "")</f>
        <v>IsBlockedOnPendingDecision</v>
      </c>
      <c r="J1236" s="3" t="b">
        <f>_xlfn.IFNA(INDEX(RulebookFields!I2:I999, MATCH(D1236,RulebookFields!A2:A999, 0)), "")</f>
        <v>1</v>
      </c>
      <c r="K1236" s="3" t="b">
        <f>AND(F1236, J1236)</f>
        <v>0</v>
      </c>
      <c r="L1236" s="3" t="b">
        <f>AND(G1236 &lt;&gt; "plain", G1236 &lt;&gt; "")</f>
        <v>0</v>
      </c>
      <c r="M1236" s="3" t="str">
        <f>IF(E1236, C1236 &amp; "|" &amp; H1236, "")</f>
        <v>principal-process-steward|ProcedureVersions</v>
      </c>
      <c r="N1236" s="2" t="s">
        <v>9938</v>
      </c>
    </row>
    <row r="1237">
      <c r="A1237" s="2" t="s">
        <v>11173</v>
      </c>
      <c r="B1237" s="3" t="str">
        <f>C1237 &amp; " -&gt; " &amp; D1237</f>
        <v>principal-process-steward -&gt; ProcedureVersions.UnexercisedHumanGateCount</v>
      </c>
      <c r="C1237" s="2" t="s">
        <v>9706</v>
      </c>
      <c r="D1237" s="2" t="s">
        <v>2758</v>
      </c>
      <c r="E1237" s="2" t="b">
        <v>1</v>
      </c>
      <c r="F1237" s="2" t="b">
        <v>0</v>
      </c>
      <c r="G1237" s="2" t="s">
        <v>9937</v>
      </c>
      <c r="H1237" s="3" t="str">
        <f>_xlfn.IFNA(INDEX(RulebookFields!C2:C999, MATCH(D1237,RulebookFields!A2:A999, 0)), "")</f>
        <v>ProcedureVersions</v>
      </c>
      <c r="I1237" s="3" t="str">
        <f>_xlfn.IFNA(INDEX(RulebookFields!D2:D999, MATCH(D1237,RulebookFields!A2:A999, 0)), "")</f>
        <v>UnexercisedHumanGateCount</v>
      </c>
      <c r="J1237" s="3" t="b">
        <f>_xlfn.IFNA(INDEX(RulebookFields!I2:I999, MATCH(D1237,RulebookFields!A2:A999, 0)), "")</f>
        <v>1</v>
      </c>
      <c r="K1237" s="3" t="b">
        <f>AND(F1237, J1237)</f>
        <v>0</v>
      </c>
      <c r="L1237" s="3" t="b">
        <f>AND(G1237 &lt;&gt; "plain", G1237 &lt;&gt; "")</f>
        <v>0</v>
      </c>
      <c r="M1237" s="3" t="str">
        <f>IF(E1237, C1237 &amp; "|" &amp; H1237, "")</f>
        <v>principal-process-steward|ProcedureVersions</v>
      </c>
      <c r="N1237" s="2" t="s">
        <v>9938</v>
      </c>
    </row>
    <row r="1238">
      <c r="A1238" s="2" t="s">
        <v>11174</v>
      </c>
      <c r="B1238" s="3" t="str">
        <f>C1238 &amp; " -&gt; " &amp; D1238</f>
        <v>principal-process-steward -&gt; ProcedureVersions.AiBoundaryIsUnevidenced</v>
      </c>
      <c r="C1238" s="2" t="s">
        <v>9706</v>
      </c>
      <c r="D1238" s="2" t="s">
        <v>2760</v>
      </c>
      <c r="E1238" s="2" t="b">
        <v>1</v>
      </c>
      <c r="F1238" s="2" t="b">
        <v>0</v>
      </c>
      <c r="G1238" s="2" t="s">
        <v>9937</v>
      </c>
      <c r="H1238" s="3" t="str">
        <f>_xlfn.IFNA(INDEX(RulebookFields!C2:C999, MATCH(D1238,RulebookFields!A2:A999, 0)), "")</f>
        <v>ProcedureVersions</v>
      </c>
      <c r="I1238" s="3" t="str">
        <f>_xlfn.IFNA(INDEX(RulebookFields!D2:D999, MATCH(D1238,RulebookFields!A2:A999, 0)), "")</f>
        <v>AiBoundaryIsUnevidenced</v>
      </c>
      <c r="J1238" s="3" t="b">
        <f>_xlfn.IFNA(INDEX(RulebookFields!I2:I999, MATCH(D1238,RulebookFields!A2:A999, 0)), "")</f>
        <v>1</v>
      </c>
      <c r="K1238" s="3" t="b">
        <f>AND(F1238, J1238)</f>
        <v>0</v>
      </c>
      <c r="L1238" s="3" t="b">
        <f>AND(G1238 &lt;&gt; "plain", G1238 &lt;&gt; "")</f>
        <v>0</v>
      </c>
      <c r="M1238" s="3" t="str">
        <f>IF(E1238, C1238 &amp; "|" &amp; H1238, "")</f>
        <v>principal-process-steward|ProcedureVersions</v>
      </c>
      <c r="N1238" s="2" t="s">
        <v>9938</v>
      </c>
    </row>
    <row r="1239">
      <c r="A1239" s="2" t="s">
        <v>11175</v>
      </c>
      <c r="B1239" s="3" t="str">
        <f>C1239 &amp; " -&gt; " &amp; D1239</f>
        <v>principal-process-steward -&gt; ProcedureVersions.LoadBearingUnapprovedCount</v>
      </c>
      <c r="C1239" s="2" t="s">
        <v>9706</v>
      </c>
      <c r="D1239" s="2" t="s">
        <v>2762</v>
      </c>
      <c r="E1239" s="2" t="b">
        <v>1</v>
      </c>
      <c r="F1239" s="2" t="b">
        <v>0</v>
      </c>
      <c r="G1239" s="2" t="s">
        <v>9937</v>
      </c>
      <c r="H1239" s="3" t="str">
        <f>_xlfn.IFNA(INDEX(RulebookFields!C2:C999, MATCH(D1239,RulebookFields!A2:A999, 0)), "")</f>
        <v>ProcedureVersions</v>
      </c>
      <c r="I1239" s="3" t="str">
        <f>_xlfn.IFNA(INDEX(RulebookFields!D2:D999, MATCH(D1239,RulebookFields!A2:A999, 0)), "")</f>
        <v>LoadBearingUnapprovedCount</v>
      </c>
      <c r="J1239" s="3" t="b">
        <f>_xlfn.IFNA(INDEX(RulebookFields!I2:I999, MATCH(D1239,RulebookFields!A2:A999, 0)), "")</f>
        <v>1</v>
      </c>
      <c r="K1239" s="3" t="b">
        <f>AND(F1239, J1239)</f>
        <v>0</v>
      </c>
      <c r="L1239" s="3" t="b">
        <f>AND(G1239 &lt;&gt; "plain", G1239 &lt;&gt; "")</f>
        <v>0</v>
      </c>
      <c r="M1239" s="3" t="str">
        <f>IF(E1239, C1239 &amp; "|" &amp; H1239, "")</f>
        <v>principal-process-steward|ProcedureVersions</v>
      </c>
      <c r="N1239" s="2" t="s">
        <v>9938</v>
      </c>
    </row>
    <row r="1240">
      <c r="A1240" s="2" t="s">
        <v>11176</v>
      </c>
      <c r="B1240" s="3" t="str">
        <f>C1240 &amp; " -&gt; " &amp; D1240</f>
        <v>principal-process-steward -&gt; ProcedureVersions.UnlandedDecisionCount</v>
      </c>
      <c r="C1240" s="2" t="s">
        <v>9706</v>
      </c>
      <c r="D1240" s="2" t="s">
        <v>2764</v>
      </c>
      <c r="E1240" s="2" t="b">
        <v>1</v>
      </c>
      <c r="F1240" s="2" t="b">
        <v>0</v>
      </c>
      <c r="G1240" s="2" t="s">
        <v>9937</v>
      </c>
      <c r="H1240" s="3" t="str">
        <f>_xlfn.IFNA(INDEX(RulebookFields!C2:C999, MATCH(D1240,RulebookFields!A2:A999, 0)), "")</f>
        <v>ProcedureVersions</v>
      </c>
      <c r="I1240" s="3" t="str">
        <f>_xlfn.IFNA(INDEX(RulebookFields!D2:D999, MATCH(D1240,RulebookFields!A2:A999, 0)), "")</f>
        <v>UnlandedDecisionCount</v>
      </c>
      <c r="J1240" s="3" t="b">
        <f>_xlfn.IFNA(INDEX(RulebookFields!I2:I999, MATCH(D1240,RulebookFields!A2:A999, 0)), "")</f>
        <v>1</v>
      </c>
      <c r="K1240" s="3" t="b">
        <f>AND(F1240, J1240)</f>
        <v>0</v>
      </c>
      <c r="L1240" s="3" t="b">
        <f>AND(G1240 &lt;&gt; "plain", G1240 &lt;&gt; "")</f>
        <v>0</v>
      </c>
      <c r="M1240" s="3" t="str">
        <f>IF(E1240, C1240 &amp; "|" &amp; H1240, "")</f>
        <v>principal-process-steward|ProcedureVersions</v>
      </c>
      <c r="N1240" s="2" t="s">
        <v>9938</v>
      </c>
    </row>
    <row r="1241">
      <c r="A1241" s="2" t="s">
        <v>11177</v>
      </c>
      <c r="B1241" s="3" t="str">
        <f>C1241 &amp; " -&gt; " &amp; D1241</f>
        <v>principal-process-steward -&gt; ProcedureVersions.UnrehearsedControlEntryCount</v>
      </c>
      <c r="C1241" s="2" t="s">
        <v>9706</v>
      </c>
      <c r="D1241" s="2" t="s">
        <v>2766</v>
      </c>
      <c r="E1241" s="2" t="b">
        <v>1</v>
      </c>
      <c r="F1241" s="2" t="b">
        <v>0</v>
      </c>
      <c r="G1241" s="2" t="s">
        <v>9937</v>
      </c>
      <c r="H1241" s="3" t="str">
        <f>_xlfn.IFNA(INDEX(RulebookFields!C2:C999, MATCH(D1241,RulebookFields!A2:A999, 0)), "")</f>
        <v>ProcedureVersions</v>
      </c>
      <c r="I1241" s="3" t="str">
        <f>_xlfn.IFNA(INDEX(RulebookFields!D2:D999, MATCH(D1241,RulebookFields!A2:A999, 0)), "")</f>
        <v>UnrehearsedControlEntryCount</v>
      </c>
      <c r="J1241" s="3" t="b">
        <f>_xlfn.IFNA(INDEX(RulebookFields!I2:I999, MATCH(D1241,RulebookFields!A2:A999, 0)), "")</f>
        <v>1</v>
      </c>
      <c r="K1241" s="3" t="b">
        <f>AND(F1241, J1241)</f>
        <v>0</v>
      </c>
      <c r="L1241" s="3" t="b">
        <f>AND(G1241 &lt;&gt; "plain", G1241 &lt;&gt; "")</f>
        <v>0</v>
      </c>
      <c r="M1241" s="3" t="str">
        <f>IF(E1241, C1241 &amp; "|" &amp; H1241, "")</f>
        <v>principal-process-steward|ProcedureVersions</v>
      </c>
      <c r="N1241" s="2" t="s">
        <v>9938</v>
      </c>
    </row>
    <row r="1242">
      <c r="A1242" s="2" t="s">
        <v>11178</v>
      </c>
      <c r="B1242" s="3" t="str">
        <f>C1242 &amp; " -&gt; " &amp; D1242</f>
        <v>principal-process-steward -&gt; ProcedureVersions.HasUnrehearsedControlEntry</v>
      </c>
      <c r="C1242" s="2" t="s">
        <v>9706</v>
      </c>
      <c r="D1242" s="2" t="s">
        <v>2768</v>
      </c>
      <c r="E1242" s="2" t="b">
        <v>1</v>
      </c>
      <c r="F1242" s="2" t="b">
        <v>0</v>
      </c>
      <c r="G1242" s="2" t="s">
        <v>9937</v>
      </c>
      <c r="H1242" s="3" t="str">
        <f>_xlfn.IFNA(INDEX(RulebookFields!C2:C999, MATCH(D1242,RulebookFields!A2:A999, 0)), "")</f>
        <v>ProcedureVersions</v>
      </c>
      <c r="I1242" s="3" t="str">
        <f>_xlfn.IFNA(INDEX(RulebookFields!D2:D999, MATCH(D1242,RulebookFields!A2:A999, 0)), "")</f>
        <v>HasUnrehearsedControlEntry</v>
      </c>
      <c r="J1242" s="3" t="b">
        <f>_xlfn.IFNA(INDEX(RulebookFields!I2:I999, MATCH(D1242,RulebookFields!A2:A999, 0)), "")</f>
        <v>1</v>
      </c>
      <c r="K1242" s="3" t="b">
        <f>AND(F1242, J1242)</f>
        <v>0</v>
      </c>
      <c r="L1242" s="3" t="b">
        <f>AND(G1242 &lt;&gt; "plain", G1242 &lt;&gt; "")</f>
        <v>0</v>
      </c>
      <c r="M1242" s="3" t="str">
        <f>IF(E1242, C1242 &amp; "|" &amp; H1242, "")</f>
        <v>principal-process-steward|ProcedureVersions</v>
      </c>
      <c r="N1242" s="2" t="s">
        <v>9938</v>
      </c>
    </row>
    <row r="1243">
      <c r="A1243" s="2" t="s">
        <v>11179</v>
      </c>
      <c r="B1243" s="3" t="str">
        <f>C1243 &amp; " -&gt; " &amp; D1243</f>
        <v>principal-process-steward -&gt; ProcedureVersions.IsLiveWithUnrehearsedControl</v>
      </c>
      <c r="C1243" s="2" t="s">
        <v>9706</v>
      </c>
      <c r="D1243" s="2" t="s">
        <v>2770</v>
      </c>
      <c r="E1243" s="2" t="b">
        <v>1</v>
      </c>
      <c r="F1243" s="2" t="b">
        <v>0</v>
      </c>
      <c r="G1243" s="2" t="s">
        <v>9937</v>
      </c>
      <c r="H1243" s="3" t="str">
        <f>_xlfn.IFNA(INDEX(RulebookFields!C2:C999, MATCH(D1243,RulebookFields!A2:A999, 0)), "")</f>
        <v>ProcedureVersions</v>
      </c>
      <c r="I1243" s="3" t="str">
        <f>_xlfn.IFNA(INDEX(RulebookFields!D2:D999, MATCH(D1243,RulebookFields!A2:A999, 0)), "")</f>
        <v>IsLiveWithUnrehearsedControl</v>
      </c>
      <c r="J1243" s="3" t="b">
        <f>_xlfn.IFNA(INDEX(RulebookFields!I2:I999, MATCH(D1243,RulebookFields!A2:A999, 0)), "")</f>
        <v>1</v>
      </c>
      <c r="K1243" s="3" t="b">
        <f>AND(F1243, J1243)</f>
        <v>0</v>
      </c>
      <c r="L1243" s="3" t="b">
        <f>AND(G1243 &lt;&gt; "plain", G1243 &lt;&gt; "")</f>
        <v>0</v>
      </c>
      <c r="M1243" s="3" t="str">
        <f>IF(E1243, C1243 &amp; "|" &amp; H1243, "")</f>
        <v>principal-process-steward|ProcedureVersions</v>
      </c>
      <c r="N1243" s="2" t="s">
        <v>9938</v>
      </c>
    </row>
    <row r="1244">
      <c r="A1244" s="2" t="s">
        <v>11180</v>
      </c>
      <c r="B1244" s="3" t="str">
        <f>C1244 &amp; " -&gt; " &amp; D1244</f>
        <v>principal-process-steward -&gt; ProcedureVersions.CadenceBreachCount</v>
      </c>
      <c r="C1244" s="2" t="s">
        <v>9706</v>
      </c>
      <c r="D1244" s="2" t="s">
        <v>2772</v>
      </c>
      <c r="E1244" s="2" t="b">
        <v>1</v>
      </c>
      <c r="F1244" s="2" t="b">
        <v>0</v>
      </c>
      <c r="G1244" s="2" t="s">
        <v>9937</v>
      </c>
      <c r="H1244" s="3" t="str">
        <f>_xlfn.IFNA(INDEX(RulebookFields!C2:C999, MATCH(D1244,RulebookFields!A2:A999, 0)), "")</f>
        <v>ProcedureVersions</v>
      </c>
      <c r="I1244" s="3" t="str">
        <f>_xlfn.IFNA(INDEX(RulebookFields!D2:D999, MATCH(D1244,RulebookFields!A2:A999, 0)), "")</f>
        <v>CadenceBreachCount</v>
      </c>
      <c r="J1244" s="3" t="b">
        <f>_xlfn.IFNA(INDEX(RulebookFields!I2:I999, MATCH(D1244,RulebookFields!A2:A999, 0)), "")</f>
        <v>1</v>
      </c>
      <c r="K1244" s="3" t="b">
        <f>AND(F1244, J1244)</f>
        <v>0</v>
      </c>
      <c r="L1244" s="3" t="b">
        <f>AND(G1244 &lt;&gt; "plain", G1244 &lt;&gt; "")</f>
        <v>0</v>
      </c>
      <c r="M1244" s="3" t="str">
        <f>IF(E1244, C1244 &amp; "|" &amp; H1244, "")</f>
        <v>principal-process-steward|ProcedureVersions</v>
      </c>
      <c r="N1244" s="2" t="s">
        <v>9938</v>
      </c>
    </row>
    <row r="1245">
      <c r="A1245" s="2" t="s">
        <v>11181</v>
      </c>
      <c r="B1245" s="3" t="str">
        <f>C1245 &amp; " -&gt; " &amp; D1245</f>
        <v>principal-process-steward -&gt; ProcedureVersions.IsInCadenceBreach</v>
      </c>
      <c r="C1245" s="2" t="s">
        <v>9706</v>
      </c>
      <c r="D1245" s="2" t="s">
        <v>2774</v>
      </c>
      <c r="E1245" s="2" t="b">
        <v>1</v>
      </c>
      <c r="F1245" s="2" t="b">
        <v>0</v>
      </c>
      <c r="G1245" s="2" t="s">
        <v>9937</v>
      </c>
      <c r="H1245" s="3" t="str">
        <f>_xlfn.IFNA(INDEX(RulebookFields!C2:C999, MATCH(D1245,RulebookFields!A2:A999, 0)), "")</f>
        <v>ProcedureVersions</v>
      </c>
      <c r="I1245" s="3" t="str">
        <f>_xlfn.IFNA(INDEX(RulebookFields!D2:D999, MATCH(D1245,RulebookFields!A2:A999, 0)), "")</f>
        <v>IsInCadenceBreach</v>
      </c>
      <c r="J1245" s="3" t="b">
        <f>_xlfn.IFNA(INDEX(RulebookFields!I2:I999, MATCH(D1245,RulebookFields!A2:A999, 0)), "")</f>
        <v>1</v>
      </c>
      <c r="K1245" s="3" t="b">
        <f>AND(F1245, J1245)</f>
        <v>0</v>
      </c>
      <c r="L1245" s="3" t="b">
        <f>AND(G1245 &lt;&gt; "plain", G1245 &lt;&gt; "")</f>
        <v>0</v>
      </c>
      <c r="M1245" s="3" t="str">
        <f>IF(E1245, C1245 &amp; "|" &amp; H1245, "")</f>
        <v>principal-process-steward|ProcedureVersions</v>
      </c>
      <c r="N1245" s="2" t="s">
        <v>9938</v>
      </c>
    </row>
    <row r="1246">
      <c r="A1246" s="2" t="s">
        <v>11182</v>
      </c>
      <c r="B1246" s="3" t="str">
        <f>C1246 &amp; " -&gt; " &amp; D1246</f>
        <v>principal-process-steward -&gt; ProcedureVersions.HasDecisionInFlight</v>
      </c>
      <c r="C1246" s="2" t="s">
        <v>9706</v>
      </c>
      <c r="D1246" s="2" t="s">
        <v>2776</v>
      </c>
      <c r="E1246" s="2" t="b">
        <v>1</v>
      </c>
      <c r="F1246" s="2" t="b">
        <v>0</v>
      </c>
      <c r="G1246" s="2" t="s">
        <v>9937</v>
      </c>
      <c r="H1246" s="3" t="str">
        <f>_xlfn.IFNA(INDEX(RulebookFields!C2:C999, MATCH(D1246,RulebookFields!A2:A999, 0)), "")</f>
        <v>ProcedureVersions</v>
      </c>
      <c r="I1246" s="3" t="str">
        <f>_xlfn.IFNA(INDEX(RulebookFields!D2:D999, MATCH(D1246,RulebookFields!A2:A999, 0)), "")</f>
        <v>HasDecisionInFlight</v>
      </c>
      <c r="J1246" s="3" t="b">
        <f>_xlfn.IFNA(INDEX(RulebookFields!I2:I999, MATCH(D1246,RulebookFields!A2:A999, 0)), "")</f>
        <v>1</v>
      </c>
      <c r="K1246" s="3" t="b">
        <f>AND(F1246, J1246)</f>
        <v>0</v>
      </c>
      <c r="L1246" s="3" t="b">
        <f>AND(G1246 &lt;&gt; "plain", G1246 &lt;&gt; "")</f>
        <v>0</v>
      </c>
      <c r="M1246" s="3" t="str">
        <f>IF(E1246, C1246 &amp; "|" &amp; H1246, "")</f>
        <v>principal-process-steward|ProcedureVersions</v>
      </c>
      <c r="N1246" s="2" t="s">
        <v>9938</v>
      </c>
    </row>
    <row r="1247">
      <c r="A1247" s="2" t="s">
        <v>11183</v>
      </c>
      <c r="B1247" s="3" t="str">
        <f>C1247 &amp; " -&gt; " &amp; D1247</f>
        <v>principal-process-steward -&gt; ProcedureVersions.IsUnremediatedCadenceBreach</v>
      </c>
      <c r="C1247" s="2" t="s">
        <v>9706</v>
      </c>
      <c r="D1247" s="2" t="s">
        <v>2778</v>
      </c>
      <c r="E1247" s="2" t="b">
        <v>1</v>
      </c>
      <c r="F1247" s="2" t="b">
        <v>0</v>
      </c>
      <c r="G1247" s="2" t="s">
        <v>9937</v>
      </c>
      <c r="H1247" s="3" t="str">
        <f>_xlfn.IFNA(INDEX(RulebookFields!C2:C999, MATCH(D1247,RulebookFields!A2:A999, 0)), "")</f>
        <v>ProcedureVersions</v>
      </c>
      <c r="I1247" s="3" t="str">
        <f>_xlfn.IFNA(INDEX(RulebookFields!D2:D999, MATCH(D1247,RulebookFields!A2:A999, 0)), "")</f>
        <v>IsUnremediatedCadenceBreach</v>
      </c>
      <c r="J1247" s="3" t="b">
        <f>_xlfn.IFNA(INDEX(RulebookFields!I2:I999, MATCH(D1247,RulebookFields!A2:A999, 0)), "")</f>
        <v>1</v>
      </c>
      <c r="K1247" s="3" t="b">
        <f>AND(F1247, J1247)</f>
        <v>0</v>
      </c>
      <c r="L1247" s="3" t="b">
        <f>AND(G1247 &lt;&gt; "plain", G1247 &lt;&gt; "")</f>
        <v>0</v>
      </c>
      <c r="M1247" s="3" t="str">
        <f>IF(E1247, C1247 &amp; "|" &amp; H1247, "")</f>
        <v>principal-process-steward|ProcedureVersions</v>
      </c>
      <c r="N1247" s="2" t="s">
        <v>9938</v>
      </c>
    </row>
    <row r="1248">
      <c r="A1248" s="2" t="s">
        <v>11184</v>
      </c>
      <c r="B1248" s="3" t="str">
        <f>C1248 &amp; " -&gt; " &amp; D1248</f>
        <v>principal-process-steward -&gt; ProcedureVersions.IsManagedCadenceBreach</v>
      </c>
      <c r="C1248" s="2" t="s">
        <v>9706</v>
      </c>
      <c r="D1248" s="2" t="s">
        <v>2780</v>
      </c>
      <c r="E1248" s="2" t="b">
        <v>1</v>
      </c>
      <c r="F1248" s="2" t="b">
        <v>0</v>
      </c>
      <c r="G1248" s="2" t="s">
        <v>9937</v>
      </c>
      <c r="H1248" s="3" t="str">
        <f>_xlfn.IFNA(INDEX(RulebookFields!C2:C999, MATCH(D1248,RulebookFields!A2:A999, 0)), "")</f>
        <v>ProcedureVersions</v>
      </c>
      <c r="I1248" s="3" t="str">
        <f>_xlfn.IFNA(INDEX(RulebookFields!D2:D999, MATCH(D1248,RulebookFields!A2:A999, 0)), "")</f>
        <v>IsManagedCadenceBreach</v>
      </c>
      <c r="J1248" s="3" t="b">
        <f>_xlfn.IFNA(INDEX(RulebookFields!I2:I999, MATCH(D1248,RulebookFields!A2:A999, 0)), "")</f>
        <v>1</v>
      </c>
      <c r="K1248" s="3" t="b">
        <f>AND(F1248, J1248)</f>
        <v>0</v>
      </c>
      <c r="L1248" s="3" t="b">
        <f>AND(G1248 &lt;&gt; "plain", G1248 &lt;&gt; "")</f>
        <v>0</v>
      </c>
      <c r="M1248" s="3" t="str">
        <f>IF(E1248, C1248 &amp; "|" &amp; H1248, "")</f>
        <v>principal-process-steward|ProcedureVersions</v>
      </c>
      <c r="N1248" s="2" t="s">
        <v>9938</v>
      </c>
    </row>
    <row r="1249">
      <c r="A1249" s="2" t="s">
        <v>11185</v>
      </c>
      <c r="B1249" s="3" t="str">
        <f>C1249 &amp; " -&gt; " &amp; D1249</f>
        <v>principal-process-steward -&gt; ProcedureVersions.GovernanceIsSilent</v>
      </c>
      <c r="C1249" s="2" t="s">
        <v>9706</v>
      </c>
      <c r="D1249" s="2" t="s">
        <v>2782</v>
      </c>
      <c r="E1249" s="2" t="b">
        <v>1</v>
      </c>
      <c r="F1249" s="2" t="b">
        <v>0</v>
      </c>
      <c r="G1249" s="2" t="s">
        <v>9937</v>
      </c>
      <c r="H1249" s="3" t="str">
        <f>_xlfn.IFNA(INDEX(RulebookFields!C2:C999, MATCH(D1249,RulebookFields!A2:A999, 0)), "")</f>
        <v>ProcedureVersions</v>
      </c>
      <c r="I1249" s="3" t="str">
        <f>_xlfn.IFNA(INDEX(RulebookFields!D2:D999, MATCH(D1249,RulebookFields!A2:A999, 0)), "")</f>
        <v>GovernanceIsSilent</v>
      </c>
      <c r="J1249" s="3" t="b">
        <f>_xlfn.IFNA(INDEX(RulebookFields!I2:I999, MATCH(D1249,RulebookFields!A2:A999, 0)), "")</f>
        <v>1</v>
      </c>
      <c r="K1249" s="3" t="b">
        <f>AND(F1249, J1249)</f>
        <v>0</v>
      </c>
      <c r="L1249" s="3" t="b">
        <f>AND(G1249 &lt;&gt; "plain", G1249 &lt;&gt; "")</f>
        <v>0</v>
      </c>
      <c r="M1249" s="3" t="str">
        <f>IF(E1249, C1249 &amp; "|" &amp; H1249, "")</f>
        <v>principal-process-steward|ProcedureVersions</v>
      </c>
      <c r="N1249" s="2" t="s">
        <v>9938</v>
      </c>
    </row>
    <row r="1250">
      <c r="A1250" s="2" t="s">
        <v>11186</v>
      </c>
      <c r="B1250" s="3" t="str">
        <f>C1250 &amp; " -&gt; " &amp; D1250</f>
        <v>principal-process-steward -&gt; ProcedureVersions.ValidFragmentCount</v>
      </c>
      <c r="C1250" s="2" t="s">
        <v>9706</v>
      </c>
      <c r="D1250" s="2" t="s">
        <v>2784</v>
      </c>
      <c r="E1250" s="2" t="b">
        <v>1</v>
      </c>
      <c r="F1250" s="2" t="b">
        <v>0</v>
      </c>
      <c r="G1250" s="2" t="s">
        <v>9937</v>
      </c>
      <c r="H1250" s="3" t="str">
        <f>_xlfn.IFNA(INDEX(RulebookFields!C2:C999, MATCH(D1250,RulebookFields!A2:A999, 0)), "")</f>
        <v>ProcedureVersions</v>
      </c>
      <c r="I1250" s="3" t="str">
        <f>_xlfn.IFNA(INDEX(RulebookFields!D2:D999, MATCH(D1250,RulebookFields!A2:A999, 0)), "")</f>
        <v>ValidFragmentCount</v>
      </c>
      <c r="J1250" s="3" t="b">
        <f>_xlfn.IFNA(INDEX(RulebookFields!I2:I999, MATCH(D1250,RulebookFields!A2:A999, 0)), "")</f>
        <v>1</v>
      </c>
      <c r="K1250" s="3" t="b">
        <f>AND(F1250, J1250)</f>
        <v>0</v>
      </c>
      <c r="L1250" s="3" t="b">
        <f>AND(G1250 &lt;&gt; "plain", G1250 &lt;&gt; "")</f>
        <v>0</v>
      </c>
      <c r="M1250" s="3" t="str">
        <f>IF(E1250, C1250 &amp; "|" &amp; H1250, "")</f>
        <v>principal-process-steward|ProcedureVersions</v>
      </c>
      <c r="N1250" s="2" t="s">
        <v>9938</v>
      </c>
    </row>
    <row r="1251">
      <c r="A1251" s="2" t="s">
        <v>11187</v>
      </c>
      <c r="B1251" s="3" t="str">
        <f>C1251 &amp; " -&gt; " &amp; D1251</f>
        <v>principal-process-steward -&gt; ProcedureVersions.StillOwnsValidKnowledge</v>
      </c>
      <c r="C1251" s="2" t="s">
        <v>9706</v>
      </c>
      <c r="D1251" s="2" t="s">
        <v>2786</v>
      </c>
      <c r="E1251" s="2" t="b">
        <v>1</v>
      </c>
      <c r="F1251" s="2" t="b">
        <v>0</v>
      </c>
      <c r="G1251" s="2" t="s">
        <v>9937</v>
      </c>
      <c r="H1251" s="3" t="str">
        <f>_xlfn.IFNA(INDEX(RulebookFields!C2:C999, MATCH(D1251,RulebookFields!A2:A999, 0)), "")</f>
        <v>ProcedureVersions</v>
      </c>
      <c r="I1251" s="3" t="str">
        <f>_xlfn.IFNA(INDEX(RulebookFields!D2:D999, MATCH(D1251,RulebookFields!A2:A999, 0)), "")</f>
        <v>StillOwnsValidKnowledge</v>
      </c>
      <c r="J1251" s="3" t="b">
        <f>_xlfn.IFNA(INDEX(RulebookFields!I2:I999, MATCH(D1251,RulebookFields!A2:A999, 0)), "")</f>
        <v>1</v>
      </c>
      <c r="K1251" s="3" t="b">
        <f>AND(F1251, J1251)</f>
        <v>0</v>
      </c>
      <c r="L1251" s="3" t="b">
        <f>AND(G1251 &lt;&gt; "plain", G1251 &lt;&gt; "")</f>
        <v>0</v>
      </c>
      <c r="M1251" s="3" t="str">
        <f>IF(E1251, C1251 &amp; "|" &amp; H1251, "")</f>
        <v>principal-process-steward|ProcedureVersions</v>
      </c>
      <c r="N1251" s="2" t="s">
        <v>9938</v>
      </c>
    </row>
    <row r="1252">
      <c r="A1252" s="2" t="s">
        <v>11188</v>
      </c>
      <c r="B1252" s="3" t="str">
        <f>C1252 &amp; " -&gt; " &amp; D1252</f>
        <v>principal-process-steward -&gt; ProcedureVersions.IncomingSupersessionCount</v>
      </c>
      <c r="C1252" s="2" t="s">
        <v>9706</v>
      </c>
      <c r="D1252" s="2" t="s">
        <v>2788</v>
      </c>
      <c r="E1252" s="2" t="b">
        <v>1</v>
      </c>
      <c r="F1252" s="2" t="b">
        <v>0</v>
      </c>
      <c r="G1252" s="2" t="s">
        <v>9937</v>
      </c>
      <c r="H1252" s="3" t="str">
        <f>_xlfn.IFNA(INDEX(RulebookFields!C2:C999, MATCH(D1252,RulebookFields!A2:A999, 0)), "")</f>
        <v>ProcedureVersions</v>
      </c>
      <c r="I1252" s="3" t="str">
        <f>_xlfn.IFNA(INDEX(RulebookFields!D2:D999, MATCH(D1252,RulebookFields!A2:A999, 0)), "")</f>
        <v>IncomingSupersessionCount</v>
      </c>
      <c r="J1252" s="3" t="b">
        <f>_xlfn.IFNA(INDEX(RulebookFields!I2:I999, MATCH(D1252,RulebookFields!A2:A999, 0)), "")</f>
        <v>1</v>
      </c>
      <c r="K1252" s="3" t="b">
        <f>AND(F1252, J1252)</f>
        <v>0</v>
      </c>
      <c r="L1252" s="3" t="b">
        <f>AND(G1252 &lt;&gt; "plain", G1252 &lt;&gt; "")</f>
        <v>0</v>
      </c>
      <c r="M1252" s="3" t="str">
        <f>IF(E1252, C1252 &amp; "|" &amp; H1252, "")</f>
        <v>principal-process-steward|ProcedureVersions</v>
      </c>
      <c r="N1252" s="2" t="s">
        <v>9938</v>
      </c>
    </row>
    <row r="1253">
      <c r="A1253" s="2" t="s">
        <v>11189</v>
      </c>
      <c r="B1253" s="3" t="str">
        <f>C1253 &amp; " -&gt; " &amp; D1253</f>
        <v>principal-process-steward -&gt; ProcedureVersions.IsStillReferenced</v>
      </c>
      <c r="C1253" s="2" t="s">
        <v>9706</v>
      </c>
      <c r="D1253" s="2" t="s">
        <v>2790</v>
      </c>
      <c r="E1253" s="2" t="b">
        <v>1</v>
      </c>
      <c r="F1253" s="2" t="b">
        <v>0</v>
      </c>
      <c r="G1253" s="2" t="s">
        <v>9937</v>
      </c>
      <c r="H1253" s="3" t="str">
        <f>_xlfn.IFNA(INDEX(RulebookFields!C2:C999, MATCH(D1253,RulebookFields!A2:A999, 0)), "")</f>
        <v>ProcedureVersions</v>
      </c>
      <c r="I1253" s="3" t="str">
        <f>_xlfn.IFNA(INDEX(RulebookFields!D2:D999, MATCH(D1253,RulebookFields!A2:A999, 0)), "")</f>
        <v>IsStillReferenced</v>
      </c>
      <c r="J1253" s="3" t="b">
        <f>_xlfn.IFNA(INDEX(RulebookFields!I2:I999, MATCH(D1253,RulebookFields!A2:A999, 0)), "")</f>
        <v>1</v>
      </c>
      <c r="K1253" s="3" t="b">
        <f>AND(F1253, J1253)</f>
        <v>0</v>
      </c>
      <c r="L1253" s="3" t="b">
        <f>AND(G1253 &lt;&gt; "plain", G1253 &lt;&gt; "")</f>
        <v>0</v>
      </c>
      <c r="M1253" s="3" t="str">
        <f>IF(E1253, C1253 &amp; "|" &amp; H1253, "")</f>
        <v>principal-process-steward|ProcedureVersions</v>
      </c>
      <c r="N1253" s="2" t="s">
        <v>9938</v>
      </c>
    </row>
    <row r="1254">
      <c r="A1254" s="2" t="s">
        <v>11190</v>
      </c>
      <c r="B1254" s="3" t="str">
        <f>C1254 &amp; " -&gt; " &amp; D1254</f>
        <v>principal-process-steward -&gt; ProcedureVersions.IsLoadBearingOrphan</v>
      </c>
      <c r="C1254" s="2" t="s">
        <v>9706</v>
      </c>
      <c r="D1254" s="2" t="s">
        <v>2792</v>
      </c>
      <c r="E1254" s="2" t="b">
        <v>1</v>
      </c>
      <c r="F1254" s="2" t="b">
        <v>0</v>
      </c>
      <c r="G1254" s="2" t="s">
        <v>9937</v>
      </c>
      <c r="H1254" s="3" t="str">
        <f>_xlfn.IFNA(INDEX(RulebookFields!C2:C999, MATCH(D1254,RulebookFields!A2:A999, 0)), "")</f>
        <v>ProcedureVersions</v>
      </c>
      <c r="I1254" s="3" t="str">
        <f>_xlfn.IFNA(INDEX(RulebookFields!D2:D999, MATCH(D1254,RulebookFields!A2:A999, 0)), "")</f>
        <v>IsLoadBearingOrphan</v>
      </c>
      <c r="J1254" s="3" t="b">
        <f>_xlfn.IFNA(INDEX(RulebookFields!I2:I999, MATCH(D1254,RulebookFields!A2:A999, 0)), "")</f>
        <v>1</v>
      </c>
      <c r="K1254" s="3" t="b">
        <f>AND(F1254, J1254)</f>
        <v>0</v>
      </c>
      <c r="L1254" s="3" t="b">
        <f>AND(G1254 &lt;&gt; "plain", G1254 &lt;&gt; "")</f>
        <v>0</v>
      </c>
      <c r="M1254" s="3" t="str">
        <f>IF(E1254, C1254 &amp; "|" &amp; H1254, "")</f>
        <v>principal-process-steward|ProcedureVersions</v>
      </c>
      <c r="N1254" s="2" t="s">
        <v>9938</v>
      </c>
    </row>
    <row r="1255">
      <c r="A1255" s="2" t="s">
        <v>11191</v>
      </c>
      <c r="B1255" s="3" t="str">
        <f>C1255 &amp; " -&gt; " &amp; D1255</f>
        <v>principal-process-steward -&gt; ProcedureVersions.IsCleanlyRetired</v>
      </c>
      <c r="C1255" s="2" t="s">
        <v>9706</v>
      </c>
      <c r="D1255" s="2" t="s">
        <v>2794</v>
      </c>
      <c r="E1255" s="2" t="b">
        <v>1</v>
      </c>
      <c r="F1255" s="2" t="b">
        <v>0</v>
      </c>
      <c r="G1255" s="2" t="s">
        <v>9937</v>
      </c>
      <c r="H1255" s="3" t="str">
        <f>_xlfn.IFNA(INDEX(RulebookFields!C2:C999, MATCH(D1255,RulebookFields!A2:A999, 0)), "")</f>
        <v>ProcedureVersions</v>
      </c>
      <c r="I1255" s="3" t="str">
        <f>_xlfn.IFNA(INDEX(RulebookFields!D2:D999, MATCH(D1255,RulebookFields!A2:A999, 0)), "")</f>
        <v>IsCleanlyRetired</v>
      </c>
      <c r="J1255" s="3" t="b">
        <f>_xlfn.IFNA(INDEX(RulebookFields!I2:I999, MATCH(D1255,RulebookFields!A2:A999, 0)), "")</f>
        <v>1</v>
      </c>
      <c r="K1255" s="3" t="b">
        <f>AND(F1255, J1255)</f>
        <v>0</v>
      </c>
      <c r="L1255" s="3" t="b">
        <f>AND(G1255 &lt;&gt; "plain", G1255 &lt;&gt; "")</f>
        <v>0</v>
      </c>
      <c r="M1255" s="3" t="str">
        <f>IF(E1255, C1255 &amp; "|" &amp; H1255, "")</f>
        <v>principal-process-steward|ProcedureVersions</v>
      </c>
      <c r="N1255" s="2" t="s">
        <v>9938</v>
      </c>
    </row>
    <row r="1256">
      <c r="A1256" s="2" t="s">
        <v>11192</v>
      </c>
      <c r="B1256" s="3" t="str">
        <f>C1256 &amp; " -&gt; " &amp; D1256</f>
        <v>principal-process-steward -&gt; ProcedureVersions.StalledImplementationCount</v>
      </c>
      <c r="C1256" s="2" t="s">
        <v>9706</v>
      </c>
      <c r="D1256" s="2" t="s">
        <v>2796</v>
      </c>
      <c r="E1256" s="2" t="b">
        <v>1</v>
      </c>
      <c r="F1256" s="2" t="b">
        <v>0</v>
      </c>
      <c r="G1256" s="2" t="s">
        <v>9937</v>
      </c>
      <c r="H1256" s="3" t="str">
        <f>_xlfn.IFNA(INDEX(RulebookFields!C2:C999, MATCH(D1256,RulebookFields!A2:A999, 0)), "")</f>
        <v>ProcedureVersions</v>
      </c>
      <c r="I1256" s="3" t="str">
        <f>_xlfn.IFNA(INDEX(RulebookFields!D2:D999, MATCH(D1256,RulebookFields!A2:A999, 0)), "")</f>
        <v>StalledImplementationCount</v>
      </c>
      <c r="J1256" s="3" t="b">
        <f>_xlfn.IFNA(INDEX(RulebookFields!I2:I999, MATCH(D1256,RulebookFields!A2:A999, 0)), "")</f>
        <v>1</v>
      </c>
      <c r="K1256" s="3" t="b">
        <f>AND(F1256, J1256)</f>
        <v>0</v>
      </c>
      <c r="L1256" s="3" t="b">
        <f>AND(G1256 &lt;&gt; "plain", G1256 &lt;&gt; "")</f>
        <v>0</v>
      </c>
      <c r="M1256" s="3" t="str">
        <f>IF(E1256, C1256 &amp; "|" &amp; H1256, "")</f>
        <v>principal-process-steward|ProcedureVersions</v>
      </c>
      <c r="N1256" s="2" t="s">
        <v>9938</v>
      </c>
    </row>
    <row r="1257">
      <c r="A1257" s="2" t="s">
        <v>11193</v>
      </c>
      <c r="B1257" s="3" t="str">
        <f>C1257 &amp; " -&gt; " &amp; D1257</f>
        <v>principal-process-steward -&gt; ProcedureVersions.IsHeldUnfitByLandedDecisions</v>
      </c>
      <c r="C1257" s="2" t="s">
        <v>9706</v>
      </c>
      <c r="D1257" s="2" t="s">
        <v>2798</v>
      </c>
      <c r="E1257" s="2" t="b">
        <v>1</v>
      </c>
      <c r="F1257" s="2" t="b">
        <v>0</v>
      </c>
      <c r="G1257" s="2" t="s">
        <v>9937</v>
      </c>
      <c r="H1257" s="3" t="str">
        <f>_xlfn.IFNA(INDEX(RulebookFields!C2:C999, MATCH(D1257,RulebookFields!A2:A999, 0)), "")</f>
        <v>ProcedureVersions</v>
      </c>
      <c r="I1257" s="3" t="str">
        <f>_xlfn.IFNA(INDEX(RulebookFields!D2:D999, MATCH(D1257,RulebookFields!A2:A999, 0)), "")</f>
        <v>IsHeldUnfitByLandedDecisions</v>
      </c>
      <c r="J1257" s="3" t="b">
        <f>_xlfn.IFNA(INDEX(RulebookFields!I2:I999, MATCH(D1257,RulebookFields!A2:A999, 0)), "")</f>
        <v>1</v>
      </c>
      <c r="K1257" s="3" t="b">
        <f>AND(F1257, J1257)</f>
        <v>0</v>
      </c>
      <c r="L1257" s="3" t="b">
        <f>AND(G1257 &lt;&gt; "plain", G1257 &lt;&gt; "")</f>
        <v>0</v>
      </c>
      <c r="M1257" s="3" t="str">
        <f>IF(E1257, C1257 &amp; "|" &amp; H1257, "")</f>
        <v>principal-process-steward|ProcedureVersions</v>
      </c>
      <c r="N1257" s="2" t="s">
        <v>9938</v>
      </c>
    </row>
    <row r="1258">
      <c r="A1258" s="2" t="s">
        <v>11194</v>
      </c>
      <c r="B1258" s="3" t="str">
        <f>C1258 &amp; " -&gt; " &amp; D1258</f>
        <v>principal-process-steward -&gt; ProcedureVersions.UndeclaredControlKindCount</v>
      </c>
      <c r="C1258" s="2" t="s">
        <v>9706</v>
      </c>
      <c r="D1258" s="2" t="s">
        <v>2800</v>
      </c>
      <c r="E1258" s="2" t="b">
        <v>1</v>
      </c>
      <c r="F1258" s="2" t="b">
        <v>0</v>
      </c>
      <c r="G1258" s="2" t="s">
        <v>9937</v>
      </c>
      <c r="H1258" s="3" t="str">
        <f>_xlfn.IFNA(INDEX(RulebookFields!C2:C999, MATCH(D1258,RulebookFields!A2:A999, 0)), "")</f>
        <v>ProcedureVersions</v>
      </c>
      <c r="I1258" s="3" t="str">
        <f>_xlfn.IFNA(INDEX(RulebookFields!D2:D999, MATCH(D1258,RulebookFields!A2:A999, 0)), "")</f>
        <v>UndeclaredControlKindCount</v>
      </c>
      <c r="J1258" s="3" t="b">
        <f>_xlfn.IFNA(INDEX(RulebookFields!I2:I999, MATCH(D1258,RulebookFields!A2:A999, 0)), "")</f>
        <v>1</v>
      </c>
      <c r="K1258" s="3" t="b">
        <f>AND(F1258, J1258)</f>
        <v>0</v>
      </c>
      <c r="L1258" s="3" t="b">
        <f>AND(G1258 &lt;&gt; "plain", G1258 &lt;&gt; "")</f>
        <v>0</v>
      </c>
      <c r="M1258" s="3" t="str">
        <f>IF(E1258, C1258 &amp; "|" &amp; H1258, "")</f>
        <v>principal-process-steward|ProcedureVersions</v>
      </c>
      <c r="N1258" s="2" t="s">
        <v>9938</v>
      </c>
    </row>
    <row r="1259">
      <c r="A1259" s="2" t="s">
        <v>11195</v>
      </c>
      <c r="B1259" s="3" t="str">
        <f>C1259 &amp; " -&gt; " &amp; D1259</f>
        <v>principal-process-steward -&gt; ProcedureVersions.ControlTaxonomyIsIncomplete</v>
      </c>
      <c r="C1259" s="2" t="s">
        <v>9706</v>
      </c>
      <c r="D1259" s="2" t="s">
        <v>2802</v>
      </c>
      <c r="E1259" s="2" t="b">
        <v>1</v>
      </c>
      <c r="F1259" s="2" t="b">
        <v>0</v>
      </c>
      <c r="G1259" s="2" t="s">
        <v>9937</v>
      </c>
      <c r="H1259" s="3" t="str">
        <f>_xlfn.IFNA(INDEX(RulebookFields!C2:C999, MATCH(D1259,RulebookFields!A2:A999, 0)), "")</f>
        <v>ProcedureVersions</v>
      </c>
      <c r="I1259" s="3" t="str">
        <f>_xlfn.IFNA(INDEX(RulebookFields!D2:D999, MATCH(D1259,RulebookFields!A2:A999, 0)), "")</f>
        <v>ControlTaxonomyIsIncomplete</v>
      </c>
      <c r="J1259" s="3" t="b">
        <f>_xlfn.IFNA(INDEX(RulebookFields!I2:I999, MATCH(D1259,RulebookFields!A2:A999, 0)), "")</f>
        <v>1</v>
      </c>
      <c r="K1259" s="3" t="b">
        <f>AND(F1259, J1259)</f>
        <v>0</v>
      </c>
      <c r="L1259" s="3" t="b">
        <f>AND(G1259 &lt;&gt; "plain", G1259 &lt;&gt; "")</f>
        <v>0</v>
      </c>
      <c r="M1259" s="3" t="str">
        <f>IF(E1259, C1259 &amp; "|" &amp; H1259, "")</f>
        <v>principal-process-steward|ProcedureVersions</v>
      </c>
      <c r="N1259" s="2" t="s">
        <v>9938</v>
      </c>
    </row>
    <row r="1260">
      <c r="A1260" s="2" t="s">
        <v>11196</v>
      </c>
      <c r="B1260" s="3" t="str">
        <f>C1260 &amp; " -&gt; " &amp; D1260</f>
        <v>principal-process-steward -&gt; ProcedureVersions.HasApprovedChangeRequest</v>
      </c>
      <c r="C1260" s="2" t="s">
        <v>9706</v>
      </c>
      <c r="D1260" s="2" t="s">
        <v>2804</v>
      </c>
      <c r="E1260" s="2" t="b">
        <v>1</v>
      </c>
      <c r="F1260" s="2" t="b">
        <v>0</v>
      </c>
      <c r="G1260" s="2" t="s">
        <v>9937</v>
      </c>
      <c r="H1260" s="3" t="str">
        <f>_xlfn.IFNA(INDEX(RulebookFields!C2:C999, MATCH(D1260,RulebookFields!A2:A999, 0)), "")</f>
        <v>ProcedureVersions</v>
      </c>
      <c r="I1260" s="3" t="str">
        <f>_xlfn.IFNA(INDEX(RulebookFields!D2:D999, MATCH(D1260,RulebookFields!A2:A999, 0)), "")</f>
        <v>HasApprovedChangeRequest</v>
      </c>
      <c r="J1260" s="3" t="b">
        <f>_xlfn.IFNA(INDEX(RulebookFields!I2:I999, MATCH(D1260,RulebookFields!A2:A999, 0)), "")</f>
        <v>1</v>
      </c>
      <c r="K1260" s="3" t="b">
        <f>AND(F1260, J1260)</f>
        <v>0</v>
      </c>
      <c r="L1260" s="3" t="b">
        <f>AND(G1260 &lt;&gt; "plain", G1260 &lt;&gt; "")</f>
        <v>0</v>
      </c>
      <c r="M1260" s="3" t="str">
        <f>IF(E1260, C1260 &amp; "|" &amp; H1260, "")</f>
        <v>principal-process-steward|ProcedureVersions</v>
      </c>
      <c r="N1260" s="2" t="s">
        <v>9938</v>
      </c>
    </row>
    <row r="1261">
      <c r="A1261" s="2" t="s">
        <v>11197</v>
      </c>
      <c r="B1261" s="3" t="str">
        <f>C1261 &amp; " -&gt; " &amp; D1261</f>
        <v>principal-process-steward -&gt; ProcedureVersions.ApprovedChangeRequestCount</v>
      </c>
      <c r="C1261" s="2" t="s">
        <v>9706</v>
      </c>
      <c r="D1261" s="2" t="s">
        <v>2806</v>
      </c>
      <c r="E1261" s="2" t="b">
        <v>1</v>
      </c>
      <c r="F1261" s="2" t="b">
        <v>0</v>
      </c>
      <c r="G1261" s="2" t="s">
        <v>9937</v>
      </c>
      <c r="H1261" s="3" t="str">
        <f>_xlfn.IFNA(INDEX(RulebookFields!C2:C999, MATCH(D1261,RulebookFields!A2:A999, 0)), "")</f>
        <v>ProcedureVersions</v>
      </c>
      <c r="I1261" s="3" t="str">
        <f>_xlfn.IFNA(INDEX(RulebookFields!D2:D999, MATCH(D1261,RulebookFields!A2:A999, 0)), "")</f>
        <v>ApprovedChangeRequestCount</v>
      </c>
      <c r="J1261" s="3" t="b">
        <f>_xlfn.IFNA(INDEX(RulebookFields!I2:I999, MATCH(D1261,RulebookFields!A2:A999, 0)), "")</f>
        <v>1</v>
      </c>
      <c r="K1261" s="3" t="b">
        <f>AND(F1261, J1261)</f>
        <v>0</v>
      </c>
      <c r="L1261" s="3" t="b">
        <f>AND(G1261 &lt;&gt; "plain", G1261 &lt;&gt; "")</f>
        <v>0</v>
      </c>
      <c r="M1261" s="3" t="str">
        <f>IF(E1261, C1261 &amp; "|" &amp; H1261, "")</f>
        <v>principal-process-steward|ProcedureVersions</v>
      </c>
      <c r="N1261" s="2" t="s">
        <v>9938</v>
      </c>
    </row>
    <row r="1262">
      <c r="A1262" s="2" t="s">
        <v>11198</v>
      </c>
      <c r="B1262" s="3" t="str">
        <f>C1262 &amp; " -&gt; " &amp; D1262</f>
        <v>principal-process-steward -&gt; ProcedureVersions.UnwatchedUnownedControlCount</v>
      </c>
      <c r="C1262" s="2" t="s">
        <v>9706</v>
      </c>
      <c r="D1262" s="2" t="s">
        <v>2808</v>
      </c>
      <c r="E1262" s="2" t="b">
        <v>1</v>
      </c>
      <c r="F1262" s="2" t="b">
        <v>0</v>
      </c>
      <c r="G1262" s="2" t="s">
        <v>9937</v>
      </c>
      <c r="H1262" s="3" t="str">
        <f>_xlfn.IFNA(INDEX(RulebookFields!C2:C999, MATCH(D1262,RulebookFields!A2:A999, 0)), "")</f>
        <v>ProcedureVersions</v>
      </c>
      <c r="I1262" s="3" t="str">
        <f>_xlfn.IFNA(INDEX(RulebookFields!D2:D999, MATCH(D1262,RulebookFields!A2:A999, 0)), "")</f>
        <v>UnwatchedUnownedControlCount</v>
      </c>
      <c r="J1262" s="3" t="b">
        <f>_xlfn.IFNA(INDEX(RulebookFields!I2:I999, MATCH(D1262,RulebookFields!A2:A999, 0)), "")</f>
        <v>1</v>
      </c>
      <c r="K1262" s="3" t="b">
        <f>AND(F1262, J1262)</f>
        <v>0</v>
      </c>
      <c r="L1262" s="3" t="b">
        <f>AND(G1262 &lt;&gt; "plain", G1262 &lt;&gt; "")</f>
        <v>0</v>
      </c>
      <c r="M1262" s="3" t="str">
        <f>IF(E1262, C1262 &amp; "|" &amp; H1262, "")</f>
        <v>principal-process-steward|ProcedureVersions</v>
      </c>
      <c r="N1262" s="2" t="s">
        <v>9938</v>
      </c>
    </row>
    <row r="1263">
      <c r="A1263" s="2" t="s">
        <v>11199</v>
      </c>
      <c r="B1263" s="3" t="str">
        <f>C1263 &amp; " -&gt; " &amp; D1263</f>
        <v>principal-process-steward -&gt; ProcedureVersions.SemanticTypeIri</v>
      </c>
      <c r="C1263" s="2" t="s">
        <v>9706</v>
      </c>
      <c r="D1263" s="2" t="s">
        <v>2816</v>
      </c>
      <c r="E1263" s="2" t="b">
        <v>1</v>
      </c>
      <c r="F1263" s="2" t="b">
        <v>0</v>
      </c>
      <c r="G1263" s="2" t="s">
        <v>9937</v>
      </c>
      <c r="H1263" s="3" t="str">
        <f>_xlfn.IFNA(INDEX(RulebookFields!C2:C999, MATCH(D1263,RulebookFields!A2:A999, 0)), "")</f>
        <v>ProcedureVersions</v>
      </c>
      <c r="I1263" s="3" t="str">
        <f>_xlfn.IFNA(INDEX(RulebookFields!D2:D999, MATCH(D1263,RulebookFields!A2:A999, 0)), "")</f>
        <v>SemanticTypeIri</v>
      </c>
      <c r="J1263" s="3" t="b">
        <f>_xlfn.IFNA(INDEX(RulebookFields!I2:I999, MATCH(D1263,RulebookFields!A2:A999, 0)), "")</f>
        <v>0</v>
      </c>
      <c r="K1263" s="3" t="b">
        <f>AND(F1263, J1263)</f>
        <v>0</v>
      </c>
      <c r="L1263" s="3" t="b">
        <f>AND(G1263 &lt;&gt; "plain", G1263 &lt;&gt; "")</f>
        <v>0</v>
      </c>
      <c r="M1263" s="3" t="str">
        <f>IF(E1263, C1263 &amp; "|" &amp; H1263, "")</f>
        <v>principal-process-steward|ProcedureVersions</v>
      </c>
      <c r="N1263" s="2" t="s">
        <v>9938</v>
      </c>
    </row>
    <row r="1264">
      <c r="A1264" s="2" t="s">
        <v>11200</v>
      </c>
      <c r="B1264" s="3" t="str">
        <f>C1264 &amp; " -&gt; " &amp; D1264</f>
        <v>principal-process-steward -&gt; Procedures.ProcedureId</v>
      </c>
      <c r="C1264" s="2" t="s">
        <v>9706</v>
      </c>
      <c r="D1264" s="2" t="s">
        <v>2650</v>
      </c>
      <c r="E1264" s="2" t="b">
        <v>1</v>
      </c>
      <c r="F1264" s="2" t="b">
        <v>0</v>
      </c>
      <c r="G1264" s="2" t="s">
        <v>9937</v>
      </c>
      <c r="H1264" s="3" t="str">
        <f>_xlfn.IFNA(INDEX(RulebookFields!C2:C999, MATCH(D1264,RulebookFields!A2:A999, 0)), "")</f>
        <v>Procedures</v>
      </c>
      <c r="I1264" s="3" t="str">
        <f>_xlfn.IFNA(INDEX(RulebookFields!D2:D999, MATCH(D1264,RulebookFields!A2:A999, 0)), "")</f>
        <v>ProcedureId</v>
      </c>
      <c r="J1264" s="3" t="b">
        <f>_xlfn.IFNA(INDEX(RulebookFields!I2:I999, MATCH(D1264,RulebookFields!A2:A999, 0)), "")</f>
        <v>0</v>
      </c>
      <c r="K1264" s="3" t="b">
        <f>AND(F1264, J1264)</f>
        <v>0</v>
      </c>
      <c r="L1264" s="3" t="b">
        <f>AND(G1264 &lt;&gt; "plain", G1264 &lt;&gt; "")</f>
        <v>0</v>
      </c>
      <c r="M1264" s="3" t="str">
        <f>IF(E1264, C1264 &amp; "|" &amp; H1264, "")</f>
        <v>principal-process-steward|Procedures</v>
      </c>
      <c r="N1264" s="2" t="s">
        <v>9938</v>
      </c>
    </row>
    <row r="1265">
      <c r="A1265" s="2" t="s">
        <v>11201</v>
      </c>
      <c r="B1265" s="3" t="str">
        <f>C1265 &amp; " -&gt; " &amp; D1265</f>
        <v>principal-process-steward -&gt; Procedures.Name</v>
      </c>
      <c r="C1265" s="2" t="s">
        <v>9706</v>
      </c>
      <c r="D1265" s="2" t="s">
        <v>2651</v>
      </c>
      <c r="E1265" s="2" t="b">
        <v>1</v>
      </c>
      <c r="F1265" s="2" t="b">
        <v>0</v>
      </c>
      <c r="G1265" s="2" t="s">
        <v>9937</v>
      </c>
      <c r="H1265" s="3" t="str">
        <f>_xlfn.IFNA(INDEX(RulebookFields!C2:C999, MATCH(D1265,RulebookFields!A2:A999, 0)), "")</f>
        <v>Procedures</v>
      </c>
      <c r="I1265" s="3" t="str">
        <f>_xlfn.IFNA(INDEX(RulebookFields!D2:D999, MATCH(D1265,RulebookFields!A2:A999, 0)), "")</f>
        <v>Name</v>
      </c>
      <c r="J1265" s="3" t="b">
        <f>_xlfn.IFNA(INDEX(RulebookFields!I2:I999, MATCH(D1265,RulebookFields!A2:A999, 0)), "")</f>
        <v>1</v>
      </c>
      <c r="K1265" s="3" t="b">
        <f>AND(F1265, J1265)</f>
        <v>0</v>
      </c>
      <c r="L1265" s="3" t="b">
        <f>AND(G1265 &lt;&gt; "plain", G1265 &lt;&gt; "")</f>
        <v>0</v>
      </c>
      <c r="M1265" s="3" t="str">
        <f>IF(E1265, C1265 &amp; "|" &amp; H1265, "")</f>
        <v>principal-process-steward|Procedures</v>
      </c>
      <c r="N1265" s="2" t="s">
        <v>9938</v>
      </c>
    </row>
    <row r="1266">
      <c r="A1266" s="2" t="s">
        <v>11202</v>
      </c>
      <c r="B1266" s="3" t="str">
        <f>C1266 &amp; " -&gt; " &amp; D1266</f>
        <v>principal-process-steward -&gt; Procedures.Title</v>
      </c>
      <c r="C1266" s="2" t="s">
        <v>9706</v>
      </c>
      <c r="D1266" s="2" t="s">
        <v>2653</v>
      </c>
      <c r="E1266" s="2" t="b">
        <v>1</v>
      </c>
      <c r="F1266" s="2" t="b">
        <v>0</v>
      </c>
      <c r="G1266" s="2" t="s">
        <v>9937</v>
      </c>
      <c r="H1266" s="3" t="str">
        <f>_xlfn.IFNA(INDEX(RulebookFields!C2:C999, MATCH(D1266,RulebookFields!A2:A999, 0)), "")</f>
        <v>Procedures</v>
      </c>
      <c r="I1266" s="3" t="str">
        <f>_xlfn.IFNA(INDEX(RulebookFields!D2:D999, MATCH(D1266,RulebookFields!A2:A999, 0)), "")</f>
        <v>Title</v>
      </c>
      <c r="J1266" s="3" t="b">
        <f>_xlfn.IFNA(INDEX(RulebookFields!I2:I999, MATCH(D1266,RulebookFields!A2:A999, 0)), "")</f>
        <v>0</v>
      </c>
      <c r="K1266" s="3" t="b">
        <f>AND(F1266, J1266)</f>
        <v>0</v>
      </c>
      <c r="L1266" s="3" t="b">
        <f>AND(G1266 &lt;&gt; "plain", G1266 &lt;&gt; "")</f>
        <v>0</v>
      </c>
      <c r="M1266" s="3" t="str">
        <f>IF(E1266, C1266 &amp; "|" &amp; H1266, "")</f>
        <v>principal-process-steward|Procedures</v>
      </c>
      <c r="N1266" s="2" t="s">
        <v>9938</v>
      </c>
    </row>
    <row r="1267">
      <c r="A1267" s="2" t="s">
        <v>11203</v>
      </c>
      <c r="B1267" s="3" t="str">
        <f>C1267 &amp; " -&gt; " &amp; D1267</f>
        <v>principal-process-steward -&gt; Procedures.ProcedureType</v>
      </c>
      <c r="C1267" s="2" t="s">
        <v>9706</v>
      </c>
      <c r="D1267" s="2" t="s">
        <v>2654</v>
      </c>
      <c r="E1267" s="2" t="b">
        <v>1</v>
      </c>
      <c r="F1267" s="2" t="b">
        <v>0</v>
      </c>
      <c r="G1267" s="2" t="s">
        <v>9937</v>
      </c>
      <c r="H1267" s="3" t="str">
        <f>_xlfn.IFNA(INDEX(RulebookFields!C2:C999, MATCH(D1267,RulebookFields!A2:A999, 0)), "")</f>
        <v>Procedures</v>
      </c>
      <c r="I1267" s="3" t="str">
        <f>_xlfn.IFNA(INDEX(RulebookFields!D2:D999, MATCH(D1267,RulebookFields!A2:A999, 0)), "")</f>
        <v>ProcedureType</v>
      </c>
      <c r="J1267" s="3" t="b">
        <f>_xlfn.IFNA(INDEX(RulebookFields!I2:I999, MATCH(D1267,RulebookFields!A2:A999, 0)), "")</f>
        <v>0</v>
      </c>
      <c r="K1267" s="3" t="b">
        <f>AND(F1267, J1267)</f>
        <v>0</v>
      </c>
      <c r="L1267" s="3" t="b">
        <f>AND(G1267 &lt;&gt; "plain", G1267 &lt;&gt; "")</f>
        <v>0</v>
      </c>
      <c r="M1267" s="3" t="str">
        <f>IF(E1267, C1267 &amp; "|" &amp; H1267, "")</f>
        <v>principal-process-steward|Procedures</v>
      </c>
      <c r="N1267" s="2" t="s">
        <v>9938</v>
      </c>
    </row>
    <row r="1268">
      <c r="A1268" s="2" t="s">
        <v>11204</v>
      </c>
      <c r="B1268" s="3" t="str">
        <f>C1268 &amp; " -&gt; " &amp; D1268</f>
        <v>principal-process-steward -&gt; Procedures.OwnerOrganization</v>
      </c>
      <c r="C1268" s="2" t="s">
        <v>9706</v>
      </c>
      <c r="D1268" s="2" t="s">
        <v>2655</v>
      </c>
      <c r="E1268" s="2" t="b">
        <v>1</v>
      </c>
      <c r="F1268" s="2" t="b">
        <v>0</v>
      </c>
      <c r="G1268" s="2" t="s">
        <v>9937</v>
      </c>
      <c r="H1268" s="3" t="str">
        <f>_xlfn.IFNA(INDEX(RulebookFields!C2:C999, MATCH(D1268,RulebookFields!A2:A999, 0)), "")</f>
        <v>Procedures</v>
      </c>
      <c r="I1268" s="3" t="str">
        <f>_xlfn.IFNA(INDEX(RulebookFields!D2:D999, MATCH(D1268,RulebookFields!A2:A999, 0)), "")</f>
        <v>OwnerOrganization</v>
      </c>
      <c r="J1268" s="3" t="b">
        <f>_xlfn.IFNA(INDEX(RulebookFields!I2:I999, MATCH(D1268,RulebookFields!A2:A999, 0)), "")</f>
        <v>0</v>
      </c>
      <c r="K1268" s="3" t="b">
        <f>AND(F1268, J1268)</f>
        <v>0</v>
      </c>
      <c r="L1268" s="3" t="b">
        <f>AND(G1268 &lt;&gt; "plain", G1268 &lt;&gt; "")</f>
        <v>0</v>
      </c>
      <c r="M1268" s="3" t="str">
        <f>IF(E1268, C1268 &amp; "|" &amp; H1268, "")</f>
        <v>principal-process-steward|Procedures</v>
      </c>
      <c r="N1268" s="2" t="s">
        <v>9938</v>
      </c>
    </row>
    <row r="1269">
      <c r="A1269" s="2" t="s">
        <v>11205</v>
      </c>
      <c r="B1269" s="3" t="str">
        <f>C1269 &amp; " -&gt; " &amp; D1269</f>
        <v>principal-process-steward -&gt; Procedures.AdoptedByOrganization</v>
      </c>
      <c r="C1269" s="2" t="s">
        <v>9706</v>
      </c>
      <c r="D1269" s="2" t="s">
        <v>2656</v>
      </c>
      <c r="E1269" s="2" t="b">
        <v>1</v>
      </c>
      <c r="F1269" s="2" t="b">
        <v>0</v>
      </c>
      <c r="G1269" s="2" t="s">
        <v>9937</v>
      </c>
      <c r="H1269" s="3" t="str">
        <f>_xlfn.IFNA(INDEX(RulebookFields!C2:C999, MATCH(D1269,RulebookFields!A2:A999, 0)), "")</f>
        <v>Procedures</v>
      </c>
      <c r="I1269" s="3" t="str">
        <f>_xlfn.IFNA(INDEX(RulebookFields!D2:D999, MATCH(D1269,RulebookFields!A2:A999, 0)), "")</f>
        <v>AdoptedByOrganization</v>
      </c>
      <c r="J1269" s="3" t="b">
        <f>_xlfn.IFNA(INDEX(RulebookFields!I2:I999, MATCH(D1269,RulebookFields!A2:A999, 0)), "")</f>
        <v>0</v>
      </c>
      <c r="K1269" s="3" t="b">
        <f>AND(F1269, J1269)</f>
        <v>0</v>
      </c>
      <c r="L1269" s="3" t="b">
        <f>AND(G1269 &lt;&gt; "plain", G1269 &lt;&gt; "")</f>
        <v>0</v>
      </c>
      <c r="M1269" s="3" t="str">
        <f>IF(E1269, C1269 &amp; "|" &amp; H1269, "")</f>
        <v>principal-process-steward|Procedures</v>
      </c>
      <c r="N1269" s="2" t="s">
        <v>9938</v>
      </c>
    </row>
    <row r="1270">
      <c r="A1270" s="2" t="s">
        <v>11206</v>
      </c>
      <c r="B1270" s="3" t="str">
        <f>C1270 &amp; " -&gt; " &amp; D1270</f>
        <v>principal-process-steward -&gt; Procedures.Purpose</v>
      </c>
      <c r="C1270" s="2" t="s">
        <v>9706</v>
      </c>
      <c r="D1270" s="2" t="s">
        <v>2657</v>
      </c>
      <c r="E1270" s="2" t="b">
        <v>1</v>
      </c>
      <c r="F1270" s="2" t="b">
        <v>0</v>
      </c>
      <c r="G1270" s="2" t="s">
        <v>9937</v>
      </c>
      <c r="H1270" s="3" t="str">
        <f>_xlfn.IFNA(INDEX(RulebookFields!C2:C999, MATCH(D1270,RulebookFields!A2:A999, 0)), "")</f>
        <v>Procedures</v>
      </c>
      <c r="I1270" s="3" t="str">
        <f>_xlfn.IFNA(INDEX(RulebookFields!D2:D999, MATCH(D1270,RulebookFields!A2:A999, 0)), "")</f>
        <v>Purpose</v>
      </c>
      <c r="J1270" s="3" t="b">
        <f>_xlfn.IFNA(INDEX(RulebookFields!I2:I999, MATCH(D1270,RulebookFields!A2:A999, 0)), "")</f>
        <v>0</v>
      </c>
      <c r="K1270" s="3" t="b">
        <f>AND(F1270, J1270)</f>
        <v>0</v>
      </c>
      <c r="L1270" s="3" t="b">
        <f>AND(G1270 &lt;&gt; "plain", G1270 &lt;&gt; "")</f>
        <v>0</v>
      </c>
      <c r="M1270" s="3" t="str">
        <f>IF(E1270, C1270 &amp; "|" &amp; H1270, "")</f>
        <v>principal-process-steward|Procedures</v>
      </c>
      <c r="N1270" s="2" t="s">
        <v>9938</v>
      </c>
    </row>
    <row r="1271">
      <c r="A1271" s="2" t="s">
        <v>11207</v>
      </c>
      <c r="B1271" s="3" t="str">
        <f>C1271 &amp; " -&gt; " &amp; D1271</f>
        <v>principal-process-steward -&gt; Procedures.Target</v>
      </c>
      <c r="C1271" s="2" t="s">
        <v>9706</v>
      </c>
      <c r="D1271" s="2" t="s">
        <v>2658</v>
      </c>
      <c r="E1271" s="2" t="b">
        <v>1</v>
      </c>
      <c r="F1271" s="2" t="b">
        <v>0</v>
      </c>
      <c r="G1271" s="2" t="s">
        <v>9937</v>
      </c>
      <c r="H1271" s="3" t="str">
        <f>_xlfn.IFNA(INDEX(RulebookFields!C2:C999, MATCH(D1271,RulebookFields!A2:A999, 0)), "")</f>
        <v>Procedures</v>
      </c>
      <c r="I1271" s="3" t="str">
        <f>_xlfn.IFNA(INDEX(RulebookFields!D2:D999, MATCH(D1271,RulebookFields!A2:A999, 0)), "")</f>
        <v>Target</v>
      </c>
      <c r="J1271" s="3" t="b">
        <f>_xlfn.IFNA(INDEX(RulebookFields!I2:I999, MATCH(D1271,RulebookFields!A2:A999, 0)), "")</f>
        <v>0</v>
      </c>
      <c r="K1271" s="3" t="b">
        <f>AND(F1271, J1271)</f>
        <v>0</v>
      </c>
      <c r="L1271" s="3" t="b">
        <f>AND(G1271 &lt;&gt; "plain", G1271 &lt;&gt; "")</f>
        <v>0</v>
      </c>
      <c r="M1271" s="3" t="str">
        <f>IF(E1271, C1271 &amp; "|" &amp; H1271, "")</f>
        <v>principal-process-steward|Procedures</v>
      </c>
      <c r="N1271" s="2" t="s">
        <v>9938</v>
      </c>
    </row>
    <row r="1272">
      <c r="A1272" s="2" t="s">
        <v>11208</v>
      </c>
      <c r="B1272" s="3" t="str">
        <f>C1272 &amp; " -&gt; " &amp; D1272</f>
        <v>principal-process-steward -&gt; Procedures.IsTemplate</v>
      </c>
      <c r="C1272" s="2" t="s">
        <v>9706</v>
      </c>
      <c r="D1272" s="2" t="s">
        <v>2659</v>
      </c>
      <c r="E1272" s="2" t="b">
        <v>1</v>
      </c>
      <c r="F1272" s="2" t="b">
        <v>0</v>
      </c>
      <c r="G1272" s="2" t="s">
        <v>9937</v>
      </c>
      <c r="H1272" s="3" t="str">
        <f>_xlfn.IFNA(INDEX(RulebookFields!C2:C999, MATCH(D1272,RulebookFields!A2:A999, 0)), "")</f>
        <v>Procedures</v>
      </c>
      <c r="I1272" s="3" t="str">
        <f>_xlfn.IFNA(INDEX(RulebookFields!D2:D999, MATCH(D1272,RulebookFields!A2:A999, 0)), "")</f>
        <v>IsTemplate</v>
      </c>
      <c r="J1272" s="3" t="b">
        <f>_xlfn.IFNA(INDEX(RulebookFields!I2:I999, MATCH(D1272,RulebookFields!A2:A999, 0)), "")</f>
        <v>0</v>
      </c>
      <c r="K1272" s="3" t="b">
        <f>AND(F1272, J1272)</f>
        <v>0</v>
      </c>
      <c r="L1272" s="3" t="b">
        <f>AND(G1272 &lt;&gt; "plain", G1272 &lt;&gt; "")</f>
        <v>0</v>
      </c>
      <c r="M1272" s="3" t="str">
        <f>IF(E1272, C1272 &amp; "|" &amp; H1272, "")</f>
        <v>principal-process-steward|Procedures</v>
      </c>
      <c r="N1272" s="2" t="s">
        <v>9938</v>
      </c>
    </row>
    <row r="1273">
      <c r="A1273" s="2" t="s">
        <v>11209</v>
      </c>
      <c r="B1273" s="3" t="str">
        <f>C1273 &amp; " -&gt; " &amp; D1273</f>
        <v>principal-process-steward -&gt; Procedures.CurrentVersionKey</v>
      </c>
      <c r="C1273" s="2" t="s">
        <v>9706</v>
      </c>
      <c r="D1273" s="2" t="s">
        <v>2660</v>
      </c>
      <c r="E1273" s="2" t="b">
        <v>1</v>
      </c>
      <c r="F1273" s="2" t="b">
        <v>0</v>
      </c>
      <c r="G1273" s="2" t="s">
        <v>9937</v>
      </c>
      <c r="H1273" s="3" t="str">
        <f>_xlfn.IFNA(INDEX(RulebookFields!C2:C999, MATCH(D1273,RulebookFields!A2:A999, 0)), "")</f>
        <v>Procedures</v>
      </c>
      <c r="I1273" s="3" t="str">
        <f>_xlfn.IFNA(INDEX(RulebookFields!D2:D999, MATCH(D1273,RulebookFields!A2:A999, 0)), "")</f>
        <v>CurrentVersionKey</v>
      </c>
      <c r="J1273" s="3" t="b">
        <f>_xlfn.IFNA(INDEX(RulebookFields!I2:I999, MATCH(D1273,RulebookFields!A2:A999, 0)), "")</f>
        <v>0</v>
      </c>
      <c r="K1273" s="3" t="b">
        <f>AND(F1273, J1273)</f>
        <v>0</v>
      </c>
      <c r="L1273" s="3" t="b">
        <f>AND(G1273 &lt;&gt; "plain", G1273 &lt;&gt; "")</f>
        <v>0</v>
      </c>
      <c r="M1273" s="3" t="str">
        <f>IF(E1273, C1273 &amp; "|" &amp; H1273, "")</f>
        <v>principal-process-steward|Procedures</v>
      </c>
      <c r="N1273" s="2" t="s">
        <v>9938</v>
      </c>
    </row>
    <row r="1274">
      <c r="A1274" s="2" t="s">
        <v>11210</v>
      </c>
      <c r="B1274" s="3" t="str">
        <f>C1274 &amp; " -&gt; " &amp; D1274</f>
        <v>principal-process-steward -&gt; Procedures.SemanticTypeIri</v>
      </c>
      <c r="C1274" s="2" t="s">
        <v>9706</v>
      </c>
      <c r="D1274" s="2" t="s">
        <v>2661</v>
      </c>
      <c r="E1274" s="2" t="b">
        <v>1</v>
      </c>
      <c r="F1274" s="2" t="b">
        <v>0</v>
      </c>
      <c r="G1274" s="2" t="s">
        <v>9937</v>
      </c>
      <c r="H1274" s="3" t="str">
        <f>_xlfn.IFNA(INDEX(RulebookFields!C2:C999, MATCH(D1274,RulebookFields!A2:A999, 0)), "")</f>
        <v>Procedures</v>
      </c>
      <c r="I1274" s="3" t="str">
        <f>_xlfn.IFNA(INDEX(RulebookFields!D2:D999, MATCH(D1274,RulebookFields!A2:A999, 0)), "")</f>
        <v>SemanticTypeIri</v>
      </c>
      <c r="J1274" s="3" t="b">
        <f>_xlfn.IFNA(INDEX(RulebookFields!I2:I999, MATCH(D1274,RulebookFields!A2:A999, 0)), "")</f>
        <v>0</v>
      </c>
      <c r="K1274" s="3" t="b">
        <f>AND(F1274, J1274)</f>
        <v>0</v>
      </c>
      <c r="L1274" s="3" t="b">
        <f>AND(G1274 &lt;&gt; "plain", G1274 &lt;&gt; "")</f>
        <v>0</v>
      </c>
      <c r="M1274" s="3" t="str">
        <f>IF(E1274, C1274 &amp; "|" &amp; H1274, "")</f>
        <v>principal-process-steward|Procedures</v>
      </c>
      <c r="N1274" s="2" t="s">
        <v>9938</v>
      </c>
    </row>
    <row r="1275">
      <c r="A1275" s="2" t="s">
        <v>11211</v>
      </c>
      <c r="B1275" s="3" t="str">
        <f>C1275 &amp; " -&gt; " &amp; D1275</f>
        <v>principal-process-steward -&gt; Rationales.RationaleId</v>
      </c>
      <c r="C1275" s="2" t="s">
        <v>9706</v>
      </c>
      <c r="D1275" s="2" t="s">
        <v>3084</v>
      </c>
      <c r="E1275" s="2" t="b">
        <v>1</v>
      </c>
      <c r="F1275" s="2" t="b">
        <v>0</v>
      </c>
      <c r="G1275" s="2" t="s">
        <v>9937</v>
      </c>
      <c r="H1275" s="3" t="str">
        <f>_xlfn.IFNA(INDEX(RulebookFields!C2:C999, MATCH(D1275,RulebookFields!A2:A999, 0)), "")</f>
        <v>Rationales</v>
      </c>
      <c r="I1275" s="3" t="str">
        <f>_xlfn.IFNA(INDEX(RulebookFields!D2:D999, MATCH(D1275,RulebookFields!A2:A999, 0)), "")</f>
        <v>RationaleId</v>
      </c>
      <c r="J1275" s="3" t="b">
        <f>_xlfn.IFNA(INDEX(RulebookFields!I2:I999, MATCH(D1275,RulebookFields!A2:A999, 0)), "")</f>
        <v>0</v>
      </c>
      <c r="K1275" s="3" t="b">
        <f>AND(F1275, J1275)</f>
        <v>0</v>
      </c>
      <c r="L1275" s="3" t="b">
        <f>AND(G1275 &lt;&gt; "plain", G1275 &lt;&gt; "")</f>
        <v>0</v>
      </c>
      <c r="M1275" s="3" t="str">
        <f>IF(E1275, C1275 &amp; "|" &amp; H1275, "")</f>
        <v>principal-process-steward|Rationales</v>
      </c>
      <c r="N1275" s="2" t="s">
        <v>9938</v>
      </c>
    </row>
    <row r="1276">
      <c r="A1276" s="2" t="s">
        <v>11212</v>
      </c>
      <c r="B1276" s="3" t="str">
        <f>C1276 &amp; " -&gt; " &amp; D1276</f>
        <v>principal-process-steward -&gt; Rationales.Name</v>
      </c>
      <c r="C1276" s="2" t="s">
        <v>9706</v>
      </c>
      <c r="D1276" s="2" t="s">
        <v>3086</v>
      </c>
      <c r="E1276" s="2" t="b">
        <v>1</v>
      </c>
      <c r="F1276" s="2" t="b">
        <v>0</v>
      </c>
      <c r="G1276" s="2" t="s">
        <v>9937</v>
      </c>
      <c r="H1276" s="3" t="str">
        <f>_xlfn.IFNA(INDEX(RulebookFields!C2:C999, MATCH(D1276,RulebookFields!A2:A999, 0)), "")</f>
        <v>Rationales</v>
      </c>
      <c r="I1276" s="3" t="str">
        <f>_xlfn.IFNA(INDEX(RulebookFields!D2:D999, MATCH(D1276,RulebookFields!A2:A999, 0)), "")</f>
        <v>Name</v>
      </c>
      <c r="J1276" s="3" t="b">
        <f>_xlfn.IFNA(INDEX(RulebookFields!I2:I999, MATCH(D1276,RulebookFields!A2:A999, 0)), "")</f>
        <v>1</v>
      </c>
      <c r="K1276" s="3" t="b">
        <f>AND(F1276, J1276)</f>
        <v>0</v>
      </c>
      <c r="L1276" s="3" t="b">
        <f>AND(G1276 &lt;&gt; "plain", G1276 &lt;&gt; "")</f>
        <v>0</v>
      </c>
      <c r="M1276" s="3" t="str">
        <f>IF(E1276, C1276 &amp; "|" &amp; H1276, "")</f>
        <v>principal-process-steward|Rationales</v>
      </c>
      <c r="N1276" s="2" t="s">
        <v>9938</v>
      </c>
    </row>
    <row r="1277">
      <c r="A1277" s="2" t="s">
        <v>11213</v>
      </c>
      <c r="B1277" s="3" t="str">
        <f>C1277 &amp; " -&gt; " &amp; D1277</f>
        <v>principal-process-steward -&gt; Rationales.ProcedureVersion</v>
      </c>
      <c r="C1277" s="2" t="s">
        <v>9706</v>
      </c>
      <c r="D1277" s="2" t="s">
        <v>3087</v>
      </c>
      <c r="E1277" s="2" t="b">
        <v>1</v>
      </c>
      <c r="F1277" s="2" t="b">
        <v>0</v>
      </c>
      <c r="G1277" s="2" t="s">
        <v>9937</v>
      </c>
      <c r="H1277" s="3" t="str">
        <f>_xlfn.IFNA(INDEX(RulebookFields!C2:C999, MATCH(D1277,RulebookFields!A2:A999, 0)), "")</f>
        <v>Rationales</v>
      </c>
      <c r="I1277" s="3" t="str">
        <f>_xlfn.IFNA(INDEX(RulebookFields!D2:D999, MATCH(D1277,RulebookFields!A2:A999, 0)), "")</f>
        <v>ProcedureVersion</v>
      </c>
      <c r="J1277" s="3" t="b">
        <f>_xlfn.IFNA(INDEX(RulebookFields!I2:I999, MATCH(D1277,RulebookFields!A2:A999, 0)), "")</f>
        <v>0</v>
      </c>
      <c r="K1277" s="3" t="b">
        <f>AND(F1277, J1277)</f>
        <v>0</v>
      </c>
      <c r="L1277" s="3" t="b">
        <f>AND(G1277 &lt;&gt; "plain", G1277 &lt;&gt; "")</f>
        <v>0</v>
      </c>
      <c r="M1277" s="3" t="str">
        <f>IF(E1277, C1277 &amp; "|" &amp; H1277, "")</f>
        <v>principal-process-steward|Rationales</v>
      </c>
      <c r="N1277" s="2" t="s">
        <v>9938</v>
      </c>
    </row>
    <row r="1278">
      <c r="A1278" s="2" t="s">
        <v>11214</v>
      </c>
      <c r="B1278" s="3" t="str">
        <f>C1278 &amp; " -&gt; " &amp; D1278</f>
        <v>principal-process-steward -&gt; Rationales.Step</v>
      </c>
      <c r="C1278" s="2" t="s">
        <v>9706</v>
      </c>
      <c r="D1278" s="2" t="s">
        <v>3088</v>
      </c>
      <c r="E1278" s="2" t="b">
        <v>1</v>
      </c>
      <c r="F1278" s="2" t="b">
        <v>0</v>
      </c>
      <c r="G1278" s="2" t="s">
        <v>9937</v>
      </c>
      <c r="H1278" s="3" t="str">
        <f>_xlfn.IFNA(INDEX(RulebookFields!C2:C999, MATCH(D1278,RulebookFields!A2:A999, 0)), "")</f>
        <v>Rationales</v>
      </c>
      <c r="I1278" s="3" t="str">
        <f>_xlfn.IFNA(INDEX(RulebookFields!D2:D999, MATCH(D1278,RulebookFields!A2:A999, 0)), "")</f>
        <v>Step</v>
      </c>
      <c r="J1278" s="3" t="b">
        <f>_xlfn.IFNA(INDEX(RulebookFields!I2:I999, MATCH(D1278,RulebookFields!A2:A999, 0)), "")</f>
        <v>0</v>
      </c>
      <c r="K1278" s="3" t="b">
        <f>AND(F1278, J1278)</f>
        <v>0</v>
      </c>
      <c r="L1278" s="3" t="b">
        <f>AND(G1278 &lt;&gt; "plain", G1278 &lt;&gt; "")</f>
        <v>0</v>
      </c>
      <c r="M1278" s="3" t="str">
        <f>IF(E1278, C1278 &amp; "|" &amp; H1278, "")</f>
        <v>principal-process-steward|Rationales</v>
      </c>
      <c r="N1278" s="2" t="s">
        <v>9938</v>
      </c>
    </row>
    <row r="1279">
      <c r="A1279" s="2" t="s">
        <v>11215</v>
      </c>
      <c r="B1279" s="3" t="str">
        <f>C1279 &amp; " -&gt; " &amp; D1279</f>
        <v>principal-process-steward -&gt; Rationales.Title</v>
      </c>
      <c r="C1279" s="2" t="s">
        <v>9706</v>
      </c>
      <c r="D1279" s="2" t="s">
        <v>3089</v>
      </c>
      <c r="E1279" s="2" t="b">
        <v>1</v>
      </c>
      <c r="F1279" s="2" t="b">
        <v>0</v>
      </c>
      <c r="G1279" s="2" t="s">
        <v>9937</v>
      </c>
      <c r="H1279" s="3" t="str">
        <f>_xlfn.IFNA(INDEX(RulebookFields!C2:C999, MATCH(D1279,RulebookFields!A2:A999, 0)), "")</f>
        <v>Rationales</v>
      </c>
      <c r="I1279" s="3" t="str">
        <f>_xlfn.IFNA(INDEX(RulebookFields!D2:D999, MATCH(D1279,RulebookFields!A2:A999, 0)), "")</f>
        <v>Title</v>
      </c>
      <c r="J1279" s="3" t="b">
        <f>_xlfn.IFNA(INDEX(RulebookFields!I2:I999, MATCH(D1279,RulebookFields!A2:A999, 0)), "")</f>
        <v>0</v>
      </c>
      <c r="K1279" s="3" t="b">
        <f>AND(F1279, J1279)</f>
        <v>0</v>
      </c>
      <c r="L1279" s="3" t="b">
        <f>AND(G1279 &lt;&gt; "plain", G1279 &lt;&gt; "")</f>
        <v>0</v>
      </c>
      <c r="M1279" s="3" t="str">
        <f>IF(E1279, C1279 &amp; "|" &amp; H1279, "")</f>
        <v>principal-process-steward|Rationales</v>
      </c>
      <c r="N1279" s="2" t="s">
        <v>9938</v>
      </c>
    </row>
    <row r="1280">
      <c r="A1280" s="2" t="s">
        <v>11216</v>
      </c>
      <c r="B1280" s="3" t="str">
        <f>C1280 &amp; " -&gt; " &amp; D1280</f>
        <v>principal-process-steward -&gt; Rationales.Statement</v>
      </c>
      <c r="C1280" s="2" t="s">
        <v>9706</v>
      </c>
      <c r="D1280" s="2" t="s">
        <v>3090</v>
      </c>
      <c r="E1280" s="2" t="b">
        <v>1</v>
      </c>
      <c r="F1280" s="2" t="b">
        <v>0</v>
      </c>
      <c r="G1280" s="2" t="s">
        <v>9937</v>
      </c>
      <c r="H1280" s="3" t="str">
        <f>_xlfn.IFNA(INDEX(RulebookFields!C2:C999, MATCH(D1280,RulebookFields!A2:A999, 0)), "")</f>
        <v>Rationales</v>
      </c>
      <c r="I1280" s="3" t="str">
        <f>_xlfn.IFNA(INDEX(RulebookFields!D2:D999, MATCH(D1280,RulebookFields!A2:A999, 0)), "")</f>
        <v>Statement</v>
      </c>
      <c r="J1280" s="3" t="b">
        <f>_xlfn.IFNA(INDEX(RulebookFields!I2:I999, MATCH(D1280,RulebookFields!A2:A999, 0)), "")</f>
        <v>0</v>
      </c>
      <c r="K1280" s="3" t="b">
        <f>AND(F1280, J1280)</f>
        <v>0</v>
      </c>
      <c r="L1280" s="3" t="b">
        <f>AND(G1280 &lt;&gt; "plain", G1280 &lt;&gt; "")</f>
        <v>0</v>
      </c>
      <c r="M1280" s="3" t="str">
        <f>IF(E1280, C1280 &amp; "|" &amp; H1280, "")</f>
        <v>principal-process-steward|Rationales</v>
      </c>
      <c r="N1280" s="2" t="s">
        <v>9938</v>
      </c>
    </row>
    <row r="1281">
      <c r="A1281" s="2" t="s">
        <v>11217</v>
      </c>
      <c r="B1281" s="3" t="str">
        <f>C1281 &amp; " -&gt; " &amp; D1281</f>
        <v>principal-process-steward -&gt; Rationales.Status</v>
      </c>
      <c r="C1281" s="2" t="s">
        <v>9706</v>
      </c>
      <c r="D1281" s="2" t="s">
        <v>3091</v>
      </c>
      <c r="E1281" s="2" t="b">
        <v>1</v>
      </c>
      <c r="F1281" s="2" t="b">
        <v>0</v>
      </c>
      <c r="G1281" s="2" t="s">
        <v>9937</v>
      </c>
      <c r="H1281" s="3" t="str">
        <f>_xlfn.IFNA(INDEX(RulebookFields!C2:C999, MATCH(D1281,RulebookFields!A2:A999, 0)), "")</f>
        <v>Rationales</v>
      </c>
      <c r="I1281" s="3" t="str">
        <f>_xlfn.IFNA(INDEX(RulebookFields!D2:D999, MATCH(D1281,RulebookFields!A2:A999, 0)), "")</f>
        <v>Status</v>
      </c>
      <c r="J1281" s="3" t="b">
        <f>_xlfn.IFNA(INDEX(RulebookFields!I2:I999, MATCH(D1281,RulebookFields!A2:A999, 0)), "")</f>
        <v>0</v>
      </c>
      <c r="K1281" s="3" t="b">
        <f>AND(F1281, J1281)</f>
        <v>0</v>
      </c>
      <c r="L1281" s="3" t="b">
        <f>AND(G1281 &lt;&gt; "plain", G1281 &lt;&gt; "")</f>
        <v>0</v>
      </c>
      <c r="M1281" s="3" t="str">
        <f>IF(E1281, C1281 &amp; "|" &amp; H1281, "")</f>
        <v>principal-process-steward|Rationales</v>
      </c>
      <c r="N1281" s="2" t="s">
        <v>9938</v>
      </c>
    </row>
    <row r="1282">
      <c r="A1282" s="2" t="s">
        <v>11218</v>
      </c>
      <c r="B1282" s="3" t="str">
        <f>C1282 &amp; " -&gt; " &amp; D1282</f>
        <v>principal-process-steward -&gt; Rationales.AuthorityRole</v>
      </c>
      <c r="C1282" s="2" t="s">
        <v>9706</v>
      </c>
      <c r="D1282" s="2" t="s">
        <v>3092</v>
      </c>
      <c r="E1282" s="2" t="b">
        <v>1</v>
      </c>
      <c r="F1282" s="2" t="b">
        <v>0</v>
      </c>
      <c r="G1282" s="2" t="s">
        <v>9937</v>
      </c>
      <c r="H1282" s="3" t="str">
        <f>_xlfn.IFNA(INDEX(RulebookFields!C2:C999, MATCH(D1282,RulebookFields!A2:A999, 0)), "")</f>
        <v>Rationales</v>
      </c>
      <c r="I1282" s="3" t="str">
        <f>_xlfn.IFNA(INDEX(RulebookFields!D2:D999, MATCH(D1282,RulebookFields!A2:A999, 0)), "")</f>
        <v>AuthorityRole</v>
      </c>
      <c r="J1282" s="3" t="b">
        <f>_xlfn.IFNA(INDEX(RulebookFields!I2:I999, MATCH(D1282,RulebookFields!A2:A999, 0)), "")</f>
        <v>0</v>
      </c>
      <c r="K1282" s="3" t="b">
        <f>AND(F1282, J1282)</f>
        <v>0</v>
      </c>
      <c r="L1282" s="3" t="b">
        <f>AND(G1282 &lt;&gt; "plain", G1282 &lt;&gt; "")</f>
        <v>0</v>
      </c>
      <c r="M1282" s="3" t="str">
        <f>IF(E1282, C1282 &amp; "|" &amp; H1282, "")</f>
        <v>principal-process-steward|Rationales</v>
      </c>
      <c r="N1282" s="2" t="s">
        <v>9938</v>
      </c>
    </row>
    <row r="1283">
      <c r="A1283" s="2" t="s">
        <v>11219</v>
      </c>
      <c r="B1283" s="3" t="str">
        <f>C1283 &amp; " -&gt; " &amp; D1283</f>
        <v>principal-process-steward -&gt; Rationales.SemanticTypeIri</v>
      </c>
      <c r="C1283" s="2" t="s">
        <v>9706</v>
      </c>
      <c r="D1283" s="2" t="s">
        <v>3093</v>
      </c>
      <c r="E1283" s="2" t="b">
        <v>1</v>
      </c>
      <c r="F1283" s="2" t="b">
        <v>0</v>
      </c>
      <c r="G1283" s="2" t="s">
        <v>9937</v>
      </c>
      <c r="H1283" s="3" t="str">
        <f>_xlfn.IFNA(INDEX(RulebookFields!C2:C999, MATCH(D1283,RulebookFields!A2:A999, 0)), "")</f>
        <v>Rationales</v>
      </c>
      <c r="I1283" s="3" t="str">
        <f>_xlfn.IFNA(INDEX(RulebookFields!D2:D999, MATCH(D1283,RulebookFields!A2:A999, 0)), "")</f>
        <v>SemanticTypeIri</v>
      </c>
      <c r="J1283" s="3" t="b">
        <f>_xlfn.IFNA(INDEX(RulebookFields!I2:I999, MATCH(D1283,RulebookFields!A2:A999, 0)), "")</f>
        <v>0</v>
      </c>
      <c r="K1283" s="3" t="b">
        <f>AND(F1283, J1283)</f>
        <v>0</v>
      </c>
      <c r="L1283" s="3" t="b">
        <f>AND(G1283 &lt;&gt; "plain", G1283 &lt;&gt; "")</f>
        <v>0</v>
      </c>
      <c r="M1283" s="3" t="str">
        <f>IF(E1283, C1283 &amp; "|" &amp; H1283, "")</f>
        <v>principal-process-steward|Rationales</v>
      </c>
      <c r="N1283" s="2" t="s">
        <v>9938</v>
      </c>
    </row>
    <row r="1284">
      <c r="A1284" s="2" t="s">
        <v>11220</v>
      </c>
      <c r="B1284" s="3" t="str">
        <f>C1284 &amp; " -&gt; " &amp; D1284</f>
        <v>principal-process-steward -&gt; Recipients.RecipientId</v>
      </c>
      <c r="C1284" s="2" t="s">
        <v>9706</v>
      </c>
      <c r="D1284" s="2" t="s">
        <v>4345</v>
      </c>
      <c r="E1284" s="2" t="b">
        <v>1</v>
      </c>
      <c r="F1284" s="2" t="b">
        <v>0</v>
      </c>
      <c r="G1284" s="2" t="s">
        <v>9937</v>
      </c>
      <c r="H1284" s="3" t="str">
        <f>_xlfn.IFNA(INDEX(RulebookFields!C2:C999, MATCH(D1284,RulebookFields!A2:A999, 0)), "")</f>
      </c>
      <c r="I1284" s="3" t="str">
        <f>_xlfn.IFNA(INDEX(RulebookFields!D2:D999, MATCH(D1284,RulebookFields!A2:A999, 0)), "")</f>
      </c>
      <c r="J1284" s="3" t="str">
        <f>_xlfn.IFNA(INDEX(RulebookFields!I2:I999, MATCH(D1284,RulebookFields!A2:A999, 0)), "")</f>
      </c>
      <c r="K1284" s="3" t="b">
        <f>AND(F1284, J1284)</f>
        <v>0</v>
      </c>
      <c r="L1284" s="3" t="b">
        <f>AND(G1284 &lt;&gt; "plain", G1284 &lt;&gt; "")</f>
        <v>0</v>
      </c>
      <c r="M1284" s="3" t="str">
        <f>IF(E1284, C1284 &amp; "|" &amp; H1284, "")</f>
        <v>principal-process-steward|</v>
      </c>
      <c r="N1284" s="2" t="s">
        <v>9938</v>
      </c>
    </row>
    <row r="1285">
      <c r="A1285" s="2" t="s">
        <v>11221</v>
      </c>
      <c r="B1285" s="3" t="str">
        <f>C1285 &amp; " -&gt; " &amp; D1285</f>
        <v>principal-process-steward -&gt; Recipients.Name</v>
      </c>
      <c r="C1285" s="2" t="s">
        <v>9706</v>
      </c>
      <c r="D1285" s="2" t="s">
        <v>4348</v>
      </c>
      <c r="E1285" s="2" t="b">
        <v>1</v>
      </c>
      <c r="F1285" s="2" t="b">
        <v>0</v>
      </c>
      <c r="G1285" s="2" t="s">
        <v>9937</v>
      </c>
      <c r="H1285" s="3" t="str">
        <f>_xlfn.IFNA(INDEX(RulebookFields!C2:C999, MATCH(D1285,RulebookFields!A2:A999, 0)), "")</f>
      </c>
      <c r="I1285" s="3" t="str">
        <f>_xlfn.IFNA(INDEX(RulebookFields!D2:D999, MATCH(D1285,RulebookFields!A2:A999, 0)), "")</f>
      </c>
      <c r="J1285" s="3" t="str">
        <f>_xlfn.IFNA(INDEX(RulebookFields!I2:I999, MATCH(D1285,RulebookFields!A2:A999, 0)), "")</f>
      </c>
      <c r="K1285" s="3" t="b">
        <f>AND(F1285, J1285)</f>
        <v>0</v>
      </c>
      <c r="L1285" s="3" t="b">
        <f>AND(G1285 &lt;&gt; "plain", G1285 &lt;&gt; "")</f>
        <v>0</v>
      </c>
      <c r="M1285" s="3" t="str">
        <f>IF(E1285, C1285 &amp; "|" &amp; H1285, "")</f>
        <v>principal-process-steward|</v>
      </c>
      <c r="N1285" s="2" t="s">
        <v>9938</v>
      </c>
    </row>
    <row r="1286">
      <c r="A1286" s="2" t="s">
        <v>11222</v>
      </c>
      <c r="B1286" s="3" t="str">
        <f>C1286 &amp; " -&gt; " &amp; D1286</f>
        <v>principal-process-steward -&gt; Recipients.DisplayName</v>
      </c>
      <c r="C1286" s="2" t="s">
        <v>9706</v>
      </c>
      <c r="D1286" s="2" t="s">
        <v>4349</v>
      </c>
      <c r="E1286" s="2" t="b">
        <v>1</v>
      </c>
      <c r="F1286" s="2" t="b">
        <v>0</v>
      </c>
      <c r="G1286" s="2" t="s">
        <v>9937</v>
      </c>
      <c r="H1286" s="3" t="str">
        <f>_xlfn.IFNA(INDEX(RulebookFields!C2:C999, MATCH(D1286,RulebookFields!A2:A999, 0)), "")</f>
      </c>
      <c r="I1286" s="3" t="str">
        <f>_xlfn.IFNA(INDEX(RulebookFields!D2:D999, MATCH(D1286,RulebookFields!A2:A999, 0)), "")</f>
      </c>
      <c r="J1286" s="3" t="str">
        <f>_xlfn.IFNA(INDEX(RulebookFields!I2:I999, MATCH(D1286,RulebookFields!A2:A999, 0)), "")</f>
      </c>
      <c r="K1286" s="3" t="b">
        <f>AND(F1286, J1286)</f>
        <v>0</v>
      </c>
      <c r="L1286" s="3" t="b">
        <f>AND(G1286 &lt;&gt; "plain", G1286 &lt;&gt; "")</f>
        <v>0</v>
      </c>
      <c r="M1286" s="3" t="str">
        <f>IF(E1286, C1286 &amp; "|" &amp; H1286, "")</f>
        <v>principal-process-steward|</v>
      </c>
      <c r="N1286" s="2" t="s">
        <v>9938</v>
      </c>
    </row>
    <row r="1287">
      <c r="A1287" s="2" t="s">
        <v>11223</v>
      </c>
      <c r="B1287" s="3" t="str">
        <f>C1287 &amp; " -&gt; " &amp; D1287</f>
        <v>principal-process-steward -&gt; Recipients.Organization</v>
      </c>
      <c r="C1287" s="2" t="s">
        <v>9706</v>
      </c>
      <c r="D1287" s="2" t="s">
        <v>4350</v>
      </c>
      <c r="E1287" s="2" t="b">
        <v>1</v>
      </c>
      <c r="F1287" s="2" t="b">
        <v>0</v>
      </c>
      <c r="G1287" s="2" t="s">
        <v>9937</v>
      </c>
      <c r="H1287" s="3" t="str">
        <f>_xlfn.IFNA(INDEX(RulebookFields!C2:C999, MATCH(D1287,RulebookFields!A2:A999, 0)), "")</f>
      </c>
      <c r="I1287" s="3" t="str">
        <f>_xlfn.IFNA(INDEX(RulebookFields!D2:D999, MATCH(D1287,RulebookFields!A2:A999, 0)), "")</f>
      </c>
      <c r="J1287" s="3" t="str">
        <f>_xlfn.IFNA(INDEX(RulebookFields!I2:I999, MATCH(D1287,RulebookFields!A2:A999, 0)), "")</f>
      </c>
      <c r="K1287" s="3" t="b">
        <f>AND(F1287, J1287)</f>
        <v>0</v>
      </c>
      <c r="L1287" s="3" t="b">
        <f>AND(G1287 &lt;&gt; "plain", G1287 &lt;&gt; "")</f>
        <v>0</v>
      </c>
      <c r="M1287" s="3" t="str">
        <f>IF(E1287, C1287 &amp; "|" &amp; H1287, "")</f>
        <v>principal-process-steward|</v>
      </c>
      <c r="N1287" s="2" t="s">
        <v>9938</v>
      </c>
    </row>
    <row r="1288">
      <c r="A1288" s="2" t="s">
        <v>11224</v>
      </c>
      <c r="B1288" s="3" t="str">
        <f>C1288 &amp; " -&gt; " &amp; D1288</f>
        <v>principal-process-steward -&gt; Recipients.EmailAddress</v>
      </c>
      <c r="C1288" s="2" t="s">
        <v>9706</v>
      </c>
      <c r="D1288" s="2" t="s">
        <v>4351</v>
      </c>
      <c r="E1288" s="2" t="b">
        <v>1</v>
      </c>
      <c r="F1288" s="2" t="b">
        <v>0</v>
      </c>
      <c r="G1288" s="2" t="s">
        <v>9937</v>
      </c>
      <c r="H1288" s="3" t="str">
        <f>_xlfn.IFNA(INDEX(RulebookFields!C2:C999, MATCH(D1288,RulebookFields!A2:A999, 0)), "")</f>
      </c>
      <c r="I1288" s="3" t="str">
        <f>_xlfn.IFNA(INDEX(RulebookFields!D2:D999, MATCH(D1288,RulebookFields!A2:A999, 0)), "")</f>
      </c>
      <c r="J1288" s="3" t="str">
        <f>_xlfn.IFNA(INDEX(RulebookFields!I2:I999, MATCH(D1288,RulebookFields!A2:A999, 0)), "")</f>
      </c>
      <c r="K1288" s="3" t="b">
        <f>AND(F1288, J1288)</f>
        <v>0</v>
      </c>
      <c r="L1288" s="3" t="b">
        <f>AND(G1288 &lt;&gt; "plain", G1288 &lt;&gt; "")</f>
        <v>0</v>
      </c>
      <c r="M1288" s="3" t="str">
        <f>IF(E1288, C1288 &amp; "|" &amp; H1288, "")</f>
        <v>principal-process-steward|</v>
      </c>
      <c r="N1288" s="2" t="s">
        <v>9938</v>
      </c>
    </row>
    <row r="1289">
      <c r="A1289" s="2" t="s">
        <v>11225</v>
      </c>
      <c r="B1289" s="3" t="str">
        <f>C1289 &amp; " -&gt; " &amp; D1289</f>
        <v>principal-process-steward -&gt; Recipients.MobileNumber</v>
      </c>
      <c r="C1289" s="2" t="s">
        <v>9706</v>
      </c>
      <c r="D1289" s="2" t="s">
        <v>4353</v>
      </c>
      <c r="E1289" s="2" t="b">
        <v>1</v>
      </c>
      <c r="F1289" s="2" t="b">
        <v>0</v>
      </c>
      <c r="G1289" s="2" t="s">
        <v>9937</v>
      </c>
      <c r="H1289" s="3" t="str">
        <f>_xlfn.IFNA(INDEX(RulebookFields!C2:C999, MATCH(D1289,RulebookFields!A2:A999, 0)), "")</f>
      </c>
      <c r="I1289" s="3" t="str">
        <f>_xlfn.IFNA(INDEX(RulebookFields!D2:D999, MATCH(D1289,RulebookFields!A2:A999, 0)), "")</f>
      </c>
      <c r="J1289" s="3" t="str">
        <f>_xlfn.IFNA(INDEX(RulebookFields!I2:I999, MATCH(D1289,RulebookFields!A2:A999, 0)), "")</f>
      </c>
      <c r="K1289" s="3" t="b">
        <f>AND(F1289, J1289)</f>
        <v>0</v>
      </c>
      <c r="L1289" s="3" t="b">
        <f>AND(G1289 &lt;&gt; "plain", G1289 &lt;&gt; "")</f>
        <v>0</v>
      </c>
      <c r="M1289" s="3" t="str">
        <f>IF(E1289, C1289 &amp; "|" &amp; H1289, "")</f>
        <v>principal-process-steward|</v>
      </c>
      <c r="N1289" s="2" t="s">
        <v>9938</v>
      </c>
    </row>
    <row r="1290">
      <c r="A1290" s="2" t="s">
        <v>11226</v>
      </c>
      <c r="B1290" s="3" t="str">
        <f>C1290 &amp; " -&gt; " &amp; D1290</f>
        <v>principal-process-steward -&gt; Recipients.SmsConsentStatus</v>
      </c>
      <c r="C1290" s="2" t="s">
        <v>9706</v>
      </c>
      <c r="D1290" s="2" t="s">
        <v>4355</v>
      </c>
      <c r="E1290" s="2" t="b">
        <v>1</v>
      </c>
      <c r="F1290" s="2" t="b">
        <v>0</v>
      </c>
      <c r="G1290" s="2" t="s">
        <v>9937</v>
      </c>
      <c r="H1290" s="3" t="str">
        <f>_xlfn.IFNA(INDEX(RulebookFields!C2:C999, MATCH(D1290,RulebookFields!A2:A999, 0)), "")</f>
      </c>
      <c r="I1290" s="3" t="str">
        <f>_xlfn.IFNA(INDEX(RulebookFields!D2:D999, MATCH(D1290,RulebookFields!A2:A999, 0)), "")</f>
      </c>
      <c r="J1290" s="3" t="str">
        <f>_xlfn.IFNA(INDEX(RulebookFields!I2:I999, MATCH(D1290,RulebookFields!A2:A999, 0)), "")</f>
      </c>
      <c r="K1290" s="3" t="b">
        <f>AND(F1290, J1290)</f>
        <v>0</v>
      </c>
      <c r="L1290" s="3" t="b">
        <f>AND(G1290 &lt;&gt; "plain", G1290 &lt;&gt; "")</f>
        <v>0</v>
      </c>
      <c r="M1290" s="3" t="str">
        <f>IF(E1290, C1290 &amp; "|" &amp; H1290, "")</f>
        <v>principal-process-steward|</v>
      </c>
      <c r="N1290" s="2" t="s">
        <v>9938</v>
      </c>
    </row>
    <row r="1291">
      <c r="A1291" s="2" t="s">
        <v>11227</v>
      </c>
      <c r="B1291" s="3" t="str">
        <f>C1291 &amp; " -&gt; " &amp; D1291</f>
        <v>principal-process-steward -&gt; Recipients.SmsConsentAt</v>
      </c>
      <c r="C1291" s="2" t="s">
        <v>9706</v>
      </c>
      <c r="D1291" s="2" t="s">
        <v>4357</v>
      </c>
      <c r="E1291" s="2" t="b">
        <v>1</v>
      </c>
      <c r="F1291" s="2" t="b">
        <v>0</v>
      </c>
      <c r="G1291" s="2" t="s">
        <v>9937</v>
      </c>
      <c r="H1291" s="3" t="str">
        <f>_xlfn.IFNA(INDEX(RulebookFields!C2:C999, MATCH(D1291,RulebookFields!A2:A999, 0)), "")</f>
      </c>
      <c r="I1291" s="3" t="str">
        <f>_xlfn.IFNA(INDEX(RulebookFields!D2:D999, MATCH(D1291,RulebookFields!A2:A999, 0)), "")</f>
      </c>
      <c r="J1291" s="3" t="str">
        <f>_xlfn.IFNA(INDEX(RulebookFields!I2:I999, MATCH(D1291,RulebookFields!A2:A999, 0)), "")</f>
      </c>
      <c r="K1291" s="3" t="b">
        <f>AND(F1291, J1291)</f>
        <v>0</v>
      </c>
      <c r="L1291" s="3" t="b">
        <f>AND(G1291 &lt;&gt; "plain", G1291 &lt;&gt; "")</f>
        <v>0</v>
      </c>
      <c r="M1291" s="3" t="str">
        <f>IF(E1291, C1291 &amp; "|" &amp; H1291, "")</f>
        <v>principal-process-steward|</v>
      </c>
      <c r="N1291" s="2" t="s">
        <v>9938</v>
      </c>
    </row>
    <row r="1292">
      <c r="A1292" s="2" t="s">
        <v>11228</v>
      </c>
      <c r="B1292" s="3" t="str">
        <f>C1292 &amp; " -&gt; " &amp; D1292</f>
        <v>principal-process-steward -&gt; Recipients.ConsentBinding</v>
      </c>
      <c r="C1292" s="2" t="s">
        <v>9706</v>
      </c>
      <c r="D1292" s="2" t="s">
        <v>4359</v>
      </c>
      <c r="E1292" s="2" t="b">
        <v>1</v>
      </c>
      <c r="F1292" s="2" t="b">
        <v>0</v>
      </c>
      <c r="G1292" s="2" t="s">
        <v>9937</v>
      </c>
      <c r="H1292" s="3" t="str">
        <f>_xlfn.IFNA(INDEX(RulebookFields!C2:C999, MATCH(D1292,RulebookFields!A2:A999, 0)), "")</f>
      </c>
      <c r="I1292" s="3" t="str">
        <f>_xlfn.IFNA(INDEX(RulebookFields!D2:D999, MATCH(D1292,RulebookFields!A2:A999, 0)), "")</f>
      </c>
      <c r="J1292" s="3" t="str">
        <f>_xlfn.IFNA(INDEX(RulebookFields!I2:I999, MATCH(D1292,RulebookFields!A2:A999, 0)), "")</f>
      </c>
      <c r="K1292" s="3" t="b">
        <f>AND(F1292, J1292)</f>
        <v>0</v>
      </c>
      <c r="L1292" s="3" t="b">
        <f>AND(G1292 &lt;&gt; "plain", G1292 &lt;&gt; "")</f>
        <v>0</v>
      </c>
      <c r="M1292" s="3" t="str">
        <f>IF(E1292, C1292 &amp; "|" &amp; H1292, "")</f>
        <v>principal-process-steward|</v>
      </c>
      <c r="N1292" s="2" t="s">
        <v>9938</v>
      </c>
    </row>
    <row r="1293">
      <c r="A1293" s="2" t="s">
        <v>11229</v>
      </c>
      <c r="B1293" s="3" t="str">
        <f>C1293 &amp; " -&gt; " &amp; D1293</f>
        <v>principal-process-steward -&gt; Recipients.HasSmsConsent</v>
      </c>
      <c r="C1293" s="2" t="s">
        <v>9706</v>
      </c>
      <c r="D1293" s="2" t="s">
        <v>4361</v>
      </c>
      <c r="E1293" s="2" t="b">
        <v>1</v>
      </c>
      <c r="F1293" s="2" t="b">
        <v>0</v>
      </c>
      <c r="G1293" s="2" t="s">
        <v>9937</v>
      </c>
      <c r="H1293" s="3" t="str">
        <f>_xlfn.IFNA(INDEX(RulebookFields!C2:C999, MATCH(D1293,RulebookFields!A2:A999, 0)), "")</f>
      </c>
      <c r="I1293" s="3" t="str">
        <f>_xlfn.IFNA(INDEX(RulebookFields!D2:D999, MATCH(D1293,RulebookFields!A2:A999, 0)), "")</f>
      </c>
      <c r="J1293" s="3" t="str">
        <f>_xlfn.IFNA(INDEX(RulebookFields!I2:I999, MATCH(D1293,RulebookFields!A2:A999, 0)), "")</f>
      </c>
      <c r="K1293" s="3" t="b">
        <f>AND(F1293, J1293)</f>
        <v>0</v>
      </c>
      <c r="L1293" s="3" t="b">
        <f>AND(G1293 &lt;&gt; "plain", G1293 &lt;&gt; "")</f>
        <v>0</v>
      </c>
      <c r="M1293" s="3" t="str">
        <f>IF(E1293, C1293 &amp; "|" &amp; H1293, "")</f>
        <v>principal-process-steward|</v>
      </c>
      <c r="N1293" s="2" t="s">
        <v>9938</v>
      </c>
    </row>
    <row r="1294">
      <c r="A1294" s="2" t="s">
        <v>11230</v>
      </c>
      <c r="B1294" s="3" t="str">
        <f>C1294 &amp; " -&gt; " &amp; D1294</f>
        <v>principal-process-steward -&gt; Recipients.IsEmailReachable</v>
      </c>
      <c r="C1294" s="2" t="s">
        <v>9706</v>
      </c>
      <c r="D1294" s="2" t="s">
        <v>4364</v>
      </c>
      <c r="E1294" s="2" t="b">
        <v>1</v>
      </c>
      <c r="F1294" s="2" t="b">
        <v>0</v>
      </c>
      <c r="G1294" s="2" t="s">
        <v>9937</v>
      </c>
      <c r="H1294" s="3" t="str">
        <f>_xlfn.IFNA(INDEX(RulebookFields!C2:C999, MATCH(D1294,RulebookFields!A2:A999, 0)), "")</f>
      </c>
      <c r="I1294" s="3" t="str">
        <f>_xlfn.IFNA(INDEX(RulebookFields!D2:D999, MATCH(D1294,RulebookFields!A2:A999, 0)), "")</f>
      </c>
      <c r="J1294" s="3" t="str">
        <f>_xlfn.IFNA(INDEX(RulebookFields!I2:I999, MATCH(D1294,RulebookFields!A2:A999, 0)), "")</f>
      </c>
      <c r="K1294" s="3" t="b">
        <f>AND(F1294, J1294)</f>
        <v>0</v>
      </c>
      <c r="L1294" s="3" t="b">
        <f>AND(G1294 &lt;&gt; "plain", G1294 &lt;&gt; "")</f>
        <v>0</v>
      </c>
      <c r="M1294" s="3" t="str">
        <f>IF(E1294, C1294 &amp; "|" &amp; H1294, "")</f>
        <v>principal-process-steward|</v>
      </c>
      <c r="N1294" s="2" t="s">
        <v>9938</v>
      </c>
    </row>
    <row r="1295">
      <c r="A1295" s="2" t="s">
        <v>11231</v>
      </c>
      <c r="B1295" s="3" t="str">
        <f>C1295 &amp; " -&gt; " &amp; D1295</f>
        <v>principal-process-steward -&gt; Recipients.IsSmsReachable</v>
      </c>
      <c r="C1295" s="2" t="s">
        <v>9706</v>
      </c>
      <c r="D1295" s="2" t="s">
        <v>4367</v>
      </c>
      <c r="E1295" s="2" t="b">
        <v>1</v>
      </c>
      <c r="F1295" s="2" t="b">
        <v>0</v>
      </c>
      <c r="G1295" s="2" t="s">
        <v>9937</v>
      </c>
      <c r="H1295" s="3" t="str">
        <f>_xlfn.IFNA(INDEX(RulebookFields!C2:C999, MATCH(D1295,RulebookFields!A2:A999, 0)), "")</f>
      </c>
      <c r="I1295" s="3" t="str">
        <f>_xlfn.IFNA(INDEX(RulebookFields!D2:D999, MATCH(D1295,RulebookFields!A2:A999, 0)), "")</f>
      </c>
      <c r="J1295" s="3" t="str">
        <f>_xlfn.IFNA(INDEX(RulebookFields!I2:I999, MATCH(D1295,RulebookFields!A2:A999, 0)), "")</f>
      </c>
      <c r="K1295" s="3" t="b">
        <f>AND(F1295, J1295)</f>
        <v>0</v>
      </c>
      <c r="L1295" s="3" t="b">
        <f>AND(G1295 &lt;&gt; "plain", G1295 &lt;&gt; "")</f>
        <v>0</v>
      </c>
      <c r="M1295" s="3" t="str">
        <f>IF(E1295, C1295 &amp; "|" &amp; H1295, "")</f>
        <v>principal-process-steward|</v>
      </c>
      <c r="N1295" s="2" t="s">
        <v>9938</v>
      </c>
    </row>
    <row r="1296">
      <c r="A1296" s="2" t="s">
        <v>11232</v>
      </c>
      <c r="B1296" s="3" t="str">
        <f>C1296 &amp; " -&gt; " &amp; D1296</f>
        <v>principal-process-steward -&gt; Recipients.IsUnreachable</v>
      </c>
      <c r="C1296" s="2" t="s">
        <v>9706</v>
      </c>
      <c r="D1296" s="2" t="s">
        <v>4370</v>
      </c>
      <c r="E1296" s="2" t="b">
        <v>1</v>
      </c>
      <c r="F1296" s="2" t="b">
        <v>0</v>
      </c>
      <c r="G1296" s="2" t="s">
        <v>9937</v>
      </c>
      <c r="H1296" s="3" t="str">
        <f>_xlfn.IFNA(INDEX(RulebookFields!C2:C999, MATCH(D1296,RulebookFields!A2:A999, 0)), "")</f>
      </c>
      <c r="I1296" s="3" t="str">
        <f>_xlfn.IFNA(INDEX(RulebookFields!D2:D999, MATCH(D1296,RulebookFields!A2:A999, 0)), "")</f>
      </c>
      <c r="J1296" s="3" t="str">
        <f>_xlfn.IFNA(INDEX(RulebookFields!I2:I999, MATCH(D1296,RulebookFields!A2:A999, 0)), "")</f>
      </c>
      <c r="K1296" s="3" t="b">
        <f>AND(F1296, J1296)</f>
        <v>0</v>
      </c>
      <c r="L1296" s="3" t="b">
        <f>AND(G1296 &lt;&gt; "plain", G1296 &lt;&gt; "")</f>
        <v>0</v>
      </c>
      <c r="M1296" s="3" t="str">
        <f>IF(E1296, C1296 &amp; "|" &amp; H1296, "")</f>
        <v>principal-process-steward|</v>
      </c>
      <c r="N1296" s="2" t="s">
        <v>9938</v>
      </c>
    </row>
    <row r="1297">
      <c r="A1297" s="2" t="s">
        <v>11233</v>
      </c>
      <c r="B1297" s="3" t="str">
        <f>C1297 &amp; " -&gt; " &amp; D1297</f>
        <v>principal-process-steward -&gt; Recipients.IsCommunicationallyStranded</v>
      </c>
      <c r="C1297" s="2" t="s">
        <v>9706</v>
      </c>
      <c r="D1297" s="2" t="s">
        <v>4373</v>
      </c>
      <c r="E1297" s="2" t="b">
        <v>1</v>
      </c>
      <c r="F1297" s="2" t="b">
        <v>0</v>
      </c>
      <c r="G1297" s="2" t="s">
        <v>9937</v>
      </c>
      <c r="H1297" s="3" t="str">
        <f>_xlfn.IFNA(INDEX(RulebookFields!C2:C999, MATCH(D1297,RulebookFields!A2:A999, 0)), "")</f>
      </c>
      <c r="I1297" s="3" t="str">
        <f>_xlfn.IFNA(INDEX(RulebookFields!D2:D999, MATCH(D1297,RulebookFields!A2:A999, 0)), "")</f>
      </c>
      <c r="J1297" s="3" t="str">
        <f>_xlfn.IFNA(INDEX(RulebookFields!I2:I999, MATCH(D1297,RulebookFields!A2:A999, 0)), "")</f>
      </c>
      <c r="K1297" s="3" t="b">
        <f>AND(F1297, J1297)</f>
        <v>0</v>
      </c>
      <c r="L1297" s="3" t="b">
        <f>AND(G1297 &lt;&gt; "plain", G1297 &lt;&gt; "")</f>
        <v>0</v>
      </c>
      <c r="M1297" s="3" t="str">
        <f>IF(E1297, C1297 &amp; "|" &amp; H1297, "")</f>
        <v>principal-process-steward|</v>
      </c>
      <c r="N1297" s="2" t="s">
        <v>9938</v>
      </c>
    </row>
    <row r="1298">
      <c r="A1298" s="2" t="s">
        <v>11234</v>
      </c>
      <c r="B1298" s="3" t="str">
        <f>C1298 &amp; " -&gt; " &amp; D1298</f>
        <v>principal-process-steward -&gt; Recipients.SemanticTypeIri</v>
      </c>
      <c r="C1298" s="2" t="s">
        <v>9706</v>
      </c>
      <c r="D1298" s="2" t="s">
        <v>4376</v>
      </c>
      <c r="E1298" s="2" t="b">
        <v>1</v>
      </c>
      <c r="F1298" s="2" t="b">
        <v>0</v>
      </c>
      <c r="G1298" s="2" t="s">
        <v>9937</v>
      </c>
      <c r="H1298" s="3" t="str">
        <f>_xlfn.IFNA(INDEX(RulebookFields!C2:C999, MATCH(D1298,RulebookFields!A2:A999, 0)), "")</f>
      </c>
      <c r="I1298" s="3" t="str">
        <f>_xlfn.IFNA(INDEX(RulebookFields!D2:D999, MATCH(D1298,RulebookFields!A2:A999, 0)), "")</f>
      </c>
      <c r="J1298" s="3" t="str">
        <f>_xlfn.IFNA(INDEX(RulebookFields!I2:I999, MATCH(D1298,RulebookFields!A2:A999, 0)), "")</f>
      </c>
      <c r="K1298" s="3" t="b">
        <f>AND(F1298, J1298)</f>
        <v>0</v>
      </c>
      <c r="L1298" s="3" t="b">
        <f>AND(G1298 &lt;&gt; "plain", G1298 &lt;&gt; "")</f>
        <v>0</v>
      </c>
      <c r="M1298" s="3" t="str">
        <f>IF(E1298, C1298 &amp; "|" &amp; H1298, "")</f>
        <v>principal-process-steward|</v>
      </c>
      <c r="N1298" s="2" t="s">
        <v>9938</v>
      </c>
    </row>
    <row r="1299">
      <c r="A1299" s="2" t="s">
        <v>11235</v>
      </c>
      <c r="B1299" s="3" t="str">
        <f>C1299 &amp; " -&gt; " &amp; D1299</f>
        <v>principal-process-steward -&gt; RequirementSatisfactions.RequirementSatisfactionId</v>
      </c>
      <c r="C1299" s="2" t="s">
        <v>9706</v>
      </c>
      <c r="D1299" s="2" t="s">
        <v>3707</v>
      </c>
      <c r="E1299" s="2" t="b">
        <v>1</v>
      </c>
      <c r="F1299" s="2" t="b">
        <v>0</v>
      </c>
      <c r="G1299" s="2" t="s">
        <v>9937</v>
      </c>
      <c r="H1299" s="3" t="str">
        <f>_xlfn.IFNA(INDEX(RulebookFields!C2:C999, MATCH(D1299,RulebookFields!A2:A999, 0)), "")</f>
        <v>RequirementSatisfactions</v>
      </c>
      <c r="I1299" s="3" t="str">
        <f>_xlfn.IFNA(INDEX(RulebookFields!D2:D999, MATCH(D1299,RulebookFields!A2:A999, 0)), "")</f>
        <v>RequirementSatisfactionId</v>
      </c>
      <c r="J1299" s="3" t="b">
        <f>_xlfn.IFNA(INDEX(RulebookFields!I2:I999, MATCH(D1299,RulebookFields!A2:A999, 0)), "")</f>
        <v>0</v>
      </c>
      <c r="K1299" s="3" t="b">
        <f>AND(F1299, J1299)</f>
        <v>0</v>
      </c>
      <c r="L1299" s="3" t="b">
        <f>AND(G1299 &lt;&gt; "plain", G1299 &lt;&gt; "")</f>
        <v>0</v>
      </c>
      <c r="M1299" s="3" t="str">
        <f>IF(E1299, C1299 &amp; "|" &amp; H1299, "")</f>
        <v>principal-process-steward|RequirementSatisfactions</v>
      </c>
      <c r="N1299" s="2" t="s">
        <v>9938</v>
      </c>
    </row>
    <row r="1300">
      <c r="A1300" s="2" t="s">
        <v>11236</v>
      </c>
      <c r="B1300" s="3" t="str">
        <f>C1300 &amp; " -&gt; " &amp; D1300</f>
        <v>principal-process-steward -&gt; RequirementSatisfactions.Name</v>
      </c>
      <c r="C1300" s="2" t="s">
        <v>9706</v>
      </c>
      <c r="D1300" s="2" t="s">
        <v>3708</v>
      </c>
      <c r="E1300" s="2" t="b">
        <v>1</v>
      </c>
      <c r="F1300" s="2" t="b">
        <v>0</v>
      </c>
      <c r="G1300" s="2" t="s">
        <v>9937</v>
      </c>
      <c r="H1300" s="3" t="str">
        <f>_xlfn.IFNA(INDEX(RulebookFields!C2:C999, MATCH(D1300,RulebookFields!A2:A999, 0)), "")</f>
        <v>RequirementSatisfactions</v>
      </c>
      <c r="I1300" s="3" t="str">
        <f>_xlfn.IFNA(INDEX(RulebookFields!D2:D999, MATCH(D1300,RulebookFields!A2:A999, 0)), "")</f>
        <v>Name</v>
      </c>
      <c r="J1300" s="3" t="b">
        <f>_xlfn.IFNA(INDEX(RulebookFields!I2:I999, MATCH(D1300,RulebookFields!A2:A999, 0)), "")</f>
        <v>1</v>
      </c>
      <c r="K1300" s="3" t="b">
        <f>AND(F1300, J1300)</f>
        <v>0</v>
      </c>
      <c r="L1300" s="3" t="b">
        <f>AND(G1300 &lt;&gt; "plain", G1300 &lt;&gt; "")</f>
        <v>0</v>
      </c>
      <c r="M1300" s="3" t="str">
        <f>IF(E1300, C1300 &amp; "|" &amp; H1300, "")</f>
        <v>principal-process-steward|RequirementSatisfactions</v>
      </c>
      <c r="N1300" s="2" t="s">
        <v>9938</v>
      </c>
    </row>
    <row r="1301">
      <c r="A1301" s="2" t="s">
        <v>11237</v>
      </c>
      <c r="B1301" s="3" t="str">
        <f>C1301 &amp; " -&gt; " &amp; D1301</f>
        <v>principal-process-steward -&gt; RequirementSatisfactions.StepExecution</v>
      </c>
      <c r="C1301" s="2" t="s">
        <v>9706</v>
      </c>
      <c r="D1301" s="2" t="s">
        <v>3710</v>
      </c>
      <c r="E1301" s="2" t="b">
        <v>1</v>
      </c>
      <c r="F1301" s="2" t="b">
        <v>0</v>
      </c>
      <c r="G1301" s="2" t="s">
        <v>9937</v>
      </c>
      <c r="H1301" s="3" t="str">
        <f>_xlfn.IFNA(INDEX(RulebookFields!C2:C999, MATCH(D1301,RulebookFields!A2:A999, 0)), "")</f>
        <v>RequirementSatisfactions</v>
      </c>
      <c r="I1301" s="3" t="str">
        <f>_xlfn.IFNA(INDEX(RulebookFields!D2:D999, MATCH(D1301,RulebookFields!A2:A999, 0)), "")</f>
        <v>StepExecution</v>
      </c>
      <c r="J1301" s="3" t="b">
        <f>_xlfn.IFNA(INDEX(RulebookFields!I2:I999, MATCH(D1301,RulebookFields!A2:A999, 0)), "")</f>
        <v>0</v>
      </c>
      <c r="K1301" s="3" t="b">
        <f>AND(F1301, J1301)</f>
        <v>0</v>
      </c>
      <c r="L1301" s="3" t="b">
        <f>AND(G1301 &lt;&gt; "plain", G1301 &lt;&gt; "")</f>
        <v>0</v>
      </c>
      <c r="M1301" s="3" t="str">
        <f>IF(E1301, C1301 &amp; "|" &amp; H1301, "")</f>
        <v>principal-process-steward|RequirementSatisfactions</v>
      </c>
      <c r="N1301" s="2" t="s">
        <v>9938</v>
      </c>
    </row>
    <row r="1302">
      <c r="A1302" s="2" t="s">
        <v>11238</v>
      </c>
      <c r="B1302" s="3" t="str">
        <f>C1302 &amp; " -&gt; " &amp; D1302</f>
        <v>principal-process-steward -&gt; RequirementSatisfactions.Requirement</v>
      </c>
      <c r="C1302" s="2" t="s">
        <v>9706</v>
      </c>
      <c r="D1302" s="2" t="s">
        <v>3711</v>
      </c>
      <c r="E1302" s="2" t="b">
        <v>1</v>
      </c>
      <c r="F1302" s="2" t="b">
        <v>0</v>
      </c>
      <c r="G1302" s="2" t="s">
        <v>9937</v>
      </c>
      <c r="H1302" s="3" t="str">
        <f>_xlfn.IFNA(INDEX(RulebookFields!C2:C999, MATCH(D1302,RulebookFields!A2:A999, 0)), "")</f>
        <v>RequirementSatisfactions</v>
      </c>
      <c r="I1302" s="3" t="str">
        <f>_xlfn.IFNA(INDEX(RulebookFields!D2:D999, MATCH(D1302,RulebookFields!A2:A999, 0)), "")</f>
        <v>Requirement</v>
      </c>
      <c r="J1302" s="3" t="b">
        <f>_xlfn.IFNA(INDEX(RulebookFields!I2:I999, MATCH(D1302,RulebookFields!A2:A999, 0)), "")</f>
        <v>0</v>
      </c>
      <c r="K1302" s="3" t="b">
        <f>AND(F1302, J1302)</f>
        <v>0</v>
      </c>
      <c r="L1302" s="3" t="b">
        <f>AND(G1302 &lt;&gt; "plain", G1302 &lt;&gt; "")</f>
        <v>0</v>
      </c>
      <c r="M1302" s="3" t="str">
        <f>IF(E1302, C1302 &amp; "|" &amp; H1302, "")</f>
        <v>principal-process-steward|RequirementSatisfactions</v>
      </c>
      <c r="N1302" s="2" t="s">
        <v>9938</v>
      </c>
    </row>
    <row r="1303">
      <c r="A1303" s="2" t="s">
        <v>11239</v>
      </c>
      <c r="B1303" s="3" t="str">
        <f>C1303 &amp; " -&gt; " &amp; D1303</f>
        <v>principal-process-steward -&gt; RequirementSatisfactions.SatisfactionLevel</v>
      </c>
      <c r="C1303" s="2" t="s">
        <v>9706</v>
      </c>
      <c r="D1303" s="2" t="s">
        <v>3712</v>
      </c>
      <c r="E1303" s="2" t="b">
        <v>1</v>
      </c>
      <c r="F1303" s="2" t="b">
        <v>0</v>
      </c>
      <c r="G1303" s="2" t="s">
        <v>9937</v>
      </c>
      <c r="H1303" s="3" t="str">
        <f>_xlfn.IFNA(INDEX(RulebookFields!C2:C999, MATCH(D1303,RulebookFields!A2:A999, 0)), "")</f>
        <v>RequirementSatisfactions</v>
      </c>
      <c r="I1303" s="3" t="str">
        <f>_xlfn.IFNA(INDEX(RulebookFields!D2:D999, MATCH(D1303,RulebookFields!A2:A999, 0)), "")</f>
        <v>SatisfactionLevel</v>
      </c>
      <c r="J1303" s="3" t="b">
        <f>_xlfn.IFNA(INDEX(RulebookFields!I2:I999, MATCH(D1303,RulebookFields!A2:A999, 0)), "")</f>
        <v>0</v>
      </c>
      <c r="K1303" s="3" t="b">
        <f>AND(F1303, J1303)</f>
        <v>0</v>
      </c>
      <c r="L1303" s="3" t="b">
        <f>AND(G1303 &lt;&gt; "plain", G1303 &lt;&gt; "")</f>
        <v>0</v>
      </c>
      <c r="M1303" s="3" t="str">
        <f>IF(E1303, C1303 &amp; "|" &amp; H1303, "")</f>
        <v>principal-process-steward|RequirementSatisfactions</v>
      </c>
      <c r="N1303" s="2" t="s">
        <v>9938</v>
      </c>
    </row>
    <row r="1304">
      <c r="A1304" s="2" t="s">
        <v>11240</v>
      </c>
      <c r="B1304" s="3" t="str">
        <f>C1304 &amp; " -&gt; " &amp; D1304</f>
        <v>principal-process-steward -&gt; RequirementSatisfactions.Evidence</v>
      </c>
      <c r="C1304" s="2" t="s">
        <v>9706</v>
      </c>
      <c r="D1304" s="2" t="s">
        <v>3713</v>
      </c>
      <c r="E1304" s="2" t="b">
        <v>1</v>
      </c>
      <c r="F1304" s="2" t="b">
        <v>0</v>
      </c>
      <c r="G1304" s="2" t="s">
        <v>9937</v>
      </c>
      <c r="H1304" s="3" t="str">
        <f>_xlfn.IFNA(INDEX(RulebookFields!C2:C999, MATCH(D1304,RulebookFields!A2:A999, 0)), "")</f>
        <v>RequirementSatisfactions</v>
      </c>
      <c r="I1304" s="3" t="str">
        <f>_xlfn.IFNA(INDEX(RulebookFields!D2:D999, MATCH(D1304,RulebookFields!A2:A999, 0)), "")</f>
        <v>Evidence</v>
      </c>
      <c r="J1304" s="3" t="b">
        <f>_xlfn.IFNA(INDEX(RulebookFields!I2:I999, MATCH(D1304,RulebookFields!A2:A999, 0)), "")</f>
        <v>0</v>
      </c>
      <c r="K1304" s="3" t="b">
        <f>AND(F1304, J1304)</f>
        <v>0</v>
      </c>
      <c r="L1304" s="3" t="b">
        <f>AND(G1304 &lt;&gt; "plain", G1304 &lt;&gt; "")</f>
        <v>0</v>
      </c>
      <c r="M1304" s="3" t="str">
        <f>IF(E1304, C1304 &amp; "|" &amp; H1304, "")</f>
        <v>principal-process-steward|RequirementSatisfactions</v>
      </c>
      <c r="N1304" s="2" t="s">
        <v>9938</v>
      </c>
    </row>
    <row r="1305">
      <c r="A1305" s="2" t="s">
        <v>11241</v>
      </c>
      <c r="B1305" s="3" t="str">
        <f>C1305 &amp; " -&gt; " &amp; D1305</f>
        <v>principal-process-steward -&gt; RequirementSatisfactions.EvaluatedByAgent</v>
      </c>
      <c r="C1305" s="2" t="s">
        <v>9706</v>
      </c>
      <c r="D1305" s="2" t="s">
        <v>3714</v>
      </c>
      <c r="E1305" s="2" t="b">
        <v>1</v>
      </c>
      <c r="F1305" s="2" t="b">
        <v>0</v>
      </c>
      <c r="G1305" s="2" t="s">
        <v>9937</v>
      </c>
      <c r="H1305" s="3" t="str">
        <f>_xlfn.IFNA(INDEX(RulebookFields!C2:C999, MATCH(D1305,RulebookFields!A2:A999, 0)), "")</f>
        <v>RequirementSatisfactions</v>
      </c>
      <c r="I1305" s="3" t="str">
        <f>_xlfn.IFNA(INDEX(RulebookFields!D2:D999, MATCH(D1305,RulebookFields!A2:A999, 0)), "")</f>
        <v>EvaluatedByAgent</v>
      </c>
      <c r="J1305" s="3" t="b">
        <f>_xlfn.IFNA(INDEX(RulebookFields!I2:I999, MATCH(D1305,RulebookFields!A2:A999, 0)), "")</f>
        <v>0</v>
      </c>
      <c r="K1305" s="3" t="b">
        <f>AND(F1305, J1305)</f>
        <v>0</v>
      </c>
      <c r="L1305" s="3" t="b">
        <f>AND(G1305 &lt;&gt; "plain", G1305 &lt;&gt; "")</f>
        <v>0</v>
      </c>
      <c r="M1305" s="3" t="str">
        <f>IF(E1305, C1305 &amp; "|" &amp; H1305, "")</f>
        <v>principal-process-steward|RequirementSatisfactions</v>
      </c>
      <c r="N1305" s="2" t="s">
        <v>9938</v>
      </c>
    </row>
    <row r="1306">
      <c r="A1306" s="2" t="s">
        <v>11242</v>
      </c>
      <c r="B1306" s="3" t="str">
        <f>C1306 &amp; " -&gt; " &amp; D1306</f>
        <v>principal-process-steward -&gt; RequirementSatisfactions.EvaluatedAt</v>
      </c>
      <c r="C1306" s="2" t="s">
        <v>9706</v>
      </c>
      <c r="D1306" s="2" t="s">
        <v>3715</v>
      </c>
      <c r="E1306" s="2" t="b">
        <v>1</v>
      </c>
      <c r="F1306" s="2" t="b">
        <v>0</v>
      </c>
      <c r="G1306" s="2" t="s">
        <v>9937</v>
      </c>
      <c r="H1306" s="3" t="str">
        <f>_xlfn.IFNA(INDEX(RulebookFields!C2:C999, MATCH(D1306,RulebookFields!A2:A999, 0)), "")</f>
        <v>RequirementSatisfactions</v>
      </c>
      <c r="I1306" s="3" t="str">
        <f>_xlfn.IFNA(INDEX(RulebookFields!D2:D999, MATCH(D1306,RulebookFields!A2:A999, 0)), "")</f>
        <v>EvaluatedAt</v>
      </c>
      <c r="J1306" s="3" t="b">
        <f>_xlfn.IFNA(INDEX(RulebookFields!I2:I999, MATCH(D1306,RulebookFields!A2:A999, 0)), "")</f>
        <v>0</v>
      </c>
      <c r="K1306" s="3" t="b">
        <f>AND(F1306, J1306)</f>
        <v>0</v>
      </c>
      <c r="L1306" s="3" t="b">
        <f>AND(G1306 &lt;&gt; "plain", G1306 &lt;&gt; "")</f>
        <v>0</v>
      </c>
      <c r="M1306" s="3" t="str">
        <f>IF(E1306, C1306 &amp; "|" &amp; H1306, "")</f>
        <v>principal-process-steward|RequirementSatisfactions</v>
      </c>
      <c r="N1306" s="2" t="s">
        <v>9938</v>
      </c>
    </row>
    <row r="1307">
      <c r="A1307" s="2" t="s">
        <v>11243</v>
      </c>
      <c r="B1307" s="3" t="str">
        <f>C1307 &amp; " -&gt; " &amp; D1307</f>
        <v>principal-process-steward -&gt; RequirementSatisfactions.RequirementIsBlocking</v>
      </c>
      <c r="C1307" s="2" t="s">
        <v>9706</v>
      </c>
      <c r="D1307" s="2" t="s">
        <v>3716</v>
      </c>
      <c r="E1307" s="2" t="b">
        <v>1</v>
      </c>
      <c r="F1307" s="2" t="b">
        <v>0</v>
      </c>
      <c r="G1307" s="2" t="s">
        <v>9937</v>
      </c>
      <c r="H1307" s="3" t="str">
        <f>_xlfn.IFNA(INDEX(RulebookFields!C2:C999, MATCH(D1307,RulebookFields!A2:A999, 0)), "")</f>
        <v>RequirementSatisfactions</v>
      </c>
      <c r="I1307" s="3" t="str">
        <f>_xlfn.IFNA(INDEX(RulebookFields!D2:D999, MATCH(D1307,RulebookFields!A2:A999, 0)), "")</f>
        <v>RequirementIsBlocking</v>
      </c>
      <c r="J1307" s="3" t="b">
        <f>_xlfn.IFNA(INDEX(RulebookFields!I2:I999, MATCH(D1307,RulebookFields!A2:A999, 0)), "")</f>
        <v>1</v>
      </c>
      <c r="K1307" s="3" t="b">
        <f>AND(F1307, J1307)</f>
        <v>0</v>
      </c>
      <c r="L1307" s="3" t="b">
        <f>AND(G1307 &lt;&gt; "plain", G1307 &lt;&gt; "")</f>
        <v>0</v>
      </c>
      <c r="M1307" s="3" t="str">
        <f>IF(E1307, C1307 &amp; "|" &amp; H1307, "")</f>
        <v>principal-process-steward|RequirementSatisfactions</v>
      </c>
      <c r="N1307" s="2" t="s">
        <v>9938</v>
      </c>
    </row>
    <row r="1308">
      <c r="A1308" s="2" t="s">
        <v>11244</v>
      </c>
      <c r="B1308" s="3" t="str">
        <f>C1308 &amp; " -&gt; " &amp; D1308</f>
        <v>principal-process-steward -&gt; RequirementSatisfactions.IsFullySatisfied</v>
      </c>
      <c r="C1308" s="2" t="s">
        <v>9706</v>
      </c>
      <c r="D1308" s="2" t="s">
        <v>3717</v>
      </c>
      <c r="E1308" s="2" t="b">
        <v>1</v>
      </c>
      <c r="F1308" s="2" t="b">
        <v>0</v>
      </c>
      <c r="G1308" s="2" t="s">
        <v>9937</v>
      </c>
      <c r="H1308" s="3" t="str">
        <f>_xlfn.IFNA(INDEX(RulebookFields!C2:C999, MATCH(D1308,RulebookFields!A2:A999, 0)), "")</f>
        <v>RequirementSatisfactions</v>
      </c>
      <c r="I1308" s="3" t="str">
        <f>_xlfn.IFNA(INDEX(RulebookFields!D2:D999, MATCH(D1308,RulebookFields!A2:A999, 0)), "")</f>
        <v>IsFullySatisfied</v>
      </c>
      <c r="J1308" s="3" t="b">
        <f>_xlfn.IFNA(INDEX(RulebookFields!I2:I999, MATCH(D1308,RulebookFields!A2:A999, 0)), "")</f>
        <v>1</v>
      </c>
      <c r="K1308" s="3" t="b">
        <f>AND(F1308, J1308)</f>
        <v>0</v>
      </c>
      <c r="L1308" s="3" t="b">
        <f>AND(G1308 &lt;&gt; "plain", G1308 &lt;&gt; "")</f>
        <v>0</v>
      </c>
      <c r="M1308" s="3" t="str">
        <f>IF(E1308, C1308 &amp; "|" &amp; H1308, "")</f>
        <v>principal-process-steward|RequirementSatisfactions</v>
      </c>
      <c r="N1308" s="2" t="s">
        <v>9938</v>
      </c>
    </row>
    <row r="1309">
      <c r="A1309" s="2" t="s">
        <v>11245</v>
      </c>
      <c r="B1309" s="3" t="str">
        <f>C1309 &amp; " -&gt; " &amp; D1309</f>
        <v>principal-process-steward -&gt; RequirementSatisfactions.IsBlockingAndUnmet</v>
      </c>
      <c r="C1309" s="2" t="s">
        <v>9706</v>
      </c>
      <c r="D1309" s="2" t="s">
        <v>845</v>
      </c>
      <c r="E1309" s="2" t="b">
        <v>1</v>
      </c>
      <c r="F1309" s="2" t="b">
        <v>0</v>
      </c>
      <c r="G1309" s="2" t="s">
        <v>9937</v>
      </c>
      <c r="H1309" s="3" t="str">
        <f>_xlfn.IFNA(INDEX(RulebookFields!C2:C999, MATCH(D1309,RulebookFields!A2:A999, 0)), "")</f>
        <v>RequirementSatisfactions</v>
      </c>
      <c r="I1309" s="3" t="str">
        <f>_xlfn.IFNA(INDEX(RulebookFields!D2:D999, MATCH(D1309,RulebookFields!A2:A999, 0)), "")</f>
        <v>IsBlockingAndUnmet</v>
      </c>
      <c r="J1309" s="3" t="b">
        <f>_xlfn.IFNA(INDEX(RulebookFields!I2:I999, MATCH(D1309,RulebookFields!A2:A999, 0)), "")</f>
        <v>1</v>
      </c>
      <c r="K1309" s="3" t="b">
        <f>AND(F1309, J1309)</f>
        <v>0</v>
      </c>
      <c r="L1309" s="3" t="b">
        <f>AND(G1309 &lt;&gt; "plain", G1309 &lt;&gt; "")</f>
        <v>0</v>
      </c>
      <c r="M1309" s="3" t="str">
        <f>IF(E1309, C1309 &amp; "|" &amp; H1309, "")</f>
        <v>principal-process-steward|RequirementSatisfactions</v>
      </c>
      <c r="N1309" s="2" t="s">
        <v>9938</v>
      </c>
    </row>
    <row r="1310">
      <c r="A1310" s="2" t="s">
        <v>11246</v>
      </c>
      <c r="B1310" s="3" t="str">
        <f>C1310 &amp; " -&gt; " &amp; D1310</f>
        <v>principal-process-steward -&gt; RequirementSatisfactions.BlockingUnmetStepKey</v>
      </c>
      <c r="C1310" s="2" t="s">
        <v>9706</v>
      </c>
      <c r="D1310" s="2" t="s">
        <v>3720</v>
      </c>
      <c r="E1310" s="2" t="b">
        <v>1</v>
      </c>
      <c r="F1310" s="2" t="b">
        <v>0</v>
      </c>
      <c r="G1310" s="2" t="s">
        <v>9937</v>
      </c>
      <c r="H1310" s="3" t="str">
        <f>_xlfn.IFNA(INDEX(RulebookFields!C2:C999, MATCH(D1310,RulebookFields!A2:A999, 0)), "")</f>
        <v>RequirementSatisfactions</v>
      </c>
      <c r="I1310" s="3" t="str">
        <f>_xlfn.IFNA(INDEX(RulebookFields!D2:D999, MATCH(D1310,RulebookFields!A2:A999, 0)), "")</f>
        <v>BlockingUnmetStepKey</v>
      </c>
      <c r="J1310" s="3" t="b">
        <f>_xlfn.IFNA(INDEX(RulebookFields!I2:I999, MATCH(D1310,RulebookFields!A2:A999, 0)), "")</f>
        <v>1</v>
      </c>
      <c r="K1310" s="3" t="b">
        <f>AND(F1310, J1310)</f>
        <v>0</v>
      </c>
      <c r="L1310" s="3" t="b">
        <f>AND(G1310 &lt;&gt; "plain", G1310 &lt;&gt; "")</f>
        <v>0</v>
      </c>
      <c r="M1310" s="3" t="str">
        <f>IF(E1310, C1310 &amp; "|" &amp; H1310, "")</f>
        <v>principal-process-steward|RequirementSatisfactions</v>
      </c>
      <c r="N1310" s="2" t="s">
        <v>9938</v>
      </c>
    </row>
    <row r="1311">
      <c r="A1311" s="2" t="s">
        <v>11247</v>
      </c>
      <c r="B1311" s="3" t="str">
        <f>C1311 &amp; " -&gt; " &amp; D1311</f>
        <v>principal-process-steward -&gt; RequirementSatisfactions.BlockingSatisfactionStepKey</v>
      </c>
      <c r="C1311" s="2" t="s">
        <v>9706</v>
      </c>
      <c r="D1311" s="2" t="s">
        <v>3722</v>
      </c>
      <c r="E1311" s="2" t="b">
        <v>1</v>
      </c>
      <c r="F1311" s="2" t="b">
        <v>0</v>
      </c>
      <c r="G1311" s="2" t="s">
        <v>9937</v>
      </c>
      <c r="H1311" s="3" t="str">
        <f>_xlfn.IFNA(INDEX(RulebookFields!C2:C999, MATCH(D1311,RulebookFields!A2:A999, 0)), "")</f>
        <v>RequirementSatisfactions</v>
      </c>
      <c r="I1311" s="3" t="str">
        <f>_xlfn.IFNA(INDEX(RulebookFields!D2:D999, MATCH(D1311,RulebookFields!A2:A999, 0)), "")</f>
        <v>BlockingSatisfactionStepKey</v>
      </c>
      <c r="J1311" s="3" t="b">
        <f>_xlfn.IFNA(INDEX(RulebookFields!I2:I999, MATCH(D1311,RulebookFields!A2:A999, 0)), "")</f>
        <v>1</v>
      </c>
      <c r="K1311" s="3" t="b">
        <f>AND(F1311, J1311)</f>
        <v>0</v>
      </c>
      <c r="L1311" s="3" t="b">
        <f>AND(G1311 &lt;&gt; "plain", G1311 &lt;&gt; "")</f>
        <v>0</v>
      </c>
      <c r="M1311" s="3" t="str">
        <f>IF(E1311, C1311 &amp; "|" &amp; H1311, "")</f>
        <v>principal-process-steward|RequirementSatisfactions</v>
      </c>
      <c r="N1311" s="2" t="s">
        <v>9938</v>
      </c>
    </row>
    <row r="1312">
      <c r="A1312" s="2" t="s">
        <v>11248</v>
      </c>
      <c r="B1312" s="3" t="str">
        <f>C1312 &amp; " -&gt; " &amp; D1312</f>
        <v>principal-process-steward -&gt; RequirementSatisfactions.NegativeOutcomeRequirementKey</v>
      </c>
      <c r="C1312" s="2" t="s">
        <v>9706</v>
      </c>
      <c r="D1312" s="2" t="s">
        <v>3724</v>
      </c>
      <c r="E1312" s="2" t="b">
        <v>1</v>
      </c>
      <c r="F1312" s="2" t="b">
        <v>0</v>
      </c>
      <c r="G1312" s="2" t="s">
        <v>9937</v>
      </c>
      <c r="H1312" s="3" t="str">
        <f>_xlfn.IFNA(INDEX(RulebookFields!C2:C999, MATCH(D1312,RulebookFields!A2:A999, 0)), "")</f>
        <v>RequirementSatisfactions</v>
      </c>
      <c r="I1312" s="3" t="str">
        <f>_xlfn.IFNA(INDEX(RulebookFields!D2:D999, MATCH(D1312,RulebookFields!A2:A999, 0)), "")</f>
        <v>NegativeOutcomeRequirementKey</v>
      </c>
      <c r="J1312" s="3" t="b">
        <f>_xlfn.IFNA(INDEX(RulebookFields!I2:I999, MATCH(D1312,RulebookFields!A2:A999, 0)), "")</f>
        <v>1</v>
      </c>
      <c r="K1312" s="3" t="b">
        <f>AND(F1312, J1312)</f>
        <v>0</v>
      </c>
      <c r="L1312" s="3" t="b">
        <f>AND(G1312 &lt;&gt; "plain", G1312 &lt;&gt; "")</f>
        <v>0</v>
      </c>
      <c r="M1312" s="3" t="str">
        <f>IF(E1312, C1312 &amp; "|" &amp; H1312, "")</f>
        <v>principal-process-steward|RequirementSatisfactions</v>
      </c>
      <c r="N1312" s="2" t="s">
        <v>9938</v>
      </c>
    </row>
    <row r="1313">
      <c r="A1313" s="2" t="s">
        <v>11249</v>
      </c>
      <c r="B1313" s="3" t="str">
        <f>C1313 &amp; " -&gt; " &amp; D1313</f>
        <v>principal-process-steward -&gt; RequirementSatisfactions.EvaluatorAgentKind</v>
      </c>
      <c r="C1313" s="2" t="s">
        <v>9706</v>
      </c>
      <c r="D1313" s="2" t="s">
        <v>3726</v>
      </c>
      <c r="E1313" s="2" t="b">
        <v>1</v>
      </c>
      <c r="F1313" s="2" t="b">
        <v>0</v>
      </c>
      <c r="G1313" s="2" t="s">
        <v>9937</v>
      </c>
      <c r="H1313" s="3" t="str">
        <f>_xlfn.IFNA(INDEX(RulebookFields!C2:C999, MATCH(D1313,RulebookFields!A2:A999, 0)), "")</f>
        <v>RequirementSatisfactions</v>
      </c>
      <c r="I1313" s="3" t="str">
        <f>_xlfn.IFNA(INDEX(RulebookFields!D2:D999, MATCH(D1313,RulebookFields!A2:A999, 0)), "")</f>
        <v>EvaluatorAgentKind</v>
      </c>
      <c r="J1313" s="3" t="b">
        <f>_xlfn.IFNA(INDEX(RulebookFields!I2:I999, MATCH(D1313,RulebookFields!A2:A999, 0)), "")</f>
        <v>1</v>
      </c>
      <c r="K1313" s="3" t="b">
        <f>AND(F1313, J1313)</f>
        <v>0</v>
      </c>
      <c r="L1313" s="3" t="b">
        <f>AND(G1313 &lt;&gt; "plain", G1313 &lt;&gt; "")</f>
        <v>0</v>
      </c>
      <c r="M1313" s="3" t="str">
        <f>IF(E1313, C1313 &amp; "|" &amp; H1313, "")</f>
        <v>principal-process-steward|RequirementSatisfactions</v>
      </c>
      <c r="N1313" s="2" t="s">
        <v>9938</v>
      </c>
    </row>
    <row r="1314">
      <c r="A1314" s="2" t="s">
        <v>11250</v>
      </c>
      <c r="B1314" s="3" t="str">
        <f>C1314 &amp; " -&gt; " &amp; D1314</f>
        <v>principal-process-steward -&gt; RequirementSatisfactions.NonHumanEvaluatedHumanControl</v>
      </c>
      <c r="C1314" s="2" t="s">
        <v>9706</v>
      </c>
      <c r="D1314" s="2" t="s">
        <v>3728</v>
      </c>
      <c r="E1314" s="2" t="b">
        <v>1</v>
      </c>
      <c r="F1314" s="2" t="b">
        <v>0</v>
      </c>
      <c r="G1314" s="2" t="s">
        <v>9937</v>
      </c>
      <c r="H1314" s="3" t="str">
        <f>_xlfn.IFNA(INDEX(RulebookFields!C2:C999, MATCH(D1314,RulebookFields!A2:A999, 0)), "")</f>
        <v>RequirementSatisfactions</v>
      </c>
      <c r="I1314" s="3" t="str">
        <f>_xlfn.IFNA(INDEX(RulebookFields!D2:D999, MATCH(D1314,RulebookFields!A2:A999, 0)), "")</f>
        <v>NonHumanEvaluatedHumanControl</v>
      </c>
      <c r="J1314" s="3" t="b">
        <f>_xlfn.IFNA(INDEX(RulebookFields!I2:I999, MATCH(D1314,RulebookFields!A2:A999, 0)), "")</f>
        <v>1</v>
      </c>
      <c r="K1314" s="3" t="b">
        <f>AND(F1314, J1314)</f>
        <v>0</v>
      </c>
      <c r="L1314" s="3" t="b">
        <f>AND(G1314 &lt;&gt; "plain", G1314 &lt;&gt; "")</f>
        <v>0</v>
      </c>
      <c r="M1314" s="3" t="str">
        <f>IF(E1314, C1314 &amp; "|" &amp; H1314, "")</f>
        <v>principal-process-steward|RequirementSatisfactions</v>
      </c>
      <c r="N1314" s="2" t="s">
        <v>9938</v>
      </c>
    </row>
    <row r="1315">
      <c r="A1315" s="2" t="s">
        <v>11251</v>
      </c>
      <c r="B1315" s="3" t="str">
        <f>C1315 &amp; " -&gt; " &amp; D1315</f>
        <v>principal-process-steward -&gt; RequirementSatisfactions.RequirementHasComputedWitness</v>
      </c>
      <c r="C1315" s="2" t="s">
        <v>9706</v>
      </c>
      <c r="D1315" s="2" t="s">
        <v>3730</v>
      </c>
      <c r="E1315" s="2" t="b">
        <v>1</v>
      </c>
      <c r="F1315" s="2" t="b">
        <v>0</v>
      </c>
      <c r="G1315" s="2" t="s">
        <v>9937</v>
      </c>
      <c r="H1315" s="3" t="str">
        <f>_xlfn.IFNA(INDEX(RulebookFields!C2:C999, MATCH(D1315,RulebookFields!A2:A999, 0)), "")</f>
        <v>RequirementSatisfactions</v>
      </c>
      <c r="I1315" s="3" t="str">
        <f>_xlfn.IFNA(INDEX(RulebookFields!D2:D999, MATCH(D1315,RulebookFields!A2:A999, 0)), "")</f>
        <v>RequirementHasComputedWitness</v>
      </c>
      <c r="J1315" s="3" t="b">
        <f>_xlfn.IFNA(INDEX(RulebookFields!I2:I999, MATCH(D1315,RulebookFields!A2:A999, 0)), "")</f>
        <v>1</v>
      </c>
      <c r="K1315" s="3" t="b">
        <f>AND(F1315, J1315)</f>
        <v>0</v>
      </c>
      <c r="L1315" s="3" t="b">
        <f>AND(G1315 &lt;&gt; "plain", G1315 &lt;&gt; "")</f>
        <v>0</v>
      </c>
      <c r="M1315" s="3" t="str">
        <f>IF(E1315, C1315 &amp; "|" &amp; H1315, "")</f>
        <v>principal-process-steward|RequirementSatisfactions</v>
      </c>
      <c r="N1315" s="2" t="s">
        <v>9938</v>
      </c>
    </row>
    <row r="1316">
      <c r="A1316" s="2" t="s">
        <v>11252</v>
      </c>
      <c r="B1316" s="3" t="str">
        <f>C1316 &amp; " -&gt; " &amp; D1316</f>
        <v>principal-process-steward -&gt; RequirementSatisfactions.IsAssertedOnly</v>
      </c>
      <c r="C1316" s="2" t="s">
        <v>9706</v>
      </c>
      <c r="D1316" s="2" t="s">
        <v>3732</v>
      </c>
      <c r="E1316" s="2" t="b">
        <v>1</v>
      </c>
      <c r="F1316" s="2" t="b">
        <v>0</v>
      </c>
      <c r="G1316" s="2" t="s">
        <v>9937</v>
      </c>
      <c r="H1316" s="3" t="str">
        <f>_xlfn.IFNA(INDEX(RulebookFields!C2:C999, MATCH(D1316,RulebookFields!A2:A999, 0)), "")</f>
        <v>RequirementSatisfactions</v>
      </c>
      <c r="I1316" s="3" t="str">
        <f>_xlfn.IFNA(INDEX(RulebookFields!D2:D999, MATCH(D1316,RulebookFields!A2:A999, 0)), "")</f>
        <v>IsAssertedOnly</v>
      </c>
      <c r="J1316" s="3" t="b">
        <f>_xlfn.IFNA(INDEX(RulebookFields!I2:I999, MATCH(D1316,RulebookFields!A2:A999, 0)), "")</f>
        <v>1</v>
      </c>
      <c r="K1316" s="3" t="b">
        <f>AND(F1316, J1316)</f>
        <v>0</v>
      </c>
      <c r="L1316" s="3" t="b">
        <f>AND(G1316 &lt;&gt; "plain", G1316 &lt;&gt; "")</f>
        <v>0</v>
      </c>
      <c r="M1316" s="3" t="str">
        <f>IF(E1316, C1316 &amp; "|" &amp; H1316, "")</f>
        <v>principal-process-steward|RequirementSatisfactions</v>
      </c>
      <c r="N1316" s="2" t="s">
        <v>9938</v>
      </c>
    </row>
    <row r="1317">
      <c r="A1317" s="2" t="s">
        <v>11253</v>
      </c>
      <c r="B1317" s="3" t="str">
        <f>C1317 &amp; " -&gt; " &amp; D1317</f>
        <v>principal-process-steward -&gt; RequirementSatisfactions.AssertedOnlyExecutionKey</v>
      </c>
      <c r="C1317" s="2" t="s">
        <v>9706</v>
      </c>
      <c r="D1317" s="2" t="s">
        <v>3734</v>
      </c>
      <c r="E1317" s="2" t="b">
        <v>1</v>
      </c>
      <c r="F1317" s="2" t="b">
        <v>0</v>
      </c>
      <c r="G1317" s="2" t="s">
        <v>9937</v>
      </c>
      <c r="H1317" s="3" t="str">
        <f>_xlfn.IFNA(INDEX(RulebookFields!C2:C999, MATCH(D1317,RulebookFields!A2:A999, 0)), "")</f>
        <v>RequirementSatisfactions</v>
      </c>
      <c r="I1317" s="3" t="str">
        <f>_xlfn.IFNA(INDEX(RulebookFields!D2:D999, MATCH(D1317,RulebookFields!A2:A999, 0)), "")</f>
        <v>AssertedOnlyExecutionKey</v>
      </c>
      <c r="J1317" s="3" t="b">
        <f>_xlfn.IFNA(INDEX(RulebookFields!I2:I999, MATCH(D1317,RulebookFields!A2:A999, 0)), "")</f>
        <v>1</v>
      </c>
      <c r="K1317" s="3" t="b">
        <f>AND(F1317, J1317)</f>
        <v>0</v>
      </c>
      <c r="L1317" s="3" t="b">
        <f>AND(G1317 &lt;&gt; "plain", G1317 &lt;&gt; "")</f>
        <v>0</v>
      </c>
      <c r="M1317" s="3" t="str">
        <f>IF(E1317, C1317 &amp; "|" &amp; H1317, "")</f>
        <v>principal-process-steward|RequirementSatisfactions</v>
      </c>
      <c r="N1317" s="2" t="s">
        <v>9938</v>
      </c>
    </row>
    <row r="1318">
      <c r="A1318" s="2" t="s">
        <v>11254</v>
      </c>
      <c r="B1318" s="3" t="str">
        <f>C1318 &amp; " -&gt; " &amp; D1318</f>
        <v>principal-process-steward -&gt; RequirementSatisfactions.ParentProcedureExecution</v>
      </c>
      <c r="C1318" s="2" t="s">
        <v>9706</v>
      </c>
      <c r="D1318" s="2" t="s">
        <v>3736</v>
      </c>
      <c r="E1318" s="2" t="b">
        <v>1</v>
      </c>
      <c r="F1318" s="2" t="b">
        <v>0</v>
      </c>
      <c r="G1318" s="2" t="s">
        <v>9937</v>
      </c>
      <c r="H1318" s="3" t="str">
        <f>_xlfn.IFNA(INDEX(RulebookFields!C2:C999, MATCH(D1318,RulebookFields!A2:A999, 0)), "")</f>
        <v>RequirementSatisfactions</v>
      </c>
      <c r="I1318" s="3" t="str">
        <f>_xlfn.IFNA(INDEX(RulebookFields!D2:D999, MATCH(D1318,RulebookFields!A2:A999, 0)), "")</f>
        <v>ParentProcedureExecution</v>
      </c>
      <c r="J1318" s="3" t="b">
        <f>_xlfn.IFNA(INDEX(RulebookFields!I2:I999, MATCH(D1318,RulebookFields!A2:A999, 0)), "")</f>
        <v>1</v>
      </c>
      <c r="K1318" s="3" t="b">
        <f>AND(F1318, J1318)</f>
        <v>0</v>
      </c>
      <c r="L1318" s="3" t="b">
        <f>AND(G1318 &lt;&gt; "plain", G1318 &lt;&gt; "")</f>
        <v>0</v>
      </c>
      <c r="M1318" s="3" t="str">
        <f>IF(E1318, C1318 &amp; "|" &amp; H1318, "")</f>
        <v>principal-process-steward|RequirementSatisfactions</v>
      </c>
      <c r="N1318" s="2" t="s">
        <v>9938</v>
      </c>
    </row>
    <row r="1319">
      <c r="A1319" s="2" t="s">
        <v>11255</v>
      </c>
      <c r="B1319" s="3" t="str">
        <f>C1319 &amp; " -&gt; " &amp; D1319</f>
        <v>principal-process-steward -&gt; RequirementSatisfactions.StepExecutionWhenScored</v>
      </c>
      <c r="C1319" s="2" t="s">
        <v>9706</v>
      </c>
      <c r="D1319" s="2" t="s">
        <v>3738</v>
      </c>
      <c r="E1319" s="2" t="b">
        <v>1</v>
      </c>
      <c r="F1319" s="2" t="b">
        <v>0</v>
      </c>
      <c r="G1319" s="2" t="s">
        <v>9937</v>
      </c>
      <c r="H1319" s="3" t="str">
        <f>_xlfn.IFNA(INDEX(RulebookFields!C2:C999, MATCH(D1319,RulebookFields!A2:A999, 0)), "")</f>
        <v>RequirementSatisfactions</v>
      </c>
      <c r="I1319" s="3" t="str">
        <f>_xlfn.IFNA(INDEX(RulebookFields!D2:D999, MATCH(D1319,RulebookFields!A2:A999, 0)), "")</f>
        <v>StepExecutionWhenScored</v>
      </c>
      <c r="J1319" s="3" t="b">
        <f>_xlfn.IFNA(INDEX(RulebookFields!I2:I999, MATCH(D1319,RulebookFields!A2:A999, 0)), "")</f>
        <v>1</v>
      </c>
      <c r="K1319" s="3" t="b">
        <f>AND(F1319, J1319)</f>
        <v>0</v>
      </c>
      <c r="L1319" s="3" t="b">
        <f>AND(G1319 &lt;&gt; "plain", G1319 &lt;&gt; "")</f>
        <v>0</v>
      </c>
      <c r="M1319" s="3" t="str">
        <f>IF(E1319, C1319 &amp; "|" &amp; H1319, "")</f>
        <v>principal-process-steward|RequirementSatisfactions</v>
      </c>
      <c r="N1319" s="2" t="s">
        <v>9938</v>
      </c>
    </row>
    <row r="1320">
      <c r="A1320" s="2" t="s">
        <v>11256</v>
      </c>
      <c r="B1320" s="3" t="str">
        <f>C1320 &amp; " -&gt; " &amp; D1320</f>
        <v>principal-process-steward -&gt; RequirementSatisfactions.IsHumanEvaluated</v>
      </c>
      <c r="C1320" s="2" t="s">
        <v>9706</v>
      </c>
      <c r="D1320" s="2" t="s">
        <v>3740</v>
      </c>
      <c r="E1320" s="2" t="b">
        <v>1</v>
      </c>
      <c r="F1320" s="2" t="b">
        <v>0</v>
      </c>
      <c r="G1320" s="2" t="s">
        <v>9937</v>
      </c>
      <c r="H1320" s="3" t="str">
        <f>_xlfn.IFNA(INDEX(RulebookFields!C2:C999, MATCH(D1320,RulebookFields!A2:A999, 0)), "")</f>
        <v>RequirementSatisfactions</v>
      </c>
      <c r="I1320" s="3" t="str">
        <f>_xlfn.IFNA(INDEX(RulebookFields!D2:D999, MATCH(D1320,RulebookFields!A2:A999, 0)), "")</f>
        <v>IsHumanEvaluated</v>
      </c>
      <c r="J1320" s="3" t="b">
        <f>_xlfn.IFNA(INDEX(RulebookFields!I2:I999, MATCH(D1320,RulebookFields!A2:A999, 0)), "")</f>
        <v>1</v>
      </c>
      <c r="K1320" s="3" t="b">
        <f>AND(F1320, J1320)</f>
        <v>0</v>
      </c>
      <c r="L1320" s="3" t="b">
        <f>AND(G1320 &lt;&gt; "plain", G1320 &lt;&gt; "")</f>
        <v>0</v>
      </c>
      <c r="M1320" s="3" t="str">
        <f>IF(E1320, C1320 &amp; "|" &amp; H1320, "")</f>
        <v>principal-process-steward|RequirementSatisfactions</v>
      </c>
      <c r="N1320" s="2" t="s">
        <v>9938</v>
      </c>
    </row>
    <row r="1321">
      <c r="A1321" s="2" t="s">
        <v>11257</v>
      </c>
      <c r="B1321" s="3" t="str">
        <f>C1321 &amp; " -&gt; " &amp; D1321</f>
        <v>principal-process-steward -&gt; RequirementSatisfactions.RequirementIsApprovalType</v>
      </c>
      <c r="C1321" s="2" t="s">
        <v>9706</v>
      </c>
      <c r="D1321" s="2" t="s">
        <v>3742</v>
      </c>
      <c r="E1321" s="2" t="b">
        <v>1</v>
      </c>
      <c r="F1321" s="2" t="b">
        <v>0</v>
      </c>
      <c r="G1321" s="2" t="s">
        <v>9937</v>
      </c>
      <c r="H1321" s="3" t="str">
        <f>_xlfn.IFNA(INDEX(RulebookFields!C2:C999, MATCH(D1321,RulebookFields!A2:A999, 0)), "")</f>
        <v>RequirementSatisfactions</v>
      </c>
      <c r="I1321" s="3" t="str">
        <f>_xlfn.IFNA(INDEX(RulebookFields!D2:D999, MATCH(D1321,RulebookFields!A2:A999, 0)), "")</f>
        <v>RequirementIsApprovalType</v>
      </c>
      <c r="J1321" s="3" t="b">
        <f>_xlfn.IFNA(INDEX(RulebookFields!I2:I999, MATCH(D1321,RulebookFields!A2:A999, 0)), "")</f>
        <v>1</v>
      </c>
      <c r="K1321" s="3" t="b">
        <f>AND(F1321, J1321)</f>
        <v>0</v>
      </c>
      <c r="L1321" s="3" t="b">
        <f>AND(G1321 &lt;&gt; "plain", G1321 &lt;&gt; "")</f>
        <v>0</v>
      </c>
      <c r="M1321" s="3" t="str">
        <f>IF(E1321, C1321 &amp; "|" &amp; H1321, "")</f>
        <v>principal-process-steward|RequirementSatisfactions</v>
      </c>
      <c r="N1321" s="2" t="s">
        <v>9938</v>
      </c>
    </row>
    <row r="1322">
      <c r="A1322" s="2" t="s">
        <v>11258</v>
      </c>
      <c r="B1322" s="3" t="str">
        <f>C1322 &amp; " -&gt; " &amp; D1322</f>
        <v>principal-process-steward -&gt; RequirementSatisfactions.IsInvalidApproval</v>
      </c>
      <c r="C1322" s="2" t="s">
        <v>9706</v>
      </c>
      <c r="D1322" s="2" t="s">
        <v>3744</v>
      </c>
      <c r="E1322" s="2" t="b">
        <v>1</v>
      </c>
      <c r="F1322" s="2" t="b">
        <v>0</v>
      </c>
      <c r="G1322" s="2" t="s">
        <v>9937</v>
      </c>
      <c r="H1322" s="3" t="str">
        <f>_xlfn.IFNA(INDEX(RulebookFields!C2:C999, MATCH(D1322,RulebookFields!A2:A999, 0)), "")</f>
        <v>RequirementSatisfactions</v>
      </c>
      <c r="I1322" s="3" t="str">
        <f>_xlfn.IFNA(INDEX(RulebookFields!D2:D999, MATCH(D1322,RulebookFields!A2:A999, 0)), "")</f>
        <v>IsInvalidApproval</v>
      </c>
      <c r="J1322" s="3" t="b">
        <f>_xlfn.IFNA(INDEX(RulebookFields!I2:I999, MATCH(D1322,RulebookFields!A2:A999, 0)), "")</f>
        <v>1</v>
      </c>
      <c r="K1322" s="3" t="b">
        <f>AND(F1322, J1322)</f>
        <v>0</v>
      </c>
      <c r="L1322" s="3" t="b">
        <f>AND(G1322 &lt;&gt; "plain", G1322 &lt;&gt; "")</f>
        <v>0</v>
      </c>
      <c r="M1322" s="3" t="str">
        <f>IF(E1322, C1322 &amp; "|" &amp; H1322, "")</f>
        <v>principal-process-steward|RequirementSatisfactions</v>
      </c>
      <c r="N1322" s="2" t="s">
        <v>9938</v>
      </c>
    </row>
    <row r="1323">
      <c r="A1323" s="2" t="s">
        <v>11259</v>
      </c>
      <c r="B1323" s="3" t="str">
        <f>C1323 &amp; " -&gt; " &amp; D1323</f>
        <v>principal-process-steward -&gt; RequirementSatisfactions.ProcedureExecutionOfSatisfaction</v>
      </c>
      <c r="C1323" s="2" t="s">
        <v>9706</v>
      </c>
      <c r="D1323" s="2" t="s">
        <v>3746</v>
      </c>
      <c r="E1323" s="2" t="b">
        <v>1</v>
      </c>
      <c r="F1323" s="2" t="b">
        <v>0</v>
      </c>
      <c r="G1323" s="2" t="s">
        <v>9937</v>
      </c>
      <c r="H1323" s="3" t="str">
        <f>_xlfn.IFNA(INDEX(RulebookFields!C2:C999, MATCH(D1323,RulebookFields!A2:A999, 0)), "")</f>
        <v>RequirementSatisfactions</v>
      </c>
      <c r="I1323" s="3" t="str">
        <f>_xlfn.IFNA(INDEX(RulebookFields!D2:D999, MATCH(D1323,RulebookFields!A2:A999, 0)), "")</f>
        <v>ProcedureExecutionOfSatisfaction</v>
      </c>
      <c r="J1323" s="3" t="b">
        <f>_xlfn.IFNA(INDEX(RulebookFields!I2:I999, MATCH(D1323,RulebookFields!A2:A999, 0)), "")</f>
        <v>1</v>
      </c>
      <c r="K1323" s="3" t="b">
        <f>AND(F1323, J1323)</f>
        <v>0</v>
      </c>
      <c r="L1323" s="3" t="b">
        <f>AND(G1323 &lt;&gt; "plain", G1323 &lt;&gt; "")</f>
        <v>0</v>
      </c>
      <c r="M1323" s="3" t="str">
        <f>IF(E1323, C1323 &amp; "|" &amp; H1323, "")</f>
        <v>principal-process-steward|RequirementSatisfactions</v>
      </c>
      <c r="N1323" s="2" t="s">
        <v>9938</v>
      </c>
    </row>
    <row r="1324">
      <c r="A1324" s="2" t="s">
        <v>11260</v>
      </c>
      <c r="B1324" s="3" t="str">
        <f>C1324 &amp; " -&gt; " &amp; D1324</f>
        <v>principal-process-steward -&gt; RequirementSatisfactions.RunWhenInvalidApproval</v>
      </c>
      <c r="C1324" s="2" t="s">
        <v>9706</v>
      </c>
      <c r="D1324" s="2" t="s">
        <v>3747</v>
      </c>
      <c r="E1324" s="2" t="b">
        <v>1</v>
      </c>
      <c r="F1324" s="2" t="b">
        <v>0</v>
      </c>
      <c r="G1324" s="2" t="s">
        <v>9937</v>
      </c>
      <c r="H1324" s="3" t="str">
        <f>_xlfn.IFNA(INDEX(RulebookFields!C2:C999, MATCH(D1324,RulebookFields!A2:A999, 0)), "")</f>
        <v>RequirementSatisfactions</v>
      </c>
      <c r="I1324" s="3" t="str">
        <f>_xlfn.IFNA(INDEX(RulebookFields!D2:D999, MATCH(D1324,RulebookFields!A2:A999, 0)), "")</f>
        <v>RunWhenInvalidApproval</v>
      </c>
      <c r="J1324" s="3" t="b">
        <f>_xlfn.IFNA(INDEX(RulebookFields!I2:I999, MATCH(D1324,RulebookFields!A2:A999, 0)), "")</f>
        <v>1</v>
      </c>
      <c r="K1324" s="3" t="b">
        <f>AND(F1324, J1324)</f>
        <v>0</v>
      </c>
      <c r="L1324" s="3" t="b">
        <f>AND(G1324 &lt;&gt; "plain", G1324 &lt;&gt; "")</f>
        <v>0</v>
      </c>
      <c r="M1324" s="3" t="str">
        <f>IF(E1324, C1324 &amp; "|" &amp; H1324, "")</f>
        <v>principal-process-steward|RequirementSatisfactions</v>
      </c>
      <c r="N1324" s="2" t="s">
        <v>9938</v>
      </c>
    </row>
    <row r="1325">
      <c r="A1325" s="2" t="s">
        <v>11261</v>
      </c>
      <c r="B1325" s="3" t="str">
        <f>C1325 &amp; " -&gt; " &amp; D1325</f>
        <v>principal-process-steward -&gt; RequirementSatisfactions.RequirementIsUnfalsified</v>
      </c>
      <c r="C1325" s="2" t="s">
        <v>9706</v>
      </c>
      <c r="D1325" s="2" t="s">
        <v>3749</v>
      </c>
      <c r="E1325" s="2" t="b">
        <v>1</v>
      </c>
      <c r="F1325" s="2" t="b">
        <v>0</v>
      </c>
      <c r="G1325" s="2" t="s">
        <v>9937</v>
      </c>
      <c r="H1325" s="3" t="str">
        <f>_xlfn.IFNA(INDEX(RulebookFields!C2:C999, MATCH(D1325,RulebookFields!A2:A999, 0)), "")</f>
        <v>RequirementSatisfactions</v>
      </c>
      <c r="I1325" s="3" t="str">
        <f>_xlfn.IFNA(INDEX(RulebookFields!D2:D999, MATCH(D1325,RulebookFields!A2:A999, 0)), "")</f>
        <v>RequirementIsUnfalsified</v>
      </c>
      <c r="J1325" s="3" t="b">
        <f>_xlfn.IFNA(INDEX(RulebookFields!I2:I999, MATCH(D1325,RulebookFields!A2:A999, 0)), "")</f>
        <v>1</v>
      </c>
      <c r="K1325" s="3" t="b">
        <f>AND(F1325, J1325)</f>
        <v>0</v>
      </c>
      <c r="L1325" s="3" t="b">
        <f>AND(G1325 &lt;&gt; "plain", G1325 &lt;&gt; "")</f>
        <v>0</v>
      </c>
      <c r="M1325" s="3" t="str">
        <f>IF(E1325, C1325 &amp; "|" &amp; H1325, "")</f>
        <v>principal-process-steward|RequirementSatisfactions</v>
      </c>
      <c r="N1325" s="2" t="s">
        <v>9938</v>
      </c>
    </row>
    <row r="1326">
      <c r="A1326" s="2" t="s">
        <v>11262</v>
      </c>
      <c r="B1326" s="3" t="str">
        <f>C1326 &amp; " -&gt; " &amp; D1326</f>
        <v>principal-process-steward -&gt; RequirementSatisfactions.IsClearanceByUnfalsifiedControl</v>
      </c>
      <c r="C1326" s="2" t="s">
        <v>9706</v>
      </c>
      <c r="D1326" s="2" t="s">
        <v>3751</v>
      </c>
      <c r="E1326" s="2" t="b">
        <v>1</v>
      </c>
      <c r="F1326" s="2" t="b">
        <v>0</v>
      </c>
      <c r="G1326" s="2" t="s">
        <v>9937</v>
      </c>
      <c r="H1326" s="3" t="str">
        <f>_xlfn.IFNA(INDEX(RulebookFields!C2:C999, MATCH(D1326,RulebookFields!A2:A999, 0)), "")</f>
        <v>RequirementSatisfactions</v>
      </c>
      <c r="I1326" s="3" t="str">
        <f>_xlfn.IFNA(INDEX(RulebookFields!D2:D999, MATCH(D1326,RulebookFields!A2:A999, 0)), "")</f>
        <v>IsClearanceByUnfalsifiedControl</v>
      </c>
      <c r="J1326" s="3" t="b">
        <f>_xlfn.IFNA(INDEX(RulebookFields!I2:I999, MATCH(D1326,RulebookFields!A2:A999, 0)), "")</f>
        <v>1</v>
      </c>
      <c r="K1326" s="3" t="b">
        <f>AND(F1326, J1326)</f>
        <v>0</v>
      </c>
      <c r="L1326" s="3" t="b">
        <f>AND(G1326 &lt;&gt; "plain", G1326 &lt;&gt; "")</f>
        <v>0</v>
      </c>
      <c r="M1326" s="3" t="str">
        <f>IF(E1326, C1326 &amp; "|" &amp; H1326, "")</f>
        <v>principal-process-steward|RequirementSatisfactions</v>
      </c>
      <c r="N1326" s="2" t="s">
        <v>9938</v>
      </c>
    </row>
    <row r="1327">
      <c r="A1327" s="2" t="s">
        <v>11263</v>
      </c>
      <c r="B1327" s="3" t="str">
        <f>C1327 &amp; " -&gt; " &amp; D1327</f>
        <v>principal-process-steward -&gt; RequirementSatisfactions.UnfalsifiedClearanceStepKey</v>
      </c>
      <c r="C1327" s="2" t="s">
        <v>9706</v>
      </c>
      <c r="D1327" s="2" t="s">
        <v>3753</v>
      </c>
      <c r="E1327" s="2" t="b">
        <v>1</v>
      </c>
      <c r="F1327" s="2" t="b">
        <v>0</v>
      </c>
      <c r="G1327" s="2" t="s">
        <v>9937</v>
      </c>
      <c r="H1327" s="3" t="str">
        <f>_xlfn.IFNA(INDEX(RulebookFields!C2:C999, MATCH(D1327,RulebookFields!A2:A999, 0)), "")</f>
        <v>RequirementSatisfactions</v>
      </c>
      <c r="I1327" s="3" t="str">
        <f>_xlfn.IFNA(INDEX(RulebookFields!D2:D999, MATCH(D1327,RulebookFields!A2:A999, 0)), "")</f>
        <v>UnfalsifiedClearanceStepKey</v>
      </c>
      <c r="J1327" s="3" t="b">
        <f>_xlfn.IFNA(INDEX(RulebookFields!I2:I999, MATCH(D1327,RulebookFields!A2:A999, 0)), "")</f>
        <v>1</v>
      </c>
      <c r="K1327" s="3" t="b">
        <f>AND(F1327, J1327)</f>
        <v>0</v>
      </c>
      <c r="L1327" s="3" t="b">
        <f>AND(G1327 &lt;&gt; "plain", G1327 &lt;&gt; "")</f>
        <v>0</v>
      </c>
      <c r="M1327" s="3" t="str">
        <f>IF(E1327, C1327 &amp; "|" &amp; H1327, "")</f>
        <v>principal-process-steward|RequirementSatisfactions</v>
      </c>
      <c r="N1327" s="2" t="s">
        <v>9938</v>
      </c>
    </row>
    <row r="1328">
      <c r="A1328" s="2" t="s">
        <v>11264</v>
      </c>
      <c r="B1328" s="3" t="str">
        <f>C1328 &amp; " -&gt; " &amp; D1328</f>
        <v>principal-process-steward -&gt; RequirementSatisfactions.SpecStepOfExecution</v>
      </c>
      <c r="C1328" s="2" t="s">
        <v>9706</v>
      </c>
      <c r="D1328" s="2" t="s">
        <v>3755</v>
      </c>
      <c r="E1328" s="2" t="b">
        <v>1</v>
      </c>
      <c r="F1328" s="2" t="b">
        <v>0</v>
      </c>
      <c r="G1328" s="2" t="s">
        <v>9937</v>
      </c>
      <c r="H1328" s="3" t="str">
        <f>_xlfn.IFNA(INDEX(RulebookFields!C2:C999, MATCH(D1328,RulebookFields!A2:A999, 0)), "")</f>
        <v>RequirementSatisfactions</v>
      </c>
      <c r="I1328" s="3" t="str">
        <f>_xlfn.IFNA(INDEX(RulebookFields!D2:D999, MATCH(D1328,RulebookFields!A2:A999, 0)), "")</f>
        <v>SpecStepOfExecution</v>
      </c>
      <c r="J1328" s="3" t="b">
        <f>_xlfn.IFNA(INDEX(RulebookFields!I2:I999, MATCH(D1328,RulebookFields!A2:A999, 0)), "")</f>
        <v>1</v>
      </c>
      <c r="K1328" s="3" t="b">
        <f>AND(F1328, J1328)</f>
        <v>0</v>
      </c>
      <c r="L1328" s="3" t="b">
        <f>AND(G1328 &lt;&gt; "plain", G1328 &lt;&gt; "")</f>
        <v>0</v>
      </c>
      <c r="M1328" s="3" t="str">
        <f>IF(E1328, C1328 &amp; "|" &amp; H1328, "")</f>
        <v>principal-process-steward|RequirementSatisfactions</v>
      </c>
      <c r="N1328" s="2" t="s">
        <v>9938</v>
      </c>
    </row>
    <row r="1329">
      <c r="A1329" s="2" t="s">
        <v>11265</v>
      </c>
      <c r="B1329" s="3" t="str">
        <f>C1329 &amp; " -&gt; " &amp; D1329</f>
        <v>principal-process-steward -&gt; RequirementSatisfactions.BindingKey</v>
      </c>
      <c r="C1329" s="2" t="s">
        <v>9706</v>
      </c>
      <c r="D1329" s="2" t="s">
        <v>3757</v>
      </c>
      <c r="E1329" s="2" t="b">
        <v>1</v>
      </c>
      <c r="F1329" s="2" t="b">
        <v>0</v>
      </c>
      <c r="G1329" s="2" t="s">
        <v>9937</v>
      </c>
      <c r="H1329" s="3" t="str">
        <f>_xlfn.IFNA(INDEX(RulebookFields!C2:C999, MATCH(D1329,RulebookFields!A2:A999, 0)), "")</f>
        <v>RequirementSatisfactions</v>
      </c>
      <c r="I1329" s="3" t="str">
        <f>_xlfn.IFNA(INDEX(RulebookFields!D2:D999, MATCH(D1329,RulebookFields!A2:A999, 0)), "")</f>
        <v>BindingKey</v>
      </c>
      <c r="J1329" s="3" t="b">
        <f>_xlfn.IFNA(INDEX(RulebookFields!I2:I999, MATCH(D1329,RulebookFields!A2:A999, 0)), "")</f>
        <v>1</v>
      </c>
      <c r="K1329" s="3" t="b">
        <f>AND(F1329, J1329)</f>
        <v>0</v>
      </c>
      <c r="L1329" s="3" t="b">
        <f>AND(G1329 &lt;&gt; "plain", G1329 &lt;&gt; "")</f>
        <v>0</v>
      </c>
      <c r="M1329" s="3" t="str">
        <f>IF(E1329, C1329 &amp; "|" &amp; H1329, "")</f>
        <v>principal-process-steward|RequirementSatisfactions</v>
      </c>
      <c r="N1329" s="2" t="s">
        <v>9938</v>
      </c>
    </row>
    <row r="1330">
      <c r="A1330" s="2" t="s">
        <v>11266</v>
      </c>
      <c r="B1330" s="3" t="str">
        <f>C1330 &amp; " -&gt; " &amp; D1330</f>
        <v>principal-process-steward -&gt; RequirementSatisfactions.ScoredStepExecutorAgent</v>
      </c>
      <c r="C1330" s="2" t="s">
        <v>9706</v>
      </c>
      <c r="D1330" s="2" t="s">
        <v>3759</v>
      </c>
      <c r="E1330" s="2" t="b">
        <v>1</v>
      </c>
      <c r="F1330" s="2" t="b">
        <v>0</v>
      </c>
      <c r="G1330" s="2" t="s">
        <v>9937</v>
      </c>
      <c r="H1330" s="3" t="str">
        <f>_xlfn.IFNA(INDEX(RulebookFields!C2:C999, MATCH(D1330,RulebookFields!A2:A999, 0)), "")</f>
        <v>RequirementSatisfactions</v>
      </c>
      <c r="I1330" s="3" t="str">
        <f>_xlfn.IFNA(INDEX(RulebookFields!D2:D999, MATCH(D1330,RulebookFields!A2:A999, 0)), "")</f>
        <v>ScoredStepExecutorAgent</v>
      </c>
      <c r="J1330" s="3" t="b">
        <f>_xlfn.IFNA(INDEX(RulebookFields!I2:I999, MATCH(D1330,RulebookFields!A2:A999, 0)), "")</f>
        <v>1</v>
      </c>
      <c r="K1330" s="3" t="b">
        <f>AND(F1330, J1330)</f>
        <v>0</v>
      </c>
      <c r="L1330" s="3" t="b">
        <f>AND(G1330 &lt;&gt; "plain", G1330 &lt;&gt; "")</f>
        <v>0</v>
      </c>
      <c r="M1330" s="3" t="str">
        <f>IF(E1330, C1330 &amp; "|" &amp; H1330, "")</f>
        <v>principal-process-steward|RequirementSatisfactions</v>
      </c>
      <c r="N1330" s="2" t="s">
        <v>9938</v>
      </c>
    </row>
    <row r="1331">
      <c r="A1331" s="2" t="s">
        <v>11267</v>
      </c>
      <c r="B1331" s="3" t="str">
        <f>C1331 &amp; " -&gt; " &amp; D1331</f>
        <v>principal-process-steward -&gt; RequirementSatisfactions.EvaluatorIsStepExecutor</v>
      </c>
      <c r="C1331" s="2" t="s">
        <v>9706</v>
      </c>
      <c r="D1331" s="2" t="s">
        <v>3761</v>
      </c>
      <c r="E1331" s="2" t="b">
        <v>1</v>
      </c>
      <c r="F1331" s="2" t="b">
        <v>0</v>
      </c>
      <c r="G1331" s="2" t="s">
        <v>9937</v>
      </c>
      <c r="H1331" s="3" t="str">
        <f>_xlfn.IFNA(INDEX(RulebookFields!C2:C999, MATCH(D1331,RulebookFields!A2:A999, 0)), "")</f>
        <v>RequirementSatisfactions</v>
      </c>
      <c r="I1331" s="3" t="str">
        <f>_xlfn.IFNA(INDEX(RulebookFields!D2:D999, MATCH(D1331,RulebookFields!A2:A999, 0)), "")</f>
        <v>EvaluatorIsStepExecutor</v>
      </c>
      <c r="J1331" s="3" t="b">
        <f>_xlfn.IFNA(INDEX(RulebookFields!I2:I999, MATCH(D1331,RulebookFields!A2:A999, 0)), "")</f>
        <v>1</v>
      </c>
      <c r="K1331" s="3" t="b">
        <f>AND(F1331, J1331)</f>
        <v>0</v>
      </c>
      <c r="L1331" s="3" t="b">
        <f>AND(G1331 &lt;&gt; "plain", G1331 &lt;&gt; "")</f>
        <v>0</v>
      </c>
      <c r="M1331" s="3" t="str">
        <f>IF(E1331, C1331 &amp; "|" &amp; H1331, "")</f>
        <v>principal-process-steward|RequirementSatisfactions</v>
      </c>
      <c r="N1331" s="2" t="s">
        <v>9938</v>
      </c>
    </row>
    <row r="1332">
      <c r="A1332" s="2" t="s">
        <v>11268</v>
      </c>
      <c r="B1332" s="3" t="str">
        <f>C1332 &amp; " -&gt; " &amp; D1332</f>
        <v>principal-process-steward -&gt; RequirementSatisfactions.RunOwnerAgent</v>
      </c>
      <c r="C1332" s="2" t="s">
        <v>9706</v>
      </c>
      <c r="D1332" s="2" t="s">
        <v>3763</v>
      </c>
      <c r="E1332" s="2" t="b">
        <v>1</v>
      </c>
      <c r="F1332" s="2" t="b">
        <v>0</v>
      </c>
      <c r="G1332" s="2" t="s">
        <v>9937</v>
      </c>
      <c r="H1332" s="3" t="str">
        <f>_xlfn.IFNA(INDEX(RulebookFields!C2:C999, MATCH(D1332,RulebookFields!A2:A999, 0)), "")</f>
        <v>RequirementSatisfactions</v>
      </c>
      <c r="I1332" s="3" t="str">
        <f>_xlfn.IFNA(INDEX(RulebookFields!D2:D999, MATCH(D1332,RulebookFields!A2:A999, 0)), "")</f>
        <v>RunOwnerAgent</v>
      </c>
      <c r="J1332" s="3" t="b">
        <f>_xlfn.IFNA(INDEX(RulebookFields!I2:I999, MATCH(D1332,RulebookFields!A2:A999, 0)), "")</f>
        <v>1</v>
      </c>
      <c r="K1332" s="3" t="b">
        <f>AND(F1332, J1332)</f>
        <v>0</v>
      </c>
      <c r="L1332" s="3" t="b">
        <f>AND(G1332 &lt;&gt; "plain", G1332 &lt;&gt; "")</f>
        <v>0</v>
      </c>
      <c r="M1332" s="3" t="str">
        <f>IF(E1332, C1332 &amp; "|" &amp; H1332, "")</f>
        <v>principal-process-steward|RequirementSatisfactions</v>
      </c>
      <c r="N1332" s="2" t="s">
        <v>9938</v>
      </c>
    </row>
    <row r="1333">
      <c r="A1333" s="2" t="s">
        <v>11269</v>
      </c>
      <c r="B1333" s="3" t="str">
        <f>C1333 &amp; " -&gt; " &amp; D1333</f>
        <v>principal-process-steward -&gt; RequirementSatisfactions.EvaluatorOwnsTheRun</v>
      </c>
      <c r="C1333" s="2" t="s">
        <v>9706</v>
      </c>
      <c r="D1333" s="2" t="s">
        <v>3765</v>
      </c>
      <c r="E1333" s="2" t="b">
        <v>1</v>
      </c>
      <c r="F1333" s="2" t="b">
        <v>0</v>
      </c>
      <c r="G1333" s="2" t="s">
        <v>9937</v>
      </c>
      <c r="H1333" s="3" t="str">
        <f>_xlfn.IFNA(INDEX(RulebookFields!C2:C999, MATCH(D1333,RulebookFields!A2:A999, 0)), "")</f>
        <v>RequirementSatisfactions</v>
      </c>
      <c r="I1333" s="3" t="str">
        <f>_xlfn.IFNA(INDEX(RulebookFields!D2:D999, MATCH(D1333,RulebookFields!A2:A999, 0)), "")</f>
        <v>EvaluatorOwnsTheRun</v>
      </c>
      <c r="J1333" s="3" t="b">
        <f>_xlfn.IFNA(INDEX(RulebookFields!I2:I999, MATCH(D1333,RulebookFields!A2:A999, 0)), "")</f>
        <v>1</v>
      </c>
      <c r="K1333" s="3" t="b">
        <f>AND(F1333, J1333)</f>
        <v>0</v>
      </c>
      <c r="L1333" s="3" t="b">
        <f>AND(G1333 &lt;&gt; "plain", G1333 &lt;&gt; "")</f>
        <v>0</v>
      </c>
      <c r="M1333" s="3" t="str">
        <f>IF(E1333, C1333 &amp; "|" &amp; H1333, "")</f>
        <v>principal-process-steward|RequirementSatisfactions</v>
      </c>
      <c r="N1333" s="2" t="s">
        <v>9938</v>
      </c>
    </row>
    <row r="1334">
      <c r="A1334" s="2" t="s">
        <v>11270</v>
      </c>
      <c r="B1334" s="3" t="str">
        <f>C1334 &amp; " -&gt; " &amp; D1334</f>
        <v>principal-process-steward -&gt; RequirementSatisfactions.IsInterestedPartyAssertion</v>
      </c>
      <c r="C1334" s="2" t="s">
        <v>9706</v>
      </c>
      <c r="D1334" s="2" t="s">
        <v>3767</v>
      </c>
      <c r="E1334" s="2" t="b">
        <v>1</v>
      </c>
      <c r="F1334" s="2" t="b">
        <v>0</v>
      </c>
      <c r="G1334" s="2" t="s">
        <v>9937</v>
      </c>
      <c r="H1334" s="3" t="str">
        <f>_xlfn.IFNA(INDEX(RulebookFields!C2:C999, MATCH(D1334,RulebookFields!A2:A999, 0)), "")</f>
        <v>RequirementSatisfactions</v>
      </c>
      <c r="I1334" s="3" t="str">
        <f>_xlfn.IFNA(INDEX(RulebookFields!D2:D999, MATCH(D1334,RulebookFields!A2:A999, 0)), "")</f>
        <v>IsInterestedPartyAssertion</v>
      </c>
      <c r="J1334" s="3" t="b">
        <f>_xlfn.IFNA(INDEX(RulebookFields!I2:I999, MATCH(D1334,RulebookFields!A2:A999, 0)), "")</f>
        <v>1</v>
      </c>
      <c r="K1334" s="3" t="b">
        <f>AND(F1334, J1334)</f>
        <v>0</v>
      </c>
      <c r="L1334" s="3" t="b">
        <f>AND(G1334 &lt;&gt; "plain", G1334 &lt;&gt; "")</f>
        <v>0</v>
      </c>
      <c r="M1334" s="3" t="str">
        <f>IF(E1334, C1334 &amp; "|" &amp; H1334, "")</f>
        <v>principal-process-steward|RequirementSatisfactions</v>
      </c>
      <c r="N1334" s="2" t="s">
        <v>9938</v>
      </c>
    </row>
    <row r="1335">
      <c r="A1335" s="2" t="s">
        <v>11271</v>
      </c>
      <c r="B1335" s="3" t="str">
        <f>C1335 &amp; " -&gt; " &amp; D1335</f>
        <v>principal-process-steward -&gt; RequirementSatisfactions.HasWrittenEvidence</v>
      </c>
      <c r="C1335" s="2" t="s">
        <v>9706</v>
      </c>
      <c r="D1335" s="2" t="s">
        <v>3769</v>
      </c>
      <c r="E1335" s="2" t="b">
        <v>1</v>
      </c>
      <c r="F1335" s="2" t="b">
        <v>0</v>
      </c>
      <c r="G1335" s="2" t="s">
        <v>9937</v>
      </c>
      <c r="H1335" s="3" t="str">
        <f>_xlfn.IFNA(INDEX(RulebookFields!C2:C999, MATCH(D1335,RulebookFields!A2:A999, 0)), "")</f>
        <v>RequirementSatisfactions</v>
      </c>
      <c r="I1335" s="3" t="str">
        <f>_xlfn.IFNA(INDEX(RulebookFields!D2:D999, MATCH(D1335,RulebookFields!A2:A999, 0)), "")</f>
        <v>HasWrittenEvidence</v>
      </c>
      <c r="J1335" s="3" t="b">
        <f>_xlfn.IFNA(INDEX(RulebookFields!I2:I999, MATCH(D1335,RulebookFields!A2:A999, 0)), "")</f>
        <v>1</v>
      </c>
      <c r="K1335" s="3" t="b">
        <f>AND(F1335, J1335)</f>
        <v>0</v>
      </c>
      <c r="L1335" s="3" t="b">
        <f>AND(G1335 &lt;&gt; "plain", G1335 &lt;&gt; "")</f>
        <v>0</v>
      </c>
      <c r="M1335" s="3" t="str">
        <f>IF(E1335, C1335 &amp; "|" &amp; H1335, "")</f>
        <v>principal-process-steward|RequirementSatisfactions</v>
      </c>
      <c r="N1335" s="2" t="s">
        <v>9938</v>
      </c>
    </row>
    <row r="1336">
      <c r="A1336" s="2" t="s">
        <v>11272</v>
      </c>
      <c r="B1336" s="3" t="str">
        <f>C1336 &amp; " -&gt; " &amp; D1336</f>
        <v>principal-process-steward -&gt; RequirementSatisfactions.IsBareAssertion</v>
      </c>
      <c r="C1336" s="2" t="s">
        <v>9706</v>
      </c>
      <c r="D1336" s="2" t="s">
        <v>3771</v>
      </c>
      <c r="E1336" s="2" t="b">
        <v>1</v>
      </c>
      <c r="F1336" s="2" t="b">
        <v>0</v>
      </c>
      <c r="G1336" s="2" t="s">
        <v>9937</v>
      </c>
      <c r="H1336" s="3" t="str">
        <f>_xlfn.IFNA(INDEX(RulebookFields!C2:C999, MATCH(D1336,RulebookFields!A2:A999, 0)), "")</f>
        <v>RequirementSatisfactions</v>
      </c>
      <c r="I1336" s="3" t="str">
        <f>_xlfn.IFNA(INDEX(RulebookFields!D2:D999, MATCH(D1336,RulebookFields!A2:A999, 0)), "")</f>
        <v>IsBareAssertion</v>
      </c>
      <c r="J1336" s="3" t="b">
        <f>_xlfn.IFNA(INDEX(RulebookFields!I2:I999, MATCH(D1336,RulebookFields!A2:A999, 0)), "")</f>
        <v>1</v>
      </c>
      <c r="K1336" s="3" t="b">
        <f>AND(F1336, J1336)</f>
        <v>0</v>
      </c>
      <c r="L1336" s="3" t="b">
        <f>AND(G1336 &lt;&gt; "plain", G1336 &lt;&gt; "")</f>
        <v>0</v>
      </c>
      <c r="M1336" s="3" t="str">
        <f>IF(E1336, C1336 &amp; "|" &amp; H1336, "")</f>
        <v>principal-process-steward|RequirementSatisfactions</v>
      </c>
      <c r="N1336" s="2" t="s">
        <v>9938</v>
      </c>
    </row>
    <row r="1337">
      <c r="A1337" s="2" t="s">
        <v>11273</v>
      </c>
      <c r="B1337" s="3" t="str">
        <f>C1337 &amp; " -&gt; " &amp; D1337</f>
        <v>principal-process-steward -&gt; RequirementSatisfactions.InterestedAssertionExecutionKey</v>
      </c>
      <c r="C1337" s="2" t="s">
        <v>9706</v>
      </c>
      <c r="D1337" s="2" t="s">
        <v>3773</v>
      </c>
      <c r="E1337" s="2" t="b">
        <v>1</v>
      </c>
      <c r="F1337" s="2" t="b">
        <v>0</v>
      </c>
      <c r="G1337" s="2" t="s">
        <v>9937</v>
      </c>
      <c r="H1337" s="3" t="str">
        <f>_xlfn.IFNA(INDEX(RulebookFields!C2:C999, MATCH(D1337,RulebookFields!A2:A999, 0)), "")</f>
        <v>RequirementSatisfactions</v>
      </c>
      <c r="I1337" s="3" t="str">
        <f>_xlfn.IFNA(INDEX(RulebookFields!D2:D999, MATCH(D1337,RulebookFields!A2:A999, 0)), "")</f>
        <v>InterestedAssertionExecutionKey</v>
      </c>
      <c r="J1337" s="3" t="b">
        <f>_xlfn.IFNA(INDEX(RulebookFields!I2:I999, MATCH(D1337,RulebookFields!A2:A999, 0)), "")</f>
        <v>1</v>
      </c>
      <c r="K1337" s="3" t="b">
        <f>AND(F1337, J1337)</f>
        <v>0</v>
      </c>
      <c r="L1337" s="3" t="b">
        <f>AND(G1337 &lt;&gt; "plain", G1337 &lt;&gt; "")</f>
        <v>0</v>
      </c>
      <c r="M1337" s="3" t="str">
        <f>IF(E1337, C1337 &amp; "|" &amp; H1337, "")</f>
        <v>principal-process-steward|RequirementSatisfactions</v>
      </c>
      <c r="N1337" s="2" t="s">
        <v>9938</v>
      </c>
    </row>
    <row r="1338">
      <c r="A1338" s="2" t="s">
        <v>11274</v>
      </c>
      <c r="B1338" s="3" t="str">
        <f>C1338 &amp; " -&gt; " &amp; D1338</f>
        <v>principal-process-steward -&gt; RequirementSatisfactions.IsComputedlyWitnessed</v>
      </c>
      <c r="C1338" s="2" t="s">
        <v>9706</v>
      </c>
      <c r="D1338" s="2" t="s">
        <v>3775</v>
      </c>
      <c r="E1338" s="2" t="b">
        <v>1</v>
      </c>
      <c r="F1338" s="2" t="b">
        <v>0</v>
      </c>
      <c r="G1338" s="2" t="s">
        <v>9937</v>
      </c>
      <c r="H1338" s="3" t="str">
        <f>_xlfn.IFNA(INDEX(RulebookFields!C2:C999, MATCH(D1338,RulebookFields!A2:A999, 0)), "")</f>
        <v>RequirementSatisfactions</v>
      </c>
      <c r="I1338" s="3" t="str">
        <f>_xlfn.IFNA(INDEX(RulebookFields!D2:D999, MATCH(D1338,RulebookFields!A2:A999, 0)), "")</f>
        <v>IsComputedlyWitnessed</v>
      </c>
      <c r="J1338" s="3" t="b">
        <f>_xlfn.IFNA(INDEX(RulebookFields!I2:I999, MATCH(D1338,RulebookFields!A2:A999, 0)), "")</f>
        <v>1</v>
      </c>
      <c r="K1338" s="3" t="b">
        <f>AND(F1338, J1338)</f>
        <v>0</v>
      </c>
      <c r="L1338" s="3" t="b">
        <f>AND(G1338 &lt;&gt; "plain", G1338 &lt;&gt; "")</f>
        <v>0</v>
      </c>
      <c r="M1338" s="3" t="str">
        <f>IF(E1338, C1338 &amp; "|" &amp; H1338, "")</f>
        <v>principal-process-steward|RequirementSatisfactions</v>
      </c>
      <c r="N1338" s="2" t="s">
        <v>9938</v>
      </c>
    </row>
    <row r="1339">
      <c r="A1339" s="2" t="s">
        <v>11275</v>
      </c>
      <c r="B1339" s="3" t="str">
        <f>C1339 &amp; " -&gt; " &amp; D1339</f>
        <v>principal-process-steward -&gt; RequirementSatisfactions.ComputedWitnessExecutionKey</v>
      </c>
      <c r="C1339" s="2" t="s">
        <v>9706</v>
      </c>
      <c r="D1339" s="2" t="s">
        <v>3777</v>
      </c>
      <c r="E1339" s="2" t="b">
        <v>1</v>
      </c>
      <c r="F1339" s="2" t="b">
        <v>0</v>
      </c>
      <c r="G1339" s="2" t="s">
        <v>9937</v>
      </c>
      <c r="H1339" s="3" t="str">
        <f>_xlfn.IFNA(INDEX(RulebookFields!C2:C999, MATCH(D1339,RulebookFields!A2:A999, 0)), "")</f>
        <v>RequirementSatisfactions</v>
      </c>
      <c r="I1339" s="3" t="str">
        <f>_xlfn.IFNA(INDEX(RulebookFields!D2:D999, MATCH(D1339,RulebookFields!A2:A999, 0)), "")</f>
        <v>ComputedWitnessExecutionKey</v>
      </c>
      <c r="J1339" s="3" t="b">
        <f>_xlfn.IFNA(INDEX(RulebookFields!I2:I999, MATCH(D1339,RulebookFields!A2:A999, 0)), "")</f>
        <v>1</v>
      </c>
      <c r="K1339" s="3" t="b">
        <f>AND(F1339, J1339)</f>
        <v>0</v>
      </c>
      <c r="L1339" s="3" t="b">
        <f>AND(G1339 &lt;&gt; "plain", G1339 &lt;&gt; "")</f>
        <v>0</v>
      </c>
      <c r="M1339" s="3" t="str">
        <f>IF(E1339, C1339 &amp; "|" &amp; H1339, "")</f>
        <v>principal-process-steward|RequirementSatisfactions</v>
      </c>
      <c r="N1339" s="2" t="s">
        <v>9938</v>
      </c>
    </row>
    <row r="1340">
      <c r="A1340" s="2" t="s">
        <v>11276</v>
      </c>
      <c r="B1340" s="3" t="str">
        <f>C1340 &amp; " -&gt; " &amp; D1340</f>
        <v>principal-process-steward -&gt; RequirementSatisfactions.StepExecutorAgent</v>
      </c>
      <c r="C1340" s="2" t="s">
        <v>9706</v>
      </c>
      <c r="D1340" s="2" t="s">
        <v>3779</v>
      </c>
      <c r="E1340" s="2" t="b">
        <v>1</v>
      </c>
      <c r="F1340" s="2" t="b">
        <v>0</v>
      </c>
      <c r="G1340" s="2" t="s">
        <v>9937</v>
      </c>
      <c r="H1340" s="3" t="str">
        <f>_xlfn.IFNA(INDEX(RulebookFields!C2:C999, MATCH(D1340,RulebookFields!A2:A999, 0)), "")</f>
        <v>RequirementSatisfactions</v>
      </c>
      <c r="I1340" s="3" t="str">
        <f>_xlfn.IFNA(INDEX(RulebookFields!D2:D999, MATCH(D1340,RulebookFields!A2:A999, 0)), "")</f>
        <v>StepExecutorAgent</v>
      </c>
      <c r="J1340" s="3" t="b">
        <f>_xlfn.IFNA(INDEX(RulebookFields!I2:I999, MATCH(D1340,RulebookFields!A2:A999, 0)), "")</f>
        <v>1</v>
      </c>
      <c r="K1340" s="3" t="b">
        <f>AND(F1340, J1340)</f>
        <v>0</v>
      </c>
      <c r="L1340" s="3" t="b">
        <f>AND(G1340 &lt;&gt; "plain", G1340 &lt;&gt; "")</f>
        <v>0</v>
      </c>
      <c r="M1340" s="3" t="str">
        <f>IF(E1340, C1340 &amp; "|" &amp; H1340, "")</f>
        <v>principal-process-steward|RequirementSatisfactions</v>
      </c>
      <c r="N1340" s="2" t="s">
        <v>9938</v>
      </c>
    </row>
    <row r="1341">
      <c r="A1341" s="2" t="s">
        <v>11277</v>
      </c>
      <c r="B1341" s="3" t="str">
        <f>C1341 &amp; " -&gt; " &amp; D1341</f>
        <v>principal-process-steward -&gt; RequirementSatisfactions.WasScoredAfterAttestation</v>
      </c>
      <c r="C1341" s="2" t="s">
        <v>9706</v>
      </c>
      <c r="D1341" s="2" t="s">
        <v>3780</v>
      </c>
      <c r="E1341" s="2" t="b">
        <v>1</v>
      </c>
      <c r="F1341" s="2" t="b">
        <v>0</v>
      </c>
      <c r="G1341" s="2" t="s">
        <v>9937</v>
      </c>
      <c r="H1341" s="3" t="str">
        <f>_xlfn.IFNA(INDEX(RulebookFields!C2:C999, MATCH(D1341,RulebookFields!A2:A999, 0)), "")</f>
        <v>RequirementSatisfactions</v>
      </c>
      <c r="I1341" s="3" t="str">
        <f>_xlfn.IFNA(INDEX(RulebookFields!D2:D999, MATCH(D1341,RulebookFields!A2:A999, 0)), "")</f>
        <v>WasScoredAfterAttestation</v>
      </c>
      <c r="J1341" s="3" t="b">
        <f>_xlfn.IFNA(INDEX(RulebookFields!I2:I999, MATCH(D1341,RulebookFields!A2:A999, 0)), "")</f>
        <v>1</v>
      </c>
      <c r="K1341" s="3" t="b">
        <f>AND(F1341, J1341)</f>
        <v>0</v>
      </c>
      <c r="L1341" s="3" t="b">
        <f>AND(G1341 &lt;&gt; "plain", G1341 &lt;&gt; "")</f>
        <v>0</v>
      </c>
      <c r="M1341" s="3" t="str">
        <f>IF(E1341, C1341 &amp; "|" &amp; H1341, "")</f>
        <v>principal-process-steward|RequirementSatisfactions</v>
      </c>
      <c r="N1341" s="2" t="s">
        <v>9938</v>
      </c>
    </row>
    <row r="1342">
      <c r="A1342" s="2" t="s">
        <v>11278</v>
      </c>
      <c r="B1342" s="3" t="str">
        <f>C1342 &amp; " -&gt; " &amp; D1342</f>
        <v>principal-process-steward -&gt; RequirementSatisfactions.AttestationInstantForRun</v>
      </c>
      <c r="C1342" s="2" t="s">
        <v>9706</v>
      </c>
      <c r="D1342" s="2" t="s">
        <v>3782</v>
      </c>
      <c r="E1342" s="2" t="b">
        <v>1</v>
      </c>
      <c r="F1342" s="2" t="b">
        <v>0</v>
      </c>
      <c r="G1342" s="2" t="s">
        <v>9937</v>
      </c>
      <c r="H1342" s="3" t="str">
        <f>_xlfn.IFNA(INDEX(RulebookFields!C2:C999, MATCH(D1342,RulebookFields!A2:A999, 0)), "")</f>
        <v>RequirementSatisfactions</v>
      </c>
      <c r="I1342" s="3" t="str">
        <f>_xlfn.IFNA(INDEX(RulebookFields!D2:D999, MATCH(D1342,RulebookFields!A2:A999, 0)), "")</f>
        <v>AttestationInstantForRun</v>
      </c>
      <c r="J1342" s="3" t="b">
        <f>_xlfn.IFNA(INDEX(RulebookFields!I2:I999, MATCH(D1342,RulebookFields!A2:A999, 0)), "")</f>
        <v>1</v>
      </c>
      <c r="K1342" s="3" t="b">
        <f>AND(F1342, J1342)</f>
        <v>0</v>
      </c>
      <c r="L1342" s="3" t="b">
        <f>AND(G1342 &lt;&gt; "plain", G1342 &lt;&gt; "")</f>
        <v>0</v>
      </c>
      <c r="M1342" s="3" t="str">
        <f>IF(E1342, C1342 &amp; "|" &amp; H1342, "")</f>
        <v>principal-process-steward|RequirementSatisfactions</v>
      </c>
      <c r="N1342" s="2" t="s">
        <v>9938</v>
      </c>
    </row>
    <row r="1343">
      <c r="A1343" s="2" t="s">
        <v>11279</v>
      </c>
      <c r="B1343" s="3" t="str">
        <f>C1343 &amp; " -&gt; " &amp; D1343</f>
        <v>principal-process-steward -&gt; RequirementSatisfactions.PostAttestationScoreExecutionKey</v>
      </c>
      <c r="C1343" s="2" t="s">
        <v>9706</v>
      </c>
      <c r="D1343" s="2" t="s">
        <v>3784</v>
      </c>
      <c r="E1343" s="2" t="b">
        <v>1</v>
      </c>
      <c r="F1343" s="2" t="b">
        <v>0</v>
      </c>
      <c r="G1343" s="2" t="s">
        <v>9937</v>
      </c>
      <c r="H1343" s="3" t="str">
        <f>_xlfn.IFNA(INDEX(RulebookFields!C2:C999, MATCH(D1343,RulebookFields!A2:A999, 0)), "")</f>
        <v>RequirementSatisfactions</v>
      </c>
      <c r="I1343" s="3" t="str">
        <f>_xlfn.IFNA(INDEX(RulebookFields!D2:D999, MATCH(D1343,RulebookFields!A2:A999, 0)), "")</f>
        <v>PostAttestationScoreExecutionKey</v>
      </c>
      <c r="J1343" s="3" t="b">
        <f>_xlfn.IFNA(INDEX(RulebookFields!I2:I999, MATCH(D1343,RulebookFields!A2:A999, 0)), "")</f>
        <v>1</v>
      </c>
      <c r="K1343" s="3" t="b">
        <f>AND(F1343, J1343)</f>
        <v>0</v>
      </c>
      <c r="L1343" s="3" t="b">
        <f>AND(G1343 &lt;&gt; "plain", G1343 &lt;&gt; "")</f>
        <v>0</v>
      </c>
      <c r="M1343" s="3" t="str">
        <f>IF(E1343, C1343 &amp; "|" &amp; H1343, "")</f>
        <v>principal-process-steward|RequirementSatisfactions</v>
      </c>
      <c r="N1343" s="2" t="s">
        <v>9938</v>
      </c>
    </row>
    <row r="1344">
      <c r="A1344" s="2" t="s">
        <v>11280</v>
      </c>
      <c r="B1344" s="3" t="str">
        <f>C1344 &amp; " -&gt; " &amp; D1344</f>
        <v>principal-process-steward -&gt; RequirementSatisfactions.SemanticTypeIri</v>
      </c>
      <c r="C1344" s="2" t="s">
        <v>9706</v>
      </c>
      <c r="D1344" s="2" t="s">
        <v>3786</v>
      </c>
      <c r="E1344" s="2" t="b">
        <v>1</v>
      </c>
      <c r="F1344" s="2" t="b">
        <v>0</v>
      </c>
      <c r="G1344" s="2" t="s">
        <v>9937</v>
      </c>
      <c r="H1344" s="3" t="str">
        <f>_xlfn.IFNA(INDEX(RulebookFields!C2:C999, MATCH(D1344,RulebookFields!A2:A999, 0)), "")</f>
        <v>RequirementSatisfactions</v>
      </c>
      <c r="I1344" s="3" t="str">
        <f>_xlfn.IFNA(INDEX(RulebookFields!D2:D999, MATCH(D1344,RulebookFields!A2:A999, 0)), "")</f>
        <v>SemanticTypeIri</v>
      </c>
      <c r="J1344" s="3" t="b">
        <f>_xlfn.IFNA(INDEX(RulebookFields!I2:I999, MATCH(D1344,RulebookFields!A2:A999, 0)), "")</f>
        <v>0</v>
      </c>
      <c r="K1344" s="3" t="b">
        <f>AND(F1344, J1344)</f>
        <v>0</v>
      </c>
      <c r="L1344" s="3" t="b">
        <f>AND(G1344 &lt;&gt; "plain", G1344 &lt;&gt; "")</f>
        <v>0</v>
      </c>
      <c r="M1344" s="3" t="str">
        <f>IF(E1344, C1344 &amp; "|" &amp; H1344, "")</f>
        <v>principal-process-steward|RequirementSatisfactions</v>
      </c>
      <c r="N1344" s="2" t="s">
        <v>9938</v>
      </c>
    </row>
    <row r="1345">
      <c r="A1345" s="2" t="s">
        <v>11281</v>
      </c>
      <c r="B1345" s="3" t="str">
        <f>C1345 &amp; " -&gt; " &amp; D1345</f>
        <v>principal-process-steward -&gt; Requirements.RequirementId</v>
      </c>
      <c r="C1345" s="2" t="s">
        <v>9706</v>
      </c>
      <c r="D1345" s="2" t="s">
        <v>2979</v>
      </c>
      <c r="E1345" s="2" t="b">
        <v>1</v>
      </c>
      <c r="F1345" s="2" t="b">
        <v>0</v>
      </c>
      <c r="G1345" s="2" t="s">
        <v>9937</v>
      </c>
      <c r="H1345" s="3" t="str">
        <f>_xlfn.IFNA(INDEX(RulebookFields!C2:C999, MATCH(D1345,RulebookFields!A2:A999, 0)), "")</f>
        <v>Requirements</v>
      </c>
      <c r="I1345" s="3" t="str">
        <f>_xlfn.IFNA(INDEX(RulebookFields!D2:D999, MATCH(D1345,RulebookFields!A2:A999, 0)), "")</f>
        <v>RequirementId</v>
      </c>
      <c r="J1345" s="3" t="b">
        <f>_xlfn.IFNA(INDEX(RulebookFields!I2:I999, MATCH(D1345,RulebookFields!A2:A999, 0)), "")</f>
        <v>0</v>
      </c>
      <c r="K1345" s="3" t="b">
        <f>AND(F1345, J1345)</f>
        <v>0</v>
      </c>
      <c r="L1345" s="3" t="b">
        <f>AND(G1345 &lt;&gt; "plain", G1345 &lt;&gt; "")</f>
        <v>0</v>
      </c>
      <c r="M1345" s="3" t="str">
        <f>IF(E1345, C1345 &amp; "|" &amp; H1345, "")</f>
        <v>principal-process-steward|Requirements</v>
      </c>
      <c r="N1345" s="2" t="s">
        <v>9938</v>
      </c>
    </row>
    <row r="1346">
      <c r="A1346" s="2" t="s">
        <v>11282</v>
      </c>
      <c r="B1346" s="3" t="str">
        <f>C1346 &amp; " -&gt; " &amp; D1346</f>
        <v>principal-process-steward -&gt; Requirements.Name</v>
      </c>
      <c r="C1346" s="2" t="s">
        <v>9706</v>
      </c>
      <c r="D1346" s="2" t="s">
        <v>2980</v>
      </c>
      <c r="E1346" s="2" t="b">
        <v>1</v>
      </c>
      <c r="F1346" s="2" t="b">
        <v>0</v>
      </c>
      <c r="G1346" s="2" t="s">
        <v>9937</v>
      </c>
      <c r="H1346" s="3" t="str">
        <f>_xlfn.IFNA(INDEX(RulebookFields!C2:C999, MATCH(D1346,RulebookFields!A2:A999, 0)), "")</f>
        <v>Requirements</v>
      </c>
      <c r="I1346" s="3" t="str">
        <f>_xlfn.IFNA(INDEX(RulebookFields!D2:D999, MATCH(D1346,RulebookFields!A2:A999, 0)), "")</f>
        <v>Name</v>
      </c>
      <c r="J1346" s="3" t="b">
        <f>_xlfn.IFNA(INDEX(RulebookFields!I2:I999, MATCH(D1346,RulebookFields!A2:A999, 0)), "")</f>
        <v>1</v>
      </c>
      <c r="K1346" s="3" t="b">
        <f>AND(F1346, J1346)</f>
        <v>0</v>
      </c>
      <c r="L1346" s="3" t="b">
        <f>AND(G1346 &lt;&gt; "plain", G1346 &lt;&gt; "")</f>
        <v>0</v>
      </c>
      <c r="M1346" s="3" t="str">
        <f>IF(E1346, C1346 &amp; "|" &amp; H1346, "")</f>
        <v>principal-process-steward|Requirements</v>
      </c>
      <c r="N1346" s="2" t="s">
        <v>9938</v>
      </c>
    </row>
    <row r="1347">
      <c r="A1347" s="2" t="s">
        <v>11283</v>
      </c>
      <c r="B1347" s="3" t="str">
        <f>C1347 &amp; " -&gt; " &amp; D1347</f>
        <v>principal-process-steward -&gt; Requirements.Label</v>
      </c>
      <c r="C1347" s="2" t="s">
        <v>9706</v>
      </c>
      <c r="D1347" s="2" t="s">
        <v>2981</v>
      </c>
      <c r="E1347" s="2" t="b">
        <v>1</v>
      </c>
      <c r="F1347" s="2" t="b">
        <v>0</v>
      </c>
      <c r="G1347" s="2" t="s">
        <v>9937</v>
      </c>
      <c r="H1347" s="3" t="str">
        <f>_xlfn.IFNA(INDEX(RulebookFields!C2:C999, MATCH(D1347,RulebookFields!A2:A999, 0)), "")</f>
        <v>Requirements</v>
      </c>
      <c r="I1347" s="3" t="str">
        <f>_xlfn.IFNA(INDEX(RulebookFields!D2:D999, MATCH(D1347,RulebookFields!A2:A999, 0)), "")</f>
        <v>Label</v>
      </c>
      <c r="J1347" s="3" t="b">
        <f>_xlfn.IFNA(INDEX(RulebookFields!I2:I999, MATCH(D1347,RulebookFields!A2:A999, 0)), "")</f>
        <v>0</v>
      </c>
      <c r="K1347" s="3" t="b">
        <f>AND(F1347, J1347)</f>
        <v>0</v>
      </c>
      <c r="L1347" s="3" t="b">
        <f>AND(G1347 &lt;&gt; "plain", G1347 &lt;&gt; "")</f>
        <v>0</v>
      </c>
      <c r="M1347" s="3" t="str">
        <f>IF(E1347, C1347 &amp; "|" &amp; H1347, "")</f>
        <v>principal-process-steward|Requirements</v>
      </c>
      <c r="N1347" s="2" t="s">
        <v>9938</v>
      </c>
    </row>
    <row r="1348">
      <c r="A1348" s="2" t="s">
        <v>11284</v>
      </c>
      <c r="B1348" s="3" t="str">
        <f>C1348 &amp; " -&gt; " &amp; D1348</f>
        <v>principal-process-steward -&gt; Requirements.RequirementType</v>
      </c>
      <c r="C1348" s="2" t="s">
        <v>9706</v>
      </c>
      <c r="D1348" s="2" t="s">
        <v>2982</v>
      </c>
      <c r="E1348" s="2" t="b">
        <v>1</v>
      </c>
      <c r="F1348" s="2" t="b">
        <v>0</v>
      </c>
      <c r="G1348" s="2" t="s">
        <v>9937</v>
      </c>
      <c r="H1348" s="3" t="str">
        <f>_xlfn.IFNA(INDEX(RulebookFields!C2:C999, MATCH(D1348,RulebookFields!A2:A999, 0)), "")</f>
        <v>Requirements</v>
      </c>
      <c r="I1348" s="3" t="str">
        <f>_xlfn.IFNA(INDEX(RulebookFields!D2:D999, MATCH(D1348,RulebookFields!A2:A999, 0)), "")</f>
        <v>RequirementType</v>
      </c>
      <c r="J1348" s="3" t="b">
        <f>_xlfn.IFNA(INDEX(RulebookFields!I2:I999, MATCH(D1348,RulebookFields!A2:A999, 0)), "")</f>
        <v>0</v>
      </c>
      <c r="K1348" s="3" t="b">
        <f>AND(F1348, J1348)</f>
        <v>0</v>
      </c>
      <c r="L1348" s="3" t="b">
        <f>AND(G1348 &lt;&gt; "plain", G1348 &lt;&gt; "")</f>
        <v>0</v>
      </c>
      <c r="M1348" s="3" t="str">
        <f>IF(E1348, C1348 &amp; "|" &amp; H1348, "")</f>
        <v>principal-process-steward|Requirements</v>
      </c>
      <c r="N1348" s="2" t="s">
        <v>9938</v>
      </c>
    </row>
    <row r="1349">
      <c r="A1349" s="2" t="s">
        <v>11285</v>
      </c>
      <c r="B1349" s="3" t="str">
        <f>C1349 &amp; " -&gt; " &amp; D1349</f>
        <v>principal-process-steward -&gt; Requirements.Statement</v>
      </c>
      <c r="C1349" s="2" t="s">
        <v>9706</v>
      </c>
      <c r="D1349" s="2" t="s">
        <v>2983</v>
      </c>
      <c r="E1349" s="2" t="b">
        <v>1</v>
      </c>
      <c r="F1349" s="2" t="b">
        <v>0</v>
      </c>
      <c r="G1349" s="2" t="s">
        <v>9937</v>
      </c>
      <c r="H1349" s="3" t="str">
        <f>_xlfn.IFNA(INDEX(RulebookFields!C2:C999, MATCH(D1349,RulebookFields!A2:A999, 0)), "")</f>
        <v>Requirements</v>
      </c>
      <c r="I1349" s="3" t="str">
        <f>_xlfn.IFNA(INDEX(RulebookFields!D2:D999, MATCH(D1349,RulebookFields!A2:A999, 0)), "")</f>
        <v>Statement</v>
      </c>
      <c r="J1349" s="3" t="b">
        <f>_xlfn.IFNA(INDEX(RulebookFields!I2:I999, MATCH(D1349,RulebookFields!A2:A999, 0)), "")</f>
        <v>0</v>
      </c>
      <c r="K1349" s="3" t="b">
        <f>AND(F1349, J1349)</f>
        <v>0</v>
      </c>
      <c r="L1349" s="3" t="b">
        <f>AND(G1349 &lt;&gt; "plain", G1349 &lt;&gt; "")</f>
        <v>0</v>
      </c>
      <c r="M1349" s="3" t="str">
        <f>IF(E1349, C1349 &amp; "|" &amp; H1349, "")</f>
        <v>principal-process-steward|Requirements</v>
      </c>
      <c r="N1349" s="2" t="s">
        <v>9938</v>
      </c>
    </row>
    <row r="1350">
      <c r="A1350" s="2" t="s">
        <v>11286</v>
      </c>
      <c r="B1350" s="3" t="str">
        <f>C1350 &amp; " -&gt; " &amp; D1350</f>
        <v>principal-process-steward -&gt; Requirements.Rationale</v>
      </c>
      <c r="C1350" s="2" t="s">
        <v>9706</v>
      </c>
      <c r="D1350" s="2" t="s">
        <v>2984</v>
      </c>
      <c r="E1350" s="2" t="b">
        <v>1</v>
      </c>
      <c r="F1350" s="2" t="b">
        <v>0</v>
      </c>
      <c r="G1350" s="2" t="s">
        <v>9937</v>
      </c>
      <c r="H1350" s="3" t="str">
        <f>_xlfn.IFNA(INDEX(RulebookFields!C2:C999, MATCH(D1350,RulebookFields!A2:A999, 0)), "")</f>
        <v>Requirements</v>
      </c>
      <c r="I1350" s="3" t="str">
        <f>_xlfn.IFNA(INDEX(RulebookFields!D2:D999, MATCH(D1350,RulebookFields!A2:A999, 0)), "")</f>
        <v>Rationale</v>
      </c>
      <c r="J1350" s="3" t="b">
        <f>_xlfn.IFNA(INDEX(RulebookFields!I2:I999, MATCH(D1350,RulebookFields!A2:A999, 0)), "")</f>
        <v>0</v>
      </c>
      <c r="K1350" s="3" t="b">
        <f>AND(F1350, J1350)</f>
        <v>0</v>
      </c>
      <c r="L1350" s="3" t="b">
        <f>AND(G1350 &lt;&gt; "plain", G1350 &lt;&gt; "")</f>
        <v>0</v>
      </c>
      <c r="M1350" s="3" t="str">
        <f>IF(E1350, C1350 &amp; "|" &amp; H1350, "")</f>
        <v>principal-process-steward|Requirements</v>
      </c>
      <c r="N1350" s="2" t="s">
        <v>9938</v>
      </c>
    </row>
    <row r="1351">
      <c r="A1351" s="2" t="s">
        <v>11287</v>
      </c>
      <c r="B1351" s="3" t="str">
        <f>C1351 &amp; " -&gt; " &amp; D1351</f>
        <v>principal-process-steward -&gt; Requirements.IsBlocking</v>
      </c>
      <c r="C1351" s="2" t="s">
        <v>9706</v>
      </c>
      <c r="D1351" s="2" t="s">
        <v>2985</v>
      </c>
      <c r="E1351" s="2" t="b">
        <v>1</v>
      </c>
      <c r="F1351" s="2" t="b">
        <v>0</v>
      </c>
      <c r="G1351" s="2" t="s">
        <v>9937</v>
      </c>
      <c r="H1351" s="3" t="str">
        <f>_xlfn.IFNA(INDEX(RulebookFields!C2:C999, MATCH(D1351,RulebookFields!A2:A999, 0)), "")</f>
        <v>Requirements</v>
      </c>
      <c r="I1351" s="3" t="str">
        <f>_xlfn.IFNA(INDEX(RulebookFields!D2:D999, MATCH(D1351,RulebookFields!A2:A999, 0)), "")</f>
        <v>IsBlocking</v>
      </c>
      <c r="J1351" s="3" t="b">
        <f>_xlfn.IFNA(INDEX(RulebookFields!I2:I999, MATCH(D1351,RulebookFields!A2:A999, 0)), "")</f>
        <v>0</v>
      </c>
      <c r="K1351" s="3" t="b">
        <f>AND(F1351, J1351)</f>
        <v>0</v>
      </c>
      <c r="L1351" s="3" t="b">
        <f>AND(G1351 &lt;&gt; "plain", G1351 &lt;&gt; "")</f>
        <v>0</v>
      </c>
      <c r="M1351" s="3" t="str">
        <f>IF(E1351, C1351 &amp; "|" &amp; H1351, "")</f>
        <v>principal-process-steward|Requirements</v>
      </c>
      <c r="N1351" s="2" t="s">
        <v>9938</v>
      </c>
    </row>
    <row r="1352">
      <c r="A1352" s="2" t="s">
        <v>11288</v>
      </c>
      <c r="B1352" s="3" t="str">
        <f>C1352 &amp; " -&gt; " &amp; D1352</f>
        <v>principal-process-steward -&gt; Requirements.SatisfactionRecordCount</v>
      </c>
      <c r="C1352" s="2" t="s">
        <v>9706</v>
      </c>
      <c r="D1352" s="2" t="s">
        <v>2986</v>
      </c>
      <c r="E1352" s="2" t="b">
        <v>1</v>
      </c>
      <c r="F1352" s="2" t="b">
        <v>0</v>
      </c>
      <c r="G1352" s="2" t="s">
        <v>9937</v>
      </c>
      <c r="H1352" s="3" t="str">
        <f>_xlfn.IFNA(INDEX(RulebookFields!C2:C999, MATCH(D1352,RulebookFields!A2:A999, 0)), "")</f>
        <v>Requirements</v>
      </c>
      <c r="I1352" s="3" t="str">
        <f>_xlfn.IFNA(INDEX(RulebookFields!D2:D999, MATCH(D1352,RulebookFields!A2:A999, 0)), "")</f>
        <v>SatisfactionRecordCount</v>
      </c>
      <c r="J1352" s="3" t="b">
        <f>_xlfn.IFNA(INDEX(RulebookFields!I2:I999, MATCH(D1352,RulebookFields!A2:A999, 0)), "")</f>
        <v>1</v>
      </c>
      <c r="K1352" s="3" t="b">
        <f>AND(F1352, J1352)</f>
        <v>0</v>
      </c>
      <c r="L1352" s="3" t="b">
        <f>AND(G1352 &lt;&gt; "plain", G1352 &lt;&gt; "")</f>
        <v>0</v>
      </c>
      <c r="M1352" s="3" t="str">
        <f>IF(E1352, C1352 &amp; "|" &amp; H1352, "")</f>
        <v>principal-process-steward|Requirements</v>
      </c>
      <c r="N1352" s="2" t="s">
        <v>9938</v>
      </c>
    </row>
    <row r="1353">
      <c r="A1353" s="2" t="s">
        <v>11289</v>
      </c>
      <c r="B1353" s="3" t="str">
        <f>C1353 &amp; " -&gt; " &amp; D1353</f>
        <v>principal-process-steward -&gt; Requirements.StepBindingCount</v>
      </c>
      <c r="C1353" s="2" t="s">
        <v>9706</v>
      </c>
      <c r="D1353" s="2" t="s">
        <v>2988</v>
      </c>
      <c r="E1353" s="2" t="b">
        <v>1</v>
      </c>
      <c r="F1353" s="2" t="b">
        <v>0</v>
      </c>
      <c r="G1353" s="2" t="s">
        <v>9937</v>
      </c>
      <c r="H1353" s="3" t="str">
        <f>_xlfn.IFNA(INDEX(RulebookFields!C2:C999, MATCH(D1353,RulebookFields!A2:A999, 0)), "")</f>
        <v>Requirements</v>
      </c>
      <c r="I1353" s="3" t="str">
        <f>_xlfn.IFNA(INDEX(RulebookFields!D2:D999, MATCH(D1353,RulebookFields!A2:A999, 0)), "")</f>
        <v>StepBindingCount</v>
      </c>
      <c r="J1353" s="3" t="b">
        <f>_xlfn.IFNA(INDEX(RulebookFields!I2:I999, MATCH(D1353,RulebookFields!A2:A999, 0)), "")</f>
        <v>1</v>
      </c>
      <c r="K1353" s="3" t="b">
        <f>AND(F1353, J1353)</f>
        <v>0</v>
      </c>
      <c r="L1353" s="3" t="b">
        <f>AND(G1353 &lt;&gt; "plain", G1353 &lt;&gt; "")</f>
        <v>0</v>
      </c>
      <c r="M1353" s="3" t="str">
        <f>IF(E1353, C1353 &amp; "|" &amp; H1353, "")</f>
        <v>principal-process-steward|Requirements</v>
      </c>
      <c r="N1353" s="2" t="s">
        <v>9938</v>
      </c>
    </row>
    <row r="1354">
      <c r="A1354" s="2" t="s">
        <v>11290</v>
      </c>
      <c r="B1354" s="3" t="str">
        <f>C1354 &amp; " -&gt; " &amp; D1354</f>
        <v>principal-process-steward -&gt; Requirements.IsBoundToAnyStep</v>
      </c>
      <c r="C1354" s="2" t="s">
        <v>9706</v>
      </c>
      <c r="D1354" s="2" t="s">
        <v>2990</v>
      </c>
      <c r="E1354" s="2" t="b">
        <v>1</v>
      </c>
      <c r="F1354" s="2" t="b">
        <v>0</v>
      </c>
      <c r="G1354" s="2" t="s">
        <v>9937</v>
      </c>
      <c r="H1354" s="3" t="str">
        <f>_xlfn.IFNA(INDEX(RulebookFields!C2:C999, MATCH(D1354,RulebookFields!A2:A999, 0)), "")</f>
        <v>Requirements</v>
      </c>
      <c r="I1354" s="3" t="str">
        <f>_xlfn.IFNA(INDEX(RulebookFields!D2:D999, MATCH(D1354,RulebookFields!A2:A999, 0)), "")</f>
        <v>IsBoundToAnyStep</v>
      </c>
      <c r="J1354" s="3" t="b">
        <f>_xlfn.IFNA(INDEX(RulebookFields!I2:I999, MATCH(D1354,RulebookFields!A2:A999, 0)), "")</f>
        <v>1</v>
      </c>
      <c r="K1354" s="3" t="b">
        <f>AND(F1354, J1354)</f>
        <v>0</v>
      </c>
      <c r="L1354" s="3" t="b">
        <f>AND(G1354 &lt;&gt; "plain", G1354 &lt;&gt; "")</f>
        <v>0</v>
      </c>
      <c r="M1354" s="3" t="str">
        <f>IF(E1354, C1354 &amp; "|" &amp; H1354, "")</f>
        <v>principal-process-steward|Requirements</v>
      </c>
      <c r="N1354" s="2" t="s">
        <v>9938</v>
      </c>
    </row>
    <row r="1355">
      <c r="A1355" s="2" t="s">
        <v>11291</v>
      </c>
      <c r="B1355" s="3" t="str">
        <f>C1355 &amp; " -&gt; " &amp; D1355</f>
        <v>principal-process-steward -&gt; Requirements.HasEverBeenEvaluated</v>
      </c>
      <c r="C1355" s="2" t="s">
        <v>9706</v>
      </c>
      <c r="D1355" s="2" t="s">
        <v>2992</v>
      </c>
      <c r="E1355" s="2" t="b">
        <v>1</v>
      </c>
      <c r="F1355" s="2" t="b">
        <v>0</v>
      </c>
      <c r="G1355" s="2" t="s">
        <v>9937</v>
      </c>
      <c r="H1355" s="3" t="str">
        <f>_xlfn.IFNA(INDEX(RulebookFields!C2:C999, MATCH(D1355,RulebookFields!A2:A999, 0)), "")</f>
        <v>Requirements</v>
      </c>
      <c r="I1355" s="3" t="str">
        <f>_xlfn.IFNA(INDEX(RulebookFields!D2:D999, MATCH(D1355,RulebookFields!A2:A999, 0)), "")</f>
        <v>HasEverBeenEvaluated</v>
      </c>
      <c r="J1355" s="3" t="b">
        <f>_xlfn.IFNA(INDEX(RulebookFields!I2:I999, MATCH(D1355,RulebookFields!A2:A999, 0)), "")</f>
        <v>1</v>
      </c>
      <c r="K1355" s="3" t="b">
        <f>AND(F1355, J1355)</f>
        <v>0</v>
      </c>
      <c r="L1355" s="3" t="b">
        <f>AND(G1355 &lt;&gt; "plain", G1355 &lt;&gt; "")</f>
        <v>0</v>
      </c>
      <c r="M1355" s="3" t="str">
        <f>IF(E1355, C1355 &amp; "|" &amp; H1355, "")</f>
        <v>principal-process-steward|Requirements</v>
      </c>
      <c r="N1355" s="2" t="s">
        <v>9938</v>
      </c>
    </row>
    <row r="1356">
      <c r="A1356" s="2" t="s">
        <v>11292</v>
      </c>
      <c r="B1356" s="3" t="str">
        <f>C1356 &amp; " -&gt; " &amp; D1356</f>
        <v>principal-process-steward -&gt; Requirements.NegativeOutcomeCount</v>
      </c>
      <c r="C1356" s="2" t="s">
        <v>9706</v>
      </c>
      <c r="D1356" s="2" t="s">
        <v>2994</v>
      </c>
      <c r="E1356" s="2" t="b">
        <v>1</v>
      </c>
      <c r="F1356" s="2" t="b">
        <v>0</v>
      </c>
      <c r="G1356" s="2" t="s">
        <v>9937</v>
      </c>
      <c r="H1356" s="3" t="str">
        <f>_xlfn.IFNA(INDEX(RulebookFields!C2:C999, MATCH(D1356,RulebookFields!A2:A999, 0)), "")</f>
        <v>Requirements</v>
      </c>
      <c r="I1356" s="3" t="str">
        <f>_xlfn.IFNA(INDEX(RulebookFields!D2:D999, MATCH(D1356,RulebookFields!A2:A999, 0)), "")</f>
        <v>NegativeOutcomeCount</v>
      </c>
      <c r="J1356" s="3" t="b">
        <f>_xlfn.IFNA(INDEX(RulebookFields!I2:I999, MATCH(D1356,RulebookFields!A2:A999, 0)), "")</f>
        <v>1</v>
      </c>
      <c r="K1356" s="3" t="b">
        <f>AND(F1356, J1356)</f>
        <v>0</v>
      </c>
      <c r="L1356" s="3" t="b">
        <f>AND(G1356 &lt;&gt; "plain", G1356 &lt;&gt; "")</f>
        <v>0</v>
      </c>
      <c r="M1356" s="3" t="str">
        <f>IF(E1356, C1356 &amp; "|" &amp; H1356, "")</f>
        <v>principal-process-steward|Requirements</v>
      </c>
      <c r="N1356" s="2" t="s">
        <v>9938</v>
      </c>
    </row>
    <row r="1357">
      <c r="A1357" s="2" t="s">
        <v>11293</v>
      </c>
      <c r="B1357" s="3" t="str">
        <f>C1357 &amp; " -&gt; " &amp; D1357</f>
        <v>principal-process-steward -&gt; Requirements.IsInoperativeControl</v>
      </c>
      <c r="C1357" s="2" t="s">
        <v>9706</v>
      </c>
      <c r="D1357" s="2" t="s">
        <v>2996</v>
      </c>
      <c r="E1357" s="2" t="b">
        <v>1</v>
      </c>
      <c r="F1357" s="2" t="b">
        <v>0</v>
      </c>
      <c r="G1357" s="2" t="s">
        <v>9937</v>
      </c>
      <c r="H1357" s="3" t="str">
        <f>_xlfn.IFNA(INDEX(RulebookFields!C2:C999, MATCH(D1357,RulebookFields!A2:A999, 0)), "")</f>
        <v>Requirements</v>
      </c>
      <c r="I1357" s="3" t="str">
        <f>_xlfn.IFNA(INDEX(RulebookFields!D2:D999, MATCH(D1357,RulebookFields!A2:A999, 0)), "")</f>
        <v>IsInoperativeControl</v>
      </c>
      <c r="J1357" s="3" t="b">
        <f>_xlfn.IFNA(INDEX(RulebookFields!I2:I999, MATCH(D1357,RulebookFields!A2:A999, 0)), "")</f>
        <v>1</v>
      </c>
      <c r="K1357" s="3" t="b">
        <f>AND(F1357, J1357)</f>
        <v>0</v>
      </c>
      <c r="L1357" s="3" t="b">
        <f>AND(G1357 &lt;&gt; "plain", G1357 &lt;&gt; "")</f>
        <v>0</v>
      </c>
      <c r="M1357" s="3" t="str">
        <f>IF(E1357, C1357 &amp; "|" &amp; H1357, "")</f>
        <v>principal-process-steward|Requirements</v>
      </c>
      <c r="N1357" s="2" t="s">
        <v>9938</v>
      </c>
    </row>
    <row r="1358">
      <c r="A1358" s="2" t="s">
        <v>11294</v>
      </c>
      <c r="B1358" s="3" t="str">
        <f>C1358 &amp; " -&gt; " &amp; D1358</f>
        <v>principal-process-steward -&gt; Requirements.IsDecorativeControl</v>
      </c>
      <c r="C1358" s="2" t="s">
        <v>9706</v>
      </c>
      <c r="D1358" s="2" t="s">
        <v>2998</v>
      </c>
      <c r="E1358" s="2" t="b">
        <v>1</v>
      </c>
      <c r="F1358" s="2" t="b">
        <v>0</v>
      </c>
      <c r="G1358" s="2" t="s">
        <v>9937</v>
      </c>
      <c r="H1358" s="3" t="str">
        <f>_xlfn.IFNA(INDEX(RulebookFields!C2:C999, MATCH(D1358,RulebookFields!A2:A999, 0)), "")</f>
        <v>Requirements</v>
      </c>
      <c r="I1358" s="3" t="str">
        <f>_xlfn.IFNA(INDEX(RulebookFields!D2:D999, MATCH(D1358,RulebookFields!A2:A999, 0)), "")</f>
        <v>IsDecorativeControl</v>
      </c>
      <c r="J1358" s="3" t="b">
        <f>_xlfn.IFNA(INDEX(RulebookFields!I2:I999, MATCH(D1358,RulebookFields!A2:A999, 0)), "")</f>
        <v>1</v>
      </c>
      <c r="K1358" s="3" t="b">
        <f>AND(F1358, J1358)</f>
        <v>0</v>
      </c>
      <c r="L1358" s="3" t="b">
        <f>AND(G1358 &lt;&gt; "plain", G1358 &lt;&gt; "")</f>
        <v>0</v>
      </c>
      <c r="M1358" s="3" t="str">
        <f>IF(E1358, C1358 &amp; "|" &amp; H1358, "")</f>
        <v>principal-process-steward|Requirements</v>
      </c>
      <c r="N1358" s="2" t="s">
        <v>9938</v>
      </c>
    </row>
    <row r="1359">
      <c r="A1359" s="2" t="s">
        <v>11295</v>
      </c>
      <c r="B1359" s="3" t="str">
        <f>C1359 &amp; " -&gt; " &amp; D1359</f>
        <v>principal-process-steward -&gt; Requirements.HasComputedWitness</v>
      </c>
      <c r="C1359" s="2" t="s">
        <v>9706</v>
      </c>
      <c r="D1359" s="2" t="s">
        <v>3000</v>
      </c>
      <c r="E1359" s="2" t="b">
        <v>1</v>
      </c>
      <c r="F1359" s="2" t="b">
        <v>0</v>
      </c>
      <c r="G1359" s="2" t="s">
        <v>9937</v>
      </c>
      <c r="H1359" s="3" t="str">
        <f>_xlfn.IFNA(INDEX(RulebookFields!C2:C999, MATCH(D1359,RulebookFields!A2:A999, 0)), "")</f>
        <v>Requirements</v>
      </c>
      <c r="I1359" s="3" t="str">
        <f>_xlfn.IFNA(INDEX(RulebookFields!D2:D999, MATCH(D1359,RulebookFields!A2:A999, 0)), "")</f>
        <v>HasComputedWitness</v>
      </c>
      <c r="J1359" s="3" t="b">
        <f>_xlfn.IFNA(INDEX(RulebookFields!I2:I999, MATCH(D1359,RulebookFields!A2:A999, 0)), "")</f>
        <v>0</v>
      </c>
      <c r="K1359" s="3" t="b">
        <f>AND(F1359, J1359)</f>
        <v>0</v>
      </c>
      <c r="L1359" s="3" t="b">
        <f>AND(G1359 &lt;&gt; "plain", G1359 &lt;&gt; "")</f>
        <v>0</v>
      </c>
      <c r="M1359" s="3" t="str">
        <f>IF(E1359, C1359 &amp; "|" &amp; H1359, "")</f>
        <v>principal-process-steward|Requirements</v>
      </c>
      <c r="N1359" s="2" t="s">
        <v>9938</v>
      </c>
    </row>
    <row r="1360">
      <c r="A1360" s="2" t="s">
        <v>11296</v>
      </c>
      <c r="B1360" s="3" t="str">
        <f>C1360 &amp; " -&gt; " &amp; D1360</f>
        <v>principal-process-steward -&gt; Requirements.WitnessFieldName</v>
      </c>
      <c r="C1360" s="2" t="s">
        <v>9706</v>
      </c>
      <c r="D1360" s="2" t="s">
        <v>3001</v>
      </c>
      <c r="E1360" s="2" t="b">
        <v>1</v>
      </c>
      <c r="F1360" s="2" t="b">
        <v>0</v>
      </c>
      <c r="G1360" s="2" t="s">
        <v>9937</v>
      </c>
      <c r="H1360" s="3" t="str">
        <f>_xlfn.IFNA(INDEX(RulebookFields!C2:C999, MATCH(D1360,RulebookFields!A2:A999, 0)), "")</f>
        <v>Requirements</v>
      </c>
      <c r="I1360" s="3" t="str">
        <f>_xlfn.IFNA(INDEX(RulebookFields!D2:D999, MATCH(D1360,RulebookFields!A2:A999, 0)), "")</f>
        <v>WitnessFieldName</v>
      </c>
      <c r="J1360" s="3" t="b">
        <f>_xlfn.IFNA(INDEX(RulebookFields!I2:I999, MATCH(D1360,RulebookFields!A2:A999, 0)), "")</f>
        <v>0</v>
      </c>
      <c r="K1360" s="3" t="b">
        <f>AND(F1360, J1360)</f>
        <v>0</v>
      </c>
      <c r="L1360" s="3" t="b">
        <f>AND(G1360 &lt;&gt; "plain", G1360 &lt;&gt; "")</f>
        <v>0</v>
      </c>
      <c r="M1360" s="3" t="str">
        <f>IF(E1360, C1360 &amp; "|" &amp; H1360, "")</f>
        <v>principal-process-steward|Requirements</v>
      </c>
      <c r="N1360" s="2" t="s">
        <v>9938</v>
      </c>
    </row>
    <row r="1361">
      <c r="A1361" s="2" t="s">
        <v>11297</v>
      </c>
      <c r="B1361" s="3" t="str">
        <f>C1361 &amp; " -&gt; " &amp; D1361</f>
        <v>principal-process-steward -&gt; Requirements.HasEverProducedNegative</v>
      </c>
      <c r="C1361" s="2" t="s">
        <v>9706</v>
      </c>
      <c r="D1361" s="2" t="s">
        <v>3002</v>
      </c>
      <c r="E1361" s="2" t="b">
        <v>1</v>
      </c>
      <c r="F1361" s="2" t="b">
        <v>0</v>
      </c>
      <c r="G1361" s="2" t="s">
        <v>9937</v>
      </c>
      <c r="H1361" s="3" t="str">
        <f>_xlfn.IFNA(INDEX(RulebookFields!C2:C999, MATCH(D1361,RulebookFields!A2:A999, 0)), "")</f>
        <v>Requirements</v>
      </c>
      <c r="I1361" s="3" t="str">
        <f>_xlfn.IFNA(INDEX(RulebookFields!D2:D999, MATCH(D1361,RulebookFields!A2:A999, 0)), "")</f>
        <v>HasEverProducedNegative</v>
      </c>
      <c r="J1361" s="3" t="b">
        <f>_xlfn.IFNA(INDEX(RulebookFields!I2:I999, MATCH(D1361,RulebookFields!A2:A999, 0)), "")</f>
        <v>1</v>
      </c>
      <c r="K1361" s="3" t="b">
        <f>AND(F1361, J1361)</f>
        <v>0</v>
      </c>
      <c r="L1361" s="3" t="b">
        <f>AND(G1361 &lt;&gt; "plain", G1361 &lt;&gt; "")</f>
        <v>0</v>
      </c>
      <c r="M1361" s="3" t="str">
        <f>IF(E1361, C1361 &amp; "|" &amp; H1361, "")</f>
        <v>principal-process-steward|Requirements</v>
      </c>
      <c r="N1361" s="2" t="s">
        <v>9938</v>
      </c>
    </row>
    <row r="1362">
      <c r="A1362" s="2" t="s">
        <v>11298</v>
      </c>
      <c r="B1362" s="3" t="str">
        <f>C1362 &amp; " -&gt; " &amp; D1362</f>
        <v>principal-process-steward -&gt; Requirements.IsUnfalsifiedControl</v>
      </c>
      <c r="C1362" s="2" t="s">
        <v>9706</v>
      </c>
      <c r="D1362" s="2" t="s">
        <v>3004</v>
      </c>
      <c r="E1362" s="2" t="b">
        <v>1</v>
      </c>
      <c r="F1362" s="2" t="b">
        <v>0</v>
      </c>
      <c r="G1362" s="2" t="s">
        <v>9937</v>
      </c>
      <c r="H1362" s="3" t="str">
        <f>_xlfn.IFNA(INDEX(RulebookFields!C2:C999, MATCH(D1362,RulebookFields!A2:A999, 0)), "")</f>
        <v>Requirements</v>
      </c>
      <c r="I1362" s="3" t="str">
        <f>_xlfn.IFNA(INDEX(RulebookFields!D2:D999, MATCH(D1362,RulebookFields!A2:A999, 0)), "")</f>
        <v>IsUnfalsifiedControl</v>
      </c>
      <c r="J1362" s="3" t="b">
        <f>_xlfn.IFNA(INDEX(RulebookFields!I2:I999, MATCH(D1362,RulebookFields!A2:A999, 0)), "")</f>
        <v>1</v>
      </c>
      <c r="K1362" s="3" t="b">
        <f>AND(F1362, J1362)</f>
        <v>0</v>
      </c>
      <c r="L1362" s="3" t="b">
        <f>AND(G1362 &lt;&gt; "plain", G1362 &lt;&gt; "")</f>
        <v>0</v>
      </c>
      <c r="M1362" s="3" t="str">
        <f>IF(E1362, C1362 &amp; "|" &amp; H1362, "")</f>
        <v>principal-process-steward|Requirements</v>
      </c>
      <c r="N1362" s="2" t="s">
        <v>9938</v>
      </c>
    </row>
    <row r="1363">
      <c r="A1363" s="2" t="s">
        <v>11299</v>
      </c>
      <c r="B1363" s="3" t="str">
        <f>C1363 &amp; " -&gt; " &amp; D1363</f>
        <v>principal-process-steward -&gt; Requirements.ClaimsAWitnessField</v>
      </c>
      <c r="C1363" s="2" t="s">
        <v>9706</v>
      </c>
      <c r="D1363" s="2" t="s">
        <v>3006</v>
      </c>
      <c r="E1363" s="2" t="b">
        <v>1</v>
      </c>
      <c r="F1363" s="2" t="b">
        <v>0</v>
      </c>
      <c r="G1363" s="2" t="s">
        <v>9937</v>
      </c>
      <c r="H1363" s="3" t="str">
        <f>_xlfn.IFNA(INDEX(RulebookFields!C2:C999, MATCH(D1363,RulebookFields!A2:A999, 0)), "")</f>
        <v>Requirements</v>
      </c>
      <c r="I1363" s="3" t="str">
        <f>_xlfn.IFNA(INDEX(RulebookFields!D2:D999, MATCH(D1363,RulebookFields!A2:A999, 0)), "")</f>
        <v>ClaimsAWitnessField</v>
      </c>
      <c r="J1363" s="3" t="b">
        <f>_xlfn.IFNA(INDEX(RulebookFields!I2:I999, MATCH(D1363,RulebookFields!A2:A999, 0)), "")</f>
        <v>1</v>
      </c>
      <c r="K1363" s="3" t="b">
        <f>AND(F1363, J1363)</f>
        <v>0</v>
      </c>
      <c r="L1363" s="3" t="b">
        <f>AND(G1363 &lt;&gt; "plain", G1363 &lt;&gt; "")</f>
        <v>0</v>
      </c>
      <c r="M1363" s="3" t="str">
        <f>IF(E1363, C1363 &amp; "|" &amp; H1363, "")</f>
        <v>principal-process-steward|Requirements</v>
      </c>
      <c r="N1363" s="2" t="s">
        <v>9938</v>
      </c>
    </row>
    <row r="1364">
      <c r="A1364" s="2" t="s">
        <v>11300</v>
      </c>
      <c r="B1364" s="3" t="str">
        <f>C1364 &amp; " -&gt; " &amp; D1364</f>
        <v>principal-process-steward -&gt; Requirements.NamedWitnessFieldExists</v>
      </c>
      <c r="C1364" s="2" t="s">
        <v>9706</v>
      </c>
      <c r="D1364" s="2" t="s">
        <v>3008</v>
      </c>
      <c r="E1364" s="2" t="b">
        <v>1</v>
      </c>
      <c r="F1364" s="2" t="b">
        <v>0</v>
      </c>
      <c r="G1364" s="2" t="s">
        <v>9937</v>
      </c>
      <c r="H1364" s="3" t="str">
        <f>_xlfn.IFNA(INDEX(RulebookFields!C2:C999, MATCH(D1364,RulebookFields!A2:A999, 0)), "")</f>
        <v>Requirements</v>
      </c>
      <c r="I1364" s="3" t="str">
        <f>_xlfn.IFNA(INDEX(RulebookFields!D2:D999, MATCH(D1364,RulebookFields!A2:A999, 0)), "")</f>
        <v>NamedWitnessFieldExists</v>
      </c>
      <c r="J1364" s="3" t="b">
        <f>_xlfn.IFNA(INDEX(RulebookFields!I2:I999, MATCH(D1364,RulebookFields!A2:A999, 0)), "")</f>
        <v>1</v>
      </c>
      <c r="K1364" s="3" t="b">
        <f>AND(F1364, J1364)</f>
        <v>0</v>
      </c>
      <c r="L1364" s="3" t="b">
        <f>AND(G1364 &lt;&gt; "plain", G1364 &lt;&gt; "")</f>
        <v>0</v>
      </c>
      <c r="M1364" s="3" t="str">
        <f>IF(E1364, C1364 &amp; "|" &amp; H1364, "")</f>
        <v>principal-process-steward|Requirements</v>
      </c>
      <c r="N1364" s="2" t="s">
        <v>9938</v>
      </c>
    </row>
    <row r="1365">
      <c r="A1365" s="2" t="s">
        <v>11301</v>
      </c>
      <c r="B1365" s="3" t="str">
        <f>C1365 &amp; " -&gt; " &amp; D1365</f>
        <v>principal-process-steward -&gt; Requirements.DerivedHasComputedWitness</v>
      </c>
      <c r="C1365" s="2" t="s">
        <v>9706</v>
      </c>
      <c r="D1365" s="2" t="s">
        <v>3010</v>
      </c>
      <c r="E1365" s="2" t="b">
        <v>1</v>
      </c>
      <c r="F1365" s="2" t="b">
        <v>0</v>
      </c>
      <c r="G1365" s="2" t="s">
        <v>9937</v>
      </c>
      <c r="H1365" s="3" t="str">
        <f>_xlfn.IFNA(INDEX(RulebookFields!C2:C999, MATCH(D1365,RulebookFields!A2:A999, 0)), "")</f>
        <v>Requirements</v>
      </c>
      <c r="I1365" s="3" t="str">
        <f>_xlfn.IFNA(INDEX(RulebookFields!D2:D999, MATCH(D1365,RulebookFields!A2:A999, 0)), "")</f>
        <v>DerivedHasComputedWitness</v>
      </c>
      <c r="J1365" s="3" t="b">
        <f>_xlfn.IFNA(INDEX(RulebookFields!I2:I999, MATCH(D1365,RulebookFields!A2:A999, 0)), "")</f>
        <v>1</v>
      </c>
      <c r="K1365" s="3" t="b">
        <f>AND(F1365, J1365)</f>
        <v>0</v>
      </c>
      <c r="L1365" s="3" t="b">
        <f>AND(G1365 &lt;&gt; "plain", G1365 &lt;&gt; "")</f>
        <v>0</v>
      </c>
      <c r="M1365" s="3" t="str">
        <f>IF(E1365, C1365 &amp; "|" &amp; H1365, "")</f>
        <v>principal-process-steward|Requirements</v>
      </c>
      <c r="N1365" s="2" t="s">
        <v>9938</v>
      </c>
    </row>
    <row r="1366">
      <c r="A1366" s="2" t="s">
        <v>11302</v>
      </c>
      <c r="B1366" s="3" t="str">
        <f>C1366 &amp; " -&gt; " &amp; D1366</f>
        <v>principal-process-steward -&gt; Requirements.WitnessClaimIsUnverified</v>
      </c>
      <c r="C1366" s="2" t="s">
        <v>9706</v>
      </c>
      <c r="D1366" s="2" t="s">
        <v>3012</v>
      </c>
      <c r="E1366" s="2" t="b">
        <v>1</v>
      </c>
      <c r="F1366" s="2" t="b">
        <v>0</v>
      </c>
      <c r="G1366" s="2" t="s">
        <v>9937</v>
      </c>
      <c r="H1366" s="3" t="str">
        <f>_xlfn.IFNA(INDEX(RulebookFields!C2:C999, MATCH(D1366,RulebookFields!A2:A999, 0)), "")</f>
        <v>Requirements</v>
      </c>
      <c r="I1366" s="3" t="str">
        <f>_xlfn.IFNA(INDEX(RulebookFields!D2:D999, MATCH(D1366,RulebookFields!A2:A999, 0)), "")</f>
        <v>WitnessClaimIsUnverified</v>
      </c>
      <c r="J1366" s="3" t="b">
        <f>_xlfn.IFNA(INDEX(RulebookFields!I2:I999, MATCH(D1366,RulebookFields!A2:A999, 0)), "")</f>
        <v>1</v>
      </c>
      <c r="K1366" s="3" t="b">
        <f>AND(F1366, J1366)</f>
        <v>0</v>
      </c>
      <c r="L1366" s="3" t="b">
        <f>AND(G1366 &lt;&gt; "plain", G1366 &lt;&gt; "")</f>
        <v>0</v>
      </c>
      <c r="M1366" s="3" t="str">
        <f>IF(E1366, C1366 &amp; "|" &amp; H1366, "")</f>
        <v>principal-process-steward|Requirements</v>
      </c>
      <c r="N1366" s="2" t="s">
        <v>9938</v>
      </c>
    </row>
    <row r="1367">
      <c r="A1367" s="2" t="s">
        <v>11303</v>
      </c>
      <c r="B1367" s="3" t="str">
        <f>C1367 &amp; " -&gt; " &amp; D1367</f>
        <v>principal-process-steward -&gt; Requirements.IsUnwitnessedBlockingControl</v>
      </c>
      <c r="C1367" s="2" t="s">
        <v>9706</v>
      </c>
      <c r="D1367" s="2" t="s">
        <v>3014</v>
      </c>
      <c r="E1367" s="2" t="b">
        <v>1</v>
      </c>
      <c r="F1367" s="2" t="b">
        <v>0</v>
      </c>
      <c r="G1367" s="2" t="s">
        <v>9937</v>
      </c>
      <c r="H1367" s="3" t="str">
        <f>_xlfn.IFNA(INDEX(RulebookFields!C2:C999, MATCH(D1367,RulebookFields!A2:A999, 0)), "")</f>
        <v>Requirements</v>
      </c>
      <c r="I1367" s="3" t="str">
        <f>_xlfn.IFNA(INDEX(RulebookFields!D2:D999, MATCH(D1367,RulebookFields!A2:A999, 0)), "")</f>
        <v>IsUnwitnessedBlockingControl</v>
      </c>
      <c r="J1367" s="3" t="b">
        <f>_xlfn.IFNA(INDEX(RulebookFields!I2:I999, MATCH(D1367,RulebookFields!A2:A999, 0)), "")</f>
        <v>1</v>
      </c>
      <c r="K1367" s="3" t="b">
        <f>AND(F1367, J1367)</f>
        <v>0</v>
      </c>
      <c r="L1367" s="3" t="b">
        <f>AND(G1367 &lt;&gt; "plain", G1367 &lt;&gt; "")</f>
        <v>0</v>
      </c>
      <c r="M1367" s="3" t="str">
        <f>IF(E1367, C1367 &amp; "|" &amp; H1367, "")</f>
        <v>principal-process-steward|Requirements</v>
      </c>
      <c r="N1367" s="2" t="s">
        <v>9938</v>
      </c>
    </row>
    <row r="1368">
      <c r="A1368" s="2" t="s">
        <v>11304</v>
      </c>
      <c r="B1368" s="3" t="str">
        <f>C1368 &amp; " -&gt; " &amp; D1368</f>
        <v>principal-process-steward -&gt; Requirements.WitnessFireCount</v>
      </c>
      <c r="C1368" s="2" t="s">
        <v>9706</v>
      </c>
      <c r="D1368" s="2" t="s">
        <v>3016</v>
      </c>
      <c r="E1368" s="2" t="b">
        <v>1</v>
      </c>
      <c r="F1368" s="2" t="b">
        <v>0</v>
      </c>
      <c r="G1368" s="2" t="s">
        <v>9937</v>
      </c>
      <c r="H1368" s="3" t="str">
        <f>_xlfn.IFNA(INDEX(RulebookFields!C2:C999, MATCH(D1368,RulebookFields!A2:A999, 0)), "")</f>
        <v>Requirements</v>
      </c>
      <c r="I1368" s="3" t="str">
        <f>_xlfn.IFNA(INDEX(RulebookFields!D2:D999, MATCH(D1368,RulebookFields!A2:A999, 0)), "")</f>
        <v>WitnessFireCount</v>
      </c>
      <c r="J1368" s="3" t="b">
        <f>_xlfn.IFNA(INDEX(RulebookFields!I2:I999, MATCH(D1368,RulebookFields!A2:A999, 0)), "")</f>
        <v>1</v>
      </c>
      <c r="K1368" s="3" t="b">
        <f>AND(F1368, J1368)</f>
        <v>0</v>
      </c>
      <c r="L1368" s="3" t="b">
        <f>AND(G1368 &lt;&gt; "plain", G1368 &lt;&gt; "")</f>
        <v>0</v>
      </c>
      <c r="M1368" s="3" t="str">
        <f>IF(E1368, C1368 &amp; "|" &amp; H1368, "")</f>
        <v>principal-process-steward|Requirements</v>
      </c>
      <c r="N1368" s="2" t="s">
        <v>9938</v>
      </c>
    </row>
    <row r="1369">
      <c r="A1369" s="2" t="s">
        <v>11305</v>
      </c>
      <c r="B1369" s="3" t="str">
        <f>C1369 &amp; " -&gt; " &amp; D1369</f>
        <v>principal-process-steward -&gt; Requirements.WitnessHasNeverFired</v>
      </c>
      <c r="C1369" s="2" t="s">
        <v>9706</v>
      </c>
      <c r="D1369" s="2" t="s">
        <v>3018</v>
      </c>
      <c r="E1369" s="2" t="b">
        <v>1</v>
      </c>
      <c r="F1369" s="2" t="b">
        <v>0</v>
      </c>
      <c r="G1369" s="2" t="s">
        <v>9937</v>
      </c>
      <c r="H1369" s="3" t="str">
        <f>_xlfn.IFNA(INDEX(RulebookFields!C2:C999, MATCH(D1369,RulebookFields!A2:A999, 0)), "")</f>
        <v>Requirements</v>
      </c>
      <c r="I1369" s="3" t="str">
        <f>_xlfn.IFNA(INDEX(RulebookFields!D2:D999, MATCH(D1369,RulebookFields!A2:A999, 0)), "")</f>
        <v>WitnessHasNeverFired</v>
      </c>
      <c r="J1369" s="3" t="b">
        <f>_xlfn.IFNA(INDEX(RulebookFields!I2:I999, MATCH(D1369,RulebookFields!A2:A999, 0)), "")</f>
        <v>1</v>
      </c>
      <c r="K1369" s="3" t="b">
        <f>AND(F1369, J1369)</f>
        <v>0</v>
      </c>
      <c r="L1369" s="3" t="b">
        <f>AND(G1369 &lt;&gt; "plain", G1369 &lt;&gt; "")</f>
        <v>0</v>
      </c>
      <c r="M1369" s="3" t="str">
        <f>IF(E1369, C1369 &amp; "|" &amp; H1369, "")</f>
        <v>principal-process-steward|Requirements</v>
      </c>
      <c r="N1369" s="2" t="s">
        <v>9938</v>
      </c>
    </row>
    <row r="1370">
      <c r="A1370" s="2" t="s">
        <v>11306</v>
      </c>
      <c r="B1370" s="3" t="str">
        <f>C1370 &amp; " -&gt; " &amp; D1370</f>
        <v>principal-process-steward -&gt; Requirements.EvaluationSampleSize</v>
      </c>
      <c r="C1370" s="2" t="s">
        <v>9706</v>
      </c>
      <c r="D1370" s="2" t="s">
        <v>3020</v>
      </c>
      <c r="E1370" s="2" t="b">
        <v>1</v>
      </c>
      <c r="F1370" s="2" t="b">
        <v>0</v>
      </c>
      <c r="G1370" s="2" t="s">
        <v>9937</v>
      </c>
      <c r="H1370" s="3" t="str">
        <f>_xlfn.IFNA(INDEX(RulebookFields!C2:C999, MATCH(D1370,RulebookFields!A2:A999, 0)), "")</f>
        <v>Requirements</v>
      </c>
      <c r="I1370" s="3" t="str">
        <f>_xlfn.IFNA(INDEX(RulebookFields!D2:D999, MATCH(D1370,RulebookFields!A2:A999, 0)), "")</f>
        <v>EvaluationSampleSize</v>
      </c>
      <c r="J1370" s="3" t="b">
        <f>_xlfn.IFNA(INDEX(RulebookFields!I2:I999, MATCH(D1370,RulebookFields!A2:A999, 0)), "")</f>
        <v>1</v>
      </c>
      <c r="K1370" s="3" t="b">
        <f>AND(F1370, J1370)</f>
        <v>0</v>
      </c>
      <c r="L1370" s="3" t="b">
        <f>AND(G1370 &lt;&gt; "plain", G1370 &lt;&gt; "")</f>
        <v>0</v>
      </c>
      <c r="M1370" s="3" t="str">
        <f>IF(E1370, C1370 &amp; "|" &amp; H1370, "")</f>
        <v>principal-process-steward|Requirements</v>
      </c>
      <c r="N1370" s="2" t="s">
        <v>9938</v>
      </c>
    </row>
    <row r="1371">
      <c r="A1371" s="2" t="s">
        <v>11307</v>
      </c>
      <c r="B1371" s="3" t="str">
        <f>C1371 &amp; " -&gt; " &amp; D1371</f>
        <v>principal-process-steward -&gt; Requirements.HasMeaningfulSample</v>
      </c>
      <c r="C1371" s="2" t="s">
        <v>9706</v>
      </c>
      <c r="D1371" s="2" t="s">
        <v>3022</v>
      </c>
      <c r="E1371" s="2" t="b">
        <v>1</v>
      </c>
      <c r="F1371" s="2" t="b">
        <v>0</v>
      </c>
      <c r="G1371" s="2" t="s">
        <v>9937</v>
      </c>
      <c r="H1371" s="3" t="str">
        <f>_xlfn.IFNA(INDEX(RulebookFields!C2:C999, MATCH(D1371,RulebookFields!A2:A999, 0)), "")</f>
        <v>Requirements</v>
      </c>
      <c r="I1371" s="3" t="str">
        <f>_xlfn.IFNA(INDEX(RulebookFields!D2:D999, MATCH(D1371,RulebookFields!A2:A999, 0)), "")</f>
        <v>HasMeaningfulSample</v>
      </c>
      <c r="J1371" s="3" t="b">
        <f>_xlfn.IFNA(INDEX(RulebookFields!I2:I999, MATCH(D1371,RulebookFields!A2:A999, 0)), "")</f>
        <v>1</v>
      </c>
      <c r="K1371" s="3" t="b">
        <f>AND(F1371, J1371)</f>
        <v>0</v>
      </c>
      <c r="L1371" s="3" t="b">
        <f>AND(G1371 &lt;&gt; "plain", G1371 &lt;&gt; "")</f>
        <v>0</v>
      </c>
      <c r="M1371" s="3" t="str">
        <f>IF(E1371, C1371 &amp; "|" &amp; H1371, "")</f>
        <v>principal-process-steward|Requirements</v>
      </c>
      <c r="N1371" s="2" t="s">
        <v>9938</v>
      </c>
    </row>
    <row r="1372">
      <c r="A1372" s="2" t="s">
        <v>11308</v>
      </c>
      <c r="B1372" s="3" t="str">
        <f>C1372 &amp; " -&gt; " &amp; D1372</f>
        <v>principal-process-steward -&gt; Requirements.MinimumSampleForAssurance</v>
      </c>
      <c r="C1372" s="2" t="s">
        <v>9706</v>
      </c>
      <c r="D1372" s="2" t="s">
        <v>3024</v>
      </c>
      <c r="E1372" s="2" t="b">
        <v>1</v>
      </c>
      <c r="F1372" s="2" t="b">
        <v>0</v>
      </c>
      <c r="G1372" s="2" t="s">
        <v>9937</v>
      </c>
      <c r="H1372" s="3" t="str">
        <f>_xlfn.IFNA(INDEX(RulebookFields!C2:C999, MATCH(D1372,RulebookFields!A2:A999, 0)), "")</f>
        <v>Requirements</v>
      </c>
      <c r="I1372" s="3" t="str">
        <f>_xlfn.IFNA(INDEX(RulebookFields!D2:D999, MATCH(D1372,RulebookFields!A2:A999, 0)), "")</f>
        <v>MinimumSampleForAssurance</v>
      </c>
      <c r="J1372" s="3" t="b">
        <f>_xlfn.IFNA(INDEX(RulebookFields!I2:I999, MATCH(D1372,RulebookFields!A2:A999, 0)), "")</f>
        <v>0</v>
      </c>
      <c r="K1372" s="3" t="b">
        <f>AND(F1372, J1372)</f>
        <v>0</v>
      </c>
      <c r="L1372" s="3" t="b">
        <f>AND(G1372 &lt;&gt; "plain", G1372 &lt;&gt; "")</f>
        <v>0</v>
      </c>
      <c r="M1372" s="3" t="str">
        <f>IF(E1372, C1372 &amp; "|" &amp; H1372, "")</f>
        <v>principal-process-steward|Requirements</v>
      </c>
      <c r="N1372" s="2" t="s">
        <v>9938</v>
      </c>
    </row>
    <row r="1373">
      <c r="A1373" s="2" t="s">
        <v>11309</v>
      </c>
      <c r="B1373" s="3" t="str">
        <f>C1373 &amp; " -&gt; " &amp; D1373</f>
        <v>principal-process-steward -&gt; Requirements.IsUntestedWitness</v>
      </c>
      <c r="C1373" s="2" t="s">
        <v>9706</v>
      </c>
      <c r="D1373" s="2" t="s">
        <v>3025</v>
      </c>
      <c r="E1373" s="2" t="b">
        <v>1</v>
      </c>
      <c r="F1373" s="2" t="b">
        <v>0</v>
      </c>
      <c r="G1373" s="2" t="s">
        <v>9937</v>
      </c>
      <c r="H1373" s="3" t="str">
        <f>_xlfn.IFNA(INDEX(RulebookFields!C2:C999, MATCH(D1373,RulebookFields!A2:A999, 0)), "")</f>
        <v>Requirements</v>
      </c>
      <c r="I1373" s="3" t="str">
        <f>_xlfn.IFNA(INDEX(RulebookFields!D2:D999, MATCH(D1373,RulebookFields!A2:A999, 0)), "")</f>
        <v>IsUntestedWitness</v>
      </c>
      <c r="J1373" s="3" t="b">
        <f>_xlfn.IFNA(INDEX(RulebookFields!I2:I999, MATCH(D1373,RulebookFields!A2:A999, 0)), "")</f>
        <v>1</v>
      </c>
      <c r="K1373" s="3" t="b">
        <f>AND(F1373, J1373)</f>
        <v>0</v>
      </c>
      <c r="L1373" s="3" t="b">
        <f>AND(G1373 &lt;&gt; "plain", G1373 &lt;&gt; "")</f>
        <v>0</v>
      </c>
      <c r="M1373" s="3" t="str">
        <f>IF(E1373, C1373 &amp; "|" &amp; H1373, "")</f>
        <v>principal-process-steward|Requirements</v>
      </c>
      <c r="N1373" s="2" t="s">
        <v>9938</v>
      </c>
    </row>
    <row r="1374">
      <c r="A1374" s="2" t="s">
        <v>11310</v>
      </c>
      <c r="B1374" s="3" t="str">
        <f>C1374 &amp; " -&gt; " &amp; D1374</f>
        <v>principal-process-steward -&gt; Requirements.IsEvidencedHoldingControl</v>
      </c>
      <c r="C1374" s="2" t="s">
        <v>9706</v>
      </c>
      <c r="D1374" s="2" t="s">
        <v>3027</v>
      </c>
      <c r="E1374" s="2" t="b">
        <v>1</v>
      </c>
      <c r="F1374" s="2" t="b">
        <v>0</v>
      </c>
      <c r="G1374" s="2" t="s">
        <v>9937</v>
      </c>
      <c r="H1374" s="3" t="str">
        <f>_xlfn.IFNA(INDEX(RulebookFields!C2:C999, MATCH(D1374,RulebookFields!A2:A999, 0)), "")</f>
        <v>Requirements</v>
      </c>
      <c r="I1374" s="3" t="str">
        <f>_xlfn.IFNA(INDEX(RulebookFields!D2:D999, MATCH(D1374,RulebookFields!A2:A999, 0)), "")</f>
        <v>IsEvidencedHoldingControl</v>
      </c>
      <c r="J1374" s="3" t="b">
        <f>_xlfn.IFNA(INDEX(RulebookFields!I2:I999, MATCH(D1374,RulebookFields!A2:A999, 0)), "")</f>
        <v>1</v>
      </c>
      <c r="K1374" s="3" t="b">
        <f>AND(F1374, J1374)</f>
        <v>0</v>
      </c>
      <c r="L1374" s="3" t="b">
        <f>AND(G1374 &lt;&gt; "plain", G1374 &lt;&gt; "")</f>
        <v>0</v>
      </c>
      <c r="M1374" s="3" t="str">
        <f>IF(E1374, C1374 &amp; "|" &amp; H1374, "")</f>
        <v>principal-process-steward|Requirements</v>
      </c>
      <c r="N1374" s="2" t="s">
        <v>9938</v>
      </c>
    </row>
    <row r="1375">
      <c r="A1375" s="2" t="s">
        <v>11311</v>
      </c>
      <c r="B1375" s="3" t="str">
        <f>C1375 &amp; " -&gt; " &amp; D1375</f>
        <v>principal-process-steward -&gt; Requirements.ControlAssuranceState</v>
      </c>
      <c r="C1375" s="2" t="s">
        <v>9706</v>
      </c>
      <c r="D1375" s="2" t="s">
        <v>3029</v>
      </c>
      <c r="E1375" s="2" t="b">
        <v>1</v>
      </c>
      <c r="F1375" s="2" t="b">
        <v>0</v>
      </c>
      <c r="G1375" s="2" t="s">
        <v>9937</v>
      </c>
      <c r="H1375" s="3" t="str">
        <f>_xlfn.IFNA(INDEX(RulebookFields!C2:C999, MATCH(D1375,RulebookFields!A2:A999, 0)), "")</f>
        <v>Requirements</v>
      </c>
      <c r="I1375" s="3" t="str">
        <f>_xlfn.IFNA(INDEX(RulebookFields!D2:D999, MATCH(D1375,RulebookFields!A2:A999, 0)), "")</f>
        <v>ControlAssuranceState</v>
      </c>
      <c r="J1375" s="3" t="b">
        <f>_xlfn.IFNA(INDEX(RulebookFields!I2:I999, MATCH(D1375,RulebookFields!A2:A999, 0)), "")</f>
        <v>1</v>
      </c>
      <c r="K1375" s="3" t="b">
        <f>AND(F1375, J1375)</f>
        <v>0</v>
      </c>
      <c r="L1375" s="3" t="b">
        <f>AND(G1375 &lt;&gt; "plain", G1375 &lt;&gt; "")</f>
        <v>0</v>
      </c>
      <c r="M1375" s="3" t="str">
        <f>IF(E1375, C1375 &amp; "|" &amp; H1375, "")</f>
        <v>principal-process-steward|Requirements</v>
      </c>
      <c r="N1375" s="2" t="s">
        <v>9938</v>
      </c>
    </row>
    <row r="1376">
      <c r="A1376" s="2" t="s">
        <v>11312</v>
      </c>
      <c r="B1376" s="3" t="str">
        <f>C1376 &amp; " -&gt; " &amp; D1376</f>
        <v>principal-process-steward -&gt; Requirements.UnexercisedBindingCount</v>
      </c>
      <c r="C1376" s="2" t="s">
        <v>9706</v>
      </c>
      <c r="D1376" s="2" t="s">
        <v>3031</v>
      </c>
      <c r="E1376" s="2" t="b">
        <v>1</v>
      </c>
      <c r="F1376" s="2" t="b">
        <v>0</v>
      </c>
      <c r="G1376" s="2" t="s">
        <v>9937</v>
      </c>
      <c r="H1376" s="3" t="str">
        <f>_xlfn.IFNA(INDEX(RulebookFields!C2:C999, MATCH(D1376,RulebookFields!A2:A999, 0)), "")</f>
        <v>Requirements</v>
      </c>
      <c r="I1376" s="3" t="str">
        <f>_xlfn.IFNA(INDEX(RulebookFields!D2:D999, MATCH(D1376,RulebookFields!A2:A999, 0)), "")</f>
        <v>UnexercisedBindingCount</v>
      </c>
      <c r="J1376" s="3" t="b">
        <f>_xlfn.IFNA(INDEX(RulebookFields!I2:I999, MATCH(D1376,RulebookFields!A2:A999, 0)), "")</f>
        <v>1</v>
      </c>
      <c r="K1376" s="3" t="b">
        <f>AND(F1376, J1376)</f>
        <v>0</v>
      </c>
      <c r="L1376" s="3" t="b">
        <f>AND(G1376 &lt;&gt; "plain", G1376 &lt;&gt; "")</f>
        <v>0</v>
      </c>
      <c r="M1376" s="3" t="str">
        <f>IF(E1376, C1376 &amp; "|" &amp; H1376, "")</f>
        <v>principal-process-steward|Requirements</v>
      </c>
      <c r="N1376" s="2" t="s">
        <v>9938</v>
      </c>
    </row>
    <row r="1377">
      <c r="A1377" s="2" t="s">
        <v>11313</v>
      </c>
      <c r="B1377" s="3" t="str">
        <f>C1377 &amp; " -&gt; " &amp; D1377</f>
        <v>principal-process-steward -&gt; Requirements.WitnessIsPartiallyScoped</v>
      </c>
      <c r="C1377" s="2" t="s">
        <v>9706</v>
      </c>
      <c r="D1377" s="2" t="s">
        <v>3033</v>
      </c>
      <c r="E1377" s="2" t="b">
        <v>1</v>
      </c>
      <c r="F1377" s="2" t="b">
        <v>0</v>
      </c>
      <c r="G1377" s="2" t="s">
        <v>9937</v>
      </c>
      <c r="H1377" s="3" t="str">
        <f>_xlfn.IFNA(INDEX(RulebookFields!C2:C999, MATCH(D1377,RulebookFields!A2:A999, 0)), "")</f>
        <v>Requirements</v>
      </c>
      <c r="I1377" s="3" t="str">
        <f>_xlfn.IFNA(INDEX(RulebookFields!D2:D999, MATCH(D1377,RulebookFields!A2:A999, 0)), "")</f>
        <v>WitnessIsPartiallyScoped</v>
      </c>
      <c r="J1377" s="3" t="b">
        <f>_xlfn.IFNA(INDEX(RulebookFields!I2:I999, MATCH(D1377,RulebookFields!A2:A999, 0)), "")</f>
        <v>1</v>
      </c>
      <c r="K1377" s="3" t="b">
        <f>AND(F1377, J1377)</f>
        <v>0</v>
      </c>
      <c r="L1377" s="3" t="b">
        <f>AND(G1377 &lt;&gt; "plain", G1377 &lt;&gt; "")</f>
        <v>0</v>
      </c>
      <c r="M1377" s="3" t="str">
        <f>IF(E1377, C1377 &amp; "|" &amp; H1377, "")</f>
        <v>principal-process-steward|Requirements</v>
      </c>
      <c r="N1377" s="2" t="s">
        <v>9938</v>
      </c>
    </row>
    <row r="1378">
      <c r="A1378" s="2" t="s">
        <v>11314</v>
      </c>
      <c r="B1378" s="3" t="str">
        <f>C1378 &amp; " -&gt; " &amp; D1378</f>
        <v>principal-process-steward -&gt; Requirements.AccountableRole</v>
      </c>
      <c r="C1378" s="2" t="s">
        <v>9706</v>
      </c>
      <c r="D1378" s="2" t="s">
        <v>3035</v>
      </c>
      <c r="E1378" s="2" t="b">
        <v>1</v>
      </c>
      <c r="F1378" s="2" t="b">
        <v>0</v>
      </c>
      <c r="G1378" s="2" t="s">
        <v>9937</v>
      </c>
      <c r="H1378" s="3" t="str">
        <f>_xlfn.IFNA(INDEX(RulebookFields!C2:C999, MATCH(D1378,RulebookFields!A2:A999, 0)), "")</f>
        <v>Requirements</v>
      </c>
      <c r="I1378" s="3" t="str">
        <f>_xlfn.IFNA(INDEX(RulebookFields!D2:D999, MATCH(D1378,RulebookFields!A2:A999, 0)), "")</f>
        <v>AccountableRole</v>
      </c>
      <c r="J1378" s="3" t="b">
        <f>_xlfn.IFNA(INDEX(RulebookFields!I2:I999, MATCH(D1378,RulebookFields!A2:A999, 0)), "")</f>
        <v>0</v>
      </c>
      <c r="K1378" s="3" t="b">
        <f>AND(F1378, J1378)</f>
        <v>0</v>
      </c>
      <c r="L1378" s="3" t="b">
        <f>AND(G1378 &lt;&gt; "plain", G1378 &lt;&gt; "")</f>
        <v>0</v>
      </c>
      <c r="M1378" s="3" t="str">
        <f>IF(E1378, C1378 &amp; "|" &amp; H1378, "")</f>
        <v>principal-process-steward|Requirements</v>
      </c>
      <c r="N1378" s="2" t="s">
        <v>9938</v>
      </c>
    </row>
    <row r="1379">
      <c r="A1379" s="2" t="s">
        <v>11315</v>
      </c>
      <c r="B1379" s="3" t="str">
        <f>C1379 &amp; " -&gt; " &amp; D1379</f>
        <v>principal-process-steward -&gt; Requirements.AccountableAgent</v>
      </c>
      <c r="C1379" s="2" t="s">
        <v>9706</v>
      </c>
      <c r="D1379" s="2" t="s">
        <v>3036</v>
      </c>
      <c r="E1379" s="2" t="b">
        <v>1</v>
      </c>
      <c r="F1379" s="2" t="b">
        <v>0</v>
      </c>
      <c r="G1379" s="2" t="s">
        <v>9937</v>
      </c>
      <c r="H1379" s="3" t="str">
        <f>_xlfn.IFNA(INDEX(RulebookFields!C2:C999, MATCH(D1379,RulebookFields!A2:A999, 0)), "")</f>
        <v>Requirements</v>
      </c>
      <c r="I1379" s="3" t="str">
        <f>_xlfn.IFNA(INDEX(RulebookFields!D2:D999, MATCH(D1379,RulebookFields!A2:A999, 0)), "")</f>
        <v>AccountableAgent</v>
      </c>
      <c r="J1379" s="3" t="b">
        <f>_xlfn.IFNA(INDEX(RulebookFields!I2:I999, MATCH(D1379,RulebookFields!A2:A999, 0)), "")</f>
        <v>1</v>
      </c>
      <c r="K1379" s="3" t="b">
        <f>AND(F1379, J1379)</f>
        <v>0</v>
      </c>
      <c r="L1379" s="3" t="b">
        <f>AND(G1379 &lt;&gt; "plain", G1379 &lt;&gt; "")</f>
        <v>0</v>
      </c>
      <c r="M1379" s="3" t="str">
        <f>IF(E1379, C1379 &amp; "|" &amp; H1379, "")</f>
        <v>principal-process-steward|Requirements</v>
      </c>
      <c r="N1379" s="2" t="s">
        <v>9938</v>
      </c>
    </row>
    <row r="1380">
      <c r="A1380" s="2" t="s">
        <v>11316</v>
      </c>
      <c r="B1380" s="3" t="str">
        <f>C1380 &amp; " -&gt; " &amp; D1380</f>
        <v>principal-process-steward -&gt; Requirements.HasNamedOwner</v>
      </c>
      <c r="C1380" s="2" t="s">
        <v>9706</v>
      </c>
      <c r="D1380" s="2" t="s">
        <v>3038</v>
      </c>
      <c r="E1380" s="2" t="b">
        <v>1</v>
      </c>
      <c r="F1380" s="2" t="b">
        <v>0</v>
      </c>
      <c r="G1380" s="2" t="s">
        <v>9937</v>
      </c>
      <c r="H1380" s="3" t="str">
        <f>_xlfn.IFNA(INDEX(RulebookFields!C2:C999, MATCH(D1380,RulebookFields!A2:A999, 0)), "")</f>
        <v>Requirements</v>
      </c>
      <c r="I1380" s="3" t="str">
        <f>_xlfn.IFNA(INDEX(RulebookFields!D2:D999, MATCH(D1380,RulebookFields!A2:A999, 0)), "")</f>
        <v>HasNamedOwner</v>
      </c>
      <c r="J1380" s="3" t="b">
        <f>_xlfn.IFNA(INDEX(RulebookFields!I2:I999, MATCH(D1380,RulebookFields!A2:A999, 0)), "")</f>
        <v>1</v>
      </c>
      <c r="K1380" s="3" t="b">
        <f>AND(F1380, J1380)</f>
        <v>0</v>
      </c>
      <c r="L1380" s="3" t="b">
        <f>AND(G1380 &lt;&gt; "plain", G1380 &lt;&gt; "")</f>
        <v>0</v>
      </c>
      <c r="M1380" s="3" t="str">
        <f>IF(E1380, C1380 &amp; "|" &amp; H1380, "")</f>
        <v>principal-process-steward|Requirements</v>
      </c>
      <c r="N1380" s="2" t="s">
        <v>9938</v>
      </c>
    </row>
    <row r="1381">
      <c r="A1381" s="2" t="s">
        <v>11317</v>
      </c>
      <c r="B1381" s="3" t="str">
        <f>C1381 &amp; " -&gt; " &amp; D1381</f>
        <v>principal-process-steward -&gt; Requirements.IsOrphanedBlockingControl</v>
      </c>
      <c r="C1381" s="2" t="s">
        <v>9706</v>
      </c>
      <c r="D1381" s="2" t="s">
        <v>3040</v>
      </c>
      <c r="E1381" s="2" t="b">
        <v>1</v>
      </c>
      <c r="F1381" s="2" t="b">
        <v>0</v>
      </c>
      <c r="G1381" s="2" t="s">
        <v>9937</v>
      </c>
      <c r="H1381" s="3" t="str">
        <f>_xlfn.IFNA(INDEX(RulebookFields!C2:C999, MATCH(D1381,RulebookFields!A2:A999, 0)), "")</f>
        <v>Requirements</v>
      </c>
      <c r="I1381" s="3" t="str">
        <f>_xlfn.IFNA(INDEX(RulebookFields!D2:D999, MATCH(D1381,RulebookFields!A2:A999, 0)), "")</f>
        <v>IsOrphanedBlockingControl</v>
      </c>
      <c r="J1381" s="3" t="b">
        <f>_xlfn.IFNA(INDEX(RulebookFields!I2:I999, MATCH(D1381,RulebookFields!A2:A999, 0)), "")</f>
        <v>1</v>
      </c>
      <c r="K1381" s="3" t="b">
        <f>AND(F1381, J1381)</f>
        <v>0</v>
      </c>
      <c r="L1381" s="3" t="b">
        <f>AND(G1381 &lt;&gt; "plain", G1381 &lt;&gt; "")</f>
        <v>0</v>
      </c>
      <c r="M1381" s="3" t="str">
        <f>IF(E1381, C1381 &amp; "|" &amp; H1381, "")</f>
        <v>principal-process-steward|Requirements</v>
      </c>
      <c r="N1381" s="2" t="s">
        <v>9938</v>
      </c>
    </row>
    <row r="1382">
      <c r="A1382" s="2" t="s">
        <v>11318</v>
      </c>
      <c r="B1382" s="3" t="str">
        <f>C1382 &amp; " -&gt; " &amp; D1382</f>
        <v>principal-process-steward -&gt; Requirements.IsUnwatchedAndUnowned</v>
      </c>
      <c r="C1382" s="2" t="s">
        <v>9706</v>
      </c>
      <c r="D1382" s="2" t="s">
        <v>3042</v>
      </c>
      <c r="E1382" s="2" t="b">
        <v>1</v>
      </c>
      <c r="F1382" s="2" t="b">
        <v>0</v>
      </c>
      <c r="G1382" s="2" t="s">
        <v>9937</v>
      </c>
      <c r="H1382" s="3" t="str">
        <f>_xlfn.IFNA(INDEX(RulebookFields!C2:C999, MATCH(D1382,RulebookFields!A2:A999, 0)), "")</f>
        <v>Requirements</v>
      </c>
      <c r="I1382" s="3" t="str">
        <f>_xlfn.IFNA(INDEX(RulebookFields!D2:D999, MATCH(D1382,RulebookFields!A2:A999, 0)), "")</f>
        <v>IsUnwatchedAndUnowned</v>
      </c>
      <c r="J1382" s="3" t="b">
        <f>_xlfn.IFNA(INDEX(RulebookFields!I2:I999, MATCH(D1382,RulebookFields!A2:A999, 0)), "")</f>
        <v>1</v>
      </c>
      <c r="K1382" s="3" t="b">
        <f>AND(F1382, J1382)</f>
        <v>0</v>
      </c>
      <c r="L1382" s="3" t="b">
        <f>AND(G1382 &lt;&gt; "plain", G1382 &lt;&gt; "")</f>
        <v>0</v>
      </c>
      <c r="M1382" s="3" t="str">
        <f>IF(E1382, C1382 &amp; "|" &amp; H1382, "")</f>
        <v>principal-process-steward|Requirements</v>
      </c>
      <c r="N1382" s="2" t="s">
        <v>9938</v>
      </c>
    </row>
    <row r="1383">
      <c r="A1383" s="2" t="s">
        <v>11319</v>
      </c>
      <c r="B1383" s="3" t="str">
        <f>C1383 &amp; " -&gt; " &amp; D1383</f>
        <v>principal-process-steward -&gt; Requirements.AttestationExposureNote</v>
      </c>
      <c r="C1383" s="2" t="s">
        <v>9706</v>
      </c>
      <c r="D1383" s="2" t="s">
        <v>3044</v>
      </c>
      <c r="E1383" s="2" t="b">
        <v>1</v>
      </c>
      <c r="F1383" s="2" t="b">
        <v>0</v>
      </c>
      <c r="G1383" s="2" t="s">
        <v>9937</v>
      </c>
      <c r="H1383" s="3" t="str">
        <f>_xlfn.IFNA(INDEX(RulebookFields!C2:C999, MATCH(D1383,RulebookFields!A2:A999, 0)), "")</f>
        <v>Requirements</v>
      </c>
      <c r="I1383" s="3" t="str">
        <f>_xlfn.IFNA(INDEX(RulebookFields!D2:D999, MATCH(D1383,RulebookFields!A2:A999, 0)), "")</f>
        <v>AttestationExposureNote</v>
      </c>
      <c r="J1383" s="3" t="b">
        <f>_xlfn.IFNA(INDEX(RulebookFields!I2:I999, MATCH(D1383,RulebookFields!A2:A999, 0)), "")</f>
        <v>1</v>
      </c>
      <c r="K1383" s="3" t="b">
        <f>AND(F1383, J1383)</f>
        <v>0</v>
      </c>
      <c r="L1383" s="3" t="b">
        <f>AND(G1383 &lt;&gt; "plain", G1383 &lt;&gt; "")</f>
        <v>0</v>
      </c>
      <c r="M1383" s="3" t="str">
        <f>IF(E1383, C1383 &amp; "|" &amp; H1383, "")</f>
        <v>principal-process-steward|Requirements</v>
      </c>
      <c r="N1383" s="2" t="s">
        <v>9938</v>
      </c>
    </row>
    <row r="1384">
      <c r="A1384" s="2" t="s">
        <v>11320</v>
      </c>
      <c r="B1384" s="3" t="str">
        <f>C1384 &amp; " -&gt; " &amp; D1384</f>
        <v>principal-process-steward -&gt; Requirements.UnwatchedUnownedFlag</v>
      </c>
      <c r="C1384" s="2" t="s">
        <v>9706</v>
      </c>
      <c r="D1384" s="2" t="s">
        <v>3046</v>
      </c>
      <c r="E1384" s="2" t="b">
        <v>1</v>
      </c>
      <c r="F1384" s="2" t="b">
        <v>0</v>
      </c>
      <c r="G1384" s="2" t="s">
        <v>9937</v>
      </c>
      <c r="H1384" s="3" t="str">
        <f>_xlfn.IFNA(INDEX(RulebookFields!C2:C999, MATCH(D1384,RulebookFields!A2:A999, 0)), "")</f>
        <v>Requirements</v>
      </c>
      <c r="I1384" s="3" t="str">
        <f>_xlfn.IFNA(INDEX(RulebookFields!D2:D999, MATCH(D1384,RulebookFields!A2:A999, 0)), "")</f>
        <v>UnwatchedUnownedFlag</v>
      </c>
      <c r="J1384" s="3" t="b">
        <f>_xlfn.IFNA(INDEX(RulebookFields!I2:I999, MATCH(D1384,RulebookFields!A2:A999, 0)), "")</f>
        <v>1</v>
      </c>
      <c r="K1384" s="3" t="b">
        <f>AND(F1384, J1384)</f>
        <v>0</v>
      </c>
      <c r="L1384" s="3" t="b">
        <f>AND(G1384 &lt;&gt; "plain", G1384 &lt;&gt; "")</f>
        <v>0</v>
      </c>
      <c r="M1384" s="3" t="str">
        <f>IF(E1384, C1384 &amp; "|" &amp; H1384, "")</f>
        <v>principal-process-steward|Requirements</v>
      </c>
      <c r="N1384" s="2" t="s">
        <v>9938</v>
      </c>
    </row>
    <row r="1385">
      <c r="A1385" s="2" t="s">
        <v>11321</v>
      </c>
      <c r="B1385" s="3" t="str">
        <f>C1385 &amp; " -&gt; " &amp; D1385</f>
        <v>principal-process-steward -&gt; Requirements.SemanticTypeIri</v>
      </c>
      <c r="C1385" s="2" t="s">
        <v>9706</v>
      </c>
      <c r="D1385" s="2" t="s">
        <v>3051</v>
      </c>
      <c r="E1385" s="2" t="b">
        <v>1</v>
      </c>
      <c r="F1385" s="2" t="b">
        <v>0</v>
      </c>
      <c r="G1385" s="2" t="s">
        <v>9937</v>
      </c>
      <c r="H1385" s="3" t="str">
        <f>_xlfn.IFNA(INDEX(RulebookFields!C2:C999, MATCH(D1385,RulebookFields!A2:A999, 0)), "")</f>
        <v>Requirements</v>
      </c>
      <c r="I1385" s="3" t="str">
        <f>_xlfn.IFNA(INDEX(RulebookFields!D2:D999, MATCH(D1385,RulebookFields!A2:A999, 0)), "")</f>
        <v>SemanticTypeIri</v>
      </c>
      <c r="J1385" s="3" t="b">
        <f>_xlfn.IFNA(INDEX(RulebookFields!I2:I999, MATCH(D1385,RulebookFields!A2:A999, 0)), "")</f>
        <v>0</v>
      </c>
      <c r="K1385" s="3" t="b">
        <f>AND(F1385, J1385)</f>
        <v>0</v>
      </c>
      <c r="L1385" s="3" t="b">
        <f>AND(G1385 &lt;&gt; "plain", G1385 &lt;&gt; "")</f>
        <v>0</v>
      </c>
      <c r="M1385" s="3" t="str">
        <f>IF(E1385, C1385 &amp; "|" &amp; H1385, "")</f>
        <v>principal-process-steward|Requirements</v>
      </c>
      <c r="N1385" s="2" t="s">
        <v>9938</v>
      </c>
    </row>
    <row r="1386">
      <c r="A1386" s="2" t="s">
        <v>11322</v>
      </c>
      <c r="B1386" s="3" t="str">
        <f>C1386 &amp; " -&gt; " &amp; D1386</f>
        <v>principal-process-steward -&gt; Resources.ResourceId</v>
      </c>
      <c r="C1386" s="2" t="s">
        <v>9706</v>
      </c>
      <c r="D1386" s="2" t="s">
        <v>3108</v>
      </c>
      <c r="E1386" s="2" t="b">
        <v>1</v>
      </c>
      <c r="F1386" s="2" t="b">
        <v>0</v>
      </c>
      <c r="G1386" s="2" t="s">
        <v>9937</v>
      </c>
      <c r="H1386" s="3" t="str">
        <f>_xlfn.IFNA(INDEX(RulebookFields!C2:C999, MATCH(D1386,RulebookFields!A2:A999, 0)), "")</f>
        <v>Resources</v>
      </c>
      <c r="I1386" s="3" t="str">
        <f>_xlfn.IFNA(INDEX(RulebookFields!D2:D999, MATCH(D1386,RulebookFields!A2:A999, 0)), "")</f>
        <v>ResourceId</v>
      </c>
      <c r="J1386" s="3" t="b">
        <f>_xlfn.IFNA(INDEX(RulebookFields!I2:I999, MATCH(D1386,RulebookFields!A2:A999, 0)), "")</f>
        <v>0</v>
      </c>
      <c r="K1386" s="3" t="b">
        <f>AND(F1386, J1386)</f>
        <v>0</v>
      </c>
      <c r="L1386" s="3" t="b">
        <f>AND(G1386 &lt;&gt; "plain", G1386 &lt;&gt; "")</f>
        <v>0</v>
      </c>
      <c r="M1386" s="3" t="str">
        <f>IF(E1386, C1386 &amp; "|" &amp; H1386, "")</f>
        <v>principal-process-steward|Resources</v>
      </c>
      <c r="N1386" s="2" t="s">
        <v>9938</v>
      </c>
    </row>
    <row r="1387">
      <c r="A1387" s="2" t="s">
        <v>11323</v>
      </c>
      <c r="B1387" s="3" t="str">
        <f>C1387 &amp; " -&gt; " &amp; D1387</f>
        <v>principal-process-steward -&gt; Resources.Name</v>
      </c>
      <c r="C1387" s="2" t="s">
        <v>9706</v>
      </c>
      <c r="D1387" s="2" t="s">
        <v>3109</v>
      </c>
      <c r="E1387" s="2" t="b">
        <v>1</v>
      </c>
      <c r="F1387" s="2" t="b">
        <v>0</v>
      </c>
      <c r="G1387" s="2" t="s">
        <v>9937</v>
      </c>
      <c r="H1387" s="3" t="str">
        <f>_xlfn.IFNA(INDEX(RulebookFields!C2:C999, MATCH(D1387,RulebookFields!A2:A999, 0)), "")</f>
        <v>Resources</v>
      </c>
      <c r="I1387" s="3" t="str">
        <f>_xlfn.IFNA(INDEX(RulebookFields!D2:D999, MATCH(D1387,RulebookFields!A2:A999, 0)), "")</f>
        <v>Name</v>
      </c>
      <c r="J1387" s="3" t="b">
        <f>_xlfn.IFNA(INDEX(RulebookFields!I2:I999, MATCH(D1387,RulebookFields!A2:A999, 0)), "")</f>
        <v>1</v>
      </c>
      <c r="K1387" s="3" t="b">
        <f>AND(F1387, J1387)</f>
        <v>0</v>
      </c>
      <c r="L1387" s="3" t="b">
        <f>AND(G1387 &lt;&gt; "plain", G1387 &lt;&gt; "")</f>
        <v>0</v>
      </c>
      <c r="M1387" s="3" t="str">
        <f>IF(E1387, C1387 &amp; "|" &amp; H1387, "")</f>
        <v>principal-process-steward|Resources</v>
      </c>
      <c r="N1387" s="2" t="s">
        <v>9938</v>
      </c>
    </row>
    <row r="1388">
      <c r="A1388" s="2" t="s">
        <v>11324</v>
      </c>
      <c r="B1388" s="3" t="str">
        <f>C1388 &amp; " -&gt; " &amp; D1388</f>
        <v>principal-process-steward -&gt; Resources.Title</v>
      </c>
      <c r="C1388" s="2" t="s">
        <v>9706</v>
      </c>
      <c r="D1388" s="2" t="s">
        <v>3110</v>
      </c>
      <c r="E1388" s="2" t="b">
        <v>1</v>
      </c>
      <c r="F1388" s="2" t="b">
        <v>0</v>
      </c>
      <c r="G1388" s="2" t="s">
        <v>9937</v>
      </c>
      <c r="H1388" s="3" t="str">
        <f>_xlfn.IFNA(INDEX(RulebookFields!C2:C999, MATCH(D1388,RulebookFields!A2:A999, 0)), "")</f>
        <v>Resources</v>
      </c>
      <c r="I1388" s="3" t="str">
        <f>_xlfn.IFNA(INDEX(RulebookFields!D2:D999, MATCH(D1388,RulebookFields!A2:A999, 0)), "")</f>
        <v>Title</v>
      </c>
      <c r="J1388" s="3" t="b">
        <f>_xlfn.IFNA(INDEX(RulebookFields!I2:I999, MATCH(D1388,RulebookFields!A2:A999, 0)), "")</f>
        <v>0</v>
      </c>
      <c r="K1388" s="3" t="b">
        <f>AND(F1388, J1388)</f>
        <v>0</v>
      </c>
      <c r="L1388" s="3" t="b">
        <f>AND(G1388 &lt;&gt; "plain", G1388 &lt;&gt; "")</f>
        <v>0</v>
      </c>
      <c r="M1388" s="3" t="str">
        <f>IF(E1388, C1388 &amp; "|" &amp; H1388, "")</f>
        <v>principal-process-steward|Resources</v>
      </c>
      <c r="N1388" s="2" t="s">
        <v>9938</v>
      </c>
    </row>
    <row r="1389">
      <c r="A1389" s="2" t="s">
        <v>11325</v>
      </c>
      <c r="B1389" s="3" t="str">
        <f>C1389 &amp; " -&gt; " &amp; D1389</f>
        <v>principal-process-steward -&gt; Resources.ResourceKind</v>
      </c>
      <c r="C1389" s="2" t="s">
        <v>9706</v>
      </c>
      <c r="D1389" s="2" t="s">
        <v>3111</v>
      </c>
      <c r="E1389" s="2" t="b">
        <v>1</v>
      </c>
      <c r="F1389" s="2" t="b">
        <v>0</v>
      </c>
      <c r="G1389" s="2" t="s">
        <v>9937</v>
      </c>
      <c r="H1389" s="3" t="str">
        <f>_xlfn.IFNA(INDEX(RulebookFields!C2:C999, MATCH(D1389,RulebookFields!A2:A999, 0)), "")</f>
        <v>Resources</v>
      </c>
      <c r="I1389" s="3" t="str">
        <f>_xlfn.IFNA(INDEX(RulebookFields!D2:D999, MATCH(D1389,RulebookFields!A2:A999, 0)), "")</f>
        <v>ResourceKind</v>
      </c>
      <c r="J1389" s="3" t="b">
        <f>_xlfn.IFNA(INDEX(RulebookFields!I2:I999, MATCH(D1389,RulebookFields!A2:A999, 0)), "")</f>
        <v>0</v>
      </c>
      <c r="K1389" s="3" t="b">
        <f>AND(F1389, J1389)</f>
        <v>0</v>
      </c>
      <c r="L1389" s="3" t="b">
        <f>AND(G1389 &lt;&gt; "plain", G1389 &lt;&gt; "")</f>
        <v>0</v>
      </c>
      <c r="M1389" s="3" t="str">
        <f>IF(E1389, C1389 &amp; "|" &amp; H1389, "")</f>
        <v>principal-process-steward|Resources</v>
      </c>
      <c r="N1389" s="2" t="s">
        <v>9938</v>
      </c>
    </row>
    <row r="1390">
      <c r="A1390" s="2" t="s">
        <v>11326</v>
      </c>
      <c r="B1390" s="3" t="str">
        <f>C1390 &amp; " -&gt; " &amp; D1390</f>
        <v>principal-process-steward -&gt; Resources.ExternalUri</v>
      </c>
      <c r="C1390" s="2" t="s">
        <v>9706</v>
      </c>
      <c r="D1390" s="2" t="s">
        <v>3112</v>
      </c>
      <c r="E1390" s="2" t="b">
        <v>1</v>
      </c>
      <c r="F1390" s="2" t="b">
        <v>0</v>
      </c>
      <c r="G1390" s="2" t="s">
        <v>9937</v>
      </c>
      <c r="H1390" s="3" t="str">
        <f>_xlfn.IFNA(INDEX(RulebookFields!C2:C999, MATCH(D1390,RulebookFields!A2:A999, 0)), "")</f>
        <v>Resources</v>
      </c>
      <c r="I1390" s="3" t="str">
        <f>_xlfn.IFNA(INDEX(RulebookFields!D2:D999, MATCH(D1390,RulebookFields!A2:A999, 0)), "")</f>
        <v>ExternalUri</v>
      </c>
      <c r="J1390" s="3" t="b">
        <f>_xlfn.IFNA(INDEX(RulebookFields!I2:I999, MATCH(D1390,RulebookFields!A2:A999, 0)), "")</f>
        <v>0</v>
      </c>
      <c r="K1390" s="3" t="b">
        <f>AND(F1390, J1390)</f>
        <v>0</v>
      </c>
      <c r="L1390" s="3" t="b">
        <f>AND(G1390 &lt;&gt; "plain", G1390 &lt;&gt; "")</f>
        <v>0</v>
      </c>
      <c r="M1390" s="3" t="str">
        <f>IF(E1390, C1390 &amp; "|" &amp; H1390, "")</f>
        <v>principal-process-steward|Resources</v>
      </c>
      <c r="N1390" s="2" t="s">
        <v>9938</v>
      </c>
    </row>
    <row r="1391">
      <c r="A1391" s="2" t="s">
        <v>11327</v>
      </c>
      <c r="B1391" s="3" t="str">
        <f>C1391 &amp; " -&gt; " &amp; D1391</f>
        <v>principal-process-steward -&gt; Resources.CreatedAt</v>
      </c>
      <c r="C1391" s="2" t="s">
        <v>9706</v>
      </c>
      <c r="D1391" s="2" t="s">
        <v>3113</v>
      </c>
      <c r="E1391" s="2" t="b">
        <v>1</v>
      </c>
      <c r="F1391" s="2" t="b">
        <v>0</v>
      </c>
      <c r="G1391" s="2" t="s">
        <v>9937</v>
      </c>
      <c r="H1391" s="3" t="str">
        <f>_xlfn.IFNA(INDEX(RulebookFields!C2:C999, MATCH(D1391,RulebookFields!A2:A999, 0)), "")</f>
        <v>Resources</v>
      </c>
      <c r="I1391" s="3" t="str">
        <f>_xlfn.IFNA(INDEX(RulebookFields!D2:D999, MATCH(D1391,RulebookFields!A2:A999, 0)), "")</f>
        <v>CreatedAt</v>
      </c>
      <c r="J1391" s="3" t="b">
        <f>_xlfn.IFNA(INDEX(RulebookFields!I2:I999, MATCH(D1391,RulebookFields!A2:A999, 0)), "")</f>
        <v>0</v>
      </c>
      <c r="K1391" s="3" t="b">
        <f>AND(F1391, J1391)</f>
        <v>0</v>
      </c>
      <c r="L1391" s="3" t="b">
        <f>AND(G1391 &lt;&gt; "plain", G1391 &lt;&gt; "")</f>
        <v>0</v>
      </c>
      <c r="M1391" s="3" t="str">
        <f>IF(E1391, C1391 &amp; "|" &amp; H1391, "")</f>
        <v>principal-process-steward|Resources</v>
      </c>
      <c r="N1391" s="2" t="s">
        <v>9938</v>
      </c>
    </row>
    <row r="1392">
      <c r="A1392" s="2" t="s">
        <v>11328</v>
      </c>
      <c r="B1392" s="3" t="str">
        <f>C1392 &amp; " -&gt; " &amp; D1392</f>
        <v>principal-process-steward -&gt; Resources.ModifiedAt</v>
      </c>
      <c r="C1392" s="2" t="s">
        <v>9706</v>
      </c>
      <c r="D1392" s="2" t="s">
        <v>3114</v>
      </c>
      <c r="E1392" s="2" t="b">
        <v>1</v>
      </c>
      <c r="F1392" s="2" t="b">
        <v>0</v>
      </c>
      <c r="G1392" s="2" t="s">
        <v>9937</v>
      </c>
      <c r="H1392" s="3" t="str">
        <f>_xlfn.IFNA(INDEX(RulebookFields!C2:C999, MATCH(D1392,RulebookFields!A2:A999, 0)), "")</f>
        <v>Resources</v>
      </c>
      <c r="I1392" s="3" t="str">
        <f>_xlfn.IFNA(INDEX(RulebookFields!D2:D999, MATCH(D1392,RulebookFields!A2:A999, 0)), "")</f>
        <v>ModifiedAt</v>
      </c>
      <c r="J1392" s="3" t="b">
        <f>_xlfn.IFNA(INDEX(RulebookFields!I2:I999, MATCH(D1392,RulebookFields!A2:A999, 0)), "")</f>
        <v>0</v>
      </c>
      <c r="K1392" s="3" t="b">
        <f>AND(F1392, J1392)</f>
        <v>0</v>
      </c>
      <c r="L1392" s="3" t="b">
        <f>AND(G1392 &lt;&gt; "plain", G1392 &lt;&gt; "")</f>
        <v>0</v>
      </c>
      <c r="M1392" s="3" t="str">
        <f>IF(E1392, C1392 &amp; "|" &amp; H1392, "")</f>
        <v>principal-process-steward|Resources</v>
      </c>
      <c r="N1392" s="2" t="s">
        <v>9938</v>
      </c>
    </row>
    <row r="1393">
      <c r="A1393" s="2" t="s">
        <v>11329</v>
      </c>
      <c r="B1393" s="3" t="str">
        <f>C1393 &amp; " -&gt; " &amp; D1393</f>
        <v>principal-process-steward -&gt; Resources.Description</v>
      </c>
      <c r="C1393" s="2" t="s">
        <v>9706</v>
      </c>
      <c r="D1393" s="2" t="s">
        <v>3115</v>
      </c>
      <c r="E1393" s="2" t="b">
        <v>1</v>
      </c>
      <c r="F1393" s="2" t="b">
        <v>0</v>
      </c>
      <c r="G1393" s="2" t="s">
        <v>9937</v>
      </c>
      <c r="H1393" s="3" t="str">
        <f>_xlfn.IFNA(INDEX(RulebookFields!C2:C999, MATCH(D1393,RulebookFields!A2:A999, 0)), "")</f>
        <v>Resources</v>
      </c>
      <c r="I1393" s="3" t="str">
        <f>_xlfn.IFNA(INDEX(RulebookFields!D2:D999, MATCH(D1393,RulebookFields!A2:A999, 0)), "")</f>
        <v>Description</v>
      </c>
      <c r="J1393" s="3" t="b">
        <f>_xlfn.IFNA(INDEX(RulebookFields!I2:I999, MATCH(D1393,RulebookFields!A2:A999, 0)), "")</f>
        <v>0</v>
      </c>
      <c r="K1393" s="3" t="b">
        <f>AND(F1393, J1393)</f>
        <v>0</v>
      </c>
      <c r="L1393" s="3" t="b">
        <f>AND(G1393 &lt;&gt; "plain", G1393 &lt;&gt; "")</f>
        <v>0</v>
      </c>
      <c r="M1393" s="3" t="str">
        <f>IF(E1393, C1393 &amp; "|" &amp; H1393, "")</f>
        <v>principal-process-steward|Resources</v>
      </c>
      <c r="N1393" s="2" t="s">
        <v>9938</v>
      </c>
    </row>
    <row r="1394">
      <c r="A1394" s="2" t="s">
        <v>11330</v>
      </c>
      <c r="B1394" s="3" t="str">
        <f>C1394 &amp; " -&gt; " &amp; D1394</f>
        <v>principal-process-steward -&gt; Resources.ApprovalStatus</v>
      </c>
      <c r="C1394" s="2" t="s">
        <v>9706</v>
      </c>
      <c r="D1394" s="2" t="s">
        <v>3116</v>
      </c>
      <c r="E1394" s="2" t="b">
        <v>1</v>
      </c>
      <c r="F1394" s="2" t="b">
        <v>0</v>
      </c>
      <c r="G1394" s="2" t="s">
        <v>9937</v>
      </c>
      <c r="H1394" s="3" t="str">
        <f>_xlfn.IFNA(INDEX(RulebookFields!C2:C999, MATCH(D1394,RulebookFields!A2:A999, 0)), "")</f>
        <v>Resources</v>
      </c>
      <c r="I1394" s="3" t="str">
        <f>_xlfn.IFNA(INDEX(RulebookFields!D2:D999, MATCH(D1394,RulebookFields!A2:A999, 0)), "")</f>
        <v>ApprovalStatus</v>
      </c>
      <c r="J1394" s="3" t="b">
        <f>_xlfn.IFNA(INDEX(RulebookFields!I2:I999, MATCH(D1394,RulebookFields!A2:A999, 0)), "")</f>
        <v>0</v>
      </c>
      <c r="K1394" s="3" t="b">
        <f>AND(F1394, J1394)</f>
        <v>0</v>
      </c>
      <c r="L1394" s="3" t="b">
        <f>AND(G1394 &lt;&gt; "plain", G1394 &lt;&gt; "")</f>
        <v>0</v>
      </c>
      <c r="M1394" s="3" t="str">
        <f>IF(E1394, C1394 &amp; "|" &amp; H1394, "")</f>
        <v>principal-process-steward|Resources</v>
      </c>
      <c r="N1394" s="2" t="s">
        <v>9938</v>
      </c>
    </row>
    <row r="1395">
      <c r="A1395" s="2" t="s">
        <v>11331</v>
      </c>
      <c r="B1395" s="3" t="str">
        <f>C1395 &amp; " -&gt; " &amp; D1395</f>
        <v>principal-process-steward -&gt; Resources.IsApprovedSource</v>
      </c>
      <c r="C1395" s="2" t="s">
        <v>9706</v>
      </c>
      <c r="D1395" s="2" t="s">
        <v>3117</v>
      </c>
      <c r="E1395" s="2" t="b">
        <v>1</v>
      </c>
      <c r="F1395" s="2" t="b">
        <v>0</v>
      </c>
      <c r="G1395" s="2" t="s">
        <v>9937</v>
      </c>
      <c r="H1395" s="3" t="str">
        <f>_xlfn.IFNA(INDEX(RulebookFields!C2:C999, MATCH(D1395,RulebookFields!A2:A999, 0)), "")</f>
        <v>Resources</v>
      </c>
      <c r="I1395" s="3" t="str">
        <f>_xlfn.IFNA(INDEX(RulebookFields!D2:D999, MATCH(D1395,RulebookFields!A2:A999, 0)), "")</f>
        <v>IsApprovedSource</v>
      </c>
      <c r="J1395" s="3" t="b">
        <f>_xlfn.IFNA(INDEX(RulebookFields!I2:I999, MATCH(D1395,RulebookFields!A2:A999, 0)), "")</f>
        <v>1</v>
      </c>
      <c r="K1395" s="3" t="b">
        <f>AND(F1395, J1395)</f>
        <v>0</v>
      </c>
      <c r="L1395" s="3" t="b">
        <f>AND(G1395 &lt;&gt; "plain", G1395 &lt;&gt; "")</f>
        <v>0</v>
      </c>
      <c r="M1395" s="3" t="str">
        <f>IF(E1395, C1395 &amp; "|" &amp; H1395, "")</f>
        <v>principal-process-steward|Resources</v>
      </c>
      <c r="N1395" s="2" t="s">
        <v>9938</v>
      </c>
    </row>
    <row r="1396">
      <c r="A1396" s="2" t="s">
        <v>11332</v>
      </c>
      <c r="B1396" s="3" t="str">
        <f>C1396 &amp; " -&gt; " &amp; D1396</f>
        <v>principal-process-steward -&gt; Resources.SemanticTypeIri</v>
      </c>
      <c r="C1396" s="2" t="s">
        <v>9706</v>
      </c>
      <c r="D1396" s="2" t="s">
        <v>3119</v>
      </c>
      <c r="E1396" s="2" t="b">
        <v>1</v>
      </c>
      <c r="F1396" s="2" t="b">
        <v>0</v>
      </c>
      <c r="G1396" s="2" t="s">
        <v>9937</v>
      </c>
      <c r="H1396" s="3" t="str">
        <f>_xlfn.IFNA(INDEX(RulebookFields!C2:C999, MATCH(D1396,RulebookFields!A2:A999, 0)), "")</f>
        <v>Resources</v>
      </c>
      <c r="I1396" s="3" t="str">
        <f>_xlfn.IFNA(INDEX(RulebookFields!D2:D999, MATCH(D1396,RulebookFields!A2:A999, 0)), "")</f>
        <v>SemanticTypeIri</v>
      </c>
      <c r="J1396" s="3" t="b">
        <f>_xlfn.IFNA(INDEX(RulebookFields!I2:I999, MATCH(D1396,RulebookFields!A2:A999, 0)), "")</f>
        <v>0</v>
      </c>
      <c r="K1396" s="3" t="b">
        <f>AND(F1396, J1396)</f>
        <v>0</v>
      </c>
      <c r="L1396" s="3" t="b">
        <f>AND(G1396 &lt;&gt; "plain", G1396 &lt;&gt; "")</f>
        <v>0</v>
      </c>
      <c r="M1396" s="3" t="str">
        <f>IF(E1396, C1396 &amp; "|" &amp; H1396, "")</f>
        <v>principal-process-steward|Resources</v>
      </c>
      <c r="N1396" s="2" t="s">
        <v>9938</v>
      </c>
    </row>
    <row r="1397">
      <c r="A1397" s="2" t="s">
        <v>11333</v>
      </c>
      <c r="B1397" s="3" t="str">
        <f>C1397 &amp; " -&gt; " &amp; D1397</f>
        <v>principal-process-steward -&gt; ReviewEvents.ReviewEventId</v>
      </c>
      <c r="C1397" s="2" t="s">
        <v>9706</v>
      </c>
      <c r="D1397" s="2" t="s">
        <v>3921</v>
      </c>
      <c r="E1397" s="2" t="b">
        <v>1</v>
      </c>
      <c r="F1397" s="2" t="b">
        <v>0</v>
      </c>
      <c r="G1397" s="2" t="s">
        <v>9937</v>
      </c>
      <c r="H1397" s="3" t="str">
        <f>_xlfn.IFNA(INDEX(RulebookFields!C2:C999, MATCH(D1397,RulebookFields!A2:A999, 0)), "")</f>
        <v>ReviewEvents</v>
      </c>
      <c r="I1397" s="3" t="str">
        <f>_xlfn.IFNA(INDEX(RulebookFields!D2:D999, MATCH(D1397,RulebookFields!A2:A999, 0)), "")</f>
        <v>ReviewEventId</v>
      </c>
      <c r="J1397" s="3" t="b">
        <f>_xlfn.IFNA(INDEX(RulebookFields!I2:I999, MATCH(D1397,RulebookFields!A2:A999, 0)), "")</f>
        <v>0</v>
      </c>
      <c r="K1397" s="3" t="b">
        <f>AND(F1397, J1397)</f>
        <v>0</v>
      </c>
      <c r="L1397" s="3" t="b">
        <f>AND(G1397 &lt;&gt; "plain", G1397 &lt;&gt; "")</f>
        <v>0</v>
      </c>
      <c r="M1397" s="3" t="str">
        <f>IF(E1397, C1397 &amp; "|" &amp; H1397, "")</f>
        <v>principal-process-steward|ReviewEvents</v>
      </c>
      <c r="N1397" s="2" t="s">
        <v>9938</v>
      </c>
    </row>
    <row r="1398">
      <c r="A1398" s="2" t="s">
        <v>11334</v>
      </c>
      <c r="B1398" s="3" t="str">
        <f>C1398 &amp; " -&gt; " &amp; D1398</f>
        <v>principal-process-steward -&gt; ReviewEvents.Name</v>
      </c>
      <c r="C1398" s="2" t="s">
        <v>9706</v>
      </c>
      <c r="D1398" s="2" t="s">
        <v>3923</v>
      </c>
      <c r="E1398" s="2" t="b">
        <v>1</v>
      </c>
      <c r="F1398" s="2" t="b">
        <v>0</v>
      </c>
      <c r="G1398" s="2" t="s">
        <v>9937</v>
      </c>
      <c r="H1398" s="3" t="str">
        <f>_xlfn.IFNA(INDEX(RulebookFields!C2:C999, MATCH(D1398,RulebookFields!A2:A999, 0)), "")</f>
        <v>ReviewEvents</v>
      </c>
      <c r="I1398" s="3" t="str">
        <f>_xlfn.IFNA(INDEX(RulebookFields!D2:D999, MATCH(D1398,RulebookFields!A2:A999, 0)), "")</f>
        <v>Name</v>
      </c>
      <c r="J1398" s="3" t="b">
        <f>_xlfn.IFNA(INDEX(RulebookFields!I2:I999, MATCH(D1398,RulebookFields!A2:A999, 0)), "")</f>
        <v>1</v>
      </c>
      <c r="K1398" s="3" t="b">
        <f>AND(F1398, J1398)</f>
        <v>0</v>
      </c>
      <c r="L1398" s="3" t="b">
        <f>AND(G1398 &lt;&gt; "plain", G1398 &lt;&gt; "")</f>
        <v>0</v>
      </c>
      <c r="M1398" s="3" t="str">
        <f>IF(E1398, C1398 &amp; "|" &amp; H1398, "")</f>
        <v>principal-process-steward|ReviewEvents</v>
      </c>
      <c r="N1398" s="2" t="s">
        <v>9938</v>
      </c>
    </row>
    <row r="1399">
      <c r="A1399" s="2" t="s">
        <v>11335</v>
      </c>
      <c r="B1399" s="3" t="str">
        <f>C1399 &amp; " -&gt; " &amp; D1399</f>
        <v>principal-process-steward -&gt; ReviewEvents.ProcedureVersion</v>
      </c>
      <c r="C1399" s="2" t="s">
        <v>9706</v>
      </c>
      <c r="D1399" s="2" t="s">
        <v>3925</v>
      </c>
      <c r="E1399" s="2" t="b">
        <v>1</v>
      </c>
      <c r="F1399" s="2" t="b">
        <v>0</v>
      </c>
      <c r="G1399" s="2" t="s">
        <v>9937</v>
      </c>
      <c r="H1399" s="3" t="str">
        <f>_xlfn.IFNA(INDEX(RulebookFields!C2:C999, MATCH(D1399,RulebookFields!A2:A999, 0)), "")</f>
        <v>ReviewEvents</v>
      </c>
      <c r="I1399" s="3" t="str">
        <f>_xlfn.IFNA(INDEX(RulebookFields!D2:D999, MATCH(D1399,RulebookFields!A2:A999, 0)), "")</f>
        <v>ProcedureVersion</v>
      </c>
      <c r="J1399" s="3" t="b">
        <f>_xlfn.IFNA(INDEX(RulebookFields!I2:I999, MATCH(D1399,RulebookFields!A2:A999, 0)), "")</f>
        <v>0</v>
      </c>
      <c r="K1399" s="3" t="b">
        <f>AND(F1399, J1399)</f>
        <v>0</v>
      </c>
      <c r="L1399" s="3" t="b">
        <f>AND(G1399 &lt;&gt; "plain", G1399 &lt;&gt; "")</f>
        <v>0</v>
      </c>
      <c r="M1399" s="3" t="str">
        <f>IF(E1399, C1399 &amp; "|" &amp; H1399, "")</f>
        <v>principal-process-steward|ReviewEvents</v>
      </c>
      <c r="N1399" s="2" t="s">
        <v>9938</v>
      </c>
    </row>
    <row r="1400">
      <c r="A1400" s="2" t="s">
        <v>11336</v>
      </c>
      <c r="B1400" s="3" t="str">
        <f>C1400 &amp; " -&gt; " &amp; D1400</f>
        <v>principal-process-steward -&gt; ReviewEvents.ReviewKind</v>
      </c>
      <c r="C1400" s="2" t="s">
        <v>9706</v>
      </c>
      <c r="D1400" s="2" t="s">
        <v>3926</v>
      </c>
      <c r="E1400" s="2" t="b">
        <v>1</v>
      </c>
      <c r="F1400" s="2" t="b">
        <v>0</v>
      </c>
      <c r="G1400" s="2" t="s">
        <v>9937</v>
      </c>
      <c r="H1400" s="3" t="str">
        <f>_xlfn.IFNA(INDEX(RulebookFields!C2:C999, MATCH(D1400,RulebookFields!A2:A999, 0)), "")</f>
        <v>ReviewEvents</v>
      </c>
      <c r="I1400" s="3" t="str">
        <f>_xlfn.IFNA(INDEX(RulebookFields!D2:D999, MATCH(D1400,RulebookFields!A2:A999, 0)), "")</f>
        <v>ReviewKind</v>
      </c>
      <c r="J1400" s="3" t="b">
        <f>_xlfn.IFNA(INDEX(RulebookFields!I2:I999, MATCH(D1400,RulebookFields!A2:A999, 0)), "")</f>
        <v>0</v>
      </c>
      <c r="K1400" s="3" t="b">
        <f>AND(F1400, J1400)</f>
        <v>0</v>
      </c>
      <c r="L1400" s="3" t="b">
        <f>AND(G1400 &lt;&gt; "plain", G1400 &lt;&gt; "")</f>
        <v>0</v>
      </c>
      <c r="M1400" s="3" t="str">
        <f>IF(E1400, C1400 &amp; "|" &amp; H1400, "")</f>
        <v>principal-process-steward|ReviewEvents</v>
      </c>
      <c r="N1400" s="2" t="s">
        <v>9938</v>
      </c>
    </row>
    <row r="1401">
      <c r="A1401" s="2" t="s">
        <v>11337</v>
      </c>
      <c r="B1401" s="3" t="str">
        <f>C1401 &amp; " -&gt; " &amp; D1401</f>
        <v>principal-process-steward -&gt; ReviewEvents.ReviewedAt</v>
      </c>
      <c r="C1401" s="2" t="s">
        <v>9706</v>
      </c>
      <c r="D1401" s="2" t="s">
        <v>3927</v>
      </c>
      <c r="E1401" s="2" t="b">
        <v>1</v>
      </c>
      <c r="F1401" s="2" t="b">
        <v>0</v>
      </c>
      <c r="G1401" s="2" t="s">
        <v>9937</v>
      </c>
      <c r="H1401" s="3" t="str">
        <f>_xlfn.IFNA(INDEX(RulebookFields!C2:C999, MATCH(D1401,RulebookFields!A2:A999, 0)), "")</f>
        <v>ReviewEvents</v>
      </c>
      <c r="I1401" s="3" t="str">
        <f>_xlfn.IFNA(INDEX(RulebookFields!D2:D999, MATCH(D1401,RulebookFields!A2:A999, 0)), "")</f>
        <v>ReviewedAt</v>
      </c>
      <c r="J1401" s="3" t="b">
        <f>_xlfn.IFNA(INDEX(RulebookFields!I2:I999, MATCH(D1401,RulebookFields!A2:A999, 0)), "")</f>
        <v>0</v>
      </c>
      <c r="K1401" s="3" t="b">
        <f>AND(F1401, J1401)</f>
        <v>0</v>
      </c>
      <c r="L1401" s="3" t="b">
        <f>AND(G1401 &lt;&gt; "plain", G1401 &lt;&gt; "")</f>
        <v>0</v>
      </c>
      <c r="M1401" s="3" t="str">
        <f>IF(E1401, C1401 &amp; "|" &amp; H1401, "")</f>
        <v>principal-process-steward|ReviewEvents</v>
      </c>
      <c r="N1401" s="2" t="s">
        <v>9938</v>
      </c>
    </row>
    <row r="1402">
      <c r="A1402" s="2" t="s">
        <v>11338</v>
      </c>
      <c r="B1402" s="3" t="str">
        <f>C1402 &amp; " -&gt; " &amp; D1402</f>
        <v>principal-process-steward -&gt; ReviewEvents.ReviewedByAgent</v>
      </c>
      <c r="C1402" s="2" t="s">
        <v>9706</v>
      </c>
      <c r="D1402" s="2" t="s">
        <v>3928</v>
      </c>
      <c r="E1402" s="2" t="b">
        <v>1</v>
      </c>
      <c r="F1402" s="2" t="b">
        <v>0</v>
      </c>
      <c r="G1402" s="2" t="s">
        <v>9937</v>
      </c>
      <c r="H1402" s="3" t="str">
        <f>_xlfn.IFNA(INDEX(RulebookFields!C2:C999, MATCH(D1402,RulebookFields!A2:A999, 0)), "")</f>
        <v>ReviewEvents</v>
      </c>
      <c r="I1402" s="3" t="str">
        <f>_xlfn.IFNA(INDEX(RulebookFields!D2:D999, MATCH(D1402,RulebookFields!A2:A999, 0)), "")</f>
        <v>ReviewedByAgent</v>
      </c>
      <c r="J1402" s="3" t="b">
        <f>_xlfn.IFNA(INDEX(RulebookFields!I2:I999, MATCH(D1402,RulebookFields!A2:A999, 0)), "")</f>
        <v>0</v>
      </c>
      <c r="K1402" s="3" t="b">
        <f>AND(F1402, J1402)</f>
        <v>0</v>
      </c>
      <c r="L1402" s="3" t="b">
        <f>AND(G1402 &lt;&gt; "plain", G1402 &lt;&gt; "")</f>
        <v>0</v>
      </c>
      <c r="M1402" s="3" t="str">
        <f>IF(E1402, C1402 &amp; "|" &amp; H1402, "")</f>
        <v>principal-process-steward|ReviewEvents</v>
      </c>
      <c r="N1402" s="2" t="s">
        <v>9938</v>
      </c>
    </row>
    <row r="1403">
      <c r="A1403" s="2" t="s">
        <v>11339</v>
      </c>
      <c r="B1403" s="3" t="str">
        <f>C1403 &amp; " -&gt; " &amp; D1403</f>
        <v>principal-process-steward -&gt; ReviewEvents.Outcome</v>
      </c>
      <c r="C1403" s="2" t="s">
        <v>9706</v>
      </c>
      <c r="D1403" s="2" t="s">
        <v>3929</v>
      </c>
      <c r="E1403" s="2" t="b">
        <v>1</v>
      </c>
      <c r="F1403" s="2" t="b">
        <v>0</v>
      </c>
      <c r="G1403" s="2" t="s">
        <v>9937</v>
      </c>
      <c r="H1403" s="3" t="str">
        <f>_xlfn.IFNA(INDEX(RulebookFields!C2:C999, MATCH(D1403,RulebookFields!A2:A999, 0)), "")</f>
        <v>ReviewEvents</v>
      </c>
      <c r="I1403" s="3" t="str">
        <f>_xlfn.IFNA(INDEX(RulebookFields!D2:D999, MATCH(D1403,RulebookFields!A2:A999, 0)), "")</f>
        <v>Outcome</v>
      </c>
      <c r="J1403" s="3" t="b">
        <f>_xlfn.IFNA(INDEX(RulebookFields!I2:I999, MATCH(D1403,RulebookFields!A2:A999, 0)), "")</f>
        <v>0</v>
      </c>
      <c r="K1403" s="3" t="b">
        <f>AND(F1403, J1403)</f>
        <v>0</v>
      </c>
      <c r="L1403" s="3" t="b">
        <f>AND(G1403 &lt;&gt; "plain", G1403 &lt;&gt; "")</f>
        <v>0</v>
      </c>
      <c r="M1403" s="3" t="str">
        <f>IF(E1403, C1403 &amp; "|" &amp; H1403, "")</f>
        <v>principal-process-steward|ReviewEvents</v>
      </c>
      <c r="N1403" s="2" t="s">
        <v>9938</v>
      </c>
    </row>
    <row r="1404">
      <c r="A1404" s="2" t="s">
        <v>11340</v>
      </c>
      <c r="B1404" s="3" t="str">
        <f>C1404 &amp; " -&gt; " &amp; D1404</f>
        <v>principal-process-steward -&gt; ReviewEvents.RelatedChangeRequest</v>
      </c>
      <c r="C1404" s="2" t="s">
        <v>9706</v>
      </c>
      <c r="D1404" s="2" t="s">
        <v>3930</v>
      </c>
      <c r="E1404" s="2" t="b">
        <v>1</v>
      </c>
      <c r="F1404" s="2" t="b">
        <v>0</v>
      </c>
      <c r="G1404" s="2" t="s">
        <v>9937</v>
      </c>
      <c r="H1404" s="3" t="str">
        <f>_xlfn.IFNA(INDEX(RulebookFields!C2:C999, MATCH(D1404,RulebookFields!A2:A999, 0)), "")</f>
        <v>ReviewEvents</v>
      </c>
      <c r="I1404" s="3" t="str">
        <f>_xlfn.IFNA(INDEX(RulebookFields!D2:D999, MATCH(D1404,RulebookFields!A2:A999, 0)), "")</f>
        <v>RelatedChangeRequest</v>
      </c>
      <c r="J1404" s="3" t="b">
        <f>_xlfn.IFNA(INDEX(RulebookFields!I2:I999, MATCH(D1404,RulebookFields!A2:A999, 0)), "")</f>
        <v>0</v>
      </c>
      <c r="K1404" s="3" t="b">
        <f>AND(F1404, J1404)</f>
        <v>0</v>
      </c>
      <c r="L1404" s="3" t="b">
        <f>AND(G1404 &lt;&gt; "plain", G1404 &lt;&gt; "")</f>
        <v>0</v>
      </c>
      <c r="M1404" s="3" t="str">
        <f>IF(E1404, C1404 &amp; "|" &amp; H1404, "")</f>
        <v>principal-process-steward|ReviewEvents</v>
      </c>
      <c r="N1404" s="2" t="s">
        <v>9938</v>
      </c>
    </row>
    <row r="1405">
      <c r="A1405" s="2" t="s">
        <v>11341</v>
      </c>
      <c r="B1405" s="3" t="str">
        <f>C1405 &amp; " -&gt; " &amp; D1405</f>
        <v>principal-process-steward -&gt; ReviewEvents.NextReviewDue</v>
      </c>
      <c r="C1405" s="2" t="s">
        <v>9706</v>
      </c>
      <c r="D1405" s="2" t="s">
        <v>3931</v>
      </c>
      <c r="E1405" s="2" t="b">
        <v>1</v>
      </c>
      <c r="F1405" s="2" t="b">
        <v>0</v>
      </c>
      <c r="G1405" s="2" t="s">
        <v>9937</v>
      </c>
      <c r="H1405" s="3" t="str">
        <f>_xlfn.IFNA(INDEX(RulebookFields!C2:C999, MATCH(D1405,RulebookFields!A2:A999, 0)), "")</f>
        <v>ReviewEvents</v>
      </c>
      <c r="I1405" s="3" t="str">
        <f>_xlfn.IFNA(INDEX(RulebookFields!D2:D999, MATCH(D1405,RulebookFields!A2:A999, 0)), "")</f>
        <v>NextReviewDue</v>
      </c>
      <c r="J1405" s="3" t="b">
        <f>_xlfn.IFNA(INDEX(RulebookFields!I2:I999, MATCH(D1405,RulebookFields!A2:A999, 0)), "")</f>
        <v>0</v>
      </c>
      <c r="K1405" s="3" t="b">
        <f>AND(F1405, J1405)</f>
        <v>0</v>
      </c>
      <c r="L1405" s="3" t="b">
        <f>AND(G1405 &lt;&gt; "plain", G1405 &lt;&gt; "")</f>
        <v>0</v>
      </c>
      <c r="M1405" s="3" t="str">
        <f>IF(E1405, C1405 &amp; "|" &amp; H1405, "")</f>
        <v>principal-process-steward|ReviewEvents</v>
      </c>
      <c r="N1405" s="2" t="s">
        <v>9938</v>
      </c>
    </row>
    <row r="1406">
      <c r="A1406" s="2" t="s">
        <v>11342</v>
      </c>
      <c r="B1406" s="3" t="str">
        <f>C1406 &amp; " -&gt; " &amp; D1406</f>
        <v>principal-process-steward -&gt; ReviewEvents.EvaluationContext</v>
      </c>
      <c r="C1406" s="2" t="s">
        <v>9706</v>
      </c>
      <c r="D1406" s="2" t="s">
        <v>3932</v>
      </c>
      <c r="E1406" s="2" t="b">
        <v>1</v>
      </c>
      <c r="F1406" s="2" t="b">
        <v>0</v>
      </c>
      <c r="G1406" s="2" t="s">
        <v>9937</v>
      </c>
      <c r="H1406" s="3" t="str">
        <f>_xlfn.IFNA(INDEX(RulebookFields!C2:C999, MATCH(D1406,RulebookFields!A2:A999, 0)), "")</f>
        <v>ReviewEvents</v>
      </c>
      <c r="I1406" s="3" t="str">
        <f>_xlfn.IFNA(INDEX(RulebookFields!D2:D999, MATCH(D1406,RulebookFields!A2:A999, 0)), "")</f>
        <v>EvaluationContext</v>
      </c>
      <c r="J1406" s="3" t="b">
        <f>_xlfn.IFNA(INDEX(RulebookFields!I2:I999, MATCH(D1406,RulebookFields!A2:A999, 0)), "")</f>
        <v>0</v>
      </c>
      <c r="K1406" s="3" t="b">
        <f>AND(F1406, J1406)</f>
        <v>0</v>
      </c>
      <c r="L1406" s="3" t="b">
        <f>AND(G1406 &lt;&gt; "plain", G1406 &lt;&gt; "")</f>
        <v>0</v>
      </c>
      <c r="M1406" s="3" t="str">
        <f>IF(E1406, C1406 &amp; "|" &amp; H1406, "")</f>
        <v>principal-process-steward|ReviewEvents</v>
      </c>
      <c r="N1406" s="2" t="s">
        <v>9938</v>
      </c>
    </row>
    <row r="1407">
      <c r="A1407" s="2" t="s">
        <v>11343</v>
      </c>
      <c r="B1407" s="3" t="str">
        <f>C1407 &amp; " -&gt; " &amp; D1407</f>
        <v>principal-process-steward -&gt; ReviewEvents.AsOfInstant</v>
      </c>
      <c r="C1407" s="2" t="s">
        <v>9706</v>
      </c>
      <c r="D1407" s="2" t="s">
        <v>3933</v>
      </c>
      <c r="E1407" s="2" t="b">
        <v>1</v>
      </c>
      <c r="F1407" s="2" t="b">
        <v>0</v>
      </c>
      <c r="G1407" s="2" t="s">
        <v>9937</v>
      </c>
      <c r="H1407" s="3" t="str">
        <f>_xlfn.IFNA(INDEX(RulebookFields!C2:C999, MATCH(D1407,RulebookFields!A2:A999, 0)), "")</f>
        <v>ReviewEvents</v>
      </c>
      <c r="I1407" s="3" t="str">
        <f>_xlfn.IFNA(INDEX(RulebookFields!D2:D999, MATCH(D1407,RulebookFields!A2:A999, 0)), "")</f>
        <v>AsOfInstant</v>
      </c>
      <c r="J1407" s="3" t="b">
        <f>_xlfn.IFNA(INDEX(RulebookFields!I2:I999, MATCH(D1407,RulebookFields!A2:A999, 0)), "")</f>
        <v>1</v>
      </c>
      <c r="K1407" s="3" t="b">
        <f>AND(F1407, J1407)</f>
        <v>0</v>
      </c>
      <c r="L1407" s="3" t="b">
        <f>AND(G1407 &lt;&gt; "plain", G1407 &lt;&gt; "")</f>
        <v>0</v>
      </c>
      <c r="M1407" s="3" t="str">
        <f>IF(E1407, C1407 &amp; "|" &amp; H1407, "")</f>
        <v>principal-process-steward|ReviewEvents</v>
      </c>
      <c r="N1407" s="2" t="s">
        <v>9938</v>
      </c>
    </row>
    <row r="1408">
      <c r="A1408" s="2" t="s">
        <v>11344</v>
      </c>
      <c r="B1408" s="3" t="str">
        <f>C1408 &amp; " -&gt; " &amp; D1408</f>
        <v>principal-process-steward -&gt; ReviewEvents.IsOverdue</v>
      </c>
      <c r="C1408" s="2" t="s">
        <v>9706</v>
      </c>
      <c r="D1408" s="2" t="s">
        <v>3934</v>
      </c>
      <c r="E1408" s="2" t="b">
        <v>1</v>
      </c>
      <c r="F1408" s="2" t="b">
        <v>0</v>
      </c>
      <c r="G1408" s="2" t="s">
        <v>9937</v>
      </c>
      <c r="H1408" s="3" t="str">
        <f>_xlfn.IFNA(INDEX(RulebookFields!C2:C999, MATCH(D1408,RulebookFields!A2:A999, 0)), "")</f>
        <v>ReviewEvents</v>
      </c>
      <c r="I1408" s="3" t="str">
        <f>_xlfn.IFNA(INDEX(RulebookFields!D2:D999, MATCH(D1408,RulebookFields!A2:A999, 0)), "")</f>
        <v>IsOverdue</v>
      </c>
      <c r="J1408" s="3" t="b">
        <f>_xlfn.IFNA(INDEX(RulebookFields!I2:I999, MATCH(D1408,RulebookFields!A2:A999, 0)), "")</f>
        <v>1</v>
      </c>
      <c r="K1408" s="3" t="b">
        <f>AND(F1408, J1408)</f>
        <v>0</v>
      </c>
      <c r="L1408" s="3" t="b">
        <f>AND(G1408 &lt;&gt; "plain", G1408 &lt;&gt; "")</f>
        <v>0</v>
      </c>
      <c r="M1408" s="3" t="str">
        <f>IF(E1408, C1408 &amp; "|" &amp; H1408, "")</f>
        <v>principal-process-steward|ReviewEvents</v>
      </c>
      <c r="N1408" s="2" t="s">
        <v>9938</v>
      </c>
    </row>
    <row r="1409">
      <c r="A1409" s="2" t="s">
        <v>11345</v>
      </c>
      <c r="B1409" s="3" t="str">
        <f>C1409 &amp; " -&gt; " &amp; D1409</f>
        <v>principal-process-steward -&gt; ReviewEvents.OverdueVersionKey</v>
      </c>
      <c r="C1409" s="2" t="s">
        <v>9706</v>
      </c>
      <c r="D1409" s="2" t="s">
        <v>3936</v>
      </c>
      <c r="E1409" s="2" t="b">
        <v>1</v>
      </c>
      <c r="F1409" s="2" t="b">
        <v>0</v>
      </c>
      <c r="G1409" s="2" t="s">
        <v>9937</v>
      </c>
      <c r="H1409" s="3" t="str">
        <f>_xlfn.IFNA(INDEX(RulebookFields!C2:C999, MATCH(D1409,RulebookFields!A2:A999, 0)), "")</f>
        <v>ReviewEvents</v>
      </c>
      <c r="I1409" s="3" t="str">
        <f>_xlfn.IFNA(INDEX(RulebookFields!D2:D999, MATCH(D1409,RulebookFields!A2:A999, 0)), "")</f>
        <v>OverdueVersionKey</v>
      </c>
      <c r="J1409" s="3" t="b">
        <f>_xlfn.IFNA(INDEX(RulebookFields!I2:I999, MATCH(D1409,RulebookFields!A2:A999, 0)), "")</f>
        <v>1</v>
      </c>
      <c r="K1409" s="3" t="b">
        <f>AND(F1409, J1409)</f>
        <v>0</v>
      </c>
      <c r="L1409" s="3" t="b">
        <f>AND(G1409 &lt;&gt; "plain", G1409 &lt;&gt; "")</f>
        <v>0</v>
      </c>
      <c r="M1409" s="3" t="str">
        <f>IF(E1409, C1409 &amp; "|" &amp; H1409, "")</f>
        <v>principal-process-steward|ReviewEvents</v>
      </c>
      <c r="N1409" s="2" t="s">
        <v>9938</v>
      </c>
    </row>
    <row r="1410">
      <c r="A1410" s="2" t="s">
        <v>11346</v>
      </c>
      <c r="B1410" s="3" t="str">
        <f>C1410 &amp; " -&gt; " &amp; D1410</f>
        <v>principal-process-steward -&gt; ReviewEvents.PromisedCadenceDays</v>
      </c>
      <c r="C1410" s="2" t="s">
        <v>9706</v>
      </c>
      <c r="D1410" s="2" t="s">
        <v>3938</v>
      </c>
      <c r="E1410" s="2" t="b">
        <v>1</v>
      </c>
      <c r="F1410" s="2" t="b">
        <v>0</v>
      </c>
      <c r="G1410" s="2" t="s">
        <v>9937</v>
      </c>
      <c r="H1410" s="3" t="str">
        <f>_xlfn.IFNA(INDEX(RulebookFields!C2:C999, MATCH(D1410,RulebookFields!A2:A999, 0)), "")</f>
        <v>ReviewEvents</v>
      </c>
      <c r="I1410" s="3" t="str">
        <f>_xlfn.IFNA(INDEX(RulebookFields!D2:D999, MATCH(D1410,RulebookFields!A2:A999, 0)), "")</f>
        <v>PromisedCadenceDays</v>
      </c>
      <c r="J1410" s="3" t="b">
        <f>_xlfn.IFNA(INDEX(RulebookFields!I2:I999, MATCH(D1410,RulebookFields!A2:A999, 0)), "")</f>
        <v>1</v>
      </c>
      <c r="K1410" s="3" t="b">
        <f>AND(F1410, J1410)</f>
        <v>0</v>
      </c>
      <c r="L1410" s="3" t="b">
        <f>AND(G1410 &lt;&gt; "plain", G1410 &lt;&gt; "")</f>
        <v>0</v>
      </c>
      <c r="M1410" s="3" t="str">
        <f>IF(E1410, C1410 &amp; "|" &amp; H1410, "")</f>
        <v>principal-process-steward|ReviewEvents</v>
      </c>
      <c r="N1410" s="2" t="s">
        <v>9938</v>
      </c>
    </row>
    <row r="1411">
      <c r="A1411" s="2" t="s">
        <v>11347</v>
      </c>
      <c r="B1411" s="3" t="str">
        <f>C1411 &amp; " -&gt; " &amp; D1411</f>
        <v>principal-process-steward -&gt; ReviewEvents.DaysSinceReviewed</v>
      </c>
      <c r="C1411" s="2" t="s">
        <v>9706</v>
      </c>
      <c r="D1411" s="2" t="s">
        <v>3939</v>
      </c>
      <c r="E1411" s="2" t="b">
        <v>1</v>
      </c>
      <c r="F1411" s="2" t="b">
        <v>0</v>
      </c>
      <c r="G1411" s="2" t="s">
        <v>9937</v>
      </c>
      <c r="H1411" s="3" t="str">
        <f>_xlfn.IFNA(INDEX(RulebookFields!C2:C999, MATCH(D1411,RulebookFields!A2:A999, 0)), "")</f>
        <v>ReviewEvents</v>
      </c>
      <c r="I1411" s="3" t="str">
        <f>_xlfn.IFNA(INDEX(RulebookFields!D2:D999, MATCH(D1411,RulebookFields!A2:A999, 0)), "")</f>
        <v>DaysSinceReviewed</v>
      </c>
      <c r="J1411" s="3" t="b">
        <f>_xlfn.IFNA(INDEX(RulebookFields!I2:I999, MATCH(D1411,RulebookFields!A2:A999, 0)), "")</f>
        <v>1</v>
      </c>
      <c r="K1411" s="3" t="b">
        <f>AND(F1411, J1411)</f>
        <v>0</v>
      </c>
      <c r="L1411" s="3" t="b">
        <f>AND(G1411 &lt;&gt; "plain", G1411 &lt;&gt; "")</f>
        <v>0</v>
      </c>
      <c r="M1411" s="3" t="str">
        <f>IF(E1411, C1411 &amp; "|" &amp; H1411, "")</f>
        <v>principal-process-steward|ReviewEvents</v>
      </c>
      <c r="N1411" s="2" t="s">
        <v>9938</v>
      </c>
    </row>
    <row r="1412">
      <c r="A1412" s="2" t="s">
        <v>11348</v>
      </c>
      <c r="B1412" s="3" t="str">
        <f>C1412 &amp; " -&gt; " &amp; D1412</f>
        <v>principal-process-steward -&gt; ReviewEvents.ExceedsPromisedCadence</v>
      </c>
      <c r="C1412" s="2" t="s">
        <v>9706</v>
      </c>
      <c r="D1412" s="2" t="s">
        <v>3941</v>
      </c>
      <c r="E1412" s="2" t="b">
        <v>1</v>
      </c>
      <c r="F1412" s="2" t="b">
        <v>0</v>
      </c>
      <c r="G1412" s="2" t="s">
        <v>9937</v>
      </c>
      <c r="H1412" s="3" t="str">
        <f>_xlfn.IFNA(INDEX(RulebookFields!C2:C999, MATCH(D1412,RulebookFields!A2:A999, 0)), "")</f>
        <v>ReviewEvents</v>
      </c>
      <c r="I1412" s="3" t="str">
        <f>_xlfn.IFNA(INDEX(RulebookFields!D2:D999, MATCH(D1412,RulebookFields!A2:A999, 0)), "")</f>
        <v>ExceedsPromisedCadence</v>
      </c>
      <c r="J1412" s="3" t="b">
        <f>_xlfn.IFNA(INDEX(RulebookFields!I2:I999, MATCH(D1412,RulebookFields!A2:A999, 0)), "")</f>
        <v>1</v>
      </c>
      <c r="K1412" s="3" t="b">
        <f>AND(F1412, J1412)</f>
        <v>0</v>
      </c>
      <c r="L1412" s="3" t="b">
        <f>AND(G1412 &lt;&gt; "plain", G1412 &lt;&gt; "")</f>
        <v>0</v>
      </c>
      <c r="M1412" s="3" t="str">
        <f>IF(E1412, C1412 &amp; "|" &amp; H1412, "")</f>
        <v>principal-process-steward|ReviewEvents</v>
      </c>
      <c r="N1412" s="2" t="s">
        <v>9938</v>
      </c>
    </row>
    <row r="1413">
      <c r="A1413" s="2" t="s">
        <v>11349</v>
      </c>
      <c r="B1413" s="3" t="str">
        <f>C1413 &amp; " -&gt; " &amp; D1413</f>
        <v>principal-process-steward -&gt; ReviewEvents.CadenceDriftDays</v>
      </c>
      <c r="C1413" s="2" t="s">
        <v>9706</v>
      </c>
      <c r="D1413" s="2" t="s">
        <v>3943</v>
      </c>
      <c r="E1413" s="2" t="b">
        <v>1</v>
      </c>
      <c r="F1413" s="2" t="b">
        <v>0</v>
      </c>
      <c r="G1413" s="2" t="s">
        <v>9937</v>
      </c>
      <c r="H1413" s="3" t="str">
        <f>_xlfn.IFNA(INDEX(RulebookFields!C2:C999, MATCH(D1413,RulebookFields!A2:A999, 0)), "")</f>
        <v>ReviewEvents</v>
      </c>
      <c r="I1413" s="3" t="str">
        <f>_xlfn.IFNA(INDEX(RulebookFields!D2:D999, MATCH(D1413,RulebookFields!A2:A999, 0)), "")</f>
        <v>CadenceDriftDays</v>
      </c>
      <c r="J1413" s="3" t="b">
        <f>_xlfn.IFNA(INDEX(RulebookFields!I2:I999, MATCH(D1413,RulebookFields!A2:A999, 0)), "")</f>
        <v>1</v>
      </c>
      <c r="K1413" s="3" t="b">
        <f>AND(F1413, J1413)</f>
        <v>0</v>
      </c>
      <c r="L1413" s="3" t="b">
        <f>AND(G1413 &lt;&gt; "plain", G1413 &lt;&gt; "")</f>
        <v>0</v>
      </c>
      <c r="M1413" s="3" t="str">
        <f>IF(E1413, C1413 &amp; "|" &amp; H1413, "")</f>
        <v>principal-process-steward|ReviewEvents</v>
      </c>
      <c r="N1413" s="2" t="s">
        <v>9938</v>
      </c>
    </row>
    <row r="1414">
      <c r="A1414" s="2" t="s">
        <v>11350</v>
      </c>
      <c r="B1414" s="3" t="str">
        <f>C1414 &amp; " -&gt; " &amp; D1414</f>
        <v>principal-process-steward -&gt; ReviewEvents.PromiseAndBehaviorDisagree</v>
      </c>
      <c r="C1414" s="2" t="s">
        <v>9706</v>
      </c>
      <c r="D1414" s="2" t="s">
        <v>3945</v>
      </c>
      <c r="E1414" s="2" t="b">
        <v>1</v>
      </c>
      <c r="F1414" s="2" t="b">
        <v>0</v>
      </c>
      <c r="G1414" s="2" t="s">
        <v>9937</v>
      </c>
      <c r="H1414" s="3" t="str">
        <f>_xlfn.IFNA(INDEX(RulebookFields!C2:C999, MATCH(D1414,RulebookFields!A2:A999, 0)), "")</f>
        <v>ReviewEvents</v>
      </c>
      <c r="I1414" s="3" t="str">
        <f>_xlfn.IFNA(INDEX(RulebookFields!D2:D999, MATCH(D1414,RulebookFields!A2:A999, 0)), "")</f>
        <v>PromiseAndBehaviorDisagree</v>
      </c>
      <c r="J1414" s="3" t="b">
        <f>_xlfn.IFNA(INDEX(RulebookFields!I2:I999, MATCH(D1414,RulebookFields!A2:A999, 0)), "")</f>
        <v>1</v>
      </c>
      <c r="K1414" s="3" t="b">
        <f>AND(F1414, J1414)</f>
        <v>0</v>
      </c>
      <c r="L1414" s="3" t="b">
        <f>AND(G1414 &lt;&gt; "plain", G1414 &lt;&gt; "")</f>
        <v>0</v>
      </c>
      <c r="M1414" s="3" t="str">
        <f>IF(E1414, C1414 &amp; "|" &amp; H1414, "")</f>
        <v>principal-process-steward|ReviewEvents</v>
      </c>
      <c r="N1414" s="2" t="s">
        <v>9938</v>
      </c>
    </row>
    <row r="1415">
      <c r="A1415" s="2" t="s">
        <v>11351</v>
      </c>
      <c r="B1415" s="3" t="str">
        <f>C1415 &amp; " -&gt; " &amp; D1415</f>
        <v>principal-process-steward -&gt; ReviewEvents.CadenceBreachVersionKey</v>
      </c>
      <c r="C1415" s="2" t="s">
        <v>9706</v>
      </c>
      <c r="D1415" s="2" t="s">
        <v>3947</v>
      </c>
      <c r="E1415" s="2" t="b">
        <v>1</v>
      </c>
      <c r="F1415" s="2" t="b">
        <v>0</v>
      </c>
      <c r="G1415" s="2" t="s">
        <v>9937</v>
      </c>
      <c r="H1415" s="3" t="str">
        <f>_xlfn.IFNA(INDEX(RulebookFields!C2:C999, MATCH(D1415,RulebookFields!A2:A999, 0)), "")</f>
        <v>ReviewEvents</v>
      </c>
      <c r="I1415" s="3" t="str">
        <f>_xlfn.IFNA(INDEX(RulebookFields!D2:D999, MATCH(D1415,RulebookFields!A2:A999, 0)), "")</f>
        <v>CadenceBreachVersionKey</v>
      </c>
      <c r="J1415" s="3" t="b">
        <f>_xlfn.IFNA(INDEX(RulebookFields!I2:I999, MATCH(D1415,RulebookFields!A2:A999, 0)), "")</f>
        <v>1</v>
      </c>
      <c r="K1415" s="3" t="b">
        <f>AND(F1415, J1415)</f>
        <v>0</v>
      </c>
      <c r="L1415" s="3" t="b">
        <f>AND(G1415 &lt;&gt; "plain", G1415 &lt;&gt; "")</f>
        <v>0</v>
      </c>
      <c r="M1415" s="3" t="str">
        <f>IF(E1415, C1415 &amp; "|" &amp; H1415, "")</f>
        <v>principal-process-steward|ReviewEvents</v>
      </c>
      <c r="N1415" s="2" t="s">
        <v>9938</v>
      </c>
    </row>
    <row r="1416">
      <c r="A1416" s="2" t="s">
        <v>11352</v>
      </c>
      <c r="B1416" s="3" t="str">
        <f>C1416 &amp; " -&gt; " &amp; D1416</f>
        <v>principal-process-steward -&gt; ReviewEvents.SemanticTypeIri</v>
      </c>
      <c r="C1416" s="2" t="s">
        <v>9706</v>
      </c>
      <c r="D1416" s="2" t="s">
        <v>3949</v>
      </c>
      <c r="E1416" s="2" t="b">
        <v>1</v>
      </c>
      <c r="F1416" s="2" t="b">
        <v>0</v>
      </c>
      <c r="G1416" s="2" t="s">
        <v>9937</v>
      </c>
      <c r="H1416" s="3" t="str">
        <f>_xlfn.IFNA(INDEX(RulebookFields!C2:C999, MATCH(D1416,RulebookFields!A2:A999, 0)), "")</f>
        <v>ReviewEvents</v>
      </c>
      <c r="I1416" s="3" t="str">
        <f>_xlfn.IFNA(INDEX(RulebookFields!D2:D999, MATCH(D1416,RulebookFields!A2:A999, 0)), "")</f>
        <v>SemanticTypeIri</v>
      </c>
      <c r="J1416" s="3" t="b">
        <f>_xlfn.IFNA(INDEX(RulebookFields!I2:I999, MATCH(D1416,RulebookFields!A2:A999, 0)), "")</f>
        <v>0</v>
      </c>
      <c r="K1416" s="3" t="b">
        <f>AND(F1416, J1416)</f>
        <v>0</v>
      </c>
      <c r="L1416" s="3" t="b">
        <f>AND(G1416 &lt;&gt; "plain", G1416 &lt;&gt; "")</f>
        <v>0</v>
      </c>
      <c r="M1416" s="3" t="str">
        <f>IF(E1416, C1416 &amp; "|" &amp; H1416, "")</f>
        <v>principal-process-steward|ReviewEvents</v>
      </c>
      <c r="N1416" s="2" t="s">
        <v>9938</v>
      </c>
    </row>
    <row r="1417">
      <c r="A1417" s="2" t="s">
        <v>11353</v>
      </c>
      <c r="B1417" s="3" t="str">
        <f>C1417 &amp; " -&gt; " &amp; D1417</f>
        <v>principal-process-steward -&gt; RoleAssignments.RoleAssignmentId</v>
      </c>
      <c r="C1417" s="2" t="s">
        <v>9706</v>
      </c>
      <c r="D1417" s="2" t="s">
        <v>2513</v>
      </c>
      <c r="E1417" s="2" t="b">
        <v>1</v>
      </c>
      <c r="F1417" s="2" t="b">
        <v>0</v>
      </c>
      <c r="G1417" s="2" t="s">
        <v>9937</v>
      </c>
      <c r="H1417" s="3" t="str">
        <f>_xlfn.IFNA(INDEX(RulebookFields!C2:C999, MATCH(D1417,RulebookFields!A2:A999, 0)), "")</f>
        <v>RoleAssignments</v>
      </c>
      <c r="I1417" s="3" t="str">
        <f>_xlfn.IFNA(INDEX(RulebookFields!D2:D999, MATCH(D1417,RulebookFields!A2:A999, 0)), "")</f>
        <v>RoleAssignmentId</v>
      </c>
      <c r="J1417" s="3" t="b">
        <f>_xlfn.IFNA(INDEX(RulebookFields!I2:I999, MATCH(D1417,RulebookFields!A2:A999, 0)), "")</f>
        <v>0</v>
      </c>
      <c r="K1417" s="3" t="b">
        <f>AND(F1417, J1417)</f>
        <v>0</v>
      </c>
      <c r="L1417" s="3" t="b">
        <f>AND(G1417 &lt;&gt; "plain", G1417 &lt;&gt; "")</f>
        <v>0</v>
      </c>
      <c r="M1417" s="3" t="str">
        <f>IF(E1417, C1417 &amp; "|" &amp; H1417, "")</f>
        <v>principal-process-steward|RoleAssignments</v>
      </c>
      <c r="N1417" s="2" t="s">
        <v>9938</v>
      </c>
    </row>
    <row r="1418">
      <c r="A1418" s="2" t="s">
        <v>11354</v>
      </c>
      <c r="B1418" s="3" t="str">
        <f>C1418 &amp; " -&gt; " &amp; D1418</f>
        <v>principal-process-steward -&gt; RoleAssignments.Name</v>
      </c>
      <c r="C1418" s="2" t="s">
        <v>9706</v>
      </c>
      <c r="D1418" s="2" t="s">
        <v>2514</v>
      </c>
      <c r="E1418" s="2" t="b">
        <v>1</v>
      </c>
      <c r="F1418" s="2" t="b">
        <v>0</v>
      </c>
      <c r="G1418" s="2" t="s">
        <v>9937</v>
      </c>
      <c r="H1418" s="3" t="str">
        <f>_xlfn.IFNA(INDEX(RulebookFields!C2:C999, MATCH(D1418,RulebookFields!A2:A999, 0)), "")</f>
        <v>RoleAssignments</v>
      </c>
      <c r="I1418" s="3" t="str">
        <f>_xlfn.IFNA(INDEX(RulebookFields!D2:D999, MATCH(D1418,RulebookFields!A2:A999, 0)), "")</f>
        <v>Name</v>
      </c>
      <c r="J1418" s="3" t="b">
        <f>_xlfn.IFNA(INDEX(RulebookFields!I2:I999, MATCH(D1418,RulebookFields!A2:A999, 0)), "")</f>
        <v>1</v>
      </c>
      <c r="K1418" s="3" t="b">
        <f>AND(F1418, J1418)</f>
        <v>0</v>
      </c>
      <c r="L1418" s="3" t="b">
        <f>AND(G1418 &lt;&gt; "plain", G1418 &lt;&gt; "")</f>
        <v>0</v>
      </c>
      <c r="M1418" s="3" t="str">
        <f>IF(E1418, C1418 &amp; "|" &amp; H1418, "")</f>
        <v>principal-process-steward|RoleAssignments</v>
      </c>
      <c r="N1418" s="2" t="s">
        <v>9938</v>
      </c>
    </row>
    <row r="1419">
      <c r="A1419" s="2" t="s">
        <v>11355</v>
      </c>
      <c r="B1419" s="3" t="str">
        <f>C1419 &amp; " -&gt; " &amp; D1419</f>
        <v>principal-process-steward -&gt; RoleAssignments.Role</v>
      </c>
      <c r="C1419" s="2" t="s">
        <v>9706</v>
      </c>
      <c r="D1419" s="2" t="s">
        <v>2516</v>
      </c>
      <c r="E1419" s="2" t="b">
        <v>1</v>
      </c>
      <c r="F1419" s="2" t="b">
        <v>0</v>
      </c>
      <c r="G1419" s="2" t="s">
        <v>9937</v>
      </c>
      <c r="H1419" s="3" t="str">
        <f>_xlfn.IFNA(INDEX(RulebookFields!C2:C999, MATCH(D1419,RulebookFields!A2:A999, 0)), "")</f>
        <v>RoleAssignments</v>
      </c>
      <c r="I1419" s="3" t="str">
        <f>_xlfn.IFNA(INDEX(RulebookFields!D2:D999, MATCH(D1419,RulebookFields!A2:A999, 0)), "")</f>
        <v>Role</v>
      </c>
      <c r="J1419" s="3" t="b">
        <f>_xlfn.IFNA(INDEX(RulebookFields!I2:I999, MATCH(D1419,RulebookFields!A2:A999, 0)), "")</f>
        <v>0</v>
      </c>
      <c r="K1419" s="3" t="b">
        <f>AND(F1419, J1419)</f>
        <v>0</v>
      </c>
      <c r="L1419" s="3" t="b">
        <f>AND(G1419 &lt;&gt; "plain", G1419 &lt;&gt; "")</f>
        <v>0</v>
      </c>
      <c r="M1419" s="3" t="str">
        <f>IF(E1419, C1419 &amp; "|" &amp; H1419, "")</f>
        <v>principal-process-steward|RoleAssignments</v>
      </c>
      <c r="N1419" s="2" t="s">
        <v>9938</v>
      </c>
    </row>
    <row r="1420">
      <c r="A1420" s="2" t="s">
        <v>11356</v>
      </c>
      <c r="B1420" s="3" t="str">
        <f>C1420 &amp; " -&gt; " &amp; D1420</f>
        <v>principal-process-steward -&gt; RoleAssignments.Agent</v>
      </c>
      <c r="C1420" s="2" t="s">
        <v>9706</v>
      </c>
      <c r="D1420" s="2" t="s">
        <v>2517</v>
      </c>
      <c r="E1420" s="2" t="b">
        <v>1</v>
      </c>
      <c r="F1420" s="2" t="b">
        <v>0</v>
      </c>
      <c r="G1420" s="2" t="s">
        <v>9937</v>
      </c>
      <c r="H1420" s="3" t="str">
        <f>_xlfn.IFNA(INDEX(RulebookFields!C2:C999, MATCH(D1420,RulebookFields!A2:A999, 0)), "")</f>
        <v>RoleAssignments</v>
      </c>
      <c r="I1420" s="3" t="str">
        <f>_xlfn.IFNA(INDEX(RulebookFields!D2:D999, MATCH(D1420,RulebookFields!A2:A999, 0)), "")</f>
        <v>Agent</v>
      </c>
      <c r="J1420" s="3" t="b">
        <f>_xlfn.IFNA(INDEX(RulebookFields!I2:I999, MATCH(D1420,RulebookFields!A2:A999, 0)), "")</f>
        <v>0</v>
      </c>
      <c r="K1420" s="3" t="b">
        <f>AND(F1420, J1420)</f>
        <v>0</v>
      </c>
      <c r="L1420" s="3" t="b">
        <f>AND(G1420 &lt;&gt; "plain", G1420 &lt;&gt; "")</f>
        <v>0</v>
      </c>
      <c r="M1420" s="3" t="str">
        <f>IF(E1420, C1420 &amp; "|" &amp; H1420, "")</f>
        <v>principal-process-steward|RoleAssignments</v>
      </c>
      <c r="N1420" s="2" t="s">
        <v>9938</v>
      </c>
    </row>
    <row r="1421">
      <c r="A1421" s="2" t="s">
        <v>11357</v>
      </c>
      <c r="B1421" s="3" t="str">
        <f>C1421 &amp; " -&gt; " &amp; D1421</f>
        <v>principal-process-steward -&gt; RoleAssignments.ValidFrom</v>
      </c>
      <c r="C1421" s="2" t="s">
        <v>9706</v>
      </c>
      <c r="D1421" s="2" t="s">
        <v>2518</v>
      </c>
      <c r="E1421" s="2" t="b">
        <v>1</v>
      </c>
      <c r="F1421" s="2" t="b">
        <v>0</v>
      </c>
      <c r="G1421" s="2" t="s">
        <v>9937</v>
      </c>
      <c r="H1421" s="3" t="str">
        <f>_xlfn.IFNA(INDEX(RulebookFields!C2:C999, MATCH(D1421,RulebookFields!A2:A999, 0)), "")</f>
        <v>RoleAssignments</v>
      </c>
      <c r="I1421" s="3" t="str">
        <f>_xlfn.IFNA(INDEX(RulebookFields!D2:D999, MATCH(D1421,RulebookFields!A2:A999, 0)), "")</f>
        <v>ValidFrom</v>
      </c>
      <c r="J1421" s="3" t="b">
        <f>_xlfn.IFNA(INDEX(RulebookFields!I2:I999, MATCH(D1421,RulebookFields!A2:A999, 0)), "")</f>
        <v>0</v>
      </c>
      <c r="K1421" s="3" t="b">
        <f>AND(F1421, J1421)</f>
        <v>0</v>
      </c>
      <c r="L1421" s="3" t="b">
        <f>AND(G1421 &lt;&gt; "plain", G1421 &lt;&gt; "")</f>
        <v>0</v>
      </c>
      <c r="M1421" s="3" t="str">
        <f>IF(E1421, C1421 &amp; "|" &amp; H1421, "")</f>
        <v>principal-process-steward|RoleAssignments</v>
      </c>
      <c r="N1421" s="2" t="s">
        <v>9938</v>
      </c>
    </row>
    <row r="1422">
      <c r="A1422" s="2" t="s">
        <v>11358</v>
      </c>
      <c r="B1422" s="3" t="str">
        <f>C1422 &amp; " -&gt; " &amp; D1422</f>
        <v>principal-process-steward -&gt; RoleAssignments.ValidTo</v>
      </c>
      <c r="C1422" s="2" t="s">
        <v>9706</v>
      </c>
      <c r="D1422" s="2" t="s">
        <v>2519</v>
      </c>
      <c r="E1422" s="2" t="b">
        <v>1</v>
      </c>
      <c r="F1422" s="2" t="b">
        <v>0</v>
      </c>
      <c r="G1422" s="2" t="s">
        <v>9937</v>
      </c>
      <c r="H1422" s="3" t="str">
        <f>_xlfn.IFNA(INDEX(RulebookFields!C2:C999, MATCH(D1422,RulebookFields!A2:A999, 0)), "")</f>
        <v>RoleAssignments</v>
      </c>
      <c r="I1422" s="3" t="str">
        <f>_xlfn.IFNA(INDEX(RulebookFields!D2:D999, MATCH(D1422,RulebookFields!A2:A999, 0)), "")</f>
        <v>ValidTo</v>
      </c>
      <c r="J1422" s="3" t="b">
        <f>_xlfn.IFNA(INDEX(RulebookFields!I2:I999, MATCH(D1422,RulebookFields!A2:A999, 0)), "")</f>
        <v>0</v>
      </c>
      <c r="K1422" s="3" t="b">
        <f>AND(F1422, J1422)</f>
        <v>0</v>
      </c>
      <c r="L1422" s="3" t="b">
        <f>AND(G1422 &lt;&gt; "plain", G1422 &lt;&gt; "")</f>
        <v>0</v>
      </c>
      <c r="M1422" s="3" t="str">
        <f>IF(E1422, C1422 &amp; "|" &amp; H1422, "")</f>
        <v>principal-process-steward|RoleAssignments</v>
      </c>
      <c r="N1422" s="2" t="s">
        <v>9938</v>
      </c>
    </row>
    <row r="1423">
      <c r="A1423" s="2" t="s">
        <v>11359</v>
      </c>
      <c r="B1423" s="3" t="str">
        <f>C1423 &amp; " -&gt; " &amp; D1423</f>
        <v>principal-process-steward -&gt; RoleAssignments.Reason</v>
      </c>
      <c r="C1423" s="2" t="s">
        <v>9706</v>
      </c>
      <c r="D1423" s="2" t="s">
        <v>2520</v>
      </c>
      <c r="E1423" s="2" t="b">
        <v>1</v>
      </c>
      <c r="F1423" s="2" t="b">
        <v>0</v>
      </c>
      <c r="G1423" s="2" t="s">
        <v>9937</v>
      </c>
      <c r="H1423" s="3" t="str">
        <f>_xlfn.IFNA(INDEX(RulebookFields!C2:C999, MATCH(D1423,RulebookFields!A2:A999, 0)), "")</f>
        <v>RoleAssignments</v>
      </c>
      <c r="I1423" s="3" t="str">
        <f>_xlfn.IFNA(INDEX(RulebookFields!D2:D999, MATCH(D1423,RulebookFields!A2:A999, 0)), "")</f>
        <v>Reason</v>
      </c>
      <c r="J1423" s="3" t="b">
        <f>_xlfn.IFNA(INDEX(RulebookFields!I2:I999, MATCH(D1423,RulebookFields!A2:A999, 0)), "")</f>
        <v>0</v>
      </c>
      <c r="K1423" s="3" t="b">
        <f>AND(F1423, J1423)</f>
        <v>0</v>
      </c>
      <c r="L1423" s="3" t="b">
        <f>AND(G1423 &lt;&gt; "plain", G1423 &lt;&gt; "")</f>
        <v>0</v>
      </c>
      <c r="M1423" s="3" t="str">
        <f>IF(E1423, C1423 &amp; "|" &amp; H1423, "")</f>
        <v>principal-process-steward|RoleAssignments</v>
      </c>
      <c r="N1423" s="2" t="s">
        <v>9938</v>
      </c>
    </row>
    <row r="1424">
      <c r="A1424" s="2" t="s">
        <v>11360</v>
      </c>
      <c r="B1424" s="3" t="str">
        <f>C1424 &amp; " -&gt; " &amp; D1424</f>
        <v>principal-process-steward -&gt; RoleAssignments.Status</v>
      </c>
      <c r="C1424" s="2" t="s">
        <v>9706</v>
      </c>
      <c r="D1424" s="2" t="s">
        <v>2521</v>
      </c>
      <c r="E1424" s="2" t="b">
        <v>1</v>
      </c>
      <c r="F1424" s="2" t="b">
        <v>0</v>
      </c>
      <c r="G1424" s="2" t="s">
        <v>9937</v>
      </c>
      <c r="H1424" s="3" t="str">
        <f>_xlfn.IFNA(INDEX(RulebookFields!C2:C999, MATCH(D1424,RulebookFields!A2:A999, 0)), "")</f>
        <v>RoleAssignments</v>
      </c>
      <c r="I1424" s="3" t="str">
        <f>_xlfn.IFNA(INDEX(RulebookFields!D2:D999, MATCH(D1424,RulebookFields!A2:A999, 0)), "")</f>
        <v>Status</v>
      </c>
      <c r="J1424" s="3" t="b">
        <f>_xlfn.IFNA(INDEX(RulebookFields!I2:I999, MATCH(D1424,RulebookFields!A2:A999, 0)), "")</f>
        <v>0</v>
      </c>
      <c r="K1424" s="3" t="b">
        <f>AND(F1424, J1424)</f>
        <v>0</v>
      </c>
      <c r="L1424" s="3" t="b">
        <f>AND(G1424 &lt;&gt; "plain", G1424 &lt;&gt; "")</f>
        <v>0</v>
      </c>
      <c r="M1424" s="3" t="str">
        <f>IF(E1424, C1424 &amp; "|" &amp; H1424, "")</f>
        <v>principal-process-steward|RoleAssignments</v>
      </c>
      <c r="N1424" s="2" t="s">
        <v>9938</v>
      </c>
    </row>
    <row r="1425">
      <c r="A1425" s="2" t="s">
        <v>11361</v>
      </c>
      <c r="B1425" s="3" t="str">
        <f>C1425 &amp; " -&gt; " &amp; D1425</f>
        <v>principal-process-steward -&gt; RoleAssignments.EvaluationContext</v>
      </c>
      <c r="C1425" s="2" t="s">
        <v>9706</v>
      </c>
      <c r="D1425" s="2" t="s">
        <v>2522</v>
      </c>
      <c r="E1425" s="2" t="b">
        <v>1</v>
      </c>
      <c r="F1425" s="2" t="b">
        <v>0</v>
      </c>
      <c r="G1425" s="2" t="s">
        <v>9937</v>
      </c>
      <c r="H1425" s="3" t="str">
        <f>_xlfn.IFNA(INDEX(RulebookFields!C2:C999, MATCH(D1425,RulebookFields!A2:A999, 0)), "")</f>
        <v>RoleAssignments</v>
      </c>
      <c r="I1425" s="3" t="str">
        <f>_xlfn.IFNA(INDEX(RulebookFields!D2:D999, MATCH(D1425,RulebookFields!A2:A999, 0)), "")</f>
        <v>EvaluationContext</v>
      </c>
      <c r="J1425" s="3" t="b">
        <f>_xlfn.IFNA(INDEX(RulebookFields!I2:I999, MATCH(D1425,RulebookFields!A2:A999, 0)), "")</f>
        <v>0</v>
      </c>
      <c r="K1425" s="3" t="b">
        <f>AND(F1425, J1425)</f>
        <v>0</v>
      </c>
      <c r="L1425" s="3" t="b">
        <f>AND(G1425 &lt;&gt; "plain", G1425 &lt;&gt; "")</f>
        <v>0</v>
      </c>
      <c r="M1425" s="3" t="str">
        <f>IF(E1425, C1425 &amp; "|" &amp; H1425, "")</f>
        <v>principal-process-steward|RoleAssignments</v>
      </c>
      <c r="N1425" s="2" t="s">
        <v>9938</v>
      </c>
    </row>
    <row r="1426">
      <c r="A1426" s="2" t="s">
        <v>11362</v>
      </c>
      <c r="B1426" s="3" t="str">
        <f>C1426 &amp; " -&gt; " &amp; D1426</f>
        <v>principal-process-steward -&gt; RoleAssignments.AsOfInstant</v>
      </c>
      <c r="C1426" s="2" t="s">
        <v>9706</v>
      </c>
      <c r="D1426" s="2" t="s">
        <v>2523</v>
      </c>
      <c r="E1426" s="2" t="b">
        <v>1</v>
      </c>
      <c r="F1426" s="2" t="b">
        <v>0</v>
      </c>
      <c r="G1426" s="2" t="s">
        <v>9937</v>
      </c>
      <c r="H1426" s="3" t="str">
        <f>_xlfn.IFNA(INDEX(RulebookFields!C2:C999, MATCH(D1426,RulebookFields!A2:A999, 0)), "")</f>
        <v>RoleAssignments</v>
      </c>
      <c r="I1426" s="3" t="str">
        <f>_xlfn.IFNA(INDEX(RulebookFields!D2:D999, MATCH(D1426,RulebookFields!A2:A999, 0)), "")</f>
        <v>AsOfInstant</v>
      </c>
      <c r="J1426" s="3" t="b">
        <f>_xlfn.IFNA(INDEX(RulebookFields!I2:I999, MATCH(D1426,RulebookFields!A2:A999, 0)), "")</f>
        <v>1</v>
      </c>
      <c r="K1426" s="3" t="b">
        <f>AND(F1426, J1426)</f>
        <v>0</v>
      </c>
      <c r="L1426" s="3" t="b">
        <f>AND(G1426 &lt;&gt; "plain", G1426 &lt;&gt; "")</f>
        <v>0</v>
      </c>
      <c r="M1426" s="3" t="str">
        <f>IF(E1426, C1426 &amp; "|" &amp; H1426, "")</f>
        <v>principal-process-steward|RoleAssignments</v>
      </c>
      <c r="N1426" s="2" t="s">
        <v>9938</v>
      </c>
    </row>
    <row r="1427">
      <c r="A1427" s="2" t="s">
        <v>11363</v>
      </c>
      <c r="B1427" s="3" t="str">
        <f>C1427 &amp; " -&gt; " &amp; D1427</f>
        <v>principal-process-steward -&gt; RoleAssignments.IsCurrent</v>
      </c>
      <c r="C1427" s="2" t="s">
        <v>9706</v>
      </c>
      <c r="D1427" s="2" t="s">
        <v>2525</v>
      </c>
      <c r="E1427" s="2" t="b">
        <v>1</v>
      </c>
      <c r="F1427" s="2" t="b">
        <v>0</v>
      </c>
      <c r="G1427" s="2" t="s">
        <v>9937</v>
      </c>
      <c r="H1427" s="3" t="str">
        <f>_xlfn.IFNA(INDEX(RulebookFields!C2:C999, MATCH(D1427,RulebookFields!A2:A999, 0)), "")</f>
        <v>RoleAssignments</v>
      </c>
      <c r="I1427" s="3" t="str">
        <f>_xlfn.IFNA(INDEX(RulebookFields!D2:D999, MATCH(D1427,RulebookFields!A2:A999, 0)), "")</f>
        <v>IsCurrent</v>
      </c>
      <c r="J1427" s="3" t="b">
        <f>_xlfn.IFNA(INDEX(RulebookFields!I2:I999, MATCH(D1427,RulebookFields!A2:A999, 0)), "")</f>
        <v>1</v>
      </c>
      <c r="K1427" s="3" t="b">
        <f>AND(F1427, J1427)</f>
        <v>0</v>
      </c>
      <c r="L1427" s="3" t="b">
        <f>AND(G1427 &lt;&gt; "plain", G1427 &lt;&gt; "")</f>
        <v>0</v>
      </c>
      <c r="M1427" s="3" t="str">
        <f>IF(E1427, C1427 &amp; "|" &amp; H1427, "")</f>
        <v>principal-process-steward|RoleAssignments</v>
      </c>
      <c r="N1427" s="2" t="s">
        <v>9938</v>
      </c>
    </row>
    <row r="1428">
      <c r="A1428" s="2" t="s">
        <v>11364</v>
      </c>
      <c r="B1428" s="3" t="str">
        <f>C1428 &amp; " -&gt; " &amp; D1428</f>
        <v>principal-process-steward -&gt; RoleAssignments.CurrentAgentKey</v>
      </c>
      <c r="C1428" s="2" t="s">
        <v>9706</v>
      </c>
      <c r="D1428" s="2" t="s">
        <v>2527</v>
      </c>
      <c r="E1428" s="2" t="b">
        <v>1</v>
      </c>
      <c r="F1428" s="2" t="b">
        <v>0</v>
      </c>
      <c r="G1428" s="2" t="s">
        <v>9937</v>
      </c>
      <c r="H1428" s="3" t="str">
        <f>_xlfn.IFNA(INDEX(RulebookFields!C2:C999, MATCH(D1428,RulebookFields!A2:A999, 0)), "")</f>
        <v>RoleAssignments</v>
      </c>
      <c r="I1428" s="3" t="str">
        <f>_xlfn.IFNA(INDEX(RulebookFields!D2:D999, MATCH(D1428,RulebookFields!A2:A999, 0)), "")</f>
        <v>CurrentAgentKey</v>
      </c>
      <c r="J1428" s="3" t="b">
        <f>_xlfn.IFNA(INDEX(RulebookFields!I2:I999, MATCH(D1428,RulebookFields!A2:A999, 0)), "")</f>
        <v>1</v>
      </c>
      <c r="K1428" s="3" t="b">
        <f>AND(F1428, J1428)</f>
        <v>0</v>
      </c>
      <c r="L1428" s="3" t="b">
        <f>AND(G1428 &lt;&gt; "plain", G1428 &lt;&gt; "")</f>
        <v>0</v>
      </c>
      <c r="M1428" s="3" t="str">
        <f>IF(E1428, C1428 &amp; "|" &amp; H1428, "")</f>
        <v>principal-process-steward|RoleAssignments</v>
      </c>
      <c r="N1428" s="2" t="s">
        <v>9938</v>
      </c>
    </row>
    <row r="1429">
      <c r="A1429" s="2" t="s">
        <v>11365</v>
      </c>
      <c r="B1429" s="3" t="str">
        <f>C1429 &amp; " -&gt; " &amp; D1429</f>
        <v>principal-process-steward -&gt; RoleAssignments.IsCurrentlyValid</v>
      </c>
      <c r="C1429" s="2" t="s">
        <v>9706</v>
      </c>
      <c r="D1429" s="2" t="s">
        <v>2529</v>
      </c>
      <c r="E1429" s="2" t="b">
        <v>1</v>
      </c>
      <c r="F1429" s="2" t="b">
        <v>0</v>
      </c>
      <c r="G1429" s="2" t="s">
        <v>9937</v>
      </c>
      <c r="H1429" s="3" t="str">
        <f>_xlfn.IFNA(INDEX(RulebookFields!C2:C999, MATCH(D1429,RulebookFields!A2:A999, 0)), "")</f>
        <v>RoleAssignments</v>
      </c>
      <c r="I1429" s="3" t="str">
        <f>_xlfn.IFNA(INDEX(RulebookFields!D2:D999, MATCH(D1429,RulebookFields!A2:A999, 0)), "")</f>
        <v>IsCurrentlyValid</v>
      </c>
      <c r="J1429" s="3" t="b">
        <f>_xlfn.IFNA(INDEX(RulebookFields!I2:I999, MATCH(D1429,RulebookFields!A2:A999, 0)), "")</f>
        <v>1</v>
      </c>
      <c r="K1429" s="3" t="b">
        <f>AND(F1429, J1429)</f>
        <v>0</v>
      </c>
      <c r="L1429" s="3" t="b">
        <f>AND(G1429 &lt;&gt; "plain", G1429 &lt;&gt; "")</f>
        <v>0</v>
      </c>
      <c r="M1429" s="3" t="str">
        <f>IF(E1429, C1429 &amp; "|" &amp; H1429, "")</f>
        <v>principal-process-steward|RoleAssignments</v>
      </c>
      <c r="N1429" s="2" t="s">
        <v>9938</v>
      </c>
    </row>
    <row r="1430">
      <c r="A1430" s="2" t="s">
        <v>11366</v>
      </c>
      <c r="B1430" s="3" t="str">
        <f>C1430 &amp; " -&gt; " &amp; D1430</f>
        <v>principal-process-steward -&gt; RoleAssignments.AgentRoleKey</v>
      </c>
      <c r="C1430" s="2" t="s">
        <v>9706</v>
      </c>
      <c r="D1430" s="2" t="s">
        <v>2531</v>
      </c>
      <c r="E1430" s="2" t="b">
        <v>1</v>
      </c>
      <c r="F1430" s="2" t="b">
        <v>0</v>
      </c>
      <c r="G1430" s="2" t="s">
        <v>9937</v>
      </c>
      <c r="H1430" s="3" t="str">
        <f>_xlfn.IFNA(INDEX(RulebookFields!C2:C999, MATCH(D1430,RulebookFields!A2:A999, 0)), "")</f>
        <v>RoleAssignments</v>
      </c>
      <c r="I1430" s="3" t="str">
        <f>_xlfn.IFNA(INDEX(RulebookFields!D2:D999, MATCH(D1430,RulebookFields!A2:A999, 0)), "")</f>
        <v>AgentRoleKey</v>
      </c>
      <c r="J1430" s="3" t="b">
        <f>_xlfn.IFNA(INDEX(RulebookFields!I2:I999, MATCH(D1430,RulebookFields!A2:A999, 0)), "")</f>
        <v>1</v>
      </c>
      <c r="K1430" s="3" t="b">
        <f>AND(F1430, J1430)</f>
        <v>0</v>
      </c>
      <c r="L1430" s="3" t="b">
        <f>AND(G1430 &lt;&gt; "plain", G1430 &lt;&gt; "")</f>
        <v>0</v>
      </c>
      <c r="M1430" s="3" t="str">
        <f>IF(E1430, C1430 &amp; "|" &amp; H1430, "")</f>
        <v>principal-process-steward|RoleAssignments</v>
      </c>
      <c r="N1430" s="2" t="s">
        <v>9938</v>
      </c>
    </row>
    <row r="1431">
      <c r="A1431" s="2" t="s">
        <v>11367</v>
      </c>
      <c r="B1431" s="3" t="str">
        <f>C1431 &amp; " -&gt; " &amp; D1431</f>
        <v>principal-process-steward -&gt; RoleAssignments.HasDeparted</v>
      </c>
      <c r="C1431" s="2" t="s">
        <v>9706</v>
      </c>
      <c r="D1431" s="2" t="s">
        <v>2533</v>
      </c>
      <c r="E1431" s="2" t="b">
        <v>1</v>
      </c>
      <c r="F1431" s="2" t="b">
        <v>0</v>
      </c>
      <c r="G1431" s="2" t="s">
        <v>9937</v>
      </c>
      <c r="H1431" s="3" t="str">
        <f>_xlfn.IFNA(INDEX(RulebookFields!C2:C999, MATCH(D1431,RulebookFields!A2:A999, 0)), "")</f>
        <v>RoleAssignments</v>
      </c>
      <c r="I1431" s="3" t="str">
        <f>_xlfn.IFNA(INDEX(RulebookFields!D2:D999, MATCH(D1431,RulebookFields!A2:A999, 0)), "")</f>
        <v>HasDeparted</v>
      </c>
      <c r="J1431" s="3" t="b">
        <f>_xlfn.IFNA(INDEX(RulebookFields!I2:I999, MATCH(D1431,RulebookFields!A2:A999, 0)), "")</f>
        <v>1</v>
      </c>
      <c r="K1431" s="3" t="b">
        <f>AND(F1431, J1431)</f>
        <v>0</v>
      </c>
      <c r="L1431" s="3" t="b">
        <f>AND(G1431 &lt;&gt; "plain", G1431 &lt;&gt; "")</f>
        <v>0</v>
      </c>
      <c r="M1431" s="3" t="str">
        <f>IF(E1431, C1431 &amp; "|" &amp; H1431, "")</f>
        <v>principal-process-steward|RoleAssignments</v>
      </c>
      <c r="N1431" s="2" t="s">
        <v>9938</v>
      </c>
    </row>
    <row r="1432">
      <c r="A1432" s="2" t="s">
        <v>11368</v>
      </c>
      <c r="B1432" s="3" t="str">
        <f>C1432 &amp; " -&gt; " &amp; D1432</f>
        <v>principal-process-steward -&gt; RoleAssignments.CoversNow</v>
      </c>
      <c r="C1432" s="2" t="s">
        <v>9706</v>
      </c>
      <c r="D1432" s="2" t="s">
        <v>2535</v>
      </c>
      <c r="E1432" s="2" t="b">
        <v>1</v>
      </c>
      <c r="F1432" s="2" t="b">
        <v>0</v>
      </c>
      <c r="G1432" s="2" t="s">
        <v>9937</v>
      </c>
      <c r="H1432" s="3" t="str">
        <f>_xlfn.IFNA(INDEX(RulebookFields!C2:C999, MATCH(D1432,RulebookFields!A2:A999, 0)), "")</f>
        <v>RoleAssignments</v>
      </c>
      <c r="I1432" s="3" t="str">
        <f>_xlfn.IFNA(INDEX(RulebookFields!D2:D999, MATCH(D1432,RulebookFields!A2:A999, 0)), "")</f>
        <v>CoversNow</v>
      </c>
      <c r="J1432" s="3" t="b">
        <f>_xlfn.IFNA(INDEX(RulebookFields!I2:I999, MATCH(D1432,RulebookFields!A2:A999, 0)), "")</f>
        <v>1</v>
      </c>
      <c r="K1432" s="3" t="b">
        <f>AND(F1432, J1432)</f>
        <v>0</v>
      </c>
      <c r="L1432" s="3" t="b">
        <f>AND(G1432 &lt;&gt; "plain", G1432 &lt;&gt; "")</f>
        <v>0</v>
      </c>
      <c r="M1432" s="3" t="str">
        <f>IF(E1432, C1432 &amp; "|" &amp; H1432, "")</f>
        <v>principal-process-steward|RoleAssignments</v>
      </c>
      <c r="N1432" s="2" t="s">
        <v>9938</v>
      </c>
    </row>
    <row r="1433">
      <c r="A1433" s="2" t="s">
        <v>11369</v>
      </c>
      <c r="B1433" s="3" t="str">
        <f>C1433 &amp; " -&gt; " &amp; D1433</f>
        <v>principal-process-steward -&gt; RoleAssignments.RoleWhenCovering</v>
      </c>
      <c r="C1433" s="2" t="s">
        <v>9706</v>
      </c>
      <c r="D1433" s="2" t="s">
        <v>2537</v>
      </c>
      <c r="E1433" s="2" t="b">
        <v>1</v>
      </c>
      <c r="F1433" s="2" t="b">
        <v>0</v>
      </c>
      <c r="G1433" s="2" t="s">
        <v>9937</v>
      </c>
      <c r="H1433" s="3" t="str">
        <f>_xlfn.IFNA(INDEX(RulebookFields!C2:C999, MATCH(D1433,RulebookFields!A2:A999, 0)), "")</f>
        <v>RoleAssignments</v>
      </c>
      <c r="I1433" s="3" t="str">
        <f>_xlfn.IFNA(INDEX(RulebookFields!D2:D999, MATCH(D1433,RulebookFields!A2:A999, 0)), "")</f>
        <v>RoleWhenCovering</v>
      </c>
      <c r="J1433" s="3" t="b">
        <f>_xlfn.IFNA(INDEX(RulebookFields!I2:I999, MATCH(D1433,RulebookFields!A2:A999, 0)), "")</f>
        <v>1</v>
      </c>
      <c r="K1433" s="3" t="b">
        <f>AND(F1433, J1433)</f>
        <v>0</v>
      </c>
      <c r="L1433" s="3" t="b">
        <f>AND(G1433 &lt;&gt; "plain", G1433 &lt;&gt; "")</f>
        <v>0</v>
      </c>
      <c r="M1433" s="3" t="str">
        <f>IF(E1433, C1433 &amp; "|" &amp; H1433, "")</f>
        <v>principal-process-steward|RoleAssignments</v>
      </c>
      <c r="N1433" s="2" t="s">
        <v>9938</v>
      </c>
    </row>
    <row r="1434">
      <c r="A1434" s="2" t="s">
        <v>11370</v>
      </c>
      <c r="B1434" s="3" t="str">
        <f>C1434 &amp; " -&gt; " &amp; D1434</f>
        <v>principal-process-steward -&gt; RoleAssignments.AgentKind</v>
      </c>
      <c r="C1434" s="2" t="s">
        <v>9706</v>
      </c>
      <c r="D1434" s="2" t="s">
        <v>2539</v>
      </c>
      <c r="E1434" s="2" t="b">
        <v>1</v>
      </c>
      <c r="F1434" s="2" t="b">
        <v>0</v>
      </c>
      <c r="G1434" s="2" t="s">
        <v>9937</v>
      </c>
      <c r="H1434" s="3" t="str">
        <f>_xlfn.IFNA(INDEX(RulebookFields!C2:C999, MATCH(D1434,RulebookFields!A2:A999, 0)), "")</f>
        <v>RoleAssignments</v>
      </c>
      <c r="I1434" s="3" t="str">
        <f>_xlfn.IFNA(INDEX(RulebookFields!D2:D999, MATCH(D1434,RulebookFields!A2:A999, 0)), "")</f>
        <v>AgentKind</v>
      </c>
      <c r="J1434" s="3" t="b">
        <f>_xlfn.IFNA(INDEX(RulebookFields!I2:I999, MATCH(D1434,RulebookFields!A2:A999, 0)), "")</f>
        <v>1</v>
      </c>
      <c r="K1434" s="3" t="b">
        <f>AND(F1434, J1434)</f>
        <v>0</v>
      </c>
      <c r="L1434" s="3" t="b">
        <f>AND(G1434 &lt;&gt; "plain", G1434 &lt;&gt; "")</f>
        <v>0</v>
      </c>
      <c r="M1434" s="3" t="str">
        <f>IF(E1434, C1434 &amp; "|" &amp; H1434, "")</f>
        <v>principal-process-steward|RoleAssignments</v>
      </c>
      <c r="N1434" s="2" t="s">
        <v>9938</v>
      </c>
    </row>
    <row r="1435">
      <c r="A1435" s="2" t="s">
        <v>11371</v>
      </c>
      <c r="B1435" s="3" t="str">
        <f>C1435 &amp; " -&gt; " &amp; D1435</f>
        <v>principal-process-steward -&gt; RoleAssignments.IsNonHumanAssignment</v>
      </c>
      <c r="C1435" s="2" t="s">
        <v>9706</v>
      </c>
      <c r="D1435" s="2" t="s">
        <v>2541</v>
      </c>
      <c r="E1435" s="2" t="b">
        <v>1</v>
      </c>
      <c r="F1435" s="2" t="b">
        <v>0</v>
      </c>
      <c r="G1435" s="2" t="s">
        <v>9937</v>
      </c>
      <c r="H1435" s="3" t="str">
        <f>_xlfn.IFNA(INDEX(RulebookFields!C2:C999, MATCH(D1435,RulebookFields!A2:A999, 0)), "")</f>
        <v>RoleAssignments</v>
      </c>
      <c r="I1435" s="3" t="str">
        <f>_xlfn.IFNA(INDEX(RulebookFields!D2:D999, MATCH(D1435,RulebookFields!A2:A999, 0)), "")</f>
        <v>IsNonHumanAssignment</v>
      </c>
      <c r="J1435" s="3" t="b">
        <f>_xlfn.IFNA(INDEX(RulebookFields!I2:I999, MATCH(D1435,RulebookFields!A2:A999, 0)), "")</f>
        <v>1</v>
      </c>
      <c r="K1435" s="3" t="b">
        <f>AND(F1435, J1435)</f>
        <v>0</v>
      </c>
      <c r="L1435" s="3" t="b">
        <f>AND(G1435 &lt;&gt; "plain", G1435 &lt;&gt; "")</f>
        <v>0</v>
      </c>
      <c r="M1435" s="3" t="str">
        <f>IF(E1435, C1435 &amp; "|" &amp; H1435, "")</f>
        <v>principal-process-steward|RoleAssignments</v>
      </c>
      <c r="N1435" s="2" t="s">
        <v>9938</v>
      </c>
    </row>
    <row r="1436">
      <c r="A1436" s="2" t="s">
        <v>11372</v>
      </c>
      <c r="B1436" s="3" t="str">
        <f>C1436 &amp; " -&gt; " &amp; D1436</f>
        <v>principal-process-steward -&gt; RoleAssignments.SupersedesAssignment</v>
      </c>
      <c r="C1436" s="2" t="s">
        <v>9706</v>
      </c>
      <c r="D1436" s="2" t="s">
        <v>2542</v>
      </c>
      <c r="E1436" s="2" t="b">
        <v>1</v>
      </c>
      <c r="F1436" s="2" t="b">
        <v>0</v>
      </c>
      <c r="G1436" s="2" t="s">
        <v>9937</v>
      </c>
      <c r="H1436" s="3" t="str">
        <f>_xlfn.IFNA(INDEX(RulebookFields!C2:C999, MATCH(D1436,RulebookFields!A2:A999, 0)), "")</f>
        <v>RoleAssignments</v>
      </c>
      <c r="I1436" s="3" t="str">
        <f>_xlfn.IFNA(INDEX(RulebookFields!D2:D999, MATCH(D1436,RulebookFields!A2:A999, 0)), "")</f>
        <v>SupersedesAssignment</v>
      </c>
      <c r="J1436" s="3" t="b">
        <f>_xlfn.IFNA(INDEX(RulebookFields!I2:I999, MATCH(D1436,RulebookFields!A2:A999, 0)), "")</f>
        <v>0</v>
      </c>
      <c r="K1436" s="3" t="b">
        <f>AND(F1436, J1436)</f>
        <v>0</v>
      </c>
      <c r="L1436" s="3" t="b">
        <f>AND(G1436 &lt;&gt; "plain", G1436 &lt;&gt; "")</f>
        <v>0</v>
      </c>
      <c r="M1436" s="3" t="str">
        <f>IF(E1436, C1436 &amp; "|" &amp; H1436, "")</f>
        <v>principal-process-steward|RoleAssignments</v>
      </c>
      <c r="N1436" s="2" t="s">
        <v>9938</v>
      </c>
    </row>
    <row r="1437">
      <c r="A1437" s="2" t="s">
        <v>11373</v>
      </c>
      <c r="B1437" s="3" t="str">
        <f>C1437 &amp; " -&gt; " &amp; D1437</f>
        <v>principal-process-steward -&gt; RoleAssignments.PredecessorAgentKind</v>
      </c>
      <c r="C1437" s="2" t="s">
        <v>9706</v>
      </c>
      <c r="D1437" s="2" t="s">
        <v>2543</v>
      </c>
      <c r="E1437" s="2" t="b">
        <v>1</v>
      </c>
      <c r="F1437" s="2" t="b">
        <v>0</v>
      </c>
      <c r="G1437" s="2" t="s">
        <v>9937</v>
      </c>
      <c r="H1437" s="3" t="str">
        <f>_xlfn.IFNA(INDEX(RulebookFields!C2:C999, MATCH(D1437,RulebookFields!A2:A999, 0)), "")</f>
        <v>RoleAssignments</v>
      </c>
      <c r="I1437" s="3" t="str">
        <f>_xlfn.IFNA(INDEX(RulebookFields!D2:D999, MATCH(D1437,RulebookFields!A2:A999, 0)), "")</f>
        <v>PredecessorAgentKind</v>
      </c>
      <c r="J1437" s="3" t="b">
        <f>_xlfn.IFNA(INDEX(RulebookFields!I2:I999, MATCH(D1437,RulebookFields!A2:A999, 0)), "")</f>
        <v>1</v>
      </c>
      <c r="K1437" s="3" t="b">
        <f>AND(F1437, J1437)</f>
        <v>0</v>
      </c>
      <c r="L1437" s="3" t="b">
        <f>AND(G1437 &lt;&gt; "plain", G1437 &lt;&gt; "")</f>
        <v>0</v>
      </c>
      <c r="M1437" s="3" t="str">
        <f>IF(E1437, C1437 &amp; "|" &amp; H1437, "")</f>
        <v>principal-process-steward|RoleAssignments</v>
      </c>
      <c r="N1437" s="2" t="s">
        <v>9938</v>
      </c>
    </row>
    <row r="1438">
      <c r="A1438" s="2" t="s">
        <v>11374</v>
      </c>
      <c r="B1438" s="3" t="str">
        <f>C1438 &amp; " -&gt; " &amp; D1438</f>
        <v>principal-process-steward -&gt; RoleAssignments.IsHumanToNonHumanHandover</v>
      </c>
      <c r="C1438" s="2" t="s">
        <v>9706</v>
      </c>
      <c r="D1438" s="2" t="s">
        <v>2545</v>
      </c>
      <c r="E1438" s="2" t="b">
        <v>1</v>
      </c>
      <c r="F1438" s="2" t="b">
        <v>0</v>
      </c>
      <c r="G1438" s="2" t="s">
        <v>9937</v>
      </c>
      <c r="H1438" s="3" t="str">
        <f>_xlfn.IFNA(INDEX(RulebookFields!C2:C999, MATCH(D1438,RulebookFields!A2:A999, 0)), "")</f>
        <v>RoleAssignments</v>
      </c>
      <c r="I1438" s="3" t="str">
        <f>_xlfn.IFNA(INDEX(RulebookFields!D2:D999, MATCH(D1438,RulebookFields!A2:A999, 0)), "")</f>
        <v>IsHumanToNonHumanHandover</v>
      </c>
      <c r="J1438" s="3" t="b">
        <f>_xlfn.IFNA(INDEX(RulebookFields!I2:I999, MATCH(D1438,RulebookFields!A2:A999, 0)), "")</f>
        <v>1</v>
      </c>
      <c r="K1438" s="3" t="b">
        <f>AND(F1438, J1438)</f>
        <v>0</v>
      </c>
      <c r="L1438" s="3" t="b">
        <f>AND(G1438 &lt;&gt; "plain", G1438 &lt;&gt; "")</f>
        <v>0</v>
      </c>
      <c r="M1438" s="3" t="str">
        <f>IF(E1438, C1438 &amp; "|" &amp; H1438, "")</f>
        <v>principal-process-steward|RoleAssignments</v>
      </c>
      <c r="N1438" s="2" t="s">
        <v>9938</v>
      </c>
    </row>
    <row r="1439">
      <c r="A1439" s="2" t="s">
        <v>11375</v>
      </c>
      <c r="B1439" s="3" t="str">
        <f>C1439 &amp; " -&gt; " &amp; D1439</f>
        <v>principal-process-steward -&gt; RoleAssignments.ApprovingAuthorityRole</v>
      </c>
      <c r="C1439" s="2" t="s">
        <v>9706</v>
      </c>
      <c r="D1439" s="2" t="s">
        <v>2547</v>
      </c>
      <c r="E1439" s="2" t="b">
        <v>1</v>
      </c>
      <c r="F1439" s="2" t="b">
        <v>0</v>
      </c>
      <c r="G1439" s="2" t="s">
        <v>9937</v>
      </c>
      <c r="H1439" s="3" t="str">
        <f>_xlfn.IFNA(INDEX(RulebookFields!C2:C999, MATCH(D1439,RulebookFields!A2:A999, 0)), "")</f>
        <v>RoleAssignments</v>
      </c>
      <c r="I1439" s="3" t="str">
        <f>_xlfn.IFNA(INDEX(RulebookFields!D2:D999, MATCH(D1439,RulebookFields!A2:A999, 0)), "")</f>
        <v>ApprovingAuthorityRole</v>
      </c>
      <c r="J1439" s="3" t="b">
        <f>_xlfn.IFNA(INDEX(RulebookFields!I2:I999, MATCH(D1439,RulebookFields!A2:A999, 0)), "")</f>
        <v>0</v>
      </c>
      <c r="K1439" s="3" t="b">
        <f>AND(F1439, J1439)</f>
        <v>0</v>
      </c>
      <c r="L1439" s="3" t="b">
        <f>AND(G1439 &lt;&gt; "plain", G1439 &lt;&gt; "")</f>
        <v>0</v>
      </c>
      <c r="M1439" s="3" t="str">
        <f>IF(E1439, C1439 &amp; "|" &amp; H1439, "")</f>
        <v>principal-process-steward|RoleAssignments</v>
      </c>
      <c r="N1439" s="2" t="s">
        <v>9938</v>
      </c>
    </row>
    <row r="1440">
      <c r="A1440" s="2" t="s">
        <v>11376</v>
      </c>
      <c r="B1440" s="3" t="str">
        <f>C1440 &amp; " -&gt; " &amp; D1440</f>
        <v>principal-process-steward -&gt; RoleAssignments.AuthorizingChangeRequest</v>
      </c>
      <c r="C1440" s="2" t="s">
        <v>9706</v>
      </c>
      <c r="D1440" s="2" t="s">
        <v>2548</v>
      </c>
      <c r="E1440" s="2" t="b">
        <v>1</v>
      </c>
      <c r="F1440" s="2" t="b">
        <v>0</v>
      </c>
      <c r="G1440" s="2" t="s">
        <v>9937</v>
      </c>
      <c r="H1440" s="3" t="str">
        <f>_xlfn.IFNA(INDEX(RulebookFields!C2:C999, MATCH(D1440,RulebookFields!A2:A999, 0)), "")</f>
        <v>RoleAssignments</v>
      </c>
      <c r="I1440" s="3" t="str">
        <f>_xlfn.IFNA(INDEX(RulebookFields!D2:D999, MATCH(D1440,RulebookFields!A2:A999, 0)), "")</f>
        <v>AuthorizingChangeRequest</v>
      </c>
      <c r="J1440" s="3" t="b">
        <f>_xlfn.IFNA(INDEX(RulebookFields!I2:I999, MATCH(D1440,RulebookFields!A2:A999, 0)), "")</f>
        <v>0</v>
      </c>
      <c r="K1440" s="3" t="b">
        <f>AND(F1440, J1440)</f>
        <v>0</v>
      </c>
      <c r="L1440" s="3" t="b">
        <f>AND(G1440 &lt;&gt; "plain", G1440 &lt;&gt; "")</f>
        <v>0</v>
      </c>
      <c r="M1440" s="3" t="str">
        <f>IF(E1440, C1440 &amp; "|" &amp; H1440, "")</f>
        <v>principal-process-steward|RoleAssignments</v>
      </c>
      <c r="N1440" s="2" t="s">
        <v>9938</v>
      </c>
    </row>
    <row r="1441">
      <c r="A1441" s="2" t="s">
        <v>11377</v>
      </c>
      <c r="B1441" s="3" t="str">
        <f>C1441 &amp; " -&gt; " &amp; D1441</f>
        <v>principal-process-steward -&gt; RoleAssignments.IsUnauthorizedNonHumanAssignment</v>
      </c>
      <c r="C1441" s="2" t="s">
        <v>9706</v>
      </c>
      <c r="D1441" s="2" t="s">
        <v>2549</v>
      </c>
      <c r="E1441" s="2" t="b">
        <v>1</v>
      </c>
      <c r="F1441" s="2" t="b">
        <v>0</v>
      </c>
      <c r="G1441" s="2" t="s">
        <v>9937</v>
      </c>
      <c r="H1441" s="3" t="str">
        <f>_xlfn.IFNA(INDEX(RulebookFields!C2:C999, MATCH(D1441,RulebookFields!A2:A999, 0)), "")</f>
        <v>RoleAssignments</v>
      </c>
      <c r="I1441" s="3" t="str">
        <f>_xlfn.IFNA(INDEX(RulebookFields!D2:D999, MATCH(D1441,RulebookFields!A2:A999, 0)), "")</f>
        <v>IsUnauthorizedNonHumanAssignment</v>
      </c>
      <c r="J1441" s="3" t="b">
        <f>_xlfn.IFNA(INDEX(RulebookFields!I2:I999, MATCH(D1441,RulebookFields!A2:A999, 0)), "")</f>
        <v>1</v>
      </c>
      <c r="K1441" s="3" t="b">
        <f>AND(F1441, J1441)</f>
        <v>0</v>
      </c>
      <c r="L1441" s="3" t="b">
        <f>AND(G1441 &lt;&gt; "plain", G1441 &lt;&gt; "")</f>
        <v>0</v>
      </c>
      <c r="M1441" s="3" t="str">
        <f>IF(E1441, C1441 &amp; "|" &amp; H1441, "")</f>
        <v>principal-process-steward|RoleAssignments</v>
      </c>
      <c r="N1441" s="2" t="s">
        <v>9938</v>
      </c>
    </row>
    <row r="1442">
      <c r="A1442" s="2" t="s">
        <v>11378</v>
      </c>
      <c r="B1442" s="3" t="str">
        <f>C1442 &amp; " -&gt; " &amp; D1442</f>
        <v>principal-process-steward -&gt; RoleAssignments.WasAuthorizedByChangeRequest</v>
      </c>
      <c r="C1442" s="2" t="s">
        <v>9706</v>
      </c>
      <c r="D1442" s="2" t="s">
        <v>2551</v>
      </c>
      <c r="E1442" s="2" t="b">
        <v>1</v>
      </c>
      <c r="F1442" s="2" t="b">
        <v>0</v>
      </c>
      <c r="G1442" s="2" t="s">
        <v>9937</v>
      </c>
      <c r="H1442" s="3" t="str">
        <f>_xlfn.IFNA(INDEX(RulebookFields!C2:C999, MATCH(D1442,RulebookFields!A2:A999, 0)), "")</f>
        <v>RoleAssignments</v>
      </c>
      <c r="I1442" s="3" t="str">
        <f>_xlfn.IFNA(INDEX(RulebookFields!D2:D999, MATCH(D1442,RulebookFields!A2:A999, 0)), "")</f>
        <v>WasAuthorizedByChangeRequest</v>
      </c>
      <c r="J1442" s="3" t="b">
        <f>_xlfn.IFNA(INDEX(RulebookFields!I2:I999, MATCH(D1442,RulebookFields!A2:A999, 0)), "")</f>
        <v>1</v>
      </c>
      <c r="K1442" s="3" t="b">
        <f>AND(F1442, J1442)</f>
        <v>0</v>
      </c>
      <c r="L1442" s="3" t="b">
        <f>AND(G1442 &lt;&gt; "plain", G1442 &lt;&gt; "")</f>
        <v>0</v>
      </c>
      <c r="M1442" s="3" t="str">
        <f>IF(E1442, C1442 &amp; "|" &amp; H1442, "")</f>
        <v>principal-process-steward|RoleAssignments</v>
      </c>
      <c r="N1442" s="2" t="s">
        <v>9938</v>
      </c>
    </row>
    <row r="1443">
      <c r="A1443" s="2" t="s">
        <v>11379</v>
      </c>
      <c r="B1443" s="3" t="str">
        <f>C1443 &amp; " -&gt; " &amp; D1443</f>
        <v>principal-process-steward -&gt; RoleAssignments.DecisionCount</v>
      </c>
      <c r="C1443" s="2" t="s">
        <v>9706</v>
      </c>
      <c r="D1443" s="2" t="s">
        <v>2553</v>
      </c>
      <c r="E1443" s="2" t="b">
        <v>1</v>
      </c>
      <c r="F1443" s="2" t="b">
        <v>0</v>
      </c>
      <c r="G1443" s="2" t="s">
        <v>9937</v>
      </c>
      <c r="H1443" s="3" t="str">
        <f>_xlfn.IFNA(INDEX(RulebookFields!C2:C999, MATCH(D1443,RulebookFields!A2:A999, 0)), "")</f>
        <v>RoleAssignments</v>
      </c>
      <c r="I1443" s="3" t="str">
        <f>_xlfn.IFNA(INDEX(RulebookFields!D2:D999, MATCH(D1443,RulebookFields!A2:A999, 0)), "")</f>
        <v>DecisionCount</v>
      </c>
      <c r="J1443" s="3" t="b">
        <f>_xlfn.IFNA(INDEX(RulebookFields!I2:I999, MATCH(D1443,RulebookFields!A2:A999, 0)), "")</f>
        <v>1</v>
      </c>
      <c r="K1443" s="3" t="b">
        <f>AND(F1443, J1443)</f>
        <v>0</v>
      </c>
      <c r="L1443" s="3" t="b">
        <f>AND(G1443 &lt;&gt; "plain", G1443 &lt;&gt; "")</f>
        <v>0</v>
      </c>
      <c r="M1443" s="3" t="str">
        <f>IF(E1443, C1443 &amp; "|" &amp; H1443, "")</f>
        <v>principal-process-steward|RoleAssignments</v>
      </c>
      <c r="N1443" s="2" t="s">
        <v>9938</v>
      </c>
    </row>
    <row r="1444">
      <c r="A1444" s="2" t="s">
        <v>11380</v>
      </c>
      <c r="B1444" s="3" t="str">
        <f>C1444 &amp; " -&gt; " &amp; D1444</f>
        <v>principal-process-steward -&gt; RoleAssignments.OverriddenDecisionCount</v>
      </c>
      <c r="C1444" s="2" t="s">
        <v>9706</v>
      </c>
      <c r="D1444" s="2" t="s">
        <v>2555</v>
      </c>
      <c r="E1444" s="2" t="b">
        <v>1</v>
      </c>
      <c r="F1444" s="2" t="b">
        <v>0</v>
      </c>
      <c r="G1444" s="2" t="s">
        <v>9937</v>
      </c>
      <c r="H1444" s="3" t="str">
        <f>_xlfn.IFNA(INDEX(RulebookFields!C2:C999, MATCH(D1444,RulebookFields!A2:A999, 0)), "")</f>
        <v>RoleAssignments</v>
      </c>
      <c r="I1444" s="3" t="str">
        <f>_xlfn.IFNA(INDEX(RulebookFields!D2:D999, MATCH(D1444,RulebookFields!A2:A999, 0)), "")</f>
        <v>OverriddenDecisionCount</v>
      </c>
      <c r="J1444" s="3" t="b">
        <f>_xlfn.IFNA(INDEX(RulebookFields!I2:I999, MATCH(D1444,RulebookFields!A2:A999, 0)), "")</f>
        <v>1</v>
      </c>
      <c r="K1444" s="3" t="b">
        <f>AND(F1444, J1444)</f>
        <v>0</v>
      </c>
      <c r="L1444" s="3" t="b">
        <f>AND(G1444 &lt;&gt; "plain", G1444 &lt;&gt; "")</f>
        <v>0</v>
      </c>
      <c r="M1444" s="3" t="str">
        <f>IF(E1444, C1444 &amp; "|" &amp; H1444, "")</f>
        <v>principal-process-steward|RoleAssignments</v>
      </c>
      <c r="N1444" s="2" t="s">
        <v>9938</v>
      </c>
    </row>
    <row r="1445">
      <c r="A1445" s="2" t="s">
        <v>11381</v>
      </c>
      <c r="B1445" s="3" t="str">
        <f>C1445 &amp; " -&gt; " &amp; D1445</f>
        <v>principal-process-steward -&gt; RoleAssignments.OverrideRatePercent</v>
      </c>
      <c r="C1445" s="2" t="s">
        <v>9706</v>
      </c>
      <c r="D1445" s="2" t="s">
        <v>2557</v>
      </c>
      <c r="E1445" s="2" t="b">
        <v>1</v>
      </c>
      <c r="F1445" s="2" t="b">
        <v>0</v>
      </c>
      <c r="G1445" s="2" t="s">
        <v>9937</v>
      </c>
      <c r="H1445" s="3" t="str">
        <f>_xlfn.IFNA(INDEX(RulebookFields!C2:C999, MATCH(D1445,RulebookFields!A2:A999, 0)), "")</f>
        <v>RoleAssignments</v>
      </c>
      <c r="I1445" s="3" t="str">
        <f>_xlfn.IFNA(INDEX(RulebookFields!D2:D999, MATCH(D1445,RulebookFields!A2:A999, 0)), "")</f>
        <v>OverrideRatePercent</v>
      </c>
      <c r="J1445" s="3" t="b">
        <f>_xlfn.IFNA(INDEX(RulebookFields!I2:I999, MATCH(D1445,RulebookFields!A2:A999, 0)), "")</f>
        <v>1</v>
      </c>
      <c r="K1445" s="3" t="b">
        <f>AND(F1445, J1445)</f>
        <v>0</v>
      </c>
      <c r="L1445" s="3" t="b">
        <f>AND(G1445 &lt;&gt; "plain", G1445 &lt;&gt; "")</f>
        <v>0</v>
      </c>
      <c r="M1445" s="3" t="str">
        <f>IF(E1445, C1445 &amp; "|" &amp; H1445, "")</f>
        <v>principal-process-steward|RoleAssignments</v>
      </c>
      <c r="N1445" s="2" t="s">
        <v>9938</v>
      </c>
    </row>
    <row r="1446">
      <c r="A1446" s="2" t="s">
        <v>11382</v>
      </c>
      <c r="B1446" s="3" t="str">
        <f>C1446 &amp; " -&gt; " &amp; D1446</f>
        <v>principal-process-steward -&gt; RoleAssignments.PredecessorOverrideRatePercent</v>
      </c>
      <c r="C1446" s="2" t="s">
        <v>9706</v>
      </c>
      <c r="D1446" s="2" t="s">
        <v>2558</v>
      </c>
      <c r="E1446" s="2" t="b">
        <v>1</v>
      </c>
      <c r="F1446" s="2" t="b">
        <v>0</v>
      </c>
      <c r="G1446" s="2" t="s">
        <v>9937</v>
      </c>
      <c r="H1446" s="3" t="str">
        <f>_xlfn.IFNA(INDEX(RulebookFields!C2:C999, MATCH(D1446,RulebookFields!A2:A999, 0)), "")</f>
        <v>RoleAssignments</v>
      </c>
      <c r="I1446" s="3" t="str">
        <f>_xlfn.IFNA(INDEX(RulebookFields!D2:D999, MATCH(D1446,RulebookFields!A2:A999, 0)), "")</f>
        <v>PredecessorOverrideRatePercent</v>
      </c>
      <c r="J1446" s="3" t="b">
        <f>_xlfn.IFNA(INDEX(RulebookFields!I2:I999, MATCH(D1446,RulebookFields!A2:A999, 0)), "")</f>
        <v>1</v>
      </c>
      <c r="K1446" s="3" t="b">
        <f>AND(F1446, J1446)</f>
        <v>0</v>
      </c>
      <c r="L1446" s="3" t="b">
        <f>AND(G1446 &lt;&gt; "plain", G1446 &lt;&gt; "")</f>
        <v>0</v>
      </c>
      <c r="M1446" s="3" t="str">
        <f>IF(E1446, C1446 &amp; "|" &amp; H1446, "")</f>
        <v>principal-process-steward|RoleAssignments</v>
      </c>
      <c r="N1446" s="2" t="s">
        <v>9938</v>
      </c>
    </row>
    <row r="1447">
      <c r="A1447" s="2" t="s">
        <v>11383</v>
      </c>
      <c r="B1447" s="3" t="str">
        <f>C1447 &amp; " -&gt; " &amp; D1447</f>
        <v>principal-process-steward -&gt; RoleAssignments.QualityRegressedVsPredecessor</v>
      </c>
      <c r="C1447" s="2" t="s">
        <v>9706</v>
      </c>
      <c r="D1447" s="2" t="s">
        <v>2560</v>
      </c>
      <c r="E1447" s="2" t="b">
        <v>1</v>
      </c>
      <c r="F1447" s="2" t="b">
        <v>0</v>
      </c>
      <c r="G1447" s="2" t="s">
        <v>9937</v>
      </c>
      <c r="H1447" s="3" t="str">
        <f>_xlfn.IFNA(INDEX(RulebookFields!C2:C999, MATCH(D1447,RulebookFields!A2:A999, 0)), "")</f>
        <v>RoleAssignments</v>
      </c>
      <c r="I1447" s="3" t="str">
        <f>_xlfn.IFNA(INDEX(RulebookFields!D2:D999, MATCH(D1447,RulebookFields!A2:A999, 0)), "")</f>
        <v>QualityRegressedVsPredecessor</v>
      </c>
      <c r="J1447" s="3" t="b">
        <f>_xlfn.IFNA(INDEX(RulebookFields!I2:I999, MATCH(D1447,RulebookFields!A2:A999, 0)), "")</f>
        <v>1</v>
      </c>
      <c r="K1447" s="3" t="b">
        <f>AND(F1447, J1447)</f>
        <v>0</v>
      </c>
      <c r="L1447" s="3" t="b">
        <f>AND(G1447 &lt;&gt; "plain", G1447 &lt;&gt; "")</f>
        <v>0</v>
      </c>
      <c r="M1447" s="3" t="str">
        <f>IF(E1447, C1447 &amp; "|" &amp; H1447, "")</f>
        <v>principal-process-steward|RoleAssignments</v>
      </c>
      <c r="N1447" s="2" t="s">
        <v>9938</v>
      </c>
    </row>
    <row r="1448">
      <c r="A1448" s="2" t="s">
        <v>11384</v>
      </c>
      <c r="B1448" s="3" t="str">
        <f>C1448 &amp; " -&gt; " &amp; D1448</f>
        <v>principal-process-steward -&gt; RoleAssignments.DepartedRoleKey</v>
      </c>
      <c r="C1448" s="2" t="s">
        <v>9706</v>
      </c>
      <c r="D1448" s="2" t="s">
        <v>2562</v>
      </c>
      <c r="E1448" s="2" t="b">
        <v>1</v>
      </c>
      <c r="F1448" s="2" t="b">
        <v>0</v>
      </c>
      <c r="G1448" s="2" t="s">
        <v>9937</v>
      </c>
      <c r="H1448" s="3" t="str">
        <f>_xlfn.IFNA(INDEX(RulebookFields!C2:C999, MATCH(D1448,RulebookFields!A2:A999, 0)), "")</f>
        <v>RoleAssignments</v>
      </c>
      <c r="I1448" s="3" t="str">
        <f>_xlfn.IFNA(INDEX(RulebookFields!D2:D999, MATCH(D1448,RulebookFields!A2:A999, 0)), "")</f>
        <v>DepartedRoleKey</v>
      </c>
      <c r="J1448" s="3" t="b">
        <f>_xlfn.IFNA(INDEX(RulebookFields!I2:I999, MATCH(D1448,RulebookFields!A2:A999, 0)), "")</f>
        <v>1</v>
      </c>
      <c r="K1448" s="3" t="b">
        <f>AND(F1448, J1448)</f>
        <v>0</v>
      </c>
      <c r="L1448" s="3" t="b">
        <f>AND(G1448 &lt;&gt; "plain", G1448 &lt;&gt; "")</f>
        <v>0</v>
      </c>
      <c r="M1448" s="3" t="str">
        <f>IF(E1448, C1448 &amp; "|" &amp; H1448, "")</f>
        <v>principal-process-steward|RoleAssignments</v>
      </c>
      <c r="N1448" s="2" t="s">
        <v>9938</v>
      </c>
    </row>
    <row r="1449">
      <c r="A1449" s="2" t="s">
        <v>11385</v>
      </c>
      <c r="B1449" s="3" t="str">
        <f>C1449 &amp; " -&gt; " &amp; D1449</f>
        <v>principal-process-steward -&gt; RoleAssignments.MinimumDecisionsForComparison</v>
      </c>
      <c r="C1449" s="2" t="s">
        <v>9706</v>
      </c>
      <c r="D1449" s="2" t="s">
        <v>2564</v>
      </c>
      <c r="E1449" s="2" t="b">
        <v>1</v>
      </c>
      <c r="F1449" s="2" t="b">
        <v>0</v>
      </c>
      <c r="G1449" s="2" t="s">
        <v>9937</v>
      </c>
      <c r="H1449" s="3" t="str">
        <f>_xlfn.IFNA(INDEX(RulebookFields!C2:C999, MATCH(D1449,RulebookFields!A2:A999, 0)), "")</f>
        <v>RoleAssignments</v>
      </c>
      <c r="I1449" s="3" t="str">
        <f>_xlfn.IFNA(INDEX(RulebookFields!D2:D999, MATCH(D1449,RulebookFields!A2:A999, 0)), "")</f>
        <v>MinimumDecisionsForComparison</v>
      </c>
      <c r="J1449" s="3" t="b">
        <f>_xlfn.IFNA(INDEX(RulebookFields!I2:I999, MATCH(D1449,RulebookFields!A2:A999, 0)), "")</f>
        <v>0</v>
      </c>
      <c r="K1449" s="3" t="b">
        <f>AND(F1449, J1449)</f>
        <v>0</v>
      </c>
      <c r="L1449" s="3" t="b">
        <f>AND(G1449 &lt;&gt; "plain", G1449 &lt;&gt; "")</f>
        <v>0</v>
      </c>
      <c r="M1449" s="3" t="str">
        <f>IF(E1449, C1449 &amp; "|" &amp; H1449, "")</f>
        <v>principal-process-steward|RoleAssignments</v>
      </c>
      <c r="N1449" s="2" t="s">
        <v>9938</v>
      </c>
    </row>
    <row r="1450">
      <c r="A1450" s="2" t="s">
        <v>11386</v>
      </c>
      <c r="B1450" s="3" t="str">
        <f>C1450 &amp; " -&gt; " &amp; D1450</f>
        <v>principal-process-steward -&gt; RoleAssignments.PredecessorDecisionCount</v>
      </c>
      <c r="C1450" s="2" t="s">
        <v>9706</v>
      </c>
      <c r="D1450" s="2" t="s">
        <v>2565</v>
      </c>
      <c r="E1450" s="2" t="b">
        <v>1</v>
      </c>
      <c r="F1450" s="2" t="b">
        <v>0</v>
      </c>
      <c r="G1450" s="2" t="s">
        <v>9937</v>
      </c>
      <c r="H1450" s="3" t="str">
        <f>_xlfn.IFNA(INDEX(RulebookFields!C2:C999, MATCH(D1450,RulebookFields!A2:A999, 0)), "")</f>
        <v>RoleAssignments</v>
      </c>
      <c r="I1450" s="3" t="str">
        <f>_xlfn.IFNA(INDEX(RulebookFields!D2:D999, MATCH(D1450,RulebookFields!A2:A999, 0)), "")</f>
        <v>PredecessorDecisionCount</v>
      </c>
      <c r="J1450" s="3" t="b">
        <f>_xlfn.IFNA(INDEX(RulebookFields!I2:I999, MATCH(D1450,RulebookFields!A2:A999, 0)), "")</f>
        <v>1</v>
      </c>
      <c r="K1450" s="3" t="b">
        <f>AND(F1450, J1450)</f>
        <v>0</v>
      </c>
      <c r="L1450" s="3" t="b">
        <f>AND(G1450 &lt;&gt; "plain", G1450 &lt;&gt; "")</f>
        <v>0</v>
      </c>
      <c r="M1450" s="3" t="str">
        <f>IF(E1450, C1450 &amp; "|" &amp; H1450, "")</f>
        <v>principal-process-steward|RoleAssignments</v>
      </c>
      <c r="N1450" s="2" t="s">
        <v>9938</v>
      </c>
    </row>
    <row r="1451">
      <c r="A1451" s="2" t="s">
        <v>11387</v>
      </c>
      <c r="B1451" s="3" t="str">
        <f>C1451 &amp; " -&gt; " &amp; D1451</f>
        <v>principal-process-steward -&gt; RoleAssignments.HasSufficientSample</v>
      </c>
      <c r="C1451" s="2" t="s">
        <v>9706</v>
      </c>
      <c r="D1451" s="2" t="s">
        <v>2567</v>
      </c>
      <c r="E1451" s="2" t="b">
        <v>1</v>
      </c>
      <c r="F1451" s="2" t="b">
        <v>0</v>
      </c>
      <c r="G1451" s="2" t="s">
        <v>9937</v>
      </c>
      <c r="H1451" s="3" t="str">
        <f>_xlfn.IFNA(INDEX(RulebookFields!C2:C999, MATCH(D1451,RulebookFields!A2:A999, 0)), "")</f>
        <v>RoleAssignments</v>
      </c>
      <c r="I1451" s="3" t="str">
        <f>_xlfn.IFNA(INDEX(RulebookFields!D2:D999, MATCH(D1451,RulebookFields!A2:A999, 0)), "")</f>
        <v>HasSufficientSample</v>
      </c>
      <c r="J1451" s="3" t="b">
        <f>_xlfn.IFNA(INDEX(RulebookFields!I2:I999, MATCH(D1451,RulebookFields!A2:A999, 0)), "")</f>
        <v>1</v>
      </c>
      <c r="K1451" s="3" t="b">
        <f>AND(F1451, J1451)</f>
        <v>0</v>
      </c>
      <c r="L1451" s="3" t="b">
        <f>AND(G1451 &lt;&gt; "plain", G1451 &lt;&gt; "")</f>
        <v>0</v>
      </c>
      <c r="M1451" s="3" t="str">
        <f>IF(E1451, C1451 &amp; "|" &amp; H1451, "")</f>
        <v>principal-process-steward|RoleAssignments</v>
      </c>
      <c r="N1451" s="2" t="s">
        <v>9938</v>
      </c>
    </row>
    <row r="1452">
      <c r="A1452" s="2" t="s">
        <v>11388</v>
      </c>
      <c r="B1452" s="3" t="str">
        <f>C1452 &amp; " -&gt; " &amp; D1452</f>
        <v>principal-process-steward -&gt; RoleAssignments.PredecessorHasSufficientSample</v>
      </c>
      <c r="C1452" s="2" t="s">
        <v>9706</v>
      </c>
      <c r="D1452" s="2" t="s">
        <v>2569</v>
      </c>
      <c r="E1452" s="2" t="b">
        <v>1</v>
      </c>
      <c r="F1452" s="2" t="b">
        <v>0</v>
      </c>
      <c r="G1452" s="2" t="s">
        <v>9937</v>
      </c>
      <c r="H1452" s="3" t="str">
        <f>_xlfn.IFNA(INDEX(RulebookFields!C2:C999, MATCH(D1452,RulebookFields!A2:A999, 0)), "")</f>
        <v>RoleAssignments</v>
      </c>
      <c r="I1452" s="3" t="str">
        <f>_xlfn.IFNA(INDEX(RulebookFields!D2:D999, MATCH(D1452,RulebookFields!A2:A999, 0)), "")</f>
        <v>PredecessorHasSufficientSample</v>
      </c>
      <c r="J1452" s="3" t="b">
        <f>_xlfn.IFNA(INDEX(RulebookFields!I2:I999, MATCH(D1452,RulebookFields!A2:A999, 0)), "")</f>
        <v>1</v>
      </c>
      <c r="K1452" s="3" t="b">
        <f>AND(F1452, J1452)</f>
        <v>0</v>
      </c>
      <c r="L1452" s="3" t="b">
        <f>AND(G1452 &lt;&gt; "plain", G1452 &lt;&gt; "")</f>
        <v>0</v>
      </c>
      <c r="M1452" s="3" t="str">
        <f>IF(E1452, C1452 &amp; "|" &amp; H1452, "")</f>
        <v>principal-process-steward|RoleAssignments</v>
      </c>
      <c r="N1452" s="2" t="s">
        <v>9938</v>
      </c>
    </row>
    <row r="1453">
      <c r="A1453" s="2" t="s">
        <v>11389</v>
      </c>
      <c r="B1453" s="3" t="str">
        <f>C1453 &amp; " -&gt; " &amp; D1453</f>
        <v>principal-process-steward -&gt; RoleAssignments.ComparisonIsEvidentiallySound</v>
      </c>
      <c r="C1453" s="2" t="s">
        <v>9706</v>
      </c>
      <c r="D1453" s="2" t="s">
        <v>2571</v>
      </c>
      <c r="E1453" s="2" t="b">
        <v>1</v>
      </c>
      <c r="F1453" s="2" t="b">
        <v>0</v>
      </c>
      <c r="G1453" s="2" t="s">
        <v>9937</v>
      </c>
      <c r="H1453" s="3" t="str">
        <f>_xlfn.IFNA(INDEX(RulebookFields!C2:C999, MATCH(D1453,RulebookFields!A2:A999, 0)), "")</f>
        <v>RoleAssignments</v>
      </c>
      <c r="I1453" s="3" t="str">
        <f>_xlfn.IFNA(INDEX(RulebookFields!D2:D999, MATCH(D1453,RulebookFields!A2:A999, 0)), "")</f>
        <v>ComparisonIsEvidentiallySound</v>
      </c>
      <c r="J1453" s="3" t="b">
        <f>_xlfn.IFNA(INDEX(RulebookFields!I2:I999, MATCH(D1453,RulebookFields!A2:A999, 0)), "")</f>
        <v>1</v>
      </c>
      <c r="K1453" s="3" t="b">
        <f>AND(F1453, J1453)</f>
        <v>0</v>
      </c>
      <c r="L1453" s="3" t="b">
        <f>AND(G1453 &lt;&gt; "plain", G1453 &lt;&gt; "")</f>
        <v>0</v>
      </c>
      <c r="M1453" s="3" t="str">
        <f>IF(E1453, C1453 &amp; "|" &amp; H1453, "")</f>
        <v>principal-process-steward|RoleAssignments</v>
      </c>
      <c r="N1453" s="2" t="s">
        <v>9938</v>
      </c>
    </row>
    <row r="1454">
      <c r="A1454" s="2" t="s">
        <v>11390</v>
      </c>
      <c r="B1454" s="3" t="str">
        <f>C1454 &amp; " -&gt; " &amp; D1454</f>
        <v>principal-process-steward -&gt; RoleAssignments.SingleOverrideSwingPercent</v>
      </c>
      <c r="C1454" s="2" t="s">
        <v>9706</v>
      </c>
      <c r="D1454" s="2" t="s">
        <v>2573</v>
      </c>
      <c r="E1454" s="2" t="b">
        <v>1</v>
      </c>
      <c r="F1454" s="2" t="b">
        <v>0</v>
      </c>
      <c r="G1454" s="2" t="s">
        <v>9937</v>
      </c>
      <c r="H1454" s="3" t="str">
        <f>_xlfn.IFNA(INDEX(RulebookFields!C2:C999, MATCH(D1454,RulebookFields!A2:A999, 0)), "")</f>
        <v>RoleAssignments</v>
      </c>
      <c r="I1454" s="3" t="str">
        <f>_xlfn.IFNA(INDEX(RulebookFields!D2:D999, MATCH(D1454,RulebookFields!A2:A999, 0)), "")</f>
        <v>SingleOverrideSwingPercent</v>
      </c>
      <c r="J1454" s="3" t="b">
        <f>_xlfn.IFNA(INDEX(RulebookFields!I2:I999, MATCH(D1454,RulebookFields!A2:A999, 0)), "")</f>
        <v>1</v>
      </c>
      <c r="K1454" s="3" t="b">
        <f>AND(F1454, J1454)</f>
        <v>0</v>
      </c>
      <c r="L1454" s="3" t="b">
        <f>AND(G1454 &lt;&gt; "plain", G1454 &lt;&gt; "")</f>
        <v>0</v>
      </c>
      <c r="M1454" s="3" t="str">
        <f>IF(E1454, C1454 &amp; "|" &amp; H1454, "")</f>
        <v>principal-process-steward|RoleAssignments</v>
      </c>
      <c r="N1454" s="2" t="s">
        <v>9938</v>
      </c>
    </row>
    <row r="1455">
      <c r="A1455" s="2" t="s">
        <v>11391</v>
      </c>
      <c r="B1455" s="3" t="str">
        <f>C1455 &amp; " -&gt; " &amp; D1455</f>
        <v>principal-process-steward -&gt; RoleAssignments.QualityVerdictIsUnsupported</v>
      </c>
      <c r="C1455" s="2" t="s">
        <v>9706</v>
      </c>
      <c r="D1455" s="2" t="s">
        <v>2575</v>
      </c>
      <c r="E1455" s="2" t="b">
        <v>1</v>
      </c>
      <c r="F1455" s="2" t="b">
        <v>0</v>
      </c>
      <c r="G1455" s="2" t="s">
        <v>9937</v>
      </c>
      <c r="H1455" s="3" t="str">
        <f>_xlfn.IFNA(INDEX(RulebookFields!C2:C999, MATCH(D1455,RulebookFields!A2:A999, 0)), "")</f>
        <v>RoleAssignments</v>
      </c>
      <c r="I1455" s="3" t="str">
        <f>_xlfn.IFNA(INDEX(RulebookFields!D2:D999, MATCH(D1455,RulebookFields!A2:A999, 0)), "")</f>
        <v>QualityVerdictIsUnsupported</v>
      </c>
      <c r="J1455" s="3" t="b">
        <f>_xlfn.IFNA(INDEX(RulebookFields!I2:I999, MATCH(D1455,RulebookFields!A2:A999, 0)), "")</f>
        <v>1</v>
      </c>
      <c r="K1455" s="3" t="b">
        <f>AND(F1455, J1455)</f>
        <v>0</v>
      </c>
      <c r="L1455" s="3" t="b">
        <f>AND(G1455 &lt;&gt; "plain", G1455 &lt;&gt; "")</f>
        <v>0</v>
      </c>
      <c r="M1455" s="3" t="str">
        <f>IF(E1455, C1455 &amp; "|" &amp; H1455, "")</f>
        <v>principal-process-steward|RoleAssignments</v>
      </c>
      <c r="N1455" s="2" t="s">
        <v>9938</v>
      </c>
    </row>
    <row r="1456">
      <c r="A1456" s="2" t="s">
        <v>11392</v>
      </c>
      <c r="B1456" s="3" t="str">
        <f>C1456 &amp; " -&gt; " &amp; D1456</f>
        <v>principal-process-steward -&gt; RoleAssignments.IsUnmeasuredAutomationHandover</v>
      </c>
      <c r="C1456" s="2" t="s">
        <v>9706</v>
      </c>
      <c r="D1456" s="2" t="s">
        <v>2577</v>
      </c>
      <c r="E1456" s="2" t="b">
        <v>1</v>
      </c>
      <c r="F1456" s="2" t="b">
        <v>0</v>
      </c>
      <c r="G1456" s="2" t="s">
        <v>9937</v>
      </c>
      <c r="H1456" s="3" t="str">
        <f>_xlfn.IFNA(INDEX(RulebookFields!C2:C999, MATCH(D1456,RulebookFields!A2:A999, 0)), "")</f>
        <v>RoleAssignments</v>
      </c>
      <c r="I1456" s="3" t="str">
        <f>_xlfn.IFNA(INDEX(RulebookFields!D2:D999, MATCH(D1456,RulebookFields!A2:A999, 0)), "")</f>
        <v>IsUnmeasuredAutomationHandover</v>
      </c>
      <c r="J1456" s="3" t="b">
        <f>_xlfn.IFNA(INDEX(RulebookFields!I2:I999, MATCH(D1456,RulebookFields!A2:A999, 0)), "")</f>
        <v>1</v>
      </c>
      <c r="K1456" s="3" t="b">
        <f>AND(F1456, J1456)</f>
        <v>0</v>
      </c>
      <c r="L1456" s="3" t="b">
        <f>AND(G1456 &lt;&gt; "plain", G1456 &lt;&gt; "")</f>
        <v>0</v>
      </c>
      <c r="M1456" s="3" t="str">
        <f>IF(E1456, C1456 &amp; "|" &amp; H1456, "")</f>
        <v>principal-process-steward|RoleAssignments</v>
      </c>
      <c r="N1456" s="2" t="s">
        <v>9938</v>
      </c>
    </row>
    <row r="1457">
      <c r="A1457" s="2" t="s">
        <v>11393</v>
      </c>
      <c r="B1457" s="3" t="str">
        <f>C1457 &amp; " -&gt; " &amp; D1457</f>
        <v>principal-process-steward -&gt; RoleAssignments.ErrorCorrectionCount</v>
      </c>
      <c r="C1457" s="2" t="s">
        <v>9706</v>
      </c>
      <c r="D1457" s="2" t="s">
        <v>2579</v>
      </c>
      <c r="E1457" s="2" t="b">
        <v>1</v>
      </c>
      <c r="F1457" s="2" t="b">
        <v>0</v>
      </c>
      <c r="G1457" s="2" t="s">
        <v>9937</v>
      </c>
      <c r="H1457" s="3" t="str">
        <f>_xlfn.IFNA(INDEX(RulebookFields!C2:C999, MATCH(D1457,RulebookFields!A2:A999, 0)), "")</f>
        <v>RoleAssignments</v>
      </c>
      <c r="I1457" s="3" t="str">
        <f>_xlfn.IFNA(INDEX(RulebookFields!D2:D999, MATCH(D1457,RulebookFields!A2:A999, 0)), "")</f>
        <v>ErrorCorrectionCount</v>
      </c>
      <c r="J1457" s="3" t="b">
        <f>_xlfn.IFNA(INDEX(RulebookFields!I2:I999, MATCH(D1457,RulebookFields!A2:A999, 0)), "")</f>
        <v>1</v>
      </c>
      <c r="K1457" s="3" t="b">
        <f>AND(F1457, J1457)</f>
        <v>0</v>
      </c>
      <c r="L1457" s="3" t="b">
        <f>AND(G1457 &lt;&gt; "plain", G1457 &lt;&gt; "")</f>
        <v>0</v>
      </c>
      <c r="M1457" s="3" t="str">
        <f>IF(E1457, C1457 &amp; "|" &amp; H1457, "")</f>
        <v>principal-process-steward|RoleAssignments</v>
      </c>
      <c r="N1457" s="2" t="s">
        <v>9938</v>
      </c>
    </row>
    <row r="1458">
      <c r="A1458" s="2" t="s">
        <v>11394</v>
      </c>
      <c r="B1458" s="3" t="str">
        <f>C1458 &amp; " -&gt; " &amp; D1458</f>
        <v>principal-process-steward -&gt; RoleAssignments.ErrorRatePercent</v>
      </c>
      <c r="C1458" s="2" t="s">
        <v>9706</v>
      </c>
      <c r="D1458" s="2" t="s">
        <v>2581</v>
      </c>
      <c r="E1458" s="2" t="b">
        <v>1</v>
      </c>
      <c r="F1458" s="2" t="b">
        <v>0</v>
      </c>
      <c r="G1458" s="2" t="s">
        <v>9937</v>
      </c>
      <c r="H1458" s="3" t="str">
        <f>_xlfn.IFNA(INDEX(RulebookFields!C2:C999, MATCH(D1458,RulebookFields!A2:A999, 0)), "")</f>
        <v>RoleAssignments</v>
      </c>
      <c r="I1458" s="3" t="str">
        <f>_xlfn.IFNA(INDEX(RulebookFields!D2:D999, MATCH(D1458,RulebookFields!A2:A999, 0)), "")</f>
        <v>ErrorRatePercent</v>
      </c>
      <c r="J1458" s="3" t="b">
        <f>_xlfn.IFNA(INDEX(RulebookFields!I2:I999, MATCH(D1458,RulebookFields!A2:A999, 0)), "")</f>
        <v>1</v>
      </c>
      <c r="K1458" s="3" t="b">
        <f>AND(F1458, J1458)</f>
        <v>0</v>
      </c>
      <c r="L1458" s="3" t="b">
        <f>AND(G1458 &lt;&gt; "plain", G1458 &lt;&gt; "")</f>
        <v>0</v>
      </c>
      <c r="M1458" s="3" t="str">
        <f>IF(E1458, C1458 &amp; "|" &amp; H1458, "")</f>
        <v>principal-process-steward|RoleAssignments</v>
      </c>
      <c r="N1458" s="2" t="s">
        <v>9938</v>
      </c>
    </row>
    <row r="1459">
      <c r="A1459" s="2" t="s">
        <v>11395</v>
      </c>
      <c r="B1459" s="3" t="str">
        <f>C1459 &amp; " -&gt; " &amp; D1459</f>
        <v>principal-process-steward -&gt; RoleAssignments.AuthorizationDecidedAt</v>
      </c>
      <c r="C1459" s="2" t="s">
        <v>9706</v>
      </c>
      <c r="D1459" s="2" t="s">
        <v>2583</v>
      </c>
      <c r="E1459" s="2" t="b">
        <v>1</v>
      </c>
      <c r="F1459" s="2" t="b">
        <v>0</v>
      </c>
      <c r="G1459" s="2" t="s">
        <v>9937</v>
      </c>
      <c r="H1459" s="3" t="str">
        <f>_xlfn.IFNA(INDEX(RulebookFields!C2:C999, MATCH(D1459,RulebookFields!A2:A999, 0)), "")</f>
        <v>RoleAssignments</v>
      </c>
      <c r="I1459" s="3" t="str">
        <f>_xlfn.IFNA(INDEX(RulebookFields!D2:D999, MATCH(D1459,RulebookFields!A2:A999, 0)), "")</f>
        <v>AuthorizationDecidedAt</v>
      </c>
      <c r="J1459" s="3" t="b">
        <f>_xlfn.IFNA(INDEX(RulebookFields!I2:I999, MATCH(D1459,RulebookFields!A2:A999, 0)), "")</f>
        <v>0</v>
      </c>
      <c r="K1459" s="3" t="b">
        <f>AND(F1459, J1459)</f>
        <v>0</v>
      </c>
      <c r="L1459" s="3" t="b">
        <f>AND(G1459 &lt;&gt; "plain", G1459 &lt;&gt; "")</f>
        <v>0</v>
      </c>
      <c r="M1459" s="3" t="str">
        <f>IF(E1459, C1459 &amp; "|" &amp; H1459, "")</f>
        <v>principal-process-steward|RoleAssignments</v>
      </c>
      <c r="N1459" s="2" t="s">
        <v>9938</v>
      </c>
    </row>
    <row r="1460">
      <c r="A1460" s="2" t="s">
        <v>11396</v>
      </c>
      <c r="B1460" s="3" t="str">
        <f>C1460 &amp; " -&gt; " &amp; D1460</f>
        <v>principal-process-steward -&gt; RoleAssignments.AuthorizationReviewedAt</v>
      </c>
      <c r="C1460" s="2" t="s">
        <v>9706</v>
      </c>
      <c r="D1460" s="2" t="s">
        <v>2584</v>
      </c>
      <c r="E1460" s="2" t="b">
        <v>1</v>
      </c>
      <c r="F1460" s="2" t="b">
        <v>0</v>
      </c>
      <c r="G1460" s="2" t="s">
        <v>9937</v>
      </c>
      <c r="H1460" s="3" t="str">
        <f>_xlfn.IFNA(INDEX(RulebookFields!C2:C999, MATCH(D1460,RulebookFields!A2:A999, 0)), "")</f>
        <v>RoleAssignments</v>
      </c>
      <c r="I1460" s="3" t="str">
        <f>_xlfn.IFNA(INDEX(RulebookFields!D2:D999, MATCH(D1460,RulebookFields!A2:A999, 0)), "")</f>
        <v>AuthorizationReviewedAt</v>
      </c>
      <c r="J1460" s="3" t="b">
        <f>_xlfn.IFNA(INDEX(RulebookFields!I2:I999, MATCH(D1460,RulebookFields!A2:A999, 0)), "")</f>
        <v>0</v>
      </c>
      <c r="K1460" s="3" t="b">
        <f>AND(F1460, J1460)</f>
        <v>0</v>
      </c>
      <c r="L1460" s="3" t="b">
        <f>AND(G1460 &lt;&gt; "plain", G1460 &lt;&gt; "")</f>
        <v>0</v>
      </c>
      <c r="M1460" s="3" t="str">
        <f>IF(E1460, C1460 &amp; "|" &amp; H1460, "")</f>
        <v>principal-process-steward|RoleAssignments</v>
      </c>
      <c r="N1460" s="2" t="s">
        <v>9938</v>
      </c>
    </row>
    <row r="1461">
      <c r="A1461" s="2" t="s">
        <v>11397</v>
      </c>
      <c r="B1461" s="3" t="str">
        <f>C1461 &amp; " -&gt; " &amp; D1461</f>
        <v>principal-process-steward -&gt; RoleAssignments.AuthorizationReviewCadenceDays</v>
      </c>
      <c r="C1461" s="2" t="s">
        <v>9706</v>
      </c>
      <c r="D1461" s="2" t="s">
        <v>2585</v>
      </c>
      <c r="E1461" s="2" t="b">
        <v>1</v>
      </c>
      <c r="F1461" s="2" t="b">
        <v>0</v>
      </c>
      <c r="G1461" s="2" t="s">
        <v>9937</v>
      </c>
      <c r="H1461" s="3" t="str">
        <f>_xlfn.IFNA(INDEX(RulebookFields!C2:C999, MATCH(D1461,RulebookFields!A2:A999, 0)), "")</f>
        <v>RoleAssignments</v>
      </c>
      <c r="I1461" s="3" t="str">
        <f>_xlfn.IFNA(INDEX(RulebookFields!D2:D999, MATCH(D1461,RulebookFields!A2:A999, 0)), "")</f>
        <v>AuthorizationReviewCadenceDays</v>
      </c>
      <c r="J1461" s="3" t="b">
        <f>_xlfn.IFNA(INDEX(RulebookFields!I2:I999, MATCH(D1461,RulebookFields!A2:A999, 0)), "")</f>
        <v>0</v>
      </c>
      <c r="K1461" s="3" t="b">
        <f>AND(F1461, J1461)</f>
        <v>0</v>
      </c>
      <c r="L1461" s="3" t="b">
        <f>AND(G1461 &lt;&gt; "plain", G1461 &lt;&gt; "")</f>
        <v>0</v>
      </c>
      <c r="M1461" s="3" t="str">
        <f>IF(E1461, C1461 &amp; "|" &amp; H1461, "")</f>
        <v>principal-process-steward|RoleAssignments</v>
      </c>
      <c r="N1461" s="2" t="s">
        <v>9938</v>
      </c>
    </row>
    <row r="1462">
      <c r="A1462" s="2" t="s">
        <v>11398</v>
      </c>
      <c r="B1462" s="3" t="str">
        <f>C1462 &amp; " -&gt; " &amp; D1462</f>
        <v>principal-process-steward -&gt; RoleAssignments.HasDatedAuthorization</v>
      </c>
      <c r="C1462" s="2" t="s">
        <v>9706</v>
      </c>
      <c r="D1462" s="2" t="s">
        <v>2586</v>
      </c>
      <c r="E1462" s="2" t="b">
        <v>1</v>
      </c>
      <c r="F1462" s="2" t="b">
        <v>0</v>
      </c>
      <c r="G1462" s="2" t="s">
        <v>9937</v>
      </c>
      <c r="H1462" s="3" t="str">
        <f>_xlfn.IFNA(INDEX(RulebookFields!C2:C999, MATCH(D1462,RulebookFields!A2:A999, 0)), "")</f>
        <v>RoleAssignments</v>
      </c>
      <c r="I1462" s="3" t="str">
        <f>_xlfn.IFNA(INDEX(RulebookFields!D2:D999, MATCH(D1462,RulebookFields!A2:A999, 0)), "")</f>
        <v>HasDatedAuthorization</v>
      </c>
      <c r="J1462" s="3" t="b">
        <f>_xlfn.IFNA(INDEX(RulebookFields!I2:I999, MATCH(D1462,RulebookFields!A2:A999, 0)), "")</f>
        <v>1</v>
      </c>
      <c r="K1462" s="3" t="b">
        <f>AND(F1462, J1462)</f>
        <v>0</v>
      </c>
      <c r="L1462" s="3" t="b">
        <f>AND(G1462 &lt;&gt; "plain", G1462 &lt;&gt; "")</f>
        <v>0</v>
      </c>
      <c r="M1462" s="3" t="str">
        <f>IF(E1462, C1462 &amp; "|" &amp; H1462, "")</f>
        <v>principal-process-steward|RoleAssignments</v>
      </c>
      <c r="N1462" s="2" t="s">
        <v>9938</v>
      </c>
    </row>
    <row r="1463">
      <c r="A1463" s="2" t="s">
        <v>11399</v>
      </c>
      <c r="B1463" s="3" t="str">
        <f>C1463 &amp; " -&gt; " &amp; D1463</f>
        <v>principal-process-steward -&gt; RoleAssignments.DaysSinceAuthorizationReview</v>
      </c>
      <c r="C1463" s="2" t="s">
        <v>9706</v>
      </c>
      <c r="D1463" s="2" t="s">
        <v>2588</v>
      </c>
      <c r="E1463" s="2" t="b">
        <v>1</v>
      </c>
      <c r="F1463" s="2" t="b">
        <v>0</v>
      </c>
      <c r="G1463" s="2" t="s">
        <v>9937</v>
      </c>
      <c r="H1463" s="3" t="str">
        <f>_xlfn.IFNA(INDEX(RulebookFields!C2:C999, MATCH(D1463,RulebookFields!A2:A999, 0)), "")</f>
        <v>RoleAssignments</v>
      </c>
      <c r="I1463" s="3" t="str">
        <f>_xlfn.IFNA(INDEX(RulebookFields!D2:D999, MATCH(D1463,RulebookFields!A2:A999, 0)), "")</f>
        <v>DaysSinceAuthorizationReview</v>
      </c>
      <c r="J1463" s="3" t="b">
        <f>_xlfn.IFNA(INDEX(RulebookFields!I2:I999, MATCH(D1463,RulebookFields!A2:A999, 0)), "")</f>
        <v>1</v>
      </c>
      <c r="K1463" s="3" t="b">
        <f>AND(F1463, J1463)</f>
        <v>0</v>
      </c>
      <c r="L1463" s="3" t="b">
        <f>AND(G1463 &lt;&gt; "plain", G1463 &lt;&gt; "")</f>
        <v>0</v>
      </c>
      <c r="M1463" s="3" t="str">
        <f>IF(E1463, C1463 &amp; "|" &amp; H1463, "")</f>
        <v>principal-process-steward|RoleAssignments</v>
      </c>
      <c r="N1463" s="2" t="s">
        <v>9938</v>
      </c>
    </row>
    <row r="1464">
      <c r="A1464" s="2" t="s">
        <v>11400</v>
      </c>
      <c r="B1464" s="3" t="str">
        <f>C1464 &amp; " -&gt; " &amp; D1464</f>
        <v>principal-process-steward -&gt; RoleAssignments.AuthorizationIsOverdueForReview</v>
      </c>
      <c r="C1464" s="2" t="s">
        <v>9706</v>
      </c>
      <c r="D1464" s="2" t="s">
        <v>2590</v>
      </c>
      <c r="E1464" s="2" t="b">
        <v>1</v>
      </c>
      <c r="F1464" s="2" t="b">
        <v>0</v>
      </c>
      <c r="G1464" s="2" t="s">
        <v>9937</v>
      </c>
      <c r="H1464" s="3" t="str">
        <f>_xlfn.IFNA(INDEX(RulebookFields!C2:C999, MATCH(D1464,RulebookFields!A2:A999, 0)), "")</f>
        <v>RoleAssignments</v>
      </c>
      <c r="I1464" s="3" t="str">
        <f>_xlfn.IFNA(INDEX(RulebookFields!D2:D999, MATCH(D1464,RulebookFields!A2:A999, 0)), "")</f>
        <v>AuthorizationIsOverdueForReview</v>
      </c>
      <c r="J1464" s="3" t="b">
        <f>_xlfn.IFNA(INDEX(RulebookFields!I2:I999, MATCH(D1464,RulebookFields!A2:A999, 0)), "")</f>
        <v>1</v>
      </c>
      <c r="K1464" s="3" t="b">
        <f>AND(F1464, J1464)</f>
        <v>0</v>
      </c>
      <c r="L1464" s="3" t="b">
        <f>AND(G1464 &lt;&gt; "plain", G1464 &lt;&gt; "")</f>
        <v>0</v>
      </c>
      <c r="M1464" s="3" t="str">
        <f>IF(E1464, C1464 &amp; "|" &amp; H1464, "")</f>
        <v>principal-process-steward|RoleAssignments</v>
      </c>
      <c r="N1464" s="2" t="s">
        <v>9938</v>
      </c>
    </row>
    <row r="1465">
      <c r="A1465" s="2" t="s">
        <v>11401</v>
      </c>
      <c r="B1465" s="3" t="str">
        <f>C1465 &amp; " -&gt; " &amp; D1465</f>
        <v>principal-process-steward -&gt; RoleAssignments.IsStandingUnreviewedAutomation</v>
      </c>
      <c r="C1465" s="2" t="s">
        <v>9706</v>
      </c>
      <c r="D1465" s="2" t="s">
        <v>2592</v>
      </c>
      <c r="E1465" s="2" t="b">
        <v>1</v>
      </c>
      <c r="F1465" s="2" t="b">
        <v>0</v>
      </c>
      <c r="G1465" s="2" t="s">
        <v>9937</v>
      </c>
      <c r="H1465" s="3" t="str">
        <f>_xlfn.IFNA(INDEX(RulebookFields!C2:C999, MATCH(D1465,RulebookFields!A2:A999, 0)), "")</f>
        <v>RoleAssignments</v>
      </c>
      <c r="I1465" s="3" t="str">
        <f>_xlfn.IFNA(INDEX(RulebookFields!D2:D999, MATCH(D1465,RulebookFields!A2:A999, 0)), "")</f>
        <v>IsStandingUnreviewedAutomation</v>
      </c>
      <c r="J1465" s="3" t="b">
        <f>_xlfn.IFNA(INDEX(RulebookFields!I2:I999, MATCH(D1465,RulebookFields!A2:A999, 0)), "")</f>
        <v>1</v>
      </c>
      <c r="K1465" s="3" t="b">
        <f>AND(F1465, J1465)</f>
        <v>0</v>
      </c>
      <c r="L1465" s="3" t="b">
        <f>AND(G1465 &lt;&gt; "plain", G1465 &lt;&gt; "")</f>
        <v>0</v>
      </c>
      <c r="M1465" s="3" t="str">
        <f>IF(E1465, C1465 &amp; "|" &amp; H1465, "")</f>
        <v>principal-process-steward|RoleAssignments</v>
      </c>
      <c r="N1465" s="2" t="s">
        <v>9938</v>
      </c>
    </row>
    <row r="1466">
      <c r="A1466" s="2" t="s">
        <v>11402</v>
      </c>
      <c r="B1466" s="3" t="str">
        <f>C1466 &amp; " -&gt; " &amp; D1466</f>
        <v>principal-process-steward -&gt; RoleAssignments.IsUnconditionedAutomationHandover</v>
      </c>
      <c r="C1466" s="2" t="s">
        <v>9706</v>
      </c>
      <c r="D1466" s="2" t="s">
        <v>2594</v>
      </c>
      <c r="E1466" s="2" t="b">
        <v>1</v>
      </c>
      <c r="F1466" s="2" t="b">
        <v>0</v>
      </c>
      <c r="G1466" s="2" t="s">
        <v>9937</v>
      </c>
      <c r="H1466" s="3" t="str">
        <f>_xlfn.IFNA(INDEX(RulebookFields!C2:C999, MATCH(D1466,RulebookFields!A2:A999, 0)), "")</f>
        <v>RoleAssignments</v>
      </c>
      <c r="I1466" s="3" t="str">
        <f>_xlfn.IFNA(INDEX(RulebookFields!D2:D999, MATCH(D1466,RulebookFields!A2:A999, 0)), "")</f>
        <v>IsUnconditionedAutomationHandover</v>
      </c>
      <c r="J1466" s="3" t="b">
        <f>_xlfn.IFNA(INDEX(RulebookFields!I2:I999, MATCH(D1466,RulebookFields!A2:A999, 0)), "")</f>
        <v>1</v>
      </c>
      <c r="K1466" s="3" t="b">
        <f>AND(F1466, J1466)</f>
        <v>0</v>
      </c>
      <c r="L1466" s="3" t="b">
        <f>AND(G1466 &lt;&gt; "plain", G1466 &lt;&gt; "")</f>
        <v>0</v>
      </c>
      <c r="M1466" s="3" t="str">
        <f>IF(E1466, C1466 &amp; "|" &amp; H1466, "")</f>
        <v>principal-process-steward|RoleAssignments</v>
      </c>
      <c r="N1466" s="2" t="s">
        <v>9938</v>
      </c>
    </row>
    <row r="1467">
      <c r="A1467" s="2" t="s">
        <v>11403</v>
      </c>
      <c r="B1467" s="3" t="str">
        <f>C1467 &amp; " -&gt; " &amp; D1467</f>
        <v>principal-process-steward -&gt; RoleAssignments.MaxTolerableErrorRatePercent</v>
      </c>
      <c r="C1467" s="2" t="s">
        <v>9706</v>
      </c>
      <c r="D1467" s="2" t="s">
        <v>2596</v>
      </c>
      <c r="E1467" s="2" t="b">
        <v>1</v>
      </c>
      <c r="F1467" s="2" t="b">
        <v>0</v>
      </c>
      <c r="G1467" s="2" t="s">
        <v>9937</v>
      </c>
      <c r="H1467" s="3" t="str">
        <f>_xlfn.IFNA(INDEX(RulebookFields!C2:C999, MATCH(D1467,RulebookFields!A2:A999, 0)), "")</f>
        <v>RoleAssignments</v>
      </c>
      <c r="I1467" s="3" t="str">
        <f>_xlfn.IFNA(INDEX(RulebookFields!D2:D999, MATCH(D1467,RulebookFields!A2:A999, 0)), "")</f>
        <v>MaxTolerableErrorRatePercent</v>
      </c>
      <c r="J1467" s="3" t="b">
        <f>_xlfn.IFNA(INDEX(RulebookFields!I2:I999, MATCH(D1467,RulebookFields!A2:A999, 0)), "")</f>
        <v>0</v>
      </c>
      <c r="K1467" s="3" t="b">
        <f>AND(F1467, J1467)</f>
        <v>0</v>
      </c>
      <c r="L1467" s="3" t="b">
        <f>AND(G1467 &lt;&gt; "plain", G1467 &lt;&gt; "")</f>
        <v>0</v>
      </c>
      <c r="M1467" s="3" t="str">
        <f>IF(E1467, C1467 &amp; "|" &amp; H1467, "")</f>
        <v>principal-process-steward|RoleAssignments</v>
      </c>
      <c r="N1467" s="2" t="s">
        <v>9938</v>
      </c>
    </row>
    <row r="1468">
      <c r="A1468" s="2" t="s">
        <v>11404</v>
      </c>
      <c r="B1468" s="3" t="str">
        <f>C1468 &amp; " -&gt; " &amp; D1468</f>
        <v>principal-process-steward -&gt; RoleAssignments.ExceedsTolerableErrorRate</v>
      </c>
      <c r="C1468" s="2" t="s">
        <v>9706</v>
      </c>
      <c r="D1468" s="2" t="s">
        <v>2597</v>
      </c>
      <c r="E1468" s="2" t="b">
        <v>1</v>
      </c>
      <c r="F1468" s="2" t="b">
        <v>0</v>
      </c>
      <c r="G1468" s="2" t="s">
        <v>9937</v>
      </c>
      <c r="H1468" s="3" t="str">
        <f>_xlfn.IFNA(INDEX(RulebookFields!C2:C999, MATCH(D1468,RulebookFields!A2:A999, 0)), "")</f>
        <v>RoleAssignments</v>
      </c>
      <c r="I1468" s="3" t="str">
        <f>_xlfn.IFNA(INDEX(RulebookFields!D2:D999, MATCH(D1468,RulebookFields!A2:A999, 0)), "")</f>
        <v>ExceedsTolerableErrorRate</v>
      </c>
      <c r="J1468" s="3" t="b">
        <f>_xlfn.IFNA(INDEX(RulebookFields!I2:I999, MATCH(D1468,RulebookFields!A2:A999, 0)), "")</f>
        <v>1</v>
      </c>
      <c r="K1468" s="3" t="b">
        <f>AND(F1468, J1468)</f>
        <v>0</v>
      </c>
      <c r="L1468" s="3" t="b">
        <f>AND(G1468 &lt;&gt; "plain", G1468 &lt;&gt; "")</f>
        <v>0</v>
      </c>
      <c r="M1468" s="3" t="str">
        <f>IF(E1468, C1468 &amp; "|" &amp; H1468, "")</f>
        <v>principal-process-steward|RoleAssignments</v>
      </c>
      <c r="N1468" s="2" t="s">
        <v>9938</v>
      </c>
    </row>
    <row r="1469">
      <c r="A1469" s="2" t="s">
        <v>11405</v>
      </c>
      <c r="B1469" s="3" t="str">
        <f>C1469 &amp; " -&gt; " &amp; D1469</f>
        <v>principal-process-steward -&gt; RoleAssignments.BoundaryViolationCountForAssignment</v>
      </c>
      <c r="C1469" s="2" t="s">
        <v>9706</v>
      </c>
      <c r="D1469" s="2" t="s">
        <v>2599</v>
      </c>
      <c r="E1469" s="2" t="b">
        <v>1</v>
      </c>
      <c r="F1469" s="2" t="b">
        <v>0</v>
      </c>
      <c r="G1469" s="2" t="s">
        <v>9937</v>
      </c>
      <c r="H1469" s="3" t="str">
        <f>_xlfn.IFNA(INDEX(RulebookFields!C2:C999, MATCH(D1469,RulebookFields!A2:A999, 0)), "")</f>
        <v>RoleAssignments</v>
      </c>
      <c r="I1469" s="3" t="str">
        <f>_xlfn.IFNA(INDEX(RulebookFields!D2:D999, MATCH(D1469,RulebookFields!A2:A999, 0)), "")</f>
        <v>BoundaryViolationCountForAssignment</v>
      </c>
      <c r="J1469" s="3" t="b">
        <f>_xlfn.IFNA(INDEX(RulebookFields!I2:I999, MATCH(D1469,RulebookFields!A2:A999, 0)), "")</f>
        <v>1</v>
      </c>
      <c r="K1469" s="3" t="b">
        <f>AND(F1469, J1469)</f>
        <v>0</v>
      </c>
      <c r="L1469" s="3" t="b">
        <f>AND(G1469 &lt;&gt; "plain", G1469 &lt;&gt; "")</f>
        <v>0</v>
      </c>
      <c r="M1469" s="3" t="str">
        <f>IF(E1469, C1469 &amp; "|" &amp; H1469, "")</f>
        <v>principal-process-steward|RoleAssignments</v>
      </c>
      <c r="N1469" s="2" t="s">
        <v>9938</v>
      </c>
    </row>
    <row r="1470">
      <c r="A1470" s="2" t="s">
        <v>11406</v>
      </c>
      <c r="B1470" s="3" t="str">
        <f>C1470 &amp; " -&gt; " &amp; D1470</f>
        <v>principal-process-steward -&gt; RoleAssignments.HasAnyBoundaryViolation</v>
      </c>
      <c r="C1470" s="2" t="s">
        <v>9706</v>
      </c>
      <c r="D1470" s="2" t="s">
        <v>2601</v>
      </c>
      <c r="E1470" s="2" t="b">
        <v>1</v>
      </c>
      <c r="F1470" s="2" t="b">
        <v>0</v>
      </c>
      <c r="G1470" s="2" t="s">
        <v>9937</v>
      </c>
      <c r="H1470" s="3" t="str">
        <f>_xlfn.IFNA(INDEX(RulebookFields!C2:C999, MATCH(D1470,RulebookFields!A2:A999, 0)), "")</f>
        <v>RoleAssignments</v>
      </c>
      <c r="I1470" s="3" t="str">
        <f>_xlfn.IFNA(INDEX(RulebookFields!D2:D999, MATCH(D1470,RulebookFields!A2:A999, 0)), "")</f>
        <v>HasAnyBoundaryViolation</v>
      </c>
      <c r="J1470" s="3" t="b">
        <f>_xlfn.IFNA(INDEX(RulebookFields!I2:I999, MATCH(D1470,RulebookFields!A2:A999, 0)), "")</f>
        <v>1</v>
      </c>
      <c r="K1470" s="3" t="b">
        <f>AND(F1470, J1470)</f>
        <v>0</v>
      </c>
      <c r="L1470" s="3" t="b">
        <f>AND(G1470 &lt;&gt; "plain", G1470 &lt;&gt; "")</f>
        <v>0</v>
      </c>
      <c r="M1470" s="3" t="str">
        <f>IF(E1470, C1470 &amp; "|" &amp; H1470, "")</f>
        <v>principal-process-steward|RoleAssignments</v>
      </c>
      <c r="N1470" s="2" t="s">
        <v>9938</v>
      </c>
    </row>
    <row r="1471">
      <c r="A1471" s="2" t="s">
        <v>11407</v>
      </c>
      <c r="B1471" s="3" t="str">
        <f>C1471 &amp; " -&gt; " &amp; D1471</f>
        <v>principal-process-steward -&gt; RoleAssignments.HasUngroundedGoverningBoundary</v>
      </c>
      <c r="C1471" s="2" t="s">
        <v>9706</v>
      </c>
      <c r="D1471" s="2" t="s">
        <v>2603</v>
      </c>
      <c r="E1471" s="2" t="b">
        <v>1</v>
      </c>
      <c r="F1471" s="2" t="b">
        <v>0</v>
      </c>
      <c r="G1471" s="2" t="s">
        <v>9937</v>
      </c>
      <c r="H1471" s="3" t="str">
        <f>_xlfn.IFNA(INDEX(RulebookFields!C2:C999, MATCH(D1471,RulebookFields!A2:A999, 0)), "")</f>
        <v>RoleAssignments</v>
      </c>
      <c r="I1471" s="3" t="str">
        <f>_xlfn.IFNA(INDEX(RulebookFields!D2:D999, MATCH(D1471,RulebookFields!A2:A999, 0)), "")</f>
        <v>HasUngroundedGoverningBoundary</v>
      </c>
      <c r="J1471" s="3" t="b">
        <f>_xlfn.IFNA(INDEX(RulebookFields!I2:I999, MATCH(D1471,RulebookFields!A2:A999, 0)), "")</f>
        <v>1</v>
      </c>
      <c r="K1471" s="3" t="b">
        <f>AND(F1471, J1471)</f>
        <v>0</v>
      </c>
      <c r="L1471" s="3" t="b">
        <f>AND(G1471 &lt;&gt; "plain", G1471 &lt;&gt; "")</f>
        <v>0</v>
      </c>
      <c r="M1471" s="3" t="str">
        <f>IF(E1471, C1471 &amp; "|" &amp; H1471, "")</f>
        <v>principal-process-steward|RoleAssignments</v>
      </c>
      <c r="N1471" s="2" t="s">
        <v>9938</v>
      </c>
    </row>
    <row r="1472">
      <c r="A1472" s="2" t="s">
        <v>11408</v>
      </c>
      <c r="B1472" s="3" t="str">
        <f>C1472 &amp; " -&gt; " &amp; D1472</f>
        <v>principal-process-steward -&gt; RoleAssignments.SuspensionConditionMet</v>
      </c>
      <c r="C1472" s="2" t="s">
        <v>9706</v>
      </c>
      <c r="D1472" s="2" t="s">
        <v>2605</v>
      </c>
      <c r="E1472" s="2" t="b">
        <v>1</v>
      </c>
      <c r="F1472" s="2" t="b">
        <v>0</v>
      </c>
      <c r="G1472" s="2" t="s">
        <v>9937</v>
      </c>
      <c r="H1472" s="3" t="str">
        <f>_xlfn.IFNA(INDEX(RulebookFields!C2:C999, MATCH(D1472,RulebookFields!A2:A999, 0)), "")</f>
        <v>RoleAssignments</v>
      </c>
      <c r="I1472" s="3" t="str">
        <f>_xlfn.IFNA(INDEX(RulebookFields!D2:D999, MATCH(D1472,RulebookFields!A2:A999, 0)), "")</f>
        <v>SuspensionConditionMet</v>
      </c>
      <c r="J1472" s="3" t="b">
        <f>_xlfn.IFNA(INDEX(RulebookFields!I2:I999, MATCH(D1472,RulebookFields!A2:A999, 0)), "")</f>
        <v>1</v>
      </c>
      <c r="K1472" s="3" t="b">
        <f>AND(F1472, J1472)</f>
        <v>0</v>
      </c>
      <c r="L1472" s="3" t="b">
        <f>AND(G1472 &lt;&gt; "plain", G1472 &lt;&gt; "")</f>
        <v>0</v>
      </c>
      <c r="M1472" s="3" t="str">
        <f>IF(E1472, C1472 &amp; "|" &amp; H1472, "")</f>
        <v>principal-process-steward|RoleAssignments</v>
      </c>
      <c r="N1472" s="2" t="s">
        <v>9938</v>
      </c>
    </row>
    <row r="1473">
      <c r="A1473" s="2" t="s">
        <v>11409</v>
      </c>
      <c r="B1473" s="3" t="str">
        <f>C1473 &amp; " -&gt; " &amp; D1473</f>
        <v>principal-process-steward -&gt; RoleAssignments.IsOperatingUnderMetSuspensionCondition</v>
      </c>
      <c r="C1473" s="2" t="s">
        <v>9706</v>
      </c>
      <c r="D1473" s="2" t="s">
        <v>2607</v>
      </c>
      <c r="E1473" s="2" t="b">
        <v>1</v>
      </c>
      <c r="F1473" s="2" t="b">
        <v>0</v>
      </c>
      <c r="G1473" s="2" t="s">
        <v>9937</v>
      </c>
      <c r="H1473" s="3" t="str">
        <f>_xlfn.IFNA(INDEX(RulebookFields!C2:C999, MATCH(D1473,RulebookFields!A2:A999, 0)), "")</f>
        <v>RoleAssignments</v>
      </c>
      <c r="I1473" s="3" t="str">
        <f>_xlfn.IFNA(INDEX(RulebookFields!D2:D999, MATCH(D1473,RulebookFields!A2:A999, 0)), "")</f>
        <v>IsOperatingUnderMetSuspensionCondition</v>
      </c>
      <c r="J1473" s="3" t="b">
        <f>_xlfn.IFNA(INDEX(RulebookFields!I2:I999, MATCH(D1473,RulebookFields!A2:A999, 0)), "")</f>
        <v>1</v>
      </c>
      <c r="K1473" s="3" t="b">
        <f>AND(F1473, J1473)</f>
        <v>0</v>
      </c>
      <c r="L1473" s="3" t="b">
        <f>AND(G1473 &lt;&gt; "plain", G1473 &lt;&gt; "")</f>
        <v>0</v>
      </c>
      <c r="M1473" s="3" t="str">
        <f>IF(E1473, C1473 &amp; "|" &amp; H1473, "")</f>
        <v>principal-process-steward|RoleAssignments</v>
      </c>
      <c r="N1473" s="2" t="s">
        <v>9938</v>
      </c>
    </row>
    <row r="1474">
      <c r="A1474" s="2" t="s">
        <v>11410</v>
      </c>
      <c r="B1474" s="3" t="str">
        <f>C1474 &amp; " -&gt; " &amp; D1474</f>
        <v>principal-process-steward -&gt; RoleAssignments.HasDeclaredSuspensionCondition</v>
      </c>
      <c r="C1474" s="2" t="s">
        <v>9706</v>
      </c>
      <c r="D1474" s="2" t="s">
        <v>2609</v>
      </c>
      <c r="E1474" s="2" t="b">
        <v>1</v>
      </c>
      <c r="F1474" s="2" t="b">
        <v>0</v>
      </c>
      <c r="G1474" s="2" t="s">
        <v>9937</v>
      </c>
      <c r="H1474" s="3" t="str">
        <f>_xlfn.IFNA(INDEX(RulebookFields!C2:C999, MATCH(D1474,RulebookFields!A2:A999, 0)), "")</f>
        <v>RoleAssignments</v>
      </c>
      <c r="I1474" s="3" t="str">
        <f>_xlfn.IFNA(INDEX(RulebookFields!D2:D999, MATCH(D1474,RulebookFields!A2:A999, 0)), "")</f>
        <v>HasDeclaredSuspensionCondition</v>
      </c>
      <c r="J1474" s="3" t="b">
        <f>_xlfn.IFNA(INDEX(RulebookFields!I2:I999, MATCH(D1474,RulebookFields!A2:A999, 0)), "")</f>
        <v>1</v>
      </c>
      <c r="K1474" s="3" t="b">
        <f>AND(F1474, J1474)</f>
        <v>0</v>
      </c>
      <c r="L1474" s="3" t="b">
        <f>AND(G1474 &lt;&gt; "plain", G1474 &lt;&gt; "")</f>
        <v>0</v>
      </c>
      <c r="M1474" s="3" t="str">
        <f>IF(E1474, C1474 &amp; "|" &amp; H1474, "")</f>
        <v>principal-process-steward|RoleAssignments</v>
      </c>
      <c r="N1474" s="2" t="s">
        <v>9938</v>
      </c>
    </row>
    <row r="1475">
      <c r="A1475" s="2" t="s">
        <v>11411</v>
      </c>
      <c r="B1475" s="3" t="str">
        <f>C1475 &amp; " -&gt; " &amp; D1475</f>
        <v>principal-process-steward -&gt; RoleAssignments.HasApprovingAuthority</v>
      </c>
      <c r="C1475" s="2" t="s">
        <v>9706</v>
      </c>
      <c r="D1475" s="2" t="s">
        <v>2611</v>
      </c>
      <c r="E1475" s="2" t="b">
        <v>1</v>
      </c>
      <c r="F1475" s="2" t="b">
        <v>0</v>
      </c>
      <c r="G1475" s="2" t="s">
        <v>9937</v>
      </c>
      <c r="H1475" s="3" t="str">
        <f>_xlfn.IFNA(INDEX(RulebookFields!C2:C999, MATCH(D1475,RulebookFields!A2:A999, 0)), "")</f>
        <v>RoleAssignments</v>
      </c>
      <c r="I1475" s="3" t="str">
        <f>_xlfn.IFNA(INDEX(RulebookFields!D2:D999, MATCH(D1475,RulebookFields!A2:A999, 0)), "")</f>
        <v>HasApprovingAuthority</v>
      </c>
      <c r="J1475" s="3" t="b">
        <f>_xlfn.IFNA(INDEX(RulebookFields!I2:I999, MATCH(D1475,RulebookFields!A2:A999, 0)), "")</f>
        <v>1</v>
      </c>
      <c r="K1475" s="3" t="b">
        <f>AND(F1475, J1475)</f>
        <v>0</v>
      </c>
      <c r="L1475" s="3" t="b">
        <f>AND(G1475 &lt;&gt; "plain", G1475 &lt;&gt; "")</f>
        <v>0</v>
      </c>
      <c r="M1475" s="3" t="str">
        <f>IF(E1475, C1475 &amp; "|" &amp; H1475, "")</f>
        <v>principal-process-steward|RoleAssignments</v>
      </c>
      <c r="N1475" s="2" t="s">
        <v>9938</v>
      </c>
    </row>
    <row r="1476">
      <c r="A1476" s="2" t="s">
        <v>11412</v>
      </c>
      <c r="B1476" s="3" t="str">
        <f>C1476 &amp; " -&gt; " &amp; D1476</f>
        <v>principal-process-steward -&gt; RoleAssignments.HasAuthorizingChangeRequest</v>
      </c>
      <c r="C1476" s="2" t="s">
        <v>9706</v>
      </c>
      <c r="D1476" s="2" t="s">
        <v>2613</v>
      </c>
      <c r="E1476" s="2" t="b">
        <v>1</v>
      </c>
      <c r="F1476" s="2" t="b">
        <v>0</v>
      </c>
      <c r="G1476" s="2" t="s">
        <v>9937</v>
      </c>
      <c r="H1476" s="3" t="str">
        <f>_xlfn.IFNA(INDEX(RulebookFields!C2:C999, MATCH(D1476,RulebookFields!A2:A999, 0)), "")</f>
        <v>RoleAssignments</v>
      </c>
      <c r="I1476" s="3" t="str">
        <f>_xlfn.IFNA(INDEX(RulebookFields!D2:D999, MATCH(D1476,RulebookFields!A2:A999, 0)), "")</f>
        <v>HasAuthorizingChangeRequest</v>
      </c>
      <c r="J1476" s="3" t="b">
        <f>_xlfn.IFNA(INDEX(RulebookFields!I2:I999, MATCH(D1476,RulebookFields!A2:A999, 0)), "")</f>
        <v>1</v>
      </c>
      <c r="K1476" s="3" t="b">
        <f>AND(F1476, J1476)</f>
        <v>0</v>
      </c>
      <c r="L1476" s="3" t="b">
        <f>AND(G1476 &lt;&gt; "plain", G1476 &lt;&gt; "")</f>
        <v>0</v>
      </c>
      <c r="M1476" s="3" t="str">
        <f>IF(E1476, C1476 &amp; "|" &amp; H1476, "")</f>
        <v>principal-process-steward|RoleAssignments</v>
      </c>
      <c r="N1476" s="2" t="s">
        <v>9938</v>
      </c>
    </row>
    <row r="1477">
      <c r="A1477" s="2" t="s">
        <v>11413</v>
      </c>
      <c r="B1477" s="3" t="str">
        <f>C1477 &amp; " -&gt; " &amp; D1477</f>
        <v>principal-process-steward -&gt; RoleAssignments.IsEnforcementRole</v>
      </c>
      <c r="C1477" s="2" t="s">
        <v>9706</v>
      </c>
      <c r="D1477" s="2" t="s">
        <v>2615</v>
      </c>
      <c r="E1477" s="2" t="b">
        <v>1</v>
      </c>
      <c r="F1477" s="2" t="b">
        <v>0</v>
      </c>
      <c r="G1477" s="2" t="s">
        <v>9937</v>
      </c>
      <c r="H1477" s="3" t="str">
        <f>_xlfn.IFNA(INDEX(RulebookFields!C2:C999, MATCH(D1477,RulebookFields!A2:A999, 0)), "")</f>
        <v>RoleAssignments</v>
      </c>
      <c r="I1477" s="3" t="str">
        <f>_xlfn.IFNA(INDEX(RulebookFields!D2:D999, MATCH(D1477,RulebookFields!A2:A999, 0)), "")</f>
        <v>IsEnforcementRole</v>
      </c>
      <c r="J1477" s="3" t="b">
        <f>_xlfn.IFNA(INDEX(RulebookFields!I2:I999, MATCH(D1477,RulebookFields!A2:A999, 0)), "")</f>
        <v>0</v>
      </c>
      <c r="K1477" s="3" t="b">
        <f>AND(F1477, J1477)</f>
        <v>0</v>
      </c>
      <c r="L1477" s="3" t="b">
        <f>AND(G1477 &lt;&gt; "plain", G1477 &lt;&gt; "")</f>
        <v>0</v>
      </c>
      <c r="M1477" s="3" t="str">
        <f>IF(E1477, C1477 &amp; "|" &amp; H1477, "")</f>
        <v>principal-process-steward|RoleAssignments</v>
      </c>
      <c r="N1477" s="2" t="s">
        <v>9938</v>
      </c>
    </row>
    <row r="1478">
      <c r="A1478" s="2" t="s">
        <v>11414</v>
      </c>
      <c r="B1478" s="3" t="str">
        <f>C1478 &amp; " -&gt; " &amp; D1478</f>
        <v>principal-process-steward -&gt; RoleAssignments.IsUnauthorizedEnforcementAgent</v>
      </c>
      <c r="C1478" s="2" t="s">
        <v>9706</v>
      </c>
      <c r="D1478" s="2" t="s">
        <v>2616</v>
      </c>
      <c r="E1478" s="2" t="b">
        <v>1</v>
      </c>
      <c r="F1478" s="2" t="b">
        <v>0</v>
      </c>
      <c r="G1478" s="2" t="s">
        <v>9937</v>
      </c>
      <c r="H1478" s="3" t="str">
        <f>_xlfn.IFNA(INDEX(RulebookFields!C2:C999, MATCH(D1478,RulebookFields!A2:A999, 0)), "")</f>
        <v>RoleAssignments</v>
      </c>
      <c r="I1478" s="3" t="str">
        <f>_xlfn.IFNA(INDEX(RulebookFields!D2:D999, MATCH(D1478,RulebookFields!A2:A999, 0)), "")</f>
        <v>IsUnauthorizedEnforcementAgent</v>
      </c>
      <c r="J1478" s="3" t="b">
        <f>_xlfn.IFNA(INDEX(RulebookFields!I2:I999, MATCH(D1478,RulebookFields!A2:A999, 0)), "")</f>
        <v>1</v>
      </c>
      <c r="K1478" s="3" t="b">
        <f>AND(F1478, J1478)</f>
        <v>0</v>
      </c>
      <c r="L1478" s="3" t="b">
        <f>AND(G1478 &lt;&gt; "plain", G1478 &lt;&gt; "")</f>
        <v>0</v>
      </c>
      <c r="M1478" s="3" t="str">
        <f>IF(E1478, C1478 &amp; "|" &amp; H1478, "")</f>
        <v>principal-process-steward|RoleAssignments</v>
      </c>
      <c r="N1478" s="2" t="s">
        <v>9938</v>
      </c>
    </row>
    <row r="1479">
      <c r="A1479" s="2" t="s">
        <v>11415</v>
      </c>
      <c r="B1479" s="3" t="str">
        <f>C1479 &amp; " -&gt; " &amp; D1479</f>
        <v>principal-process-steward -&gt; RoleAssignments.GovernanceEvidenceCount</v>
      </c>
      <c r="C1479" s="2" t="s">
        <v>9706</v>
      </c>
      <c r="D1479" s="2" t="s">
        <v>2618</v>
      </c>
      <c r="E1479" s="2" t="b">
        <v>1</v>
      </c>
      <c r="F1479" s="2" t="b">
        <v>0</v>
      </c>
      <c r="G1479" s="2" t="s">
        <v>9937</v>
      </c>
      <c r="H1479" s="3" t="str">
        <f>_xlfn.IFNA(INDEX(RulebookFields!C2:C999, MATCH(D1479,RulebookFields!A2:A999, 0)), "")</f>
        <v>RoleAssignments</v>
      </c>
      <c r="I1479" s="3" t="str">
        <f>_xlfn.IFNA(INDEX(RulebookFields!D2:D999, MATCH(D1479,RulebookFields!A2:A999, 0)), "")</f>
        <v>GovernanceEvidenceCount</v>
      </c>
      <c r="J1479" s="3" t="b">
        <f>_xlfn.IFNA(INDEX(RulebookFields!I2:I999, MATCH(D1479,RulebookFields!A2:A999, 0)), "")</f>
        <v>1</v>
      </c>
      <c r="K1479" s="3" t="b">
        <f>AND(F1479, J1479)</f>
        <v>0</v>
      </c>
      <c r="L1479" s="3" t="b">
        <f>AND(G1479 &lt;&gt; "plain", G1479 &lt;&gt; "")</f>
        <v>0</v>
      </c>
      <c r="M1479" s="3" t="str">
        <f>IF(E1479, C1479 &amp; "|" &amp; H1479, "")</f>
        <v>principal-process-steward|RoleAssignments</v>
      </c>
      <c r="N1479" s="2" t="s">
        <v>9938</v>
      </c>
    </row>
    <row r="1480">
      <c r="A1480" s="2" t="s">
        <v>11416</v>
      </c>
      <c r="B1480" s="3" t="str">
        <f>C1480 &amp; " -&gt; " &amp; D1480</f>
        <v>principal-process-steward -&gt; RoleAssignments.UnauthorizedEnforcementRoleKey</v>
      </c>
      <c r="C1480" s="2" t="s">
        <v>9706</v>
      </c>
      <c r="D1480" s="2" t="s">
        <v>2620</v>
      </c>
      <c r="E1480" s="2" t="b">
        <v>1</v>
      </c>
      <c r="F1480" s="2" t="b">
        <v>0</v>
      </c>
      <c r="G1480" s="2" t="s">
        <v>9937</v>
      </c>
      <c r="H1480" s="3" t="str">
        <f>_xlfn.IFNA(INDEX(RulebookFields!C2:C999, MATCH(D1480,RulebookFields!A2:A999, 0)), "")</f>
        <v>RoleAssignments</v>
      </c>
      <c r="I1480" s="3" t="str">
        <f>_xlfn.IFNA(INDEX(RulebookFields!D2:D999, MATCH(D1480,RulebookFields!A2:A999, 0)), "")</f>
        <v>UnauthorizedEnforcementRoleKey</v>
      </c>
      <c r="J1480" s="3" t="b">
        <f>_xlfn.IFNA(INDEX(RulebookFields!I2:I999, MATCH(D1480,RulebookFields!A2:A999, 0)), "")</f>
        <v>1</v>
      </c>
      <c r="K1480" s="3" t="b">
        <f>AND(F1480, J1480)</f>
        <v>0</v>
      </c>
      <c r="L1480" s="3" t="b">
        <f>AND(G1480 &lt;&gt; "plain", G1480 &lt;&gt; "")</f>
        <v>0</v>
      </c>
      <c r="M1480" s="3" t="str">
        <f>IF(E1480, C1480 &amp; "|" &amp; H1480, "")</f>
        <v>principal-process-steward|RoleAssignments</v>
      </c>
      <c r="N1480" s="2" t="s">
        <v>9938</v>
      </c>
    </row>
    <row r="1481">
      <c r="A1481" s="2" t="s">
        <v>11417</v>
      </c>
      <c r="B1481" s="3" t="str">
        <f>C1481 &amp; " -&gt; " &amp; D1481</f>
        <v>principal-process-steward -&gt; RoleAssignments.SemanticTypeIri</v>
      </c>
      <c r="C1481" s="2" t="s">
        <v>9706</v>
      </c>
      <c r="D1481" s="2" t="s">
        <v>2622</v>
      </c>
      <c r="E1481" s="2" t="b">
        <v>1</v>
      </c>
      <c r="F1481" s="2" t="b">
        <v>0</v>
      </c>
      <c r="G1481" s="2" t="s">
        <v>9937</v>
      </c>
      <c r="H1481" s="3" t="str">
        <f>_xlfn.IFNA(INDEX(RulebookFields!C2:C999, MATCH(D1481,RulebookFields!A2:A999, 0)), "")</f>
        <v>RoleAssignments</v>
      </c>
      <c r="I1481" s="3" t="str">
        <f>_xlfn.IFNA(INDEX(RulebookFields!D2:D999, MATCH(D1481,RulebookFields!A2:A999, 0)), "")</f>
        <v>SemanticTypeIri</v>
      </c>
      <c r="J1481" s="3" t="b">
        <f>_xlfn.IFNA(INDEX(RulebookFields!I2:I999, MATCH(D1481,RulebookFields!A2:A999, 0)), "")</f>
        <v>0</v>
      </c>
      <c r="K1481" s="3" t="b">
        <f>AND(F1481, J1481)</f>
        <v>0</v>
      </c>
      <c r="L1481" s="3" t="b">
        <f>AND(G1481 &lt;&gt; "plain", G1481 &lt;&gt; "")</f>
        <v>0</v>
      </c>
      <c r="M1481" s="3" t="str">
        <f>IF(E1481, C1481 &amp; "|" &amp; H1481, "")</f>
        <v>principal-process-steward|RoleAssignments</v>
      </c>
      <c r="N1481" s="2" t="s">
        <v>9938</v>
      </c>
    </row>
    <row r="1482">
      <c r="A1482" s="2" t="s">
        <v>11418</v>
      </c>
      <c r="B1482" s="3" t="str">
        <f>C1482 &amp; " -&gt; " &amp; D1482</f>
        <v>principal-process-steward -&gt; RoleQuestions.RoleQuestionId</v>
      </c>
      <c r="C1482" s="2" t="s">
        <v>9706</v>
      </c>
      <c r="D1482" s="2" t="s">
        <v>4090</v>
      </c>
      <c r="E1482" s="2" t="b">
        <v>1</v>
      </c>
      <c r="F1482" s="2" t="b">
        <v>0</v>
      </c>
      <c r="G1482" s="2" t="s">
        <v>9937</v>
      </c>
      <c r="H1482" s="3" t="str">
        <f>_xlfn.IFNA(INDEX(RulebookFields!C2:C999, MATCH(D1482,RulebookFields!A2:A999, 0)), "")</f>
      </c>
      <c r="I1482" s="3" t="str">
        <f>_xlfn.IFNA(INDEX(RulebookFields!D2:D999, MATCH(D1482,RulebookFields!A2:A999, 0)), "")</f>
      </c>
      <c r="J1482" s="3" t="str">
        <f>_xlfn.IFNA(INDEX(RulebookFields!I2:I999, MATCH(D1482,RulebookFields!A2:A999, 0)), "")</f>
      </c>
      <c r="K1482" s="3" t="b">
        <f>AND(F1482, J1482)</f>
        <v>0</v>
      </c>
      <c r="L1482" s="3" t="b">
        <f>AND(G1482 &lt;&gt; "plain", G1482 &lt;&gt; "")</f>
        <v>0</v>
      </c>
      <c r="M1482" s="3" t="str">
        <f>IF(E1482, C1482 &amp; "|" &amp; H1482, "")</f>
        <v>principal-process-steward|</v>
      </c>
      <c r="N1482" s="2" t="s">
        <v>9938</v>
      </c>
    </row>
    <row r="1483">
      <c r="A1483" s="2" t="s">
        <v>11419</v>
      </c>
      <c r="B1483" s="3" t="str">
        <f>C1483 &amp; " -&gt; " &amp; D1483</f>
        <v>principal-process-steward -&gt; RoleQuestions.Name</v>
      </c>
      <c r="C1483" s="2" t="s">
        <v>9706</v>
      </c>
      <c r="D1483" s="2" t="s">
        <v>4092</v>
      </c>
      <c r="E1483" s="2" t="b">
        <v>1</v>
      </c>
      <c r="F1483" s="2" t="b">
        <v>0</v>
      </c>
      <c r="G1483" s="2" t="s">
        <v>9937</v>
      </c>
      <c r="H1483" s="3" t="str">
        <f>_xlfn.IFNA(INDEX(RulebookFields!C2:C999, MATCH(D1483,RulebookFields!A2:A999, 0)), "")</f>
      </c>
      <c r="I1483" s="3" t="str">
        <f>_xlfn.IFNA(INDEX(RulebookFields!D2:D999, MATCH(D1483,RulebookFields!A2:A999, 0)), "")</f>
      </c>
      <c r="J1483" s="3" t="str">
        <f>_xlfn.IFNA(INDEX(RulebookFields!I2:I999, MATCH(D1483,RulebookFields!A2:A999, 0)), "")</f>
      </c>
      <c r="K1483" s="3" t="b">
        <f>AND(F1483, J1483)</f>
        <v>0</v>
      </c>
      <c r="L1483" s="3" t="b">
        <f>AND(G1483 &lt;&gt; "plain", G1483 &lt;&gt; "")</f>
        <v>0</v>
      </c>
      <c r="M1483" s="3" t="str">
        <f>IF(E1483, C1483 &amp; "|" &amp; H1483, "")</f>
        <v>principal-process-steward|</v>
      </c>
      <c r="N1483" s="2" t="s">
        <v>9938</v>
      </c>
    </row>
    <row r="1484">
      <c r="A1484" s="2" t="s">
        <v>11420</v>
      </c>
      <c r="B1484" s="3" t="str">
        <f>C1484 &amp; " -&gt; " &amp; D1484</f>
        <v>principal-process-steward -&gt; RoleQuestions.AskingRole</v>
      </c>
      <c r="C1484" s="2" t="s">
        <v>9706</v>
      </c>
      <c r="D1484" s="2" t="s">
        <v>4094</v>
      </c>
      <c r="E1484" s="2" t="b">
        <v>1</v>
      </c>
      <c r="F1484" s="2" t="b">
        <v>0</v>
      </c>
      <c r="G1484" s="2" t="s">
        <v>9937</v>
      </c>
      <c r="H1484" s="3" t="str">
        <f>_xlfn.IFNA(INDEX(RulebookFields!C2:C999, MATCH(D1484,RulebookFields!A2:A999, 0)), "")</f>
      </c>
      <c r="I1484" s="3" t="str">
        <f>_xlfn.IFNA(INDEX(RulebookFields!D2:D999, MATCH(D1484,RulebookFields!A2:A999, 0)), "")</f>
      </c>
      <c r="J1484" s="3" t="str">
        <f>_xlfn.IFNA(INDEX(RulebookFields!I2:I999, MATCH(D1484,RulebookFields!A2:A999, 0)), "")</f>
      </c>
      <c r="K1484" s="3" t="b">
        <f>AND(F1484, J1484)</f>
        <v>0</v>
      </c>
      <c r="L1484" s="3" t="b">
        <f>AND(G1484 &lt;&gt; "plain", G1484 &lt;&gt; "")</f>
        <v>0</v>
      </c>
      <c r="M1484" s="3" t="str">
        <f>IF(E1484, C1484 &amp; "|" &amp; H1484, "")</f>
        <v>principal-process-steward|</v>
      </c>
      <c r="N1484" s="2" t="s">
        <v>9938</v>
      </c>
    </row>
    <row r="1485">
      <c r="A1485" s="2" t="s">
        <v>11421</v>
      </c>
      <c r="B1485" s="3" t="str">
        <f>C1485 &amp; " -&gt; " &amp; D1485</f>
        <v>principal-process-steward -&gt; RoleQuestions.WitnessLoop</v>
      </c>
      <c r="C1485" s="2" t="s">
        <v>9706</v>
      </c>
      <c r="D1485" s="2" t="s">
        <v>4095</v>
      </c>
      <c r="E1485" s="2" t="b">
        <v>1</v>
      </c>
      <c r="F1485" s="2" t="b">
        <v>0</v>
      </c>
      <c r="G1485" s="2" t="s">
        <v>9937</v>
      </c>
      <c r="H1485" s="3" t="str">
        <f>_xlfn.IFNA(INDEX(RulebookFields!C2:C999, MATCH(D1485,RulebookFields!A2:A999, 0)), "")</f>
      </c>
      <c r="I1485" s="3" t="str">
        <f>_xlfn.IFNA(INDEX(RulebookFields!D2:D999, MATCH(D1485,RulebookFields!A2:A999, 0)), "")</f>
      </c>
      <c r="J1485" s="3" t="str">
        <f>_xlfn.IFNA(INDEX(RulebookFields!I2:I999, MATCH(D1485,RulebookFields!A2:A999, 0)), "")</f>
      </c>
      <c r="K1485" s="3" t="b">
        <f>AND(F1485, J1485)</f>
        <v>0</v>
      </c>
      <c r="L1485" s="3" t="b">
        <f>AND(G1485 &lt;&gt; "plain", G1485 &lt;&gt; "")</f>
        <v>0</v>
      </c>
      <c r="M1485" s="3" t="str">
        <f>IF(E1485, C1485 &amp; "|" &amp; H1485, "")</f>
        <v>principal-process-steward|</v>
      </c>
      <c r="N1485" s="2" t="s">
        <v>9938</v>
      </c>
    </row>
    <row r="1486">
      <c r="A1486" s="2" t="s">
        <v>11422</v>
      </c>
      <c r="B1486" s="3" t="str">
        <f>C1486 &amp; " -&gt; " &amp; D1486</f>
        <v>principal-process-steward -&gt; RoleQuestions.QuestionText</v>
      </c>
      <c r="C1486" s="2" t="s">
        <v>9706</v>
      </c>
      <c r="D1486" s="2" t="s">
        <v>4096</v>
      </c>
      <c r="E1486" s="2" t="b">
        <v>1</v>
      </c>
      <c r="F1486" s="2" t="b">
        <v>0</v>
      </c>
      <c r="G1486" s="2" t="s">
        <v>9937</v>
      </c>
      <c r="H1486" s="3" t="str">
        <f>_xlfn.IFNA(INDEX(RulebookFields!C2:C999, MATCH(D1486,RulebookFields!A2:A999, 0)), "")</f>
      </c>
      <c r="I1486" s="3" t="str">
        <f>_xlfn.IFNA(INDEX(RulebookFields!D2:D999, MATCH(D1486,RulebookFields!A2:A999, 0)), "")</f>
      </c>
      <c r="J1486" s="3" t="str">
        <f>_xlfn.IFNA(INDEX(RulebookFields!I2:I999, MATCH(D1486,RulebookFields!A2:A999, 0)), "")</f>
      </c>
      <c r="K1486" s="3" t="b">
        <f>AND(F1486, J1486)</f>
        <v>0</v>
      </c>
      <c r="L1486" s="3" t="b">
        <f>AND(G1486 &lt;&gt; "plain", G1486 &lt;&gt; "")</f>
        <v>0</v>
      </c>
      <c r="M1486" s="3" t="str">
        <f>IF(E1486, C1486 &amp; "|" &amp; H1486, "")</f>
        <v>principal-process-steward|</v>
      </c>
      <c r="N1486" s="2" t="s">
        <v>9938</v>
      </c>
    </row>
    <row r="1487">
      <c r="A1487" s="2" t="s">
        <v>11423</v>
      </c>
      <c r="B1487" s="3" t="str">
        <f>C1487 &amp; " -&gt; " &amp; D1487</f>
        <v>principal-process-steward -&gt; RoleQuestions.WhyItMatters</v>
      </c>
      <c r="C1487" s="2" t="s">
        <v>9706</v>
      </c>
      <c r="D1487" s="2" t="s">
        <v>4097</v>
      </c>
      <c r="E1487" s="2" t="b">
        <v>1</v>
      </c>
      <c r="F1487" s="2" t="b">
        <v>0</v>
      </c>
      <c r="G1487" s="2" t="s">
        <v>9937</v>
      </c>
      <c r="H1487" s="3" t="str">
        <f>_xlfn.IFNA(INDEX(RulebookFields!C2:C999, MATCH(D1487,RulebookFields!A2:A999, 0)), "")</f>
      </c>
      <c r="I1487" s="3" t="str">
        <f>_xlfn.IFNA(INDEX(RulebookFields!D2:D999, MATCH(D1487,RulebookFields!A2:A999, 0)), "")</f>
      </c>
      <c r="J1487" s="3" t="str">
        <f>_xlfn.IFNA(INDEX(RulebookFields!I2:I999, MATCH(D1487,RulebookFields!A2:A999, 0)), "")</f>
      </c>
      <c r="K1487" s="3" t="b">
        <f>AND(F1487, J1487)</f>
        <v>0</v>
      </c>
      <c r="L1487" s="3" t="b">
        <f>AND(G1487 &lt;&gt; "plain", G1487 &lt;&gt; "")</f>
        <v>0</v>
      </c>
      <c r="M1487" s="3" t="str">
        <f>IF(E1487, C1487 &amp; "|" &amp; H1487, "")</f>
        <v>principal-process-steward|</v>
      </c>
      <c r="N1487" s="2" t="s">
        <v>9938</v>
      </c>
    </row>
    <row r="1488">
      <c r="A1488" s="2" t="s">
        <v>11424</v>
      </c>
      <c r="B1488" s="3" t="str">
        <f>C1488 &amp; " -&gt; " &amp; D1488</f>
        <v>principal-process-steward -&gt; RoleQuestions.AnswerableBefore</v>
      </c>
      <c r="C1488" s="2" t="s">
        <v>9706</v>
      </c>
      <c r="D1488" s="2" t="s">
        <v>4098</v>
      </c>
      <c r="E1488" s="2" t="b">
        <v>1</v>
      </c>
      <c r="F1488" s="2" t="b">
        <v>0</v>
      </c>
      <c r="G1488" s="2" t="s">
        <v>9937</v>
      </c>
      <c r="H1488" s="3" t="str">
        <f>_xlfn.IFNA(INDEX(RulebookFields!C2:C999, MATCH(D1488,RulebookFields!A2:A999, 0)), "")</f>
      </c>
      <c r="I1488" s="3" t="str">
        <f>_xlfn.IFNA(INDEX(RulebookFields!D2:D999, MATCH(D1488,RulebookFields!A2:A999, 0)), "")</f>
      </c>
      <c r="J1488" s="3" t="str">
        <f>_xlfn.IFNA(INDEX(RulebookFields!I2:I999, MATCH(D1488,RulebookFields!A2:A999, 0)), "")</f>
      </c>
      <c r="K1488" s="3" t="b">
        <f>AND(F1488, J1488)</f>
        <v>0</v>
      </c>
      <c r="L1488" s="3" t="b">
        <f>AND(G1488 &lt;&gt; "plain", G1488 &lt;&gt; "")</f>
        <v>0</v>
      </c>
      <c r="M1488" s="3" t="str">
        <f>IF(E1488, C1488 &amp; "|" &amp; H1488, "")</f>
        <v>principal-process-steward|</v>
      </c>
      <c r="N1488" s="2" t="s">
        <v>9938</v>
      </c>
    </row>
    <row r="1489">
      <c r="A1489" s="2" t="s">
        <v>11425</v>
      </c>
      <c r="B1489" s="3" t="str">
        <f>C1489 &amp; " -&gt; " &amp; D1489</f>
        <v>principal-process-steward -&gt; RoleQuestions.PredicateCount</v>
      </c>
      <c r="C1489" s="2" t="s">
        <v>9706</v>
      </c>
      <c r="D1489" s="2" t="s">
        <v>4099</v>
      </c>
      <c r="E1489" s="2" t="b">
        <v>1</v>
      </c>
      <c r="F1489" s="2" t="b">
        <v>0</v>
      </c>
      <c r="G1489" s="2" t="s">
        <v>9937</v>
      </c>
      <c r="H1489" s="3" t="str">
        <f>_xlfn.IFNA(INDEX(RulebookFields!C2:C999, MATCH(D1489,RulebookFields!A2:A999, 0)), "")</f>
      </c>
      <c r="I1489" s="3" t="str">
        <f>_xlfn.IFNA(INDEX(RulebookFields!D2:D999, MATCH(D1489,RulebookFields!A2:A999, 0)), "")</f>
      </c>
      <c r="J1489" s="3" t="str">
        <f>_xlfn.IFNA(INDEX(RulebookFields!I2:I999, MATCH(D1489,RulebookFields!A2:A999, 0)), "")</f>
      </c>
      <c r="K1489" s="3" t="b">
        <f>AND(F1489, J1489)</f>
        <v>0</v>
      </c>
      <c r="L1489" s="3" t="b">
        <f>AND(G1489 &lt;&gt; "plain", G1489 &lt;&gt; "")</f>
        <v>0</v>
      </c>
      <c r="M1489" s="3" t="str">
        <f>IF(E1489, C1489 &amp; "|" &amp; H1489, "")</f>
        <v>principal-process-steward|</v>
      </c>
      <c r="N1489" s="2" t="s">
        <v>9938</v>
      </c>
    </row>
    <row r="1490">
      <c r="A1490" s="2" t="s">
        <v>11426</v>
      </c>
      <c r="B1490" s="3" t="str">
        <f>C1490 &amp; " -&gt; " &amp; D1490</f>
        <v>principal-process-steward -&gt; RoleQuestions.IsAnswered</v>
      </c>
      <c r="C1490" s="2" t="s">
        <v>9706</v>
      </c>
      <c r="D1490" s="2" t="s">
        <v>4101</v>
      </c>
      <c r="E1490" s="2" t="b">
        <v>1</v>
      </c>
      <c r="F1490" s="2" t="b">
        <v>0</v>
      </c>
      <c r="G1490" s="2" t="s">
        <v>9937</v>
      </c>
      <c r="H1490" s="3" t="str">
        <f>_xlfn.IFNA(INDEX(RulebookFields!C2:C999, MATCH(D1490,RulebookFields!A2:A999, 0)), "")</f>
      </c>
      <c r="I1490" s="3" t="str">
        <f>_xlfn.IFNA(INDEX(RulebookFields!D2:D999, MATCH(D1490,RulebookFields!A2:A999, 0)), "")</f>
      </c>
      <c r="J1490" s="3" t="str">
        <f>_xlfn.IFNA(INDEX(RulebookFields!I2:I999, MATCH(D1490,RulebookFields!A2:A999, 0)), "")</f>
      </c>
      <c r="K1490" s="3" t="b">
        <f>AND(F1490, J1490)</f>
        <v>0</v>
      </c>
      <c r="L1490" s="3" t="b">
        <f>AND(G1490 &lt;&gt; "plain", G1490 &lt;&gt; "")</f>
        <v>0</v>
      </c>
      <c r="M1490" s="3" t="str">
        <f>IF(E1490, C1490 &amp; "|" &amp; H1490, "")</f>
        <v>principal-process-steward|</v>
      </c>
      <c r="N1490" s="2" t="s">
        <v>9938</v>
      </c>
    </row>
    <row r="1491">
      <c r="A1491" s="2" t="s">
        <v>11427</v>
      </c>
      <c r="B1491" s="3" t="str">
        <f>C1491 &amp; " -&gt; " &amp; D1491</f>
        <v>principal-process-steward -&gt; RoleQuestions.WitnessedAnswer</v>
      </c>
      <c r="C1491" s="2" t="s">
        <v>9706</v>
      </c>
      <c r="D1491" s="2" t="s">
        <v>4103</v>
      </c>
      <c r="E1491" s="2" t="b">
        <v>1</v>
      </c>
      <c r="F1491" s="2" t="b">
        <v>0</v>
      </c>
      <c r="G1491" s="2" t="s">
        <v>9937</v>
      </c>
      <c r="H1491" s="3" t="str">
        <f>_xlfn.IFNA(INDEX(RulebookFields!C2:C999, MATCH(D1491,RulebookFields!A2:A999, 0)), "")</f>
      </c>
      <c r="I1491" s="3" t="str">
        <f>_xlfn.IFNA(INDEX(RulebookFields!D2:D999, MATCH(D1491,RulebookFields!A2:A999, 0)), "")</f>
      </c>
      <c r="J1491" s="3" t="str">
        <f>_xlfn.IFNA(INDEX(RulebookFields!I2:I999, MATCH(D1491,RulebookFields!A2:A999, 0)), "")</f>
      </c>
      <c r="K1491" s="3" t="b">
        <f>AND(F1491, J1491)</f>
        <v>0</v>
      </c>
      <c r="L1491" s="3" t="b">
        <f>AND(G1491 &lt;&gt; "plain", G1491 &lt;&gt; "")</f>
        <v>0</v>
      </c>
      <c r="M1491" s="3" t="str">
        <f>IF(E1491, C1491 &amp; "|" &amp; H1491, "")</f>
        <v>principal-process-steward|</v>
      </c>
      <c r="N1491" s="2" t="s">
        <v>9938</v>
      </c>
    </row>
    <row r="1492">
      <c r="A1492" s="2" t="s">
        <v>11428</v>
      </c>
      <c r="B1492" s="3" t="str">
        <f>C1492 &amp; " -&gt; " &amp; D1492</f>
        <v>principal-process-steward -&gt; RoleQuestions.SemanticTypeIri</v>
      </c>
      <c r="C1492" s="2" t="s">
        <v>9706</v>
      </c>
      <c r="D1492" s="2" t="s">
        <v>4104</v>
      </c>
      <c r="E1492" s="2" t="b">
        <v>1</v>
      </c>
      <c r="F1492" s="2" t="b">
        <v>0</v>
      </c>
      <c r="G1492" s="2" t="s">
        <v>9937</v>
      </c>
      <c r="H1492" s="3" t="str">
        <f>_xlfn.IFNA(INDEX(RulebookFields!C2:C999, MATCH(D1492,RulebookFields!A2:A999, 0)), "")</f>
      </c>
      <c r="I1492" s="3" t="str">
        <f>_xlfn.IFNA(INDEX(RulebookFields!D2:D999, MATCH(D1492,RulebookFields!A2:A999, 0)), "")</f>
      </c>
      <c r="J1492" s="3" t="str">
        <f>_xlfn.IFNA(INDEX(RulebookFields!I2:I999, MATCH(D1492,RulebookFields!A2:A999, 0)), "")</f>
      </c>
      <c r="K1492" s="3" t="b">
        <f>AND(F1492, J1492)</f>
        <v>0</v>
      </c>
      <c r="L1492" s="3" t="b">
        <f>AND(G1492 &lt;&gt; "plain", G1492 &lt;&gt; "")</f>
        <v>0</v>
      </c>
      <c r="M1492" s="3" t="str">
        <f>IF(E1492, C1492 &amp; "|" &amp; H1492, "")</f>
        <v>principal-process-steward|</v>
      </c>
      <c r="N1492" s="2" t="s">
        <v>9938</v>
      </c>
    </row>
    <row r="1493">
      <c r="A1493" s="2" t="s">
        <v>11429</v>
      </c>
      <c r="B1493" s="3" t="str">
        <f>C1493 &amp; " -&gt; " &amp; D1493</f>
        <v>principal-process-steward -&gt; Roles.RoleId</v>
      </c>
      <c r="C1493" s="2" t="s">
        <v>9706</v>
      </c>
      <c r="D1493" s="2" t="s">
        <v>2471</v>
      </c>
      <c r="E1493" s="2" t="b">
        <v>1</v>
      </c>
      <c r="F1493" s="2" t="b">
        <v>0</v>
      </c>
      <c r="G1493" s="2" t="s">
        <v>9937</v>
      </c>
      <c r="H1493" s="3" t="str">
        <f>_xlfn.IFNA(INDEX(RulebookFields!C2:C999, MATCH(D1493,RulebookFields!A2:A999, 0)), "")</f>
        <v>Roles</v>
      </c>
      <c r="I1493" s="3" t="str">
        <f>_xlfn.IFNA(INDEX(RulebookFields!D2:D999, MATCH(D1493,RulebookFields!A2:A999, 0)), "")</f>
        <v>RoleId</v>
      </c>
      <c r="J1493" s="3" t="b">
        <f>_xlfn.IFNA(INDEX(RulebookFields!I2:I999, MATCH(D1493,RulebookFields!A2:A999, 0)), "")</f>
        <v>0</v>
      </c>
      <c r="K1493" s="3" t="b">
        <f>AND(F1493, J1493)</f>
        <v>0</v>
      </c>
      <c r="L1493" s="3" t="b">
        <f>AND(G1493 &lt;&gt; "plain", G1493 &lt;&gt; "")</f>
        <v>0</v>
      </c>
      <c r="M1493" s="3" t="str">
        <f>IF(E1493, C1493 &amp; "|" &amp; H1493, "")</f>
        <v>principal-process-steward|Roles</v>
      </c>
      <c r="N1493" s="2" t="s">
        <v>9938</v>
      </c>
    </row>
    <row r="1494">
      <c r="A1494" s="2" t="s">
        <v>11430</v>
      </c>
      <c r="B1494" s="3" t="str">
        <f>C1494 &amp; " -&gt; " &amp; D1494</f>
        <v>principal-process-steward -&gt; Roles.Name</v>
      </c>
      <c r="C1494" s="2" t="s">
        <v>9706</v>
      </c>
      <c r="D1494" s="2" t="s">
        <v>2472</v>
      </c>
      <c r="E1494" s="2" t="b">
        <v>1</v>
      </c>
      <c r="F1494" s="2" t="b">
        <v>0</v>
      </c>
      <c r="G1494" s="2" t="s">
        <v>9937</v>
      </c>
      <c r="H1494" s="3" t="str">
        <f>_xlfn.IFNA(INDEX(RulebookFields!C2:C999, MATCH(D1494,RulebookFields!A2:A999, 0)), "")</f>
        <v>Roles</v>
      </c>
      <c r="I1494" s="3" t="str">
        <f>_xlfn.IFNA(INDEX(RulebookFields!D2:D999, MATCH(D1494,RulebookFields!A2:A999, 0)), "")</f>
        <v>Name</v>
      </c>
      <c r="J1494" s="3" t="b">
        <f>_xlfn.IFNA(INDEX(RulebookFields!I2:I999, MATCH(D1494,RulebookFields!A2:A999, 0)), "")</f>
        <v>1</v>
      </c>
      <c r="K1494" s="3" t="b">
        <f>AND(F1494, J1494)</f>
        <v>0</v>
      </c>
      <c r="L1494" s="3" t="b">
        <f>AND(G1494 &lt;&gt; "plain", G1494 &lt;&gt; "")</f>
        <v>0</v>
      </c>
      <c r="M1494" s="3" t="str">
        <f>IF(E1494, C1494 &amp; "|" &amp; H1494, "")</f>
        <v>principal-process-steward|Roles</v>
      </c>
      <c r="N1494" s="2" t="s">
        <v>9938</v>
      </c>
    </row>
    <row r="1495">
      <c r="A1495" s="2" t="s">
        <v>11431</v>
      </c>
      <c r="B1495" s="3" t="str">
        <f>C1495 &amp; " -&gt; " &amp; D1495</f>
        <v>principal-process-steward -&gt; Roles.Label</v>
      </c>
      <c r="C1495" s="2" t="s">
        <v>9706</v>
      </c>
      <c r="D1495" s="2" t="s">
        <v>2474</v>
      </c>
      <c r="E1495" s="2" t="b">
        <v>1</v>
      </c>
      <c r="F1495" s="2" t="b">
        <v>0</v>
      </c>
      <c r="G1495" s="2" t="s">
        <v>9937</v>
      </c>
      <c r="H1495" s="3" t="str">
        <f>_xlfn.IFNA(INDEX(RulebookFields!C2:C999, MATCH(D1495,RulebookFields!A2:A999, 0)), "")</f>
        <v>Roles</v>
      </c>
      <c r="I1495" s="3" t="str">
        <f>_xlfn.IFNA(INDEX(RulebookFields!D2:D999, MATCH(D1495,RulebookFields!A2:A999, 0)), "")</f>
        <v>Label</v>
      </c>
      <c r="J1495" s="3" t="b">
        <f>_xlfn.IFNA(INDEX(RulebookFields!I2:I999, MATCH(D1495,RulebookFields!A2:A999, 0)), "")</f>
        <v>0</v>
      </c>
      <c r="K1495" s="3" t="b">
        <f>AND(F1495, J1495)</f>
        <v>0</v>
      </c>
      <c r="L1495" s="3" t="b">
        <f>AND(G1495 &lt;&gt; "plain", G1495 &lt;&gt; "")</f>
        <v>0</v>
      </c>
      <c r="M1495" s="3" t="str">
        <f>IF(E1495, C1495 &amp; "|" &amp; H1495, "")</f>
        <v>principal-process-steward|Roles</v>
      </c>
      <c r="N1495" s="2" t="s">
        <v>9938</v>
      </c>
    </row>
    <row r="1496">
      <c r="A1496" s="2" t="s">
        <v>11432</v>
      </c>
      <c r="B1496" s="3" t="str">
        <f>C1496 &amp; " -&gt; " &amp; D1496</f>
        <v>principal-process-steward -&gt; Roles.Organization</v>
      </c>
      <c r="C1496" s="2" t="s">
        <v>9706</v>
      </c>
      <c r="D1496" s="2" t="s">
        <v>2475</v>
      </c>
      <c r="E1496" s="2" t="b">
        <v>1</v>
      </c>
      <c r="F1496" s="2" t="b">
        <v>0</v>
      </c>
      <c r="G1496" s="2" t="s">
        <v>9937</v>
      </c>
      <c r="H1496" s="3" t="str">
        <f>_xlfn.IFNA(INDEX(RulebookFields!C2:C999, MATCH(D1496,RulebookFields!A2:A999, 0)), "")</f>
        <v>Roles</v>
      </c>
      <c r="I1496" s="3" t="str">
        <f>_xlfn.IFNA(INDEX(RulebookFields!D2:D999, MATCH(D1496,RulebookFields!A2:A999, 0)), "")</f>
        <v>Organization</v>
      </c>
      <c r="J1496" s="3" t="b">
        <f>_xlfn.IFNA(INDEX(RulebookFields!I2:I999, MATCH(D1496,RulebookFields!A2:A999, 0)), "")</f>
        <v>0</v>
      </c>
      <c r="K1496" s="3" t="b">
        <f>AND(F1496, J1496)</f>
        <v>0</v>
      </c>
      <c r="L1496" s="3" t="b">
        <f>AND(G1496 &lt;&gt; "plain", G1496 &lt;&gt; "")</f>
        <v>0</v>
      </c>
      <c r="M1496" s="3" t="str">
        <f>IF(E1496, C1496 &amp; "|" &amp; H1496, "")</f>
        <v>principal-process-steward|Roles</v>
      </c>
      <c r="N1496" s="2" t="s">
        <v>9938</v>
      </c>
    </row>
    <row r="1497">
      <c r="A1497" s="2" t="s">
        <v>11433</v>
      </c>
      <c r="B1497" s="3" t="str">
        <f>C1497 &amp; " -&gt; " &amp; D1497</f>
        <v>principal-process-steward -&gt; Roles.CurrentAgent</v>
      </c>
      <c r="C1497" s="2" t="s">
        <v>9706</v>
      </c>
      <c r="D1497" s="2" t="s">
        <v>2476</v>
      </c>
      <c r="E1497" s="2" t="b">
        <v>1</v>
      </c>
      <c r="F1497" s="2" t="b">
        <v>0</v>
      </c>
      <c r="G1497" s="2" t="s">
        <v>9937</v>
      </c>
      <c r="H1497" s="3" t="str">
        <f>_xlfn.IFNA(INDEX(RulebookFields!C2:C999, MATCH(D1497,RulebookFields!A2:A999, 0)), "")</f>
        <v>Roles</v>
      </c>
      <c r="I1497" s="3" t="str">
        <f>_xlfn.IFNA(INDEX(RulebookFields!D2:D999, MATCH(D1497,RulebookFields!A2:A999, 0)), "")</f>
        <v>CurrentAgent</v>
      </c>
      <c r="J1497" s="3" t="b">
        <f>_xlfn.IFNA(INDEX(RulebookFields!I2:I999, MATCH(D1497,RulebookFields!A2:A999, 0)), "")</f>
        <v>0</v>
      </c>
      <c r="K1497" s="3" t="b">
        <f>AND(F1497, J1497)</f>
        <v>0</v>
      </c>
      <c r="L1497" s="3" t="b">
        <f>AND(G1497 &lt;&gt; "plain", G1497 &lt;&gt; "")</f>
        <v>0</v>
      </c>
      <c r="M1497" s="3" t="str">
        <f>IF(E1497, C1497 &amp; "|" &amp; H1497, "")</f>
        <v>principal-process-steward|Roles</v>
      </c>
      <c r="N1497" s="2" t="s">
        <v>9938</v>
      </c>
    </row>
    <row r="1498">
      <c r="A1498" s="2" t="s">
        <v>11434</v>
      </c>
      <c r="B1498" s="3" t="str">
        <f>C1498 &amp; " -&gt; " &amp; D1498</f>
        <v>principal-process-steward -&gt; Roles.CurrentAgentKind</v>
      </c>
      <c r="C1498" s="2" t="s">
        <v>9706</v>
      </c>
      <c r="D1498" s="2" t="s">
        <v>2477</v>
      </c>
      <c r="E1498" s="2" t="b">
        <v>1</v>
      </c>
      <c r="F1498" s="2" t="b">
        <v>0</v>
      </c>
      <c r="G1498" s="2" t="s">
        <v>9937</v>
      </c>
      <c r="H1498" s="3" t="str">
        <f>_xlfn.IFNA(INDEX(RulebookFields!C2:C999, MATCH(D1498,RulebookFields!A2:A999, 0)), "")</f>
        <v>Roles</v>
      </c>
      <c r="I1498" s="3" t="str">
        <f>_xlfn.IFNA(INDEX(RulebookFields!D2:D999, MATCH(D1498,RulebookFields!A2:A999, 0)), "")</f>
        <v>CurrentAgentKind</v>
      </c>
      <c r="J1498" s="3" t="b">
        <f>_xlfn.IFNA(INDEX(RulebookFields!I2:I999, MATCH(D1498,RulebookFields!A2:A999, 0)), "")</f>
        <v>1</v>
      </c>
      <c r="K1498" s="3" t="b">
        <f>AND(F1498, J1498)</f>
        <v>0</v>
      </c>
      <c r="L1498" s="3" t="b">
        <f>AND(G1498 &lt;&gt; "plain", G1498 &lt;&gt; "")</f>
        <v>0</v>
      </c>
      <c r="M1498" s="3" t="str">
        <f>IF(E1498, C1498 &amp; "|" &amp; H1498, "")</f>
        <v>principal-process-steward|Roles</v>
      </c>
      <c r="N1498" s="2" t="s">
        <v>9938</v>
      </c>
    </row>
    <row r="1499">
      <c r="A1499" s="2" t="s">
        <v>11435</v>
      </c>
      <c r="B1499" s="3" t="str">
        <f>C1499 &amp; " -&gt; " &amp; D1499</f>
        <v>principal-process-steward -&gt; Roles.Responsibility</v>
      </c>
      <c r="C1499" s="2" t="s">
        <v>9706</v>
      </c>
      <c r="D1499" s="2" t="s">
        <v>2480</v>
      </c>
      <c r="E1499" s="2" t="b">
        <v>1</v>
      </c>
      <c r="F1499" s="2" t="b">
        <v>0</v>
      </c>
      <c r="G1499" s="2" t="s">
        <v>9937</v>
      </c>
      <c r="H1499" s="3" t="str">
        <f>_xlfn.IFNA(INDEX(RulebookFields!C2:C999, MATCH(D1499,RulebookFields!A2:A999, 0)), "")</f>
        <v>Roles</v>
      </c>
      <c r="I1499" s="3" t="str">
        <f>_xlfn.IFNA(INDEX(RulebookFields!D2:D999, MATCH(D1499,RulebookFields!A2:A999, 0)), "")</f>
        <v>Responsibility</v>
      </c>
      <c r="J1499" s="3" t="b">
        <f>_xlfn.IFNA(INDEX(RulebookFields!I2:I999, MATCH(D1499,RulebookFields!A2:A999, 0)), "")</f>
        <v>0</v>
      </c>
      <c r="K1499" s="3" t="b">
        <f>AND(F1499, J1499)</f>
        <v>0</v>
      </c>
      <c r="L1499" s="3" t="b">
        <f>AND(G1499 &lt;&gt; "plain", G1499 &lt;&gt; "")</f>
        <v>0</v>
      </c>
      <c r="M1499" s="3" t="str">
        <f>IF(E1499, C1499 &amp; "|" &amp; H1499, "")</f>
        <v>principal-process-steward|Roles</v>
      </c>
      <c r="N1499" s="2" t="s">
        <v>9938</v>
      </c>
    </row>
    <row r="1500">
      <c r="A1500" s="2" t="s">
        <v>11436</v>
      </c>
      <c r="B1500" s="3" t="str">
        <f>C1500 &amp; " -&gt; " &amp; D1500</f>
        <v>principal-process-steward -&gt; Roles.ActiveAssignmentCount</v>
      </c>
      <c r="C1500" s="2" t="s">
        <v>9706</v>
      </c>
      <c r="D1500" s="2" t="s">
        <v>2481</v>
      </c>
      <c r="E1500" s="2" t="b">
        <v>1</v>
      </c>
      <c r="F1500" s="2" t="b">
        <v>0</v>
      </c>
      <c r="G1500" s="2" t="s">
        <v>9937</v>
      </c>
      <c r="H1500" s="3" t="str">
        <f>_xlfn.IFNA(INDEX(RulebookFields!C2:C999, MATCH(D1500,RulebookFields!A2:A999, 0)), "")</f>
        <v>Roles</v>
      </c>
      <c r="I1500" s="3" t="str">
        <f>_xlfn.IFNA(INDEX(RulebookFields!D2:D999, MATCH(D1500,RulebookFields!A2:A999, 0)), "")</f>
        <v>ActiveAssignmentCount</v>
      </c>
      <c r="J1500" s="3" t="b">
        <f>_xlfn.IFNA(INDEX(RulebookFields!I2:I999, MATCH(D1500,RulebookFields!A2:A999, 0)), "")</f>
        <v>1</v>
      </c>
      <c r="K1500" s="3" t="b">
        <f>AND(F1500, J1500)</f>
        <v>0</v>
      </c>
      <c r="L1500" s="3" t="b">
        <f>AND(G1500 &lt;&gt; "plain", G1500 &lt;&gt; "")</f>
        <v>0</v>
      </c>
      <c r="M1500" s="3" t="str">
        <f>IF(E1500, C1500 &amp; "|" &amp; H1500, "")</f>
        <v>principal-process-steward|Roles</v>
      </c>
      <c r="N1500" s="2" t="s">
        <v>9938</v>
      </c>
    </row>
    <row r="1501">
      <c r="A1501" s="2" t="s">
        <v>11437</v>
      </c>
      <c r="B1501" s="3" t="str">
        <f>C1501 &amp; " -&gt; " &amp; D1501</f>
        <v>principal-process-steward -&gt; Roles.CurrentlyCoveredAssignmentCount</v>
      </c>
      <c r="C1501" s="2" t="s">
        <v>9706</v>
      </c>
      <c r="D1501" s="2" t="s">
        <v>2483</v>
      </c>
      <c r="E1501" s="2" t="b">
        <v>1</v>
      </c>
      <c r="F1501" s="2" t="b">
        <v>0</v>
      </c>
      <c r="G1501" s="2" t="s">
        <v>9937</v>
      </c>
      <c r="H1501" s="3" t="str">
        <f>_xlfn.IFNA(INDEX(RulebookFields!C2:C999, MATCH(D1501,RulebookFields!A2:A999, 0)), "")</f>
        <v>Roles</v>
      </c>
      <c r="I1501" s="3" t="str">
        <f>_xlfn.IFNA(INDEX(RulebookFields!D2:D999, MATCH(D1501,RulebookFields!A2:A999, 0)), "")</f>
        <v>CurrentlyCoveredAssignmentCount</v>
      </c>
      <c r="J1501" s="3" t="b">
        <f>_xlfn.IFNA(INDEX(RulebookFields!I2:I999, MATCH(D1501,RulebookFields!A2:A999, 0)), "")</f>
        <v>1</v>
      </c>
      <c r="K1501" s="3" t="b">
        <f>AND(F1501, J1501)</f>
        <v>0</v>
      </c>
      <c r="L1501" s="3" t="b">
        <f>AND(G1501 &lt;&gt; "plain", G1501 &lt;&gt; "")</f>
        <v>0</v>
      </c>
      <c r="M1501" s="3" t="str">
        <f>IF(E1501, C1501 &amp; "|" &amp; H1501, "")</f>
        <v>principal-process-steward|Roles</v>
      </c>
      <c r="N1501" s="2" t="s">
        <v>9938</v>
      </c>
    </row>
    <row r="1502">
      <c r="A1502" s="2" t="s">
        <v>11438</v>
      </c>
      <c r="B1502" s="3" t="str">
        <f>C1502 &amp; " -&gt; " &amp; D1502</f>
        <v>principal-process-steward -&gt; Roles.HasNoCurrentHolder</v>
      </c>
      <c r="C1502" s="2" t="s">
        <v>9706</v>
      </c>
      <c r="D1502" s="2" t="s">
        <v>2485</v>
      </c>
      <c r="E1502" s="2" t="b">
        <v>1</v>
      </c>
      <c r="F1502" s="2" t="b">
        <v>0</v>
      </c>
      <c r="G1502" s="2" t="s">
        <v>9937</v>
      </c>
      <c r="H1502" s="3" t="str">
        <f>_xlfn.IFNA(INDEX(RulebookFields!C2:C999, MATCH(D1502,RulebookFields!A2:A999, 0)), "")</f>
        <v>Roles</v>
      </c>
      <c r="I1502" s="3" t="str">
        <f>_xlfn.IFNA(INDEX(RulebookFields!D2:D999, MATCH(D1502,RulebookFields!A2:A999, 0)), "")</f>
        <v>HasNoCurrentHolder</v>
      </c>
      <c r="J1502" s="3" t="b">
        <f>_xlfn.IFNA(INDEX(RulebookFields!I2:I999, MATCH(D1502,RulebookFields!A2:A999, 0)), "")</f>
        <v>1</v>
      </c>
      <c r="K1502" s="3" t="b">
        <f>AND(F1502, J1502)</f>
        <v>0</v>
      </c>
      <c r="L1502" s="3" t="b">
        <f>AND(G1502 &lt;&gt; "plain", G1502 &lt;&gt; "")</f>
        <v>0</v>
      </c>
      <c r="M1502" s="3" t="str">
        <f>IF(E1502, C1502 &amp; "|" &amp; H1502, "")</f>
        <v>principal-process-steward|Roles</v>
      </c>
      <c r="N1502" s="2" t="s">
        <v>9938</v>
      </c>
    </row>
    <row r="1503">
      <c r="A1503" s="2" t="s">
        <v>11439</v>
      </c>
      <c r="B1503" s="3" t="str">
        <f>C1503 &amp; " -&gt; " &amp; D1503</f>
        <v>principal-process-steward -&gt; Roles.CountOfAwaitedDecisions</v>
      </c>
      <c r="C1503" s="2" t="s">
        <v>9706</v>
      </c>
      <c r="D1503" s="2" t="s">
        <v>2487</v>
      </c>
      <c r="E1503" s="2" t="b">
        <v>1</v>
      </c>
      <c r="F1503" s="2" t="b">
        <v>0</v>
      </c>
      <c r="G1503" s="2" t="s">
        <v>9937</v>
      </c>
      <c r="H1503" s="3" t="str">
        <f>_xlfn.IFNA(INDEX(RulebookFields!C2:C999, MATCH(D1503,RulebookFields!A2:A999, 0)), "")</f>
        <v>Roles</v>
      </c>
      <c r="I1503" s="3" t="str">
        <f>_xlfn.IFNA(INDEX(RulebookFields!D2:D999, MATCH(D1503,RulebookFields!A2:A999, 0)), "")</f>
        <v>CountOfAwaitedDecisions</v>
      </c>
      <c r="J1503" s="3" t="b">
        <f>_xlfn.IFNA(INDEX(RulebookFields!I2:I999, MATCH(D1503,RulebookFields!A2:A999, 0)), "")</f>
        <v>1</v>
      </c>
      <c r="K1503" s="3" t="b">
        <f>AND(F1503, J1503)</f>
        <v>0</v>
      </c>
      <c r="L1503" s="3" t="b">
        <f>AND(G1503 &lt;&gt; "plain", G1503 &lt;&gt; "")</f>
        <v>0</v>
      </c>
      <c r="M1503" s="3" t="str">
        <f>IF(E1503, C1503 &amp; "|" &amp; H1503, "")</f>
        <v>principal-process-steward|Roles</v>
      </c>
      <c r="N1503" s="2" t="s">
        <v>9938</v>
      </c>
    </row>
    <row r="1504">
      <c r="A1504" s="2" t="s">
        <v>11440</v>
      </c>
      <c r="B1504" s="3" t="str">
        <f>C1504 &amp; " -&gt; " &amp; D1504</f>
        <v>principal-process-steward -&gt; Roles.CurrentAssignment</v>
      </c>
      <c r="C1504" s="2" t="s">
        <v>9706</v>
      </c>
      <c r="D1504" s="2" t="s">
        <v>2489</v>
      </c>
      <c r="E1504" s="2" t="b">
        <v>1</v>
      </c>
      <c r="F1504" s="2" t="b">
        <v>0</v>
      </c>
      <c r="G1504" s="2" t="s">
        <v>9937</v>
      </c>
      <c r="H1504" s="3" t="str">
        <f>_xlfn.IFNA(INDEX(RulebookFields!C2:C999, MATCH(D1504,RulebookFields!A2:A999, 0)), "")</f>
        <v>Roles</v>
      </c>
      <c r="I1504" s="3" t="str">
        <f>_xlfn.IFNA(INDEX(RulebookFields!D2:D999, MATCH(D1504,RulebookFields!A2:A999, 0)), "")</f>
        <v>CurrentAssignment</v>
      </c>
      <c r="J1504" s="3" t="b">
        <f>_xlfn.IFNA(INDEX(RulebookFields!I2:I999, MATCH(D1504,RulebookFields!A2:A999, 0)), "")</f>
        <v>0</v>
      </c>
      <c r="K1504" s="3" t="b">
        <f>AND(F1504, J1504)</f>
        <v>0</v>
      </c>
      <c r="L1504" s="3" t="b">
        <f>AND(G1504 &lt;&gt; "plain", G1504 &lt;&gt; "")</f>
        <v>0</v>
      </c>
      <c r="M1504" s="3" t="str">
        <f>IF(E1504, C1504 &amp; "|" &amp; H1504, "")</f>
        <v>principal-process-steward|Roles</v>
      </c>
      <c r="N1504" s="2" t="s">
        <v>9938</v>
      </c>
    </row>
    <row r="1505">
      <c r="A1505" s="2" t="s">
        <v>11441</v>
      </c>
      <c r="B1505" s="3" t="str">
        <f>C1505 &amp; " -&gt; " &amp; D1505</f>
        <v>principal-process-steward -&gt; Roles.CurrentAssignmentValidFrom</v>
      </c>
      <c r="C1505" s="2" t="s">
        <v>9706</v>
      </c>
      <c r="D1505" s="2" t="s">
        <v>2490</v>
      </c>
      <c r="E1505" s="2" t="b">
        <v>1</v>
      </c>
      <c r="F1505" s="2" t="b">
        <v>0</v>
      </c>
      <c r="G1505" s="2" t="s">
        <v>9937</v>
      </c>
      <c r="H1505" s="3" t="str">
        <f>_xlfn.IFNA(INDEX(RulebookFields!C2:C999, MATCH(D1505,RulebookFields!A2:A999, 0)), "")</f>
        <v>Roles</v>
      </c>
      <c r="I1505" s="3" t="str">
        <f>_xlfn.IFNA(INDEX(RulebookFields!D2:D999, MATCH(D1505,RulebookFields!A2:A999, 0)), "")</f>
        <v>CurrentAssignmentValidFrom</v>
      </c>
      <c r="J1505" s="3" t="b">
        <f>_xlfn.IFNA(INDEX(RulebookFields!I2:I999, MATCH(D1505,RulebookFields!A2:A999, 0)), "")</f>
        <v>1</v>
      </c>
      <c r="K1505" s="3" t="b">
        <f>AND(F1505, J1505)</f>
        <v>0</v>
      </c>
      <c r="L1505" s="3" t="b">
        <f>AND(G1505 &lt;&gt; "plain", G1505 &lt;&gt; "")</f>
        <v>0</v>
      </c>
      <c r="M1505" s="3" t="str">
        <f>IF(E1505, C1505 &amp; "|" &amp; H1505, "")</f>
        <v>principal-process-steward|Roles</v>
      </c>
      <c r="N1505" s="2" t="s">
        <v>9938</v>
      </c>
    </row>
    <row r="1506">
      <c r="A1506" s="2" t="s">
        <v>11442</v>
      </c>
      <c r="B1506" s="3" t="str">
        <f>C1506 &amp; " -&gt; " &amp; D1506</f>
        <v>principal-process-steward -&gt; Roles.IsNonHumanHeld</v>
      </c>
      <c r="C1506" s="2" t="s">
        <v>9706</v>
      </c>
      <c r="D1506" s="2" t="s">
        <v>2492</v>
      </c>
      <c r="E1506" s="2" t="b">
        <v>1</v>
      </c>
      <c r="F1506" s="2" t="b">
        <v>0</v>
      </c>
      <c r="G1506" s="2" t="s">
        <v>9937</v>
      </c>
      <c r="H1506" s="3" t="str">
        <f>_xlfn.IFNA(INDEX(RulebookFields!C2:C999, MATCH(D1506,RulebookFields!A2:A999, 0)), "")</f>
        <v>Roles</v>
      </c>
      <c r="I1506" s="3" t="str">
        <f>_xlfn.IFNA(INDEX(RulebookFields!D2:D999, MATCH(D1506,RulebookFields!A2:A999, 0)), "")</f>
        <v>IsNonHumanHeld</v>
      </c>
      <c r="J1506" s="3" t="b">
        <f>_xlfn.IFNA(INDEX(RulebookFields!I2:I999, MATCH(D1506,RulebookFields!A2:A999, 0)), "")</f>
        <v>1</v>
      </c>
      <c r="K1506" s="3" t="b">
        <f>AND(F1506, J1506)</f>
        <v>0</v>
      </c>
      <c r="L1506" s="3" t="b">
        <f>AND(G1506 &lt;&gt; "plain", G1506 &lt;&gt; "")</f>
        <v>0</v>
      </c>
      <c r="M1506" s="3" t="str">
        <f>IF(E1506, C1506 &amp; "|" &amp; H1506, "")</f>
        <v>principal-process-steward|Roles</v>
      </c>
      <c r="N1506" s="2" t="s">
        <v>9938</v>
      </c>
    </row>
    <row r="1507">
      <c r="A1507" s="2" t="s">
        <v>11443</v>
      </c>
      <c r="B1507" s="3" t="str">
        <f>C1507 &amp; " -&gt; " &amp; D1507</f>
        <v>principal-process-steward -&gt; Roles.IsUngovernedNonHumanRole</v>
      </c>
      <c r="C1507" s="2" t="s">
        <v>9706</v>
      </c>
      <c r="D1507" s="2" t="s">
        <v>2494</v>
      </c>
      <c r="E1507" s="2" t="b">
        <v>1</v>
      </c>
      <c r="F1507" s="2" t="b">
        <v>0</v>
      </c>
      <c r="G1507" s="2" t="s">
        <v>9937</v>
      </c>
      <c r="H1507" s="3" t="str">
        <f>_xlfn.IFNA(INDEX(RulebookFields!C2:C999, MATCH(D1507,RulebookFields!A2:A999, 0)), "")</f>
        <v>Roles</v>
      </c>
      <c r="I1507" s="3" t="str">
        <f>_xlfn.IFNA(INDEX(RulebookFields!D2:D999, MATCH(D1507,RulebookFields!A2:A999, 0)), "")</f>
        <v>IsUngovernedNonHumanRole</v>
      </c>
      <c r="J1507" s="3" t="b">
        <f>_xlfn.IFNA(INDEX(RulebookFields!I2:I999, MATCH(D1507,RulebookFields!A2:A999, 0)), "")</f>
        <v>1</v>
      </c>
      <c r="K1507" s="3" t="b">
        <f>AND(F1507, J1507)</f>
        <v>0</v>
      </c>
      <c r="L1507" s="3" t="b">
        <f>AND(G1507 &lt;&gt; "plain", G1507 &lt;&gt; "")</f>
        <v>0</v>
      </c>
      <c r="M1507" s="3" t="str">
        <f>IF(E1507, C1507 &amp; "|" &amp; H1507, "")</f>
        <v>principal-process-steward|Roles</v>
      </c>
      <c r="N1507" s="2" t="s">
        <v>9938</v>
      </c>
    </row>
    <row r="1508">
      <c r="A1508" s="2" t="s">
        <v>11444</v>
      </c>
      <c r="B1508" s="3" t="str">
        <f>C1508 &amp; " -&gt; " &amp; D1508</f>
        <v>principal-process-steward -&gt; Roles.DepartedAssignmentCount</v>
      </c>
      <c r="C1508" s="2" t="s">
        <v>9706</v>
      </c>
      <c r="D1508" s="2" t="s">
        <v>2496</v>
      </c>
      <c r="E1508" s="2" t="b">
        <v>1</v>
      </c>
      <c r="F1508" s="2" t="b">
        <v>0</v>
      </c>
      <c r="G1508" s="2" t="s">
        <v>9937</v>
      </c>
      <c r="H1508" s="3" t="str">
        <f>_xlfn.IFNA(INDEX(RulebookFields!C2:C999, MATCH(D1508,RulebookFields!A2:A999, 0)), "")</f>
        <v>Roles</v>
      </c>
      <c r="I1508" s="3" t="str">
        <f>_xlfn.IFNA(INDEX(RulebookFields!D2:D999, MATCH(D1508,RulebookFields!A2:A999, 0)), "")</f>
        <v>DepartedAssignmentCount</v>
      </c>
      <c r="J1508" s="3" t="b">
        <f>_xlfn.IFNA(INDEX(RulebookFields!I2:I999, MATCH(D1508,RulebookFields!A2:A999, 0)), "")</f>
        <v>1</v>
      </c>
      <c r="K1508" s="3" t="b">
        <f>AND(F1508, J1508)</f>
        <v>0</v>
      </c>
      <c r="L1508" s="3" t="b">
        <f>AND(G1508 &lt;&gt; "plain", G1508 &lt;&gt; "")</f>
        <v>0</v>
      </c>
      <c r="M1508" s="3" t="str">
        <f>IF(E1508, C1508 &amp; "|" &amp; H1508, "")</f>
        <v>principal-process-steward|Roles</v>
      </c>
      <c r="N1508" s="2" t="s">
        <v>9938</v>
      </c>
    </row>
    <row r="1509">
      <c r="A1509" s="2" t="s">
        <v>11445</v>
      </c>
      <c r="B1509" s="3" t="str">
        <f>C1509 &amp; " -&gt; " &amp; D1509</f>
        <v>principal-process-steward -&gt; Roles.HasLostAHolder</v>
      </c>
      <c r="C1509" s="2" t="s">
        <v>9706</v>
      </c>
      <c r="D1509" s="2" t="s">
        <v>2498</v>
      </c>
      <c r="E1509" s="2" t="b">
        <v>1</v>
      </c>
      <c r="F1509" s="2" t="b">
        <v>0</v>
      </c>
      <c r="G1509" s="2" t="s">
        <v>9937</v>
      </c>
      <c r="H1509" s="3" t="str">
        <f>_xlfn.IFNA(INDEX(RulebookFields!C2:C999, MATCH(D1509,RulebookFields!A2:A999, 0)), "")</f>
        <v>Roles</v>
      </c>
      <c r="I1509" s="3" t="str">
        <f>_xlfn.IFNA(INDEX(RulebookFields!D2:D999, MATCH(D1509,RulebookFields!A2:A999, 0)), "")</f>
        <v>HasLostAHolder</v>
      </c>
      <c r="J1509" s="3" t="b">
        <f>_xlfn.IFNA(INDEX(RulebookFields!I2:I999, MATCH(D1509,RulebookFields!A2:A999, 0)), "")</f>
        <v>1</v>
      </c>
      <c r="K1509" s="3" t="b">
        <f>AND(F1509, J1509)</f>
        <v>0</v>
      </c>
      <c r="L1509" s="3" t="b">
        <f>AND(G1509 &lt;&gt; "plain", G1509 &lt;&gt; "")</f>
        <v>0</v>
      </c>
      <c r="M1509" s="3" t="str">
        <f>IF(E1509, C1509 &amp; "|" &amp; H1509, "")</f>
        <v>principal-process-steward|Roles</v>
      </c>
      <c r="N1509" s="2" t="s">
        <v>9938</v>
      </c>
    </row>
    <row r="1510">
      <c r="A1510" s="2" t="s">
        <v>11446</v>
      </c>
      <c r="B1510" s="3" t="str">
        <f>C1510 &amp; " -&gt; " &amp; D1510</f>
        <v>principal-process-steward -&gt; Roles.IsVacatedRole</v>
      </c>
      <c r="C1510" s="2" t="s">
        <v>9706</v>
      </c>
      <c r="D1510" s="2" t="s">
        <v>2500</v>
      </c>
      <c r="E1510" s="2" t="b">
        <v>1</v>
      </c>
      <c r="F1510" s="2" t="b">
        <v>0</v>
      </c>
      <c r="G1510" s="2" t="s">
        <v>9937</v>
      </c>
      <c r="H1510" s="3" t="str">
        <f>_xlfn.IFNA(INDEX(RulebookFields!C2:C999, MATCH(D1510,RulebookFields!A2:A999, 0)), "")</f>
        <v>Roles</v>
      </c>
      <c r="I1510" s="3" t="str">
        <f>_xlfn.IFNA(INDEX(RulebookFields!D2:D999, MATCH(D1510,RulebookFields!A2:A999, 0)), "")</f>
        <v>IsVacatedRole</v>
      </c>
      <c r="J1510" s="3" t="b">
        <f>_xlfn.IFNA(INDEX(RulebookFields!I2:I999, MATCH(D1510,RulebookFields!A2:A999, 0)), "")</f>
        <v>1</v>
      </c>
      <c r="K1510" s="3" t="b">
        <f>AND(F1510, J1510)</f>
        <v>0</v>
      </c>
      <c r="L1510" s="3" t="b">
        <f>AND(G1510 &lt;&gt; "plain", G1510 &lt;&gt; "")</f>
        <v>0</v>
      </c>
      <c r="M1510" s="3" t="str">
        <f>IF(E1510, C1510 &amp; "|" &amp; H1510, "")</f>
        <v>principal-process-steward|Roles</v>
      </c>
      <c r="N1510" s="2" t="s">
        <v>9938</v>
      </c>
    </row>
    <row r="1511">
      <c r="A1511" s="2" t="s">
        <v>11447</v>
      </c>
      <c r="B1511" s="3" t="str">
        <f>C1511 &amp; " -&gt; " &amp; D1511</f>
        <v>principal-process-steward -&gt; Roles.UngroundedBoundaryCount</v>
      </c>
      <c r="C1511" s="2" t="s">
        <v>9706</v>
      </c>
      <c r="D1511" s="2" t="s">
        <v>2502</v>
      </c>
      <c r="E1511" s="2" t="b">
        <v>1</v>
      </c>
      <c r="F1511" s="2" t="b">
        <v>0</v>
      </c>
      <c r="G1511" s="2" t="s">
        <v>9937</v>
      </c>
      <c r="H1511" s="3" t="str">
        <f>_xlfn.IFNA(INDEX(RulebookFields!C2:C999, MATCH(D1511,RulebookFields!A2:A999, 0)), "")</f>
        <v>Roles</v>
      </c>
      <c r="I1511" s="3" t="str">
        <f>_xlfn.IFNA(INDEX(RulebookFields!D2:D999, MATCH(D1511,RulebookFields!A2:A999, 0)), "")</f>
        <v>UngroundedBoundaryCount</v>
      </c>
      <c r="J1511" s="3" t="b">
        <f>_xlfn.IFNA(INDEX(RulebookFields!I2:I999, MATCH(D1511,RulebookFields!A2:A999, 0)), "")</f>
        <v>1</v>
      </c>
      <c r="K1511" s="3" t="b">
        <f>AND(F1511, J1511)</f>
        <v>0</v>
      </c>
      <c r="L1511" s="3" t="b">
        <f>AND(G1511 &lt;&gt; "plain", G1511 &lt;&gt; "")</f>
        <v>0</v>
      </c>
      <c r="M1511" s="3" t="str">
        <f>IF(E1511, C1511 &amp; "|" &amp; H1511, "")</f>
        <v>principal-process-steward|Roles</v>
      </c>
      <c r="N1511" s="2" t="s">
        <v>9938</v>
      </c>
    </row>
    <row r="1512">
      <c r="A1512" s="2" t="s">
        <v>11448</v>
      </c>
      <c r="B1512" s="3" t="str">
        <f>C1512 &amp; " -&gt; " &amp; D1512</f>
        <v>principal-process-steward -&gt; Roles.IsGovernedByLapsedAuthority</v>
      </c>
      <c r="C1512" s="2" t="s">
        <v>9706</v>
      </c>
      <c r="D1512" s="2" t="s">
        <v>2504</v>
      </c>
      <c r="E1512" s="2" t="b">
        <v>1</v>
      </c>
      <c r="F1512" s="2" t="b">
        <v>0</v>
      </c>
      <c r="G1512" s="2" t="s">
        <v>9937</v>
      </c>
      <c r="H1512" s="3" t="str">
        <f>_xlfn.IFNA(INDEX(RulebookFields!C2:C999, MATCH(D1512,RulebookFields!A2:A999, 0)), "")</f>
        <v>Roles</v>
      </c>
      <c r="I1512" s="3" t="str">
        <f>_xlfn.IFNA(INDEX(RulebookFields!D2:D999, MATCH(D1512,RulebookFields!A2:A999, 0)), "")</f>
        <v>IsGovernedByLapsedAuthority</v>
      </c>
      <c r="J1512" s="3" t="b">
        <f>_xlfn.IFNA(INDEX(RulebookFields!I2:I999, MATCH(D1512,RulebookFields!A2:A999, 0)), "")</f>
        <v>1</v>
      </c>
      <c r="K1512" s="3" t="b">
        <f>AND(F1512, J1512)</f>
        <v>0</v>
      </c>
      <c r="L1512" s="3" t="b">
        <f>AND(G1512 &lt;&gt; "plain", G1512 &lt;&gt; "")</f>
        <v>0</v>
      </c>
      <c r="M1512" s="3" t="str">
        <f>IF(E1512, C1512 &amp; "|" &amp; H1512, "")</f>
        <v>principal-process-steward|Roles</v>
      </c>
      <c r="N1512" s="2" t="s">
        <v>9938</v>
      </c>
    </row>
    <row r="1513">
      <c r="A1513" s="2" t="s">
        <v>11449</v>
      </c>
      <c r="B1513" s="3" t="str">
        <f>C1513 &amp; " -&gt; " &amp; D1513</f>
        <v>principal-process-steward -&gt; Roles.UnescalatedRefusalCount</v>
      </c>
      <c r="C1513" s="2" t="s">
        <v>9706</v>
      </c>
      <c r="D1513" s="2" t="s">
        <v>2506</v>
      </c>
      <c r="E1513" s="2" t="b">
        <v>1</v>
      </c>
      <c r="F1513" s="2" t="b">
        <v>0</v>
      </c>
      <c r="G1513" s="2" t="s">
        <v>9937</v>
      </c>
      <c r="H1513" s="3" t="str">
        <f>_xlfn.IFNA(INDEX(RulebookFields!C2:C999, MATCH(D1513,RulebookFields!A2:A999, 0)), "")</f>
        <v>Roles</v>
      </c>
      <c r="I1513" s="3" t="str">
        <f>_xlfn.IFNA(INDEX(RulebookFields!D2:D999, MATCH(D1513,RulebookFields!A2:A999, 0)), "")</f>
        <v>UnescalatedRefusalCount</v>
      </c>
      <c r="J1513" s="3" t="b">
        <f>_xlfn.IFNA(INDEX(RulebookFields!I2:I999, MATCH(D1513,RulebookFields!A2:A999, 0)), "")</f>
        <v>1</v>
      </c>
      <c r="K1513" s="3" t="b">
        <f>AND(F1513, J1513)</f>
        <v>0</v>
      </c>
      <c r="L1513" s="3" t="b">
        <f>AND(G1513 &lt;&gt; "plain", G1513 &lt;&gt; "")</f>
        <v>0</v>
      </c>
      <c r="M1513" s="3" t="str">
        <f>IF(E1513, C1513 &amp; "|" &amp; H1513, "")</f>
        <v>principal-process-steward|Roles</v>
      </c>
      <c r="N1513" s="2" t="s">
        <v>9938</v>
      </c>
    </row>
    <row r="1514">
      <c r="A1514" s="2" t="s">
        <v>11450</v>
      </c>
      <c r="B1514" s="3" t="str">
        <f>C1514 &amp; " -&gt; " &amp; D1514</f>
        <v>principal-process-steward -&gt; Roles.UnauthorizedEnforcementAssignmentCount</v>
      </c>
      <c r="C1514" s="2" t="s">
        <v>9706</v>
      </c>
      <c r="D1514" s="2" t="s">
        <v>2508</v>
      </c>
      <c r="E1514" s="2" t="b">
        <v>1</v>
      </c>
      <c r="F1514" s="2" t="b">
        <v>0</v>
      </c>
      <c r="G1514" s="2" t="s">
        <v>9937</v>
      </c>
      <c r="H1514" s="3" t="str">
        <f>_xlfn.IFNA(INDEX(RulebookFields!C2:C999, MATCH(D1514,RulebookFields!A2:A999, 0)), "")</f>
        <v>Roles</v>
      </c>
      <c r="I1514" s="3" t="str">
        <f>_xlfn.IFNA(INDEX(RulebookFields!D2:D999, MATCH(D1514,RulebookFields!A2:A999, 0)), "")</f>
        <v>UnauthorizedEnforcementAssignmentCount</v>
      </c>
      <c r="J1514" s="3" t="b">
        <f>_xlfn.IFNA(INDEX(RulebookFields!I2:I999, MATCH(D1514,RulebookFields!A2:A999, 0)), "")</f>
        <v>1</v>
      </c>
      <c r="K1514" s="3" t="b">
        <f>AND(F1514, J1514)</f>
        <v>0</v>
      </c>
      <c r="L1514" s="3" t="b">
        <f>AND(G1514 &lt;&gt; "plain", G1514 &lt;&gt; "")</f>
        <v>0</v>
      </c>
      <c r="M1514" s="3" t="str">
        <f>IF(E1514, C1514 &amp; "|" &amp; H1514, "")</f>
        <v>principal-process-steward|Roles</v>
      </c>
      <c r="N1514" s="2" t="s">
        <v>9938</v>
      </c>
    </row>
    <row r="1515">
      <c r="A1515" s="2" t="s">
        <v>11451</v>
      </c>
      <c r="B1515" s="3" t="str">
        <f>C1515 &amp; " -&gt; " &amp; D1515</f>
        <v>principal-process-steward -&gt; Roles.IsUngovernedEnforcementRole</v>
      </c>
      <c r="C1515" s="2" t="s">
        <v>9706</v>
      </c>
      <c r="D1515" s="2" t="s">
        <v>2510</v>
      </c>
      <c r="E1515" s="2" t="b">
        <v>1</v>
      </c>
      <c r="F1515" s="2" t="b">
        <v>0</v>
      </c>
      <c r="G1515" s="2" t="s">
        <v>9937</v>
      </c>
      <c r="H1515" s="3" t="str">
        <f>_xlfn.IFNA(INDEX(RulebookFields!C2:C999, MATCH(D1515,RulebookFields!A2:A999, 0)), "")</f>
        <v>Roles</v>
      </c>
      <c r="I1515" s="3" t="str">
        <f>_xlfn.IFNA(INDEX(RulebookFields!D2:D999, MATCH(D1515,RulebookFields!A2:A999, 0)), "")</f>
        <v>IsUngovernedEnforcementRole</v>
      </c>
      <c r="J1515" s="3" t="b">
        <f>_xlfn.IFNA(INDEX(RulebookFields!I2:I999, MATCH(D1515,RulebookFields!A2:A999, 0)), "")</f>
        <v>1</v>
      </c>
      <c r="K1515" s="3" t="b">
        <f>AND(F1515, J1515)</f>
        <v>0</v>
      </c>
      <c r="L1515" s="3" t="b">
        <f>AND(G1515 &lt;&gt; "plain", G1515 &lt;&gt; "")</f>
        <v>0</v>
      </c>
      <c r="M1515" s="3" t="str">
        <f>IF(E1515, C1515 &amp; "|" &amp; H1515, "")</f>
        <v>principal-process-steward|Roles</v>
      </c>
      <c r="N1515" s="2" t="s">
        <v>9938</v>
      </c>
    </row>
    <row r="1516">
      <c r="A1516" s="2" t="s">
        <v>11452</v>
      </c>
      <c r="B1516" s="3" t="str">
        <f>C1516 &amp; " -&gt; " &amp; D1516</f>
        <v>principal-process-steward -&gt; Roles.SemanticTypeIri</v>
      </c>
      <c r="C1516" s="2" t="s">
        <v>9706</v>
      </c>
      <c r="D1516" s="2" t="s">
        <v>2512</v>
      </c>
      <c r="E1516" s="2" t="b">
        <v>1</v>
      </c>
      <c r="F1516" s="2" t="b">
        <v>0</v>
      </c>
      <c r="G1516" s="2" t="s">
        <v>9937</v>
      </c>
      <c r="H1516" s="3" t="str">
        <f>_xlfn.IFNA(INDEX(RulebookFields!C2:C999, MATCH(D1516,RulebookFields!A2:A999, 0)), "")</f>
        <v>Roles</v>
      </c>
      <c r="I1516" s="3" t="str">
        <f>_xlfn.IFNA(INDEX(RulebookFields!D2:D999, MATCH(D1516,RulebookFields!A2:A999, 0)), "")</f>
        <v>SemanticTypeIri</v>
      </c>
      <c r="J1516" s="3" t="b">
        <f>_xlfn.IFNA(INDEX(RulebookFields!I2:I999, MATCH(D1516,RulebookFields!A2:A999, 0)), "")</f>
        <v>0</v>
      </c>
      <c r="K1516" s="3" t="b">
        <f>AND(F1516, J1516)</f>
        <v>0</v>
      </c>
      <c r="L1516" s="3" t="b">
        <f>AND(G1516 &lt;&gt; "plain", G1516 &lt;&gt; "")</f>
        <v>0</v>
      </c>
      <c r="M1516" s="3" t="str">
        <f>IF(E1516, C1516 &amp; "|" &amp; H1516, "")</f>
        <v>principal-process-steward|Roles</v>
      </c>
      <c r="N1516" s="2" t="s">
        <v>9938</v>
      </c>
    </row>
    <row r="1517">
      <c r="A1517" s="2" t="s">
        <v>11453</v>
      </c>
      <c r="B1517" s="3" t="str">
        <f>C1517 &amp; " -&gt; " &amp; D1517</f>
        <v>principal-process-steward -&gt; RulebookFields.RulebookFieldId</v>
      </c>
      <c r="C1517" s="2" t="s">
        <v>9706</v>
      </c>
      <c r="D1517" s="2" t="s">
        <v>4105</v>
      </c>
      <c r="E1517" s="2" t="b">
        <v>1</v>
      </c>
      <c r="F1517" s="2" t="b">
        <v>0</v>
      </c>
      <c r="G1517" s="2" t="s">
        <v>9937</v>
      </c>
      <c r="H1517" s="3" t="str">
        <f>_xlfn.IFNA(INDEX(RulebookFields!C2:C999, MATCH(D1517,RulebookFields!A2:A999, 0)), "")</f>
      </c>
      <c r="I1517" s="3" t="str">
        <f>_xlfn.IFNA(INDEX(RulebookFields!D2:D999, MATCH(D1517,RulebookFields!A2:A999, 0)), "")</f>
      </c>
      <c r="J1517" s="3" t="str">
        <f>_xlfn.IFNA(INDEX(RulebookFields!I2:I999, MATCH(D1517,RulebookFields!A2:A999, 0)), "")</f>
      </c>
      <c r="K1517" s="3" t="b">
        <f>AND(F1517, J1517)</f>
        <v>0</v>
      </c>
      <c r="L1517" s="3" t="b">
        <f>AND(G1517 &lt;&gt; "plain", G1517 &lt;&gt; "")</f>
        <v>0</v>
      </c>
      <c r="M1517" s="3" t="str">
        <f>IF(E1517, C1517 &amp; "|" &amp; H1517, "")</f>
        <v>principal-process-steward|</v>
      </c>
      <c r="N1517" s="2" t="s">
        <v>9938</v>
      </c>
    </row>
    <row r="1518">
      <c r="A1518" s="2" t="s">
        <v>11454</v>
      </c>
      <c r="B1518" s="3" t="str">
        <f>C1518 &amp; " -&gt; " &amp; D1518</f>
        <v>principal-process-steward -&gt; RulebookFields.Name</v>
      </c>
      <c r="C1518" s="2" t="s">
        <v>9706</v>
      </c>
      <c r="D1518" s="2" t="s">
        <v>4107</v>
      </c>
      <c r="E1518" s="2" t="b">
        <v>1</v>
      </c>
      <c r="F1518" s="2" t="b">
        <v>0</v>
      </c>
      <c r="G1518" s="2" t="s">
        <v>9937</v>
      </c>
      <c r="H1518" s="3" t="str">
        <f>_xlfn.IFNA(INDEX(RulebookFields!C2:C999, MATCH(D1518,RulebookFields!A2:A999, 0)), "")</f>
      </c>
      <c r="I1518" s="3" t="str">
        <f>_xlfn.IFNA(INDEX(RulebookFields!D2:D999, MATCH(D1518,RulebookFields!A2:A999, 0)), "")</f>
      </c>
      <c r="J1518" s="3" t="str">
        <f>_xlfn.IFNA(INDEX(RulebookFields!I2:I999, MATCH(D1518,RulebookFields!A2:A999, 0)), "")</f>
      </c>
      <c r="K1518" s="3" t="b">
        <f>AND(F1518, J1518)</f>
        <v>0</v>
      </c>
      <c r="L1518" s="3" t="b">
        <f>AND(G1518 &lt;&gt; "plain", G1518 &lt;&gt; "")</f>
        <v>0</v>
      </c>
      <c r="M1518" s="3" t="str">
        <f>IF(E1518, C1518 &amp; "|" &amp; H1518, "")</f>
        <v>principal-process-steward|</v>
      </c>
      <c r="N1518" s="2" t="s">
        <v>9938</v>
      </c>
    </row>
    <row r="1519">
      <c r="A1519" s="2" t="s">
        <v>11455</v>
      </c>
      <c r="B1519" s="3" t="str">
        <f>C1519 &amp; " -&gt; " &amp; D1519</f>
        <v>principal-process-steward -&gt; RulebookFields.TargetTable</v>
      </c>
      <c r="C1519" s="2" t="s">
        <v>9706</v>
      </c>
      <c r="D1519" s="2" t="s">
        <v>4109</v>
      </c>
      <c r="E1519" s="2" t="b">
        <v>1</v>
      </c>
      <c r="F1519" s="2" t="b">
        <v>0</v>
      </c>
      <c r="G1519" s="2" t="s">
        <v>9937</v>
      </c>
      <c r="H1519" s="3" t="str">
        <f>_xlfn.IFNA(INDEX(RulebookFields!C2:C999, MATCH(D1519,RulebookFields!A2:A999, 0)), "")</f>
      </c>
      <c r="I1519" s="3" t="str">
        <f>_xlfn.IFNA(INDEX(RulebookFields!D2:D999, MATCH(D1519,RulebookFields!A2:A999, 0)), "")</f>
      </c>
      <c r="J1519" s="3" t="str">
        <f>_xlfn.IFNA(INDEX(RulebookFields!I2:I999, MATCH(D1519,RulebookFields!A2:A999, 0)), "")</f>
      </c>
      <c r="K1519" s="3" t="b">
        <f>AND(F1519, J1519)</f>
        <v>0</v>
      </c>
      <c r="L1519" s="3" t="b">
        <f>AND(G1519 &lt;&gt; "plain", G1519 &lt;&gt; "")</f>
        <v>0</v>
      </c>
      <c r="M1519" s="3" t="str">
        <f>IF(E1519, C1519 &amp; "|" &amp; H1519, "")</f>
        <v>principal-process-steward|</v>
      </c>
      <c r="N1519" s="2" t="s">
        <v>9938</v>
      </c>
    </row>
    <row r="1520">
      <c r="A1520" s="2" t="s">
        <v>11456</v>
      </c>
      <c r="B1520" s="3" t="str">
        <f>C1520 &amp; " -&gt; " &amp; D1520</f>
        <v>principal-process-steward -&gt; RulebookFields.FieldName</v>
      </c>
      <c r="C1520" s="2" t="s">
        <v>9706</v>
      </c>
      <c r="D1520" s="2" t="s">
        <v>4110</v>
      </c>
      <c r="E1520" s="2" t="b">
        <v>1</v>
      </c>
      <c r="F1520" s="2" t="b">
        <v>0</v>
      </c>
      <c r="G1520" s="2" t="s">
        <v>9937</v>
      </c>
      <c r="H1520" s="3" t="str">
        <f>_xlfn.IFNA(INDEX(RulebookFields!C2:C999, MATCH(D1520,RulebookFields!A2:A999, 0)), "")</f>
      </c>
      <c r="I1520" s="3" t="str">
        <f>_xlfn.IFNA(INDEX(RulebookFields!D2:D999, MATCH(D1520,RulebookFields!A2:A999, 0)), "")</f>
      </c>
      <c r="J1520" s="3" t="str">
        <f>_xlfn.IFNA(INDEX(RulebookFields!I2:I999, MATCH(D1520,RulebookFields!A2:A999, 0)), "")</f>
      </c>
      <c r="K1520" s="3" t="b">
        <f>AND(F1520, J1520)</f>
        <v>0</v>
      </c>
      <c r="L1520" s="3" t="b">
        <f>AND(G1520 &lt;&gt; "plain", G1520 &lt;&gt; "")</f>
        <v>0</v>
      </c>
      <c r="M1520" s="3" t="str">
        <f>IF(E1520, C1520 &amp; "|" &amp; H1520, "")</f>
        <v>principal-process-steward|</v>
      </c>
      <c r="N1520" s="2" t="s">
        <v>9938</v>
      </c>
    </row>
    <row r="1521">
      <c r="A1521" s="2" t="s">
        <v>11457</v>
      </c>
      <c r="B1521" s="3" t="str">
        <f>C1521 &amp; " -&gt; " &amp; D1521</f>
        <v>principal-process-steward -&gt; RulebookFields.FieldType</v>
      </c>
      <c r="C1521" s="2" t="s">
        <v>9706</v>
      </c>
      <c r="D1521" s="2" t="s">
        <v>4111</v>
      </c>
      <c r="E1521" s="2" t="b">
        <v>1</v>
      </c>
      <c r="F1521" s="2" t="b">
        <v>0</v>
      </c>
      <c r="G1521" s="2" t="s">
        <v>9937</v>
      </c>
      <c r="H1521" s="3" t="str">
        <f>_xlfn.IFNA(INDEX(RulebookFields!C2:C999, MATCH(D1521,RulebookFields!A2:A999, 0)), "")</f>
      </c>
      <c r="I1521" s="3" t="str">
        <f>_xlfn.IFNA(INDEX(RulebookFields!D2:D999, MATCH(D1521,RulebookFields!A2:A999, 0)), "")</f>
      </c>
      <c r="J1521" s="3" t="str">
        <f>_xlfn.IFNA(INDEX(RulebookFields!I2:I999, MATCH(D1521,RulebookFields!A2:A999, 0)), "")</f>
      </c>
      <c r="K1521" s="3" t="b">
        <f>AND(F1521, J1521)</f>
        <v>0</v>
      </c>
      <c r="L1521" s="3" t="b">
        <f>AND(G1521 &lt;&gt; "plain", G1521 &lt;&gt; "")</f>
        <v>0</v>
      </c>
      <c r="M1521" s="3" t="str">
        <f>IF(E1521, C1521 &amp; "|" &amp; H1521, "")</f>
        <v>principal-process-steward|</v>
      </c>
      <c r="N1521" s="2" t="s">
        <v>9938</v>
      </c>
    </row>
    <row r="1522">
      <c r="A1522" s="2" t="s">
        <v>11458</v>
      </c>
      <c r="B1522" s="3" t="str">
        <f>C1522 &amp; " -&gt; " &amp; D1522</f>
        <v>principal-process-steward -&gt; RulebookFields.Datatype</v>
      </c>
      <c r="C1522" s="2" t="s">
        <v>9706</v>
      </c>
      <c r="D1522" s="2" t="s">
        <v>4112</v>
      </c>
      <c r="E1522" s="2" t="b">
        <v>1</v>
      </c>
      <c r="F1522" s="2" t="b">
        <v>0</v>
      </c>
      <c r="G1522" s="2" t="s">
        <v>9937</v>
      </c>
      <c r="H1522" s="3" t="str">
        <f>_xlfn.IFNA(INDEX(RulebookFields!C2:C999, MATCH(D1522,RulebookFields!A2:A999, 0)), "")</f>
      </c>
      <c r="I1522" s="3" t="str">
        <f>_xlfn.IFNA(INDEX(RulebookFields!D2:D999, MATCH(D1522,RulebookFields!A2:A999, 0)), "")</f>
      </c>
      <c r="J1522" s="3" t="str">
        <f>_xlfn.IFNA(INDEX(RulebookFields!I2:I999, MATCH(D1522,RulebookFields!A2:A999, 0)), "")</f>
      </c>
      <c r="K1522" s="3" t="b">
        <f>AND(F1522, J1522)</f>
        <v>0</v>
      </c>
      <c r="L1522" s="3" t="b">
        <f>AND(G1522 &lt;&gt; "plain", G1522 &lt;&gt; "")</f>
        <v>0</v>
      </c>
      <c r="M1522" s="3" t="str">
        <f>IF(E1522, C1522 &amp; "|" &amp; H1522, "")</f>
        <v>principal-process-steward|</v>
      </c>
      <c r="N1522" s="2" t="s">
        <v>9938</v>
      </c>
    </row>
    <row r="1523">
      <c r="A1523" s="2" t="s">
        <v>11459</v>
      </c>
      <c r="B1523" s="3" t="str">
        <f>C1523 &amp; " -&gt; " &amp; D1523</f>
        <v>principal-process-steward -&gt; RulebookFields.Formula</v>
      </c>
      <c r="C1523" s="2" t="s">
        <v>9706</v>
      </c>
      <c r="D1523" s="2" t="s">
        <v>4113</v>
      </c>
      <c r="E1523" s="2" t="b">
        <v>1</v>
      </c>
      <c r="F1523" s="2" t="b">
        <v>0</v>
      </c>
      <c r="G1523" s="2" t="s">
        <v>9937</v>
      </c>
      <c r="H1523" s="3" t="str">
        <f>_xlfn.IFNA(INDEX(RulebookFields!C2:C999, MATCH(D1523,RulebookFields!A2:A999, 0)), "")</f>
      </c>
      <c r="I1523" s="3" t="str">
        <f>_xlfn.IFNA(INDEX(RulebookFields!D2:D999, MATCH(D1523,RulebookFields!A2:A999, 0)), "")</f>
      </c>
      <c r="J1523" s="3" t="str">
        <f>_xlfn.IFNA(INDEX(RulebookFields!I2:I999, MATCH(D1523,RulebookFields!A2:A999, 0)), "")</f>
      </c>
      <c r="K1523" s="3" t="b">
        <f>AND(F1523, J1523)</f>
        <v>0</v>
      </c>
      <c r="L1523" s="3" t="b">
        <f>AND(G1523 &lt;&gt; "plain", G1523 &lt;&gt; "")</f>
        <v>0</v>
      </c>
      <c r="M1523" s="3" t="str">
        <f>IF(E1523, C1523 &amp; "|" &amp; H1523, "")</f>
        <v>principal-process-steward|</v>
      </c>
      <c r="N1523" s="2" t="s">
        <v>9938</v>
      </c>
    </row>
    <row r="1524">
      <c r="A1524" s="2" t="s">
        <v>11460</v>
      </c>
      <c r="B1524" s="3" t="str">
        <f>C1524 &amp; " -&gt; " &amp; D1524</f>
        <v>principal-process-steward -&gt; RulebookFields.InventedForQuestion</v>
      </c>
      <c r="C1524" s="2" t="s">
        <v>9706</v>
      </c>
      <c r="D1524" s="2" t="s">
        <v>4114</v>
      </c>
      <c r="E1524" s="2" t="b">
        <v>1</v>
      </c>
      <c r="F1524" s="2" t="b">
        <v>0</v>
      </c>
      <c r="G1524" s="2" t="s">
        <v>9937</v>
      </c>
      <c r="H1524" s="3" t="str">
        <f>_xlfn.IFNA(INDEX(RulebookFields!C2:C999, MATCH(D1524,RulebookFields!A2:A999, 0)), "")</f>
      </c>
      <c r="I1524" s="3" t="str">
        <f>_xlfn.IFNA(INDEX(RulebookFields!D2:D999, MATCH(D1524,RulebookFields!A2:A999, 0)), "")</f>
      </c>
      <c r="J1524" s="3" t="str">
        <f>_xlfn.IFNA(INDEX(RulebookFields!I2:I999, MATCH(D1524,RulebookFields!A2:A999, 0)), "")</f>
      </c>
      <c r="K1524" s="3" t="b">
        <f>AND(F1524, J1524)</f>
        <v>0</v>
      </c>
      <c r="L1524" s="3" t="b">
        <f>AND(G1524 &lt;&gt; "plain", G1524 &lt;&gt; "")</f>
        <v>0</v>
      </c>
      <c r="M1524" s="3" t="str">
        <f>IF(E1524, C1524 &amp; "|" &amp; H1524, "")</f>
        <v>principal-process-steward|</v>
      </c>
      <c r="N1524" s="2" t="s">
        <v>9938</v>
      </c>
    </row>
    <row r="1525">
      <c r="A1525" s="2" t="s">
        <v>11461</v>
      </c>
      <c r="B1525" s="3" t="str">
        <f>C1525 &amp; " -&gt; " &amp; D1525</f>
        <v>principal-process-steward -&gt; RulebookFields.IsDerived</v>
      </c>
      <c r="C1525" s="2" t="s">
        <v>9706</v>
      </c>
      <c r="D1525" s="2" t="s">
        <v>4115</v>
      </c>
      <c r="E1525" s="2" t="b">
        <v>1</v>
      </c>
      <c r="F1525" s="2" t="b">
        <v>0</v>
      </c>
      <c r="G1525" s="2" t="s">
        <v>9937</v>
      </c>
      <c r="H1525" s="3" t="str">
        <f>_xlfn.IFNA(INDEX(RulebookFields!C2:C999, MATCH(D1525,RulebookFields!A2:A999, 0)), "")</f>
      </c>
      <c r="I1525" s="3" t="str">
        <f>_xlfn.IFNA(INDEX(RulebookFields!D2:D999, MATCH(D1525,RulebookFields!A2:A999, 0)), "")</f>
      </c>
      <c r="J1525" s="3" t="str">
        <f>_xlfn.IFNA(INDEX(RulebookFields!I2:I999, MATCH(D1525,RulebookFields!A2:A999, 0)), "")</f>
      </c>
      <c r="K1525" s="3" t="b">
        <f>AND(F1525, J1525)</f>
        <v>0</v>
      </c>
      <c r="L1525" s="3" t="b">
        <f>AND(G1525 &lt;&gt; "plain", G1525 &lt;&gt; "")</f>
        <v>0</v>
      </c>
      <c r="M1525" s="3" t="str">
        <f>IF(E1525, C1525 &amp; "|" &amp; H1525, "")</f>
        <v>principal-process-steward|</v>
      </c>
      <c r="N1525" s="2" t="s">
        <v>9938</v>
      </c>
    </row>
    <row r="1526">
      <c r="A1526" s="2" t="s">
        <v>11462</v>
      </c>
      <c r="B1526" s="3" t="str">
        <f>C1526 &amp; " -&gt; " &amp; D1526</f>
        <v>principal-process-steward -&gt; RulebookFields.IsWitness</v>
      </c>
      <c r="C1526" s="2" t="s">
        <v>9706</v>
      </c>
      <c r="D1526" s="2" t="s">
        <v>4117</v>
      </c>
      <c r="E1526" s="2" t="b">
        <v>1</v>
      </c>
      <c r="F1526" s="2" t="b">
        <v>0</v>
      </c>
      <c r="G1526" s="2" t="s">
        <v>9937</v>
      </c>
      <c r="H1526" s="3" t="str">
        <f>_xlfn.IFNA(INDEX(RulebookFields!C2:C999, MATCH(D1526,RulebookFields!A2:A999, 0)), "")</f>
      </c>
      <c r="I1526" s="3" t="str">
        <f>_xlfn.IFNA(INDEX(RulebookFields!D2:D999, MATCH(D1526,RulebookFields!A2:A999, 0)), "")</f>
      </c>
      <c r="J1526" s="3" t="str">
        <f>_xlfn.IFNA(INDEX(RulebookFields!I2:I999, MATCH(D1526,RulebookFields!A2:A999, 0)), "")</f>
      </c>
      <c r="K1526" s="3" t="b">
        <f>AND(F1526, J1526)</f>
        <v>0</v>
      </c>
      <c r="L1526" s="3" t="b">
        <f>AND(G1526 &lt;&gt; "plain", G1526 &lt;&gt; "")</f>
        <v>0</v>
      </c>
      <c r="M1526" s="3" t="str">
        <f>IF(E1526, C1526 &amp; "|" &amp; H1526, "")</f>
        <v>principal-process-steward|</v>
      </c>
      <c r="N1526" s="2" t="s">
        <v>9938</v>
      </c>
    </row>
    <row r="1527">
      <c r="A1527" s="2" t="s">
        <v>11463</v>
      </c>
      <c r="B1527" s="3" t="str">
        <f>C1527 &amp; " -&gt; " &amp; D1527</f>
        <v>principal-process-steward -&gt; RulebookFields.SemanticTypeIri</v>
      </c>
      <c r="C1527" s="2" t="s">
        <v>9706</v>
      </c>
      <c r="D1527" s="2" t="s">
        <v>4123</v>
      </c>
      <c r="E1527" s="2" t="b">
        <v>1</v>
      </c>
      <c r="F1527" s="2" t="b">
        <v>0</v>
      </c>
      <c r="G1527" s="2" t="s">
        <v>9937</v>
      </c>
      <c r="H1527" s="3" t="str">
        <f>_xlfn.IFNA(INDEX(RulebookFields!C2:C999, MATCH(D1527,RulebookFields!A2:A999, 0)), "")</f>
      </c>
      <c r="I1527" s="3" t="str">
        <f>_xlfn.IFNA(INDEX(RulebookFields!D2:D999, MATCH(D1527,RulebookFields!A2:A999, 0)), "")</f>
      </c>
      <c r="J1527" s="3" t="str">
        <f>_xlfn.IFNA(INDEX(RulebookFields!I2:I999, MATCH(D1527,RulebookFields!A2:A999, 0)), "")</f>
      </c>
      <c r="K1527" s="3" t="b">
        <f>AND(F1527, J1527)</f>
        <v>0</v>
      </c>
      <c r="L1527" s="3" t="b">
        <f>AND(G1527 &lt;&gt; "plain", G1527 &lt;&gt; "")</f>
        <v>0</v>
      </c>
      <c r="M1527" s="3" t="str">
        <f>IF(E1527, C1527 &amp; "|" &amp; H1527, "")</f>
        <v>principal-process-steward|</v>
      </c>
      <c r="N1527" s="2" t="s">
        <v>9938</v>
      </c>
    </row>
    <row r="1528">
      <c r="A1528" s="2" t="s">
        <v>11464</v>
      </c>
      <c r="B1528" s="3" t="str">
        <f>C1528 &amp; " -&gt; " &amp; D1528</f>
        <v>principal-process-steward -&gt; RulebookReleases.RulebookReleaseId</v>
      </c>
      <c r="C1528" s="2" t="s">
        <v>9706</v>
      </c>
      <c r="D1528" s="2" t="s">
        <v>2383</v>
      </c>
      <c r="E1528" s="2" t="b">
        <v>1</v>
      </c>
      <c r="F1528" s="2" t="b">
        <v>0</v>
      </c>
      <c r="G1528" s="2" t="s">
        <v>9937</v>
      </c>
      <c r="H1528" s="3" t="str">
        <f>_xlfn.IFNA(INDEX(RulebookFields!C2:C999, MATCH(D1528,RulebookFields!A2:A999, 0)), "")</f>
        <v>RulebookReleases</v>
      </c>
      <c r="I1528" s="3" t="str">
        <f>_xlfn.IFNA(INDEX(RulebookFields!D2:D999, MATCH(D1528,RulebookFields!A2:A999, 0)), "")</f>
        <v>RulebookReleaseId</v>
      </c>
      <c r="J1528" s="3" t="b">
        <f>_xlfn.IFNA(INDEX(RulebookFields!I2:I999, MATCH(D1528,RulebookFields!A2:A999, 0)), "")</f>
        <v>0</v>
      </c>
      <c r="K1528" s="3" t="b">
        <f>AND(F1528, J1528)</f>
        <v>0</v>
      </c>
      <c r="L1528" s="3" t="b">
        <f>AND(G1528 &lt;&gt; "plain", G1528 &lt;&gt; "")</f>
        <v>0</v>
      </c>
      <c r="M1528" s="3" t="str">
        <f>IF(E1528, C1528 &amp; "|" &amp; H1528, "")</f>
        <v>principal-process-steward|RulebookReleases</v>
      </c>
      <c r="N1528" s="2" t="s">
        <v>9938</v>
      </c>
    </row>
    <row r="1529">
      <c r="A1529" s="2" t="s">
        <v>11465</v>
      </c>
      <c r="B1529" s="3" t="str">
        <f>C1529 &amp; " -&gt; " &amp; D1529</f>
        <v>principal-process-steward -&gt; RulebookReleases.Name</v>
      </c>
      <c r="C1529" s="2" t="s">
        <v>9706</v>
      </c>
      <c r="D1529" s="2" t="s">
        <v>2388</v>
      </c>
      <c r="E1529" s="2" t="b">
        <v>1</v>
      </c>
      <c r="F1529" s="2" t="b">
        <v>0</v>
      </c>
      <c r="G1529" s="2" t="s">
        <v>9937</v>
      </c>
      <c r="H1529" s="3" t="str">
        <f>_xlfn.IFNA(INDEX(RulebookFields!C2:C999, MATCH(D1529,RulebookFields!A2:A999, 0)), "")</f>
        <v>RulebookReleases</v>
      </c>
      <c r="I1529" s="3" t="str">
        <f>_xlfn.IFNA(INDEX(RulebookFields!D2:D999, MATCH(D1529,RulebookFields!A2:A999, 0)), "")</f>
        <v>Name</v>
      </c>
      <c r="J1529" s="3" t="b">
        <f>_xlfn.IFNA(INDEX(RulebookFields!I2:I999, MATCH(D1529,RulebookFields!A2:A999, 0)), "")</f>
        <v>1</v>
      </c>
      <c r="K1529" s="3" t="b">
        <f>AND(F1529, J1529)</f>
        <v>0</v>
      </c>
      <c r="L1529" s="3" t="b">
        <f>AND(G1529 &lt;&gt; "plain", G1529 &lt;&gt; "")</f>
        <v>0</v>
      </c>
      <c r="M1529" s="3" t="str">
        <f>IF(E1529, C1529 &amp; "|" &amp; H1529, "")</f>
        <v>principal-process-steward|RulebookReleases</v>
      </c>
      <c r="N1529" s="2" t="s">
        <v>9938</v>
      </c>
    </row>
    <row r="1530">
      <c r="A1530" s="2" t="s">
        <v>11466</v>
      </c>
      <c r="B1530" s="3" t="str">
        <f>C1530 &amp; " -&gt; " &amp; D1530</f>
        <v>principal-process-steward -&gt; RulebookReleases.RulebookVersion</v>
      </c>
      <c r="C1530" s="2" t="s">
        <v>9706</v>
      </c>
      <c r="D1530" s="2" t="s">
        <v>2391</v>
      </c>
      <c r="E1530" s="2" t="b">
        <v>1</v>
      </c>
      <c r="F1530" s="2" t="b">
        <v>0</v>
      </c>
      <c r="G1530" s="2" t="s">
        <v>9937</v>
      </c>
      <c r="H1530" s="3" t="str">
        <f>_xlfn.IFNA(INDEX(RulebookFields!C2:C999, MATCH(D1530,RulebookFields!A2:A999, 0)), "")</f>
        <v>RulebookReleases</v>
      </c>
      <c r="I1530" s="3" t="str">
        <f>_xlfn.IFNA(INDEX(RulebookFields!D2:D999, MATCH(D1530,RulebookFields!A2:A999, 0)), "")</f>
        <v>RulebookVersion</v>
      </c>
      <c r="J1530" s="3" t="b">
        <f>_xlfn.IFNA(INDEX(RulebookFields!I2:I999, MATCH(D1530,RulebookFields!A2:A999, 0)), "")</f>
        <v>0</v>
      </c>
      <c r="K1530" s="3" t="b">
        <f>AND(F1530, J1530)</f>
        <v>0</v>
      </c>
      <c r="L1530" s="3" t="b">
        <f>AND(G1530 &lt;&gt; "plain", G1530 &lt;&gt; "")</f>
        <v>0</v>
      </c>
      <c r="M1530" s="3" t="str">
        <f>IF(E1530, C1530 &amp; "|" &amp; H1530, "")</f>
        <v>principal-process-steward|RulebookReleases</v>
      </c>
      <c r="N1530" s="2" t="s">
        <v>9938</v>
      </c>
    </row>
    <row r="1531">
      <c r="A1531" s="2" t="s">
        <v>11467</v>
      </c>
      <c r="B1531" s="3" t="str">
        <f>C1531 &amp; " -&gt; " &amp; D1531</f>
        <v>principal-process-steward -&gt; RulebookReleases.ProfileVersion</v>
      </c>
      <c r="C1531" s="2" t="s">
        <v>9706</v>
      </c>
      <c r="D1531" s="2" t="s">
        <v>2392</v>
      </c>
      <c r="E1531" s="2" t="b">
        <v>1</v>
      </c>
      <c r="F1531" s="2" t="b">
        <v>0</v>
      </c>
      <c r="G1531" s="2" t="s">
        <v>9937</v>
      </c>
      <c r="H1531" s="3" t="str">
        <f>_xlfn.IFNA(INDEX(RulebookFields!C2:C999, MATCH(D1531,RulebookFields!A2:A999, 0)), "")</f>
        <v>RulebookReleases</v>
      </c>
      <c r="I1531" s="3" t="str">
        <f>_xlfn.IFNA(INDEX(RulebookFields!D2:D999, MATCH(D1531,RulebookFields!A2:A999, 0)), "")</f>
        <v>ProfileVersion</v>
      </c>
      <c r="J1531" s="3" t="b">
        <f>_xlfn.IFNA(INDEX(RulebookFields!I2:I999, MATCH(D1531,RulebookFields!A2:A999, 0)), "")</f>
        <v>0</v>
      </c>
      <c r="K1531" s="3" t="b">
        <f>AND(F1531, J1531)</f>
        <v>0</v>
      </c>
      <c r="L1531" s="3" t="b">
        <f>AND(G1531 &lt;&gt; "plain", G1531 &lt;&gt; "")</f>
        <v>0</v>
      </c>
      <c r="M1531" s="3" t="str">
        <f>IF(E1531, C1531 &amp; "|" &amp; H1531, "")</f>
        <v>principal-process-steward|RulebookReleases</v>
      </c>
      <c r="N1531" s="2" t="s">
        <v>9938</v>
      </c>
    </row>
    <row r="1532">
      <c r="A1532" s="2" t="s">
        <v>11468</v>
      </c>
      <c r="B1532" s="3" t="str">
        <f>C1532 &amp; " -&gt; " &amp; D1532</f>
        <v>principal-process-steward -&gt; RulebookReleases.ProfileSchemaPath</v>
      </c>
      <c r="C1532" s="2" t="s">
        <v>9706</v>
      </c>
      <c r="D1532" s="2" t="s">
        <v>2393</v>
      </c>
      <c r="E1532" s="2" t="b">
        <v>1</v>
      </c>
      <c r="F1532" s="2" t="b">
        <v>0</v>
      </c>
      <c r="G1532" s="2" t="s">
        <v>9937</v>
      </c>
      <c r="H1532" s="3" t="str">
        <f>_xlfn.IFNA(INDEX(RulebookFields!C2:C999, MATCH(D1532,RulebookFields!A2:A999, 0)), "")</f>
        <v>RulebookReleases</v>
      </c>
      <c r="I1532" s="3" t="str">
        <f>_xlfn.IFNA(INDEX(RulebookFields!D2:D999, MATCH(D1532,RulebookFields!A2:A999, 0)), "")</f>
        <v>ProfileSchemaPath</v>
      </c>
      <c r="J1532" s="3" t="b">
        <f>_xlfn.IFNA(INDEX(RulebookFields!I2:I999, MATCH(D1532,RulebookFields!A2:A999, 0)), "")</f>
        <v>0</v>
      </c>
      <c r="K1532" s="3" t="b">
        <f>AND(F1532, J1532)</f>
        <v>0</v>
      </c>
      <c r="L1532" s="3" t="b">
        <f>AND(G1532 &lt;&gt; "plain", G1532 &lt;&gt; "")</f>
        <v>0</v>
      </c>
      <c r="M1532" s="3" t="str">
        <f>IF(E1532, C1532 &amp; "|" &amp; H1532, "")</f>
        <v>principal-process-steward|RulebookReleases</v>
      </c>
      <c r="N1532" s="2" t="s">
        <v>9938</v>
      </c>
    </row>
    <row r="1533">
      <c r="A1533" s="2" t="s">
        <v>11469</v>
      </c>
      <c r="B1533" s="3" t="str">
        <f>C1533 &amp; " -&gt; " &amp; D1533</f>
        <v>principal-process-steward -&gt; RulebookReleases.PkoCoreVersionIri</v>
      </c>
      <c r="C1533" s="2" t="s">
        <v>9706</v>
      </c>
      <c r="D1533" s="2" t="s">
        <v>2394</v>
      </c>
      <c r="E1533" s="2" t="b">
        <v>1</v>
      </c>
      <c r="F1533" s="2" t="b">
        <v>0</v>
      </c>
      <c r="G1533" s="2" t="s">
        <v>9937</v>
      </c>
      <c r="H1533" s="3" t="str">
        <f>_xlfn.IFNA(INDEX(RulebookFields!C2:C999, MATCH(D1533,RulebookFields!A2:A999, 0)), "")</f>
        <v>RulebookReleases</v>
      </c>
      <c r="I1533" s="3" t="str">
        <f>_xlfn.IFNA(INDEX(RulebookFields!D2:D999, MATCH(D1533,RulebookFields!A2:A999, 0)), "")</f>
        <v>PkoCoreVersionIri</v>
      </c>
      <c r="J1533" s="3" t="b">
        <f>_xlfn.IFNA(INDEX(RulebookFields!I2:I999, MATCH(D1533,RulebookFields!A2:A999, 0)), "")</f>
        <v>0</v>
      </c>
      <c r="K1533" s="3" t="b">
        <f>AND(F1533, J1533)</f>
        <v>0</v>
      </c>
      <c r="L1533" s="3" t="b">
        <f>AND(G1533 &lt;&gt; "plain", G1533 &lt;&gt; "")</f>
        <v>0</v>
      </c>
      <c r="M1533" s="3" t="str">
        <f>IF(E1533, C1533 &amp; "|" &amp; H1533, "")</f>
        <v>principal-process-steward|RulebookReleases</v>
      </c>
      <c r="N1533" s="2" t="s">
        <v>9938</v>
      </c>
    </row>
    <row r="1534">
      <c r="A1534" s="2" t="s">
        <v>11470</v>
      </c>
      <c r="B1534" s="3" t="str">
        <f>C1534 &amp; " -&gt; " &amp; D1534</f>
        <v>principal-process-steward -&gt; RulebookReleases.PkoIndustryVersionIri</v>
      </c>
      <c r="C1534" s="2" t="s">
        <v>9706</v>
      </c>
      <c r="D1534" s="2" t="s">
        <v>2395</v>
      </c>
      <c r="E1534" s="2" t="b">
        <v>1</v>
      </c>
      <c r="F1534" s="2" t="b">
        <v>0</v>
      </c>
      <c r="G1534" s="2" t="s">
        <v>9937</v>
      </c>
      <c r="H1534" s="3" t="str">
        <f>_xlfn.IFNA(INDEX(RulebookFields!C2:C999, MATCH(D1534,RulebookFields!A2:A999, 0)), "")</f>
        <v>RulebookReleases</v>
      </c>
      <c r="I1534" s="3" t="str">
        <f>_xlfn.IFNA(INDEX(RulebookFields!D2:D999, MATCH(D1534,RulebookFields!A2:A999, 0)), "")</f>
        <v>PkoIndustryVersionIri</v>
      </c>
      <c r="J1534" s="3" t="b">
        <f>_xlfn.IFNA(INDEX(RulebookFields!I2:I999, MATCH(D1534,RulebookFields!A2:A999, 0)), "")</f>
        <v>0</v>
      </c>
      <c r="K1534" s="3" t="b">
        <f>AND(F1534, J1534)</f>
        <v>0</v>
      </c>
      <c r="L1534" s="3" t="b">
        <f>AND(G1534 &lt;&gt; "plain", G1534 &lt;&gt; "")</f>
        <v>0</v>
      </c>
      <c r="M1534" s="3" t="str">
        <f>IF(E1534, C1534 &amp; "|" &amp; H1534, "")</f>
        <v>principal-process-steward|RulebookReleases</v>
      </c>
      <c r="N1534" s="2" t="s">
        <v>9938</v>
      </c>
    </row>
    <row r="1535">
      <c r="A1535" s="2" t="s">
        <v>11471</v>
      </c>
      <c r="B1535" s="3" t="str">
        <f>C1535 &amp; " -&gt; " &amp; D1535</f>
        <v>principal-process-steward -&gt; RulebookReleases.IssuedAt</v>
      </c>
      <c r="C1535" s="2" t="s">
        <v>9706</v>
      </c>
      <c r="D1535" s="2" t="s">
        <v>2396</v>
      </c>
      <c r="E1535" s="2" t="b">
        <v>1</v>
      </c>
      <c r="F1535" s="2" t="b">
        <v>0</v>
      </c>
      <c r="G1535" s="2" t="s">
        <v>9937</v>
      </c>
      <c r="H1535" s="3" t="str">
        <f>_xlfn.IFNA(INDEX(RulebookFields!C2:C999, MATCH(D1535,RulebookFields!A2:A999, 0)), "")</f>
        <v>RulebookReleases</v>
      </c>
      <c r="I1535" s="3" t="str">
        <f>_xlfn.IFNA(INDEX(RulebookFields!D2:D999, MATCH(D1535,RulebookFields!A2:A999, 0)), "")</f>
        <v>IssuedAt</v>
      </c>
      <c r="J1535" s="3" t="b">
        <f>_xlfn.IFNA(INDEX(RulebookFields!I2:I999, MATCH(D1535,RulebookFields!A2:A999, 0)), "")</f>
        <v>0</v>
      </c>
      <c r="K1535" s="3" t="b">
        <f>AND(F1535, J1535)</f>
        <v>0</v>
      </c>
      <c r="L1535" s="3" t="b">
        <f>AND(G1535 &lt;&gt; "plain", G1535 &lt;&gt; "")</f>
        <v>0</v>
      </c>
      <c r="M1535" s="3" t="str">
        <f>IF(E1535, C1535 &amp; "|" &amp; H1535, "")</f>
        <v>principal-process-steward|RulebookReleases</v>
      </c>
      <c r="N1535" s="2" t="s">
        <v>9938</v>
      </c>
    </row>
    <row r="1536">
      <c r="A1536" s="2" t="s">
        <v>11472</v>
      </c>
      <c r="B1536" s="3" t="str">
        <f>C1536 &amp; " -&gt; " &amp; D1536</f>
        <v>principal-process-steward -&gt; RulebookReleases.Status</v>
      </c>
      <c r="C1536" s="2" t="s">
        <v>9706</v>
      </c>
      <c r="D1536" s="2" t="s">
        <v>2398</v>
      </c>
      <c r="E1536" s="2" t="b">
        <v>1</v>
      </c>
      <c r="F1536" s="2" t="b">
        <v>0</v>
      </c>
      <c r="G1536" s="2" t="s">
        <v>9937</v>
      </c>
      <c r="H1536" s="3" t="str">
        <f>_xlfn.IFNA(INDEX(RulebookFields!C2:C999, MATCH(D1536,RulebookFields!A2:A999, 0)), "")</f>
        <v>RulebookReleases</v>
      </c>
      <c r="I1536" s="3" t="str">
        <f>_xlfn.IFNA(INDEX(RulebookFields!D2:D999, MATCH(D1536,RulebookFields!A2:A999, 0)), "")</f>
        <v>Status</v>
      </c>
      <c r="J1536" s="3" t="b">
        <f>_xlfn.IFNA(INDEX(RulebookFields!I2:I999, MATCH(D1536,RulebookFields!A2:A999, 0)), "")</f>
        <v>0</v>
      </c>
      <c r="K1536" s="3" t="b">
        <f>AND(F1536, J1536)</f>
        <v>0</v>
      </c>
      <c r="L1536" s="3" t="b">
        <f>AND(G1536 &lt;&gt; "plain", G1536 &lt;&gt; "")</f>
        <v>0</v>
      </c>
      <c r="M1536" s="3" t="str">
        <f>IF(E1536, C1536 &amp; "|" &amp; H1536, "")</f>
        <v>principal-process-steward|RulebookReleases</v>
      </c>
      <c r="N1536" s="2" t="s">
        <v>9938</v>
      </c>
    </row>
    <row r="1537">
      <c r="A1537" s="2" t="s">
        <v>11473</v>
      </c>
      <c r="B1537" s="3" t="str">
        <f>C1537 &amp; " -&gt; " &amp; D1537</f>
        <v>principal-process-steward -&gt; RulebookReleases.Changelog</v>
      </c>
      <c r="C1537" s="2" t="s">
        <v>9706</v>
      </c>
      <c r="D1537" s="2" t="s">
        <v>2399</v>
      </c>
      <c r="E1537" s="2" t="b">
        <v>1</v>
      </c>
      <c r="F1537" s="2" t="b">
        <v>0</v>
      </c>
      <c r="G1537" s="2" t="s">
        <v>9937</v>
      </c>
      <c r="H1537" s="3" t="str">
        <f>_xlfn.IFNA(INDEX(RulebookFields!C2:C999, MATCH(D1537,RulebookFields!A2:A999, 0)), "")</f>
        <v>RulebookReleases</v>
      </c>
      <c r="I1537" s="3" t="str">
        <f>_xlfn.IFNA(INDEX(RulebookFields!D2:D999, MATCH(D1537,RulebookFields!A2:A999, 0)), "")</f>
        <v>Changelog</v>
      </c>
      <c r="J1537" s="3" t="b">
        <f>_xlfn.IFNA(INDEX(RulebookFields!I2:I999, MATCH(D1537,RulebookFields!A2:A999, 0)), "")</f>
        <v>0</v>
      </c>
      <c r="K1537" s="3" t="b">
        <f>AND(F1537, J1537)</f>
        <v>0</v>
      </c>
      <c r="L1537" s="3" t="b">
        <f>AND(G1537 &lt;&gt; "plain", G1537 &lt;&gt; "")</f>
        <v>0</v>
      </c>
      <c r="M1537" s="3" t="str">
        <f>IF(E1537, C1537 &amp; "|" &amp; H1537, "")</f>
        <v>principal-process-steward|RulebookReleases</v>
      </c>
      <c r="N1537" s="2" t="s">
        <v>9938</v>
      </c>
    </row>
    <row r="1538">
      <c r="A1538" s="2" t="s">
        <v>11474</v>
      </c>
      <c r="B1538" s="3" t="str">
        <f>C1538 &amp; " -&gt; " &amp; D1538</f>
        <v>principal-process-steward -&gt; RulebookReleases.IsCurrent</v>
      </c>
      <c r="C1538" s="2" t="s">
        <v>9706</v>
      </c>
      <c r="D1538" s="2" t="s">
        <v>2400</v>
      </c>
      <c r="E1538" s="2" t="b">
        <v>1</v>
      </c>
      <c r="F1538" s="2" t="b">
        <v>0</v>
      </c>
      <c r="G1538" s="2" t="s">
        <v>9937</v>
      </c>
      <c r="H1538" s="3" t="str">
        <f>_xlfn.IFNA(INDEX(RulebookFields!C2:C999, MATCH(D1538,RulebookFields!A2:A999, 0)), "")</f>
        <v>RulebookReleases</v>
      </c>
      <c r="I1538" s="3" t="str">
        <f>_xlfn.IFNA(INDEX(RulebookFields!D2:D999, MATCH(D1538,RulebookFields!A2:A999, 0)), "")</f>
        <v>IsCurrent</v>
      </c>
      <c r="J1538" s="3" t="b">
        <f>_xlfn.IFNA(INDEX(RulebookFields!I2:I999, MATCH(D1538,RulebookFields!A2:A999, 0)), "")</f>
        <v>0</v>
      </c>
      <c r="K1538" s="3" t="b">
        <f>AND(F1538, J1538)</f>
        <v>0</v>
      </c>
      <c r="L1538" s="3" t="b">
        <f>AND(G1538 &lt;&gt; "plain", G1538 &lt;&gt; "")</f>
        <v>0</v>
      </c>
      <c r="M1538" s="3" t="str">
        <f>IF(E1538, C1538 &amp; "|" &amp; H1538, "")</f>
        <v>principal-process-steward|RulebookReleases</v>
      </c>
      <c r="N1538" s="2" t="s">
        <v>9938</v>
      </c>
    </row>
    <row r="1539">
      <c r="A1539" s="2" t="s">
        <v>11475</v>
      </c>
      <c r="B1539" s="3" t="str">
        <f>C1539 &amp; " -&gt; " &amp; D1539</f>
        <v>principal-process-steward -&gt; SemanticMappings.SemanticMappingId</v>
      </c>
      <c r="C1539" s="2" t="s">
        <v>9706</v>
      </c>
      <c r="D1539" s="2" t="s">
        <v>4063</v>
      </c>
      <c r="E1539" s="2" t="b">
        <v>1</v>
      </c>
      <c r="F1539" s="2" t="b">
        <v>0</v>
      </c>
      <c r="G1539" s="2" t="s">
        <v>9937</v>
      </c>
      <c r="H1539" s="3" t="str">
        <f>_xlfn.IFNA(INDEX(RulebookFields!C2:C999, MATCH(D1539,RulebookFields!A2:A999, 0)), "")</f>
      </c>
      <c r="I1539" s="3" t="str">
        <f>_xlfn.IFNA(INDEX(RulebookFields!D2:D999, MATCH(D1539,RulebookFields!A2:A999, 0)), "")</f>
      </c>
      <c r="J1539" s="3" t="str">
        <f>_xlfn.IFNA(INDEX(RulebookFields!I2:I999, MATCH(D1539,RulebookFields!A2:A999, 0)), "")</f>
      </c>
      <c r="K1539" s="3" t="b">
        <f>AND(F1539, J1539)</f>
        <v>0</v>
      </c>
      <c r="L1539" s="3" t="b">
        <f>AND(G1539 &lt;&gt; "plain", G1539 &lt;&gt; "")</f>
        <v>0</v>
      </c>
      <c r="M1539" s="3" t="str">
        <f>IF(E1539, C1539 &amp; "|" &amp; H1539, "")</f>
        <v>principal-process-steward|</v>
      </c>
      <c r="N1539" s="2" t="s">
        <v>9938</v>
      </c>
    </row>
    <row r="1540">
      <c r="A1540" s="2" t="s">
        <v>11476</v>
      </c>
      <c r="B1540" s="3" t="str">
        <f>C1540 &amp; " -&gt; " &amp; D1540</f>
        <v>principal-process-steward -&gt; SemanticMappings.Name</v>
      </c>
      <c r="C1540" s="2" t="s">
        <v>9706</v>
      </c>
      <c r="D1540" s="2" t="s">
        <v>4065</v>
      </c>
      <c r="E1540" s="2" t="b">
        <v>1</v>
      </c>
      <c r="F1540" s="2" t="b">
        <v>0</v>
      </c>
      <c r="G1540" s="2" t="s">
        <v>9937</v>
      </c>
      <c r="H1540" s="3" t="str">
        <f>_xlfn.IFNA(INDEX(RulebookFields!C2:C999, MATCH(D1540,RulebookFields!A2:A999, 0)), "")</f>
      </c>
      <c r="I1540" s="3" t="str">
        <f>_xlfn.IFNA(INDEX(RulebookFields!D2:D999, MATCH(D1540,RulebookFields!A2:A999, 0)), "")</f>
      </c>
      <c r="J1540" s="3" t="str">
        <f>_xlfn.IFNA(INDEX(RulebookFields!I2:I999, MATCH(D1540,RulebookFields!A2:A999, 0)), "")</f>
      </c>
      <c r="K1540" s="3" t="b">
        <f>AND(F1540, J1540)</f>
        <v>0</v>
      </c>
      <c r="L1540" s="3" t="b">
        <f>AND(G1540 &lt;&gt; "plain", G1540 &lt;&gt; "")</f>
        <v>0</v>
      </c>
      <c r="M1540" s="3" t="str">
        <f>IF(E1540, C1540 &amp; "|" &amp; H1540, "")</f>
        <v>principal-process-steward|</v>
      </c>
      <c r="N1540" s="2" t="s">
        <v>9938</v>
      </c>
    </row>
    <row r="1541">
      <c r="A1541" s="2" t="s">
        <v>11477</v>
      </c>
      <c r="B1541" s="3" t="str">
        <f>C1541 &amp; " -&gt; " &amp; D1541</f>
        <v>principal-process-steward -&gt; SemanticMappings.SourcePath</v>
      </c>
      <c r="C1541" s="2" t="s">
        <v>9706</v>
      </c>
      <c r="D1541" s="2" t="s">
        <v>4067</v>
      </c>
      <c r="E1541" s="2" t="b">
        <v>1</v>
      </c>
      <c r="F1541" s="2" t="b">
        <v>0</v>
      </c>
      <c r="G1541" s="2" t="s">
        <v>9937</v>
      </c>
      <c r="H1541" s="3" t="str">
        <f>_xlfn.IFNA(INDEX(RulebookFields!C2:C999, MATCH(D1541,RulebookFields!A2:A999, 0)), "")</f>
      </c>
      <c r="I1541" s="3" t="str">
        <f>_xlfn.IFNA(INDEX(RulebookFields!D2:D999, MATCH(D1541,RulebookFields!A2:A999, 0)), "")</f>
      </c>
      <c r="J1541" s="3" t="str">
        <f>_xlfn.IFNA(INDEX(RulebookFields!I2:I999, MATCH(D1541,RulebookFields!A2:A999, 0)), "")</f>
      </c>
      <c r="K1541" s="3" t="b">
        <f>AND(F1541, J1541)</f>
        <v>0</v>
      </c>
      <c r="L1541" s="3" t="b">
        <f>AND(G1541 &lt;&gt; "plain", G1541 &lt;&gt; "")</f>
        <v>0</v>
      </c>
      <c r="M1541" s="3" t="str">
        <f>IF(E1541, C1541 &amp; "|" &amp; H1541, "")</f>
        <v>principal-process-steward|</v>
      </c>
      <c r="N1541" s="2" t="s">
        <v>9938</v>
      </c>
    </row>
    <row r="1542">
      <c r="A1542" s="2" t="s">
        <v>11478</v>
      </c>
      <c r="B1542" s="3" t="str">
        <f>C1542 &amp; " -&gt; " &amp; D1542</f>
        <v>principal-process-steward -&gt; SemanticMappings.MappingKind</v>
      </c>
      <c r="C1542" s="2" t="s">
        <v>9706</v>
      </c>
      <c r="D1542" s="2" t="s">
        <v>4068</v>
      </c>
      <c r="E1542" s="2" t="b">
        <v>1</v>
      </c>
      <c r="F1542" s="2" t="b">
        <v>0</v>
      </c>
      <c r="G1542" s="2" t="s">
        <v>9937</v>
      </c>
      <c r="H1542" s="3" t="str">
        <f>_xlfn.IFNA(INDEX(RulebookFields!C2:C999, MATCH(D1542,RulebookFields!A2:A999, 0)), "")</f>
      </c>
      <c r="I1542" s="3" t="str">
        <f>_xlfn.IFNA(INDEX(RulebookFields!D2:D999, MATCH(D1542,RulebookFields!A2:A999, 0)), "")</f>
      </c>
      <c r="J1542" s="3" t="str">
        <f>_xlfn.IFNA(INDEX(RulebookFields!I2:I999, MATCH(D1542,RulebookFields!A2:A999, 0)), "")</f>
      </c>
      <c r="K1542" s="3" t="b">
        <f>AND(F1542, J1542)</f>
        <v>0</v>
      </c>
      <c r="L1542" s="3" t="b">
        <f>AND(G1542 &lt;&gt; "plain", G1542 &lt;&gt; "")</f>
        <v>0</v>
      </c>
      <c r="M1542" s="3" t="str">
        <f>IF(E1542, C1542 &amp; "|" &amp; H1542, "")</f>
        <v>principal-process-steward|</v>
      </c>
      <c r="N1542" s="2" t="s">
        <v>9938</v>
      </c>
    </row>
    <row r="1543">
      <c r="A1543" s="2" t="s">
        <v>11479</v>
      </c>
      <c r="B1543" s="3" t="str">
        <f>C1543 &amp; " -&gt; " &amp; D1543</f>
        <v>principal-process-steward -&gt; SemanticMappings.TargetIri</v>
      </c>
      <c r="C1543" s="2" t="s">
        <v>9706</v>
      </c>
      <c r="D1543" s="2" t="s">
        <v>4069</v>
      </c>
      <c r="E1543" s="2" t="b">
        <v>1</v>
      </c>
      <c r="F1543" s="2" t="b">
        <v>0</v>
      </c>
      <c r="G1543" s="2" t="s">
        <v>9937</v>
      </c>
      <c r="H1543" s="3" t="str">
        <f>_xlfn.IFNA(INDEX(RulebookFields!C2:C999, MATCH(D1543,RulebookFields!A2:A999, 0)), "")</f>
      </c>
      <c r="I1543" s="3" t="str">
        <f>_xlfn.IFNA(INDEX(RulebookFields!D2:D999, MATCH(D1543,RulebookFields!A2:A999, 0)), "")</f>
      </c>
      <c r="J1543" s="3" t="str">
        <f>_xlfn.IFNA(INDEX(RulebookFields!I2:I999, MATCH(D1543,RulebookFields!A2:A999, 0)), "")</f>
      </c>
      <c r="K1543" s="3" t="b">
        <f>AND(F1543, J1543)</f>
        <v>0</v>
      </c>
      <c r="L1543" s="3" t="b">
        <f>AND(G1543 &lt;&gt; "plain", G1543 &lt;&gt; "")</f>
        <v>0</v>
      </c>
      <c r="M1543" s="3" t="str">
        <f>IF(E1543, C1543 &amp; "|" &amp; H1543, "")</f>
        <v>principal-process-steward|</v>
      </c>
      <c r="N1543" s="2" t="s">
        <v>9938</v>
      </c>
    </row>
    <row r="1544">
      <c r="A1544" s="2" t="s">
        <v>11480</v>
      </c>
      <c r="B1544" s="3" t="str">
        <f>C1544 &amp; " -&gt; " &amp; D1544</f>
        <v>principal-process-steward -&gt; SemanticMappings.MappingRelation</v>
      </c>
      <c r="C1544" s="2" t="s">
        <v>9706</v>
      </c>
      <c r="D1544" s="2" t="s">
        <v>4070</v>
      </c>
      <c r="E1544" s="2" t="b">
        <v>1</v>
      </c>
      <c r="F1544" s="2" t="b">
        <v>0</v>
      </c>
      <c r="G1544" s="2" t="s">
        <v>9937</v>
      </c>
      <c r="H1544" s="3" t="str">
        <f>_xlfn.IFNA(INDEX(RulebookFields!C2:C999, MATCH(D1544,RulebookFields!A2:A999, 0)), "")</f>
      </c>
      <c r="I1544" s="3" t="str">
        <f>_xlfn.IFNA(INDEX(RulebookFields!D2:D999, MATCH(D1544,RulebookFields!A2:A999, 0)), "")</f>
      </c>
      <c r="J1544" s="3" t="str">
        <f>_xlfn.IFNA(INDEX(RulebookFields!I2:I999, MATCH(D1544,RulebookFields!A2:A999, 0)), "")</f>
      </c>
      <c r="K1544" s="3" t="b">
        <f>AND(F1544, J1544)</f>
        <v>0</v>
      </c>
      <c r="L1544" s="3" t="b">
        <f>AND(G1544 &lt;&gt; "plain", G1544 &lt;&gt; "")</f>
        <v>0</v>
      </c>
      <c r="M1544" s="3" t="str">
        <f>IF(E1544, C1544 &amp; "|" &amp; H1544, "")</f>
        <v>principal-process-steward|</v>
      </c>
      <c r="N1544" s="2" t="s">
        <v>9938</v>
      </c>
    </row>
    <row r="1545">
      <c r="A1545" s="2" t="s">
        <v>11481</v>
      </c>
      <c r="B1545" s="3" t="str">
        <f>C1545 &amp; " -&gt; " &amp; D1545</f>
        <v>principal-process-steward -&gt; SemanticMappings.OntologyProfile</v>
      </c>
      <c r="C1545" s="2" t="s">
        <v>9706</v>
      </c>
      <c r="D1545" s="2" t="s">
        <v>4071</v>
      </c>
      <c r="E1545" s="2" t="b">
        <v>1</v>
      </c>
      <c r="F1545" s="2" t="b">
        <v>0</v>
      </c>
      <c r="G1545" s="2" t="s">
        <v>9937</v>
      </c>
      <c r="H1545" s="3" t="str">
        <f>_xlfn.IFNA(INDEX(RulebookFields!C2:C999, MATCH(D1545,RulebookFields!A2:A999, 0)), "")</f>
      </c>
      <c r="I1545" s="3" t="str">
        <f>_xlfn.IFNA(INDEX(RulebookFields!D2:D999, MATCH(D1545,RulebookFields!A2:A999, 0)), "")</f>
      </c>
      <c r="J1545" s="3" t="str">
        <f>_xlfn.IFNA(INDEX(RulebookFields!I2:I999, MATCH(D1545,RulebookFields!A2:A999, 0)), "")</f>
      </c>
      <c r="K1545" s="3" t="b">
        <f>AND(F1545, J1545)</f>
        <v>0</v>
      </c>
      <c r="L1545" s="3" t="b">
        <f>AND(G1545 &lt;&gt; "plain", G1545 &lt;&gt; "")</f>
        <v>0</v>
      </c>
      <c r="M1545" s="3" t="str">
        <f>IF(E1545, C1545 &amp; "|" &amp; H1545, "")</f>
        <v>principal-process-steward|</v>
      </c>
      <c r="N1545" s="2" t="s">
        <v>9938</v>
      </c>
    </row>
    <row r="1546">
      <c r="A1546" s="2" t="s">
        <v>11482</v>
      </c>
      <c r="B1546" s="3" t="str">
        <f>C1546 &amp; " -&gt; " &amp; D1546</f>
        <v>principal-process-steward -&gt; SemanticMappings.Notes</v>
      </c>
      <c r="C1546" s="2" t="s">
        <v>9706</v>
      </c>
      <c r="D1546" s="2" t="s">
        <v>4072</v>
      </c>
      <c r="E1546" s="2" t="b">
        <v>1</v>
      </c>
      <c r="F1546" s="2" t="b">
        <v>0</v>
      </c>
      <c r="G1546" s="2" t="s">
        <v>9937</v>
      </c>
      <c r="H1546" s="3" t="str">
        <f>_xlfn.IFNA(INDEX(RulebookFields!C2:C999, MATCH(D1546,RulebookFields!A2:A999, 0)), "")</f>
      </c>
      <c r="I1546" s="3" t="str">
        <f>_xlfn.IFNA(INDEX(RulebookFields!D2:D999, MATCH(D1546,RulebookFields!A2:A999, 0)), "")</f>
      </c>
      <c r="J1546" s="3" t="str">
        <f>_xlfn.IFNA(INDEX(RulebookFields!I2:I999, MATCH(D1546,RulebookFields!A2:A999, 0)), "")</f>
      </c>
      <c r="K1546" s="3" t="b">
        <f>AND(F1546, J1546)</f>
        <v>0</v>
      </c>
      <c r="L1546" s="3" t="b">
        <f>AND(G1546 &lt;&gt; "plain", G1546 &lt;&gt; "")</f>
        <v>0</v>
      </c>
      <c r="M1546" s="3" t="str">
        <f>IF(E1546, C1546 &amp; "|" &amp; H1546, "")</f>
        <v>principal-process-steward|</v>
      </c>
      <c r="N1546" s="2" t="s">
        <v>9938</v>
      </c>
    </row>
    <row r="1547">
      <c r="A1547" s="2" t="s">
        <v>11483</v>
      </c>
      <c r="B1547" s="3" t="str">
        <f>C1547 &amp; " -&gt; " &amp; D1547</f>
        <v>principal-process-steward -&gt; SendIntents.SendIntentId</v>
      </c>
      <c r="C1547" s="2" t="s">
        <v>9706</v>
      </c>
      <c r="D1547" s="2" t="s">
        <v>4661</v>
      </c>
      <c r="E1547" s="2" t="b">
        <v>1</v>
      </c>
      <c r="F1547" s="2" t="b">
        <v>0</v>
      </c>
      <c r="G1547" s="2" t="s">
        <v>9937</v>
      </c>
      <c r="H1547" s="3" t="str">
        <f>_xlfn.IFNA(INDEX(RulebookFields!C2:C999, MATCH(D1547,RulebookFields!A2:A999, 0)), "")</f>
      </c>
      <c r="I1547" s="3" t="str">
        <f>_xlfn.IFNA(INDEX(RulebookFields!D2:D999, MATCH(D1547,RulebookFields!A2:A999, 0)), "")</f>
      </c>
      <c r="J1547" s="3" t="str">
        <f>_xlfn.IFNA(INDEX(RulebookFields!I2:I999, MATCH(D1547,RulebookFields!A2:A999, 0)), "")</f>
      </c>
      <c r="K1547" s="3" t="b">
        <f>AND(F1547, J1547)</f>
        <v>0</v>
      </c>
      <c r="L1547" s="3" t="b">
        <f>AND(G1547 &lt;&gt; "plain", G1547 &lt;&gt; "")</f>
        <v>0</v>
      </c>
      <c r="M1547" s="3" t="str">
        <f>IF(E1547, C1547 &amp; "|" &amp; H1547, "")</f>
        <v>principal-process-steward|</v>
      </c>
      <c r="N1547" s="2" t="s">
        <v>9938</v>
      </c>
    </row>
    <row r="1548">
      <c r="A1548" s="2" t="s">
        <v>11484</v>
      </c>
      <c r="B1548" s="3" t="str">
        <f>C1548 &amp; " -&gt; " &amp; D1548</f>
        <v>principal-process-steward -&gt; SendIntents.Name</v>
      </c>
      <c r="C1548" s="2" t="s">
        <v>9706</v>
      </c>
      <c r="D1548" s="2" t="s">
        <v>4664</v>
      </c>
      <c r="E1548" s="2" t="b">
        <v>1</v>
      </c>
      <c r="F1548" s="2" t="b">
        <v>0</v>
      </c>
      <c r="G1548" s="2" t="s">
        <v>9937</v>
      </c>
      <c r="H1548" s="3" t="str">
        <f>_xlfn.IFNA(INDEX(RulebookFields!C2:C999, MATCH(D1548,RulebookFields!A2:A999, 0)), "")</f>
      </c>
      <c r="I1548" s="3" t="str">
        <f>_xlfn.IFNA(INDEX(RulebookFields!D2:D999, MATCH(D1548,RulebookFields!A2:A999, 0)), "")</f>
      </c>
      <c r="J1548" s="3" t="str">
        <f>_xlfn.IFNA(INDEX(RulebookFields!I2:I999, MATCH(D1548,RulebookFields!A2:A999, 0)), "")</f>
      </c>
      <c r="K1548" s="3" t="b">
        <f>AND(F1548, J1548)</f>
        <v>0</v>
      </c>
      <c r="L1548" s="3" t="b">
        <f>AND(G1548 &lt;&gt; "plain", G1548 &lt;&gt; "")</f>
        <v>0</v>
      </c>
      <c r="M1548" s="3" t="str">
        <f>IF(E1548, C1548 &amp; "|" &amp; H1548, "")</f>
        <v>principal-process-steward|</v>
      </c>
      <c r="N1548" s="2" t="s">
        <v>9938</v>
      </c>
    </row>
    <row r="1549">
      <c r="A1549" s="2" t="s">
        <v>11485</v>
      </c>
      <c r="B1549" s="3" t="str">
        <f>C1549 &amp; " -&gt; " &amp; D1549</f>
        <v>principal-process-steward -&gt; SendIntents.ProcedureExecution</v>
      </c>
      <c r="C1549" s="2" t="s">
        <v>9706</v>
      </c>
      <c r="D1549" s="2" t="s">
        <v>4666</v>
      </c>
      <c r="E1549" s="2" t="b">
        <v>1</v>
      </c>
      <c r="F1549" s="2" t="b">
        <v>0</v>
      </c>
      <c r="G1549" s="2" t="s">
        <v>9937</v>
      </c>
      <c r="H1549" s="3" t="str">
        <f>_xlfn.IFNA(INDEX(RulebookFields!C2:C999, MATCH(D1549,RulebookFields!A2:A999, 0)), "")</f>
      </c>
      <c r="I1549" s="3" t="str">
        <f>_xlfn.IFNA(INDEX(RulebookFields!D2:D999, MATCH(D1549,RulebookFields!A2:A999, 0)), "")</f>
      </c>
      <c r="J1549" s="3" t="str">
        <f>_xlfn.IFNA(INDEX(RulebookFields!I2:I999, MATCH(D1549,RulebookFields!A2:A999, 0)), "")</f>
      </c>
      <c r="K1549" s="3" t="b">
        <f>AND(F1549, J1549)</f>
        <v>0</v>
      </c>
      <c r="L1549" s="3" t="b">
        <f>AND(G1549 &lt;&gt; "plain", G1549 &lt;&gt; "")</f>
        <v>0</v>
      </c>
      <c r="M1549" s="3" t="str">
        <f>IF(E1549, C1549 &amp; "|" &amp; H1549, "")</f>
        <v>principal-process-steward|</v>
      </c>
      <c r="N1549" s="2" t="s">
        <v>9938</v>
      </c>
    </row>
    <row r="1550">
      <c r="A1550" s="2" t="s">
        <v>11486</v>
      </c>
      <c r="B1550" s="3" t="str">
        <f>C1550 &amp; " -&gt; " &amp; D1550</f>
        <v>principal-process-steward -&gt; SendIntents.StepExecution</v>
      </c>
      <c r="C1550" s="2" t="s">
        <v>9706</v>
      </c>
      <c r="D1550" s="2" t="s">
        <v>4667</v>
      </c>
      <c r="E1550" s="2" t="b">
        <v>1</v>
      </c>
      <c r="F1550" s="2" t="b">
        <v>0</v>
      </c>
      <c r="G1550" s="2" t="s">
        <v>9937</v>
      </c>
      <c r="H1550" s="3" t="str">
        <f>_xlfn.IFNA(INDEX(RulebookFields!C2:C999, MATCH(D1550,RulebookFields!A2:A999, 0)), "")</f>
      </c>
      <c r="I1550" s="3" t="str">
        <f>_xlfn.IFNA(INDEX(RulebookFields!D2:D999, MATCH(D1550,RulebookFields!A2:A999, 0)), "")</f>
      </c>
      <c r="J1550" s="3" t="str">
        <f>_xlfn.IFNA(INDEX(RulebookFields!I2:I999, MATCH(D1550,RulebookFields!A2:A999, 0)), "")</f>
      </c>
      <c r="K1550" s="3" t="b">
        <f>AND(F1550, J1550)</f>
        <v>0</v>
      </c>
      <c r="L1550" s="3" t="b">
        <f>AND(G1550 &lt;&gt; "plain", G1550 &lt;&gt; "")</f>
        <v>0</v>
      </c>
      <c r="M1550" s="3" t="str">
        <f>IF(E1550, C1550 &amp; "|" &amp; H1550, "")</f>
        <v>principal-process-steward|</v>
      </c>
      <c r="N1550" s="2" t="s">
        <v>9938</v>
      </c>
    </row>
    <row r="1551">
      <c r="A1551" s="2" t="s">
        <v>11487</v>
      </c>
      <c r="B1551" s="3" t="str">
        <f>C1551 &amp; " -&gt; " &amp; D1551</f>
        <v>principal-process-steward -&gt; SendIntents.Recipient</v>
      </c>
      <c r="C1551" s="2" t="s">
        <v>9706</v>
      </c>
      <c r="D1551" s="2" t="s">
        <v>4668</v>
      </c>
      <c r="E1551" s="2" t="b">
        <v>1</v>
      </c>
      <c r="F1551" s="2" t="b">
        <v>0</v>
      </c>
      <c r="G1551" s="2" t="s">
        <v>9937</v>
      </c>
      <c r="H1551" s="3" t="str">
        <f>_xlfn.IFNA(INDEX(RulebookFields!C2:C999, MATCH(D1551,RulebookFields!A2:A999, 0)), "")</f>
      </c>
      <c r="I1551" s="3" t="str">
        <f>_xlfn.IFNA(INDEX(RulebookFields!D2:D999, MATCH(D1551,RulebookFields!A2:A999, 0)), "")</f>
      </c>
      <c r="J1551" s="3" t="str">
        <f>_xlfn.IFNA(INDEX(RulebookFields!I2:I999, MATCH(D1551,RulebookFields!A2:A999, 0)), "")</f>
      </c>
      <c r="K1551" s="3" t="b">
        <f>AND(F1551, J1551)</f>
        <v>0</v>
      </c>
      <c r="L1551" s="3" t="b">
        <f>AND(G1551 &lt;&gt; "plain", G1551 &lt;&gt; "")</f>
        <v>0</v>
      </c>
      <c r="M1551" s="3" t="str">
        <f>IF(E1551, C1551 &amp; "|" &amp; H1551, "")</f>
        <v>principal-process-steward|</v>
      </c>
      <c r="N1551" s="2" t="s">
        <v>9938</v>
      </c>
    </row>
    <row r="1552">
      <c r="A1552" s="2" t="s">
        <v>11488</v>
      </c>
      <c r="B1552" s="3" t="str">
        <f>C1552 &amp; " -&gt; " &amp; D1552</f>
        <v>principal-process-steward -&gt; SendIntents.MessageTemplate</v>
      </c>
      <c r="C1552" s="2" t="s">
        <v>9706</v>
      </c>
      <c r="D1552" s="2" t="s">
        <v>4669</v>
      </c>
      <c r="E1552" s="2" t="b">
        <v>1</v>
      </c>
      <c r="F1552" s="2" t="b">
        <v>0</v>
      </c>
      <c r="G1552" s="2" t="s">
        <v>9937</v>
      </c>
      <c r="H1552" s="3" t="str">
        <f>_xlfn.IFNA(INDEX(RulebookFields!C2:C999, MATCH(D1552,RulebookFields!A2:A999, 0)), "")</f>
      </c>
      <c r="I1552" s="3" t="str">
        <f>_xlfn.IFNA(INDEX(RulebookFields!D2:D999, MATCH(D1552,RulebookFields!A2:A999, 0)), "")</f>
      </c>
      <c r="J1552" s="3" t="str">
        <f>_xlfn.IFNA(INDEX(RulebookFields!I2:I999, MATCH(D1552,RulebookFields!A2:A999, 0)), "")</f>
      </c>
      <c r="K1552" s="3" t="b">
        <f>AND(F1552, J1552)</f>
        <v>0</v>
      </c>
      <c r="L1552" s="3" t="b">
        <f>AND(G1552 &lt;&gt; "plain", G1552 &lt;&gt; "")</f>
        <v>0</v>
      </c>
      <c r="M1552" s="3" t="str">
        <f>IF(E1552, C1552 &amp; "|" &amp; H1552, "")</f>
        <v>principal-process-steward|</v>
      </c>
      <c r="N1552" s="2" t="s">
        <v>9938</v>
      </c>
    </row>
    <row r="1553">
      <c r="A1553" s="2" t="s">
        <v>11489</v>
      </c>
      <c r="B1553" s="3" t="str">
        <f>C1553 &amp; " -&gt; " &amp; D1553</f>
        <v>principal-process-steward -&gt; SendIntents.ProposedBody</v>
      </c>
      <c r="C1553" s="2" t="s">
        <v>9706</v>
      </c>
      <c r="D1553" s="2" t="s">
        <v>4670</v>
      </c>
      <c r="E1553" s="2" t="b">
        <v>1</v>
      </c>
      <c r="F1553" s="2" t="b">
        <v>0</v>
      </c>
      <c r="G1553" s="2" t="s">
        <v>9937</v>
      </c>
      <c r="H1553" s="3" t="str">
        <f>_xlfn.IFNA(INDEX(RulebookFields!C2:C999, MATCH(D1553,RulebookFields!A2:A999, 0)), "")</f>
      </c>
      <c r="I1553" s="3" t="str">
        <f>_xlfn.IFNA(INDEX(RulebookFields!D2:D999, MATCH(D1553,RulebookFields!A2:A999, 0)), "")</f>
      </c>
      <c r="J1553" s="3" t="str">
        <f>_xlfn.IFNA(INDEX(RulebookFields!I2:I999, MATCH(D1553,RulebookFields!A2:A999, 0)), "")</f>
      </c>
      <c r="K1553" s="3" t="b">
        <f>AND(F1553, J1553)</f>
        <v>0</v>
      </c>
      <c r="L1553" s="3" t="b">
        <f>AND(G1553 &lt;&gt; "plain", G1553 &lt;&gt; "")</f>
        <v>0</v>
      </c>
      <c r="M1553" s="3" t="str">
        <f>IF(E1553, C1553 &amp; "|" &amp; H1553, "")</f>
        <v>principal-process-steward|</v>
      </c>
      <c r="N1553" s="2" t="s">
        <v>9938</v>
      </c>
    </row>
    <row r="1554">
      <c r="A1554" s="2" t="s">
        <v>11490</v>
      </c>
      <c r="B1554" s="3" t="str">
        <f>C1554 &amp; " -&gt; " &amp; D1554</f>
        <v>principal-process-steward -&gt; SendIntents.ProposedSendAtLocalHour</v>
      </c>
      <c r="C1554" s="2" t="s">
        <v>9706</v>
      </c>
      <c r="D1554" s="2" t="s">
        <v>4672</v>
      </c>
      <c r="E1554" s="2" t="b">
        <v>1</v>
      </c>
      <c r="F1554" s="2" t="b">
        <v>0</v>
      </c>
      <c r="G1554" s="2" t="s">
        <v>9937</v>
      </c>
      <c r="H1554" s="3" t="str">
        <f>_xlfn.IFNA(INDEX(RulebookFields!C2:C999, MATCH(D1554,RulebookFields!A2:A999, 0)), "")</f>
      </c>
      <c r="I1554" s="3" t="str">
        <f>_xlfn.IFNA(INDEX(RulebookFields!D2:D999, MATCH(D1554,RulebookFields!A2:A999, 0)), "")</f>
      </c>
      <c r="J1554" s="3" t="str">
        <f>_xlfn.IFNA(INDEX(RulebookFields!I2:I999, MATCH(D1554,RulebookFields!A2:A999, 0)), "")</f>
      </c>
      <c r="K1554" s="3" t="b">
        <f>AND(F1554, J1554)</f>
        <v>0</v>
      </c>
      <c r="L1554" s="3" t="b">
        <f>AND(G1554 &lt;&gt; "plain", G1554 &lt;&gt; "")</f>
        <v>0</v>
      </c>
      <c r="M1554" s="3" t="str">
        <f>IF(E1554, C1554 &amp; "|" &amp; H1554, "")</f>
        <v>principal-process-steward|</v>
      </c>
      <c r="N1554" s="2" t="s">
        <v>9938</v>
      </c>
    </row>
    <row r="1555">
      <c r="A1555" s="2" t="s">
        <v>11491</v>
      </c>
      <c r="B1555" s="3" t="str">
        <f>C1555 &amp; " -&gt; " &amp; D1555</f>
        <v>principal-process-steward -&gt; SendIntents.EvaluatedAt</v>
      </c>
      <c r="C1555" s="2" t="s">
        <v>9706</v>
      </c>
      <c r="D1555" s="2" t="s">
        <v>4674</v>
      </c>
      <c r="E1555" s="2" t="b">
        <v>1</v>
      </c>
      <c r="F1555" s="2" t="b">
        <v>0</v>
      </c>
      <c r="G1555" s="2" t="s">
        <v>9937</v>
      </c>
      <c r="H1555" s="3" t="str">
        <f>_xlfn.IFNA(INDEX(RulebookFields!C2:C999, MATCH(D1555,RulebookFields!A2:A999, 0)), "")</f>
      </c>
      <c r="I1555" s="3" t="str">
        <f>_xlfn.IFNA(INDEX(RulebookFields!D2:D999, MATCH(D1555,RulebookFields!A2:A999, 0)), "")</f>
      </c>
      <c r="J1555" s="3" t="str">
        <f>_xlfn.IFNA(INDEX(RulebookFields!I2:I999, MATCH(D1555,RulebookFields!A2:A999, 0)), "")</f>
      </c>
      <c r="K1555" s="3" t="b">
        <f>AND(F1555, J1555)</f>
        <v>0</v>
      </c>
      <c r="L1555" s="3" t="b">
        <f>AND(G1555 &lt;&gt; "plain", G1555 &lt;&gt; "")</f>
        <v>0</v>
      </c>
      <c r="M1555" s="3" t="str">
        <f>IF(E1555, C1555 &amp; "|" &amp; H1555, "")</f>
        <v>principal-process-steward|</v>
      </c>
      <c r="N1555" s="2" t="s">
        <v>9938</v>
      </c>
    </row>
    <row r="1556">
      <c r="A1556" s="2" t="s">
        <v>11492</v>
      </c>
      <c r="B1556" s="3" t="str">
        <f>C1556 &amp; " -&gt; " &amp; D1556</f>
        <v>principal-process-steward -&gt; SendIntents.ResultingDelivery</v>
      </c>
      <c r="C1556" s="2" t="s">
        <v>9706</v>
      </c>
      <c r="D1556" s="2" t="s">
        <v>4675</v>
      </c>
      <c r="E1556" s="2" t="b">
        <v>1</v>
      </c>
      <c r="F1556" s="2" t="b">
        <v>0</v>
      </c>
      <c r="G1556" s="2" t="s">
        <v>9937</v>
      </c>
      <c r="H1556" s="3" t="str">
        <f>_xlfn.IFNA(INDEX(RulebookFields!C2:C999, MATCH(D1556,RulebookFields!A2:A999, 0)), "")</f>
      </c>
      <c r="I1556" s="3" t="str">
        <f>_xlfn.IFNA(INDEX(RulebookFields!D2:D999, MATCH(D1556,RulebookFields!A2:A999, 0)), "")</f>
      </c>
      <c r="J1556" s="3" t="str">
        <f>_xlfn.IFNA(INDEX(RulebookFields!I2:I999, MATCH(D1556,RulebookFields!A2:A999, 0)), "")</f>
      </c>
      <c r="K1556" s="3" t="b">
        <f>AND(F1556, J1556)</f>
        <v>0</v>
      </c>
      <c r="L1556" s="3" t="b">
        <f>AND(G1556 &lt;&gt; "plain", G1556 &lt;&gt; "")</f>
        <v>0</v>
      </c>
      <c r="M1556" s="3" t="str">
        <f>IF(E1556, C1556 &amp; "|" &amp; H1556, "")</f>
        <v>principal-process-steward|</v>
      </c>
      <c r="N1556" s="2" t="s">
        <v>9938</v>
      </c>
    </row>
    <row r="1557">
      <c r="A1557" s="2" t="s">
        <v>11493</v>
      </c>
      <c r="B1557" s="3" t="str">
        <f>C1557 &amp; " -&gt; " &amp; D1557</f>
        <v>principal-process-steward -&gt; SendIntents.IntentPolicy</v>
      </c>
      <c r="C1557" s="2" t="s">
        <v>9706</v>
      </c>
      <c r="D1557" s="2" t="s">
        <v>4677</v>
      </c>
      <c r="E1557" s="2" t="b">
        <v>1</v>
      </c>
      <c r="F1557" s="2" t="b">
        <v>0</v>
      </c>
      <c r="G1557" s="2" t="s">
        <v>9937</v>
      </c>
      <c r="H1557" s="3" t="str">
        <f>_xlfn.IFNA(INDEX(RulebookFields!C2:C999, MATCH(D1557,RulebookFields!A2:A999, 0)), "")</f>
      </c>
      <c r="I1557" s="3" t="str">
        <f>_xlfn.IFNA(INDEX(RulebookFields!D2:D999, MATCH(D1557,RulebookFields!A2:A999, 0)), "")</f>
      </c>
      <c r="J1557" s="3" t="str">
        <f>_xlfn.IFNA(INDEX(RulebookFields!I2:I999, MATCH(D1557,RulebookFields!A2:A999, 0)), "")</f>
      </c>
      <c r="K1557" s="3" t="b">
        <f>AND(F1557, J1557)</f>
        <v>0</v>
      </c>
      <c r="L1557" s="3" t="b">
        <f>AND(G1557 &lt;&gt; "plain", G1557 &lt;&gt; "")</f>
        <v>0</v>
      </c>
      <c r="M1557" s="3" t="str">
        <f>IF(E1557, C1557 &amp; "|" &amp; H1557, "")</f>
        <v>principal-process-steward|</v>
      </c>
      <c r="N1557" s="2" t="s">
        <v>9938</v>
      </c>
    </row>
    <row r="1558">
      <c r="A1558" s="2" t="s">
        <v>11494</v>
      </c>
      <c r="B1558" s="3" t="str">
        <f>C1558 &amp; " -&gt; " &amp; D1558</f>
        <v>principal-process-steward -&gt; SendIntents.IntentChannel</v>
      </c>
      <c r="C1558" s="2" t="s">
        <v>9706</v>
      </c>
      <c r="D1558" s="2" t="s">
        <v>4679</v>
      </c>
      <c r="E1558" s="2" t="b">
        <v>1</v>
      </c>
      <c r="F1558" s="2" t="b">
        <v>0</v>
      </c>
      <c r="G1558" s="2" t="s">
        <v>9937</v>
      </c>
      <c r="H1558" s="3" t="str">
        <f>_xlfn.IFNA(INDEX(RulebookFields!C2:C999, MATCH(D1558,RulebookFields!A2:A999, 0)), "")</f>
      </c>
      <c r="I1558" s="3" t="str">
        <f>_xlfn.IFNA(INDEX(RulebookFields!D2:D999, MATCH(D1558,RulebookFields!A2:A999, 0)), "")</f>
      </c>
      <c r="J1558" s="3" t="str">
        <f>_xlfn.IFNA(INDEX(RulebookFields!I2:I999, MATCH(D1558,RulebookFields!A2:A999, 0)), "")</f>
      </c>
      <c r="K1558" s="3" t="b">
        <f>AND(F1558, J1558)</f>
        <v>0</v>
      </c>
      <c r="L1558" s="3" t="b">
        <f>AND(G1558 &lt;&gt; "plain", G1558 &lt;&gt; "")</f>
        <v>0</v>
      </c>
      <c r="M1558" s="3" t="str">
        <f>IF(E1558, C1558 &amp; "|" &amp; H1558, "")</f>
        <v>principal-process-steward|</v>
      </c>
      <c r="N1558" s="2" t="s">
        <v>9938</v>
      </c>
    </row>
    <row r="1559">
      <c r="A1559" s="2" t="s">
        <v>11495</v>
      </c>
      <c r="B1559" s="3" t="str">
        <f>C1559 &amp; " -&gt; " &amp; D1559</f>
        <v>principal-process-steward -&gt; SendIntents.PolicyIsActive</v>
      </c>
      <c r="C1559" s="2" t="s">
        <v>9706</v>
      </c>
      <c r="D1559" s="2" t="s">
        <v>4682</v>
      </c>
      <c r="E1559" s="2" t="b">
        <v>1</v>
      </c>
      <c r="F1559" s="2" t="b">
        <v>0</v>
      </c>
      <c r="G1559" s="2" t="s">
        <v>9937</v>
      </c>
      <c r="H1559" s="3" t="str">
        <f>_xlfn.IFNA(INDEX(RulebookFields!C2:C999, MATCH(D1559,RulebookFields!A2:A999, 0)), "")</f>
      </c>
      <c r="I1559" s="3" t="str">
        <f>_xlfn.IFNA(INDEX(RulebookFields!D2:D999, MATCH(D1559,RulebookFields!A2:A999, 0)), "")</f>
      </c>
      <c r="J1559" s="3" t="str">
        <f>_xlfn.IFNA(INDEX(RulebookFields!I2:I999, MATCH(D1559,RulebookFields!A2:A999, 0)), "")</f>
      </c>
      <c r="K1559" s="3" t="b">
        <f>AND(F1559, J1559)</f>
        <v>0</v>
      </c>
      <c r="L1559" s="3" t="b">
        <f>AND(G1559 &lt;&gt; "plain", G1559 &lt;&gt; "")</f>
        <v>0</v>
      </c>
      <c r="M1559" s="3" t="str">
        <f>IF(E1559, C1559 &amp; "|" &amp; H1559, "")</f>
        <v>principal-process-steward|</v>
      </c>
      <c r="N1559" s="2" t="s">
        <v>9938</v>
      </c>
    </row>
    <row r="1560">
      <c r="A1560" s="2" t="s">
        <v>11496</v>
      </c>
      <c r="B1560" s="3" t="str">
        <f>C1560 &amp; " -&gt; " &amp; D1560</f>
        <v>principal-process-steward -&gt; SendIntents.IntentRequiresConsent</v>
      </c>
      <c r="C1560" s="2" t="s">
        <v>9706</v>
      </c>
      <c r="D1560" s="2" t="s">
        <v>4685</v>
      </c>
      <c r="E1560" s="2" t="b">
        <v>1</v>
      </c>
      <c r="F1560" s="2" t="b">
        <v>0</v>
      </c>
      <c r="G1560" s="2" t="s">
        <v>9937</v>
      </c>
      <c r="H1560" s="3" t="str">
        <f>_xlfn.IFNA(INDEX(RulebookFields!C2:C999, MATCH(D1560,RulebookFields!A2:A999, 0)), "")</f>
      </c>
      <c r="I1560" s="3" t="str">
        <f>_xlfn.IFNA(INDEX(RulebookFields!D2:D999, MATCH(D1560,RulebookFields!A2:A999, 0)), "")</f>
      </c>
      <c r="J1560" s="3" t="str">
        <f>_xlfn.IFNA(INDEX(RulebookFields!I2:I999, MATCH(D1560,RulebookFields!A2:A999, 0)), "")</f>
      </c>
      <c r="K1560" s="3" t="b">
        <f>AND(F1560, J1560)</f>
        <v>0</v>
      </c>
      <c r="L1560" s="3" t="b">
        <f>AND(G1560 &lt;&gt; "plain", G1560 &lt;&gt; "")</f>
        <v>0</v>
      </c>
      <c r="M1560" s="3" t="str">
        <f>IF(E1560, C1560 &amp; "|" &amp; H1560, "")</f>
        <v>principal-process-steward|</v>
      </c>
      <c r="N1560" s="2" t="s">
        <v>9938</v>
      </c>
    </row>
    <row r="1561">
      <c r="A1561" s="2" t="s">
        <v>11497</v>
      </c>
      <c r="B1561" s="3" t="str">
        <f>C1561 &amp; " -&gt; " &amp; D1561</f>
        <v>principal-process-steward -&gt; SendIntents.RecipientHasChannelConsent</v>
      </c>
      <c r="C1561" s="2" t="s">
        <v>9706</v>
      </c>
      <c r="D1561" s="2" t="s">
        <v>4688</v>
      </c>
      <c r="E1561" s="2" t="b">
        <v>1</v>
      </c>
      <c r="F1561" s="2" t="b">
        <v>0</v>
      </c>
      <c r="G1561" s="2" t="s">
        <v>9937</v>
      </c>
      <c r="H1561" s="3" t="str">
        <f>_xlfn.IFNA(INDEX(RulebookFields!C2:C999, MATCH(D1561,RulebookFields!A2:A999, 0)), "")</f>
      </c>
      <c r="I1561" s="3" t="str">
        <f>_xlfn.IFNA(INDEX(RulebookFields!D2:D999, MATCH(D1561,RulebookFields!A2:A999, 0)), "")</f>
      </c>
      <c r="J1561" s="3" t="str">
        <f>_xlfn.IFNA(INDEX(RulebookFields!I2:I999, MATCH(D1561,RulebookFields!A2:A999, 0)), "")</f>
      </c>
      <c r="K1561" s="3" t="b">
        <f>AND(F1561, J1561)</f>
        <v>0</v>
      </c>
      <c r="L1561" s="3" t="b">
        <f>AND(G1561 &lt;&gt; "plain", G1561 &lt;&gt; "")</f>
        <v>0</v>
      </c>
      <c r="M1561" s="3" t="str">
        <f>IF(E1561, C1561 &amp; "|" &amp; H1561, "")</f>
        <v>principal-process-steward|</v>
      </c>
      <c r="N1561" s="2" t="s">
        <v>9938</v>
      </c>
    </row>
    <row r="1562">
      <c r="A1562" s="2" t="s">
        <v>11498</v>
      </c>
      <c r="B1562" s="3" t="str">
        <f>C1562 &amp; " -&gt; " &amp; D1562</f>
        <v>principal-process-steward -&gt; SendIntents.ConsentGatePassed</v>
      </c>
      <c r="C1562" s="2" t="s">
        <v>9706</v>
      </c>
      <c r="D1562" s="2" t="s">
        <v>4690</v>
      </c>
      <c r="E1562" s="2" t="b">
        <v>1</v>
      </c>
      <c r="F1562" s="2" t="b">
        <v>0</v>
      </c>
      <c r="G1562" s="2" t="s">
        <v>9937</v>
      </c>
      <c r="H1562" s="3" t="str">
        <f>_xlfn.IFNA(INDEX(RulebookFields!C2:C999, MATCH(D1562,RulebookFields!A2:A999, 0)), "")</f>
      </c>
      <c r="I1562" s="3" t="str">
        <f>_xlfn.IFNA(INDEX(RulebookFields!D2:D999, MATCH(D1562,RulebookFields!A2:A999, 0)), "")</f>
      </c>
      <c r="J1562" s="3" t="str">
        <f>_xlfn.IFNA(INDEX(RulebookFields!I2:I999, MATCH(D1562,RulebookFields!A2:A999, 0)), "")</f>
      </c>
      <c r="K1562" s="3" t="b">
        <f>AND(F1562, J1562)</f>
        <v>0</v>
      </c>
      <c r="L1562" s="3" t="b">
        <f>AND(G1562 &lt;&gt; "plain", G1562 &lt;&gt; "")</f>
        <v>0</v>
      </c>
      <c r="M1562" s="3" t="str">
        <f>IF(E1562, C1562 &amp; "|" &amp; H1562, "")</f>
        <v>principal-process-steward|</v>
      </c>
      <c r="N1562" s="2" t="s">
        <v>9938</v>
      </c>
    </row>
    <row r="1563">
      <c r="A1563" s="2" t="s">
        <v>11499</v>
      </c>
      <c r="B1563" s="3" t="str">
        <f>C1563 &amp; " -&gt; " &amp; D1563</f>
        <v>principal-process-steward -&gt; SendIntents.RecipientIsSmsReachable</v>
      </c>
      <c r="C1563" s="2" t="s">
        <v>9706</v>
      </c>
      <c r="D1563" s="2" t="s">
        <v>4693</v>
      </c>
      <c r="E1563" s="2" t="b">
        <v>1</v>
      </c>
      <c r="F1563" s="2" t="b">
        <v>0</v>
      </c>
      <c r="G1563" s="2" t="s">
        <v>9937</v>
      </c>
      <c r="H1563" s="3" t="str">
        <f>_xlfn.IFNA(INDEX(RulebookFields!C2:C999, MATCH(D1563,RulebookFields!A2:A999, 0)), "")</f>
      </c>
      <c r="I1563" s="3" t="str">
        <f>_xlfn.IFNA(INDEX(RulebookFields!D2:D999, MATCH(D1563,RulebookFields!A2:A999, 0)), "")</f>
      </c>
      <c r="J1563" s="3" t="str">
        <f>_xlfn.IFNA(INDEX(RulebookFields!I2:I999, MATCH(D1563,RulebookFields!A2:A999, 0)), "")</f>
      </c>
      <c r="K1563" s="3" t="b">
        <f>AND(F1563, J1563)</f>
        <v>0</v>
      </c>
      <c r="L1563" s="3" t="b">
        <f>AND(G1563 &lt;&gt; "plain", G1563 &lt;&gt; "")</f>
        <v>0</v>
      </c>
      <c r="M1563" s="3" t="str">
        <f>IF(E1563, C1563 &amp; "|" &amp; H1563, "")</f>
        <v>principal-process-steward|</v>
      </c>
      <c r="N1563" s="2" t="s">
        <v>9938</v>
      </c>
    </row>
    <row r="1564">
      <c r="A1564" s="2" t="s">
        <v>11500</v>
      </c>
      <c r="B1564" s="3" t="str">
        <f>C1564 &amp; " -&gt; " &amp; D1564</f>
        <v>principal-process-steward -&gt; SendIntents.RecipientIsEmailReachable</v>
      </c>
      <c r="C1564" s="2" t="s">
        <v>9706</v>
      </c>
      <c r="D1564" s="2" t="s">
        <v>4696</v>
      </c>
      <c r="E1564" s="2" t="b">
        <v>1</v>
      </c>
      <c r="F1564" s="2" t="b">
        <v>0</v>
      </c>
      <c r="G1564" s="2" t="s">
        <v>9937</v>
      </c>
      <c r="H1564" s="3" t="str">
        <f>_xlfn.IFNA(INDEX(RulebookFields!C2:C999, MATCH(D1564,RulebookFields!A2:A999, 0)), "")</f>
      </c>
      <c r="I1564" s="3" t="str">
        <f>_xlfn.IFNA(INDEX(RulebookFields!D2:D999, MATCH(D1564,RulebookFields!A2:A999, 0)), "")</f>
      </c>
      <c r="J1564" s="3" t="str">
        <f>_xlfn.IFNA(INDEX(RulebookFields!I2:I999, MATCH(D1564,RulebookFields!A2:A999, 0)), "")</f>
      </c>
      <c r="K1564" s="3" t="b">
        <f>AND(F1564, J1564)</f>
        <v>0</v>
      </c>
      <c r="L1564" s="3" t="b">
        <f>AND(G1564 &lt;&gt; "plain", G1564 &lt;&gt; "")</f>
        <v>0</v>
      </c>
      <c r="M1564" s="3" t="str">
        <f>IF(E1564, C1564 &amp; "|" &amp; H1564, "")</f>
        <v>principal-process-steward|</v>
      </c>
      <c r="N1564" s="2" t="s">
        <v>9938</v>
      </c>
    </row>
    <row r="1565">
      <c r="A1565" s="2" t="s">
        <v>11501</v>
      </c>
      <c r="B1565" s="3" t="str">
        <f>C1565 &amp; " -&gt; " &amp; D1565</f>
        <v>principal-process-steward -&gt; SendIntents.ReachabilityGatePassed</v>
      </c>
      <c r="C1565" s="2" t="s">
        <v>9706</v>
      </c>
      <c r="D1565" s="2" t="s">
        <v>4699</v>
      </c>
      <c r="E1565" s="2" t="b">
        <v>1</v>
      </c>
      <c r="F1565" s="2" t="b">
        <v>0</v>
      </c>
      <c r="G1565" s="2" t="s">
        <v>9937</v>
      </c>
      <c r="H1565" s="3" t="str">
        <f>_xlfn.IFNA(INDEX(RulebookFields!C2:C999, MATCH(D1565,RulebookFields!A2:A999, 0)), "")</f>
      </c>
      <c r="I1565" s="3" t="str">
        <f>_xlfn.IFNA(INDEX(RulebookFields!D2:D999, MATCH(D1565,RulebookFields!A2:A999, 0)), "")</f>
      </c>
      <c r="J1565" s="3" t="str">
        <f>_xlfn.IFNA(INDEX(RulebookFields!I2:I999, MATCH(D1565,RulebookFields!A2:A999, 0)), "")</f>
      </c>
      <c r="K1565" s="3" t="b">
        <f>AND(F1565, J1565)</f>
        <v>0</v>
      </c>
      <c r="L1565" s="3" t="b">
        <f>AND(G1565 &lt;&gt; "plain", G1565 &lt;&gt; "")</f>
        <v>0</v>
      </c>
      <c r="M1565" s="3" t="str">
        <f>IF(E1565, C1565 &amp; "|" &amp; H1565, "")</f>
        <v>principal-process-steward|</v>
      </c>
      <c r="N1565" s="2" t="s">
        <v>9938</v>
      </c>
    </row>
    <row r="1566">
      <c r="A1566" s="2" t="s">
        <v>11502</v>
      </c>
      <c r="B1566" s="3" t="str">
        <f>C1566 &amp; " -&gt; " &amp; D1566</f>
        <v>principal-process-steward -&gt; SendIntents.PermissionGatePassed</v>
      </c>
      <c r="C1566" s="2" t="s">
        <v>9706</v>
      </c>
      <c r="D1566" s="2" t="s">
        <v>4702</v>
      </c>
      <c r="E1566" s="2" t="b">
        <v>1</v>
      </c>
      <c r="F1566" s="2" t="b">
        <v>0</v>
      </c>
      <c r="G1566" s="2" t="s">
        <v>9937</v>
      </c>
      <c r="H1566" s="3" t="str">
        <f>_xlfn.IFNA(INDEX(RulebookFields!C2:C999, MATCH(D1566,RulebookFields!A2:A999, 0)), "")</f>
      </c>
      <c r="I1566" s="3" t="str">
        <f>_xlfn.IFNA(INDEX(RulebookFields!D2:D999, MATCH(D1566,RulebookFields!A2:A999, 0)), "")</f>
      </c>
      <c r="J1566" s="3" t="str">
        <f>_xlfn.IFNA(INDEX(RulebookFields!I2:I999, MATCH(D1566,RulebookFields!A2:A999, 0)), "")</f>
      </c>
      <c r="K1566" s="3" t="b">
        <f>AND(F1566, J1566)</f>
        <v>0</v>
      </c>
      <c r="L1566" s="3" t="b">
        <f>AND(G1566 &lt;&gt; "plain", G1566 &lt;&gt; "")</f>
        <v>0</v>
      </c>
      <c r="M1566" s="3" t="str">
        <f>IF(E1566, C1566 &amp; "|" &amp; H1566, "")</f>
        <v>principal-process-steward|</v>
      </c>
      <c r="N1566" s="2" t="s">
        <v>9938</v>
      </c>
    </row>
    <row r="1567">
      <c r="A1567" s="2" t="s">
        <v>11503</v>
      </c>
      <c r="B1567" s="3" t="str">
        <f>C1567 &amp; " -&gt; " &amp; D1567</f>
        <v>principal-process-steward -&gt; SendIntents.IntentQuietStartHour</v>
      </c>
      <c r="C1567" s="2" t="s">
        <v>9706</v>
      </c>
      <c r="D1567" s="2" t="s">
        <v>4705</v>
      </c>
      <c r="E1567" s="2" t="b">
        <v>1</v>
      </c>
      <c r="F1567" s="2" t="b">
        <v>0</v>
      </c>
      <c r="G1567" s="2" t="s">
        <v>9937</v>
      </c>
      <c r="H1567" s="3" t="str">
        <f>_xlfn.IFNA(INDEX(RulebookFields!C2:C999, MATCH(D1567,RulebookFields!A2:A999, 0)), "")</f>
      </c>
      <c r="I1567" s="3" t="str">
        <f>_xlfn.IFNA(INDEX(RulebookFields!D2:D999, MATCH(D1567,RulebookFields!A2:A999, 0)), "")</f>
      </c>
      <c r="J1567" s="3" t="str">
        <f>_xlfn.IFNA(INDEX(RulebookFields!I2:I999, MATCH(D1567,RulebookFields!A2:A999, 0)), "")</f>
      </c>
      <c r="K1567" s="3" t="b">
        <f>AND(F1567, J1567)</f>
        <v>0</v>
      </c>
      <c r="L1567" s="3" t="b">
        <f>AND(G1567 &lt;&gt; "plain", G1567 &lt;&gt; "")</f>
        <v>0</v>
      </c>
      <c r="M1567" s="3" t="str">
        <f>IF(E1567, C1567 &amp; "|" &amp; H1567, "")</f>
        <v>principal-process-steward|</v>
      </c>
      <c r="N1567" s="2" t="s">
        <v>9938</v>
      </c>
    </row>
    <row r="1568">
      <c r="A1568" s="2" t="s">
        <v>11504</v>
      </c>
      <c r="B1568" s="3" t="str">
        <f>C1568 &amp; " -&gt; " &amp; D1568</f>
        <v>principal-process-steward -&gt; SendIntents.IntentQuietEndHour</v>
      </c>
      <c r="C1568" s="2" t="s">
        <v>9706</v>
      </c>
      <c r="D1568" s="2" t="s">
        <v>4708</v>
      </c>
      <c r="E1568" s="2" t="b">
        <v>1</v>
      </c>
      <c r="F1568" s="2" t="b">
        <v>0</v>
      </c>
      <c r="G1568" s="2" t="s">
        <v>9937</v>
      </c>
      <c r="H1568" s="3" t="str">
        <f>_xlfn.IFNA(INDEX(RulebookFields!C2:C999, MATCH(D1568,RulebookFields!A2:A999, 0)), "")</f>
      </c>
      <c r="I1568" s="3" t="str">
        <f>_xlfn.IFNA(INDEX(RulebookFields!D2:D999, MATCH(D1568,RulebookFields!A2:A999, 0)), "")</f>
      </c>
      <c r="J1568" s="3" t="str">
        <f>_xlfn.IFNA(INDEX(RulebookFields!I2:I999, MATCH(D1568,RulebookFields!A2:A999, 0)), "")</f>
      </c>
      <c r="K1568" s="3" t="b">
        <f>AND(F1568, J1568)</f>
        <v>0</v>
      </c>
      <c r="L1568" s="3" t="b">
        <f>AND(G1568 &lt;&gt; "plain", G1568 &lt;&gt; "")</f>
        <v>0</v>
      </c>
      <c r="M1568" s="3" t="str">
        <f>IF(E1568, C1568 &amp; "|" &amp; H1568, "")</f>
        <v>principal-process-steward|</v>
      </c>
      <c r="N1568" s="2" t="s">
        <v>9938</v>
      </c>
    </row>
    <row r="1569">
      <c r="A1569" s="2" t="s">
        <v>11505</v>
      </c>
      <c r="B1569" s="3" t="str">
        <f>C1569 &amp; " -&gt; " &amp; D1569</f>
        <v>principal-process-steward -&gt; SendIntents.IntentPolicyHasQuietHours</v>
      </c>
      <c r="C1569" s="2" t="s">
        <v>9706</v>
      </c>
      <c r="D1569" s="2" t="s">
        <v>4711</v>
      </c>
      <c r="E1569" s="2" t="b">
        <v>1</v>
      </c>
      <c r="F1569" s="2" t="b">
        <v>0</v>
      </c>
      <c r="G1569" s="2" t="s">
        <v>9937</v>
      </c>
      <c r="H1569" s="3" t="str">
        <f>_xlfn.IFNA(INDEX(RulebookFields!C2:C999, MATCH(D1569,RulebookFields!A2:A999, 0)), "")</f>
      </c>
      <c r="I1569" s="3" t="str">
        <f>_xlfn.IFNA(INDEX(RulebookFields!D2:D999, MATCH(D1569,RulebookFields!A2:A999, 0)), "")</f>
      </c>
      <c r="J1569" s="3" t="str">
        <f>_xlfn.IFNA(INDEX(RulebookFields!I2:I999, MATCH(D1569,RulebookFields!A2:A999, 0)), "")</f>
      </c>
      <c r="K1569" s="3" t="b">
        <f>AND(F1569, J1569)</f>
        <v>0</v>
      </c>
      <c r="L1569" s="3" t="b">
        <f>AND(G1569 &lt;&gt; "plain", G1569 &lt;&gt; "")</f>
        <v>0</v>
      </c>
      <c r="M1569" s="3" t="str">
        <f>IF(E1569, C1569 &amp; "|" &amp; H1569, "")</f>
        <v>principal-process-steward|</v>
      </c>
      <c r="N1569" s="2" t="s">
        <v>9938</v>
      </c>
    </row>
    <row r="1570">
      <c r="A1570" s="2" t="s">
        <v>11506</v>
      </c>
      <c r="B1570" s="3" t="str">
        <f>C1570 &amp; " -&gt; " &amp; D1570</f>
        <v>principal-process-steward -&gt; SendIntents.IntentQuietWindowWraps</v>
      </c>
      <c r="C1570" s="2" t="s">
        <v>9706</v>
      </c>
      <c r="D1570" s="2" t="s">
        <v>4714</v>
      </c>
      <c r="E1570" s="2" t="b">
        <v>1</v>
      </c>
      <c r="F1570" s="2" t="b">
        <v>0</v>
      </c>
      <c r="G1570" s="2" t="s">
        <v>9937</v>
      </c>
      <c r="H1570" s="3" t="str">
        <f>_xlfn.IFNA(INDEX(RulebookFields!C2:C999, MATCH(D1570,RulebookFields!A2:A999, 0)), "")</f>
      </c>
      <c r="I1570" s="3" t="str">
        <f>_xlfn.IFNA(INDEX(RulebookFields!D2:D999, MATCH(D1570,RulebookFields!A2:A999, 0)), "")</f>
      </c>
      <c r="J1570" s="3" t="str">
        <f>_xlfn.IFNA(INDEX(RulebookFields!I2:I999, MATCH(D1570,RulebookFields!A2:A999, 0)), "")</f>
      </c>
      <c r="K1570" s="3" t="b">
        <f>AND(F1570, J1570)</f>
        <v>0</v>
      </c>
      <c r="L1570" s="3" t="b">
        <f>AND(G1570 &lt;&gt; "plain", G1570 &lt;&gt; "")</f>
        <v>0</v>
      </c>
      <c r="M1570" s="3" t="str">
        <f>IF(E1570, C1570 &amp; "|" &amp; H1570, "")</f>
        <v>principal-process-steward|</v>
      </c>
      <c r="N1570" s="2" t="s">
        <v>9938</v>
      </c>
    </row>
    <row r="1571">
      <c r="A1571" s="2" t="s">
        <v>11507</v>
      </c>
      <c r="B1571" s="3" t="str">
        <f>C1571 &amp; " -&gt; " &amp; D1571</f>
        <v>principal-process-steward -&gt; SendIntents.IntentIsInsideQuietWindow</v>
      </c>
      <c r="C1571" s="2" t="s">
        <v>9706</v>
      </c>
      <c r="D1571" s="2" t="s">
        <v>4717</v>
      </c>
      <c r="E1571" s="2" t="b">
        <v>1</v>
      </c>
      <c r="F1571" s="2" t="b">
        <v>0</v>
      </c>
      <c r="G1571" s="2" t="s">
        <v>9937</v>
      </c>
      <c r="H1571" s="3" t="str">
        <f>_xlfn.IFNA(INDEX(RulebookFields!C2:C999, MATCH(D1571,RulebookFields!A2:A999, 0)), "")</f>
      </c>
      <c r="I1571" s="3" t="str">
        <f>_xlfn.IFNA(INDEX(RulebookFields!D2:D999, MATCH(D1571,RulebookFields!A2:A999, 0)), "")</f>
      </c>
      <c r="J1571" s="3" t="str">
        <f>_xlfn.IFNA(INDEX(RulebookFields!I2:I999, MATCH(D1571,RulebookFields!A2:A999, 0)), "")</f>
      </c>
      <c r="K1571" s="3" t="b">
        <f>AND(F1571, J1571)</f>
        <v>0</v>
      </c>
      <c r="L1571" s="3" t="b">
        <f>AND(G1571 &lt;&gt; "plain", G1571 &lt;&gt; "")</f>
        <v>0</v>
      </c>
      <c r="M1571" s="3" t="str">
        <f>IF(E1571, C1571 &amp; "|" &amp; H1571, "")</f>
        <v>principal-process-steward|</v>
      </c>
      <c r="N1571" s="2" t="s">
        <v>9938</v>
      </c>
    </row>
    <row r="1572">
      <c r="A1572" s="2" t="s">
        <v>11508</v>
      </c>
      <c r="B1572" s="3" t="str">
        <f>C1572 &amp; " -&gt; " &amp; D1572</f>
        <v>principal-process-steward -&gt; SendIntents.TimingGatePassed</v>
      </c>
      <c r="C1572" s="2" t="s">
        <v>9706</v>
      </c>
      <c r="D1572" s="2" t="s">
        <v>4720</v>
      </c>
      <c r="E1572" s="2" t="b">
        <v>1</v>
      </c>
      <c r="F1572" s="2" t="b">
        <v>0</v>
      </c>
      <c r="G1572" s="2" t="s">
        <v>9937</v>
      </c>
      <c r="H1572" s="3" t="str">
        <f>_xlfn.IFNA(INDEX(RulebookFields!C2:C999, MATCH(D1572,RulebookFields!A2:A999, 0)), "")</f>
      </c>
      <c r="I1572" s="3" t="str">
        <f>_xlfn.IFNA(INDEX(RulebookFields!D2:D999, MATCH(D1572,RulebookFields!A2:A999, 0)), "")</f>
      </c>
      <c r="J1572" s="3" t="str">
        <f>_xlfn.IFNA(INDEX(RulebookFields!I2:I999, MATCH(D1572,RulebookFields!A2:A999, 0)), "")</f>
      </c>
      <c r="K1572" s="3" t="b">
        <f>AND(F1572, J1572)</f>
        <v>0</v>
      </c>
      <c r="L1572" s="3" t="b">
        <f>AND(G1572 &lt;&gt; "plain", G1572 &lt;&gt; "")</f>
        <v>0</v>
      </c>
      <c r="M1572" s="3" t="str">
        <f>IF(E1572, C1572 &amp; "|" &amp; H1572, "")</f>
        <v>principal-process-steward|</v>
      </c>
      <c r="N1572" s="2" t="s">
        <v>9938</v>
      </c>
    </row>
    <row r="1573">
      <c r="A1573" s="2" t="s">
        <v>11509</v>
      </c>
      <c r="B1573" s="3" t="str">
        <f>C1573 &amp; " -&gt; " &amp; D1573</f>
        <v>principal-process-steward -&gt; SendIntents.HoursUntilWindowOpens</v>
      </c>
      <c r="C1573" s="2" t="s">
        <v>9706</v>
      </c>
      <c r="D1573" s="2" t="s">
        <v>4723</v>
      </c>
      <c r="E1573" s="2" t="b">
        <v>1</v>
      </c>
      <c r="F1573" s="2" t="b">
        <v>0</v>
      </c>
      <c r="G1573" s="2" t="s">
        <v>9937</v>
      </c>
      <c r="H1573" s="3" t="str">
        <f>_xlfn.IFNA(INDEX(RulebookFields!C2:C999, MATCH(D1573,RulebookFields!A2:A999, 0)), "")</f>
      </c>
      <c r="I1573" s="3" t="str">
        <f>_xlfn.IFNA(INDEX(RulebookFields!D2:D999, MATCH(D1573,RulebookFields!A2:A999, 0)), "")</f>
      </c>
      <c r="J1573" s="3" t="str">
        <f>_xlfn.IFNA(INDEX(RulebookFields!I2:I999, MATCH(D1573,RulebookFields!A2:A999, 0)), "")</f>
      </c>
      <c r="K1573" s="3" t="b">
        <f>AND(F1573, J1573)</f>
        <v>0</v>
      </c>
      <c r="L1573" s="3" t="b">
        <f>AND(G1573 &lt;&gt; "plain", G1573 &lt;&gt; "")</f>
        <v>0</v>
      </c>
      <c r="M1573" s="3" t="str">
        <f>IF(E1573, C1573 &amp; "|" &amp; H1573, "")</f>
        <v>principal-process-steward|</v>
      </c>
      <c r="N1573" s="2" t="s">
        <v>9938</v>
      </c>
    </row>
    <row r="1574">
      <c r="A1574" s="2" t="s">
        <v>11510</v>
      </c>
      <c r="B1574" s="3" t="str">
        <f>C1574 &amp; " -&gt; " &amp; D1574</f>
        <v>principal-process-steward -&gt; SendIntents.IntentMaxMessageLength</v>
      </c>
      <c r="C1574" s="2" t="s">
        <v>9706</v>
      </c>
      <c r="D1574" s="2" t="s">
        <v>4726</v>
      </c>
      <c r="E1574" s="2" t="b">
        <v>1</v>
      </c>
      <c r="F1574" s="2" t="b">
        <v>0</v>
      </c>
      <c r="G1574" s="2" t="s">
        <v>9937</v>
      </c>
      <c r="H1574" s="3" t="str">
        <f>_xlfn.IFNA(INDEX(RulebookFields!C2:C999, MATCH(D1574,RulebookFields!A2:A999, 0)), "")</f>
      </c>
      <c r="I1574" s="3" t="str">
        <f>_xlfn.IFNA(INDEX(RulebookFields!D2:D999, MATCH(D1574,RulebookFields!A2:A999, 0)), "")</f>
      </c>
      <c r="J1574" s="3" t="str">
        <f>_xlfn.IFNA(INDEX(RulebookFields!I2:I999, MATCH(D1574,RulebookFields!A2:A999, 0)), "")</f>
      </c>
      <c r="K1574" s="3" t="b">
        <f>AND(F1574, J1574)</f>
        <v>0</v>
      </c>
      <c r="L1574" s="3" t="b">
        <f>AND(G1574 &lt;&gt; "plain", G1574 &lt;&gt; "")</f>
        <v>0</v>
      </c>
      <c r="M1574" s="3" t="str">
        <f>IF(E1574, C1574 &amp; "|" &amp; H1574, "")</f>
        <v>principal-process-steward|</v>
      </c>
      <c r="N1574" s="2" t="s">
        <v>9938</v>
      </c>
    </row>
    <row r="1575">
      <c r="A1575" s="2" t="s">
        <v>11511</v>
      </c>
      <c r="B1575" s="3" t="str">
        <f>C1575 &amp; " -&gt; " &amp; D1575</f>
        <v>principal-process-steward -&gt; SendIntents.IntentMaxSegments</v>
      </c>
      <c r="C1575" s="2" t="s">
        <v>9706</v>
      </c>
      <c r="D1575" s="2" t="s">
        <v>4729</v>
      </c>
      <c r="E1575" s="2" t="b">
        <v>1</v>
      </c>
      <c r="F1575" s="2" t="b">
        <v>0</v>
      </c>
      <c r="G1575" s="2" t="s">
        <v>9937</v>
      </c>
      <c r="H1575" s="3" t="str">
        <f>_xlfn.IFNA(INDEX(RulebookFields!C2:C999, MATCH(D1575,RulebookFields!A2:A999, 0)), "")</f>
      </c>
      <c r="I1575" s="3" t="str">
        <f>_xlfn.IFNA(INDEX(RulebookFields!D2:D999, MATCH(D1575,RulebookFields!A2:A999, 0)), "")</f>
      </c>
      <c r="J1575" s="3" t="str">
        <f>_xlfn.IFNA(INDEX(RulebookFields!I2:I999, MATCH(D1575,RulebookFields!A2:A999, 0)), "")</f>
      </c>
      <c r="K1575" s="3" t="b">
        <f>AND(F1575, J1575)</f>
        <v>0</v>
      </c>
      <c r="L1575" s="3" t="b">
        <f>AND(G1575 &lt;&gt; "plain", G1575 &lt;&gt; "")</f>
        <v>0</v>
      </c>
      <c r="M1575" s="3" t="str">
        <f>IF(E1575, C1575 &amp; "|" &amp; H1575, "")</f>
        <v>principal-process-steward|</v>
      </c>
      <c r="N1575" s="2" t="s">
        <v>9938</v>
      </c>
    </row>
    <row r="1576">
      <c r="A1576" s="2" t="s">
        <v>11512</v>
      </c>
      <c r="B1576" s="3" t="str">
        <f>C1576 &amp; " -&gt; " &amp; D1576</f>
        <v>principal-process-steward -&gt; SendIntents.ProposedBodyLength</v>
      </c>
      <c r="C1576" s="2" t="s">
        <v>9706</v>
      </c>
      <c r="D1576" s="2" t="s">
        <v>4732</v>
      </c>
      <c r="E1576" s="2" t="b">
        <v>1</v>
      </c>
      <c r="F1576" s="2" t="b">
        <v>0</v>
      </c>
      <c r="G1576" s="2" t="s">
        <v>9937</v>
      </c>
      <c r="H1576" s="3" t="str">
        <f>_xlfn.IFNA(INDEX(RulebookFields!C2:C999, MATCH(D1576,RulebookFields!A2:A999, 0)), "")</f>
      </c>
      <c r="I1576" s="3" t="str">
        <f>_xlfn.IFNA(INDEX(RulebookFields!D2:D999, MATCH(D1576,RulebookFields!A2:A999, 0)), "")</f>
      </c>
      <c r="J1576" s="3" t="str">
        <f>_xlfn.IFNA(INDEX(RulebookFields!I2:I999, MATCH(D1576,RulebookFields!A2:A999, 0)), "")</f>
      </c>
      <c r="K1576" s="3" t="b">
        <f>AND(F1576, J1576)</f>
        <v>0</v>
      </c>
      <c r="L1576" s="3" t="b">
        <f>AND(G1576 &lt;&gt; "plain", G1576 &lt;&gt; "")</f>
        <v>0</v>
      </c>
      <c r="M1576" s="3" t="str">
        <f>IF(E1576, C1576 &amp; "|" &amp; H1576, "")</f>
        <v>principal-process-steward|</v>
      </c>
      <c r="N1576" s="2" t="s">
        <v>9938</v>
      </c>
    </row>
    <row r="1577">
      <c r="A1577" s="2" t="s">
        <v>11513</v>
      </c>
      <c r="B1577" s="3" t="str">
        <f>C1577 &amp; " -&gt; " &amp; D1577</f>
        <v>principal-process-steward -&gt; SendIntents.ProposedSegmentCount</v>
      </c>
      <c r="C1577" s="2" t="s">
        <v>9706</v>
      </c>
      <c r="D1577" s="2" t="s">
        <v>4734</v>
      </c>
      <c r="E1577" s="2" t="b">
        <v>1</v>
      </c>
      <c r="F1577" s="2" t="b">
        <v>0</v>
      </c>
      <c r="G1577" s="2" t="s">
        <v>9937</v>
      </c>
      <c r="H1577" s="3" t="str">
        <f>_xlfn.IFNA(INDEX(RulebookFields!C2:C999, MATCH(D1577,RulebookFields!A2:A999, 0)), "")</f>
      </c>
      <c r="I1577" s="3" t="str">
        <f>_xlfn.IFNA(INDEX(RulebookFields!D2:D999, MATCH(D1577,RulebookFields!A2:A999, 0)), "")</f>
      </c>
      <c r="J1577" s="3" t="str">
        <f>_xlfn.IFNA(INDEX(RulebookFields!I2:I999, MATCH(D1577,RulebookFields!A2:A999, 0)), "")</f>
      </c>
      <c r="K1577" s="3" t="b">
        <f>AND(F1577, J1577)</f>
        <v>0</v>
      </c>
      <c r="L1577" s="3" t="b">
        <f>AND(G1577 &lt;&gt; "plain", G1577 &lt;&gt; "")</f>
        <v>0</v>
      </c>
      <c r="M1577" s="3" t="str">
        <f>IF(E1577, C1577 &amp; "|" &amp; H1577, "")</f>
        <v>principal-process-steward|</v>
      </c>
      <c r="N1577" s="2" t="s">
        <v>9938</v>
      </c>
    </row>
    <row r="1578">
      <c r="A1578" s="2" t="s">
        <v>11514</v>
      </c>
      <c r="B1578" s="3" t="str">
        <f>C1578 &amp; " -&gt; " &amp; D1578</f>
        <v>principal-process-steward -&gt; SendIntents.LengthGatePassed</v>
      </c>
      <c r="C1578" s="2" t="s">
        <v>9706</v>
      </c>
      <c r="D1578" s="2" t="s">
        <v>4736</v>
      </c>
      <c r="E1578" s="2" t="b">
        <v>1</v>
      </c>
      <c r="F1578" s="2" t="b">
        <v>0</v>
      </c>
      <c r="G1578" s="2" t="s">
        <v>9937</v>
      </c>
      <c r="H1578" s="3" t="str">
        <f>_xlfn.IFNA(INDEX(RulebookFields!C2:C999, MATCH(D1578,RulebookFields!A2:A999, 0)), "")</f>
      </c>
      <c r="I1578" s="3" t="str">
        <f>_xlfn.IFNA(INDEX(RulebookFields!D2:D999, MATCH(D1578,RulebookFields!A2:A999, 0)), "")</f>
      </c>
      <c r="J1578" s="3" t="str">
        <f>_xlfn.IFNA(INDEX(RulebookFields!I2:I999, MATCH(D1578,RulebookFields!A2:A999, 0)), "")</f>
      </c>
      <c r="K1578" s="3" t="b">
        <f>AND(F1578, J1578)</f>
        <v>0</v>
      </c>
      <c r="L1578" s="3" t="b">
        <f>AND(G1578 &lt;&gt; "plain", G1578 &lt;&gt; "")</f>
        <v>0</v>
      </c>
      <c r="M1578" s="3" t="str">
        <f>IF(E1578, C1578 &amp; "|" &amp; H1578, "")</f>
        <v>principal-process-steward|</v>
      </c>
      <c r="N1578" s="2" t="s">
        <v>9938</v>
      </c>
    </row>
    <row r="1579">
      <c r="A1579" s="2" t="s">
        <v>11515</v>
      </c>
      <c r="B1579" s="3" t="str">
        <f>C1579 &amp; " -&gt; " &amp; D1579</f>
        <v>principal-process-steward -&gt; SendIntents.IntentRequiredOptOutPhrase</v>
      </c>
      <c r="C1579" s="2" t="s">
        <v>9706</v>
      </c>
      <c r="D1579" s="2" t="s">
        <v>4739</v>
      </c>
      <c r="E1579" s="2" t="b">
        <v>1</v>
      </c>
      <c r="F1579" s="2" t="b">
        <v>0</v>
      </c>
      <c r="G1579" s="2" t="s">
        <v>9937</v>
      </c>
      <c r="H1579" s="3" t="str">
        <f>_xlfn.IFNA(INDEX(RulebookFields!C2:C999, MATCH(D1579,RulebookFields!A2:A999, 0)), "")</f>
      </c>
      <c r="I1579" s="3" t="str">
        <f>_xlfn.IFNA(INDEX(RulebookFields!D2:D999, MATCH(D1579,RulebookFields!A2:A999, 0)), "")</f>
      </c>
      <c r="J1579" s="3" t="str">
        <f>_xlfn.IFNA(INDEX(RulebookFields!I2:I999, MATCH(D1579,RulebookFields!A2:A999, 0)), "")</f>
      </c>
      <c r="K1579" s="3" t="b">
        <f>AND(F1579, J1579)</f>
        <v>0</v>
      </c>
      <c r="L1579" s="3" t="b">
        <f>AND(G1579 &lt;&gt; "plain", G1579 &lt;&gt; "")</f>
        <v>0</v>
      </c>
      <c r="M1579" s="3" t="str">
        <f>IF(E1579, C1579 &amp; "|" &amp; H1579, "")</f>
        <v>principal-process-steward|</v>
      </c>
      <c r="N1579" s="2" t="s">
        <v>9938</v>
      </c>
    </row>
    <row r="1580">
      <c r="A1580" s="2" t="s">
        <v>11516</v>
      </c>
      <c r="B1580" s="3" t="str">
        <f>C1580 &amp; " -&gt; " &amp; D1580</f>
        <v>principal-process-steward -&gt; SendIntents.ProposedOptOutPosition</v>
      </c>
      <c r="C1580" s="2" t="s">
        <v>9706</v>
      </c>
      <c r="D1580" s="2" t="s">
        <v>4742</v>
      </c>
      <c r="E1580" s="2" t="b">
        <v>1</v>
      </c>
      <c r="F1580" s="2" t="b">
        <v>0</v>
      </c>
      <c r="G1580" s="2" t="s">
        <v>9937</v>
      </c>
      <c r="H1580" s="3" t="str">
        <f>_xlfn.IFNA(INDEX(RulebookFields!C2:C999, MATCH(D1580,RulebookFields!A2:A999, 0)), "")</f>
      </c>
      <c r="I1580" s="3" t="str">
        <f>_xlfn.IFNA(INDEX(RulebookFields!D2:D999, MATCH(D1580,RulebookFields!A2:A999, 0)), "")</f>
      </c>
      <c r="J1580" s="3" t="str">
        <f>_xlfn.IFNA(INDEX(RulebookFields!I2:I999, MATCH(D1580,RulebookFields!A2:A999, 0)), "")</f>
      </c>
      <c r="K1580" s="3" t="b">
        <f>AND(F1580, J1580)</f>
        <v>0</v>
      </c>
      <c r="L1580" s="3" t="b">
        <f>AND(G1580 &lt;&gt; "plain", G1580 &lt;&gt; "")</f>
        <v>0</v>
      </c>
      <c r="M1580" s="3" t="str">
        <f>IF(E1580, C1580 &amp; "|" &amp; H1580, "")</f>
        <v>principal-process-steward|</v>
      </c>
      <c r="N1580" s="2" t="s">
        <v>9938</v>
      </c>
    </row>
    <row r="1581">
      <c r="A1581" s="2" t="s">
        <v>11517</v>
      </c>
      <c r="B1581" s="3" t="str">
        <f>C1581 &amp; " -&gt; " &amp; D1581</f>
        <v>principal-process-steward -&gt; SendIntents.OptOutGatePassed</v>
      </c>
      <c r="C1581" s="2" t="s">
        <v>9706</v>
      </c>
      <c r="D1581" s="2" t="s">
        <v>4744</v>
      </c>
      <c r="E1581" s="2" t="b">
        <v>1</v>
      </c>
      <c r="F1581" s="2" t="b">
        <v>0</v>
      </c>
      <c r="G1581" s="2" t="s">
        <v>9937</v>
      </c>
      <c r="H1581" s="3" t="str">
        <f>_xlfn.IFNA(INDEX(RulebookFields!C2:C999, MATCH(D1581,RulebookFields!A2:A999, 0)), "")</f>
      </c>
      <c r="I1581" s="3" t="str">
        <f>_xlfn.IFNA(INDEX(RulebookFields!D2:D999, MATCH(D1581,RulebookFields!A2:A999, 0)), "")</f>
      </c>
      <c r="J1581" s="3" t="str">
        <f>_xlfn.IFNA(INDEX(RulebookFields!I2:I999, MATCH(D1581,RulebookFields!A2:A999, 0)), "")</f>
      </c>
      <c r="K1581" s="3" t="b">
        <f>AND(F1581, J1581)</f>
        <v>0</v>
      </c>
      <c r="L1581" s="3" t="b">
        <f>AND(G1581 &lt;&gt; "plain", G1581 &lt;&gt; "")</f>
        <v>0</v>
      </c>
      <c r="M1581" s="3" t="str">
        <f>IF(E1581, C1581 &amp; "|" &amp; H1581, "")</f>
        <v>principal-process-steward|</v>
      </c>
      <c r="N1581" s="2" t="s">
        <v>9938</v>
      </c>
    </row>
    <row r="1582">
      <c r="A1582" s="2" t="s">
        <v>11518</v>
      </c>
      <c r="B1582" s="3" t="str">
        <f>C1582 &amp; " -&gt; " &amp; D1582</f>
        <v>principal-process-steward -&gt; SendIntents.ContentGatePassed</v>
      </c>
      <c r="C1582" s="2" t="s">
        <v>9706</v>
      </c>
      <c r="D1582" s="2" t="s">
        <v>4747</v>
      </c>
      <c r="E1582" s="2" t="b">
        <v>1</v>
      </c>
      <c r="F1582" s="2" t="b">
        <v>0</v>
      </c>
      <c r="G1582" s="2" t="s">
        <v>9937</v>
      </c>
      <c r="H1582" s="3" t="str">
        <f>_xlfn.IFNA(INDEX(RulebookFields!C2:C999, MATCH(D1582,RulebookFields!A2:A999, 0)), "")</f>
      </c>
      <c r="I1582" s="3" t="str">
        <f>_xlfn.IFNA(INDEX(RulebookFields!D2:D999, MATCH(D1582,RulebookFields!A2:A999, 0)), "")</f>
      </c>
      <c r="J1582" s="3" t="str">
        <f>_xlfn.IFNA(INDEX(RulebookFields!I2:I999, MATCH(D1582,RulebookFields!A2:A999, 0)), "")</f>
      </c>
      <c r="K1582" s="3" t="b">
        <f>AND(F1582, J1582)</f>
        <v>0</v>
      </c>
      <c r="L1582" s="3" t="b">
        <f>AND(G1582 &lt;&gt; "plain", G1582 &lt;&gt; "")</f>
        <v>0</v>
      </c>
      <c r="M1582" s="3" t="str">
        <f>IF(E1582, C1582 &amp; "|" &amp; H1582, "")</f>
        <v>principal-process-steward|</v>
      </c>
      <c r="N1582" s="2" t="s">
        <v>9938</v>
      </c>
    </row>
    <row r="1583">
      <c r="A1583" s="2" t="s">
        <v>11519</v>
      </c>
      <c r="B1583" s="3" t="str">
        <f>C1583 &amp; " -&gt; " &amp; D1583</f>
        <v>principal-process-steward -&gt; SendIntents.TemplateIsSendable</v>
      </c>
      <c r="C1583" s="2" t="s">
        <v>9706</v>
      </c>
      <c r="D1583" s="2" t="s">
        <v>4750</v>
      </c>
      <c r="E1583" s="2" t="b">
        <v>1</v>
      </c>
      <c r="F1583" s="2" t="b">
        <v>0</v>
      </c>
      <c r="G1583" s="2" t="s">
        <v>9937</v>
      </c>
      <c r="H1583" s="3" t="str">
        <f>_xlfn.IFNA(INDEX(RulebookFields!C2:C999, MATCH(D1583,RulebookFields!A2:A999, 0)), "")</f>
      </c>
      <c r="I1583" s="3" t="str">
        <f>_xlfn.IFNA(INDEX(RulebookFields!D2:D999, MATCH(D1583,RulebookFields!A2:A999, 0)), "")</f>
      </c>
      <c r="J1583" s="3" t="str">
        <f>_xlfn.IFNA(INDEX(RulebookFields!I2:I999, MATCH(D1583,RulebookFields!A2:A999, 0)), "")</f>
      </c>
      <c r="K1583" s="3" t="b">
        <f>AND(F1583, J1583)</f>
        <v>0</v>
      </c>
      <c r="L1583" s="3" t="b">
        <f>AND(G1583 &lt;&gt; "plain", G1583 &lt;&gt; "")</f>
        <v>0</v>
      </c>
      <c r="M1583" s="3" t="str">
        <f>IF(E1583, C1583 &amp; "|" &amp; H1583, "")</f>
        <v>principal-process-steward|</v>
      </c>
      <c r="N1583" s="2" t="s">
        <v>9938</v>
      </c>
    </row>
    <row r="1584">
      <c r="A1584" s="2" t="s">
        <v>11520</v>
      </c>
      <c r="B1584" s="3" t="str">
        <f>C1584 &amp; " -&gt; " &amp; D1584</f>
        <v>principal-process-steward -&gt; SendIntents.ExecutionHasLegalClearance</v>
      </c>
      <c r="C1584" s="2" t="s">
        <v>9706</v>
      </c>
      <c r="D1584" s="2" t="s">
        <v>4752</v>
      </c>
      <c r="E1584" s="2" t="b">
        <v>1</v>
      </c>
      <c r="F1584" s="2" t="b">
        <v>0</v>
      </c>
      <c r="G1584" s="2" t="s">
        <v>9937</v>
      </c>
      <c r="H1584" s="3" t="str">
        <f>_xlfn.IFNA(INDEX(RulebookFields!C2:C999, MATCH(D1584,RulebookFields!A2:A999, 0)), "")</f>
      </c>
      <c r="I1584" s="3" t="str">
        <f>_xlfn.IFNA(INDEX(RulebookFields!D2:D999, MATCH(D1584,RulebookFields!A2:A999, 0)), "")</f>
      </c>
      <c r="J1584" s="3" t="str">
        <f>_xlfn.IFNA(INDEX(RulebookFields!I2:I999, MATCH(D1584,RulebookFields!A2:A999, 0)), "")</f>
      </c>
      <c r="K1584" s="3" t="b">
        <f>AND(F1584, J1584)</f>
        <v>0</v>
      </c>
      <c r="L1584" s="3" t="b">
        <f>AND(G1584 &lt;&gt; "plain", G1584 &lt;&gt; "")</f>
        <v>0</v>
      </c>
      <c r="M1584" s="3" t="str">
        <f>IF(E1584, C1584 &amp; "|" &amp; H1584, "")</f>
        <v>principal-process-steward|</v>
      </c>
      <c r="N1584" s="2" t="s">
        <v>9938</v>
      </c>
    </row>
    <row r="1585">
      <c r="A1585" s="2" t="s">
        <v>11521</v>
      </c>
      <c r="B1585" s="3" t="str">
        <f>C1585 &amp; " -&gt; " &amp; D1585</f>
        <v>principal-process-steward -&gt; SendIntents.IntentApprovalRole</v>
      </c>
      <c r="C1585" s="2" t="s">
        <v>9706</v>
      </c>
      <c r="D1585" s="2" t="s">
        <v>4754</v>
      </c>
      <c r="E1585" s="2" t="b">
        <v>1</v>
      </c>
      <c r="F1585" s="2" t="b">
        <v>0</v>
      </c>
      <c r="G1585" s="2" t="s">
        <v>9937</v>
      </c>
      <c r="H1585" s="3" t="str">
        <f>_xlfn.IFNA(INDEX(RulebookFields!C2:C999, MATCH(D1585,RulebookFields!A2:A999, 0)), "")</f>
      </c>
      <c r="I1585" s="3" t="str">
        <f>_xlfn.IFNA(INDEX(RulebookFields!D2:D999, MATCH(D1585,RulebookFields!A2:A999, 0)), "")</f>
      </c>
      <c r="J1585" s="3" t="str">
        <f>_xlfn.IFNA(INDEX(RulebookFields!I2:I999, MATCH(D1585,RulebookFields!A2:A999, 0)), "")</f>
      </c>
      <c r="K1585" s="3" t="b">
        <f>AND(F1585, J1585)</f>
        <v>0</v>
      </c>
      <c r="L1585" s="3" t="b">
        <f>AND(G1585 &lt;&gt; "plain", G1585 &lt;&gt; "")</f>
        <v>0</v>
      </c>
      <c r="M1585" s="3" t="str">
        <f>IF(E1585, C1585 &amp; "|" &amp; H1585, "")</f>
        <v>principal-process-steward|</v>
      </c>
      <c r="N1585" s="2" t="s">
        <v>9938</v>
      </c>
    </row>
    <row r="1586">
      <c r="A1586" s="2" t="s">
        <v>11522</v>
      </c>
      <c r="B1586" s="3" t="str">
        <f>C1586 &amp; " -&gt; " &amp; D1586</f>
        <v>principal-process-steward -&gt; SendIntents.ApprovalRoleAgentKind</v>
      </c>
      <c r="C1586" s="2" t="s">
        <v>9706</v>
      </c>
      <c r="D1586" s="2" t="s">
        <v>4757</v>
      </c>
      <c r="E1586" s="2" t="b">
        <v>1</v>
      </c>
      <c r="F1586" s="2" t="b">
        <v>0</v>
      </c>
      <c r="G1586" s="2" t="s">
        <v>9937</v>
      </c>
      <c r="H1586" s="3" t="str">
        <f>_xlfn.IFNA(INDEX(RulebookFields!C2:C999, MATCH(D1586,RulebookFields!A2:A999, 0)), "")</f>
      </c>
      <c r="I1586" s="3" t="str">
        <f>_xlfn.IFNA(INDEX(RulebookFields!D2:D999, MATCH(D1586,RulebookFields!A2:A999, 0)), "")</f>
      </c>
      <c r="J1586" s="3" t="str">
        <f>_xlfn.IFNA(INDEX(RulebookFields!I2:I999, MATCH(D1586,RulebookFields!A2:A999, 0)), "")</f>
      </c>
      <c r="K1586" s="3" t="b">
        <f>AND(F1586, J1586)</f>
        <v>0</v>
      </c>
      <c r="L1586" s="3" t="b">
        <f>AND(G1586 &lt;&gt; "plain", G1586 &lt;&gt; "")</f>
        <v>0</v>
      </c>
      <c r="M1586" s="3" t="str">
        <f>IF(E1586, C1586 &amp; "|" &amp; H1586, "")</f>
        <v>principal-process-steward|</v>
      </c>
      <c r="N1586" s="2" t="s">
        <v>9938</v>
      </c>
    </row>
    <row r="1587">
      <c r="A1587" s="2" t="s">
        <v>11523</v>
      </c>
      <c r="B1587" s="3" t="str">
        <f>C1587 &amp; " -&gt; " &amp; D1587</f>
        <v>principal-process-steward -&gt; SendIntents.ApprovalIsHuman</v>
      </c>
      <c r="C1587" s="2" t="s">
        <v>9706</v>
      </c>
      <c r="D1587" s="2" t="s">
        <v>4760</v>
      </c>
      <c r="E1587" s="2" t="b">
        <v>1</v>
      </c>
      <c r="F1587" s="2" t="b">
        <v>0</v>
      </c>
      <c r="G1587" s="2" t="s">
        <v>9937</v>
      </c>
      <c r="H1587" s="3" t="str">
        <f>_xlfn.IFNA(INDEX(RulebookFields!C2:C999, MATCH(D1587,RulebookFields!A2:A999, 0)), "")</f>
      </c>
      <c r="I1587" s="3" t="str">
        <f>_xlfn.IFNA(INDEX(RulebookFields!D2:D999, MATCH(D1587,RulebookFields!A2:A999, 0)), "")</f>
      </c>
      <c r="J1587" s="3" t="str">
        <f>_xlfn.IFNA(INDEX(RulebookFields!I2:I999, MATCH(D1587,RulebookFields!A2:A999, 0)), "")</f>
      </c>
      <c r="K1587" s="3" t="b">
        <f>AND(F1587, J1587)</f>
        <v>0</v>
      </c>
      <c r="L1587" s="3" t="b">
        <f>AND(G1587 &lt;&gt; "plain", G1587 &lt;&gt; "")</f>
        <v>0</v>
      </c>
      <c r="M1587" s="3" t="str">
        <f>IF(E1587, C1587 &amp; "|" &amp; H1587, "")</f>
        <v>principal-process-steward|</v>
      </c>
      <c r="N1587" s="2" t="s">
        <v>9938</v>
      </c>
    </row>
    <row r="1588">
      <c r="A1588" s="2" t="s">
        <v>11524</v>
      </c>
      <c r="B1588" s="3" t="str">
        <f>C1588 &amp; " -&gt; " &amp; D1588</f>
        <v>principal-process-steward -&gt; SendIntents.AuthorizationGatePassed</v>
      </c>
      <c r="C1588" s="2" t="s">
        <v>9706</v>
      </c>
      <c r="D1588" s="2" t="s">
        <v>4763</v>
      </c>
      <c r="E1588" s="2" t="b">
        <v>1</v>
      </c>
      <c r="F1588" s="2" t="b">
        <v>0</v>
      </c>
      <c r="G1588" s="2" t="s">
        <v>9937</v>
      </c>
      <c r="H1588" s="3" t="str">
        <f>_xlfn.IFNA(INDEX(RulebookFields!C2:C999, MATCH(D1588,RulebookFields!A2:A999, 0)), "")</f>
      </c>
      <c r="I1588" s="3" t="str">
        <f>_xlfn.IFNA(INDEX(RulebookFields!D2:D999, MATCH(D1588,RulebookFields!A2:A999, 0)), "")</f>
      </c>
      <c r="J1588" s="3" t="str">
        <f>_xlfn.IFNA(INDEX(RulebookFields!I2:I999, MATCH(D1588,RulebookFields!A2:A999, 0)), "")</f>
      </c>
      <c r="K1588" s="3" t="b">
        <f>AND(F1588, J1588)</f>
        <v>0</v>
      </c>
      <c r="L1588" s="3" t="b">
        <f>AND(G1588 &lt;&gt; "plain", G1588 &lt;&gt; "")</f>
        <v>0</v>
      </c>
      <c r="M1588" s="3" t="str">
        <f>IF(E1588, C1588 &amp; "|" &amp; H1588, "")</f>
        <v>principal-process-steward|</v>
      </c>
      <c r="N1588" s="2" t="s">
        <v>9938</v>
      </c>
    </row>
    <row r="1589">
      <c r="A1589" s="2" t="s">
        <v>11525</v>
      </c>
      <c r="B1589" s="3" t="str">
        <f>C1589 &amp; " -&gt; " &amp; D1589</f>
        <v>principal-process-steward -&gt; SendIntents.IsClearedToSend</v>
      </c>
      <c r="C1589" s="2" t="s">
        <v>9706</v>
      </c>
      <c r="D1589" s="2" t="s">
        <v>4766</v>
      </c>
      <c r="E1589" s="2" t="b">
        <v>1</v>
      </c>
      <c r="F1589" s="2" t="b">
        <v>0</v>
      </c>
      <c r="G1589" s="2" t="s">
        <v>9937</v>
      </c>
      <c r="H1589" s="3" t="str">
        <f>_xlfn.IFNA(INDEX(RulebookFields!C2:C999, MATCH(D1589,RulebookFields!A2:A999, 0)), "")</f>
      </c>
      <c r="I1589" s="3" t="str">
        <f>_xlfn.IFNA(INDEX(RulebookFields!D2:D999, MATCH(D1589,RulebookFields!A2:A999, 0)), "")</f>
      </c>
      <c r="J1589" s="3" t="str">
        <f>_xlfn.IFNA(INDEX(RulebookFields!I2:I999, MATCH(D1589,RulebookFields!A2:A999, 0)), "")</f>
      </c>
      <c r="K1589" s="3" t="b">
        <f>AND(F1589, J1589)</f>
        <v>0</v>
      </c>
      <c r="L1589" s="3" t="b">
        <f>AND(G1589 &lt;&gt; "plain", G1589 &lt;&gt; "")</f>
        <v>0</v>
      </c>
      <c r="M1589" s="3" t="str">
        <f>IF(E1589, C1589 &amp; "|" &amp; H1589, "")</f>
        <v>principal-process-steward|</v>
      </c>
      <c r="N1589" s="2" t="s">
        <v>9938</v>
      </c>
    </row>
    <row r="1590">
      <c r="A1590" s="2" t="s">
        <v>11526</v>
      </c>
      <c r="B1590" s="3" t="str">
        <f>C1590 &amp; " -&gt; " &amp; D1590</f>
        <v>principal-process-steward -&gt; SendIntents.BlockingGateName</v>
      </c>
      <c r="C1590" s="2" t="s">
        <v>9706</v>
      </c>
      <c r="D1590" s="2" t="s">
        <v>4769</v>
      </c>
      <c r="E1590" s="2" t="b">
        <v>1</v>
      </c>
      <c r="F1590" s="2" t="b">
        <v>0</v>
      </c>
      <c r="G1590" s="2" t="s">
        <v>9937</v>
      </c>
      <c r="H1590" s="3" t="str">
        <f>_xlfn.IFNA(INDEX(RulebookFields!C2:C999, MATCH(D1590,RulebookFields!A2:A999, 0)), "")</f>
      </c>
      <c r="I1590" s="3" t="str">
        <f>_xlfn.IFNA(INDEX(RulebookFields!D2:D999, MATCH(D1590,RulebookFields!A2:A999, 0)), "")</f>
      </c>
      <c r="J1590" s="3" t="str">
        <f>_xlfn.IFNA(INDEX(RulebookFields!I2:I999, MATCH(D1590,RulebookFields!A2:A999, 0)), "")</f>
      </c>
      <c r="K1590" s="3" t="b">
        <f>AND(F1590, J1590)</f>
        <v>0</v>
      </c>
      <c r="L1590" s="3" t="b">
        <f>AND(G1590 &lt;&gt; "plain", G1590 &lt;&gt; "")</f>
        <v>0</v>
      </c>
      <c r="M1590" s="3" t="str">
        <f>IF(E1590, C1590 &amp; "|" &amp; H1590, "")</f>
        <v>principal-process-steward|</v>
      </c>
      <c r="N1590" s="2" t="s">
        <v>9938</v>
      </c>
    </row>
    <row r="1591">
      <c r="A1591" s="2" t="s">
        <v>11527</v>
      </c>
      <c r="B1591" s="3" t="str">
        <f>C1591 &amp; " -&gt; " &amp; D1591</f>
        <v>principal-process-steward -&gt; SendIntents.HasResultingDelivery</v>
      </c>
      <c r="C1591" s="2" t="s">
        <v>9706</v>
      </c>
      <c r="D1591" s="2" t="s">
        <v>4772</v>
      </c>
      <c r="E1591" s="2" t="b">
        <v>1</v>
      </c>
      <c r="F1591" s="2" t="b">
        <v>0</v>
      </c>
      <c r="G1591" s="2" t="s">
        <v>9937</v>
      </c>
      <c r="H1591" s="3" t="str">
        <f>_xlfn.IFNA(INDEX(RulebookFields!C2:C999, MATCH(D1591,RulebookFields!A2:A999, 0)), "")</f>
      </c>
      <c r="I1591" s="3" t="str">
        <f>_xlfn.IFNA(INDEX(RulebookFields!D2:D999, MATCH(D1591,RulebookFields!A2:A999, 0)), "")</f>
      </c>
      <c r="J1591" s="3" t="str">
        <f>_xlfn.IFNA(INDEX(RulebookFields!I2:I999, MATCH(D1591,RulebookFields!A2:A999, 0)), "")</f>
      </c>
      <c r="K1591" s="3" t="b">
        <f>AND(F1591, J1591)</f>
        <v>0</v>
      </c>
      <c r="L1591" s="3" t="b">
        <f>AND(G1591 &lt;&gt; "plain", G1591 &lt;&gt; "")</f>
        <v>0</v>
      </c>
      <c r="M1591" s="3" t="str">
        <f>IF(E1591, C1591 &amp; "|" &amp; H1591, "")</f>
        <v>principal-process-steward|</v>
      </c>
      <c r="N1591" s="2" t="s">
        <v>9938</v>
      </c>
    </row>
    <row r="1592">
      <c r="A1592" s="2" t="s">
        <v>11528</v>
      </c>
      <c r="B1592" s="3" t="str">
        <f>C1592 &amp; " -&gt; " &amp; D1592</f>
        <v>principal-process-steward -&gt; SendIntents.ResultingDeliveryWasTransmitted</v>
      </c>
      <c r="C1592" s="2" t="s">
        <v>9706</v>
      </c>
      <c r="D1592" s="2" t="s">
        <v>4775</v>
      </c>
      <c r="E1592" s="2" t="b">
        <v>1</v>
      </c>
      <c r="F1592" s="2" t="b">
        <v>0</v>
      </c>
      <c r="G1592" s="2" t="s">
        <v>9937</v>
      </c>
      <c r="H1592" s="3" t="str">
        <f>_xlfn.IFNA(INDEX(RulebookFields!C2:C999, MATCH(D1592,RulebookFields!A2:A999, 0)), "")</f>
      </c>
      <c r="I1592" s="3" t="str">
        <f>_xlfn.IFNA(INDEX(RulebookFields!D2:D999, MATCH(D1592,RulebookFields!A2:A999, 0)), "")</f>
      </c>
      <c r="J1592" s="3" t="str">
        <f>_xlfn.IFNA(INDEX(RulebookFields!I2:I999, MATCH(D1592,RulebookFields!A2:A999, 0)), "")</f>
      </c>
      <c r="K1592" s="3" t="b">
        <f>AND(F1592, J1592)</f>
        <v>0</v>
      </c>
      <c r="L1592" s="3" t="b">
        <f>AND(G1592 &lt;&gt; "plain", G1592 &lt;&gt; "")</f>
        <v>0</v>
      </c>
      <c r="M1592" s="3" t="str">
        <f>IF(E1592, C1592 &amp; "|" &amp; H1592, "")</f>
        <v>principal-process-steward|</v>
      </c>
      <c r="N1592" s="2" t="s">
        <v>9938</v>
      </c>
    </row>
    <row r="1593">
      <c r="A1593" s="2" t="s">
        <v>11529</v>
      </c>
      <c r="B1593" s="3" t="str">
        <f>C1593 &amp; " -&gt; " &amp; D1593</f>
        <v>principal-process-steward -&gt; SendIntents.IsOverriddenRefusal</v>
      </c>
      <c r="C1593" s="2" t="s">
        <v>9706</v>
      </c>
      <c r="D1593" s="2" t="s">
        <v>4778</v>
      </c>
      <c r="E1593" s="2" t="b">
        <v>1</v>
      </c>
      <c r="F1593" s="2" t="b">
        <v>0</v>
      </c>
      <c r="G1593" s="2" t="s">
        <v>9937</v>
      </c>
      <c r="H1593" s="3" t="str">
        <f>_xlfn.IFNA(INDEX(RulebookFields!C2:C999, MATCH(D1593,RulebookFields!A2:A999, 0)), "")</f>
      </c>
      <c r="I1593" s="3" t="str">
        <f>_xlfn.IFNA(INDEX(RulebookFields!D2:D999, MATCH(D1593,RulebookFields!A2:A999, 0)), "")</f>
      </c>
      <c r="J1593" s="3" t="str">
        <f>_xlfn.IFNA(INDEX(RulebookFields!I2:I999, MATCH(D1593,RulebookFields!A2:A999, 0)), "")</f>
      </c>
      <c r="K1593" s="3" t="b">
        <f>AND(F1593, J1593)</f>
        <v>0</v>
      </c>
      <c r="L1593" s="3" t="b">
        <f>AND(G1593 &lt;&gt; "plain", G1593 &lt;&gt; "")</f>
        <v>0</v>
      </c>
      <c r="M1593" s="3" t="str">
        <f>IF(E1593, C1593 &amp; "|" &amp; H1593, "")</f>
        <v>principal-process-steward|</v>
      </c>
      <c r="N1593" s="2" t="s">
        <v>9938</v>
      </c>
    </row>
    <row r="1594">
      <c r="A1594" s="2" t="s">
        <v>11530</v>
      </c>
      <c r="B1594" s="3" t="str">
        <f>C1594 &amp; " -&gt; " &amp; D1594</f>
        <v>principal-process-steward -&gt; SendIntents.IsSilentlyDropped</v>
      </c>
      <c r="C1594" s="2" t="s">
        <v>9706</v>
      </c>
      <c r="D1594" s="2" t="s">
        <v>4781</v>
      </c>
      <c r="E1594" s="2" t="b">
        <v>1</v>
      </c>
      <c r="F1594" s="2" t="b">
        <v>0</v>
      </c>
      <c r="G1594" s="2" t="s">
        <v>9937</v>
      </c>
      <c r="H1594" s="3" t="str">
        <f>_xlfn.IFNA(INDEX(RulebookFields!C2:C999, MATCH(D1594,RulebookFields!A2:A999, 0)), "")</f>
      </c>
      <c r="I1594" s="3" t="str">
        <f>_xlfn.IFNA(INDEX(RulebookFields!D2:D999, MATCH(D1594,RulebookFields!A2:A999, 0)), "")</f>
      </c>
      <c r="J1594" s="3" t="str">
        <f>_xlfn.IFNA(INDEX(RulebookFields!I2:I999, MATCH(D1594,RulebookFields!A2:A999, 0)), "")</f>
      </c>
      <c r="K1594" s="3" t="b">
        <f>AND(F1594, J1594)</f>
        <v>0</v>
      </c>
      <c r="L1594" s="3" t="b">
        <f>AND(G1594 &lt;&gt; "plain", G1594 &lt;&gt; "")</f>
        <v>0</v>
      </c>
      <c r="M1594" s="3" t="str">
        <f>IF(E1594, C1594 &amp; "|" &amp; H1594, "")</f>
        <v>principal-process-steward|</v>
      </c>
      <c r="N1594" s="2" t="s">
        <v>9938</v>
      </c>
    </row>
    <row r="1595">
      <c r="A1595" s="2" t="s">
        <v>11531</v>
      </c>
      <c r="B1595" s="3" t="str">
        <f>C1595 &amp; " -&gt; " &amp; D1595</f>
        <v>principal-process-steward -&gt; SendIntents.ResultingDeliveryException</v>
      </c>
      <c r="C1595" s="2" t="s">
        <v>9706</v>
      </c>
      <c r="D1595" s="2" t="s">
        <v>4784</v>
      </c>
      <c r="E1595" s="2" t="b">
        <v>1</v>
      </c>
      <c r="F1595" s="2" t="b">
        <v>0</v>
      </c>
      <c r="G1595" s="2" t="s">
        <v>9937</v>
      </c>
      <c r="H1595" s="3" t="str">
        <f>_xlfn.IFNA(INDEX(RulebookFields!C2:C999, MATCH(D1595,RulebookFields!A2:A999, 0)), "")</f>
      </c>
      <c r="I1595" s="3" t="str">
        <f>_xlfn.IFNA(INDEX(RulebookFields!D2:D999, MATCH(D1595,RulebookFields!A2:A999, 0)), "")</f>
      </c>
      <c r="J1595" s="3" t="str">
        <f>_xlfn.IFNA(INDEX(RulebookFields!I2:I999, MATCH(D1595,RulebookFields!A2:A999, 0)), "")</f>
      </c>
      <c r="K1595" s="3" t="b">
        <f>AND(F1595, J1595)</f>
        <v>0</v>
      </c>
      <c r="L1595" s="3" t="b">
        <f>AND(G1595 &lt;&gt; "plain", G1595 &lt;&gt; "")</f>
        <v>0</v>
      </c>
      <c r="M1595" s="3" t="str">
        <f>IF(E1595, C1595 &amp; "|" &amp; H1595, "")</f>
        <v>principal-process-steward|</v>
      </c>
      <c r="N1595" s="2" t="s">
        <v>9938</v>
      </c>
    </row>
    <row r="1596">
      <c r="A1596" s="2" t="s">
        <v>11532</v>
      </c>
      <c r="B1596" s="3" t="str">
        <f>C1596 &amp; " -&gt; " &amp; D1596</f>
        <v>principal-process-steward -&gt; SendIntents.RefusalCitedAnException</v>
      </c>
      <c r="C1596" s="2" t="s">
        <v>9706</v>
      </c>
      <c r="D1596" s="2" t="s">
        <v>4787</v>
      </c>
      <c r="E1596" s="2" t="b">
        <v>1</v>
      </c>
      <c r="F1596" s="2" t="b">
        <v>0</v>
      </c>
      <c r="G1596" s="2" t="s">
        <v>9937</v>
      </c>
      <c r="H1596" s="3" t="str">
        <f>_xlfn.IFNA(INDEX(RulebookFields!C2:C999, MATCH(D1596,RulebookFields!A2:A999, 0)), "")</f>
      </c>
      <c r="I1596" s="3" t="str">
        <f>_xlfn.IFNA(INDEX(RulebookFields!D2:D999, MATCH(D1596,RulebookFields!A2:A999, 0)), "")</f>
      </c>
      <c r="J1596" s="3" t="str">
        <f>_xlfn.IFNA(INDEX(RulebookFields!I2:I999, MATCH(D1596,RulebookFields!A2:A999, 0)), "")</f>
      </c>
      <c r="K1596" s="3" t="b">
        <f>AND(F1596, J1596)</f>
        <v>0</v>
      </c>
      <c r="L1596" s="3" t="b">
        <f>AND(G1596 &lt;&gt; "plain", G1596 &lt;&gt; "")</f>
        <v>0</v>
      </c>
      <c r="M1596" s="3" t="str">
        <f>IF(E1596, C1596 &amp; "|" &amp; H1596, "")</f>
        <v>principal-process-steward|</v>
      </c>
      <c r="N1596" s="2" t="s">
        <v>9938</v>
      </c>
    </row>
    <row r="1597">
      <c r="A1597" s="2" t="s">
        <v>11533</v>
      </c>
      <c r="B1597" s="3" t="str">
        <f>C1597 &amp; " -&gt; " &amp; D1597</f>
        <v>principal-process-steward -&gt; SendIntents.IsProperlyHandledRefusal</v>
      </c>
      <c r="C1597" s="2" t="s">
        <v>9706</v>
      </c>
      <c r="D1597" s="2" t="s">
        <v>4790</v>
      </c>
      <c r="E1597" s="2" t="b">
        <v>1</v>
      </c>
      <c r="F1597" s="2" t="b">
        <v>0</v>
      </c>
      <c r="G1597" s="2" t="s">
        <v>9937</v>
      </c>
      <c r="H1597" s="3" t="str">
        <f>_xlfn.IFNA(INDEX(RulebookFields!C2:C999, MATCH(D1597,RulebookFields!A2:A999, 0)), "")</f>
      </c>
      <c r="I1597" s="3" t="str">
        <f>_xlfn.IFNA(INDEX(RulebookFields!D2:D999, MATCH(D1597,RulebookFields!A2:A999, 0)), "")</f>
      </c>
      <c r="J1597" s="3" t="str">
        <f>_xlfn.IFNA(INDEX(RulebookFields!I2:I999, MATCH(D1597,RulebookFields!A2:A999, 0)), "")</f>
      </c>
      <c r="K1597" s="3" t="b">
        <f>AND(F1597, J1597)</f>
        <v>0</v>
      </c>
      <c r="L1597" s="3" t="b">
        <f>AND(G1597 &lt;&gt; "plain", G1597 &lt;&gt; "")</f>
        <v>0</v>
      </c>
      <c r="M1597" s="3" t="str">
        <f>IF(E1597, C1597 &amp; "|" &amp; H1597, "")</f>
        <v>principal-process-steward|</v>
      </c>
      <c r="N1597" s="2" t="s">
        <v>9938</v>
      </c>
    </row>
    <row r="1598">
      <c r="A1598" s="2" t="s">
        <v>11534</v>
      </c>
      <c r="B1598" s="3" t="str">
        <f>C1598 &amp; " -&gt; " &amp; D1598</f>
        <v>principal-process-steward -&gt; SendIntents.RefusalFailureExecutionKey</v>
      </c>
      <c r="C1598" s="2" t="s">
        <v>9706</v>
      </c>
      <c r="D1598" s="2" t="s">
        <v>4793</v>
      </c>
      <c r="E1598" s="2" t="b">
        <v>1</v>
      </c>
      <c r="F1598" s="2" t="b">
        <v>0</v>
      </c>
      <c r="G1598" s="2" t="s">
        <v>9937</v>
      </c>
      <c r="H1598" s="3" t="str">
        <f>_xlfn.IFNA(INDEX(RulebookFields!C2:C999, MATCH(D1598,RulebookFields!A2:A999, 0)), "")</f>
      </c>
      <c r="I1598" s="3" t="str">
        <f>_xlfn.IFNA(INDEX(RulebookFields!D2:D999, MATCH(D1598,RulebookFields!A2:A999, 0)), "")</f>
      </c>
      <c r="J1598" s="3" t="str">
        <f>_xlfn.IFNA(INDEX(RulebookFields!I2:I999, MATCH(D1598,RulebookFields!A2:A999, 0)), "")</f>
      </c>
      <c r="K1598" s="3" t="b">
        <f>AND(F1598, J1598)</f>
        <v>0</v>
      </c>
      <c r="L1598" s="3" t="b">
        <f>AND(G1598 &lt;&gt; "plain", G1598 &lt;&gt; "")</f>
        <v>0</v>
      </c>
      <c r="M1598" s="3" t="str">
        <f>IF(E1598, C1598 &amp; "|" &amp; H1598, "")</f>
        <v>principal-process-steward|</v>
      </c>
      <c r="N1598" s="2" t="s">
        <v>9938</v>
      </c>
    </row>
    <row r="1599">
      <c r="A1599" s="2" t="s">
        <v>11535</v>
      </c>
      <c r="B1599" s="3" t="str">
        <f>C1599 &amp; " -&gt; " &amp; D1599</f>
        <v>principal-process-steward -&gt; SendIntents.IntentExecutionKey</v>
      </c>
      <c r="C1599" s="2" t="s">
        <v>9706</v>
      </c>
      <c r="D1599" s="2" t="s">
        <v>4796</v>
      </c>
      <c r="E1599" s="2" t="b">
        <v>1</v>
      </c>
      <c r="F1599" s="2" t="b">
        <v>0</v>
      </c>
      <c r="G1599" s="2" t="s">
        <v>9937</v>
      </c>
      <c r="H1599" s="3" t="str">
        <f>_xlfn.IFNA(INDEX(RulebookFields!C2:C999, MATCH(D1599,RulebookFields!A2:A999, 0)), "")</f>
      </c>
      <c r="I1599" s="3" t="str">
        <f>_xlfn.IFNA(INDEX(RulebookFields!D2:D999, MATCH(D1599,RulebookFields!A2:A999, 0)), "")</f>
      </c>
      <c r="J1599" s="3" t="str">
        <f>_xlfn.IFNA(INDEX(RulebookFields!I2:I999, MATCH(D1599,RulebookFields!A2:A999, 0)), "")</f>
      </c>
      <c r="K1599" s="3" t="b">
        <f>AND(F1599, J1599)</f>
        <v>0</v>
      </c>
      <c r="L1599" s="3" t="b">
        <f>AND(G1599 &lt;&gt; "plain", G1599 &lt;&gt; "")</f>
        <v>0</v>
      </c>
      <c r="M1599" s="3" t="str">
        <f>IF(E1599, C1599 &amp; "|" &amp; H1599, "")</f>
        <v>principal-process-steward|</v>
      </c>
      <c r="N1599" s="2" t="s">
        <v>9938</v>
      </c>
    </row>
    <row r="1600">
      <c r="A1600" s="2" t="s">
        <v>11536</v>
      </c>
      <c r="B1600" s="3" t="str">
        <f>C1600 &amp; " -&gt; " &amp; D1600</f>
        <v>principal-process-steward -&gt; SendIntents.DeliveredIntentExecutionKey</v>
      </c>
      <c r="C1600" s="2" t="s">
        <v>9706</v>
      </c>
      <c r="D1600" s="2" t="s">
        <v>4799</v>
      </c>
      <c r="E1600" s="2" t="b">
        <v>1</v>
      </c>
      <c r="F1600" s="2" t="b">
        <v>0</v>
      </c>
      <c r="G1600" s="2" t="s">
        <v>9937</v>
      </c>
      <c r="H1600" s="3" t="str">
        <f>_xlfn.IFNA(INDEX(RulebookFields!C2:C999, MATCH(D1600,RulebookFields!A2:A999, 0)), "")</f>
      </c>
      <c r="I1600" s="3" t="str">
        <f>_xlfn.IFNA(INDEX(RulebookFields!D2:D999, MATCH(D1600,RulebookFields!A2:A999, 0)), "")</f>
      </c>
      <c r="J1600" s="3" t="str">
        <f>_xlfn.IFNA(INDEX(RulebookFields!I2:I999, MATCH(D1600,RulebookFields!A2:A999, 0)), "")</f>
      </c>
      <c r="K1600" s="3" t="b">
        <f>AND(F1600, J1600)</f>
        <v>0</v>
      </c>
      <c r="L1600" s="3" t="b">
        <f>AND(G1600 &lt;&gt; "plain", G1600 &lt;&gt; "")</f>
        <v>0</v>
      </c>
      <c r="M1600" s="3" t="str">
        <f>IF(E1600, C1600 &amp; "|" &amp; H1600, "")</f>
        <v>principal-process-steward|</v>
      </c>
      <c r="N1600" s="2" t="s">
        <v>9938</v>
      </c>
    </row>
    <row r="1601">
      <c r="A1601" s="2" t="s">
        <v>11537</v>
      </c>
      <c r="B1601" s="3" t="str">
        <f>C1601 &amp; " -&gt; " &amp; D1601</f>
        <v>principal-process-steward -&gt; SendIntents.DroppedIntentExecutionKey</v>
      </c>
      <c r="C1601" s="2" t="s">
        <v>9706</v>
      </c>
      <c r="D1601" s="2" t="s">
        <v>4802</v>
      </c>
      <c r="E1601" s="2" t="b">
        <v>1</v>
      </c>
      <c r="F1601" s="2" t="b">
        <v>0</v>
      </c>
      <c r="G1601" s="2" t="s">
        <v>9937</v>
      </c>
      <c r="H1601" s="3" t="str">
        <f>_xlfn.IFNA(INDEX(RulebookFields!C2:C999, MATCH(D1601,RulebookFields!A2:A999, 0)), "")</f>
      </c>
      <c r="I1601" s="3" t="str">
        <f>_xlfn.IFNA(INDEX(RulebookFields!D2:D999, MATCH(D1601,RulebookFields!A2:A999, 0)), "")</f>
      </c>
      <c r="J1601" s="3" t="str">
        <f>_xlfn.IFNA(INDEX(RulebookFields!I2:I999, MATCH(D1601,RulebookFields!A2:A999, 0)), "")</f>
      </c>
      <c r="K1601" s="3" t="b">
        <f>AND(F1601, J1601)</f>
        <v>0</v>
      </c>
      <c r="L1601" s="3" t="b">
        <f>AND(G1601 &lt;&gt; "plain", G1601 &lt;&gt; "")</f>
        <v>0</v>
      </c>
      <c r="M1601" s="3" t="str">
        <f>IF(E1601, C1601 &amp; "|" &amp; H1601, "")</f>
        <v>principal-process-steward|</v>
      </c>
      <c r="N1601" s="2" t="s">
        <v>9938</v>
      </c>
    </row>
    <row r="1602">
      <c r="A1602" s="2" t="s">
        <v>11538</v>
      </c>
      <c r="B1602" s="3" t="str">
        <f>C1602 &amp; " -&gt; " &amp; D1602</f>
        <v>principal-process-steward -&gt; SendIntents.MyApprovalWasInForce</v>
      </c>
      <c r="C1602" s="2" t="s">
        <v>9706</v>
      </c>
      <c r="D1602" s="2" t="s">
        <v>4805</v>
      </c>
      <c r="E1602" s="2" t="b">
        <v>1</v>
      </c>
      <c r="F1602" s="2" t="b">
        <v>0</v>
      </c>
      <c r="G1602" s="2" t="s">
        <v>9937</v>
      </c>
      <c r="H1602" s="3" t="str">
        <f>_xlfn.IFNA(INDEX(RulebookFields!C2:C999, MATCH(D1602,RulebookFields!A2:A999, 0)), "")</f>
      </c>
      <c r="I1602" s="3" t="str">
        <f>_xlfn.IFNA(INDEX(RulebookFields!D2:D999, MATCH(D1602,RulebookFields!A2:A999, 0)), "")</f>
      </c>
      <c r="J1602" s="3" t="str">
        <f>_xlfn.IFNA(INDEX(RulebookFields!I2:I999, MATCH(D1602,RulebookFields!A2:A999, 0)), "")</f>
      </c>
      <c r="K1602" s="3" t="b">
        <f>AND(F1602, J1602)</f>
        <v>0</v>
      </c>
      <c r="L1602" s="3" t="b">
        <f>AND(G1602 &lt;&gt; "plain", G1602 &lt;&gt; "")</f>
        <v>0</v>
      </c>
      <c r="M1602" s="3" t="str">
        <f>IF(E1602, C1602 &amp; "|" &amp; H1602, "")</f>
        <v>principal-process-steward|</v>
      </c>
      <c r="N1602" s="2" t="s">
        <v>9938</v>
      </c>
    </row>
    <row r="1603">
      <c r="A1603" s="2" t="s">
        <v>11539</v>
      </c>
      <c r="B1603" s="3" t="str">
        <f>C1603 &amp; " -&gt; " &amp; D1603</f>
        <v>principal-process-steward -&gt; SendIntents.RefusedOnApprovedContent</v>
      </c>
      <c r="C1603" s="2" t="s">
        <v>9706</v>
      </c>
      <c r="D1603" s="2" t="s">
        <v>4808</v>
      </c>
      <c r="E1603" s="2" t="b">
        <v>1</v>
      </c>
      <c r="F1603" s="2" t="b">
        <v>0</v>
      </c>
      <c r="G1603" s="2" t="s">
        <v>9937</v>
      </c>
      <c r="H1603" s="3" t="str">
        <f>_xlfn.IFNA(INDEX(RulebookFields!C2:C999, MATCH(D1603,RulebookFields!A2:A999, 0)), "")</f>
      </c>
      <c r="I1603" s="3" t="str">
        <f>_xlfn.IFNA(INDEX(RulebookFields!D2:D999, MATCH(D1603,RulebookFields!A2:A999, 0)), "")</f>
      </c>
      <c r="J1603" s="3" t="str">
        <f>_xlfn.IFNA(INDEX(RulebookFields!I2:I999, MATCH(D1603,RulebookFields!A2:A999, 0)), "")</f>
      </c>
      <c r="K1603" s="3" t="b">
        <f>AND(F1603, J1603)</f>
        <v>0</v>
      </c>
      <c r="L1603" s="3" t="b">
        <f>AND(G1603 &lt;&gt; "plain", G1603 &lt;&gt; "")</f>
        <v>0</v>
      </c>
      <c r="M1603" s="3" t="str">
        <f>IF(E1603, C1603 &amp; "|" &amp; H1603, "")</f>
        <v>principal-process-steward|</v>
      </c>
      <c r="N1603" s="2" t="s">
        <v>9938</v>
      </c>
    </row>
    <row r="1604">
      <c r="A1604" s="2" t="s">
        <v>11540</v>
      </c>
      <c r="B1604" s="3" t="str">
        <f>C1604 &amp; " -&gt; " &amp; D1604</f>
        <v>principal-process-steward -&gt; SendIntents.RefusedOnOptOutOnly</v>
      </c>
      <c r="C1604" s="2" t="s">
        <v>9706</v>
      </c>
      <c r="D1604" s="2" t="s">
        <v>4811</v>
      </c>
      <c r="E1604" s="2" t="b">
        <v>1</v>
      </c>
      <c r="F1604" s="2" t="b">
        <v>0</v>
      </c>
      <c r="G1604" s="2" t="s">
        <v>9937</v>
      </c>
      <c r="H1604" s="3" t="str">
        <f>_xlfn.IFNA(INDEX(RulebookFields!C2:C999, MATCH(D1604,RulebookFields!A2:A999, 0)), "")</f>
      </c>
      <c r="I1604" s="3" t="str">
        <f>_xlfn.IFNA(INDEX(RulebookFields!D2:D999, MATCH(D1604,RulebookFields!A2:A999, 0)), "")</f>
      </c>
      <c r="J1604" s="3" t="str">
        <f>_xlfn.IFNA(INDEX(RulebookFields!I2:I999, MATCH(D1604,RulebookFields!A2:A999, 0)), "")</f>
      </c>
      <c r="K1604" s="3" t="b">
        <f>AND(F1604, J1604)</f>
        <v>0</v>
      </c>
      <c r="L1604" s="3" t="b">
        <f>AND(G1604 &lt;&gt; "plain", G1604 &lt;&gt; "")</f>
        <v>0</v>
      </c>
      <c r="M1604" s="3" t="str">
        <f>IF(E1604, C1604 &amp; "|" &amp; H1604, "")</f>
        <v>principal-process-steward|</v>
      </c>
      <c r="N1604" s="2" t="s">
        <v>9938</v>
      </c>
    </row>
    <row r="1605">
      <c r="A1605" s="2" t="s">
        <v>11541</v>
      </c>
      <c r="B1605" s="3" t="str">
        <f>C1605 &amp; " -&gt; " &amp; D1605</f>
        <v>principal-process-steward -&gt; SendIntents.RefusalWasOnMyRules</v>
      </c>
      <c r="C1605" s="2" t="s">
        <v>9706</v>
      </c>
      <c r="D1605" s="2" t="s">
        <v>4814</v>
      </c>
      <c r="E1605" s="2" t="b">
        <v>1</v>
      </c>
      <c r="F1605" s="2" t="b">
        <v>0</v>
      </c>
      <c r="G1605" s="2" t="s">
        <v>9937</v>
      </c>
      <c r="H1605" s="3" t="str">
        <f>_xlfn.IFNA(INDEX(RulebookFields!C2:C999, MATCH(D1605,RulebookFields!A2:A999, 0)), "")</f>
      </c>
      <c r="I1605" s="3" t="str">
        <f>_xlfn.IFNA(INDEX(RulebookFields!D2:D999, MATCH(D1605,RulebookFields!A2:A999, 0)), "")</f>
      </c>
      <c r="J1605" s="3" t="str">
        <f>_xlfn.IFNA(INDEX(RulebookFields!I2:I999, MATCH(D1605,RulebookFields!A2:A999, 0)), "")</f>
      </c>
      <c r="K1605" s="3" t="b">
        <f>AND(F1605, J1605)</f>
        <v>0</v>
      </c>
      <c r="L1605" s="3" t="b">
        <f>AND(G1605 &lt;&gt; "plain", G1605 &lt;&gt; "")</f>
        <v>0</v>
      </c>
      <c r="M1605" s="3" t="str">
        <f>IF(E1605, C1605 &amp; "|" &amp; H1605, "")</f>
        <v>principal-process-steward|</v>
      </c>
      <c r="N1605" s="2" t="s">
        <v>9938</v>
      </c>
    </row>
    <row r="1606">
      <c r="A1606" s="2" t="s">
        <v>11542</v>
      </c>
      <c r="B1606" s="3" t="str">
        <f>C1606 &amp; " -&gt; " &amp; D1606</f>
        <v>principal-process-steward -&gt; SendIntents.RefusalWasOutsideMyControl</v>
      </c>
      <c r="C1606" s="2" t="s">
        <v>9706</v>
      </c>
      <c r="D1606" s="2" t="s">
        <v>4817</v>
      </c>
      <c r="E1606" s="2" t="b">
        <v>1</v>
      </c>
      <c r="F1606" s="2" t="b">
        <v>0</v>
      </c>
      <c r="G1606" s="2" t="s">
        <v>9937</v>
      </c>
      <c r="H1606" s="3" t="str">
        <f>_xlfn.IFNA(INDEX(RulebookFields!C2:C999, MATCH(D1606,RulebookFields!A2:A999, 0)), "")</f>
      </c>
      <c r="I1606" s="3" t="str">
        <f>_xlfn.IFNA(INDEX(RulebookFields!D2:D999, MATCH(D1606,RulebookFields!A2:A999, 0)), "")</f>
      </c>
      <c r="J1606" s="3" t="str">
        <f>_xlfn.IFNA(INDEX(RulebookFields!I2:I999, MATCH(D1606,RulebookFields!A2:A999, 0)), "")</f>
      </c>
      <c r="K1606" s="3" t="b">
        <f>AND(F1606, J1606)</f>
        <v>0</v>
      </c>
      <c r="L1606" s="3" t="b">
        <f>AND(G1606 &lt;&gt; "plain", G1606 &lt;&gt; "")</f>
        <v>0</v>
      </c>
      <c r="M1606" s="3" t="str">
        <f>IF(E1606, C1606 &amp; "|" &amp; H1606, "")</f>
        <v>principal-process-steward|</v>
      </c>
      <c r="N1606" s="2" t="s">
        <v>9938</v>
      </c>
    </row>
    <row r="1607">
      <c r="A1607" s="2" t="s">
        <v>11543</v>
      </c>
      <c r="B1607" s="3" t="str">
        <f>C1607 &amp; " -&gt; " &amp; D1607</f>
        <v>principal-process-steward -&gt; SendIntents.ApproverWasNotified</v>
      </c>
      <c r="C1607" s="2" t="s">
        <v>9706</v>
      </c>
      <c r="D1607" s="2" t="s">
        <v>4820</v>
      </c>
      <c r="E1607" s="2" t="b">
        <v>1</v>
      </c>
      <c r="F1607" s="2" t="b">
        <v>0</v>
      </c>
      <c r="G1607" s="2" t="s">
        <v>9937</v>
      </c>
      <c r="H1607" s="3" t="str">
        <f>_xlfn.IFNA(INDEX(RulebookFields!C2:C999, MATCH(D1607,RulebookFields!A2:A999, 0)), "")</f>
      </c>
      <c r="I1607" s="3" t="str">
        <f>_xlfn.IFNA(INDEX(RulebookFields!D2:D999, MATCH(D1607,RulebookFields!A2:A999, 0)), "")</f>
      </c>
      <c r="J1607" s="3" t="str">
        <f>_xlfn.IFNA(INDEX(RulebookFields!I2:I999, MATCH(D1607,RulebookFields!A2:A999, 0)), "")</f>
      </c>
      <c r="K1607" s="3" t="b">
        <f>AND(F1607, J1607)</f>
        <v>0</v>
      </c>
      <c r="L1607" s="3" t="b">
        <f>AND(G1607 &lt;&gt; "plain", G1607 &lt;&gt; "")</f>
        <v>0</v>
      </c>
      <c r="M1607" s="3" t="str">
        <f>IF(E1607, C1607 &amp; "|" &amp; H1607, "")</f>
        <v>principal-process-steward|</v>
      </c>
      <c r="N1607" s="2" t="s">
        <v>9938</v>
      </c>
    </row>
    <row r="1608">
      <c r="A1608" s="2" t="s">
        <v>11544</v>
      </c>
      <c r="B1608" s="3" t="str">
        <f>C1608 &amp; " -&gt; " &amp; D1608</f>
        <v>principal-process-steward -&gt; SendIntents.IsUnreportedRefusalOnMyRules</v>
      </c>
      <c r="C1608" s="2" t="s">
        <v>9706</v>
      </c>
      <c r="D1608" s="2" t="s">
        <v>4822</v>
      </c>
      <c r="E1608" s="2" t="b">
        <v>1</v>
      </c>
      <c r="F1608" s="2" t="b">
        <v>0</v>
      </c>
      <c r="G1608" s="2" t="s">
        <v>9937</v>
      </c>
      <c r="H1608" s="3" t="str">
        <f>_xlfn.IFNA(INDEX(RulebookFields!C2:C999, MATCH(D1608,RulebookFields!A2:A999, 0)), "")</f>
      </c>
      <c r="I1608" s="3" t="str">
        <f>_xlfn.IFNA(INDEX(RulebookFields!D2:D999, MATCH(D1608,RulebookFields!A2:A999, 0)), "")</f>
      </c>
      <c r="J1608" s="3" t="str">
        <f>_xlfn.IFNA(INDEX(RulebookFields!I2:I999, MATCH(D1608,RulebookFields!A2:A999, 0)), "")</f>
      </c>
      <c r="K1608" s="3" t="b">
        <f>AND(F1608, J1608)</f>
        <v>0</v>
      </c>
      <c r="L1608" s="3" t="b">
        <f>AND(G1608 &lt;&gt; "plain", G1608 &lt;&gt; "")</f>
        <v>0</v>
      </c>
      <c r="M1608" s="3" t="str">
        <f>IF(E1608, C1608 &amp; "|" &amp; H1608, "")</f>
        <v>principal-process-steward|</v>
      </c>
      <c r="N1608" s="2" t="s">
        <v>9938</v>
      </c>
    </row>
    <row r="1609">
      <c r="A1609" s="2" t="s">
        <v>11545</v>
      </c>
      <c r="B1609" s="3" t="str">
        <f>C1609 &amp; " -&gt; " &amp; D1609</f>
        <v>principal-process-steward -&gt; SendIntents.IsApprovalOverriddenSilently</v>
      </c>
      <c r="C1609" s="2" t="s">
        <v>9706</v>
      </c>
      <c r="D1609" s="2" t="s">
        <v>4825</v>
      </c>
      <c r="E1609" s="2" t="b">
        <v>1</v>
      </c>
      <c r="F1609" s="2" t="b">
        <v>0</v>
      </c>
      <c r="G1609" s="2" t="s">
        <v>9937</v>
      </c>
      <c r="H1609" s="3" t="str">
        <f>_xlfn.IFNA(INDEX(RulebookFields!C2:C999, MATCH(D1609,RulebookFields!A2:A999, 0)), "")</f>
      </c>
      <c r="I1609" s="3" t="str">
        <f>_xlfn.IFNA(INDEX(RulebookFields!D2:D999, MATCH(D1609,RulebookFields!A2:A999, 0)), "")</f>
      </c>
      <c r="J1609" s="3" t="str">
        <f>_xlfn.IFNA(INDEX(RulebookFields!I2:I999, MATCH(D1609,RulebookFields!A2:A999, 0)), "")</f>
      </c>
      <c r="K1609" s="3" t="b">
        <f>AND(F1609, J1609)</f>
        <v>0</v>
      </c>
      <c r="L1609" s="3" t="b">
        <f>AND(G1609 &lt;&gt; "plain", G1609 &lt;&gt; "")</f>
        <v>0</v>
      </c>
      <c r="M1609" s="3" t="str">
        <f>IF(E1609, C1609 &amp; "|" &amp; H1609, "")</f>
        <v>principal-process-steward|</v>
      </c>
      <c r="N1609" s="2" t="s">
        <v>9938</v>
      </c>
    </row>
    <row r="1610">
      <c r="A1610" s="2" t="s">
        <v>11546</v>
      </c>
      <c r="B1610" s="3" t="str">
        <f>C1610 &amp; " -&gt; " &amp; D1610</f>
        <v>principal-process-steward -&gt; SendIntents.AlternateChannelIntent</v>
      </c>
      <c r="C1610" s="2" t="s">
        <v>9706</v>
      </c>
      <c r="D1610" s="2" t="s">
        <v>4828</v>
      </c>
      <c r="E1610" s="2" t="b">
        <v>1</v>
      </c>
      <c r="F1610" s="2" t="b">
        <v>0</v>
      </c>
      <c r="G1610" s="2" t="s">
        <v>9937</v>
      </c>
      <c r="H1610" s="3" t="str">
        <f>_xlfn.IFNA(INDEX(RulebookFields!C2:C999, MATCH(D1610,RulebookFields!A2:A999, 0)), "")</f>
      </c>
      <c r="I1610" s="3" t="str">
        <f>_xlfn.IFNA(INDEX(RulebookFields!D2:D999, MATCH(D1610,RulebookFields!A2:A999, 0)), "")</f>
      </c>
      <c r="J1610" s="3" t="str">
        <f>_xlfn.IFNA(INDEX(RulebookFields!I2:I999, MATCH(D1610,RulebookFields!A2:A999, 0)), "")</f>
      </c>
      <c r="K1610" s="3" t="b">
        <f>AND(F1610, J1610)</f>
        <v>0</v>
      </c>
      <c r="L1610" s="3" t="b">
        <f>AND(G1610 &lt;&gt; "plain", G1610 &lt;&gt; "")</f>
        <v>0</v>
      </c>
      <c r="M1610" s="3" t="str">
        <f>IF(E1610, C1610 &amp; "|" &amp; H1610, "")</f>
        <v>principal-process-steward|</v>
      </c>
      <c r="N1610" s="2" t="s">
        <v>9938</v>
      </c>
    </row>
    <row r="1611">
      <c r="A1611" s="2" t="s">
        <v>11547</v>
      </c>
      <c r="B1611" s="3" t="str">
        <f>C1611 &amp; " -&gt; " &amp; D1611</f>
        <v>principal-process-steward -&gt; SendIntents.HasAlternateChannelAttempt</v>
      </c>
      <c r="C1611" s="2" t="s">
        <v>9706</v>
      </c>
      <c r="D1611" s="2" t="s">
        <v>4830</v>
      </c>
      <c r="E1611" s="2" t="b">
        <v>1</v>
      </c>
      <c r="F1611" s="2" t="b">
        <v>0</v>
      </c>
      <c r="G1611" s="2" t="s">
        <v>9937</v>
      </c>
      <c r="H1611" s="3" t="str">
        <f>_xlfn.IFNA(INDEX(RulebookFields!C2:C999, MATCH(D1611,RulebookFields!A2:A999, 0)), "")</f>
      </c>
      <c r="I1611" s="3" t="str">
        <f>_xlfn.IFNA(INDEX(RulebookFields!D2:D999, MATCH(D1611,RulebookFields!A2:A999, 0)), "")</f>
      </c>
      <c r="J1611" s="3" t="str">
        <f>_xlfn.IFNA(INDEX(RulebookFields!I2:I999, MATCH(D1611,RulebookFields!A2:A999, 0)), "")</f>
      </c>
      <c r="K1611" s="3" t="b">
        <f>AND(F1611, J1611)</f>
        <v>0</v>
      </c>
      <c r="L1611" s="3" t="b">
        <f>AND(G1611 &lt;&gt; "plain", G1611 &lt;&gt; "")</f>
        <v>0</v>
      </c>
      <c r="M1611" s="3" t="str">
        <f>IF(E1611, C1611 &amp; "|" &amp; H1611, "")</f>
        <v>principal-process-steward|</v>
      </c>
      <c r="N1611" s="2" t="s">
        <v>9938</v>
      </c>
    </row>
    <row r="1612">
      <c r="A1612" s="2" t="s">
        <v>11548</v>
      </c>
      <c r="B1612" s="3" t="str">
        <f>C1612 &amp; " -&gt; " &amp; D1612</f>
        <v>principal-process-steward -&gt; SendIntents.AlternateAttemptWasCleared</v>
      </c>
      <c r="C1612" s="2" t="s">
        <v>9706</v>
      </c>
      <c r="D1612" s="2" t="s">
        <v>4833</v>
      </c>
      <c r="E1612" s="2" t="b">
        <v>1</v>
      </c>
      <c r="F1612" s="2" t="b">
        <v>0</v>
      </c>
      <c r="G1612" s="2" t="s">
        <v>9937</v>
      </c>
      <c r="H1612" s="3" t="str">
        <f>_xlfn.IFNA(INDEX(RulebookFields!C2:C999, MATCH(D1612,RulebookFields!A2:A999, 0)), "")</f>
      </c>
      <c r="I1612" s="3" t="str">
        <f>_xlfn.IFNA(INDEX(RulebookFields!D2:D999, MATCH(D1612,RulebookFields!A2:A999, 0)), "")</f>
      </c>
      <c r="J1612" s="3" t="str">
        <f>_xlfn.IFNA(INDEX(RulebookFields!I2:I999, MATCH(D1612,RulebookFields!A2:A999, 0)), "")</f>
      </c>
      <c r="K1612" s="3" t="b">
        <f>AND(F1612, J1612)</f>
        <v>0</v>
      </c>
      <c r="L1612" s="3" t="b">
        <f>AND(G1612 &lt;&gt; "plain", G1612 &lt;&gt; "")</f>
        <v>0</v>
      </c>
      <c r="M1612" s="3" t="str">
        <f>IF(E1612, C1612 &amp; "|" &amp; H1612, "")</f>
        <v>principal-process-steward|</v>
      </c>
      <c r="N1612" s="2" t="s">
        <v>9938</v>
      </c>
    </row>
    <row r="1613">
      <c r="A1613" s="2" t="s">
        <v>11549</v>
      </c>
      <c r="B1613" s="3" t="str">
        <f>C1613 &amp; " -&gt; " &amp; D1613</f>
        <v>principal-process-steward -&gt; SendIntents.IsRefusedWithNoAlternative</v>
      </c>
      <c r="C1613" s="2" t="s">
        <v>9706</v>
      </c>
      <c r="D1613" s="2" t="s">
        <v>4836</v>
      </c>
      <c r="E1613" s="2" t="b">
        <v>1</v>
      </c>
      <c r="F1613" s="2" t="b">
        <v>0</v>
      </c>
      <c r="G1613" s="2" t="s">
        <v>9937</v>
      </c>
      <c r="H1613" s="3" t="str">
        <f>_xlfn.IFNA(INDEX(RulebookFields!C2:C999, MATCH(D1613,RulebookFields!A2:A999, 0)), "")</f>
      </c>
      <c r="I1613" s="3" t="str">
        <f>_xlfn.IFNA(INDEX(RulebookFields!D2:D999, MATCH(D1613,RulebookFields!A2:A999, 0)), "")</f>
      </c>
      <c r="J1613" s="3" t="str">
        <f>_xlfn.IFNA(INDEX(RulebookFields!I2:I999, MATCH(D1613,RulebookFields!A2:A999, 0)), "")</f>
      </c>
      <c r="K1613" s="3" t="b">
        <f>AND(F1613, J1613)</f>
        <v>0</v>
      </c>
      <c r="L1613" s="3" t="b">
        <f>AND(G1613 &lt;&gt; "plain", G1613 &lt;&gt; "")</f>
        <v>0</v>
      </c>
      <c r="M1613" s="3" t="str">
        <f>IF(E1613, C1613 &amp; "|" &amp; H1613, "")</f>
        <v>principal-process-steward|</v>
      </c>
      <c r="N1613" s="2" t="s">
        <v>9938</v>
      </c>
    </row>
    <row r="1614">
      <c r="A1614" s="2" t="s">
        <v>11550</v>
      </c>
      <c r="B1614" s="3" t="str">
        <f>C1614 &amp; " -&gt; " &amp; D1614</f>
        <v>principal-process-steward -&gt; SendIntents.ExceptionPrescribedAnAlternative</v>
      </c>
      <c r="C1614" s="2" t="s">
        <v>9706</v>
      </c>
      <c r="D1614" s="2" t="s">
        <v>4839</v>
      </c>
      <c r="E1614" s="2" t="b">
        <v>1</v>
      </c>
      <c r="F1614" s="2" t="b">
        <v>0</v>
      </c>
      <c r="G1614" s="2" t="s">
        <v>9937</v>
      </c>
      <c r="H1614" s="3" t="str">
        <f>_xlfn.IFNA(INDEX(RulebookFields!C2:C999, MATCH(D1614,RulebookFields!A2:A999, 0)), "")</f>
      </c>
      <c r="I1614" s="3" t="str">
        <f>_xlfn.IFNA(INDEX(RulebookFields!D2:D999, MATCH(D1614,RulebookFields!A2:A999, 0)), "")</f>
      </c>
      <c r="J1614" s="3" t="str">
        <f>_xlfn.IFNA(INDEX(RulebookFields!I2:I999, MATCH(D1614,RulebookFields!A2:A999, 0)), "")</f>
      </c>
      <c r="K1614" s="3" t="b">
        <f>AND(F1614, J1614)</f>
        <v>0</v>
      </c>
      <c r="L1614" s="3" t="b">
        <f>AND(G1614 &lt;&gt; "plain", G1614 &lt;&gt; "")</f>
        <v>0</v>
      </c>
      <c r="M1614" s="3" t="str">
        <f>IF(E1614, C1614 &amp; "|" &amp; H1614, "")</f>
        <v>principal-process-steward|</v>
      </c>
      <c r="N1614" s="2" t="s">
        <v>9938</v>
      </c>
    </row>
    <row r="1615">
      <c r="A1615" s="2" t="s">
        <v>11551</v>
      </c>
      <c r="B1615" s="3" t="str">
        <f>C1615 &amp; " -&gt; " &amp; D1615</f>
        <v>principal-process-steward -&gt; SendIntents.PrescribedHandlingWasPerformed</v>
      </c>
      <c r="C1615" s="2" t="s">
        <v>9706</v>
      </c>
      <c r="D1615" s="2" t="s">
        <v>4842</v>
      </c>
      <c r="E1615" s="2" t="b">
        <v>1</v>
      </c>
      <c r="F1615" s="2" t="b">
        <v>0</v>
      </c>
      <c r="G1615" s="2" t="s">
        <v>9937</v>
      </c>
      <c r="H1615" s="3" t="str">
        <f>_xlfn.IFNA(INDEX(RulebookFields!C2:C999, MATCH(D1615,RulebookFields!A2:A999, 0)), "")</f>
      </c>
      <c r="I1615" s="3" t="str">
        <f>_xlfn.IFNA(INDEX(RulebookFields!D2:D999, MATCH(D1615,RulebookFields!A2:A999, 0)), "")</f>
      </c>
      <c r="J1615" s="3" t="str">
        <f>_xlfn.IFNA(INDEX(RulebookFields!I2:I999, MATCH(D1615,RulebookFields!A2:A999, 0)), "")</f>
      </c>
      <c r="K1615" s="3" t="b">
        <f>AND(F1615, J1615)</f>
        <v>0</v>
      </c>
      <c r="L1615" s="3" t="b">
        <f>AND(G1615 &lt;&gt; "plain", G1615 &lt;&gt; "")</f>
        <v>0</v>
      </c>
      <c r="M1615" s="3" t="str">
        <f>IF(E1615, C1615 &amp; "|" &amp; H1615, "")</f>
        <v>principal-process-steward|</v>
      </c>
      <c r="N1615" s="2" t="s">
        <v>9938</v>
      </c>
    </row>
    <row r="1616">
      <c r="A1616" s="2" t="s">
        <v>11552</v>
      </c>
      <c r="B1616" s="3" t="str">
        <f>C1616 &amp; " -&gt; " &amp; D1616</f>
        <v>principal-process-steward -&gt; SendIntents.IsSuppressionWithoutRemedy</v>
      </c>
      <c r="C1616" s="2" t="s">
        <v>9706</v>
      </c>
      <c r="D1616" s="2" t="s">
        <v>4845</v>
      </c>
      <c r="E1616" s="2" t="b">
        <v>1</v>
      </c>
      <c r="F1616" s="2" t="b">
        <v>0</v>
      </c>
      <c r="G1616" s="2" t="s">
        <v>9937</v>
      </c>
      <c r="H1616" s="3" t="str">
        <f>_xlfn.IFNA(INDEX(RulebookFields!C2:C999, MATCH(D1616,RulebookFields!A2:A999, 0)), "")</f>
      </c>
      <c r="I1616" s="3" t="str">
        <f>_xlfn.IFNA(INDEX(RulebookFields!D2:D999, MATCH(D1616,RulebookFields!A2:A999, 0)), "")</f>
      </c>
      <c r="J1616" s="3" t="str">
        <f>_xlfn.IFNA(INDEX(RulebookFields!I2:I999, MATCH(D1616,RulebookFields!A2:A999, 0)), "")</f>
      </c>
      <c r="K1616" s="3" t="b">
        <f>AND(F1616, J1616)</f>
        <v>0</v>
      </c>
      <c r="L1616" s="3" t="b">
        <f>AND(G1616 &lt;&gt; "plain", G1616 &lt;&gt; "")</f>
        <v>0</v>
      </c>
      <c r="M1616" s="3" t="str">
        <f>IF(E1616, C1616 &amp; "|" &amp; H1616, "")</f>
        <v>principal-process-steward|</v>
      </c>
      <c r="N1616" s="2" t="s">
        <v>9938</v>
      </c>
    </row>
    <row r="1617">
      <c r="A1617" s="2" t="s">
        <v>11553</v>
      </c>
      <c r="B1617" s="3" t="str">
        <f>C1617 &amp; " -&gt; " &amp; D1617</f>
        <v>principal-process-steward -&gt; SendIntents.RefusalRecordedAt</v>
      </c>
      <c r="C1617" s="2" t="s">
        <v>9706</v>
      </c>
      <c r="D1617" s="2" t="s">
        <v>4848</v>
      </c>
      <c r="E1617" s="2" t="b">
        <v>1</v>
      </c>
      <c r="F1617" s="2" t="b">
        <v>0</v>
      </c>
      <c r="G1617" s="2" t="s">
        <v>9937</v>
      </c>
      <c r="H1617" s="3" t="str">
        <f>_xlfn.IFNA(INDEX(RulebookFields!C2:C999, MATCH(D1617,RulebookFields!A2:A999, 0)), "")</f>
      </c>
      <c r="I1617" s="3" t="str">
        <f>_xlfn.IFNA(INDEX(RulebookFields!D2:D999, MATCH(D1617,RulebookFields!A2:A999, 0)), "")</f>
      </c>
      <c r="J1617" s="3" t="str">
        <f>_xlfn.IFNA(INDEX(RulebookFields!I2:I999, MATCH(D1617,RulebookFields!A2:A999, 0)), "")</f>
      </c>
      <c r="K1617" s="3" t="b">
        <f>AND(F1617, J1617)</f>
        <v>0</v>
      </c>
      <c r="L1617" s="3" t="b">
        <f>AND(G1617 &lt;&gt; "plain", G1617 &lt;&gt; "")</f>
        <v>0</v>
      </c>
      <c r="M1617" s="3" t="str">
        <f>IF(E1617, C1617 &amp; "|" &amp; H1617, "")</f>
        <v>principal-process-steward|</v>
      </c>
      <c r="N1617" s="2" t="s">
        <v>9938</v>
      </c>
    </row>
    <row r="1618">
      <c r="A1618" s="2" t="s">
        <v>11554</v>
      </c>
      <c r="B1618" s="3" t="str">
        <f>C1618 &amp; " -&gt; " &amp; D1618</f>
        <v>principal-process-steward -&gt; SendIntents.RefusalNotifiedRole</v>
      </c>
      <c r="C1618" s="2" t="s">
        <v>9706</v>
      </c>
      <c r="D1618" s="2" t="s">
        <v>4850</v>
      </c>
      <c r="E1618" s="2" t="b">
        <v>1</v>
      </c>
      <c r="F1618" s="2" t="b">
        <v>0</v>
      </c>
      <c r="G1618" s="2" t="s">
        <v>9937</v>
      </c>
      <c r="H1618" s="3" t="str">
        <f>_xlfn.IFNA(INDEX(RulebookFields!C2:C999, MATCH(D1618,RulebookFields!A2:A999, 0)), "")</f>
      </c>
      <c r="I1618" s="3" t="str">
        <f>_xlfn.IFNA(INDEX(RulebookFields!D2:D999, MATCH(D1618,RulebookFields!A2:A999, 0)), "")</f>
      </c>
      <c r="J1618" s="3" t="str">
        <f>_xlfn.IFNA(INDEX(RulebookFields!I2:I999, MATCH(D1618,RulebookFields!A2:A999, 0)), "")</f>
      </c>
      <c r="K1618" s="3" t="b">
        <f>AND(F1618, J1618)</f>
        <v>0</v>
      </c>
      <c r="L1618" s="3" t="b">
        <f>AND(G1618 &lt;&gt; "plain", G1618 &lt;&gt; "")</f>
        <v>0</v>
      </c>
      <c r="M1618" s="3" t="str">
        <f>IF(E1618, C1618 &amp; "|" &amp; H1618, "")</f>
        <v>principal-process-steward|</v>
      </c>
      <c r="N1618" s="2" t="s">
        <v>9938</v>
      </c>
    </row>
    <row r="1619">
      <c r="A1619" s="2" t="s">
        <v>11555</v>
      </c>
      <c r="B1619" s="3" t="str">
        <f>C1619 &amp; " -&gt; " &amp; D1619</f>
        <v>principal-process-steward -&gt; SendIntents.HasDurableRefusalRecord</v>
      </c>
      <c r="C1619" s="2" t="s">
        <v>9706</v>
      </c>
      <c r="D1619" s="2" t="s">
        <v>4852</v>
      </c>
      <c r="E1619" s="2" t="b">
        <v>1</v>
      </c>
      <c r="F1619" s="2" t="b">
        <v>0</v>
      </c>
      <c r="G1619" s="2" t="s">
        <v>9937</v>
      </c>
      <c r="H1619" s="3" t="str">
        <f>_xlfn.IFNA(INDEX(RulebookFields!C2:C999, MATCH(D1619,RulebookFields!A2:A999, 0)), "")</f>
      </c>
      <c r="I1619" s="3" t="str">
        <f>_xlfn.IFNA(INDEX(RulebookFields!D2:D999, MATCH(D1619,RulebookFields!A2:A999, 0)), "")</f>
      </c>
      <c r="J1619" s="3" t="str">
        <f>_xlfn.IFNA(INDEX(RulebookFields!I2:I999, MATCH(D1619,RulebookFields!A2:A999, 0)), "")</f>
      </c>
      <c r="K1619" s="3" t="b">
        <f>AND(F1619, J1619)</f>
        <v>0</v>
      </c>
      <c r="L1619" s="3" t="b">
        <f>AND(G1619 &lt;&gt; "plain", G1619 &lt;&gt; "")</f>
        <v>0</v>
      </c>
      <c r="M1619" s="3" t="str">
        <f>IF(E1619, C1619 &amp; "|" &amp; H1619, "")</f>
        <v>principal-process-steward|</v>
      </c>
      <c r="N1619" s="2" t="s">
        <v>9938</v>
      </c>
    </row>
    <row r="1620">
      <c r="A1620" s="2" t="s">
        <v>11556</v>
      </c>
      <c r="B1620" s="3" t="str">
        <f>C1620 &amp; " -&gt; " &amp; D1620</f>
        <v>principal-process-steward -&gt; SendIntents.RefusalWasEscalated</v>
      </c>
      <c r="C1620" s="2" t="s">
        <v>9706</v>
      </c>
      <c r="D1620" s="2" t="s">
        <v>4855</v>
      </c>
      <c r="E1620" s="2" t="b">
        <v>1</v>
      </c>
      <c r="F1620" s="2" t="b">
        <v>0</v>
      </c>
      <c r="G1620" s="2" t="s">
        <v>9937</v>
      </c>
      <c r="H1620" s="3" t="str">
        <f>_xlfn.IFNA(INDEX(RulebookFields!C2:C999, MATCH(D1620,RulebookFields!A2:A999, 0)), "")</f>
      </c>
      <c r="I1620" s="3" t="str">
        <f>_xlfn.IFNA(INDEX(RulebookFields!D2:D999, MATCH(D1620,RulebookFields!A2:A999, 0)), "")</f>
      </c>
      <c r="J1620" s="3" t="str">
        <f>_xlfn.IFNA(INDEX(RulebookFields!I2:I999, MATCH(D1620,RulebookFields!A2:A999, 0)), "")</f>
      </c>
      <c r="K1620" s="3" t="b">
        <f>AND(F1620, J1620)</f>
        <v>0</v>
      </c>
      <c r="L1620" s="3" t="b">
        <f>AND(G1620 &lt;&gt; "plain", G1620 &lt;&gt; "")</f>
        <v>0</v>
      </c>
      <c r="M1620" s="3" t="str">
        <f>IF(E1620, C1620 &amp; "|" &amp; H1620, "")</f>
        <v>principal-process-steward|</v>
      </c>
      <c r="N1620" s="2" t="s">
        <v>9938</v>
      </c>
    </row>
    <row r="1621">
      <c r="A1621" s="2" t="s">
        <v>11557</v>
      </c>
      <c r="B1621" s="3" t="str">
        <f>C1621 &amp; " -&gt; " &amp; D1621</f>
        <v>principal-process-steward -&gt; SendIntents.IsUnrecordedRefusal</v>
      </c>
      <c r="C1621" s="2" t="s">
        <v>9706</v>
      </c>
      <c r="D1621" s="2" t="s">
        <v>4858</v>
      </c>
      <c r="E1621" s="2" t="b">
        <v>1</v>
      </c>
      <c r="F1621" s="2" t="b">
        <v>0</v>
      </c>
      <c r="G1621" s="2" t="s">
        <v>9937</v>
      </c>
      <c r="H1621" s="3" t="str">
        <f>_xlfn.IFNA(INDEX(RulebookFields!C2:C999, MATCH(D1621,RulebookFields!A2:A999, 0)), "")</f>
      </c>
      <c r="I1621" s="3" t="str">
        <f>_xlfn.IFNA(INDEX(RulebookFields!D2:D999, MATCH(D1621,RulebookFields!A2:A999, 0)), "")</f>
      </c>
      <c r="J1621" s="3" t="str">
        <f>_xlfn.IFNA(INDEX(RulebookFields!I2:I999, MATCH(D1621,RulebookFields!A2:A999, 0)), "")</f>
      </c>
      <c r="K1621" s="3" t="b">
        <f>AND(F1621, J1621)</f>
        <v>0</v>
      </c>
      <c r="L1621" s="3" t="b">
        <f>AND(G1621 &lt;&gt; "plain", G1621 &lt;&gt; "")</f>
        <v>0</v>
      </c>
      <c r="M1621" s="3" t="str">
        <f>IF(E1621, C1621 &amp; "|" &amp; H1621, "")</f>
        <v>principal-process-steward|</v>
      </c>
      <c r="N1621" s="2" t="s">
        <v>9938</v>
      </c>
    </row>
    <row r="1622">
      <c r="A1622" s="2" t="s">
        <v>11558</v>
      </c>
      <c r="B1622" s="3" t="str">
        <f>C1622 &amp; " -&gt; " &amp; D1622</f>
        <v>principal-process-steward -&gt; SendIntents.IsUnescalatedRefusal</v>
      </c>
      <c r="C1622" s="2" t="s">
        <v>9706</v>
      </c>
      <c r="D1622" s="2" t="s">
        <v>4861</v>
      </c>
      <c r="E1622" s="2" t="b">
        <v>1</v>
      </c>
      <c r="F1622" s="2" t="b">
        <v>0</v>
      </c>
      <c r="G1622" s="2" t="s">
        <v>9937</v>
      </c>
      <c r="H1622" s="3" t="str">
        <f>_xlfn.IFNA(INDEX(RulebookFields!C2:C999, MATCH(D1622,RulebookFields!A2:A999, 0)), "")</f>
      </c>
      <c r="I1622" s="3" t="str">
        <f>_xlfn.IFNA(INDEX(RulebookFields!D2:D999, MATCH(D1622,RulebookFields!A2:A999, 0)), "")</f>
      </c>
      <c r="J1622" s="3" t="str">
        <f>_xlfn.IFNA(INDEX(RulebookFields!I2:I999, MATCH(D1622,RulebookFields!A2:A999, 0)), "")</f>
      </c>
      <c r="K1622" s="3" t="b">
        <f>AND(F1622, J1622)</f>
        <v>0</v>
      </c>
      <c r="L1622" s="3" t="b">
        <f>AND(G1622 &lt;&gt; "plain", G1622 &lt;&gt; "")</f>
        <v>0</v>
      </c>
      <c r="M1622" s="3" t="str">
        <f>IF(E1622, C1622 &amp; "|" &amp; H1622, "")</f>
        <v>principal-process-steward|</v>
      </c>
      <c r="N1622" s="2" t="s">
        <v>9938</v>
      </c>
    </row>
    <row r="1623">
      <c r="A1623" s="2" t="s">
        <v>11559</v>
      </c>
      <c r="B1623" s="3" t="str">
        <f>C1623 &amp; " -&gt; " &amp; D1623</f>
        <v>principal-process-steward -&gt; SendIntents.UnescalatedRefusalRoleKey</v>
      </c>
      <c r="C1623" s="2" t="s">
        <v>9706</v>
      </c>
      <c r="D1623" s="2" t="s">
        <v>4864</v>
      </c>
      <c r="E1623" s="2" t="b">
        <v>1</v>
      </c>
      <c r="F1623" s="2" t="b">
        <v>0</v>
      </c>
      <c r="G1623" s="2" t="s">
        <v>9937</v>
      </c>
      <c r="H1623" s="3" t="str">
        <f>_xlfn.IFNA(INDEX(RulebookFields!C2:C999, MATCH(D1623,RulebookFields!A2:A999, 0)), "")</f>
      </c>
      <c r="I1623" s="3" t="str">
        <f>_xlfn.IFNA(INDEX(RulebookFields!D2:D999, MATCH(D1623,RulebookFields!A2:A999, 0)), "")</f>
      </c>
      <c r="J1623" s="3" t="str">
        <f>_xlfn.IFNA(INDEX(RulebookFields!I2:I999, MATCH(D1623,RulebookFields!A2:A999, 0)), "")</f>
      </c>
      <c r="K1623" s="3" t="b">
        <f>AND(F1623, J1623)</f>
        <v>0</v>
      </c>
      <c r="L1623" s="3" t="b">
        <f>AND(G1623 &lt;&gt; "plain", G1623 &lt;&gt; "")</f>
        <v>0</v>
      </c>
      <c r="M1623" s="3" t="str">
        <f>IF(E1623, C1623 &amp; "|" &amp; H1623, "")</f>
        <v>principal-process-steward|</v>
      </c>
      <c r="N1623" s="2" t="s">
        <v>9938</v>
      </c>
    </row>
    <row r="1624">
      <c r="A1624" s="2" t="s">
        <v>11560</v>
      </c>
      <c r="B1624" s="3" t="str">
        <f>C1624 &amp; " -&gt; " &amp; D1624</f>
        <v>principal-process-steward -&gt; SendIntents.UnrecordedRefusalExecutionKey</v>
      </c>
      <c r="C1624" s="2" t="s">
        <v>9706</v>
      </c>
      <c r="D1624" s="2" t="s">
        <v>4867</v>
      </c>
      <c r="E1624" s="2" t="b">
        <v>1</v>
      </c>
      <c r="F1624" s="2" t="b">
        <v>0</v>
      </c>
      <c r="G1624" s="2" t="s">
        <v>9937</v>
      </c>
      <c r="H1624" s="3" t="str">
        <f>_xlfn.IFNA(INDEX(RulebookFields!C2:C999, MATCH(D1624,RulebookFields!A2:A999, 0)), "")</f>
      </c>
      <c r="I1624" s="3" t="str">
        <f>_xlfn.IFNA(INDEX(RulebookFields!D2:D999, MATCH(D1624,RulebookFields!A2:A999, 0)), "")</f>
      </c>
      <c r="J1624" s="3" t="str">
        <f>_xlfn.IFNA(INDEX(RulebookFields!I2:I999, MATCH(D1624,RulebookFields!A2:A999, 0)), "")</f>
      </c>
      <c r="K1624" s="3" t="b">
        <f>AND(F1624, J1624)</f>
        <v>0</v>
      </c>
      <c r="L1624" s="3" t="b">
        <f>AND(G1624 &lt;&gt; "plain", G1624 &lt;&gt; "")</f>
        <v>0</v>
      </c>
      <c r="M1624" s="3" t="str">
        <f>IF(E1624, C1624 &amp; "|" &amp; H1624, "")</f>
        <v>principal-process-steward|</v>
      </c>
      <c r="N1624" s="2" t="s">
        <v>9938</v>
      </c>
    </row>
    <row r="1625">
      <c r="A1625" s="2" t="s">
        <v>11561</v>
      </c>
      <c r="B1625" s="3" t="str">
        <f>C1625 &amp; " -&gt; " &amp; D1625</f>
        <v>principal-process-steward -&gt; SendIntents.RetryIntent</v>
      </c>
      <c r="C1625" s="2" t="s">
        <v>9706</v>
      </c>
      <c r="D1625" s="2" t="s">
        <v>4870</v>
      </c>
      <c r="E1625" s="2" t="b">
        <v>1</v>
      </c>
      <c r="F1625" s="2" t="b">
        <v>0</v>
      </c>
      <c r="G1625" s="2" t="s">
        <v>9937</v>
      </c>
      <c r="H1625" s="3" t="str">
        <f>_xlfn.IFNA(INDEX(RulebookFields!C2:C999, MATCH(D1625,RulebookFields!A2:A999, 0)), "")</f>
      </c>
      <c r="I1625" s="3" t="str">
        <f>_xlfn.IFNA(INDEX(RulebookFields!D2:D999, MATCH(D1625,RulebookFields!A2:A999, 0)), "")</f>
      </c>
      <c r="J1625" s="3" t="str">
        <f>_xlfn.IFNA(INDEX(RulebookFields!I2:I999, MATCH(D1625,RulebookFields!A2:A999, 0)), "")</f>
      </c>
      <c r="K1625" s="3" t="b">
        <f>AND(F1625, J1625)</f>
        <v>0</v>
      </c>
      <c r="L1625" s="3" t="b">
        <f>AND(G1625 &lt;&gt; "plain", G1625 &lt;&gt; "")</f>
        <v>0</v>
      </c>
      <c r="M1625" s="3" t="str">
        <f>IF(E1625, C1625 &amp; "|" &amp; H1625, "")</f>
        <v>principal-process-steward|</v>
      </c>
      <c r="N1625" s="2" t="s">
        <v>9938</v>
      </c>
    </row>
    <row r="1626">
      <c r="A1626" s="2" t="s">
        <v>11562</v>
      </c>
      <c r="B1626" s="3" t="str">
        <f>C1626 &amp; " -&gt; " &amp; D1626</f>
        <v>principal-process-steward -&gt; SendIntents.WasDeferredOnTiming</v>
      </c>
      <c r="C1626" s="2" t="s">
        <v>9706</v>
      </c>
      <c r="D1626" s="2" t="s">
        <v>4872</v>
      </c>
      <c r="E1626" s="2" t="b">
        <v>1</v>
      </c>
      <c r="F1626" s="2" t="b">
        <v>0</v>
      </c>
      <c r="G1626" s="2" t="s">
        <v>9937</v>
      </c>
      <c r="H1626" s="3" t="str">
        <f>_xlfn.IFNA(INDEX(RulebookFields!C2:C999, MATCH(D1626,RulebookFields!A2:A999, 0)), "")</f>
      </c>
      <c r="I1626" s="3" t="str">
        <f>_xlfn.IFNA(INDEX(RulebookFields!D2:D999, MATCH(D1626,RulebookFields!A2:A999, 0)), "")</f>
      </c>
      <c r="J1626" s="3" t="str">
        <f>_xlfn.IFNA(INDEX(RulebookFields!I2:I999, MATCH(D1626,RulebookFields!A2:A999, 0)), "")</f>
      </c>
      <c r="K1626" s="3" t="b">
        <f>AND(F1626, J1626)</f>
        <v>0</v>
      </c>
      <c r="L1626" s="3" t="b">
        <f>AND(G1626 &lt;&gt; "plain", G1626 &lt;&gt; "")</f>
        <v>0</v>
      </c>
      <c r="M1626" s="3" t="str">
        <f>IF(E1626, C1626 &amp; "|" &amp; H1626, "")</f>
        <v>principal-process-steward|</v>
      </c>
      <c r="N1626" s="2" t="s">
        <v>9938</v>
      </c>
    </row>
    <row r="1627">
      <c r="A1627" s="2" t="s">
        <v>11563</v>
      </c>
      <c r="B1627" s="3" t="str">
        <f>C1627 &amp; " -&gt; " &amp; D1627</f>
        <v>principal-process-steward -&gt; SendIntents.EvaluationContext</v>
      </c>
      <c r="C1627" s="2" t="s">
        <v>9706</v>
      </c>
      <c r="D1627" s="2" t="s">
        <v>4875</v>
      </c>
      <c r="E1627" s="2" t="b">
        <v>1</v>
      </c>
      <c r="F1627" s="2" t="b">
        <v>0</v>
      </c>
      <c r="G1627" s="2" t="s">
        <v>9937</v>
      </c>
      <c r="H1627" s="3" t="str">
        <f>_xlfn.IFNA(INDEX(RulebookFields!C2:C999, MATCH(D1627,RulebookFields!A2:A999, 0)), "")</f>
      </c>
      <c r="I1627" s="3" t="str">
        <f>_xlfn.IFNA(INDEX(RulebookFields!D2:D999, MATCH(D1627,RulebookFields!A2:A999, 0)), "")</f>
      </c>
      <c r="J1627" s="3" t="str">
        <f>_xlfn.IFNA(INDEX(RulebookFields!I2:I999, MATCH(D1627,RulebookFields!A2:A999, 0)), "")</f>
      </c>
      <c r="K1627" s="3" t="b">
        <f>AND(F1627, J1627)</f>
        <v>0</v>
      </c>
      <c r="L1627" s="3" t="b">
        <f>AND(G1627 &lt;&gt; "plain", G1627 &lt;&gt; "")</f>
        <v>0</v>
      </c>
      <c r="M1627" s="3" t="str">
        <f>IF(E1627, C1627 &amp; "|" &amp; H1627, "")</f>
        <v>principal-process-steward|</v>
      </c>
      <c r="N1627" s="2" t="s">
        <v>9938</v>
      </c>
    </row>
    <row r="1628">
      <c r="A1628" s="2" t="s">
        <v>11564</v>
      </c>
      <c r="B1628" s="3" t="str">
        <f>C1628 &amp; " -&gt; " &amp; D1628</f>
        <v>principal-process-steward -&gt; SendIntents.AsOfInstant</v>
      </c>
      <c r="C1628" s="2" t="s">
        <v>9706</v>
      </c>
      <c r="D1628" s="2" t="s">
        <v>4876</v>
      </c>
      <c r="E1628" s="2" t="b">
        <v>1</v>
      </c>
      <c r="F1628" s="2" t="b">
        <v>0</v>
      </c>
      <c r="G1628" s="2" t="s">
        <v>9937</v>
      </c>
      <c r="H1628" s="3" t="str">
        <f>_xlfn.IFNA(INDEX(RulebookFields!C2:C999, MATCH(D1628,RulebookFields!A2:A999, 0)), "")</f>
      </c>
      <c r="I1628" s="3" t="str">
        <f>_xlfn.IFNA(INDEX(RulebookFields!D2:D999, MATCH(D1628,RulebookFields!A2:A999, 0)), "")</f>
      </c>
      <c r="J1628" s="3" t="str">
        <f>_xlfn.IFNA(INDEX(RulebookFields!I2:I999, MATCH(D1628,RulebookFields!A2:A999, 0)), "")</f>
      </c>
      <c r="K1628" s="3" t="b">
        <f>AND(F1628, J1628)</f>
        <v>0</v>
      </c>
      <c r="L1628" s="3" t="b">
        <f>AND(G1628 &lt;&gt; "plain", G1628 &lt;&gt; "")</f>
        <v>0</v>
      </c>
      <c r="M1628" s="3" t="str">
        <f>IF(E1628, C1628 &amp; "|" &amp; H1628, "")</f>
        <v>principal-process-steward|</v>
      </c>
      <c r="N1628" s="2" t="s">
        <v>9938</v>
      </c>
    </row>
    <row r="1629">
      <c r="A1629" s="2" t="s">
        <v>11565</v>
      </c>
      <c r="B1629" s="3" t="str">
        <f>C1629 &amp; " -&gt; " &amp; D1629</f>
        <v>principal-process-steward -&gt; SendIntents.WindowHasSinceReopened</v>
      </c>
      <c r="C1629" s="2" t="s">
        <v>9706</v>
      </c>
      <c r="D1629" s="2" t="s">
        <v>4877</v>
      </c>
      <c r="E1629" s="2" t="b">
        <v>1</v>
      </c>
      <c r="F1629" s="2" t="b">
        <v>0</v>
      </c>
      <c r="G1629" s="2" t="s">
        <v>9937</v>
      </c>
      <c r="H1629" s="3" t="str">
        <f>_xlfn.IFNA(INDEX(RulebookFields!C2:C999, MATCH(D1629,RulebookFields!A2:A999, 0)), "")</f>
      </c>
      <c r="I1629" s="3" t="str">
        <f>_xlfn.IFNA(INDEX(RulebookFields!D2:D999, MATCH(D1629,RulebookFields!A2:A999, 0)), "")</f>
      </c>
      <c r="J1629" s="3" t="str">
        <f>_xlfn.IFNA(INDEX(RulebookFields!I2:I999, MATCH(D1629,RulebookFields!A2:A999, 0)), "")</f>
      </c>
      <c r="K1629" s="3" t="b">
        <f>AND(F1629, J1629)</f>
        <v>0</v>
      </c>
      <c r="L1629" s="3" t="b">
        <f>AND(G1629 &lt;&gt; "plain", G1629 &lt;&gt; "")</f>
        <v>0</v>
      </c>
      <c r="M1629" s="3" t="str">
        <f>IF(E1629, C1629 &amp; "|" &amp; H1629, "")</f>
        <v>principal-process-steward|</v>
      </c>
      <c r="N1629" s="2" t="s">
        <v>9938</v>
      </c>
    </row>
    <row r="1630">
      <c r="A1630" s="2" t="s">
        <v>11566</v>
      </c>
      <c r="B1630" s="3" t="str">
        <f>C1630 &amp; " -&gt; " &amp; D1630</f>
        <v>principal-process-steward -&gt; SendIntents.HasRetryAttempt</v>
      </c>
      <c r="C1630" s="2" t="s">
        <v>9706</v>
      </c>
      <c r="D1630" s="2" t="s">
        <v>4880</v>
      </c>
      <c r="E1630" s="2" t="b">
        <v>1</v>
      </c>
      <c r="F1630" s="2" t="b">
        <v>0</v>
      </c>
      <c r="G1630" s="2" t="s">
        <v>9937</v>
      </c>
      <c r="H1630" s="3" t="str">
        <f>_xlfn.IFNA(INDEX(RulebookFields!C2:C999, MATCH(D1630,RulebookFields!A2:A999, 0)), "")</f>
      </c>
      <c r="I1630" s="3" t="str">
        <f>_xlfn.IFNA(INDEX(RulebookFields!D2:D999, MATCH(D1630,RulebookFields!A2:A999, 0)), "")</f>
      </c>
      <c r="J1630" s="3" t="str">
        <f>_xlfn.IFNA(INDEX(RulebookFields!I2:I999, MATCH(D1630,RulebookFields!A2:A999, 0)), "")</f>
      </c>
      <c r="K1630" s="3" t="b">
        <f>AND(F1630, J1630)</f>
        <v>0</v>
      </c>
      <c r="L1630" s="3" t="b">
        <f>AND(G1630 &lt;&gt; "plain", G1630 &lt;&gt; "")</f>
        <v>0</v>
      </c>
      <c r="M1630" s="3" t="str">
        <f>IF(E1630, C1630 &amp; "|" &amp; H1630, "")</f>
        <v>principal-process-steward|</v>
      </c>
      <c r="N1630" s="2" t="s">
        <v>9938</v>
      </c>
    </row>
    <row r="1631">
      <c r="A1631" s="2" t="s">
        <v>11567</v>
      </c>
      <c r="B1631" s="3" t="str">
        <f>C1631 &amp; " -&gt; " &amp; D1631</f>
        <v>principal-process-steward -&gt; SendIntents.RetryWasCleared</v>
      </c>
      <c r="C1631" s="2" t="s">
        <v>9706</v>
      </c>
      <c r="D1631" s="2" t="s">
        <v>4883</v>
      </c>
      <c r="E1631" s="2" t="b">
        <v>1</v>
      </c>
      <c r="F1631" s="2" t="b">
        <v>0</v>
      </c>
      <c r="G1631" s="2" t="s">
        <v>9937</v>
      </c>
      <c r="H1631" s="3" t="str">
        <f>_xlfn.IFNA(INDEX(RulebookFields!C2:C999, MATCH(D1631,RulebookFields!A2:A999, 0)), "")</f>
      </c>
      <c r="I1631" s="3" t="str">
        <f>_xlfn.IFNA(INDEX(RulebookFields!D2:D999, MATCH(D1631,RulebookFields!A2:A999, 0)), "")</f>
      </c>
      <c r="J1631" s="3" t="str">
        <f>_xlfn.IFNA(INDEX(RulebookFields!I2:I999, MATCH(D1631,RulebookFields!A2:A999, 0)), "")</f>
      </c>
      <c r="K1631" s="3" t="b">
        <f>AND(F1631, J1631)</f>
        <v>0</v>
      </c>
      <c r="L1631" s="3" t="b">
        <f>AND(G1631 &lt;&gt; "plain", G1631 &lt;&gt; "")</f>
        <v>0</v>
      </c>
      <c r="M1631" s="3" t="str">
        <f>IF(E1631, C1631 &amp; "|" &amp; H1631, "")</f>
        <v>principal-process-steward|</v>
      </c>
      <c r="N1631" s="2" t="s">
        <v>9938</v>
      </c>
    </row>
    <row r="1632">
      <c r="A1632" s="2" t="s">
        <v>11568</v>
      </c>
      <c r="B1632" s="3" t="str">
        <f>C1632 &amp; " -&gt; " &amp; D1632</f>
        <v>principal-process-steward -&gt; SendIntents.IsAbandonedDeferral</v>
      </c>
      <c r="C1632" s="2" t="s">
        <v>9706</v>
      </c>
      <c r="D1632" s="2" t="s">
        <v>4886</v>
      </c>
      <c r="E1632" s="2" t="b">
        <v>1</v>
      </c>
      <c r="F1632" s="2" t="b">
        <v>0</v>
      </c>
      <c r="G1632" s="2" t="s">
        <v>9937</v>
      </c>
      <c r="H1632" s="3" t="str">
        <f>_xlfn.IFNA(INDEX(RulebookFields!C2:C999, MATCH(D1632,RulebookFields!A2:A999, 0)), "")</f>
      </c>
      <c r="I1632" s="3" t="str">
        <f>_xlfn.IFNA(INDEX(RulebookFields!D2:D999, MATCH(D1632,RulebookFields!A2:A999, 0)), "")</f>
      </c>
      <c r="J1632" s="3" t="str">
        <f>_xlfn.IFNA(INDEX(RulebookFields!I2:I999, MATCH(D1632,RulebookFields!A2:A999, 0)), "")</f>
      </c>
      <c r="K1632" s="3" t="b">
        <f>AND(F1632, J1632)</f>
        <v>0</v>
      </c>
      <c r="L1632" s="3" t="b">
        <f>AND(G1632 &lt;&gt; "plain", G1632 &lt;&gt; "")</f>
        <v>0</v>
      </c>
      <c r="M1632" s="3" t="str">
        <f>IF(E1632, C1632 &amp; "|" &amp; H1632, "")</f>
        <v>principal-process-steward|</v>
      </c>
      <c r="N1632" s="2" t="s">
        <v>9938</v>
      </c>
    </row>
    <row r="1633">
      <c r="A1633" s="2" t="s">
        <v>11569</v>
      </c>
      <c r="B1633" s="3" t="str">
        <f>C1633 &amp; " -&gt; " &amp; D1633</f>
        <v>principal-process-steward -&gt; SendIntents.DeferralAgeHours</v>
      </c>
      <c r="C1633" s="2" t="s">
        <v>9706</v>
      </c>
      <c r="D1633" s="2" t="s">
        <v>4889</v>
      </c>
      <c r="E1633" s="2" t="b">
        <v>1</v>
      </c>
      <c r="F1633" s="2" t="b">
        <v>0</v>
      </c>
      <c r="G1633" s="2" t="s">
        <v>9937</v>
      </c>
      <c r="H1633" s="3" t="str">
        <f>_xlfn.IFNA(INDEX(RulebookFields!C2:C999, MATCH(D1633,RulebookFields!A2:A999, 0)), "")</f>
      </c>
      <c r="I1633" s="3" t="str">
        <f>_xlfn.IFNA(INDEX(RulebookFields!D2:D999, MATCH(D1633,RulebookFields!A2:A999, 0)), "")</f>
      </c>
      <c r="J1633" s="3" t="str">
        <f>_xlfn.IFNA(INDEX(RulebookFields!I2:I999, MATCH(D1633,RulebookFields!A2:A999, 0)), "")</f>
      </c>
      <c r="K1633" s="3" t="b">
        <f>AND(F1633, J1633)</f>
        <v>0</v>
      </c>
      <c r="L1633" s="3" t="b">
        <f>AND(G1633 &lt;&gt; "plain", G1633 &lt;&gt; "")</f>
        <v>0</v>
      </c>
      <c r="M1633" s="3" t="str">
        <f>IF(E1633, C1633 &amp; "|" &amp; H1633, "")</f>
        <v>principal-process-steward|</v>
      </c>
      <c r="N1633" s="2" t="s">
        <v>9938</v>
      </c>
    </row>
    <row r="1634">
      <c r="A1634" s="2" t="s">
        <v>11570</v>
      </c>
      <c r="B1634" s="3" t="str">
        <f>C1634 &amp; " -&gt; " &amp; D1634</f>
        <v>principal-process-steward -&gt; SendIntents.IsStaleDeferral</v>
      </c>
      <c r="C1634" s="2" t="s">
        <v>9706</v>
      </c>
      <c r="D1634" s="2" t="s">
        <v>4892</v>
      </c>
      <c r="E1634" s="2" t="b">
        <v>1</v>
      </c>
      <c r="F1634" s="2" t="b">
        <v>0</v>
      </c>
      <c r="G1634" s="2" t="s">
        <v>9937</v>
      </c>
      <c r="H1634" s="3" t="str">
        <f>_xlfn.IFNA(INDEX(RulebookFields!C2:C999, MATCH(D1634,RulebookFields!A2:A999, 0)), "")</f>
      </c>
      <c r="I1634" s="3" t="str">
        <f>_xlfn.IFNA(INDEX(RulebookFields!D2:D999, MATCH(D1634,RulebookFields!A2:A999, 0)), "")</f>
      </c>
      <c r="J1634" s="3" t="str">
        <f>_xlfn.IFNA(INDEX(RulebookFields!I2:I999, MATCH(D1634,RulebookFields!A2:A999, 0)), "")</f>
      </c>
      <c r="K1634" s="3" t="b">
        <f>AND(F1634, J1634)</f>
        <v>0</v>
      </c>
      <c r="L1634" s="3" t="b">
        <f>AND(G1634 &lt;&gt; "plain", G1634 &lt;&gt; "")</f>
        <v>0</v>
      </c>
      <c r="M1634" s="3" t="str">
        <f>IF(E1634, C1634 &amp; "|" &amp; H1634, "")</f>
        <v>principal-process-steward|</v>
      </c>
      <c r="N1634" s="2" t="s">
        <v>9938</v>
      </c>
    </row>
    <row r="1635">
      <c r="A1635" s="2" t="s">
        <v>11571</v>
      </c>
      <c r="B1635" s="3" t="str">
        <f>C1635 &amp; " -&gt; " &amp; D1635</f>
        <v>principal-process-steward -&gt; SendIntents.EvaluatingRoleAssignment</v>
      </c>
      <c r="C1635" s="2" t="s">
        <v>9706</v>
      </c>
      <c r="D1635" s="2" t="s">
        <v>4895</v>
      </c>
      <c r="E1635" s="2" t="b">
        <v>1</v>
      </c>
      <c r="F1635" s="2" t="b">
        <v>0</v>
      </c>
      <c r="G1635" s="2" t="s">
        <v>9937</v>
      </c>
      <c r="H1635" s="3" t="str">
        <f>_xlfn.IFNA(INDEX(RulebookFields!C2:C999, MATCH(D1635,RulebookFields!A2:A999, 0)), "")</f>
      </c>
      <c r="I1635" s="3" t="str">
        <f>_xlfn.IFNA(INDEX(RulebookFields!D2:D999, MATCH(D1635,RulebookFields!A2:A999, 0)), "")</f>
      </c>
      <c r="J1635" s="3" t="str">
        <f>_xlfn.IFNA(INDEX(RulebookFields!I2:I999, MATCH(D1635,RulebookFields!A2:A999, 0)), "")</f>
      </c>
      <c r="K1635" s="3" t="b">
        <f>AND(F1635, J1635)</f>
        <v>0</v>
      </c>
      <c r="L1635" s="3" t="b">
        <f>AND(G1635 &lt;&gt; "plain", G1635 &lt;&gt; "")</f>
        <v>0</v>
      </c>
      <c r="M1635" s="3" t="str">
        <f>IF(E1635, C1635 &amp; "|" &amp; H1635, "")</f>
        <v>principal-process-steward|</v>
      </c>
      <c r="N1635" s="2" t="s">
        <v>9938</v>
      </c>
    </row>
    <row r="1636">
      <c r="A1636" s="2" t="s">
        <v>11572</v>
      </c>
      <c r="B1636" s="3" t="str">
        <f>C1636 &amp; " -&gt; " &amp; D1636</f>
        <v>principal-process-steward -&gt; SendIntents.EnforcedByUnauthorizedAgent</v>
      </c>
      <c r="C1636" s="2" t="s">
        <v>9706</v>
      </c>
      <c r="D1636" s="2" t="s">
        <v>4897</v>
      </c>
      <c r="E1636" s="2" t="b">
        <v>1</v>
      </c>
      <c r="F1636" s="2" t="b">
        <v>0</v>
      </c>
      <c r="G1636" s="2" t="s">
        <v>9937</v>
      </c>
      <c r="H1636" s="3" t="str">
        <f>_xlfn.IFNA(INDEX(RulebookFields!C2:C999, MATCH(D1636,RulebookFields!A2:A999, 0)), "")</f>
      </c>
      <c r="I1636" s="3" t="str">
        <f>_xlfn.IFNA(INDEX(RulebookFields!D2:D999, MATCH(D1636,RulebookFields!A2:A999, 0)), "")</f>
      </c>
      <c r="J1636" s="3" t="str">
        <f>_xlfn.IFNA(INDEX(RulebookFields!I2:I999, MATCH(D1636,RulebookFields!A2:A999, 0)), "")</f>
      </c>
      <c r="K1636" s="3" t="b">
        <f>AND(F1636, J1636)</f>
        <v>0</v>
      </c>
      <c r="L1636" s="3" t="b">
        <f>AND(G1636 &lt;&gt; "plain", G1636 &lt;&gt; "")</f>
        <v>0</v>
      </c>
      <c r="M1636" s="3" t="str">
        <f>IF(E1636, C1636 &amp; "|" &amp; H1636, "")</f>
        <v>principal-process-steward|</v>
      </c>
      <c r="N1636" s="2" t="s">
        <v>9938</v>
      </c>
    </row>
    <row r="1637">
      <c r="A1637" s="2" t="s">
        <v>11573</v>
      </c>
      <c r="B1637" s="3" t="str">
        <f>C1637 &amp; " -&gt; " &amp; D1637</f>
        <v>principal-process-steward -&gt; SendIntents.ConsentInputWasResolvable</v>
      </c>
      <c r="C1637" s="2" t="s">
        <v>9706</v>
      </c>
      <c r="D1637" s="2" t="s">
        <v>4900</v>
      </c>
      <c r="E1637" s="2" t="b">
        <v>1</v>
      </c>
      <c r="F1637" s="2" t="b">
        <v>0</v>
      </c>
      <c r="G1637" s="2" t="s">
        <v>9937</v>
      </c>
      <c r="H1637" s="3" t="str">
        <f>_xlfn.IFNA(INDEX(RulebookFields!C2:C999, MATCH(D1637,RulebookFields!A2:A999, 0)), "")</f>
      </c>
      <c r="I1637" s="3" t="str">
        <f>_xlfn.IFNA(INDEX(RulebookFields!D2:D999, MATCH(D1637,RulebookFields!A2:A999, 0)), "")</f>
      </c>
      <c r="J1637" s="3" t="str">
        <f>_xlfn.IFNA(INDEX(RulebookFields!I2:I999, MATCH(D1637,RulebookFields!A2:A999, 0)), "")</f>
      </c>
      <c r="K1637" s="3" t="b">
        <f>AND(F1637, J1637)</f>
        <v>0</v>
      </c>
      <c r="L1637" s="3" t="b">
        <f>AND(G1637 &lt;&gt; "plain", G1637 &lt;&gt; "")</f>
        <v>0</v>
      </c>
      <c r="M1637" s="3" t="str">
        <f>IF(E1637, C1637 &amp; "|" &amp; H1637, "")</f>
        <v>principal-process-steward|</v>
      </c>
      <c r="N1637" s="2" t="s">
        <v>9938</v>
      </c>
    </row>
    <row r="1638">
      <c r="A1638" s="2" t="s">
        <v>11574</v>
      </c>
      <c r="B1638" s="3" t="str">
        <f>C1638 &amp; " -&gt; " &amp; D1638</f>
        <v>principal-process-steward -&gt; SendIntents.RecipientConsentStatusRaw</v>
      </c>
      <c r="C1638" s="2" t="s">
        <v>9706</v>
      </c>
      <c r="D1638" s="2" t="s">
        <v>4903</v>
      </c>
      <c r="E1638" s="2" t="b">
        <v>1</v>
      </c>
      <c r="F1638" s="2" t="b">
        <v>0</v>
      </c>
      <c r="G1638" s="2" t="s">
        <v>9937</v>
      </c>
      <c r="H1638" s="3" t="str">
        <f>_xlfn.IFNA(INDEX(RulebookFields!C2:C999, MATCH(D1638,RulebookFields!A2:A999, 0)), "")</f>
      </c>
      <c r="I1638" s="3" t="str">
        <f>_xlfn.IFNA(INDEX(RulebookFields!D2:D999, MATCH(D1638,RulebookFields!A2:A999, 0)), "")</f>
      </c>
      <c r="J1638" s="3" t="str">
        <f>_xlfn.IFNA(INDEX(RulebookFields!I2:I999, MATCH(D1638,RulebookFields!A2:A999, 0)), "")</f>
      </c>
      <c r="K1638" s="3" t="b">
        <f>AND(F1638, J1638)</f>
        <v>0</v>
      </c>
      <c r="L1638" s="3" t="b">
        <f>AND(G1638 &lt;&gt; "plain", G1638 &lt;&gt; "")</f>
        <v>0</v>
      </c>
      <c r="M1638" s="3" t="str">
        <f>IF(E1638, C1638 &amp; "|" &amp; H1638, "")</f>
        <v>principal-process-steward|</v>
      </c>
      <c r="N1638" s="2" t="s">
        <v>9938</v>
      </c>
    </row>
    <row r="1639">
      <c r="A1639" s="2" t="s">
        <v>11575</v>
      </c>
      <c r="B1639" s="3" t="str">
        <f>C1639 &amp; " -&gt; " &amp; D1639</f>
        <v>principal-process-steward -&gt; SendIntents.PolicyInputWasResolvable</v>
      </c>
      <c r="C1639" s="2" t="s">
        <v>9706</v>
      </c>
      <c r="D1639" s="2" t="s">
        <v>4906</v>
      </c>
      <c r="E1639" s="2" t="b">
        <v>1</v>
      </c>
      <c r="F1639" s="2" t="b">
        <v>0</v>
      </c>
      <c r="G1639" s="2" t="s">
        <v>9937</v>
      </c>
      <c r="H1639" s="3" t="str">
        <f>_xlfn.IFNA(INDEX(RulebookFields!C2:C999, MATCH(D1639,RulebookFields!A2:A999, 0)), "")</f>
      </c>
      <c r="I1639" s="3" t="str">
        <f>_xlfn.IFNA(INDEX(RulebookFields!D2:D999, MATCH(D1639,RulebookFields!A2:A999, 0)), "")</f>
      </c>
      <c r="J1639" s="3" t="str">
        <f>_xlfn.IFNA(INDEX(RulebookFields!I2:I999, MATCH(D1639,RulebookFields!A2:A999, 0)), "")</f>
      </c>
      <c r="K1639" s="3" t="b">
        <f>AND(F1639, J1639)</f>
        <v>0</v>
      </c>
      <c r="L1639" s="3" t="b">
        <f>AND(G1639 &lt;&gt; "plain", G1639 &lt;&gt; "")</f>
        <v>0</v>
      </c>
      <c r="M1639" s="3" t="str">
        <f>IF(E1639, C1639 &amp; "|" &amp; H1639, "")</f>
        <v>principal-process-steward|</v>
      </c>
      <c r="N1639" s="2" t="s">
        <v>9938</v>
      </c>
    </row>
    <row r="1640">
      <c r="A1640" s="2" t="s">
        <v>11576</v>
      </c>
      <c r="B1640" s="3" t="str">
        <f>C1640 &amp; " -&gt; " &amp; D1640</f>
        <v>principal-process-steward -&gt; SendIntents.AllGateInputsResolved</v>
      </c>
      <c r="C1640" s="2" t="s">
        <v>9706</v>
      </c>
      <c r="D1640" s="2" t="s">
        <v>4909</v>
      </c>
      <c r="E1640" s="2" t="b">
        <v>1</v>
      </c>
      <c r="F1640" s="2" t="b">
        <v>0</v>
      </c>
      <c r="G1640" s="2" t="s">
        <v>9937</v>
      </c>
      <c r="H1640" s="3" t="str">
        <f>_xlfn.IFNA(INDEX(RulebookFields!C2:C999, MATCH(D1640,RulebookFields!A2:A999, 0)), "")</f>
      </c>
      <c r="I1640" s="3" t="str">
        <f>_xlfn.IFNA(INDEX(RulebookFields!D2:D999, MATCH(D1640,RulebookFields!A2:A999, 0)), "")</f>
      </c>
      <c r="J1640" s="3" t="str">
        <f>_xlfn.IFNA(INDEX(RulebookFields!I2:I999, MATCH(D1640,RulebookFields!A2:A999, 0)), "")</f>
      </c>
      <c r="K1640" s="3" t="b">
        <f>AND(F1640, J1640)</f>
        <v>0</v>
      </c>
      <c r="L1640" s="3" t="b">
        <f>AND(G1640 &lt;&gt; "plain", G1640 &lt;&gt; "")</f>
        <v>0</v>
      </c>
      <c r="M1640" s="3" t="str">
        <f>IF(E1640, C1640 &amp; "|" &amp; H1640, "")</f>
        <v>principal-process-steward|</v>
      </c>
      <c r="N1640" s="2" t="s">
        <v>9938</v>
      </c>
    </row>
    <row r="1641">
      <c r="A1641" s="2" t="s">
        <v>11577</v>
      </c>
      <c r="B1641" s="3" t="str">
        <f>C1641 &amp; " -&gt; " &amp; D1641</f>
        <v>principal-process-steward -&gt; SendIntents.IsUnevaluableRefusal</v>
      </c>
      <c r="C1641" s="2" t="s">
        <v>9706</v>
      </c>
      <c r="D1641" s="2" t="s">
        <v>4912</v>
      </c>
      <c r="E1641" s="2" t="b">
        <v>1</v>
      </c>
      <c r="F1641" s="2" t="b">
        <v>0</v>
      </c>
      <c r="G1641" s="2" t="s">
        <v>9937</v>
      </c>
      <c r="H1641" s="3" t="str">
        <f>_xlfn.IFNA(INDEX(RulebookFields!C2:C999, MATCH(D1641,RulebookFields!A2:A999, 0)), "")</f>
      </c>
      <c r="I1641" s="3" t="str">
        <f>_xlfn.IFNA(INDEX(RulebookFields!D2:D999, MATCH(D1641,RulebookFields!A2:A999, 0)), "")</f>
      </c>
      <c r="J1641" s="3" t="str">
        <f>_xlfn.IFNA(INDEX(RulebookFields!I2:I999, MATCH(D1641,RulebookFields!A2:A999, 0)), "")</f>
      </c>
      <c r="K1641" s="3" t="b">
        <f>AND(F1641, J1641)</f>
        <v>0</v>
      </c>
      <c r="L1641" s="3" t="b">
        <f>AND(G1641 &lt;&gt; "plain", G1641 &lt;&gt; "")</f>
        <v>0</v>
      </c>
      <c r="M1641" s="3" t="str">
        <f>IF(E1641, C1641 &amp; "|" &amp; H1641, "")</f>
        <v>principal-process-steward|</v>
      </c>
      <c r="N1641" s="2" t="s">
        <v>9938</v>
      </c>
    </row>
    <row r="1642">
      <c r="A1642" s="2" t="s">
        <v>11578</v>
      </c>
      <c r="B1642" s="3" t="str">
        <f>C1642 &amp; " -&gt; " &amp; D1642</f>
        <v>principal-process-steward -&gt; SendIntents.GateResultWasIndependentlyConfirmed</v>
      </c>
      <c r="C1642" s="2" t="s">
        <v>9706</v>
      </c>
      <c r="D1642" s="2" t="s">
        <v>4915</v>
      </c>
      <c r="E1642" s="2" t="b">
        <v>1</v>
      </c>
      <c r="F1642" s="2" t="b">
        <v>0</v>
      </c>
      <c r="G1642" s="2" t="s">
        <v>9937</v>
      </c>
      <c r="H1642" s="3" t="str">
        <f>_xlfn.IFNA(INDEX(RulebookFields!C2:C999, MATCH(D1642,RulebookFields!A2:A999, 0)), "")</f>
      </c>
      <c r="I1642" s="3" t="str">
        <f>_xlfn.IFNA(INDEX(RulebookFields!D2:D999, MATCH(D1642,RulebookFields!A2:A999, 0)), "")</f>
      </c>
      <c r="J1642" s="3" t="str">
        <f>_xlfn.IFNA(INDEX(RulebookFields!I2:I999, MATCH(D1642,RulebookFields!A2:A999, 0)), "")</f>
      </c>
      <c r="K1642" s="3" t="b">
        <f>AND(F1642, J1642)</f>
        <v>0</v>
      </c>
      <c r="L1642" s="3" t="b">
        <f>AND(G1642 &lt;&gt; "plain", G1642 &lt;&gt; "")</f>
        <v>0</v>
      </c>
      <c r="M1642" s="3" t="str">
        <f>IF(E1642, C1642 &amp; "|" &amp; H1642, "")</f>
        <v>principal-process-steward|</v>
      </c>
      <c r="N1642" s="2" t="s">
        <v>9938</v>
      </c>
    </row>
    <row r="1643">
      <c r="A1643" s="2" t="s">
        <v>11579</v>
      </c>
      <c r="B1643" s="3" t="str">
        <f>C1643 &amp; " -&gt; " &amp; D1643</f>
        <v>principal-process-steward -&gt; SendIntents.IsSelfWitnessedDecision</v>
      </c>
      <c r="C1643" s="2" t="s">
        <v>9706</v>
      </c>
      <c r="D1643" s="2" t="s">
        <v>4917</v>
      </c>
      <c r="E1643" s="2" t="b">
        <v>1</v>
      </c>
      <c r="F1643" s="2" t="b">
        <v>0</v>
      </c>
      <c r="G1643" s="2" t="s">
        <v>9937</v>
      </c>
      <c r="H1643" s="3" t="str">
        <f>_xlfn.IFNA(INDEX(RulebookFields!C2:C999, MATCH(D1643,RulebookFields!A2:A999, 0)), "")</f>
      </c>
      <c r="I1643" s="3" t="str">
        <f>_xlfn.IFNA(INDEX(RulebookFields!D2:D999, MATCH(D1643,RulebookFields!A2:A999, 0)), "")</f>
      </c>
      <c r="J1643" s="3" t="str">
        <f>_xlfn.IFNA(INDEX(RulebookFields!I2:I999, MATCH(D1643,RulebookFields!A2:A999, 0)), "")</f>
      </c>
      <c r="K1643" s="3" t="b">
        <f>AND(F1643, J1643)</f>
        <v>0</v>
      </c>
      <c r="L1643" s="3" t="b">
        <f>AND(G1643 &lt;&gt; "plain", G1643 &lt;&gt; "")</f>
        <v>0</v>
      </c>
      <c r="M1643" s="3" t="str">
        <f>IF(E1643, C1643 &amp; "|" &amp; H1643, "")</f>
        <v>principal-process-steward|</v>
      </c>
      <c r="N1643" s="2" t="s">
        <v>9938</v>
      </c>
    </row>
    <row r="1644">
      <c r="A1644" s="2" t="s">
        <v>11580</v>
      </c>
      <c r="B1644" s="3" t="str">
        <f>C1644 &amp; " -&gt; " &amp; D1644</f>
        <v>principal-process-steward -&gt; SendIntents.IsIndependentlyConfirmed</v>
      </c>
      <c r="C1644" s="2" t="s">
        <v>9706</v>
      </c>
      <c r="D1644" s="2" t="s">
        <v>4920</v>
      </c>
      <c r="E1644" s="2" t="b">
        <v>1</v>
      </c>
      <c r="F1644" s="2" t="b">
        <v>0</v>
      </c>
      <c r="G1644" s="2" t="s">
        <v>9937</v>
      </c>
      <c r="H1644" s="3" t="str">
        <f>_xlfn.IFNA(INDEX(RulebookFields!C2:C999, MATCH(D1644,RulebookFields!A2:A999, 0)), "")</f>
      </c>
      <c r="I1644" s="3" t="str">
        <f>_xlfn.IFNA(INDEX(RulebookFields!D2:D999, MATCH(D1644,RulebookFields!A2:A999, 0)), "")</f>
      </c>
      <c r="J1644" s="3" t="str">
        <f>_xlfn.IFNA(INDEX(RulebookFields!I2:I999, MATCH(D1644,RulebookFields!A2:A999, 0)), "")</f>
      </c>
      <c r="K1644" s="3" t="b">
        <f>AND(F1644, J1644)</f>
        <v>0</v>
      </c>
      <c r="L1644" s="3" t="b">
        <f>AND(G1644 &lt;&gt; "plain", G1644 &lt;&gt; "")</f>
        <v>0</v>
      </c>
      <c r="M1644" s="3" t="str">
        <f>IF(E1644, C1644 &amp; "|" &amp; H1644, "")</f>
        <v>principal-process-steward|</v>
      </c>
      <c r="N1644" s="2" t="s">
        <v>9938</v>
      </c>
    </row>
    <row r="1645">
      <c r="A1645" s="2" t="s">
        <v>11581</v>
      </c>
      <c r="B1645" s="3" t="str">
        <f>C1645 &amp; " -&gt; " &amp; D1645</f>
        <v>principal-process-steward -&gt; SendIntents.IndependentlyConfirmedExecutionKey</v>
      </c>
      <c r="C1645" s="2" t="s">
        <v>9706</v>
      </c>
      <c r="D1645" s="2" t="s">
        <v>4923</v>
      </c>
      <c r="E1645" s="2" t="b">
        <v>1</v>
      </c>
      <c r="F1645" s="2" t="b">
        <v>0</v>
      </c>
      <c r="G1645" s="2" t="s">
        <v>9937</v>
      </c>
      <c r="H1645" s="3" t="str">
        <f>_xlfn.IFNA(INDEX(RulebookFields!C2:C999, MATCH(D1645,RulebookFields!A2:A999, 0)), "")</f>
      </c>
      <c r="I1645" s="3" t="str">
        <f>_xlfn.IFNA(INDEX(RulebookFields!D2:D999, MATCH(D1645,RulebookFields!A2:A999, 0)), "")</f>
      </c>
      <c r="J1645" s="3" t="str">
        <f>_xlfn.IFNA(INDEX(RulebookFields!I2:I999, MATCH(D1645,RulebookFields!A2:A999, 0)), "")</f>
      </c>
      <c r="K1645" s="3" t="b">
        <f>AND(F1645, J1645)</f>
        <v>0</v>
      </c>
      <c r="L1645" s="3" t="b">
        <f>AND(G1645 &lt;&gt; "plain", G1645 &lt;&gt; "")</f>
        <v>0</v>
      </c>
      <c r="M1645" s="3" t="str">
        <f>IF(E1645, C1645 &amp; "|" &amp; H1645, "")</f>
        <v>principal-process-steward|</v>
      </c>
      <c r="N1645" s="2" t="s">
        <v>9938</v>
      </c>
    </row>
    <row r="1646">
      <c r="A1646" s="2" t="s">
        <v>11582</v>
      </c>
      <c r="B1646" s="3" t="str">
        <f>C1646 &amp; " -&gt; " &amp; D1646</f>
        <v>principal-process-steward -&gt; SendIntents.SemanticTypeIri</v>
      </c>
      <c r="C1646" s="2" t="s">
        <v>9706</v>
      </c>
      <c r="D1646" s="2" t="s">
        <v>4926</v>
      </c>
      <c r="E1646" s="2" t="b">
        <v>1</v>
      </c>
      <c r="F1646" s="2" t="b">
        <v>0</v>
      </c>
      <c r="G1646" s="2" t="s">
        <v>9937</v>
      </c>
      <c r="H1646" s="3" t="str">
        <f>_xlfn.IFNA(INDEX(RulebookFields!C2:C999, MATCH(D1646,RulebookFields!A2:A999, 0)), "")</f>
      </c>
      <c r="I1646" s="3" t="str">
        <f>_xlfn.IFNA(INDEX(RulebookFields!D2:D999, MATCH(D1646,RulebookFields!A2:A999, 0)), "")</f>
      </c>
      <c r="J1646" s="3" t="str">
        <f>_xlfn.IFNA(INDEX(RulebookFields!I2:I999, MATCH(D1646,RulebookFields!A2:A999, 0)), "")</f>
      </c>
      <c r="K1646" s="3" t="b">
        <f>AND(F1646, J1646)</f>
        <v>0</v>
      </c>
      <c r="L1646" s="3" t="b">
        <f>AND(G1646 &lt;&gt; "plain", G1646 &lt;&gt; "")</f>
        <v>0</v>
      </c>
      <c r="M1646" s="3" t="str">
        <f>IF(E1646, C1646 &amp; "|" &amp; H1646, "")</f>
        <v>principal-process-steward|</v>
      </c>
      <c r="N1646" s="2" t="s">
        <v>9938</v>
      </c>
    </row>
    <row r="1647">
      <c r="A1647" s="2" t="s">
        <v>11583</v>
      </c>
      <c r="B1647" s="3" t="str">
        <f>C1647 &amp; " -&gt; " &amp; D1647</f>
        <v>principal-process-steward -&gt; StepActions.StepActionId</v>
      </c>
      <c r="C1647" s="2" t="s">
        <v>9706</v>
      </c>
      <c r="D1647" s="2" t="s">
        <v>2961</v>
      </c>
      <c r="E1647" s="2" t="b">
        <v>1</v>
      </c>
      <c r="F1647" s="2" t="b">
        <v>0</v>
      </c>
      <c r="G1647" s="2" t="s">
        <v>9937</v>
      </c>
      <c r="H1647" s="3" t="str">
        <f>_xlfn.IFNA(INDEX(RulebookFields!C2:C999, MATCH(D1647,RulebookFields!A2:A999, 0)), "")</f>
        <v>StepActions</v>
      </c>
      <c r="I1647" s="3" t="str">
        <f>_xlfn.IFNA(INDEX(RulebookFields!D2:D999, MATCH(D1647,RulebookFields!A2:A999, 0)), "")</f>
        <v>StepActionId</v>
      </c>
      <c r="J1647" s="3" t="b">
        <f>_xlfn.IFNA(INDEX(RulebookFields!I2:I999, MATCH(D1647,RulebookFields!A2:A999, 0)), "")</f>
        <v>0</v>
      </c>
      <c r="K1647" s="3" t="b">
        <f>AND(F1647, J1647)</f>
        <v>0</v>
      </c>
      <c r="L1647" s="3" t="b">
        <f>AND(G1647 &lt;&gt; "plain", G1647 &lt;&gt; "")</f>
        <v>0</v>
      </c>
      <c r="M1647" s="3" t="str">
        <f>IF(E1647, C1647 &amp; "|" &amp; H1647, "")</f>
        <v>principal-process-steward|StepActions</v>
      </c>
      <c r="N1647" s="2" t="s">
        <v>9938</v>
      </c>
    </row>
    <row r="1648">
      <c r="A1648" s="2" t="s">
        <v>11584</v>
      </c>
      <c r="B1648" s="3" t="str">
        <f>C1648 &amp; " -&gt; " &amp; D1648</f>
        <v>principal-process-steward -&gt; StepActions.Name</v>
      </c>
      <c r="C1648" s="2" t="s">
        <v>9706</v>
      </c>
      <c r="D1648" s="2" t="s">
        <v>2963</v>
      </c>
      <c r="E1648" s="2" t="b">
        <v>1</v>
      </c>
      <c r="F1648" s="2" t="b">
        <v>0</v>
      </c>
      <c r="G1648" s="2" t="s">
        <v>9937</v>
      </c>
      <c r="H1648" s="3" t="str">
        <f>_xlfn.IFNA(INDEX(RulebookFields!C2:C999, MATCH(D1648,RulebookFields!A2:A999, 0)), "")</f>
        <v>StepActions</v>
      </c>
      <c r="I1648" s="3" t="str">
        <f>_xlfn.IFNA(INDEX(RulebookFields!D2:D999, MATCH(D1648,RulebookFields!A2:A999, 0)), "")</f>
        <v>Name</v>
      </c>
      <c r="J1648" s="3" t="b">
        <f>_xlfn.IFNA(INDEX(RulebookFields!I2:I999, MATCH(D1648,RulebookFields!A2:A999, 0)), "")</f>
        <v>1</v>
      </c>
      <c r="K1648" s="3" t="b">
        <f>AND(F1648, J1648)</f>
        <v>0</v>
      </c>
      <c r="L1648" s="3" t="b">
        <f>AND(G1648 &lt;&gt; "plain", G1648 &lt;&gt; "")</f>
        <v>0</v>
      </c>
      <c r="M1648" s="3" t="str">
        <f>IF(E1648, C1648 &amp; "|" &amp; H1648, "")</f>
        <v>principal-process-steward|StepActions</v>
      </c>
      <c r="N1648" s="2" t="s">
        <v>9938</v>
      </c>
    </row>
    <row r="1649">
      <c r="A1649" s="2" t="s">
        <v>11585</v>
      </c>
      <c r="B1649" s="3" t="str">
        <f>C1649 &amp; " -&gt; " &amp; D1649</f>
        <v>principal-process-steward -&gt; StepActions.Step</v>
      </c>
      <c r="C1649" s="2" t="s">
        <v>9706</v>
      </c>
      <c r="D1649" s="2" t="s">
        <v>2965</v>
      </c>
      <c r="E1649" s="2" t="b">
        <v>1</v>
      </c>
      <c r="F1649" s="2" t="b">
        <v>0</v>
      </c>
      <c r="G1649" s="2" t="s">
        <v>9937</v>
      </c>
      <c r="H1649" s="3" t="str">
        <f>_xlfn.IFNA(INDEX(RulebookFields!C2:C999, MATCH(D1649,RulebookFields!A2:A999, 0)), "")</f>
        <v>StepActions</v>
      </c>
      <c r="I1649" s="3" t="str">
        <f>_xlfn.IFNA(INDEX(RulebookFields!D2:D999, MATCH(D1649,RulebookFields!A2:A999, 0)), "")</f>
        <v>Step</v>
      </c>
      <c r="J1649" s="3" t="b">
        <f>_xlfn.IFNA(INDEX(RulebookFields!I2:I999, MATCH(D1649,RulebookFields!A2:A999, 0)), "")</f>
        <v>0</v>
      </c>
      <c r="K1649" s="3" t="b">
        <f>AND(F1649, J1649)</f>
        <v>0</v>
      </c>
      <c r="L1649" s="3" t="b">
        <f>AND(G1649 &lt;&gt; "plain", G1649 &lt;&gt; "")</f>
        <v>0</v>
      </c>
      <c r="M1649" s="3" t="str">
        <f>IF(E1649, C1649 &amp; "|" &amp; H1649, "")</f>
        <v>principal-process-steward|StepActions</v>
      </c>
      <c r="N1649" s="2" t="s">
        <v>9938</v>
      </c>
    </row>
    <row r="1650">
      <c r="A1650" s="2" t="s">
        <v>11586</v>
      </c>
      <c r="B1650" s="3" t="str">
        <f>C1650 &amp; " -&gt; " &amp; D1650</f>
        <v>principal-process-steward -&gt; StepActions.Action</v>
      </c>
      <c r="C1650" s="2" t="s">
        <v>9706</v>
      </c>
      <c r="D1650" s="2" t="s">
        <v>2966</v>
      </c>
      <c r="E1650" s="2" t="b">
        <v>1</v>
      </c>
      <c r="F1650" s="2" t="b">
        <v>0</v>
      </c>
      <c r="G1650" s="2" t="s">
        <v>9937</v>
      </c>
      <c r="H1650" s="3" t="str">
        <f>_xlfn.IFNA(INDEX(RulebookFields!C2:C999, MATCH(D1650,RulebookFields!A2:A999, 0)), "")</f>
        <v>StepActions</v>
      </c>
      <c r="I1650" s="3" t="str">
        <f>_xlfn.IFNA(INDEX(RulebookFields!D2:D999, MATCH(D1650,RulebookFields!A2:A999, 0)), "")</f>
        <v>Action</v>
      </c>
      <c r="J1650" s="3" t="b">
        <f>_xlfn.IFNA(INDEX(RulebookFields!I2:I999, MATCH(D1650,RulebookFields!A2:A999, 0)), "")</f>
        <v>0</v>
      </c>
      <c r="K1650" s="3" t="b">
        <f>AND(F1650, J1650)</f>
        <v>0</v>
      </c>
      <c r="L1650" s="3" t="b">
        <f>AND(G1650 &lt;&gt; "plain", G1650 &lt;&gt; "")</f>
        <v>0</v>
      </c>
      <c r="M1650" s="3" t="str">
        <f>IF(E1650, C1650 &amp; "|" &amp; H1650, "")</f>
        <v>principal-process-steward|StepActions</v>
      </c>
      <c r="N1650" s="2" t="s">
        <v>9938</v>
      </c>
    </row>
    <row r="1651">
      <c r="A1651" s="2" t="s">
        <v>11587</v>
      </c>
      <c r="B1651" s="3" t="str">
        <f>C1651 &amp; " -&gt; " &amp; D1651</f>
        <v>principal-process-steward -&gt; StepExecutions.StepExecutionId</v>
      </c>
      <c r="C1651" s="2" t="s">
        <v>9706</v>
      </c>
      <c r="D1651" s="2" t="s">
        <v>3507</v>
      </c>
      <c r="E1651" s="2" t="b">
        <v>1</v>
      </c>
      <c r="F1651" s="2" t="b">
        <v>0</v>
      </c>
      <c r="G1651" s="2" t="s">
        <v>9937</v>
      </c>
      <c r="H1651" s="3" t="str">
        <f>_xlfn.IFNA(INDEX(RulebookFields!C2:C999, MATCH(D1651,RulebookFields!A2:A999, 0)), "")</f>
        <v>StepExecutions</v>
      </c>
      <c r="I1651" s="3" t="str">
        <f>_xlfn.IFNA(INDEX(RulebookFields!D2:D999, MATCH(D1651,RulebookFields!A2:A999, 0)), "")</f>
        <v>StepExecutionId</v>
      </c>
      <c r="J1651" s="3" t="b">
        <f>_xlfn.IFNA(INDEX(RulebookFields!I2:I999, MATCH(D1651,RulebookFields!A2:A999, 0)), "")</f>
        <v>0</v>
      </c>
      <c r="K1651" s="3" t="b">
        <f>AND(F1651, J1651)</f>
        <v>0</v>
      </c>
      <c r="L1651" s="3" t="b">
        <f>AND(G1651 &lt;&gt; "plain", G1651 &lt;&gt; "")</f>
        <v>0</v>
      </c>
      <c r="M1651" s="3" t="str">
        <f>IF(E1651, C1651 &amp; "|" &amp; H1651, "")</f>
        <v>principal-process-steward|StepExecutions</v>
      </c>
      <c r="N1651" s="2" t="s">
        <v>9938</v>
      </c>
    </row>
    <row r="1652">
      <c r="A1652" s="2" t="s">
        <v>11588</v>
      </c>
      <c r="B1652" s="3" t="str">
        <f>C1652 &amp; " -&gt; " &amp; D1652</f>
        <v>principal-process-steward -&gt; StepExecutions.Name</v>
      </c>
      <c r="C1652" s="2" t="s">
        <v>9706</v>
      </c>
      <c r="D1652" s="2" t="s">
        <v>3508</v>
      </c>
      <c r="E1652" s="2" t="b">
        <v>1</v>
      </c>
      <c r="F1652" s="2" t="b">
        <v>0</v>
      </c>
      <c r="G1652" s="2" t="s">
        <v>9937</v>
      </c>
      <c r="H1652" s="3" t="str">
        <f>_xlfn.IFNA(INDEX(RulebookFields!C2:C999, MATCH(D1652,RulebookFields!A2:A999, 0)), "")</f>
        <v>StepExecutions</v>
      </c>
      <c r="I1652" s="3" t="str">
        <f>_xlfn.IFNA(INDEX(RulebookFields!D2:D999, MATCH(D1652,RulebookFields!A2:A999, 0)), "")</f>
        <v>Name</v>
      </c>
      <c r="J1652" s="3" t="b">
        <f>_xlfn.IFNA(INDEX(RulebookFields!I2:I999, MATCH(D1652,RulebookFields!A2:A999, 0)), "")</f>
        <v>1</v>
      </c>
      <c r="K1652" s="3" t="b">
        <f>AND(F1652, J1652)</f>
        <v>0</v>
      </c>
      <c r="L1652" s="3" t="b">
        <f>AND(G1652 &lt;&gt; "plain", G1652 &lt;&gt; "")</f>
        <v>0</v>
      </c>
      <c r="M1652" s="3" t="str">
        <f>IF(E1652, C1652 &amp; "|" &amp; H1652, "")</f>
        <v>principal-process-steward|StepExecutions</v>
      </c>
      <c r="N1652" s="2" t="s">
        <v>9938</v>
      </c>
    </row>
    <row r="1653">
      <c r="A1653" s="2" t="s">
        <v>11589</v>
      </c>
      <c r="B1653" s="3" t="str">
        <f>C1653 &amp; " -&gt; " &amp; D1653</f>
        <v>principal-process-steward -&gt; StepExecutions.ProcedureExecution</v>
      </c>
      <c r="C1653" s="2" t="s">
        <v>9706</v>
      </c>
      <c r="D1653" s="2" t="s">
        <v>3510</v>
      </c>
      <c r="E1653" s="2" t="b">
        <v>1</v>
      </c>
      <c r="F1653" s="2" t="b">
        <v>0</v>
      </c>
      <c r="G1653" s="2" t="s">
        <v>9937</v>
      </c>
      <c r="H1653" s="3" t="str">
        <f>_xlfn.IFNA(INDEX(RulebookFields!C2:C999, MATCH(D1653,RulebookFields!A2:A999, 0)), "")</f>
        <v>StepExecutions</v>
      </c>
      <c r="I1653" s="3" t="str">
        <f>_xlfn.IFNA(INDEX(RulebookFields!D2:D999, MATCH(D1653,RulebookFields!A2:A999, 0)), "")</f>
        <v>ProcedureExecution</v>
      </c>
      <c r="J1653" s="3" t="b">
        <f>_xlfn.IFNA(INDEX(RulebookFields!I2:I999, MATCH(D1653,RulebookFields!A2:A999, 0)), "")</f>
        <v>0</v>
      </c>
      <c r="K1653" s="3" t="b">
        <f>AND(F1653, J1653)</f>
        <v>0</v>
      </c>
      <c r="L1653" s="3" t="b">
        <f>AND(G1653 &lt;&gt; "plain", G1653 &lt;&gt; "")</f>
        <v>0</v>
      </c>
      <c r="M1653" s="3" t="str">
        <f>IF(E1653, C1653 &amp; "|" &amp; H1653, "")</f>
        <v>principal-process-steward|StepExecutions</v>
      </c>
      <c r="N1653" s="2" t="s">
        <v>9938</v>
      </c>
    </row>
    <row r="1654">
      <c r="A1654" s="2" t="s">
        <v>11590</v>
      </c>
      <c r="B1654" s="3" t="str">
        <f>C1654 &amp; " -&gt; " &amp; D1654</f>
        <v>principal-process-steward -&gt; StepExecutions.Step</v>
      </c>
      <c r="C1654" s="2" t="s">
        <v>9706</v>
      </c>
      <c r="D1654" s="2" t="s">
        <v>3511</v>
      </c>
      <c r="E1654" s="2" t="b">
        <v>1</v>
      </c>
      <c r="F1654" s="2" t="b">
        <v>0</v>
      </c>
      <c r="G1654" s="2" t="s">
        <v>9937</v>
      </c>
      <c r="H1654" s="3" t="str">
        <f>_xlfn.IFNA(INDEX(RulebookFields!C2:C999, MATCH(D1654,RulebookFields!A2:A999, 0)), "")</f>
        <v>StepExecutions</v>
      </c>
      <c r="I1654" s="3" t="str">
        <f>_xlfn.IFNA(INDEX(RulebookFields!D2:D999, MATCH(D1654,RulebookFields!A2:A999, 0)), "")</f>
        <v>Step</v>
      </c>
      <c r="J1654" s="3" t="b">
        <f>_xlfn.IFNA(INDEX(RulebookFields!I2:I999, MATCH(D1654,RulebookFields!A2:A999, 0)), "")</f>
        <v>0</v>
      </c>
      <c r="K1654" s="3" t="b">
        <f>AND(F1654, J1654)</f>
        <v>0</v>
      </c>
      <c r="L1654" s="3" t="b">
        <f>AND(G1654 &lt;&gt; "plain", G1654 &lt;&gt; "")</f>
        <v>0</v>
      </c>
      <c r="M1654" s="3" t="str">
        <f>IF(E1654, C1654 &amp; "|" &amp; H1654, "")</f>
        <v>principal-process-steward|StepExecutions</v>
      </c>
      <c r="N1654" s="2" t="s">
        <v>9938</v>
      </c>
    </row>
    <row r="1655">
      <c r="A1655" s="2" t="s">
        <v>11591</v>
      </c>
      <c r="B1655" s="3" t="str">
        <f>C1655 &amp; " -&gt; " &amp; D1655</f>
        <v>principal-process-steward -&gt; StepExecutions.ExecutedByAgent</v>
      </c>
      <c r="C1655" s="2" t="s">
        <v>9706</v>
      </c>
      <c r="D1655" s="2" t="s">
        <v>3512</v>
      </c>
      <c r="E1655" s="2" t="b">
        <v>1</v>
      </c>
      <c r="F1655" s="2" t="b">
        <v>0</v>
      </c>
      <c r="G1655" s="2" t="s">
        <v>9937</v>
      </c>
      <c r="H1655" s="3" t="str">
        <f>_xlfn.IFNA(INDEX(RulebookFields!C2:C999, MATCH(D1655,RulebookFields!A2:A999, 0)), "")</f>
        <v>StepExecutions</v>
      </c>
      <c r="I1655" s="3" t="str">
        <f>_xlfn.IFNA(INDEX(RulebookFields!D2:D999, MATCH(D1655,RulebookFields!A2:A999, 0)), "")</f>
        <v>ExecutedByAgent</v>
      </c>
      <c r="J1655" s="3" t="b">
        <f>_xlfn.IFNA(INDEX(RulebookFields!I2:I999, MATCH(D1655,RulebookFields!A2:A999, 0)), "")</f>
        <v>0</v>
      </c>
      <c r="K1655" s="3" t="b">
        <f>AND(F1655, J1655)</f>
        <v>0</v>
      </c>
      <c r="L1655" s="3" t="b">
        <f>AND(G1655 &lt;&gt; "plain", G1655 &lt;&gt; "")</f>
        <v>0</v>
      </c>
      <c r="M1655" s="3" t="str">
        <f>IF(E1655, C1655 &amp; "|" &amp; H1655, "")</f>
        <v>principal-process-steward|StepExecutions</v>
      </c>
      <c r="N1655" s="2" t="s">
        <v>9938</v>
      </c>
    </row>
    <row r="1656">
      <c r="A1656" s="2" t="s">
        <v>11592</v>
      </c>
      <c r="B1656" s="3" t="str">
        <f>C1656 &amp; " -&gt; " &amp; D1656</f>
        <v>principal-process-steward -&gt; StepExecutions.ExecutionStatus</v>
      </c>
      <c r="C1656" s="2" t="s">
        <v>9706</v>
      </c>
      <c r="D1656" s="2" t="s">
        <v>3513</v>
      </c>
      <c r="E1656" s="2" t="b">
        <v>1</v>
      </c>
      <c r="F1656" s="2" t="b">
        <v>0</v>
      </c>
      <c r="G1656" s="2" t="s">
        <v>9937</v>
      </c>
      <c r="H1656" s="3" t="str">
        <f>_xlfn.IFNA(INDEX(RulebookFields!C2:C999, MATCH(D1656,RulebookFields!A2:A999, 0)), "")</f>
        <v>StepExecutions</v>
      </c>
      <c r="I1656" s="3" t="str">
        <f>_xlfn.IFNA(INDEX(RulebookFields!D2:D999, MATCH(D1656,RulebookFields!A2:A999, 0)), "")</f>
        <v>ExecutionStatus</v>
      </c>
      <c r="J1656" s="3" t="b">
        <f>_xlfn.IFNA(INDEX(RulebookFields!I2:I999, MATCH(D1656,RulebookFields!A2:A999, 0)), "")</f>
        <v>0</v>
      </c>
      <c r="K1656" s="3" t="b">
        <f>AND(F1656, J1656)</f>
        <v>0</v>
      </c>
      <c r="L1656" s="3" t="b">
        <f>AND(G1656 &lt;&gt; "plain", G1656 &lt;&gt; "")</f>
        <v>0</v>
      </c>
      <c r="M1656" s="3" t="str">
        <f>IF(E1656, C1656 &amp; "|" &amp; H1656, "")</f>
        <v>principal-process-steward|StepExecutions</v>
      </c>
      <c r="N1656" s="2" t="s">
        <v>9938</v>
      </c>
    </row>
    <row r="1657">
      <c r="A1657" s="2" t="s">
        <v>11593</v>
      </c>
      <c r="B1657" s="3" t="str">
        <f>C1657 &amp; " -&gt; " &amp; D1657</f>
        <v>principal-process-steward -&gt; StepExecutions.StartedAt</v>
      </c>
      <c r="C1657" s="2" t="s">
        <v>9706</v>
      </c>
      <c r="D1657" s="2" t="s">
        <v>3514</v>
      </c>
      <c r="E1657" s="2" t="b">
        <v>1</v>
      </c>
      <c r="F1657" s="2" t="b">
        <v>0</v>
      </c>
      <c r="G1657" s="2" t="s">
        <v>9937</v>
      </c>
      <c r="H1657" s="3" t="str">
        <f>_xlfn.IFNA(INDEX(RulebookFields!C2:C999, MATCH(D1657,RulebookFields!A2:A999, 0)), "")</f>
        <v>StepExecutions</v>
      </c>
      <c r="I1657" s="3" t="str">
        <f>_xlfn.IFNA(INDEX(RulebookFields!D2:D999, MATCH(D1657,RulebookFields!A2:A999, 0)), "")</f>
        <v>StartedAt</v>
      </c>
      <c r="J1657" s="3" t="b">
        <f>_xlfn.IFNA(INDEX(RulebookFields!I2:I999, MATCH(D1657,RulebookFields!A2:A999, 0)), "")</f>
        <v>0</v>
      </c>
      <c r="K1657" s="3" t="b">
        <f>AND(F1657, J1657)</f>
        <v>0</v>
      </c>
      <c r="L1657" s="3" t="b">
        <f>AND(G1657 &lt;&gt; "plain", G1657 &lt;&gt; "")</f>
        <v>0</v>
      </c>
      <c r="M1657" s="3" t="str">
        <f>IF(E1657, C1657 &amp; "|" &amp; H1657, "")</f>
        <v>principal-process-steward|StepExecutions</v>
      </c>
      <c r="N1657" s="2" t="s">
        <v>9938</v>
      </c>
    </row>
    <row r="1658">
      <c r="A1658" s="2" t="s">
        <v>11594</v>
      </c>
      <c r="B1658" s="3" t="str">
        <f>C1658 &amp; " -&gt; " &amp; D1658</f>
        <v>principal-process-steward -&gt; StepExecutions.EndedAt</v>
      </c>
      <c r="C1658" s="2" t="s">
        <v>9706</v>
      </c>
      <c r="D1658" s="2" t="s">
        <v>3515</v>
      </c>
      <c r="E1658" s="2" t="b">
        <v>1</v>
      </c>
      <c r="F1658" s="2" t="b">
        <v>0</v>
      </c>
      <c r="G1658" s="2" t="s">
        <v>9937</v>
      </c>
      <c r="H1658" s="3" t="str">
        <f>_xlfn.IFNA(INDEX(RulebookFields!C2:C999, MATCH(D1658,RulebookFields!A2:A999, 0)), "")</f>
        <v>StepExecutions</v>
      </c>
      <c r="I1658" s="3" t="str">
        <f>_xlfn.IFNA(INDEX(RulebookFields!D2:D999, MATCH(D1658,RulebookFields!A2:A999, 0)), "")</f>
        <v>EndedAt</v>
      </c>
      <c r="J1658" s="3" t="b">
        <f>_xlfn.IFNA(INDEX(RulebookFields!I2:I999, MATCH(D1658,RulebookFields!A2:A999, 0)), "")</f>
        <v>0</v>
      </c>
      <c r="K1658" s="3" t="b">
        <f>AND(F1658, J1658)</f>
        <v>0</v>
      </c>
      <c r="L1658" s="3" t="b">
        <f>AND(G1658 &lt;&gt; "plain", G1658 &lt;&gt; "")</f>
        <v>0</v>
      </c>
      <c r="M1658" s="3" t="str">
        <f>IF(E1658, C1658 &amp; "|" &amp; H1658, "")</f>
        <v>principal-process-steward|StepExecutions</v>
      </c>
      <c r="N1658" s="2" t="s">
        <v>9938</v>
      </c>
    </row>
    <row r="1659">
      <c r="A1659" s="2" t="s">
        <v>11595</v>
      </c>
      <c r="B1659" s="3" t="str">
        <f>C1659 &amp; " -&gt; " &amp; D1659</f>
        <v>principal-process-steward -&gt; StepExecutions.VerificationResult</v>
      </c>
      <c r="C1659" s="2" t="s">
        <v>9706</v>
      </c>
      <c r="D1659" s="2" t="s">
        <v>3516</v>
      </c>
      <c r="E1659" s="2" t="b">
        <v>1</v>
      </c>
      <c r="F1659" s="2" t="b">
        <v>0</v>
      </c>
      <c r="G1659" s="2" t="s">
        <v>9937</v>
      </c>
      <c r="H1659" s="3" t="str">
        <f>_xlfn.IFNA(INDEX(RulebookFields!C2:C999, MATCH(D1659,RulebookFields!A2:A999, 0)), "")</f>
        <v>StepExecutions</v>
      </c>
      <c r="I1659" s="3" t="str">
        <f>_xlfn.IFNA(INDEX(RulebookFields!D2:D999, MATCH(D1659,RulebookFields!A2:A999, 0)), "")</f>
        <v>VerificationResult</v>
      </c>
      <c r="J1659" s="3" t="b">
        <f>_xlfn.IFNA(INDEX(RulebookFields!I2:I999, MATCH(D1659,RulebookFields!A2:A999, 0)), "")</f>
        <v>0</v>
      </c>
      <c r="K1659" s="3" t="b">
        <f>AND(F1659, J1659)</f>
        <v>0</v>
      </c>
      <c r="L1659" s="3" t="b">
        <f>AND(G1659 &lt;&gt; "plain", G1659 &lt;&gt; "")</f>
        <v>0</v>
      </c>
      <c r="M1659" s="3" t="str">
        <f>IF(E1659, C1659 &amp; "|" &amp; H1659, "")</f>
        <v>principal-process-steward|StepExecutions</v>
      </c>
      <c r="N1659" s="2" t="s">
        <v>9938</v>
      </c>
    </row>
    <row r="1660">
      <c r="A1660" s="2" t="s">
        <v>11596</v>
      </c>
      <c r="B1660" s="3" t="str">
        <f>C1660 &amp; " -&gt; " &amp; D1660</f>
        <v>principal-process-steward -&gt; StepExecutions.Deviation</v>
      </c>
      <c r="C1660" s="2" t="s">
        <v>9706</v>
      </c>
      <c r="D1660" s="2" t="s">
        <v>3517</v>
      </c>
      <c r="E1660" s="2" t="b">
        <v>1</v>
      </c>
      <c r="F1660" s="2" t="b">
        <v>0</v>
      </c>
      <c r="G1660" s="2" t="s">
        <v>9937</v>
      </c>
      <c r="H1660" s="3" t="str">
        <f>_xlfn.IFNA(INDEX(RulebookFields!C2:C999, MATCH(D1660,RulebookFields!A2:A999, 0)), "")</f>
        <v>StepExecutions</v>
      </c>
      <c r="I1660" s="3" t="str">
        <f>_xlfn.IFNA(INDEX(RulebookFields!D2:D999, MATCH(D1660,RulebookFields!A2:A999, 0)), "")</f>
        <v>Deviation</v>
      </c>
      <c r="J1660" s="3" t="b">
        <f>_xlfn.IFNA(INDEX(RulebookFields!I2:I999, MATCH(D1660,RulebookFields!A2:A999, 0)), "")</f>
        <v>0</v>
      </c>
      <c r="K1660" s="3" t="b">
        <f>AND(F1660, J1660)</f>
        <v>0</v>
      </c>
      <c r="L1660" s="3" t="b">
        <f>AND(G1660 &lt;&gt; "plain", G1660 &lt;&gt; "")</f>
        <v>0</v>
      </c>
      <c r="M1660" s="3" t="str">
        <f>IF(E1660, C1660 &amp; "|" &amp; H1660, "")</f>
        <v>principal-process-steward|StepExecutions</v>
      </c>
      <c r="N1660" s="2" t="s">
        <v>9938</v>
      </c>
    </row>
    <row r="1661">
      <c r="A1661" s="2" t="s">
        <v>11597</v>
      </c>
      <c r="B1661" s="3" t="str">
        <f>C1661 &amp; " -&gt; " &amp; D1661</f>
        <v>principal-process-steward -&gt; StepExecutions.ActualDurationMinutes</v>
      </c>
      <c r="C1661" s="2" t="s">
        <v>9706</v>
      </c>
      <c r="D1661" s="2" t="s">
        <v>3518</v>
      </c>
      <c r="E1661" s="2" t="b">
        <v>1</v>
      </c>
      <c r="F1661" s="2" t="b">
        <v>0</v>
      </c>
      <c r="G1661" s="2" t="s">
        <v>9937</v>
      </c>
      <c r="H1661" s="3" t="str">
        <f>_xlfn.IFNA(INDEX(RulebookFields!C2:C999, MATCH(D1661,RulebookFields!A2:A999, 0)), "")</f>
        <v>StepExecutions</v>
      </c>
      <c r="I1661" s="3" t="str">
        <f>_xlfn.IFNA(INDEX(RulebookFields!D2:D999, MATCH(D1661,RulebookFields!A2:A999, 0)), "")</f>
        <v>ActualDurationMinutes</v>
      </c>
      <c r="J1661" s="3" t="b">
        <f>_xlfn.IFNA(INDEX(RulebookFields!I2:I999, MATCH(D1661,RulebookFields!A2:A999, 0)), "")</f>
        <v>1</v>
      </c>
      <c r="K1661" s="3" t="b">
        <f>AND(F1661, J1661)</f>
        <v>0</v>
      </c>
      <c r="L1661" s="3" t="b">
        <f>AND(G1661 &lt;&gt; "plain", G1661 &lt;&gt; "")</f>
        <v>0</v>
      </c>
      <c r="M1661" s="3" t="str">
        <f>IF(E1661, C1661 &amp; "|" &amp; H1661, "")</f>
        <v>principal-process-steward|StepExecutions</v>
      </c>
      <c r="N1661" s="2" t="s">
        <v>9938</v>
      </c>
    </row>
    <row r="1662">
      <c r="A1662" s="2" t="s">
        <v>11598</v>
      </c>
      <c r="B1662" s="3" t="str">
        <f>C1662 &amp; " -&gt; " &amp; D1662</f>
        <v>principal-process-steward -&gt; StepExecutions.ExpectedDurationMinutes</v>
      </c>
      <c r="C1662" s="2" t="s">
        <v>9706</v>
      </c>
      <c r="D1662" s="2" t="s">
        <v>3520</v>
      </c>
      <c r="E1662" s="2" t="b">
        <v>1</v>
      </c>
      <c r="F1662" s="2" t="b">
        <v>0</v>
      </c>
      <c r="G1662" s="2" t="s">
        <v>9937</v>
      </c>
      <c r="H1662" s="3" t="str">
        <f>_xlfn.IFNA(INDEX(RulebookFields!C2:C999, MATCH(D1662,RulebookFields!A2:A999, 0)), "")</f>
        <v>StepExecutions</v>
      </c>
      <c r="I1662" s="3" t="str">
        <f>_xlfn.IFNA(INDEX(RulebookFields!D2:D999, MATCH(D1662,RulebookFields!A2:A999, 0)), "")</f>
        <v>ExpectedDurationMinutes</v>
      </c>
      <c r="J1662" s="3" t="b">
        <f>_xlfn.IFNA(INDEX(RulebookFields!I2:I999, MATCH(D1662,RulebookFields!A2:A999, 0)), "")</f>
        <v>1</v>
      </c>
      <c r="K1662" s="3" t="b">
        <f>AND(F1662, J1662)</f>
        <v>0</v>
      </c>
      <c r="L1662" s="3" t="b">
        <f>AND(G1662 &lt;&gt; "plain", G1662 &lt;&gt; "")</f>
        <v>0</v>
      </c>
      <c r="M1662" s="3" t="str">
        <f>IF(E1662, C1662 &amp; "|" &amp; H1662, "")</f>
        <v>principal-process-steward|StepExecutions</v>
      </c>
      <c r="N1662" s="2" t="s">
        <v>9938</v>
      </c>
    </row>
    <row r="1663">
      <c r="A1663" s="2" t="s">
        <v>11599</v>
      </c>
      <c r="B1663" s="3" t="str">
        <f>C1663 &amp; " -&gt; " &amp; D1663</f>
        <v>principal-process-steward -&gt; StepExecutions.IsLate</v>
      </c>
      <c r="C1663" s="2" t="s">
        <v>9706</v>
      </c>
      <c r="D1663" s="2" t="s">
        <v>3522</v>
      </c>
      <c r="E1663" s="2" t="b">
        <v>1</v>
      </c>
      <c r="F1663" s="2" t="b">
        <v>0</v>
      </c>
      <c r="G1663" s="2" t="s">
        <v>9937</v>
      </c>
      <c r="H1663" s="3" t="str">
        <f>_xlfn.IFNA(INDEX(RulebookFields!C2:C999, MATCH(D1663,RulebookFields!A2:A999, 0)), "")</f>
        <v>StepExecutions</v>
      </c>
      <c r="I1663" s="3" t="str">
        <f>_xlfn.IFNA(INDEX(RulebookFields!D2:D999, MATCH(D1663,RulebookFields!A2:A999, 0)), "")</f>
        <v>IsLate</v>
      </c>
      <c r="J1663" s="3" t="b">
        <f>_xlfn.IFNA(INDEX(RulebookFields!I2:I999, MATCH(D1663,RulebookFields!A2:A999, 0)), "")</f>
        <v>1</v>
      </c>
      <c r="K1663" s="3" t="b">
        <f>AND(F1663, J1663)</f>
        <v>0</v>
      </c>
      <c r="L1663" s="3" t="b">
        <f>AND(G1663 &lt;&gt; "plain", G1663 &lt;&gt; "")</f>
        <v>0</v>
      </c>
      <c r="M1663" s="3" t="str">
        <f>IF(E1663, C1663 &amp; "|" &amp; H1663, "")</f>
        <v>principal-process-steward|StepExecutions</v>
      </c>
      <c r="N1663" s="2" t="s">
        <v>9938</v>
      </c>
    </row>
    <row r="1664">
      <c r="A1664" s="2" t="s">
        <v>11600</v>
      </c>
      <c r="B1664" s="3" t="str">
        <f>C1664 &amp; " -&gt; " &amp; D1664</f>
        <v>principal-process-steward -&gt; StepExecutions.BlockingUnmetCount</v>
      </c>
      <c r="C1664" s="2" t="s">
        <v>9706</v>
      </c>
      <c r="D1664" s="2" t="s">
        <v>3524</v>
      </c>
      <c r="E1664" s="2" t="b">
        <v>1</v>
      </c>
      <c r="F1664" s="2" t="b">
        <v>0</v>
      </c>
      <c r="G1664" s="2" t="s">
        <v>9937</v>
      </c>
      <c r="H1664" s="3" t="str">
        <f>_xlfn.IFNA(INDEX(RulebookFields!C2:C999, MATCH(D1664,RulebookFields!A2:A999, 0)), "")</f>
        <v>StepExecutions</v>
      </c>
      <c r="I1664" s="3" t="str">
        <f>_xlfn.IFNA(INDEX(RulebookFields!D2:D999, MATCH(D1664,RulebookFields!A2:A999, 0)), "")</f>
        <v>BlockingUnmetCount</v>
      </c>
      <c r="J1664" s="3" t="b">
        <f>_xlfn.IFNA(INDEX(RulebookFields!I2:I999, MATCH(D1664,RulebookFields!A2:A999, 0)), "")</f>
        <v>1</v>
      </c>
      <c r="K1664" s="3" t="b">
        <f>AND(F1664, J1664)</f>
        <v>0</v>
      </c>
      <c r="L1664" s="3" t="b">
        <f>AND(G1664 &lt;&gt; "plain", G1664 &lt;&gt; "")</f>
        <v>0</v>
      </c>
      <c r="M1664" s="3" t="str">
        <f>IF(E1664, C1664 &amp; "|" &amp; H1664, "")</f>
        <v>principal-process-steward|StepExecutions</v>
      </c>
      <c r="N1664" s="2" t="s">
        <v>9938</v>
      </c>
    </row>
    <row r="1665">
      <c r="A1665" s="2" t="s">
        <v>11601</v>
      </c>
      <c r="B1665" s="3" t="str">
        <f>C1665 &amp; " -&gt; " &amp; D1665</f>
        <v>principal-process-steward -&gt; StepExecutions.BlockingUnmetCountSafe</v>
      </c>
      <c r="C1665" s="2" t="s">
        <v>9706</v>
      </c>
      <c r="D1665" s="2" t="s">
        <v>3526</v>
      </c>
      <c r="E1665" s="2" t="b">
        <v>1</v>
      </c>
      <c r="F1665" s="2" t="b">
        <v>0</v>
      </c>
      <c r="G1665" s="2" t="s">
        <v>9937</v>
      </c>
      <c r="H1665" s="3" t="str">
        <f>_xlfn.IFNA(INDEX(RulebookFields!C2:C999, MATCH(D1665,RulebookFields!A2:A999, 0)), "")</f>
        <v>StepExecutions</v>
      </c>
      <c r="I1665" s="3" t="str">
        <f>_xlfn.IFNA(INDEX(RulebookFields!D2:D999, MATCH(D1665,RulebookFields!A2:A999, 0)), "")</f>
        <v>BlockingUnmetCountSafe</v>
      </c>
      <c r="J1665" s="3" t="b">
        <f>_xlfn.IFNA(INDEX(RulebookFields!I2:I999, MATCH(D1665,RulebookFields!A2:A999, 0)), "")</f>
        <v>1</v>
      </c>
      <c r="K1665" s="3" t="b">
        <f>AND(F1665, J1665)</f>
        <v>0</v>
      </c>
      <c r="L1665" s="3" t="b">
        <f>AND(G1665 &lt;&gt; "plain", G1665 &lt;&gt; "")</f>
        <v>0</v>
      </c>
      <c r="M1665" s="3" t="str">
        <f>IF(E1665, C1665 &amp; "|" &amp; H1665, "")</f>
        <v>principal-process-steward|StepExecutions</v>
      </c>
      <c r="N1665" s="2" t="s">
        <v>9938</v>
      </c>
    </row>
    <row r="1666">
      <c r="A1666" s="2" t="s">
        <v>11602</v>
      </c>
      <c r="B1666" s="3" t="str">
        <f>C1666 &amp; " -&gt; " &amp; D1666</f>
        <v>principal-process-steward -&gt; StepExecutions.ProceededPastBlockingControl</v>
      </c>
      <c r="C1666" s="2" t="s">
        <v>9706</v>
      </c>
      <c r="D1666" s="2" t="s">
        <v>3528</v>
      </c>
      <c r="E1666" s="2" t="b">
        <v>1</v>
      </c>
      <c r="F1666" s="2" t="b">
        <v>0</v>
      </c>
      <c r="G1666" s="2" t="s">
        <v>9937</v>
      </c>
      <c r="H1666" s="3" t="str">
        <f>_xlfn.IFNA(INDEX(RulebookFields!C2:C999, MATCH(D1666,RulebookFields!A2:A999, 0)), "")</f>
        <v>StepExecutions</v>
      </c>
      <c r="I1666" s="3" t="str">
        <f>_xlfn.IFNA(INDEX(RulebookFields!D2:D999, MATCH(D1666,RulebookFields!A2:A999, 0)), "")</f>
        <v>ProceededPastBlockingControl</v>
      </c>
      <c r="J1666" s="3" t="b">
        <f>_xlfn.IFNA(INDEX(RulebookFields!I2:I999, MATCH(D1666,RulebookFields!A2:A999, 0)), "")</f>
        <v>1</v>
      </c>
      <c r="K1666" s="3" t="b">
        <f>AND(F1666, J1666)</f>
        <v>0</v>
      </c>
      <c r="L1666" s="3" t="b">
        <f>AND(G1666 &lt;&gt; "plain", G1666 &lt;&gt; "")</f>
        <v>0</v>
      </c>
      <c r="M1666" s="3" t="str">
        <f>IF(E1666, C1666 &amp; "|" &amp; H1666, "")</f>
        <v>principal-process-steward|StepExecutions</v>
      </c>
      <c r="N1666" s="2" t="s">
        <v>9938</v>
      </c>
    </row>
    <row r="1667">
      <c r="A1667" s="2" t="s">
        <v>11603</v>
      </c>
      <c r="B1667" s="3" t="str">
        <f>C1667 &amp; " -&gt; " &amp; D1667</f>
        <v>principal-process-steward -&gt; StepExecutions.ExpectedBlockingCount</v>
      </c>
      <c r="C1667" s="2" t="s">
        <v>9706</v>
      </c>
      <c r="D1667" s="2" t="s">
        <v>3530</v>
      </c>
      <c r="E1667" s="2" t="b">
        <v>1</v>
      </c>
      <c r="F1667" s="2" t="b">
        <v>0</v>
      </c>
      <c r="G1667" s="2" t="s">
        <v>9937</v>
      </c>
      <c r="H1667" s="3" t="str">
        <f>_xlfn.IFNA(INDEX(RulebookFields!C2:C999, MATCH(D1667,RulebookFields!A2:A999, 0)), "")</f>
        <v>StepExecutions</v>
      </c>
      <c r="I1667" s="3" t="str">
        <f>_xlfn.IFNA(INDEX(RulebookFields!D2:D999, MATCH(D1667,RulebookFields!A2:A999, 0)), "")</f>
        <v>ExpectedBlockingCount</v>
      </c>
      <c r="J1667" s="3" t="b">
        <f>_xlfn.IFNA(INDEX(RulebookFields!I2:I999, MATCH(D1667,RulebookFields!A2:A999, 0)), "")</f>
        <v>1</v>
      </c>
      <c r="K1667" s="3" t="b">
        <f>AND(F1667, J1667)</f>
        <v>0</v>
      </c>
      <c r="L1667" s="3" t="b">
        <f>AND(G1667 &lt;&gt; "plain", G1667 &lt;&gt; "")</f>
        <v>0</v>
      </c>
      <c r="M1667" s="3" t="str">
        <f>IF(E1667, C1667 &amp; "|" &amp; H1667, "")</f>
        <v>principal-process-steward|StepExecutions</v>
      </c>
      <c r="N1667" s="2" t="s">
        <v>9938</v>
      </c>
    </row>
    <row r="1668">
      <c r="A1668" s="2" t="s">
        <v>11604</v>
      </c>
      <c r="B1668" s="3" t="str">
        <f>C1668 &amp; " -&gt; " &amp; D1668</f>
        <v>principal-process-steward -&gt; StepExecutions.EvaluatedBlockingCount</v>
      </c>
      <c r="C1668" s="2" t="s">
        <v>9706</v>
      </c>
      <c r="D1668" s="2" t="s">
        <v>3532</v>
      </c>
      <c r="E1668" s="2" t="b">
        <v>1</v>
      </c>
      <c r="F1668" s="2" t="b">
        <v>0</v>
      </c>
      <c r="G1668" s="2" t="s">
        <v>9937</v>
      </c>
      <c r="H1668" s="3" t="str">
        <f>_xlfn.IFNA(INDEX(RulebookFields!C2:C999, MATCH(D1668,RulebookFields!A2:A999, 0)), "")</f>
        <v>StepExecutions</v>
      </c>
      <c r="I1668" s="3" t="str">
        <f>_xlfn.IFNA(INDEX(RulebookFields!D2:D999, MATCH(D1668,RulebookFields!A2:A999, 0)), "")</f>
        <v>EvaluatedBlockingCount</v>
      </c>
      <c r="J1668" s="3" t="b">
        <f>_xlfn.IFNA(INDEX(RulebookFields!I2:I999, MATCH(D1668,RulebookFields!A2:A999, 0)), "")</f>
        <v>1</v>
      </c>
      <c r="K1668" s="3" t="b">
        <f>AND(F1668, J1668)</f>
        <v>0</v>
      </c>
      <c r="L1668" s="3" t="b">
        <f>AND(G1668 &lt;&gt; "plain", G1668 &lt;&gt; "")</f>
        <v>0</v>
      </c>
      <c r="M1668" s="3" t="str">
        <f>IF(E1668, C1668 &amp; "|" &amp; H1668, "")</f>
        <v>principal-process-steward|StepExecutions</v>
      </c>
      <c r="N1668" s="2" t="s">
        <v>9938</v>
      </c>
    </row>
    <row r="1669">
      <c r="A1669" s="2" t="s">
        <v>11605</v>
      </c>
      <c r="B1669" s="3" t="str">
        <f>C1669 &amp; " -&gt; " &amp; D1669</f>
        <v>principal-process-steward -&gt; StepExecutions.UnevaluatedBlockingCount</v>
      </c>
      <c r="C1669" s="2" t="s">
        <v>9706</v>
      </c>
      <c r="D1669" s="2" t="s">
        <v>3534</v>
      </c>
      <c r="E1669" s="2" t="b">
        <v>1</v>
      </c>
      <c r="F1669" s="2" t="b">
        <v>0</v>
      </c>
      <c r="G1669" s="2" t="s">
        <v>9937</v>
      </c>
      <c r="H1669" s="3" t="str">
        <f>_xlfn.IFNA(INDEX(RulebookFields!C2:C999, MATCH(D1669,RulebookFields!A2:A999, 0)), "")</f>
        <v>StepExecutions</v>
      </c>
      <c r="I1669" s="3" t="str">
        <f>_xlfn.IFNA(INDEX(RulebookFields!D2:D999, MATCH(D1669,RulebookFields!A2:A999, 0)), "")</f>
        <v>UnevaluatedBlockingCount</v>
      </c>
      <c r="J1669" s="3" t="b">
        <f>_xlfn.IFNA(INDEX(RulebookFields!I2:I999, MATCH(D1669,RulebookFields!A2:A999, 0)), "")</f>
        <v>1</v>
      </c>
      <c r="K1669" s="3" t="b">
        <f>AND(F1669, J1669)</f>
        <v>0</v>
      </c>
      <c r="L1669" s="3" t="b">
        <f>AND(G1669 &lt;&gt; "plain", G1669 &lt;&gt; "")</f>
        <v>0</v>
      </c>
      <c r="M1669" s="3" t="str">
        <f>IF(E1669, C1669 &amp; "|" &amp; H1669, "")</f>
        <v>principal-process-steward|StepExecutions</v>
      </c>
      <c r="N1669" s="2" t="s">
        <v>9938</v>
      </c>
    </row>
    <row r="1670">
      <c r="A1670" s="2" t="s">
        <v>11606</v>
      </c>
      <c r="B1670" s="3" t="str">
        <f>C1670 &amp; " -&gt; " &amp; D1670</f>
        <v>principal-process-steward -&gt; StepExecutions.HasUnevaluatedBlockingControl</v>
      </c>
      <c r="C1670" s="2" t="s">
        <v>9706</v>
      </c>
      <c r="D1670" s="2" t="s">
        <v>3536</v>
      </c>
      <c r="E1670" s="2" t="b">
        <v>1</v>
      </c>
      <c r="F1670" s="2" t="b">
        <v>0</v>
      </c>
      <c r="G1670" s="2" t="s">
        <v>9937</v>
      </c>
      <c r="H1670" s="3" t="str">
        <f>_xlfn.IFNA(INDEX(RulebookFields!C2:C999, MATCH(D1670,RulebookFields!A2:A999, 0)), "")</f>
        <v>StepExecutions</v>
      </c>
      <c r="I1670" s="3" t="str">
        <f>_xlfn.IFNA(INDEX(RulebookFields!D2:D999, MATCH(D1670,RulebookFields!A2:A999, 0)), "")</f>
        <v>HasUnevaluatedBlockingControl</v>
      </c>
      <c r="J1670" s="3" t="b">
        <f>_xlfn.IFNA(INDEX(RulebookFields!I2:I999, MATCH(D1670,RulebookFields!A2:A999, 0)), "")</f>
        <v>1</v>
      </c>
      <c r="K1670" s="3" t="b">
        <f>AND(F1670, J1670)</f>
        <v>0</v>
      </c>
      <c r="L1670" s="3" t="b">
        <f>AND(G1670 &lt;&gt; "plain", G1670 &lt;&gt; "")</f>
        <v>0</v>
      </c>
      <c r="M1670" s="3" t="str">
        <f>IF(E1670, C1670 &amp; "|" &amp; H1670, "")</f>
        <v>principal-process-steward|StepExecutions</v>
      </c>
      <c r="N1670" s="2" t="s">
        <v>9938</v>
      </c>
    </row>
    <row r="1671">
      <c r="A1671" s="2" t="s">
        <v>11607</v>
      </c>
      <c r="B1671" s="3" t="str">
        <f>C1671 &amp; " -&gt; " &amp; D1671</f>
        <v>principal-process-steward -&gt; StepExecutions.StaleAuthoritativeSourceCount</v>
      </c>
      <c r="C1671" s="2" t="s">
        <v>9706</v>
      </c>
      <c r="D1671" s="2" t="s">
        <v>3538</v>
      </c>
      <c r="E1671" s="2" t="b">
        <v>1</v>
      </c>
      <c r="F1671" s="2" t="b">
        <v>0</v>
      </c>
      <c r="G1671" s="2" t="s">
        <v>9937</v>
      </c>
      <c r="H1671" s="3" t="str">
        <f>_xlfn.IFNA(INDEX(RulebookFields!C2:C999, MATCH(D1671,RulebookFields!A2:A999, 0)), "")</f>
        <v>StepExecutions</v>
      </c>
      <c r="I1671" s="3" t="str">
        <f>_xlfn.IFNA(INDEX(RulebookFields!D2:D999, MATCH(D1671,RulebookFields!A2:A999, 0)), "")</f>
        <v>StaleAuthoritativeSourceCount</v>
      </c>
      <c r="J1671" s="3" t="b">
        <f>_xlfn.IFNA(INDEX(RulebookFields!I2:I999, MATCH(D1671,RulebookFields!A2:A999, 0)), "")</f>
        <v>1</v>
      </c>
      <c r="K1671" s="3" t="b">
        <f>AND(F1671, J1671)</f>
        <v>0</v>
      </c>
      <c r="L1671" s="3" t="b">
        <f>AND(G1671 &lt;&gt; "plain", G1671 &lt;&gt; "")</f>
        <v>0</v>
      </c>
      <c r="M1671" s="3" t="str">
        <f>IF(E1671, C1671 &amp; "|" &amp; H1671, "")</f>
        <v>principal-process-steward|StepExecutions</v>
      </c>
      <c r="N1671" s="2" t="s">
        <v>9938</v>
      </c>
    </row>
    <row r="1672">
      <c r="A1672" s="2" t="s">
        <v>11608</v>
      </c>
      <c r="B1672" s="3" t="str">
        <f>C1672 &amp; " -&gt; " &amp; D1672</f>
        <v>principal-process-steward -&gt; StepExecutions.RanOnStaleAuthoritativeSource</v>
      </c>
      <c r="C1672" s="2" t="s">
        <v>9706</v>
      </c>
      <c r="D1672" s="2" t="s">
        <v>3540</v>
      </c>
      <c r="E1672" s="2" t="b">
        <v>1</v>
      </c>
      <c r="F1672" s="2" t="b">
        <v>0</v>
      </c>
      <c r="G1672" s="2" t="s">
        <v>9937</v>
      </c>
      <c r="H1672" s="3" t="str">
        <f>_xlfn.IFNA(INDEX(RulebookFields!C2:C999, MATCH(D1672,RulebookFields!A2:A999, 0)), "")</f>
        <v>StepExecutions</v>
      </c>
      <c r="I1672" s="3" t="str">
        <f>_xlfn.IFNA(INDEX(RulebookFields!D2:D999, MATCH(D1672,RulebookFields!A2:A999, 0)), "")</f>
        <v>RanOnStaleAuthoritativeSource</v>
      </c>
      <c r="J1672" s="3" t="b">
        <f>_xlfn.IFNA(INDEX(RulebookFields!I2:I999, MATCH(D1672,RulebookFields!A2:A999, 0)), "")</f>
        <v>1</v>
      </c>
      <c r="K1672" s="3" t="b">
        <f>AND(F1672, J1672)</f>
        <v>0</v>
      </c>
      <c r="L1672" s="3" t="b">
        <f>AND(G1672 &lt;&gt; "plain", G1672 &lt;&gt; "")</f>
        <v>0</v>
      </c>
      <c r="M1672" s="3" t="str">
        <f>IF(E1672, C1672 &amp; "|" &amp; H1672, "")</f>
        <v>principal-process-steward|StepExecutions</v>
      </c>
      <c r="N1672" s="2" t="s">
        <v>9938</v>
      </c>
    </row>
    <row r="1673">
      <c r="A1673" s="2" t="s">
        <v>11609</v>
      </c>
      <c r="B1673" s="3" t="str">
        <f>C1673 &amp; " -&gt; " &amp; D1673</f>
        <v>principal-process-steward -&gt; StepExecutions.HasDeviationNote</v>
      </c>
      <c r="C1673" s="2" t="s">
        <v>9706</v>
      </c>
      <c r="D1673" s="2" t="s">
        <v>3542</v>
      </c>
      <c r="E1673" s="2" t="b">
        <v>1</v>
      </c>
      <c r="F1673" s="2" t="b">
        <v>0</v>
      </c>
      <c r="G1673" s="2" t="s">
        <v>9937</v>
      </c>
      <c r="H1673" s="3" t="str">
        <f>_xlfn.IFNA(INDEX(RulebookFields!C2:C999, MATCH(D1673,RulebookFields!A2:A999, 0)), "")</f>
        <v>StepExecutions</v>
      </c>
      <c r="I1673" s="3" t="str">
        <f>_xlfn.IFNA(INDEX(RulebookFields!D2:D999, MATCH(D1673,RulebookFields!A2:A999, 0)), "")</f>
        <v>HasDeviationNote</v>
      </c>
      <c r="J1673" s="3" t="b">
        <f>_xlfn.IFNA(INDEX(RulebookFields!I2:I999, MATCH(D1673,RulebookFields!A2:A999, 0)), "")</f>
        <v>1</v>
      </c>
      <c r="K1673" s="3" t="b">
        <f>AND(F1673, J1673)</f>
        <v>0</v>
      </c>
      <c r="L1673" s="3" t="b">
        <f>AND(G1673 &lt;&gt; "plain", G1673 &lt;&gt; "")</f>
        <v>0</v>
      </c>
      <c r="M1673" s="3" t="str">
        <f>IF(E1673, C1673 &amp; "|" &amp; H1673, "")</f>
        <v>principal-process-steward|StepExecutions</v>
      </c>
      <c r="N1673" s="2" t="s">
        <v>9938</v>
      </c>
    </row>
    <row r="1674">
      <c r="A1674" s="2" t="s">
        <v>11610</v>
      </c>
      <c r="B1674" s="3" t="str">
        <f>C1674 &amp; " -&gt; " &amp; D1674</f>
        <v>principal-process-steward -&gt; StepExecutions.IsLateAndUnexplained</v>
      </c>
      <c r="C1674" s="2" t="s">
        <v>9706</v>
      </c>
      <c r="D1674" s="2" t="s">
        <v>3544</v>
      </c>
      <c r="E1674" s="2" t="b">
        <v>1</v>
      </c>
      <c r="F1674" s="2" t="b">
        <v>0</v>
      </c>
      <c r="G1674" s="2" t="s">
        <v>9937</v>
      </c>
      <c r="H1674" s="3" t="str">
        <f>_xlfn.IFNA(INDEX(RulebookFields!C2:C999, MATCH(D1674,RulebookFields!A2:A999, 0)), "")</f>
        <v>StepExecutions</v>
      </c>
      <c r="I1674" s="3" t="str">
        <f>_xlfn.IFNA(INDEX(RulebookFields!D2:D999, MATCH(D1674,RulebookFields!A2:A999, 0)), "")</f>
        <v>IsLateAndUnexplained</v>
      </c>
      <c r="J1674" s="3" t="b">
        <f>_xlfn.IFNA(INDEX(RulebookFields!I2:I999, MATCH(D1674,RulebookFields!A2:A999, 0)), "")</f>
        <v>1</v>
      </c>
      <c r="K1674" s="3" t="b">
        <f>AND(F1674, J1674)</f>
        <v>0</v>
      </c>
      <c r="L1674" s="3" t="b">
        <f>AND(G1674 &lt;&gt; "plain", G1674 &lt;&gt; "")</f>
        <v>0</v>
      </c>
      <c r="M1674" s="3" t="str">
        <f>IF(E1674, C1674 &amp; "|" &amp; H1674, "")</f>
        <v>principal-process-steward|StepExecutions</v>
      </c>
      <c r="N1674" s="2" t="s">
        <v>9938</v>
      </c>
    </row>
    <row r="1675">
      <c r="A1675" s="2" t="s">
        <v>11611</v>
      </c>
      <c r="B1675" s="3" t="str">
        <f>C1675 &amp; " -&gt; " &amp; D1675</f>
        <v>principal-process-steward -&gt; StepExecutions.AvailableExceptionCountForStep</v>
      </c>
      <c r="C1675" s="2" t="s">
        <v>9706</v>
      </c>
      <c r="D1675" s="2" t="s">
        <v>3546</v>
      </c>
      <c r="E1675" s="2" t="b">
        <v>1</v>
      </c>
      <c r="F1675" s="2" t="b">
        <v>0</v>
      </c>
      <c r="G1675" s="2" t="s">
        <v>9937</v>
      </c>
      <c r="H1675" s="3" t="str">
        <f>_xlfn.IFNA(INDEX(RulebookFields!C2:C999, MATCH(D1675,RulebookFields!A2:A999, 0)), "")</f>
        <v>StepExecutions</v>
      </c>
      <c r="I1675" s="3" t="str">
        <f>_xlfn.IFNA(INDEX(RulebookFields!D2:D999, MATCH(D1675,RulebookFields!A2:A999, 0)), "")</f>
        <v>AvailableExceptionCountForStep</v>
      </c>
      <c r="J1675" s="3" t="b">
        <f>_xlfn.IFNA(INDEX(RulebookFields!I2:I999, MATCH(D1675,RulebookFields!A2:A999, 0)), "")</f>
        <v>1</v>
      </c>
      <c r="K1675" s="3" t="b">
        <f>AND(F1675, J1675)</f>
        <v>0</v>
      </c>
      <c r="L1675" s="3" t="b">
        <f>AND(G1675 &lt;&gt; "plain", G1675 &lt;&gt; "")</f>
        <v>0</v>
      </c>
      <c r="M1675" s="3" t="str">
        <f>IF(E1675, C1675 &amp; "|" &amp; H1675, "")</f>
        <v>principal-process-steward|StepExecutions</v>
      </c>
      <c r="N1675" s="2" t="s">
        <v>9938</v>
      </c>
    </row>
    <row r="1676">
      <c r="A1676" s="2" t="s">
        <v>11612</v>
      </c>
      <c r="B1676" s="3" t="str">
        <f>C1676 &amp; " -&gt; " &amp; D1676</f>
        <v>principal-process-steward -&gt; StepExecutions.HadUninvokedExceptionAvailable</v>
      </c>
      <c r="C1676" s="2" t="s">
        <v>9706</v>
      </c>
      <c r="D1676" s="2" t="s">
        <v>3548</v>
      </c>
      <c r="E1676" s="2" t="b">
        <v>1</v>
      </c>
      <c r="F1676" s="2" t="b">
        <v>0</v>
      </c>
      <c r="G1676" s="2" t="s">
        <v>9937</v>
      </c>
      <c r="H1676" s="3" t="str">
        <f>_xlfn.IFNA(INDEX(RulebookFields!C2:C999, MATCH(D1676,RulebookFields!A2:A999, 0)), "")</f>
        <v>StepExecutions</v>
      </c>
      <c r="I1676" s="3" t="str">
        <f>_xlfn.IFNA(INDEX(RulebookFields!D2:D999, MATCH(D1676,RulebookFields!A2:A999, 0)), "")</f>
        <v>HadUninvokedExceptionAvailable</v>
      </c>
      <c r="J1676" s="3" t="b">
        <f>_xlfn.IFNA(INDEX(RulebookFields!I2:I999, MATCH(D1676,RulebookFields!A2:A999, 0)), "")</f>
        <v>1</v>
      </c>
      <c r="K1676" s="3" t="b">
        <f>AND(F1676, J1676)</f>
        <v>0</v>
      </c>
      <c r="L1676" s="3" t="b">
        <f>AND(G1676 &lt;&gt; "plain", G1676 &lt;&gt; "")</f>
        <v>0</v>
      </c>
      <c r="M1676" s="3" t="str">
        <f>IF(E1676, C1676 &amp; "|" &amp; H1676, "")</f>
        <v>principal-process-steward|StepExecutions</v>
      </c>
      <c r="N1676" s="2" t="s">
        <v>9938</v>
      </c>
    </row>
    <row r="1677">
      <c r="A1677" s="2" t="s">
        <v>11613</v>
      </c>
      <c r="B1677" s="3" t="str">
        <f>C1677 &amp; " -&gt; " &amp; D1677</f>
        <v>principal-process-steward -&gt; StepExecutions.ExpectedVerificationCount</v>
      </c>
      <c r="C1677" s="2" t="s">
        <v>9706</v>
      </c>
      <c r="D1677" s="2" t="s">
        <v>3550</v>
      </c>
      <c r="E1677" s="2" t="b">
        <v>1</v>
      </c>
      <c r="F1677" s="2" t="b">
        <v>0</v>
      </c>
      <c r="G1677" s="2" t="s">
        <v>9937</v>
      </c>
      <c r="H1677" s="3" t="str">
        <f>_xlfn.IFNA(INDEX(RulebookFields!C2:C999, MATCH(D1677,RulebookFields!A2:A999, 0)), "")</f>
        <v>StepExecutions</v>
      </c>
      <c r="I1677" s="3" t="str">
        <f>_xlfn.IFNA(INDEX(RulebookFields!D2:D999, MATCH(D1677,RulebookFields!A2:A999, 0)), "")</f>
        <v>ExpectedVerificationCount</v>
      </c>
      <c r="J1677" s="3" t="b">
        <f>_xlfn.IFNA(INDEX(RulebookFields!I2:I999, MATCH(D1677,RulebookFields!A2:A999, 0)), "")</f>
        <v>1</v>
      </c>
      <c r="K1677" s="3" t="b">
        <f>AND(F1677, J1677)</f>
        <v>0</v>
      </c>
      <c r="L1677" s="3" t="b">
        <f>AND(G1677 &lt;&gt; "plain", G1677 &lt;&gt; "")</f>
        <v>0</v>
      </c>
      <c r="M1677" s="3" t="str">
        <f>IF(E1677, C1677 &amp; "|" &amp; H1677, "")</f>
        <v>principal-process-steward|StepExecutions</v>
      </c>
      <c r="N1677" s="2" t="s">
        <v>9938</v>
      </c>
    </row>
    <row r="1678">
      <c r="A1678" s="2" t="s">
        <v>11614</v>
      </c>
      <c r="B1678" s="3" t="str">
        <f>C1678 &amp; " -&gt; " &amp; D1678</f>
        <v>principal-process-steward -&gt; StepExecutions.PerformedVerificationCount</v>
      </c>
      <c r="C1678" s="2" t="s">
        <v>9706</v>
      </c>
      <c r="D1678" s="2" t="s">
        <v>3552</v>
      </c>
      <c r="E1678" s="2" t="b">
        <v>1</v>
      </c>
      <c r="F1678" s="2" t="b">
        <v>0</v>
      </c>
      <c r="G1678" s="2" t="s">
        <v>9937</v>
      </c>
      <c r="H1678" s="3" t="str">
        <f>_xlfn.IFNA(INDEX(RulebookFields!C2:C999, MATCH(D1678,RulebookFields!A2:A999, 0)), "")</f>
        <v>StepExecutions</v>
      </c>
      <c r="I1678" s="3" t="str">
        <f>_xlfn.IFNA(INDEX(RulebookFields!D2:D999, MATCH(D1678,RulebookFields!A2:A999, 0)), "")</f>
        <v>PerformedVerificationCount</v>
      </c>
      <c r="J1678" s="3" t="b">
        <f>_xlfn.IFNA(INDEX(RulebookFields!I2:I999, MATCH(D1678,RulebookFields!A2:A999, 0)), "")</f>
        <v>1</v>
      </c>
      <c r="K1678" s="3" t="b">
        <f>AND(F1678, J1678)</f>
        <v>0</v>
      </c>
      <c r="L1678" s="3" t="b">
        <f>AND(G1678 &lt;&gt; "plain", G1678 &lt;&gt; "")</f>
        <v>0</v>
      </c>
      <c r="M1678" s="3" t="str">
        <f>IF(E1678, C1678 &amp; "|" &amp; H1678, "")</f>
        <v>principal-process-steward|StepExecutions</v>
      </c>
      <c r="N1678" s="2" t="s">
        <v>9938</v>
      </c>
    </row>
    <row r="1679">
      <c r="A1679" s="2" t="s">
        <v>11615</v>
      </c>
      <c r="B1679" s="3" t="str">
        <f>C1679 &amp; " -&gt; " &amp; D1679</f>
        <v>principal-process-steward -&gt; StepExecutions.SkippedVerificationCount</v>
      </c>
      <c r="C1679" s="2" t="s">
        <v>9706</v>
      </c>
      <c r="D1679" s="2" t="s">
        <v>3554</v>
      </c>
      <c r="E1679" s="2" t="b">
        <v>1</v>
      </c>
      <c r="F1679" s="2" t="b">
        <v>0</v>
      </c>
      <c r="G1679" s="2" t="s">
        <v>9937</v>
      </c>
      <c r="H1679" s="3" t="str">
        <f>_xlfn.IFNA(INDEX(RulebookFields!C2:C999, MATCH(D1679,RulebookFields!A2:A999, 0)), "")</f>
        <v>StepExecutions</v>
      </c>
      <c r="I1679" s="3" t="str">
        <f>_xlfn.IFNA(INDEX(RulebookFields!D2:D999, MATCH(D1679,RulebookFields!A2:A999, 0)), "")</f>
        <v>SkippedVerificationCount</v>
      </c>
      <c r="J1679" s="3" t="b">
        <f>_xlfn.IFNA(INDEX(RulebookFields!I2:I999, MATCH(D1679,RulebookFields!A2:A999, 0)), "")</f>
        <v>1</v>
      </c>
      <c r="K1679" s="3" t="b">
        <f>AND(F1679, J1679)</f>
        <v>0</v>
      </c>
      <c r="L1679" s="3" t="b">
        <f>AND(G1679 &lt;&gt; "plain", G1679 &lt;&gt; "")</f>
        <v>0</v>
      </c>
      <c r="M1679" s="3" t="str">
        <f>IF(E1679, C1679 &amp; "|" &amp; H1679, "")</f>
        <v>principal-process-steward|StepExecutions</v>
      </c>
      <c r="N1679" s="2" t="s">
        <v>9938</v>
      </c>
    </row>
    <row r="1680">
      <c r="A1680" s="2" t="s">
        <v>11616</v>
      </c>
      <c r="B1680" s="3" t="str">
        <f>C1680 &amp; " -&gt; " &amp; D1680</f>
        <v>principal-process-steward -&gt; StepExecutions.HasSkippedVerification</v>
      </c>
      <c r="C1680" s="2" t="s">
        <v>9706</v>
      </c>
      <c r="D1680" s="2" t="s">
        <v>3556</v>
      </c>
      <c r="E1680" s="2" t="b">
        <v>1</v>
      </c>
      <c r="F1680" s="2" t="b">
        <v>0</v>
      </c>
      <c r="G1680" s="2" t="s">
        <v>9937</v>
      </c>
      <c r="H1680" s="3" t="str">
        <f>_xlfn.IFNA(INDEX(RulebookFields!C2:C999, MATCH(D1680,RulebookFields!A2:A999, 0)), "")</f>
        <v>StepExecutions</v>
      </c>
      <c r="I1680" s="3" t="str">
        <f>_xlfn.IFNA(INDEX(RulebookFields!D2:D999, MATCH(D1680,RulebookFields!A2:A999, 0)), "")</f>
        <v>HasSkippedVerification</v>
      </c>
      <c r="J1680" s="3" t="b">
        <f>_xlfn.IFNA(INDEX(RulebookFields!I2:I999, MATCH(D1680,RulebookFields!A2:A999, 0)), "")</f>
        <v>1</v>
      </c>
      <c r="K1680" s="3" t="b">
        <f>AND(F1680, J1680)</f>
        <v>0</v>
      </c>
      <c r="L1680" s="3" t="b">
        <f>AND(G1680 &lt;&gt; "plain", G1680 &lt;&gt; "")</f>
        <v>0</v>
      </c>
      <c r="M1680" s="3" t="str">
        <f>IF(E1680, C1680 &amp; "|" &amp; H1680, "")</f>
        <v>principal-process-steward|StepExecutions</v>
      </c>
      <c r="N1680" s="2" t="s">
        <v>9938</v>
      </c>
    </row>
    <row r="1681">
      <c r="A1681" s="2" t="s">
        <v>11617</v>
      </c>
      <c r="B1681" s="3" t="str">
        <f>C1681 &amp; " -&gt; " &amp; D1681</f>
        <v>principal-process-steward -&gt; StepExecutions.ClaimsPassWithoutEvidence</v>
      </c>
      <c r="C1681" s="2" t="s">
        <v>9706</v>
      </c>
      <c r="D1681" s="2" t="s">
        <v>3558</v>
      </c>
      <c r="E1681" s="2" t="b">
        <v>1</v>
      </c>
      <c r="F1681" s="2" t="b">
        <v>0</v>
      </c>
      <c r="G1681" s="2" t="s">
        <v>9937</v>
      </c>
      <c r="H1681" s="3" t="str">
        <f>_xlfn.IFNA(INDEX(RulebookFields!C2:C999, MATCH(D1681,RulebookFields!A2:A999, 0)), "")</f>
        <v>StepExecutions</v>
      </c>
      <c r="I1681" s="3" t="str">
        <f>_xlfn.IFNA(INDEX(RulebookFields!D2:D999, MATCH(D1681,RulebookFields!A2:A999, 0)), "")</f>
        <v>ClaimsPassWithoutEvidence</v>
      </c>
      <c r="J1681" s="3" t="b">
        <f>_xlfn.IFNA(INDEX(RulebookFields!I2:I999, MATCH(D1681,RulebookFields!A2:A999, 0)), "")</f>
        <v>1</v>
      </c>
      <c r="K1681" s="3" t="b">
        <f>AND(F1681, J1681)</f>
        <v>0</v>
      </c>
      <c r="L1681" s="3" t="b">
        <f>AND(G1681 &lt;&gt; "plain", G1681 &lt;&gt; "")</f>
        <v>0</v>
      </c>
      <c r="M1681" s="3" t="str">
        <f>IF(E1681, C1681 &amp; "|" &amp; H1681, "")</f>
        <v>principal-process-steward|StepExecutions</v>
      </c>
      <c r="N1681" s="2" t="s">
        <v>9938</v>
      </c>
    </row>
    <row r="1682">
      <c r="A1682" s="2" t="s">
        <v>11618</v>
      </c>
      <c r="B1682" s="3" t="str">
        <f>C1682 &amp; " -&gt; " &amp; D1682</f>
        <v>principal-process-steward -&gt; StepExecutions.StepIsPreparation</v>
      </c>
      <c r="C1682" s="2" t="s">
        <v>9706</v>
      </c>
      <c r="D1682" s="2" t="s">
        <v>3560</v>
      </c>
      <c r="E1682" s="2" t="b">
        <v>1</v>
      </c>
      <c r="F1682" s="2" t="b">
        <v>0</v>
      </c>
      <c r="G1682" s="2" t="s">
        <v>9937</v>
      </c>
      <c r="H1682" s="3" t="str">
        <f>_xlfn.IFNA(INDEX(RulebookFields!C2:C999, MATCH(D1682,RulebookFields!A2:A999, 0)), "")</f>
        <v>StepExecutions</v>
      </c>
      <c r="I1682" s="3" t="str">
        <f>_xlfn.IFNA(INDEX(RulebookFields!D2:D999, MATCH(D1682,RulebookFields!A2:A999, 0)), "")</f>
        <v>StepIsPreparation</v>
      </c>
      <c r="J1682" s="3" t="b">
        <f>_xlfn.IFNA(INDEX(RulebookFields!I2:I999, MATCH(D1682,RulebookFields!A2:A999, 0)), "")</f>
        <v>1</v>
      </c>
      <c r="K1682" s="3" t="b">
        <f>AND(F1682, J1682)</f>
        <v>0</v>
      </c>
      <c r="L1682" s="3" t="b">
        <f>AND(G1682 &lt;&gt; "plain", G1682 &lt;&gt; "")</f>
        <v>0</v>
      </c>
      <c r="M1682" s="3" t="str">
        <f>IF(E1682, C1682 &amp; "|" &amp; H1682, "")</f>
        <v>principal-process-steward|StepExecutions</v>
      </c>
      <c r="N1682" s="2" t="s">
        <v>9938</v>
      </c>
    </row>
    <row r="1683">
      <c r="A1683" s="2" t="s">
        <v>11619</v>
      </c>
      <c r="B1683" s="3" t="str">
        <f>C1683 &amp; " -&gt; " &amp; D1683</f>
        <v>principal-process-steward -&gt; StepExecutions.StepIsApproval</v>
      </c>
      <c r="C1683" s="2" t="s">
        <v>9706</v>
      </c>
      <c r="D1683" s="2" t="s">
        <v>3562</v>
      </c>
      <c r="E1683" s="2" t="b">
        <v>1</v>
      </c>
      <c r="F1683" s="2" t="b">
        <v>0</v>
      </c>
      <c r="G1683" s="2" t="s">
        <v>9937</v>
      </c>
      <c r="H1683" s="3" t="str">
        <f>_xlfn.IFNA(INDEX(RulebookFields!C2:C999, MATCH(D1683,RulebookFields!A2:A999, 0)), "")</f>
        <v>StepExecutions</v>
      </c>
      <c r="I1683" s="3" t="str">
        <f>_xlfn.IFNA(INDEX(RulebookFields!D2:D999, MATCH(D1683,RulebookFields!A2:A999, 0)), "")</f>
        <v>StepIsApproval</v>
      </c>
      <c r="J1683" s="3" t="b">
        <f>_xlfn.IFNA(INDEX(RulebookFields!I2:I999, MATCH(D1683,RulebookFields!A2:A999, 0)), "")</f>
        <v>1</v>
      </c>
      <c r="K1683" s="3" t="b">
        <f>AND(F1683, J1683)</f>
        <v>0</v>
      </c>
      <c r="L1683" s="3" t="b">
        <f>AND(G1683 &lt;&gt; "plain", G1683 &lt;&gt; "")</f>
        <v>0</v>
      </c>
      <c r="M1683" s="3" t="str">
        <f>IF(E1683, C1683 &amp; "|" &amp; H1683, "")</f>
        <v>principal-process-steward|StepExecutions</v>
      </c>
      <c r="N1683" s="2" t="s">
        <v>9938</v>
      </c>
    </row>
    <row r="1684">
      <c r="A1684" s="2" t="s">
        <v>11620</v>
      </c>
      <c r="B1684" s="3" t="str">
        <f>C1684 &amp; " -&gt; " &amp; D1684</f>
        <v>principal-process-steward -&gt; StepExecutions.PreparerAgentKey</v>
      </c>
      <c r="C1684" s="2" t="s">
        <v>9706</v>
      </c>
      <c r="D1684" s="2" t="s">
        <v>3564</v>
      </c>
      <c r="E1684" s="2" t="b">
        <v>1</v>
      </c>
      <c r="F1684" s="2" t="b">
        <v>0</v>
      </c>
      <c r="G1684" s="2" t="s">
        <v>9937</v>
      </c>
      <c r="H1684" s="3" t="str">
        <f>_xlfn.IFNA(INDEX(RulebookFields!C2:C999, MATCH(D1684,RulebookFields!A2:A999, 0)), "")</f>
        <v>StepExecutions</v>
      </c>
      <c r="I1684" s="3" t="str">
        <f>_xlfn.IFNA(INDEX(RulebookFields!D2:D999, MATCH(D1684,RulebookFields!A2:A999, 0)), "")</f>
        <v>PreparerAgentKey</v>
      </c>
      <c r="J1684" s="3" t="b">
        <f>_xlfn.IFNA(INDEX(RulebookFields!I2:I999, MATCH(D1684,RulebookFields!A2:A999, 0)), "")</f>
        <v>1</v>
      </c>
      <c r="K1684" s="3" t="b">
        <f>AND(F1684, J1684)</f>
        <v>0</v>
      </c>
      <c r="L1684" s="3" t="b">
        <f>AND(G1684 &lt;&gt; "plain", G1684 &lt;&gt; "")</f>
        <v>0</v>
      </c>
      <c r="M1684" s="3" t="str">
        <f>IF(E1684, C1684 &amp; "|" &amp; H1684, "")</f>
        <v>principal-process-steward|StepExecutions</v>
      </c>
      <c r="N1684" s="2" t="s">
        <v>9938</v>
      </c>
    </row>
    <row r="1685">
      <c r="A1685" s="2" t="s">
        <v>11621</v>
      </c>
      <c r="B1685" s="3" t="str">
        <f>C1685 &amp; " -&gt; " &amp; D1685</f>
        <v>principal-process-steward -&gt; StepExecutions.ApproverAgentKey</v>
      </c>
      <c r="C1685" s="2" t="s">
        <v>9706</v>
      </c>
      <c r="D1685" s="2" t="s">
        <v>3566</v>
      </c>
      <c r="E1685" s="2" t="b">
        <v>1</v>
      </c>
      <c r="F1685" s="2" t="b">
        <v>0</v>
      </c>
      <c r="G1685" s="2" t="s">
        <v>9937</v>
      </c>
      <c r="H1685" s="3" t="str">
        <f>_xlfn.IFNA(INDEX(RulebookFields!C2:C999, MATCH(D1685,RulebookFields!A2:A999, 0)), "")</f>
        <v>StepExecutions</v>
      </c>
      <c r="I1685" s="3" t="str">
        <f>_xlfn.IFNA(INDEX(RulebookFields!D2:D999, MATCH(D1685,RulebookFields!A2:A999, 0)), "")</f>
        <v>ApproverAgentKey</v>
      </c>
      <c r="J1685" s="3" t="b">
        <f>_xlfn.IFNA(INDEX(RulebookFields!I2:I999, MATCH(D1685,RulebookFields!A2:A999, 0)), "")</f>
        <v>1</v>
      </c>
      <c r="K1685" s="3" t="b">
        <f>AND(F1685, J1685)</f>
        <v>0</v>
      </c>
      <c r="L1685" s="3" t="b">
        <f>AND(G1685 &lt;&gt; "plain", G1685 &lt;&gt; "")</f>
        <v>0</v>
      </c>
      <c r="M1685" s="3" t="str">
        <f>IF(E1685, C1685 &amp; "|" &amp; H1685, "")</f>
        <v>principal-process-steward|StepExecutions</v>
      </c>
      <c r="N1685" s="2" t="s">
        <v>9938</v>
      </c>
    </row>
    <row r="1686">
      <c r="A1686" s="2" t="s">
        <v>11622</v>
      </c>
      <c r="B1686" s="3" t="str">
        <f>C1686 &amp; " -&gt; " &amp; D1686</f>
        <v>principal-process-steward -&gt; StepExecutions.PreparedByThisAgentCount</v>
      </c>
      <c r="C1686" s="2" t="s">
        <v>9706</v>
      </c>
      <c r="D1686" s="2" t="s">
        <v>3568</v>
      </c>
      <c r="E1686" s="2" t="b">
        <v>1</v>
      </c>
      <c r="F1686" s="2" t="b">
        <v>0</v>
      </c>
      <c r="G1686" s="2" t="s">
        <v>9937</v>
      </c>
      <c r="H1686" s="3" t="str">
        <f>_xlfn.IFNA(INDEX(RulebookFields!C2:C999, MATCH(D1686,RulebookFields!A2:A999, 0)), "")</f>
        <v>StepExecutions</v>
      </c>
      <c r="I1686" s="3" t="str">
        <f>_xlfn.IFNA(INDEX(RulebookFields!D2:D999, MATCH(D1686,RulebookFields!A2:A999, 0)), "")</f>
        <v>PreparedByThisAgentCount</v>
      </c>
      <c r="J1686" s="3" t="b">
        <f>_xlfn.IFNA(INDEX(RulebookFields!I2:I999, MATCH(D1686,RulebookFields!A2:A999, 0)), "")</f>
        <v>1</v>
      </c>
      <c r="K1686" s="3" t="b">
        <f>AND(F1686, J1686)</f>
        <v>0</v>
      </c>
      <c r="L1686" s="3" t="b">
        <f>AND(G1686 &lt;&gt; "plain", G1686 &lt;&gt; "")</f>
        <v>0</v>
      </c>
      <c r="M1686" s="3" t="str">
        <f>IF(E1686, C1686 &amp; "|" &amp; H1686, "")</f>
        <v>principal-process-steward|StepExecutions</v>
      </c>
      <c r="N1686" s="2" t="s">
        <v>9938</v>
      </c>
    </row>
    <row r="1687">
      <c r="A1687" s="2" t="s">
        <v>11623</v>
      </c>
      <c r="B1687" s="3" t="str">
        <f>C1687 &amp; " -&gt; " &amp; D1687</f>
        <v>principal-process-steward -&gt; StepExecutions.ViolatesSeparationOfDuties</v>
      </c>
      <c r="C1687" s="2" t="s">
        <v>9706</v>
      </c>
      <c r="D1687" s="2" t="s">
        <v>838</v>
      </c>
      <c r="E1687" s="2" t="b">
        <v>1</v>
      </c>
      <c r="F1687" s="2" t="b">
        <v>0</v>
      </c>
      <c r="G1687" s="2" t="s">
        <v>9937</v>
      </c>
      <c r="H1687" s="3" t="str">
        <f>_xlfn.IFNA(INDEX(RulebookFields!C2:C999, MATCH(D1687,RulebookFields!A2:A999, 0)), "")</f>
        <v>StepExecutions</v>
      </c>
      <c r="I1687" s="3" t="str">
        <f>_xlfn.IFNA(INDEX(RulebookFields!D2:D999, MATCH(D1687,RulebookFields!A2:A999, 0)), "")</f>
        <v>ViolatesSeparationOfDuties</v>
      </c>
      <c r="J1687" s="3" t="b">
        <f>_xlfn.IFNA(INDEX(RulebookFields!I2:I999, MATCH(D1687,RulebookFields!A2:A999, 0)), "")</f>
        <v>1</v>
      </c>
      <c r="K1687" s="3" t="b">
        <f>AND(F1687, J1687)</f>
        <v>0</v>
      </c>
      <c r="L1687" s="3" t="b">
        <f>AND(G1687 &lt;&gt; "plain", G1687 &lt;&gt; "")</f>
        <v>0</v>
      </c>
      <c r="M1687" s="3" t="str">
        <f>IF(E1687, C1687 &amp; "|" &amp; H1687, "")</f>
        <v>principal-process-steward|StepExecutions</v>
      </c>
      <c r="N1687" s="2" t="s">
        <v>9938</v>
      </c>
    </row>
    <row r="1688">
      <c r="A1688" s="2" t="s">
        <v>11624</v>
      </c>
      <c r="B1688" s="3" t="str">
        <f>C1688 &amp; " -&gt; " &amp; D1688</f>
        <v>principal-process-steward -&gt; StepExecutions.RequiredRoleForStep</v>
      </c>
      <c r="C1688" s="2" t="s">
        <v>9706</v>
      </c>
      <c r="D1688" s="2" t="s">
        <v>3571</v>
      </c>
      <c r="E1688" s="2" t="b">
        <v>1</v>
      </c>
      <c r="F1688" s="2" t="b">
        <v>0</v>
      </c>
      <c r="G1688" s="2" t="s">
        <v>9937</v>
      </c>
      <c r="H1688" s="3" t="str">
        <f>_xlfn.IFNA(INDEX(RulebookFields!C2:C999, MATCH(D1688,RulebookFields!A2:A999, 0)), "")</f>
        <v>StepExecutions</v>
      </c>
      <c r="I1688" s="3" t="str">
        <f>_xlfn.IFNA(INDEX(RulebookFields!D2:D999, MATCH(D1688,RulebookFields!A2:A999, 0)), "")</f>
        <v>RequiredRoleForStep</v>
      </c>
      <c r="J1688" s="3" t="b">
        <f>_xlfn.IFNA(INDEX(RulebookFields!I2:I999, MATCH(D1688,RulebookFields!A2:A999, 0)), "")</f>
        <v>1</v>
      </c>
      <c r="K1688" s="3" t="b">
        <f>AND(F1688, J1688)</f>
        <v>0</v>
      </c>
      <c r="L1688" s="3" t="b">
        <f>AND(G1688 &lt;&gt; "plain", G1688 &lt;&gt; "")</f>
        <v>0</v>
      </c>
      <c r="M1688" s="3" t="str">
        <f>IF(E1688, C1688 &amp; "|" &amp; H1688, "")</f>
        <v>principal-process-steward|StepExecutions</v>
      </c>
      <c r="N1688" s="2" t="s">
        <v>9938</v>
      </c>
    </row>
    <row r="1689">
      <c r="A1689" s="2" t="s">
        <v>11625</v>
      </c>
      <c r="B1689" s="3" t="str">
        <f>C1689 &amp; " -&gt; " &amp; D1689</f>
        <v>principal-process-steward -&gt; StepExecutions.ExecutorRoleKey</v>
      </c>
      <c r="C1689" s="2" t="s">
        <v>9706</v>
      </c>
      <c r="D1689" s="2" t="s">
        <v>3573</v>
      </c>
      <c r="E1689" s="2" t="b">
        <v>1</v>
      </c>
      <c r="F1689" s="2" t="b">
        <v>0</v>
      </c>
      <c r="G1689" s="2" t="s">
        <v>9937</v>
      </c>
      <c r="H1689" s="3" t="str">
        <f>_xlfn.IFNA(INDEX(RulebookFields!C2:C999, MATCH(D1689,RulebookFields!A2:A999, 0)), "")</f>
        <v>StepExecutions</v>
      </c>
      <c r="I1689" s="3" t="str">
        <f>_xlfn.IFNA(INDEX(RulebookFields!D2:D999, MATCH(D1689,RulebookFields!A2:A999, 0)), "")</f>
        <v>ExecutorRoleKey</v>
      </c>
      <c r="J1689" s="3" t="b">
        <f>_xlfn.IFNA(INDEX(RulebookFields!I2:I999, MATCH(D1689,RulebookFields!A2:A999, 0)), "")</f>
        <v>1</v>
      </c>
      <c r="K1689" s="3" t="b">
        <f>AND(F1689, J1689)</f>
        <v>0</v>
      </c>
      <c r="L1689" s="3" t="b">
        <f>AND(G1689 &lt;&gt; "plain", G1689 &lt;&gt; "")</f>
        <v>0</v>
      </c>
      <c r="M1689" s="3" t="str">
        <f>IF(E1689, C1689 &amp; "|" &amp; H1689, "")</f>
        <v>principal-process-steward|StepExecutions</v>
      </c>
      <c r="N1689" s="2" t="s">
        <v>9938</v>
      </c>
    </row>
    <row r="1690">
      <c r="A1690" s="2" t="s">
        <v>11626</v>
      </c>
      <c r="B1690" s="3" t="str">
        <f>C1690 &amp; " -&gt; " &amp; D1690</f>
        <v>principal-process-steward -&gt; StepExecutions.ExecutorAuthorityCount</v>
      </c>
      <c r="C1690" s="2" t="s">
        <v>9706</v>
      </c>
      <c r="D1690" s="2" t="s">
        <v>3575</v>
      </c>
      <c r="E1690" s="2" t="b">
        <v>1</v>
      </c>
      <c r="F1690" s="2" t="b">
        <v>0</v>
      </c>
      <c r="G1690" s="2" t="s">
        <v>9937</v>
      </c>
      <c r="H1690" s="3" t="str">
        <f>_xlfn.IFNA(INDEX(RulebookFields!C2:C999, MATCH(D1690,RulebookFields!A2:A999, 0)), "")</f>
        <v>StepExecutions</v>
      </c>
      <c r="I1690" s="3" t="str">
        <f>_xlfn.IFNA(INDEX(RulebookFields!D2:D999, MATCH(D1690,RulebookFields!A2:A999, 0)), "")</f>
        <v>ExecutorAuthorityCount</v>
      </c>
      <c r="J1690" s="3" t="b">
        <f>_xlfn.IFNA(INDEX(RulebookFields!I2:I999, MATCH(D1690,RulebookFields!A2:A999, 0)), "")</f>
        <v>1</v>
      </c>
      <c r="K1690" s="3" t="b">
        <f>AND(F1690, J1690)</f>
        <v>0</v>
      </c>
      <c r="L1690" s="3" t="b">
        <f>AND(G1690 &lt;&gt; "plain", G1690 &lt;&gt; "")</f>
        <v>0</v>
      </c>
      <c r="M1690" s="3" t="str">
        <f>IF(E1690, C1690 &amp; "|" &amp; H1690, "")</f>
        <v>principal-process-steward|StepExecutions</v>
      </c>
      <c r="N1690" s="2" t="s">
        <v>9938</v>
      </c>
    </row>
    <row r="1691">
      <c r="A1691" s="2" t="s">
        <v>11627</v>
      </c>
      <c r="B1691" s="3" t="str">
        <f>C1691 &amp; " -&gt; " &amp; D1691</f>
        <v>principal-process-steward -&gt; StepExecutions.ExecutorHeldRequiredRole</v>
      </c>
      <c r="C1691" s="2" t="s">
        <v>9706</v>
      </c>
      <c r="D1691" s="2" t="s">
        <v>3577</v>
      </c>
      <c r="E1691" s="2" t="b">
        <v>1</v>
      </c>
      <c r="F1691" s="2" t="b">
        <v>0</v>
      </c>
      <c r="G1691" s="2" t="s">
        <v>9937</v>
      </c>
      <c r="H1691" s="3" t="str">
        <f>_xlfn.IFNA(INDEX(RulebookFields!C2:C999, MATCH(D1691,RulebookFields!A2:A999, 0)), "")</f>
        <v>StepExecutions</v>
      </c>
      <c r="I1691" s="3" t="str">
        <f>_xlfn.IFNA(INDEX(RulebookFields!D2:D999, MATCH(D1691,RulebookFields!A2:A999, 0)), "")</f>
        <v>ExecutorHeldRequiredRole</v>
      </c>
      <c r="J1691" s="3" t="b">
        <f>_xlfn.IFNA(INDEX(RulebookFields!I2:I999, MATCH(D1691,RulebookFields!A2:A999, 0)), "")</f>
        <v>1</v>
      </c>
      <c r="K1691" s="3" t="b">
        <f>AND(F1691, J1691)</f>
        <v>0</v>
      </c>
      <c r="L1691" s="3" t="b">
        <f>AND(G1691 &lt;&gt; "plain", G1691 &lt;&gt; "")</f>
        <v>0</v>
      </c>
      <c r="M1691" s="3" t="str">
        <f>IF(E1691, C1691 &amp; "|" &amp; H1691, "")</f>
        <v>principal-process-steward|StepExecutions</v>
      </c>
      <c r="N1691" s="2" t="s">
        <v>9938</v>
      </c>
    </row>
    <row r="1692">
      <c r="A1692" s="2" t="s">
        <v>11628</v>
      </c>
      <c r="B1692" s="3" t="str">
        <f>C1692 &amp; " -&gt; " &amp; D1692</f>
        <v>principal-process-steward -&gt; StepExecutions.IsUnauthorizedApproval</v>
      </c>
      <c r="C1692" s="2" t="s">
        <v>9706</v>
      </c>
      <c r="D1692" s="2" t="s">
        <v>3579</v>
      </c>
      <c r="E1692" s="2" t="b">
        <v>1</v>
      </c>
      <c r="F1692" s="2" t="b">
        <v>0</v>
      </c>
      <c r="G1692" s="2" t="s">
        <v>9937</v>
      </c>
      <c r="H1692" s="3" t="str">
        <f>_xlfn.IFNA(INDEX(RulebookFields!C2:C999, MATCH(D1692,RulebookFields!A2:A999, 0)), "")</f>
        <v>StepExecutions</v>
      </c>
      <c r="I1692" s="3" t="str">
        <f>_xlfn.IFNA(INDEX(RulebookFields!D2:D999, MATCH(D1692,RulebookFields!A2:A999, 0)), "")</f>
        <v>IsUnauthorizedApproval</v>
      </c>
      <c r="J1692" s="3" t="b">
        <f>_xlfn.IFNA(INDEX(RulebookFields!I2:I999, MATCH(D1692,RulebookFields!A2:A999, 0)), "")</f>
        <v>1</v>
      </c>
      <c r="K1692" s="3" t="b">
        <f>AND(F1692, J1692)</f>
        <v>0</v>
      </c>
      <c r="L1692" s="3" t="b">
        <f>AND(G1692 &lt;&gt; "plain", G1692 &lt;&gt; "")</f>
        <v>0</v>
      </c>
      <c r="M1692" s="3" t="str">
        <f>IF(E1692, C1692 &amp; "|" &amp; H1692, "")</f>
        <v>principal-process-steward|StepExecutions</v>
      </c>
      <c r="N1692" s="2" t="s">
        <v>9938</v>
      </c>
    </row>
    <row r="1693">
      <c r="A1693" s="2" t="s">
        <v>11629</v>
      </c>
      <c r="B1693" s="3" t="str">
        <f>C1693 &amp; " -&gt; " &amp; D1693</f>
        <v>principal-process-steward -&gt; StepExecutions.CompletedExecutionKey</v>
      </c>
      <c r="C1693" s="2" t="s">
        <v>9706</v>
      </c>
      <c r="D1693" s="2" t="s">
        <v>3581</v>
      </c>
      <c r="E1693" s="2" t="b">
        <v>1</v>
      </c>
      <c r="F1693" s="2" t="b">
        <v>0</v>
      </c>
      <c r="G1693" s="2" t="s">
        <v>9937</v>
      </c>
      <c r="H1693" s="3" t="str">
        <f>_xlfn.IFNA(INDEX(RulebookFields!C2:C999, MATCH(D1693,RulebookFields!A2:A999, 0)), "")</f>
        <v>StepExecutions</v>
      </c>
      <c r="I1693" s="3" t="str">
        <f>_xlfn.IFNA(INDEX(RulebookFields!D2:D999, MATCH(D1693,RulebookFields!A2:A999, 0)), "")</f>
        <v>CompletedExecutionKey</v>
      </c>
      <c r="J1693" s="3" t="b">
        <f>_xlfn.IFNA(INDEX(RulebookFields!I2:I999, MATCH(D1693,RulebookFields!A2:A999, 0)), "")</f>
        <v>1</v>
      </c>
      <c r="K1693" s="3" t="b">
        <f>AND(F1693, J1693)</f>
        <v>0</v>
      </c>
      <c r="L1693" s="3" t="b">
        <f>AND(G1693 &lt;&gt; "plain", G1693 &lt;&gt; "")</f>
        <v>0</v>
      </c>
      <c r="M1693" s="3" t="str">
        <f>IF(E1693, C1693 &amp; "|" &amp; H1693, "")</f>
        <v>principal-process-steward|StepExecutions</v>
      </c>
      <c r="N1693" s="2" t="s">
        <v>9938</v>
      </c>
    </row>
    <row r="1694">
      <c r="A1694" s="2" t="s">
        <v>11630</v>
      </c>
      <c r="B1694" s="3" t="str">
        <f>C1694 &amp; " -&gt; " &amp; D1694</f>
        <v>principal-process-steward -&gt; StepExecutions.ControlBreachExecutionKey</v>
      </c>
      <c r="C1694" s="2" t="s">
        <v>9706</v>
      </c>
      <c r="D1694" s="2" t="s">
        <v>3583</v>
      </c>
      <c r="E1694" s="2" t="b">
        <v>1</v>
      </c>
      <c r="F1694" s="2" t="b">
        <v>0</v>
      </c>
      <c r="G1694" s="2" t="s">
        <v>9937</v>
      </c>
      <c r="H1694" s="3" t="str">
        <f>_xlfn.IFNA(INDEX(RulebookFields!C2:C999, MATCH(D1694,RulebookFields!A2:A999, 0)), "")</f>
        <v>StepExecutions</v>
      </c>
      <c r="I1694" s="3" t="str">
        <f>_xlfn.IFNA(INDEX(RulebookFields!D2:D999, MATCH(D1694,RulebookFields!A2:A999, 0)), "")</f>
        <v>ControlBreachExecutionKey</v>
      </c>
      <c r="J1694" s="3" t="b">
        <f>_xlfn.IFNA(INDEX(RulebookFields!I2:I999, MATCH(D1694,RulebookFields!A2:A999, 0)), "")</f>
        <v>1</v>
      </c>
      <c r="K1694" s="3" t="b">
        <f>AND(F1694, J1694)</f>
        <v>0</v>
      </c>
      <c r="L1694" s="3" t="b">
        <f>AND(G1694 &lt;&gt; "plain", G1694 &lt;&gt; "")</f>
        <v>0</v>
      </c>
      <c r="M1694" s="3" t="str">
        <f>IF(E1694, C1694 &amp; "|" &amp; H1694, "")</f>
        <v>principal-process-steward|StepExecutions</v>
      </c>
      <c r="N1694" s="2" t="s">
        <v>9938</v>
      </c>
    </row>
    <row r="1695">
      <c r="A1695" s="2" t="s">
        <v>11631</v>
      </c>
      <c r="B1695" s="3" t="str">
        <f>C1695 &amp; " -&gt; " &amp; D1695</f>
        <v>principal-process-steward -&gt; StepExecutions.LateExecutionKey</v>
      </c>
      <c r="C1695" s="2" t="s">
        <v>9706</v>
      </c>
      <c r="D1695" s="2" t="s">
        <v>3585</v>
      </c>
      <c r="E1695" s="2" t="b">
        <v>1</v>
      </c>
      <c r="F1695" s="2" t="b">
        <v>0</v>
      </c>
      <c r="G1695" s="2" t="s">
        <v>9937</v>
      </c>
      <c r="H1695" s="3" t="str">
        <f>_xlfn.IFNA(INDEX(RulebookFields!C2:C999, MATCH(D1695,RulebookFields!A2:A999, 0)), "")</f>
        <v>StepExecutions</v>
      </c>
      <c r="I1695" s="3" t="str">
        <f>_xlfn.IFNA(INDEX(RulebookFields!D2:D999, MATCH(D1695,RulebookFields!A2:A999, 0)), "")</f>
        <v>LateExecutionKey</v>
      </c>
      <c r="J1695" s="3" t="b">
        <f>_xlfn.IFNA(INDEX(RulebookFields!I2:I999, MATCH(D1695,RulebookFields!A2:A999, 0)), "")</f>
        <v>1</v>
      </c>
      <c r="K1695" s="3" t="b">
        <f>AND(F1695, J1695)</f>
        <v>0</v>
      </c>
      <c r="L1695" s="3" t="b">
        <f>AND(G1695 &lt;&gt; "plain", G1695 &lt;&gt; "")</f>
        <v>0</v>
      </c>
      <c r="M1695" s="3" t="str">
        <f>IF(E1695, C1695 &amp; "|" &amp; H1695, "")</f>
        <v>principal-process-steward|StepExecutions</v>
      </c>
      <c r="N1695" s="2" t="s">
        <v>9938</v>
      </c>
    </row>
    <row r="1696">
      <c r="A1696" s="2" t="s">
        <v>11632</v>
      </c>
      <c r="B1696" s="3" t="str">
        <f>C1696 &amp; " -&gt; " &amp; D1696</f>
        <v>principal-process-steward -&gt; StepExecutions.ExecutorAgentKind</v>
      </c>
      <c r="C1696" s="2" t="s">
        <v>9706</v>
      </c>
      <c r="D1696" s="2" t="s">
        <v>3587</v>
      </c>
      <c r="E1696" s="2" t="b">
        <v>1</v>
      </c>
      <c r="F1696" s="2" t="b">
        <v>0</v>
      </c>
      <c r="G1696" s="2" t="s">
        <v>9937</v>
      </c>
      <c r="H1696" s="3" t="str">
        <f>_xlfn.IFNA(INDEX(RulebookFields!C2:C999, MATCH(D1696,RulebookFields!A2:A999, 0)), "")</f>
        <v>StepExecutions</v>
      </c>
      <c r="I1696" s="3" t="str">
        <f>_xlfn.IFNA(INDEX(RulebookFields!D2:D999, MATCH(D1696,RulebookFields!A2:A999, 0)), "")</f>
        <v>ExecutorAgentKind</v>
      </c>
      <c r="J1696" s="3" t="b">
        <f>_xlfn.IFNA(INDEX(RulebookFields!I2:I999, MATCH(D1696,RulebookFields!A2:A999, 0)), "")</f>
        <v>1</v>
      </c>
      <c r="K1696" s="3" t="b">
        <f>AND(F1696, J1696)</f>
        <v>0</v>
      </c>
      <c r="L1696" s="3" t="b">
        <f>AND(G1696 &lt;&gt; "plain", G1696 &lt;&gt; "")</f>
        <v>0</v>
      </c>
      <c r="M1696" s="3" t="str">
        <f>IF(E1696, C1696 &amp; "|" &amp; H1696, "")</f>
        <v>principal-process-steward|StepExecutions</v>
      </c>
      <c r="N1696" s="2" t="s">
        <v>9938</v>
      </c>
    </row>
    <row r="1697">
      <c r="A1697" s="2" t="s">
        <v>11633</v>
      </c>
      <c r="B1697" s="3" t="str">
        <f>C1697 &amp; " -&gt; " &amp; D1697</f>
        <v>principal-process-steward -&gt; StepExecutions.ExecutorIsHuman</v>
      </c>
      <c r="C1697" s="2" t="s">
        <v>9706</v>
      </c>
      <c r="D1697" s="2" t="s">
        <v>3589</v>
      </c>
      <c r="E1697" s="2" t="b">
        <v>1</v>
      </c>
      <c r="F1697" s="2" t="b">
        <v>0</v>
      </c>
      <c r="G1697" s="2" t="s">
        <v>9937</v>
      </c>
      <c r="H1697" s="3" t="str">
        <f>_xlfn.IFNA(INDEX(RulebookFields!C2:C999, MATCH(D1697,RulebookFields!A2:A999, 0)), "")</f>
        <v>StepExecutions</v>
      </c>
      <c r="I1697" s="3" t="str">
        <f>_xlfn.IFNA(INDEX(RulebookFields!D2:D999, MATCH(D1697,RulebookFields!A2:A999, 0)), "")</f>
        <v>ExecutorIsHuman</v>
      </c>
      <c r="J1697" s="3" t="b">
        <f>_xlfn.IFNA(INDEX(RulebookFields!I2:I999, MATCH(D1697,RulebookFields!A2:A999, 0)), "")</f>
        <v>1</v>
      </c>
      <c r="K1697" s="3" t="b">
        <f>AND(F1697, J1697)</f>
        <v>0</v>
      </c>
      <c r="L1697" s="3" t="b">
        <f>AND(G1697 &lt;&gt; "plain", G1697 &lt;&gt; "")</f>
        <v>0</v>
      </c>
      <c r="M1697" s="3" t="str">
        <f>IF(E1697, C1697 &amp; "|" &amp; H1697, "")</f>
        <v>principal-process-steward|StepExecutions</v>
      </c>
      <c r="N1697" s="2" t="s">
        <v>9938</v>
      </c>
    </row>
    <row r="1698">
      <c r="A1698" s="2" t="s">
        <v>11634</v>
      </c>
      <c r="B1698" s="3" t="str">
        <f>C1698 &amp; " -&gt; " &amp; D1698</f>
        <v>principal-process-steward -&gt; StepExecutions.StepRequiresHumanConfirmation</v>
      </c>
      <c r="C1698" s="2" t="s">
        <v>9706</v>
      </c>
      <c r="D1698" s="2" t="s">
        <v>3591</v>
      </c>
      <c r="E1698" s="2" t="b">
        <v>1</v>
      </c>
      <c r="F1698" s="2" t="b">
        <v>0</v>
      </c>
      <c r="G1698" s="2" t="s">
        <v>9937</v>
      </c>
      <c r="H1698" s="3" t="str">
        <f>_xlfn.IFNA(INDEX(RulebookFields!C2:C999, MATCH(D1698,RulebookFields!A2:A999, 0)), "")</f>
        <v>StepExecutions</v>
      </c>
      <c r="I1698" s="3" t="str">
        <f>_xlfn.IFNA(INDEX(RulebookFields!D2:D999, MATCH(D1698,RulebookFields!A2:A999, 0)), "")</f>
        <v>StepRequiresHumanConfirmation</v>
      </c>
      <c r="J1698" s="3" t="b">
        <f>_xlfn.IFNA(INDEX(RulebookFields!I2:I999, MATCH(D1698,RulebookFields!A2:A999, 0)), "")</f>
        <v>1</v>
      </c>
      <c r="K1698" s="3" t="b">
        <f>AND(F1698, J1698)</f>
        <v>0</v>
      </c>
      <c r="L1698" s="3" t="b">
        <f>AND(G1698 &lt;&gt; "plain", G1698 &lt;&gt; "")</f>
        <v>0</v>
      </c>
      <c r="M1698" s="3" t="str">
        <f>IF(E1698, C1698 &amp; "|" &amp; H1698, "")</f>
        <v>principal-process-steward|StepExecutions</v>
      </c>
      <c r="N1698" s="2" t="s">
        <v>9938</v>
      </c>
    </row>
    <row r="1699">
      <c r="A1699" s="2" t="s">
        <v>11635</v>
      </c>
      <c r="B1699" s="3" t="str">
        <f>C1699 &amp; " -&gt; " &amp; D1699</f>
        <v>principal-process-steward -&gt; StepExecutions.NonHumanRanHumanStep</v>
      </c>
      <c r="C1699" s="2" t="s">
        <v>9706</v>
      </c>
      <c r="D1699" s="2" t="s">
        <v>3593</v>
      </c>
      <c r="E1699" s="2" t="b">
        <v>1</v>
      </c>
      <c r="F1699" s="2" t="b">
        <v>0</v>
      </c>
      <c r="G1699" s="2" t="s">
        <v>9937</v>
      </c>
      <c r="H1699" s="3" t="str">
        <f>_xlfn.IFNA(INDEX(RulebookFields!C2:C999, MATCH(D1699,RulebookFields!A2:A999, 0)), "")</f>
        <v>StepExecutions</v>
      </c>
      <c r="I1699" s="3" t="str">
        <f>_xlfn.IFNA(INDEX(RulebookFields!D2:D999, MATCH(D1699,RulebookFields!A2:A999, 0)), "")</f>
        <v>NonHumanRanHumanStep</v>
      </c>
      <c r="J1699" s="3" t="b">
        <f>_xlfn.IFNA(INDEX(RulebookFields!I2:I999, MATCH(D1699,RulebookFields!A2:A999, 0)), "")</f>
        <v>1</v>
      </c>
      <c r="K1699" s="3" t="b">
        <f>AND(F1699, J1699)</f>
        <v>0</v>
      </c>
      <c r="L1699" s="3" t="b">
        <f>AND(G1699 &lt;&gt; "plain", G1699 &lt;&gt; "")</f>
        <v>0</v>
      </c>
      <c r="M1699" s="3" t="str">
        <f>IF(E1699, C1699 &amp; "|" &amp; H1699, "")</f>
        <v>principal-process-steward|StepExecutions</v>
      </c>
      <c r="N1699" s="2" t="s">
        <v>9938</v>
      </c>
    </row>
    <row r="1700">
      <c r="A1700" s="2" t="s">
        <v>11636</v>
      </c>
      <c r="B1700" s="3" t="str">
        <f>C1700 &amp; " -&gt; " &amp; D1700</f>
        <v>principal-process-steward -&gt; StepExecutions.NonHumanApproval</v>
      </c>
      <c r="C1700" s="2" t="s">
        <v>9706</v>
      </c>
      <c r="D1700" s="2" t="s">
        <v>3595</v>
      </c>
      <c r="E1700" s="2" t="b">
        <v>1</v>
      </c>
      <c r="F1700" s="2" t="b">
        <v>0</v>
      </c>
      <c r="G1700" s="2" t="s">
        <v>9937</v>
      </c>
      <c r="H1700" s="3" t="str">
        <f>_xlfn.IFNA(INDEX(RulebookFields!C2:C999, MATCH(D1700,RulebookFields!A2:A999, 0)), "")</f>
        <v>StepExecutions</v>
      </c>
      <c r="I1700" s="3" t="str">
        <f>_xlfn.IFNA(INDEX(RulebookFields!D2:D999, MATCH(D1700,RulebookFields!A2:A999, 0)), "")</f>
        <v>NonHumanApproval</v>
      </c>
      <c r="J1700" s="3" t="b">
        <f>_xlfn.IFNA(INDEX(RulebookFields!I2:I999, MATCH(D1700,RulebookFields!A2:A999, 0)), "")</f>
        <v>1</v>
      </c>
      <c r="K1700" s="3" t="b">
        <f>AND(F1700, J1700)</f>
        <v>0</v>
      </c>
      <c r="L1700" s="3" t="b">
        <f>AND(G1700 &lt;&gt; "plain", G1700 &lt;&gt; "")</f>
        <v>0</v>
      </c>
      <c r="M1700" s="3" t="str">
        <f>IF(E1700, C1700 &amp; "|" &amp; H1700, "")</f>
        <v>principal-process-steward|StepExecutions</v>
      </c>
      <c r="N1700" s="2" t="s">
        <v>9938</v>
      </c>
    </row>
    <row r="1701">
      <c r="A1701" s="2" t="s">
        <v>11637</v>
      </c>
      <c r="B1701" s="3" t="str">
        <f>C1701 &amp; " -&gt; " &amp; D1701</f>
        <v>principal-process-steward -&gt; StepExecutions.UnevaluatedBlockingExecutionKey</v>
      </c>
      <c r="C1701" s="2" t="s">
        <v>9706</v>
      </c>
      <c r="D1701" s="2" t="s">
        <v>3597</v>
      </c>
      <c r="E1701" s="2" t="b">
        <v>1</v>
      </c>
      <c r="F1701" s="2" t="b">
        <v>0</v>
      </c>
      <c r="G1701" s="2" t="s">
        <v>9937</v>
      </c>
      <c r="H1701" s="3" t="str">
        <f>_xlfn.IFNA(INDEX(RulebookFields!C2:C999, MATCH(D1701,RulebookFields!A2:A999, 0)), "")</f>
        <v>StepExecutions</v>
      </c>
      <c r="I1701" s="3" t="str">
        <f>_xlfn.IFNA(INDEX(RulebookFields!D2:D999, MATCH(D1701,RulebookFields!A2:A999, 0)), "")</f>
        <v>UnevaluatedBlockingExecutionKey</v>
      </c>
      <c r="J1701" s="3" t="b">
        <f>_xlfn.IFNA(INDEX(RulebookFields!I2:I999, MATCH(D1701,RulebookFields!A2:A999, 0)), "")</f>
        <v>1</v>
      </c>
      <c r="K1701" s="3" t="b">
        <f>AND(F1701, J1701)</f>
        <v>0</v>
      </c>
      <c r="L1701" s="3" t="b">
        <f>AND(G1701 &lt;&gt; "plain", G1701 &lt;&gt; "")</f>
        <v>0</v>
      </c>
      <c r="M1701" s="3" t="str">
        <f>IF(E1701, C1701 &amp; "|" &amp; H1701, "")</f>
        <v>principal-process-steward|StepExecutions</v>
      </c>
      <c r="N1701" s="2" t="s">
        <v>9938</v>
      </c>
    </row>
    <row r="1702">
      <c r="A1702" s="2" t="s">
        <v>11638</v>
      </c>
      <c r="B1702" s="3" t="str">
        <f>C1702 &amp; " -&gt; " &amp; D1702</f>
        <v>principal-process-steward -&gt; StepExecutions.SeparationViolationExecutionKey</v>
      </c>
      <c r="C1702" s="2" t="s">
        <v>9706</v>
      </c>
      <c r="D1702" s="2" t="s">
        <v>3599</v>
      </c>
      <c r="E1702" s="2" t="b">
        <v>1</v>
      </c>
      <c r="F1702" s="2" t="b">
        <v>0</v>
      </c>
      <c r="G1702" s="2" t="s">
        <v>9937</v>
      </c>
      <c r="H1702" s="3" t="str">
        <f>_xlfn.IFNA(INDEX(RulebookFields!C2:C999, MATCH(D1702,RulebookFields!A2:A999, 0)), "")</f>
        <v>StepExecutions</v>
      </c>
      <c r="I1702" s="3" t="str">
        <f>_xlfn.IFNA(INDEX(RulebookFields!D2:D999, MATCH(D1702,RulebookFields!A2:A999, 0)), "")</f>
        <v>SeparationViolationExecutionKey</v>
      </c>
      <c r="J1702" s="3" t="b">
        <f>_xlfn.IFNA(INDEX(RulebookFields!I2:I999, MATCH(D1702,RulebookFields!A2:A999, 0)), "")</f>
        <v>1</v>
      </c>
      <c r="K1702" s="3" t="b">
        <f>AND(F1702, J1702)</f>
        <v>0</v>
      </c>
      <c r="L1702" s="3" t="b">
        <f>AND(G1702 &lt;&gt; "plain", G1702 &lt;&gt; "")</f>
        <v>0</v>
      </c>
      <c r="M1702" s="3" t="str">
        <f>IF(E1702, C1702 &amp; "|" &amp; H1702, "")</f>
        <v>principal-process-steward|StepExecutions</v>
      </c>
      <c r="N1702" s="2" t="s">
        <v>9938</v>
      </c>
    </row>
    <row r="1703">
      <c r="A1703" s="2" t="s">
        <v>11639</v>
      </c>
      <c r="B1703" s="3" t="str">
        <f>C1703 &amp; " -&gt; " &amp; D1703</f>
        <v>principal-process-steward -&gt; StepExecutions.SelfWitnessedVerificationCount</v>
      </c>
      <c r="C1703" s="2" t="s">
        <v>9706</v>
      </c>
      <c r="D1703" s="2" t="s">
        <v>3601</v>
      </c>
      <c r="E1703" s="2" t="b">
        <v>1</v>
      </c>
      <c r="F1703" s="2" t="b">
        <v>0</v>
      </c>
      <c r="G1703" s="2" t="s">
        <v>9937</v>
      </c>
      <c r="H1703" s="3" t="str">
        <f>_xlfn.IFNA(INDEX(RulebookFields!C2:C999, MATCH(D1703,RulebookFields!A2:A999, 0)), "")</f>
        <v>StepExecutions</v>
      </c>
      <c r="I1703" s="3" t="str">
        <f>_xlfn.IFNA(INDEX(RulebookFields!D2:D999, MATCH(D1703,RulebookFields!A2:A999, 0)), "")</f>
        <v>SelfWitnessedVerificationCount</v>
      </c>
      <c r="J1703" s="3" t="b">
        <f>_xlfn.IFNA(INDEX(RulebookFields!I2:I999, MATCH(D1703,RulebookFields!A2:A999, 0)), "")</f>
        <v>1</v>
      </c>
      <c r="K1703" s="3" t="b">
        <f>AND(F1703, J1703)</f>
        <v>0</v>
      </c>
      <c r="L1703" s="3" t="b">
        <f>AND(G1703 &lt;&gt; "plain", G1703 &lt;&gt; "")</f>
        <v>0</v>
      </c>
      <c r="M1703" s="3" t="str">
        <f>IF(E1703, C1703 &amp; "|" &amp; H1703, "")</f>
        <v>principal-process-steward|StepExecutions</v>
      </c>
      <c r="N1703" s="2" t="s">
        <v>9938</v>
      </c>
    </row>
    <row r="1704">
      <c r="A1704" s="2" t="s">
        <v>11640</v>
      </c>
      <c r="B1704" s="3" t="str">
        <f>C1704 &amp; " -&gt; " &amp; D1704</f>
        <v>principal-process-steward -&gt; StepExecutions.UnbackedVerificationCount</v>
      </c>
      <c r="C1704" s="2" t="s">
        <v>9706</v>
      </c>
      <c r="D1704" s="2" t="s">
        <v>3603</v>
      </c>
      <c r="E1704" s="2" t="b">
        <v>1</v>
      </c>
      <c r="F1704" s="2" t="b">
        <v>0</v>
      </c>
      <c r="G1704" s="2" t="s">
        <v>9937</v>
      </c>
      <c r="H1704" s="3" t="str">
        <f>_xlfn.IFNA(INDEX(RulebookFields!C2:C999, MATCH(D1704,RulebookFields!A2:A999, 0)), "")</f>
        <v>StepExecutions</v>
      </c>
      <c r="I1704" s="3" t="str">
        <f>_xlfn.IFNA(INDEX(RulebookFields!D2:D999, MATCH(D1704,RulebookFields!A2:A999, 0)), "")</f>
        <v>UnbackedVerificationCount</v>
      </c>
      <c r="J1704" s="3" t="b">
        <f>_xlfn.IFNA(INDEX(RulebookFields!I2:I999, MATCH(D1704,RulebookFields!A2:A999, 0)), "")</f>
        <v>1</v>
      </c>
      <c r="K1704" s="3" t="b">
        <f>AND(F1704, J1704)</f>
        <v>0</v>
      </c>
      <c r="L1704" s="3" t="b">
        <f>AND(G1704 &lt;&gt; "plain", G1704 &lt;&gt; "")</f>
        <v>0</v>
      </c>
      <c r="M1704" s="3" t="str">
        <f>IF(E1704, C1704 &amp; "|" &amp; H1704, "")</f>
        <v>principal-process-steward|StepExecutions</v>
      </c>
      <c r="N1704" s="2" t="s">
        <v>9938</v>
      </c>
    </row>
    <row r="1705">
      <c r="A1705" s="2" t="s">
        <v>11641</v>
      </c>
      <c r="B1705" s="3" t="str">
        <f>C1705 &amp; " -&gt; " &amp; D1705</f>
        <v>principal-process-steward -&gt; StepExecutions.ApprovalRestsOnSelfAttestation</v>
      </c>
      <c r="C1705" s="2" t="s">
        <v>9706</v>
      </c>
      <c r="D1705" s="2" t="s">
        <v>3605</v>
      </c>
      <c r="E1705" s="2" t="b">
        <v>1</v>
      </c>
      <c r="F1705" s="2" t="b">
        <v>0</v>
      </c>
      <c r="G1705" s="2" t="s">
        <v>9937</v>
      </c>
      <c r="H1705" s="3" t="str">
        <f>_xlfn.IFNA(INDEX(RulebookFields!C2:C999, MATCH(D1705,RulebookFields!A2:A999, 0)), "")</f>
        <v>StepExecutions</v>
      </c>
      <c r="I1705" s="3" t="str">
        <f>_xlfn.IFNA(INDEX(RulebookFields!D2:D999, MATCH(D1705,RulebookFields!A2:A999, 0)), "")</f>
        <v>ApprovalRestsOnSelfAttestation</v>
      </c>
      <c r="J1705" s="3" t="b">
        <f>_xlfn.IFNA(INDEX(RulebookFields!I2:I999, MATCH(D1705,RulebookFields!A2:A999, 0)), "")</f>
        <v>1</v>
      </c>
      <c r="K1705" s="3" t="b">
        <f>AND(F1705, J1705)</f>
        <v>0</v>
      </c>
      <c r="L1705" s="3" t="b">
        <f>AND(G1705 &lt;&gt; "plain", G1705 &lt;&gt; "")</f>
        <v>0</v>
      </c>
      <c r="M1705" s="3" t="str">
        <f>IF(E1705, C1705 &amp; "|" &amp; H1705, "")</f>
        <v>principal-process-steward|StepExecutions</v>
      </c>
      <c r="N1705" s="2" t="s">
        <v>9938</v>
      </c>
    </row>
    <row r="1706">
      <c r="A1706" s="2" t="s">
        <v>11642</v>
      </c>
      <c r="B1706" s="3" t="str">
        <f>C1706 &amp; " -&gt; " &amp; D1706</f>
        <v>principal-process-steward -&gt; StepExecutions.ExceptionInvocationCount</v>
      </c>
      <c r="C1706" s="2" t="s">
        <v>9706</v>
      </c>
      <c r="D1706" s="2" t="s">
        <v>3607</v>
      </c>
      <c r="E1706" s="2" t="b">
        <v>1</v>
      </c>
      <c r="F1706" s="2" t="b">
        <v>0</v>
      </c>
      <c r="G1706" s="2" t="s">
        <v>9937</v>
      </c>
      <c r="H1706" s="3" t="str">
        <f>_xlfn.IFNA(INDEX(RulebookFields!C2:C999, MATCH(D1706,RulebookFields!A2:A999, 0)), "")</f>
        <v>StepExecutions</v>
      </c>
      <c r="I1706" s="3" t="str">
        <f>_xlfn.IFNA(INDEX(RulebookFields!D2:D999, MATCH(D1706,RulebookFields!A2:A999, 0)), "")</f>
        <v>ExceptionInvocationCount</v>
      </c>
      <c r="J1706" s="3" t="b">
        <f>_xlfn.IFNA(INDEX(RulebookFields!I2:I999, MATCH(D1706,RulebookFields!A2:A999, 0)), "")</f>
        <v>1</v>
      </c>
      <c r="K1706" s="3" t="b">
        <f>AND(F1706, J1706)</f>
        <v>0</v>
      </c>
      <c r="L1706" s="3" t="b">
        <f>AND(G1706 &lt;&gt; "plain", G1706 &lt;&gt; "")</f>
        <v>0</v>
      </c>
      <c r="M1706" s="3" t="str">
        <f>IF(E1706, C1706 &amp; "|" &amp; H1706, "")</f>
        <v>principal-process-steward|StepExecutions</v>
      </c>
      <c r="N1706" s="2" t="s">
        <v>9938</v>
      </c>
    </row>
    <row r="1707">
      <c r="A1707" s="2" t="s">
        <v>11643</v>
      </c>
      <c r="B1707" s="3" t="str">
        <f>C1707 &amp; " -&gt; " &amp; D1707</f>
        <v>principal-process-steward -&gt; StepExecutions.RanUnderException</v>
      </c>
      <c r="C1707" s="2" t="s">
        <v>9706</v>
      </c>
      <c r="D1707" s="2" t="s">
        <v>3609</v>
      </c>
      <c r="E1707" s="2" t="b">
        <v>1</v>
      </c>
      <c r="F1707" s="2" t="b">
        <v>0</v>
      </c>
      <c r="G1707" s="2" t="s">
        <v>9937</v>
      </c>
      <c r="H1707" s="3" t="str">
        <f>_xlfn.IFNA(INDEX(RulebookFields!C2:C999, MATCH(D1707,RulebookFields!A2:A999, 0)), "")</f>
        <v>StepExecutions</v>
      </c>
      <c r="I1707" s="3" t="str">
        <f>_xlfn.IFNA(INDEX(RulebookFields!D2:D999, MATCH(D1707,RulebookFields!A2:A999, 0)), "")</f>
        <v>RanUnderException</v>
      </c>
      <c r="J1707" s="3" t="b">
        <f>_xlfn.IFNA(INDEX(RulebookFields!I2:I999, MATCH(D1707,RulebookFields!A2:A999, 0)), "")</f>
        <v>1</v>
      </c>
      <c r="K1707" s="3" t="b">
        <f>AND(F1707, J1707)</f>
        <v>0</v>
      </c>
      <c r="L1707" s="3" t="b">
        <f>AND(G1707 &lt;&gt; "plain", G1707 &lt;&gt; "")</f>
        <v>0</v>
      </c>
      <c r="M1707" s="3" t="str">
        <f>IF(E1707, C1707 &amp; "|" &amp; H1707, "")</f>
        <v>principal-process-steward|StepExecutions</v>
      </c>
      <c r="N1707" s="2" t="s">
        <v>9938</v>
      </c>
    </row>
    <row r="1708">
      <c r="A1708" s="2" t="s">
        <v>11644</v>
      </c>
      <c r="B1708" s="3" t="str">
        <f>C1708 &amp; " -&gt; " &amp; D1708</f>
        <v>principal-process-steward -&gt; StepExecutions.IsCompleted</v>
      </c>
      <c r="C1708" s="2" t="s">
        <v>9706</v>
      </c>
      <c r="D1708" s="2" t="s">
        <v>3611</v>
      </c>
      <c r="E1708" s="2" t="b">
        <v>1</v>
      </c>
      <c r="F1708" s="2" t="b">
        <v>0</v>
      </c>
      <c r="G1708" s="2" t="s">
        <v>9937</v>
      </c>
      <c r="H1708" s="3" t="str">
        <f>_xlfn.IFNA(INDEX(RulebookFields!C2:C999, MATCH(D1708,RulebookFields!A2:A999, 0)), "")</f>
        <v>StepExecutions</v>
      </c>
      <c r="I1708" s="3" t="str">
        <f>_xlfn.IFNA(INDEX(RulebookFields!D2:D999, MATCH(D1708,RulebookFields!A2:A999, 0)), "")</f>
        <v>IsCompleted</v>
      </c>
      <c r="J1708" s="3" t="b">
        <f>_xlfn.IFNA(INDEX(RulebookFields!I2:I999, MATCH(D1708,RulebookFields!A2:A999, 0)), "")</f>
        <v>1</v>
      </c>
      <c r="K1708" s="3" t="b">
        <f>AND(F1708, J1708)</f>
        <v>0</v>
      </c>
      <c r="L1708" s="3" t="b">
        <f>AND(G1708 &lt;&gt; "plain", G1708 &lt;&gt; "")</f>
        <v>0</v>
      </c>
      <c r="M1708" s="3" t="str">
        <f>IF(E1708, C1708 &amp; "|" &amp; H1708, "")</f>
        <v>principal-process-steward|StepExecutions</v>
      </c>
      <c r="N1708" s="2" t="s">
        <v>9938</v>
      </c>
    </row>
    <row r="1709">
      <c r="A1709" s="2" t="s">
        <v>11645</v>
      </c>
      <c r="B1709" s="3" t="str">
        <f>C1709 &amp; " -&gt; " &amp; D1709</f>
        <v>principal-process-steward -&gt; StepExecutions.IsVerificationPassed</v>
      </c>
      <c r="C1709" s="2" t="s">
        <v>9706</v>
      </c>
      <c r="D1709" s="2" t="s">
        <v>3613</v>
      </c>
      <c r="E1709" s="2" t="b">
        <v>1</v>
      </c>
      <c r="F1709" s="2" t="b">
        <v>0</v>
      </c>
      <c r="G1709" s="2" t="s">
        <v>9937</v>
      </c>
      <c r="H1709" s="3" t="str">
        <f>_xlfn.IFNA(INDEX(RulebookFields!C2:C999, MATCH(D1709,RulebookFields!A2:A999, 0)), "")</f>
        <v>StepExecutions</v>
      </c>
      <c r="I1709" s="3" t="str">
        <f>_xlfn.IFNA(INDEX(RulebookFields!D2:D999, MATCH(D1709,RulebookFields!A2:A999, 0)), "")</f>
        <v>IsVerificationPassed</v>
      </c>
      <c r="J1709" s="3" t="b">
        <f>_xlfn.IFNA(INDEX(RulebookFields!I2:I999, MATCH(D1709,RulebookFields!A2:A999, 0)), "")</f>
        <v>1</v>
      </c>
      <c r="K1709" s="3" t="b">
        <f>AND(F1709, J1709)</f>
        <v>0</v>
      </c>
      <c r="L1709" s="3" t="b">
        <f>AND(G1709 &lt;&gt; "plain", G1709 &lt;&gt; "")</f>
        <v>0</v>
      </c>
      <c r="M1709" s="3" t="str">
        <f>IF(E1709, C1709 &amp; "|" &amp; H1709, "")</f>
        <v>principal-process-steward|StepExecutions</v>
      </c>
      <c r="N1709" s="2" t="s">
        <v>9938</v>
      </c>
    </row>
    <row r="1710">
      <c r="A1710" s="2" t="s">
        <v>11646</v>
      </c>
      <c r="B1710" s="3" t="str">
        <f>C1710 &amp; " -&gt; " &amp; D1710</f>
        <v>principal-process-steward -&gt; StepExecutions.IsLegalReviewStep</v>
      </c>
      <c r="C1710" s="2" t="s">
        <v>9706</v>
      </c>
      <c r="D1710" s="2" t="s">
        <v>3615</v>
      </c>
      <c r="E1710" s="2" t="b">
        <v>1</v>
      </c>
      <c r="F1710" s="2" t="b">
        <v>0</v>
      </c>
      <c r="G1710" s="2" t="s">
        <v>9937</v>
      </c>
      <c r="H1710" s="3" t="str">
        <f>_xlfn.IFNA(INDEX(RulebookFields!C2:C999, MATCH(D1710,RulebookFields!A2:A999, 0)), "")</f>
        <v>StepExecutions</v>
      </c>
      <c r="I1710" s="3" t="str">
        <f>_xlfn.IFNA(INDEX(RulebookFields!D2:D999, MATCH(D1710,RulebookFields!A2:A999, 0)), "")</f>
        <v>IsLegalReviewStep</v>
      </c>
      <c r="J1710" s="3" t="b">
        <f>_xlfn.IFNA(INDEX(RulebookFields!I2:I999, MATCH(D1710,RulebookFields!A2:A999, 0)), "")</f>
        <v>1</v>
      </c>
      <c r="K1710" s="3" t="b">
        <f>AND(F1710, J1710)</f>
        <v>0</v>
      </c>
      <c r="L1710" s="3" t="b">
        <f>AND(G1710 &lt;&gt; "plain", G1710 &lt;&gt; "")</f>
        <v>0</v>
      </c>
      <c r="M1710" s="3" t="str">
        <f>IF(E1710, C1710 &amp; "|" &amp; H1710, "")</f>
        <v>principal-process-steward|StepExecutions</v>
      </c>
      <c r="N1710" s="2" t="s">
        <v>9938</v>
      </c>
    </row>
    <row r="1711">
      <c r="A1711" s="2" t="s">
        <v>11647</v>
      </c>
      <c r="B1711" s="3" t="str">
        <f>C1711 &amp; " -&gt; " &amp; D1711</f>
        <v>principal-process-steward -&gt; StepExecutions.ClearedLegalReviewKey</v>
      </c>
      <c r="C1711" s="2" t="s">
        <v>9706</v>
      </c>
      <c r="D1711" s="2" t="s">
        <v>3617</v>
      </c>
      <c r="E1711" s="2" t="b">
        <v>1</v>
      </c>
      <c r="F1711" s="2" t="b">
        <v>0</v>
      </c>
      <c r="G1711" s="2" t="s">
        <v>9937</v>
      </c>
      <c r="H1711" s="3" t="str">
        <f>_xlfn.IFNA(INDEX(RulebookFields!C2:C999, MATCH(D1711,RulebookFields!A2:A999, 0)), "")</f>
        <v>StepExecutions</v>
      </c>
      <c r="I1711" s="3" t="str">
        <f>_xlfn.IFNA(INDEX(RulebookFields!D2:D999, MATCH(D1711,RulebookFields!A2:A999, 0)), "")</f>
        <v>ClearedLegalReviewKey</v>
      </c>
      <c r="J1711" s="3" t="b">
        <f>_xlfn.IFNA(INDEX(RulebookFields!I2:I999, MATCH(D1711,RulebookFields!A2:A999, 0)), "")</f>
        <v>1</v>
      </c>
      <c r="K1711" s="3" t="b">
        <f>AND(F1711, J1711)</f>
        <v>0</v>
      </c>
      <c r="L1711" s="3" t="b">
        <f>AND(G1711 &lt;&gt; "plain", G1711 &lt;&gt; "")</f>
        <v>0</v>
      </c>
      <c r="M1711" s="3" t="str">
        <f>IF(E1711, C1711 &amp; "|" &amp; H1711, "")</f>
        <v>principal-process-steward|StepExecutions</v>
      </c>
      <c r="N1711" s="2" t="s">
        <v>9938</v>
      </c>
    </row>
    <row r="1712">
      <c r="A1712" s="2" t="s">
        <v>11648</v>
      </c>
      <c r="B1712" s="3" t="str">
        <f>C1712 &amp; " -&gt; " &amp; D1712</f>
        <v>principal-process-steward -&gt; StepExecutions.AssignedRole</v>
      </c>
      <c r="C1712" s="2" t="s">
        <v>9706</v>
      </c>
      <c r="D1712" s="2" t="s">
        <v>3619</v>
      </c>
      <c r="E1712" s="2" t="b">
        <v>1</v>
      </c>
      <c r="F1712" s="2" t="b">
        <v>0</v>
      </c>
      <c r="G1712" s="2" t="s">
        <v>9937</v>
      </c>
      <c r="H1712" s="3" t="str">
        <f>_xlfn.IFNA(INDEX(RulebookFields!C2:C999, MATCH(D1712,RulebookFields!A2:A999, 0)), "")</f>
        <v>StepExecutions</v>
      </c>
      <c r="I1712" s="3" t="str">
        <f>_xlfn.IFNA(INDEX(RulebookFields!D2:D999, MATCH(D1712,RulebookFields!A2:A999, 0)), "")</f>
        <v>AssignedRole</v>
      </c>
      <c r="J1712" s="3" t="b">
        <f>_xlfn.IFNA(INDEX(RulebookFields!I2:I999, MATCH(D1712,RulebookFields!A2:A999, 0)), "")</f>
        <v>1</v>
      </c>
      <c r="K1712" s="3" t="b">
        <f>AND(F1712, J1712)</f>
        <v>0</v>
      </c>
      <c r="L1712" s="3" t="b">
        <f>AND(G1712 &lt;&gt; "plain", G1712 &lt;&gt; "")</f>
        <v>0</v>
      </c>
      <c r="M1712" s="3" t="str">
        <f>IF(E1712, C1712 &amp; "|" &amp; H1712, "")</f>
        <v>principal-process-steward|StepExecutions</v>
      </c>
      <c r="N1712" s="2" t="s">
        <v>9938</v>
      </c>
    </row>
    <row r="1713">
      <c r="A1713" s="2" t="s">
        <v>11649</v>
      </c>
      <c r="B1713" s="3" t="str">
        <f>C1713 &amp; " -&gt; " &amp; D1713</f>
        <v>principal-process-steward -&gt; StepExecutions.RoleCurrentAgent</v>
      </c>
      <c r="C1713" s="2" t="s">
        <v>9706</v>
      </c>
      <c r="D1713" s="2" t="s">
        <v>3620</v>
      </c>
      <c r="E1713" s="2" t="b">
        <v>1</v>
      </c>
      <c r="F1713" s="2" t="b">
        <v>0</v>
      </c>
      <c r="G1713" s="2" t="s">
        <v>9937</v>
      </c>
      <c r="H1713" s="3" t="str">
        <f>_xlfn.IFNA(INDEX(RulebookFields!C2:C999, MATCH(D1713,RulebookFields!A2:A999, 0)), "")</f>
        <v>StepExecutions</v>
      </c>
      <c r="I1713" s="3" t="str">
        <f>_xlfn.IFNA(INDEX(RulebookFields!D2:D999, MATCH(D1713,RulebookFields!A2:A999, 0)), "")</f>
        <v>RoleCurrentAgent</v>
      </c>
      <c r="J1713" s="3" t="b">
        <f>_xlfn.IFNA(INDEX(RulebookFields!I2:I999, MATCH(D1713,RulebookFields!A2:A999, 0)), "")</f>
        <v>1</v>
      </c>
      <c r="K1713" s="3" t="b">
        <f>AND(F1713, J1713)</f>
        <v>0</v>
      </c>
      <c r="L1713" s="3" t="b">
        <f>AND(G1713 &lt;&gt; "plain", G1713 &lt;&gt; "")</f>
        <v>0</v>
      </c>
      <c r="M1713" s="3" t="str">
        <f>IF(E1713, C1713 &amp; "|" &amp; H1713, "")</f>
        <v>principal-process-steward|StepExecutions</v>
      </c>
      <c r="N1713" s="2" t="s">
        <v>9938</v>
      </c>
    </row>
    <row r="1714">
      <c r="A1714" s="2" t="s">
        <v>11650</v>
      </c>
      <c r="B1714" s="3" t="str">
        <f>C1714 &amp; " -&gt; " &amp; D1714</f>
        <v>principal-process-steward -&gt; StepExecutions.ExecutorIsDesignatedAgent</v>
      </c>
      <c r="C1714" s="2" t="s">
        <v>9706</v>
      </c>
      <c r="D1714" s="2" t="s">
        <v>3622</v>
      </c>
      <c r="E1714" s="2" t="b">
        <v>1</v>
      </c>
      <c r="F1714" s="2" t="b">
        <v>0</v>
      </c>
      <c r="G1714" s="2" t="s">
        <v>9937</v>
      </c>
      <c r="H1714" s="3" t="str">
        <f>_xlfn.IFNA(INDEX(RulebookFields!C2:C999, MATCH(D1714,RulebookFields!A2:A999, 0)), "")</f>
        <v>StepExecutions</v>
      </c>
      <c r="I1714" s="3" t="str">
        <f>_xlfn.IFNA(INDEX(RulebookFields!D2:D999, MATCH(D1714,RulebookFields!A2:A999, 0)), "")</f>
        <v>ExecutorIsDesignatedAgent</v>
      </c>
      <c r="J1714" s="3" t="b">
        <f>_xlfn.IFNA(INDEX(RulebookFields!I2:I999, MATCH(D1714,RulebookFields!A2:A999, 0)), "")</f>
        <v>1</v>
      </c>
      <c r="K1714" s="3" t="b">
        <f>AND(F1714, J1714)</f>
        <v>0</v>
      </c>
      <c r="L1714" s="3" t="b">
        <f>AND(G1714 &lt;&gt; "plain", G1714 &lt;&gt; "")</f>
        <v>0</v>
      </c>
      <c r="M1714" s="3" t="str">
        <f>IF(E1714, C1714 &amp; "|" &amp; H1714, "")</f>
        <v>principal-process-steward|StepExecutions</v>
      </c>
      <c r="N1714" s="2" t="s">
        <v>9938</v>
      </c>
    </row>
    <row r="1715">
      <c r="A1715" s="2" t="s">
        <v>11651</v>
      </c>
      <c r="B1715" s="3" t="str">
        <f>C1715 &amp; " -&gt; " &amp; D1715</f>
        <v>principal-process-steward -&gt; StepExecutions.InputsWereFreshAtRun</v>
      </c>
      <c r="C1715" s="2" t="s">
        <v>9706</v>
      </c>
      <c r="D1715" s="2" t="s">
        <v>3624</v>
      </c>
      <c r="E1715" s="2" t="b">
        <v>1</v>
      </c>
      <c r="F1715" s="2" t="b">
        <v>0</v>
      </c>
      <c r="G1715" s="2" t="s">
        <v>9937</v>
      </c>
      <c r="H1715" s="3" t="str">
        <f>_xlfn.IFNA(INDEX(RulebookFields!C2:C999, MATCH(D1715,RulebookFields!A2:A999, 0)), "")</f>
        <v>StepExecutions</v>
      </c>
      <c r="I1715" s="3" t="str">
        <f>_xlfn.IFNA(INDEX(RulebookFields!D2:D999, MATCH(D1715,RulebookFields!A2:A999, 0)), "")</f>
        <v>InputsWereFreshAtRun</v>
      </c>
      <c r="J1715" s="3" t="b">
        <f>_xlfn.IFNA(INDEX(RulebookFields!I2:I999, MATCH(D1715,RulebookFields!A2:A999, 0)), "")</f>
        <v>1</v>
      </c>
      <c r="K1715" s="3" t="b">
        <f>AND(F1715, J1715)</f>
        <v>0</v>
      </c>
      <c r="L1715" s="3" t="b">
        <f>AND(G1715 &lt;&gt; "plain", G1715 &lt;&gt; "")</f>
        <v>0</v>
      </c>
      <c r="M1715" s="3" t="str">
        <f>IF(E1715, C1715 &amp; "|" &amp; H1715, "")</f>
        <v>principal-process-steward|StepExecutions</v>
      </c>
      <c r="N1715" s="2" t="s">
        <v>9938</v>
      </c>
    </row>
    <row r="1716">
      <c r="A1716" s="2" t="s">
        <v>11652</v>
      </c>
      <c r="B1716" s="3" t="str">
        <f>C1716 &amp; " -&gt; " &amp; D1716</f>
        <v>principal-process-steward -&gt; StepExecutions.RanOnStaleInputs</v>
      </c>
      <c r="C1716" s="2" t="s">
        <v>9706</v>
      </c>
      <c r="D1716" s="2" t="s">
        <v>3626</v>
      </c>
      <c r="E1716" s="2" t="b">
        <v>1</v>
      </c>
      <c r="F1716" s="2" t="b">
        <v>0</v>
      </c>
      <c r="G1716" s="2" t="s">
        <v>9937</v>
      </c>
      <c r="H1716" s="3" t="str">
        <f>_xlfn.IFNA(INDEX(RulebookFields!C2:C999, MATCH(D1716,RulebookFields!A2:A999, 0)), "")</f>
        <v>StepExecutions</v>
      </c>
      <c r="I1716" s="3" t="str">
        <f>_xlfn.IFNA(INDEX(RulebookFields!D2:D999, MATCH(D1716,RulebookFields!A2:A999, 0)), "")</f>
        <v>RanOnStaleInputs</v>
      </c>
      <c r="J1716" s="3" t="b">
        <f>_xlfn.IFNA(INDEX(RulebookFields!I2:I999, MATCH(D1716,RulebookFields!A2:A999, 0)), "")</f>
        <v>1</v>
      </c>
      <c r="K1716" s="3" t="b">
        <f>AND(F1716, J1716)</f>
        <v>0</v>
      </c>
      <c r="L1716" s="3" t="b">
        <f>AND(G1716 &lt;&gt; "plain", G1716 &lt;&gt; "")</f>
        <v>0</v>
      </c>
      <c r="M1716" s="3" t="str">
        <f>IF(E1716, C1716 &amp; "|" &amp; H1716, "")</f>
        <v>principal-process-steward|StepExecutions</v>
      </c>
      <c r="N1716" s="2" t="s">
        <v>9938</v>
      </c>
    </row>
    <row r="1717">
      <c r="A1717" s="2" t="s">
        <v>11653</v>
      </c>
      <c r="B1717" s="3" t="str">
        <f>C1717 &amp; " -&gt; " &amp; D1717</f>
        <v>principal-process-steward -&gt; StepExecutions.UnresolvedIssueCount</v>
      </c>
      <c r="C1717" s="2" t="s">
        <v>9706</v>
      </c>
      <c r="D1717" s="2" t="s">
        <v>3628</v>
      </c>
      <c r="E1717" s="2" t="b">
        <v>1</v>
      </c>
      <c r="F1717" s="2" t="b">
        <v>0</v>
      </c>
      <c r="G1717" s="2" t="s">
        <v>9937</v>
      </c>
      <c r="H1717" s="3" t="str">
        <f>_xlfn.IFNA(INDEX(RulebookFields!C2:C999, MATCH(D1717,RulebookFields!A2:A999, 0)), "")</f>
        <v>StepExecutions</v>
      </c>
      <c r="I1717" s="3" t="str">
        <f>_xlfn.IFNA(INDEX(RulebookFields!D2:D999, MATCH(D1717,RulebookFields!A2:A999, 0)), "")</f>
        <v>UnresolvedIssueCount</v>
      </c>
      <c r="J1717" s="3" t="b">
        <f>_xlfn.IFNA(INDEX(RulebookFields!I2:I999, MATCH(D1717,RulebookFields!A2:A999, 0)), "")</f>
        <v>1</v>
      </c>
      <c r="K1717" s="3" t="b">
        <f>AND(F1717, J1717)</f>
        <v>0</v>
      </c>
      <c r="L1717" s="3" t="b">
        <f>AND(G1717 &lt;&gt; "plain", G1717 &lt;&gt; "")</f>
        <v>0</v>
      </c>
      <c r="M1717" s="3" t="str">
        <f>IF(E1717, C1717 &amp; "|" &amp; H1717, "")</f>
        <v>principal-process-steward|StepExecutions</v>
      </c>
      <c r="N1717" s="2" t="s">
        <v>9938</v>
      </c>
    </row>
    <row r="1718">
      <c r="A1718" s="2" t="s">
        <v>11654</v>
      </c>
      <c r="B1718" s="3" t="str">
        <f>C1718 &amp; " -&gt; " &amp; D1718</f>
        <v>principal-process-steward -&gt; StepExecutions.HasDeviation</v>
      </c>
      <c r="C1718" s="2" t="s">
        <v>9706</v>
      </c>
      <c r="D1718" s="2" t="s">
        <v>3630</v>
      </c>
      <c r="E1718" s="2" t="b">
        <v>1</v>
      </c>
      <c r="F1718" s="2" t="b">
        <v>0</v>
      </c>
      <c r="G1718" s="2" t="s">
        <v>9937</v>
      </c>
      <c r="H1718" s="3" t="str">
        <f>_xlfn.IFNA(INDEX(RulebookFields!C2:C999, MATCH(D1718,RulebookFields!A2:A999, 0)), "")</f>
        <v>StepExecutions</v>
      </c>
      <c r="I1718" s="3" t="str">
        <f>_xlfn.IFNA(INDEX(RulebookFields!D2:D999, MATCH(D1718,RulebookFields!A2:A999, 0)), "")</f>
        <v>HasDeviation</v>
      </c>
      <c r="J1718" s="3" t="b">
        <f>_xlfn.IFNA(INDEX(RulebookFields!I2:I999, MATCH(D1718,RulebookFields!A2:A999, 0)), "")</f>
        <v>1</v>
      </c>
      <c r="K1718" s="3" t="b">
        <f>AND(F1718, J1718)</f>
        <v>0</v>
      </c>
      <c r="L1718" s="3" t="b">
        <f>AND(G1718 &lt;&gt; "plain", G1718 &lt;&gt; "")</f>
        <v>0</v>
      </c>
      <c r="M1718" s="3" t="str">
        <f>IF(E1718, C1718 &amp; "|" &amp; H1718, "")</f>
        <v>principal-process-steward|StepExecutions</v>
      </c>
      <c r="N1718" s="2" t="s">
        <v>9938</v>
      </c>
    </row>
    <row r="1719">
      <c r="A1719" s="2" t="s">
        <v>11655</v>
      </c>
      <c r="B1719" s="3" t="str">
        <f>C1719 &amp; " -&gt; " &amp; D1719</f>
        <v>principal-process-steward -&gt; StepExecutions.IsClean</v>
      </c>
      <c r="C1719" s="2" t="s">
        <v>9706</v>
      </c>
      <c r="D1719" s="2" t="s">
        <v>3631</v>
      </c>
      <c r="E1719" s="2" t="b">
        <v>1</v>
      </c>
      <c r="F1719" s="2" t="b">
        <v>0</v>
      </c>
      <c r="G1719" s="2" t="s">
        <v>9937</v>
      </c>
      <c r="H1719" s="3" t="str">
        <f>_xlfn.IFNA(INDEX(RulebookFields!C2:C999, MATCH(D1719,RulebookFields!A2:A999, 0)), "")</f>
        <v>StepExecutions</v>
      </c>
      <c r="I1719" s="3" t="str">
        <f>_xlfn.IFNA(INDEX(RulebookFields!D2:D999, MATCH(D1719,RulebookFields!A2:A999, 0)), "")</f>
        <v>IsClean</v>
      </c>
      <c r="J1719" s="3" t="b">
        <f>_xlfn.IFNA(INDEX(RulebookFields!I2:I999, MATCH(D1719,RulebookFields!A2:A999, 0)), "")</f>
        <v>1</v>
      </c>
      <c r="K1719" s="3" t="b">
        <f>AND(F1719, J1719)</f>
        <v>0</v>
      </c>
      <c r="L1719" s="3" t="b">
        <f>AND(G1719 &lt;&gt; "plain", G1719 &lt;&gt; "")</f>
        <v>0</v>
      </c>
      <c r="M1719" s="3" t="str">
        <f>IF(E1719, C1719 &amp; "|" &amp; H1719, "")</f>
        <v>principal-process-steward|StepExecutions</v>
      </c>
      <c r="N1719" s="2" t="s">
        <v>9938</v>
      </c>
    </row>
    <row r="1720">
      <c r="A1720" s="2" t="s">
        <v>11656</v>
      </c>
      <c r="B1720" s="3" t="str">
        <f>C1720 &amp; " -&gt; " &amp; D1720</f>
        <v>principal-process-steward -&gt; StepExecutions.ProcedureExecutionWhenUnclean</v>
      </c>
      <c r="C1720" s="2" t="s">
        <v>9706</v>
      </c>
      <c r="D1720" s="2" t="s">
        <v>3633</v>
      </c>
      <c r="E1720" s="2" t="b">
        <v>1</v>
      </c>
      <c r="F1720" s="2" t="b">
        <v>0</v>
      </c>
      <c r="G1720" s="2" t="s">
        <v>9937</v>
      </c>
      <c r="H1720" s="3" t="str">
        <f>_xlfn.IFNA(INDEX(RulebookFields!C2:C999, MATCH(D1720,RulebookFields!A2:A999, 0)), "")</f>
        <v>StepExecutions</v>
      </c>
      <c r="I1720" s="3" t="str">
        <f>_xlfn.IFNA(INDEX(RulebookFields!D2:D999, MATCH(D1720,RulebookFields!A2:A999, 0)), "")</f>
        <v>ProcedureExecutionWhenUnclean</v>
      </c>
      <c r="J1720" s="3" t="b">
        <f>_xlfn.IFNA(INDEX(RulebookFields!I2:I999, MATCH(D1720,RulebookFields!A2:A999, 0)), "")</f>
        <v>1</v>
      </c>
      <c r="K1720" s="3" t="b">
        <f>AND(F1720, J1720)</f>
        <v>0</v>
      </c>
      <c r="L1720" s="3" t="b">
        <f>AND(G1720 &lt;&gt; "plain", G1720 &lt;&gt; "")</f>
        <v>0</v>
      </c>
      <c r="M1720" s="3" t="str">
        <f>IF(E1720, C1720 &amp; "|" &amp; H1720, "")</f>
        <v>principal-process-steward|StepExecutions</v>
      </c>
      <c r="N1720" s="2" t="s">
        <v>9938</v>
      </c>
    </row>
    <row r="1721">
      <c r="A1721" s="2" t="s">
        <v>11657</v>
      </c>
      <c r="B1721" s="3" t="str">
        <f>C1721 &amp; " -&gt; " &amp; D1721</f>
        <v>principal-process-steward -&gt; StepExecutions.EvaluatedRequirementCount</v>
      </c>
      <c r="C1721" s="2" t="s">
        <v>9706</v>
      </c>
      <c r="D1721" s="2" t="s">
        <v>3635</v>
      </c>
      <c r="E1721" s="2" t="b">
        <v>1</v>
      </c>
      <c r="F1721" s="2" t="b">
        <v>0</v>
      </c>
      <c r="G1721" s="2" t="s">
        <v>9937</v>
      </c>
      <c r="H1721" s="3" t="str">
        <f>_xlfn.IFNA(INDEX(RulebookFields!C2:C999, MATCH(D1721,RulebookFields!A2:A999, 0)), "")</f>
        <v>StepExecutions</v>
      </c>
      <c r="I1721" s="3" t="str">
        <f>_xlfn.IFNA(INDEX(RulebookFields!D2:D999, MATCH(D1721,RulebookFields!A2:A999, 0)), "")</f>
        <v>EvaluatedRequirementCount</v>
      </c>
      <c r="J1721" s="3" t="b">
        <f>_xlfn.IFNA(INDEX(RulebookFields!I2:I999, MATCH(D1721,RulebookFields!A2:A999, 0)), "")</f>
        <v>1</v>
      </c>
      <c r="K1721" s="3" t="b">
        <f>AND(F1721, J1721)</f>
        <v>0</v>
      </c>
      <c r="L1721" s="3" t="b">
        <f>AND(G1721 &lt;&gt; "plain", G1721 &lt;&gt; "")</f>
        <v>0</v>
      </c>
      <c r="M1721" s="3" t="str">
        <f>IF(E1721, C1721 &amp; "|" &amp; H1721, "")</f>
        <v>principal-process-steward|StepExecutions</v>
      </c>
      <c r="N1721" s="2" t="s">
        <v>9938</v>
      </c>
    </row>
    <row r="1722">
      <c r="A1722" s="2" t="s">
        <v>11658</v>
      </c>
      <c r="B1722" s="3" t="str">
        <f>C1722 &amp; " -&gt; " &amp; D1722</f>
        <v>principal-process-steward -&gt; StepExecutions.RequiredBlockingCount</v>
      </c>
      <c r="C1722" s="2" t="s">
        <v>9706</v>
      </c>
      <c r="D1722" s="2" t="s">
        <v>3637</v>
      </c>
      <c r="E1722" s="2" t="b">
        <v>1</v>
      </c>
      <c r="F1722" s="2" t="b">
        <v>0</v>
      </c>
      <c r="G1722" s="2" t="s">
        <v>9937</v>
      </c>
      <c r="H1722" s="3" t="str">
        <f>_xlfn.IFNA(INDEX(RulebookFields!C2:C999, MATCH(D1722,RulebookFields!A2:A999, 0)), "")</f>
        <v>StepExecutions</v>
      </c>
      <c r="I1722" s="3" t="str">
        <f>_xlfn.IFNA(INDEX(RulebookFields!D2:D999, MATCH(D1722,RulebookFields!A2:A999, 0)), "")</f>
        <v>RequiredBlockingCount</v>
      </c>
      <c r="J1722" s="3" t="b">
        <f>_xlfn.IFNA(INDEX(RulebookFields!I2:I999, MATCH(D1722,RulebookFields!A2:A999, 0)), "")</f>
        <v>1</v>
      </c>
      <c r="K1722" s="3" t="b">
        <f>AND(F1722, J1722)</f>
        <v>0</v>
      </c>
      <c r="L1722" s="3" t="b">
        <f>AND(G1722 &lt;&gt; "plain", G1722 &lt;&gt; "")</f>
        <v>0</v>
      </c>
      <c r="M1722" s="3" t="str">
        <f>IF(E1722, C1722 &amp; "|" &amp; H1722, "")</f>
        <v>principal-process-steward|StepExecutions</v>
      </c>
      <c r="N1722" s="2" t="s">
        <v>9938</v>
      </c>
    </row>
    <row r="1723">
      <c r="A1723" s="2" t="s">
        <v>11659</v>
      </c>
      <c r="B1723" s="3" t="str">
        <f>C1723 &amp; " -&gt; " &amp; D1723</f>
        <v>principal-process-steward -&gt; StepExecutions.HasUnevaluatedBlockingRequirement</v>
      </c>
      <c r="C1723" s="2" t="s">
        <v>9706</v>
      </c>
      <c r="D1723" s="2" t="s">
        <v>3638</v>
      </c>
      <c r="E1723" s="2" t="b">
        <v>1</v>
      </c>
      <c r="F1723" s="2" t="b">
        <v>0</v>
      </c>
      <c r="G1723" s="2" t="s">
        <v>9937</v>
      </c>
      <c r="H1723" s="3" t="str">
        <f>_xlfn.IFNA(INDEX(RulebookFields!C2:C999, MATCH(D1723,RulebookFields!A2:A999, 0)), "")</f>
        <v>StepExecutions</v>
      </c>
      <c r="I1723" s="3" t="str">
        <f>_xlfn.IFNA(INDEX(RulebookFields!D2:D999, MATCH(D1723,RulebookFields!A2:A999, 0)), "")</f>
        <v>HasUnevaluatedBlockingRequirement</v>
      </c>
      <c r="J1723" s="3" t="b">
        <f>_xlfn.IFNA(INDEX(RulebookFields!I2:I999, MATCH(D1723,RulebookFields!A2:A999, 0)), "")</f>
        <v>1</v>
      </c>
      <c r="K1723" s="3" t="b">
        <f>AND(F1723, J1723)</f>
        <v>0</v>
      </c>
      <c r="L1723" s="3" t="b">
        <f>AND(G1723 &lt;&gt; "plain", G1723 &lt;&gt; "")</f>
        <v>0</v>
      </c>
      <c r="M1723" s="3" t="str">
        <f>IF(E1723, C1723 &amp; "|" &amp; H1723, "")</f>
        <v>principal-process-steward|StepExecutions</v>
      </c>
      <c r="N1723" s="2" t="s">
        <v>9938</v>
      </c>
    </row>
    <row r="1724">
      <c r="A1724" s="2" t="s">
        <v>11660</v>
      </c>
      <c r="B1724" s="3" t="str">
        <f>C1724 &amp; " -&gt; " &amp; D1724</f>
        <v>principal-process-steward -&gt; StepExecutions.ExecutingAgentKind</v>
      </c>
      <c r="C1724" s="2" t="s">
        <v>9706</v>
      </c>
      <c r="D1724" s="2" t="s">
        <v>3640</v>
      </c>
      <c r="E1724" s="2" t="b">
        <v>1</v>
      </c>
      <c r="F1724" s="2" t="b">
        <v>0</v>
      </c>
      <c r="G1724" s="2" t="s">
        <v>9937</v>
      </c>
      <c r="H1724" s="3" t="str">
        <f>_xlfn.IFNA(INDEX(RulebookFields!C2:C999, MATCH(D1724,RulebookFields!A2:A999, 0)), "")</f>
        <v>StepExecutions</v>
      </c>
      <c r="I1724" s="3" t="str">
        <f>_xlfn.IFNA(INDEX(RulebookFields!D2:D999, MATCH(D1724,RulebookFields!A2:A999, 0)), "")</f>
        <v>ExecutingAgentKind</v>
      </c>
      <c r="J1724" s="3" t="b">
        <f>_xlfn.IFNA(INDEX(RulebookFields!I2:I999, MATCH(D1724,RulebookFields!A2:A999, 0)), "")</f>
        <v>1</v>
      </c>
      <c r="K1724" s="3" t="b">
        <f>AND(F1724, J1724)</f>
        <v>0</v>
      </c>
      <c r="L1724" s="3" t="b">
        <f>AND(G1724 &lt;&gt; "plain", G1724 &lt;&gt; "")</f>
        <v>0</v>
      </c>
      <c r="M1724" s="3" t="str">
        <f>IF(E1724, C1724 &amp; "|" &amp; H1724, "")</f>
        <v>principal-process-steward|StepExecutions</v>
      </c>
      <c r="N1724" s="2" t="s">
        <v>9938</v>
      </c>
    </row>
    <row r="1725">
      <c r="A1725" s="2" t="s">
        <v>11661</v>
      </c>
      <c r="B1725" s="3" t="str">
        <f>C1725 &amp; " -&gt; " &amp; D1725</f>
        <v>principal-process-steward -&gt; StepExecutions.WasExecutedBySoftware</v>
      </c>
      <c r="C1725" s="2" t="s">
        <v>9706</v>
      </c>
      <c r="D1725" s="2" t="s">
        <v>3641</v>
      </c>
      <c r="E1725" s="2" t="b">
        <v>1</v>
      </c>
      <c r="F1725" s="2" t="b">
        <v>0</v>
      </c>
      <c r="G1725" s="2" t="s">
        <v>9937</v>
      </c>
      <c r="H1725" s="3" t="str">
        <f>_xlfn.IFNA(INDEX(RulebookFields!C2:C999, MATCH(D1725,RulebookFields!A2:A999, 0)), "")</f>
        <v>StepExecutions</v>
      </c>
      <c r="I1725" s="3" t="str">
        <f>_xlfn.IFNA(INDEX(RulebookFields!D2:D999, MATCH(D1725,RulebookFields!A2:A999, 0)), "")</f>
        <v>WasExecutedBySoftware</v>
      </c>
      <c r="J1725" s="3" t="b">
        <f>_xlfn.IFNA(INDEX(RulebookFields!I2:I999, MATCH(D1725,RulebookFields!A2:A999, 0)), "")</f>
        <v>1</v>
      </c>
      <c r="K1725" s="3" t="b">
        <f>AND(F1725, J1725)</f>
        <v>0</v>
      </c>
      <c r="L1725" s="3" t="b">
        <f>AND(G1725 &lt;&gt; "plain", G1725 &lt;&gt; "")</f>
        <v>0</v>
      </c>
      <c r="M1725" s="3" t="str">
        <f>IF(E1725, C1725 &amp; "|" &amp; H1725, "")</f>
        <v>principal-process-steward|StepExecutions</v>
      </c>
      <c r="N1725" s="2" t="s">
        <v>9938</v>
      </c>
    </row>
    <row r="1726">
      <c r="A1726" s="2" t="s">
        <v>11662</v>
      </c>
      <c r="B1726" s="3" t="str">
        <f>C1726 &amp; " -&gt; " &amp; D1726</f>
        <v>principal-process-steward -&gt; StepExecutions.StepIsSoftwareAssigned</v>
      </c>
      <c r="C1726" s="2" t="s">
        <v>9706</v>
      </c>
      <c r="D1726" s="2" t="s">
        <v>3643</v>
      </c>
      <c r="E1726" s="2" t="b">
        <v>1</v>
      </c>
      <c r="F1726" s="2" t="b">
        <v>0</v>
      </c>
      <c r="G1726" s="2" t="s">
        <v>9937</v>
      </c>
      <c r="H1726" s="3" t="str">
        <f>_xlfn.IFNA(INDEX(RulebookFields!C2:C999, MATCH(D1726,RulebookFields!A2:A999, 0)), "")</f>
        <v>StepExecutions</v>
      </c>
      <c r="I1726" s="3" t="str">
        <f>_xlfn.IFNA(INDEX(RulebookFields!D2:D999, MATCH(D1726,RulebookFields!A2:A999, 0)), "")</f>
        <v>StepIsSoftwareAssigned</v>
      </c>
      <c r="J1726" s="3" t="b">
        <f>_xlfn.IFNA(INDEX(RulebookFields!I2:I999, MATCH(D1726,RulebookFields!A2:A999, 0)), "")</f>
        <v>1</v>
      </c>
      <c r="K1726" s="3" t="b">
        <f>AND(F1726, J1726)</f>
        <v>0</v>
      </c>
      <c r="L1726" s="3" t="b">
        <f>AND(G1726 &lt;&gt; "plain", G1726 &lt;&gt; "")</f>
        <v>0</v>
      </c>
      <c r="M1726" s="3" t="str">
        <f>IF(E1726, C1726 &amp; "|" &amp; H1726, "")</f>
        <v>principal-process-steward|StepExecutions</v>
      </c>
      <c r="N1726" s="2" t="s">
        <v>9938</v>
      </c>
    </row>
    <row r="1727">
      <c r="A1727" s="2" t="s">
        <v>11663</v>
      </c>
      <c r="B1727" s="3" t="str">
        <f>C1727 &amp; " -&gt; " &amp; D1727</f>
        <v>principal-process-steward -&gt; StepExecutions.SoftwareDidHumanWork</v>
      </c>
      <c r="C1727" s="2" t="s">
        <v>9706</v>
      </c>
      <c r="D1727" s="2" t="s">
        <v>3644</v>
      </c>
      <c r="E1727" s="2" t="b">
        <v>1</v>
      </c>
      <c r="F1727" s="2" t="b">
        <v>0</v>
      </c>
      <c r="G1727" s="2" t="s">
        <v>9937</v>
      </c>
      <c r="H1727" s="3" t="str">
        <f>_xlfn.IFNA(INDEX(RulebookFields!C2:C999, MATCH(D1727,RulebookFields!A2:A999, 0)), "")</f>
        <v>StepExecutions</v>
      </c>
      <c r="I1727" s="3" t="str">
        <f>_xlfn.IFNA(INDEX(RulebookFields!D2:D999, MATCH(D1727,RulebookFields!A2:A999, 0)), "")</f>
        <v>SoftwareDidHumanWork</v>
      </c>
      <c r="J1727" s="3" t="b">
        <f>_xlfn.IFNA(INDEX(RulebookFields!I2:I999, MATCH(D1727,RulebookFields!A2:A999, 0)), "")</f>
        <v>1</v>
      </c>
      <c r="K1727" s="3" t="b">
        <f>AND(F1727, J1727)</f>
        <v>0</v>
      </c>
      <c r="L1727" s="3" t="b">
        <f>AND(G1727 &lt;&gt; "plain", G1727 &lt;&gt; "")</f>
        <v>0</v>
      </c>
      <c r="M1727" s="3" t="str">
        <f>IF(E1727, C1727 &amp; "|" &amp; H1727, "")</f>
        <v>principal-process-steward|StepExecutions</v>
      </c>
      <c r="N1727" s="2" t="s">
        <v>9938</v>
      </c>
    </row>
    <row r="1728">
      <c r="A1728" s="2" t="s">
        <v>11664</v>
      </c>
      <c r="B1728" s="3" t="str">
        <f>C1728 &amp; " -&gt; " &amp; D1728</f>
        <v>principal-process-steward -&gt; StepExecutions.IsApprovalExecution</v>
      </c>
      <c r="C1728" s="2" t="s">
        <v>9706</v>
      </c>
      <c r="D1728" s="2" t="s">
        <v>3646</v>
      </c>
      <c r="E1728" s="2" t="b">
        <v>1</v>
      </c>
      <c r="F1728" s="2" t="b">
        <v>0</v>
      </c>
      <c r="G1728" s="2" t="s">
        <v>9937</v>
      </c>
      <c r="H1728" s="3" t="str">
        <f>_xlfn.IFNA(INDEX(RulebookFields!C2:C999, MATCH(D1728,RulebookFields!A2:A999, 0)), "")</f>
        <v>StepExecutions</v>
      </c>
      <c r="I1728" s="3" t="str">
        <f>_xlfn.IFNA(INDEX(RulebookFields!D2:D999, MATCH(D1728,RulebookFields!A2:A999, 0)), "")</f>
        <v>IsApprovalExecution</v>
      </c>
      <c r="J1728" s="3" t="b">
        <f>_xlfn.IFNA(INDEX(RulebookFields!I2:I999, MATCH(D1728,RulebookFields!A2:A999, 0)), "")</f>
        <v>1</v>
      </c>
      <c r="K1728" s="3" t="b">
        <f>AND(F1728, J1728)</f>
        <v>0</v>
      </c>
      <c r="L1728" s="3" t="b">
        <f>AND(G1728 &lt;&gt; "plain", G1728 &lt;&gt; "")</f>
        <v>0</v>
      </c>
      <c r="M1728" s="3" t="str">
        <f>IF(E1728, C1728 &amp; "|" &amp; H1728, "")</f>
        <v>principal-process-steward|StepExecutions</v>
      </c>
      <c r="N1728" s="2" t="s">
        <v>9938</v>
      </c>
    </row>
    <row r="1729">
      <c r="A1729" s="2" t="s">
        <v>11665</v>
      </c>
      <c r="B1729" s="3" t="str">
        <f>C1729 &amp; " -&gt; " &amp; D1729</f>
        <v>principal-process-steward -&gt; StepExecutions.IsVerified</v>
      </c>
      <c r="C1729" s="2" t="s">
        <v>9706</v>
      </c>
      <c r="D1729" s="2" t="s">
        <v>3648</v>
      </c>
      <c r="E1729" s="2" t="b">
        <v>1</v>
      </c>
      <c r="F1729" s="2" t="b">
        <v>0</v>
      </c>
      <c r="G1729" s="2" t="s">
        <v>9937</v>
      </c>
      <c r="H1729" s="3" t="str">
        <f>_xlfn.IFNA(INDEX(RulebookFields!C2:C999, MATCH(D1729,RulebookFields!A2:A999, 0)), "")</f>
        <v>StepExecutions</v>
      </c>
      <c r="I1729" s="3" t="str">
        <f>_xlfn.IFNA(INDEX(RulebookFields!D2:D999, MATCH(D1729,RulebookFields!A2:A999, 0)), "")</f>
        <v>IsVerified</v>
      </c>
      <c r="J1729" s="3" t="b">
        <f>_xlfn.IFNA(INDEX(RulebookFields!I2:I999, MATCH(D1729,RulebookFields!A2:A999, 0)), "")</f>
        <v>1</v>
      </c>
      <c r="K1729" s="3" t="b">
        <f>AND(F1729, J1729)</f>
        <v>0</v>
      </c>
      <c r="L1729" s="3" t="b">
        <f>AND(G1729 &lt;&gt; "plain", G1729 &lt;&gt; "")</f>
        <v>0</v>
      </c>
      <c r="M1729" s="3" t="str">
        <f>IF(E1729, C1729 &amp; "|" &amp; H1729, "")</f>
        <v>principal-process-steward|StepExecutions</v>
      </c>
      <c r="N1729" s="2" t="s">
        <v>9938</v>
      </c>
    </row>
    <row r="1730">
      <c r="A1730" s="2" t="s">
        <v>11666</v>
      </c>
      <c r="B1730" s="3" t="str">
        <f>C1730 &amp; " -&gt; " &amp; D1730</f>
        <v>principal-process-steward -&gt; StepExecutions.UnconfirmedNonHumanDecisionCount</v>
      </c>
      <c r="C1730" s="2" t="s">
        <v>9706</v>
      </c>
      <c r="D1730" s="2" t="s">
        <v>3650</v>
      </c>
      <c r="E1730" s="2" t="b">
        <v>1</v>
      </c>
      <c r="F1730" s="2" t="b">
        <v>0</v>
      </c>
      <c r="G1730" s="2" t="s">
        <v>9937</v>
      </c>
      <c r="H1730" s="3" t="str">
        <f>_xlfn.IFNA(INDEX(RulebookFields!C2:C999, MATCH(D1730,RulebookFields!A2:A999, 0)), "")</f>
        <v>StepExecutions</v>
      </c>
      <c r="I1730" s="3" t="str">
        <f>_xlfn.IFNA(INDEX(RulebookFields!D2:D999, MATCH(D1730,RulebookFields!A2:A999, 0)), "")</f>
        <v>UnconfirmedNonHumanDecisionCount</v>
      </c>
      <c r="J1730" s="3" t="b">
        <f>_xlfn.IFNA(INDEX(RulebookFields!I2:I999, MATCH(D1730,RulebookFields!A2:A999, 0)), "")</f>
        <v>1</v>
      </c>
      <c r="K1730" s="3" t="b">
        <f>AND(F1730, J1730)</f>
        <v>0</v>
      </c>
      <c r="L1730" s="3" t="b">
        <f>AND(G1730 &lt;&gt; "plain", G1730 &lt;&gt; "")</f>
        <v>0</v>
      </c>
      <c r="M1730" s="3" t="str">
        <f>IF(E1730, C1730 &amp; "|" &amp; H1730, "")</f>
        <v>principal-process-steward|StepExecutions</v>
      </c>
      <c r="N1730" s="2" t="s">
        <v>9938</v>
      </c>
    </row>
    <row r="1731">
      <c r="A1731" s="2" t="s">
        <v>11667</v>
      </c>
      <c r="B1731" s="3" t="str">
        <f>C1731 &amp; " -&gt; " &amp; D1731</f>
        <v>principal-process-steward -&gt; StepExecutions.RequiresHumanConfirmation</v>
      </c>
      <c r="C1731" s="2" t="s">
        <v>9706</v>
      </c>
      <c r="D1731" s="2" t="s">
        <v>3652</v>
      </c>
      <c r="E1731" s="2" t="b">
        <v>1</v>
      </c>
      <c r="F1731" s="2" t="b">
        <v>0</v>
      </c>
      <c r="G1731" s="2" t="s">
        <v>9937</v>
      </c>
      <c r="H1731" s="3" t="str">
        <f>_xlfn.IFNA(INDEX(RulebookFields!C2:C999, MATCH(D1731,RulebookFields!A2:A999, 0)), "")</f>
        <v>StepExecutions</v>
      </c>
      <c r="I1731" s="3" t="str">
        <f>_xlfn.IFNA(INDEX(RulebookFields!D2:D999, MATCH(D1731,RulebookFields!A2:A999, 0)), "")</f>
        <v>RequiresHumanConfirmation</v>
      </c>
      <c r="J1731" s="3" t="b">
        <f>_xlfn.IFNA(INDEX(RulebookFields!I2:I999, MATCH(D1731,RulebookFields!A2:A999, 0)), "")</f>
        <v>1</v>
      </c>
      <c r="K1731" s="3" t="b">
        <f>AND(F1731, J1731)</f>
        <v>0</v>
      </c>
      <c r="L1731" s="3" t="b">
        <f>AND(G1731 &lt;&gt; "plain", G1731 &lt;&gt; "")</f>
        <v>0</v>
      </c>
      <c r="M1731" s="3" t="str">
        <f>IF(E1731, C1731 &amp; "|" &amp; H1731, "")</f>
        <v>principal-process-steward|StepExecutions</v>
      </c>
      <c r="N1731" s="2" t="s">
        <v>9938</v>
      </c>
    </row>
    <row r="1732">
      <c r="A1732" s="2" t="s">
        <v>11668</v>
      </c>
      <c r="B1732" s="3" t="str">
        <f>C1732 &amp; " -&gt; " &amp; D1732</f>
        <v>principal-process-steward -&gt; StepExecutions.HumanConfirmationMissing</v>
      </c>
      <c r="C1732" s="2" t="s">
        <v>9706</v>
      </c>
      <c r="D1732" s="2" t="s">
        <v>3653</v>
      </c>
      <c r="E1732" s="2" t="b">
        <v>1</v>
      </c>
      <c r="F1732" s="2" t="b">
        <v>0</v>
      </c>
      <c r="G1732" s="2" t="s">
        <v>9937</v>
      </c>
      <c r="H1732" s="3" t="str">
        <f>_xlfn.IFNA(INDEX(RulebookFields!C2:C999, MATCH(D1732,RulebookFields!A2:A999, 0)), "")</f>
        <v>StepExecutions</v>
      </c>
      <c r="I1732" s="3" t="str">
        <f>_xlfn.IFNA(INDEX(RulebookFields!D2:D999, MATCH(D1732,RulebookFields!A2:A999, 0)), "")</f>
        <v>HumanConfirmationMissing</v>
      </c>
      <c r="J1732" s="3" t="b">
        <f>_xlfn.IFNA(INDEX(RulebookFields!I2:I999, MATCH(D1732,RulebookFields!A2:A999, 0)), "")</f>
        <v>1</v>
      </c>
      <c r="K1732" s="3" t="b">
        <f>AND(F1732, J1732)</f>
        <v>0</v>
      </c>
      <c r="L1732" s="3" t="b">
        <f>AND(G1732 &lt;&gt; "plain", G1732 &lt;&gt; "")</f>
        <v>0</v>
      </c>
      <c r="M1732" s="3" t="str">
        <f>IF(E1732, C1732 &amp; "|" &amp; H1732, "")</f>
        <v>principal-process-steward|StepExecutions</v>
      </c>
      <c r="N1732" s="2" t="s">
        <v>9938</v>
      </c>
    </row>
    <row r="1733">
      <c r="A1733" s="2" t="s">
        <v>11669</v>
      </c>
      <c r="B1733" s="3" t="str">
        <f>C1733 &amp; " -&gt; " &amp; D1733</f>
        <v>principal-process-steward -&gt; StepExecutions.DraftedFromUnusableSource</v>
      </c>
      <c r="C1733" s="2" t="s">
        <v>9706</v>
      </c>
      <c r="D1733" s="2" t="s">
        <v>3655</v>
      </c>
      <c r="E1733" s="2" t="b">
        <v>1</v>
      </c>
      <c r="F1733" s="2" t="b">
        <v>0</v>
      </c>
      <c r="G1733" s="2" t="s">
        <v>9937</v>
      </c>
      <c r="H1733" s="3" t="str">
        <f>_xlfn.IFNA(INDEX(RulebookFields!C2:C999, MATCH(D1733,RulebookFields!A2:A999, 0)), "")</f>
        <v>StepExecutions</v>
      </c>
      <c r="I1733" s="3" t="str">
        <f>_xlfn.IFNA(INDEX(RulebookFields!D2:D999, MATCH(D1733,RulebookFields!A2:A999, 0)), "")</f>
        <v>DraftedFromUnusableSource</v>
      </c>
      <c r="J1733" s="3" t="b">
        <f>_xlfn.IFNA(INDEX(RulebookFields!I2:I999, MATCH(D1733,RulebookFields!A2:A999, 0)), "")</f>
        <v>1</v>
      </c>
      <c r="K1733" s="3" t="b">
        <f>AND(F1733, J1733)</f>
        <v>0</v>
      </c>
      <c r="L1733" s="3" t="b">
        <f>AND(G1733 &lt;&gt; "plain", G1733 &lt;&gt; "")</f>
        <v>0</v>
      </c>
      <c r="M1733" s="3" t="str">
        <f>IF(E1733, C1733 &amp; "|" &amp; H1733, "")</f>
        <v>principal-process-steward|StepExecutions</v>
      </c>
      <c r="N1733" s="2" t="s">
        <v>9938</v>
      </c>
    </row>
    <row r="1734">
      <c r="A1734" s="2" t="s">
        <v>11670</v>
      </c>
      <c r="B1734" s="3" t="str">
        <f>C1734 &amp; " -&gt; " &amp; D1734</f>
        <v>principal-process-steward -&gt; StepExecutions.InputsWereUsable</v>
      </c>
      <c r="C1734" s="2" t="s">
        <v>9706</v>
      </c>
      <c r="D1734" s="2" t="s">
        <v>3657</v>
      </c>
      <c r="E1734" s="2" t="b">
        <v>1</v>
      </c>
      <c r="F1734" s="2" t="b">
        <v>0</v>
      </c>
      <c r="G1734" s="2" t="s">
        <v>9937</v>
      </c>
      <c r="H1734" s="3" t="str">
        <f>_xlfn.IFNA(INDEX(RulebookFields!C2:C999, MATCH(D1734,RulebookFields!A2:A999, 0)), "")</f>
        <v>StepExecutions</v>
      </c>
      <c r="I1734" s="3" t="str">
        <f>_xlfn.IFNA(INDEX(RulebookFields!D2:D999, MATCH(D1734,RulebookFields!A2:A999, 0)), "")</f>
        <v>InputsWereUsable</v>
      </c>
      <c r="J1734" s="3" t="b">
        <f>_xlfn.IFNA(INDEX(RulebookFields!I2:I999, MATCH(D1734,RulebookFields!A2:A999, 0)), "")</f>
        <v>1</v>
      </c>
      <c r="K1734" s="3" t="b">
        <f>AND(F1734, J1734)</f>
        <v>0</v>
      </c>
      <c r="L1734" s="3" t="b">
        <f>AND(G1734 &lt;&gt; "plain", G1734 &lt;&gt; "")</f>
        <v>0</v>
      </c>
      <c r="M1734" s="3" t="str">
        <f>IF(E1734, C1734 &amp; "|" &amp; H1734, "")</f>
        <v>principal-process-steward|StepExecutions</v>
      </c>
      <c r="N1734" s="2" t="s">
        <v>9938</v>
      </c>
    </row>
    <row r="1735">
      <c r="A1735" s="2" t="s">
        <v>11671</v>
      </c>
      <c r="B1735" s="3" t="str">
        <f>C1735 &amp; " -&gt; " &amp; D1735</f>
        <v>principal-process-steward -&gt; StepExecutions.SoftwareExecutionStepKey</v>
      </c>
      <c r="C1735" s="2" t="s">
        <v>9706</v>
      </c>
      <c r="D1735" s="2" t="s">
        <v>3659</v>
      </c>
      <c r="E1735" s="2" t="b">
        <v>1</v>
      </c>
      <c r="F1735" s="2" t="b">
        <v>0</v>
      </c>
      <c r="G1735" s="2" t="s">
        <v>9937</v>
      </c>
      <c r="H1735" s="3" t="str">
        <f>_xlfn.IFNA(INDEX(RulebookFields!C2:C999, MATCH(D1735,RulebookFields!A2:A999, 0)), "")</f>
        <v>StepExecutions</v>
      </c>
      <c r="I1735" s="3" t="str">
        <f>_xlfn.IFNA(INDEX(RulebookFields!D2:D999, MATCH(D1735,RulebookFields!A2:A999, 0)), "")</f>
        <v>SoftwareExecutionStepKey</v>
      </c>
      <c r="J1735" s="3" t="b">
        <f>_xlfn.IFNA(INDEX(RulebookFields!I2:I999, MATCH(D1735,RulebookFields!A2:A999, 0)), "")</f>
        <v>1</v>
      </c>
      <c r="K1735" s="3" t="b">
        <f>AND(F1735, J1735)</f>
        <v>0</v>
      </c>
      <c r="L1735" s="3" t="b">
        <f>AND(G1735 &lt;&gt; "plain", G1735 &lt;&gt; "")</f>
        <v>0</v>
      </c>
      <c r="M1735" s="3" t="str">
        <f>IF(E1735, C1735 &amp; "|" &amp; H1735, "")</f>
        <v>principal-process-steward|StepExecutions</v>
      </c>
      <c r="N1735" s="2" t="s">
        <v>9938</v>
      </c>
    </row>
    <row r="1736">
      <c r="A1736" s="2" t="s">
        <v>11672</v>
      </c>
      <c r="B1736" s="3" t="str">
        <f>C1736 &amp; " -&gt; " &amp; D1736</f>
        <v>principal-process-steward -&gt; StepExecutions.StepControlKind</v>
      </c>
      <c r="C1736" s="2" t="s">
        <v>9706</v>
      </c>
      <c r="D1736" s="2" t="s">
        <v>3661</v>
      </c>
      <c r="E1736" s="2" t="b">
        <v>1</v>
      </c>
      <c r="F1736" s="2" t="b">
        <v>0</v>
      </c>
      <c r="G1736" s="2" t="s">
        <v>9937</v>
      </c>
      <c r="H1736" s="3" t="str">
        <f>_xlfn.IFNA(INDEX(RulebookFields!C2:C999, MATCH(D1736,RulebookFields!A2:A999, 0)), "")</f>
        <v>StepExecutions</v>
      </c>
      <c r="I1736" s="3" t="str">
        <f>_xlfn.IFNA(INDEX(RulebookFields!D2:D999, MATCH(D1736,RulebookFields!A2:A999, 0)), "")</f>
        <v>StepControlKind</v>
      </c>
      <c r="J1736" s="3" t="b">
        <f>_xlfn.IFNA(INDEX(RulebookFields!I2:I999, MATCH(D1736,RulebookFields!A2:A999, 0)), "")</f>
        <v>1</v>
      </c>
      <c r="K1736" s="3" t="b">
        <f>AND(F1736, J1736)</f>
        <v>0</v>
      </c>
      <c r="L1736" s="3" t="b">
        <f>AND(G1736 &lt;&gt; "plain", G1736 &lt;&gt; "")</f>
        <v>0</v>
      </c>
      <c r="M1736" s="3" t="str">
        <f>IF(E1736, C1736 &amp; "|" &amp; H1736, "")</f>
        <v>principal-process-steward|StepExecutions</v>
      </c>
      <c r="N1736" s="2" t="s">
        <v>9938</v>
      </c>
    </row>
    <row r="1737">
      <c r="A1737" s="2" t="s">
        <v>11673</v>
      </c>
      <c r="B1737" s="3" t="str">
        <f>C1737 &amp; " -&gt; " &amp; D1737</f>
        <v>principal-process-steward -&gt; StepExecutions.UnfalsifiedClearanceCount</v>
      </c>
      <c r="C1737" s="2" t="s">
        <v>9706</v>
      </c>
      <c r="D1737" s="2" t="s">
        <v>3663</v>
      </c>
      <c r="E1737" s="2" t="b">
        <v>1</v>
      </c>
      <c r="F1737" s="2" t="b">
        <v>0</v>
      </c>
      <c r="G1737" s="2" t="s">
        <v>9937</v>
      </c>
      <c r="H1737" s="3" t="str">
        <f>_xlfn.IFNA(INDEX(RulebookFields!C2:C999, MATCH(D1737,RulebookFields!A2:A999, 0)), "")</f>
        <v>StepExecutions</v>
      </c>
      <c r="I1737" s="3" t="str">
        <f>_xlfn.IFNA(INDEX(RulebookFields!D2:D999, MATCH(D1737,RulebookFields!A2:A999, 0)), "")</f>
        <v>UnfalsifiedClearanceCount</v>
      </c>
      <c r="J1737" s="3" t="b">
        <f>_xlfn.IFNA(INDEX(RulebookFields!I2:I999, MATCH(D1737,RulebookFields!A2:A999, 0)), "")</f>
        <v>1</v>
      </c>
      <c r="K1737" s="3" t="b">
        <f>AND(F1737, J1737)</f>
        <v>0</v>
      </c>
      <c r="L1737" s="3" t="b">
        <f>AND(G1737 &lt;&gt; "plain", G1737 &lt;&gt; "")</f>
        <v>0</v>
      </c>
      <c r="M1737" s="3" t="str">
        <f>IF(E1737, C1737 &amp; "|" &amp; H1737, "")</f>
        <v>principal-process-steward|StepExecutions</v>
      </c>
      <c r="N1737" s="2" t="s">
        <v>9938</v>
      </c>
    </row>
    <row r="1738">
      <c r="A1738" s="2" t="s">
        <v>11674</v>
      </c>
      <c r="B1738" s="3" t="str">
        <f>C1738 &amp; " -&gt; " &amp; D1738</f>
        <v>principal-process-steward -&gt; StepExecutions.AllClearancesAreUnfalsified</v>
      </c>
      <c r="C1738" s="2" t="s">
        <v>9706</v>
      </c>
      <c r="D1738" s="2" t="s">
        <v>3665</v>
      </c>
      <c r="E1738" s="2" t="b">
        <v>1</v>
      </c>
      <c r="F1738" s="2" t="b">
        <v>0</v>
      </c>
      <c r="G1738" s="2" t="s">
        <v>9937</v>
      </c>
      <c r="H1738" s="3" t="str">
        <f>_xlfn.IFNA(INDEX(RulebookFields!C2:C999, MATCH(D1738,RulebookFields!A2:A999, 0)), "")</f>
        <v>StepExecutions</v>
      </c>
      <c r="I1738" s="3" t="str">
        <f>_xlfn.IFNA(INDEX(RulebookFields!D2:D999, MATCH(D1738,RulebookFields!A2:A999, 0)), "")</f>
        <v>AllClearancesAreUnfalsified</v>
      </c>
      <c r="J1738" s="3" t="b">
        <f>_xlfn.IFNA(INDEX(RulebookFields!I2:I999, MATCH(D1738,RulebookFields!A2:A999, 0)), "")</f>
        <v>1</v>
      </c>
      <c r="K1738" s="3" t="b">
        <f>AND(F1738, J1738)</f>
        <v>0</v>
      </c>
      <c r="L1738" s="3" t="b">
        <f>AND(G1738 &lt;&gt; "plain", G1738 &lt;&gt; "")</f>
        <v>0</v>
      </c>
      <c r="M1738" s="3" t="str">
        <f>IF(E1738, C1738 &amp; "|" &amp; H1738, "")</f>
        <v>principal-process-steward|StepExecutions</v>
      </c>
      <c r="N1738" s="2" t="s">
        <v>9938</v>
      </c>
    </row>
    <row r="1739">
      <c r="A1739" s="2" t="s">
        <v>11675</v>
      </c>
      <c r="B1739" s="3" t="str">
        <f>C1739 &amp; " -&gt; " &amp; D1739</f>
        <v>principal-process-steward -&gt; StepExecutions.StaleAtRunCount</v>
      </c>
      <c r="C1739" s="2" t="s">
        <v>9706</v>
      </c>
      <c r="D1739" s="2" t="s">
        <v>3667</v>
      </c>
      <c r="E1739" s="2" t="b">
        <v>1</v>
      </c>
      <c r="F1739" s="2" t="b">
        <v>0</v>
      </c>
      <c r="G1739" s="2" t="s">
        <v>9937</v>
      </c>
      <c r="H1739" s="3" t="str">
        <f>_xlfn.IFNA(INDEX(RulebookFields!C2:C999, MATCH(D1739,RulebookFields!A2:A999, 0)), "")</f>
        <v>StepExecutions</v>
      </c>
      <c r="I1739" s="3" t="str">
        <f>_xlfn.IFNA(INDEX(RulebookFields!D2:D999, MATCH(D1739,RulebookFields!A2:A999, 0)), "")</f>
        <v>StaleAtRunCount</v>
      </c>
      <c r="J1739" s="3" t="b">
        <f>_xlfn.IFNA(INDEX(RulebookFields!I2:I999, MATCH(D1739,RulebookFields!A2:A999, 0)), "")</f>
        <v>1</v>
      </c>
      <c r="K1739" s="3" t="b">
        <f>AND(F1739, J1739)</f>
        <v>0</v>
      </c>
      <c r="L1739" s="3" t="b">
        <f>AND(G1739 &lt;&gt; "plain", G1739 &lt;&gt; "")</f>
        <v>0</v>
      </c>
      <c r="M1739" s="3" t="str">
        <f>IF(E1739, C1739 &amp; "|" &amp; H1739, "")</f>
        <v>principal-process-steward|StepExecutions</v>
      </c>
      <c r="N1739" s="2" t="s">
        <v>9938</v>
      </c>
    </row>
    <row r="1740">
      <c r="A1740" s="2" t="s">
        <v>11676</v>
      </c>
      <c r="B1740" s="3" t="str">
        <f>C1740 &amp; " -&gt; " &amp; D1740</f>
        <v>principal-process-steward -&gt; StepExecutions.WasStaleWhenIRanIt</v>
      </c>
      <c r="C1740" s="2" t="s">
        <v>9706</v>
      </c>
      <c r="D1740" s="2" t="s">
        <v>3669</v>
      </c>
      <c r="E1740" s="2" t="b">
        <v>1</v>
      </c>
      <c r="F1740" s="2" t="b">
        <v>0</v>
      </c>
      <c r="G1740" s="2" t="s">
        <v>9937</v>
      </c>
      <c r="H1740" s="3" t="str">
        <f>_xlfn.IFNA(INDEX(RulebookFields!C2:C999, MATCH(D1740,RulebookFields!A2:A999, 0)), "")</f>
        <v>StepExecutions</v>
      </c>
      <c r="I1740" s="3" t="str">
        <f>_xlfn.IFNA(INDEX(RulebookFields!D2:D999, MATCH(D1740,RulebookFields!A2:A999, 0)), "")</f>
        <v>WasStaleWhenIRanIt</v>
      </c>
      <c r="J1740" s="3" t="b">
        <f>_xlfn.IFNA(INDEX(RulebookFields!I2:I999, MATCH(D1740,RulebookFields!A2:A999, 0)), "")</f>
        <v>1</v>
      </c>
      <c r="K1740" s="3" t="b">
        <f>AND(F1740, J1740)</f>
        <v>0</v>
      </c>
      <c r="L1740" s="3" t="b">
        <f>AND(G1740 &lt;&gt; "plain", G1740 &lt;&gt; "")</f>
        <v>0</v>
      </c>
      <c r="M1740" s="3" t="str">
        <f>IF(E1740, C1740 &amp; "|" &amp; H1740, "")</f>
        <v>principal-process-steward|StepExecutions</v>
      </c>
      <c r="N1740" s="2" t="s">
        <v>9938</v>
      </c>
    </row>
    <row r="1741">
      <c r="A1741" s="2" t="s">
        <v>11677</v>
      </c>
      <c r="B1741" s="3" t="str">
        <f>C1741 &amp; " -&gt; " &amp; D1741</f>
        <v>principal-process-steward -&gt; StepExecutions.StalenessAnswerIsTenseDependent</v>
      </c>
      <c r="C1741" s="2" t="s">
        <v>9706</v>
      </c>
      <c r="D1741" s="2" t="s">
        <v>3671</v>
      </c>
      <c r="E1741" s="2" t="b">
        <v>1</v>
      </c>
      <c r="F1741" s="2" t="b">
        <v>0</v>
      </c>
      <c r="G1741" s="2" t="s">
        <v>9937</v>
      </c>
      <c r="H1741" s="3" t="str">
        <f>_xlfn.IFNA(INDEX(RulebookFields!C2:C999, MATCH(D1741,RulebookFields!A2:A999, 0)), "")</f>
        <v>StepExecutions</v>
      </c>
      <c r="I1741" s="3" t="str">
        <f>_xlfn.IFNA(INDEX(RulebookFields!D2:D999, MATCH(D1741,RulebookFields!A2:A999, 0)), "")</f>
        <v>StalenessAnswerIsTenseDependent</v>
      </c>
      <c r="J1741" s="3" t="b">
        <f>_xlfn.IFNA(INDEX(RulebookFields!I2:I999, MATCH(D1741,RulebookFields!A2:A999, 0)), "")</f>
        <v>1</v>
      </c>
      <c r="K1741" s="3" t="b">
        <f>AND(F1741, J1741)</f>
        <v>0</v>
      </c>
      <c r="L1741" s="3" t="b">
        <f>AND(G1741 &lt;&gt; "plain", G1741 &lt;&gt; "")</f>
        <v>0</v>
      </c>
      <c r="M1741" s="3" t="str">
        <f>IF(E1741, C1741 &amp; "|" &amp; H1741, "")</f>
        <v>principal-process-steward|StepExecutions</v>
      </c>
      <c r="N1741" s="2" t="s">
        <v>9938</v>
      </c>
    </row>
    <row r="1742">
      <c r="A1742" s="2" t="s">
        <v>11678</v>
      </c>
      <c r="B1742" s="3" t="str">
        <f>C1742 &amp; " -&gt; " &amp; D1742</f>
        <v>principal-process-steward -&gt; StepExecutions.HasAnyDeclaredCheck</v>
      </c>
      <c r="C1742" s="2" t="s">
        <v>9706</v>
      </c>
      <c r="D1742" s="2" t="s">
        <v>3673</v>
      </c>
      <c r="E1742" s="2" t="b">
        <v>1</v>
      </c>
      <c r="F1742" s="2" t="b">
        <v>0</v>
      </c>
      <c r="G1742" s="2" t="s">
        <v>9937</v>
      </c>
      <c r="H1742" s="3" t="str">
        <f>_xlfn.IFNA(INDEX(RulebookFields!C2:C999, MATCH(D1742,RulebookFields!A2:A999, 0)), "")</f>
        <v>StepExecutions</v>
      </c>
      <c r="I1742" s="3" t="str">
        <f>_xlfn.IFNA(INDEX(RulebookFields!D2:D999, MATCH(D1742,RulebookFields!A2:A999, 0)), "")</f>
        <v>HasAnyDeclaredCheck</v>
      </c>
      <c r="J1742" s="3" t="b">
        <f>_xlfn.IFNA(INDEX(RulebookFields!I2:I999, MATCH(D1742,RulebookFields!A2:A999, 0)), "")</f>
        <v>1</v>
      </c>
      <c r="K1742" s="3" t="b">
        <f>AND(F1742, J1742)</f>
        <v>0</v>
      </c>
      <c r="L1742" s="3" t="b">
        <f>AND(G1742 &lt;&gt; "plain", G1742 &lt;&gt; "")</f>
        <v>0</v>
      </c>
      <c r="M1742" s="3" t="str">
        <f>IF(E1742, C1742 &amp; "|" &amp; H1742, "")</f>
        <v>principal-process-steward|StepExecutions</v>
      </c>
      <c r="N1742" s="2" t="s">
        <v>9938</v>
      </c>
    </row>
    <row r="1743">
      <c r="A1743" s="2" t="s">
        <v>11679</v>
      </c>
      <c r="B1743" s="3" t="str">
        <f>C1743 &amp; " -&gt; " &amp; D1743</f>
        <v>principal-process-steward -&gt; StepExecutions.PerformedCheckCount</v>
      </c>
      <c r="C1743" s="2" t="s">
        <v>9706</v>
      </c>
      <c r="D1743" s="2" t="s">
        <v>3675</v>
      </c>
      <c r="E1743" s="2" t="b">
        <v>1</v>
      </c>
      <c r="F1743" s="2" t="b">
        <v>0</v>
      </c>
      <c r="G1743" s="2" t="s">
        <v>9937</v>
      </c>
      <c r="H1743" s="3" t="str">
        <f>_xlfn.IFNA(INDEX(RulebookFields!C2:C999, MATCH(D1743,RulebookFields!A2:A999, 0)), "")</f>
        <v>StepExecutions</v>
      </c>
      <c r="I1743" s="3" t="str">
        <f>_xlfn.IFNA(INDEX(RulebookFields!D2:D999, MATCH(D1743,RulebookFields!A2:A999, 0)), "")</f>
        <v>PerformedCheckCount</v>
      </c>
      <c r="J1743" s="3" t="b">
        <f>_xlfn.IFNA(INDEX(RulebookFields!I2:I999, MATCH(D1743,RulebookFields!A2:A999, 0)), "")</f>
        <v>1</v>
      </c>
      <c r="K1743" s="3" t="b">
        <f>AND(F1743, J1743)</f>
        <v>0</v>
      </c>
      <c r="L1743" s="3" t="b">
        <f>AND(G1743 &lt;&gt; "plain", G1743 &lt;&gt; "")</f>
        <v>0</v>
      </c>
      <c r="M1743" s="3" t="str">
        <f>IF(E1743, C1743 &amp; "|" &amp; H1743, "")</f>
        <v>principal-process-steward|StepExecutions</v>
      </c>
      <c r="N1743" s="2" t="s">
        <v>9938</v>
      </c>
    </row>
    <row r="1744">
      <c r="A1744" s="2" t="s">
        <v>11680</v>
      </c>
      <c r="B1744" s="3" t="str">
        <f>C1744 &amp; " -&gt; " &amp; D1744</f>
        <v>principal-process-steward -&gt; StepExecutions.DeclaredCheckCount</v>
      </c>
      <c r="C1744" s="2" t="s">
        <v>9706</v>
      </c>
      <c r="D1744" s="2" t="s">
        <v>3677</v>
      </c>
      <c r="E1744" s="2" t="b">
        <v>1</v>
      </c>
      <c r="F1744" s="2" t="b">
        <v>0</v>
      </c>
      <c r="G1744" s="2" t="s">
        <v>9937</v>
      </c>
      <c r="H1744" s="3" t="str">
        <f>_xlfn.IFNA(INDEX(RulebookFields!C2:C999, MATCH(D1744,RulebookFields!A2:A999, 0)), "")</f>
        <v>StepExecutions</v>
      </c>
      <c r="I1744" s="3" t="str">
        <f>_xlfn.IFNA(INDEX(RulebookFields!D2:D999, MATCH(D1744,RulebookFields!A2:A999, 0)), "")</f>
        <v>DeclaredCheckCount</v>
      </c>
      <c r="J1744" s="3" t="b">
        <f>_xlfn.IFNA(INDEX(RulebookFields!I2:I999, MATCH(D1744,RulebookFields!A2:A999, 0)), "")</f>
        <v>1</v>
      </c>
      <c r="K1744" s="3" t="b">
        <f>AND(F1744, J1744)</f>
        <v>0</v>
      </c>
      <c r="L1744" s="3" t="b">
        <f>AND(G1744 &lt;&gt; "plain", G1744 &lt;&gt; "")</f>
        <v>0</v>
      </c>
      <c r="M1744" s="3" t="str">
        <f>IF(E1744, C1744 &amp; "|" &amp; H1744, "")</f>
        <v>principal-process-steward|StepExecutions</v>
      </c>
      <c r="N1744" s="2" t="s">
        <v>9938</v>
      </c>
    </row>
    <row r="1745">
      <c r="A1745" s="2" t="s">
        <v>11681</v>
      </c>
      <c r="B1745" s="3" t="str">
        <f>C1745 &amp; " -&gt; " &amp; D1745</f>
        <v>principal-process-steward -&gt; StepExecutions.IsUncheckedByDesign</v>
      </c>
      <c r="C1745" s="2" t="s">
        <v>9706</v>
      </c>
      <c r="D1745" s="2" t="s">
        <v>3679</v>
      </c>
      <c r="E1745" s="2" t="b">
        <v>1</v>
      </c>
      <c r="F1745" s="2" t="b">
        <v>0</v>
      </c>
      <c r="G1745" s="2" t="s">
        <v>9937</v>
      </c>
      <c r="H1745" s="3" t="str">
        <f>_xlfn.IFNA(INDEX(RulebookFields!C2:C999, MATCH(D1745,RulebookFields!A2:A999, 0)), "")</f>
        <v>StepExecutions</v>
      </c>
      <c r="I1745" s="3" t="str">
        <f>_xlfn.IFNA(INDEX(RulebookFields!D2:D999, MATCH(D1745,RulebookFields!A2:A999, 0)), "")</f>
        <v>IsUncheckedByDesign</v>
      </c>
      <c r="J1745" s="3" t="b">
        <f>_xlfn.IFNA(INDEX(RulebookFields!I2:I999, MATCH(D1745,RulebookFields!A2:A999, 0)), "")</f>
        <v>1</v>
      </c>
      <c r="K1745" s="3" t="b">
        <f>AND(F1745, J1745)</f>
        <v>0</v>
      </c>
      <c r="L1745" s="3" t="b">
        <f>AND(G1745 &lt;&gt; "plain", G1745 &lt;&gt; "")</f>
        <v>0</v>
      </c>
      <c r="M1745" s="3" t="str">
        <f>IF(E1745, C1745 &amp; "|" &amp; H1745, "")</f>
        <v>principal-process-steward|StepExecutions</v>
      </c>
      <c r="N1745" s="2" t="s">
        <v>9938</v>
      </c>
    </row>
    <row r="1746">
      <c r="A1746" s="2" t="s">
        <v>11682</v>
      </c>
      <c r="B1746" s="3" t="str">
        <f>C1746 &amp; " -&gt; " &amp; D1746</f>
        <v>principal-process-steward -&gt; StepExecutions.IsVacuouslyClean</v>
      </c>
      <c r="C1746" s="2" t="s">
        <v>9706</v>
      </c>
      <c r="D1746" s="2" t="s">
        <v>3681</v>
      </c>
      <c r="E1746" s="2" t="b">
        <v>1</v>
      </c>
      <c r="F1746" s="2" t="b">
        <v>0</v>
      </c>
      <c r="G1746" s="2" t="s">
        <v>9937</v>
      </c>
      <c r="H1746" s="3" t="str">
        <f>_xlfn.IFNA(INDEX(RulebookFields!C2:C999, MATCH(D1746,RulebookFields!A2:A999, 0)), "")</f>
        <v>StepExecutions</v>
      </c>
      <c r="I1746" s="3" t="str">
        <f>_xlfn.IFNA(INDEX(RulebookFields!D2:D999, MATCH(D1746,RulebookFields!A2:A999, 0)), "")</f>
        <v>IsVacuouslyClean</v>
      </c>
      <c r="J1746" s="3" t="b">
        <f>_xlfn.IFNA(INDEX(RulebookFields!I2:I999, MATCH(D1746,RulebookFields!A2:A999, 0)), "")</f>
        <v>1</v>
      </c>
      <c r="K1746" s="3" t="b">
        <f>AND(F1746, J1746)</f>
        <v>0</v>
      </c>
      <c r="L1746" s="3" t="b">
        <f>AND(G1746 &lt;&gt; "plain", G1746 &lt;&gt; "")</f>
        <v>0</v>
      </c>
      <c r="M1746" s="3" t="str">
        <f>IF(E1746, C1746 &amp; "|" &amp; H1746, "")</f>
        <v>principal-process-steward|StepExecutions</v>
      </c>
      <c r="N1746" s="2" t="s">
        <v>9938</v>
      </c>
    </row>
    <row r="1747">
      <c r="A1747" s="2" t="s">
        <v>11683</v>
      </c>
      <c r="B1747" s="3" t="str">
        <f>C1747 &amp; " -&gt; " &amp; D1747</f>
        <v>principal-process-steward -&gt; StepExecutions.IsSubstantivelyClean</v>
      </c>
      <c r="C1747" s="2" t="s">
        <v>9706</v>
      </c>
      <c r="D1747" s="2" t="s">
        <v>3683</v>
      </c>
      <c r="E1747" s="2" t="b">
        <v>1</v>
      </c>
      <c r="F1747" s="2" t="b">
        <v>0</v>
      </c>
      <c r="G1747" s="2" t="s">
        <v>9937</v>
      </c>
      <c r="H1747" s="3" t="str">
        <f>_xlfn.IFNA(INDEX(RulebookFields!C2:C999, MATCH(D1747,RulebookFields!A2:A999, 0)), "")</f>
        <v>StepExecutions</v>
      </c>
      <c r="I1747" s="3" t="str">
        <f>_xlfn.IFNA(INDEX(RulebookFields!D2:D999, MATCH(D1747,RulebookFields!A2:A999, 0)), "")</f>
        <v>IsSubstantivelyClean</v>
      </c>
      <c r="J1747" s="3" t="b">
        <f>_xlfn.IFNA(INDEX(RulebookFields!I2:I999, MATCH(D1747,RulebookFields!A2:A999, 0)), "")</f>
        <v>1</v>
      </c>
      <c r="K1747" s="3" t="b">
        <f>AND(F1747, J1747)</f>
        <v>0</v>
      </c>
      <c r="L1747" s="3" t="b">
        <f>AND(G1747 &lt;&gt; "plain", G1747 &lt;&gt; "")</f>
        <v>0</v>
      </c>
      <c r="M1747" s="3" t="str">
        <f>IF(E1747, C1747 &amp; "|" &amp; H1747, "")</f>
        <v>principal-process-steward|StepExecutions</v>
      </c>
      <c r="N1747" s="2" t="s">
        <v>9938</v>
      </c>
    </row>
    <row r="1748">
      <c r="A1748" s="2" t="s">
        <v>11684</v>
      </c>
      <c r="B1748" s="3" t="str">
        <f>C1748 &amp; " -&gt; " &amp; D1748</f>
        <v>principal-process-steward -&gt; StepExecutions.VacuouslyCleanExecutionKey</v>
      </c>
      <c r="C1748" s="2" t="s">
        <v>9706</v>
      </c>
      <c r="D1748" s="2" t="s">
        <v>3685</v>
      </c>
      <c r="E1748" s="2" t="b">
        <v>1</v>
      </c>
      <c r="F1748" s="2" t="b">
        <v>0</v>
      </c>
      <c r="G1748" s="2" t="s">
        <v>9937</v>
      </c>
      <c r="H1748" s="3" t="str">
        <f>_xlfn.IFNA(INDEX(RulebookFields!C2:C999, MATCH(D1748,RulebookFields!A2:A999, 0)), "")</f>
        <v>StepExecutions</v>
      </c>
      <c r="I1748" s="3" t="str">
        <f>_xlfn.IFNA(INDEX(RulebookFields!D2:D999, MATCH(D1748,RulebookFields!A2:A999, 0)), "")</f>
        <v>VacuouslyCleanExecutionKey</v>
      </c>
      <c r="J1748" s="3" t="b">
        <f>_xlfn.IFNA(INDEX(RulebookFields!I2:I999, MATCH(D1748,RulebookFields!A2:A999, 0)), "")</f>
        <v>1</v>
      </c>
      <c r="K1748" s="3" t="b">
        <f>AND(F1748, J1748)</f>
        <v>0</v>
      </c>
      <c r="L1748" s="3" t="b">
        <f>AND(G1748 &lt;&gt; "plain", G1748 &lt;&gt; "")</f>
        <v>0</v>
      </c>
      <c r="M1748" s="3" t="str">
        <f>IF(E1748, C1748 &amp; "|" &amp; H1748, "")</f>
        <v>principal-process-steward|StepExecutions</v>
      </c>
      <c r="N1748" s="2" t="s">
        <v>9938</v>
      </c>
    </row>
    <row r="1749">
      <c r="A1749" s="2" t="s">
        <v>11685</v>
      </c>
      <c r="B1749" s="3" t="str">
        <f>C1749 &amp; " -&gt; " &amp; D1749</f>
        <v>principal-process-steward -&gt; StepExecutions.UncorroboratedPassCount</v>
      </c>
      <c r="C1749" s="2" t="s">
        <v>9706</v>
      </c>
      <c r="D1749" s="2" t="s">
        <v>3687</v>
      </c>
      <c r="E1749" s="2" t="b">
        <v>1</v>
      </c>
      <c r="F1749" s="2" t="b">
        <v>0</v>
      </c>
      <c r="G1749" s="2" t="s">
        <v>9937</v>
      </c>
      <c r="H1749" s="3" t="str">
        <f>_xlfn.IFNA(INDEX(RulebookFields!C2:C999, MATCH(D1749,RulebookFields!A2:A999, 0)), "")</f>
        <v>StepExecutions</v>
      </c>
      <c r="I1749" s="3" t="str">
        <f>_xlfn.IFNA(INDEX(RulebookFields!D2:D999, MATCH(D1749,RulebookFields!A2:A999, 0)), "")</f>
        <v>UncorroboratedPassCount</v>
      </c>
      <c r="J1749" s="3" t="b">
        <f>_xlfn.IFNA(INDEX(RulebookFields!I2:I999, MATCH(D1749,RulebookFields!A2:A999, 0)), "")</f>
        <v>1</v>
      </c>
      <c r="K1749" s="3" t="b">
        <f>AND(F1749, J1749)</f>
        <v>0</v>
      </c>
      <c r="L1749" s="3" t="b">
        <f>AND(G1749 &lt;&gt; "plain", G1749 &lt;&gt; "")</f>
        <v>0</v>
      </c>
      <c r="M1749" s="3" t="str">
        <f>IF(E1749, C1749 &amp; "|" &amp; H1749, "")</f>
        <v>principal-process-steward|StepExecutions</v>
      </c>
      <c r="N1749" s="2" t="s">
        <v>9938</v>
      </c>
    </row>
    <row r="1750">
      <c r="A1750" s="2" t="s">
        <v>11686</v>
      </c>
      <c r="B1750" s="3" t="str">
        <f>C1750 &amp; " -&gt; " &amp; D1750</f>
        <v>principal-process-steward -&gt; StepExecutions.EvidencePositionIsWeak</v>
      </c>
      <c r="C1750" s="2" t="s">
        <v>9706</v>
      </c>
      <c r="D1750" s="2" t="s">
        <v>3689</v>
      </c>
      <c r="E1750" s="2" t="b">
        <v>1</v>
      </c>
      <c r="F1750" s="2" t="b">
        <v>0</v>
      </c>
      <c r="G1750" s="2" t="s">
        <v>9937</v>
      </c>
      <c r="H1750" s="3" t="str">
        <f>_xlfn.IFNA(INDEX(RulebookFields!C2:C999, MATCH(D1750,RulebookFields!A2:A999, 0)), "")</f>
        <v>StepExecutions</v>
      </c>
      <c r="I1750" s="3" t="str">
        <f>_xlfn.IFNA(INDEX(RulebookFields!D2:D999, MATCH(D1750,RulebookFields!A2:A999, 0)), "")</f>
        <v>EvidencePositionIsWeak</v>
      </c>
      <c r="J1750" s="3" t="b">
        <f>_xlfn.IFNA(INDEX(RulebookFields!I2:I999, MATCH(D1750,RulebookFields!A2:A999, 0)), "")</f>
        <v>1</v>
      </c>
      <c r="K1750" s="3" t="b">
        <f>AND(F1750, J1750)</f>
        <v>0</v>
      </c>
      <c r="L1750" s="3" t="b">
        <f>AND(G1750 &lt;&gt; "plain", G1750 &lt;&gt; "")</f>
        <v>0</v>
      </c>
      <c r="M1750" s="3" t="str">
        <f>IF(E1750, C1750 &amp; "|" &amp; H1750, "")</f>
        <v>principal-process-steward|StepExecutions</v>
      </c>
      <c r="N1750" s="2" t="s">
        <v>9938</v>
      </c>
    </row>
    <row r="1751">
      <c r="A1751" s="2" t="s">
        <v>11687</v>
      </c>
      <c r="B1751" s="3" t="str">
        <f>C1751 &amp; " -&gt; " &amp; D1751</f>
        <v>principal-process-steward -&gt; StepExecutions.PreparationExecutionKey</v>
      </c>
      <c r="C1751" s="2" t="s">
        <v>9706</v>
      </c>
      <c r="D1751" s="2" t="s">
        <v>3691</v>
      </c>
      <c r="E1751" s="2" t="b">
        <v>1</v>
      </c>
      <c r="F1751" s="2" t="b">
        <v>0</v>
      </c>
      <c r="G1751" s="2" t="s">
        <v>9937</v>
      </c>
      <c r="H1751" s="3" t="str">
        <f>_xlfn.IFNA(INDEX(RulebookFields!C2:C999, MATCH(D1751,RulebookFields!A2:A999, 0)), "")</f>
        <v>StepExecutions</v>
      </c>
      <c r="I1751" s="3" t="str">
        <f>_xlfn.IFNA(INDEX(RulebookFields!D2:D999, MATCH(D1751,RulebookFields!A2:A999, 0)), "")</f>
        <v>PreparationExecutionKey</v>
      </c>
      <c r="J1751" s="3" t="b">
        <f>_xlfn.IFNA(INDEX(RulebookFields!I2:I999, MATCH(D1751,RulebookFields!A2:A999, 0)), "")</f>
        <v>1</v>
      </c>
      <c r="K1751" s="3" t="b">
        <f>AND(F1751, J1751)</f>
        <v>0</v>
      </c>
      <c r="L1751" s="3" t="b">
        <f>AND(G1751 &lt;&gt; "plain", G1751 &lt;&gt; "")</f>
        <v>0</v>
      </c>
      <c r="M1751" s="3" t="str">
        <f>IF(E1751, C1751 &amp; "|" &amp; H1751, "")</f>
        <v>principal-process-steward|StepExecutions</v>
      </c>
      <c r="N1751" s="2" t="s">
        <v>9938</v>
      </c>
    </row>
    <row r="1752">
      <c r="A1752" s="2" t="s">
        <v>11688</v>
      </c>
      <c r="B1752" s="3" t="str">
        <f>C1752 &amp; " -&gt; " &amp; D1752</f>
        <v>principal-process-steward -&gt; StepExecutions.ApprovalExecutionKey</v>
      </c>
      <c r="C1752" s="2" t="s">
        <v>9706</v>
      </c>
      <c r="D1752" s="2" t="s">
        <v>3693</v>
      </c>
      <c r="E1752" s="2" t="b">
        <v>1</v>
      </c>
      <c r="F1752" s="2" t="b">
        <v>0</v>
      </c>
      <c r="G1752" s="2" t="s">
        <v>9937</v>
      </c>
      <c r="H1752" s="3" t="str">
        <f>_xlfn.IFNA(INDEX(RulebookFields!C2:C999, MATCH(D1752,RulebookFields!A2:A999, 0)), "")</f>
        <v>StepExecutions</v>
      </c>
      <c r="I1752" s="3" t="str">
        <f>_xlfn.IFNA(INDEX(RulebookFields!D2:D999, MATCH(D1752,RulebookFields!A2:A999, 0)), "")</f>
        <v>ApprovalExecutionKey</v>
      </c>
      <c r="J1752" s="3" t="b">
        <f>_xlfn.IFNA(INDEX(RulebookFields!I2:I999, MATCH(D1752,RulebookFields!A2:A999, 0)), "")</f>
        <v>1</v>
      </c>
      <c r="K1752" s="3" t="b">
        <f>AND(F1752, J1752)</f>
        <v>0</v>
      </c>
      <c r="L1752" s="3" t="b">
        <f>AND(G1752 &lt;&gt; "plain", G1752 &lt;&gt; "")</f>
        <v>0</v>
      </c>
      <c r="M1752" s="3" t="str">
        <f>IF(E1752, C1752 &amp; "|" &amp; H1752, "")</f>
        <v>principal-process-steward|StepExecutions</v>
      </c>
      <c r="N1752" s="2" t="s">
        <v>9938</v>
      </c>
    </row>
    <row r="1753">
      <c r="A1753" s="2" t="s">
        <v>11689</v>
      </c>
      <c r="B1753" s="3" t="str">
        <f>C1753 &amp; " -&gt; " &amp; D1753</f>
        <v>principal-process-steward -&gt; StepExecutions.HasGoverningInstrument</v>
      </c>
      <c r="C1753" s="2" t="s">
        <v>9706</v>
      </c>
      <c r="D1753" s="2" t="s">
        <v>3695</v>
      </c>
      <c r="E1753" s="2" t="b">
        <v>1</v>
      </c>
      <c r="F1753" s="2" t="b">
        <v>0</v>
      </c>
      <c r="G1753" s="2" t="s">
        <v>9937</v>
      </c>
      <c r="H1753" s="3" t="str">
        <f>_xlfn.IFNA(INDEX(RulebookFields!C2:C999, MATCH(D1753,RulebookFields!A2:A999, 0)), "")</f>
        <v>StepExecutions</v>
      </c>
      <c r="I1753" s="3" t="str">
        <f>_xlfn.IFNA(INDEX(RulebookFields!D2:D999, MATCH(D1753,RulebookFields!A2:A999, 0)), "")</f>
        <v>HasGoverningInstrument</v>
      </c>
      <c r="J1753" s="3" t="b">
        <f>_xlfn.IFNA(INDEX(RulebookFields!I2:I999, MATCH(D1753,RulebookFields!A2:A999, 0)), "")</f>
        <v>1</v>
      </c>
      <c r="K1753" s="3" t="b">
        <f>AND(F1753, J1753)</f>
        <v>0</v>
      </c>
      <c r="L1753" s="3" t="b">
        <f>AND(G1753 &lt;&gt; "plain", G1753 &lt;&gt; "")</f>
        <v>0</v>
      </c>
      <c r="M1753" s="3" t="str">
        <f>IF(E1753, C1753 &amp; "|" &amp; H1753, "")</f>
        <v>principal-process-steward|StepExecutions</v>
      </c>
      <c r="N1753" s="2" t="s">
        <v>9938</v>
      </c>
    </row>
    <row r="1754">
      <c r="A1754" s="2" t="s">
        <v>11690</v>
      </c>
      <c r="B1754" s="3" t="str">
        <f>C1754 &amp; " -&gt; " &amp; D1754</f>
        <v>principal-process-steward -&gt; StepExecutions.HasApprovedChangeCoverage</v>
      </c>
      <c r="C1754" s="2" t="s">
        <v>9706</v>
      </c>
      <c r="D1754" s="2" t="s">
        <v>3697</v>
      </c>
      <c r="E1754" s="2" t="b">
        <v>1</v>
      </c>
      <c r="F1754" s="2" t="b">
        <v>0</v>
      </c>
      <c r="G1754" s="2" t="s">
        <v>9937</v>
      </c>
      <c r="H1754" s="3" t="str">
        <f>_xlfn.IFNA(INDEX(RulebookFields!C2:C999, MATCH(D1754,RulebookFields!A2:A999, 0)), "")</f>
        <v>StepExecutions</v>
      </c>
      <c r="I1754" s="3" t="str">
        <f>_xlfn.IFNA(INDEX(RulebookFields!D2:D999, MATCH(D1754,RulebookFields!A2:A999, 0)), "")</f>
        <v>HasApprovedChangeCoverage</v>
      </c>
      <c r="J1754" s="3" t="b">
        <f>_xlfn.IFNA(INDEX(RulebookFields!I2:I999, MATCH(D1754,RulebookFields!A2:A999, 0)), "")</f>
        <v>1</v>
      </c>
      <c r="K1754" s="3" t="b">
        <f>AND(F1754, J1754)</f>
        <v>0</v>
      </c>
      <c r="L1754" s="3" t="b">
        <f>AND(G1754 &lt;&gt; "plain", G1754 &lt;&gt; "")</f>
        <v>0</v>
      </c>
      <c r="M1754" s="3" t="str">
        <f>IF(E1754, C1754 &amp; "|" &amp; H1754, "")</f>
        <v>principal-process-steward|StepExecutions</v>
      </c>
      <c r="N1754" s="2" t="s">
        <v>9938</v>
      </c>
    </row>
    <row r="1755">
      <c r="A1755" s="2" t="s">
        <v>11691</v>
      </c>
      <c r="B1755" s="3" t="str">
        <f>C1755 &amp; " -&gt; " &amp; D1755</f>
        <v>principal-process-steward -&gt; StepExecutions.VersionOfStep</v>
      </c>
      <c r="C1755" s="2" t="s">
        <v>9706</v>
      </c>
      <c r="D1755" s="2" t="s">
        <v>3699</v>
      </c>
      <c r="E1755" s="2" t="b">
        <v>1</v>
      </c>
      <c r="F1755" s="2" t="b">
        <v>0</v>
      </c>
      <c r="G1755" s="2" t="s">
        <v>9937</v>
      </c>
      <c r="H1755" s="3" t="str">
        <f>_xlfn.IFNA(INDEX(RulebookFields!C2:C999, MATCH(D1755,RulebookFields!A2:A999, 0)), "")</f>
        <v>StepExecutions</v>
      </c>
      <c r="I1755" s="3" t="str">
        <f>_xlfn.IFNA(INDEX(RulebookFields!D2:D999, MATCH(D1755,RulebookFields!A2:A999, 0)), "")</f>
        <v>VersionOfStep</v>
      </c>
      <c r="J1755" s="3" t="b">
        <f>_xlfn.IFNA(INDEX(RulebookFields!I2:I999, MATCH(D1755,RulebookFields!A2:A999, 0)), "")</f>
        <v>1</v>
      </c>
      <c r="K1755" s="3" t="b">
        <f>AND(F1755, J1755)</f>
        <v>0</v>
      </c>
      <c r="L1755" s="3" t="b">
        <f>AND(G1755 &lt;&gt; "plain", G1755 &lt;&gt; "")</f>
        <v>0</v>
      </c>
      <c r="M1755" s="3" t="str">
        <f>IF(E1755, C1755 &amp; "|" &amp; H1755, "")</f>
        <v>principal-process-steward|StepExecutions</v>
      </c>
      <c r="N1755" s="2" t="s">
        <v>9938</v>
      </c>
    </row>
    <row r="1756">
      <c r="A1756" s="2" t="s">
        <v>11692</v>
      </c>
      <c r="B1756" s="3" t="str">
        <f>C1756 &amp; " -&gt; " &amp; D1756</f>
        <v>principal-process-steward -&gt; StepExecutions.IsUngovernedDivergence</v>
      </c>
      <c r="C1756" s="2" t="s">
        <v>9706</v>
      </c>
      <c r="D1756" s="2" t="s">
        <v>3700</v>
      </c>
      <c r="E1756" s="2" t="b">
        <v>1</v>
      </c>
      <c r="F1756" s="2" t="b">
        <v>0</v>
      </c>
      <c r="G1756" s="2" t="s">
        <v>9937</v>
      </c>
      <c r="H1756" s="3" t="str">
        <f>_xlfn.IFNA(INDEX(RulebookFields!C2:C999, MATCH(D1756,RulebookFields!A2:A999, 0)), "")</f>
        <v>StepExecutions</v>
      </c>
      <c r="I1756" s="3" t="str">
        <f>_xlfn.IFNA(INDEX(RulebookFields!D2:D999, MATCH(D1756,RulebookFields!A2:A999, 0)), "")</f>
        <v>IsUngovernedDivergence</v>
      </c>
      <c r="J1756" s="3" t="b">
        <f>_xlfn.IFNA(INDEX(RulebookFields!I2:I999, MATCH(D1756,RulebookFields!A2:A999, 0)), "")</f>
        <v>1</v>
      </c>
      <c r="K1756" s="3" t="b">
        <f>AND(F1756, J1756)</f>
        <v>0</v>
      </c>
      <c r="L1756" s="3" t="b">
        <f>AND(G1756 &lt;&gt; "plain", G1756 &lt;&gt; "")</f>
        <v>0</v>
      </c>
      <c r="M1756" s="3" t="str">
        <f>IF(E1756, C1756 &amp; "|" &amp; H1756, "")</f>
        <v>principal-process-steward|StepExecutions</v>
      </c>
      <c r="N1756" s="2" t="s">
        <v>9938</v>
      </c>
    </row>
    <row r="1757">
      <c r="A1757" s="2" t="s">
        <v>11693</v>
      </c>
      <c r="B1757" s="3" t="str">
        <f>C1757 &amp; " -&gt; " &amp; D1757</f>
        <v>principal-process-steward -&gt; StepExecutions.UngovernedDivergenceExecutionKey</v>
      </c>
      <c r="C1757" s="2" t="s">
        <v>9706</v>
      </c>
      <c r="D1757" s="2" t="s">
        <v>3702</v>
      </c>
      <c r="E1757" s="2" t="b">
        <v>1</v>
      </c>
      <c r="F1757" s="2" t="b">
        <v>0</v>
      </c>
      <c r="G1757" s="2" t="s">
        <v>9937</v>
      </c>
      <c r="H1757" s="3" t="str">
        <f>_xlfn.IFNA(INDEX(RulebookFields!C2:C999, MATCH(D1757,RulebookFields!A2:A999, 0)), "")</f>
        <v>StepExecutions</v>
      </c>
      <c r="I1757" s="3" t="str">
        <f>_xlfn.IFNA(INDEX(RulebookFields!D2:D999, MATCH(D1757,RulebookFields!A2:A999, 0)), "")</f>
        <v>UngovernedDivergenceExecutionKey</v>
      </c>
      <c r="J1757" s="3" t="b">
        <f>_xlfn.IFNA(INDEX(RulebookFields!I2:I999, MATCH(D1757,RulebookFields!A2:A999, 0)), "")</f>
        <v>1</v>
      </c>
      <c r="K1757" s="3" t="b">
        <f>AND(F1757, J1757)</f>
        <v>0</v>
      </c>
      <c r="L1757" s="3" t="b">
        <f>AND(G1757 &lt;&gt; "plain", G1757 &lt;&gt; "")</f>
        <v>0</v>
      </c>
      <c r="M1757" s="3" t="str">
        <f>IF(E1757, C1757 &amp; "|" &amp; H1757, "")</f>
        <v>principal-process-steward|StepExecutions</v>
      </c>
      <c r="N1757" s="2" t="s">
        <v>9938</v>
      </c>
    </row>
    <row r="1758">
      <c r="A1758" s="2" t="s">
        <v>11694</v>
      </c>
      <c r="B1758" s="3" t="str">
        <f>C1758 &amp; " -&gt; " &amp; D1758</f>
        <v>principal-process-steward -&gt; StepExecutions.SelfAttestedApprovalExecutionKey</v>
      </c>
      <c r="C1758" s="2" t="s">
        <v>9706</v>
      </c>
      <c r="D1758" s="2" t="s">
        <v>3704</v>
      </c>
      <c r="E1758" s="2" t="b">
        <v>1</v>
      </c>
      <c r="F1758" s="2" t="b">
        <v>0</v>
      </c>
      <c r="G1758" s="2" t="s">
        <v>9937</v>
      </c>
      <c r="H1758" s="3" t="str">
        <f>_xlfn.IFNA(INDEX(RulebookFields!C2:C999, MATCH(D1758,RulebookFields!A2:A999, 0)), "")</f>
        <v>StepExecutions</v>
      </c>
      <c r="I1758" s="3" t="str">
        <f>_xlfn.IFNA(INDEX(RulebookFields!D2:D999, MATCH(D1758,RulebookFields!A2:A999, 0)), "")</f>
        <v>SelfAttestedApprovalExecutionKey</v>
      </c>
      <c r="J1758" s="3" t="b">
        <f>_xlfn.IFNA(INDEX(RulebookFields!I2:I999, MATCH(D1758,RulebookFields!A2:A999, 0)), "")</f>
        <v>1</v>
      </c>
      <c r="K1758" s="3" t="b">
        <f>AND(F1758, J1758)</f>
        <v>0</v>
      </c>
      <c r="L1758" s="3" t="b">
        <f>AND(G1758 &lt;&gt; "plain", G1758 &lt;&gt; "")</f>
        <v>0</v>
      </c>
      <c r="M1758" s="3" t="str">
        <f>IF(E1758, C1758 &amp; "|" &amp; H1758, "")</f>
        <v>principal-process-steward|StepExecutions</v>
      </c>
      <c r="N1758" s="2" t="s">
        <v>9938</v>
      </c>
    </row>
    <row r="1759">
      <c r="A1759" s="2" t="s">
        <v>11695</v>
      </c>
      <c r="B1759" s="3" t="str">
        <f>C1759 &amp; " -&gt; " &amp; D1759</f>
        <v>principal-process-steward -&gt; StepExecutions.SemanticTypeIri</v>
      </c>
      <c r="C1759" s="2" t="s">
        <v>9706</v>
      </c>
      <c r="D1759" s="2" t="s">
        <v>3706</v>
      </c>
      <c r="E1759" s="2" t="b">
        <v>1</v>
      </c>
      <c r="F1759" s="2" t="b">
        <v>0</v>
      </c>
      <c r="G1759" s="2" t="s">
        <v>9937</v>
      </c>
      <c r="H1759" s="3" t="str">
        <f>_xlfn.IFNA(INDEX(RulebookFields!C2:C999, MATCH(D1759,RulebookFields!A2:A999, 0)), "")</f>
        <v>StepExecutions</v>
      </c>
      <c r="I1759" s="3" t="str">
        <f>_xlfn.IFNA(INDEX(RulebookFields!D2:D999, MATCH(D1759,RulebookFields!A2:A999, 0)), "")</f>
        <v>SemanticTypeIri</v>
      </c>
      <c r="J1759" s="3" t="b">
        <f>_xlfn.IFNA(INDEX(RulebookFields!I2:I999, MATCH(D1759,RulebookFields!A2:A999, 0)), "")</f>
        <v>0</v>
      </c>
      <c r="K1759" s="3" t="b">
        <f>AND(F1759, J1759)</f>
        <v>0</v>
      </c>
      <c r="L1759" s="3" t="b">
        <f>AND(G1759 &lt;&gt; "plain", G1759 &lt;&gt; "")</f>
        <v>0</v>
      </c>
      <c r="M1759" s="3" t="str">
        <f>IF(E1759, C1759 &amp; "|" &amp; H1759, "")</f>
        <v>principal-process-steward|StepExecutions</v>
      </c>
      <c r="N1759" s="2" t="s">
        <v>9938</v>
      </c>
    </row>
    <row r="1760">
      <c r="A1760" s="2" t="s">
        <v>11696</v>
      </c>
      <c r="B1760" s="3" t="str">
        <f>C1760 &amp; " -&gt; " &amp; D1760</f>
        <v>principal-process-steward -&gt; StepFunctions.StepFunctionId</v>
      </c>
      <c r="C1760" s="2" t="s">
        <v>9706</v>
      </c>
      <c r="D1760" s="2" t="s">
        <v>2967</v>
      </c>
      <c r="E1760" s="2" t="b">
        <v>1</v>
      </c>
      <c r="F1760" s="2" t="b">
        <v>0</v>
      </c>
      <c r="G1760" s="2" t="s">
        <v>9937</v>
      </c>
      <c r="H1760" s="3" t="str">
        <f>_xlfn.IFNA(INDEX(RulebookFields!C2:C999, MATCH(D1760,RulebookFields!A2:A999, 0)), "")</f>
        <v>StepFunctions</v>
      </c>
      <c r="I1760" s="3" t="str">
        <f>_xlfn.IFNA(INDEX(RulebookFields!D2:D999, MATCH(D1760,RulebookFields!A2:A999, 0)), "")</f>
        <v>StepFunctionId</v>
      </c>
      <c r="J1760" s="3" t="b">
        <f>_xlfn.IFNA(INDEX(RulebookFields!I2:I999, MATCH(D1760,RulebookFields!A2:A999, 0)), "")</f>
        <v>0</v>
      </c>
      <c r="K1760" s="3" t="b">
        <f>AND(F1760, J1760)</f>
        <v>0</v>
      </c>
      <c r="L1760" s="3" t="b">
        <f>AND(G1760 &lt;&gt; "plain", G1760 &lt;&gt; "")</f>
        <v>0</v>
      </c>
      <c r="M1760" s="3" t="str">
        <f>IF(E1760, C1760 &amp; "|" &amp; H1760, "")</f>
        <v>principal-process-steward|StepFunctions</v>
      </c>
      <c r="N1760" s="2" t="s">
        <v>9938</v>
      </c>
    </row>
    <row r="1761">
      <c r="A1761" s="2" t="s">
        <v>11697</v>
      </c>
      <c r="B1761" s="3" t="str">
        <f>C1761 &amp; " -&gt; " &amp; D1761</f>
        <v>principal-process-steward -&gt; StepFunctions.Name</v>
      </c>
      <c r="C1761" s="2" t="s">
        <v>9706</v>
      </c>
      <c r="D1761" s="2" t="s">
        <v>2969</v>
      </c>
      <c r="E1761" s="2" t="b">
        <v>1</v>
      </c>
      <c r="F1761" s="2" t="b">
        <v>0</v>
      </c>
      <c r="G1761" s="2" t="s">
        <v>9937</v>
      </c>
      <c r="H1761" s="3" t="str">
        <f>_xlfn.IFNA(INDEX(RulebookFields!C2:C999, MATCH(D1761,RulebookFields!A2:A999, 0)), "")</f>
        <v>StepFunctions</v>
      </c>
      <c r="I1761" s="3" t="str">
        <f>_xlfn.IFNA(INDEX(RulebookFields!D2:D999, MATCH(D1761,RulebookFields!A2:A999, 0)), "")</f>
        <v>Name</v>
      </c>
      <c r="J1761" s="3" t="b">
        <f>_xlfn.IFNA(INDEX(RulebookFields!I2:I999, MATCH(D1761,RulebookFields!A2:A999, 0)), "")</f>
        <v>1</v>
      </c>
      <c r="K1761" s="3" t="b">
        <f>AND(F1761, J1761)</f>
        <v>0</v>
      </c>
      <c r="L1761" s="3" t="b">
        <f>AND(G1761 &lt;&gt; "plain", G1761 &lt;&gt; "")</f>
        <v>0</v>
      </c>
      <c r="M1761" s="3" t="str">
        <f>IF(E1761, C1761 &amp; "|" &amp; H1761, "")</f>
        <v>principal-process-steward|StepFunctions</v>
      </c>
      <c r="N1761" s="2" t="s">
        <v>9938</v>
      </c>
    </row>
    <row r="1762">
      <c r="A1762" s="2" t="s">
        <v>11698</v>
      </c>
      <c r="B1762" s="3" t="str">
        <f>C1762 &amp; " -&gt; " &amp; D1762</f>
        <v>principal-process-steward -&gt; StepFunctions.Step</v>
      </c>
      <c r="C1762" s="2" t="s">
        <v>9706</v>
      </c>
      <c r="D1762" s="2" t="s">
        <v>2971</v>
      </c>
      <c r="E1762" s="2" t="b">
        <v>1</v>
      </c>
      <c r="F1762" s="2" t="b">
        <v>0</v>
      </c>
      <c r="G1762" s="2" t="s">
        <v>9937</v>
      </c>
      <c r="H1762" s="3" t="str">
        <f>_xlfn.IFNA(INDEX(RulebookFields!C2:C999, MATCH(D1762,RulebookFields!A2:A999, 0)), "")</f>
        <v>StepFunctions</v>
      </c>
      <c r="I1762" s="3" t="str">
        <f>_xlfn.IFNA(INDEX(RulebookFields!D2:D999, MATCH(D1762,RulebookFields!A2:A999, 0)), "")</f>
        <v>Step</v>
      </c>
      <c r="J1762" s="3" t="b">
        <f>_xlfn.IFNA(INDEX(RulebookFields!I2:I999, MATCH(D1762,RulebookFields!A2:A999, 0)), "")</f>
        <v>0</v>
      </c>
      <c r="K1762" s="3" t="b">
        <f>AND(F1762, J1762)</f>
        <v>0</v>
      </c>
      <c r="L1762" s="3" t="b">
        <f>AND(G1762 &lt;&gt; "plain", G1762 &lt;&gt; "")</f>
        <v>0</v>
      </c>
      <c r="M1762" s="3" t="str">
        <f>IF(E1762, C1762 &amp; "|" &amp; H1762, "")</f>
        <v>principal-process-steward|StepFunctions</v>
      </c>
      <c r="N1762" s="2" t="s">
        <v>9938</v>
      </c>
    </row>
    <row r="1763">
      <c r="A1763" s="2" t="s">
        <v>11699</v>
      </c>
      <c r="B1763" s="3" t="str">
        <f>C1763 &amp; " -&gt; " &amp; D1763</f>
        <v>principal-process-steward -&gt; StepFunctions.Function</v>
      </c>
      <c r="C1763" s="2" t="s">
        <v>9706</v>
      </c>
      <c r="D1763" s="2" t="s">
        <v>2972</v>
      </c>
      <c r="E1763" s="2" t="b">
        <v>1</v>
      </c>
      <c r="F1763" s="2" t="b">
        <v>0</v>
      </c>
      <c r="G1763" s="2" t="s">
        <v>9937</v>
      </c>
      <c r="H1763" s="3" t="str">
        <f>_xlfn.IFNA(INDEX(RulebookFields!C2:C999, MATCH(D1763,RulebookFields!A2:A999, 0)), "")</f>
        <v>StepFunctions</v>
      </c>
      <c r="I1763" s="3" t="str">
        <f>_xlfn.IFNA(INDEX(RulebookFields!D2:D999, MATCH(D1763,RulebookFields!A2:A999, 0)), "")</f>
        <v>Function</v>
      </c>
      <c r="J1763" s="3" t="b">
        <f>_xlfn.IFNA(INDEX(RulebookFields!I2:I999, MATCH(D1763,RulebookFields!A2:A999, 0)), "")</f>
        <v>0</v>
      </c>
      <c r="K1763" s="3" t="b">
        <f>AND(F1763, J1763)</f>
        <v>0</v>
      </c>
      <c r="L1763" s="3" t="b">
        <f>AND(G1763 &lt;&gt; "plain", G1763 &lt;&gt; "")</f>
        <v>0</v>
      </c>
      <c r="M1763" s="3" t="str">
        <f>IF(E1763, C1763 &amp; "|" &amp; H1763, "")</f>
        <v>principal-process-steward|StepFunctions</v>
      </c>
      <c r="N1763" s="2" t="s">
        <v>9938</v>
      </c>
    </row>
    <row r="1764">
      <c r="A1764" s="2" t="s">
        <v>11700</v>
      </c>
      <c r="B1764" s="3" t="str">
        <f>C1764 &amp; " -&gt; " &amp; D1764</f>
        <v>principal-process-steward -&gt; StepRequirements.StepRequirementId</v>
      </c>
      <c r="C1764" s="2" t="s">
        <v>9706</v>
      </c>
      <c r="D1764" s="2" t="s">
        <v>3052</v>
      </c>
      <c r="E1764" s="2" t="b">
        <v>1</v>
      </c>
      <c r="F1764" s="2" t="b">
        <v>0</v>
      </c>
      <c r="G1764" s="2" t="s">
        <v>9937</v>
      </c>
      <c r="H1764" s="3" t="str">
        <f>_xlfn.IFNA(INDEX(RulebookFields!C2:C999, MATCH(D1764,RulebookFields!A2:A999, 0)), "")</f>
        <v>StepRequirements</v>
      </c>
      <c r="I1764" s="3" t="str">
        <f>_xlfn.IFNA(INDEX(RulebookFields!D2:D999, MATCH(D1764,RulebookFields!A2:A999, 0)), "")</f>
        <v>StepRequirementId</v>
      </c>
      <c r="J1764" s="3" t="b">
        <f>_xlfn.IFNA(INDEX(RulebookFields!I2:I999, MATCH(D1764,RulebookFields!A2:A999, 0)), "")</f>
        <v>0</v>
      </c>
      <c r="K1764" s="3" t="b">
        <f>AND(F1764, J1764)</f>
        <v>0</v>
      </c>
      <c r="L1764" s="3" t="b">
        <f>AND(G1764 &lt;&gt; "plain", G1764 &lt;&gt; "")</f>
        <v>0</v>
      </c>
      <c r="M1764" s="3" t="str">
        <f>IF(E1764, C1764 &amp; "|" &amp; H1764, "")</f>
        <v>principal-process-steward|StepRequirements</v>
      </c>
      <c r="N1764" s="2" t="s">
        <v>9938</v>
      </c>
    </row>
    <row r="1765">
      <c r="A1765" s="2" t="s">
        <v>11701</v>
      </c>
      <c r="B1765" s="3" t="str">
        <f>C1765 &amp; " -&gt; " &amp; D1765</f>
        <v>principal-process-steward -&gt; StepRequirements.Name</v>
      </c>
      <c r="C1765" s="2" t="s">
        <v>9706</v>
      </c>
      <c r="D1765" s="2" t="s">
        <v>3054</v>
      </c>
      <c r="E1765" s="2" t="b">
        <v>1</v>
      </c>
      <c r="F1765" s="2" t="b">
        <v>0</v>
      </c>
      <c r="G1765" s="2" t="s">
        <v>9937</v>
      </c>
      <c r="H1765" s="3" t="str">
        <f>_xlfn.IFNA(INDEX(RulebookFields!C2:C999, MATCH(D1765,RulebookFields!A2:A999, 0)), "")</f>
        <v>StepRequirements</v>
      </c>
      <c r="I1765" s="3" t="str">
        <f>_xlfn.IFNA(INDEX(RulebookFields!D2:D999, MATCH(D1765,RulebookFields!A2:A999, 0)), "")</f>
        <v>Name</v>
      </c>
      <c r="J1765" s="3" t="b">
        <f>_xlfn.IFNA(INDEX(RulebookFields!I2:I999, MATCH(D1765,RulebookFields!A2:A999, 0)), "")</f>
        <v>1</v>
      </c>
      <c r="K1765" s="3" t="b">
        <f>AND(F1765, J1765)</f>
        <v>0</v>
      </c>
      <c r="L1765" s="3" t="b">
        <f>AND(G1765 &lt;&gt; "plain", G1765 &lt;&gt; "")</f>
        <v>0</v>
      </c>
      <c r="M1765" s="3" t="str">
        <f>IF(E1765, C1765 &amp; "|" &amp; H1765, "")</f>
        <v>principal-process-steward|StepRequirements</v>
      </c>
      <c r="N1765" s="2" t="s">
        <v>9938</v>
      </c>
    </row>
    <row r="1766">
      <c r="A1766" s="2" t="s">
        <v>11702</v>
      </c>
      <c r="B1766" s="3" t="str">
        <f>C1766 &amp; " -&gt; " &amp; D1766</f>
        <v>principal-process-steward -&gt; StepRequirements.Step</v>
      </c>
      <c r="C1766" s="2" t="s">
        <v>9706</v>
      </c>
      <c r="D1766" s="2" t="s">
        <v>3056</v>
      </c>
      <c r="E1766" s="2" t="b">
        <v>1</v>
      </c>
      <c r="F1766" s="2" t="b">
        <v>0</v>
      </c>
      <c r="G1766" s="2" t="s">
        <v>9937</v>
      </c>
      <c r="H1766" s="3" t="str">
        <f>_xlfn.IFNA(INDEX(RulebookFields!C2:C999, MATCH(D1766,RulebookFields!A2:A999, 0)), "")</f>
        <v>StepRequirements</v>
      </c>
      <c r="I1766" s="3" t="str">
        <f>_xlfn.IFNA(INDEX(RulebookFields!D2:D999, MATCH(D1766,RulebookFields!A2:A999, 0)), "")</f>
        <v>Step</v>
      </c>
      <c r="J1766" s="3" t="b">
        <f>_xlfn.IFNA(INDEX(RulebookFields!I2:I999, MATCH(D1766,RulebookFields!A2:A999, 0)), "")</f>
        <v>0</v>
      </c>
      <c r="K1766" s="3" t="b">
        <f>AND(F1766, J1766)</f>
        <v>0</v>
      </c>
      <c r="L1766" s="3" t="b">
        <f>AND(G1766 &lt;&gt; "plain", G1766 &lt;&gt; "")</f>
        <v>0</v>
      </c>
      <c r="M1766" s="3" t="str">
        <f>IF(E1766, C1766 &amp; "|" &amp; H1766, "")</f>
        <v>principal-process-steward|StepRequirements</v>
      </c>
      <c r="N1766" s="2" t="s">
        <v>9938</v>
      </c>
    </row>
    <row r="1767">
      <c r="A1767" s="2" t="s">
        <v>11703</v>
      </c>
      <c r="B1767" s="3" t="str">
        <f>C1767 &amp; " -&gt; " &amp; D1767</f>
        <v>principal-process-steward -&gt; StepRequirements.Requirement</v>
      </c>
      <c r="C1767" s="2" t="s">
        <v>9706</v>
      </c>
      <c r="D1767" s="2" t="s">
        <v>3057</v>
      </c>
      <c r="E1767" s="2" t="b">
        <v>1</v>
      </c>
      <c r="F1767" s="2" t="b">
        <v>0</v>
      </c>
      <c r="G1767" s="2" t="s">
        <v>9937</v>
      </c>
      <c r="H1767" s="3" t="str">
        <f>_xlfn.IFNA(INDEX(RulebookFields!C2:C999, MATCH(D1767,RulebookFields!A2:A999, 0)), "")</f>
        <v>StepRequirements</v>
      </c>
      <c r="I1767" s="3" t="str">
        <f>_xlfn.IFNA(INDEX(RulebookFields!D2:D999, MATCH(D1767,RulebookFields!A2:A999, 0)), "")</f>
        <v>Requirement</v>
      </c>
      <c r="J1767" s="3" t="b">
        <f>_xlfn.IFNA(INDEX(RulebookFields!I2:I999, MATCH(D1767,RulebookFields!A2:A999, 0)), "")</f>
        <v>0</v>
      </c>
      <c r="K1767" s="3" t="b">
        <f>AND(F1767, J1767)</f>
        <v>0</v>
      </c>
      <c r="L1767" s="3" t="b">
        <f>AND(G1767 &lt;&gt; "plain", G1767 &lt;&gt; "")</f>
        <v>0</v>
      </c>
      <c r="M1767" s="3" t="str">
        <f>IF(E1767, C1767 &amp; "|" &amp; H1767, "")</f>
        <v>principal-process-steward|StepRequirements</v>
      </c>
      <c r="N1767" s="2" t="s">
        <v>9938</v>
      </c>
    </row>
    <row r="1768">
      <c r="A1768" s="2" t="s">
        <v>11704</v>
      </c>
      <c r="B1768" s="3" t="str">
        <f>C1768 &amp; " -&gt; " &amp; D1768</f>
        <v>principal-process-steward -&gt; StepRequirements.RequirementIsBlocking</v>
      </c>
      <c r="C1768" s="2" t="s">
        <v>9706</v>
      </c>
      <c r="D1768" s="2" t="s">
        <v>3058</v>
      </c>
      <c r="E1768" s="2" t="b">
        <v>1</v>
      </c>
      <c r="F1768" s="2" t="b">
        <v>0</v>
      </c>
      <c r="G1768" s="2" t="s">
        <v>9937</v>
      </c>
      <c r="H1768" s="3" t="str">
        <f>_xlfn.IFNA(INDEX(RulebookFields!C2:C999, MATCH(D1768,RulebookFields!A2:A999, 0)), "")</f>
        <v>StepRequirements</v>
      </c>
      <c r="I1768" s="3" t="str">
        <f>_xlfn.IFNA(INDEX(RulebookFields!D2:D999, MATCH(D1768,RulebookFields!A2:A999, 0)), "")</f>
        <v>RequirementIsBlocking</v>
      </c>
      <c r="J1768" s="3" t="b">
        <f>_xlfn.IFNA(INDEX(RulebookFields!I2:I999, MATCH(D1768,RulebookFields!A2:A999, 0)), "")</f>
        <v>1</v>
      </c>
      <c r="K1768" s="3" t="b">
        <f>AND(F1768, J1768)</f>
        <v>0</v>
      </c>
      <c r="L1768" s="3" t="b">
        <f>AND(G1768 &lt;&gt; "plain", G1768 &lt;&gt; "")</f>
        <v>0</v>
      </c>
      <c r="M1768" s="3" t="str">
        <f>IF(E1768, C1768 &amp; "|" &amp; H1768, "")</f>
        <v>principal-process-steward|StepRequirements</v>
      </c>
      <c r="N1768" s="2" t="s">
        <v>9938</v>
      </c>
    </row>
    <row r="1769">
      <c r="A1769" s="2" t="s">
        <v>11705</v>
      </c>
      <c r="B1769" s="3" t="str">
        <f>C1769 &amp; " -&gt; " &amp; D1769</f>
        <v>principal-process-steward -&gt; StepRequirements.BlockingStepKey</v>
      </c>
      <c r="C1769" s="2" t="s">
        <v>9706</v>
      </c>
      <c r="D1769" s="2" t="s">
        <v>3060</v>
      </c>
      <c r="E1769" s="2" t="b">
        <v>1</v>
      </c>
      <c r="F1769" s="2" t="b">
        <v>0</v>
      </c>
      <c r="G1769" s="2" t="s">
        <v>9937</v>
      </c>
      <c r="H1769" s="3" t="str">
        <f>_xlfn.IFNA(INDEX(RulebookFields!C2:C999, MATCH(D1769,RulebookFields!A2:A999, 0)), "")</f>
        <v>StepRequirements</v>
      </c>
      <c r="I1769" s="3" t="str">
        <f>_xlfn.IFNA(INDEX(RulebookFields!D2:D999, MATCH(D1769,RulebookFields!A2:A999, 0)), "")</f>
        <v>BlockingStepKey</v>
      </c>
      <c r="J1769" s="3" t="b">
        <f>_xlfn.IFNA(INDEX(RulebookFields!I2:I999, MATCH(D1769,RulebookFields!A2:A999, 0)), "")</f>
        <v>1</v>
      </c>
      <c r="K1769" s="3" t="b">
        <f>AND(F1769, J1769)</f>
        <v>0</v>
      </c>
      <c r="L1769" s="3" t="b">
        <f>AND(G1769 &lt;&gt; "plain", G1769 &lt;&gt; "")</f>
        <v>0</v>
      </c>
      <c r="M1769" s="3" t="str">
        <f>IF(E1769, C1769 &amp; "|" &amp; H1769, "")</f>
        <v>principal-process-steward|StepRequirements</v>
      </c>
      <c r="N1769" s="2" t="s">
        <v>9938</v>
      </c>
    </row>
    <row r="1770">
      <c r="A1770" s="2" t="s">
        <v>11706</v>
      </c>
      <c r="B1770" s="3" t="str">
        <f>C1770 &amp; " -&gt; " &amp; D1770</f>
        <v>principal-process-steward -&gt; StepRequirements.StepWhenBlocking</v>
      </c>
      <c r="C1770" s="2" t="s">
        <v>9706</v>
      </c>
      <c r="D1770" s="2" t="s">
        <v>3062</v>
      </c>
      <c r="E1770" s="2" t="b">
        <v>1</v>
      </c>
      <c r="F1770" s="2" t="b">
        <v>0</v>
      </c>
      <c r="G1770" s="2" t="s">
        <v>9937</v>
      </c>
      <c r="H1770" s="3" t="str">
        <f>_xlfn.IFNA(INDEX(RulebookFields!C2:C999, MATCH(D1770,RulebookFields!A2:A999, 0)), "")</f>
        <v>StepRequirements</v>
      </c>
      <c r="I1770" s="3" t="str">
        <f>_xlfn.IFNA(INDEX(RulebookFields!D2:D999, MATCH(D1770,RulebookFields!A2:A999, 0)), "")</f>
        <v>StepWhenBlocking</v>
      </c>
      <c r="J1770" s="3" t="b">
        <f>_xlfn.IFNA(INDEX(RulebookFields!I2:I999, MATCH(D1770,RulebookFields!A2:A999, 0)), "")</f>
        <v>1</v>
      </c>
      <c r="K1770" s="3" t="b">
        <f>AND(F1770, J1770)</f>
        <v>0</v>
      </c>
      <c r="L1770" s="3" t="b">
        <f>AND(G1770 &lt;&gt; "plain", G1770 &lt;&gt; "")</f>
        <v>0</v>
      </c>
      <c r="M1770" s="3" t="str">
        <f>IF(E1770, C1770 &amp; "|" &amp; H1770, "")</f>
        <v>principal-process-steward|StepRequirements</v>
      </c>
      <c r="N1770" s="2" t="s">
        <v>9938</v>
      </c>
    </row>
    <row r="1771">
      <c r="A1771" s="2" t="s">
        <v>11707</v>
      </c>
      <c r="B1771" s="3" t="str">
        <f>C1771 &amp; " -&gt; " &amp; D1771</f>
        <v>principal-process-steward -&gt; StepRequirements.RequirementLacksWitness</v>
      </c>
      <c r="C1771" s="2" t="s">
        <v>9706</v>
      </c>
      <c r="D1771" s="2" t="s">
        <v>3063</v>
      </c>
      <c r="E1771" s="2" t="b">
        <v>1</v>
      </c>
      <c r="F1771" s="2" t="b">
        <v>0</v>
      </c>
      <c r="G1771" s="2" t="s">
        <v>9937</v>
      </c>
      <c r="H1771" s="3" t="str">
        <f>_xlfn.IFNA(INDEX(RulebookFields!C2:C999, MATCH(D1771,RulebookFields!A2:A999, 0)), "")</f>
        <v>StepRequirements</v>
      </c>
      <c r="I1771" s="3" t="str">
        <f>_xlfn.IFNA(INDEX(RulebookFields!D2:D999, MATCH(D1771,RulebookFields!A2:A999, 0)), "")</f>
        <v>RequirementLacksWitness</v>
      </c>
      <c r="J1771" s="3" t="b">
        <f>_xlfn.IFNA(INDEX(RulebookFields!I2:I999, MATCH(D1771,RulebookFields!A2:A999, 0)), "")</f>
        <v>1</v>
      </c>
      <c r="K1771" s="3" t="b">
        <f>AND(F1771, J1771)</f>
        <v>0</v>
      </c>
      <c r="L1771" s="3" t="b">
        <f>AND(G1771 &lt;&gt; "plain", G1771 &lt;&gt; "")</f>
        <v>0</v>
      </c>
      <c r="M1771" s="3" t="str">
        <f>IF(E1771, C1771 &amp; "|" &amp; H1771, "")</f>
        <v>principal-process-steward|StepRequirements</v>
      </c>
      <c r="N1771" s="2" t="s">
        <v>9938</v>
      </c>
    </row>
    <row r="1772">
      <c r="A1772" s="2" t="s">
        <v>11708</v>
      </c>
      <c r="B1772" s="3" t="str">
        <f>C1772 &amp; " -&gt; " &amp; D1772</f>
        <v>principal-process-steward -&gt; StepRequirements.UnwitnessedStepKey</v>
      </c>
      <c r="C1772" s="2" t="s">
        <v>9706</v>
      </c>
      <c r="D1772" s="2" t="s">
        <v>3065</v>
      </c>
      <c r="E1772" s="2" t="b">
        <v>1</v>
      </c>
      <c r="F1772" s="2" t="b">
        <v>0</v>
      </c>
      <c r="G1772" s="2" t="s">
        <v>9937</v>
      </c>
      <c r="H1772" s="3" t="str">
        <f>_xlfn.IFNA(INDEX(RulebookFields!C2:C999, MATCH(D1772,RulebookFields!A2:A999, 0)), "")</f>
        <v>StepRequirements</v>
      </c>
      <c r="I1772" s="3" t="str">
        <f>_xlfn.IFNA(INDEX(RulebookFields!D2:D999, MATCH(D1772,RulebookFields!A2:A999, 0)), "")</f>
        <v>UnwitnessedStepKey</v>
      </c>
      <c r="J1772" s="3" t="b">
        <f>_xlfn.IFNA(INDEX(RulebookFields!I2:I999, MATCH(D1772,RulebookFields!A2:A999, 0)), "")</f>
        <v>1</v>
      </c>
      <c r="K1772" s="3" t="b">
        <f>AND(F1772, J1772)</f>
        <v>0</v>
      </c>
      <c r="L1772" s="3" t="b">
        <f>AND(G1772 &lt;&gt; "plain", G1772 &lt;&gt; "")</f>
        <v>0</v>
      </c>
      <c r="M1772" s="3" t="str">
        <f>IF(E1772, C1772 &amp; "|" &amp; H1772, "")</f>
        <v>principal-process-steward|StepRequirements</v>
      </c>
      <c r="N1772" s="2" t="s">
        <v>9938</v>
      </c>
    </row>
    <row r="1773">
      <c r="A1773" s="2" t="s">
        <v>11709</v>
      </c>
      <c r="B1773" s="3" t="str">
        <f>C1773 &amp; " -&gt; " &amp; D1773</f>
        <v>principal-process-steward -&gt; StepRequirements.SatisfactionCountForBinding</v>
      </c>
      <c r="C1773" s="2" t="s">
        <v>9706</v>
      </c>
      <c r="D1773" s="2" t="s">
        <v>3067</v>
      </c>
      <c r="E1773" s="2" t="b">
        <v>1</v>
      </c>
      <c r="F1773" s="2" t="b">
        <v>0</v>
      </c>
      <c r="G1773" s="2" t="s">
        <v>9937</v>
      </c>
      <c r="H1773" s="3" t="str">
        <f>_xlfn.IFNA(INDEX(RulebookFields!C2:C999, MATCH(D1773,RulebookFields!A2:A999, 0)), "")</f>
        <v>StepRequirements</v>
      </c>
      <c r="I1773" s="3" t="str">
        <f>_xlfn.IFNA(INDEX(RulebookFields!D2:D999, MATCH(D1773,RulebookFields!A2:A999, 0)), "")</f>
        <v>SatisfactionCountForBinding</v>
      </c>
      <c r="J1773" s="3" t="b">
        <f>_xlfn.IFNA(INDEX(RulebookFields!I2:I999, MATCH(D1773,RulebookFields!A2:A999, 0)), "")</f>
        <v>1</v>
      </c>
      <c r="K1773" s="3" t="b">
        <f>AND(F1773, J1773)</f>
        <v>0</v>
      </c>
      <c r="L1773" s="3" t="b">
        <f>AND(G1773 &lt;&gt; "plain", G1773 &lt;&gt; "")</f>
        <v>0</v>
      </c>
      <c r="M1773" s="3" t="str">
        <f>IF(E1773, C1773 &amp; "|" &amp; H1773, "")</f>
        <v>principal-process-steward|StepRequirements</v>
      </c>
      <c r="N1773" s="2" t="s">
        <v>9938</v>
      </c>
    </row>
    <row r="1774">
      <c r="A1774" s="2" t="s">
        <v>11710</v>
      </c>
      <c r="B1774" s="3" t="str">
        <f>C1774 &amp; " -&gt; " &amp; D1774</f>
        <v>principal-process-steward -&gt; StepRequirements.BindingWasEverExercised</v>
      </c>
      <c r="C1774" s="2" t="s">
        <v>9706</v>
      </c>
      <c r="D1774" s="2" t="s">
        <v>3069</v>
      </c>
      <c r="E1774" s="2" t="b">
        <v>1</v>
      </c>
      <c r="F1774" s="2" t="b">
        <v>0</v>
      </c>
      <c r="G1774" s="2" t="s">
        <v>9937</v>
      </c>
      <c r="H1774" s="3" t="str">
        <f>_xlfn.IFNA(INDEX(RulebookFields!C2:C999, MATCH(D1774,RulebookFields!A2:A999, 0)), "")</f>
        <v>StepRequirements</v>
      </c>
      <c r="I1774" s="3" t="str">
        <f>_xlfn.IFNA(INDEX(RulebookFields!D2:D999, MATCH(D1774,RulebookFields!A2:A999, 0)), "")</f>
        <v>BindingWasEverExercised</v>
      </c>
      <c r="J1774" s="3" t="b">
        <f>_xlfn.IFNA(INDEX(RulebookFields!I2:I999, MATCH(D1774,RulebookFields!A2:A999, 0)), "")</f>
        <v>1</v>
      </c>
      <c r="K1774" s="3" t="b">
        <f>AND(F1774, J1774)</f>
        <v>0</v>
      </c>
      <c r="L1774" s="3" t="b">
        <f>AND(G1774 &lt;&gt; "plain", G1774 &lt;&gt; "")</f>
        <v>0</v>
      </c>
      <c r="M1774" s="3" t="str">
        <f>IF(E1774, C1774 &amp; "|" &amp; H1774, "")</f>
        <v>principal-process-steward|StepRequirements</v>
      </c>
      <c r="N1774" s="2" t="s">
        <v>9938</v>
      </c>
    </row>
    <row r="1775">
      <c r="A1775" s="2" t="s">
        <v>11711</v>
      </c>
      <c r="B1775" s="3" t="str">
        <f>C1775 &amp; " -&gt; " &amp; D1775</f>
        <v>principal-process-steward -&gt; StepRequirements.IsUnexercisedBlockingBinding</v>
      </c>
      <c r="C1775" s="2" t="s">
        <v>9706</v>
      </c>
      <c r="D1775" s="2" t="s">
        <v>3071</v>
      </c>
      <c r="E1775" s="2" t="b">
        <v>1</v>
      </c>
      <c r="F1775" s="2" t="b">
        <v>0</v>
      </c>
      <c r="G1775" s="2" t="s">
        <v>9937</v>
      </c>
      <c r="H1775" s="3" t="str">
        <f>_xlfn.IFNA(INDEX(RulebookFields!C2:C999, MATCH(D1775,RulebookFields!A2:A999, 0)), "")</f>
        <v>StepRequirements</v>
      </c>
      <c r="I1775" s="3" t="str">
        <f>_xlfn.IFNA(INDEX(RulebookFields!D2:D999, MATCH(D1775,RulebookFields!A2:A999, 0)), "")</f>
        <v>IsUnexercisedBlockingBinding</v>
      </c>
      <c r="J1775" s="3" t="b">
        <f>_xlfn.IFNA(INDEX(RulebookFields!I2:I999, MATCH(D1775,RulebookFields!A2:A999, 0)), "")</f>
        <v>1</v>
      </c>
      <c r="K1775" s="3" t="b">
        <f>AND(F1775, J1775)</f>
        <v>0</v>
      </c>
      <c r="L1775" s="3" t="b">
        <f>AND(G1775 &lt;&gt; "plain", G1775 &lt;&gt; "")</f>
        <v>0</v>
      </c>
      <c r="M1775" s="3" t="str">
        <f>IF(E1775, C1775 &amp; "|" &amp; H1775, "")</f>
        <v>principal-process-steward|StepRequirements</v>
      </c>
      <c r="N1775" s="2" t="s">
        <v>9938</v>
      </c>
    </row>
    <row r="1776">
      <c r="A1776" s="2" t="s">
        <v>11712</v>
      </c>
      <c r="B1776" s="3" t="str">
        <f>C1776 &amp; " -&gt; " &amp; D1776</f>
        <v>principal-process-steward -&gt; StepRequirements.UnexercisedBindingRequirementKey</v>
      </c>
      <c r="C1776" s="2" t="s">
        <v>9706</v>
      </c>
      <c r="D1776" s="2" t="s">
        <v>3073</v>
      </c>
      <c r="E1776" s="2" t="b">
        <v>1</v>
      </c>
      <c r="F1776" s="2" t="b">
        <v>0</v>
      </c>
      <c r="G1776" s="2" t="s">
        <v>9937</v>
      </c>
      <c r="H1776" s="3" t="str">
        <f>_xlfn.IFNA(INDEX(RulebookFields!C2:C999, MATCH(D1776,RulebookFields!A2:A999, 0)), "")</f>
        <v>StepRequirements</v>
      </c>
      <c r="I1776" s="3" t="str">
        <f>_xlfn.IFNA(INDEX(RulebookFields!D2:D999, MATCH(D1776,RulebookFields!A2:A999, 0)), "")</f>
        <v>UnexercisedBindingRequirementKey</v>
      </c>
      <c r="J1776" s="3" t="b">
        <f>_xlfn.IFNA(INDEX(RulebookFields!I2:I999, MATCH(D1776,RulebookFields!A2:A999, 0)), "")</f>
        <v>1</v>
      </c>
      <c r="K1776" s="3" t="b">
        <f>AND(F1776, J1776)</f>
        <v>0</v>
      </c>
      <c r="L1776" s="3" t="b">
        <f>AND(G1776 &lt;&gt; "plain", G1776 &lt;&gt; "")</f>
        <v>0</v>
      </c>
      <c r="M1776" s="3" t="str">
        <f>IF(E1776, C1776 &amp; "|" &amp; H1776, "")</f>
        <v>principal-process-steward|StepRequirements</v>
      </c>
      <c r="N1776" s="2" t="s">
        <v>9938</v>
      </c>
    </row>
    <row r="1777">
      <c r="A1777" s="2" t="s">
        <v>11713</v>
      </c>
      <c r="B1777" s="3" t="str">
        <f>C1777 &amp; " -&gt; " &amp; D1777</f>
        <v>principal-process-steward -&gt; StepTools.StepToolId</v>
      </c>
      <c r="C1777" s="2" t="s">
        <v>9706</v>
      </c>
      <c r="D1777" s="2" t="s">
        <v>2973</v>
      </c>
      <c r="E1777" s="2" t="b">
        <v>1</v>
      </c>
      <c r="F1777" s="2" t="b">
        <v>0</v>
      </c>
      <c r="G1777" s="2" t="s">
        <v>9937</v>
      </c>
      <c r="H1777" s="3" t="str">
        <f>_xlfn.IFNA(INDEX(RulebookFields!C2:C999, MATCH(D1777,RulebookFields!A2:A999, 0)), "")</f>
        <v>StepTools</v>
      </c>
      <c r="I1777" s="3" t="str">
        <f>_xlfn.IFNA(INDEX(RulebookFields!D2:D999, MATCH(D1777,RulebookFields!A2:A999, 0)), "")</f>
        <v>StepToolId</v>
      </c>
      <c r="J1777" s="3" t="b">
        <f>_xlfn.IFNA(INDEX(RulebookFields!I2:I999, MATCH(D1777,RulebookFields!A2:A999, 0)), "")</f>
        <v>0</v>
      </c>
      <c r="K1777" s="3" t="b">
        <f>AND(F1777, J1777)</f>
        <v>0</v>
      </c>
      <c r="L1777" s="3" t="b">
        <f>AND(G1777 &lt;&gt; "plain", G1777 &lt;&gt; "")</f>
        <v>0</v>
      </c>
      <c r="M1777" s="3" t="str">
        <f>IF(E1777, C1777 &amp; "|" &amp; H1777, "")</f>
        <v>principal-process-steward|StepTools</v>
      </c>
      <c r="N1777" s="2" t="s">
        <v>9938</v>
      </c>
    </row>
    <row r="1778">
      <c r="A1778" s="2" t="s">
        <v>11714</v>
      </c>
      <c r="B1778" s="3" t="str">
        <f>C1778 &amp; " -&gt; " &amp; D1778</f>
        <v>principal-process-steward -&gt; StepTools.Name</v>
      </c>
      <c r="C1778" s="2" t="s">
        <v>9706</v>
      </c>
      <c r="D1778" s="2" t="s">
        <v>2975</v>
      </c>
      <c r="E1778" s="2" t="b">
        <v>1</v>
      </c>
      <c r="F1778" s="2" t="b">
        <v>0</v>
      </c>
      <c r="G1778" s="2" t="s">
        <v>9937</v>
      </c>
      <c r="H1778" s="3" t="str">
        <f>_xlfn.IFNA(INDEX(RulebookFields!C2:C999, MATCH(D1778,RulebookFields!A2:A999, 0)), "")</f>
        <v>StepTools</v>
      </c>
      <c r="I1778" s="3" t="str">
        <f>_xlfn.IFNA(INDEX(RulebookFields!D2:D999, MATCH(D1778,RulebookFields!A2:A999, 0)), "")</f>
        <v>Name</v>
      </c>
      <c r="J1778" s="3" t="b">
        <f>_xlfn.IFNA(INDEX(RulebookFields!I2:I999, MATCH(D1778,RulebookFields!A2:A999, 0)), "")</f>
        <v>1</v>
      </c>
      <c r="K1778" s="3" t="b">
        <f>AND(F1778, J1778)</f>
        <v>0</v>
      </c>
      <c r="L1778" s="3" t="b">
        <f>AND(G1778 &lt;&gt; "plain", G1778 &lt;&gt; "")</f>
        <v>0</v>
      </c>
      <c r="M1778" s="3" t="str">
        <f>IF(E1778, C1778 &amp; "|" &amp; H1778, "")</f>
        <v>principal-process-steward|StepTools</v>
      </c>
      <c r="N1778" s="2" t="s">
        <v>9938</v>
      </c>
    </row>
    <row r="1779">
      <c r="A1779" s="2" t="s">
        <v>11715</v>
      </c>
      <c r="B1779" s="3" t="str">
        <f>C1779 &amp; " -&gt; " &amp; D1779</f>
        <v>principal-process-steward -&gt; StepTools.Step</v>
      </c>
      <c r="C1779" s="2" t="s">
        <v>9706</v>
      </c>
      <c r="D1779" s="2" t="s">
        <v>2977</v>
      </c>
      <c r="E1779" s="2" t="b">
        <v>1</v>
      </c>
      <c r="F1779" s="2" t="b">
        <v>0</v>
      </c>
      <c r="G1779" s="2" t="s">
        <v>9937</v>
      </c>
      <c r="H1779" s="3" t="str">
        <f>_xlfn.IFNA(INDEX(RulebookFields!C2:C999, MATCH(D1779,RulebookFields!A2:A999, 0)), "")</f>
        <v>StepTools</v>
      </c>
      <c r="I1779" s="3" t="str">
        <f>_xlfn.IFNA(INDEX(RulebookFields!D2:D999, MATCH(D1779,RulebookFields!A2:A999, 0)), "")</f>
        <v>Step</v>
      </c>
      <c r="J1779" s="3" t="b">
        <f>_xlfn.IFNA(INDEX(RulebookFields!I2:I999, MATCH(D1779,RulebookFields!A2:A999, 0)), "")</f>
        <v>0</v>
      </c>
      <c r="K1779" s="3" t="b">
        <f>AND(F1779, J1779)</f>
        <v>0</v>
      </c>
      <c r="L1779" s="3" t="b">
        <f>AND(G1779 &lt;&gt; "plain", G1779 &lt;&gt; "")</f>
        <v>0</v>
      </c>
      <c r="M1779" s="3" t="str">
        <f>IF(E1779, C1779 &amp; "|" &amp; H1779, "")</f>
        <v>principal-process-steward|StepTools</v>
      </c>
      <c r="N1779" s="2" t="s">
        <v>9938</v>
      </c>
    </row>
    <row r="1780">
      <c r="A1780" s="2" t="s">
        <v>11716</v>
      </c>
      <c r="B1780" s="3" t="str">
        <f>C1780 &amp; " -&gt; " &amp; D1780</f>
        <v>principal-process-steward -&gt; StepTools.Tool</v>
      </c>
      <c r="C1780" s="2" t="s">
        <v>9706</v>
      </c>
      <c r="D1780" s="2" t="s">
        <v>2978</v>
      </c>
      <c r="E1780" s="2" t="b">
        <v>1</v>
      </c>
      <c r="F1780" s="2" t="b">
        <v>0</v>
      </c>
      <c r="G1780" s="2" t="s">
        <v>9937</v>
      </c>
      <c r="H1780" s="3" t="str">
        <f>_xlfn.IFNA(INDEX(RulebookFields!C2:C999, MATCH(D1780,RulebookFields!A2:A999, 0)), "")</f>
        <v>StepTools</v>
      </c>
      <c r="I1780" s="3" t="str">
        <f>_xlfn.IFNA(INDEX(RulebookFields!D2:D999, MATCH(D1780,RulebookFields!A2:A999, 0)), "")</f>
        <v>Tool</v>
      </c>
      <c r="J1780" s="3" t="b">
        <f>_xlfn.IFNA(INDEX(RulebookFields!I2:I999, MATCH(D1780,RulebookFields!A2:A999, 0)), "")</f>
        <v>0</v>
      </c>
      <c r="K1780" s="3" t="b">
        <f>AND(F1780, J1780)</f>
        <v>0</v>
      </c>
      <c r="L1780" s="3" t="b">
        <f>AND(G1780 &lt;&gt; "plain", G1780 &lt;&gt; "")</f>
        <v>0</v>
      </c>
      <c r="M1780" s="3" t="str">
        <f>IF(E1780, C1780 &amp; "|" &amp; H1780, "")</f>
        <v>principal-process-steward|StepTools</v>
      </c>
      <c r="N1780" s="2" t="s">
        <v>9938</v>
      </c>
    </row>
    <row r="1781">
      <c r="A1781" s="2" t="s">
        <v>11717</v>
      </c>
      <c r="B1781" s="3" t="str">
        <f>C1781 &amp; " -&gt; " &amp; D1781</f>
        <v>principal-process-steward -&gt; StepTransitions.StepTransitionId</v>
      </c>
      <c r="C1781" s="2" t="s">
        <v>9706</v>
      </c>
      <c r="D1781" s="2" t="s">
        <v>2909</v>
      </c>
      <c r="E1781" s="2" t="b">
        <v>1</v>
      </c>
      <c r="F1781" s="2" t="b">
        <v>0</v>
      </c>
      <c r="G1781" s="2" t="s">
        <v>9937</v>
      </c>
      <c r="H1781" s="3" t="str">
        <f>_xlfn.IFNA(INDEX(RulebookFields!C2:C999, MATCH(D1781,RulebookFields!A2:A999, 0)), "")</f>
        <v>StepTransitions</v>
      </c>
      <c r="I1781" s="3" t="str">
        <f>_xlfn.IFNA(INDEX(RulebookFields!D2:D999, MATCH(D1781,RulebookFields!A2:A999, 0)), "")</f>
        <v>StepTransitionId</v>
      </c>
      <c r="J1781" s="3" t="b">
        <f>_xlfn.IFNA(INDEX(RulebookFields!I2:I999, MATCH(D1781,RulebookFields!A2:A999, 0)), "")</f>
        <v>0</v>
      </c>
      <c r="K1781" s="3" t="b">
        <f>AND(F1781, J1781)</f>
        <v>0</v>
      </c>
      <c r="L1781" s="3" t="b">
        <f>AND(G1781 &lt;&gt; "plain", G1781 &lt;&gt; "")</f>
        <v>0</v>
      </c>
      <c r="M1781" s="3" t="str">
        <f>IF(E1781, C1781 &amp; "|" &amp; H1781, "")</f>
        <v>principal-process-steward|StepTransitions</v>
      </c>
      <c r="N1781" s="2" t="s">
        <v>9938</v>
      </c>
    </row>
    <row r="1782">
      <c r="A1782" s="2" t="s">
        <v>11718</v>
      </c>
      <c r="B1782" s="3" t="str">
        <f>C1782 &amp; " -&gt; " &amp; D1782</f>
        <v>principal-process-steward -&gt; StepTransitions.Name</v>
      </c>
      <c r="C1782" s="2" t="s">
        <v>9706</v>
      </c>
      <c r="D1782" s="2" t="s">
        <v>2910</v>
      </c>
      <c r="E1782" s="2" t="b">
        <v>1</v>
      </c>
      <c r="F1782" s="2" t="b">
        <v>0</v>
      </c>
      <c r="G1782" s="2" t="s">
        <v>9937</v>
      </c>
      <c r="H1782" s="3" t="str">
        <f>_xlfn.IFNA(INDEX(RulebookFields!C2:C999, MATCH(D1782,RulebookFields!A2:A999, 0)), "")</f>
        <v>StepTransitions</v>
      </c>
      <c r="I1782" s="3" t="str">
        <f>_xlfn.IFNA(INDEX(RulebookFields!D2:D999, MATCH(D1782,RulebookFields!A2:A999, 0)), "")</f>
        <v>Name</v>
      </c>
      <c r="J1782" s="3" t="b">
        <f>_xlfn.IFNA(INDEX(RulebookFields!I2:I999, MATCH(D1782,RulebookFields!A2:A999, 0)), "")</f>
        <v>1</v>
      </c>
      <c r="K1782" s="3" t="b">
        <f>AND(F1782, J1782)</f>
        <v>0</v>
      </c>
      <c r="L1782" s="3" t="b">
        <f>AND(G1782 &lt;&gt; "plain", G1782 &lt;&gt; "")</f>
        <v>0</v>
      </c>
      <c r="M1782" s="3" t="str">
        <f>IF(E1782, C1782 &amp; "|" &amp; H1782, "")</f>
        <v>principal-process-steward|StepTransitions</v>
      </c>
      <c r="N1782" s="2" t="s">
        <v>9938</v>
      </c>
    </row>
    <row r="1783">
      <c r="A1783" s="2" t="s">
        <v>11719</v>
      </c>
      <c r="B1783" s="3" t="str">
        <f>C1783 &amp; " -&gt; " &amp; D1783</f>
        <v>principal-process-steward -&gt; StepTransitions.ProcedureVersion</v>
      </c>
      <c r="C1783" s="2" t="s">
        <v>9706</v>
      </c>
      <c r="D1783" s="2" t="s">
        <v>2912</v>
      </c>
      <c r="E1783" s="2" t="b">
        <v>1</v>
      </c>
      <c r="F1783" s="2" t="b">
        <v>0</v>
      </c>
      <c r="G1783" s="2" t="s">
        <v>9937</v>
      </c>
      <c r="H1783" s="3" t="str">
        <f>_xlfn.IFNA(INDEX(RulebookFields!C2:C999, MATCH(D1783,RulebookFields!A2:A999, 0)), "")</f>
        <v>StepTransitions</v>
      </c>
      <c r="I1783" s="3" t="str">
        <f>_xlfn.IFNA(INDEX(RulebookFields!D2:D999, MATCH(D1783,RulebookFields!A2:A999, 0)), "")</f>
        <v>ProcedureVersion</v>
      </c>
      <c r="J1783" s="3" t="b">
        <f>_xlfn.IFNA(INDEX(RulebookFields!I2:I999, MATCH(D1783,RulebookFields!A2:A999, 0)), "")</f>
        <v>0</v>
      </c>
      <c r="K1783" s="3" t="b">
        <f>AND(F1783, J1783)</f>
        <v>0</v>
      </c>
      <c r="L1783" s="3" t="b">
        <f>AND(G1783 &lt;&gt; "plain", G1783 &lt;&gt; "")</f>
        <v>0</v>
      </c>
      <c r="M1783" s="3" t="str">
        <f>IF(E1783, C1783 &amp; "|" &amp; H1783, "")</f>
        <v>principal-process-steward|StepTransitions</v>
      </c>
      <c r="N1783" s="2" t="s">
        <v>9938</v>
      </c>
    </row>
    <row r="1784">
      <c r="A1784" s="2" t="s">
        <v>11720</v>
      </c>
      <c r="B1784" s="3" t="str">
        <f>C1784 &amp; " -&gt; " &amp; D1784</f>
        <v>principal-process-steward -&gt; StepTransitions.FromStep</v>
      </c>
      <c r="C1784" s="2" t="s">
        <v>9706</v>
      </c>
      <c r="D1784" s="2" t="s">
        <v>1767</v>
      </c>
      <c r="E1784" s="2" t="b">
        <v>1</v>
      </c>
      <c r="F1784" s="2" t="b">
        <v>0</v>
      </c>
      <c r="G1784" s="2" t="s">
        <v>9937</v>
      </c>
      <c r="H1784" s="3" t="str">
        <f>_xlfn.IFNA(INDEX(RulebookFields!C2:C999, MATCH(D1784,RulebookFields!A2:A999, 0)), "")</f>
        <v>StepTransitions</v>
      </c>
      <c r="I1784" s="3" t="str">
        <f>_xlfn.IFNA(INDEX(RulebookFields!D2:D999, MATCH(D1784,RulebookFields!A2:A999, 0)), "")</f>
        <v>FromStep</v>
      </c>
      <c r="J1784" s="3" t="b">
        <f>_xlfn.IFNA(INDEX(RulebookFields!I2:I999, MATCH(D1784,RulebookFields!A2:A999, 0)), "")</f>
        <v>0</v>
      </c>
      <c r="K1784" s="3" t="b">
        <f>AND(F1784, J1784)</f>
        <v>0</v>
      </c>
      <c r="L1784" s="3" t="b">
        <f>AND(G1784 &lt;&gt; "plain", G1784 &lt;&gt; "")</f>
        <v>0</v>
      </c>
      <c r="M1784" s="3" t="str">
        <f>IF(E1784, C1784 &amp; "|" &amp; H1784, "")</f>
        <v>principal-process-steward|StepTransitions</v>
      </c>
      <c r="N1784" s="2" t="s">
        <v>9938</v>
      </c>
    </row>
    <row r="1785">
      <c r="A1785" s="2" t="s">
        <v>11721</v>
      </c>
      <c r="B1785" s="3" t="str">
        <f>C1785 &amp; " -&gt; " &amp; D1785</f>
        <v>principal-process-steward -&gt; StepTransitions.ToStep</v>
      </c>
      <c r="C1785" s="2" t="s">
        <v>9706</v>
      </c>
      <c r="D1785" s="2" t="s">
        <v>1772</v>
      </c>
      <c r="E1785" s="2" t="b">
        <v>1</v>
      </c>
      <c r="F1785" s="2" t="b">
        <v>0</v>
      </c>
      <c r="G1785" s="2" t="s">
        <v>9937</v>
      </c>
      <c r="H1785" s="3" t="str">
        <f>_xlfn.IFNA(INDEX(RulebookFields!C2:C999, MATCH(D1785,RulebookFields!A2:A999, 0)), "")</f>
        <v>StepTransitions</v>
      </c>
      <c r="I1785" s="3" t="str">
        <f>_xlfn.IFNA(INDEX(RulebookFields!D2:D999, MATCH(D1785,RulebookFields!A2:A999, 0)), "")</f>
        <v>ToStep</v>
      </c>
      <c r="J1785" s="3" t="b">
        <f>_xlfn.IFNA(INDEX(RulebookFields!I2:I999, MATCH(D1785,RulebookFields!A2:A999, 0)), "")</f>
        <v>0</v>
      </c>
      <c r="K1785" s="3" t="b">
        <f>AND(F1785, J1785)</f>
        <v>0</v>
      </c>
      <c r="L1785" s="3" t="b">
        <f>AND(G1785 &lt;&gt; "plain", G1785 &lt;&gt; "")</f>
        <v>0</v>
      </c>
      <c r="M1785" s="3" t="str">
        <f>IF(E1785, C1785 &amp; "|" &amp; H1785, "")</f>
        <v>principal-process-steward|StepTransitions</v>
      </c>
      <c r="N1785" s="2" t="s">
        <v>9938</v>
      </c>
    </row>
    <row r="1786">
      <c r="A1786" s="2" t="s">
        <v>11722</v>
      </c>
      <c r="B1786" s="3" t="str">
        <f>C1786 &amp; " -&gt; " &amp; D1786</f>
        <v>principal-process-steward -&gt; StepTransitions.TransitionKind</v>
      </c>
      <c r="C1786" s="2" t="s">
        <v>9706</v>
      </c>
      <c r="D1786" s="2" t="s">
        <v>2913</v>
      </c>
      <c r="E1786" s="2" t="b">
        <v>1</v>
      </c>
      <c r="F1786" s="2" t="b">
        <v>0</v>
      </c>
      <c r="G1786" s="2" t="s">
        <v>9937</v>
      </c>
      <c r="H1786" s="3" t="str">
        <f>_xlfn.IFNA(INDEX(RulebookFields!C2:C999, MATCH(D1786,RulebookFields!A2:A999, 0)), "")</f>
        <v>StepTransitions</v>
      </c>
      <c r="I1786" s="3" t="str">
        <f>_xlfn.IFNA(INDEX(RulebookFields!D2:D999, MATCH(D1786,RulebookFields!A2:A999, 0)), "")</f>
        <v>TransitionKind</v>
      </c>
      <c r="J1786" s="3" t="b">
        <f>_xlfn.IFNA(INDEX(RulebookFields!I2:I999, MATCH(D1786,RulebookFields!A2:A999, 0)), "")</f>
        <v>0</v>
      </c>
      <c r="K1786" s="3" t="b">
        <f>AND(F1786, J1786)</f>
        <v>0</v>
      </c>
      <c r="L1786" s="3" t="b">
        <f>AND(G1786 &lt;&gt; "plain", G1786 &lt;&gt; "")</f>
        <v>0</v>
      </c>
      <c r="M1786" s="3" t="str">
        <f>IF(E1786, C1786 &amp; "|" &amp; H1786, "")</f>
        <v>principal-process-steward|StepTransitions</v>
      </c>
      <c r="N1786" s="2" t="s">
        <v>9938</v>
      </c>
    </row>
    <row r="1787">
      <c r="A1787" s="2" t="s">
        <v>11723</v>
      </c>
      <c r="B1787" s="3" t="str">
        <f>C1787 &amp; " -&gt; " &amp; D1787</f>
        <v>principal-process-steward -&gt; StepTransitions.Condition</v>
      </c>
      <c r="C1787" s="2" t="s">
        <v>9706</v>
      </c>
      <c r="D1787" s="2" t="s">
        <v>2914</v>
      </c>
      <c r="E1787" s="2" t="b">
        <v>1</v>
      </c>
      <c r="F1787" s="2" t="b">
        <v>0</v>
      </c>
      <c r="G1787" s="2" t="s">
        <v>9937</v>
      </c>
      <c r="H1787" s="3" t="str">
        <f>_xlfn.IFNA(INDEX(RulebookFields!C2:C999, MATCH(D1787,RulebookFields!A2:A999, 0)), "")</f>
        <v>StepTransitions</v>
      </c>
      <c r="I1787" s="3" t="str">
        <f>_xlfn.IFNA(INDEX(RulebookFields!D2:D999, MATCH(D1787,RulebookFields!A2:A999, 0)), "")</f>
        <v>Condition</v>
      </c>
      <c r="J1787" s="3" t="b">
        <f>_xlfn.IFNA(INDEX(RulebookFields!I2:I999, MATCH(D1787,RulebookFields!A2:A999, 0)), "")</f>
        <v>0</v>
      </c>
      <c r="K1787" s="3" t="b">
        <f>AND(F1787, J1787)</f>
        <v>0</v>
      </c>
      <c r="L1787" s="3" t="b">
        <f>AND(G1787 &lt;&gt; "plain", G1787 &lt;&gt; "")</f>
        <v>0</v>
      </c>
      <c r="M1787" s="3" t="str">
        <f>IF(E1787, C1787 &amp; "|" &amp; H1787, "")</f>
        <v>principal-process-steward|StepTransitions</v>
      </c>
      <c r="N1787" s="2" t="s">
        <v>9938</v>
      </c>
    </row>
    <row r="1788">
      <c r="A1788" s="2" t="s">
        <v>11724</v>
      </c>
      <c r="B1788" s="3" t="str">
        <f>C1788 &amp; " -&gt; " &amp; D1788</f>
        <v>principal-process-steward -&gt; StepTransitions.Priority</v>
      </c>
      <c r="C1788" s="2" t="s">
        <v>9706</v>
      </c>
      <c r="D1788" s="2" t="s">
        <v>2915</v>
      </c>
      <c r="E1788" s="2" t="b">
        <v>1</v>
      </c>
      <c r="F1788" s="2" t="b">
        <v>0</v>
      </c>
      <c r="G1788" s="2" t="s">
        <v>9937</v>
      </c>
      <c r="H1788" s="3" t="str">
        <f>_xlfn.IFNA(INDEX(RulebookFields!C2:C999, MATCH(D1788,RulebookFields!A2:A999, 0)), "")</f>
        <v>StepTransitions</v>
      </c>
      <c r="I1788" s="3" t="str">
        <f>_xlfn.IFNA(INDEX(RulebookFields!D2:D999, MATCH(D1788,RulebookFields!A2:A999, 0)), "")</f>
        <v>Priority</v>
      </c>
      <c r="J1788" s="3" t="b">
        <f>_xlfn.IFNA(INDEX(RulebookFields!I2:I999, MATCH(D1788,RulebookFields!A2:A999, 0)), "")</f>
        <v>0</v>
      </c>
      <c r="K1788" s="3" t="b">
        <f>AND(F1788, J1788)</f>
        <v>0</v>
      </c>
      <c r="L1788" s="3" t="b">
        <f>AND(G1788 &lt;&gt; "plain", G1788 &lt;&gt; "")</f>
        <v>0</v>
      </c>
      <c r="M1788" s="3" t="str">
        <f>IF(E1788, C1788 &amp; "|" &amp; H1788, "")</f>
        <v>principal-process-steward|StepTransitions</v>
      </c>
      <c r="N1788" s="2" t="s">
        <v>9938</v>
      </c>
    </row>
    <row r="1789">
      <c r="A1789" s="2" t="s">
        <v>11725</v>
      </c>
      <c r="B1789" s="3" t="str">
        <f>C1789 &amp; " -&gt; " &amp; D1789</f>
        <v>principal-process-steward -&gt; StepTransitions.IsRecoveryPath</v>
      </c>
      <c r="C1789" s="2" t="s">
        <v>9706</v>
      </c>
      <c r="D1789" s="2" t="s">
        <v>2916</v>
      </c>
      <c r="E1789" s="2" t="b">
        <v>1</v>
      </c>
      <c r="F1789" s="2" t="b">
        <v>0</v>
      </c>
      <c r="G1789" s="2" t="s">
        <v>9937</v>
      </c>
      <c r="H1789" s="3" t="str">
        <f>_xlfn.IFNA(INDEX(RulebookFields!C2:C999, MATCH(D1789,RulebookFields!A2:A999, 0)), "")</f>
        <v>StepTransitions</v>
      </c>
      <c r="I1789" s="3" t="str">
        <f>_xlfn.IFNA(INDEX(RulebookFields!D2:D999, MATCH(D1789,RulebookFields!A2:A999, 0)), "")</f>
        <v>IsRecoveryPath</v>
      </c>
      <c r="J1789" s="3" t="b">
        <f>_xlfn.IFNA(INDEX(RulebookFields!I2:I999, MATCH(D1789,RulebookFields!A2:A999, 0)), "")</f>
        <v>1</v>
      </c>
      <c r="K1789" s="3" t="b">
        <f>AND(F1789, J1789)</f>
        <v>0</v>
      </c>
      <c r="L1789" s="3" t="b">
        <f>AND(G1789 &lt;&gt; "plain", G1789 &lt;&gt; "")</f>
        <v>0</v>
      </c>
      <c r="M1789" s="3" t="str">
        <f>IF(E1789, C1789 &amp; "|" &amp; H1789, "")</f>
        <v>principal-process-steward|StepTransitions</v>
      </c>
      <c r="N1789" s="2" t="s">
        <v>9938</v>
      </c>
    </row>
    <row r="1790">
      <c r="A1790" s="2" t="s">
        <v>11726</v>
      </c>
      <c r="B1790" s="3" t="str">
        <f>C1790 &amp; " -&gt; " &amp; D1790</f>
        <v>principal-process-steward -&gt; StepTransitions.CountOfFromStepExecutions</v>
      </c>
      <c r="C1790" s="2" t="s">
        <v>9706</v>
      </c>
      <c r="D1790" s="2" t="s">
        <v>2918</v>
      </c>
      <c r="E1790" s="2" t="b">
        <v>1</v>
      </c>
      <c r="F1790" s="2" t="b">
        <v>0</v>
      </c>
      <c r="G1790" s="2" t="s">
        <v>9937</v>
      </c>
      <c r="H1790" s="3" t="str">
        <f>_xlfn.IFNA(INDEX(RulebookFields!C2:C999, MATCH(D1790,RulebookFields!A2:A999, 0)), "")</f>
        <v>StepTransitions</v>
      </c>
      <c r="I1790" s="3" t="str">
        <f>_xlfn.IFNA(INDEX(RulebookFields!D2:D999, MATCH(D1790,RulebookFields!A2:A999, 0)), "")</f>
        <v>CountOfFromStepExecutions</v>
      </c>
      <c r="J1790" s="3" t="b">
        <f>_xlfn.IFNA(INDEX(RulebookFields!I2:I999, MATCH(D1790,RulebookFields!A2:A999, 0)), "")</f>
        <v>1</v>
      </c>
      <c r="K1790" s="3" t="b">
        <f>AND(F1790, J1790)</f>
        <v>0</v>
      </c>
      <c r="L1790" s="3" t="b">
        <f>AND(G1790 &lt;&gt; "plain", G1790 &lt;&gt; "")</f>
        <v>0</v>
      </c>
      <c r="M1790" s="3" t="str">
        <f>IF(E1790, C1790 &amp; "|" &amp; H1790, "")</f>
        <v>principal-process-steward|StepTransitions</v>
      </c>
      <c r="N1790" s="2" t="s">
        <v>9938</v>
      </c>
    </row>
    <row r="1791">
      <c r="A1791" s="2" t="s">
        <v>11727</v>
      </c>
      <c r="B1791" s="3" t="str">
        <f>C1791 &amp; " -&gt; " &amp; D1791</f>
        <v>principal-process-steward -&gt; StepTransitions.CountOfToStepExecutions</v>
      </c>
      <c r="C1791" s="2" t="s">
        <v>9706</v>
      </c>
      <c r="D1791" s="2" t="s">
        <v>2920</v>
      </c>
      <c r="E1791" s="2" t="b">
        <v>1</v>
      </c>
      <c r="F1791" s="2" t="b">
        <v>0</v>
      </c>
      <c r="G1791" s="2" t="s">
        <v>9937</v>
      </c>
      <c r="H1791" s="3" t="str">
        <f>_xlfn.IFNA(INDEX(RulebookFields!C2:C999, MATCH(D1791,RulebookFields!A2:A999, 0)), "")</f>
        <v>StepTransitions</v>
      </c>
      <c r="I1791" s="3" t="str">
        <f>_xlfn.IFNA(INDEX(RulebookFields!D2:D999, MATCH(D1791,RulebookFields!A2:A999, 0)), "")</f>
        <v>CountOfToStepExecutions</v>
      </c>
      <c r="J1791" s="3" t="b">
        <f>_xlfn.IFNA(INDEX(RulebookFields!I2:I999, MATCH(D1791,RulebookFields!A2:A999, 0)), "")</f>
        <v>1</v>
      </c>
      <c r="K1791" s="3" t="b">
        <f>AND(F1791, J1791)</f>
        <v>0</v>
      </c>
      <c r="L1791" s="3" t="b">
        <f>AND(G1791 &lt;&gt; "plain", G1791 &lt;&gt; "")</f>
        <v>0</v>
      </c>
      <c r="M1791" s="3" t="str">
        <f>IF(E1791, C1791 &amp; "|" &amp; H1791, "")</f>
        <v>principal-process-steward|StepTransitions</v>
      </c>
      <c r="N1791" s="2" t="s">
        <v>9938</v>
      </c>
    </row>
    <row r="1792">
      <c r="A1792" s="2" t="s">
        <v>11728</v>
      </c>
      <c r="B1792" s="3" t="str">
        <f>C1792 &amp; " -&gt; " &amp; D1792</f>
        <v>principal-process-steward -&gt; StepTransitions.HasReachableOrigin</v>
      </c>
      <c r="C1792" s="2" t="s">
        <v>9706</v>
      </c>
      <c r="D1792" s="2" t="s">
        <v>2922</v>
      </c>
      <c r="E1792" s="2" t="b">
        <v>1</v>
      </c>
      <c r="F1792" s="2" t="b">
        <v>0</v>
      </c>
      <c r="G1792" s="2" t="s">
        <v>9937</v>
      </c>
      <c r="H1792" s="3" t="str">
        <f>_xlfn.IFNA(INDEX(RulebookFields!C2:C999, MATCH(D1792,RulebookFields!A2:A999, 0)), "")</f>
        <v>StepTransitions</v>
      </c>
      <c r="I1792" s="3" t="str">
        <f>_xlfn.IFNA(INDEX(RulebookFields!D2:D999, MATCH(D1792,RulebookFields!A2:A999, 0)), "")</f>
        <v>HasReachableOrigin</v>
      </c>
      <c r="J1792" s="3" t="b">
        <f>_xlfn.IFNA(INDEX(RulebookFields!I2:I999, MATCH(D1792,RulebookFields!A2:A999, 0)), "")</f>
        <v>1</v>
      </c>
      <c r="K1792" s="3" t="b">
        <f>AND(F1792, J1792)</f>
        <v>0</v>
      </c>
      <c r="L1792" s="3" t="b">
        <f>AND(G1792 &lt;&gt; "plain", G1792 &lt;&gt; "")</f>
        <v>0</v>
      </c>
      <c r="M1792" s="3" t="str">
        <f>IF(E1792, C1792 &amp; "|" &amp; H1792, "")</f>
        <v>principal-process-steward|StepTransitions</v>
      </c>
      <c r="N1792" s="2" t="s">
        <v>9938</v>
      </c>
    </row>
    <row r="1793">
      <c r="A1793" s="2" t="s">
        <v>11729</v>
      </c>
      <c r="B1793" s="3" t="str">
        <f>C1793 &amp; " -&gt; " &amp; D1793</f>
        <v>principal-process-steward -&gt; StepTransitions.HasReachableTarget</v>
      </c>
      <c r="C1793" s="2" t="s">
        <v>9706</v>
      </c>
      <c r="D1793" s="2" t="s">
        <v>2924</v>
      </c>
      <c r="E1793" s="2" t="b">
        <v>1</v>
      </c>
      <c r="F1793" s="2" t="b">
        <v>0</v>
      </c>
      <c r="G1793" s="2" t="s">
        <v>9937</v>
      </c>
      <c r="H1793" s="3" t="str">
        <f>_xlfn.IFNA(INDEX(RulebookFields!C2:C999, MATCH(D1793,RulebookFields!A2:A999, 0)), "")</f>
        <v>StepTransitions</v>
      </c>
      <c r="I1793" s="3" t="str">
        <f>_xlfn.IFNA(INDEX(RulebookFields!D2:D999, MATCH(D1793,RulebookFields!A2:A999, 0)), "")</f>
        <v>HasReachableTarget</v>
      </c>
      <c r="J1793" s="3" t="b">
        <f>_xlfn.IFNA(INDEX(RulebookFields!I2:I999, MATCH(D1793,RulebookFields!A2:A999, 0)), "")</f>
        <v>1</v>
      </c>
      <c r="K1793" s="3" t="b">
        <f>AND(F1793, J1793)</f>
        <v>0</v>
      </c>
      <c r="L1793" s="3" t="b">
        <f>AND(G1793 &lt;&gt; "plain", G1793 &lt;&gt; "")</f>
        <v>0</v>
      </c>
      <c r="M1793" s="3" t="str">
        <f>IF(E1793, C1793 &amp; "|" &amp; H1793, "")</f>
        <v>principal-process-steward|StepTransitions</v>
      </c>
      <c r="N1793" s="2" t="s">
        <v>9938</v>
      </c>
    </row>
    <row r="1794">
      <c r="A1794" s="2" t="s">
        <v>11730</v>
      </c>
      <c r="B1794" s="3" t="str">
        <f>C1794 &amp; " -&gt; " &amp; D1794</f>
        <v>principal-process-steward -&gt; StepTransitions.IsNeverExercised</v>
      </c>
      <c r="C1794" s="2" t="s">
        <v>9706</v>
      </c>
      <c r="D1794" s="2" t="s">
        <v>2926</v>
      </c>
      <c r="E1794" s="2" t="b">
        <v>1</v>
      </c>
      <c r="F1794" s="2" t="b">
        <v>0</v>
      </c>
      <c r="G1794" s="2" t="s">
        <v>9937</v>
      </c>
      <c r="H1794" s="3" t="str">
        <f>_xlfn.IFNA(INDEX(RulebookFields!C2:C999, MATCH(D1794,RulebookFields!A2:A999, 0)), "")</f>
        <v>StepTransitions</v>
      </c>
      <c r="I1794" s="3" t="str">
        <f>_xlfn.IFNA(INDEX(RulebookFields!D2:D999, MATCH(D1794,RulebookFields!A2:A999, 0)), "")</f>
        <v>IsNeverExercised</v>
      </c>
      <c r="J1794" s="3" t="b">
        <f>_xlfn.IFNA(INDEX(RulebookFields!I2:I999, MATCH(D1794,RulebookFields!A2:A999, 0)), "")</f>
        <v>1</v>
      </c>
      <c r="K1794" s="3" t="b">
        <f>AND(F1794, J1794)</f>
        <v>0</v>
      </c>
      <c r="L1794" s="3" t="b">
        <f>AND(G1794 &lt;&gt; "plain", G1794 &lt;&gt; "")</f>
        <v>0</v>
      </c>
      <c r="M1794" s="3" t="str">
        <f>IF(E1794, C1794 &amp; "|" &amp; H1794, "")</f>
        <v>principal-process-steward|StepTransitions</v>
      </c>
      <c r="N1794" s="2" t="s">
        <v>9938</v>
      </c>
    </row>
    <row r="1795">
      <c r="A1795" s="2" t="s">
        <v>11731</v>
      </c>
      <c r="B1795" s="3" t="str">
        <f>C1795 &amp; " -&gt; " &amp; D1795</f>
        <v>principal-process-steward -&gt; StepTransitions.IsUntestedRecoveryPath</v>
      </c>
      <c r="C1795" s="2" t="s">
        <v>9706</v>
      </c>
      <c r="D1795" s="2" t="s">
        <v>2928</v>
      </c>
      <c r="E1795" s="2" t="b">
        <v>1</v>
      </c>
      <c r="F1795" s="2" t="b">
        <v>0</v>
      </c>
      <c r="G1795" s="2" t="s">
        <v>9937</v>
      </c>
      <c r="H1795" s="3" t="str">
        <f>_xlfn.IFNA(INDEX(RulebookFields!C2:C999, MATCH(D1795,RulebookFields!A2:A999, 0)), "")</f>
        <v>StepTransitions</v>
      </c>
      <c r="I1795" s="3" t="str">
        <f>_xlfn.IFNA(INDEX(RulebookFields!D2:D999, MATCH(D1795,RulebookFields!A2:A999, 0)), "")</f>
        <v>IsUntestedRecoveryPath</v>
      </c>
      <c r="J1795" s="3" t="b">
        <f>_xlfn.IFNA(INDEX(RulebookFields!I2:I999, MATCH(D1795,RulebookFields!A2:A999, 0)), "")</f>
        <v>1</v>
      </c>
      <c r="K1795" s="3" t="b">
        <f>AND(F1795, J1795)</f>
        <v>0</v>
      </c>
      <c r="L1795" s="3" t="b">
        <f>AND(G1795 &lt;&gt; "plain", G1795 &lt;&gt; "")</f>
        <v>0</v>
      </c>
      <c r="M1795" s="3" t="str">
        <f>IF(E1795, C1795 &amp; "|" &amp; H1795, "")</f>
        <v>principal-process-steward|StepTransitions</v>
      </c>
      <c r="N1795" s="2" t="s">
        <v>9938</v>
      </c>
    </row>
    <row r="1796">
      <c r="A1796" s="2" t="s">
        <v>11732</v>
      </c>
      <c r="B1796" s="3" t="str">
        <f>C1796 &amp; " -&gt; " &amp; D1796</f>
        <v>principal-process-steward -&gt; StepTransitions.CountOfObservedTraversals</v>
      </c>
      <c r="C1796" s="2" t="s">
        <v>9706</v>
      </c>
      <c r="D1796" s="2" t="s">
        <v>2930</v>
      </c>
      <c r="E1796" s="2" t="b">
        <v>1</v>
      </c>
      <c r="F1796" s="2" t="b">
        <v>0</v>
      </c>
      <c r="G1796" s="2" t="s">
        <v>9937</v>
      </c>
      <c r="H1796" s="3" t="str">
        <f>_xlfn.IFNA(INDEX(RulebookFields!C2:C999, MATCH(D1796,RulebookFields!A2:A999, 0)), "")</f>
        <v>StepTransitions</v>
      </c>
      <c r="I1796" s="3" t="str">
        <f>_xlfn.IFNA(INDEX(RulebookFields!D2:D999, MATCH(D1796,RulebookFields!A2:A999, 0)), "")</f>
        <v>CountOfObservedTraversals</v>
      </c>
      <c r="J1796" s="3" t="b">
        <f>_xlfn.IFNA(INDEX(RulebookFields!I2:I999, MATCH(D1796,RulebookFields!A2:A999, 0)), "")</f>
        <v>1</v>
      </c>
      <c r="K1796" s="3" t="b">
        <f>AND(F1796, J1796)</f>
        <v>0</v>
      </c>
      <c r="L1796" s="3" t="b">
        <f>AND(G1796 &lt;&gt; "plain", G1796 &lt;&gt; "")</f>
        <v>0</v>
      </c>
      <c r="M1796" s="3" t="str">
        <f>IF(E1796, C1796 &amp; "|" &amp; H1796, "")</f>
        <v>principal-process-steward|StepTransitions</v>
      </c>
      <c r="N1796" s="2" t="s">
        <v>9938</v>
      </c>
    </row>
    <row r="1797">
      <c r="A1797" s="2" t="s">
        <v>11733</v>
      </c>
      <c r="B1797" s="3" t="str">
        <f>C1797 &amp; " -&gt; " &amp; D1797</f>
        <v>principal-process-steward -&gt; StepTransitions.HasBeenTraversed</v>
      </c>
      <c r="C1797" s="2" t="s">
        <v>9706</v>
      </c>
      <c r="D1797" s="2" t="s">
        <v>2932</v>
      </c>
      <c r="E1797" s="2" t="b">
        <v>1</v>
      </c>
      <c r="F1797" s="2" t="b">
        <v>0</v>
      </c>
      <c r="G1797" s="2" t="s">
        <v>9937</v>
      </c>
      <c r="H1797" s="3" t="str">
        <f>_xlfn.IFNA(INDEX(RulebookFields!C2:C999, MATCH(D1797,RulebookFields!A2:A999, 0)), "")</f>
        <v>StepTransitions</v>
      </c>
      <c r="I1797" s="3" t="str">
        <f>_xlfn.IFNA(INDEX(RulebookFields!D2:D999, MATCH(D1797,RulebookFields!A2:A999, 0)), "")</f>
        <v>HasBeenTraversed</v>
      </c>
      <c r="J1797" s="3" t="b">
        <f>_xlfn.IFNA(INDEX(RulebookFields!I2:I999, MATCH(D1797,RulebookFields!A2:A999, 0)), "")</f>
        <v>1</v>
      </c>
      <c r="K1797" s="3" t="b">
        <f>AND(F1797, J1797)</f>
        <v>0</v>
      </c>
      <c r="L1797" s="3" t="b">
        <f>AND(G1797 &lt;&gt; "plain", G1797 &lt;&gt; "")</f>
        <v>0</v>
      </c>
      <c r="M1797" s="3" t="str">
        <f>IF(E1797, C1797 &amp; "|" &amp; H1797, "")</f>
        <v>principal-process-steward|StepTransitions</v>
      </c>
      <c r="N1797" s="2" t="s">
        <v>9938</v>
      </c>
    </row>
    <row r="1798">
      <c r="A1798" s="2" t="s">
        <v>11734</v>
      </c>
      <c r="B1798" s="3" t="str">
        <f>C1798 &amp; " -&gt; " &amp; D1798</f>
        <v>principal-process-steward -&gt; StepTransitions.IsUnwalkedRecoveryPath</v>
      </c>
      <c r="C1798" s="2" t="s">
        <v>9706</v>
      </c>
      <c r="D1798" s="2" t="s">
        <v>2934</v>
      </c>
      <c r="E1798" s="2" t="b">
        <v>1</v>
      </c>
      <c r="F1798" s="2" t="b">
        <v>0</v>
      </c>
      <c r="G1798" s="2" t="s">
        <v>9937</v>
      </c>
      <c r="H1798" s="3" t="str">
        <f>_xlfn.IFNA(INDEX(RulebookFields!C2:C999, MATCH(D1798,RulebookFields!A2:A999, 0)), "")</f>
        <v>StepTransitions</v>
      </c>
      <c r="I1798" s="3" t="str">
        <f>_xlfn.IFNA(INDEX(RulebookFields!D2:D999, MATCH(D1798,RulebookFields!A2:A999, 0)), "")</f>
        <v>IsUnwalkedRecoveryPath</v>
      </c>
      <c r="J1798" s="3" t="b">
        <f>_xlfn.IFNA(INDEX(RulebookFields!I2:I999, MATCH(D1798,RulebookFields!A2:A999, 0)), "")</f>
        <v>1</v>
      </c>
      <c r="K1798" s="3" t="b">
        <f>AND(F1798, J1798)</f>
        <v>0</v>
      </c>
      <c r="L1798" s="3" t="b">
        <f>AND(G1798 &lt;&gt; "plain", G1798 &lt;&gt; "")</f>
        <v>0</v>
      </c>
      <c r="M1798" s="3" t="str">
        <f>IF(E1798, C1798 &amp; "|" &amp; H1798, "")</f>
        <v>principal-process-steward|StepTransitions</v>
      </c>
      <c r="N1798" s="2" t="s">
        <v>9938</v>
      </c>
    </row>
    <row r="1799">
      <c r="A1799" s="2" t="s">
        <v>11735</v>
      </c>
      <c r="B1799" s="3" t="str">
        <f>C1799 &amp; " -&gt; " &amp; D1799</f>
        <v>principal-process-steward -&gt; StepTransitions.TargetBlockingRequirementCount</v>
      </c>
      <c r="C1799" s="2" t="s">
        <v>9706</v>
      </c>
      <c r="D1799" s="2" t="s">
        <v>2936</v>
      </c>
      <c r="E1799" s="2" t="b">
        <v>1</v>
      </c>
      <c r="F1799" s="2" t="b">
        <v>0</v>
      </c>
      <c r="G1799" s="2" t="s">
        <v>9937</v>
      </c>
      <c r="H1799" s="3" t="str">
        <f>_xlfn.IFNA(INDEX(RulebookFields!C2:C999, MATCH(D1799,RulebookFields!A2:A999, 0)), "")</f>
        <v>StepTransitions</v>
      </c>
      <c r="I1799" s="3" t="str">
        <f>_xlfn.IFNA(INDEX(RulebookFields!D2:D999, MATCH(D1799,RulebookFields!A2:A999, 0)), "")</f>
        <v>TargetBlockingRequirementCount</v>
      </c>
      <c r="J1799" s="3" t="b">
        <f>_xlfn.IFNA(INDEX(RulebookFields!I2:I999, MATCH(D1799,RulebookFields!A2:A999, 0)), "")</f>
        <v>1</v>
      </c>
      <c r="K1799" s="3" t="b">
        <f>AND(F1799, J1799)</f>
        <v>0</v>
      </c>
      <c r="L1799" s="3" t="b">
        <f>AND(G1799 &lt;&gt; "plain", G1799 &lt;&gt; "")</f>
        <v>0</v>
      </c>
      <c r="M1799" s="3" t="str">
        <f>IF(E1799, C1799 &amp; "|" &amp; H1799, "")</f>
        <v>principal-process-steward|StepTransitions</v>
      </c>
      <c r="N1799" s="2" t="s">
        <v>9938</v>
      </c>
    </row>
    <row r="1800">
      <c r="A1800" s="2" t="s">
        <v>11736</v>
      </c>
      <c r="B1800" s="3" t="str">
        <f>C1800 &amp; " -&gt; " &amp; D1800</f>
        <v>principal-process-steward -&gt; StepTransitions.TargetCarriesBlockingControl</v>
      </c>
      <c r="C1800" s="2" t="s">
        <v>9706</v>
      </c>
      <c r="D1800" s="2" t="s">
        <v>2938</v>
      </c>
      <c r="E1800" s="2" t="b">
        <v>1</v>
      </c>
      <c r="F1800" s="2" t="b">
        <v>0</v>
      </c>
      <c r="G1800" s="2" t="s">
        <v>9937</v>
      </c>
      <c r="H1800" s="3" t="str">
        <f>_xlfn.IFNA(INDEX(RulebookFields!C2:C999, MATCH(D1800,RulebookFields!A2:A999, 0)), "")</f>
        <v>StepTransitions</v>
      </c>
      <c r="I1800" s="3" t="str">
        <f>_xlfn.IFNA(INDEX(RulebookFields!D2:D999, MATCH(D1800,RulebookFields!A2:A999, 0)), "")</f>
        <v>TargetCarriesBlockingControl</v>
      </c>
      <c r="J1800" s="3" t="b">
        <f>_xlfn.IFNA(INDEX(RulebookFields!I2:I999, MATCH(D1800,RulebookFields!A2:A999, 0)), "")</f>
        <v>1</v>
      </c>
      <c r="K1800" s="3" t="b">
        <f>AND(F1800, J1800)</f>
        <v>0</v>
      </c>
      <c r="L1800" s="3" t="b">
        <f>AND(G1800 &lt;&gt; "plain", G1800 &lt;&gt; "")</f>
        <v>0</v>
      </c>
      <c r="M1800" s="3" t="str">
        <f>IF(E1800, C1800 &amp; "|" &amp; H1800, "")</f>
        <v>principal-process-steward|StepTransitions</v>
      </c>
      <c r="N1800" s="2" t="s">
        <v>9938</v>
      </c>
    </row>
    <row r="1801">
      <c r="A1801" s="2" t="s">
        <v>11737</v>
      </c>
      <c r="B1801" s="3" t="str">
        <f>C1801 &amp; " -&gt; " &amp; D1801</f>
        <v>principal-process-steward -&gt; StepTransitions.IsUnrehearsedControlEntry</v>
      </c>
      <c r="C1801" s="2" t="s">
        <v>9706</v>
      </c>
      <c r="D1801" s="2" t="s">
        <v>2940</v>
      </c>
      <c r="E1801" s="2" t="b">
        <v>1</v>
      </c>
      <c r="F1801" s="2" t="b">
        <v>0</v>
      </c>
      <c r="G1801" s="2" t="s">
        <v>9937</v>
      </c>
      <c r="H1801" s="3" t="str">
        <f>_xlfn.IFNA(INDEX(RulebookFields!C2:C999, MATCH(D1801,RulebookFields!A2:A999, 0)), "")</f>
        <v>StepTransitions</v>
      </c>
      <c r="I1801" s="3" t="str">
        <f>_xlfn.IFNA(INDEX(RulebookFields!D2:D999, MATCH(D1801,RulebookFields!A2:A999, 0)), "")</f>
        <v>IsUnrehearsedControlEntry</v>
      </c>
      <c r="J1801" s="3" t="b">
        <f>_xlfn.IFNA(INDEX(RulebookFields!I2:I999, MATCH(D1801,RulebookFields!A2:A999, 0)), "")</f>
        <v>1</v>
      </c>
      <c r="K1801" s="3" t="b">
        <f>AND(F1801, J1801)</f>
        <v>0</v>
      </c>
      <c r="L1801" s="3" t="b">
        <f>AND(G1801 &lt;&gt; "plain", G1801 &lt;&gt; "")</f>
        <v>0</v>
      </c>
      <c r="M1801" s="3" t="str">
        <f>IF(E1801, C1801 &amp; "|" &amp; H1801, "")</f>
        <v>principal-process-steward|StepTransitions</v>
      </c>
      <c r="N1801" s="2" t="s">
        <v>9938</v>
      </c>
    </row>
    <row r="1802">
      <c r="A1802" s="2" t="s">
        <v>11738</v>
      </c>
      <c r="B1802" s="3" t="str">
        <f>C1802 &amp; " -&gt; " &amp; D1802</f>
        <v>principal-process-steward -&gt; StepTransitions.UnrehearsedControlVersionKey</v>
      </c>
      <c r="C1802" s="2" t="s">
        <v>9706</v>
      </c>
      <c r="D1802" s="2" t="s">
        <v>2942</v>
      </c>
      <c r="E1802" s="2" t="b">
        <v>1</v>
      </c>
      <c r="F1802" s="2" t="b">
        <v>0</v>
      </c>
      <c r="G1802" s="2" t="s">
        <v>9937</v>
      </c>
      <c r="H1802" s="3" t="str">
        <f>_xlfn.IFNA(INDEX(RulebookFields!C2:C999, MATCH(D1802,RulebookFields!A2:A999, 0)), "")</f>
        <v>StepTransitions</v>
      </c>
      <c r="I1802" s="3" t="str">
        <f>_xlfn.IFNA(INDEX(RulebookFields!D2:D999, MATCH(D1802,RulebookFields!A2:A999, 0)), "")</f>
        <v>UnrehearsedControlVersionKey</v>
      </c>
      <c r="J1802" s="3" t="b">
        <f>_xlfn.IFNA(INDEX(RulebookFields!I2:I999, MATCH(D1802,RulebookFields!A2:A999, 0)), "")</f>
        <v>1</v>
      </c>
      <c r="K1802" s="3" t="b">
        <f>AND(F1802, J1802)</f>
        <v>0</v>
      </c>
      <c r="L1802" s="3" t="b">
        <f>AND(G1802 &lt;&gt; "plain", G1802 &lt;&gt; "")</f>
        <v>0</v>
      </c>
      <c r="M1802" s="3" t="str">
        <f>IF(E1802, C1802 &amp; "|" &amp; H1802, "")</f>
        <v>principal-process-steward|StepTransitions</v>
      </c>
      <c r="N1802" s="2" t="s">
        <v>9938</v>
      </c>
    </row>
    <row r="1803">
      <c r="A1803" s="2" t="s">
        <v>11739</v>
      </c>
      <c r="B1803" s="3" t="str">
        <f>C1803 &amp; " -&gt; " &amp; D1803</f>
        <v>principal-process-steward -&gt; StepTransitions.SemanticTypeIri</v>
      </c>
      <c r="C1803" s="2" t="s">
        <v>9706</v>
      </c>
      <c r="D1803" s="2" t="s">
        <v>2944</v>
      </c>
      <c r="E1803" s="2" t="b">
        <v>1</v>
      </c>
      <c r="F1803" s="2" t="b">
        <v>0</v>
      </c>
      <c r="G1803" s="2" t="s">
        <v>9937</v>
      </c>
      <c r="H1803" s="3" t="str">
        <f>_xlfn.IFNA(INDEX(RulebookFields!C2:C999, MATCH(D1803,RulebookFields!A2:A999, 0)), "")</f>
        <v>StepTransitions</v>
      </c>
      <c r="I1803" s="3" t="str">
        <f>_xlfn.IFNA(INDEX(RulebookFields!D2:D999, MATCH(D1803,RulebookFields!A2:A999, 0)), "")</f>
        <v>SemanticTypeIri</v>
      </c>
      <c r="J1803" s="3" t="b">
        <f>_xlfn.IFNA(INDEX(RulebookFields!I2:I999, MATCH(D1803,RulebookFields!A2:A999, 0)), "")</f>
        <v>0</v>
      </c>
      <c r="K1803" s="3" t="b">
        <f>AND(F1803, J1803)</f>
        <v>0</v>
      </c>
      <c r="L1803" s="3" t="b">
        <f>AND(G1803 &lt;&gt; "plain", G1803 &lt;&gt; "")</f>
        <v>0</v>
      </c>
      <c r="M1803" s="3" t="str">
        <f>IF(E1803, C1803 &amp; "|" &amp; H1803, "")</f>
        <v>principal-process-steward|StepTransitions</v>
      </c>
      <c r="N1803" s="2" t="s">
        <v>9938</v>
      </c>
    </row>
    <row r="1804">
      <c r="A1804" s="2" t="s">
        <v>11740</v>
      </c>
      <c r="B1804" s="3" t="str">
        <f>C1804 &amp; " -&gt; " &amp; D1804</f>
        <v>principal-process-steward -&gt; StepVerifications.StepVerificationId</v>
      </c>
      <c r="C1804" s="2" t="s">
        <v>9706</v>
      </c>
      <c r="D1804" s="2" t="s">
        <v>3075</v>
      </c>
      <c r="E1804" s="2" t="b">
        <v>1</v>
      </c>
      <c r="F1804" s="2" t="b">
        <v>0</v>
      </c>
      <c r="G1804" s="2" t="s">
        <v>9937</v>
      </c>
      <c r="H1804" s="3" t="str">
        <f>_xlfn.IFNA(INDEX(RulebookFields!C2:C999, MATCH(D1804,RulebookFields!A2:A999, 0)), "")</f>
        <v>StepVerifications</v>
      </c>
      <c r="I1804" s="3" t="str">
        <f>_xlfn.IFNA(INDEX(RulebookFields!D2:D999, MATCH(D1804,RulebookFields!A2:A999, 0)), "")</f>
        <v>StepVerificationId</v>
      </c>
      <c r="J1804" s="3" t="b">
        <f>_xlfn.IFNA(INDEX(RulebookFields!I2:I999, MATCH(D1804,RulebookFields!A2:A999, 0)), "")</f>
        <v>0</v>
      </c>
      <c r="K1804" s="3" t="b">
        <f>AND(F1804, J1804)</f>
        <v>0</v>
      </c>
      <c r="L1804" s="3" t="b">
        <f>AND(G1804 &lt;&gt; "plain", G1804 &lt;&gt; "")</f>
        <v>0</v>
      </c>
      <c r="M1804" s="3" t="str">
        <f>IF(E1804, C1804 &amp; "|" &amp; H1804, "")</f>
        <v>principal-process-steward|StepVerifications</v>
      </c>
      <c r="N1804" s="2" t="s">
        <v>9938</v>
      </c>
    </row>
    <row r="1805">
      <c r="A1805" s="2" t="s">
        <v>11741</v>
      </c>
      <c r="B1805" s="3" t="str">
        <f>C1805 &amp; " -&gt; " &amp; D1805</f>
        <v>principal-process-steward -&gt; StepVerifications.Name</v>
      </c>
      <c r="C1805" s="2" t="s">
        <v>9706</v>
      </c>
      <c r="D1805" s="2" t="s">
        <v>3076</v>
      </c>
      <c r="E1805" s="2" t="b">
        <v>1</v>
      </c>
      <c r="F1805" s="2" t="b">
        <v>0</v>
      </c>
      <c r="G1805" s="2" t="s">
        <v>9937</v>
      </c>
      <c r="H1805" s="3" t="str">
        <f>_xlfn.IFNA(INDEX(RulebookFields!C2:C999, MATCH(D1805,RulebookFields!A2:A999, 0)), "")</f>
        <v>StepVerifications</v>
      </c>
      <c r="I1805" s="3" t="str">
        <f>_xlfn.IFNA(INDEX(RulebookFields!D2:D999, MATCH(D1805,RulebookFields!A2:A999, 0)), "")</f>
        <v>Name</v>
      </c>
      <c r="J1805" s="3" t="b">
        <f>_xlfn.IFNA(INDEX(RulebookFields!I2:I999, MATCH(D1805,RulebookFields!A2:A999, 0)), "")</f>
        <v>1</v>
      </c>
      <c r="K1805" s="3" t="b">
        <f>AND(F1805, J1805)</f>
        <v>0</v>
      </c>
      <c r="L1805" s="3" t="b">
        <f>AND(G1805 &lt;&gt; "plain", G1805 &lt;&gt; "")</f>
        <v>0</v>
      </c>
      <c r="M1805" s="3" t="str">
        <f>IF(E1805, C1805 &amp; "|" &amp; H1805, "")</f>
        <v>principal-process-steward|StepVerifications</v>
      </c>
      <c r="N1805" s="2" t="s">
        <v>9938</v>
      </c>
    </row>
    <row r="1806">
      <c r="A1806" s="2" t="s">
        <v>11742</v>
      </c>
      <c r="B1806" s="3" t="str">
        <f>C1806 &amp; " -&gt; " &amp; D1806</f>
        <v>principal-process-steward -&gt; StepVerifications.Step</v>
      </c>
      <c r="C1806" s="2" t="s">
        <v>9706</v>
      </c>
      <c r="D1806" s="2" t="s">
        <v>3078</v>
      </c>
      <c r="E1806" s="2" t="b">
        <v>1</v>
      </c>
      <c r="F1806" s="2" t="b">
        <v>0</v>
      </c>
      <c r="G1806" s="2" t="s">
        <v>9937</v>
      </c>
      <c r="H1806" s="3" t="str">
        <f>_xlfn.IFNA(INDEX(RulebookFields!C2:C999, MATCH(D1806,RulebookFields!A2:A999, 0)), "")</f>
        <v>StepVerifications</v>
      </c>
      <c r="I1806" s="3" t="str">
        <f>_xlfn.IFNA(INDEX(RulebookFields!D2:D999, MATCH(D1806,RulebookFields!A2:A999, 0)), "")</f>
        <v>Step</v>
      </c>
      <c r="J1806" s="3" t="b">
        <f>_xlfn.IFNA(INDEX(RulebookFields!I2:I999, MATCH(D1806,RulebookFields!A2:A999, 0)), "")</f>
        <v>0</v>
      </c>
      <c r="K1806" s="3" t="b">
        <f>AND(F1806, J1806)</f>
        <v>0</v>
      </c>
      <c r="L1806" s="3" t="b">
        <f>AND(G1806 &lt;&gt; "plain", G1806 &lt;&gt; "")</f>
        <v>0</v>
      </c>
      <c r="M1806" s="3" t="str">
        <f>IF(E1806, C1806 &amp; "|" &amp; H1806, "")</f>
        <v>principal-process-steward|StepVerifications</v>
      </c>
      <c r="N1806" s="2" t="s">
        <v>9938</v>
      </c>
    </row>
    <row r="1807">
      <c r="A1807" s="2" t="s">
        <v>11743</v>
      </c>
      <c r="B1807" s="3" t="str">
        <f>C1807 &amp; " -&gt; " &amp; D1807</f>
        <v>principal-process-steward -&gt; StepVerifications.VerificationKind</v>
      </c>
      <c r="C1807" s="2" t="s">
        <v>9706</v>
      </c>
      <c r="D1807" s="2" t="s">
        <v>3079</v>
      </c>
      <c r="E1807" s="2" t="b">
        <v>1</v>
      </c>
      <c r="F1807" s="2" t="b">
        <v>0</v>
      </c>
      <c r="G1807" s="2" t="s">
        <v>9937</v>
      </c>
      <c r="H1807" s="3" t="str">
        <f>_xlfn.IFNA(INDEX(RulebookFields!C2:C999, MATCH(D1807,RulebookFields!A2:A999, 0)), "")</f>
        <v>StepVerifications</v>
      </c>
      <c r="I1807" s="3" t="str">
        <f>_xlfn.IFNA(INDEX(RulebookFields!D2:D999, MATCH(D1807,RulebookFields!A2:A999, 0)), "")</f>
        <v>VerificationKind</v>
      </c>
      <c r="J1807" s="3" t="b">
        <f>_xlfn.IFNA(INDEX(RulebookFields!I2:I999, MATCH(D1807,RulebookFields!A2:A999, 0)), "")</f>
        <v>0</v>
      </c>
      <c r="K1807" s="3" t="b">
        <f>AND(F1807, J1807)</f>
        <v>0</v>
      </c>
      <c r="L1807" s="3" t="b">
        <f>AND(G1807 &lt;&gt; "plain", G1807 &lt;&gt; "")</f>
        <v>0</v>
      </c>
      <c r="M1807" s="3" t="str">
        <f>IF(E1807, C1807 &amp; "|" &amp; H1807, "")</f>
        <v>principal-process-steward|StepVerifications</v>
      </c>
      <c r="N1807" s="2" t="s">
        <v>9938</v>
      </c>
    </row>
    <row r="1808">
      <c r="A1808" s="2" t="s">
        <v>11744</v>
      </c>
      <c r="B1808" s="3" t="str">
        <f>C1808 &amp; " -&gt; " &amp; D1808</f>
        <v>principal-process-steward -&gt; StepVerifications.SignalIdentifier</v>
      </c>
      <c r="C1808" s="2" t="s">
        <v>9706</v>
      </c>
      <c r="D1808" s="2" t="s">
        <v>3080</v>
      </c>
      <c r="E1808" s="2" t="b">
        <v>1</v>
      </c>
      <c r="F1808" s="2" t="b">
        <v>0</v>
      </c>
      <c r="G1808" s="2" t="s">
        <v>9937</v>
      </c>
      <c r="H1808" s="3" t="str">
        <f>_xlfn.IFNA(INDEX(RulebookFields!C2:C999, MATCH(D1808,RulebookFields!A2:A999, 0)), "")</f>
        <v>StepVerifications</v>
      </c>
      <c r="I1808" s="3" t="str">
        <f>_xlfn.IFNA(INDEX(RulebookFields!D2:D999, MATCH(D1808,RulebookFields!A2:A999, 0)), "")</f>
        <v>SignalIdentifier</v>
      </c>
      <c r="J1808" s="3" t="b">
        <f>_xlfn.IFNA(INDEX(RulebookFields!I2:I999, MATCH(D1808,RulebookFields!A2:A999, 0)), "")</f>
        <v>0</v>
      </c>
      <c r="K1808" s="3" t="b">
        <f>AND(F1808, J1808)</f>
        <v>0</v>
      </c>
      <c r="L1808" s="3" t="b">
        <f>AND(G1808 &lt;&gt; "plain", G1808 &lt;&gt; "")</f>
        <v>0</v>
      </c>
      <c r="M1808" s="3" t="str">
        <f>IF(E1808, C1808 &amp; "|" &amp; H1808, "")</f>
        <v>principal-process-steward|StepVerifications</v>
      </c>
      <c r="N1808" s="2" t="s">
        <v>9938</v>
      </c>
    </row>
    <row r="1809">
      <c r="A1809" s="2" t="s">
        <v>11745</v>
      </c>
      <c r="B1809" s="3" t="str">
        <f>C1809 &amp; " -&gt; " &amp; D1809</f>
        <v>principal-process-steward -&gt; StepVerifications.ExpectedSignalValue</v>
      </c>
      <c r="C1809" s="2" t="s">
        <v>9706</v>
      </c>
      <c r="D1809" s="2" t="s">
        <v>3081</v>
      </c>
      <c r="E1809" s="2" t="b">
        <v>1</v>
      </c>
      <c r="F1809" s="2" t="b">
        <v>0</v>
      </c>
      <c r="G1809" s="2" t="s">
        <v>9937</v>
      </c>
      <c r="H1809" s="3" t="str">
        <f>_xlfn.IFNA(INDEX(RulebookFields!C2:C999, MATCH(D1809,RulebookFields!A2:A999, 0)), "")</f>
        <v>StepVerifications</v>
      </c>
      <c r="I1809" s="3" t="str">
        <f>_xlfn.IFNA(INDEX(RulebookFields!D2:D999, MATCH(D1809,RulebookFields!A2:A999, 0)), "")</f>
        <v>ExpectedSignalValue</v>
      </c>
      <c r="J1809" s="3" t="b">
        <f>_xlfn.IFNA(INDEX(RulebookFields!I2:I999, MATCH(D1809,RulebookFields!A2:A999, 0)), "")</f>
        <v>0</v>
      </c>
      <c r="K1809" s="3" t="b">
        <f>AND(F1809, J1809)</f>
        <v>0</v>
      </c>
      <c r="L1809" s="3" t="b">
        <f>AND(G1809 &lt;&gt; "plain", G1809 &lt;&gt; "")</f>
        <v>0</v>
      </c>
      <c r="M1809" s="3" t="str">
        <f>IF(E1809, C1809 &amp; "|" &amp; H1809, "")</f>
        <v>principal-process-steward|StepVerifications</v>
      </c>
      <c r="N1809" s="2" t="s">
        <v>9938</v>
      </c>
    </row>
    <row r="1810">
      <c r="A1810" s="2" t="s">
        <v>11746</v>
      </c>
      <c r="B1810" s="3" t="str">
        <f>C1810 &amp; " -&gt; " &amp; D1810</f>
        <v>principal-process-steward -&gt; StepVerifications.Instruction</v>
      </c>
      <c r="C1810" s="2" t="s">
        <v>9706</v>
      </c>
      <c r="D1810" s="2" t="s">
        <v>3082</v>
      </c>
      <c r="E1810" s="2" t="b">
        <v>1</v>
      </c>
      <c r="F1810" s="2" t="b">
        <v>0</v>
      </c>
      <c r="G1810" s="2" t="s">
        <v>9937</v>
      </c>
      <c r="H1810" s="3" t="str">
        <f>_xlfn.IFNA(INDEX(RulebookFields!C2:C999, MATCH(D1810,RulebookFields!A2:A999, 0)), "")</f>
        <v>StepVerifications</v>
      </c>
      <c r="I1810" s="3" t="str">
        <f>_xlfn.IFNA(INDEX(RulebookFields!D2:D999, MATCH(D1810,RulebookFields!A2:A999, 0)), "")</f>
        <v>Instruction</v>
      </c>
      <c r="J1810" s="3" t="b">
        <f>_xlfn.IFNA(INDEX(RulebookFields!I2:I999, MATCH(D1810,RulebookFields!A2:A999, 0)), "")</f>
        <v>0</v>
      </c>
      <c r="K1810" s="3" t="b">
        <f>AND(F1810, J1810)</f>
        <v>0</v>
      </c>
      <c r="L1810" s="3" t="b">
        <f>AND(G1810 &lt;&gt; "plain", G1810 &lt;&gt; "")</f>
        <v>0</v>
      </c>
      <c r="M1810" s="3" t="str">
        <f>IF(E1810, C1810 &amp; "|" &amp; H1810, "")</f>
        <v>principal-process-steward|StepVerifications</v>
      </c>
      <c r="N1810" s="2" t="s">
        <v>9938</v>
      </c>
    </row>
    <row r="1811">
      <c r="A1811" s="2" t="s">
        <v>11747</v>
      </c>
      <c r="B1811" s="3" t="str">
        <f>C1811 &amp; " -&gt; " &amp; D1811</f>
        <v>principal-process-steward -&gt; StepVerifications.SemanticTypeIri</v>
      </c>
      <c r="C1811" s="2" t="s">
        <v>9706</v>
      </c>
      <c r="D1811" s="2" t="s">
        <v>3083</v>
      </c>
      <c r="E1811" s="2" t="b">
        <v>1</v>
      </c>
      <c r="F1811" s="2" t="b">
        <v>0</v>
      </c>
      <c r="G1811" s="2" t="s">
        <v>9937</v>
      </c>
      <c r="H1811" s="3" t="str">
        <f>_xlfn.IFNA(INDEX(RulebookFields!C2:C999, MATCH(D1811,RulebookFields!A2:A999, 0)), "")</f>
        <v>StepVerifications</v>
      </c>
      <c r="I1811" s="3" t="str">
        <f>_xlfn.IFNA(INDEX(RulebookFields!D2:D999, MATCH(D1811,RulebookFields!A2:A999, 0)), "")</f>
        <v>SemanticTypeIri</v>
      </c>
      <c r="J1811" s="3" t="b">
        <f>_xlfn.IFNA(INDEX(RulebookFields!I2:I999, MATCH(D1811,RulebookFields!A2:A999, 0)), "")</f>
        <v>0</v>
      </c>
      <c r="K1811" s="3" t="b">
        <f>AND(F1811, J1811)</f>
        <v>0</v>
      </c>
      <c r="L1811" s="3" t="b">
        <f>AND(G1811 &lt;&gt; "plain", G1811 &lt;&gt; "")</f>
        <v>0</v>
      </c>
      <c r="M1811" s="3" t="str">
        <f>IF(E1811, C1811 &amp; "|" &amp; H1811, "")</f>
        <v>principal-process-steward|StepVerifications</v>
      </c>
      <c r="N1811" s="2" t="s">
        <v>9938</v>
      </c>
    </row>
    <row r="1812">
      <c r="A1812" s="2" t="s">
        <v>11748</v>
      </c>
      <c r="B1812" s="3" t="str">
        <f>C1812 &amp; " -&gt; " &amp; D1812</f>
        <v>principal-process-steward -&gt; Steps.StepId</v>
      </c>
      <c r="C1812" s="2" t="s">
        <v>9706</v>
      </c>
      <c r="D1812" s="2" t="s">
        <v>2837</v>
      </c>
      <c r="E1812" s="2" t="b">
        <v>1</v>
      </c>
      <c r="F1812" s="2" t="b">
        <v>0</v>
      </c>
      <c r="G1812" s="2" t="s">
        <v>9937</v>
      </c>
      <c r="H1812" s="3" t="str">
        <f>_xlfn.IFNA(INDEX(RulebookFields!C2:C999, MATCH(D1812,RulebookFields!A2:A999, 0)), "")</f>
        <v>Steps</v>
      </c>
      <c r="I1812" s="3" t="str">
        <f>_xlfn.IFNA(INDEX(RulebookFields!D2:D999, MATCH(D1812,RulebookFields!A2:A999, 0)), "")</f>
        <v>StepId</v>
      </c>
      <c r="J1812" s="3" t="b">
        <f>_xlfn.IFNA(INDEX(RulebookFields!I2:I999, MATCH(D1812,RulebookFields!A2:A999, 0)), "")</f>
        <v>0</v>
      </c>
      <c r="K1812" s="3" t="b">
        <f>AND(F1812, J1812)</f>
        <v>0</v>
      </c>
      <c r="L1812" s="3" t="b">
        <f>AND(G1812 &lt;&gt; "plain", G1812 &lt;&gt; "")</f>
        <v>0</v>
      </c>
      <c r="M1812" s="3" t="str">
        <f>IF(E1812, C1812 &amp; "|" &amp; H1812, "")</f>
        <v>principal-process-steward|Steps</v>
      </c>
      <c r="N1812" s="2" t="s">
        <v>9938</v>
      </c>
    </row>
    <row r="1813">
      <c r="A1813" s="2" t="s">
        <v>11749</v>
      </c>
      <c r="B1813" s="3" t="str">
        <f>C1813 &amp; " -&gt; " &amp; D1813</f>
        <v>principal-process-steward -&gt; Steps.Name</v>
      </c>
      <c r="C1813" s="2" t="s">
        <v>9706</v>
      </c>
      <c r="D1813" s="2" t="s">
        <v>2838</v>
      </c>
      <c r="E1813" s="2" t="b">
        <v>1</v>
      </c>
      <c r="F1813" s="2" t="b">
        <v>0</v>
      </c>
      <c r="G1813" s="2" t="s">
        <v>9937</v>
      </c>
      <c r="H1813" s="3" t="str">
        <f>_xlfn.IFNA(INDEX(RulebookFields!C2:C999, MATCH(D1813,RulebookFields!A2:A999, 0)), "")</f>
        <v>Steps</v>
      </c>
      <c r="I1813" s="3" t="str">
        <f>_xlfn.IFNA(INDEX(RulebookFields!D2:D999, MATCH(D1813,RulebookFields!A2:A999, 0)), "")</f>
        <v>Name</v>
      </c>
      <c r="J1813" s="3" t="b">
        <f>_xlfn.IFNA(INDEX(RulebookFields!I2:I999, MATCH(D1813,RulebookFields!A2:A999, 0)), "")</f>
        <v>1</v>
      </c>
      <c r="K1813" s="3" t="b">
        <f>AND(F1813, J1813)</f>
        <v>0</v>
      </c>
      <c r="L1813" s="3" t="b">
        <f>AND(G1813 &lt;&gt; "plain", G1813 &lt;&gt; "")</f>
        <v>0</v>
      </c>
      <c r="M1813" s="3" t="str">
        <f>IF(E1813, C1813 &amp; "|" &amp; H1813, "")</f>
        <v>principal-process-steward|Steps</v>
      </c>
      <c r="N1813" s="2" t="s">
        <v>9938</v>
      </c>
    </row>
    <row r="1814">
      <c r="A1814" s="2" t="s">
        <v>11750</v>
      </c>
      <c r="B1814" s="3" t="str">
        <f>C1814 &amp; " -&gt; " &amp; D1814</f>
        <v>principal-process-steward -&gt; Steps.ProcedureVersion</v>
      </c>
      <c r="C1814" s="2" t="s">
        <v>9706</v>
      </c>
      <c r="D1814" s="2" t="s">
        <v>2840</v>
      </c>
      <c r="E1814" s="2" t="b">
        <v>1</v>
      </c>
      <c r="F1814" s="2" t="b">
        <v>0</v>
      </c>
      <c r="G1814" s="2" t="s">
        <v>9937</v>
      </c>
      <c r="H1814" s="3" t="str">
        <f>_xlfn.IFNA(INDEX(RulebookFields!C2:C999, MATCH(D1814,RulebookFields!A2:A999, 0)), "")</f>
        <v>Steps</v>
      </c>
      <c r="I1814" s="3" t="str">
        <f>_xlfn.IFNA(INDEX(RulebookFields!D2:D999, MATCH(D1814,RulebookFields!A2:A999, 0)), "")</f>
        <v>ProcedureVersion</v>
      </c>
      <c r="J1814" s="3" t="b">
        <f>_xlfn.IFNA(INDEX(RulebookFields!I2:I999, MATCH(D1814,RulebookFields!A2:A999, 0)), "")</f>
        <v>0</v>
      </c>
      <c r="K1814" s="3" t="b">
        <f>AND(F1814, J1814)</f>
        <v>0</v>
      </c>
      <c r="L1814" s="3" t="b">
        <f>AND(G1814 &lt;&gt; "plain", G1814 &lt;&gt; "")</f>
        <v>0</v>
      </c>
      <c r="M1814" s="3" t="str">
        <f>IF(E1814, C1814 &amp; "|" &amp; H1814, "")</f>
        <v>principal-process-steward|Steps</v>
      </c>
      <c r="N1814" s="2" t="s">
        <v>9938</v>
      </c>
    </row>
    <row r="1815">
      <c r="A1815" s="2" t="s">
        <v>11751</v>
      </c>
      <c r="B1815" s="3" t="str">
        <f>C1815 &amp; " -&gt; " &amp; D1815</f>
        <v>principal-process-steward -&gt; Steps.StepNumber</v>
      </c>
      <c r="C1815" s="2" t="s">
        <v>9706</v>
      </c>
      <c r="D1815" s="2" t="s">
        <v>2841</v>
      </c>
      <c r="E1815" s="2" t="b">
        <v>1</v>
      </c>
      <c r="F1815" s="2" t="b">
        <v>0</v>
      </c>
      <c r="G1815" s="2" t="s">
        <v>9937</v>
      </c>
      <c r="H1815" s="3" t="str">
        <f>_xlfn.IFNA(INDEX(RulebookFields!C2:C999, MATCH(D1815,RulebookFields!A2:A999, 0)), "")</f>
        <v>Steps</v>
      </c>
      <c r="I1815" s="3" t="str">
        <f>_xlfn.IFNA(INDEX(RulebookFields!D2:D999, MATCH(D1815,RulebookFields!A2:A999, 0)), "")</f>
        <v>StepNumber</v>
      </c>
      <c r="J1815" s="3" t="b">
        <f>_xlfn.IFNA(INDEX(RulebookFields!I2:I999, MATCH(D1815,RulebookFields!A2:A999, 0)), "")</f>
        <v>0</v>
      </c>
      <c r="K1815" s="3" t="b">
        <f>AND(F1815, J1815)</f>
        <v>0</v>
      </c>
      <c r="L1815" s="3" t="b">
        <f>AND(G1815 &lt;&gt; "plain", G1815 &lt;&gt; "")</f>
        <v>0</v>
      </c>
      <c r="M1815" s="3" t="str">
        <f>IF(E1815, C1815 &amp; "|" &amp; H1815, "")</f>
        <v>principal-process-steward|Steps</v>
      </c>
      <c r="N1815" s="2" t="s">
        <v>9938</v>
      </c>
    </row>
    <row r="1816">
      <c r="A1816" s="2" t="s">
        <v>11752</v>
      </c>
      <c r="B1816" s="3" t="str">
        <f>C1816 &amp; " -&gt; " &amp; D1816</f>
        <v>principal-process-steward -&gt; Steps.Title</v>
      </c>
      <c r="C1816" s="2" t="s">
        <v>9706</v>
      </c>
      <c r="D1816" s="2" t="s">
        <v>2842</v>
      </c>
      <c r="E1816" s="2" t="b">
        <v>1</v>
      </c>
      <c r="F1816" s="2" t="b">
        <v>0</v>
      </c>
      <c r="G1816" s="2" t="s">
        <v>9937</v>
      </c>
      <c r="H1816" s="3" t="str">
        <f>_xlfn.IFNA(INDEX(RulebookFields!C2:C999, MATCH(D1816,RulebookFields!A2:A999, 0)), "")</f>
        <v>Steps</v>
      </c>
      <c r="I1816" s="3" t="str">
        <f>_xlfn.IFNA(INDEX(RulebookFields!D2:D999, MATCH(D1816,RulebookFields!A2:A999, 0)), "")</f>
        <v>Title</v>
      </c>
      <c r="J1816" s="3" t="b">
        <f>_xlfn.IFNA(INDEX(RulebookFields!I2:I999, MATCH(D1816,RulebookFields!A2:A999, 0)), "")</f>
        <v>0</v>
      </c>
      <c r="K1816" s="3" t="b">
        <f>AND(F1816, J1816)</f>
        <v>0</v>
      </c>
      <c r="L1816" s="3" t="b">
        <f>AND(G1816 &lt;&gt; "plain", G1816 &lt;&gt; "")</f>
        <v>0</v>
      </c>
      <c r="M1816" s="3" t="str">
        <f>IF(E1816, C1816 &amp; "|" &amp; H1816, "")</f>
        <v>principal-process-steward|Steps</v>
      </c>
      <c r="N1816" s="2" t="s">
        <v>9938</v>
      </c>
    </row>
    <row r="1817">
      <c r="A1817" s="2" t="s">
        <v>11753</v>
      </c>
      <c r="B1817" s="3" t="str">
        <f>C1817 &amp; " -&gt; " &amp; D1817</f>
        <v>principal-process-steward -&gt; Steps.StepKind</v>
      </c>
      <c r="C1817" s="2" t="s">
        <v>9706</v>
      </c>
      <c r="D1817" s="2" t="s">
        <v>2843</v>
      </c>
      <c r="E1817" s="2" t="b">
        <v>1</v>
      </c>
      <c r="F1817" s="2" t="b">
        <v>0</v>
      </c>
      <c r="G1817" s="2" t="s">
        <v>9937</v>
      </c>
      <c r="H1817" s="3" t="str">
        <f>_xlfn.IFNA(INDEX(RulebookFields!C2:C999, MATCH(D1817,RulebookFields!A2:A999, 0)), "")</f>
        <v>Steps</v>
      </c>
      <c r="I1817" s="3" t="str">
        <f>_xlfn.IFNA(INDEX(RulebookFields!D2:D999, MATCH(D1817,RulebookFields!A2:A999, 0)), "")</f>
        <v>StepKind</v>
      </c>
      <c r="J1817" s="3" t="b">
        <f>_xlfn.IFNA(INDEX(RulebookFields!I2:I999, MATCH(D1817,RulebookFields!A2:A999, 0)), "")</f>
        <v>0</v>
      </c>
      <c r="K1817" s="3" t="b">
        <f>AND(F1817, J1817)</f>
        <v>0</v>
      </c>
      <c r="L1817" s="3" t="b">
        <f>AND(G1817 &lt;&gt; "plain", G1817 &lt;&gt; "")</f>
        <v>0</v>
      </c>
      <c r="M1817" s="3" t="str">
        <f>IF(E1817, C1817 &amp; "|" &amp; H1817, "")</f>
        <v>principal-process-steward|Steps</v>
      </c>
      <c r="N1817" s="2" t="s">
        <v>9938</v>
      </c>
    </row>
    <row r="1818">
      <c r="A1818" s="2" t="s">
        <v>11754</v>
      </c>
      <c r="B1818" s="3" t="str">
        <f>C1818 &amp; " -&gt; " &amp; D1818</f>
        <v>principal-process-steward -&gt; Steps.AssignedRole</v>
      </c>
      <c r="C1818" s="2" t="s">
        <v>9706</v>
      </c>
      <c r="D1818" s="2" t="s">
        <v>2844</v>
      </c>
      <c r="E1818" s="2" t="b">
        <v>1</v>
      </c>
      <c r="F1818" s="2" t="b">
        <v>0</v>
      </c>
      <c r="G1818" s="2" t="s">
        <v>9937</v>
      </c>
      <c r="H1818" s="3" t="str">
        <f>_xlfn.IFNA(INDEX(RulebookFields!C2:C999, MATCH(D1818,RulebookFields!A2:A999, 0)), "")</f>
        <v>Steps</v>
      </c>
      <c r="I1818" s="3" t="str">
        <f>_xlfn.IFNA(INDEX(RulebookFields!D2:D999, MATCH(D1818,RulebookFields!A2:A999, 0)), "")</f>
        <v>AssignedRole</v>
      </c>
      <c r="J1818" s="3" t="b">
        <f>_xlfn.IFNA(INDEX(RulebookFields!I2:I999, MATCH(D1818,RulebookFields!A2:A999, 0)), "")</f>
        <v>0</v>
      </c>
      <c r="K1818" s="3" t="b">
        <f>AND(F1818, J1818)</f>
        <v>0</v>
      </c>
      <c r="L1818" s="3" t="b">
        <f>AND(G1818 &lt;&gt; "plain", G1818 &lt;&gt; "")</f>
        <v>0</v>
      </c>
      <c r="M1818" s="3" t="str">
        <f>IF(E1818, C1818 &amp; "|" &amp; H1818, "")</f>
        <v>principal-process-steward|Steps</v>
      </c>
      <c r="N1818" s="2" t="s">
        <v>9938</v>
      </c>
    </row>
    <row r="1819">
      <c r="A1819" s="2" t="s">
        <v>11755</v>
      </c>
      <c r="B1819" s="3" t="str">
        <f>C1819 &amp; " -&gt; " &amp; D1819</f>
        <v>principal-process-steward -&gt; Steps.AssignedRoleLabel</v>
      </c>
      <c r="C1819" s="2" t="s">
        <v>9706</v>
      </c>
      <c r="D1819" s="2" t="s">
        <v>2845</v>
      </c>
      <c r="E1819" s="2" t="b">
        <v>1</v>
      </c>
      <c r="F1819" s="2" t="b">
        <v>0</v>
      </c>
      <c r="G1819" s="2" t="s">
        <v>9937</v>
      </c>
      <c r="H1819" s="3" t="str">
        <f>_xlfn.IFNA(INDEX(RulebookFields!C2:C999, MATCH(D1819,RulebookFields!A2:A999, 0)), "")</f>
        <v>Steps</v>
      </c>
      <c r="I1819" s="3" t="str">
        <f>_xlfn.IFNA(INDEX(RulebookFields!D2:D999, MATCH(D1819,RulebookFields!A2:A999, 0)), "")</f>
        <v>AssignedRoleLabel</v>
      </c>
      <c r="J1819" s="3" t="b">
        <f>_xlfn.IFNA(INDEX(RulebookFields!I2:I999, MATCH(D1819,RulebookFields!A2:A999, 0)), "")</f>
        <v>1</v>
      </c>
      <c r="K1819" s="3" t="b">
        <f>AND(F1819, J1819)</f>
        <v>0</v>
      </c>
      <c r="L1819" s="3" t="b">
        <f>AND(G1819 &lt;&gt; "plain", G1819 &lt;&gt; "")</f>
        <v>0</v>
      </c>
      <c r="M1819" s="3" t="str">
        <f>IF(E1819, C1819 &amp; "|" &amp; H1819, "")</f>
        <v>principal-process-steward|Steps</v>
      </c>
      <c r="N1819" s="2" t="s">
        <v>9938</v>
      </c>
    </row>
    <row r="1820">
      <c r="A1820" s="2" t="s">
        <v>11756</v>
      </c>
      <c r="B1820" s="3" t="str">
        <f>C1820 &amp; " -&gt; " &amp; D1820</f>
        <v>principal-process-steward -&gt; Steps.AssignedAgentKind</v>
      </c>
      <c r="C1820" s="2" t="s">
        <v>9706</v>
      </c>
      <c r="D1820" s="2" t="s">
        <v>2847</v>
      </c>
      <c r="E1820" s="2" t="b">
        <v>1</v>
      </c>
      <c r="F1820" s="2" t="b">
        <v>0</v>
      </c>
      <c r="G1820" s="2" t="s">
        <v>9937</v>
      </c>
      <c r="H1820" s="3" t="str">
        <f>_xlfn.IFNA(INDEX(RulebookFields!C2:C999, MATCH(D1820,RulebookFields!A2:A999, 0)), "")</f>
        <v>Steps</v>
      </c>
      <c r="I1820" s="3" t="str">
        <f>_xlfn.IFNA(INDEX(RulebookFields!D2:D999, MATCH(D1820,RulebookFields!A2:A999, 0)), "")</f>
        <v>AssignedAgentKind</v>
      </c>
      <c r="J1820" s="3" t="b">
        <f>_xlfn.IFNA(INDEX(RulebookFields!I2:I999, MATCH(D1820,RulebookFields!A2:A999, 0)), "")</f>
        <v>1</v>
      </c>
      <c r="K1820" s="3" t="b">
        <f>AND(F1820, J1820)</f>
        <v>0</v>
      </c>
      <c r="L1820" s="3" t="b">
        <f>AND(G1820 &lt;&gt; "plain", G1820 &lt;&gt; "")</f>
        <v>0</v>
      </c>
      <c r="M1820" s="3" t="str">
        <f>IF(E1820, C1820 &amp; "|" &amp; H1820, "")</f>
        <v>principal-process-steward|Steps</v>
      </c>
      <c r="N1820" s="2" t="s">
        <v>9938</v>
      </c>
    </row>
    <row r="1821">
      <c r="A1821" s="2" t="s">
        <v>11757</v>
      </c>
      <c r="B1821" s="3" t="str">
        <f>C1821 &amp; " -&gt; " &amp; D1821</f>
        <v>principal-process-steward -&gt; Steps.Instruction</v>
      </c>
      <c r="C1821" s="2" t="s">
        <v>9706</v>
      </c>
      <c r="D1821" s="2" t="s">
        <v>2849</v>
      </c>
      <c r="E1821" s="2" t="b">
        <v>1</v>
      </c>
      <c r="F1821" s="2" t="b">
        <v>0</v>
      </c>
      <c r="G1821" s="2" t="s">
        <v>9937</v>
      </c>
      <c r="H1821" s="3" t="str">
        <f>_xlfn.IFNA(INDEX(RulebookFields!C2:C999, MATCH(D1821,RulebookFields!A2:A999, 0)), "")</f>
        <v>Steps</v>
      </c>
      <c r="I1821" s="3" t="str">
        <f>_xlfn.IFNA(INDEX(RulebookFields!D2:D999, MATCH(D1821,RulebookFields!A2:A999, 0)), "")</f>
        <v>Instruction</v>
      </c>
      <c r="J1821" s="3" t="b">
        <f>_xlfn.IFNA(INDEX(RulebookFields!I2:I999, MATCH(D1821,RulebookFields!A2:A999, 0)), "")</f>
        <v>0</v>
      </c>
      <c r="K1821" s="3" t="b">
        <f>AND(F1821, J1821)</f>
        <v>0</v>
      </c>
      <c r="L1821" s="3" t="b">
        <f>AND(G1821 &lt;&gt; "plain", G1821 &lt;&gt; "")</f>
        <v>0</v>
      </c>
      <c r="M1821" s="3" t="str">
        <f>IF(E1821, C1821 &amp; "|" &amp; H1821, "")</f>
        <v>principal-process-steward|Steps</v>
      </c>
      <c r="N1821" s="2" t="s">
        <v>9938</v>
      </c>
    </row>
    <row r="1822">
      <c r="A1822" s="2" t="s">
        <v>11758</v>
      </c>
      <c r="B1822" s="3" t="str">
        <f>C1822 &amp; " -&gt; " &amp; D1822</f>
        <v>principal-process-steward -&gt; Steps.ExpectedDurationMinutes</v>
      </c>
      <c r="C1822" s="2" t="s">
        <v>9706</v>
      </c>
      <c r="D1822" s="2" t="s">
        <v>2850</v>
      </c>
      <c r="E1822" s="2" t="b">
        <v>1</v>
      </c>
      <c r="F1822" s="2" t="b">
        <v>0</v>
      </c>
      <c r="G1822" s="2" t="s">
        <v>9937</v>
      </c>
      <c r="H1822" s="3" t="str">
        <f>_xlfn.IFNA(INDEX(RulebookFields!C2:C999, MATCH(D1822,RulebookFields!A2:A999, 0)), "")</f>
        <v>Steps</v>
      </c>
      <c r="I1822" s="3" t="str">
        <f>_xlfn.IFNA(INDEX(RulebookFields!D2:D999, MATCH(D1822,RulebookFields!A2:A999, 0)), "")</f>
        <v>ExpectedDurationMinutes</v>
      </c>
      <c r="J1822" s="3" t="b">
        <f>_xlfn.IFNA(INDEX(RulebookFields!I2:I999, MATCH(D1822,RulebookFields!A2:A999, 0)), "")</f>
        <v>0</v>
      </c>
      <c r="K1822" s="3" t="b">
        <f>AND(F1822, J1822)</f>
        <v>0</v>
      </c>
      <c r="L1822" s="3" t="b">
        <f>AND(G1822 &lt;&gt; "plain", G1822 &lt;&gt; "")</f>
        <v>0</v>
      </c>
      <c r="M1822" s="3" t="str">
        <f>IF(E1822, C1822 &amp; "|" &amp; H1822, "")</f>
        <v>principal-process-steward|Steps</v>
      </c>
      <c r="N1822" s="2" t="s">
        <v>9938</v>
      </c>
    </row>
    <row r="1823">
      <c r="A1823" s="2" t="s">
        <v>11759</v>
      </c>
      <c r="B1823" s="3" t="str">
        <f>C1823 &amp; " -&gt; " &amp; D1823</f>
        <v>principal-process-steward -&gt; Steps.ExpertiseLevel</v>
      </c>
      <c r="C1823" s="2" t="s">
        <v>9706</v>
      </c>
      <c r="D1823" s="2" t="s">
        <v>2851</v>
      </c>
      <c r="E1823" s="2" t="b">
        <v>1</v>
      </c>
      <c r="F1823" s="2" t="b">
        <v>0</v>
      </c>
      <c r="G1823" s="2" t="s">
        <v>9937</v>
      </c>
      <c r="H1823" s="3" t="str">
        <f>_xlfn.IFNA(INDEX(RulebookFields!C2:C999, MATCH(D1823,RulebookFields!A2:A999, 0)), "")</f>
        <v>Steps</v>
      </c>
      <c r="I1823" s="3" t="str">
        <f>_xlfn.IFNA(INDEX(RulebookFields!D2:D999, MATCH(D1823,RulebookFields!A2:A999, 0)), "")</f>
        <v>ExpertiseLevel</v>
      </c>
      <c r="J1823" s="3" t="b">
        <f>_xlfn.IFNA(INDEX(RulebookFields!I2:I999, MATCH(D1823,RulebookFields!A2:A999, 0)), "")</f>
        <v>0</v>
      </c>
      <c r="K1823" s="3" t="b">
        <f>AND(F1823, J1823)</f>
        <v>0</v>
      </c>
      <c r="L1823" s="3" t="b">
        <f>AND(G1823 &lt;&gt; "plain", G1823 &lt;&gt; "")</f>
        <v>0</v>
      </c>
      <c r="M1823" s="3" t="str">
        <f>IF(E1823, C1823 &amp; "|" &amp; H1823, "")</f>
        <v>principal-process-steward|Steps</v>
      </c>
      <c r="N1823" s="2" t="s">
        <v>9938</v>
      </c>
    </row>
    <row r="1824">
      <c r="A1824" s="2" t="s">
        <v>11760</v>
      </c>
      <c r="B1824" s="3" t="str">
        <f>C1824 &amp; " -&gt; " &amp; D1824</f>
        <v>principal-process-steward -&gt; Steps.RequiresHumanConfirmation</v>
      </c>
      <c r="C1824" s="2" t="s">
        <v>9706</v>
      </c>
      <c r="D1824" s="2" t="s">
        <v>2852</v>
      </c>
      <c r="E1824" s="2" t="b">
        <v>1</v>
      </c>
      <c r="F1824" s="2" t="b">
        <v>0</v>
      </c>
      <c r="G1824" s="2" t="s">
        <v>9937</v>
      </c>
      <c r="H1824" s="3" t="str">
        <f>_xlfn.IFNA(INDEX(RulebookFields!C2:C999, MATCH(D1824,RulebookFields!A2:A999, 0)), "")</f>
        <v>Steps</v>
      </c>
      <c r="I1824" s="3" t="str">
        <f>_xlfn.IFNA(INDEX(RulebookFields!D2:D999, MATCH(D1824,RulebookFields!A2:A999, 0)), "")</f>
        <v>RequiresHumanConfirmation</v>
      </c>
      <c r="J1824" s="3" t="b">
        <f>_xlfn.IFNA(INDEX(RulebookFields!I2:I999, MATCH(D1824,RulebookFields!A2:A999, 0)), "")</f>
        <v>0</v>
      </c>
      <c r="K1824" s="3" t="b">
        <f>AND(F1824, J1824)</f>
        <v>0</v>
      </c>
      <c r="L1824" s="3" t="b">
        <f>AND(G1824 &lt;&gt; "plain", G1824 &lt;&gt; "")</f>
        <v>0</v>
      </c>
      <c r="M1824" s="3" t="str">
        <f>IF(E1824, C1824 &amp; "|" &amp; H1824, "")</f>
        <v>principal-process-steward|Steps</v>
      </c>
      <c r="N1824" s="2" t="s">
        <v>9938</v>
      </c>
    </row>
    <row r="1825">
      <c r="A1825" s="2" t="s">
        <v>11761</v>
      </c>
      <c r="B1825" s="3" t="str">
        <f>C1825 &amp; " -&gt; " &amp; D1825</f>
        <v>principal-process-steward -&gt; Steps.BlockingRequirementCount</v>
      </c>
      <c r="C1825" s="2" t="s">
        <v>9706</v>
      </c>
      <c r="D1825" s="2" t="s">
        <v>2853</v>
      </c>
      <c r="E1825" s="2" t="b">
        <v>1</v>
      </c>
      <c r="F1825" s="2" t="b">
        <v>0</v>
      </c>
      <c r="G1825" s="2" t="s">
        <v>9937</v>
      </c>
      <c r="H1825" s="3" t="str">
        <f>_xlfn.IFNA(INDEX(RulebookFields!C2:C999, MATCH(D1825,RulebookFields!A2:A999, 0)), "")</f>
        <v>Steps</v>
      </c>
      <c r="I1825" s="3" t="str">
        <f>_xlfn.IFNA(INDEX(RulebookFields!D2:D999, MATCH(D1825,RulebookFields!A2:A999, 0)), "")</f>
        <v>BlockingRequirementCount</v>
      </c>
      <c r="J1825" s="3" t="b">
        <f>_xlfn.IFNA(INDEX(RulebookFields!I2:I999, MATCH(D1825,RulebookFields!A2:A999, 0)), "")</f>
        <v>1</v>
      </c>
      <c r="K1825" s="3" t="b">
        <f>AND(F1825, J1825)</f>
        <v>0</v>
      </c>
      <c r="L1825" s="3" t="b">
        <f>AND(G1825 &lt;&gt; "plain", G1825 &lt;&gt; "")</f>
        <v>0</v>
      </c>
      <c r="M1825" s="3" t="str">
        <f>IF(E1825, C1825 &amp; "|" &amp; H1825, "")</f>
        <v>principal-process-steward|Steps</v>
      </c>
      <c r="N1825" s="2" t="s">
        <v>9938</v>
      </c>
    </row>
    <row r="1826">
      <c r="A1826" s="2" t="s">
        <v>11762</v>
      </c>
      <c r="B1826" s="3" t="str">
        <f>C1826 &amp; " -&gt; " &amp; D1826</f>
        <v>principal-process-steward -&gt; Steps.StaleBindingCount</v>
      </c>
      <c r="C1826" s="2" t="s">
        <v>9706</v>
      </c>
      <c r="D1826" s="2" t="s">
        <v>2855</v>
      </c>
      <c r="E1826" s="2" t="b">
        <v>1</v>
      </c>
      <c r="F1826" s="2" t="b">
        <v>0</v>
      </c>
      <c r="G1826" s="2" t="s">
        <v>9937</v>
      </c>
      <c r="H1826" s="3" t="str">
        <f>_xlfn.IFNA(INDEX(RulebookFields!C2:C999, MATCH(D1826,RulebookFields!A2:A999, 0)), "")</f>
        <v>Steps</v>
      </c>
      <c r="I1826" s="3" t="str">
        <f>_xlfn.IFNA(INDEX(RulebookFields!D2:D999, MATCH(D1826,RulebookFields!A2:A999, 0)), "")</f>
        <v>StaleBindingCount</v>
      </c>
      <c r="J1826" s="3" t="b">
        <f>_xlfn.IFNA(INDEX(RulebookFields!I2:I999, MATCH(D1826,RulebookFields!A2:A999, 0)), "")</f>
        <v>1</v>
      </c>
      <c r="K1826" s="3" t="b">
        <f>AND(F1826, J1826)</f>
        <v>0</v>
      </c>
      <c r="L1826" s="3" t="b">
        <f>AND(G1826 &lt;&gt; "plain", G1826 &lt;&gt; "")</f>
        <v>0</v>
      </c>
      <c r="M1826" s="3" t="str">
        <f>IF(E1826, C1826 &amp; "|" &amp; H1826, "")</f>
        <v>principal-process-steward|Steps</v>
      </c>
      <c r="N1826" s="2" t="s">
        <v>9938</v>
      </c>
    </row>
    <row r="1827">
      <c r="A1827" s="2" t="s">
        <v>11763</v>
      </c>
      <c r="B1827" s="3" t="str">
        <f>C1827 &amp; " -&gt; " &amp; D1827</f>
        <v>principal-process-steward -&gt; Steps.AuthoritativeStaleCount</v>
      </c>
      <c r="C1827" s="2" t="s">
        <v>9706</v>
      </c>
      <c r="D1827" s="2" t="s">
        <v>2857</v>
      </c>
      <c r="E1827" s="2" t="b">
        <v>1</v>
      </c>
      <c r="F1827" s="2" t="b">
        <v>0</v>
      </c>
      <c r="G1827" s="2" t="s">
        <v>9937</v>
      </c>
      <c r="H1827" s="3" t="str">
        <f>_xlfn.IFNA(INDEX(RulebookFields!C2:C999, MATCH(D1827,RulebookFields!A2:A999, 0)), "")</f>
        <v>Steps</v>
      </c>
      <c r="I1827" s="3" t="str">
        <f>_xlfn.IFNA(INDEX(RulebookFields!D2:D999, MATCH(D1827,RulebookFields!A2:A999, 0)), "")</f>
        <v>AuthoritativeStaleCount</v>
      </c>
      <c r="J1827" s="3" t="b">
        <f>_xlfn.IFNA(INDEX(RulebookFields!I2:I999, MATCH(D1827,RulebookFields!A2:A999, 0)), "")</f>
        <v>1</v>
      </c>
      <c r="K1827" s="3" t="b">
        <f>AND(F1827, J1827)</f>
        <v>0</v>
      </c>
      <c r="L1827" s="3" t="b">
        <f>AND(G1827 &lt;&gt; "plain", G1827 &lt;&gt; "")</f>
        <v>0</v>
      </c>
      <c r="M1827" s="3" t="str">
        <f>IF(E1827, C1827 &amp; "|" &amp; H1827, "")</f>
        <v>principal-process-steward|Steps</v>
      </c>
      <c r="N1827" s="2" t="s">
        <v>9938</v>
      </c>
    </row>
    <row r="1828">
      <c r="A1828" s="2" t="s">
        <v>11764</v>
      </c>
      <c r="B1828" s="3" t="str">
        <f>C1828 &amp; " -&gt; " &amp; D1828</f>
        <v>principal-process-steward -&gt; Steps.AvailableExceptionCount</v>
      </c>
      <c r="C1828" s="2" t="s">
        <v>9706</v>
      </c>
      <c r="D1828" s="2" t="s">
        <v>2859</v>
      </c>
      <c r="E1828" s="2" t="b">
        <v>1</v>
      </c>
      <c r="F1828" s="2" t="b">
        <v>0</v>
      </c>
      <c r="G1828" s="2" t="s">
        <v>9937</v>
      </c>
      <c r="H1828" s="3" t="str">
        <f>_xlfn.IFNA(INDEX(RulebookFields!C2:C999, MATCH(D1828,RulebookFields!A2:A999, 0)), "")</f>
        <v>Steps</v>
      </c>
      <c r="I1828" s="3" t="str">
        <f>_xlfn.IFNA(INDEX(RulebookFields!D2:D999, MATCH(D1828,RulebookFields!A2:A999, 0)), "")</f>
        <v>AvailableExceptionCount</v>
      </c>
      <c r="J1828" s="3" t="b">
        <f>_xlfn.IFNA(INDEX(RulebookFields!I2:I999, MATCH(D1828,RulebookFields!A2:A999, 0)), "")</f>
        <v>1</v>
      </c>
      <c r="K1828" s="3" t="b">
        <f>AND(F1828, J1828)</f>
        <v>0</v>
      </c>
      <c r="L1828" s="3" t="b">
        <f>AND(G1828 &lt;&gt; "plain", G1828 &lt;&gt; "")</f>
        <v>0</v>
      </c>
      <c r="M1828" s="3" t="str">
        <f>IF(E1828, C1828 &amp; "|" &amp; H1828, "")</f>
        <v>principal-process-steward|Steps</v>
      </c>
      <c r="N1828" s="2" t="s">
        <v>9938</v>
      </c>
    </row>
    <row r="1829">
      <c r="A1829" s="2" t="s">
        <v>11765</v>
      </c>
      <c r="B1829" s="3" t="str">
        <f>C1829 &amp; " -&gt; " &amp; D1829</f>
        <v>principal-process-steward -&gt; Steps.DeclaredVerificationCount</v>
      </c>
      <c r="C1829" s="2" t="s">
        <v>9706</v>
      </c>
      <c r="D1829" s="2" t="s">
        <v>2861</v>
      </c>
      <c r="E1829" s="2" t="b">
        <v>1</v>
      </c>
      <c r="F1829" s="2" t="b">
        <v>0</v>
      </c>
      <c r="G1829" s="2" t="s">
        <v>9937</v>
      </c>
      <c r="H1829" s="3" t="str">
        <f>_xlfn.IFNA(INDEX(RulebookFields!C2:C999, MATCH(D1829,RulebookFields!A2:A999, 0)), "")</f>
        <v>Steps</v>
      </c>
      <c r="I1829" s="3" t="str">
        <f>_xlfn.IFNA(INDEX(RulebookFields!D2:D999, MATCH(D1829,RulebookFields!A2:A999, 0)), "")</f>
        <v>DeclaredVerificationCount</v>
      </c>
      <c r="J1829" s="3" t="b">
        <f>_xlfn.IFNA(INDEX(RulebookFields!I2:I999, MATCH(D1829,RulebookFields!A2:A999, 0)), "")</f>
        <v>1</v>
      </c>
      <c r="K1829" s="3" t="b">
        <f>AND(F1829, J1829)</f>
        <v>0</v>
      </c>
      <c r="L1829" s="3" t="b">
        <f>AND(G1829 &lt;&gt; "plain", G1829 &lt;&gt; "")</f>
        <v>0</v>
      </c>
      <c r="M1829" s="3" t="str">
        <f>IF(E1829, C1829 &amp; "|" &amp; H1829, "")</f>
        <v>principal-process-steward|Steps</v>
      </c>
      <c r="N1829" s="2" t="s">
        <v>9938</v>
      </c>
    </row>
    <row r="1830">
      <c r="A1830" s="2" t="s">
        <v>11766</v>
      </c>
      <c r="B1830" s="3" t="str">
        <f>C1830 &amp; " -&gt; " &amp; D1830</f>
        <v>principal-process-steward -&gt; Steps.IsPreparationStep</v>
      </c>
      <c r="C1830" s="2" t="s">
        <v>9706</v>
      </c>
      <c r="D1830" s="2" t="s">
        <v>2863</v>
      </c>
      <c r="E1830" s="2" t="b">
        <v>1</v>
      </c>
      <c r="F1830" s="2" t="b">
        <v>0</v>
      </c>
      <c r="G1830" s="2" t="s">
        <v>9937</v>
      </c>
      <c r="H1830" s="3" t="str">
        <f>_xlfn.IFNA(INDEX(RulebookFields!C2:C999, MATCH(D1830,RulebookFields!A2:A999, 0)), "")</f>
        <v>Steps</v>
      </c>
      <c r="I1830" s="3" t="str">
        <f>_xlfn.IFNA(INDEX(RulebookFields!D2:D999, MATCH(D1830,RulebookFields!A2:A999, 0)), "")</f>
        <v>IsPreparationStep</v>
      </c>
      <c r="J1830" s="3" t="b">
        <f>_xlfn.IFNA(INDEX(RulebookFields!I2:I999, MATCH(D1830,RulebookFields!A2:A999, 0)), "")</f>
        <v>1</v>
      </c>
      <c r="K1830" s="3" t="b">
        <f>AND(F1830, J1830)</f>
        <v>0</v>
      </c>
      <c r="L1830" s="3" t="b">
        <f>AND(G1830 &lt;&gt; "plain", G1830 &lt;&gt; "")</f>
        <v>0</v>
      </c>
      <c r="M1830" s="3" t="str">
        <f>IF(E1830, C1830 &amp; "|" &amp; H1830, "")</f>
        <v>principal-process-steward|Steps</v>
      </c>
      <c r="N1830" s="2" t="s">
        <v>9938</v>
      </c>
    </row>
    <row r="1831">
      <c r="A1831" s="2" t="s">
        <v>11767</v>
      </c>
      <c r="B1831" s="3" t="str">
        <f>C1831 &amp; " -&gt; " &amp; D1831</f>
        <v>principal-process-steward -&gt; Steps.IsApprovalStep</v>
      </c>
      <c r="C1831" s="2" t="s">
        <v>9706</v>
      </c>
      <c r="D1831" s="2" t="s">
        <v>2865</v>
      </c>
      <c r="E1831" s="2" t="b">
        <v>1</v>
      </c>
      <c r="F1831" s="2" t="b">
        <v>0</v>
      </c>
      <c r="G1831" s="2" t="s">
        <v>9937</v>
      </c>
      <c r="H1831" s="3" t="str">
        <f>_xlfn.IFNA(INDEX(RulebookFields!C2:C999, MATCH(D1831,RulebookFields!A2:A999, 0)), "")</f>
        <v>Steps</v>
      </c>
      <c r="I1831" s="3" t="str">
        <f>_xlfn.IFNA(INDEX(RulebookFields!D2:D999, MATCH(D1831,RulebookFields!A2:A999, 0)), "")</f>
        <v>IsApprovalStep</v>
      </c>
      <c r="J1831" s="3" t="b">
        <f>_xlfn.IFNA(INDEX(RulebookFields!I2:I999, MATCH(D1831,RulebookFields!A2:A999, 0)), "")</f>
        <v>1</v>
      </c>
      <c r="K1831" s="3" t="b">
        <f>AND(F1831, J1831)</f>
        <v>0</v>
      </c>
      <c r="L1831" s="3" t="b">
        <f>AND(G1831 &lt;&gt; "plain", G1831 &lt;&gt; "")</f>
        <v>0</v>
      </c>
      <c r="M1831" s="3" t="str">
        <f>IF(E1831, C1831 &amp; "|" &amp; H1831, "")</f>
        <v>principal-process-steward|Steps</v>
      </c>
      <c r="N1831" s="2" t="s">
        <v>9938</v>
      </c>
    </row>
    <row r="1832">
      <c r="A1832" s="2" t="s">
        <v>11768</v>
      </c>
      <c r="B1832" s="3" t="str">
        <f>C1832 &amp; " -&gt; " &amp; D1832</f>
        <v>principal-process-steward -&gt; Steps.StaleAuthoritativeBindingCount</v>
      </c>
      <c r="C1832" s="2" t="s">
        <v>9706</v>
      </c>
      <c r="D1832" s="2" t="s">
        <v>2867</v>
      </c>
      <c r="E1832" s="2" t="b">
        <v>1</v>
      </c>
      <c r="F1832" s="2" t="b">
        <v>0</v>
      </c>
      <c r="G1832" s="2" t="s">
        <v>9937</v>
      </c>
      <c r="H1832" s="3" t="str">
        <f>_xlfn.IFNA(INDEX(RulebookFields!C2:C999, MATCH(D1832,RulebookFields!A2:A999, 0)), "")</f>
        <v>Steps</v>
      </c>
      <c r="I1832" s="3" t="str">
        <f>_xlfn.IFNA(INDEX(RulebookFields!D2:D999, MATCH(D1832,RulebookFields!A2:A999, 0)), "")</f>
        <v>StaleAuthoritativeBindingCount</v>
      </c>
      <c r="J1832" s="3" t="b">
        <f>_xlfn.IFNA(INDEX(RulebookFields!I2:I999, MATCH(D1832,RulebookFields!A2:A999, 0)), "")</f>
        <v>1</v>
      </c>
      <c r="K1832" s="3" t="b">
        <f>AND(F1832, J1832)</f>
        <v>0</v>
      </c>
      <c r="L1832" s="3" t="b">
        <f>AND(G1832 &lt;&gt; "plain", G1832 &lt;&gt; "")</f>
        <v>0</v>
      </c>
      <c r="M1832" s="3" t="str">
        <f>IF(E1832, C1832 &amp; "|" &amp; H1832, "")</f>
        <v>principal-process-steward|Steps</v>
      </c>
      <c r="N1832" s="2" t="s">
        <v>9938</v>
      </c>
    </row>
    <row r="1833">
      <c r="A1833" s="2" t="s">
        <v>11769</v>
      </c>
      <c r="B1833" s="3" t="str">
        <f>C1833 &amp; " -&gt; " &amp; D1833</f>
        <v>principal-process-steward -&gt; Steps.InputsAreFresh</v>
      </c>
      <c r="C1833" s="2" t="s">
        <v>9706</v>
      </c>
      <c r="D1833" s="2" t="s">
        <v>2869</v>
      </c>
      <c r="E1833" s="2" t="b">
        <v>1</v>
      </c>
      <c r="F1833" s="2" t="b">
        <v>0</v>
      </c>
      <c r="G1833" s="2" t="s">
        <v>9937</v>
      </c>
      <c r="H1833" s="3" t="str">
        <f>_xlfn.IFNA(INDEX(RulebookFields!C2:C999, MATCH(D1833,RulebookFields!A2:A999, 0)), "")</f>
        <v>Steps</v>
      </c>
      <c r="I1833" s="3" t="str">
        <f>_xlfn.IFNA(INDEX(RulebookFields!D2:D999, MATCH(D1833,RulebookFields!A2:A999, 0)), "")</f>
        <v>InputsAreFresh</v>
      </c>
      <c r="J1833" s="3" t="b">
        <f>_xlfn.IFNA(INDEX(RulebookFields!I2:I999, MATCH(D1833,RulebookFields!A2:A999, 0)), "")</f>
        <v>1</v>
      </c>
      <c r="K1833" s="3" t="b">
        <f>AND(F1833, J1833)</f>
        <v>0</v>
      </c>
      <c r="L1833" s="3" t="b">
        <f>AND(G1833 &lt;&gt; "plain", G1833 &lt;&gt; "")</f>
        <v>0</v>
      </c>
      <c r="M1833" s="3" t="str">
        <f>IF(E1833, C1833 &amp; "|" &amp; H1833, "")</f>
        <v>principal-process-steward|Steps</v>
      </c>
      <c r="N1833" s="2" t="s">
        <v>9938</v>
      </c>
    </row>
    <row r="1834">
      <c r="A1834" s="2" t="s">
        <v>11770</v>
      </c>
      <c r="B1834" s="3" t="str">
        <f>C1834 &amp; " -&gt; " &amp; D1834</f>
        <v>principal-process-steward -&gt; Steps.IsSoftwareAssigned</v>
      </c>
      <c r="C1834" s="2" t="s">
        <v>9706</v>
      </c>
      <c r="D1834" s="2" t="s">
        <v>2871</v>
      </c>
      <c r="E1834" s="2" t="b">
        <v>1</v>
      </c>
      <c r="F1834" s="2" t="b">
        <v>0</v>
      </c>
      <c r="G1834" s="2" t="s">
        <v>9937</v>
      </c>
      <c r="H1834" s="3" t="str">
        <f>_xlfn.IFNA(INDEX(RulebookFields!C2:C999, MATCH(D1834,RulebookFields!A2:A999, 0)), "")</f>
        <v>Steps</v>
      </c>
      <c r="I1834" s="3" t="str">
        <f>_xlfn.IFNA(INDEX(RulebookFields!D2:D999, MATCH(D1834,RulebookFields!A2:A999, 0)), "")</f>
        <v>IsSoftwareAssigned</v>
      </c>
      <c r="J1834" s="3" t="b">
        <f>_xlfn.IFNA(INDEX(RulebookFields!I2:I999, MATCH(D1834,RulebookFields!A2:A999, 0)), "")</f>
        <v>1</v>
      </c>
      <c r="K1834" s="3" t="b">
        <f>AND(F1834, J1834)</f>
        <v>0</v>
      </c>
      <c r="L1834" s="3" t="b">
        <f>AND(G1834 &lt;&gt; "plain", G1834 &lt;&gt; "")</f>
        <v>0</v>
      </c>
      <c r="M1834" s="3" t="str">
        <f>IF(E1834, C1834 &amp; "|" &amp; H1834, "")</f>
        <v>principal-process-steward|Steps</v>
      </c>
      <c r="N1834" s="2" t="s">
        <v>9938</v>
      </c>
    </row>
    <row r="1835">
      <c r="A1835" s="2" t="s">
        <v>11771</v>
      </c>
      <c r="B1835" s="3" t="str">
        <f>C1835 &amp; " -&gt; " &amp; D1835</f>
        <v>principal-process-steward -&gt; Steps.IsHumanApprovalGate</v>
      </c>
      <c r="C1835" s="2" t="s">
        <v>9706</v>
      </c>
      <c r="D1835" s="2" t="s">
        <v>2873</v>
      </c>
      <c r="E1835" s="2" t="b">
        <v>1</v>
      </c>
      <c r="F1835" s="2" t="b">
        <v>0</v>
      </c>
      <c r="G1835" s="2" t="s">
        <v>9937</v>
      </c>
      <c r="H1835" s="3" t="str">
        <f>_xlfn.IFNA(INDEX(RulebookFields!C2:C999, MATCH(D1835,RulebookFields!A2:A999, 0)), "")</f>
        <v>Steps</v>
      </c>
      <c r="I1835" s="3" t="str">
        <f>_xlfn.IFNA(INDEX(RulebookFields!D2:D999, MATCH(D1835,RulebookFields!A2:A999, 0)), "")</f>
        <v>IsHumanApprovalGate</v>
      </c>
      <c r="J1835" s="3" t="b">
        <f>_xlfn.IFNA(INDEX(RulebookFields!I2:I999, MATCH(D1835,RulebookFields!A2:A999, 0)), "")</f>
        <v>1</v>
      </c>
      <c r="K1835" s="3" t="b">
        <f>AND(F1835, J1835)</f>
        <v>0</v>
      </c>
      <c r="L1835" s="3" t="b">
        <f>AND(G1835 &lt;&gt; "plain", G1835 &lt;&gt; "")</f>
        <v>0</v>
      </c>
      <c r="M1835" s="3" t="str">
        <f>IF(E1835, C1835 &amp; "|" &amp; H1835, "")</f>
        <v>principal-process-steward|Steps</v>
      </c>
      <c r="N1835" s="2" t="s">
        <v>9938</v>
      </c>
    </row>
    <row r="1836">
      <c r="A1836" s="2" t="s">
        <v>11772</v>
      </c>
      <c r="B1836" s="3" t="str">
        <f>C1836 &amp; " -&gt; " &amp; D1836</f>
        <v>principal-process-steward -&gt; Steps.GateHeldByHuman</v>
      </c>
      <c r="C1836" s="2" t="s">
        <v>9706</v>
      </c>
      <c r="D1836" s="2" t="s">
        <v>2875</v>
      </c>
      <c r="E1836" s="2" t="b">
        <v>1</v>
      </c>
      <c r="F1836" s="2" t="b">
        <v>0</v>
      </c>
      <c r="G1836" s="2" t="s">
        <v>9937</v>
      </c>
      <c r="H1836" s="3" t="str">
        <f>_xlfn.IFNA(INDEX(RulebookFields!C2:C999, MATCH(D1836,RulebookFields!A2:A999, 0)), "")</f>
        <v>Steps</v>
      </c>
      <c r="I1836" s="3" t="str">
        <f>_xlfn.IFNA(INDEX(RulebookFields!D2:D999, MATCH(D1836,RulebookFields!A2:A999, 0)), "")</f>
        <v>GateHeldByHuman</v>
      </c>
      <c r="J1836" s="3" t="b">
        <f>_xlfn.IFNA(INDEX(RulebookFields!I2:I999, MATCH(D1836,RulebookFields!A2:A999, 0)), "")</f>
        <v>1</v>
      </c>
      <c r="K1836" s="3" t="b">
        <f>AND(F1836, J1836)</f>
        <v>0</v>
      </c>
      <c r="L1836" s="3" t="b">
        <f>AND(G1836 &lt;&gt; "plain", G1836 &lt;&gt; "")</f>
        <v>0</v>
      </c>
      <c r="M1836" s="3" t="str">
        <f>IF(E1836, C1836 &amp; "|" &amp; H1836, "")</f>
        <v>principal-process-steward|Steps</v>
      </c>
      <c r="N1836" s="2" t="s">
        <v>9938</v>
      </c>
    </row>
    <row r="1837">
      <c r="A1837" s="2" t="s">
        <v>11773</v>
      </c>
      <c r="B1837" s="3" t="str">
        <f>C1837 &amp; " -&gt; " &amp; D1837</f>
        <v>principal-process-steward -&gt; Steps.BindingBoundaryCount</v>
      </c>
      <c r="C1837" s="2" t="s">
        <v>9706</v>
      </c>
      <c r="D1837" s="2" t="s">
        <v>2877</v>
      </c>
      <c r="E1837" s="2" t="b">
        <v>1</v>
      </c>
      <c r="F1837" s="2" t="b">
        <v>0</v>
      </c>
      <c r="G1837" s="2" t="s">
        <v>9937</v>
      </c>
      <c r="H1837" s="3" t="str">
        <f>_xlfn.IFNA(INDEX(RulebookFields!C2:C999, MATCH(D1837,RulebookFields!A2:A999, 0)), "")</f>
        <v>Steps</v>
      </c>
      <c r="I1837" s="3" t="str">
        <f>_xlfn.IFNA(INDEX(RulebookFields!D2:D999, MATCH(D1837,RulebookFields!A2:A999, 0)), "")</f>
        <v>BindingBoundaryCount</v>
      </c>
      <c r="J1837" s="3" t="b">
        <f>_xlfn.IFNA(INDEX(RulebookFields!I2:I999, MATCH(D1837,RulebookFields!A2:A999, 0)), "")</f>
        <v>1</v>
      </c>
      <c r="K1837" s="3" t="b">
        <f>AND(F1837, J1837)</f>
        <v>0</v>
      </c>
      <c r="L1837" s="3" t="b">
        <f>AND(G1837 &lt;&gt; "plain", G1837 &lt;&gt; "")</f>
        <v>0</v>
      </c>
      <c r="M1837" s="3" t="str">
        <f>IF(E1837, C1837 &amp; "|" &amp; H1837, "")</f>
        <v>principal-process-steward|Steps</v>
      </c>
      <c r="N1837" s="2" t="s">
        <v>9938</v>
      </c>
    </row>
    <row r="1838">
      <c r="A1838" s="2" t="s">
        <v>11774</v>
      </c>
      <c r="B1838" s="3" t="str">
        <f>C1838 &amp; " -&gt; " &amp; D1838</f>
        <v>principal-process-steward -&gt; Steps.AssignedRoleIsUngoverned</v>
      </c>
      <c r="C1838" s="2" t="s">
        <v>9706</v>
      </c>
      <c r="D1838" s="2" t="s">
        <v>2879</v>
      </c>
      <c r="E1838" s="2" t="b">
        <v>1</v>
      </c>
      <c r="F1838" s="2" t="b">
        <v>0</v>
      </c>
      <c r="G1838" s="2" t="s">
        <v>9937</v>
      </c>
      <c r="H1838" s="3" t="str">
        <f>_xlfn.IFNA(INDEX(RulebookFields!C2:C999, MATCH(D1838,RulebookFields!A2:A999, 0)), "")</f>
        <v>Steps</v>
      </c>
      <c r="I1838" s="3" t="str">
        <f>_xlfn.IFNA(INDEX(RulebookFields!D2:D999, MATCH(D1838,RulebookFields!A2:A999, 0)), "")</f>
        <v>AssignedRoleIsUngoverned</v>
      </c>
      <c r="J1838" s="3" t="b">
        <f>_xlfn.IFNA(INDEX(RulebookFields!I2:I999, MATCH(D1838,RulebookFields!A2:A999, 0)), "")</f>
        <v>1</v>
      </c>
      <c r="K1838" s="3" t="b">
        <f>AND(F1838, J1838)</f>
        <v>0</v>
      </c>
      <c r="L1838" s="3" t="b">
        <f>AND(G1838 &lt;&gt; "plain", G1838 &lt;&gt; "")</f>
        <v>0</v>
      </c>
      <c r="M1838" s="3" t="str">
        <f>IF(E1838, C1838 &amp; "|" &amp; H1838, "")</f>
        <v>principal-process-steward|Steps</v>
      </c>
      <c r="N1838" s="2" t="s">
        <v>9938</v>
      </c>
    </row>
    <row r="1839">
      <c r="A1839" s="2" t="s">
        <v>11775</v>
      </c>
      <c r="B1839" s="3" t="str">
        <f>C1839 &amp; " -&gt; " &amp; D1839</f>
        <v>principal-process-steward -&gt; Steps.UnusableBindingCount</v>
      </c>
      <c r="C1839" s="2" t="s">
        <v>9706</v>
      </c>
      <c r="D1839" s="2" t="s">
        <v>2881</v>
      </c>
      <c r="E1839" s="2" t="b">
        <v>1</v>
      </c>
      <c r="F1839" s="2" t="b">
        <v>0</v>
      </c>
      <c r="G1839" s="2" t="s">
        <v>9937</v>
      </c>
      <c r="H1839" s="3" t="str">
        <f>_xlfn.IFNA(INDEX(RulebookFields!C2:C999, MATCH(D1839,RulebookFields!A2:A999, 0)), "")</f>
        <v>Steps</v>
      </c>
      <c r="I1839" s="3" t="str">
        <f>_xlfn.IFNA(INDEX(RulebookFields!D2:D999, MATCH(D1839,RulebookFields!A2:A999, 0)), "")</f>
        <v>UnusableBindingCount</v>
      </c>
      <c r="J1839" s="3" t="b">
        <f>_xlfn.IFNA(INDEX(RulebookFields!I2:I999, MATCH(D1839,RulebookFields!A2:A999, 0)), "")</f>
        <v>1</v>
      </c>
      <c r="K1839" s="3" t="b">
        <f>AND(F1839, J1839)</f>
        <v>0</v>
      </c>
      <c r="L1839" s="3" t="b">
        <f>AND(G1839 &lt;&gt; "plain", G1839 &lt;&gt; "")</f>
        <v>0</v>
      </c>
      <c r="M1839" s="3" t="str">
        <f>IF(E1839, C1839 &amp; "|" &amp; H1839, "")</f>
        <v>principal-process-steward|Steps</v>
      </c>
      <c r="N1839" s="2" t="s">
        <v>9938</v>
      </c>
    </row>
    <row r="1840">
      <c r="A1840" s="2" t="s">
        <v>11776</v>
      </c>
      <c r="B1840" s="3" t="str">
        <f>C1840 &amp; " -&gt; " &amp; D1840</f>
        <v>principal-process-steward -&gt; Steps.AllSourcesUsable</v>
      </c>
      <c r="C1840" s="2" t="s">
        <v>9706</v>
      </c>
      <c r="D1840" s="2" t="s">
        <v>2883</v>
      </c>
      <c r="E1840" s="2" t="b">
        <v>1</v>
      </c>
      <c r="F1840" s="2" t="b">
        <v>0</v>
      </c>
      <c r="G1840" s="2" t="s">
        <v>9937</v>
      </c>
      <c r="H1840" s="3" t="str">
        <f>_xlfn.IFNA(INDEX(RulebookFields!C2:C999, MATCH(D1840,RulebookFields!A2:A999, 0)), "")</f>
        <v>Steps</v>
      </c>
      <c r="I1840" s="3" t="str">
        <f>_xlfn.IFNA(INDEX(RulebookFields!D2:D999, MATCH(D1840,RulebookFields!A2:A999, 0)), "")</f>
        <v>AllSourcesUsable</v>
      </c>
      <c r="J1840" s="3" t="b">
        <f>_xlfn.IFNA(INDEX(RulebookFields!I2:I999, MATCH(D1840,RulebookFields!A2:A999, 0)), "")</f>
        <v>1</v>
      </c>
      <c r="K1840" s="3" t="b">
        <f>AND(F1840, J1840)</f>
        <v>0</v>
      </c>
      <c r="L1840" s="3" t="b">
        <f>AND(G1840 &lt;&gt; "plain", G1840 &lt;&gt; "")</f>
        <v>0</v>
      </c>
      <c r="M1840" s="3" t="str">
        <f>IF(E1840, C1840 &amp; "|" &amp; H1840, "")</f>
        <v>principal-process-steward|Steps</v>
      </c>
      <c r="N1840" s="2" t="s">
        <v>9938</v>
      </c>
    </row>
    <row r="1841">
      <c r="A1841" s="2" t="s">
        <v>11777</v>
      </c>
      <c r="B1841" s="3" t="str">
        <f>C1841 &amp; " -&gt; " &amp; D1841</f>
        <v>principal-process-steward -&gt; Steps.ControlKind</v>
      </c>
      <c r="C1841" s="2" t="s">
        <v>9706</v>
      </c>
      <c r="D1841" s="2" t="s">
        <v>2885</v>
      </c>
      <c r="E1841" s="2" t="b">
        <v>1</v>
      </c>
      <c r="F1841" s="2" t="b">
        <v>0</v>
      </c>
      <c r="G1841" s="2" t="s">
        <v>9937</v>
      </c>
      <c r="H1841" s="3" t="str">
        <f>_xlfn.IFNA(INDEX(RulebookFields!C2:C999, MATCH(D1841,RulebookFields!A2:A999, 0)), "")</f>
        <v>Steps</v>
      </c>
      <c r="I1841" s="3" t="str">
        <f>_xlfn.IFNA(INDEX(RulebookFields!D2:D999, MATCH(D1841,RulebookFields!A2:A999, 0)), "")</f>
        <v>ControlKind</v>
      </c>
      <c r="J1841" s="3" t="b">
        <f>_xlfn.IFNA(INDEX(RulebookFields!I2:I999, MATCH(D1841,RulebookFields!A2:A999, 0)), "")</f>
        <v>0</v>
      </c>
      <c r="K1841" s="3" t="b">
        <f>AND(F1841, J1841)</f>
        <v>0</v>
      </c>
      <c r="L1841" s="3" t="b">
        <f>AND(G1841 &lt;&gt; "plain", G1841 &lt;&gt; "")</f>
        <v>0</v>
      </c>
      <c r="M1841" s="3" t="str">
        <f>IF(E1841, C1841 &amp; "|" &amp; H1841, "")</f>
        <v>principal-process-steward|Steps</v>
      </c>
      <c r="N1841" s="2" t="s">
        <v>9938</v>
      </c>
    </row>
    <row r="1842">
      <c r="A1842" s="2" t="s">
        <v>11778</v>
      </c>
      <c r="B1842" s="3" t="str">
        <f>C1842 &amp; " -&gt; " &amp; D1842</f>
        <v>principal-process-steward -&gt; Steps.UnwarrantedBoundaryCount</v>
      </c>
      <c r="C1842" s="2" t="s">
        <v>9706</v>
      </c>
      <c r="D1842" s="2" t="s">
        <v>2886</v>
      </c>
      <c r="E1842" s="2" t="b">
        <v>1</v>
      </c>
      <c r="F1842" s="2" t="b">
        <v>0</v>
      </c>
      <c r="G1842" s="2" t="s">
        <v>9937</v>
      </c>
      <c r="H1842" s="3" t="str">
        <f>_xlfn.IFNA(INDEX(RulebookFields!C2:C999, MATCH(D1842,RulebookFields!A2:A999, 0)), "")</f>
        <v>Steps</v>
      </c>
      <c r="I1842" s="3" t="str">
        <f>_xlfn.IFNA(INDEX(RulebookFields!D2:D999, MATCH(D1842,RulebookFields!A2:A999, 0)), "")</f>
        <v>UnwarrantedBoundaryCount</v>
      </c>
      <c r="J1842" s="3" t="b">
        <f>_xlfn.IFNA(INDEX(RulebookFields!I2:I999, MATCH(D1842,RulebookFields!A2:A999, 0)), "")</f>
        <v>1</v>
      </c>
      <c r="K1842" s="3" t="b">
        <f>AND(F1842, J1842)</f>
        <v>0</v>
      </c>
      <c r="L1842" s="3" t="b">
        <f>AND(G1842 &lt;&gt; "plain", G1842 &lt;&gt; "")</f>
        <v>0</v>
      </c>
      <c r="M1842" s="3" t="str">
        <f>IF(E1842, C1842 &amp; "|" &amp; H1842, "")</f>
        <v>principal-process-steward|Steps</v>
      </c>
      <c r="N1842" s="2" t="s">
        <v>9938</v>
      </c>
    </row>
    <row r="1843">
      <c r="A1843" s="2" t="s">
        <v>11779</v>
      </c>
      <c r="B1843" s="3" t="str">
        <f>C1843 &amp; " -&gt; " &amp; D1843</f>
        <v>principal-process-steward -&gt; Steps.IsGovernedByUnwarrantedBoundary</v>
      </c>
      <c r="C1843" s="2" t="s">
        <v>9706</v>
      </c>
      <c r="D1843" s="2" t="s">
        <v>2888</v>
      </c>
      <c r="E1843" s="2" t="b">
        <v>1</v>
      </c>
      <c r="F1843" s="2" t="b">
        <v>0</v>
      </c>
      <c r="G1843" s="2" t="s">
        <v>9937</v>
      </c>
      <c r="H1843" s="3" t="str">
        <f>_xlfn.IFNA(INDEX(RulebookFields!C2:C999, MATCH(D1843,RulebookFields!A2:A999, 0)), "")</f>
        <v>Steps</v>
      </c>
      <c r="I1843" s="3" t="str">
        <f>_xlfn.IFNA(INDEX(RulebookFields!D2:D999, MATCH(D1843,RulebookFields!A2:A999, 0)), "")</f>
        <v>IsGovernedByUnwarrantedBoundary</v>
      </c>
      <c r="J1843" s="3" t="b">
        <f>_xlfn.IFNA(INDEX(RulebookFields!I2:I999, MATCH(D1843,RulebookFields!A2:A999, 0)), "")</f>
        <v>1</v>
      </c>
      <c r="K1843" s="3" t="b">
        <f>AND(F1843, J1843)</f>
        <v>0</v>
      </c>
      <c r="L1843" s="3" t="b">
        <f>AND(G1843 &lt;&gt; "plain", G1843 &lt;&gt; "")</f>
        <v>0</v>
      </c>
      <c r="M1843" s="3" t="str">
        <f>IF(E1843, C1843 &amp; "|" &amp; H1843, "")</f>
        <v>principal-process-steward|Steps</v>
      </c>
      <c r="N1843" s="2" t="s">
        <v>9938</v>
      </c>
    </row>
    <row r="1844">
      <c r="A1844" s="2" t="s">
        <v>11780</v>
      </c>
      <c r="B1844" s="3" t="str">
        <f>C1844 &amp; " -&gt; " &amp; D1844</f>
        <v>principal-process-steward -&gt; Steps.SoftwareExecutionCount</v>
      </c>
      <c r="C1844" s="2" t="s">
        <v>9706</v>
      </c>
      <c r="D1844" s="2" t="s">
        <v>2890</v>
      </c>
      <c r="E1844" s="2" t="b">
        <v>1</v>
      </c>
      <c r="F1844" s="2" t="b">
        <v>0</v>
      </c>
      <c r="G1844" s="2" t="s">
        <v>9937</v>
      </c>
      <c r="H1844" s="3" t="str">
        <f>_xlfn.IFNA(INDEX(RulebookFields!C2:C999, MATCH(D1844,RulebookFields!A2:A999, 0)), "")</f>
        <v>Steps</v>
      </c>
      <c r="I1844" s="3" t="str">
        <f>_xlfn.IFNA(INDEX(RulebookFields!D2:D999, MATCH(D1844,RulebookFields!A2:A999, 0)), "")</f>
        <v>SoftwareExecutionCount</v>
      </c>
      <c r="J1844" s="3" t="b">
        <f>_xlfn.IFNA(INDEX(RulebookFields!I2:I999, MATCH(D1844,RulebookFields!A2:A999, 0)), "")</f>
        <v>1</v>
      </c>
      <c r="K1844" s="3" t="b">
        <f>AND(F1844, J1844)</f>
        <v>0</v>
      </c>
      <c r="L1844" s="3" t="b">
        <f>AND(G1844 &lt;&gt; "plain", G1844 &lt;&gt; "")</f>
        <v>0</v>
      </c>
      <c r="M1844" s="3" t="str">
        <f>IF(E1844, C1844 &amp; "|" &amp; H1844, "")</f>
        <v>principal-process-steward|Steps</v>
      </c>
      <c r="N1844" s="2" t="s">
        <v>9938</v>
      </c>
    </row>
    <row r="1845">
      <c r="A1845" s="2" t="s">
        <v>11781</v>
      </c>
      <c r="B1845" s="3" t="str">
        <f>C1845 &amp; " -&gt; " &amp; D1845</f>
        <v>principal-process-steward -&gt; Steps.HasBeenApproachedBySoftware</v>
      </c>
      <c r="C1845" s="2" t="s">
        <v>9706</v>
      </c>
      <c r="D1845" s="2" t="s">
        <v>2892</v>
      </c>
      <c r="E1845" s="2" t="b">
        <v>1</v>
      </c>
      <c r="F1845" s="2" t="b">
        <v>0</v>
      </c>
      <c r="G1845" s="2" t="s">
        <v>9937</v>
      </c>
      <c r="H1845" s="3" t="str">
        <f>_xlfn.IFNA(INDEX(RulebookFields!C2:C999, MATCH(D1845,RulebookFields!A2:A999, 0)), "")</f>
        <v>Steps</v>
      </c>
      <c r="I1845" s="3" t="str">
        <f>_xlfn.IFNA(INDEX(RulebookFields!D2:D999, MATCH(D1845,RulebookFields!A2:A999, 0)), "")</f>
        <v>HasBeenApproachedBySoftware</v>
      </c>
      <c r="J1845" s="3" t="b">
        <f>_xlfn.IFNA(INDEX(RulebookFields!I2:I999, MATCH(D1845,RulebookFields!A2:A999, 0)), "")</f>
        <v>1</v>
      </c>
      <c r="K1845" s="3" t="b">
        <f>AND(F1845, J1845)</f>
        <v>0</v>
      </c>
      <c r="L1845" s="3" t="b">
        <f>AND(G1845 &lt;&gt; "plain", G1845 &lt;&gt; "")</f>
        <v>0</v>
      </c>
      <c r="M1845" s="3" t="str">
        <f>IF(E1845, C1845 &amp; "|" &amp; H1845, "")</f>
        <v>principal-process-steward|Steps</v>
      </c>
      <c r="N1845" s="2" t="s">
        <v>9938</v>
      </c>
    </row>
    <row r="1846">
      <c r="A1846" s="2" t="s">
        <v>11782</v>
      </c>
      <c r="B1846" s="3" t="str">
        <f>C1846 &amp; " -&gt; " &amp; D1846</f>
        <v>principal-process-steward -&gt; Steps.IsUnexercisedHumanGate</v>
      </c>
      <c r="C1846" s="2" t="s">
        <v>9706</v>
      </c>
      <c r="D1846" s="2" t="s">
        <v>2894</v>
      </c>
      <c r="E1846" s="2" t="b">
        <v>1</v>
      </c>
      <c r="F1846" s="2" t="b">
        <v>0</v>
      </c>
      <c r="G1846" s="2" t="s">
        <v>9937</v>
      </c>
      <c r="H1846" s="3" t="str">
        <f>_xlfn.IFNA(INDEX(RulebookFields!C2:C999, MATCH(D1846,RulebookFields!A2:A999, 0)), "")</f>
        <v>Steps</v>
      </c>
      <c r="I1846" s="3" t="str">
        <f>_xlfn.IFNA(INDEX(RulebookFields!D2:D999, MATCH(D1846,RulebookFields!A2:A999, 0)), "")</f>
        <v>IsUnexercisedHumanGate</v>
      </c>
      <c r="J1846" s="3" t="b">
        <f>_xlfn.IFNA(INDEX(RulebookFields!I2:I999, MATCH(D1846,RulebookFields!A2:A999, 0)), "")</f>
        <v>1</v>
      </c>
      <c r="K1846" s="3" t="b">
        <f>AND(F1846, J1846)</f>
        <v>0</v>
      </c>
      <c r="L1846" s="3" t="b">
        <f>AND(G1846 &lt;&gt; "plain", G1846 &lt;&gt; "")</f>
        <v>0</v>
      </c>
      <c r="M1846" s="3" t="str">
        <f>IF(E1846, C1846 &amp; "|" &amp; H1846, "")</f>
        <v>principal-process-steward|Steps</v>
      </c>
      <c r="N1846" s="2" t="s">
        <v>9938</v>
      </c>
    </row>
    <row r="1847">
      <c r="A1847" s="2" t="s">
        <v>11783</v>
      </c>
      <c r="B1847" s="3" t="str">
        <f>C1847 &amp; " -&gt; " &amp; D1847</f>
        <v>principal-process-steward -&gt; Steps.IsDemonstratedHumanGate</v>
      </c>
      <c r="C1847" s="2" t="s">
        <v>9706</v>
      </c>
      <c r="D1847" s="2" t="s">
        <v>2896</v>
      </c>
      <c r="E1847" s="2" t="b">
        <v>1</v>
      </c>
      <c r="F1847" s="2" t="b">
        <v>0</v>
      </c>
      <c r="G1847" s="2" t="s">
        <v>9937</v>
      </c>
      <c r="H1847" s="3" t="str">
        <f>_xlfn.IFNA(INDEX(RulebookFields!C2:C999, MATCH(D1847,RulebookFields!A2:A999, 0)), "")</f>
        <v>Steps</v>
      </c>
      <c r="I1847" s="3" t="str">
        <f>_xlfn.IFNA(INDEX(RulebookFields!D2:D999, MATCH(D1847,RulebookFields!A2:A999, 0)), "")</f>
        <v>IsDemonstratedHumanGate</v>
      </c>
      <c r="J1847" s="3" t="b">
        <f>_xlfn.IFNA(INDEX(RulebookFields!I2:I999, MATCH(D1847,RulebookFields!A2:A999, 0)), "")</f>
        <v>1</v>
      </c>
      <c r="K1847" s="3" t="b">
        <f>AND(F1847, J1847)</f>
        <v>0</v>
      </c>
      <c r="L1847" s="3" t="b">
        <f>AND(G1847 &lt;&gt; "plain", G1847 &lt;&gt; "")</f>
        <v>0</v>
      </c>
      <c r="M1847" s="3" t="str">
        <f>IF(E1847, C1847 &amp; "|" &amp; H1847, "")</f>
        <v>principal-process-steward|Steps</v>
      </c>
      <c r="N1847" s="2" t="s">
        <v>9938</v>
      </c>
    </row>
    <row r="1848">
      <c r="A1848" s="2" t="s">
        <v>11784</v>
      </c>
      <c r="B1848" s="3" t="str">
        <f>C1848 &amp; " -&gt; " &amp; D1848</f>
        <v>principal-process-steward -&gt; Steps.UnexercisedGateVersionKey</v>
      </c>
      <c r="C1848" s="2" t="s">
        <v>9706</v>
      </c>
      <c r="D1848" s="2" t="s">
        <v>2898</v>
      </c>
      <c r="E1848" s="2" t="b">
        <v>1</v>
      </c>
      <c r="F1848" s="2" t="b">
        <v>0</v>
      </c>
      <c r="G1848" s="2" t="s">
        <v>9937</v>
      </c>
      <c r="H1848" s="3" t="str">
        <f>_xlfn.IFNA(INDEX(RulebookFields!C2:C999, MATCH(D1848,RulebookFields!A2:A999, 0)), "")</f>
        <v>Steps</v>
      </c>
      <c r="I1848" s="3" t="str">
        <f>_xlfn.IFNA(INDEX(RulebookFields!D2:D999, MATCH(D1848,RulebookFields!A2:A999, 0)), "")</f>
        <v>UnexercisedGateVersionKey</v>
      </c>
      <c r="J1848" s="3" t="b">
        <f>_xlfn.IFNA(INDEX(RulebookFields!I2:I999, MATCH(D1848,RulebookFields!A2:A999, 0)), "")</f>
        <v>1</v>
      </c>
      <c r="K1848" s="3" t="b">
        <f>AND(F1848, J1848)</f>
        <v>0</v>
      </c>
      <c r="L1848" s="3" t="b">
        <f>AND(G1848 &lt;&gt; "plain", G1848 &lt;&gt; "")</f>
        <v>0</v>
      </c>
      <c r="M1848" s="3" t="str">
        <f>IF(E1848, C1848 &amp; "|" &amp; H1848, "")</f>
        <v>principal-process-steward|Steps</v>
      </c>
      <c r="N1848" s="2" t="s">
        <v>9938</v>
      </c>
    </row>
    <row r="1849">
      <c r="A1849" s="2" t="s">
        <v>11785</v>
      </c>
      <c r="B1849" s="3" t="str">
        <f>C1849 &amp; " -&gt; " &amp; D1849</f>
        <v>principal-process-steward -&gt; Steps.HasDeclaredControlKind</v>
      </c>
      <c r="C1849" s="2" t="s">
        <v>9706</v>
      </c>
      <c r="D1849" s="2" t="s">
        <v>2900</v>
      </c>
      <c r="E1849" s="2" t="b">
        <v>1</v>
      </c>
      <c r="F1849" s="2" t="b">
        <v>0</v>
      </c>
      <c r="G1849" s="2" t="s">
        <v>9937</v>
      </c>
      <c r="H1849" s="3" t="str">
        <f>_xlfn.IFNA(INDEX(RulebookFields!C2:C999, MATCH(D1849,RulebookFields!A2:A999, 0)), "")</f>
        <v>Steps</v>
      </c>
      <c r="I1849" s="3" t="str">
        <f>_xlfn.IFNA(INDEX(RulebookFields!D2:D999, MATCH(D1849,RulebookFields!A2:A999, 0)), "")</f>
        <v>HasDeclaredControlKind</v>
      </c>
      <c r="J1849" s="3" t="b">
        <f>_xlfn.IFNA(INDEX(RulebookFields!I2:I999, MATCH(D1849,RulebookFields!A2:A999, 0)), "")</f>
        <v>1</v>
      </c>
      <c r="K1849" s="3" t="b">
        <f>AND(F1849, J1849)</f>
        <v>0</v>
      </c>
      <c r="L1849" s="3" t="b">
        <f>AND(G1849 &lt;&gt; "plain", G1849 &lt;&gt; "")</f>
        <v>0</v>
      </c>
      <c r="M1849" s="3" t="str">
        <f>IF(E1849, C1849 &amp; "|" &amp; H1849, "")</f>
        <v>principal-process-steward|Steps</v>
      </c>
      <c r="N1849" s="2" t="s">
        <v>9938</v>
      </c>
    </row>
    <row r="1850">
      <c r="A1850" s="2" t="s">
        <v>11786</v>
      </c>
      <c r="B1850" s="3" t="str">
        <f>C1850 &amp; " -&gt; " &amp; D1850</f>
        <v>principal-process-steward -&gt; Steps.UndeclaredControlVersionKey</v>
      </c>
      <c r="C1850" s="2" t="s">
        <v>9706</v>
      </c>
      <c r="D1850" s="2" t="s">
        <v>2902</v>
      </c>
      <c r="E1850" s="2" t="b">
        <v>1</v>
      </c>
      <c r="F1850" s="2" t="b">
        <v>0</v>
      </c>
      <c r="G1850" s="2" t="s">
        <v>9937</v>
      </c>
      <c r="H1850" s="3" t="str">
        <f>_xlfn.IFNA(INDEX(RulebookFields!C2:C999, MATCH(D1850,RulebookFields!A2:A999, 0)), "")</f>
        <v>Steps</v>
      </c>
      <c r="I1850" s="3" t="str">
        <f>_xlfn.IFNA(INDEX(RulebookFields!D2:D999, MATCH(D1850,RulebookFields!A2:A999, 0)), "")</f>
        <v>UndeclaredControlVersionKey</v>
      </c>
      <c r="J1850" s="3" t="b">
        <f>_xlfn.IFNA(INDEX(RulebookFields!I2:I999, MATCH(D1850,RulebookFields!A2:A999, 0)), "")</f>
        <v>1</v>
      </c>
      <c r="K1850" s="3" t="b">
        <f>AND(F1850, J1850)</f>
        <v>0</v>
      </c>
      <c r="L1850" s="3" t="b">
        <f>AND(G1850 &lt;&gt; "plain", G1850 &lt;&gt; "")</f>
        <v>0</v>
      </c>
      <c r="M1850" s="3" t="str">
        <f>IF(E1850, C1850 &amp; "|" &amp; H1850, "")</f>
        <v>principal-process-steward|Steps</v>
      </c>
      <c r="N1850" s="2" t="s">
        <v>9938</v>
      </c>
    </row>
    <row r="1851">
      <c r="A1851" s="2" t="s">
        <v>11787</v>
      </c>
      <c r="B1851" s="3" t="str">
        <f>C1851 &amp; " -&gt; " &amp; D1851</f>
        <v>principal-process-steward -&gt; Steps.ApprovalStepIsSoftwareAssigned</v>
      </c>
      <c r="C1851" s="2" t="s">
        <v>9706</v>
      </c>
      <c r="D1851" s="2" t="s">
        <v>2904</v>
      </c>
      <c r="E1851" s="2" t="b">
        <v>1</v>
      </c>
      <c r="F1851" s="2" t="b">
        <v>0</v>
      </c>
      <c r="G1851" s="2" t="s">
        <v>9937</v>
      </c>
      <c r="H1851" s="3" t="str">
        <f>_xlfn.IFNA(INDEX(RulebookFields!C2:C999, MATCH(D1851,RulebookFields!A2:A999, 0)), "")</f>
        <v>Steps</v>
      </c>
      <c r="I1851" s="3" t="str">
        <f>_xlfn.IFNA(INDEX(RulebookFields!D2:D999, MATCH(D1851,RulebookFields!A2:A999, 0)), "")</f>
        <v>ApprovalStepIsSoftwareAssigned</v>
      </c>
      <c r="J1851" s="3" t="b">
        <f>_xlfn.IFNA(INDEX(RulebookFields!I2:I999, MATCH(D1851,RulebookFields!A2:A999, 0)), "")</f>
        <v>1</v>
      </c>
      <c r="K1851" s="3" t="b">
        <f>AND(F1851, J1851)</f>
        <v>0</v>
      </c>
      <c r="L1851" s="3" t="b">
        <f>AND(G1851 &lt;&gt; "plain", G1851 &lt;&gt; "")</f>
        <v>0</v>
      </c>
      <c r="M1851" s="3" t="str">
        <f>IF(E1851, C1851 &amp; "|" &amp; H1851, "")</f>
        <v>principal-process-steward|Steps</v>
      </c>
      <c r="N1851" s="2" t="s">
        <v>9938</v>
      </c>
    </row>
    <row r="1852">
      <c r="A1852" s="2" t="s">
        <v>11788</v>
      </c>
      <c r="B1852" s="3" t="str">
        <f>C1852 &amp; " -&gt; " &amp; D1852</f>
        <v>principal-process-steward -&gt; Steps.UnwitnessedBlockingCount</v>
      </c>
      <c r="C1852" s="2" t="s">
        <v>9706</v>
      </c>
      <c r="D1852" s="2" t="s">
        <v>2906</v>
      </c>
      <c r="E1852" s="2" t="b">
        <v>1</v>
      </c>
      <c r="F1852" s="2" t="b">
        <v>0</v>
      </c>
      <c r="G1852" s="2" t="s">
        <v>9937</v>
      </c>
      <c r="H1852" s="3" t="str">
        <f>_xlfn.IFNA(INDEX(RulebookFields!C2:C999, MATCH(D1852,RulebookFields!A2:A999, 0)), "")</f>
        <v>Steps</v>
      </c>
      <c r="I1852" s="3" t="str">
        <f>_xlfn.IFNA(INDEX(RulebookFields!D2:D999, MATCH(D1852,RulebookFields!A2:A999, 0)), "")</f>
        <v>UnwitnessedBlockingCount</v>
      </c>
      <c r="J1852" s="3" t="b">
        <f>_xlfn.IFNA(INDEX(RulebookFields!I2:I999, MATCH(D1852,RulebookFields!A2:A999, 0)), "")</f>
        <v>1</v>
      </c>
      <c r="K1852" s="3" t="b">
        <f>AND(F1852, J1852)</f>
        <v>0</v>
      </c>
      <c r="L1852" s="3" t="b">
        <f>AND(G1852 &lt;&gt; "plain", G1852 &lt;&gt; "")</f>
        <v>0</v>
      </c>
      <c r="M1852" s="3" t="str">
        <f>IF(E1852, C1852 &amp; "|" &amp; H1852, "")</f>
        <v>principal-process-steward|Steps</v>
      </c>
      <c r="N1852" s="2" t="s">
        <v>9938</v>
      </c>
    </row>
    <row r="1853">
      <c r="A1853" s="2" t="s">
        <v>11789</v>
      </c>
      <c r="B1853" s="3" t="str">
        <f>C1853 &amp; " -&gt; " &amp; D1853</f>
        <v>principal-process-steward -&gt; Steps.SemanticTypeIri</v>
      </c>
      <c r="C1853" s="2" t="s">
        <v>9706</v>
      </c>
      <c r="D1853" s="2" t="s">
        <v>2908</v>
      </c>
      <c r="E1853" s="2" t="b">
        <v>1</v>
      </c>
      <c r="F1853" s="2" t="b">
        <v>0</v>
      </c>
      <c r="G1853" s="2" t="s">
        <v>9937</v>
      </c>
      <c r="H1853" s="3" t="str">
        <f>_xlfn.IFNA(INDEX(RulebookFields!C2:C999, MATCH(D1853,RulebookFields!A2:A999, 0)), "")</f>
        <v>Steps</v>
      </c>
      <c r="I1853" s="3" t="str">
        <f>_xlfn.IFNA(INDEX(RulebookFields!D2:D999, MATCH(D1853,RulebookFields!A2:A999, 0)), "")</f>
        <v>SemanticTypeIri</v>
      </c>
      <c r="J1853" s="3" t="b">
        <f>_xlfn.IFNA(INDEX(RulebookFields!I2:I999, MATCH(D1853,RulebookFields!A2:A999, 0)), "")</f>
        <v>0</v>
      </c>
      <c r="K1853" s="3" t="b">
        <f>AND(F1853, J1853)</f>
        <v>0</v>
      </c>
      <c r="L1853" s="3" t="b">
        <f>AND(G1853 &lt;&gt; "plain", G1853 &lt;&gt; "")</f>
        <v>0</v>
      </c>
      <c r="M1853" s="3" t="str">
        <f>IF(E1853, C1853 &amp; "|" &amp; H1853, "")</f>
        <v>principal-process-steward|Steps</v>
      </c>
      <c r="N1853" s="2" t="s">
        <v>9938</v>
      </c>
    </row>
    <row r="1854">
      <c r="A1854" s="2" t="s">
        <v>11790</v>
      </c>
      <c r="B1854" s="3" t="str">
        <f>C1854 &amp; " -&gt; " &amp; D1854</f>
        <v>principal-process-steward -&gt; StewardshipAssignments.StewardshipAssignmentId</v>
      </c>
      <c r="C1854" s="2" t="s">
        <v>9706</v>
      </c>
      <c r="D1854" s="2" t="s">
        <v>3830</v>
      </c>
      <c r="E1854" s="2" t="b">
        <v>1</v>
      </c>
      <c r="F1854" s="2" t="b">
        <v>0</v>
      </c>
      <c r="G1854" s="2" t="s">
        <v>9937</v>
      </c>
      <c r="H1854" s="3" t="str">
        <f>_xlfn.IFNA(INDEX(RulebookFields!C2:C999, MATCH(D1854,RulebookFields!A2:A999, 0)), "")</f>
        <v>StewardshipAssignments</v>
      </c>
      <c r="I1854" s="3" t="str">
        <f>_xlfn.IFNA(INDEX(RulebookFields!D2:D999, MATCH(D1854,RulebookFields!A2:A999, 0)), "")</f>
        <v>StewardshipAssignmentId</v>
      </c>
      <c r="J1854" s="3" t="b">
        <f>_xlfn.IFNA(INDEX(RulebookFields!I2:I999, MATCH(D1854,RulebookFields!A2:A999, 0)), "")</f>
        <v>0</v>
      </c>
      <c r="K1854" s="3" t="b">
        <f>AND(F1854, J1854)</f>
        <v>0</v>
      </c>
      <c r="L1854" s="3" t="b">
        <f>AND(G1854 &lt;&gt; "plain", G1854 &lt;&gt; "")</f>
        <v>0</v>
      </c>
      <c r="M1854" s="3" t="str">
        <f>IF(E1854, C1854 &amp; "|" &amp; H1854, "")</f>
        <v>principal-process-steward|StewardshipAssignments</v>
      </c>
      <c r="N1854" s="2" t="s">
        <v>9938</v>
      </c>
    </row>
    <row r="1855">
      <c r="A1855" s="2" t="s">
        <v>11791</v>
      </c>
      <c r="B1855" s="3" t="str">
        <f>C1855 &amp; " -&gt; " &amp; D1855</f>
        <v>principal-process-steward -&gt; StewardshipAssignments.Name</v>
      </c>
      <c r="C1855" s="2" t="s">
        <v>9706</v>
      </c>
      <c r="D1855" s="2" t="s">
        <v>3831</v>
      </c>
      <c r="E1855" s="2" t="b">
        <v>1</v>
      </c>
      <c r="F1855" s="2" t="b">
        <v>0</v>
      </c>
      <c r="G1855" s="2" t="s">
        <v>9937</v>
      </c>
      <c r="H1855" s="3" t="str">
        <f>_xlfn.IFNA(INDEX(RulebookFields!C2:C999, MATCH(D1855,RulebookFields!A2:A999, 0)), "")</f>
        <v>StewardshipAssignments</v>
      </c>
      <c r="I1855" s="3" t="str">
        <f>_xlfn.IFNA(INDEX(RulebookFields!D2:D999, MATCH(D1855,RulebookFields!A2:A999, 0)), "")</f>
        <v>Name</v>
      </c>
      <c r="J1855" s="3" t="b">
        <f>_xlfn.IFNA(INDEX(RulebookFields!I2:I999, MATCH(D1855,RulebookFields!A2:A999, 0)), "")</f>
        <v>1</v>
      </c>
      <c r="K1855" s="3" t="b">
        <f>AND(F1855, J1855)</f>
        <v>0</v>
      </c>
      <c r="L1855" s="3" t="b">
        <f>AND(G1855 &lt;&gt; "plain", G1855 &lt;&gt; "")</f>
        <v>0</v>
      </c>
      <c r="M1855" s="3" t="str">
        <f>IF(E1855, C1855 &amp; "|" &amp; H1855, "")</f>
        <v>principal-process-steward|StewardshipAssignments</v>
      </c>
      <c r="N1855" s="2" t="s">
        <v>9938</v>
      </c>
    </row>
    <row r="1856">
      <c r="A1856" s="2" t="s">
        <v>11792</v>
      </c>
      <c r="B1856" s="3" t="str">
        <f>C1856 &amp; " -&gt; " &amp; D1856</f>
        <v>principal-process-steward -&gt; StewardshipAssignments.ProcedureVersion</v>
      </c>
      <c r="C1856" s="2" t="s">
        <v>9706</v>
      </c>
      <c r="D1856" s="2" t="s">
        <v>3833</v>
      </c>
      <c r="E1856" s="2" t="b">
        <v>1</v>
      </c>
      <c r="F1856" s="2" t="b">
        <v>0</v>
      </c>
      <c r="G1856" s="2" t="s">
        <v>9937</v>
      </c>
      <c r="H1856" s="3" t="str">
        <f>_xlfn.IFNA(INDEX(RulebookFields!C2:C999, MATCH(D1856,RulebookFields!A2:A999, 0)), "")</f>
        <v>StewardshipAssignments</v>
      </c>
      <c r="I1856" s="3" t="str">
        <f>_xlfn.IFNA(INDEX(RulebookFields!D2:D999, MATCH(D1856,RulebookFields!A2:A999, 0)), "")</f>
        <v>ProcedureVersion</v>
      </c>
      <c r="J1856" s="3" t="b">
        <f>_xlfn.IFNA(INDEX(RulebookFields!I2:I999, MATCH(D1856,RulebookFields!A2:A999, 0)), "")</f>
        <v>0</v>
      </c>
      <c r="K1856" s="3" t="b">
        <f>AND(F1856, J1856)</f>
        <v>0</v>
      </c>
      <c r="L1856" s="3" t="b">
        <f>AND(G1856 &lt;&gt; "plain", G1856 &lt;&gt; "")</f>
        <v>0</v>
      </c>
      <c r="M1856" s="3" t="str">
        <f>IF(E1856, C1856 &amp; "|" &amp; H1856, "")</f>
        <v>principal-process-steward|StewardshipAssignments</v>
      </c>
      <c r="N1856" s="2" t="s">
        <v>9938</v>
      </c>
    </row>
    <row r="1857">
      <c r="A1857" s="2" t="s">
        <v>11793</v>
      </c>
      <c r="B1857" s="3" t="str">
        <f>C1857 &amp; " -&gt; " &amp; D1857</f>
        <v>principal-process-steward -&gt; StewardshipAssignments.StewardRole</v>
      </c>
      <c r="C1857" s="2" t="s">
        <v>9706</v>
      </c>
      <c r="D1857" s="2" t="s">
        <v>3834</v>
      </c>
      <c r="E1857" s="2" t="b">
        <v>1</v>
      </c>
      <c r="F1857" s="2" t="b">
        <v>0</v>
      </c>
      <c r="G1857" s="2" t="s">
        <v>9937</v>
      </c>
      <c r="H1857" s="3" t="str">
        <f>_xlfn.IFNA(INDEX(RulebookFields!C2:C999, MATCH(D1857,RulebookFields!A2:A999, 0)), "")</f>
        <v>StewardshipAssignments</v>
      </c>
      <c r="I1857" s="3" t="str">
        <f>_xlfn.IFNA(INDEX(RulebookFields!D2:D999, MATCH(D1857,RulebookFields!A2:A999, 0)), "")</f>
        <v>StewardRole</v>
      </c>
      <c r="J1857" s="3" t="b">
        <f>_xlfn.IFNA(INDEX(RulebookFields!I2:I999, MATCH(D1857,RulebookFields!A2:A999, 0)), "")</f>
        <v>0</v>
      </c>
      <c r="K1857" s="3" t="b">
        <f>AND(F1857, J1857)</f>
        <v>0</v>
      </c>
      <c r="L1857" s="3" t="b">
        <f>AND(G1857 &lt;&gt; "plain", G1857 &lt;&gt; "")</f>
        <v>0</v>
      </c>
      <c r="M1857" s="3" t="str">
        <f>IF(E1857, C1857 &amp; "|" &amp; H1857, "")</f>
        <v>principal-process-steward|StewardshipAssignments</v>
      </c>
      <c r="N1857" s="2" t="s">
        <v>9938</v>
      </c>
    </row>
    <row r="1858">
      <c r="A1858" s="2" t="s">
        <v>11794</v>
      </c>
      <c r="B1858" s="3" t="str">
        <f>C1858 &amp; " -&gt; " &amp; D1858</f>
        <v>principal-process-steward -&gt; StewardshipAssignments.AuthorityRole</v>
      </c>
      <c r="C1858" s="2" t="s">
        <v>9706</v>
      </c>
      <c r="D1858" s="2" t="s">
        <v>3835</v>
      </c>
      <c r="E1858" s="2" t="b">
        <v>1</v>
      </c>
      <c r="F1858" s="2" t="b">
        <v>0</v>
      </c>
      <c r="G1858" s="2" t="s">
        <v>9937</v>
      </c>
      <c r="H1858" s="3" t="str">
        <f>_xlfn.IFNA(INDEX(RulebookFields!C2:C999, MATCH(D1858,RulebookFields!A2:A999, 0)), "")</f>
        <v>StewardshipAssignments</v>
      </c>
      <c r="I1858" s="3" t="str">
        <f>_xlfn.IFNA(INDEX(RulebookFields!D2:D999, MATCH(D1858,RulebookFields!A2:A999, 0)), "")</f>
        <v>AuthorityRole</v>
      </c>
      <c r="J1858" s="3" t="b">
        <f>_xlfn.IFNA(INDEX(RulebookFields!I2:I999, MATCH(D1858,RulebookFields!A2:A999, 0)), "")</f>
        <v>0</v>
      </c>
      <c r="K1858" s="3" t="b">
        <f>AND(F1858, J1858)</f>
        <v>0</v>
      </c>
      <c r="L1858" s="3" t="b">
        <f>AND(G1858 &lt;&gt; "plain", G1858 &lt;&gt; "")</f>
        <v>0</v>
      </c>
      <c r="M1858" s="3" t="str">
        <f>IF(E1858, C1858 &amp; "|" &amp; H1858, "")</f>
        <v>principal-process-steward|StewardshipAssignments</v>
      </c>
      <c r="N1858" s="2" t="s">
        <v>9938</v>
      </c>
    </row>
    <row r="1859">
      <c r="A1859" s="2" t="s">
        <v>11795</v>
      </c>
      <c r="B1859" s="3" t="str">
        <f>C1859 &amp; " -&gt; " &amp; D1859</f>
        <v>principal-process-steward -&gt; StewardshipAssignments.ValidFrom</v>
      </c>
      <c r="C1859" s="2" t="s">
        <v>9706</v>
      </c>
      <c r="D1859" s="2" t="s">
        <v>3836</v>
      </c>
      <c r="E1859" s="2" t="b">
        <v>1</v>
      </c>
      <c r="F1859" s="2" t="b">
        <v>0</v>
      </c>
      <c r="G1859" s="2" t="s">
        <v>9937</v>
      </c>
      <c r="H1859" s="3" t="str">
        <f>_xlfn.IFNA(INDEX(RulebookFields!C2:C999, MATCH(D1859,RulebookFields!A2:A999, 0)), "")</f>
        <v>StewardshipAssignments</v>
      </c>
      <c r="I1859" s="3" t="str">
        <f>_xlfn.IFNA(INDEX(RulebookFields!D2:D999, MATCH(D1859,RulebookFields!A2:A999, 0)), "")</f>
        <v>ValidFrom</v>
      </c>
      <c r="J1859" s="3" t="b">
        <f>_xlfn.IFNA(INDEX(RulebookFields!I2:I999, MATCH(D1859,RulebookFields!A2:A999, 0)), "")</f>
        <v>0</v>
      </c>
      <c r="K1859" s="3" t="b">
        <f>AND(F1859, J1859)</f>
        <v>0</v>
      </c>
      <c r="L1859" s="3" t="b">
        <f>AND(G1859 &lt;&gt; "plain", G1859 &lt;&gt; "")</f>
        <v>0</v>
      </c>
      <c r="M1859" s="3" t="str">
        <f>IF(E1859, C1859 &amp; "|" &amp; H1859, "")</f>
        <v>principal-process-steward|StewardshipAssignments</v>
      </c>
      <c r="N1859" s="2" t="s">
        <v>9938</v>
      </c>
    </row>
    <row r="1860">
      <c r="A1860" s="2" t="s">
        <v>11796</v>
      </c>
      <c r="B1860" s="3" t="str">
        <f>C1860 &amp; " -&gt; " &amp; D1860</f>
        <v>principal-process-steward -&gt; StewardshipAssignments.ValidTo</v>
      </c>
      <c r="C1860" s="2" t="s">
        <v>9706</v>
      </c>
      <c r="D1860" s="2" t="s">
        <v>3837</v>
      </c>
      <c r="E1860" s="2" t="b">
        <v>1</v>
      </c>
      <c r="F1860" s="2" t="b">
        <v>0</v>
      </c>
      <c r="G1860" s="2" t="s">
        <v>9937</v>
      </c>
      <c r="H1860" s="3" t="str">
        <f>_xlfn.IFNA(INDEX(RulebookFields!C2:C999, MATCH(D1860,RulebookFields!A2:A999, 0)), "")</f>
        <v>StewardshipAssignments</v>
      </c>
      <c r="I1860" s="3" t="str">
        <f>_xlfn.IFNA(INDEX(RulebookFields!D2:D999, MATCH(D1860,RulebookFields!A2:A999, 0)), "")</f>
        <v>ValidTo</v>
      </c>
      <c r="J1860" s="3" t="b">
        <f>_xlfn.IFNA(INDEX(RulebookFields!I2:I999, MATCH(D1860,RulebookFields!A2:A999, 0)), "")</f>
        <v>0</v>
      </c>
      <c r="K1860" s="3" t="b">
        <f>AND(F1860, J1860)</f>
        <v>0</v>
      </c>
      <c r="L1860" s="3" t="b">
        <f>AND(G1860 &lt;&gt; "plain", G1860 &lt;&gt; "")</f>
        <v>0</v>
      </c>
      <c r="M1860" s="3" t="str">
        <f>IF(E1860, C1860 &amp; "|" &amp; H1860, "")</f>
        <v>principal-process-steward|StewardshipAssignments</v>
      </c>
      <c r="N1860" s="2" t="s">
        <v>9938</v>
      </c>
    </row>
    <row r="1861">
      <c r="A1861" s="2" t="s">
        <v>11797</v>
      </c>
      <c r="B1861" s="3" t="str">
        <f>C1861 &amp; " -&gt; " &amp; D1861</f>
        <v>principal-process-steward -&gt; StewardshipAssignments.ReviewCadenceDays</v>
      </c>
      <c r="C1861" s="2" t="s">
        <v>9706</v>
      </c>
      <c r="D1861" s="2" t="s">
        <v>3838</v>
      </c>
      <c r="E1861" s="2" t="b">
        <v>1</v>
      </c>
      <c r="F1861" s="2" t="b">
        <v>0</v>
      </c>
      <c r="G1861" s="2" t="s">
        <v>9937</v>
      </c>
      <c r="H1861" s="3" t="str">
        <f>_xlfn.IFNA(INDEX(RulebookFields!C2:C999, MATCH(D1861,RulebookFields!A2:A999, 0)), "")</f>
        <v>StewardshipAssignments</v>
      </c>
      <c r="I1861" s="3" t="str">
        <f>_xlfn.IFNA(INDEX(RulebookFields!D2:D999, MATCH(D1861,RulebookFields!A2:A999, 0)), "")</f>
        <v>ReviewCadenceDays</v>
      </c>
      <c r="J1861" s="3" t="b">
        <f>_xlfn.IFNA(INDEX(RulebookFields!I2:I999, MATCH(D1861,RulebookFields!A2:A999, 0)), "")</f>
        <v>0</v>
      </c>
      <c r="K1861" s="3" t="b">
        <f>AND(F1861, J1861)</f>
        <v>0</v>
      </c>
      <c r="L1861" s="3" t="b">
        <f>AND(G1861 &lt;&gt; "plain", G1861 &lt;&gt; "")</f>
        <v>0</v>
      </c>
      <c r="M1861" s="3" t="str">
        <f>IF(E1861, C1861 &amp; "|" &amp; H1861, "")</f>
        <v>principal-process-steward|StewardshipAssignments</v>
      </c>
      <c r="N1861" s="2" t="s">
        <v>9938</v>
      </c>
    </row>
    <row r="1862">
      <c r="A1862" s="2" t="s">
        <v>11798</v>
      </c>
      <c r="B1862" s="3" t="str">
        <f>C1862 &amp; " -&gt; " &amp; D1862</f>
        <v>principal-process-steward -&gt; StewardshipAssignments.CountOfReviewEvents</v>
      </c>
      <c r="C1862" s="2" t="s">
        <v>9706</v>
      </c>
      <c r="D1862" s="2" t="s">
        <v>3839</v>
      </c>
      <c r="E1862" s="2" t="b">
        <v>1</v>
      </c>
      <c r="F1862" s="2" t="b">
        <v>0</v>
      </c>
      <c r="G1862" s="2" t="s">
        <v>9937</v>
      </c>
      <c r="H1862" s="3" t="str">
        <f>_xlfn.IFNA(INDEX(RulebookFields!C2:C999, MATCH(D1862,RulebookFields!A2:A999, 0)), "")</f>
        <v>StewardshipAssignments</v>
      </c>
      <c r="I1862" s="3" t="str">
        <f>_xlfn.IFNA(INDEX(RulebookFields!D2:D999, MATCH(D1862,RulebookFields!A2:A999, 0)), "")</f>
        <v>CountOfReviewEvents</v>
      </c>
      <c r="J1862" s="3" t="b">
        <f>_xlfn.IFNA(INDEX(RulebookFields!I2:I999, MATCH(D1862,RulebookFields!A2:A999, 0)), "")</f>
        <v>1</v>
      </c>
      <c r="K1862" s="3" t="b">
        <f>AND(F1862, J1862)</f>
        <v>0</v>
      </c>
      <c r="L1862" s="3" t="b">
        <f>AND(G1862 &lt;&gt; "plain", G1862 &lt;&gt; "")</f>
        <v>0</v>
      </c>
      <c r="M1862" s="3" t="str">
        <f>IF(E1862, C1862 &amp; "|" &amp; H1862, "")</f>
        <v>principal-process-steward|StewardshipAssignments</v>
      </c>
      <c r="N1862" s="2" t="s">
        <v>9938</v>
      </c>
    </row>
    <row r="1863">
      <c r="A1863" s="2" t="s">
        <v>11799</v>
      </c>
      <c r="B1863" s="3" t="str">
        <f>C1863 &amp; " -&gt; " &amp; D1863</f>
        <v>principal-process-steward -&gt; StewardshipAssignments.HasEverBeenReviewed</v>
      </c>
      <c r="C1863" s="2" t="s">
        <v>9706</v>
      </c>
      <c r="D1863" s="2" t="s">
        <v>3841</v>
      </c>
      <c r="E1863" s="2" t="b">
        <v>1</v>
      </c>
      <c r="F1863" s="2" t="b">
        <v>0</v>
      </c>
      <c r="G1863" s="2" t="s">
        <v>9937</v>
      </c>
      <c r="H1863" s="3" t="str">
        <f>_xlfn.IFNA(INDEX(RulebookFields!C2:C999, MATCH(D1863,RulebookFields!A2:A999, 0)), "")</f>
        <v>StewardshipAssignments</v>
      </c>
      <c r="I1863" s="3" t="str">
        <f>_xlfn.IFNA(INDEX(RulebookFields!D2:D999, MATCH(D1863,RulebookFields!A2:A999, 0)), "")</f>
        <v>HasEverBeenReviewed</v>
      </c>
      <c r="J1863" s="3" t="b">
        <f>_xlfn.IFNA(INDEX(RulebookFields!I2:I999, MATCH(D1863,RulebookFields!A2:A999, 0)), "")</f>
        <v>1</v>
      </c>
      <c r="K1863" s="3" t="b">
        <f>AND(F1863, J1863)</f>
        <v>0</v>
      </c>
      <c r="L1863" s="3" t="b">
        <f>AND(G1863 &lt;&gt; "plain", G1863 &lt;&gt; "")</f>
        <v>0</v>
      </c>
      <c r="M1863" s="3" t="str">
        <f>IF(E1863, C1863 &amp; "|" &amp; H1863, "")</f>
        <v>principal-process-steward|StewardshipAssignments</v>
      </c>
      <c r="N1863" s="2" t="s">
        <v>9938</v>
      </c>
    </row>
    <row r="1864">
      <c r="A1864" s="2" t="s">
        <v>11800</v>
      </c>
      <c r="B1864" s="3" t="str">
        <f>C1864 &amp; " -&gt; " &amp; D1864</f>
        <v>principal-process-steward -&gt; StewardshipAssignments.EvaluationContext</v>
      </c>
      <c r="C1864" s="2" t="s">
        <v>9706</v>
      </c>
      <c r="D1864" s="2" t="s">
        <v>3843</v>
      </c>
      <c r="E1864" s="2" t="b">
        <v>1</v>
      </c>
      <c r="F1864" s="2" t="b">
        <v>0</v>
      </c>
      <c r="G1864" s="2" t="s">
        <v>9937</v>
      </c>
      <c r="H1864" s="3" t="str">
        <f>_xlfn.IFNA(INDEX(RulebookFields!C2:C999, MATCH(D1864,RulebookFields!A2:A999, 0)), "")</f>
        <v>StewardshipAssignments</v>
      </c>
      <c r="I1864" s="3" t="str">
        <f>_xlfn.IFNA(INDEX(RulebookFields!D2:D999, MATCH(D1864,RulebookFields!A2:A999, 0)), "")</f>
        <v>EvaluationContext</v>
      </c>
      <c r="J1864" s="3" t="b">
        <f>_xlfn.IFNA(INDEX(RulebookFields!I2:I999, MATCH(D1864,RulebookFields!A2:A999, 0)), "")</f>
        <v>0</v>
      </c>
      <c r="K1864" s="3" t="b">
        <f>AND(F1864, J1864)</f>
        <v>0</v>
      </c>
      <c r="L1864" s="3" t="b">
        <f>AND(G1864 &lt;&gt; "plain", G1864 &lt;&gt; "")</f>
        <v>0</v>
      </c>
      <c r="M1864" s="3" t="str">
        <f>IF(E1864, C1864 &amp; "|" &amp; H1864, "")</f>
        <v>principal-process-steward|StewardshipAssignments</v>
      </c>
      <c r="N1864" s="2" t="s">
        <v>9938</v>
      </c>
    </row>
    <row r="1865">
      <c r="A1865" s="2" t="s">
        <v>11801</v>
      </c>
      <c r="B1865" s="3" t="str">
        <f>C1865 &amp; " -&gt; " &amp; D1865</f>
        <v>principal-process-steward -&gt; StewardshipAssignments.AsOfInstant</v>
      </c>
      <c r="C1865" s="2" t="s">
        <v>9706</v>
      </c>
      <c r="D1865" s="2" t="s">
        <v>3844</v>
      </c>
      <c r="E1865" s="2" t="b">
        <v>1</v>
      </c>
      <c r="F1865" s="2" t="b">
        <v>0</v>
      </c>
      <c r="G1865" s="2" t="s">
        <v>9937</v>
      </c>
      <c r="H1865" s="3" t="str">
        <f>_xlfn.IFNA(INDEX(RulebookFields!C2:C999, MATCH(D1865,RulebookFields!A2:A999, 0)), "")</f>
        <v>StewardshipAssignments</v>
      </c>
      <c r="I1865" s="3" t="str">
        <f>_xlfn.IFNA(INDEX(RulebookFields!D2:D999, MATCH(D1865,RulebookFields!A2:A999, 0)), "")</f>
        <v>AsOfInstant</v>
      </c>
      <c r="J1865" s="3" t="b">
        <f>_xlfn.IFNA(INDEX(RulebookFields!I2:I999, MATCH(D1865,RulebookFields!A2:A999, 0)), "")</f>
        <v>1</v>
      </c>
      <c r="K1865" s="3" t="b">
        <f>AND(F1865, J1865)</f>
        <v>0</v>
      </c>
      <c r="L1865" s="3" t="b">
        <f>AND(G1865 &lt;&gt; "plain", G1865 &lt;&gt; "")</f>
        <v>0</v>
      </c>
      <c r="M1865" s="3" t="str">
        <f>IF(E1865, C1865 &amp; "|" &amp; H1865, "")</f>
        <v>principal-process-steward|StewardshipAssignments</v>
      </c>
      <c r="N1865" s="2" t="s">
        <v>9938</v>
      </c>
    </row>
    <row r="1866">
      <c r="A1866" s="2" t="s">
        <v>11802</v>
      </c>
      <c r="B1866" s="3" t="str">
        <f>C1866 &amp; " -&gt; " &amp; D1866</f>
        <v>principal-process-steward -&gt; StewardshipAssignments.IsCurrentAssignment</v>
      </c>
      <c r="C1866" s="2" t="s">
        <v>9706</v>
      </c>
      <c r="D1866" s="2" t="s">
        <v>3845</v>
      </c>
      <c r="E1866" s="2" t="b">
        <v>1</v>
      </c>
      <c r="F1866" s="2" t="b">
        <v>0</v>
      </c>
      <c r="G1866" s="2" t="s">
        <v>9937</v>
      </c>
      <c r="H1866" s="3" t="str">
        <f>_xlfn.IFNA(INDEX(RulebookFields!C2:C999, MATCH(D1866,RulebookFields!A2:A999, 0)), "")</f>
        <v>StewardshipAssignments</v>
      </c>
      <c r="I1866" s="3" t="str">
        <f>_xlfn.IFNA(INDEX(RulebookFields!D2:D999, MATCH(D1866,RulebookFields!A2:A999, 0)), "")</f>
        <v>IsCurrentAssignment</v>
      </c>
      <c r="J1866" s="3" t="b">
        <f>_xlfn.IFNA(INDEX(RulebookFields!I2:I999, MATCH(D1866,RulebookFields!A2:A999, 0)), "")</f>
        <v>1</v>
      </c>
      <c r="K1866" s="3" t="b">
        <f>AND(F1866, J1866)</f>
        <v>0</v>
      </c>
      <c r="L1866" s="3" t="b">
        <f>AND(G1866 &lt;&gt; "plain", G1866 &lt;&gt; "")</f>
        <v>0</v>
      </c>
      <c r="M1866" s="3" t="str">
        <f>IF(E1866, C1866 &amp; "|" &amp; H1866, "")</f>
        <v>principal-process-steward|StewardshipAssignments</v>
      </c>
      <c r="N1866" s="2" t="s">
        <v>9938</v>
      </c>
    </row>
    <row r="1867">
      <c r="A1867" s="2" t="s">
        <v>11803</v>
      </c>
      <c r="B1867" s="3" t="str">
        <f>C1867 &amp; " -&gt; " &amp; D1867</f>
        <v>principal-process-steward -&gt; StewardshipAssignments.SemanticTypeIri</v>
      </c>
      <c r="C1867" s="2" t="s">
        <v>9706</v>
      </c>
      <c r="D1867" s="2" t="s">
        <v>3846</v>
      </c>
      <c r="E1867" s="2" t="b">
        <v>1</v>
      </c>
      <c r="F1867" s="2" t="b">
        <v>0</v>
      </c>
      <c r="G1867" s="2" t="s">
        <v>9937</v>
      </c>
      <c r="H1867" s="3" t="str">
        <f>_xlfn.IFNA(INDEX(RulebookFields!C2:C999, MATCH(D1867,RulebookFields!A2:A999, 0)), "")</f>
        <v>StewardshipAssignments</v>
      </c>
      <c r="I1867" s="3" t="str">
        <f>_xlfn.IFNA(INDEX(RulebookFields!D2:D999, MATCH(D1867,RulebookFields!A2:A999, 0)), "")</f>
        <v>SemanticTypeIri</v>
      </c>
      <c r="J1867" s="3" t="b">
        <f>_xlfn.IFNA(INDEX(RulebookFields!I2:I999, MATCH(D1867,RulebookFields!A2:A999, 0)), "")</f>
        <v>0</v>
      </c>
      <c r="K1867" s="3" t="b">
        <f>AND(F1867, J1867)</f>
        <v>0</v>
      </c>
      <c r="L1867" s="3" t="b">
        <f>AND(G1867 &lt;&gt; "plain", G1867 &lt;&gt; "")</f>
        <v>0</v>
      </c>
      <c r="M1867" s="3" t="str">
        <f>IF(E1867, C1867 &amp; "|" &amp; H1867, "")</f>
        <v>principal-process-steward|StewardshipAssignments</v>
      </c>
      <c r="N1867" s="2" t="s">
        <v>9938</v>
      </c>
    </row>
    <row r="1868">
      <c r="A1868" s="2" t="s">
        <v>11804</v>
      </c>
      <c r="B1868" s="3" t="str">
        <f>C1868 &amp; " -&gt; " &amp; D1868</f>
        <v>principal-process-steward -&gt; TemplateApprovals.TemplateApprovalId</v>
      </c>
      <c r="C1868" s="2" t="s">
        <v>9706</v>
      </c>
      <c r="D1868" s="2" t="s">
        <v>4631</v>
      </c>
      <c r="E1868" s="2" t="b">
        <v>1</v>
      </c>
      <c r="F1868" s="2" t="b">
        <v>0</v>
      </c>
      <c r="G1868" s="2" t="s">
        <v>9937</v>
      </c>
      <c r="H1868" s="3" t="str">
        <f>_xlfn.IFNA(INDEX(RulebookFields!C2:C999, MATCH(D1868,RulebookFields!A2:A999, 0)), "")</f>
      </c>
      <c r="I1868" s="3" t="str">
        <f>_xlfn.IFNA(INDEX(RulebookFields!D2:D999, MATCH(D1868,RulebookFields!A2:A999, 0)), "")</f>
      </c>
      <c r="J1868" s="3" t="str">
        <f>_xlfn.IFNA(INDEX(RulebookFields!I2:I999, MATCH(D1868,RulebookFields!A2:A999, 0)), "")</f>
      </c>
      <c r="K1868" s="3" t="b">
        <f>AND(F1868, J1868)</f>
        <v>0</v>
      </c>
      <c r="L1868" s="3" t="b">
        <f>AND(G1868 &lt;&gt; "plain", G1868 &lt;&gt; "")</f>
        <v>0</v>
      </c>
      <c r="M1868" s="3" t="str">
        <f>IF(E1868, C1868 &amp; "|" &amp; H1868, "")</f>
        <v>principal-process-steward|</v>
      </c>
      <c r="N1868" s="2" t="s">
        <v>9938</v>
      </c>
    </row>
    <row r="1869">
      <c r="A1869" s="2" t="s">
        <v>11805</v>
      </c>
      <c r="B1869" s="3" t="str">
        <f>C1869 &amp; " -&gt; " &amp; D1869</f>
        <v>principal-process-steward -&gt; TemplateApprovals.Name</v>
      </c>
      <c r="C1869" s="2" t="s">
        <v>9706</v>
      </c>
      <c r="D1869" s="2" t="s">
        <v>4634</v>
      </c>
      <c r="E1869" s="2" t="b">
        <v>1</v>
      </c>
      <c r="F1869" s="2" t="b">
        <v>0</v>
      </c>
      <c r="G1869" s="2" t="s">
        <v>9937</v>
      </c>
      <c r="H1869" s="3" t="str">
        <f>_xlfn.IFNA(INDEX(RulebookFields!C2:C999, MATCH(D1869,RulebookFields!A2:A999, 0)), "")</f>
      </c>
      <c r="I1869" s="3" t="str">
        <f>_xlfn.IFNA(INDEX(RulebookFields!D2:D999, MATCH(D1869,RulebookFields!A2:A999, 0)), "")</f>
      </c>
      <c r="J1869" s="3" t="str">
        <f>_xlfn.IFNA(INDEX(RulebookFields!I2:I999, MATCH(D1869,RulebookFields!A2:A999, 0)), "")</f>
      </c>
      <c r="K1869" s="3" t="b">
        <f>AND(F1869, J1869)</f>
        <v>0</v>
      </c>
      <c r="L1869" s="3" t="b">
        <f>AND(G1869 &lt;&gt; "plain", G1869 &lt;&gt; "")</f>
        <v>0</v>
      </c>
      <c r="M1869" s="3" t="str">
        <f>IF(E1869, C1869 &amp; "|" &amp; H1869, "")</f>
        <v>principal-process-steward|</v>
      </c>
      <c r="N1869" s="2" t="s">
        <v>9938</v>
      </c>
    </row>
    <row r="1870">
      <c r="A1870" s="2" t="s">
        <v>11806</v>
      </c>
      <c r="B1870" s="3" t="str">
        <f>C1870 &amp; " -&gt; " &amp; D1870</f>
        <v>principal-process-steward -&gt; TemplateApprovals.MessageTemplate</v>
      </c>
      <c r="C1870" s="2" t="s">
        <v>9706</v>
      </c>
      <c r="D1870" s="2" t="s">
        <v>4636</v>
      </c>
      <c r="E1870" s="2" t="b">
        <v>1</v>
      </c>
      <c r="F1870" s="2" t="b">
        <v>0</v>
      </c>
      <c r="G1870" s="2" t="s">
        <v>9937</v>
      </c>
      <c r="H1870" s="3" t="str">
        <f>_xlfn.IFNA(INDEX(RulebookFields!C2:C999, MATCH(D1870,RulebookFields!A2:A999, 0)), "")</f>
      </c>
      <c r="I1870" s="3" t="str">
        <f>_xlfn.IFNA(INDEX(RulebookFields!D2:D999, MATCH(D1870,RulebookFields!A2:A999, 0)), "")</f>
      </c>
      <c r="J1870" s="3" t="str">
        <f>_xlfn.IFNA(INDEX(RulebookFields!I2:I999, MATCH(D1870,RulebookFields!A2:A999, 0)), "")</f>
      </c>
      <c r="K1870" s="3" t="b">
        <f>AND(F1870, J1870)</f>
        <v>0</v>
      </c>
      <c r="L1870" s="3" t="b">
        <f>AND(G1870 &lt;&gt; "plain", G1870 &lt;&gt; "")</f>
        <v>0</v>
      </c>
      <c r="M1870" s="3" t="str">
        <f>IF(E1870, C1870 &amp; "|" &amp; H1870, "")</f>
        <v>principal-process-steward|</v>
      </c>
      <c r="N1870" s="2" t="s">
        <v>9938</v>
      </c>
    </row>
    <row r="1871">
      <c r="A1871" s="2" t="s">
        <v>11807</v>
      </c>
      <c r="B1871" s="3" t="str">
        <f>C1871 &amp; " -&gt; " &amp; D1871</f>
        <v>principal-process-steward -&gt; TemplateApprovals.DecidedByAgent</v>
      </c>
      <c r="C1871" s="2" t="s">
        <v>9706</v>
      </c>
      <c r="D1871" s="2" t="s">
        <v>4637</v>
      </c>
      <c r="E1871" s="2" t="b">
        <v>1</v>
      </c>
      <c r="F1871" s="2" t="b">
        <v>0</v>
      </c>
      <c r="G1871" s="2" t="s">
        <v>9937</v>
      </c>
      <c r="H1871" s="3" t="str">
        <f>_xlfn.IFNA(INDEX(RulebookFields!C2:C999, MATCH(D1871,RulebookFields!A2:A999, 0)), "")</f>
      </c>
      <c r="I1871" s="3" t="str">
        <f>_xlfn.IFNA(INDEX(RulebookFields!D2:D999, MATCH(D1871,RulebookFields!A2:A999, 0)), "")</f>
      </c>
      <c r="J1871" s="3" t="str">
        <f>_xlfn.IFNA(INDEX(RulebookFields!I2:I999, MATCH(D1871,RulebookFields!A2:A999, 0)), "")</f>
      </c>
      <c r="K1871" s="3" t="b">
        <f>AND(F1871, J1871)</f>
        <v>0</v>
      </c>
      <c r="L1871" s="3" t="b">
        <f>AND(G1871 &lt;&gt; "plain", G1871 &lt;&gt; "")</f>
        <v>0</v>
      </c>
      <c r="M1871" s="3" t="str">
        <f>IF(E1871, C1871 &amp; "|" &amp; H1871, "")</f>
        <v>principal-process-steward|</v>
      </c>
      <c r="N1871" s="2" t="s">
        <v>9938</v>
      </c>
    </row>
    <row r="1872">
      <c r="A1872" s="2" t="s">
        <v>11808</v>
      </c>
      <c r="B1872" s="3" t="str">
        <f>C1872 &amp; " -&gt; " &amp; D1872</f>
        <v>principal-process-steward -&gt; TemplateApprovals.DecidedInRole</v>
      </c>
      <c r="C1872" s="2" t="s">
        <v>9706</v>
      </c>
      <c r="D1872" s="2" t="s">
        <v>4639</v>
      </c>
      <c r="E1872" s="2" t="b">
        <v>1</v>
      </c>
      <c r="F1872" s="2" t="b">
        <v>0</v>
      </c>
      <c r="G1872" s="2" t="s">
        <v>9937</v>
      </c>
      <c r="H1872" s="3" t="str">
        <f>_xlfn.IFNA(INDEX(RulebookFields!C2:C999, MATCH(D1872,RulebookFields!A2:A999, 0)), "")</f>
      </c>
      <c r="I1872" s="3" t="str">
        <f>_xlfn.IFNA(INDEX(RulebookFields!D2:D999, MATCH(D1872,RulebookFields!A2:A999, 0)), "")</f>
      </c>
      <c r="J1872" s="3" t="str">
        <f>_xlfn.IFNA(INDEX(RulebookFields!I2:I999, MATCH(D1872,RulebookFields!A2:A999, 0)), "")</f>
      </c>
      <c r="K1872" s="3" t="b">
        <f>AND(F1872, J1872)</f>
        <v>0</v>
      </c>
      <c r="L1872" s="3" t="b">
        <f>AND(G1872 &lt;&gt; "plain", G1872 &lt;&gt; "")</f>
        <v>0</v>
      </c>
      <c r="M1872" s="3" t="str">
        <f>IF(E1872, C1872 &amp; "|" &amp; H1872, "")</f>
        <v>principal-process-steward|</v>
      </c>
      <c r="N1872" s="2" t="s">
        <v>9938</v>
      </c>
    </row>
    <row r="1873">
      <c r="A1873" s="2" t="s">
        <v>11809</v>
      </c>
      <c r="B1873" s="3" t="str">
        <f>C1873 &amp; " -&gt; " &amp; D1873</f>
        <v>principal-process-steward -&gt; TemplateApprovals.Decision</v>
      </c>
      <c r="C1873" s="2" t="s">
        <v>9706</v>
      </c>
      <c r="D1873" s="2" t="s">
        <v>4641</v>
      </c>
      <c r="E1873" s="2" t="b">
        <v>1</v>
      </c>
      <c r="F1873" s="2" t="b">
        <v>0</v>
      </c>
      <c r="G1873" s="2" t="s">
        <v>9937</v>
      </c>
      <c r="H1873" s="3" t="str">
        <f>_xlfn.IFNA(INDEX(RulebookFields!C2:C999, MATCH(D1873,RulebookFields!A2:A999, 0)), "")</f>
      </c>
      <c r="I1873" s="3" t="str">
        <f>_xlfn.IFNA(INDEX(RulebookFields!D2:D999, MATCH(D1873,RulebookFields!A2:A999, 0)), "")</f>
      </c>
      <c r="J1873" s="3" t="str">
        <f>_xlfn.IFNA(INDEX(RulebookFields!I2:I999, MATCH(D1873,RulebookFields!A2:A999, 0)), "")</f>
      </c>
      <c r="K1873" s="3" t="b">
        <f>AND(F1873, J1873)</f>
        <v>0</v>
      </c>
      <c r="L1873" s="3" t="b">
        <f>AND(G1873 &lt;&gt; "plain", G1873 &lt;&gt; "")</f>
        <v>0</v>
      </c>
      <c r="M1873" s="3" t="str">
        <f>IF(E1873, C1873 &amp; "|" &amp; H1873, "")</f>
        <v>principal-process-steward|</v>
      </c>
      <c r="N1873" s="2" t="s">
        <v>9938</v>
      </c>
    </row>
    <row r="1874">
      <c r="A1874" s="2" t="s">
        <v>11810</v>
      </c>
      <c r="B1874" s="3" t="str">
        <f>C1874 &amp; " -&gt; " &amp; D1874</f>
        <v>principal-process-steward -&gt; TemplateApprovals.DecidedAt</v>
      </c>
      <c r="C1874" s="2" t="s">
        <v>9706</v>
      </c>
      <c r="D1874" s="2" t="s">
        <v>4643</v>
      </c>
      <c r="E1874" s="2" t="b">
        <v>1</v>
      </c>
      <c r="F1874" s="2" t="b">
        <v>0</v>
      </c>
      <c r="G1874" s="2" t="s">
        <v>9937</v>
      </c>
      <c r="H1874" s="3" t="str">
        <f>_xlfn.IFNA(INDEX(RulebookFields!C2:C999, MATCH(D1874,RulebookFields!A2:A999, 0)), "")</f>
      </c>
      <c r="I1874" s="3" t="str">
        <f>_xlfn.IFNA(INDEX(RulebookFields!D2:D999, MATCH(D1874,RulebookFields!A2:A999, 0)), "")</f>
      </c>
      <c r="J1874" s="3" t="str">
        <f>_xlfn.IFNA(INDEX(RulebookFields!I2:I999, MATCH(D1874,RulebookFields!A2:A999, 0)), "")</f>
      </c>
      <c r="K1874" s="3" t="b">
        <f>AND(F1874, J1874)</f>
        <v>0</v>
      </c>
      <c r="L1874" s="3" t="b">
        <f>AND(G1874 &lt;&gt; "plain", G1874 &lt;&gt; "")</f>
        <v>0</v>
      </c>
      <c r="M1874" s="3" t="str">
        <f>IF(E1874, C1874 &amp; "|" &amp; H1874, "")</f>
        <v>principal-process-steward|</v>
      </c>
      <c r="N1874" s="2" t="s">
        <v>9938</v>
      </c>
    </row>
    <row r="1875">
      <c r="A1875" s="2" t="s">
        <v>11811</v>
      </c>
      <c r="B1875" s="3" t="str">
        <f>C1875 &amp; " -&gt; " &amp; D1875</f>
        <v>principal-process-steward -&gt; TemplateApprovals.ApprovedBodyHash</v>
      </c>
      <c r="C1875" s="2" t="s">
        <v>9706</v>
      </c>
      <c r="D1875" s="2" t="s">
        <v>4644</v>
      </c>
      <c r="E1875" s="2" t="b">
        <v>1</v>
      </c>
      <c r="F1875" s="2" t="b">
        <v>0</v>
      </c>
      <c r="G1875" s="2" t="s">
        <v>9937</v>
      </c>
      <c r="H1875" s="3" t="str">
        <f>_xlfn.IFNA(INDEX(RulebookFields!C2:C999, MATCH(D1875,RulebookFields!A2:A999, 0)), "")</f>
      </c>
      <c r="I1875" s="3" t="str">
        <f>_xlfn.IFNA(INDEX(RulebookFields!D2:D999, MATCH(D1875,RulebookFields!A2:A999, 0)), "")</f>
      </c>
      <c r="J1875" s="3" t="str">
        <f>_xlfn.IFNA(INDEX(RulebookFields!I2:I999, MATCH(D1875,RulebookFields!A2:A999, 0)), "")</f>
      </c>
      <c r="K1875" s="3" t="b">
        <f>AND(F1875, J1875)</f>
        <v>0</v>
      </c>
      <c r="L1875" s="3" t="b">
        <f>AND(G1875 &lt;&gt; "plain", G1875 &lt;&gt; "")</f>
        <v>0</v>
      </c>
      <c r="M1875" s="3" t="str">
        <f>IF(E1875, C1875 &amp; "|" &amp; H1875, "")</f>
        <v>principal-process-steward|</v>
      </c>
      <c r="N1875" s="2" t="s">
        <v>9938</v>
      </c>
    </row>
    <row r="1876">
      <c r="A1876" s="2" t="s">
        <v>11812</v>
      </c>
      <c r="B1876" s="3" t="str">
        <f>C1876 &amp; " -&gt; " &amp; D1876</f>
        <v>principal-process-steward -&gt; TemplateApprovals.Notes</v>
      </c>
      <c r="C1876" s="2" t="s">
        <v>9706</v>
      </c>
      <c r="D1876" s="2" t="s">
        <v>4646</v>
      </c>
      <c r="E1876" s="2" t="b">
        <v>1</v>
      </c>
      <c r="F1876" s="2" t="b">
        <v>0</v>
      </c>
      <c r="G1876" s="2" t="s">
        <v>9937</v>
      </c>
      <c r="H1876" s="3" t="str">
        <f>_xlfn.IFNA(INDEX(RulebookFields!C2:C999, MATCH(D1876,RulebookFields!A2:A999, 0)), "")</f>
      </c>
      <c r="I1876" s="3" t="str">
        <f>_xlfn.IFNA(INDEX(RulebookFields!D2:D999, MATCH(D1876,RulebookFields!A2:A999, 0)), "")</f>
      </c>
      <c r="J1876" s="3" t="str">
        <f>_xlfn.IFNA(INDEX(RulebookFields!I2:I999, MATCH(D1876,RulebookFields!A2:A999, 0)), "")</f>
      </c>
      <c r="K1876" s="3" t="b">
        <f>AND(F1876, J1876)</f>
        <v>0</v>
      </c>
      <c r="L1876" s="3" t="b">
        <f>AND(G1876 &lt;&gt; "plain", G1876 &lt;&gt; "")</f>
        <v>0</v>
      </c>
      <c r="M1876" s="3" t="str">
        <f>IF(E1876, C1876 &amp; "|" &amp; H1876, "")</f>
        <v>principal-process-steward|</v>
      </c>
      <c r="N1876" s="2" t="s">
        <v>9938</v>
      </c>
    </row>
    <row r="1877">
      <c r="A1877" s="2" t="s">
        <v>11813</v>
      </c>
      <c r="B1877" s="3" t="str">
        <f>C1877 &amp; " -&gt; " &amp; D1877</f>
        <v>principal-process-steward -&gt; TemplateApprovals.IsApprovalDecision</v>
      </c>
      <c r="C1877" s="2" t="s">
        <v>9706</v>
      </c>
      <c r="D1877" s="2" t="s">
        <v>4647</v>
      </c>
      <c r="E1877" s="2" t="b">
        <v>1</v>
      </c>
      <c r="F1877" s="2" t="b">
        <v>0</v>
      </c>
      <c r="G1877" s="2" t="s">
        <v>9937</v>
      </c>
      <c r="H1877" s="3" t="str">
        <f>_xlfn.IFNA(INDEX(RulebookFields!C2:C999, MATCH(D1877,RulebookFields!A2:A999, 0)), "")</f>
      </c>
      <c r="I1877" s="3" t="str">
        <f>_xlfn.IFNA(INDEX(RulebookFields!D2:D999, MATCH(D1877,RulebookFields!A2:A999, 0)), "")</f>
      </c>
      <c r="J1877" s="3" t="str">
        <f>_xlfn.IFNA(INDEX(RulebookFields!I2:I999, MATCH(D1877,RulebookFields!A2:A999, 0)), "")</f>
      </c>
      <c r="K1877" s="3" t="b">
        <f>AND(F1877, J1877)</f>
        <v>0</v>
      </c>
      <c r="L1877" s="3" t="b">
        <f>AND(G1877 &lt;&gt; "plain", G1877 &lt;&gt; "")</f>
        <v>0</v>
      </c>
      <c r="M1877" s="3" t="str">
        <f>IF(E1877, C1877 &amp; "|" &amp; H1877, "")</f>
        <v>principal-process-steward|</v>
      </c>
      <c r="N1877" s="2" t="s">
        <v>9938</v>
      </c>
    </row>
    <row r="1878">
      <c r="A1878" s="2" t="s">
        <v>11814</v>
      </c>
      <c r="B1878" s="3" t="str">
        <f>C1878 &amp; " -&gt; " &amp; D1878</f>
        <v>principal-process-steward -&gt; TemplateApprovals.TemplatePolicy</v>
      </c>
      <c r="C1878" s="2" t="s">
        <v>9706</v>
      </c>
      <c r="D1878" s="2" t="s">
        <v>4650</v>
      </c>
      <c r="E1878" s="2" t="b">
        <v>1</v>
      </c>
      <c r="F1878" s="2" t="b">
        <v>0</v>
      </c>
      <c r="G1878" s="2" t="s">
        <v>9937</v>
      </c>
      <c r="H1878" s="3" t="str">
        <f>_xlfn.IFNA(INDEX(RulebookFields!C2:C999, MATCH(D1878,RulebookFields!A2:A999, 0)), "")</f>
      </c>
      <c r="I1878" s="3" t="str">
        <f>_xlfn.IFNA(INDEX(RulebookFields!D2:D999, MATCH(D1878,RulebookFields!A2:A999, 0)), "")</f>
      </c>
      <c r="J1878" s="3" t="str">
        <f>_xlfn.IFNA(INDEX(RulebookFields!I2:I999, MATCH(D1878,RulebookFields!A2:A999, 0)), "")</f>
      </c>
      <c r="K1878" s="3" t="b">
        <f>AND(F1878, J1878)</f>
        <v>0</v>
      </c>
      <c r="L1878" s="3" t="b">
        <f>AND(G1878 &lt;&gt; "plain", G1878 &lt;&gt; "")</f>
        <v>0</v>
      </c>
      <c r="M1878" s="3" t="str">
        <f>IF(E1878, C1878 &amp; "|" &amp; H1878, "")</f>
        <v>principal-process-steward|</v>
      </c>
      <c r="N1878" s="2" t="s">
        <v>9938</v>
      </c>
    </row>
    <row r="1879">
      <c r="A1879" s="2" t="s">
        <v>11815</v>
      </c>
      <c r="B1879" s="3" t="str">
        <f>C1879 &amp; " -&gt; " &amp; D1879</f>
        <v>principal-process-steward -&gt; TemplateApprovals.RequiredApprovalRole</v>
      </c>
      <c r="C1879" s="2" t="s">
        <v>9706</v>
      </c>
      <c r="D1879" s="2" t="s">
        <v>4652</v>
      </c>
      <c r="E1879" s="2" t="b">
        <v>1</v>
      </c>
      <c r="F1879" s="2" t="b">
        <v>0</v>
      </c>
      <c r="G1879" s="2" t="s">
        <v>9937</v>
      </c>
      <c r="H1879" s="3" t="str">
        <f>_xlfn.IFNA(INDEX(RulebookFields!C2:C999, MATCH(D1879,RulebookFields!A2:A999, 0)), "")</f>
      </c>
      <c r="I1879" s="3" t="str">
        <f>_xlfn.IFNA(INDEX(RulebookFields!D2:D999, MATCH(D1879,RulebookFields!A2:A999, 0)), "")</f>
      </c>
      <c r="J1879" s="3" t="str">
        <f>_xlfn.IFNA(INDEX(RulebookFields!I2:I999, MATCH(D1879,RulebookFields!A2:A999, 0)), "")</f>
      </c>
      <c r="K1879" s="3" t="b">
        <f>AND(F1879, J1879)</f>
        <v>0</v>
      </c>
      <c r="L1879" s="3" t="b">
        <f>AND(G1879 &lt;&gt; "plain", G1879 &lt;&gt; "")</f>
        <v>0</v>
      </c>
      <c r="M1879" s="3" t="str">
        <f>IF(E1879, C1879 &amp; "|" &amp; H1879, "")</f>
        <v>principal-process-steward|</v>
      </c>
      <c r="N1879" s="2" t="s">
        <v>9938</v>
      </c>
    </row>
    <row r="1880">
      <c r="A1880" s="2" t="s">
        <v>11816</v>
      </c>
      <c r="B1880" s="3" t="str">
        <f>C1880 &amp; " -&gt; " &amp; D1880</f>
        <v>principal-process-steward -&gt; TemplateApprovals.IsDecidedByRequiredRole</v>
      </c>
      <c r="C1880" s="2" t="s">
        <v>9706</v>
      </c>
      <c r="D1880" s="2" t="s">
        <v>4654</v>
      </c>
      <c r="E1880" s="2" t="b">
        <v>1</v>
      </c>
      <c r="F1880" s="2" t="b">
        <v>0</v>
      </c>
      <c r="G1880" s="2" t="s">
        <v>9937</v>
      </c>
      <c r="H1880" s="3" t="str">
        <f>_xlfn.IFNA(INDEX(RulebookFields!C2:C999, MATCH(D1880,RulebookFields!A2:A999, 0)), "")</f>
      </c>
      <c r="I1880" s="3" t="str">
        <f>_xlfn.IFNA(INDEX(RulebookFields!D2:D999, MATCH(D1880,RulebookFields!A2:A999, 0)), "")</f>
      </c>
      <c r="J1880" s="3" t="str">
        <f>_xlfn.IFNA(INDEX(RulebookFields!I2:I999, MATCH(D1880,RulebookFields!A2:A999, 0)), "")</f>
      </c>
      <c r="K1880" s="3" t="b">
        <f>AND(F1880, J1880)</f>
        <v>0</v>
      </c>
      <c r="L1880" s="3" t="b">
        <f>AND(G1880 &lt;&gt; "plain", G1880 &lt;&gt; "")</f>
        <v>0</v>
      </c>
      <c r="M1880" s="3" t="str">
        <f>IF(E1880, C1880 &amp; "|" &amp; H1880, "")</f>
        <v>principal-process-steward|</v>
      </c>
      <c r="N1880" s="2" t="s">
        <v>9938</v>
      </c>
    </row>
    <row r="1881">
      <c r="A1881" s="2" t="s">
        <v>11817</v>
      </c>
      <c r="B1881" s="3" t="str">
        <f>C1881 &amp; " -&gt; " &amp; D1881</f>
        <v>principal-process-steward -&gt; TemplateApprovals.ValidApprovalTemplateKey</v>
      </c>
      <c r="C1881" s="2" t="s">
        <v>9706</v>
      </c>
      <c r="D1881" s="2" t="s">
        <v>4657</v>
      </c>
      <c r="E1881" s="2" t="b">
        <v>1</v>
      </c>
      <c r="F1881" s="2" t="b">
        <v>0</v>
      </c>
      <c r="G1881" s="2" t="s">
        <v>9937</v>
      </c>
      <c r="H1881" s="3" t="str">
        <f>_xlfn.IFNA(INDEX(RulebookFields!C2:C999, MATCH(D1881,RulebookFields!A2:A999, 0)), "")</f>
      </c>
      <c r="I1881" s="3" t="str">
        <f>_xlfn.IFNA(INDEX(RulebookFields!D2:D999, MATCH(D1881,RulebookFields!A2:A999, 0)), "")</f>
      </c>
      <c r="J1881" s="3" t="str">
        <f>_xlfn.IFNA(INDEX(RulebookFields!I2:I999, MATCH(D1881,RulebookFields!A2:A999, 0)), "")</f>
      </c>
      <c r="K1881" s="3" t="b">
        <f>AND(F1881, J1881)</f>
        <v>0</v>
      </c>
      <c r="L1881" s="3" t="b">
        <f>AND(G1881 &lt;&gt; "plain", G1881 &lt;&gt; "")</f>
        <v>0</v>
      </c>
      <c r="M1881" s="3" t="str">
        <f>IF(E1881, C1881 &amp; "|" &amp; H1881, "")</f>
        <v>principal-process-steward|</v>
      </c>
      <c r="N1881" s="2" t="s">
        <v>9938</v>
      </c>
    </row>
    <row r="1882">
      <c r="A1882" s="2" t="s">
        <v>11818</v>
      </c>
      <c r="B1882" s="3" t="str">
        <f>C1882 &amp; " -&gt; " &amp; D1882</f>
        <v>principal-process-steward -&gt; TemplateApprovals.SemanticTypeIri</v>
      </c>
      <c r="C1882" s="2" t="s">
        <v>9706</v>
      </c>
      <c r="D1882" s="2" t="s">
        <v>4660</v>
      </c>
      <c r="E1882" s="2" t="b">
        <v>1</v>
      </c>
      <c r="F1882" s="2" t="b">
        <v>0</v>
      </c>
      <c r="G1882" s="2" t="s">
        <v>9937</v>
      </c>
      <c r="H1882" s="3" t="str">
        <f>_xlfn.IFNA(INDEX(RulebookFields!C2:C999, MATCH(D1882,RulebookFields!A2:A999, 0)), "")</f>
      </c>
      <c r="I1882" s="3" t="str">
        <f>_xlfn.IFNA(INDEX(RulebookFields!D2:D999, MATCH(D1882,RulebookFields!A2:A999, 0)), "")</f>
      </c>
      <c r="J1882" s="3" t="str">
        <f>_xlfn.IFNA(INDEX(RulebookFields!I2:I999, MATCH(D1882,RulebookFields!A2:A999, 0)), "")</f>
      </c>
      <c r="K1882" s="3" t="b">
        <f>AND(F1882, J1882)</f>
        <v>0</v>
      </c>
      <c r="L1882" s="3" t="b">
        <f>AND(G1882 &lt;&gt; "plain", G1882 &lt;&gt; "")</f>
        <v>0</v>
      </c>
      <c r="M1882" s="3" t="str">
        <f>IF(E1882, C1882 &amp; "|" &amp; H1882, "")</f>
        <v>principal-process-steward|</v>
      </c>
      <c r="N1882" s="2" t="s">
        <v>9938</v>
      </c>
    </row>
    <row r="1883">
      <c r="A1883" s="2" t="s">
        <v>11819</v>
      </c>
      <c r="B1883" s="3" t="str">
        <f>C1883 &amp; " -&gt; " &amp; D1883</f>
        <v>principal-process-steward -&gt; TestCases.TestCaseId</v>
      </c>
      <c r="C1883" s="2" t="s">
        <v>9706</v>
      </c>
      <c r="D1883" s="2" t="s">
        <v>4142</v>
      </c>
      <c r="E1883" s="2" t="b">
        <v>1</v>
      </c>
      <c r="F1883" s="2" t="b">
        <v>0</v>
      </c>
      <c r="G1883" s="2" t="s">
        <v>9937</v>
      </c>
      <c r="H1883" s="3" t="str">
        <f>_xlfn.IFNA(INDEX(RulebookFields!C2:C999, MATCH(D1883,RulebookFields!A2:A999, 0)), "")</f>
      </c>
      <c r="I1883" s="3" t="str">
        <f>_xlfn.IFNA(INDEX(RulebookFields!D2:D999, MATCH(D1883,RulebookFields!A2:A999, 0)), "")</f>
      </c>
      <c r="J1883" s="3" t="str">
        <f>_xlfn.IFNA(INDEX(RulebookFields!I2:I999, MATCH(D1883,RulebookFields!A2:A999, 0)), "")</f>
      </c>
      <c r="K1883" s="3" t="b">
        <f>AND(F1883, J1883)</f>
        <v>0</v>
      </c>
      <c r="L1883" s="3" t="b">
        <f>AND(G1883 &lt;&gt; "plain", G1883 &lt;&gt; "")</f>
        <v>0</v>
      </c>
      <c r="M1883" s="3" t="str">
        <f>IF(E1883, C1883 &amp; "|" &amp; H1883, "")</f>
        <v>principal-process-steward|</v>
      </c>
      <c r="N1883" s="2" t="s">
        <v>9938</v>
      </c>
    </row>
    <row r="1884">
      <c r="A1884" s="2" t="s">
        <v>11820</v>
      </c>
      <c r="B1884" s="3" t="str">
        <f>C1884 &amp; " -&gt; " &amp; D1884</f>
        <v>principal-process-steward -&gt; TestCases.Name</v>
      </c>
      <c r="C1884" s="2" t="s">
        <v>9706</v>
      </c>
      <c r="D1884" s="2" t="s">
        <v>4145</v>
      </c>
      <c r="E1884" s="2" t="b">
        <v>1</v>
      </c>
      <c r="F1884" s="2" t="b">
        <v>0</v>
      </c>
      <c r="G1884" s="2" t="s">
        <v>9937</v>
      </c>
      <c r="H1884" s="3" t="str">
        <f>_xlfn.IFNA(INDEX(RulebookFields!C2:C999, MATCH(D1884,RulebookFields!A2:A999, 0)), "")</f>
      </c>
      <c r="I1884" s="3" t="str">
        <f>_xlfn.IFNA(INDEX(RulebookFields!D2:D999, MATCH(D1884,RulebookFields!A2:A999, 0)), "")</f>
      </c>
      <c r="J1884" s="3" t="str">
        <f>_xlfn.IFNA(INDEX(RulebookFields!I2:I999, MATCH(D1884,RulebookFields!A2:A999, 0)), "")</f>
      </c>
      <c r="K1884" s="3" t="b">
        <f>AND(F1884, J1884)</f>
        <v>0</v>
      </c>
      <c r="L1884" s="3" t="b">
        <f>AND(G1884 &lt;&gt; "plain", G1884 &lt;&gt; "")</f>
        <v>0</v>
      </c>
      <c r="M1884" s="3" t="str">
        <f>IF(E1884, C1884 &amp; "|" &amp; H1884, "")</f>
        <v>principal-process-steward|</v>
      </c>
      <c r="N1884" s="2" t="s">
        <v>9938</v>
      </c>
    </row>
    <row r="1885">
      <c r="A1885" s="2" t="s">
        <v>11821</v>
      </c>
      <c r="B1885" s="3" t="str">
        <f>C1885 &amp; " -&gt; " &amp; D1885</f>
        <v>principal-process-steward -&gt; TestCases.TestKind</v>
      </c>
      <c r="C1885" s="2" t="s">
        <v>9706</v>
      </c>
      <c r="D1885" s="2" t="s">
        <v>4147</v>
      </c>
      <c r="E1885" s="2" t="b">
        <v>1</v>
      </c>
      <c r="F1885" s="2" t="b">
        <v>0</v>
      </c>
      <c r="G1885" s="2" t="s">
        <v>9937</v>
      </c>
      <c r="H1885" s="3" t="str">
        <f>_xlfn.IFNA(INDEX(RulebookFields!C2:C999, MATCH(D1885,RulebookFields!A2:A999, 0)), "")</f>
      </c>
      <c r="I1885" s="3" t="str">
        <f>_xlfn.IFNA(INDEX(RulebookFields!D2:D999, MATCH(D1885,RulebookFields!A2:A999, 0)), "")</f>
      </c>
      <c r="J1885" s="3" t="str">
        <f>_xlfn.IFNA(INDEX(RulebookFields!I2:I999, MATCH(D1885,RulebookFields!A2:A999, 0)), "")</f>
      </c>
      <c r="K1885" s="3" t="b">
        <f>AND(F1885, J1885)</f>
        <v>0</v>
      </c>
      <c r="L1885" s="3" t="b">
        <f>AND(G1885 &lt;&gt; "plain", G1885 &lt;&gt; "")</f>
        <v>0</v>
      </c>
      <c r="M1885" s="3" t="str">
        <f>IF(E1885, C1885 &amp; "|" &amp; H1885, "")</f>
        <v>principal-process-steward|</v>
      </c>
      <c r="N1885" s="2" t="s">
        <v>9938</v>
      </c>
    </row>
    <row r="1886">
      <c r="A1886" s="2" t="s">
        <v>11822</v>
      </c>
      <c r="B1886" s="3" t="str">
        <f>C1886 &amp; " -&gt; " &amp; D1886</f>
        <v>principal-process-steward -&gt; TestCases.Subject</v>
      </c>
      <c r="C1886" s="2" t="s">
        <v>9706</v>
      </c>
      <c r="D1886" s="2" t="s">
        <v>4149</v>
      </c>
      <c r="E1886" s="2" t="b">
        <v>1</v>
      </c>
      <c r="F1886" s="2" t="b">
        <v>0</v>
      </c>
      <c r="G1886" s="2" t="s">
        <v>9937</v>
      </c>
      <c r="H1886" s="3" t="str">
        <f>_xlfn.IFNA(INDEX(RulebookFields!C2:C999, MATCH(D1886,RulebookFields!A2:A999, 0)), "")</f>
      </c>
      <c r="I1886" s="3" t="str">
        <f>_xlfn.IFNA(INDEX(RulebookFields!D2:D999, MATCH(D1886,RulebookFields!A2:A999, 0)), "")</f>
      </c>
      <c r="J1886" s="3" t="str">
        <f>_xlfn.IFNA(INDEX(RulebookFields!I2:I999, MATCH(D1886,RulebookFields!A2:A999, 0)), "")</f>
      </c>
      <c r="K1886" s="3" t="b">
        <f>AND(F1886, J1886)</f>
        <v>0</v>
      </c>
      <c r="L1886" s="3" t="b">
        <f>AND(G1886 &lt;&gt; "plain", G1886 &lt;&gt; "")</f>
        <v>0</v>
      </c>
      <c r="M1886" s="3" t="str">
        <f>IF(E1886, C1886 &amp; "|" &amp; H1886, "")</f>
        <v>principal-process-steward|</v>
      </c>
      <c r="N1886" s="2" t="s">
        <v>9938</v>
      </c>
    </row>
    <row r="1887">
      <c r="A1887" s="2" t="s">
        <v>11823</v>
      </c>
      <c r="B1887" s="3" t="str">
        <f>C1887 &amp; " -&gt; " &amp; D1887</f>
        <v>principal-process-steward -&gt; TestCases.TargetTable</v>
      </c>
      <c r="C1887" s="2" t="s">
        <v>9706</v>
      </c>
      <c r="D1887" s="2" t="s">
        <v>4151</v>
      </c>
      <c r="E1887" s="2" t="b">
        <v>1</v>
      </c>
      <c r="F1887" s="2" t="b">
        <v>0</v>
      </c>
      <c r="G1887" s="2" t="s">
        <v>9937</v>
      </c>
      <c r="H1887" s="3" t="str">
        <f>_xlfn.IFNA(INDEX(RulebookFields!C2:C999, MATCH(D1887,RulebookFields!A2:A999, 0)), "")</f>
      </c>
      <c r="I1887" s="3" t="str">
        <f>_xlfn.IFNA(INDEX(RulebookFields!D2:D999, MATCH(D1887,RulebookFields!A2:A999, 0)), "")</f>
      </c>
      <c r="J1887" s="3" t="str">
        <f>_xlfn.IFNA(INDEX(RulebookFields!I2:I999, MATCH(D1887,RulebookFields!A2:A999, 0)), "")</f>
      </c>
      <c r="K1887" s="3" t="b">
        <f>AND(F1887, J1887)</f>
        <v>0</v>
      </c>
      <c r="L1887" s="3" t="b">
        <f>AND(G1887 &lt;&gt; "plain", G1887 &lt;&gt; "")</f>
        <v>0</v>
      </c>
      <c r="M1887" s="3" t="str">
        <f>IF(E1887, C1887 &amp; "|" &amp; H1887, "")</f>
        <v>principal-process-steward|</v>
      </c>
      <c r="N1887" s="2" t="s">
        <v>9938</v>
      </c>
    </row>
    <row r="1888">
      <c r="A1888" s="2" t="s">
        <v>11824</v>
      </c>
      <c r="B1888" s="3" t="str">
        <f>C1888 &amp; " -&gt; " &amp; D1888</f>
        <v>principal-process-steward -&gt; TestCases.TargetField</v>
      </c>
      <c r="C1888" s="2" t="s">
        <v>9706</v>
      </c>
      <c r="D1888" s="2" t="s">
        <v>4152</v>
      </c>
      <c r="E1888" s="2" t="b">
        <v>1</v>
      </c>
      <c r="F1888" s="2" t="b">
        <v>0</v>
      </c>
      <c r="G1888" s="2" t="s">
        <v>9937</v>
      </c>
      <c r="H1888" s="3" t="str">
        <f>_xlfn.IFNA(INDEX(RulebookFields!C2:C999, MATCH(D1888,RulebookFields!A2:A999, 0)), "")</f>
      </c>
      <c r="I1888" s="3" t="str">
        <f>_xlfn.IFNA(INDEX(RulebookFields!D2:D999, MATCH(D1888,RulebookFields!A2:A999, 0)), "")</f>
      </c>
      <c r="J1888" s="3" t="str">
        <f>_xlfn.IFNA(INDEX(RulebookFields!I2:I999, MATCH(D1888,RulebookFields!A2:A999, 0)), "")</f>
      </c>
      <c r="K1888" s="3" t="b">
        <f>AND(F1888, J1888)</f>
        <v>0</v>
      </c>
      <c r="L1888" s="3" t="b">
        <f>AND(G1888 &lt;&gt; "plain", G1888 &lt;&gt; "")</f>
        <v>0</v>
      </c>
      <c r="M1888" s="3" t="str">
        <f>IF(E1888, C1888 &amp; "|" &amp; H1888, "")</f>
        <v>principal-process-steward|</v>
      </c>
      <c r="N1888" s="2" t="s">
        <v>9938</v>
      </c>
    </row>
    <row r="1889">
      <c r="A1889" s="2" t="s">
        <v>11825</v>
      </c>
      <c r="B1889" s="3" t="str">
        <f>C1889 &amp; " -&gt; " &amp; D1889</f>
        <v>principal-process-steward -&gt; TestCases.Assertion</v>
      </c>
      <c r="C1889" s="2" t="s">
        <v>9706</v>
      </c>
      <c r="D1889" s="2" t="s">
        <v>4154</v>
      </c>
      <c r="E1889" s="2" t="b">
        <v>1</v>
      </c>
      <c r="F1889" s="2" t="b">
        <v>0</v>
      </c>
      <c r="G1889" s="2" t="s">
        <v>9937</v>
      </c>
      <c r="H1889" s="3" t="str">
        <f>_xlfn.IFNA(INDEX(RulebookFields!C2:C999, MATCH(D1889,RulebookFields!A2:A999, 0)), "")</f>
      </c>
      <c r="I1889" s="3" t="str">
        <f>_xlfn.IFNA(INDEX(RulebookFields!D2:D999, MATCH(D1889,RulebookFields!A2:A999, 0)), "")</f>
      </c>
      <c r="J1889" s="3" t="str">
        <f>_xlfn.IFNA(INDEX(RulebookFields!I2:I999, MATCH(D1889,RulebookFields!A2:A999, 0)), "")</f>
      </c>
      <c r="K1889" s="3" t="b">
        <f>AND(F1889, J1889)</f>
        <v>0</v>
      </c>
      <c r="L1889" s="3" t="b">
        <f>AND(G1889 &lt;&gt; "plain", G1889 &lt;&gt; "")</f>
        <v>0</v>
      </c>
      <c r="M1889" s="3" t="str">
        <f>IF(E1889, C1889 &amp; "|" &amp; H1889, "")</f>
        <v>principal-process-steward|</v>
      </c>
      <c r="N1889" s="2" t="s">
        <v>9938</v>
      </c>
    </row>
    <row r="1890">
      <c r="A1890" s="2" t="s">
        <v>11826</v>
      </c>
      <c r="B1890" s="3" t="str">
        <f>C1890 &amp; " -&gt; " &amp; D1890</f>
        <v>principal-process-steward -&gt; TestCases.DefendsQuestion</v>
      </c>
      <c r="C1890" s="2" t="s">
        <v>9706</v>
      </c>
      <c r="D1890" s="2" t="s">
        <v>4156</v>
      </c>
      <c r="E1890" s="2" t="b">
        <v>1</v>
      </c>
      <c r="F1890" s="2" t="b">
        <v>0</v>
      </c>
      <c r="G1890" s="2" t="s">
        <v>9937</v>
      </c>
      <c r="H1890" s="3" t="str">
        <f>_xlfn.IFNA(INDEX(RulebookFields!C2:C999, MATCH(D1890,RulebookFields!A2:A999, 0)), "")</f>
      </c>
      <c r="I1890" s="3" t="str">
        <f>_xlfn.IFNA(INDEX(RulebookFields!D2:D999, MATCH(D1890,RulebookFields!A2:A999, 0)), "")</f>
      </c>
      <c r="J1890" s="3" t="str">
        <f>_xlfn.IFNA(INDEX(RulebookFields!I2:I999, MATCH(D1890,RulebookFields!A2:A999, 0)), "")</f>
      </c>
      <c r="K1890" s="3" t="b">
        <f>AND(F1890, J1890)</f>
        <v>0</v>
      </c>
      <c r="L1890" s="3" t="b">
        <f>AND(G1890 &lt;&gt; "plain", G1890 &lt;&gt; "")</f>
        <v>0</v>
      </c>
      <c r="M1890" s="3" t="str">
        <f>IF(E1890, C1890 &amp; "|" &amp; H1890, "")</f>
        <v>principal-process-steward|</v>
      </c>
      <c r="N1890" s="2" t="s">
        <v>9938</v>
      </c>
    </row>
    <row r="1891">
      <c r="A1891" s="2" t="s">
        <v>11827</v>
      </c>
      <c r="B1891" s="3" t="str">
        <f>C1891 &amp; " -&gt; " &amp; D1891</f>
        <v>principal-process-steward -&gt; TestCases.Suite</v>
      </c>
      <c r="C1891" s="2" t="s">
        <v>9706</v>
      </c>
      <c r="D1891" s="2" t="s">
        <v>4158</v>
      </c>
      <c r="E1891" s="2" t="b">
        <v>1</v>
      </c>
      <c r="F1891" s="2" t="b">
        <v>0</v>
      </c>
      <c r="G1891" s="2" t="s">
        <v>9937</v>
      </c>
      <c r="H1891" s="3" t="str">
        <f>_xlfn.IFNA(INDEX(RulebookFields!C2:C999, MATCH(D1891,RulebookFields!A2:A999, 0)), "")</f>
      </c>
      <c r="I1891" s="3" t="str">
        <f>_xlfn.IFNA(INDEX(RulebookFields!D2:D999, MATCH(D1891,RulebookFields!A2:A999, 0)), "")</f>
      </c>
      <c r="J1891" s="3" t="str">
        <f>_xlfn.IFNA(INDEX(RulebookFields!I2:I999, MATCH(D1891,RulebookFields!A2:A999, 0)), "")</f>
      </c>
      <c r="K1891" s="3" t="b">
        <f>AND(F1891, J1891)</f>
        <v>0</v>
      </c>
      <c r="L1891" s="3" t="b">
        <f>AND(G1891 &lt;&gt; "plain", G1891 &lt;&gt; "")</f>
        <v>0</v>
      </c>
      <c r="M1891" s="3" t="str">
        <f>IF(E1891, C1891 &amp; "|" &amp; H1891, "")</f>
        <v>principal-process-steward|</v>
      </c>
      <c r="N1891" s="2" t="s">
        <v>9938</v>
      </c>
    </row>
    <row r="1892">
      <c r="A1892" s="2" t="s">
        <v>11828</v>
      </c>
      <c r="B1892" s="3" t="str">
        <f>C1892 &amp; " -&gt; " &amp; D1892</f>
        <v>principal-process-steward -&gt; TestCases.Severity</v>
      </c>
      <c r="C1892" s="2" t="s">
        <v>9706</v>
      </c>
      <c r="D1892" s="2" t="s">
        <v>4160</v>
      </c>
      <c r="E1892" s="2" t="b">
        <v>1</v>
      </c>
      <c r="F1892" s="2" t="b">
        <v>0</v>
      </c>
      <c r="G1892" s="2" t="s">
        <v>9937</v>
      </c>
      <c r="H1892" s="3" t="str">
        <f>_xlfn.IFNA(INDEX(RulebookFields!C2:C999, MATCH(D1892,RulebookFields!A2:A999, 0)), "")</f>
      </c>
      <c r="I1892" s="3" t="str">
        <f>_xlfn.IFNA(INDEX(RulebookFields!D2:D999, MATCH(D1892,RulebookFields!A2:A999, 0)), "")</f>
      </c>
      <c r="J1892" s="3" t="str">
        <f>_xlfn.IFNA(INDEX(RulebookFields!I2:I999, MATCH(D1892,RulebookFields!A2:A999, 0)), "")</f>
      </c>
      <c r="K1892" s="3" t="b">
        <f>AND(F1892, J1892)</f>
        <v>0</v>
      </c>
      <c r="L1892" s="3" t="b">
        <f>AND(G1892 &lt;&gt; "plain", G1892 &lt;&gt; "")</f>
        <v>0</v>
      </c>
      <c r="M1892" s="3" t="str">
        <f>IF(E1892, C1892 &amp; "|" &amp; H1892, "")</f>
        <v>principal-process-steward|</v>
      </c>
      <c r="N1892" s="2" t="s">
        <v>9938</v>
      </c>
    </row>
    <row r="1893">
      <c r="A1893" s="2" t="s">
        <v>11829</v>
      </c>
      <c r="B1893" s="3" t="str">
        <f>C1893 &amp; " -&gt; " &amp; D1893</f>
        <v>principal-process-steward -&gt; TestCases.IsBlocking</v>
      </c>
      <c r="C1893" s="2" t="s">
        <v>9706</v>
      </c>
      <c r="D1893" s="2" t="s">
        <v>4161</v>
      </c>
      <c r="E1893" s="2" t="b">
        <v>1</v>
      </c>
      <c r="F1893" s="2" t="b">
        <v>0</v>
      </c>
      <c r="G1893" s="2" t="s">
        <v>9937</v>
      </c>
      <c r="H1893" s="3" t="str">
        <f>_xlfn.IFNA(INDEX(RulebookFields!C2:C999, MATCH(D1893,RulebookFields!A2:A999, 0)), "")</f>
      </c>
      <c r="I1893" s="3" t="str">
        <f>_xlfn.IFNA(INDEX(RulebookFields!D2:D999, MATCH(D1893,RulebookFields!A2:A999, 0)), "")</f>
      </c>
      <c r="J1893" s="3" t="str">
        <f>_xlfn.IFNA(INDEX(RulebookFields!I2:I999, MATCH(D1893,RulebookFields!A2:A999, 0)), "")</f>
      </c>
      <c r="K1893" s="3" t="b">
        <f>AND(F1893, J1893)</f>
        <v>0</v>
      </c>
      <c r="L1893" s="3" t="b">
        <f>AND(G1893 &lt;&gt; "plain", G1893 &lt;&gt; "")</f>
        <v>0</v>
      </c>
      <c r="M1893" s="3" t="str">
        <f>IF(E1893, C1893 &amp; "|" &amp; H1893, "")</f>
        <v>principal-process-steward|</v>
      </c>
      <c r="N1893" s="2" t="s">
        <v>9938</v>
      </c>
    </row>
    <row r="1894">
      <c r="A1894" s="2" t="s">
        <v>11830</v>
      </c>
      <c r="B1894" s="3" t="str">
        <f>C1894 &amp; " -&gt; " &amp; D1894</f>
        <v>principal-process-steward -&gt; TestCases.LastOutcome</v>
      </c>
      <c r="C1894" s="2" t="s">
        <v>9706</v>
      </c>
      <c r="D1894" s="2" t="s">
        <v>4163</v>
      </c>
      <c r="E1894" s="2" t="b">
        <v>1</v>
      </c>
      <c r="F1894" s="2" t="b">
        <v>0</v>
      </c>
      <c r="G1894" s="2" t="s">
        <v>9937</v>
      </c>
      <c r="H1894" s="3" t="str">
        <f>_xlfn.IFNA(INDEX(RulebookFields!C2:C999, MATCH(D1894,RulebookFields!A2:A999, 0)), "")</f>
      </c>
      <c r="I1894" s="3" t="str">
        <f>_xlfn.IFNA(INDEX(RulebookFields!D2:D999, MATCH(D1894,RulebookFields!A2:A999, 0)), "")</f>
      </c>
      <c r="J1894" s="3" t="str">
        <f>_xlfn.IFNA(INDEX(RulebookFields!I2:I999, MATCH(D1894,RulebookFields!A2:A999, 0)), "")</f>
      </c>
      <c r="K1894" s="3" t="b">
        <f>AND(F1894, J1894)</f>
        <v>0</v>
      </c>
      <c r="L1894" s="3" t="b">
        <f>AND(G1894 &lt;&gt; "plain", G1894 &lt;&gt; "")</f>
        <v>0</v>
      </c>
      <c r="M1894" s="3" t="str">
        <f>IF(E1894, C1894 &amp; "|" &amp; H1894, "")</f>
        <v>principal-process-steward|</v>
      </c>
      <c r="N1894" s="2" t="s">
        <v>9938</v>
      </c>
    </row>
    <row r="1895">
      <c r="A1895" s="2" t="s">
        <v>11831</v>
      </c>
      <c r="B1895" s="3" t="str">
        <f>C1895 &amp; " -&gt; " &amp; D1895</f>
        <v>principal-process-steward -&gt; TestCases.LastDetail</v>
      </c>
      <c r="C1895" s="2" t="s">
        <v>9706</v>
      </c>
      <c r="D1895" s="2" t="s">
        <v>4165</v>
      </c>
      <c r="E1895" s="2" t="b">
        <v>1</v>
      </c>
      <c r="F1895" s="2" t="b">
        <v>0</v>
      </c>
      <c r="G1895" s="2" t="s">
        <v>9937</v>
      </c>
      <c r="H1895" s="3" t="str">
        <f>_xlfn.IFNA(INDEX(RulebookFields!C2:C999, MATCH(D1895,RulebookFields!A2:A999, 0)), "")</f>
      </c>
      <c r="I1895" s="3" t="str">
        <f>_xlfn.IFNA(INDEX(RulebookFields!D2:D999, MATCH(D1895,RulebookFields!A2:A999, 0)), "")</f>
      </c>
      <c r="J1895" s="3" t="str">
        <f>_xlfn.IFNA(INDEX(RulebookFields!I2:I999, MATCH(D1895,RulebookFields!A2:A999, 0)), "")</f>
      </c>
      <c r="K1895" s="3" t="b">
        <f>AND(F1895, J1895)</f>
        <v>0</v>
      </c>
      <c r="L1895" s="3" t="b">
        <f>AND(G1895 &lt;&gt; "plain", G1895 &lt;&gt; "")</f>
        <v>0</v>
      </c>
      <c r="M1895" s="3" t="str">
        <f>IF(E1895, C1895 &amp; "|" &amp; H1895, "")</f>
        <v>principal-process-steward|</v>
      </c>
      <c r="N1895" s="2" t="s">
        <v>9938</v>
      </c>
    </row>
    <row r="1896">
      <c r="A1896" s="2" t="s">
        <v>11832</v>
      </c>
      <c r="B1896" s="3" t="str">
        <f>C1896 &amp; " -&gt; " &amp; D1896</f>
        <v>principal-process-steward -&gt; TestCases.LastRunAt</v>
      </c>
      <c r="C1896" s="2" t="s">
        <v>9706</v>
      </c>
      <c r="D1896" s="2" t="s">
        <v>4167</v>
      </c>
      <c r="E1896" s="2" t="b">
        <v>1</v>
      </c>
      <c r="F1896" s="2" t="b">
        <v>0</v>
      </c>
      <c r="G1896" s="2" t="s">
        <v>9937</v>
      </c>
      <c r="H1896" s="3" t="str">
        <f>_xlfn.IFNA(INDEX(RulebookFields!C2:C999, MATCH(D1896,RulebookFields!A2:A999, 0)), "")</f>
      </c>
      <c r="I1896" s="3" t="str">
        <f>_xlfn.IFNA(INDEX(RulebookFields!D2:D999, MATCH(D1896,RulebookFields!A2:A999, 0)), "")</f>
      </c>
      <c r="J1896" s="3" t="str">
        <f>_xlfn.IFNA(INDEX(RulebookFields!I2:I999, MATCH(D1896,RulebookFields!A2:A999, 0)), "")</f>
      </c>
      <c r="K1896" s="3" t="b">
        <f>AND(F1896, J1896)</f>
        <v>0</v>
      </c>
      <c r="L1896" s="3" t="b">
        <f>AND(G1896 &lt;&gt; "plain", G1896 &lt;&gt; "")</f>
        <v>0</v>
      </c>
      <c r="M1896" s="3" t="str">
        <f>IF(E1896, C1896 &amp; "|" &amp; H1896, "")</f>
        <v>principal-process-steward|</v>
      </c>
      <c r="N1896" s="2" t="s">
        <v>9938</v>
      </c>
    </row>
    <row r="1897">
      <c r="A1897" s="2" t="s">
        <v>11833</v>
      </c>
      <c r="B1897" s="3" t="str">
        <f>C1897 &amp; " -&gt; " &amp; D1897</f>
        <v>principal-process-steward -&gt; TestCases.IsPassing</v>
      </c>
      <c r="C1897" s="2" t="s">
        <v>9706</v>
      </c>
      <c r="D1897" s="2" t="s">
        <v>4169</v>
      </c>
      <c r="E1897" s="2" t="b">
        <v>1</v>
      </c>
      <c r="F1897" s="2" t="b">
        <v>0</v>
      </c>
      <c r="G1897" s="2" t="s">
        <v>9937</v>
      </c>
      <c r="H1897" s="3" t="str">
        <f>_xlfn.IFNA(INDEX(RulebookFields!C2:C999, MATCH(D1897,RulebookFields!A2:A999, 0)), "")</f>
      </c>
      <c r="I1897" s="3" t="str">
        <f>_xlfn.IFNA(INDEX(RulebookFields!D2:D999, MATCH(D1897,RulebookFields!A2:A999, 0)), "")</f>
      </c>
      <c r="J1897" s="3" t="str">
        <f>_xlfn.IFNA(INDEX(RulebookFields!I2:I999, MATCH(D1897,RulebookFields!A2:A999, 0)), "")</f>
      </c>
      <c r="K1897" s="3" t="b">
        <f>AND(F1897, J1897)</f>
        <v>0</v>
      </c>
      <c r="L1897" s="3" t="b">
        <f>AND(G1897 &lt;&gt; "plain", G1897 &lt;&gt; "")</f>
        <v>0</v>
      </c>
      <c r="M1897" s="3" t="str">
        <f>IF(E1897, C1897 &amp; "|" &amp; H1897, "")</f>
        <v>principal-process-steward|</v>
      </c>
      <c r="N1897" s="2" t="s">
        <v>9938</v>
      </c>
    </row>
    <row r="1898">
      <c r="A1898" s="2" t="s">
        <v>11834</v>
      </c>
      <c r="B1898" s="3" t="str">
        <f>C1898 &amp; " -&gt; " &amp; D1898</f>
        <v>principal-process-steward -&gt; TestCases.IsFailing</v>
      </c>
      <c r="C1898" s="2" t="s">
        <v>9706</v>
      </c>
      <c r="D1898" s="2" t="s">
        <v>4172</v>
      </c>
      <c r="E1898" s="2" t="b">
        <v>1</v>
      </c>
      <c r="F1898" s="2" t="b">
        <v>0</v>
      </c>
      <c r="G1898" s="2" t="s">
        <v>9937</v>
      </c>
      <c r="H1898" s="3" t="str">
        <f>_xlfn.IFNA(INDEX(RulebookFields!C2:C999, MATCH(D1898,RulebookFields!A2:A999, 0)), "")</f>
      </c>
      <c r="I1898" s="3" t="str">
        <f>_xlfn.IFNA(INDEX(RulebookFields!D2:D999, MATCH(D1898,RulebookFields!A2:A999, 0)), "")</f>
      </c>
      <c r="J1898" s="3" t="str">
        <f>_xlfn.IFNA(INDEX(RulebookFields!I2:I999, MATCH(D1898,RulebookFields!A2:A999, 0)), "")</f>
      </c>
      <c r="K1898" s="3" t="b">
        <f>AND(F1898, J1898)</f>
        <v>0</v>
      </c>
      <c r="L1898" s="3" t="b">
        <f>AND(G1898 &lt;&gt; "plain", G1898 &lt;&gt; "")</f>
        <v>0</v>
      </c>
      <c r="M1898" s="3" t="str">
        <f>IF(E1898, C1898 &amp; "|" &amp; H1898, "")</f>
        <v>principal-process-steward|</v>
      </c>
      <c r="N1898" s="2" t="s">
        <v>9938</v>
      </c>
    </row>
    <row r="1899">
      <c r="A1899" s="2" t="s">
        <v>11835</v>
      </c>
      <c r="B1899" s="3" t="str">
        <f>C1899 &amp; " -&gt; " &amp; D1899</f>
        <v>principal-process-steward -&gt; TestCases.NeedsAttention</v>
      </c>
      <c r="C1899" s="2" t="s">
        <v>9706</v>
      </c>
      <c r="D1899" s="2" t="s">
        <v>4175</v>
      </c>
      <c r="E1899" s="2" t="b">
        <v>1</v>
      </c>
      <c r="F1899" s="2" t="b">
        <v>0</v>
      </c>
      <c r="G1899" s="2" t="s">
        <v>9937</v>
      </c>
      <c r="H1899" s="3" t="str">
        <f>_xlfn.IFNA(INDEX(RulebookFields!C2:C999, MATCH(D1899,RulebookFields!A2:A999, 0)), "")</f>
      </c>
      <c r="I1899" s="3" t="str">
        <f>_xlfn.IFNA(INDEX(RulebookFields!D2:D999, MATCH(D1899,RulebookFields!A2:A999, 0)), "")</f>
      </c>
      <c r="J1899" s="3" t="str">
        <f>_xlfn.IFNA(INDEX(RulebookFields!I2:I999, MATCH(D1899,RulebookFields!A2:A999, 0)), "")</f>
      </c>
      <c r="K1899" s="3" t="b">
        <f>AND(F1899, J1899)</f>
        <v>0</v>
      </c>
      <c r="L1899" s="3" t="b">
        <f>AND(G1899 &lt;&gt; "plain", G1899 &lt;&gt; "")</f>
        <v>0</v>
      </c>
      <c r="M1899" s="3" t="str">
        <f>IF(E1899, C1899 &amp; "|" &amp; H1899, "")</f>
        <v>principal-process-steward|</v>
      </c>
      <c r="N1899" s="2" t="s">
        <v>9938</v>
      </c>
    </row>
    <row r="1900">
      <c r="A1900" s="2" t="s">
        <v>11836</v>
      </c>
      <c r="B1900" s="3" t="str">
        <f>C1900 &amp; " -&gt; " &amp; D1900</f>
        <v>principal-process-steward -&gt; TestCases.PassingSuiteKey</v>
      </c>
      <c r="C1900" s="2" t="s">
        <v>9706</v>
      </c>
      <c r="D1900" s="2" t="s">
        <v>4178</v>
      </c>
      <c r="E1900" s="2" t="b">
        <v>1</v>
      </c>
      <c r="F1900" s="2" t="b">
        <v>0</v>
      </c>
      <c r="G1900" s="2" t="s">
        <v>9937</v>
      </c>
      <c r="H1900" s="3" t="str">
        <f>_xlfn.IFNA(INDEX(RulebookFields!C2:C999, MATCH(D1900,RulebookFields!A2:A999, 0)), "")</f>
      </c>
      <c r="I1900" s="3" t="str">
        <f>_xlfn.IFNA(INDEX(RulebookFields!D2:D999, MATCH(D1900,RulebookFields!A2:A999, 0)), "")</f>
      </c>
      <c r="J1900" s="3" t="str">
        <f>_xlfn.IFNA(INDEX(RulebookFields!I2:I999, MATCH(D1900,RulebookFields!A2:A999, 0)), "")</f>
      </c>
      <c r="K1900" s="3" t="b">
        <f>AND(F1900, J1900)</f>
        <v>0</v>
      </c>
      <c r="L1900" s="3" t="b">
        <f>AND(G1900 &lt;&gt; "plain", G1900 &lt;&gt; "")</f>
        <v>0</v>
      </c>
      <c r="M1900" s="3" t="str">
        <f>IF(E1900, C1900 &amp; "|" &amp; H1900, "")</f>
        <v>principal-process-steward|</v>
      </c>
      <c r="N1900" s="2" t="s">
        <v>9938</v>
      </c>
    </row>
    <row r="1901">
      <c r="A1901" s="2" t="s">
        <v>11837</v>
      </c>
      <c r="B1901" s="3" t="str">
        <f>C1901 &amp; " -&gt; " &amp; D1901</f>
        <v>principal-process-steward -&gt; TestCases.NeedsAttentionSuiteKey</v>
      </c>
      <c r="C1901" s="2" t="s">
        <v>9706</v>
      </c>
      <c r="D1901" s="2" t="s">
        <v>4181</v>
      </c>
      <c r="E1901" s="2" t="b">
        <v>1</v>
      </c>
      <c r="F1901" s="2" t="b">
        <v>0</v>
      </c>
      <c r="G1901" s="2" t="s">
        <v>9937</v>
      </c>
      <c r="H1901" s="3" t="str">
        <f>_xlfn.IFNA(INDEX(RulebookFields!C2:C999, MATCH(D1901,RulebookFields!A2:A999, 0)), "")</f>
      </c>
      <c r="I1901" s="3" t="str">
        <f>_xlfn.IFNA(INDEX(RulebookFields!D2:D999, MATCH(D1901,RulebookFields!A2:A999, 0)), "")</f>
      </c>
      <c r="J1901" s="3" t="str">
        <f>_xlfn.IFNA(INDEX(RulebookFields!I2:I999, MATCH(D1901,RulebookFields!A2:A999, 0)), "")</f>
      </c>
      <c r="K1901" s="3" t="b">
        <f>AND(F1901, J1901)</f>
        <v>0</v>
      </c>
      <c r="L1901" s="3" t="b">
        <f>AND(G1901 &lt;&gt; "plain", G1901 &lt;&gt; "")</f>
        <v>0</v>
      </c>
      <c r="M1901" s="3" t="str">
        <f>IF(E1901, C1901 &amp; "|" &amp; H1901, "")</f>
        <v>principal-process-steward|</v>
      </c>
      <c r="N1901" s="2" t="s">
        <v>9938</v>
      </c>
    </row>
    <row r="1902">
      <c r="A1902" s="2" t="s">
        <v>11838</v>
      </c>
      <c r="B1902" s="3" t="str">
        <f>C1902 &amp; " -&gt; " &amp; D1902</f>
        <v>principal-process-steward -&gt; TestCases.SemanticTypeIri</v>
      </c>
      <c r="C1902" s="2" t="s">
        <v>9706</v>
      </c>
      <c r="D1902" s="2" t="s">
        <v>4184</v>
      </c>
      <c r="E1902" s="2" t="b">
        <v>1</v>
      </c>
      <c r="F1902" s="2" t="b">
        <v>0</v>
      </c>
      <c r="G1902" s="2" t="s">
        <v>9937</v>
      </c>
      <c r="H1902" s="3" t="str">
        <f>_xlfn.IFNA(INDEX(RulebookFields!C2:C999, MATCH(D1902,RulebookFields!A2:A999, 0)), "")</f>
      </c>
      <c r="I1902" s="3" t="str">
        <f>_xlfn.IFNA(INDEX(RulebookFields!D2:D999, MATCH(D1902,RulebookFields!A2:A999, 0)), "")</f>
      </c>
      <c r="J1902" s="3" t="str">
        <f>_xlfn.IFNA(INDEX(RulebookFields!I2:I999, MATCH(D1902,RulebookFields!A2:A999, 0)), "")</f>
      </c>
      <c r="K1902" s="3" t="b">
        <f>AND(F1902, J1902)</f>
        <v>0</v>
      </c>
      <c r="L1902" s="3" t="b">
        <f>AND(G1902 &lt;&gt; "plain", G1902 &lt;&gt; "")</f>
        <v>0</v>
      </c>
      <c r="M1902" s="3" t="str">
        <f>IF(E1902, C1902 &amp; "|" &amp; H1902, "")</f>
        <v>principal-process-steward|</v>
      </c>
      <c r="N1902" s="2" t="s">
        <v>9938</v>
      </c>
    </row>
    <row r="1903">
      <c r="A1903" s="2" t="s">
        <v>11839</v>
      </c>
      <c r="B1903" s="3" t="str">
        <f>C1903 &amp; " -&gt; " &amp; D1903</f>
        <v>principal-process-steward -&gt; TestSuites.TestSuiteId</v>
      </c>
      <c r="C1903" s="2" t="s">
        <v>9706</v>
      </c>
      <c r="D1903" s="2" t="s">
        <v>4124</v>
      </c>
      <c r="E1903" s="2" t="b">
        <v>1</v>
      </c>
      <c r="F1903" s="2" t="b">
        <v>0</v>
      </c>
      <c r="G1903" s="2" t="s">
        <v>9937</v>
      </c>
      <c r="H1903" s="3" t="str">
        <f>_xlfn.IFNA(INDEX(RulebookFields!C2:C999, MATCH(D1903,RulebookFields!A2:A999, 0)), "")</f>
      </c>
      <c r="I1903" s="3" t="str">
        <f>_xlfn.IFNA(INDEX(RulebookFields!D2:D999, MATCH(D1903,RulebookFields!A2:A999, 0)), "")</f>
      </c>
      <c r="J1903" s="3" t="str">
        <f>_xlfn.IFNA(INDEX(RulebookFields!I2:I999, MATCH(D1903,RulebookFields!A2:A999, 0)), "")</f>
      </c>
      <c r="K1903" s="3" t="b">
        <f>AND(F1903, J1903)</f>
        <v>0</v>
      </c>
      <c r="L1903" s="3" t="b">
        <f>AND(G1903 &lt;&gt; "plain", G1903 &lt;&gt; "")</f>
        <v>0</v>
      </c>
      <c r="M1903" s="3" t="str">
        <f>IF(E1903, C1903 &amp; "|" &amp; H1903, "")</f>
        <v>principal-process-steward|</v>
      </c>
      <c r="N1903" s="2" t="s">
        <v>9938</v>
      </c>
    </row>
    <row r="1904">
      <c r="A1904" s="2" t="s">
        <v>11840</v>
      </c>
      <c r="B1904" s="3" t="str">
        <f>C1904 &amp; " -&gt; " &amp; D1904</f>
        <v>principal-process-steward -&gt; TestSuites.Name</v>
      </c>
      <c r="C1904" s="2" t="s">
        <v>9706</v>
      </c>
      <c r="D1904" s="2" t="s">
        <v>4127</v>
      </c>
      <c r="E1904" s="2" t="b">
        <v>1</v>
      </c>
      <c r="F1904" s="2" t="b">
        <v>0</v>
      </c>
      <c r="G1904" s="2" t="s">
        <v>9937</v>
      </c>
      <c r="H1904" s="3" t="str">
        <f>_xlfn.IFNA(INDEX(RulebookFields!C2:C999, MATCH(D1904,RulebookFields!A2:A999, 0)), "")</f>
      </c>
      <c r="I1904" s="3" t="str">
        <f>_xlfn.IFNA(INDEX(RulebookFields!D2:D999, MATCH(D1904,RulebookFields!A2:A999, 0)), "")</f>
      </c>
      <c r="J1904" s="3" t="str">
        <f>_xlfn.IFNA(INDEX(RulebookFields!I2:I999, MATCH(D1904,RulebookFields!A2:A999, 0)), "")</f>
      </c>
      <c r="K1904" s="3" t="b">
        <f>AND(F1904, J1904)</f>
        <v>0</v>
      </c>
      <c r="L1904" s="3" t="b">
        <f>AND(G1904 &lt;&gt; "plain", G1904 &lt;&gt; "")</f>
        <v>0</v>
      </c>
      <c r="M1904" s="3" t="str">
        <f>IF(E1904, C1904 &amp; "|" &amp; H1904, "")</f>
        <v>principal-process-steward|</v>
      </c>
      <c r="N1904" s="2" t="s">
        <v>9938</v>
      </c>
    </row>
    <row r="1905">
      <c r="A1905" s="2" t="s">
        <v>11841</v>
      </c>
      <c r="B1905" s="3" t="str">
        <f>C1905 &amp; " -&gt; " &amp; D1905</f>
        <v>principal-process-steward -&gt; TestSuites.Label</v>
      </c>
      <c r="C1905" s="2" t="s">
        <v>9706</v>
      </c>
      <c r="D1905" s="2" t="s">
        <v>4128</v>
      </c>
      <c r="E1905" s="2" t="b">
        <v>1</v>
      </c>
      <c r="F1905" s="2" t="b">
        <v>0</v>
      </c>
      <c r="G1905" s="2" t="s">
        <v>9937</v>
      </c>
      <c r="H1905" s="3" t="str">
        <f>_xlfn.IFNA(INDEX(RulebookFields!C2:C999, MATCH(D1905,RulebookFields!A2:A999, 0)), "")</f>
      </c>
      <c r="I1905" s="3" t="str">
        <f>_xlfn.IFNA(INDEX(RulebookFields!D2:D999, MATCH(D1905,RulebookFields!A2:A999, 0)), "")</f>
      </c>
      <c r="J1905" s="3" t="str">
        <f>_xlfn.IFNA(INDEX(RulebookFields!I2:I999, MATCH(D1905,RulebookFields!A2:A999, 0)), "")</f>
      </c>
      <c r="K1905" s="3" t="b">
        <f>AND(F1905, J1905)</f>
        <v>0</v>
      </c>
      <c r="L1905" s="3" t="b">
        <f>AND(G1905 &lt;&gt; "plain", G1905 &lt;&gt; "")</f>
        <v>0</v>
      </c>
      <c r="M1905" s="3" t="str">
        <f>IF(E1905, C1905 &amp; "|" &amp; H1905, "")</f>
        <v>principal-process-steward|</v>
      </c>
      <c r="N1905" s="2" t="s">
        <v>9938</v>
      </c>
    </row>
    <row r="1906">
      <c r="A1906" s="2" t="s">
        <v>11842</v>
      </c>
      <c r="B1906" s="3" t="str">
        <f>C1906 &amp; " -&gt; " &amp; D1906</f>
        <v>principal-process-steward -&gt; TestSuites.TestCount</v>
      </c>
      <c r="C1906" s="2" t="s">
        <v>9706</v>
      </c>
      <c r="D1906" s="2" t="s">
        <v>4129</v>
      </c>
      <c r="E1906" s="2" t="b">
        <v>1</v>
      </c>
      <c r="F1906" s="2" t="b">
        <v>0</v>
      </c>
      <c r="G1906" s="2" t="s">
        <v>9937</v>
      </c>
      <c r="H1906" s="3" t="str">
        <f>_xlfn.IFNA(INDEX(RulebookFields!C2:C999, MATCH(D1906,RulebookFields!A2:A999, 0)), "")</f>
      </c>
      <c r="I1906" s="3" t="str">
        <f>_xlfn.IFNA(INDEX(RulebookFields!D2:D999, MATCH(D1906,RulebookFields!A2:A999, 0)), "")</f>
      </c>
      <c r="J1906" s="3" t="str">
        <f>_xlfn.IFNA(INDEX(RulebookFields!I2:I999, MATCH(D1906,RulebookFields!A2:A999, 0)), "")</f>
      </c>
      <c r="K1906" s="3" t="b">
        <f>AND(F1906, J1906)</f>
        <v>0</v>
      </c>
      <c r="L1906" s="3" t="b">
        <f>AND(G1906 &lt;&gt; "plain", G1906 &lt;&gt; "")</f>
        <v>0</v>
      </c>
      <c r="M1906" s="3" t="str">
        <f>IF(E1906, C1906 &amp; "|" &amp; H1906, "")</f>
        <v>principal-process-steward|</v>
      </c>
      <c r="N1906" s="2" t="s">
        <v>9938</v>
      </c>
    </row>
    <row r="1907">
      <c r="A1907" s="2" t="s">
        <v>11843</v>
      </c>
      <c r="B1907" s="3" t="str">
        <f>C1907 &amp; " -&gt; " &amp; D1907</f>
        <v>principal-process-steward -&gt; TestSuites.PassCount</v>
      </c>
      <c r="C1907" s="2" t="s">
        <v>9706</v>
      </c>
      <c r="D1907" s="2" t="s">
        <v>4132</v>
      </c>
      <c r="E1907" s="2" t="b">
        <v>1</v>
      </c>
      <c r="F1907" s="2" t="b">
        <v>0</v>
      </c>
      <c r="G1907" s="2" t="s">
        <v>9937</v>
      </c>
      <c r="H1907" s="3" t="str">
        <f>_xlfn.IFNA(INDEX(RulebookFields!C2:C999, MATCH(D1907,RulebookFields!A2:A999, 0)), "")</f>
      </c>
      <c r="I1907" s="3" t="str">
        <f>_xlfn.IFNA(INDEX(RulebookFields!D2:D999, MATCH(D1907,RulebookFields!A2:A999, 0)), "")</f>
      </c>
      <c r="J1907" s="3" t="str">
        <f>_xlfn.IFNA(INDEX(RulebookFields!I2:I999, MATCH(D1907,RulebookFields!A2:A999, 0)), "")</f>
      </c>
      <c r="K1907" s="3" t="b">
        <f>AND(F1907, J1907)</f>
        <v>0</v>
      </c>
      <c r="L1907" s="3" t="b">
        <f>AND(G1907 &lt;&gt; "plain", G1907 &lt;&gt; "")</f>
        <v>0</v>
      </c>
      <c r="M1907" s="3" t="str">
        <f>IF(E1907, C1907 &amp; "|" &amp; H1907, "")</f>
        <v>principal-process-steward|</v>
      </c>
      <c r="N1907" s="2" t="s">
        <v>9938</v>
      </c>
    </row>
    <row r="1908">
      <c r="A1908" s="2" t="s">
        <v>11844</v>
      </c>
      <c r="B1908" s="3" t="str">
        <f>C1908 &amp; " -&gt; " &amp; D1908</f>
        <v>principal-process-steward -&gt; TestSuites.BlockingFailCount</v>
      </c>
      <c r="C1908" s="2" t="s">
        <v>9706</v>
      </c>
      <c r="D1908" s="2" t="s">
        <v>4135</v>
      </c>
      <c r="E1908" s="2" t="b">
        <v>1</v>
      </c>
      <c r="F1908" s="2" t="b">
        <v>0</v>
      </c>
      <c r="G1908" s="2" t="s">
        <v>9937</v>
      </c>
      <c r="H1908" s="3" t="str">
        <f>_xlfn.IFNA(INDEX(RulebookFields!C2:C999, MATCH(D1908,RulebookFields!A2:A999, 0)), "")</f>
      </c>
      <c r="I1908" s="3" t="str">
        <f>_xlfn.IFNA(INDEX(RulebookFields!D2:D999, MATCH(D1908,RulebookFields!A2:A999, 0)), "")</f>
      </c>
      <c r="J1908" s="3" t="str">
        <f>_xlfn.IFNA(INDEX(RulebookFields!I2:I999, MATCH(D1908,RulebookFields!A2:A999, 0)), "")</f>
      </c>
      <c r="K1908" s="3" t="b">
        <f>AND(F1908, J1908)</f>
        <v>0</v>
      </c>
      <c r="L1908" s="3" t="b">
        <f>AND(G1908 &lt;&gt; "plain", G1908 &lt;&gt; "")</f>
        <v>0</v>
      </c>
      <c r="M1908" s="3" t="str">
        <f>IF(E1908, C1908 &amp; "|" &amp; H1908, "")</f>
        <v>principal-process-steward|</v>
      </c>
      <c r="N1908" s="2" t="s">
        <v>9938</v>
      </c>
    </row>
    <row r="1909">
      <c r="A1909" s="2" t="s">
        <v>11845</v>
      </c>
      <c r="B1909" s="3" t="str">
        <f>C1909 &amp; " -&gt; " &amp; D1909</f>
        <v>principal-process-steward -&gt; TestSuites.IsGreen</v>
      </c>
      <c r="C1909" s="2" t="s">
        <v>9706</v>
      </c>
      <c r="D1909" s="2" t="s">
        <v>4138</v>
      </c>
      <c r="E1909" s="2" t="b">
        <v>1</v>
      </c>
      <c r="F1909" s="2" t="b">
        <v>0</v>
      </c>
      <c r="G1909" s="2" t="s">
        <v>9937</v>
      </c>
      <c r="H1909" s="3" t="str">
        <f>_xlfn.IFNA(INDEX(RulebookFields!C2:C999, MATCH(D1909,RulebookFields!A2:A999, 0)), "")</f>
      </c>
      <c r="I1909" s="3" t="str">
        <f>_xlfn.IFNA(INDEX(RulebookFields!D2:D999, MATCH(D1909,RulebookFields!A2:A999, 0)), "")</f>
      </c>
      <c r="J1909" s="3" t="str">
        <f>_xlfn.IFNA(INDEX(RulebookFields!I2:I999, MATCH(D1909,RulebookFields!A2:A999, 0)), "")</f>
      </c>
      <c r="K1909" s="3" t="b">
        <f>AND(F1909, J1909)</f>
        <v>0</v>
      </c>
      <c r="L1909" s="3" t="b">
        <f>AND(G1909 &lt;&gt; "plain", G1909 &lt;&gt; "")</f>
        <v>0</v>
      </c>
      <c r="M1909" s="3" t="str">
        <f>IF(E1909, C1909 &amp; "|" &amp; H1909, "")</f>
        <v>principal-process-steward|</v>
      </c>
      <c r="N1909" s="2" t="s">
        <v>9938</v>
      </c>
    </row>
    <row r="1910">
      <c r="A1910" s="2" t="s">
        <v>11846</v>
      </c>
      <c r="B1910" s="3" t="str">
        <f>C1910 &amp; " -&gt; " &amp; D1910</f>
        <v>principal-process-steward -&gt; TestSuites.SemanticTypeIri</v>
      </c>
      <c r="C1910" s="2" t="s">
        <v>9706</v>
      </c>
      <c r="D1910" s="2" t="s">
        <v>4141</v>
      </c>
      <c r="E1910" s="2" t="b">
        <v>1</v>
      </c>
      <c r="F1910" s="2" t="b">
        <v>0</v>
      </c>
      <c r="G1910" s="2" t="s">
        <v>9937</v>
      </c>
      <c r="H1910" s="3" t="str">
        <f>_xlfn.IFNA(INDEX(RulebookFields!C2:C999, MATCH(D1910,RulebookFields!A2:A999, 0)), "")</f>
      </c>
      <c r="I1910" s="3" t="str">
        <f>_xlfn.IFNA(INDEX(RulebookFields!D2:D999, MATCH(D1910,RulebookFields!A2:A999, 0)), "")</f>
      </c>
      <c r="J1910" s="3" t="str">
        <f>_xlfn.IFNA(INDEX(RulebookFields!I2:I999, MATCH(D1910,RulebookFields!A2:A999, 0)), "")</f>
      </c>
      <c r="K1910" s="3" t="b">
        <f>AND(F1910, J1910)</f>
        <v>0</v>
      </c>
      <c r="L1910" s="3" t="b">
        <f>AND(G1910 &lt;&gt; "plain", G1910 &lt;&gt; "")</f>
        <v>0</v>
      </c>
      <c r="M1910" s="3" t="str">
        <f>IF(E1910, C1910 &amp; "|" &amp; H1910, "")</f>
        <v>principal-process-steward|</v>
      </c>
      <c r="N1910" s="2" t="s">
        <v>9938</v>
      </c>
    </row>
    <row r="1911">
      <c r="A1911" s="2" t="s">
        <v>11847</v>
      </c>
      <c r="B1911" s="3" t="str">
        <f>C1911 &amp; " -&gt; " &amp; D1911</f>
        <v>principal-process-steward -&gt; Tools.ToolId</v>
      </c>
      <c r="C1911" s="2" t="s">
        <v>9706</v>
      </c>
      <c r="D1911" s="2" t="s">
        <v>2956</v>
      </c>
      <c r="E1911" s="2" t="b">
        <v>1</v>
      </c>
      <c r="F1911" s="2" t="b">
        <v>0</v>
      </c>
      <c r="G1911" s="2" t="s">
        <v>9937</v>
      </c>
      <c r="H1911" s="3" t="str">
        <f>_xlfn.IFNA(INDEX(RulebookFields!C2:C999, MATCH(D1911,RulebookFields!A2:A999, 0)), "")</f>
        <v>Tools</v>
      </c>
      <c r="I1911" s="3" t="str">
        <f>_xlfn.IFNA(INDEX(RulebookFields!D2:D999, MATCH(D1911,RulebookFields!A2:A999, 0)), "")</f>
        <v>ToolId</v>
      </c>
      <c r="J1911" s="3" t="b">
        <f>_xlfn.IFNA(INDEX(RulebookFields!I2:I999, MATCH(D1911,RulebookFields!A2:A999, 0)), "")</f>
        <v>0</v>
      </c>
      <c r="K1911" s="3" t="b">
        <f>AND(F1911, J1911)</f>
        <v>0</v>
      </c>
      <c r="L1911" s="3" t="b">
        <f>AND(G1911 &lt;&gt; "plain", G1911 &lt;&gt; "")</f>
        <v>0</v>
      </c>
      <c r="M1911" s="3" t="str">
        <f>IF(E1911, C1911 &amp; "|" &amp; H1911, "")</f>
        <v>principal-process-steward|Tools</v>
      </c>
      <c r="N1911" s="2" t="s">
        <v>9938</v>
      </c>
    </row>
    <row r="1912">
      <c r="A1912" s="2" t="s">
        <v>11848</v>
      </c>
      <c r="B1912" s="3" t="str">
        <f>C1912 &amp; " -&gt; " &amp; D1912</f>
        <v>principal-process-steward -&gt; Tools.Name</v>
      </c>
      <c r="C1912" s="2" t="s">
        <v>9706</v>
      </c>
      <c r="D1912" s="2" t="s">
        <v>2957</v>
      </c>
      <c r="E1912" s="2" t="b">
        <v>1</v>
      </c>
      <c r="F1912" s="2" t="b">
        <v>0</v>
      </c>
      <c r="G1912" s="2" t="s">
        <v>9937</v>
      </c>
      <c r="H1912" s="3" t="str">
        <f>_xlfn.IFNA(INDEX(RulebookFields!C2:C999, MATCH(D1912,RulebookFields!A2:A999, 0)), "")</f>
        <v>Tools</v>
      </c>
      <c r="I1912" s="3" t="str">
        <f>_xlfn.IFNA(INDEX(RulebookFields!D2:D999, MATCH(D1912,RulebookFields!A2:A999, 0)), "")</f>
        <v>Name</v>
      </c>
      <c r="J1912" s="3" t="b">
        <f>_xlfn.IFNA(INDEX(RulebookFields!I2:I999, MATCH(D1912,RulebookFields!A2:A999, 0)), "")</f>
        <v>1</v>
      </c>
      <c r="K1912" s="3" t="b">
        <f>AND(F1912, J1912)</f>
        <v>0</v>
      </c>
      <c r="L1912" s="3" t="b">
        <f>AND(G1912 &lt;&gt; "plain", G1912 &lt;&gt; "")</f>
        <v>0</v>
      </c>
      <c r="M1912" s="3" t="str">
        <f>IF(E1912, C1912 &amp; "|" &amp; H1912, "")</f>
        <v>principal-process-steward|Tools</v>
      </c>
      <c r="N1912" s="2" t="s">
        <v>9938</v>
      </c>
    </row>
    <row r="1913">
      <c r="A1913" s="2" t="s">
        <v>11849</v>
      </c>
      <c r="B1913" s="3" t="str">
        <f>C1913 &amp; " -&gt; " &amp; D1913</f>
        <v>principal-process-steward -&gt; Tools.Label</v>
      </c>
      <c r="C1913" s="2" t="s">
        <v>9706</v>
      </c>
      <c r="D1913" s="2" t="s">
        <v>2958</v>
      </c>
      <c r="E1913" s="2" t="b">
        <v>1</v>
      </c>
      <c r="F1913" s="2" t="b">
        <v>0</v>
      </c>
      <c r="G1913" s="2" t="s">
        <v>9937</v>
      </c>
      <c r="H1913" s="3" t="str">
        <f>_xlfn.IFNA(INDEX(RulebookFields!C2:C999, MATCH(D1913,RulebookFields!A2:A999, 0)), "")</f>
        <v>Tools</v>
      </c>
      <c r="I1913" s="3" t="str">
        <f>_xlfn.IFNA(INDEX(RulebookFields!D2:D999, MATCH(D1913,RulebookFields!A2:A999, 0)), "")</f>
        <v>Label</v>
      </c>
      <c r="J1913" s="3" t="b">
        <f>_xlfn.IFNA(INDEX(RulebookFields!I2:I999, MATCH(D1913,RulebookFields!A2:A999, 0)), "")</f>
        <v>0</v>
      </c>
      <c r="K1913" s="3" t="b">
        <f>AND(F1913, J1913)</f>
        <v>0</v>
      </c>
      <c r="L1913" s="3" t="b">
        <f>AND(G1913 &lt;&gt; "plain", G1913 &lt;&gt; "")</f>
        <v>0</v>
      </c>
      <c r="M1913" s="3" t="str">
        <f>IF(E1913, C1913 &amp; "|" &amp; H1913, "")</f>
        <v>principal-process-steward|Tools</v>
      </c>
      <c r="N1913" s="2" t="s">
        <v>9938</v>
      </c>
    </row>
    <row r="1914">
      <c r="A1914" s="2" t="s">
        <v>11850</v>
      </c>
      <c r="B1914" s="3" t="str">
        <f>C1914 &amp; " -&gt; " &amp; D1914</f>
        <v>principal-process-steward -&gt; Tools.Purpose</v>
      </c>
      <c r="C1914" s="2" t="s">
        <v>9706</v>
      </c>
      <c r="D1914" s="2" t="s">
        <v>2959</v>
      </c>
      <c r="E1914" s="2" t="b">
        <v>1</v>
      </c>
      <c r="F1914" s="2" t="b">
        <v>0</v>
      </c>
      <c r="G1914" s="2" t="s">
        <v>9937</v>
      </c>
      <c r="H1914" s="3" t="str">
        <f>_xlfn.IFNA(INDEX(RulebookFields!C2:C999, MATCH(D1914,RulebookFields!A2:A999, 0)), "")</f>
        <v>Tools</v>
      </c>
      <c r="I1914" s="3" t="str">
        <f>_xlfn.IFNA(INDEX(RulebookFields!D2:D999, MATCH(D1914,RulebookFields!A2:A999, 0)), "")</f>
        <v>Purpose</v>
      </c>
      <c r="J1914" s="3" t="b">
        <f>_xlfn.IFNA(INDEX(RulebookFields!I2:I999, MATCH(D1914,RulebookFields!A2:A999, 0)), "")</f>
        <v>0</v>
      </c>
      <c r="K1914" s="3" t="b">
        <f>AND(F1914, J1914)</f>
        <v>0</v>
      </c>
      <c r="L1914" s="3" t="b">
        <f>AND(G1914 &lt;&gt; "plain", G1914 &lt;&gt; "")</f>
        <v>0</v>
      </c>
      <c r="M1914" s="3" t="str">
        <f>IF(E1914, C1914 &amp; "|" &amp; H1914, "")</f>
        <v>principal-process-steward|Tools</v>
      </c>
      <c r="N1914" s="2" t="s">
        <v>9938</v>
      </c>
    </row>
    <row r="1915">
      <c r="A1915" s="2" t="s">
        <v>11851</v>
      </c>
      <c r="B1915" s="3" t="str">
        <f>C1915 &amp; " -&gt; " &amp; D1915</f>
        <v>principal-process-steward -&gt; Tools.SemanticTypeIri</v>
      </c>
      <c r="C1915" s="2" t="s">
        <v>9706</v>
      </c>
      <c r="D1915" s="2" t="s">
        <v>2960</v>
      </c>
      <c r="E1915" s="2" t="b">
        <v>1</v>
      </c>
      <c r="F1915" s="2" t="b">
        <v>0</v>
      </c>
      <c r="G1915" s="2" t="s">
        <v>9937</v>
      </c>
      <c r="H1915" s="3" t="str">
        <f>_xlfn.IFNA(INDEX(RulebookFields!C2:C999, MATCH(D1915,RulebookFields!A2:A999, 0)), "")</f>
        <v>Tools</v>
      </c>
      <c r="I1915" s="3" t="str">
        <f>_xlfn.IFNA(INDEX(RulebookFields!D2:D999, MATCH(D1915,RulebookFields!A2:A999, 0)), "")</f>
        <v>SemanticTypeIri</v>
      </c>
      <c r="J1915" s="3" t="b">
        <f>_xlfn.IFNA(INDEX(RulebookFields!I2:I999, MATCH(D1915,RulebookFields!A2:A999, 0)), "")</f>
        <v>0</v>
      </c>
      <c r="K1915" s="3" t="b">
        <f>AND(F1915, J1915)</f>
        <v>0</v>
      </c>
      <c r="L1915" s="3" t="b">
        <f>AND(G1915 &lt;&gt; "plain", G1915 &lt;&gt; "")</f>
        <v>0</v>
      </c>
      <c r="M1915" s="3" t="str">
        <f>IF(E1915, C1915 &amp; "|" &amp; H1915, "")</f>
        <v>principal-process-steward|Tools</v>
      </c>
      <c r="N1915" s="2" t="s">
        <v>9938</v>
      </c>
    </row>
    <row r="1916">
      <c r="A1916" s="2" t="s">
        <v>11852</v>
      </c>
      <c r="B1916" s="3" t="str">
        <f>C1916 &amp; " -&gt; " &amp; D1916</f>
        <v>principal-process-steward -&gt; UserFeedback.UserFeedbackId</v>
      </c>
      <c r="C1916" s="2" t="s">
        <v>9706</v>
      </c>
      <c r="D1916" s="2" t="s">
        <v>3820</v>
      </c>
      <c r="E1916" s="2" t="b">
        <v>1</v>
      </c>
      <c r="F1916" s="2" t="b">
        <v>0</v>
      </c>
      <c r="G1916" s="2" t="s">
        <v>9937</v>
      </c>
      <c r="H1916" s="3" t="str">
        <f>_xlfn.IFNA(INDEX(RulebookFields!C2:C999, MATCH(D1916,RulebookFields!A2:A999, 0)), "")</f>
        <v>UserFeedback</v>
      </c>
      <c r="I1916" s="3" t="str">
        <f>_xlfn.IFNA(INDEX(RulebookFields!D2:D999, MATCH(D1916,RulebookFields!A2:A999, 0)), "")</f>
        <v>UserFeedbackId</v>
      </c>
      <c r="J1916" s="3" t="b">
        <f>_xlfn.IFNA(INDEX(RulebookFields!I2:I999, MATCH(D1916,RulebookFields!A2:A999, 0)), "")</f>
        <v>0</v>
      </c>
      <c r="K1916" s="3" t="b">
        <f>AND(F1916, J1916)</f>
        <v>0</v>
      </c>
      <c r="L1916" s="3" t="b">
        <f>AND(G1916 &lt;&gt; "plain", G1916 &lt;&gt; "")</f>
        <v>0</v>
      </c>
      <c r="M1916" s="3" t="str">
        <f>IF(E1916, C1916 &amp; "|" &amp; H1916, "")</f>
        <v>principal-process-steward|UserFeedback</v>
      </c>
      <c r="N1916" s="2" t="s">
        <v>9938</v>
      </c>
    </row>
    <row r="1917">
      <c r="A1917" s="2" t="s">
        <v>11853</v>
      </c>
      <c r="B1917" s="3" t="str">
        <f>C1917 &amp; " -&gt; " &amp; D1917</f>
        <v>principal-process-steward -&gt; UserFeedback.Name</v>
      </c>
      <c r="C1917" s="2" t="s">
        <v>9706</v>
      </c>
      <c r="D1917" s="2" t="s">
        <v>3821</v>
      </c>
      <c r="E1917" s="2" t="b">
        <v>1</v>
      </c>
      <c r="F1917" s="2" t="b">
        <v>0</v>
      </c>
      <c r="G1917" s="2" t="s">
        <v>9937</v>
      </c>
      <c r="H1917" s="3" t="str">
        <f>_xlfn.IFNA(INDEX(RulebookFields!C2:C999, MATCH(D1917,RulebookFields!A2:A999, 0)), "")</f>
        <v>UserFeedback</v>
      </c>
      <c r="I1917" s="3" t="str">
        <f>_xlfn.IFNA(INDEX(RulebookFields!D2:D999, MATCH(D1917,RulebookFields!A2:A999, 0)), "")</f>
        <v>Name</v>
      </c>
      <c r="J1917" s="3" t="b">
        <f>_xlfn.IFNA(INDEX(RulebookFields!I2:I999, MATCH(D1917,RulebookFields!A2:A999, 0)), "")</f>
        <v>1</v>
      </c>
      <c r="K1917" s="3" t="b">
        <f>AND(F1917, J1917)</f>
        <v>0</v>
      </c>
      <c r="L1917" s="3" t="b">
        <f>AND(G1917 &lt;&gt; "plain", G1917 &lt;&gt; "")</f>
        <v>0</v>
      </c>
      <c r="M1917" s="3" t="str">
        <f>IF(E1917, C1917 &amp; "|" &amp; H1917, "")</f>
        <v>principal-process-steward|UserFeedback</v>
      </c>
      <c r="N1917" s="2" t="s">
        <v>9938</v>
      </c>
    </row>
    <row r="1918">
      <c r="A1918" s="2" t="s">
        <v>11854</v>
      </c>
      <c r="B1918" s="3" t="str">
        <f>C1918 &amp; " -&gt; " &amp; D1918</f>
        <v>principal-process-steward -&gt; UserFeedback.ProcedureExecution</v>
      </c>
      <c r="C1918" s="2" t="s">
        <v>9706</v>
      </c>
      <c r="D1918" s="2" t="s">
        <v>3823</v>
      </c>
      <c r="E1918" s="2" t="b">
        <v>1</v>
      </c>
      <c r="F1918" s="2" t="b">
        <v>0</v>
      </c>
      <c r="G1918" s="2" t="s">
        <v>9937</v>
      </c>
      <c r="H1918" s="3" t="str">
        <f>_xlfn.IFNA(INDEX(RulebookFields!C2:C999, MATCH(D1918,RulebookFields!A2:A999, 0)), "")</f>
        <v>UserFeedback</v>
      </c>
      <c r="I1918" s="3" t="str">
        <f>_xlfn.IFNA(INDEX(RulebookFields!D2:D999, MATCH(D1918,RulebookFields!A2:A999, 0)), "")</f>
        <v>ProcedureExecution</v>
      </c>
      <c r="J1918" s="3" t="b">
        <f>_xlfn.IFNA(INDEX(RulebookFields!I2:I999, MATCH(D1918,RulebookFields!A2:A999, 0)), "")</f>
        <v>0</v>
      </c>
      <c r="K1918" s="3" t="b">
        <f>AND(F1918, J1918)</f>
        <v>0</v>
      </c>
      <c r="L1918" s="3" t="b">
        <f>AND(G1918 &lt;&gt; "plain", G1918 &lt;&gt; "")</f>
        <v>0</v>
      </c>
      <c r="M1918" s="3" t="str">
        <f>IF(E1918, C1918 &amp; "|" &amp; H1918, "")</f>
        <v>principal-process-steward|UserFeedback</v>
      </c>
      <c r="N1918" s="2" t="s">
        <v>9938</v>
      </c>
    </row>
    <row r="1919">
      <c r="A1919" s="2" t="s">
        <v>11855</v>
      </c>
      <c r="B1919" s="3" t="str">
        <f>C1919 &amp; " -&gt; " &amp; D1919</f>
        <v>principal-process-steward -&gt; UserFeedback.ProvidedByAgent</v>
      </c>
      <c r="C1919" s="2" t="s">
        <v>9706</v>
      </c>
      <c r="D1919" s="2" t="s">
        <v>3824</v>
      </c>
      <c r="E1919" s="2" t="b">
        <v>1</v>
      </c>
      <c r="F1919" s="2" t="b">
        <v>0</v>
      </c>
      <c r="G1919" s="2" t="s">
        <v>9937</v>
      </c>
      <c r="H1919" s="3" t="str">
        <f>_xlfn.IFNA(INDEX(RulebookFields!C2:C999, MATCH(D1919,RulebookFields!A2:A999, 0)), "")</f>
        <v>UserFeedback</v>
      </c>
      <c r="I1919" s="3" t="str">
        <f>_xlfn.IFNA(INDEX(RulebookFields!D2:D999, MATCH(D1919,RulebookFields!A2:A999, 0)), "")</f>
        <v>ProvidedByAgent</v>
      </c>
      <c r="J1919" s="3" t="b">
        <f>_xlfn.IFNA(INDEX(RulebookFields!I2:I999, MATCH(D1919,RulebookFields!A2:A999, 0)), "")</f>
        <v>0</v>
      </c>
      <c r="K1919" s="3" t="b">
        <f>AND(F1919, J1919)</f>
        <v>0</v>
      </c>
      <c r="L1919" s="3" t="b">
        <f>AND(G1919 &lt;&gt; "plain", G1919 &lt;&gt; "")</f>
        <v>0</v>
      </c>
      <c r="M1919" s="3" t="str">
        <f>IF(E1919, C1919 &amp; "|" &amp; H1919, "")</f>
        <v>principal-process-steward|UserFeedback</v>
      </c>
      <c r="N1919" s="2" t="s">
        <v>9938</v>
      </c>
    </row>
    <row r="1920">
      <c r="A1920" s="2" t="s">
        <v>11856</v>
      </c>
      <c r="B1920" s="3" t="str">
        <f>C1920 &amp; " -&gt; " &amp; D1920</f>
        <v>principal-process-steward -&gt; UserFeedback.ProvidedAt</v>
      </c>
      <c r="C1920" s="2" t="s">
        <v>9706</v>
      </c>
      <c r="D1920" s="2" t="s">
        <v>3825</v>
      </c>
      <c r="E1920" s="2" t="b">
        <v>1</v>
      </c>
      <c r="F1920" s="2" t="b">
        <v>0</v>
      </c>
      <c r="G1920" s="2" t="s">
        <v>9937</v>
      </c>
      <c r="H1920" s="3" t="str">
        <f>_xlfn.IFNA(INDEX(RulebookFields!C2:C999, MATCH(D1920,RulebookFields!A2:A999, 0)), "")</f>
        <v>UserFeedback</v>
      </c>
      <c r="I1920" s="3" t="str">
        <f>_xlfn.IFNA(INDEX(RulebookFields!D2:D999, MATCH(D1920,RulebookFields!A2:A999, 0)), "")</f>
        <v>ProvidedAt</v>
      </c>
      <c r="J1920" s="3" t="b">
        <f>_xlfn.IFNA(INDEX(RulebookFields!I2:I999, MATCH(D1920,RulebookFields!A2:A999, 0)), "")</f>
        <v>0</v>
      </c>
      <c r="K1920" s="3" t="b">
        <f>AND(F1920, J1920)</f>
        <v>0</v>
      </c>
      <c r="L1920" s="3" t="b">
        <f>AND(G1920 &lt;&gt; "plain", G1920 &lt;&gt; "")</f>
        <v>0</v>
      </c>
      <c r="M1920" s="3" t="str">
        <f>IF(E1920, C1920 &amp; "|" &amp; H1920, "")</f>
        <v>principal-process-steward|UserFeedback</v>
      </c>
      <c r="N1920" s="2" t="s">
        <v>9938</v>
      </c>
    </row>
    <row r="1921">
      <c r="A1921" s="2" t="s">
        <v>11857</v>
      </c>
      <c r="B1921" s="3" t="str">
        <f>C1921 &amp; " -&gt; " &amp; D1921</f>
        <v>principal-process-steward -&gt; UserFeedback.FeedbackText</v>
      </c>
      <c r="C1921" s="2" t="s">
        <v>9706</v>
      </c>
      <c r="D1921" s="2" t="s">
        <v>3826</v>
      </c>
      <c r="E1921" s="2" t="b">
        <v>1</v>
      </c>
      <c r="F1921" s="2" t="b">
        <v>0</v>
      </c>
      <c r="G1921" s="2" t="s">
        <v>9937</v>
      </c>
      <c r="H1921" s="3" t="str">
        <f>_xlfn.IFNA(INDEX(RulebookFields!C2:C999, MATCH(D1921,RulebookFields!A2:A999, 0)), "")</f>
        <v>UserFeedback</v>
      </c>
      <c r="I1921" s="3" t="str">
        <f>_xlfn.IFNA(INDEX(RulebookFields!D2:D999, MATCH(D1921,RulebookFields!A2:A999, 0)), "")</f>
        <v>FeedbackText</v>
      </c>
      <c r="J1921" s="3" t="b">
        <f>_xlfn.IFNA(INDEX(RulebookFields!I2:I999, MATCH(D1921,RulebookFields!A2:A999, 0)), "")</f>
        <v>0</v>
      </c>
      <c r="K1921" s="3" t="b">
        <f>AND(F1921, J1921)</f>
        <v>0</v>
      </c>
      <c r="L1921" s="3" t="b">
        <f>AND(G1921 &lt;&gt; "plain", G1921 &lt;&gt; "")</f>
        <v>0</v>
      </c>
      <c r="M1921" s="3" t="str">
        <f>IF(E1921, C1921 &amp; "|" &amp; H1921, "")</f>
        <v>principal-process-steward|UserFeedback</v>
      </c>
      <c r="N1921" s="2" t="s">
        <v>9938</v>
      </c>
    </row>
    <row r="1922">
      <c r="A1922" s="2" t="s">
        <v>11858</v>
      </c>
      <c r="B1922" s="3" t="str">
        <f>C1922 &amp; " -&gt; " &amp; D1922</f>
        <v>principal-process-steward -&gt; UserFeedback.Disposition</v>
      </c>
      <c r="C1922" s="2" t="s">
        <v>9706</v>
      </c>
      <c r="D1922" s="2" t="s">
        <v>3827</v>
      </c>
      <c r="E1922" s="2" t="b">
        <v>1</v>
      </c>
      <c r="F1922" s="2" t="b">
        <v>0</v>
      </c>
      <c r="G1922" s="2" t="s">
        <v>9937</v>
      </c>
      <c r="H1922" s="3" t="str">
        <f>_xlfn.IFNA(INDEX(RulebookFields!C2:C999, MATCH(D1922,RulebookFields!A2:A999, 0)), "")</f>
        <v>UserFeedback</v>
      </c>
      <c r="I1922" s="3" t="str">
        <f>_xlfn.IFNA(INDEX(RulebookFields!D2:D999, MATCH(D1922,RulebookFields!A2:A999, 0)), "")</f>
        <v>Disposition</v>
      </c>
      <c r="J1922" s="3" t="b">
        <f>_xlfn.IFNA(INDEX(RulebookFields!I2:I999, MATCH(D1922,RulebookFields!A2:A999, 0)), "")</f>
        <v>0</v>
      </c>
      <c r="K1922" s="3" t="b">
        <f>AND(F1922, J1922)</f>
        <v>0</v>
      </c>
      <c r="L1922" s="3" t="b">
        <f>AND(G1922 &lt;&gt; "plain", G1922 &lt;&gt; "")</f>
        <v>0</v>
      </c>
      <c r="M1922" s="3" t="str">
        <f>IF(E1922, C1922 &amp; "|" &amp; H1922, "")</f>
        <v>principal-process-steward|UserFeedback</v>
      </c>
      <c r="N1922" s="2" t="s">
        <v>9938</v>
      </c>
    </row>
    <row r="1923">
      <c r="A1923" s="2" t="s">
        <v>11859</v>
      </c>
      <c r="B1923" s="3" t="str">
        <f>C1923 &amp; " -&gt; " &amp; D1923</f>
        <v>principal-process-steward -&gt; UserFeedback.ChangeRequestKey</v>
      </c>
      <c r="C1923" s="2" t="s">
        <v>9706</v>
      </c>
      <c r="D1923" s="2" t="s">
        <v>3828</v>
      </c>
      <c r="E1923" s="2" t="b">
        <v>1</v>
      </c>
      <c r="F1923" s="2" t="b">
        <v>0</v>
      </c>
      <c r="G1923" s="2" t="s">
        <v>9937</v>
      </c>
      <c r="H1923" s="3" t="str">
        <f>_xlfn.IFNA(INDEX(RulebookFields!C2:C999, MATCH(D1923,RulebookFields!A2:A999, 0)), "")</f>
        <v>UserFeedback</v>
      </c>
      <c r="I1923" s="3" t="str">
        <f>_xlfn.IFNA(INDEX(RulebookFields!D2:D999, MATCH(D1923,RulebookFields!A2:A999, 0)), "")</f>
        <v>ChangeRequestKey</v>
      </c>
      <c r="J1923" s="3" t="b">
        <f>_xlfn.IFNA(INDEX(RulebookFields!I2:I999, MATCH(D1923,RulebookFields!A2:A999, 0)), "")</f>
        <v>0</v>
      </c>
      <c r="K1923" s="3" t="b">
        <f>AND(F1923, J1923)</f>
        <v>0</v>
      </c>
      <c r="L1923" s="3" t="b">
        <f>AND(G1923 &lt;&gt; "plain", G1923 &lt;&gt; "")</f>
        <v>0</v>
      </c>
      <c r="M1923" s="3" t="str">
        <f>IF(E1923, C1923 &amp; "|" &amp; H1923, "")</f>
        <v>principal-process-steward|UserFeedback</v>
      </c>
      <c r="N1923" s="2" t="s">
        <v>9938</v>
      </c>
    </row>
    <row r="1924">
      <c r="A1924" s="2" t="s">
        <v>11860</v>
      </c>
      <c r="B1924" s="3" t="str">
        <f>C1924 &amp; " -&gt; " &amp; D1924</f>
        <v>principal-process-steward -&gt; UserFeedback.SemanticTypeIri</v>
      </c>
      <c r="C1924" s="2" t="s">
        <v>9706</v>
      </c>
      <c r="D1924" s="2" t="s">
        <v>3829</v>
      </c>
      <c r="E1924" s="2" t="b">
        <v>1</v>
      </c>
      <c r="F1924" s="2" t="b">
        <v>0</v>
      </c>
      <c r="G1924" s="2" t="s">
        <v>9937</v>
      </c>
      <c r="H1924" s="3" t="str">
        <f>_xlfn.IFNA(INDEX(RulebookFields!C2:C999, MATCH(D1924,RulebookFields!A2:A999, 0)), "")</f>
        <v>UserFeedback</v>
      </c>
      <c r="I1924" s="3" t="str">
        <f>_xlfn.IFNA(INDEX(RulebookFields!D2:D999, MATCH(D1924,RulebookFields!A2:A999, 0)), "")</f>
        <v>SemanticTypeIri</v>
      </c>
      <c r="J1924" s="3" t="b">
        <f>_xlfn.IFNA(INDEX(RulebookFields!I2:I999, MATCH(D1924,RulebookFields!A2:A999, 0)), "")</f>
        <v>0</v>
      </c>
      <c r="K1924" s="3" t="b">
        <f>AND(F1924, J1924)</f>
        <v>0</v>
      </c>
      <c r="L1924" s="3" t="b">
        <f>AND(G1924 &lt;&gt; "plain", G1924 &lt;&gt; "")</f>
        <v>0</v>
      </c>
      <c r="M1924" s="3" t="str">
        <f>IF(E1924, C1924 &amp; "|" &amp; H1924, "")</f>
        <v>principal-process-steward|UserFeedback</v>
      </c>
      <c r="N1924" s="2" t="s">
        <v>9938</v>
      </c>
    </row>
    <row r="1925">
      <c r="A1925" s="2" t="s">
        <v>11861</v>
      </c>
      <c r="B1925" s="3" t="str">
        <f>C1925 &amp; " -&gt; " &amp; D1925</f>
        <v>principal-process-steward -&gt; UserQuestions.UserQuestionId</v>
      </c>
      <c r="C1925" s="2" t="s">
        <v>9706</v>
      </c>
      <c r="D1925" s="2" t="s">
        <v>3809</v>
      </c>
      <c r="E1925" s="2" t="b">
        <v>1</v>
      </c>
      <c r="F1925" s="2" t="b">
        <v>0</v>
      </c>
      <c r="G1925" s="2" t="s">
        <v>9937</v>
      </c>
      <c r="H1925" s="3" t="str">
        <f>_xlfn.IFNA(INDEX(RulebookFields!C2:C999, MATCH(D1925,RulebookFields!A2:A999, 0)), "")</f>
        <v>UserQuestions</v>
      </c>
      <c r="I1925" s="3" t="str">
        <f>_xlfn.IFNA(INDEX(RulebookFields!D2:D999, MATCH(D1925,RulebookFields!A2:A999, 0)), "")</f>
        <v>UserQuestionId</v>
      </c>
      <c r="J1925" s="3" t="b">
        <f>_xlfn.IFNA(INDEX(RulebookFields!I2:I999, MATCH(D1925,RulebookFields!A2:A999, 0)), "")</f>
        <v>0</v>
      </c>
      <c r="K1925" s="3" t="b">
        <f>AND(F1925, J1925)</f>
        <v>0</v>
      </c>
      <c r="L1925" s="3" t="b">
        <f>AND(G1925 &lt;&gt; "plain", G1925 &lt;&gt; "")</f>
        <v>0</v>
      </c>
      <c r="M1925" s="3" t="str">
        <f>IF(E1925, C1925 &amp; "|" &amp; H1925, "")</f>
        <v>principal-process-steward|UserQuestions</v>
      </c>
      <c r="N1925" s="2" t="s">
        <v>9938</v>
      </c>
    </row>
    <row r="1926">
      <c r="A1926" s="2" t="s">
        <v>11862</v>
      </c>
      <c r="B1926" s="3" t="str">
        <f>C1926 &amp; " -&gt; " &amp; D1926</f>
        <v>principal-process-steward -&gt; UserQuestions.Name</v>
      </c>
      <c r="C1926" s="2" t="s">
        <v>9706</v>
      </c>
      <c r="D1926" s="2" t="s">
        <v>3810</v>
      </c>
      <c r="E1926" s="2" t="b">
        <v>1</v>
      </c>
      <c r="F1926" s="2" t="b">
        <v>0</v>
      </c>
      <c r="G1926" s="2" t="s">
        <v>9937</v>
      </c>
      <c r="H1926" s="3" t="str">
        <f>_xlfn.IFNA(INDEX(RulebookFields!C2:C999, MATCH(D1926,RulebookFields!A2:A999, 0)), "")</f>
        <v>UserQuestions</v>
      </c>
      <c r="I1926" s="3" t="str">
        <f>_xlfn.IFNA(INDEX(RulebookFields!D2:D999, MATCH(D1926,RulebookFields!A2:A999, 0)), "")</f>
        <v>Name</v>
      </c>
      <c r="J1926" s="3" t="b">
        <f>_xlfn.IFNA(INDEX(RulebookFields!I2:I999, MATCH(D1926,RulebookFields!A2:A999, 0)), "")</f>
        <v>1</v>
      </c>
      <c r="K1926" s="3" t="b">
        <f>AND(F1926, J1926)</f>
        <v>0</v>
      </c>
      <c r="L1926" s="3" t="b">
        <f>AND(G1926 &lt;&gt; "plain", G1926 &lt;&gt; "")</f>
        <v>0</v>
      </c>
      <c r="M1926" s="3" t="str">
        <f>IF(E1926, C1926 &amp; "|" &amp; H1926, "")</f>
        <v>principal-process-steward|UserQuestions</v>
      </c>
      <c r="N1926" s="2" t="s">
        <v>9938</v>
      </c>
    </row>
    <row r="1927">
      <c r="A1927" s="2" t="s">
        <v>11863</v>
      </c>
      <c r="B1927" s="3" t="str">
        <f>C1927 &amp; " -&gt; " &amp; D1927</f>
        <v>principal-process-steward -&gt; UserQuestions.StepExecution</v>
      </c>
      <c r="C1927" s="2" t="s">
        <v>9706</v>
      </c>
      <c r="D1927" s="2" t="s">
        <v>3812</v>
      </c>
      <c r="E1927" s="2" t="b">
        <v>1</v>
      </c>
      <c r="F1927" s="2" t="b">
        <v>0</v>
      </c>
      <c r="G1927" s="2" t="s">
        <v>9937</v>
      </c>
      <c r="H1927" s="3" t="str">
        <f>_xlfn.IFNA(INDEX(RulebookFields!C2:C999, MATCH(D1927,RulebookFields!A2:A999, 0)), "")</f>
        <v>UserQuestions</v>
      </c>
      <c r="I1927" s="3" t="str">
        <f>_xlfn.IFNA(INDEX(RulebookFields!D2:D999, MATCH(D1927,RulebookFields!A2:A999, 0)), "")</f>
        <v>StepExecution</v>
      </c>
      <c r="J1927" s="3" t="b">
        <f>_xlfn.IFNA(INDEX(RulebookFields!I2:I999, MATCH(D1927,RulebookFields!A2:A999, 0)), "")</f>
        <v>0</v>
      </c>
      <c r="K1927" s="3" t="b">
        <f>AND(F1927, J1927)</f>
        <v>0</v>
      </c>
      <c r="L1927" s="3" t="b">
        <f>AND(G1927 &lt;&gt; "plain", G1927 &lt;&gt; "")</f>
        <v>0</v>
      </c>
      <c r="M1927" s="3" t="str">
        <f>IF(E1927, C1927 &amp; "|" &amp; H1927, "")</f>
        <v>principal-process-steward|UserQuestions</v>
      </c>
      <c r="N1927" s="2" t="s">
        <v>9938</v>
      </c>
    </row>
    <row r="1928">
      <c r="A1928" s="2" t="s">
        <v>11864</v>
      </c>
      <c r="B1928" s="3" t="str">
        <f>C1928 &amp; " -&gt; " &amp; D1928</f>
        <v>principal-process-steward -&gt; UserQuestions.AskedByAgent</v>
      </c>
      <c r="C1928" s="2" t="s">
        <v>9706</v>
      </c>
      <c r="D1928" s="2" t="s">
        <v>3813</v>
      </c>
      <c r="E1928" s="2" t="b">
        <v>1</v>
      </c>
      <c r="F1928" s="2" t="b">
        <v>0</v>
      </c>
      <c r="G1928" s="2" t="s">
        <v>9937</v>
      </c>
      <c r="H1928" s="3" t="str">
        <f>_xlfn.IFNA(INDEX(RulebookFields!C2:C999, MATCH(D1928,RulebookFields!A2:A999, 0)), "")</f>
        <v>UserQuestions</v>
      </c>
      <c r="I1928" s="3" t="str">
        <f>_xlfn.IFNA(INDEX(RulebookFields!D2:D999, MATCH(D1928,RulebookFields!A2:A999, 0)), "")</f>
        <v>AskedByAgent</v>
      </c>
      <c r="J1928" s="3" t="b">
        <f>_xlfn.IFNA(INDEX(RulebookFields!I2:I999, MATCH(D1928,RulebookFields!A2:A999, 0)), "")</f>
        <v>0</v>
      </c>
      <c r="K1928" s="3" t="b">
        <f>AND(F1928, J1928)</f>
        <v>0</v>
      </c>
      <c r="L1928" s="3" t="b">
        <f>AND(G1928 &lt;&gt; "plain", G1928 &lt;&gt; "")</f>
        <v>0</v>
      </c>
      <c r="M1928" s="3" t="str">
        <f>IF(E1928, C1928 &amp; "|" &amp; H1928, "")</f>
        <v>principal-process-steward|UserQuestions</v>
      </c>
      <c r="N1928" s="2" t="s">
        <v>9938</v>
      </c>
    </row>
    <row r="1929">
      <c r="A1929" s="2" t="s">
        <v>11865</v>
      </c>
      <c r="B1929" s="3" t="str">
        <f>C1929 &amp; " -&gt; " &amp; D1929</f>
        <v>principal-process-steward -&gt; UserQuestions.AskedAt</v>
      </c>
      <c r="C1929" s="2" t="s">
        <v>9706</v>
      </c>
      <c r="D1929" s="2" t="s">
        <v>3814</v>
      </c>
      <c r="E1929" s="2" t="b">
        <v>1</v>
      </c>
      <c r="F1929" s="2" t="b">
        <v>0</v>
      </c>
      <c r="G1929" s="2" t="s">
        <v>9937</v>
      </c>
      <c r="H1929" s="3" t="str">
        <f>_xlfn.IFNA(INDEX(RulebookFields!C2:C999, MATCH(D1929,RulebookFields!A2:A999, 0)), "")</f>
        <v>UserQuestions</v>
      </c>
      <c r="I1929" s="3" t="str">
        <f>_xlfn.IFNA(INDEX(RulebookFields!D2:D999, MATCH(D1929,RulebookFields!A2:A999, 0)), "")</f>
        <v>AskedAt</v>
      </c>
      <c r="J1929" s="3" t="b">
        <f>_xlfn.IFNA(INDEX(RulebookFields!I2:I999, MATCH(D1929,RulebookFields!A2:A999, 0)), "")</f>
        <v>0</v>
      </c>
      <c r="K1929" s="3" t="b">
        <f>AND(F1929, J1929)</f>
        <v>0</v>
      </c>
      <c r="L1929" s="3" t="b">
        <f>AND(G1929 &lt;&gt; "plain", G1929 &lt;&gt; "")</f>
        <v>0</v>
      </c>
      <c r="M1929" s="3" t="str">
        <f>IF(E1929, C1929 &amp; "|" &amp; H1929, "")</f>
        <v>principal-process-steward|UserQuestions</v>
      </c>
      <c r="N1929" s="2" t="s">
        <v>9938</v>
      </c>
    </row>
    <row r="1930">
      <c r="A1930" s="2" t="s">
        <v>11866</v>
      </c>
      <c r="B1930" s="3" t="str">
        <f>C1930 &amp; " -&gt; " &amp; D1930</f>
        <v>principal-process-steward -&gt; UserQuestions.QuestionText</v>
      </c>
      <c r="C1930" s="2" t="s">
        <v>9706</v>
      </c>
      <c r="D1930" s="2" t="s">
        <v>3815</v>
      </c>
      <c r="E1930" s="2" t="b">
        <v>1</v>
      </c>
      <c r="F1930" s="2" t="b">
        <v>0</v>
      </c>
      <c r="G1930" s="2" t="s">
        <v>9937</v>
      </c>
      <c r="H1930" s="3" t="str">
        <f>_xlfn.IFNA(INDEX(RulebookFields!C2:C999, MATCH(D1930,RulebookFields!A2:A999, 0)), "")</f>
        <v>UserQuestions</v>
      </c>
      <c r="I1930" s="3" t="str">
        <f>_xlfn.IFNA(INDEX(RulebookFields!D2:D999, MATCH(D1930,RulebookFields!A2:A999, 0)), "")</f>
        <v>QuestionText</v>
      </c>
      <c r="J1930" s="3" t="b">
        <f>_xlfn.IFNA(INDEX(RulebookFields!I2:I999, MATCH(D1930,RulebookFields!A2:A999, 0)), "")</f>
        <v>0</v>
      </c>
      <c r="K1930" s="3" t="b">
        <f>AND(F1930, J1930)</f>
        <v>0</v>
      </c>
      <c r="L1930" s="3" t="b">
        <f>AND(G1930 &lt;&gt; "plain", G1930 &lt;&gt; "")</f>
        <v>0</v>
      </c>
      <c r="M1930" s="3" t="str">
        <f>IF(E1930, C1930 &amp; "|" &amp; H1930, "")</f>
        <v>principal-process-steward|UserQuestions</v>
      </c>
      <c r="N1930" s="2" t="s">
        <v>9938</v>
      </c>
    </row>
    <row r="1931">
      <c r="A1931" s="2" t="s">
        <v>11867</v>
      </c>
      <c r="B1931" s="3" t="str">
        <f>C1931 &amp; " -&gt; " &amp; D1931</f>
        <v>principal-process-steward -&gt; UserQuestions.ResolvedByFaq</v>
      </c>
      <c r="C1931" s="2" t="s">
        <v>9706</v>
      </c>
      <c r="D1931" s="2" t="s">
        <v>3816</v>
      </c>
      <c r="E1931" s="2" t="b">
        <v>1</v>
      </c>
      <c r="F1931" s="2" t="b">
        <v>0</v>
      </c>
      <c r="G1931" s="2" t="s">
        <v>9937</v>
      </c>
      <c r="H1931" s="3" t="str">
        <f>_xlfn.IFNA(INDEX(RulebookFields!C2:C999, MATCH(D1931,RulebookFields!A2:A999, 0)), "")</f>
        <v>UserQuestions</v>
      </c>
      <c r="I1931" s="3" t="str">
        <f>_xlfn.IFNA(INDEX(RulebookFields!D2:D999, MATCH(D1931,RulebookFields!A2:A999, 0)), "")</f>
        <v>ResolvedByFaq</v>
      </c>
      <c r="J1931" s="3" t="b">
        <f>_xlfn.IFNA(INDEX(RulebookFields!I2:I999, MATCH(D1931,RulebookFields!A2:A999, 0)), "")</f>
        <v>0</v>
      </c>
      <c r="K1931" s="3" t="b">
        <f>AND(F1931, J1931)</f>
        <v>0</v>
      </c>
      <c r="L1931" s="3" t="b">
        <f>AND(G1931 &lt;&gt; "plain", G1931 &lt;&gt; "")</f>
        <v>0</v>
      </c>
      <c r="M1931" s="3" t="str">
        <f>IF(E1931, C1931 &amp; "|" &amp; H1931, "")</f>
        <v>principal-process-steward|UserQuestions</v>
      </c>
      <c r="N1931" s="2" t="s">
        <v>9938</v>
      </c>
    </row>
    <row r="1932">
      <c r="A1932" s="2" t="s">
        <v>11868</v>
      </c>
      <c r="B1932" s="3" t="str">
        <f>C1932 &amp; " -&gt; " &amp; D1932</f>
        <v>principal-process-steward -&gt; UserQuestions.AddressedByResource</v>
      </c>
      <c r="C1932" s="2" t="s">
        <v>9706</v>
      </c>
      <c r="D1932" s="2" t="s">
        <v>3817</v>
      </c>
      <c r="E1932" s="2" t="b">
        <v>1</v>
      </c>
      <c r="F1932" s="2" t="b">
        <v>0</v>
      </c>
      <c r="G1932" s="2" t="s">
        <v>9937</v>
      </c>
      <c r="H1932" s="3" t="str">
        <f>_xlfn.IFNA(INDEX(RulebookFields!C2:C999, MATCH(D1932,RulebookFields!A2:A999, 0)), "")</f>
        <v>UserQuestions</v>
      </c>
      <c r="I1932" s="3" t="str">
        <f>_xlfn.IFNA(INDEX(RulebookFields!D2:D999, MATCH(D1932,RulebookFields!A2:A999, 0)), "")</f>
        <v>AddressedByResource</v>
      </c>
      <c r="J1932" s="3" t="b">
        <f>_xlfn.IFNA(INDEX(RulebookFields!I2:I999, MATCH(D1932,RulebookFields!A2:A999, 0)), "")</f>
        <v>0</v>
      </c>
      <c r="K1932" s="3" t="b">
        <f>AND(F1932, J1932)</f>
        <v>0</v>
      </c>
      <c r="L1932" s="3" t="b">
        <f>AND(G1932 &lt;&gt; "plain", G1932 &lt;&gt; "")</f>
        <v>0</v>
      </c>
      <c r="M1932" s="3" t="str">
        <f>IF(E1932, C1932 &amp; "|" &amp; H1932, "")</f>
        <v>principal-process-steward|UserQuestions</v>
      </c>
      <c r="N1932" s="2" t="s">
        <v>9938</v>
      </c>
    </row>
    <row r="1933">
      <c r="A1933" s="2" t="s">
        <v>11869</v>
      </c>
      <c r="B1933" s="3" t="str">
        <f>C1933 &amp; " -&gt; " &amp; D1933</f>
        <v>principal-process-steward -&gt; UserQuestions.Status</v>
      </c>
      <c r="C1933" s="2" t="s">
        <v>9706</v>
      </c>
      <c r="D1933" s="2" t="s">
        <v>3818</v>
      </c>
      <c r="E1933" s="2" t="b">
        <v>1</v>
      </c>
      <c r="F1933" s="2" t="b">
        <v>0</v>
      </c>
      <c r="G1933" s="2" t="s">
        <v>9937</v>
      </c>
      <c r="H1933" s="3" t="str">
        <f>_xlfn.IFNA(INDEX(RulebookFields!C2:C999, MATCH(D1933,RulebookFields!A2:A999, 0)), "")</f>
        <v>UserQuestions</v>
      </c>
      <c r="I1933" s="3" t="str">
        <f>_xlfn.IFNA(INDEX(RulebookFields!D2:D999, MATCH(D1933,RulebookFields!A2:A999, 0)), "")</f>
        <v>Status</v>
      </c>
      <c r="J1933" s="3" t="b">
        <f>_xlfn.IFNA(INDEX(RulebookFields!I2:I999, MATCH(D1933,RulebookFields!A2:A999, 0)), "")</f>
        <v>0</v>
      </c>
      <c r="K1933" s="3" t="b">
        <f>AND(F1933, J1933)</f>
        <v>0</v>
      </c>
      <c r="L1933" s="3" t="b">
        <f>AND(G1933 &lt;&gt; "plain", G1933 &lt;&gt; "")</f>
        <v>0</v>
      </c>
      <c r="M1933" s="3" t="str">
        <f>IF(E1933, C1933 &amp; "|" &amp; H1933, "")</f>
        <v>principal-process-steward|UserQuestions</v>
      </c>
      <c r="N1933" s="2" t="s">
        <v>9938</v>
      </c>
    </row>
    <row r="1934">
      <c r="A1934" s="2" t="s">
        <v>11870</v>
      </c>
      <c r="B1934" s="3" t="str">
        <f>C1934 &amp; " -&gt; " &amp; D1934</f>
        <v>principal-process-steward -&gt; UserQuestions.SemanticTypeIri</v>
      </c>
      <c r="C1934" s="2" t="s">
        <v>9706</v>
      </c>
      <c r="D1934" s="2" t="s">
        <v>3819</v>
      </c>
      <c r="E1934" s="2" t="b">
        <v>1</v>
      </c>
      <c r="F1934" s="2" t="b">
        <v>0</v>
      </c>
      <c r="G1934" s="2" t="s">
        <v>9937</v>
      </c>
      <c r="H1934" s="3" t="str">
        <f>_xlfn.IFNA(INDEX(RulebookFields!C2:C999, MATCH(D1934,RulebookFields!A2:A999, 0)), "")</f>
        <v>UserQuestions</v>
      </c>
      <c r="I1934" s="3" t="str">
        <f>_xlfn.IFNA(INDEX(RulebookFields!D2:D999, MATCH(D1934,RulebookFields!A2:A999, 0)), "")</f>
        <v>SemanticTypeIri</v>
      </c>
      <c r="J1934" s="3" t="b">
        <f>_xlfn.IFNA(INDEX(RulebookFields!I2:I999, MATCH(D1934,RulebookFields!A2:A999, 0)), "")</f>
        <v>0</v>
      </c>
      <c r="K1934" s="3" t="b">
        <f>AND(F1934, J1934)</f>
        <v>0</v>
      </c>
      <c r="L1934" s="3" t="b">
        <f>AND(G1934 &lt;&gt; "plain", G1934 &lt;&gt; "")</f>
        <v>0</v>
      </c>
      <c r="M1934" s="3" t="str">
        <f>IF(E1934, C1934 &amp; "|" &amp; H1934, "")</f>
        <v>principal-process-steward|UserQuestions</v>
      </c>
      <c r="N1934" s="2" t="s">
        <v>9938</v>
      </c>
    </row>
    <row r="1935">
      <c r="A1935" s="2" t="s">
        <v>11871</v>
      </c>
      <c r="B1935" s="3" t="str">
        <f>C1935 &amp; " -&gt; " &amp; D1935</f>
        <v>principal-process-steward -&gt; VerificationOutcomes.VerificationOutcomeId</v>
      </c>
      <c r="C1935" s="2" t="s">
        <v>9706</v>
      </c>
      <c r="D1935" s="2" t="s">
        <v>4270</v>
      </c>
      <c r="E1935" s="2" t="b">
        <v>1</v>
      </c>
      <c r="F1935" s="2" t="b">
        <v>0</v>
      </c>
      <c r="G1935" s="2" t="s">
        <v>9937</v>
      </c>
      <c r="H1935" s="3" t="str">
        <f>_xlfn.IFNA(INDEX(RulebookFields!C2:C999, MATCH(D1935,RulebookFields!A2:A999, 0)), "")</f>
      </c>
      <c r="I1935" s="3" t="str">
        <f>_xlfn.IFNA(INDEX(RulebookFields!D2:D999, MATCH(D1935,RulebookFields!A2:A999, 0)), "")</f>
      </c>
      <c r="J1935" s="3" t="str">
        <f>_xlfn.IFNA(INDEX(RulebookFields!I2:I999, MATCH(D1935,RulebookFields!A2:A999, 0)), "")</f>
      </c>
      <c r="K1935" s="3" t="b">
        <f>AND(F1935, J1935)</f>
        <v>0</v>
      </c>
      <c r="L1935" s="3" t="b">
        <f>AND(G1935 &lt;&gt; "plain", G1935 &lt;&gt; "")</f>
        <v>0</v>
      </c>
      <c r="M1935" s="3" t="str">
        <f>IF(E1935, C1935 &amp; "|" &amp; H1935, "")</f>
        <v>principal-process-steward|</v>
      </c>
      <c r="N1935" s="2" t="s">
        <v>9938</v>
      </c>
    </row>
    <row r="1936">
      <c r="A1936" s="2" t="s">
        <v>11872</v>
      </c>
      <c r="B1936" s="3" t="str">
        <f>C1936 &amp; " -&gt; " &amp; D1936</f>
        <v>principal-process-steward -&gt; VerificationOutcomes.Name</v>
      </c>
      <c r="C1936" s="2" t="s">
        <v>9706</v>
      </c>
      <c r="D1936" s="2" t="s">
        <v>4273</v>
      </c>
      <c r="E1936" s="2" t="b">
        <v>1</v>
      </c>
      <c r="F1936" s="2" t="b">
        <v>0</v>
      </c>
      <c r="G1936" s="2" t="s">
        <v>9937</v>
      </c>
      <c r="H1936" s="3" t="str">
        <f>_xlfn.IFNA(INDEX(RulebookFields!C2:C999, MATCH(D1936,RulebookFields!A2:A999, 0)), "")</f>
      </c>
      <c r="I1936" s="3" t="str">
        <f>_xlfn.IFNA(INDEX(RulebookFields!D2:D999, MATCH(D1936,RulebookFields!A2:A999, 0)), "")</f>
      </c>
      <c r="J1936" s="3" t="str">
        <f>_xlfn.IFNA(INDEX(RulebookFields!I2:I999, MATCH(D1936,RulebookFields!A2:A999, 0)), "")</f>
      </c>
      <c r="K1936" s="3" t="b">
        <f>AND(F1936, J1936)</f>
        <v>0</v>
      </c>
      <c r="L1936" s="3" t="b">
        <f>AND(G1936 &lt;&gt; "plain", G1936 &lt;&gt; "")</f>
        <v>0</v>
      </c>
      <c r="M1936" s="3" t="str">
        <f>IF(E1936, C1936 &amp; "|" &amp; H1936, "")</f>
        <v>principal-process-steward|</v>
      </c>
      <c r="N1936" s="2" t="s">
        <v>9938</v>
      </c>
    </row>
    <row r="1937">
      <c r="A1937" s="2" t="s">
        <v>11873</v>
      </c>
      <c r="B1937" s="3" t="str">
        <f>C1937 &amp; " -&gt; " &amp; D1937</f>
        <v>principal-process-steward -&gt; VerificationOutcomes.StepExecution</v>
      </c>
      <c r="C1937" s="2" t="s">
        <v>9706</v>
      </c>
      <c r="D1937" s="2" t="s">
        <v>4275</v>
      </c>
      <c r="E1937" s="2" t="b">
        <v>1</v>
      </c>
      <c r="F1937" s="2" t="b">
        <v>0</v>
      </c>
      <c r="G1937" s="2" t="s">
        <v>9937</v>
      </c>
      <c r="H1937" s="3" t="str">
        <f>_xlfn.IFNA(INDEX(RulebookFields!C2:C999, MATCH(D1937,RulebookFields!A2:A999, 0)), "")</f>
      </c>
      <c r="I1937" s="3" t="str">
        <f>_xlfn.IFNA(INDEX(RulebookFields!D2:D999, MATCH(D1937,RulebookFields!A2:A999, 0)), "")</f>
      </c>
      <c r="J1937" s="3" t="str">
        <f>_xlfn.IFNA(INDEX(RulebookFields!I2:I999, MATCH(D1937,RulebookFields!A2:A999, 0)), "")</f>
      </c>
      <c r="K1937" s="3" t="b">
        <f>AND(F1937, J1937)</f>
        <v>0</v>
      </c>
      <c r="L1937" s="3" t="b">
        <f>AND(G1937 &lt;&gt; "plain", G1937 &lt;&gt; "")</f>
        <v>0</v>
      </c>
      <c r="M1937" s="3" t="str">
        <f>IF(E1937, C1937 &amp; "|" &amp; H1937, "")</f>
        <v>principal-process-steward|</v>
      </c>
      <c r="N1937" s="2" t="s">
        <v>9938</v>
      </c>
    </row>
    <row r="1938">
      <c r="A1938" s="2" t="s">
        <v>11874</v>
      </c>
      <c r="B1938" s="3" t="str">
        <f>C1938 &amp; " -&gt; " &amp; D1938</f>
        <v>principal-process-steward -&gt; VerificationOutcomes.StepVerification</v>
      </c>
      <c r="C1938" s="2" t="s">
        <v>9706</v>
      </c>
      <c r="D1938" s="2" t="s">
        <v>4276</v>
      </c>
      <c r="E1938" s="2" t="b">
        <v>1</v>
      </c>
      <c r="F1938" s="2" t="b">
        <v>0</v>
      </c>
      <c r="G1938" s="2" t="s">
        <v>9937</v>
      </c>
      <c r="H1938" s="3" t="str">
        <f>_xlfn.IFNA(INDEX(RulebookFields!C2:C999, MATCH(D1938,RulebookFields!A2:A999, 0)), "")</f>
      </c>
      <c r="I1938" s="3" t="str">
        <f>_xlfn.IFNA(INDEX(RulebookFields!D2:D999, MATCH(D1938,RulebookFields!A2:A999, 0)), "")</f>
      </c>
      <c r="J1938" s="3" t="str">
        <f>_xlfn.IFNA(INDEX(RulebookFields!I2:I999, MATCH(D1938,RulebookFields!A2:A999, 0)), "")</f>
      </c>
      <c r="K1938" s="3" t="b">
        <f>AND(F1938, J1938)</f>
        <v>0</v>
      </c>
      <c r="L1938" s="3" t="b">
        <f>AND(G1938 &lt;&gt; "plain", G1938 &lt;&gt; "")</f>
        <v>0</v>
      </c>
      <c r="M1938" s="3" t="str">
        <f>IF(E1938, C1938 &amp; "|" &amp; H1938, "")</f>
        <v>principal-process-steward|</v>
      </c>
      <c r="N1938" s="2" t="s">
        <v>9938</v>
      </c>
    </row>
    <row r="1939">
      <c r="A1939" s="2" t="s">
        <v>11875</v>
      </c>
      <c r="B1939" s="3" t="str">
        <f>C1939 &amp; " -&gt; " &amp; D1939</f>
        <v>principal-process-steward -&gt; VerificationOutcomes.ObservedSignalValue</v>
      </c>
      <c r="C1939" s="2" t="s">
        <v>9706</v>
      </c>
      <c r="D1939" s="2" t="s">
        <v>4278</v>
      </c>
      <c r="E1939" s="2" t="b">
        <v>1</v>
      </c>
      <c r="F1939" s="2" t="b">
        <v>0</v>
      </c>
      <c r="G1939" s="2" t="s">
        <v>9937</v>
      </c>
      <c r="H1939" s="3" t="str">
        <f>_xlfn.IFNA(INDEX(RulebookFields!C2:C999, MATCH(D1939,RulebookFields!A2:A999, 0)), "")</f>
      </c>
      <c r="I1939" s="3" t="str">
        <f>_xlfn.IFNA(INDEX(RulebookFields!D2:D999, MATCH(D1939,RulebookFields!A2:A999, 0)), "")</f>
      </c>
      <c r="J1939" s="3" t="str">
        <f>_xlfn.IFNA(INDEX(RulebookFields!I2:I999, MATCH(D1939,RulebookFields!A2:A999, 0)), "")</f>
      </c>
      <c r="K1939" s="3" t="b">
        <f>AND(F1939, J1939)</f>
        <v>0</v>
      </c>
      <c r="L1939" s="3" t="b">
        <f>AND(G1939 &lt;&gt; "plain", G1939 &lt;&gt; "")</f>
        <v>0</v>
      </c>
      <c r="M1939" s="3" t="str">
        <f>IF(E1939, C1939 &amp; "|" &amp; H1939, "")</f>
        <v>principal-process-steward|</v>
      </c>
      <c r="N1939" s="2" t="s">
        <v>9938</v>
      </c>
    </row>
    <row r="1940">
      <c r="A1940" s="2" t="s">
        <v>11876</v>
      </c>
      <c r="B1940" s="3" t="str">
        <f>C1940 &amp; " -&gt; " &amp; D1940</f>
        <v>principal-process-steward -&gt; VerificationOutcomes.ObservedByAgent</v>
      </c>
      <c r="C1940" s="2" t="s">
        <v>9706</v>
      </c>
      <c r="D1940" s="2" t="s">
        <v>4280</v>
      </c>
      <c r="E1940" s="2" t="b">
        <v>1</v>
      </c>
      <c r="F1940" s="2" t="b">
        <v>0</v>
      </c>
      <c r="G1940" s="2" t="s">
        <v>9937</v>
      </c>
      <c r="H1940" s="3" t="str">
        <f>_xlfn.IFNA(INDEX(RulebookFields!C2:C999, MATCH(D1940,RulebookFields!A2:A999, 0)), "")</f>
      </c>
      <c r="I1940" s="3" t="str">
        <f>_xlfn.IFNA(INDEX(RulebookFields!D2:D999, MATCH(D1940,RulebookFields!A2:A999, 0)), "")</f>
      </c>
      <c r="J1940" s="3" t="str">
        <f>_xlfn.IFNA(INDEX(RulebookFields!I2:I999, MATCH(D1940,RulebookFields!A2:A999, 0)), "")</f>
      </c>
      <c r="K1940" s="3" t="b">
        <f>AND(F1940, J1940)</f>
        <v>0</v>
      </c>
      <c r="L1940" s="3" t="b">
        <f>AND(G1940 &lt;&gt; "plain", G1940 &lt;&gt; "")</f>
        <v>0</v>
      </c>
      <c r="M1940" s="3" t="str">
        <f>IF(E1940, C1940 &amp; "|" &amp; H1940, "")</f>
        <v>principal-process-steward|</v>
      </c>
      <c r="N1940" s="2" t="s">
        <v>9938</v>
      </c>
    </row>
    <row r="1941">
      <c r="A1941" s="2" t="s">
        <v>11877</v>
      </c>
      <c r="B1941" s="3" t="str">
        <f>C1941 &amp; " -&gt; " &amp; D1941</f>
        <v>principal-process-steward -&gt; VerificationOutcomes.ObservedAt</v>
      </c>
      <c r="C1941" s="2" t="s">
        <v>9706</v>
      </c>
      <c r="D1941" s="2" t="s">
        <v>4282</v>
      </c>
      <c r="E1941" s="2" t="b">
        <v>1</v>
      </c>
      <c r="F1941" s="2" t="b">
        <v>0</v>
      </c>
      <c r="G1941" s="2" t="s">
        <v>9937</v>
      </c>
      <c r="H1941" s="3" t="str">
        <f>_xlfn.IFNA(INDEX(RulebookFields!C2:C999, MATCH(D1941,RulebookFields!A2:A999, 0)), "")</f>
      </c>
      <c r="I1941" s="3" t="str">
        <f>_xlfn.IFNA(INDEX(RulebookFields!D2:D999, MATCH(D1941,RulebookFields!A2:A999, 0)), "")</f>
      </c>
      <c r="J1941" s="3" t="str">
        <f>_xlfn.IFNA(INDEX(RulebookFields!I2:I999, MATCH(D1941,RulebookFields!A2:A999, 0)), "")</f>
      </c>
      <c r="K1941" s="3" t="b">
        <f>AND(F1941, J1941)</f>
        <v>0</v>
      </c>
      <c r="L1941" s="3" t="b">
        <f>AND(G1941 &lt;&gt; "plain", G1941 &lt;&gt; "")</f>
        <v>0</v>
      </c>
      <c r="M1941" s="3" t="str">
        <f>IF(E1941, C1941 &amp; "|" &amp; H1941, "")</f>
        <v>principal-process-steward|</v>
      </c>
      <c r="N1941" s="2" t="s">
        <v>9938</v>
      </c>
    </row>
    <row r="1942">
      <c r="A1942" s="2" t="s">
        <v>11878</v>
      </c>
      <c r="B1942" s="3" t="str">
        <f>C1942 &amp; " -&gt; " &amp; D1942</f>
        <v>principal-process-steward -&gt; VerificationOutcomes.EvidenceUri</v>
      </c>
      <c r="C1942" s="2" t="s">
        <v>9706</v>
      </c>
      <c r="D1942" s="2" t="s">
        <v>4284</v>
      </c>
      <c r="E1942" s="2" t="b">
        <v>1</v>
      </c>
      <c r="F1942" s="2" t="b">
        <v>0</v>
      </c>
      <c r="G1942" s="2" t="s">
        <v>9937</v>
      </c>
      <c r="H1942" s="3" t="str">
        <f>_xlfn.IFNA(INDEX(RulebookFields!C2:C999, MATCH(D1942,RulebookFields!A2:A999, 0)), "")</f>
      </c>
      <c r="I1942" s="3" t="str">
        <f>_xlfn.IFNA(INDEX(RulebookFields!D2:D999, MATCH(D1942,RulebookFields!A2:A999, 0)), "")</f>
      </c>
      <c r="J1942" s="3" t="str">
        <f>_xlfn.IFNA(INDEX(RulebookFields!I2:I999, MATCH(D1942,RulebookFields!A2:A999, 0)), "")</f>
      </c>
      <c r="K1942" s="3" t="b">
        <f>AND(F1942, J1942)</f>
        <v>0</v>
      </c>
      <c r="L1942" s="3" t="b">
        <f>AND(G1942 &lt;&gt; "plain", G1942 &lt;&gt; "")</f>
        <v>0</v>
      </c>
      <c r="M1942" s="3" t="str">
        <f>IF(E1942, C1942 &amp; "|" &amp; H1942, "")</f>
        <v>principal-process-steward|</v>
      </c>
      <c r="N1942" s="2" t="s">
        <v>9938</v>
      </c>
    </row>
    <row r="1943">
      <c r="A1943" s="2" t="s">
        <v>11879</v>
      </c>
      <c r="B1943" s="3" t="str">
        <f>C1943 &amp; " -&gt; " &amp; D1943</f>
        <v>principal-process-steward -&gt; VerificationOutcomes.ExpectedSignalValue</v>
      </c>
      <c r="C1943" s="2" t="s">
        <v>9706</v>
      </c>
      <c r="D1943" s="2" t="s">
        <v>4286</v>
      </c>
      <c r="E1943" s="2" t="b">
        <v>1</v>
      </c>
      <c r="F1943" s="2" t="b">
        <v>0</v>
      </c>
      <c r="G1943" s="2" t="s">
        <v>9937</v>
      </c>
      <c r="H1943" s="3" t="str">
        <f>_xlfn.IFNA(INDEX(RulebookFields!C2:C999, MATCH(D1943,RulebookFields!A2:A999, 0)), "")</f>
      </c>
      <c r="I1943" s="3" t="str">
        <f>_xlfn.IFNA(INDEX(RulebookFields!D2:D999, MATCH(D1943,RulebookFields!A2:A999, 0)), "")</f>
      </c>
      <c r="J1943" s="3" t="str">
        <f>_xlfn.IFNA(INDEX(RulebookFields!I2:I999, MATCH(D1943,RulebookFields!A2:A999, 0)), "")</f>
      </c>
      <c r="K1943" s="3" t="b">
        <f>AND(F1943, J1943)</f>
        <v>0</v>
      </c>
      <c r="L1943" s="3" t="b">
        <f>AND(G1943 &lt;&gt; "plain", G1943 &lt;&gt; "")</f>
        <v>0</v>
      </c>
      <c r="M1943" s="3" t="str">
        <f>IF(E1943, C1943 &amp; "|" &amp; H1943, "")</f>
        <v>principal-process-steward|</v>
      </c>
      <c r="N1943" s="2" t="s">
        <v>9938</v>
      </c>
    </row>
    <row r="1944">
      <c r="A1944" s="2" t="s">
        <v>11880</v>
      </c>
      <c r="B1944" s="3" t="str">
        <f>C1944 &amp; " -&gt; " &amp; D1944</f>
        <v>principal-process-steward -&gt; VerificationOutcomes.SignalIdentifier</v>
      </c>
      <c r="C1944" s="2" t="s">
        <v>9706</v>
      </c>
      <c r="D1944" s="2" t="s">
        <v>4288</v>
      </c>
      <c r="E1944" s="2" t="b">
        <v>1</v>
      </c>
      <c r="F1944" s="2" t="b">
        <v>0</v>
      </c>
      <c r="G1944" s="2" t="s">
        <v>9937</v>
      </c>
      <c r="H1944" s="3" t="str">
        <f>_xlfn.IFNA(INDEX(RulebookFields!C2:C999, MATCH(D1944,RulebookFields!A2:A999, 0)), "")</f>
      </c>
      <c r="I1944" s="3" t="str">
        <f>_xlfn.IFNA(INDEX(RulebookFields!D2:D999, MATCH(D1944,RulebookFields!A2:A999, 0)), "")</f>
      </c>
      <c r="J1944" s="3" t="str">
        <f>_xlfn.IFNA(INDEX(RulebookFields!I2:I999, MATCH(D1944,RulebookFields!A2:A999, 0)), "")</f>
      </c>
      <c r="K1944" s="3" t="b">
        <f>AND(F1944, J1944)</f>
        <v>0</v>
      </c>
      <c r="L1944" s="3" t="b">
        <f>AND(G1944 &lt;&gt; "plain", G1944 &lt;&gt; "")</f>
        <v>0</v>
      </c>
      <c r="M1944" s="3" t="str">
        <f>IF(E1944, C1944 &amp; "|" &amp; H1944, "")</f>
        <v>principal-process-steward|</v>
      </c>
      <c r="N1944" s="2" t="s">
        <v>9938</v>
      </c>
    </row>
    <row r="1945">
      <c r="A1945" s="2" t="s">
        <v>11881</v>
      </c>
      <c r="B1945" s="3" t="str">
        <f>C1945 &amp; " -&gt; " &amp; D1945</f>
        <v>principal-process-steward -&gt; VerificationOutcomes.SignalMatchesExpected</v>
      </c>
      <c r="C1945" s="2" t="s">
        <v>9706</v>
      </c>
      <c r="D1945" s="2" t="s">
        <v>824</v>
      </c>
      <c r="E1945" s="2" t="b">
        <v>1</v>
      </c>
      <c r="F1945" s="2" t="b">
        <v>0</v>
      </c>
      <c r="G1945" s="2" t="s">
        <v>9937</v>
      </c>
      <c r="H1945" s="3" t="str">
        <f>_xlfn.IFNA(INDEX(RulebookFields!C2:C999, MATCH(D1945,RulebookFields!A2:A999, 0)), "")</f>
      </c>
      <c r="I1945" s="3" t="str">
        <f>_xlfn.IFNA(INDEX(RulebookFields!D2:D999, MATCH(D1945,RulebookFields!A2:A999, 0)), "")</f>
      </c>
      <c r="J1945" s="3" t="str">
        <f>_xlfn.IFNA(INDEX(RulebookFields!I2:I999, MATCH(D1945,RulebookFields!A2:A999, 0)), "")</f>
      </c>
      <c r="K1945" s="3" t="b">
        <f>AND(F1945, J1945)</f>
        <v>0</v>
      </c>
      <c r="L1945" s="3" t="b">
        <f>AND(G1945 &lt;&gt; "plain", G1945 &lt;&gt; "")</f>
        <v>0</v>
      </c>
      <c r="M1945" s="3" t="str">
        <f>IF(E1945, C1945 &amp; "|" &amp; H1945, "")</f>
        <v>principal-process-steward|</v>
      </c>
      <c r="N1945" s="2" t="s">
        <v>9938</v>
      </c>
    </row>
    <row r="1946">
      <c r="A1946" s="2" t="s">
        <v>11882</v>
      </c>
      <c r="B1946" s="3" t="str">
        <f>C1946 &amp; " -&gt; " &amp; D1946</f>
        <v>principal-process-steward -&gt; VerificationOutcomes.HasEvidence</v>
      </c>
      <c r="C1946" s="2" t="s">
        <v>9706</v>
      </c>
      <c r="D1946" s="2" t="s">
        <v>4292</v>
      </c>
      <c r="E1946" s="2" t="b">
        <v>1</v>
      </c>
      <c r="F1946" s="2" t="b">
        <v>0</v>
      </c>
      <c r="G1946" s="2" t="s">
        <v>9937</v>
      </c>
      <c r="H1946" s="3" t="str">
        <f>_xlfn.IFNA(INDEX(RulebookFields!C2:C999, MATCH(D1946,RulebookFields!A2:A999, 0)), "")</f>
      </c>
      <c r="I1946" s="3" t="str">
        <f>_xlfn.IFNA(INDEX(RulebookFields!D2:D999, MATCH(D1946,RulebookFields!A2:A999, 0)), "")</f>
      </c>
      <c r="J1946" s="3" t="str">
        <f>_xlfn.IFNA(INDEX(RulebookFields!I2:I999, MATCH(D1946,RulebookFields!A2:A999, 0)), "")</f>
      </c>
      <c r="K1946" s="3" t="b">
        <f>AND(F1946, J1946)</f>
        <v>0</v>
      </c>
      <c r="L1946" s="3" t="b">
        <f>AND(G1946 &lt;&gt; "plain", G1946 &lt;&gt; "")</f>
        <v>0</v>
      </c>
      <c r="M1946" s="3" t="str">
        <f>IF(E1946, C1946 &amp; "|" &amp; H1946, "")</f>
        <v>principal-process-steward|</v>
      </c>
      <c r="N1946" s="2" t="s">
        <v>9938</v>
      </c>
    </row>
    <row r="1947">
      <c r="A1947" s="2" t="s">
        <v>11883</v>
      </c>
      <c r="B1947" s="3" t="str">
        <f>C1947 &amp; " -&gt; " &amp; D1947</f>
        <v>principal-process-steward -&gt; VerificationOutcomes.IsUnbackedObservation</v>
      </c>
      <c r="C1947" s="2" t="s">
        <v>9706</v>
      </c>
      <c r="D1947" s="2" t="s">
        <v>831</v>
      </c>
      <c r="E1947" s="2" t="b">
        <v>1</v>
      </c>
      <c r="F1947" s="2" t="b">
        <v>0</v>
      </c>
      <c r="G1947" s="2" t="s">
        <v>9937</v>
      </c>
      <c r="H1947" s="3" t="str">
        <f>_xlfn.IFNA(INDEX(RulebookFields!C2:C999, MATCH(D1947,RulebookFields!A2:A999, 0)), "")</f>
      </c>
      <c r="I1947" s="3" t="str">
        <f>_xlfn.IFNA(INDEX(RulebookFields!D2:D999, MATCH(D1947,RulebookFields!A2:A999, 0)), "")</f>
      </c>
      <c r="J1947" s="3" t="str">
        <f>_xlfn.IFNA(INDEX(RulebookFields!I2:I999, MATCH(D1947,RulebookFields!A2:A999, 0)), "")</f>
      </c>
      <c r="K1947" s="3" t="b">
        <f>AND(F1947, J1947)</f>
        <v>0</v>
      </c>
      <c r="L1947" s="3" t="b">
        <f>AND(G1947 &lt;&gt; "plain", G1947 &lt;&gt; "")</f>
        <v>0</v>
      </c>
      <c r="M1947" s="3" t="str">
        <f>IF(E1947, C1947 &amp; "|" &amp; H1947, "")</f>
        <v>principal-process-steward|</v>
      </c>
      <c r="N1947" s="2" t="s">
        <v>9938</v>
      </c>
    </row>
    <row r="1948">
      <c r="A1948" s="2" t="s">
        <v>11884</v>
      </c>
      <c r="B1948" s="3" t="str">
        <f>C1948 &amp; " -&gt; " &amp; D1948</f>
        <v>principal-process-steward -&gt; VerificationOutcomes.IsSelfWitnessed</v>
      </c>
      <c r="C1948" s="2" t="s">
        <v>9706</v>
      </c>
      <c r="D1948" s="2" t="s">
        <v>4297</v>
      </c>
      <c r="E1948" s="2" t="b">
        <v>1</v>
      </c>
      <c r="F1948" s="2" t="b">
        <v>0</v>
      </c>
      <c r="G1948" s="2" t="s">
        <v>9937</v>
      </c>
      <c r="H1948" s="3" t="str">
        <f>_xlfn.IFNA(INDEX(RulebookFields!C2:C999, MATCH(D1948,RulebookFields!A2:A999, 0)), "")</f>
      </c>
      <c r="I1948" s="3" t="str">
        <f>_xlfn.IFNA(INDEX(RulebookFields!D2:D999, MATCH(D1948,RulebookFields!A2:A999, 0)), "")</f>
      </c>
      <c r="J1948" s="3" t="str">
        <f>_xlfn.IFNA(INDEX(RulebookFields!I2:I999, MATCH(D1948,RulebookFields!A2:A999, 0)), "")</f>
      </c>
      <c r="K1948" s="3" t="b">
        <f>AND(F1948, J1948)</f>
        <v>0</v>
      </c>
      <c r="L1948" s="3" t="b">
        <f>AND(G1948 &lt;&gt; "plain", G1948 &lt;&gt; "")</f>
        <v>0</v>
      </c>
      <c r="M1948" s="3" t="str">
        <f>IF(E1948, C1948 &amp; "|" &amp; H1948, "")</f>
        <v>principal-process-steward|</v>
      </c>
      <c r="N1948" s="2" t="s">
        <v>9938</v>
      </c>
    </row>
    <row r="1949">
      <c r="A1949" s="2" t="s">
        <v>11885</v>
      </c>
      <c r="B1949" s="3" t="str">
        <f>C1949 &amp; " -&gt; " &amp; D1949</f>
        <v>principal-process-steward -&gt; VerificationOutcomes.StepExecutorAgent</v>
      </c>
      <c r="C1949" s="2" t="s">
        <v>9706</v>
      </c>
      <c r="D1949" s="2" t="s">
        <v>4300</v>
      </c>
      <c r="E1949" s="2" t="b">
        <v>1</v>
      </c>
      <c r="F1949" s="2" t="b">
        <v>0</v>
      </c>
      <c r="G1949" s="2" t="s">
        <v>9937</v>
      </c>
      <c r="H1949" s="3" t="str">
        <f>_xlfn.IFNA(INDEX(RulebookFields!C2:C999, MATCH(D1949,RulebookFields!A2:A999, 0)), "")</f>
      </c>
      <c r="I1949" s="3" t="str">
        <f>_xlfn.IFNA(INDEX(RulebookFields!D2:D999, MATCH(D1949,RulebookFields!A2:A999, 0)), "")</f>
      </c>
      <c r="J1949" s="3" t="str">
        <f>_xlfn.IFNA(INDEX(RulebookFields!I2:I999, MATCH(D1949,RulebookFields!A2:A999, 0)), "")</f>
      </c>
      <c r="K1949" s="3" t="b">
        <f>AND(F1949, J1949)</f>
        <v>0</v>
      </c>
      <c r="L1949" s="3" t="b">
        <f>AND(G1949 &lt;&gt; "plain", G1949 &lt;&gt; "")</f>
        <v>0</v>
      </c>
      <c r="M1949" s="3" t="str">
        <f>IF(E1949, C1949 &amp; "|" &amp; H1949, "")</f>
        <v>principal-process-steward|</v>
      </c>
      <c r="N1949" s="2" t="s">
        <v>9938</v>
      </c>
    </row>
    <row r="1950">
      <c r="A1950" s="2" t="s">
        <v>11886</v>
      </c>
      <c r="B1950" s="3" t="str">
        <f>C1950 &amp; " -&gt; " &amp; D1950</f>
        <v>principal-process-steward -&gt; VerificationOutcomes.SelfWitnessedStepKey</v>
      </c>
      <c r="C1950" s="2" t="s">
        <v>9706</v>
      </c>
      <c r="D1950" s="2" t="s">
        <v>4301</v>
      </c>
      <c r="E1950" s="2" t="b">
        <v>1</v>
      </c>
      <c r="F1950" s="2" t="b">
        <v>0</v>
      </c>
      <c r="G1950" s="2" t="s">
        <v>9937</v>
      </c>
      <c r="H1950" s="3" t="str">
        <f>_xlfn.IFNA(INDEX(RulebookFields!C2:C999, MATCH(D1950,RulebookFields!A2:A999, 0)), "")</f>
      </c>
      <c r="I1950" s="3" t="str">
        <f>_xlfn.IFNA(INDEX(RulebookFields!D2:D999, MATCH(D1950,RulebookFields!A2:A999, 0)), "")</f>
      </c>
      <c r="J1950" s="3" t="str">
        <f>_xlfn.IFNA(INDEX(RulebookFields!I2:I999, MATCH(D1950,RulebookFields!A2:A999, 0)), "")</f>
      </c>
      <c r="K1950" s="3" t="b">
        <f>AND(F1950, J1950)</f>
        <v>0</v>
      </c>
      <c r="L1950" s="3" t="b">
        <f>AND(G1950 &lt;&gt; "plain", G1950 &lt;&gt; "")</f>
        <v>0</v>
      </c>
      <c r="M1950" s="3" t="str">
        <f>IF(E1950, C1950 &amp; "|" &amp; H1950, "")</f>
        <v>principal-process-steward|</v>
      </c>
      <c r="N1950" s="2" t="s">
        <v>9938</v>
      </c>
    </row>
    <row r="1951">
      <c r="A1951" s="2" t="s">
        <v>11887</v>
      </c>
      <c r="B1951" s="3" t="str">
        <f>C1951 &amp; " -&gt; " &amp; D1951</f>
        <v>principal-process-steward -&gt; VerificationOutcomes.UnbackedStepKey</v>
      </c>
      <c r="C1951" s="2" t="s">
        <v>9706</v>
      </c>
      <c r="D1951" s="2" t="s">
        <v>4304</v>
      </c>
      <c r="E1951" s="2" t="b">
        <v>1</v>
      </c>
      <c r="F1951" s="2" t="b">
        <v>0</v>
      </c>
      <c r="G1951" s="2" t="s">
        <v>9937</v>
      </c>
      <c r="H1951" s="3" t="str">
        <f>_xlfn.IFNA(INDEX(RulebookFields!C2:C999, MATCH(D1951,RulebookFields!A2:A999, 0)), "")</f>
      </c>
      <c r="I1951" s="3" t="str">
        <f>_xlfn.IFNA(INDEX(RulebookFields!D2:D999, MATCH(D1951,RulebookFields!A2:A999, 0)), "")</f>
      </c>
      <c r="J1951" s="3" t="str">
        <f>_xlfn.IFNA(INDEX(RulebookFields!I2:I999, MATCH(D1951,RulebookFields!A2:A999, 0)), "")</f>
      </c>
      <c r="K1951" s="3" t="b">
        <f>AND(F1951, J1951)</f>
        <v>0</v>
      </c>
      <c r="L1951" s="3" t="b">
        <f>AND(G1951 &lt;&gt; "plain", G1951 &lt;&gt; "")</f>
        <v>0</v>
      </c>
      <c r="M1951" s="3" t="str">
        <f>IF(E1951, C1951 &amp; "|" &amp; H1951, "")</f>
        <v>principal-process-steward|</v>
      </c>
      <c r="N1951" s="2" t="s">
        <v>9938</v>
      </c>
    </row>
    <row r="1952">
      <c r="A1952" s="2" t="s">
        <v>11888</v>
      </c>
      <c r="B1952" s="3" t="str">
        <f>C1952 &amp; " -&gt; " &amp; D1952</f>
        <v>principal-process-steward -&gt; VerificationOutcomes.IsSelfWitnessedAndUnbacked</v>
      </c>
      <c r="C1952" s="2" t="s">
        <v>9706</v>
      </c>
      <c r="D1952" s="2" t="s">
        <v>4307</v>
      </c>
      <c r="E1952" s="2" t="b">
        <v>1</v>
      </c>
      <c r="F1952" s="2" t="b">
        <v>0</v>
      </c>
      <c r="G1952" s="2" t="s">
        <v>9937</v>
      </c>
      <c r="H1952" s="3" t="str">
        <f>_xlfn.IFNA(INDEX(RulebookFields!C2:C999, MATCH(D1952,RulebookFields!A2:A999, 0)), "")</f>
      </c>
      <c r="I1952" s="3" t="str">
        <f>_xlfn.IFNA(INDEX(RulebookFields!D2:D999, MATCH(D1952,RulebookFields!A2:A999, 0)), "")</f>
      </c>
      <c r="J1952" s="3" t="str">
        <f>_xlfn.IFNA(INDEX(RulebookFields!I2:I999, MATCH(D1952,RulebookFields!A2:A999, 0)), "")</f>
      </c>
      <c r="K1952" s="3" t="b">
        <f>AND(F1952, J1952)</f>
        <v>0</v>
      </c>
      <c r="L1952" s="3" t="b">
        <f>AND(G1952 &lt;&gt; "plain", G1952 &lt;&gt; "")</f>
        <v>0</v>
      </c>
      <c r="M1952" s="3" t="str">
        <f>IF(E1952, C1952 &amp; "|" &amp; H1952, "")</f>
        <v>principal-process-steward|</v>
      </c>
      <c r="N1952" s="2" t="s">
        <v>9938</v>
      </c>
    </row>
    <row r="1953">
      <c r="A1953" s="2" t="s">
        <v>11889</v>
      </c>
      <c r="B1953" s="3" t="str">
        <f>C1953 &amp; " -&gt; " &amp; D1953</f>
        <v>principal-process-steward -&gt; VerificationOutcomes.IsUncorroboratedPass</v>
      </c>
      <c r="C1953" s="2" t="s">
        <v>9706</v>
      </c>
      <c r="D1953" s="2" t="s">
        <v>4310</v>
      </c>
      <c r="E1953" s="2" t="b">
        <v>1</v>
      </c>
      <c r="F1953" s="2" t="b">
        <v>0</v>
      </c>
      <c r="G1953" s="2" t="s">
        <v>9937</v>
      </c>
      <c r="H1953" s="3" t="str">
        <f>_xlfn.IFNA(INDEX(RulebookFields!C2:C999, MATCH(D1953,RulebookFields!A2:A999, 0)), "")</f>
      </c>
      <c r="I1953" s="3" t="str">
        <f>_xlfn.IFNA(INDEX(RulebookFields!D2:D999, MATCH(D1953,RulebookFields!A2:A999, 0)), "")</f>
      </c>
      <c r="J1953" s="3" t="str">
        <f>_xlfn.IFNA(INDEX(RulebookFields!I2:I999, MATCH(D1953,RulebookFields!A2:A999, 0)), "")</f>
      </c>
      <c r="K1953" s="3" t="b">
        <f>AND(F1953, J1953)</f>
        <v>0</v>
      </c>
      <c r="L1953" s="3" t="b">
        <f>AND(G1953 &lt;&gt; "plain", G1953 &lt;&gt; "")</f>
        <v>0</v>
      </c>
      <c r="M1953" s="3" t="str">
        <f>IF(E1953, C1953 &amp; "|" &amp; H1953, "")</f>
        <v>principal-process-steward|</v>
      </c>
      <c r="N1953" s="2" t="s">
        <v>9938</v>
      </c>
    </row>
    <row r="1954">
      <c r="A1954" s="2" t="s">
        <v>11890</v>
      </c>
      <c r="B1954" s="3" t="str">
        <f>C1954 &amp; " -&gt; " &amp; D1954</f>
        <v>principal-process-steward -&gt; VerificationOutcomes.UncorroboratedPassStepKey</v>
      </c>
      <c r="C1954" s="2" t="s">
        <v>9706</v>
      </c>
      <c r="D1954" s="2" t="s">
        <v>4313</v>
      </c>
      <c r="E1954" s="2" t="b">
        <v>1</v>
      </c>
      <c r="F1954" s="2" t="b">
        <v>0</v>
      </c>
      <c r="G1954" s="2" t="s">
        <v>9937</v>
      </c>
      <c r="H1954" s="3" t="str">
        <f>_xlfn.IFNA(INDEX(RulebookFields!C2:C999, MATCH(D1954,RulebookFields!A2:A999, 0)), "")</f>
      </c>
      <c r="I1954" s="3" t="str">
        <f>_xlfn.IFNA(INDEX(RulebookFields!D2:D999, MATCH(D1954,RulebookFields!A2:A999, 0)), "")</f>
      </c>
      <c r="J1954" s="3" t="str">
        <f>_xlfn.IFNA(INDEX(RulebookFields!I2:I999, MATCH(D1954,RulebookFields!A2:A999, 0)), "")</f>
      </c>
      <c r="K1954" s="3" t="b">
        <f>AND(F1954, J1954)</f>
        <v>0</v>
      </c>
      <c r="L1954" s="3" t="b">
        <f>AND(G1954 &lt;&gt; "plain", G1954 &lt;&gt; "")</f>
        <v>0</v>
      </c>
      <c r="M1954" s="3" t="str">
        <f>IF(E1954, C1954 &amp; "|" &amp; H1954, "")</f>
        <v>principal-process-steward|</v>
      </c>
      <c r="N1954" s="2" t="s">
        <v>9938</v>
      </c>
    </row>
    <row r="1955">
      <c r="A1955" s="2" t="s">
        <v>11891</v>
      </c>
      <c r="B1955" s="3" t="str">
        <f>C1955 &amp; " -&gt; " &amp; D1955</f>
        <v>principal-process-steward -&gt; VerificationOutcomes.ObserverIsNonHuman</v>
      </c>
      <c r="C1955" s="2" t="s">
        <v>9706</v>
      </c>
      <c r="D1955" s="2" t="s">
        <v>4316</v>
      </c>
      <c r="E1955" s="2" t="b">
        <v>1</v>
      </c>
      <c r="F1955" s="2" t="b">
        <v>0</v>
      </c>
      <c r="G1955" s="2" t="s">
        <v>9937</v>
      </c>
      <c r="H1955" s="3" t="str">
        <f>_xlfn.IFNA(INDEX(RulebookFields!C2:C999, MATCH(D1955,RulebookFields!A2:A999, 0)), "")</f>
      </c>
      <c r="I1955" s="3" t="str">
        <f>_xlfn.IFNA(INDEX(RulebookFields!D2:D999, MATCH(D1955,RulebookFields!A2:A999, 0)), "")</f>
      </c>
      <c r="J1955" s="3" t="str">
        <f>_xlfn.IFNA(INDEX(RulebookFields!I2:I999, MATCH(D1955,RulebookFields!A2:A999, 0)), "")</f>
      </c>
      <c r="K1955" s="3" t="b">
        <f>AND(F1955, J1955)</f>
        <v>0</v>
      </c>
      <c r="L1955" s="3" t="b">
        <f>AND(G1955 &lt;&gt; "plain", G1955 &lt;&gt; "")</f>
        <v>0</v>
      </c>
      <c r="M1955" s="3" t="str">
        <f>IF(E1955, C1955 &amp; "|" &amp; H1955, "")</f>
        <v>principal-process-steward|</v>
      </c>
      <c r="N1955" s="2" t="s">
        <v>9938</v>
      </c>
    </row>
    <row r="1956">
      <c r="A1956" s="2" t="s">
        <v>11892</v>
      </c>
      <c r="B1956" s="3" t="str">
        <f>C1956 &amp; " -&gt; " &amp; D1956</f>
        <v>principal-process-steward -&gt; VerificationOutcomes.ObserverIsIndependentOfExecutor</v>
      </c>
      <c r="C1956" s="2" t="s">
        <v>9706</v>
      </c>
      <c r="D1956" s="2" t="s">
        <v>4319</v>
      </c>
      <c r="E1956" s="2" t="b">
        <v>1</v>
      </c>
      <c r="F1956" s="2" t="b">
        <v>0</v>
      </c>
      <c r="G1956" s="2" t="s">
        <v>9937</v>
      </c>
      <c r="H1956" s="3" t="str">
        <f>_xlfn.IFNA(INDEX(RulebookFields!C2:C999, MATCH(D1956,RulebookFields!A2:A999, 0)), "")</f>
      </c>
      <c r="I1956" s="3" t="str">
        <f>_xlfn.IFNA(INDEX(RulebookFields!D2:D999, MATCH(D1956,RulebookFields!A2:A999, 0)), "")</f>
      </c>
      <c r="J1956" s="3" t="str">
        <f>_xlfn.IFNA(INDEX(RulebookFields!I2:I999, MATCH(D1956,RulebookFields!A2:A999, 0)), "")</f>
      </c>
      <c r="K1956" s="3" t="b">
        <f>AND(F1956, J1956)</f>
        <v>0</v>
      </c>
      <c r="L1956" s="3" t="b">
        <f>AND(G1956 &lt;&gt; "plain", G1956 &lt;&gt; "")</f>
        <v>0</v>
      </c>
      <c r="M1956" s="3" t="str">
        <f>IF(E1956, C1956 &amp; "|" &amp; H1956, "")</f>
        <v>principal-process-steward|</v>
      </c>
      <c r="N1956" s="2" t="s">
        <v>9938</v>
      </c>
    </row>
    <row r="1957">
      <c r="A1957" s="2" t="s">
        <v>11893</v>
      </c>
      <c r="B1957" s="3" t="str">
        <f>C1957 &amp; " -&gt; " &amp; D1957</f>
        <v>principal-process-steward -&gt; VerificationOutcomes.IsIndependentHumanObservation</v>
      </c>
      <c r="C1957" s="2" t="s">
        <v>9706</v>
      </c>
      <c r="D1957" s="2" t="s">
        <v>4322</v>
      </c>
      <c r="E1957" s="2" t="b">
        <v>1</v>
      </c>
      <c r="F1957" s="2" t="b">
        <v>0</v>
      </c>
      <c r="G1957" s="2" t="s">
        <v>9937</v>
      </c>
      <c r="H1957" s="3" t="str">
        <f>_xlfn.IFNA(INDEX(RulebookFields!C2:C999, MATCH(D1957,RulebookFields!A2:A999, 0)), "")</f>
      </c>
      <c r="I1957" s="3" t="str">
        <f>_xlfn.IFNA(INDEX(RulebookFields!D2:D999, MATCH(D1957,RulebookFields!A2:A999, 0)), "")</f>
      </c>
      <c r="J1957" s="3" t="str">
        <f>_xlfn.IFNA(INDEX(RulebookFields!I2:I999, MATCH(D1957,RulebookFields!A2:A999, 0)), "")</f>
      </c>
      <c r="K1957" s="3" t="b">
        <f>AND(F1957, J1957)</f>
        <v>0</v>
      </c>
      <c r="L1957" s="3" t="b">
        <f>AND(G1957 &lt;&gt; "plain", G1957 &lt;&gt; "")</f>
        <v>0</v>
      </c>
      <c r="M1957" s="3" t="str">
        <f>IF(E1957, C1957 &amp; "|" &amp; H1957, "")</f>
        <v>principal-process-steward|</v>
      </c>
      <c r="N1957" s="2" t="s">
        <v>9938</v>
      </c>
    </row>
    <row r="1958">
      <c r="A1958" s="2" t="s">
        <v>11894</v>
      </c>
      <c r="B1958" s="3" t="str">
        <f>C1958 &amp; " -&gt; " &amp; D1958</f>
        <v>principal-process-steward -&gt; VerificationOutcomes.IndependentObservationExecutionKey</v>
      </c>
      <c r="C1958" s="2" t="s">
        <v>9706</v>
      </c>
      <c r="D1958" s="2" t="s">
        <v>4325</v>
      </c>
      <c r="E1958" s="2" t="b">
        <v>1</v>
      </c>
      <c r="F1958" s="2" t="b">
        <v>0</v>
      </c>
      <c r="G1958" s="2" t="s">
        <v>9937</v>
      </c>
      <c r="H1958" s="3" t="str">
        <f>_xlfn.IFNA(INDEX(RulebookFields!C2:C999, MATCH(D1958,RulebookFields!A2:A999, 0)), "")</f>
      </c>
      <c r="I1958" s="3" t="str">
        <f>_xlfn.IFNA(INDEX(RulebookFields!D2:D999, MATCH(D1958,RulebookFields!A2:A999, 0)), "")</f>
      </c>
      <c r="J1958" s="3" t="str">
        <f>_xlfn.IFNA(INDEX(RulebookFields!I2:I999, MATCH(D1958,RulebookFields!A2:A999, 0)), "")</f>
      </c>
      <c r="K1958" s="3" t="b">
        <f>AND(F1958, J1958)</f>
        <v>0</v>
      </c>
      <c r="L1958" s="3" t="b">
        <f>AND(G1958 &lt;&gt; "plain", G1958 &lt;&gt; "")</f>
        <v>0</v>
      </c>
      <c r="M1958" s="3" t="str">
        <f>IF(E1958, C1958 &amp; "|" &amp; H1958, "")</f>
        <v>principal-process-steward|</v>
      </c>
      <c r="N1958" s="2" t="s">
        <v>9938</v>
      </c>
    </row>
    <row r="1959">
      <c r="A1959" s="2" t="s">
        <v>11895</v>
      </c>
      <c r="B1959" s="3" t="str">
        <f>C1959 &amp; " -&gt; " &amp; D1959</f>
        <v>principal-process-steward -&gt; VerificationOutcomes.ParentProcedureExecutionOfOutcome</v>
      </c>
      <c r="C1959" s="2" t="s">
        <v>9706</v>
      </c>
      <c r="D1959" s="2" t="s">
        <v>4328</v>
      </c>
      <c r="E1959" s="2" t="b">
        <v>1</v>
      </c>
      <c r="F1959" s="2" t="b">
        <v>0</v>
      </c>
      <c r="G1959" s="2" t="s">
        <v>9937</v>
      </c>
      <c r="H1959" s="3" t="str">
        <f>_xlfn.IFNA(INDEX(RulebookFields!C2:C999, MATCH(D1959,RulebookFields!A2:A999, 0)), "")</f>
      </c>
      <c r="I1959" s="3" t="str">
        <f>_xlfn.IFNA(INDEX(RulebookFields!D2:D999, MATCH(D1959,RulebookFields!A2:A999, 0)), "")</f>
      </c>
      <c r="J1959" s="3" t="str">
        <f>_xlfn.IFNA(INDEX(RulebookFields!I2:I999, MATCH(D1959,RulebookFields!A2:A999, 0)), "")</f>
      </c>
      <c r="K1959" s="3" t="b">
        <f>AND(F1959, J1959)</f>
        <v>0</v>
      </c>
      <c r="L1959" s="3" t="b">
        <f>AND(G1959 &lt;&gt; "plain", G1959 &lt;&gt; "")</f>
        <v>0</v>
      </c>
      <c r="M1959" s="3" t="str">
        <f>IF(E1959, C1959 &amp; "|" &amp; H1959, "")</f>
        <v>principal-process-steward|</v>
      </c>
      <c r="N1959" s="2" t="s">
        <v>9938</v>
      </c>
    </row>
    <row r="1960">
      <c r="A1960" s="2" t="s">
        <v>11896</v>
      </c>
      <c r="B1960" s="3" t="str">
        <f>C1960 &amp; " -&gt; " &amp; D1960</f>
        <v>principal-process-steward -&gt; VerificationOutcomes.SemanticTypeIri</v>
      </c>
      <c r="C1960" s="2" t="s">
        <v>9706</v>
      </c>
      <c r="D1960" s="2" t="s">
        <v>4330</v>
      </c>
      <c r="E1960" s="2" t="b">
        <v>1</v>
      </c>
      <c r="F1960" s="2" t="b">
        <v>0</v>
      </c>
      <c r="G1960" s="2" t="s">
        <v>9937</v>
      </c>
      <c r="H1960" s="3" t="str">
        <f>_xlfn.IFNA(INDEX(RulebookFields!C2:C999, MATCH(D1960,RulebookFields!A2:A999, 0)), "")</f>
      </c>
      <c r="I1960" s="3" t="str">
        <f>_xlfn.IFNA(INDEX(RulebookFields!D2:D999, MATCH(D1960,RulebookFields!A2:A999, 0)), "")</f>
      </c>
      <c r="J1960" s="3" t="str">
        <f>_xlfn.IFNA(INDEX(RulebookFields!I2:I999, MATCH(D1960,RulebookFields!A2:A999, 0)), "")</f>
      </c>
      <c r="K1960" s="3" t="b">
        <f>AND(F1960, J1960)</f>
        <v>0</v>
      </c>
      <c r="L1960" s="3" t="b">
        <f>AND(G1960 &lt;&gt; "plain", G1960 &lt;&gt; "")</f>
        <v>0</v>
      </c>
      <c r="M1960" s="3" t="str">
        <f>IF(E1960, C1960 &amp; "|" &amp; H1960, "")</f>
        <v>principal-process-steward|</v>
      </c>
      <c r="N1960" s="2" t="s">
        <v>9938</v>
      </c>
    </row>
    <row r="1961">
      <c r="A1961" s="2" t="s">
        <v>11897</v>
      </c>
      <c r="B1961" s="3" t="str">
        <f>C1961 &amp; " -&gt; " &amp; D1961</f>
        <v>principal-process-steward -&gt; WitnessLoops.WitnessLoopId</v>
      </c>
      <c r="C1961" s="2" t="s">
        <v>9706</v>
      </c>
      <c r="D1961" s="2" t="s">
        <v>4073</v>
      </c>
      <c r="E1961" s="2" t="b">
        <v>1</v>
      </c>
      <c r="F1961" s="2" t="b">
        <v>0</v>
      </c>
      <c r="G1961" s="2" t="s">
        <v>9937</v>
      </c>
      <c r="H1961" s="3" t="str">
        <f>_xlfn.IFNA(INDEX(RulebookFields!C2:C999, MATCH(D1961,RulebookFields!A2:A999, 0)), "")</f>
      </c>
      <c r="I1961" s="3" t="str">
        <f>_xlfn.IFNA(INDEX(RulebookFields!D2:D999, MATCH(D1961,RulebookFields!A2:A999, 0)), "")</f>
      </c>
      <c r="J1961" s="3" t="str">
        <f>_xlfn.IFNA(INDEX(RulebookFields!I2:I999, MATCH(D1961,RulebookFields!A2:A999, 0)), "")</f>
      </c>
      <c r="K1961" s="3" t="b">
        <f>AND(F1961, J1961)</f>
        <v>0</v>
      </c>
      <c r="L1961" s="3" t="b">
        <f>AND(G1961 &lt;&gt; "plain", G1961 &lt;&gt; "")</f>
        <v>0</v>
      </c>
      <c r="M1961" s="3" t="str">
        <f>IF(E1961, C1961 &amp; "|" &amp; H1961, "")</f>
        <v>principal-process-steward|</v>
      </c>
      <c r="N1961" s="2" t="s">
        <v>9938</v>
      </c>
    </row>
    <row r="1962">
      <c r="A1962" s="2" t="s">
        <v>11898</v>
      </c>
      <c r="B1962" s="3" t="str">
        <f>C1962 &amp; " -&gt; " &amp; D1962</f>
        <v>principal-process-steward -&gt; WitnessLoops.Name</v>
      </c>
      <c r="C1962" s="2" t="s">
        <v>9706</v>
      </c>
      <c r="D1962" s="2" t="s">
        <v>4075</v>
      </c>
      <c r="E1962" s="2" t="b">
        <v>1</v>
      </c>
      <c r="F1962" s="2" t="b">
        <v>0</v>
      </c>
      <c r="G1962" s="2" t="s">
        <v>9937</v>
      </c>
      <c r="H1962" s="3" t="str">
        <f>_xlfn.IFNA(INDEX(RulebookFields!C2:C999, MATCH(D1962,RulebookFields!A2:A999, 0)), "")</f>
      </c>
      <c r="I1962" s="3" t="str">
        <f>_xlfn.IFNA(INDEX(RulebookFields!D2:D999, MATCH(D1962,RulebookFields!A2:A999, 0)), "")</f>
      </c>
      <c r="J1962" s="3" t="str">
        <f>_xlfn.IFNA(INDEX(RulebookFields!I2:I999, MATCH(D1962,RulebookFields!A2:A999, 0)), "")</f>
      </c>
      <c r="K1962" s="3" t="b">
        <f>AND(F1962, J1962)</f>
        <v>0</v>
      </c>
      <c r="L1962" s="3" t="b">
        <f>AND(G1962 &lt;&gt; "plain", G1962 &lt;&gt; "")</f>
        <v>0</v>
      </c>
      <c r="M1962" s="3" t="str">
        <f>IF(E1962, C1962 &amp; "|" &amp; H1962, "")</f>
        <v>principal-process-steward|</v>
      </c>
      <c r="N1962" s="2" t="s">
        <v>9938</v>
      </c>
    </row>
    <row r="1963">
      <c r="A1963" s="2" t="s">
        <v>11899</v>
      </c>
      <c r="B1963" s="3" t="str">
        <f>C1963 &amp; " -&gt; " &amp; D1963</f>
        <v>principal-process-steward -&gt; WitnessLoops.LoopNumber</v>
      </c>
      <c r="C1963" s="2" t="s">
        <v>9706</v>
      </c>
      <c r="D1963" s="2" t="s">
        <v>4077</v>
      </c>
      <c r="E1963" s="2" t="b">
        <v>1</v>
      </c>
      <c r="F1963" s="2" t="b">
        <v>0</v>
      </c>
      <c r="G1963" s="2" t="s">
        <v>9937</v>
      </c>
      <c r="H1963" s="3" t="str">
        <f>_xlfn.IFNA(INDEX(RulebookFields!C2:C999, MATCH(D1963,RulebookFields!A2:A999, 0)), "")</f>
      </c>
      <c r="I1963" s="3" t="str">
        <f>_xlfn.IFNA(INDEX(RulebookFields!D2:D999, MATCH(D1963,RulebookFields!A2:A999, 0)), "")</f>
      </c>
      <c r="J1963" s="3" t="str">
        <f>_xlfn.IFNA(INDEX(RulebookFields!I2:I999, MATCH(D1963,RulebookFields!A2:A999, 0)), "")</f>
      </c>
      <c r="K1963" s="3" t="b">
        <f>AND(F1963, J1963)</f>
        <v>0</v>
      </c>
      <c r="L1963" s="3" t="b">
        <f>AND(G1963 &lt;&gt; "plain", G1963 &lt;&gt; "")</f>
        <v>0</v>
      </c>
      <c r="M1963" s="3" t="str">
        <f>IF(E1963, C1963 &amp; "|" &amp; H1963, "")</f>
        <v>principal-process-steward|</v>
      </c>
      <c r="N1963" s="2" t="s">
        <v>9938</v>
      </c>
    </row>
    <row r="1964">
      <c r="A1964" s="2" t="s">
        <v>11900</v>
      </c>
      <c r="B1964" s="3" t="str">
        <f>C1964 &amp; " -&gt; " &amp; D1964</f>
        <v>principal-process-steward -&gt; WitnessLoops.Title</v>
      </c>
      <c r="C1964" s="2" t="s">
        <v>9706</v>
      </c>
      <c r="D1964" s="2" t="s">
        <v>4078</v>
      </c>
      <c r="E1964" s="2" t="b">
        <v>1</v>
      </c>
      <c r="F1964" s="2" t="b">
        <v>0</v>
      </c>
      <c r="G1964" s="2" t="s">
        <v>9937</v>
      </c>
      <c r="H1964" s="3" t="str">
        <f>_xlfn.IFNA(INDEX(RulebookFields!C2:C999, MATCH(D1964,RulebookFields!A2:A999, 0)), "")</f>
      </c>
      <c r="I1964" s="3" t="str">
        <f>_xlfn.IFNA(INDEX(RulebookFields!D2:D999, MATCH(D1964,RulebookFields!A2:A999, 0)), "")</f>
      </c>
      <c r="J1964" s="3" t="str">
        <f>_xlfn.IFNA(INDEX(RulebookFields!I2:I999, MATCH(D1964,RulebookFields!A2:A999, 0)), "")</f>
      </c>
      <c r="K1964" s="3" t="b">
        <f>AND(F1964, J1964)</f>
        <v>0</v>
      </c>
      <c r="L1964" s="3" t="b">
        <f>AND(G1964 &lt;&gt; "plain", G1964 &lt;&gt; "")</f>
        <v>0</v>
      </c>
      <c r="M1964" s="3" t="str">
        <f>IF(E1964, C1964 &amp; "|" &amp; H1964, "")</f>
        <v>principal-process-steward|</v>
      </c>
      <c r="N1964" s="2" t="s">
        <v>9938</v>
      </c>
    </row>
    <row r="1965">
      <c r="A1965" s="2" t="s">
        <v>11901</v>
      </c>
      <c r="B1965" s="3" t="str">
        <f>C1965 &amp; " -&gt; " &amp; D1965</f>
        <v>principal-process-steward -&gt; WitnessLoops.Premise</v>
      </c>
      <c r="C1965" s="2" t="s">
        <v>9706</v>
      </c>
      <c r="D1965" s="2" t="s">
        <v>4079</v>
      </c>
      <c r="E1965" s="2" t="b">
        <v>1</v>
      </c>
      <c r="F1965" s="2" t="b">
        <v>0</v>
      </c>
      <c r="G1965" s="2" t="s">
        <v>9937</v>
      </c>
      <c r="H1965" s="3" t="str">
        <f>_xlfn.IFNA(INDEX(RulebookFields!C2:C999, MATCH(D1965,RulebookFields!A2:A999, 0)), "")</f>
      </c>
      <c r="I1965" s="3" t="str">
        <f>_xlfn.IFNA(INDEX(RulebookFields!D2:D999, MATCH(D1965,RulebookFields!A2:A999, 0)), "")</f>
      </c>
      <c r="J1965" s="3" t="str">
        <f>_xlfn.IFNA(INDEX(RulebookFields!I2:I999, MATCH(D1965,RulebookFields!A2:A999, 0)), "")</f>
      </c>
      <c r="K1965" s="3" t="b">
        <f>AND(F1965, J1965)</f>
        <v>0</v>
      </c>
      <c r="L1965" s="3" t="b">
        <f>AND(G1965 &lt;&gt; "plain", G1965 &lt;&gt; "")</f>
        <v>0</v>
      </c>
      <c r="M1965" s="3" t="str">
        <f>IF(E1965, C1965 &amp; "|" &amp; H1965, "")</f>
        <v>principal-process-steward|</v>
      </c>
      <c r="N1965" s="2" t="s">
        <v>9938</v>
      </c>
    </row>
    <row r="1966">
      <c r="A1966" s="2" t="s">
        <v>11902</v>
      </c>
      <c r="B1966" s="3" t="str">
        <f>C1966 &amp; " -&gt; " &amp; D1966</f>
        <v>principal-process-steward -&gt; WitnessLoops.StartedAt</v>
      </c>
      <c r="C1966" s="2" t="s">
        <v>9706</v>
      </c>
      <c r="D1966" s="2" t="s">
        <v>4080</v>
      </c>
      <c r="E1966" s="2" t="b">
        <v>1</v>
      </c>
      <c r="F1966" s="2" t="b">
        <v>0</v>
      </c>
      <c r="G1966" s="2" t="s">
        <v>9937</v>
      </c>
      <c r="H1966" s="3" t="str">
        <f>_xlfn.IFNA(INDEX(RulebookFields!C2:C999, MATCH(D1966,RulebookFields!A2:A999, 0)), "")</f>
      </c>
      <c r="I1966" s="3" t="str">
        <f>_xlfn.IFNA(INDEX(RulebookFields!D2:D999, MATCH(D1966,RulebookFields!A2:A999, 0)), "")</f>
      </c>
      <c r="J1966" s="3" t="str">
        <f>_xlfn.IFNA(INDEX(RulebookFields!I2:I999, MATCH(D1966,RulebookFields!A2:A999, 0)), "")</f>
      </c>
      <c r="K1966" s="3" t="b">
        <f>AND(F1966, J1966)</f>
        <v>0</v>
      </c>
      <c r="L1966" s="3" t="b">
        <f>AND(G1966 &lt;&gt; "plain", G1966 &lt;&gt; "")</f>
        <v>0</v>
      </c>
      <c r="M1966" s="3" t="str">
        <f>IF(E1966, C1966 &amp; "|" &amp; H1966, "")</f>
        <v>principal-process-steward|</v>
      </c>
      <c r="N1966" s="2" t="s">
        <v>9938</v>
      </c>
    </row>
    <row r="1967">
      <c r="A1967" s="2" t="s">
        <v>11903</v>
      </c>
      <c r="B1967" s="3" t="str">
        <f>C1967 &amp; " -&gt; " &amp; D1967</f>
        <v>principal-process-steward -&gt; WitnessLoops.CompletedAt</v>
      </c>
      <c r="C1967" s="2" t="s">
        <v>9706</v>
      </c>
      <c r="D1967" s="2" t="s">
        <v>4081</v>
      </c>
      <c r="E1967" s="2" t="b">
        <v>1</v>
      </c>
      <c r="F1967" s="2" t="b">
        <v>0</v>
      </c>
      <c r="G1967" s="2" t="s">
        <v>9937</v>
      </c>
      <c r="H1967" s="3" t="str">
        <f>_xlfn.IFNA(INDEX(RulebookFields!C2:C999, MATCH(D1967,RulebookFields!A2:A999, 0)), "")</f>
      </c>
      <c r="I1967" s="3" t="str">
        <f>_xlfn.IFNA(INDEX(RulebookFields!D2:D999, MATCH(D1967,RulebookFields!A2:A999, 0)), "")</f>
      </c>
      <c r="J1967" s="3" t="str">
        <f>_xlfn.IFNA(INDEX(RulebookFields!I2:I999, MATCH(D1967,RulebookFields!A2:A999, 0)), "")</f>
      </c>
      <c r="K1967" s="3" t="b">
        <f>AND(F1967, J1967)</f>
        <v>0</v>
      </c>
      <c r="L1967" s="3" t="b">
        <f>AND(G1967 &lt;&gt; "plain", G1967 &lt;&gt; "")</f>
        <v>0</v>
      </c>
      <c r="M1967" s="3" t="str">
        <f>IF(E1967, C1967 &amp; "|" &amp; H1967, "")</f>
        <v>principal-process-steward|</v>
      </c>
      <c r="N1967" s="2" t="s">
        <v>9938</v>
      </c>
    </row>
    <row r="1968">
      <c r="A1968" s="2" t="s">
        <v>11904</v>
      </c>
      <c r="B1968" s="3" t="str">
        <f>C1968 &amp; " -&gt; " &amp; D1968</f>
        <v>principal-process-steward -&gt; WitnessLoops.QuestionCount</v>
      </c>
      <c r="C1968" s="2" t="s">
        <v>9706</v>
      </c>
      <c r="D1968" s="2" t="s">
        <v>4082</v>
      </c>
      <c r="E1968" s="2" t="b">
        <v>1</v>
      </c>
      <c r="F1968" s="2" t="b">
        <v>0</v>
      </c>
      <c r="G1968" s="2" t="s">
        <v>9937</v>
      </c>
      <c r="H1968" s="3" t="str">
        <f>_xlfn.IFNA(INDEX(RulebookFields!C2:C999, MATCH(D1968,RulebookFields!A2:A999, 0)), "")</f>
      </c>
      <c r="I1968" s="3" t="str">
        <f>_xlfn.IFNA(INDEX(RulebookFields!D2:D999, MATCH(D1968,RulebookFields!A2:A999, 0)), "")</f>
      </c>
      <c r="J1968" s="3" t="str">
        <f>_xlfn.IFNA(INDEX(RulebookFields!I2:I999, MATCH(D1968,RulebookFields!A2:A999, 0)), "")</f>
      </c>
      <c r="K1968" s="3" t="b">
        <f>AND(F1968, J1968)</f>
        <v>0</v>
      </c>
      <c r="L1968" s="3" t="b">
        <f>AND(G1968 &lt;&gt; "plain", G1968 &lt;&gt; "")</f>
        <v>0</v>
      </c>
      <c r="M1968" s="3" t="str">
        <f>IF(E1968, C1968 &amp; "|" &amp; H1968, "")</f>
        <v>principal-process-steward|</v>
      </c>
      <c r="N1968" s="2" t="s">
        <v>9938</v>
      </c>
    </row>
    <row r="1969">
      <c r="A1969" s="2" t="s">
        <v>11905</v>
      </c>
      <c r="B1969" s="3" t="str">
        <f>C1969 &amp; " -&gt; " &amp; D1969</f>
        <v>principal-process-steward -&gt; WitnessLoops.IsComplete</v>
      </c>
      <c r="C1969" s="2" t="s">
        <v>9706</v>
      </c>
      <c r="D1969" s="2" t="s">
        <v>4084</v>
      </c>
      <c r="E1969" s="2" t="b">
        <v>1</v>
      </c>
      <c r="F1969" s="2" t="b">
        <v>0</v>
      </c>
      <c r="G1969" s="2" t="s">
        <v>9937</v>
      </c>
      <c r="H1969" s="3" t="str">
        <f>_xlfn.IFNA(INDEX(RulebookFields!C2:C999, MATCH(D1969,RulebookFields!A2:A999, 0)), "")</f>
      </c>
      <c r="I1969" s="3" t="str">
        <f>_xlfn.IFNA(INDEX(RulebookFields!D2:D999, MATCH(D1969,RulebookFields!A2:A999, 0)), "")</f>
      </c>
      <c r="J1969" s="3" t="str">
        <f>_xlfn.IFNA(INDEX(RulebookFields!I2:I999, MATCH(D1969,RulebookFields!A2:A999, 0)), "")</f>
      </c>
      <c r="K1969" s="3" t="b">
        <f>AND(F1969, J1969)</f>
        <v>0</v>
      </c>
      <c r="L1969" s="3" t="b">
        <f>AND(G1969 &lt;&gt; "plain", G1969 &lt;&gt; "")</f>
        <v>0</v>
      </c>
      <c r="M1969" s="3" t="str">
        <f>IF(E1969, C1969 &amp; "|" &amp; H1969, "")</f>
        <v>principal-process-steward|</v>
      </c>
      <c r="N1969" s="2" t="s">
        <v>9938</v>
      </c>
    </row>
    <row r="1970">
      <c r="A1970" s="2" t="s">
        <v>11906</v>
      </c>
      <c r="B1970" s="3" t="str">
        <f>C1970 &amp; " -&gt; " &amp; D1970</f>
        <v>principal-process-steward -&gt; WitnessLoops.FieldsAfter</v>
      </c>
      <c r="C1970" s="2" t="s">
        <v>9706</v>
      </c>
      <c r="D1970" s="2" t="s">
        <v>4086</v>
      </c>
      <c r="E1970" s="2" t="b">
        <v>1</v>
      </c>
      <c r="F1970" s="2" t="b">
        <v>0</v>
      </c>
      <c r="G1970" s="2" t="s">
        <v>9937</v>
      </c>
      <c r="H1970" s="3" t="str">
        <f>_xlfn.IFNA(INDEX(RulebookFields!C2:C999, MATCH(D1970,RulebookFields!A2:A999, 0)), "")</f>
      </c>
      <c r="I1970" s="3" t="str">
        <f>_xlfn.IFNA(INDEX(RulebookFields!D2:D999, MATCH(D1970,RulebookFields!A2:A999, 0)), "")</f>
      </c>
      <c r="J1970" s="3" t="str">
        <f>_xlfn.IFNA(INDEX(RulebookFields!I2:I999, MATCH(D1970,RulebookFields!A2:A999, 0)), "")</f>
      </c>
      <c r="K1970" s="3" t="b">
        <f>AND(F1970, J1970)</f>
        <v>0</v>
      </c>
      <c r="L1970" s="3" t="b">
        <f>AND(G1970 &lt;&gt; "plain", G1970 &lt;&gt; "")</f>
        <v>0</v>
      </c>
      <c r="M1970" s="3" t="str">
        <f>IF(E1970, C1970 &amp; "|" &amp; H1970, "")</f>
        <v>principal-process-steward|</v>
      </c>
      <c r="N1970" s="2" t="s">
        <v>9938</v>
      </c>
    </row>
    <row r="1971">
      <c r="A1971" s="2" t="s">
        <v>11907</v>
      </c>
      <c r="B1971" s="3" t="str">
        <f>C1971 &amp; " -&gt; " &amp; D1971</f>
        <v>principal-process-steward -&gt; WitnessLoops.DerivedAfter</v>
      </c>
      <c r="C1971" s="2" t="s">
        <v>9706</v>
      </c>
      <c r="D1971" s="2" t="s">
        <v>4087</v>
      </c>
      <c r="E1971" s="2" t="b">
        <v>1</v>
      </c>
      <c r="F1971" s="2" t="b">
        <v>0</v>
      </c>
      <c r="G1971" s="2" t="s">
        <v>9937</v>
      </c>
      <c r="H1971" s="3" t="str">
        <f>_xlfn.IFNA(INDEX(RulebookFields!C2:C999, MATCH(D1971,RulebookFields!A2:A999, 0)), "")</f>
      </c>
      <c r="I1971" s="3" t="str">
        <f>_xlfn.IFNA(INDEX(RulebookFields!D2:D999, MATCH(D1971,RulebookFields!A2:A999, 0)), "")</f>
      </c>
      <c r="J1971" s="3" t="str">
        <f>_xlfn.IFNA(INDEX(RulebookFields!I2:I999, MATCH(D1971,RulebookFields!A2:A999, 0)), "")</f>
      </c>
      <c r="K1971" s="3" t="b">
        <f>AND(F1971, J1971)</f>
        <v>0</v>
      </c>
      <c r="L1971" s="3" t="b">
        <f>AND(G1971 &lt;&gt; "plain", G1971 &lt;&gt; "")</f>
        <v>0</v>
      </c>
      <c r="M1971" s="3" t="str">
        <f>IF(E1971, C1971 &amp; "|" &amp; H1971, "")</f>
        <v>principal-process-steward|</v>
      </c>
      <c r="N1971" s="2" t="s">
        <v>9938</v>
      </c>
    </row>
    <row r="1972">
      <c r="A1972" s="2" t="s">
        <v>11908</v>
      </c>
      <c r="B1972" s="3" t="str">
        <f>C1972 &amp; " -&gt; " &amp; D1972</f>
        <v>principal-process-steward -&gt; WitnessLoops.WitnessedAfter</v>
      </c>
      <c r="C1972" s="2" t="s">
        <v>9706</v>
      </c>
      <c r="D1972" s="2" t="s">
        <v>4088</v>
      </c>
      <c r="E1972" s="2" t="b">
        <v>1</v>
      </c>
      <c r="F1972" s="2" t="b">
        <v>0</v>
      </c>
      <c r="G1972" s="2" t="s">
        <v>9937</v>
      </c>
      <c r="H1972" s="3" t="str">
        <f>_xlfn.IFNA(INDEX(RulebookFields!C2:C999, MATCH(D1972,RulebookFields!A2:A999, 0)), "")</f>
      </c>
      <c r="I1972" s="3" t="str">
        <f>_xlfn.IFNA(INDEX(RulebookFields!D2:D999, MATCH(D1972,RulebookFields!A2:A999, 0)), "")</f>
      </c>
      <c r="J1972" s="3" t="str">
        <f>_xlfn.IFNA(INDEX(RulebookFields!I2:I999, MATCH(D1972,RulebookFields!A2:A999, 0)), "")</f>
      </c>
      <c r="K1972" s="3" t="b">
        <f>AND(F1972, J1972)</f>
        <v>0</v>
      </c>
      <c r="L1972" s="3" t="b">
        <f>AND(G1972 &lt;&gt; "plain", G1972 &lt;&gt; "")</f>
        <v>0</v>
      </c>
      <c r="M1972" s="3" t="str">
        <f>IF(E1972, C1972 &amp; "|" &amp; H1972, "")</f>
        <v>principal-process-steward|</v>
      </c>
      <c r="N1972" s="2" t="s">
        <v>9938</v>
      </c>
    </row>
    <row r="1973">
      <c r="A1973" s="2" t="s">
        <v>11909</v>
      </c>
      <c r="B1973" s="3" t="str">
        <f>C1973 &amp; " -&gt; " &amp; D1973</f>
        <v>principal-process-steward -&gt; WitnessLoops.SemanticTypeIri</v>
      </c>
      <c r="C1973" s="2" t="s">
        <v>9706</v>
      </c>
      <c r="D1973" s="2" t="s">
        <v>4089</v>
      </c>
      <c r="E1973" s="2" t="b">
        <v>1</v>
      </c>
      <c r="F1973" s="2" t="b">
        <v>0</v>
      </c>
      <c r="G1973" s="2" t="s">
        <v>9937</v>
      </c>
      <c r="H1973" s="3" t="str">
        <f>_xlfn.IFNA(INDEX(RulebookFields!C2:C999, MATCH(D1973,RulebookFields!A2:A999, 0)), "")</f>
      </c>
      <c r="I1973" s="3" t="str">
        <f>_xlfn.IFNA(INDEX(RulebookFields!D2:D999, MATCH(D1973,RulebookFields!A2:A999, 0)), "")</f>
      </c>
      <c r="J1973" s="3" t="str">
        <f>_xlfn.IFNA(INDEX(RulebookFields!I2:I999, MATCH(D1973,RulebookFields!A2:A999, 0)), "")</f>
      </c>
      <c r="K1973" s="3" t="b">
        <f>AND(F1973, J1973)</f>
        <v>0</v>
      </c>
      <c r="L1973" s="3" t="b">
        <f>AND(G1973 &lt;&gt; "plain", G1973 &lt;&gt; "")</f>
        <v>0</v>
      </c>
      <c r="M1973" s="3" t="str">
        <f>IF(E1973, C1973 &amp; "|" &amp; H1973, "")</f>
        <v>principal-process-steward|</v>
      </c>
      <c r="N1973" s="2" t="s">
        <v>9938</v>
      </c>
    </row>
    <row r="1974">
      <c r="A1974" s="2" t="s">
        <v>11910</v>
      </c>
      <c r="B1974" s="3" t="str">
        <f>C1974 &amp; " -&gt; " &amp; D1974</f>
        <v>principal-knowledge-authority -&gt; Actions.ActionId</v>
      </c>
      <c r="C1974" s="2" t="s">
        <v>9708</v>
      </c>
      <c r="D1974" s="2" t="s">
        <v>2945</v>
      </c>
      <c r="E1974" s="2" t="b">
        <v>1</v>
      </c>
      <c r="F1974" s="2" t="b">
        <v>0</v>
      </c>
      <c r="G1974" s="2" t="s">
        <v>9937</v>
      </c>
      <c r="H1974" s="3" t="str">
        <f>_xlfn.IFNA(INDEX(RulebookFields!C2:C999, MATCH(D1974,RulebookFields!A2:A999, 0)), "")</f>
        <v>Actions</v>
      </c>
      <c r="I1974" s="3" t="str">
        <f>_xlfn.IFNA(INDEX(RulebookFields!D2:D999, MATCH(D1974,RulebookFields!A2:A999, 0)), "")</f>
        <v>ActionId</v>
      </c>
      <c r="J1974" s="3" t="b">
        <f>_xlfn.IFNA(INDEX(RulebookFields!I2:I999, MATCH(D1974,RulebookFields!A2:A999, 0)), "")</f>
        <v>0</v>
      </c>
      <c r="K1974" s="3" t="b">
        <f>AND(F1974, J1974)</f>
        <v>0</v>
      </c>
      <c r="L1974" s="3" t="b">
        <f>AND(G1974 &lt;&gt; "plain", G1974 &lt;&gt; "")</f>
        <v>0</v>
      </c>
      <c r="M1974" s="3" t="str">
        <f>IF(E1974, C1974 &amp; "|" &amp; H1974, "")</f>
        <v>principal-knowledge-authority|Actions</v>
      </c>
      <c r="N1974" s="2" t="s">
        <v>9938</v>
      </c>
    </row>
    <row r="1975">
      <c r="A1975" s="2" t="s">
        <v>11911</v>
      </c>
      <c r="B1975" s="3" t="str">
        <f>C1975 &amp; " -&gt; " &amp; D1975</f>
        <v>principal-knowledge-authority -&gt; Actions.Name</v>
      </c>
      <c r="C1975" s="2" t="s">
        <v>9708</v>
      </c>
      <c r="D1975" s="2" t="s">
        <v>2946</v>
      </c>
      <c r="E1975" s="2" t="b">
        <v>1</v>
      </c>
      <c r="F1975" s="2" t="b">
        <v>0</v>
      </c>
      <c r="G1975" s="2" t="s">
        <v>9937</v>
      </c>
      <c r="H1975" s="3" t="str">
        <f>_xlfn.IFNA(INDEX(RulebookFields!C2:C999, MATCH(D1975,RulebookFields!A2:A999, 0)), "")</f>
        <v>Actions</v>
      </c>
      <c r="I1975" s="3" t="str">
        <f>_xlfn.IFNA(INDEX(RulebookFields!D2:D999, MATCH(D1975,RulebookFields!A2:A999, 0)), "")</f>
        <v>Name</v>
      </c>
      <c r="J1975" s="3" t="b">
        <f>_xlfn.IFNA(INDEX(RulebookFields!I2:I999, MATCH(D1975,RulebookFields!A2:A999, 0)), "")</f>
        <v>1</v>
      </c>
      <c r="K1975" s="3" t="b">
        <f>AND(F1975, J1975)</f>
        <v>0</v>
      </c>
      <c r="L1975" s="3" t="b">
        <f>AND(G1975 &lt;&gt; "plain", G1975 &lt;&gt; "")</f>
        <v>0</v>
      </c>
      <c r="M1975" s="3" t="str">
        <f>IF(E1975, C1975 &amp; "|" &amp; H1975, "")</f>
        <v>principal-knowledge-authority|Actions</v>
      </c>
      <c r="N1975" s="2" t="s">
        <v>9938</v>
      </c>
    </row>
    <row r="1976">
      <c r="A1976" s="2" t="s">
        <v>11912</v>
      </c>
      <c r="B1976" s="3" t="str">
        <f>C1976 &amp; " -&gt; " &amp; D1976</f>
        <v>principal-knowledge-authority -&gt; Actions.Label</v>
      </c>
      <c r="C1976" s="2" t="s">
        <v>9708</v>
      </c>
      <c r="D1976" s="2" t="s">
        <v>2947</v>
      </c>
      <c r="E1976" s="2" t="b">
        <v>1</v>
      </c>
      <c r="F1976" s="2" t="b">
        <v>0</v>
      </c>
      <c r="G1976" s="2" t="s">
        <v>9937</v>
      </c>
      <c r="H1976" s="3" t="str">
        <f>_xlfn.IFNA(INDEX(RulebookFields!C2:C999, MATCH(D1976,RulebookFields!A2:A999, 0)), "")</f>
        <v>Actions</v>
      </c>
      <c r="I1976" s="3" t="str">
        <f>_xlfn.IFNA(INDEX(RulebookFields!D2:D999, MATCH(D1976,RulebookFields!A2:A999, 0)), "")</f>
        <v>Label</v>
      </c>
      <c r="J1976" s="3" t="b">
        <f>_xlfn.IFNA(INDEX(RulebookFields!I2:I999, MATCH(D1976,RulebookFields!A2:A999, 0)), "")</f>
        <v>0</v>
      </c>
      <c r="K1976" s="3" t="b">
        <f>AND(F1976, J1976)</f>
        <v>0</v>
      </c>
      <c r="L1976" s="3" t="b">
        <f>AND(G1976 &lt;&gt; "plain", G1976 &lt;&gt; "")</f>
        <v>0</v>
      </c>
      <c r="M1976" s="3" t="str">
        <f>IF(E1976, C1976 &amp; "|" &amp; H1976, "")</f>
        <v>principal-knowledge-authority|Actions</v>
      </c>
      <c r="N1976" s="2" t="s">
        <v>9938</v>
      </c>
    </row>
    <row r="1977">
      <c r="A1977" s="2" t="s">
        <v>11913</v>
      </c>
      <c r="B1977" s="3" t="str">
        <f>C1977 &amp; " -&gt; " &amp; D1977</f>
        <v>principal-knowledge-authority -&gt; Actions.Definition</v>
      </c>
      <c r="C1977" s="2" t="s">
        <v>9708</v>
      </c>
      <c r="D1977" s="2" t="s">
        <v>2948</v>
      </c>
      <c r="E1977" s="2" t="b">
        <v>1</v>
      </c>
      <c r="F1977" s="2" t="b">
        <v>0</v>
      </c>
      <c r="G1977" s="2" t="s">
        <v>9937</v>
      </c>
      <c r="H1977" s="3" t="str">
        <f>_xlfn.IFNA(INDEX(RulebookFields!C2:C999, MATCH(D1977,RulebookFields!A2:A999, 0)), "")</f>
        <v>Actions</v>
      </c>
      <c r="I1977" s="3" t="str">
        <f>_xlfn.IFNA(INDEX(RulebookFields!D2:D999, MATCH(D1977,RulebookFields!A2:A999, 0)), "")</f>
        <v>Definition</v>
      </c>
      <c r="J1977" s="3" t="b">
        <f>_xlfn.IFNA(INDEX(RulebookFields!I2:I999, MATCH(D1977,RulebookFields!A2:A999, 0)), "")</f>
        <v>0</v>
      </c>
      <c r="K1977" s="3" t="b">
        <f>AND(F1977, J1977)</f>
        <v>0</v>
      </c>
      <c r="L1977" s="3" t="b">
        <f>AND(G1977 &lt;&gt; "plain", G1977 &lt;&gt; "")</f>
        <v>0</v>
      </c>
      <c r="M1977" s="3" t="str">
        <f>IF(E1977, C1977 &amp; "|" &amp; H1977, "")</f>
        <v>principal-knowledge-authority|Actions</v>
      </c>
      <c r="N1977" s="2" t="s">
        <v>9938</v>
      </c>
    </row>
    <row r="1978">
      <c r="A1978" s="2" t="s">
        <v>11914</v>
      </c>
      <c r="B1978" s="3" t="str">
        <f>C1978 &amp; " -&gt; " &amp; D1978</f>
        <v>principal-knowledge-authority -&gt; Actions.SemanticTypeIri</v>
      </c>
      <c r="C1978" s="2" t="s">
        <v>9708</v>
      </c>
      <c r="D1978" s="2" t="s">
        <v>2949</v>
      </c>
      <c r="E1978" s="2" t="b">
        <v>1</v>
      </c>
      <c r="F1978" s="2" t="b">
        <v>0</v>
      </c>
      <c r="G1978" s="2" t="s">
        <v>9937</v>
      </c>
      <c r="H1978" s="3" t="str">
        <f>_xlfn.IFNA(INDEX(RulebookFields!C2:C999, MATCH(D1978,RulebookFields!A2:A999, 0)), "")</f>
        <v>Actions</v>
      </c>
      <c r="I1978" s="3" t="str">
        <f>_xlfn.IFNA(INDEX(RulebookFields!D2:D999, MATCH(D1978,RulebookFields!A2:A999, 0)), "")</f>
        <v>SemanticTypeIri</v>
      </c>
      <c r="J1978" s="3" t="b">
        <f>_xlfn.IFNA(INDEX(RulebookFields!I2:I999, MATCH(D1978,RulebookFields!A2:A999, 0)), "")</f>
        <v>0</v>
      </c>
      <c r="K1978" s="3" t="b">
        <f>AND(F1978, J1978)</f>
        <v>0</v>
      </c>
      <c r="L1978" s="3" t="b">
        <f>AND(G1978 &lt;&gt; "plain", G1978 &lt;&gt; "")</f>
        <v>0</v>
      </c>
      <c r="M1978" s="3" t="str">
        <f>IF(E1978, C1978 &amp; "|" &amp; H1978, "")</f>
        <v>principal-knowledge-authority|Actions</v>
      </c>
      <c r="N1978" s="2" t="s">
        <v>9938</v>
      </c>
    </row>
    <row r="1979">
      <c r="A1979" s="2" t="s">
        <v>11915</v>
      </c>
      <c r="B1979" s="3" t="str">
        <f>C1979 &amp; " -&gt; " &amp; D1979</f>
        <v>principal-knowledge-authority -&gt; AgentDecisionRecords.AgentDecisionRecordId</v>
      </c>
      <c r="C1979" s="2" t="s">
        <v>9708</v>
      </c>
      <c r="D1979" s="2" t="s">
        <v>4927</v>
      </c>
      <c r="E1979" s="2" t="b">
        <v>1</v>
      </c>
      <c r="F1979" s="2" t="b">
        <v>0</v>
      </c>
      <c r="G1979" s="2" t="s">
        <v>9937</v>
      </c>
      <c r="H1979" s="3" t="str">
        <f>_xlfn.IFNA(INDEX(RulebookFields!C2:C999, MATCH(D1979,RulebookFields!A2:A999, 0)), "")</f>
      </c>
      <c r="I1979" s="3" t="str">
        <f>_xlfn.IFNA(INDEX(RulebookFields!D2:D999, MATCH(D1979,RulebookFields!A2:A999, 0)), "")</f>
      </c>
      <c r="J1979" s="3" t="str">
        <f>_xlfn.IFNA(INDEX(RulebookFields!I2:I999, MATCH(D1979,RulebookFields!A2:A999, 0)), "")</f>
      </c>
      <c r="K1979" s="3" t="b">
        <f>AND(F1979, J1979)</f>
        <v>0</v>
      </c>
      <c r="L1979" s="3" t="b">
        <f>AND(G1979 &lt;&gt; "plain", G1979 &lt;&gt; "")</f>
        <v>0</v>
      </c>
      <c r="M1979" s="3" t="str">
        <f>IF(E1979, C1979 &amp; "|" &amp; H1979, "")</f>
        <v>principal-knowledge-authority|</v>
      </c>
      <c r="N1979" s="2" t="s">
        <v>9938</v>
      </c>
    </row>
    <row r="1980">
      <c r="A1980" s="2" t="s">
        <v>11916</v>
      </c>
      <c r="B1980" s="3" t="str">
        <f>C1980 &amp; " -&gt; " &amp; D1980</f>
        <v>principal-knowledge-authority -&gt; AgentDecisionRecords.Name</v>
      </c>
      <c r="C1980" s="2" t="s">
        <v>9708</v>
      </c>
      <c r="D1980" s="2" t="s">
        <v>4930</v>
      </c>
      <c r="E1980" s="2" t="b">
        <v>1</v>
      </c>
      <c r="F1980" s="2" t="b">
        <v>0</v>
      </c>
      <c r="G1980" s="2" t="s">
        <v>9937</v>
      </c>
      <c r="H1980" s="3" t="str">
        <f>_xlfn.IFNA(INDEX(RulebookFields!C2:C999, MATCH(D1980,RulebookFields!A2:A999, 0)), "")</f>
      </c>
      <c r="I1980" s="3" t="str">
        <f>_xlfn.IFNA(INDEX(RulebookFields!D2:D999, MATCH(D1980,RulebookFields!A2:A999, 0)), "")</f>
      </c>
      <c r="J1980" s="3" t="str">
        <f>_xlfn.IFNA(INDEX(RulebookFields!I2:I999, MATCH(D1980,RulebookFields!A2:A999, 0)), "")</f>
      </c>
      <c r="K1980" s="3" t="b">
        <f>AND(F1980, J1980)</f>
        <v>0</v>
      </c>
      <c r="L1980" s="3" t="b">
        <f>AND(G1980 &lt;&gt; "plain", G1980 &lt;&gt; "")</f>
        <v>0</v>
      </c>
      <c r="M1980" s="3" t="str">
        <f>IF(E1980, C1980 &amp; "|" &amp; H1980, "")</f>
        <v>principal-knowledge-authority|</v>
      </c>
      <c r="N1980" s="2" t="s">
        <v>9938</v>
      </c>
    </row>
    <row r="1981">
      <c r="A1981" s="2" t="s">
        <v>11917</v>
      </c>
      <c r="B1981" s="3" t="str">
        <f>C1981 &amp; " -&gt; " &amp; D1981</f>
        <v>principal-knowledge-authority -&gt; AgentDecisionRecords.StepExecution</v>
      </c>
      <c r="C1981" s="2" t="s">
        <v>9708</v>
      </c>
      <c r="D1981" s="2" t="s">
        <v>4932</v>
      </c>
      <c r="E1981" s="2" t="b">
        <v>1</v>
      </c>
      <c r="F1981" s="2" t="b">
        <v>0</v>
      </c>
      <c r="G1981" s="2" t="s">
        <v>9937</v>
      </c>
      <c r="H1981" s="3" t="str">
        <f>_xlfn.IFNA(INDEX(RulebookFields!C2:C999, MATCH(D1981,RulebookFields!A2:A999, 0)), "")</f>
      </c>
      <c r="I1981" s="3" t="str">
        <f>_xlfn.IFNA(INDEX(RulebookFields!D2:D999, MATCH(D1981,RulebookFields!A2:A999, 0)), "")</f>
      </c>
      <c r="J1981" s="3" t="str">
        <f>_xlfn.IFNA(INDEX(RulebookFields!I2:I999, MATCH(D1981,RulebookFields!A2:A999, 0)), "")</f>
      </c>
      <c r="K1981" s="3" t="b">
        <f>AND(F1981, J1981)</f>
        <v>0</v>
      </c>
      <c r="L1981" s="3" t="b">
        <f>AND(G1981 &lt;&gt; "plain", G1981 &lt;&gt; "")</f>
        <v>0</v>
      </c>
      <c r="M1981" s="3" t="str">
        <f>IF(E1981, C1981 &amp; "|" &amp; H1981, "")</f>
        <v>principal-knowledge-authority|</v>
      </c>
      <c r="N1981" s="2" t="s">
        <v>9938</v>
      </c>
    </row>
    <row r="1982">
      <c r="A1982" s="2" t="s">
        <v>11918</v>
      </c>
      <c r="B1982" s="3" t="str">
        <f>C1982 &amp; " -&gt; " &amp; D1982</f>
        <v>principal-knowledge-authority -&gt; AgentDecisionRecords.DecidingAgent</v>
      </c>
      <c r="C1982" s="2" t="s">
        <v>9708</v>
      </c>
      <c r="D1982" s="2" t="s">
        <v>4933</v>
      </c>
      <c r="E1982" s="2" t="b">
        <v>1</v>
      </c>
      <c r="F1982" s="2" t="b">
        <v>0</v>
      </c>
      <c r="G1982" s="2" t="s">
        <v>9937</v>
      </c>
      <c r="H1982" s="3" t="str">
        <f>_xlfn.IFNA(INDEX(RulebookFields!C2:C999, MATCH(D1982,RulebookFields!A2:A999, 0)), "")</f>
      </c>
      <c r="I1982" s="3" t="str">
        <f>_xlfn.IFNA(INDEX(RulebookFields!D2:D999, MATCH(D1982,RulebookFields!A2:A999, 0)), "")</f>
      </c>
      <c r="J1982" s="3" t="str">
        <f>_xlfn.IFNA(INDEX(RulebookFields!I2:I999, MATCH(D1982,RulebookFields!A2:A999, 0)), "")</f>
      </c>
      <c r="K1982" s="3" t="b">
        <f>AND(F1982, J1982)</f>
        <v>0</v>
      </c>
      <c r="L1982" s="3" t="b">
        <f>AND(G1982 &lt;&gt; "plain", G1982 &lt;&gt; "")</f>
        <v>0</v>
      </c>
      <c r="M1982" s="3" t="str">
        <f>IF(E1982, C1982 &amp; "|" &amp; H1982, "")</f>
        <v>principal-knowledge-authority|</v>
      </c>
      <c r="N1982" s="2" t="s">
        <v>9938</v>
      </c>
    </row>
    <row r="1983">
      <c r="A1983" s="2" t="s">
        <v>11919</v>
      </c>
      <c r="B1983" s="3" t="str">
        <f>C1983 &amp; " -&gt; " &amp; D1983</f>
        <v>principal-knowledge-authority -&gt; AgentDecisionRecords.DecisionKind</v>
      </c>
      <c r="C1983" s="2" t="s">
        <v>9708</v>
      </c>
      <c r="D1983" s="2" t="s">
        <v>4935</v>
      </c>
      <c r="E1983" s="2" t="b">
        <v>1</v>
      </c>
      <c r="F1983" s="2" t="b">
        <v>0</v>
      </c>
      <c r="G1983" s="2" t="s">
        <v>9937</v>
      </c>
      <c r="H1983" s="3" t="str">
        <f>_xlfn.IFNA(INDEX(RulebookFields!C2:C999, MATCH(D1983,RulebookFields!A2:A999, 0)), "")</f>
      </c>
      <c r="I1983" s="3" t="str">
        <f>_xlfn.IFNA(INDEX(RulebookFields!D2:D999, MATCH(D1983,RulebookFields!A2:A999, 0)), "")</f>
      </c>
      <c r="J1983" s="3" t="str">
        <f>_xlfn.IFNA(INDEX(RulebookFields!I2:I999, MATCH(D1983,RulebookFields!A2:A999, 0)), "")</f>
      </c>
      <c r="K1983" s="3" t="b">
        <f>AND(F1983, J1983)</f>
        <v>0</v>
      </c>
      <c r="L1983" s="3" t="b">
        <f>AND(G1983 &lt;&gt; "plain", G1983 &lt;&gt; "")</f>
        <v>0</v>
      </c>
      <c r="M1983" s="3" t="str">
        <f>IF(E1983, C1983 &amp; "|" &amp; H1983, "")</f>
        <v>principal-knowledge-authority|</v>
      </c>
      <c r="N1983" s="2" t="s">
        <v>9938</v>
      </c>
    </row>
    <row r="1984">
      <c r="A1984" s="2" t="s">
        <v>11920</v>
      </c>
      <c r="B1984" s="3" t="str">
        <f>C1984 &amp; " -&gt; " &amp; D1984</f>
        <v>principal-knowledge-authority -&gt; AgentDecisionRecords.DecisionSummary</v>
      </c>
      <c r="C1984" s="2" t="s">
        <v>9708</v>
      </c>
      <c r="D1984" s="2" t="s">
        <v>4937</v>
      </c>
      <c r="E1984" s="2" t="b">
        <v>1</v>
      </c>
      <c r="F1984" s="2" t="b">
        <v>0</v>
      </c>
      <c r="G1984" s="2" t="s">
        <v>9937</v>
      </c>
      <c r="H1984" s="3" t="str">
        <f>_xlfn.IFNA(INDEX(RulebookFields!C2:C999, MATCH(D1984,RulebookFields!A2:A999, 0)), "")</f>
      </c>
      <c r="I1984" s="3" t="str">
        <f>_xlfn.IFNA(INDEX(RulebookFields!D2:D999, MATCH(D1984,RulebookFields!A2:A999, 0)), "")</f>
      </c>
      <c r="J1984" s="3" t="str">
        <f>_xlfn.IFNA(INDEX(RulebookFields!I2:I999, MATCH(D1984,RulebookFields!A2:A999, 0)), "")</f>
      </c>
      <c r="K1984" s="3" t="b">
        <f>AND(F1984, J1984)</f>
        <v>0</v>
      </c>
      <c r="L1984" s="3" t="b">
        <f>AND(G1984 &lt;&gt; "plain", G1984 &lt;&gt; "")</f>
        <v>0</v>
      </c>
      <c r="M1984" s="3" t="str">
        <f>IF(E1984, C1984 &amp; "|" &amp; H1984, "")</f>
        <v>principal-knowledge-authority|</v>
      </c>
      <c r="N1984" s="2" t="s">
        <v>9938</v>
      </c>
    </row>
    <row r="1985">
      <c r="A1985" s="2" t="s">
        <v>11921</v>
      </c>
      <c r="B1985" s="3" t="str">
        <f>C1985 &amp; " -&gt; " &amp; D1985</f>
        <v>principal-knowledge-authority -&gt; AgentDecisionRecords.DecidedAt</v>
      </c>
      <c r="C1985" s="2" t="s">
        <v>9708</v>
      </c>
      <c r="D1985" s="2" t="s">
        <v>4939</v>
      </c>
      <c r="E1985" s="2" t="b">
        <v>1</v>
      </c>
      <c r="F1985" s="2" t="b">
        <v>0</v>
      </c>
      <c r="G1985" s="2" t="s">
        <v>9937</v>
      </c>
      <c r="H1985" s="3" t="str">
        <f>_xlfn.IFNA(INDEX(RulebookFields!C2:C999, MATCH(D1985,RulebookFields!A2:A999, 0)), "")</f>
      </c>
      <c r="I1985" s="3" t="str">
        <f>_xlfn.IFNA(INDEX(RulebookFields!D2:D999, MATCH(D1985,RulebookFields!A2:A999, 0)), "")</f>
      </c>
      <c r="J1985" s="3" t="str">
        <f>_xlfn.IFNA(INDEX(RulebookFields!I2:I999, MATCH(D1985,RulebookFields!A2:A999, 0)), "")</f>
      </c>
      <c r="K1985" s="3" t="b">
        <f>AND(F1985, J1985)</f>
        <v>0</v>
      </c>
      <c r="L1985" s="3" t="b">
        <f>AND(G1985 &lt;&gt; "plain", G1985 &lt;&gt; "")</f>
        <v>0</v>
      </c>
      <c r="M1985" s="3" t="str">
        <f>IF(E1985, C1985 &amp; "|" &amp; H1985, "")</f>
        <v>principal-knowledge-authority|</v>
      </c>
      <c r="N1985" s="2" t="s">
        <v>9938</v>
      </c>
    </row>
    <row r="1986">
      <c r="A1986" s="2" t="s">
        <v>11922</v>
      </c>
      <c r="B1986" s="3" t="str">
        <f>C1986 &amp; " -&gt; " &amp; D1986</f>
        <v>principal-knowledge-authority -&gt; AgentDecisionRecords.MaterialityBand</v>
      </c>
      <c r="C1986" s="2" t="s">
        <v>9708</v>
      </c>
      <c r="D1986" s="2" t="s">
        <v>4940</v>
      </c>
      <c r="E1986" s="2" t="b">
        <v>1</v>
      </c>
      <c r="F1986" s="2" t="b">
        <v>0</v>
      </c>
      <c r="G1986" s="2" t="s">
        <v>9937</v>
      </c>
      <c r="H1986" s="3" t="str">
        <f>_xlfn.IFNA(INDEX(RulebookFields!C2:C999, MATCH(D1986,RulebookFields!A2:A999, 0)), "")</f>
      </c>
      <c r="I1986" s="3" t="str">
        <f>_xlfn.IFNA(INDEX(RulebookFields!D2:D999, MATCH(D1986,RulebookFields!A2:A999, 0)), "")</f>
      </c>
      <c r="J1986" s="3" t="str">
        <f>_xlfn.IFNA(INDEX(RulebookFields!I2:I999, MATCH(D1986,RulebookFields!A2:A999, 0)), "")</f>
      </c>
      <c r="K1986" s="3" t="b">
        <f>AND(F1986, J1986)</f>
        <v>0</v>
      </c>
      <c r="L1986" s="3" t="b">
        <f>AND(G1986 &lt;&gt; "plain", G1986 &lt;&gt; "")</f>
        <v>0</v>
      </c>
      <c r="M1986" s="3" t="str">
        <f>IF(E1986, C1986 &amp; "|" &amp; H1986, "")</f>
        <v>principal-knowledge-authority|</v>
      </c>
      <c r="N1986" s="2" t="s">
        <v>9938</v>
      </c>
    </row>
    <row r="1987">
      <c r="A1987" s="2" t="s">
        <v>11923</v>
      </c>
      <c r="B1987" s="3" t="str">
        <f>C1987 &amp; " -&gt; " &amp; D1987</f>
        <v>principal-knowledge-authority -&gt; AgentDecisionRecords.HumanDisposition</v>
      </c>
      <c r="C1987" s="2" t="s">
        <v>9708</v>
      </c>
      <c r="D1987" s="2" t="s">
        <v>4942</v>
      </c>
      <c r="E1987" s="2" t="b">
        <v>1</v>
      </c>
      <c r="F1987" s="2" t="b">
        <v>0</v>
      </c>
      <c r="G1987" s="2" t="s">
        <v>9937</v>
      </c>
      <c r="H1987" s="3" t="str">
        <f>_xlfn.IFNA(INDEX(RulebookFields!C2:C999, MATCH(D1987,RulebookFields!A2:A999, 0)), "")</f>
      </c>
      <c r="I1987" s="3" t="str">
        <f>_xlfn.IFNA(INDEX(RulebookFields!D2:D999, MATCH(D1987,RulebookFields!A2:A999, 0)), "")</f>
      </c>
      <c r="J1987" s="3" t="str">
        <f>_xlfn.IFNA(INDEX(RulebookFields!I2:I999, MATCH(D1987,RulebookFields!A2:A999, 0)), "")</f>
      </c>
      <c r="K1987" s="3" t="b">
        <f>AND(F1987, J1987)</f>
        <v>0</v>
      </c>
      <c r="L1987" s="3" t="b">
        <f>AND(G1987 &lt;&gt; "plain", G1987 &lt;&gt; "")</f>
        <v>0</v>
      </c>
      <c r="M1987" s="3" t="str">
        <f>IF(E1987, C1987 &amp; "|" &amp; H1987, "")</f>
        <v>principal-knowledge-authority|</v>
      </c>
      <c r="N1987" s="2" t="s">
        <v>9938</v>
      </c>
    </row>
    <row r="1988">
      <c r="A1988" s="2" t="s">
        <v>11924</v>
      </c>
      <c r="B1988" s="3" t="str">
        <f>C1988 &amp; " -&gt; " &amp; D1988</f>
        <v>principal-knowledge-authority -&gt; AgentDecisionRecords.ReviewedByAgent</v>
      </c>
      <c r="C1988" s="2" t="s">
        <v>9708</v>
      </c>
      <c r="D1988" s="2" t="s">
        <v>4944</v>
      </c>
      <c r="E1988" s="2" t="b">
        <v>1</v>
      </c>
      <c r="F1988" s="2" t="b">
        <v>0</v>
      </c>
      <c r="G1988" s="2" t="s">
        <v>9937</v>
      </c>
      <c r="H1988" s="3" t="str">
        <f>_xlfn.IFNA(INDEX(RulebookFields!C2:C999, MATCH(D1988,RulebookFields!A2:A999, 0)), "")</f>
      </c>
      <c r="I1988" s="3" t="str">
        <f>_xlfn.IFNA(INDEX(RulebookFields!D2:D999, MATCH(D1988,RulebookFields!A2:A999, 0)), "")</f>
      </c>
      <c r="J1988" s="3" t="str">
        <f>_xlfn.IFNA(INDEX(RulebookFields!I2:I999, MATCH(D1988,RulebookFields!A2:A999, 0)), "")</f>
      </c>
      <c r="K1988" s="3" t="b">
        <f>AND(F1988, J1988)</f>
        <v>0</v>
      </c>
      <c r="L1988" s="3" t="b">
        <f>AND(G1988 &lt;&gt; "plain", G1988 &lt;&gt; "")</f>
        <v>0</v>
      </c>
      <c r="M1988" s="3" t="str">
        <f>IF(E1988, C1988 &amp; "|" &amp; H1988, "")</f>
        <v>principal-knowledge-authority|</v>
      </c>
      <c r="N1988" s="2" t="s">
        <v>9938</v>
      </c>
    </row>
    <row r="1989">
      <c r="A1989" s="2" t="s">
        <v>11925</v>
      </c>
      <c r="B1989" s="3" t="str">
        <f>C1989 &amp; " -&gt; " &amp; D1989</f>
        <v>principal-knowledge-authority -&gt; AgentDecisionRecords.ReviewedAt</v>
      </c>
      <c r="C1989" s="2" t="s">
        <v>9708</v>
      </c>
      <c r="D1989" s="2" t="s">
        <v>4945</v>
      </c>
      <c r="E1989" s="2" t="b">
        <v>1</v>
      </c>
      <c r="F1989" s="2" t="b">
        <v>0</v>
      </c>
      <c r="G1989" s="2" t="s">
        <v>9937</v>
      </c>
      <c r="H1989" s="3" t="str">
        <f>_xlfn.IFNA(INDEX(RulebookFields!C2:C999, MATCH(D1989,RulebookFields!A2:A999, 0)), "")</f>
      </c>
      <c r="I1989" s="3" t="str">
        <f>_xlfn.IFNA(INDEX(RulebookFields!D2:D999, MATCH(D1989,RulebookFields!A2:A999, 0)), "")</f>
      </c>
      <c r="J1989" s="3" t="str">
        <f>_xlfn.IFNA(INDEX(RulebookFields!I2:I999, MATCH(D1989,RulebookFields!A2:A999, 0)), "")</f>
      </c>
      <c r="K1989" s="3" t="b">
        <f>AND(F1989, J1989)</f>
        <v>0</v>
      </c>
      <c r="L1989" s="3" t="b">
        <f>AND(G1989 &lt;&gt; "plain", G1989 &lt;&gt; "")</f>
        <v>0</v>
      </c>
      <c r="M1989" s="3" t="str">
        <f>IF(E1989, C1989 &amp; "|" &amp; H1989, "")</f>
        <v>principal-knowledge-authority|</v>
      </c>
      <c r="N1989" s="2" t="s">
        <v>9938</v>
      </c>
    </row>
    <row r="1990">
      <c r="A1990" s="2" t="s">
        <v>11926</v>
      </c>
      <c r="B1990" s="3" t="str">
        <f>C1990 &amp; " -&gt; " &amp; D1990</f>
        <v>principal-knowledge-authority -&gt; AgentDecisionRecords.WasOverridden</v>
      </c>
      <c r="C1990" s="2" t="s">
        <v>9708</v>
      </c>
      <c r="D1990" s="2" t="s">
        <v>4946</v>
      </c>
      <c r="E1990" s="2" t="b">
        <v>1</v>
      </c>
      <c r="F1990" s="2" t="b">
        <v>0</v>
      </c>
      <c r="G1990" s="2" t="s">
        <v>9937</v>
      </c>
      <c r="H1990" s="3" t="str">
        <f>_xlfn.IFNA(INDEX(RulebookFields!C2:C999, MATCH(D1990,RulebookFields!A2:A999, 0)), "")</f>
      </c>
      <c r="I1990" s="3" t="str">
        <f>_xlfn.IFNA(INDEX(RulebookFields!D2:D999, MATCH(D1990,RulebookFields!A2:A999, 0)), "")</f>
      </c>
      <c r="J1990" s="3" t="str">
        <f>_xlfn.IFNA(INDEX(RulebookFields!I2:I999, MATCH(D1990,RulebookFields!A2:A999, 0)), "")</f>
      </c>
      <c r="K1990" s="3" t="b">
        <f>AND(F1990, J1990)</f>
        <v>0</v>
      </c>
      <c r="L1990" s="3" t="b">
        <f>AND(G1990 &lt;&gt; "plain", G1990 &lt;&gt; "")</f>
        <v>0</v>
      </c>
      <c r="M1990" s="3" t="str">
        <f>IF(E1990, C1990 &amp; "|" &amp; H1990, "")</f>
        <v>principal-knowledge-authority|</v>
      </c>
      <c r="N1990" s="2" t="s">
        <v>9938</v>
      </c>
    </row>
    <row r="1991">
      <c r="A1991" s="2" t="s">
        <v>11927</v>
      </c>
      <c r="B1991" s="3" t="str">
        <f>C1991 &amp; " -&gt; " &amp; D1991</f>
        <v>principal-knowledge-authority -&gt; AgentDecisionRecords.WasReviewed</v>
      </c>
      <c r="C1991" s="2" t="s">
        <v>9708</v>
      </c>
      <c r="D1991" s="2" t="s">
        <v>4949</v>
      </c>
      <c r="E1991" s="2" t="b">
        <v>1</v>
      </c>
      <c r="F1991" s="2" t="b">
        <v>0</v>
      </c>
      <c r="G1991" s="2" t="s">
        <v>9937</v>
      </c>
      <c r="H1991" s="3" t="str">
        <f>_xlfn.IFNA(INDEX(RulebookFields!C2:C999, MATCH(D1991,RulebookFields!A2:A999, 0)), "")</f>
      </c>
      <c r="I1991" s="3" t="str">
        <f>_xlfn.IFNA(INDEX(RulebookFields!D2:D999, MATCH(D1991,RulebookFields!A2:A999, 0)), "")</f>
      </c>
      <c r="J1991" s="3" t="str">
        <f>_xlfn.IFNA(INDEX(RulebookFields!I2:I999, MATCH(D1991,RulebookFields!A2:A999, 0)), "")</f>
      </c>
      <c r="K1991" s="3" t="b">
        <f>AND(F1991, J1991)</f>
        <v>0</v>
      </c>
      <c r="L1991" s="3" t="b">
        <f>AND(G1991 &lt;&gt; "plain", G1991 &lt;&gt; "")</f>
        <v>0</v>
      </c>
      <c r="M1991" s="3" t="str">
        <f>IF(E1991, C1991 &amp; "|" &amp; H1991, "")</f>
        <v>principal-knowledge-authority|</v>
      </c>
      <c r="N1991" s="2" t="s">
        <v>9938</v>
      </c>
    </row>
    <row r="1992">
      <c r="A1992" s="2" t="s">
        <v>11928</v>
      </c>
      <c r="B1992" s="3" t="str">
        <f>C1992 &amp; " -&gt; " &amp; D1992</f>
        <v>principal-knowledge-authority -&gt; AgentDecisionRecords.DecidingAgentKind</v>
      </c>
      <c r="C1992" s="2" t="s">
        <v>9708</v>
      </c>
      <c r="D1992" s="2" t="s">
        <v>4952</v>
      </c>
      <c r="E1992" s="2" t="b">
        <v>1</v>
      </c>
      <c r="F1992" s="2" t="b">
        <v>0</v>
      </c>
      <c r="G1992" s="2" t="s">
        <v>9937</v>
      </c>
      <c r="H1992" s="3" t="str">
        <f>_xlfn.IFNA(INDEX(RulebookFields!C2:C999, MATCH(D1992,RulebookFields!A2:A999, 0)), "")</f>
      </c>
      <c r="I1992" s="3" t="str">
        <f>_xlfn.IFNA(INDEX(RulebookFields!D2:D999, MATCH(D1992,RulebookFields!A2:A999, 0)), "")</f>
      </c>
      <c r="J1992" s="3" t="str">
        <f>_xlfn.IFNA(INDEX(RulebookFields!I2:I999, MATCH(D1992,RulebookFields!A2:A999, 0)), "")</f>
      </c>
      <c r="K1992" s="3" t="b">
        <f>AND(F1992, J1992)</f>
        <v>0</v>
      </c>
      <c r="L1992" s="3" t="b">
        <f>AND(G1992 &lt;&gt; "plain", G1992 &lt;&gt; "")</f>
        <v>0</v>
      </c>
      <c r="M1992" s="3" t="str">
        <f>IF(E1992, C1992 &amp; "|" &amp; H1992, "")</f>
        <v>principal-knowledge-authority|</v>
      </c>
      <c r="N1992" s="2" t="s">
        <v>9938</v>
      </c>
    </row>
    <row r="1993">
      <c r="A1993" s="2" t="s">
        <v>11929</v>
      </c>
      <c r="B1993" s="3" t="str">
        <f>C1993 &amp; " -&gt; " &amp; D1993</f>
        <v>principal-knowledge-authority -&gt; AgentDecisionRecords.DecidingAgentWhenOverridden</v>
      </c>
      <c r="C1993" s="2" t="s">
        <v>9708</v>
      </c>
      <c r="D1993" s="2" t="s">
        <v>4955</v>
      </c>
      <c r="E1993" s="2" t="b">
        <v>1</v>
      </c>
      <c r="F1993" s="2" t="b">
        <v>0</v>
      </c>
      <c r="G1993" s="2" t="s">
        <v>9937</v>
      </c>
      <c r="H1993" s="3" t="str">
        <f>_xlfn.IFNA(INDEX(RulebookFields!C2:C999, MATCH(D1993,RulebookFields!A2:A999, 0)), "")</f>
      </c>
      <c r="I1993" s="3" t="str">
        <f>_xlfn.IFNA(INDEX(RulebookFields!D2:D999, MATCH(D1993,RulebookFields!A2:A999, 0)), "")</f>
      </c>
      <c r="J1993" s="3" t="str">
        <f>_xlfn.IFNA(INDEX(RulebookFields!I2:I999, MATCH(D1993,RulebookFields!A2:A999, 0)), "")</f>
      </c>
      <c r="K1993" s="3" t="b">
        <f>AND(F1993, J1993)</f>
        <v>0</v>
      </c>
      <c r="L1993" s="3" t="b">
        <f>AND(G1993 &lt;&gt; "plain", G1993 &lt;&gt; "")</f>
        <v>0</v>
      </c>
      <c r="M1993" s="3" t="str">
        <f>IF(E1993, C1993 &amp; "|" &amp; H1993, "")</f>
        <v>principal-knowledge-authority|</v>
      </c>
      <c r="N1993" s="2" t="s">
        <v>9938</v>
      </c>
    </row>
    <row r="1994">
      <c r="A1994" s="2" t="s">
        <v>11930</v>
      </c>
      <c r="B1994" s="3" t="str">
        <f>C1994 &amp; " -&gt; " &amp; D1994</f>
        <v>principal-knowledge-authority -&gt; AgentDecisionRecords.UnderRoleAssignment</v>
      </c>
      <c r="C1994" s="2" t="s">
        <v>9708</v>
      </c>
      <c r="D1994" s="2" t="s">
        <v>4958</v>
      </c>
      <c r="E1994" s="2" t="b">
        <v>1</v>
      </c>
      <c r="F1994" s="2" t="b">
        <v>0</v>
      </c>
      <c r="G1994" s="2" t="s">
        <v>9937</v>
      </c>
      <c r="H1994" s="3" t="str">
        <f>_xlfn.IFNA(INDEX(RulebookFields!C2:C999, MATCH(D1994,RulebookFields!A2:A999, 0)), "")</f>
      </c>
      <c r="I1994" s="3" t="str">
        <f>_xlfn.IFNA(INDEX(RulebookFields!D2:D999, MATCH(D1994,RulebookFields!A2:A999, 0)), "")</f>
      </c>
      <c r="J1994" s="3" t="str">
        <f>_xlfn.IFNA(INDEX(RulebookFields!I2:I999, MATCH(D1994,RulebookFields!A2:A999, 0)), "")</f>
      </c>
      <c r="K1994" s="3" t="b">
        <f>AND(F1994, J1994)</f>
        <v>0</v>
      </c>
      <c r="L1994" s="3" t="b">
        <f>AND(G1994 &lt;&gt; "plain", G1994 &lt;&gt; "")</f>
        <v>0</v>
      </c>
      <c r="M1994" s="3" t="str">
        <f>IF(E1994, C1994 &amp; "|" &amp; H1994, "")</f>
        <v>principal-knowledge-authority|</v>
      </c>
      <c r="N1994" s="2" t="s">
        <v>9938</v>
      </c>
    </row>
    <row r="1995">
      <c r="A1995" s="2" t="s">
        <v>11931</v>
      </c>
      <c r="B1995" s="3" t="str">
        <f>C1995 &amp; " -&gt; " &amp; D1995</f>
        <v>principal-knowledge-authority -&gt; AgentDecisionRecords.RoleAssignmentWhenScored</v>
      </c>
      <c r="C1995" s="2" t="s">
        <v>9708</v>
      </c>
      <c r="D1995" s="2" t="s">
        <v>4960</v>
      </c>
      <c r="E1995" s="2" t="b">
        <v>1</v>
      </c>
      <c r="F1995" s="2" t="b">
        <v>0</v>
      </c>
      <c r="G1995" s="2" t="s">
        <v>9937</v>
      </c>
      <c r="H1995" s="3" t="str">
        <f>_xlfn.IFNA(INDEX(RulebookFields!C2:C999, MATCH(D1995,RulebookFields!A2:A999, 0)), "")</f>
      </c>
      <c r="I1995" s="3" t="str">
        <f>_xlfn.IFNA(INDEX(RulebookFields!D2:D999, MATCH(D1995,RulebookFields!A2:A999, 0)), "")</f>
      </c>
      <c r="J1995" s="3" t="str">
        <f>_xlfn.IFNA(INDEX(RulebookFields!I2:I999, MATCH(D1995,RulebookFields!A2:A999, 0)), "")</f>
      </c>
      <c r="K1995" s="3" t="b">
        <f>AND(F1995, J1995)</f>
        <v>0</v>
      </c>
      <c r="L1995" s="3" t="b">
        <f>AND(G1995 &lt;&gt; "plain", G1995 &lt;&gt; "")</f>
        <v>0</v>
      </c>
      <c r="M1995" s="3" t="str">
        <f>IF(E1995, C1995 &amp; "|" &amp; H1995, "")</f>
        <v>principal-knowledge-authority|</v>
      </c>
      <c r="N1995" s="2" t="s">
        <v>9938</v>
      </c>
    </row>
    <row r="1996">
      <c r="A1996" s="2" t="s">
        <v>11932</v>
      </c>
      <c r="B1996" s="3" t="str">
        <f>C1996 &amp; " -&gt; " &amp; D1996</f>
        <v>principal-knowledge-authority -&gt; AgentDecisionRecords.RoleAssignmentWhenOverridden</v>
      </c>
      <c r="C1996" s="2" t="s">
        <v>9708</v>
      </c>
      <c r="D1996" s="2" t="s">
        <v>4963</v>
      </c>
      <c r="E1996" s="2" t="b">
        <v>1</v>
      </c>
      <c r="F1996" s="2" t="b">
        <v>0</v>
      </c>
      <c r="G1996" s="2" t="s">
        <v>9937</v>
      </c>
      <c r="H1996" s="3" t="str">
        <f>_xlfn.IFNA(INDEX(RulebookFields!C2:C999, MATCH(D1996,RulebookFields!A2:A999, 0)), "")</f>
      </c>
      <c r="I1996" s="3" t="str">
        <f>_xlfn.IFNA(INDEX(RulebookFields!D2:D999, MATCH(D1996,RulebookFields!A2:A999, 0)), "")</f>
      </c>
      <c r="J1996" s="3" t="str">
        <f>_xlfn.IFNA(INDEX(RulebookFields!I2:I999, MATCH(D1996,RulebookFields!A2:A999, 0)), "")</f>
      </c>
      <c r="K1996" s="3" t="b">
        <f>AND(F1996, J1996)</f>
        <v>0</v>
      </c>
      <c r="L1996" s="3" t="b">
        <f>AND(G1996 &lt;&gt; "plain", G1996 &lt;&gt; "")</f>
        <v>0</v>
      </c>
      <c r="M1996" s="3" t="str">
        <f>IF(E1996, C1996 &amp; "|" &amp; H1996, "")</f>
        <v>principal-knowledge-authority|</v>
      </c>
      <c r="N1996" s="2" t="s">
        <v>9938</v>
      </c>
    </row>
    <row r="1997">
      <c r="A1997" s="2" t="s">
        <v>11933</v>
      </c>
      <c r="B1997" s="3" t="str">
        <f>C1997 &amp; " -&gt; " &amp; D1997</f>
        <v>principal-knowledge-authority -&gt; AgentDecisionRecords.StepOfDecision</v>
      </c>
      <c r="C1997" s="2" t="s">
        <v>9708</v>
      </c>
      <c r="D1997" s="2" t="s">
        <v>4966</v>
      </c>
      <c r="E1997" s="2" t="b">
        <v>1</v>
      </c>
      <c r="F1997" s="2" t="b">
        <v>0</v>
      </c>
      <c r="G1997" s="2" t="s">
        <v>9937</v>
      </c>
      <c r="H1997" s="3" t="str">
        <f>_xlfn.IFNA(INDEX(RulebookFields!C2:C999, MATCH(D1997,RulebookFields!A2:A999, 0)), "")</f>
      </c>
      <c r="I1997" s="3" t="str">
        <f>_xlfn.IFNA(INDEX(RulebookFields!D2:D999, MATCH(D1997,RulebookFields!A2:A999, 0)), "")</f>
      </c>
      <c r="J1997" s="3" t="str">
        <f>_xlfn.IFNA(INDEX(RulebookFields!I2:I999, MATCH(D1997,RulebookFields!A2:A999, 0)), "")</f>
      </c>
      <c r="K1997" s="3" t="b">
        <f>AND(F1997, J1997)</f>
        <v>0</v>
      </c>
      <c r="L1997" s="3" t="b">
        <f>AND(G1997 &lt;&gt; "plain", G1997 &lt;&gt; "")</f>
        <v>0</v>
      </c>
      <c r="M1997" s="3" t="str">
        <f>IF(E1997, C1997 &amp; "|" &amp; H1997, "")</f>
        <v>principal-knowledge-authority|</v>
      </c>
      <c r="N1997" s="2" t="s">
        <v>9938</v>
      </c>
    </row>
    <row r="1998">
      <c r="A1998" s="2" t="s">
        <v>11934</v>
      </c>
      <c r="B1998" s="3" t="str">
        <f>C1998 &amp; " -&gt; " &amp; D1998</f>
        <v>principal-knowledge-authority -&gt; AgentDecisionRecords.BoundaryMatchKey</v>
      </c>
      <c r="C1998" s="2" t="s">
        <v>9708</v>
      </c>
      <c r="D1998" s="2" t="s">
        <v>4968</v>
      </c>
      <c r="E1998" s="2" t="b">
        <v>1</v>
      </c>
      <c r="F1998" s="2" t="b">
        <v>0</v>
      </c>
      <c r="G1998" s="2" t="s">
        <v>9937</v>
      </c>
      <c r="H1998" s="3" t="str">
        <f>_xlfn.IFNA(INDEX(RulebookFields!C2:C999, MATCH(D1998,RulebookFields!A2:A999, 0)), "")</f>
      </c>
      <c r="I1998" s="3" t="str">
        <f>_xlfn.IFNA(INDEX(RulebookFields!D2:D999, MATCH(D1998,RulebookFields!A2:A999, 0)), "")</f>
      </c>
      <c r="J1998" s="3" t="str">
        <f>_xlfn.IFNA(INDEX(RulebookFields!I2:I999, MATCH(D1998,RulebookFields!A2:A999, 0)), "")</f>
      </c>
      <c r="K1998" s="3" t="b">
        <f>AND(F1998, J1998)</f>
        <v>0</v>
      </c>
      <c r="L1998" s="3" t="b">
        <f>AND(G1998 &lt;&gt; "plain", G1998 &lt;&gt; "")</f>
        <v>0</v>
      </c>
      <c r="M1998" s="3" t="str">
        <f>IF(E1998, C1998 &amp; "|" &amp; H1998, "")</f>
        <v>principal-knowledge-authority|</v>
      </c>
      <c r="N1998" s="2" t="s">
        <v>9938</v>
      </c>
    </row>
    <row r="1999">
      <c r="A1999" s="2" t="s">
        <v>11935</v>
      </c>
      <c r="B1999" s="3" t="str">
        <f>C1999 &amp; " -&gt; " &amp; D1999</f>
        <v>principal-knowledge-authority -&gt; AgentDecisionRecords.MatchingBoundaryCount</v>
      </c>
      <c r="C1999" s="2" t="s">
        <v>9708</v>
      </c>
      <c r="D1999" s="2" t="s">
        <v>4971</v>
      </c>
      <c r="E1999" s="2" t="b">
        <v>1</v>
      </c>
      <c r="F1999" s="2" t="b">
        <v>0</v>
      </c>
      <c r="G1999" s="2" t="s">
        <v>9937</v>
      </c>
      <c r="H1999" s="3" t="str">
        <f>_xlfn.IFNA(INDEX(RulebookFields!C2:C999, MATCH(D1999,RulebookFields!A2:A999, 0)), "")</f>
      </c>
      <c r="I1999" s="3" t="str">
        <f>_xlfn.IFNA(INDEX(RulebookFields!D2:D999, MATCH(D1999,RulebookFields!A2:A999, 0)), "")</f>
      </c>
      <c r="J1999" s="3" t="str">
        <f>_xlfn.IFNA(INDEX(RulebookFields!I2:I999, MATCH(D1999,RulebookFields!A2:A999, 0)), "")</f>
      </c>
      <c r="K1999" s="3" t="b">
        <f>AND(F1999, J1999)</f>
        <v>0</v>
      </c>
      <c r="L1999" s="3" t="b">
        <f>AND(G1999 &lt;&gt; "plain", G1999 &lt;&gt; "")</f>
        <v>0</v>
      </c>
      <c r="M1999" s="3" t="str">
        <f>IF(E1999, C1999 &amp; "|" &amp; H1999, "")</f>
        <v>principal-knowledge-authority|</v>
      </c>
      <c r="N1999" s="2" t="s">
        <v>9938</v>
      </c>
    </row>
    <row r="2000">
      <c r="A2000" s="2" t="s">
        <v>11936</v>
      </c>
      <c r="B2000" s="3" t="str">
        <f>C2000 &amp; " -&gt; " &amp; D2000</f>
        <v>principal-knowledge-authority -&gt; AgentDecisionRecords.ViolatedAuthorityBoundary</v>
      </c>
      <c r="C2000" s="2" t="s">
        <v>9708</v>
      </c>
      <c r="D2000" s="2" t="s">
        <v>4974</v>
      </c>
      <c r="E2000" s="2" t="b">
        <v>1</v>
      </c>
      <c r="F2000" s="2" t="b">
        <v>0</v>
      </c>
      <c r="G2000" s="2" t="s">
        <v>9937</v>
      </c>
      <c r="H2000" s="3" t="str">
        <f>_xlfn.IFNA(INDEX(RulebookFields!C2:C999, MATCH(D2000,RulebookFields!A2:A999, 0)), "")</f>
      </c>
      <c r="I2000" s="3" t="str">
        <f>_xlfn.IFNA(INDEX(RulebookFields!D2:D999, MATCH(D2000,RulebookFields!A2:A999, 0)), "")</f>
      </c>
      <c r="J2000" s="3" t="str">
        <f>_xlfn.IFNA(INDEX(RulebookFields!I2:I999, MATCH(D2000,RulebookFields!A2:A999, 0)), "")</f>
      </c>
      <c r="K2000" s="3" t="b">
        <f>AND(F2000, J2000)</f>
        <v>0</v>
      </c>
      <c r="L2000" s="3" t="b">
        <f>AND(G2000 &lt;&gt; "plain", G2000 &lt;&gt; "")</f>
        <v>0</v>
      </c>
      <c r="M2000" s="3" t="str">
        <f>IF(E2000, C2000 &amp; "|" &amp; H2000, "")</f>
        <v>principal-knowledge-authority|</v>
      </c>
      <c r="N2000" s="2" t="s">
        <v>9938</v>
      </c>
    </row>
    <row r="2001">
      <c r="A2001" s="2" t="s">
        <v>11937</v>
      </c>
      <c r="B2001" s="3" t="str">
        <f>C2001 &amp; " -&gt; " &amp; D2001</f>
        <v>principal-knowledge-authority -&gt; AgentDecisionRecords.ReviewerAgentKind</v>
      </c>
      <c r="C2001" s="2" t="s">
        <v>9708</v>
      </c>
      <c r="D2001" s="2" t="s">
        <v>4977</v>
      </c>
      <c r="E2001" s="2" t="b">
        <v>1</v>
      </c>
      <c r="F2001" s="2" t="b">
        <v>0</v>
      </c>
      <c r="G2001" s="2" t="s">
        <v>9937</v>
      </c>
      <c r="H2001" s="3" t="str">
        <f>_xlfn.IFNA(INDEX(RulebookFields!C2:C999, MATCH(D2001,RulebookFields!A2:A999, 0)), "")</f>
      </c>
      <c r="I2001" s="3" t="str">
        <f>_xlfn.IFNA(INDEX(RulebookFields!D2:D999, MATCH(D2001,RulebookFields!A2:A999, 0)), "")</f>
      </c>
      <c r="J2001" s="3" t="str">
        <f>_xlfn.IFNA(INDEX(RulebookFields!I2:I999, MATCH(D2001,RulebookFields!A2:A999, 0)), "")</f>
      </c>
      <c r="K2001" s="3" t="b">
        <f>AND(F2001, J2001)</f>
        <v>0</v>
      </c>
      <c r="L2001" s="3" t="b">
        <f>AND(G2001 &lt;&gt; "plain", G2001 &lt;&gt; "")</f>
        <v>0</v>
      </c>
      <c r="M2001" s="3" t="str">
        <f>IF(E2001, C2001 &amp; "|" &amp; H2001, "")</f>
        <v>principal-knowledge-authority|</v>
      </c>
      <c r="N2001" s="2" t="s">
        <v>9938</v>
      </c>
    </row>
    <row r="2002">
      <c r="A2002" s="2" t="s">
        <v>11938</v>
      </c>
      <c r="B2002" s="3" t="str">
        <f>C2002 &amp; " -&gt; " &amp; D2002</f>
        <v>principal-knowledge-authority -&gt; AgentDecisionRecords.HasHumanConfirmation</v>
      </c>
      <c r="C2002" s="2" t="s">
        <v>9708</v>
      </c>
      <c r="D2002" s="2" t="s">
        <v>4980</v>
      </c>
      <c r="E2002" s="2" t="b">
        <v>1</v>
      </c>
      <c r="F2002" s="2" t="b">
        <v>0</v>
      </c>
      <c r="G2002" s="2" t="s">
        <v>9937</v>
      </c>
      <c r="H2002" s="3" t="str">
        <f>_xlfn.IFNA(INDEX(RulebookFields!C2:C999, MATCH(D2002,RulebookFields!A2:A999, 0)), "")</f>
      </c>
      <c r="I2002" s="3" t="str">
        <f>_xlfn.IFNA(INDEX(RulebookFields!D2:D999, MATCH(D2002,RulebookFields!A2:A999, 0)), "")</f>
      </c>
      <c r="J2002" s="3" t="str">
        <f>_xlfn.IFNA(INDEX(RulebookFields!I2:I999, MATCH(D2002,RulebookFields!A2:A999, 0)), "")</f>
      </c>
      <c r="K2002" s="3" t="b">
        <f>AND(F2002, J2002)</f>
        <v>0</v>
      </c>
      <c r="L2002" s="3" t="b">
        <f>AND(G2002 &lt;&gt; "plain", G2002 &lt;&gt; "")</f>
        <v>0</v>
      </c>
      <c r="M2002" s="3" t="str">
        <f>IF(E2002, C2002 &amp; "|" &amp; H2002, "")</f>
        <v>principal-knowledge-authority|</v>
      </c>
      <c r="N2002" s="2" t="s">
        <v>9938</v>
      </c>
    </row>
    <row r="2003">
      <c r="A2003" s="2" t="s">
        <v>11939</v>
      </c>
      <c r="B2003" s="3" t="str">
        <f>C2003 &amp; " -&gt; " &amp; D2003</f>
        <v>principal-knowledge-authority -&gt; AgentDecisionRecords.NeedsHumanConfirmation</v>
      </c>
      <c r="C2003" s="2" t="s">
        <v>9708</v>
      </c>
      <c r="D2003" s="2" t="s">
        <v>4983</v>
      </c>
      <c r="E2003" s="2" t="b">
        <v>1</v>
      </c>
      <c r="F2003" s="2" t="b">
        <v>0</v>
      </c>
      <c r="G2003" s="2" t="s">
        <v>9937</v>
      </c>
      <c r="H2003" s="3" t="str">
        <f>_xlfn.IFNA(INDEX(RulebookFields!C2:C999, MATCH(D2003,RulebookFields!A2:A999, 0)), "")</f>
      </c>
      <c r="I2003" s="3" t="str">
        <f>_xlfn.IFNA(INDEX(RulebookFields!D2:D999, MATCH(D2003,RulebookFields!A2:A999, 0)), "")</f>
      </c>
      <c r="J2003" s="3" t="str">
        <f>_xlfn.IFNA(INDEX(RulebookFields!I2:I999, MATCH(D2003,RulebookFields!A2:A999, 0)), "")</f>
      </c>
      <c r="K2003" s="3" t="b">
        <f>AND(F2003, J2003)</f>
        <v>0</v>
      </c>
      <c r="L2003" s="3" t="b">
        <f>AND(G2003 &lt;&gt; "plain", G2003 &lt;&gt; "")</f>
        <v>0</v>
      </c>
      <c r="M2003" s="3" t="str">
        <f>IF(E2003, C2003 &amp; "|" &amp; H2003, "")</f>
        <v>principal-knowledge-authority|</v>
      </c>
      <c r="N2003" s="2" t="s">
        <v>9938</v>
      </c>
    </row>
    <row r="2004">
      <c r="A2004" s="2" t="s">
        <v>11940</v>
      </c>
      <c r="B2004" s="3" t="str">
        <f>C2004 &amp; " -&gt; " &amp; D2004</f>
        <v>principal-knowledge-authority -&gt; AgentDecisionRecords.IsUnconfirmedNonHumanDecision</v>
      </c>
      <c r="C2004" s="2" t="s">
        <v>9708</v>
      </c>
      <c r="D2004" s="2" t="s">
        <v>4986</v>
      </c>
      <c r="E2004" s="2" t="b">
        <v>1</v>
      </c>
      <c r="F2004" s="2" t="b">
        <v>0</v>
      </c>
      <c r="G2004" s="2" t="s">
        <v>9937</v>
      </c>
      <c r="H2004" s="3" t="str">
        <f>_xlfn.IFNA(INDEX(RulebookFields!C2:C999, MATCH(D2004,RulebookFields!A2:A999, 0)), "")</f>
      </c>
      <c r="I2004" s="3" t="str">
        <f>_xlfn.IFNA(INDEX(RulebookFields!D2:D999, MATCH(D2004,RulebookFields!A2:A999, 0)), "")</f>
      </c>
      <c r="J2004" s="3" t="str">
        <f>_xlfn.IFNA(INDEX(RulebookFields!I2:I999, MATCH(D2004,RulebookFields!A2:A999, 0)), "")</f>
      </c>
      <c r="K2004" s="3" t="b">
        <f>AND(F2004, J2004)</f>
        <v>0</v>
      </c>
      <c r="L2004" s="3" t="b">
        <f>AND(G2004 &lt;&gt; "plain", G2004 &lt;&gt; "")</f>
        <v>0</v>
      </c>
      <c r="M2004" s="3" t="str">
        <f>IF(E2004, C2004 &amp; "|" &amp; H2004, "")</f>
        <v>principal-knowledge-authority|</v>
      </c>
      <c r="N2004" s="2" t="s">
        <v>9938</v>
      </c>
    </row>
    <row r="2005">
      <c r="A2005" s="2" t="s">
        <v>11941</v>
      </c>
      <c r="B2005" s="3" t="str">
        <f>C2005 &amp; " -&gt; " &amp; D2005</f>
        <v>principal-knowledge-authority -&gt; AgentDecisionRecords.StepExecutionWhenUnconfirmed</v>
      </c>
      <c r="C2005" s="2" t="s">
        <v>9708</v>
      </c>
      <c r="D2005" s="2" t="s">
        <v>4989</v>
      </c>
      <c r="E2005" s="2" t="b">
        <v>1</v>
      </c>
      <c r="F2005" s="2" t="b">
        <v>0</v>
      </c>
      <c r="G2005" s="2" t="s">
        <v>9937</v>
      </c>
      <c r="H2005" s="3" t="str">
        <f>_xlfn.IFNA(INDEX(RulebookFields!C2:C999, MATCH(D2005,RulebookFields!A2:A999, 0)), "")</f>
      </c>
      <c r="I2005" s="3" t="str">
        <f>_xlfn.IFNA(INDEX(RulebookFields!D2:D999, MATCH(D2005,RulebookFields!A2:A999, 0)), "")</f>
      </c>
      <c r="J2005" s="3" t="str">
        <f>_xlfn.IFNA(INDEX(RulebookFields!I2:I999, MATCH(D2005,RulebookFields!A2:A999, 0)), "")</f>
      </c>
      <c r="K2005" s="3" t="b">
        <f>AND(F2005, J2005)</f>
        <v>0</v>
      </c>
      <c r="L2005" s="3" t="b">
        <f>AND(G2005 &lt;&gt; "plain", G2005 &lt;&gt; "")</f>
        <v>0</v>
      </c>
      <c r="M2005" s="3" t="str">
        <f>IF(E2005, C2005 &amp; "|" &amp; H2005, "")</f>
        <v>principal-knowledge-authority|</v>
      </c>
      <c r="N2005" s="2" t="s">
        <v>9938</v>
      </c>
    </row>
    <row r="2006">
      <c r="A2006" s="2" t="s">
        <v>11942</v>
      </c>
      <c r="B2006" s="3" t="str">
        <f>C2006 &amp; " -&gt; " &amp; D2006</f>
        <v>principal-knowledge-authority -&gt; AgentDecisionRecords.AgentWhenBoundaryViolated</v>
      </c>
      <c r="C2006" s="2" t="s">
        <v>9708</v>
      </c>
      <c r="D2006" s="2" t="s">
        <v>4992</v>
      </c>
      <c r="E2006" s="2" t="b">
        <v>1</v>
      </c>
      <c r="F2006" s="2" t="b">
        <v>0</v>
      </c>
      <c r="G2006" s="2" t="s">
        <v>9937</v>
      </c>
      <c r="H2006" s="3" t="str">
        <f>_xlfn.IFNA(INDEX(RulebookFields!C2:C999, MATCH(D2006,RulebookFields!A2:A999, 0)), "")</f>
      </c>
      <c r="I2006" s="3" t="str">
        <f>_xlfn.IFNA(INDEX(RulebookFields!D2:D999, MATCH(D2006,RulebookFields!A2:A999, 0)), "")</f>
      </c>
      <c r="J2006" s="3" t="str">
        <f>_xlfn.IFNA(INDEX(RulebookFields!I2:I999, MATCH(D2006,RulebookFields!A2:A999, 0)), "")</f>
      </c>
      <c r="K2006" s="3" t="b">
        <f>AND(F2006, J2006)</f>
        <v>0</v>
      </c>
      <c r="L2006" s="3" t="b">
        <f>AND(G2006 &lt;&gt; "plain", G2006 &lt;&gt; "")</f>
        <v>0</v>
      </c>
      <c r="M2006" s="3" t="str">
        <f>IF(E2006, C2006 &amp; "|" &amp; H2006, "")</f>
        <v>principal-knowledge-authority|</v>
      </c>
      <c r="N2006" s="2" t="s">
        <v>9938</v>
      </c>
    </row>
    <row r="2007">
      <c r="A2007" s="2" t="s">
        <v>11943</v>
      </c>
      <c r="B2007" s="3" t="str">
        <f>C2007 &amp; " -&gt; " &amp; D2007</f>
        <v>principal-knowledge-authority -&gt; AgentDecisionRecords.ReviewLatencyMinutes</v>
      </c>
      <c r="C2007" s="2" t="s">
        <v>9708</v>
      </c>
      <c r="D2007" s="2" t="s">
        <v>4995</v>
      </c>
      <c r="E2007" s="2" t="b">
        <v>1</v>
      </c>
      <c r="F2007" s="2" t="b">
        <v>0</v>
      </c>
      <c r="G2007" s="2" t="s">
        <v>9937</v>
      </c>
      <c r="H2007" s="3" t="str">
        <f>_xlfn.IFNA(INDEX(RulebookFields!C2:C999, MATCH(D2007,RulebookFields!A2:A999, 0)), "")</f>
      </c>
      <c r="I2007" s="3" t="str">
        <f>_xlfn.IFNA(INDEX(RulebookFields!D2:D999, MATCH(D2007,RulebookFields!A2:A999, 0)), "")</f>
      </c>
      <c r="J2007" s="3" t="str">
        <f>_xlfn.IFNA(INDEX(RulebookFields!I2:I999, MATCH(D2007,RulebookFields!A2:A999, 0)), "")</f>
      </c>
      <c r="K2007" s="3" t="b">
        <f>AND(F2007, J2007)</f>
        <v>0</v>
      </c>
      <c r="L2007" s="3" t="b">
        <f>AND(G2007 &lt;&gt; "plain", G2007 &lt;&gt; "")</f>
        <v>0</v>
      </c>
      <c r="M2007" s="3" t="str">
        <f>IF(E2007, C2007 &amp; "|" &amp; H2007, "")</f>
        <v>principal-knowledge-authority|</v>
      </c>
      <c r="N2007" s="2" t="s">
        <v>9938</v>
      </c>
    </row>
    <row r="2008">
      <c r="A2008" s="2" t="s">
        <v>11944</v>
      </c>
      <c r="B2008" s="3" t="str">
        <f>C2008 &amp; " -&gt; " &amp; D2008</f>
        <v>principal-knowledge-authority -&gt; AgentDecisionRecords.IsDraftKind</v>
      </c>
      <c r="C2008" s="2" t="s">
        <v>9708</v>
      </c>
      <c r="D2008" s="2" t="s">
        <v>4998</v>
      </c>
      <c r="E2008" s="2" t="b">
        <v>1</v>
      </c>
      <c r="F2008" s="2" t="b">
        <v>0</v>
      </c>
      <c r="G2008" s="2" t="s">
        <v>9937</v>
      </c>
      <c r="H2008" s="3" t="str">
        <f>_xlfn.IFNA(INDEX(RulebookFields!C2:C999, MATCH(D2008,RulebookFields!A2:A999, 0)), "")</f>
      </c>
      <c r="I2008" s="3" t="str">
        <f>_xlfn.IFNA(INDEX(RulebookFields!D2:D999, MATCH(D2008,RulebookFields!A2:A999, 0)), "")</f>
      </c>
      <c r="J2008" s="3" t="str">
        <f>_xlfn.IFNA(INDEX(RulebookFields!I2:I999, MATCH(D2008,RulebookFields!A2:A999, 0)), "")</f>
      </c>
      <c r="K2008" s="3" t="b">
        <f>AND(F2008, J2008)</f>
        <v>0</v>
      </c>
      <c r="L2008" s="3" t="b">
        <f>AND(G2008 &lt;&gt; "plain", G2008 &lt;&gt; "")</f>
        <v>0</v>
      </c>
      <c r="M2008" s="3" t="str">
        <f>IF(E2008, C2008 &amp; "|" &amp; H2008, "")</f>
        <v>principal-knowledge-authority|</v>
      </c>
      <c r="N2008" s="2" t="s">
        <v>9938</v>
      </c>
    </row>
    <row r="2009">
      <c r="A2009" s="2" t="s">
        <v>11945</v>
      </c>
      <c r="B2009" s="3" t="str">
        <f>C2009 &amp; " -&gt; " &amp; D2009</f>
        <v>principal-knowledge-authority -&gt; AgentDecisionRecords.AgentWhenDraftOverridden</v>
      </c>
      <c r="C2009" s="2" t="s">
        <v>9708</v>
      </c>
      <c r="D2009" s="2" t="s">
        <v>5001</v>
      </c>
      <c r="E2009" s="2" t="b">
        <v>1</v>
      </c>
      <c r="F2009" s="2" t="b">
        <v>0</v>
      </c>
      <c r="G2009" s="2" t="s">
        <v>9937</v>
      </c>
      <c r="H2009" s="3" t="str">
        <f>_xlfn.IFNA(INDEX(RulebookFields!C2:C999, MATCH(D2009,RulebookFields!A2:A999, 0)), "")</f>
      </c>
      <c r="I2009" s="3" t="str">
        <f>_xlfn.IFNA(INDEX(RulebookFields!D2:D999, MATCH(D2009,RulebookFields!A2:A999, 0)), "")</f>
      </c>
      <c r="J2009" s="3" t="str">
        <f>_xlfn.IFNA(INDEX(RulebookFields!I2:I999, MATCH(D2009,RulebookFields!A2:A999, 0)), "")</f>
      </c>
      <c r="K2009" s="3" t="b">
        <f>AND(F2009, J2009)</f>
        <v>0</v>
      </c>
      <c r="L2009" s="3" t="b">
        <f>AND(G2009 &lt;&gt; "plain", G2009 &lt;&gt; "")</f>
        <v>0</v>
      </c>
      <c r="M2009" s="3" t="str">
        <f>IF(E2009, C2009 &amp; "|" &amp; H2009, "")</f>
        <v>principal-knowledge-authority|</v>
      </c>
      <c r="N2009" s="2" t="s">
        <v>9938</v>
      </c>
    </row>
    <row r="2010">
      <c r="A2010" s="2" t="s">
        <v>11946</v>
      </c>
      <c r="B2010" s="3" t="str">
        <f>C2010 &amp; " -&gt; " &amp; D2010</f>
        <v>principal-knowledge-authority -&gt; AgentDecisionRecords.AgentWhenDraft</v>
      </c>
      <c r="C2010" s="2" t="s">
        <v>9708</v>
      </c>
      <c r="D2010" s="2" t="s">
        <v>5004</v>
      </c>
      <c r="E2010" s="2" t="b">
        <v>1</v>
      </c>
      <c r="F2010" s="2" t="b">
        <v>0</v>
      </c>
      <c r="G2010" s="2" t="s">
        <v>9937</v>
      </c>
      <c r="H2010" s="3" t="str">
        <f>_xlfn.IFNA(INDEX(RulebookFields!C2:C999, MATCH(D2010,RulebookFields!A2:A999, 0)), "")</f>
      </c>
      <c r="I2010" s="3" t="str">
        <f>_xlfn.IFNA(INDEX(RulebookFields!D2:D999, MATCH(D2010,RulebookFields!A2:A999, 0)), "")</f>
      </c>
      <c r="J2010" s="3" t="str">
        <f>_xlfn.IFNA(INDEX(RulebookFields!I2:I999, MATCH(D2010,RulebookFields!A2:A999, 0)), "")</f>
      </c>
      <c r="K2010" s="3" t="b">
        <f>AND(F2010, J2010)</f>
        <v>0</v>
      </c>
      <c r="L2010" s="3" t="b">
        <f>AND(G2010 &lt;&gt; "plain", G2010 &lt;&gt; "")</f>
        <v>0</v>
      </c>
      <c r="M2010" s="3" t="str">
        <f>IF(E2010, C2010 &amp; "|" &amp; H2010, "")</f>
        <v>principal-knowledge-authority|</v>
      </c>
      <c r="N2010" s="2" t="s">
        <v>9938</v>
      </c>
    </row>
    <row r="2011">
      <c r="A2011" s="2" t="s">
        <v>11947</v>
      </c>
      <c r="B2011" s="3" t="str">
        <f>C2011 &amp; " -&gt; " &amp; D2011</f>
        <v>principal-knowledge-authority -&gt; AgentDecisionRecords.OverrideReasonKind</v>
      </c>
      <c r="C2011" s="2" t="s">
        <v>9708</v>
      </c>
      <c r="D2011" s="2" t="s">
        <v>5007</v>
      </c>
      <c r="E2011" s="2" t="b">
        <v>1</v>
      </c>
      <c r="F2011" s="2" t="b">
        <v>0</v>
      </c>
      <c r="G2011" s="2" t="s">
        <v>9937</v>
      </c>
      <c r="H2011" s="3" t="str">
        <f>_xlfn.IFNA(INDEX(RulebookFields!C2:C999, MATCH(D2011,RulebookFields!A2:A999, 0)), "")</f>
      </c>
      <c r="I2011" s="3" t="str">
        <f>_xlfn.IFNA(INDEX(RulebookFields!D2:D999, MATCH(D2011,RulebookFields!A2:A999, 0)), "")</f>
      </c>
      <c r="J2011" s="3" t="str">
        <f>_xlfn.IFNA(INDEX(RulebookFields!I2:I999, MATCH(D2011,RulebookFields!A2:A999, 0)), "")</f>
      </c>
      <c r="K2011" s="3" t="b">
        <f>AND(F2011, J2011)</f>
        <v>0</v>
      </c>
      <c r="L2011" s="3" t="b">
        <f>AND(G2011 &lt;&gt; "plain", G2011 &lt;&gt; "")</f>
        <v>0</v>
      </c>
      <c r="M2011" s="3" t="str">
        <f>IF(E2011, C2011 &amp; "|" &amp; H2011, "")</f>
        <v>principal-knowledge-authority|</v>
      </c>
      <c r="N2011" s="2" t="s">
        <v>9938</v>
      </c>
    </row>
    <row r="2012">
      <c r="A2012" s="2" t="s">
        <v>11948</v>
      </c>
      <c r="B2012" s="3" t="str">
        <f>C2012 &amp; " -&gt; " &amp; D2012</f>
        <v>principal-knowledge-authority -&gt; AgentDecisionRecords.IsErrorCorrection</v>
      </c>
      <c r="C2012" s="2" t="s">
        <v>9708</v>
      </c>
      <c r="D2012" s="2" t="s">
        <v>5009</v>
      </c>
      <c r="E2012" s="2" t="b">
        <v>1</v>
      </c>
      <c r="F2012" s="2" t="b">
        <v>0</v>
      </c>
      <c r="G2012" s="2" t="s">
        <v>9937</v>
      </c>
      <c r="H2012" s="3" t="str">
        <f>_xlfn.IFNA(INDEX(RulebookFields!C2:C999, MATCH(D2012,RulebookFields!A2:A999, 0)), "")</f>
      </c>
      <c r="I2012" s="3" t="str">
        <f>_xlfn.IFNA(INDEX(RulebookFields!D2:D999, MATCH(D2012,RulebookFields!A2:A999, 0)), "")</f>
      </c>
      <c r="J2012" s="3" t="str">
        <f>_xlfn.IFNA(INDEX(RulebookFields!I2:I999, MATCH(D2012,RulebookFields!A2:A999, 0)), "")</f>
      </c>
      <c r="K2012" s="3" t="b">
        <f>AND(F2012, J2012)</f>
        <v>0</v>
      </c>
      <c r="L2012" s="3" t="b">
        <f>AND(G2012 &lt;&gt; "plain", G2012 &lt;&gt; "")</f>
        <v>0</v>
      </c>
      <c r="M2012" s="3" t="str">
        <f>IF(E2012, C2012 &amp; "|" &amp; H2012, "")</f>
        <v>principal-knowledge-authority|</v>
      </c>
      <c r="N2012" s="2" t="s">
        <v>9938</v>
      </c>
    </row>
    <row r="2013">
      <c r="A2013" s="2" t="s">
        <v>11949</v>
      </c>
      <c r="B2013" s="3" t="str">
        <f>C2013 &amp; " -&gt; " &amp; D2013</f>
        <v>principal-knowledge-authority -&gt; AgentDecisionRecords.IsReservedJudgmentOverride</v>
      </c>
      <c r="C2013" s="2" t="s">
        <v>9708</v>
      </c>
      <c r="D2013" s="2" t="s">
        <v>5012</v>
      </c>
      <c r="E2013" s="2" t="b">
        <v>1</v>
      </c>
      <c r="F2013" s="2" t="b">
        <v>0</v>
      </c>
      <c r="G2013" s="2" t="s">
        <v>9937</v>
      </c>
      <c r="H2013" s="3" t="str">
        <f>_xlfn.IFNA(INDEX(RulebookFields!C2:C999, MATCH(D2013,RulebookFields!A2:A999, 0)), "")</f>
      </c>
      <c r="I2013" s="3" t="str">
        <f>_xlfn.IFNA(INDEX(RulebookFields!D2:D999, MATCH(D2013,RulebookFields!A2:A999, 0)), "")</f>
      </c>
      <c r="J2013" s="3" t="str">
        <f>_xlfn.IFNA(INDEX(RulebookFields!I2:I999, MATCH(D2013,RulebookFields!A2:A999, 0)), "")</f>
      </c>
      <c r="K2013" s="3" t="b">
        <f>AND(F2013, J2013)</f>
        <v>0</v>
      </c>
      <c r="L2013" s="3" t="b">
        <f>AND(G2013 &lt;&gt; "plain", G2013 &lt;&gt; "")</f>
        <v>0</v>
      </c>
      <c r="M2013" s="3" t="str">
        <f>IF(E2013, C2013 &amp; "|" &amp; H2013, "")</f>
        <v>principal-knowledge-authority|</v>
      </c>
      <c r="N2013" s="2" t="s">
        <v>9938</v>
      </c>
    </row>
    <row r="2014">
      <c r="A2014" s="2" t="s">
        <v>11950</v>
      </c>
      <c r="B2014" s="3" t="str">
        <f>C2014 &amp; " -&gt; " &amp; D2014</f>
        <v>principal-knowledge-authority -&gt; AgentDecisionRecords.OverrideReasonIsRecorded</v>
      </c>
      <c r="C2014" s="2" t="s">
        <v>9708</v>
      </c>
      <c r="D2014" s="2" t="s">
        <v>5015</v>
      </c>
      <c r="E2014" s="2" t="b">
        <v>1</v>
      </c>
      <c r="F2014" s="2" t="b">
        <v>0</v>
      </c>
      <c r="G2014" s="2" t="s">
        <v>9937</v>
      </c>
      <c r="H2014" s="3" t="str">
        <f>_xlfn.IFNA(INDEX(RulebookFields!C2:C999, MATCH(D2014,RulebookFields!A2:A999, 0)), "")</f>
      </c>
      <c r="I2014" s="3" t="str">
        <f>_xlfn.IFNA(INDEX(RulebookFields!D2:D999, MATCH(D2014,RulebookFields!A2:A999, 0)), "")</f>
      </c>
      <c r="J2014" s="3" t="str">
        <f>_xlfn.IFNA(INDEX(RulebookFields!I2:I999, MATCH(D2014,RulebookFields!A2:A999, 0)), "")</f>
      </c>
      <c r="K2014" s="3" t="b">
        <f>AND(F2014, J2014)</f>
        <v>0</v>
      </c>
      <c r="L2014" s="3" t="b">
        <f>AND(G2014 &lt;&gt; "plain", G2014 &lt;&gt; "")</f>
        <v>0</v>
      </c>
      <c r="M2014" s="3" t="str">
        <f>IF(E2014, C2014 &amp; "|" &amp; H2014, "")</f>
        <v>principal-knowledge-authority|</v>
      </c>
      <c r="N2014" s="2" t="s">
        <v>9938</v>
      </c>
    </row>
    <row r="2015">
      <c r="A2015" s="2" t="s">
        <v>11951</v>
      </c>
      <c r="B2015" s="3" t="str">
        <f>C2015 &amp; " -&gt; " &amp; D2015</f>
        <v>principal-knowledge-authority -&gt; AgentDecisionRecords.IsUnexplainedOverride</v>
      </c>
      <c r="C2015" s="2" t="s">
        <v>9708</v>
      </c>
      <c r="D2015" s="2" t="s">
        <v>5018</v>
      </c>
      <c r="E2015" s="2" t="b">
        <v>1</v>
      </c>
      <c r="F2015" s="2" t="b">
        <v>0</v>
      </c>
      <c r="G2015" s="2" t="s">
        <v>9937</v>
      </c>
      <c r="H2015" s="3" t="str">
        <f>_xlfn.IFNA(INDEX(RulebookFields!C2:C999, MATCH(D2015,RulebookFields!A2:A999, 0)), "")</f>
      </c>
      <c r="I2015" s="3" t="str">
        <f>_xlfn.IFNA(INDEX(RulebookFields!D2:D999, MATCH(D2015,RulebookFields!A2:A999, 0)), "")</f>
      </c>
      <c r="J2015" s="3" t="str">
        <f>_xlfn.IFNA(INDEX(RulebookFields!I2:I999, MATCH(D2015,RulebookFields!A2:A999, 0)), "")</f>
      </c>
      <c r="K2015" s="3" t="b">
        <f>AND(F2015, J2015)</f>
        <v>0</v>
      </c>
      <c r="L2015" s="3" t="b">
        <f>AND(G2015 &lt;&gt; "plain", G2015 &lt;&gt; "")</f>
        <v>0</v>
      </c>
      <c r="M2015" s="3" t="str">
        <f>IF(E2015, C2015 &amp; "|" &amp; H2015, "")</f>
        <v>principal-knowledge-authority|</v>
      </c>
      <c r="N2015" s="2" t="s">
        <v>9938</v>
      </c>
    </row>
    <row r="2016">
      <c r="A2016" s="2" t="s">
        <v>11952</v>
      </c>
      <c r="B2016" s="3" t="str">
        <f>C2016 &amp; " -&gt; " &amp; D2016</f>
        <v>principal-knowledge-authority -&gt; AgentDecisionRecords.ErrorCorrectionRoleAssignmentKey</v>
      </c>
      <c r="C2016" s="2" t="s">
        <v>9708</v>
      </c>
      <c r="D2016" s="2" t="s">
        <v>5021</v>
      </c>
      <c r="E2016" s="2" t="b">
        <v>1</v>
      </c>
      <c r="F2016" s="2" t="b">
        <v>0</v>
      </c>
      <c r="G2016" s="2" t="s">
        <v>9937</v>
      </c>
      <c r="H2016" s="3" t="str">
        <f>_xlfn.IFNA(INDEX(RulebookFields!C2:C999, MATCH(D2016,RulebookFields!A2:A999, 0)), "")</f>
      </c>
      <c r="I2016" s="3" t="str">
        <f>_xlfn.IFNA(INDEX(RulebookFields!D2:D999, MATCH(D2016,RulebookFields!A2:A999, 0)), "")</f>
      </c>
      <c r="J2016" s="3" t="str">
        <f>_xlfn.IFNA(INDEX(RulebookFields!I2:I999, MATCH(D2016,RulebookFields!A2:A999, 0)), "")</f>
      </c>
      <c r="K2016" s="3" t="b">
        <f>AND(F2016, J2016)</f>
        <v>0</v>
      </c>
      <c r="L2016" s="3" t="b">
        <f>AND(G2016 &lt;&gt; "plain", G2016 &lt;&gt; "")</f>
        <v>0</v>
      </c>
      <c r="M2016" s="3" t="str">
        <f>IF(E2016, C2016 &amp; "|" &amp; H2016, "")</f>
        <v>principal-knowledge-authority|</v>
      </c>
      <c r="N2016" s="2" t="s">
        <v>9938</v>
      </c>
    </row>
    <row r="2017">
      <c r="A2017" s="2" t="s">
        <v>11953</v>
      </c>
      <c r="B2017" s="3" t="str">
        <f>C2017 &amp; " -&gt; " &amp; D2017</f>
        <v>principal-knowledge-authority -&gt; AgentDecisionRecords.BoundaryViolationRoleAssignmentKey</v>
      </c>
      <c r="C2017" s="2" t="s">
        <v>9708</v>
      </c>
      <c r="D2017" s="2" t="s">
        <v>5024</v>
      </c>
      <c r="E2017" s="2" t="b">
        <v>1</v>
      </c>
      <c r="F2017" s="2" t="b">
        <v>0</v>
      </c>
      <c r="G2017" s="2" t="s">
        <v>9937</v>
      </c>
      <c r="H2017" s="3" t="str">
        <f>_xlfn.IFNA(INDEX(RulebookFields!C2:C999, MATCH(D2017,RulebookFields!A2:A999, 0)), "")</f>
      </c>
      <c r="I2017" s="3" t="str">
        <f>_xlfn.IFNA(INDEX(RulebookFields!D2:D999, MATCH(D2017,RulebookFields!A2:A999, 0)), "")</f>
      </c>
      <c r="J2017" s="3" t="str">
        <f>_xlfn.IFNA(INDEX(RulebookFields!I2:I999, MATCH(D2017,RulebookFields!A2:A999, 0)), "")</f>
      </c>
      <c r="K2017" s="3" t="b">
        <f>AND(F2017, J2017)</f>
        <v>0</v>
      </c>
      <c r="L2017" s="3" t="b">
        <f>AND(G2017 &lt;&gt; "plain", G2017 &lt;&gt; "")</f>
        <v>0</v>
      </c>
      <c r="M2017" s="3" t="str">
        <f>IF(E2017, C2017 &amp; "|" &amp; H2017, "")</f>
        <v>principal-knowledge-authority|</v>
      </c>
      <c r="N2017" s="2" t="s">
        <v>9938</v>
      </c>
    </row>
    <row r="2018">
      <c r="A2018" s="2" t="s">
        <v>11954</v>
      </c>
      <c r="B2018" s="3" t="str">
        <f>C2018 &amp; " -&gt; " &amp; D2018</f>
        <v>principal-knowledge-authority -&gt; AgentDecisionRecords.SemanticTypeIri</v>
      </c>
      <c r="C2018" s="2" t="s">
        <v>9708</v>
      </c>
      <c r="D2018" s="2" t="s">
        <v>5027</v>
      </c>
      <c r="E2018" s="2" t="b">
        <v>1</v>
      </c>
      <c r="F2018" s="2" t="b">
        <v>0</v>
      </c>
      <c r="G2018" s="2" t="s">
        <v>9937</v>
      </c>
      <c r="H2018" s="3" t="str">
        <f>_xlfn.IFNA(INDEX(RulebookFields!C2:C999, MATCH(D2018,RulebookFields!A2:A999, 0)), "")</f>
      </c>
      <c r="I2018" s="3" t="str">
        <f>_xlfn.IFNA(INDEX(RulebookFields!D2:D999, MATCH(D2018,RulebookFields!A2:A999, 0)), "")</f>
      </c>
      <c r="J2018" s="3" t="str">
        <f>_xlfn.IFNA(INDEX(RulebookFields!I2:I999, MATCH(D2018,RulebookFields!A2:A999, 0)), "")</f>
      </c>
      <c r="K2018" s="3" t="b">
        <f>AND(F2018, J2018)</f>
        <v>0</v>
      </c>
      <c r="L2018" s="3" t="b">
        <f>AND(G2018 &lt;&gt; "plain", G2018 &lt;&gt; "")</f>
        <v>0</v>
      </c>
      <c r="M2018" s="3" t="str">
        <f>IF(E2018, C2018 &amp; "|" &amp; H2018, "")</f>
        <v>principal-knowledge-authority|</v>
      </c>
      <c r="N2018" s="2" t="s">
        <v>9938</v>
      </c>
    </row>
    <row r="2019">
      <c r="A2019" s="2" t="s">
        <v>11955</v>
      </c>
      <c r="B2019" s="3" t="str">
        <f>C2019 &amp; " -&gt; " &amp; D2019</f>
        <v>principal-knowledge-authority -&gt; Agents.AgentId</v>
      </c>
      <c r="C2019" s="2" t="s">
        <v>9708</v>
      </c>
      <c r="D2019" s="2" t="s">
        <v>2429</v>
      </c>
      <c r="E2019" s="2" t="b">
        <v>1</v>
      </c>
      <c r="F2019" s="2" t="b">
        <v>0</v>
      </c>
      <c r="G2019" s="2" t="s">
        <v>9937</v>
      </c>
      <c r="H2019" s="3" t="str">
        <f>_xlfn.IFNA(INDEX(RulebookFields!C2:C999, MATCH(D2019,RulebookFields!A2:A999, 0)), "")</f>
        <v>Agents</v>
      </c>
      <c r="I2019" s="3" t="str">
        <f>_xlfn.IFNA(INDEX(RulebookFields!D2:D999, MATCH(D2019,RulebookFields!A2:A999, 0)), "")</f>
        <v>AgentId</v>
      </c>
      <c r="J2019" s="3" t="b">
        <f>_xlfn.IFNA(INDEX(RulebookFields!I2:I999, MATCH(D2019,RulebookFields!A2:A999, 0)), "")</f>
        <v>0</v>
      </c>
      <c r="K2019" s="3" t="b">
        <f>AND(F2019, J2019)</f>
        <v>0</v>
      </c>
      <c r="L2019" s="3" t="b">
        <f>AND(G2019 &lt;&gt; "plain", G2019 &lt;&gt; "")</f>
        <v>0</v>
      </c>
      <c r="M2019" s="3" t="str">
        <f>IF(E2019, C2019 &amp; "|" &amp; H2019, "")</f>
        <v>principal-knowledge-authority|Agents</v>
      </c>
      <c r="N2019" s="2" t="s">
        <v>9938</v>
      </c>
    </row>
    <row r="2020">
      <c r="A2020" s="2" t="s">
        <v>11956</v>
      </c>
      <c r="B2020" s="3" t="str">
        <f>C2020 &amp; " -&gt; " &amp; D2020</f>
        <v>principal-knowledge-authority -&gt; Agents.Name</v>
      </c>
      <c r="C2020" s="2" t="s">
        <v>9708</v>
      </c>
      <c r="D2020" s="2" t="s">
        <v>2430</v>
      </c>
      <c r="E2020" s="2" t="b">
        <v>1</v>
      </c>
      <c r="F2020" s="2" t="b">
        <v>0</v>
      </c>
      <c r="G2020" s="2" t="s">
        <v>9937</v>
      </c>
      <c r="H2020" s="3" t="str">
        <f>_xlfn.IFNA(INDEX(RulebookFields!C2:C999, MATCH(D2020,RulebookFields!A2:A999, 0)), "")</f>
        <v>Agents</v>
      </c>
      <c r="I2020" s="3" t="str">
        <f>_xlfn.IFNA(INDEX(RulebookFields!D2:D999, MATCH(D2020,RulebookFields!A2:A999, 0)), "")</f>
        <v>Name</v>
      </c>
      <c r="J2020" s="3" t="b">
        <f>_xlfn.IFNA(INDEX(RulebookFields!I2:I999, MATCH(D2020,RulebookFields!A2:A999, 0)), "")</f>
        <v>1</v>
      </c>
      <c r="K2020" s="3" t="b">
        <f>AND(F2020, J2020)</f>
        <v>0</v>
      </c>
      <c r="L2020" s="3" t="b">
        <f>AND(G2020 &lt;&gt; "plain", G2020 &lt;&gt; "")</f>
        <v>0</v>
      </c>
      <c r="M2020" s="3" t="str">
        <f>IF(E2020, C2020 &amp; "|" &amp; H2020, "")</f>
        <v>principal-knowledge-authority|Agents</v>
      </c>
      <c r="N2020" s="2" t="s">
        <v>9938</v>
      </c>
    </row>
    <row r="2021">
      <c r="A2021" s="2" t="s">
        <v>11957</v>
      </c>
      <c r="B2021" s="3" t="str">
        <f>C2021 &amp; " -&gt; " &amp; D2021</f>
        <v>principal-knowledge-authority -&gt; Agents.DisplayName</v>
      </c>
      <c r="C2021" s="2" t="s">
        <v>9708</v>
      </c>
      <c r="D2021" s="2" t="s">
        <v>2431</v>
      </c>
      <c r="E2021" s="2" t="b">
        <v>1</v>
      </c>
      <c r="F2021" s="2" t="b">
        <v>0</v>
      </c>
      <c r="G2021" s="2" t="s">
        <v>9937</v>
      </c>
      <c r="H2021" s="3" t="str">
        <f>_xlfn.IFNA(INDEX(RulebookFields!C2:C999, MATCH(D2021,RulebookFields!A2:A999, 0)), "")</f>
        <v>Agents</v>
      </c>
      <c r="I2021" s="3" t="str">
        <f>_xlfn.IFNA(INDEX(RulebookFields!D2:D999, MATCH(D2021,RulebookFields!A2:A999, 0)), "")</f>
        <v>DisplayName</v>
      </c>
      <c r="J2021" s="3" t="b">
        <f>_xlfn.IFNA(INDEX(RulebookFields!I2:I999, MATCH(D2021,RulebookFields!A2:A999, 0)), "")</f>
        <v>0</v>
      </c>
      <c r="K2021" s="3" t="b">
        <f>AND(F2021, J2021)</f>
        <v>0</v>
      </c>
      <c r="L2021" s="3" t="b">
        <f>AND(G2021 &lt;&gt; "plain", G2021 &lt;&gt; "")</f>
        <v>0</v>
      </c>
      <c r="M2021" s="3" t="str">
        <f>IF(E2021, C2021 &amp; "|" &amp; H2021, "")</f>
        <v>principal-knowledge-authority|Agents</v>
      </c>
      <c r="N2021" s="2" t="s">
        <v>9938</v>
      </c>
    </row>
    <row r="2022">
      <c r="A2022" s="2" t="s">
        <v>11958</v>
      </c>
      <c r="B2022" s="3" t="str">
        <f>C2022 &amp; " -&gt; " &amp; D2022</f>
        <v>principal-knowledge-authority -&gt; Agents.AgentKind</v>
      </c>
      <c r="C2022" s="2" t="s">
        <v>9708</v>
      </c>
      <c r="D2022" s="2" t="s">
        <v>2432</v>
      </c>
      <c r="E2022" s="2" t="b">
        <v>1</v>
      </c>
      <c r="F2022" s="2" t="b">
        <v>0</v>
      </c>
      <c r="G2022" s="2" t="s">
        <v>9937</v>
      </c>
      <c r="H2022" s="3" t="str">
        <f>_xlfn.IFNA(INDEX(RulebookFields!C2:C999, MATCH(D2022,RulebookFields!A2:A999, 0)), "")</f>
        <v>Agents</v>
      </c>
      <c r="I2022" s="3" t="str">
        <f>_xlfn.IFNA(INDEX(RulebookFields!D2:D999, MATCH(D2022,RulebookFields!A2:A999, 0)), "")</f>
        <v>AgentKind</v>
      </c>
      <c r="J2022" s="3" t="b">
        <f>_xlfn.IFNA(INDEX(RulebookFields!I2:I999, MATCH(D2022,RulebookFields!A2:A999, 0)), "")</f>
        <v>0</v>
      </c>
      <c r="K2022" s="3" t="b">
        <f>AND(F2022, J2022)</f>
        <v>0</v>
      </c>
      <c r="L2022" s="3" t="b">
        <f>AND(G2022 &lt;&gt; "plain", G2022 &lt;&gt; "")</f>
        <v>0</v>
      </c>
      <c r="M2022" s="3" t="str">
        <f>IF(E2022, C2022 &amp; "|" &amp; H2022, "")</f>
        <v>principal-knowledge-authority|Agents</v>
      </c>
      <c r="N2022" s="2" t="s">
        <v>9938</v>
      </c>
    </row>
    <row r="2023">
      <c r="A2023" s="2" t="s">
        <v>11959</v>
      </c>
      <c r="B2023" s="3" t="str">
        <f>C2023 &amp; " -&gt; " &amp; D2023</f>
        <v>principal-knowledge-authority -&gt; Agents.Organization</v>
      </c>
      <c r="C2023" s="2" t="s">
        <v>9708</v>
      </c>
      <c r="D2023" s="2" t="s">
        <v>2433</v>
      </c>
      <c r="E2023" s="2" t="b">
        <v>1</v>
      </c>
      <c r="F2023" s="2" t="b">
        <v>0</v>
      </c>
      <c r="G2023" s="2" t="s">
        <v>9937</v>
      </c>
      <c r="H2023" s="3" t="str">
        <f>_xlfn.IFNA(INDEX(RulebookFields!C2:C999, MATCH(D2023,RulebookFields!A2:A999, 0)), "")</f>
        <v>Agents</v>
      </c>
      <c r="I2023" s="3" t="str">
        <f>_xlfn.IFNA(INDEX(RulebookFields!D2:D999, MATCH(D2023,RulebookFields!A2:A999, 0)), "")</f>
        <v>Organization</v>
      </c>
      <c r="J2023" s="3" t="b">
        <f>_xlfn.IFNA(INDEX(RulebookFields!I2:I999, MATCH(D2023,RulebookFields!A2:A999, 0)), "")</f>
        <v>0</v>
      </c>
      <c r="K2023" s="3" t="b">
        <f>AND(F2023, J2023)</f>
        <v>0</v>
      </c>
      <c r="L2023" s="3" t="b">
        <f>AND(G2023 &lt;&gt; "plain", G2023 &lt;&gt; "")</f>
        <v>0</v>
      </c>
      <c r="M2023" s="3" t="str">
        <f>IF(E2023, C2023 &amp; "|" &amp; H2023, "")</f>
        <v>principal-knowledge-authority|Agents</v>
      </c>
      <c r="N2023" s="2" t="s">
        <v>9938</v>
      </c>
    </row>
    <row r="2024">
      <c r="A2024" s="2" t="s">
        <v>11960</v>
      </c>
      <c r="B2024" s="3" t="str">
        <f>C2024 &amp; " -&gt; " &amp; D2024</f>
        <v>principal-knowledge-authority -&gt; Agents.ContactAddress</v>
      </c>
      <c r="C2024" s="2" t="s">
        <v>9708</v>
      </c>
      <c r="D2024" s="2" t="s">
        <v>2435</v>
      </c>
      <c r="E2024" s="2" t="b">
        <v>1</v>
      </c>
      <c r="F2024" s="2" t="b">
        <v>0</v>
      </c>
      <c r="G2024" s="2" t="s">
        <v>9937</v>
      </c>
      <c r="H2024" s="3" t="str">
        <f>_xlfn.IFNA(INDEX(RulebookFields!C2:C999, MATCH(D2024,RulebookFields!A2:A999, 0)), "")</f>
        <v>Agents</v>
      </c>
      <c r="I2024" s="3" t="str">
        <f>_xlfn.IFNA(INDEX(RulebookFields!D2:D999, MATCH(D2024,RulebookFields!A2:A999, 0)), "")</f>
        <v>ContactAddress</v>
      </c>
      <c r="J2024" s="3" t="b">
        <f>_xlfn.IFNA(INDEX(RulebookFields!I2:I999, MATCH(D2024,RulebookFields!A2:A999, 0)), "")</f>
        <v>0</v>
      </c>
      <c r="K2024" s="3" t="b">
        <f>AND(F2024, J2024)</f>
        <v>0</v>
      </c>
      <c r="L2024" s="3" t="b">
        <f>AND(G2024 &lt;&gt; "plain", G2024 &lt;&gt; "")</f>
        <v>0</v>
      </c>
      <c r="M2024" s="3" t="str">
        <f>IF(E2024, C2024 &amp; "|" &amp; H2024, "")</f>
        <v>principal-knowledge-authority|Agents</v>
      </c>
      <c r="N2024" s="2" t="s">
        <v>9938</v>
      </c>
    </row>
    <row r="2025">
      <c r="A2025" s="2" t="s">
        <v>11961</v>
      </c>
      <c r="B2025" s="3" t="str">
        <f>C2025 &amp; " -&gt; " &amp; D2025</f>
        <v>principal-knowledge-authority -&gt; Agents.VersionOrEmploymentKey</v>
      </c>
      <c r="C2025" s="2" t="s">
        <v>9708</v>
      </c>
      <c r="D2025" s="2" t="s">
        <v>2436</v>
      </c>
      <c r="E2025" s="2" t="b">
        <v>1</v>
      </c>
      <c r="F2025" s="2" t="b">
        <v>0</v>
      </c>
      <c r="G2025" s="2" t="s">
        <v>9937</v>
      </c>
      <c r="H2025" s="3" t="str">
        <f>_xlfn.IFNA(INDEX(RulebookFields!C2:C999, MATCH(D2025,RulebookFields!A2:A999, 0)), "")</f>
        <v>Agents</v>
      </c>
      <c r="I2025" s="3" t="str">
        <f>_xlfn.IFNA(INDEX(RulebookFields!D2:D999, MATCH(D2025,RulebookFields!A2:A999, 0)), "")</f>
        <v>VersionOrEmploymentKey</v>
      </c>
      <c r="J2025" s="3" t="b">
        <f>_xlfn.IFNA(INDEX(RulebookFields!I2:I999, MATCH(D2025,RulebookFields!A2:A999, 0)), "")</f>
        <v>0</v>
      </c>
      <c r="K2025" s="3" t="b">
        <f>AND(F2025, J2025)</f>
        <v>0</v>
      </c>
      <c r="L2025" s="3" t="b">
        <f>AND(G2025 &lt;&gt; "plain", G2025 &lt;&gt; "")</f>
        <v>0</v>
      </c>
      <c r="M2025" s="3" t="str">
        <f>IF(E2025, C2025 &amp; "|" &amp; H2025, "")</f>
        <v>principal-knowledge-authority|Agents</v>
      </c>
      <c r="N2025" s="2" t="s">
        <v>9938</v>
      </c>
    </row>
    <row r="2026">
      <c r="A2026" s="2" t="s">
        <v>11962</v>
      </c>
      <c r="B2026" s="3" t="str">
        <f>C2026 &amp; " -&gt; " &amp; D2026</f>
        <v>principal-knowledge-authority -&gt; Agents.CountOfCurrentRoleAssignments</v>
      </c>
      <c r="C2026" s="2" t="s">
        <v>9708</v>
      </c>
      <c r="D2026" s="2" t="s">
        <v>2437</v>
      </c>
      <c r="E2026" s="2" t="b">
        <v>1</v>
      </c>
      <c r="F2026" s="2" t="b">
        <v>0</v>
      </c>
      <c r="G2026" s="2" t="s">
        <v>9937</v>
      </c>
      <c r="H2026" s="3" t="str">
        <f>_xlfn.IFNA(INDEX(RulebookFields!C2:C999, MATCH(D2026,RulebookFields!A2:A999, 0)), "")</f>
        <v>Agents</v>
      </c>
      <c r="I2026" s="3" t="str">
        <f>_xlfn.IFNA(INDEX(RulebookFields!D2:D999, MATCH(D2026,RulebookFields!A2:A999, 0)), "")</f>
        <v>CountOfCurrentRoleAssignments</v>
      </c>
      <c r="J2026" s="3" t="b">
        <f>_xlfn.IFNA(INDEX(RulebookFields!I2:I999, MATCH(D2026,RulebookFields!A2:A999, 0)), "")</f>
        <v>1</v>
      </c>
      <c r="K2026" s="3" t="b">
        <f>AND(F2026, J2026)</f>
        <v>0</v>
      </c>
      <c r="L2026" s="3" t="b">
        <f>AND(G2026 &lt;&gt; "plain", G2026 &lt;&gt; "")</f>
        <v>0</v>
      </c>
      <c r="M2026" s="3" t="str">
        <f>IF(E2026, C2026 &amp; "|" &amp; H2026, "")</f>
        <v>principal-knowledge-authority|Agents</v>
      </c>
      <c r="N2026" s="2" t="s">
        <v>9938</v>
      </c>
    </row>
    <row r="2027">
      <c r="A2027" s="2" t="s">
        <v>11963</v>
      </c>
      <c r="B2027" s="3" t="str">
        <f>C2027 &amp; " -&gt; " &amp; D2027</f>
        <v>principal-knowledge-authority -&gt; Agents.IsStillEngaged</v>
      </c>
      <c r="C2027" s="2" t="s">
        <v>9708</v>
      </c>
      <c r="D2027" s="2" t="s">
        <v>2441</v>
      </c>
      <c r="E2027" s="2" t="b">
        <v>1</v>
      </c>
      <c r="F2027" s="2" t="b">
        <v>0</v>
      </c>
      <c r="G2027" s="2" t="s">
        <v>9937</v>
      </c>
      <c r="H2027" s="3" t="str">
        <f>_xlfn.IFNA(INDEX(RulebookFields!C2:C999, MATCH(D2027,RulebookFields!A2:A999, 0)), "")</f>
        <v>Agents</v>
      </c>
      <c r="I2027" s="3" t="str">
        <f>_xlfn.IFNA(INDEX(RulebookFields!D2:D999, MATCH(D2027,RulebookFields!A2:A999, 0)), "")</f>
        <v>IsStillEngaged</v>
      </c>
      <c r="J2027" s="3" t="b">
        <f>_xlfn.IFNA(INDEX(RulebookFields!I2:I999, MATCH(D2027,RulebookFields!A2:A999, 0)), "")</f>
        <v>1</v>
      </c>
      <c r="K2027" s="3" t="b">
        <f>AND(F2027, J2027)</f>
        <v>0</v>
      </c>
      <c r="L2027" s="3" t="b">
        <f>AND(G2027 &lt;&gt; "plain", G2027 &lt;&gt; "")</f>
        <v>0</v>
      </c>
      <c r="M2027" s="3" t="str">
        <f>IF(E2027, C2027 &amp; "|" &amp; H2027, "")</f>
        <v>principal-knowledge-authority|Agents</v>
      </c>
      <c r="N2027" s="2" t="s">
        <v>9938</v>
      </c>
    </row>
    <row r="2028">
      <c r="A2028" s="2" t="s">
        <v>11964</v>
      </c>
      <c r="B2028" s="3" t="str">
        <f>C2028 &amp; " -&gt; " &amp; D2028</f>
        <v>principal-knowledge-authority -&gt; Agents.DecisionCount</v>
      </c>
      <c r="C2028" s="2" t="s">
        <v>9708</v>
      </c>
      <c r="D2028" s="2" t="s">
        <v>2443</v>
      </c>
      <c r="E2028" s="2" t="b">
        <v>1</v>
      </c>
      <c r="F2028" s="2" t="b">
        <v>0</v>
      </c>
      <c r="G2028" s="2" t="s">
        <v>9937</v>
      </c>
      <c r="H2028" s="3" t="str">
        <f>_xlfn.IFNA(INDEX(RulebookFields!C2:C999, MATCH(D2028,RulebookFields!A2:A999, 0)), "")</f>
        <v>Agents</v>
      </c>
      <c r="I2028" s="3" t="str">
        <f>_xlfn.IFNA(INDEX(RulebookFields!D2:D999, MATCH(D2028,RulebookFields!A2:A999, 0)), "")</f>
        <v>DecisionCount</v>
      </c>
      <c r="J2028" s="3" t="b">
        <f>_xlfn.IFNA(INDEX(RulebookFields!I2:I999, MATCH(D2028,RulebookFields!A2:A999, 0)), "")</f>
        <v>1</v>
      </c>
      <c r="K2028" s="3" t="b">
        <f>AND(F2028, J2028)</f>
        <v>0</v>
      </c>
      <c r="L2028" s="3" t="b">
        <f>AND(G2028 &lt;&gt; "plain", G2028 &lt;&gt; "")</f>
        <v>0</v>
      </c>
      <c r="M2028" s="3" t="str">
        <f>IF(E2028, C2028 &amp; "|" &amp; H2028, "")</f>
        <v>principal-knowledge-authority|Agents</v>
      </c>
      <c r="N2028" s="2" t="s">
        <v>9938</v>
      </c>
    </row>
    <row r="2029">
      <c r="A2029" s="2" t="s">
        <v>11965</v>
      </c>
      <c r="B2029" s="3" t="str">
        <f>C2029 &amp; " -&gt; " &amp; D2029</f>
        <v>principal-knowledge-authority -&gt; Agents.OverriddenDecisionCount</v>
      </c>
      <c r="C2029" s="2" t="s">
        <v>9708</v>
      </c>
      <c r="D2029" s="2" t="s">
        <v>2446</v>
      </c>
      <c r="E2029" s="2" t="b">
        <v>1</v>
      </c>
      <c r="F2029" s="2" t="b">
        <v>0</v>
      </c>
      <c r="G2029" s="2" t="s">
        <v>9937</v>
      </c>
      <c r="H2029" s="3" t="str">
        <f>_xlfn.IFNA(INDEX(RulebookFields!C2:C999, MATCH(D2029,RulebookFields!A2:A999, 0)), "")</f>
        <v>Agents</v>
      </c>
      <c r="I2029" s="3" t="str">
        <f>_xlfn.IFNA(INDEX(RulebookFields!D2:D999, MATCH(D2029,RulebookFields!A2:A999, 0)), "")</f>
        <v>OverriddenDecisionCount</v>
      </c>
      <c r="J2029" s="3" t="b">
        <f>_xlfn.IFNA(INDEX(RulebookFields!I2:I999, MATCH(D2029,RulebookFields!A2:A999, 0)), "")</f>
        <v>1</v>
      </c>
      <c r="K2029" s="3" t="b">
        <f>AND(F2029, J2029)</f>
        <v>0</v>
      </c>
      <c r="L2029" s="3" t="b">
        <f>AND(G2029 &lt;&gt; "plain", G2029 &lt;&gt; "")</f>
        <v>0</v>
      </c>
      <c r="M2029" s="3" t="str">
        <f>IF(E2029, C2029 &amp; "|" &amp; H2029, "")</f>
        <v>principal-knowledge-authority|Agents</v>
      </c>
      <c r="N2029" s="2" t="s">
        <v>9938</v>
      </c>
    </row>
    <row r="2030">
      <c r="A2030" s="2" t="s">
        <v>11966</v>
      </c>
      <c r="B2030" s="3" t="str">
        <f>C2030 &amp; " -&gt; " &amp; D2030</f>
        <v>principal-knowledge-authority -&gt; Agents.OverrideRatePercent</v>
      </c>
      <c r="C2030" s="2" t="s">
        <v>9708</v>
      </c>
      <c r="D2030" s="2" t="s">
        <v>2448</v>
      </c>
      <c r="E2030" s="2" t="b">
        <v>1</v>
      </c>
      <c r="F2030" s="2" t="b">
        <v>0</v>
      </c>
      <c r="G2030" s="2" t="s">
        <v>9937</v>
      </c>
      <c r="H2030" s="3" t="str">
        <f>_xlfn.IFNA(INDEX(RulebookFields!C2:C999, MATCH(D2030,RulebookFields!A2:A999, 0)), "")</f>
        <v>Agents</v>
      </c>
      <c r="I2030" s="3" t="str">
        <f>_xlfn.IFNA(INDEX(RulebookFields!D2:D999, MATCH(D2030,RulebookFields!A2:A999, 0)), "")</f>
        <v>OverrideRatePercent</v>
      </c>
      <c r="J2030" s="3" t="b">
        <f>_xlfn.IFNA(INDEX(RulebookFields!I2:I999, MATCH(D2030,RulebookFields!A2:A999, 0)), "")</f>
        <v>1</v>
      </c>
      <c r="K2030" s="3" t="b">
        <f>AND(F2030, J2030)</f>
        <v>0</v>
      </c>
      <c r="L2030" s="3" t="b">
        <f>AND(G2030 &lt;&gt; "plain", G2030 &lt;&gt; "")</f>
        <v>0</v>
      </c>
      <c r="M2030" s="3" t="str">
        <f>IF(E2030, C2030 &amp; "|" &amp; H2030, "")</f>
        <v>principal-knowledge-authority|Agents</v>
      </c>
      <c r="N2030" s="2" t="s">
        <v>9938</v>
      </c>
    </row>
    <row r="2031">
      <c r="A2031" s="2" t="s">
        <v>11967</v>
      </c>
      <c r="B2031" s="3" t="str">
        <f>C2031 &amp; " -&gt; " &amp; D2031</f>
        <v>principal-knowledge-authority -&gt; Agents.IsNonHuman</v>
      </c>
      <c r="C2031" s="2" t="s">
        <v>9708</v>
      </c>
      <c r="D2031" s="2" t="s">
        <v>2450</v>
      </c>
      <c r="E2031" s="2" t="b">
        <v>1</v>
      </c>
      <c r="F2031" s="2" t="b">
        <v>0</v>
      </c>
      <c r="G2031" s="2" t="s">
        <v>9937</v>
      </c>
      <c r="H2031" s="3" t="str">
        <f>_xlfn.IFNA(INDEX(RulebookFields!C2:C999, MATCH(D2031,RulebookFields!A2:A999, 0)), "")</f>
        <v>Agents</v>
      </c>
      <c r="I2031" s="3" t="str">
        <f>_xlfn.IFNA(INDEX(RulebookFields!D2:D999, MATCH(D2031,RulebookFields!A2:A999, 0)), "")</f>
        <v>IsNonHuman</v>
      </c>
      <c r="J2031" s="3" t="b">
        <f>_xlfn.IFNA(INDEX(RulebookFields!I2:I999, MATCH(D2031,RulebookFields!A2:A999, 0)), "")</f>
        <v>1</v>
      </c>
      <c r="K2031" s="3" t="b">
        <f>AND(F2031, J2031)</f>
        <v>0</v>
      </c>
      <c r="L2031" s="3" t="b">
        <f>AND(G2031 &lt;&gt; "plain", G2031 &lt;&gt; "")</f>
        <v>0</v>
      </c>
      <c r="M2031" s="3" t="str">
        <f>IF(E2031, C2031 &amp; "|" &amp; H2031, "")</f>
        <v>principal-knowledge-authority|Agents</v>
      </c>
      <c r="N2031" s="2" t="s">
        <v>9938</v>
      </c>
    </row>
    <row r="2032">
      <c r="A2032" s="2" t="s">
        <v>11968</v>
      </c>
      <c r="B2032" s="3" t="str">
        <f>C2032 &amp; " -&gt; " &amp; D2032</f>
        <v>principal-knowledge-authority -&gt; Agents.BoundaryViolationCount</v>
      </c>
      <c r="C2032" s="2" t="s">
        <v>9708</v>
      </c>
      <c r="D2032" s="2" t="s">
        <v>2452</v>
      </c>
      <c r="E2032" s="2" t="b">
        <v>1</v>
      </c>
      <c r="F2032" s="2" t="b">
        <v>0</v>
      </c>
      <c r="G2032" s="2" t="s">
        <v>9937</v>
      </c>
      <c r="H2032" s="3" t="str">
        <f>_xlfn.IFNA(INDEX(RulebookFields!C2:C999, MATCH(D2032,RulebookFields!A2:A999, 0)), "")</f>
        <v>Agents</v>
      </c>
      <c r="I2032" s="3" t="str">
        <f>_xlfn.IFNA(INDEX(RulebookFields!D2:D999, MATCH(D2032,RulebookFields!A2:A999, 0)), "")</f>
        <v>BoundaryViolationCount</v>
      </c>
      <c r="J2032" s="3" t="b">
        <f>_xlfn.IFNA(INDEX(RulebookFields!I2:I999, MATCH(D2032,RulebookFields!A2:A999, 0)), "")</f>
        <v>1</v>
      </c>
      <c r="K2032" s="3" t="b">
        <f>AND(F2032, J2032)</f>
        <v>0</v>
      </c>
      <c r="L2032" s="3" t="b">
        <f>AND(G2032 &lt;&gt; "plain", G2032 &lt;&gt; "")</f>
        <v>0</v>
      </c>
      <c r="M2032" s="3" t="str">
        <f>IF(E2032, C2032 &amp; "|" &amp; H2032, "")</f>
        <v>principal-knowledge-authority|Agents</v>
      </c>
      <c r="N2032" s="2" t="s">
        <v>9938</v>
      </c>
    </row>
    <row r="2033">
      <c r="A2033" s="2" t="s">
        <v>11969</v>
      </c>
      <c r="B2033" s="3" t="str">
        <f>C2033 &amp; " -&gt; " &amp; D2033</f>
        <v>principal-knowledge-authority -&gt; Agents.IsOperatingOutsideBoundary</v>
      </c>
      <c r="C2033" s="2" t="s">
        <v>9708</v>
      </c>
      <c r="D2033" s="2" t="s">
        <v>2454</v>
      </c>
      <c r="E2033" s="2" t="b">
        <v>1</v>
      </c>
      <c r="F2033" s="2" t="b">
        <v>0</v>
      </c>
      <c r="G2033" s="2" t="s">
        <v>9937</v>
      </c>
      <c r="H2033" s="3" t="str">
        <f>_xlfn.IFNA(INDEX(RulebookFields!C2:C999, MATCH(D2033,RulebookFields!A2:A999, 0)), "")</f>
        <v>Agents</v>
      </c>
      <c r="I2033" s="3" t="str">
        <f>_xlfn.IFNA(INDEX(RulebookFields!D2:D999, MATCH(D2033,RulebookFields!A2:A999, 0)), "")</f>
        <v>IsOperatingOutsideBoundary</v>
      </c>
      <c r="J2033" s="3" t="b">
        <f>_xlfn.IFNA(INDEX(RulebookFields!I2:I999, MATCH(D2033,RulebookFields!A2:A999, 0)), "")</f>
        <v>1</v>
      </c>
      <c r="K2033" s="3" t="b">
        <f>AND(F2033, J2033)</f>
        <v>0</v>
      </c>
      <c r="L2033" s="3" t="b">
        <f>AND(G2033 &lt;&gt; "plain", G2033 &lt;&gt; "")</f>
        <v>0</v>
      </c>
      <c r="M2033" s="3" t="str">
        <f>IF(E2033, C2033 &amp; "|" &amp; H2033, "")</f>
        <v>principal-knowledge-authority|Agents</v>
      </c>
      <c r="N2033" s="2" t="s">
        <v>9938</v>
      </c>
    </row>
    <row r="2034">
      <c r="A2034" s="2" t="s">
        <v>11970</v>
      </c>
      <c r="B2034" s="3" t="str">
        <f>C2034 &amp; " -&gt; " &amp; D2034</f>
        <v>principal-knowledge-authority -&gt; Agents.DraftDecisionCount</v>
      </c>
      <c r="C2034" s="2" t="s">
        <v>9708</v>
      </c>
      <c r="D2034" s="2" t="s">
        <v>2456</v>
      </c>
      <c r="E2034" s="2" t="b">
        <v>1</v>
      </c>
      <c r="F2034" s="2" t="b">
        <v>0</v>
      </c>
      <c r="G2034" s="2" t="s">
        <v>9937</v>
      </c>
      <c r="H2034" s="3" t="str">
        <f>_xlfn.IFNA(INDEX(RulebookFields!C2:C999, MATCH(D2034,RulebookFields!A2:A999, 0)), "")</f>
        <v>Agents</v>
      </c>
      <c r="I2034" s="3" t="str">
        <f>_xlfn.IFNA(INDEX(RulebookFields!D2:D999, MATCH(D2034,RulebookFields!A2:A999, 0)), "")</f>
        <v>DraftDecisionCount</v>
      </c>
      <c r="J2034" s="3" t="b">
        <f>_xlfn.IFNA(INDEX(RulebookFields!I2:I999, MATCH(D2034,RulebookFields!A2:A999, 0)), "")</f>
        <v>1</v>
      </c>
      <c r="K2034" s="3" t="b">
        <f>AND(F2034, J2034)</f>
        <v>0</v>
      </c>
      <c r="L2034" s="3" t="b">
        <f>AND(G2034 &lt;&gt; "plain", G2034 &lt;&gt; "")</f>
        <v>0</v>
      </c>
      <c r="M2034" s="3" t="str">
        <f>IF(E2034, C2034 &amp; "|" &amp; H2034, "")</f>
        <v>principal-knowledge-authority|Agents</v>
      </c>
      <c r="N2034" s="2" t="s">
        <v>9938</v>
      </c>
    </row>
    <row r="2035">
      <c r="A2035" s="2" t="s">
        <v>11971</v>
      </c>
      <c r="B2035" s="3" t="str">
        <f>C2035 &amp; " -&gt; " &amp; D2035</f>
        <v>principal-knowledge-authority -&gt; Agents.OverriddenDraftCount</v>
      </c>
      <c r="C2035" s="2" t="s">
        <v>9708</v>
      </c>
      <c r="D2035" s="2" t="s">
        <v>2458</v>
      </c>
      <c r="E2035" s="2" t="b">
        <v>1</v>
      </c>
      <c r="F2035" s="2" t="b">
        <v>0</v>
      </c>
      <c r="G2035" s="2" t="s">
        <v>9937</v>
      </c>
      <c r="H2035" s="3" t="str">
        <f>_xlfn.IFNA(INDEX(RulebookFields!C2:C999, MATCH(D2035,RulebookFields!A2:A999, 0)), "")</f>
        <v>Agents</v>
      </c>
      <c r="I2035" s="3" t="str">
        <f>_xlfn.IFNA(INDEX(RulebookFields!D2:D999, MATCH(D2035,RulebookFields!A2:A999, 0)), "")</f>
        <v>OverriddenDraftCount</v>
      </c>
      <c r="J2035" s="3" t="b">
        <f>_xlfn.IFNA(INDEX(RulebookFields!I2:I999, MATCH(D2035,RulebookFields!A2:A999, 0)), "")</f>
        <v>1</v>
      </c>
      <c r="K2035" s="3" t="b">
        <f>AND(F2035, J2035)</f>
        <v>0</v>
      </c>
      <c r="L2035" s="3" t="b">
        <f>AND(G2035 &lt;&gt; "plain", G2035 &lt;&gt; "")</f>
        <v>0</v>
      </c>
      <c r="M2035" s="3" t="str">
        <f>IF(E2035, C2035 &amp; "|" &amp; H2035, "")</f>
        <v>principal-knowledge-authority|Agents</v>
      </c>
      <c r="N2035" s="2" t="s">
        <v>9938</v>
      </c>
    </row>
    <row r="2036">
      <c r="A2036" s="2" t="s">
        <v>11972</v>
      </c>
      <c r="B2036" s="3" t="str">
        <f>C2036 &amp; " -&gt; " &amp; D2036</f>
        <v>principal-knowledge-authority -&gt; Agents.DraftRewriteRatePercent</v>
      </c>
      <c r="C2036" s="2" t="s">
        <v>9708</v>
      </c>
      <c r="D2036" s="2" t="s">
        <v>2460</v>
      </c>
      <c r="E2036" s="2" t="b">
        <v>1</v>
      </c>
      <c r="F2036" s="2" t="b">
        <v>0</v>
      </c>
      <c r="G2036" s="2" t="s">
        <v>9937</v>
      </c>
      <c r="H2036" s="3" t="str">
        <f>_xlfn.IFNA(INDEX(RulebookFields!C2:C999, MATCH(D2036,RulebookFields!A2:A999, 0)), "")</f>
        <v>Agents</v>
      </c>
      <c r="I2036" s="3" t="str">
        <f>_xlfn.IFNA(INDEX(RulebookFields!D2:D999, MATCH(D2036,RulebookFields!A2:A999, 0)), "")</f>
        <v>DraftRewriteRatePercent</v>
      </c>
      <c r="J2036" s="3" t="b">
        <f>_xlfn.IFNA(INDEX(RulebookFields!I2:I999, MATCH(D2036,RulebookFields!A2:A999, 0)), "")</f>
        <v>1</v>
      </c>
      <c r="K2036" s="3" t="b">
        <f>AND(F2036, J2036)</f>
        <v>0</v>
      </c>
      <c r="L2036" s="3" t="b">
        <f>AND(G2036 &lt;&gt; "plain", G2036 &lt;&gt; "")</f>
        <v>0</v>
      </c>
      <c r="M2036" s="3" t="str">
        <f>IF(E2036, C2036 &amp; "|" &amp; H2036, "")</f>
        <v>principal-knowledge-authority|Agents</v>
      </c>
      <c r="N2036" s="2" t="s">
        <v>9938</v>
      </c>
    </row>
    <row r="2037">
      <c r="A2037" s="2" t="s">
        <v>11973</v>
      </c>
      <c r="B2037" s="3" t="str">
        <f>C2037 &amp; " -&gt; " &amp; D2037</f>
        <v>principal-knowledge-authority -&gt; Agents.SemanticTypeIri</v>
      </c>
      <c r="C2037" s="2" t="s">
        <v>9708</v>
      </c>
      <c r="D2037" s="2" t="s">
        <v>2470</v>
      </c>
      <c r="E2037" s="2" t="b">
        <v>1</v>
      </c>
      <c r="F2037" s="2" t="b">
        <v>0</v>
      </c>
      <c r="G2037" s="2" t="s">
        <v>9937</v>
      </c>
      <c r="H2037" s="3" t="str">
        <f>_xlfn.IFNA(INDEX(RulebookFields!C2:C999, MATCH(D2037,RulebookFields!A2:A999, 0)), "")</f>
        <v>Agents</v>
      </c>
      <c r="I2037" s="3" t="str">
        <f>_xlfn.IFNA(INDEX(RulebookFields!D2:D999, MATCH(D2037,RulebookFields!A2:A999, 0)), "")</f>
        <v>SemanticTypeIri</v>
      </c>
      <c r="J2037" s="3" t="b">
        <f>_xlfn.IFNA(INDEX(RulebookFields!I2:I999, MATCH(D2037,RulebookFields!A2:A999, 0)), "")</f>
        <v>0</v>
      </c>
      <c r="K2037" s="3" t="b">
        <f>AND(F2037, J2037)</f>
        <v>0</v>
      </c>
      <c r="L2037" s="3" t="b">
        <f>AND(G2037 &lt;&gt; "plain", G2037 &lt;&gt; "")</f>
        <v>0</v>
      </c>
      <c r="M2037" s="3" t="str">
        <f>IF(E2037, C2037 &amp; "|" &amp; H2037, "")</f>
        <v>principal-knowledge-authority|Agents</v>
      </c>
      <c r="N2037" s="2" t="s">
        <v>9938</v>
      </c>
    </row>
    <row r="2038">
      <c r="A2038" s="2" t="s">
        <v>11974</v>
      </c>
      <c r="B2038" s="3" t="str">
        <f>C2038 &amp; " -&gt; " &amp; D2038</f>
        <v>principal-knowledge-authority -&gt; AppNavGroups.AppNavGroupId</v>
      </c>
      <c r="C2038" s="2" t="s">
        <v>9708</v>
      </c>
      <c r="D2038" s="2" t="s">
        <v>5220</v>
      </c>
      <c r="E2038" s="2" t="b">
        <v>1</v>
      </c>
      <c r="F2038" s="2" t="b">
        <v>0</v>
      </c>
      <c r="G2038" s="2" t="s">
        <v>9937</v>
      </c>
      <c r="H2038" s="3" t="str">
        <f>_xlfn.IFNA(INDEX(RulebookFields!C2:C999, MATCH(D2038,RulebookFields!A2:A999, 0)), "")</f>
      </c>
      <c r="I2038" s="3" t="str">
        <f>_xlfn.IFNA(INDEX(RulebookFields!D2:D999, MATCH(D2038,RulebookFields!A2:A999, 0)), "")</f>
      </c>
      <c r="J2038" s="3" t="str">
        <f>_xlfn.IFNA(INDEX(RulebookFields!I2:I999, MATCH(D2038,RulebookFields!A2:A999, 0)), "")</f>
      </c>
      <c r="K2038" s="3" t="b">
        <f>AND(F2038, J2038)</f>
        <v>0</v>
      </c>
      <c r="L2038" s="3" t="b">
        <f>AND(G2038 &lt;&gt; "plain", G2038 &lt;&gt; "")</f>
        <v>0</v>
      </c>
      <c r="M2038" s="3" t="str">
        <f>IF(E2038, C2038 &amp; "|" &amp; H2038, "")</f>
        <v>principal-knowledge-authority|</v>
      </c>
      <c r="N2038" s="2" t="s">
        <v>9938</v>
      </c>
    </row>
    <row r="2039">
      <c r="A2039" s="2" t="s">
        <v>11975</v>
      </c>
      <c r="B2039" s="3" t="str">
        <f>C2039 &amp; " -&gt; " &amp; D2039</f>
        <v>principal-knowledge-authority -&gt; AppNavGroups.Name</v>
      </c>
      <c r="C2039" s="2" t="s">
        <v>9708</v>
      </c>
      <c r="D2039" s="2" t="s">
        <v>5222</v>
      </c>
      <c r="E2039" s="2" t="b">
        <v>1</v>
      </c>
      <c r="F2039" s="2" t="b">
        <v>0</v>
      </c>
      <c r="G2039" s="2" t="s">
        <v>9937</v>
      </c>
      <c r="H2039" s="3" t="str">
        <f>_xlfn.IFNA(INDEX(RulebookFields!C2:C999, MATCH(D2039,RulebookFields!A2:A999, 0)), "")</f>
      </c>
      <c r="I2039" s="3" t="str">
        <f>_xlfn.IFNA(INDEX(RulebookFields!D2:D999, MATCH(D2039,RulebookFields!A2:A999, 0)), "")</f>
      </c>
      <c r="J2039" s="3" t="str">
        <f>_xlfn.IFNA(INDEX(RulebookFields!I2:I999, MATCH(D2039,RulebookFields!A2:A999, 0)), "")</f>
      </c>
      <c r="K2039" s="3" t="b">
        <f>AND(F2039, J2039)</f>
        <v>0</v>
      </c>
      <c r="L2039" s="3" t="b">
        <f>AND(G2039 &lt;&gt; "plain", G2039 &lt;&gt; "")</f>
        <v>0</v>
      </c>
      <c r="M2039" s="3" t="str">
        <f>IF(E2039, C2039 &amp; "|" &amp; H2039, "")</f>
        <v>principal-knowledge-authority|</v>
      </c>
      <c r="N2039" s="2" t="s">
        <v>9938</v>
      </c>
    </row>
    <row r="2040">
      <c r="A2040" s="2" t="s">
        <v>11976</v>
      </c>
      <c r="B2040" s="3" t="str">
        <f>C2040 &amp; " -&gt; " &amp; D2040</f>
        <v>principal-knowledge-authority -&gt; AppNavGroups.GroupLabel</v>
      </c>
      <c r="C2040" s="2" t="s">
        <v>9708</v>
      </c>
      <c r="D2040" s="2" t="s">
        <v>5224</v>
      </c>
      <c r="E2040" s="2" t="b">
        <v>1</v>
      </c>
      <c r="F2040" s="2" t="b">
        <v>0</v>
      </c>
      <c r="G2040" s="2" t="s">
        <v>9937</v>
      </c>
      <c r="H2040" s="3" t="str">
        <f>_xlfn.IFNA(INDEX(RulebookFields!C2:C999, MATCH(D2040,RulebookFields!A2:A999, 0)), "")</f>
      </c>
      <c r="I2040" s="3" t="str">
        <f>_xlfn.IFNA(INDEX(RulebookFields!D2:D999, MATCH(D2040,RulebookFields!A2:A999, 0)), "")</f>
      </c>
      <c r="J2040" s="3" t="str">
        <f>_xlfn.IFNA(INDEX(RulebookFields!I2:I999, MATCH(D2040,RulebookFields!A2:A999, 0)), "")</f>
      </c>
      <c r="K2040" s="3" t="b">
        <f>AND(F2040, J2040)</f>
        <v>0</v>
      </c>
      <c r="L2040" s="3" t="b">
        <f>AND(G2040 &lt;&gt; "plain", G2040 &lt;&gt; "")</f>
        <v>0</v>
      </c>
      <c r="M2040" s="3" t="str">
        <f>IF(E2040, C2040 &amp; "|" &amp; H2040, "")</f>
        <v>principal-knowledge-authority|</v>
      </c>
      <c r="N2040" s="2" t="s">
        <v>9938</v>
      </c>
    </row>
    <row r="2041">
      <c r="A2041" s="2" t="s">
        <v>11977</v>
      </c>
      <c r="B2041" s="3" t="str">
        <f>C2041 &amp; " -&gt; " &amp; D2041</f>
        <v>principal-knowledge-authority -&gt; AppNavGroups.RouteCount</v>
      </c>
      <c r="C2041" s="2" t="s">
        <v>9708</v>
      </c>
      <c r="D2041" s="2" t="s">
        <v>5226</v>
      </c>
      <c r="E2041" s="2" t="b">
        <v>1</v>
      </c>
      <c r="F2041" s="2" t="b">
        <v>0</v>
      </c>
      <c r="G2041" s="2" t="s">
        <v>9937</v>
      </c>
      <c r="H2041" s="3" t="str">
        <f>_xlfn.IFNA(INDEX(RulebookFields!C2:C999, MATCH(D2041,RulebookFields!A2:A999, 0)), "")</f>
      </c>
      <c r="I2041" s="3" t="str">
        <f>_xlfn.IFNA(INDEX(RulebookFields!D2:D999, MATCH(D2041,RulebookFields!A2:A999, 0)), "")</f>
      </c>
      <c r="J2041" s="3" t="str">
        <f>_xlfn.IFNA(INDEX(RulebookFields!I2:I999, MATCH(D2041,RulebookFields!A2:A999, 0)), "")</f>
      </c>
      <c r="K2041" s="3" t="b">
        <f>AND(F2041, J2041)</f>
        <v>0</v>
      </c>
      <c r="L2041" s="3" t="b">
        <f>AND(G2041 &lt;&gt; "plain", G2041 &lt;&gt; "")</f>
        <v>0</v>
      </c>
      <c r="M2041" s="3" t="str">
        <f>IF(E2041, C2041 &amp; "|" &amp; H2041, "")</f>
        <v>principal-knowledge-authority|</v>
      </c>
      <c r="N2041" s="2" t="s">
        <v>9938</v>
      </c>
    </row>
    <row r="2042">
      <c r="A2042" s="2" t="s">
        <v>11978</v>
      </c>
      <c r="B2042" s="3" t="str">
        <f>C2042 &amp; " -&gt; " &amp; D2042</f>
        <v>principal-knowledge-authority -&gt; AppNavGroups.SemanticTypeIri</v>
      </c>
      <c r="C2042" s="2" t="s">
        <v>9708</v>
      </c>
      <c r="D2042" s="2" t="s">
        <v>5228</v>
      </c>
      <c r="E2042" s="2" t="b">
        <v>1</v>
      </c>
      <c r="F2042" s="2" t="b">
        <v>0</v>
      </c>
      <c r="G2042" s="2" t="s">
        <v>9937</v>
      </c>
      <c r="H2042" s="3" t="str">
        <f>_xlfn.IFNA(INDEX(RulebookFields!C2:C999, MATCH(D2042,RulebookFields!A2:A999, 0)), "")</f>
      </c>
      <c r="I2042" s="3" t="str">
        <f>_xlfn.IFNA(INDEX(RulebookFields!D2:D999, MATCH(D2042,RulebookFields!A2:A999, 0)), "")</f>
      </c>
      <c r="J2042" s="3" t="str">
        <f>_xlfn.IFNA(INDEX(RulebookFields!I2:I999, MATCH(D2042,RulebookFields!A2:A999, 0)), "")</f>
      </c>
      <c r="K2042" s="3" t="b">
        <f>AND(F2042, J2042)</f>
        <v>0</v>
      </c>
      <c r="L2042" s="3" t="b">
        <f>AND(G2042 &lt;&gt; "plain", G2042 &lt;&gt; "")</f>
        <v>0</v>
      </c>
      <c r="M2042" s="3" t="str">
        <f>IF(E2042, C2042 &amp; "|" &amp; H2042, "")</f>
        <v>principal-knowledge-authority|</v>
      </c>
      <c r="N2042" s="2" t="s">
        <v>9938</v>
      </c>
    </row>
    <row r="2043">
      <c r="A2043" s="2" t="s">
        <v>11979</v>
      </c>
      <c r="B2043" s="3" t="str">
        <f>C2043 &amp; " -&gt; " &amp; D2043</f>
        <v>principal-knowledge-authority -&gt; AppRoleProfiles.AppRoleProfileId</v>
      </c>
      <c r="C2043" s="2" t="s">
        <v>9708</v>
      </c>
      <c r="D2043" s="2" t="s">
        <v>5197</v>
      </c>
      <c r="E2043" s="2" t="b">
        <v>1</v>
      </c>
      <c r="F2043" s="2" t="b">
        <v>0</v>
      </c>
      <c r="G2043" s="2" t="s">
        <v>9937</v>
      </c>
      <c r="H2043" s="3" t="str">
        <f>_xlfn.IFNA(INDEX(RulebookFields!C2:C999, MATCH(D2043,RulebookFields!A2:A999, 0)), "")</f>
      </c>
      <c r="I2043" s="3" t="str">
        <f>_xlfn.IFNA(INDEX(RulebookFields!D2:D999, MATCH(D2043,RulebookFields!A2:A999, 0)), "")</f>
      </c>
      <c r="J2043" s="3" t="str">
        <f>_xlfn.IFNA(INDEX(RulebookFields!I2:I999, MATCH(D2043,RulebookFields!A2:A999, 0)), "")</f>
      </c>
      <c r="K2043" s="3" t="b">
        <f>AND(F2043, J2043)</f>
        <v>0</v>
      </c>
      <c r="L2043" s="3" t="b">
        <f>AND(G2043 &lt;&gt; "plain", G2043 &lt;&gt; "")</f>
        <v>0</v>
      </c>
      <c r="M2043" s="3" t="str">
        <f>IF(E2043, C2043 &amp; "|" &amp; H2043, "")</f>
        <v>principal-knowledge-authority|</v>
      </c>
      <c r="N2043" s="2" t="s">
        <v>9938</v>
      </c>
    </row>
    <row r="2044">
      <c r="A2044" s="2" t="s">
        <v>11980</v>
      </c>
      <c r="B2044" s="3" t="str">
        <f>C2044 &amp; " -&gt; " &amp; D2044</f>
        <v>principal-knowledge-authority -&gt; AppRoleProfiles.Name</v>
      </c>
      <c r="C2044" s="2" t="s">
        <v>9708</v>
      </c>
      <c r="D2044" s="2" t="s">
        <v>5199</v>
      </c>
      <c r="E2044" s="2" t="b">
        <v>1</v>
      </c>
      <c r="F2044" s="2" t="b">
        <v>0</v>
      </c>
      <c r="G2044" s="2" t="s">
        <v>9937</v>
      </c>
      <c r="H2044" s="3" t="str">
        <f>_xlfn.IFNA(INDEX(RulebookFields!C2:C999, MATCH(D2044,RulebookFields!A2:A999, 0)), "")</f>
      </c>
      <c r="I2044" s="3" t="str">
        <f>_xlfn.IFNA(INDEX(RulebookFields!D2:D999, MATCH(D2044,RulebookFields!A2:A999, 0)), "")</f>
      </c>
      <c r="J2044" s="3" t="str">
        <f>_xlfn.IFNA(INDEX(RulebookFields!I2:I999, MATCH(D2044,RulebookFields!A2:A999, 0)), "")</f>
      </c>
      <c r="K2044" s="3" t="b">
        <f>AND(F2044, J2044)</f>
        <v>0</v>
      </c>
      <c r="L2044" s="3" t="b">
        <f>AND(G2044 &lt;&gt; "plain", G2044 &lt;&gt; "")</f>
        <v>0</v>
      </c>
      <c r="M2044" s="3" t="str">
        <f>IF(E2044, C2044 &amp; "|" &amp; H2044, "")</f>
        <v>principal-knowledge-authority|</v>
      </c>
      <c r="N2044" s="2" t="s">
        <v>9938</v>
      </c>
    </row>
    <row r="2045">
      <c r="A2045" s="2" t="s">
        <v>11981</v>
      </c>
      <c r="B2045" s="3" t="str">
        <f>C2045 &amp; " -&gt; " &amp; D2045</f>
        <v>principal-knowledge-authority -&gt; AppRoleProfiles.Role</v>
      </c>
      <c r="C2045" s="2" t="s">
        <v>9708</v>
      </c>
      <c r="D2045" s="2" t="s">
        <v>5201</v>
      </c>
      <c r="E2045" s="2" t="b">
        <v>1</v>
      </c>
      <c r="F2045" s="2" t="b">
        <v>0</v>
      </c>
      <c r="G2045" s="2" t="s">
        <v>9937</v>
      </c>
      <c r="H2045" s="3" t="str">
        <f>_xlfn.IFNA(INDEX(RulebookFields!C2:C999, MATCH(D2045,RulebookFields!A2:A999, 0)), "")</f>
      </c>
      <c r="I2045" s="3" t="str">
        <f>_xlfn.IFNA(INDEX(RulebookFields!D2:D999, MATCH(D2045,RulebookFields!A2:A999, 0)), "")</f>
      </c>
      <c r="J2045" s="3" t="str">
        <f>_xlfn.IFNA(INDEX(RulebookFields!I2:I999, MATCH(D2045,RulebookFields!A2:A999, 0)), "")</f>
      </c>
      <c r="K2045" s="3" t="b">
        <f>AND(F2045, J2045)</f>
        <v>0</v>
      </c>
      <c r="L2045" s="3" t="b">
        <f>AND(G2045 &lt;&gt; "plain", G2045 &lt;&gt; "")</f>
        <v>0</v>
      </c>
      <c r="M2045" s="3" t="str">
        <f>IF(E2045, C2045 &amp; "|" &amp; H2045, "")</f>
        <v>principal-knowledge-authority|</v>
      </c>
      <c r="N2045" s="2" t="s">
        <v>9938</v>
      </c>
    </row>
    <row r="2046">
      <c r="A2046" s="2" t="s">
        <v>11982</v>
      </c>
      <c r="B2046" s="3" t="str">
        <f>C2046 &amp; " -&gt; " &amp; D2046</f>
        <v>principal-knowledge-authority -&gt; AppRoleProfiles.DisplayLabel</v>
      </c>
      <c r="C2046" s="2" t="s">
        <v>9708</v>
      </c>
      <c r="D2046" s="2" t="s">
        <v>5202</v>
      </c>
      <c r="E2046" s="2" t="b">
        <v>1</v>
      </c>
      <c r="F2046" s="2" t="b">
        <v>0</v>
      </c>
      <c r="G2046" s="2" t="s">
        <v>9937</v>
      </c>
      <c r="H2046" s="3" t="str">
        <f>_xlfn.IFNA(INDEX(RulebookFields!C2:C999, MATCH(D2046,RulebookFields!A2:A999, 0)), "")</f>
      </c>
      <c r="I2046" s="3" t="str">
        <f>_xlfn.IFNA(INDEX(RulebookFields!D2:D999, MATCH(D2046,RulebookFields!A2:A999, 0)), "")</f>
      </c>
      <c r="J2046" s="3" t="str">
        <f>_xlfn.IFNA(INDEX(RulebookFields!I2:I999, MATCH(D2046,RulebookFields!A2:A999, 0)), "")</f>
      </c>
      <c r="K2046" s="3" t="b">
        <f>AND(F2046, J2046)</f>
        <v>0</v>
      </c>
      <c r="L2046" s="3" t="b">
        <f>AND(G2046 &lt;&gt; "plain", G2046 &lt;&gt; "")</f>
        <v>0</v>
      </c>
      <c r="M2046" s="3" t="str">
        <f>IF(E2046, C2046 &amp; "|" &amp; H2046, "")</f>
        <v>principal-knowledge-authority|</v>
      </c>
      <c r="N2046" s="2" t="s">
        <v>9938</v>
      </c>
    </row>
    <row r="2047">
      <c r="A2047" s="2" t="s">
        <v>11983</v>
      </c>
      <c r="B2047" s="3" t="str">
        <f>C2047 &amp; " -&gt; " &amp; D2047</f>
        <v>principal-knowledge-authority -&gt; AppRoleProfiles.RoleKind</v>
      </c>
      <c r="C2047" s="2" t="s">
        <v>9708</v>
      </c>
      <c r="D2047" s="2" t="s">
        <v>5204</v>
      </c>
      <c r="E2047" s="2" t="b">
        <v>1</v>
      </c>
      <c r="F2047" s="2" t="b">
        <v>0</v>
      </c>
      <c r="G2047" s="2" t="s">
        <v>9937</v>
      </c>
      <c r="H2047" s="3" t="str">
        <f>_xlfn.IFNA(INDEX(RulebookFields!C2:C999, MATCH(D2047,RulebookFields!A2:A999, 0)), "")</f>
      </c>
      <c r="I2047" s="3" t="str">
        <f>_xlfn.IFNA(INDEX(RulebookFields!D2:D999, MATCH(D2047,RulebookFields!A2:A999, 0)), "")</f>
      </c>
      <c r="J2047" s="3" t="str">
        <f>_xlfn.IFNA(INDEX(RulebookFields!I2:I999, MATCH(D2047,RulebookFields!A2:A999, 0)), "")</f>
      </c>
      <c r="K2047" s="3" t="b">
        <f>AND(F2047, J2047)</f>
        <v>0</v>
      </c>
      <c r="L2047" s="3" t="b">
        <f>AND(G2047 &lt;&gt; "plain", G2047 &lt;&gt; "")</f>
        <v>0</v>
      </c>
      <c r="M2047" s="3" t="str">
        <f>IF(E2047, C2047 &amp; "|" &amp; H2047, "")</f>
        <v>principal-knowledge-authority|</v>
      </c>
      <c r="N2047" s="2" t="s">
        <v>9938</v>
      </c>
    </row>
    <row r="2048">
      <c r="A2048" s="2" t="s">
        <v>11984</v>
      </c>
      <c r="B2048" s="3" t="str">
        <f>C2048 &amp; " -&gt; " &amp; D2048</f>
        <v>principal-knowledge-authority -&gt; AppRoleProfiles.AccentColor</v>
      </c>
      <c r="C2048" s="2" t="s">
        <v>9708</v>
      </c>
      <c r="D2048" s="2" t="s">
        <v>5206</v>
      </c>
      <c r="E2048" s="2" t="b">
        <v>1</v>
      </c>
      <c r="F2048" s="2" t="b">
        <v>0</v>
      </c>
      <c r="G2048" s="2" t="s">
        <v>9937</v>
      </c>
      <c r="H2048" s="3" t="str">
        <f>_xlfn.IFNA(INDEX(RulebookFields!C2:C999, MATCH(D2048,RulebookFields!A2:A999, 0)), "")</f>
      </c>
      <c r="I2048" s="3" t="str">
        <f>_xlfn.IFNA(INDEX(RulebookFields!D2:D999, MATCH(D2048,RulebookFields!A2:A999, 0)), "")</f>
      </c>
      <c r="J2048" s="3" t="str">
        <f>_xlfn.IFNA(INDEX(RulebookFields!I2:I999, MATCH(D2048,RulebookFields!A2:A999, 0)), "")</f>
      </c>
      <c r="K2048" s="3" t="b">
        <f>AND(F2048, J2048)</f>
        <v>0</v>
      </c>
      <c r="L2048" s="3" t="b">
        <f>AND(G2048 &lt;&gt; "plain", G2048 &lt;&gt; "")</f>
        <v>0</v>
      </c>
      <c r="M2048" s="3" t="str">
        <f>IF(E2048, C2048 &amp; "|" &amp; H2048, "")</f>
        <v>principal-knowledge-authority|</v>
      </c>
      <c r="N2048" s="2" t="s">
        <v>9938</v>
      </c>
    </row>
    <row r="2049">
      <c r="A2049" s="2" t="s">
        <v>11985</v>
      </c>
      <c r="B2049" s="3" t="str">
        <f>C2049 &amp; " -&gt; " &amp; D2049</f>
        <v>principal-knowledge-authority -&gt; AppRoleProfiles.IconMark</v>
      </c>
      <c r="C2049" s="2" t="s">
        <v>9708</v>
      </c>
      <c r="D2049" s="2" t="s">
        <v>5208</v>
      </c>
      <c r="E2049" s="2" t="b">
        <v>1</v>
      </c>
      <c r="F2049" s="2" t="b">
        <v>0</v>
      </c>
      <c r="G2049" s="2" t="s">
        <v>9937</v>
      </c>
      <c r="H2049" s="3" t="str">
        <f>_xlfn.IFNA(INDEX(RulebookFields!C2:C999, MATCH(D2049,RulebookFields!A2:A999, 0)), "")</f>
      </c>
      <c r="I2049" s="3" t="str">
        <f>_xlfn.IFNA(INDEX(RulebookFields!D2:D999, MATCH(D2049,RulebookFields!A2:A999, 0)), "")</f>
      </c>
      <c r="J2049" s="3" t="str">
        <f>_xlfn.IFNA(INDEX(RulebookFields!I2:I999, MATCH(D2049,RulebookFields!A2:A999, 0)), "")</f>
      </c>
      <c r="K2049" s="3" t="b">
        <f>AND(F2049, J2049)</f>
        <v>0</v>
      </c>
      <c r="L2049" s="3" t="b">
        <f>AND(G2049 &lt;&gt; "plain", G2049 &lt;&gt; "")</f>
        <v>0</v>
      </c>
      <c r="M2049" s="3" t="str">
        <f>IF(E2049, C2049 &amp; "|" &amp; H2049, "")</f>
        <v>principal-knowledge-authority|</v>
      </c>
      <c r="N2049" s="2" t="s">
        <v>9938</v>
      </c>
    </row>
    <row r="2050">
      <c r="A2050" s="2" t="s">
        <v>11986</v>
      </c>
      <c r="B2050" s="3" t="str">
        <f>C2050 &amp; " -&gt; " &amp; D2050</f>
        <v>principal-knowledge-authority -&gt; AppRoleProfiles.IconPngBase64</v>
      </c>
      <c r="C2050" s="2" t="s">
        <v>9708</v>
      </c>
      <c r="D2050" s="2" t="s">
        <v>5210</v>
      </c>
      <c r="E2050" s="2" t="b">
        <v>1</v>
      </c>
      <c r="F2050" s="2" t="b">
        <v>0</v>
      </c>
      <c r="G2050" s="2" t="s">
        <v>9937</v>
      </c>
      <c r="H2050" s="3" t="str">
        <f>_xlfn.IFNA(INDEX(RulebookFields!C2:C999, MATCH(D2050,RulebookFields!A2:A999, 0)), "")</f>
      </c>
      <c r="I2050" s="3" t="str">
        <f>_xlfn.IFNA(INDEX(RulebookFields!D2:D999, MATCH(D2050,RulebookFields!A2:A999, 0)), "")</f>
      </c>
      <c r="J2050" s="3" t="str">
        <f>_xlfn.IFNA(INDEX(RulebookFields!I2:I999, MATCH(D2050,RulebookFields!A2:A999, 0)), "")</f>
      </c>
      <c r="K2050" s="3" t="b">
        <f>AND(F2050, J2050)</f>
        <v>0</v>
      </c>
      <c r="L2050" s="3" t="b">
        <f>AND(G2050 &lt;&gt; "plain", G2050 &lt;&gt; "")</f>
        <v>0</v>
      </c>
      <c r="M2050" s="3" t="str">
        <f>IF(E2050, C2050 &amp; "|" &amp; H2050, "")</f>
        <v>principal-knowledge-authority|</v>
      </c>
      <c r="N2050" s="2" t="s">
        <v>9938</v>
      </c>
    </row>
    <row r="2051">
      <c r="A2051" s="2" t="s">
        <v>11987</v>
      </c>
      <c r="B2051" s="3" t="str">
        <f>C2051 &amp; " -&gt; " &amp; D2051</f>
        <v>principal-knowledge-authority -&gt; AppRoleProfiles.Pitch</v>
      </c>
      <c r="C2051" s="2" t="s">
        <v>9708</v>
      </c>
      <c r="D2051" s="2" t="s">
        <v>5212</v>
      </c>
      <c r="E2051" s="2" t="b">
        <v>1</v>
      </c>
      <c r="F2051" s="2" t="b">
        <v>0</v>
      </c>
      <c r="G2051" s="2" t="s">
        <v>9937</v>
      </c>
      <c r="H2051" s="3" t="str">
        <f>_xlfn.IFNA(INDEX(RulebookFields!C2:C999, MATCH(D2051,RulebookFields!A2:A999, 0)), "")</f>
      </c>
      <c r="I2051" s="3" t="str">
        <f>_xlfn.IFNA(INDEX(RulebookFields!D2:D999, MATCH(D2051,RulebookFields!A2:A999, 0)), "")</f>
      </c>
      <c r="J2051" s="3" t="str">
        <f>_xlfn.IFNA(INDEX(RulebookFields!I2:I999, MATCH(D2051,RulebookFields!A2:A999, 0)), "")</f>
      </c>
      <c r="K2051" s="3" t="b">
        <f>AND(F2051, J2051)</f>
        <v>0</v>
      </c>
      <c r="L2051" s="3" t="b">
        <f>AND(G2051 &lt;&gt; "plain", G2051 &lt;&gt; "")</f>
        <v>0</v>
      </c>
      <c r="M2051" s="3" t="str">
        <f>IF(E2051, C2051 &amp; "|" &amp; H2051, "")</f>
        <v>principal-knowledge-authority|</v>
      </c>
      <c r="N2051" s="2" t="s">
        <v>9938</v>
      </c>
    </row>
    <row r="2052">
      <c r="A2052" s="2" t="s">
        <v>11988</v>
      </c>
      <c r="B2052" s="3" t="str">
        <f>C2052 &amp; " -&gt; " &amp; D2052</f>
        <v>principal-knowledge-authority -&gt; AppRoleProfiles.SortOrder</v>
      </c>
      <c r="C2052" s="2" t="s">
        <v>9708</v>
      </c>
      <c r="D2052" s="2" t="s">
        <v>5214</v>
      </c>
      <c r="E2052" s="2" t="b">
        <v>1</v>
      </c>
      <c r="F2052" s="2" t="b">
        <v>0</v>
      </c>
      <c r="G2052" s="2" t="s">
        <v>9937</v>
      </c>
      <c r="H2052" s="3" t="str">
        <f>_xlfn.IFNA(INDEX(RulebookFields!C2:C999, MATCH(D2052,RulebookFields!A2:A999, 0)), "")</f>
      </c>
      <c r="I2052" s="3" t="str">
        <f>_xlfn.IFNA(INDEX(RulebookFields!D2:D999, MATCH(D2052,RulebookFields!A2:A999, 0)), "")</f>
      </c>
      <c r="J2052" s="3" t="str">
        <f>_xlfn.IFNA(INDEX(RulebookFields!I2:I999, MATCH(D2052,RulebookFields!A2:A999, 0)), "")</f>
      </c>
      <c r="K2052" s="3" t="b">
        <f>AND(F2052, J2052)</f>
        <v>0</v>
      </c>
      <c r="L2052" s="3" t="b">
        <f>AND(G2052 &lt;&gt; "plain", G2052 &lt;&gt; "")</f>
        <v>0</v>
      </c>
      <c r="M2052" s="3" t="str">
        <f>IF(E2052, C2052 &amp; "|" &amp; H2052, "")</f>
        <v>principal-knowledge-authority|</v>
      </c>
      <c r="N2052" s="2" t="s">
        <v>9938</v>
      </c>
    </row>
    <row r="2053">
      <c r="A2053" s="2" t="s">
        <v>11989</v>
      </c>
      <c r="B2053" s="3" t="str">
        <f>C2053 &amp; " -&gt; " &amp; D2053</f>
        <v>principal-knowledge-authority -&gt; AppRoleProfiles.RouteCount</v>
      </c>
      <c r="C2053" s="2" t="s">
        <v>9708</v>
      </c>
      <c r="D2053" s="2" t="s">
        <v>5216</v>
      </c>
      <c r="E2053" s="2" t="b">
        <v>1</v>
      </c>
      <c r="F2053" s="2" t="b">
        <v>0</v>
      </c>
      <c r="G2053" s="2" t="s">
        <v>9937</v>
      </c>
      <c r="H2053" s="3" t="str">
        <f>_xlfn.IFNA(INDEX(RulebookFields!C2:C999, MATCH(D2053,RulebookFields!A2:A999, 0)), "")</f>
      </c>
      <c r="I2053" s="3" t="str">
        <f>_xlfn.IFNA(INDEX(RulebookFields!D2:D999, MATCH(D2053,RulebookFields!A2:A999, 0)), "")</f>
      </c>
      <c r="J2053" s="3" t="str">
        <f>_xlfn.IFNA(INDEX(RulebookFields!I2:I999, MATCH(D2053,RulebookFields!A2:A999, 0)), "")</f>
      </c>
      <c r="K2053" s="3" t="b">
        <f>AND(F2053, J2053)</f>
        <v>0</v>
      </c>
      <c r="L2053" s="3" t="b">
        <f>AND(G2053 &lt;&gt; "plain", G2053 &lt;&gt; "")</f>
        <v>0</v>
      </c>
      <c r="M2053" s="3" t="str">
        <f>IF(E2053, C2053 &amp; "|" &amp; H2053, "")</f>
        <v>principal-knowledge-authority|</v>
      </c>
      <c r="N2053" s="2" t="s">
        <v>9938</v>
      </c>
    </row>
    <row r="2054">
      <c r="A2054" s="2" t="s">
        <v>11990</v>
      </c>
      <c r="B2054" s="3" t="str">
        <f>C2054 &amp; " -&gt; " &amp; D2054</f>
        <v>principal-knowledge-authority -&gt; AppRoleProfiles.SemanticTypeIri</v>
      </c>
      <c r="C2054" s="2" t="s">
        <v>9708</v>
      </c>
      <c r="D2054" s="2" t="s">
        <v>5219</v>
      </c>
      <c r="E2054" s="2" t="b">
        <v>1</v>
      </c>
      <c r="F2054" s="2" t="b">
        <v>0</v>
      </c>
      <c r="G2054" s="2" t="s">
        <v>9937</v>
      </c>
      <c r="H2054" s="3" t="str">
        <f>_xlfn.IFNA(INDEX(RulebookFields!C2:C999, MATCH(D2054,RulebookFields!A2:A999, 0)), "")</f>
      </c>
      <c r="I2054" s="3" t="str">
        <f>_xlfn.IFNA(INDEX(RulebookFields!D2:D999, MATCH(D2054,RulebookFields!A2:A999, 0)), "")</f>
      </c>
      <c r="J2054" s="3" t="str">
        <f>_xlfn.IFNA(INDEX(RulebookFields!I2:I999, MATCH(D2054,RulebookFields!A2:A999, 0)), "")</f>
      </c>
      <c r="K2054" s="3" t="b">
        <f>AND(F2054, J2054)</f>
        <v>0</v>
      </c>
      <c r="L2054" s="3" t="b">
        <f>AND(G2054 &lt;&gt; "plain", G2054 &lt;&gt; "")</f>
        <v>0</v>
      </c>
      <c r="M2054" s="3" t="str">
        <f>IF(E2054, C2054 &amp; "|" &amp; H2054, "")</f>
        <v>principal-knowledge-authority|</v>
      </c>
      <c r="N2054" s="2" t="s">
        <v>9938</v>
      </c>
    </row>
    <row r="2055">
      <c r="A2055" s="2" t="s">
        <v>11991</v>
      </c>
      <c r="B2055" s="3" t="str">
        <f>C2055 &amp; " -&gt; " &amp; D2055</f>
        <v>principal-knowledge-authority -&gt; AppRouteQuestions.AppRouteQuestionId</v>
      </c>
      <c r="C2055" s="2" t="s">
        <v>9708</v>
      </c>
      <c r="D2055" s="2" t="s">
        <v>5268</v>
      </c>
      <c r="E2055" s="2" t="b">
        <v>1</v>
      </c>
      <c r="F2055" s="2" t="b">
        <v>0</v>
      </c>
      <c r="G2055" s="2" t="s">
        <v>9937</v>
      </c>
      <c r="H2055" s="3" t="str">
        <f>_xlfn.IFNA(INDEX(RulebookFields!C2:C999, MATCH(D2055,RulebookFields!A2:A999, 0)), "")</f>
      </c>
      <c r="I2055" s="3" t="str">
        <f>_xlfn.IFNA(INDEX(RulebookFields!D2:D999, MATCH(D2055,RulebookFields!A2:A999, 0)), "")</f>
      </c>
      <c r="J2055" s="3" t="str">
        <f>_xlfn.IFNA(INDEX(RulebookFields!I2:I999, MATCH(D2055,RulebookFields!A2:A999, 0)), "")</f>
      </c>
      <c r="K2055" s="3" t="b">
        <f>AND(F2055, J2055)</f>
        <v>0</v>
      </c>
      <c r="L2055" s="3" t="b">
        <f>AND(G2055 &lt;&gt; "plain", G2055 &lt;&gt; "")</f>
        <v>0</v>
      </c>
      <c r="M2055" s="3" t="str">
        <f>IF(E2055, C2055 &amp; "|" &amp; H2055, "")</f>
        <v>principal-knowledge-authority|</v>
      </c>
      <c r="N2055" s="2" t="s">
        <v>9938</v>
      </c>
    </row>
    <row r="2056">
      <c r="A2056" s="2" t="s">
        <v>11992</v>
      </c>
      <c r="B2056" s="3" t="str">
        <f>C2056 &amp; " -&gt; " &amp; D2056</f>
        <v>principal-knowledge-authority -&gt; AppRouteQuestions.Name</v>
      </c>
      <c r="C2056" s="2" t="s">
        <v>9708</v>
      </c>
      <c r="D2056" s="2" t="s">
        <v>5270</v>
      </c>
      <c r="E2056" s="2" t="b">
        <v>1</v>
      </c>
      <c r="F2056" s="2" t="b">
        <v>0</v>
      </c>
      <c r="G2056" s="2" t="s">
        <v>9937</v>
      </c>
      <c r="H2056" s="3" t="str">
        <f>_xlfn.IFNA(INDEX(RulebookFields!C2:C999, MATCH(D2056,RulebookFields!A2:A999, 0)), "")</f>
      </c>
      <c r="I2056" s="3" t="str">
        <f>_xlfn.IFNA(INDEX(RulebookFields!D2:D999, MATCH(D2056,RulebookFields!A2:A999, 0)), "")</f>
      </c>
      <c r="J2056" s="3" t="str">
        <f>_xlfn.IFNA(INDEX(RulebookFields!I2:I999, MATCH(D2056,RulebookFields!A2:A999, 0)), "")</f>
      </c>
      <c r="K2056" s="3" t="b">
        <f>AND(F2056, J2056)</f>
        <v>0</v>
      </c>
      <c r="L2056" s="3" t="b">
        <f>AND(G2056 &lt;&gt; "plain", G2056 &lt;&gt; "")</f>
        <v>0</v>
      </c>
      <c r="M2056" s="3" t="str">
        <f>IF(E2056, C2056 &amp; "|" &amp; H2056, "")</f>
        <v>principal-knowledge-authority|</v>
      </c>
      <c r="N2056" s="2" t="s">
        <v>9938</v>
      </c>
    </row>
    <row r="2057">
      <c r="A2057" s="2" t="s">
        <v>11993</v>
      </c>
      <c r="B2057" s="3" t="str">
        <f>C2057 &amp; " -&gt; " &amp; D2057</f>
        <v>principal-knowledge-authority -&gt; AppRouteQuestions.Route</v>
      </c>
      <c r="C2057" s="2" t="s">
        <v>9708</v>
      </c>
      <c r="D2057" s="2" t="s">
        <v>5272</v>
      </c>
      <c r="E2057" s="2" t="b">
        <v>1</v>
      </c>
      <c r="F2057" s="2" t="b">
        <v>0</v>
      </c>
      <c r="G2057" s="2" t="s">
        <v>9937</v>
      </c>
      <c r="H2057" s="3" t="str">
        <f>_xlfn.IFNA(INDEX(RulebookFields!C2:C999, MATCH(D2057,RulebookFields!A2:A999, 0)), "")</f>
      </c>
      <c r="I2057" s="3" t="str">
        <f>_xlfn.IFNA(INDEX(RulebookFields!D2:D999, MATCH(D2057,RulebookFields!A2:A999, 0)), "")</f>
      </c>
      <c r="J2057" s="3" t="str">
        <f>_xlfn.IFNA(INDEX(RulebookFields!I2:I999, MATCH(D2057,RulebookFields!A2:A999, 0)), "")</f>
      </c>
      <c r="K2057" s="3" t="b">
        <f>AND(F2057, J2057)</f>
        <v>0</v>
      </c>
      <c r="L2057" s="3" t="b">
        <f>AND(G2057 &lt;&gt; "plain", G2057 &lt;&gt; "")</f>
        <v>0</v>
      </c>
      <c r="M2057" s="3" t="str">
        <f>IF(E2057, C2057 &amp; "|" &amp; H2057, "")</f>
        <v>principal-knowledge-authority|</v>
      </c>
      <c r="N2057" s="2" t="s">
        <v>9938</v>
      </c>
    </row>
    <row r="2058">
      <c r="A2058" s="2" t="s">
        <v>11994</v>
      </c>
      <c r="B2058" s="3" t="str">
        <f>C2058 &amp; " -&gt; " &amp; D2058</f>
        <v>principal-knowledge-authority -&gt; AppRouteQuestions.Question</v>
      </c>
      <c r="C2058" s="2" t="s">
        <v>9708</v>
      </c>
      <c r="D2058" s="2" t="s">
        <v>5274</v>
      </c>
      <c r="E2058" s="2" t="b">
        <v>1</v>
      </c>
      <c r="F2058" s="2" t="b">
        <v>0</v>
      </c>
      <c r="G2058" s="2" t="s">
        <v>9937</v>
      </c>
      <c r="H2058" s="3" t="str">
        <f>_xlfn.IFNA(INDEX(RulebookFields!C2:C999, MATCH(D2058,RulebookFields!A2:A999, 0)), "")</f>
      </c>
      <c r="I2058" s="3" t="str">
        <f>_xlfn.IFNA(INDEX(RulebookFields!D2:D999, MATCH(D2058,RulebookFields!A2:A999, 0)), "")</f>
      </c>
      <c r="J2058" s="3" t="str">
        <f>_xlfn.IFNA(INDEX(RulebookFields!I2:I999, MATCH(D2058,RulebookFields!A2:A999, 0)), "")</f>
      </c>
      <c r="K2058" s="3" t="b">
        <f>AND(F2058, J2058)</f>
        <v>0</v>
      </c>
      <c r="L2058" s="3" t="b">
        <f>AND(G2058 &lt;&gt; "plain", G2058 &lt;&gt; "")</f>
        <v>0</v>
      </c>
      <c r="M2058" s="3" t="str">
        <f>IF(E2058, C2058 &amp; "|" &amp; H2058, "")</f>
        <v>principal-knowledge-authority|</v>
      </c>
      <c r="N2058" s="2" t="s">
        <v>9938</v>
      </c>
    </row>
    <row r="2059">
      <c r="A2059" s="2" t="s">
        <v>11995</v>
      </c>
      <c r="B2059" s="3" t="str">
        <f>C2059 &amp; " -&gt; " &amp; D2059</f>
        <v>principal-knowledge-authority -&gt; AppRouteQuestions.SemanticTypeIri</v>
      </c>
      <c r="C2059" s="2" t="s">
        <v>9708</v>
      </c>
      <c r="D2059" s="2" t="s">
        <v>5275</v>
      </c>
      <c r="E2059" s="2" t="b">
        <v>1</v>
      </c>
      <c r="F2059" s="2" t="b">
        <v>0</v>
      </c>
      <c r="G2059" s="2" t="s">
        <v>9937</v>
      </c>
      <c r="H2059" s="3" t="str">
        <f>_xlfn.IFNA(INDEX(RulebookFields!C2:C999, MATCH(D2059,RulebookFields!A2:A999, 0)), "")</f>
      </c>
      <c r="I2059" s="3" t="str">
        <f>_xlfn.IFNA(INDEX(RulebookFields!D2:D999, MATCH(D2059,RulebookFields!A2:A999, 0)), "")</f>
      </c>
      <c r="J2059" s="3" t="str">
        <f>_xlfn.IFNA(INDEX(RulebookFields!I2:I999, MATCH(D2059,RulebookFields!A2:A999, 0)), "")</f>
      </c>
      <c r="K2059" s="3" t="b">
        <f>AND(F2059, J2059)</f>
        <v>0</v>
      </c>
      <c r="L2059" s="3" t="b">
        <f>AND(G2059 &lt;&gt; "plain", G2059 &lt;&gt; "")</f>
        <v>0</v>
      </c>
      <c r="M2059" s="3" t="str">
        <f>IF(E2059, C2059 &amp; "|" &amp; H2059, "")</f>
        <v>principal-knowledge-authority|</v>
      </c>
      <c r="N2059" s="2" t="s">
        <v>9938</v>
      </c>
    </row>
    <row r="2060">
      <c r="A2060" s="2" t="s">
        <v>11996</v>
      </c>
      <c r="B2060" s="3" t="str">
        <f>C2060 &amp; " -&gt; " &amp; D2060</f>
        <v>principal-knowledge-authority -&gt; AppRouteReferences.AppRouteReferenceId</v>
      </c>
      <c r="C2060" s="2" t="s">
        <v>9708</v>
      </c>
      <c r="D2060" s="2" t="s">
        <v>5276</v>
      </c>
      <c r="E2060" s="2" t="b">
        <v>1</v>
      </c>
      <c r="F2060" s="2" t="b">
        <v>0</v>
      </c>
      <c r="G2060" s="2" t="s">
        <v>9937</v>
      </c>
      <c r="H2060" s="3" t="str">
        <f>_xlfn.IFNA(INDEX(RulebookFields!C2:C999, MATCH(D2060,RulebookFields!A2:A999, 0)), "")</f>
      </c>
      <c r="I2060" s="3" t="str">
        <f>_xlfn.IFNA(INDEX(RulebookFields!D2:D999, MATCH(D2060,RulebookFields!A2:A999, 0)), "")</f>
      </c>
      <c r="J2060" s="3" t="str">
        <f>_xlfn.IFNA(INDEX(RulebookFields!I2:I999, MATCH(D2060,RulebookFields!A2:A999, 0)), "")</f>
      </c>
      <c r="K2060" s="3" t="b">
        <f>AND(F2060, J2060)</f>
        <v>0</v>
      </c>
      <c r="L2060" s="3" t="b">
        <f>AND(G2060 &lt;&gt; "plain", G2060 &lt;&gt; "")</f>
        <v>0</v>
      </c>
      <c r="M2060" s="3" t="str">
        <f>IF(E2060, C2060 &amp; "|" &amp; H2060, "")</f>
        <v>principal-knowledge-authority|</v>
      </c>
      <c r="N2060" s="2" t="s">
        <v>9938</v>
      </c>
    </row>
    <row r="2061">
      <c r="A2061" s="2" t="s">
        <v>11997</v>
      </c>
      <c r="B2061" s="3" t="str">
        <f>C2061 &amp; " -&gt; " &amp; D2061</f>
        <v>principal-knowledge-authority -&gt; AppRouteReferences.Name</v>
      </c>
      <c r="C2061" s="2" t="s">
        <v>9708</v>
      </c>
      <c r="D2061" s="2" t="s">
        <v>5278</v>
      </c>
      <c r="E2061" s="2" t="b">
        <v>1</v>
      </c>
      <c r="F2061" s="2" t="b">
        <v>0</v>
      </c>
      <c r="G2061" s="2" t="s">
        <v>9937</v>
      </c>
      <c r="H2061" s="3" t="str">
        <f>_xlfn.IFNA(INDEX(RulebookFields!C2:C999, MATCH(D2061,RulebookFields!A2:A999, 0)), "")</f>
      </c>
      <c r="I2061" s="3" t="str">
        <f>_xlfn.IFNA(INDEX(RulebookFields!D2:D999, MATCH(D2061,RulebookFields!A2:A999, 0)), "")</f>
      </c>
      <c r="J2061" s="3" t="str">
        <f>_xlfn.IFNA(INDEX(RulebookFields!I2:I999, MATCH(D2061,RulebookFields!A2:A999, 0)), "")</f>
      </c>
      <c r="K2061" s="3" t="b">
        <f>AND(F2061, J2061)</f>
        <v>0</v>
      </c>
      <c r="L2061" s="3" t="b">
        <f>AND(G2061 &lt;&gt; "plain", G2061 &lt;&gt; "")</f>
        <v>0</v>
      </c>
      <c r="M2061" s="3" t="str">
        <f>IF(E2061, C2061 &amp; "|" &amp; H2061, "")</f>
        <v>principal-knowledge-authority|</v>
      </c>
      <c r="N2061" s="2" t="s">
        <v>9938</v>
      </c>
    </row>
    <row r="2062">
      <c r="A2062" s="2" t="s">
        <v>11998</v>
      </c>
      <c r="B2062" s="3" t="str">
        <f>C2062 &amp; " -&gt; " &amp; D2062</f>
        <v>principal-knowledge-authority -&gt; AppRouteReferences.FromRoute</v>
      </c>
      <c r="C2062" s="2" t="s">
        <v>9708</v>
      </c>
      <c r="D2062" s="2" t="s">
        <v>5280</v>
      </c>
      <c r="E2062" s="2" t="b">
        <v>1</v>
      </c>
      <c r="F2062" s="2" t="b">
        <v>0</v>
      </c>
      <c r="G2062" s="2" t="s">
        <v>9937</v>
      </c>
      <c r="H2062" s="3" t="str">
        <f>_xlfn.IFNA(INDEX(RulebookFields!C2:C999, MATCH(D2062,RulebookFields!A2:A999, 0)), "")</f>
      </c>
      <c r="I2062" s="3" t="str">
        <f>_xlfn.IFNA(INDEX(RulebookFields!D2:D999, MATCH(D2062,RulebookFields!A2:A999, 0)), "")</f>
      </c>
      <c r="J2062" s="3" t="str">
        <f>_xlfn.IFNA(INDEX(RulebookFields!I2:I999, MATCH(D2062,RulebookFields!A2:A999, 0)), "")</f>
      </c>
      <c r="K2062" s="3" t="b">
        <f>AND(F2062, J2062)</f>
        <v>0</v>
      </c>
      <c r="L2062" s="3" t="b">
        <f>AND(G2062 &lt;&gt; "plain", G2062 &lt;&gt; "")</f>
        <v>0</v>
      </c>
      <c r="M2062" s="3" t="str">
        <f>IF(E2062, C2062 &amp; "|" &amp; H2062, "")</f>
        <v>principal-knowledge-authority|</v>
      </c>
      <c r="N2062" s="2" t="s">
        <v>9938</v>
      </c>
    </row>
    <row r="2063">
      <c r="A2063" s="2" t="s">
        <v>11999</v>
      </c>
      <c r="B2063" s="3" t="str">
        <f>C2063 &amp; " -&gt; " &amp; D2063</f>
        <v>principal-knowledge-authority -&gt; AppRouteReferences.ToRoute</v>
      </c>
      <c r="C2063" s="2" t="s">
        <v>9708</v>
      </c>
      <c r="D2063" s="2" t="s">
        <v>5282</v>
      </c>
      <c r="E2063" s="2" t="b">
        <v>1</v>
      </c>
      <c r="F2063" s="2" t="b">
        <v>0</v>
      </c>
      <c r="G2063" s="2" t="s">
        <v>9937</v>
      </c>
      <c r="H2063" s="3" t="str">
        <f>_xlfn.IFNA(INDEX(RulebookFields!C2:C999, MATCH(D2063,RulebookFields!A2:A999, 0)), "")</f>
      </c>
      <c r="I2063" s="3" t="str">
        <f>_xlfn.IFNA(INDEX(RulebookFields!D2:D999, MATCH(D2063,RulebookFields!A2:A999, 0)), "")</f>
      </c>
      <c r="J2063" s="3" t="str">
        <f>_xlfn.IFNA(INDEX(RulebookFields!I2:I999, MATCH(D2063,RulebookFields!A2:A999, 0)), "")</f>
      </c>
      <c r="K2063" s="3" t="b">
        <f>AND(F2063, J2063)</f>
        <v>0</v>
      </c>
      <c r="L2063" s="3" t="b">
        <f>AND(G2063 &lt;&gt; "plain", G2063 &lt;&gt; "")</f>
        <v>0</v>
      </c>
      <c r="M2063" s="3" t="str">
        <f>IF(E2063, C2063 &amp; "|" &amp; H2063, "")</f>
        <v>principal-knowledge-authority|</v>
      </c>
      <c r="N2063" s="2" t="s">
        <v>9938</v>
      </c>
    </row>
    <row r="2064">
      <c r="A2064" s="2" t="s">
        <v>12000</v>
      </c>
      <c r="B2064" s="3" t="str">
        <f>C2064 &amp; " -&gt; " &amp; D2064</f>
        <v>principal-knowledge-authority -&gt; AppRouteReferences.SemanticTypeIri</v>
      </c>
      <c r="C2064" s="2" t="s">
        <v>9708</v>
      </c>
      <c r="D2064" s="2" t="s">
        <v>5284</v>
      </c>
      <c r="E2064" s="2" t="b">
        <v>1</v>
      </c>
      <c r="F2064" s="2" t="b">
        <v>0</v>
      </c>
      <c r="G2064" s="2" t="s">
        <v>9937</v>
      </c>
      <c r="H2064" s="3" t="str">
        <f>_xlfn.IFNA(INDEX(RulebookFields!C2:C999, MATCH(D2064,RulebookFields!A2:A999, 0)), "")</f>
      </c>
      <c r="I2064" s="3" t="str">
        <f>_xlfn.IFNA(INDEX(RulebookFields!D2:D999, MATCH(D2064,RulebookFields!A2:A999, 0)), "")</f>
      </c>
      <c r="J2064" s="3" t="str">
        <f>_xlfn.IFNA(INDEX(RulebookFields!I2:I999, MATCH(D2064,RulebookFields!A2:A999, 0)), "")</f>
      </c>
      <c r="K2064" s="3" t="b">
        <f>AND(F2064, J2064)</f>
        <v>0</v>
      </c>
      <c r="L2064" s="3" t="b">
        <f>AND(G2064 &lt;&gt; "plain", G2064 &lt;&gt; "")</f>
        <v>0</v>
      </c>
      <c r="M2064" s="3" t="str">
        <f>IF(E2064, C2064 &amp; "|" &amp; H2064, "")</f>
        <v>principal-knowledge-authority|</v>
      </c>
      <c r="N2064" s="2" t="s">
        <v>9938</v>
      </c>
    </row>
    <row r="2065">
      <c r="A2065" s="2" t="s">
        <v>12001</v>
      </c>
      <c r="B2065" s="3" t="str">
        <f>C2065 &amp; " -&gt; " &amp; D2065</f>
        <v>principal-knowledge-authority -&gt; AppRoutes.AppRouteId</v>
      </c>
      <c r="C2065" s="2" t="s">
        <v>9708</v>
      </c>
      <c r="D2065" s="2" t="s">
        <v>5229</v>
      </c>
      <c r="E2065" s="2" t="b">
        <v>1</v>
      </c>
      <c r="F2065" s="2" t="b">
        <v>0</v>
      </c>
      <c r="G2065" s="2" t="s">
        <v>9937</v>
      </c>
      <c r="H2065" s="3" t="str">
        <f>_xlfn.IFNA(INDEX(RulebookFields!C2:C999, MATCH(D2065,RulebookFields!A2:A999, 0)), "")</f>
      </c>
      <c r="I2065" s="3" t="str">
        <f>_xlfn.IFNA(INDEX(RulebookFields!D2:D999, MATCH(D2065,RulebookFields!A2:A999, 0)), "")</f>
      </c>
      <c r="J2065" s="3" t="str">
        <f>_xlfn.IFNA(INDEX(RulebookFields!I2:I999, MATCH(D2065,RulebookFields!A2:A999, 0)), "")</f>
      </c>
      <c r="K2065" s="3" t="b">
        <f>AND(F2065, J2065)</f>
        <v>0</v>
      </c>
      <c r="L2065" s="3" t="b">
        <f>AND(G2065 &lt;&gt; "plain", G2065 &lt;&gt; "")</f>
        <v>0</v>
      </c>
      <c r="M2065" s="3" t="str">
        <f>IF(E2065, C2065 &amp; "|" &amp; H2065, "")</f>
        <v>principal-knowledge-authority|</v>
      </c>
      <c r="N2065" s="2" t="s">
        <v>9938</v>
      </c>
    </row>
    <row r="2066">
      <c r="A2066" s="2" t="s">
        <v>12002</v>
      </c>
      <c r="B2066" s="3" t="str">
        <f>C2066 &amp; " -&gt; " &amp; D2066</f>
        <v>principal-knowledge-authority -&gt; AppRoutes.Name</v>
      </c>
      <c r="C2066" s="2" t="s">
        <v>9708</v>
      </c>
      <c r="D2066" s="2" t="s">
        <v>5231</v>
      </c>
      <c r="E2066" s="2" t="b">
        <v>1</v>
      </c>
      <c r="F2066" s="2" t="b">
        <v>0</v>
      </c>
      <c r="G2066" s="2" t="s">
        <v>9937</v>
      </c>
      <c r="H2066" s="3" t="str">
        <f>_xlfn.IFNA(INDEX(RulebookFields!C2:C999, MATCH(D2066,RulebookFields!A2:A999, 0)), "")</f>
      </c>
      <c r="I2066" s="3" t="str">
        <f>_xlfn.IFNA(INDEX(RulebookFields!D2:D999, MATCH(D2066,RulebookFields!A2:A999, 0)), "")</f>
      </c>
      <c r="J2066" s="3" t="str">
        <f>_xlfn.IFNA(INDEX(RulebookFields!I2:I999, MATCH(D2066,RulebookFields!A2:A999, 0)), "")</f>
      </c>
      <c r="K2066" s="3" t="b">
        <f>AND(F2066, J2066)</f>
        <v>0</v>
      </c>
      <c r="L2066" s="3" t="b">
        <f>AND(G2066 &lt;&gt; "plain", G2066 &lt;&gt; "")</f>
        <v>0</v>
      </c>
      <c r="M2066" s="3" t="str">
        <f>IF(E2066, C2066 &amp; "|" &amp; H2066, "")</f>
        <v>principal-knowledge-authority|</v>
      </c>
      <c r="N2066" s="2" t="s">
        <v>9938</v>
      </c>
    </row>
    <row r="2067">
      <c r="A2067" s="2" t="s">
        <v>12003</v>
      </c>
      <c r="B2067" s="3" t="str">
        <f>C2067 &amp; " -&gt; " &amp; D2067</f>
        <v>principal-knowledge-authority -&gt; AppRoutes.RoutePath</v>
      </c>
      <c r="C2067" s="2" t="s">
        <v>9708</v>
      </c>
      <c r="D2067" s="2" t="s">
        <v>5233</v>
      </c>
      <c r="E2067" s="2" t="b">
        <v>1</v>
      </c>
      <c r="F2067" s="2" t="b">
        <v>0</v>
      </c>
      <c r="G2067" s="2" t="s">
        <v>9937</v>
      </c>
      <c r="H2067" s="3" t="str">
        <f>_xlfn.IFNA(INDEX(RulebookFields!C2:C999, MATCH(D2067,RulebookFields!A2:A999, 0)), "")</f>
      </c>
      <c r="I2067" s="3" t="str">
        <f>_xlfn.IFNA(INDEX(RulebookFields!D2:D999, MATCH(D2067,RulebookFields!A2:A999, 0)), "")</f>
      </c>
      <c r="J2067" s="3" t="str">
        <f>_xlfn.IFNA(INDEX(RulebookFields!I2:I999, MATCH(D2067,RulebookFields!A2:A999, 0)), "")</f>
      </c>
      <c r="K2067" s="3" t="b">
        <f>AND(F2067, J2067)</f>
        <v>0</v>
      </c>
      <c r="L2067" s="3" t="b">
        <f>AND(G2067 &lt;&gt; "plain", G2067 &lt;&gt; "")</f>
        <v>0</v>
      </c>
      <c r="M2067" s="3" t="str">
        <f>IF(E2067, C2067 &amp; "|" &amp; H2067, "")</f>
        <v>principal-knowledge-authority|</v>
      </c>
      <c r="N2067" s="2" t="s">
        <v>9938</v>
      </c>
    </row>
    <row r="2068">
      <c r="A2068" s="2" t="s">
        <v>12004</v>
      </c>
      <c r="B2068" s="3" t="str">
        <f>C2068 &amp; " -&gt; " &amp; D2068</f>
        <v>principal-knowledge-authority -&gt; AppRoutes.RouteName</v>
      </c>
      <c r="C2068" s="2" t="s">
        <v>9708</v>
      </c>
      <c r="D2068" s="2" t="s">
        <v>5235</v>
      </c>
      <c r="E2068" s="2" t="b">
        <v>1</v>
      </c>
      <c r="F2068" s="2" t="b">
        <v>0</v>
      </c>
      <c r="G2068" s="2" t="s">
        <v>9937</v>
      </c>
      <c r="H2068" s="3" t="str">
        <f>_xlfn.IFNA(INDEX(RulebookFields!C2:C999, MATCH(D2068,RulebookFields!A2:A999, 0)), "")</f>
      </c>
      <c r="I2068" s="3" t="str">
        <f>_xlfn.IFNA(INDEX(RulebookFields!D2:D999, MATCH(D2068,RulebookFields!A2:A999, 0)), "")</f>
      </c>
      <c r="J2068" s="3" t="str">
        <f>_xlfn.IFNA(INDEX(RulebookFields!I2:I999, MATCH(D2068,RulebookFields!A2:A999, 0)), "")</f>
      </c>
      <c r="K2068" s="3" t="b">
        <f>AND(F2068, J2068)</f>
        <v>0</v>
      </c>
      <c r="L2068" s="3" t="b">
        <f>AND(G2068 &lt;&gt; "plain", G2068 &lt;&gt; "")</f>
        <v>0</v>
      </c>
      <c r="M2068" s="3" t="str">
        <f>IF(E2068, C2068 &amp; "|" &amp; H2068, "")</f>
        <v>principal-knowledge-authority|</v>
      </c>
      <c r="N2068" s="2" t="s">
        <v>9938</v>
      </c>
    </row>
    <row r="2069">
      <c r="A2069" s="2" t="s">
        <v>12005</v>
      </c>
      <c r="B2069" s="3" t="str">
        <f>C2069 &amp; " -&gt; " &amp; D2069</f>
        <v>principal-knowledge-authority -&gt; AppRoutes.Surface</v>
      </c>
      <c r="C2069" s="2" t="s">
        <v>9708</v>
      </c>
      <c r="D2069" s="2" t="s">
        <v>5237</v>
      </c>
      <c r="E2069" s="2" t="b">
        <v>1</v>
      </c>
      <c r="F2069" s="2" t="b">
        <v>0</v>
      </c>
      <c r="G2069" s="2" t="s">
        <v>9937</v>
      </c>
      <c r="H2069" s="3" t="str">
        <f>_xlfn.IFNA(INDEX(RulebookFields!C2:C999, MATCH(D2069,RulebookFields!A2:A999, 0)), "")</f>
      </c>
      <c r="I2069" s="3" t="str">
        <f>_xlfn.IFNA(INDEX(RulebookFields!D2:D999, MATCH(D2069,RulebookFields!A2:A999, 0)), "")</f>
      </c>
      <c r="J2069" s="3" t="str">
        <f>_xlfn.IFNA(INDEX(RulebookFields!I2:I999, MATCH(D2069,RulebookFields!A2:A999, 0)), "")</f>
      </c>
      <c r="K2069" s="3" t="b">
        <f>AND(F2069, J2069)</f>
        <v>0</v>
      </c>
      <c r="L2069" s="3" t="b">
        <f>AND(G2069 &lt;&gt; "plain", G2069 &lt;&gt; "")</f>
        <v>0</v>
      </c>
      <c r="M2069" s="3" t="str">
        <f>IF(E2069, C2069 &amp; "|" &amp; H2069, "")</f>
        <v>principal-knowledge-authority|</v>
      </c>
      <c r="N2069" s="2" t="s">
        <v>9938</v>
      </c>
    </row>
    <row r="2070">
      <c r="A2070" s="2" t="s">
        <v>12006</v>
      </c>
      <c r="B2070" s="3" t="str">
        <f>C2070 &amp; " -&gt; " &amp; D2070</f>
        <v>principal-knowledge-authority -&gt; AppRoutes.OwningRole</v>
      </c>
      <c r="C2070" s="2" t="s">
        <v>9708</v>
      </c>
      <c r="D2070" s="2" t="s">
        <v>5239</v>
      </c>
      <c r="E2070" s="2" t="b">
        <v>1</v>
      </c>
      <c r="F2070" s="2" t="b">
        <v>0</v>
      </c>
      <c r="G2070" s="2" t="s">
        <v>9937</v>
      </c>
      <c r="H2070" s="3" t="str">
        <f>_xlfn.IFNA(INDEX(RulebookFields!C2:C999, MATCH(D2070,RulebookFields!A2:A999, 0)), "")</f>
      </c>
      <c r="I2070" s="3" t="str">
        <f>_xlfn.IFNA(INDEX(RulebookFields!D2:D999, MATCH(D2070,RulebookFields!A2:A999, 0)), "")</f>
      </c>
      <c r="J2070" s="3" t="str">
        <f>_xlfn.IFNA(INDEX(RulebookFields!I2:I999, MATCH(D2070,RulebookFields!A2:A999, 0)), "")</f>
      </c>
      <c r="K2070" s="3" t="b">
        <f>AND(F2070, J2070)</f>
        <v>0</v>
      </c>
      <c r="L2070" s="3" t="b">
        <f>AND(G2070 &lt;&gt; "plain", G2070 &lt;&gt; "")</f>
        <v>0</v>
      </c>
      <c r="M2070" s="3" t="str">
        <f>IF(E2070, C2070 &amp; "|" &amp; H2070, "")</f>
        <v>principal-knowledge-authority|</v>
      </c>
      <c r="N2070" s="2" t="s">
        <v>9938</v>
      </c>
    </row>
    <row r="2071">
      <c r="A2071" s="2" t="s">
        <v>12007</v>
      </c>
      <c r="B2071" s="3" t="str">
        <f>C2071 &amp; " -&gt; " &amp; D2071</f>
        <v>principal-knowledge-authority -&gt; AppRoutes.NavGroup</v>
      </c>
      <c r="C2071" s="2" t="s">
        <v>9708</v>
      </c>
      <c r="D2071" s="2" t="s">
        <v>5241</v>
      </c>
      <c r="E2071" s="2" t="b">
        <v>1</v>
      </c>
      <c r="F2071" s="2" t="b">
        <v>0</v>
      </c>
      <c r="G2071" s="2" t="s">
        <v>9937</v>
      </c>
      <c r="H2071" s="3" t="str">
        <f>_xlfn.IFNA(INDEX(RulebookFields!C2:C999, MATCH(D2071,RulebookFields!A2:A999, 0)), "")</f>
      </c>
      <c r="I2071" s="3" t="str">
        <f>_xlfn.IFNA(INDEX(RulebookFields!D2:D999, MATCH(D2071,RulebookFields!A2:A999, 0)), "")</f>
      </c>
      <c r="J2071" s="3" t="str">
        <f>_xlfn.IFNA(INDEX(RulebookFields!I2:I999, MATCH(D2071,RulebookFields!A2:A999, 0)), "")</f>
      </c>
      <c r="K2071" s="3" t="b">
        <f>AND(F2071, J2071)</f>
        <v>0</v>
      </c>
      <c r="L2071" s="3" t="b">
        <f>AND(G2071 &lt;&gt; "plain", G2071 &lt;&gt; "")</f>
        <v>0</v>
      </c>
      <c r="M2071" s="3" t="str">
        <f>IF(E2071, C2071 &amp; "|" &amp; H2071, "")</f>
        <v>principal-knowledge-authority|</v>
      </c>
      <c r="N2071" s="2" t="s">
        <v>9938</v>
      </c>
    </row>
    <row r="2072">
      <c r="A2072" s="2" t="s">
        <v>12008</v>
      </c>
      <c r="B2072" s="3" t="str">
        <f>C2072 &amp; " -&gt; " &amp; D2072</f>
        <v>principal-knowledge-authority -&gt; AppRoutes.NavOrder</v>
      </c>
      <c r="C2072" s="2" t="s">
        <v>9708</v>
      </c>
      <c r="D2072" s="2" t="s">
        <v>5243</v>
      </c>
      <c r="E2072" s="2" t="b">
        <v>1</v>
      </c>
      <c r="F2072" s="2" t="b">
        <v>0</v>
      </c>
      <c r="G2072" s="2" t="s">
        <v>9937</v>
      </c>
      <c r="H2072" s="3" t="str">
        <f>_xlfn.IFNA(INDEX(RulebookFields!C2:C999, MATCH(D2072,RulebookFields!A2:A999, 0)), "")</f>
      </c>
      <c r="I2072" s="3" t="str">
        <f>_xlfn.IFNA(INDEX(RulebookFields!D2:D999, MATCH(D2072,RulebookFields!A2:A999, 0)), "")</f>
      </c>
      <c r="J2072" s="3" t="str">
        <f>_xlfn.IFNA(INDEX(RulebookFields!I2:I999, MATCH(D2072,RulebookFields!A2:A999, 0)), "")</f>
      </c>
      <c r="K2072" s="3" t="b">
        <f>AND(F2072, J2072)</f>
        <v>0</v>
      </c>
      <c r="L2072" s="3" t="b">
        <f>AND(G2072 &lt;&gt; "plain", G2072 &lt;&gt; "")</f>
        <v>0</v>
      </c>
      <c r="M2072" s="3" t="str">
        <f>IF(E2072, C2072 &amp; "|" &amp; H2072, "")</f>
        <v>principal-knowledge-authority|</v>
      </c>
      <c r="N2072" s="2" t="s">
        <v>9938</v>
      </c>
    </row>
    <row r="2073">
      <c r="A2073" s="2" t="s">
        <v>12009</v>
      </c>
      <c r="B2073" s="3" t="str">
        <f>C2073 &amp; " -&gt; " &amp; D2073</f>
        <v>principal-knowledge-authority -&gt; AppRoutes.RouteKind</v>
      </c>
      <c r="C2073" s="2" t="s">
        <v>9708</v>
      </c>
      <c r="D2073" s="2" t="s">
        <v>5245</v>
      </c>
      <c r="E2073" s="2" t="b">
        <v>1</v>
      </c>
      <c r="F2073" s="2" t="b">
        <v>0</v>
      </c>
      <c r="G2073" s="2" t="s">
        <v>9937</v>
      </c>
      <c r="H2073" s="3" t="str">
        <f>_xlfn.IFNA(INDEX(RulebookFields!C2:C999, MATCH(D2073,RulebookFields!A2:A999, 0)), "")</f>
      </c>
      <c r="I2073" s="3" t="str">
        <f>_xlfn.IFNA(INDEX(RulebookFields!D2:D999, MATCH(D2073,RulebookFields!A2:A999, 0)), "")</f>
      </c>
      <c r="J2073" s="3" t="str">
        <f>_xlfn.IFNA(INDEX(RulebookFields!I2:I999, MATCH(D2073,RulebookFields!A2:A999, 0)), "")</f>
      </c>
      <c r="K2073" s="3" t="b">
        <f>AND(F2073, J2073)</f>
        <v>0</v>
      </c>
      <c r="L2073" s="3" t="b">
        <f>AND(G2073 &lt;&gt; "plain", G2073 &lt;&gt; "")</f>
        <v>0</v>
      </c>
      <c r="M2073" s="3" t="str">
        <f>IF(E2073, C2073 &amp; "|" &amp; H2073, "")</f>
        <v>principal-knowledge-authority|</v>
      </c>
      <c r="N2073" s="2" t="s">
        <v>9938</v>
      </c>
    </row>
    <row r="2074">
      <c r="A2074" s="2" t="s">
        <v>12010</v>
      </c>
      <c r="B2074" s="3" t="str">
        <f>C2074 &amp; " -&gt; " &amp; D2074</f>
        <v>principal-knowledge-authority -&gt; AppRoutes.Purpose</v>
      </c>
      <c r="C2074" s="2" t="s">
        <v>9708</v>
      </c>
      <c r="D2074" s="2" t="s">
        <v>5247</v>
      </c>
      <c r="E2074" s="2" t="b">
        <v>1</v>
      </c>
      <c r="F2074" s="2" t="b">
        <v>0</v>
      </c>
      <c r="G2074" s="2" t="s">
        <v>9937</v>
      </c>
      <c r="H2074" s="3" t="str">
        <f>_xlfn.IFNA(INDEX(RulebookFields!C2:C999, MATCH(D2074,RulebookFields!A2:A999, 0)), "")</f>
      </c>
      <c r="I2074" s="3" t="str">
        <f>_xlfn.IFNA(INDEX(RulebookFields!D2:D999, MATCH(D2074,RulebookFields!A2:A999, 0)), "")</f>
      </c>
      <c r="J2074" s="3" t="str">
        <f>_xlfn.IFNA(INDEX(RulebookFields!I2:I999, MATCH(D2074,RulebookFields!A2:A999, 0)), "")</f>
      </c>
      <c r="K2074" s="3" t="b">
        <f>AND(F2074, J2074)</f>
        <v>0</v>
      </c>
      <c r="L2074" s="3" t="b">
        <f>AND(G2074 &lt;&gt; "plain", G2074 &lt;&gt; "")</f>
        <v>0</v>
      </c>
      <c r="M2074" s="3" t="str">
        <f>IF(E2074, C2074 &amp; "|" &amp; H2074, "")</f>
        <v>principal-knowledge-authority|</v>
      </c>
      <c r="N2074" s="2" t="s">
        <v>9938</v>
      </c>
    </row>
    <row r="2075">
      <c r="A2075" s="2" t="s">
        <v>12011</v>
      </c>
      <c r="B2075" s="3" t="str">
        <f>C2075 &amp; " -&gt; " &amp; D2075</f>
        <v>principal-knowledge-authority -&gt; AppRoutes.LayoutHints</v>
      </c>
      <c r="C2075" s="2" t="s">
        <v>9708</v>
      </c>
      <c r="D2075" s="2" t="s">
        <v>5248</v>
      </c>
      <c r="E2075" s="2" t="b">
        <v>1</v>
      </c>
      <c r="F2075" s="2" t="b">
        <v>0</v>
      </c>
      <c r="G2075" s="2" t="s">
        <v>9937</v>
      </c>
      <c r="H2075" s="3" t="str">
        <f>_xlfn.IFNA(INDEX(RulebookFields!C2:C999, MATCH(D2075,RulebookFields!A2:A999, 0)), "")</f>
      </c>
      <c r="I2075" s="3" t="str">
        <f>_xlfn.IFNA(INDEX(RulebookFields!D2:D999, MATCH(D2075,RulebookFields!A2:A999, 0)), "")</f>
      </c>
      <c r="J2075" s="3" t="str">
        <f>_xlfn.IFNA(INDEX(RulebookFields!I2:I999, MATCH(D2075,RulebookFields!A2:A999, 0)), "")</f>
      </c>
      <c r="K2075" s="3" t="b">
        <f>AND(F2075, J2075)</f>
        <v>0</v>
      </c>
      <c r="L2075" s="3" t="b">
        <f>AND(G2075 &lt;&gt; "plain", G2075 &lt;&gt; "")</f>
        <v>0</v>
      </c>
      <c r="M2075" s="3" t="str">
        <f>IF(E2075, C2075 &amp; "|" &amp; H2075, "")</f>
        <v>principal-knowledge-authority|</v>
      </c>
      <c r="N2075" s="2" t="s">
        <v>9938</v>
      </c>
    </row>
    <row r="2076">
      <c r="A2076" s="2" t="s">
        <v>12012</v>
      </c>
      <c r="B2076" s="3" t="str">
        <f>C2076 &amp; " -&gt; " &amp; D2076</f>
        <v>principal-knowledge-authority -&gt; AppRoutes.IsInNav</v>
      </c>
      <c r="C2076" s="2" t="s">
        <v>9708</v>
      </c>
      <c r="D2076" s="2" t="s">
        <v>5250</v>
      </c>
      <c r="E2076" s="2" t="b">
        <v>1</v>
      </c>
      <c r="F2076" s="2" t="b">
        <v>0</v>
      </c>
      <c r="G2076" s="2" t="s">
        <v>9937</v>
      </c>
      <c r="H2076" s="3" t="str">
        <f>_xlfn.IFNA(INDEX(RulebookFields!C2:C999, MATCH(D2076,RulebookFields!A2:A999, 0)), "")</f>
      </c>
      <c r="I2076" s="3" t="str">
        <f>_xlfn.IFNA(INDEX(RulebookFields!D2:D999, MATCH(D2076,RulebookFields!A2:A999, 0)), "")</f>
      </c>
      <c r="J2076" s="3" t="str">
        <f>_xlfn.IFNA(INDEX(RulebookFields!I2:I999, MATCH(D2076,RulebookFields!A2:A999, 0)), "")</f>
      </c>
      <c r="K2076" s="3" t="b">
        <f>AND(F2076, J2076)</f>
        <v>0</v>
      </c>
      <c r="L2076" s="3" t="b">
        <f>AND(G2076 &lt;&gt; "plain", G2076 &lt;&gt; "")</f>
        <v>0</v>
      </c>
      <c r="M2076" s="3" t="str">
        <f>IF(E2076, C2076 &amp; "|" &amp; H2076, "")</f>
        <v>principal-knowledge-authority|</v>
      </c>
      <c r="N2076" s="2" t="s">
        <v>9938</v>
      </c>
    </row>
    <row r="2077">
      <c r="A2077" s="2" t="s">
        <v>12013</v>
      </c>
      <c r="B2077" s="3" t="str">
        <f>C2077 &amp; " -&gt; " &amp; D2077</f>
        <v>principal-knowledge-authority -&gt; AppRoutes.IsShared</v>
      </c>
      <c r="C2077" s="2" t="s">
        <v>9708</v>
      </c>
      <c r="D2077" s="2" t="s">
        <v>5253</v>
      </c>
      <c r="E2077" s="2" t="b">
        <v>1</v>
      </c>
      <c r="F2077" s="2" t="b">
        <v>0</v>
      </c>
      <c r="G2077" s="2" t="s">
        <v>9937</v>
      </c>
      <c r="H2077" s="3" t="str">
        <f>_xlfn.IFNA(INDEX(RulebookFields!C2:C999, MATCH(D2077,RulebookFields!A2:A999, 0)), "")</f>
      </c>
      <c r="I2077" s="3" t="str">
        <f>_xlfn.IFNA(INDEX(RulebookFields!D2:D999, MATCH(D2077,RulebookFields!A2:A999, 0)), "")</f>
      </c>
      <c r="J2077" s="3" t="str">
        <f>_xlfn.IFNA(INDEX(RulebookFields!I2:I999, MATCH(D2077,RulebookFields!A2:A999, 0)), "")</f>
      </c>
      <c r="K2077" s="3" t="b">
        <f>AND(F2077, J2077)</f>
        <v>0</v>
      </c>
      <c r="L2077" s="3" t="b">
        <f>AND(G2077 &lt;&gt; "plain", G2077 &lt;&gt; "")</f>
        <v>0</v>
      </c>
      <c r="M2077" s="3" t="str">
        <f>IF(E2077, C2077 &amp; "|" &amp; H2077, "")</f>
        <v>principal-knowledge-authority|</v>
      </c>
      <c r="N2077" s="2" t="s">
        <v>9938</v>
      </c>
    </row>
    <row r="2078">
      <c r="A2078" s="2" t="s">
        <v>12014</v>
      </c>
      <c r="B2078" s="3" t="str">
        <f>C2078 &amp; " -&gt; " &amp; D2078</f>
        <v>principal-knowledge-authority -&gt; AppRoutes.IsMaintainer</v>
      </c>
      <c r="C2078" s="2" t="s">
        <v>9708</v>
      </c>
      <c r="D2078" s="2" t="s">
        <v>5256</v>
      </c>
      <c r="E2078" s="2" t="b">
        <v>1</v>
      </c>
      <c r="F2078" s="2" t="b">
        <v>0</v>
      </c>
      <c r="G2078" s="2" t="s">
        <v>9937</v>
      </c>
      <c r="H2078" s="3" t="str">
        <f>_xlfn.IFNA(INDEX(RulebookFields!C2:C999, MATCH(D2078,RulebookFields!A2:A999, 0)), "")</f>
      </c>
      <c r="I2078" s="3" t="str">
        <f>_xlfn.IFNA(INDEX(RulebookFields!D2:D999, MATCH(D2078,RulebookFields!A2:A999, 0)), "")</f>
      </c>
      <c r="J2078" s="3" t="str">
        <f>_xlfn.IFNA(INDEX(RulebookFields!I2:I999, MATCH(D2078,RulebookFields!A2:A999, 0)), "")</f>
      </c>
      <c r="K2078" s="3" t="b">
        <f>AND(F2078, J2078)</f>
        <v>0</v>
      </c>
      <c r="L2078" s="3" t="b">
        <f>AND(G2078 &lt;&gt; "plain", G2078 &lt;&gt; "")</f>
        <v>0</v>
      </c>
      <c r="M2078" s="3" t="str">
        <f>IF(E2078, C2078 &amp; "|" &amp; H2078, "")</f>
        <v>principal-knowledge-authority|</v>
      </c>
      <c r="N2078" s="2" t="s">
        <v>9938</v>
      </c>
    </row>
    <row r="2079">
      <c r="A2079" s="2" t="s">
        <v>12015</v>
      </c>
      <c r="B2079" s="3" t="str">
        <f>C2079 &amp; " -&gt; " &amp; D2079</f>
        <v>principal-knowledge-authority -&gt; AppRoutes.QuestionCount</v>
      </c>
      <c r="C2079" s="2" t="s">
        <v>9708</v>
      </c>
      <c r="D2079" s="2" t="s">
        <v>5259</v>
      </c>
      <c r="E2079" s="2" t="b">
        <v>1</v>
      </c>
      <c r="F2079" s="2" t="b">
        <v>0</v>
      </c>
      <c r="G2079" s="2" t="s">
        <v>9937</v>
      </c>
      <c r="H2079" s="3" t="str">
        <f>_xlfn.IFNA(INDEX(RulebookFields!C2:C999, MATCH(D2079,RulebookFields!A2:A999, 0)), "")</f>
      </c>
      <c r="I2079" s="3" t="str">
        <f>_xlfn.IFNA(INDEX(RulebookFields!D2:D999, MATCH(D2079,RulebookFields!A2:A999, 0)), "")</f>
      </c>
      <c r="J2079" s="3" t="str">
        <f>_xlfn.IFNA(INDEX(RulebookFields!I2:I999, MATCH(D2079,RulebookFields!A2:A999, 0)), "")</f>
      </c>
      <c r="K2079" s="3" t="b">
        <f>AND(F2079, J2079)</f>
        <v>0</v>
      </c>
      <c r="L2079" s="3" t="b">
        <f>AND(G2079 &lt;&gt; "plain", G2079 &lt;&gt; "")</f>
        <v>0</v>
      </c>
      <c r="M2079" s="3" t="str">
        <f>IF(E2079, C2079 &amp; "|" &amp; H2079, "")</f>
        <v>principal-knowledge-authority|</v>
      </c>
      <c r="N2079" s="2" t="s">
        <v>9938</v>
      </c>
    </row>
    <row r="2080">
      <c r="A2080" s="2" t="s">
        <v>12016</v>
      </c>
      <c r="B2080" s="3" t="str">
        <f>C2080 &amp; " -&gt; " &amp; D2080</f>
        <v>principal-knowledge-authority -&gt; AppRoutes.ReferenceCount</v>
      </c>
      <c r="C2080" s="2" t="s">
        <v>9708</v>
      </c>
      <c r="D2080" s="2" t="s">
        <v>5261</v>
      </c>
      <c r="E2080" s="2" t="b">
        <v>1</v>
      </c>
      <c r="F2080" s="2" t="b">
        <v>0</v>
      </c>
      <c r="G2080" s="2" t="s">
        <v>9937</v>
      </c>
      <c r="H2080" s="3" t="str">
        <f>_xlfn.IFNA(INDEX(RulebookFields!C2:C999, MATCH(D2080,RulebookFields!A2:A999, 0)), "")</f>
      </c>
      <c r="I2080" s="3" t="str">
        <f>_xlfn.IFNA(INDEX(RulebookFields!D2:D999, MATCH(D2080,RulebookFields!A2:A999, 0)), "")</f>
      </c>
      <c r="J2080" s="3" t="str">
        <f>_xlfn.IFNA(INDEX(RulebookFields!I2:I999, MATCH(D2080,RulebookFields!A2:A999, 0)), "")</f>
      </c>
      <c r="K2080" s="3" t="b">
        <f>AND(F2080, J2080)</f>
        <v>0</v>
      </c>
      <c r="L2080" s="3" t="b">
        <f>AND(G2080 &lt;&gt; "plain", G2080 &lt;&gt; "")</f>
        <v>0</v>
      </c>
      <c r="M2080" s="3" t="str">
        <f>IF(E2080, C2080 &amp; "|" &amp; H2080, "")</f>
        <v>principal-knowledge-authority|</v>
      </c>
      <c r="N2080" s="2" t="s">
        <v>9938</v>
      </c>
    </row>
    <row r="2081">
      <c r="A2081" s="2" t="s">
        <v>12017</v>
      </c>
      <c r="B2081" s="3" t="str">
        <f>C2081 &amp; " -&gt; " &amp; D2081</f>
        <v>principal-knowledge-authority -&gt; AppRoutes.AnswersNoQuestion</v>
      </c>
      <c r="C2081" s="2" t="s">
        <v>9708</v>
      </c>
      <c r="D2081" s="2" t="s">
        <v>5264</v>
      </c>
      <c r="E2081" s="2" t="b">
        <v>1</v>
      </c>
      <c r="F2081" s="2" t="b">
        <v>0</v>
      </c>
      <c r="G2081" s="2" t="s">
        <v>9937</v>
      </c>
      <c r="H2081" s="3" t="str">
        <f>_xlfn.IFNA(INDEX(RulebookFields!C2:C999, MATCH(D2081,RulebookFields!A2:A999, 0)), "")</f>
      </c>
      <c r="I2081" s="3" t="str">
        <f>_xlfn.IFNA(INDEX(RulebookFields!D2:D999, MATCH(D2081,RulebookFields!A2:A999, 0)), "")</f>
      </c>
      <c r="J2081" s="3" t="str">
        <f>_xlfn.IFNA(INDEX(RulebookFields!I2:I999, MATCH(D2081,RulebookFields!A2:A999, 0)), "")</f>
      </c>
      <c r="K2081" s="3" t="b">
        <f>AND(F2081, J2081)</f>
        <v>0</v>
      </c>
      <c r="L2081" s="3" t="b">
        <f>AND(G2081 &lt;&gt; "plain", G2081 &lt;&gt; "")</f>
        <v>0</v>
      </c>
      <c r="M2081" s="3" t="str">
        <f>IF(E2081, C2081 &amp; "|" &amp; H2081, "")</f>
        <v>principal-knowledge-authority|</v>
      </c>
      <c r="N2081" s="2" t="s">
        <v>9938</v>
      </c>
    </row>
    <row r="2082">
      <c r="A2082" s="2" t="s">
        <v>12018</v>
      </c>
      <c r="B2082" s="3" t="str">
        <f>C2082 &amp; " -&gt; " &amp; D2082</f>
        <v>principal-knowledge-authority -&gt; AppRoutes.SemanticTypeIri</v>
      </c>
      <c r="C2082" s="2" t="s">
        <v>9708</v>
      </c>
      <c r="D2082" s="2" t="s">
        <v>5267</v>
      </c>
      <c r="E2082" s="2" t="b">
        <v>1</v>
      </c>
      <c r="F2082" s="2" t="b">
        <v>0</v>
      </c>
      <c r="G2082" s="2" t="s">
        <v>9937</v>
      </c>
      <c r="H2082" s="3" t="str">
        <f>_xlfn.IFNA(INDEX(RulebookFields!C2:C999, MATCH(D2082,RulebookFields!A2:A999, 0)), "")</f>
      </c>
      <c r="I2082" s="3" t="str">
        <f>_xlfn.IFNA(INDEX(RulebookFields!D2:D999, MATCH(D2082,RulebookFields!A2:A999, 0)), "")</f>
      </c>
      <c r="J2082" s="3" t="str">
        <f>_xlfn.IFNA(INDEX(RulebookFields!I2:I999, MATCH(D2082,RulebookFields!A2:A999, 0)), "")</f>
      </c>
      <c r="K2082" s="3" t="b">
        <f>AND(F2082, J2082)</f>
        <v>0</v>
      </c>
      <c r="L2082" s="3" t="b">
        <f>AND(G2082 &lt;&gt; "plain", G2082 &lt;&gt; "")</f>
        <v>0</v>
      </c>
      <c r="M2082" s="3" t="str">
        <f>IF(E2082, C2082 &amp; "|" &amp; H2082, "")</f>
        <v>principal-knowledge-authority|</v>
      </c>
      <c r="N2082" s="2" t="s">
        <v>9938</v>
      </c>
    </row>
    <row r="2083">
      <c r="A2083" s="2" t="s">
        <v>12019</v>
      </c>
      <c r="B2083" s="3" t="str">
        <f>C2083 &amp; " -&gt; " &amp; D2083</f>
        <v>principal-knowledge-authority -&gt; Attestations.AttestationId</v>
      </c>
      <c r="C2083" s="2" t="s">
        <v>9708</v>
      </c>
      <c r="D2083" s="2" t="s">
        <v>5168</v>
      </c>
      <c r="E2083" s="2" t="b">
        <v>1</v>
      </c>
      <c r="F2083" s="2" t="b">
        <v>0</v>
      </c>
      <c r="G2083" s="2" t="s">
        <v>9937</v>
      </c>
      <c r="H2083" s="3" t="str">
        <f>_xlfn.IFNA(INDEX(RulebookFields!C2:C999, MATCH(D2083,RulebookFields!A2:A999, 0)), "")</f>
      </c>
      <c r="I2083" s="3" t="str">
        <f>_xlfn.IFNA(INDEX(RulebookFields!D2:D999, MATCH(D2083,RulebookFields!A2:A999, 0)), "")</f>
      </c>
      <c r="J2083" s="3" t="str">
        <f>_xlfn.IFNA(INDEX(RulebookFields!I2:I999, MATCH(D2083,RulebookFields!A2:A999, 0)), "")</f>
      </c>
      <c r="K2083" s="3" t="b">
        <f>AND(F2083, J2083)</f>
        <v>0</v>
      </c>
      <c r="L2083" s="3" t="b">
        <f>AND(G2083 &lt;&gt; "plain", G2083 &lt;&gt; "")</f>
        <v>0</v>
      </c>
      <c r="M2083" s="3" t="str">
        <f>IF(E2083, C2083 &amp; "|" &amp; H2083, "")</f>
        <v>principal-knowledge-authority|</v>
      </c>
      <c r="N2083" s="2" t="s">
        <v>9938</v>
      </c>
    </row>
    <row r="2084">
      <c r="A2084" s="2" t="s">
        <v>12020</v>
      </c>
      <c r="B2084" s="3" t="str">
        <f>C2084 &amp; " -&gt; " &amp; D2084</f>
        <v>principal-knowledge-authority -&gt; Attestations.Name</v>
      </c>
      <c r="C2084" s="2" t="s">
        <v>9708</v>
      </c>
      <c r="D2084" s="2" t="s">
        <v>5171</v>
      </c>
      <c r="E2084" s="2" t="b">
        <v>1</v>
      </c>
      <c r="F2084" s="2" t="b">
        <v>0</v>
      </c>
      <c r="G2084" s="2" t="s">
        <v>9937</v>
      </c>
      <c r="H2084" s="3" t="str">
        <f>_xlfn.IFNA(INDEX(RulebookFields!C2:C999, MATCH(D2084,RulebookFields!A2:A999, 0)), "")</f>
      </c>
      <c r="I2084" s="3" t="str">
        <f>_xlfn.IFNA(INDEX(RulebookFields!D2:D999, MATCH(D2084,RulebookFields!A2:A999, 0)), "")</f>
      </c>
      <c r="J2084" s="3" t="str">
        <f>_xlfn.IFNA(INDEX(RulebookFields!I2:I999, MATCH(D2084,RulebookFields!A2:A999, 0)), "")</f>
      </c>
      <c r="K2084" s="3" t="b">
        <f>AND(F2084, J2084)</f>
        <v>0</v>
      </c>
      <c r="L2084" s="3" t="b">
        <f>AND(G2084 &lt;&gt; "plain", G2084 &lt;&gt; "")</f>
        <v>0</v>
      </c>
      <c r="M2084" s="3" t="str">
        <f>IF(E2084, C2084 &amp; "|" &amp; H2084, "")</f>
        <v>principal-knowledge-authority|</v>
      </c>
      <c r="N2084" s="2" t="s">
        <v>9938</v>
      </c>
    </row>
    <row r="2085">
      <c r="A2085" s="2" t="s">
        <v>12021</v>
      </c>
      <c r="B2085" s="3" t="str">
        <f>C2085 &amp; " -&gt; " &amp; D2085</f>
        <v>principal-knowledge-authority -&gt; Attestations.ProcedureExecution</v>
      </c>
      <c r="C2085" s="2" t="s">
        <v>9708</v>
      </c>
      <c r="D2085" s="2" t="s">
        <v>5173</v>
      </c>
      <c r="E2085" s="2" t="b">
        <v>1</v>
      </c>
      <c r="F2085" s="2" t="b">
        <v>0</v>
      </c>
      <c r="G2085" s="2" t="s">
        <v>9937</v>
      </c>
      <c r="H2085" s="3" t="str">
        <f>_xlfn.IFNA(INDEX(RulebookFields!C2:C999, MATCH(D2085,RulebookFields!A2:A999, 0)), "")</f>
      </c>
      <c r="I2085" s="3" t="str">
        <f>_xlfn.IFNA(INDEX(RulebookFields!D2:D999, MATCH(D2085,RulebookFields!A2:A999, 0)), "")</f>
      </c>
      <c r="J2085" s="3" t="str">
        <f>_xlfn.IFNA(INDEX(RulebookFields!I2:I999, MATCH(D2085,RulebookFields!A2:A999, 0)), "")</f>
      </c>
      <c r="K2085" s="3" t="b">
        <f>AND(F2085, J2085)</f>
        <v>0</v>
      </c>
      <c r="L2085" s="3" t="b">
        <f>AND(G2085 &lt;&gt; "plain", G2085 &lt;&gt; "")</f>
        <v>0</v>
      </c>
      <c r="M2085" s="3" t="str">
        <f>IF(E2085, C2085 &amp; "|" &amp; H2085, "")</f>
        <v>principal-knowledge-authority|</v>
      </c>
      <c r="N2085" s="2" t="s">
        <v>9938</v>
      </c>
    </row>
    <row r="2086">
      <c r="A2086" s="2" t="s">
        <v>12022</v>
      </c>
      <c r="B2086" s="3" t="str">
        <f>C2086 &amp; " -&gt; " &amp; D2086</f>
        <v>principal-knowledge-authority -&gt; Attestations.SignedByAgent</v>
      </c>
      <c r="C2086" s="2" t="s">
        <v>9708</v>
      </c>
      <c r="D2086" s="2" t="s">
        <v>5174</v>
      </c>
      <c r="E2086" s="2" t="b">
        <v>1</v>
      </c>
      <c r="F2086" s="2" t="b">
        <v>0</v>
      </c>
      <c r="G2086" s="2" t="s">
        <v>9937</v>
      </c>
      <c r="H2086" s="3" t="str">
        <f>_xlfn.IFNA(INDEX(RulebookFields!C2:C999, MATCH(D2086,RulebookFields!A2:A999, 0)), "")</f>
      </c>
      <c r="I2086" s="3" t="str">
        <f>_xlfn.IFNA(INDEX(RulebookFields!D2:D999, MATCH(D2086,RulebookFields!A2:A999, 0)), "")</f>
      </c>
      <c r="J2086" s="3" t="str">
        <f>_xlfn.IFNA(INDEX(RulebookFields!I2:I999, MATCH(D2086,RulebookFields!A2:A999, 0)), "")</f>
      </c>
      <c r="K2086" s="3" t="b">
        <f>AND(F2086, J2086)</f>
        <v>0</v>
      </c>
      <c r="L2086" s="3" t="b">
        <f>AND(G2086 &lt;&gt; "plain", G2086 &lt;&gt; "")</f>
        <v>0</v>
      </c>
      <c r="M2086" s="3" t="str">
        <f>IF(E2086, C2086 &amp; "|" &amp; H2086, "")</f>
        <v>principal-knowledge-authority|</v>
      </c>
      <c r="N2086" s="2" t="s">
        <v>9938</v>
      </c>
    </row>
    <row r="2087">
      <c r="A2087" s="2" t="s">
        <v>12023</v>
      </c>
      <c r="B2087" s="3" t="str">
        <f>C2087 &amp; " -&gt; " &amp; D2087</f>
        <v>principal-knowledge-authority -&gt; Attestations.SignedAt</v>
      </c>
      <c r="C2087" s="2" t="s">
        <v>9708</v>
      </c>
      <c r="D2087" s="2" t="s">
        <v>5176</v>
      </c>
      <c r="E2087" s="2" t="b">
        <v>1</v>
      </c>
      <c r="F2087" s="2" t="b">
        <v>0</v>
      </c>
      <c r="G2087" s="2" t="s">
        <v>9937</v>
      </c>
      <c r="H2087" s="3" t="str">
        <f>_xlfn.IFNA(INDEX(RulebookFields!C2:C999, MATCH(D2087,RulebookFields!A2:A999, 0)), "")</f>
      </c>
      <c r="I2087" s="3" t="str">
        <f>_xlfn.IFNA(INDEX(RulebookFields!D2:D999, MATCH(D2087,RulebookFields!A2:A999, 0)), "")</f>
      </c>
      <c r="J2087" s="3" t="str">
        <f>_xlfn.IFNA(INDEX(RulebookFields!I2:I999, MATCH(D2087,RulebookFields!A2:A999, 0)), "")</f>
      </c>
      <c r="K2087" s="3" t="b">
        <f>AND(F2087, J2087)</f>
        <v>0</v>
      </c>
      <c r="L2087" s="3" t="b">
        <f>AND(G2087 &lt;&gt; "plain", G2087 &lt;&gt; "")</f>
        <v>0</v>
      </c>
      <c r="M2087" s="3" t="str">
        <f>IF(E2087, C2087 &amp; "|" &amp; H2087, "")</f>
        <v>principal-knowledge-authority|</v>
      </c>
      <c r="N2087" s="2" t="s">
        <v>9938</v>
      </c>
    </row>
    <row r="2088">
      <c r="A2088" s="2" t="s">
        <v>12024</v>
      </c>
      <c r="B2088" s="3" t="str">
        <f>C2088 &amp; " -&gt; " &amp; D2088</f>
        <v>principal-knowledge-authority -&gt; Attestations.AssuranceGradeAtSigning</v>
      </c>
      <c r="C2088" s="2" t="s">
        <v>9708</v>
      </c>
      <c r="D2088" s="2" t="s">
        <v>5178</v>
      </c>
      <c r="E2088" s="2" t="b">
        <v>1</v>
      </c>
      <c r="F2088" s="2" t="b">
        <v>0</v>
      </c>
      <c r="G2088" s="2" t="s">
        <v>9937</v>
      </c>
      <c r="H2088" s="3" t="str">
        <f>_xlfn.IFNA(INDEX(RulebookFields!C2:C999, MATCH(D2088,RulebookFields!A2:A999, 0)), "")</f>
      </c>
      <c r="I2088" s="3" t="str">
        <f>_xlfn.IFNA(INDEX(RulebookFields!D2:D999, MATCH(D2088,RulebookFields!A2:A999, 0)), "")</f>
      </c>
      <c r="J2088" s="3" t="str">
        <f>_xlfn.IFNA(INDEX(RulebookFields!I2:I999, MATCH(D2088,RulebookFields!A2:A999, 0)), "")</f>
      </c>
      <c r="K2088" s="3" t="b">
        <f>AND(F2088, J2088)</f>
        <v>0</v>
      </c>
      <c r="L2088" s="3" t="b">
        <f>AND(G2088 &lt;&gt; "plain", G2088 &lt;&gt; "")</f>
        <v>0</v>
      </c>
      <c r="M2088" s="3" t="str">
        <f>IF(E2088, C2088 &amp; "|" &amp; H2088, "")</f>
        <v>principal-knowledge-authority|</v>
      </c>
      <c r="N2088" s="2" t="s">
        <v>9938</v>
      </c>
    </row>
    <row r="2089">
      <c r="A2089" s="2" t="s">
        <v>12025</v>
      </c>
      <c r="B2089" s="3" t="str">
        <f>C2089 &amp; " -&gt; " &amp; D2089</f>
        <v>principal-knowledge-authority -&gt; Attestations.VersionWasFitAtSigning</v>
      </c>
      <c r="C2089" s="2" t="s">
        <v>9708</v>
      </c>
      <c r="D2089" s="2" t="s">
        <v>5180</v>
      </c>
      <c r="E2089" s="2" t="b">
        <v>1</v>
      </c>
      <c r="F2089" s="2" t="b">
        <v>0</v>
      </c>
      <c r="G2089" s="2" t="s">
        <v>9937</v>
      </c>
      <c r="H2089" s="3" t="str">
        <f>_xlfn.IFNA(INDEX(RulebookFields!C2:C999, MATCH(D2089,RulebookFields!A2:A999, 0)), "")</f>
      </c>
      <c r="I2089" s="3" t="str">
        <f>_xlfn.IFNA(INDEX(RulebookFields!D2:D999, MATCH(D2089,RulebookFields!A2:A999, 0)), "")</f>
      </c>
      <c r="J2089" s="3" t="str">
        <f>_xlfn.IFNA(INDEX(RulebookFields!I2:I999, MATCH(D2089,RulebookFields!A2:A999, 0)), "")</f>
      </c>
      <c r="K2089" s="3" t="b">
        <f>AND(F2089, J2089)</f>
        <v>0</v>
      </c>
      <c r="L2089" s="3" t="b">
        <f>AND(G2089 &lt;&gt; "plain", G2089 &lt;&gt; "")</f>
        <v>0</v>
      </c>
      <c r="M2089" s="3" t="str">
        <f>IF(E2089, C2089 &amp; "|" &amp; H2089, "")</f>
        <v>principal-knowledge-authority|</v>
      </c>
      <c r="N2089" s="2" t="s">
        <v>9938</v>
      </c>
    </row>
    <row r="2090">
      <c r="A2090" s="2" t="s">
        <v>12026</v>
      </c>
      <c r="B2090" s="3" t="str">
        <f>C2090 &amp; " -&gt; " &amp; D2090</f>
        <v>principal-knowledge-authority -&gt; Attestations.VersionIsFitNow</v>
      </c>
      <c r="C2090" s="2" t="s">
        <v>9708</v>
      </c>
      <c r="D2090" s="2" t="s">
        <v>5182</v>
      </c>
      <c r="E2090" s="2" t="b">
        <v>1</v>
      </c>
      <c r="F2090" s="2" t="b">
        <v>0</v>
      </c>
      <c r="G2090" s="2" t="s">
        <v>9937</v>
      </c>
      <c r="H2090" s="3" t="str">
        <f>_xlfn.IFNA(INDEX(RulebookFields!C2:C999, MATCH(D2090,RulebookFields!A2:A999, 0)), "")</f>
      </c>
      <c r="I2090" s="3" t="str">
        <f>_xlfn.IFNA(INDEX(RulebookFields!D2:D999, MATCH(D2090,RulebookFields!A2:A999, 0)), "")</f>
      </c>
      <c r="J2090" s="3" t="str">
        <f>_xlfn.IFNA(INDEX(RulebookFields!I2:I999, MATCH(D2090,RulebookFields!A2:A999, 0)), "")</f>
      </c>
      <c r="K2090" s="3" t="b">
        <f>AND(F2090, J2090)</f>
        <v>0</v>
      </c>
      <c r="L2090" s="3" t="b">
        <f>AND(G2090 &lt;&gt; "plain", G2090 &lt;&gt; "")</f>
        <v>0</v>
      </c>
      <c r="M2090" s="3" t="str">
        <f>IF(E2090, C2090 &amp; "|" &amp; H2090, "")</f>
        <v>principal-knowledge-authority|</v>
      </c>
      <c r="N2090" s="2" t="s">
        <v>9938</v>
      </c>
    </row>
    <row r="2091">
      <c r="A2091" s="2" t="s">
        <v>12027</v>
      </c>
      <c r="B2091" s="3" t="str">
        <f>C2091 &amp; " -&gt; " &amp; D2091</f>
        <v>principal-knowledge-authority -&gt; Attestations.FitnessVerdictHasDrifted</v>
      </c>
      <c r="C2091" s="2" t="s">
        <v>9708</v>
      </c>
      <c r="D2091" s="2" t="s">
        <v>5185</v>
      </c>
      <c r="E2091" s="2" t="b">
        <v>1</v>
      </c>
      <c r="F2091" s="2" t="b">
        <v>0</v>
      </c>
      <c r="G2091" s="2" t="s">
        <v>9937</v>
      </c>
      <c r="H2091" s="3" t="str">
        <f>_xlfn.IFNA(INDEX(RulebookFields!C2:C999, MATCH(D2091,RulebookFields!A2:A999, 0)), "")</f>
      </c>
      <c r="I2091" s="3" t="str">
        <f>_xlfn.IFNA(INDEX(RulebookFields!D2:D999, MATCH(D2091,RulebookFields!A2:A999, 0)), "")</f>
      </c>
      <c r="J2091" s="3" t="str">
        <f>_xlfn.IFNA(INDEX(RulebookFields!I2:I999, MATCH(D2091,RulebookFields!A2:A999, 0)), "")</f>
      </c>
      <c r="K2091" s="3" t="b">
        <f>AND(F2091, J2091)</f>
        <v>0</v>
      </c>
      <c r="L2091" s="3" t="b">
        <f>AND(G2091 &lt;&gt; "plain", G2091 &lt;&gt; "")</f>
        <v>0</v>
      </c>
      <c r="M2091" s="3" t="str">
        <f>IF(E2091, C2091 &amp; "|" &amp; H2091, "")</f>
        <v>principal-knowledge-authority|</v>
      </c>
      <c r="N2091" s="2" t="s">
        <v>9938</v>
      </c>
    </row>
    <row r="2092">
      <c r="A2092" s="2" t="s">
        <v>12028</v>
      </c>
      <c r="B2092" s="3" t="str">
        <f>C2092 &amp; " -&gt; " &amp; D2092</f>
        <v>principal-knowledge-authority -&gt; Attestations.AssuranceGradeNow</v>
      </c>
      <c r="C2092" s="2" t="s">
        <v>9708</v>
      </c>
      <c r="D2092" s="2" t="s">
        <v>5188</v>
      </c>
      <c r="E2092" s="2" t="b">
        <v>1</v>
      </c>
      <c r="F2092" s="2" t="b">
        <v>0</v>
      </c>
      <c r="G2092" s="2" t="s">
        <v>9937</v>
      </c>
      <c r="H2092" s="3" t="str">
        <f>_xlfn.IFNA(INDEX(RulebookFields!C2:C999, MATCH(D2092,RulebookFields!A2:A999, 0)), "")</f>
      </c>
      <c r="I2092" s="3" t="str">
        <f>_xlfn.IFNA(INDEX(RulebookFields!D2:D999, MATCH(D2092,RulebookFields!A2:A999, 0)), "")</f>
      </c>
      <c r="J2092" s="3" t="str">
        <f>_xlfn.IFNA(INDEX(RulebookFields!I2:I999, MATCH(D2092,RulebookFields!A2:A999, 0)), "")</f>
      </c>
      <c r="K2092" s="3" t="b">
        <f>AND(F2092, J2092)</f>
        <v>0</v>
      </c>
      <c r="L2092" s="3" t="b">
        <f>AND(G2092 &lt;&gt; "plain", G2092 &lt;&gt; "")</f>
        <v>0</v>
      </c>
      <c r="M2092" s="3" t="str">
        <f>IF(E2092, C2092 &amp; "|" &amp; H2092, "")</f>
        <v>principal-knowledge-authority|</v>
      </c>
      <c r="N2092" s="2" t="s">
        <v>9938</v>
      </c>
    </row>
    <row r="2093">
      <c r="A2093" s="2" t="s">
        <v>12029</v>
      </c>
      <c r="B2093" s="3" t="str">
        <f>C2093 &amp; " -&gt; " &amp; D2093</f>
        <v>principal-knowledge-authority -&gt; Attestations.AssuranceGradeHasDrifted</v>
      </c>
      <c r="C2093" s="2" t="s">
        <v>9708</v>
      </c>
      <c r="D2093" s="2" t="s">
        <v>5191</v>
      </c>
      <c r="E2093" s="2" t="b">
        <v>1</v>
      </c>
      <c r="F2093" s="2" t="b">
        <v>0</v>
      </c>
      <c r="G2093" s="2" t="s">
        <v>9937</v>
      </c>
      <c r="H2093" s="3" t="str">
        <f>_xlfn.IFNA(INDEX(RulebookFields!C2:C999, MATCH(D2093,RulebookFields!A2:A999, 0)), "")</f>
      </c>
      <c r="I2093" s="3" t="str">
        <f>_xlfn.IFNA(INDEX(RulebookFields!D2:D999, MATCH(D2093,RulebookFields!A2:A999, 0)), "")</f>
      </c>
      <c r="J2093" s="3" t="str">
        <f>_xlfn.IFNA(INDEX(RulebookFields!I2:I999, MATCH(D2093,RulebookFields!A2:A999, 0)), "")</f>
      </c>
      <c r="K2093" s="3" t="b">
        <f>AND(F2093, J2093)</f>
        <v>0</v>
      </c>
      <c r="L2093" s="3" t="b">
        <f>AND(G2093 &lt;&gt; "plain", G2093 &lt;&gt; "")</f>
        <v>0</v>
      </c>
      <c r="M2093" s="3" t="str">
        <f>IF(E2093, C2093 &amp; "|" &amp; H2093, "")</f>
        <v>principal-knowledge-authority|</v>
      </c>
      <c r="N2093" s="2" t="s">
        <v>9938</v>
      </c>
    </row>
    <row r="2094">
      <c r="A2094" s="2" t="s">
        <v>12030</v>
      </c>
      <c r="B2094" s="3" t="str">
        <f>C2094 &amp; " -&gt; " &amp; D2094</f>
        <v>principal-knowledge-authority -&gt; Attestations.WouldNotSurviveRestatement</v>
      </c>
      <c r="C2094" s="2" t="s">
        <v>9708</v>
      </c>
      <c r="D2094" s="2" t="s">
        <v>5194</v>
      </c>
      <c r="E2094" s="2" t="b">
        <v>1</v>
      </c>
      <c r="F2094" s="2" t="b">
        <v>0</v>
      </c>
      <c r="G2094" s="2" t="s">
        <v>9937</v>
      </c>
      <c r="H2094" s="3" t="str">
        <f>_xlfn.IFNA(INDEX(RulebookFields!C2:C999, MATCH(D2094,RulebookFields!A2:A999, 0)), "")</f>
      </c>
      <c r="I2094" s="3" t="str">
        <f>_xlfn.IFNA(INDEX(RulebookFields!D2:D999, MATCH(D2094,RulebookFields!A2:A999, 0)), "")</f>
      </c>
      <c r="J2094" s="3" t="str">
        <f>_xlfn.IFNA(INDEX(RulebookFields!I2:I999, MATCH(D2094,RulebookFields!A2:A999, 0)), "")</f>
      </c>
      <c r="K2094" s="3" t="b">
        <f>AND(F2094, J2094)</f>
        <v>0</v>
      </c>
      <c r="L2094" s="3" t="b">
        <f>AND(G2094 &lt;&gt; "plain", G2094 &lt;&gt; "")</f>
        <v>0</v>
      </c>
      <c r="M2094" s="3" t="str">
        <f>IF(E2094, C2094 &amp; "|" &amp; H2094, "")</f>
        <v>principal-knowledge-authority|</v>
      </c>
      <c r="N2094" s="2" t="s">
        <v>9938</v>
      </c>
    </row>
    <row r="2095">
      <c r="A2095" s="2" t="s">
        <v>12031</v>
      </c>
      <c r="B2095" s="3" t="str">
        <f>C2095 &amp; " -&gt; " &amp; D2095</f>
        <v>principal-knowledge-authority -&gt; AuthorityBoundaries.AuthorityBoundaryId</v>
      </c>
      <c r="C2095" s="2" t="s">
        <v>9708</v>
      </c>
      <c r="D2095" s="2" t="s">
        <v>5064</v>
      </c>
      <c r="E2095" s="2" t="b">
        <v>1</v>
      </c>
      <c r="F2095" s="2" t="b">
        <v>0</v>
      </c>
      <c r="G2095" s="2" t="s">
        <v>9937</v>
      </c>
      <c r="H2095" s="3" t="str">
        <f>_xlfn.IFNA(INDEX(RulebookFields!C2:C999, MATCH(D2095,RulebookFields!A2:A999, 0)), "")</f>
      </c>
      <c r="I2095" s="3" t="str">
        <f>_xlfn.IFNA(INDEX(RulebookFields!D2:D999, MATCH(D2095,RulebookFields!A2:A999, 0)), "")</f>
      </c>
      <c r="J2095" s="3" t="str">
        <f>_xlfn.IFNA(INDEX(RulebookFields!I2:I999, MATCH(D2095,RulebookFields!A2:A999, 0)), "")</f>
      </c>
      <c r="K2095" s="3" t="b">
        <f>AND(F2095, J2095)</f>
        <v>0</v>
      </c>
      <c r="L2095" s="3" t="b">
        <f>AND(G2095 &lt;&gt; "plain", G2095 &lt;&gt; "")</f>
        <v>0</v>
      </c>
      <c r="M2095" s="3" t="str">
        <f>IF(E2095, C2095 &amp; "|" &amp; H2095, "")</f>
        <v>principal-knowledge-authority|</v>
      </c>
      <c r="N2095" s="2" t="s">
        <v>9938</v>
      </c>
    </row>
    <row r="2096">
      <c r="A2096" s="2" t="s">
        <v>12032</v>
      </c>
      <c r="B2096" s="3" t="str">
        <f>C2096 &amp; " -&gt; " &amp; D2096</f>
        <v>principal-knowledge-authority -&gt; AuthorityBoundaries.Name</v>
      </c>
      <c r="C2096" s="2" t="s">
        <v>9708</v>
      </c>
      <c r="D2096" s="2" t="s">
        <v>5067</v>
      </c>
      <c r="E2096" s="2" t="b">
        <v>1</v>
      </c>
      <c r="F2096" s="2" t="b">
        <v>0</v>
      </c>
      <c r="G2096" s="2" t="s">
        <v>9937</v>
      </c>
      <c r="H2096" s="3" t="str">
        <f>_xlfn.IFNA(INDEX(RulebookFields!C2:C999, MATCH(D2096,RulebookFields!A2:A999, 0)), "")</f>
      </c>
      <c r="I2096" s="3" t="str">
        <f>_xlfn.IFNA(INDEX(RulebookFields!D2:D999, MATCH(D2096,RulebookFields!A2:A999, 0)), "")</f>
      </c>
      <c r="J2096" s="3" t="str">
        <f>_xlfn.IFNA(INDEX(RulebookFields!I2:I999, MATCH(D2096,RulebookFields!A2:A999, 0)), "")</f>
      </c>
      <c r="K2096" s="3" t="b">
        <f>AND(F2096, J2096)</f>
        <v>0</v>
      </c>
      <c r="L2096" s="3" t="b">
        <f>AND(G2096 &lt;&gt; "plain", G2096 &lt;&gt; "")</f>
        <v>0</v>
      </c>
      <c r="M2096" s="3" t="str">
        <f>IF(E2096, C2096 &amp; "|" &amp; H2096, "")</f>
        <v>principal-knowledge-authority|</v>
      </c>
      <c r="N2096" s="2" t="s">
        <v>9938</v>
      </c>
    </row>
    <row r="2097">
      <c r="A2097" s="2" t="s">
        <v>12033</v>
      </c>
      <c r="B2097" s="3" t="str">
        <f>C2097 &amp; " -&gt; " &amp; D2097</f>
        <v>principal-knowledge-authority -&gt; AuthorityBoundaries.Step</v>
      </c>
      <c r="C2097" s="2" t="s">
        <v>9708</v>
      </c>
      <c r="D2097" s="2" t="s">
        <v>5069</v>
      </c>
      <c r="E2097" s="2" t="b">
        <v>1</v>
      </c>
      <c r="F2097" s="2" t="b">
        <v>0</v>
      </c>
      <c r="G2097" s="2" t="s">
        <v>9937</v>
      </c>
      <c r="H2097" s="3" t="str">
        <f>_xlfn.IFNA(INDEX(RulebookFields!C2:C999, MATCH(D2097,RulebookFields!A2:A999, 0)), "")</f>
      </c>
      <c r="I2097" s="3" t="str">
        <f>_xlfn.IFNA(INDEX(RulebookFields!D2:D999, MATCH(D2097,RulebookFields!A2:A999, 0)), "")</f>
      </c>
      <c r="J2097" s="3" t="str">
        <f>_xlfn.IFNA(INDEX(RulebookFields!I2:I999, MATCH(D2097,RulebookFields!A2:A999, 0)), "")</f>
      </c>
      <c r="K2097" s="3" t="b">
        <f>AND(F2097, J2097)</f>
        <v>0</v>
      </c>
      <c r="L2097" s="3" t="b">
        <f>AND(G2097 &lt;&gt; "plain", G2097 &lt;&gt; "")</f>
        <v>0</v>
      </c>
      <c r="M2097" s="3" t="str">
        <f>IF(E2097, C2097 &amp; "|" &amp; H2097, "")</f>
        <v>principal-knowledge-authority|</v>
      </c>
      <c r="N2097" s="2" t="s">
        <v>9938</v>
      </c>
    </row>
    <row r="2098">
      <c r="A2098" s="2" t="s">
        <v>12034</v>
      </c>
      <c r="B2098" s="3" t="str">
        <f>C2098 &amp; " -&gt; " &amp; D2098</f>
        <v>principal-knowledge-authority -&gt; AuthorityBoundaries.ForbiddenAgentKind</v>
      </c>
      <c r="C2098" s="2" t="s">
        <v>9708</v>
      </c>
      <c r="D2098" s="2" t="s">
        <v>5070</v>
      </c>
      <c r="E2098" s="2" t="b">
        <v>1</v>
      </c>
      <c r="F2098" s="2" t="b">
        <v>0</v>
      </c>
      <c r="G2098" s="2" t="s">
        <v>9937</v>
      </c>
      <c r="H2098" s="3" t="str">
        <f>_xlfn.IFNA(INDEX(RulebookFields!C2:C999, MATCH(D2098,RulebookFields!A2:A999, 0)), "")</f>
      </c>
      <c r="I2098" s="3" t="str">
        <f>_xlfn.IFNA(INDEX(RulebookFields!D2:D999, MATCH(D2098,RulebookFields!A2:A999, 0)), "")</f>
      </c>
      <c r="J2098" s="3" t="str">
        <f>_xlfn.IFNA(INDEX(RulebookFields!I2:I999, MATCH(D2098,RulebookFields!A2:A999, 0)), "")</f>
      </c>
      <c r="K2098" s="3" t="b">
        <f>AND(F2098, J2098)</f>
        <v>0</v>
      </c>
      <c r="L2098" s="3" t="b">
        <f>AND(G2098 &lt;&gt; "plain", G2098 &lt;&gt; "")</f>
        <v>0</v>
      </c>
      <c r="M2098" s="3" t="str">
        <f>IF(E2098, C2098 &amp; "|" &amp; H2098, "")</f>
        <v>principal-knowledge-authority|</v>
      </c>
      <c r="N2098" s="2" t="s">
        <v>9938</v>
      </c>
    </row>
    <row r="2099">
      <c r="A2099" s="2" t="s">
        <v>12035</v>
      </c>
      <c r="B2099" s="3" t="str">
        <f>C2099 &amp; " -&gt; " &amp; D2099</f>
        <v>principal-knowledge-authority -&gt; AuthorityBoundaries.ForbiddenDecisionKind</v>
      </c>
      <c r="C2099" s="2" t="s">
        <v>9708</v>
      </c>
      <c r="D2099" s="2" t="s">
        <v>5072</v>
      </c>
      <c r="E2099" s="2" t="b">
        <v>1</v>
      </c>
      <c r="F2099" s="2" t="b">
        <v>0</v>
      </c>
      <c r="G2099" s="2" t="s">
        <v>9937</v>
      </c>
      <c r="H2099" s="3" t="str">
        <f>_xlfn.IFNA(INDEX(RulebookFields!C2:C999, MATCH(D2099,RulebookFields!A2:A999, 0)), "")</f>
      </c>
      <c r="I2099" s="3" t="str">
        <f>_xlfn.IFNA(INDEX(RulebookFields!D2:D999, MATCH(D2099,RulebookFields!A2:A999, 0)), "")</f>
      </c>
      <c r="J2099" s="3" t="str">
        <f>_xlfn.IFNA(INDEX(RulebookFields!I2:I999, MATCH(D2099,RulebookFields!A2:A999, 0)), "")</f>
      </c>
      <c r="K2099" s="3" t="b">
        <f>AND(F2099, J2099)</f>
        <v>0</v>
      </c>
      <c r="L2099" s="3" t="b">
        <f>AND(G2099 &lt;&gt; "plain", G2099 &lt;&gt; "")</f>
        <v>0</v>
      </c>
      <c r="M2099" s="3" t="str">
        <f>IF(E2099, C2099 &amp; "|" &amp; H2099, "")</f>
        <v>principal-knowledge-authority|</v>
      </c>
      <c r="N2099" s="2" t="s">
        <v>9938</v>
      </c>
    </row>
    <row r="2100">
      <c r="A2100" s="2" t="s">
        <v>12036</v>
      </c>
      <c r="B2100" s="3" t="str">
        <f>C2100 &amp; " -&gt; " &amp; D2100</f>
        <v>principal-knowledge-authority -&gt; AuthorityBoundaries.RatifiedByKnowledgeFragment</v>
      </c>
      <c r="C2100" s="2" t="s">
        <v>9708</v>
      </c>
      <c r="D2100" s="2" t="s">
        <v>5074</v>
      </c>
      <c r="E2100" s="2" t="b">
        <v>1</v>
      </c>
      <c r="F2100" s="2" t="b">
        <v>0</v>
      </c>
      <c r="G2100" s="2" t="s">
        <v>9937</v>
      </c>
      <c r="H2100" s="3" t="str">
        <f>_xlfn.IFNA(INDEX(RulebookFields!C2:C999, MATCH(D2100,RulebookFields!A2:A999, 0)), "")</f>
      </c>
      <c r="I2100" s="3" t="str">
        <f>_xlfn.IFNA(INDEX(RulebookFields!D2:D999, MATCH(D2100,RulebookFields!A2:A999, 0)), "")</f>
      </c>
      <c r="J2100" s="3" t="str">
        <f>_xlfn.IFNA(INDEX(RulebookFields!I2:I999, MATCH(D2100,RulebookFields!A2:A999, 0)), "")</f>
      </c>
      <c r="K2100" s="3" t="b">
        <f>AND(F2100, J2100)</f>
        <v>0</v>
      </c>
      <c r="L2100" s="3" t="b">
        <f>AND(G2100 &lt;&gt; "plain", G2100 &lt;&gt; "")</f>
        <v>0</v>
      </c>
      <c r="M2100" s="3" t="str">
        <f>IF(E2100, C2100 &amp; "|" &amp; H2100, "")</f>
        <v>principal-knowledge-authority|</v>
      </c>
      <c r="N2100" s="2" t="s">
        <v>9938</v>
      </c>
    </row>
    <row r="2101">
      <c r="A2101" s="2" t="s">
        <v>12037</v>
      </c>
      <c r="B2101" s="3" t="str">
        <f>C2101 &amp; " -&gt; " &amp; D2101</f>
        <v>principal-knowledge-authority -&gt; AuthorityBoundaries.EnforcingRequirement</v>
      </c>
      <c r="C2101" s="2" t="s">
        <v>9708</v>
      </c>
      <c r="D2101" s="2" t="s">
        <v>5076</v>
      </c>
      <c r="E2101" s="2" t="b">
        <v>1</v>
      </c>
      <c r="F2101" s="2" t="b">
        <v>0</v>
      </c>
      <c r="G2101" s="2" t="s">
        <v>9937</v>
      </c>
      <c r="H2101" s="3" t="str">
        <f>_xlfn.IFNA(INDEX(RulebookFields!C2:C999, MATCH(D2101,RulebookFields!A2:A999, 0)), "")</f>
      </c>
      <c r="I2101" s="3" t="str">
        <f>_xlfn.IFNA(INDEX(RulebookFields!D2:D999, MATCH(D2101,RulebookFields!A2:A999, 0)), "")</f>
      </c>
      <c r="J2101" s="3" t="str">
        <f>_xlfn.IFNA(INDEX(RulebookFields!I2:I999, MATCH(D2101,RulebookFields!A2:A999, 0)), "")</f>
      </c>
      <c r="K2101" s="3" t="b">
        <f>AND(F2101, J2101)</f>
        <v>0</v>
      </c>
      <c r="L2101" s="3" t="b">
        <f>AND(G2101 &lt;&gt; "plain", G2101 &lt;&gt; "")</f>
        <v>0</v>
      </c>
      <c r="M2101" s="3" t="str">
        <f>IF(E2101, C2101 &amp; "|" &amp; H2101, "")</f>
        <v>principal-knowledge-authority|</v>
      </c>
      <c r="N2101" s="2" t="s">
        <v>9938</v>
      </c>
    </row>
    <row r="2102">
      <c r="A2102" s="2" t="s">
        <v>12038</v>
      </c>
      <c r="B2102" s="3" t="str">
        <f>C2102 &amp; " -&gt; " &amp; D2102</f>
        <v>principal-knowledge-authority -&gt; AuthorityBoundaries.AuthorityRole</v>
      </c>
      <c r="C2102" s="2" t="s">
        <v>9708</v>
      </c>
      <c r="D2102" s="2" t="s">
        <v>5078</v>
      </c>
      <c r="E2102" s="2" t="b">
        <v>1</v>
      </c>
      <c r="F2102" s="2" t="b">
        <v>0</v>
      </c>
      <c r="G2102" s="2" t="s">
        <v>9937</v>
      </c>
      <c r="H2102" s="3" t="str">
        <f>_xlfn.IFNA(INDEX(RulebookFields!C2:C999, MATCH(D2102,RulebookFields!A2:A999, 0)), "")</f>
      </c>
      <c r="I2102" s="3" t="str">
        <f>_xlfn.IFNA(INDEX(RulebookFields!D2:D999, MATCH(D2102,RulebookFields!A2:A999, 0)), "")</f>
      </c>
      <c r="J2102" s="3" t="str">
        <f>_xlfn.IFNA(INDEX(RulebookFields!I2:I999, MATCH(D2102,RulebookFields!A2:A999, 0)), "")</f>
      </c>
      <c r="K2102" s="3" t="b">
        <f>AND(F2102, J2102)</f>
        <v>0</v>
      </c>
      <c r="L2102" s="3" t="b">
        <f>AND(G2102 &lt;&gt; "plain", G2102 &lt;&gt; "")</f>
        <v>0</v>
      </c>
      <c r="M2102" s="3" t="str">
        <f>IF(E2102, C2102 &amp; "|" &amp; H2102, "")</f>
        <v>principal-knowledge-authority|</v>
      </c>
      <c r="N2102" s="2" t="s">
        <v>9938</v>
      </c>
    </row>
    <row r="2103">
      <c r="A2103" s="2" t="s">
        <v>12039</v>
      </c>
      <c r="B2103" s="3" t="str">
        <f>C2103 &amp; " -&gt; " &amp; D2103</f>
        <v>principal-knowledge-authority -&gt; AuthorityBoundaries.ValidFrom</v>
      </c>
      <c r="C2103" s="2" t="s">
        <v>9708</v>
      </c>
      <c r="D2103" s="2" t="s">
        <v>5079</v>
      </c>
      <c r="E2103" s="2" t="b">
        <v>1</v>
      </c>
      <c r="F2103" s="2" t="b">
        <v>0</v>
      </c>
      <c r="G2103" s="2" t="s">
        <v>9937</v>
      </c>
      <c r="H2103" s="3" t="str">
        <f>_xlfn.IFNA(INDEX(RulebookFields!C2:C999, MATCH(D2103,RulebookFields!A2:A999, 0)), "")</f>
      </c>
      <c r="I2103" s="3" t="str">
        <f>_xlfn.IFNA(INDEX(RulebookFields!D2:D999, MATCH(D2103,RulebookFields!A2:A999, 0)), "")</f>
      </c>
      <c r="J2103" s="3" t="str">
        <f>_xlfn.IFNA(INDEX(RulebookFields!I2:I999, MATCH(D2103,RulebookFields!A2:A999, 0)), "")</f>
      </c>
      <c r="K2103" s="3" t="b">
        <f>AND(F2103, J2103)</f>
        <v>0</v>
      </c>
      <c r="L2103" s="3" t="b">
        <f>AND(G2103 &lt;&gt; "plain", G2103 &lt;&gt; "")</f>
        <v>0</v>
      </c>
      <c r="M2103" s="3" t="str">
        <f>IF(E2103, C2103 &amp; "|" &amp; H2103, "")</f>
        <v>principal-knowledge-authority|</v>
      </c>
      <c r="N2103" s="2" t="s">
        <v>9938</v>
      </c>
    </row>
    <row r="2104">
      <c r="A2104" s="2" t="s">
        <v>12040</v>
      </c>
      <c r="B2104" s="3" t="str">
        <f>C2104 &amp; " -&gt; " &amp; D2104</f>
        <v>principal-knowledge-authority -&gt; AuthorityBoundaries.ValidTo</v>
      </c>
      <c r="C2104" s="2" t="s">
        <v>9708</v>
      </c>
      <c r="D2104" s="2" t="s">
        <v>5080</v>
      </c>
      <c r="E2104" s="2" t="b">
        <v>1</v>
      </c>
      <c r="F2104" s="2" t="b">
        <v>0</v>
      </c>
      <c r="G2104" s="2" t="s">
        <v>9937</v>
      </c>
      <c r="H2104" s="3" t="str">
        <f>_xlfn.IFNA(INDEX(RulebookFields!C2:C999, MATCH(D2104,RulebookFields!A2:A999, 0)), "")</f>
      </c>
      <c r="I2104" s="3" t="str">
        <f>_xlfn.IFNA(INDEX(RulebookFields!D2:D999, MATCH(D2104,RulebookFields!A2:A999, 0)), "")</f>
      </c>
      <c r="J2104" s="3" t="str">
        <f>_xlfn.IFNA(INDEX(RulebookFields!I2:I999, MATCH(D2104,RulebookFields!A2:A999, 0)), "")</f>
      </c>
      <c r="K2104" s="3" t="b">
        <f>AND(F2104, J2104)</f>
        <v>0</v>
      </c>
      <c r="L2104" s="3" t="b">
        <f>AND(G2104 &lt;&gt; "plain", G2104 &lt;&gt; "")</f>
        <v>0</v>
      </c>
      <c r="M2104" s="3" t="str">
        <f>IF(E2104, C2104 &amp; "|" &amp; H2104, "")</f>
        <v>principal-knowledge-authority|</v>
      </c>
      <c r="N2104" s="2" t="s">
        <v>9938</v>
      </c>
    </row>
    <row r="2105">
      <c r="A2105" s="2" t="s">
        <v>12041</v>
      </c>
      <c r="B2105" s="3" t="str">
        <f>C2105 &amp; " -&gt; " &amp; D2105</f>
        <v>principal-knowledge-authority -&gt; AuthorityBoundaries.Status</v>
      </c>
      <c r="C2105" s="2" t="s">
        <v>9708</v>
      </c>
      <c r="D2105" s="2" t="s">
        <v>5081</v>
      </c>
      <c r="E2105" s="2" t="b">
        <v>1</v>
      </c>
      <c r="F2105" s="2" t="b">
        <v>0</v>
      </c>
      <c r="G2105" s="2" t="s">
        <v>9937</v>
      </c>
      <c r="H2105" s="3" t="str">
        <f>_xlfn.IFNA(INDEX(RulebookFields!C2:C999, MATCH(D2105,RulebookFields!A2:A999, 0)), "")</f>
      </c>
      <c r="I2105" s="3" t="str">
        <f>_xlfn.IFNA(INDEX(RulebookFields!D2:D999, MATCH(D2105,RulebookFields!A2:A999, 0)), "")</f>
      </c>
      <c r="J2105" s="3" t="str">
        <f>_xlfn.IFNA(INDEX(RulebookFields!I2:I999, MATCH(D2105,RulebookFields!A2:A999, 0)), "")</f>
      </c>
      <c r="K2105" s="3" t="b">
        <f>AND(F2105, J2105)</f>
        <v>0</v>
      </c>
      <c r="L2105" s="3" t="b">
        <f>AND(G2105 &lt;&gt; "plain", G2105 &lt;&gt; "")</f>
        <v>0</v>
      </c>
      <c r="M2105" s="3" t="str">
        <f>IF(E2105, C2105 &amp; "|" &amp; H2105, "")</f>
        <v>principal-knowledge-authority|</v>
      </c>
      <c r="N2105" s="2" t="s">
        <v>9938</v>
      </c>
    </row>
    <row r="2106">
      <c r="A2106" s="2" t="s">
        <v>12042</v>
      </c>
      <c r="B2106" s="3" t="str">
        <f>C2106 &amp; " -&gt; " &amp; D2106</f>
        <v>principal-knowledge-authority -&gt; AuthorityBoundaries.EvaluationContext</v>
      </c>
      <c r="C2106" s="2" t="s">
        <v>9708</v>
      </c>
      <c r="D2106" s="2" t="s">
        <v>5082</v>
      </c>
      <c r="E2106" s="2" t="b">
        <v>1</v>
      </c>
      <c r="F2106" s="2" t="b">
        <v>0</v>
      </c>
      <c r="G2106" s="2" t="s">
        <v>9937</v>
      </c>
      <c r="H2106" s="3" t="str">
        <f>_xlfn.IFNA(INDEX(RulebookFields!C2:C999, MATCH(D2106,RulebookFields!A2:A999, 0)), "")</f>
      </c>
      <c r="I2106" s="3" t="str">
        <f>_xlfn.IFNA(INDEX(RulebookFields!D2:D999, MATCH(D2106,RulebookFields!A2:A999, 0)), "")</f>
      </c>
      <c r="J2106" s="3" t="str">
        <f>_xlfn.IFNA(INDEX(RulebookFields!I2:I999, MATCH(D2106,RulebookFields!A2:A999, 0)), "")</f>
      </c>
      <c r="K2106" s="3" t="b">
        <f>AND(F2106, J2106)</f>
        <v>0</v>
      </c>
      <c r="L2106" s="3" t="b">
        <f>AND(G2106 &lt;&gt; "plain", G2106 &lt;&gt; "")</f>
        <v>0</v>
      </c>
      <c r="M2106" s="3" t="str">
        <f>IF(E2106, C2106 &amp; "|" &amp; H2106, "")</f>
        <v>principal-knowledge-authority|</v>
      </c>
      <c r="N2106" s="2" t="s">
        <v>9938</v>
      </c>
    </row>
    <row r="2107">
      <c r="A2107" s="2" t="s">
        <v>12043</v>
      </c>
      <c r="B2107" s="3" t="str">
        <f>C2107 &amp; " -&gt; " &amp; D2107</f>
        <v>principal-knowledge-authority -&gt; AuthorityBoundaries.AsOfInstant</v>
      </c>
      <c r="C2107" s="2" t="s">
        <v>9708</v>
      </c>
      <c r="D2107" s="2" t="s">
        <v>5083</v>
      </c>
      <c r="E2107" s="2" t="b">
        <v>1</v>
      </c>
      <c r="F2107" s="2" t="b">
        <v>0</v>
      </c>
      <c r="G2107" s="2" t="s">
        <v>9937</v>
      </c>
      <c r="H2107" s="3" t="str">
        <f>_xlfn.IFNA(INDEX(RulebookFields!C2:C999, MATCH(D2107,RulebookFields!A2:A999, 0)), "")</f>
      </c>
      <c r="I2107" s="3" t="str">
        <f>_xlfn.IFNA(INDEX(RulebookFields!D2:D999, MATCH(D2107,RulebookFields!A2:A999, 0)), "")</f>
      </c>
      <c r="J2107" s="3" t="str">
        <f>_xlfn.IFNA(INDEX(RulebookFields!I2:I999, MATCH(D2107,RulebookFields!A2:A999, 0)), "")</f>
      </c>
      <c r="K2107" s="3" t="b">
        <f>AND(F2107, J2107)</f>
        <v>0</v>
      </c>
      <c r="L2107" s="3" t="b">
        <f>AND(G2107 &lt;&gt; "plain", G2107 &lt;&gt; "")</f>
        <v>0</v>
      </c>
      <c r="M2107" s="3" t="str">
        <f>IF(E2107, C2107 &amp; "|" &amp; H2107, "")</f>
        <v>principal-knowledge-authority|</v>
      </c>
      <c r="N2107" s="2" t="s">
        <v>9938</v>
      </c>
    </row>
    <row r="2108">
      <c r="A2108" s="2" t="s">
        <v>12044</v>
      </c>
      <c r="B2108" s="3" t="str">
        <f>C2108 &amp; " -&gt; " &amp; D2108</f>
        <v>principal-knowledge-authority -&gt; AuthorityBoundaries.IsCurrentlyBinding</v>
      </c>
      <c r="C2108" s="2" t="s">
        <v>9708</v>
      </c>
      <c r="D2108" s="2" t="s">
        <v>5084</v>
      </c>
      <c r="E2108" s="2" t="b">
        <v>1</v>
      </c>
      <c r="F2108" s="2" t="b">
        <v>0</v>
      </c>
      <c r="G2108" s="2" t="s">
        <v>9937</v>
      </c>
      <c r="H2108" s="3" t="str">
        <f>_xlfn.IFNA(INDEX(RulebookFields!C2:C999, MATCH(D2108,RulebookFields!A2:A999, 0)), "")</f>
      </c>
      <c r="I2108" s="3" t="str">
        <f>_xlfn.IFNA(INDEX(RulebookFields!D2:D999, MATCH(D2108,RulebookFields!A2:A999, 0)), "")</f>
      </c>
      <c r="J2108" s="3" t="str">
        <f>_xlfn.IFNA(INDEX(RulebookFields!I2:I999, MATCH(D2108,RulebookFields!A2:A999, 0)), "")</f>
      </c>
      <c r="K2108" s="3" t="b">
        <f>AND(F2108, J2108)</f>
        <v>0</v>
      </c>
      <c r="L2108" s="3" t="b">
        <f>AND(G2108 &lt;&gt; "plain", G2108 &lt;&gt; "")</f>
        <v>0</v>
      </c>
      <c r="M2108" s="3" t="str">
        <f>IF(E2108, C2108 &amp; "|" &amp; H2108, "")</f>
        <v>principal-knowledge-authority|</v>
      </c>
      <c r="N2108" s="2" t="s">
        <v>9938</v>
      </c>
    </row>
    <row r="2109">
      <c r="A2109" s="2" t="s">
        <v>12045</v>
      </c>
      <c r="B2109" s="3" t="str">
        <f>C2109 &amp; " -&gt; " &amp; D2109</f>
        <v>principal-knowledge-authority -&gt; AuthorityBoundaries.RatifyingFragmentIsValid</v>
      </c>
      <c r="C2109" s="2" t="s">
        <v>9708</v>
      </c>
      <c r="D2109" s="2" t="s">
        <v>5087</v>
      </c>
      <c r="E2109" s="2" t="b">
        <v>1</v>
      </c>
      <c r="F2109" s="2" t="b">
        <v>0</v>
      </c>
      <c r="G2109" s="2" t="s">
        <v>9937</v>
      </c>
      <c r="H2109" s="3" t="str">
        <f>_xlfn.IFNA(INDEX(RulebookFields!C2:C999, MATCH(D2109,RulebookFields!A2:A999, 0)), "")</f>
      </c>
      <c r="I2109" s="3" t="str">
        <f>_xlfn.IFNA(INDEX(RulebookFields!D2:D999, MATCH(D2109,RulebookFields!A2:A999, 0)), "")</f>
      </c>
      <c r="J2109" s="3" t="str">
        <f>_xlfn.IFNA(INDEX(RulebookFields!I2:I999, MATCH(D2109,RulebookFields!A2:A999, 0)), "")</f>
      </c>
      <c r="K2109" s="3" t="b">
        <f>AND(F2109, J2109)</f>
        <v>0</v>
      </c>
      <c r="L2109" s="3" t="b">
        <f>AND(G2109 &lt;&gt; "plain", G2109 &lt;&gt; "")</f>
        <v>0</v>
      </c>
      <c r="M2109" s="3" t="str">
        <f>IF(E2109, C2109 &amp; "|" &amp; H2109, "")</f>
        <v>principal-knowledge-authority|</v>
      </c>
      <c r="N2109" s="2" t="s">
        <v>9938</v>
      </c>
    </row>
    <row r="2110">
      <c r="A2110" s="2" t="s">
        <v>12046</v>
      </c>
      <c r="B2110" s="3" t="str">
        <f>C2110 &amp; " -&gt; " &amp; D2110</f>
        <v>principal-knowledge-authority -&gt; AuthorityBoundaries.StepWhenBinding</v>
      </c>
      <c r="C2110" s="2" t="s">
        <v>9708</v>
      </c>
      <c r="D2110" s="2" t="s">
        <v>5090</v>
      </c>
      <c r="E2110" s="2" t="b">
        <v>1</v>
      </c>
      <c r="F2110" s="2" t="b">
        <v>0</v>
      </c>
      <c r="G2110" s="2" t="s">
        <v>9937</v>
      </c>
      <c r="H2110" s="3" t="str">
        <f>_xlfn.IFNA(INDEX(RulebookFields!C2:C999, MATCH(D2110,RulebookFields!A2:A999, 0)), "")</f>
      </c>
      <c r="I2110" s="3" t="str">
        <f>_xlfn.IFNA(INDEX(RulebookFields!D2:D999, MATCH(D2110,RulebookFields!A2:A999, 0)), "")</f>
      </c>
      <c r="J2110" s="3" t="str">
        <f>_xlfn.IFNA(INDEX(RulebookFields!I2:I999, MATCH(D2110,RulebookFields!A2:A999, 0)), "")</f>
      </c>
      <c r="K2110" s="3" t="b">
        <f>AND(F2110, J2110)</f>
        <v>0</v>
      </c>
      <c r="L2110" s="3" t="b">
        <f>AND(G2110 &lt;&gt; "plain", G2110 &lt;&gt; "")</f>
        <v>0</v>
      </c>
      <c r="M2110" s="3" t="str">
        <f>IF(E2110, C2110 &amp; "|" &amp; H2110, "")</f>
        <v>principal-knowledge-authority|</v>
      </c>
      <c r="N2110" s="2" t="s">
        <v>9938</v>
      </c>
    </row>
    <row r="2111">
      <c r="A2111" s="2" t="s">
        <v>12047</v>
      </c>
      <c r="B2111" s="3" t="str">
        <f>C2111 &amp; " -&gt; " &amp; D2111</f>
        <v>principal-knowledge-authority -&gt; AuthorityBoundaries.BoundaryMatchKey</v>
      </c>
      <c r="C2111" s="2" t="s">
        <v>9708</v>
      </c>
      <c r="D2111" s="2" t="s">
        <v>5093</v>
      </c>
      <c r="E2111" s="2" t="b">
        <v>1</v>
      </c>
      <c r="F2111" s="2" t="b">
        <v>0</v>
      </c>
      <c r="G2111" s="2" t="s">
        <v>9937</v>
      </c>
      <c r="H2111" s="3" t="str">
        <f>_xlfn.IFNA(INDEX(RulebookFields!C2:C999, MATCH(D2111,RulebookFields!A2:A999, 0)), "")</f>
      </c>
      <c r="I2111" s="3" t="str">
        <f>_xlfn.IFNA(INDEX(RulebookFields!D2:D999, MATCH(D2111,RulebookFields!A2:A999, 0)), "")</f>
      </c>
      <c r="J2111" s="3" t="str">
        <f>_xlfn.IFNA(INDEX(RulebookFields!I2:I999, MATCH(D2111,RulebookFields!A2:A999, 0)), "")</f>
      </c>
      <c r="K2111" s="3" t="b">
        <f>AND(F2111, J2111)</f>
        <v>0</v>
      </c>
      <c r="L2111" s="3" t="b">
        <f>AND(G2111 &lt;&gt; "plain", G2111 &lt;&gt; "")</f>
        <v>0</v>
      </c>
      <c r="M2111" s="3" t="str">
        <f>IF(E2111, C2111 &amp; "|" &amp; H2111, "")</f>
        <v>principal-knowledge-authority|</v>
      </c>
      <c r="N2111" s="2" t="s">
        <v>9938</v>
      </c>
    </row>
    <row r="2112">
      <c r="A2112" s="2" t="s">
        <v>12048</v>
      </c>
      <c r="B2112" s="3" t="str">
        <f>C2112 &amp; " -&gt; " &amp; D2112</f>
        <v>principal-knowledge-authority -&gt; AuthorityBoundaries.ViolationCount</v>
      </c>
      <c r="C2112" s="2" t="s">
        <v>9708</v>
      </c>
      <c r="D2112" s="2" t="s">
        <v>5095</v>
      </c>
      <c r="E2112" s="2" t="b">
        <v>1</v>
      </c>
      <c r="F2112" s="2" t="b">
        <v>0</v>
      </c>
      <c r="G2112" s="2" t="s">
        <v>9937</v>
      </c>
      <c r="H2112" s="3" t="str">
        <f>_xlfn.IFNA(INDEX(RulebookFields!C2:C999, MATCH(D2112,RulebookFields!A2:A999, 0)), "")</f>
      </c>
      <c r="I2112" s="3" t="str">
        <f>_xlfn.IFNA(INDEX(RulebookFields!D2:D999, MATCH(D2112,RulebookFields!A2:A999, 0)), "")</f>
      </c>
      <c r="J2112" s="3" t="str">
        <f>_xlfn.IFNA(INDEX(RulebookFields!I2:I999, MATCH(D2112,RulebookFields!A2:A999, 0)), "")</f>
      </c>
      <c r="K2112" s="3" t="b">
        <f>AND(F2112, J2112)</f>
        <v>0</v>
      </c>
      <c r="L2112" s="3" t="b">
        <f>AND(G2112 &lt;&gt; "plain", G2112 &lt;&gt; "")</f>
        <v>0</v>
      </c>
      <c r="M2112" s="3" t="str">
        <f>IF(E2112, C2112 &amp; "|" &amp; H2112, "")</f>
        <v>principal-knowledge-authority|</v>
      </c>
      <c r="N2112" s="2" t="s">
        <v>9938</v>
      </c>
    </row>
    <row r="2113">
      <c r="A2113" s="2" t="s">
        <v>12049</v>
      </c>
      <c r="B2113" s="3" t="str">
        <f>C2113 &amp; " -&gt; " &amp; D2113</f>
        <v>principal-knowledge-authority -&gt; AuthorityBoundaries.IsUntested</v>
      </c>
      <c r="C2113" s="2" t="s">
        <v>9708</v>
      </c>
      <c r="D2113" s="2" t="s">
        <v>5098</v>
      </c>
      <c r="E2113" s="2" t="b">
        <v>1</v>
      </c>
      <c r="F2113" s="2" t="b">
        <v>0</v>
      </c>
      <c r="G2113" s="2" t="s">
        <v>9937</v>
      </c>
      <c r="H2113" s="3" t="str">
        <f>_xlfn.IFNA(INDEX(RulebookFields!C2:C999, MATCH(D2113,RulebookFields!A2:A999, 0)), "")</f>
      </c>
      <c r="I2113" s="3" t="str">
        <f>_xlfn.IFNA(INDEX(RulebookFields!D2:D999, MATCH(D2113,RulebookFields!A2:A999, 0)), "")</f>
      </c>
      <c r="J2113" s="3" t="str">
        <f>_xlfn.IFNA(INDEX(RulebookFields!I2:I999, MATCH(D2113,RulebookFields!A2:A999, 0)), "")</f>
      </c>
      <c r="K2113" s="3" t="b">
        <f>AND(F2113, J2113)</f>
        <v>0</v>
      </c>
      <c r="L2113" s="3" t="b">
        <f>AND(G2113 &lt;&gt; "plain", G2113 &lt;&gt; "")</f>
        <v>0</v>
      </c>
      <c r="M2113" s="3" t="str">
        <f>IF(E2113, C2113 &amp; "|" &amp; H2113, "")</f>
        <v>principal-knowledge-authority|</v>
      </c>
      <c r="N2113" s="2" t="s">
        <v>9938</v>
      </c>
    </row>
    <row r="2114">
      <c r="A2114" s="2" t="s">
        <v>12050</v>
      </c>
      <c r="B2114" s="3" t="str">
        <f>C2114 &amp; " -&gt; " &amp; D2114</f>
        <v>principal-knowledge-authority -&gt; AuthorityBoundaries.HasRatifyingFragment</v>
      </c>
      <c r="C2114" s="2" t="s">
        <v>9708</v>
      </c>
      <c r="D2114" s="2" t="s">
        <v>5101</v>
      </c>
      <c r="E2114" s="2" t="b">
        <v>1</v>
      </c>
      <c r="F2114" s="2" t="b">
        <v>0</v>
      </c>
      <c r="G2114" s="2" t="s">
        <v>9937</v>
      </c>
      <c r="H2114" s="3" t="str">
        <f>_xlfn.IFNA(INDEX(RulebookFields!C2:C999, MATCH(D2114,RulebookFields!A2:A999, 0)), "")</f>
      </c>
      <c r="I2114" s="3" t="str">
        <f>_xlfn.IFNA(INDEX(RulebookFields!D2:D999, MATCH(D2114,RulebookFields!A2:A999, 0)), "")</f>
      </c>
      <c r="J2114" s="3" t="str">
        <f>_xlfn.IFNA(INDEX(RulebookFields!I2:I999, MATCH(D2114,RulebookFields!A2:A999, 0)), "")</f>
      </c>
      <c r="K2114" s="3" t="b">
        <f>AND(F2114, J2114)</f>
        <v>0</v>
      </c>
      <c r="L2114" s="3" t="b">
        <f>AND(G2114 &lt;&gt; "plain", G2114 &lt;&gt; "")</f>
        <v>0</v>
      </c>
      <c r="M2114" s="3" t="str">
        <f>IF(E2114, C2114 &amp; "|" &amp; H2114, "")</f>
        <v>principal-knowledge-authority|</v>
      </c>
      <c r="N2114" s="2" t="s">
        <v>9938</v>
      </c>
    </row>
    <row r="2115">
      <c r="A2115" s="2" t="s">
        <v>12051</v>
      </c>
      <c r="B2115" s="3" t="str">
        <f>C2115 &amp; " -&gt; " &amp; D2115</f>
        <v>principal-knowledge-authority -&gt; AuthorityBoundaries.IsUnwarranted</v>
      </c>
      <c r="C2115" s="2" t="s">
        <v>9708</v>
      </c>
      <c r="D2115" s="2" t="s">
        <v>5104</v>
      </c>
      <c r="E2115" s="2" t="b">
        <v>1</v>
      </c>
      <c r="F2115" s="2" t="b">
        <v>0</v>
      </c>
      <c r="G2115" s="2" t="s">
        <v>9937</v>
      </c>
      <c r="H2115" s="3" t="str">
        <f>_xlfn.IFNA(INDEX(RulebookFields!C2:C999, MATCH(D2115,RulebookFields!A2:A999, 0)), "")</f>
      </c>
      <c r="I2115" s="3" t="str">
        <f>_xlfn.IFNA(INDEX(RulebookFields!D2:D999, MATCH(D2115,RulebookFields!A2:A999, 0)), "")</f>
      </c>
      <c r="J2115" s="3" t="str">
        <f>_xlfn.IFNA(INDEX(RulebookFields!I2:I999, MATCH(D2115,RulebookFields!A2:A999, 0)), "")</f>
      </c>
      <c r="K2115" s="3" t="b">
        <f>AND(F2115, J2115)</f>
        <v>0</v>
      </c>
      <c r="L2115" s="3" t="b">
        <f>AND(G2115 &lt;&gt; "plain", G2115 &lt;&gt; "")</f>
        <v>0</v>
      </c>
      <c r="M2115" s="3" t="str">
        <f>IF(E2115, C2115 &amp; "|" &amp; H2115, "")</f>
        <v>principal-knowledge-authority|</v>
      </c>
      <c r="N2115" s="2" t="s">
        <v>9938</v>
      </c>
    </row>
    <row r="2116">
      <c r="A2116" s="2" t="s">
        <v>12052</v>
      </c>
      <c r="B2116" s="3" t="str">
        <f>C2116 &amp; " -&gt; " &amp; D2116</f>
        <v>principal-knowledge-authority -&gt; AuthorityBoundaries.RatifyingFragmentIsOverdue</v>
      </c>
      <c r="C2116" s="2" t="s">
        <v>9708</v>
      </c>
      <c r="D2116" s="2" t="s">
        <v>5107</v>
      </c>
      <c r="E2116" s="2" t="b">
        <v>1</v>
      </c>
      <c r="F2116" s="2" t="b">
        <v>0</v>
      </c>
      <c r="G2116" s="2" t="s">
        <v>9937</v>
      </c>
      <c r="H2116" s="3" t="str">
        <f>_xlfn.IFNA(INDEX(RulebookFields!C2:C999, MATCH(D2116,RulebookFields!A2:A999, 0)), "")</f>
      </c>
      <c r="I2116" s="3" t="str">
        <f>_xlfn.IFNA(INDEX(RulebookFields!D2:D999, MATCH(D2116,RulebookFields!A2:A999, 0)), "")</f>
      </c>
      <c r="J2116" s="3" t="str">
        <f>_xlfn.IFNA(INDEX(RulebookFields!I2:I999, MATCH(D2116,RulebookFields!A2:A999, 0)), "")</f>
      </c>
      <c r="K2116" s="3" t="b">
        <f>AND(F2116, J2116)</f>
        <v>0</v>
      </c>
      <c r="L2116" s="3" t="b">
        <f>AND(G2116 &lt;&gt; "plain", G2116 &lt;&gt; "")</f>
        <v>0</v>
      </c>
      <c r="M2116" s="3" t="str">
        <f>IF(E2116, C2116 &amp; "|" &amp; H2116, "")</f>
        <v>principal-knowledge-authority|</v>
      </c>
      <c r="N2116" s="2" t="s">
        <v>9938</v>
      </c>
    </row>
    <row r="2117">
      <c r="A2117" s="2" t="s">
        <v>12053</v>
      </c>
      <c r="B2117" s="3" t="str">
        <f>C2117 &amp; " -&gt; " &amp; D2117</f>
        <v>principal-knowledge-authority -&gt; AuthorityBoundaries.RatifyingFragmentIsSingleWitness</v>
      </c>
      <c r="C2117" s="2" t="s">
        <v>9708</v>
      </c>
      <c r="D2117" s="2" t="s">
        <v>5110</v>
      </c>
      <c r="E2117" s="2" t="b">
        <v>1</v>
      </c>
      <c r="F2117" s="2" t="b">
        <v>0</v>
      </c>
      <c r="G2117" s="2" t="s">
        <v>9937</v>
      </c>
      <c r="H2117" s="3" t="str">
        <f>_xlfn.IFNA(INDEX(RulebookFields!C2:C999, MATCH(D2117,RulebookFields!A2:A999, 0)), "")</f>
      </c>
      <c r="I2117" s="3" t="str">
        <f>_xlfn.IFNA(INDEX(RulebookFields!D2:D999, MATCH(D2117,RulebookFields!A2:A999, 0)), "")</f>
      </c>
      <c r="J2117" s="3" t="str">
        <f>_xlfn.IFNA(INDEX(RulebookFields!I2:I999, MATCH(D2117,RulebookFields!A2:A999, 0)), "")</f>
      </c>
      <c r="K2117" s="3" t="b">
        <f>AND(F2117, J2117)</f>
        <v>0</v>
      </c>
      <c r="L2117" s="3" t="b">
        <f>AND(G2117 &lt;&gt; "plain", G2117 &lt;&gt; "")</f>
        <v>0</v>
      </c>
      <c r="M2117" s="3" t="str">
        <f>IF(E2117, C2117 &amp; "|" &amp; H2117, "")</f>
        <v>principal-knowledge-authority|</v>
      </c>
      <c r="N2117" s="2" t="s">
        <v>9938</v>
      </c>
    </row>
    <row r="2118">
      <c r="A2118" s="2" t="s">
        <v>12054</v>
      </c>
      <c r="B2118" s="3" t="str">
        <f>C2118 &amp; " -&gt; " &amp; D2118</f>
        <v>principal-knowledge-authority -&gt; AuthorityBoundaries.WarrantIsThin</v>
      </c>
      <c r="C2118" s="2" t="s">
        <v>9708</v>
      </c>
      <c r="D2118" s="2" t="s">
        <v>5113</v>
      </c>
      <c r="E2118" s="2" t="b">
        <v>1</v>
      </c>
      <c r="F2118" s="2" t="b">
        <v>0</v>
      </c>
      <c r="G2118" s="2" t="s">
        <v>9937</v>
      </c>
      <c r="H2118" s="3" t="str">
        <f>_xlfn.IFNA(INDEX(RulebookFields!C2:C999, MATCH(D2118,RulebookFields!A2:A999, 0)), "")</f>
      </c>
      <c r="I2118" s="3" t="str">
        <f>_xlfn.IFNA(INDEX(RulebookFields!D2:D999, MATCH(D2118,RulebookFields!A2:A999, 0)), "")</f>
      </c>
      <c r="J2118" s="3" t="str">
        <f>_xlfn.IFNA(INDEX(RulebookFields!I2:I999, MATCH(D2118,RulebookFields!A2:A999, 0)), "")</f>
      </c>
      <c r="K2118" s="3" t="b">
        <f>AND(F2118, J2118)</f>
        <v>0</v>
      </c>
      <c r="L2118" s="3" t="b">
        <f>AND(G2118 &lt;&gt; "plain", G2118 &lt;&gt; "")</f>
        <v>0</v>
      </c>
      <c r="M2118" s="3" t="str">
        <f>IF(E2118, C2118 &amp; "|" &amp; H2118, "")</f>
        <v>principal-knowledge-authority|</v>
      </c>
      <c r="N2118" s="2" t="s">
        <v>9938</v>
      </c>
    </row>
    <row r="2119">
      <c r="A2119" s="2" t="s">
        <v>12055</v>
      </c>
      <c r="B2119" s="3" t="str">
        <f>C2119 &amp; " -&gt; " &amp; D2119</f>
        <v>principal-knowledge-authority -&gt; AuthorityBoundaries.IsUnwarrantedAndUntested</v>
      </c>
      <c r="C2119" s="2" t="s">
        <v>9708</v>
      </c>
      <c r="D2119" s="2" t="s">
        <v>5116</v>
      </c>
      <c r="E2119" s="2" t="b">
        <v>1</v>
      </c>
      <c r="F2119" s="2" t="b">
        <v>0</v>
      </c>
      <c r="G2119" s="2" t="s">
        <v>9937</v>
      </c>
      <c r="H2119" s="3" t="str">
        <f>_xlfn.IFNA(INDEX(RulebookFields!C2:C999, MATCH(D2119,RulebookFields!A2:A999, 0)), "")</f>
      </c>
      <c r="I2119" s="3" t="str">
        <f>_xlfn.IFNA(INDEX(RulebookFields!D2:D999, MATCH(D2119,RulebookFields!A2:A999, 0)), "")</f>
      </c>
      <c r="J2119" s="3" t="str">
        <f>_xlfn.IFNA(INDEX(RulebookFields!I2:I999, MATCH(D2119,RulebookFields!A2:A999, 0)), "")</f>
      </c>
      <c r="K2119" s="3" t="b">
        <f>AND(F2119, J2119)</f>
        <v>0</v>
      </c>
      <c r="L2119" s="3" t="b">
        <f>AND(G2119 &lt;&gt; "plain", G2119 &lt;&gt; "")</f>
        <v>0</v>
      </c>
      <c r="M2119" s="3" t="str">
        <f>IF(E2119, C2119 &amp; "|" &amp; H2119, "")</f>
        <v>principal-knowledge-authority|</v>
      </c>
      <c r="N2119" s="2" t="s">
        <v>9938</v>
      </c>
    </row>
    <row r="2120">
      <c r="A2120" s="2" t="s">
        <v>12056</v>
      </c>
      <c r="B2120" s="3" t="str">
        <f>C2120 &amp; " -&gt; " &amp; D2120</f>
        <v>principal-knowledge-authority -&gt; AuthorityBoundaries.UnwarrantedBoundaryStepKey</v>
      </c>
      <c r="C2120" s="2" t="s">
        <v>9708</v>
      </c>
      <c r="D2120" s="2" t="s">
        <v>5119</v>
      </c>
      <c r="E2120" s="2" t="b">
        <v>1</v>
      </c>
      <c r="F2120" s="2" t="b">
        <v>0</v>
      </c>
      <c r="G2120" s="2" t="s">
        <v>9937</v>
      </c>
      <c r="H2120" s="3" t="str">
        <f>_xlfn.IFNA(INDEX(RulebookFields!C2:C999, MATCH(D2120,RulebookFields!A2:A999, 0)), "")</f>
      </c>
      <c r="I2120" s="3" t="str">
        <f>_xlfn.IFNA(INDEX(RulebookFields!D2:D999, MATCH(D2120,RulebookFields!A2:A999, 0)), "")</f>
      </c>
      <c r="J2120" s="3" t="str">
        <f>_xlfn.IFNA(INDEX(RulebookFields!I2:I999, MATCH(D2120,RulebookFields!A2:A999, 0)), "")</f>
      </c>
      <c r="K2120" s="3" t="b">
        <f>AND(F2120, J2120)</f>
        <v>0</v>
      </c>
      <c r="L2120" s="3" t="b">
        <f>AND(G2120 &lt;&gt; "plain", G2120 &lt;&gt; "")</f>
        <v>0</v>
      </c>
      <c r="M2120" s="3" t="str">
        <f>IF(E2120, C2120 &amp; "|" &amp; H2120, "")</f>
        <v>principal-knowledge-authority|</v>
      </c>
      <c r="N2120" s="2" t="s">
        <v>9938</v>
      </c>
    </row>
    <row r="2121">
      <c r="A2121" s="2" t="s">
        <v>12057</v>
      </c>
      <c r="B2121" s="3" t="str">
        <f>C2121 &amp; " -&gt; " &amp; D2121</f>
        <v>principal-knowledge-authority -&gt; AuthorityBoundaries.RatifyingFragmentKey</v>
      </c>
      <c r="C2121" s="2" t="s">
        <v>9708</v>
      </c>
      <c r="D2121" s="2" t="s">
        <v>5122</v>
      </c>
      <c r="E2121" s="2" t="b">
        <v>1</v>
      </c>
      <c r="F2121" s="2" t="b">
        <v>0</v>
      </c>
      <c r="G2121" s="2" t="s">
        <v>9937</v>
      </c>
      <c r="H2121" s="3" t="str">
        <f>_xlfn.IFNA(INDEX(RulebookFields!C2:C999, MATCH(D2121,RulebookFields!A2:A999, 0)), "")</f>
      </c>
      <c r="I2121" s="3" t="str">
        <f>_xlfn.IFNA(INDEX(RulebookFields!D2:D999, MATCH(D2121,RulebookFields!A2:A999, 0)), "")</f>
      </c>
      <c r="J2121" s="3" t="str">
        <f>_xlfn.IFNA(INDEX(RulebookFields!I2:I999, MATCH(D2121,RulebookFields!A2:A999, 0)), "")</f>
      </c>
      <c r="K2121" s="3" t="b">
        <f>AND(F2121, J2121)</f>
        <v>0</v>
      </c>
      <c r="L2121" s="3" t="b">
        <f>AND(G2121 &lt;&gt; "plain", G2121 &lt;&gt; "")</f>
        <v>0</v>
      </c>
      <c r="M2121" s="3" t="str">
        <f>IF(E2121, C2121 &amp; "|" &amp; H2121, "")</f>
        <v>principal-knowledge-authority|</v>
      </c>
      <c r="N2121" s="2" t="s">
        <v>9938</v>
      </c>
    </row>
    <row r="2122">
      <c r="A2122" s="2" t="s">
        <v>12058</v>
      </c>
      <c r="B2122" s="3" t="str">
        <f>C2122 &amp; " -&gt; " &amp; D2122</f>
        <v>principal-knowledge-authority -&gt; AuthorityBoundaries.RatifyingFragmentStatus</v>
      </c>
      <c r="C2122" s="2" t="s">
        <v>9708</v>
      </c>
      <c r="D2122" s="2" t="s">
        <v>5125</v>
      </c>
      <c r="E2122" s="2" t="b">
        <v>1</v>
      </c>
      <c r="F2122" s="2" t="b">
        <v>0</v>
      </c>
      <c r="G2122" s="2" t="s">
        <v>9937</v>
      </c>
      <c r="H2122" s="3" t="str">
        <f>_xlfn.IFNA(INDEX(RulebookFields!C2:C999, MATCH(D2122,RulebookFields!A2:A999, 0)), "")</f>
      </c>
      <c r="I2122" s="3" t="str">
        <f>_xlfn.IFNA(INDEX(RulebookFields!D2:D999, MATCH(D2122,RulebookFields!A2:A999, 0)), "")</f>
      </c>
      <c r="J2122" s="3" t="str">
        <f>_xlfn.IFNA(INDEX(RulebookFields!I2:I999, MATCH(D2122,RulebookFields!A2:A999, 0)), "")</f>
      </c>
      <c r="K2122" s="3" t="b">
        <f>AND(F2122, J2122)</f>
        <v>0</v>
      </c>
      <c r="L2122" s="3" t="b">
        <f>AND(G2122 &lt;&gt; "plain", G2122 &lt;&gt; "")</f>
        <v>0</v>
      </c>
      <c r="M2122" s="3" t="str">
        <f>IF(E2122, C2122 &amp; "|" &amp; H2122, "")</f>
        <v>principal-knowledge-authority|</v>
      </c>
      <c r="N2122" s="2" t="s">
        <v>9938</v>
      </c>
    </row>
    <row r="2123">
      <c r="A2123" s="2" t="s">
        <v>12059</v>
      </c>
      <c r="B2123" s="3" t="str">
        <f>C2123 &amp; " -&gt; " &amp; D2123</f>
        <v>principal-knowledge-authority -&gt; AuthorityBoundaries.RatificationLapsed</v>
      </c>
      <c r="C2123" s="2" t="s">
        <v>9708</v>
      </c>
      <c r="D2123" s="2" t="s">
        <v>5128</v>
      </c>
      <c r="E2123" s="2" t="b">
        <v>1</v>
      </c>
      <c r="F2123" s="2" t="b">
        <v>0</v>
      </c>
      <c r="G2123" s="2" t="s">
        <v>9937</v>
      </c>
      <c r="H2123" s="3" t="str">
        <f>_xlfn.IFNA(INDEX(RulebookFields!C2:C999, MATCH(D2123,RulebookFields!A2:A999, 0)), "")</f>
      </c>
      <c r="I2123" s="3" t="str">
        <f>_xlfn.IFNA(INDEX(RulebookFields!D2:D999, MATCH(D2123,RulebookFields!A2:A999, 0)), "")</f>
      </c>
      <c r="J2123" s="3" t="str">
        <f>_xlfn.IFNA(INDEX(RulebookFields!I2:I999, MATCH(D2123,RulebookFields!A2:A999, 0)), "")</f>
      </c>
      <c r="K2123" s="3" t="b">
        <f>AND(F2123, J2123)</f>
        <v>0</v>
      </c>
      <c r="L2123" s="3" t="b">
        <f>AND(G2123 &lt;&gt; "plain", G2123 &lt;&gt; "")</f>
        <v>0</v>
      </c>
      <c r="M2123" s="3" t="str">
        <f>IF(E2123, C2123 &amp; "|" &amp; H2123, "")</f>
        <v>principal-knowledge-authority|</v>
      </c>
      <c r="N2123" s="2" t="s">
        <v>9938</v>
      </c>
    </row>
    <row r="2124">
      <c r="A2124" s="2" t="s">
        <v>12060</v>
      </c>
      <c r="B2124" s="3" t="str">
        <f>C2124 &amp; " -&gt; " &amp; D2124</f>
        <v>principal-knowledge-authority -&gt; AuthorityBoundaries.BindsDespiteLapsedRatification</v>
      </c>
      <c r="C2124" s="2" t="s">
        <v>9708</v>
      </c>
      <c r="D2124" s="2" t="s">
        <v>5131</v>
      </c>
      <c r="E2124" s="2" t="b">
        <v>1</v>
      </c>
      <c r="F2124" s="2" t="b">
        <v>0</v>
      </c>
      <c r="G2124" s="2" t="s">
        <v>9937</v>
      </c>
      <c r="H2124" s="3" t="str">
        <f>_xlfn.IFNA(INDEX(RulebookFields!C2:C999, MATCH(D2124,RulebookFields!A2:A999, 0)), "")</f>
      </c>
      <c r="I2124" s="3" t="str">
        <f>_xlfn.IFNA(INDEX(RulebookFields!D2:D999, MATCH(D2124,RulebookFields!A2:A999, 0)), "")</f>
      </c>
      <c r="J2124" s="3" t="str">
        <f>_xlfn.IFNA(INDEX(RulebookFields!I2:I999, MATCH(D2124,RulebookFields!A2:A999, 0)), "")</f>
      </c>
      <c r="K2124" s="3" t="b">
        <f>AND(F2124, J2124)</f>
        <v>0</v>
      </c>
      <c r="L2124" s="3" t="b">
        <f>AND(G2124 &lt;&gt; "plain", G2124 &lt;&gt; "")</f>
        <v>0</v>
      </c>
      <c r="M2124" s="3" t="str">
        <f>IF(E2124, C2124 &amp; "|" &amp; H2124, "")</f>
        <v>principal-knowledge-authority|</v>
      </c>
      <c r="N2124" s="2" t="s">
        <v>9938</v>
      </c>
    </row>
    <row r="2125">
      <c r="A2125" s="2" t="s">
        <v>12061</v>
      </c>
      <c r="B2125" s="3" t="str">
        <f>C2125 &amp; " -&gt; " &amp; D2125</f>
        <v>principal-knowledge-authority -&gt; AuthorityBoundaries.IsUngroundedAndUntested</v>
      </c>
      <c r="C2125" s="2" t="s">
        <v>9708</v>
      </c>
      <c r="D2125" s="2" t="s">
        <v>5134</v>
      </c>
      <c r="E2125" s="2" t="b">
        <v>1</v>
      </c>
      <c r="F2125" s="2" t="b">
        <v>0</v>
      </c>
      <c r="G2125" s="2" t="s">
        <v>9937</v>
      </c>
      <c r="H2125" s="3" t="str">
        <f>_xlfn.IFNA(INDEX(RulebookFields!C2:C999, MATCH(D2125,RulebookFields!A2:A999, 0)), "")</f>
      </c>
      <c r="I2125" s="3" t="str">
        <f>_xlfn.IFNA(INDEX(RulebookFields!D2:D999, MATCH(D2125,RulebookFields!A2:A999, 0)), "")</f>
      </c>
      <c r="J2125" s="3" t="str">
        <f>_xlfn.IFNA(INDEX(RulebookFields!I2:I999, MATCH(D2125,RulebookFields!A2:A999, 0)), "")</f>
      </c>
      <c r="K2125" s="3" t="b">
        <f>AND(F2125, J2125)</f>
        <v>0</v>
      </c>
      <c r="L2125" s="3" t="b">
        <f>AND(G2125 &lt;&gt; "plain", G2125 &lt;&gt; "")</f>
        <v>0</v>
      </c>
      <c r="M2125" s="3" t="str">
        <f>IF(E2125, C2125 &amp; "|" &amp; H2125, "")</f>
        <v>principal-knowledge-authority|</v>
      </c>
      <c r="N2125" s="2" t="s">
        <v>9938</v>
      </c>
    </row>
    <row r="2126">
      <c r="A2126" s="2" t="s">
        <v>12062</v>
      </c>
      <c r="B2126" s="3" t="str">
        <f>C2126 &amp; " -&gt; " &amp; D2126</f>
        <v>principal-knowledge-authority -&gt; AuthorityBoundaries.ConstrainedRoleAssignmentKey</v>
      </c>
      <c r="C2126" s="2" t="s">
        <v>9708</v>
      </c>
      <c r="D2126" s="2" t="s">
        <v>5137</v>
      </c>
      <c r="E2126" s="2" t="b">
        <v>1</v>
      </c>
      <c r="F2126" s="2" t="b">
        <v>0</v>
      </c>
      <c r="G2126" s="2" t="s">
        <v>9937</v>
      </c>
      <c r="H2126" s="3" t="str">
        <f>_xlfn.IFNA(INDEX(RulebookFields!C2:C999, MATCH(D2126,RulebookFields!A2:A999, 0)), "")</f>
      </c>
      <c r="I2126" s="3" t="str">
        <f>_xlfn.IFNA(INDEX(RulebookFields!D2:D999, MATCH(D2126,RulebookFields!A2:A999, 0)), "")</f>
      </c>
      <c r="J2126" s="3" t="str">
        <f>_xlfn.IFNA(INDEX(RulebookFields!I2:I999, MATCH(D2126,RulebookFields!A2:A999, 0)), "")</f>
      </c>
      <c r="K2126" s="3" t="b">
        <f>AND(F2126, J2126)</f>
        <v>0</v>
      </c>
      <c r="L2126" s="3" t="b">
        <f>AND(G2126 &lt;&gt; "plain", G2126 &lt;&gt; "")</f>
        <v>0</v>
      </c>
      <c r="M2126" s="3" t="str">
        <f>IF(E2126, C2126 &amp; "|" &amp; H2126, "")</f>
        <v>principal-knowledge-authority|</v>
      </c>
      <c r="N2126" s="2" t="s">
        <v>9938</v>
      </c>
    </row>
    <row r="2127">
      <c r="A2127" s="2" t="s">
        <v>12063</v>
      </c>
      <c r="B2127" s="3" t="str">
        <f>C2127 &amp; " -&gt; " &amp; D2127</f>
        <v>principal-knowledge-authority -&gt; AuthorityBoundaries.SemanticTypeIri</v>
      </c>
      <c r="C2127" s="2" t="s">
        <v>9708</v>
      </c>
      <c r="D2127" s="2" t="s">
        <v>5140</v>
      </c>
      <c r="E2127" s="2" t="b">
        <v>1</v>
      </c>
      <c r="F2127" s="2" t="b">
        <v>0</v>
      </c>
      <c r="G2127" s="2" t="s">
        <v>9937</v>
      </c>
      <c r="H2127" s="3" t="str">
        <f>_xlfn.IFNA(INDEX(RulebookFields!C2:C999, MATCH(D2127,RulebookFields!A2:A999, 0)), "")</f>
      </c>
      <c r="I2127" s="3" t="str">
        <f>_xlfn.IFNA(INDEX(RulebookFields!D2:D999, MATCH(D2127,RulebookFields!A2:A999, 0)), "")</f>
      </c>
      <c r="J2127" s="3" t="str">
        <f>_xlfn.IFNA(INDEX(RulebookFields!I2:I999, MATCH(D2127,RulebookFields!A2:A999, 0)), "")</f>
      </c>
      <c r="K2127" s="3" t="b">
        <f>AND(F2127, J2127)</f>
        <v>0</v>
      </c>
      <c r="L2127" s="3" t="b">
        <f>AND(G2127 &lt;&gt; "plain", G2127 &lt;&gt; "")</f>
        <v>0</v>
      </c>
      <c r="M2127" s="3" t="str">
        <f>IF(E2127, C2127 &amp; "|" &amp; H2127, "")</f>
        <v>principal-knowledge-authority|</v>
      </c>
      <c r="N2127" s="2" t="s">
        <v>9938</v>
      </c>
    </row>
    <row r="2128">
      <c r="A2128" s="2" t="s">
        <v>12064</v>
      </c>
      <c r="B2128" s="3" t="str">
        <f>C2128 &amp; " -&gt; " &amp; D2128</f>
        <v>principal-knowledge-authority -&gt; BindingObservations.BindingObservationId</v>
      </c>
      <c r="C2128" s="2" t="s">
        <v>9708</v>
      </c>
      <c r="D2128" s="2" t="s">
        <v>5141</v>
      </c>
      <c r="E2128" s="2" t="b">
        <v>1</v>
      </c>
      <c r="F2128" s="2" t="b">
        <v>0</v>
      </c>
      <c r="G2128" s="2" t="s">
        <v>9937</v>
      </c>
      <c r="H2128" s="3" t="str">
        <f>_xlfn.IFNA(INDEX(RulebookFields!C2:C999, MATCH(D2128,RulebookFields!A2:A999, 0)), "")</f>
      </c>
      <c r="I2128" s="3" t="str">
        <f>_xlfn.IFNA(INDEX(RulebookFields!D2:D999, MATCH(D2128,RulebookFields!A2:A999, 0)), "")</f>
      </c>
      <c r="J2128" s="3" t="str">
        <f>_xlfn.IFNA(INDEX(RulebookFields!I2:I999, MATCH(D2128,RulebookFields!A2:A999, 0)), "")</f>
      </c>
      <c r="K2128" s="3" t="b">
        <f>AND(F2128, J2128)</f>
        <v>0</v>
      </c>
      <c r="L2128" s="3" t="b">
        <f>AND(G2128 &lt;&gt; "plain", G2128 &lt;&gt; "")</f>
        <v>0</v>
      </c>
      <c r="M2128" s="3" t="str">
        <f>IF(E2128, C2128 &amp; "|" &amp; H2128, "")</f>
        <v>principal-knowledge-authority|</v>
      </c>
      <c r="N2128" s="2" t="s">
        <v>9938</v>
      </c>
    </row>
    <row r="2129">
      <c r="A2129" s="2" t="s">
        <v>12065</v>
      </c>
      <c r="B2129" s="3" t="str">
        <f>C2129 &amp; " -&gt; " &amp; D2129</f>
        <v>principal-knowledge-authority -&gt; BindingObservations.Name</v>
      </c>
      <c r="C2129" s="2" t="s">
        <v>9708</v>
      </c>
      <c r="D2129" s="2" t="s">
        <v>5144</v>
      </c>
      <c r="E2129" s="2" t="b">
        <v>1</v>
      </c>
      <c r="F2129" s="2" t="b">
        <v>0</v>
      </c>
      <c r="G2129" s="2" t="s">
        <v>9937</v>
      </c>
      <c r="H2129" s="3" t="str">
        <f>_xlfn.IFNA(INDEX(RulebookFields!C2:C999, MATCH(D2129,RulebookFields!A2:A999, 0)), "")</f>
      </c>
      <c r="I2129" s="3" t="str">
        <f>_xlfn.IFNA(INDEX(RulebookFields!D2:D999, MATCH(D2129,RulebookFields!A2:A999, 0)), "")</f>
      </c>
      <c r="J2129" s="3" t="str">
        <f>_xlfn.IFNA(INDEX(RulebookFields!I2:I999, MATCH(D2129,RulebookFields!A2:A999, 0)), "")</f>
      </c>
      <c r="K2129" s="3" t="b">
        <f>AND(F2129, J2129)</f>
        <v>0</v>
      </c>
      <c r="L2129" s="3" t="b">
        <f>AND(G2129 &lt;&gt; "plain", G2129 &lt;&gt; "")</f>
        <v>0</v>
      </c>
      <c r="M2129" s="3" t="str">
        <f>IF(E2129, C2129 &amp; "|" &amp; H2129, "")</f>
        <v>principal-knowledge-authority|</v>
      </c>
      <c r="N2129" s="2" t="s">
        <v>9938</v>
      </c>
    </row>
    <row r="2130">
      <c r="A2130" s="2" t="s">
        <v>12066</v>
      </c>
      <c r="B2130" s="3" t="str">
        <f>C2130 &amp; " -&gt; " &amp; D2130</f>
        <v>principal-knowledge-authority -&gt; BindingObservations.StepExecution</v>
      </c>
      <c r="C2130" s="2" t="s">
        <v>9708</v>
      </c>
      <c r="D2130" s="2" t="s">
        <v>5146</v>
      </c>
      <c r="E2130" s="2" t="b">
        <v>1</v>
      </c>
      <c r="F2130" s="2" t="b">
        <v>0</v>
      </c>
      <c r="G2130" s="2" t="s">
        <v>9937</v>
      </c>
      <c r="H2130" s="3" t="str">
        <f>_xlfn.IFNA(INDEX(RulebookFields!C2:C999, MATCH(D2130,RulebookFields!A2:A999, 0)), "")</f>
      </c>
      <c r="I2130" s="3" t="str">
        <f>_xlfn.IFNA(INDEX(RulebookFields!D2:D999, MATCH(D2130,RulebookFields!A2:A999, 0)), "")</f>
      </c>
      <c r="J2130" s="3" t="str">
        <f>_xlfn.IFNA(INDEX(RulebookFields!I2:I999, MATCH(D2130,RulebookFields!A2:A999, 0)), "")</f>
      </c>
      <c r="K2130" s="3" t="b">
        <f>AND(F2130, J2130)</f>
        <v>0</v>
      </c>
      <c r="L2130" s="3" t="b">
        <f>AND(G2130 &lt;&gt; "plain", G2130 &lt;&gt; "")</f>
        <v>0</v>
      </c>
      <c r="M2130" s="3" t="str">
        <f>IF(E2130, C2130 &amp; "|" &amp; H2130, "")</f>
        <v>principal-knowledge-authority|</v>
      </c>
      <c r="N2130" s="2" t="s">
        <v>9938</v>
      </c>
    </row>
    <row r="2131">
      <c r="A2131" s="2" t="s">
        <v>12067</v>
      </c>
      <c r="B2131" s="3" t="str">
        <f>C2131 &amp; " -&gt; " &amp; D2131</f>
        <v>principal-knowledge-authority -&gt; BindingObservations.OperationalBinding</v>
      </c>
      <c r="C2131" s="2" t="s">
        <v>9708</v>
      </c>
      <c r="D2131" s="2" t="s">
        <v>5147</v>
      </c>
      <c r="E2131" s="2" t="b">
        <v>1</v>
      </c>
      <c r="F2131" s="2" t="b">
        <v>0</v>
      </c>
      <c r="G2131" s="2" t="s">
        <v>9937</v>
      </c>
      <c r="H2131" s="3" t="str">
        <f>_xlfn.IFNA(INDEX(RulebookFields!C2:C999, MATCH(D2131,RulebookFields!A2:A999, 0)), "")</f>
      </c>
      <c r="I2131" s="3" t="str">
        <f>_xlfn.IFNA(INDEX(RulebookFields!D2:D999, MATCH(D2131,RulebookFields!A2:A999, 0)), "")</f>
      </c>
      <c r="J2131" s="3" t="str">
        <f>_xlfn.IFNA(INDEX(RulebookFields!I2:I999, MATCH(D2131,RulebookFields!A2:A999, 0)), "")</f>
      </c>
      <c r="K2131" s="3" t="b">
        <f>AND(F2131, J2131)</f>
        <v>0</v>
      </c>
      <c r="L2131" s="3" t="b">
        <f>AND(G2131 &lt;&gt; "plain", G2131 &lt;&gt; "")</f>
        <v>0</v>
      </c>
      <c r="M2131" s="3" t="str">
        <f>IF(E2131, C2131 &amp; "|" &amp; H2131, "")</f>
        <v>principal-knowledge-authority|</v>
      </c>
      <c r="N2131" s="2" t="s">
        <v>9938</v>
      </c>
    </row>
    <row r="2132">
      <c r="A2132" s="2" t="s">
        <v>12068</v>
      </c>
      <c r="B2132" s="3" t="str">
        <f>C2132 &amp; " -&gt; " &amp; D2132</f>
        <v>principal-knowledge-authority -&gt; BindingObservations.ObservedSourceTimestamp</v>
      </c>
      <c r="C2132" s="2" t="s">
        <v>9708</v>
      </c>
      <c r="D2132" s="2" t="s">
        <v>5149</v>
      </c>
      <c r="E2132" s="2" t="b">
        <v>1</v>
      </c>
      <c r="F2132" s="2" t="b">
        <v>0</v>
      </c>
      <c r="G2132" s="2" t="s">
        <v>9937</v>
      </c>
      <c r="H2132" s="3" t="str">
        <f>_xlfn.IFNA(INDEX(RulebookFields!C2:C999, MATCH(D2132,RulebookFields!A2:A999, 0)), "")</f>
      </c>
      <c r="I2132" s="3" t="str">
        <f>_xlfn.IFNA(INDEX(RulebookFields!D2:D999, MATCH(D2132,RulebookFields!A2:A999, 0)), "")</f>
      </c>
      <c r="J2132" s="3" t="str">
        <f>_xlfn.IFNA(INDEX(RulebookFields!I2:I999, MATCH(D2132,RulebookFields!A2:A999, 0)), "")</f>
      </c>
      <c r="K2132" s="3" t="b">
        <f>AND(F2132, J2132)</f>
        <v>0</v>
      </c>
      <c r="L2132" s="3" t="b">
        <f>AND(G2132 &lt;&gt; "plain", G2132 &lt;&gt; "")</f>
        <v>0</v>
      </c>
      <c r="M2132" s="3" t="str">
        <f>IF(E2132, C2132 &amp; "|" &amp; H2132, "")</f>
        <v>principal-knowledge-authority|</v>
      </c>
      <c r="N2132" s="2" t="s">
        <v>9938</v>
      </c>
    </row>
    <row r="2133">
      <c r="A2133" s="2" t="s">
        <v>12069</v>
      </c>
      <c r="B2133" s="3" t="str">
        <f>C2133 &amp; " -&gt; " &amp; D2133</f>
        <v>principal-knowledge-authority -&gt; BindingObservations.ReadAt</v>
      </c>
      <c r="C2133" s="2" t="s">
        <v>9708</v>
      </c>
      <c r="D2133" s="2" t="s">
        <v>5151</v>
      </c>
      <c r="E2133" s="2" t="b">
        <v>1</v>
      </c>
      <c r="F2133" s="2" t="b">
        <v>0</v>
      </c>
      <c r="G2133" s="2" t="s">
        <v>9937</v>
      </c>
      <c r="H2133" s="3" t="str">
        <f>_xlfn.IFNA(INDEX(RulebookFields!C2:C999, MATCH(D2133,RulebookFields!A2:A999, 0)), "")</f>
      </c>
      <c r="I2133" s="3" t="str">
        <f>_xlfn.IFNA(INDEX(RulebookFields!D2:D999, MATCH(D2133,RulebookFields!A2:A999, 0)), "")</f>
      </c>
      <c r="J2133" s="3" t="str">
        <f>_xlfn.IFNA(INDEX(RulebookFields!I2:I999, MATCH(D2133,RulebookFields!A2:A999, 0)), "")</f>
      </c>
      <c r="K2133" s="3" t="b">
        <f>AND(F2133, J2133)</f>
        <v>0</v>
      </c>
      <c r="L2133" s="3" t="b">
        <f>AND(G2133 &lt;&gt; "plain", G2133 &lt;&gt; "")</f>
        <v>0</v>
      </c>
      <c r="M2133" s="3" t="str">
        <f>IF(E2133, C2133 &amp; "|" &amp; H2133, "")</f>
        <v>principal-knowledge-authority|</v>
      </c>
      <c r="N2133" s="2" t="s">
        <v>9938</v>
      </c>
    </row>
    <row r="2134">
      <c r="A2134" s="2" t="s">
        <v>12070</v>
      </c>
      <c r="B2134" s="3" t="str">
        <f>C2134 &amp; " -&gt; " &amp; D2134</f>
        <v>principal-knowledge-authority -&gt; BindingObservations.SlaMinutesAtRun</v>
      </c>
      <c r="C2134" s="2" t="s">
        <v>9708</v>
      </c>
      <c r="D2134" s="2" t="s">
        <v>5153</v>
      </c>
      <c r="E2134" s="2" t="b">
        <v>1</v>
      </c>
      <c r="F2134" s="2" t="b">
        <v>0</v>
      </c>
      <c r="G2134" s="2" t="s">
        <v>9937</v>
      </c>
      <c r="H2134" s="3" t="str">
        <f>_xlfn.IFNA(INDEX(RulebookFields!C2:C999, MATCH(D2134,RulebookFields!A2:A999, 0)), "")</f>
      </c>
      <c r="I2134" s="3" t="str">
        <f>_xlfn.IFNA(INDEX(RulebookFields!D2:D999, MATCH(D2134,RulebookFields!A2:A999, 0)), "")</f>
      </c>
      <c r="J2134" s="3" t="str">
        <f>_xlfn.IFNA(INDEX(RulebookFields!I2:I999, MATCH(D2134,RulebookFields!A2:A999, 0)), "")</f>
      </c>
      <c r="K2134" s="3" t="b">
        <f>AND(F2134, J2134)</f>
        <v>0</v>
      </c>
      <c r="L2134" s="3" t="b">
        <f>AND(G2134 &lt;&gt; "plain", G2134 &lt;&gt; "")</f>
        <v>0</v>
      </c>
      <c r="M2134" s="3" t="str">
        <f>IF(E2134, C2134 &amp; "|" &amp; H2134, "")</f>
        <v>principal-knowledge-authority|</v>
      </c>
      <c r="N2134" s="2" t="s">
        <v>9938</v>
      </c>
    </row>
    <row r="2135">
      <c r="A2135" s="2" t="s">
        <v>12071</v>
      </c>
      <c r="B2135" s="3" t="str">
        <f>C2135 &amp; " -&gt; " &amp; D2135</f>
        <v>principal-knowledge-authority -&gt; BindingObservations.AgeAtRunMinutes</v>
      </c>
      <c r="C2135" s="2" t="s">
        <v>9708</v>
      </c>
      <c r="D2135" s="2" t="s">
        <v>5156</v>
      </c>
      <c r="E2135" s="2" t="b">
        <v>1</v>
      </c>
      <c r="F2135" s="2" t="b">
        <v>0</v>
      </c>
      <c r="G2135" s="2" t="s">
        <v>9937</v>
      </c>
      <c r="H2135" s="3" t="str">
        <f>_xlfn.IFNA(INDEX(RulebookFields!C2:C999, MATCH(D2135,RulebookFields!A2:A999, 0)), "")</f>
      </c>
      <c r="I2135" s="3" t="str">
        <f>_xlfn.IFNA(INDEX(RulebookFields!D2:D999, MATCH(D2135,RulebookFields!A2:A999, 0)), "")</f>
      </c>
      <c r="J2135" s="3" t="str">
        <f>_xlfn.IFNA(INDEX(RulebookFields!I2:I999, MATCH(D2135,RulebookFields!A2:A999, 0)), "")</f>
      </c>
      <c r="K2135" s="3" t="b">
        <f>AND(F2135, J2135)</f>
        <v>0</v>
      </c>
      <c r="L2135" s="3" t="b">
        <f>AND(G2135 &lt;&gt; "plain", G2135 &lt;&gt; "")</f>
        <v>0</v>
      </c>
      <c r="M2135" s="3" t="str">
        <f>IF(E2135, C2135 &amp; "|" &amp; H2135, "")</f>
        <v>principal-knowledge-authority|</v>
      </c>
      <c r="N2135" s="2" t="s">
        <v>9938</v>
      </c>
    </row>
    <row r="2136">
      <c r="A2136" s="2" t="s">
        <v>12072</v>
      </c>
      <c r="B2136" s="3" t="str">
        <f>C2136 &amp; " -&gt; " &amp; D2136</f>
        <v>principal-knowledge-authority -&gt; BindingObservations.WasStaleAtRun</v>
      </c>
      <c r="C2136" s="2" t="s">
        <v>9708</v>
      </c>
      <c r="D2136" s="2" t="s">
        <v>5159</v>
      </c>
      <c r="E2136" s="2" t="b">
        <v>1</v>
      </c>
      <c r="F2136" s="2" t="b">
        <v>0</v>
      </c>
      <c r="G2136" s="2" t="s">
        <v>9937</v>
      </c>
      <c r="H2136" s="3" t="str">
        <f>_xlfn.IFNA(INDEX(RulebookFields!C2:C999, MATCH(D2136,RulebookFields!A2:A999, 0)), "")</f>
      </c>
      <c r="I2136" s="3" t="str">
        <f>_xlfn.IFNA(INDEX(RulebookFields!D2:D999, MATCH(D2136,RulebookFields!A2:A999, 0)), "")</f>
      </c>
      <c r="J2136" s="3" t="str">
        <f>_xlfn.IFNA(INDEX(RulebookFields!I2:I999, MATCH(D2136,RulebookFields!A2:A999, 0)), "")</f>
      </c>
      <c r="K2136" s="3" t="b">
        <f>AND(F2136, J2136)</f>
        <v>0</v>
      </c>
      <c r="L2136" s="3" t="b">
        <f>AND(G2136 &lt;&gt; "plain", G2136 &lt;&gt; "")</f>
        <v>0</v>
      </c>
      <c r="M2136" s="3" t="str">
        <f>IF(E2136, C2136 &amp; "|" &amp; H2136, "")</f>
        <v>principal-knowledge-authority|</v>
      </c>
      <c r="N2136" s="2" t="s">
        <v>9938</v>
      </c>
    </row>
    <row r="2137">
      <c r="A2137" s="2" t="s">
        <v>12073</v>
      </c>
      <c r="B2137" s="3" t="str">
        <f>C2137 &amp; " -&gt; " &amp; D2137</f>
        <v>principal-knowledge-authority -&gt; BindingObservations.IsAuthoritativeBinding</v>
      </c>
      <c r="C2137" s="2" t="s">
        <v>9708</v>
      </c>
      <c r="D2137" s="2" t="s">
        <v>5162</v>
      </c>
      <c r="E2137" s="2" t="b">
        <v>1</v>
      </c>
      <c r="F2137" s="2" t="b">
        <v>0</v>
      </c>
      <c r="G2137" s="2" t="s">
        <v>9937</v>
      </c>
      <c r="H2137" s="3" t="str">
        <f>_xlfn.IFNA(INDEX(RulebookFields!C2:C999, MATCH(D2137,RulebookFields!A2:A999, 0)), "")</f>
      </c>
      <c r="I2137" s="3" t="str">
        <f>_xlfn.IFNA(INDEX(RulebookFields!D2:D999, MATCH(D2137,RulebookFields!A2:A999, 0)), "")</f>
      </c>
      <c r="J2137" s="3" t="str">
        <f>_xlfn.IFNA(INDEX(RulebookFields!I2:I999, MATCH(D2137,RulebookFields!A2:A999, 0)), "")</f>
      </c>
      <c r="K2137" s="3" t="b">
        <f>AND(F2137, J2137)</f>
        <v>0</v>
      </c>
      <c r="L2137" s="3" t="b">
        <f>AND(G2137 &lt;&gt; "plain", G2137 &lt;&gt; "")</f>
        <v>0</v>
      </c>
      <c r="M2137" s="3" t="str">
        <f>IF(E2137, C2137 &amp; "|" &amp; H2137, "")</f>
        <v>principal-knowledge-authority|</v>
      </c>
      <c r="N2137" s="2" t="s">
        <v>9938</v>
      </c>
    </row>
    <row r="2138">
      <c r="A2138" s="2" t="s">
        <v>12074</v>
      </c>
      <c r="B2138" s="3" t="str">
        <f>C2138 &amp; " -&gt; " &amp; D2138</f>
        <v>principal-knowledge-authority -&gt; BindingObservations.StaleAtRunStepKey</v>
      </c>
      <c r="C2138" s="2" t="s">
        <v>9708</v>
      </c>
      <c r="D2138" s="2" t="s">
        <v>5165</v>
      </c>
      <c r="E2138" s="2" t="b">
        <v>1</v>
      </c>
      <c r="F2138" s="2" t="b">
        <v>0</v>
      </c>
      <c r="G2138" s="2" t="s">
        <v>9937</v>
      </c>
      <c r="H2138" s="3" t="str">
        <f>_xlfn.IFNA(INDEX(RulebookFields!C2:C999, MATCH(D2138,RulebookFields!A2:A999, 0)), "")</f>
      </c>
      <c r="I2138" s="3" t="str">
        <f>_xlfn.IFNA(INDEX(RulebookFields!D2:D999, MATCH(D2138,RulebookFields!A2:A999, 0)), "")</f>
      </c>
      <c r="J2138" s="3" t="str">
        <f>_xlfn.IFNA(INDEX(RulebookFields!I2:I999, MATCH(D2138,RulebookFields!A2:A999, 0)), "")</f>
      </c>
      <c r="K2138" s="3" t="b">
        <f>AND(F2138, J2138)</f>
        <v>0</v>
      </c>
      <c r="L2138" s="3" t="b">
        <f>AND(G2138 &lt;&gt; "plain", G2138 &lt;&gt; "")</f>
        <v>0</v>
      </c>
      <c r="M2138" s="3" t="str">
        <f>IF(E2138, C2138 &amp; "|" &amp; H2138, "")</f>
        <v>principal-knowledge-authority|</v>
      </c>
      <c r="N2138" s="2" t="s">
        <v>9938</v>
      </c>
    </row>
    <row r="2139">
      <c r="A2139" s="2" t="s">
        <v>12075</v>
      </c>
      <c r="B2139" s="3" t="str">
        <f>C2139 &amp; " -&gt; " &amp; D2139</f>
        <v>principal-knowledge-authority -&gt; ChangeRequests.ChangeRequestId</v>
      </c>
      <c r="C2139" s="2" t="s">
        <v>9708</v>
      </c>
      <c r="D2139" s="2" t="s">
        <v>3847</v>
      </c>
      <c r="E2139" s="2" t="b">
        <v>1</v>
      </c>
      <c r="F2139" s="2" t="b">
        <v>0</v>
      </c>
      <c r="G2139" s="2" t="s">
        <v>9937</v>
      </c>
      <c r="H2139" s="3" t="str">
        <f>_xlfn.IFNA(INDEX(RulebookFields!C2:C999, MATCH(D2139,RulebookFields!A2:A999, 0)), "")</f>
        <v>ChangeRequests</v>
      </c>
      <c r="I2139" s="3" t="str">
        <f>_xlfn.IFNA(INDEX(RulebookFields!D2:D999, MATCH(D2139,RulebookFields!A2:A999, 0)), "")</f>
        <v>ChangeRequestId</v>
      </c>
      <c r="J2139" s="3" t="b">
        <f>_xlfn.IFNA(INDEX(RulebookFields!I2:I999, MATCH(D2139,RulebookFields!A2:A999, 0)), "")</f>
        <v>0</v>
      </c>
      <c r="K2139" s="3" t="b">
        <f>AND(F2139, J2139)</f>
        <v>0</v>
      </c>
      <c r="L2139" s="3" t="b">
        <f>AND(G2139 &lt;&gt; "plain", G2139 &lt;&gt; "")</f>
        <v>0</v>
      </c>
      <c r="M2139" s="3" t="str">
        <f>IF(E2139, C2139 &amp; "|" &amp; H2139, "")</f>
        <v>principal-knowledge-authority|ChangeRequests</v>
      </c>
      <c r="N2139" s="2" t="s">
        <v>9938</v>
      </c>
    </row>
    <row r="2140">
      <c r="A2140" s="2" t="s">
        <v>12076</v>
      </c>
      <c r="B2140" s="3" t="str">
        <f>C2140 &amp; " -&gt; " &amp; D2140</f>
        <v>principal-knowledge-authority -&gt; ChangeRequests.Name</v>
      </c>
      <c r="C2140" s="2" t="s">
        <v>9708</v>
      </c>
      <c r="D2140" s="2" t="s">
        <v>3849</v>
      </c>
      <c r="E2140" s="2" t="b">
        <v>1</v>
      </c>
      <c r="F2140" s="2" t="b">
        <v>0</v>
      </c>
      <c r="G2140" s="2" t="s">
        <v>9937</v>
      </c>
      <c r="H2140" s="3" t="str">
        <f>_xlfn.IFNA(INDEX(RulebookFields!C2:C999, MATCH(D2140,RulebookFields!A2:A999, 0)), "")</f>
        <v>ChangeRequests</v>
      </c>
      <c r="I2140" s="3" t="str">
        <f>_xlfn.IFNA(INDEX(RulebookFields!D2:D999, MATCH(D2140,RulebookFields!A2:A999, 0)), "")</f>
        <v>Name</v>
      </c>
      <c r="J2140" s="3" t="b">
        <f>_xlfn.IFNA(INDEX(RulebookFields!I2:I999, MATCH(D2140,RulebookFields!A2:A999, 0)), "")</f>
        <v>1</v>
      </c>
      <c r="K2140" s="3" t="b">
        <f>AND(F2140, J2140)</f>
        <v>0</v>
      </c>
      <c r="L2140" s="3" t="b">
        <f>AND(G2140 &lt;&gt; "plain", G2140 &lt;&gt; "")</f>
        <v>0</v>
      </c>
      <c r="M2140" s="3" t="str">
        <f>IF(E2140, C2140 &amp; "|" &amp; H2140, "")</f>
        <v>principal-knowledge-authority|ChangeRequests</v>
      </c>
      <c r="N2140" s="2" t="s">
        <v>9938</v>
      </c>
    </row>
    <row r="2141">
      <c r="A2141" s="2" t="s">
        <v>12077</v>
      </c>
      <c r="B2141" s="3" t="str">
        <f>C2141 &amp; " -&gt; " &amp; D2141</f>
        <v>principal-knowledge-authority -&gt; ChangeRequests.ProcedureVersion</v>
      </c>
      <c r="C2141" s="2" t="s">
        <v>9708</v>
      </c>
      <c r="D2141" s="2" t="s">
        <v>3850</v>
      </c>
      <c r="E2141" s="2" t="b">
        <v>1</v>
      </c>
      <c r="F2141" s="2" t="b">
        <v>0</v>
      </c>
      <c r="G2141" s="2" t="s">
        <v>9937</v>
      </c>
      <c r="H2141" s="3" t="str">
        <f>_xlfn.IFNA(INDEX(RulebookFields!C2:C999, MATCH(D2141,RulebookFields!A2:A999, 0)), "")</f>
        <v>ChangeRequests</v>
      </c>
      <c r="I2141" s="3" t="str">
        <f>_xlfn.IFNA(INDEX(RulebookFields!D2:D999, MATCH(D2141,RulebookFields!A2:A999, 0)), "")</f>
        <v>ProcedureVersion</v>
      </c>
      <c r="J2141" s="3" t="b">
        <f>_xlfn.IFNA(INDEX(RulebookFields!I2:I999, MATCH(D2141,RulebookFields!A2:A999, 0)), "")</f>
        <v>0</v>
      </c>
      <c r="K2141" s="3" t="b">
        <f>AND(F2141, J2141)</f>
        <v>0</v>
      </c>
      <c r="L2141" s="3" t="b">
        <f>AND(G2141 &lt;&gt; "plain", G2141 &lt;&gt; "")</f>
        <v>0</v>
      </c>
      <c r="M2141" s="3" t="str">
        <f>IF(E2141, C2141 &amp; "|" &amp; H2141, "")</f>
        <v>principal-knowledge-authority|ChangeRequests</v>
      </c>
      <c r="N2141" s="2" t="s">
        <v>9938</v>
      </c>
    </row>
    <row r="2142">
      <c r="A2142" s="2" t="s">
        <v>12078</v>
      </c>
      <c r="B2142" s="3" t="str">
        <f>C2142 &amp; " -&gt; " &amp; D2142</f>
        <v>principal-knowledge-authority -&gt; ChangeRequests.Title</v>
      </c>
      <c r="C2142" s="2" t="s">
        <v>9708</v>
      </c>
      <c r="D2142" s="2" t="s">
        <v>3851</v>
      </c>
      <c r="E2142" s="2" t="b">
        <v>1</v>
      </c>
      <c r="F2142" s="2" t="b">
        <v>0</v>
      </c>
      <c r="G2142" s="2" t="s">
        <v>9937</v>
      </c>
      <c r="H2142" s="3" t="str">
        <f>_xlfn.IFNA(INDEX(RulebookFields!C2:C999, MATCH(D2142,RulebookFields!A2:A999, 0)), "")</f>
        <v>ChangeRequests</v>
      </c>
      <c r="I2142" s="3" t="str">
        <f>_xlfn.IFNA(INDEX(RulebookFields!D2:D999, MATCH(D2142,RulebookFields!A2:A999, 0)), "")</f>
        <v>Title</v>
      </c>
      <c r="J2142" s="3" t="b">
        <f>_xlfn.IFNA(INDEX(RulebookFields!I2:I999, MATCH(D2142,RulebookFields!A2:A999, 0)), "")</f>
        <v>0</v>
      </c>
      <c r="K2142" s="3" t="b">
        <f>AND(F2142, J2142)</f>
        <v>0</v>
      </c>
      <c r="L2142" s="3" t="b">
        <f>AND(G2142 &lt;&gt; "plain", G2142 &lt;&gt; "")</f>
        <v>0</v>
      </c>
      <c r="M2142" s="3" t="str">
        <f>IF(E2142, C2142 &amp; "|" &amp; H2142, "")</f>
        <v>principal-knowledge-authority|ChangeRequests</v>
      </c>
      <c r="N2142" s="2" t="s">
        <v>9938</v>
      </c>
    </row>
    <row r="2143">
      <c r="A2143" s="2" t="s">
        <v>12079</v>
      </c>
      <c r="B2143" s="3" t="str">
        <f>C2143 &amp; " -&gt; " &amp; D2143</f>
        <v>principal-knowledge-authority -&gt; ChangeRequests.ChangeKind</v>
      </c>
      <c r="C2143" s="2" t="s">
        <v>9708</v>
      </c>
      <c r="D2143" s="2" t="s">
        <v>3852</v>
      </c>
      <c r="E2143" s="2" t="b">
        <v>1</v>
      </c>
      <c r="F2143" s="2" t="b">
        <v>0</v>
      </c>
      <c r="G2143" s="2" t="s">
        <v>9937</v>
      </c>
      <c r="H2143" s="3" t="str">
        <f>_xlfn.IFNA(INDEX(RulebookFields!C2:C999, MATCH(D2143,RulebookFields!A2:A999, 0)), "")</f>
        <v>ChangeRequests</v>
      </c>
      <c r="I2143" s="3" t="str">
        <f>_xlfn.IFNA(INDEX(RulebookFields!D2:D999, MATCH(D2143,RulebookFields!A2:A999, 0)), "")</f>
        <v>ChangeKind</v>
      </c>
      <c r="J2143" s="3" t="b">
        <f>_xlfn.IFNA(INDEX(RulebookFields!I2:I999, MATCH(D2143,RulebookFields!A2:A999, 0)), "")</f>
        <v>0</v>
      </c>
      <c r="K2143" s="3" t="b">
        <f>AND(F2143, J2143)</f>
        <v>0</v>
      </c>
      <c r="L2143" s="3" t="b">
        <f>AND(G2143 &lt;&gt; "plain", G2143 &lt;&gt; "")</f>
        <v>0</v>
      </c>
      <c r="M2143" s="3" t="str">
        <f>IF(E2143, C2143 &amp; "|" &amp; H2143, "")</f>
        <v>principal-knowledge-authority|ChangeRequests</v>
      </c>
      <c r="N2143" s="2" t="s">
        <v>9938</v>
      </c>
    </row>
    <row r="2144">
      <c r="A2144" s="2" t="s">
        <v>12080</v>
      </c>
      <c r="B2144" s="3" t="str">
        <f>C2144 &amp; " -&gt; " &amp; D2144</f>
        <v>principal-knowledge-authority -&gt; ChangeRequests.Status</v>
      </c>
      <c r="C2144" s="2" t="s">
        <v>9708</v>
      </c>
      <c r="D2144" s="2" t="s">
        <v>3853</v>
      </c>
      <c r="E2144" s="2" t="b">
        <v>1</v>
      </c>
      <c r="F2144" s="2" t="b">
        <v>0</v>
      </c>
      <c r="G2144" s="2" t="s">
        <v>9937</v>
      </c>
      <c r="H2144" s="3" t="str">
        <f>_xlfn.IFNA(INDEX(RulebookFields!C2:C999, MATCH(D2144,RulebookFields!A2:A999, 0)), "")</f>
        <v>ChangeRequests</v>
      </c>
      <c r="I2144" s="3" t="str">
        <f>_xlfn.IFNA(INDEX(RulebookFields!D2:D999, MATCH(D2144,RulebookFields!A2:A999, 0)), "")</f>
        <v>Status</v>
      </c>
      <c r="J2144" s="3" t="b">
        <f>_xlfn.IFNA(INDEX(RulebookFields!I2:I999, MATCH(D2144,RulebookFields!A2:A999, 0)), "")</f>
        <v>0</v>
      </c>
      <c r="K2144" s="3" t="b">
        <f>AND(F2144, J2144)</f>
        <v>0</v>
      </c>
      <c r="L2144" s="3" t="b">
        <f>AND(G2144 &lt;&gt; "plain", G2144 &lt;&gt; "")</f>
        <v>0</v>
      </c>
      <c r="M2144" s="3" t="str">
        <f>IF(E2144, C2144 &amp; "|" &amp; H2144, "")</f>
        <v>principal-knowledge-authority|ChangeRequests</v>
      </c>
      <c r="N2144" s="2" t="s">
        <v>9938</v>
      </c>
    </row>
    <row r="2145">
      <c r="A2145" s="2" t="s">
        <v>12081</v>
      </c>
      <c r="B2145" s="3" t="str">
        <f>C2145 &amp; " -&gt; " &amp; D2145</f>
        <v>principal-knowledge-authority -&gt; ChangeRequests.RequestedByAgent</v>
      </c>
      <c r="C2145" s="2" t="s">
        <v>9708</v>
      </c>
      <c r="D2145" s="2" t="s">
        <v>3854</v>
      </c>
      <c r="E2145" s="2" t="b">
        <v>1</v>
      </c>
      <c r="F2145" s="2" t="b">
        <v>0</v>
      </c>
      <c r="G2145" s="2" t="s">
        <v>9937</v>
      </c>
      <c r="H2145" s="3" t="str">
        <f>_xlfn.IFNA(INDEX(RulebookFields!C2:C999, MATCH(D2145,RulebookFields!A2:A999, 0)), "")</f>
        <v>ChangeRequests</v>
      </c>
      <c r="I2145" s="3" t="str">
        <f>_xlfn.IFNA(INDEX(RulebookFields!D2:D999, MATCH(D2145,RulebookFields!A2:A999, 0)), "")</f>
        <v>RequestedByAgent</v>
      </c>
      <c r="J2145" s="3" t="b">
        <f>_xlfn.IFNA(INDEX(RulebookFields!I2:I999, MATCH(D2145,RulebookFields!A2:A999, 0)), "")</f>
        <v>0</v>
      </c>
      <c r="K2145" s="3" t="b">
        <f>AND(F2145, J2145)</f>
        <v>0</v>
      </c>
      <c r="L2145" s="3" t="b">
        <f>AND(G2145 &lt;&gt; "plain", G2145 &lt;&gt; "")</f>
        <v>0</v>
      </c>
      <c r="M2145" s="3" t="str">
        <f>IF(E2145, C2145 &amp; "|" &amp; H2145, "")</f>
        <v>principal-knowledge-authority|ChangeRequests</v>
      </c>
      <c r="N2145" s="2" t="s">
        <v>9938</v>
      </c>
    </row>
    <row r="2146">
      <c r="A2146" s="2" t="s">
        <v>12082</v>
      </c>
      <c r="B2146" s="3" t="str">
        <f>C2146 &amp; " -&gt; " &amp; D2146</f>
        <v>principal-knowledge-authority -&gt; ChangeRequests.AuthorityRole</v>
      </c>
      <c r="C2146" s="2" t="s">
        <v>9708</v>
      </c>
      <c r="D2146" s="2" t="s">
        <v>3855</v>
      </c>
      <c r="E2146" s="2" t="b">
        <v>1</v>
      </c>
      <c r="F2146" s="2" t="b">
        <v>0</v>
      </c>
      <c r="G2146" s="2" t="s">
        <v>9937</v>
      </c>
      <c r="H2146" s="3" t="str">
        <f>_xlfn.IFNA(INDEX(RulebookFields!C2:C999, MATCH(D2146,RulebookFields!A2:A999, 0)), "")</f>
        <v>ChangeRequests</v>
      </c>
      <c r="I2146" s="3" t="str">
        <f>_xlfn.IFNA(INDEX(RulebookFields!D2:D999, MATCH(D2146,RulebookFields!A2:A999, 0)), "")</f>
        <v>AuthorityRole</v>
      </c>
      <c r="J2146" s="3" t="b">
        <f>_xlfn.IFNA(INDEX(RulebookFields!I2:I999, MATCH(D2146,RulebookFields!A2:A999, 0)), "")</f>
        <v>0</v>
      </c>
      <c r="K2146" s="3" t="b">
        <f>AND(F2146, J2146)</f>
        <v>0</v>
      </c>
      <c r="L2146" s="3" t="b">
        <f>AND(G2146 &lt;&gt; "plain", G2146 &lt;&gt; "")</f>
        <v>0</v>
      </c>
      <c r="M2146" s="3" t="str">
        <f>IF(E2146, C2146 &amp; "|" &amp; H2146, "")</f>
        <v>principal-knowledge-authority|ChangeRequests</v>
      </c>
      <c r="N2146" s="2" t="s">
        <v>9938</v>
      </c>
    </row>
    <row r="2147">
      <c r="A2147" s="2" t="s">
        <v>12083</v>
      </c>
      <c r="B2147" s="3" t="str">
        <f>C2147 &amp; " -&gt; " &amp; D2147</f>
        <v>principal-knowledge-authority -&gt; ChangeRequests.RequestedAt</v>
      </c>
      <c r="C2147" s="2" t="s">
        <v>9708</v>
      </c>
      <c r="D2147" s="2" t="s">
        <v>3856</v>
      </c>
      <c r="E2147" s="2" t="b">
        <v>1</v>
      </c>
      <c r="F2147" s="2" t="b">
        <v>0</v>
      </c>
      <c r="G2147" s="2" t="s">
        <v>9937</v>
      </c>
      <c r="H2147" s="3" t="str">
        <f>_xlfn.IFNA(INDEX(RulebookFields!C2:C999, MATCH(D2147,RulebookFields!A2:A999, 0)), "")</f>
        <v>ChangeRequests</v>
      </c>
      <c r="I2147" s="3" t="str">
        <f>_xlfn.IFNA(INDEX(RulebookFields!D2:D999, MATCH(D2147,RulebookFields!A2:A999, 0)), "")</f>
        <v>RequestedAt</v>
      </c>
      <c r="J2147" s="3" t="b">
        <f>_xlfn.IFNA(INDEX(RulebookFields!I2:I999, MATCH(D2147,RulebookFields!A2:A999, 0)), "")</f>
        <v>0</v>
      </c>
      <c r="K2147" s="3" t="b">
        <f>AND(F2147, J2147)</f>
        <v>0</v>
      </c>
      <c r="L2147" s="3" t="b">
        <f>AND(G2147 &lt;&gt; "plain", G2147 &lt;&gt; "")</f>
        <v>0</v>
      </c>
      <c r="M2147" s="3" t="str">
        <f>IF(E2147, C2147 &amp; "|" &amp; H2147, "")</f>
        <v>principal-knowledge-authority|ChangeRequests</v>
      </c>
      <c r="N2147" s="2" t="s">
        <v>9938</v>
      </c>
    </row>
    <row r="2148">
      <c r="A2148" s="2" t="s">
        <v>12084</v>
      </c>
      <c r="B2148" s="3" t="str">
        <f>C2148 &amp; " -&gt; " &amp; D2148</f>
        <v>principal-knowledge-authority -&gt; ChangeRequests.DecidedAt</v>
      </c>
      <c r="C2148" s="2" t="s">
        <v>9708</v>
      </c>
      <c r="D2148" s="2" t="s">
        <v>3857</v>
      </c>
      <c r="E2148" s="2" t="b">
        <v>1</v>
      </c>
      <c r="F2148" s="2" t="b">
        <v>0</v>
      </c>
      <c r="G2148" s="2" t="s">
        <v>9937</v>
      </c>
      <c r="H2148" s="3" t="str">
        <f>_xlfn.IFNA(INDEX(RulebookFields!C2:C999, MATCH(D2148,RulebookFields!A2:A999, 0)), "")</f>
        <v>ChangeRequests</v>
      </c>
      <c r="I2148" s="3" t="str">
        <f>_xlfn.IFNA(INDEX(RulebookFields!D2:D999, MATCH(D2148,RulebookFields!A2:A999, 0)), "")</f>
        <v>DecidedAt</v>
      </c>
      <c r="J2148" s="3" t="b">
        <f>_xlfn.IFNA(INDEX(RulebookFields!I2:I999, MATCH(D2148,RulebookFields!A2:A999, 0)), "")</f>
        <v>0</v>
      </c>
      <c r="K2148" s="3" t="b">
        <f>AND(F2148, J2148)</f>
        <v>0</v>
      </c>
      <c r="L2148" s="3" t="b">
        <f>AND(G2148 &lt;&gt; "plain", G2148 &lt;&gt; "")</f>
        <v>0</v>
      </c>
      <c r="M2148" s="3" t="str">
        <f>IF(E2148, C2148 &amp; "|" &amp; H2148, "")</f>
        <v>principal-knowledge-authority|ChangeRequests</v>
      </c>
      <c r="N2148" s="2" t="s">
        <v>9938</v>
      </c>
    </row>
    <row r="2149">
      <c r="A2149" s="2" t="s">
        <v>12085</v>
      </c>
      <c r="B2149" s="3" t="str">
        <f>C2149 &amp; " -&gt; " &amp; D2149</f>
        <v>principal-knowledge-authority -&gt; ChangeRequests.ImpactAssessment</v>
      </c>
      <c r="C2149" s="2" t="s">
        <v>9708</v>
      </c>
      <c r="D2149" s="2" t="s">
        <v>3858</v>
      </c>
      <c r="E2149" s="2" t="b">
        <v>1</v>
      </c>
      <c r="F2149" s="2" t="b">
        <v>0</v>
      </c>
      <c r="G2149" s="2" t="s">
        <v>9937</v>
      </c>
      <c r="H2149" s="3" t="str">
        <f>_xlfn.IFNA(INDEX(RulebookFields!C2:C999, MATCH(D2149,RulebookFields!A2:A999, 0)), "")</f>
        <v>ChangeRequests</v>
      </c>
      <c r="I2149" s="3" t="str">
        <f>_xlfn.IFNA(INDEX(RulebookFields!D2:D999, MATCH(D2149,RulebookFields!A2:A999, 0)), "")</f>
        <v>ImpactAssessment</v>
      </c>
      <c r="J2149" s="3" t="b">
        <f>_xlfn.IFNA(INDEX(RulebookFields!I2:I999, MATCH(D2149,RulebookFields!A2:A999, 0)), "")</f>
        <v>0</v>
      </c>
      <c r="K2149" s="3" t="b">
        <f>AND(F2149, J2149)</f>
        <v>0</v>
      </c>
      <c r="L2149" s="3" t="b">
        <f>AND(G2149 &lt;&gt; "plain", G2149 &lt;&gt; "")</f>
        <v>0</v>
      </c>
      <c r="M2149" s="3" t="str">
        <f>IF(E2149, C2149 &amp; "|" &amp; H2149, "")</f>
        <v>principal-knowledge-authority|ChangeRequests</v>
      </c>
      <c r="N2149" s="2" t="s">
        <v>9938</v>
      </c>
    </row>
    <row r="2150">
      <c r="A2150" s="2" t="s">
        <v>12086</v>
      </c>
      <c r="B2150" s="3" t="str">
        <f>C2150 &amp; " -&gt; " &amp; D2150</f>
        <v>principal-knowledge-authority -&gt; ChangeRequests.IsOpen</v>
      </c>
      <c r="C2150" s="2" t="s">
        <v>9708</v>
      </c>
      <c r="D2150" s="2" t="s">
        <v>3859</v>
      </c>
      <c r="E2150" s="2" t="b">
        <v>1</v>
      </c>
      <c r="F2150" s="2" t="b">
        <v>0</v>
      </c>
      <c r="G2150" s="2" t="s">
        <v>9937</v>
      </c>
      <c r="H2150" s="3" t="str">
        <f>_xlfn.IFNA(INDEX(RulebookFields!C2:C999, MATCH(D2150,RulebookFields!A2:A999, 0)), "")</f>
        <v>ChangeRequests</v>
      </c>
      <c r="I2150" s="3" t="str">
        <f>_xlfn.IFNA(INDEX(RulebookFields!D2:D999, MATCH(D2150,RulebookFields!A2:A999, 0)), "")</f>
        <v>IsOpen</v>
      </c>
      <c r="J2150" s="3" t="b">
        <f>_xlfn.IFNA(INDEX(RulebookFields!I2:I999, MATCH(D2150,RulebookFields!A2:A999, 0)), "")</f>
        <v>1</v>
      </c>
      <c r="K2150" s="3" t="b">
        <f>AND(F2150, J2150)</f>
        <v>0</v>
      </c>
      <c r="L2150" s="3" t="b">
        <f>AND(G2150 &lt;&gt; "plain", G2150 &lt;&gt; "")</f>
        <v>0</v>
      </c>
      <c r="M2150" s="3" t="str">
        <f>IF(E2150, C2150 &amp; "|" &amp; H2150, "")</f>
        <v>principal-knowledge-authority|ChangeRequests</v>
      </c>
      <c r="N2150" s="2" t="s">
        <v>9938</v>
      </c>
    </row>
    <row r="2151">
      <c r="A2151" s="2" t="s">
        <v>12087</v>
      </c>
      <c r="B2151" s="3" t="str">
        <f>C2151 &amp; " -&gt; " &amp; D2151</f>
        <v>principal-knowledge-authority -&gt; ChangeRequests.OpenChangeVersionKey</v>
      </c>
      <c r="C2151" s="2" t="s">
        <v>9708</v>
      </c>
      <c r="D2151" s="2" t="s">
        <v>3861</v>
      </c>
      <c r="E2151" s="2" t="b">
        <v>1</v>
      </c>
      <c r="F2151" s="2" t="b">
        <v>0</v>
      </c>
      <c r="G2151" s="2" t="s">
        <v>9937</v>
      </c>
      <c r="H2151" s="3" t="str">
        <f>_xlfn.IFNA(INDEX(RulebookFields!C2:C999, MATCH(D2151,RulebookFields!A2:A999, 0)), "")</f>
        <v>ChangeRequests</v>
      </c>
      <c r="I2151" s="3" t="str">
        <f>_xlfn.IFNA(INDEX(RulebookFields!D2:D999, MATCH(D2151,RulebookFields!A2:A999, 0)), "")</f>
        <v>OpenChangeVersionKey</v>
      </c>
      <c r="J2151" s="3" t="b">
        <f>_xlfn.IFNA(INDEX(RulebookFields!I2:I999, MATCH(D2151,RulebookFields!A2:A999, 0)), "")</f>
        <v>1</v>
      </c>
      <c r="K2151" s="3" t="b">
        <f>AND(F2151, J2151)</f>
        <v>0</v>
      </c>
      <c r="L2151" s="3" t="b">
        <f>AND(G2151 &lt;&gt; "plain", G2151 &lt;&gt; "")</f>
        <v>0</v>
      </c>
      <c r="M2151" s="3" t="str">
        <f>IF(E2151, C2151 &amp; "|" &amp; H2151, "")</f>
        <v>principal-knowledge-authority|ChangeRequests</v>
      </c>
      <c r="N2151" s="2" t="s">
        <v>9938</v>
      </c>
    </row>
    <row r="2152">
      <c r="A2152" s="2" t="s">
        <v>12088</v>
      </c>
      <c r="B2152" s="3" t="str">
        <f>C2152 &amp; " -&gt; " &amp; D2152</f>
        <v>principal-knowledge-authority -&gt; ChangeRequests.IsDecided</v>
      </c>
      <c r="C2152" s="2" t="s">
        <v>9708</v>
      </c>
      <c r="D2152" s="2" t="s">
        <v>3863</v>
      </c>
      <c r="E2152" s="2" t="b">
        <v>1</v>
      </c>
      <c r="F2152" s="2" t="b">
        <v>0</v>
      </c>
      <c r="G2152" s="2" t="s">
        <v>9937</v>
      </c>
      <c r="H2152" s="3" t="str">
        <f>_xlfn.IFNA(INDEX(RulebookFields!C2:C999, MATCH(D2152,RulebookFields!A2:A999, 0)), "")</f>
        <v>ChangeRequests</v>
      </c>
      <c r="I2152" s="3" t="str">
        <f>_xlfn.IFNA(INDEX(RulebookFields!D2:D999, MATCH(D2152,RulebookFields!A2:A999, 0)), "")</f>
        <v>IsDecided</v>
      </c>
      <c r="J2152" s="3" t="b">
        <f>_xlfn.IFNA(INDEX(RulebookFields!I2:I999, MATCH(D2152,RulebookFields!A2:A999, 0)), "")</f>
        <v>1</v>
      </c>
      <c r="K2152" s="3" t="b">
        <f>AND(F2152, J2152)</f>
        <v>0</v>
      </c>
      <c r="L2152" s="3" t="b">
        <f>AND(G2152 &lt;&gt; "plain", G2152 &lt;&gt; "")</f>
        <v>0</v>
      </c>
      <c r="M2152" s="3" t="str">
        <f>IF(E2152, C2152 &amp; "|" &amp; H2152, "")</f>
        <v>principal-knowledge-authority|ChangeRequests</v>
      </c>
      <c r="N2152" s="2" t="s">
        <v>9938</v>
      </c>
    </row>
    <row r="2153">
      <c r="A2153" s="2" t="s">
        <v>12089</v>
      </c>
      <c r="B2153" s="3" t="str">
        <f>C2153 &amp; " -&gt; " &amp; D2153</f>
        <v>principal-knowledge-authority -&gt; ChangeRequests.EvaluationContext</v>
      </c>
      <c r="C2153" s="2" t="s">
        <v>9708</v>
      </c>
      <c r="D2153" s="2" t="s">
        <v>3865</v>
      </c>
      <c r="E2153" s="2" t="b">
        <v>1</v>
      </c>
      <c r="F2153" s="2" t="b">
        <v>0</v>
      </c>
      <c r="G2153" s="2" t="s">
        <v>9937</v>
      </c>
      <c r="H2153" s="3" t="str">
        <f>_xlfn.IFNA(INDEX(RulebookFields!C2:C999, MATCH(D2153,RulebookFields!A2:A999, 0)), "")</f>
        <v>ChangeRequests</v>
      </c>
      <c r="I2153" s="3" t="str">
        <f>_xlfn.IFNA(INDEX(RulebookFields!D2:D999, MATCH(D2153,RulebookFields!A2:A999, 0)), "")</f>
        <v>EvaluationContext</v>
      </c>
      <c r="J2153" s="3" t="b">
        <f>_xlfn.IFNA(INDEX(RulebookFields!I2:I999, MATCH(D2153,RulebookFields!A2:A999, 0)), "")</f>
        <v>0</v>
      </c>
      <c r="K2153" s="3" t="b">
        <f>AND(F2153, J2153)</f>
        <v>0</v>
      </c>
      <c r="L2153" s="3" t="b">
        <f>AND(G2153 &lt;&gt; "plain", G2153 &lt;&gt; "")</f>
        <v>0</v>
      </c>
      <c r="M2153" s="3" t="str">
        <f>IF(E2153, C2153 &amp; "|" &amp; H2153, "")</f>
        <v>principal-knowledge-authority|ChangeRequests</v>
      </c>
      <c r="N2153" s="2" t="s">
        <v>9938</v>
      </c>
    </row>
    <row r="2154">
      <c r="A2154" s="2" t="s">
        <v>12090</v>
      </c>
      <c r="B2154" s="3" t="str">
        <f>C2154 &amp; " -&gt; " &amp; D2154</f>
        <v>principal-knowledge-authority -&gt; ChangeRequests.AsOfInstant</v>
      </c>
      <c r="C2154" s="2" t="s">
        <v>9708</v>
      </c>
      <c r="D2154" s="2" t="s">
        <v>3866</v>
      </c>
      <c r="E2154" s="2" t="b">
        <v>1</v>
      </c>
      <c r="F2154" s="2" t="b">
        <v>0</v>
      </c>
      <c r="G2154" s="2" t="s">
        <v>9937</v>
      </c>
      <c r="H2154" s="3" t="str">
        <f>_xlfn.IFNA(INDEX(RulebookFields!C2:C999, MATCH(D2154,RulebookFields!A2:A999, 0)), "")</f>
        <v>ChangeRequests</v>
      </c>
      <c r="I2154" s="3" t="str">
        <f>_xlfn.IFNA(INDEX(RulebookFields!D2:D999, MATCH(D2154,RulebookFields!A2:A999, 0)), "")</f>
        <v>AsOfInstant</v>
      </c>
      <c r="J2154" s="3" t="b">
        <f>_xlfn.IFNA(INDEX(RulebookFields!I2:I999, MATCH(D2154,RulebookFields!A2:A999, 0)), "")</f>
        <v>1</v>
      </c>
      <c r="K2154" s="3" t="b">
        <f>AND(F2154, J2154)</f>
        <v>0</v>
      </c>
      <c r="L2154" s="3" t="b">
        <f>AND(G2154 &lt;&gt; "plain", G2154 &lt;&gt; "")</f>
        <v>0</v>
      </c>
      <c r="M2154" s="3" t="str">
        <f>IF(E2154, C2154 &amp; "|" &amp; H2154, "")</f>
        <v>principal-knowledge-authority|ChangeRequests</v>
      </c>
      <c r="N2154" s="2" t="s">
        <v>9938</v>
      </c>
    </row>
    <row r="2155">
      <c r="A2155" s="2" t="s">
        <v>12091</v>
      </c>
      <c r="B2155" s="3" t="str">
        <f>C2155 &amp; " -&gt; " &amp; D2155</f>
        <v>principal-knowledge-authority -&gt; ChangeRequests.DaysPending</v>
      </c>
      <c r="C2155" s="2" t="s">
        <v>9708</v>
      </c>
      <c r="D2155" s="2" t="s">
        <v>3867</v>
      </c>
      <c r="E2155" s="2" t="b">
        <v>1</v>
      </c>
      <c r="F2155" s="2" t="b">
        <v>0</v>
      </c>
      <c r="G2155" s="2" t="s">
        <v>9937</v>
      </c>
      <c r="H2155" s="3" t="str">
        <f>_xlfn.IFNA(INDEX(RulebookFields!C2:C999, MATCH(D2155,RulebookFields!A2:A999, 0)), "")</f>
        <v>ChangeRequests</v>
      </c>
      <c r="I2155" s="3" t="str">
        <f>_xlfn.IFNA(INDEX(RulebookFields!D2:D999, MATCH(D2155,RulebookFields!A2:A999, 0)), "")</f>
        <v>DaysPending</v>
      </c>
      <c r="J2155" s="3" t="b">
        <f>_xlfn.IFNA(INDEX(RulebookFields!I2:I999, MATCH(D2155,RulebookFields!A2:A999, 0)), "")</f>
        <v>1</v>
      </c>
      <c r="K2155" s="3" t="b">
        <f>AND(F2155, J2155)</f>
        <v>0</v>
      </c>
      <c r="L2155" s="3" t="b">
        <f>AND(G2155 &lt;&gt; "plain", G2155 &lt;&gt; "")</f>
        <v>0</v>
      </c>
      <c r="M2155" s="3" t="str">
        <f>IF(E2155, C2155 &amp; "|" &amp; H2155, "")</f>
        <v>principal-knowledge-authority|ChangeRequests</v>
      </c>
      <c r="N2155" s="2" t="s">
        <v>9938</v>
      </c>
    </row>
    <row r="2156">
      <c r="A2156" s="2" t="s">
        <v>12092</v>
      </c>
      <c r="B2156" s="3" t="str">
        <f>C2156 &amp; " -&gt; " &amp; D2156</f>
        <v>principal-knowledge-authority -&gt; ChangeRequests.IsStillPending</v>
      </c>
      <c r="C2156" s="2" t="s">
        <v>9708</v>
      </c>
      <c r="D2156" s="2" t="s">
        <v>3869</v>
      </c>
      <c r="E2156" s="2" t="b">
        <v>1</v>
      </c>
      <c r="F2156" s="2" t="b">
        <v>0</v>
      </c>
      <c r="G2156" s="2" t="s">
        <v>9937</v>
      </c>
      <c r="H2156" s="3" t="str">
        <f>_xlfn.IFNA(INDEX(RulebookFields!C2:C999, MATCH(D2156,RulebookFields!A2:A999, 0)), "")</f>
        <v>ChangeRequests</v>
      </c>
      <c r="I2156" s="3" t="str">
        <f>_xlfn.IFNA(INDEX(RulebookFields!D2:D999, MATCH(D2156,RulebookFields!A2:A999, 0)), "")</f>
        <v>IsStillPending</v>
      </c>
      <c r="J2156" s="3" t="b">
        <f>_xlfn.IFNA(INDEX(RulebookFields!I2:I999, MATCH(D2156,RulebookFields!A2:A999, 0)), "")</f>
        <v>1</v>
      </c>
      <c r="K2156" s="3" t="b">
        <f>AND(F2156, J2156)</f>
        <v>0</v>
      </c>
      <c r="L2156" s="3" t="b">
        <f>AND(G2156 &lt;&gt; "plain", G2156 &lt;&gt; "")</f>
        <v>0</v>
      </c>
      <c r="M2156" s="3" t="str">
        <f>IF(E2156, C2156 &amp; "|" &amp; H2156, "")</f>
        <v>principal-knowledge-authority|ChangeRequests</v>
      </c>
      <c r="N2156" s="2" t="s">
        <v>9938</v>
      </c>
    </row>
    <row r="2157">
      <c r="A2157" s="2" t="s">
        <v>12093</v>
      </c>
      <c r="B2157" s="3" t="str">
        <f>C2157 &amp; " -&gt; " &amp; D2157</f>
        <v>principal-knowledge-authority -&gt; ChangeRequests.IsStalled</v>
      </c>
      <c r="C2157" s="2" t="s">
        <v>9708</v>
      </c>
      <c r="D2157" s="2" t="s">
        <v>3871</v>
      </c>
      <c r="E2157" s="2" t="b">
        <v>1</v>
      </c>
      <c r="F2157" s="2" t="b">
        <v>0</v>
      </c>
      <c r="G2157" s="2" t="s">
        <v>9937</v>
      </c>
      <c r="H2157" s="3" t="str">
        <f>_xlfn.IFNA(INDEX(RulebookFields!C2:C999, MATCH(D2157,RulebookFields!A2:A999, 0)), "")</f>
        <v>ChangeRequests</v>
      </c>
      <c r="I2157" s="3" t="str">
        <f>_xlfn.IFNA(INDEX(RulebookFields!D2:D999, MATCH(D2157,RulebookFields!A2:A999, 0)), "")</f>
        <v>IsStalled</v>
      </c>
      <c r="J2157" s="3" t="b">
        <f>_xlfn.IFNA(INDEX(RulebookFields!I2:I999, MATCH(D2157,RulebookFields!A2:A999, 0)), "")</f>
        <v>1</v>
      </c>
      <c r="K2157" s="3" t="b">
        <f>AND(F2157, J2157)</f>
        <v>0</v>
      </c>
      <c r="L2157" s="3" t="b">
        <f>AND(G2157 &lt;&gt; "plain", G2157 &lt;&gt; "")</f>
        <v>0</v>
      </c>
      <c r="M2157" s="3" t="str">
        <f>IF(E2157, C2157 &amp; "|" &amp; H2157, "")</f>
        <v>principal-knowledge-authority|ChangeRequests</v>
      </c>
      <c r="N2157" s="2" t="s">
        <v>9938</v>
      </c>
    </row>
    <row r="2158">
      <c r="A2158" s="2" t="s">
        <v>12094</v>
      </c>
      <c r="B2158" s="3" t="str">
        <f>C2158 &amp; " -&gt; " &amp; D2158</f>
        <v>principal-knowledge-authority -&gt; ChangeRequests.AuthorityAgent</v>
      </c>
      <c r="C2158" s="2" t="s">
        <v>9708</v>
      </c>
      <c r="D2158" s="2" t="s">
        <v>3873</v>
      </c>
      <c r="E2158" s="2" t="b">
        <v>1</v>
      </c>
      <c r="F2158" s="2" t="b">
        <v>0</v>
      </c>
      <c r="G2158" s="2" t="s">
        <v>9937</v>
      </c>
      <c r="H2158" s="3" t="str">
        <f>_xlfn.IFNA(INDEX(RulebookFields!C2:C999, MATCH(D2158,RulebookFields!A2:A999, 0)), "")</f>
        <v>ChangeRequests</v>
      </c>
      <c r="I2158" s="3" t="str">
        <f>_xlfn.IFNA(INDEX(RulebookFields!D2:D999, MATCH(D2158,RulebookFields!A2:A999, 0)), "")</f>
        <v>AuthorityAgent</v>
      </c>
      <c r="J2158" s="3" t="b">
        <f>_xlfn.IFNA(INDEX(RulebookFields!I2:I999, MATCH(D2158,RulebookFields!A2:A999, 0)), "")</f>
        <v>1</v>
      </c>
      <c r="K2158" s="3" t="b">
        <f>AND(F2158, J2158)</f>
        <v>0</v>
      </c>
      <c r="L2158" s="3" t="b">
        <f>AND(G2158 &lt;&gt; "plain", G2158 &lt;&gt; "")</f>
        <v>0</v>
      </c>
      <c r="M2158" s="3" t="str">
        <f>IF(E2158, C2158 &amp; "|" &amp; H2158, "")</f>
        <v>principal-knowledge-authority|ChangeRequests</v>
      </c>
      <c r="N2158" s="2" t="s">
        <v>9938</v>
      </c>
    </row>
    <row r="2159">
      <c r="A2159" s="2" t="s">
        <v>12095</v>
      </c>
      <c r="B2159" s="3" t="str">
        <f>C2159 &amp; " -&gt; " &amp; D2159</f>
        <v>principal-knowledge-authority -&gt; ChangeRequests.RequesterIsAuthority</v>
      </c>
      <c r="C2159" s="2" t="s">
        <v>9708</v>
      </c>
      <c r="D2159" s="2" t="s">
        <v>3875</v>
      </c>
      <c r="E2159" s="2" t="b">
        <v>1</v>
      </c>
      <c r="F2159" s="2" t="b">
        <v>0</v>
      </c>
      <c r="G2159" s="2" t="s">
        <v>9937</v>
      </c>
      <c r="H2159" s="3" t="str">
        <f>_xlfn.IFNA(INDEX(RulebookFields!C2:C999, MATCH(D2159,RulebookFields!A2:A999, 0)), "")</f>
        <v>ChangeRequests</v>
      </c>
      <c r="I2159" s="3" t="str">
        <f>_xlfn.IFNA(INDEX(RulebookFields!D2:D999, MATCH(D2159,RulebookFields!A2:A999, 0)), "")</f>
        <v>RequesterIsAuthority</v>
      </c>
      <c r="J2159" s="3" t="b">
        <f>_xlfn.IFNA(INDEX(RulebookFields!I2:I999, MATCH(D2159,RulebookFields!A2:A999, 0)), "")</f>
        <v>1</v>
      </c>
      <c r="K2159" s="3" t="b">
        <f>AND(F2159, J2159)</f>
        <v>0</v>
      </c>
      <c r="L2159" s="3" t="b">
        <f>AND(G2159 &lt;&gt; "plain", G2159 &lt;&gt; "")</f>
        <v>0</v>
      </c>
      <c r="M2159" s="3" t="str">
        <f>IF(E2159, C2159 &amp; "|" &amp; H2159, "")</f>
        <v>principal-knowledge-authority|ChangeRequests</v>
      </c>
      <c r="N2159" s="2" t="s">
        <v>9938</v>
      </c>
    </row>
    <row r="2160">
      <c r="A2160" s="2" t="s">
        <v>12096</v>
      </c>
      <c r="B2160" s="3" t="str">
        <f>C2160 &amp; " -&gt; " &amp; D2160</f>
        <v>principal-knowledge-authority -&gt; ChangeRequests.AwaitsAuthorityDecision</v>
      </c>
      <c r="C2160" s="2" t="s">
        <v>9708</v>
      </c>
      <c r="D2160" s="2" t="s">
        <v>3877</v>
      </c>
      <c r="E2160" s="2" t="b">
        <v>1</v>
      </c>
      <c r="F2160" s="2" t="b">
        <v>0</v>
      </c>
      <c r="G2160" s="2" t="s">
        <v>9937</v>
      </c>
      <c r="H2160" s="3" t="str">
        <f>_xlfn.IFNA(INDEX(RulebookFields!C2:C999, MATCH(D2160,RulebookFields!A2:A999, 0)), "")</f>
        <v>ChangeRequests</v>
      </c>
      <c r="I2160" s="3" t="str">
        <f>_xlfn.IFNA(INDEX(RulebookFields!D2:D999, MATCH(D2160,RulebookFields!A2:A999, 0)), "")</f>
        <v>AwaitsAuthorityDecision</v>
      </c>
      <c r="J2160" s="3" t="b">
        <f>_xlfn.IFNA(INDEX(RulebookFields!I2:I999, MATCH(D2160,RulebookFields!A2:A999, 0)), "")</f>
        <v>1</v>
      </c>
      <c r="K2160" s="3" t="b">
        <f>AND(F2160, J2160)</f>
        <v>0</v>
      </c>
      <c r="L2160" s="3" t="b">
        <f>AND(G2160 &lt;&gt; "plain", G2160 &lt;&gt; "")</f>
        <v>0</v>
      </c>
      <c r="M2160" s="3" t="str">
        <f>IF(E2160, C2160 &amp; "|" &amp; H2160, "")</f>
        <v>principal-knowledge-authority|ChangeRequests</v>
      </c>
      <c r="N2160" s="2" t="s">
        <v>9938</v>
      </c>
    </row>
    <row r="2161">
      <c r="A2161" s="2" t="s">
        <v>12097</v>
      </c>
      <c r="B2161" s="3" t="str">
        <f>C2161 &amp; " -&gt; " &amp; D2161</f>
        <v>principal-knowledge-authority -&gt; ChangeRequests.AuthorityRoleLabel</v>
      </c>
      <c r="C2161" s="2" t="s">
        <v>9708</v>
      </c>
      <c r="D2161" s="2" t="s">
        <v>3879</v>
      </c>
      <c r="E2161" s="2" t="b">
        <v>1</v>
      </c>
      <c r="F2161" s="2" t="b">
        <v>0</v>
      </c>
      <c r="G2161" s="2" t="s">
        <v>9937</v>
      </c>
      <c r="H2161" s="3" t="str">
        <f>_xlfn.IFNA(INDEX(RulebookFields!C2:C999, MATCH(D2161,RulebookFields!A2:A999, 0)), "")</f>
        <v>ChangeRequests</v>
      </c>
      <c r="I2161" s="3" t="str">
        <f>_xlfn.IFNA(INDEX(RulebookFields!D2:D999, MATCH(D2161,RulebookFields!A2:A999, 0)), "")</f>
        <v>AuthorityRoleLabel</v>
      </c>
      <c r="J2161" s="3" t="b">
        <f>_xlfn.IFNA(INDEX(RulebookFields!I2:I999, MATCH(D2161,RulebookFields!A2:A999, 0)), "")</f>
        <v>1</v>
      </c>
      <c r="K2161" s="3" t="b">
        <f>AND(F2161, J2161)</f>
        <v>0</v>
      </c>
      <c r="L2161" s="3" t="b">
        <f>AND(G2161 &lt;&gt; "plain", G2161 &lt;&gt; "")</f>
        <v>0</v>
      </c>
      <c r="M2161" s="3" t="str">
        <f>IF(E2161, C2161 &amp; "|" &amp; H2161, "")</f>
        <v>principal-knowledge-authority|ChangeRequests</v>
      </c>
      <c r="N2161" s="2" t="s">
        <v>9938</v>
      </c>
    </row>
    <row r="2162">
      <c r="A2162" s="2" t="s">
        <v>12098</v>
      </c>
      <c r="B2162" s="3" t="str">
        <f>C2162 &amp; " -&gt; " &amp; D2162</f>
        <v>principal-knowledge-authority -&gt; ChangeRequests.TouchesLiveVersion</v>
      </c>
      <c r="C2162" s="2" t="s">
        <v>9708</v>
      </c>
      <c r="D2162" s="2" t="s">
        <v>3881</v>
      </c>
      <c r="E2162" s="2" t="b">
        <v>1</v>
      </c>
      <c r="F2162" s="2" t="b">
        <v>0</v>
      </c>
      <c r="G2162" s="2" t="s">
        <v>9937</v>
      </c>
      <c r="H2162" s="3" t="str">
        <f>_xlfn.IFNA(INDEX(RulebookFields!C2:C999, MATCH(D2162,RulebookFields!A2:A999, 0)), "")</f>
        <v>ChangeRequests</v>
      </c>
      <c r="I2162" s="3" t="str">
        <f>_xlfn.IFNA(INDEX(RulebookFields!D2:D999, MATCH(D2162,RulebookFields!A2:A999, 0)), "")</f>
        <v>TouchesLiveVersion</v>
      </c>
      <c r="J2162" s="3" t="b">
        <f>_xlfn.IFNA(INDEX(RulebookFields!I2:I999, MATCH(D2162,RulebookFields!A2:A999, 0)), "")</f>
        <v>1</v>
      </c>
      <c r="K2162" s="3" t="b">
        <f>AND(F2162, J2162)</f>
        <v>0</v>
      </c>
      <c r="L2162" s="3" t="b">
        <f>AND(G2162 &lt;&gt; "plain", G2162 &lt;&gt; "")</f>
        <v>0</v>
      </c>
      <c r="M2162" s="3" t="str">
        <f>IF(E2162, C2162 &amp; "|" &amp; H2162, "")</f>
        <v>principal-knowledge-authority|ChangeRequests</v>
      </c>
      <c r="N2162" s="2" t="s">
        <v>9938</v>
      </c>
    </row>
    <row r="2163">
      <c r="A2163" s="2" t="s">
        <v>12099</v>
      </c>
      <c r="B2163" s="3" t="str">
        <f>C2163 &amp; " -&gt; " &amp; D2163</f>
        <v>principal-knowledge-authority -&gt; ChangeRequests.IsLiveDecisionBacklog</v>
      </c>
      <c r="C2163" s="2" t="s">
        <v>9708</v>
      </c>
      <c r="D2163" s="2" t="s">
        <v>3882</v>
      </c>
      <c r="E2163" s="2" t="b">
        <v>1</v>
      </c>
      <c r="F2163" s="2" t="b">
        <v>0</v>
      </c>
      <c r="G2163" s="2" t="s">
        <v>9937</v>
      </c>
      <c r="H2163" s="3" t="str">
        <f>_xlfn.IFNA(INDEX(RulebookFields!C2:C999, MATCH(D2163,RulebookFields!A2:A999, 0)), "")</f>
        <v>ChangeRequests</v>
      </c>
      <c r="I2163" s="3" t="str">
        <f>_xlfn.IFNA(INDEX(RulebookFields!D2:D999, MATCH(D2163,RulebookFields!A2:A999, 0)), "")</f>
        <v>IsLiveDecisionBacklog</v>
      </c>
      <c r="J2163" s="3" t="b">
        <f>_xlfn.IFNA(INDEX(RulebookFields!I2:I999, MATCH(D2163,RulebookFields!A2:A999, 0)), "")</f>
        <v>1</v>
      </c>
      <c r="K2163" s="3" t="b">
        <f>AND(F2163, J2163)</f>
        <v>0</v>
      </c>
      <c r="L2163" s="3" t="b">
        <f>AND(G2163 &lt;&gt; "plain", G2163 &lt;&gt; "")</f>
        <v>0</v>
      </c>
      <c r="M2163" s="3" t="str">
        <f>IF(E2163, C2163 &amp; "|" &amp; H2163, "")</f>
        <v>principal-knowledge-authority|ChangeRequests</v>
      </c>
      <c r="N2163" s="2" t="s">
        <v>9938</v>
      </c>
    </row>
    <row r="2164">
      <c r="A2164" s="2" t="s">
        <v>12100</v>
      </c>
      <c r="B2164" s="3" t="str">
        <f>C2164 &amp; " -&gt; " &amp; D2164</f>
        <v>principal-knowledge-authority -&gt; ChangeRequests.BlocksAnOpenGap</v>
      </c>
      <c r="C2164" s="2" t="s">
        <v>9708</v>
      </c>
      <c r="D2164" s="2" t="s">
        <v>3884</v>
      </c>
      <c r="E2164" s="2" t="b">
        <v>1</v>
      </c>
      <c r="F2164" s="2" t="b">
        <v>0</v>
      </c>
      <c r="G2164" s="2" t="s">
        <v>9937</v>
      </c>
      <c r="H2164" s="3" t="str">
        <f>_xlfn.IFNA(INDEX(RulebookFields!C2:C999, MATCH(D2164,RulebookFields!A2:A999, 0)), "")</f>
        <v>ChangeRequests</v>
      </c>
      <c r="I2164" s="3" t="str">
        <f>_xlfn.IFNA(INDEX(RulebookFields!D2:D999, MATCH(D2164,RulebookFields!A2:A999, 0)), "")</f>
        <v>BlocksAnOpenGap</v>
      </c>
      <c r="J2164" s="3" t="b">
        <f>_xlfn.IFNA(INDEX(RulebookFields!I2:I999, MATCH(D2164,RulebookFields!A2:A999, 0)), "")</f>
        <v>1</v>
      </c>
      <c r="K2164" s="3" t="b">
        <f>AND(F2164, J2164)</f>
        <v>0</v>
      </c>
      <c r="L2164" s="3" t="b">
        <f>AND(G2164 &lt;&gt; "plain", G2164 &lt;&gt; "")</f>
        <v>0</v>
      </c>
      <c r="M2164" s="3" t="str">
        <f>IF(E2164, C2164 &amp; "|" &amp; H2164, "")</f>
        <v>principal-knowledge-authority|ChangeRequests</v>
      </c>
      <c r="N2164" s="2" t="s">
        <v>9938</v>
      </c>
    </row>
    <row r="2165">
      <c r="A2165" s="2" t="s">
        <v>12101</v>
      </c>
      <c r="B2165" s="3" t="str">
        <f>C2165 &amp; " -&gt; " &amp; D2165</f>
        <v>principal-knowledge-authority -&gt; ChangeRequests.ImplementedAt</v>
      </c>
      <c r="C2165" s="2" t="s">
        <v>9708</v>
      </c>
      <c r="D2165" s="2" t="s">
        <v>3886</v>
      </c>
      <c r="E2165" s="2" t="b">
        <v>1</v>
      </c>
      <c r="F2165" s="2" t="b">
        <v>0</v>
      </c>
      <c r="G2165" s="2" t="s">
        <v>9937</v>
      </c>
      <c r="H2165" s="3" t="str">
        <f>_xlfn.IFNA(INDEX(RulebookFields!C2:C999, MATCH(D2165,RulebookFields!A2:A999, 0)), "")</f>
        <v>ChangeRequests</v>
      </c>
      <c r="I2165" s="3" t="str">
        <f>_xlfn.IFNA(INDEX(RulebookFields!D2:D999, MATCH(D2165,RulebookFields!A2:A999, 0)), "")</f>
        <v>ImplementedAt</v>
      </c>
      <c r="J2165" s="3" t="b">
        <f>_xlfn.IFNA(INDEX(RulebookFields!I2:I999, MATCH(D2165,RulebookFields!A2:A999, 0)), "")</f>
        <v>0</v>
      </c>
      <c r="K2165" s="3" t="b">
        <f>AND(F2165, J2165)</f>
        <v>0</v>
      </c>
      <c r="L2165" s="3" t="b">
        <f>AND(G2165 &lt;&gt; "plain", G2165 &lt;&gt; "")</f>
        <v>0</v>
      </c>
      <c r="M2165" s="3" t="str">
        <f>IF(E2165, C2165 &amp; "|" &amp; H2165, "")</f>
        <v>principal-knowledge-authority|ChangeRequests</v>
      </c>
      <c r="N2165" s="2" t="s">
        <v>9938</v>
      </c>
    </row>
    <row r="2166">
      <c r="A2166" s="2" t="s">
        <v>12102</v>
      </c>
      <c r="B2166" s="3" t="str">
        <f>C2166 &amp; " -&gt; " &amp; D2166</f>
        <v>principal-knowledge-authority -&gt; ChangeRequests.BacklogVersionKey</v>
      </c>
      <c r="C2166" s="2" t="s">
        <v>9708</v>
      </c>
      <c r="D2166" s="2" t="s">
        <v>3887</v>
      </c>
      <c r="E2166" s="2" t="b">
        <v>1</v>
      </c>
      <c r="F2166" s="2" t="b">
        <v>0</v>
      </c>
      <c r="G2166" s="2" t="s">
        <v>9937</v>
      </c>
      <c r="H2166" s="3" t="str">
        <f>_xlfn.IFNA(INDEX(RulebookFields!C2:C999, MATCH(D2166,RulebookFields!A2:A999, 0)), "")</f>
        <v>ChangeRequests</v>
      </c>
      <c r="I2166" s="3" t="str">
        <f>_xlfn.IFNA(INDEX(RulebookFields!D2:D999, MATCH(D2166,RulebookFields!A2:A999, 0)), "")</f>
        <v>BacklogVersionKey</v>
      </c>
      <c r="J2166" s="3" t="b">
        <f>_xlfn.IFNA(INDEX(RulebookFields!I2:I999, MATCH(D2166,RulebookFields!A2:A999, 0)), "")</f>
        <v>1</v>
      </c>
      <c r="K2166" s="3" t="b">
        <f>AND(F2166, J2166)</f>
        <v>0</v>
      </c>
      <c r="L2166" s="3" t="b">
        <f>AND(G2166 &lt;&gt; "plain", G2166 &lt;&gt; "")</f>
        <v>0</v>
      </c>
      <c r="M2166" s="3" t="str">
        <f>IF(E2166, C2166 &amp; "|" &amp; H2166, "")</f>
        <v>principal-knowledge-authority|ChangeRequests</v>
      </c>
      <c r="N2166" s="2" t="s">
        <v>9938</v>
      </c>
    </row>
    <row r="2167">
      <c r="A2167" s="2" t="s">
        <v>12103</v>
      </c>
      <c r="B2167" s="3" t="str">
        <f>C2167 &amp; " -&gt; " &amp; D2167</f>
        <v>principal-knowledge-authority -&gt; ChangeRequests.IsMyPendingDecision</v>
      </c>
      <c r="C2167" s="2" t="s">
        <v>9708</v>
      </c>
      <c r="D2167" s="2" t="s">
        <v>3889</v>
      </c>
      <c r="E2167" s="2" t="b">
        <v>1</v>
      </c>
      <c r="F2167" s="2" t="b">
        <v>0</v>
      </c>
      <c r="G2167" s="2" t="s">
        <v>9937</v>
      </c>
      <c r="H2167" s="3" t="str">
        <f>_xlfn.IFNA(INDEX(RulebookFields!C2:C999, MATCH(D2167,RulebookFields!A2:A999, 0)), "")</f>
        <v>ChangeRequests</v>
      </c>
      <c r="I2167" s="3" t="str">
        <f>_xlfn.IFNA(INDEX(RulebookFields!D2:D999, MATCH(D2167,RulebookFields!A2:A999, 0)), "")</f>
        <v>IsMyPendingDecision</v>
      </c>
      <c r="J2167" s="3" t="b">
        <f>_xlfn.IFNA(INDEX(RulebookFields!I2:I999, MATCH(D2167,RulebookFields!A2:A999, 0)), "")</f>
        <v>1</v>
      </c>
      <c r="K2167" s="3" t="b">
        <f>AND(F2167, J2167)</f>
        <v>0</v>
      </c>
      <c r="L2167" s="3" t="b">
        <f>AND(G2167 &lt;&gt; "plain", G2167 &lt;&gt; "")</f>
        <v>0</v>
      </c>
      <c r="M2167" s="3" t="str">
        <f>IF(E2167, C2167 &amp; "|" &amp; H2167, "")</f>
        <v>principal-knowledge-authority|ChangeRequests</v>
      </c>
      <c r="N2167" s="2" t="s">
        <v>9938</v>
      </c>
    </row>
    <row r="2168">
      <c r="A2168" s="2" t="s">
        <v>12104</v>
      </c>
      <c r="B2168" s="3" t="str">
        <f>C2168 &amp; " -&gt; " &amp; D2168</f>
        <v>principal-knowledge-authority -&gt; ChangeRequests.IsMyBlockingBacklog</v>
      </c>
      <c r="C2168" s="2" t="s">
        <v>9708</v>
      </c>
      <c r="D2168" s="2" t="s">
        <v>3891</v>
      </c>
      <c r="E2168" s="2" t="b">
        <v>1</v>
      </c>
      <c r="F2168" s="2" t="b">
        <v>0</v>
      </c>
      <c r="G2168" s="2" t="s">
        <v>9937</v>
      </c>
      <c r="H2168" s="3" t="str">
        <f>_xlfn.IFNA(INDEX(RulebookFields!C2:C999, MATCH(D2168,RulebookFields!A2:A999, 0)), "")</f>
        <v>ChangeRequests</v>
      </c>
      <c r="I2168" s="3" t="str">
        <f>_xlfn.IFNA(INDEX(RulebookFields!D2:D999, MATCH(D2168,RulebookFields!A2:A999, 0)), "")</f>
        <v>IsMyBlockingBacklog</v>
      </c>
      <c r="J2168" s="3" t="b">
        <f>_xlfn.IFNA(INDEX(RulebookFields!I2:I999, MATCH(D2168,RulebookFields!A2:A999, 0)), "")</f>
        <v>1</v>
      </c>
      <c r="K2168" s="3" t="b">
        <f>AND(F2168, J2168)</f>
        <v>0</v>
      </c>
      <c r="L2168" s="3" t="b">
        <f>AND(G2168 &lt;&gt; "plain", G2168 &lt;&gt; "")</f>
        <v>0</v>
      </c>
      <c r="M2168" s="3" t="str">
        <f>IF(E2168, C2168 &amp; "|" &amp; H2168, "")</f>
        <v>principal-knowledge-authority|ChangeRequests</v>
      </c>
      <c r="N2168" s="2" t="s">
        <v>9938</v>
      </c>
    </row>
    <row r="2169">
      <c r="A2169" s="2" t="s">
        <v>12105</v>
      </c>
      <c r="B2169" s="3" t="str">
        <f>C2169 &amp; " -&gt; " &amp; D2169</f>
        <v>principal-knowledge-authority -&gt; ChangeRequests.IsMyOverdueBacklog</v>
      </c>
      <c r="C2169" s="2" t="s">
        <v>9708</v>
      </c>
      <c r="D2169" s="2" t="s">
        <v>3893</v>
      </c>
      <c r="E2169" s="2" t="b">
        <v>1</v>
      </c>
      <c r="F2169" s="2" t="b">
        <v>0</v>
      </c>
      <c r="G2169" s="2" t="s">
        <v>9937</v>
      </c>
      <c r="H2169" s="3" t="str">
        <f>_xlfn.IFNA(INDEX(RulebookFields!C2:C999, MATCH(D2169,RulebookFields!A2:A999, 0)), "")</f>
        <v>ChangeRequests</v>
      </c>
      <c r="I2169" s="3" t="str">
        <f>_xlfn.IFNA(INDEX(RulebookFields!D2:D999, MATCH(D2169,RulebookFields!A2:A999, 0)), "")</f>
        <v>IsMyOverdueBacklog</v>
      </c>
      <c r="J2169" s="3" t="b">
        <f>_xlfn.IFNA(INDEX(RulebookFields!I2:I999, MATCH(D2169,RulebookFields!A2:A999, 0)), "")</f>
        <v>1</v>
      </c>
      <c r="K2169" s="3" t="b">
        <f>AND(F2169, J2169)</f>
        <v>0</v>
      </c>
      <c r="L2169" s="3" t="b">
        <f>AND(G2169 &lt;&gt; "plain", G2169 &lt;&gt; "")</f>
        <v>0</v>
      </c>
      <c r="M2169" s="3" t="str">
        <f>IF(E2169, C2169 &amp; "|" &amp; H2169, "")</f>
        <v>principal-knowledge-authority|ChangeRequests</v>
      </c>
      <c r="N2169" s="2" t="s">
        <v>9938</v>
      </c>
    </row>
    <row r="2170">
      <c r="A2170" s="2" t="s">
        <v>12106</v>
      </c>
      <c r="B2170" s="3" t="str">
        <f>C2170 &amp; " -&gt; " &amp; D2170</f>
        <v>principal-knowledge-authority -&gt; ChangeRequests.IsImplemented</v>
      </c>
      <c r="C2170" s="2" t="s">
        <v>9708</v>
      </c>
      <c r="D2170" s="2" t="s">
        <v>3895</v>
      </c>
      <c r="E2170" s="2" t="b">
        <v>1</v>
      </c>
      <c r="F2170" s="2" t="b">
        <v>0</v>
      </c>
      <c r="G2170" s="2" t="s">
        <v>9937</v>
      </c>
      <c r="H2170" s="3" t="str">
        <f>_xlfn.IFNA(INDEX(RulebookFields!C2:C999, MATCH(D2170,RulebookFields!A2:A999, 0)), "")</f>
        <v>ChangeRequests</v>
      </c>
      <c r="I2170" s="3" t="str">
        <f>_xlfn.IFNA(INDEX(RulebookFields!D2:D999, MATCH(D2170,RulebookFields!A2:A999, 0)), "")</f>
        <v>IsImplemented</v>
      </c>
      <c r="J2170" s="3" t="b">
        <f>_xlfn.IFNA(INDEX(RulebookFields!I2:I999, MATCH(D2170,RulebookFields!A2:A999, 0)), "")</f>
        <v>1</v>
      </c>
      <c r="K2170" s="3" t="b">
        <f>AND(F2170, J2170)</f>
        <v>0</v>
      </c>
      <c r="L2170" s="3" t="b">
        <f>AND(G2170 &lt;&gt; "plain", G2170 &lt;&gt; "")</f>
        <v>0</v>
      </c>
      <c r="M2170" s="3" t="str">
        <f>IF(E2170, C2170 &amp; "|" &amp; H2170, "")</f>
        <v>principal-knowledge-authority|ChangeRequests</v>
      </c>
      <c r="N2170" s="2" t="s">
        <v>9938</v>
      </c>
    </row>
    <row r="2171">
      <c r="A2171" s="2" t="s">
        <v>12107</v>
      </c>
      <c r="B2171" s="3" t="str">
        <f>C2171 &amp; " -&gt; " &amp; D2171</f>
        <v>principal-knowledge-authority -&gt; ChangeRequests.IsMyDecidedRequest</v>
      </c>
      <c r="C2171" s="2" t="s">
        <v>9708</v>
      </c>
      <c r="D2171" s="2" t="s">
        <v>3897</v>
      </c>
      <c r="E2171" s="2" t="b">
        <v>1</v>
      </c>
      <c r="F2171" s="2" t="b">
        <v>0</v>
      </c>
      <c r="G2171" s="2" t="s">
        <v>9937</v>
      </c>
      <c r="H2171" s="3" t="str">
        <f>_xlfn.IFNA(INDEX(RulebookFields!C2:C999, MATCH(D2171,RulebookFields!A2:A999, 0)), "")</f>
        <v>ChangeRequests</v>
      </c>
      <c r="I2171" s="3" t="str">
        <f>_xlfn.IFNA(INDEX(RulebookFields!D2:D999, MATCH(D2171,RulebookFields!A2:A999, 0)), "")</f>
        <v>IsMyDecidedRequest</v>
      </c>
      <c r="J2171" s="3" t="b">
        <f>_xlfn.IFNA(INDEX(RulebookFields!I2:I999, MATCH(D2171,RulebookFields!A2:A999, 0)), "")</f>
        <v>1</v>
      </c>
      <c r="K2171" s="3" t="b">
        <f>AND(F2171, J2171)</f>
        <v>0</v>
      </c>
      <c r="L2171" s="3" t="b">
        <f>AND(G2171 &lt;&gt; "plain", G2171 &lt;&gt; "")</f>
        <v>0</v>
      </c>
      <c r="M2171" s="3" t="str">
        <f>IF(E2171, C2171 &amp; "|" &amp; H2171, "")</f>
        <v>principal-knowledge-authority|ChangeRequests</v>
      </c>
      <c r="N2171" s="2" t="s">
        <v>9938</v>
      </c>
    </row>
    <row r="2172">
      <c r="A2172" s="2" t="s">
        <v>12108</v>
      </c>
      <c r="B2172" s="3" t="str">
        <f>C2172 &amp; " -&gt; " &amp; D2172</f>
        <v>principal-knowledge-authority -&gt; ChangeRequests.IsMyDecidedButUnlanded</v>
      </c>
      <c r="C2172" s="2" t="s">
        <v>9708</v>
      </c>
      <c r="D2172" s="2" t="s">
        <v>3899</v>
      </c>
      <c r="E2172" s="2" t="b">
        <v>1</v>
      </c>
      <c r="F2172" s="2" t="b">
        <v>0</v>
      </c>
      <c r="G2172" s="2" t="s">
        <v>9937</v>
      </c>
      <c r="H2172" s="3" t="str">
        <f>_xlfn.IFNA(INDEX(RulebookFields!C2:C999, MATCH(D2172,RulebookFields!A2:A999, 0)), "")</f>
        <v>ChangeRequests</v>
      </c>
      <c r="I2172" s="3" t="str">
        <f>_xlfn.IFNA(INDEX(RulebookFields!D2:D999, MATCH(D2172,RulebookFields!A2:A999, 0)), "")</f>
        <v>IsMyDecidedButUnlanded</v>
      </c>
      <c r="J2172" s="3" t="b">
        <f>_xlfn.IFNA(INDEX(RulebookFields!I2:I999, MATCH(D2172,RulebookFields!A2:A999, 0)), "")</f>
        <v>1</v>
      </c>
      <c r="K2172" s="3" t="b">
        <f>AND(F2172, J2172)</f>
        <v>0</v>
      </c>
      <c r="L2172" s="3" t="b">
        <f>AND(G2172 &lt;&gt; "plain", G2172 &lt;&gt; "")</f>
        <v>0</v>
      </c>
      <c r="M2172" s="3" t="str">
        <f>IF(E2172, C2172 &amp; "|" &amp; H2172, "")</f>
        <v>principal-knowledge-authority|ChangeRequests</v>
      </c>
      <c r="N2172" s="2" t="s">
        <v>9938</v>
      </c>
    </row>
    <row r="2173">
      <c r="A2173" s="2" t="s">
        <v>12109</v>
      </c>
      <c r="B2173" s="3" t="str">
        <f>C2173 &amp; " -&gt; " &amp; D2173</f>
        <v>principal-knowledge-authority -&gt; ChangeRequests.DecisionLatencyDays</v>
      </c>
      <c r="C2173" s="2" t="s">
        <v>9708</v>
      </c>
      <c r="D2173" s="2" t="s">
        <v>3901</v>
      </c>
      <c r="E2173" s="2" t="b">
        <v>1</v>
      </c>
      <c r="F2173" s="2" t="b">
        <v>0</v>
      </c>
      <c r="G2173" s="2" t="s">
        <v>9937</v>
      </c>
      <c r="H2173" s="3" t="str">
        <f>_xlfn.IFNA(INDEX(RulebookFields!C2:C999, MATCH(D2173,RulebookFields!A2:A999, 0)), "")</f>
        <v>ChangeRequests</v>
      </c>
      <c r="I2173" s="3" t="str">
        <f>_xlfn.IFNA(INDEX(RulebookFields!D2:D999, MATCH(D2173,RulebookFields!A2:A999, 0)), "")</f>
        <v>DecisionLatencyDays</v>
      </c>
      <c r="J2173" s="3" t="b">
        <f>_xlfn.IFNA(INDEX(RulebookFields!I2:I999, MATCH(D2173,RulebookFields!A2:A999, 0)), "")</f>
        <v>1</v>
      </c>
      <c r="K2173" s="3" t="b">
        <f>AND(F2173, J2173)</f>
        <v>0</v>
      </c>
      <c r="L2173" s="3" t="b">
        <f>AND(G2173 &lt;&gt; "plain", G2173 &lt;&gt; "")</f>
        <v>0</v>
      </c>
      <c r="M2173" s="3" t="str">
        <f>IF(E2173, C2173 &amp; "|" &amp; H2173, "")</f>
        <v>principal-knowledge-authority|ChangeRequests</v>
      </c>
      <c r="N2173" s="2" t="s">
        <v>9938</v>
      </c>
    </row>
    <row r="2174">
      <c r="A2174" s="2" t="s">
        <v>12110</v>
      </c>
      <c r="B2174" s="3" t="str">
        <f>C2174 &amp; " -&gt; " &amp; D2174</f>
        <v>principal-knowledge-authority -&gt; ChangeRequests.ImplementationLatencyDays</v>
      </c>
      <c r="C2174" s="2" t="s">
        <v>9708</v>
      </c>
      <c r="D2174" s="2" t="s">
        <v>3903</v>
      </c>
      <c r="E2174" s="2" t="b">
        <v>1</v>
      </c>
      <c r="F2174" s="2" t="b">
        <v>0</v>
      </c>
      <c r="G2174" s="2" t="s">
        <v>9937</v>
      </c>
      <c r="H2174" s="3" t="str">
        <f>_xlfn.IFNA(INDEX(RulebookFields!C2:C999, MATCH(D2174,RulebookFields!A2:A999, 0)), "")</f>
        <v>ChangeRequests</v>
      </c>
      <c r="I2174" s="3" t="str">
        <f>_xlfn.IFNA(INDEX(RulebookFields!D2:D999, MATCH(D2174,RulebookFields!A2:A999, 0)), "")</f>
        <v>ImplementationLatencyDays</v>
      </c>
      <c r="J2174" s="3" t="b">
        <f>_xlfn.IFNA(INDEX(RulebookFields!I2:I999, MATCH(D2174,RulebookFields!A2:A999, 0)), "")</f>
        <v>1</v>
      </c>
      <c r="K2174" s="3" t="b">
        <f>AND(F2174, J2174)</f>
        <v>0</v>
      </c>
      <c r="L2174" s="3" t="b">
        <f>AND(G2174 &lt;&gt; "plain", G2174 &lt;&gt; "")</f>
        <v>0</v>
      </c>
      <c r="M2174" s="3" t="str">
        <f>IF(E2174, C2174 &amp; "|" &amp; H2174, "")</f>
        <v>principal-knowledge-authority|ChangeRequests</v>
      </c>
      <c r="N2174" s="2" t="s">
        <v>9938</v>
      </c>
    </row>
    <row r="2175">
      <c r="A2175" s="2" t="s">
        <v>12111</v>
      </c>
      <c r="B2175" s="3" t="str">
        <f>C2175 &amp; " -&gt; " &amp; D2175</f>
        <v>principal-knowledge-authority -&gt; ChangeRequests.DelayIsDownstreamOfMe</v>
      </c>
      <c r="C2175" s="2" t="s">
        <v>9708</v>
      </c>
      <c r="D2175" s="2" t="s">
        <v>3905</v>
      </c>
      <c r="E2175" s="2" t="b">
        <v>1</v>
      </c>
      <c r="F2175" s="2" t="b">
        <v>0</v>
      </c>
      <c r="G2175" s="2" t="s">
        <v>9937</v>
      </c>
      <c r="H2175" s="3" t="str">
        <f>_xlfn.IFNA(INDEX(RulebookFields!C2:C999, MATCH(D2175,RulebookFields!A2:A999, 0)), "")</f>
        <v>ChangeRequests</v>
      </c>
      <c r="I2175" s="3" t="str">
        <f>_xlfn.IFNA(INDEX(RulebookFields!D2:D999, MATCH(D2175,RulebookFields!A2:A999, 0)), "")</f>
        <v>DelayIsDownstreamOfMe</v>
      </c>
      <c r="J2175" s="3" t="b">
        <f>_xlfn.IFNA(INDEX(RulebookFields!I2:I999, MATCH(D2175,RulebookFields!A2:A999, 0)), "")</f>
        <v>1</v>
      </c>
      <c r="K2175" s="3" t="b">
        <f>AND(F2175, J2175)</f>
        <v>0</v>
      </c>
      <c r="L2175" s="3" t="b">
        <f>AND(G2175 &lt;&gt; "plain", G2175 &lt;&gt; "")</f>
        <v>0</v>
      </c>
      <c r="M2175" s="3" t="str">
        <f>IF(E2175, C2175 &amp; "|" &amp; H2175, "")</f>
        <v>principal-knowledge-authority|ChangeRequests</v>
      </c>
      <c r="N2175" s="2" t="s">
        <v>9938</v>
      </c>
    </row>
    <row r="2176">
      <c r="A2176" s="2" t="s">
        <v>12112</v>
      </c>
      <c r="B2176" s="3" t="str">
        <f>C2176 &amp; " -&gt; " &amp; D2176</f>
        <v>principal-knowledge-authority -&gt; ChangeRequests.UnlandedVersionKey</v>
      </c>
      <c r="C2176" s="2" t="s">
        <v>9708</v>
      </c>
      <c r="D2176" s="2" t="s">
        <v>3907</v>
      </c>
      <c r="E2176" s="2" t="b">
        <v>1</v>
      </c>
      <c r="F2176" s="2" t="b">
        <v>0</v>
      </c>
      <c r="G2176" s="2" t="s">
        <v>9937</v>
      </c>
      <c r="H2176" s="3" t="str">
        <f>_xlfn.IFNA(INDEX(RulebookFields!C2:C999, MATCH(D2176,RulebookFields!A2:A999, 0)), "")</f>
        <v>ChangeRequests</v>
      </c>
      <c r="I2176" s="3" t="str">
        <f>_xlfn.IFNA(INDEX(RulebookFields!D2:D999, MATCH(D2176,RulebookFields!A2:A999, 0)), "")</f>
        <v>UnlandedVersionKey</v>
      </c>
      <c r="J2176" s="3" t="b">
        <f>_xlfn.IFNA(INDEX(RulebookFields!I2:I999, MATCH(D2176,RulebookFields!A2:A999, 0)), "")</f>
        <v>1</v>
      </c>
      <c r="K2176" s="3" t="b">
        <f>AND(F2176, J2176)</f>
        <v>0</v>
      </c>
      <c r="L2176" s="3" t="b">
        <f>AND(G2176 &lt;&gt; "plain", G2176 &lt;&gt; "")</f>
        <v>0</v>
      </c>
      <c r="M2176" s="3" t="str">
        <f>IF(E2176, C2176 &amp; "|" &amp; H2176, "")</f>
        <v>principal-knowledge-authority|ChangeRequests</v>
      </c>
      <c r="N2176" s="2" t="s">
        <v>9938</v>
      </c>
    </row>
    <row r="2177">
      <c r="A2177" s="2" t="s">
        <v>12113</v>
      </c>
      <c r="B2177" s="3" t="str">
        <f>C2177 &amp; " -&gt; " &amp; D2177</f>
        <v>principal-knowledge-authority -&gt; ChangeRequests.IsApprovedNotImplemented</v>
      </c>
      <c r="C2177" s="2" t="s">
        <v>9708</v>
      </c>
      <c r="D2177" s="2" t="s">
        <v>3909</v>
      </c>
      <c r="E2177" s="2" t="b">
        <v>1</v>
      </c>
      <c r="F2177" s="2" t="b">
        <v>0</v>
      </c>
      <c r="G2177" s="2" t="s">
        <v>9937</v>
      </c>
      <c r="H2177" s="3" t="str">
        <f>_xlfn.IFNA(INDEX(RulebookFields!C2:C999, MATCH(D2177,RulebookFields!A2:A999, 0)), "")</f>
        <v>ChangeRequests</v>
      </c>
      <c r="I2177" s="3" t="str">
        <f>_xlfn.IFNA(INDEX(RulebookFields!D2:D999, MATCH(D2177,RulebookFields!A2:A999, 0)), "")</f>
        <v>IsApprovedNotImplemented</v>
      </c>
      <c r="J2177" s="3" t="b">
        <f>_xlfn.IFNA(INDEX(RulebookFields!I2:I999, MATCH(D2177,RulebookFields!A2:A999, 0)), "")</f>
        <v>1</v>
      </c>
      <c r="K2177" s="3" t="b">
        <f>AND(F2177, J2177)</f>
        <v>0</v>
      </c>
      <c r="L2177" s="3" t="b">
        <f>AND(G2177 &lt;&gt; "plain", G2177 &lt;&gt; "")</f>
        <v>0</v>
      </c>
      <c r="M2177" s="3" t="str">
        <f>IF(E2177, C2177 &amp; "|" &amp; H2177, "")</f>
        <v>principal-knowledge-authority|ChangeRequests</v>
      </c>
      <c r="N2177" s="2" t="s">
        <v>9938</v>
      </c>
    </row>
    <row r="2178">
      <c r="A2178" s="2" t="s">
        <v>12114</v>
      </c>
      <c r="B2178" s="3" t="str">
        <f>C2178 &amp; " -&gt; " &amp; D2178</f>
        <v>principal-knowledge-authority -&gt; ChangeRequests.DaysSinceApproval</v>
      </c>
      <c r="C2178" s="2" t="s">
        <v>9708</v>
      </c>
      <c r="D2178" s="2" t="s">
        <v>3911</v>
      </c>
      <c r="E2178" s="2" t="b">
        <v>1</v>
      </c>
      <c r="F2178" s="2" t="b">
        <v>0</v>
      </c>
      <c r="G2178" s="2" t="s">
        <v>9937</v>
      </c>
      <c r="H2178" s="3" t="str">
        <f>_xlfn.IFNA(INDEX(RulebookFields!C2:C999, MATCH(D2178,RulebookFields!A2:A999, 0)), "")</f>
        <v>ChangeRequests</v>
      </c>
      <c r="I2178" s="3" t="str">
        <f>_xlfn.IFNA(INDEX(RulebookFields!D2:D999, MATCH(D2178,RulebookFields!A2:A999, 0)), "")</f>
        <v>DaysSinceApproval</v>
      </c>
      <c r="J2178" s="3" t="b">
        <f>_xlfn.IFNA(INDEX(RulebookFields!I2:I999, MATCH(D2178,RulebookFields!A2:A999, 0)), "")</f>
        <v>1</v>
      </c>
      <c r="K2178" s="3" t="b">
        <f>AND(F2178, J2178)</f>
        <v>0</v>
      </c>
      <c r="L2178" s="3" t="b">
        <f>AND(G2178 &lt;&gt; "plain", G2178 &lt;&gt; "")</f>
        <v>0</v>
      </c>
      <c r="M2178" s="3" t="str">
        <f>IF(E2178, C2178 &amp; "|" &amp; H2178, "")</f>
        <v>principal-knowledge-authority|ChangeRequests</v>
      </c>
      <c r="N2178" s="2" t="s">
        <v>9938</v>
      </c>
    </row>
    <row r="2179">
      <c r="A2179" s="2" t="s">
        <v>12115</v>
      </c>
      <c r="B2179" s="3" t="str">
        <f>C2179 &amp; " -&gt; " &amp; D2179</f>
        <v>principal-knowledge-authority -&gt; ChangeRequests.IsStalledImplementation</v>
      </c>
      <c r="C2179" s="2" t="s">
        <v>9708</v>
      </c>
      <c r="D2179" s="2" t="s">
        <v>3913</v>
      </c>
      <c r="E2179" s="2" t="b">
        <v>1</v>
      </c>
      <c r="F2179" s="2" t="b">
        <v>0</v>
      </c>
      <c r="G2179" s="2" t="s">
        <v>9937</v>
      </c>
      <c r="H2179" s="3" t="str">
        <f>_xlfn.IFNA(INDEX(RulebookFields!C2:C999, MATCH(D2179,RulebookFields!A2:A999, 0)), "")</f>
        <v>ChangeRequests</v>
      </c>
      <c r="I2179" s="3" t="str">
        <f>_xlfn.IFNA(INDEX(RulebookFields!D2:D999, MATCH(D2179,RulebookFields!A2:A999, 0)), "")</f>
        <v>IsStalledImplementation</v>
      </c>
      <c r="J2179" s="3" t="b">
        <f>_xlfn.IFNA(INDEX(RulebookFields!I2:I999, MATCH(D2179,RulebookFields!A2:A999, 0)), "")</f>
        <v>1</v>
      </c>
      <c r="K2179" s="3" t="b">
        <f>AND(F2179, J2179)</f>
        <v>0</v>
      </c>
      <c r="L2179" s="3" t="b">
        <f>AND(G2179 &lt;&gt; "plain", G2179 &lt;&gt; "")</f>
        <v>0</v>
      </c>
      <c r="M2179" s="3" t="str">
        <f>IF(E2179, C2179 &amp; "|" &amp; H2179, "")</f>
        <v>principal-knowledge-authority|ChangeRequests</v>
      </c>
      <c r="N2179" s="2" t="s">
        <v>9938</v>
      </c>
    </row>
    <row r="2180">
      <c r="A2180" s="2" t="s">
        <v>12116</v>
      </c>
      <c r="B2180" s="3" t="str">
        <f>C2180 &amp; " -&gt; " &amp; D2180</f>
        <v>principal-knowledge-authority -&gt; ChangeRequests.StalledImplementationVersionKey</v>
      </c>
      <c r="C2180" s="2" t="s">
        <v>9708</v>
      </c>
      <c r="D2180" s="2" t="s">
        <v>3915</v>
      </c>
      <c r="E2180" s="2" t="b">
        <v>1</v>
      </c>
      <c r="F2180" s="2" t="b">
        <v>0</v>
      </c>
      <c r="G2180" s="2" t="s">
        <v>9937</v>
      </c>
      <c r="H2180" s="3" t="str">
        <f>_xlfn.IFNA(INDEX(RulebookFields!C2:C999, MATCH(D2180,RulebookFields!A2:A999, 0)), "")</f>
        <v>ChangeRequests</v>
      </c>
      <c r="I2180" s="3" t="str">
        <f>_xlfn.IFNA(INDEX(RulebookFields!D2:D999, MATCH(D2180,RulebookFields!A2:A999, 0)), "")</f>
        <v>StalledImplementationVersionKey</v>
      </c>
      <c r="J2180" s="3" t="b">
        <f>_xlfn.IFNA(INDEX(RulebookFields!I2:I999, MATCH(D2180,RulebookFields!A2:A999, 0)), "")</f>
        <v>1</v>
      </c>
      <c r="K2180" s="3" t="b">
        <f>AND(F2180, J2180)</f>
        <v>0</v>
      </c>
      <c r="L2180" s="3" t="b">
        <f>AND(G2180 &lt;&gt; "plain", G2180 &lt;&gt; "")</f>
        <v>0</v>
      </c>
      <c r="M2180" s="3" t="str">
        <f>IF(E2180, C2180 &amp; "|" &amp; H2180, "")</f>
        <v>principal-knowledge-authority|ChangeRequests</v>
      </c>
      <c r="N2180" s="2" t="s">
        <v>9938</v>
      </c>
    </row>
    <row r="2181">
      <c r="A2181" s="2" t="s">
        <v>12117</v>
      </c>
      <c r="B2181" s="3" t="str">
        <f>C2181 &amp; " -&gt; " &amp; D2181</f>
        <v>principal-knowledge-authority -&gt; ChangeRequests.ApprovedVersionKey</v>
      </c>
      <c r="C2181" s="2" t="s">
        <v>9708</v>
      </c>
      <c r="D2181" s="2" t="s">
        <v>3917</v>
      </c>
      <c r="E2181" s="2" t="b">
        <v>1</v>
      </c>
      <c r="F2181" s="2" t="b">
        <v>0</v>
      </c>
      <c r="G2181" s="2" t="s">
        <v>9937</v>
      </c>
      <c r="H2181" s="3" t="str">
        <f>_xlfn.IFNA(INDEX(RulebookFields!C2:C999, MATCH(D2181,RulebookFields!A2:A999, 0)), "")</f>
        <v>ChangeRequests</v>
      </c>
      <c r="I2181" s="3" t="str">
        <f>_xlfn.IFNA(INDEX(RulebookFields!D2:D999, MATCH(D2181,RulebookFields!A2:A999, 0)), "")</f>
        <v>ApprovedVersionKey</v>
      </c>
      <c r="J2181" s="3" t="b">
        <f>_xlfn.IFNA(INDEX(RulebookFields!I2:I999, MATCH(D2181,RulebookFields!A2:A999, 0)), "")</f>
        <v>1</v>
      </c>
      <c r="K2181" s="3" t="b">
        <f>AND(F2181, J2181)</f>
        <v>0</v>
      </c>
      <c r="L2181" s="3" t="b">
        <f>AND(G2181 &lt;&gt; "plain", G2181 &lt;&gt; "")</f>
        <v>0</v>
      </c>
      <c r="M2181" s="3" t="str">
        <f>IF(E2181, C2181 &amp; "|" &amp; H2181, "")</f>
        <v>principal-knowledge-authority|ChangeRequests</v>
      </c>
      <c r="N2181" s="2" t="s">
        <v>9938</v>
      </c>
    </row>
    <row r="2182">
      <c r="A2182" s="2" t="s">
        <v>12118</v>
      </c>
      <c r="B2182" s="3" t="str">
        <f>C2182 &amp; " -&gt; " &amp; D2182</f>
        <v>principal-knowledge-authority -&gt; ChangeRequests.IsApprovedDecision</v>
      </c>
      <c r="C2182" s="2" t="s">
        <v>9708</v>
      </c>
      <c r="D2182" s="2" t="s">
        <v>3919</v>
      </c>
      <c r="E2182" s="2" t="b">
        <v>1</v>
      </c>
      <c r="F2182" s="2" t="b">
        <v>0</v>
      </c>
      <c r="G2182" s="2" t="s">
        <v>9937</v>
      </c>
      <c r="H2182" s="3" t="str">
        <f>_xlfn.IFNA(INDEX(RulebookFields!C2:C999, MATCH(D2182,RulebookFields!A2:A999, 0)), "")</f>
        <v>ChangeRequests</v>
      </c>
      <c r="I2182" s="3" t="str">
        <f>_xlfn.IFNA(INDEX(RulebookFields!D2:D999, MATCH(D2182,RulebookFields!A2:A999, 0)), "")</f>
        <v>IsApprovedDecision</v>
      </c>
      <c r="J2182" s="3" t="b">
        <f>_xlfn.IFNA(INDEX(RulebookFields!I2:I999, MATCH(D2182,RulebookFields!A2:A999, 0)), "")</f>
        <v>1</v>
      </c>
      <c r="K2182" s="3" t="b">
        <f>AND(F2182, J2182)</f>
        <v>0</v>
      </c>
      <c r="L2182" s="3" t="b">
        <f>AND(G2182 &lt;&gt; "plain", G2182 &lt;&gt; "")</f>
        <v>0</v>
      </c>
      <c r="M2182" s="3" t="str">
        <f>IF(E2182, C2182 &amp; "|" &amp; H2182, "")</f>
        <v>principal-knowledge-authority|ChangeRequests</v>
      </c>
      <c r="N2182" s="2" t="s">
        <v>9938</v>
      </c>
    </row>
    <row r="2183">
      <c r="A2183" s="2" t="s">
        <v>12119</v>
      </c>
      <c r="B2183" s="3" t="str">
        <f>C2183 &amp; " -&gt; " &amp; D2183</f>
        <v>principal-knowledge-authority -&gt; ChangeRequests.SemanticTypeIri</v>
      </c>
      <c r="C2183" s="2" t="s">
        <v>9708</v>
      </c>
      <c r="D2183" s="2" t="s">
        <v>3920</v>
      </c>
      <c r="E2183" s="2" t="b">
        <v>1</v>
      </c>
      <c r="F2183" s="2" t="b">
        <v>0</v>
      </c>
      <c r="G2183" s="2" t="s">
        <v>9937</v>
      </c>
      <c r="H2183" s="3" t="str">
        <f>_xlfn.IFNA(INDEX(RulebookFields!C2:C999, MATCH(D2183,RulebookFields!A2:A999, 0)), "")</f>
        <v>ChangeRequests</v>
      </c>
      <c r="I2183" s="3" t="str">
        <f>_xlfn.IFNA(INDEX(RulebookFields!D2:D999, MATCH(D2183,RulebookFields!A2:A999, 0)), "")</f>
        <v>SemanticTypeIri</v>
      </c>
      <c r="J2183" s="3" t="b">
        <f>_xlfn.IFNA(INDEX(RulebookFields!I2:I999, MATCH(D2183,RulebookFields!A2:A999, 0)), "")</f>
        <v>0</v>
      </c>
      <c r="K2183" s="3" t="b">
        <f>AND(F2183, J2183)</f>
        <v>0</v>
      </c>
      <c r="L2183" s="3" t="b">
        <f>AND(G2183 &lt;&gt; "plain", G2183 &lt;&gt; "")</f>
        <v>0</v>
      </c>
      <c r="M2183" s="3" t="str">
        <f>IF(E2183, C2183 &amp; "|" &amp; H2183, "")</f>
        <v>principal-knowledge-authority|ChangeRequests</v>
      </c>
      <c r="N2183" s="2" t="s">
        <v>9938</v>
      </c>
    </row>
    <row r="2184">
      <c r="A2184" s="2" t="s">
        <v>12120</v>
      </c>
      <c r="B2184" s="3" t="str">
        <f>C2184 &amp; " -&gt; " &amp; D2184</f>
        <v>principal-knowledge-authority -&gt; CommunicationPolicies.CommunicationPolicyId</v>
      </c>
      <c r="C2184" s="2" t="s">
        <v>9708</v>
      </c>
      <c r="D2184" s="2" t="s">
        <v>3994</v>
      </c>
      <c r="E2184" s="2" t="b">
        <v>1</v>
      </c>
      <c r="F2184" s="2" t="b">
        <v>0</v>
      </c>
      <c r="G2184" s="2" t="s">
        <v>9937</v>
      </c>
      <c r="H2184" s="3" t="str">
        <f>_xlfn.IFNA(INDEX(RulebookFields!C2:C999, MATCH(D2184,RulebookFields!A2:A999, 0)), "")</f>
      </c>
      <c r="I2184" s="3" t="str">
        <f>_xlfn.IFNA(INDEX(RulebookFields!D2:D999, MATCH(D2184,RulebookFields!A2:A999, 0)), "")</f>
      </c>
      <c r="J2184" s="3" t="str">
        <f>_xlfn.IFNA(INDEX(RulebookFields!I2:I999, MATCH(D2184,RulebookFields!A2:A999, 0)), "")</f>
      </c>
      <c r="K2184" s="3" t="b">
        <f>AND(F2184, J2184)</f>
        <v>0</v>
      </c>
      <c r="L2184" s="3" t="b">
        <f>AND(G2184 &lt;&gt; "plain", G2184 &lt;&gt; "")</f>
        <v>0</v>
      </c>
      <c r="M2184" s="3" t="str">
        <f>IF(E2184, C2184 &amp; "|" &amp; H2184, "")</f>
        <v>principal-knowledge-authority|</v>
      </c>
      <c r="N2184" s="2" t="s">
        <v>9938</v>
      </c>
    </row>
    <row r="2185">
      <c r="A2185" s="2" t="s">
        <v>12121</v>
      </c>
      <c r="B2185" s="3" t="str">
        <f>C2185 &amp; " -&gt; " &amp; D2185</f>
        <v>principal-knowledge-authority -&gt; CommunicationPolicies.Name</v>
      </c>
      <c r="C2185" s="2" t="s">
        <v>9708</v>
      </c>
      <c r="D2185" s="2" t="s">
        <v>3995</v>
      </c>
      <c r="E2185" s="2" t="b">
        <v>1</v>
      </c>
      <c r="F2185" s="2" t="b">
        <v>0</v>
      </c>
      <c r="G2185" s="2" t="s">
        <v>9937</v>
      </c>
      <c r="H2185" s="3" t="str">
        <f>_xlfn.IFNA(INDEX(RulebookFields!C2:C999, MATCH(D2185,RulebookFields!A2:A999, 0)), "")</f>
      </c>
      <c r="I2185" s="3" t="str">
        <f>_xlfn.IFNA(INDEX(RulebookFields!D2:D999, MATCH(D2185,RulebookFields!A2:A999, 0)), "")</f>
      </c>
      <c r="J2185" s="3" t="str">
        <f>_xlfn.IFNA(INDEX(RulebookFields!I2:I999, MATCH(D2185,RulebookFields!A2:A999, 0)), "")</f>
      </c>
      <c r="K2185" s="3" t="b">
        <f>AND(F2185, J2185)</f>
        <v>0</v>
      </c>
      <c r="L2185" s="3" t="b">
        <f>AND(G2185 &lt;&gt; "plain", G2185 &lt;&gt; "")</f>
        <v>0</v>
      </c>
      <c r="M2185" s="3" t="str">
        <f>IF(E2185, C2185 &amp; "|" &amp; H2185, "")</f>
        <v>principal-knowledge-authority|</v>
      </c>
      <c r="N2185" s="2" t="s">
        <v>9938</v>
      </c>
    </row>
    <row r="2186">
      <c r="A2186" s="2" t="s">
        <v>12122</v>
      </c>
      <c r="B2186" s="3" t="str">
        <f>C2186 &amp; " -&gt; " &amp; D2186</f>
        <v>principal-knowledge-authority -&gt; CommunicationPolicies.ProcedureVersion</v>
      </c>
      <c r="C2186" s="2" t="s">
        <v>9708</v>
      </c>
      <c r="D2186" s="2" t="s">
        <v>3997</v>
      </c>
      <c r="E2186" s="2" t="b">
        <v>1</v>
      </c>
      <c r="F2186" s="2" t="b">
        <v>0</v>
      </c>
      <c r="G2186" s="2" t="s">
        <v>9937</v>
      </c>
      <c r="H2186" s="3" t="str">
        <f>_xlfn.IFNA(INDEX(RulebookFields!C2:C999, MATCH(D2186,RulebookFields!A2:A999, 0)), "")</f>
      </c>
      <c r="I2186" s="3" t="str">
        <f>_xlfn.IFNA(INDEX(RulebookFields!D2:D999, MATCH(D2186,RulebookFields!A2:A999, 0)), "")</f>
      </c>
      <c r="J2186" s="3" t="str">
        <f>_xlfn.IFNA(INDEX(RulebookFields!I2:I999, MATCH(D2186,RulebookFields!A2:A999, 0)), "")</f>
      </c>
      <c r="K2186" s="3" t="b">
        <f>AND(F2186, J2186)</f>
        <v>0</v>
      </c>
      <c r="L2186" s="3" t="b">
        <f>AND(G2186 &lt;&gt; "plain", G2186 &lt;&gt; "")</f>
        <v>0</v>
      </c>
      <c r="M2186" s="3" t="str">
        <f>IF(E2186, C2186 &amp; "|" &amp; H2186, "")</f>
        <v>principal-knowledge-authority|</v>
      </c>
      <c r="N2186" s="2" t="s">
        <v>9938</v>
      </c>
    </row>
    <row r="2187">
      <c r="A2187" s="2" t="s">
        <v>12123</v>
      </c>
      <c r="B2187" s="3" t="str">
        <f>C2187 &amp; " -&gt; " &amp; D2187</f>
        <v>principal-knowledge-authority -&gt; CommunicationPolicies.Channel</v>
      </c>
      <c r="C2187" s="2" t="s">
        <v>9708</v>
      </c>
      <c r="D2187" s="2" t="s">
        <v>3998</v>
      </c>
      <c r="E2187" s="2" t="b">
        <v>1</v>
      </c>
      <c r="F2187" s="2" t="b">
        <v>0</v>
      </c>
      <c r="G2187" s="2" t="s">
        <v>9937</v>
      </c>
      <c r="H2187" s="3" t="str">
        <f>_xlfn.IFNA(INDEX(RulebookFields!C2:C999, MATCH(D2187,RulebookFields!A2:A999, 0)), "")</f>
      </c>
      <c r="I2187" s="3" t="str">
        <f>_xlfn.IFNA(INDEX(RulebookFields!D2:D999, MATCH(D2187,RulebookFields!A2:A999, 0)), "")</f>
      </c>
      <c r="J2187" s="3" t="str">
        <f>_xlfn.IFNA(INDEX(RulebookFields!I2:I999, MATCH(D2187,RulebookFields!A2:A999, 0)), "")</f>
      </c>
      <c r="K2187" s="3" t="b">
        <f>AND(F2187, J2187)</f>
        <v>0</v>
      </c>
      <c r="L2187" s="3" t="b">
        <f>AND(G2187 &lt;&gt; "plain", G2187 &lt;&gt; "")</f>
        <v>0</v>
      </c>
      <c r="M2187" s="3" t="str">
        <f>IF(E2187, C2187 &amp; "|" &amp; H2187, "")</f>
        <v>principal-knowledge-authority|</v>
      </c>
      <c r="N2187" s="2" t="s">
        <v>9938</v>
      </c>
    </row>
    <row r="2188">
      <c r="A2188" s="2" t="s">
        <v>12124</v>
      </c>
      <c r="B2188" s="3" t="str">
        <f>C2188 &amp; " -&gt; " &amp; D2188</f>
        <v>principal-knowledge-authority -&gt; CommunicationPolicies.AudienceRule</v>
      </c>
      <c r="C2188" s="2" t="s">
        <v>9708</v>
      </c>
      <c r="D2188" s="2" t="s">
        <v>3999</v>
      </c>
      <c r="E2188" s="2" t="b">
        <v>1</v>
      </c>
      <c r="F2188" s="2" t="b">
        <v>0</v>
      </c>
      <c r="G2188" s="2" t="s">
        <v>9937</v>
      </c>
      <c r="H2188" s="3" t="str">
        <f>_xlfn.IFNA(INDEX(RulebookFields!C2:C999, MATCH(D2188,RulebookFields!A2:A999, 0)), "")</f>
      </c>
      <c r="I2188" s="3" t="str">
        <f>_xlfn.IFNA(INDEX(RulebookFields!D2:D999, MATCH(D2188,RulebookFields!A2:A999, 0)), "")</f>
      </c>
      <c r="J2188" s="3" t="str">
        <f>_xlfn.IFNA(INDEX(RulebookFields!I2:I999, MATCH(D2188,RulebookFields!A2:A999, 0)), "")</f>
      </c>
      <c r="K2188" s="3" t="b">
        <f>AND(F2188, J2188)</f>
        <v>0</v>
      </c>
      <c r="L2188" s="3" t="b">
        <f>AND(G2188 &lt;&gt; "plain", G2188 &lt;&gt; "")</f>
        <v>0</v>
      </c>
      <c r="M2188" s="3" t="str">
        <f>IF(E2188, C2188 &amp; "|" &amp; H2188, "")</f>
        <v>principal-knowledge-authority|</v>
      </c>
      <c r="N2188" s="2" t="s">
        <v>9938</v>
      </c>
    </row>
    <row r="2189">
      <c r="A2189" s="2" t="s">
        <v>12125</v>
      </c>
      <c r="B2189" s="3" t="str">
        <f>C2189 &amp; " -&gt; " &amp; D2189</f>
        <v>principal-knowledge-authority -&gt; CommunicationPolicies.ConsentRequired</v>
      </c>
      <c r="C2189" s="2" t="s">
        <v>9708</v>
      </c>
      <c r="D2189" s="2" t="s">
        <v>4000</v>
      </c>
      <c r="E2189" s="2" t="b">
        <v>1</v>
      </c>
      <c r="F2189" s="2" t="b">
        <v>0</v>
      </c>
      <c r="G2189" s="2" t="s">
        <v>9937</v>
      </c>
      <c r="H2189" s="3" t="str">
        <f>_xlfn.IFNA(INDEX(RulebookFields!C2:C999, MATCH(D2189,RulebookFields!A2:A999, 0)), "")</f>
      </c>
      <c r="I2189" s="3" t="str">
        <f>_xlfn.IFNA(INDEX(RulebookFields!D2:D999, MATCH(D2189,RulebookFields!A2:A999, 0)), "")</f>
      </c>
      <c r="J2189" s="3" t="str">
        <f>_xlfn.IFNA(INDEX(RulebookFields!I2:I999, MATCH(D2189,RulebookFields!A2:A999, 0)), "")</f>
      </c>
      <c r="K2189" s="3" t="b">
        <f>AND(F2189, J2189)</f>
        <v>0</v>
      </c>
      <c r="L2189" s="3" t="b">
        <f>AND(G2189 &lt;&gt; "plain", G2189 &lt;&gt; "")</f>
        <v>0</v>
      </c>
      <c r="M2189" s="3" t="str">
        <f>IF(E2189, C2189 &amp; "|" &amp; H2189, "")</f>
        <v>principal-knowledge-authority|</v>
      </c>
      <c r="N2189" s="2" t="s">
        <v>9938</v>
      </c>
    </row>
    <row r="2190">
      <c r="A2190" s="2" t="s">
        <v>12126</v>
      </c>
      <c r="B2190" s="3" t="str">
        <f>C2190 &amp; " -&gt; " &amp; D2190</f>
        <v>principal-knowledge-authority -&gt; CommunicationPolicies.QuietHoursStart</v>
      </c>
      <c r="C2190" s="2" t="s">
        <v>9708</v>
      </c>
      <c r="D2190" s="2" t="s">
        <v>4001</v>
      </c>
      <c r="E2190" s="2" t="b">
        <v>1</v>
      </c>
      <c r="F2190" s="2" t="b">
        <v>0</v>
      </c>
      <c r="G2190" s="2" t="s">
        <v>9937</v>
      </c>
      <c r="H2190" s="3" t="str">
        <f>_xlfn.IFNA(INDEX(RulebookFields!C2:C999, MATCH(D2190,RulebookFields!A2:A999, 0)), "")</f>
      </c>
      <c r="I2190" s="3" t="str">
        <f>_xlfn.IFNA(INDEX(RulebookFields!D2:D999, MATCH(D2190,RulebookFields!A2:A999, 0)), "")</f>
      </c>
      <c r="J2190" s="3" t="str">
        <f>_xlfn.IFNA(INDEX(RulebookFields!I2:I999, MATCH(D2190,RulebookFields!A2:A999, 0)), "")</f>
      </c>
      <c r="K2190" s="3" t="b">
        <f>AND(F2190, J2190)</f>
        <v>0</v>
      </c>
      <c r="L2190" s="3" t="b">
        <f>AND(G2190 &lt;&gt; "plain", G2190 &lt;&gt; "")</f>
        <v>0</v>
      </c>
      <c r="M2190" s="3" t="str">
        <f>IF(E2190, C2190 &amp; "|" &amp; H2190, "")</f>
        <v>principal-knowledge-authority|</v>
      </c>
      <c r="N2190" s="2" t="s">
        <v>9938</v>
      </c>
    </row>
    <row r="2191">
      <c r="A2191" s="2" t="s">
        <v>12127</v>
      </c>
      <c r="B2191" s="3" t="str">
        <f>C2191 &amp; " -&gt; " &amp; D2191</f>
        <v>principal-knowledge-authority -&gt; CommunicationPolicies.QuietHoursEnd</v>
      </c>
      <c r="C2191" s="2" t="s">
        <v>9708</v>
      </c>
      <c r="D2191" s="2" t="s">
        <v>4002</v>
      </c>
      <c r="E2191" s="2" t="b">
        <v>1</v>
      </c>
      <c r="F2191" s="2" t="b">
        <v>0</v>
      </c>
      <c r="G2191" s="2" t="s">
        <v>9937</v>
      </c>
      <c r="H2191" s="3" t="str">
        <f>_xlfn.IFNA(INDEX(RulebookFields!C2:C999, MATCH(D2191,RulebookFields!A2:A999, 0)), "")</f>
      </c>
      <c r="I2191" s="3" t="str">
        <f>_xlfn.IFNA(INDEX(RulebookFields!D2:D999, MATCH(D2191,RulebookFields!A2:A999, 0)), "")</f>
      </c>
      <c r="J2191" s="3" t="str">
        <f>_xlfn.IFNA(INDEX(RulebookFields!I2:I999, MATCH(D2191,RulebookFields!A2:A999, 0)), "")</f>
      </c>
      <c r="K2191" s="3" t="b">
        <f>AND(F2191, J2191)</f>
        <v>0</v>
      </c>
      <c r="L2191" s="3" t="b">
        <f>AND(G2191 &lt;&gt; "plain", G2191 &lt;&gt; "")</f>
        <v>0</v>
      </c>
      <c r="M2191" s="3" t="str">
        <f>IF(E2191, C2191 &amp; "|" &amp; H2191, "")</f>
        <v>principal-knowledge-authority|</v>
      </c>
      <c r="N2191" s="2" t="s">
        <v>9938</v>
      </c>
    </row>
    <row r="2192">
      <c r="A2192" s="2" t="s">
        <v>12128</v>
      </c>
      <c r="B2192" s="3" t="str">
        <f>C2192 &amp; " -&gt; " &amp; D2192</f>
        <v>principal-knowledge-authority -&gt; CommunicationPolicies.MaxMessageLength</v>
      </c>
      <c r="C2192" s="2" t="s">
        <v>9708</v>
      </c>
      <c r="D2192" s="2" t="s">
        <v>4003</v>
      </c>
      <c r="E2192" s="2" t="b">
        <v>1</v>
      </c>
      <c r="F2192" s="2" t="b">
        <v>0</v>
      </c>
      <c r="G2192" s="2" t="s">
        <v>9937</v>
      </c>
      <c r="H2192" s="3" t="str">
        <f>_xlfn.IFNA(INDEX(RulebookFields!C2:C999, MATCH(D2192,RulebookFields!A2:A999, 0)), "")</f>
      </c>
      <c r="I2192" s="3" t="str">
        <f>_xlfn.IFNA(INDEX(RulebookFields!D2:D999, MATCH(D2192,RulebookFields!A2:A999, 0)), "")</f>
      </c>
      <c r="J2192" s="3" t="str">
        <f>_xlfn.IFNA(INDEX(RulebookFields!I2:I999, MATCH(D2192,RulebookFields!A2:A999, 0)), "")</f>
      </c>
      <c r="K2192" s="3" t="b">
        <f>AND(F2192, J2192)</f>
        <v>0</v>
      </c>
      <c r="L2192" s="3" t="b">
        <f>AND(G2192 &lt;&gt; "plain", G2192 &lt;&gt; "")</f>
        <v>0</v>
      </c>
      <c r="M2192" s="3" t="str">
        <f>IF(E2192, C2192 &amp; "|" &amp; H2192, "")</f>
        <v>principal-knowledge-authority|</v>
      </c>
      <c r="N2192" s="2" t="s">
        <v>9938</v>
      </c>
    </row>
    <row r="2193">
      <c r="A2193" s="2" t="s">
        <v>12129</v>
      </c>
      <c r="B2193" s="3" t="str">
        <f>C2193 &amp; " -&gt; " &amp; D2193</f>
        <v>principal-knowledge-authority -&gt; CommunicationPolicies.MaxSegments</v>
      </c>
      <c r="C2193" s="2" t="s">
        <v>9708</v>
      </c>
      <c r="D2193" s="2" t="s">
        <v>4004</v>
      </c>
      <c r="E2193" s="2" t="b">
        <v>1</v>
      </c>
      <c r="F2193" s="2" t="b">
        <v>0</v>
      </c>
      <c r="G2193" s="2" t="s">
        <v>9937</v>
      </c>
      <c r="H2193" s="3" t="str">
        <f>_xlfn.IFNA(INDEX(RulebookFields!C2:C999, MATCH(D2193,RulebookFields!A2:A999, 0)), "")</f>
      </c>
      <c r="I2193" s="3" t="str">
        <f>_xlfn.IFNA(INDEX(RulebookFields!D2:D999, MATCH(D2193,RulebookFields!A2:A999, 0)), "")</f>
      </c>
      <c r="J2193" s="3" t="str">
        <f>_xlfn.IFNA(INDEX(RulebookFields!I2:I999, MATCH(D2193,RulebookFields!A2:A999, 0)), "")</f>
      </c>
      <c r="K2193" s="3" t="b">
        <f>AND(F2193, J2193)</f>
        <v>0</v>
      </c>
      <c r="L2193" s="3" t="b">
        <f>AND(G2193 &lt;&gt; "plain", G2193 &lt;&gt; "")</f>
        <v>0</v>
      </c>
      <c r="M2193" s="3" t="str">
        <f>IF(E2193, C2193 &amp; "|" &amp; H2193, "")</f>
        <v>principal-knowledge-authority|</v>
      </c>
      <c r="N2193" s="2" t="s">
        <v>9938</v>
      </c>
    </row>
    <row r="2194">
      <c r="A2194" s="2" t="s">
        <v>12130</v>
      </c>
      <c r="B2194" s="3" t="str">
        <f>C2194 &amp; " -&gt; " &amp; D2194</f>
        <v>principal-knowledge-authority -&gt; CommunicationPolicies.RetentionDays</v>
      </c>
      <c r="C2194" s="2" t="s">
        <v>9708</v>
      </c>
      <c r="D2194" s="2" t="s">
        <v>4005</v>
      </c>
      <c r="E2194" s="2" t="b">
        <v>1</v>
      </c>
      <c r="F2194" s="2" t="b">
        <v>0</v>
      </c>
      <c r="G2194" s="2" t="s">
        <v>9937</v>
      </c>
      <c r="H2194" s="3" t="str">
        <f>_xlfn.IFNA(INDEX(RulebookFields!C2:C999, MATCH(D2194,RulebookFields!A2:A999, 0)), "")</f>
      </c>
      <c r="I2194" s="3" t="str">
        <f>_xlfn.IFNA(INDEX(RulebookFields!D2:D999, MATCH(D2194,RulebookFields!A2:A999, 0)), "")</f>
      </c>
      <c r="J2194" s="3" t="str">
        <f>_xlfn.IFNA(INDEX(RulebookFields!I2:I999, MATCH(D2194,RulebookFields!A2:A999, 0)), "")</f>
      </c>
      <c r="K2194" s="3" t="b">
        <f>AND(F2194, J2194)</f>
        <v>0</v>
      </c>
      <c r="L2194" s="3" t="b">
        <f>AND(G2194 &lt;&gt; "plain", G2194 &lt;&gt; "")</f>
        <v>0</v>
      </c>
      <c r="M2194" s="3" t="str">
        <f>IF(E2194, C2194 &amp; "|" &amp; H2194, "")</f>
        <v>principal-knowledge-authority|</v>
      </c>
      <c r="N2194" s="2" t="s">
        <v>9938</v>
      </c>
    </row>
    <row r="2195">
      <c r="A2195" s="2" t="s">
        <v>12131</v>
      </c>
      <c r="B2195" s="3" t="str">
        <f>C2195 &amp; " -&gt; " &amp; D2195</f>
        <v>principal-knowledge-authority -&gt; CommunicationPolicies.ApprovalRole</v>
      </c>
      <c r="C2195" s="2" t="s">
        <v>9708</v>
      </c>
      <c r="D2195" s="2" t="s">
        <v>4006</v>
      </c>
      <c r="E2195" s="2" t="b">
        <v>1</v>
      </c>
      <c r="F2195" s="2" t="b">
        <v>0</v>
      </c>
      <c r="G2195" s="2" t="s">
        <v>9937</v>
      </c>
      <c r="H2195" s="3" t="str">
        <f>_xlfn.IFNA(INDEX(RulebookFields!C2:C999, MATCH(D2195,RulebookFields!A2:A999, 0)), "")</f>
      </c>
      <c r="I2195" s="3" t="str">
        <f>_xlfn.IFNA(INDEX(RulebookFields!D2:D999, MATCH(D2195,RulebookFields!A2:A999, 0)), "")</f>
      </c>
      <c r="J2195" s="3" t="str">
        <f>_xlfn.IFNA(INDEX(RulebookFields!I2:I999, MATCH(D2195,RulebookFields!A2:A999, 0)), "")</f>
      </c>
      <c r="K2195" s="3" t="b">
        <f>AND(F2195, J2195)</f>
        <v>0</v>
      </c>
      <c r="L2195" s="3" t="b">
        <f>AND(G2195 &lt;&gt; "plain", G2195 &lt;&gt; "")</f>
        <v>0</v>
      </c>
      <c r="M2195" s="3" t="str">
        <f>IF(E2195, C2195 &amp; "|" &amp; H2195, "")</f>
        <v>principal-knowledge-authority|</v>
      </c>
      <c r="N2195" s="2" t="s">
        <v>9938</v>
      </c>
    </row>
    <row r="2196">
      <c r="A2196" s="2" t="s">
        <v>12132</v>
      </c>
      <c r="B2196" s="3" t="str">
        <f>C2196 &amp; " -&gt; " &amp; D2196</f>
        <v>principal-knowledge-authority -&gt; CommunicationPolicies.RequiredContent</v>
      </c>
      <c r="C2196" s="2" t="s">
        <v>9708</v>
      </c>
      <c r="D2196" s="2" t="s">
        <v>4007</v>
      </c>
      <c r="E2196" s="2" t="b">
        <v>1</v>
      </c>
      <c r="F2196" s="2" t="b">
        <v>0</v>
      </c>
      <c r="G2196" s="2" t="s">
        <v>9937</v>
      </c>
      <c r="H2196" s="3" t="str">
        <f>_xlfn.IFNA(INDEX(RulebookFields!C2:C999, MATCH(D2196,RulebookFields!A2:A999, 0)), "")</f>
      </c>
      <c r="I2196" s="3" t="str">
        <f>_xlfn.IFNA(INDEX(RulebookFields!D2:D999, MATCH(D2196,RulebookFields!A2:A999, 0)), "")</f>
      </c>
      <c r="J2196" s="3" t="str">
        <f>_xlfn.IFNA(INDEX(RulebookFields!I2:I999, MATCH(D2196,RulebookFields!A2:A999, 0)), "")</f>
      </c>
      <c r="K2196" s="3" t="b">
        <f>AND(F2196, J2196)</f>
        <v>0</v>
      </c>
      <c r="L2196" s="3" t="b">
        <f>AND(G2196 &lt;&gt; "plain", G2196 &lt;&gt; "")</f>
        <v>0</v>
      </c>
      <c r="M2196" s="3" t="str">
        <f>IF(E2196, C2196 &amp; "|" &amp; H2196, "")</f>
        <v>principal-knowledge-authority|</v>
      </c>
      <c r="N2196" s="2" t="s">
        <v>9938</v>
      </c>
    </row>
    <row r="2197">
      <c r="A2197" s="2" t="s">
        <v>12133</v>
      </c>
      <c r="B2197" s="3" t="str">
        <f>C2197 &amp; " -&gt; " &amp; D2197</f>
        <v>principal-knowledge-authority -&gt; CommunicationPolicies.AuthorityStatement</v>
      </c>
      <c r="C2197" s="2" t="s">
        <v>9708</v>
      </c>
      <c r="D2197" s="2" t="s">
        <v>4008</v>
      </c>
      <c r="E2197" s="2" t="b">
        <v>1</v>
      </c>
      <c r="F2197" s="2" t="b">
        <v>0</v>
      </c>
      <c r="G2197" s="2" t="s">
        <v>9937</v>
      </c>
      <c r="H2197" s="3" t="str">
        <f>_xlfn.IFNA(INDEX(RulebookFields!C2:C999, MATCH(D2197,RulebookFields!A2:A999, 0)), "")</f>
      </c>
      <c r="I2197" s="3" t="str">
        <f>_xlfn.IFNA(INDEX(RulebookFields!D2:D999, MATCH(D2197,RulebookFields!A2:A999, 0)), "")</f>
      </c>
      <c r="J2197" s="3" t="str">
        <f>_xlfn.IFNA(INDEX(RulebookFields!I2:I999, MATCH(D2197,RulebookFields!A2:A999, 0)), "")</f>
      </c>
      <c r="K2197" s="3" t="b">
        <f>AND(F2197, J2197)</f>
        <v>0</v>
      </c>
      <c r="L2197" s="3" t="b">
        <f>AND(G2197 &lt;&gt; "plain", G2197 &lt;&gt; "")</f>
        <v>0</v>
      </c>
      <c r="M2197" s="3" t="str">
        <f>IF(E2197, C2197 &amp; "|" &amp; H2197, "")</f>
        <v>principal-knowledge-authority|</v>
      </c>
      <c r="N2197" s="2" t="s">
        <v>9938</v>
      </c>
    </row>
    <row r="2198">
      <c r="A2198" s="2" t="s">
        <v>12134</v>
      </c>
      <c r="B2198" s="3" t="str">
        <f>C2198 &amp; " -&gt; " &amp; D2198</f>
        <v>principal-knowledge-authority -&gt; CommunicationPolicies.Status</v>
      </c>
      <c r="C2198" s="2" t="s">
        <v>9708</v>
      </c>
      <c r="D2198" s="2" t="s">
        <v>4009</v>
      </c>
      <c r="E2198" s="2" t="b">
        <v>1</v>
      </c>
      <c r="F2198" s="2" t="b">
        <v>0</v>
      </c>
      <c r="G2198" s="2" t="s">
        <v>9937</v>
      </c>
      <c r="H2198" s="3" t="str">
        <f>_xlfn.IFNA(INDEX(RulebookFields!C2:C999, MATCH(D2198,RulebookFields!A2:A999, 0)), "")</f>
      </c>
      <c r="I2198" s="3" t="str">
        <f>_xlfn.IFNA(INDEX(RulebookFields!D2:D999, MATCH(D2198,RulebookFields!A2:A999, 0)), "")</f>
      </c>
      <c r="J2198" s="3" t="str">
        <f>_xlfn.IFNA(INDEX(RulebookFields!I2:I999, MATCH(D2198,RulebookFields!A2:A999, 0)), "")</f>
      </c>
      <c r="K2198" s="3" t="b">
        <f>AND(F2198, J2198)</f>
        <v>0</v>
      </c>
      <c r="L2198" s="3" t="b">
        <f>AND(G2198 &lt;&gt; "plain", G2198 &lt;&gt; "")</f>
        <v>0</v>
      </c>
      <c r="M2198" s="3" t="str">
        <f>IF(E2198, C2198 &amp; "|" &amp; H2198, "")</f>
        <v>principal-knowledge-authority|</v>
      </c>
      <c r="N2198" s="2" t="s">
        <v>9938</v>
      </c>
    </row>
    <row r="2199">
      <c r="A2199" s="2" t="s">
        <v>12135</v>
      </c>
      <c r="B2199" s="3" t="str">
        <f>C2199 &amp; " -&gt; " &amp; D2199</f>
        <v>principal-knowledge-authority -&gt; CommunicationPolicies.ConsentViolationCount</v>
      </c>
      <c r="C2199" s="2" t="s">
        <v>9708</v>
      </c>
      <c r="D2199" s="2" t="s">
        <v>4010</v>
      </c>
      <c r="E2199" s="2" t="b">
        <v>1</v>
      </c>
      <c r="F2199" s="2" t="b">
        <v>0</v>
      </c>
      <c r="G2199" s="2" t="s">
        <v>9937</v>
      </c>
      <c r="H2199" s="3" t="str">
        <f>_xlfn.IFNA(INDEX(RulebookFields!C2:C999, MATCH(D2199,RulebookFields!A2:A999, 0)), "")</f>
      </c>
      <c r="I2199" s="3" t="str">
        <f>_xlfn.IFNA(INDEX(RulebookFields!D2:D999, MATCH(D2199,RulebookFields!A2:A999, 0)), "")</f>
      </c>
      <c r="J2199" s="3" t="str">
        <f>_xlfn.IFNA(INDEX(RulebookFields!I2:I999, MATCH(D2199,RulebookFields!A2:A999, 0)), "")</f>
      </c>
      <c r="K2199" s="3" t="b">
        <f>AND(F2199, J2199)</f>
        <v>0</v>
      </c>
      <c r="L2199" s="3" t="b">
        <f>AND(G2199 &lt;&gt; "plain", G2199 &lt;&gt; "")</f>
        <v>0</v>
      </c>
      <c r="M2199" s="3" t="str">
        <f>IF(E2199, C2199 &amp; "|" &amp; H2199, "")</f>
        <v>principal-knowledge-authority|</v>
      </c>
      <c r="N2199" s="2" t="s">
        <v>9938</v>
      </c>
    </row>
    <row r="2200">
      <c r="A2200" s="2" t="s">
        <v>12136</v>
      </c>
      <c r="B2200" s="3" t="str">
        <f>C2200 &amp; " -&gt; " &amp; D2200</f>
        <v>principal-knowledge-authority -&gt; CommunicationPolicies.QuietHoursStartHour</v>
      </c>
      <c r="C2200" s="2" t="s">
        <v>9708</v>
      </c>
      <c r="D2200" s="2" t="s">
        <v>4012</v>
      </c>
      <c r="E2200" s="2" t="b">
        <v>1</v>
      </c>
      <c r="F2200" s="2" t="b">
        <v>0</v>
      </c>
      <c r="G2200" s="2" t="s">
        <v>9937</v>
      </c>
      <c r="H2200" s="3" t="str">
        <f>_xlfn.IFNA(INDEX(RulebookFields!C2:C999, MATCH(D2200,RulebookFields!A2:A999, 0)), "")</f>
      </c>
      <c r="I2200" s="3" t="str">
        <f>_xlfn.IFNA(INDEX(RulebookFields!D2:D999, MATCH(D2200,RulebookFields!A2:A999, 0)), "")</f>
      </c>
      <c r="J2200" s="3" t="str">
        <f>_xlfn.IFNA(INDEX(RulebookFields!I2:I999, MATCH(D2200,RulebookFields!A2:A999, 0)), "")</f>
      </c>
      <c r="K2200" s="3" t="b">
        <f>AND(F2200, J2200)</f>
        <v>0</v>
      </c>
      <c r="L2200" s="3" t="b">
        <f>AND(G2200 &lt;&gt; "plain", G2200 &lt;&gt; "")</f>
        <v>0</v>
      </c>
      <c r="M2200" s="3" t="str">
        <f>IF(E2200, C2200 &amp; "|" &amp; H2200, "")</f>
        <v>principal-knowledge-authority|</v>
      </c>
      <c r="N2200" s="2" t="s">
        <v>9938</v>
      </c>
    </row>
    <row r="2201">
      <c r="A2201" s="2" t="s">
        <v>12137</v>
      </c>
      <c r="B2201" s="3" t="str">
        <f>C2201 &amp; " -&gt; " &amp; D2201</f>
        <v>principal-knowledge-authority -&gt; CommunicationPolicies.QuietHoursEndHour</v>
      </c>
      <c r="C2201" s="2" t="s">
        <v>9708</v>
      </c>
      <c r="D2201" s="2" t="s">
        <v>4013</v>
      </c>
      <c r="E2201" s="2" t="b">
        <v>1</v>
      </c>
      <c r="F2201" s="2" t="b">
        <v>0</v>
      </c>
      <c r="G2201" s="2" t="s">
        <v>9937</v>
      </c>
      <c r="H2201" s="3" t="str">
        <f>_xlfn.IFNA(INDEX(RulebookFields!C2:C999, MATCH(D2201,RulebookFields!A2:A999, 0)), "")</f>
      </c>
      <c r="I2201" s="3" t="str">
        <f>_xlfn.IFNA(INDEX(RulebookFields!D2:D999, MATCH(D2201,RulebookFields!A2:A999, 0)), "")</f>
      </c>
      <c r="J2201" s="3" t="str">
        <f>_xlfn.IFNA(INDEX(RulebookFields!I2:I999, MATCH(D2201,RulebookFields!A2:A999, 0)), "")</f>
      </c>
      <c r="K2201" s="3" t="b">
        <f>AND(F2201, J2201)</f>
        <v>0</v>
      </c>
      <c r="L2201" s="3" t="b">
        <f>AND(G2201 &lt;&gt; "plain", G2201 &lt;&gt; "")</f>
        <v>0</v>
      </c>
      <c r="M2201" s="3" t="str">
        <f>IF(E2201, C2201 &amp; "|" &amp; H2201, "")</f>
        <v>principal-knowledge-authority|</v>
      </c>
      <c r="N2201" s="2" t="s">
        <v>9938</v>
      </c>
    </row>
    <row r="2202">
      <c r="A2202" s="2" t="s">
        <v>12138</v>
      </c>
      <c r="B2202" s="3" t="str">
        <f>C2202 &amp; " -&gt; " &amp; D2202</f>
        <v>principal-knowledge-authority -&gt; CommunicationPolicies.QuietHoursViolationCount</v>
      </c>
      <c r="C2202" s="2" t="s">
        <v>9708</v>
      </c>
      <c r="D2202" s="2" t="s">
        <v>4014</v>
      </c>
      <c r="E2202" s="2" t="b">
        <v>1</v>
      </c>
      <c r="F2202" s="2" t="b">
        <v>0</v>
      </c>
      <c r="G2202" s="2" t="s">
        <v>9937</v>
      </c>
      <c r="H2202" s="3" t="str">
        <f>_xlfn.IFNA(INDEX(RulebookFields!C2:C999, MATCH(D2202,RulebookFields!A2:A999, 0)), "")</f>
      </c>
      <c r="I2202" s="3" t="str">
        <f>_xlfn.IFNA(INDEX(RulebookFields!D2:D999, MATCH(D2202,RulebookFields!A2:A999, 0)), "")</f>
      </c>
      <c r="J2202" s="3" t="str">
        <f>_xlfn.IFNA(INDEX(RulebookFields!I2:I999, MATCH(D2202,RulebookFields!A2:A999, 0)), "")</f>
      </c>
      <c r="K2202" s="3" t="b">
        <f>AND(F2202, J2202)</f>
        <v>0</v>
      </c>
      <c r="L2202" s="3" t="b">
        <f>AND(G2202 &lt;&gt; "plain", G2202 &lt;&gt; "")</f>
        <v>0</v>
      </c>
      <c r="M2202" s="3" t="str">
        <f>IF(E2202, C2202 &amp; "|" &amp; H2202, "")</f>
        <v>principal-knowledge-authority|</v>
      </c>
      <c r="N2202" s="2" t="s">
        <v>9938</v>
      </c>
    </row>
    <row r="2203">
      <c r="A2203" s="2" t="s">
        <v>12139</v>
      </c>
      <c r="B2203" s="3" t="str">
        <f>C2203 &amp; " -&gt; " &amp; D2203</f>
        <v>principal-knowledge-authority -&gt; CommunicationPolicies.RequiredOptOutPhrase</v>
      </c>
      <c r="C2203" s="2" t="s">
        <v>9708</v>
      </c>
      <c r="D2203" s="2" t="s">
        <v>4016</v>
      </c>
      <c r="E2203" s="2" t="b">
        <v>1</v>
      </c>
      <c r="F2203" s="2" t="b">
        <v>0</v>
      </c>
      <c r="G2203" s="2" t="s">
        <v>9937</v>
      </c>
      <c r="H2203" s="3" t="str">
        <f>_xlfn.IFNA(INDEX(RulebookFields!C2:C999, MATCH(D2203,RulebookFields!A2:A999, 0)), "")</f>
      </c>
      <c r="I2203" s="3" t="str">
        <f>_xlfn.IFNA(INDEX(RulebookFields!D2:D999, MATCH(D2203,RulebookFields!A2:A999, 0)), "")</f>
      </c>
      <c r="J2203" s="3" t="str">
        <f>_xlfn.IFNA(INDEX(RulebookFields!I2:I999, MATCH(D2203,RulebookFields!A2:A999, 0)), "")</f>
      </c>
      <c r="K2203" s="3" t="b">
        <f>AND(F2203, J2203)</f>
        <v>0</v>
      </c>
      <c r="L2203" s="3" t="b">
        <f>AND(G2203 &lt;&gt; "plain", G2203 &lt;&gt; "")</f>
        <v>0</v>
      </c>
      <c r="M2203" s="3" t="str">
        <f>IF(E2203, C2203 &amp; "|" &amp; H2203, "")</f>
        <v>principal-knowledge-authority|</v>
      </c>
      <c r="N2203" s="2" t="s">
        <v>9938</v>
      </c>
    </row>
    <row r="2204">
      <c r="A2204" s="2" t="s">
        <v>12140</v>
      </c>
      <c r="B2204" s="3" t="str">
        <f>C2204 &amp; " -&gt; " &amp; D2204</f>
        <v>principal-knowledge-authority -&gt; CommunicationPolicies.IsActivePolicy</v>
      </c>
      <c r="C2204" s="2" t="s">
        <v>9708</v>
      </c>
      <c r="D2204" s="2" t="s">
        <v>4017</v>
      </c>
      <c r="E2204" s="2" t="b">
        <v>1</v>
      </c>
      <c r="F2204" s="2" t="b">
        <v>0</v>
      </c>
      <c r="G2204" s="2" t="s">
        <v>9937</v>
      </c>
      <c r="H2204" s="3" t="str">
        <f>_xlfn.IFNA(INDEX(RulebookFields!C2:C999, MATCH(D2204,RulebookFields!A2:A999, 0)), "")</f>
      </c>
      <c r="I2204" s="3" t="str">
        <f>_xlfn.IFNA(INDEX(RulebookFields!D2:D999, MATCH(D2204,RulebookFields!A2:A999, 0)), "")</f>
      </c>
      <c r="J2204" s="3" t="str">
        <f>_xlfn.IFNA(INDEX(RulebookFields!I2:I999, MATCH(D2204,RulebookFields!A2:A999, 0)), "")</f>
      </c>
      <c r="K2204" s="3" t="b">
        <f>AND(F2204, J2204)</f>
        <v>0</v>
      </c>
      <c r="L2204" s="3" t="b">
        <f>AND(G2204 &lt;&gt; "plain", G2204 &lt;&gt; "")</f>
        <v>0</v>
      </c>
      <c r="M2204" s="3" t="str">
        <f>IF(E2204, C2204 &amp; "|" &amp; H2204, "")</f>
        <v>principal-knowledge-authority|</v>
      </c>
      <c r="N2204" s="2" t="s">
        <v>9938</v>
      </c>
    </row>
    <row r="2205">
      <c r="A2205" s="2" t="s">
        <v>12141</v>
      </c>
      <c r="B2205" s="3" t="str">
        <f>C2205 &amp; " -&gt; " &amp; D2205</f>
        <v>principal-knowledge-authority -&gt; CommunicationPolicies.SemanticTypeIri</v>
      </c>
      <c r="C2205" s="2" t="s">
        <v>9708</v>
      </c>
      <c r="D2205" s="2" t="s">
        <v>4019</v>
      </c>
      <c r="E2205" s="2" t="b">
        <v>1</v>
      </c>
      <c r="F2205" s="2" t="b">
        <v>0</v>
      </c>
      <c r="G2205" s="2" t="s">
        <v>9937</v>
      </c>
      <c r="H2205" s="3" t="str">
        <f>_xlfn.IFNA(INDEX(RulebookFields!C2:C999, MATCH(D2205,RulebookFields!A2:A999, 0)), "")</f>
      </c>
      <c r="I2205" s="3" t="str">
        <f>_xlfn.IFNA(INDEX(RulebookFields!D2:D999, MATCH(D2205,RulebookFields!A2:A999, 0)), "")</f>
      </c>
      <c r="J2205" s="3" t="str">
        <f>_xlfn.IFNA(INDEX(RulebookFields!I2:I999, MATCH(D2205,RulebookFields!A2:A999, 0)), "")</f>
      </c>
      <c r="K2205" s="3" t="b">
        <f>AND(F2205, J2205)</f>
        <v>0</v>
      </c>
      <c r="L2205" s="3" t="b">
        <f>AND(G2205 &lt;&gt; "plain", G2205 &lt;&gt; "")</f>
        <v>0</v>
      </c>
      <c r="M2205" s="3" t="str">
        <f>IF(E2205, C2205 &amp; "|" &amp; H2205, "")</f>
        <v>principal-knowledge-authority|</v>
      </c>
      <c r="N2205" s="2" t="s">
        <v>9938</v>
      </c>
    </row>
    <row r="2206">
      <c r="A2206" s="2" t="s">
        <v>12142</v>
      </c>
      <c r="B2206" s="3" t="str">
        <f>C2206 &amp; " -&gt; " &amp; D2206</f>
        <v>principal-knowledge-authority -&gt; CommunitiesOfPractice.CommunityOfPracticeId</v>
      </c>
      <c r="C2206" s="2" t="s">
        <v>9708</v>
      </c>
      <c r="D2206" s="2" t="s">
        <v>2623</v>
      </c>
      <c r="E2206" s="2" t="b">
        <v>1</v>
      </c>
      <c r="F2206" s="2" t="b">
        <v>0</v>
      </c>
      <c r="G2206" s="2" t="s">
        <v>9937</v>
      </c>
      <c r="H2206" s="3" t="str">
        <f>_xlfn.IFNA(INDEX(RulebookFields!C2:C999, MATCH(D2206,RulebookFields!A2:A999, 0)), "")</f>
        <v>CommunitiesOfPractice</v>
      </c>
      <c r="I2206" s="3" t="str">
        <f>_xlfn.IFNA(INDEX(RulebookFields!D2:D999, MATCH(D2206,RulebookFields!A2:A999, 0)), "")</f>
        <v>CommunityOfPracticeId</v>
      </c>
      <c r="J2206" s="3" t="b">
        <f>_xlfn.IFNA(INDEX(RulebookFields!I2:I999, MATCH(D2206,RulebookFields!A2:A999, 0)), "")</f>
        <v>0</v>
      </c>
      <c r="K2206" s="3" t="b">
        <f>AND(F2206, J2206)</f>
        <v>0</v>
      </c>
      <c r="L2206" s="3" t="b">
        <f>AND(G2206 &lt;&gt; "plain", G2206 &lt;&gt; "")</f>
        <v>0</v>
      </c>
      <c r="M2206" s="3" t="str">
        <f>IF(E2206, C2206 &amp; "|" &amp; H2206, "")</f>
        <v>principal-knowledge-authority|CommunitiesOfPractice</v>
      </c>
      <c r="N2206" s="2" t="s">
        <v>9938</v>
      </c>
    </row>
    <row r="2207">
      <c r="A2207" s="2" t="s">
        <v>12143</v>
      </c>
      <c r="B2207" s="3" t="str">
        <f>C2207 &amp; " -&gt; " &amp; D2207</f>
        <v>principal-knowledge-authority -&gt; CommunitiesOfPractice.Name</v>
      </c>
      <c r="C2207" s="2" t="s">
        <v>9708</v>
      </c>
      <c r="D2207" s="2" t="s">
        <v>2625</v>
      </c>
      <c r="E2207" s="2" t="b">
        <v>1</v>
      </c>
      <c r="F2207" s="2" t="b">
        <v>0</v>
      </c>
      <c r="G2207" s="2" t="s">
        <v>9937</v>
      </c>
      <c r="H2207" s="3" t="str">
        <f>_xlfn.IFNA(INDEX(RulebookFields!C2:C999, MATCH(D2207,RulebookFields!A2:A999, 0)), "")</f>
        <v>CommunitiesOfPractice</v>
      </c>
      <c r="I2207" s="3" t="str">
        <f>_xlfn.IFNA(INDEX(RulebookFields!D2:D999, MATCH(D2207,RulebookFields!A2:A999, 0)), "")</f>
        <v>Name</v>
      </c>
      <c r="J2207" s="3" t="b">
        <f>_xlfn.IFNA(INDEX(RulebookFields!I2:I999, MATCH(D2207,RulebookFields!A2:A999, 0)), "")</f>
        <v>1</v>
      </c>
      <c r="K2207" s="3" t="b">
        <f>AND(F2207, J2207)</f>
        <v>0</v>
      </c>
      <c r="L2207" s="3" t="b">
        <f>AND(G2207 &lt;&gt; "plain", G2207 &lt;&gt; "")</f>
        <v>0</v>
      </c>
      <c r="M2207" s="3" t="str">
        <f>IF(E2207, C2207 &amp; "|" &amp; H2207, "")</f>
        <v>principal-knowledge-authority|CommunitiesOfPractice</v>
      </c>
      <c r="N2207" s="2" t="s">
        <v>9938</v>
      </c>
    </row>
    <row r="2208">
      <c r="A2208" s="2" t="s">
        <v>12144</v>
      </c>
      <c r="B2208" s="3" t="str">
        <f>C2208 &amp; " -&gt; " &amp; D2208</f>
        <v>principal-knowledge-authority -&gt; CommunitiesOfPractice.Label</v>
      </c>
      <c r="C2208" s="2" t="s">
        <v>9708</v>
      </c>
      <c r="D2208" s="2" t="s">
        <v>2626</v>
      </c>
      <c r="E2208" s="2" t="b">
        <v>1</v>
      </c>
      <c r="F2208" s="2" t="b">
        <v>0</v>
      </c>
      <c r="G2208" s="2" t="s">
        <v>9937</v>
      </c>
      <c r="H2208" s="3" t="str">
        <f>_xlfn.IFNA(INDEX(RulebookFields!C2:C999, MATCH(D2208,RulebookFields!A2:A999, 0)), "")</f>
        <v>CommunitiesOfPractice</v>
      </c>
      <c r="I2208" s="3" t="str">
        <f>_xlfn.IFNA(INDEX(RulebookFields!D2:D999, MATCH(D2208,RulebookFields!A2:A999, 0)), "")</f>
        <v>Label</v>
      </c>
      <c r="J2208" s="3" t="b">
        <f>_xlfn.IFNA(INDEX(RulebookFields!I2:I999, MATCH(D2208,RulebookFields!A2:A999, 0)), "")</f>
        <v>0</v>
      </c>
      <c r="K2208" s="3" t="b">
        <f>AND(F2208, J2208)</f>
        <v>0</v>
      </c>
      <c r="L2208" s="3" t="b">
        <f>AND(G2208 &lt;&gt; "plain", G2208 &lt;&gt; "")</f>
        <v>0</v>
      </c>
      <c r="M2208" s="3" t="str">
        <f>IF(E2208, C2208 &amp; "|" &amp; H2208, "")</f>
        <v>principal-knowledge-authority|CommunitiesOfPractice</v>
      </c>
      <c r="N2208" s="2" t="s">
        <v>9938</v>
      </c>
    </row>
    <row r="2209">
      <c r="A2209" s="2" t="s">
        <v>12145</v>
      </c>
      <c r="B2209" s="3" t="str">
        <f>C2209 &amp; " -&gt; " &amp; D2209</f>
        <v>principal-knowledge-authority -&gt; CommunitiesOfPractice.Organization</v>
      </c>
      <c r="C2209" s="2" t="s">
        <v>9708</v>
      </c>
      <c r="D2209" s="2" t="s">
        <v>2627</v>
      </c>
      <c r="E2209" s="2" t="b">
        <v>1</v>
      </c>
      <c r="F2209" s="2" t="b">
        <v>0</v>
      </c>
      <c r="G2209" s="2" t="s">
        <v>9937</v>
      </c>
      <c r="H2209" s="3" t="str">
        <f>_xlfn.IFNA(INDEX(RulebookFields!C2:C999, MATCH(D2209,RulebookFields!A2:A999, 0)), "")</f>
        <v>CommunitiesOfPractice</v>
      </c>
      <c r="I2209" s="3" t="str">
        <f>_xlfn.IFNA(INDEX(RulebookFields!D2:D999, MATCH(D2209,RulebookFields!A2:A999, 0)), "")</f>
        <v>Organization</v>
      </c>
      <c r="J2209" s="3" t="b">
        <f>_xlfn.IFNA(INDEX(RulebookFields!I2:I999, MATCH(D2209,RulebookFields!A2:A999, 0)), "")</f>
        <v>0</v>
      </c>
      <c r="K2209" s="3" t="b">
        <f>AND(F2209, J2209)</f>
        <v>0</v>
      </c>
      <c r="L2209" s="3" t="b">
        <f>AND(G2209 &lt;&gt; "plain", G2209 &lt;&gt; "")</f>
        <v>0</v>
      </c>
      <c r="M2209" s="3" t="str">
        <f>IF(E2209, C2209 &amp; "|" &amp; H2209, "")</f>
        <v>principal-knowledge-authority|CommunitiesOfPractice</v>
      </c>
      <c r="N2209" s="2" t="s">
        <v>9938</v>
      </c>
    </row>
    <row r="2210">
      <c r="A2210" s="2" t="s">
        <v>12146</v>
      </c>
      <c r="B2210" s="3" t="str">
        <f>C2210 &amp; " -&gt; " &amp; D2210</f>
        <v>principal-knowledge-authority -&gt; CommunitiesOfPractice.StewardRole</v>
      </c>
      <c r="C2210" s="2" t="s">
        <v>9708</v>
      </c>
      <c r="D2210" s="2" t="s">
        <v>2628</v>
      </c>
      <c r="E2210" s="2" t="b">
        <v>1</v>
      </c>
      <c r="F2210" s="2" t="b">
        <v>0</v>
      </c>
      <c r="G2210" s="2" t="s">
        <v>9937</v>
      </c>
      <c r="H2210" s="3" t="str">
        <f>_xlfn.IFNA(INDEX(RulebookFields!C2:C999, MATCH(D2210,RulebookFields!A2:A999, 0)), "")</f>
        <v>CommunitiesOfPractice</v>
      </c>
      <c r="I2210" s="3" t="str">
        <f>_xlfn.IFNA(INDEX(RulebookFields!D2:D999, MATCH(D2210,RulebookFields!A2:A999, 0)), "")</f>
        <v>StewardRole</v>
      </c>
      <c r="J2210" s="3" t="b">
        <f>_xlfn.IFNA(INDEX(RulebookFields!I2:I999, MATCH(D2210,RulebookFields!A2:A999, 0)), "")</f>
        <v>0</v>
      </c>
      <c r="K2210" s="3" t="b">
        <f>AND(F2210, J2210)</f>
        <v>0</v>
      </c>
      <c r="L2210" s="3" t="b">
        <f>AND(G2210 &lt;&gt; "plain", G2210 &lt;&gt; "")</f>
        <v>0</v>
      </c>
      <c r="M2210" s="3" t="str">
        <f>IF(E2210, C2210 &amp; "|" &amp; H2210, "")</f>
        <v>principal-knowledge-authority|CommunitiesOfPractice</v>
      </c>
      <c r="N2210" s="2" t="s">
        <v>9938</v>
      </c>
    </row>
    <row r="2211">
      <c r="A2211" s="2" t="s">
        <v>12147</v>
      </c>
      <c r="B2211" s="3" t="str">
        <f>C2211 &amp; " -&gt; " &amp; D2211</f>
        <v>principal-knowledge-authority -&gt; CommunitiesOfPractice.Purpose</v>
      </c>
      <c r="C2211" s="2" t="s">
        <v>9708</v>
      </c>
      <c r="D2211" s="2" t="s">
        <v>2629</v>
      </c>
      <c r="E2211" s="2" t="b">
        <v>1</v>
      </c>
      <c r="F2211" s="2" t="b">
        <v>0</v>
      </c>
      <c r="G2211" s="2" t="s">
        <v>9937</v>
      </c>
      <c r="H2211" s="3" t="str">
        <f>_xlfn.IFNA(INDEX(RulebookFields!C2:C999, MATCH(D2211,RulebookFields!A2:A999, 0)), "")</f>
        <v>CommunitiesOfPractice</v>
      </c>
      <c r="I2211" s="3" t="str">
        <f>_xlfn.IFNA(INDEX(RulebookFields!D2:D999, MATCH(D2211,RulebookFields!A2:A999, 0)), "")</f>
        <v>Purpose</v>
      </c>
      <c r="J2211" s="3" t="b">
        <f>_xlfn.IFNA(INDEX(RulebookFields!I2:I999, MATCH(D2211,RulebookFields!A2:A999, 0)), "")</f>
        <v>0</v>
      </c>
      <c r="K2211" s="3" t="b">
        <f>AND(F2211, J2211)</f>
        <v>0</v>
      </c>
      <c r="L2211" s="3" t="b">
        <f>AND(G2211 &lt;&gt; "plain", G2211 &lt;&gt; "")</f>
        <v>0</v>
      </c>
      <c r="M2211" s="3" t="str">
        <f>IF(E2211, C2211 &amp; "|" &amp; H2211, "")</f>
        <v>principal-knowledge-authority|CommunitiesOfPractice</v>
      </c>
      <c r="N2211" s="2" t="s">
        <v>9938</v>
      </c>
    </row>
    <row r="2212">
      <c r="A2212" s="2" t="s">
        <v>12148</v>
      </c>
      <c r="B2212" s="3" t="str">
        <f>C2212 &amp; " -&gt; " &amp; D2212</f>
        <v>principal-knowledge-authority -&gt; CommunitiesOfPractice.Cadence</v>
      </c>
      <c r="C2212" s="2" t="s">
        <v>9708</v>
      </c>
      <c r="D2212" s="2" t="s">
        <v>2630</v>
      </c>
      <c r="E2212" s="2" t="b">
        <v>1</v>
      </c>
      <c r="F2212" s="2" t="b">
        <v>0</v>
      </c>
      <c r="G2212" s="2" t="s">
        <v>9937</v>
      </c>
      <c r="H2212" s="3" t="str">
        <f>_xlfn.IFNA(INDEX(RulebookFields!C2:C999, MATCH(D2212,RulebookFields!A2:A999, 0)), "")</f>
        <v>CommunitiesOfPractice</v>
      </c>
      <c r="I2212" s="3" t="str">
        <f>_xlfn.IFNA(INDEX(RulebookFields!D2:D999, MATCH(D2212,RulebookFields!A2:A999, 0)), "")</f>
        <v>Cadence</v>
      </c>
      <c r="J2212" s="3" t="b">
        <f>_xlfn.IFNA(INDEX(RulebookFields!I2:I999, MATCH(D2212,RulebookFields!A2:A999, 0)), "")</f>
        <v>0</v>
      </c>
      <c r="K2212" s="3" t="b">
        <f>AND(F2212, J2212)</f>
        <v>0</v>
      </c>
      <c r="L2212" s="3" t="b">
        <f>AND(G2212 &lt;&gt; "plain", G2212 &lt;&gt; "")</f>
        <v>0</v>
      </c>
      <c r="M2212" s="3" t="str">
        <f>IF(E2212, C2212 &amp; "|" &amp; H2212, "")</f>
        <v>principal-knowledge-authority|CommunitiesOfPractice</v>
      </c>
      <c r="N2212" s="2" t="s">
        <v>9938</v>
      </c>
    </row>
    <row r="2213">
      <c r="A2213" s="2" t="s">
        <v>12149</v>
      </c>
      <c r="B2213" s="3" t="str">
        <f>C2213 &amp; " -&gt; " &amp; D2213</f>
        <v>principal-knowledge-authority -&gt; CommunitiesOfPractice.SemanticTypeIri</v>
      </c>
      <c r="C2213" s="2" t="s">
        <v>9708</v>
      </c>
      <c r="D2213" s="2" t="s">
        <v>2631</v>
      </c>
      <c r="E2213" s="2" t="b">
        <v>1</v>
      </c>
      <c r="F2213" s="2" t="b">
        <v>0</v>
      </c>
      <c r="G2213" s="2" t="s">
        <v>9937</v>
      </c>
      <c r="H2213" s="3" t="str">
        <f>_xlfn.IFNA(INDEX(RulebookFields!C2:C999, MATCH(D2213,RulebookFields!A2:A999, 0)), "")</f>
        <v>CommunitiesOfPractice</v>
      </c>
      <c r="I2213" s="3" t="str">
        <f>_xlfn.IFNA(INDEX(RulebookFields!D2:D999, MATCH(D2213,RulebookFields!A2:A999, 0)), "")</f>
        <v>SemanticTypeIri</v>
      </c>
      <c r="J2213" s="3" t="b">
        <f>_xlfn.IFNA(INDEX(RulebookFields!I2:I999, MATCH(D2213,RulebookFields!A2:A999, 0)), "")</f>
        <v>0</v>
      </c>
      <c r="K2213" s="3" t="b">
        <f>AND(F2213, J2213)</f>
        <v>0</v>
      </c>
      <c r="L2213" s="3" t="b">
        <f>AND(G2213 &lt;&gt; "plain", G2213 &lt;&gt; "")</f>
        <v>0</v>
      </c>
      <c r="M2213" s="3" t="str">
        <f>IF(E2213, C2213 &amp; "|" &amp; H2213, "")</f>
        <v>principal-knowledge-authority|CommunitiesOfPractice</v>
      </c>
      <c r="N2213" s="2" t="s">
        <v>9938</v>
      </c>
    </row>
    <row r="2214">
      <c r="A2214" s="2" t="s">
        <v>12150</v>
      </c>
      <c r="B2214" s="3" t="str">
        <f>C2214 &amp; " -&gt; " &amp; D2214</f>
        <v>principal-knowledge-authority -&gt; DeliveredCommunications.DeliveredCommunicationId</v>
      </c>
      <c r="C2214" s="2" t="s">
        <v>9708</v>
      </c>
      <c r="D2214" s="2" t="s">
        <v>5028</v>
      </c>
      <c r="E2214" s="2" t="b">
        <v>1</v>
      </c>
      <c r="F2214" s="2" t="b">
        <v>0</v>
      </c>
      <c r="G2214" s="2" t="s">
        <v>9937</v>
      </c>
      <c r="H2214" s="3" t="str">
        <f>_xlfn.IFNA(INDEX(RulebookFields!C2:C999, MATCH(D2214,RulebookFields!A2:A999, 0)), "")</f>
      </c>
      <c r="I2214" s="3" t="str">
        <f>_xlfn.IFNA(INDEX(RulebookFields!D2:D999, MATCH(D2214,RulebookFields!A2:A999, 0)), "")</f>
      </c>
      <c r="J2214" s="3" t="str">
        <f>_xlfn.IFNA(INDEX(RulebookFields!I2:I999, MATCH(D2214,RulebookFields!A2:A999, 0)), "")</f>
      </c>
      <c r="K2214" s="3" t="b">
        <f>AND(F2214, J2214)</f>
        <v>0</v>
      </c>
      <c r="L2214" s="3" t="b">
        <f>AND(G2214 &lt;&gt; "plain", G2214 &lt;&gt; "")</f>
        <v>0</v>
      </c>
      <c r="M2214" s="3" t="str">
        <f>IF(E2214, C2214 &amp; "|" &amp; H2214, "")</f>
        <v>principal-knowledge-authority|</v>
      </c>
      <c r="N2214" s="2" t="s">
        <v>9938</v>
      </c>
    </row>
    <row r="2215">
      <c r="A2215" s="2" t="s">
        <v>12151</v>
      </c>
      <c r="B2215" s="3" t="str">
        <f>C2215 &amp; " -&gt; " &amp; D2215</f>
        <v>principal-knowledge-authority -&gt; DeliveredCommunications.Name</v>
      </c>
      <c r="C2215" s="2" t="s">
        <v>9708</v>
      </c>
      <c r="D2215" s="2" t="s">
        <v>5031</v>
      </c>
      <c r="E2215" s="2" t="b">
        <v>1</v>
      </c>
      <c r="F2215" s="2" t="b">
        <v>0</v>
      </c>
      <c r="G2215" s="2" t="s">
        <v>9937</v>
      </c>
      <c r="H2215" s="3" t="str">
        <f>_xlfn.IFNA(INDEX(RulebookFields!C2:C999, MATCH(D2215,RulebookFields!A2:A999, 0)), "")</f>
      </c>
      <c r="I2215" s="3" t="str">
        <f>_xlfn.IFNA(INDEX(RulebookFields!D2:D999, MATCH(D2215,RulebookFields!A2:A999, 0)), "")</f>
      </c>
      <c r="J2215" s="3" t="str">
        <f>_xlfn.IFNA(INDEX(RulebookFields!I2:I999, MATCH(D2215,RulebookFields!A2:A999, 0)), "")</f>
      </c>
      <c r="K2215" s="3" t="b">
        <f>AND(F2215, J2215)</f>
        <v>0</v>
      </c>
      <c r="L2215" s="3" t="b">
        <f>AND(G2215 &lt;&gt; "plain", G2215 &lt;&gt; "")</f>
        <v>0</v>
      </c>
      <c r="M2215" s="3" t="str">
        <f>IF(E2215, C2215 &amp; "|" &amp; H2215, "")</f>
        <v>principal-knowledge-authority|</v>
      </c>
      <c r="N2215" s="2" t="s">
        <v>9938</v>
      </c>
    </row>
    <row r="2216">
      <c r="A2216" s="2" t="s">
        <v>12152</v>
      </c>
      <c r="B2216" s="3" t="str">
        <f>C2216 &amp; " -&gt; " &amp; D2216</f>
        <v>principal-knowledge-authority -&gt; DeliveredCommunications.ProcedureExecution</v>
      </c>
      <c r="C2216" s="2" t="s">
        <v>9708</v>
      </c>
      <c r="D2216" s="2" t="s">
        <v>5033</v>
      </c>
      <c r="E2216" s="2" t="b">
        <v>1</v>
      </c>
      <c r="F2216" s="2" t="b">
        <v>0</v>
      </c>
      <c r="G2216" s="2" t="s">
        <v>9937</v>
      </c>
      <c r="H2216" s="3" t="str">
        <f>_xlfn.IFNA(INDEX(RulebookFields!C2:C999, MATCH(D2216,RulebookFields!A2:A999, 0)), "")</f>
      </c>
      <c r="I2216" s="3" t="str">
        <f>_xlfn.IFNA(INDEX(RulebookFields!D2:D999, MATCH(D2216,RulebookFields!A2:A999, 0)), "")</f>
      </c>
      <c r="J2216" s="3" t="str">
        <f>_xlfn.IFNA(INDEX(RulebookFields!I2:I999, MATCH(D2216,RulebookFields!A2:A999, 0)), "")</f>
      </c>
      <c r="K2216" s="3" t="b">
        <f>AND(F2216, J2216)</f>
        <v>0</v>
      </c>
      <c r="L2216" s="3" t="b">
        <f>AND(G2216 &lt;&gt; "plain", G2216 &lt;&gt; "")</f>
        <v>0</v>
      </c>
      <c r="M2216" s="3" t="str">
        <f>IF(E2216, C2216 &amp; "|" &amp; H2216, "")</f>
        <v>principal-knowledge-authority|</v>
      </c>
      <c r="N2216" s="2" t="s">
        <v>9938</v>
      </c>
    </row>
    <row r="2217">
      <c r="A2217" s="2" t="s">
        <v>12153</v>
      </c>
      <c r="B2217" s="3" t="str">
        <f>C2217 &amp; " -&gt; " &amp; D2217</f>
        <v>principal-knowledge-authority -&gt; DeliveredCommunications.SendingStepExecution</v>
      </c>
      <c r="C2217" s="2" t="s">
        <v>9708</v>
      </c>
      <c r="D2217" s="2" t="s">
        <v>5034</v>
      </c>
      <c r="E2217" s="2" t="b">
        <v>1</v>
      </c>
      <c r="F2217" s="2" t="b">
        <v>0</v>
      </c>
      <c r="G2217" s="2" t="s">
        <v>9937</v>
      </c>
      <c r="H2217" s="3" t="str">
        <f>_xlfn.IFNA(INDEX(RulebookFields!C2:C999, MATCH(D2217,RulebookFields!A2:A999, 0)), "")</f>
      </c>
      <c r="I2217" s="3" t="str">
        <f>_xlfn.IFNA(INDEX(RulebookFields!D2:D999, MATCH(D2217,RulebookFields!A2:A999, 0)), "")</f>
      </c>
      <c r="J2217" s="3" t="str">
        <f>_xlfn.IFNA(INDEX(RulebookFields!I2:I999, MATCH(D2217,RulebookFields!A2:A999, 0)), "")</f>
      </c>
      <c r="K2217" s="3" t="b">
        <f>AND(F2217, J2217)</f>
        <v>0</v>
      </c>
      <c r="L2217" s="3" t="b">
        <f>AND(G2217 &lt;&gt; "plain", G2217 &lt;&gt; "")</f>
        <v>0</v>
      </c>
      <c r="M2217" s="3" t="str">
        <f>IF(E2217, C2217 &amp; "|" &amp; H2217, "")</f>
        <v>principal-knowledge-authority|</v>
      </c>
      <c r="N2217" s="2" t="s">
        <v>9938</v>
      </c>
    </row>
    <row r="2218">
      <c r="A2218" s="2" t="s">
        <v>12154</v>
      </c>
      <c r="B2218" s="3" t="str">
        <f>C2218 &amp; " -&gt; " &amp; D2218</f>
        <v>principal-knowledge-authority -&gt; DeliveredCommunications.AuthorizingStepExecution</v>
      </c>
      <c r="C2218" s="2" t="s">
        <v>9708</v>
      </c>
      <c r="D2218" s="2" t="s">
        <v>5036</v>
      </c>
      <c r="E2218" s="2" t="b">
        <v>1</v>
      </c>
      <c r="F2218" s="2" t="b">
        <v>0</v>
      </c>
      <c r="G2218" s="2" t="s">
        <v>9937</v>
      </c>
      <c r="H2218" s="3" t="str">
        <f>_xlfn.IFNA(INDEX(RulebookFields!C2:C999, MATCH(D2218,RulebookFields!A2:A999, 0)), "")</f>
      </c>
      <c r="I2218" s="3" t="str">
        <f>_xlfn.IFNA(INDEX(RulebookFields!D2:D999, MATCH(D2218,RulebookFields!A2:A999, 0)), "")</f>
      </c>
      <c r="J2218" s="3" t="str">
        <f>_xlfn.IFNA(INDEX(RulebookFields!I2:I999, MATCH(D2218,RulebookFields!A2:A999, 0)), "")</f>
      </c>
      <c r="K2218" s="3" t="b">
        <f>AND(F2218, J2218)</f>
        <v>0</v>
      </c>
      <c r="L2218" s="3" t="b">
        <f>AND(G2218 &lt;&gt; "plain", G2218 &lt;&gt; "")</f>
        <v>0</v>
      </c>
      <c r="M2218" s="3" t="str">
        <f>IF(E2218, C2218 &amp; "|" &amp; H2218, "")</f>
        <v>principal-knowledge-authority|</v>
      </c>
      <c r="N2218" s="2" t="s">
        <v>9938</v>
      </c>
    </row>
    <row r="2219">
      <c r="A2219" s="2" t="s">
        <v>12155</v>
      </c>
      <c r="B2219" s="3" t="str">
        <f>C2219 &amp; " -&gt; " &amp; D2219</f>
        <v>principal-knowledge-authority -&gt; DeliveredCommunications.MessageTemplate</v>
      </c>
      <c r="C2219" s="2" t="s">
        <v>9708</v>
      </c>
      <c r="D2219" s="2" t="s">
        <v>5038</v>
      </c>
      <c r="E2219" s="2" t="b">
        <v>1</v>
      </c>
      <c r="F2219" s="2" t="b">
        <v>0</v>
      </c>
      <c r="G2219" s="2" t="s">
        <v>9937</v>
      </c>
      <c r="H2219" s="3" t="str">
        <f>_xlfn.IFNA(INDEX(RulebookFields!C2:C999, MATCH(D2219,RulebookFields!A2:A999, 0)), "")</f>
      </c>
      <c r="I2219" s="3" t="str">
        <f>_xlfn.IFNA(INDEX(RulebookFields!D2:D999, MATCH(D2219,RulebookFields!A2:A999, 0)), "")</f>
      </c>
      <c r="J2219" s="3" t="str">
        <f>_xlfn.IFNA(INDEX(RulebookFields!I2:I999, MATCH(D2219,RulebookFields!A2:A999, 0)), "")</f>
      </c>
      <c r="K2219" s="3" t="b">
        <f>AND(F2219, J2219)</f>
        <v>0</v>
      </c>
      <c r="L2219" s="3" t="b">
        <f>AND(G2219 &lt;&gt; "plain", G2219 &lt;&gt; "")</f>
        <v>0</v>
      </c>
      <c r="M2219" s="3" t="str">
        <f>IF(E2219, C2219 &amp; "|" &amp; H2219, "")</f>
        <v>principal-knowledge-authority|</v>
      </c>
      <c r="N2219" s="2" t="s">
        <v>9938</v>
      </c>
    </row>
    <row r="2220">
      <c r="A2220" s="2" t="s">
        <v>12156</v>
      </c>
      <c r="B2220" s="3" t="str">
        <f>C2220 &amp; " -&gt; " &amp; D2220</f>
        <v>principal-knowledge-authority -&gt; DeliveredCommunications.Channel</v>
      </c>
      <c r="C2220" s="2" t="s">
        <v>9708</v>
      </c>
      <c r="D2220" s="2" t="s">
        <v>5039</v>
      </c>
      <c r="E2220" s="2" t="b">
        <v>1</v>
      </c>
      <c r="F2220" s="2" t="b">
        <v>0</v>
      </c>
      <c r="G2220" s="2" t="s">
        <v>9937</v>
      </c>
      <c r="H2220" s="3" t="str">
        <f>_xlfn.IFNA(INDEX(RulebookFields!C2:C999, MATCH(D2220,RulebookFields!A2:A999, 0)), "")</f>
      </c>
      <c r="I2220" s="3" t="str">
        <f>_xlfn.IFNA(INDEX(RulebookFields!D2:D999, MATCH(D2220,RulebookFields!A2:A999, 0)), "")</f>
      </c>
      <c r="J2220" s="3" t="str">
        <f>_xlfn.IFNA(INDEX(RulebookFields!I2:I999, MATCH(D2220,RulebookFields!A2:A999, 0)), "")</f>
      </c>
      <c r="K2220" s="3" t="b">
        <f>AND(F2220, J2220)</f>
        <v>0</v>
      </c>
      <c r="L2220" s="3" t="b">
        <f>AND(G2220 &lt;&gt; "plain", G2220 &lt;&gt; "")</f>
        <v>0</v>
      </c>
      <c r="M2220" s="3" t="str">
        <f>IF(E2220, C2220 &amp; "|" &amp; H2220, "")</f>
        <v>principal-knowledge-authority|</v>
      </c>
      <c r="N2220" s="2" t="s">
        <v>9938</v>
      </c>
    </row>
    <row r="2221">
      <c r="A2221" s="2" t="s">
        <v>12157</v>
      </c>
      <c r="B2221" s="3" t="str">
        <f>C2221 &amp; " -&gt; " &amp; D2221</f>
        <v>principal-knowledge-authority -&gt; DeliveredCommunications.RecipientKey</v>
      </c>
      <c r="C2221" s="2" t="s">
        <v>9708</v>
      </c>
      <c r="D2221" s="2" t="s">
        <v>5040</v>
      </c>
      <c r="E2221" s="2" t="b">
        <v>1</v>
      </c>
      <c r="F2221" s="2" t="b">
        <v>0</v>
      </c>
      <c r="G2221" s="2" t="s">
        <v>9937</v>
      </c>
      <c r="H2221" s="3" t="str">
        <f>_xlfn.IFNA(INDEX(RulebookFields!C2:C999, MATCH(D2221,RulebookFields!A2:A999, 0)), "")</f>
      </c>
      <c r="I2221" s="3" t="str">
        <f>_xlfn.IFNA(INDEX(RulebookFields!D2:D999, MATCH(D2221,RulebookFields!A2:A999, 0)), "")</f>
      </c>
      <c r="J2221" s="3" t="str">
        <f>_xlfn.IFNA(INDEX(RulebookFields!I2:I999, MATCH(D2221,RulebookFields!A2:A999, 0)), "")</f>
      </c>
      <c r="K2221" s="3" t="b">
        <f>AND(F2221, J2221)</f>
        <v>0</v>
      </c>
      <c r="L2221" s="3" t="b">
        <f>AND(G2221 &lt;&gt; "plain", G2221 &lt;&gt; "")</f>
        <v>0</v>
      </c>
      <c r="M2221" s="3" t="str">
        <f>IF(E2221, C2221 &amp; "|" &amp; H2221, "")</f>
        <v>principal-knowledge-authority|</v>
      </c>
      <c r="N2221" s="2" t="s">
        <v>9938</v>
      </c>
    </row>
    <row r="2222">
      <c r="A2222" s="2" t="s">
        <v>12158</v>
      </c>
      <c r="B2222" s="3" t="str">
        <f>C2222 &amp; " -&gt; " &amp; D2222</f>
        <v>principal-knowledge-authority -&gt; DeliveredCommunications.SentAt</v>
      </c>
      <c r="C2222" s="2" t="s">
        <v>9708</v>
      </c>
      <c r="D2222" s="2" t="s">
        <v>5042</v>
      </c>
      <c r="E2222" s="2" t="b">
        <v>1</v>
      </c>
      <c r="F2222" s="2" t="b">
        <v>0</v>
      </c>
      <c r="G2222" s="2" t="s">
        <v>9937</v>
      </c>
      <c r="H2222" s="3" t="str">
        <f>_xlfn.IFNA(INDEX(RulebookFields!C2:C999, MATCH(D2222,RulebookFields!A2:A999, 0)), "")</f>
      </c>
      <c r="I2222" s="3" t="str">
        <f>_xlfn.IFNA(INDEX(RulebookFields!D2:D999, MATCH(D2222,RulebookFields!A2:A999, 0)), "")</f>
      </c>
      <c r="J2222" s="3" t="str">
        <f>_xlfn.IFNA(INDEX(RulebookFields!I2:I999, MATCH(D2222,RulebookFields!A2:A999, 0)), "")</f>
      </c>
      <c r="K2222" s="3" t="b">
        <f>AND(F2222, J2222)</f>
        <v>0</v>
      </c>
      <c r="L2222" s="3" t="b">
        <f>AND(G2222 &lt;&gt; "plain", G2222 &lt;&gt; "")</f>
        <v>0</v>
      </c>
      <c r="M2222" s="3" t="str">
        <f>IF(E2222, C2222 &amp; "|" &amp; H2222, "")</f>
        <v>principal-knowledge-authority|</v>
      </c>
      <c r="N2222" s="2" t="s">
        <v>9938</v>
      </c>
    </row>
    <row r="2223">
      <c r="A2223" s="2" t="s">
        <v>12159</v>
      </c>
      <c r="B2223" s="3" t="str">
        <f>C2223 &amp; " -&gt; " &amp; D2223</f>
        <v>principal-knowledge-authority -&gt; DeliveredCommunications.RenderedContentHash</v>
      </c>
      <c r="C2223" s="2" t="s">
        <v>9708</v>
      </c>
      <c r="D2223" s="2" t="s">
        <v>5043</v>
      </c>
      <c r="E2223" s="2" t="b">
        <v>1</v>
      </c>
      <c r="F2223" s="2" t="b">
        <v>0</v>
      </c>
      <c r="G2223" s="2" t="s">
        <v>9937</v>
      </c>
      <c r="H2223" s="3" t="str">
        <f>_xlfn.IFNA(INDEX(RulebookFields!C2:C999, MATCH(D2223,RulebookFields!A2:A999, 0)), "")</f>
      </c>
      <c r="I2223" s="3" t="str">
        <f>_xlfn.IFNA(INDEX(RulebookFields!D2:D999, MATCH(D2223,RulebookFields!A2:A999, 0)), "")</f>
      </c>
      <c r="J2223" s="3" t="str">
        <f>_xlfn.IFNA(INDEX(RulebookFields!I2:I999, MATCH(D2223,RulebookFields!A2:A999, 0)), "")</f>
      </c>
      <c r="K2223" s="3" t="b">
        <f>AND(F2223, J2223)</f>
        <v>0</v>
      </c>
      <c r="L2223" s="3" t="b">
        <f>AND(G2223 &lt;&gt; "plain", G2223 &lt;&gt; "")</f>
        <v>0</v>
      </c>
      <c r="M2223" s="3" t="str">
        <f>IF(E2223, C2223 &amp; "|" &amp; H2223, "")</f>
        <v>principal-knowledge-authority|</v>
      </c>
      <c r="N2223" s="2" t="s">
        <v>9938</v>
      </c>
    </row>
    <row r="2224">
      <c r="A2224" s="2" t="s">
        <v>12160</v>
      </c>
      <c r="B2224" s="3" t="str">
        <f>C2224 &amp; " -&gt; " &amp; D2224</f>
        <v>principal-knowledge-authority -&gt; DeliveredCommunications.ApprovedContentHash</v>
      </c>
      <c r="C2224" s="2" t="s">
        <v>9708</v>
      </c>
      <c r="D2224" s="2" t="s">
        <v>5045</v>
      </c>
      <c r="E2224" s="2" t="b">
        <v>1</v>
      </c>
      <c r="F2224" s="2" t="b">
        <v>0</v>
      </c>
      <c r="G2224" s="2" t="s">
        <v>9937</v>
      </c>
      <c r="H2224" s="3" t="str">
        <f>_xlfn.IFNA(INDEX(RulebookFields!C2:C999, MATCH(D2224,RulebookFields!A2:A999, 0)), "")</f>
      </c>
      <c r="I2224" s="3" t="str">
        <f>_xlfn.IFNA(INDEX(RulebookFields!D2:D999, MATCH(D2224,RulebookFields!A2:A999, 0)), "")</f>
      </c>
      <c r="J2224" s="3" t="str">
        <f>_xlfn.IFNA(INDEX(RulebookFields!I2:I999, MATCH(D2224,RulebookFields!A2:A999, 0)), "")</f>
      </c>
      <c r="K2224" s="3" t="b">
        <f>AND(F2224, J2224)</f>
        <v>0</v>
      </c>
      <c r="L2224" s="3" t="b">
        <f>AND(G2224 &lt;&gt; "plain", G2224 &lt;&gt; "")</f>
        <v>0</v>
      </c>
      <c r="M2224" s="3" t="str">
        <f>IF(E2224, C2224 &amp; "|" &amp; H2224, "")</f>
        <v>principal-knowledge-authority|</v>
      </c>
      <c r="N2224" s="2" t="s">
        <v>9938</v>
      </c>
    </row>
    <row r="2225">
      <c r="A2225" s="2" t="s">
        <v>12161</v>
      </c>
      <c r="B2225" s="3" t="str">
        <f>C2225 &amp; " -&gt; " &amp; D2225</f>
        <v>principal-knowledge-authority -&gt; DeliveredCommunications.DeliveryStatus</v>
      </c>
      <c r="C2225" s="2" t="s">
        <v>9708</v>
      </c>
      <c r="D2225" s="2" t="s">
        <v>5047</v>
      </c>
      <c r="E2225" s="2" t="b">
        <v>1</v>
      </c>
      <c r="F2225" s="2" t="b">
        <v>0</v>
      </c>
      <c r="G2225" s="2" t="s">
        <v>9937</v>
      </c>
      <c r="H2225" s="3" t="str">
        <f>_xlfn.IFNA(INDEX(RulebookFields!C2:C999, MATCH(D2225,RulebookFields!A2:A999, 0)), "")</f>
      </c>
      <c r="I2225" s="3" t="str">
        <f>_xlfn.IFNA(INDEX(RulebookFields!D2:D999, MATCH(D2225,RulebookFields!A2:A999, 0)), "")</f>
      </c>
      <c r="J2225" s="3" t="str">
        <f>_xlfn.IFNA(INDEX(RulebookFields!I2:I999, MATCH(D2225,RulebookFields!A2:A999, 0)), "")</f>
      </c>
      <c r="K2225" s="3" t="b">
        <f>AND(F2225, J2225)</f>
        <v>0</v>
      </c>
      <c r="L2225" s="3" t="b">
        <f>AND(G2225 &lt;&gt; "plain", G2225 &lt;&gt; "")</f>
        <v>0</v>
      </c>
      <c r="M2225" s="3" t="str">
        <f>IF(E2225, C2225 &amp; "|" &amp; H2225, "")</f>
        <v>principal-knowledge-authority|</v>
      </c>
      <c r="N2225" s="2" t="s">
        <v>9938</v>
      </c>
    </row>
    <row r="2226">
      <c r="A2226" s="2" t="s">
        <v>12162</v>
      </c>
      <c r="B2226" s="3" t="str">
        <f>C2226 &amp; " -&gt; " &amp; D2226</f>
        <v>principal-knowledge-authority -&gt; DeliveredCommunications.SemanticTypeIri</v>
      </c>
      <c r="C2226" s="2" t="s">
        <v>9708</v>
      </c>
      <c r="D2226" s="2" t="s">
        <v>5048</v>
      </c>
      <c r="E2226" s="2" t="b">
        <v>1</v>
      </c>
      <c r="F2226" s="2" t="b">
        <v>0</v>
      </c>
      <c r="G2226" s="2" t="s">
        <v>9937</v>
      </c>
      <c r="H2226" s="3" t="str">
        <f>_xlfn.IFNA(INDEX(RulebookFields!C2:C999, MATCH(D2226,RulebookFields!A2:A999, 0)), "")</f>
      </c>
      <c r="I2226" s="3" t="str">
        <f>_xlfn.IFNA(INDEX(RulebookFields!D2:D999, MATCH(D2226,RulebookFields!A2:A999, 0)), "")</f>
      </c>
      <c r="J2226" s="3" t="str">
        <f>_xlfn.IFNA(INDEX(RulebookFields!I2:I999, MATCH(D2226,RulebookFields!A2:A999, 0)), "")</f>
      </c>
      <c r="K2226" s="3" t="b">
        <f>AND(F2226, J2226)</f>
        <v>0</v>
      </c>
      <c r="L2226" s="3" t="b">
        <f>AND(G2226 &lt;&gt; "plain", G2226 &lt;&gt; "")</f>
        <v>0</v>
      </c>
      <c r="M2226" s="3" t="str">
        <f>IF(E2226, C2226 &amp; "|" &amp; H2226, "")</f>
        <v>principal-knowledge-authority|</v>
      </c>
      <c r="N2226" s="2" t="s">
        <v>9938</v>
      </c>
    </row>
    <row r="2227">
      <c r="A2227" s="2" t="s">
        <v>12163</v>
      </c>
      <c r="B2227" s="3" t="str">
        <f>C2227 &amp; " -&gt; " &amp; D2227</f>
        <v>principal-knowledge-authority -&gt; DeliveredCommunications.HasAuthorization</v>
      </c>
      <c r="C2227" s="2" t="s">
        <v>9708</v>
      </c>
      <c r="D2227" s="2" t="s">
        <v>5049</v>
      </c>
      <c r="E2227" s="2" t="b">
        <v>1</v>
      </c>
      <c r="F2227" s="2" t="b">
        <v>0</v>
      </c>
      <c r="G2227" s="2" t="s">
        <v>9937</v>
      </c>
      <c r="H2227" s="3" t="str">
        <f>_xlfn.IFNA(INDEX(RulebookFields!C2:C999, MATCH(D2227,RulebookFields!A2:A999, 0)), "")</f>
      </c>
      <c r="I2227" s="3" t="str">
        <f>_xlfn.IFNA(INDEX(RulebookFields!D2:D999, MATCH(D2227,RulebookFields!A2:A999, 0)), "")</f>
      </c>
      <c r="J2227" s="3" t="str">
        <f>_xlfn.IFNA(INDEX(RulebookFields!I2:I999, MATCH(D2227,RulebookFields!A2:A999, 0)), "")</f>
      </c>
      <c r="K2227" s="3" t="b">
        <f>AND(F2227, J2227)</f>
        <v>0</v>
      </c>
      <c r="L2227" s="3" t="b">
        <f>AND(G2227 &lt;&gt; "plain", G2227 &lt;&gt; "")</f>
        <v>0</v>
      </c>
      <c r="M2227" s="3" t="str">
        <f>IF(E2227, C2227 &amp; "|" &amp; H2227, "")</f>
        <v>principal-knowledge-authority|</v>
      </c>
      <c r="N2227" s="2" t="s">
        <v>9938</v>
      </c>
    </row>
    <row r="2228">
      <c r="A2228" s="2" t="s">
        <v>12164</v>
      </c>
      <c r="B2228" s="3" t="str">
        <f>C2228 &amp; " -&gt; " &amp; D2228</f>
        <v>principal-knowledge-authority -&gt; DeliveredCommunications.ContentMatchesApproval</v>
      </c>
      <c r="C2228" s="2" t="s">
        <v>9708</v>
      </c>
      <c r="D2228" s="2" t="s">
        <v>5052</v>
      </c>
      <c r="E2228" s="2" t="b">
        <v>1</v>
      </c>
      <c r="F2228" s="2" t="b">
        <v>0</v>
      </c>
      <c r="G2228" s="2" t="s">
        <v>9937</v>
      </c>
      <c r="H2228" s="3" t="str">
        <f>_xlfn.IFNA(INDEX(RulebookFields!C2:C999, MATCH(D2228,RulebookFields!A2:A999, 0)), "")</f>
      </c>
      <c r="I2228" s="3" t="str">
        <f>_xlfn.IFNA(INDEX(RulebookFields!D2:D999, MATCH(D2228,RulebookFields!A2:A999, 0)), "")</f>
      </c>
      <c r="J2228" s="3" t="str">
        <f>_xlfn.IFNA(INDEX(RulebookFields!I2:I999, MATCH(D2228,RulebookFields!A2:A999, 0)), "")</f>
      </c>
      <c r="K2228" s="3" t="b">
        <f>AND(F2228, J2228)</f>
        <v>0</v>
      </c>
      <c r="L2228" s="3" t="b">
        <f>AND(G2228 &lt;&gt; "plain", G2228 &lt;&gt; "")</f>
        <v>0</v>
      </c>
      <c r="M2228" s="3" t="str">
        <f>IF(E2228, C2228 &amp; "|" &amp; H2228, "")</f>
        <v>principal-knowledge-authority|</v>
      </c>
      <c r="N2228" s="2" t="s">
        <v>9938</v>
      </c>
    </row>
    <row r="2229">
      <c r="A2229" s="2" t="s">
        <v>12165</v>
      </c>
      <c r="B2229" s="3" t="str">
        <f>C2229 &amp; " -&gt; " &amp; D2229</f>
        <v>principal-knowledge-authority -&gt; DeliveredCommunications.AuthorizedAt</v>
      </c>
      <c r="C2229" s="2" t="s">
        <v>9708</v>
      </c>
      <c r="D2229" s="2" t="s">
        <v>5055</v>
      </c>
      <c r="E2229" s="2" t="b">
        <v>1</v>
      </c>
      <c r="F2229" s="2" t="b">
        <v>0</v>
      </c>
      <c r="G2229" s="2" t="s">
        <v>9937</v>
      </c>
      <c r="H2229" s="3" t="str">
        <f>_xlfn.IFNA(INDEX(RulebookFields!C2:C999, MATCH(D2229,RulebookFields!A2:A999, 0)), "")</f>
      </c>
      <c r="I2229" s="3" t="str">
        <f>_xlfn.IFNA(INDEX(RulebookFields!D2:D999, MATCH(D2229,RulebookFields!A2:A999, 0)), "")</f>
      </c>
      <c r="J2229" s="3" t="str">
        <f>_xlfn.IFNA(INDEX(RulebookFields!I2:I999, MATCH(D2229,RulebookFields!A2:A999, 0)), "")</f>
      </c>
      <c r="K2229" s="3" t="b">
        <f>AND(F2229, J2229)</f>
        <v>0</v>
      </c>
      <c r="L2229" s="3" t="b">
        <f>AND(G2229 &lt;&gt; "plain", G2229 &lt;&gt; "")</f>
        <v>0</v>
      </c>
      <c r="M2229" s="3" t="str">
        <f>IF(E2229, C2229 &amp; "|" &amp; H2229, "")</f>
        <v>principal-knowledge-authority|</v>
      </c>
      <c r="N2229" s="2" t="s">
        <v>9938</v>
      </c>
    </row>
    <row r="2230">
      <c r="A2230" s="2" t="s">
        <v>12166</v>
      </c>
      <c r="B2230" s="3" t="str">
        <f>C2230 &amp; " -&gt; " &amp; D2230</f>
        <v>principal-knowledge-authority -&gt; DeliveredCommunications.WasApprovedBeforeSending</v>
      </c>
      <c r="C2230" s="2" t="s">
        <v>9708</v>
      </c>
      <c r="D2230" s="2" t="s">
        <v>5058</v>
      </c>
      <c r="E2230" s="2" t="b">
        <v>1</v>
      </c>
      <c r="F2230" s="2" t="b">
        <v>0</v>
      </c>
      <c r="G2230" s="2" t="s">
        <v>9937</v>
      </c>
      <c r="H2230" s="3" t="str">
        <f>_xlfn.IFNA(INDEX(RulebookFields!C2:C999, MATCH(D2230,RulebookFields!A2:A999, 0)), "")</f>
      </c>
      <c r="I2230" s="3" t="str">
        <f>_xlfn.IFNA(INDEX(RulebookFields!D2:D999, MATCH(D2230,RulebookFields!A2:A999, 0)), "")</f>
      </c>
      <c r="J2230" s="3" t="str">
        <f>_xlfn.IFNA(INDEX(RulebookFields!I2:I999, MATCH(D2230,RulebookFields!A2:A999, 0)), "")</f>
      </c>
      <c r="K2230" s="3" t="b">
        <f>AND(F2230, J2230)</f>
        <v>0</v>
      </c>
      <c r="L2230" s="3" t="b">
        <f>AND(G2230 &lt;&gt; "plain", G2230 &lt;&gt; "")</f>
        <v>0</v>
      </c>
      <c r="M2230" s="3" t="str">
        <f>IF(E2230, C2230 &amp; "|" &amp; H2230, "")</f>
        <v>principal-knowledge-authority|</v>
      </c>
      <c r="N2230" s="2" t="s">
        <v>9938</v>
      </c>
    </row>
    <row r="2231">
      <c r="A2231" s="2" t="s">
        <v>12167</v>
      </c>
      <c r="B2231" s="3" t="str">
        <f>C2231 &amp; " -&gt; " &amp; D2231</f>
        <v>principal-knowledge-authority -&gt; DeliveredCommunications.IsDefensible</v>
      </c>
      <c r="C2231" s="2" t="s">
        <v>9708</v>
      </c>
      <c r="D2231" s="2" t="s">
        <v>5061</v>
      </c>
      <c r="E2231" s="2" t="b">
        <v>1</v>
      </c>
      <c r="F2231" s="2" t="b">
        <v>0</v>
      </c>
      <c r="G2231" s="2" t="s">
        <v>9937</v>
      </c>
      <c r="H2231" s="3" t="str">
        <f>_xlfn.IFNA(INDEX(RulebookFields!C2:C999, MATCH(D2231,RulebookFields!A2:A999, 0)), "")</f>
      </c>
      <c r="I2231" s="3" t="str">
        <f>_xlfn.IFNA(INDEX(RulebookFields!D2:D999, MATCH(D2231,RulebookFields!A2:A999, 0)), "")</f>
      </c>
      <c r="J2231" s="3" t="str">
        <f>_xlfn.IFNA(INDEX(RulebookFields!I2:I999, MATCH(D2231,RulebookFields!A2:A999, 0)), "")</f>
      </c>
      <c r="K2231" s="3" t="b">
        <f>AND(F2231, J2231)</f>
        <v>0</v>
      </c>
      <c r="L2231" s="3" t="b">
        <f>AND(G2231 &lt;&gt; "plain", G2231 &lt;&gt; "")</f>
        <v>0</v>
      </c>
      <c r="M2231" s="3" t="str">
        <f>IF(E2231, C2231 &amp; "|" &amp; H2231, "")</f>
        <v>principal-knowledge-authority|</v>
      </c>
      <c r="N2231" s="2" t="s">
        <v>9938</v>
      </c>
    </row>
    <row r="2232">
      <c r="A2232" s="2" t="s">
        <v>12168</v>
      </c>
      <c r="B2232" s="3" t="str">
        <f>C2232 &amp; " -&gt; " &amp; D2232</f>
        <v>principal-knowledge-authority -&gt; ElicitationSessions.ElicitationSessionId</v>
      </c>
      <c r="C2232" s="2" t="s">
        <v>9708</v>
      </c>
      <c r="D2232" s="2" t="s">
        <v>3129</v>
      </c>
      <c r="E2232" s="2" t="b">
        <v>1</v>
      </c>
      <c r="F2232" s="2" t="b">
        <v>0</v>
      </c>
      <c r="G2232" s="2" t="s">
        <v>9937</v>
      </c>
      <c r="H2232" s="3" t="str">
        <f>_xlfn.IFNA(INDEX(RulebookFields!C2:C999, MATCH(D2232,RulebookFields!A2:A999, 0)), "")</f>
        <v>ElicitationSessions</v>
      </c>
      <c r="I2232" s="3" t="str">
        <f>_xlfn.IFNA(INDEX(RulebookFields!D2:D999, MATCH(D2232,RulebookFields!A2:A999, 0)), "")</f>
        <v>ElicitationSessionId</v>
      </c>
      <c r="J2232" s="3" t="b">
        <f>_xlfn.IFNA(INDEX(RulebookFields!I2:I999, MATCH(D2232,RulebookFields!A2:A999, 0)), "")</f>
        <v>0</v>
      </c>
      <c r="K2232" s="3" t="b">
        <f>AND(F2232, J2232)</f>
        <v>0</v>
      </c>
      <c r="L2232" s="3" t="b">
        <f>AND(G2232 &lt;&gt; "plain", G2232 &lt;&gt; "")</f>
        <v>0</v>
      </c>
      <c r="M2232" s="3" t="str">
        <f>IF(E2232, C2232 &amp; "|" &amp; H2232, "")</f>
        <v>principal-knowledge-authority|ElicitationSessions</v>
      </c>
      <c r="N2232" s="2" t="s">
        <v>9938</v>
      </c>
    </row>
    <row r="2233">
      <c r="A2233" s="2" t="s">
        <v>12169</v>
      </c>
      <c r="B2233" s="3" t="str">
        <f>C2233 &amp; " -&gt; " &amp; D2233</f>
        <v>principal-knowledge-authority -&gt; ElicitationSessions.Name</v>
      </c>
      <c r="C2233" s="2" t="s">
        <v>9708</v>
      </c>
      <c r="D2233" s="2" t="s">
        <v>3130</v>
      </c>
      <c r="E2233" s="2" t="b">
        <v>1</v>
      </c>
      <c r="F2233" s="2" t="b">
        <v>0</v>
      </c>
      <c r="G2233" s="2" t="s">
        <v>9937</v>
      </c>
      <c r="H2233" s="3" t="str">
        <f>_xlfn.IFNA(INDEX(RulebookFields!C2:C999, MATCH(D2233,RulebookFields!A2:A999, 0)), "")</f>
        <v>ElicitationSessions</v>
      </c>
      <c r="I2233" s="3" t="str">
        <f>_xlfn.IFNA(INDEX(RulebookFields!D2:D999, MATCH(D2233,RulebookFields!A2:A999, 0)), "")</f>
        <v>Name</v>
      </c>
      <c r="J2233" s="3" t="b">
        <f>_xlfn.IFNA(INDEX(RulebookFields!I2:I999, MATCH(D2233,RulebookFields!A2:A999, 0)), "")</f>
        <v>1</v>
      </c>
      <c r="K2233" s="3" t="b">
        <f>AND(F2233, J2233)</f>
        <v>0</v>
      </c>
      <c r="L2233" s="3" t="b">
        <f>AND(G2233 &lt;&gt; "plain", G2233 &lt;&gt; "")</f>
        <v>0</v>
      </c>
      <c r="M2233" s="3" t="str">
        <f>IF(E2233, C2233 &amp; "|" &amp; H2233, "")</f>
        <v>principal-knowledge-authority|ElicitationSessions</v>
      </c>
      <c r="N2233" s="2" t="s">
        <v>9938</v>
      </c>
    </row>
    <row r="2234">
      <c r="A2234" s="2" t="s">
        <v>12170</v>
      </c>
      <c r="B2234" s="3" t="str">
        <f>C2234 &amp; " -&gt; " &amp; D2234</f>
        <v>principal-knowledge-authority -&gt; ElicitationSessions.ProcedureVersion</v>
      </c>
      <c r="C2234" s="2" t="s">
        <v>9708</v>
      </c>
      <c r="D2234" s="2" t="s">
        <v>3132</v>
      </c>
      <c r="E2234" s="2" t="b">
        <v>1</v>
      </c>
      <c r="F2234" s="2" t="b">
        <v>0</v>
      </c>
      <c r="G2234" s="2" t="s">
        <v>9937</v>
      </c>
      <c r="H2234" s="3" t="str">
        <f>_xlfn.IFNA(INDEX(RulebookFields!C2:C999, MATCH(D2234,RulebookFields!A2:A999, 0)), "")</f>
        <v>ElicitationSessions</v>
      </c>
      <c r="I2234" s="3" t="str">
        <f>_xlfn.IFNA(INDEX(RulebookFields!D2:D999, MATCH(D2234,RulebookFields!A2:A999, 0)), "")</f>
        <v>ProcedureVersion</v>
      </c>
      <c r="J2234" s="3" t="b">
        <f>_xlfn.IFNA(INDEX(RulebookFields!I2:I999, MATCH(D2234,RulebookFields!A2:A999, 0)), "")</f>
        <v>0</v>
      </c>
      <c r="K2234" s="3" t="b">
        <f>AND(F2234, J2234)</f>
        <v>0</v>
      </c>
      <c r="L2234" s="3" t="b">
        <f>AND(G2234 &lt;&gt; "plain", G2234 &lt;&gt; "")</f>
        <v>0</v>
      </c>
      <c r="M2234" s="3" t="str">
        <f>IF(E2234, C2234 &amp; "|" &amp; H2234, "")</f>
        <v>principal-knowledge-authority|ElicitationSessions</v>
      </c>
      <c r="N2234" s="2" t="s">
        <v>9938</v>
      </c>
    </row>
    <row r="2235">
      <c r="A2235" s="2" t="s">
        <v>12171</v>
      </c>
      <c r="B2235" s="3" t="str">
        <f>C2235 &amp; " -&gt; " &amp; D2235</f>
        <v>principal-knowledge-authority -&gt; ElicitationSessions.Method</v>
      </c>
      <c r="C2235" s="2" t="s">
        <v>9708</v>
      </c>
      <c r="D2235" s="2" t="s">
        <v>3133</v>
      </c>
      <c r="E2235" s="2" t="b">
        <v>1</v>
      </c>
      <c r="F2235" s="2" t="b">
        <v>0</v>
      </c>
      <c r="G2235" s="2" t="s">
        <v>9937</v>
      </c>
      <c r="H2235" s="3" t="str">
        <f>_xlfn.IFNA(INDEX(RulebookFields!C2:C999, MATCH(D2235,RulebookFields!A2:A999, 0)), "")</f>
        <v>ElicitationSessions</v>
      </c>
      <c r="I2235" s="3" t="str">
        <f>_xlfn.IFNA(INDEX(RulebookFields!D2:D999, MATCH(D2235,RulebookFields!A2:A999, 0)), "")</f>
        <v>Method</v>
      </c>
      <c r="J2235" s="3" t="b">
        <f>_xlfn.IFNA(INDEX(RulebookFields!I2:I999, MATCH(D2235,RulebookFields!A2:A999, 0)), "")</f>
        <v>0</v>
      </c>
      <c r="K2235" s="3" t="b">
        <f>AND(F2235, J2235)</f>
        <v>0</v>
      </c>
      <c r="L2235" s="3" t="b">
        <f>AND(G2235 &lt;&gt; "plain", G2235 &lt;&gt; "")</f>
        <v>0</v>
      </c>
      <c r="M2235" s="3" t="str">
        <f>IF(E2235, C2235 &amp; "|" &amp; H2235, "")</f>
        <v>principal-knowledge-authority|ElicitationSessions</v>
      </c>
      <c r="N2235" s="2" t="s">
        <v>9938</v>
      </c>
    </row>
    <row r="2236">
      <c r="A2236" s="2" t="s">
        <v>12172</v>
      </c>
      <c r="B2236" s="3" t="str">
        <f>C2236 &amp; " -&gt; " &amp; D2236</f>
        <v>principal-knowledge-authority -&gt; ElicitationSessions.StartedAt</v>
      </c>
      <c r="C2236" s="2" t="s">
        <v>9708</v>
      </c>
      <c r="D2236" s="2" t="s">
        <v>3134</v>
      </c>
      <c r="E2236" s="2" t="b">
        <v>1</v>
      </c>
      <c r="F2236" s="2" t="b">
        <v>0</v>
      </c>
      <c r="G2236" s="2" t="s">
        <v>9937</v>
      </c>
      <c r="H2236" s="3" t="str">
        <f>_xlfn.IFNA(INDEX(RulebookFields!C2:C999, MATCH(D2236,RulebookFields!A2:A999, 0)), "")</f>
        <v>ElicitationSessions</v>
      </c>
      <c r="I2236" s="3" t="str">
        <f>_xlfn.IFNA(INDEX(RulebookFields!D2:D999, MATCH(D2236,RulebookFields!A2:A999, 0)), "")</f>
        <v>StartedAt</v>
      </c>
      <c r="J2236" s="3" t="b">
        <f>_xlfn.IFNA(INDEX(RulebookFields!I2:I999, MATCH(D2236,RulebookFields!A2:A999, 0)), "")</f>
        <v>0</v>
      </c>
      <c r="K2236" s="3" t="b">
        <f>AND(F2236, J2236)</f>
        <v>0</v>
      </c>
      <c r="L2236" s="3" t="b">
        <f>AND(G2236 &lt;&gt; "plain", G2236 &lt;&gt; "")</f>
        <v>0</v>
      </c>
      <c r="M2236" s="3" t="str">
        <f>IF(E2236, C2236 &amp; "|" &amp; H2236, "")</f>
        <v>principal-knowledge-authority|ElicitationSessions</v>
      </c>
      <c r="N2236" s="2" t="s">
        <v>9938</v>
      </c>
    </row>
    <row r="2237">
      <c r="A2237" s="2" t="s">
        <v>12173</v>
      </c>
      <c r="B2237" s="3" t="str">
        <f>C2237 &amp; " -&gt; " &amp; D2237</f>
        <v>principal-knowledge-authority -&gt; ElicitationSessions.EndedAt</v>
      </c>
      <c r="C2237" s="2" t="s">
        <v>9708</v>
      </c>
      <c r="D2237" s="2" t="s">
        <v>3135</v>
      </c>
      <c r="E2237" s="2" t="b">
        <v>1</v>
      </c>
      <c r="F2237" s="2" t="b">
        <v>0</v>
      </c>
      <c r="G2237" s="2" t="s">
        <v>9937</v>
      </c>
      <c r="H2237" s="3" t="str">
        <f>_xlfn.IFNA(INDEX(RulebookFields!C2:C999, MATCH(D2237,RulebookFields!A2:A999, 0)), "")</f>
        <v>ElicitationSessions</v>
      </c>
      <c r="I2237" s="3" t="str">
        <f>_xlfn.IFNA(INDEX(RulebookFields!D2:D999, MATCH(D2237,RulebookFields!A2:A999, 0)), "")</f>
        <v>EndedAt</v>
      </c>
      <c r="J2237" s="3" t="b">
        <f>_xlfn.IFNA(INDEX(RulebookFields!I2:I999, MATCH(D2237,RulebookFields!A2:A999, 0)), "")</f>
        <v>0</v>
      </c>
      <c r="K2237" s="3" t="b">
        <f>AND(F2237, J2237)</f>
        <v>0</v>
      </c>
      <c r="L2237" s="3" t="b">
        <f>AND(G2237 &lt;&gt; "plain", G2237 &lt;&gt; "")</f>
        <v>0</v>
      </c>
      <c r="M2237" s="3" t="str">
        <f>IF(E2237, C2237 &amp; "|" &amp; H2237, "")</f>
        <v>principal-knowledge-authority|ElicitationSessions</v>
      </c>
      <c r="N2237" s="2" t="s">
        <v>9938</v>
      </c>
    </row>
    <row r="2238">
      <c r="A2238" s="2" t="s">
        <v>12174</v>
      </c>
      <c r="B2238" s="3" t="str">
        <f>C2238 &amp; " -&gt; " &amp; D2238</f>
        <v>principal-knowledge-authority -&gt; ElicitationSessions.PractitionerAgent</v>
      </c>
      <c r="C2238" s="2" t="s">
        <v>9708</v>
      </c>
      <c r="D2238" s="2" t="s">
        <v>3136</v>
      </c>
      <c r="E2238" s="2" t="b">
        <v>1</v>
      </c>
      <c r="F2238" s="2" t="b">
        <v>0</v>
      </c>
      <c r="G2238" s="2" t="s">
        <v>9937</v>
      </c>
      <c r="H2238" s="3" t="str">
        <f>_xlfn.IFNA(INDEX(RulebookFields!C2:C999, MATCH(D2238,RulebookFields!A2:A999, 0)), "")</f>
        <v>ElicitationSessions</v>
      </c>
      <c r="I2238" s="3" t="str">
        <f>_xlfn.IFNA(INDEX(RulebookFields!D2:D999, MATCH(D2238,RulebookFields!A2:A999, 0)), "")</f>
        <v>PractitionerAgent</v>
      </c>
      <c r="J2238" s="3" t="b">
        <f>_xlfn.IFNA(INDEX(RulebookFields!I2:I999, MATCH(D2238,RulebookFields!A2:A999, 0)), "")</f>
        <v>0</v>
      </c>
      <c r="K2238" s="3" t="b">
        <f>AND(F2238, J2238)</f>
        <v>0</v>
      </c>
      <c r="L2238" s="3" t="b">
        <f>AND(G2238 &lt;&gt; "plain", G2238 &lt;&gt; "")</f>
        <v>0</v>
      </c>
      <c r="M2238" s="3" t="str">
        <f>IF(E2238, C2238 &amp; "|" &amp; H2238, "")</f>
        <v>principal-knowledge-authority|ElicitationSessions</v>
      </c>
      <c r="N2238" s="2" t="s">
        <v>9938</v>
      </c>
    </row>
    <row r="2239">
      <c r="A2239" s="2" t="s">
        <v>12175</v>
      </c>
      <c r="B2239" s="3" t="str">
        <f>C2239 &amp; " -&gt; " &amp; D2239</f>
        <v>principal-knowledge-authority -&gt; ElicitationSessions.FacilitatorAgent</v>
      </c>
      <c r="C2239" s="2" t="s">
        <v>9708</v>
      </c>
      <c r="D2239" s="2" t="s">
        <v>3137</v>
      </c>
      <c r="E2239" s="2" t="b">
        <v>1</v>
      </c>
      <c r="F2239" s="2" t="b">
        <v>0</v>
      </c>
      <c r="G2239" s="2" t="s">
        <v>9937</v>
      </c>
      <c r="H2239" s="3" t="str">
        <f>_xlfn.IFNA(INDEX(RulebookFields!C2:C999, MATCH(D2239,RulebookFields!A2:A999, 0)), "")</f>
        <v>ElicitationSessions</v>
      </c>
      <c r="I2239" s="3" t="str">
        <f>_xlfn.IFNA(INDEX(RulebookFields!D2:D999, MATCH(D2239,RulebookFields!A2:A999, 0)), "")</f>
        <v>FacilitatorAgent</v>
      </c>
      <c r="J2239" s="3" t="b">
        <f>_xlfn.IFNA(INDEX(RulebookFields!I2:I999, MATCH(D2239,RulebookFields!A2:A999, 0)), "")</f>
        <v>0</v>
      </c>
      <c r="K2239" s="3" t="b">
        <f>AND(F2239, J2239)</f>
        <v>0</v>
      </c>
      <c r="L2239" s="3" t="b">
        <f>AND(G2239 &lt;&gt; "plain", G2239 &lt;&gt; "")</f>
        <v>0</v>
      </c>
      <c r="M2239" s="3" t="str">
        <f>IF(E2239, C2239 &amp; "|" &amp; H2239, "")</f>
        <v>principal-knowledge-authority|ElicitationSessions</v>
      </c>
      <c r="N2239" s="2" t="s">
        <v>9938</v>
      </c>
    </row>
    <row r="2240">
      <c r="A2240" s="2" t="s">
        <v>12176</v>
      </c>
      <c r="B2240" s="3" t="str">
        <f>C2240 &amp; " -&gt; " &amp; D2240</f>
        <v>principal-knowledge-authority -&gt; ElicitationSessions.Summary</v>
      </c>
      <c r="C2240" s="2" t="s">
        <v>9708</v>
      </c>
      <c r="D2240" s="2" t="s">
        <v>3138</v>
      </c>
      <c r="E2240" s="2" t="b">
        <v>1</v>
      </c>
      <c r="F2240" s="2" t="b">
        <v>0</v>
      </c>
      <c r="G2240" s="2" t="s">
        <v>9937</v>
      </c>
      <c r="H2240" s="3" t="str">
        <f>_xlfn.IFNA(INDEX(RulebookFields!C2:C999, MATCH(D2240,RulebookFields!A2:A999, 0)), "")</f>
        <v>ElicitationSessions</v>
      </c>
      <c r="I2240" s="3" t="str">
        <f>_xlfn.IFNA(INDEX(RulebookFields!D2:D999, MATCH(D2240,RulebookFields!A2:A999, 0)), "")</f>
        <v>Summary</v>
      </c>
      <c r="J2240" s="3" t="b">
        <f>_xlfn.IFNA(INDEX(RulebookFields!I2:I999, MATCH(D2240,RulebookFields!A2:A999, 0)), "")</f>
        <v>0</v>
      </c>
      <c r="K2240" s="3" t="b">
        <f>AND(F2240, J2240)</f>
        <v>0</v>
      </c>
      <c r="L2240" s="3" t="b">
        <f>AND(G2240 &lt;&gt; "plain", G2240 &lt;&gt; "")</f>
        <v>0</v>
      </c>
      <c r="M2240" s="3" t="str">
        <f>IF(E2240, C2240 &amp; "|" &amp; H2240, "")</f>
        <v>principal-knowledge-authority|ElicitationSessions</v>
      </c>
      <c r="N2240" s="2" t="s">
        <v>9938</v>
      </c>
    </row>
    <row r="2241">
      <c r="A2241" s="2" t="s">
        <v>12177</v>
      </c>
      <c r="B2241" s="3" t="str">
        <f>C2241 &amp; " -&gt; " &amp; D2241</f>
        <v>principal-knowledge-authority -&gt; ElicitationSessions.Status</v>
      </c>
      <c r="C2241" s="2" t="s">
        <v>9708</v>
      </c>
      <c r="D2241" s="2" t="s">
        <v>3139</v>
      </c>
      <c r="E2241" s="2" t="b">
        <v>1</v>
      </c>
      <c r="F2241" s="2" t="b">
        <v>0</v>
      </c>
      <c r="G2241" s="2" t="s">
        <v>9937</v>
      </c>
      <c r="H2241" s="3" t="str">
        <f>_xlfn.IFNA(INDEX(RulebookFields!C2:C999, MATCH(D2241,RulebookFields!A2:A999, 0)), "")</f>
        <v>ElicitationSessions</v>
      </c>
      <c r="I2241" s="3" t="str">
        <f>_xlfn.IFNA(INDEX(RulebookFields!D2:D999, MATCH(D2241,RulebookFields!A2:A999, 0)), "")</f>
        <v>Status</v>
      </c>
      <c r="J2241" s="3" t="b">
        <f>_xlfn.IFNA(INDEX(RulebookFields!I2:I999, MATCH(D2241,RulebookFields!A2:A999, 0)), "")</f>
        <v>0</v>
      </c>
      <c r="K2241" s="3" t="b">
        <f>AND(F2241, J2241)</f>
        <v>0</v>
      </c>
      <c r="L2241" s="3" t="b">
        <f>AND(G2241 &lt;&gt; "plain", G2241 &lt;&gt; "")</f>
        <v>0</v>
      </c>
      <c r="M2241" s="3" t="str">
        <f>IF(E2241, C2241 &amp; "|" &amp; H2241, "")</f>
        <v>principal-knowledge-authority|ElicitationSessions</v>
      </c>
      <c r="N2241" s="2" t="s">
        <v>9938</v>
      </c>
    </row>
    <row r="2242">
      <c r="A2242" s="2" t="s">
        <v>12178</v>
      </c>
      <c r="B2242" s="3" t="str">
        <f>C2242 &amp; " -&gt; " &amp; D2242</f>
        <v>principal-knowledge-authority -&gt; ElicitationSessions.EvaluationContext</v>
      </c>
      <c r="C2242" s="2" t="s">
        <v>9708</v>
      </c>
      <c r="D2242" s="2" t="s">
        <v>3140</v>
      </c>
      <c r="E2242" s="2" t="b">
        <v>1</v>
      </c>
      <c r="F2242" s="2" t="b">
        <v>0</v>
      </c>
      <c r="G2242" s="2" t="s">
        <v>9937</v>
      </c>
      <c r="H2242" s="3" t="str">
        <f>_xlfn.IFNA(INDEX(RulebookFields!C2:C999, MATCH(D2242,RulebookFields!A2:A999, 0)), "")</f>
        <v>ElicitationSessions</v>
      </c>
      <c r="I2242" s="3" t="str">
        <f>_xlfn.IFNA(INDEX(RulebookFields!D2:D999, MATCH(D2242,RulebookFields!A2:A999, 0)), "")</f>
        <v>EvaluationContext</v>
      </c>
      <c r="J2242" s="3" t="b">
        <f>_xlfn.IFNA(INDEX(RulebookFields!I2:I999, MATCH(D2242,RulebookFields!A2:A999, 0)), "")</f>
        <v>0</v>
      </c>
      <c r="K2242" s="3" t="b">
        <f>AND(F2242, J2242)</f>
        <v>0</v>
      </c>
      <c r="L2242" s="3" t="b">
        <f>AND(G2242 &lt;&gt; "plain", G2242 &lt;&gt; "")</f>
        <v>0</v>
      </c>
      <c r="M2242" s="3" t="str">
        <f>IF(E2242, C2242 &amp; "|" &amp; H2242, "")</f>
        <v>principal-knowledge-authority|ElicitationSessions</v>
      </c>
      <c r="N2242" s="2" t="s">
        <v>9938</v>
      </c>
    </row>
    <row r="2243">
      <c r="A2243" s="2" t="s">
        <v>12179</v>
      </c>
      <c r="B2243" s="3" t="str">
        <f>C2243 &amp; " -&gt; " &amp; D2243</f>
        <v>principal-knowledge-authority -&gt; ElicitationSessions.AsOfInstant</v>
      </c>
      <c r="C2243" s="2" t="s">
        <v>9708</v>
      </c>
      <c r="D2243" s="2" t="s">
        <v>3141</v>
      </c>
      <c r="E2243" s="2" t="b">
        <v>1</v>
      </c>
      <c r="F2243" s="2" t="b">
        <v>0</v>
      </c>
      <c r="G2243" s="2" t="s">
        <v>9937</v>
      </c>
      <c r="H2243" s="3" t="str">
        <f>_xlfn.IFNA(INDEX(RulebookFields!C2:C999, MATCH(D2243,RulebookFields!A2:A999, 0)), "")</f>
        <v>ElicitationSessions</v>
      </c>
      <c r="I2243" s="3" t="str">
        <f>_xlfn.IFNA(INDEX(RulebookFields!D2:D999, MATCH(D2243,RulebookFields!A2:A999, 0)), "")</f>
        <v>AsOfInstant</v>
      </c>
      <c r="J2243" s="3" t="b">
        <f>_xlfn.IFNA(INDEX(RulebookFields!I2:I999, MATCH(D2243,RulebookFields!A2:A999, 0)), "")</f>
        <v>1</v>
      </c>
      <c r="K2243" s="3" t="b">
        <f>AND(F2243, J2243)</f>
        <v>0</v>
      </c>
      <c r="L2243" s="3" t="b">
        <f>AND(G2243 &lt;&gt; "plain", G2243 &lt;&gt; "")</f>
        <v>0</v>
      </c>
      <c r="M2243" s="3" t="str">
        <f>IF(E2243, C2243 &amp; "|" &amp; H2243, "")</f>
        <v>principal-knowledge-authority|ElicitationSessions</v>
      </c>
      <c r="N2243" s="2" t="s">
        <v>9938</v>
      </c>
    </row>
    <row r="2244">
      <c r="A2244" s="2" t="s">
        <v>12180</v>
      </c>
      <c r="B2244" s="3" t="str">
        <f>C2244 &amp; " -&gt; " &amp; D2244</f>
        <v>principal-knowledge-authority -&gt; ElicitationSessions.DaysSinceElicited</v>
      </c>
      <c r="C2244" s="2" t="s">
        <v>9708</v>
      </c>
      <c r="D2244" s="2" t="s">
        <v>3142</v>
      </c>
      <c r="E2244" s="2" t="b">
        <v>1</v>
      </c>
      <c r="F2244" s="2" t="b">
        <v>0</v>
      </c>
      <c r="G2244" s="2" t="s">
        <v>9937</v>
      </c>
      <c r="H2244" s="3" t="str">
        <f>_xlfn.IFNA(INDEX(RulebookFields!C2:C999, MATCH(D2244,RulebookFields!A2:A999, 0)), "")</f>
        <v>ElicitationSessions</v>
      </c>
      <c r="I2244" s="3" t="str">
        <f>_xlfn.IFNA(INDEX(RulebookFields!D2:D999, MATCH(D2244,RulebookFields!A2:A999, 0)), "")</f>
        <v>DaysSinceElicited</v>
      </c>
      <c r="J2244" s="3" t="b">
        <f>_xlfn.IFNA(INDEX(RulebookFields!I2:I999, MATCH(D2244,RulebookFields!A2:A999, 0)), "")</f>
        <v>1</v>
      </c>
      <c r="K2244" s="3" t="b">
        <f>AND(F2244, J2244)</f>
        <v>0</v>
      </c>
      <c r="L2244" s="3" t="b">
        <f>AND(G2244 &lt;&gt; "plain", G2244 &lt;&gt; "")</f>
        <v>0</v>
      </c>
      <c r="M2244" s="3" t="str">
        <f>IF(E2244, C2244 &amp; "|" &amp; H2244, "")</f>
        <v>principal-knowledge-authority|ElicitationSessions</v>
      </c>
      <c r="N2244" s="2" t="s">
        <v>9938</v>
      </c>
    </row>
    <row r="2245">
      <c r="A2245" s="2" t="s">
        <v>12181</v>
      </c>
      <c r="B2245" s="3" t="str">
        <f>C2245 &amp; " -&gt; " &amp; D2245</f>
        <v>principal-knowledge-authority -&gt; ElicitationSessions.IsSingleWitnessMethod</v>
      </c>
      <c r="C2245" s="2" t="s">
        <v>9708</v>
      </c>
      <c r="D2245" s="2" t="s">
        <v>3144</v>
      </c>
      <c r="E2245" s="2" t="b">
        <v>1</v>
      </c>
      <c r="F2245" s="2" t="b">
        <v>0</v>
      </c>
      <c r="G2245" s="2" t="s">
        <v>9937</v>
      </c>
      <c r="H2245" s="3" t="str">
        <f>_xlfn.IFNA(INDEX(RulebookFields!C2:C999, MATCH(D2245,RulebookFields!A2:A999, 0)), "")</f>
        <v>ElicitationSessions</v>
      </c>
      <c r="I2245" s="3" t="str">
        <f>_xlfn.IFNA(INDEX(RulebookFields!D2:D999, MATCH(D2245,RulebookFields!A2:A999, 0)), "")</f>
        <v>IsSingleWitnessMethod</v>
      </c>
      <c r="J2245" s="3" t="b">
        <f>_xlfn.IFNA(INDEX(RulebookFields!I2:I999, MATCH(D2245,RulebookFields!A2:A999, 0)), "")</f>
        <v>1</v>
      </c>
      <c r="K2245" s="3" t="b">
        <f>AND(F2245, J2245)</f>
        <v>0</v>
      </c>
      <c r="L2245" s="3" t="b">
        <f>AND(G2245 &lt;&gt; "plain", G2245 &lt;&gt; "")</f>
        <v>0</v>
      </c>
      <c r="M2245" s="3" t="str">
        <f>IF(E2245, C2245 &amp; "|" &amp; H2245, "")</f>
        <v>principal-knowledge-authority|ElicitationSessions</v>
      </c>
      <c r="N2245" s="2" t="s">
        <v>9938</v>
      </c>
    </row>
    <row r="2246">
      <c r="A2246" s="2" t="s">
        <v>12182</v>
      </c>
      <c r="B2246" s="3" t="str">
        <f>C2246 &amp; " -&gt; " &amp; D2246</f>
        <v>principal-knowledge-authority -&gt; ElicitationSessions.PractitionerIsStillEngaged</v>
      </c>
      <c r="C2246" s="2" t="s">
        <v>9708</v>
      </c>
      <c r="D2246" s="2" t="s">
        <v>3146</v>
      </c>
      <c r="E2246" s="2" t="b">
        <v>1</v>
      </c>
      <c r="F2246" s="2" t="b">
        <v>0</v>
      </c>
      <c r="G2246" s="2" t="s">
        <v>9937</v>
      </c>
      <c r="H2246" s="3" t="str">
        <f>_xlfn.IFNA(INDEX(RulebookFields!C2:C999, MATCH(D2246,RulebookFields!A2:A999, 0)), "")</f>
        <v>ElicitationSessions</v>
      </c>
      <c r="I2246" s="3" t="str">
        <f>_xlfn.IFNA(INDEX(RulebookFields!D2:D999, MATCH(D2246,RulebookFields!A2:A999, 0)), "")</f>
        <v>PractitionerIsStillEngaged</v>
      </c>
      <c r="J2246" s="3" t="b">
        <f>_xlfn.IFNA(INDEX(RulebookFields!I2:I999, MATCH(D2246,RulebookFields!A2:A999, 0)), "")</f>
        <v>1</v>
      </c>
      <c r="K2246" s="3" t="b">
        <f>AND(F2246, J2246)</f>
        <v>0</v>
      </c>
      <c r="L2246" s="3" t="b">
        <f>AND(G2246 &lt;&gt; "plain", G2246 &lt;&gt; "")</f>
        <v>0</v>
      </c>
      <c r="M2246" s="3" t="str">
        <f>IF(E2246, C2246 &amp; "|" &amp; H2246, "")</f>
        <v>principal-knowledge-authority|ElicitationSessions</v>
      </c>
      <c r="N2246" s="2" t="s">
        <v>9938</v>
      </c>
    </row>
    <row r="2247">
      <c r="A2247" s="2" t="s">
        <v>12183</v>
      </c>
      <c r="B2247" s="3" t="str">
        <f>C2247 &amp; " -&gt; " &amp; D2247</f>
        <v>principal-knowledge-authority -&gt; ElicitationSessions.ValidFragmentsProduced</v>
      </c>
      <c r="C2247" s="2" t="s">
        <v>9708</v>
      </c>
      <c r="D2247" s="2" t="s">
        <v>3148</v>
      </c>
      <c r="E2247" s="2" t="b">
        <v>1</v>
      </c>
      <c r="F2247" s="2" t="b">
        <v>0</v>
      </c>
      <c r="G2247" s="2" t="s">
        <v>9937</v>
      </c>
      <c r="H2247" s="3" t="str">
        <f>_xlfn.IFNA(INDEX(RulebookFields!C2:C999, MATCH(D2247,RulebookFields!A2:A999, 0)), "")</f>
        <v>ElicitationSessions</v>
      </c>
      <c r="I2247" s="3" t="str">
        <f>_xlfn.IFNA(INDEX(RulebookFields!D2:D999, MATCH(D2247,RulebookFields!A2:A999, 0)), "")</f>
        <v>ValidFragmentsProduced</v>
      </c>
      <c r="J2247" s="3" t="b">
        <f>_xlfn.IFNA(INDEX(RulebookFields!I2:I999, MATCH(D2247,RulebookFields!A2:A999, 0)), "")</f>
        <v>1</v>
      </c>
      <c r="K2247" s="3" t="b">
        <f>AND(F2247, J2247)</f>
        <v>0</v>
      </c>
      <c r="L2247" s="3" t="b">
        <f>AND(G2247 &lt;&gt; "plain", G2247 &lt;&gt; "")</f>
        <v>0</v>
      </c>
      <c r="M2247" s="3" t="str">
        <f>IF(E2247, C2247 &amp; "|" &amp; H2247, "")</f>
        <v>principal-knowledge-authority|ElicitationSessions</v>
      </c>
      <c r="N2247" s="2" t="s">
        <v>9938</v>
      </c>
    </row>
    <row r="2248">
      <c r="A2248" s="2" t="s">
        <v>12184</v>
      </c>
      <c r="B2248" s="3" t="str">
        <f>C2248 &amp; " -&gt; " &amp; D2248</f>
        <v>principal-knowledge-authority -&gt; ElicitationSessions.IsHighYieldSession</v>
      </c>
      <c r="C2248" s="2" t="s">
        <v>9708</v>
      </c>
      <c r="D2248" s="2" t="s">
        <v>3150</v>
      </c>
      <c r="E2248" s="2" t="b">
        <v>1</v>
      </c>
      <c r="F2248" s="2" t="b">
        <v>0</v>
      </c>
      <c r="G2248" s="2" t="s">
        <v>9937</v>
      </c>
      <c r="H2248" s="3" t="str">
        <f>_xlfn.IFNA(INDEX(RulebookFields!C2:C999, MATCH(D2248,RulebookFields!A2:A999, 0)), "")</f>
        <v>ElicitationSessions</v>
      </c>
      <c r="I2248" s="3" t="str">
        <f>_xlfn.IFNA(INDEX(RulebookFields!D2:D999, MATCH(D2248,RulebookFields!A2:A999, 0)), "")</f>
        <v>IsHighYieldSession</v>
      </c>
      <c r="J2248" s="3" t="b">
        <f>_xlfn.IFNA(INDEX(RulebookFields!I2:I999, MATCH(D2248,RulebookFields!A2:A999, 0)), "")</f>
        <v>1</v>
      </c>
      <c r="K2248" s="3" t="b">
        <f>AND(F2248, J2248)</f>
        <v>0</v>
      </c>
      <c r="L2248" s="3" t="b">
        <f>AND(G2248 &lt;&gt; "plain", G2248 &lt;&gt; "")</f>
        <v>0</v>
      </c>
      <c r="M2248" s="3" t="str">
        <f>IF(E2248, C2248 &amp; "|" &amp; H2248, "")</f>
        <v>principal-knowledge-authority|ElicitationSessions</v>
      </c>
      <c r="N2248" s="2" t="s">
        <v>9938</v>
      </c>
    </row>
    <row r="2249">
      <c r="A2249" s="2" t="s">
        <v>12185</v>
      </c>
      <c r="B2249" s="3" t="str">
        <f>C2249 &amp; " -&gt; " &amp; D2249</f>
        <v>principal-knowledge-authority -&gt; ElicitationSessions.IsConcentratedSingleWitness</v>
      </c>
      <c r="C2249" s="2" t="s">
        <v>9708</v>
      </c>
      <c r="D2249" s="2" t="s">
        <v>3152</v>
      </c>
      <c r="E2249" s="2" t="b">
        <v>1</v>
      </c>
      <c r="F2249" s="2" t="b">
        <v>0</v>
      </c>
      <c r="G2249" s="2" t="s">
        <v>9937</v>
      </c>
      <c r="H2249" s="3" t="str">
        <f>_xlfn.IFNA(INDEX(RulebookFields!C2:C999, MATCH(D2249,RulebookFields!A2:A999, 0)), "")</f>
        <v>ElicitationSessions</v>
      </c>
      <c r="I2249" s="3" t="str">
        <f>_xlfn.IFNA(INDEX(RulebookFields!D2:D999, MATCH(D2249,RulebookFields!A2:A999, 0)), "")</f>
        <v>IsConcentratedSingleWitness</v>
      </c>
      <c r="J2249" s="3" t="b">
        <f>_xlfn.IFNA(INDEX(RulebookFields!I2:I999, MATCH(D2249,RulebookFields!A2:A999, 0)), "")</f>
        <v>1</v>
      </c>
      <c r="K2249" s="3" t="b">
        <f>AND(F2249, J2249)</f>
        <v>0</v>
      </c>
      <c r="L2249" s="3" t="b">
        <f>AND(G2249 &lt;&gt; "plain", G2249 &lt;&gt; "")</f>
        <v>0</v>
      </c>
      <c r="M2249" s="3" t="str">
        <f>IF(E2249, C2249 &amp; "|" &amp; H2249, "")</f>
        <v>principal-knowledge-authority|ElicitationSessions</v>
      </c>
      <c r="N2249" s="2" t="s">
        <v>9938</v>
      </c>
    </row>
    <row r="2250">
      <c r="A2250" s="2" t="s">
        <v>12186</v>
      </c>
      <c r="B2250" s="3" t="str">
        <f>C2250 &amp; " -&gt; " &amp; D2250</f>
        <v>principal-knowledge-authority -&gt; ElicitationSessions.IsStaleConcentratedWitness</v>
      </c>
      <c r="C2250" s="2" t="s">
        <v>9708</v>
      </c>
      <c r="D2250" s="2" t="s">
        <v>3154</v>
      </c>
      <c r="E2250" s="2" t="b">
        <v>1</v>
      </c>
      <c r="F2250" s="2" t="b">
        <v>0</v>
      </c>
      <c r="G2250" s="2" t="s">
        <v>9937</v>
      </c>
      <c r="H2250" s="3" t="str">
        <f>_xlfn.IFNA(INDEX(RulebookFields!C2:C999, MATCH(D2250,RulebookFields!A2:A999, 0)), "")</f>
        <v>ElicitationSessions</v>
      </c>
      <c r="I2250" s="3" t="str">
        <f>_xlfn.IFNA(INDEX(RulebookFields!D2:D999, MATCH(D2250,RulebookFields!A2:A999, 0)), "")</f>
        <v>IsStaleConcentratedWitness</v>
      </c>
      <c r="J2250" s="3" t="b">
        <f>_xlfn.IFNA(INDEX(RulebookFields!I2:I999, MATCH(D2250,RulebookFields!A2:A999, 0)), "")</f>
        <v>1</v>
      </c>
      <c r="K2250" s="3" t="b">
        <f>AND(F2250, J2250)</f>
        <v>0</v>
      </c>
      <c r="L2250" s="3" t="b">
        <f>AND(G2250 &lt;&gt; "plain", G2250 &lt;&gt; "")</f>
        <v>0</v>
      </c>
      <c r="M2250" s="3" t="str">
        <f>IF(E2250, C2250 &amp; "|" &amp; H2250, "")</f>
        <v>principal-knowledge-authority|ElicitationSessions</v>
      </c>
      <c r="N2250" s="2" t="s">
        <v>9938</v>
      </c>
    </row>
    <row r="2251">
      <c r="A2251" s="2" t="s">
        <v>12187</v>
      </c>
      <c r="B2251" s="3" t="str">
        <f>C2251 &amp; " -&gt; " &amp; D2251</f>
        <v>principal-knowledge-authority -&gt; ElicitationSessions.ConcentratedSessionVersionKey</v>
      </c>
      <c r="C2251" s="2" t="s">
        <v>9708</v>
      </c>
      <c r="D2251" s="2" t="s">
        <v>3156</v>
      </c>
      <c r="E2251" s="2" t="b">
        <v>1</v>
      </c>
      <c r="F2251" s="2" t="b">
        <v>0</v>
      </c>
      <c r="G2251" s="2" t="s">
        <v>9937</v>
      </c>
      <c r="H2251" s="3" t="str">
        <f>_xlfn.IFNA(INDEX(RulebookFields!C2:C999, MATCH(D2251,RulebookFields!A2:A999, 0)), "")</f>
        <v>ElicitationSessions</v>
      </c>
      <c r="I2251" s="3" t="str">
        <f>_xlfn.IFNA(INDEX(RulebookFields!D2:D999, MATCH(D2251,RulebookFields!A2:A999, 0)), "")</f>
        <v>ConcentratedSessionVersionKey</v>
      </c>
      <c r="J2251" s="3" t="b">
        <f>_xlfn.IFNA(INDEX(RulebookFields!I2:I999, MATCH(D2251,RulebookFields!A2:A999, 0)), "")</f>
        <v>1</v>
      </c>
      <c r="K2251" s="3" t="b">
        <f>AND(F2251, J2251)</f>
        <v>0</v>
      </c>
      <c r="L2251" s="3" t="b">
        <f>AND(G2251 &lt;&gt; "plain", G2251 &lt;&gt; "")</f>
        <v>0</v>
      </c>
      <c r="M2251" s="3" t="str">
        <f>IF(E2251, C2251 &amp; "|" &amp; H2251, "")</f>
        <v>principal-knowledge-authority|ElicitationSessions</v>
      </c>
      <c r="N2251" s="2" t="s">
        <v>9938</v>
      </c>
    </row>
    <row r="2252">
      <c r="A2252" s="2" t="s">
        <v>12188</v>
      </c>
      <c r="B2252" s="3" t="str">
        <f>C2252 &amp; " -&gt; " &amp; D2252</f>
        <v>principal-knowledge-authority -&gt; ElicitationSessions.SemanticTypeIri</v>
      </c>
      <c r="C2252" s="2" t="s">
        <v>9708</v>
      </c>
      <c r="D2252" s="2" t="s">
        <v>3158</v>
      </c>
      <c r="E2252" s="2" t="b">
        <v>1</v>
      </c>
      <c r="F2252" s="2" t="b">
        <v>0</v>
      </c>
      <c r="G2252" s="2" t="s">
        <v>9937</v>
      </c>
      <c r="H2252" s="3" t="str">
        <f>_xlfn.IFNA(INDEX(RulebookFields!C2:C999, MATCH(D2252,RulebookFields!A2:A999, 0)), "")</f>
        <v>ElicitationSessions</v>
      </c>
      <c r="I2252" s="3" t="str">
        <f>_xlfn.IFNA(INDEX(RulebookFields!D2:D999, MATCH(D2252,RulebookFields!A2:A999, 0)), "")</f>
        <v>SemanticTypeIri</v>
      </c>
      <c r="J2252" s="3" t="b">
        <f>_xlfn.IFNA(INDEX(RulebookFields!I2:I999, MATCH(D2252,RulebookFields!A2:A999, 0)), "")</f>
        <v>0</v>
      </c>
      <c r="K2252" s="3" t="b">
        <f>AND(F2252, J2252)</f>
        <v>0</v>
      </c>
      <c r="L2252" s="3" t="b">
        <f>AND(G2252 &lt;&gt; "plain", G2252 &lt;&gt; "")</f>
        <v>0</v>
      </c>
      <c r="M2252" s="3" t="str">
        <f>IF(E2252, C2252 &amp; "|" &amp; H2252, "")</f>
        <v>principal-knowledge-authority|ElicitationSessions</v>
      </c>
      <c r="N2252" s="2" t="s">
        <v>9938</v>
      </c>
    </row>
    <row r="2253">
      <c r="A2253" s="2" t="s">
        <v>12189</v>
      </c>
      <c r="B2253" s="3" t="str">
        <f>C2253 &amp; " -&gt; " &amp; D2253</f>
        <v>principal-knowledge-authority -&gt; Errors.ErrorId</v>
      </c>
      <c r="C2253" s="2" t="s">
        <v>9708</v>
      </c>
      <c r="D2253" s="2" t="s">
        <v>3787</v>
      </c>
      <c r="E2253" s="2" t="b">
        <v>1</v>
      </c>
      <c r="F2253" s="2" t="b">
        <v>0</v>
      </c>
      <c r="G2253" s="2" t="s">
        <v>9937</v>
      </c>
      <c r="H2253" s="3" t="str">
        <f>_xlfn.IFNA(INDEX(RulebookFields!C2:C999, MATCH(D2253,RulebookFields!A2:A999, 0)), "")</f>
        <v>Errors</v>
      </c>
      <c r="I2253" s="3" t="str">
        <f>_xlfn.IFNA(INDEX(RulebookFields!D2:D999, MATCH(D2253,RulebookFields!A2:A999, 0)), "")</f>
        <v>ErrorId</v>
      </c>
      <c r="J2253" s="3" t="b">
        <f>_xlfn.IFNA(INDEX(RulebookFields!I2:I999, MATCH(D2253,RulebookFields!A2:A999, 0)), "")</f>
        <v>0</v>
      </c>
      <c r="K2253" s="3" t="b">
        <f>AND(F2253, J2253)</f>
        <v>0</v>
      </c>
      <c r="L2253" s="3" t="b">
        <f>AND(G2253 &lt;&gt; "plain", G2253 &lt;&gt; "")</f>
        <v>0</v>
      </c>
      <c r="M2253" s="3" t="str">
        <f>IF(E2253, C2253 &amp; "|" &amp; H2253, "")</f>
        <v>principal-knowledge-authority|Errors</v>
      </c>
      <c r="N2253" s="2" t="s">
        <v>9938</v>
      </c>
    </row>
    <row r="2254">
      <c r="A2254" s="2" t="s">
        <v>12190</v>
      </c>
      <c r="B2254" s="3" t="str">
        <f>C2254 &amp; " -&gt; " &amp; D2254</f>
        <v>principal-knowledge-authority -&gt; Errors.Name</v>
      </c>
      <c r="C2254" s="2" t="s">
        <v>9708</v>
      </c>
      <c r="D2254" s="2" t="s">
        <v>3788</v>
      </c>
      <c r="E2254" s="2" t="b">
        <v>1</v>
      </c>
      <c r="F2254" s="2" t="b">
        <v>0</v>
      </c>
      <c r="G2254" s="2" t="s">
        <v>9937</v>
      </c>
      <c r="H2254" s="3" t="str">
        <f>_xlfn.IFNA(INDEX(RulebookFields!C2:C999, MATCH(D2254,RulebookFields!A2:A999, 0)), "")</f>
        <v>Errors</v>
      </c>
      <c r="I2254" s="3" t="str">
        <f>_xlfn.IFNA(INDEX(RulebookFields!D2:D999, MATCH(D2254,RulebookFields!A2:A999, 0)), "")</f>
        <v>Name</v>
      </c>
      <c r="J2254" s="3" t="b">
        <f>_xlfn.IFNA(INDEX(RulebookFields!I2:I999, MATCH(D2254,RulebookFields!A2:A999, 0)), "")</f>
        <v>1</v>
      </c>
      <c r="K2254" s="3" t="b">
        <f>AND(F2254, J2254)</f>
        <v>0</v>
      </c>
      <c r="L2254" s="3" t="b">
        <f>AND(G2254 &lt;&gt; "plain", G2254 &lt;&gt; "")</f>
        <v>0</v>
      </c>
      <c r="M2254" s="3" t="str">
        <f>IF(E2254, C2254 &amp; "|" &amp; H2254, "")</f>
        <v>principal-knowledge-authority|Errors</v>
      </c>
      <c r="N2254" s="2" t="s">
        <v>9938</v>
      </c>
    </row>
    <row r="2255">
      <c r="A2255" s="2" t="s">
        <v>12191</v>
      </c>
      <c r="B2255" s="3" t="str">
        <f>C2255 &amp; " -&gt; " &amp; D2255</f>
        <v>principal-knowledge-authority -&gt; Errors.Label</v>
      </c>
      <c r="C2255" s="2" t="s">
        <v>9708</v>
      </c>
      <c r="D2255" s="2" t="s">
        <v>3790</v>
      </c>
      <c r="E2255" s="2" t="b">
        <v>1</v>
      </c>
      <c r="F2255" s="2" t="b">
        <v>0</v>
      </c>
      <c r="G2255" s="2" t="s">
        <v>9937</v>
      </c>
      <c r="H2255" s="3" t="str">
        <f>_xlfn.IFNA(INDEX(RulebookFields!C2:C999, MATCH(D2255,RulebookFields!A2:A999, 0)), "")</f>
        <v>Errors</v>
      </c>
      <c r="I2255" s="3" t="str">
        <f>_xlfn.IFNA(INDEX(RulebookFields!D2:D999, MATCH(D2255,RulebookFields!A2:A999, 0)), "")</f>
        <v>Label</v>
      </c>
      <c r="J2255" s="3" t="b">
        <f>_xlfn.IFNA(INDEX(RulebookFields!I2:I999, MATCH(D2255,RulebookFields!A2:A999, 0)), "")</f>
        <v>0</v>
      </c>
      <c r="K2255" s="3" t="b">
        <f>AND(F2255, J2255)</f>
        <v>0</v>
      </c>
      <c r="L2255" s="3" t="b">
        <f>AND(G2255 &lt;&gt; "plain", G2255 &lt;&gt; "")</f>
        <v>0</v>
      </c>
      <c r="M2255" s="3" t="str">
        <f>IF(E2255, C2255 &amp; "|" &amp; H2255, "")</f>
        <v>principal-knowledge-authority|Errors</v>
      </c>
      <c r="N2255" s="2" t="s">
        <v>9938</v>
      </c>
    </row>
    <row r="2256">
      <c r="A2256" s="2" t="s">
        <v>12192</v>
      </c>
      <c r="B2256" s="3" t="str">
        <f>C2256 &amp; " -&gt; " &amp; D2256</f>
        <v>principal-knowledge-authority -&gt; Errors.ErrorCode</v>
      </c>
      <c r="C2256" s="2" t="s">
        <v>9708</v>
      </c>
      <c r="D2256" s="2" t="s">
        <v>3791</v>
      </c>
      <c r="E2256" s="2" t="b">
        <v>1</v>
      </c>
      <c r="F2256" s="2" t="b">
        <v>0</v>
      </c>
      <c r="G2256" s="2" t="s">
        <v>9937</v>
      </c>
      <c r="H2256" s="3" t="str">
        <f>_xlfn.IFNA(INDEX(RulebookFields!C2:C999, MATCH(D2256,RulebookFields!A2:A999, 0)), "")</f>
        <v>Errors</v>
      </c>
      <c r="I2256" s="3" t="str">
        <f>_xlfn.IFNA(INDEX(RulebookFields!D2:D999, MATCH(D2256,RulebookFields!A2:A999, 0)), "")</f>
        <v>ErrorCode</v>
      </c>
      <c r="J2256" s="3" t="b">
        <f>_xlfn.IFNA(INDEX(RulebookFields!I2:I999, MATCH(D2256,RulebookFields!A2:A999, 0)), "")</f>
        <v>0</v>
      </c>
      <c r="K2256" s="3" t="b">
        <f>AND(F2256, J2256)</f>
        <v>0</v>
      </c>
      <c r="L2256" s="3" t="b">
        <f>AND(G2256 &lt;&gt; "plain", G2256 &lt;&gt; "")</f>
        <v>0</v>
      </c>
      <c r="M2256" s="3" t="str">
        <f>IF(E2256, C2256 &amp; "|" &amp; H2256, "")</f>
        <v>principal-knowledge-authority|Errors</v>
      </c>
      <c r="N2256" s="2" t="s">
        <v>9938</v>
      </c>
    </row>
    <row r="2257">
      <c r="A2257" s="2" t="s">
        <v>12193</v>
      </c>
      <c r="B2257" s="3" t="str">
        <f>C2257 &amp; " -&gt; " &amp; D2257</f>
        <v>principal-knowledge-authority -&gt; Errors.ErrorCause</v>
      </c>
      <c r="C2257" s="2" t="s">
        <v>9708</v>
      </c>
      <c r="D2257" s="2" t="s">
        <v>3792</v>
      </c>
      <c r="E2257" s="2" t="b">
        <v>1</v>
      </c>
      <c r="F2257" s="2" t="b">
        <v>0</v>
      </c>
      <c r="G2257" s="2" t="s">
        <v>9937</v>
      </c>
      <c r="H2257" s="3" t="str">
        <f>_xlfn.IFNA(INDEX(RulebookFields!C2:C999, MATCH(D2257,RulebookFields!A2:A999, 0)), "")</f>
        <v>Errors</v>
      </c>
      <c r="I2257" s="3" t="str">
        <f>_xlfn.IFNA(INDEX(RulebookFields!D2:D999, MATCH(D2257,RulebookFields!A2:A999, 0)), "")</f>
        <v>ErrorCause</v>
      </c>
      <c r="J2257" s="3" t="b">
        <f>_xlfn.IFNA(INDEX(RulebookFields!I2:I999, MATCH(D2257,RulebookFields!A2:A999, 0)), "")</f>
        <v>0</v>
      </c>
      <c r="K2257" s="3" t="b">
        <f>AND(F2257, J2257)</f>
        <v>0</v>
      </c>
      <c r="L2257" s="3" t="b">
        <f>AND(G2257 &lt;&gt; "plain", G2257 &lt;&gt; "")</f>
        <v>0</v>
      </c>
      <c r="M2257" s="3" t="str">
        <f>IF(E2257, C2257 &amp; "|" &amp; H2257, "")</f>
        <v>principal-knowledge-authority|Errors</v>
      </c>
      <c r="N2257" s="2" t="s">
        <v>9938</v>
      </c>
    </row>
    <row r="2258">
      <c r="A2258" s="2" t="s">
        <v>12194</v>
      </c>
      <c r="B2258" s="3" t="str">
        <f>C2258 &amp; " -&gt; " &amp; D2258</f>
        <v>principal-knowledge-authority -&gt; Errors.SemanticTypeIri</v>
      </c>
      <c r="C2258" s="2" t="s">
        <v>9708</v>
      </c>
      <c r="D2258" s="2" t="s">
        <v>3793</v>
      </c>
      <c r="E2258" s="2" t="b">
        <v>1</v>
      </c>
      <c r="F2258" s="2" t="b">
        <v>0</v>
      </c>
      <c r="G2258" s="2" t="s">
        <v>9937</v>
      </c>
      <c r="H2258" s="3" t="str">
        <f>_xlfn.IFNA(INDEX(RulebookFields!C2:C999, MATCH(D2258,RulebookFields!A2:A999, 0)), "")</f>
        <v>Errors</v>
      </c>
      <c r="I2258" s="3" t="str">
        <f>_xlfn.IFNA(INDEX(RulebookFields!D2:D999, MATCH(D2258,RulebookFields!A2:A999, 0)), "")</f>
        <v>SemanticTypeIri</v>
      </c>
      <c r="J2258" s="3" t="b">
        <f>_xlfn.IFNA(INDEX(RulebookFields!I2:I999, MATCH(D2258,RulebookFields!A2:A999, 0)), "")</f>
        <v>0</v>
      </c>
      <c r="K2258" s="3" t="b">
        <f>AND(F2258, J2258)</f>
        <v>0</v>
      </c>
      <c r="L2258" s="3" t="b">
        <f>AND(G2258 &lt;&gt; "plain", G2258 &lt;&gt; "")</f>
        <v>0</v>
      </c>
      <c r="M2258" s="3" t="str">
        <f>IF(E2258, C2258 &amp; "|" &amp; H2258, "")</f>
        <v>principal-knowledge-authority|Errors</v>
      </c>
      <c r="N2258" s="2" t="s">
        <v>9938</v>
      </c>
    </row>
    <row r="2259">
      <c r="A2259" s="2" t="s">
        <v>12195</v>
      </c>
      <c r="B2259" s="3" t="str">
        <f>C2259 &amp; " -&gt; " &amp; D2259</f>
        <v>principal-knowledge-authority -&gt; EvaluationContexts.EvaluationContextId</v>
      </c>
      <c r="C2259" s="2" t="s">
        <v>9708</v>
      </c>
      <c r="D2259" s="2" t="s">
        <v>2412</v>
      </c>
      <c r="E2259" s="2" t="b">
        <v>1</v>
      </c>
      <c r="F2259" s="2" t="b">
        <v>0</v>
      </c>
      <c r="G2259" s="2" t="s">
        <v>9937</v>
      </c>
      <c r="H2259" s="3" t="str">
        <f>_xlfn.IFNA(INDEX(RulebookFields!C2:C999, MATCH(D2259,RulebookFields!A2:A999, 0)), "")</f>
        <v>EvaluationContexts</v>
      </c>
      <c r="I2259" s="3" t="str">
        <f>_xlfn.IFNA(INDEX(RulebookFields!D2:D999, MATCH(D2259,RulebookFields!A2:A999, 0)), "")</f>
        <v>EvaluationContextId</v>
      </c>
      <c r="J2259" s="3" t="b">
        <f>_xlfn.IFNA(INDEX(RulebookFields!I2:I999, MATCH(D2259,RulebookFields!A2:A999, 0)), "")</f>
        <v>0</v>
      </c>
      <c r="K2259" s="3" t="b">
        <f>AND(F2259, J2259)</f>
        <v>0</v>
      </c>
      <c r="L2259" s="3" t="b">
        <f>AND(G2259 &lt;&gt; "plain", G2259 &lt;&gt; "")</f>
        <v>0</v>
      </c>
      <c r="M2259" s="3" t="str">
        <f>IF(E2259, C2259 &amp; "|" &amp; H2259, "")</f>
        <v>principal-knowledge-authority|EvaluationContexts</v>
      </c>
      <c r="N2259" s="2" t="s">
        <v>9938</v>
      </c>
    </row>
    <row r="2260">
      <c r="A2260" s="2" t="s">
        <v>12196</v>
      </c>
      <c r="B2260" s="3" t="str">
        <f>C2260 &amp; " -&gt; " &amp; D2260</f>
        <v>principal-knowledge-authority -&gt; EvaluationContexts.Name</v>
      </c>
      <c r="C2260" s="2" t="s">
        <v>9708</v>
      </c>
      <c r="D2260" s="2" t="s">
        <v>2414</v>
      </c>
      <c r="E2260" s="2" t="b">
        <v>1</v>
      </c>
      <c r="F2260" s="2" t="b">
        <v>0</v>
      </c>
      <c r="G2260" s="2" t="s">
        <v>9937</v>
      </c>
      <c r="H2260" s="3" t="str">
        <f>_xlfn.IFNA(INDEX(RulebookFields!C2:C999, MATCH(D2260,RulebookFields!A2:A999, 0)), "")</f>
        <v>EvaluationContexts</v>
      </c>
      <c r="I2260" s="3" t="str">
        <f>_xlfn.IFNA(INDEX(RulebookFields!D2:D999, MATCH(D2260,RulebookFields!A2:A999, 0)), "")</f>
        <v>Name</v>
      </c>
      <c r="J2260" s="3" t="b">
        <f>_xlfn.IFNA(INDEX(RulebookFields!I2:I999, MATCH(D2260,RulebookFields!A2:A999, 0)), "")</f>
        <v>1</v>
      </c>
      <c r="K2260" s="3" t="b">
        <f>AND(F2260, J2260)</f>
        <v>0</v>
      </c>
      <c r="L2260" s="3" t="b">
        <f>AND(G2260 &lt;&gt; "plain", G2260 &lt;&gt; "")</f>
        <v>0</v>
      </c>
      <c r="M2260" s="3" t="str">
        <f>IF(E2260, C2260 &amp; "|" &amp; H2260, "")</f>
        <v>principal-knowledge-authority|EvaluationContexts</v>
      </c>
      <c r="N2260" s="2" t="s">
        <v>9938</v>
      </c>
    </row>
    <row r="2261">
      <c r="A2261" s="2" t="s">
        <v>12197</v>
      </c>
      <c r="B2261" s="3" t="str">
        <f>C2261 &amp; " -&gt; " &amp; D2261</f>
        <v>principal-knowledge-authority -&gt; EvaluationContexts.Label</v>
      </c>
      <c r="C2261" s="2" t="s">
        <v>9708</v>
      </c>
      <c r="D2261" s="2" t="s">
        <v>2416</v>
      </c>
      <c r="E2261" s="2" t="b">
        <v>1</v>
      </c>
      <c r="F2261" s="2" t="b">
        <v>0</v>
      </c>
      <c r="G2261" s="2" t="s">
        <v>9937</v>
      </c>
      <c r="H2261" s="3" t="str">
        <f>_xlfn.IFNA(INDEX(RulebookFields!C2:C999, MATCH(D2261,RulebookFields!A2:A999, 0)), "")</f>
        <v>EvaluationContexts</v>
      </c>
      <c r="I2261" s="3" t="str">
        <f>_xlfn.IFNA(INDEX(RulebookFields!D2:D999, MATCH(D2261,RulebookFields!A2:A999, 0)), "")</f>
        <v>Label</v>
      </c>
      <c r="J2261" s="3" t="b">
        <f>_xlfn.IFNA(INDEX(RulebookFields!I2:I999, MATCH(D2261,RulebookFields!A2:A999, 0)), "")</f>
        <v>0</v>
      </c>
      <c r="K2261" s="3" t="b">
        <f>AND(F2261, J2261)</f>
        <v>0</v>
      </c>
      <c r="L2261" s="3" t="b">
        <f>AND(G2261 &lt;&gt; "plain", G2261 &lt;&gt; "")</f>
        <v>0</v>
      </c>
      <c r="M2261" s="3" t="str">
        <f>IF(E2261, C2261 &amp; "|" &amp; H2261, "")</f>
        <v>principal-knowledge-authority|EvaluationContexts</v>
      </c>
      <c r="N2261" s="2" t="s">
        <v>9938</v>
      </c>
    </row>
    <row r="2262">
      <c r="A2262" s="2" t="s">
        <v>12198</v>
      </c>
      <c r="B2262" s="3" t="str">
        <f>C2262 &amp; " -&gt; " &amp; D2262</f>
        <v>principal-knowledge-authority -&gt; EvaluationContexts.AsOfInstant</v>
      </c>
      <c r="C2262" s="2" t="s">
        <v>9708</v>
      </c>
      <c r="D2262" s="2" t="s">
        <v>2417</v>
      </c>
      <c r="E2262" s="2" t="b">
        <v>1</v>
      </c>
      <c r="F2262" s="2" t="b">
        <v>0</v>
      </c>
      <c r="G2262" s="2" t="s">
        <v>9937</v>
      </c>
      <c r="H2262" s="3" t="str">
        <f>_xlfn.IFNA(INDEX(RulebookFields!C2:C999, MATCH(D2262,RulebookFields!A2:A999, 0)), "")</f>
        <v>EvaluationContexts</v>
      </c>
      <c r="I2262" s="3" t="str">
        <f>_xlfn.IFNA(INDEX(RulebookFields!D2:D999, MATCH(D2262,RulebookFields!A2:A999, 0)), "")</f>
        <v>AsOfInstant</v>
      </c>
      <c r="J2262" s="3" t="b">
        <f>_xlfn.IFNA(INDEX(RulebookFields!I2:I999, MATCH(D2262,RulebookFields!A2:A999, 0)), "")</f>
        <v>0</v>
      </c>
      <c r="K2262" s="3" t="b">
        <f>AND(F2262, J2262)</f>
        <v>0</v>
      </c>
      <c r="L2262" s="3" t="b">
        <f>AND(G2262 &lt;&gt; "plain", G2262 &lt;&gt; "")</f>
        <v>0</v>
      </c>
      <c r="M2262" s="3" t="str">
        <f>IF(E2262, C2262 &amp; "|" &amp; H2262, "")</f>
        <v>principal-knowledge-authority|EvaluationContexts</v>
      </c>
      <c r="N2262" s="2" t="s">
        <v>9938</v>
      </c>
    </row>
    <row r="2263">
      <c r="A2263" s="2" t="s">
        <v>12199</v>
      </c>
      <c r="B2263" s="3" t="str">
        <f>C2263 &amp; " -&gt; " &amp; D2263</f>
        <v>principal-knowledge-authority -&gt; EvaluationContexts.IsCurrent</v>
      </c>
      <c r="C2263" s="2" t="s">
        <v>9708</v>
      </c>
      <c r="D2263" s="2" t="s">
        <v>2418</v>
      </c>
      <c r="E2263" s="2" t="b">
        <v>1</v>
      </c>
      <c r="F2263" s="2" t="b">
        <v>0</v>
      </c>
      <c r="G2263" s="2" t="s">
        <v>9937</v>
      </c>
      <c r="H2263" s="3" t="str">
        <f>_xlfn.IFNA(INDEX(RulebookFields!C2:C999, MATCH(D2263,RulebookFields!A2:A999, 0)), "")</f>
        <v>EvaluationContexts</v>
      </c>
      <c r="I2263" s="3" t="str">
        <f>_xlfn.IFNA(INDEX(RulebookFields!D2:D999, MATCH(D2263,RulebookFields!A2:A999, 0)), "")</f>
        <v>IsCurrent</v>
      </c>
      <c r="J2263" s="3" t="b">
        <f>_xlfn.IFNA(INDEX(RulebookFields!I2:I999, MATCH(D2263,RulebookFields!A2:A999, 0)), "")</f>
        <v>0</v>
      </c>
      <c r="K2263" s="3" t="b">
        <f>AND(F2263, J2263)</f>
        <v>0</v>
      </c>
      <c r="L2263" s="3" t="b">
        <f>AND(G2263 &lt;&gt; "plain", G2263 &lt;&gt; "")</f>
        <v>0</v>
      </c>
      <c r="M2263" s="3" t="str">
        <f>IF(E2263, C2263 &amp; "|" &amp; H2263, "")</f>
        <v>principal-knowledge-authority|EvaluationContexts</v>
      </c>
      <c r="N2263" s="2" t="s">
        <v>9938</v>
      </c>
    </row>
    <row r="2264">
      <c r="A2264" s="2" t="s">
        <v>12200</v>
      </c>
      <c r="B2264" s="3" t="str">
        <f>C2264 &amp; " -&gt; " &amp; D2264</f>
        <v>principal-knowledge-authority -&gt; EvaluationContexts.Rationale</v>
      </c>
      <c r="C2264" s="2" t="s">
        <v>9708</v>
      </c>
      <c r="D2264" s="2" t="s">
        <v>2419</v>
      </c>
      <c r="E2264" s="2" t="b">
        <v>1</v>
      </c>
      <c r="F2264" s="2" t="b">
        <v>0</v>
      </c>
      <c r="G2264" s="2" t="s">
        <v>9937</v>
      </c>
      <c r="H2264" s="3" t="str">
        <f>_xlfn.IFNA(INDEX(RulebookFields!C2:C999, MATCH(D2264,RulebookFields!A2:A999, 0)), "")</f>
        <v>EvaluationContexts</v>
      </c>
      <c r="I2264" s="3" t="str">
        <f>_xlfn.IFNA(INDEX(RulebookFields!D2:D999, MATCH(D2264,RulebookFields!A2:A999, 0)), "")</f>
        <v>Rationale</v>
      </c>
      <c r="J2264" s="3" t="b">
        <f>_xlfn.IFNA(INDEX(RulebookFields!I2:I999, MATCH(D2264,RulebookFields!A2:A999, 0)), "")</f>
        <v>0</v>
      </c>
      <c r="K2264" s="3" t="b">
        <f>AND(F2264, J2264)</f>
        <v>0</v>
      </c>
      <c r="L2264" s="3" t="b">
        <f>AND(G2264 &lt;&gt; "plain", G2264 &lt;&gt; "")</f>
        <v>0</v>
      </c>
      <c r="M2264" s="3" t="str">
        <f>IF(E2264, C2264 &amp; "|" &amp; H2264, "")</f>
        <v>principal-knowledge-authority|EvaluationContexts</v>
      </c>
      <c r="N2264" s="2" t="s">
        <v>9938</v>
      </c>
    </row>
    <row r="2265">
      <c r="A2265" s="2" t="s">
        <v>12201</v>
      </c>
      <c r="B2265" s="3" t="str">
        <f>C2265 &amp; " -&gt; " &amp; D2265</f>
        <v>principal-knowledge-authority -&gt; EvaluationContexts.SemanticTypeIri</v>
      </c>
      <c r="C2265" s="2" t="s">
        <v>9708</v>
      </c>
      <c r="D2265" s="2" t="s">
        <v>2420</v>
      </c>
      <c r="E2265" s="2" t="b">
        <v>1</v>
      </c>
      <c r="F2265" s="2" t="b">
        <v>0</v>
      </c>
      <c r="G2265" s="2" t="s">
        <v>9937</v>
      </c>
      <c r="H2265" s="3" t="str">
        <f>_xlfn.IFNA(INDEX(RulebookFields!C2:C999, MATCH(D2265,RulebookFields!A2:A999, 0)), "")</f>
        <v>EvaluationContexts</v>
      </c>
      <c r="I2265" s="3" t="str">
        <f>_xlfn.IFNA(INDEX(RulebookFields!D2:D999, MATCH(D2265,RulebookFields!A2:A999, 0)), "")</f>
        <v>SemanticTypeIri</v>
      </c>
      <c r="J2265" s="3" t="b">
        <f>_xlfn.IFNA(INDEX(RulebookFields!I2:I999, MATCH(D2265,RulebookFields!A2:A999, 0)), "")</f>
        <v>0</v>
      </c>
      <c r="K2265" s="3" t="b">
        <f>AND(F2265, J2265)</f>
        <v>0</v>
      </c>
      <c r="L2265" s="3" t="b">
        <f>AND(G2265 &lt;&gt; "plain", G2265 &lt;&gt; "")</f>
        <v>0</v>
      </c>
      <c r="M2265" s="3" t="str">
        <f>IF(E2265, C2265 &amp; "|" &amp; H2265, "")</f>
        <v>principal-knowledge-authority|EvaluationContexts</v>
      </c>
      <c r="N2265" s="2" t="s">
        <v>9938</v>
      </c>
    </row>
    <row r="2266">
      <c r="A2266" s="2" t="s">
        <v>12202</v>
      </c>
      <c r="B2266" s="3" t="str">
        <f>C2266 &amp; " -&gt; " &amp; D2266</f>
        <v>principal-knowledge-authority -&gt; ExceptionInvocations.ExceptionInvocationId</v>
      </c>
      <c r="C2266" s="2" t="s">
        <v>9708</v>
      </c>
      <c r="D2266" s="2" t="s">
        <v>4220</v>
      </c>
      <c r="E2266" s="2" t="b">
        <v>1</v>
      </c>
      <c r="F2266" s="2" t="b">
        <v>0</v>
      </c>
      <c r="G2266" s="2" t="s">
        <v>9937</v>
      </c>
      <c r="H2266" s="3" t="str">
        <f>_xlfn.IFNA(INDEX(RulebookFields!C2:C999, MATCH(D2266,RulebookFields!A2:A999, 0)), "")</f>
      </c>
      <c r="I2266" s="3" t="str">
        <f>_xlfn.IFNA(INDEX(RulebookFields!D2:D999, MATCH(D2266,RulebookFields!A2:A999, 0)), "")</f>
      </c>
      <c r="J2266" s="3" t="str">
        <f>_xlfn.IFNA(INDEX(RulebookFields!I2:I999, MATCH(D2266,RulebookFields!A2:A999, 0)), "")</f>
      </c>
      <c r="K2266" s="3" t="b">
        <f>AND(F2266, J2266)</f>
        <v>0</v>
      </c>
      <c r="L2266" s="3" t="b">
        <f>AND(G2266 &lt;&gt; "plain", G2266 &lt;&gt; "")</f>
        <v>0</v>
      </c>
      <c r="M2266" s="3" t="str">
        <f>IF(E2266, C2266 &amp; "|" &amp; H2266, "")</f>
        <v>principal-knowledge-authority|</v>
      </c>
      <c r="N2266" s="2" t="s">
        <v>9938</v>
      </c>
    </row>
    <row r="2267">
      <c r="A2267" s="2" t="s">
        <v>12203</v>
      </c>
      <c r="B2267" s="3" t="str">
        <f>C2267 &amp; " -&gt; " &amp; D2267</f>
        <v>principal-knowledge-authority -&gt; ExceptionInvocations.Name</v>
      </c>
      <c r="C2267" s="2" t="s">
        <v>9708</v>
      </c>
      <c r="D2267" s="2" t="s">
        <v>4223</v>
      </c>
      <c r="E2267" s="2" t="b">
        <v>1</v>
      </c>
      <c r="F2267" s="2" t="b">
        <v>0</v>
      </c>
      <c r="G2267" s="2" t="s">
        <v>9937</v>
      </c>
      <c r="H2267" s="3" t="str">
        <f>_xlfn.IFNA(INDEX(RulebookFields!C2:C999, MATCH(D2267,RulebookFields!A2:A999, 0)), "")</f>
      </c>
      <c r="I2267" s="3" t="str">
        <f>_xlfn.IFNA(INDEX(RulebookFields!D2:D999, MATCH(D2267,RulebookFields!A2:A999, 0)), "")</f>
      </c>
      <c r="J2267" s="3" t="str">
        <f>_xlfn.IFNA(INDEX(RulebookFields!I2:I999, MATCH(D2267,RulebookFields!A2:A999, 0)), "")</f>
      </c>
      <c r="K2267" s="3" t="b">
        <f>AND(F2267, J2267)</f>
        <v>0</v>
      </c>
      <c r="L2267" s="3" t="b">
        <f>AND(G2267 &lt;&gt; "plain", G2267 &lt;&gt; "")</f>
        <v>0</v>
      </c>
      <c r="M2267" s="3" t="str">
        <f>IF(E2267, C2267 &amp; "|" &amp; H2267, "")</f>
        <v>principal-knowledge-authority|</v>
      </c>
      <c r="N2267" s="2" t="s">
        <v>9938</v>
      </c>
    </row>
    <row r="2268">
      <c r="A2268" s="2" t="s">
        <v>12204</v>
      </c>
      <c r="B2268" s="3" t="str">
        <f>C2268 &amp; " -&gt; " &amp; D2268</f>
        <v>principal-knowledge-authority -&gt; ExceptionInvocations.StepExecution</v>
      </c>
      <c r="C2268" s="2" t="s">
        <v>9708</v>
      </c>
      <c r="D2268" s="2" t="s">
        <v>4225</v>
      </c>
      <c r="E2268" s="2" t="b">
        <v>1</v>
      </c>
      <c r="F2268" s="2" t="b">
        <v>0</v>
      </c>
      <c r="G2268" s="2" t="s">
        <v>9937</v>
      </c>
      <c r="H2268" s="3" t="str">
        <f>_xlfn.IFNA(INDEX(RulebookFields!C2:C999, MATCH(D2268,RulebookFields!A2:A999, 0)), "")</f>
      </c>
      <c r="I2268" s="3" t="str">
        <f>_xlfn.IFNA(INDEX(RulebookFields!D2:D999, MATCH(D2268,RulebookFields!A2:A999, 0)), "")</f>
      </c>
      <c r="J2268" s="3" t="str">
        <f>_xlfn.IFNA(INDEX(RulebookFields!I2:I999, MATCH(D2268,RulebookFields!A2:A999, 0)), "")</f>
      </c>
      <c r="K2268" s="3" t="b">
        <f>AND(F2268, J2268)</f>
        <v>0</v>
      </c>
      <c r="L2268" s="3" t="b">
        <f>AND(G2268 &lt;&gt; "plain", G2268 &lt;&gt; "")</f>
        <v>0</v>
      </c>
      <c r="M2268" s="3" t="str">
        <f>IF(E2268, C2268 &amp; "|" &amp; H2268, "")</f>
        <v>principal-knowledge-authority|</v>
      </c>
      <c r="N2268" s="2" t="s">
        <v>9938</v>
      </c>
    </row>
    <row r="2269">
      <c r="A2269" s="2" t="s">
        <v>12205</v>
      </c>
      <c r="B2269" s="3" t="str">
        <f>C2269 &amp; " -&gt; " &amp; D2269</f>
        <v>principal-knowledge-authority -&gt; ExceptionInvocations.Exception</v>
      </c>
      <c r="C2269" s="2" t="s">
        <v>9708</v>
      </c>
      <c r="D2269" s="2" t="s">
        <v>4226</v>
      </c>
      <c r="E2269" s="2" t="b">
        <v>1</v>
      </c>
      <c r="F2269" s="2" t="b">
        <v>0</v>
      </c>
      <c r="G2269" s="2" t="s">
        <v>9937</v>
      </c>
      <c r="H2269" s="3" t="str">
        <f>_xlfn.IFNA(INDEX(RulebookFields!C2:C999, MATCH(D2269,RulebookFields!A2:A999, 0)), "")</f>
      </c>
      <c r="I2269" s="3" t="str">
        <f>_xlfn.IFNA(INDEX(RulebookFields!D2:D999, MATCH(D2269,RulebookFields!A2:A999, 0)), "")</f>
      </c>
      <c r="J2269" s="3" t="str">
        <f>_xlfn.IFNA(INDEX(RulebookFields!I2:I999, MATCH(D2269,RulebookFields!A2:A999, 0)), "")</f>
      </c>
      <c r="K2269" s="3" t="b">
        <f>AND(F2269, J2269)</f>
        <v>0</v>
      </c>
      <c r="L2269" s="3" t="b">
        <f>AND(G2269 &lt;&gt; "plain", G2269 &lt;&gt; "")</f>
        <v>0</v>
      </c>
      <c r="M2269" s="3" t="str">
        <f>IF(E2269, C2269 &amp; "|" &amp; H2269, "")</f>
        <v>principal-knowledge-authority|</v>
      </c>
      <c r="N2269" s="2" t="s">
        <v>9938</v>
      </c>
    </row>
    <row r="2270">
      <c r="A2270" s="2" t="s">
        <v>12206</v>
      </c>
      <c r="B2270" s="3" t="str">
        <f>C2270 &amp; " -&gt; " &amp; D2270</f>
        <v>principal-knowledge-authority -&gt; ExceptionInvocations.InvokedByAgent</v>
      </c>
      <c r="C2270" s="2" t="s">
        <v>9708</v>
      </c>
      <c r="D2270" s="2" t="s">
        <v>4228</v>
      </c>
      <c r="E2270" s="2" t="b">
        <v>1</v>
      </c>
      <c r="F2270" s="2" t="b">
        <v>0</v>
      </c>
      <c r="G2270" s="2" t="s">
        <v>9937</v>
      </c>
      <c r="H2270" s="3" t="str">
        <f>_xlfn.IFNA(INDEX(RulebookFields!C2:C999, MATCH(D2270,RulebookFields!A2:A999, 0)), "")</f>
      </c>
      <c r="I2270" s="3" t="str">
        <f>_xlfn.IFNA(INDEX(RulebookFields!D2:D999, MATCH(D2270,RulebookFields!A2:A999, 0)), "")</f>
      </c>
      <c r="J2270" s="3" t="str">
        <f>_xlfn.IFNA(INDEX(RulebookFields!I2:I999, MATCH(D2270,RulebookFields!A2:A999, 0)), "")</f>
      </c>
      <c r="K2270" s="3" t="b">
        <f>AND(F2270, J2270)</f>
        <v>0</v>
      </c>
      <c r="L2270" s="3" t="b">
        <f>AND(G2270 &lt;&gt; "plain", G2270 &lt;&gt; "")</f>
        <v>0</v>
      </c>
      <c r="M2270" s="3" t="str">
        <f>IF(E2270, C2270 &amp; "|" &amp; H2270, "")</f>
        <v>principal-knowledge-authority|</v>
      </c>
      <c r="N2270" s="2" t="s">
        <v>9938</v>
      </c>
    </row>
    <row r="2271">
      <c r="A2271" s="2" t="s">
        <v>12207</v>
      </c>
      <c r="B2271" s="3" t="str">
        <f>C2271 &amp; " -&gt; " &amp; D2271</f>
        <v>principal-knowledge-authority -&gt; ExceptionInvocations.ApprovedByAgent</v>
      </c>
      <c r="C2271" s="2" t="s">
        <v>9708</v>
      </c>
      <c r="D2271" s="2" t="s">
        <v>4230</v>
      </c>
      <c r="E2271" s="2" t="b">
        <v>1</v>
      </c>
      <c r="F2271" s="2" t="b">
        <v>0</v>
      </c>
      <c r="G2271" s="2" t="s">
        <v>9937</v>
      </c>
      <c r="H2271" s="3" t="str">
        <f>_xlfn.IFNA(INDEX(RulebookFields!C2:C999, MATCH(D2271,RulebookFields!A2:A999, 0)), "")</f>
      </c>
      <c r="I2271" s="3" t="str">
        <f>_xlfn.IFNA(INDEX(RulebookFields!D2:D999, MATCH(D2271,RulebookFields!A2:A999, 0)), "")</f>
      </c>
      <c r="J2271" s="3" t="str">
        <f>_xlfn.IFNA(INDEX(RulebookFields!I2:I999, MATCH(D2271,RulebookFields!A2:A999, 0)), "")</f>
      </c>
      <c r="K2271" s="3" t="b">
        <f>AND(F2271, J2271)</f>
        <v>0</v>
      </c>
      <c r="L2271" s="3" t="b">
        <f>AND(G2271 &lt;&gt; "plain", G2271 &lt;&gt; "")</f>
        <v>0</v>
      </c>
      <c r="M2271" s="3" t="str">
        <f>IF(E2271, C2271 &amp; "|" &amp; H2271, "")</f>
        <v>principal-knowledge-authority|</v>
      </c>
      <c r="N2271" s="2" t="s">
        <v>9938</v>
      </c>
    </row>
    <row r="2272">
      <c r="A2272" s="2" t="s">
        <v>12208</v>
      </c>
      <c r="B2272" s="3" t="str">
        <f>C2272 &amp; " -&gt; " &amp; D2272</f>
        <v>principal-knowledge-authority -&gt; ExceptionInvocations.InvokedAt</v>
      </c>
      <c r="C2272" s="2" t="s">
        <v>9708</v>
      </c>
      <c r="D2272" s="2" t="s">
        <v>4232</v>
      </c>
      <c r="E2272" s="2" t="b">
        <v>1</v>
      </c>
      <c r="F2272" s="2" t="b">
        <v>0</v>
      </c>
      <c r="G2272" s="2" t="s">
        <v>9937</v>
      </c>
      <c r="H2272" s="3" t="str">
        <f>_xlfn.IFNA(INDEX(RulebookFields!C2:C999, MATCH(D2272,RulebookFields!A2:A999, 0)), "")</f>
      </c>
      <c r="I2272" s="3" t="str">
        <f>_xlfn.IFNA(INDEX(RulebookFields!D2:D999, MATCH(D2272,RulebookFields!A2:A999, 0)), "")</f>
      </c>
      <c r="J2272" s="3" t="str">
        <f>_xlfn.IFNA(INDEX(RulebookFields!I2:I999, MATCH(D2272,RulebookFields!A2:A999, 0)), "")</f>
      </c>
      <c r="K2272" s="3" t="b">
        <f>AND(F2272, J2272)</f>
        <v>0</v>
      </c>
      <c r="L2272" s="3" t="b">
        <f>AND(G2272 &lt;&gt; "plain", G2272 &lt;&gt; "")</f>
        <v>0</v>
      </c>
      <c r="M2272" s="3" t="str">
        <f>IF(E2272, C2272 &amp; "|" &amp; H2272, "")</f>
        <v>principal-knowledge-authority|</v>
      </c>
      <c r="N2272" s="2" t="s">
        <v>9938</v>
      </c>
    </row>
    <row r="2273">
      <c r="A2273" s="2" t="s">
        <v>12209</v>
      </c>
      <c r="B2273" s="3" t="str">
        <f>C2273 &amp; " -&gt; " &amp; D2273</f>
        <v>principal-knowledge-authority -&gt; ExceptionInvocations.HandlingApplied</v>
      </c>
      <c r="C2273" s="2" t="s">
        <v>9708</v>
      </c>
      <c r="D2273" s="2" t="s">
        <v>4234</v>
      </c>
      <c r="E2273" s="2" t="b">
        <v>1</v>
      </c>
      <c r="F2273" s="2" t="b">
        <v>0</v>
      </c>
      <c r="G2273" s="2" t="s">
        <v>9937</v>
      </c>
      <c r="H2273" s="3" t="str">
        <f>_xlfn.IFNA(INDEX(RulebookFields!C2:C999, MATCH(D2273,RulebookFields!A2:A999, 0)), "")</f>
      </c>
      <c r="I2273" s="3" t="str">
        <f>_xlfn.IFNA(INDEX(RulebookFields!D2:D999, MATCH(D2273,RulebookFields!A2:A999, 0)), "")</f>
      </c>
      <c r="J2273" s="3" t="str">
        <f>_xlfn.IFNA(INDEX(RulebookFields!I2:I999, MATCH(D2273,RulebookFields!A2:A999, 0)), "")</f>
      </c>
      <c r="K2273" s="3" t="b">
        <f>AND(F2273, J2273)</f>
        <v>0</v>
      </c>
      <c r="L2273" s="3" t="b">
        <f>AND(G2273 &lt;&gt; "plain", G2273 &lt;&gt; "")</f>
        <v>0</v>
      </c>
      <c r="M2273" s="3" t="str">
        <f>IF(E2273, C2273 &amp; "|" &amp; H2273, "")</f>
        <v>principal-knowledge-authority|</v>
      </c>
      <c r="N2273" s="2" t="s">
        <v>9938</v>
      </c>
    </row>
    <row r="2274">
      <c r="A2274" s="2" t="s">
        <v>12210</v>
      </c>
      <c r="B2274" s="3" t="str">
        <f>C2274 &amp; " -&gt; " &amp; D2274</f>
        <v>principal-knowledge-authority -&gt; ExceptionInvocations.ExpectedHandling</v>
      </c>
      <c r="C2274" s="2" t="s">
        <v>9708</v>
      </c>
      <c r="D2274" s="2" t="s">
        <v>4236</v>
      </c>
      <c r="E2274" s="2" t="b">
        <v>1</v>
      </c>
      <c r="F2274" s="2" t="b">
        <v>0</v>
      </c>
      <c r="G2274" s="2" t="s">
        <v>9937</v>
      </c>
      <c r="H2274" s="3" t="str">
        <f>_xlfn.IFNA(INDEX(RulebookFields!C2:C999, MATCH(D2274,RulebookFields!A2:A999, 0)), "")</f>
      </c>
      <c r="I2274" s="3" t="str">
        <f>_xlfn.IFNA(INDEX(RulebookFields!D2:D999, MATCH(D2274,RulebookFields!A2:A999, 0)), "")</f>
      </c>
      <c r="J2274" s="3" t="str">
        <f>_xlfn.IFNA(INDEX(RulebookFields!I2:I999, MATCH(D2274,RulebookFields!A2:A999, 0)), "")</f>
      </c>
      <c r="K2274" s="3" t="b">
        <f>AND(F2274, J2274)</f>
        <v>0</v>
      </c>
      <c r="L2274" s="3" t="b">
        <f>AND(G2274 &lt;&gt; "plain", G2274 &lt;&gt; "")</f>
        <v>0</v>
      </c>
      <c r="M2274" s="3" t="str">
        <f>IF(E2274, C2274 &amp; "|" &amp; H2274, "")</f>
        <v>principal-knowledge-authority|</v>
      </c>
      <c r="N2274" s="2" t="s">
        <v>9938</v>
      </c>
    </row>
    <row r="2275">
      <c r="A2275" s="2" t="s">
        <v>12211</v>
      </c>
      <c r="B2275" s="3" t="str">
        <f>C2275 &amp; " -&gt; " &amp; D2275</f>
        <v>principal-knowledge-authority -&gt; ExceptionInvocations.RequiredApprovalRole</v>
      </c>
      <c r="C2275" s="2" t="s">
        <v>9708</v>
      </c>
      <c r="D2275" s="2" t="s">
        <v>4239</v>
      </c>
      <c r="E2275" s="2" t="b">
        <v>1</v>
      </c>
      <c r="F2275" s="2" t="b">
        <v>0</v>
      </c>
      <c r="G2275" s="2" t="s">
        <v>9937</v>
      </c>
      <c r="H2275" s="3" t="str">
        <f>_xlfn.IFNA(INDEX(RulebookFields!C2:C999, MATCH(D2275,RulebookFields!A2:A999, 0)), "")</f>
      </c>
      <c r="I2275" s="3" t="str">
        <f>_xlfn.IFNA(INDEX(RulebookFields!D2:D999, MATCH(D2275,RulebookFields!A2:A999, 0)), "")</f>
      </c>
      <c r="J2275" s="3" t="str">
        <f>_xlfn.IFNA(INDEX(RulebookFields!I2:I999, MATCH(D2275,RulebookFields!A2:A999, 0)), "")</f>
      </c>
      <c r="K2275" s="3" t="b">
        <f>AND(F2275, J2275)</f>
        <v>0</v>
      </c>
      <c r="L2275" s="3" t="b">
        <f>AND(G2275 &lt;&gt; "plain", G2275 &lt;&gt; "")</f>
        <v>0</v>
      </c>
      <c r="M2275" s="3" t="str">
        <f>IF(E2275, C2275 &amp; "|" &amp; H2275, "")</f>
        <v>principal-knowledge-authority|</v>
      </c>
      <c r="N2275" s="2" t="s">
        <v>9938</v>
      </c>
    </row>
    <row r="2276">
      <c r="A2276" s="2" t="s">
        <v>12212</v>
      </c>
      <c r="B2276" s="3" t="str">
        <f>C2276 &amp; " -&gt; " &amp; D2276</f>
        <v>principal-knowledge-authority -&gt; ExceptionInvocations.RequiredApprovalRoleHolder</v>
      </c>
      <c r="C2276" s="2" t="s">
        <v>9708</v>
      </c>
      <c r="D2276" s="2" t="s">
        <v>4242</v>
      </c>
      <c r="E2276" s="2" t="b">
        <v>1</v>
      </c>
      <c r="F2276" s="2" t="b">
        <v>0</v>
      </c>
      <c r="G2276" s="2" t="s">
        <v>9937</v>
      </c>
      <c r="H2276" s="3" t="str">
        <f>_xlfn.IFNA(INDEX(RulebookFields!C2:C999, MATCH(D2276,RulebookFields!A2:A999, 0)), "")</f>
      </c>
      <c r="I2276" s="3" t="str">
        <f>_xlfn.IFNA(INDEX(RulebookFields!D2:D999, MATCH(D2276,RulebookFields!A2:A999, 0)), "")</f>
      </c>
      <c r="J2276" s="3" t="str">
        <f>_xlfn.IFNA(INDEX(RulebookFields!I2:I999, MATCH(D2276,RulebookFields!A2:A999, 0)), "")</f>
      </c>
      <c r="K2276" s="3" t="b">
        <f>AND(F2276, J2276)</f>
        <v>0</v>
      </c>
      <c r="L2276" s="3" t="b">
        <f>AND(G2276 &lt;&gt; "plain", G2276 &lt;&gt; "")</f>
        <v>0</v>
      </c>
      <c r="M2276" s="3" t="str">
        <f>IF(E2276, C2276 &amp; "|" &amp; H2276, "")</f>
        <v>principal-knowledge-authority|</v>
      </c>
      <c r="N2276" s="2" t="s">
        <v>9938</v>
      </c>
    </row>
    <row r="2277">
      <c r="A2277" s="2" t="s">
        <v>12213</v>
      </c>
      <c r="B2277" s="3" t="str">
        <f>C2277 &amp; " -&gt; " &amp; D2277</f>
        <v>principal-knowledge-authority -&gt; ExceptionInvocations.ApprovalRoleMatches</v>
      </c>
      <c r="C2277" s="2" t="s">
        <v>9708</v>
      </c>
      <c r="D2277" s="2" t="s">
        <v>4245</v>
      </c>
      <c r="E2277" s="2" t="b">
        <v>1</v>
      </c>
      <c r="F2277" s="2" t="b">
        <v>0</v>
      </c>
      <c r="G2277" s="2" t="s">
        <v>9937</v>
      </c>
      <c r="H2277" s="3" t="str">
        <f>_xlfn.IFNA(INDEX(RulebookFields!C2:C999, MATCH(D2277,RulebookFields!A2:A999, 0)), "")</f>
      </c>
      <c r="I2277" s="3" t="str">
        <f>_xlfn.IFNA(INDEX(RulebookFields!D2:D999, MATCH(D2277,RulebookFields!A2:A999, 0)), "")</f>
      </c>
      <c r="J2277" s="3" t="str">
        <f>_xlfn.IFNA(INDEX(RulebookFields!I2:I999, MATCH(D2277,RulebookFields!A2:A999, 0)), "")</f>
      </c>
      <c r="K2277" s="3" t="b">
        <f>AND(F2277, J2277)</f>
        <v>0</v>
      </c>
      <c r="L2277" s="3" t="b">
        <f>AND(G2277 &lt;&gt; "plain", G2277 &lt;&gt; "")</f>
        <v>0</v>
      </c>
      <c r="M2277" s="3" t="str">
        <f>IF(E2277, C2277 &amp; "|" &amp; H2277, "")</f>
        <v>principal-knowledge-authority|</v>
      </c>
      <c r="N2277" s="2" t="s">
        <v>9938</v>
      </c>
    </row>
    <row r="2278">
      <c r="A2278" s="2" t="s">
        <v>12214</v>
      </c>
      <c r="B2278" s="3" t="str">
        <f>C2278 &amp; " -&gt; " &amp; D2278</f>
        <v>principal-knowledge-authority -&gt; ExceptionInvocations.IsApproved</v>
      </c>
      <c r="C2278" s="2" t="s">
        <v>9708</v>
      </c>
      <c r="D2278" s="2" t="s">
        <v>4248</v>
      </c>
      <c r="E2278" s="2" t="b">
        <v>1</v>
      </c>
      <c r="F2278" s="2" t="b">
        <v>0</v>
      </c>
      <c r="G2278" s="2" t="s">
        <v>9937</v>
      </c>
      <c r="H2278" s="3" t="str">
        <f>_xlfn.IFNA(INDEX(RulebookFields!C2:C999, MATCH(D2278,RulebookFields!A2:A999, 0)), "")</f>
      </c>
      <c r="I2278" s="3" t="str">
        <f>_xlfn.IFNA(INDEX(RulebookFields!D2:D999, MATCH(D2278,RulebookFields!A2:A999, 0)), "")</f>
      </c>
      <c r="J2278" s="3" t="str">
        <f>_xlfn.IFNA(INDEX(RulebookFields!I2:I999, MATCH(D2278,RulebookFields!A2:A999, 0)), "")</f>
      </c>
      <c r="K2278" s="3" t="b">
        <f>AND(F2278, J2278)</f>
        <v>0</v>
      </c>
      <c r="L2278" s="3" t="b">
        <f>AND(G2278 &lt;&gt; "plain", G2278 &lt;&gt; "")</f>
        <v>0</v>
      </c>
      <c r="M2278" s="3" t="str">
        <f>IF(E2278, C2278 &amp; "|" &amp; H2278, "")</f>
        <v>principal-knowledge-authority|</v>
      </c>
      <c r="N2278" s="2" t="s">
        <v>9938</v>
      </c>
    </row>
    <row r="2279">
      <c r="A2279" s="2" t="s">
        <v>12215</v>
      </c>
      <c r="B2279" s="3" t="str">
        <f>C2279 &amp; " -&gt; " &amp; D2279</f>
        <v>principal-knowledge-authority -&gt; ExceptionInvocations.IsImproperlyApproved</v>
      </c>
      <c r="C2279" s="2" t="s">
        <v>9708</v>
      </c>
      <c r="D2279" s="2" t="s">
        <v>4250</v>
      </c>
      <c r="E2279" s="2" t="b">
        <v>1</v>
      </c>
      <c r="F2279" s="2" t="b">
        <v>0</v>
      </c>
      <c r="G2279" s="2" t="s">
        <v>9937</v>
      </c>
      <c r="H2279" s="3" t="str">
        <f>_xlfn.IFNA(INDEX(RulebookFields!C2:C999, MATCH(D2279,RulebookFields!A2:A999, 0)), "")</f>
      </c>
      <c r="I2279" s="3" t="str">
        <f>_xlfn.IFNA(INDEX(RulebookFields!D2:D999, MATCH(D2279,RulebookFields!A2:A999, 0)), "")</f>
      </c>
      <c r="J2279" s="3" t="str">
        <f>_xlfn.IFNA(INDEX(RulebookFields!I2:I999, MATCH(D2279,RulebookFields!A2:A999, 0)), "")</f>
      </c>
      <c r="K2279" s="3" t="b">
        <f>AND(F2279, J2279)</f>
        <v>0</v>
      </c>
      <c r="L2279" s="3" t="b">
        <f>AND(G2279 &lt;&gt; "plain", G2279 &lt;&gt; "")</f>
        <v>0</v>
      </c>
      <c r="M2279" s="3" t="str">
        <f>IF(E2279, C2279 &amp; "|" &amp; H2279, "")</f>
        <v>principal-knowledge-authority|</v>
      </c>
      <c r="N2279" s="2" t="s">
        <v>9938</v>
      </c>
    </row>
    <row r="2280">
      <c r="A2280" s="2" t="s">
        <v>12216</v>
      </c>
      <c r="B2280" s="3" t="str">
        <f>C2280 &amp; " -&gt; " &amp; D2280</f>
        <v>principal-knowledge-authority -&gt; ExceptionInvocations.InvokerAgentKind</v>
      </c>
      <c r="C2280" s="2" t="s">
        <v>9708</v>
      </c>
      <c r="D2280" s="2" t="s">
        <v>4253</v>
      </c>
      <c r="E2280" s="2" t="b">
        <v>1</v>
      </c>
      <c r="F2280" s="2" t="b">
        <v>0</v>
      </c>
      <c r="G2280" s="2" t="s">
        <v>9937</v>
      </c>
      <c r="H2280" s="3" t="str">
        <f>_xlfn.IFNA(INDEX(RulebookFields!C2:C999, MATCH(D2280,RulebookFields!A2:A999, 0)), "")</f>
      </c>
      <c r="I2280" s="3" t="str">
        <f>_xlfn.IFNA(INDEX(RulebookFields!D2:D999, MATCH(D2280,RulebookFields!A2:A999, 0)), "")</f>
      </c>
      <c r="J2280" s="3" t="str">
        <f>_xlfn.IFNA(INDEX(RulebookFields!I2:I999, MATCH(D2280,RulebookFields!A2:A999, 0)), "")</f>
      </c>
      <c r="K2280" s="3" t="b">
        <f>AND(F2280, J2280)</f>
        <v>0</v>
      </c>
      <c r="L2280" s="3" t="b">
        <f>AND(G2280 &lt;&gt; "plain", G2280 &lt;&gt; "")</f>
        <v>0</v>
      </c>
      <c r="M2280" s="3" t="str">
        <f>IF(E2280, C2280 &amp; "|" &amp; H2280, "")</f>
        <v>principal-knowledge-authority|</v>
      </c>
      <c r="N2280" s="2" t="s">
        <v>9938</v>
      </c>
    </row>
    <row r="2281">
      <c r="A2281" s="2" t="s">
        <v>12217</v>
      </c>
      <c r="B2281" s="3" t="str">
        <f>C2281 &amp; " -&gt; " &amp; D2281</f>
        <v>principal-knowledge-authority -&gt; ExceptionInvocations.InvokerAlsoPreparedKey</v>
      </c>
      <c r="C2281" s="2" t="s">
        <v>9708</v>
      </c>
      <c r="D2281" s="2" t="s">
        <v>4256</v>
      </c>
      <c r="E2281" s="2" t="b">
        <v>1</v>
      </c>
      <c r="F2281" s="2" t="b">
        <v>0</v>
      </c>
      <c r="G2281" s="2" t="s">
        <v>9937</v>
      </c>
      <c r="H2281" s="3" t="str">
        <f>_xlfn.IFNA(INDEX(RulebookFields!C2:C999, MATCH(D2281,RulebookFields!A2:A999, 0)), "")</f>
      </c>
      <c r="I2281" s="3" t="str">
        <f>_xlfn.IFNA(INDEX(RulebookFields!D2:D999, MATCH(D2281,RulebookFields!A2:A999, 0)), "")</f>
      </c>
      <c r="J2281" s="3" t="str">
        <f>_xlfn.IFNA(INDEX(RulebookFields!I2:I999, MATCH(D2281,RulebookFields!A2:A999, 0)), "")</f>
      </c>
      <c r="K2281" s="3" t="b">
        <f>AND(F2281, J2281)</f>
        <v>0</v>
      </c>
      <c r="L2281" s="3" t="b">
        <f>AND(G2281 &lt;&gt; "plain", G2281 &lt;&gt; "")</f>
        <v>0</v>
      </c>
      <c r="M2281" s="3" t="str">
        <f>IF(E2281, C2281 &amp; "|" &amp; H2281, "")</f>
        <v>principal-knowledge-authority|</v>
      </c>
      <c r="N2281" s="2" t="s">
        <v>9938</v>
      </c>
    </row>
    <row r="2282">
      <c r="A2282" s="2" t="s">
        <v>12218</v>
      </c>
      <c r="B2282" s="3" t="str">
        <f>C2282 &amp; " -&gt; " &amp; D2282</f>
        <v>principal-knowledge-authority -&gt; ExceptionInvocations.ParentProcedureExecution</v>
      </c>
      <c r="C2282" s="2" t="s">
        <v>9708</v>
      </c>
      <c r="D2282" s="2" t="s">
        <v>4259</v>
      </c>
      <c r="E2282" s="2" t="b">
        <v>1</v>
      </c>
      <c r="F2282" s="2" t="b">
        <v>0</v>
      </c>
      <c r="G2282" s="2" t="s">
        <v>9937</v>
      </c>
      <c r="H2282" s="3" t="str">
        <f>_xlfn.IFNA(INDEX(RulebookFields!C2:C999, MATCH(D2282,RulebookFields!A2:A999, 0)), "")</f>
      </c>
      <c r="I2282" s="3" t="str">
        <f>_xlfn.IFNA(INDEX(RulebookFields!D2:D999, MATCH(D2282,RulebookFields!A2:A999, 0)), "")</f>
      </c>
      <c r="J2282" s="3" t="str">
        <f>_xlfn.IFNA(INDEX(RulebookFields!I2:I999, MATCH(D2282,RulebookFields!A2:A999, 0)), "")</f>
      </c>
      <c r="K2282" s="3" t="b">
        <f>AND(F2282, J2282)</f>
        <v>0</v>
      </c>
      <c r="L2282" s="3" t="b">
        <f>AND(G2282 &lt;&gt; "plain", G2282 &lt;&gt; "")</f>
        <v>0</v>
      </c>
      <c r="M2282" s="3" t="str">
        <f>IF(E2282, C2282 &amp; "|" &amp; H2282, "")</f>
        <v>principal-knowledge-authority|</v>
      </c>
      <c r="N2282" s="2" t="s">
        <v>9938</v>
      </c>
    </row>
    <row r="2283">
      <c r="A2283" s="2" t="s">
        <v>12219</v>
      </c>
      <c r="B2283" s="3" t="str">
        <f>C2283 &amp; " -&gt; " &amp; D2283</f>
        <v>principal-knowledge-authority -&gt; ExceptionInvocations.ApproverPreparedCount</v>
      </c>
      <c r="C2283" s="2" t="s">
        <v>9708</v>
      </c>
      <c r="D2283" s="2" t="s">
        <v>4260</v>
      </c>
      <c r="E2283" s="2" t="b">
        <v>1</v>
      </c>
      <c r="F2283" s="2" t="b">
        <v>0</v>
      </c>
      <c r="G2283" s="2" t="s">
        <v>9937</v>
      </c>
      <c r="H2283" s="3" t="str">
        <f>_xlfn.IFNA(INDEX(RulebookFields!C2:C999, MATCH(D2283,RulebookFields!A2:A999, 0)), "")</f>
      </c>
      <c r="I2283" s="3" t="str">
        <f>_xlfn.IFNA(INDEX(RulebookFields!D2:D999, MATCH(D2283,RulebookFields!A2:A999, 0)), "")</f>
      </c>
      <c r="J2283" s="3" t="str">
        <f>_xlfn.IFNA(INDEX(RulebookFields!I2:I999, MATCH(D2283,RulebookFields!A2:A999, 0)), "")</f>
      </c>
      <c r="K2283" s="3" t="b">
        <f>AND(F2283, J2283)</f>
        <v>0</v>
      </c>
      <c r="L2283" s="3" t="b">
        <f>AND(G2283 &lt;&gt; "plain", G2283 &lt;&gt; "")</f>
        <v>0</v>
      </c>
      <c r="M2283" s="3" t="str">
        <f>IF(E2283, C2283 &amp; "|" &amp; H2283, "")</f>
        <v>principal-knowledge-authority|</v>
      </c>
      <c r="N2283" s="2" t="s">
        <v>9938</v>
      </c>
    </row>
    <row r="2284">
      <c r="A2284" s="2" t="s">
        <v>12220</v>
      </c>
      <c r="B2284" s="3" t="str">
        <f>C2284 &amp; " -&gt; " &amp; D2284</f>
        <v>principal-knowledge-authority -&gt; ExceptionInvocations.DelegatedToPreparer</v>
      </c>
      <c r="C2284" s="2" t="s">
        <v>9708</v>
      </c>
      <c r="D2284" s="2" t="s">
        <v>4263</v>
      </c>
      <c r="E2284" s="2" t="b">
        <v>1</v>
      </c>
      <c r="F2284" s="2" t="b">
        <v>0</v>
      </c>
      <c r="G2284" s="2" t="s">
        <v>9937</v>
      </c>
      <c r="H2284" s="3" t="str">
        <f>_xlfn.IFNA(INDEX(RulebookFields!C2:C999, MATCH(D2284,RulebookFields!A2:A999, 0)), "")</f>
      </c>
      <c r="I2284" s="3" t="str">
        <f>_xlfn.IFNA(INDEX(RulebookFields!D2:D999, MATCH(D2284,RulebookFields!A2:A999, 0)), "")</f>
      </c>
      <c r="J2284" s="3" t="str">
        <f>_xlfn.IFNA(INDEX(RulebookFields!I2:I999, MATCH(D2284,RulebookFields!A2:A999, 0)), "")</f>
      </c>
      <c r="K2284" s="3" t="b">
        <f>AND(F2284, J2284)</f>
        <v>0</v>
      </c>
      <c r="L2284" s="3" t="b">
        <f>AND(G2284 &lt;&gt; "plain", G2284 &lt;&gt; "")</f>
        <v>0</v>
      </c>
      <c r="M2284" s="3" t="str">
        <f>IF(E2284, C2284 &amp; "|" &amp; H2284, "")</f>
        <v>principal-knowledge-authority|</v>
      </c>
      <c r="N2284" s="2" t="s">
        <v>9938</v>
      </c>
    </row>
    <row r="2285">
      <c r="A2285" s="2" t="s">
        <v>12221</v>
      </c>
      <c r="B2285" s="3" t="str">
        <f>C2285 &amp; " -&gt; " &amp; D2285</f>
        <v>principal-knowledge-authority -&gt; ExceptionInvocations.IsUngovernedInvocation</v>
      </c>
      <c r="C2285" s="2" t="s">
        <v>9708</v>
      </c>
      <c r="D2285" s="2" t="s">
        <v>4266</v>
      </c>
      <c r="E2285" s="2" t="b">
        <v>1</v>
      </c>
      <c r="F2285" s="2" t="b">
        <v>0</v>
      </c>
      <c r="G2285" s="2" t="s">
        <v>9937</v>
      </c>
      <c r="H2285" s="3" t="str">
        <f>_xlfn.IFNA(INDEX(RulebookFields!C2:C999, MATCH(D2285,RulebookFields!A2:A999, 0)), "")</f>
      </c>
      <c r="I2285" s="3" t="str">
        <f>_xlfn.IFNA(INDEX(RulebookFields!D2:D999, MATCH(D2285,RulebookFields!A2:A999, 0)), "")</f>
      </c>
      <c r="J2285" s="3" t="str">
        <f>_xlfn.IFNA(INDEX(RulebookFields!I2:I999, MATCH(D2285,RulebookFields!A2:A999, 0)), "")</f>
      </c>
      <c r="K2285" s="3" t="b">
        <f>AND(F2285, J2285)</f>
        <v>0</v>
      </c>
      <c r="L2285" s="3" t="b">
        <f>AND(G2285 &lt;&gt; "plain", G2285 &lt;&gt; "")</f>
        <v>0</v>
      </c>
      <c r="M2285" s="3" t="str">
        <f>IF(E2285, C2285 &amp; "|" &amp; H2285, "")</f>
        <v>principal-knowledge-authority|</v>
      </c>
      <c r="N2285" s="2" t="s">
        <v>9938</v>
      </c>
    </row>
    <row r="2286">
      <c r="A2286" s="2" t="s">
        <v>12222</v>
      </c>
      <c r="B2286" s="3" t="str">
        <f>C2286 &amp; " -&gt; " &amp; D2286</f>
        <v>principal-knowledge-authority -&gt; ExceptionInvocations.SemanticTypeIri</v>
      </c>
      <c r="C2286" s="2" t="s">
        <v>9708</v>
      </c>
      <c r="D2286" s="2" t="s">
        <v>4269</v>
      </c>
      <c r="E2286" s="2" t="b">
        <v>1</v>
      </c>
      <c r="F2286" s="2" t="b">
        <v>0</v>
      </c>
      <c r="G2286" s="2" t="s">
        <v>9937</v>
      </c>
      <c r="H2286" s="3" t="str">
        <f>_xlfn.IFNA(INDEX(RulebookFields!C2:C999, MATCH(D2286,RulebookFields!A2:A999, 0)), "")</f>
      </c>
      <c r="I2286" s="3" t="str">
        <f>_xlfn.IFNA(INDEX(RulebookFields!D2:D999, MATCH(D2286,RulebookFields!A2:A999, 0)), "")</f>
      </c>
      <c r="J2286" s="3" t="str">
        <f>_xlfn.IFNA(INDEX(RulebookFields!I2:I999, MATCH(D2286,RulebookFields!A2:A999, 0)), "")</f>
      </c>
      <c r="K2286" s="3" t="b">
        <f>AND(F2286, J2286)</f>
        <v>0</v>
      </c>
      <c r="L2286" s="3" t="b">
        <f>AND(G2286 &lt;&gt; "plain", G2286 &lt;&gt; "")</f>
        <v>0</v>
      </c>
      <c r="M2286" s="3" t="str">
        <f>IF(E2286, C2286 &amp; "|" &amp; H2286, "")</f>
        <v>principal-knowledge-authority|</v>
      </c>
      <c r="N2286" s="2" t="s">
        <v>9938</v>
      </c>
    </row>
    <row r="2287">
      <c r="A2287" s="2" t="s">
        <v>12223</v>
      </c>
      <c r="B2287" s="3" t="str">
        <f>C2287 &amp; " -&gt; " &amp; D2287</f>
        <v>principal-knowledge-authority -&gt; Exceptions.ExceptionId</v>
      </c>
      <c r="C2287" s="2" t="s">
        <v>9708</v>
      </c>
      <c r="D2287" s="2" t="s">
        <v>3094</v>
      </c>
      <c r="E2287" s="2" t="b">
        <v>1</v>
      </c>
      <c r="F2287" s="2" t="b">
        <v>0</v>
      </c>
      <c r="G2287" s="2" t="s">
        <v>9937</v>
      </c>
      <c r="H2287" s="3" t="str">
        <f>_xlfn.IFNA(INDEX(RulebookFields!C2:C999, MATCH(D2287,RulebookFields!A2:A999, 0)), "")</f>
        <v>Exceptions</v>
      </c>
      <c r="I2287" s="3" t="str">
        <f>_xlfn.IFNA(INDEX(RulebookFields!D2:D999, MATCH(D2287,RulebookFields!A2:A999, 0)), "")</f>
        <v>ExceptionId</v>
      </c>
      <c r="J2287" s="3" t="b">
        <f>_xlfn.IFNA(INDEX(RulebookFields!I2:I999, MATCH(D2287,RulebookFields!A2:A999, 0)), "")</f>
        <v>0</v>
      </c>
      <c r="K2287" s="3" t="b">
        <f>AND(F2287, J2287)</f>
        <v>0</v>
      </c>
      <c r="L2287" s="3" t="b">
        <f>AND(G2287 &lt;&gt; "plain", G2287 &lt;&gt; "")</f>
        <v>0</v>
      </c>
      <c r="M2287" s="3" t="str">
        <f>IF(E2287, C2287 &amp; "|" &amp; H2287, "")</f>
        <v>principal-knowledge-authority|Exceptions</v>
      </c>
      <c r="N2287" s="2" t="s">
        <v>9938</v>
      </c>
    </row>
    <row r="2288">
      <c r="A2288" s="2" t="s">
        <v>12224</v>
      </c>
      <c r="B2288" s="3" t="str">
        <f>C2288 &amp; " -&gt; " &amp; D2288</f>
        <v>principal-knowledge-authority -&gt; Exceptions.Name</v>
      </c>
      <c r="C2288" s="2" t="s">
        <v>9708</v>
      </c>
      <c r="D2288" s="2" t="s">
        <v>3096</v>
      </c>
      <c r="E2288" s="2" t="b">
        <v>1</v>
      </c>
      <c r="F2288" s="2" t="b">
        <v>0</v>
      </c>
      <c r="G2288" s="2" t="s">
        <v>9937</v>
      </c>
      <c r="H2288" s="3" t="str">
        <f>_xlfn.IFNA(INDEX(RulebookFields!C2:C999, MATCH(D2288,RulebookFields!A2:A999, 0)), "")</f>
        <v>Exceptions</v>
      </c>
      <c r="I2288" s="3" t="str">
        <f>_xlfn.IFNA(INDEX(RulebookFields!D2:D999, MATCH(D2288,RulebookFields!A2:A999, 0)), "")</f>
        <v>Name</v>
      </c>
      <c r="J2288" s="3" t="b">
        <f>_xlfn.IFNA(INDEX(RulebookFields!I2:I999, MATCH(D2288,RulebookFields!A2:A999, 0)), "")</f>
        <v>1</v>
      </c>
      <c r="K2288" s="3" t="b">
        <f>AND(F2288, J2288)</f>
        <v>0</v>
      </c>
      <c r="L2288" s="3" t="b">
        <f>AND(G2288 &lt;&gt; "plain", G2288 &lt;&gt; "")</f>
        <v>0</v>
      </c>
      <c r="M2288" s="3" t="str">
        <f>IF(E2288, C2288 &amp; "|" &amp; H2288, "")</f>
        <v>principal-knowledge-authority|Exceptions</v>
      </c>
      <c r="N2288" s="2" t="s">
        <v>9938</v>
      </c>
    </row>
    <row r="2289">
      <c r="A2289" s="2" t="s">
        <v>12225</v>
      </c>
      <c r="B2289" s="3" t="str">
        <f>C2289 &amp; " -&gt; " &amp; D2289</f>
        <v>principal-knowledge-authority -&gt; Exceptions.ProcedureVersion</v>
      </c>
      <c r="C2289" s="2" t="s">
        <v>9708</v>
      </c>
      <c r="D2289" s="2" t="s">
        <v>3098</v>
      </c>
      <c r="E2289" s="2" t="b">
        <v>1</v>
      </c>
      <c r="F2289" s="2" t="b">
        <v>0</v>
      </c>
      <c r="G2289" s="2" t="s">
        <v>9937</v>
      </c>
      <c r="H2289" s="3" t="str">
        <f>_xlfn.IFNA(INDEX(RulebookFields!C2:C999, MATCH(D2289,RulebookFields!A2:A999, 0)), "")</f>
        <v>Exceptions</v>
      </c>
      <c r="I2289" s="3" t="str">
        <f>_xlfn.IFNA(INDEX(RulebookFields!D2:D999, MATCH(D2289,RulebookFields!A2:A999, 0)), "")</f>
        <v>ProcedureVersion</v>
      </c>
      <c r="J2289" s="3" t="b">
        <f>_xlfn.IFNA(INDEX(RulebookFields!I2:I999, MATCH(D2289,RulebookFields!A2:A999, 0)), "")</f>
        <v>0</v>
      </c>
      <c r="K2289" s="3" t="b">
        <f>AND(F2289, J2289)</f>
        <v>0</v>
      </c>
      <c r="L2289" s="3" t="b">
        <f>AND(G2289 &lt;&gt; "plain", G2289 &lt;&gt; "")</f>
        <v>0</v>
      </c>
      <c r="M2289" s="3" t="str">
        <f>IF(E2289, C2289 &amp; "|" &amp; H2289, "")</f>
        <v>principal-knowledge-authority|Exceptions</v>
      </c>
      <c r="N2289" s="2" t="s">
        <v>9938</v>
      </c>
    </row>
    <row r="2290">
      <c r="A2290" s="2" t="s">
        <v>12226</v>
      </c>
      <c r="B2290" s="3" t="str">
        <f>C2290 &amp; " -&gt; " &amp; D2290</f>
        <v>principal-knowledge-authority -&gt; Exceptions.TriggerStep</v>
      </c>
      <c r="C2290" s="2" t="s">
        <v>9708</v>
      </c>
      <c r="D2290" s="2" t="s">
        <v>3099</v>
      </c>
      <c r="E2290" s="2" t="b">
        <v>1</v>
      </c>
      <c r="F2290" s="2" t="b">
        <v>0</v>
      </c>
      <c r="G2290" s="2" t="s">
        <v>9937</v>
      </c>
      <c r="H2290" s="3" t="str">
        <f>_xlfn.IFNA(INDEX(RulebookFields!C2:C999, MATCH(D2290,RulebookFields!A2:A999, 0)), "")</f>
        <v>Exceptions</v>
      </c>
      <c r="I2290" s="3" t="str">
        <f>_xlfn.IFNA(INDEX(RulebookFields!D2:D999, MATCH(D2290,RulebookFields!A2:A999, 0)), "")</f>
        <v>TriggerStep</v>
      </c>
      <c r="J2290" s="3" t="b">
        <f>_xlfn.IFNA(INDEX(RulebookFields!I2:I999, MATCH(D2290,RulebookFields!A2:A999, 0)), "")</f>
        <v>0</v>
      </c>
      <c r="K2290" s="3" t="b">
        <f>AND(F2290, J2290)</f>
        <v>0</v>
      </c>
      <c r="L2290" s="3" t="b">
        <f>AND(G2290 &lt;&gt; "plain", G2290 &lt;&gt; "")</f>
        <v>0</v>
      </c>
      <c r="M2290" s="3" t="str">
        <f>IF(E2290, C2290 &amp; "|" &amp; H2290, "")</f>
        <v>principal-knowledge-authority|Exceptions</v>
      </c>
      <c r="N2290" s="2" t="s">
        <v>9938</v>
      </c>
    </row>
    <row r="2291">
      <c r="A2291" s="2" t="s">
        <v>12227</v>
      </c>
      <c r="B2291" s="3" t="str">
        <f>C2291 &amp; " -&gt; " &amp; D2291</f>
        <v>principal-knowledge-authority -&gt; Exceptions.Condition</v>
      </c>
      <c r="C2291" s="2" t="s">
        <v>9708</v>
      </c>
      <c r="D2291" s="2" t="s">
        <v>3100</v>
      </c>
      <c r="E2291" s="2" t="b">
        <v>1</v>
      </c>
      <c r="F2291" s="2" t="b">
        <v>0</v>
      </c>
      <c r="G2291" s="2" t="s">
        <v>9937</v>
      </c>
      <c r="H2291" s="3" t="str">
        <f>_xlfn.IFNA(INDEX(RulebookFields!C2:C999, MATCH(D2291,RulebookFields!A2:A999, 0)), "")</f>
        <v>Exceptions</v>
      </c>
      <c r="I2291" s="3" t="str">
        <f>_xlfn.IFNA(INDEX(RulebookFields!D2:D999, MATCH(D2291,RulebookFields!A2:A999, 0)), "")</f>
        <v>Condition</v>
      </c>
      <c r="J2291" s="3" t="b">
        <f>_xlfn.IFNA(INDEX(RulebookFields!I2:I999, MATCH(D2291,RulebookFields!A2:A999, 0)), "")</f>
        <v>0</v>
      </c>
      <c r="K2291" s="3" t="b">
        <f>AND(F2291, J2291)</f>
        <v>0</v>
      </c>
      <c r="L2291" s="3" t="b">
        <f>AND(G2291 &lt;&gt; "plain", G2291 &lt;&gt; "")</f>
        <v>0</v>
      </c>
      <c r="M2291" s="3" t="str">
        <f>IF(E2291, C2291 &amp; "|" &amp; H2291, "")</f>
        <v>principal-knowledge-authority|Exceptions</v>
      </c>
      <c r="N2291" s="2" t="s">
        <v>9938</v>
      </c>
    </row>
    <row r="2292">
      <c r="A2292" s="2" t="s">
        <v>12228</v>
      </c>
      <c r="B2292" s="3" t="str">
        <f>C2292 &amp; " -&gt; " &amp; D2292</f>
        <v>principal-knowledge-authority -&gt; Exceptions.Handling</v>
      </c>
      <c r="C2292" s="2" t="s">
        <v>9708</v>
      </c>
      <c r="D2292" s="2" t="s">
        <v>3101</v>
      </c>
      <c r="E2292" s="2" t="b">
        <v>1</v>
      </c>
      <c r="F2292" s="2" t="b">
        <v>0</v>
      </c>
      <c r="G2292" s="2" t="s">
        <v>9937</v>
      </c>
      <c r="H2292" s="3" t="str">
        <f>_xlfn.IFNA(INDEX(RulebookFields!C2:C999, MATCH(D2292,RulebookFields!A2:A999, 0)), "")</f>
        <v>Exceptions</v>
      </c>
      <c r="I2292" s="3" t="str">
        <f>_xlfn.IFNA(INDEX(RulebookFields!D2:D999, MATCH(D2292,RulebookFields!A2:A999, 0)), "")</f>
        <v>Handling</v>
      </c>
      <c r="J2292" s="3" t="b">
        <f>_xlfn.IFNA(INDEX(RulebookFields!I2:I999, MATCH(D2292,RulebookFields!A2:A999, 0)), "")</f>
        <v>0</v>
      </c>
      <c r="K2292" s="3" t="b">
        <f>AND(F2292, J2292)</f>
        <v>0</v>
      </c>
      <c r="L2292" s="3" t="b">
        <f>AND(G2292 &lt;&gt; "plain", G2292 &lt;&gt; "")</f>
        <v>0</v>
      </c>
      <c r="M2292" s="3" t="str">
        <f>IF(E2292, C2292 &amp; "|" &amp; H2292, "")</f>
        <v>principal-knowledge-authority|Exceptions</v>
      </c>
      <c r="N2292" s="2" t="s">
        <v>9938</v>
      </c>
    </row>
    <row r="2293">
      <c r="A2293" s="2" t="s">
        <v>12229</v>
      </c>
      <c r="B2293" s="3" t="str">
        <f>C2293 &amp; " -&gt; " &amp; D2293</f>
        <v>principal-knowledge-authority -&gt; Exceptions.ApprovalRole</v>
      </c>
      <c r="C2293" s="2" t="s">
        <v>9708</v>
      </c>
      <c r="D2293" s="2" t="s">
        <v>3102</v>
      </c>
      <c r="E2293" s="2" t="b">
        <v>1</v>
      </c>
      <c r="F2293" s="2" t="b">
        <v>0</v>
      </c>
      <c r="G2293" s="2" t="s">
        <v>9937</v>
      </c>
      <c r="H2293" s="3" t="str">
        <f>_xlfn.IFNA(INDEX(RulebookFields!C2:C999, MATCH(D2293,RulebookFields!A2:A999, 0)), "")</f>
        <v>Exceptions</v>
      </c>
      <c r="I2293" s="3" t="str">
        <f>_xlfn.IFNA(INDEX(RulebookFields!D2:D999, MATCH(D2293,RulebookFields!A2:A999, 0)), "")</f>
        <v>ApprovalRole</v>
      </c>
      <c r="J2293" s="3" t="b">
        <f>_xlfn.IFNA(INDEX(RulebookFields!I2:I999, MATCH(D2293,RulebookFields!A2:A999, 0)), "")</f>
        <v>0</v>
      </c>
      <c r="K2293" s="3" t="b">
        <f>AND(F2293, J2293)</f>
        <v>0</v>
      </c>
      <c r="L2293" s="3" t="b">
        <f>AND(G2293 &lt;&gt; "plain", G2293 &lt;&gt; "")</f>
        <v>0</v>
      </c>
      <c r="M2293" s="3" t="str">
        <f>IF(E2293, C2293 &amp; "|" &amp; H2293, "")</f>
        <v>principal-knowledge-authority|Exceptions</v>
      </c>
      <c r="N2293" s="2" t="s">
        <v>9938</v>
      </c>
    </row>
    <row r="2294">
      <c r="A2294" s="2" t="s">
        <v>12230</v>
      </c>
      <c r="B2294" s="3" t="str">
        <f>C2294 &amp; " -&gt; " &amp; D2294</f>
        <v>principal-knowledge-authority -&gt; Exceptions.FallbackRole</v>
      </c>
      <c r="C2294" s="2" t="s">
        <v>9708</v>
      </c>
      <c r="D2294" s="2" t="s">
        <v>3103</v>
      </c>
      <c r="E2294" s="2" t="b">
        <v>1</v>
      </c>
      <c r="F2294" s="2" t="b">
        <v>0</v>
      </c>
      <c r="G2294" s="2" t="s">
        <v>9937</v>
      </c>
      <c r="H2294" s="3" t="str">
        <f>_xlfn.IFNA(INDEX(RulebookFields!C2:C999, MATCH(D2294,RulebookFields!A2:A999, 0)), "")</f>
        <v>Exceptions</v>
      </c>
      <c r="I2294" s="3" t="str">
        <f>_xlfn.IFNA(INDEX(RulebookFields!D2:D999, MATCH(D2294,RulebookFields!A2:A999, 0)), "")</f>
        <v>FallbackRole</v>
      </c>
      <c r="J2294" s="3" t="b">
        <f>_xlfn.IFNA(INDEX(RulebookFields!I2:I999, MATCH(D2294,RulebookFields!A2:A999, 0)), "")</f>
        <v>0</v>
      </c>
      <c r="K2294" s="3" t="b">
        <f>AND(F2294, J2294)</f>
        <v>0</v>
      </c>
      <c r="L2294" s="3" t="b">
        <f>AND(G2294 &lt;&gt; "plain", G2294 &lt;&gt; "")</f>
        <v>0</v>
      </c>
      <c r="M2294" s="3" t="str">
        <f>IF(E2294, C2294 &amp; "|" &amp; H2294, "")</f>
        <v>principal-knowledge-authority|Exceptions</v>
      </c>
      <c r="N2294" s="2" t="s">
        <v>9938</v>
      </c>
    </row>
    <row r="2295">
      <c r="A2295" s="2" t="s">
        <v>12231</v>
      </c>
      <c r="B2295" s="3" t="str">
        <f>C2295 &amp; " -&gt; " &amp; D2295</f>
        <v>principal-knowledge-authority -&gt; Exceptions.Status</v>
      </c>
      <c r="C2295" s="2" t="s">
        <v>9708</v>
      </c>
      <c r="D2295" s="2" t="s">
        <v>3104</v>
      </c>
      <c r="E2295" s="2" t="b">
        <v>1</v>
      </c>
      <c r="F2295" s="2" t="b">
        <v>0</v>
      </c>
      <c r="G2295" s="2" t="s">
        <v>9937</v>
      </c>
      <c r="H2295" s="3" t="str">
        <f>_xlfn.IFNA(INDEX(RulebookFields!C2:C999, MATCH(D2295,RulebookFields!A2:A999, 0)), "")</f>
        <v>Exceptions</v>
      </c>
      <c r="I2295" s="3" t="str">
        <f>_xlfn.IFNA(INDEX(RulebookFields!D2:D999, MATCH(D2295,RulebookFields!A2:A999, 0)), "")</f>
        <v>Status</v>
      </c>
      <c r="J2295" s="3" t="b">
        <f>_xlfn.IFNA(INDEX(RulebookFields!I2:I999, MATCH(D2295,RulebookFields!A2:A999, 0)), "")</f>
        <v>0</v>
      </c>
      <c r="K2295" s="3" t="b">
        <f>AND(F2295, J2295)</f>
        <v>0</v>
      </c>
      <c r="L2295" s="3" t="b">
        <f>AND(G2295 &lt;&gt; "plain", G2295 &lt;&gt; "")</f>
        <v>0</v>
      </c>
      <c r="M2295" s="3" t="str">
        <f>IF(E2295, C2295 &amp; "|" &amp; H2295, "")</f>
        <v>principal-knowledge-authority|Exceptions</v>
      </c>
      <c r="N2295" s="2" t="s">
        <v>9938</v>
      </c>
    </row>
    <row r="2296">
      <c r="A2296" s="2" t="s">
        <v>12232</v>
      </c>
      <c r="B2296" s="3" t="str">
        <f>C2296 &amp; " -&gt; " &amp; D2296</f>
        <v>principal-knowledge-authority -&gt; Exceptions.ActiveExceptionStepKey</v>
      </c>
      <c r="C2296" s="2" t="s">
        <v>9708</v>
      </c>
      <c r="D2296" s="2" t="s">
        <v>3105</v>
      </c>
      <c r="E2296" s="2" t="b">
        <v>1</v>
      </c>
      <c r="F2296" s="2" t="b">
        <v>0</v>
      </c>
      <c r="G2296" s="2" t="s">
        <v>9937</v>
      </c>
      <c r="H2296" s="3" t="str">
        <f>_xlfn.IFNA(INDEX(RulebookFields!C2:C999, MATCH(D2296,RulebookFields!A2:A999, 0)), "")</f>
        <v>Exceptions</v>
      </c>
      <c r="I2296" s="3" t="str">
        <f>_xlfn.IFNA(INDEX(RulebookFields!D2:D999, MATCH(D2296,RulebookFields!A2:A999, 0)), "")</f>
        <v>ActiveExceptionStepKey</v>
      </c>
      <c r="J2296" s="3" t="b">
        <f>_xlfn.IFNA(INDEX(RulebookFields!I2:I999, MATCH(D2296,RulebookFields!A2:A999, 0)), "")</f>
        <v>1</v>
      </c>
      <c r="K2296" s="3" t="b">
        <f>AND(F2296, J2296)</f>
        <v>0</v>
      </c>
      <c r="L2296" s="3" t="b">
        <f>AND(G2296 &lt;&gt; "plain", G2296 &lt;&gt; "")</f>
        <v>0</v>
      </c>
      <c r="M2296" s="3" t="str">
        <f>IF(E2296, C2296 &amp; "|" &amp; H2296, "")</f>
        <v>principal-knowledge-authority|Exceptions</v>
      </c>
      <c r="N2296" s="2" t="s">
        <v>9938</v>
      </c>
    </row>
    <row r="2297">
      <c r="A2297" s="2" t="s">
        <v>12233</v>
      </c>
      <c r="B2297" s="3" t="str">
        <f>C2297 &amp; " -&gt; " &amp; D2297</f>
        <v>principal-knowledge-authority -&gt; Exceptions.SemanticTypeIri</v>
      </c>
      <c r="C2297" s="2" t="s">
        <v>9708</v>
      </c>
      <c r="D2297" s="2" t="s">
        <v>3107</v>
      </c>
      <c r="E2297" s="2" t="b">
        <v>1</v>
      </c>
      <c r="F2297" s="2" t="b">
        <v>0</v>
      </c>
      <c r="G2297" s="2" t="s">
        <v>9937</v>
      </c>
      <c r="H2297" s="3" t="str">
        <f>_xlfn.IFNA(INDEX(RulebookFields!C2:C999, MATCH(D2297,RulebookFields!A2:A999, 0)), "")</f>
        <v>Exceptions</v>
      </c>
      <c r="I2297" s="3" t="str">
        <f>_xlfn.IFNA(INDEX(RulebookFields!D2:D999, MATCH(D2297,RulebookFields!A2:A999, 0)), "")</f>
        <v>SemanticTypeIri</v>
      </c>
      <c r="J2297" s="3" t="b">
        <f>_xlfn.IFNA(INDEX(RulebookFields!I2:I999, MATCH(D2297,RulebookFields!A2:A999, 0)), "")</f>
        <v>0</v>
      </c>
      <c r="K2297" s="3" t="b">
        <f>AND(F2297, J2297)</f>
        <v>0</v>
      </c>
      <c r="L2297" s="3" t="b">
        <f>AND(G2297 &lt;&gt; "plain", G2297 &lt;&gt; "")</f>
        <v>0</v>
      </c>
      <c r="M2297" s="3" t="str">
        <f>IF(E2297, C2297 &amp; "|" &amp; H2297, "")</f>
        <v>principal-knowledge-authority|Exceptions</v>
      </c>
      <c r="N2297" s="2" t="s">
        <v>9938</v>
      </c>
    </row>
    <row r="2298">
      <c r="A2298" s="2" t="s">
        <v>12234</v>
      </c>
      <c r="B2298" s="3" t="str">
        <f>C2298 &amp; " -&gt; " &amp; D2298</f>
        <v>principal-knowledge-authority -&gt; Explanations.ExplanationId</v>
      </c>
      <c r="C2298" s="2" t="s">
        <v>9708</v>
      </c>
      <c r="D2298" s="2" t="s">
        <v>3353</v>
      </c>
      <c r="E2298" s="2" t="b">
        <v>1</v>
      </c>
      <c r="F2298" s="2" t="b">
        <v>0</v>
      </c>
      <c r="G2298" s="2" t="s">
        <v>9937</v>
      </c>
      <c r="H2298" s="3" t="str">
        <f>_xlfn.IFNA(INDEX(RulebookFields!C2:C999, MATCH(D2298,RulebookFields!A2:A999, 0)), "")</f>
        <v>Explanations</v>
      </c>
      <c r="I2298" s="3" t="str">
        <f>_xlfn.IFNA(INDEX(RulebookFields!D2:D999, MATCH(D2298,RulebookFields!A2:A999, 0)), "")</f>
        <v>ExplanationId</v>
      </c>
      <c r="J2298" s="3" t="b">
        <f>_xlfn.IFNA(INDEX(RulebookFields!I2:I999, MATCH(D2298,RulebookFields!A2:A999, 0)), "")</f>
        <v>0</v>
      </c>
      <c r="K2298" s="3" t="b">
        <f>AND(F2298, J2298)</f>
        <v>0</v>
      </c>
      <c r="L2298" s="3" t="b">
        <f>AND(G2298 &lt;&gt; "plain", G2298 &lt;&gt; "")</f>
        <v>0</v>
      </c>
      <c r="M2298" s="3" t="str">
        <f>IF(E2298, C2298 &amp; "|" &amp; H2298, "")</f>
        <v>principal-knowledge-authority|Explanations</v>
      </c>
      <c r="N2298" s="2" t="s">
        <v>9938</v>
      </c>
    </row>
    <row r="2299">
      <c r="A2299" s="2" t="s">
        <v>12235</v>
      </c>
      <c r="B2299" s="3" t="str">
        <f>C2299 &amp; " -&gt; " &amp; D2299</f>
        <v>principal-knowledge-authority -&gt; Explanations.Name</v>
      </c>
      <c r="C2299" s="2" t="s">
        <v>9708</v>
      </c>
      <c r="D2299" s="2" t="s">
        <v>3354</v>
      </c>
      <c r="E2299" s="2" t="b">
        <v>1</v>
      </c>
      <c r="F2299" s="2" t="b">
        <v>0</v>
      </c>
      <c r="G2299" s="2" t="s">
        <v>9937</v>
      </c>
      <c r="H2299" s="3" t="str">
        <f>_xlfn.IFNA(INDEX(RulebookFields!C2:C999, MATCH(D2299,RulebookFields!A2:A999, 0)), "")</f>
        <v>Explanations</v>
      </c>
      <c r="I2299" s="3" t="str">
        <f>_xlfn.IFNA(INDEX(RulebookFields!D2:D999, MATCH(D2299,RulebookFields!A2:A999, 0)), "")</f>
        <v>Name</v>
      </c>
      <c r="J2299" s="3" t="b">
        <f>_xlfn.IFNA(INDEX(RulebookFields!I2:I999, MATCH(D2299,RulebookFields!A2:A999, 0)), "")</f>
        <v>1</v>
      </c>
      <c r="K2299" s="3" t="b">
        <f>AND(F2299, J2299)</f>
        <v>0</v>
      </c>
      <c r="L2299" s="3" t="b">
        <f>AND(G2299 &lt;&gt; "plain", G2299 &lt;&gt; "")</f>
        <v>0</v>
      </c>
      <c r="M2299" s="3" t="str">
        <f>IF(E2299, C2299 &amp; "|" &amp; H2299, "")</f>
        <v>principal-knowledge-authority|Explanations</v>
      </c>
      <c r="N2299" s="2" t="s">
        <v>9938</v>
      </c>
    </row>
    <row r="2300">
      <c r="A2300" s="2" t="s">
        <v>12236</v>
      </c>
      <c r="B2300" s="3" t="str">
        <f>C2300 &amp; " -&gt; " &amp; D2300</f>
        <v>principal-knowledge-authority -&gt; Explanations.ProcedureVersion</v>
      </c>
      <c r="C2300" s="2" t="s">
        <v>9708</v>
      </c>
      <c r="D2300" s="2" t="s">
        <v>3355</v>
      </c>
      <c r="E2300" s="2" t="b">
        <v>1</v>
      </c>
      <c r="F2300" s="2" t="b">
        <v>0</v>
      </c>
      <c r="G2300" s="2" t="s">
        <v>9937</v>
      </c>
      <c r="H2300" s="3" t="str">
        <f>_xlfn.IFNA(INDEX(RulebookFields!C2:C999, MATCH(D2300,RulebookFields!A2:A999, 0)), "")</f>
        <v>Explanations</v>
      </c>
      <c r="I2300" s="3" t="str">
        <f>_xlfn.IFNA(INDEX(RulebookFields!D2:D999, MATCH(D2300,RulebookFields!A2:A999, 0)), "")</f>
        <v>ProcedureVersion</v>
      </c>
      <c r="J2300" s="3" t="b">
        <f>_xlfn.IFNA(INDEX(RulebookFields!I2:I999, MATCH(D2300,RulebookFields!A2:A999, 0)), "")</f>
        <v>0</v>
      </c>
      <c r="K2300" s="3" t="b">
        <f>AND(F2300, J2300)</f>
        <v>0</v>
      </c>
      <c r="L2300" s="3" t="b">
        <f>AND(G2300 &lt;&gt; "plain", G2300 &lt;&gt; "")</f>
        <v>0</v>
      </c>
      <c r="M2300" s="3" t="str">
        <f>IF(E2300, C2300 &amp; "|" &amp; H2300, "")</f>
        <v>principal-knowledge-authority|Explanations</v>
      </c>
      <c r="N2300" s="2" t="s">
        <v>9938</v>
      </c>
    </row>
    <row r="2301">
      <c r="A2301" s="2" t="s">
        <v>12237</v>
      </c>
      <c r="B2301" s="3" t="str">
        <f>C2301 &amp; " -&gt; " &amp; D2301</f>
        <v>principal-knowledge-authority -&gt; Explanations.Step</v>
      </c>
      <c r="C2301" s="2" t="s">
        <v>9708</v>
      </c>
      <c r="D2301" s="2" t="s">
        <v>3356</v>
      </c>
      <c r="E2301" s="2" t="b">
        <v>1</v>
      </c>
      <c r="F2301" s="2" t="b">
        <v>0</v>
      </c>
      <c r="G2301" s="2" t="s">
        <v>9937</v>
      </c>
      <c r="H2301" s="3" t="str">
        <f>_xlfn.IFNA(INDEX(RulebookFields!C2:C999, MATCH(D2301,RulebookFields!A2:A999, 0)), "")</f>
        <v>Explanations</v>
      </c>
      <c r="I2301" s="3" t="str">
        <f>_xlfn.IFNA(INDEX(RulebookFields!D2:D999, MATCH(D2301,RulebookFields!A2:A999, 0)), "")</f>
        <v>Step</v>
      </c>
      <c r="J2301" s="3" t="b">
        <f>_xlfn.IFNA(INDEX(RulebookFields!I2:I999, MATCH(D2301,RulebookFields!A2:A999, 0)), "")</f>
        <v>0</v>
      </c>
      <c r="K2301" s="3" t="b">
        <f>AND(F2301, J2301)</f>
        <v>0</v>
      </c>
      <c r="L2301" s="3" t="b">
        <f>AND(G2301 &lt;&gt; "plain", G2301 &lt;&gt; "")</f>
        <v>0</v>
      </c>
      <c r="M2301" s="3" t="str">
        <f>IF(E2301, C2301 &amp; "|" &amp; H2301, "")</f>
        <v>principal-knowledge-authority|Explanations</v>
      </c>
      <c r="N2301" s="2" t="s">
        <v>9938</v>
      </c>
    </row>
    <row r="2302">
      <c r="A2302" s="2" t="s">
        <v>12238</v>
      </c>
      <c r="B2302" s="3" t="str">
        <f>C2302 &amp; " -&gt; " &amp; D2302</f>
        <v>principal-knowledge-authority -&gt; Explanations.Title</v>
      </c>
      <c r="C2302" s="2" t="s">
        <v>9708</v>
      </c>
      <c r="D2302" s="2" t="s">
        <v>3357</v>
      </c>
      <c r="E2302" s="2" t="b">
        <v>1</v>
      </c>
      <c r="F2302" s="2" t="b">
        <v>0</v>
      </c>
      <c r="G2302" s="2" t="s">
        <v>9937</v>
      </c>
      <c r="H2302" s="3" t="str">
        <f>_xlfn.IFNA(INDEX(RulebookFields!C2:C999, MATCH(D2302,RulebookFields!A2:A999, 0)), "")</f>
        <v>Explanations</v>
      </c>
      <c r="I2302" s="3" t="str">
        <f>_xlfn.IFNA(INDEX(RulebookFields!D2:D999, MATCH(D2302,RulebookFields!A2:A999, 0)), "")</f>
        <v>Title</v>
      </c>
      <c r="J2302" s="3" t="b">
        <f>_xlfn.IFNA(INDEX(RulebookFields!I2:I999, MATCH(D2302,RulebookFields!A2:A999, 0)), "")</f>
        <v>0</v>
      </c>
      <c r="K2302" s="3" t="b">
        <f>AND(F2302, J2302)</f>
        <v>0</v>
      </c>
      <c r="L2302" s="3" t="b">
        <f>AND(G2302 &lt;&gt; "plain", G2302 &lt;&gt; "")</f>
        <v>0</v>
      </c>
      <c r="M2302" s="3" t="str">
        <f>IF(E2302, C2302 &amp; "|" &amp; H2302, "")</f>
        <v>principal-knowledge-authority|Explanations</v>
      </c>
      <c r="N2302" s="2" t="s">
        <v>9938</v>
      </c>
    </row>
    <row r="2303">
      <c r="A2303" s="2" t="s">
        <v>12239</v>
      </c>
      <c r="B2303" s="3" t="str">
        <f>C2303 &amp; " -&gt; " &amp; D2303</f>
        <v>principal-knowledge-authority -&gt; Explanations.Description</v>
      </c>
      <c r="C2303" s="2" t="s">
        <v>9708</v>
      </c>
      <c r="D2303" s="2" t="s">
        <v>3358</v>
      </c>
      <c r="E2303" s="2" t="b">
        <v>1</v>
      </c>
      <c r="F2303" s="2" t="b">
        <v>0</v>
      </c>
      <c r="G2303" s="2" t="s">
        <v>9937</v>
      </c>
      <c r="H2303" s="3" t="str">
        <f>_xlfn.IFNA(INDEX(RulebookFields!C2:C999, MATCH(D2303,RulebookFields!A2:A999, 0)), "")</f>
        <v>Explanations</v>
      </c>
      <c r="I2303" s="3" t="str">
        <f>_xlfn.IFNA(INDEX(RulebookFields!D2:D999, MATCH(D2303,RulebookFields!A2:A999, 0)), "")</f>
        <v>Description</v>
      </c>
      <c r="J2303" s="3" t="b">
        <f>_xlfn.IFNA(INDEX(RulebookFields!I2:I999, MATCH(D2303,RulebookFields!A2:A999, 0)), "")</f>
        <v>0</v>
      </c>
      <c r="K2303" s="3" t="b">
        <f>AND(F2303, J2303)</f>
        <v>0</v>
      </c>
      <c r="L2303" s="3" t="b">
        <f>AND(G2303 &lt;&gt; "plain", G2303 &lt;&gt; "")</f>
        <v>0</v>
      </c>
      <c r="M2303" s="3" t="str">
        <f>IF(E2303, C2303 &amp; "|" &amp; H2303, "")</f>
        <v>principal-knowledge-authority|Explanations</v>
      </c>
      <c r="N2303" s="2" t="s">
        <v>9938</v>
      </c>
    </row>
    <row r="2304">
      <c r="A2304" s="2" t="s">
        <v>12240</v>
      </c>
      <c r="B2304" s="3" t="str">
        <f>C2304 &amp; " -&gt; " &amp; D2304</f>
        <v>principal-knowledge-authority -&gt; Explanations.SemanticTypeIri</v>
      </c>
      <c r="C2304" s="2" t="s">
        <v>9708</v>
      </c>
      <c r="D2304" s="2" t="s">
        <v>3359</v>
      </c>
      <c r="E2304" s="2" t="b">
        <v>1</v>
      </c>
      <c r="F2304" s="2" t="b">
        <v>0</v>
      </c>
      <c r="G2304" s="2" t="s">
        <v>9937</v>
      </c>
      <c r="H2304" s="3" t="str">
        <f>_xlfn.IFNA(INDEX(RulebookFields!C2:C999, MATCH(D2304,RulebookFields!A2:A999, 0)), "")</f>
        <v>Explanations</v>
      </c>
      <c r="I2304" s="3" t="str">
        <f>_xlfn.IFNA(INDEX(RulebookFields!D2:D999, MATCH(D2304,RulebookFields!A2:A999, 0)), "")</f>
        <v>SemanticTypeIri</v>
      </c>
      <c r="J2304" s="3" t="b">
        <f>_xlfn.IFNA(INDEX(RulebookFields!I2:I999, MATCH(D2304,RulebookFields!A2:A999, 0)), "")</f>
        <v>0</v>
      </c>
      <c r="K2304" s="3" t="b">
        <f>AND(F2304, J2304)</f>
        <v>0</v>
      </c>
      <c r="L2304" s="3" t="b">
        <f>AND(G2304 &lt;&gt; "plain", G2304 &lt;&gt; "")</f>
        <v>0</v>
      </c>
      <c r="M2304" s="3" t="str">
        <f>IF(E2304, C2304 &amp; "|" &amp; H2304, "")</f>
        <v>principal-knowledge-authority|Explanations</v>
      </c>
      <c r="N2304" s="2" t="s">
        <v>9938</v>
      </c>
    </row>
    <row r="2305">
      <c r="A2305" s="2" t="s">
        <v>12241</v>
      </c>
      <c r="B2305" s="3" t="str">
        <f>C2305 &amp; " -&gt; " &amp; D2305</f>
        <v>principal-knowledge-authority -&gt; Functions.FunctionId</v>
      </c>
      <c r="C2305" s="2" t="s">
        <v>9708</v>
      </c>
      <c r="D2305" s="2" t="s">
        <v>2950</v>
      </c>
      <c r="E2305" s="2" t="b">
        <v>1</v>
      </c>
      <c r="F2305" s="2" t="b">
        <v>0</v>
      </c>
      <c r="G2305" s="2" t="s">
        <v>9937</v>
      </c>
      <c r="H2305" s="3" t="str">
        <f>_xlfn.IFNA(INDEX(RulebookFields!C2:C999, MATCH(D2305,RulebookFields!A2:A999, 0)), "")</f>
        <v>Functions</v>
      </c>
      <c r="I2305" s="3" t="str">
        <f>_xlfn.IFNA(INDEX(RulebookFields!D2:D999, MATCH(D2305,RulebookFields!A2:A999, 0)), "")</f>
        <v>FunctionId</v>
      </c>
      <c r="J2305" s="3" t="b">
        <f>_xlfn.IFNA(INDEX(RulebookFields!I2:I999, MATCH(D2305,RulebookFields!A2:A999, 0)), "")</f>
        <v>0</v>
      </c>
      <c r="K2305" s="3" t="b">
        <f>AND(F2305, J2305)</f>
        <v>0</v>
      </c>
      <c r="L2305" s="3" t="b">
        <f>AND(G2305 &lt;&gt; "plain", G2305 &lt;&gt; "")</f>
        <v>0</v>
      </c>
      <c r="M2305" s="3" t="str">
        <f>IF(E2305, C2305 &amp; "|" &amp; H2305, "")</f>
        <v>principal-knowledge-authority|Functions</v>
      </c>
      <c r="N2305" s="2" t="s">
        <v>9938</v>
      </c>
    </row>
    <row r="2306">
      <c r="A2306" s="2" t="s">
        <v>12242</v>
      </c>
      <c r="B2306" s="3" t="str">
        <f>C2306 &amp; " -&gt; " &amp; D2306</f>
        <v>principal-knowledge-authority -&gt; Functions.Name</v>
      </c>
      <c r="C2306" s="2" t="s">
        <v>9708</v>
      </c>
      <c r="D2306" s="2" t="s">
        <v>2951</v>
      </c>
      <c r="E2306" s="2" t="b">
        <v>1</v>
      </c>
      <c r="F2306" s="2" t="b">
        <v>0</v>
      </c>
      <c r="G2306" s="2" t="s">
        <v>9937</v>
      </c>
      <c r="H2306" s="3" t="str">
        <f>_xlfn.IFNA(INDEX(RulebookFields!C2:C999, MATCH(D2306,RulebookFields!A2:A999, 0)), "")</f>
        <v>Functions</v>
      </c>
      <c r="I2306" s="3" t="str">
        <f>_xlfn.IFNA(INDEX(RulebookFields!D2:D999, MATCH(D2306,RulebookFields!A2:A999, 0)), "")</f>
        <v>Name</v>
      </c>
      <c r="J2306" s="3" t="b">
        <f>_xlfn.IFNA(INDEX(RulebookFields!I2:I999, MATCH(D2306,RulebookFields!A2:A999, 0)), "")</f>
        <v>1</v>
      </c>
      <c r="K2306" s="3" t="b">
        <f>AND(F2306, J2306)</f>
        <v>0</v>
      </c>
      <c r="L2306" s="3" t="b">
        <f>AND(G2306 &lt;&gt; "plain", G2306 &lt;&gt; "")</f>
        <v>0</v>
      </c>
      <c r="M2306" s="3" t="str">
        <f>IF(E2306, C2306 &amp; "|" &amp; H2306, "")</f>
        <v>principal-knowledge-authority|Functions</v>
      </c>
      <c r="N2306" s="2" t="s">
        <v>9938</v>
      </c>
    </row>
    <row r="2307">
      <c r="A2307" s="2" t="s">
        <v>12243</v>
      </c>
      <c r="B2307" s="3" t="str">
        <f>C2307 &amp; " -&gt; " &amp; D2307</f>
        <v>principal-knowledge-authority -&gt; Functions.Label</v>
      </c>
      <c r="C2307" s="2" t="s">
        <v>9708</v>
      </c>
      <c r="D2307" s="2" t="s">
        <v>2952</v>
      </c>
      <c r="E2307" s="2" t="b">
        <v>1</v>
      </c>
      <c r="F2307" s="2" t="b">
        <v>0</v>
      </c>
      <c r="G2307" s="2" t="s">
        <v>9937</v>
      </c>
      <c r="H2307" s="3" t="str">
        <f>_xlfn.IFNA(INDEX(RulebookFields!C2:C999, MATCH(D2307,RulebookFields!A2:A999, 0)), "")</f>
        <v>Functions</v>
      </c>
      <c r="I2307" s="3" t="str">
        <f>_xlfn.IFNA(INDEX(RulebookFields!D2:D999, MATCH(D2307,RulebookFields!A2:A999, 0)), "")</f>
        <v>Label</v>
      </c>
      <c r="J2307" s="3" t="b">
        <f>_xlfn.IFNA(INDEX(RulebookFields!I2:I999, MATCH(D2307,RulebookFields!A2:A999, 0)), "")</f>
        <v>0</v>
      </c>
      <c r="K2307" s="3" t="b">
        <f>AND(F2307, J2307)</f>
        <v>0</v>
      </c>
      <c r="L2307" s="3" t="b">
        <f>AND(G2307 &lt;&gt; "plain", G2307 &lt;&gt; "")</f>
        <v>0</v>
      </c>
      <c r="M2307" s="3" t="str">
        <f>IF(E2307, C2307 &amp; "|" &amp; H2307, "")</f>
        <v>principal-knowledge-authority|Functions</v>
      </c>
      <c r="N2307" s="2" t="s">
        <v>9938</v>
      </c>
    </row>
    <row r="2308">
      <c r="A2308" s="2" t="s">
        <v>12244</v>
      </c>
      <c r="B2308" s="3" t="str">
        <f>C2308 &amp; " -&gt; " &amp; D2308</f>
        <v>principal-knowledge-authority -&gt; Functions.Definition</v>
      </c>
      <c r="C2308" s="2" t="s">
        <v>9708</v>
      </c>
      <c r="D2308" s="2" t="s">
        <v>2953</v>
      </c>
      <c r="E2308" s="2" t="b">
        <v>1</v>
      </c>
      <c r="F2308" s="2" t="b">
        <v>0</v>
      </c>
      <c r="G2308" s="2" t="s">
        <v>9937</v>
      </c>
      <c r="H2308" s="3" t="str">
        <f>_xlfn.IFNA(INDEX(RulebookFields!C2:C999, MATCH(D2308,RulebookFields!A2:A999, 0)), "")</f>
        <v>Functions</v>
      </c>
      <c r="I2308" s="3" t="str">
        <f>_xlfn.IFNA(INDEX(RulebookFields!D2:D999, MATCH(D2308,RulebookFields!A2:A999, 0)), "")</f>
        <v>Definition</v>
      </c>
      <c r="J2308" s="3" t="b">
        <f>_xlfn.IFNA(INDEX(RulebookFields!I2:I999, MATCH(D2308,RulebookFields!A2:A999, 0)), "")</f>
        <v>0</v>
      </c>
      <c r="K2308" s="3" t="b">
        <f>AND(F2308, J2308)</f>
        <v>0</v>
      </c>
      <c r="L2308" s="3" t="b">
        <f>AND(G2308 &lt;&gt; "plain", G2308 &lt;&gt; "")</f>
        <v>0</v>
      </c>
      <c r="M2308" s="3" t="str">
        <f>IF(E2308, C2308 &amp; "|" &amp; H2308, "")</f>
        <v>principal-knowledge-authority|Functions</v>
      </c>
      <c r="N2308" s="2" t="s">
        <v>9938</v>
      </c>
    </row>
    <row r="2309">
      <c r="A2309" s="2" t="s">
        <v>12245</v>
      </c>
      <c r="B2309" s="3" t="str">
        <f>C2309 &amp; " -&gt; " &amp; D2309</f>
        <v>principal-knowledge-authority -&gt; Functions.ImplementationKey</v>
      </c>
      <c r="C2309" s="2" t="s">
        <v>9708</v>
      </c>
      <c r="D2309" s="2" t="s">
        <v>2954</v>
      </c>
      <c r="E2309" s="2" t="b">
        <v>1</v>
      </c>
      <c r="F2309" s="2" t="b">
        <v>0</v>
      </c>
      <c r="G2309" s="2" t="s">
        <v>9937</v>
      </c>
      <c r="H2309" s="3" t="str">
        <f>_xlfn.IFNA(INDEX(RulebookFields!C2:C999, MATCH(D2309,RulebookFields!A2:A999, 0)), "")</f>
        <v>Functions</v>
      </c>
      <c r="I2309" s="3" t="str">
        <f>_xlfn.IFNA(INDEX(RulebookFields!D2:D999, MATCH(D2309,RulebookFields!A2:A999, 0)), "")</f>
        <v>ImplementationKey</v>
      </c>
      <c r="J2309" s="3" t="b">
        <f>_xlfn.IFNA(INDEX(RulebookFields!I2:I999, MATCH(D2309,RulebookFields!A2:A999, 0)), "")</f>
        <v>0</v>
      </c>
      <c r="K2309" s="3" t="b">
        <f>AND(F2309, J2309)</f>
        <v>0</v>
      </c>
      <c r="L2309" s="3" t="b">
        <f>AND(G2309 &lt;&gt; "plain", G2309 &lt;&gt; "")</f>
        <v>0</v>
      </c>
      <c r="M2309" s="3" t="str">
        <f>IF(E2309, C2309 &amp; "|" &amp; H2309, "")</f>
        <v>principal-knowledge-authority|Functions</v>
      </c>
      <c r="N2309" s="2" t="s">
        <v>9938</v>
      </c>
    </row>
    <row r="2310">
      <c r="A2310" s="2" t="s">
        <v>12246</v>
      </c>
      <c r="B2310" s="3" t="str">
        <f>C2310 &amp; " -&gt; " &amp; D2310</f>
        <v>principal-knowledge-authority -&gt; Functions.SemanticTypeIri</v>
      </c>
      <c r="C2310" s="2" t="s">
        <v>9708</v>
      </c>
      <c r="D2310" s="2" t="s">
        <v>2955</v>
      </c>
      <c r="E2310" s="2" t="b">
        <v>1</v>
      </c>
      <c r="F2310" s="2" t="b">
        <v>0</v>
      </c>
      <c r="G2310" s="2" t="s">
        <v>9937</v>
      </c>
      <c r="H2310" s="3" t="str">
        <f>_xlfn.IFNA(INDEX(RulebookFields!C2:C999, MATCH(D2310,RulebookFields!A2:A999, 0)), "")</f>
        <v>Functions</v>
      </c>
      <c r="I2310" s="3" t="str">
        <f>_xlfn.IFNA(INDEX(RulebookFields!D2:D999, MATCH(D2310,RulebookFields!A2:A999, 0)), "")</f>
        <v>SemanticTypeIri</v>
      </c>
      <c r="J2310" s="3" t="b">
        <f>_xlfn.IFNA(INDEX(RulebookFields!I2:I999, MATCH(D2310,RulebookFields!A2:A999, 0)), "")</f>
        <v>0</v>
      </c>
      <c r="K2310" s="3" t="b">
        <f>AND(F2310, J2310)</f>
        <v>0</v>
      </c>
      <c r="L2310" s="3" t="b">
        <f>AND(G2310 &lt;&gt; "plain", G2310 &lt;&gt; "")</f>
        <v>0</v>
      </c>
      <c r="M2310" s="3" t="str">
        <f>IF(E2310, C2310 &amp; "|" &amp; H2310, "")</f>
        <v>principal-knowledge-authority|Functions</v>
      </c>
      <c r="N2310" s="2" t="s">
        <v>9938</v>
      </c>
    </row>
    <row r="2311">
      <c r="A2311" s="2" t="s">
        <v>12247</v>
      </c>
      <c r="B2311" s="3" t="str">
        <f>C2311 &amp; " -&gt; " &amp; D2311</f>
        <v>principal-knowledge-authority -&gt; IssueOccurrences.IssueOccurrenceId</v>
      </c>
      <c r="C2311" s="2" t="s">
        <v>9708</v>
      </c>
      <c r="D2311" s="2" t="s">
        <v>3794</v>
      </c>
      <c r="E2311" s="2" t="b">
        <v>1</v>
      </c>
      <c r="F2311" s="2" t="b">
        <v>0</v>
      </c>
      <c r="G2311" s="2" t="s">
        <v>9937</v>
      </c>
      <c r="H2311" s="3" t="str">
        <f>_xlfn.IFNA(INDEX(RulebookFields!C2:C999, MATCH(D2311,RulebookFields!A2:A999, 0)), "")</f>
        <v>IssueOccurrences</v>
      </c>
      <c r="I2311" s="3" t="str">
        <f>_xlfn.IFNA(INDEX(RulebookFields!D2:D999, MATCH(D2311,RulebookFields!A2:A999, 0)), "")</f>
        <v>IssueOccurrenceId</v>
      </c>
      <c r="J2311" s="3" t="b">
        <f>_xlfn.IFNA(INDEX(RulebookFields!I2:I999, MATCH(D2311,RulebookFields!A2:A999, 0)), "")</f>
        <v>0</v>
      </c>
      <c r="K2311" s="3" t="b">
        <f>AND(F2311, J2311)</f>
        <v>0</v>
      </c>
      <c r="L2311" s="3" t="b">
        <f>AND(G2311 &lt;&gt; "plain", G2311 &lt;&gt; "")</f>
        <v>0</v>
      </c>
      <c r="M2311" s="3" t="str">
        <f>IF(E2311, C2311 &amp; "|" &amp; H2311, "")</f>
        <v>principal-knowledge-authority|IssueOccurrences</v>
      </c>
      <c r="N2311" s="2" t="s">
        <v>9938</v>
      </c>
    </row>
    <row r="2312">
      <c r="A2312" s="2" t="s">
        <v>12248</v>
      </c>
      <c r="B2312" s="3" t="str">
        <f>C2312 &amp; " -&gt; " &amp; D2312</f>
        <v>principal-knowledge-authority -&gt; IssueOccurrences.Name</v>
      </c>
      <c r="C2312" s="2" t="s">
        <v>9708</v>
      </c>
      <c r="D2312" s="2" t="s">
        <v>3795</v>
      </c>
      <c r="E2312" s="2" t="b">
        <v>1</v>
      </c>
      <c r="F2312" s="2" t="b">
        <v>0</v>
      </c>
      <c r="G2312" s="2" t="s">
        <v>9937</v>
      </c>
      <c r="H2312" s="3" t="str">
        <f>_xlfn.IFNA(INDEX(RulebookFields!C2:C999, MATCH(D2312,RulebookFields!A2:A999, 0)), "")</f>
        <v>IssueOccurrences</v>
      </c>
      <c r="I2312" s="3" t="str">
        <f>_xlfn.IFNA(INDEX(RulebookFields!D2:D999, MATCH(D2312,RulebookFields!A2:A999, 0)), "")</f>
        <v>Name</v>
      </c>
      <c r="J2312" s="3" t="b">
        <f>_xlfn.IFNA(INDEX(RulebookFields!I2:I999, MATCH(D2312,RulebookFields!A2:A999, 0)), "")</f>
        <v>1</v>
      </c>
      <c r="K2312" s="3" t="b">
        <f>AND(F2312, J2312)</f>
        <v>0</v>
      </c>
      <c r="L2312" s="3" t="b">
        <f>AND(G2312 &lt;&gt; "plain", G2312 &lt;&gt; "")</f>
        <v>0</v>
      </c>
      <c r="M2312" s="3" t="str">
        <f>IF(E2312, C2312 &amp; "|" &amp; H2312, "")</f>
        <v>principal-knowledge-authority|IssueOccurrences</v>
      </c>
      <c r="N2312" s="2" t="s">
        <v>9938</v>
      </c>
    </row>
    <row r="2313">
      <c r="A2313" s="2" t="s">
        <v>12249</v>
      </c>
      <c r="B2313" s="3" t="str">
        <f>C2313 &amp; " -&gt; " &amp; D2313</f>
        <v>principal-knowledge-authority -&gt; IssueOccurrences.StepExecution</v>
      </c>
      <c r="C2313" s="2" t="s">
        <v>9708</v>
      </c>
      <c r="D2313" s="2" t="s">
        <v>3797</v>
      </c>
      <c r="E2313" s="2" t="b">
        <v>1</v>
      </c>
      <c r="F2313" s="2" t="b">
        <v>0</v>
      </c>
      <c r="G2313" s="2" t="s">
        <v>9937</v>
      </c>
      <c r="H2313" s="3" t="str">
        <f>_xlfn.IFNA(INDEX(RulebookFields!C2:C999, MATCH(D2313,RulebookFields!A2:A999, 0)), "")</f>
        <v>IssueOccurrences</v>
      </c>
      <c r="I2313" s="3" t="str">
        <f>_xlfn.IFNA(INDEX(RulebookFields!D2:D999, MATCH(D2313,RulebookFields!A2:A999, 0)), "")</f>
        <v>StepExecution</v>
      </c>
      <c r="J2313" s="3" t="b">
        <f>_xlfn.IFNA(INDEX(RulebookFields!I2:I999, MATCH(D2313,RulebookFields!A2:A999, 0)), "")</f>
        <v>0</v>
      </c>
      <c r="K2313" s="3" t="b">
        <f>AND(F2313, J2313)</f>
        <v>0</v>
      </c>
      <c r="L2313" s="3" t="b">
        <f>AND(G2313 &lt;&gt; "plain", G2313 &lt;&gt; "")</f>
        <v>0</v>
      </c>
      <c r="M2313" s="3" t="str">
        <f>IF(E2313, C2313 &amp; "|" &amp; H2313, "")</f>
        <v>principal-knowledge-authority|IssueOccurrences</v>
      </c>
      <c r="N2313" s="2" t="s">
        <v>9938</v>
      </c>
    </row>
    <row r="2314">
      <c r="A2314" s="2" t="s">
        <v>12250</v>
      </c>
      <c r="B2314" s="3" t="str">
        <f>C2314 &amp; " -&gt; " &amp; D2314</f>
        <v>principal-knowledge-authority -&gt; IssueOccurrences.Error</v>
      </c>
      <c r="C2314" s="2" t="s">
        <v>9708</v>
      </c>
      <c r="D2314" s="2" t="s">
        <v>3798</v>
      </c>
      <c r="E2314" s="2" t="b">
        <v>1</v>
      </c>
      <c r="F2314" s="2" t="b">
        <v>0</v>
      </c>
      <c r="G2314" s="2" t="s">
        <v>9937</v>
      </c>
      <c r="H2314" s="3" t="str">
        <f>_xlfn.IFNA(INDEX(RulebookFields!C2:C999, MATCH(D2314,RulebookFields!A2:A999, 0)), "")</f>
        <v>IssueOccurrences</v>
      </c>
      <c r="I2314" s="3" t="str">
        <f>_xlfn.IFNA(INDEX(RulebookFields!D2:D999, MATCH(D2314,RulebookFields!A2:A999, 0)), "")</f>
        <v>Error</v>
      </c>
      <c r="J2314" s="3" t="b">
        <f>_xlfn.IFNA(INDEX(RulebookFields!I2:I999, MATCH(D2314,RulebookFields!A2:A999, 0)), "")</f>
        <v>0</v>
      </c>
      <c r="K2314" s="3" t="b">
        <f>AND(F2314, J2314)</f>
        <v>0</v>
      </c>
      <c r="L2314" s="3" t="b">
        <f>AND(G2314 &lt;&gt; "plain", G2314 &lt;&gt; "")</f>
        <v>0</v>
      </c>
      <c r="M2314" s="3" t="str">
        <f>IF(E2314, C2314 &amp; "|" &amp; H2314, "")</f>
        <v>principal-knowledge-authority|IssueOccurrences</v>
      </c>
      <c r="N2314" s="2" t="s">
        <v>9938</v>
      </c>
    </row>
    <row r="2315">
      <c r="A2315" s="2" t="s">
        <v>12251</v>
      </c>
      <c r="B2315" s="3" t="str">
        <f>C2315 &amp; " -&gt; " &amp; D2315</f>
        <v>principal-knowledge-authority -&gt; IssueOccurrences.EncounteredByAgent</v>
      </c>
      <c r="C2315" s="2" t="s">
        <v>9708</v>
      </c>
      <c r="D2315" s="2" t="s">
        <v>3799</v>
      </c>
      <c r="E2315" s="2" t="b">
        <v>1</v>
      </c>
      <c r="F2315" s="2" t="b">
        <v>0</v>
      </c>
      <c r="G2315" s="2" t="s">
        <v>9937</v>
      </c>
      <c r="H2315" s="3" t="str">
        <f>_xlfn.IFNA(INDEX(RulebookFields!C2:C999, MATCH(D2315,RulebookFields!A2:A999, 0)), "")</f>
        <v>IssueOccurrences</v>
      </c>
      <c r="I2315" s="3" t="str">
        <f>_xlfn.IFNA(INDEX(RulebookFields!D2:D999, MATCH(D2315,RulebookFields!A2:A999, 0)), "")</f>
        <v>EncounteredByAgent</v>
      </c>
      <c r="J2315" s="3" t="b">
        <f>_xlfn.IFNA(INDEX(RulebookFields!I2:I999, MATCH(D2315,RulebookFields!A2:A999, 0)), "")</f>
        <v>0</v>
      </c>
      <c r="K2315" s="3" t="b">
        <f>AND(F2315, J2315)</f>
        <v>0</v>
      </c>
      <c r="L2315" s="3" t="b">
        <f>AND(G2315 &lt;&gt; "plain", G2315 &lt;&gt; "")</f>
        <v>0</v>
      </c>
      <c r="M2315" s="3" t="str">
        <f>IF(E2315, C2315 &amp; "|" &amp; H2315, "")</f>
        <v>principal-knowledge-authority|IssueOccurrences</v>
      </c>
      <c r="N2315" s="2" t="s">
        <v>9938</v>
      </c>
    </row>
    <row r="2316">
      <c r="A2316" s="2" t="s">
        <v>12252</v>
      </c>
      <c r="B2316" s="3" t="str">
        <f>C2316 &amp; " -&gt; " &amp; D2316</f>
        <v>principal-knowledge-authority -&gt; IssueOccurrences.OccurredAt</v>
      </c>
      <c r="C2316" s="2" t="s">
        <v>9708</v>
      </c>
      <c r="D2316" s="2" t="s">
        <v>3800</v>
      </c>
      <c r="E2316" s="2" t="b">
        <v>1</v>
      </c>
      <c r="F2316" s="2" t="b">
        <v>0</v>
      </c>
      <c r="G2316" s="2" t="s">
        <v>9937</v>
      </c>
      <c r="H2316" s="3" t="str">
        <f>_xlfn.IFNA(INDEX(RulebookFields!C2:C999, MATCH(D2316,RulebookFields!A2:A999, 0)), "")</f>
        <v>IssueOccurrences</v>
      </c>
      <c r="I2316" s="3" t="str">
        <f>_xlfn.IFNA(INDEX(RulebookFields!D2:D999, MATCH(D2316,RulebookFields!A2:A999, 0)), "")</f>
        <v>OccurredAt</v>
      </c>
      <c r="J2316" s="3" t="b">
        <f>_xlfn.IFNA(INDEX(RulebookFields!I2:I999, MATCH(D2316,RulebookFields!A2:A999, 0)), "")</f>
        <v>0</v>
      </c>
      <c r="K2316" s="3" t="b">
        <f>AND(F2316, J2316)</f>
        <v>0</v>
      </c>
      <c r="L2316" s="3" t="b">
        <f>AND(G2316 &lt;&gt; "plain", G2316 &lt;&gt; "")</f>
        <v>0</v>
      </c>
      <c r="M2316" s="3" t="str">
        <f>IF(E2316, C2316 &amp; "|" &amp; H2316, "")</f>
        <v>principal-knowledge-authority|IssueOccurrences</v>
      </c>
      <c r="N2316" s="2" t="s">
        <v>9938</v>
      </c>
    </row>
    <row r="2317">
      <c r="A2317" s="2" t="s">
        <v>12253</v>
      </c>
      <c r="B2317" s="3" t="str">
        <f>C2317 &amp; " -&gt; " &amp; D2317</f>
        <v>principal-knowledge-authority -&gt; IssueOccurrences.IssueCause</v>
      </c>
      <c r="C2317" s="2" t="s">
        <v>9708</v>
      </c>
      <c r="D2317" s="2" t="s">
        <v>3801</v>
      </c>
      <c r="E2317" s="2" t="b">
        <v>1</v>
      </c>
      <c r="F2317" s="2" t="b">
        <v>0</v>
      </c>
      <c r="G2317" s="2" t="s">
        <v>9937</v>
      </c>
      <c r="H2317" s="3" t="str">
        <f>_xlfn.IFNA(INDEX(RulebookFields!C2:C999, MATCH(D2317,RulebookFields!A2:A999, 0)), "")</f>
        <v>IssueOccurrences</v>
      </c>
      <c r="I2317" s="3" t="str">
        <f>_xlfn.IFNA(INDEX(RulebookFields!D2:D999, MATCH(D2317,RulebookFields!A2:A999, 0)), "")</f>
        <v>IssueCause</v>
      </c>
      <c r="J2317" s="3" t="b">
        <f>_xlfn.IFNA(INDEX(RulebookFields!I2:I999, MATCH(D2317,RulebookFields!A2:A999, 0)), "")</f>
        <v>0</v>
      </c>
      <c r="K2317" s="3" t="b">
        <f>AND(F2317, J2317)</f>
        <v>0</v>
      </c>
      <c r="L2317" s="3" t="b">
        <f>AND(G2317 &lt;&gt; "plain", G2317 &lt;&gt; "")</f>
        <v>0</v>
      </c>
      <c r="M2317" s="3" t="str">
        <f>IF(E2317, C2317 &amp; "|" &amp; H2317, "")</f>
        <v>principal-knowledge-authority|IssueOccurrences</v>
      </c>
      <c r="N2317" s="2" t="s">
        <v>9938</v>
      </c>
    </row>
    <row r="2318">
      <c r="A2318" s="2" t="s">
        <v>12254</v>
      </c>
      <c r="B2318" s="3" t="str">
        <f>C2318 &amp; " -&gt; " &amp; D2318</f>
        <v>principal-knowledge-authority -&gt; IssueOccurrences.IssueSolution</v>
      </c>
      <c r="C2318" s="2" t="s">
        <v>9708</v>
      </c>
      <c r="D2318" s="2" t="s">
        <v>3802</v>
      </c>
      <c r="E2318" s="2" t="b">
        <v>1</v>
      </c>
      <c r="F2318" s="2" t="b">
        <v>0</v>
      </c>
      <c r="G2318" s="2" t="s">
        <v>9937</v>
      </c>
      <c r="H2318" s="3" t="str">
        <f>_xlfn.IFNA(INDEX(RulebookFields!C2:C999, MATCH(D2318,RulebookFields!A2:A999, 0)), "")</f>
        <v>IssueOccurrences</v>
      </c>
      <c r="I2318" s="3" t="str">
        <f>_xlfn.IFNA(INDEX(RulebookFields!D2:D999, MATCH(D2318,RulebookFields!A2:A999, 0)), "")</f>
        <v>IssueSolution</v>
      </c>
      <c r="J2318" s="3" t="b">
        <f>_xlfn.IFNA(INDEX(RulebookFields!I2:I999, MATCH(D2318,RulebookFields!A2:A999, 0)), "")</f>
        <v>0</v>
      </c>
      <c r="K2318" s="3" t="b">
        <f>AND(F2318, J2318)</f>
        <v>0</v>
      </c>
      <c r="L2318" s="3" t="b">
        <f>AND(G2318 &lt;&gt; "plain", G2318 &lt;&gt; "")</f>
        <v>0</v>
      </c>
      <c r="M2318" s="3" t="str">
        <f>IF(E2318, C2318 &amp; "|" &amp; H2318, "")</f>
        <v>principal-knowledge-authority|IssueOccurrences</v>
      </c>
      <c r="N2318" s="2" t="s">
        <v>9938</v>
      </c>
    </row>
    <row r="2319">
      <c r="A2319" s="2" t="s">
        <v>12255</v>
      </c>
      <c r="B2319" s="3" t="str">
        <f>C2319 &amp; " -&gt; " &amp; D2319</f>
        <v>principal-knowledge-authority -&gt; IssueOccurrences.Status</v>
      </c>
      <c r="C2319" s="2" t="s">
        <v>9708</v>
      </c>
      <c r="D2319" s="2" t="s">
        <v>3803</v>
      </c>
      <c r="E2319" s="2" t="b">
        <v>1</v>
      </c>
      <c r="F2319" s="2" t="b">
        <v>0</v>
      </c>
      <c r="G2319" s="2" t="s">
        <v>9937</v>
      </c>
      <c r="H2319" s="3" t="str">
        <f>_xlfn.IFNA(INDEX(RulebookFields!C2:C999, MATCH(D2319,RulebookFields!A2:A999, 0)), "")</f>
        <v>IssueOccurrences</v>
      </c>
      <c r="I2319" s="3" t="str">
        <f>_xlfn.IFNA(INDEX(RulebookFields!D2:D999, MATCH(D2319,RulebookFields!A2:A999, 0)), "")</f>
        <v>Status</v>
      </c>
      <c r="J2319" s="3" t="b">
        <f>_xlfn.IFNA(INDEX(RulebookFields!I2:I999, MATCH(D2319,RulebookFields!A2:A999, 0)), "")</f>
        <v>0</v>
      </c>
      <c r="K2319" s="3" t="b">
        <f>AND(F2319, J2319)</f>
        <v>0</v>
      </c>
      <c r="L2319" s="3" t="b">
        <f>AND(G2319 &lt;&gt; "plain", G2319 &lt;&gt; "")</f>
        <v>0</v>
      </c>
      <c r="M2319" s="3" t="str">
        <f>IF(E2319, C2319 &amp; "|" &amp; H2319, "")</f>
        <v>principal-knowledge-authority|IssueOccurrences</v>
      </c>
      <c r="N2319" s="2" t="s">
        <v>9938</v>
      </c>
    </row>
    <row r="2320">
      <c r="A2320" s="2" t="s">
        <v>12256</v>
      </c>
      <c r="B2320" s="3" t="str">
        <f>C2320 &amp; " -&gt; " &amp; D2320</f>
        <v>principal-knowledge-authority -&gt; IssueOccurrences.IsUnresolved</v>
      </c>
      <c r="C2320" s="2" t="s">
        <v>9708</v>
      </c>
      <c r="D2320" s="2" t="s">
        <v>3804</v>
      </c>
      <c r="E2320" s="2" t="b">
        <v>1</v>
      </c>
      <c r="F2320" s="2" t="b">
        <v>0</v>
      </c>
      <c r="G2320" s="2" t="s">
        <v>9937</v>
      </c>
      <c r="H2320" s="3" t="str">
        <f>_xlfn.IFNA(INDEX(RulebookFields!C2:C999, MATCH(D2320,RulebookFields!A2:A999, 0)), "")</f>
        <v>IssueOccurrences</v>
      </c>
      <c r="I2320" s="3" t="str">
        <f>_xlfn.IFNA(INDEX(RulebookFields!D2:D999, MATCH(D2320,RulebookFields!A2:A999, 0)), "")</f>
        <v>IsUnresolved</v>
      </c>
      <c r="J2320" s="3" t="b">
        <f>_xlfn.IFNA(INDEX(RulebookFields!I2:I999, MATCH(D2320,RulebookFields!A2:A999, 0)), "")</f>
        <v>1</v>
      </c>
      <c r="K2320" s="3" t="b">
        <f>AND(F2320, J2320)</f>
        <v>0</v>
      </c>
      <c r="L2320" s="3" t="b">
        <f>AND(G2320 &lt;&gt; "plain", G2320 &lt;&gt; "")</f>
        <v>0</v>
      </c>
      <c r="M2320" s="3" t="str">
        <f>IF(E2320, C2320 &amp; "|" &amp; H2320, "")</f>
        <v>principal-knowledge-authority|IssueOccurrences</v>
      </c>
      <c r="N2320" s="2" t="s">
        <v>9938</v>
      </c>
    </row>
    <row r="2321">
      <c r="A2321" s="2" t="s">
        <v>12257</v>
      </c>
      <c r="B2321" s="3" t="str">
        <f>C2321 &amp; " -&gt; " &amp; D2321</f>
        <v>principal-knowledge-authority -&gt; IssueOccurrences.StepExecutionWhenUnresolved</v>
      </c>
      <c r="C2321" s="2" t="s">
        <v>9708</v>
      </c>
      <c r="D2321" s="2" t="s">
        <v>3806</v>
      </c>
      <c r="E2321" s="2" t="b">
        <v>1</v>
      </c>
      <c r="F2321" s="2" t="b">
        <v>0</v>
      </c>
      <c r="G2321" s="2" t="s">
        <v>9937</v>
      </c>
      <c r="H2321" s="3" t="str">
        <f>_xlfn.IFNA(INDEX(RulebookFields!C2:C999, MATCH(D2321,RulebookFields!A2:A999, 0)), "")</f>
        <v>IssueOccurrences</v>
      </c>
      <c r="I2321" s="3" t="str">
        <f>_xlfn.IFNA(INDEX(RulebookFields!D2:D999, MATCH(D2321,RulebookFields!A2:A999, 0)), "")</f>
        <v>StepExecutionWhenUnresolved</v>
      </c>
      <c r="J2321" s="3" t="b">
        <f>_xlfn.IFNA(INDEX(RulebookFields!I2:I999, MATCH(D2321,RulebookFields!A2:A999, 0)), "")</f>
        <v>1</v>
      </c>
      <c r="K2321" s="3" t="b">
        <f>AND(F2321, J2321)</f>
        <v>0</v>
      </c>
      <c r="L2321" s="3" t="b">
        <f>AND(G2321 &lt;&gt; "plain", G2321 &lt;&gt; "")</f>
        <v>0</v>
      </c>
      <c r="M2321" s="3" t="str">
        <f>IF(E2321, C2321 &amp; "|" &amp; H2321, "")</f>
        <v>principal-knowledge-authority|IssueOccurrences</v>
      </c>
      <c r="N2321" s="2" t="s">
        <v>9938</v>
      </c>
    </row>
    <row r="2322">
      <c r="A2322" s="2" t="s">
        <v>12258</v>
      </c>
      <c r="B2322" s="3" t="str">
        <f>C2322 &amp; " -&gt; " &amp; D2322</f>
        <v>principal-knowledge-authority -&gt; IssueOccurrences.SemanticTypeIri</v>
      </c>
      <c r="C2322" s="2" t="s">
        <v>9708</v>
      </c>
      <c r="D2322" s="2" t="s">
        <v>3808</v>
      </c>
      <c r="E2322" s="2" t="b">
        <v>1</v>
      </c>
      <c r="F2322" s="2" t="b">
        <v>0</v>
      </c>
      <c r="G2322" s="2" t="s">
        <v>9937</v>
      </c>
      <c r="H2322" s="3" t="str">
        <f>_xlfn.IFNA(INDEX(RulebookFields!C2:C999, MATCH(D2322,RulebookFields!A2:A999, 0)), "")</f>
        <v>IssueOccurrences</v>
      </c>
      <c r="I2322" s="3" t="str">
        <f>_xlfn.IFNA(INDEX(RulebookFields!D2:D999, MATCH(D2322,RulebookFields!A2:A999, 0)), "")</f>
        <v>SemanticTypeIri</v>
      </c>
      <c r="J2322" s="3" t="b">
        <f>_xlfn.IFNA(INDEX(RulebookFields!I2:I999, MATCH(D2322,RulebookFields!A2:A999, 0)), "")</f>
        <v>0</v>
      </c>
      <c r="K2322" s="3" t="b">
        <f>AND(F2322, J2322)</f>
        <v>0</v>
      </c>
      <c r="L2322" s="3" t="b">
        <f>AND(G2322 &lt;&gt; "plain", G2322 &lt;&gt; "")</f>
        <v>0</v>
      </c>
      <c r="M2322" s="3" t="str">
        <f>IF(E2322, C2322 &amp; "|" &amp; H2322, "")</f>
        <v>principal-knowledge-authority|IssueOccurrences</v>
      </c>
      <c r="N2322" s="2" t="s">
        <v>9938</v>
      </c>
    </row>
    <row r="2323">
      <c r="A2323" s="2" t="s">
        <v>12259</v>
      </c>
      <c r="B2323" s="3" t="str">
        <f>C2323 &amp; " -&gt; " &amp; D2323</f>
        <v>principal-knowledge-authority -&gt; KnowledgeFragments.KnowledgeFragmentId</v>
      </c>
      <c r="C2323" s="2" t="s">
        <v>9708</v>
      </c>
      <c r="D2323" s="2" t="s">
        <v>3159</v>
      </c>
      <c r="E2323" s="2" t="b">
        <v>1</v>
      </c>
      <c r="F2323" s="2" t="b">
        <v>0</v>
      </c>
      <c r="G2323" s="2" t="s">
        <v>9937</v>
      </c>
      <c r="H2323" s="3" t="str">
        <f>_xlfn.IFNA(INDEX(RulebookFields!C2:C999, MATCH(D2323,RulebookFields!A2:A999, 0)), "")</f>
        <v>KnowledgeFragments</v>
      </c>
      <c r="I2323" s="3" t="str">
        <f>_xlfn.IFNA(INDEX(RulebookFields!D2:D999, MATCH(D2323,RulebookFields!A2:A999, 0)), "")</f>
        <v>KnowledgeFragmentId</v>
      </c>
      <c r="J2323" s="3" t="b">
        <f>_xlfn.IFNA(INDEX(RulebookFields!I2:I999, MATCH(D2323,RulebookFields!A2:A999, 0)), "")</f>
        <v>0</v>
      </c>
      <c r="K2323" s="3" t="b">
        <f>AND(F2323, J2323)</f>
        <v>0</v>
      </c>
      <c r="L2323" s="3" t="b">
        <f>AND(G2323 &lt;&gt; "plain", G2323 &lt;&gt; "")</f>
        <v>0</v>
      </c>
      <c r="M2323" s="3" t="str">
        <f>IF(E2323, C2323 &amp; "|" &amp; H2323, "")</f>
        <v>principal-knowledge-authority|KnowledgeFragments</v>
      </c>
      <c r="N2323" s="2" t="s">
        <v>9938</v>
      </c>
    </row>
    <row r="2324">
      <c r="A2324" s="2" t="s">
        <v>12260</v>
      </c>
      <c r="B2324" s="3" t="str">
        <f>C2324 &amp; " -&gt; " &amp; D2324</f>
        <v>principal-knowledge-authority -&gt; KnowledgeFragments.Name</v>
      </c>
      <c r="C2324" s="2" t="s">
        <v>9708</v>
      </c>
      <c r="D2324" s="2" t="s">
        <v>3160</v>
      </c>
      <c r="E2324" s="2" t="b">
        <v>1</v>
      </c>
      <c r="F2324" s="2" t="b">
        <v>0</v>
      </c>
      <c r="G2324" s="2" t="s">
        <v>9937</v>
      </c>
      <c r="H2324" s="3" t="str">
        <f>_xlfn.IFNA(INDEX(RulebookFields!C2:C999, MATCH(D2324,RulebookFields!A2:A999, 0)), "")</f>
        <v>KnowledgeFragments</v>
      </c>
      <c r="I2324" s="3" t="str">
        <f>_xlfn.IFNA(INDEX(RulebookFields!D2:D999, MATCH(D2324,RulebookFields!A2:A999, 0)), "")</f>
        <v>Name</v>
      </c>
      <c r="J2324" s="3" t="b">
        <f>_xlfn.IFNA(INDEX(RulebookFields!I2:I999, MATCH(D2324,RulebookFields!A2:A999, 0)), "")</f>
        <v>1</v>
      </c>
      <c r="K2324" s="3" t="b">
        <f>AND(F2324, J2324)</f>
        <v>0</v>
      </c>
      <c r="L2324" s="3" t="b">
        <f>AND(G2324 &lt;&gt; "plain", G2324 &lt;&gt; "")</f>
        <v>0</v>
      </c>
      <c r="M2324" s="3" t="str">
        <f>IF(E2324, C2324 &amp; "|" &amp; H2324, "")</f>
        <v>principal-knowledge-authority|KnowledgeFragments</v>
      </c>
      <c r="N2324" s="2" t="s">
        <v>9938</v>
      </c>
    </row>
    <row r="2325">
      <c r="A2325" s="2" t="s">
        <v>12261</v>
      </c>
      <c r="B2325" s="3" t="str">
        <f>C2325 &amp; " -&gt; " &amp; D2325</f>
        <v>principal-knowledge-authority -&gt; KnowledgeFragments.ProcedureVersion</v>
      </c>
      <c r="C2325" s="2" t="s">
        <v>9708</v>
      </c>
      <c r="D2325" s="2" t="s">
        <v>3162</v>
      </c>
      <c r="E2325" s="2" t="b">
        <v>1</v>
      </c>
      <c r="F2325" s="2" t="b">
        <v>0</v>
      </c>
      <c r="G2325" s="2" t="s">
        <v>9937</v>
      </c>
      <c r="H2325" s="3" t="str">
        <f>_xlfn.IFNA(INDEX(RulebookFields!C2:C999, MATCH(D2325,RulebookFields!A2:A999, 0)), "")</f>
        <v>KnowledgeFragments</v>
      </c>
      <c r="I2325" s="3" t="str">
        <f>_xlfn.IFNA(INDEX(RulebookFields!D2:D999, MATCH(D2325,RulebookFields!A2:A999, 0)), "")</f>
        <v>ProcedureVersion</v>
      </c>
      <c r="J2325" s="3" t="b">
        <f>_xlfn.IFNA(INDEX(RulebookFields!I2:I999, MATCH(D2325,RulebookFields!A2:A999, 0)), "")</f>
        <v>0</v>
      </c>
      <c r="K2325" s="3" t="b">
        <f>AND(F2325, J2325)</f>
        <v>0</v>
      </c>
      <c r="L2325" s="3" t="b">
        <f>AND(G2325 &lt;&gt; "plain", G2325 &lt;&gt; "")</f>
        <v>0</v>
      </c>
      <c r="M2325" s="3" t="str">
        <f>IF(E2325, C2325 &amp; "|" &amp; H2325, "")</f>
        <v>principal-knowledge-authority|KnowledgeFragments</v>
      </c>
      <c r="N2325" s="2" t="s">
        <v>9938</v>
      </c>
    </row>
    <row r="2326">
      <c r="A2326" s="2" t="s">
        <v>12262</v>
      </c>
      <c r="B2326" s="3" t="str">
        <f>C2326 &amp; " -&gt; " &amp; D2326</f>
        <v>principal-knowledge-authority -&gt; KnowledgeFragments.Step</v>
      </c>
      <c r="C2326" s="2" t="s">
        <v>9708</v>
      </c>
      <c r="D2326" s="2" t="s">
        <v>3163</v>
      </c>
      <c r="E2326" s="2" t="b">
        <v>1</v>
      </c>
      <c r="F2326" s="2" t="b">
        <v>0</v>
      </c>
      <c r="G2326" s="2" t="s">
        <v>9937</v>
      </c>
      <c r="H2326" s="3" t="str">
        <f>_xlfn.IFNA(INDEX(RulebookFields!C2:C999, MATCH(D2326,RulebookFields!A2:A999, 0)), "")</f>
        <v>KnowledgeFragments</v>
      </c>
      <c r="I2326" s="3" t="str">
        <f>_xlfn.IFNA(INDEX(RulebookFields!D2:D999, MATCH(D2326,RulebookFields!A2:A999, 0)), "")</f>
        <v>Step</v>
      </c>
      <c r="J2326" s="3" t="b">
        <f>_xlfn.IFNA(INDEX(RulebookFields!I2:I999, MATCH(D2326,RulebookFields!A2:A999, 0)), "")</f>
        <v>0</v>
      </c>
      <c r="K2326" s="3" t="b">
        <f>AND(F2326, J2326)</f>
        <v>0</v>
      </c>
      <c r="L2326" s="3" t="b">
        <f>AND(G2326 &lt;&gt; "plain", G2326 &lt;&gt; "")</f>
        <v>0</v>
      </c>
      <c r="M2326" s="3" t="str">
        <f>IF(E2326, C2326 &amp; "|" &amp; H2326, "")</f>
        <v>principal-knowledge-authority|KnowledgeFragments</v>
      </c>
      <c r="N2326" s="2" t="s">
        <v>9938</v>
      </c>
    </row>
    <row r="2327">
      <c r="A2327" s="2" t="s">
        <v>12263</v>
      </c>
      <c r="B2327" s="3" t="str">
        <f>C2327 &amp; " -&gt; " &amp; D2327</f>
        <v>principal-knowledge-authority -&gt; KnowledgeFragments.KnowledgeForm</v>
      </c>
      <c r="C2327" s="2" t="s">
        <v>9708</v>
      </c>
      <c r="D2327" s="2" t="s">
        <v>3164</v>
      </c>
      <c r="E2327" s="2" t="b">
        <v>1</v>
      </c>
      <c r="F2327" s="2" t="b">
        <v>0</v>
      </c>
      <c r="G2327" s="2" t="s">
        <v>9937</v>
      </c>
      <c r="H2327" s="3" t="str">
        <f>_xlfn.IFNA(INDEX(RulebookFields!C2:C999, MATCH(D2327,RulebookFields!A2:A999, 0)), "")</f>
        <v>KnowledgeFragments</v>
      </c>
      <c r="I2327" s="3" t="str">
        <f>_xlfn.IFNA(INDEX(RulebookFields!D2:D999, MATCH(D2327,RulebookFields!A2:A999, 0)), "")</f>
        <v>KnowledgeForm</v>
      </c>
      <c r="J2327" s="3" t="b">
        <f>_xlfn.IFNA(INDEX(RulebookFields!I2:I999, MATCH(D2327,RulebookFields!A2:A999, 0)), "")</f>
        <v>0</v>
      </c>
      <c r="K2327" s="3" t="b">
        <f>AND(F2327, J2327)</f>
        <v>0</v>
      </c>
      <c r="L2327" s="3" t="b">
        <f>AND(G2327 &lt;&gt; "plain", G2327 &lt;&gt; "")</f>
        <v>0</v>
      </c>
      <c r="M2327" s="3" t="str">
        <f>IF(E2327, C2327 &amp; "|" &amp; H2327, "")</f>
        <v>principal-knowledge-authority|KnowledgeFragments</v>
      </c>
      <c r="N2327" s="2" t="s">
        <v>9938</v>
      </c>
    </row>
    <row r="2328">
      <c r="A2328" s="2" t="s">
        <v>12264</v>
      </c>
      <c r="B2328" s="3" t="str">
        <f>C2328 &amp; " -&gt; " &amp; D2328</f>
        <v>principal-knowledge-authority -&gt; KnowledgeFragments.Statement</v>
      </c>
      <c r="C2328" s="2" t="s">
        <v>9708</v>
      </c>
      <c r="D2328" s="2" t="s">
        <v>3165</v>
      </c>
      <c r="E2328" s="2" t="b">
        <v>1</v>
      </c>
      <c r="F2328" s="2" t="b">
        <v>0</v>
      </c>
      <c r="G2328" s="2" t="s">
        <v>9937</v>
      </c>
      <c r="H2328" s="3" t="str">
        <f>_xlfn.IFNA(INDEX(RulebookFields!C2:C999, MATCH(D2328,RulebookFields!A2:A999, 0)), "")</f>
        <v>KnowledgeFragments</v>
      </c>
      <c r="I2328" s="3" t="str">
        <f>_xlfn.IFNA(INDEX(RulebookFields!D2:D999, MATCH(D2328,RulebookFields!A2:A999, 0)), "")</f>
        <v>Statement</v>
      </c>
      <c r="J2328" s="3" t="b">
        <f>_xlfn.IFNA(INDEX(RulebookFields!I2:I999, MATCH(D2328,RulebookFields!A2:A999, 0)), "")</f>
        <v>0</v>
      </c>
      <c r="K2328" s="3" t="b">
        <f>AND(F2328, J2328)</f>
        <v>0</v>
      </c>
      <c r="L2328" s="3" t="b">
        <f>AND(G2328 &lt;&gt; "plain", G2328 &lt;&gt; "")</f>
        <v>0</v>
      </c>
      <c r="M2328" s="3" t="str">
        <f>IF(E2328, C2328 &amp; "|" &amp; H2328, "")</f>
        <v>principal-knowledge-authority|KnowledgeFragments</v>
      </c>
      <c r="N2328" s="2" t="s">
        <v>9938</v>
      </c>
    </row>
    <row r="2329">
      <c r="A2329" s="2" t="s">
        <v>12265</v>
      </c>
      <c r="B2329" s="3" t="str">
        <f>C2329 &amp; " -&gt; " &amp; D2329</f>
        <v>principal-knowledge-authority -&gt; KnowledgeFragments.ElicitationSession</v>
      </c>
      <c r="C2329" s="2" t="s">
        <v>9708</v>
      </c>
      <c r="D2329" s="2" t="s">
        <v>3166</v>
      </c>
      <c r="E2329" s="2" t="b">
        <v>1</v>
      </c>
      <c r="F2329" s="2" t="b">
        <v>0</v>
      </c>
      <c r="G2329" s="2" t="s">
        <v>9937</v>
      </c>
      <c r="H2329" s="3" t="str">
        <f>_xlfn.IFNA(INDEX(RulebookFields!C2:C999, MATCH(D2329,RulebookFields!A2:A999, 0)), "")</f>
        <v>KnowledgeFragments</v>
      </c>
      <c r="I2329" s="3" t="str">
        <f>_xlfn.IFNA(INDEX(RulebookFields!D2:D999, MATCH(D2329,RulebookFields!A2:A999, 0)), "")</f>
        <v>ElicitationSession</v>
      </c>
      <c r="J2329" s="3" t="b">
        <f>_xlfn.IFNA(INDEX(RulebookFields!I2:I999, MATCH(D2329,RulebookFields!A2:A999, 0)), "")</f>
        <v>0</v>
      </c>
      <c r="K2329" s="3" t="b">
        <f>AND(F2329, J2329)</f>
        <v>0</v>
      </c>
      <c r="L2329" s="3" t="b">
        <f>AND(G2329 &lt;&gt; "plain", G2329 &lt;&gt; "")</f>
        <v>0</v>
      </c>
      <c r="M2329" s="3" t="str">
        <f>IF(E2329, C2329 &amp; "|" &amp; H2329, "")</f>
        <v>principal-knowledge-authority|KnowledgeFragments</v>
      </c>
      <c r="N2329" s="2" t="s">
        <v>9938</v>
      </c>
    </row>
    <row r="2330">
      <c r="A2330" s="2" t="s">
        <v>12266</v>
      </c>
      <c r="B2330" s="3" t="str">
        <f>C2330 &amp; " -&gt; " &amp; D2330</f>
        <v>principal-knowledge-authority -&gt; KnowledgeFragments.SourceAgent</v>
      </c>
      <c r="C2330" s="2" t="s">
        <v>9708</v>
      </c>
      <c r="D2330" s="2" t="s">
        <v>3167</v>
      </c>
      <c r="E2330" s="2" t="b">
        <v>1</v>
      </c>
      <c r="F2330" s="2" t="b">
        <v>0</v>
      </c>
      <c r="G2330" s="2" t="s">
        <v>9937</v>
      </c>
      <c r="H2330" s="3" t="str">
        <f>_xlfn.IFNA(INDEX(RulebookFields!C2:C999, MATCH(D2330,RulebookFields!A2:A999, 0)), "")</f>
        <v>KnowledgeFragments</v>
      </c>
      <c r="I2330" s="3" t="str">
        <f>_xlfn.IFNA(INDEX(RulebookFields!D2:D999, MATCH(D2330,RulebookFields!A2:A999, 0)), "")</f>
        <v>SourceAgent</v>
      </c>
      <c r="J2330" s="3" t="b">
        <f>_xlfn.IFNA(INDEX(RulebookFields!I2:I999, MATCH(D2330,RulebookFields!A2:A999, 0)), "")</f>
        <v>0</v>
      </c>
      <c r="K2330" s="3" t="b">
        <f>AND(F2330, J2330)</f>
        <v>0</v>
      </c>
      <c r="L2330" s="3" t="b">
        <f>AND(G2330 &lt;&gt; "plain", G2330 &lt;&gt; "")</f>
        <v>0</v>
      </c>
      <c r="M2330" s="3" t="str">
        <f>IF(E2330, C2330 &amp; "|" &amp; H2330, "")</f>
        <v>principal-knowledge-authority|KnowledgeFragments</v>
      </c>
      <c r="N2330" s="2" t="s">
        <v>9938</v>
      </c>
    </row>
    <row r="2331">
      <c r="A2331" s="2" t="s">
        <v>12267</v>
      </c>
      <c r="B2331" s="3" t="str">
        <f>C2331 &amp; " -&gt; " &amp; D2331</f>
        <v>principal-knowledge-authority -&gt; KnowledgeFragments.Confidence</v>
      </c>
      <c r="C2331" s="2" t="s">
        <v>9708</v>
      </c>
      <c r="D2331" s="2" t="s">
        <v>3168</v>
      </c>
      <c r="E2331" s="2" t="b">
        <v>1</v>
      </c>
      <c r="F2331" s="2" t="b">
        <v>0</v>
      </c>
      <c r="G2331" s="2" t="s">
        <v>9937</v>
      </c>
      <c r="H2331" s="3" t="str">
        <f>_xlfn.IFNA(INDEX(RulebookFields!C2:C999, MATCH(D2331,RulebookFields!A2:A999, 0)), "")</f>
        <v>KnowledgeFragments</v>
      </c>
      <c r="I2331" s="3" t="str">
        <f>_xlfn.IFNA(INDEX(RulebookFields!D2:D999, MATCH(D2331,RulebookFields!A2:A999, 0)), "")</f>
        <v>Confidence</v>
      </c>
      <c r="J2331" s="3" t="b">
        <f>_xlfn.IFNA(INDEX(RulebookFields!I2:I999, MATCH(D2331,RulebookFields!A2:A999, 0)), "")</f>
        <v>0</v>
      </c>
      <c r="K2331" s="3" t="b">
        <f>AND(F2331, J2331)</f>
        <v>0</v>
      </c>
      <c r="L2331" s="3" t="b">
        <f>AND(G2331 &lt;&gt; "plain", G2331 &lt;&gt; "")</f>
        <v>0</v>
      </c>
      <c r="M2331" s="3" t="str">
        <f>IF(E2331, C2331 &amp; "|" &amp; H2331, "")</f>
        <v>principal-knowledge-authority|KnowledgeFragments</v>
      </c>
      <c r="N2331" s="2" t="s">
        <v>9938</v>
      </c>
    </row>
    <row r="2332">
      <c r="A2332" s="2" t="s">
        <v>12268</v>
      </c>
      <c r="B2332" s="3" t="str">
        <f>C2332 &amp; " -&gt; " &amp; D2332</f>
        <v>principal-knowledge-authority -&gt; KnowledgeFragments.ValidFrom</v>
      </c>
      <c r="C2332" s="2" t="s">
        <v>9708</v>
      </c>
      <c r="D2332" s="2" t="s">
        <v>3169</v>
      </c>
      <c r="E2332" s="2" t="b">
        <v>1</v>
      </c>
      <c r="F2332" s="2" t="b">
        <v>0</v>
      </c>
      <c r="G2332" s="2" t="s">
        <v>9937</v>
      </c>
      <c r="H2332" s="3" t="str">
        <f>_xlfn.IFNA(INDEX(RulebookFields!C2:C999, MATCH(D2332,RulebookFields!A2:A999, 0)), "")</f>
        <v>KnowledgeFragments</v>
      </c>
      <c r="I2332" s="3" t="str">
        <f>_xlfn.IFNA(INDEX(RulebookFields!D2:D999, MATCH(D2332,RulebookFields!A2:A999, 0)), "")</f>
        <v>ValidFrom</v>
      </c>
      <c r="J2332" s="3" t="b">
        <f>_xlfn.IFNA(INDEX(RulebookFields!I2:I999, MATCH(D2332,RulebookFields!A2:A999, 0)), "")</f>
        <v>0</v>
      </c>
      <c r="K2332" s="3" t="b">
        <f>AND(F2332, J2332)</f>
        <v>0</v>
      </c>
      <c r="L2332" s="3" t="b">
        <f>AND(G2332 &lt;&gt; "plain", G2332 &lt;&gt; "")</f>
        <v>0</v>
      </c>
      <c r="M2332" s="3" t="str">
        <f>IF(E2332, C2332 &amp; "|" &amp; H2332, "")</f>
        <v>principal-knowledge-authority|KnowledgeFragments</v>
      </c>
      <c r="N2332" s="2" t="s">
        <v>9938</v>
      </c>
    </row>
    <row r="2333">
      <c r="A2333" s="2" t="s">
        <v>12269</v>
      </c>
      <c r="B2333" s="3" t="str">
        <f>C2333 &amp; " -&gt; " &amp; D2333</f>
        <v>principal-knowledge-authority -&gt; KnowledgeFragments.ValidTo</v>
      </c>
      <c r="C2333" s="2" t="s">
        <v>9708</v>
      </c>
      <c r="D2333" s="2" t="s">
        <v>3170</v>
      </c>
      <c r="E2333" s="2" t="b">
        <v>1</v>
      </c>
      <c r="F2333" s="2" t="b">
        <v>0</v>
      </c>
      <c r="G2333" s="2" t="s">
        <v>9937</v>
      </c>
      <c r="H2333" s="3" t="str">
        <f>_xlfn.IFNA(INDEX(RulebookFields!C2:C999, MATCH(D2333,RulebookFields!A2:A999, 0)), "")</f>
        <v>KnowledgeFragments</v>
      </c>
      <c r="I2333" s="3" t="str">
        <f>_xlfn.IFNA(INDEX(RulebookFields!D2:D999, MATCH(D2333,RulebookFields!A2:A999, 0)), "")</f>
        <v>ValidTo</v>
      </c>
      <c r="J2333" s="3" t="b">
        <f>_xlfn.IFNA(INDEX(RulebookFields!I2:I999, MATCH(D2333,RulebookFields!A2:A999, 0)), "")</f>
        <v>0</v>
      </c>
      <c r="K2333" s="3" t="b">
        <f>AND(F2333, J2333)</f>
        <v>0</v>
      </c>
      <c r="L2333" s="3" t="b">
        <f>AND(G2333 &lt;&gt; "plain", G2333 &lt;&gt; "")</f>
        <v>0</v>
      </c>
      <c r="M2333" s="3" t="str">
        <f>IF(E2333, C2333 &amp; "|" &amp; H2333, "")</f>
        <v>principal-knowledge-authority|KnowledgeFragments</v>
      </c>
      <c r="N2333" s="2" t="s">
        <v>9938</v>
      </c>
    </row>
    <row r="2334">
      <c r="A2334" s="2" t="s">
        <v>12270</v>
      </c>
      <c r="B2334" s="3" t="str">
        <f>C2334 &amp; " -&gt; " &amp; D2334</f>
        <v>principal-knowledge-authority -&gt; KnowledgeFragments.Status</v>
      </c>
      <c r="C2334" s="2" t="s">
        <v>9708</v>
      </c>
      <c r="D2334" s="2" t="s">
        <v>3171</v>
      </c>
      <c r="E2334" s="2" t="b">
        <v>1</v>
      </c>
      <c r="F2334" s="2" t="b">
        <v>0</v>
      </c>
      <c r="G2334" s="2" t="s">
        <v>9937</v>
      </c>
      <c r="H2334" s="3" t="str">
        <f>_xlfn.IFNA(INDEX(RulebookFields!C2:C999, MATCH(D2334,RulebookFields!A2:A999, 0)), "")</f>
        <v>KnowledgeFragments</v>
      </c>
      <c r="I2334" s="3" t="str">
        <f>_xlfn.IFNA(INDEX(RulebookFields!D2:D999, MATCH(D2334,RulebookFields!A2:A999, 0)), "")</f>
        <v>Status</v>
      </c>
      <c r="J2334" s="3" t="b">
        <f>_xlfn.IFNA(INDEX(RulebookFields!I2:I999, MATCH(D2334,RulebookFields!A2:A999, 0)), "")</f>
        <v>0</v>
      </c>
      <c r="K2334" s="3" t="b">
        <f>AND(F2334, J2334)</f>
        <v>0</v>
      </c>
      <c r="L2334" s="3" t="b">
        <f>AND(G2334 &lt;&gt; "plain", G2334 &lt;&gt; "")</f>
        <v>0</v>
      </c>
      <c r="M2334" s="3" t="str">
        <f>IF(E2334, C2334 &amp; "|" &amp; H2334, "")</f>
        <v>principal-knowledge-authority|KnowledgeFragments</v>
      </c>
      <c r="N2334" s="2" t="s">
        <v>9938</v>
      </c>
    </row>
    <row r="2335">
      <c r="A2335" s="2" t="s">
        <v>12271</v>
      </c>
      <c r="B2335" s="3" t="str">
        <f>C2335 &amp; " -&gt; " &amp; D2335</f>
        <v>principal-knowledge-authority -&gt; KnowledgeFragments.OwnerRole</v>
      </c>
      <c r="C2335" s="2" t="s">
        <v>9708</v>
      </c>
      <c r="D2335" s="2" t="s">
        <v>3172</v>
      </c>
      <c r="E2335" s="2" t="b">
        <v>1</v>
      </c>
      <c r="F2335" s="2" t="b">
        <v>0</v>
      </c>
      <c r="G2335" s="2" t="s">
        <v>9937</v>
      </c>
      <c r="H2335" s="3" t="str">
        <f>_xlfn.IFNA(INDEX(RulebookFields!C2:C999, MATCH(D2335,RulebookFields!A2:A999, 0)), "")</f>
        <v>KnowledgeFragments</v>
      </c>
      <c r="I2335" s="3" t="str">
        <f>_xlfn.IFNA(INDEX(RulebookFields!D2:D999, MATCH(D2335,RulebookFields!A2:A999, 0)), "")</f>
        <v>OwnerRole</v>
      </c>
      <c r="J2335" s="3" t="b">
        <f>_xlfn.IFNA(INDEX(RulebookFields!I2:I999, MATCH(D2335,RulebookFields!A2:A999, 0)), "")</f>
        <v>0</v>
      </c>
      <c r="K2335" s="3" t="b">
        <f>AND(F2335, J2335)</f>
        <v>0</v>
      </c>
      <c r="L2335" s="3" t="b">
        <f>AND(G2335 &lt;&gt; "plain", G2335 &lt;&gt; "")</f>
        <v>0</v>
      </c>
      <c r="M2335" s="3" t="str">
        <f>IF(E2335, C2335 &amp; "|" &amp; H2335, "")</f>
        <v>principal-knowledge-authority|KnowledgeFragments</v>
      </c>
      <c r="N2335" s="2" t="s">
        <v>9938</v>
      </c>
    </row>
    <row r="2336">
      <c r="A2336" s="2" t="s">
        <v>12272</v>
      </c>
      <c r="B2336" s="3" t="str">
        <f>C2336 &amp; " -&gt; " &amp; D2336</f>
        <v>principal-knowledge-authority -&gt; KnowledgeFragments.EvaluationContext</v>
      </c>
      <c r="C2336" s="2" t="s">
        <v>9708</v>
      </c>
      <c r="D2336" s="2" t="s">
        <v>3173</v>
      </c>
      <c r="E2336" s="2" t="b">
        <v>1</v>
      </c>
      <c r="F2336" s="2" t="b">
        <v>0</v>
      </c>
      <c r="G2336" s="2" t="s">
        <v>9937</v>
      </c>
      <c r="H2336" s="3" t="str">
        <f>_xlfn.IFNA(INDEX(RulebookFields!C2:C999, MATCH(D2336,RulebookFields!A2:A999, 0)), "")</f>
        <v>KnowledgeFragments</v>
      </c>
      <c r="I2336" s="3" t="str">
        <f>_xlfn.IFNA(INDEX(RulebookFields!D2:D999, MATCH(D2336,RulebookFields!A2:A999, 0)), "")</f>
        <v>EvaluationContext</v>
      </c>
      <c r="J2336" s="3" t="b">
        <f>_xlfn.IFNA(INDEX(RulebookFields!I2:I999, MATCH(D2336,RulebookFields!A2:A999, 0)), "")</f>
        <v>0</v>
      </c>
      <c r="K2336" s="3" t="b">
        <f>AND(F2336, J2336)</f>
        <v>0</v>
      </c>
      <c r="L2336" s="3" t="b">
        <f>AND(G2336 &lt;&gt; "plain", G2336 &lt;&gt; "")</f>
        <v>0</v>
      </c>
      <c r="M2336" s="3" t="str">
        <f>IF(E2336, C2336 &amp; "|" &amp; H2336, "")</f>
        <v>principal-knowledge-authority|KnowledgeFragments</v>
      </c>
      <c r="N2336" s="2" t="s">
        <v>9938</v>
      </c>
    </row>
    <row r="2337">
      <c r="A2337" s="2" t="s">
        <v>12273</v>
      </c>
      <c r="B2337" s="3" t="str">
        <f>C2337 &amp; " -&gt; " &amp; D2337</f>
        <v>principal-knowledge-authority -&gt; KnowledgeFragments.AsOfInstant</v>
      </c>
      <c r="C2337" s="2" t="s">
        <v>9708</v>
      </c>
      <c r="D2337" s="2" t="s">
        <v>3174</v>
      </c>
      <c r="E2337" s="2" t="b">
        <v>1</v>
      </c>
      <c r="F2337" s="2" t="b">
        <v>0</v>
      </c>
      <c r="G2337" s="2" t="s">
        <v>9937</v>
      </c>
      <c r="H2337" s="3" t="str">
        <f>_xlfn.IFNA(INDEX(RulebookFields!C2:C999, MATCH(D2337,RulebookFields!A2:A999, 0)), "")</f>
        <v>KnowledgeFragments</v>
      </c>
      <c r="I2337" s="3" t="str">
        <f>_xlfn.IFNA(INDEX(RulebookFields!D2:D999, MATCH(D2337,RulebookFields!A2:A999, 0)), "")</f>
        <v>AsOfInstant</v>
      </c>
      <c r="J2337" s="3" t="b">
        <f>_xlfn.IFNA(INDEX(RulebookFields!I2:I999, MATCH(D2337,RulebookFields!A2:A999, 0)), "")</f>
        <v>1</v>
      </c>
      <c r="K2337" s="3" t="b">
        <f>AND(F2337, J2337)</f>
        <v>0</v>
      </c>
      <c r="L2337" s="3" t="b">
        <f>AND(G2337 &lt;&gt; "plain", G2337 &lt;&gt; "")</f>
        <v>0</v>
      </c>
      <c r="M2337" s="3" t="str">
        <f>IF(E2337, C2337 &amp; "|" &amp; H2337, "")</f>
        <v>principal-knowledge-authority|KnowledgeFragments</v>
      </c>
      <c r="N2337" s="2" t="s">
        <v>9938</v>
      </c>
    </row>
    <row r="2338">
      <c r="A2338" s="2" t="s">
        <v>12274</v>
      </c>
      <c r="B2338" s="3" t="str">
        <f>C2338 &amp; " -&gt; " &amp; D2338</f>
        <v>principal-knowledge-authority -&gt; KnowledgeFragments.IsCurrentlyValid</v>
      </c>
      <c r="C2338" s="2" t="s">
        <v>9708</v>
      </c>
      <c r="D2338" s="2" t="s">
        <v>3175</v>
      </c>
      <c r="E2338" s="2" t="b">
        <v>1</v>
      </c>
      <c r="F2338" s="2" t="b">
        <v>0</v>
      </c>
      <c r="G2338" s="2" t="s">
        <v>9937</v>
      </c>
      <c r="H2338" s="3" t="str">
        <f>_xlfn.IFNA(INDEX(RulebookFields!C2:C999, MATCH(D2338,RulebookFields!A2:A999, 0)), "")</f>
        <v>KnowledgeFragments</v>
      </c>
      <c r="I2338" s="3" t="str">
        <f>_xlfn.IFNA(INDEX(RulebookFields!D2:D999, MATCH(D2338,RulebookFields!A2:A999, 0)), "")</f>
        <v>IsCurrentlyValid</v>
      </c>
      <c r="J2338" s="3" t="b">
        <f>_xlfn.IFNA(INDEX(RulebookFields!I2:I999, MATCH(D2338,RulebookFields!A2:A999, 0)), "")</f>
        <v>1</v>
      </c>
      <c r="K2338" s="3" t="b">
        <f>AND(F2338, J2338)</f>
        <v>0</v>
      </c>
      <c r="L2338" s="3" t="b">
        <f>AND(G2338 &lt;&gt; "plain", G2338 &lt;&gt; "")</f>
        <v>0</v>
      </c>
      <c r="M2338" s="3" t="str">
        <f>IF(E2338, C2338 &amp; "|" &amp; H2338, "")</f>
        <v>principal-knowledge-authority|KnowledgeFragments</v>
      </c>
      <c r="N2338" s="2" t="s">
        <v>9938</v>
      </c>
    </row>
    <row r="2339">
      <c r="A2339" s="2" t="s">
        <v>12275</v>
      </c>
      <c r="B2339" s="3" t="str">
        <f>C2339 &amp; " -&gt; " &amp; D2339</f>
        <v>principal-knowledge-authority -&gt; KnowledgeFragments.SourceAgentIsStillEngaged</v>
      </c>
      <c r="C2339" s="2" t="s">
        <v>9708</v>
      </c>
      <c r="D2339" s="2" t="s">
        <v>3177</v>
      </c>
      <c r="E2339" s="2" t="b">
        <v>1</v>
      </c>
      <c r="F2339" s="2" t="b">
        <v>0</v>
      </c>
      <c r="G2339" s="2" t="s">
        <v>9937</v>
      </c>
      <c r="H2339" s="3" t="str">
        <f>_xlfn.IFNA(INDEX(RulebookFields!C2:C999, MATCH(D2339,RulebookFields!A2:A999, 0)), "")</f>
        <v>KnowledgeFragments</v>
      </c>
      <c r="I2339" s="3" t="str">
        <f>_xlfn.IFNA(INDEX(RulebookFields!D2:D999, MATCH(D2339,RulebookFields!A2:A999, 0)), "")</f>
        <v>SourceAgentIsStillEngaged</v>
      </c>
      <c r="J2339" s="3" t="b">
        <f>_xlfn.IFNA(INDEX(RulebookFields!I2:I999, MATCH(D2339,RulebookFields!A2:A999, 0)), "")</f>
        <v>1</v>
      </c>
      <c r="K2339" s="3" t="b">
        <f>AND(F2339, J2339)</f>
        <v>0</v>
      </c>
      <c r="L2339" s="3" t="b">
        <f>AND(G2339 &lt;&gt; "plain", G2339 &lt;&gt; "")</f>
        <v>0</v>
      </c>
      <c r="M2339" s="3" t="str">
        <f>IF(E2339, C2339 &amp; "|" &amp; H2339, "")</f>
        <v>principal-knowledge-authority|KnowledgeFragments</v>
      </c>
      <c r="N2339" s="2" t="s">
        <v>9938</v>
      </c>
    </row>
    <row r="2340">
      <c r="A2340" s="2" t="s">
        <v>12276</v>
      </c>
      <c r="B2340" s="3" t="str">
        <f>C2340 &amp; " -&gt; " &amp; D2340</f>
        <v>principal-knowledge-authority -&gt; KnowledgeFragments.SourceAgentKind</v>
      </c>
      <c r="C2340" s="2" t="s">
        <v>9708</v>
      </c>
      <c r="D2340" s="2" t="s">
        <v>3179</v>
      </c>
      <c r="E2340" s="2" t="b">
        <v>1</v>
      </c>
      <c r="F2340" s="2" t="b">
        <v>0</v>
      </c>
      <c r="G2340" s="2" t="s">
        <v>9937</v>
      </c>
      <c r="H2340" s="3" t="str">
        <f>_xlfn.IFNA(INDEX(RulebookFields!C2:C999, MATCH(D2340,RulebookFields!A2:A999, 0)), "")</f>
        <v>KnowledgeFragments</v>
      </c>
      <c r="I2340" s="3" t="str">
        <f>_xlfn.IFNA(INDEX(RulebookFields!D2:D999, MATCH(D2340,RulebookFields!A2:A999, 0)), "")</f>
        <v>SourceAgentKind</v>
      </c>
      <c r="J2340" s="3" t="b">
        <f>_xlfn.IFNA(INDEX(RulebookFields!I2:I999, MATCH(D2340,RulebookFields!A2:A999, 0)), "")</f>
        <v>1</v>
      </c>
      <c r="K2340" s="3" t="b">
        <f>AND(F2340, J2340)</f>
        <v>0</v>
      </c>
      <c r="L2340" s="3" t="b">
        <f>AND(G2340 &lt;&gt; "plain", G2340 &lt;&gt; "")</f>
        <v>0</v>
      </c>
      <c r="M2340" s="3" t="str">
        <f>IF(E2340, C2340 &amp; "|" &amp; H2340, "")</f>
        <v>principal-knowledge-authority|KnowledgeFragments</v>
      </c>
      <c r="N2340" s="2" t="s">
        <v>9938</v>
      </c>
    </row>
    <row r="2341">
      <c r="A2341" s="2" t="s">
        <v>12277</v>
      </c>
      <c r="B2341" s="3" t="str">
        <f>C2341 &amp; " -&gt; " &amp; D2341</f>
        <v>principal-knowledge-authority -&gt; KnowledgeFragments.HasHumanSource</v>
      </c>
      <c r="C2341" s="2" t="s">
        <v>9708</v>
      </c>
      <c r="D2341" s="2" t="s">
        <v>3181</v>
      </c>
      <c r="E2341" s="2" t="b">
        <v>1</v>
      </c>
      <c r="F2341" s="2" t="b">
        <v>0</v>
      </c>
      <c r="G2341" s="2" t="s">
        <v>9937</v>
      </c>
      <c r="H2341" s="3" t="str">
        <f>_xlfn.IFNA(INDEX(RulebookFields!C2:C999, MATCH(D2341,RulebookFields!A2:A999, 0)), "")</f>
        <v>KnowledgeFragments</v>
      </c>
      <c r="I2341" s="3" t="str">
        <f>_xlfn.IFNA(INDEX(RulebookFields!D2:D999, MATCH(D2341,RulebookFields!A2:A999, 0)), "")</f>
        <v>HasHumanSource</v>
      </c>
      <c r="J2341" s="3" t="b">
        <f>_xlfn.IFNA(INDEX(RulebookFields!I2:I999, MATCH(D2341,RulebookFields!A2:A999, 0)), "")</f>
        <v>1</v>
      </c>
      <c r="K2341" s="3" t="b">
        <f>AND(F2341, J2341)</f>
        <v>0</v>
      </c>
      <c r="L2341" s="3" t="b">
        <f>AND(G2341 &lt;&gt; "plain", G2341 &lt;&gt; "")</f>
        <v>0</v>
      </c>
      <c r="M2341" s="3" t="str">
        <f>IF(E2341, C2341 &amp; "|" &amp; H2341, "")</f>
        <v>principal-knowledge-authority|KnowledgeFragments</v>
      </c>
      <c r="N2341" s="2" t="s">
        <v>9938</v>
      </c>
    </row>
    <row r="2342">
      <c r="A2342" s="2" t="s">
        <v>12278</v>
      </c>
      <c r="B2342" s="3" t="str">
        <f>C2342 &amp; " -&gt; " &amp; D2342</f>
        <v>principal-knowledge-authority -&gt; KnowledgeFragments.HasOrphanedProvenance</v>
      </c>
      <c r="C2342" s="2" t="s">
        <v>9708</v>
      </c>
      <c r="D2342" s="2" t="s">
        <v>3183</v>
      </c>
      <c r="E2342" s="2" t="b">
        <v>1</v>
      </c>
      <c r="F2342" s="2" t="b">
        <v>0</v>
      </c>
      <c r="G2342" s="2" t="s">
        <v>9937</v>
      </c>
      <c r="H2342" s="3" t="str">
        <f>_xlfn.IFNA(INDEX(RulebookFields!C2:C999, MATCH(D2342,RulebookFields!A2:A999, 0)), "")</f>
        <v>KnowledgeFragments</v>
      </c>
      <c r="I2342" s="3" t="str">
        <f>_xlfn.IFNA(INDEX(RulebookFields!D2:D999, MATCH(D2342,RulebookFields!A2:A999, 0)), "")</f>
        <v>HasOrphanedProvenance</v>
      </c>
      <c r="J2342" s="3" t="b">
        <f>_xlfn.IFNA(INDEX(RulebookFields!I2:I999, MATCH(D2342,RulebookFields!A2:A999, 0)), "")</f>
        <v>1</v>
      </c>
      <c r="K2342" s="3" t="b">
        <f>AND(F2342, J2342)</f>
        <v>0</v>
      </c>
      <c r="L2342" s="3" t="b">
        <f>AND(G2342 &lt;&gt; "plain", G2342 &lt;&gt; "")</f>
        <v>0</v>
      </c>
      <c r="M2342" s="3" t="str">
        <f>IF(E2342, C2342 &amp; "|" &amp; H2342, "")</f>
        <v>principal-knowledge-authority|KnowledgeFragments</v>
      </c>
      <c r="N2342" s="2" t="s">
        <v>9938</v>
      </c>
    </row>
    <row r="2343">
      <c r="A2343" s="2" t="s">
        <v>12279</v>
      </c>
      <c r="B2343" s="3" t="str">
        <f>C2343 &amp; " -&gt; " &amp; D2343</f>
        <v>principal-knowledge-authority -&gt; KnowledgeFragments.IsUndefendableTacitClaim</v>
      </c>
      <c r="C2343" s="2" t="s">
        <v>9708</v>
      </c>
      <c r="D2343" s="2" t="s">
        <v>3185</v>
      </c>
      <c r="E2343" s="2" t="b">
        <v>1</v>
      </c>
      <c r="F2343" s="2" t="b">
        <v>0</v>
      </c>
      <c r="G2343" s="2" t="s">
        <v>9937</v>
      </c>
      <c r="H2343" s="3" t="str">
        <f>_xlfn.IFNA(INDEX(RulebookFields!C2:C999, MATCH(D2343,RulebookFields!A2:A999, 0)), "")</f>
        <v>KnowledgeFragments</v>
      </c>
      <c r="I2343" s="3" t="str">
        <f>_xlfn.IFNA(INDEX(RulebookFields!D2:D999, MATCH(D2343,RulebookFields!A2:A999, 0)), "")</f>
        <v>IsUndefendableTacitClaim</v>
      </c>
      <c r="J2343" s="3" t="b">
        <f>_xlfn.IFNA(INDEX(RulebookFields!I2:I999, MATCH(D2343,RulebookFields!A2:A999, 0)), "")</f>
        <v>1</v>
      </c>
      <c r="K2343" s="3" t="b">
        <f>AND(F2343, J2343)</f>
        <v>0</v>
      </c>
      <c r="L2343" s="3" t="b">
        <f>AND(G2343 &lt;&gt; "plain", G2343 &lt;&gt; "")</f>
        <v>0</v>
      </c>
      <c r="M2343" s="3" t="str">
        <f>IF(E2343, C2343 &amp; "|" &amp; H2343, "")</f>
        <v>principal-knowledge-authority|KnowledgeFragments</v>
      </c>
      <c r="N2343" s="2" t="s">
        <v>9938</v>
      </c>
    </row>
    <row r="2344">
      <c r="A2344" s="2" t="s">
        <v>12280</v>
      </c>
      <c r="B2344" s="3" t="str">
        <f>C2344 &amp; " -&gt; " &amp; D2344</f>
        <v>principal-knowledge-authority -&gt; KnowledgeFragments.IsApproved</v>
      </c>
      <c r="C2344" s="2" t="s">
        <v>9708</v>
      </c>
      <c r="D2344" s="2" t="s">
        <v>3187</v>
      </c>
      <c r="E2344" s="2" t="b">
        <v>1</v>
      </c>
      <c r="F2344" s="2" t="b">
        <v>0</v>
      </c>
      <c r="G2344" s="2" t="s">
        <v>9937</v>
      </c>
      <c r="H2344" s="3" t="str">
        <f>_xlfn.IFNA(INDEX(RulebookFields!C2:C999, MATCH(D2344,RulebookFields!A2:A999, 0)), "")</f>
        <v>KnowledgeFragments</v>
      </c>
      <c r="I2344" s="3" t="str">
        <f>_xlfn.IFNA(INDEX(RulebookFields!D2:D999, MATCH(D2344,RulebookFields!A2:A999, 0)), "")</f>
        <v>IsApproved</v>
      </c>
      <c r="J2344" s="3" t="b">
        <f>_xlfn.IFNA(INDEX(RulebookFields!I2:I999, MATCH(D2344,RulebookFields!A2:A999, 0)), "")</f>
        <v>1</v>
      </c>
      <c r="K2344" s="3" t="b">
        <f>AND(F2344, J2344)</f>
        <v>0</v>
      </c>
      <c r="L2344" s="3" t="b">
        <f>AND(G2344 &lt;&gt; "plain", G2344 &lt;&gt; "")</f>
        <v>0</v>
      </c>
      <c r="M2344" s="3" t="str">
        <f>IF(E2344, C2344 &amp; "|" &amp; H2344, "")</f>
        <v>principal-knowledge-authority|KnowledgeFragments</v>
      </c>
      <c r="N2344" s="2" t="s">
        <v>9938</v>
      </c>
    </row>
    <row r="2345">
      <c r="A2345" s="2" t="s">
        <v>12281</v>
      </c>
      <c r="B2345" s="3" t="str">
        <f>C2345 &amp; " -&gt; " &amp; D2345</f>
        <v>principal-knowledge-authority -&gt; KnowledgeFragments.IsWithinValidityWindow</v>
      </c>
      <c r="C2345" s="2" t="s">
        <v>9708</v>
      </c>
      <c r="D2345" s="2" t="s">
        <v>3189</v>
      </c>
      <c r="E2345" s="2" t="b">
        <v>1</v>
      </c>
      <c r="F2345" s="2" t="b">
        <v>0</v>
      </c>
      <c r="G2345" s="2" t="s">
        <v>9937</v>
      </c>
      <c r="H2345" s="3" t="str">
        <f>_xlfn.IFNA(INDEX(RulebookFields!C2:C999, MATCH(D2345,RulebookFields!A2:A999, 0)), "")</f>
        <v>KnowledgeFragments</v>
      </c>
      <c r="I2345" s="3" t="str">
        <f>_xlfn.IFNA(INDEX(RulebookFields!D2:D999, MATCH(D2345,RulebookFields!A2:A999, 0)), "")</f>
        <v>IsWithinValidityWindow</v>
      </c>
      <c r="J2345" s="3" t="b">
        <f>_xlfn.IFNA(INDEX(RulebookFields!I2:I999, MATCH(D2345,RulebookFields!A2:A999, 0)), "")</f>
        <v>1</v>
      </c>
      <c r="K2345" s="3" t="b">
        <f>AND(F2345, J2345)</f>
        <v>0</v>
      </c>
      <c r="L2345" s="3" t="b">
        <f>AND(G2345 &lt;&gt; "plain", G2345 &lt;&gt; "")</f>
        <v>0</v>
      </c>
      <c r="M2345" s="3" t="str">
        <f>IF(E2345, C2345 &amp; "|" &amp; H2345, "")</f>
        <v>principal-knowledge-authority|KnowledgeFragments</v>
      </c>
      <c r="N2345" s="2" t="s">
        <v>9938</v>
      </c>
    </row>
    <row r="2346">
      <c r="A2346" s="2" t="s">
        <v>12282</v>
      </c>
      <c r="B2346" s="3" t="str">
        <f>C2346 &amp; " -&gt; " &amp; D2346</f>
        <v>principal-knowledge-authority -&gt; KnowledgeFragments.IsReliedUpon</v>
      </c>
      <c r="C2346" s="2" t="s">
        <v>9708</v>
      </c>
      <c r="D2346" s="2" t="s">
        <v>3190</v>
      </c>
      <c r="E2346" s="2" t="b">
        <v>1</v>
      </c>
      <c r="F2346" s="2" t="b">
        <v>0</v>
      </c>
      <c r="G2346" s="2" t="s">
        <v>9937</v>
      </c>
      <c r="H2346" s="3" t="str">
        <f>_xlfn.IFNA(INDEX(RulebookFields!C2:C999, MATCH(D2346,RulebookFields!A2:A999, 0)), "")</f>
        <v>KnowledgeFragments</v>
      </c>
      <c r="I2346" s="3" t="str">
        <f>_xlfn.IFNA(INDEX(RulebookFields!D2:D999, MATCH(D2346,RulebookFields!A2:A999, 0)), "")</f>
        <v>IsReliedUpon</v>
      </c>
      <c r="J2346" s="3" t="b">
        <f>_xlfn.IFNA(INDEX(RulebookFields!I2:I999, MATCH(D2346,RulebookFields!A2:A999, 0)), "")</f>
        <v>1</v>
      </c>
      <c r="K2346" s="3" t="b">
        <f>AND(F2346, J2346)</f>
        <v>0</v>
      </c>
      <c r="L2346" s="3" t="b">
        <f>AND(G2346 &lt;&gt; "plain", G2346 &lt;&gt; "")</f>
        <v>0</v>
      </c>
      <c r="M2346" s="3" t="str">
        <f>IF(E2346, C2346 &amp; "|" &amp; H2346, "")</f>
        <v>principal-knowledge-authority|KnowledgeFragments</v>
      </c>
      <c r="N2346" s="2" t="s">
        <v>9938</v>
      </c>
    </row>
    <row r="2347">
      <c r="A2347" s="2" t="s">
        <v>12283</v>
      </c>
      <c r="B2347" s="3" t="str">
        <f>C2347 &amp; " -&gt; " &amp; D2347</f>
        <v>principal-knowledge-authority -&gt; KnowledgeFragments.StepProcedureVersionStatus</v>
      </c>
      <c r="C2347" s="2" t="s">
        <v>9708</v>
      </c>
      <c r="D2347" s="2" t="s">
        <v>3192</v>
      </c>
      <c r="E2347" s="2" t="b">
        <v>1</v>
      </c>
      <c r="F2347" s="2" t="b">
        <v>0</v>
      </c>
      <c r="G2347" s="2" t="s">
        <v>9937</v>
      </c>
      <c r="H2347" s="3" t="str">
        <f>_xlfn.IFNA(INDEX(RulebookFields!C2:C999, MATCH(D2347,RulebookFields!A2:A999, 0)), "")</f>
        <v>KnowledgeFragments</v>
      </c>
      <c r="I2347" s="3" t="str">
        <f>_xlfn.IFNA(INDEX(RulebookFields!D2:D999, MATCH(D2347,RulebookFields!A2:A999, 0)), "")</f>
        <v>StepProcedureVersionStatus</v>
      </c>
      <c r="J2347" s="3" t="b">
        <f>_xlfn.IFNA(INDEX(RulebookFields!I2:I999, MATCH(D2347,RulebookFields!A2:A999, 0)), "")</f>
        <v>1</v>
      </c>
      <c r="K2347" s="3" t="b">
        <f>AND(F2347, J2347)</f>
        <v>0</v>
      </c>
      <c r="L2347" s="3" t="b">
        <f>AND(G2347 &lt;&gt; "plain", G2347 &lt;&gt; "")</f>
        <v>0</v>
      </c>
      <c r="M2347" s="3" t="str">
        <f>IF(E2347, C2347 &amp; "|" &amp; H2347, "")</f>
        <v>principal-knowledge-authority|KnowledgeFragments</v>
      </c>
      <c r="N2347" s="2" t="s">
        <v>9938</v>
      </c>
    </row>
    <row r="2348">
      <c r="A2348" s="2" t="s">
        <v>12284</v>
      </c>
      <c r="B2348" s="3" t="str">
        <f>C2348 &amp; " -&gt; " &amp; D2348</f>
        <v>principal-knowledge-authority -&gt; KnowledgeFragments.IsAttachedToLiveVersion</v>
      </c>
      <c r="C2348" s="2" t="s">
        <v>9708</v>
      </c>
      <c r="D2348" s="2" t="s">
        <v>3194</v>
      </c>
      <c r="E2348" s="2" t="b">
        <v>1</v>
      </c>
      <c r="F2348" s="2" t="b">
        <v>0</v>
      </c>
      <c r="G2348" s="2" t="s">
        <v>9937</v>
      </c>
      <c r="H2348" s="3" t="str">
        <f>_xlfn.IFNA(INDEX(RulebookFields!C2:C999, MATCH(D2348,RulebookFields!A2:A999, 0)), "")</f>
        <v>KnowledgeFragments</v>
      </c>
      <c r="I2348" s="3" t="str">
        <f>_xlfn.IFNA(INDEX(RulebookFields!D2:D999, MATCH(D2348,RulebookFields!A2:A999, 0)), "")</f>
        <v>IsAttachedToLiveVersion</v>
      </c>
      <c r="J2348" s="3" t="b">
        <f>_xlfn.IFNA(INDEX(RulebookFields!I2:I999, MATCH(D2348,RulebookFields!A2:A999, 0)), "")</f>
        <v>1</v>
      </c>
      <c r="K2348" s="3" t="b">
        <f>AND(F2348, J2348)</f>
        <v>0</v>
      </c>
      <c r="L2348" s="3" t="b">
        <f>AND(G2348 &lt;&gt; "plain", G2348 &lt;&gt; "")</f>
        <v>0</v>
      </c>
      <c r="M2348" s="3" t="str">
        <f>IF(E2348, C2348 &amp; "|" &amp; H2348, "")</f>
        <v>principal-knowledge-authority|KnowledgeFragments</v>
      </c>
      <c r="N2348" s="2" t="s">
        <v>9938</v>
      </c>
    </row>
    <row r="2349">
      <c r="A2349" s="2" t="s">
        <v>12285</v>
      </c>
      <c r="B2349" s="3" t="str">
        <f>C2349 &amp; " -&gt; " &amp; D2349</f>
        <v>principal-knowledge-authority -&gt; KnowledgeFragments.IsUnapprovedButReliedOn</v>
      </c>
      <c r="C2349" s="2" t="s">
        <v>9708</v>
      </c>
      <c r="D2349" s="2" t="s">
        <v>3196</v>
      </c>
      <c r="E2349" s="2" t="b">
        <v>1</v>
      </c>
      <c r="F2349" s="2" t="b">
        <v>0</v>
      </c>
      <c r="G2349" s="2" t="s">
        <v>9937</v>
      </c>
      <c r="H2349" s="3" t="str">
        <f>_xlfn.IFNA(INDEX(RulebookFields!C2:C999, MATCH(D2349,RulebookFields!A2:A999, 0)), "")</f>
        <v>KnowledgeFragments</v>
      </c>
      <c r="I2349" s="3" t="str">
        <f>_xlfn.IFNA(INDEX(RulebookFields!D2:D999, MATCH(D2349,RulebookFields!A2:A999, 0)), "")</f>
        <v>IsUnapprovedButReliedOn</v>
      </c>
      <c r="J2349" s="3" t="b">
        <f>_xlfn.IFNA(INDEX(RulebookFields!I2:I999, MATCH(D2349,RulebookFields!A2:A999, 0)), "")</f>
        <v>1</v>
      </c>
      <c r="K2349" s="3" t="b">
        <f>AND(F2349, J2349)</f>
        <v>0</v>
      </c>
      <c r="L2349" s="3" t="b">
        <f>AND(G2349 &lt;&gt; "plain", G2349 &lt;&gt; "")</f>
        <v>0</v>
      </c>
      <c r="M2349" s="3" t="str">
        <f>IF(E2349, C2349 &amp; "|" &amp; H2349, "")</f>
        <v>principal-knowledge-authority|KnowledgeFragments</v>
      </c>
      <c r="N2349" s="2" t="s">
        <v>9938</v>
      </c>
    </row>
    <row r="2350">
      <c r="A2350" s="2" t="s">
        <v>12286</v>
      </c>
      <c r="B2350" s="3" t="str">
        <f>C2350 &amp; " -&gt; " &amp; D2350</f>
        <v>principal-knowledge-authority -&gt; KnowledgeFragments.EvidenceAgeDays</v>
      </c>
      <c r="C2350" s="2" t="s">
        <v>9708</v>
      </c>
      <c r="D2350" s="2" t="s">
        <v>3198</v>
      </c>
      <c r="E2350" s="2" t="b">
        <v>1</v>
      </c>
      <c r="F2350" s="2" t="b">
        <v>0</v>
      </c>
      <c r="G2350" s="2" t="s">
        <v>9937</v>
      </c>
      <c r="H2350" s="3" t="str">
        <f>_xlfn.IFNA(INDEX(RulebookFields!C2:C999, MATCH(D2350,RulebookFields!A2:A999, 0)), "")</f>
        <v>KnowledgeFragments</v>
      </c>
      <c r="I2350" s="3" t="str">
        <f>_xlfn.IFNA(INDEX(RulebookFields!D2:D999, MATCH(D2350,RulebookFields!A2:A999, 0)), "")</f>
        <v>EvidenceAgeDays</v>
      </c>
      <c r="J2350" s="3" t="b">
        <f>_xlfn.IFNA(INDEX(RulebookFields!I2:I999, MATCH(D2350,RulebookFields!A2:A999, 0)), "")</f>
        <v>1</v>
      </c>
      <c r="K2350" s="3" t="b">
        <f>AND(F2350, J2350)</f>
        <v>0</v>
      </c>
      <c r="L2350" s="3" t="b">
        <f>AND(G2350 &lt;&gt; "plain", G2350 &lt;&gt; "")</f>
        <v>0</v>
      </c>
      <c r="M2350" s="3" t="str">
        <f>IF(E2350, C2350 &amp; "|" &amp; H2350, "")</f>
        <v>principal-knowledge-authority|KnowledgeFragments</v>
      </c>
      <c r="N2350" s="2" t="s">
        <v>9938</v>
      </c>
    </row>
    <row r="2351">
      <c r="A2351" s="2" t="s">
        <v>12287</v>
      </c>
      <c r="B2351" s="3" t="str">
        <f>C2351 &amp; " -&gt; " &amp; D2351</f>
        <v>principal-knowledge-authority -&gt; KnowledgeFragments.HasRecordedElicitation</v>
      </c>
      <c r="C2351" s="2" t="s">
        <v>9708</v>
      </c>
      <c r="D2351" s="2" t="s">
        <v>3200</v>
      </c>
      <c r="E2351" s="2" t="b">
        <v>1</v>
      </c>
      <c r="F2351" s="2" t="b">
        <v>0</v>
      </c>
      <c r="G2351" s="2" t="s">
        <v>9937</v>
      </c>
      <c r="H2351" s="3" t="str">
        <f>_xlfn.IFNA(INDEX(RulebookFields!C2:C999, MATCH(D2351,RulebookFields!A2:A999, 0)), "")</f>
        <v>KnowledgeFragments</v>
      </c>
      <c r="I2351" s="3" t="str">
        <f>_xlfn.IFNA(INDEX(RulebookFields!D2:D999, MATCH(D2351,RulebookFields!A2:A999, 0)), "")</f>
        <v>HasRecordedElicitation</v>
      </c>
      <c r="J2351" s="3" t="b">
        <f>_xlfn.IFNA(INDEX(RulebookFields!I2:I999, MATCH(D2351,RulebookFields!A2:A999, 0)), "")</f>
        <v>1</v>
      </c>
      <c r="K2351" s="3" t="b">
        <f>AND(F2351, J2351)</f>
        <v>0</v>
      </c>
      <c r="L2351" s="3" t="b">
        <f>AND(G2351 &lt;&gt; "plain", G2351 &lt;&gt; "")</f>
        <v>0</v>
      </c>
      <c r="M2351" s="3" t="str">
        <f>IF(E2351, C2351 &amp; "|" &amp; H2351, "")</f>
        <v>principal-knowledge-authority|KnowledgeFragments</v>
      </c>
      <c r="N2351" s="2" t="s">
        <v>9938</v>
      </c>
    </row>
    <row r="2352">
      <c r="A2352" s="2" t="s">
        <v>12288</v>
      </c>
      <c r="B2352" s="3" t="str">
        <f>C2352 &amp; " -&gt; " &amp; D2352</f>
        <v>principal-knowledge-authority -&gt; KnowledgeFragments.IsFromSingleWitness</v>
      </c>
      <c r="C2352" s="2" t="s">
        <v>9708</v>
      </c>
      <c r="D2352" s="2" t="s">
        <v>3202</v>
      </c>
      <c r="E2352" s="2" t="b">
        <v>1</v>
      </c>
      <c r="F2352" s="2" t="b">
        <v>0</v>
      </c>
      <c r="G2352" s="2" t="s">
        <v>9937</v>
      </c>
      <c r="H2352" s="3" t="str">
        <f>_xlfn.IFNA(INDEX(RulebookFields!C2:C999, MATCH(D2352,RulebookFields!A2:A999, 0)), "")</f>
        <v>KnowledgeFragments</v>
      </c>
      <c r="I2352" s="3" t="str">
        <f>_xlfn.IFNA(INDEX(RulebookFields!D2:D999, MATCH(D2352,RulebookFields!A2:A999, 0)), "")</f>
        <v>IsFromSingleWitness</v>
      </c>
      <c r="J2352" s="3" t="b">
        <f>_xlfn.IFNA(INDEX(RulebookFields!I2:I999, MATCH(D2352,RulebookFields!A2:A999, 0)), "")</f>
        <v>1</v>
      </c>
      <c r="K2352" s="3" t="b">
        <f>AND(F2352, J2352)</f>
        <v>0</v>
      </c>
      <c r="L2352" s="3" t="b">
        <f>AND(G2352 &lt;&gt; "plain", G2352 &lt;&gt; "")</f>
        <v>0</v>
      </c>
      <c r="M2352" s="3" t="str">
        <f>IF(E2352, C2352 &amp; "|" &amp; H2352, "")</f>
        <v>principal-knowledge-authority|KnowledgeFragments</v>
      </c>
      <c r="N2352" s="2" t="s">
        <v>9938</v>
      </c>
    </row>
    <row r="2353">
      <c r="A2353" s="2" t="s">
        <v>12289</v>
      </c>
      <c r="B2353" s="3" t="str">
        <f>C2353 &amp; " -&gt; " &amp; D2353</f>
        <v>principal-knowledge-authority -&gt; KnowledgeFragments.EvidenceExpiryDays</v>
      </c>
      <c r="C2353" s="2" t="s">
        <v>9708</v>
      </c>
      <c r="D2353" s="2" t="s">
        <v>3204</v>
      </c>
      <c r="E2353" s="2" t="b">
        <v>1</v>
      </c>
      <c r="F2353" s="2" t="b">
        <v>0</v>
      </c>
      <c r="G2353" s="2" t="s">
        <v>9937</v>
      </c>
      <c r="H2353" s="3" t="str">
        <f>_xlfn.IFNA(INDEX(RulebookFields!C2:C999, MATCH(D2353,RulebookFields!A2:A999, 0)), "")</f>
        <v>KnowledgeFragments</v>
      </c>
      <c r="I2353" s="3" t="str">
        <f>_xlfn.IFNA(INDEX(RulebookFields!D2:D999, MATCH(D2353,RulebookFields!A2:A999, 0)), "")</f>
        <v>EvidenceExpiryDays</v>
      </c>
      <c r="J2353" s="3" t="b">
        <f>_xlfn.IFNA(INDEX(RulebookFields!I2:I999, MATCH(D2353,RulebookFields!A2:A999, 0)), "")</f>
        <v>1</v>
      </c>
      <c r="K2353" s="3" t="b">
        <f>AND(F2353, J2353)</f>
        <v>0</v>
      </c>
      <c r="L2353" s="3" t="b">
        <f>AND(G2353 &lt;&gt; "plain", G2353 &lt;&gt; "")</f>
        <v>0</v>
      </c>
      <c r="M2353" s="3" t="str">
        <f>IF(E2353, C2353 &amp; "|" &amp; H2353, "")</f>
        <v>principal-knowledge-authority|KnowledgeFragments</v>
      </c>
      <c r="N2353" s="2" t="s">
        <v>9938</v>
      </c>
    </row>
    <row r="2354">
      <c r="A2354" s="2" t="s">
        <v>12290</v>
      </c>
      <c r="B2354" s="3" t="str">
        <f>C2354 &amp; " -&gt; " &amp; D2354</f>
        <v>principal-knowledge-authority -&gt; KnowledgeFragments.EvidenceHasExpired</v>
      </c>
      <c r="C2354" s="2" t="s">
        <v>9708</v>
      </c>
      <c r="D2354" s="2" t="s">
        <v>3206</v>
      </c>
      <c r="E2354" s="2" t="b">
        <v>1</v>
      </c>
      <c r="F2354" s="2" t="b">
        <v>0</v>
      </c>
      <c r="G2354" s="2" t="s">
        <v>9937</v>
      </c>
      <c r="H2354" s="3" t="str">
        <f>_xlfn.IFNA(INDEX(RulebookFields!C2:C999, MATCH(D2354,RulebookFields!A2:A999, 0)), "")</f>
        <v>KnowledgeFragments</v>
      </c>
      <c r="I2354" s="3" t="str">
        <f>_xlfn.IFNA(INDEX(RulebookFields!D2:D999, MATCH(D2354,RulebookFields!A2:A999, 0)), "")</f>
        <v>EvidenceHasExpired</v>
      </c>
      <c r="J2354" s="3" t="b">
        <f>_xlfn.IFNA(INDEX(RulebookFields!I2:I999, MATCH(D2354,RulebookFields!A2:A999, 0)), "")</f>
        <v>1</v>
      </c>
      <c r="K2354" s="3" t="b">
        <f>AND(F2354, J2354)</f>
        <v>0</v>
      </c>
      <c r="L2354" s="3" t="b">
        <f>AND(G2354 &lt;&gt; "plain", G2354 &lt;&gt; "")</f>
        <v>0</v>
      </c>
      <c r="M2354" s="3" t="str">
        <f>IF(E2354, C2354 &amp; "|" &amp; H2354, "")</f>
        <v>principal-knowledge-authority|KnowledgeFragments</v>
      </c>
      <c r="N2354" s="2" t="s">
        <v>9938</v>
      </c>
    </row>
    <row r="2355">
      <c r="A2355" s="2" t="s">
        <v>12291</v>
      </c>
      <c r="B2355" s="3" t="str">
        <f>C2355 &amp; " -&gt; " &amp; D2355</f>
        <v>principal-knowledge-authority -&gt; KnowledgeFragments.OwnerAgent</v>
      </c>
      <c r="C2355" s="2" t="s">
        <v>9708</v>
      </c>
      <c r="D2355" s="2" t="s">
        <v>3208</v>
      </c>
      <c r="E2355" s="2" t="b">
        <v>1</v>
      </c>
      <c r="F2355" s="2" t="b">
        <v>0</v>
      </c>
      <c r="G2355" s="2" t="s">
        <v>9937</v>
      </c>
      <c r="H2355" s="3" t="str">
        <f>_xlfn.IFNA(INDEX(RulebookFields!C2:C999, MATCH(D2355,RulebookFields!A2:A999, 0)), "")</f>
        <v>KnowledgeFragments</v>
      </c>
      <c r="I2355" s="3" t="str">
        <f>_xlfn.IFNA(INDEX(RulebookFields!D2:D999, MATCH(D2355,RulebookFields!A2:A999, 0)), "")</f>
        <v>OwnerAgent</v>
      </c>
      <c r="J2355" s="3" t="b">
        <f>_xlfn.IFNA(INDEX(RulebookFields!I2:I999, MATCH(D2355,RulebookFields!A2:A999, 0)), "")</f>
        <v>1</v>
      </c>
      <c r="K2355" s="3" t="b">
        <f>AND(F2355, J2355)</f>
        <v>0</v>
      </c>
      <c r="L2355" s="3" t="b">
        <f>AND(G2355 &lt;&gt; "plain", G2355 &lt;&gt; "")</f>
        <v>0</v>
      </c>
      <c r="M2355" s="3" t="str">
        <f>IF(E2355, C2355 &amp; "|" &amp; H2355, "")</f>
        <v>principal-knowledge-authority|KnowledgeFragments</v>
      </c>
      <c r="N2355" s="2" t="s">
        <v>9938</v>
      </c>
    </row>
    <row r="2356">
      <c r="A2356" s="2" t="s">
        <v>12292</v>
      </c>
      <c r="B2356" s="3" t="str">
        <f>C2356 &amp; " -&gt; " &amp; D2356</f>
        <v>principal-knowledge-authority -&gt; KnowledgeFragments.IsAwaitingApproval</v>
      </c>
      <c r="C2356" s="2" t="s">
        <v>9708</v>
      </c>
      <c r="D2356" s="2" t="s">
        <v>3210</v>
      </c>
      <c r="E2356" s="2" t="b">
        <v>1</v>
      </c>
      <c r="F2356" s="2" t="b">
        <v>0</v>
      </c>
      <c r="G2356" s="2" t="s">
        <v>9937</v>
      </c>
      <c r="H2356" s="3" t="str">
        <f>_xlfn.IFNA(INDEX(RulebookFields!C2:C999, MATCH(D2356,RulebookFields!A2:A999, 0)), "")</f>
        <v>KnowledgeFragments</v>
      </c>
      <c r="I2356" s="3" t="str">
        <f>_xlfn.IFNA(INDEX(RulebookFields!D2:D999, MATCH(D2356,RulebookFields!A2:A999, 0)), "")</f>
        <v>IsAwaitingApproval</v>
      </c>
      <c r="J2356" s="3" t="b">
        <f>_xlfn.IFNA(INDEX(RulebookFields!I2:I999, MATCH(D2356,RulebookFields!A2:A999, 0)), "")</f>
        <v>1</v>
      </c>
      <c r="K2356" s="3" t="b">
        <f>AND(F2356, J2356)</f>
        <v>0</v>
      </c>
      <c r="L2356" s="3" t="b">
        <f>AND(G2356 &lt;&gt; "plain", G2356 &lt;&gt; "")</f>
        <v>0</v>
      </c>
      <c r="M2356" s="3" t="str">
        <f>IF(E2356, C2356 &amp; "|" &amp; H2356, "")</f>
        <v>principal-knowledge-authority|KnowledgeFragments</v>
      </c>
      <c r="N2356" s="2" t="s">
        <v>9938</v>
      </c>
    </row>
    <row r="2357">
      <c r="A2357" s="2" t="s">
        <v>12293</v>
      </c>
      <c r="B2357" s="3" t="str">
        <f>C2357 &amp; " -&gt; " &amp; D2357</f>
        <v>principal-knowledge-authority -&gt; KnowledgeFragments.OwnerIsMe</v>
      </c>
      <c r="C2357" s="2" t="s">
        <v>9708</v>
      </c>
      <c r="D2357" s="2" t="s">
        <v>3212</v>
      </c>
      <c r="E2357" s="2" t="b">
        <v>1</v>
      </c>
      <c r="F2357" s="2" t="b">
        <v>0</v>
      </c>
      <c r="G2357" s="2" t="s">
        <v>9937</v>
      </c>
      <c r="H2357" s="3" t="str">
        <f>_xlfn.IFNA(INDEX(RulebookFields!C2:C999, MATCH(D2357,RulebookFields!A2:A999, 0)), "")</f>
        <v>KnowledgeFragments</v>
      </c>
      <c r="I2357" s="3" t="str">
        <f>_xlfn.IFNA(INDEX(RulebookFields!D2:D999, MATCH(D2357,RulebookFields!A2:A999, 0)), "")</f>
        <v>OwnerIsMe</v>
      </c>
      <c r="J2357" s="3" t="b">
        <f>_xlfn.IFNA(INDEX(RulebookFields!I2:I999, MATCH(D2357,RulebookFields!A2:A999, 0)), "")</f>
        <v>1</v>
      </c>
      <c r="K2357" s="3" t="b">
        <f>AND(F2357, J2357)</f>
        <v>0</v>
      </c>
      <c r="L2357" s="3" t="b">
        <f>AND(G2357 &lt;&gt; "plain", G2357 &lt;&gt; "")</f>
        <v>0</v>
      </c>
      <c r="M2357" s="3" t="str">
        <f>IF(E2357, C2357 &amp; "|" &amp; H2357, "")</f>
        <v>principal-knowledge-authority|KnowledgeFragments</v>
      </c>
      <c r="N2357" s="2" t="s">
        <v>9938</v>
      </c>
    </row>
    <row r="2358">
      <c r="A2358" s="2" t="s">
        <v>12294</v>
      </c>
      <c r="B2358" s="3" t="str">
        <f>C2358 &amp; " -&gt; " &amp; D2358</f>
        <v>principal-knowledge-authority -&gt; KnowledgeFragments.IsMyUnfinishedApproval</v>
      </c>
      <c r="C2358" s="2" t="s">
        <v>9708</v>
      </c>
      <c r="D2358" s="2" t="s">
        <v>3214</v>
      </c>
      <c r="E2358" s="2" t="b">
        <v>1</v>
      </c>
      <c r="F2358" s="2" t="b">
        <v>0</v>
      </c>
      <c r="G2358" s="2" t="s">
        <v>9937</v>
      </c>
      <c r="H2358" s="3" t="str">
        <f>_xlfn.IFNA(INDEX(RulebookFields!C2:C999, MATCH(D2358,RulebookFields!A2:A999, 0)), "")</f>
        <v>KnowledgeFragments</v>
      </c>
      <c r="I2358" s="3" t="str">
        <f>_xlfn.IFNA(INDEX(RulebookFields!D2:D999, MATCH(D2358,RulebookFields!A2:A999, 0)), "")</f>
        <v>IsMyUnfinishedApproval</v>
      </c>
      <c r="J2358" s="3" t="b">
        <f>_xlfn.IFNA(INDEX(RulebookFields!I2:I999, MATCH(D2358,RulebookFields!A2:A999, 0)), "")</f>
        <v>1</v>
      </c>
      <c r="K2358" s="3" t="b">
        <f>AND(F2358, J2358)</f>
        <v>0</v>
      </c>
      <c r="L2358" s="3" t="b">
        <f>AND(G2358 &lt;&gt; "plain", G2358 &lt;&gt; "")</f>
        <v>0</v>
      </c>
      <c r="M2358" s="3" t="str">
        <f>IF(E2358, C2358 &amp; "|" &amp; H2358, "")</f>
        <v>principal-knowledge-authority|KnowledgeFragments</v>
      </c>
      <c r="N2358" s="2" t="s">
        <v>9938</v>
      </c>
    </row>
    <row r="2359">
      <c r="A2359" s="2" t="s">
        <v>12295</v>
      </c>
      <c r="B2359" s="3" t="str">
        <f>C2359 &amp; " -&gt; " &amp; D2359</f>
        <v>principal-knowledge-authority -&gt; KnowledgeFragments.IsInvokedByAnException</v>
      </c>
      <c r="C2359" s="2" t="s">
        <v>9708</v>
      </c>
      <c r="D2359" s="2" t="s">
        <v>3216</v>
      </c>
      <c r="E2359" s="2" t="b">
        <v>1</v>
      </c>
      <c r="F2359" s="2" t="b">
        <v>0</v>
      </c>
      <c r="G2359" s="2" t="s">
        <v>9937</v>
      </c>
      <c r="H2359" s="3" t="str">
        <f>_xlfn.IFNA(INDEX(RulebookFields!C2:C999, MATCH(D2359,RulebookFields!A2:A999, 0)), "")</f>
        <v>KnowledgeFragments</v>
      </c>
      <c r="I2359" s="3" t="str">
        <f>_xlfn.IFNA(INDEX(RulebookFields!D2:D999, MATCH(D2359,RulebookFields!A2:A999, 0)), "")</f>
        <v>IsInvokedByAnException</v>
      </c>
      <c r="J2359" s="3" t="b">
        <f>_xlfn.IFNA(INDEX(RulebookFields!I2:I999, MATCH(D2359,RulebookFields!A2:A999, 0)), "")</f>
        <v>1</v>
      </c>
      <c r="K2359" s="3" t="b">
        <f>AND(F2359, J2359)</f>
        <v>0</v>
      </c>
      <c r="L2359" s="3" t="b">
        <f>AND(G2359 &lt;&gt; "plain", G2359 &lt;&gt; "")</f>
        <v>0</v>
      </c>
      <c r="M2359" s="3" t="str">
        <f>IF(E2359, C2359 &amp; "|" &amp; H2359, "")</f>
        <v>principal-knowledge-authority|KnowledgeFragments</v>
      </c>
      <c r="N2359" s="2" t="s">
        <v>9938</v>
      </c>
    </row>
    <row r="2360">
      <c r="A2360" s="2" t="s">
        <v>12296</v>
      </c>
      <c r="B2360" s="3" t="str">
        <f>C2360 &amp; " -&gt; " &amp; D2360</f>
        <v>principal-knowledge-authority -&gt; KnowledgeFragments.HasOperationalReliance</v>
      </c>
      <c r="C2360" s="2" t="s">
        <v>9708</v>
      </c>
      <c r="D2360" s="2" t="s">
        <v>3218</v>
      </c>
      <c r="E2360" s="2" t="b">
        <v>1</v>
      </c>
      <c r="F2360" s="2" t="b">
        <v>0</v>
      </c>
      <c r="G2360" s="2" t="s">
        <v>9937</v>
      </c>
      <c r="H2360" s="3" t="str">
        <f>_xlfn.IFNA(INDEX(RulebookFields!C2:C999, MATCH(D2360,RulebookFields!A2:A999, 0)), "")</f>
        <v>KnowledgeFragments</v>
      </c>
      <c r="I2360" s="3" t="str">
        <f>_xlfn.IFNA(INDEX(RulebookFields!D2:D999, MATCH(D2360,RulebookFields!A2:A999, 0)), "")</f>
        <v>HasOperationalReliance</v>
      </c>
      <c r="J2360" s="3" t="b">
        <f>_xlfn.IFNA(INDEX(RulebookFields!I2:I999, MATCH(D2360,RulebookFields!A2:A999, 0)), "")</f>
        <v>1</v>
      </c>
      <c r="K2360" s="3" t="b">
        <f>AND(F2360, J2360)</f>
        <v>0</v>
      </c>
      <c r="L2360" s="3" t="b">
        <f>AND(G2360 &lt;&gt; "plain", G2360 &lt;&gt; "")</f>
        <v>0</v>
      </c>
      <c r="M2360" s="3" t="str">
        <f>IF(E2360, C2360 &amp; "|" &amp; H2360, "")</f>
        <v>principal-knowledge-authority|KnowledgeFragments</v>
      </c>
      <c r="N2360" s="2" t="s">
        <v>9938</v>
      </c>
    </row>
    <row r="2361">
      <c r="A2361" s="2" t="s">
        <v>12297</v>
      </c>
      <c r="B2361" s="3" t="str">
        <f>C2361 &amp; " -&gt; " &amp; D2361</f>
        <v>principal-knowledge-authority -&gt; KnowledgeFragments.IsUnapprovedAndOperationallyLive</v>
      </c>
      <c r="C2361" s="2" t="s">
        <v>9708</v>
      </c>
      <c r="D2361" s="2" t="s">
        <v>3220</v>
      </c>
      <c r="E2361" s="2" t="b">
        <v>1</v>
      </c>
      <c r="F2361" s="2" t="b">
        <v>0</v>
      </c>
      <c r="G2361" s="2" t="s">
        <v>9937</v>
      </c>
      <c r="H2361" s="3" t="str">
        <f>_xlfn.IFNA(INDEX(RulebookFields!C2:C999, MATCH(D2361,RulebookFields!A2:A999, 0)), "")</f>
        <v>KnowledgeFragments</v>
      </c>
      <c r="I2361" s="3" t="str">
        <f>_xlfn.IFNA(INDEX(RulebookFields!D2:D999, MATCH(D2361,RulebookFields!A2:A999, 0)), "")</f>
        <v>IsUnapprovedAndOperationallyLive</v>
      </c>
      <c r="J2361" s="3" t="b">
        <f>_xlfn.IFNA(INDEX(RulebookFields!I2:I999, MATCH(D2361,RulebookFields!A2:A999, 0)), "")</f>
        <v>1</v>
      </c>
      <c r="K2361" s="3" t="b">
        <f>AND(F2361, J2361)</f>
        <v>0</v>
      </c>
      <c r="L2361" s="3" t="b">
        <f>AND(G2361 &lt;&gt; "plain", G2361 &lt;&gt; "")</f>
        <v>0</v>
      </c>
      <c r="M2361" s="3" t="str">
        <f>IF(E2361, C2361 &amp; "|" &amp; H2361, "")</f>
        <v>principal-knowledge-authority|KnowledgeFragments</v>
      </c>
      <c r="N2361" s="2" t="s">
        <v>9938</v>
      </c>
    </row>
    <row r="2362">
      <c r="A2362" s="2" t="s">
        <v>12298</v>
      </c>
      <c r="B2362" s="3" t="str">
        <f>C2362 &amp; " -&gt; " &amp; D2362</f>
        <v>principal-knowledge-authority -&gt; KnowledgeFragments.AgeDays</v>
      </c>
      <c r="C2362" s="2" t="s">
        <v>9708</v>
      </c>
      <c r="D2362" s="2" t="s">
        <v>3222</v>
      </c>
      <c r="E2362" s="2" t="b">
        <v>1</v>
      </c>
      <c r="F2362" s="2" t="b">
        <v>0</v>
      </c>
      <c r="G2362" s="2" t="s">
        <v>9937</v>
      </c>
      <c r="H2362" s="3" t="str">
        <f>_xlfn.IFNA(INDEX(RulebookFields!C2:C999, MATCH(D2362,RulebookFields!A2:A999, 0)), "")</f>
        <v>KnowledgeFragments</v>
      </c>
      <c r="I2362" s="3" t="str">
        <f>_xlfn.IFNA(INDEX(RulebookFields!D2:D999, MATCH(D2362,RulebookFields!A2:A999, 0)), "")</f>
        <v>AgeDays</v>
      </c>
      <c r="J2362" s="3" t="b">
        <f>_xlfn.IFNA(INDEX(RulebookFields!I2:I999, MATCH(D2362,RulebookFields!A2:A999, 0)), "")</f>
        <v>1</v>
      </c>
      <c r="K2362" s="3" t="b">
        <f>AND(F2362, J2362)</f>
        <v>0</v>
      </c>
      <c r="L2362" s="3" t="b">
        <f>AND(G2362 &lt;&gt; "plain", G2362 &lt;&gt; "")</f>
        <v>0</v>
      </c>
      <c r="M2362" s="3" t="str">
        <f>IF(E2362, C2362 &amp; "|" &amp; H2362, "")</f>
        <v>principal-knowledge-authority|KnowledgeFragments</v>
      </c>
      <c r="N2362" s="2" t="s">
        <v>9938</v>
      </c>
    </row>
    <row r="2363">
      <c r="A2363" s="2" t="s">
        <v>12299</v>
      </c>
      <c r="B2363" s="3" t="str">
        <f>C2363 &amp; " -&gt; " &amp; D2363</f>
        <v>principal-knowledge-authority -&gt; KnowledgeFragments.IsLowConfidence</v>
      </c>
      <c r="C2363" s="2" t="s">
        <v>9708</v>
      </c>
      <c r="D2363" s="2" t="s">
        <v>3224</v>
      </c>
      <c r="E2363" s="2" t="b">
        <v>1</v>
      </c>
      <c r="F2363" s="2" t="b">
        <v>0</v>
      </c>
      <c r="G2363" s="2" t="s">
        <v>9937</v>
      </c>
      <c r="H2363" s="3" t="str">
        <f>_xlfn.IFNA(INDEX(RulebookFields!C2:C999, MATCH(D2363,RulebookFields!A2:A999, 0)), "")</f>
        <v>KnowledgeFragments</v>
      </c>
      <c r="I2363" s="3" t="str">
        <f>_xlfn.IFNA(INDEX(RulebookFields!D2:D999, MATCH(D2363,RulebookFields!A2:A999, 0)), "")</f>
        <v>IsLowConfidence</v>
      </c>
      <c r="J2363" s="3" t="b">
        <f>_xlfn.IFNA(INDEX(RulebookFields!I2:I999, MATCH(D2363,RulebookFields!A2:A999, 0)), "")</f>
        <v>1</v>
      </c>
      <c r="K2363" s="3" t="b">
        <f>AND(F2363, J2363)</f>
        <v>0</v>
      </c>
      <c r="L2363" s="3" t="b">
        <f>AND(G2363 &lt;&gt; "plain", G2363 &lt;&gt; "")</f>
        <v>0</v>
      </c>
      <c r="M2363" s="3" t="str">
        <f>IF(E2363, C2363 &amp; "|" &amp; H2363, "")</f>
        <v>principal-knowledge-authority|KnowledgeFragments</v>
      </c>
      <c r="N2363" s="2" t="s">
        <v>9938</v>
      </c>
    </row>
    <row r="2364">
      <c r="A2364" s="2" t="s">
        <v>12300</v>
      </c>
      <c r="B2364" s="3" t="str">
        <f>C2364 &amp; " -&gt; " &amp; D2364</f>
        <v>principal-knowledge-authority -&gt; KnowledgeFragments.OwningVersionCadenceDays</v>
      </c>
      <c r="C2364" s="2" t="s">
        <v>9708</v>
      </c>
      <c r="D2364" s="2" t="s">
        <v>3226</v>
      </c>
      <c r="E2364" s="2" t="b">
        <v>1</v>
      </c>
      <c r="F2364" s="2" t="b">
        <v>0</v>
      </c>
      <c r="G2364" s="2" t="s">
        <v>9937</v>
      </c>
      <c r="H2364" s="3" t="str">
        <f>_xlfn.IFNA(INDEX(RulebookFields!C2:C999, MATCH(D2364,RulebookFields!A2:A999, 0)), "")</f>
        <v>KnowledgeFragments</v>
      </c>
      <c r="I2364" s="3" t="str">
        <f>_xlfn.IFNA(INDEX(RulebookFields!D2:D999, MATCH(D2364,RulebookFields!A2:A999, 0)), "")</f>
        <v>OwningVersionCadenceDays</v>
      </c>
      <c r="J2364" s="3" t="b">
        <f>_xlfn.IFNA(INDEX(RulebookFields!I2:I999, MATCH(D2364,RulebookFields!A2:A999, 0)), "")</f>
        <v>1</v>
      </c>
      <c r="K2364" s="3" t="b">
        <f>AND(F2364, J2364)</f>
        <v>0</v>
      </c>
      <c r="L2364" s="3" t="b">
        <f>AND(G2364 &lt;&gt; "plain", G2364 &lt;&gt; "")</f>
        <v>0</v>
      </c>
      <c r="M2364" s="3" t="str">
        <f>IF(E2364, C2364 &amp; "|" &amp; H2364, "")</f>
        <v>principal-knowledge-authority|KnowledgeFragments</v>
      </c>
      <c r="N2364" s="2" t="s">
        <v>9938</v>
      </c>
    </row>
    <row r="2365">
      <c r="A2365" s="2" t="s">
        <v>12301</v>
      </c>
      <c r="B2365" s="3" t="str">
        <f>C2365 &amp; " -&gt; " &amp; D2365</f>
        <v>principal-knowledge-authority -&gt; KnowledgeFragments.ExceedsOwningCadence</v>
      </c>
      <c r="C2365" s="2" t="s">
        <v>9708</v>
      </c>
      <c r="D2365" s="2" t="s">
        <v>3228</v>
      </c>
      <c r="E2365" s="2" t="b">
        <v>1</v>
      </c>
      <c r="F2365" s="2" t="b">
        <v>0</v>
      </c>
      <c r="G2365" s="2" t="s">
        <v>9937</v>
      </c>
      <c r="H2365" s="3" t="str">
        <f>_xlfn.IFNA(INDEX(RulebookFields!C2:C999, MATCH(D2365,RulebookFields!A2:A999, 0)), "")</f>
        <v>KnowledgeFragments</v>
      </c>
      <c r="I2365" s="3" t="str">
        <f>_xlfn.IFNA(INDEX(RulebookFields!D2:D999, MATCH(D2365,RulebookFields!A2:A999, 0)), "")</f>
        <v>ExceedsOwningCadence</v>
      </c>
      <c r="J2365" s="3" t="b">
        <f>_xlfn.IFNA(INDEX(RulebookFields!I2:I999, MATCH(D2365,RulebookFields!A2:A999, 0)), "")</f>
        <v>1</v>
      </c>
      <c r="K2365" s="3" t="b">
        <f>AND(F2365, J2365)</f>
        <v>0</v>
      </c>
      <c r="L2365" s="3" t="b">
        <f>AND(G2365 &lt;&gt; "plain", G2365 &lt;&gt; "")</f>
        <v>0</v>
      </c>
      <c r="M2365" s="3" t="str">
        <f>IF(E2365, C2365 &amp; "|" &amp; H2365, "")</f>
        <v>principal-knowledge-authority|KnowledgeFragments</v>
      </c>
      <c r="N2365" s="2" t="s">
        <v>9938</v>
      </c>
    </row>
    <row r="2366">
      <c r="A2366" s="2" t="s">
        <v>12302</v>
      </c>
      <c r="B2366" s="3" t="str">
        <f>C2366 &amp; " -&gt; " &amp; D2366</f>
        <v>principal-knowledge-authority -&gt; KnowledgeFragments.IsAgingLowConfidenceClaim</v>
      </c>
      <c r="C2366" s="2" t="s">
        <v>9708</v>
      </c>
      <c r="D2366" s="2" t="s">
        <v>3230</v>
      </c>
      <c r="E2366" s="2" t="b">
        <v>1</v>
      </c>
      <c r="F2366" s="2" t="b">
        <v>0</v>
      </c>
      <c r="G2366" s="2" t="s">
        <v>9937</v>
      </c>
      <c r="H2366" s="3" t="str">
        <f>_xlfn.IFNA(INDEX(RulebookFields!C2:C999, MATCH(D2366,RulebookFields!A2:A999, 0)), "")</f>
        <v>KnowledgeFragments</v>
      </c>
      <c r="I2366" s="3" t="str">
        <f>_xlfn.IFNA(INDEX(RulebookFields!D2:D999, MATCH(D2366,RulebookFields!A2:A999, 0)), "")</f>
        <v>IsAgingLowConfidenceClaim</v>
      </c>
      <c r="J2366" s="3" t="b">
        <f>_xlfn.IFNA(INDEX(RulebookFields!I2:I999, MATCH(D2366,RulebookFields!A2:A999, 0)), "")</f>
        <v>1</v>
      </c>
      <c r="K2366" s="3" t="b">
        <f>AND(F2366, J2366)</f>
        <v>0</v>
      </c>
      <c r="L2366" s="3" t="b">
        <f>AND(G2366 &lt;&gt; "plain", G2366 &lt;&gt; "")</f>
        <v>0</v>
      </c>
      <c r="M2366" s="3" t="str">
        <f>IF(E2366, C2366 &amp; "|" &amp; H2366, "")</f>
        <v>principal-knowledge-authority|KnowledgeFragments</v>
      </c>
      <c r="N2366" s="2" t="s">
        <v>9938</v>
      </c>
    </row>
    <row r="2367">
      <c r="A2367" s="2" t="s">
        <v>12303</v>
      </c>
      <c r="B2367" s="3" t="str">
        <f>C2367 &amp; " -&gt; " &amp; D2367</f>
        <v>principal-knowledge-authority -&gt; KnowledgeFragments.OwnerRoleAgentKind</v>
      </c>
      <c r="C2367" s="2" t="s">
        <v>9708</v>
      </c>
      <c r="D2367" s="2" t="s">
        <v>3232</v>
      </c>
      <c r="E2367" s="2" t="b">
        <v>1</v>
      </c>
      <c r="F2367" s="2" t="b">
        <v>0</v>
      </c>
      <c r="G2367" s="2" t="s">
        <v>9937</v>
      </c>
      <c r="H2367" s="3" t="str">
        <f>_xlfn.IFNA(INDEX(RulebookFields!C2:C999, MATCH(D2367,RulebookFields!A2:A999, 0)), "")</f>
        <v>KnowledgeFragments</v>
      </c>
      <c r="I2367" s="3" t="str">
        <f>_xlfn.IFNA(INDEX(RulebookFields!D2:D999, MATCH(D2367,RulebookFields!A2:A999, 0)), "")</f>
        <v>OwnerRoleAgentKind</v>
      </c>
      <c r="J2367" s="3" t="b">
        <f>_xlfn.IFNA(INDEX(RulebookFields!I2:I999, MATCH(D2367,RulebookFields!A2:A999, 0)), "")</f>
        <v>1</v>
      </c>
      <c r="K2367" s="3" t="b">
        <f>AND(F2367, J2367)</f>
        <v>0</v>
      </c>
      <c r="L2367" s="3" t="b">
        <f>AND(G2367 &lt;&gt; "plain", G2367 &lt;&gt; "")</f>
        <v>0</v>
      </c>
      <c r="M2367" s="3" t="str">
        <f>IF(E2367, C2367 &amp; "|" &amp; H2367, "")</f>
        <v>principal-knowledge-authority|KnowledgeFragments</v>
      </c>
      <c r="N2367" s="2" t="s">
        <v>9938</v>
      </c>
    </row>
    <row r="2368">
      <c r="A2368" s="2" t="s">
        <v>12304</v>
      </c>
      <c r="B2368" s="3" t="str">
        <f>C2368 &amp; " -&gt; " &amp; D2368</f>
        <v>principal-knowledge-authority -&gt; KnowledgeFragments.IsHumanOwned</v>
      </c>
      <c r="C2368" s="2" t="s">
        <v>9708</v>
      </c>
      <c r="D2368" s="2" t="s">
        <v>3234</v>
      </c>
      <c r="E2368" s="2" t="b">
        <v>1</v>
      </c>
      <c r="F2368" s="2" t="b">
        <v>0</v>
      </c>
      <c r="G2368" s="2" t="s">
        <v>9937</v>
      </c>
      <c r="H2368" s="3" t="str">
        <f>_xlfn.IFNA(INDEX(RulebookFields!C2:C999, MATCH(D2368,RulebookFields!A2:A999, 0)), "")</f>
        <v>KnowledgeFragments</v>
      </c>
      <c r="I2368" s="3" t="str">
        <f>_xlfn.IFNA(INDEX(RulebookFields!D2:D999, MATCH(D2368,RulebookFields!A2:A999, 0)), "")</f>
        <v>IsHumanOwned</v>
      </c>
      <c r="J2368" s="3" t="b">
        <f>_xlfn.IFNA(INDEX(RulebookFields!I2:I999, MATCH(D2368,RulebookFields!A2:A999, 0)), "")</f>
        <v>1</v>
      </c>
      <c r="K2368" s="3" t="b">
        <f>AND(F2368, J2368)</f>
        <v>0</v>
      </c>
      <c r="L2368" s="3" t="b">
        <f>AND(G2368 &lt;&gt; "plain", G2368 &lt;&gt; "")</f>
        <v>0</v>
      </c>
      <c r="M2368" s="3" t="str">
        <f>IF(E2368, C2368 &amp; "|" &amp; H2368, "")</f>
        <v>principal-knowledge-authority|KnowledgeFragments</v>
      </c>
      <c r="N2368" s="2" t="s">
        <v>9938</v>
      </c>
    </row>
    <row r="2369">
      <c r="A2369" s="2" t="s">
        <v>12305</v>
      </c>
      <c r="B2369" s="3" t="str">
        <f>C2369 &amp; " -&gt; " &amp; D2369</f>
        <v>principal-knowledge-authority -&gt; KnowledgeFragments.IsAiValidatedByAi</v>
      </c>
      <c r="C2369" s="2" t="s">
        <v>9708</v>
      </c>
      <c r="D2369" s="2" t="s">
        <v>3236</v>
      </c>
      <c r="E2369" s="2" t="b">
        <v>1</v>
      </c>
      <c r="F2369" s="2" t="b">
        <v>0</v>
      </c>
      <c r="G2369" s="2" t="s">
        <v>9937</v>
      </c>
      <c r="H2369" s="3" t="str">
        <f>_xlfn.IFNA(INDEX(RulebookFields!C2:C999, MATCH(D2369,RulebookFields!A2:A999, 0)), "")</f>
        <v>KnowledgeFragments</v>
      </c>
      <c r="I2369" s="3" t="str">
        <f>_xlfn.IFNA(INDEX(RulebookFields!D2:D999, MATCH(D2369,RulebookFields!A2:A999, 0)), "")</f>
        <v>IsAiValidatedByAi</v>
      </c>
      <c r="J2369" s="3" t="b">
        <f>_xlfn.IFNA(INDEX(RulebookFields!I2:I999, MATCH(D2369,RulebookFields!A2:A999, 0)), "")</f>
        <v>1</v>
      </c>
      <c r="K2369" s="3" t="b">
        <f>AND(F2369, J2369)</f>
        <v>0</v>
      </c>
      <c r="L2369" s="3" t="b">
        <f>AND(G2369 &lt;&gt; "plain", G2369 &lt;&gt; "")</f>
        <v>0</v>
      </c>
      <c r="M2369" s="3" t="str">
        <f>IF(E2369, C2369 &amp; "|" &amp; H2369, "")</f>
        <v>principal-knowledge-authority|KnowledgeFragments</v>
      </c>
      <c r="N2369" s="2" t="s">
        <v>9938</v>
      </c>
    </row>
    <row r="2370">
      <c r="A2370" s="2" t="s">
        <v>12306</v>
      </c>
      <c r="B2370" s="3" t="str">
        <f>C2370 &amp; " -&gt; " &amp; D2370</f>
        <v>principal-knowledge-authority -&gt; KnowledgeFragments.ReviewCadenceDays</v>
      </c>
      <c r="C2370" s="2" t="s">
        <v>9708</v>
      </c>
      <c r="D2370" s="2" t="s">
        <v>3238</v>
      </c>
      <c r="E2370" s="2" t="b">
        <v>1</v>
      </c>
      <c r="F2370" s="2" t="b">
        <v>0</v>
      </c>
      <c r="G2370" s="2" t="s">
        <v>9937</v>
      </c>
      <c r="H2370" s="3" t="str">
        <f>_xlfn.IFNA(INDEX(RulebookFields!C2:C999, MATCH(D2370,RulebookFields!A2:A999, 0)), "")</f>
        <v>KnowledgeFragments</v>
      </c>
      <c r="I2370" s="3" t="str">
        <f>_xlfn.IFNA(INDEX(RulebookFields!D2:D999, MATCH(D2370,RulebookFields!A2:A999, 0)), "")</f>
        <v>ReviewCadenceDays</v>
      </c>
      <c r="J2370" s="3" t="b">
        <f>_xlfn.IFNA(INDEX(RulebookFields!I2:I999, MATCH(D2370,RulebookFields!A2:A999, 0)), "")</f>
        <v>1</v>
      </c>
      <c r="K2370" s="3" t="b">
        <f>AND(F2370, J2370)</f>
        <v>0</v>
      </c>
      <c r="L2370" s="3" t="b">
        <f>AND(G2370 &lt;&gt; "plain", G2370 &lt;&gt; "")</f>
        <v>0</v>
      </c>
      <c r="M2370" s="3" t="str">
        <f>IF(E2370, C2370 &amp; "|" &amp; H2370, "")</f>
        <v>principal-knowledge-authority|KnowledgeFragments</v>
      </c>
      <c r="N2370" s="2" t="s">
        <v>9938</v>
      </c>
    </row>
    <row r="2371">
      <c r="A2371" s="2" t="s">
        <v>12307</v>
      </c>
      <c r="B2371" s="3" t="str">
        <f>C2371 &amp; " -&gt; " &amp; D2371</f>
        <v>principal-knowledge-authority -&gt; KnowledgeFragments.IsOverdueForReview</v>
      </c>
      <c r="C2371" s="2" t="s">
        <v>9708</v>
      </c>
      <c r="D2371" s="2" t="s">
        <v>3239</v>
      </c>
      <c r="E2371" s="2" t="b">
        <v>1</v>
      </c>
      <c r="F2371" s="2" t="b">
        <v>0</v>
      </c>
      <c r="G2371" s="2" t="s">
        <v>9937</v>
      </c>
      <c r="H2371" s="3" t="str">
        <f>_xlfn.IFNA(INDEX(RulebookFields!C2:C999, MATCH(D2371,RulebookFields!A2:A999, 0)), "")</f>
        <v>KnowledgeFragments</v>
      </c>
      <c r="I2371" s="3" t="str">
        <f>_xlfn.IFNA(INDEX(RulebookFields!D2:D999, MATCH(D2371,RulebookFields!A2:A999, 0)), "")</f>
        <v>IsOverdueForReview</v>
      </c>
      <c r="J2371" s="3" t="b">
        <f>_xlfn.IFNA(INDEX(RulebookFields!I2:I999, MATCH(D2371,RulebookFields!A2:A999, 0)), "")</f>
        <v>1</v>
      </c>
      <c r="K2371" s="3" t="b">
        <f>AND(F2371, J2371)</f>
        <v>0</v>
      </c>
      <c r="L2371" s="3" t="b">
        <f>AND(G2371 &lt;&gt; "plain", G2371 &lt;&gt; "")</f>
        <v>0</v>
      </c>
      <c r="M2371" s="3" t="str">
        <f>IF(E2371, C2371 &amp; "|" &amp; H2371, "")</f>
        <v>principal-knowledge-authority|KnowledgeFragments</v>
      </c>
      <c r="N2371" s="2" t="s">
        <v>9938</v>
      </c>
    </row>
    <row r="2372">
      <c r="A2372" s="2" t="s">
        <v>12308</v>
      </c>
      <c r="B2372" s="3" t="str">
        <f>C2372 &amp; " -&gt; " &amp; D2372</f>
        <v>principal-knowledge-authority -&gt; KnowledgeFragments.PredatesCurrentRoleHolder</v>
      </c>
      <c r="C2372" s="2" t="s">
        <v>9708</v>
      </c>
      <c r="D2372" s="2" t="s">
        <v>3241</v>
      </c>
      <c r="E2372" s="2" t="b">
        <v>1</v>
      </c>
      <c r="F2372" s="2" t="b">
        <v>0</v>
      </c>
      <c r="G2372" s="2" t="s">
        <v>9937</v>
      </c>
      <c r="H2372" s="3" t="str">
        <f>_xlfn.IFNA(INDEX(RulebookFields!C2:C999, MATCH(D2372,RulebookFields!A2:A999, 0)), "")</f>
        <v>KnowledgeFragments</v>
      </c>
      <c r="I2372" s="3" t="str">
        <f>_xlfn.IFNA(INDEX(RulebookFields!D2:D999, MATCH(D2372,RulebookFields!A2:A999, 0)), "")</f>
        <v>PredatesCurrentRoleHolder</v>
      </c>
      <c r="J2372" s="3" t="b">
        <f>_xlfn.IFNA(INDEX(RulebookFields!I2:I999, MATCH(D2372,RulebookFields!A2:A999, 0)), "")</f>
        <v>1</v>
      </c>
      <c r="K2372" s="3" t="b">
        <f>AND(F2372, J2372)</f>
        <v>0</v>
      </c>
      <c r="L2372" s="3" t="b">
        <f>AND(G2372 &lt;&gt; "plain", G2372 &lt;&gt; "")</f>
        <v>0</v>
      </c>
      <c r="M2372" s="3" t="str">
        <f>IF(E2372, C2372 &amp; "|" &amp; H2372, "")</f>
        <v>principal-knowledge-authority|KnowledgeFragments</v>
      </c>
      <c r="N2372" s="2" t="s">
        <v>9938</v>
      </c>
    </row>
    <row r="2373">
      <c r="A2373" s="2" t="s">
        <v>12309</v>
      </c>
      <c r="B2373" s="3" t="str">
        <f>C2373 &amp; " -&gt; " &amp; D2373</f>
        <v>principal-knowledge-authority -&gt; KnowledgeFragments.OwnerRoleAssignmentValidFrom</v>
      </c>
      <c r="C2373" s="2" t="s">
        <v>9708</v>
      </c>
      <c r="D2373" s="2" t="s">
        <v>3243</v>
      </c>
      <c r="E2373" s="2" t="b">
        <v>1</v>
      </c>
      <c r="F2373" s="2" t="b">
        <v>0</v>
      </c>
      <c r="G2373" s="2" t="s">
        <v>9937</v>
      </c>
      <c r="H2373" s="3" t="str">
        <f>_xlfn.IFNA(INDEX(RulebookFields!C2:C999, MATCH(D2373,RulebookFields!A2:A999, 0)), "")</f>
        <v>KnowledgeFragments</v>
      </c>
      <c r="I2373" s="3" t="str">
        <f>_xlfn.IFNA(INDEX(RulebookFields!D2:D999, MATCH(D2373,RulebookFields!A2:A999, 0)), "")</f>
        <v>OwnerRoleAssignmentValidFrom</v>
      </c>
      <c r="J2373" s="3" t="b">
        <f>_xlfn.IFNA(INDEX(RulebookFields!I2:I999, MATCH(D2373,RulebookFields!A2:A999, 0)), "")</f>
        <v>1</v>
      </c>
      <c r="K2373" s="3" t="b">
        <f>AND(F2373, J2373)</f>
        <v>0</v>
      </c>
      <c r="L2373" s="3" t="b">
        <f>AND(G2373 &lt;&gt; "plain", G2373 &lt;&gt; "")</f>
        <v>0</v>
      </c>
      <c r="M2373" s="3" t="str">
        <f>IF(E2373, C2373 &amp; "|" &amp; H2373, "")</f>
        <v>principal-knowledge-authority|KnowledgeFragments</v>
      </c>
      <c r="N2373" s="2" t="s">
        <v>9938</v>
      </c>
    </row>
    <row r="2374">
      <c r="A2374" s="2" t="s">
        <v>12310</v>
      </c>
      <c r="B2374" s="3" t="str">
        <f>C2374 &amp; " -&gt; " &amp; D2374</f>
        <v>principal-knowledge-authority -&gt; KnowledgeFragments.LastReviewedAt</v>
      </c>
      <c r="C2374" s="2" t="s">
        <v>9708</v>
      </c>
      <c r="D2374" s="2" t="s">
        <v>3245</v>
      </c>
      <c r="E2374" s="2" t="b">
        <v>1</v>
      </c>
      <c r="F2374" s="2" t="b">
        <v>0</v>
      </c>
      <c r="G2374" s="2" t="s">
        <v>9937</v>
      </c>
      <c r="H2374" s="3" t="str">
        <f>_xlfn.IFNA(INDEX(RulebookFields!C2:C999, MATCH(D2374,RulebookFields!A2:A999, 0)), "")</f>
        <v>KnowledgeFragments</v>
      </c>
      <c r="I2374" s="3" t="str">
        <f>_xlfn.IFNA(INDEX(RulebookFields!D2:D999, MATCH(D2374,RulebookFields!A2:A999, 0)), "")</f>
        <v>LastReviewedAt</v>
      </c>
      <c r="J2374" s="3" t="b">
        <f>_xlfn.IFNA(INDEX(RulebookFields!I2:I999, MATCH(D2374,RulebookFields!A2:A999, 0)), "")</f>
        <v>0</v>
      </c>
      <c r="K2374" s="3" t="b">
        <f>AND(F2374, J2374)</f>
        <v>0</v>
      </c>
      <c r="L2374" s="3" t="b">
        <f>AND(G2374 &lt;&gt; "plain", G2374 &lt;&gt; "")</f>
        <v>0</v>
      </c>
      <c r="M2374" s="3" t="str">
        <f>IF(E2374, C2374 &amp; "|" &amp; H2374, "")</f>
        <v>principal-knowledge-authority|KnowledgeFragments</v>
      </c>
      <c r="N2374" s="2" t="s">
        <v>9938</v>
      </c>
    </row>
    <row r="2375">
      <c r="A2375" s="2" t="s">
        <v>12311</v>
      </c>
      <c r="B2375" s="3" t="str">
        <f>C2375 &amp; " -&gt; " &amp; D2375</f>
        <v>principal-knowledge-authority -&gt; KnowledgeFragments.FragilitySignalCount</v>
      </c>
      <c r="C2375" s="2" t="s">
        <v>9708</v>
      </c>
      <c r="D2375" s="2" t="s">
        <v>3246</v>
      </c>
      <c r="E2375" s="2" t="b">
        <v>1</v>
      </c>
      <c r="F2375" s="2" t="b">
        <v>0</v>
      </c>
      <c r="G2375" s="2" t="s">
        <v>9937</v>
      </c>
      <c r="H2375" s="3" t="str">
        <f>_xlfn.IFNA(INDEX(RulebookFields!C2:C999, MATCH(D2375,RulebookFields!A2:A999, 0)), "")</f>
        <v>KnowledgeFragments</v>
      </c>
      <c r="I2375" s="3" t="str">
        <f>_xlfn.IFNA(INDEX(RulebookFields!D2:D999, MATCH(D2375,RulebookFields!A2:A999, 0)), "")</f>
        <v>FragilitySignalCount</v>
      </c>
      <c r="J2375" s="3" t="b">
        <f>_xlfn.IFNA(INDEX(RulebookFields!I2:I999, MATCH(D2375,RulebookFields!A2:A999, 0)), "")</f>
        <v>1</v>
      </c>
      <c r="K2375" s="3" t="b">
        <f>AND(F2375, J2375)</f>
        <v>0</v>
      </c>
      <c r="L2375" s="3" t="b">
        <f>AND(G2375 &lt;&gt; "plain", G2375 &lt;&gt; "")</f>
        <v>0</v>
      </c>
      <c r="M2375" s="3" t="str">
        <f>IF(E2375, C2375 &amp; "|" &amp; H2375, "")</f>
        <v>principal-knowledge-authority|KnowledgeFragments</v>
      </c>
      <c r="N2375" s="2" t="s">
        <v>9938</v>
      </c>
    </row>
    <row r="2376">
      <c r="A2376" s="2" t="s">
        <v>12312</v>
      </c>
      <c r="B2376" s="3" t="str">
        <f>C2376 &amp; " -&gt; " &amp; D2376</f>
        <v>principal-knowledge-authority -&gt; KnowledgeFragments.IsCompoundFragile</v>
      </c>
      <c r="C2376" s="2" t="s">
        <v>9708</v>
      </c>
      <c r="D2376" s="2" t="s">
        <v>3248</v>
      </c>
      <c r="E2376" s="2" t="b">
        <v>1</v>
      </c>
      <c r="F2376" s="2" t="b">
        <v>0</v>
      </c>
      <c r="G2376" s="2" t="s">
        <v>9937</v>
      </c>
      <c r="H2376" s="3" t="str">
        <f>_xlfn.IFNA(INDEX(RulebookFields!C2:C999, MATCH(D2376,RulebookFields!A2:A999, 0)), "")</f>
        <v>KnowledgeFragments</v>
      </c>
      <c r="I2376" s="3" t="str">
        <f>_xlfn.IFNA(INDEX(RulebookFields!D2:D999, MATCH(D2376,RulebookFields!A2:A999, 0)), "")</f>
        <v>IsCompoundFragile</v>
      </c>
      <c r="J2376" s="3" t="b">
        <f>_xlfn.IFNA(INDEX(RulebookFields!I2:I999, MATCH(D2376,RulebookFields!A2:A999, 0)), "")</f>
        <v>1</v>
      </c>
      <c r="K2376" s="3" t="b">
        <f>AND(F2376, J2376)</f>
        <v>0</v>
      </c>
      <c r="L2376" s="3" t="b">
        <f>AND(G2376 &lt;&gt; "plain", G2376 &lt;&gt; "")</f>
        <v>0</v>
      </c>
      <c r="M2376" s="3" t="str">
        <f>IF(E2376, C2376 &amp; "|" &amp; H2376, "")</f>
        <v>principal-knowledge-authority|KnowledgeFragments</v>
      </c>
      <c r="N2376" s="2" t="s">
        <v>9938</v>
      </c>
    </row>
    <row r="2377">
      <c r="A2377" s="2" t="s">
        <v>12313</v>
      </c>
      <c r="B2377" s="3" t="str">
        <f>C2377 &amp; " -&gt; " &amp; D2377</f>
        <v>principal-knowledge-authority -&gt; KnowledgeFragments.IsSinglePointOfFailure</v>
      </c>
      <c r="C2377" s="2" t="s">
        <v>9708</v>
      </c>
      <c r="D2377" s="2" t="s">
        <v>3250</v>
      </c>
      <c r="E2377" s="2" t="b">
        <v>1</v>
      </c>
      <c r="F2377" s="2" t="b">
        <v>0</v>
      </c>
      <c r="G2377" s="2" t="s">
        <v>9937</v>
      </c>
      <c r="H2377" s="3" t="str">
        <f>_xlfn.IFNA(INDEX(RulebookFields!C2:C999, MATCH(D2377,RulebookFields!A2:A999, 0)), "")</f>
        <v>KnowledgeFragments</v>
      </c>
      <c r="I2377" s="3" t="str">
        <f>_xlfn.IFNA(INDEX(RulebookFields!D2:D999, MATCH(D2377,RulebookFields!A2:A999, 0)), "")</f>
        <v>IsSinglePointOfFailure</v>
      </c>
      <c r="J2377" s="3" t="b">
        <f>_xlfn.IFNA(INDEX(RulebookFields!I2:I999, MATCH(D2377,RulebookFields!A2:A999, 0)), "")</f>
        <v>1</v>
      </c>
      <c r="K2377" s="3" t="b">
        <f>AND(F2377, J2377)</f>
        <v>0</v>
      </c>
      <c r="L2377" s="3" t="b">
        <f>AND(G2377 &lt;&gt; "plain", G2377 &lt;&gt; "")</f>
        <v>0</v>
      </c>
      <c r="M2377" s="3" t="str">
        <f>IF(E2377, C2377 &amp; "|" &amp; H2377, "")</f>
        <v>principal-knowledge-authority|KnowledgeFragments</v>
      </c>
      <c r="N2377" s="2" t="s">
        <v>9938</v>
      </c>
    </row>
    <row r="2378">
      <c r="A2378" s="2" t="s">
        <v>12314</v>
      </c>
      <c r="B2378" s="3" t="str">
        <f>C2378 &amp; " -&gt; " &amp; D2378</f>
        <v>principal-knowledge-authority -&gt; KnowledgeFragments.IsExpiringSinglePointOfFailure</v>
      </c>
      <c r="C2378" s="2" t="s">
        <v>9708</v>
      </c>
      <c r="D2378" s="2" t="s">
        <v>3252</v>
      </c>
      <c r="E2378" s="2" t="b">
        <v>1</v>
      </c>
      <c r="F2378" s="2" t="b">
        <v>0</v>
      </c>
      <c r="G2378" s="2" t="s">
        <v>9937</v>
      </c>
      <c r="H2378" s="3" t="str">
        <f>_xlfn.IFNA(INDEX(RulebookFields!C2:C999, MATCH(D2378,RulebookFields!A2:A999, 0)), "")</f>
        <v>KnowledgeFragments</v>
      </c>
      <c r="I2378" s="3" t="str">
        <f>_xlfn.IFNA(INDEX(RulebookFields!D2:D999, MATCH(D2378,RulebookFields!A2:A999, 0)), "")</f>
        <v>IsExpiringSinglePointOfFailure</v>
      </c>
      <c r="J2378" s="3" t="b">
        <f>_xlfn.IFNA(INDEX(RulebookFields!I2:I999, MATCH(D2378,RulebookFields!A2:A999, 0)), "")</f>
        <v>1</v>
      </c>
      <c r="K2378" s="3" t="b">
        <f>AND(F2378, J2378)</f>
        <v>0</v>
      </c>
      <c r="L2378" s="3" t="b">
        <f>AND(G2378 &lt;&gt; "plain", G2378 &lt;&gt; "")</f>
        <v>0</v>
      </c>
      <c r="M2378" s="3" t="str">
        <f>IF(E2378, C2378 &amp; "|" &amp; H2378, "")</f>
        <v>principal-knowledge-authority|KnowledgeFragments</v>
      </c>
      <c r="N2378" s="2" t="s">
        <v>9938</v>
      </c>
    </row>
    <row r="2379">
      <c r="A2379" s="2" t="s">
        <v>12315</v>
      </c>
      <c r="B2379" s="3" t="str">
        <f>C2379 &amp; " -&gt; " &amp; D2379</f>
        <v>principal-knowledge-authority -&gt; KnowledgeFragments.CompoundFragileVersionKey</v>
      </c>
      <c r="C2379" s="2" t="s">
        <v>9708</v>
      </c>
      <c r="D2379" s="2" t="s">
        <v>3254</v>
      </c>
      <c r="E2379" s="2" t="b">
        <v>1</v>
      </c>
      <c r="F2379" s="2" t="b">
        <v>0</v>
      </c>
      <c r="G2379" s="2" t="s">
        <v>9937</v>
      </c>
      <c r="H2379" s="3" t="str">
        <f>_xlfn.IFNA(INDEX(RulebookFields!C2:C999, MATCH(D2379,RulebookFields!A2:A999, 0)), "")</f>
        <v>KnowledgeFragments</v>
      </c>
      <c r="I2379" s="3" t="str">
        <f>_xlfn.IFNA(INDEX(RulebookFields!D2:D999, MATCH(D2379,RulebookFields!A2:A999, 0)), "")</f>
        <v>CompoundFragileVersionKey</v>
      </c>
      <c r="J2379" s="3" t="b">
        <f>_xlfn.IFNA(INDEX(RulebookFields!I2:I999, MATCH(D2379,RulebookFields!A2:A999, 0)), "")</f>
        <v>1</v>
      </c>
      <c r="K2379" s="3" t="b">
        <f>AND(F2379, J2379)</f>
        <v>0</v>
      </c>
      <c r="L2379" s="3" t="b">
        <f>AND(G2379 &lt;&gt; "plain", G2379 &lt;&gt; "")</f>
        <v>0</v>
      </c>
      <c r="M2379" s="3" t="str">
        <f>IF(E2379, C2379 &amp; "|" &amp; H2379, "")</f>
        <v>principal-knowledge-authority|KnowledgeFragments</v>
      </c>
      <c r="N2379" s="2" t="s">
        <v>9938</v>
      </c>
    </row>
    <row r="2380">
      <c r="A2380" s="2" t="s">
        <v>12316</v>
      </c>
      <c r="B2380" s="3" t="str">
        <f>C2380 &amp; " -&gt; " &amp; D2380</f>
        <v>principal-knowledge-authority -&gt; KnowledgeFragments.ValidFragmentSessionKey</v>
      </c>
      <c r="C2380" s="2" t="s">
        <v>9708</v>
      </c>
      <c r="D2380" s="2" t="s">
        <v>3256</v>
      </c>
      <c r="E2380" s="2" t="b">
        <v>1</v>
      </c>
      <c r="F2380" s="2" t="b">
        <v>0</v>
      </c>
      <c r="G2380" s="2" t="s">
        <v>9937</v>
      </c>
      <c r="H2380" s="3" t="str">
        <f>_xlfn.IFNA(INDEX(RulebookFields!C2:C999, MATCH(D2380,RulebookFields!A2:A999, 0)), "")</f>
        <v>KnowledgeFragments</v>
      </c>
      <c r="I2380" s="3" t="str">
        <f>_xlfn.IFNA(INDEX(RulebookFields!D2:D999, MATCH(D2380,RulebookFields!A2:A999, 0)), "")</f>
        <v>ValidFragmentSessionKey</v>
      </c>
      <c r="J2380" s="3" t="b">
        <f>_xlfn.IFNA(INDEX(RulebookFields!I2:I999, MATCH(D2380,RulebookFields!A2:A999, 0)), "")</f>
        <v>1</v>
      </c>
      <c r="K2380" s="3" t="b">
        <f>AND(F2380, J2380)</f>
        <v>0</v>
      </c>
      <c r="L2380" s="3" t="b">
        <f>AND(G2380 &lt;&gt; "plain", G2380 &lt;&gt; "")</f>
        <v>0</v>
      </c>
      <c r="M2380" s="3" t="str">
        <f>IF(E2380, C2380 &amp; "|" &amp; H2380, "")</f>
        <v>principal-knowledge-authority|KnowledgeFragments</v>
      </c>
      <c r="N2380" s="2" t="s">
        <v>9938</v>
      </c>
    </row>
    <row r="2381">
      <c r="A2381" s="2" t="s">
        <v>12317</v>
      </c>
      <c r="B2381" s="3" t="str">
        <f>C2381 &amp; " -&gt; " &amp; D2381</f>
        <v>principal-knowledge-authority -&gt; KnowledgeFragments.ConsumingStepIsSoftwareAssigned</v>
      </c>
      <c r="C2381" s="2" t="s">
        <v>9708</v>
      </c>
      <c r="D2381" s="2" t="s">
        <v>3258</v>
      </c>
      <c r="E2381" s="2" t="b">
        <v>1</v>
      </c>
      <c r="F2381" s="2" t="b">
        <v>0</v>
      </c>
      <c r="G2381" s="2" t="s">
        <v>9937</v>
      </c>
      <c r="H2381" s="3" t="str">
        <f>_xlfn.IFNA(INDEX(RulebookFields!C2:C999, MATCH(D2381,RulebookFields!A2:A999, 0)), "")</f>
        <v>KnowledgeFragments</v>
      </c>
      <c r="I2381" s="3" t="str">
        <f>_xlfn.IFNA(INDEX(RulebookFields!D2:D999, MATCH(D2381,RulebookFields!A2:A999, 0)), "")</f>
        <v>ConsumingStepIsSoftwareAssigned</v>
      </c>
      <c r="J2381" s="3" t="b">
        <f>_xlfn.IFNA(INDEX(RulebookFields!I2:I999, MATCH(D2381,RulebookFields!A2:A999, 0)), "")</f>
        <v>1</v>
      </c>
      <c r="K2381" s="3" t="b">
        <f>AND(F2381, J2381)</f>
        <v>0</v>
      </c>
      <c r="L2381" s="3" t="b">
        <f>AND(G2381 &lt;&gt; "plain", G2381 &lt;&gt; "")</f>
        <v>0</v>
      </c>
      <c r="M2381" s="3" t="str">
        <f>IF(E2381, C2381 &amp; "|" &amp; H2381, "")</f>
        <v>principal-knowledge-authority|KnowledgeFragments</v>
      </c>
      <c r="N2381" s="2" t="s">
        <v>9938</v>
      </c>
    </row>
    <row r="2382">
      <c r="A2382" s="2" t="s">
        <v>12318</v>
      </c>
      <c r="B2382" s="3" t="str">
        <f>C2382 &amp; " -&gt; " &amp; D2382</f>
        <v>principal-knowledge-authority -&gt; KnowledgeFragments.ConsumingStepAgentKind</v>
      </c>
      <c r="C2382" s="2" t="s">
        <v>9708</v>
      </c>
      <c r="D2382" s="2" t="s">
        <v>3260</v>
      </c>
      <c r="E2382" s="2" t="b">
        <v>1</v>
      </c>
      <c r="F2382" s="2" t="b">
        <v>0</v>
      </c>
      <c r="G2382" s="2" t="s">
        <v>9937</v>
      </c>
      <c r="H2382" s="3" t="str">
        <f>_xlfn.IFNA(INDEX(RulebookFields!C2:C999, MATCH(D2382,RulebookFields!A2:A999, 0)), "")</f>
        <v>KnowledgeFragments</v>
      </c>
      <c r="I2382" s="3" t="str">
        <f>_xlfn.IFNA(INDEX(RulebookFields!D2:D999, MATCH(D2382,RulebookFields!A2:A999, 0)), "")</f>
        <v>ConsumingStepAgentKind</v>
      </c>
      <c r="J2382" s="3" t="b">
        <f>_xlfn.IFNA(INDEX(RulebookFields!I2:I999, MATCH(D2382,RulebookFields!A2:A999, 0)), "")</f>
        <v>1</v>
      </c>
      <c r="K2382" s="3" t="b">
        <f>AND(F2382, J2382)</f>
        <v>0</v>
      </c>
      <c r="L2382" s="3" t="b">
        <f>AND(G2382 &lt;&gt; "plain", G2382 &lt;&gt; "")</f>
        <v>0</v>
      </c>
      <c r="M2382" s="3" t="str">
        <f>IF(E2382, C2382 &amp; "|" &amp; H2382, "")</f>
        <v>principal-knowledge-authority|KnowledgeFragments</v>
      </c>
      <c r="N2382" s="2" t="s">
        <v>9938</v>
      </c>
    </row>
    <row r="2383">
      <c r="A2383" s="2" t="s">
        <v>12319</v>
      </c>
      <c r="B2383" s="3" t="str">
        <f>C2383 &amp; " -&gt; " &amp; D2383</f>
        <v>principal-knowledge-authority -&gt; KnowledgeFragments.IsUnapprovedAndMachineConsumed</v>
      </c>
      <c r="C2383" s="2" t="s">
        <v>9708</v>
      </c>
      <c r="D2383" s="2" t="s">
        <v>3262</v>
      </c>
      <c r="E2383" s="2" t="b">
        <v>1</v>
      </c>
      <c r="F2383" s="2" t="b">
        <v>0</v>
      </c>
      <c r="G2383" s="2" t="s">
        <v>9937</v>
      </c>
      <c r="H2383" s="3" t="str">
        <f>_xlfn.IFNA(INDEX(RulebookFields!C2:C999, MATCH(D2383,RulebookFields!A2:A999, 0)), "")</f>
        <v>KnowledgeFragments</v>
      </c>
      <c r="I2383" s="3" t="str">
        <f>_xlfn.IFNA(INDEX(RulebookFields!D2:D999, MATCH(D2383,RulebookFields!A2:A999, 0)), "")</f>
        <v>IsUnapprovedAndMachineConsumed</v>
      </c>
      <c r="J2383" s="3" t="b">
        <f>_xlfn.IFNA(INDEX(RulebookFields!I2:I999, MATCH(D2383,RulebookFields!A2:A999, 0)), "")</f>
        <v>1</v>
      </c>
      <c r="K2383" s="3" t="b">
        <f>AND(F2383, J2383)</f>
        <v>0</v>
      </c>
      <c r="L2383" s="3" t="b">
        <f>AND(G2383 &lt;&gt; "plain", G2383 &lt;&gt; "")</f>
        <v>0</v>
      </c>
      <c r="M2383" s="3" t="str">
        <f>IF(E2383, C2383 &amp; "|" &amp; H2383, "")</f>
        <v>principal-knowledge-authority|KnowledgeFragments</v>
      </c>
      <c r="N2383" s="2" t="s">
        <v>9938</v>
      </c>
    </row>
    <row r="2384">
      <c r="A2384" s="2" t="s">
        <v>12320</v>
      </c>
      <c r="B2384" s="3" t="str">
        <f>C2384 &amp; " -&gt; " &amp; D2384</f>
        <v>principal-knowledge-authority -&gt; KnowledgeFragments.IsUnapprovedAndHumanConsumed</v>
      </c>
      <c r="C2384" s="2" t="s">
        <v>9708</v>
      </c>
      <c r="D2384" s="2" t="s">
        <v>3264</v>
      </c>
      <c r="E2384" s="2" t="b">
        <v>1</v>
      </c>
      <c r="F2384" s="2" t="b">
        <v>0</v>
      </c>
      <c r="G2384" s="2" t="s">
        <v>9937</v>
      </c>
      <c r="H2384" s="3" t="str">
        <f>_xlfn.IFNA(INDEX(RulebookFields!C2:C999, MATCH(D2384,RulebookFields!A2:A999, 0)), "")</f>
        <v>KnowledgeFragments</v>
      </c>
      <c r="I2384" s="3" t="str">
        <f>_xlfn.IFNA(INDEX(RulebookFields!D2:D999, MATCH(D2384,RulebookFields!A2:A999, 0)), "")</f>
        <v>IsUnapprovedAndHumanConsumed</v>
      </c>
      <c r="J2384" s="3" t="b">
        <f>_xlfn.IFNA(INDEX(RulebookFields!I2:I999, MATCH(D2384,RulebookFields!A2:A999, 0)), "")</f>
        <v>1</v>
      </c>
      <c r="K2384" s="3" t="b">
        <f>AND(F2384, J2384)</f>
        <v>0</v>
      </c>
      <c r="L2384" s="3" t="b">
        <f>AND(G2384 &lt;&gt; "plain", G2384 &lt;&gt; "")</f>
        <v>0</v>
      </c>
      <c r="M2384" s="3" t="str">
        <f>IF(E2384, C2384 &amp; "|" &amp; H2384, "")</f>
        <v>principal-knowledge-authority|KnowledgeFragments</v>
      </c>
      <c r="N2384" s="2" t="s">
        <v>9938</v>
      </c>
    </row>
    <row r="2385">
      <c r="A2385" s="2" t="s">
        <v>12321</v>
      </c>
      <c r="B2385" s="3" t="str">
        <f>C2385 &amp; " -&gt; " &amp; D2385</f>
        <v>principal-knowledge-authority -&gt; KnowledgeFragments.MachineConsumedUnapprovedVersionKey</v>
      </c>
      <c r="C2385" s="2" t="s">
        <v>9708</v>
      </c>
      <c r="D2385" s="2" t="s">
        <v>3266</v>
      </c>
      <c r="E2385" s="2" t="b">
        <v>1</v>
      </c>
      <c r="F2385" s="2" t="b">
        <v>0</v>
      </c>
      <c r="G2385" s="2" t="s">
        <v>9937</v>
      </c>
      <c r="H2385" s="3" t="str">
        <f>_xlfn.IFNA(INDEX(RulebookFields!C2:C999, MATCH(D2385,RulebookFields!A2:A999, 0)), "")</f>
        <v>KnowledgeFragments</v>
      </c>
      <c r="I2385" s="3" t="str">
        <f>_xlfn.IFNA(INDEX(RulebookFields!D2:D999, MATCH(D2385,RulebookFields!A2:A999, 0)), "")</f>
        <v>MachineConsumedUnapprovedVersionKey</v>
      </c>
      <c r="J2385" s="3" t="b">
        <f>_xlfn.IFNA(INDEX(RulebookFields!I2:I999, MATCH(D2385,RulebookFields!A2:A999, 0)), "")</f>
        <v>1</v>
      </c>
      <c r="K2385" s="3" t="b">
        <f>AND(F2385, J2385)</f>
        <v>0</v>
      </c>
      <c r="L2385" s="3" t="b">
        <f>AND(G2385 &lt;&gt; "plain", G2385 &lt;&gt; "")</f>
        <v>0</v>
      </c>
      <c r="M2385" s="3" t="str">
        <f>IF(E2385, C2385 &amp; "|" &amp; H2385, "")</f>
        <v>principal-knowledge-authority|KnowledgeFragments</v>
      </c>
      <c r="N2385" s="2" t="s">
        <v>9938</v>
      </c>
    </row>
    <row r="2386">
      <c r="A2386" s="2" t="s">
        <v>12322</v>
      </c>
      <c r="B2386" s="3" t="str">
        <f>C2386 &amp; " -&gt; " &amp; D2386</f>
        <v>principal-knowledge-authority -&gt; KnowledgeFragments.HasReviewRecord</v>
      </c>
      <c r="C2386" s="2" t="s">
        <v>9708</v>
      </c>
      <c r="D2386" s="2" t="s">
        <v>3268</v>
      </c>
      <c r="E2386" s="2" t="b">
        <v>1</v>
      </c>
      <c r="F2386" s="2" t="b">
        <v>0</v>
      </c>
      <c r="G2386" s="2" t="s">
        <v>9937</v>
      </c>
      <c r="H2386" s="3" t="str">
        <f>_xlfn.IFNA(INDEX(RulebookFields!C2:C999, MATCH(D2386,RulebookFields!A2:A999, 0)), "")</f>
        <v>KnowledgeFragments</v>
      </c>
      <c r="I2386" s="3" t="str">
        <f>_xlfn.IFNA(INDEX(RulebookFields!D2:D999, MATCH(D2386,RulebookFields!A2:A999, 0)), "")</f>
        <v>HasReviewRecord</v>
      </c>
      <c r="J2386" s="3" t="b">
        <f>_xlfn.IFNA(INDEX(RulebookFields!I2:I999, MATCH(D2386,RulebookFields!A2:A999, 0)), "")</f>
        <v>1</v>
      </c>
      <c r="K2386" s="3" t="b">
        <f>AND(F2386, J2386)</f>
        <v>0</v>
      </c>
      <c r="L2386" s="3" t="b">
        <f>AND(G2386 &lt;&gt; "plain", G2386 &lt;&gt; "")</f>
        <v>0</v>
      </c>
      <c r="M2386" s="3" t="str">
        <f>IF(E2386, C2386 &amp; "|" &amp; H2386, "")</f>
        <v>principal-knowledge-authority|KnowledgeFragments</v>
      </c>
      <c r="N2386" s="2" t="s">
        <v>9938</v>
      </c>
    </row>
    <row r="2387">
      <c r="A2387" s="2" t="s">
        <v>12323</v>
      </c>
      <c r="B2387" s="3" t="str">
        <f>C2387 &amp; " -&gt; " &amp; D2387</f>
        <v>principal-knowledge-authority -&gt; KnowledgeFragments.DaysSinceActualReview</v>
      </c>
      <c r="C2387" s="2" t="s">
        <v>9708</v>
      </c>
      <c r="D2387" s="2" t="s">
        <v>3270</v>
      </c>
      <c r="E2387" s="2" t="b">
        <v>1</v>
      </c>
      <c r="F2387" s="2" t="b">
        <v>0</v>
      </c>
      <c r="G2387" s="2" t="s">
        <v>9937</v>
      </c>
      <c r="H2387" s="3" t="str">
        <f>_xlfn.IFNA(INDEX(RulebookFields!C2:C999, MATCH(D2387,RulebookFields!A2:A999, 0)), "")</f>
        <v>KnowledgeFragments</v>
      </c>
      <c r="I2387" s="3" t="str">
        <f>_xlfn.IFNA(INDEX(RulebookFields!D2:D999, MATCH(D2387,RulebookFields!A2:A999, 0)), "")</f>
        <v>DaysSinceActualReview</v>
      </c>
      <c r="J2387" s="3" t="b">
        <f>_xlfn.IFNA(INDEX(RulebookFields!I2:I999, MATCH(D2387,RulebookFields!A2:A999, 0)), "")</f>
        <v>1</v>
      </c>
      <c r="K2387" s="3" t="b">
        <f>AND(F2387, J2387)</f>
        <v>0</v>
      </c>
      <c r="L2387" s="3" t="b">
        <f>AND(G2387 &lt;&gt; "plain", G2387 &lt;&gt; "")</f>
        <v>0</v>
      </c>
      <c r="M2387" s="3" t="str">
        <f>IF(E2387, C2387 &amp; "|" &amp; H2387, "")</f>
        <v>principal-knowledge-authority|KnowledgeFragments</v>
      </c>
      <c r="N2387" s="2" t="s">
        <v>9938</v>
      </c>
    </row>
    <row r="2388">
      <c r="A2388" s="2" t="s">
        <v>12324</v>
      </c>
      <c r="B2388" s="3" t="str">
        <f>C2388 &amp; " -&gt; " &amp; D2388</f>
        <v>principal-knowledge-authority -&gt; KnowledgeFragments.IsUnreviewedSinceAuthoring</v>
      </c>
      <c r="C2388" s="2" t="s">
        <v>9708</v>
      </c>
      <c r="D2388" s="2" t="s">
        <v>3272</v>
      </c>
      <c r="E2388" s="2" t="b">
        <v>1</v>
      </c>
      <c r="F2388" s="2" t="b">
        <v>0</v>
      </c>
      <c r="G2388" s="2" t="s">
        <v>9937</v>
      </c>
      <c r="H2388" s="3" t="str">
        <f>_xlfn.IFNA(INDEX(RulebookFields!C2:C999, MATCH(D2388,RulebookFields!A2:A999, 0)), "")</f>
        <v>KnowledgeFragments</v>
      </c>
      <c r="I2388" s="3" t="str">
        <f>_xlfn.IFNA(INDEX(RulebookFields!D2:D999, MATCH(D2388,RulebookFields!A2:A999, 0)), "")</f>
        <v>IsUnreviewedSinceAuthoring</v>
      </c>
      <c r="J2388" s="3" t="b">
        <f>_xlfn.IFNA(INDEX(RulebookFields!I2:I999, MATCH(D2388,RulebookFields!A2:A999, 0)), "")</f>
        <v>1</v>
      </c>
      <c r="K2388" s="3" t="b">
        <f>AND(F2388, J2388)</f>
        <v>0</v>
      </c>
      <c r="L2388" s="3" t="b">
        <f>AND(G2388 &lt;&gt; "plain", G2388 &lt;&gt; "")</f>
        <v>0</v>
      </c>
      <c r="M2388" s="3" t="str">
        <f>IF(E2388, C2388 &amp; "|" &amp; H2388, "")</f>
        <v>principal-knowledge-authority|KnowledgeFragments</v>
      </c>
      <c r="N2388" s="2" t="s">
        <v>9938</v>
      </c>
    </row>
    <row r="2389">
      <c r="A2389" s="2" t="s">
        <v>12325</v>
      </c>
      <c r="B2389" s="3" t="str">
        <f>C2389 &amp; " -&gt; " &amp; D2389</f>
        <v>principal-knowledge-authority -&gt; KnowledgeFragments.IsGenuinelyOverdue</v>
      </c>
      <c r="C2389" s="2" t="s">
        <v>9708</v>
      </c>
      <c r="D2389" s="2" t="s">
        <v>3274</v>
      </c>
      <c r="E2389" s="2" t="b">
        <v>1</v>
      </c>
      <c r="F2389" s="2" t="b">
        <v>0</v>
      </c>
      <c r="G2389" s="2" t="s">
        <v>9937</v>
      </c>
      <c r="H2389" s="3" t="str">
        <f>_xlfn.IFNA(INDEX(RulebookFields!C2:C999, MATCH(D2389,RulebookFields!A2:A999, 0)), "")</f>
        <v>KnowledgeFragments</v>
      </c>
      <c r="I2389" s="3" t="str">
        <f>_xlfn.IFNA(INDEX(RulebookFields!D2:D999, MATCH(D2389,RulebookFields!A2:A999, 0)), "")</f>
        <v>IsGenuinelyOverdue</v>
      </c>
      <c r="J2389" s="3" t="b">
        <f>_xlfn.IFNA(INDEX(RulebookFields!I2:I999, MATCH(D2389,RulebookFields!A2:A999, 0)), "")</f>
        <v>1</v>
      </c>
      <c r="K2389" s="3" t="b">
        <f>AND(F2389, J2389)</f>
        <v>0</v>
      </c>
      <c r="L2389" s="3" t="b">
        <f>AND(G2389 &lt;&gt; "plain", G2389 &lt;&gt; "")</f>
        <v>0</v>
      </c>
      <c r="M2389" s="3" t="str">
        <f>IF(E2389, C2389 &amp; "|" &amp; H2389, "")</f>
        <v>principal-knowledge-authority|KnowledgeFragments</v>
      </c>
      <c r="N2389" s="2" t="s">
        <v>9938</v>
      </c>
    </row>
    <row r="2390">
      <c r="A2390" s="2" t="s">
        <v>12326</v>
      </c>
      <c r="B2390" s="3" t="str">
        <f>C2390 &amp; " -&gt; " &amp; D2390</f>
        <v>principal-knowledge-authority -&gt; KnowledgeFragments.ReviewRecencyIsInferred</v>
      </c>
      <c r="C2390" s="2" t="s">
        <v>9708</v>
      </c>
      <c r="D2390" s="2" t="s">
        <v>3276</v>
      </c>
      <c r="E2390" s="2" t="b">
        <v>1</v>
      </c>
      <c r="F2390" s="2" t="b">
        <v>0</v>
      </c>
      <c r="G2390" s="2" t="s">
        <v>9937</v>
      </c>
      <c r="H2390" s="3" t="str">
        <f>_xlfn.IFNA(INDEX(RulebookFields!C2:C999, MATCH(D2390,RulebookFields!A2:A999, 0)), "")</f>
        <v>KnowledgeFragments</v>
      </c>
      <c r="I2390" s="3" t="str">
        <f>_xlfn.IFNA(INDEX(RulebookFields!D2:D999, MATCH(D2390,RulebookFields!A2:A999, 0)), "")</f>
        <v>ReviewRecencyIsInferred</v>
      </c>
      <c r="J2390" s="3" t="b">
        <f>_xlfn.IFNA(INDEX(RulebookFields!I2:I999, MATCH(D2390,RulebookFields!A2:A999, 0)), "")</f>
        <v>1</v>
      </c>
      <c r="K2390" s="3" t="b">
        <f>AND(F2390, J2390)</f>
        <v>0</v>
      </c>
      <c r="L2390" s="3" t="b">
        <f>AND(G2390 &lt;&gt; "plain", G2390 &lt;&gt; "")</f>
        <v>0</v>
      </c>
      <c r="M2390" s="3" t="str">
        <f>IF(E2390, C2390 &amp; "|" &amp; H2390, "")</f>
        <v>principal-knowledge-authority|KnowledgeFragments</v>
      </c>
      <c r="N2390" s="2" t="s">
        <v>9938</v>
      </c>
    </row>
    <row r="2391">
      <c r="A2391" s="2" t="s">
        <v>12327</v>
      </c>
      <c r="B2391" s="3" t="str">
        <f>C2391 &amp; " -&gt; " &amp; D2391</f>
        <v>principal-knowledge-authority -&gt; KnowledgeFragments.InferenceDisagreesWithRecord</v>
      </c>
      <c r="C2391" s="2" t="s">
        <v>9708</v>
      </c>
      <c r="D2391" s="2" t="s">
        <v>3278</v>
      </c>
      <c r="E2391" s="2" t="b">
        <v>1</v>
      </c>
      <c r="F2391" s="2" t="b">
        <v>0</v>
      </c>
      <c r="G2391" s="2" t="s">
        <v>9937</v>
      </c>
      <c r="H2391" s="3" t="str">
        <f>_xlfn.IFNA(INDEX(RulebookFields!C2:C999, MATCH(D2391,RulebookFields!A2:A999, 0)), "")</f>
        <v>KnowledgeFragments</v>
      </c>
      <c r="I2391" s="3" t="str">
        <f>_xlfn.IFNA(INDEX(RulebookFields!D2:D999, MATCH(D2391,RulebookFields!A2:A999, 0)), "")</f>
        <v>InferenceDisagreesWithRecord</v>
      </c>
      <c r="J2391" s="3" t="b">
        <f>_xlfn.IFNA(INDEX(RulebookFields!I2:I999, MATCH(D2391,RulebookFields!A2:A999, 0)), "")</f>
        <v>1</v>
      </c>
      <c r="K2391" s="3" t="b">
        <f>AND(F2391, J2391)</f>
        <v>0</v>
      </c>
      <c r="L2391" s="3" t="b">
        <f>AND(G2391 &lt;&gt; "plain", G2391 &lt;&gt; "")</f>
        <v>0</v>
      </c>
      <c r="M2391" s="3" t="str">
        <f>IF(E2391, C2391 &amp; "|" &amp; H2391, "")</f>
        <v>principal-knowledge-authority|KnowledgeFragments</v>
      </c>
      <c r="N2391" s="2" t="s">
        <v>9938</v>
      </c>
    </row>
    <row r="2392">
      <c r="A2392" s="2" t="s">
        <v>12328</v>
      </c>
      <c r="B2392" s="3" t="str">
        <f>C2392 &amp; " -&gt; " &amp; D2392</f>
        <v>principal-knowledge-authority -&gt; KnowledgeFragments.GenuinelyOverdueVersionKey</v>
      </c>
      <c r="C2392" s="2" t="s">
        <v>9708</v>
      </c>
      <c r="D2392" s="2" t="s">
        <v>3280</v>
      </c>
      <c r="E2392" s="2" t="b">
        <v>1</v>
      </c>
      <c r="F2392" s="2" t="b">
        <v>0</v>
      </c>
      <c r="G2392" s="2" t="s">
        <v>9937</v>
      </c>
      <c r="H2392" s="3" t="str">
        <f>_xlfn.IFNA(INDEX(RulebookFields!C2:C999, MATCH(D2392,RulebookFields!A2:A999, 0)), "")</f>
        <v>KnowledgeFragments</v>
      </c>
      <c r="I2392" s="3" t="str">
        <f>_xlfn.IFNA(INDEX(RulebookFields!D2:D999, MATCH(D2392,RulebookFields!A2:A999, 0)), "")</f>
        <v>GenuinelyOverdueVersionKey</v>
      </c>
      <c r="J2392" s="3" t="b">
        <f>_xlfn.IFNA(INDEX(RulebookFields!I2:I999, MATCH(D2392,RulebookFields!A2:A999, 0)), "")</f>
        <v>1</v>
      </c>
      <c r="K2392" s="3" t="b">
        <f>AND(F2392, J2392)</f>
        <v>0</v>
      </c>
      <c r="L2392" s="3" t="b">
        <f>AND(G2392 &lt;&gt; "plain", G2392 &lt;&gt; "")</f>
        <v>0</v>
      </c>
      <c r="M2392" s="3" t="str">
        <f>IF(E2392, C2392 &amp; "|" &amp; H2392, "")</f>
        <v>principal-knowledge-authority|KnowledgeFragments</v>
      </c>
      <c r="N2392" s="2" t="s">
        <v>9938</v>
      </c>
    </row>
    <row r="2393">
      <c r="A2393" s="2" t="s">
        <v>12329</v>
      </c>
      <c r="B2393" s="3" t="str">
        <f>C2393 &amp; " -&gt; " &amp; D2393</f>
        <v>principal-knowledge-authority -&gt; KnowledgeFragments.RatifiedBoundaryCount</v>
      </c>
      <c r="C2393" s="2" t="s">
        <v>9708</v>
      </c>
      <c r="D2393" s="2" t="s">
        <v>3282</v>
      </c>
      <c r="E2393" s="2" t="b">
        <v>1</v>
      </c>
      <c r="F2393" s="2" t="b">
        <v>0</v>
      </c>
      <c r="G2393" s="2" t="s">
        <v>9937</v>
      </c>
      <c r="H2393" s="3" t="str">
        <f>_xlfn.IFNA(INDEX(RulebookFields!C2:C999, MATCH(D2393,RulebookFields!A2:A999, 0)), "")</f>
        <v>KnowledgeFragments</v>
      </c>
      <c r="I2393" s="3" t="str">
        <f>_xlfn.IFNA(INDEX(RulebookFields!D2:D999, MATCH(D2393,RulebookFields!A2:A999, 0)), "")</f>
        <v>RatifiedBoundaryCount</v>
      </c>
      <c r="J2393" s="3" t="b">
        <f>_xlfn.IFNA(INDEX(RulebookFields!I2:I999, MATCH(D2393,RulebookFields!A2:A999, 0)), "")</f>
        <v>1</v>
      </c>
      <c r="K2393" s="3" t="b">
        <f>AND(F2393, J2393)</f>
        <v>0</v>
      </c>
      <c r="L2393" s="3" t="b">
        <f>AND(G2393 &lt;&gt; "plain", G2393 &lt;&gt; "")</f>
        <v>0</v>
      </c>
      <c r="M2393" s="3" t="str">
        <f>IF(E2393, C2393 &amp; "|" &amp; H2393, "")</f>
        <v>principal-knowledge-authority|KnowledgeFragments</v>
      </c>
      <c r="N2393" s="2" t="s">
        <v>9938</v>
      </c>
    </row>
    <row r="2394">
      <c r="A2394" s="2" t="s">
        <v>12330</v>
      </c>
      <c r="B2394" s="3" t="str">
        <f>C2394 &amp; " -&gt; " &amp; D2394</f>
        <v>principal-knowledge-authority -&gt; KnowledgeFragments.RelianceSurfaceCount</v>
      </c>
      <c r="C2394" s="2" t="s">
        <v>9708</v>
      </c>
      <c r="D2394" s="2" t="s">
        <v>3284</v>
      </c>
      <c r="E2394" s="2" t="b">
        <v>1</v>
      </c>
      <c r="F2394" s="2" t="b">
        <v>0</v>
      </c>
      <c r="G2394" s="2" t="s">
        <v>9937</v>
      </c>
      <c r="H2394" s="3" t="str">
        <f>_xlfn.IFNA(INDEX(RulebookFields!C2:C999, MATCH(D2394,RulebookFields!A2:A999, 0)), "")</f>
        <v>KnowledgeFragments</v>
      </c>
      <c r="I2394" s="3" t="str">
        <f>_xlfn.IFNA(INDEX(RulebookFields!D2:D999, MATCH(D2394,RulebookFields!A2:A999, 0)), "")</f>
        <v>RelianceSurfaceCount</v>
      </c>
      <c r="J2394" s="3" t="b">
        <f>_xlfn.IFNA(INDEX(RulebookFields!I2:I999, MATCH(D2394,RulebookFields!A2:A999, 0)), "")</f>
        <v>1</v>
      </c>
      <c r="K2394" s="3" t="b">
        <f>AND(F2394, J2394)</f>
        <v>0</v>
      </c>
      <c r="L2394" s="3" t="b">
        <f>AND(G2394 &lt;&gt; "plain", G2394 &lt;&gt; "")</f>
        <v>0</v>
      </c>
      <c r="M2394" s="3" t="str">
        <f>IF(E2394, C2394 &amp; "|" &amp; H2394, "")</f>
        <v>principal-knowledge-authority|KnowledgeFragments</v>
      </c>
      <c r="N2394" s="2" t="s">
        <v>9938</v>
      </c>
    </row>
    <row r="2395">
      <c r="A2395" s="2" t="s">
        <v>12331</v>
      </c>
      <c r="B2395" s="3" t="str">
        <f>C2395 &amp; " -&gt; " &amp; D2395</f>
        <v>principal-knowledge-authority -&gt; KnowledgeFragments.DaysAwaitingMyApproval</v>
      </c>
      <c r="C2395" s="2" t="s">
        <v>9708</v>
      </c>
      <c r="D2395" s="2" t="s">
        <v>3286</v>
      </c>
      <c r="E2395" s="2" t="b">
        <v>1</v>
      </c>
      <c r="F2395" s="2" t="b">
        <v>0</v>
      </c>
      <c r="G2395" s="2" t="s">
        <v>9937</v>
      </c>
      <c r="H2395" s="3" t="str">
        <f>_xlfn.IFNA(INDEX(RulebookFields!C2:C999, MATCH(D2395,RulebookFields!A2:A999, 0)), "")</f>
        <v>KnowledgeFragments</v>
      </c>
      <c r="I2395" s="3" t="str">
        <f>_xlfn.IFNA(INDEX(RulebookFields!D2:D999, MATCH(D2395,RulebookFields!A2:A999, 0)), "")</f>
        <v>DaysAwaitingMyApproval</v>
      </c>
      <c r="J2395" s="3" t="b">
        <f>_xlfn.IFNA(INDEX(RulebookFields!I2:I999, MATCH(D2395,RulebookFields!A2:A999, 0)), "")</f>
        <v>1</v>
      </c>
      <c r="K2395" s="3" t="b">
        <f>AND(F2395, J2395)</f>
        <v>0</v>
      </c>
      <c r="L2395" s="3" t="b">
        <f>AND(G2395 &lt;&gt; "plain", G2395 &lt;&gt; "")</f>
        <v>0</v>
      </c>
      <c r="M2395" s="3" t="str">
        <f>IF(E2395, C2395 &amp; "|" &amp; H2395, "")</f>
        <v>principal-knowledge-authority|KnowledgeFragments</v>
      </c>
      <c r="N2395" s="2" t="s">
        <v>9938</v>
      </c>
    </row>
    <row r="2396">
      <c r="A2396" s="2" t="s">
        <v>12332</v>
      </c>
      <c r="B2396" s="3" t="str">
        <f>C2396 &amp; " -&gt; " &amp; D2396</f>
        <v>principal-knowledge-authority -&gt; KnowledgeFragments.IsHighBlastRadiusUnapproved</v>
      </c>
      <c r="C2396" s="2" t="s">
        <v>9708</v>
      </c>
      <c r="D2396" s="2" t="s">
        <v>3288</v>
      </c>
      <c r="E2396" s="2" t="b">
        <v>1</v>
      </c>
      <c r="F2396" s="2" t="b">
        <v>0</v>
      </c>
      <c r="G2396" s="2" t="s">
        <v>9937</v>
      </c>
      <c r="H2396" s="3" t="str">
        <f>_xlfn.IFNA(INDEX(RulebookFields!C2:C999, MATCH(D2396,RulebookFields!A2:A999, 0)), "")</f>
        <v>KnowledgeFragments</v>
      </c>
      <c r="I2396" s="3" t="str">
        <f>_xlfn.IFNA(INDEX(RulebookFields!D2:D999, MATCH(D2396,RulebookFields!A2:A999, 0)), "")</f>
        <v>IsHighBlastRadiusUnapproved</v>
      </c>
      <c r="J2396" s="3" t="b">
        <f>_xlfn.IFNA(INDEX(RulebookFields!I2:I999, MATCH(D2396,RulebookFields!A2:A999, 0)), "")</f>
        <v>1</v>
      </c>
      <c r="K2396" s="3" t="b">
        <f>AND(F2396, J2396)</f>
        <v>0</v>
      </c>
      <c r="L2396" s="3" t="b">
        <f>AND(G2396 &lt;&gt; "plain", G2396 &lt;&gt; "")</f>
        <v>0</v>
      </c>
      <c r="M2396" s="3" t="str">
        <f>IF(E2396, C2396 &amp; "|" &amp; H2396, "")</f>
        <v>principal-knowledge-authority|KnowledgeFragments</v>
      </c>
      <c r="N2396" s="2" t="s">
        <v>9938</v>
      </c>
    </row>
    <row r="2397">
      <c r="A2397" s="2" t="s">
        <v>12333</v>
      </c>
      <c r="B2397" s="3" t="str">
        <f>C2397 &amp; " -&gt; " &amp; D2397</f>
        <v>principal-knowledge-authority -&gt; KnowledgeFragments.IsLongUnapproved</v>
      </c>
      <c r="C2397" s="2" t="s">
        <v>9708</v>
      </c>
      <c r="D2397" s="2" t="s">
        <v>3290</v>
      </c>
      <c r="E2397" s="2" t="b">
        <v>1</v>
      </c>
      <c r="F2397" s="2" t="b">
        <v>0</v>
      </c>
      <c r="G2397" s="2" t="s">
        <v>9937</v>
      </c>
      <c r="H2397" s="3" t="str">
        <f>_xlfn.IFNA(INDEX(RulebookFields!C2:C999, MATCH(D2397,RulebookFields!A2:A999, 0)), "")</f>
        <v>KnowledgeFragments</v>
      </c>
      <c r="I2397" s="3" t="str">
        <f>_xlfn.IFNA(INDEX(RulebookFields!D2:D999, MATCH(D2397,RulebookFields!A2:A999, 0)), "")</f>
        <v>IsLongUnapproved</v>
      </c>
      <c r="J2397" s="3" t="b">
        <f>_xlfn.IFNA(INDEX(RulebookFields!I2:I999, MATCH(D2397,RulebookFields!A2:A999, 0)), "")</f>
        <v>1</v>
      </c>
      <c r="K2397" s="3" t="b">
        <f>AND(F2397, J2397)</f>
        <v>0</v>
      </c>
      <c r="L2397" s="3" t="b">
        <f>AND(G2397 &lt;&gt; "plain", G2397 &lt;&gt; "")</f>
        <v>0</v>
      </c>
      <c r="M2397" s="3" t="str">
        <f>IF(E2397, C2397 &amp; "|" &amp; H2397, "")</f>
        <v>principal-knowledge-authority|KnowledgeFragments</v>
      </c>
      <c r="N2397" s="2" t="s">
        <v>9938</v>
      </c>
    </row>
    <row r="2398">
      <c r="A2398" s="2" t="s">
        <v>12334</v>
      </c>
      <c r="B2398" s="3" t="str">
        <f>C2398 &amp; " -&gt; " &amp; D2398</f>
        <v>principal-knowledge-authority -&gt; KnowledgeFragments.UnapprovedLoadBearingVersionKey</v>
      </c>
      <c r="C2398" s="2" t="s">
        <v>9708</v>
      </c>
      <c r="D2398" s="2" t="s">
        <v>3292</v>
      </c>
      <c r="E2398" s="2" t="b">
        <v>1</v>
      </c>
      <c r="F2398" s="2" t="b">
        <v>0</v>
      </c>
      <c r="G2398" s="2" t="s">
        <v>9937</v>
      </c>
      <c r="H2398" s="3" t="str">
        <f>_xlfn.IFNA(INDEX(RulebookFields!C2:C999, MATCH(D2398,RulebookFields!A2:A999, 0)), "")</f>
        <v>KnowledgeFragments</v>
      </c>
      <c r="I2398" s="3" t="str">
        <f>_xlfn.IFNA(INDEX(RulebookFields!D2:D999, MATCH(D2398,RulebookFields!A2:A999, 0)), "")</f>
        <v>UnapprovedLoadBearingVersionKey</v>
      </c>
      <c r="J2398" s="3" t="b">
        <f>_xlfn.IFNA(INDEX(RulebookFields!I2:I999, MATCH(D2398,RulebookFields!A2:A999, 0)), "")</f>
        <v>1</v>
      </c>
      <c r="K2398" s="3" t="b">
        <f>AND(F2398, J2398)</f>
        <v>0</v>
      </c>
      <c r="L2398" s="3" t="b">
        <f>AND(G2398 &lt;&gt; "plain", G2398 &lt;&gt; "")</f>
        <v>0</v>
      </c>
      <c r="M2398" s="3" t="str">
        <f>IF(E2398, C2398 &amp; "|" &amp; H2398, "")</f>
        <v>principal-knowledge-authority|KnowledgeFragments</v>
      </c>
      <c r="N2398" s="2" t="s">
        <v>9938</v>
      </c>
    </row>
    <row r="2399">
      <c r="A2399" s="2" t="s">
        <v>12335</v>
      </c>
      <c r="B2399" s="3" t="str">
        <f>C2399 &amp; " -&gt; " &amp; D2399</f>
        <v>principal-knowledge-authority -&gt; KnowledgeFragments.OwnerRoleIsVacated</v>
      </c>
      <c r="C2399" s="2" t="s">
        <v>9708</v>
      </c>
      <c r="D2399" s="2" t="s">
        <v>3294</v>
      </c>
      <c r="E2399" s="2" t="b">
        <v>1</v>
      </c>
      <c r="F2399" s="2" t="b">
        <v>0</v>
      </c>
      <c r="G2399" s="2" t="s">
        <v>9937</v>
      </c>
      <c r="H2399" s="3" t="str">
        <f>_xlfn.IFNA(INDEX(RulebookFields!C2:C999, MATCH(D2399,RulebookFields!A2:A999, 0)), "")</f>
        <v>KnowledgeFragments</v>
      </c>
      <c r="I2399" s="3" t="str">
        <f>_xlfn.IFNA(INDEX(RulebookFields!D2:D999, MATCH(D2399,RulebookFields!A2:A999, 0)), "")</f>
        <v>OwnerRoleIsVacated</v>
      </c>
      <c r="J2399" s="3" t="b">
        <f>_xlfn.IFNA(INDEX(RulebookFields!I2:I999, MATCH(D2399,RulebookFields!A2:A999, 0)), "")</f>
        <v>1</v>
      </c>
      <c r="K2399" s="3" t="b">
        <f>AND(F2399, J2399)</f>
        <v>0</v>
      </c>
      <c r="L2399" s="3" t="b">
        <f>AND(G2399 &lt;&gt; "plain", G2399 &lt;&gt; "")</f>
        <v>0</v>
      </c>
      <c r="M2399" s="3" t="str">
        <f>IF(E2399, C2399 &amp; "|" &amp; H2399, "")</f>
        <v>principal-knowledge-authority|KnowledgeFragments</v>
      </c>
      <c r="N2399" s="2" t="s">
        <v>9938</v>
      </c>
    </row>
    <row r="2400">
      <c r="A2400" s="2" t="s">
        <v>12336</v>
      </c>
      <c r="B2400" s="3" t="str">
        <f>C2400 &amp; " -&gt; " &amp; D2400</f>
        <v>principal-knowledge-authority -&gt; KnowledgeFragments.IsOrphanedByRole</v>
      </c>
      <c r="C2400" s="2" t="s">
        <v>9708</v>
      </c>
      <c r="D2400" s="2" t="s">
        <v>3296</v>
      </c>
      <c r="E2400" s="2" t="b">
        <v>1</v>
      </c>
      <c r="F2400" s="2" t="b">
        <v>0</v>
      </c>
      <c r="G2400" s="2" t="s">
        <v>9937</v>
      </c>
      <c r="H2400" s="3" t="str">
        <f>_xlfn.IFNA(INDEX(RulebookFields!C2:C999, MATCH(D2400,RulebookFields!A2:A999, 0)), "")</f>
        <v>KnowledgeFragments</v>
      </c>
      <c r="I2400" s="3" t="str">
        <f>_xlfn.IFNA(INDEX(RulebookFields!D2:D999, MATCH(D2400,RulebookFields!A2:A999, 0)), "")</f>
        <v>IsOrphanedByRole</v>
      </c>
      <c r="J2400" s="3" t="b">
        <f>_xlfn.IFNA(INDEX(RulebookFields!I2:I999, MATCH(D2400,RulebookFields!A2:A999, 0)), "")</f>
        <v>1</v>
      </c>
      <c r="K2400" s="3" t="b">
        <f>AND(F2400, J2400)</f>
        <v>0</v>
      </c>
      <c r="L2400" s="3" t="b">
        <f>AND(G2400 &lt;&gt; "plain", G2400 &lt;&gt; "")</f>
        <v>0</v>
      </c>
      <c r="M2400" s="3" t="str">
        <f>IF(E2400, C2400 &amp; "|" &amp; H2400, "")</f>
        <v>principal-knowledge-authority|KnowledgeFragments</v>
      </c>
      <c r="N2400" s="2" t="s">
        <v>9938</v>
      </c>
    </row>
    <row r="2401">
      <c r="A2401" s="2" t="s">
        <v>12337</v>
      </c>
      <c r="B2401" s="3" t="str">
        <f>C2401 &amp; " -&gt; " &amp; D2401</f>
        <v>principal-knowledge-authority -&gt; KnowledgeFragments.ValidFragmentVersionKey</v>
      </c>
      <c r="C2401" s="2" t="s">
        <v>9708</v>
      </c>
      <c r="D2401" s="2" t="s">
        <v>3298</v>
      </c>
      <c r="E2401" s="2" t="b">
        <v>1</v>
      </c>
      <c r="F2401" s="2" t="b">
        <v>0</v>
      </c>
      <c r="G2401" s="2" t="s">
        <v>9937</v>
      </c>
      <c r="H2401" s="3" t="str">
        <f>_xlfn.IFNA(INDEX(RulebookFields!C2:C999, MATCH(D2401,RulebookFields!A2:A999, 0)), "")</f>
        <v>KnowledgeFragments</v>
      </c>
      <c r="I2401" s="3" t="str">
        <f>_xlfn.IFNA(INDEX(RulebookFields!D2:D999, MATCH(D2401,RulebookFields!A2:A999, 0)), "")</f>
        <v>ValidFragmentVersionKey</v>
      </c>
      <c r="J2401" s="3" t="b">
        <f>_xlfn.IFNA(INDEX(RulebookFields!I2:I999, MATCH(D2401,RulebookFields!A2:A999, 0)), "")</f>
        <v>1</v>
      </c>
      <c r="K2401" s="3" t="b">
        <f>AND(F2401, J2401)</f>
        <v>0</v>
      </c>
      <c r="L2401" s="3" t="b">
        <f>AND(G2401 &lt;&gt; "plain", G2401 &lt;&gt; "")</f>
        <v>0</v>
      </c>
      <c r="M2401" s="3" t="str">
        <f>IF(E2401, C2401 &amp; "|" &amp; H2401, "")</f>
        <v>principal-knowledge-authority|KnowledgeFragments</v>
      </c>
      <c r="N2401" s="2" t="s">
        <v>9938</v>
      </c>
    </row>
    <row r="2402">
      <c r="A2402" s="2" t="s">
        <v>12338</v>
      </c>
      <c r="B2402" s="3" t="str">
        <f>C2402 &amp; " -&gt; " &amp; D2402</f>
        <v>principal-knowledge-authority -&gt; KnowledgeFragments.SemanticTypeIri</v>
      </c>
      <c r="C2402" s="2" t="s">
        <v>9708</v>
      </c>
      <c r="D2402" s="2" t="s">
        <v>3300</v>
      </c>
      <c r="E2402" s="2" t="b">
        <v>1</v>
      </c>
      <c r="F2402" s="2" t="b">
        <v>0</v>
      </c>
      <c r="G2402" s="2" t="s">
        <v>9937</v>
      </c>
      <c r="H2402" s="3" t="str">
        <f>_xlfn.IFNA(INDEX(RulebookFields!C2:C999, MATCH(D2402,RulebookFields!A2:A999, 0)), "")</f>
        <v>KnowledgeFragments</v>
      </c>
      <c r="I2402" s="3" t="str">
        <f>_xlfn.IFNA(INDEX(RulebookFields!D2:D999, MATCH(D2402,RulebookFields!A2:A999, 0)), "")</f>
        <v>SemanticTypeIri</v>
      </c>
      <c r="J2402" s="3" t="b">
        <f>_xlfn.IFNA(INDEX(RulebookFields!I2:I999, MATCH(D2402,RulebookFields!A2:A999, 0)), "")</f>
        <v>0</v>
      </c>
      <c r="K2402" s="3" t="b">
        <f>AND(F2402, J2402)</f>
        <v>0</v>
      </c>
      <c r="L2402" s="3" t="b">
        <f>AND(G2402 &lt;&gt; "plain", G2402 &lt;&gt; "")</f>
        <v>0</v>
      </c>
      <c r="M2402" s="3" t="str">
        <f>IF(E2402, C2402 &amp; "|" &amp; H2402, "")</f>
        <v>principal-knowledge-authority|KnowledgeFragments</v>
      </c>
      <c r="N2402" s="2" t="s">
        <v>9938</v>
      </c>
    </row>
    <row r="2403">
      <c r="A2403" s="2" t="s">
        <v>12339</v>
      </c>
      <c r="B2403" s="3" t="str">
        <f>C2403 &amp; " -&gt; " &amp; D2403</f>
        <v>principal-knowledge-authority -&gt; KnowledgeGaps.KnowledgeGapId</v>
      </c>
      <c r="C2403" s="2" t="s">
        <v>9708</v>
      </c>
      <c r="D2403" s="2" t="s">
        <v>3301</v>
      </c>
      <c r="E2403" s="2" t="b">
        <v>1</v>
      </c>
      <c r="F2403" s="2" t="b">
        <v>0</v>
      </c>
      <c r="G2403" s="2" t="s">
        <v>9937</v>
      </c>
      <c r="H2403" s="3" t="str">
        <f>_xlfn.IFNA(INDEX(RulebookFields!C2:C999, MATCH(D2403,RulebookFields!A2:A999, 0)), "")</f>
        <v>KnowledgeGaps</v>
      </c>
      <c r="I2403" s="3" t="str">
        <f>_xlfn.IFNA(INDEX(RulebookFields!D2:D999, MATCH(D2403,RulebookFields!A2:A999, 0)), "")</f>
        <v>KnowledgeGapId</v>
      </c>
      <c r="J2403" s="3" t="b">
        <f>_xlfn.IFNA(INDEX(RulebookFields!I2:I999, MATCH(D2403,RulebookFields!A2:A999, 0)), "")</f>
        <v>0</v>
      </c>
      <c r="K2403" s="3" t="b">
        <f>AND(F2403, J2403)</f>
        <v>0</v>
      </c>
      <c r="L2403" s="3" t="b">
        <f>AND(G2403 &lt;&gt; "plain", G2403 &lt;&gt; "")</f>
        <v>0</v>
      </c>
      <c r="M2403" s="3" t="str">
        <f>IF(E2403, C2403 &amp; "|" &amp; H2403, "")</f>
        <v>principal-knowledge-authority|KnowledgeGaps</v>
      </c>
      <c r="N2403" s="2" t="s">
        <v>9938</v>
      </c>
    </row>
    <row r="2404">
      <c r="A2404" s="2" t="s">
        <v>12340</v>
      </c>
      <c r="B2404" s="3" t="str">
        <f>C2404 &amp; " -&gt; " &amp; D2404</f>
        <v>principal-knowledge-authority -&gt; KnowledgeGaps.Name</v>
      </c>
      <c r="C2404" s="2" t="s">
        <v>9708</v>
      </c>
      <c r="D2404" s="2" t="s">
        <v>3303</v>
      </c>
      <c r="E2404" s="2" t="b">
        <v>1</v>
      </c>
      <c r="F2404" s="2" t="b">
        <v>0</v>
      </c>
      <c r="G2404" s="2" t="s">
        <v>9937</v>
      </c>
      <c r="H2404" s="3" t="str">
        <f>_xlfn.IFNA(INDEX(RulebookFields!C2:C999, MATCH(D2404,RulebookFields!A2:A999, 0)), "")</f>
        <v>KnowledgeGaps</v>
      </c>
      <c r="I2404" s="3" t="str">
        <f>_xlfn.IFNA(INDEX(RulebookFields!D2:D999, MATCH(D2404,RulebookFields!A2:A999, 0)), "")</f>
        <v>Name</v>
      </c>
      <c r="J2404" s="3" t="b">
        <f>_xlfn.IFNA(INDEX(RulebookFields!I2:I999, MATCH(D2404,RulebookFields!A2:A999, 0)), "")</f>
        <v>1</v>
      </c>
      <c r="K2404" s="3" t="b">
        <f>AND(F2404, J2404)</f>
        <v>0</v>
      </c>
      <c r="L2404" s="3" t="b">
        <f>AND(G2404 &lt;&gt; "plain", G2404 &lt;&gt; "")</f>
        <v>0</v>
      </c>
      <c r="M2404" s="3" t="str">
        <f>IF(E2404, C2404 &amp; "|" &amp; H2404, "")</f>
        <v>principal-knowledge-authority|KnowledgeGaps</v>
      </c>
      <c r="N2404" s="2" t="s">
        <v>9938</v>
      </c>
    </row>
    <row r="2405">
      <c r="A2405" s="2" t="s">
        <v>12341</v>
      </c>
      <c r="B2405" s="3" t="str">
        <f>C2405 &amp; " -&gt; " &amp; D2405</f>
        <v>principal-knowledge-authority -&gt; KnowledgeGaps.ProcedureVersion</v>
      </c>
      <c r="C2405" s="2" t="s">
        <v>9708</v>
      </c>
      <c r="D2405" s="2" t="s">
        <v>3305</v>
      </c>
      <c r="E2405" s="2" t="b">
        <v>1</v>
      </c>
      <c r="F2405" s="2" t="b">
        <v>0</v>
      </c>
      <c r="G2405" s="2" t="s">
        <v>9937</v>
      </c>
      <c r="H2405" s="3" t="str">
        <f>_xlfn.IFNA(INDEX(RulebookFields!C2:C999, MATCH(D2405,RulebookFields!A2:A999, 0)), "")</f>
        <v>KnowledgeGaps</v>
      </c>
      <c r="I2405" s="3" t="str">
        <f>_xlfn.IFNA(INDEX(RulebookFields!D2:D999, MATCH(D2405,RulebookFields!A2:A999, 0)), "")</f>
        <v>ProcedureVersion</v>
      </c>
      <c r="J2405" s="3" t="b">
        <f>_xlfn.IFNA(INDEX(RulebookFields!I2:I999, MATCH(D2405,RulebookFields!A2:A999, 0)), "")</f>
        <v>0</v>
      </c>
      <c r="K2405" s="3" t="b">
        <f>AND(F2405, J2405)</f>
        <v>0</v>
      </c>
      <c r="L2405" s="3" t="b">
        <f>AND(G2405 &lt;&gt; "plain", G2405 &lt;&gt; "")</f>
        <v>0</v>
      </c>
      <c r="M2405" s="3" t="str">
        <f>IF(E2405, C2405 &amp; "|" &amp; H2405, "")</f>
        <v>principal-knowledge-authority|KnowledgeGaps</v>
      </c>
      <c r="N2405" s="2" t="s">
        <v>9938</v>
      </c>
    </row>
    <row r="2406">
      <c r="A2406" s="2" t="s">
        <v>12342</v>
      </c>
      <c r="B2406" s="3" t="str">
        <f>C2406 &amp; " -&gt; " &amp; D2406</f>
        <v>principal-knowledge-authority -&gt; KnowledgeGaps.Step</v>
      </c>
      <c r="C2406" s="2" t="s">
        <v>9708</v>
      </c>
      <c r="D2406" s="2" t="s">
        <v>3306</v>
      </c>
      <c r="E2406" s="2" t="b">
        <v>1</v>
      </c>
      <c r="F2406" s="2" t="b">
        <v>0</v>
      </c>
      <c r="G2406" s="2" t="s">
        <v>9937</v>
      </c>
      <c r="H2406" s="3" t="str">
        <f>_xlfn.IFNA(INDEX(RulebookFields!C2:C999, MATCH(D2406,RulebookFields!A2:A999, 0)), "")</f>
        <v>KnowledgeGaps</v>
      </c>
      <c r="I2406" s="3" t="str">
        <f>_xlfn.IFNA(INDEX(RulebookFields!D2:D999, MATCH(D2406,RulebookFields!A2:A999, 0)), "")</f>
        <v>Step</v>
      </c>
      <c r="J2406" s="3" t="b">
        <f>_xlfn.IFNA(INDEX(RulebookFields!I2:I999, MATCH(D2406,RulebookFields!A2:A999, 0)), "")</f>
        <v>0</v>
      </c>
      <c r="K2406" s="3" t="b">
        <f>AND(F2406, J2406)</f>
        <v>0</v>
      </c>
      <c r="L2406" s="3" t="b">
        <f>AND(G2406 &lt;&gt; "plain", G2406 &lt;&gt; "")</f>
        <v>0</v>
      </c>
      <c r="M2406" s="3" t="str">
        <f>IF(E2406, C2406 &amp; "|" &amp; H2406, "")</f>
        <v>principal-knowledge-authority|KnowledgeGaps</v>
      </c>
      <c r="N2406" s="2" t="s">
        <v>9938</v>
      </c>
    </row>
    <row r="2407">
      <c r="A2407" s="2" t="s">
        <v>12343</v>
      </c>
      <c r="B2407" s="3" t="str">
        <f>C2407 &amp; " -&gt; " &amp; D2407</f>
        <v>principal-knowledge-authority -&gt; KnowledgeGaps.Statement</v>
      </c>
      <c r="C2407" s="2" t="s">
        <v>9708</v>
      </c>
      <c r="D2407" s="2" t="s">
        <v>3307</v>
      </c>
      <c r="E2407" s="2" t="b">
        <v>1</v>
      </c>
      <c r="F2407" s="2" t="b">
        <v>0</v>
      </c>
      <c r="G2407" s="2" t="s">
        <v>9937</v>
      </c>
      <c r="H2407" s="3" t="str">
        <f>_xlfn.IFNA(INDEX(RulebookFields!C2:C999, MATCH(D2407,RulebookFields!A2:A999, 0)), "")</f>
        <v>KnowledgeGaps</v>
      </c>
      <c r="I2407" s="3" t="str">
        <f>_xlfn.IFNA(INDEX(RulebookFields!D2:D999, MATCH(D2407,RulebookFields!A2:A999, 0)), "")</f>
        <v>Statement</v>
      </c>
      <c r="J2407" s="3" t="b">
        <f>_xlfn.IFNA(INDEX(RulebookFields!I2:I999, MATCH(D2407,RulebookFields!A2:A999, 0)), "")</f>
        <v>0</v>
      </c>
      <c r="K2407" s="3" t="b">
        <f>AND(F2407, J2407)</f>
        <v>0</v>
      </c>
      <c r="L2407" s="3" t="b">
        <f>AND(G2407 &lt;&gt; "plain", G2407 &lt;&gt; "")</f>
        <v>0</v>
      </c>
      <c r="M2407" s="3" t="str">
        <f>IF(E2407, C2407 &amp; "|" &amp; H2407, "")</f>
        <v>principal-knowledge-authority|KnowledgeGaps</v>
      </c>
      <c r="N2407" s="2" t="s">
        <v>9938</v>
      </c>
    </row>
    <row r="2408">
      <c r="A2408" s="2" t="s">
        <v>12344</v>
      </c>
      <c r="B2408" s="3" t="str">
        <f>C2408 &amp; " -&gt; " &amp; D2408</f>
        <v>principal-knowledge-authority -&gt; KnowledgeGaps.Severity</v>
      </c>
      <c r="C2408" s="2" t="s">
        <v>9708</v>
      </c>
      <c r="D2408" s="2" t="s">
        <v>3308</v>
      </c>
      <c r="E2408" s="2" t="b">
        <v>1</v>
      </c>
      <c r="F2408" s="2" t="b">
        <v>0</v>
      </c>
      <c r="G2408" s="2" t="s">
        <v>9937</v>
      </c>
      <c r="H2408" s="3" t="str">
        <f>_xlfn.IFNA(INDEX(RulebookFields!C2:C999, MATCH(D2408,RulebookFields!A2:A999, 0)), "")</f>
        <v>KnowledgeGaps</v>
      </c>
      <c r="I2408" s="3" t="str">
        <f>_xlfn.IFNA(INDEX(RulebookFields!D2:D999, MATCH(D2408,RulebookFields!A2:A999, 0)), "")</f>
        <v>Severity</v>
      </c>
      <c r="J2408" s="3" t="b">
        <f>_xlfn.IFNA(INDEX(RulebookFields!I2:I999, MATCH(D2408,RulebookFields!A2:A999, 0)), "")</f>
        <v>0</v>
      </c>
      <c r="K2408" s="3" t="b">
        <f>AND(F2408, J2408)</f>
        <v>0</v>
      </c>
      <c r="L2408" s="3" t="b">
        <f>AND(G2408 &lt;&gt; "plain", G2408 &lt;&gt; "")</f>
        <v>0</v>
      </c>
      <c r="M2408" s="3" t="str">
        <f>IF(E2408, C2408 &amp; "|" &amp; H2408, "")</f>
        <v>principal-knowledge-authority|KnowledgeGaps</v>
      </c>
      <c r="N2408" s="2" t="s">
        <v>9938</v>
      </c>
    </row>
    <row r="2409">
      <c r="A2409" s="2" t="s">
        <v>12345</v>
      </c>
      <c r="B2409" s="3" t="str">
        <f>C2409 &amp; " -&gt; " &amp; D2409</f>
        <v>principal-knowledge-authority -&gt; KnowledgeGaps.BlockingKind</v>
      </c>
      <c r="C2409" s="2" t="s">
        <v>9708</v>
      </c>
      <c r="D2409" s="2" t="s">
        <v>3309</v>
      </c>
      <c r="E2409" s="2" t="b">
        <v>1</v>
      </c>
      <c r="F2409" s="2" t="b">
        <v>0</v>
      </c>
      <c r="G2409" s="2" t="s">
        <v>9937</v>
      </c>
      <c r="H2409" s="3" t="str">
        <f>_xlfn.IFNA(INDEX(RulebookFields!C2:C999, MATCH(D2409,RulebookFields!A2:A999, 0)), "")</f>
        <v>KnowledgeGaps</v>
      </c>
      <c r="I2409" s="3" t="str">
        <f>_xlfn.IFNA(INDEX(RulebookFields!D2:D999, MATCH(D2409,RulebookFields!A2:A999, 0)), "")</f>
        <v>BlockingKind</v>
      </c>
      <c r="J2409" s="3" t="b">
        <f>_xlfn.IFNA(INDEX(RulebookFields!I2:I999, MATCH(D2409,RulebookFields!A2:A999, 0)), "")</f>
        <v>0</v>
      </c>
      <c r="K2409" s="3" t="b">
        <f>AND(F2409, J2409)</f>
        <v>0</v>
      </c>
      <c r="L2409" s="3" t="b">
        <f>AND(G2409 &lt;&gt; "plain", G2409 &lt;&gt; "")</f>
        <v>0</v>
      </c>
      <c r="M2409" s="3" t="str">
        <f>IF(E2409, C2409 &amp; "|" &amp; H2409, "")</f>
        <v>principal-knowledge-authority|KnowledgeGaps</v>
      </c>
      <c r="N2409" s="2" t="s">
        <v>9938</v>
      </c>
    </row>
    <row r="2410">
      <c r="A2410" s="2" t="s">
        <v>12346</v>
      </c>
      <c r="B2410" s="3" t="str">
        <f>C2410 &amp; " -&gt; " &amp; D2410</f>
        <v>principal-knowledge-authority -&gt; KnowledgeGaps.Status</v>
      </c>
      <c r="C2410" s="2" t="s">
        <v>9708</v>
      </c>
      <c r="D2410" s="2" t="s">
        <v>3310</v>
      </c>
      <c r="E2410" s="2" t="b">
        <v>1</v>
      </c>
      <c r="F2410" s="2" t="b">
        <v>0</v>
      </c>
      <c r="G2410" s="2" t="s">
        <v>9937</v>
      </c>
      <c r="H2410" s="3" t="str">
        <f>_xlfn.IFNA(INDEX(RulebookFields!C2:C999, MATCH(D2410,RulebookFields!A2:A999, 0)), "")</f>
        <v>KnowledgeGaps</v>
      </c>
      <c r="I2410" s="3" t="str">
        <f>_xlfn.IFNA(INDEX(RulebookFields!D2:D999, MATCH(D2410,RulebookFields!A2:A999, 0)), "")</f>
        <v>Status</v>
      </c>
      <c r="J2410" s="3" t="b">
        <f>_xlfn.IFNA(INDEX(RulebookFields!I2:I999, MATCH(D2410,RulebookFields!A2:A999, 0)), "")</f>
        <v>0</v>
      </c>
      <c r="K2410" s="3" t="b">
        <f>AND(F2410, J2410)</f>
        <v>0</v>
      </c>
      <c r="L2410" s="3" t="b">
        <f>AND(G2410 &lt;&gt; "plain", G2410 &lt;&gt; "")</f>
        <v>0</v>
      </c>
      <c r="M2410" s="3" t="str">
        <f>IF(E2410, C2410 &amp; "|" &amp; H2410, "")</f>
        <v>principal-knowledge-authority|KnowledgeGaps</v>
      </c>
      <c r="N2410" s="2" t="s">
        <v>9938</v>
      </c>
    </row>
    <row r="2411">
      <c r="A2411" s="2" t="s">
        <v>12347</v>
      </c>
      <c r="B2411" s="3" t="str">
        <f>C2411 &amp; " -&gt; " &amp; D2411</f>
        <v>principal-knowledge-authority -&gt; KnowledgeGaps.OwnerRole</v>
      </c>
      <c r="C2411" s="2" t="s">
        <v>9708</v>
      </c>
      <c r="D2411" s="2" t="s">
        <v>3311</v>
      </c>
      <c r="E2411" s="2" t="b">
        <v>1</v>
      </c>
      <c r="F2411" s="2" t="b">
        <v>0</v>
      </c>
      <c r="G2411" s="2" t="s">
        <v>9937</v>
      </c>
      <c r="H2411" s="3" t="str">
        <f>_xlfn.IFNA(INDEX(RulebookFields!C2:C999, MATCH(D2411,RulebookFields!A2:A999, 0)), "")</f>
        <v>KnowledgeGaps</v>
      </c>
      <c r="I2411" s="3" t="str">
        <f>_xlfn.IFNA(INDEX(RulebookFields!D2:D999, MATCH(D2411,RulebookFields!A2:A999, 0)), "")</f>
        <v>OwnerRole</v>
      </c>
      <c r="J2411" s="3" t="b">
        <f>_xlfn.IFNA(INDEX(RulebookFields!I2:I999, MATCH(D2411,RulebookFields!A2:A999, 0)), "")</f>
        <v>0</v>
      </c>
      <c r="K2411" s="3" t="b">
        <f>AND(F2411, J2411)</f>
        <v>0</v>
      </c>
      <c r="L2411" s="3" t="b">
        <f>AND(G2411 &lt;&gt; "plain", G2411 &lt;&gt; "")</f>
        <v>0</v>
      </c>
      <c r="M2411" s="3" t="str">
        <f>IF(E2411, C2411 &amp; "|" &amp; H2411, "")</f>
        <v>principal-knowledge-authority|KnowledgeGaps</v>
      </c>
      <c r="N2411" s="2" t="s">
        <v>9938</v>
      </c>
    </row>
    <row r="2412">
      <c r="A2412" s="2" t="s">
        <v>12348</v>
      </c>
      <c r="B2412" s="3" t="str">
        <f>C2412 &amp; " -&gt; " &amp; D2412</f>
        <v>principal-knowledge-authority -&gt; KnowledgeGaps.IdentifiedAt</v>
      </c>
      <c r="C2412" s="2" t="s">
        <v>9708</v>
      </c>
      <c r="D2412" s="2" t="s">
        <v>3312</v>
      </c>
      <c r="E2412" s="2" t="b">
        <v>1</v>
      </c>
      <c r="F2412" s="2" t="b">
        <v>0</v>
      </c>
      <c r="G2412" s="2" t="s">
        <v>9937</v>
      </c>
      <c r="H2412" s="3" t="str">
        <f>_xlfn.IFNA(INDEX(RulebookFields!C2:C999, MATCH(D2412,RulebookFields!A2:A999, 0)), "")</f>
        <v>KnowledgeGaps</v>
      </c>
      <c r="I2412" s="3" t="str">
        <f>_xlfn.IFNA(INDEX(RulebookFields!D2:D999, MATCH(D2412,RulebookFields!A2:A999, 0)), "")</f>
        <v>IdentifiedAt</v>
      </c>
      <c r="J2412" s="3" t="b">
        <f>_xlfn.IFNA(INDEX(RulebookFields!I2:I999, MATCH(D2412,RulebookFields!A2:A999, 0)), "")</f>
        <v>0</v>
      </c>
      <c r="K2412" s="3" t="b">
        <f>AND(F2412, J2412)</f>
        <v>0</v>
      </c>
      <c r="L2412" s="3" t="b">
        <f>AND(G2412 &lt;&gt; "plain", G2412 &lt;&gt; "")</f>
        <v>0</v>
      </c>
      <c r="M2412" s="3" t="str">
        <f>IF(E2412, C2412 &amp; "|" &amp; H2412, "")</f>
        <v>principal-knowledge-authority|KnowledgeGaps</v>
      </c>
      <c r="N2412" s="2" t="s">
        <v>9938</v>
      </c>
    </row>
    <row r="2413">
      <c r="A2413" s="2" t="s">
        <v>12349</v>
      </c>
      <c r="B2413" s="3" t="str">
        <f>C2413 &amp; " -&gt; " &amp; D2413</f>
        <v>principal-knowledge-authority -&gt; KnowledgeGaps.ResolutionPlan</v>
      </c>
      <c r="C2413" s="2" t="s">
        <v>9708</v>
      </c>
      <c r="D2413" s="2" t="s">
        <v>3313</v>
      </c>
      <c r="E2413" s="2" t="b">
        <v>1</v>
      </c>
      <c r="F2413" s="2" t="b">
        <v>0</v>
      </c>
      <c r="G2413" s="2" t="s">
        <v>9937</v>
      </c>
      <c r="H2413" s="3" t="str">
        <f>_xlfn.IFNA(INDEX(RulebookFields!C2:C999, MATCH(D2413,RulebookFields!A2:A999, 0)), "")</f>
        <v>KnowledgeGaps</v>
      </c>
      <c r="I2413" s="3" t="str">
        <f>_xlfn.IFNA(INDEX(RulebookFields!D2:D999, MATCH(D2413,RulebookFields!A2:A999, 0)), "")</f>
        <v>ResolutionPlan</v>
      </c>
      <c r="J2413" s="3" t="b">
        <f>_xlfn.IFNA(INDEX(RulebookFields!I2:I999, MATCH(D2413,RulebookFields!A2:A999, 0)), "")</f>
        <v>0</v>
      </c>
      <c r="K2413" s="3" t="b">
        <f>AND(F2413, J2413)</f>
        <v>0</v>
      </c>
      <c r="L2413" s="3" t="b">
        <f>AND(G2413 &lt;&gt; "plain", G2413 &lt;&gt; "")</f>
        <v>0</v>
      </c>
      <c r="M2413" s="3" t="str">
        <f>IF(E2413, C2413 &amp; "|" &amp; H2413, "")</f>
        <v>principal-knowledge-authority|KnowledgeGaps</v>
      </c>
      <c r="N2413" s="2" t="s">
        <v>9938</v>
      </c>
    </row>
    <row r="2414">
      <c r="A2414" s="2" t="s">
        <v>12350</v>
      </c>
      <c r="B2414" s="3" t="str">
        <f>C2414 &amp; " -&gt; " &amp; D2414</f>
        <v>principal-knowledge-authority -&gt; KnowledgeGaps.IsOpen</v>
      </c>
      <c r="C2414" s="2" t="s">
        <v>9708</v>
      </c>
      <c r="D2414" s="2" t="s">
        <v>3314</v>
      </c>
      <c r="E2414" s="2" t="b">
        <v>1</v>
      </c>
      <c r="F2414" s="2" t="b">
        <v>0</v>
      </c>
      <c r="G2414" s="2" t="s">
        <v>9937</v>
      </c>
      <c r="H2414" s="3" t="str">
        <f>_xlfn.IFNA(INDEX(RulebookFields!C2:C999, MATCH(D2414,RulebookFields!A2:A999, 0)), "")</f>
        <v>KnowledgeGaps</v>
      </c>
      <c r="I2414" s="3" t="str">
        <f>_xlfn.IFNA(INDEX(RulebookFields!D2:D999, MATCH(D2414,RulebookFields!A2:A999, 0)), "")</f>
        <v>IsOpen</v>
      </c>
      <c r="J2414" s="3" t="b">
        <f>_xlfn.IFNA(INDEX(RulebookFields!I2:I999, MATCH(D2414,RulebookFields!A2:A999, 0)), "")</f>
        <v>1</v>
      </c>
      <c r="K2414" s="3" t="b">
        <f>AND(F2414, J2414)</f>
        <v>0</v>
      </c>
      <c r="L2414" s="3" t="b">
        <f>AND(G2414 &lt;&gt; "plain", G2414 &lt;&gt; "")</f>
        <v>0</v>
      </c>
      <c r="M2414" s="3" t="str">
        <f>IF(E2414, C2414 &amp; "|" &amp; H2414, "")</f>
        <v>principal-knowledge-authority|KnowledgeGaps</v>
      </c>
      <c r="N2414" s="2" t="s">
        <v>9938</v>
      </c>
    </row>
    <row r="2415">
      <c r="A2415" s="2" t="s">
        <v>12351</v>
      </c>
      <c r="B2415" s="3" t="str">
        <f>C2415 &amp; " -&gt; " &amp; D2415</f>
        <v>principal-knowledge-authority -&gt; KnowledgeGaps.OpenGapVersionKey</v>
      </c>
      <c r="C2415" s="2" t="s">
        <v>9708</v>
      </c>
      <c r="D2415" s="2" t="s">
        <v>3316</v>
      </c>
      <c r="E2415" s="2" t="b">
        <v>1</v>
      </c>
      <c r="F2415" s="2" t="b">
        <v>0</v>
      </c>
      <c r="G2415" s="2" t="s">
        <v>9937</v>
      </c>
      <c r="H2415" s="3" t="str">
        <f>_xlfn.IFNA(INDEX(RulebookFields!C2:C999, MATCH(D2415,RulebookFields!A2:A999, 0)), "")</f>
        <v>KnowledgeGaps</v>
      </c>
      <c r="I2415" s="3" t="str">
        <f>_xlfn.IFNA(INDEX(RulebookFields!D2:D999, MATCH(D2415,RulebookFields!A2:A999, 0)), "")</f>
        <v>OpenGapVersionKey</v>
      </c>
      <c r="J2415" s="3" t="b">
        <f>_xlfn.IFNA(INDEX(RulebookFields!I2:I999, MATCH(D2415,RulebookFields!A2:A999, 0)), "")</f>
        <v>1</v>
      </c>
      <c r="K2415" s="3" t="b">
        <f>AND(F2415, J2415)</f>
        <v>0</v>
      </c>
      <c r="L2415" s="3" t="b">
        <f>AND(G2415 &lt;&gt; "plain", G2415 &lt;&gt; "")</f>
        <v>0</v>
      </c>
      <c r="M2415" s="3" t="str">
        <f>IF(E2415, C2415 &amp; "|" &amp; H2415, "")</f>
        <v>principal-knowledge-authority|KnowledgeGaps</v>
      </c>
      <c r="N2415" s="2" t="s">
        <v>9938</v>
      </c>
    </row>
    <row r="2416">
      <c r="A2416" s="2" t="s">
        <v>12352</v>
      </c>
      <c r="B2416" s="3" t="str">
        <f>C2416 &amp; " -&gt; " &amp; D2416</f>
        <v>principal-knowledge-authority -&gt; KnowledgeGaps.IsBlocking</v>
      </c>
      <c r="C2416" s="2" t="s">
        <v>9708</v>
      </c>
      <c r="D2416" s="2" t="s">
        <v>3318</v>
      </c>
      <c r="E2416" s="2" t="b">
        <v>1</v>
      </c>
      <c r="F2416" s="2" t="b">
        <v>0</v>
      </c>
      <c r="G2416" s="2" t="s">
        <v>9937</v>
      </c>
      <c r="H2416" s="3" t="str">
        <f>_xlfn.IFNA(INDEX(RulebookFields!C2:C999, MATCH(D2416,RulebookFields!A2:A999, 0)), "")</f>
        <v>KnowledgeGaps</v>
      </c>
      <c r="I2416" s="3" t="str">
        <f>_xlfn.IFNA(INDEX(RulebookFields!D2:D999, MATCH(D2416,RulebookFields!A2:A999, 0)), "")</f>
        <v>IsBlocking</v>
      </c>
      <c r="J2416" s="3" t="b">
        <f>_xlfn.IFNA(INDEX(RulebookFields!I2:I999, MATCH(D2416,RulebookFields!A2:A999, 0)), "")</f>
        <v>1</v>
      </c>
      <c r="K2416" s="3" t="b">
        <f>AND(F2416, J2416)</f>
        <v>0</v>
      </c>
      <c r="L2416" s="3" t="b">
        <f>AND(G2416 &lt;&gt; "plain", G2416 &lt;&gt; "")</f>
        <v>0</v>
      </c>
      <c r="M2416" s="3" t="str">
        <f>IF(E2416, C2416 &amp; "|" &amp; H2416, "")</f>
        <v>principal-knowledge-authority|KnowledgeGaps</v>
      </c>
      <c r="N2416" s="2" t="s">
        <v>9938</v>
      </c>
    </row>
    <row r="2417">
      <c r="A2417" s="2" t="s">
        <v>12353</v>
      </c>
      <c r="B2417" s="3" t="str">
        <f>C2417 &amp; " -&gt; " &amp; D2417</f>
        <v>principal-knowledge-authority -&gt; KnowledgeGaps.IsOpenAndBlocking</v>
      </c>
      <c r="C2417" s="2" t="s">
        <v>9708</v>
      </c>
      <c r="D2417" s="2" t="s">
        <v>3320</v>
      </c>
      <c r="E2417" s="2" t="b">
        <v>1</v>
      </c>
      <c r="F2417" s="2" t="b">
        <v>0</v>
      </c>
      <c r="G2417" s="2" t="s">
        <v>9937</v>
      </c>
      <c r="H2417" s="3" t="str">
        <f>_xlfn.IFNA(INDEX(RulebookFields!C2:C999, MATCH(D2417,RulebookFields!A2:A999, 0)), "")</f>
        <v>KnowledgeGaps</v>
      </c>
      <c r="I2417" s="3" t="str">
        <f>_xlfn.IFNA(INDEX(RulebookFields!D2:D999, MATCH(D2417,RulebookFields!A2:A999, 0)), "")</f>
        <v>IsOpenAndBlocking</v>
      </c>
      <c r="J2417" s="3" t="b">
        <f>_xlfn.IFNA(INDEX(RulebookFields!I2:I999, MATCH(D2417,RulebookFields!A2:A999, 0)), "")</f>
        <v>1</v>
      </c>
      <c r="K2417" s="3" t="b">
        <f>AND(F2417, J2417)</f>
        <v>0</v>
      </c>
      <c r="L2417" s="3" t="b">
        <f>AND(G2417 &lt;&gt; "plain", G2417 &lt;&gt; "")</f>
        <v>0</v>
      </c>
      <c r="M2417" s="3" t="str">
        <f>IF(E2417, C2417 &amp; "|" &amp; H2417, "")</f>
        <v>principal-knowledge-authority|KnowledgeGaps</v>
      </c>
      <c r="N2417" s="2" t="s">
        <v>9938</v>
      </c>
    </row>
    <row r="2418">
      <c r="A2418" s="2" t="s">
        <v>12354</v>
      </c>
      <c r="B2418" s="3" t="str">
        <f>C2418 &amp; " -&gt; " &amp; D2418</f>
        <v>principal-knowledge-authority -&gt; KnowledgeGaps.EvaluationContext</v>
      </c>
      <c r="C2418" s="2" t="s">
        <v>9708</v>
      </c>
      <c r="D2418" s="2" t="s">
        <v>3322</v>
      </c>
      <c r="E2418" s="2" t="b">
        <v>1</v>
      </c>
      <c r="F2418" s="2" t="b">
        <v>0</v>
      </c>
      <c r="G2418" s="2" t="s">
        <v>9937</v>
      </c>
      <c r="H2418" s="3" t="str">
        <f>_xlfn.IFNA(INDEX(RulebookFields!C2:C999, MATCH(D2418,RulebookFields!A2:A999, 0)), "")</f>
        <v>KnowledgeGaps</v>
      </c>
      <c r="I2418" s="3" t="str">
        <f>_xlfn.IFNA(INDEX(RulebookFields!D2:D999, MATCH(D2418,RulebookFields!A2:A999, 0)), "")</f>
        <v>EvaluationContext</v>
      </c>
      <c r="J2418" s="3" t="b">
        <f>_xlfn.IFNA(INDEX(RulebookFields!I2:I999, MATCH(D2418,RulebookFields!A2:A999, 0)), "")</f>
        <v>0</v>
      </c>
      <c r="K2418" s="3" t="b">
        <f>AND(F2418, J2418)</f>
        <v>0</v>
      </c>
      <c r="L2418" s="3" t="b">
        <f>AND(G2418 &lt;&gt; "plain", G2418 &lt;&gt; "")</f>
        <v>0</v>
      </c>
      <c r="M2418" s="3" t="str">
        <f>IF(E2418, C2418 &amp; "|" &amp; H2418, "")</f>
        <v>principal-knowledge-authority|KnowledgeGaps</v>
      </c>
      <c r="N2418" s="2" t="s">
        <v>9938</v>
      </c>
    </row>
    <row r="2419">
      <c r="A2419" s="2" t="s">
        <v>12355</v>
      </c>
      <c r="B2419" s="3" t="str">
        <f>C2419 &amp; " -&gt; " &amp; D2419</f>
        <v>principal-knowledge-authority -&gt; KnowledgeGaps.AsOfInstant</v>
      </c>
      <c r="C2419" s="2" t="s">
        <v>9708</v>
      </c>
      <c r="D2419" s="2" t="s">
        <v>3323</v>
      </c>
      <c r="E2419" s="2" t="b">
        <v>1</v>
      </c>
      <c r="F2419" s="2" t="b">
        <v>0</v>
      </c>
      <c r="G2419" s="2" t="s">
        <v>9937</v>
      </c>
      <c r="H2419" s="3" t="str">
        <f>_xlfn.IFNA(INDEX(RulebookFields!C2:C999, MATCH(D2419,RulebookFields!A2:A999, 0)), "")</f>
        <v>KnowledgeGaps</v>
      </c>
      <c r="I2419" s="3" t="str">
        <f>_xlfn.IFNA(INDEX(RulebookFields!D2:D999, MATCH(D2419,RulebookFields!A2:A999, 0)), "")</f>
        <v>AsOfInstant</v>
      </c>
      <c r="J2419" s="3" t="b">
        <f>_xlfn.IFNA(INDEX(RulebookFields!I2:I999, MATCH(D2419,RulebookFields!A2:A999, 0)), "")</f>
        <v>1</v>
      </c>
      <c r="K2419" s="3" t="b">
        <f>AND(F2419, J2419)</f>
        <v>0</v>
      </c>
      <c r="L2419" s="3" t="b">
        <f>AND(G2419 &lt;&gt; "plain", G2419 &lt;&gt; "")</f>
        <v>0</v>
      </c>
      <c r="M2419" s="3" t="str">
        <f>IF(E2419, C2419 &amp; "|" &amp; H2419, "")</f>
        <v>principal-knowledge-authority|KnowledgeGaps</v>
      </c>
      <c r="N2419" s="2" t="s">
        <v>9938</v>
      </c>
    </row>
    <row r="2420">
      <c r="A2420" s="2" t="s">
        <v>12356</v>
      </c>
      <c r="B2420" s="3" t="str">
        <f>C2420 &amp; " -&gt; " &amp; D2420</f>
        <v>principal-knowledge-authority -&gt; KnowledgeGaps.DaysOpen</v>
      </c>
      <c r="C2420" s="2" t="s">
        <v>9708</v>
      </c>
      <c r="D2420" s="2" t="s">
        <v>3324</v>
      </c>
      <c r="E2420" s="2" t="b">
        <v>1</v>
      </c>
      <c r="F2420" s="2" t="b">
        <v>0</v>
      </c>
      <c r="G2420" s="2" t="s">
        <v>9937</v>
      </c>
      <c r="H2420" s="3" t="str">
        <f>_xlfn.IFNA(INDEX(RulebookFields!C2:C999, MATCH(D2420,RulebookFields!A2:A999, 0)), "")</f>
        <v>KnowledgeGaps</v>
      </c>
      <c r="I2420" s="3" t="str">
        <f>_xlfn.IFNA(INDEX(RulebookFields!D2:D999, MATCH(D2420,RulebookFields!A2:A999, 0)), "")</f>
        <v>DaysOpen</v>
      </c>
      <c r="J2420" s="3" t="b">
        <f>_xlfn.IFNA(INDEX(RulebookFields!I2:I999, MATCH(D2420,RulebookFields!A2:A999, 0)), "")</f>
        <v>1</v>
      </c>
      <c r="K2420" s="3" t="b">
        <f>AND(F2420, J2420)</f>
        <v>0</v>
      </c>
      <c r="L2420" s="3" t="b">
        <f>AND(G2420 &lt;&gt; "plain", G2420 &lt;&gt; "")</f>
        <v>0</v>
      </c>
      <c r="M2420" s="3" t="str">
        <f>IF(E2420, C2420 &amp; "|" &amp; H2420, "")</f>
        <v>principal-knowledge-authority|KnowledgeGaps</v>
      </c>
      <c r="N2420" s="2" t="s">
        <v>9938</v>
      </c>
    </row>
    <row r="2421">
      <c r="A2421" s="2" t="s">
        <v>12357</v>
      </c>
      <c r="B2421" s="3" t="str">
        <f>C2421 &amp; " -&gt; " &amp; D2421</f>
        <v>principal-knowledge-authority -&gt; KnowledgeGaps.ToleranceDays</v>
      </c>
      <c r="C2421" s="2" t="s">
        <v>9708</v>
      </c>
      <c r="D2421" s="2" t="s">
        <v>3326</v>
      </c>
      <c r="E2421" s="2" t="b">
        <v>1</v>
      </c>
      <c r="F2421" s="2" t="b">
        <v>0</v>
      </c>
      <c r="G2421" s="2" t="s">
        <v>9937</v>
      </c>
      <c r="H2421" s="3" t="str">
        <f>_xlfn.IFNA(INDEX(RulebookFields!C2:C999, MATCH(D2421,RulebookFields!A2:A999, 0)), "")</f>
        <v>KnowledgeGaps</v>
      </c>
      <c r="I2421" s="3" t="str">
        <f>_xlfn.IFNA(INDEX(RulebookFields!D2:D999, MATCH(D2421,RulebookFields!A2:A999, 0)), "")</f>
        <v>ToleranceDays</v>
      </c>
      <c r="J2421" s="3" t="b">
        <f>_xlfn.IFNA(INDEX(RulebookFields!I2:I999, MATCH(D2421,RulebookFields!A2:A999, 0)), "")</f>
        <v>1</v>
      </c>
      <c r="K2421" s="3" t="b">
        <f>AND(F2421, J2421)</f>
        <v>0</v>
      </c>
      <c r="L2421" s="3" t="b">
        <f>AND(G2421 &lt;&gt; "plain", G2421 &lt;&gt; "")</f>
        <v>0</v>
      </c>
      <c r="M2421" s="3" t="str">
        <f>IF(E2421, C2421 &amp; "|" &amp; H2421, "")</f>
        <v>principal-knowledge-authority|KnowledgeGaps</v>
      </c>
      <c r="N2421" s="2" t="s">
        <v>9938</v>
      </c>
    </row>
    <row r="2422">
      <c r="A2422" s="2" t="s">
        <v>12358</v>
      </c>
      <c r="B2422" s="3" t="str">
        <f>C2422 &amp; " -&gt; " &amp; D2422</f>
        <v>principal-knowledge-authority -&gt; KnowledgeGaps.IsOverdueGap</v>
      </c>
      <c r="C2422" s="2" t="s">
        <v>9708</v>
      </c>
      <c r="D2422" s="2" t="s">
        <v>3328</v>
      </c>
      <c r="E2422" s="2" t="b">
        <v>1</v>
      </c>
      <c r="F2422" s="2" t="b">
        <v>0</v>
      </c>
      <c r="G2422" s="2" t="s">
        <v>9937</v>
      </c>
      <c r="H2422" s="3" t="str">
        <f>_xlfn.IFNA(INDEX(RulebookFields!C2:C999, MATCH(D2422,RulebookFields!A2:A999, 0)), "")</f>
        <v>KnowledgeGaps</v>
      </c>
      <c r="I2422" s="3" t="str">
        <f>_xlfn.IFNA(INDEX(RulebookFields!D2:D999, MATCH(D2422,RulebookFields!A2:A999, 0)), "")</f>
        <v>IsOverdueGap</v>
      </c>
      <c r="J2422" s="3" t="b">
        <f>_xlfn.IFNA(INDEX(RulebookFields!I2:I999, MATCH(D2422,RulebookFields!A2:A999, 0)), "")</f>
        <v>1</v>
      </c>
      <c r="K2422" s="3" t="b">
        <f>AND(F2422, J2422)</f>
        <v>0</v>
      </c>
      <c r="L2422" s="3" t="b">
        <f>AND(G2422 &lt;&gt; "plain", G2422 &lt;&gt; "")</f>
        <v>0</v>
      </c>
      <c r="M2422" s="3" t="str">
        <f>IF(E2422, C2422 &amp; "|" &amp; H2422, "")</f>
        <v>principal-knowledge-authority|KnowledgeGaps</v>
      </c>
      <c r="N2422" s="2" t="s">
        <v>9938</v>
      </c>
    </row>
    <row r="2423">
      <c r="A2423" s="2" t="s">
        <v>12359</v>
      </c>
      <c r="B2423" s="3" t="str">
        <f>C2423 &amp; " -&gt; " &amp; D2423</f>
        <v>principal-knowledge-authority -&gt; KnowledgeGaps.OwnerAgent</v>
      </c>
      <c r="C2423" s="2" t="s">
        <v>9708</v>
      </c>
      <c r="D2423" s="2" t="s">
        <v>3330</v>
      </c>
      <c r="E2423" s="2" t="b">
        <v>1</v>
      </c>
      <c r="F2423" s="2" t="b">
        <v>0</v>
      </c>
      <c r="G2423" s="2" t="s">
        <v>9937</v>
      </c>
      <c r="H2423" s="3" t="str">
        <f>_xlfn.IFNA(INDEX(RulebookFields!C2:C999, MATCH(D2423,RulebookFields!A2:A999, 0)), "")</f>
        <v>KnowledgeGaps</v>
      </c>
      <c r="I2423" s="3" t="str">
        <f>_xlfn.IFNA(INDEX(RulebookFields!D2:D999, MATCH(D2423,RulebookFields!A2:A999, 0)), "")</f>
        <v>OwnerAgent</v>
      </c>
      <c r="J2423" s="3" t="b">
        <f>_xlfn.IFNA(INDEX(RulebookFields!I2:I999, MATCH(D2423,RulebookFields!A2:A999, 0)), "")</f>
        <v>1</v>
      </c>
      <c r="K2423" s="3" t="b">
        <f>AND(F2423, J2423)</f>
        <v>0</v>
      </c>
      <c r="L2423" s="3" t="b">
        <f>AND(G2423 &lt;&gt; "plain", G2423 &lt;&gt; "")</f>
        <v>0</v>
      </c>
      <c r="M2423" s="3" t="str">
        <f>IF(E2423, C2423 &amp; "|" &amp; H2423, "")</f>
        <v>principal-knowledge-authority|KnowledgeGaps</v>
      </c>
      <c r="N2423" s="2" t="s">
        <v>9938</v>
      </c>
    </row>
    <row r="2424">
      <c r="A2424" s="2" t="s">
        <v>12360</v>
      </c>
      <c r="B2424" s="3" t="str">
        <f>C2424 &amp; " -&gt; " &amp; D2424</f>
        <v>principal-knowledge-authority -&gt; KnowledgeGaps.OwnerIsStillEngaged</v>
      </c>
      <c r="C2424" s="2" t="s">
        <v>9708</v>
      </c>
      <c r="D2424" s="2" t="s">
        <v>3331</v>
      </c>
      <c r="E2424" s="2" t="b">
        <v>1</v>
      </c>
      <c r="F2424" s="2" t="b">
        <v>0</v>
      </c>
      <c r="G2424" s="2" t="s">
        <v>9937</v>
      </c>
      <c r="H2424" s="3" t="str">
        <f>_xlfn.IFNA(INDEX(RulebookFields!C2:C999, MATCH(D2424,RulebookFields!A2:A999, 0)), "")</f>
        <v>KnowledgeGaps</v>
      </c>
      <c r="I2424" s="3" t="str">
        <f>_xlfn.IFNA(INDEX(RulebookFields!D2:D999, MATCH(D2424,RulebookFields!A2:A999, 0)), "")</f>
        <v>OwnerIsStillEngaged</v>
      </c>
      <c r="J2424" s="3" t="b">
        <f>_xlfn.IFNA(INDEX(RulebookFields!I2:I999, MATCH(D2424,RulebookFields!A2:A999, 0)), "")</f>
        <v>1</v>
      </c>
      <c r="K2424" s="3" t="b">
        <f>AND(F2424, J2424)</f>
        <v>0</v>
      </c>
      <c r="L2424" s="3" t="b">
        <f>AND(G2424 &lt;&gt; "plain", G2424 &lt;&gt; "")</f>
        <v>0</v>
      </c>
      <c r="M2424" s="3" t="str">
        <f>IF(E2424, C2424 &amp; "|" &amp; H2424, "")</f>
        <v>principal-knowledge-authority|KnowledgeGaps</v>
      </c>
      <c r="N2424" s="2" t="s">
        <v>9938</v>
      </c>
    </row>
    <row r="2425">
      <c r="A2425" s="2" t="s">
        <v>12361</v>
      </c>
      <c r="B2425" s="3" t="str">
        <f>C2425 &amp; " -&gt; " &amp; D2425</f>
        <v>principal-knowledge-authority -&gt; KnowledgeGaps.HasResolutionPlan</v>
      </c>
      <c r="C2425" s="2" t="s">
        <v>9708</v>
      </c>
      <c r="D2425" s="2" t="s">
        <v>3333</v>
      </c>
      <c r="E2425" s="2" t="b">
        <v>1</v>
      </c>
      <c r="F2425" s="2" t="b">
        <v>0</v>
      </c>
      <c r="G2425" s="2" t="s">
        <v>9937</v>
      </c>
      <c r="H2425" s="3" t="str">
        <f>_xlfn.IFNA(INDEX(RulebookFields!C2:C999, MATCH(D2425,RulebookFields!A2:A999, 0)), "")</f>
        <v>KnowledgeGaps</v>
      </c>
      <c r="I2425" s="3" t="str">
        <f>_xlfn.IFNA(INDEX(RulebookFields!D2:D999, MATCH(D2425,RulebookFields!A2:A999, 0)), "")</f>
        <v>HasResolutionPlan</v>
      </c>
      <c r="J2425" s="3" t="b">
        <f>_xlfn.IFNA(INDEX(RulebookFields!I2:I999, MATCH(D2425,RulebookFields!A2:A999, 0)), "")</f>
        <v>1</v>
      </c>
      <c r="K2425" s="3" t="b">
        <f>AND(F2425, J2425)</f>
        <v>0</v>
      </c>
      <c r="L2425" s="3" t="b">
        <f>AND(G2425 &lt;&gt; "plain", G2425 &lt;&gt; "")</f>
        <v>0</v>
      </c>
      <c r="M2425" s="3" t="str">
        <f>IF(E2425, C2425 &amp; "|" &amp; H2425, "")</f>
        <v>principal-knowledge-authority|KnowledgeGaps</v>
      </c>
      <c r="N2425" s="2" t="s">
        <v>9938</v>
      </c>
    </row>
    <row r="2426">
      <c r="A2426" s="2" t="s">
        <v>12362</v>
      </c>
      <c r="B2426" s="3" t="str">
        <f>C2426 &amp; " -&gt; " &amp; D2426</f>
        <v>principal-knowledge-authority -&gt; KnowledgeGaps.IsAbandonedUnknown</v>
      </c>
      <c r="C2426" s="2" t="s">
        <v>9708</v>
      </c>
      <c r="D2426" s="2" t="s">
        <v>3335</v>
      </c>
      <c r="E2426" s="2" t="b">
        <v>1</v>
      </c>
      <c r="F2426" s="2" t="b">
        <v>0</v>
      </c>
      <c r="G2426" s="2" t="s">
        <v>9937</v>
      </c>
      <c r="H2426" s="3" t="str">
        <f>_xlfn.IFNA(INDEX(RulebookFields!C2:C999, MATCH(D2426,RulebookFields!A2:A999, 0)), "")</f>
        <v>KnowledgeGaps</v>
      </c>
      <c r="I2426" s="3" t="str">
        <f>_xlfn.IFNA(INDEX(RulebookFields!D2:D999, MATCH(D2426,RulebookFields!A2:A999, 0)), "")</f>
        <v>IsAbandonedUnknown</v>
      </c>
      <c r="J2426" s="3" t="b">
        <f>_xlfn.IFNA(INDEX(RulebookFields!I2:I999, MATCH(D2426,RulebookFields!A2:A999, 0)), "")</f>
        <v>1</v>
      </c>
      <c r="K2426" s="3" t="b">
        <f>AND(F2426, J2426)</f>
        <v>0</v>
      </c>
      <c r="L2426" s="3" t="b">
        <f>AND(G2426 &lt;&gt; "plain", G2426 &lt;&gt; "")</f>
        <v>0</v>
      </c>
      <c r="M2426" s="3" t="str">
        <f>IF(E2426, C2426 &amp; "|" &amp; H2426, "")</f>
        <v>principal-knowledge-authority|KnowledgeGaps</v>
      </c>
      <c r="N2426" s="2" t="s">
        <v>9938</v>
      </c>
    </row>
    <row r="2427">
      <c r="A2427" s="2" t="s">
        <v>12363</v>
      </c>
      <c r="B2427" s="3" t="str">
        <f>C2427 &amp; " -&gt; " &amp; D2427</f>
        <v>principal-knowledge-authority -&gt; KnowledgeGaps.OpenBlockingGapVersionKey</v>
      </c>
      <c r="C2427" s="2" t="s">
        <v>9708</v>
      </c>
      <c r="D2427" s="2" t="s">
        <v>3337</v>
      </c>
      <c r="E2427" s="2" t="b">
        <v>1</v>
      </c>
      <c r="F2427" s="2" t="b">
        <v>0</v>
      </c>
      <c r="G2427" s="2" t="s">
        <v>9937</v>
      </c>
      <c r="H2427" s="3" t="str">
        <f>_xlfn.IFNA(INDEX(RulebookFields!C2:C999, MATCH(D2427,RulebookFields!A2:A999, 0)), "")</f>
        <v>KnowledgeGaps</v>
      </c>
      <c r="I2427" s="3" t="str">
        <f>_xlfn.IFNA(INDEX(RulebookFields!D2:D999, MATCH(D2427,RulebookFields!A2:A999, 0)), "")</f>
        <v>OpenBlockingGapVersionKey</v>
      </c>
      <c r="J2427" s="3" t="b">
        <f>_xlfn.IFNA(INDEX(RulebookFields!I2:I999, MATCH(D2427,RulebookFields!A2:A999, 0)), "")</f>
        <v>1</v>
      </c>
      <c r="K2427" s="3" t="b">
        <f>AND(F2427, J2427)</f>
        <v>0</v>
      </c>
      <c r="L2427" s="3" t="b">
        <f>AND(G2427 &lt;&gt; "plain", G2427 &lt;&gt; "")</f>
        <v>0</v>
      </c>
      <c r="M2427" s="3" t="str">
        <f>IF(E2427, C2427 &amp; "|" &amp; H2427, "")</f>
        <v>principal-knowledge-authority|KnowledgeGaps</v>
      </c>
      <c r="N2427" s="2" t="s">
        <v>9938</v>
      </c>
    </row>
    <row r="2428">
      <c r="A2428" s="2" t="s">
        <v>12364</v>
      </c>
      <c r="B2428" s="3" t="str">
        <f>C2428 &amp; " -&gt; " &amp; D2428</f>
        <v>principal-knowledge-authority -&gt; KnowledgeGaps.OwnerRoleIsVacated</v>
      </c>
      <c r="C2428" s="2" t="s">
        <v>9708</v>
      </c>
      <c r="D2428" s="2" t="s">
        <v>3339</v>
      </c>
      <c r="E2428" s="2" t="b">
        <v>1</v>
      </c>
      <c r="F2428" s="2" t="b">
        <v>0</v>
      </c>
      <c r="G2428" s="2" t="s">
        <v>9937</v>
      </c>
      <c r="H2428" s="3" t="str">
        <f>_xlfn.IFNA(INDEX(RulebookFields!C2:C999, MATCH(D2428,RulebookFields!A2:A999, 0)), "")</f>
        <v>KnowledgeGaps</v>
      </c>
      <c r="I2428" s="3" t="str">
        <f>_xlfn.IFNA(INDEX(RulebookFields!D2:D999, MATCH(D2428,RulebookFields!A2:A999, 0)), "")</f>
        <v>OwnerRoleIsVacated</v>
      </c>
      <c r="J2428" s="3" t="b">
        <f>_xlfn.IFNA(INDEX(RulebookFields!I2:I999, MATCH(D2428,RulebookFields!A2:A999, 0)), "")</f>
        <v>1</v>
      </c>
      <c r="K2428" s="3" t="b">
        <f>AND(F2428, J2428)</f>
        <v>0</v>
      </c>
      <c r="L2428" s="3" t="b">
        <f>AND(G2428 &lt;&gt; "plain", G2428 &lt;&gt; "")</f>
        <v>0</v>
      </c>
      <c r="M2428" s="3" t="str">
        <f>IF(E2428, C2428 &amp; "|" &amp; H2428, "")</f>
        <v>principal-knowledge-authority|KnowledgeGaps</v>
      </c>
      <c r="N2428" s="2" t="s">
        <v>9938</v>
      </c>
    </row>
    <row r="2429">
      <c r="A2429" s="2" t="s">
        <v>12365</v>
      </c>
      <c r="B2429" s="3" t="str">
        <f>C2429 &amp; " -&gt; " &amp; D2429</f>
        <v>principal-knowledge-authority -&gt; KnowledgeGaps.IsOwnerlessOpenGap</v>
      </c>
      <c r="C2429" s="2" t="s">
        <v>9708</v>
      </c>
      <c r="D2429" s="2" t="s">
        <v>3340</v>
      </c>
      <c r="E2429" s="2" t="b">
        <v>1</v>
      </c>
      <c r="F2429" s="2" t="b">
        <v>0</v>
      </c>
      <c r="G2429" s="2" t="s">
        <v>9937</v>
      </c>
      <c r="H2429" s="3" t="str">
        <f>_xlfn.IFNA(INDEX(RulebookFields!C2:C999, MATCH(D2429,RulebookFields!A2:A999, 0)), "")</f>
        <v>KnowledgeGaps</v>
      </c>
      <c r="I2429" s="3" t="str">
        <f>_xlfn.IFNA(INDEX(RulebookFields!D2:D999, MATCH(D2429,RulebookFields!A2:A999, 0)), "")</f>
        <v>IsOwnerlessOpenGap</v>
      </c>
      <c r="J2429" s="3" t="b">
        <f>_xlfn.IFNA(INDEX(RulebookFields!I2:I999, MATCH(D2429,RulebookFields!A2:A999, 0)), "")</f>
        <v>1</v>
      </c>
      <c r="K2429" s="3" t="b">
        <f>AND(F2429, J2429)</f>
        <v>0</v>
      </c>
      <c r="L2429" s="3" t="b">
        <f>AND(G2429 &lt;&gt; "plain", G2429 &lt;&gt; "")</f>
        <v>0</v>
      </c>
      <c r="M2429" s="3" t="str">
        <f>IF(E2429, C2429 &amp; "|" &amp; H2429, "")</f>
        <v>principal-knowledge-authority|KnowledgeGaps</v>
      </c>
      <c r="N2429" s="2" t="s">
        <v>9938</v>
      </c>
    </row>
    <row r="2430">
      <c r="A2430" s="2" t="s">
        <v>12366</v>
      </c>
      <c r="B2430" s="3" t="str">
        <f>C2430 &amp; " -&gt; " &amp; D2430</f>
        <v>principal-knowledge-authority -&gt; KnowledgeGaps.SemanticTypeIri</v>
      </c>
      <c r="C2430" s="2" t="s">
        <v>9708</v>
      </c>
      <c r="D2430" s="2" t="s">
        <v>3342</v>
      </c>
      <c r="E2430" s="2" t="b">
        <v>1</v>
      </c>
      <c r="F2430" s="2" t="b">
        <v>0</v>
      </c>
      <c r="G2430" s="2" t="s">
        <v>9937</v>
      </c>
      <c r="H2430" s="3" t="str">
        <f>_xlfn.IFNA(INDEX(RulebookFields!C2:C999, MATCH(D2430,RulebookFields!A2:A999, 0)), "")</f>
        <v>KnowledgeGaps</v>
      </c>
      <c r="I2430" s="3" t="str">
        <f>_xlfn.IFNA(INDEX(RulebookFields!D2:D999, MATCH(D2430,RulebookFields!A2:A999, 0)), "")</f>
        <v>SemanticTypeIri</v>
      </c>
      <c r="J2430" s="3" t="b">
        <f>_xlfn.IFNA(INDEX(RulebookFields!I2:I999, MATCH(D2430,RulebookFields!A2:A999, 0)), "")</f>
        <v>0</v>
      </c>
      <c r="K2430" s="3" t="b">
        <f>AND(F2430, J2430)</f>
        <v>0</v>
      </c>
      <c r="L2430" s="3" t="b">
        <f>AND(G2430 &lt;&gt; "plain", G2430 &lt;&gt; "")</f>
        <v>0</v>
      </c>
      <c r="M2430" s="3" t="str">
        <f>IF(E2430, C2430 &amp; "|" &amp; H2430, "")</f>
        <v>principal-knowledge-authority|KnowledgeGaps</v>
      </c>
      <c r="N2430" s="2" t="s">
        <v>9938</v>
      </c>
    </row>
    <row r="2431">
      <c r="A2431" s="2" t="s">
        <v>12367</v>
      </c>
      <c r="B2431" s="3" t="str">
        <f>C2431 &amp; " -&gt; " &amp; D2431</f>
        <v>principal-knowledge-authority -&gt; LearningActivities.LearningActivityId</v>
      </c>
      <c r="C2431" s="2" t="s">
        <v>9708</v>
      </c>
      <c r="D2431" s="2" t="s">
        <v>3950</v>
      </c>
      <c r="E2431" s="2" t="b">
        <v>1</v>
      </c>
      <c r="F2431" s="2" t="b">
        <v>0</v>
      </c>
      <c r="G2431" s="2" t="s">
        <v>9937</v>
      </c>
      <c r="H2431" s="3" t="str">
        <f>_xlfn.IFNA(INDEX(RulebookFields!C2:C999, MATCH(D2431,RulebookFields!A2:A999, 0)), "")</f>
        <v>LearningActivities</v>
      </c>
      <c r="I2431" s="3" t="str">
        <f>_xlfn.IFNA(INDEX(RulebookFields!D2:D999, MATCH(D2431,RulebookFields!A2:A999, 0)), "")</f>
        <v>LearningActivityId</v>
      </c>
      <c r="J2431" s="3" t="b">
        <f>_xlfn.IFNA(INDEX(RulebookFields!I2:I999, MATCH(D2431,RulebookFields!A2:A999, 0)), "")</f>
        <v>0</v>
      </c>
      <c r="K2431" s="3" t="b">
        <f>AND(F2431, J2431)</f>
        <v>0</v>
      </c>
      <c r="L2431" s="3" t="b">
        <f>AND(G2431 &lt;&gt; "plain", G2431 &lt;&gt; "")</f>
        <v>0</v>
      </c>
      <c r="M2431" s="3" t="str">
        <f>IF(E2431, C2431 &amp; "|" &amp; H2431, "")</f>
        <v>principal-knowledge-authority|LearningActivities</v>
      </c>
      <c r="N2431" s="2" t="s">
        <v>9938</v>
      </c>
    </row>
    <row r="2432">
      <c r="A2432" s="2" t="s">
        <v>12368</v>
      </c>
      <c r="B2432" s="3" t="str">
        <f>C2432 &amp; " -&gt; " &amp; D2432</f>
        <v>principal-knowledge-authority -&gt; LearningActivities.Name</v>
      </c>
      <c r="C2432" s="2" t="s">
        <v>9708</v>
      </c>
      <c r="D2432" s="2" t="s">
        <v>3952</v>
      </c>
      <c r="E2432" s="2" t="b">
        <v>1</v>
      </c>
      <c r="F2432" s="2" t="b">
        <v>0</v>
      </c>
      <c r="G2432" s="2" t="s">
        <v>9937</v>
      </c>
      <c r="H2432" s="3" t="str">
        <f>_xlfn.IFNA(INDEX(RulebookFields!C2:C999, MATCH(D2432,RulebookFields!A2:A999, 0)), "")</f>
        <v>LearningActivities</v>
      </c>
      <c r="I2432" s="3" t="str">
        <f>_xlfn.IFNA(INDEX(RulebookFields!D2:D999, MATCH(D2432,RulebookFields!A2:A999, 0)), "")</f>
        <v>Name</v>
      </c>
      <c r="J2432" s="3" t="b">
        <f>_xlfn.IFNA(INDEX(RulebookFields!I2:I999, MATCH(D2432,RulebookFields!A2:A999, 0)), "")</f>
        <v>1</v>
      </c>
      <c r="K2432" s="3" t="b">
        <f>AND(F2432, J2432)</f>
        <v>0</v>
      </c>
      <c r="L2432" s="3" t="b">
        <f>AND(G2432 &lt;&gt; "plain", G2432 &lt;&gt; "")</f>
        <v>0</v>
      </c>
      <c r="M2432" s="3" t="str">
        <f>IF(E2432, C2432 &amp; "|" &amp; H2432, "")</f>
        <v>principal-knowledge-authority|LearningActivities</v>
      </c>
      <c r="N2432" s="2" t="s">
        <v>9938</v>
      </c>
    </row>
    <row r="2433">
      <c r="A2433" s="2" t="s">
        <v>12369</v>
      </c>
      <c r="B2433" s="3" t="str">
        <f>C2433 &amp; " -&gt; " &amp; D2433</f>
        <v>principal-knowledge-authority -&gt; LearningActivities.CommunityOfPractice</v>
      </c>
      <c r="C2433" s="2" t="s">
        <v>9708</v>
      </c>
      <c r="D2433" s="2" t="s">
        <v>3954</v>
      </c>
      <c r="E2433" s="2" t="b">
        <v>1</v>
      </c>
      <c r="F2433" s="2" t="b">
        <v>0</v>
      </c>
      <c r="G2433" s="2" t="s">
        <v>9937</v>
      </c>
      <c r="H2433" s="3" t="str">
        <f>_xlfn.IFNA(INDEX(RulebookFields!C2:C999, MATCH(D2433,RulebookFields!A2:A999, 0)), "")</f>
        <v>LearningActivities</v>
      </c>
      <c r="I2433" s="3" t="str">
        <f>_xlfn.IFNA(INDEX(RulebookFields!D2:D999, MATCH(D2433,RulebookFields!A2:A999, 0)), "")</f>
        <v>CommunityOfPractice</v>
      </c>
      <c r="J2433" s="3" t="b">
        <f>_xlfn.IFNA(INDEX(RulebookFields!I2:I999, MATCH(D2433,RulebookFields!A2:A999, 0)), "")</f>
        <v>0</v>
      </c>
      <c r="K2433" s="3" t="b">
        <f>AND(F2433, J2433)</f>
        <v>0</v>
      </c>
      <c r="L2433" s="3" t="b">
        <f>AND(G2433 &lt;&gt; "plain", G2433 &lt;&gt; "")</f>
        <v>0</v>
      </c>
      <c r="M2433" s="3" t="str">
        <f>IF(E2433, C2433 &amp; "|" &amp; H2433, "")</f>
        <v>principal-knowledge-authority|LearningActivities</v>
      </c>
      <c r="N2433" s="2" t="s">
        <v>9938</v>
      </c>
    </row>
    <row r="2434">
      <c r="A2434" s="2" t="s">
        <v>12370</v>
      </c>
      <c r="B2434" s="3" t="str">
        <f>C2434 &amp; " -&gt; " &amp; D2434</f>
        <v>principal-knowledge-authority -&gt; LearningActivities.ProcedureVersion</v>
      </c>
      <c r="C2434" s="2" t="s">
        <v>9708</v>
      </c>
      <c r="D2434" s="2" t="s">
        <v>3955</v>
      </c>
      <c r="E2434" s="2" t="b">
        <v>1</v>
      </c>
      <c r="F2434" s="2" t="b">
        <v>0</v>
      </c>
      <c r="G2434" s="2" t="s">
        <v>9937</v>
      </c>
      <c r="H2434" s="3" t="str">
        <f>_xlfn.IFNA(INDEX(RulebookFields!C2:C999, MATCH(D2434,RulebookFields!A2:A999, 0)), "")</f>
        <v>LearningActivities</v>
      </c>
      <c r="I2434" s="3" t="str">
        <f>_xlfn.IFNA(INDEX(RulebookFields!D2:D999, MATCH(D2434,RulebookFields!A2:A999, 0)), "")</f>
        <v>ProcedureVersion</v>
      </c>
      <c r="J2434" s="3" t="b">
        <f>_xlfn.IFNA(INDEX(RulebookFields!I2:I999, MATCH(D2434,RulebookFields!A2:A999, 0)), "")</f>
        <v>0</v>
      </c>
      <c r="K2434" s="3" t="b">
        <f>AND(F2434, J2434)</f>
        <v>0</v>
      </c>
      <c r="L2434" s="3" t="b">
        <f>AND(G2434 &lt;&gt; "plain", G2434 &lt;&gt; "")</f>
        <v>0</v>
      </c>
      <c r="M2434" s="3" t="str">
        <f>IF(E2434, C2434 &amp; "|" &amp; H2434, "")</f>
        <v>principal-knowledge-authority|LearningActivities</v>
      </c>
      <c r="N2434" s="2" t="s">
        <v>9938</v>
      </c>
    </row>
    <row r="2435">
      <c r="A2435" s="2" t="s">
        <v>12371</v>
      </c>
      <c r="B2435" s="3" t="str">
        <f>C2435 &amp; " -&gt; " &amp; D2435</f>
        <v>principal-knowledge-authority -&gt; LearningActivities.ActivityKind</v>
      </c>
      <c r="C2435" s="2" t="s">
        <v>9708</v>
      </c>
      <c r="D2435" s="2" t="s">
        <v>3956</v>
      </c>
      <c r="E2435" s="2" t="b">
        <v>1</v>
      </c>
      <c r="F2435" s="2" t="b">
        <v>0</v>
      </c>
      <c r="G2435" s="2" t="s">
        <v>9937</v>
      </c>
      <c r="H2435" s="3" t="str">
        <f>_xlfn.IFNA(INDEX(RulebookFields!C2:C999, MATCH(D2435,RulebookFields!A2:A999, 0)), "")</f>
        <v>LearningActivities</v>
      </c>
      <c r="I2435" s="3" t="str">
        <f>_xlfn.IFNA(INDEX(RulebookFields!D2:D999, MATCH(D2435,RulebookFields!A2:A999, 0)), "")</f>
        <v>ActivityKind</v>
      </c>
      <c r="J2435" s="3" t="b">
        <f>_xlfn.IFNA(INDEX(RulebookFields!I2:I999, MATCH(D2435,RulebookFields!A2:A999, 0)), "")</f>
        <v>0</v>
      </c>
      <c r="K2435" s="3" t="b">
        <f>AND(F2435, J2435)</f>
        <v>0</v>
      </c>
      <c r="L2435" s="3" t="b">
        <f>AND(G2435 &lt;&gt; "plain", G2435 &lt;&gt; "")</f>
        <v>0</v>
      </c>
      <c r="M2435" s="3" t="str">
        <f>IF(E2435, C2435 &amp; "|" &amp; H2435, "")</f>
        <v>principal-knowledge-authority|LearningActivities</v>
      </c>
      <c r="N2435" s="2" t="s">
        <v>9938</v>
      </c>
    </row>
    <row r="2436">
      <c r="A2436" s="2" t="s">
        <v>12372</v>
      </c>
      <c r="B2436" s="3" t="str">
        <f>C2436 &amp; " -&gt; " &amp; D2436</f>
        <v>principal-knowledge-authority -&gt; LearningActivities.OccurredAt</v>
      </c>
      <c r="C2436" s="2" t="s">
        <v>9708</v>
      </c>
      <c r="D2436" s="2" t="s">
        <v>3957</v>
      </c>
      <c r="E2436" s="2" t="b">
        <v>1</v>
      </c>
      <c r="F2436" s="2" t="b">
        <v>0</v>
      </c>
      <c r="G2436" s="2" t="s">
        <v>9937</v>
      </c>
      <c r="H2436" s="3" t="str">
        <f>_xlfn.IFNA(INDEX(RulebookFields!C2:C999, MATCH(D2436,RulebookFields!A2:A999, 0)), "")</f>
        <v>LearningActivities</v>
      </c>
      <c r="I2436" s="3" t="str">
        <f>_xlfn.IFNA(INDEX(RulebookFields!D2:D999, MATCH(D2436,RulebookFields!A2:A999, 0)), "")</f>
        <v>OccurredAt</v>
      </c>
      <c r="J2436" s="3" t="b">
        <f>_xlfn.IFNA(INDEX(RulebookFields!I2:I999, MATCH(D2436,RulebookFields!A2:A999, 0)), "")</f>
        <v>0</v>
      </c>
      <c r="K2436" s="3" t="b">
        <f>AND(F2436, J2436)</f>
        <v>0</v>
      </c>
      <c r="L2436" s="3" t="b">
        <f>AND(G2436 &lt;&gt; "plain", G2436 &lt;&gt; "")</f>
        <v>0</v>
      </c>
      <c r="M2436" s="3" t="str">
        <f>IF(E2436, C2436 &amp; "|" &amp; H2436, "")</f>
        <v>principal-knowledge-authority|LearningActivities</v>
      </c>
      <c r="N2436" s="2" t="s">
        <v>9938</v>
      </c>
    </row>
    <row r="2437">
      <c r="A2437" s="2" t="s">
        <v>12373</v>
      </c>
      <c r="B2437" s="3" t="str">
        <f>C2437 &amp; " -&gt; " &amp; D2437</f>
        <v>principal-knowledge-authority -&gt; LearningActivities.FacilitatorAgent</v>
      </c>
      <c r="C2437" s="2" t="s">
        <v>9708</v>
      </c>
      <c r="D2437" s="2" t="s">
        <v>3958</v>
      </c>
      <c r="E2437" s="2" t="b">
        <v>1</v>
      </c>
      <c r="F2437" s="2" t="b">
        <v>0</v>
      </c>
      <c r="G2437" s="2" t="s">
        <v>9937</v>
      </c>
      <c r="H2437" s="3" t="str">
        <f>_xlfn.IFNA(INDEX(RulebookFields!C2:C999, MATCH(D2437,RulebookFields!A2:A999, 0)), "")</f>
        <v>LearningActivities</v>
      </c>
      <c r="I2437" s="3" t="str">
        <f>_xlfn.IFNA(INDEX(RulebookFields!D2:D999, MATCH(D2437,RulebookFields!A2:A999, 0)), "")</f>
        <v>FacilitatorAgent</v>
      </c>
      <c r="J2437" s="3" t="b">
        <f>_xlfn.IFNA(INDEX(RulebookFields!I2:I999, MATCH(D2437,RulebookFields!A2:A999, 0)), "")</f>
        <v>0</v>
      </c>
      <c r="K2437" s="3" t="b">
        <f>AND(F2437, J2437)</f>
        <v>0</v>
      </c>
      <c r="L2437" s="3" t="b">
        <f>AND(G2437 &lt;&gt; "plain", G2437 &lt;&gt; "")</f>
        <v>0</v>
      </c>
      <c r="M2437" s="3" t="str">
        <f>IF(E2437, C2437 &amp; "|" &amp; H2437, "")</f>
        <v>principal-knowledge-authority|LearningActivities</v>
      </c>
      <c r="N2437" s="2" t="s">
        <v>9938</v>
      </c>
    </row>
    <row r="2438">
      <c r="A2438" s="2" t="s">
        <v>12374</v>
      </c>
      <c r="B2438" s="3" t="str">
        <f>C2438 &amp; " -&gt; " &amp; D2438</f>
        <v>principal-knowledge-authority -&gt; LearningActivities.Outcome</v>
      </c>
      <c r="C2438" s="2" t="s">
        <v>9708</v>
      </c>
      <c r="D2438" s="2" t="s">
        <v>3959</v>
      </c>
      <c r="E2438" s="2" t="b">
        <v>1</v>
      </c>
      <c r="F2438" s="2" t="b">
        <v>0</v>
      </c>
      <c r="G2438" s="2" t="s">
        <v>9937</v>
      </c>
      <c r="H2438" s="3" t="str">
        <f>_xlfn.IFNA(INDEX(RulebookFields!C2:C999, MATCH(D2438,RulebookFields!A2:A999, 0)), "")</f>
        <v>LearningActivities</v>
      </c>
      <c r="I2438" s="3" t="str">
        <f>_xlfn.IFNA(INDEX(RulebookFields!D2:D999, MATCH(D2438,RulebookFields!A2:A999, 0)), "")</f>
        <v>Outcome</v>
      </c>
      <c r="J2438" s="3" t="b">
        <f>_xlfn.IFNA(INDEX(RulebookFields!I2:I999, MATCH(D2438,RulebookFields!A2:A999, 0)), "")</f>
        <v>0</v>
      </c>
      <c r="K2438" s="3" t="b">
        <f>AND(F2438, J2438)</f>
        <v>0</v>
      </c>
      <c r="L2438" s="3" t="b">
        <f>AND(G2438 &lt;&gt; "plain", G2438 &lt;&gt; "")</f>
        <v>0</v>
      </c>
      <c r="M2438" s="3" t="str">
        <f>IF(E2438, C2438 &amp; "|" &amp; H2438, "")</f>
        <v>principal-knowledge-authority|LearningActivities</v>
      </c>
      <c r="N2438" s="2" t="s">
        <v>9938</v>
      </c>
    </row>
    <row r="2439">
      <c r="A2439" s="2" t="s">
        <v>12375</v>
      </c>
      <c r="B2439" s="3" t="str">
        <f>C2439 &amp; " -&gt; " &amp; D2439</f>
        <v>principal-knowledge-authority -&gt; LearningActivities.EvidenceResource</v>
      </c>
      <c r="C2439" s="2" t="s">
        <v>9708</v>
      </c>
      <c r="D2439" s="2" t="s">
        <v>3960</v>
      </c>
      <c r="E2439" s="2" t="b">
        <v>1</v>
      </c>
      <c r="F2439" s="2" t="b">
        <v>0</v>
      </c>
      <c r="G2439" s="2" t="s">
        <v>9937</v>
      </c>
      <c r="H2439" s="3" t="str">
        <f>_xlfn.IFNA(INDEX(RulebookFields!C2:C999, MATCH(D2439,RulebookFields!A2:A999, 0)), "")</f>
        <v>LearningActivities</v>
      </c>
      <c r="I2439" s="3" t="str">
        <f>_xlfn.IFNA(INDEX(RulebookFields!D2:D999, MATCH(D2439,RulebookFields!A2:A999, 0)), "")</f>
        <v>EvidenceResource</v>
      </c>
      <c r="J2439" s="3" t="b">
        <f>_xlfn.IFNA(INDEX(RulebookFields!I2:I999, MATCH(D2439,RulebookFields!A2:A999, 0)), "")</f>
        <v>0</v>
      </c>
      <c r="K2439" s="3" t="b">
        <f>AND(F2439, J2439)</f>
        <v>0</v>
      </c>
      <c r="L2439" s="3" t="b">
        <f>AND(G2439 &lt;&gt; "plain", G2439 &lt;&gt; "")</f>
        <v>0</v>
      </c>
      <c r="M2439" s="3" t="str">
        <f>IF(E2439, C2439 &amp; "|" &amp; H2439, "")</f>
        <v>principal-knowledge-authority|LearningActivities</v>
      </c>
      <c r="N2439" s="2" t="s">
        <v>9938</v>
      </c>
    </row>
    <row r="2440">
      <c r="A2440" s="2" t="s">
        <v>12376</v>
      </c>
      <c r="B2440" s="3" t="str">
        <f>C2440 &amp; " -&gt; " &amp; D2440</f>
        <v>principal-knowledge-authority -&gt; LearningActivities.SemanticTypeIri</v>
      </c>
      <c r="C2440" s="2" t="s">
        <v>9708</v>
      </c>
      <c r="D2440" s="2" t="s">
        <v>3961</v>
      </c>
      <c r="E2440" s="2" t="b">
        <v>1</v>
      </c>
      <c r="F2440" s="2" t="b">
        <v>0</v>
      </c>
      <c r="G2440" s="2" t="s">
        <v>9937</v>
      </c>
      <c r="H2440" s="3" t="str">
        <f>_xlfn.IFNA(INDEX(RulebookFields!C2:C999, MATCH(D2440,RulebookFields!A2:A999, 0)), "")</f>
        <v>LearningActivities</v>
      </c>
      <c r="I2440" s="3" t="str">
        <f>_xlfn.IFNA(INDEX(RulebookFields!D2:D999, MATCH(D2440,RulebookFields!A2:A999, 0)), "")</f>
        <v>SemanticTypeIri</v>
      </c>
      <c r="J2440" s="3" t="b">
        <f>_xlfn.IFNA(INDEX(RulebookFields!I2:I999, MATCH(D2440,RulebookFields!A2:A999, 0)), "")</f>
        <v>0</v>
      </c>
      <c r="K2440" s="3" t="b">
        <f>AND(F2440, J2440)</f>
        <v>0</v>
      </c>
      <c r="L2440" s="3" t="b">
        <f>AND(G2440 &lt;&gt; "plain", G2440 &lt;&gt; "")</f>
        <v>0</v>
      </c>
      <c r="M2440" s="3" t="str">
        <f>IF(E2440, C2440 &amp; "|" &amp; H2440, "")</f>
        <v>principal-knowledge-authority|LearningActivities</v>
      </c>
      <c r="N2440" s="2" t="s">
        <v>9938</v>
      </c>
    </row>
    <row r="2441">
      <c r="A2441" s="2" t="s">
        <v>12377</v>
      </c>
      <c r="B2441" s="3" t="str">
        <f>C2441 &amp; " -&gt; " &amp; D2441</f>
        <v>principal-knowledge-authority -&gt; Mentorships.MentorshipId</v>
      </c>
      <c r="C2441" s="2" t="s">
        <v>9708</v>
      </c>
      <c r="D2441" s="2" t="s">
        <v>2632</v>
      </c>
      <c r="E2441" s="2" t="b">
        <v>1</v>
      </c>
      <c r="F2441" s="2" t="b">
        <v>0</v>
      </c>
      <c r="G2441" s="2" t="s">
        <v>9937</v>
      </c>
      <c r="H2441" s="3" t="str">
        <f>_xlfn.IFNA(INDEX(RulebookFields!C2:C999, MATCH(D2441,RulebookFields!A2:A999, 0)), "")</f>
        <v>Mentorships</v>
      </c>
      <c r="I2441" s="3" t="str">
        <f>_xlfn.IFNA(INDEX(RulebookFields!D2:D999, MATCH(D2441,RulebookFields!A2:A999, 0)), "")</f>
        <v>MentorshipId</v>
      </c>
      <c r="J2441" s="3" t="b">
        <f>_xlfn.IFNA(INDEX(RulebookFields!I2:I999, MATCH(D2441,RulebookFields!A2:A999, 0)), "")</f>
        <v>0</v>
      </c>
      <c r="K2441" s="3" t="b">
        <f>AND(F2441, J2441)</f>
        <v>0</v>
      </c>
      <c r="L2441" s="3" t="b">
        <f>AND(G2441 &lt;&gt; "plain", G2441 &lt;&gt; "")</f>
        <v>0</v>
      </c>
      <c r="M2441" s="3" t="str">
        <f>IF(E2441, C2441 &amp; "|" &amp; H2441, "")</f>
        <v>principal-knowledge-authority|Mentorships</v>
      </c>
      <c r="N2441" s="2" t="s">
        <v>9938</v>
      </c>
    </row>
    <row r="2442">
      <c r="A2442" s="2" t="s">
        <v>12378</v>
      </c>
      <c r="B2442" s="3" t="str">
        <f>C2442 &amp; " -&gt; " &amp; D2442</f>
        <v>principal-knowledge-authority -&gt; Mentorships.Name</v>
      </c>
      <c r="C2442" s="2" t="s">
        <v>9708</v>
      </c>
      <c r="D2442" s="2" t="s">
        <v>2634</v>
      </c>
      <c r="E2442" s="2" t="b">
        <v>1</v>
      </c>
      <c r="F2442" s="2" t="b">
        <v>0</v>
      </c>
      <c r="G2442" s="2" t="s">
        <v>9937</v>
      </c>
      <c r="H2442" s="3" t="str">
        <f>_xlfn.IFNA(INDEX(RulebookFields!C2:C999, MATCH(D2442,RulebookFields!A2:A999, 0)), "")</f>
        <v>Mentorships</v>
      </c>
      <c r="I2442" s="3" t="str">
        <f>_xlfn.IFNA(INDEX(RulebookFields!D2:D999, MATCH(D2442,RulebookFields!A2:A999, 0)), "")</f>
        <v>Name</v>
      </c>
      <c r="J2442" s="3" t="b">
        <f>_xlfn.IFNA(INDEX(RulebookFields!I2:I999, MATCH(D2442,RulebookFields!A2:A999, 0)), "")</f>
        <v>1</v>
      </c>
      <c r="K2442" s="3" t="b">
        <f>AND(F2442, J2442)</f>
        <v>0</v>
      </c>
      <c r="L2442" s="3" t="b">
        <f>AND(G2442 &lt;&gt; "plain", G2442 &lt;&gt; "")</f>
        <v>0</v>
      </c>
      <c r="M2442" s="3" t="str">
        <f>IF(E2442, C2442 &amp; "|" &amp; H2442, "")</f>
        <v>principal-knowledge-authority|Mentorships</v>
      </c>
      <c r="N2442" s="2" t="s">
        <v>9938</v>
      </c>
    </row>
    <row r="2443">
      <c r="A2443" s="2" t="s">
        <v>12379</v>
      </c>
      <c r="B2443" s="3" t="str">
        <f>C2443 &amp; " -&gt; " &amp; D2443</f>
        <v>principal-knowledge-authority -&gt; Mentorships.CommunityOfPractice</v>
      </c>
      <c r="C2443" s="2" t="s">
        <v>9708</v>
      </c>
      <c r="D2443" s="2" t="s">
        <v>2636</v>
      </c>
      <c r="E2443" s="2" t="b">
        <v>1</v>
      </c>
      <c r="F2443" s="2" t="b">
        <v>0</v>
      </c>
      <c r="G2443" s="2" t="s">
        <v>9937</v>
      </c>
      <c r="H2443" s="3" t="str">
        <f>_xlfn.IFNA(INDEX(RulebookFields!C2:C999, MATCH(D2443,RulebookFields!A2:A999, 0)), "")</f>
        <v>Mentorships</v>
      </c>
      <c r="I2443" s="3" t="str">
        <f>_xlfn.IFNA(INDEX(RulebookFields!D2:D999, MATCH(D2443,RulebookFields!A2:A999, 0)), "")</f>
        <v>CommunityOfPractice</v>
      </c>
      <c r="J2443" s="3" t="b">
        <f>_xlfn.IFNA(INDEX(RulebookFields!I2:I999, MATCH(D2443,RulebookFields!A2:A999, 0)), "")</f>
        <v>0</v>
      </c>
      <c r="K2443" s="3" t="b">
        <f>AND(F2443, J2443)</f>
        <v>0</v>
      </c>
      <c r="L2443" s="3" t="b">
        <f>AND(G2443 &lt;&gt; "plain", G2443 &lt;&gt; "")</f>
        <v>0</v>
      </c>
      <c r="M2443" s="3" t="str">
        <f>IF(E2443, C2443 &amp; "|" &amp; H2443, "")</f>
        <v>principal-knowledge-authority|Mentorships</v>
      </c>
      <c r="N2443" s="2" t="s">
        <v>9938</v>
      </c>
    </row>
    <row r="2444">
      <c r="A2444" s="2" t="s">
        <v>12380</v>
      </c>
      <c r="B2444" s="3" t="str">
        <f>C2444 &amp; " -&gt; " &amp; D2444</f>
        <v>principal-knowledge-authority -&gt; Mentorships.MentorAgent</v>
      </c>
      <c r="C2444" s="2" t="s">
        <v>9708</v>
      </c>
      <c r="D2444" s="2" t="s">
        <v>2637</v>
      </c>
      <c r="E2444" s="2" t="b">
        <v>1</v>
      </c>
      <c r="F2444" s="2" t="b">
        <v>0</v>
      </c>
      <c r="G2444" s="2" t="s">
        <v>9937</v>
      </c>
      <c r="H2444" s="3" t="str">
        <f>_xlfn.IFNA(INDEX(RulebookFields!C2:C999, MATCH(D2444,RulebookFields!A2:A999, 0)), "")</f>
        <v>Mentorships</v>
      </c>
      <c r="I2444" s="3" t="str">
        <f>_xlfn.IFNA(INDEX(RulebookFields!D2:D999, MATCH(D2444,RulebookFields!A2:A999, 0)), "")</f>
        <v>MentorAgent</v>
      </c>
      <c r="J2444" s="3" t="b">
        <f>_xlfn.IFNA(INDEX(RulebookFields!I2:I999, MATCH(D2444,RulebookFields!A2:A999, 0)), "")</f>
        <v>0</v>
      </c>
      <c r="K2444" s="3" t="b">
        <f>AND(F2444, J2444)</f>
        <v>0</v>
      </c>
      <c r="L2444" s="3" t="b">
        <f>AND(G2444 &lt;&gt; "plain", G2444 &lt;&gt; "")</f>
        <v>0</v>
      </c>
      <c r="M2444" s="3" t="str">
        <f>IF(E2444, C2444 &amp; "|" &amp; H2444, "")</f>
        <v>principal-knowledge-authority|Mentorships</v>
      </c>
      <c r="N2444" s="2" t="s">
        <v>9938</v>
      </c>
    </row>
    <row r="2445">
      <c r="A2445" s="2" t="s">
        <v>12381</v>
      </c>
      <c r="B2445" s="3" t="str">
        <f>C2445 &amp; " -&gt; " &amp; D2445</f>
        <v>principal-knowledge-authority -&gt; Mentorships.LearnerAgent</v>
      </c>
      <c r="C2445" s="2" t="s">
        <v>9708</v>
      </c>
      <c r="D2445" s="2" t="s">
        <v>2638</v>
      </c>
      <c r="E2445" s="2" t="b">
        <v>1</v>
      </c>
      <c r="F2445" s="2" t="b">
        <v>0</v>
      </c>
      <c r="G2445" s="2" t="s">
        <v>9937</v>
      </c>
      <c r="H2445" s="3" t="str">
        <f>_xlfn.IFNA(INDEX(RulebookFields!C2:C999, MATCH(D2445,RulebookFields!A2:A999, 0)), "")</f>
        <v>Mentorships</v>
      </c>
      <c r="I2445" s="3" t="str">
        <f>_xlfn.IFNA(INDEX(RulebookFields!D2:D999, MATCH(D2445,RulebookFields!A2:A999, 0)), "")</f>
        <v>LearnerAgent</v>
      </c>
      <c r="J2445" s="3" t="b">
        <f>_xlfn.IFNA(INDEX(RulebookFields!I2:I999, MATCH(D2445,RulebookFields!A2:A999, 0)), "")</f>
        <v>0</v>
      </c>
      <c r="K2445" s="3" t="b">
        <f>AND(F2445, J2445)</f>
        <v>0</v>
      </c>
      <c r="L2445" s="3" t="b">
        <f>AND(G2445 &lt;&gt; "plain", G2445 &lt;&gt; "")</f>
        <v>0</v>
      </c>
      <c r="M2445" s="3" t="str">
        <f>IF(E2445, C2445 &amp; "|" &amp; H2445, "")</f>
        <v>principal-knowledge-authority|Mentorships</v>
      </c>
      <c r="N2445" s="2" t="s">
        <v>9938</v>
      </c>
    </row>
    <row r="2446">
      <c r="A2446" s="2" t="s">
        <v>12382</v>
      </c>
      <c r="B2446" s="3" t="str">
        <f>C2446 &amp; " -&gt; " &amp; D2446</f>
        <v>principal-knowledge-authority -&gt; Mentorships.ValidFrom</v>
      </c>
      <c r="C2446" s="2" t="s">
        <v>9708</v>
      </c>
      <c r="D2446" s="2" t="s">
        <v>2639</v>
      </c>
      <c r="E2446" s="2" t="b">
        <v>1</v>
      </c>
      <c r="F2446" s="2" t="b">
        <v>0</v>
      </c>
      <c r="G2446" s="2" t="s">
        <v>9937</v>
      </c>
      <c r="H2446" s="3" t="str">
        <f>_xlfn.IFNA(INDEX(RulebookFields!C2:C999, MATCH(D2446,RulebookFields!A2:A999, 0)), "")</f>
        <v>Mentorships</v>
      </c>
      <c r="I2446" s="3" t="str">
        <f>_xlfn.IFNA(INDEX(RulebookFields!D2:D999, MATCH(D2446,RulebookFields!A2:A999, 0)), "")</f>
        <v>ValidFrom</v>
      </c>
      <c r="J2446" s="3" t="b">
        <f>_xlfn.IFNA(INDEX(RulebookFields!I2:I999, MATCH(D2446,RulebookFields!A2:A999, 0)), "")</f>
        <v>0</v>
      </c>
      <c r="K2446" s="3" t="b">
        <f>AND(F2446, J2446)</f>
        <v>0</v>
      </c>
      <c r="L2446" s="3" t="b">
        <f>AND(G2446 &lt;&gt; "plain", G2446 &lt;&gt; "")</f>
        <v>0</v>
      </c>
      <c r="M2446" s="3" t="str">
        <f>IF(E2446, C2446 &amp; "|" &amp; H2446, "")</f>
        <v>principal-knowledge-authority|Mentorships</v>
      </c>
      <c r="N2446" s="2" t="s">
        <v>9938</v>
      </c>
    </row>
    <row r="2447">
      <c r="A2447" s="2" t="s">
        <v>12383</v>
      </c>
      <c r="B2447" s="3" t="str">
        <f>C2447 &amp; " -&gt; " &amp; D2447</f>
        <v>principal-knowledge-authority -&gt; Mentorships.ValidTo</v>
      </c>
      <c r="C2447" s="2" t="s">
        <v>9708</v>
      </c>
      <c r="D2447" s="2" t="s">
        <v>2640</v>
      </c>
      <c r="E2447" s="2" t="b">
        <v>1</v>
      </c>
      <c r="F2447" s="2" t="b">
        <v>0</v>
      </c>
      <c r="G2447" s="2" t="s">
        <v>9937</v>
      </c>
      <c r="H2447" s="3" t="str">
        <f>_xlfn.IFNA(INDEX(RulebookFields!C2:C999, MATCH(D2447,RulebookFields!A2:A999, 0)), "")</f>
        <v>Mentorships</v>
      </c>
      <c r="I2447" s="3" t="str">
        <f>_xlfn.IFNA(INDEX(RulebookFields!D2:D999, MATCH(D2447,RulebookFields!A2:A999, 0)), "")</f>
        <v>ValidTo</v>
      </c>
      <c r="J2447" s="3" t="b">
        <f>_xlfn.IFNA(INDEX(RulebookFields!I2:I999, MATCH(D2447,RulebookFields!A2:A999, 0)), "")</f>
        <v>0</v>
      </c>
      <c r="K2447" s="3" t="b">
        <f>AND(F2447, J2447)</f>
        <v>0</v>
      </c>
      <c r="L2447" s="3" t="b">
        <f>AND(G2447 &lt;&gt; "plain", G2447 &lt;&gt; "")</f>
        <v>0</v>
      </c>
      <c r="M2447" s="3" t="str">
        <f>IF(E2447, C2447 &amp; "|" &amp; H2447, "")</f>
        <v>principal-knowledge-authority|Mentorships</v>
      </c>
      <c r="N2447" s="2" t="s">
        <v>9938</v>
      </c>
    </row>
    <row r="2448">
      <c r="A2448" s="2" t="s">
        <v>12384</v>
      </c>
      <c r="B2448" s="3" t="str">
        <f>C2448 &amp; " -&gt; " &amp; D2448</f>
        <v>principal-knowledge-authority -&gt; Mentorships.LearningObjective</v>
      </c>
      <c r="C2448" s="2" t="s">
        <v>9708</v>
      </c>
      <c r="D2448" s="2" t="s">
        <v>2641</v>
      </c>
      <c r="E2448" s="2" t="b">
        <v>1</v>
      </c>
      <c r="F2448" s="2" t="b">
        <v>0</v>
      </c>
      <c r="G2448" s="2" t="s">
        <v>9937</v>
      </c>
      <c r="H2448" s="3" t="str">
        <f>_xlfn.IFNA(INDEX(RulebookFields!C2:C999, MATCH(D2448,RulebookFields!A2:A999, 0)), "")</f>
        <v>Mentorships</v>
      </c>
      <c r="I2448" s="3" t="str">
        <f>_xlfn.IFNA(INDEX(RulebookFields!D2:D999, MATCH(D2448,RulebookFields!A2:A999, 0)), "")</f>
        <v>LearningObjective</v>
      </c>
      <c r="J2448" s="3" t="b">
        <f>_xlfn.IFNA(INDEX(RulebookFields!I2:I999, MATCH(D2448,RulebookFields!A2:A999, 0)), "")</f>
        <v>0</v>
      </c>
      <c r="K2448" s="3" t="b">
        <f>AND(F2448, J2448)</f>
        <v>0</v>
      </c>
      <c r="L2448" s="3" t="b">
        <f>AND(G2448 &lt;&gt; "plain", G2448 &lt;&gt; "")</f>
        <v>0</v>
      </c>
      <c r="M2448" s="3" t="str">
        <f>IF(E2448, C2448 &amp; "|" &amp; H2448, "")</f>
        <v>principal-knowledge-authority|Mentorships</v>
      </c>
      <c r="N2448" s="2" t="s">
        <v>9938</v>
      </c>
    </row>
    <row r="2449">
      <c r="A2449" s="2" t="s">
        <v>12385</v>
      </c>
      <c r="B2449" s="3" t="str">
        <f>C2449 &amp; " -&gt; " &amp; D2449</f>
        <v>principal-knowledge-authority -&gt; Mentorships.EvidenceOfCompletion</v>
      </c>
      <c r="C2449" s="2" t="s">
        <v>9708</v>
      </c>
      <c r="D2449" s="2" t="s">
        <v>2642</v>
      </c>
      <c r="E2449" s="2" t="b">
        <v>1</v>
      </c>
      <c r="F2449" s="2" t="b">
        <v>0</v>
      </c>
      <c r="G2449" s="2" t="s">
        <v>9937</v>
      </c>
      <c r="H2449" s="3" t="str">
        <f>_xlfn.IFNA(INDEX(RulebookFields!C2:C999, MATCH(D2449,RulebookFields!A2:A999, 0)), "")</f>
        <v>Mentorships</v>
      </c>
      <c r="I2449" s="3" t="str">
        <f>_xlfn.IFNA(INDEX(RulebookFields!D2:D999, MATCH(D2449,RulebookFields!A2:A999, 0)), "")</f>
        <v>EvidenceOfCompletion</v>
      </c>
      <c r="J2449" s="3" t="b">
        <f>_xlfn.IFNA(INDEX(RulebookFields!I2:I999, MATCH(D2449,RulebookFields!A2:A999, 0)), "")</f>
        <v>0</v>
      </c>
      <c r="K2449" s="3" t="b">
        <f>AND(F2449, J2449)</f>
        <v>0</v>
      </c>
      <c r="L2449" s="3" t="b">
        <f>AND(G2449 &lt;&gt; "plain", G2449 &lt;&gt; "")</f>
        <v>0</v>
      </c>
      <c r="M2449" s="3" t="str">
        <f>IF(E2449, C2449 &amp; "|" &amp; H2449, "")</f>
        <v>principal-knowledge-authority|Mentorships</v>
      </c>
      <c r="N2449" s="2" t="s">
        <v>9938</v>
      </c>
    </row>
    <row r="2450">
      <c r="A2450" s="2" t="s">
        <v>12386</v>
      </c>
      <c r="B2450" s="3" t="str">
        <f>C2450 &amp; " -&gt; " &amp; D2450</f>
        <v>principal-knowledge-authority -&gt; Mentorships.SemanticTypeIri</v>
      </c>
      <c r="C2450" s="2" t="s">
        <v>9708</v>
      </c>
      <c r="D2450" s="2" t="s">
        <v>2643</v>
      </c>
      <c r="E2450" s="2" t="b">
        <v>1</v>
      </c>
      <c r="F2450" s="2" t="b">
        <v>0</v>
      </c>
      <c r="G2450" s="2" t="s">
        <v>9937</v>
      </c>
      <c r="H2450" s="3" t="str">
        <f>_xlfn.IFNA(INDEX(RulebookFields!C2:C999, MATCH(D2450,RulebookFields!A2:A999, 0)), "")</f>
        <v>Mentorships</v>
      </c>
      <c r="I2450" s="3" t="str">
        <f>_xlfn.IFNA(INDEX(RulebookFields!D2:D999, MATCH(D2450,RulebookFields!A2:A999, 0)), "")</f>
        <v>SemanticTypeIri</v>
      </c>
      <c r="J2450" s="3" t="b">
        <f>_xlfn.IFNA(INDEX(RulebookFields!I2:I999, MATCH(D2450,RulebookFields!A2:A999, 0)), "")</f>
        <v>0</v>
      </c>
      <c r="K2450" s="3" t="b">
        <f>AND(F2450, J2450)</f>
        <v>0</v>
      </c>
      <c r="L2450" s="3" t="b">
        <f>AND(G2450 &lt;&gt; "plain", G2450 &lt;&gt; "")</f>
        <v>0</v>
      </c>
      <c r="M2450" s="3" t="str">
        <f>IF(E2450, C2450 &amp; "|" &amp; H2450, "")</f>
        <v>principal-knowledge-authority|Mentorships</v>
      </c>
      <c r="N2450" s="2" t="s">
        <v>9938</v>
      </c>
    </row>
    <row r="2451">
      <c r="A2451" s="2" t="s">
        <v>12387</v>
      </c>
      <c r="B2451" s="3" t="str">
        <f>C2451 &amp; " -&gt; " &amp; D2451</f>
        <v>principal-knowledge-authority -&gt; MessageDeliveries.MessageDeliveryId</v>
      </c>
      <c r="C2451" s="2" t="s">
        <v>9708</v>
      </c>
      <c r="D2451" s="2" t="s">
        <v>4377</v>
      </c>
      <c r="E2451" s="2" t="b">
        <v>1</v>
      </c>
      <c r="F2451" s="2" t="b">
        <v>0</v>
      </c>
      <c r="G2451" s="2" t="s">
        <v>9937</v>
      </c>
      <c r="H2451" s="3" t="str">
        <f>_xlfn.IFNA(INDEX(RulebookFields!C2:C999, MATCH(D2451,RulebookFields!A2:A999, 0)), "")</f>
      </c>
      <c r="I2451" s="3" t="str">
        <f>_xlfn.IFNA(INDEX(RulebookFields!D2:D999, MATCH(D2451,RulebookFields!A2:A999, 0)), "")</f>
      </c>
      <c r="J2451" s="3" t="str">
        <f>_xlfn.IFNA(INDEX(RulebookFields!I2:I999, MATCH(D2451,RulebookFields!A2:A999, 0)), "")</f>
      </c>
      <c r="K2451" s="3" t="b">
        <f>AND(F2451, J2451)</f>
        <v>0</v>
      </c>
      <c r="L2451" s="3" t="b">
        <f>AND(G2451 &lt;&gt; "plain", G2451 &lt;&gt; "")</f>
        <v>0</v>
      </c>
      <c r="M2451" s="3" t="str">
        <f>IF(E2451, C2451 &amp; "|" &amp; H2451, "")</f>
        <v>principal-knowledge-authority|</v>
      </c>
      <c r="N2451" s="2" t="s">
        <v>9938</v>
      </c>
    </row>
    <row r="2452">
      <c r="A2452" s="2" t="s">
        <v>12388</v>
      </c>
      <c r="B2452" s="3" t="str">
        <f>C2452 &amp; " -&gt; " &amp; D2452</f>
        <v>principal-knowledge-authority -&gt; MessageDeliveries.Name</v>
      </c>
      <c r="C2452" s="2" t="s">
        <v>9708</v>
      </c>
      <c r="D2452" s="2" t="s">
        <v>4380</v>
      </c>
      <c r="E2452" s="2" t="b">
        <v>1</v>
      </c>
      <c r="F2452" s="2" t="b">
        <v>0</v>
      </c>
      <c r="G2452" s="2" t="s">
        <v>9937</v>
      </c>
      <c r="H2452" s="3" t="str">
        <f>_xlfn.IFNA(INDEX(RulebookFields!C2:C999, MATCH(D2452,RulebookFields!A2:A999, 0)), "")</f>
      </c>
      <c r="I2452" s="3" t="str">
        <f>_xlfn.IFNA(INDEX(RulebookFields!D2:D999, MATCH(D2452,RulebookFields!A2:A999, 0)), "")</f>
      </c>
      <c r="J2452" s="3" t="str">
        <f>_xlfn.IFNA(INDEX(RulebookFields!I2:I999, MATCH(D2452,RulebookFields!A2:A999, 0)), "")</f>
      </c>
      <c r="K2452" s="3" t="b">
        <f>AND(F2452, J2452)</f>
        <v>0</v>
      </c>
      <c r="L2452" s="3" t="b">
        <f>AND(G2452 &lt;&gt; "plain", G2452 &lt;&gt; "")</f>
        <v>0</v>
      </c>
      <c r="M2452" s="3" t="str">
        <f>IF(E2452, C2452 &amp; "|" &amp; H2452, "")</f>
        <v>principal-knowledge-authority|</v>
      </c>
      <c r="N2452" s="2" t="s">
        <v>9938</v>
      </c>
    </row>
    <row r="2453">
      <c r="A2453" s="2" t="s">
        <v>12389</v>
      </c>
      <c r="B2453" s="3" t="str">
        <f>C2453 &amp; " -&gt; " &amp; D2453</f>
        <v>principal-knowledge-authority -&gt; MessageDeliveries.ProcedureExecution</v>
      </c>
      <c r="C2453" s="2" t="s">
        <v>9708</v>
      </c>
      <c r="D2453" s="2" t="s">
        <v>4382</v>
      </c>
      <c r="E2453" s="2" t="b">
        <v>1</v>
      </c>
      <c r="F2453" s="2" t="b">
        <v>0</v>
      </c>
      <c r="G2453" s="2" t="s">
        <v>9937</v>
      </c>
      <c r="H2453" s="3" t="str">
        <f>_xlfn.IFNA(INDEX(RulebookFields!C2:C999, MATCH(D2453,RulebookFields!A2:A999, 0)), "")</f>
      </c>
      <c r="I2453" s="3" t="str">
        <f>_xlfn.IFNA(INDEX(RulebookFields!D2:D999, MATCH(D2453,RulebookFields!A2:A999, 0)), "")</f>
      </c>
      <c r="J2453" s="3" t="str">
        <f>_xlfn.IFNA(INDEX(RulebookFields!I2:I999, MATCH(D2453,RulebookFields!A2:A999, 0)), "")</f>
      </c>
      <c r="K2453" s="3" t="b">
        <f>AND(F2453, J2453)</f>
        <v>0</v>
      </c>
      <c r="L2453" s="3" t="b">
        <f>AND(G2453 &lt;&gt; "plain", G2453 &lt;&gt; "")</f>
        <v>0</v>
      </c>
      <c r="M2453" s="3" t="str">
        <f>IF(E2453, C2453 &amp; "|" &amp; H2453, "")</f>
        <v>principal-knowledge-authority|</v>
      </c>
      <c r="N2453" s="2" t="s">
        <v>9938</v>
      </c>
    </row>
    <row r="2454">
      <c r="A2454" s="2" t="s">
        <v>12390</v>
      </c>
      <c r="B2454" s="3" t="str">
        <f>C2454 &amp; " -&gt; " &amp; D2454</f>
        <v>principal-knowledge-authority -&gt; MessageDeliveries.StepExecution</v>
      </c>
      <c r="C2454" s="2" t="s">
        <v>9708</v>
      </c>
      <c r="D2454" s="2" t="s">
        <v>4383</v>
      </c>
      <c r="E2454" s="2" t="b">
        <v>1</v>
      </c>
      <c r="F2454" s="2" t="b">
        <v>0</v>
      </c>
      <c r="G2454" s="2" t="s">
        <v>9937</v>
      </c>
      <c r="H2454" s="3" t="str">
        <f>_xlfn.IFNA(INDEX(RulebookFields!C2:C999, MATCH(D2454,RulebookFields!A2:A999, 0)), "")</f>
      </c>
      <c r="I2454" s="3" t="str">
        <f>_xlfn.IFNA(INDEX(RulebookFields!D2:D999, MATCH(D2454,RulebookFields!A2:A999, 0)), "")</f>
      </c>
      <c r="J2454" s="3" t="str">
        <f>_xlfn.IFNA(INDEX(RulebookFields!I2:I999, MATCH(D2454,RulebookFields!A2:A999, 0)), "")</f>
      </c>
      <c r="K2454" s="3" t="b">
        <f>AND(F2454, J2454)</f>
        <v>0</v>
      </c>
      <c r="L2454" s="3" t="b">
        <f>AND(G2454 &lt;&gt; "plain", G2454 &lt;&gt; "")</f>
        <v>0</v>
      </c>
      <c r="M2454" s="3" t="str">
        <f>IF(E2454, C2454 &amp; "|" &amp; H2454, "")</f>
        <v>principal-knowledge-authority|</v>
      </c>
      <c r="N2454" s="2" t="s">
        <v>9938</v>
      </c>
    </row>
    <row r="2455">
      <c r="A2455" s="2" t="s">
        <v>12391</v>
      </c>
      <c r="B2455" s="3" t="str">
        <f>C2455 &amp; " -&gt; " &amp; D2455</f>
        <v>principal-knowledge-authority -&gt; MessageDeliveries.Recipient</v>
      </c>
      <c r="C2455" s="2" t="s">
        <v>9708</v>
      </c>
      <c r="D2455" s="2" t="s">
        <v>4384</v>
      </c>
      <c r="E2455" s="2" t="b">
        <v>1</v>
      </c>
      <c r="F2455" s="2" t="b">
        <v>0</v>
      </c>
      <c r="G2455" s="2" t="s">
        <v>9937</v>
      </c>
      <c r="H2455" s="3" t="str">
        <f>_xlfn.IFNA(INDEX(RulebookFields!C2:C999, MATCH(D2455,RulebookFields!A2:A999, 0)), "")</f>
      </c>
      <c r="I2455" s="3" t="str">
        <f>_xlfn.IFNA(INDEX(RulebookFields!D2:D999, MATCH(D2455,RulebookFields!A2:A999, 0)), "")</f>
      </c>
      <c r="J2455" s="3" t="str">
        <f>_xlfn.IFNA(INDEX(RulebookFields!I2:I999, MATCH(D2455,RulebookFields!A2:A999, 0)), "")</f>
      </c>
      <c r="K2455" s="3" t="b">
        <f>AND(F2455, J2455)</f>
        <v>0</v>
      </c>
      <c r="L2455" s="3" t="b">
        <f>AND(G2455 &lt;&gt; "plain", G2455 &lt;&gt; "")</f>
        <v>0</v>
      </c>
      <c r="M2455" s="3" t="str">
        <f>IF(E2455, C2455 &amp; "|" &amp; H2455, "")</f>
        <v>principal-knowledge-authority|</v>
      </c>
      <c r="N2455" s="2" t="s">
        <v>9938</v>
      </c>
    </row>
    <row r="2456">
      <c r="A2456" s="2" t="s">
        <v>12392</v>
      </c>
      <c r="B2456" s="3" t="str">
        <f>C2456 &amp; " -&gt; " &amp; D2456</f>
        <v>principal-knowledge-authority -&gt; MessageDeliveries.MessageTemplate</v>
      </c>
      <c r="C2456" s="2" t="s">
        <v>9708</v>
      </c>
      <c r="D2456" s="2" t="s">
        <v>4386</v>
      </c>
      <c r="E2456" s="2" t="b">
        <v>1</v>
      </c>
      <c r="F2456" s="2" t="b">
        <v>0</v>
      </c>
      <c r="G2456" s="2" t="s">
        <v>9937</v>
      </c>
      <c r="H2456" s="3" t="str">
        <f>_xlfn.IFNA(INDEX(RulebookFields!C2:C999, MATCH(D2456,RulebookFields!A2:A999, 0)), "")</f>
      </c>
      <c r="I2456" s="3" t="str">
        <f>_xlfn.IFNA(INDEX(RulebookFields!D2:D999, MATCH(D2456,RulebookFields!A2:A999, 0)), "")</f>
      </c>
      <c r="J2456" s="3" t="str">
        <f>_xlfn.IFNA(INDEX(RulebookFields!I2:I999, MATCH(D2456,RulebookFields!A2:A999, 0)), "")</f>
      </c>
      <c r="K2456" s="3" t="b">
        <f>AND(F2456, J2456)</f>
        <v>0</v>
      </c>
      <c r="L2456" s="3" t="b">
        <f>AND(G2456 &lt;&gt; "plain", G2456 &lt;&gt; "")</f>
        <v>0</v>
      </c>
      <c r="M2456" s="3" t="str">
        <f>IF(E2456, C2456 &amp; "|" &amp; H2456, "")</f>
        <v>principal-knowledge-authority|</v>
      </c>
      <c r="N2456" s="2" t="s">
        <v>9938</v>
      </c>
    </row>
    <row r="2457">
      <c r="A2457" s="2" t="s">
        <v>12393</v>
      </c>
      <c r="B2457" s="3" t="str">
        <f>C2457 &amp; " -&gt; " &amp; D2457</f>
        <v>principal-knowledge-authority -&gt; MessageDeliveries.SentByAgent</v>
      </c>
      <c r="C2457" s="2" t="s">
        <v>9708</v>
      </c>
      <c r="D2457" s="2" t="s">
        <v>4388</v>
      </c>
      <c r="E2457" s="2" t="b">
        <v>1</v>
      </c>
      <c r="F2457" s="2" t="b">
        <v>0</v>
      </c>
      <c r="G2457" s="2" t="s">
        <v>9937</v>
      </c>
      <c r="H2457" s="3" t="str">
        <f>_xlfn.IFNA(INDEX(RulebookFields!C2:C999, MATCH(D2457,RulebookFields!A2:A999, 0)), "")</f>
      </c>
      <c r="I2457" s="3" t="str">
        <f>_xlfn.IFNA(INDEX(RulebookFields!D2:D999, MATCH(D2457,RulebookFields!A2:A999, 0)), "")</f>
      </c>
      <c r="J2457" s="3" t="str">
        <f>_xlfn.IFNA(INDEX(RulebookFields!I2:I999, MATCH(D2457,RulebookFields!A2:A999, 0)), "")</f>
      </c>
      <c r="K2457" s="3" t="b">
        <f>AND(F2457, J2457)</f>
        <v>0</v>
      </c>
      <c r="L2457" s="3" t="b">
        <f>AND(G2457 &lt;&gt; "plain", G2457 &lt;&gt; "")</f>
        <v>0</v>
      </c>
      <c r="M2457" s="3" t="str">
        <f>IF(E2457, C2457 &amp; "|" &amp; H2457, "")</f>
        <v>principal-knowledge-authority|</v>
      </c>
      <c r="N2457" s="2" t="s">
        <v>9938</v>
      </c>
    </row>
    <row r="2458">
      <c r="A2458" s="2" t="s">
        <v>12394</v>
      </c>
      <c r="B2458" s="3" t="str">
        <f>C2458 &amp; " -&gt; " &amp; D2458</f>
        <v>principal-knowledge-authority -&gt; MessageDeliveries.RenderedBody</v>
      </c>
      <c r="C2458" s="2" t="s">
        <v>9708</v>
      </c>
      <c r="D2458" s="2" t="s">
        <v>4390</v>
      </c>
      <c r="E2458" s="2" t="b">
        <v>1</v>
      </c>
      <c r="F2458" s="2" t="b">
        <v>0</v>
      </c>
      <c r="G2458" s="2" t="s">
        <v>9937</v>
      </c>
      <c r="H2458" s="3" t="str">
        <f>_xlfn.IFNA(INDEX(RulebookFields!C2:C999, MATCH(D2458,RulebookFields!A2:A999, 0)), "")</f>
      </c>
      <c r="I2458" s="3" t="str">
        <f>_xlfn.IFNA(INDEX(RulebookFields!D2:D999, MATCH(D2458,RulebookFields!A2:A999, 0)), "")</f>
      </c>
      <c r="J2458" s="3" t="str">
        <f>_xlfn.IFNA(INDEX(RulebookFields!I2:I999, MATCH(D2458,RulebookFields!A2:A999, 0)), "")</f>
      </c>
      <c r="K2458" s="3" t="b">
        <f>AND(F2458, J2458)</f>
        <v>0</v>
      </c>
      <c r="L2458" s="3" t="b">
        <f>AND(G2458 &lt;&gt; "plain", G2458 &lt;&gt; "")</f>
        <v>0</v>
      </c>
      <c r="M2458" s="3" t="str">
        <f>IF(E2458, C2458 &amp; "|" &amp; H2458, "")</f>
        <v>principal-knowledge-authority|</v>
      </c>
      <c r="N2458" s="2" t="s">
        <v>9938</v>
      </c>
    </row>
    <row r="2459">
      <c r="A2459" s="2" t="s">
        <v>12395</v>
      </c>
      <c r="B2459" s="3" t="str">
        <f>C2459 &amp; " -&gt; " &amp; D2459</f>
        <v>principal-knowledge-authority -&gt; MessageDeliveries.SentAt</v>
      </c>
      <c r="C2459" s="2" t="s">
        <v>9708</v>
      </c>
      <c r="D2459" s="2" t="s">
        <v>4392</v>
      </c>
      <c r="E2459" s="2" t="b">
        <v>1</v>
      </c>
      <c r="F2459" s="2" t="b">
        <v>0</v>
      </c>
      <c r="G2459" s="2" t="s">
        <v>9937</v>
      </c>
      <c r="H2459" s="3" t="str">
        <f>_xlfn.IFNA(INDEX(RulebookFields!C2:C999, MATCH(D2459,RulebookFields!A2:A999, 0)), "")</f>
      </c>
      <c r="I2459" s="3" t="str">
        <f>_xlfn.IFNA(INDEX(RulebookFields!D2:D999, MATCH(D2459,RulebookFields!A2:A999, 0)), "")</f>
      </c>
      <c r="J2459" s="3" t="str">
        <f>_xlfn.IFNA(INDEX(RulebookFields!I2:I999, MATCH(D2459,RulebookFields!A2:A999, 0)), "")</f>
      </c>
      <c r="K2459" s="3" t="b">
        <f>AND(F2459, J2459)</f>
        <v>0</v>
      </c>
      <c r="L2459" s="3" t="b">
        <f>AND(G2459 &lt;&gt; "plain", G2459 &lt;&gt; "")</f>
        <v>0</v>
      </c>
      <c r="M2459" s="3" t="str">
        <f>IF(E2459, C2459 &amp; "|" &amp; H2459, "")</f>
        <v>principal-knowledge-authority|</v>
      </c>
      <c r="N2459" s="2" t="s">
        <v>9938</v>
      </c>
    </row>
    <row r="2460">
      <c r="A2460" s="2" t="s">
        <v>12396</v>
      </c>
      <c r="B2460" s="3" t="str">
        <f>C2460 &amp; " -&gt; " &amp; D2460</f>
        <v>principal-knowledge-authority -&gt; MessageDeliveries.SentAtLocalHour</v>
      </c>
      <c r="C2460" s="2" t="s">
        <v>9708</v>
      </c>
      <c r="D2460" s="2" t="s">
        <v>4394</v>
      </c>
      <c r="E2460" s="2" t="b">
        <v>1</v>
      </c>
      <c r="F2460" s="2" t="b">
        <v>0</v>
      </c>
      <c r="G2460" s="2" t="s">
        <v>9937</v>
      </c>
      <c r="H2460" s="3" t="str">
        <f>_xlfn.IFNA(INDEX(RulebookFields!C2:C999, MATCH(D2460,RulebookFields!A2:A999, 0)), "")</f>
      </c>
      <c r="I2460" s="3" t="str">
        <f>_xlfn.IFNA(INDEX(RulebookFields!D2:D999, MATCH(D2460,RulebookFields!A2:A999, 0)), "")</f>
      </c>
      <c r="J2460" s="3" t="str">
        <f>_xlfn.IFNA(INDEX(RulebookFields!I2:I999, MATCH(D2460,RulebookFields!A2:A999, 0)), "")</f>
      </c>
      <c r="K2460" s="3" t="b">
        <f>AND(F2460, J2460)</f>
        <v>0</v>
      </c>
      <c r="L2460" s="3" t="b">
        <f>AND(G2460 &lt;&gt; "plain", G2460 &lt;&gt; "")</f>
        <v>0</v>
      </c>
      <c r="M2460" s="3" t="str">
        <f>IF(E2460, C2460 &amp; "|" &amp; H2460, "")</f>
        <v>principal-knowledge-authority|</v>
      </c>
      <c r="N2460" s="2" t="s">
        <v>9938</v>
      </c>
    </row>
    <row r="2461">
      <c r="A2461" s="2" t="s">
        <v>12397</v>
      </c>
      <c r="B2461" s="3" t="str">
        <f>C2461 &amp; " -&gt; " &amp; D2461</f>
        <v>principal-knowledge-authority -&gt; MessageDeliveries.DeliveryStatus</v>
      </c>
      <c r="C2461" s="2" t="s">
        <v>9708</v>
      </c>
      <c r="D2461" s="2" t="s">
        <v>4396</v>
      </c>
      <c r="E2461" s="2" t="b">
        <v>1</v>
      </c>
      <c r="F2461" s="2" t="b">
        <v>0</v>
      </c>
      <c r="G2461" s="2" t="s">
        <v>9937</v>
      </c>
      <c r="H2461" s="3" t="str">
        <f>_xlfn.IFNA(INDEX(RulebookFields!C2:C999, MATCH(D2461,RulebookFields!A2:A999, 0)), "")</f>
      </c>
      <c r="I2461" s="3" t="str">
        <f>_xlfn.IFNA(INDEX(RulebookFields!D2:D999, MATCH(D2461,RulebookFields!A2:A999, 0)), "")</f>
      </c>
      <c r="J2461" s="3" t="str">
        <f>_xlfn.IFNA(INDEX(RulebookFields!I2:I999, MATCH(D2461,RulebookFields!A2:A999, 0)), "")</f>
      </c>
      <c r="K2461" s="3" t="b">
        <f>AND(F2461, J2461)</f>
        <v>0</v>
      </c>
      <c r="L2461" s="3" t="b">
        <f>AND(G2461 &lt;&gt; "plain", G2461 &lt;&gt; "")</f>
        <v>0</v>
      </c>
      <c r="M2461" s="3" t="str">
        <f>IF(E2461, C2461 &amp; "|" &amp; H2461, "")</f>
        <v>principal-knowledge-authority|</v>
      </c>
      <c r="N2461" s="2" t="s">
        <v>9938</v>
      </c>
    </row>
    <row r="2462">
      <c r="A2462" s="2" t="s">
        <v>12398</v>
      </c>
      <c r="B2462" s="3" t="str">
        <f>C2462 &amp; " -&gt; " &amp; D2462</f>
        <v>principal-knowledge-authority -&gt; MessageDeliveries.SuppressionReason</v>
      </c>
      <c r="C2462" s="2" t="s">
        <v>9708</v>
      </c>
      <c r="D2462" s="2" t="s">
        <v>4398</v>
      </c>
      <c r="E2462" s="2" t="b">
        <v>1</v>
      </c>
      <c r="F2462" s="2" t="b">
        <v>0</v>
      </c>
      <c r="G2462" s="2" t="s">
        <v>9937</v>
      </c>
      <c r="H2462" s="3" t="str">
        <f>_xlfn.IFNA(INDEX(RulebookFields!C2:C999, MATCH(D2462,RulebookFields!A2:A999, 0)), "")</f>
      </c>
      <c r="I2462" s="3" t="str">
        <f>_xlfn.IFNA(INDEX(RulebookFields!D2:D999, MATCH(D2462,RulebookFields!A2:A999, 0)), "")</f>
      </c>
      <c r="J2462" s="3" t="str">
        <f>_xlfn.IFNA(INDEX(RulebookFields!I2:I999, MATCH(D2462,RulebookFields!A2:A999, 0)), "")</f>
      </c>
      <c r="K2462" s="3" t="b">
        <f>AND(F2462, J2462)</f>
        <v>0</v>
      </c>
      <c r="L2462" s="3" t="b">
        <f>AND(G2462 &lt;&gt; "plain", G2462 &lt;&gt; "")</f>
        <v>0</v>
      </c>
      <c r="M2462" s="3" t="str">
        <f>IF(E2462, C2462 &amp; "|" &amp; H2462, "")</f>
        <v>principal-knowledge-authority|</v>
      </c>
      <c r="N2462" s="2" t="s">
        <v>9938</v>
      </c>
    </row>
    <row r="2463">
      <c r="A2463" s="2" t="s">
        <v>12399</v>
      </c>
      <c r="B2463" s="3" t="str">
        <f>C2463 &amp; " -&gt; " &amp; D2463</f>
        <v>principal-knowledge-authority -&gt; MessageDeliveries.InvokedException</v>
      </c>
      <c r="C2463" s="2" t="s">
        <v>9708</v>
      </c>
      <c r="D2463" s="2" t="s">
        <v>4400</v>
      </c>
      <c r="E2463" s="2" t="b">
        <v>1</v>
      </c>
      <c r="F2463" s="2" t="b">
        <v>0</v>
      </c>
      <c r="G2463" s="2" t="s">
        <v>9937</v>
      </c>
      <c r="H2463" s="3" t="str">
        <f>_xlfn.IFNA(INDEX(RulebookFields!C2:C999, MATCH(D2463,RulebookFields!A2:A999, 0)), "")</f>
      </c>
      <c r="I2463" s="3" t="str">
        <f>_xlfn.IFNA(INDEX(RulebookFields!D2:D999, MATCH(D2463,RulebookFields!A2:A999, 0)), "")</f>
      </c>
      <c r="J2463" s="3" t="str">
        <f>_xlfn.IFNA(INDEX(RulebookFields!I2:I999, MATCH(D2463,RulebookFields!A2:A999, 0)), "")</f>
      </c>
      <c r="K2463" s="3" t="b">
        <f>AND(F2463, J2463)</f>
        <v>0</v>
      </c>
      <c r="L2463" s="3" t="b">
        <f>AND(G2463 &lt;&gt; "plain", G2463 &lt;&gt; "")</f>
        <v>0</v>
      </c>
      <c r="M2463" s="3" t="str">
        <f>IF(E2463, C2463 &amp; "|" &amp; H2463, "")</f>
        <v>principal-knowledge-authority|</v>
      </c>
      <c r="N2463" s="2" t="s">
        <v>9938</v>
      </c>
    </row>
    <row r="2464">
      <c r="A2464" s="2" t="s">
        <v>12400</v>
      </c>
      <c r="B2464" s="3" t="str">
        <f>C2464 &amp; " -&gt; " &amp; D2464</f>
        <v>principal-knowledge-authority -&gt; MessageDeliveries.AcknowledgedAt</v>
      </c>
      <c r="C2464" s="2" t="s">
        <v>9708</v>
      </c>
      <c r="D2464" s="2" t="s">
        <v>4402</v>
      </c>
      <c r="E2464" s="2" t="b">
        <v>1</v>
      </c>
      <c r="F2464" s="2" t="b">
        <v>0</v>
      </c>
      <c r="G2464" s="2" t="s">
        <v>9937</v>
      </c>
      <c r="H2464" s="3" t="str">
        <f>_xlfn.IFNA(INDEX(RulebookFields!C2:C999, MATCH(D2464,RulebookFields!A2:A999, 0)), "")</f>
      </c>
      <c r="I2464" s="3" t="str">
        <f>_xlfn.IFNA(INDEX(RulebookFields!D2:D999, MATCH(D2464,RulebookFields!A2:A999, 0)), "")</f>
      </c>
      <c r="J2464" s="3" t="str">
        <f>_xlfn.IFNA(INDEX(RulebookFields!I2:I999, MATCH(D2464,RulebookFields!A2:A999, 0)), "")</f>
      </c>
      <c r="K2464" s="3" t="b">
        <f>AND(F2464, J2464)</f>
        <v>0</v>
      </c>
      <c r="L2464" s="3" t="b">
        <f>AND(G2464 &lt;&gt; "plain", G2464 &lt;&gt; "")</f>
        <v>0</v>
      </c>
      <c r="M2464" s="3" t="str">
        <f>IF(E2464, C2464 &amp; "|" &amp; H2464, "")</f>
        <v>principal-knowledge-authority|</v>
      </c>
      <c r="N2464" s="2" t="s">
        <v>9938</v>
      </c>
    </row>
    <row r="2465">
      <c r="A2465" s="2" t="s">
        <v>12401</v>
      </c>
      <c r="B2465" s="3" t="str">
        <f>C2465 &amp; " -&gt; " &amp; D2465</f>
        <v>principal-knowledge-authority -&gt; MessageDeliveries.PolicyChannel</v>
      </c>
      <c r="C2465" s="2" t="s">
        <v>9708</v>
      </c>
      <c r="D2465" s="2" t="s">
        <v>4404</v>
      </c>
      <c r="E2465" s="2" t="b">
        <v>1</v>
      </c>
      <c r="F2465" s="2" t="b">
        <v>0</v>
      </c>
      <c r="G2465" s="2" t="s">
        <v>9937</v>
      </c>
      <c r="H2465" s="3" t="str">
        <f>_xlfn.IFNA(INDEX(RulebookFields!C2:C999, MATCH(D2465,RulebookFields!A2:A999, 0)), "")</f>
      </c>
      <c r="I2465" s="3" t="str">
        <f>_xlfn.IFNA(INDEX(RulebookFields!D2:D999, MATCH(D2465,RulebookFields!A2:A999, 0)), "")</f>
      </c>
      <c r="J2465" s="3" t="str">
        <f>_xlfn.IFNA(INDEX(RulebookFields!I2:I999, MATCH(D2465,RulebookFields!A2:A999, 0)), "")</f>
      </c>
      <c r="K2465" s="3" t="b">
        <f>AND(F2465, J2465)</f>
        <v>0</v>
      </c>
      <c r="L2465" s="3" t="b">
        <f>AND(G2465 &lt;&gt; "plain", G2465 &lt;&gt; "")</f>
        <v>0</v>
      </c>
      <c r="M2465" s="3" t="str">
        <f>IF(E2465, C2465 &amp; "|" &amp; H2465, "")</f>
        <v>principal-knowledge-authority|</v>
      </c>
      <c r="N2465" s="2" t="s">
        <v>9938</v>
      </c>
    </row>
    <row r="2466">
      <c r="A2466" s="2" t="s">
        <v>12402</v>
      </c>
      <c r="B2466" s="3" t="str">
        <f>C2466 &amp; " -&gt; " &amp; D2466</f>
        <v>principal-knowledge-authority -&gt; MessageDeliveries.ChannelName</v>
      </c>
      <c r="C2466" s="2" t="s">
        <v>9708</v>
      </c>
      <c r="D2466" s="2" t="s">
        <v>4407</v>
      </c>
      <c r="E2466" s="2" t="b">
        <v>1</v>
      </c>
      <c r="F2466" s="2" t="b">
        <v>0</v>
      </c>
      <c r="G2466" s="2" t="s">
        <v>9937</v>
      </c>
      <c r="H2466" s="3" t="str">
        <f>_xlfn.IFNA(INDEX(RulebookFields!C2:C999, MATCH(D2466,RulebookFields!A2:A999, 0)), "")</f>
      </c>
      <c r="I2466" s="3" t="str">
        <f>_xlfn.IFNA(INDEX(RulebookFields!D2:D999, MATCH(D2466,RulebookFields!A2:A999, 0)), "")</f>
      </c>
      <c r="J2466" s="3" t="str">
        <f>_xlfn.IFNA(INDEX(RulebookFields!I2:I999, MATCH(D2466,RulebookFields!A2:A999, 0)), "")</f>
      </c>
      <c r="K2466" s="3" t="b">
        <f>AND(F2466, J2466)</f>
        <v>0</v>
      </c>
      <c r="L2466" s="3" t="b">
        <f>AND(G2466 &lt;&gt; "plain", G2466 &lt;&gt; "")</f>
        <v>0</v>
      </c>
      <c r="M2466" s="3" t="str">
        <f>IF(E2466, C2466 &amp; "|" &amp; H2466, "")</f>
        <v>principal-knowledge-authority|</v>
      </c>
      <c r="N2466" s="2" t="s">
        <v>9938</v>
      </c>
    </row>
    <row r="2467">
      <c r="A2467" s="2" t="s">
        <v>12403</v>
      </c>
      <c r="B2467" s="3" t="str">
        <f>C2467 &amp; " -&gt; " &amp; D2467</f>
        <v>principal-knowledge-authority -&gt; MessageDeliveries.PolicyRequiresConsent</v>
      </c>
      <c r="C2467" s="2" t="s">
        <v>9708</v>
      </c>
      <c r="D2467" s="2" t="s">
        <v>4410</v>
      </c>
      <c r="E2467" s="2" t="b">
        <v>1</v>
      </c>
      <c r="F2467" s="2" t="b">
        <v>0</v>
      </c>
      <c r="G2467" s="2" t="s">
        <v>9937</v>
      </c>
      <c r="H2467" s="3" t="str">
        <f>_xlfn.IFNA(INDEX(RulebookFields!C2:C999, MATCH(D2467,RulebookFields!A2:A999, 0)), "")</f>
      </c>
      <c r="I2467" s="3" t="str">
        <f>_xlfn.IFNA(INDEX(RulebookFields!D2:D999, MATCH(D2467,RulebookFields!A2:A999, 0)), "")</f>
      </c>
      <c r="J2467" s="3" t="str">
        <f>_xlfn.IFNA(INDEX(RulebookFields!I2:I999, MATCH(D2467,RulebookFields!A2:A999, 0)), "")</f>
      </c>
      <c r="K2467" s="3" t="b">
        <f>AND(F2467, J2467)</f>
        <v>0</v>
      </c>
      <c r="L2467" s="3" t="b">
        <f>AND(G2467 &lt;&gt; "plain", G2467 &lt;&gt; "")</f>
        <v>0</v>
      </c>
      <c r="M2467" s="3" t="str">
        <f>IF(E2467, C2467 &amp; "|" &amp; H2467, "")</f>
        <v>principal-knowledge-authority|</v>
      </c>
      <c r="N2467" s="2" t="s">
        <v>9938</v>
      </c>
    </row>
    <row r="2468">
      <c r="A2468" s="2" t="s">
        <v>12404</v>
      </c>
      <c r="B2468" s="3" t="str">
        <f>C2468 &amp; " -&gt; " &amp; D2468</f>
        <v>principal-knowledge-authority -&gt; MessageDeliveries.RecipientHasSmsConsent</v>
      </c>
      <c r="C2468" s="2" t="s">
        <v>9708</v>
      </c>
      <c r="D2468" s="2" t="s">
        <v>4413</v>
      </c>
      <c r="E2468" s="2" t="b">
        <v>1</v>
      </c>
      <c r="F2468" s="2" t="b">
        <v>0</v>
      </c>
      <c r="G2468" s="2" t="s">
        <v>9937</v>
      </c>
      <c r="H2468" s="3" t="str">
        <f>_xlfn.IFNA(INDEX(RulebookFields!C2:C999, MATCH(D2468,RulebookFields!A2:A999, 0)), "")</f>
      </c>
      <c r="I2468" s="3" t="str">
        <f>_xlfn.IFNA(INDEX(RulebookFields!D2:D999, MATCH(D2468,RulebookFields!A2:A999, 0)), "")</f>
      </c>
      <c r="J2468" s="3" t="str">
        <f>_xlfn.IFNA(INDEX(RulebookFields!I2:I999, MATCH(D2468,RulebookFields!A2:A999, 0)), "")</f>
      </c>
      <c r="K2468" s="3" t="b">
        <f>AND(F2468, J2468)</f>
        <v>0</v>
      </c>
      <c r="L2468" s="3" t="b">
        <f>AND(G2468 &lt;&gt; "plain", G2468 &lt;&gt; "")</f>
        <v>0</v>
      </c>
      <c r="M2468" s="3" t="str">
        <f>IF(E2468, C2468 &amp; "|" &amp; H2468, "")</f>
        <v>principal-knowledge-authority|</v>
      </c>
      <c r="N2468" s="2" t="s">
        <v>9938</v>
      </c>
    </row>
    <row r="2469">
      <c r="A2469" s="2" t="s">
        <v>12405</v>
      </c>
      <c r="B2469" s="3" t="str">
        <f>C2469 &amp; " -&gt; " &amp; D2469</f>
        <v>principal-knowledge-authority -&gt; MessageDeliveries.WasActuallyTransmitted</v>
      </c>
      <c r="C2469" s="2" t="s">
        <v>9708</v>
      </c>
      <c r="D2469" s="2" t="s">
        <v>4416</v>
      </c>
      <c r="E2469" s="2" t="b">
        <v>1</v>
      </c>
      <c r="F2469" s="2" t="b">
        <v>0</v>
      </c>
      <c r="G2469" s="2" t="s">
        <v>9937</v>
      </c>
      <c r="H2469" s="3" t="str">
        <f>_xlfn.IFNA(INDEX(RulebookFields!C2:C999, MATCH(D2469,RulebookFields!A2:A999, 0)), "")</f>
      </c>
      <c r="I2469" s="3" t="str">
        <f>_xlfn.IFNA(INDEX(RulebookFields!D2:D999, MATCH(D2469,RulebookFields!A2:A999, 0)), "")</f>
      </c>
      <c r="J2469" s="3" t="str">
        <f>_xlfn.IFNA(INDEX(RulebookFields!I2:I999, MATCH(D2469,RulebookFields!A2:A999, 0)), "")</f>
      </c>
      <c r="K2469" s="3" t="b">
        <f>AND(F2469, J2469)</f>
        <v>0</v>
      </c>
      <c r="L2469" s="3" t="b">
        <f>AND(G2469 &lt;&gt; "plain", G2469 &lt;&gt; "")</f>
        <v>0</v>
      </c>
      <c r="M2469" s="3" t="str">
        <f>IF(E2469, C2469 &amp; "|" &amp; H2469, "")</f>
        <v>principal-knowledge-authority|</v>
      </c>
      <c r="N2469" s="2" t="s">
        <v>9938</v>
      </c>
    </row>
    <row r="2470">
      <c r="A2470" s="2" t="s">
        <v>12406</v>
      </c>
      <c r="B2470" s="3" t="str">
        <f>C2470 &amp; " -&gt; " &amp; D2470</f>
        <v>principal-knowledge-authority -&gt; MessageDeliveries.IsConsentViolation</v>
      </c>
      <c r="C2470" s="2" t="s">
        <v>9708</v>
      </c>
      <c r="D2470" s="2" t="s">
        <v>4419</v>
      </c>
      <c r="E2470" s="2" t="b">
        <v>1</v>
      </c>
      <c r="F2470" s="2" t="b">
        <v>0</v>
      </c>
      <c r="G2470" s="2" t="s">
        <v>9937</v>
      </c>
      <c r="H2470" s="3" t="str">
        <f>_xlfn.IFNA(INDEX(RulebookFields!C2:C999, MATCH(D2470,RulebookFields!A2:A999, 0)), "")</f>
      </c>
      <c r="I2470" s="3" t="str">
        <f>_xlfn.IFNA(INDEX(RulebookFields!D2:D999, MATCH(D2470,RulebookFields!A2:A999, 0)), "")</f>
      </c>
      <c r="J2470" s="3" t="str">
        <f>_xlfn.IFNA(INDEX(RulebookFields!I2:I999, MATCH(D2470,RulebookFields!A2:A999, 0)), "")</f>
      </c>
      <c r="K2470" s="3" t="b">
        <f>AND(F2470, J2470)</f>
        <v>0</v>
      </c>
      <c r="L2470" s="3" t="b">
        <f>AND(G2470 &lt;&gt; "plain", G2470 &lt;&gt; "")</f>
        <v>0</v>
      </c>
      <c r="M2470" s="3" t="str">
        <f>IF(E2470, C2470 &amp; "|" &amp; H2470, "")</f>
        <v>principal-knowledge-authority|</v>
      </c>
      <c r="N2470" s="2" t="s">
        <v>9938</v>
      </c>
    </row>
    <row r="2471">
      <c r="A2471" s="2" t="s">
        <v>12407</v>
      </c>
      <c r="B2471" s="3" t="str">
        <f>C2471 &amp; " -&gt; " &amp; D2471</f>
        <v>principal-knowledge-authority -&gt; MessageDeliveries.ConsentViolationPolicyKey</v>
      </c>
      <c r="C2471" s="2" t="s">
        <v>9708</v>
      </c>
      <c r="D2471" s="2" t="s">
        <v>4422</v>
      </c>
      <c r="E2471" s="2" t="b">
        <v>1</v>
      </c>
      <c r="F2471" s="2" t="b">
        <v>0</v>
      </c>
      <c r="G2471" s="2" t="s">
        <v>9937</v>
      </c>
      <c r="H2471" s="3" t="str">
        <f>_xlfn.IFNA(INDEX(RulebookFields!C2:C999, MATCH(D2471,RulebookFields!A2:A999, 0)), "")</f>
      </c>
      <c r="I2471" s="3" t="str">
        <f>_xlfn.IFNA(INDEX(RulebookFields!D2:D999, MATCH(D2471,RulebookFields!A2:A999, 0)), "")</f>
      </c>
      <c r="J2471" s="3" t="str">
        <f>_xlfn.IFNA(INDEX(RulebookFields!I2:I999, MATCH(D2471,RulebookFields!A2:A999, 0)), "")</f>
      </c>
      <c r="K2471" s="3" t="b">
        <f>AND(F2471, J2471)</f>
        <v>0</v>
      </c>
      <c r="L2471" s="3" t="b">
        <f>AND(G2471 &lt;&gt; "plain", G2471 &lt;&gt; "")</f>
        <v>0</v>
      </c>
      <c r="M2471" s="3" t="str">
        <f>IF(E2471, C2471 &amp; "|" &amp; H2471, "")</f>
        <v>principal-knowledge-authority|</v>
      </c>
      <c r="N2471" s="2" t="s">
        <v>9938</v>
      </c>
    </row>
    <row r="2472">
      <c r="A2472" s="2" t="s">
        <v>12408</v>
      </c>
      <c r="B2472" s="3" t="str">
        <f>C2472 &amp; " -&gt; " &amp; D2472</f>
        <v>principal-knowledge-authority -&gt; MessageDeliveries.PolicyQuietHoursStartHour</v>
      </c>
      <c r="C2472" s="2" t="s">
        <v>9708</v>
      </c>
      <c r="D2472" s="2" t="s">
        <v>4425</v>
      </c>
      <c r="E2472" s="2" t="b">
        <v>1</v>
      </c>
      <c r="F2472" s="2" t="b">
        <v>0</v>
      </c>
      <c r="G2472" s="2" t="s">
        <v>9937</v>
      </c>
      <c r="H2472" s="3" t="str">
        <f>_xlfn.IFNA(INDEX(RulebookFields!C2:C999, MATCH(D2472,RulebookFields!A2:A999, 0)), "")</f>
      </c>
      <c r="I2472" s="3" t="str">
        <f>_xlfn.IFNA(INDEX(RulebookFields!D2:D999, MATCH(D2472,RulebookFields!A2:A999, 0)), "")</f>
      </c>
      <c r="J2472" s="3" t="str">
        <f>_xlfn.IFNA(INDEX(RulebookFields!I2:I999, MATCH(D2472,RulebookFields!A2:A999, 0)), "")</f>
      </c>
      <c r="K2472" s="3" t="b">
        <f>AND(F2472, J2472)</f>
        <v>0</v>
      </c>
      <c r="L2472" s="3" t="b">
        <f>AND(G2472 &lt;&gt; "plain", G2472 &lt;&gt; "")</f>
        <v>0</v>
      </c>
      <c r="M2472" s="3" t="str">
        <f>IF(E2472, C2472 &amp; "|" &amp; H2472, "")</f>
        <v>principal-knowledge-authority|</v>
      </c>
      <c r="N2472" s="2" t="s">
        <v>9938</v>
      </c>
    </row>
    <row r="2473">
      <c r="A2473" s="2" t="s">
        <v>12409</v>
      </c>
      <c r="B2473" s="3" t="str">
        <f>C2473 &amp; " -&gt; " &amp; D2473</f>
        <v>principal-knowledge-authority -&gt; MessageDeliveries.PolicyQuietHoursEndHour</v>
      </c>
      <c r="C2473" s="2" t="s">
        <v>9708</v>
      </c>
      <c r="D2473" s="2" t="s">
        <v>4428</v>
      </c>
      <c r="E2473" s="2" t="b">
        <v>1</v>
      </c>
      <c r="F2473" s="2" t="b">
        <v>0</v>
      </c>
      <c r="G2473" s="2" t="s">
        <v>9937</v>
      </c>
      <c r="H2473" s="3" t="str">
        <f>_xlfn.IFNA(INDEX(RulebookFields!C2:C999, MATCH(D2473,RulebookFields!A2:A999, 0)), "")</f>
      </c>
      <c r="I2473" s="3" t="str">
        <f>_xlfn.IFNA(INDEX(RulebookFields!D2:D999, MATCH(D2473,RulebookFields!A2:A999, 0)), "")</f>
      </c>
      <c r="J2473" s="3" t="str">
        <f>_xlfn.IFNA(INDEX(RulebookFields!I2:I999, MATCH(D2473,RulebookFields!A2:A999, 0)), "")</f>
      </c>
      <c r="K2473" s="3" t="b">
        <f>AND(F2473, J2473)</f>
        <v>0</v>
      </c>
      <c r="L2473" s="3" t="b">
        <f>AND(G2473 &lt;&gt; "plain", G2473 &lt;&gt; "")</f>
        <v>0</v>
      </c>
      <c r="M2473" s="3" t="str">
        <f>IF(E2473, C2473 &amp; "|" &amp; H2473, "")</f>
        <v>principal-knowledge-authority|</v>
      </c>
      <c r="N2473" s="2" t="s">
        <v>9938</v>
      </c>
    </row>
    <row r="2474">
      <c r="A2474" s="2" t="s">
        <v>12410</v>
      </c>
      <c r="B2474" s="3" t="str">
        <f>C2474 &amp; " -&gt; " &amp; D2474</f>
        <v>principal-knowledge-authority -&gt; MessageDeliveries.PolicyHasQuietHours</v>
      </c>
      <c r="C2474" s="2" t="s">
        <v>9708</v>
      </c>
      <c r="D2474" s="2" t="s">
        <v>4431</v>
      </c>
      <c r="E2474" s="2" t="b">
        <v>1</v>
      </c>
      <c r="F2474" s="2" t="b">
        <v>0</v>
      </c>
      <c r="G2474" s="2" t="s">
        <v>9937</v>
      </c>
      <c r="H2474" s="3" t="str">
        <f>_xlfn.IFNA(INDEX(RulebookFields!C2:C999, MATCH(D2474,RulebookFields!A2:A999, 0)), "")</f>
      </c>
      <c r="I2474" s="3" t="str">
        <f>_xlfn.IFNA(INDEX(RulebookFields!D2:D999, MATCH(D2474,RulebookFields!A2:A999, 0)), "")</f>
      </c>
      <c r="J2474" s="3" t="str">
        <f>_xlfn.IFNA(INDEX(RulebookFields!I2:I999, MATCH(D2474,RulebookFields!A2:A999, 0)), "")</f>
      </c>
      <c r="K2474" s="3" t="b">
        <f>AND(F2474, J2474)</f>
        <v>0</v>
      </c>
      <c r="L2474" s="3" t="b">
        <f>AND(G2474 &lt;&gt; "plain", G2474 &lt;&gt; "")</f>
        <v>0</v>
      </c>
      <c r="M2474" s="3" t="str">
        <f>IF(E2474, C2474 &amp; "|" &amp; H2474, "")</f>
        <v>principal-knowledge-authority|</v>
      </c>
      <c r="N2474" s="2" t="s">
        <v>9938</v>
      </c>
    </row>
    <row r="2475">
      <c r="A2475" s="2" t="s">
        <v>12411</v>
      </c>
      <c r="B2475" s="3" t="str">
        <f>C2475 &amp; " -&gt; " &amp; D2475</f>
        <v>principal-knowledge-authority -&gt; MessageDeliveries.QuietWindowWrapsMidnight</v>
      </c>
      <c r="C2475" s="2" t="s">
        <v>9708</v>
      </c>
      <c r="D2475" s="2" t="s">
        <v>4434</v>
      </c>
      <c r="E2475" s="2" t="b">
        <v>1</v>
      </c>
      <c r="F2475" s="2" t="b">
        <v>0</v>
      </c>
      <c r="G2475" s="2" t="s">
        <v>9937</v>
      </c>
      <c r="H2475" s="3" t="str">
        <f>_xlfn.IFNA(INDEX(RulebookFields!C2:C999, MATCH(D2475,RulebookFields!A2:A999, 0)), "")</f>
      </c>
      <c r="I2475" s="3" t="str">
        <f>_xlfn.IFNA(INDEX(RulebookFields!D2:D999, MATCH(D2475,RulebookFields!A2:A999, 0)), "")</f>
      </c>
      <c r="J2475" s="3" t="str">
        <f>_xlfn.IFNA(INDEX(RulebookFields!I2:I999, MATCH(D2475,RulebookFields!A2:A999, 0)), "")</f>
      </c>
      <c r="K2475" s="3" t="b">
        <f>AND(F2475, J2475)</f>
        <v>0</v>
      </c>
      <c r="L2475" s="3" t="b">
        <f>AND(G2475 &lt;&gt; "plain", G2475 &lt;&gt; "")</f>
        <v>0</v>
      </c>
      <c r="M2475" s="3" t="str">
        <f>IF(E2475, C2475 &amp; "|" &amp; H2475, "")</f>
        <v>principal-knowledge-authority|</v>
      </c>
      <c r="N2475" s="2" t="s">
        <v>9938</v>
      </c>
    </row>
    <row r="2476">
      <c r="A2476" s="2" t="s">
        <v>12412</v>
      </c>
      <c r="B2476" s="3" t="str">
        <f>C2476 &amp; " -&gt; " &amp; D2476</f>
        <v>principal-knowledge-authority -&gt; MessageDeliveries.IsInsideQuietWindow</v>
      </c>
      <c r="C2476" s="2" t="s">
        <v>9708</v>
      </c>
      <c r="D2476" s="2" t="s">
        <v>4437</v>
      </c>
      <c r="E2476" s="2" t="b">
        <v>1</v>
      </c>
      <c r="F2476" s="2" t="b">
        <v>0</v>
      </c>
      <c r="G2476" s="2" t="s">
        <v>9937</v>
      </c>
      <c r="H2476" s="3" t="str">
        <f>_xlfn.IFNA(INDEX(RulebookFields!C2:C999, MATCH(D2476,RulebookFields!A2:A999, 0)), "")</f>
      </c>
      <c r="I2476" s="3" t="str">
        <f>_xlfn.IFNA(INDEX(RulebookFields!D2:D999, MATCH(D2476,RulebookFields!A2:A999, 0)), "")</f>
      </c>
      <c r="J2476" s="3" t="str">
        <f>_xlfn.IFNA(INDEX(RulebookFields!I2:I999, MATCH(D2476,RulebookFields!A2:A999, 0)), "")</f>
      </c>
      <c r="K2476" s="3" t="b">
        <f>AND(F2476, J2476)</f>
        <v>0</v>
      </c>
      <c r="L2476" s="3" t="b">
        <f>AND(G2476 &lt;&gt; "plain", G2476 &lt;&gt; "")</f>
        <v>0</v>
      </c>
      <c r="M2476" s="3" t="str">
        <f>IF(E2476, C2476 &amp; "|" &amp; H2476, "")</f>
        <v>principal-knowledge-authority|</v>
      </c>
      <c r="N2476" s="2" t="s">
        <v>9938</v>
      </c>
    </row>
    <row r="2477">
      <c r="A2477" s="2" t="s">
        <v>12413</v>
      </c>
      <c r="B2477" s="3" t="str">
        <f>C2477 &amp; " -&gt; " &amp; D2477</f>
        <v>principal-knowledge-authority -&gt; MessageDeliveries.IsQuietHoursViolation</v>
      </c>
      <c r="C2477" s="2" t="s">
        <v>9708</v>
      </c>
      <c r="D2477" s="2" t="s">
        <v>4440</v>
      </c>
      <c r="E2477" s="2" t="b">
        <v>1</v>
      </c>
      <c r="F2477" s="2" t="b">
        <v>0</v>
      </c>
      <c r="G2477" s="2" t="s">
        <v>9937</v>
      </c>
      <c r="H2477" s="3" t="str">
        <f>_xlfn.IFNA(INDEX(RulebookFields!C2:C999, MATCH(D2477,RulebookFields!A2:A999, 0)), "")</f>
      </c>
      <c r="I2477" s="3" t="str">
        <f>_xlfn.IFNA(INDEX(RulebookFields!D2:D999, MATCH(D2477,RulebookFields!A2:A999, 0)), "")</f>
      </c>
      <c r="J2477" s="3" t="str">
        <f>_xlfn.IFNA(INDEX(RulebookFields!I2:I999, MATCH(D2477,RulebookFields!A2:A999, 0)), "")</f>
      </c>
      <c r="K2477" s="3" t="b">
        <f>AND(F2477, J2477)</f>
        <v>0</v>
      </c>
      <c r="L2477" s="3" t="b">
        <f>AND(G2477 &lt;&gt; "plain", G2477 &lt;&gt; "")</f>
        <v>0</v>
      </c>
      <c r="M2477" s="3" t="str">
        <f>IF(E2477, C2477 &amp; "|" &amp; H2477, "")</f>
        <v>principal-knowledge-authority|</v>
      </c>
      <c r="N2477" s="2" t="s">
        <v>9938</v>
      </c>
    </row>
    <row r="2478">
      <c r="A2478" s="2" t="s">
        <v>12414</v>
      </c>
      <c r="B2478" s="3" t="str">
        <f>C2478 &amp; " -&gt; " &amp; D2478</f>
        <v>principal-knowledge-authority -&gt; MessageDeliveries.QuietHoursViolationPolicyKey</v>
      </c>
      <c r="C2478" s="2" t="s">
        <v>9708</v>
      </c>
      <c r="D2478" s="2" t="s">
        <v>4443</v>
      </c>
      <c r="E2478" s="2" t="b">
        <v>1</v>
      </c>
      <c r="F2478" s="2" t="b">
        <v>0</v>
      </c>
      <c r="G2478" s="2" t="s">
        <v>9937</v>
      </c>
      <c r="H2478" s="3" t="str">
        <f>_xlfn.IFNA(INDEX(RulebookFields!C2:C999, MATCH(D2478,RulebookFields!A2:A999, 0)), "")</f>
      </c>
      <c r="I2478" s="3" t="str">
        <f>_xlfn.IFNA(INDEX(RulebookFields!D2:D999, MATCH(D2478,RulebookFields!A2:A999, 0)), "")</f>
      </c>
      <c r="J2478" s="3" t="str">
        <f>_xlfn.IFNA(INDEX(RulebookFields!I2:I999, MATCH(D2478,RulebookFields!A2:A999, 0)), "")</f>
      </c>
      <c r="K2478" s="3" t="b">
        <f>AND(F2478, J2478)</f>
        <v>0</v>
      </c>
      <c r="L2478" s="3" t="b">
        <f>AND(G2478 &lt;&gt; "plain", G2478 &lt;&gt; "")</f>
        <v>0</v>
      </c>
      <c r="M2478" s="3" t="str">
        <f>IF(E2478, C2478 &amp; "|" &amp; H2478, "")</f>
        <v>principal-knowledge-authority|</v>
      </c>
      <c r="N2478" s="2" t="s">
        <v>9938</v>
      </c>
    </row>
    <row r="2479">
      <c r="A2479" s="2" t="s">
        <v>12415</v>
      </c>
      <c r="B2479" s="3" t="str">
        <f>C2479 &amp; " -&gt; " &amp; D2479</f>
        <v>principal-knowledge-authority -&gt; MessageDeliveries.RecipientIsUnreachable</v>
      </c>
      <c r="C2479" s="2" t="s">
        <v>9708</v>
      </c>
      <c r="D2479" s="2" t="s">
        <v>4446</v>
      </c>
      <c r="E2479" s="2" t="b">
        <v>1</v>
      </c>
      <c r="F2479" s="2" t="b">
        <v>0</v>
      </c>
      <c r="G2479" s="2" t="s">
        <v>9937</v>
      </c>
      <c r="H2479" s="3" t="str">
        <f>_xlfn.IFNA(INDEX(RulebookFields!C2:C999, MATCH(D2479,RulebookFields!A2:A999, 0)), "")</f>
      </c>
      <c r="I2479" s="3" t="str">
        <f>_xlfn.IFNA(INDEX(RulebookFields!D2:D999, MATCH(D2479,RulebookFields!A2:A999, 0)), "")</f>
      </c>
      <c r="J2479" s="3" t="str">
        <f>_xlfn.IFNA(INDEX(RulebookFields!I2:I999, MATCH(D2479,RulebookFields!A2:A999, 0)), "")</f>
      </c>
      <c r="K2479" s="3" t="b">
        <f>AND(F2479, J2479)</f>
        <v>0</v>
      </c>
      <c r="L2479" s="3" t="b">
        <f>AND(G2479 &lt;&gt; "plain", G2479 &lt;&gt; "")</f>
        <v>0</v>
      </c>
      <c r="M2479" s="3" t="str">
        <f>IF(E2479, C2479 &amp; "|" &amp; H2479, "")</f>
        <v>principal-knowledge-authority|</v>
      </c>
      <c r="N2479" s="2" t="s">
        <v>9938</v>
      </c>
    </row>
    <row r="2480">
      <c r="A2480" s="2" t="s">
        <v>12416</v>
      </c>
      <c r="B2480" s="3" t="str">
        <f>C2480 &amp; " -&gt; " &amp; D2480</f>
        <v>principal-knowledge-authority -&gt; MessageDeliveries.IsAcknowledged</v>
      </c>
      <c r="C2480" s="2" t="s">
        <v>9708</v>
      </c>
      <c r="D2480" s="2" t="s">
        <v>4449</v>
      </c>
      <c r="E2480" s="2" t="b">
        <v>1</v>
      </c>
      <c r="F2480" s="2" t="b">
        <v>0</v>
      </c>
      <c r="G2480" s="2" t="s">
        <v>9937</v>
      </c>
      <c r="H2480" s="3" t="str">
        <f>_xlfn.IFNA(INDEX(RulebookFields!C2:C999, MATCH(D2480,RulebookFields!A2:A999, 0)), "")</f>
      </c>
      <c r="I2480" s="3" t="str">
        <f>_xlfn.IFNA(INDEX(RulebookFields!D2:D999, MATCH(D2480,RulebookFields!A2:A999, 0)), "")</f>
      </c>
      <c r="J2480" s="3" t="str">
        <f>_xlfn.IFNA(INDEX(RulebookFields!I2:I999, MATCH(D2480,RulebookFields!A2:A999, 0)), "")</f>
      </c>
      <c r="K2480" s="3" t="b">
        <f>AND(F2480, J2480)</f>
        <v>0</v>
      </c>
      <c r="L2480" s="3" t="b">
        <f>AND(G2480 &lt;&gt; "plain", G2480 &lt;&gt; "")</f>
        <v>0</v>
      </c>
      <c r="M2480" s="3" t="str">
        <f>IF(E2480, C2480 &amp; "|" &amp; H2480, "")</f>
        <v>principal-knowledge-authority|</v>
      </c>
      <c r="N2480" s="2" t="s">
        <v>9938</v>
      </c>
    </row>
    <row r="2481">
      <c r="A2481" s="2" t="s">
        <v>12417</v>
      </c>
      <c r="B2481" s="3" t="str">
        <f>C2481 &amp; " -&gt; " &amp; D2481</f>
        <v>principal-knowledge-authority -&gt; MessageDeliveries.InvokedExceptionCondition</v>
      </c>
      <c r="C2481" s="2" t="s">
        <v>9708</v>
      </c>
      <c r="D2481" s="2" t="s">
        <v>4452</v>
      </c>
      <c r="E2481" s="2" t="b">
        <v>1</v>
      </c>
      <c r="F2481" s="2" t="b">
        <v>0</v>
      </c>
      <c r="G2481" s="2" t="s">
        <v>9937</v>
      </c>
      <c r="H2481" s="3" t="str">
        <f>_xlfn.IFNA(INDEX(RulebookFields!C2:C999, MATCH(D2481,RulebookFields!A2:A999, 0)), "")</f>
      </c>
      <c r="I2481" s="3" t="str">
        <f>_xlfn.IFNA(INDEX(RulebookFields!D2:D999, MATCH(D2481,RulebookFields!A2:A999, 0)), "")</f>
      </c>
      <c r="J2481" s="3" t="str">
        <f>_xlfn.IFNA(INDEX(RulebookFields!I2:I999, MATCH(D2481,RulebookFields!A2:A999, 0)), "")</f>
      </c>
      <c r="K2481" s="3" t="b">
        <f>AND(F2481, J2481)</f>
        <v>0</v>
      </c>
      <c r="L2481" s="3" t="b">
        <f>AND(G2481 &lt;&gt; "plain", G2481 &lt;&gt; "")</f>
        <v>0</v>
      </c>
      <c r="M2481" s="3" t="str">
        <f>IF(E2481, C2481 &amp; "|" &amp; H2481, "")</f>
        <v>principal-knowledge-authority|</v>
      </c>
      <c r="N2481" s="2" t="s">
        <v>9938</v>
      </c>
    </row>
    <row r="2482">
      <c r="A2482" s="2" t="s">
        <v>12418</v>
      </c>
      <c r="B2482" s="3" t="str">
        <f>C2482 &amp; " -&gt; " &amp; D2482</f>
        <v>principal-knowledge-authority -&gt; MessageDeliveries.HasUnreachableExceptionInvoked</v>
      </c>
      <c r="C2482" s="2" t="s">
        <v>9708</v>
      </c>
      <c r="D2482" s="2" t="s">
        <v>4455</v>
      </c>
      <c r="E2482" s="2" t="b">
        <v>1</v>
      </c>
      <c r="F2482" s="2" t="b">
        <v>0</v>
      </c>
      <c r="G2482" s="2" t="s">
        <v>9937</v>
      </c>
      <c r="H2482" s="3" t="str">
        <f>_xlfn.IFNA(INDEX(RulebookFields!C2:C999, MATCH(D2482,RulebookFields!A2:A999, 0)), "")</f>
      </c>
      <c r="I2482" s="3" t="str">
        <f>_xlfn.IFNA(INDEX(RulebookFields!D2:D999, MATCH(D2482,RulebookFields!A2:A999, 0)), "")</f>
      </c>
      <c r="J2482" s="3" t="str">
        <f>_xlfn.IFNA(INDEX(RulebookFields!I2:I999, MATCH(D2482,RulebookFields!A2:A999, 0)), "")</f>
      </c>
      <c r="K2482" s="3" t="b">
        <f>AND(F2482, J2482)</f>
        <v>0</v>
      </c>
      <c r="L2482" s="3" t="b">
        <f>AND(G2482 &lt;&gt; "plain", G2482 &lt;&gt; "")</f>
        <v>0</v>
      </c>
      <c r="M2482" s="3" t="str">
        <f>IF(E2482, C2482 &amp; "|" &amp; H2482, "")</f>
        <v>principal-knowledge-authority|</v>
      </c>
      <c r="N2482" s="2" t="s">
        <v>9938</v>
      </c>
    </row>
    <row r="2483">
      <c r="A2483" s="2" t="s">
        <v>12419</v>
      </c>
      <c r="B2483" s="3" t="str">
        <f>C2483 &amp; " -&gt; " &amp; D2483</f>
        <v>principal-knowledge-authority -&gt; MessageDeliveries.IsFabricatedAcknowledgement</v>
      </c>
      <c r="C2483" s="2" t="s">
        <v>9708</v>
      </c>
      <c r="D2483" s="2" t="s">
        <v>4458</v>
      </c>
      <c r="E2483" s="2" t="b">
        <v>1</v>
      </c>
      <c r="F2483" s="2" t="b">
        <v>0</v>
      </c>
      <c r="G2483" s="2" t="s">
        <v>9937</v>
      </c>
      <c r="H2483" s="3" t="str">
        <f>_xlfn.IFNA(INDEX(RulebookFields!C2:C999, MATCH(D2483,RulebookFields!A2:A999, 0)), "")</f>
      </c>
      <c r="I2483" s="3" t="str">
        <f>_xlfn.IFNA(INDEX(RulebookFields!D2:D999, MATCH(D2483,RulebookFields!A2:A999, 0)), "")</f>
      </c>
      <c r="J2483" s="3" t="str">
        <f>_xlfn.IFNA(INDEX(RulebookFields!I2:I999, MATCH(D2483,RulebookFields!A2:A999, 0)), "")</f>
      </c>
      <c r="K2483" s="3" t="b">
        <f>AND(F2483, J2483)</f>
        <v>0</v>
      </c>
      <c r="L2483" s="3" t="b">
        <f>AND(G2483 &lt;&gt; "plain", G2483 &lt;&gt; "")</f>
        <v>0</v>
      </c>
      <c r="M2483" s="3" t="str">
        <f>IF(E2483, C2483 &amp; "|" &amp; H2483, "")</f>
        <v>principal-knowledge-authority|</v>
      </c>
      <c r="N2483" s="2" t="s">
        <v>9938</v>
      </c>
    </row>
    <row r="2484">
      <c r="A2484" s="2" t="s">
        <v>12420</v>
      </c>
      <c r="B2484" s="3" t="str">
        <f>C2484 &amp; " -&gt; " &amp; D2484</f>
        <v>principal-knowledge-authority -&gt; MessageDeliveries.IsUnhandledUnreachable</v>
      </c>
      <c r="C2484" s="2" t="s">
        <v>9708</v>
      </c>
      <c r="D2484" s="2" t="s">
        <v>4461</v>
      </c>
      <c r="E2484" s="2" t="b">
        <v>1</v>
      </c>
      <c r="F2484" s="2" t="b">
        <v>0</v>
      </c>
      <c r="G2484" s="2" t="s">
        <v>9937</v>
      </c>
      <c r="H2484" s="3" t="str">
        <f>_xlfn.IFNA(INDEX(RulebookFields!C2:C999, MATCH(D2484,RulebookFields!A2:A999, 0)), "")</f>
      </c>
      <c r="I2484" s="3" t="str">
        <f>_xlfn.IFNA(INDEX(RulebookFields!D2:D999, MATCH(D2484,RulebookFields!A2:A999, 0)), "")</f>
      </c>
      <c r="J2484" s="3" t="str">
        <f>_xlfn.IFNA(INDEX(RulebookFields!I2:I999, MATCH(D2484,RulebookFields!A2:A999, 0)), "")</f>
      </c>
      <c r="K2484" s="3" t="b">
        <f>AND(F2484, J2484)</f>
        <v>0</v>
      </c>
      <c r="L2484" s="3" t="b">
        <f>AND(G2484 &lt;&gt; "plain", G2484 &lt;&gt; "")</f>
        <v>0</v>
      </c>
      <c r="M2484" s="3" t="str">
        <f>IF(E2484, C2484 &amp; "|" &amp; H2484, "")</f>
        <v>principal-knowledge-authority|</v>
      </c>
      <c r="N2484" s="2" t="s">
        <v>9938</v>
      </c>
    </row>
    <row r="2485">
      <c r="A2485" s="2" t="s">
        <v>12421</v>
      </c>
      <c r="B2485" s="3" t="str">
        <f>C2485 &amp; " -&gt; " &amp; D2485</f>
        <v>principal-knowledge-authority -&gt; MessageDeliveries.UnreachableFailureKey</v>
      </c>
      <c r="C2485" s="2" t="s">
        <v>9708</v>
      </c>
      <c r="D2485" s="2" t="s">
        <v>4464</v>
      </c>
      <c r="E2485" s="2" t="b">
        <v>1</v>
      </c>
      <c r="F2485" s="2" t="b">
        <v>0</v>
      </c>
      <c r="G2485" s="2" t="s">
        <v>9937</v>
      </c>
      <c r="H2485" s="3" t="str">
        <f>_xlfn.IFNA(INDEX(RulebookFields!C2:C999, MATCH(D2485,RulebookFields!A2:A999, 0)), "")</f>
      </c>
      <c r="I2485" s="3" t="str">
        <f>_xlfn.IFNA(INDEX(RulebookFields!D2:D999, MATCH(D2485,RulebookFields!A2:A999, 0)), "")</f>
      </c>
      <c r="J2485" s="3" t="str">
        <f>_xlfn.IFNA(INDEX(RulebookFields!I2:I999, MATCH(D2485,RulebookFields!A2:A999, 0)), "")</f>
      </c>
      <c r="K2485" s="3" t="b">
        <f>AND(F2485, J2485)</f>
        <v>0</v>
      </c>
      <c r="L2485" s="3" t="b">
        <f>AND(G2485 &lt;&gt; "plain", G2485 &lt;&gt; "")</f>
        <v>0</v>
      </c>
      <c r="M2485" s="3" t="str">
        <f>IF(E2485, C2485 &amp; "|" &amp; H2485, "")</f>
        <v>principal-knowledge-authority|</v>
      </c>
      <c r="N2485" s="2" t="s">
        <v>9938</v>
      </c>
    </row>
    <row r="2486">
      <c r="A2486" s="2" t="s">
        <v>12422</v>
      </c>
      <c r="B2486" s="3" t="str">
        <f>C2486 &amp; " -&gt; " &amp; D2486</f>
        <v>principal-knowledge-authority -&gt; MessageDeliveries.PolicyRetentionDays</v>
      </c>
      <c r="C2486" s="2" t="s">
        <v>9708</v>
      </c>
      <c r="D2486" s="2" t="s">
        <v>4467</v>
      </c>
      <c r="E2486" s="2" t="b">
        <v>1</v>
      </c>
      <c r="F2486" s="2" t="b">
        <v>0</v>
      </c>
      <c r="G2486" s="2" t="s">
        <v>9937</v>
      </c>
      <c r="H2486" s="3" t="str">
        <f>_xlfn.IFNA(INDEX(RulebookFields!C2:C999, MATCH(D2486,RulebookFields!A2:A999, 0)), "")</f>
      </c>
      <c r="I2486" s="3" t="str">
        <f>_xlfn.IFNA(INDEX(RulebookFields!D2:D999, MATCH(D2486,RulebookFields!A2:A999, 0)), "")</f>
      </c>
      <c r="J2486" s="3" t="str">
        <f>_xlfn.IFNA(INDEX(RulebookFields!I2:I999, MATCH(D2486,RulebookFields!A2:A999, 0)), "")</f>
      </c>
      <c r="K2486" s="3" t="b">
        <f>AND(F2486, J2486)</f>
        <v>0</v>
      </c>
      <c r="L2486" s="3" t="b">
        <f>AND(G2486 &lt;&gt; "plain", G2486 &lt;&gt; "")</f>
        <v>0</v>
      </c>
      <c r="M2486" s="3" t="str">
        <f>IF(E2486, C2486 &amp; "|" &amp; H2486, "")</f>
        <v>principal-knowledge-authority|</v>
      </c>
      <c r="N2486" s="2" t="s">
        <v>9938</v>
      </c>
    </row>
    <row r="2487">
      <c r="A2487" s="2" t="s">
        <v>12423</v>
      </c>
      <c r="B2487" s="3" t="str">
        <f>C2487 &amp; " -&gt; " &amp; D2487</f>
        <v>principal-knowledge-authority -&gt; MessageDeliveries.EvaluationContext</v>
      </c>
      <c r="C2487" s="2" t="s">
        <v>9708</v>
      </c>
      <c r="D2487" s="2" t="s">
        <v>4470</v>
      </c>
      <c r="E2487" s="2" t="b">
        <v>1</v>
      </c>
      <c r="F2487" s="2" t="b">
        <v>0</v>
      </c>
      <c r="G2487" s="2" t="s">
        <v>9937</v>
      </c>
      <c r="H2487" s="3" t="str">
        <f>_xlfn.IFNA(INDEX(RulebookFields!C2:C999, MATCH(D2487,RulebookFields!A2:A999, 0)), "")</f>
      </c>
      <c r="I2487" s="3" t="str">
        <f>_xlfn.IFNA(INDEX(RulebookFields!D2:D999, MATCH(D2487,RulebookFields!A2:A999, 0)), "")</f>
      </c>
      <c r="J2487" s="3" t="str">
        <f>_xlfn.IFNA(INDEX(RulebookFields!I2:I999, MATCH(D2487,RulebookFields!A2:A999, 0)), "")</f>
      </c>
      <c r="K2487" s="3" t="b">
        <f>AND(F2487, J2487)</f>
        <v>0</v>
      </c>
      <c r="L2487" s="3" t="b">
        <f>AND(G2487 &lt;&gt; "plain", G2487 &lt;&gt; "")</f>
        <v>0</v>
      </c>
      <c r="M2487" s="3" t="str">
        <f>IF(E2487, C2487 &amp; "|" &amp; H2487, "")</f>
        <v>principal-knowledge-authority|</v>
      </c>
      <c r="N2487" s="2" t="s">
        <v>9938</v>
      </c>
    </row>
    <row r="2488">
      <c r="A2488" s="2" t="s">
        <v>12424</v>
      </c>
      <c r="B2488" s="3" t="str">
        <f>C2488 &amp; " -&gt; " &amp; D2488</f>
        <v>principal-knowledge-authority -&gt; MessageDeliveries.AsOfInstant</v>
      </c>
      <c r="C2488" s="2" t="s">
        <v>9708</v>
      </c>
      <c r="D2488" s="2" t="s">
        <v>4471</v>
      </c>
      <c r="E2488" s="2" t="b">
        <v>1</v>
      </c>
      <c r="F2488" s="2" t="b">
        <v>0</v>
      </c>
      <c r="G2488" s="2" t="s">
        <v>9937</v>
      </c>
      <c r="H2488" s="3" t="str">
        <f>_xlfn.IFNA(INDEX(RulebookFields!C2:C999, MATCH(D2488,RulebookFields!A2:A999, 0)), "")</f>
      </c>
      <c r="I2488" s="3" t="str">
        <f>_xlfn.IFNA(INDEX(RulebookFields!D2:D999, MATCH(D2488,RulebookFields!A2:A999, 0)), "")</f>
      </c>
      <c r="J2488" s="3" t="str">
        <f>_xlfn.IFNA(INDEX(RulebookFields!I2:I999, MATCH(D2488,RulebookFields!A2:A999, 0)), "")</f>
      </c>
      <c r="K2488" s="3" t="b">
        <f>AND(F2488, J2488)</f>
        <v>0</v>
      </c>
      <c r="L2488" s="3" t="b">
        <f>AND(G2488 &lt;&gt; "plain", G2488 &lt;&gt; "")</f>
        <v>0</v>
      </c>
      <c r="M2488" s="3" t="str">
        <f>IF(E2488, C2488 &amp; "|" &amp; H2488, "")</f>
        <v>principal-knowledge-authority|</v>
      </c>
      <c r="N2488" s="2" t="s">
        <v>9938</v>
      </c>
    </row>
    <row r="2489">
      <c r="A2489" s="2" t="s">
        <v>12425</v>
      </c>
      <c r="B2489" s="3" t="str">
        <f>C2489 &amp; " -&gt; " &amp; D2489</f>
        <v>principal-knowledge-authority -&gt; MessageDeliveries.AgeDays</v>
      </c>
      <c r="C2489" s="2" t="s">
        <v>9708</v>
      </c>
      <c r="D2489" s="2" t="s">
        <v>4472</v>
      </c>
      <c r="E2489" s="2" t="b">
        <v>1</v>
      </c>
      <c r="F2489" s="2" t="b">
        <v>0</v>
      </c>
      <c r="G2489" s="2" t="s">
        <v>9937</v>
      </c>
      <c r="H2489" s="3" t="str">
        <f>_xlfn.IFNA(INDEX(RulebookFields!C2:C999, MATCH(D2489,RulebookFields!A2:A999, 0)), "")</f>
      </c>
      <c r="I2489" s="3" t="str">
        <f>_xlfn.IFNA(INDEX(RulebookFields!D2:D999, MATCH(D2489,RulebookFields!A2:A999, 0)), "")</f>
      </c>
      <c r="J2489" s="3" t="str">
        <f>_xlfn.IFNA(INDEX(RulebookFields!I2:I999, MATCH(D2489,RulebookFields!A2:A999, 0)), "")</f>
      </c>
      <c r="K2489" s="3" t="b">
        <f>AND(F2489, J2489)</f>
        <v>0</v>
      </c>
      <c r="L2489" s="3" t="b">
        <f>AND(G2489 &lt;&gt; "plain", G2489 &lt;&gt; "")</f>
        <v>0</v>
      </c>
      <c r="M2489" s="3" t="str">
        <f>IF(E2489, C2489 &amp; "|" &amp; H2489, "")</f>
        <v>principal-knowledge-authority|</v>
      </c>
      <c r="N2489" s="2" t="s">
        <v>9938</v>
      </c>
    </row>
    <row r="2490">
      <c r="A2490" s="2" t="s">
        <v>12426</v>
      </c>
      <c r="B2490" s="3" t="str">
        <f>C2490 &amp; " -&gt; " &amp; D2490</f>
        <v>principal-knowledge-authority -&gt; MessageDeliveries.IsWithinRetentionWindow</v>
      </c>
      <c r="C2490" s="2" t="s">
        <v>9708</v>
      </c>
      <c r="D2490" s="2" t="s">
        <v>4474</v>
      </c>
      <c r="E2490" s="2" t="b">
        <v>1</v>
      </c>
      <c r="F2490" s="2" t="b">
        <v>0</v>
      </c>
      <c r="G2490" s="2" t="s">
        <v>9937</v>
      </c>
      <c r="H2490" s="3" t="str">
        <f>_xlfn.IFNA(INDEX(RulebookFields!C2:C999, MATCH(D2490,RulebookFields!A2:A999, 0)), "")</f>
      </c>
      <c r="I2490" s="3" t="str">
        <f>_xlfn.IFNA(INDEX(RulebookFields!D2:D999, MATCH(D2490,RulebookFields!A2:A999, 0)), "")</f>
      </c>
      <c r="J2490" s="3" t="str">
        <f>_xlfn.IFNA(INDEX(RulebookFields!I2:I999, MATCH(D2490,RulebookFields!A2:A999, 0)), "")</f>
      </c>
      <c r="K2490" s="3" t="b">
        <f>AND(F2490, J2490)</f>
        <v>0</v>
      </c>
      <c r="L2490" s="3" t="b">
        <f>AND(G2490 &lt;&gt; "plain", G2490 &lt;&gt; "")</f>
        <v>0</v>
      </c>
      <c r="M2490" s="3" t="str">
        <f>IF(E2490, C2490 &amp; "|" &amp; H2490, "")</f>
        <v>principal-knowledge-authority|</v>
      </c>
      <c r="N2490" s="2" t="s">
        <v>9938</v>
      </c>
    </row>
    <row r="2491">
      <c r="A2491" s="2" t="s">
        <v>12427</v>
      </c>
      <c r="B2491" s="3" t="str">
        <f>C2491 &amp; " -&gt; " &amp; D2491</f>
        <v>principal-knowledge-authority -&gt; MessageDeliveries.HasRenderedBody</v>
      </c>
      <c r="C2491" s="2" t="s">
        <v>9708</v>
      </c>
      <c r="D2491" s="2" t="s">
        <v>4477</v>
      </c>
      <c r="E2491" s="2" t="b">
        <v>1</v>
      </c>
      <c r="F2491" s="2" t="b">
        <v>0</v>
      </c>
      <c r="G2491" s="2" t="s">
        <v>9937</v>
      </c>
      <c r="H2491" s="3" t="str">
        <f>_xlfn.IFNA(INDEX(RulebookFields!C2:C999, MATCH(D2491,RulebookFields!A2:A999, 0)), "")</f>
      </c>
      <c r="I2491" s="3" t="str">
        <f>_xlfn.IFNA(INDEX(RulebookFields!D2:D999, MATCH(D2491,RulebookFields!A2:A999, 0)), "")</f>
      </c>
      <c r="J2491" s="3" t="str">
        <f>_xlfn.IFNA(INDEX(RulebookFields!I2:I999, MATCH(D2491,RulebookFields!A2:A999, 0)), "")</f>
      </c>
      <c r="K2491" s="3" t="b">
        <f>AND(F2491, J2491)</f>
        <v>0</v>
      </c>
      <c r="L2491" s="3" t="b">
        <f>AND(G2491 &lt;&gt; "plain", G2491 &lt;&gt; "")</f>
        <v>0</v>
      </c>
      <c r="M2491" s="3" t="str">
        <f>IF(E2491, C2491 &amp; "|" &amp; H2491, "")</f>
        <v>principal-knowledge-authority|</v>
      </c>
      <c r="N2491" s="2" t="s">
        <v>9938</v>
      </c>
    </row>
    <row r="2492">
      <c r="A2492" s="2" t="s">
        <v>12428</v>
      </c>
      <c r="B2492" s="3" t="str">
        <f>C2492 &amp; " -&gt; " &amp; D2492</f>
        <v>principal-knowledge-authority -&gt; MessageDeliveries.IsEvidenceRequired</v>
      </c>
      <c r="C2492" s="2" t="s">
        <v>9708</v>
      </c>
      <c r="D2492" s="2" t="s">
        <v>4480</v>
      </c>
      <c r="E2492" s="2" t="b">
        <v>1</v>
      </c>
      <c r="F2492" s="2" t="b">
        <v>0</v>
      </c>
      <c r="G2492" s="2" t="s">
        <v>9937</v>
      </c>
      <c r="H2492" s="3" t="str">
        <f>_xlfn.IFNA(INDEX(RulebookFields!C2:C999, MATCH(D2492,RulebookFields!A2:A999, 0)), "")</f>
      </c>
      <c r="I2492" s="3" t="str">
        <f>_xlfn.IFNA(INDEX(RulebookFields!D2:D999, MATCH(D2492,RulebookFields!A2:A999, 0)), "")</f>
      </c>
      <c r="J2492" s="3" t="str">
        <f>_xlfn.IFNA(INDEX(RulebookFields!I2:I999, MATCH(D2492,RulebookFields!A2:A999, 0)), "")</f>
      </c>
      <c r="K2492" s="3" t="b">
        <f>AND(F2492, J2492)</f>
        <v>0</v>
      </c>
      <c r="L2492" s="3" t="b">
        <f>AND(G2492 &lt;&gt; "plain", G2492 &lt;&gt; "")</f>
        <v>0</v>
      </c>
      <c r="M2492" s="3" t="str">
        <f>IF(E2492, C2492 &amp; "|" &amp; H2492, "")</f>
        <v>principal-knowledge-authority|</v>
      </c>
      <c r="N2492" s="2" t="s">
        <v>9938</v>
      </c>
    </row>
    <row r="2493">
      <c r="A2493" s="2" t="s">
        <v>12429</v>
      </c>
      <c r="B2493" s="3" t="str">
        <f>C2493 &amp; " -&gt; " &amp; D2493</f>
        <v>principal-knowledge-authority -&gt; MessageDeliveries.IsRetentionBreach</v>
      </c>
      <c r="C2493" s="2" t="s">
        <v>9708</v>
      </c>
      <c r="D2493" s="2" t="s">
        <v>4483</v>
      </c>
      <c r="E2493" s="2" t="b">
        <v>1</v>
      </c>
      <c r="F2493" s="2" t="b">
        <v>0</v>
      </c>
      <c r="G2493" s="2" t="s">
        <v>9937</v>
      </c>
      <c r="H2493" s="3" t="str">
        <f>_xlfn.IFNA(INDEX(RulebookFields!C2:C999, MATCH(D2493,RulebookFields!A2:A999, 0)), "")</f>
      </c>
      <c r="I2493" s="3" t="str">
        <f>_xlfn.IFNA(INDEX(RulebookFields!D2:D999, MATCH(D2493,RulebookFields!A2:A999, 0)), "")</f>
      </c>
      <c r="J2493" s="3" t="str">
        <f>_xlfn.IFNA(INDEX(RulebookFields!I2:I999, MATCH(D2493,RulebookFields!A2:A999, 0)), "")</f>
      </c>
      <c r="K2493" s="3" t="b">
        <f>AND(F2493, J2493)</f>
        <v>0</v>
      </c>
      <c r="L2493" s="3" t="b">
        <f>AND(G2493 &lt;&gt; "plain", G2493 &lt;&gt; "")</f>
        <v>0</v>
      </c>
      <c r="M2493" s="3" t="str">
        <f>IF(E2493, C2493 &amp; "|" &amp; H2493, "")</f>
        <v>principal-knowledge-authority|</v>
      </c>
      <c r="N2493" s="2" t="s">
        <v>9938</v>
      </c>
    </row>
    <row r="2494">
      <c r="A2494" s="2" t="s">
        <v>12430</v>
      </c>
      <c r="B2494" s="3" t="str">
        <f>C2494 &amp; " -&gt; " &amp; D2494</f>
        <v>principal-knowledge-authority -&gt; MessageDeliveries.RetentionBreachExecutionKey</v>
      </c>
      <c r="C2494" s="2" t="s">
        <v>9708</v>
      </c>
      <c r="D2494" s="2" t="s">
        <v>4486</v>
      </c>
      <c r="E2494" s="2" t="b">
        <v>1</v>
      </c>
      <c r="F2494" s="2" t="b">
        <v>0</v>
      </c>
      <c r="G2494" s="2" t="s">
        <v>9937</v>
      </c>
      <c r="H2494" s="3" t="str">
        <f>_xlfn.IFNA(INDEX(RulebookFields!C2:C999, MATCH(D2494,RulebookFields!A2:A999, 0)), "")</f>
      </c>
      <c r="I2494" s="3" t="str">
        <f>_xlfn.IFNA(INDEX(RulebookFields!D2:D999, MATCH(D2494,RulebookFields!A2:A999, 0)), "")</f>
      </c>
      <c r="J2494" s="3" t="str">
        <f>_xlfn.IFNA(INDEX(RulebookFields!I2:I999, MATCH(D2494,RulebookFields!A2:A999, 0)), "")</f>
      </c>
      <c r="K2494" s="3" t="b">
        <f>AND(F2494, J2494)</f>
        <v>0</v>
      </c>
      <c r="L2494" s="3" t="b">
        <f>AND(G2494 &lt;&gt; "plain", G2494 &lt;&gt; "")</f>
        <v>0</v>
      </c>
      <c r="M2494" s="3" t="str">
        <f>IF(E2494, C2494 &amp; "|" &amp; H2494, "")</f>
        <v>principal-knowledge-authority|</v>
      </c>
      <c r="N2494" s="2" t="s">
        <v>9938</v>
      </c>
    </row>
    <row r="2495">
      <c r="A2495" s="2" t="s">
        <v>12431</v>
      </c>
      <c r="B2495" s="3" t="str">
        <f>C2495 &amp; " -&gt; " &amp; D2495</f>
        <v>principal-knowledge-authority -&gt; MessageDeliveries.SendingStepExecutionStep</v>
      </c>
      <c r="C2495" s="2" t="s">
        <v>9708</v>
      </c>
      <c r="D2495" s="2" t="s">
        <v>4489</v>
      </c>
      <c r="E2495" s="2" t="b">
        <v>1</v>
      </c>
      <c r="F2495" s="2" t="b">
        <v>0</v>
      </c>
      <c r="G2495" s="2" t="s">
        <v>9937</v>
      </c>
      <c r="H2495" s="3" t="str">
        <f>_xlfn.IFNA(INDEX(RulebookFields!C2:C999, MATCH(D2495,RulebookFields!A2:A999, 0)), "")</f>
      </c>
      <c r="I2495" s="3" t="str">
        <f>_xlfn.IFNA(INDEX(RulebookFields!D2:D999, MATCH(D2495,RulebookFields!A2:A999, 0)), "")</f>
      </c>
      <c r="J2495" s="3" t="str">
        <f>_xlfn.IFNA(INDEX(RulebookFields!I2:I999, MATCH(D2495,RulebookFields!A2:A999, 0)), "")</f>
      </c>
      <c r="K2495" s="3" t="b">
        <f>AND(F2495, J2495)</f>
        <v>0</v>
      </c>
      <c r="L2495" s="3" t="b">
        <f>AND(G2495 &lt;&gt; "plain", G2495 &lt;&gt; "")</f>
        <v>0</v>
      </c>
      <c r="M2495" s="3" t="str">
        <f>IF(E2495, C2495 &amp; "|" &amp; H2495, "")</f>
        <v>principal-knowledge-authority|</v>
      </c>
      <c r="N2495" s="2" t="s">
        <v>9938</v>
      </c>
    </row>
    <row r="2496">
      <c r="A2496" s="2" t="s">
        <v>12432</v>
      </c>
      <c r="B2496" s="3" t="str">
        <f>C2496 &amp; " -&gt; " &amp; D2496</f>
        <v>principal-knowledge-authority -&gt; MessageDeliveries.ExecutionHasClearedLegalReview</v>
      </c>
      <c r="C2496" s="2" t="s">
        <v>9708</v>
      </c>
      <c r="D2496" s="2" t="s">
        <v>4491</v>
      </c>
      <c r="E2496" s="2" t="b">
        <v>1</v>
      </c>
      <c r="F2496" s="2" t="b">
        <v>0</v>
      </c>
      <c r="G2496" s="2" t="s">
        <v>9937</v>
      </c>
      <c r="H2496" s="3" t="str">
        <f>_xlfn.IFNA(INDEX(RulebookFields!C2:C999, MATCH(D2496,RulebookFields!A2:A999, 0)), "")</f>
      </c>
      <c r="I2496" s="3" t="str">
        <f>_xlfn.IFNA(INDEX(RulebookFields!D2:D999, MATCH(D2496,RulebookFields!A2:A999, 0)), "")</f>
      </c>
      <c r="J2496" s="3" t="str">
        <f>_xlfn.IFNA(INDEX(RulebookFields!I2:I999, MATCH(D2496,RulebookFields!A2:A999, 0)), "")</f>
      </c>
      <c r="K2496" s="3" t="b">
        <f>AND(F2496, J2496)</f>
        <v>0</v>
      </c>
      <c r="L2496" s="3" t="b">
        <f>AND(G2496 &lt;&gt; "plain", G2496 &lt;&gt; "")</f>
        <v>0</v>
      </c>
      <c r="M2496" s="3" t="str">
        <f>IF(E2496, C2496 &amp; "|" &amp; H2496, "")</f>
        <v>principal-knowledge-authority|</v>
      </c>
      <c r="N2496" s="2" t="s">
        <v>9938</v>
      </c>
    </row>
    <row r="2497">
      <c r="A2497" s="2" t="s">
        <v>12433</v>
      </c>
      <c r="B2497" s="3" t="str">
        <f>C2497 &amp; " -&gt; " &amp; D2497</f>
        <v>principal-knowledge-authority -&gt; MessageDeliveries.IsUnreviewedSend</v>
      </c>
      <c r="C2497" s="2" t="s">
        <v>9708</v>
      </c>
      <c r="D2497" s="2" t="s">
        <v>4494</v>
      </c>
      <c r="E2497" s="2" t="b">
        <v>1</v>
      </c>
      <c r="F2497" s="2" t="b">
        <v>0</v>
      </c>
      <c r="G2497" s="2" t="s">
        <v>9937</v>
      </c>
      <c r="H2497" s="3" t="str">
        <f>_xlfn.IFNA(INDEX(RulebookFields!C2:C999, MATCH(D2497,RulebookFields!A2:A999, 0)), "")</f>
      </c>
      <c r="I2497" s="3" t="str">
        <f>_xlfn.IFNA(INDEX(RulebookFields!D2:D999, MATCH(D2497,RulebookFields!A2:A999, 0)), "")</f>
      </c>
      <c r="J2497" s="3" t="str">
        <f>_xlfn.IFNA(INDEX(RulebookFields!I2:I999, MATCH(D2497,RulebookFields!A2:A999, 0)), "")</f>
      </c>
      <c r="K2497" s="3" t="b">
        <f>AND(F2497, J2497)</f>
        <v>0</v>
      </c>
      <c r="L2497" s="3" t="b">
        <f>AND(G2497 &lt;&gt; "plain", G2497 &lt;&gt; "")</f>
        <v>0</v>
      </c>
      <c r="M2497" s="3" t="str">
        <f>IF(E2497, C2497 &amp; "|" &amp; H2497, "")</f>
        <v>principal-knowledge-authority|</v>
      </c>
      <c r="N2497" s="2" t="s">
        <v>9938</v>
      </c>
    </row>
    <row r="2498">
      <c r="A2498" s="2" t="s">
        <v>12434</v>
      </c>
      <c r="B2498" s="3" t="str">
        <f>C2498 &amp; " -&gt; " &amp; D2498</f>
        <v>principal-knowledge-authority -&gt; MessageDeliveries.RenderedBodyLength</v>
      </c>
      <c r="C2498" s="2" t="s">
        <v>9708</v>
      </c>
      <c r="D2498" s="2" t="s">
        <v>4497</v>
      </c>
      <c r="E2498" s="2" t="b">
        <v>1</v>
      </c>
      <c r="F2498" s="2" t="b">
        <v>0</v>
      </c>
      <c r="G2498" s="2" t="s">
        <v>9937</v>
      </c>
      <c r="H2498" s="3" t="str">
        <f>_xlfn.IFNA(INDEX(RulebookFields!C2:C999, MATCH(D2498,RulebookFields!A2:A999, 0)), "")</f>
      </c>
      <c r="I2498" s="3" t="str">
        <f>_xlfn.IFNA(INDEX(RulebookFields!D2:D999, MATCH(D2498,RulebookFields!A2:A999, 0)), "")</f>
      </c>
      <c r="J2498" s="3" t="str">
        <f>_xlfn.IFNA(INDEX(RulebookFields!I2:I999, MATCH(D2498,RulebookFields!A2:A999, 0)), "")</f>
      </c>
      <c r="K2498" s="3" t="b">
        <f>AND(F2498, J2498)</f>
        <v>0</v>
      </c>
      <c r="L2498" s="3" t="b">
        <f>AND(G2498 &lt;&gt; "plain", G2498 &lt;&gt; "")</f>
        <v>0</v>
      </c>
      <c r="M2498" s="3" t="str">
        <f>IF(E2498, C2498 &amp; "|" &amp; H2498, "")</f>
        <v>principal-knowledge-authority|</v>
      </c>
      <c r="N2498" s="2" t="s">
        <v>9938</v>
      </c>
    </row>
    <row r="2499">
      <c r="A2499" s="2" t="s">
        <v>12435</v>
      </c>
      <c r="B2499" s="3" t="str">
        <f>C2499 &amp; " -&gt; " &amp; D2499</f>
        <v>principal-knowledge-authority -&gt; MessageDeliveries.PolicyMaxMessageLengthAtSend</v>
      </c>
      <c r="C2499" s="2" t="s">
        <v>9708</v>
      </c>
      <c r="D2499" s="2" t="s">
        <v>4500</v>
      </c>
      <c r="E2499" s="2" t="b">
        <v>1</v>
      </c>
      <c r="F2499" s="2" t="b">
        <v>0</v>
      </c>
      <c r="G2499" s="2" t="s">
        <v>9937</v>
      </c>
      <c r="H2499" s="3" t="str">
        <f>_xlfn.IFNA(INDEX(RulebookFields!C2:C999, MATCH(D2499,RulebookFields!A2:A999, 0)), "")</f>
      </c>
      <c r="I2499" s="3" t="str">
        <f>_xlfn.IFNA(INDEX(RulebookFields!D2:D999, MATCH(D2499,RulebookFields!A2:A999, 0)), "")</f>
      </c>
      <c r="J2499" s="3" t="str">
        <f>_xlfn.IFNA(INDEX(RulebookFields!I2:I999, MATCH(D2499,RulebookFields!A2:A999, 0)), "")</f>
      </c>
      <c r="K2499" s="3" t="b">
        <f>AND(F2499, J2499)</f>
        <v>0</v>
      </c>
      <c r="L2499" s="3" t="b">
        <f>AND(G2499 &lt;&gt; "plain", G2499 &lt;&gt; "")</f>
        <v>0</v>
      </c>
      <c r="M2499" s="3" t="str">
        <f>IF(E2499, C2499 &amp; "|" &amp; H2499, "")</f>
        <v>principal-knowledge-authority|</v>
      </c>
      <c r="N2499" s="2" t="s">
        <v>9938</v>
      </c>
    </row>
    <row r="2500">
      <c r="A2500" s="2" t="s">
        <v>12436</v>
      </c>
      <c r="B2500" s="3" t="str">
        <f>C2500 &amp; " -&gt; " &amp; D2500</f>
        <v>principal-knowledge-authority -&gt; MessageDeliveries.SegmentCount</v>
      </c>
      <c r="C2500" s="2" t="s">
        <v>9708</v>
      </c>
      <c r="D2500" s="2" t="s">
        <v>4503</v>
      </c>
      <c r="E2500" s="2" t="b">
        <v>1</v>
      </c>
      <c r="F2500" s="2" t="b">
        <v>0</v>
      </c>
      <c r="G2500" s="2" t="s">
        <v>9937</v>
      </c>
      <c r="H2500" s="3" t="str">
        <f>_xlfn.IFNA(INDEX(RulebookFields!C2:C999, MATCH(D2500,RulebookFields!A2:A999, 0)), "")</f>
      </c>
      <c r="I2500" s="3" t="str">
        <f>_xlfn.IFNA(INDEX(RulebookFields!D2:D999, MATCH(D2500,RulebookFields!A2:A999, 0)), "")</f>
      </c>
      <c r="J2500" s="3" t="str">
        <f>_xlfn.IFNA(INDEX(RulebookFields!I2:I999, MATCH(D2500,RulebookFields!A2:A999, 0)), "")</f>
      </c>
      <c r="K2500" s="3" t="b">
        <f>AND(F2500, J2500)</f>
        <v>0</v>
      </c>
      <c r="L2500" s="3" t="b">
        <f>AND(G2500 &lt;&gt; "plain", G2500 &lt;&gt; "")</f>
        <v>0</v>
      </c>
      <c r="M2500" s="3" t="str">
        <f>IF(E2500, C2500 &amp; "|" &amp; H2500, "")</f>
        <v>principal-knowledge-authority|</v>
      </c>
      <c r="N2500" s="2" t="s">
        <v>9938</v>
      </c>
    </row>
    <row r="2501">
      <c r="A2501" s="2" t="s">
        <v>12437</v>
      </c>
      <c r="B2501" s="3" t="str">
        <f>C2501 &amp; " -&gt; " &amp; D2501</f>
        <v>principal-knowledge-authority -&gt; MessageDeliveries.PolicyMaxSegmentsAtSend</v>
      </c>
      <c r="C2501" s="2" t="s">
        <v>9708</v>
      </c>
      <c r="D2501" s="2" t="s">
        <v>4506</v>
      </c>
      <c r="E2501" s="2" t="b">
        <v>1</v>
      </c>
      <c r="F2501" s="2" t="b">
        <v>0</v>
      </c>
      <c r="G2501" s="2" t="s">
        <v>9937</v>
      </c>
      <c r="H2501" s="3" t="str">
        <f>_xlfn.IFNA(INDEX(RulebookFields!C2:C999, MATCH(D2501,RulebookFields!A2:A999, 0)), "")</f>
      </c>
      <c r="I2501" s="3" t="str">
        <f>_xlfn.IFNA(INDEX(RulebookFields!D2:D999, MATCH(D2501,RulebookFields!A2:A999, 0)), "")</f>
      </c>
      <c r="J2501" s="3" t="str">
        <f>_xlfn.IFNA(INDEX(RulebookFields!I2:I999, MATCH(D2501,RulebookFields!A2:A999, 0)), "")</f>
      </c>
      <c r="K2501" s="3" t="b">
        <f>AND(F2501, J2501)</f>
        <v>0</v>
      </c>
      <c r="L2501" s="3" t="b">
        <f>AND(G2501 &lt;&gt; "plain", G2501 &lt;&gt; "")</f>
        <v>0</v>
      </c>
      <c r="M2501" s="3" t="str">
        <f>IF(E2501, C2501 &amp; "|" &amp; H2501, "")</f>
        <v>principal-knowledge-authority|</v>
      </c>
      <c r="N2501" s="2" t="s">
        <v>9938</v>
      </c>
    </row>
    <row r="2502">
      <c r="A2502" s="2" t="s">
        <v>12438</v>
      </c>
      <c r="B2502" s="3" t="str">
        <f>C2502 &amp; " -&gt; " &amp; D2502</f>
        <v>principal-knowledge-authority -&gt; MessageDeliveries.IsOverSegmentLimit</v>
      </c>
      <c r="C2502" s="2" t="s">
        <v>9708</v>
      </c>
      <c r="D2502" s="2" t="s">
        <v>4509</v>
      </c>
      <c r="E2502" s="2" t="b">
        <v>1</v>
      </c>
      <c r="F2502" s="2" t="b">
        <v>0</v>
      </c>
      <c r="G2502" s="2" t="s">
        <v>9937</v>
      </c>
      <c r="H2502" s="3" t="str">
        <f>_xlfn.IFNA(INDEX(RulebookFields!C2:C999, MATCH(D2502,RulebookFields!A2:A999, 0)), "")</f>
      </c>
      <c r="I2502" s="3" t="str">
        <f>_xlfn.IFNA(INDEX(RulebookFields!D2:D999, MATCH(D2502,RulebookFields!A2:A999, 0)), "")</f>
      </c>
      <c r="J2502" s="3" t="str">
        <f>_xlfn.IFNA(INDEX(RulebookFields!I2:I999, MATCH(D2502,RulebookFields!A2:A999, 0)), "")</f>
      </c>
      <c r="K2502" s="3" t="b">
        <f>AND(F2502, J2502)</f>
        <v>0</v>
      </c>
      <c r="L2502" s="3" t="b">
        <f>AND(G2502 &lt;&gt; "plain", G2502 &lt;&gt; "")</f>
        <v>0</v>
      </c>
      <c r="M2502" s="3" t="str">
        <f>IF(E2502, C2502 &amp; "|" &amp; H2502, "")</f>
        <v>principal-knowledge-authority|</v>
      </c>
      <c r="N2502" s="2" t="s">
        <v>9938</v>
      </c>
    </row>
    <row r="2503">
      <c r="A2503" s="2" t="s">
        <v>12439</v>
      </c>
      <c r="B2503" s="3" t="str">
        <f>C2503 &amp; " -&gt; " &amp; D2503</f>
        <v>principal-knowledge-authority -&gt; MessageDeliveries.TemplateHasValidApproval</v>
      </c>
      <c r="C2503" s="2" t="s">
        <v>9708</v>
      </c>
      <c r="D2503" s="2" t="s">
        <v>4512</v>
      </c>
      <c r="E2503" s="2" t="b">
        <v>1</v>
      </c>
      <c r="F2503" s="2" t="b">
        <v>0</v>
      </c>
      <c r="G2503" s="2" t="s">
        <v>9937</v>
      </c>
      <c r="H2503" s="3" t="str">
        <f>_xlfn.IFNA(INDEX(RulebookFields!C2:C999, MATCH(D2503,RulebookFields!A2:A999, 0)), "")</f>
      </c>
      <c r="I2503" s="3" t="str">
        <f>_xlfn.IFNA(INDEX(RulebookFields!D2:D999, MATCH(D2503,RulebookFields!A2:A999, 0)), "")</f>
      </c>
      <c r="J2503" s="3" t="str">
        <f>_xlfn.IFNA(INDEX(RulebookFields!I2:I999, MATCH(D2503,RulebookFields!A2:A999, 0)), "")</f>
      </c>
      <c r="K2503" s="3" t="b">
        <f>AND(F2503, J2503)</f>
        <v>0</v>
      </c>
      <c r="L2503" s="3" t="b">
        <f>AND(G2503 &lt;&gt; "plain", G2503 &lt;&gt; "")</f>
        <v>0</v>
      </c>
      <c r="M2503" s="3" t="str">
        <f>IF(E2503, C2503 &amp; "|" &amp; H2503, "")</f>
        <v>principal-knowledge-authority|</v>
      </c>
      <c r="N2503" s="2" t="s">
        <v>9938</v>
      </c>
    </row>
    <row r="2504">
      <c r="A2504" s="2" t="s">
        <v>12440</v>
      </c>
      <c r="B2504" s="3" t="str">
        <f>C2504 &amp; " -&gt; " &amp; D2504</f>
        <v>principal-knowledge-authority -&gt; MessageDeliveries.IsUnapprovedSend</v>
      </c>
      <c r="C2504" s="2" t="s">
        <v>9708</v>
      </c>
      <c r="D2504" s="2" t="s">
        <v>4515</v>
      </c>
      <c r="E2504" s="2" t="b">
        <v>1</v>
      </c>
      <c r="F2504" s="2" t="b">
        <v>0</v>
      </c>
      <c r="G2504" s="2" t="s">
        <v>9937</v>
      </c>
      <c r="H2504" s="3" t="str">
        <f>_xlfn.IFNA(INDEX(RulebookFields!C2:C999, MATCH(D2504,RulebookFields!A2:A999, 0)), "")</f>
      </c>
      <c r="I2504" s="3" t="str">
        <f>_xlfn.IFNA(INDEX(RulebookFields!D2:D999, MATCH(D2504,RulebookFields!A2:A999, 0)), "")</f>
      </c>
      <c r="J2504" s="3" t="str">
        <f>_xlfn.IFNA(INDEX(RulebookFields!I2:I999, MATCH(D2504,RulebookFields!A2:A999, 0)), "")</f>
      </c>
      <c r="K2504" s="3" t="b">
        <f>AND(F2504, J2504)</f>
        <v>0</v>
      </c>
      <c r="L2504" s="3" t="b">
        <f>AND(G2504 &lt;&gt; "plain", G2504 &lt;&gt; "")</f>
        <v>0</v>
      </c>
      <c r="M2504" s="3" t="str">
        <f>IF(E2504, C2504 &amp; "|" &amp; H2504, "")</f>
        <v>principal-knowledge-authority|</v>
      </c>
      <c r="N2504" s="2" t="s">
        <v>9938</v>
      </c>
    </row>
    <row r="2505">
      <c r="A2505" s="2" t="s">
        <v>12441</v>
      </c>
      <c r="B2505" s="3" t="str">
        <f>C2505 &amp; " -&gt; " &amp; D2505</f>
        <v>principal-knowledge-authority -&gt; MessageDeliveries.PolicyRequiredOptOutPhrase</v>
      </c>
      <c r="C2505" s="2" t="s">
        <v>9708</v>
      </c>
      <c r="D2505" s="2" t="s">
        <v>4518</v>
      </c>
      <c r="E2505" s="2" t="b">
        <v>1</v>
      </c>
      <c r="F2505" s="2" t="b">
        <v>0</v>
      </c>
      <c r="G2505" s="2" t="s">
        <v>9937</v>
      </c>
      <c r="H2505" s="3" t="str">
        <f>_xlfn.IFNA(INDEX(RulebookFields!C2:C999, MATCH(D2505,RulebookFields!A2:A999, 0)), "")</f>
      </c>
      <c r="I2505" s="3" t="str">
        <f>_xlfn.IFNA(INDEX(RulebookFields!D2:D999, MATCH(D2505,RulebookFields!A2:A999, 0)), "")</f>
      </c>
      <c r="J2505" s="3" t="str">
        <f>_xlfn.IFNA(INDEX(RulebookFields!I2:I999, MATCH(D2505,RulebookFields!A2:A999, 0)), "")</f>
      </c>
      <c r="K2505" s="3" t="b">
        <f>AND(F2505, J2505)</f>
        <v>0</v>
      </c>
      <c r="L2505" s="3" t="b">
        <f>AND(G2505 &lt;&gt; "plain", G2505 &lt;&gt; "")</f>
        <v>0</v>
      </c>
      <c r="M2505" s="3" t="str">
        <f>IF(E2505, C2505 &amp; "|" &amp; H2505, "")</f>
        <v>principal-knowledge-authority|</v>
      </c>
      <c r="N2505" s="2" t="s">
        <v>9938</v>
      </c>
    </row>
    <row r="2506">
      <c r="A2506" s="2" t="s">
        <v>12442</v>
      </c>
      <c r="B2506" s="3" t="str">
        <f>C2506 &amp; " -&gt; " &amp; D2506</f>
        <v>principal-knowledge-authority -&gt; MessageDeliveries.PolicyRequiresOptOut</v>
      </c>
      <c r="C2506" s="2" t="s">
        <v>9708</v>
      </c>
      <c r="D2506" s="2" t="s">
        <v>4521</v>
      </c>
      <c r="E2506" s="2" t="b">
        <v>1</v>
      </c>
      <c r="F2506" s="2" t="b">
        <v>0</v>
      </c>
      <c r="G2506" s="2" t="s">
        <v>9937</v>
      </c>
      <c r="H2506" s="3" t="str">
        <f>_xlfn.IFNA(INDEX(RulebookFields!C2:C999, MATCH(D2506,RulebookFields!A2:A999, 0)), "")</f>
      </c>
      <c r="I2506" s="3" t="str">
        <f>_xlfn.IFNA(INDEX(RulebookFields!D2:D999, MATCH(D2506,RulebookFields!A2:A999, 0)), "")</f>
      </c>
      <c r="J2506" s="3" t="str">
        <f>_xlfn.IFNA(INDEX(RulebookFields!I2:I999, MATCH(D2506,RulebookFields!A2:A999, 0)), "")</f>
      </c>
      <c r="K2506" s="3" t="b">
        <f>AND(F2506, J2506)</f>
        <v>0</v>
      </c>
      <c r="L2506" s="3" t="b">
        <f>AND(G2506 &lt;&gt; "plain", G2506 &lt;&gt; "")</f>
        <v>0</v>
      </c>
      <c r="M2506" s="3" t="str">
        <f>IF(E2506, C2506 &amp; "|" &amp; H2506, "")</f>
        <v>principal-knowledge-authority|</v>
      </c>
      <c r="N2506" s="2" t="s">
        <v>9938</v>
      </c>
    </row>
    <row r="2507">
      <c r="A2507" s="2" t="s">
        <v>12443</v>
      </c>
      <c r="B2507" s="3" t="str">
        <f>C2507 &amp; " -&gt; " &amp; D2507</f>
        <v>principal-knowledge-authority -&gt; MessageDeliveries.OptOutPhrasePosition</v>
      </c>
      <c r="C2507" s="2" t="s">
        <v>9708</v>
      </c>
      <c r="D2507" s="2" t="s">
        <v>4524</v>
      </c>
      <c r="E2507" s="2" t="b">
        <v>1</v>
      </c>
      <c r="F2507" s="2" t="b">
        <v>0</v>
      </c>
      <c r="G2507" s="2" t="s">
        <v>9937</v>
      </c>
      <c r="H2507" s="3" t="str">
        <f>_xlfn.IFNA(INDEX(RulebookFields!C2:C999, MATCH(D2507,RulebookFields!A2:A999, 0)), "")</f>
      </c>
      <c r="I2507" s="3" t="str">
        <f>_xlfn.IFNA(INDEX(RulebookFields!D2:D999, MATCH(D2507,RulebookFields!A2:A999, 0)), "")</f>
      </c>
      <c r="J2507" s="3" t="str">
        <f>_xlfn.IFNA(INDEX(RulebookFields!I2:I999, MATCH(D2507,RulebookFields!A2:A999, 0)), "")</f>
      </c>
      <c r="K2507" s="3" t="b">
        <f>AND(F2507, J2507)</f>
        <v>0</v>
      </c>
      <c r="L2507" s="3" t="b">
        <f>AND(G2507 &lt;&gt; "plain", G2507 &lt;&gt; "")</f>
        <v>0</v>
      </c>
      <c r="M2507" s="3" t="str">
        <f>IF(E2507, C2507 &amp; "|" &amp; H2507, "")</f>
        <v>principal-knowledge-authority|</v>
      </c>
      <c r="N2507" s="2" t="s">
        <v>9938</v>
      </c>
    </row>
    <row r="2508">
      <c r="A2508" s="2" t="s">
        <v>12444</v>
      </c>
      <c r="B2508" s="3" t="str">
        <f>C2508 &amp; " -&gt; " &amp; D2508</f>
        <v>principal-knowledge-authority -&gt; MessageDeliveries.HasOptOutPhrase</v>
      </c>
      <c r="C2508" s="2" t="s">
        <v>9708</v>
      </c>
      <c r="D2508" s="2" t="s">
        <v>4527</v>
      </c>
      <c r="E2508" s="2" t="b">
        <v>1</v>
      </c>
      <c r="F2508" s="2" t="b">
        <v>0</v>
      </c>
      <c r="G2508" s="2" t="s">
        <v>9937</v>
      </c>
      <c r="H2508" s="3" t="str">
        <f>_xlfn.IFNA(INDEX(RulebookFields!C2:C999, MATCH(D2508,RulebookFields!A2:A999, 0)), "")</f>
      </c>
      <c r="I2508" s="3" t="str">
        <f>_xlfn.IFNA(INDEX(RulebookFields!D2:D999, MATCH(D2508,RulebookFields!A2:A999, 0)), "")</f>
      </c>
      <c r="J2508" s="3" t="str">
        <f>_xlfn.IFNA(INDEX(RulebookFields!I2:I999, MATCH(D2508,RulebookFields!A2:A999, 0)), "")</f>
      </c>
      <c r="K2508" s="3" t="b">
        <f>AND(F2508, J2508)</f>
        <v>0</v>
      </c>
      <c r="L2508" s="3" t="b">
        <f>AND(G2508 &lt;&gt; "plain", G2508 &lt;&gt; "")</f>
        <v>0</v>
      </c>
      <c r="M2508" s="3" t="str">
        <f>IF(E2508, C2508 &amp; "|" &amp; H2508, "")</f>
        <v>principal-knowledge-authority|</v>
      </c>
      <c r="N2508" s="2" t="s">
        <v>9938</v>
      </c>
    </row>
    <row r="2509">
      <c r="A2509" s="2" t="s">
        <v>12445</v>
      </c>
      <c r="B2509" s="3" t="str">
        <f>C2509 &amp; " -&gt; " &amp; D2509</f>
        <v>principal-knowledge-authority -&gt; MessageDeliveries.IsOptOutInFirstSegment</v>
      </c>
      <c r="C2509" s="2" t="s">
        <v>9708</v>
      </c>
      <c r="D2509" s="2" t="s">
        <v>4530</v>
      </c>
      <c r="E2509" s="2" t="b">
        <v>1</v>
      </c>
      <c r="F2509" s="2" t="b">
        <v>0</v>
      </c>
      <c r="G2509" s="2" t="s">
        <v>9937</v>
      </c>
      <c r="H2509" s="3" t="str">
        <f>_xlfn.IFNA(INDEX(RulebookFields!C2:C999, MATCH(D2509,RulebookFields!A2:A999, 0)), "")</f>
      </c>
      <c r="I2509" s="3" t="str">
        <f>_xlfn.IFNA(INDEX(RulebookFields!D2:D999, MATCH(D2509,RulebookFields!A2:A999, 0)), "")</f>
      </c>
      <c r="J2509" s="3" t="str">
        <f>_xlfn.IFNA(INDEX(RulebookFields!I2:I999, MATCH(D2509,RulebookFields!A2:A999, 0)), "")</f>
      </c>
      <c r="K2509" s="3" t="b">
        <f>AND(F2509, J2509)</f>
        <v>0</v>
      </c>
      <c r="L2509" s="3" t="b">
        <f>AND(G2509 &lt;&gt; "plain", G2509 &lt;&gt; "")</f>
        <v>0</v>
      </c>
      <c r="M2509" s="3" t="str">
        <f>IF(E2509, C2509 &amp; "|" &amp; H2509, "")</f>
        <v>principal-knowledge-authority|</v>
      </c>
      <c r="N2509" s="2" t="s">
        <v>9938</v>
      </c>
    </row>
    <row r="2510">
      <c r="A2510" s="2" t="s">
        <v>12446</v>
      </c>
      <c r="B2510" s="3" t="str">
        <f>C2510 &amp; " -&gt; " &amp; D2510</f>
        <v>principal-knowledge-authority -&gt; MessageDeliveries.IsMissingRequiredOptOut</v>
      </c>
      <c r="C2510" s="2" t="s">
        <v>9708</v>
      </c>
      <c r="D2510" s="2" t="s">
        <v>4533</v>
      </c>
      <c r="E2510" s="2" t="b">
        <v>1</v>
      </c>
      <c r="F2510" s="2" t="b">
        <v>0</v>
      </c>
      <c r="G2510" s="2" t="s">
        <v>9937</v>
      </c>
      <c r="H2510" s="3" t="str">
        <f>_xlfn.IFNA(INDEX(RulebookFields!C2:C999, MATCH(D2510,RulebookFields!A2:A999, 0)), "")</f>
      </c>
      <c r="I2510" s="3" t="str">
        <f>_xlfn.IFNA(INDEX(RulebookFields!D2:D999, MATCH(D2510,RulebookFields!A2:A999, 0)), "")</f>
      </c>
      <c r="J2510" s="3" t="str">
        <f>_xlfn.IFNA(INDEX(RulebookFields!I2:I999, MATCH(D2510,RulebookFields!A2:A999, 0)), "")</f>
      </c>
      <c r="K2510" s="3" t="b">
        <f>AND(F2510, J2510)</f>
        <v>0</v>
      </c>
      <c r="L2510" s="3" t="b">
        <f>AND(G2510 &lt;&gt; "plain", G2510 &lt;&gt; "")</f>
        <v>0</v>
      </c>
      <c r="M2510" s="3" t="str">
        <f>IF(E2510, C2510 &amp; "|" &amp; H2510, "")</f>
        <v>principal-knowledge-authority|</v>
      </c>
      <c r="N2510" s="2" t="s">
        <v>9938</v>
      </c>
    </row>
    <row r="2511">
      <c r="A2511" s="2" t="s">
        <v>12447</v>
      </c>
      <c r="B2511" s="3" t="str">
        <f>C2511 &amp; " -&gt; " &amp; D2511</f>
        <v>principal-knowledge-authority -&gt; MessageDeliveries.IsOptOutAtRiskOfTruncation</v>
      </c>
      <c r="C2511" s="2" t="s">
        <v>9708</v>
      </c>
      <c r="D2511" s="2" t="s">
        <v>4536</v>
      </c>
      <c r="E2511" s="2" t="b">
        <v>1</v>
      </c>
      <c r="F2511" s="2" t="b">
        <v>0</v>
      </c>
      <c r="G2511" s="2" t="s">
        <v>9937</v>
      </c>
      <c r="H2511" s="3" t="str">
        <f>_xlfn.IFNA(INDEX(RulebookFields!C2:C999, MATCH(D2511,RulebookFields!A2:A999, 0)), "")</f>
      </c>
      <c r="I2511" s="3" t="str">
        <f>_xlfn.IFNA(INDEX(RulebookFields!D2:D999, MATCH(D2511,RulebookFields!A2:A999, 0)), "")</f>
      </c>
      <c r="J2511" s="3" t="str">
        <f>_xlfn.IFNA(INDEX(RulebookFields!I2:I999, MATCH(D2511,RulebookFields!A2:A999, 0)), "")</f>
      </c>
      <c r="K2511" s="3" t="b">
        <f>AND(F2511, J2511)</f>
        <v>0</v>
      </c>
      <c r="L2511" s="3" t="b">
        <f>AND(G2511 &lt;&gt; "plain", G2511 &lt;&gt; "")</f>
        <v>0</v>
      </c>
      <c r="M2511" s="3" t="str">
        <f>IF(E2511, C2511 &amp; "|" &amp; H2511, "")</f>
        <v>principal-knowledge-authority|</v>
      </c>
      <c r="N2511" s="2" t="s">
        <v>9938</v>
      </c>
    </row>
    <row r="2512">
      <c r="A2512" s="2" t="s">
        <v>12448</v>
      </c>
      <c r="B2512" s="3" t="str">
        <f>C2512 &amp; " -&gt; " &amp; D2512</f>
        <v>principal-knowledge-authority -&gt; MessageDeliveries.IsFailedDelivery</v>
      </c>
      <c r="C2512" s="2" t="s">
        <v>9708</v>
      </c>
      <c r="D2512" s="2" t="s">
        <v>4539</v>
      </c>
      <c r="E2512" s="2" t="b">
        <v>1</v>
      </c>
      <c r="F2512" s="2" t="b">
        <v>0</v>
      </c>
      <c r="G2512" s="2" t="s">
        <v>9937</v>
      </c>
      <c r="H2512" s="3" t="str">
        <f>_xlfn.IFNA(INDEX(RulebookFields!C2:C999, MATCH(D2512,RulebookFields!A2:A999, 0)), "")</f>
      </c>
      <c r="I2512" s="3" t="str">
        <f>_xlfn.IFNA(INDEX(RulebookFields!D2:D999, MATCH(D2512,RulebookFields!A2:A999, 0)), "")</f>
      </c>
      <c r="J2512" s="3" t="str">
        <f>_xlfn.IFNA(INDEX(RulebookFields!I2:I999, MATCH(D2512,RulebookFields!A2:A999, 0)), "")</f>
      </c>
      <c r="K2512" s="3" t="b">
        <f>AND(F2512, J2512)</f>
        <v>0</v>
      </c>
      <c r="L2512" s="3" t="b">
        <f>AND(G2512 &lt;&gt; "plain", G2512 &lt;&gt; "")</f>
        <v>0</v>
      </c>
      <c r="M2512" s="3" t="str">
        <f>IF(E2512, C2512 &amp; "|" &amp; H2512, "")</f>
        <v>principal-knowledge-authority|</v>
      </c>
      <c r="N2512" s="2" t="s">
        <v>9938</v>
      </c>
    </row>
    <row r="2513">
      <c r="A2513" s="2" t="s">
        <v>12449</v>
      </c>
      <c r="B2513" s="3" t="str">
        <f>C2513 &amp; " -&gt; " &amp; D2513</f>
        <v>principal-knowledge-authority -&gt; MessageDeliveries.IsSuppressed</v>
      </c>
      <c r="C2513" s="2" t="s">
        <v>9708</v>
      </c>
      <c r="D2513" s="2" t="s">
        <v>4542</v>
      </c>
      <c r="E2513" s="2" t="b">
        <v>1</v>
      </c>
      <c r="F2513" s="2" t="b">
        <v>0</v>
      </c>
      <c r="G2513" s="2" t="s">
        <v>9937</v>
      </c>
      <c r="H2513" s="3" t="str">
        <f>_xlfn.IFNA(INDEX(RulebookFields!C2:C999, MATCH(D2513,RulebookFields!A2:A999, 0)), "")</f>
      </c>
      <c r="I2513" s="3" t="str">
        <f>_xlfn.IFNA(INDEX(RulebookFields!D2:D999, MATCH(D2513,RulebookFields!A2:A999, 0)), "")</f>
      </c>
      <c r="J2513" s="3" t="str">
        <f>_xlfn.IFNA(INDEX(RulebookFields!I2:I999, MATCH(D2513,RulebookFields!A2:A999, 0)), "")</f>
      </c>
      <c r="K2513" s="3" t="b">
        <f>AND(F2513, J2513)</f>
        <v>0</v>
      </c>
      <c r="L2513" s="3" t="b">
        <f>AND(G2513 &lt;&gt; "plain", G2513 &lt;&gt; "")</f>
        <v>0</v>
      </c>
      <c r="M2513" s="3" t="str">
        <f>IF(E2513, C2513 &amp; "|" &amp; H2513, "")</f>
        <v>principal-knowledge-authority|</v>
      </c>
      <c r="N2513" s="2" t="s">
        <v>9938</v>
      </c>
    </row>
    <row r="2514">
      <c r="A2514" s="2" t="s">
        <v>12450</v>
      </c>
      <c r="B2514" s="3" t="str">
        <f>C2514 &amp; " -&gt; " &amp; D2514</f>
        <v>principal-knowledge-authority -&gt; MessageDeliveries.IsTriaged</v>
      </c>
      <c r="C2514" s="2" t="s">
        <v>9708</v>
      </c>
      <c r="D2514" s="2" t="s">
        <v>4545</v>
      </c>
      <c r="E2514" s="2" t="b">
        <v>1</v>
      </c>
      <c r="F2514" s="2" t="b">
        <v>0</v>
      </c>
      <c r="G2514" s="2" t="s">
        <v>9937</v>
      </c>
      <c r="H2514" s="3" t="str">
        <f>_xlfn.IFNA(INDEX(RulebookFields!C2:C999, MATCH(D2514,RulebookFields!A2:A999, 0)), "")</f>
      </c>
      <c r="I2514" s="3" t="str">
        <f>_xlfn.IFNA(INDEX(RulebookFields!D2:D999, MATCH(D2514,RulebookFields!A2:A999, 0)), "")</f>
      </c>
      <c r="J2514" s="3" t="str">
        <f>_xlfn.IFNA(INDEX(RulebookFields!I2:I999, MATCH(D2514,RulebookFields!A2:A999, 0)), "")</f>
      </c>
      <c r="K2514" s="3" t="b">
        <f>AND(F2514, J2514)</f>
        <v>0</v>
      </c>
      <c r="L2514" s="3" t="b">
        <f>AND(G2514 &lt;&gt; "plain", G2514 &lt;&gt; "")</f>
        <v>0</v>
      </c>
      <c r="M2514" s="3" t="str">
        <f>IF(E2514, C2514 &amp; "|" &amp; H2514, "")</f>
        <v>principal-knowledge-authority|</v>
      </c>
      <c r="N2514" s="2" t="s">
        <v>9938</v>
      </c>
    </row>
    <row r="2515">
      <c r="A2515" s="2" t="s">
        <v>12451</v>
      </c>
      <c r="B2515" s="3" t="str">
        <f>C2515 &amp; " -&gt; " &amp; D2515</f>
        <v>principal-knowledge-authority -&gt; MessageDeliveries.IsAbandonedFailure</v>
      </c>
      <c r="C2515" s="2" t="s">
        <v>9708</v>
      </c>
      <c r="D2515" s="2" t="s">
        <v>4548</v>
      </c>
      <c r="E2515" s="2" t="b">
        <v>1</v>
      </c>
      <c r="F2515" s="2" t="b">
        <v>0</v>
      </c>
      <c r="G2515" s="2" t="s">
        <v>9937</v>
      </c>
      <c r="H2515" s="3" t="str">
        <f>_xlfn.IFNA(INDEX(RulebookFields!C2:C999, MATCH(D2515,RulebookFields!A2:A999, 0)), "")</f>
      </c>
      <c r="I2515" s="3" t="str">
        <f>_xlfn.IFNA(INDEX(RulebookFields!D2:D999, MATCH(D2515,RulebookFields!A2:A999, 0)), "")</f>
      </c>
      <c r="J2515" s="3" t="str">
        <f>_xlfn.IFNA(INDEX(RulebookFields!I2:I999, MATCH(D2515,RulebookFields!A2:A999, 0)), "")</f>
      </c>
      <c r="K2515" s="3" t="b">
        <f>AND(F2515, J2515)</f>
        <v>0</v>
      </c>
      <c r="L2515" s="3" t="b">
        <f>AND(G2515 &lt;&gt; "plain", G2515 &lt;&gt; "")</f>
        <v>0</v>
      </c>
      <c r="M2515" s="3" t="str">
        <f>IF(E2515, C2515 &amp; "|" &amp; H2515, "")</f>
        <v>principal-knowledge-authority|</v>
      </c>
      <c r="N2515" s="2" t="s">
        <v>9938</v>
      </c>
    </row>
    <row r="2516">
      <c r="A2516" s="2" t="s">
        <v>12452</v>
      </c>
      <c r="B2516" s="3" t="str">
        <f>C2516 &amp; " -&gt; " &amp; D2516</f>
        <v>principal-knowledge-authority -&gt; MessageDeliveries.AbandonedFailureExecutionKey</v>
      </c>
      <c r="C2516" s="2" t="s">
        <v>9708</v>
      </c>
      <c r="D2516" s="2" t="s">
        <v>4551</v>
      </c>
      <c r="E2516" s="2" t="b">
        <v>1</v>
      </c>
      <c r="F2516" s="2" t="b">
        <v>0</v>
      </c>
      <c r="G2516" s="2" t="s">
        <v>9937</v>
      </c>
      <c r="H2516" s="3" t="str">
        <f>_xlfn.IFNA(INDEX(RulebookFields!C2:C999, MATCH(D2516,RulebookFields!A2:A999, 0)), "")</f>
      </c>
      <c r="I2516" s="3" t="str">
        <f>_xlfn.IFNA(INDEX(RulebookFields!D2:D999, MATCH(D2516,RulebookFields!A2:A999, 0)), "")</f>
      </c>
      <c r="J2516" s="3" t="str">
        <f>_xlfn.IFNA(INDEX(RulebookFields!I2:I999, MATCH(D2516,RulebookFields!A2:A999, 0)), "")</f>
      </c>
      <c r="K2516" s="3" t="b">
        <f>AND(F2516, J2516)</f>
        <v>0</v>
      </c>
      <c r="L2516" s="3" t="b">
        <f>AND(G2516 &lt;&gt; "plain", G2516 &lt;&gt; "")</f>
        <v>0</v>
      </c>
      <c r="M2516" s="3" t="str">
        <f>IF(E2516, C2516 &amp; "|" &amp; H2516, "")</f>
        <v>principal-knowledge-authority|</v>
      </c>
      <c r="N2516" s="2" t="s">
        <v>9938</v>
      </c>
    </row>
    <row r="2517">
      <c r="A2517" s="2" t="s">
        <v>12453</v>
      </c>
      <c r="B2517" s="3" t="str">
        <f>C2517 &amp; " -&gt; " &amp; D2517</f>
        <v>principal-knowledge-authority -&gt; MessageDeliveries.ReachedExecutionKey</v>
      </c>
      <c r="C2517" s="2" t="s">
        <v>9708</v>
      </c>
      <c r="D2517" s="2" t="s">
        <v>4554</v>
      </c>
      <c r="E2517" s="2" t="b">
        <v>1</v>
      </c>
      <c r="F2517" s="2" t="b">
        <v>0</v>
      </c>
      <c r="G2517" s="2" t="s">
        <v>9937</v>
      </c>
      <c r="H2517" s="3" t="str">
        <f>_xlfn.IFNA(INDEX(RulebookFields!C2:C999, MATCH(D2517,RulebookFields!A2:A999, 0)), "")</f>
      </c>
      <c r="I2517" s="3" t="str">
        <f>_xlfn.IFNA(INDEX(RulebookFields!D2:D999, MATCH(D2517,RulebookFields!A2:A999, 0)), "")</f>
      </c>
      <c r="J2517" s="3" t="str">
        <f>_xlfn.IFNA(INDEX(RulebookFields!I2:I999, MATCH(D2517,RulebookFields!A2:A999, 0)), "")</f>
      </c>
      <c r="K2517" s="3" t="b">
        <f>AND(F2517, J2517)</f>
        <v>0</v>
      </c>
      <c r="L2517" s="3" t="b">
        <f>AND(G2517 &lt;&gt; "plain", G2517 &lt;&gt; "")</f>
        <v>0</v>
      </c>
      <c r="M2517" s="3" t="str">
        <f>IF(E2517, C2517 &amp; "|" &amp; H2517, "")</f>
        <v>principal-knowledge-authority|</v>
      </c>
      <c r="N2517" s="2" t="s">
        <v>9938</v>
      </c>
    </row>
    <row r="2518">
      <c r="A2518" s="2" t="s">
        <v>12454</v>
      </c>
      <c r="B2518" s="3" t="str">
        <f>C2518 &amp; " -&gt; " &amp; D2518</f>
        <v>principal-knowledge-authority -&gt; MessageDeliveries.TemplateWasSendable</v>
      </c>
      <c r="C2518" s="2" t="s">
        <v>9708</v>
      </c>
      <c r="D2518" s="2" t="s">
        <v>4557</v>
      </c>
      <c r="E2518" s="2" t="b">
        <v>1</v>
      </c>
      <c r="F2518" s="2" t="b">
        <v>0</v>
      </c>
      <c r="G2518" s="2" t="s">
        <v>9937</v>
      </c>
      <c r="H2518" s="3" t="str">
        <f>_xlfn.IFNA(INDEX(RulebookFields!C2:C999, MATCH(D2518,RulebookFields!A2:A999, 0)), "")</f>
      </c>
      <c r="I2518" s="3" t="str">
        <f>_xlfn.IFNA(INDEX(RulebookFields!D2:D999, MATCH(D2518,RulebookFields!A2:A999, 0)), "")</f>
      </c>
      <c r="J2518" s="3" t="str">
        <f>_xlfn.IFNA(INDEX(RulebookFields!I2:I999, MATCH(D2518,RulebookFields!A2:A999, 0)), "")</f>
      </c>
      <c r="K2518" s="3" t="b">
        <f>AND(F2518, J2518)</f>
        <v>0</v>
      </c>
      <c r="L2518" s="3" t="b">
        <f>AND(G2518 &lt;&gt; "plain", G2518 &lt;&gt; "")</f>
        <v>0</v>
      </c>
      <c r="M2518" s="3" t="str">
        <f>IF(E2518, C2518 &amp; "|" &amp; H2518, "")</f>
        <v>principal-knowledge-authority|</v>
      </c>
      <c r="N2518" s="2" t="s">
        <v>9938</v>
      </c>
    </row>
    <row r="2519">
      <c r="A2519" s="2" t="s">
        <v>12455</v>
      </c>
      <c r="B2519" s="3" t="str">
        <f>C2519 &amp; " -&gt; " &amp; D2519</f>
        <v>principal-knowledge-authority -&gt; MessageDeliveries.IsDriftedSend</v>
      </c>
      <c r="C2519" s="2" t="s">
        <v>9708</v>
      </c>
      <c r="D2519" s="2" t="s">
        <v>4560</v>
      </c>
      <c r="E2519" s="2" t="b">
        <v>1</v>
      </c>
      <c r="F2519" s="2" t="b">
        <v>0</v>
      </c>
      <c r="G2519" s="2" t="s">
        <v>9937</v>
      </c>
      <c r="H2519" s="3" t="str">
        <f>_xlfn.IFNA(INDEX(RulebookFields!C2:C999, MATCH(D2519,RulebookFields!A2:A999, 0)), "")</f>
      </c>
      <c r="I2519" s="3" t="str">
        <f>_xlfn.IFNA(INDEX(RulebookFields!D2:D999, MATCH(D2519,RulebookFields!A2:A999, 0)), "")</f>
      </c>
      <c r="J2519" s="3" t="str">
        <f>_xlfn.IFNA(INDEX(RulebookFields!I2:I999, MATCH(D2519,RulebookFields!A2:A999, 0)), "")</f>
      </c>
      <c r="K2519" s="3" t="b">
        <f>AND(F2519, J2519)</f>
        <v>0</v>
      </c>
      <c r="L2519" s="3" t="b">
        <f>AND(G2519 &lt;&gt; "plain", G2519 &lt;&gt; "")</f>
        <v>0</v>
      </c>
      <c r="M2519" s="3" t="str">
        <f>IF(E2519, C2519 &amp; "|" &amp; H2519, "")</f>
        <v>principal-knowledge-authority|</v>
      </c>
      <c r="N2519" s="2" t="s">
        <v>9938</v>
      </c>
    </row>
    <row r="2520">
      <c r="A2520" s="2" t="s">
        <v>12456</v>
      </c>
      <c r="B2520" s="3" t="str">
        <f>C2520 &amp; " -&gt; " &amp; D2520</f>
        <v>principal-knowledge-authority -&gt; MessageDeliveries.DriftedSendTemplateKey</v>
      </c>
      <c r="C2520" s="2" t="s">
        <v>9708</v>
      </c>
      <c r="D2520" s="2" t="s">
        <v>4563</v>
      </c>
      <c r="E2520" s="2" t="b">
        <v>1</v>
      </c>
      <c r="F2520" s="2" t="b">
        <v>0</v>
      </c>
      <c r="G2520" s="2" t="s">
        <v>9937</v>
      </c>
      <c r="H2520" s="3" t="str">
        <f>_xlfn.IFNA(INDEX(RulebookFields!C2:C999, MATCH(D2520,RulebookFields!A2:A999, 0)), "")</f>
      </c>
      <c r="I2520" s="3" t="str">
        <f>_xlfn.IFNA(INDEX(RulebookFields!D2:D999, MATCH(D2520,RulebookFields!A2:A999, 0)), "")</f>
      </c>
      <c r="J2520" s="3" t="str">
        <f>_xlfn.IFNA(INDEX(RulebookFields!I2:I999, MATCH(D2520,RulebookFields!A2:A999, 0)), "")</f>
      </c>
      <c r="K2520" s="3" t="b">
        <f>AND(F2520, J2520)</f>
        <v>0</v>
      </c>
      <c r="L2520" s="3" t="b">
        <f>AND(G2520 &lt;&gt; "plain", G2520 &lt;&gt; "")</f>
        <v>0</v>
      </c>
      <c r="M2520" s="3" t="str">
        <f>IF(E2520, C2520 &amp; "|" &amp; H2520, "")</f>
        <v>principal-knowledge-authority|</v>
      </c>
      <c r="N2520" s="2" t="s">
        <v>9938</v>
      </c>
    </row>
    <row r="2521">
      <c r="A2521" s="2" t="s">
        <v>12457</v>
      </c>
      <c r="B2521" s="3" t="str">
        <f>C2521 &amp; " -&gt; " &amp; D2521</f>
        <v>principal-knowledge-authority -&gt; MessageDeliveries.WasSentOutsideBusinessHours</v>
      </c>
      <c r="C2521" s="2" t="s">
        <v>9708</v>
      </c>
      <c r="D2521" s="2" t="s">
        <v>4566</v>
      </c>
      <c r="E2521" s="2" t="b">
        <v>1</v>
      </c>
      <c r="F2521" s="2" t="b">
        <v>0</v>
      </c>
      <c r="G2521" s="2" t="s">
        <v>9937</v>
      </c>
      <c r="H2521" s="3" t="str">
        <f>_xlfn.IFNA(INDEX(RulebookFields!C2:C999, MATCH(D2521,RulebookFields!A2:A999, 0)), "")</f>
      </c>
      <c r="I2521" s="3" t="str">
        <f>_xlfn.IFNA(INDEX(RulebookFields!D2:D999, MATCH(D2521,RulebookFields!A2:A999, 0)), "")</f>
      </c>
      <c r="J2521" s="3" t="str">
        <f>_xlfn.IFNA(INDEX(RulebookFields!I2:I999, MATCH(D2521,RulebookFields!A2:A999, 0)), "")</f>
      </c>
      <c r="K2521" s="3" t="b">
        <f>AND(F2521, J2521)</f>
        <v>0</v>
      </c>
      <c r="L2521" s="3" t="b">
        <f>AND(G2521 &lt;&gt; "plain", G2521 &lt;&gt; "")</f>
        <v>0</v>
      </c>
      <c r="M2521" s="3" t="str">
        <f>IF(E2521, C2521 &amp; "|" &amp; H2521, "")</f>
        <v>principal-knowledge-authority|</v>
      </c>
      <c r="N2521" s="2" t="s">
        <v>9938</v>
      </c>
    </row>
    <row r="2522">
      <c r="A2522" s="2" t="s">
        <v>12458</v>
      </c>
      <c r="B2522" s="3" t="str">
        <f>C2522 &amp; " -&gt; " &amp; D2522</f>
        <v>principal-knowledge-authority -&gt; MessageDeliveries.WasDeliveredAndUnanswered</v>
      </c>
      <c r="C2522" s="2" t="s">
        <v>9708</v>
      </c>
      <c r="D2522" s="2" t="s">
        <v>4569</v>
      </c>
      <c r="E2522" s="2" t="b">
        <v>1</v>
      </c>
      <c r="F2522" s="2" t="b">
        <v>0</v>
      </c>
      <c r="G2522" s="2" t="s">
        <v>9937</v>
      </c>
      <c r="H2522" s="3" t="str">
        <f>_xlfn.IFNA(INDEX(RulebookFields!C2:C999, MATCH(D2522,RulebookFields!A2:A999, 0)), "")</f>
      </c>
      <c r="I2522" s="3" t="str">
        <f>_xlfn.IFNA(INDEX(RulebookFields!D2:D999, MATCH(D2522,RulebookFields!A2:A999, 0)), "")</f>
      </c>
      <c r="J2522" s="3" t="str">
        <f>_xlfn.IFNA(INDEX(RulebookFields!I2:I999, MATCH(D2522,RulebookFields!A2:A999, 0)), "")</f>
      </c>
      <c r="K2522" s="3" t="b">
        <f>AND(F2522, J2522)</f>
        <v>0</v>
      </c>
      <c r="L2522" s="3" t="b">
        <f>AND(G2522 &lt;&gt; "plain", G2522 &lt;&gt; "")</f>
        <v>0</v>
      </c>
      <c r="M2522" s="3" t="str">
        <f>IF(E2522, C2522 &amp; "|" &amp; H2522, "")</f>
        <v>principal-knowledge-authority|</v>
      </c>
      <c r="N2522" s="2" t="s">
        <v>9938</v>
      </c>
    </row>
    <row r="2523">
      <c r="A2523" s="2" t="s">
        <v>12459</v>
      </c>
      <c r="B2523" s="3" t="str">
        <f>C2523 &amp; " -&gt; " &amp; D2523</f>
        <v>principal-knowledge-authority -&gt; MessageDeliveries.IsPoorlyTimedUnanswered</v>
      </c>
      <c r="C2523" s="2" t="s">
        <v>9708</v>
      </c>
      <c r="D2523" s="2" t="s">
        <v>4572</v>
      </c>
      <c r="E2523" s="2" t="b">
        <v>1</v>
      </c>
      <c r="F2523" s="2" t="b">
        <v>0</v>
      </c>
      <c r="G2523" s="2" t="s">
        <v>9937</v>
      </c>
      <c r="H2523" s="3" t="str">
        <f>_xlfn.IFNA(INDEX(RulebookFields!C2:C999, MATCH(D2523,RulebookFields!A2:A999, 0)), "")</f>
      </c>
      <c r="I2523" s="3" t="str">
        <f>_xlfn.IFNA(INDEX(RulebookFields!D2:D999, MATCH(D2523,RulebookFields!A2:A999, 0)), "")</f>
      </c>
      <c r="J2523" s="3" t="str">
        <f>_xlfn.IFNA(INDEX(RulebookFields!I2:I999, MATCH(D2523,RulebookFields!A2:A999, 0)), "")</f>
      </c>
      <c r="K2523" s="3" t="b">
        <f>AND(F2523, J2523)</f>
        <v>0</v>
      </c>
      <c r="L2523" s="3" t="b">
        <f>AND(G2523 &lt;&gt; "plain", G2523 &lt;&gt; "")</f>
        <v>0</v>
      </c>
      <c r="M2523" s="3" t="str">
        <f>IF(E2523, C2523 &amp; "|" &amp; H2523, "")</f>
        <v>principal-knowledge-authority|</v>
      </c>
      <c r="N2523" s="2" t="s">
        <v>9938</v>
      </c>
    </row>
    <row r="2524">
      <c r="A2524" s="2" t="s">
        <v>12460</v>
      </c>
      <c r="B2524" s="3" t="str">
        <f>C2524 &amp; " -&gt; " &amp; D2524</f>
        <v>principal-knowledge-authority -&gt; MessageDeliveries.IsWellTimedUnanswered</v>
      </c>
      <c r="C2524" s="2" t="s">
        <v>9708</v>
      </c>
      <c r="D2524" s="2" t="s">
        <v>4575</v>
      </c>
      <c r="E2524" s="2" t="b">
        <v>1</v>
      </c>
      <c r="F2524" s="2" t="b">
        <v>0</v>
      </c>
      <c r="G2524" s="2" t="s">
        <v>9937</v>
      </c>
      <c r="H2524" s="3" t="str">
        <f>_xlfn.IFNA(INDEX(RulebookFields!C2:C999, MATCH(D2524,RulebookFields!A2:A999, 0)), "")</f>
      </c>
      <c r="I2524" s="3" t="str">
        <f>_xlfn.IFNA(INDEX(RulebookFields!D2:D999, MATCH(D2524,RulebookFields!A2:A999, 0)), "")</f>
      </c>
      <c r="J2524" s="3" t="str">
        <f>_xlfn.IFNA(INDEX(RulebookFields!I2:I999, MATCH(D2524,RulebookFields!A2:A999, 0)), "")</f>
      </c>
      <c r="K2524" s="3" t="b">
        <f>AND(F2524, J2524)</f>
        <v>0</v>
      </c>
      <c r="L2524" s="3" t="b">
        <f>AND(G2524 &lt;&gt; "plain", G2524 &lt;&gt; "")</f>
        <v>0</v>
      </c>
      <c r="M2524" s="3" t="str">
        <f>IF(E2524, C2524 &amp; "|" &amp; H2524, "")</f>
        <v>principal-knowledge-authority|</v>
      </c>
      <c r="N2524" s="2" t="s">
        <v>9938</v>
      </c>
    </row>
    <row r="2525">
      <c r="A2525" s="2" t="s">
        <v>12461</v>
      </c>
      <c r="B2525" s="3" t="str">
        <f>C2525 &amp; " -&gt; " &amp; D2525</f>
        <v>principal-knowledge-authority -&gt; MessageDeliveries.UnansweredTemplateKey</v>
      </c>
      <c r="C2525" s="2" t="s">
        <v>9708</v>
      </c>
      <c r="D2525" s="2" t="s">
        <v>4578</v>
      </c>
      <c r="E2525" s="2" t="b">
        <v>1</v>
      </c>
      <c r="F2525" s="2" t="b">
        <v>0</v>
      </c>
      <c r="G2525" s="2" t="s">
        <v>9937</v>
      </c>
      <c r="H2525" s="3" t="str">
        <f>_xlfn.IFNA(INDEX(RulebookFields!C2:C999, MATCH(D2525,RulebookFields!A2:A999, 0)), "")</f>
      </c>
      <c r="I2525" s="3" t="str">
        <f>_xlfn.IFNA(INDEX(RulebookFields!D2:D999, MATCH(D2525,RulebookFields!A2:A999, 0)), "")</f>
      </c>
      <c r="J2525" s="3" t="str">
        <f>_xlfn.IFNA(INDEX(RulebookFields!I2:I999, MATCH(D2525,RulebookFields!A2:A999, 0)), "")</f>
      </c>
      <c r="K2525" s="3" t="b">
        <f>AND(F2525, J2525)</f>
        <v>0</v>
      </c>
      <c r="L2525" s="3" t="b">
        <f>AND(G2525 &lt;&gt; "plain", G2525 &lt;&gt; "")</f>
        <v>0</v>
      </c>
      <c r="M2525" s="3" t="str">
        <f>IF(E2525, C2525 &amp; "|" &amp; H2525, "")</f>
        <v>principal-knowledge-authority|</v>
      </c>
      <c r="N2525" s="2" t="s">
        <v>9938</v>
      </c>
    </row>
    <row r="2526">
      <c r="A2526" s="2" t="s">
        <v>12462</v>
      </c>
      <c r="B2526" s="3" t="str">
        <f>C2526 &amp; " -&gt; " &amp; D2526</f>
        <v>principal-knowledge-authority -&gt; MessageDeliveries.TransmittedTemplateKey</v>
      </c>
      <c r="C2526" s="2" t="s">
        <v>9708</v>
      </c>
      <c r="D2526" s="2" t="s">
        <v>4581</v>
      </c>
      <c r="E2526" s="2" t="b">
        <v>1</v>
      </c>
      <c r="F2526" s="2" t="b">
        <v>0</v>
      </c>
      <c r="G2526" s="2" t="s">
        <v>9937</v>
      </c>
      <c r="H2526" s="3" t="str">
        <f>_xlfn.IFNA(INDEX(RulebookFields!C2:C999, MATCH(D2526,RulebookFields!A2:A999, 0)), "")</f>
      </c>
      <c r="I2526" s="3" t="str">
        <f>_xlfn.IFNA(INDEX(RulebookFields!D2:D999, MATCH(D2526,RulebookFields!A2:A999, 0)), "")</f>
      </c>
      <c r="J2526" s="3" t="str">
        <f>_xlfn.IFNA(INDEX(RulebookFields!I2:I999, MATCH(D2526,RulebookFields!A2:A999, 0)), "")</f>
      </c>
      <c r="K2526" s="3" t="b">
        <f>AND(F2526, J2526)</f>
        <v>0</v>
      </c>
      <c r="L2526" s="3" t="b">
        <f>AND(G2526 &lt;&gt; "plain", G2526 &lt;&gt; "")</f>
        <v>0</v>
      </c>
      <c r="M2526" s="3" t="str">
        <f>IF(E2526, C2526 &amp; "|" &amp; H2526, "")</f>
        <v>principal-knowledge-authority|</v>
      </c>
      <c r="N2526" s="2" t="s">
        <v>9938</v>
      </c>
    </row>
    <row r="2527">
      <c r="A2527" s="2" t="s">
        <v>12463</v>
      </c>
      <c r="B2527" s="3" t="str">
        <f>C2527 &amp; " -&gt; " &amp; D2527</f>
        <v>principal-knowledge-authority -&gt; MessageDeliveries.ApprovingAgentAtSend</v>
      </c>
      <c r="C2527" s="2" t="s">
        <v>9708</v>
      </c>
      <c r="D2527" s="2" t="s">
        <v>4584</v>
      </c>
      <c r="E2527" s="2" t="b">
        <v>1</v>
      </c>
      <c r="F2527" s="2" t="b">
        <v>0</v>
      </c>
      <c r="G2527" s="2" t="s">
        <v>9937</v>
      </c>
      <c r="H2527" s="3" t="str">
        <f>_xlfn.IFNA(INDEX(RulebookFields!C2:C999, MATCH(D2527,RulebookFields!A2:A999, 0)), "")</f>
      </c>
      <c r="I2527" s="3" t="str">
        <f>_xlfn.IFNA(INDEX(RulebookFields!D2:D999, MATCH(D2527,RulebookFields!A2:A999, 0)), "")</f>
      </c>
      <c r="J2527" s="3" t="str">
        <f>_xlfn.IFNA(INDEX(RulebookFields!I2:I999, MATCH(D2527,RulebookFields!A2:A999, 0)), "")</f>
      </c>
      <c r="K2527" s="3" t="b">
        <f>AND(F2527, J2527)</f>
        <v>0</v>
      </c>
      <c r="L2527" s="3" t="b">
        <f>AND(G2527 &lt;&gt; "plain", G2527 &lt;&gt; "")</f>
        <v>0</v>
      </c>
      <c r="M2527" s="3" t="str">
        <f>IF(E2527, C2527 &amp; "|" &amp; H2527, "")</f>
        <v>principal-knowledge-authority|</v>
      </c>
      <c r="N2527" s="2" t="s">
        <v>9938</v>
      </c>
    </row>
    <row r="2528">
      <c r="A2528" s="2" t="s">
        <v>12464</v>
      </c>
      <c r="B2528" s="3" t="str">
        <f>C2528 &amp; " -&gt; " &amp; D2528</f>
        <v>principal-knowledge-authority -&gt; MessageDeliveries.ApprovingRoleAtSend</v>
      </c>
      <c r="C2528" s="2" t="s">
        <v>9708</v>
      </c>
      <c r="D2528" s="2" t="s">
        <v>4586</v>
      </c>
      <c r="E2528" s="2" t="b">
        <v>1</v>
      </c>
      <c r="F2528" s="2" t="b">
        <v>0</v>
      </c>
      <c r="G2528" s="2" t="s">
        <v>9937</v>
      </c>
      <c r="H2528" s="3" t="str">
        <f>_xlfn.IFNA(INDEX(RulebookFields!C2:C999, MATCH(D2528,RulebookFields!A2:A999, 0)), "")</f>
      </c>
      <c r="I2528" s="3" t="str">
        <f>_xlfn.IFNA(INDEX(RulebookFields!D2:D999, MATCH(D2528,RulebookFields!A2:A999, 0)), "")</f>
      </c>
      <c r="J2528" s="3" t="str">
        <f>_xlfn.IFNA(INDEX(RulebookFields!I2:I999, MATCH(D2528,RulebookFields!A2:A999, 0)), "")</f>
      </c>
      <c r="K2528" s="3" t="b">
        <f>AND(F2528, J2528)</f>
        <v>0</v>
      </c>
      <c r="L2528" s="3" t="b">
        <f>AND(G2528 &lt;&gt; "plain", G2528 &lt;&gt; "")</f>
        <v>0</v>
      </c>
      <c r="M2528" s="3" t="str">
        <f>IF(E2528, C2528 &amp; "|" &amp; H2528, "")</f>
        <v>principal-knowledge-authority|</v>
      </c>
      <c r="N2528" s="2" t="s">
        <v>9938</v>
      </c>
    </row>
    <row r="2529">
      <c r="A2529" s="2" t="s">
        <v>12465</v>
      </c>
      <c r="B2529" s="3" t="str">
        <f>C2529 &amp; " -&gt; " &amp; D2529</f>
        <v>principal-knowledge-authority -&gt; MessageDeliveries.ApprovalDecidedAtSend</v>
      </c>
      <c r="C2529" s="2" t="s">
        <v>9708</v>
      </c>
      <c r="D2529" s="2" t="s">
        <v>4588</v>
      </c>
      <c r="E2529" s="2" t="b">
        <v>1</v>
      </c>
      <c r="F2529" s="2" t="b">
        <v>0</v>
      </c>
      <c r="G2529" s="2" t="s">
        <v>9937</v>
      </c>
      <c r="H2529" s="3" t="str">
        <f>_xlfn.IFNA(INDEX(RulebookFields!C2:C999, MATCH(D2529,RulebookFields!A2:A999, 0)), "")</f>
      </c>
      <c r="I2529" s="3" t="str">
        <f>_xlfn.IFNA(INDEX(RulebookFields!D2:D999, MATCH(D2529,RulebookFields!A2:A999, 0)), "")</f>
      </c>
      <c r="J2529" s="3" t="str">
        <f>_xlfn.IFNA(INDEX(RulebookFields!I2:I999, MATCH(D2529,RulebookFields!A2:A999, 0)), "")</f>
      </c>
      <c r="K2529" s="3" t="b">
        <f>AND(F2529, J2529)</f>
        <v>0</v>
      </c>
      <c r="L2529" s="3" t="b">
        <f>AND(G2529 &lt;&gt; "plain", G2529 &lt;&gt; "")</f>
        <v>0</v>
      </c>
      <c r="M2529" s="3" t="str">
        <f>IF(E2529, C2529 &amp; "|" &amp; H2529, "")</f>
        <v>principal-knowledge-authority|</v>
      </c>
      <c r="N2529" s="2" t="s">
        <v>9938</v>
      </c>
    </row>
    <row r="2530">
      <c r="A2530" s="2" t="s">
        <v>12466</v>
      </c>
      <c r="B2530" s="3" t="str">
        <f>C2530 &amp; " -&gt; " &amp; D2530</f>
        <v>principal-knowledge-authority -&gt; MessageDeliveries.ApprovalPrecededSend</v>
      </c>
      <c r="C2530" s="2" t="s">
        <v>9708</v>
      </c>
      <c r="D2530" s="2" t="s">
        <v>4590</v>
      </c>
      <c r="E2530" s="2" t="b">
        <v>1</v>
      </c>
      <c r="F2530" s="2" t="b">
        <v>0</v>
      </c>
      <c r="G2530" s="2" t="s">
        <v>9937</v>
      </c>
      <c r="H2530" s="3" t="str">
        <f>_xlfn.IFNA(INDEX(RulebookFields!C2:C999, MATCH(D2530,RulebookFields!A2:A999, 0)), "")</f>
      </c>
      <c r="I2530" s="3" t="str">
        <f>_xlfn.IFNA(INDEX(RulebookFields!D2:D999, MATCH(D2530,RulebookFields!A2:A999, 0)), "")</f>
      </c>
      <c r="J2530" s="3" t="str">
        <f>_xlfn.IFNA(INDEX(RulebookFields!I2:I999, MATCH(D2530,RulebookFields!A2:A999, 0)), "")</f>
      </c>
      <c r="K2530" s="3" t="b">
        <f>AND(F2530, J2530)</f>
        <v>0</v>
      </c>
      <c r="L2530" s="3" t="b">
        <f>AND(G2530 &lt;&gt; "plain", G2530 &lt;&gt; "")</f>
        <v>0</v>
      </c>
      <c r="M2530" s="3" t="str">
        <f>IF(E2530, C2530 &amp; "|" &amp; H2530, "")</f>
        <v>principal-knowledge-authority|</v>
      </c>
      <c r="N2530" s="2" t="s">
        <v>9938</v>
      </c>
    </row>
    <row r="2531">
      <c r="A2531" s="2" t="s">
        <v>12467</v>
      </c>
      <c r="B2531" s="3" t="str">
        <f>C2531 &amp; " -&gt; " &amp; D2531</f>
        <v>principal-knowledge-authority -&gt; MessageDeliveries.HasFrozenApprovalEvidence</v>
      </c>
      <c r="C2531" s="2" t="s">
        <v>9708</v>
      </c>
      <c r="D2531" s="2" t="s">
        <v>4593</v>
      </c>
      <c r="E2531" s="2" t="b">
        <v>1</v>
      </c>
      <c r="F2531" s="2" t="b">
        <v>0</v>
      </c>
      <c r="G2531" s="2" t="s">
        <v>9937</v>
      </c>
      <c r="H2531" s="3" t="str">
        <f>_xlfn.IFNA(INDEX(RulebookFields!C2:C999, MATCH(D2531,RulebookFields!A2:A999, 0)), "")</f>
      </c>
      <c r="I2531" s="3" t="str">
        <f>_xlfn.IFNA(INDEX(RulebookFields!D2:D999, MATCH(D2531,RulebookFields!A2:A999, 0)), "")</f>
      </c>
      <c r="J2531" s="3" t="str">
        <f>_xlfn.IFNA(INDEX(RulebookFields!I2:I999, MATCH(D2531,RulebookFields!A2:A999, 0)), "")</f>
      </c>
      <c r="K2531" s="3" t="b">
        <f>AND(F2531, J2531)</f>
        <v>0</v>
      </c>
      <c r="L2531" s="3" t="b">
        <f>AND(G2531 &lt;&gt; "plain", G2531 &lt;&gt; "")</f>
        <v>0</v>
      </c>
      <c r="M2531" s="3" t="str">
        <f>IF(E2531, C2531 &amp; "|" &amp; H2531, "")</f>
        <v>principal-knowledge-authority|</v>
      </c>
      <c r="N2531" s="2" t="s">
        <v>9938</v>
      </c>
    </row>
    <row r="2532">
      <c r="A2532" s="2" t="s">
        <v>12468</v>
      </c>
      <c r="B2532" s="3" t="str">
        <f>C2532 &amp; " -&gt; " &amp; D2532</f>
        <v>principal-knowledge-authority -&gt; MessageDeliveries.ProvenanceIsLiveDerived</v>
      </c>
      <c r="C2532" s="2" t="s">
        <v>9708</v>
      </c>
      <c r="D2532" s="2" t="s">
        <v>4596</v>
      </c>
      <c r="E2532" s="2" t="b">
        <v>1</v>
      </c>
      <c r="F2532" s="2" t="b">
        <v>0</v>
      </c>
      <c r="G2532" s="2" t="s">
        <v>9937</v>
      </c>
      <c r="H2532" s="3" t="str">
        <f>_xlfn.IFNA(INDEX(RulebookFields!C2:C999, MATCH(D2532,RulebookFields!A2:A999, 0)), "")</f>
      </c>
      <c r="I2532" s="3" t="str">
        <f>_xlfn.IFNA(INDEX(RulebookFields!D2:D999, MATCH(D2532,RulebookFields!A2:A999, 0)), "")</f>
      </c>
      <c r="J2532" s="3" t="str">
        <f>_xlfn.IFNA(INDEX(RulebookFields!I2:I999, MATCH(D2532,RulebookFields!A2:A999, 0)), "")</f>
      </c>
      <c r="K2532" s="3" t="b">
        <f>AND(F2532, J2532)</f>
        <v>0</v>
      </c>
      <c r="L2532" s="3" t="b">
        <f>AND(G2532 &lt;&gt; "plain", G2532 &lt;&gt; "")</f>
        <v>0</v>
      </c>
      <c r="M2532" s="3" t="str">
        <f>IF(E2532, C2532 &amp; "|" &amp; H2532, "")</f>
        <v>principal-knowledge-authority|</v>
      </c>
      <c r="N2532" s="2" t="s">
        <v>9938</v>
      </c>
    </row>
    <row r="2533">
      <c r="A2533" s="2" t="s">
        <v>12469</v>
      </c>
      <c r="B2533" s="3" t="str">
        <f>C2533 &amp; " -&gt; " &amp; D2533</f>
        <v>principal-knowledge-authority -&gt; MessageDeliveries.CurrentLastApprovalAt</v>
      </c>
      <c r="C2533" s="2" t="s">
        <v>9708</v>
      </c>
      <c r="D2533" s="2" t="s">
        <v>4599</v>
      </c>
      <c r="E2533" s="2" t="b">
        <v>1</v>
      </c>
      <c r="F2533" s="2" t="b">
        <v>0</v>
      </c>
      <c r="G2533" s="2" t="s">
        <v>9937</v>
      </c>
      <c r="H2533" s="3" t="str">
        <f>_xlfn.IFNA(INDEX(RulebookFields!C2:C999, MATCH(D2533,RulebookFields!A2:A999, 0)), "")</f>
      </c>
      <c r="I2533" s="3" t="str">
        <f>_xlfn.IFNA(INDEX(RulebookFields!D2:D999, MATCH(D2533,RulebookFields!A2:A999, 0)), "")</f>
      </c>
      <c r="J2533" s="3" t="str">
        <f>_xlfn.IFNA(INDEX(RulebookFields!I2:I999, MATCH(D2533,RulebookFields!A2:A999, 0)), "")</f>
      </c>
      <c r="K2533" s="3" t="b">
        <f>AND(F2533, J2533)</f>
        <v>0</v>
      </c>
      <c r="L2533" s="3" t="b">
        <f>AND(G2533 &lt;&gt; "plain", G2533 &lt;&gt; "")</f>
        <v>0</v>
      </c>
      <c r="M2533" s="3" t="str">
        <f>IF(E2533, C2533 &amp; "|" &amp; H2533, "")</f>
        <v>principal-knowledge-authority|</v>
      </c>
      <c r="N2533" s="2" t="s">
        <v>9938</v>
      </c>
    </row>
    <row r="2534">
      <c r="A2534" s="2" t="s">
        <v>12470</v>
      </c>
      <c r="B2534" s="3" t="str">
        <f>C2534 &amp; " -&gt; " &amp; D2534</f>
        <v>principal-knowledge-authority -&gt; MessageDeliveries.TemplateReapprovedSinceSend</v>
      </c>
      <c r="C2534" s="2" t="s">
        <v>9708</v>
      </c>
      <c r="D2534" s="2" t="s">
        <v>4602</v>
      </c>
      <c r="E2534" s="2" t="b">
        <v>1</v>
      </c>
      <c r="F2534" s="2" t="b">
        <v>0</v>
      </c>
      <c r="G2534" s="2" t="s">
        <v>9937</v>
      </c>
      <c r="H2534" s="3" t="str">
        <f>_xlfn.IFNA(INDEX(RulebookFields!C2:C999, MATCH(D2534,RulebookFields!A2:A999, 0)), "")</f>
      </c>
      <c r="I2534" s="3" t="str">
        <f>_xlfn.IFNA(INDEX(RulebookFields!D2:D999, MATCH(D2534,RulebookFields!A2:A999, 0)), "")</f>
      </c>
      <c r="J2534" s="3" t="str">
        <f>_xlfn.IFNA(INDEX(RulebookFields!I2:I999, MATCH(D2534,RulebookFields!A2:A999, 0)), "")</f>
      </c>
      <c r="K2534" s="3" t="b">
        <f>AND(F2534, J2534)</f>
        <v>0</v>
      </c>
      <c r="L2534" s="3" t="b">
        <f>AND(G2534 &lt;&gt; "plain", G2534 &lt;&gt; "")</f>
        <v>0</v>
      </c>
      <c r="M2534" s="3" t="str">
        <f>IF(E2534, C2534 &amp; "|" &amp; H2534, "")</f>
        <v>principal-knowledge-authority|</v>
      </c>
      <c r="N2534" s="2" t="s">
        <v>9938</v>
      </c>
    </row>
    <row r="2535">
      <c r="A2535" s="2" t="s">
        <v>12471</v>
      </c>
      <c r="B2535" s="3" t="str">
        <f>C2535 &amp; " -&gt; " &amp; D2535</f>
        <v>principal-knowledge-authority -&gt; MessageDeliveries.IsUnprovableApprovalClaim</v>
      </c>
      <c r="C2535" s="2" t="s">
        <v>9708</v>
      </c>
      <c r="D2535" s="2" t="s">
        <v>4605</v>
      </c>
      <c r="E2535" s="2" t="b">
        <v>1</v>
      </c>
      <c r="F2535" s="2" t="b">
        <v>0</v>
      </c>
      <c r="G2535" s="2" t="s">
        <v>9937</v>
      </c>
      <c r="H2535" s="3" t="str">
        <f>_xlfn.IFNA(INDEX(RulebookFields!C2:C999, MATCH(D2535,RulebookFields!A2:A999, 0)), "")</f>
      </c>
      <c r="I2535" s="3" t="str">
        <f>_xlfn.IFNA(INDEX(RulebookFields!D2:D999, MATCH(D2535,RulebookFields!A2:A999, 0)), "")</f>
      </c>
      <c r="J2535" s="3" t="str">
        <f>_xlfn.IFNA(INDEX(RulebookFields!I2:I999, MATCH(D2535,RulebookFields!A2:A999, 0)), "")</f>
      </c>
      <c r="K2535" s="3" t="b">
        <f>AND(F2535, J2535)</f>
        <v>0</v>
      </c>
      <c r="L2535" s="3" t="b">
        <f>AND(G2535 &lt;&gt; "plain", G2535 &lt;&gt; "")</f>
        <v>0</v>
      </c>
      <c r="M2535" s="3" t="str">
        <f>IF(E2535, C2535 &amp; "|" &amp; H2535, "")</f>
        <v>principal-knowledge-authority|</v>
      </c>
      <c r="N2535" s="2" t="s">
        <v>9938</v>
      </c>
    </row>
    <row r="2536">
      <c r="A2536" s="2" t="s">
        <v>12472</v>
      </c>
      <c r="B2536" s="3" t="str">
        <f>C2536 &amp; " -&gt; " &amp; D2536</f>
        <v>principal-knowledge-authority -&gt; MessageDeliveries.ReminderSentAt</v>
      </c>
      <c r="C2536" s="2" t="s">
        <v>9708</v>
      </c>
      <c r="D2536" s="2" t="s">
        <v>4608</v>
      </c>
      <c r="E2536" s="2" t="b">
        <v>1</v>
      </c>
      <c r="F2536" s="2" t="b">
        <v>0</v>
      </c>
      <c r="G2536" s="2" t="s">
        <v>9937</v>
      </c>
      <c r="H2536" s="3" t="str">
        <f>_xlfn.IFNA(INDEX(RulebookFields!C2:C999, MATCH(D2536,RulebookFields!A2:A999, 0)), "")</f>
      </c>
      <c r="I2536" s="3" t="str">
        <f>_xlfn.IFNA(INDEX(RulebookFields!D2:D999, MATCH(D2536,RulebookFields!A2:A999, 0)), "")</f>
      </c>
      <c r="J2536" s="3" t="str">
        <f>_xlfn.IFNA(INDEX(RulebookFields!I2:I999, MATCH(D2536,RulebookFields!A2:A999, 0)), "")</f>
      </c>
      <c r="K2536" s="3" t="b">
        <f>AND(F2536, J2536)</f>
        <v>0</v>
      </c>
      <c r="L2536" s="3" t="b">
        <f>AND(G2536 &lt;&gt; "plain", G2536 &lt;&gt; "")</f>
        <v>0</v>
      </c>
      <c r="M2536" s="3" t="str">
        <f>IF(E2536, C2536 &amp; "|" &amp; H2536, "")</f>
        <v>principal-knowledge-authority|</v>
      </c>
      <c r="N2536" s="2" t="s">
        <v>9938</v>
      </c>
    </row>
    <row r="2537">
      <c r="A2537" s="2" t="s">
        <v>12473</v>
      </c>
      <c r="B2537" s="3" t="str">
        <f>C2537 &amp; " -&gt; " &amp; D2537</f>
        <v>principal-knowledge-authority -&gt; MessageDeliveries.ReminderCount</v>
      </c>
      <c r="C2537" s="2" t="s">
        <v>9708</v>
      </c>
      <c r="D2537" s="2" t="s">
        <v>4610</v>
      </c>
      <c r="E2537" s="2" t="b">
        <v>1</v>
      </c>
      <c r="F2537" s="2" t="b">
        <v>0</v>
      </c>
      <c r="G2537" s="2" t="s">
        <v>9937</v>
      </c>
      <c r="H2537" s="3" t="str">
        <f>_xlfn.IFNA(INDEX(RulebookFields!C2:C999, MATCH(D2537,RulebookFields!A2:A999, 0)), "")</f>
      </c>
      <c r="I2537" s="3" t="str">
        <f>_xlfn.IFNA(INDEX(RulebookFields!D2:D999, MATCH(D2537,RulebookFields!A2:A999, 0)), "")</f>
      </c>
      <c r="J2537" s="3" t="str">
        <f>_xlfn.IFNA(INDEX(RulebookFields!I2:I999, MATCH(D2537,RulebookFields!A2:A999, 0)), "")</f>
      </c>
      <c r="K2537" s="3" t="b">
        <f>AND(F2537, J2537)</f>
        <v>0</v>
      </c>
      <c r="L2537" s="3" t="b">
        <f>AND(G2537 &lt;&gt; "plain", G2537 &lt;&gt; "")</f>
        <v>0</v>
      </c>
      <c r="M2537" s="3" t="str">
        <f>IF(E2537, C2537 &amp; "|" &amp; H2537, "")</f>
        <v>principal-knowledge-authority|</v>
      </c>
      <c r="N2537" s="2" t="s">
        <v>9938</v>
      </c>
    </row>
    <row r="2538">
      <c r="A2538" s="2" t="s">
        <v>12474</v>
      </c>
      <c r="B2538" s="3" t="str">
        <f>C2538 &amp; " -&gt; " &amp; D2538</f>
        <v>principal-knowledge-authority -&gt; MessageDeliveries.HasSentReminder</v>
      </c>
      <c r="C2538" s="2" t="s">
        <v>9708</v>
      </c>
      <c r="D2538" s="2" t="s">
        <v>4612</v>
      </c>
      <c r="E2538" s="2" t="b">
        <v>1</v>
      </c>
      <c r="F2538" s="2" t="b">
        <v>0</v>
      </c>
      <c r="G2538" s="2" t="s">
        <v>9937</v>
      </c>
      <c r="H2538" s="3" t="str">
        <f>_xlfn.IFNA(INDEX(RulebookFields!C2:C999, MATCH(D2538,RulebookFields!A2:A999, 0)), "")</f>
      </c>
      <c r="I2538" s="3" t="str">
        <f>_xlfn.IFNA(INDEX(RulebookFields!D2:D999, MATCH(D2538,RulebookFields!A2:A999, 0)), "")</f>
      </c>
      <c r="J2538" s="3" t="str">
        <f>_xlfn.IFNA(INDEX(RulebookFields!I2:I999, MATCH(D2538,RulebookFields!A2:A999, 0)), "")</f>
      </c>
      <c r="K2538" s="3" t="b">
        <f>AND(F2538, J2538)</f>
        <v>0</v>
      </c>
      <c r="L2538" s="3" t="b">
        <f>AND(G2538 &lt;&gt; "plain", G2538 &lt;&gt; "")</f>
        <v>0</v>
      </c>
      <c r="M2538" s="3" t="str">
        <f>IF(E2538, C2538 &amp; "|" &amp; H2538, "")</f>
        <v>principal-knowledge-authority|</v>
      </c>
      <c r="N2538" s="2" t="s">
        <v>9938</v>
      </c>
    </row>
    <row r="2539">
      <c r="A2539" s="2" t="s">
        <v>12475</v>
      </c>
      <c r="B2539" s="3" t="str">
        <f>C2539 &amp; " -&gt; " &amp; D2539</f>
        <v>principal-knowledge-authority -&gt; MessageDeliveries.AcknowledgementIsOutstanding</v>
      </c>
      <c r="C2539" s="2" t="s">
        <v>9708</v>
      </c>
      <c r="D2539" s="2" t="s">
        <v>4615</v>
      </c>
      <c r="E2539" s="2" t="b">
        <v>1</v>
      </c>
      <c r="F2539" s="2" t="b">
        <v>0</v>
      </c>
      <c r="G2539" s="2" t="s">
        <v>9937</v>
      </c>
      <c r="H2539" s="3" t="str">
        <f>_xlfn.IFNA(INDEX(RulebookFields!C2:C999, MATCH(D2539,RulebookFields!A2:A999, 0)), "")</f>
      </c>
      <c r="I2539" s="3" t="str">
        <f>_xlfn.IFNA(INDEX(RulebookFields!D2:D999, MATCH(D2539,RulebookFields!A2:A999, 0)), "")</f>
      </c>
      <c r="J2539" s="3" t="str">
        <f>_xlfn.IFNA(INDEX(RulebookFields!I2:I999, MATCH(D2539,RulebookFields!A2:A999, 0)), "")</f>
      </c>
      <c r="K2539" s="3" t="b">
        <f>AND(F2539, J2539)</f>
        <v>0</v>
      </c>
      <c r="L2539" s="3" t="b">
        <f>AND(G2539 &lt;&gt; "plain", G2539 &lt;&gt; "")</f>
        <v>0</v>
      </c>
      <c r="M2539" s="3" t="str">
        <f>IF(E2539, C2539 &amp; "|" &amp; H2539, "")</f>
        <v>principal-knowledge-authority|</v>
      </c>
      <c r="N2539" s="2" t="s">
        <v>9938</v>
      </c>
    </row>
    <row r="2540">
      <c r="A2540" s="2" t="s">
        <v>12476</v>
      </c>
      <c r="B2540" s="3" t="str">
        <f>C2540 &amp; " -&gt; " &amp; D2540</f>
        <v>principal-knowledge-authority -&gt; MessageDeliveries.OutstandingAgeDays</v>
      </c>
      <c r="C2540" s="2" t="s">
        <v>9708</v>
      </c>
      <c r="D2540" s="2" t="s">
        <v>4618</v>
      </c>
      <c r="E2540" s="2" t="b">
        <v>1</v>
      </c>
      <c r="F2540" s="2" t="b">
        <v>0</v>
      </c>
      <c r="G2540" s="2" t="s">
        <v>9937</v>
      </c>
      <c r="H2540" s="3" t="str">
        <f>_xlfn.IFNA(INDEX(RulebookFields!C2:C999, MATCH(D2540,RulebookFields!A2:A999, 0)), "")</f>
      </c>
      <c r="I2540" s="3" t="str">
        <f>_xlfn.IFNA(INDEX(RulebookFields!D2:D999, MATCH(D2540,RulebookFields!A2:A999, 0)), "")</f>
      </c>
      <c r="J2540" s="3" t="str">
        <f>_xlfn.IFNA(INDEX(RulebookFields!I2:I999, MATCH(D2540,RulebookFields!A2:A999, 0)), "")</f>
      </c>
      <c r="K2540" s="3" t="b">
        <f>AND(F2540, J2540)</f>
        <v>0</v>
      </c>
      <c r="L2540" s="3" t="b">
        <f>AND(G2540 &lt;&gt; "plain", G2540 &lt;&gt; "")</f>
        <v>0</v>
      </c>
      <c r="M2540" s="3" t="str">
        <f>IF(E2540, C2540 &amp; "|" &amp; H2540, "")</f>
        <v>principal-knowledge-authority|</v>
      </c>
      <c r="N2540" s="2" t="s">
        <v>9938</v>
      </c>
    </row>
    <row r="2541">
      <c r="A2541" s="2" t="s">
        <v>12477</v>
      </c>
      <c r="B2541" s="3" t="str">
        <f>C2541 &amp; " -&gt; " &amp; D2541</f>
        <v>principal-knowledge-authority -&gt; MessageDeliveries.IsUnchasedAcknowledgement</v>
      </c>
      <c r="C2541" s="2" t="s">
        <v>9708</v>
      </c>
      <c r="D2541" s="2" t="s">
        <v>4621</v>
      </c>
      <c r="E2541" s="2" t="b">
        <v>1</v>
      </c>
      <c r="F2541" s="2" t="b">
        <v>0</v>
      </c>
      <c r="G2541" s="2" t="s">
        <v>9937</v>
      </c>
      <c r="H2541" s="3" t="str">
        <f>_xlfn.IFNA(INDEX(RulebookFields!C2:C999, MATCH(D2541,RulebookFields!A2:A999, 0)), "")</f>
      </c>
      <c r="I2541" s="3" t="str">
        <f>_xlfn.IFNA(INDEX(RulebookFields!D2:D999, MATCH(D2541,RulebookFields!A2:A999, 0)), "")</f>
      </c>
      <c r="J2541" s="3" t="str">
        <f>_xlfn.IFNA(INDEX(RulebookFields!I2:I999, MATCH(D2541,RulebookFields!A2:A999, 0)), "")</f>
      </c>
      <c r="K2541" s="3" t="b">
        <f>AND(F2541, J2541)</f>
        <v>0</v>
      </c>
      <c r="L2541" s="3" t="b">
        <f>AND(G2541 &lt;&gt; "plain", G2541 &lt;&gt; "")</f>
        <v>0</v>
      </c>
      <c r="M2541" s="3" t="str">
        <f>IF(E2541, C2541 &amp; "|" &amp; H2541, "")</f>
        <v>principal-knowledge-authority|</v>
      </c>
      <c r="N2541" s="2" t="s">
        <v>9938</v>
      </c>
    </row>
    <row r="2542">
      <c r="A2542" s="2" t="s">
        <v>12478</v>
      </c>
      <c r="B2542" s="3" t="str">
        <f>C2542 &amp; " -&gt; " &amp; D2542</f>
        <v>principal-knowledge-authority -&gt; MessageDeliveries.IsExhaustedFollowUp</v>
      </c>
      <c r="C2542" s="2" t="s">
        <v>9708</v>
      </c>
      <c r="D2542" s="2" t="s">
        <v>4624</v>
      </c>
      <c r="E2542" s="2" t="b">
        <v>1</v>
      </c>
      <c r="F2542" s="2" t="b">
        <v>0</v>
      </c>
      <c r="G2542" s="2" t="s">
        <v>9937</v>
      </c>
      <c r="H2542" s="3" t="str">
        <f>_xlfn.IFNA(INDEX(RulebookFields!C2:C999, MATCH(D2542,RulebookFields!A2:A999, 0)), "")</f>
      </c>
      <c r="I2542" s="3" t="str">
        <f>_xlfn.IFNA(INDEX(RulebookFields!D2:D999, MATCH(D2542,RulebookFields!A2:A999, 0)), "")</f>
      </c>
      <c r="J2542" s="3" t="str">
        <f>_xlfn.IFNA(INDEX(RulebookFields!I2:I999, MATCH(D2542,RulebookFields!A2:A999, 0)), "")</f>
      </c>
      <c r="K2542" s="3" t="b">
        <f>AND(F2542, J2542)</f>
        <v>0</v>
      </c>
      <c r="L2542" s="3" t="b">
        <f>AND(G2542 &lt;&gt; "plain", G2542 &lt;&gt; "")</f>
        <v>0</v>
      </c>
      <c r="M2542" s="3" t="str">
        <f>IF(E2542, C2542 &amp; "|" &amp; H2542, "")</f>
        <v>principal-knowledge-authority|</v>
      </c>
      <c r="N2542" s="2" t="s">
        <v>9938</v>
      </c>
    </row>
    <row r="2543">
      <c r="A2543" s="2" t="s">
        <v>12479</v>
      </c>
      <c r="B2543" s="3" t="str">
        <f>C2543 &amp; " -&gt; " &amp; D2543</f>
        <v>principal-knowledge-authority -&gt; MessageDeliveries.NeedsHumanEscalation</v>
      </c>
      <c r="C2543" s="2" t="s">
        <v>9708</v>
      </c>
      <c r="D2543" s="2" t="s">
        <v>4627</v>
      </c>
      <c r="E2543" s="2" t="b">
        <v>1</v>
      </c>
      <c r="F2543" s="2" t="b">
        <v>0</v>
      </c>
      <c r="G2543" s="2" t="s">
        <v>9937</v>
      </c>
      <c r="H2543" s="3" t="str">
        <f>_xlfn.IFNA(INDEX(RulebookFields!C2:C999, MATCH(D2543,RulebookFields!A2:A999, 0)), "")</f>
      </c>
      <c r="I2543" s="3" t="str">
        <f>_xlfn.IFNA(INDEX(RulebookFields!D2:D999, MATCH(D2543,RulebookFields!A2:A999, 0)), "")</f>
      </c>
      <c r="J2543" s="3" t="str">
        <f>_xlfn.IFNA(INDEX(RulebookFields!I2:I999, MATCH(D2543,RulebookFields!A2:A999, 0)), "")</f>
      </c>
      <c r="K2543" s="3" t="b">
        <f>AND(F2543, J2543)</f>
        <v>0</v>
      </c>
      <c r="L2543" s="3" t="b">
        <f>AND(G2543 &lt;&gt; "plain", G2543 &lt;&gt; "")</f>
        <v>0</v>
      </c>
      <c r="M2543" s="3" t="str">
        <f>IF(E2543, C2543 &amp; "|" &amp; H2543, "")</f>
        <v>principal-knowledge-authority|</v>
      </c>
      <c r="N2543" s="2" t="s">
        <v>9938</v>
      </c>
    </row>
    <row r="2544">
      <c r="A2544" s="2" t="s">
        <v>12480</v>
      </c>
      <c r="B2544" s="3" t="str">
        <f>C2544 &amp; " -&gt; " &amp; D2544</f>
        <v>principal-knowledge-authority -&gt; MessageDeliveries.SemanticTypeIri</v>
      </c>
      <c r="C2544" s="2" t="s">
        <v>9708</v>
      </c>
      <c r="D2544" s="2" t="s">
        <v>4630</v>
      </c>
      <c r="E2544" s="2" t="b">
        <v>1</v>
      </c>
      <c r="F2544" s="2" t="b">
        <v>0</v>
      </c>
      <c r="G2544" s="2" t="s">
        <v>9937</v>
      </c>
      <c r="H2544" s="3" t="str">
        <f>_xlfn.IFNA(INDEX(RulebookFields!C2:C999, MATCH(D2544,RulebookFields!A2:A999, 0)), "")</f>
      </c>
      <c r="I2544" s="3" t="str">
        <f>_xlfn.IFNA(INDEX(RulebookFields!D2:D999, MATCH(D2544,RulebookFields!A2:A999, 0)), "")</f>
      </c>
      <c r="J2544" s="3" t="str">
        <f>_xlfn.IFNA(INDEX(RulebookFields!I2:I999, MATCH(D2544,RulebookFields!A2:A999, 0)), "")</f>
      </c>
      <c r="K2544" s="3" t="b">
        <f>AND(F2544, J2544)</f>
        <v>0</v>
      </c>
      <c r="L2544" s="3" t="b">
        <f>AND(G2544 &lt;&gt; "plain", G2544 &lt;&gt; "")</f>
        <v>0</v>
      </c>
      <c r="M2544" s="3" t="str">
        <f>IF(E2544, C2544 &amp; "|" &amp; H2544, "")</f>
        <v>principal-knowledge-authority|</v>
      </c>
      <c r="N2544" s="2" t="s">
        <v>9938</v>
      </c>
    </row>
    <row r="2545">
      <c r="A2545" s="2" t="s">
        <v>12481</v>
      </c>
      <c r="B2545" s="3" t="str">
        <f>C2545 &amp; " -&gt; " &amp; D2545</f>
        <v>principal-knowledge-authority -&gt; MessageTemplates.MessageTemplateId</v>
      </c>
      <c r="C2545" s="2" t="s">
        <v>9708</v>
      </c>
      <c r="D2545" s="2" t="s">
        <v>4020</v>
      </c>
      <c r="E2545" s="2" t="b">
        <v>1</v>
      </c>
      <c r="F2545" s="2" t="b">
        <v>0</v>
      </c>
      <c r="G2545" s="2" t="s">
        <v>9937</v>
      </c>
      <c r="H2545" s="3" t="str">
        <f>_xlfn.IFNA(INDEX(RulebookFields!C2:C999, MATCH(D2545,RulebookFields!A2:A999, 0)), "")</f>
      </c>
      <c r="I2545" s="3" t="str">
        <f>_xlfn.IFNA(INDEX(RulebookFields!D2:D999, MATCH(D2545,RulebookFields!A2:A999, 0)), "")</f>
      </c>
      <c r="J2545" s="3" t="str">
        <f>_xlfn.IFNA(INDEX(RulebookFields!I2:I999, MATCH(D2545,RulebookFields!A2:A999, 0)), "")</f>
      </c>
      <c r="K2545" s="3" t="b">
        <f>AND(F2545, J2545)</f>
        <v>0</v>
      </c>
      <c r="L2545" s="3" t="b">
        <f>AND(G2545 &lt;&gt; "plain", G2545 &lt;&gt; "")</f>
        <v>0</v>
      </c>
      <c r="M2545" s="3" t="str">
        <f>IF(E2545, C2545 &amp; "|" &amp; H2545, "")</f>
        <v>principal-knowledge-authority|</v>
      </c>
      <c r="N2545" s="2" t="s">
        <v>9938</v>
      </c>
    </row>
    <row r="2546">
      <c r="A2546" s="2" t="s">
        <v>12482</v>
      </c>
      <c r="B2546" s="3" t="str">
        <f>C2546 &amp; " -&gt; " &amp; D2546</f>
        <v>principal-knowledge-authority -&gt; MessageTemplates.Name</v>
      </c>
      <c r="C2546" s="2" t="s">
        <v>9708</v>
      </c>
      <c r="D2546" s="2" t="s">
        <v>4022</v>
      </c>
      <c r="E2546" s="2" t="b">
        <v>1</v>
      </c>
      <c r="F2546" s="2" t="b">
        <v>0</v>
      </c>
      <c r="G2546" s="2" t="s">
        <v>9937</v>
      </c>
      <c r="H2546" s="3" t="str">
        <f>_xlfn.IFNA(INDEX(RulebookFields!C2:C999, MATCH(D2546,RulebookFields!A2:A999, 0)), "")</f>
      </c>
      <c r="I2546" s="3" t="str">
        <f>_xlfn.IFNA(INDEX(RulebookFields!D2:D999, MATCH(D2546,RulebookFields!A2:A999, 0)), "")</f>
      </c>
      <c r="J2546" s="3" t="str">
        <f>_xlfn.IFNA(INDEX(RulebookFields!I2:I999, MATCH(D2546,RulebookFields!A2:A999, 0)), "")</f>
      </c>
      <c r="K2546" s="3" t="b">
        <f>AND(F2546, J2546)</f>
        <v>0</v>
      </c>
      <c r="L2546" s="3" t="b">
        <f>AND(G2546 &lt;&gt; "plain", G2546 &lt;&gt; "")</f>
        <v>0</v>
      </c>
      <c r="M2546" s="3" t="str">
        <f>IF(E2546, C2546 &amp; "|" &amp; H2546, "")</f>
        <v>principal-knowledge-authority|</v>
      </c>
      <c r="N2546" s="2" t="s">
        <v>9938</v>
      </c>
    </row>
    <row r="2547">
      <c r="A2547" s="2" t="s">
        <v>12483</v>
      </c>
      <c r="B2547" s="3" t="str">
        <f>C2547 &amp; " -&gt; " &amp; D2547</f>
        <v>principal-knowledge-authority -&gt; MessageTemplates.CommunicationPolicy</v>
      </c>
      <c r="C2547" s="2" t="s">
        <v>9708</v>
      </c>
      <c r="D2547" s="2" t="s">
        <v>4024</v>
      </c>
      <c r="E2547" s="2" t="b">
        <v>1</v>
      </c>
      <c r="F2547" s="2" t="b">
        <v>0</v>
      </c>
      <c r="G2547" s="2" t="s">
        <v>9937</v>
      </c>
      <c r="H2547" s="3" t="str">
        <f>_xlfn.IFNA(INDEX(RulebookFields!C2:C999, MATCH(D2547,RulebookFields!A2:A999, 0)), "")</f>
      </c>
      <c r="I2547" s="3" t="str">
        <f>_xlfn.IFNA(INDEX(RulebookFields!D2:D999, MATCH(D2547,RulebookFields!A2:A999, 0)), "")</f>
      </c>
      <c r="J2547" s="3" t="str">
        <f>_xlfn.IFNA(INDEX(RulebookFields!I2:I999, MATCH(D2547,RulebookFields!A2:A999, 0)), "")</f>
      </c>
      <c r="K2547" s="3" t="b">
        <f>AND(F2547, J2547)</f>
        <v>0</v>
      </c>
      <c r="L2547" s="3" t="b">
        <f>AND(G2547 &lt;&gt; "plain", G2547 &lt;&gt; "")</f>
        <v>0</v>
      </c>
      <c r="M2547" s="3" t="str">
        <f>IF(E2547, C2547 &amp; "|" &amp; H2547, "")</f>
        <v>principal-knowledge-authority|</v>
      </c>
      <c r="N2547" s="2" t="s">
        <v>9938</v>
      </c>
    </row>
    <row r="2548">
      <c r="A2548" s="2" t="s">
        <v>12484</v>
      </c>
      <c r="B2548" s="3" t="str">
        <f>C2548 &amp; " -&gt; " &amp; D2548</f>
        <v>principal-knowledge-authority -&gt; MessageTemplates.Resource</v>
      </c>
      <c r="C2548" s="2" t="s">
        <v>9708</v>
      </c>
      <c r="D2548" s="2" t="s">
        <v>4025</v>
      </c>
      <c r="E2548" s="2" t="b">
        <v>1</v>
      </c>
      <c r="F2548" s="2" t="b">
        <v>0</v>
      </c>
      <c r="G2548" s="2" t="s">
        <v>9937</v>
      </c>
      <c r="H2548" s="3" t="str">
        <f>_xlfn.IFNA(INDEX(RulebookFields!C2:C999, MATCH(D2548,RulebookFields!A2:A999, 0)), "")</f>
      </c>
      <c r="I2548" s="3" t="str">
        <f>_xlfn.IFNA(INDEX(RulebookFields!D2:D999, MATCH(D2548,RulebookFields!A2:A999, 0)), "")</f>
      </c>
      <c r="J2548" s="3" t="str">
        <f>_xlfn.IFNA(INDEX(RulebookFields!I2:I999, MATCH(D2548,RulebookFields!A2:A999, 0)), "")</f>
      </c>
      <c r="K2548" s="3" t="b">
        <f>AND(F2548, J2548)</f>
        <v>0</v>
      </c>
      <c r="L2548" s="3" t="b">
        <f>AND(G2548 &lt;&gt; "plain", G2548 &lt;&gt; "")</f>
        <v>0</v>
      </c>
      <c r="M2548" s="3" t="str">
        <f>IF(E2548, C2548 &amp; "|" &amp; H2548, "")</f>
        <v>principal-knowledge-authority|</v>
      </c>
      <c r="N2548" s="2" t="s">
        <v>9938</v>
      </c>
    </row>
    <row r="2549">
      <c r="A2549" s="2" t="s">
        <v>12485</v>
      </c>
      <c r="B2549" s="3" t="str">
        <f>C2549 &amp; " -&gt; " &amp; D2549</f>
        <v>principal-knowledge-authority -&gt; MessageTemplates.SubjectTemplate</v>
      </c>
      <c r="C2549" s="2" t="s">
        <v>9708</v>
      </c>
      <c r="D2549" s="2" t="s">
        <v>4026</v>
      </c>
      <c r="E2549" s="2" t="b">
        <v>1</v>
      </c>
      <c r="F2549" s="2" t="b">
        <v>0</v>
      </c>
      <c r="G2549" s="2" t="s">
        <v>9937</v>
      </c>
      <c r="H2549" s="3" t="str">
        <f>_xlfn.IFNA(INDEX(RulebookFields!C2:C999, MATCH(D2549,RulebookFields!A2:A999, 0)), "")</f>
      </c>
      <c r="I2549" s="3" t="str">
        <f>_xlfn.IFNA(INDEX(RulebookFields!D2:D999, MATCH(D2549,RulebookFields!A2:A999, 0)), "")</f>
      </c>
      <c r="J2549" s="3" t="str">
        <f>_xlfn.IFNA(INDEX(RulebookFields!I2:I999, MATCH(D2549,RulebookFields!A2:A999, 0)), "")</f>
      </c>
      <c r="K2549" s="3" t="b">
        <f>AND(F2549, J2549)</f>
        <v>0</v>
      </c>
      <c r="L2549" s="3" t="b">
        <f>AND(G2549 &lt;&gt; "plain", G2549 &lt;&gt; "")</f>
        <v>0</v>
      </c>
      <c r="M2549" s="3" t="str">
        <f>IF(E2549, C2549 &amp; "|" &amp; H2549, "")</f>
        <v>principal-knowledge-authority|</v>
      </c>
      <c r="N2549" s="2" t="s">
        <v>9938</v>
      </c>
    </row>
    <row r="2550">
      <c r="A2550" s="2" t="s">
        <v>12486</v>
      </c>
      <c r="B2550" s="3" t="str">
        <f>C2550 &amp; " -&gt; " &amp; D2550</f>
        <v>principal-knowledge-authority -&gt; MessageTemplates.BodyTemplate</v>
      </c>
      <c r="C2550" s="2" t="s">
        <v>9708</v>
      </c>
      <c r="D2550" s="2" t="s">
        <v>4027</v>
      </c>
      <c r="E2550" s="2" t="b">
        <v>1</v>
      </c>
      <c r="F2550" s="2" t="b">
        <v>0</v>
      </c>
      <c r="G2550" s="2" t="s">
        <v>9937</v>
      </c>
      <c r="H2550" s="3" t="str">
        <f>_xlfn.IFNA(INDEX(RulebookFields!C2:C999, MATCH(D2550,RulebookFields!A2:A999, 0)), "")</f>
      </c>
      <c r="I2550" s="3" t="str">
        <f>_xlfn.IFNA(INDEX(RulebookFields!D2:D999, MATCH(D2550,RulebookFields!A2:A999, 0)), "")</f>
      </c>
      <c r="J2550" s="3" t="str">
        <f>_xlfn.IFNA(INDEX(RulebookFields!I2:I999, MATCH(D2550,RulebookFields!A2:A999, 0)), "")</f>
      </c>
      <c r="K2550" s="3" t="b">
        <f>AND(F2550, J2550)</f>
        <v>0</v>
      </c>
      <c r="L2550" s="3" t="b">
        <f>AND(G2550 &lt;&gt; "plain", G2550 &lt;&gt; "")</f>
        <v>0</v>
      </c>
      <c r="M2550" s="3" t="str">
        <f>IF(E2550, C2550 &amp; "|" &amp; H2550, "")</f>
        <v>principal-knowledge-authority|</v>
      </c>
      <c r="N2550" s="2" t="s">
        <v>9938</v>
      </c>
    </row>
    <row r="2551">
      <c r="A2551" s="2" t="s">
        <v>12487</v>
      </c>
      <c r="B2551" s="3" t="str">
        <f>C2551 &amp; " -&gt; " &amp; D2551</f>
        <v>principal-knowledge-authority -&gt; MessageTemplates.Locale</v>
      </c>
      <c r="C2551" s="2" t="s">
        <v>9708</v>
      </c>
      <c r="D2551" s="2" t="s">
        <v>4028</v>
      </c>
      <c r="E2551" s="2" t="b">
        <v>1</v>
      </c>
      <c r="F2551" s="2" t="b">
        <v>0</v>
      </c>
      <c r="G2551" s="2" t="s">
        <v>9937</v>
      </c>
      <c r="H2551" s="3" t="str">
        <f>_xlfn.IFNA(INDEX(RulebookFields!C2:C999, MATCH(D2551,RulebookFields!A2:A999, 0)), "")</f>
      </c>
      <c r="I2551" s="3" t="str">
        <f>_xlfn.IFNA(INDEX(RulebookFields!D2:D999, MATCH(D2551,RulebookFields!A2:A999, 0)), "")</f>
      </c>
      <c r="J2551" s="3" t="str">
        <f>_xlfn.IFNA(INDEX(RulebookFields!I2:I999, MATCH(D2551,RulebookFields!A2:A999, 0)), "")</f>
      </c>
      <c r="K2551" s="3" t="b">
        <f>AND(F2551, J2551)</f>
        <v>0</v>
      </c>
      <c r="L2551" s="3" t="b">
        <f>AND(G2551 &lt;&gt; "plain", G2551 &lt;&gt; "")</f>
        <v>0</v>
      </c>
      <c r="M2551" s="3" t="str">
        <f>IF(E2551, C2551 &amp; "|" &amp; H2551, "")</f>
        <v>principal-knowledge-authority|</v>
      </c>
      <c r="N2551" s="2" t="s">
        <v>9938</v>
      </c>
    </row>
    <row r="2552">
      <c r="A2552" s="2" t="s">
        <v>12488</v>
      </c>
      <c r="B2552" s="3" t="str">
        <f>C2552 &amp; " -&gt; " &amp; D2552</f>
        <v>principal-knowledge-authority -&gt; MessageTemplates.Status</v>
      </c>
      <c r="C2552" s="2" t="s">
        <v>9708</v>
      </c>
      <c r="D2552" s="2" t="s">
        <v>4029</v>
      </c>
      <c r="E2552" s="2" t="b">
        <v>1</v>
      </c>
      <c r="F2552" s="2" t="b">
        <v>0</v>
      </c>
      <c r="G2552" s="2" t="s">
        <v>9937</v>
      </c>
      <c r="H2552" s="3" t="str">
        <f>_xlfn.IFNA(INDEX(RulebookFields!C2:C999, MATCH(D2552,RulebookFields!A2:A999, 0)), "")</f>
      </c>
      <c r="I2552" s="3" t="str">
        <f>_xlfn.IFNA(INDEX(RulebookFields!D2:D999, MATCH(D2552,RulebookFields!A2:A999, 0)), "")</f>
      </c>
      <c r="J2552" s="3" t="str">
        <f>_xlfn.IFNA(INDEX(RulebookFields!I2:I999, MATCH(D2552,RulebookFields!A2:A999, 0)), "")</f>
      </c>
      <c r="K2552" s="3" t="b">
        <f>AND(F2552, J2552)</f>
        <v>0</v>
      </c>
      <c r="L2552" s="3" t="b">
        <f>AND(G2552 &lt;&gt; "plain", G2552 &lt;&gt; "")</f>
        <v>0</v>
      </c>
      <c r="M2552" s="3" t="str">
        <f>IF(E2552, C2552 &amp; "|" &amp; H2552, "")</f>
        <v>principal-knowledge-authority|</v>
      </c>
      <c r="N2552" s="2" t="s">
        <v>9938</v>
      </c>
    </row>
    <row r="2553">
      <c r="A2553" s="2" t="s">
        <v>12489</v>
      </c>
      <c r="B2553" s="3" t="str">
        <f>C2553 &amp; " -&gt; " &amp; D2553</f>
        <v>principal-knowledge-authority -&gt; MessageTemplates.PolicyMaxMessageLength</v>
      </c>
      <c r="C2553" s="2" t="s">
        <v>9708</v>
      </c>
      <c r="D2553" s="2" t="s">
        <v>4030</v>
      </c>
      <c r="E2553" s="2" t="b">
        <v>1</v>
      </c>
      <c r="F2553" s="2" t="b">
        <v>0</v>
      </c>
      <c r="G2553" s="2" t="s">
        <v>9937</v>
      </c>
      <c r="H2553" s="3" t="str">
        <f>_xlfn.IFNA(INDEX(RulebookFields!C2:C999, MATCH(D2553,RulebookFields!A2:A999, 0)), "")</f>
      </c>
      <c r="I2553" s="3" t="str">
        <f>_xlfn.IFNA(INDEX(RulebookFields!D2:D999, MATCH(D2553,RulebookFields!A2:A999, 0)), "")</f>
      </c>
      <c r="J2553" s="3" t="str">
        <f>_xlfn.IFNA(INDEX(RulebookFields!I2:I999, MATCH(D2553,RulebookFields!A2:A999, 0)), "")</f>
      </c>
      <c r="K2553" s="3" t="b">
        <f>AND(F2553, J2553)</f>
        <v>0</v>
      </c>
      <c r="L2553" s="3" t="b">
        <f>AND(G2553 &lt;&gt; "plain", G2553 &lt;&gt; "")</f>
        <v>0</v>
      </c>
      <c r="M2553" s="3" t="str">
        <f>IF(E2553, C2553 &amp; "|" &amp; H2553, "")</f>
        <v>principal-knowledge-authority|</v>
      </c>
      <c r="N2553" s="2" t="s">
        <v>9938</v>
      </c>
    </row>
    <row r="2554">
      <c r="A2554" s="2" t="s">
        <v>12490</v>
      </c>
      <c r="B2554" s="3" t="str">
        <f>C2554 &amp; " -&gt; " &amp; D2554</f>
        <v>principal-knowledge-authority -&gt; MessageTemplates.PolicyMaxSegments</v>
      </c>
      <c r="C2554" s="2" t="s">
        <v>9708</v>
      </c>
      <c r="D2554" s="2" t="s">
        <v>4032</v>
      </c>
      <c r="E2554" s="2" t="b">
        <v>1</v>
      </c>
      <c r="F2554" s="2" t="b">
        <v>0</v>
      </c>
      <c r="G2554" s="2" t="s">
        <v>9937</v>
      </c>
      <c r="H2554" s="3" t="str">
        <f>_xlfn.IFNA(INDEX(RulebookFields!C2:C999, MATCH(D2554,RulebookFields!A2:A999, 0)), "")</f>
      </c>
      <c r="I2554" s="3" t="str">
        <f>_xlfn.IFNA(INDEX(RulebookFields!D2:D999, MATCH(D2554,RulebookFields!A2:A999, 0)), "")</f>
      </c>
      <c r="J2554" s="3" t="str">
        <f>_xlfn.IFNA(INDEX(RulebookFields!I2:I999, MATCH(D2554,RulebookFields!A2:A999, 0)), "")</f>
      </c>
      <c r="K2554" s="3" t="b">
        <f>AND(F2554, J2554)</f>
        <v>0</v>
      </c>
      <c r="L2554" s="3" t="b">
        <f>AND(G2554 &lt;&gt; "plain", G2554 &lt;&gt; "")</f>
        <v>0</v>
      </c>
      <c r="M2554" s="3" t="str">
        <f>IF(E2554, C2554 &amp; "|" &amp; H2554, "")</f>
        <v>principal-knowledge-authority|</v>
      </c>
      <c r="N2554" s="2" t="s">
        <v>9938</v>
      </c>
    </row>
    <row r="2555">
      <c r="A2555" s="2" t="s">
        <v>12491</v>
      </c>
      <c r="B2555" s="3" t="str">
        <f>C2555 &amp; " -&gt; " &amp; D2555</f>
        <v>principal-knowledge-authority -&gt; MessageTemplates.BodyTemplateLength</v>
      </c>
      <c r="C2555" s="2" t="s">
        <v>9708</v>
      </c>
      <c r="D2555" s="2" t="s">
        <v>4034</v>
      </c>
      <c r="E2555" s="2" t="b">
        <v>1</v>
      </c>
      <c r="F2555" s="2" t="b">
        <v>0</v>
      </c>
      <c r="G2555" s="2" t="s">
        <v>9937</v>
      </c>
      <c r="H2555" s="3" t="str">
        <f>_xlfn.IFNA(INDEX(RulebookFields!C2:C999, MATCH(D2555,RulebookFields!A2:A999, 0)), "")</f>
      </c>
      <c r="I2555" s="3" t="str">
        <f>_xlfn.IFNA(INDEX(RulebookFields!D2:D999, MATCH(D2555,RulebookFields!A2:A999, 0)), "")</f>
      </c>
      <c r="J2555" s="3" t="str">
        <f>_xlfn.IFNA(INDEX(RulebookFields!I2:I999, MATCH(D2555,RulebookFields!A2:A999, 0)), "")</f>
      </c>
      <c r="K2555" s="3" t="b">
        <f>AND(F2555, J2555)</f>
        <v>0</v>
      </c>
      <c r="L2555" s="3" t="b">
        <f>AND(G2555 &lt;&gt; "plain", G2555 &lt;&gt; "")</f>
        <v>0</v>
      </c>
      <c r="M2555" s="3" t="str">
        <f>IF(E2555, C2555 &amp; "|" &amp; H2555, "")</f>
        <v>principal-knowledge-authority|</v>
      </c>
      <c r="N2555" s="2" t="s">
        <v>9938</v>
      </c>
    </row>
    <row r="2556">
      <c r="A2556" s="2" t="s">
        <v>12492</v>
      </c>
      <c r="B2556" s="3" t="str">
        <f>C2556 &amp; " -&gt; " &amp; D2556</f>
        <v>principal-knowledge-authority -&gt; MessageTemplates.IsTemplateOverLength</v>
      </c>
      <c r="C2556" s="2" t="s">
        <v>9708</v>
      </c>
      <c r="D2556" s="2" t="s">
        <v>4036</v>
      </c>
      <c r="E2556" s="2" t="b">
        <v>1</v>
      </c>
      <c r="F2556" s="2" t="b">
        <v>0</v>
      </c>
      <c r="G2556" s="2" t="s">
        <v>9937</v>
      </c>
      <c r="H2556" s="3" t="str">
        <f>_xlfn.IFNA(INDEX(RulebookFields!C2:C999, MATCH(D2556,RulebookFields!A2:A999, 0)), "")</f>
      </c>
      <c r="I2556" s="3" t="str">
        <f>_xlfn.IFNA(INDEX(RulebookFields!D2:D999, MATCH(D2556,RulebookFields!A2:A999, 0)), "")</f>
      </c>
      <c r="J2556" s="3" t="str">
        <f>_xlfn.IFNA(INDEX(RulebookFields!I2:I999, MATCH(D2556,RulebookFields!A2:A999, 0)), "")</f>
      </c>
      <c r="K2556" s="3" t="b">
        <f>AND(F2556, J2556)</f>
        <v>0</v>
      </c>
      <c r="L2556" s="3" t="b">
        <f>AND(G2556 &lt;&gt; "plain", G2556 &lt;&gt; "")</f>
        <v>0</v>
      </c>
      <c r="M2556" s="3" t="str">
        <f>IF(E2556, C2556 &amp; "|" &amp; H2556, "")</f>
        <v>principal-knowledge-authority|</v>
      </c>
      <c r="N2556" s="2" t="s">
        <v>9938</v>
      </c>
    </row>
    <row r="2557">
      <c r="A2557" s="2" t="s">
        <v>12493</v>
      </c>
      <c r="B2557" s="3" t="str">
        <f>C2557 &amp; " -&gt; " &amp; D2557</f>
        <v>principal-knowledge-authority -&gt; MessageTemplates.ValidApprovalCount</v>
      </c>
      <c r="C2557" s="2" t="s">
        <v>9708</v>
      </c>
      <c r="D2557" s="2" t="s">
        <v>4038</v>
      </c>
      <c r="E2557" s="2" t="b">
        <v>1</v>
      </c>
      <c r="F2557" s="2" t="b">
        <v>0</v>
      </c>
      <c r="G2557" s="2" t="s">
        <v>9937</v>
      </c>
      <c r="H2557" s="3" t="str">
        <f>_xlfn.IFNA(INDEX(RulebookFields!C2:C999, MATCH(D2557,RulebookFields!A2:A999, 0)), "")</f>
      </c>
      <c r="I2557" s="3" t="str">
        <f>_xlfn.IFNA(INDEX(RulebookFields!D2:D999, MATCH(D2557,RulebookFields!A2:A999, 0)), "")</f>
      </c>
      <c r="J2557" s="3" t="str">
        <f>_xlfn.IFNA(INDEX(RulebookFields!I2:I999, MATCH(D2557,RulebookFields!A2:A999, 0)), "")</f>
      </c>
      <c r="K2557" s="3" t="b">
        <f>AND(F2557, J2557)</f>
        <v>0</v>
      </c>
      <c r="L2557" s="3" t="b">
        <f>AND(G2557 &lt;&gt; "plain", G2557 &lt;&gt; "")</f>
        <v>0</v>
      </c>
      <c r="M2557" s="3" t="str">
        <f>IF(E2557, C2557 &amp; "|" &amp; H2557, "")</f>
        <v>principal-knowledge-authority|</v>
      </c>
      <c r="N2557" s="2" t="s">
        <v>9938</v>
      </c>
    </row>
    <row r="2558">
      <c r="A2558" s="2" t="s">
        <v>12494</v>
      </c>
      <c r="B2558" s="3" t="str">
        <f>C2558 &amp; " -&gt; " &amp; D2558</f>
        <v>principal-knowledge-authority -&gt; MessageTemplates.HasValidApproval</v>
      </c>
      <c r="C2558" s="2" t="s">
        <v>9708</v>
      </c>
      <c r="D2558" s="2" t="s">
        <v>4040</v>
      </c>
      <c r="E2558" s="2" t="b">
        <v>1</v>
      </c>
      <c r="F2558" s="2" t="b">
        <v>0</v>
      </c>
      <c r="G2558" s="2" t="s">
        <v>9937</v>
      </c>
      <c r="H2558" s="3" t="str">
        <f>_xlfn.IFNA(INDEX(RulebookFields!C2:C999, MATCH(D2558,RulebookFields!A2:A999, 0)), "")</f>
      </c>
      <c r="I2558" s="3" t="str">
        <f>_xlfn.IFNA(INDEX(RulebookFields!D2:D999, MATCH(D2558,RulebookFields!A2:A999, 0)), "")</f>
      </c>
      <c r="J2558" s="3" t="str">
        <f>_xlfn.IFNA(INDEX(RulebookFields!I2:I999, MATCH(D2558,RulebookFields!A2:A999, 0)), "")</f>
      </c>
      <c r="K2558" s="3" t="b">
        <f>AND(F2558, J2558)</f>
        <v>0</v>
      </c>
      <c r="L2558" s="3" t="b">
        <f>AND(G2558 &lt;&gt; "plain", G2558 &lt;&gt; "")</f>
        <v>0</v>
      </c>
      <c r="M2558" s="3" t="str">
        <f>IF(E2558, C2558 &amp; "|" &amp; H2558, "")</f>
        <v>principal-knowledge-authority|</v>
      </c>
      <c r="N2558" s="2" t="s">
        <v>9938</v>
      </c>
    </row>
    <row r="2559">
      <c r="A2559" s="2" t="s">
        <v>12495</v>
      </c>
      <c r="B2559" s="3" t="str">
        <f>C2559 &amp; " -&gt; " &amp; D2559</f>
        <v>principal-knowledge-authority -&gt; MessageTemplates.IsClaimingUnbackedApproval</v>
      </c>
      <c r="C2559" s="2" t="s">
        <v>9708</v>
      </c>
      <c r="D2559" s="2" t="s">
        <v>4042</v>
      </c>
      <c r="E2559" s="2" t="b">
        <v>1</v>
      </c>
      <c r="F2559" s="2" t="b">
        <v>0</v>
      </c>
      <c r="G2559" s="2" t="s">
        <v>9937</v>
      </c>
      <c r="H2559" s="3" t="str">
        <f>_xlfn.IFNA(INDEX(RulebookFields!C2:C999, MATCH(D2559,RulebookFields!A2:A999, 0)), "")</f>
      </c>
      <c r="I2559" s="3" t="str">
        <f>_xlfn.IFNA(INDEX(RulebookFields!D2:D999, MATCH(D2559,RulebookFields!A2:A999, 0)), "")</f>
      </c>
      <c r="J2559" s="3" t="str">
        <f>_xlfn.IFNA(INDEX(RulebookFields!I2:I999, MATCH(D2559,RulebookFields!A2:A999, 0)), "")</f>
      </c>
      <c r="K2559" s="3" t="b">
        <f>AND(F2559, J2559)</f>
        <v>0</v>
      </c>
      <c r="L2559" s="3" t="b">
        <f>AND(G2559 &lt;&gt; "plain", G2559 &lt;&gt; "")</f>
        <v>0</v>
      </c>
      <c r="M2559" s="3" t="str">
        <f>IF(E2559, C2559 &amp; "|" &amp; H2559, "")</f>
        <v>principal-knowledge-authority|</v>
      </c>
      <c r="N2559" s="2" t="s">
        <v>9938</v>
      </c>
    </row>
    <row r="2560">
      <c r="A2560" s="2" t="s">
        <v>12496</v>
      </c>
      <c r="B2560" s="3" t="str">
        <f>C2560 &amp; " -&gt; " &amp; D2560</f>
        <v>principal-knowledge-authority -&gt; MessageTemplates.CurrentBodyHash</v>
      </c>
      <c r="C2560" s="2" t="s">
        <v>9708</v>
      </c>
      <c r="D2560" s="2" t="s">
        <v>4044</v>
      </c>
      <c r="E2560" s="2" t="b">
        <v>1</v>
      </c>
      <c r="F2560" s="2" t="b">
        <v>0</v>
      </c>
      <c r="G2560" s="2" t="s">
        <v>9937</v>
      </c>
      <c r="H2560" s="3" t="str">
        <f>_xlfn.IFNA(INDEX(RulebookFields!C2:C999, MATCH(D2560,RulebookFields!A2:A999, 0)), "")</f>
      </c>
      <c r="I2560" s="3" t="str">
        <f>_xlfn.IFNA(INDEX(RulebookFields!D2:D999, MATCH(D2560,RulebookFields!A2:A999, 0)), "")</f>
      </c>
      <c r="J2560" s="3" t="str">
        <f>_xlfn.IFNA(INDEX(RulebookFields!I2:I999, MATCH(D2560,RulebookFields!A2:A999, 0)), "")</f>
      </c>
      <c r="K2560" s="3" t="b">
        <f>AND(F2560, J2560)</f>
        <v>0</v>
      </c>
      <c r="L2560" s="3" t="b">
        <f>AND(G2560 &lt;&gt; "plain", G2560 &lt;&gt; "")</f>
        <v>0</v>
      </c>
      <c r="M2560" s="3" t="str">
        <f>IF(E2560, C2560 &amp; "|" &amp; H2560, "")</f>
        <v>principal-knowledge-authority|</v>
      </c>
      <c r="N2560" s="2" t="s">
        <v>9938</v>
      </c>
    </row>
    <row r="2561">
      <c r="A2561" s="2" t="s">
        <v>12497</v>
      </c>
      <c r="B2561" s="3" t="str">
        <f>C2561 &amp; " -&gt; " &amp; D2561</f>
        <v>principal-knowledge-authority -&gt; MessageTemplates.LastApprovedBodyHash</v>
      </c>
      <c r="C2561" s="2" t="s">
        <v>9708</v>
      </c>
      <c r="D2561" s="2" t="s">
        <v>4045</v>
      </c>
      <c r="E2561" s="2" t="b">
        <v>1</v>
      </c>
      <c r="F2561" s="2" t="b">
        <v>0</v>
      </c>
      <c r="G2561" s="2" t="s">
        <v>9937</v>
      </c>
      <c r="H2561" s="3" t="str">
        <f>_xlfn.IFNA(INDEX(RulebookFields!C2:C999, MATCH(D2561,RulebookFields!A2:A999, 0)), "")</f>
      </c>
      <c r="I2561" s="3" t="str">
        <f>_xlfn.IFNA(INDEX(RulebookFields!D2:D999, MATCH(D2561,RulebookFields!A2:A999, 0)), "")</f>
      </c>
      <c r="J2561" s="3" t="str">
        <f>_xlfn.IFNA(INDEX(RulebookFields!I2:I999, MATCH(D2561,RulebookFields!A2:A999, 0)), "")</f>
      </c>
      <c r="K2561" s="3" t="b">
        <f>AND(F2561, J2561)</f>
        <v>0</v>
      </c>
      <c r="L2561" s="3" t="b">
        <f>AND(G2561 &lt;&gt; "plain", G2561 &lt;&gt; "")</f>
        <v>0</v>
      </c>
      <c r="M2561" s="3" t="str">
        <f>IF(E2561, C2561 &amp; "|" &amp; H2561, "")</f>
        <v>principal-knowledge-authority|</v>
      </c>
      <c r="N2561" s="2" t="s">
        <v>9938</v>
      </c>
    </row>
    <row r="2562">
      <c r="A2562" s="2" t="s">
        <v>12498</v>
      </c>
      <c r="B2562" s="3" t="str">
        <f>C2562 &amp; " -&gt; " &amp; D2562</f>
        <v>principal-knowledge-authority -&gt; MessageTemplates.LastValidApproval</v>
      </c>
      <c r="C2562" s="2" t="s">
        <v>9708</v>
      </c>
      <c r="D2562" s="2" t="s">
        <v>4047</v>
      </c>
      <c r="E2562" s="2" t="b">
        <v>1</v>
      </c>
      <c r="F2562" s="2" t="b">
        <v>0</v>
      </c>
      <c r="G2562" s="2" t="s">
        <v>9937</v>
      </c>
      <c r="H2562" s="3" t="str">
        <f>_xlfn.IFNA(INDEX(RulebookFields!C2:C999, MATCH(D2562,RulebookFields!A2:A999, 0)), "")</f>
      </c>
      <c r="I2562" s="3" t="str">
        <f>_xlfn.IFNA(INDEX(RulebookFields!D2:D999, MATCH(D2562,RulebookFields!A2:A999, 0)), "")</f>
      </c>
      <c r="J2562" s="3" t="str">
        <f>_xlfn.IFNA(INDEX(RulebookFields!I2:I999, MATCH(D2562,RulebookFields!A2:A999, 0)), "")</f>
      </c>
      <c r="K2562" s="3" t="b">
        <f>AND(F2562, J2562)</f>
        <v>0</v>
      </c>
      <c r="L2562" s="3" t="b">
        <f>AND(G2562 &lt;&gt; "plain", G2562 &lt;&gt; "")</f>
        <v>0</v>
      </c>
      <c r="M2562" s="3" t="str">
        <f>IF(E2562, C2562 &amp; "|" &amp; H2562, "")</f>
        <v>principal-knowledge-authority|</v>
      </c>
      <c r="N2562" s="2" t="s">
        <v>9938</v>
      </c>
    </row>
    <row r="2563">
      <c r="A2563" s="2" t="s">
        <v>12499</v>
      </c>
      <c r="B2563" s="3" t="str">
        <f>C2563 &amp; " -&gt; " &amp; D2563</f>
        <v>principal-knowledge-authority -&gt; MessageTemplates.HasBodyDrifted</v>
      </c>
      <c r="C2563" s="2" t="s">
        <v>9708</v>
      </c>
      <c r="D2563" s="2" t="s">
        <v>4048</v>
      </c>
      <c r="E2563" s="2" t="b">
        <v>1</v>
      </c>
      <c r="F2563" s="2" t="b">
        <v>0</v>
      </c>
      <c r="G2563" s="2" t="s">
        <v>9937</v>
      </c>
      <c r="H2563" s="3" t="str">
        <f>_xlfn.IFNA(INDEX(RulebookFields!C2:C999, MATCH(D2563,RulebookFields!A2:A999, 0)), "")</f>
      </c>
      <c r="I2563" s="3" t="str">
        <f>_xlfn.IFNA(INDEX(RulebookFields!D2:D999, MATCH(D2563,RulebookFields!A2:A999, 0)), "")</f>
      </c>
      <c r="J2563" s="3" t="str">
        <f>_xlfn.IFNA(INDEX(RulebookFields!I2:I999, MATCH(D2563,RulebookFields!A2:A999, 0)), "")</f>
      </c>
      <c r="K2563" s="3" t="b">
        <f>AND(F2563, J2563)</f>
        <v>0</v>
      </c>
      <c r="L2563" s="3" t="b">
        <f>AND(G2563 &lt;&gt; "plain", G2563 &lt;&gt; "")</f>
        <v>0</v>
      </c>
      <c r="M2563" s="3" t="str">
        <f>IF(E2563, C2563 &amp; "|" &amp; H2563, "")</f>
        <v>principal-knowledge-authority|</v>
      </c>
      <c r="N2563" s="2" t="s">
        <v>9938</v>
      </c>
    </row>
    <row r="2564">
      <c r="A2564" s="2" t="s">
        <v>12500</v>
      </c>
      <c r="B2564" s="3" t="str">
        <f>C2564 &amp; " -&gt; " &amp; D2564</f>
        <v>principal-knowledge-authority -&gt; MessageTemplates.IsSendableUnderApproval</v>
      </c>
      <c r="C2564" s="2" t="s">
        <v>9708</v>
      </c>
      <c r="D2564" s="2" t="s">
        <v>4050</v>
      </c>
      <c r="E2564" s="2" t="b">
        <v>1</v>
      </c>
      <c r="F2564" s="2" t="b">
        <v>0</v>
      </c>
      <c r="G2564" s="2" t="s">
        <v>9937</v>
      </c>
      <c r="H2564" s="3" t="str">
        <f>_xlfn.IFNA(INDEX(RulebookFields!C2:C999, MATCH(D2564,RulebookFields!A2:A999, 0)), "")</f>
      </c>
      <c r="I2564" s="3" t="str">
        <f>_xlfn.IFNA(INDEX(RulebookFields!D2:D999, MATCH(D2564,RulebookFields!A2:A999, 0)), "")</f>
      </c>
      <c r="J2564" s="3" t="str">
        <f>_xlfn.IFNA(INDEX(RulebookFields!I2:I999, MATCH(D2564,RulebookFields!A2:A999, 0)), "")</f>
      </c>
      <c r="K2564" s="3" t="b">
        <f>AND(F2564, J2564)</f>
        <v>0</v>
      </c>
      <c r="L2564" s="3" t="b">
        <f>AND(G2564 &lt;&gt; "plain", G2564 &lt;&gt; "")</f>
        <v>0</v>
      </c>
      <c r="M2564" s="3" t="str">
        <f>IF(E2564, C2564 &amp; "|" &amp; H2564, "")</f>
        <v>principal-knowledge-authority|</v>
      </c>
      <c r="N2564" s="2" t="s">
        <v>9938</v>
      </c>
    </row>
    <row r="2565">
      <c r="A2565" s="2" t="s">
        <v>12501</v>
      </c>
      <c r="B2565" s="3" t="str">
        <f>C2565 &amp; " -&gt; " &amp; D2565</f>
        <v>principal-knowledge-authority -&gt; MessageTemplates.DriftedSendCount</v>
      </c>
      <c r="C2565" s="2" t="s">
        <v>9708</v>
      </c>
      <c r="D2565" s="2" t="s">
        <v>4052</v>
      </c>
      <c r="E2565" s="2" t="b">
        <v>1</v>
      </c>
      <c r="F2565" s="2" t="b">
        <v>0</v>
      </c>
      <c r="G2565" s="2" t="s">
        <v>9937</v>
      </c>
      <c r="H2565" s="3" t="str">
        <f>_xlfn.IFNA(INDEX(RulebookFields!C2:C999, MATCH(D2565,RulebookFields!A2:A999, 0)), "")</f>
      </c>
      <c r="I2565" s="3" t="str">
        <f>_xlfn.IFNA(INDEX(RulebookFields!D2:D999, MATCH(D2565,RulebookFields!A2:A999, 0)), "")</f>
      </c>
      <c r="J2565" s="3" t="str">
        <f>_xlfn.IFNA(INDEX(RulebookFields!I2:I999, MATCH(D2565,RulebookFields!A2:A999, 0)), "")</f>
      </c>
      <c r="K2565" s="3" t="b">
        <f>AND(F2565, J2565)</f>
        <v>0</v>
      </c>
      <c r="L2565" s="3" t="b">
        <f>AND(G2565 &lt;&gt; "plain", G2565 &lt;&gt; "")</f>
        <v>0</v>
      </c>
      <c r="M2565" s="3" t="str">
        <f>IF(E2565, C2565 &amp; "|" &amp; H2565, "")</f>
        <v>principal-knowledge-authority|</v>
      </c>
      <c r="N2565" s="2" t="s">
        <v>9938</v>
      </c>
    </row>
    <row r="2566">
      <c r="A2566" s="2" t="s">
        <v>12502</v>
      </c>
      <c r="B2566" s="3" t="str">
        <f>C2566 &amp; " -&gt; " &amp; D2566</f>
        <v>principal-knowledge-authority -&gt; MessageTemplates.UnansweredDeliveryCount</v>
      </c>
      <c r="C2566" s="2" t="s">
        <v>9708</v>
      </c>
      <c r="D2566" s="2" t="s">
        <v>4054</v>
      </c>
      <c r="E2566" s="2" t="b">
        <v>1</v>
      </c>
      <c r="F2566" s="2" t="b">
        <v>0</v>
      </c>
      <c r="G2566" s="2" t="s">
        <v>9937</v>
      </c>
      <c r="H2566" s="3" t="str">
        <f>_xlfn.IFNA(INDEX(RulebookFields!C2:C999, MATCH(D2566,RulebookFields!A2:A999, 0)), "")</f>
      </c>
      <c r="I2566" s="3" t="str">
        <f>_xlfn.IFNA(INDEX(RulebookFields!D2:D999, MATCH(D2566,RulebookFields!A2:A999, 0)), "")</f>
      </c>
      <c r="J2566" s="3" t="str">
        <f>_xlfn.IFNA(INDEX(RulebookFields!I2:I999, MATCH(D2566,RulebookFields!A2:A999, 0)), "")</f>
      </c>
      <c r="K2566" s="3" t="b">
        <f>AND(F2566, J2566)</f>
        <v>0</v>
      </c>
      <c r="L2566" s="3" t="b">
        <f>AND(G2566 &lt;&gt; "plain", G2566 &lt;&gt; "")</f>
        <v>0</v>
      </c>
      <c r="M2566" s="3" t="str">
        <f>IF(E2566, C2566 &amp; "|" &amp; H2566, "")</f>
        <v>principal-knowledge-authority|</v>
      </c>
      <c r="N2566" s="2" t="s">
        <v>9938</v>
      </c>
    </row>
    <row r="2567">
      <c r="A2567" s="2" t="s">
        <v>12503</v>
      </c>
      <c r="B2567" s="3" t="str">
        <f>C2567 &amp; " -&gt; " &amp; D2567</f>
        <v>principal-knowledge-authority -&gt; MessageTemplates.TransmittedDeliveryCount</v>
      </c>
      <c r="C2567" s="2" t="s">
        <v>9708</v>
      </c>
      <c r="D2567" s="2" t="s">
        <v>4056</v>
      </c>
      <c r="E2567" s="2" t="b">
        <v>1</v>
      </c>
      <c r="F2567" s="2" t="b">
        <v>0</v>
      </c>
      <c r="G2567" s="2" t="s">
        <v>9937</v>
      </c>
      <c r="H2567" s="3" t="str">
        <f>_xlfn.IFNA(INDEX(RulebookFields!C2:C999, MATCH(D2567,RulebookFields!A2:A999, 0)), "")</f>
      </c>
      <c r="I2567" s="3" t="str">
        <f>_xlfn.IFNA(INDEX(RulebookFields!D2:D999, MATCH(D2567,RulebookFields!A2:A999, 0)), "")</f>
      </c>
      <c r="J2567" s="3" t="str">
        <f>_xlfn.IFNA(INDEX(RulebookFields!I2:I999, MATCH(D2567,RulebookFields!A2:A999, 0)), "")</f>
      </c>
      <c r="K2567" s="3" t="b">
        <f>AND(F2567, J2567)</f>
        <v>0</v>
      </c>
      <c r="L2567" s="3" t="b">
        <f>AND(G2567 &lt;&gt; "plain", G2567 &lt;&gt; "")</f>
        <v>0</v>
      </c>
      <c r="M2567" s="3" t="str">
        <f>IF(E2567, C2567 &amp; "|" &amp; H2567, "")</f>
        <v>principal-knowledge-authority|</v>
      </c>
      <c r="N2567" s="2" t="s">
        <v>9938</v>
      </c>
    </row>
    <row r="2568">
      <c r="A2568" s="2" t="s">
        <v>12504</v>
      </c>
      <c r="B2568" s="3" t="str">
        <f>C2568 &amp; " -&gt; " &amp; D2568</f>
        <v>principal-knowledge-authority -&gt; MessageTemplates.TemplateDrawsNoResponse</v>
      </c>
      <c r="C2568" s="2" t="s">
        <v>9708</v>
      </c>
      <c r="D2568" s="2" t="s">
        <v>4058</v>
      </c>
      <c r="E2568" s="2" t="b">
        <v>1</v>
      </c>
      <c r="F2568" s="2" t="b">
        <v>0</v>
      </c>
      <c r="G2568" s="2" t="s">
        <v>9937</v>
      </c>
      <c r="H2568" s="3" t="str">
        <f>_xlfn.IFNA(INDEX(RulebookFields!C2:C999, MATCH(D2568,RulebookFields!A2:A999, 0)), "")</f>
      </c>
      <c r="I2568" s="3" t="str">
        <f>_xlfn.IFNA(INDEX(RulebookFields!D2:D999, MATCH(D2568,RulebookFields!A2:A999, 0)), "")</f>
      </c>
      <c r="J2568" s="3" t="str">
        <f>_xlfn.IFNA(INDEX(RulebookFields!I2:I999, MATCH(D2568,RulebookFields!A2:A999, 0)), "")</f>
      </c>
      <c r="K2568" s="3" t="b">
        <f>AND(F2568, J2568)</f>
        <v>0</v>
      </c>
      <c r="L2568" s="3" t="b">
        <f>AND(G2568 &lt;&gt; "plain", G2568 &lt;&gt; "")</f>
        <v>0</v>
      </c>
      <c r="M2568" s="3" t="str">
        <f>IF(E2568, C2568 &amp; "|" &amp; H2568, "")</f>
        <v>principal-knowledge-authority|</v>
      </c>
      <c r="N2568" s="2" t="s">
        <v>9938</v>
      </c>
    </row>
    <row r="2569">
      <c r="A2569" s="2" t="s">
        <v>12505</v>
      </c>
      <c r="B2569" s="3" t="str">
        <f>C2569 &amp; " -&gt; " &amp; D2569</f>
        <v>principal-knowledge-authority -&gt; MessageTemplates.LastApprovalAt</v>
      </c>
      <c r="C2569" s="2" t="s">
        <v>9708</v>
      </c>
      <c r="D2569" s="2" t="s">
        <v>4060</v>
      </c>
      <c r="E2569" s="2" t="b">
        <v>1</v>
      </c>
      <c r="F2569" s="2" t="b">
        <v>0</v>
      </c>
      <c r="G2569" s="2" t="s">
        <v>9937</v>
      </c>
      <c r="H2569" s="3" t="str">
        <f>_xlfn.IFNA(INDEX(RulebookFields!C2:C999, MATCH(D2569,RulebookFields!A2:A999, 0)), "")</f>
      </c>
      <c r="I2569" s="3" t="str">
        <f>_xlfn.IFNA(INDEX(RulebookFields!D2:D999, MATCH(D2569,RulebookFields!A2:A999, 0)), "")</f>
      </c>
      <c r="J2569" s="3" t="str">
        <f>_xlfn.IFNA(INDEX(RulebookFields!I2:I999, MATCH(D2569,RulebookFields!A2:A999, 0)), "")</f>
      </c>
      <c r="K2569" s="3" t="b">
        <f>AND(F2569, J2569)</f>
        <v>0</v>
      </c>
      <c r="L2569" s="3" t="b">
        <f>AND(G2569 &lt;&gt; "plain", G2569 &lt;&gt; "")</f>
        <v>0</v>
      </c>
      <c r="M2569" s="3" t="str">
        <f>IF(E2569, C2569 &amp; "|" &amp; H2569, "")</f>
        <v>principal-knowledge-authority|</v>
      </c>
      <c r="N2569" s="2" t="s">
        <v>9938</v>
      </c>
    </row>
    <row r="2570">
      <c r="A2570" s="2" t="s">
        <v>12506</v>
      </c>
      <c r="B2570" s="3" t="str">
        <f>C2570 &amp; " -&gt; " &amp; D2570</f>
        <v>principal-knowledge-authority -&gt; MessageTemplates.SemanticTypeIri</v>
      </c>
      <c r="C2570" s="2" t="s">
        <v>9708</v>
      </c>
      <c r="D2570" s="2" t="s">
        <v>4062</v>
      </c>
      <c r="E2570" s="2" t="b">
        <v>1</v>
      </c>
      <c r="F2570" s="2" t="b">
        <v>0</v>
      </c>
      <c r="G2570" s="2" t="s">
        <v>9937</v>
      </c>
      <c r="H2570" s="3" t="str">
        <f>_xlfn.IFNA(INDEX(RulebookFields!C2:C999, MATCH(D2570,RulebookFields!A2:A999, 0)), "")</f>
      </c>
      <c r="I2570" s="3" t="str">
        <f>_xlfn.IFNA(INDEX(RulebookFields!D2:D999, MATCH(D2570,RulebookFields!A2:A999, 0)), "")</f>
      </c>
      <c r="J2570" s="3" t="str">
        <f>_xlfn.IFNA(INDEX(RulebookFields!I2:I999, MATCH(D2570,RulebookFields!A2:A999, 0)), "")</f>
      </c>
      <c r="K2570" s="3" t="b">
        <f>AND(F2570, J2570)</f>
        <v>0</v>
      </c>
      <c r="L2570" s="3" t="b">
        <f>AND(G2570 &lt;&gt; "plain", G2570 &lt;&gt; "")</f>
        <v>0</v>
      </c>
      <c r="M2570" s="3" t="str">
        <f>IF(E2570, C2570 &amp; "|" &amp; H2570, "")</f>
        <v>principal-knowledge-authority|</v>
      </c>
      <c r="N2570" s="2" t="s">
        <v>9938</v>
      </c>
    </row>
    <row r="2571">
      <c r="A2571" s="2" t="s">
        <v>12507</v>
      </c>
      <c r="B2571" s="3" t="str">
        <f>C2571 &amp; " -&gt; " &amp; D2571</f>
        <v>principal-knowledge-authority -&gt; ObservedTransitions.ObservedTransitionId</v>
      </c>
      <c r="C2571" s="2" t="s">
        <v>9708</v>
      </c>
      <c r="D2571" s="2" t="s">
        <v>4331</v>
      </c>
      <c r="E2571" s="2" t="b">
        <v>1</v>
      </c>
      <c r="F2571" s="2" t="b">
        <v>0</v>
      </c>
      <c r="G2571" s="2" t="s">
        <v>9937</v>
      </c>
      <c r="H2571" s="3" t="str">
        <f>_xlfn.IFNA(INDEX(RulebookFields!C2:C999, MATCH(D2571,RulebookFields!A2:A999, 0)), "")</f>
      </c>
      <c r="I2571" s="3" t="str">
        <f>_xlfn.IFNA(INDEX(RulebookFields!D2:D999, MATCH(D2571,RulebookFields!A2:A999, 0)), "")</f>
      </c>
      <c r="J2571" s="3" t="str">
        <f>_xlfn.IFNA(INDEX(RulebookFields!I2:I999, MATCH(D2571,RulebookFields!A2:A999, 0)), "")</f>
      </c>
      <c r="K2571" s="3" t="b">
        <f>AND(F2571, J2571)</f>
        <v>0</v>
      </c>
      <c r="L2571" s="3" t="b">
        <f>AND(G2571 &lt;&gt; "plain", G2571 &lt;&gt; "")</f>
        <v>0</v>
      </c>
      <c r="M2571" s="3" t="str">
        <f>IF(E2571, C2571 &amp; "|" &amp; H2571, "")</f>
        <v>principal-knowledge-authority|</v>
      </c>
      <c r="N2571" s="2" t="s">
        <v>9938</v>
      </c>
    </row>
    <row r="2572">
      <c r="A2572" s="2" t="s">
        <v>12508</v>
      </c>
      <c r="B2572" s="3" t="str">
        <f>C2572 &amp; " -&gt; " &amp; D2572</f>
        <v>principal-knowledge-authority -&gt; ObservedTransitions.Name</v>
      </c>
      <c r="C2572" s="2" t="s">
        <v>9708</v>
      </c>
      <c r="D2572" s="2" t="s">
        <v>4334</v>
      </c>
      <c r="E2572" s="2" t="b">
        <v>1</v>
      </c>
      <c r="F2572" s="2" t="b">
        <v>0</v>
      </c>
      <c r="G2572" s="2" t="s">
        <v>9937</v>
      </c>
      <c r="H2572" s="3" t="str">
        <f>_xlfn.IFNA(INDEX(RulebookFields!C2:C999, MATCH(D2572,RulebookFields!A2:A999, 0)), "")</f>
      </c>
      <c r="I2572" s="3" t="str">
        <f>_xlfn.IFNA(INDEX(RulebookFields!D2:D999, MATCH(D2572,RulebookFields!A2:A999, 0)), "")</f>
      </c>
      <c r="J2572" s="3" t="str">
        <f>_xlfn.IFNA(INDEX(RulebookFields!I2:I999, MATCH(D2572,RulebookFields!A2:A999, 0)), "")</f>
      </c>
      <c r="K2572" s="3" t="b">
        <f>AND(F2572, J2572)</f>
        <v>0</v>
      </c>
      <c r="L2572" s="3" t="b">
        <f>AND(G2572 &lt;&gt; "plain", G2572 &lt;&gt; "")</f>
        <v>0</v>
      </c>
      <c r="M2572" s="3" t="str">
        <f>IF(E2572, C2572 &amp; "|" &amp; H2572, "")</f>
        <v>principal-knowledge-authority|</v>
      </c>
      <c r="N2572" s="2" t="s">
        <v>9938</v>
      </c>
    </row>
    <row r="2573">
      <c r="A2573" s="2" t="s">
        <v>12509</v>
      </c>
      <c r="B2573" s="3" t="str">
        <f>C2573 &amp; " -&gt; " &amp; D2573</f>
        <v>principal-knowledge-authority -&gt; ObservedTransitions.ProcedureExecution</v>
      </c>
      <c r="C2573" s="2" t="s">
        <v>9708</v>
      </c>
      <c r="D2573" s="2" t="s">
        <v>4336</v>
      </c>
      <c r="E2573" s="2" t="b">
        <v>1</v>
      </c>
      <c r="F2573" s="2" t="b">
        <v>0</v>
      </c>
      <c r="G2573" s="2" t="s">
        <v>9937</v>
      </c>
      <c r="H2573" s="3" t="str">
        <f>_xlfn.IFNA(INDEX(RulebookFields!C2:C999, MATCH(D2573,RulebookFields!A2:A999, 0)), "")</f>
      </c>
      <c r="I2573" s="3" t="str">
        <f>_xlfn.IFNA(INDEX(RulebookFields!D2:D999, MATCH(D2573,RulebookFields!A2:A999, 0)), "")</f>
      </c>
      <c r="J2573" s="3" t="str">
        <f>_xlfn.IFNA(INDEX(RulebookFields!I2:I999, MATCH(D2573,RulebookFields!A2:A999, 0)), "")</f>
      </c>
      <c r="K2573" s="3" t="b">
        <f>AND(F2573, J2573)</f>
        <v>0</v>
      </c>
      <c r="L2573" s="3" t="b">
        <f>AND(G2573 &lt;&gt; "plain", G2573 &lt;&gt; "")</f>
        <v>0</v>
      </c>
      <c r="M2573" s="3" t="str">
        <f>IF(E2573, C2573 &amp; "|" &amp; H2573, "")</f>
        <v>principal-knowledge-authority|</v>
      </c>
      <c r="N2573" s="2" t="s">
        <v>9938</v>
      </c>
    </row>
    <row r="2574">
      <c r="A2574" s="2" t="s">
        <v>12510</v>
      </c>
      <c r="B2574" s="3" t="str">
        <f>C2574 &amp; " -&gt; " &amp; D2574</f>
        <v>principal-knowledge-authority -&gt; ObservedTransitions.StepTransition</v>
      </c>
      <c r="C2574" s="2" t="s">
        <v>9708</v>
      </c>
      <c r="D2574" s="2" t="s">
        <v>4337</v>
      </c>
      <c r="E2574" s="2" t="b">
        <v>1</v>
      </c>
      <c r="F2574" s="2" t="b">
        <v>0</v>
      </c>
      <c r="G2574" s="2" t="s">
        <v>9937</v>
      </c>
      <c r="H2574" s="3" t="str">
        <f>_xlfn.IFNA(INDEX(RulebookFields!C2:C999, MATCH(D2574,RulebookFields!A2:A999, 0)), "")</f>
      </c>
      <c r="I2574" s="3" t="str">
        <f>_xlfn.IFNA(INDEX(RulebookFields!D2:D999, MATCH(D2574,RulebookFields!A2:A999, 0)), "")</f>
      </c>
      <c r="J2574" s="3" t="str">
        <f>_xlfn.IFNA(INDEX(RulebookFields!I2:I999, MATCH(D2574,RulebookFields!A2:A999, 0)), "")</f>
      </c>
      <c r="K2574" s="3" t="b">
        <f>AND(F2574, J2574)</f>
        <v>0</v>
      </c>
      <c r="L2574" s="3" t="b">
        <f>AND(G2574 &lt;&gt; "plain", G2574 &lt;&gt; "")</f>
        <v>0</v>
      </c>
      <c r="M2574" s="3" t="str">
        <f>IF(E2574, C2574 &amp; "|" &amp; H2574, "")</f>
        <v>principal-knowledge-authority|</v>
      </c>
      <c r="N2574" s="2" t="s">
        <v>9938</v>
      </c>
    </row>
    <row r="2575">
      <c r="A2575" s="2" t="s">
        <v>12511</v>
      </c>
      <c r="B2575" s="3" t="str">
        <f>C2575 &amp; " -&gt; " &amp; D2575</f>
        <v>principal-knowledge-authority -&gt; ObservedTransitions.ArrivingStepExecution</v>
      </c>
      <c r="C2575" s="2" t="s">
        <v>9708</v>
      </c>
      <c r="D2575" s="2" t="s">
        <v>4339</v>
      </c>
      <c r="E2575" s="2" t="b">
        <v>1</v>
      </c>
      <c r="F2575" s="2" t="b">
        <v>0</v>
      </c>
      <c r="G2575" s="2" t="s">
        <v>9937</v>
      </c>
      <c r="H2575" s="3" t="str">
        <f>_xlfn.IFNA(INDEX(RulebookFields!C2:C999, MATCH(D2575,RulebookFields!A2:A999, 0)), "")</f>
      </c>
      <c r="I2575" s="3" t="str">
        <f>_xlfn.IFNA(INDEX(RulebookFields!D2:D999, MATCH(D2575,RulebookFields!A2:A999, 0)), "")</f>
      </c>
      <c r="J2575" s="3" t="str">
        <f>_xlfn.IFNA(INDEX(RulebookFields!I2:I999, MATCH(D2575,RulebookFields!A2:A999, 0)), "")</f>
      </c>
      <c r="K2575" s="3" t="b">
        <f>AND(F2575, J2575)</f>
        <v>0</v>
      </c>
      <c r="L2575" s="3" t="b">
        <f>AND(G2575 &lt;&gt; "plain", G2575 &lt;&gt; "")</f>
        <v>0</v>
      </c>
      <c r="M2575" s="3" t="str">
        <f>IF(E2575, C2575 &amp; "|" &amp; H2575, "")</f>
        <v>principal-knowledge-authority|</v>
      </c>
      <c r="N2575" s="2" t="s">
        <v>9938</v>
      </c>
    </row>
    <row r="2576">
      <c r="A2576" s="2" t="s">
        <v>12512</v>
      </c>
      <c r="B2576" s="3" t="str">
        <f>C2576 &amp; " -&gt; " &amp; D2576</f>
        <v>principal-knowledge-authority -&gt; ObservedTransitions.ObservedAt</v>
      </c>
      <c r="C2576" s="2" t="s">
        <v>9708</v>
      </c>
      <c r="D2576" s="2" t="s">
        <v>4341</v>
      </c>
      <c r="E2576" s="2" t="b">
        <v>1</v>
      </c>
      <c r="F2576" s="2" t="b">
        <v>0</v>
      </c>
      <c r="G2576" s="2" t="s">
        <v>9937</v>
      </c>
      <c r="H2576" s="3" t="str">
        <f>_xlfn.IFNA(INDEX(RulebookFields!C2:C999, MATCH(D2576,RulebookFields!A2:A999, 0)), "")</f>
      </c>
      <c r="I2576" s="3" t="str">
        <f>_xlfn.IFNA(INDEX(RulebookFields!D2:D999, MATCH(D2576,RulebookFields!A2:A999, 0)), "")</f>
      </c>
      <c r="J2576" s="3" t="str">
        <f>_xlfn.IFNA(INDEX(RulebookFields!I2:I999, MATCH(D2576,RulebookFields!A2:A999, 0)), "")</f>
      </c>
      <c r="K2576" s="3" t="b">
        <f>AND(F2576, J2576)</f>
        <v>0</v>
      </c>
      <c r="L2576" s="3" t="b">
        <f>AND(G2576 &lt;&gt; "plain", G2576 &lt;&gt; "")</f>
        <v>0</v>
      </c>
      <c r="M2576" s="3" t="str">
        <f>IF(E2576, C2576 &amp; "|" &amp; H2576, "")</f>
        <v>principal-knowledge-authority|</v>
      </c>
      <c r="N2576" s="2" t="s">
        <v>9938</v>
      </c>
    </row>
    <row r="2577">
      <c r="A2577" s="2" t="s">
        <v>12513</v>
      </c>
      <c r="B2577" s="3" t="str">
        <f>C2577 &amp; " -&gt; " &amp; D2577</f>
        <v>principal-knowledge-authority -&gt; ObservedTransitions.TriggerReason</v>
      </c>
      <c r="C2577" s="2" t="s">
        <v>9708</v>
      </c>
      <c r="D2577" s="2" t="s">
        <v>4342</v>
      </c>
      <c r="E2577" s="2" t="b">
        <v>1</v>
      </c>
      <c r="F2577" s="2" t="b">
        <v>0</v>
      </c>
      <c r="G2577" s="2" t="s">
        <v>9937</v>
      </c>
      <c r="H2577" s="3" t="str">
        <f>_xlfn.IFNA(INDEX(RulebookFields!C2:C999, MATCH(D2577,RulebookFields!A2:A999, 0)), "")</f>
      </c>
      <c r="I2577" s="3" t="str">
        <f>_xlfn.IFNA(INDEX(RulebookFields!D2:D999, MATCH(D2577,RulebookFields!A2:A999, 0)), "")</f>
      </c>
      <c r="J2577" s="3" t="str">
        <f>_xlfn.IFNA(INDEX(RulebookFields!I2:I999, MATCH(D2577,RulebookFields!A2:A999, 0)), "")</f>
      </c>
      <c r="K2577" s="3" t="b">
        <f>AND(F2577, J2577)</f>
        <v>0</v>
      </c>
      <c r="L2577" s="3" t="b">
        <f>AND(G2577 &lt;&gt; "plain", G2577 &lt;&gt; "")</f>
        <v>0</v>
      </c>
      <c r="M2577" s="3" t="str">
        <f>IF(E2577, C2577 &amp; "|" &amp; H2577, "")</f>
        <v>principal-knowledge-authority|</v>
      </c>
      <c r="N2577" s="2" t="s">
        <v>9938</v>
      </c>
    </row>
    <row r="2578">
      <c r="A2578" s="2" t="s">
        <v>12514</v>
      </c>
      <c r="B2578" s="3" t="str">
        <f>C2578 &amp; " -&gt; " &amp; D2578</f>
        <v>principal-knowledge-authority -&gt; ObservedTransitions.SemanticTypeIri</v>
      </c>
      <c r="C2578" s="2" t="s">
        <v>9708</v>
      </c>
      <c r="D2578" s="2" t="s">
        <v>4344</v>
      </c>
      <c r="E2578" s="2" t="b">
        <v>1</v>
      </c>
      <c r="F2578" s="2" t="b">
        <v>0</v>
      </c>
      <c r="G2578" s="2" t="s">
        <v>9937</v>
      </c>
      <c r="H2578" s="3" t="str">
        <f>_xlfn.IFNA(INDEX(RulebookFields!C2:C999, MATCH(D2578,RulebookFields!A2:A999, 0)), "")</f>
      </c>
      <c r="I2578" s="3" t="str">
        <f>_xlfn.IFNA(INDEX(RulebookFields!D2:D999, MATCH(D2578,RulebookFields!A2:A999, 0)), "")</f>
      </c>
      <c r="J2578" s="3" t="str">
        <f>_xlfn.IFNA(INDEX(RulebookFields!I2:I999, MATCH(D2578,RulebookFields!A2:A999, 0)), "")</f>
      </c>
      <c r="K2578" s="3" t="b">
        <f>AND(F2578, J2578)</f>
        <v>0</v>
      </c>
      <c r="L2578" s="3" t="b">
        <f>AND(G2578 &lt;&gt; "plain", G2578 &lt;&gt; "")</f>
        <v>0</v>
      </c>
      <c r="M2578" s="3" t="str">
        <f>IF(E2578, C2578 &amp; "|" &amp; H2578, "")</f>
        <v>principal-knowledge-authority|</v>
      </c>
      <c r="N2578" s="2" t="s">
        <v>9938</v>
      </c>
    </row>
    <row r="2579">
      <c r="A2579" s="2" t="s">
        <v>12515</v>
      </c>
      <c r="B2579" s="3" t="str">
        <f>C2579 &amp; " -&gt; " &amp; D2579</f>
        <v>principal-knowledge-authority -&gt; OntologyProfiles.OntologyProfileId</v>
      </c>
      <c r="C2579" s="2" t="s">
        <v>9708</v>
      </c>
      <c r="D2579" s="2" t="s">
        <v>2402</v>
      </c>
      <c r="E2579" s="2" t="b">
        <v>1</v>
      </c>
      <c r="F2579" s="2" t="b">
        <v>0</v>
      </c>
      <c r="G2579" s="2" t="s">
        <v>9937</v>
      </c>
      <c r="H2579" s="3" t="str">
        <f>_xlfn.IFNA(INDEX(RulebookFields!C2:C999, MATCH(D2579,RulebookFields!A2:A999, 0)), "")</f>
        <v>OntologyProfiles</v>
      </c>
      <c r="I2579" s="3" t="str">
        <f>_xlfn.IFNA(INDEX(RulebookFields!D2:D999, MATCH(D2579,RulebookFields!A2:A999, 0)), "")</f>
        <v>OntologyProfileId</v>
      </c>
      <c r="J2579" s="3" t="b">
        <f>_xlfn.IFNA(INDEX(RulebookFields!I2:I999, MATCH(D2579,RulebookFields!A2:A999, 0)), "")</f>
        <v>0</v>
      </c>
      <c r="K2579" s="3" t="b">
        <f>AND(F2579, J2579)</f>
        <v>0</v>
      </c>
      <c r="L2579" s="3" t="b">
        <f>AND(G2579 &lt;&gt; "plain", G2579 &lt;&gt; "")</f>
        <v>0</v>
      </c>
      <c r="M2579" s="3" t="str">
        <f>IF(E2579, C2579 &amp; "|" &amp; H2579, "")</f>
        <v>principal-knowledge-authority|OntologyProfiles</v>
      </c>
      <c r="N2579" s="2" t="s">
        <v>9938</v>
      </c>
    </row>
    <row r="2580">
      <c r="A2580" s="2" t="s">
        <v>12516</v>
      </c>
      <c r="B2580" s="3" t="str">
        <f>C2580 &amp; " -&gt; " &amp; D2580</f>
        <v>principal-knowledge-authority -&gt; OntologyProfiles.Name</v>
      </c>
      <c r="C2580" s="2" t="s">
        <v>9708</v>
      </c>
      <c r="D2580" s="2" t="s">
        <v>2404</v>
      </c>
      <c r="E2580" s="2" t="b">
        <v>1</v>
      </c>
      <c r="F2580" s="2" t="b">
        <v>0</v>
      </c>
      <c r="G2580" s="2" t="s">
        <v>9937</v>
      </c>
      <c r="H2580" s="3" t="str">
        <f>_xlfn.IFNA(INDEX(RulebookFields!C2:C999, MATCH(D2580,RulebookFields!A2:A999, 0)), "")</f>
        <v>OntologyProfiles</v>
      </c>
      <c r="I2580" s="3" t="str">
        <f>_xlfn.IFNA(INDEX(RulebookFields!D2:D999, MATCH(D2580,RulebookFields!A2:A999, 0)), "")</f>
        <v>Name</v>
      </c>
      <c r="J2580" s="3" t="b">
        <f>_xlfn.IFNA(INDEX(RulebookFields!I2:I999, MATCH(D2580,RulebookFields!A2:A999, 0)), "")</f>
        <v>1</v>
      </c>
      <c r="K2580" s="3" t="b">
        <f>AND(F2580, J2580)</f>
        <v>0</v>
      </c>
      <c r="L2580" s="3" t="b">
        <f>AND(G2580 &lt;&gt; "plain", G2580 &lt;&gt; "")</f>
        <v>0</v>
      </c>
      <c r="M2580" s="3" t="str">
        <f>IF(E2580, C2580 &amp; "|" &amp; H2580, "")</f>
        <v>principal-knowledge-authority|OntologyProfiles</v>
      </c>
      <c r="N2580" s="2" t="s">
        <v>9938</v>
      </c>
    </row>
    <row r="2581">
      <c r="A2581" s="2" t="s">
        <v>12517</v>
      </c>
      <c r="B2581" s="3" t="str">
        <f>C2581 &amp; " -&gt; " &amp; D2581</f>
        <v>principal-knowledge-authority -&gt; OntologyProfiles.Label</v>
      </c>
      <c r="C2581" s="2" t="s">
        <v>9708</v>
      </c>
      <c r="D2581" s="2" t="s">
        <v>2406</v>
      </c>
      <c r="E2581" s="2" t="b">
        <v>1</v>
      </c>
      <c r="F2581" s="2" t="b">
        <v>0</v>
      </c>
      <c r="G2581" s="2" t="s">
        <v>9937</v>
      </c>
      <c r="H2581" s="3" t="str">
        <f>_xlfn.IFNA(INDEX(RulebookFields!C2:C999, MATCH(D2581,RulebookFields!A2:A999, 0)), "")</f>
        <v>OntologyProfiles</v>
      </c>
      <c r="I2581" s="3" t="str">
        <f>_xlfn.IFNA(INDEX(RulebookFields!D2:D999, MATCH(D2581,RulebookFields!A2:A999, 0)), "")</f>
        <v>Label</v>
      </c>
      <c r="J2581" s="3" t="b">
        <f>_xlfn.IFNA(INDEX(RulebookFields!I2:I999, MATCH(D2581,RulebookFields!A2:A999, 0)), "")</f>
        <v>0</v>
      </c>
      <c r="K2581" s="3" t="b">
        <f>AND(F2581, J2581)</f>
        <v>0</v>
      </c>
      <c r="L2581" s="3" t="b">
        <f>AND(G2581 &lt;&gt; "plain", G2581 &lt;&gt; "")</f>
        <v>0</v>
      </c>
      <c r="M2581" s="3" t="str">
        <f>IF(E2581, C2581 &amp; "|" &amp; H2581, "")</f>
        <v>principal-knowledge-authority|OntologyProfiles</v>
      </c>
      <c r="N2581" s="2" t="s">
        <v>9938</v>
      </c>
    </row>
    <row r="2582">
      <c r="A2582" s="2" t="s">
        <v>12518</v>
      </c>
      <c r="B2582" s="3" t="str">
        <f>C2582 &amp; " -&gt; " &amp; D2582</f>
        <v>principal-knowledge-authority -&gt; OntologyProfiles.Version</v>
      </c>
      <c r="C2582" s="2" t="s">
        <v>9708</v>
      </c>
      <c r="D2582" s="2" t="s">
        <v>2407</v>
      </c>
      <c r="E2582" s="2" t="b">
        <v>1</v>
      </c>
      <c r="F2582" s="2" t="b">
        <v>0</v>
      </c>
      <c r="G2582" s="2" t="s">
        <v>9937</v>
      </c>
      <c r="H2582" s="3" t="str">
        <f>_xlfn.IFNA(INDEX(RulebookFields!C2:C999, MATCH(D2582,RulebookFields!A2:A999, 0)), "")</f>
        <v>OntologyProfiles</v>
      </c>
      <c r="I2582" s="3" t="str">
        <f>_xlfn.IFNA(INDEX(RulebookFields!D2:D999, MATCH(D2582,RulebookFields!A2:A999, 0)), "")</f>
        <v>Version</v>
      </c>
      <c r="J2582" s="3" t="b">
        <f>_xlfn.IFNA(INDEX(RulebookFields!I2:I999, MATCH(D2582,RulebookFields!A2:A999, 0)), "")</f>
        <v>0</v>
      </c>
      <c r="K2582" s="3" t="b">
        <f>AND(F2582, J2582)</f>
        <v>0</v>
      </c>
      <c r="L2582" s="3" t="b">
        <f>AND(G2582 &lt;&gt; "plain", G2582 &lt;&gt; "")</f>
        <v>0</v>
      </c>
      <c r="M2582" s="3" t="str">
        <f>IF(E2582, C2582 &amp; "|" &amp; H2582, "")</f>
        <v>principal-knowledge-authority|OntologyProfiles</v>
      </c>
      <c r="N2582" s="2" t="s">
        <v>9938</v>
      </c>
    </row>
    <row r="2583">
      <c r="A2583" s="2" t="s">
        <v>12519</v>
      </c>
      <c r="B2583" s="3" t="str">
        <f>C2583 &amp; " -&gt; " &amp; D2583</f>
        <v>principal-knowledge-authority -&gt; OntologyProfiles.VersionIri</v>
      </c>
      <c r="C2583" s="2" t="s">
        <v>9708</v>
      </c>
      <c r="D2583" s="2" t="s">
        <v>2408</v>
      </c>
      <c r="E2583" s="2" t="b">
        <v>1</v>
      </c>
      <c r="F2583" s="2" t="b">
        <v>0</v>
      </c>
      <c r="G2583" s="2" t="s">
        <v>9937</v>
      </c>
      <c r="H2583" s="3" t="str">
        <f>_xlfn.IFNA(INDEX(RulebookFields!C2:C999, MATCH(D2583,RulebookFields!A2:A999, 0)), "")</f>
        <v>OntologyProfiles</v>
      </c>
      <c r="I2583" s="3" t="str">
        <f>_xlfn.IFNA(INDEX(RulebookFields!D2:D999, MATCH(D2583,RulebookFields!A2:A999, 0)), "")</f>
        <v>VersionIri</v>
      </c>
      <c r="J2583" s="3" t="b">
        <f>_xlfn.IFNA(INDEX(RulebookFields!I2:I999, MATCH(D2583,RulebookFields!A2:A999, 0)), "")</f>
        <v>0</v>
      </c>
      <c r="K2583" s="3" t="b">
        <f>AND(F2583, J2583)</f>
        <v>0</v>
      </c>
      <c r="L2583" s="3" t="b">
        <f>AND(G2583 &lt;&gt; "plain", G2583 &lt;&gt; "")</f>
        <v>0</v>
      </c>
      <c r="M2583" s="3" t="str">
        <f>IF(E2583, C2583 &amp; "|" &amp; H2583, "")</f>
        <v>principal-knowledge-authority|OntologyProfiles</v>
      </c>
      <c r="N2583" s="2" t="s">
        <v>9938</v>
      </c>
    </row>
    <row r="2584">
      <c r="A2584" s="2" t="s">
        <v>12520</v>
      </c>
      <c r="B2584" s="3" t="str">
        <f>C2584 &amp; " -&gt; " &amp; D2584</f>
        <v>principal-knowledge-authority -&gt; OntologyProfiles.NamespaceIri</v>
      </c>
      <c r="C2584" s="2" t="s">
        <v>9708</v>
      </c>
      <c r="D2584" s="2" t="s">
        <v>2409</v>
      </c>
      <c r="E2584" s="2" t="b">
        <v>1</v>
      </c>
      <c r="F2584" s="2" t="b">
        <v>0</v>
      </c>
      <c r="G2584" s="2" t="s">
        <v>9937</v>
      </c>
      <c r="H2584" s="3" t="str">
        <f>_xlfn.IFNA(INDEX(RulebookFields!C2:C999, MATCH(D2584,RulebookFields!A2:A999, 0)), "")</f>
        <v>OntologyProfiles</v>
      </c>
      <c r="I2584" s="3" t="str">
        <f>_xlfn.IFNA(INDEX(RulebookFields!D2:D999, MATCH(D2584,RulebookFields!A2:A999, 0)), "")</f>
        <v>NamespaceIri</v>
      </c>
      <c r="J2584" s="3" t="b">
        <f>_xlfn.IFNA(INDEX(RulebookFields!I2:I999, MATCH(D2584,RulebookFields!A2:A999, 0)), "")</f>
        <v>0</v>
      </c>
      <c r="K2584" s="3" t="b">
        <f>AND(F2584, J2584)</f>
        <v>0</v>
      </c>
      <c r="L2584" s="3" t="b">
        <f>AND(G2584 &lt;&gt; "plain", G2584 &lt;&gt; "")</f>
        <v>0</v>
      </c>
      <c r="M2584" s="3" t="str">
        <f>IF(E2584, C2584 &amp; "|" &amp; H2584, "")</f>
        <v>principal-knowledge-authority|OntologyProfiles</v>
      </c>
      <c r="N2584" s="2" t="s">
        <v>9938</v>
      </c>
    </row>
    <row r="2585">
      <c r="A2585" s="2" t="s">
        <v>12521</v>
      </c>
      <c r="B2585" s="3" t="str">
        <f>C2585 &amp; " -&gt; " &amp; D2585</f>
        <v>principal-knowledge-authority -&gt; OntologyProfiles.License</v>
      </c>
      <c r="C2585" s="2" t="s">
        <v>9708</v>
      </c>
      <c r="D2585" s="2" t="s">
        <v>2410</v>
      </c>
      <c r="E2585" s="2" t="b">
        <v>1</v>
      </c>
      <c r="F2585" s="2" t="b">
        <v>0</v>
      </c>
      <c r="G2585" s="2" t="s">
        <v>9937</v>
      </c>
      <c r="H2585" s="3" t="str">
        <f>_xlfn.IFNA(INDEX(RulebookFields!C2:C999, MATCH(D2585,RulebookFields!A2:A999, 0)), "")</f>
        <v>OntologyProfiles</v>
      </c>
      <c r="I2585" s="3" t="str">
        <f>_xlfn.IFNA(INDEX(RulebookFields!D2:D999, MATCH(D2585,RulebookFields!A2:A999, 0)), "")</f>
        <v>License</v>
      </c>
      <c r="J2585" s="3" t="b">
        <f>_xlfn.IFNA(INDEX(RulebookFields!I2:I999, MATCH(D2585,RulebookFields!A2:A999, 0)), "")</f>
        <v>0</v>
      </c>
      <c r="K2585" s="3" t="b">
        <f>AND(F2585, J2585)</f>
        <v>0</v>
      </c>
      <c r="L2585" s="3" t="b">
        <f>AND(G2585 &lt;&gt; "plain", G2585 &lt;&gt; "")</f>
        <v>0</v>
      </c>
      <c r="M2585" s="3" t="str">
        <f>IF(E2585, C2585 &amp; "|" &amp; H2585, "")</f>
        <v>principal-knowledge-authority|OntologyProfiles</v>
      </c>
      <c r="N2585" s="2" t="s">
        <v>9938</v>
      </c>
    </row>
    <row r="2586">
      <c r="A2586" s="2" t="s">
        <v>12522</v>
      </c>
      <c r="B2586" s="3" t="str">
        <f>C2586 &amp; " -&gt; " &amp; D2586</f>
        <v>principal-knowledge-authority -&gt; OntologyProfiles.Scope</v>
      </c>
      <c r="C2586" s="2" t="s">
        <v>9708</v>
      </c>
      <c r="D2586" s="2" t="s">
        <v>2411</v>
      </c>
      <c r="E2586" s="2" t="b">
        <v>1</v>
      </c>
      <c r="F2586" s="2" t="b">
        <v>0</v>
      </c>
      <c r="G2586" s="2" t="s">
        <v>9937</v>
      </c>
      <c r="H2586" s="3" t="str">
        <f>_xlfn.IFNA(INDEX(RulebookFields!C2:C999, MATCH(D2586,RulebookFields!A2:A999, 0)), "")</f>
        <v>OntologyProfiles</v>
      </c>
      <c r="I2586" s="3" t="str">
        <f>_xlfn.IFNA(INDEX(RulebookFields!D2:D999, MATCH(D2586,RulebookFields!A2:A999, 0)), "")</f>
        <v>Scope</v>
      </c>
      <c r="J2586" s="3" t="b">
        <f>_xlfn.IFNA(INDEX(RulebookFields!I2:I999, MATCH(D2586,RulebookFields!A2:A999, 0)), "")</f>
        <v>0</v>
      </c>
      <c r="K2586" s="3" t="b">
        <f>AND(F2586, J2586)</f>
        <v>0</v>
      </c>
      <c r="L2586" s="3" t="b">
        <f>AND(G2586 &lt;&gt; "plain", G2586 &lt;&gt; "")</f>
        <v>0</v>
      </c>
      <c r="M2586" s="3" t="str">
        <f>IF(E2586, C2586 &amp; "|" &amp; H2586, "")</f>
        <v>principal-knowledge-authority|OntologyProfiles</v>
      </c>
      <c r="N2586" s="2" t="s">
        <v>9938</v>
      </c>
    </row>
    <row r="2587">
      <c r="A2587" s="2" t="s">
        <v>12523</v>
      </c>
      <c r="B2587" s="3" t="str">
        <f>C2587 &amp; " -&gt; " &amp; D2587</f>
        <v>principal-knowledge-authority -&gt; OperationalBindings.OperationalBindingId</v>
      </c>
      <c r="C2587" s="2" t="s">
        <v>9708</v>
      </c>
      <c r="D2587" s="2" t="s">
        <v>3962</v>
      </c>
      <c r="E2587" s="2" t="b">
        <v>1</v>
      </c>
      <c r="F2587" s="2" t="b">
        <v>0</v>
      </c>
      <c r="G2587" s="2" t="s">
        <v>9937</v>
      </c>
      <c r="H2587" s="3" t="str">
        <f>_xlfn.IFNA(INDEX(RulebookFields!C2:C999, MATCH(D2587,RulebookFields!A2:A999, 0)), "")</f>
        <v>OperationalBindings</v>
      </c>
      <c r="I2587" s="3" t="str">
        <f>_xlfn.IFNA(INDEX(RulebookFields!D2:D999, MATCH(D2587,RulebookFields!A2:A999, 0)), "")</f>
        <v>OperationalBindingId</v>
      </c>
      <c r="J2587" s="3" t="b">
        <f>_xlfn.IFNA(INDEX(RulebookFields!I2:I999, MATCH(D2587,RulebookFields!A2:A999, 0)), "")</f>
        <v>0</v>
      </c>
      <c r="K2587" s="3" t="b">
        <f>AND(F2587, J2587)</f>
        <v>0</v>
      </c>
      <c r="L2587" s="3" t="b">
        <f>AND(G2587 &lt;&gt; "plain", G2587 &lt;&gt; "")</f>
        <v>0</v>
      </c>
      <c r="M2587" s="3" t="str">
        <f>IF(E2587, C2587 &amp; "|" &amp; H2587, "")</f>
        <v>principal-knowledge-authority|OperationalBindings</v>
      </c>
      <c r="N2587" s="2" t="s">
        <v>9938</v>
      </c>
    </row>
    <row r="2588">
      <c r="A2588" s="2" t="s">
        <v>12524</v>
      </c>
      <c r="B2588" s="3" t="str">
        <f>C2588 &amp; " -&gt; " &amp; D2588</f>
        <v>principal-knowledge-authority -&gt; OperationalBindings.Name</v>
      </c>
      <c r="C2588" s="2" t="s">
        <v>9708</v>
      </c>
      <c r="D2588" s="2" t="s">
        <v>3963</v>
      </c>
      <c r="E2588" s="2" t="b">
        <v>1</v>
      </c>
      <c r="F2588" s="2" t="b">
        <v>0</v>
      </c>
      <c r="G2588" s="2" t="s">
        <v>9937</v>
      </c>
      <c r="H2588" s="3" t="str">
        <f>_xlfn.IFNA(INDEX(RulebookFields!C2:C999, MATCH(D2588,RulebookFields!A2:A999, 0)), "")</f>
        <v>OperationalBindings</v>
      </c>
      <c r="I2588" s="3" t="str">
        <f>_xlfn.IFNA(INDEX(RulebookFields!D2:D999, MATCH(D2588,RulebookFields!A2:A999, 0)), "")</f>
        <v>Name</v>
      </c>
      <c r="J2588" s="3" t="b">
        <f>_xlfn.IFNA(INDEX(RulebookFields!I2:I999, MATCH(D2588,RulebookFields!A2:A999, 0)), "")</f>
        <v>1</v>
      </c>
      <c r="K2588" s="3" t="b">
        <f>AND(F2588, J2588)</f>
        <v>0</v>
      </c>
      <c r="L2588" s="3" t="b">
        <f>AND(G2588 &lt;&gt; "plain", G2588 &lt;&gt; "")</f>
        <v>0</v>
      </c>
      <c r="M2588" s="3" t="str">
        <f>IF(E2588, C2588 &amp; "|" &amp; H2588, "")</f>
        <v>principal-knowledge-authority|OperationalBindings</v>
      </c>
      <c r="N2588" s="2" t="s">
        <v>9938</v>
      </c>
    </row>
    <row r="2589">
      <c r="A2589" s="2" t="s">
        <v>12525</v>
      </c>
      <c r="B2589" s="3" t="str">
        <f>C2589 &amp; " -&gt; " &amp; D2589</f>
        <v>principal-knowledge-authority -&gt; OperationalBindings.ProcedureVersion</v>
      </c>
      <c r="C2589" s="2" t="s">
        <v>9708</v>
      </c>
      <c r="D2589" s="2" t="s">
        <v>3965</v>
      </c>
      <c r="E2589" s="2" t="b">
        <v>1</v>
      </c>
      <c r="F2589" s="2" t="b">
        <v>0</v>
      </c>
      <c r="G2589" s="2" t="s">
        <v>9937</v>
      </c>
      <c r="H2589" s="3" t="str">
        <f>_xlfn.IFNA(INDEX(RulebookFields!C2:C999, MATCH(D2589,RulebookFields!A2:A999, 0)), "")</f>
        <v>OperationalBindings</v>
      </c>
      <c r="I2589" s="3" t="str">
        <f>_xlfn.IFNA(INDEX(RulebookFields!D2:D999, MATCH(D2589,RulebookFields!A2:A999, 0)), "")</f>
        <v>ProcedureVersion</v>
      </c>
      <c r="J2589" s="3" t="b">
        <f>_xlfn.IFNA(INDEX(RulebookFields!I2:I999, MATCH(D2589,RulebookFields!A2:A999, 0)), "")</f>
        <v>0</v>
      </c>
      <c r="K2589" s="3" t="b">
        <f>AND(F2589, J2589)</f>
        <v>0</v>
      </c>
      <c r="L2589" s="3" t="b">
        <f>AND(G2589 &lt;&gt; "plain", G2589 &lt;&gt; "")</f>
        <v>0</v>
      </c>
      <c r="M2589" s="3" t="str">
        <f>IF(E2589, C2589 &amp; "|" &amp; H2589, "")</f>
        <v>principal-knowledge-authority|OperationalBindings</v>
      </c>
      <c r="N2589" s="2" t="s">
        <v>9938</v>
      </c>
    </row>
    <row r="2590">
      <c r="A2590" s="2" t="s">
        <v>12526</v>
      </c>
      <c r="B2590" s="3" t="str">
        <f>C2590 &amp; " -&gt; " &amp; D2590</f>
        <v>principal-knowledge-authority -&gt; OperationalBindings.Step</v>
      </c>
      <c r="C2590" s="2" t="s">
        <v>9708</v>
      </c>
      <c r="D2590" s="2" t="s">
        <v>3966</v>
      </c>
      <c r="E2590" s="2" t="b">
        <v>1</v>
      </c>
      <c r="F2590" s="2" t="b">
        <v>0</v>
      </c>
      <c r="G2590" s="2" t="s">
        <v>9937</v>
      </c>
      <c r="H2590" s="3" t="str">
        <f>_xlfn.IFNA(INDEX(RulebookFields!C2:C999, MATCH(D2590,RulebookFields!A2:A999, 0)), "")</f>
        <v>OperationalBindings</v>
      </c>
      <c r="I2590" s="3" t="str">
        <f>_xlfn.IFNA(INDEX(RulebookFields!D2:D999, MATCH(D2590,RulebookFields!A2:A999, 0)), "")</f>
        <v>Step</v>
      </c>
      <c r="J2590" s="3" t="b">
        <f>_xlfn.IFNA(INDEX(RulebookFields!I2:I999, MATCH(D2590,RulebookFields!A2:A999, 0)), "")</f>
        <v>0</v>
      </c>
      <c r="K2590" s="3" t="b">
        <f>AND(F2590, J2590)</f>
        <v>0</v>
      </c>
      <c r="L2590" s="3" t="b">
        <f>AND(G2590 &lt;&gt; "plain", G2590 &lt;&gt; "")</f>
        <v>0</v>
      </c>
      <c r="M2590" s="3" t="str">
        <f>IF(E2590, C2590 &amp; "|" &amp; H2590, "")</f>
        <v>principal-knowledge-authority|OperationalBindings</v>
      </c>
      <c r="N2590" s="2" t="s">
        <v>9938</v>
      </c>
    </row>
    <row r="2591">
      <c r="A2591" s="2" t="s">
        <v>12527</v>
      </c>
      <c r="B2591" s="3" t="str">
        <f>C2591 &amp; " -&gt; " &amp; D2591</f>
        <v>principal-knowledge-authority -&gt; OperationalBindings.Resource</v>
      </c>
      <c r="C2591" s="2" t="s">
        <v>9708</v>
      </c>
      <c r="D2591" s="2" t="s">
        <v>3967</v>
      </c>
      <c r="E2591" s="2" t="b">
        <v>1</v>
      </c>
      <c r="F2591" s="2" t="b">
        <v>0</v>
      </c>
      <c r="G2591" s="2" t="s">
        <v>9937</v>
      </c>
      <c r="H2591" s="3" t="str">
        <f>_xlfn.IFNA(INDEX(RulebookFields!C2:C999, MATCH(D2591,RulebookFields!A2:A999, 0)), "")</f>
        <v>OperationalBindings</v>
      </c>
      <c r="I2591" s="3" t="str">
        <f>_xlfn.IFNA(INDEX(RulebookFields!D2:D999, MATCH(D2591,RulebookFields!A2:A999, 0)), "")</f>
        <v>Resource</v>
      </c>
      <c r="J2591" s="3" t="b">
        <f>_xlfn.IFNA(INDEX(RulebookFields!I2:I999, MATCH(D2591,RulebookFields!A2:A999, 0)), "")</f>
        <v>0</v>
      </c>
      <c r="K2591" s="3" t="b">
        <f>AND(F2591, J2591)</f>
        <v>0</v>
      </c>
      <c r="L2591" s="3" t="b">
        <f>AND(G2591 &lt;&gt; "plain", G2591 &lt;&gt; "")</f>
        <v>0</v>
      </c>
      <c r="M2591" s="3" t="str">
        <f>IF(E2591, C2591 &amp; "|" &amp; H2591, "")</f>
        <v>principal-knowledge-authority|OperationalBindings</v>
      </c>
      <c r="N2591" s="2" t="s">
        <v>9938</v>
      </c>
    </row>
    <row r="2592">
      <c r="A2592" s="2" t="s">
        <v>12528</v>
      </c>
      <c r="B2592" s="3" t="str">
        <f>C2592 &amp; " -&gt; " &amp; D2592</f>
        <v>principal-knowledge-authority -&gt; OperationalBindings.AccessMode</v>
      </c>
      <c r="C2592" s="2" t="s">
        <v>9708</v>
      </c>
      <c r="D2592" s="2" t="s">
        <v>3968</v>
      </c>
      <c r="E2592" s="2" t="b">
        <v>1</v>
      </c>
      <c r="F2592" s="2" t="b">
        <v>0</v>
      </c>
      <c r="G2592" s="2" t="s">
        <v>9937</v>
      </c>
      <c r="H2592" s="3" t="str">
        <f>_xlfn.IFNA(INDEX(RulebookFields!C2:C999, MATCH(D2592,RulebookFields!A2:A999, 0)), "")</f>
        <v>OperationalBindings</v>
      </c>
      <c r="I2592" s="3" t="str">
        <f>_xlfn.IFNA(INDEX(RulebookFields!D2:D999, MATCH(D2592,RulebookFields!A2:A999, 0)), "")</f>
        <v>AccessMode</v>
      </c>
      <c r="J2592" s="3" t="b">
        <f>_xlfn.IFNA(INDEX(RulebookFields!I2:I999, MATCH(D2592,RulebookFields!A2:A999, 0)), "")</f>
        <v>0</v>
      </c>
      <c r="K2592" s="3" t="b">
        <f>AND(F2592, J2592)</f>
        <v>0</v>
      </c>
      <c r="L2592" s="3" t="b">
        <f>AND(G2592 &lt;&gt; "plain", G2592 &lt;&gt; "")</f>
        <v>0</v>
      </c>
      <c r="M2592" s="3" t="str">
        <f>IF(E2592, C2592 &amp; "|" &amp; H2592, "")</f>
        <v>principal-knowledge-authority|OperationalBindings</v>
      </c>
      <c r="N2592" s="2" t="s">
        <v>9938</v>
      </c>
    </row>
    <row r="2593">
      <c r="A2593" s="2" t="s">
        <v>12529</v>
      </c>
      <c r="B2593" s="3" t="str">
        <f>C2593 &amp; " -&gt; " &amp; D2593</f>
        <v>principal-knowledge-authority -&gt; OperationalBindings.RecordOrSchemaKey</v>
      </c>
      <c r="C2593" s="2" t="s">
        <v>9708</v>
      </c>
      <c r="D2593" s="2" t="s">
        <v>3969</v>
      </c>
      <c r="E2593" s="2" t="b">
        <v>1</v>
      </c>
      <c r="F2593" s="2" t="b">
        <v>0</v>
      </c>
      <c r="G2593" s="2" t="s">
        <v>9937</v>
      </c>
      <c r="H2593" s="3" t="str">
        <f>_xlfn.IFNA(INDEX(RulebookFields!C2:C999, MATCH(D2593,RulebookFields!A2:A999, 0)), "")</f>
        <v>OperationalBindings</v>
      </c>
      <c r="I2593" s="3" t="str">
        <f>_xlfn.IFNA(INDEX(RulebookFields!D2:D999, MATCH(D2593,RulebookFields!A2:A999, 0)), "")</f>
        <v>RecordOrSchemaKey</v>
      </c>
      <c r="J2593" s="3" t="b">
        <f>_xlfn.IFNA(INDEX(RulebookFields!I2:I999, MATCH(D2593,RulebookFields!A2:A999, 0)), "")</f>
        <v>0</v>
      </c>
      <c r="K2593" s="3" t="b">
        <f>AND(F2593, J2593)</f>
        <v>0</v>
      </c>
      <c r="L2593" s="3" t="b">
        <f>AND(G2593 &lt;&gt; "plain", G2593 &lt;&gt; "")</f>
        <v>0</v>
      </c>
      <c r="M2593" s="3" t="str">
        <f>IF(E2593, C2593 &amp; "|" &amp; H2593, "")</f>
        <v>principal-knowledge-authority|OperationalBindings</v>
      </c>
      <c r="N2593" s="2" t="s">
        <v>9938</v>
      </c>
    </row>
    <row r="2594">
      <c r="A2594" s="2" t="s">
        <v>12530</v>
      </c>
      <c r="B2594" s="3" t="str">
        <f>C2594 &amp; " -&gt; " &amp; D2594</f>
        <v>principal-knowledge-authority -&gt; OperationalBindings.LastObservedAt</v>
      </c>
      <c r="C2594" s="2" t="s">
        <v>9708</v>
      </c>
      <c r="D2594" s="2" t="s">
        <v>3970</v>
      </c>
      <c r="E2594" s="2" t="b">
        <v>1</v>
      </c>
      <c r="F2594" s="2" t="b">
        <v>0</v>
      </c>
      <c r="G2594" s="2" t="s">
        <v>9937</v>
      </c>
      <c r="H2594" s="3" t="str">
        <f>_xlfn.IFNA(INDEX(RulebookFields!C2:C999, MATCH(D2594,RulebookFields!A2:A999, 0)), "")</f>
        <v>OperationalBindings</v>
      </c>
      <c r="I2594" s="3" t="str">
        <f>_xlfn.IFNA(INDEX(RulebookFields!D2:D999, MATCH(D2594,RulebookFields!A2:A999, 0)), "")</f>
        <v>LastObservedAt</v>
      </c>
      <c r="J2594" s="3" t="b">
        <f>_xlfn.IFNA(INDEX(RulebookFields!I2:I999, MATCH(D2594,RulebookFields!A2:A999, 0)), "")</f>
        <v>0</v>
      </c>
      <c r="K2594" s="3" t="b">
        <f>AND(F2594, J2594)</f>
        <v>0</v>
      </c>
      <c r="L2594" s="3" t="b">
        <f>AND(G2594 &lt;&gt; "plain", G2594 &lt;&gt; "")</f>
        <v>0</v>
      </c>
      <c r="M2594" s="3" t="str">
        <f>IF(E2594, C2594 &amp; "|" &amp; H2594, "")</f>
        <v>principal-knowledge-authority|OperationalBindings</v>
      </c>
      <c r="N2594" s="2" t="s">
        <v>9938</v>
      </c>
    </row>
    <row r="2595">
      <c r="A2595" s="2" t="s">
        <v>12531</v>
      </c>
      <c r="B2595" s="3" t="str">
        <f>C2595 &amp; " -&gt; " &amp; D2595</f>
        <v>principal-knowledge-authority -&gt; OperationalBindings.FreshnessSlaMinutes</v>
      </c>
      <c r="C2595" s="2" t="s">
        <v>9708</v>
      </c>
      <c r="D2595" s="2" t="s">
        <v>3971</v>
      </c>
      <c r="E2595" s="2" t="b">
        <v>1</v>
      </c>
      <c r="F2595" s="2" t="b">
        <v>0</v>
      </c>
      <c r="G2595" s="2" t="s">
        <v>9937</v>
      </c>
      <c r="H2595" s="3" t="str">
        <f>_xlfn.IFNA(INDEX(RulebookFields!C2:C999, MATCH(D2595,RulebookFields!A2:A999, 0)), "")</f>
        <v>OperationalBindings</v>
      </c>
      <c r="I2595" s="3" t="str">
        <f>_xlfn.IFNA(INDEX(RulebookFields!D2:D999, MATCH(D2595,RulebookFields!A2:A999, 0)), "")</f>
        <v>FreshnessSlaMinutes</v>
      </c>
      <c r="J2595" s="3" t="b">
        <f>_xlfn.IFNA(INDEX(RulebookFields!I2:I999, MATCH(D2595,RulebookFields!A2:A999, 0)), "")</f>
        <v>0</v>
      </c>
      <c r="K2595" s="3" t="b">
        <f>AND(F2595, J2595)</f>
        <v>0</v>
      </c>
      <c r="L2595" s="3" t="b">
        <f>AND(G2595 &lt;&gt; "plain", G2595 &lt;&gt; "")</f>
        <v>0</v>
      </c>
      <c r="M2595" s="3" t="str">
        <f>IF(E2595, C2595 &amp; "|" &amp; H2595, "")</f>
        <v>principal-knowledge-authority|OperationalBindings</v>
      </c>
      <c r="N2595" s="2" t="s">
        <v>9938</v>
      </c>
    </row>
    <row r="2596">
      <c r="A2596" s="2" t="s">
        <v>12532</v>
      </c>
      <c r="B2596" s="3" t="str">
        <f>C2596 &amp; " -&gt; " &amp; D2596</f>
        <v>principal-knowledge-authority -&gt; OperationalBindings.IsAuthoritative</v>
      </c>
      <c r="C2596" s="2" t="s">
        <v>9708</v>
      </c>
      <c r="D2596" s="2" t="s">
        <v>3972</v>
      </c>
      <c r="E2596" s="2" t="b">
        <v>1</v>
      </c>
      <c r="F2596" s="2" t="b">
        <v>0</v>
      </c>
      <c r="G2596" s="2" t="s">
        <v>9937</v>
      </c>
      <c r="H2596" s="3" t="str">
        <f>_xlfn.IFNA(INDEX(RulebookFields!C2:C999, MATCH(D2596,RulebookFields!A2:A999, 0)), "")</f>
        <v>OperationalBindings</v>
      </c>
      <c r="I2596" s="3" t="str">
        <f>_xlfn.IFNA(INDEX(RulebookFields!D2:D999, MATCH(D2596,RulebookFields!A2:A999, 0)), "")</f>
        <v>IsAuthoritative</v>
      </c>
      <c r="J2596" s="3" t="b">
        <f>_xlfn.IFNA(INDEX(RulebookFields!I2:I999, MATCH(D2596,RulebookFields!A2:A999, 0)), "")</f>
        <v>0</v>
      </c>
      <c r="K2596" s="3" t="b">
        <f>AND(F2596, J2596)</f>
        <v>0</v>
      </c>
      <c r="L2596" s="3" t="b">
        <f>AND(G2596 &lt;&gt; "plain", G2596 &lt;&gt; "")</f>
        <v>0</v>
      </c>
      <c r="M2596" s="3" t="str">
        <f>IF(E2596, C2596 &amp; "|" &amp; H2596, "")</f>
        <v>principal-knowledge-authority|OperationalBindings</v>
      </c>
      <c r="N2596" s="2" t="s">
        <v>9938</v>
      </c>
    </row>
    <row r="2597">
      <c r="A2597" s="2" t="s">
        <v>12533</v>
      </c>
      <c r="B2597" s="3" t="str">
        <f>C2597 &amp; " -&gt; " &amp; D2597</f>
        <v>principal-knowledge-authority -&gt; OperationalBindings.EvaluationContext</v>
      </c>
      <c r="C2597" s="2" t="s">
        <v>9708</v>
      </c>
      <c r="D2597" s="2" t="s">
        <v>3973</v>
      </c>
      <c r="E2597" s="2" t="b">
        <v>1</v>
      </c>
      <c r="F2597" s="2" t="b">
        <v>0</v>
      </c>
      <c r="G2597" s="2" t="s">
        <v>9937</v>
      </c>
      <c r="H2597" s="3" t="str">
        <f>_xlfn.IFNA(INDEX(RulebookFields!C2:C999, MATCH(D2597,RulebookFields!A2:A999, 0)), "")</f>
        <v>OperationalBindings</v>
      </c>
      <c r="I2597" s="3" t="str">
        <f>_xlfn.IFNA(INDEX(RulebookFields!D2:D999, MATCH(D2597,RulebookFields!A2:A999, 0)), "")</f>
        <v>EvaluationContext</v>
      </c>
      <c r="J2597" s="3" t="b">
        <f>_xlfn.IFNA(INDEX(RulebookFields!I2:I999, MATCH(D2597,RulebookFields!A2:A999, 0)), "")</f>
        <v>0</v>
      </c>
      <c r="K2597" s="3" t="b">
        <f>AND(F2597, J2597)</f>
        <v>0</v>
      </c>
      <c r="L2597" s="3" t="b">
        <f>AND(G2597 &lt;&gt; "plain", G2597 &lt;&gt; "")</f>
        <v>0</v>
      </c>
      <c r="M2597" s="3" t="str">
        <f>IF(E2597, C2597 &amp; "|" &amp; H2597, "")</f>
        <v>principal-knowledge-authority|OperationalBindings</v>
      </c>
      <c r="N2597" s="2" t="s">
        <v>9938</v>
      </c>
    </row>
    <row r="2598">
      <c r="A2598" s="2" t="s">
        <v>12534</v>
      </c>
      <c r="B2598" s="3" t="str">
        <f>C2598 &amp; " -&gt; " &amp; D2598</f>
        <v>principal-knowledge-authority -&gt; OperationalBindings.AsOfInstant</v>
      </c>
      <c r="C2598" s="2" t="s">
        <v>9708</v>
      </c>
      <c r="D2598" s="2" t="s">
        <v>3974</v>
      </c>
      <c r="E2598" s="2" t="b">
        <v>1</v>
      </c>
      <c r="F2598" s="2" t="b">
        <v>0</v>
      </c>
      <c r="G2598" s="2" t="s">
        <v>9937</v>
      </c>
      <c r="H2598" s="3" t="str">
        <f>_xlfn.IFNA(INDEX(RulebookFields!C2:C999, MATCH(D2598,RulebookFields!A2:A999, 0)), "")</f>
        <v>OperationalBindings</v>
      </c>
      <c r="I2598" s="3" t="str">
        <f>_xlfn.IFNA(INDEX(RulebookFields!D2:D999, MATCH(D2598,RulebookFields!A2:A999, 0)), "")</f>
        <v>AsOfInstant</v>
      </c>
      <c r="J2598" s="3" t="b">
        <f>_xlfn.IFNA(INDEX(RulebookFields!I2:I999, MATCH(D2598,RulebookFields!A2:A999, 0)), "")</f>
        <v>1</v>
      </c>
      <c r="K2598" s="3" t="b">
        <f>AND(F2598, J2598)</f>
        <v>0</v>
      </c>
      <c r="L2598" s="3" t="b">
        <f>AND(G2598 &lt;&gt; "plain", G2598 &lt;&gt; "")</f>
        <v>0</v>
      </c>
      <c r="M2598" s="3" t="str">
        <f>IF(E2598, C2598 &amp; "|" &amp; H2598, "")</f>
        <v>principal-knowledge-authority|OperationalBindings</v>
      </c>
      <c r="N2598" s="2" t="s">
        <v>9938</v>
      </c>
    </row>
    <row r="2599">
      <c r="A2599" s="2" t="s">
        <v>12535</v>
      </c>
      <c r="B2599" s="3" t="str">
        <f>C2599 &amp; " -&gt; " &amp; D2599</f>
        <v>principal-knowledge-authority -&gt; OperationalBindings.AgeMinutes</v>
      </c>
      <c r="C2599" s="2" t="s">
        <v>9708</v>
      </c>
      <c r="D2599" s="2" t="s">
        <v>3975</v>
      </c>
      <c r="E2599" s="2" t="b">
        <v>1</v>
      </c>
      <c r="F2599" s="2" t="b">
        <v>0</v>
      </c>
      <c r="G2599" s="2" t="s">
        <v>9937</v>
      </c>
      <c r="H2599" s="3" t="str">
        <f>_xlfn.IFNA(INDEX(RulebookFields!C2:C999, MATCH(D2599,RulebookFields!A2:A999, 0)), "")</f>
        <v>OperationalBindings</v>
      </c>
      <c r="I2599" s="3" t="str">
        <f>_xlfn.IFNA(INDEX(RulebookFields!D2:D999, MATCH(D2599,RulebookFields!A2:A999, 0)), "")</f>
        <v>AgeMinutes</v>
      </c>
      <c r="J2599" s="3" t="b">
        <f>_xlfn.IFNA(INDEX(RulebookFields!I2:I999, MATCH(D2599,RulebookFields!A2:A999, 0)), "")</f>
        <v>1</v>
      </c>
      <c r="K2599" s="3" t="b">
        <f>AND(F2599, J2599)</f>
        <v>0</v>
      </c>
      <c r="L2599" s="3" t="b">
        <f>AND(G2599 &lt;&gt; "plain", G2599 &lt;&gt; "")</f>
        <v>0</v>
      </c>
      <c r="M2599" s="3" t="str">
        <f>IF(E2599, C2599 &amp; "|" &amp; H2599, "")</f>
        <v>principal-knowledge-authority|OperationalBindings</v>
      </c>
      <c r="N2599" s="2" t="s">
        <v>9938</v>
      </c>
    </row>
    <row r="2600">
      <c r="A2600" s="2" t="s">
        <v>12536</v>
      </c>
      <c r="B2600" s="3" t="str">
        <f>C2600 &amp; " -&gt; " &amp; D2600</f>
        <v>principal-knowledge-authority -&gt; OperationalBindings.IsFresh</v>
      </c>
      <c r="C2600" s="2" t="s">
        <v>9708</v>
      </c>
      <c r="D2600" s="2" t="s">
        <v>3977</v>
      </c>
      <c r="E2600" s="2" t="b">
        <v>1</v>
      </c>
      <c r="F2600" s="2" t="b">
        <v>0</v>
      </c>
      <c r="G2600" s="2" t="s">
        <v>9937</v>
      </c>
      <c r="H2600" s="3" t="str">
        <f>_xlfn.IFNA(INDEX(RulebookFields!C2:C999, MATCH(D2600,RulebookFields!A2:A999, 0)), "")</f>
        <v>OperationalBindings</v>
      </c>
      <c r="I2600" s="3" t="str">
        <f>_xlfn.IFNA(INDEX(RulebookFields!D2:D999, MATCH(D2600,RulebookFields!A2:A999, 0)), "")</f>
        <v>IsFresh</v>
      </c>
      <c r="J2600" s="3" t="b">
        <f>_xlfn.IFNA(INDEX(RulebookFields!I2:I999, MATCH(D2600,RulebookFields!A2:A999, 0)), "")</f>
        <v>1</v>
      </c>
      <c r="K2600" s="3" t="b">
        <f>AND(F2600, J2600)</f>
        <v>0</v>
      </c>
      <c r="L2600" s="3" t="b">
        <f>AND(G2600 &lt;&gt; "plain", G2600 &lt;&gt; "")</f>
        <v>0</v>
      </c>
      <c r="M2600" s="3" t="str">
        <f>IF(E2600, C2600 &amp; "|" &amp; H2600, "")</f>
        <v>principal-knowledge-authority|OperationalBindings</v>
      </c>
      <c r="N2600" s="2" t="s">
        <v>9938</v>
      </c>
    </row>
    <row r="2601">
      <c r="A2601" s="2" t="s">
        <v>12537</v>
      </c>
      <c r="B2601" s="3" t="str">
        <f>C2601 &amp; " -&gt; " &amp; D2601</f>
        <v>principal-knowledge-authority -&gt; OperationalBindings.StaleBindingStepKey</v>
      </c>
      <c r="C2601" s="2" t="s">
        <v>9708</v>
      </c>
      <c r="D2601" s="2" t="s">
        <v>3979</v>
      </c>
      <c r="E2601" s="2" t="b">
        <v>1</v>
      </c>
      <c r="F2601" s="2" t="b">
        <v>0</v>
      </c>
      <c r="G2601" s="2" t="s">
        <v>9937</v>
      </c>
      <c r="H2601" s="3" t="str">
        <f>_xlfn.IFNA(INDEX(RulebookFields!C2:C999, MATCH(D2601,RulebookFields!A2:A999, 0)), "")</f>
        <v>OperationalBindings</v>
      </c>
      <c r="I2601" s="3" t="str">
        <f>_xlfn.IFNA(INDEX(RulebookFields!D2:D999, MATCH(D2601,RulebookFields!A2:A999, 0)), "")</f>
        <v>StaleBindingStepKey</v>
      </c>
      <c r="J2601" s="3" t="b">
        <f>_xlfn.IFNA(INDEX(RulebookFields!I2:I999, MATCH(D2601,RulebookFields!A2:A999, 0)), "")</f>
        <v>1</v>
      </c>
      <c r="K2601" s="3" t="b">
        <f>AND(F2601, J2601)</f>
        <v>0</v>
      </c>
      <c r="L2601" s="3" t="b">
        <f>AND(G2601 &lt;&gt; "plain", G2601 &lt;&gt; "")</f>
        <v>0</v>
      </c>
      <c r="M2601" s="3" t="str">
        <f>IF(E2601, C2601 &amp; "|" &amp; H2601, "")</f>
        <v>principal-knowledge-authority|OperationalBindings</v>
      </c>
      <c r="N2601" s="2" t="s">
        <v>9938</v>
      </c>
    </row>
    <row r="2602">
      <c r="A2602" s="2" t="s">
        <v>12538</v>
      </c>
      <c r="B2602" s="3" t="str">
        <f>C2602 &amp; " -&gt; " &amp; D2602</f>
        <v>principal-knowledge-authority -&gt; OperationalBindings.AuthoritativeStaleStepKey</v>
      </c>
      <c r="C2602" s="2" t="s">
        <v>9708</v>
      </c>
      <c r="D2602" s="2" t="s">
        <v>3981</v>
      </c>
      <c r="E2602" s="2" t="b">
        <v>1</v>
      </c>
      <c r="F2602" s="2" t="b">
        <v>0</v>
      </c>
      <c r="G2602" s="2" t="s">
        <v>9937</v>
      </c>
      <c r="H2602" s="3" t="str">
        <f>_xlfn.IFNA(INDEX(RulebookFields!C2:C999, MATCH(D2602,RulebookFields!A2:A999, 0)), "")</f>
        <v>OperationalBindings</v>
      </c>
      <c r="I2602" s="3" t="str">
        <f>_xlfn.IFNA(INDEX(RulebookFields!D2:D999, MATCH(D2602,RulebookFields!A2:A999, 0)), "")</f>
        <v>AuthoritativeStaleStepKey</v>
      </c>
      <c r="J2602" s="3" t="b">
        <f>_xlfn.IFNA(INDEX(RulebookFields!I2:I999, MATCH(D2602,RulebookFields!A2:A999, 0)), "")</f>
        <v>1</v>
      </c>
      <c r="K2602" s="3" t="b">
        <f>AND(F2602, J2602)</f>
        <v>0</v>
      </c>
      <c r="L2602" s="3" t="b">
        <f>AND(G2602 &lt;&gt; "plain", G2602 &lt;&gt; "")</f>
        <v>0</v>
      </c>
      <c r="M2602" s="3" t="str">
        <f>IF(E2602, C2602 &amp; "|" &amp; H2602, "")</f>
        <v>principal-knowledge-authority|OperationalBindings</v>
      </c>
      <c r="N2602" s="2" t="s">
        <v>9938</v>
      </c>
    </row>
    <row r="2603">
      <c r="A2603" s="2" t="s">
        <v>12539</v>
      </c>
      <c r="B2603" s="3" t="str">
        <f>C2603 &amp; " -&gt; " &amp; D2603</f>
        <v>principal-knowledge-authority -&gt; OperationalBindings.IsStaleAndAuthoritative</v>
      </c>
      <c r="C2603" s="2" t="s">
        <v>9708</v>
      </c>
      <c r="D2603" s="2" t="s">
        <v>3983</v>
      </c>
      <c r="E2603" s="2" t="b">
        <v>1</v>
      </c>
      <c r="F2603" s="2" t="b">
        <v>0</v>
      </c>
      <c r="G2603" s="2" t="s">
        <v>9937</v>
      </c>
      <c r="H2603" s="3" t="str">
        <f>_xlfn.IFNA(INDEX(RulebookFields!C2:C999, MATCH(D2603,RulebookFields!A2:A999, 0)), "")</f>
        <v>OperationalBindings</v>
      </c>
      <c r="I2603" s="3" t="str">
        <f>_xlfn.IFNA(INDEX(RulebookFields!D2:D999, MATCH(D2603,RulebookFields!A2:A999, 0)), "")</f>
        <v>IsStaleAndAuthoritative</v>
      </c>
      <c r="J2603" s="3" t="b">
        <f>_xlfn.IFNA(INDEX(RulebookFields!I2:I999, MATCH(D2603,RulebookFields!A2:A999, 0)), "")</f>
        <v>1</v>
      </c>
      <c r="K2603" s="3" t="b">
        <f>AND(F2603, J2603)</f>
        <v>0</v>
      </c>
      <c r="L2603" s="3" t="b">
        <f>AND(G2603 &lt;&gt; "plain", G2603 &lt;&gt; "")</f>
        <v>0</v>
      </c>
      <c r="M2603" s="3" t="str">
        <f>IF(E2603, C2603 &amp; "|" &amp; H2603, "")</f>
        <v>principal-knowledge-authority|OperationalBindings</v>
      </c>
      <c r="N2603" s="2" t="s">
        <v>9938</v>
      </c>
    </row>
    <row r="2604">
      <c r="A2604" s="2" t="s">
        <v>12540</v>
      </c>
      <c r="B2604" s="3" t="str">
        <f>C2604 &amp; " -&gt; " &amp; D2604</f>
        <v>principal-knowledge-authority -&gt; OperationalBindings.StepWhenStale</v>
      </c>
      <c r="C2604" s="2" t="s">
        <v>9708</v>
      </c>
      <c r="D2604" s="2" t="s">
        <v>3985</v>
      </c>
      <c r="E2604" s="2" t="b">
        <v>1</v>
      </c>
      <c r="F2604" s="2" t="b">
        <v>0</v>
      </c>
      <c r="G2604" s="2" t="s">
        <v>9937</v>
      </c>
      <c r="H2604" s="3" t="str">
        <f>_xlfn.IFNA(INDEX(RulebookFields!C2:C999, MATCH(D2604,RulebookFields!A2:A999, 0)), "")</f>
        <v>OperationalBindings</v>
      </c>
      <c r="I2604" s="3" t="str">
        <f>_xlfn.IFNA(INDEX(RulebookFields!D2:D999, MATCH(D2604,RulebookFields!A2:A999, 0)), "")</f>
        <v>StepWhenStale</v>
      </c>
      <c r="J2604" s="3" t="b">
        <f>_xlfn.IFNA(INDEX(RulebookFields!I2:I999, MATCH(D2604,RulebookFields!A2:A999, 0)), "")</f>
        <v>1</v>
      </c>
      <c r="K2604" s="3" t="b">
        <f>AND(F2604, J2604)</f>
        <v>0</v>
      </c>
      <c r="L2604" s="3" t="b">
        <f>AND(G2604 &lt;&gt; "plain", G2604 &lt;&gt; "")</f>
        <v>0</v>
      </c>
      <c r="M2604" s="3" t="str">
        <f>IF(E2604, C2604 &amp; "|" &amp; H2604, "")</f>
        <v>principal-knowledge-authority|OperationalBindings</v>
      </c>
      <c r="N2604" s="2" t="s">
        <v>9938</v>
      </c>
    </row>
    <row r="2605">
      <c r="A2605" s="2" t="s">
        <v>12541</v>
      </c>
      <c r="B2605" s="3" t="str">
        <f>C2605 &amp; " -&gt; " &amp; D2605</f>
        <v>principal-knowledge-authority -&gt; OperationalBindings.ResourceIsApproved</v>
      </c>
      <c r="C2605" s="2" t="s">
        <v>9708</v>
      </c>
      <c r="D2605" s="2" t="s">
        <v>3987</v>
      </c>
      <c r="E2605" s="2" t="b">
        <v>1</v>
      </c>
      <c r="F2605" s="2" t="b">
        <v>0</v>
      </c>
      <c r="G2605" s="2" t="s">
        <v>9937</v>
      </c>
      <c r="H2605" s="3" t="str">
        <f>_xlfn.IFNA(INDEX(RulebookFields!C2:C999, MATCH(D2605,RulebookFields!A2:A999, 0)), "")</f>
        <v>OperationalBindings</v>
      </c>
      <c r="I2605" s="3" t="str">
        <f>_xlfn.IFNA(INDEX(RulebookFields!D2:D999, MATCH(D2605,RulebookFields!A2:A999, 0)), "")</f>
        <v>ResourceIsApproved</v>
      </c>
      <c r="J2605" s="3" t="b">
        <f>_xlfn.IFNA(INDEX(RulebookFields!I2:I999, MATCH(D2605,RulebookFields!A2:A999, 0)), "")</f>
        <v>1</v>
      </c>
      <c r="K2605" s="3" t="b">
        <f>AND(F2605, J2605)</f>
        <v>0</v>
      </c>
      <c r="L2605" s="3" t="b">
        <f>AND(G2605 &lt;&gt; "plain", G2605 &lt;&gt; "")</f>
        <v>0</v>
      </c>
      <c r="M2605" s="3" t="str">
        <f>IF(E2605, C2605 &amp; "|" &amp; H2605, "")</f>
        <v>principal-knowledge-authority|OperationalBindings</v>
      </c>
      <c r="N2605" s="2" t="s">
        <v>9938</v>
      </c>
    </row>
    <row r="2606">
      <c r="A2606" s="2" t="s">
        <v>12542</v>
      </c>
      <c r="B2606" s="3" t="str">
        <f>C2606 &amp; " -&gt; " &amp; D2606</f>
        <v>principal-knowledge-authority -&gt; OperationalBindings.IsUsableForDrafting</v>
      </c>
      <c r="C2606" s="2" t="s">
        <v>9708</v>
      </c>
      <c r="D2606" s="2" t="s">
        <v>3989</v>
      </c>
      <c r="E2606" s="2" t="b">
        <v>1</v>
      </c>
      <c r="F2606" s="2" t="b">
        <v>0</v>
      </c>
      <c r="G2606" s="2" t="s">
        <v>9937</v>
      </c>
      <c r="H2606" s="3" t="str">
        <f>_xlfn.IFNA(INDEX(RulebookFields!C2:C999, MATCH(D2606,RulebookFields!A2:A999, 0)), "")</f>
        <v>OperationalBindings</v>
      </c>
      <c r="I2606" s="3" t="str">
        <f>_xlfn.IFNA(INDEX(RulebookFields!D2:D999, MATCH(D2606,RulebookFields!A2:A999, 0)), "")</f>
        <v>IsUsableForDrafting</v>
      </c>
      <c r="J2606" s="3" t="b">
        <f>_xlfn.IFNA(INDEX(RulebookFields!I2:I999, MATCH(D2606,RulebookFields!A2:A999, 0)), "")</f>
        <v>1</v>
      </c>
      <c r="K2606" s="3" t="b">
        <f>AND(F2606, J2606)</f>
        <v>0</v>
      </c>
      <c r="L2606" s="3" t="b">
        <f>AND(G2606 &lt;&gt; "plain", G2606 &lt;&gt; "")</f>
        <v>0</v>
      </c>
      <c r="M2606" s="3" t="str">
        <f>IF(E2606, C2606 &amp; "|" &amp; H2606, "")</f>
        <v>principal-knowledge-authority|OperationalBindings</v>
      </c>
      <c r="N2606" s="2" t="s">
        <v>9938</v>
      </c>
    </row>
    <row r="2607">
      <c r="A2607" s="2" t="s">
        <v>12543</v>
      </c>
      <c r="B2607" s="3" t="str">
        <f>C2607 &amp; " -&gt; " &amp; D2607</f>
        <v>principal-knowledge-authority -&gt; OperationalBindings.StepWhenUnusable</v>
      </c>
      <c r="C2607" s="2" t="s">
        <v>9708</v>
      </c>
      <c r="D2607" s="2" t="s">
        <v>3991</v>
      </c>
      <c r="E2607" s="2" t="b">
        <v>1</v>
      </c>
      <c r="F2607" s="2" t="b">
        <v>0</v>
      </c>
      <c r="G2607" s="2" t="s">
        <v>9937</v>
      </c>
      <c r="H2607" s="3" t="str">
        <f>_xlfn.IFNA(INDEX(RulebookFields!C2:C999, MATCH(D2607,RulebookFields!A2:A999, 0)), "")</f>
      </c>
      <c r="I2607" s="3" t="str">
        <f>_xlfn.IFNA(INDEX(RulebookFields!D2:D999, MATCH(D2607,RulebookFields!A2:A999, 0)), "")</f>
      </c>
      <c r="J2607" s="3" t="str">
        <f>_xlfn.IFNA(INDEX(RulebookFields!I2:I999, MATCH(D2607,RulebookFields!A2:A999, 0)), "")</f>
      </c>
      <c r="K2607" s="3" t="b">
        <f>AND(F2607, J2607)</f>
        <v>0</v>
      </c>
      <c r="L2607" s="3" t="b">
        <f>AND(G2607 &lt;&gt; "plain", G2607 &lt;&gt; "")</f>
        <v>0</v>
      </c>
      <c r="M2607" s="3" t="str">
        <f>IF(E2607, C2607 &amp; "|" &amp; H2607, "")</f>
        <v>principal-knowledge-authority|</v>
      </c>
      <c r="N2607" s="2" t="s">
        <v>9938</v>
      </c>
    </row>
    <row r="2608">
      <c r="A2608" s="2" t="s">
        <v>12544</v>
      </c>
      <c r="B2608" s="3" t="str">
        <f>C2608 &amp; " -&gt; " &amp; D2608</f>
        <v>principal-knowledge-authority -&gt; OperationalBindings.SemanticTypeIri</v>
      </c>
      <c r="C2608" s="2" t="s">
        <v>9708</v>
      </c>
      <c r="D2608" s="2" t="s">
        <v>3993</v>
      </c>
      <c r="E2608" s="2" t="b">
        <v>1</v>
      </c>
      <c r="F2608" s="2" t="b">
        <v>0</v>
      </c>
      <c r="G2608" s="2" t="s">
        <v>9937</v>
      </c>
      <c r="H2608" s="3" t="str">
        <f>_xlfn.IFNA(INDEX(RulebookFields!C2:C999, MATCH(D2608,RulebookFields!A2:A999, 0)), "")</f>
      </c>
      <c r="I2608" s="3" t="str">
        <f>_xlfn.IFNA(INDEX(RulebookFields!D2:D999, MATCH(D2608,RulebookFields!A2:A999, 0)), "")</f>
      </c>
      <c r="J2608" s="3" t="str">
        <f>_xlfn.IFNA(INDEX(RulebookFields!I2:I999, MATCH(D2608,RulebookFields!A2:A999, 0)), "")</f>
      </c>
      <c r="K2608" s="3" t="b">
        <f>AND(F2608, J2608)</f>
        <v>0</v>
      </c>
      <c r="L2608" s="3" t="b">
        <f>AND(G2608 &lt;&gt; "plain", G2608 &lt;&gt; "")</f>
        <v>0</v>
      </c>
      <c r="M2608" s="3" t="str">
        <f>IF(E2608, C2608 &amp; "|" &amp; H2608, "")</f>
        <v>principal-knowledge-authority|</v>
      </c>
      <c r="N2608" s="2" t="s">
        <v>9938</v>
      </c>
    </row>
    <row r="2609">
      <c r="A2609" s="2" t="s">
        <v>12545</v>
      </c>
      <c r="B2609" s="3" t="str">
        <f>C2609 &amp; " -&gt; " &amp; D2609</f>
        <v>principal-knowledge-authority -&gt; Organizations.OrganizationId</v>
      </c>
      <c r="C2609" s="2" t="s">
        <v>9708</v>
      </c>
      <c r="D2609" s="2" t="s">
        <v>2421</v>
      </c>
      <c r="E2609" s="2" t="b">
        <v>1</v>
      </c>
      <c r="F2609" s="2" t="b">
        <v>0</v>
      </c>
      <c r="G2609" s="2" t="s">
        <v>9937</v>
      </c>
      <c r="H2609" s="3" t="str">
        <f>_xlfn.IFNA(INDEX(RulebookFields!C2:C999, MATCH(D2609,RulebookFields!A2:A999, 0)), "")</f>
        <v>Organizations</v>
      </c>
      <c r="I2609" s="3" t="str">
        <f>_xlfn.IFNA(INDEX(RulebookFields!D2:D999, MATCH(D2609,RulebookFields!A2:A999, 0)), "")</f>
        <v>OrganizationId</v>
      </c>
      <c r="J2609" s="3" t="b">
        <f>_xlfn.IFNA(INDEX(RulebookFields!I2:I999, MATCH(D2609,RulebookFields!A2:A999, 0)), "")</f>
        <v>0</v>
      </c>
      <c r="K2609" s="3" t="b">
        <f>AND(F2609, J2609)</f>
        <v>0</v>
      </c>
      <c r="L2609" s="3" t="b">
        <f>AND(G2609 &lt;&gt; "plain", G2609 &lt;&gt; "")</f>
        <v>0</v>
      </c>
      <c r="M2609" s="3" t="str">
        <f>IF(E2609, C2609 &amp; "|" &amp; H2609, "")</f>
        <v>principal-knowledge-authority|Organizations</v>
      </c>
      <c r="N2609" s="2" t="s">
        <v>9938</v>
      </c>
    </row>
    <row r="2610">
      <c r="A2610" s="2" t="s">
        <v>12546</v>
      </c>
      <c r="B2610" s="3" t="str">
        <f>C2610 &amp; " -&gt; " &amp; D2610</f>
        <v>principal-knowledge-authority -&gt; Organizations.Name</v>
      </c>
      <c r="C2610" s="2" t="s">
        <v>9708</v>
      </c>
      <c r="D2610" s="2" t="s">
        <v>2423</v>
      </c>
      <c r="E2610" s="2" t="b">
        <v>1</v>
      </c>
      <c r="F2610" s="2" t="b">
        <v>0</v>
      </c>
      <c r="G2610" s="2" t="s">
        <v>9937</v>
      </c>
      <c r="H2610" s="3" t="str">
        <f>_xlfn.IFNA(INDEX(RulebookFields!C2:C999, MATCH(D2610,RulebookFields!A2:A999, 0)), "")</f>
        <v>Organizations</v>
      </c>
      <c r="I2610" s="3" t="str">
        <f>_xlfn.IFNA(INDEX(RulebookFields!D2:D999, MATCH(D2610,RulebookFields!A2:A999, 0)), "")</f>
        <v>Name</v>
      </c>
      <c r="J2610" s="3" t="b">
        <f>_xlfn.IFNA(INDEX(RulebookFields!I2:I999, MATCH(D2610,RulebookFields!A2:A999, 0)), "")</f>
        <v>1</v>
      </c>
      <c r="K2610" s="3" t="b">
        <f>AND(F2610, J2610)</f>
        <v>0</v>
      </c>
      <c r="L2610" s="3" t="b">
        <f>AND(G2610 &lt;&gt; "plain", G2610 &lt;&gt; "")</f>
        <v>0</v>
      </c>
      <c r="M2610" s="3" t="str">
        <f>IF(E2610, C2610 &amp; "|" &amp; H2610, "")</f>
        <v>principal-knowledge-authority|Organizations</v>
      </c>
      <c r="N2610" s="2" t="s">
        <v>9938</v>
      </c>
    </row>
    <row r="2611">
      <c r="A2611" s="2" t="s">
        <v>12547</v>
      </c>
      <c r="B2611" s="3" t="str">
        <f>C2611 &amp; " -&gt; " &amp; D2611</f>
        <v>principal-knowledge-authority -&gt; Organizations.DisplayName</v>
      </c>
      <c r="C2611" s="2" t="s">
        <v>9708</v>
      </c>
      <c r="D2611" s="2" t="s">
        <v>2425</v>
      </c>
      <c r="E2611" s="2" t="b">
        <v>1</v>
      </c>
      <c r="F2611" s="2" t="b">
        <v>0</v>
      </c>
      <c r="G2611" s="2" t="s">
        <v>9937</v>
      </c>
      <c r="H2611" s="3" t="str">
        <f>_xlfn.IFNA(INDEX(RulebookFields!C2:C999, MATCH(D2611,RulebookFields!A2:A999, 0)), "")</f>
        <v>Organizations</v>
      </c>
      <c r="I2611" s="3" t="str">
        <f>_xlfn.IFNA(INDEX(RulebookFields!D2:D999, MATCH(D2611,RulebookFields!A2:A999, 0)), "")</f>
        <v>DisplayName</v>
      </c>
      <c r="J2611" s="3" t="b">
        <f>_xlfn.IFNA(INDEX(RulebookFields!I2:I999, MATCH(D2611,RulebookFields!A2:A999, 0)), "")</f>
        <v>0</v>
      </c>
      <c r="K2611" s="3" t="b">
        <f>AND(F2611, J2611)</f>
        <v>0</v>
      </c>
      <c r="L2611" s="3" t="b">
        <f>AND(G2611 &lt;&gt; "plain", G2611 &lt;&gt; "")</f>
        <v>0</v>
      </c>
      <c r="M2611" s="3" t="str">
        <f>IF(E2611, C2611 &amp; "|" &amp; H2611, "")</f>
        <v>principal-knowledge-authority|Organizations</v>
      </c>
      <c r="N2611" s="2" t="s">
        <v>9938</v>
      </c>
    </row>
    <row r="2612">
      <c r="A2612" s="2" t="s">
        <v>12548</v>
      </c>
      <c r="B2612" s="3" t="str">
        <f>C2612 &amp; " -&gt; " &amp; D2612</f>
        <v>principal-knowledge-authority -&gt; Organizations.OrganizationType</v>
      </c>
      <c r="C2612" s="2" t="s">
        <v>9708</v>
      </c>
      <c r="D2612" s="2" t="s">
        <v>2426</v>
      </c>
      <c r="E2612" s="2" t="b">
        <v>1</v>
      </c>
      <c r="F2612" s="2" t="b">
        <v>0</v>
      </c>
      <c r="G2612" s="2" t="s">
        <v>9937</v>
      </c>
      <c r="H2612" s="3" t="str">
        <f>_xlfn.IFNA(INDEX(RulebookFields!C2:C999, MATCH(D2612,RulebookFields!A2:A999, 0)), "")</f>
        <v>Organizations</v>
      </c>
      <c r="I2612" s="3" t="str">
        <f>_xlfn.IFNA(INDEX(RulebookFields!D2:D999, MATCH(D2612,RulebookFields!A2:A999, 0)), "")</f>
        <v>OrganizationType</v>
      </c>
      <c r="J2612" s="3" t="b">
        <f>_xlfn.IFNA(INDEX(RulebookFields!I2:I999, MATCH(D2612,RulebookFields!A2:A999, 0)), "")</f>
        <v>0</v>
      </c>
      <c r="K2612" s="3" t="b">
        <f>AND(F2612, J2612)</f>
        <v>0</v>
      </c>
      <c r="L2612" s="3" t="b">
        <f>AND(G2612 &lt;&gt; "plain", G2612 &lt;&gt; "")</f>
        <v>0</v>
      </c>
      <c r="M2612" s="3" t="str">
        <f>IF(E2612, C2612 &amp; "|" &amp; H2612, "")</f>
        <v>principal-knowledge-authority|Organizations</v>
      </c>
      <c r="N2612" s="2" t="s">
        <v>9938</v>
      </c>
    </row>
    <row r="2613">
      <c r="A2613" s="2" t="s">
        <v>12549</v>
      </c>
      <c r="B2613" s="3" t="str">
        <f>C2613 &amp; " -&gt; " &amp; D2613</f>
        <v>principal-knowledge-authority -&gt; Organizations.ExternalIdentifier</v>
      </c>
      <c r="C2613" s="2" t="s">
        <v>9708</v>
      </c>
      <c r="D2613" s="2" t="s">
        <v>2427</v>
      </c>
      <c r="E2613" s="2" t="b">
        <v>1</v>
      </c>
      <c r="F2613" s="2" t="b">
        <v>0</v>
      </c>
      <c r="G2613" s="2" t="s">
        <v>9937</v>
      </c>
      <c r="H2613" s="3" t="str">
        <f>_xlfn.IFNA(INDEX(RulebookFields!C2:C999, MATCH(D2613,RulebookFields!A2:A999, 0)), "")</f>
        <v>Organizations</v>
      </c>
      <c r="I2613" s="3" t="str">
        <f>_xlfn.IFNA(INDEX(RulebookFields!D2:D999, MATCH(D2613,RulebookFields!A2:A999, 0)), "")</f>
        <v>ExternalIdentifier</v>
      </c>
      <c r="J2613" s="3" t="b">
        <f>_xlfn.IFNA(INDEX(RulebookFields!I2:I999, MATCH(D2613,RulebookFields!A2:A999, 0)), "")</f>
        <v>0</v>
      </c>
      <c r="K2613" s="3" t="b">
        <f>AND(F2613, J2613)</f>
        <v>0</v>
      </c>
      <c r="L2613" s="3" t="b">
        <f>AND(G2613 &lt;&gt; "plain", G2613 &lt;&gt; "")</f>
        <v>0</v>
      </c>
      <c r="M2613" s="3" t="str">
        <f>IF(E2613, C2613 &amp; "|" &amp; H2613, "")</f>
        <v>principal-knowledge-authority|Organizations</v>
      </c>
      <c r="N2613" s="2" t="s">
        <v>9938</v>
      </c>
    </row>
    <row r="2614">
      <c r="A2614" s="2" t="s">
        <v>12550</v>
      </c>
      <c r="B2614" s="3" t="str">
        <f>C2614 &amp; " -&gt; " &amp; D2614</f>
        <v>principal-knowledge-authority -&gt; Organizations.SemanticTypeIri</v>
      </c>
      <c r="C2614" s="2" t="s">
        <v>9708</v>
      </c>
      <c r="D2614" s="2" t="s">
        <v>2428</v>
      </c>
      <c r="E2614" s="2" t="b">
        <v>1</v>
      </c>
      <c r="F2614" s="2" t="b">
        <v>0</v>
      </c>
      <c r="G2614" s="2" t="s">
        <v>9937</v>
      </c>
      <c r="H2614" s="3" t="str">
        <f>_xlfn.IFNA(INDEX(RulebookFields!C2:C999, MATCH(D2614,RulebookFields!A2:A999, 0)), "")</f>
        <v>Organizations</v>
      </c>
      <c r="I2614" s="3" t="str">
        <f>_xlfn.IFNA(INDEX(RulebookFields!D2:D999, MATCH(D2614,RulebookFields!A2:A999, 0)), "")</f>
        <v>SemanticTypeIri</v>
      </c>
      <c r="J2614" s="3" t="b">
        <f>_xlfn.IFNA(INDEX(RulebookFields!I2:I999, MATCH(D2614,RulebookFields!A2:A999, 0)), "")</f>
        <v>0</v>
      </c>
      <c r="K2614" s="3" t="b">
        <f>AND(F2614, J2614)</f>
        <v>0</v>
      </c>
      <c r="L2614" s="3" t="b">
        <f>AND(G2614 &lt;&gt; "plain", G2614 &lt;&gt; "")</f>
        <v>0</v>
      </c>
      <c r="M2614" s="3" t="str">
        <f>IF(E2614, C2614 &amp; "|" &amp; H2614, "")</f>
        <v>principal-knowledge-authority|Organizations</v>
      </c>
      <c r="N2614" s="2" t="s">
        <v>9938</v>
      </c>
    </row>
    <row r="2615">
      <c r="A2615" s="2" t="s">
        <v>12551</v>
      </c>
      <c r="B2615" s="3" t="str">
        <f>C2615 &amp; " -&gt; " &amp; D2615</f>
        <v>principal-knowledge-authority -&gt; ProcedureExecutions.ProcedureExecutionId</v>
      </c>
      <c r="C2615" s="2" t="s">
        <v>9708</v>
      </c>
      <c r="D2615" s="2" t="s">
        <v>3360</v>
      </c>
      <c r="E2615" s="2" t="b">
        <v>1</v>
      </c>
      <c r="F2615" s="2" t="b">
        <v>0</v>
      </c>
      <c r="G2615" s="2" t="s">
        <v>9937</v>
      </c>
      <c r="H2615" s="3" t="str">
        <f>_xlfn.IFNA(INDEX(RulebookFields!C2:C999, MATCH(D2615,RulebookFields!A2:A999, 0)), "")</f>
        <v>ProcedureExecutions</v>
      </c>
      <c r="I2615" s="3" t="str">
        <f>_xlfn.IFNA(INDEX(RulebookFields!D2:D999, MATCH(D2615,RulebookFields!A2:A999, 0)), "")</f>
        <v>ProcedureExecutionId</v>
      </c>
      <c r="J2615" s="3" t="b">
        <f>_xlfn.IFNA(INDEX(RulebookFields!I2:I999, MATCH(D2615,RulebookFields!A2:A999, 0)), "")</f>
        <v>0</v>
      </c>
      <c r="K2615" s="3" t="b">
        <f>AND(F2615, J2615)</f>
        <v>0</v>
      </c>
      <c r="L2615" s="3" t="b">
        <f>AND(G2615 &lt;&gt; "plain", G2615 &lt;&gt; "")</f>
        <v>0</v>
      </c>
      <c r="M2615" s="3" t="str">
        <f>IF(E2615, C2615 &amp; "|" &amp; H2615, "")</f>
        <v>principal-knowledge-authority|ProcedureExecutions</v>
      </c>
      <c r="N2615" s="2" t="s">
        <v>9938</v>
      </c>
    </row>
    <row r="2616">
      <c r="A2616" s="2" t="s">
        <v>12552</v>
      </c>
      <c r="B2616" s="3" t="str">
        <f>C2616 &amp; " -&gt; " &amp; D2616</f>
        <v>principal-knowledge-authority -&gt; ProcedureExecutions.Name</v>
      </c>
      <c r="C2616" s="2" t="s">
        <v>9708</v>
      </c>
      <c r="D2616" s="2" t="s">
        <v>3361</v>
      </c>
      <c r="E2616" s="2" t="b">
        <v>1</v>
      </c>
      <c r="F2616" s="2" t="b">
        <v>0</v>
      </c>
      <c r="G2616" s="2" t="s">
        <v>9937</v>
      </c>
      <c r="H2616" s="3" t="str">
        <f>_xlfn.IFNA(INDEX(RulebookFields!C2:C999, MATCH(D2616,RulebookFields!A2:A999, 0)), "")</f>
        <v>ProcedureExecutions</v>
      </c>
      <c r="I2616" s="3" t="str">
        <f>_xlfn.IFNA(INDEX(RulebookFields!D2:D999, MATCH(D2616,RulebookFields!A2:A999, 0)), "")</f>
        <v>Name</v>
      </c>
      <c r="J2616" s="3" t="b">
        <f>_xlfn.IFNA(INDEX(RulebookFields!I2:I999, MATCH(D2616,RulebookFields!A2:A999, 0)), "")</f>
        <v>1</v>
      </c>
      <c r="K2616" s="3" t="b">
        <f>AND(F2616, J2616)</f>
        <v>0</v>
      </c>
      <c r="L2616" s="3" t="b">
        <f>AND(G2616 &lt;&gt; "plain", G2616 &lt;&gt; "")</f>
        <v>0</v>
      </c>
      <c r="M2616" s="3" t="str">
        <f>IF(E2616, C2616 &amp; "|" &amp; H2616, "")</f>
        <v>principal-knowledge-authority|ProcedureExecutions</v>
      </c>
      <c r="N2616" s="2" t="s">
        <v>9938</v>
      </c>
    </row>
    <row r="2617">
      <c r="A2617" s="2" t="s">
        <v>12553</v>
      </c>
      <c r="B2617" s="3" t="str">
        <f>C2617 &amp; " -&gt; " &amp; D2617</f>
        <v>principal-knowledge-authority -&gt; ProcedureExecutions.ProcedureVersion</v>
      </c>
      <c r="C2617" s="2" t="s">
        <v>9708</v>
      </c>
      <c r="D2617" s="2" t="s">
        <v>3363</v>
      </c>
      <c r="E2617" s="2" t="b">
        <v>1</v>
      </c>
      <c r="F2617" s="2" t="b">
        <v>0</v>
      </c>
      <c r="G2617" s="2" t="s">
        <v>9937</v>
      </c>
      <c r="H2617" s="3" t="str">
        <f>_xlfn.IFNA(INDEX(RulebookFields!C2:C999, MATCH(D2617,RulebookFields!A2:A999, 0)), "")</f>
        <v>ProcedureExecutions</v>
      </c>
      <c r="I2617" s="3" t="str">
        <f>_xlfn.IFNA(INDEX(RulebookFields!D2:D999, MATCH(D2617,RulebookFields!A2:A999, 0)), "")</f>
        <v>ProcedureVersion</v>
      </c>
      <c r="J2617" s="3" t="b">
        <f>_xlfn.IFNA(INDEX(RulebookFields!I2:I999, MATCH(D2617,RulebookFields!A2:A999, 0)), "")</f>
        <v>0</v>
      </c>
      <c r="K2617" s="3" t="b">
        <f>AND(F2617, J2617)</f>
        <v>0</v>
      </c>
      <c r="L2617" s="3" t="b">
        <f>AND(G2617 &lt;&gt; "plain", G2617 &lt;&gt; "")</f>
        <v>0</v>
      </c>
      <c r="M2617" s="3" t="str">
        <f>IF(E2617, C2617 &amp; "|" &amp; H2617, "")</f>
        <v>principal-knowledge-authority|ProcedureExecutions</v>
      </c>
      <c r="N2617" s="2" t="s">
        <v>9938</v>
      </c>
    </row>
    <row r="2618">
      <c r="A2618" s="2" t="s">
        <v>12554</v>
      </c>
      <c r="B2618" s="3" t="str">
        <f>C2618 &amp; " -&gt; " &amp; D2618</f>
        <v>principal-knowledge-authority -&gt; ProcedureExecutions.ExecutionStatus</v>
      </c>
      <c r="C2618" s="2" t="s">
        <v>9708</v>
      </c>
      <c r="D2618" s="2" t="s">
        <v>3364</v>
      </c>
      <c r="E2618" s="2" t="b">
        <v>1</v>
      </c>
      <c r="F2618" s="2" t="b">
        <v>0</v>
      </c>
      <c r="G2618" s="2" t="s">
        <v>9937</v>
      </c>
      <c r="H2618" s="3" t="str">
        <f>_xlfn.IFNA(INDEX(RulebookFields!C2:C999, MATCH(D2618,RulebookFields!A2:A999, 0)), "")</f>
        <v>ProcedureExecutions</v>
      </c>
      <c r="I2618" s="3" t="str">
        <f>_xlfn.IFNA(INDEX(RulebookFields!D2:D999, MATCH(D2618,RulebookFields!A2:A999, 0)), "")</f>
        <v>ExecutionStatus</v>
      </c>
      <c r="J2618" s="3" t="b">
        <f>_xlfn.IFNA(INDEX(RulebookFields!I2:I999, MATCH(D2618,RulebookFields!A2:A999, 0)), "")</f>
        <v>0</v>
      </c>
      <c r="K2618" s="3" t="b">
        <f>AND(F2618, J2618)</f>
        <v>0</v>
      </c>
      <c r="L2618" s="3" t="b">
        <f>AND(G2618 &lt;&gt; "plain", G2618 &lt;&gt; "")</f>
        <v>0</v>
      </c>
      <c r="M2618" s="3" t="str">
        <f>IF(E2618, C2618 &amp; "|" &amp; H2618, "")</f>
        <v>principal-knowledge-authority|ProcedureExecutions</v>
      </c>
      <c r="N2618" s="2" t="s">
        <v>9938</v>
      </c>
    </row>
    <row r="2619">
      <c r="A2619" s="2" t="s">
        <v>12555</v>
      </c>
      <c r="B2619" s="3" t="str">
        <f>C2619 &amp; " -&gt; " &amp; D2619</f>
        <v>principal-knowledge-authority -&gt; ProcedureExecutions.StartedAt</v>
      </c>
      <c r="C2619" s="2" t="s">
        <v>9708</v>
      </c>
      <c r="D2619" s="2" t="s">
        <v>3365</v>
      </c>
      <c r="E2619" s="2" t="b">
        <v>1</v>
      </c>
      <c r="F2619" s="2" t="b">
        <v>0</v>
      </c>
      <c r="G2619" s="2" t="s">
        <v>9937</v>
      </c>
      <c r="H2619" s="3" t="str">
        <f>_xlfn.IFNA(INDEX(RulebookFields!C2:C999, MATCH(D2619,RulebookFields!A2:A999, 0)), "")</f>
        <v>ProcedureExecutions</v>
      </c>
      <c r="I2619" s="3" t="str">
        <f>_xlfn.IFNA(INDEX(RulebookFields!D2:D999, MATCH(D2619,RulebookFields!A2:A999, 0)), "")</f>
        <v>StartedAt</v>
      </c>
      <c r="J2619" s="3" t="b">
        <f>_xlfn.IFNA(INDEX(RulebookFields!I2:I999, MATCH(D2619,RulebookFields!A2:A999, 0)), "")</f>
        <v>0</v>
      </c>
      <c r="K2619" s="3" t="b">
        <f>AND(F2619, J2619)</f>
        <v>0</v>
      </c>
      <c r="L2619" s="3" t="b">
        <f>AND(G2619 &lt;&gt; "plain", G2619 &lt;&gt; "")</f>
        <v>0</v>
      </c>
      <c r="M2619" s="3" t="str">
        <f>IF(E2619, C2619 &amp; "|" &amp; H2619, "")</f>
        <v>principal-knowledge-authority|ProcedureExecutions</v>
      </c>
      <c r="N2619" s="2" t="s">
        <v>9938</v>
      </c>
    </row>
    <row r="2620">
      <c r="A2620" s="2" t="s">
        <v>12556</v>
      </c>
      <c r="B2620" s="3" t="str">
        <f>C2620 &amp; " -&gt; " &amp; D2620</f>
        <v>principal-knowledge-authority -&gt; ProcedureExecutions.EndedAt</v>
      </c>
      <c r="C2620" s="2" t="s">
        <v>9708</v>
      </c>
      <c r="D2620" s="2" t="s">
        <v>3366</v>
      </c>
      <c r="E2620" s="2" t="b">
        <v>1</v>
      </c>
      <c r="F2620" s="2" t="b">
        <v>0</v>
      </c>
      <c r="G2620" s="2" t="s">
        <v>9937</v>
      </c>
      <c r="H2620" s="3" t="str">
        <f>_xlfn.IFNA(INDEX(RulebookFields!C2:C999, MATCH(D2620,RulebookFields!A2:A999, 0)), "")</f>
        <v>ProcedureExecutions</v>
      </c>
      <c r="I2620" s="3" t="str">
        <f>_xlfn.IFNA(INDEX(RulebookFields!D2:D999, MATCH(D2620,RulebookFields!A2:A999, 0)), "")</f>
        <v>EndedAt</v>
      </c>
      <c r="J2620" s="3" t="b">
        <f>_xlfn.IFNA(INDEX(RulebookFields!I2:I999, MATCH(D2620,RulebookFields!A2:A999, 0)), "")</f>
        <v>0</v>
      </c>
      <c r="K2620" s="3" t="b">
        <f>AND(F2620, J2620)</f>
        <v>0</v>
      </c>
      <c r="L2620" s="3" t="b">
        <f>AND(G2620 &lt;&gt; "plain", G2620 &lt;&gt; "")</f>
        <v>0</v>
      </c>
      <c r="M2620" s="3" t="str">
        <f>IF(E2620, C2620 &amp; "|" &amp; H2620, "")</f>
        <v>principal-knowledge-authority|ProcedureExecutions</v>
      </c>
      <c r="N2620" s="2" t="s">
        <v>9938</v>
      </c>
    </row>
    <row r="2621">
      <c r="A2621" s="2" t="s">
        <v>12557</v>
      </c>
      <c r="B2621" s="3" t="str">
        <f>C2621 &amp; " -&gt; " &amp; D2621</f>
        <v>principal-knowledge-authority -&gt; ProcedureExecutions.ExecutedByAgent</v>
      </c>
      <c r="C2621" s="2" t="s">
        <v>9708</v>
      </c>
      <c r="D2621" s="2" t="s">
        <v>3367</v>
      </c>
      <c r="E2621" s="2" t="b">
        <v>1</v>
      </c>
      <c r="F2621" s="2" t="b">
        <v>0</v>
      </c>
      <c r="G2621" s="2" t="s">
        <v>9937</v>
      </c>
      <c r="H2621" s="3" t="str">
        <f>_xlfn.IFNA(INDEX(RulebookFields!C2:C999, MATCH(D2621,RulebookFields!A2:A999, 0)), "")</f>
        <v>ProcedureExecutions</v>
      </c>
      <c r="I2621" s="3" t="str">
        <f>_xlfn.IFNA(INDEX(RulebookFields!D2:D999, MATCH(D2621,RulebookFields!A2:A999, 0)), "")</f>
        <v>ExecutedByAgent</v>
      </c>
      <c r="J2621" s="3" t="b">
        <f>_xlfn.IFNA(INDEX(RulebookFields!I2:I999, MATCH(D2621,RulebookFields!A2:A999, 0)), "")</f>
        <v>0</v>
      </c>
      <c r="K2621" s="3" t="b">
        <f>AND(F2621, J2621)</f>
        <v>0</v>
      </c>
      <c r="L2621" s="3" t="b">
        <f>AND(G2621 &lt;&gt; "plain", G2621 &lt;&gt; "")</f>
        <v>0</v>
      </c>
      <c r="M2621" s="3" t="str">
        <f>IF(E2621, C2621 &amp; "|" &amp; H2621, "")</f>
        <v>principal-knowledge-authority|ProcedureExecutions</v>
      </c>
      <c r="N2621" s="2" t="s">
        <v>9938</v>
      </c>
    </row>
    <row r="2622">
      <c r="A2622" s="2" t="s">
        <v>12558</v>
      </c>
      <c r="B2622" s="3" t="str">
        <f>C2622 &amp; " -&gt; " &amp; D2622</f>
        <v>principal-knowledge-authority -&gt; ProcedureExecutions.Context</v>
      </c>
      <c r="C2622" s="2" t="s">
        <v>9708</v>
      </c>
      <c r="D2622" s="2" t="s">
        <v>3368</v>
      </c>
      <c r="E2622" s="2" t="b">
        <v>1</v>
      </c>
      <c r="F2622" s="2" t="b">
        <v>0</v>
      </c>
      <c r="G2622" s="2" t="s">
        <v>9937</v>
      </c>
      <c r="H2622" s="3" t="str">
        <f>_xlfn.IFNA(INDEX(RulebookFields!C2:C999, MATCH(D2622,RulebookFields!A2:A999, 0)), "")</f>
        <v>ProcedureExecutions</v>
      </c>
      <c r="I2622" s="3" t="str">
        <f>_xlfn.IFNA(INDEX(RulebookFields!D2:D999, MATCH(D2622,RulebookFields!A2:A999, 0)), "")</f>
        <v>Context</v>
      </c>
      <c r="J2622" s="3" t="b">
        <f>_xlfn.IFNA(INDEX(RulebookFields!I2:I999, MATCH(D2622,RulebookFields!A2:A999, 0)), "")</f>
        <v>0</v>
      </c>
      <c r="K2622" s="3" t="b">
        <f>AND(F2622, J2622)</f>
        <v>0</v>
      </c>
      <c r="L2622" s="3" t="b">
        <f>AND(G2622 &lt;&gt; "plain", G2622 &lt;&gt; "")</f>
        <v>0</v>
      </c>
      <c r="M2622" s="3" t="str">
        <f>IF(E2622, C2622 &amp; "|" &amp; H2622, "")</f>
        <v>principal-knowledge-authority|ProcedureExecutions</v>
      </c>
      <c r="N2622" s="2" t="s">
        <v>9938</v>
      </c>
    </row>
    <row r="2623">
      <c r="A2623" s="2" t="s">
        <v>12559</v>
      </c>
      <c r="B2623" s="3" t="str">
        <f>C2623 &amp; " -&gt; " &amp; D2623</f>
        <v>principal-knowledge-authority -&gt; ProcedureExecutions.OperationalRecordUri</v>
      </c>
      <c r="C2623" s="2" t="s">
        <v>9708</v>
      </c>
      <c r="D2623" s="2" t="s">
        <v>3369</v>
      </c>
      <c r="E2623" s="2" t="b">
        <v>1</v>
      </c>
      <c r="F2623" s="2" t="b">
        <v>0</v>
      </c>
      <c r="G2623" s="2" t="s">
        <v>9937</v>
      </c>
      <c r="H2623" s="3" t="str">
        <f>_xlfn.IFNA(INDEX(RulebookFields!C2:C999, MATCH(D2623,RulebookFields!A2:A999, 0)), "")</f>
        <v>ProcedureExecutions</v>
      </c>
      <c r="I2623" s="3" t="str">
        <f>_xlfn.IFNA(INDEX(RulebookFields!D2:D999, MATCH(D2623,RulebookFields!A2:A999, 0)), "")</f>
        <v>OperationalRecordUri</v>
      </c>
      <c r="J2623" s="3" t="b">
        <f>_xlfn.IFNA(INDEX(RulebookFields!I2:I999, MATCH(D2623,RulebookFields!A2:A999, 0)), "")</f>
        <v>0</v>
      </c>
      <c r="K2623" s="3" t="b">
        <f>AND(F2623, J2623)</f>
        <v>0</v>
      </c>
      <c r="L2623" s="3" t="b">
        <f>AND(G2623 &lt;&gt; "plain", G2623 &lt;&gt; "")</f>
        <v>0</v>
      </c>
      <c r="M2623" s="3" t="str">
        <f>IF(E2623, C2623 &amp; "|" &amp; H2623, "")</f>
        <v>principal-knowledge-authority|ProcedureExecutions</v>
      </c>
      <c r="N2623" s="2" t="s">
        <v>9938</v>
      </c>
    </row>
    <row r="2624">
      <c r="A2624" s="2" t="s">
        <v>12560</v>
      </c>
      <c r="B2624" s="3" t="str">
        <f>C2624 &amp; " -&gt; " &amp; D2624</f>
        <v>principal-knowledge-authority -&gt; ProcedureExecutions.ExpectedStepCount</v>
      </c>
      <c r="C2624" s="2" t="s">
        <v>9708</v>
      </c>
      <c r="D2624" s="2" t="s">
        <v>3370</v>
      </c>
      <c r="E2624" s="2" t="b">
        <v>1</v>
      </c>
      <c r="F2624" s="2" t="b">
        <v>0</v>
      </c>
      <c r="G2624" s="2" t="s">
        <v>9937</v>
      </c>
      <c r="H2624" s="3" t="str">
        <f>_xlfn.IFNA(INDEX(RulebookFields!C2:C999, MATCH(D2624,RulebookFields!A2:A999, 0)), "")</f>
        <v>ProcedureExecutions</v>
      </c>
      <c r="I2624" s="3" t="str">
        <f>_xlfn.IFNA(INDEX(RulebookFields!D2:D999, MATCH(D2624,RulebookFields!A2:A999, 0)), "")</f>
        <v>ExpectedStepCount</v>
      </c>
      <c r="J2624" s="3" t="b">
        <f>_xlfn.IFNA(INDEX(RulebookFields!I2:I999, MATCH(D2624,RulebookFields!A2:A999, 0)), "")</f>
        <v>1</v>
      </c>
      <c r="K2624" s="3" t="b">
        <f>AND(F2624, J2624)</f>
        <v>0</v>
      </c>
      <c r="L2624" s="3" t="b">
        <f>AND(G2624 &lt;&gt; "plain", G2624 &lt;&gt; "")</f>
        <v>0</v>
      </c>
      <c r="M2624" s="3" t="str">
        <f>IF(E2624, C2624 &amp; "|" &amp; H2624, "")</f>
        <v>principal-knowledge-authority|ProcedureExecutions</v>
      </c>
      <c r="N2624" s="2" t="s">
        <v>9938</v>
      </c>
    </row>
    <row r="2625">
      <c r="A2625" s="2" t="s">
        <v>12561</v>
      </c>
      <c r="B2625" s="3" t="str">
        <f>C2625 &amp; " -&gt; " &amp; D2625</f>
        <v>principal-knowledge-authority -&gt; ProcedureExecutions.CompletedStepCount</v>
      </c>
      <c r="C2625" s="2" t="s">
        <v>9708</v>
      </c>
      <c r="D2625" s="2" t="s">
        <v>3372</v>
      </c>
      <c r="E2625" s="2" t="b">
        <v>1</v>
      </c>
      <c r="F2625" s="2" t="b">
        <v>0</v>
      </c>
      <c r="G2625" s="2" t="s">
        <v>9937</v>
      </c>
      <c r="H2625" s="3" t="str">
        <f>_xlfn.IFNA(INDEX(RulebookFields!C2:C999, MATCH(D2625,RulebookFields!A2:A999, 0)), "")</f>
        <v>ProcedureExecutions</v>
      </c>
      <c r="I2625" s="3" t="str">
        <f>_xlfn.IFNA(INDEX(RulebookFields!D2:D999, MATCH(D2625,RulebookFields!A2:A999, 0)), "")</f>
        <v>CompletedStepCount</v>
      </c>
      <c r="J2625" s="3" t="b">
        <f>_xlfn.IFNA(INDEX(RulebookFields!I2:I999, MATCH(D2625,RulebookFields!A2:A999, 0)), "")</f>
        <v>1</v>
      </c>
      <c r="K2625" s="3" t="b">
        <f>AND(F2625, J2625)</f>
        <v>0</v>
      </c>
      <c r="L2625" s="3" t="b">
        <f>AND(G2625 &lt;&gt; "plain", G2625 &lt;&gt; "")</f>
        <v>0</v>
      </c>
      <c r="M2625" s="3" t="str">
        <f>IF(E2625, C2625 &amp; "|" &amp; H2625, "")</f>
        <v>principal-knowledge-authority|ProcedureExecutions</v>
      </c>
      <c r="N2625" s="2" t="s">
        <v>9938</v>
      </c>
    </row>
    <row r="2626">
      <c r="A2626" s="2" t="s">
        <v>12562</v>
      </c>
      <c r="B2626" s="3" t="str">
        <f>C2626 &amp; " -&gt; " &amp; D2626</f>
        <v>principal-knowledge-authority -&gt; ProcedureExecutions.ControlBreachCount</v>
      </c>
      <c r="C2626" s="2" t="s">
        <v>9708</v>
      </c>
      <c r="D2626" s="2" t="s">
        <v>3374</v>
      </c>
      <c r="E2626" s="2" t="b">
        <v>1</v>
      </c>
      <c r="F2626" s="2" t="b">
        <v>0</v>
      </c>
      <c r="G2626" s="2" t="s">
        <v>9937</v>
      </c>
      <c r="H2626" s="3" t="str">
        <f>_xlfn.IFNA(INDEX(RulebookFields!C2:C999, MATCH(D2626,RulebookFields!A2:A999, 0)), "")</f>
        <v>ProcedureExecutions</v>
      </c>
      <c r="I2626" s="3" t="str">
        <f>_xlfn.IFNA(INDEX(RulebookFields!D2:D999, MATCH(D2626,RulebookFields!A2:A999, 0)), "")</f>
        <v>ControlBreachCount</v>
      </c>
      <c r="J2626" s="3" t="b">
        <f>_xlfn.IFNA(INDEX(RulebookFields!I2:I999, MATCH(D2626,RulebookFields!A2:A999, 0)), "")</f>
        <v>1</v>
      </c>
      <c r="K2626" s="3" t="b">
        <f>AND(F2626, J2626)</f>
        <v>0</v>
      </c>
      <c r="L2626" s="3" t="b">
        <f>AND(G2626 &lt;&gt; "plain", G2626 &lt;&gt; "")</f>
        <v>0</v>
      </c>
      <c r="M2626" s="3" t="str">
        <f>IF(E2626, C2626 &amp; "|" &amp; H2626, "")</f>
        <v>principal-knowledge-authority|ProcedureExecutions</v>
      </c>
      <c r="N2626" s="2" t="s">
        <v>9938</v>
      </c>
    </row>
    <row r="2627">
      <c r="A2627" s="2" t="s">
        <v>12563</v>
      </c>
      <c r="B2627" s="3" t="str">
        <f>C2627 &amp; " -&gt; " &amp; D2627</f>
        <v>principal-knowledge-authority -&gt; ProcedureExecutions.LateStepCount</v>
      </c>
      <c r="C2627" s="2" t="s">
        <v>9708</v>
      </c>
      <c r="D2627" s="2" t="s">
        <v>3376</v>
      </c>
      <c r="E2627" s="2" t="b">
        <v>1</v>
      </c>
      <c r="F2627" s="2" t="b">
        <v>0</v>
      </c>
      <c r="G2627" s="2" t="s">
        <v>9937</v>
      </c>
      <c r="H2627" s="3" t="str">
        <f>_xlfn.IFNA(INDEX(RulebookFields!C2:C999, MATCH(D2627,RulebookFields!A2:A999, 0)), "")</f>
        <v>ProcedureExecutions</v>
      </c>
      <c r="I2627" s="3" t="str">
        <f>_xlfn.IFNA(INDEX(RulebookFields!D2:D999, MATCH(D2627,RulebookFields!A2:A999, 0)), "")</f>
        <v>LateStepCount</v>
      </c>
      <c r="J2627" s="3" t="b">
        <f>_xlfn.IFNA(INDEX(RulebookFields!I2:I999, MATCH(D2627,RulebookFields!A2:A999, 0)), "")</f>
        <v>1</v>
      </c>
      <c r="K2627" s="3" t="b">
        <f>AND(F2627, J2627)</f>
        <v>0</v>
      </c>
      <c r="L2627" s="3" t="b">
        <f>AND(G2627 &lt;&gt; "plain", G2627 &lt;&gt; "")</f>
        <v>0</v>
      </c>
      <c r="M2627" s="3" t="str">
        <f>IF(E2627, C2627 &amp; "|" &amp; H2627, "")</f>
        <v>principal-knowledge-authority|ProcedureExecutions</v>
      </c>
      <c r="N2627" s="2" t="s">
        <v>9938</v>
      </c>
    </row>
    <row r="2628">
      <c r="A2628" s="2" t="s">
        <v>12564</v>
      </c>
      <c r="B2628" s="3" t="str">
        <f>C2628 &amp; " -&gt; " &amp; D2628</f>
        <v>principal-knowledge-authority -&gt; ProcedureExecutions.IsStructurallyComplete</v>
      </c>
      <c r="C2628" s="2" t="s">
        <v>9708</v>
      </c>
      <c r="D2628" s="2" t="s">
        <v>3378</v>
      </c>
      <c r="E2628" s="2" t="b">
        <v>1</v>
      </c>
      <c r="F2628" s="2" t="b">
        <v>0</v>
      </c>
      <c r="G2628" s="2" t="s">
        <v>9937</v>
      </c>
      <c r="H2628" s="3" t="str">
        <f>_xlfn.IFNA(INDEX(RulebookFields!C2:C999, MATCH(D2628,RulebookFields!A2:A999, 0)), "")</f>
        <v>ProcedureExecutions</v>
      </c>
      <c r="I2628" s="3" t="str">
        <f>_xlfn.IFNA(INDEX(RulebookFields!D2:D999, MATCH(D2628,RulebookFields!A2:A999, 0)), "")</f>
        <v>IsStructurallyComplete</v>
      </c>
      <c r="J2628" s="3" t="b">
        <f>_xlfn.IFNA(INDEX(RulebookFields!I2:I999, MATCH(D2628,RulebookFields!A2:A999, 0)), "")</f>
        <v>1</v>
      </c>
      <c r="K2628" s="3" t="b">
        <f>AND(F2628, J2628)</f>
        <v>0</v>
      </c>
      <c r="L2628" s="3" t="b">
        <f>AND(G2628 &lt;&gt; "plain", G2628 &lt;&gt; "")</f>
        <v>0</v>
      </c>
      <c r="M2628" s="3" t="str">
        <f>IF(E2628, C2628 &amp; "|" &amp; H2628, "")</f>
        <v>principal-knowledge-authority|ProcedureExecutions</v>
      </c>
      <c r="N2628" s="2" t="s">
        <v>9938</v>
      </c>
    </row>
    <row r="2629">
      <c r="A2629" s="2" t="s">
        <v>12565</v>
      </c>
      <c r="B2629" s="3" t="str">
        <f>C2629 &amp; " -&gt; " &amp; D2629</f>
        <v>principal-knowledge-authority -&gt; ProcedureExecutions.DivergedFromSpecification</v>
      </c>
      <c r="C2629" s="2" t="s">
        <v>9708</v>
      </c>
      <c r="D2629" s="2" t="s">
        <v>3380</v>
      </c>
      <c r="E2629" s="2" t="b">
        <v>1</v>
      </c>
      <c r="F2629" s="2" t="b">
        <v>0</v>
      </c>
      <c r="G2629" s="2" t="s">
        <v>9937</v>
      </c>
      <c r="H2629" s="3" t="str">
        <f>_xlfn.IFNA(INDEX(RulebookFields!C2:C999, MATCH(D2629,RulebookFields!A2:A999, 0)), "")</f>
        <v>ProcedureExecutions</v>
      </c>
      <c r="I2629" s="3" t="str">
        <f>_xlfn.IFNA(INDEX(RulebookFields!D2:D999, MATCH(D2629,RulebookFields!A2:A999, 0)), "")</f>
        <v>DivergedFromSpecification</v>
      </c>
      <c r="J2629" s="3" t="b">
        <f>_xlfn.IFNA(INDEX(RulebookFields!I2:I999, MATCH(D2629,RulebookFields!A2:A999, 0)), "")</f>
        <v>1</v>
      </c>
      <c r="K2629" s="3" t="b">
        <f>AND(F2629, J2629)</f>
        <v>0</v>
      </c>
      <c r="L2629" s="3" t="b">
        <f>AND(G2629 &lt;&gt; "plain", G2629 &lt;&gt; "")</f>
        <v>0</v>
      </c>
      <c r="M2629" s="3" t="str">
        <f>IF(E2629, C2629 &amp; "|" &amp; H2629, "")</f>
        <v>principal-knowledge-authority|ProcedureExecutions</v>
      </c>
      <c r="N2629" s="2" t="s">
        <v>9938</v>
      </c>
    </row>
    <row r="2630">
      <c r="A2630" s="2" t="s">
        <v>12566</v>
      </c>
      <c r="B2630" s="3" t="str">
        <f>C2630 &amp; " -&gt; " &amp; D2630</f>
        <v>principal-knowledge-authority -&gt; ProcedureExecutions.AllBlockingControlsEvaluated</v>
      </c>
      <c r="C2630" s="2" t="s">
        <v>9708</v>
      </c>
      <c r="D2630" s="2" t="s">
        <v>3382</v>
      </c>
      <c r="E2630" s="2" t="b">
        <v>1</v>
      </c>
      <c r="F2630" s="2" t="b">
        <v>0</v>
      </c>
      <c r="G2630" s="2" t="s">
        <v>9937</v>
      </c>
      <c r="H2630" s="3" t="str">
        <f>_xlfn.IFNA(INDEX(RulebookFields!C2:C999, MATCH(D2630,RulebookFields!A2:A999, 0)), "")</f>
        <v>ProcedureExecutions</v>
      </c>
      <c r="I2630" s="3" t="str">
        <f>_xlfn.IFNA(INDEX(RulebookFields!D2:D999, MATCH(D2630,RulebookFields!A2:A999, 0)), "")</f>
        <v>AllBlockingControlsEvaluated</v>
      </c>
      <c r="J2630" s="3" t="b">
        <f>_xlfn.IFNA(INDEX(RulebookFields!I2:I999, MATCH(D2630,RulebookFields!A2:A999, 0)), "")</f>
        <v>1</v>
      </c>
      <c r="K2630" s="3" t="b">
        <f>AND(F2630, J2630)</f>
        <v>0</v>
      </c>
      <c r="L2630" s="3" t="b">
        <f>AND(G2630 &lt;&gt; "plain", G2630 &lt;&gt; "")</f>
        <v>0</v>
      </c>
      <c r="M2630" s="3" t="str">
        <f>IF(E2630, C2630 &amp; "|" &amp; H2630, "")</f>
        <v>principal-knowledge-authority|ProcedureExecutions</v>
      </c>
      <c r="N2630" s="2" t="s">
        <v>9938</v>
      </c>
    </row>
    <row r="2631">
      <c r="A2631" s="2" t="s">
        <v>12567</v>
      </c>
      <c r="B2631" s="3" t="str">
        <f>C2631 &amp; " -&gt; " &amp; D2631</f>
        <v>principal-knowledge-authority -&gt; ProcedureExecutions.UnevaluatedBlockingTotal</v>
      </c>
      <c r="C2631" s="2" t="s">
        <v>9708</v>
      </c>
      <c r="D2631" s="2" t="s">
        <v>3384</v>
      </c>
      <c r="E2631" s="2" t="b">
        <v>1</v>
      </c>
      <c r="F2631" s="2" t="b">
        <v>0</v>
      </c>
      <c r="G2631" s="2" t="s">
        <v>9937</v>
      </c>
      <c r="H2631" s="3" t="str">
        <f>_xlfn.IFNA(INDEX(RulebookFields!C2:C999, MATCH(D2631,RulebookFields!A2:A999, 0)), "")</f>
        <v>ProcedureExecutions</v>
      </c>
      <c r="I2631" s="3" t="str">
        <f>_xlfn.IFNA(INDEX(RulebookFields!D2:D999, MATCH(D2631,RulebookFields!A2:A999, 0)), "")</f>
        <v>UnevaluatedBlockingTotal</v>
      </c>
      <c r="J2631" s="3" t="b">
        <f>_xlfn.IFNA(INDEX(RulebookFields!I2:I999, MATCH(D2631,RulebookFields!A2:A999, 0)), "")</f>
        <v>1</v>
      </c>
      <c r="K2631" s="3" t="b">
        <f>AND(F2631, J2631)</f>
        <v>0</v>
      </c>
      <c r="L2631" s="3" t="b">
        <f>AND(G2631 &lt;&gt; "plain", G2631 &lt;&gt; "")</f>
        <v>0</v>
      </c>
      <c r="M2631" s="3" t="str">
        <f>IF(E2631, C2631 &amp; "|" &amp; H2631, "")</f>
        <v>principal-knowledge-authority|ProcedureExecutions</v>
      </c>
      <c r="N2631" s="2" t="s">
        <v>9938</v>
      </c>
    </row>
    <row r="2632">
      <c r="A2632" s="2" t="s">
        <v>12568</v>
      </c>
      <c r="B2632" s="3" t="str">
        <f>C2632 &amp; " -&gt; " &amp; D2632</f>
        <v>principal-knowledge-authority -&gt; ProcedureExecutions.SeparationOfDutiesHeld</v>
      </c>
      <c r="C2632" s="2" t="s">
        <v>9708</v>
      </c>
      <c r="D2632" s="2" t="s">
        <v>3386</v>
      </c>
      <c r="E2632" s="2" t="b">
        <v>1</v>
      </c>
      <c r="F2632" s="2" t="b">
        <v>0</v>
      </c>
      <c r="G2632" s="2" t="s">
        <v>9937</v>
      </c>
      <c r="H2632" s="3" t="str">
        <f>_xlfn.IFNA(INDEX(RulebookFields!C2:C999, MATCH(D2632,RulebookFields!A2:A999, 0)), "")</f>
        <v>ProcedureExecutions</v>
      </c>
      <c r="I2632" s="3" t="str">
        <f>_xlfn.IFNA(INDEX(RulebookFields!D2:D999, MATCH(D2632,RulebookFields!A2:A999, 0)), "")</f>
        <v>SeparationOfDutiesHeld</v>
      </c>
      <c r="J2632" s="3" t="b">
        <f>_xlfn.IFNA(INDEX(RulebookFields!I2:I999, MATCH(D2632,RulebookFields!A2:A999, 0)), "")</f>
        <v>1</v>
      </c>
      <c r="K2632" s="3" t="b">
        <f>AND(F2632, J2632)</f>
        <v>0</v>
      </c>
      <c r="L2632" s="3" t="b">
        <f>AND(G2632 &lt;&gt; "plain", G2632 &lt;&gt; "")</f>
        <v>0</v>
      </c>
      <c r="M2632" s="3" t="str">
        <f>IF(E2632, C2632 &amp; "|" &amp; H2632, "")</f>
        <v>principal-knowledge-authority|ProcedureExecutions</v>
      </c>
      <c r="N2632" s="2" t="s">
        <v>9938</v>
      </c>
    </row>
    <row r="2633">
      <c r="A2633" s="2" t="s">
        <v>12569</v>
      </c>
      <c r="B2633" s="3" t="str">
        <f>C2633 &amp; " -&gt; " &amp; D2633</f>
        <v>principal-knowledge-authority -&gt; ProcedureExecutions.SeparationViolationCount</v>
      </c>
      <c r="C2633" s="2" t="s">
        <v>9708</v>
      </c>
      <c r="D2633" s="2" t="s">
        <v>3388</v>
      </c>
      <c r="E2633" s="2" t="b">
        <v>1</v>
      </c>
      <c r="F2633" s="2" t="b">
        <v>0</v>
      </c>
      <c r="G2633" s="2" t="s">
        <v>9937</v>
      </c>
      <c r="H2633" s="3" t="str">
        <f>_xlfn.IFNA(INDEX(RulebookFields!C2:C999, MATCH(D2633,RulebookFields!A2:A999, 0)), "")</f>
        <v>ProcedureExecutions</v>
      </c>
      <c r="I2633" s="3" t="str">
        <f>_xlfn.IFNA(INDEX(RulebookFields!D2:D999, MATCH(D2633,RulebookFields!A2:A999, 0)), "")</f>
        <v>SeparationViolationCount</v>
      </c>
      <c r="J2633" s="3" t="b">
        <f>_xlfn.IFNA(INDEX(RulebookFields!I2:I999, MATCH(D2633,RulebookFields!A2:A999, 0)), "")</f>
        <v>1</v>
      </c>
      <c r="K2633" s="3" t="b">
        <f>AND(F2633, J2633)</f>
        <v>0</v>
      </c>
      <c r="L2633" s="3" t="b">
        <f>AND(G2633 &lt;&gt; "plain", G2633 &lt;&gt; "")</f>
        <v>0</v>
      </c>
      <c r="M2633" s="3" t="str">
        <f>IF(E2633, C2633 &amp; "|" &amp; H2633, "")</f>
        <v>principal-knowledge-authority|ProcedureExecutions</v>
      </c>
      <c r="N2633" s="2" t="s">
        <v>9938</v>
      </c>
    </row>
    <row r="2634">
      <c r="A2634" s="2" t="s">
        <v>12570</v>
      </c>
      <c r="B2634" s="3" t="str">
        <f>C2634 &amp; " -&gt; " &amp; D2634</f>
        <v>principal-knowledge-authority -&gt; ProcedureExecutions.IsAttestationReady</v>
      </c>
      <c r="C2634" s="2" t="s">
        <v>9708</v>
      </c>
      <c r="D2634" s="2" t="s">
        <v>3390</v>
      </c>
      <c r="E2634" s="2" t="b">
        <v>1</v>
      </c>
      <c r="F2634" s="2" t="b">
        <v>0</v>
      </c>
      <c r="G2634" s="2" t="s">
        <v>9937</v>
      </c>
      <c r="H2634" s="3" t="str">
        <f>_xlfn.IFNA(INDEX(RulebookFields!C2:C999, MATCH(D2634,RulebookFields!A2:A999, 0)), "")</f>
        <v>ProcedureExecutions</v>
      </c>
      <c r="I2634" s="3" t="str">
        <f>_xlfn.IFNA(INDEX(RulebookFields!D2:D999, MATCH(D2634,RulebookFields!A2:A999, 0)), "")</f>
        <v>IsAttestationReady</v>
      </c>
      <c r="J2634" s="3" t="b">
        <f>_xlfn.IFNA(INDEX(RulebookFields!I2:I999, MATCH(D2634,RulebookFields!A2:A999, 0)), "")</f>
        <v>1</v>
      </c>
      <c r="K2634" s="3" t="b">
        <f>AND(F2634, J2634)</f>
        <v>0</v>
      </c>
      <c r="L2634" s="3" t="b">
        <f>AND(G2634 &lt;&gt; "plain", G2634 &lt;&gt; "")</f>
        <v>0</v>
      </c>
      <c r="M2634" s="3" t="str">
        <f>IF(E2634, C2634 &amp; "|" &amp; H2634, "")</f>
        <v>principal-knowledge-authority|ProcedureExecutions</v>
      </c>
      <c r="N2634" s="2" t="s">
        <v>9938</v>
      </c>
    </row>
    <row r="2635">
      <c r="A2635" s="2" t="s">
        <v>12571</v>
      </c>
      <c r="B2635" s="3" t="str">
        <f>C2635 &amp; " -&gt; " &amp; D2635</f>
        <v>principal-knowledge-authority -&gt; ProcedureExecutions.AttestationBlockerSummary</v>
      </c>
      <c r="C2635" s="2" t="s">
        <v>9708</v>
      </c>
      <c r="D2635" s="2" t="s">
        <v>3392</v>
      </c>
      <c r="E2635" s="2" t="b">
        <v>1</v>
      </c>
      <c r="F2635" s="2" t="b">
        <v>0</v>
      </c>
      <c r="G2635" s="2" t="s">
        <v>9937</v>
      </c>
      <c r="H2635" s="3" t="str">
        <f>_xlfn.IFNA(INDEX(RulebookFields!C2:C999, MATCH(D2635,RulebookFields!A2:A999, 0)), "")</f>
        <v>ProcedureExecutions</v>
      </c>
      <c r="I2635" s="3" t="str">
        <f>_xlfn.IFNA(INDEX(RulebookFields!D2:D999, MATCH(D2635,RulebookFields!A2:A999, 0)), "")</f>
        <v>AttestationBlockerSummary</v>
      </c>
      <c r="J2635" s="3" t="b">
        <f>_xlfn.IFNA(INDEX(RulebookFields!I2:I999, MATCH(D2635,RulebookFields!A2:A999, 0)), "")</f>
        <v>1</v>
      </c>
      <c r="K2635" s="3" t="b">
        <f>AND(F2635, J2635)</f>
        <v>0</v>
      </c>
      <c r="L2635" s="3" t="b">
        <f>AND(G2635 &lt;&gt; "plain", G2635 &lt;&gt; "")</f>
        <v>0</v>
      </c>
      <c r="M2635" s="3" t="str">
        <f>IF(E2635, C2635 &amp; "|" &amp; H2635, "")</f>
        <v>principal-knowledge-authority|ProcedureExecutions</v>
      </c>
      <c r="N2635" s="2" t="s">
        <v>9938</v>
      </c>
    </row>
    <row r="2636">
      <c r="A2636" s="2" t="s">
        <v>12572</v>
      </c>
      <c r="B2636" s="3" t="str">
        <f>C2636 &amp; " -&gt; " &amp; D2636</f>
        <v>principal-knowledge-authority -&gt; ProcedureExecutions.ExecutedVersionIsFit</v>
      </c>
      <c r="C2636" s="2" t="s">
        <v>9708</v>
      </c>
      <c r="D2636" s="2" t="s">
        <v>3394</v>
      </c>
      <c r="E2636" s="2" t="b">
        <v>1</v>
      </c>
      <c r="F2636" s="2" t="b">
        <v>0</v>
      </c>
      <c r="G2636" s="2" t="s">
        <v>9937</v>
      </c>
      <c r="H2636" s="3" t="str">
        <f>_xlfn.IFNA(INDEX(RulebookFields!C2:C999, MATCH(D2636,RulebookFields!A2:A999, 0)), "")</f>
        <v>ProcedureExecutions</v>
      </c>
      <c r="I2636" s="3" t="str">
        <f>_xlfn.IFNA(INDEX(RulebookFields!D2:D999, MATCH(D2636,RulebookFields!A2:A999, 0)), "")</f>
        <v>ExecutedVersionIsFit</v>
      </c>
      <c r="J2636" s="3" t="b">
        <f>_xlfn.IFNA(INDEX(RulebookFields!I2:I999, MATCH(D2636,RulebookFields!A2:A999, 0)), "")</f>
        <v>1</v>
      </c>
      <c r="K2636" s="3" t="b">
        <f>AND(F2636, J2636)</f>
        <v>0</v>
      </c>
      <c r="L2636" s="3" t="b">
        <f>AND(G2636 &lt;&gt; "plain", G2636 &lt;&gt; "")</f>
        <v>0</v>
      </c>
      <c r="M2636" s="3" t="str">
        <f>IF(E2636, C2636 &amp; "|" &amp; H2636, "")</f>
        <v>principal-knowledge-authority|ProcedureExecutions</v>
      </c>
      <c r="N2636" s="2" t="s">
        <v>9938</v>
      </c>
    </row>
    <row r="2637">
      <c r="A2637" s="2" t="s">
        <v>12573</v>
      </c>
      <c r="B2637" s="3" t="str">
        <f>C2637 &amp; " -&gt; " &amp; D2637</f>
        <v>principal-knowledge-authority -&gt; ProcedureExecutions.SignedAgainstUnfitVersion</v>
      </c>
      <c r="C2637" s="2" t="s">
        <v>9708</v>
      </c>
      <c r="D2637" s="2" t="s">
        <v>3396</v>
      </c>
      <c r="E2637" s="2" t="b">
        <v>1</v>
      </c>
      <c r="F2637" s="2" t="b">
        <v>0</v>
      </c>
      <c r="G2637" s="2" t="s">
        <v>9937</v>
      </c>
      <c r="H2637" s="3" t="str">
        <f>_xlfn.IFNA(INDEX(RulebookFields!C2:C999, MATCH(D2637,RulebookFields!A2:A999, 0)), "")</f>
        <v>ProcedureExecutions</v>
      </c>
      <c r="I2637" s="3" t="str">
        <f>_xlfn.IFNA(INDEX(RulebookFields!D2:D999, MATCH(D2637,RulebookFields!A2:A999, 0)), "")</f>
        <v>SignedAgainstUnfitVersion</v>
      </c>
      <c r="J2637" s="3" t="b">
        <f>_xlfn.IFNA(INDEX(RulebookFields!I2:I999, MATCH(D2637,RulebookFields!A2:A999, 0)), "")</f>
        <v>1</v>
      </c>
      <c r="K2637" s="3" t="b">
        <f>AND(F2637, J2637)</f>
        <v>0</v>
      </c>
      <c r="L2637" s="3" t="b">
        <f>AND(G2637 &lt;&gt; "plain", G2637 &lt;&gt; "")</f>
        <v>0</v>
      </c>
      <c r="M2637" s="3" t="str">
        <f>IF(E2637, C2637 &amp; "|" &amp; H2637, "")</f>
        <v>principal-knowledge-authority|ProcedureExecutions</v>
      </c>
      <c r="N2637" s="2" t="s">
        <v>9938</v>
      </c>
    </row>
    <row r="2638">
      <c r="A2638" s="2" t="s">
        <v>12574</v>
      </c>
      <c r="B2638" s="3" t="str">
        <f>C2638 &amp; " -&gt; " &amp; D2638</f>
        <v>principal-knowledge-authority -&gt; ProcedureExecutions.AssertedOnlyControlCount</v>
      </c>
      <c r="C2638" s="2" t="s">
        <v>9708</v>
      </c>
      <c r="D2638" s="2" t="s">
        <v>3398</v>
      </c>
      <c r="E2638" s="2" t="b">
        <v>1</v>
      </c>
      <c r="F2638" s="2" t="b">
        <v>0</v>
      </c>
      <c r="G2638" s="2" t="s">
        <v>9937</v>
      </c>
      <c r="H2638" s="3" t="str">
        <f>_xlfn.IFNA(INDEX(RulebookFields!C2:C999, MATCH(D2638,RulebookFields!A2:A999, 0)), "")</f>
        <v>ProcedureExecutions</v>
      </c>
      <c r="I2638" s="3" t="str">
        <f>_xlfn.IFNA(INDEX(RulebookFields!D2:D999, MATCH(D2638,RulebookFields!A2:A999, 0)), "")</f>
        <v>AssertedOnlyControlCount</v>
      </c>
      <c r="J2638" s="3" t="b">
        <f>_xlfn.IFNA(INDEX(RulebookFields!I2:I999, MATCH(D2638,RulebookFields!A2:A999, 0)), "")</f>
        <v>1</v>
      </c>
      <c r="K2638" s="3" t="b">
        <f>AND(F2638, J2638)</f>
        <v>0</v>
      </c>
      <c r="L2638" s="3" t="b">
        <f>AND(G2638 &lt;&gt; "plain", G2638 &lt;&gt; "")</f>
        <v>0</v>
      </c>
      <c r="M2638" s="3" t="str">
        <f>IF(E2638, C2638 &amp; "|" &amp; H2638, "")</f>
        <v>principal-knowledge-authority|ProcedureExecutions</v>
      </c>
      <c r="N2638" s="2" t="s">
        <v>9938</v>
      </c>
    </row>
    <row r="2639">
      <c r="A2639" s="2" t="s">
        <v>12575</v>
      </c>
      <c r="B2639" s="3" t="str">
        <f>C2639 &amp; " -&gt; " &amp; D2639</f>
        <v>principal-knowledge-authority -&gt; ProcedureExecutions.AssuranceIsMostlyAsserted</v>
      </c>
      <c r="C2639" s="2" t="s">
        <v>9708</v>
      </c>
      <c r="D2639" s="2" t="s">
        <v>3400</v>
      </c>
      <c r="E2639" s="2" t="b">
        <v>1</v>
      </c>
      <c r="F2639" s="2" t="b">
        <v>0</v>
      </c>
      <c r="G2639" s="2" t="s">
        <v>9937</v>
      </c>
      <c r="H2639" s="3" t="str">
        <f>_xlfn.IFNA(INDEX(RulebookFields!C2:C999, MATCH(D2639,RulebookFields!A2:A999, 0)), "")</f>
        <v>ProcedureExecutions</v>
      </c>
      <c r="I2639" s="3" t="str">
        <f>_xlfn.IFNA(INDEX(RulebookFields!D2:D999, MATCH(D2639,RulebookFields!A2:A999, 0)), "")</f>
        <v>AssuranceIsMostlyAsserted</v>
      </c>
      <c r="J2639" s="3" t="b">
        <f>_xlfn.IFNA(INDEX(RulebookFields!I2:I999, MATCH(D2639,RulebookFields!A2:A999, 0)), "")</f>
        <v>1</v>
      </c>
      <c r="K2639" s="3" t="b">
        <f>AND(F2639, J2639)</f>
        <v>0</v>
      </c>
      <c r="L2639" s="3" t="b">
        <f>AND(G2639 &lt;&gt; "plain", G2639 &lt;&gt; "")</f>
        <v>0</v>
      </c>
      <c r="M2639" s="3" t="str">
        <f>IF(E2639, C2639 &amp; "|" &amp; H2639, "")</f>
        <v>principal-knowledge-authority|ProcedureExecutions</v>
      </c>
      <c r="N2639" s="2" t="s">
        <v>9938</v>
      </c>
    </row>
    <row r="2640">
      <c r="A2640" s="2" t="s">
        <v>12576</v>
      </c>
      <c r="B2640" s="3" t="str">
        <f>C2640 &amp; " -&gt; " &amp; D2640</f>
        <v>principal-knowledge-authority -&gt; ProcedureExecutions.UnreachableHandlingFailureCount</v>
      </c>
      <c r="C2640" s="2" t="s">
        <v>9708</v>
      </c>
      <c r="D2640" s="2" t="s">
        <v>3402</v>
      </c>
      <c r="E2640" s="2" t="b">
        <v>1</v>
      </c>
      <c r="F2640" s="2" t="b">
        <v>0</v>
      </c>
      <c r="G2640" s="2" t="s">
        <v>9937</v>
      </c>
      <c r="H2640" s="3" t="str">
        <f>_xlfn.IFNA(INDEX(RulebookFields!C2:C999, MATCH(D2640,RulebookFields!A2:A999, 0)), "")</f>
        <v>ProcedureExecutions</v>
      </c>
      <c r="I2640" s="3" t="str">
        <f>_xlfn.IFNA(INDEX(RulebookFields!D2:D999, MATCH(D2640,RulebookFields!A2:A999, 0)), "")</f>
        <v>UnreachableHandlingFailureCount</v>
      </c>
      <c r="J2640" s="3" t="b">
        <f>_xlfn.IFNA(INDEX(RulebookFields!I2:I999, MATCH(D2640,RulebookFields!A2:A999, 0)), "")</f>
        <v>1</v>
      </c>
      <c r="K2640" s="3" t="b">
        <f>AND(F2640, J2640)</f>
        <v>0</v>
      </c>
      <c r="L2640" s="3" t="b">
        <f>AND(G2640 &lt;&gt; "plain", G2640 &lt;&gt; "")</f>
        <v>0</v>
      </c>
      <c r="M2640" s="3" t="str">
        <f>IF(E2640, C2640 &amp; "|" &amp; H2640, "")</f>
        <v>principal-knowledge-authority|ProcedureExecutions</v>
      </c>
      <c r="N2640" s="2" t="s">
        <v>9938</v>
      </c>
    </row>
    <row r="2641">
      <c r="A2641" s="2" t="s">
        <v>12577</v>
      </c>
      <c r="B2641" s="3" t="str">
        <f>C2641 &amp; " -&gt; " &amp; D2641</f>
        <v>principal-knowledge-authority -&gt; ProcedureExecutions.RetentionBreachCount</v>
      </c>
      <c r="C2641" s="2" t="s">
        <v>9708</v>
      </c>
      <c r="D2641" s="2" t="s">
        <v>3404</v>
      </c>
      <c r="E2641" s="2" t="b">
        <v>1</v>
      </c>
      <c r="F2641" s="2" t="b">
        <v>0</v>
      </c>
      <c r="G2641" s="2" t="s">
        <v>9937</v>
      </c>
      <c r="H2641" s="3" t="str">
        <f>_xlfn.IFNA(INDEX(RulebookFields!C2:C999, MATCH(D2641,RulebookFields!A2:A999, 0)), "")</f>
        <v>ProcedureExecutions</v>
      </c>
      <c r="I2641" s="3" t="str">
        <f>_xlfn.IFNA(INDEX(RulebookFields!D2:D999, MATCH(D2641,RulebookFields!A2:A999, 0)), "")</f>
        <v>RetentionBreachCount</v>
      </c>
      <c r="J2641" s="3" t="b">
        <f>_xlfn.IFNA(INDEX(RulebookFields!I2:I999, MATCH(D2641,RulebookFields!A2:A999, 0)), "")</f>
        <v>1</v>
      </c>
      <c r="K2641" s="3" t="b">
        <f>AND(F2641, J2641)</f>
        <v>0</v>
      </c>
      <c r="L2641" s="3" t="b">
        <f>AND(G2641 &lt;&gt; "plain", G2641 &lt;&gt; "")</f>
        <v>0</v>
      </c>
      <c r="M2641" s="3" t="str">
        <f>IF(E2641, C2641 &amp; "|" &amp; H2641, "")</f>
        <v>principal-knowledge-authority|ProcedureExecutions</v>
      </c>
      <c r="N2641" s="2" t="s">
        <v>9938</v>
      </c>
    </row>
    <row r="2642">
      <c r="A2642" s="2" t="s">
        <v>12578</v>
      </c>
      <c r="B2642" s="3" t="str">
        <f>C2642 &amp; " -&gt; " &amp; D2642</f>
        <v>principal-knowledge-authority -&gt; ProcedureExecutions.ClearedLegalReviewCount</v>
      </c>
      <c r="C2642" s="2" t="s">
        <v>9708</v>
      </c>
      <c r="D2642" s="2" t="s">
        <v>3406</v>
      </c>
      <c r="E2642" s="2" t="b">
        <v>1</v>
      </c>
      <c r="F2642" s="2" t="b">
        <v>0</v>
      </c>
      <c r="G2642" s="2" t="s">
        <v>9937</v>
      </c>
      <c r="H2642" s="3" t="str">
        <f>_xlfn.IFNA(INDEX(RulebookFields!C2:C999, MATCH(D2642,RulebookFields!A2:A999, 0)), "")</f>
        <v>ProcedureExecutions</v>
      </c>
      <c r="I2642" s="3" t="str">
        <f>_xlfn.IFNA(INDEX(RulebookFields!D2:D999, MATCH(D2642,RulebookFields!A2:A999, 0)), "")</f>
        <v>ClearedLegalReviewCount</v>
      </c>
      <c r="J2642" s="3" t="b">
        <f>_xlfn.IFNA(INDEX(RulebookFields!I2:I999, MATCH(D2642,RulebookFields!A2:A999, 0)), "")</f>
        <v>1</v>
      </c>
      <c r="K2642" s="3" t="b">
        <f>AND(F2642, J2642)</f>
        <v>0</v>
      </c>
      <c r="L2642" s="3" t="b">
        <f>AND(G2642 &lt;&gt; "plain", G2642 &lt;&gt; "")</f>
        <v>0</v>
      </c>
      <c r="M2642" s="3" t="str">
        <f>IF(E2642, C2642 &amp; "|" &amp; H2642, "")</f>
        <v>principal-knowledge-authority|ProcedureExecutions</v>
      </c>
      <c r="N2642" s="2" t="s">
        <v>9938</v>
      </c>
    </row>
    <row r="2643">
      <c r="A2643" s="2" t="s">
        <v>12579</v>
      </c>
      <c r="B2643" s="3" t="str">
        <f>C2643 &amp; " -&gt; " &amp; D2643</f>
        <v>principal-knowledge-authority -&gt; ProcedureExecutions.HasClearedLegalReview</v>
      </c>
      <c r="C2643" s="2" t="s">
        <v>9708</v>
      </c>
      <c r="D2643" s="2" t="s">
        <v>3408</v>
      </c>
      <c r="E2643" s="2" t="b">
        <v>1</v>
      </c>
      <c r="F2643" s="2" t="b">
        <v>0</v>
      </c>
      <c r="G2643" s="2" t="s">
        <v>9937</v>
      </c>
      <c r="H2643" s="3" t="str">
        <f>_xlfn.IFNA(INDEX(RulebookFields!C2:C999, MATCH(D2643,RulebookFields!A2:A999, 0)), "")</f>
        <v>ProcedureExecutions</v>
      </c>
      <c r="I2643" s="3" t="str">
        <f>_xlfn.IFNA(INDEX(RulebookFields!D2:D999, MATCH(D2643,RulebookFields!A2:A999, 0)), "")</f>
        <v>HasClearedLegalReview</v>
      </c>
      <c r="J2643" s="3" t="b">
        <f>_xlfn.IFNA(INDEX(RulebookFields!I2:I999, MATCH(D2643,RulebookFields!A2:A999, 0)), "")</f>
        <v>1</v>
      </c>
      <c r="K2643" s="3" t="b">
        <f>AND(F2643, J2643)</f>
        <v>0</v>
      </c>
      <c r="L2643" s="3" t="b">
        <f>AND(G2643 &lt;&gt; "plain", G2643 &lt;&gt; "")</f>
        <v>0</v>
      </c>
      <c r="M2643" s="3" t="str">
        <f>IF(E2643, C2643 &amp; "|" &amp; H2643, "")</f>
        <v>principal-knowledge-authority|ProcedureExecutions</v>
      </c>
      <c r="N2643" s="2" t="s">
        <v>9938</v>
      </c>
    </row>
    <row r="2644">
      <c r="A2644" s="2" t="s">
        <v>12580</v>
      </c>
      <c r="B2644" s="3" t="str">
        <f>C2644 &amp; " -&gt; " &amp; D2644</f>
        <v>principal-knowledge-authority -&gt; ProcedureExecutions.AbandonedFailureCount</v>
      </c>
      <c r="C2644" s="2" t="s">
        <v>9708</v>
      </c>
      <c r="D2644" s="2" t="s">
        <v>3410</v>
      </c>
      <c r="E2644" s="2" t="b">
        <v>1</v>
      </c>
      <c r="F2644" s="2" t="b">
        <v>0</v>
      </c>
      <c r="G2644" s="2" t="s">
        <v>9937</v>
      </c>
      <c r="H2644" s="3" t="str">
        <f>_xlfn.IFNA(INDEX(RulebookFields!C2:C999, MATCH(D2644,RulebookFields!A2:A999, 0)), "")</f>
        <v>ProcedureExecutions</v>
      </c>
      <c r="I2644" s="3" t="str">
        <f>_xlfn.IFNA(INDEX(RulebookFields!D2:D999, MATCH(D2644,RulebookFields!A2:A999, 0)), "")</f>
        <v>AbandonedFailureCount</v>
      </c>
      <c r="J2644" s="3" t="b">
        <f>_xlfn.IFNA(INDEX(RulebookFields!I2:I999, MATCH(D2644,RulebookFields!A2:A999, 0)), "")</f>
        <v>1</v>
      </c>
      <c r="K2644" s="3" t="b">
        <f>AND(F2644, J2644)</f>
        <v>0</v>
      </c>
      <c r="L2644" s="3" t="b">
        <f>AND(G2644 &lt;&gt; "plain", G2644 &lt;&gt; "")</f>
        <v>0</v>
      </c>
      <c r="M2644" s="3" t="str">
        <f>IF(E2644, C2644 &amp; "|" &amp; H2644, "")</f>
        <v>principal-knowledge-authority|ProcedureExecutions</v>
      </c>
      <c r="N2644" s="2" t="s">
        <v>9938</v>
      </c>
    </row>
    <row r="2645">
      <c r="A2645" s="2" t="s">
        <v>12581</v>
      </c>
      <c r="B2645" s="3" t="str">
        <f>C2645 &amp; " -&gt; " &amp; D2645</f>
        <v>principal-knowledge-authority -&gt; ProcedureExecutions.DeliveredCount</v>
      </c>
      <c r="C2645" s="2" t="s">
        <v>9708</v>
      </c>
      <c r="D2645" s="2" t="s">
        <v>3412</v>
      </c>
      <c r="E2645" s="2" t="b">
        <v>1</v>
      </c>
      <c r="F2645" s="2" t="b">
        <v>0</v>
      </c>
      <c r="G2645" s="2" t="s">
        <v>9937</v>
      </c>
      <c r="H2645" s="3" t="str">
        <f>_xlfn.IFNA(INDEX(RulebookFields!C2:C999, MATCH(D2645,RulebookFields!A2:A999, 0)), "")</f>
        <v>ProcedureExecutions</v>
      </c>
      <c r="I2645" s="3" t="str">
        <f>_xlfn.IFNA(INDEX(RulebookFields!D2:D999, MATCH(D2645,RulebookFields!A2:A999, 0)), "")</f>
        <v>DeliveredCount</v>
      </c>
      <c r="J2645" s="3" t="b">
        <f>_xlfn.IFNA(INDEX(RulebookFields!I2:I999, MATCH(D2645,RulebookFields!A2:A999, 0)), "")</f>
        <v>1</v>
      </c>
      <c r="K2645" s="3" t="b">
        <f>AND(F2645, J2645)</f>
        <v>0</v>
      </c>
      <c r="L2645" s="3" t="b">
        <f>AND(G2645 &lt;&gt; "plain", G2645 &lt;&gt; "")</f>
        <v>0</v>
      </c>
      <c r="M2645" s="3" t="str">
        <f>IF(E2645, C2645 &amp; "|" &amp; H2645, "")</f>
        <v>principal-knowledge-authority|ProcedureExecutions</v>
      </c>
      <c r="N2645" s="2" t="s">
        <v>9938</v>
      </c>
    </row>
    <row r="2646">
      <c r="A2646" s="2" t="s">
        <v>12582</v>
      </c>
      <c r="B2646" s="3" t="str">
        <f>C2646 &amp; " -&gt; " &amp; D2646</f>
        <v>principal-knowledge-authority -&gt; ProcedureExecutions.TotalDeliveryAttemptCount</v>
      </c>
      <c r="C2646" s="2" t="s">
        <v>9708</v>
      </c>
      <c r="D2646" s="2" t="s">
        <v>3414</v>
      </c>
      <c r="E2646" s="2" t="b">
        <v>1</v>
      </c>
      <c r="F2646" s="2" t="b">
        <v>0</v>
      </c>
      <c r="G2646" s="2" t="s">
        <v>9937</v>
      </c>
      <c r="H2646" s="3" t="str">
        <f>_xlfn.IFNA(INDEX(RulebookFields!C2:C999, MATCH(D2646,RulebookFields!A2:A999, 0)), "")</f>
        <v>ProcedureExecutions</v>
      </c>
      <c r="I2646" s="3" t="str">
        <f>_xlfn.IFNA(INDEX(RulebookFields!D2:D999, MATCH(D2646,RulebookFields!A2:A999, 0)), "")</f>
        <v>TotalDeliveryAttemptCount</v>
      </c>
      <c r="J2646" s="3" t="b">
        <f>_xlfn.IFNA(INDEX(RulebookFields!I2:I999, MATCH(D2646,RulebookFields!A2:A999, 0)), "")</f>
        <v>1</v>
      </c>
      <c r="K2646" s="3" t="b">
        <f>AND(F2646, J2646)</f>
        <v>0</v>
      </c>
      <c r="L2646" s="3" t="b">
        <f>AND(G2646 &lt;&gt; "plain", G2646 &lt;&gt; "")</f>
        <v>0</v>
      </c>
      <c r="M2646" s="3" t="str">
        <f>IF(E2646, C2646 &amp; "|" &amp; H2646, "")</f>
        <v>principal-knowledge-authority|ProcedureExecutions</v>
      </c>
      <c r="N2646" s="2" t="s">
        <v>9938</v>
      </c>
    </row>
    <row r="2647">
      <c r="A2647" s="2" t="s">
        <v>12583</v>
      </c>
      <c r="B2647" s="3" t="str">
        <f>C2647 &amp; " -&gt; " &amp; D2647</f>
        <v>principal-knowledge-authority -&gt; ProcedureExecutions.HasAbandonedFailures</v>
      </c>
      <c r="C2647" s="2" t="s">
        <v>9708</v>
      </c>
      <c r="D2647" s="2" t="s">
        <v>3416</v>
      </c>
      <c r="E2647" s="2" t="b">
        <v>1</v>
      </c>
      <c r="F2647" s="2" t="b">
        <v>0</v>
      </c>
      <c r="G2647" s="2" t="s">
        <v>9937</v>
      </c>
      <c r="H2647" s="3" t="str">
        <f>_xlfn.IFNA(INDEX(RulebookFields!C2:C999, MATCH(D2647,RulebookFields!A2:A999, 0)), "")</f>
        <v>ProcedureExecutions</v>
      </c>
      <c r="I2647" s="3" t="str">
        <f>_xlfn.IFNA(INDEX(RulebookFields!D2:D999, MATCH(D2647,RulebookFields!A2:A999, 0)), "")</f>
        <v>HasAbandonedFailures</v>
      </c>
      <c r="J2647" s="3" t="b">
        <f>_xlfn.IFNA(INDEX(RulebookFields!I2:I999, MATCH(D2647,RulebookFields!A2:A999, 0)), "")</f>
        <v>1</v>
      </c>
      <c r="K2647" s="3" t="b">
        <f>AND(F2647, J2647)</f>
        <v>0</v>
      </c>
      <c r="L2647" s="3" t="b">
        <f>AND(G2647 &lt;&gt; "plain", G2647 &lt;&gt; "")</f>
        <v>0</v>
      </c>
      <c r="M2647" s="3" t="str">
        <f>IF(E2647, C2647 &amp; "|" &amp; H2647, "")</f>
        <v>principal-knowledge-authority|ProcedureExecutions</v>
      </c>
      <c r="N2647" s="2" t="s">
        <v>9938</v>
      </c>
    </row>
    <row r="2648">
      <c r="A2648" s="2" t="s">
        <v>12584</v>
      </c>
      <c r="B2648" s="3" t="str">
        <f>C2648 &amp; " -&gt; " &amp; D2648</f>
        <v>principal-knowledge-authority -&gt; ProcedureExecutions.MishandledRefusalCount</v>
      </c>
      <c r="C2648" s="2" t="s">
        <v>9708</v>
      </c>
      <c r="D2648" s="2" t="s">
        <v>3418</v>
      </c>
      <c r="E2648" s="2" t="b">
        <v>1</v>
      </c>
      <c r="F2648" s="2" t="b">
        <v>0</v>
      </c>
      <c r="G2648" s="2" t="s">
        <v>9937</v>
      </c>
      <c r="H2648" s="3" t="str">
        <f>_xlfn.IFNA(INDEX(RulebookFields!C2:C999, MATCH(D2648,RulebookFields!A2:A999, 0)), "")</f>
        <v>ProcedureExecutions</v>
      </c>
      <c r="I2648" s="3" t="str">
        <f>_xlfn.IFNA(INDEX(RulebookFields!D2:D999, MATCH(D2648,RulebookFields!A2:A999, 0)), "")</f>
        <v>MishandledRefusalCount</v>
      </c>
      <c r="J2648" s="3" t="b">
        <f>_xlfn.IFNA(INDEX(RulebookFields!I2:I999, MATCH(D2648,RulebookFields!A2:A999, 0)), "")</f>
        <v>1</v>
      </c>
      <c r="K2648" s="3" t="b">
        <f>AND(F2648, J2648)</f>
        <v>0</v>
      </c>
      <c r="L2648" s="3" t="b">
        <f>AND(G2648 &lt;&gt; "plain", G2648 &lt;&gt; "")</f>
        <v>0</v>
      </c>
      <c r="M2648" s="3" t="str">
        <f>IF(E2648, C2648 &amp; "|" &amp; H2648, "")</f>
        <v>principal-knowledge-authority|ProcedureExecutions</v>
      </c>
      <c r="N2648" s="2" t="s">
        <v>9938</v>
      </c>
    </row>
    <row r="2649">
      <c r="A2649" s="2" t="s">
        <v>12585</v>
      </c>
      <c r="B2649" s="3" t="str">
        <f>C2649 &amp; " -&gt; " &amp; D2649</f>
        <v>principal-knowledge-authority -&gt; ProcedureExecutions.UncleanStepCount</v>
      </c>
      <c r="C2649" s="2" t="s">
        <v>9708</v>
      </c>
      <c r="D2649" s="2" t="s">
        <v>3420</v>
      </c>
      <c r="E2649" s="2" t="b">
        <v>1</v>
      </c>
      <c r="F2649" s="2" t="b">
        <v>0</v>
      </c>
      <c r="G2649" s="2" t="s">
        <v>9937</v>
      </c>
      <c r="H2649" s="3" t="str">
        <f>_xlfn.IFNA(INDEX(RulebookFields!C2:C999, MATCH(D2649,RulebookFields!A2:A999, 0)), "")</f>
        <v>ProcedureExecutions</v>
      </c>
      <c r="I2649" s="3" t="str">
        <f>_xlfn.IFNA(INDEX(RulebookFields!D2:D999, MATCH(D2649,RulebookFields!A2:A999, 0)), "")</f>
        <v>UncleanStepCount</v>
      </c>
      <c r="J2649" s="3" t="b">
        <f>_xlfn.IFNA(INDEX(RulebookFields!I2:I999, MATCH(D2649,RulebookFields!A2:A999, 0)), "")</f>
        <v>1</v>
      </c>
      <c r="K2649" s="3" t="b">
        <f>AND(F2649, J2649)</f>
        <v>0</v>
      </c>
      <c r="L2649" s="3" t="b">
        <f>AND(G2649 &lt;&gt; "plain", G2649 &lt;&gt; "")</f>
        <v>0</v>
      </c>
      <c r="M2649" s="3" t="str">
        <f>IF(E2649, C2649 &amp; "|" &amp; H2649, "")</f>
        <v>principal-knowledge-authority|ProcedureExecutions</v>
      </c>
      <c r="N2649" s="2" t="s">
        <v>9938</v>
      </c>
    </row>
    <row r="2650">
      <c r="A2650" s="2" t="s">
        <v>12586</v>
      </c>
      <c r="B2650" s="3" t="str">
        <f>C2650 &amp; " -&gt; " &amp; D2650</f>
        <v>principal-knowledge-authority -&gt; ProcedureExecutions.RanClean</v>
      </c>
      <c r="C2650" s="2" t="s">
        <v>9708</v>
      </c>
      <c r="D2650" s="2" t="s">
        <v>3422</v>
      </c>
      <c r="E2650" s="2" t="b">
        <v>1</v>
      </c>
      <c r="F2650" s="2" t="b">
        <v>0</v>
      </c>
      <c r="G2650" s="2" t="s">
        <v>9937</v>
      </c>
      <c r="H2650" s="3" t="str">
        <f>_xlfn.IFNA(INDEX(RulebookFields!C2:C999, MATCH(D2650,RulebookFields!A2:A999, 0)), "")</f>
        <v>ProcedureExecutions</v>
      </c>
      <c r="I2650" s="3" t="str">
        <f>_xlfn.IFNA(INDEX(RulebookFields!D2:D999, MATCH(D2650,RulebookFields!A2:A999, 0)), "")</f>
        <v>RanClean</v>
      </c>
      <c r="J2650" s="3" t="b">
        <f>_xlfn.IFNA(INDEX(RulebookFields!I2:I999, MATCH(D2650,RulebookFields!A2:A999, 0)), "")</f>
        <v>1</v>
      </c>
      <c r="K2650" s="3" t="b">
        <f>AND(F2650, J2650)</f>
        <v>0</v>
      </c>
      <c r="L2650" s="3" t="b">
        <f>AND(G2650 &lt;&gt; "plain", G2650 &lt;&gt; "")</f>
        <v>0</v>
      </c>
      <c r="M2650" s="3" t="str">
        <f>IF(E2650, C2650 &amp; "|" &amp; H2650, "")</f>
        <v>principal-knowledge-authority|ProcedureExecutions</v>
      </c>
      <c r="N2650" s="2" t="s">
        <v>9938</v>
      </c>
    </row>
    <row r="2651">
      <c r="A2651" s="2" t="s">
        <v>12587</v>
      </c>
      <c r="B2651" s="3" t="str">
        <f>C2651 &amp; " -&gt; " &amp; D2651</f>
        <v>principal-knowledge-authority -&gt; ProcedureExecutions.CountOfApprovalExecutions</v>
      </c>
      <c r="C2651" s="2" t="s">
        <v>9708</v>
      </c>
      <c r="D2651" s="2" t="s">
        <v>3424</v>
      </c>
      <c r="E2651" s="2" t="b">
        <v>1</v>
      </c>
      <c r="F2651" s="2" t="b">
        <v>0</v>
      </c>
      <c r="G2651" s="2" t="s">
        <v>9937</v>
      </c>
      <c r="H2651" s="3" t="str">
        <f>_xlfn.IFNA(INDEX(RulebookFields!C2:C999, MATCH(D2651,RulebookFields!A2:A999, 0)), "")</f>
        <v>ProcedureExecutions</v>
      </c>
      <c r="I2651" s="3" t="str">
        <f>_xlfn.IFNA(INDEX(RulebookFields!D2:D999, MATCH(D2651,RulebookFields!A2:A999, 0)), "")</f>
        <v>CountOfApprovalExecutions</v>
      </c>
      <c r="J2651" s="3" t="b">
        <f>_xlfn.IFNA(INDEX(RulebookFields!I2:I999, MATCH(D2651,RulebookFields!A2:A999, 0)), "")</f>
        <v>1</v>
      </c>
      <c r="K2651" s="3" t="b">
        <f>AND(F2651, J2651)</f>
        <v>0</v>
      </c>
      <c r="L2651" s="3" t="b">
        <f>AND(G2651 &lt;&gt; "plain", G2651 &lt;&gt; "")</f>
        <v>0</v>
      </c>
      <c r="M2651" s="3" t="str">
        <f>IF(E2651, C2651 &amp; "|" &amp; H2651, "")</f>
        <v>principal-knowledge-authority|ProcedureExecutions</v>
      </c>
      <c r="N2651" s="2" t="s">
        <v>9938</v>
      </c>
    </row>
    <row r="2652">
      <c r="A2652" s="2" t="s">
        <v>12588</v>
      </c>
      <c r="B2652" s="3" t="str">
        <f>C2652 &amp; " -&gt; " &amp; D2652</f>
        <v>principal-knowledge-authority -&gt; ProcedureExecutions.HasHumanApproval</v>
      </c>
      <c r="C2652" s="2" t="s">
        <v>9708</v>
      </c>
      <c r="D2652" s="2" t="s">
        <v>3426</v>
      </c>
      <c r="E2652" s="2" t="b">
        <v>1</v>
      </c>
      <c r="F2652" s="2" t="b">
        <v>0</v>
      </c>
      <c r="G2652" s="2" t="s">
        <v>9937</v>
      </c>
      <c r="H2652" s="3" t="str">
        <f>_xlfn.IFNA(INDEX(RulebookFields!C2:C999, MATCH(D2652,RulebookFields!A2:A999, 0)), "")</f>
        <v>ProcedureExecutions</v>
      </c>
      <c r="I2652" s="3" t="str">
        <f>_xlfn.IFNA(INDEX(RulebookFields!D2:D999, MATCH(D2652,RulebookFields!A2:A999, 0)), "")</f>
        <v>HasHumanApproval</v>
      </c>
      <c r="J2652" s="3" t="b">
        <f>_xlfn.IFNA(INDEX(RulebookFields!I2:I999, MATCH(D2652,RulebookFields!A2:A999, 0)), "")</f>
        <v>1</v>
      </c>
      <c r="K2652" s="3" t="b">
        <f>AND(F2652, J2652)</f>
        <v>0</v>
      </c>
      <c r="L2652" s="3" t="b">
        <f>AND(G2652 &lt;&gt; "plain", G2652 &lt;&gt; "")</f>
        <v>0</v>
      </c>
      <c r="M2652" s="3" t="str">
        <f>IF(E2652, C2652 &amp; "|" &amp; H2652, "")</f>
        <v>principal-knowledge-authority|ProcedureExecutions</v>
      </c>
      <c r="N2652" s="2" t="s">
        <v>9938</v>
      </c>
    </row>
    <row r="2653">
      <c r="A2653" s="2" t="s">
        <v>12589</v>
      </c>
      <c r="B2653" s="3" t="str">
        <f>C2653 &amp; " -&gt; " &amp; D2653</f>
        <v>principal-knowledge-authority -&gt; ProcedureExecutions.CountOfDeliveryExecutions</v>
      </c>
      <c r="C2653" s="2" t="s">
        <v>9708</v>
      </c>
      <c r="D2653" s="2" t="s">
        <v>3428</v>
      </c>
      <c r="E2653" s="2" t="b">
        <v>1</v>
      </c>
      <c r="F2653" s="2" t="b">
        <v>0</v>
      </c>
      <c r="G2653" s="2" t="s">
        <v>9937</v>
      </c>
      <c r="H2653" s="3" t="str">
        <f>_xlfn.IFNA(INDEX(RulebookFields!C2:C999, MATCH(D2653,RulebookFields!A2:A999, 0)), "")</f>
        <v>ProcedureExecutions</v>
      </c>
      <c r="I2653" s="3" t="str">
        <f>_xlfn.IFNA(INDEX(RulebookFields!D2:D999, MATCH(D2653,RulebookFields!A2:A999, 0)), "")</f>
        <v>CountOfDeliveryExecutions</v>
      </c>
      <c r="J2653" s="3" t="b">
        <f>_xlfn.IFNA(INDEX(RulebookFields!I2:I999, MATCH(D2653,RulebookFields!A2:A999, 0)), "")</f>
        <v>1</v>
      </c>
      <c r="K2653" s="3" t="b">
        <f>AND(F2653, J2653)</f>
        <v>0</v>
      </c>
      <c r="L2653" s="3" t="b">
        <f>AND(G2653 &lt;&gt; "plain", G2653 &lt;&gt; "")</f>
        <v>0</v>
      </c>
      <c r="M2653" s="3" t="str">
        <f>IF(E2653, C2653 &amp; "|" &amp; H2653, "")</f>
        <v>principal-knowledge-authority|ProcedureExecutions</v>
      </c>
      <c r="N2653" s="2" t="s">
        <v>9938</v>
      </c>
    </row>
    <row r="2654">
      <c r="A2654" s="2" t="s">
        <v>12590</v>
      </c>
      <c r="B2654" s="3" t="str">
        <f>C2654 &amp; " -&gt; " &amp; D2654</f>
        <v>principal-knowledge-authority -&gt; ProcedureExecutions.HasDelivered</v>
      </c>
      <c r="C2654" s="2" t="s">
        <v>9708</v>
      </c>
      <c r="D2654" s="2" t="s">
        <v>3430</v>
      </c>
      <c r="E2654" s="2" t="b">
        <v>1</v>
      </c>
      <c r="F2654" s="2" t="b">
        <v>0</v>
      </c>
      <c r="G2654" s="2" t="s">
        <v>9937</v>
      </c>
      <c r="H2654" s="3" t="str">
        <f>_xlfn.IFNA(INDEX(RulebookFields!C2:C999, MATCH(D2654,RulebookFields!A2:A999, 0)), "")</f>
        <v>ProcedureExecutions</v>
      </c>
      <c r="I2654" s="3" t="str">
        <f>_xlfn.IFNA(INDEX(RulebookFields!D2:D999, MATCH(D2654,RulebookFields!A2:A999, 0)), "")</f>
        <v>HasDelivered</v>
      </c>
      <c r="J2654" s="3" t="b">
        <f>_xlfn.IFNA(INDEX(RulebookFields!I2:I999, MATCH(D2654,RulebookFields!A2:A999, 0)), "")</f>
        <v>1</v>
      </c>
      <c r="K2654" s="3" t="b">
        <f>AND(F2654, J2654)</f>
        <v>0</v>
      </c>
      <c r="L2654" s="3" t="b">
        <f>AND(G2654 &lt;&gt; "plain", G2654 &lt;&gt; "")</f>
        <v>0</v>
      </c>
      <c r="M2654" s="3" t="str">
        <f>IF(E2654, C2654 &amp; "|" &amp; H2654, "")</f>
        <v>principal-knowledge-authority|ProcedureExecutions</v>
      </c>
      <c r="N2654" s="2" t="s">
        <v>9938</v>
      </c>
    </row>
    <row r="2655">
      <c r="A2655" s="2" t="s">
        <v>12591</v>
      </c>
      <c r="B2655" s="3" t="str">
        <f>C2655 &amp; " -&gt; " &amp; D2655</f>
        <v>principal-knowledge-authority -&gt; ProcedureExecutions.DeliveredWithoutApproval</v>
      </c>
      <c r="C2655" s="2" t="s">
        <v>9708</v>
      </c>
      <c r="D2655" s="2" t="s">
        <v>3432</v>
      </c>
      <c r="E2655" s="2" t="b">
        <v>1</v>
      </c>
      <c r="F2655" s="2" t="b">
        <v>0</v>
      </c>
      <c r="G2655" s="2" t="s">
        <v>9937</v>
      </c>
      <c r="H2655" s="3" t="str">
        <f>_xlfn.IFNA(INDEX(RulebookFields!C2:C999, MATCH(D2655,RulebookFields!A2:A999, 0)), "")</f>
        <v>ProcedureExecutions</v>
      </c>
      <c r="I2655" s="3" t="str">
        <f>_xlfn.IFNA(INDEX(RulebookFields!D2:D999, MATCH(D2655,RulebookFields!A2:A999, 0)), "")</f>
        <v>DeliveredWithoutApproval</v>
      </c>
      <c r="J2655" s="3" t="b">
        <f>_xlfn.IFNA(INDEX(RulebookFields!I2:I999, MATCH(D2655,RulebookFields!A2:A999, 0)), "")</f>
        <v>1</v>
      </c>
      <c r="K2655" s="3" t="b">
        <f>AND(F2655, J2655)</f>
        <v>0</v>
      </c>
      <c r="L2655" s="3" t="b">
        <f>AND(G2655 &lt;&gt; "plain", G2655 &lt;&gt; "")</f>
        <v>0</v>
      </c>
      <c r="M2655" s="3" t="str">
        <f>IF(E2655, C2655 &amp; "|" &amp; H2655, "")</f>
        <v>principal-knowledge-authority|ProcedureExecutions</v>
      </c>
      <c r="N2655" s="2" t="s">
        <v>9938</v>
      </c>
    </row>
    <row r="2656">
      <c r="A2656" s="2" t="s">
        <v>12592</v>
      </c>
      <c r="B2656" s="3" t="str">
        <f>C2656 &amp; " -&gt; " &amp; D2656</f>
        <v>principal-knowledge-authority -&gt; ProcedureExecutions.InvalidApprovalCount</v>
      </c>
      <c r="C2656" s="2" t="s">
        <v>9708</v>
      </c>
      <c r="D2656" s="2" t="s">
        <v>3434</v>
      </c>
      <c r="E2656" s="2" t="b">
        <v>1</v>
      </c>
      <c r="F2656" s="2" t="b">
        <v>0</v>
      </c>
      <c r="G2656" s="2" t="s">
        <v>9937</v>
      </c>
      <c r="H2656" s="3" t="str">
        <f>_xlfn.IFNA(INDEX(RulebookFields!C2:C999, MATCH(D2656,RulebookFields!A2:A999, 0)), "")</f>
        <v>ProcedureExecutions</v>
      </c>
      <c r="I2656" s="3" t="str">
        <f>_xlfn.IFNA(INDEX(RulebookFields!D2:D999, MATCH(D2656,RulebookFields!A2:A999, 0)), "")</f>
        <v>InvalidApprovalCount</v>
      </c>
      <c r="J2656" s="3" t="b">
        <f>_xlfn.IFNA(INDEX(RulebookFields!I2:I999, MATCH(D2656,RulebookFields!A2:A999, 0)), "")</f>
        <v>1</v>
      </c>
      <c r="K2656" s="3" t="b">
        <f>AND(F2656, J2656)</f>
        <v>0</v>
      </c>
      <c r="L2656" s="3" t="b">
        <f>AND(G2656 &lt;&gt; "plain", G2656 &lt;&gt; "")</f>
        <v>0</v>
      </c>
      <c r="M2656" s="3" t="str">
        <f>IF(E2656, C2656 &amp; "|" &amp; H2656, "")</f>
        <v>principal-knowledge-authority|ProcedureExecutions</v>
      </c>
      <c r="N2656" s="2" t="s">
        <v>9938</v>
      </c>
    </row>
    <row r="2657">
      <c r="A2657" s="2" t="s">
        <v>12593</v>
      </c>
      <c r="B2657" s="3" t="str">
        <f>C2657 &amp; " -&gt; " &amp; D2657</f>
        <v>principal-knowledge-authority -&gt; ProcedureExecutions.ApprovalChainIsComplete</v>
      </c>
      <c r="C2657" s="2" t="s">
        <v>9708</v>
      </c>
      <c r="D2657" s="2" t="s">
        <v>3436</v>
      </c>
      <c r="E2657" s="2" t="b">
        <v>1</v>
      </c>
      <c r="F2657" s="2" t="b">
        <v>0</v>
      </c>
      <c r="G2657" s="2" t="s">
        <v>9937</v>
      </c>
      <c r="H2657" s="3" t="str">
        <f>_xlfn.IFNA(INDEX(RulebookFields!C2:C999, MATCH(D2657,RulebookFields!A2:A999, 0)), "")</f>
        <v>ProcedureExecutions</v>
      </c>
      <c r="I2657" s="3" t="str">
        <f>_xlfn.IFNA(INDEX(RulebookFields!D2:D999, MATCH(D2657,RulebookFields!A2:A999, 0)), "")</f>
        <v>ApprovalChainIsComplete</v>
      </c>
      <c r="J2657" s="3" t="b">
        <f>_xlfn.IFNA(INDEX(RulebookFields!I2:I999, MATCH(D2657,RulebookFields!A2:A999, 0)), "")</f>
        <v>1</v>
      </c>
      <c r="K2657" s="3" t="b">
        <f>AND(F2657, J2657)</f>
        <v>0</v>
      </c>
      <c r="L2657" s="3" t="b">
        <f>AND(G2657 &lt;&gt; "plain", G2657 &lt;&gt; "")</f>
        <v>0</v>
      </c>
      <c r="M2657" s="3" t="str">
        <f>IF(E2657, C2657 &amp; "|" &amp; H2657, "")</f>
        <v>principal-knowledge-authority|ProcedureExecutions</v>
      </c>
      <c r="N2657" s="2" t="s">
        <v>9938</v>
      </c>
    </row>
    <row r="2658">
      <c r="A2658" s="2" t="s">
        <v>12594</v>
      </c>
      <c r="B2658" s="3" t="str">
        <f>C2658 &amp; " -&gt; " &amp; D2658</f>
        <v>principal-knowledge-authority -&gt; ProcedureExecutions.VacuouslyCleanStepCount</v>
      </c>
      <c r="C2658" s="2" t="s">
        <v>9708</v>
      </c>
      <c r="D2658" s="2" t="s">
        <v>3438</v>
      </c>
      <c r="E2658" s="2" t="b">
        <v>1</v>
      </c>
      <c r="F2658" s="2" t="b">
        <v>0</v>
      </c>
      <c r="G2658" s="2" t="s">
        <v>9937</v>
      </c>
      <c r="H2658" s="3" t="str">
        <f>_xlfn.IFNA(INDEX(RulebookFields!C2:C999, MATCH(D2658,RulebookFields!A2:A999, 0)), "")</f>
        <v>ProcedureExecutions</v>
      </c>
      <c r="I2658" s="3" t="str">
        <f>_xlfn.IFNA(INDEX(RulebookFields!D2:D999, MATCH(D2658,RulebookFields!A2:A999, 0)), "")</f>
        <v>VacuouslyCleanStepCount</v>
      </c>
      <c r="J2658" s="3" t="b">
        <f>_xlfn.IFNA(INDEX(RulebookFields!I2:I999, MATCH(D2658,RulebookFields!A2:A999, 0)), "")</f>
        <v>1</v>
      </c>
      <c r="K2658" s="3" t="b">
        <f>AND(F2658, J2658)</f>
        <v>0</v>
      </c>
      <c r="L2658" s="3" t="b">
        <f>AND(G2658 &lt;&gt; "plain", G2658 &lt;&gt; "")</f>
        <v>0</v>
      </c>
      <c r="M2658" s="3" t="str">
        <f>IF(E2658, C2658 &amp; "|" &amp; H2658, "")</f>
        <v>principal-knowledge-authority|ProcedureExecutions</v>
      </c>
      <c r="N2658" s="2" t="s">
        <v>9938</v>
      </c>
    </row>
    <row r="2659">
      <c r="A2659" s="2" t="s">
        <v>12595</v>
      </c>
      <c r="B2659" s="3" t="str">
        <f>C2659 &amp; " -&gt; " &amp; D2659</f>
        <v>principal-knowledge-authority -&gt; ProcedureExecutions.PreparationStepCount</v>
      </c>
      <c r="C2659" s="2" t="s">
        <v>9708</v>
      </c>
      <c r="D2659" s="2" t="s">
        <v>3440</v>
      </c>
      <c r="E2659" s="2" t="b">
        <v>1</v>
      </c>
      <c r="F2659" s="2" t="b">
        <v>0</v>
      </c>
      <c r="G2659" s="2" t="s">
        <v>9937</v>
      </c>
      <c r="H2659" s="3" t="str">
        <f>_xlfn.IFNA(INDEX(RulebookFields!C2:C999, MATCH(D2659,RulebookFields!A2:A999, 0)), "")</f>
        <v>ProcedureExecutions</v>
      </c>
      <c r="I2659" s="3" t="str">
        <f>_xlfn.IFNA(INDEX(RulebookFields!D2:D999, MATCH(D2659,RulebookFields!A2:A999, 0)), "")</f>
        <v>PreparationStepCount</v>
      </c>
      <c r="J2659" s="3" t="b">
        <f>_xlfn.IFNA(INDEX(RulebookFields!I2:I999, MATCH(D2659,RulebookFields!A2:A999, 0)), "")</f>
        <v>1</v>
      </c>
      <c r="K2659" s="3" t="b">
        <f>AND(F2659, J2659)</f>
        <v>0</v>
      </c>
      <c r="L2659" s="3" t="b">
        <f>AND(G2659 &lt;&gt; "plain", G2659 &lt;&gt; "")</f>
        <v>0</v>
      </c>
      <c r="M2659" s="3" t="str">
        <f>IF(E2659, C2659 &amp; "|" &amp; H2659, "")</f>
        <v>principal-knowledge-authority|ProcedureExecutions</v>
      </c>
      <c r="N2659" s="2" t="s">
        <v>9938</v>
      </c>
    </row>
    <row r="2660">
      <c r="A2660" s="2" t="s">
        <v>12596</v>
      </c>
      <c r="B2660" s="3" t="str">
        <f>C2660 &amp; " -&gt; " &amp; D2660</f>
        <v>principal-knowledge-authority -&gt; ProcedureExecutions.ApprovalStepCount</v>
      </c>
      <c r="C2660" s="2" t="s">
        <v>9708</v>
      </c>
      <c r="D2660" s="2" t="s">
        <v>3442</v>
      </c>
      <c r="E2660" s="2" t="b">
        <v>1</v>
      </c>
      <c r="F2660" s="2" t="b">
        <v>0</v>
      </c>
      <c r="G2660" s="2" t="s">
        <v>9937</v>
      </c>
      <c r="H2660" s="3" t="str">
        <f>_xlfn.IFNA(INDEX(RulebookFields!C2:C999, MATCH(D2660,RulebookFields!A2:A999, 0)), "")</f>
        <v>ProcedureExecutions</v>
      </c>
      <c r="I2660" s="3" t="str">
        <f>_xlfn.IFNA(INDEX(RulebookFields!D2:D999, MATCH(D2660,RulebookFields!A2:A999, 0)), "")</f>
        <v>ApprovalStepCount</v>
      </c>
      <c r="J2660" s="3" t="b">
        <f>_xlfn.IFNA(INDEX(RulebookFields!I2:I999, MATCH(D2660,RulebookFields!A2:A999, 0)), "")</f>
        <v>1</v>
      </c>
      <c r="K2660" s="3" t="b">
        <f>AND(F2660, J2660)</f>
        <v>0</v>
      </c>
      <c r="L2660" s="3" t="b">
        <f>AND(G2660 &lt;&gt; "plain", G2660 &lt;&gt; "")</f>
        <v>0</v>
      </c>
      <c r="M2660" s="3" t="str">
        <f>IF(E2660, C2660 &amp; "|" &amp; H2660, "")</f>
        <v>principal-knowledge-authority|ProcedureExecutions</v>
      </c>
      <c r="N2660" s="2" t="s">
        <v>9938</v>
      </c>
    </row>
    <row r="2661">
      <c r="A2661" s="2" t="s">
        <v>12597</v>
      </c>
      <c r="B2661" s="3" t="str">
        <f>C2661 &amp; " -&gt; " &amp; D2661</f>
        <v>principal-knowledge-authority -&gt; ProcedureExecutions.SeparationWasTestable</v>
      </c>
      <c r="C2661" s="2" t="s">
        <v>9708</v>
      </c>
      <c r="D2661" s="2" t="s">
        <v>3444</v>
      </c>
      <c r="E2661" s="2" t="b">
        <v>1</v>
      </c>
      <c r="F2661" s="2" t="b">
        <v>0</v>
      </c>
      <c r="G2661" s="2" t="s">
        <v>9937</v>
      </c>
      <c r="H2661" s="3" t="str">
        <f>_xlfn.IFNA(INDEX(RulebookFields!C2:C999, MATCH(D2661,RulebookFields!A2:A999, 0)), "")</f>
        <v>ProcedureExecutions</v>
      </c>
      <c r="I2661" s="3" t="str">
        <f>_xlfn.IFNA(INDEX(RulebookFields!D2:D999, MATCH(D2661,RulebookFields!A2:A999, 0)), "")</f>
        <v>SeparationWasTestable</v>
      </c>
      <c r="J2661" s="3" t="b">
        <f>_xlfn.IFNA(INDEX(RulebookFields!I2:I999, MATCH(D2661,RulebookFields!A2:A999, 0)), "")</f>
        <v>1</v>
      </c>
      <c r="K2661" s="3" t="b">
        <f>AND(F2661, J2661)</f>
        <v>0</v>
      </c>
      <c r="L2661" s="3" t="b">
        <f>AND(G2661 &lt;&gt; "plain", G2661 &lt;&gt; "")</f>
        <v>0</v>
      </c>
      <c r="M2661" s="3" t="str">
        <f>IF(E2661, C2661 &amp; "|" &amp; H2661, "")</f>
        <v>principal-knowledge-authority|ProcedureExecutions</v>
      </c>
      <c r="N2661" s="2" t="s">
        <v>9938</v>
      </c>
    </row>
    <row r="2662">
      <c r="A2662" s="2" t="s">
        <v>12598</v>
      </c>
      <c r="B2662" s="3" t="str">
        <f>C2662 &amp; " -&gt; " &amp; D2662</f>
        <v>principal-knowledge-authority -&gt; ProcedureExecutions.SeparationHeldUnderTest</v>
      </c>
      <c r="C2662" s="2" t="s">
        <v>9708</v>
      </c>
      <c r="D2662" s="2" t="s">
        <v>3446</v>
      </c>
      <c r="E2662" s="2" t="b">
        <v>1</v>
      </c>
      <c r="F2662" s="2" t="b">
        <v>0</v>
      </c>
      <c r="G2662" s="2" t="s">
        <v>9937</v>
      </c>
      <c r="H2662" s="3" t="str">
        <f>_xlfn.IFNA(INDEX(RulebookFields!C2:C999, MATCH(D2662,RulebookFields!A2:A999, 0)), "")</f>
        <v>ProcedureExecutions</v>
      </c>
      <c r="I2662" s="3" t="str">
        <f>_xlfn.IFNA(INDEX(RulebookFields!D2:D999, MATCH(D2662,RulebookFields!A2:A999, 0)), "")</f>
        <v>SeparationHeldUnderTest</v>
      </c>
      <c r="J2662" s="3" t="b">
        <f>_xlfn.IFNA(INDEX(RulebookFields!I2:I999, MATCH(D2662,RulebookFields!A2:A999, 0)), "")</f>
        <v>1</v>
      </c>
      <c r="K2662" s="3" t="b">
        <f>AND(F2662, J2662)</f>
        <v>0</v>
      </c>
      <c r="L2662" s="3" t="b">
        <f>AND(G2662 &lt;&gt; "plain", G2662 &lt;&gt; "")</f>
        <v>0</v>
      </c>
      <c r="M2662" s="3" t="str">
        <f>IF(E2662, C2662 &amp; "|" &amp; H2662, "")</f>
        <v>principal-knowledge-authority|ProcedureExecutions</v>
      </c>
      <c r="N2662" s="2" t="s">
        <v>9938</v>
      </c>
    </row>
    <row r="2663">
      <c r="A2663" s="2" t="s">
        <v>12599</v>
      </c>
      <c r="B2663" s="3" t="str">
        <f>C2663 &amp; " -&gt; " &amp; D2663</f>
        <v>principal-knowledge-authority -&gt; ProcedureExecutions.SeparationIsVacuouslyGreen</v>
      </c>
      <c r="C2663" s="2" t="s">
        <v>9708</v>
      </c>
      <c r="D2663" s="2" t="s">
        <v>3448</v>
      </c>
      <c r="E2663" s="2" t="b">
        <v>1</v>
      </c>
      <c r="F2663" s="2" t="b">
        <v>0</v>
      </c>
      <c r="G2663" s="2" t="s">
        <v>9937</v>
      </c>
      <c r="H2663" s="3" t="str">
        <f>_xlfn.IFNA(INDEX(RulebookFields!C2:C999, MATCH(D2663,RulebookFields!A2:A999, 0)), "")</f>
        <v>ProcedureExecutions</v>
      </c>
      <c r="I2663" s="3" t="str">
        <f>_xlfn.IFNA(INDEX(RulebookFields!D2:D999, MATCH(D2663,RulebookFields!A2:A999, 0)), "")</f>
        <v>SeparationIsVacuouslyGreen</v>
      </c>
      <c r="J2663" s="3" t="b">
        <f>_xlfn.IFNA(INDEX(RulebookFields!I2:I999, MATCH(D2663,RulebookFields!A2:A999, 0)), "")</f>
        <v>1</v>
      </c>
      <c r="K2663" s="3" t="b">
        <f>AND(F2663, J2663)</f>
        <v>0</v>
      </c>
      <c r="L2663" s="3" t="b">
        <f>AND(G2663 &lt;&gt; "plain", G2663 &lt;&gt; "")</f>
        <v>0</v>
      </c>
      <c r="M2663" s="3" t="str">
        <f>IF(E2663, C2663 &amp; "|" &amp; H2663, "")</f>
        <v>principal-knowledge-authority|ProcedureExecutions</v>
      </c>
      <c r="N2663" s="2" t="s">
        <v>9938</v>
      </c>
    </row>
    <row r="2664">
      <c r="A2664" s="2" t="s">
        <v>12600</v>
      </c>
      <c r="B2664" s="3" t="str">
        <f>C2664 &amp; " -&gt; " &amp; D2664</f>
        <v>principal-knowledge-authority -&gt; ProcedureExecutions.SeparationAssuranceNote</v>
      </c>
      <c r="C2664" s="2" t="s">
        <v>9708</v>
      </c>
      <c r="D2664" s="2" t="s">
        <v>3450</v>
      </c>
      <c r="E2664" s="2" t="b">
        <v>1</v>
      </c>
      <c r="F2664" s="2" t="b">
        <v>0</v>
      </c>
      <c r="G2664" s="2" t="s">
        <v>9937</v>
      </c>
      <c r="H2664" s="3" t="str">
        <f>_xlfn.IFNA(INDEX(RulebookFields!C2:C999, MATCH(D2664,RulebookFields!A2:A999, 0)), "")</f>
        <v>ProcedureExecutions</v>
      </c>
      <c r="I2664" s="3" t="str">
        <f>_xlfn.IFNA(INDEX(RulebookFields!D2:D999, MATCH(D2664,RulebookFields!A2:A999, 0)), "")</f>
        <v>SeparationAssuranceNote</v>
      </c>
      <c r="J2664" s="3" t="b">
        <f>_xlfn.IFNA(INDEX(RulebookFields!I2:I999, MATCH(D2664,RulebookFields!A2:A999, 0)), "")</f>
        <v>1</v>
      </c>
      <c r="K2664" s="3" t="b">
        <f>AND(F2664, J2664)</f>
        <v>0</v>
      </c>
      <c r="L2664" s="3" t="b">
        <f>AND(G2664 &lt;&gt; "plain", G2664 &lt;&gt; "")</f>
        <v>0</v>
      </c>
      <c r="M2664" s="3" t="str">
        <f>IF(E2664, C2664 &amp; "|" &amp; H2664, "")</f>
        <v>principal-knowledge-authority|ProcedureExecutions</v>
      </c>
      <c r="N2664" s="2" t="s">
        <v>9938</v>
      </c>
    </row>
    <row r="2665">
      <c r="A2665" s="2" t="s">
        <v>12601</v>
      </c>
      <c r="B2665" s="3" t="str">
        <f>C2665 &amp; " -&gt; " &amp; D2665</f>
        <v>principal-knowledge-authority -&gt; ProcedureExecutions.UngovernedDivergenceCount</v>
      </c>
      <c r="C2665" s="2" t="s">
        <v>9708</v>
      </c>
      <c r="D2665" s="2" t="s">
        <v>3452</v>
      </c>
      <c r="E2665" s="2" t="b">
        <v>1</v>
      </c>
      <c r="F2665" s="2" t="b">
        <v>0</v>
      </c>
      <c r="G2665" s="2" t="s">
        <v>9937</v>
      </c>
      <c r="H2665" s="3" t="str">
        <f>_xlfn.IFNA(INDEX(RulebookFields!C2:C999, MATCH(D2665,RulebookFields!A2:A999, 0)), "")</f>
        <v>ProcedureExecutions</v>
      </c>
      <c r="I2665" s="3" t="str">
        <f>_xlfn.IFNA(INDEX(RulebookFields!D2:D999, MATCH(D2665,RulebookFields!A2:A999, 0)), "")</f>
        <v>UngovernedDivergenceCount</v>
      </c>
      <c r="J2665" s="3" t="b">
        <f>_xlfn.IFNA(INDEX(RulebookFields!I2:I999, MATCH(D2665,RulebookFields!A2:A999, 0)), "")</f>
        <v>1</v>
      </c>
      <c r="K2665" s="3" t="b">
        <f>AND(F2665, J2665)</f>
        <v>0</v>
      </c>
      <c r="L2665" s="3" t="b">
        <f>AND(G2665 &lt;&gt; "plain", G2665 &lt;&gt; "")</f>
        <v>0</v>
      </c>
      <c r="M2665" s="3" t="str">
        <f>IF(E2665, C2665 &amp; "|" &amp; H2665, "")</f>
        <v>principal-knowledge-authority|ProcedureExecutions</v>
      </c>
      <c r="N2665" s="2" t="s">
        <v>9938</v>
      </c>
    </row>
    <row r="2666">
      <c r="A2666" s="2" t="s">
        <v>12602</v>
      </c>
      <c r="B2666" s="3" t="str">
        <f>C2666 &amp; " -&gt; " &amp; D2666</f>
        <v>principal-knowledge-authority -&gt; ProcedureExecutions.DivergenceWasFullyGoverned</v>
      </c>
      <c r="C2666" s="2" t="s">
        <v>9708</v>
      </c>
      <c r="D2666" s="2" t="s">
        <v>3454</v>
      </c>
      <c r="E2666" s="2" t="b">
        <v>1</v>
      </c>
      <c r="F2666" s="2" t="b">
        <v>0</v>
      </c>
      <c r="G2666" s="2" t="s">
        <v>9937</v>
      </c>
      <c r="H2666" s="3" t="str">
        <f>_xlfn.IFNA(INDEX(RulebookFields!C2:C999, MATCH(D2666,RulebookFields!A2:A999, 0)), "")</f>
        <v>ProcedureExecutions</v>
      </c>
      <c r="I2666" s="3" t="str">
        <f>_xlfn.IFNA(INDEX(RulebookFields!D2:D999, MATCH(D2666,RulebookFields!A2:A999, 0)), "")</f>
        <v>DivergenceWasFullyGoverned</v>
      </c>
      <c r="J2666" s="3" t="b">
        <f>_xlfn.IFNA(INDEX(RulebookFields!I2:I999, MATCH(D2666,RulebookFields!A2:A999, 0)), "")</f>
        <v>1</v>
      </c>
      <c r="K2666" s="3" t="b">
        <f>AND(F2666, J2666)</f>
        <v>0</v>
      </c>
      <c r="L2666" s="3" t="b">
        <f>AND(G2666 &lt;&gt; "plain", G2666 &lt;&gt; "")</f>
        <v>0</v>
      </c>
      <c r="M2666" s="3" t="str">
        <f>IF(E2666, C2666 &amp; "|" &amp; H2666, "")</f>
        <v>principal-knowledge-authority|ProcedureExecutions</v>
      </c>
      <c r="N2666" s="2" t="s">
        <v>9938</v>
      </c>
    </row>
    <row r="2667">
      <c r="A2667" s="2" t="s">
        <v>12603</v>
      </c>
      <c r="B2667" s="3" t="str">
        <f>C2667 &amp; " -&gt; " &amp; D2667</f>
        <v>principal-knowledge-authority -&gt; ProcedureExecutions.ComputedlyWitnessedControlCount</v>
      </c>
      <c r="C2667" s="2" t="s">
        <v>9708</v>
      </c>
      <c r="D2667" s="2" t="s">
        <v>3456</v>
      </c>
      <c r="E2667" s="2" t="b">
        <v>1</v>
      </c>
      <c r="F2667" s="2" t="b">
        <v>0</v>
      </c>
      <c r="G2667" s="2" t="s">
        <v>9937</v>
      </c>
      <c r="H2667" s="3" t="str">
        <f>_xlfn.IFNA(INDEX(RulebookFields!C2:C999, MATCH(D2667,RulebookFields!A2:A999, 0)), "")</f>
        <v>ProcedureExecutions</v>
      </c>
      <c r="I2667" s="3" t="str">
        <f>_xlfn.IFNA(INDEX(RulebookFields!D2:D999, MATCH(D2667,RulebookFields!A2:A999, 0)), "")</f>
        <v>ComputedlyWitnessedControlCount</v>
      </c>
      <c r="J2667" s="3" t="b">
        <f>_xlfn.IFNA(INDEX(RulebookFields!I2:I999, MATCH(D2667,RulebookFields!A2:A999, 0)), "")</f>
        <v>1</v>
      </c>
      <c r="K2667" s="3" t="b">
        <f>AND(F2667, J2667)</f>
        <v>0</v>
      </c>
      <c r="L2667" s="3" t="b">
        <f>AND(G2667 &lt;&gt; "plain", G2667 &lt;&gt; "")</f>
        <v>0</v>
      </c>
      <c r="M2667" s="3" t="str">
        <f>IF(E2667, C2667 &amp; "|" &amp; H2667, "")</f>
        <v>principal-knowledge-authority|ProcedureExecutions</v>
      </c>
      <c r="N2667" s="2" t="s">
        <v>9938</v>
      </c>
    </row>
    <row r="2668">
      <c r="A2668" s="2" t="s">
        <v>12604</v>
      </c>
      <c r="B2668" s="3" t="str">
        <f>C2668 &amp; " -&gt; " &amp; D2668</f>
        <v>principal-knowledge-authority -&gt; ProcedureExecutions.EvaluatedControlCount</v>
      </c>
      <c r="C2668" s="2" t="s">
        <v>9708</v>
      </c>
      <c r="D2668" s="2" t="s">
        <v>3458</v>
      </c>
      <c r="E2668" s="2" t="b">
        <v>1</v>
      </c>
      <c r="F2668" s="2" t="b">
        <v>0</v>
      </c>
      <c r="G2668" s="2" t="s">
        <v>9937</v>
      </c>
      <c r="H2668" s="3" t="str">
        <f>_xlfn.IFNA(INDEX(RulebookFields!C2:C999, MATCH(D2668,RulebookFields!A2:A999, 0)), "")</f>
        <v>ProcedureExecutions</v>
      </c>
      <c r="I2668" s="3" t="str">
        <f>_xlfn.IFNA(INDEX(RulebookFields!D2:D999, MATCH(D2668,RulebookFields!A2:A999, 0)), "")</f>
        <v>EvaluatedControlCount</v>
      </c>
      <c r="J2668" s="3" t="b">
        <f>_xlfn.IFNA(INDEX(RulebookFields!I2:I999, MATCH(D2668,RulebookFields!A2:A999, 0)), "")</f>
        <v>1</v>
      </c>
      <c r="K2668" s="3" t="b">
        <f>AND(F2668, J2668)</f>
        <v>0</v>
      </c>
      <c r="L2668" s="3" t="b">
        <f>AND(G2668 &lt;&gt; "plain", G2668 &lt;&gt; "")</f>
        <v>0</v>
      </c>
      <c r="M2668" s="3" t="str">
        <f>IF(E2668, C2668 &amp; "|" &amp; H2668, "")</f>
        <v>principal-knowledge-authority|ProcedureExecutions</v>
      </c>
      <c r="N2668" s="2" t="s">
        <v>9938</v>
      </c>
    </row>
    <row r="2669">
      <c r="A2669" s="2" t="s">
        <v>12605</v>
      </c>
      <c r="B2669" s="3" t="str">
        <f>C2669 &amp; " -&gt; " &amp; D2669</f>
        <v>principal-knowledge-authority -&gt; ProcedureExecutions.ComputedAssuranceRatio</v>
      </c>
      <c r="C2669" s="2" t="s">
        <v>9708</v>
      </c>
      <c r="D2669" s="2" t="s">
        <v>3460</v>
      </c>
      <c r="E2669" s="2" t="b">
        <v>1</v>
      </c>
      <c r="F2669" s="2" t="b">
        <v>0</v>
      </c>
      <c r="G2669" s="2" t="s">
        <v>9937</v>
      </c>
      <c r="H2669" s="3" t="str">
        <f>_xlfn.IFNA(INDEX(RulebookFields!C2:C999, MATCH(D2669,RulebookFields!A2:A999, 0)), "")</f>
        <v>ProcedureExecutions</v>
      </c>
      <c r="I2669" s="3" t="str">
        <f>_xlfn.IFNA(INDEX(RulebookFields!D2:D999, MATCH(D2669,RulebookFields!A2:A999, 0)), "")</f>
        <v>ComputedAssuranceRatio</v>
      </c>
      <c r="J2669" s="3" t="b">
        <f>_xlfn.IFNA(INDEX(RulebookFields!I2:I999, MATCH(D2669,RulebookFields!A2:A999, 0)), "")</f>
        <v>1</v>
      </c>
      <c r="K2669" s="3" t="b">
        <f>AND(F2669, J2669)</f>
        <v>0</v>
      </c>
      <c r="L2669" s="3" t="b">
        <f>AND(G2669 &lt;&gt; "plain", G2669 &lt;&gt; "")</f>
        <v>0</v>
      </c>
      <c r="M2669" s="3" t="str">
        <f>IF(E2669, C2669 &amp; "|" &amp; H2669, "")</f>
        <v>principal-knowledge-authority|ProcedureExecutions</v>
      </c>
      <c r="N2669" s="2" t="s">
        <v>9938</v>
      </c>
    </row>
    <row r="2670">
      <c r="A2670" s="2" t="s">
        <v>12606</v>
      </c>
      <c r="B2670" s="3" t="str">
        <f>C2670 &amp; " -&gt; " &amp; D2670</f>
        <v>principal-knowledge-authority -&gt; ProcedureExecutions.InterestedPartyAssertionCount</v>
      </c>
      <c r="C2670" s="2" t="s">
        <v>9708</v>
      </c>
      <c r="D2670" s="2" t="s">
        <v>3462</v>
      </c>
      <c r="E2670" s="2" t="b">
        <v>1</v>
      </c>
      <c r="F2670" s="2" t="b">
        <v>0</v>
      </c>
      <c r="G2670" s="2" t="s">
        <v>9937</v>
      </c>
      <c r="H2670" s="3" t="str">
        <f>_xlfn.IFNA(INDEX(RulebookFields!C2:C999, MATCH(D2670,RulebookFields!A2:A999, 0)), "")</f>
        <v>ProcedureExecutions</v>
      </c>
      <c r="I2670" s="3" t="str">
        <f>_xlfn.IFNA(INDEX(RulebookFields!D2:D999, MATCH(D2670,RulebookFields!A2:A999, 0)), "")</f>
        <v>InterestedPartyAssertionCount</v>
      </c>
      <c r="J2670" s="3" t="b">
        <f>_xlfn.IFNA(INDEX(RulebookFields!I2:I999, MATCH(D2670,RulebookFields!A2:A999, 0)), "")</f>
        <v>1</v>
      </c>
      <c r="K2670" s="3" t="b">
        <f>AND(F2670, J2670)</f>
        <v>0</v>
      </c>
      <c r="L2670" s="3" t="b">
        <f>AND(G2670 &lt;&gt; "plain", G2670 &lt;&gt; "")</f>
        <v>0</v>
      </c>
      <c r="M2670" s="3" t="str">
        <f>IF(E2670, C2670 &amp; "|" &amp; H2670, "")</f>
        <v>principal-knowledge-authority|ProcedureExecutions</v>
      </c>
      <c r="N2670" s="2" t="s">
        <v>9938</v>
      </c>
    </row>
    <row r="2671">
      <c r="A2671" s="2" t="s">
        <v>12607</v>
      </c>
      <c r="B2671" s="3" t="str">
        <f>C2671 &amp; " -&gt; " &amp; D2671</f>
        <v>principal-knowledge-authority -&gt; ProcedureExecutions.AssuranceGrade</v>
      </c>
      <c r="C2671" s="2" t="s">
        <v>9708</v>
      </c>
      <c r="D2671" s="2" t="s">
        <v>3464</v>
      </c>
      <c r="E2671" s="2" t="b">
        <v>1</v>
      </c>
      <c r="F2671" s="2" t="b">
        <v>0</v>
      </c>
      <c r="G2671" s="2" t="s">
        <v>9937</v>
      </c>
      <c r="H2671" s="3" t="str">
        <f>_xlfn.IFNA(INDEX(RulebookFields!C2:C999, MATCH(D2671,RulebookFields!A2:A999, 0)), "")</f>
        <v>ProcedureExecutions</v>
      </c>
      <c r="I2671" s="3" t="str">
        <f>_xlfn.IFNA(INDEX(RulebookFields!D2:D999, MATCH(D2671,RulebookFields!A2:A999, 0)), "")</f>
        <v>AssuranceGrade</v>
      </c>
      <c r="J2671" s="3" t="b">
        <f>_xlfn.IFNA(INDEX(RulebookFields!I2:I999, MATCH(D2671,RulebookFields!A2:A999, 0)), "")</f>
        <v>1</v>
      </c>
      <c r="K2671" s="3" t="b">
        <f>AND(F2671, J2671)</f>
        <v>0</v>
      </c>
      <c r="L2671" s="3" t="b">
        <f>AND(G2671 &lt;&gt; "plain", G2671 &lt;&gt; "")</f>
        <v>0</v>
      </c>
      <c r="M2671" s="3" t="str">
        <f>IF(E2671, C2671 &amp; "|" &amp; H2671, "")</f>
        <v>principal-knowledge-authority|ProcedureExecutions</v>
      </c>
      <c r="N2671" s="2" t="s">
        <v>9938</v>
      </c>
    </row>
    <row r="2672">
      <c r="A2672" s="2" t="s">
        <v>12608</v>
      </c>
      <c r="B2672" s="3" t="str">
        <f>C2672 &amp; " -&gt; " &amp; D2672</f>
        <v>principal-knowledge-authority -&gt; ProcedureExecutions.AttestationWouldBeWeaklyBased</v>
      </c>
      <c r="C2672" s="2" t="s">
        <v>9708</v>
      </c>
      <c r="D2672" s="2" t="s">
        <v>3466</v>
      </c>
      <c r="E2672" s="2" t="b">
        <v>1</v>
      </c>
      <c r="F2672" s="2" t="b">
        <v>0</v>
      </c>
      <c r="G2672" s="2" t="s">
        <v>9937</v>
      </c>
      <c r="H2672" s="3" t="str">
        <f>_xlfn.IFNA(INDEX(RulebookFields!C2:C999, MATCH(D2672,RulebookFields!A2:A999, 0)), "")</f>
        <v>ProcedureExecutions</v>
      </c>
      <c r="I2672" s="3" t="str">
        <f>_xlfn.IFNA(INDEX(RulebookFields!D2:D999, MATCH(D2672,RulebookFields!A2:A999, 0)), "")</f>
        <v>AttestationWouldBeWeaklyBased</v>
      </c>
      <c r="J2672" s="3" t="b">
        <f>_xlfn.IFNA(INDEX(RulebookFields!I2:I999, MATCH(D2672,RulebookFields!A2:A999, 0)), "")</f>
        <v>1</v>
      </c>
      <c r="K2672" s="3" t="b">
        <f>AND(F2672, J2672)</f>
        <v>0</v>
      </c>
      <c r="L2672" s="3" t="b">
        <f>AND(G2672 &lt;&gt; "plain", G2672 &lt;&gt; "")</f>
        <v>0</v>
      </c>
      <c r="M2672" s="3" t="str">
        <f>IF(E2672, C2672 &amp; "|" &amp; H2672, "")</f>
        <v>principal-knowledge-authority|ProcedureExecutions</v>
      </c>
      <c r="N2672" s="2" t="s">
        <v>9938</v>
      </c>
    </row>
    <row r="2673">
      <c r="A2673" s="2" t="s">
        <v>12609</v>
      </c>
      <c r="B2673" s="3" t="str">
        <f>C2673 &amp; " -&gt; " &amp; D2673</f>
        <v>principal-knowledge-authority -&gt; ProcedureExecutions.IndependentHumanObservationCount</v>
      </c>
      <c r="C2673" s="2" t="s">
        <v>9708</v>
      </c>
      <c r="D2673" s="2" t="s">
        <v>3468</v>
      </c>
      <c r="E2673" s="2" t="b">
        <v>1</v>
      </c>
      <c r="F2673" s="2" t="b">
        <v>0</v>
      </c>
      <c r="G2673" s="2" t="s">
        <v>9937</v>
      </c>
      <c r="H2673" s="3" t="str">
        <f>_xlfn.IFNA(INDEX(RulebookFields!C2:C999, MATCH(D2673,RulebookFields!A2:A999, 0)), "")</f>
        <v>ProcedureExecutions</v>
      </c>
      <c r="I2673" s="3" t="str">
        <f>_xlfn.IFNA(INDEX(RulebookFields!D2:D999, MATCH(D2673,RulebookFields!A2:A999, 0)), "")</f>
        <v>IndependentHumanObservationCount</v>
      </c>
      <c r="J2673" s="3" t="b">
        <f>_xlfn.IFNA(INDEX(RulebookFields!I2:I999, MATCH(D2673,RulebookFields!A2:A999, 0)), "")</f>
        <v>1</v>
      </c>
      <c r="K2673" s="3" t="b">
        <f>AND(F2673, J2673)</f>
        <v>0</v>
      </c>
      <c r="L2673" s="3" t="b">
        <f>AND(G2673 &lt;&gt; "plain", G2673 &lt;&gt; "")</f>
        <v>0</v>
      </c>
      <c r="M2673" s="3" t="str">
        <f>IF(E2673, C2673 &amp; "|" &amp; H2673, "")</f>
        <v>principal-knowledge-authority|ProcedureExecutions</v>
      </c>
      <c r="N2673" s="2" t="s">
        <v>9938</v>
      </c>
    </row>
    <row r="2674">
      <c r="A2674" s="2" t="s">
        <v>12610</v>
      </c>
      <c r="B2674" s="3" t="str">
        <f>C2674 &amp; " -&gt; " &amp; D2674</f>
        <v>principal-knowledge-authority -&gt; ProcedureExecutions.HasAnyIndependentObservation</v>
      </c>
      <c r="C2674" s="2" t="s">
        <v>9708</v>
      </c>
      <c r="D2674" s="2" t="s">
        <v>3470</v>
      </c>
      <c r="E2674" s="2" t="b">
        <v>1</v>
      </c>
      <c r="F2674" s="2" t="b">
        <v>0</v>
      </c>
      <c r="G2674" s="2" t="s">
        <v>9937</v>
      </c>
      <c r="H2674" s="3" t="str">
        <f>_xlfn.IFNA(INDEX(RulebookFields!C2:C999, MATCH(D2674,RulebookFields!A2:A999, 0)), "")</f>
        <v>ProcedureExecutions</v>
      </c>
      <c r="I2674" s="3" t="str">
        <f>_xlfn.IFNA(INDEX(RulebookFields!D2:D999, MATCH(D2674,RulebookFields!A2:A999, 0)), "")</f>
        <v>HasAnyIndependentObservation</v>
      </c>
      <c r="J2674" s="3" t="b">
        <f>_xlfn.IFNA(INDEX(RulebookFields!I2:I999, MATCH(D2674,RulebookFields!A2:A999, 0)), "")</f>
        <v>1</v>
      </c>
      <c r="K2674" s="3" t="b">
        <f>AND(F2674, J2674)</f>
        <v>0</v>
      </c>
      <c r="L2674" s="3" t="b">
        <f>AND(G2674 &lt;&gt; "plain", G2674 &lt;&gt; "")</f>
        <v>0</v>
      </c>
      <c r="M2674" s="3" t="str">
        <f>IF(E2674, C2674 &amp; "|" &amp; H2674, "")</f>
        <v>principal-knowledge-authority|ProcedureExecutions</v>
      </c>
      <c r="N2674" s="2" t="s">
        <v>9938</v>
      </c>
    </row>
    <row r="2675">
      <c r="A2675" s="2" t="s">
        <v>12611</v>
      </c>
      <c r="B2675" s="3" t="str">
        <f>C2675 &amp; " -&gt; " &amp; D2675</f>
        <v>principal-knowledge-authority -&gt; ProcedureExecutions.SelfAttestedApprovalCount</v>
      </c>
      <c r="C2675" s="2" t="s">
        <v>9708</v>
      </c>
      <c r="D2675" s="2" t="s">
        <v>3472</v>
      </c>
      <c r="E2675" s="2" t="b">
        <v>1</v>
      </c>
      <c r="F2675" s="2" t="b">
        <v>0</v>
      </c>
      <c r="G2675" s="2" t="s">
        <v>9937</v>
      </c>
      <c r="H2675" s="3" t="str">
        <f>_xlfn.IFNA(INDEX(RulebookFields!C2:C999, MATCH(D2675,RulebookFields!A2:A999, 0)), "")</f>
        <v>ProcedureExecutions</v>
      </c>
      <c r="I2675" s="3" t="str">
        <f>_xlfn.IFNA(INDEX(RulebookFields!D2:D999, MATCH(D2675,RulebookFields!A2:A999, 0)), "")</f>
        <v>SelfAttestedApprovalCount</v>
      </c>
      <c r="J2675" s="3" t="b">
        <f>_xlfn.IFNA(INDEX(RulebookFields!I2:I999, MATCH(D2675,RulebookFields!A2:A999, 0)), "")</f>
        <v>1</v>
      </c>
      <c r="K2675" s="3" t="b">
        <f>AND(F2675, J2675)</f>
        <v>0</v>
      </c>
      <c r="L2675" s="3" t="b">
        <f>AND(G2675 &lt;&gt; "plain", G2675 &lt;&gt; "")</f>
        <v>0</v>
      </c>
      <c r="M2675" s="3" t="str">
        <f>IF(E2675, C2675 &amp; "|" &amp; H2675, "")</f>
        <v>principal-knowledge-authority|ProcedureExecutions</v>
      </c>
      <c r="N2675" s="2" t="s">
        <v>9938</v>
      </c>
    </row>
    <row r="2676">
      <c r="A2676" s="2" t="s">
        <v>12612</v>
      </c>
      <c r="B2676" s="3" t="str">
        <f>C2676 &amp; " -&gt; " &amp; D2676</f>
        <v>principal-knowledge-authority -&gt; ProcedureExecutions.AssuranceChainIsCircular</v>
      </c>
      <c r="C2676" s="2" t="s">
        <v>9708</v>
      </c>
      <c r="D2676" s="2" t="s">
        <v>3474</v>
      </c>
      <c r="E2676" s="2" t="b">
        <v>1</v>
      </c>
      <c r="F2676" s="2" t="b">
        <v>0</v>
      </c>
      <c r="G2676" s="2" t="s">
        <v>9937</v>
      </c>
      <c r="H2676" s="3" t="str">
        <f>_xlfn.IFNA(INDEX(RulebookFields!C2:C999, MATCH(D2676,RulebookFields!A2:A999, 0)), "")</f>
        <v>ProcedureExecutions</v>
      </c>
      <c r="I2676" s="3" t="str">
        <f>_xlfn.IFNA(INDEX(RulebookFields!D2:D999, MATCH(D2676,RulebookFields!A2:A999, 0)), "")</f>
        <v>AssuranceChainIsCircular</v>
      </c>
      <c r="J2676" s="3" t="b">
        <f>_xlfn.IFNA(INDEX(RulebookFields!I2:I999, MATCH(D2676,RulebookFields!A2:A999, 0)), "")</f>
        <v>1</v>
      </c>
      <c r="K2676" s="3" t="b">
        <f>AND(F2676, J2676)</f>
        <v>0</v>
      </c>
      <c r="L2676" s="3" t="b">
        <f>AND(G2676 &lt;&gt; "plain", G2676 &lt;&gt; "")</f>
        <v>0</v>
      </c>
      <c r="M2676" s="3" t="str">
        <f>IF(E2676, C2676 &amp; "|" &amp; H2676, "")</f>
        <v>principal-knowledge-authority|ProcedureExecutions</v>
      </c>
      <c r="N2676" s="2" t="s">
        <v>9938</v>
      </c>
    </row>
    <row r="2677">
      <c r="A2677" s="2" t="s">
        <v>12613</v>
      </c>
      <c r="B2677" s="3" t="str">
        <f>C2677 &amp; " -&gt; " &amp; D2677</f>
        <v>principal-knowledge-authority -&gt; ProcedureExecutions.LatestAttestationInstant</v>
      </c>
      <c r="C2677" s="2" t="s">
        <v>9708</v>
      </c>
      <c r="D2677" s="2" t="s">
        <v>3476</v>
      </c>
      <c r="E2677" s="2" t="b">
        <v>1</v>
      </c>
      <c r="F2677" s="2" t="b">
        <v>0</v>
      </c>
      <c r="G2677" s="2" t="s">
        <v>9937</v>
      </c>
      <c r="H2677" s="3" t="str">
        <f>_xlfn.IFNA(INDEX(RulebookFields!C2:C999, MATCH(D2677,RulebookFields!A2:A999, 0)), "")</f>
        <v>ProcedureExecutions</v>
      </c>
      <c r="I2677" s="3" t="str">
        <f>_xlfn.IFNA(INDEX(RulebookFields!D2:D999, MATCH(D2677,RulebookFields!A2:A999, 0)), "")</f>
        <v>LatestAttestationInstant</v>
      </c>
      <c r="J2677" s="3" t="b">
        <f>_xlfn.IFNA(INDEX(RulebookFields!I2:I999, MATCH(D2677,RulebookFields!A2:A999, 0)), "")</f>
        <v>1</v>
      </c>
      <c r="K2677" s="3" t="b">
        <f>AND(F2677, J2677)</f>
        <v>0</v>
      </c>
      <c r="L2677" s="3" t="b">
        <f>AND(G2677 &lt;&gt; "plain", G2677 &lt;&gt; "")</f>
        <v>0</v>
      </c>
      <c r="M2677" s="3" t="str">
        <f>IF(E2677, C2677 &amp; "|" &amp; H2677, "")</f>
        <v>principal-knowledge-authority|ProcedureExecutions</v>
      </c>
      <c r="N2677" s="2" t="s">
        <v>9938</v>
      </c>
    </row>
    <row r="2678">
      <c r="A2678" s="2" t="s">
        <v>12614</v>
      </c>
      <c r="B2678" s="3" t="str">
        <f>C2678 &amp; " -&gt; " &amp; D2678</f>
        <v>principal-knowledge-authority -&gt; ProcedureExecutions.HasBeenAttested</v>
      </c>
      <c r="C2678" s="2" t="s">
        <v>9708</v>
      </c>
      <c r="D2678" s="2" t="s">
        <v>3478</v>
      </c>
      <c r="E2678" s="2" t="b">
        <v>1</v>
      </c>
      <c r="F2678" s="2" t="b">
        <v>0</v>
      </c>
      <c r="G2678" s="2" t="s">
        <v>9937</v>
      </c>
      <c r="H2678" s="3" t="str">
        <f>_xlfn.IFNA(INDEX(RulebookFields!C2:C999, MATCH(D2678,RulebookFields!A2:A999, 0)), "")</f>
        <v>ProcedureExecutions</v>
      </c>
      <c r="I2678" s="3" t="str">
        <f>_xlfn.IFNA(INDEX(RulebookFields!D2:D999, MATCH(D2678,RulebookFields!A2:A999, 0)), "")</f>
        <v>HasBeenAttested</v>
      </c>
      <c r="J2678" s="3" t="b">
        <f>_xlfn.IFNA(INDEX(RulebookFields!I2:I999, MATCH(D2678,RulebookFields!A2:A999, 0)), "")</f>
        <v>1</v>
      </c>
      <c r="K2678" s="3" t="b">
        <f>AND(F2678, J2678)</f>
        <v>0</v>
      </c>
      <c r="L2678" s="3" t="b">
        <f>AND(G2678 &lt;&gt; "plain", G2678 &lt;&gt; "")</f>
        <v>0</v>
      </c>
      <c r="M2678" s="3" t="str">
        <f>IF(E2678, C2678 &amp; "|" &amp; H2678, "")</f>
        <v>principal-knowledge-authority|ProcedureExecutions</v>
      </c>
      <c r="N2678" s="2" t="s">
        <v>9938</v>
      </c>
    </row>
    <row r="2679">
      <c r="A2679" s="2" t="s">
        <v>12615</v>
      </c>
      <c r="B2679" s="3" t="str">
        <f>C2679 &amp; " -&gt; " &amp; D2679</f>
        <v>principal-knowledge-authority -&gt; ProcedureExecutions.AttestationCount</v>
      </c>
      <c r="C2679" s="2" t="s">
        <v>9708</v>
      </c>
      <c r="D2679" s="2" t="s">
        <v>3480</v>
      </c>
      <c r="E2679" s="2" t="b">
        <v>1</v>
      </c>
      <c r="F2679" s="2" t="b">
        <v>0</v>
      </c>
      <c r="G2679" s="2" t="s">
        <v>9937</v>
      </c>
      <c r="H2679" s="3" t="str">
        <f>_xlfn.IFNA(INDEX(RulebookFields!C2:C999, MATCH(D2679,RulebookFields!A2:A999, 0)), "")</f>
        <v>ProcedureExecutions</v>
      </c>
      <c r="I2679" s="3" t="str">
        <f>_xlfn.IFNA(INDEX(RulebookFields!D2:D999, MATCH(D2679,RulebookFields!A2:A999, 0)), "")</f>
        <v>AttestationCount</v>
      </c>
      <c r="J2679" s="3" t="b">
        <f>_xlfn.IFNA(INDEX(RulebookFields!I2:I999, MATCH(D2679,RulebookFields!A2:A999, 0)), "")</f>
        <v>1</v>
      </c>
      <c r="K2679" s="3" t="b">
        <f>AND(F2679, J2679)</f>
        <v>0</v>
      </c>
      <c r="L2679" s="3" t="b">
        <f>AND(G2679 &lt;&gt; "plain", G2679 &lt;&gt; "")</f>
        <v>0</v>
      </c>
      <c r="M2679" s="3" t="str">
        <f>IF(E2679, C2679 &amp; "|" &amp; H2679, "")</f>
        <v>principal-knowledge-authority|ProcedureExecutions</v>
      </c>
      <c r="N2679" s="2" t="s">
        <v>9938</v>
      </c>
    </row>
    <row r="2680">
      <c r="A2680" s="2" t="s">
        <v>12616</v>
      </c>
      <c r="B2680" s="3" t="str">
        <f>C2680 &amp; " -&gt; " &amp; D2680</f>
        <v>principal-knowledge-authority -&gt; ProcedureExecutions.PostAttestationScoreCount</v>
      </c>
      <c r="C2680" s="2" t="s">
        <v>9708</v>
      </c>
      <c r="D2680" s="2" t="s">
        <v>3482</v>
      </c>
      <c r="E2680" s="2" t="b">
        <v>1</v>
      </c>
      <c r="F2680" s="2" t="b">
        <v>0</v>
      </c>
      <c r="G2680" s="2" t="s">
        <v>9937</v>
      </c>
      <c r="H2680" s="3" t="str">
        <f>_xlfn.IFNA(INDEX(RulebookFields!C2:C999, MATCH(D2680,RulebookFields!A2:A999, 0)), "")</f>
        <v>ProcedureExecutions</v>
      </c>
      <c r="I2680" s="3" t="str">
        <f>_xlfn.IFNA(INDEX(RulebookFields!D2:D999, MATCH(D2680,RulebookFields!A2:A999, 0)), "")</f>
        <v>PostAttestationScoreCount</v>
      </c>
      <c r="J2680" s="3" t="b">
        <f>_xlfn.IFNA(INDEX(RulebookFields!I2:I999, MATCH(D2680,RulebookFields!A2:A999, 0)), "")</f>
        <v>1</v>
      </c>
      <c r="K2680" s="3" t="b">
        <f>AND(F2680, J2680)</f>
        <v>0</v>
      </c>
      <c r="L2680" s="3" t="b">
        <f>AND(G2680 &lt;&gt; "plain", G2680 &lt;&gt; "")</f>
        <v>0</v>
      </c>
      <c r="M2680" s="3" t="str">
        <f>IF(E2680, C2680 &amp; "|" &amp; H2680, "")</f>
        <v>principal-knowledge-authority|ProcedureExecutions</v>
      </c>
      <c r="N2680" s="2" t="s">
        <v>9938</v>
      </c>
    </row>
    <row r="2681">
      <c r="A2681" s="2" t="s">
        <v>12617</v>
      </c>
      <c r="B2681" s="3" t="str">
        <f>C2681 &amp; " -&gt; " &amp; D2681</f>
        <v>principal-knowledge-authority -&gt; ProcedureExecutions.BasisChangedAfterSignature</v>
      </c>
      <c r="C2681" s="2" t="s">
        <v>9708</v>
      </c>
      <c r="D2681" s="2" t="s">
        <v>3484</v>
      </c>
      <c r="E2681" s="2" t="b">
        <v>1</v>
      </c>
      <c r="F2681" s="2" t="b">
        <v>0</v>
      </c>
      <c r="G2681" s="2" t="s">
        <v>9937</v>
      </c>
      <c r="H2681" s="3" t="str">
        <f>_xlfn.IFNA(INDEX(RulebookFields!C2:C999, MATCH(D2681,RulebookFields!A2:A999, 0)), "")</f>
        <v>ProcedureExecutions</v>
      </c>
      <c r="I2681" s="3" t="str">
        <f>_xlfn.IFNA(INDEX(RulebookFields!D2:D999, MATCH(D2681,RulebookFields!A2:A999, 0)), "")</f>
        <v>BasisChangedAfterSignature</v>
      </c>
      <c r="J2681" s="3" t="b">
        <f>_xlfn.IFNA(INDEX(RulebookFields!I2:I999, MATCH(D2681,RulebookFields!A2:A999, 0)), "")</f>
        <v>1</v>
      </c>
      <c r="K2681" s="3" t="b">
        <f>AND(F2681, J2681)</f>
        <v>0</v>
      </c>
      <c r="L2681" s="3" t="b">
        <f>AND(G2681 &lt;&gt; "plain", G2681 &lt;&gt; "")</f>
        <v>0</v>
      </c>
      <c r="M2681" s="3" t="str">
        <f>IF(E2681, C2681 &amp; "|" &amp; H2681, "")</f>
        <v>principal-knowledge-authority|ProcedureExecutions</v>
      </c>
      <c r="N2681" s="2" t="s">
        <v>9938</v>
      </c>
    </row>
    <row r="2682">
      <c r="A2682" s="2" t="s">
        <v>12618</v>
      </c>
      <c r="B2682" s="3" t="str">
        <f>C2682 &amp; " -&gt; " &amp; D2682</f>
        <v>principal-knowledge-authority -&gt; ProcedureExecutions.RequiresReAttestation</v>
      </c>
      <c r="C2682" s="2" t="s">
        <v>9708</v>
      </c>
      <c r="D2682" s="2" t="s">
        <v>3486</v>
      </c>
      <c r="E2682" s="2" t="b">
        <v>1</v>
      </c>
      <c r="F2682" s="2" t="b">
        <v>0</v>
      </c>
      <c r="G2682" s="2" t="s">
        <v>9937</v>
      </c>
      <c r="H2682" s="3" t="str">
        <f>_xlfn.IFNA(INDEX(RulebookFields!C2:C999, MATCH(D2682,RulebookFields!A2:A999, 0)), "")</f>
        <v>ProcedureExecutions</v>
      </c>
      <c r="I2682" s="3" t="str">
        <f>_xlfn.IFNA(INDEX(RulebookFields!D2:D999, MATCH(D2682,RulebookFields!A2:A999, 0)), "")</f>
        <v>RequiresReAttestation</v>
      </c>
      <c r="J2682" s="3" t="b">
        <f>_xlfn.IFNA(INDEX(RulebookFields!I2:I999, MATCH(D2682,RulebookFields!A2:A999, 0)), "")</f>
        <v>1</v>
      </c>
      <c r="K2682" s="3" t="b">
        <f>AND(F2682, J2682)</f>
        <v>0</v>
      </c>
      <c r="L2682" s="3" t="b">
        <f>AND(G2682 &lt;&gt; "plain", G2682 &lt;&gt; "")</f>
        <v>0</v>
      </c>
      <c r="M2682" s="3" t="str">
        <f>IF(E2682, C2682 &amp; "|" &amp; H2682, "")</f>
        <v>principal-knowledge-authority|ProcedureExecutions</v>
      </c>
      <c r="N2682" s="2" t="s">
        <v>9938</v>
      </c>
    </row>
    <row r="2683">
      <c r="A2683" s="2" t="s">
        <v>12619</v>
      </c>
      <c r="B2683" s="3" t="str">
        <f>C2683 &amp; " -&gt; " &amp; D2683</f>
        <v>principal-knowledge-authority -&gt; ProcedureExecutions.IntendedRecipientCount</v>
      </c>
      <c r="C2683" s="2" t="s">
        <v>9708</v>
      </c>
      <c r="D2683" s="2" t="s">
        <v>3488</v>
      </c>
      <c r="E2683" s="2" t="b">
        <v>1</v>
      </c>
      <c r="F2683" s="2" t="b">
        <v>0</v>
      </c>
      <c r="G2683" s="2" t="s">
        <v>9937</v>
      </c>
      <c r="H2683" s="3" t="str">
        <f>_xlfn.IFNA(INDEX(RulebookFields!C2:C999, MATCH(D2683,RulebookFields!A2:A999, 0)), "")</f>
        <v>ProcedureExecutions</v>
      </c>
      <c r="I2683" s="3" t="str">
        <f>_xlfn.IFNA(INDEX(RulebookFields!D2:D999, MATCH(D2683,RulebookFields!A2:A999, 0)), "")</f>
        <v>IntendedRecipientCount</v>
      </c>
      <c r="J2683" s="3" t="b">
        <f>_xlfn.IFNA(INDEX(RulebookFields!I2:I999, MATCH(D2683,RulebookFields!A2:A999, 0)), "")</f>
        <v>1</v>
      </c>
      <c r="K2683" s="3" t="b">
        <f>AND(F2683, J2683)</f>
        <v>0</v>
      </c>
      <c r="L2683" s="3" t="b">
        <f>AND(G2683 &lt;&gt; "plain", G2683 &lt;&gt; "")</f>
        <v>0</v>
      </c>
      <c r="M2683" s="3" t="str">
        <f>IF(E2683, C2683 &amp; "|" &amp; H2683, "")</f>
        <v>principal-knowledge-authority|ProcedureExecutions</v>
      </c>
      <c r="N2683" s="2" t="s">
        <v>9938</v>
      </c>
    </row>
    <row r="2684">
      <c r="A2684" s="2" t="s">
        <v>12620</v>
      </c>
      <c r="B2684" s="3" t="str">
        <f>C2684 &amp; " -&gt; " &amp; D2684</f>
        <v>principal-knowledge-authority -&gt; ProcedureExecutions.ReachedRecipientCount</v>
      </c>
      <c r="C2684" s="2" t="s">
        <v>9708</v>
      </c>
      <c r="D2684" s="2" t="s">
        <v>3490</v>
      </c>
      <c r="E2684" s="2" t="b">
        <v>1</v>
      </c>
      <c r="F2684" s="2" t="b">
        <v>0</v>
      </c>
      <c r="G2684" s="2" t="s">
        <v>9937</v>
      </c>
      <c r="H2684" s="3" t="str">
        <f>_xlfn.IFNA(INDEX(RulebookFields!C2:C999, MATCH(D2684,RulebookFields!A2:A999, 0)), "")</f>
        <v>ProcedureExecutions</v>
      </c>
      <c r="I2684" s="3" t="str">
        <f>_xlfn.IFNA(INDEX(RulebookFields!D2:D999, MATCH(D2684,RulebookFields!A2:A999, 0)), "")</f>
        <v>ReachedRecipientCount</v>
      </c>
      <c r="J2684" s="3" t="b">
        <f>_xlfn.IFNA(INDEX(RulebookFields!I2:I999, MATCH(D2684,RulebookFields!A2:A999, 0)), "")</f>
        <v>1</v>
      </c>
      <c r="K2684" s="3" t="b">
        <f>AND(F2684, J2684)</f>
        <v>0</v>
      </c>
      <c r="L2684" s="3" t="b">
        <f>AND(G2684 &lt;&gt; "plain", G2684 &lt;&gt; "")</f>
        <v>0</v>
      </c>
      <c r="M2684" s="3" t="str">
        <f>IF(E2684, C2684 &amp; "|" &amp; H2684, "")</f>
        <v>principal-knowledge-authority|ProcedureExecutions</v>
      </c>
      <c r="N2684" s="2" t="s">
        <v>9938</v>
      </c>
    </row>
    <row r="2685">
      <c r="A2685" s="2" t="s">
        <v>12621</v>
      </c>
      <c r="B2685" s="3" t="str">
        <f>C2685 &amp; " -&gt; " &amp; D2685</f>
        <v>principal-knowledge-authority -&gt; ProcedureExecutions.SilentlyDroppedCount</v>
      </c>
      <c r="C2685" s="2" t="s">
        <v>9708</v>
      </c>
      <c r="D2685" s="2" t="s">
        <v>3492</v>
      </c>
      <c r="E2685" s="2" t="b">
        <v>1</v>
      </c>
      <c r="F2685" s="2" t="b">
        <v>0</v>
      </c>
      <c r="G2685" s="2" t="s">
        <v>9937</v>
      </c>
      <c r="H2685" s="3" t="str">
        <f>_xlfn.IFNA(INDEX(RulebookFields!C2:C999, MATCH(D2685,RulebookFields!A2:A999, 0)), "")</f>
        <v>ProcedureExecutions</v>
      </c>
      <c r="I2685" s="3" t="str">
        <f>_xlfn.IFNA(INDEX(RulebookFields!D2:D999, MATCH(D2685,RulebookFields!A2:A999, 0)), "")</f>
        <v>SilentlyDroppedCount</v>
      </c>
      <c r="J2685" s="3" t="b">
        <f>_xlfn.IFNA(INDEX(RulebookFields!I2:I999, MATCH(D2685,RulebookFields!A2:A999, 0)), "")</f>
        <v>1</v>
      </c>
      <c r="K2685" s="3" t="b">
        <f>AND(F2685, J2685)</f>
        <v>0</v>
      </c>
      <c r="L2685" s="3" t="b">
        <f>AND(G2685 &lt;&gt; "plain", G2685 &lt;&gt; "")</f>
        <v>0</v>
      </c>
      <c r="M2685" s="3" t="str">
        <f>IF(E2685, C2685 &amp; "|" &amp; H2685, "")</f>
        <v>principal-knowledge-authority|ProcedureExecutions</v>
      </c>
      <c r="N2685" s="2" t="s">
        <v>9938</v>
      </c>
    </row>
    <row r="2686">
      <c r="A2686" s="2" t="s">
        <v>12622</v>
      </c>
      <c r="B2686" s="3" t="str">
        <f>C2686 &amp; " -&gt; " &amp; D2686</f>
        <v>principal-knowledge-authority -&gt; ProcedureExecutions.DeliveryYieldPercent</v>
      </c>
      <c r="C2686" s="2" t="s">
        <v>9708</v>
      </c>
      <c r="D2686" s="2" t="s">
        <v>3494</v>
      </c>
      <c r="E2686" s="2" t="b">
        <v>1</v>
      </c>
      <c r="F2686" s="2" t="b">
        <v>0</v>
      </c>
      <c r="G2686" s="2" t="s">
        <v>9937</v>
      </c>
      <c r="H2686" s="3" t="str">
        <f>_xlfn.IFNA(INDEX(RulebookFields!C2:C999, MATCH(D2686,RulebookFields!A2:A999, 0)), "")</f>
        <v>ProcedureExecutions</v>
      </c>
      <c r="I2686" s="3" t="str">
        <f>_xlfn.IFNA(INDEX(RulebookFields!D2:D999, MATCH(D2686,RulebookFields!A2:A999, 0)), "")</f>
        <v>DeliveryYieldPercent</v>
      </c>
      <c r="J2686" s="3" t="b">
        <f>_xlfn.IFNA(INDEX(RulebookFields!I2:I999, MATCH(D2686,RulebookFields!A2:A999, 0)), "")</f>
        <v>1</v>
      </c>
      <c r="K2686" s="3" t="b">
        <f>AND(F2686, J2686)</f>
        <v>0</v>
      </c>
      <c r="L2686" s="3" t="b">
        <f>AND(G2686 &lt;&gt; "plain", G2686 &lt;&gt; "")</f>
        <v>0</v>
      </c>
      <c r="M2686" s="3" t="str">
        <f>IF(E2686, C2686 &amp; "|" &amp; H2686, "")</f>
        <v>principal-knowledge-authority|ProcedureExecutions</v>
      </c>
      <c r="N2686" s="2" t="s">
        <v>9938</v>
      </c>
    </row>
    <row r="2687">
      <c r="A2687" s="2" t="s">
        <v>12623</v>
      </c>
      <c r="B2687" s="3" t="str">
        <f>C2687 &amp; " -&gt; " &amp; D2687</f>
        <v>principal-knowledge-authority -&gt; ProcedureExecutions.CampaignSilentlyLostAudience</v>
      </c>
      <c r="C2687" s="2" t="s">
        <v>9708</v>
      </c>
      <c r="D2687" s="2" t="s">
        <v>3496</v>
      </c>
      <c r="E2687" s="2" t="b">
        <v>1</v>
      </c>
      <c r="F2687" s="2" t="b">
        <v>0</v>
      </c>
      <c r="G2687" s="2" t="s">
        <v>9937</v>
      </c>
      <c r="H2687" s="3" t="str">
        <f>_xlfn.IFNA(INDEX(RulebookFields!C2:C999, MATCH(D2687,RulebookFields!A2:A999, 0)), "")</f>
        <v>ProcedureExecutions</v>
      </c>
      <c r="I2687" s="3" t="str">
        <f>_xlfn.IFNA(INDEX(RulebookFields!D2:D999, MATCH(D2687,RulebookFields!A2:A999, 0)), "")</f>
        <v>CampaignSilentlyLostAudience</v>
      </c>
      <c r="J2687" s="3" t="b">
        <f>_xlfn.IFNA(INDEX(RulebookFields!I2:I999, MATCH(D2687,RulebookFields!A2:A999, 0)), "")</f>
        <v>1</v>
      </c>
      <c r="K2687" s="3" t="b">
        <f>AND(F2687, J2687)</f>
        <v>0</v>
      </c>
      <c r="L2687" s="3" t="b">
        <f>AND(G2687 &lt;&gt; "plain", G2687 &lt;&gt; "")</f>
        <v>0</v>
      </c>
      <c r="M2687" s="3" t="str">
        <f>IF(E2687, C2687 &amp; "|" &amp; H2687, "")</f>
        <v>principal-knowledge-authority|ProcedureExecutions</v>
      </c>
      <c r="N2687" s="2" t="s">
        <v>9938</v>
      </c>
    </row>
    <row r="2688">
      <c r="A2688" s="2" t="s">
        <v>12624</v>
      </c>
      <c r="B2688" s="3" t="str">
        <f>C2688 &amp; " -&gt; " &amp; D2688</f>
        <v>principal-knowledge-authority -&gt; ProcedureExecutions.UnrecordedRefusalCount</v>
      </c>
      <c r="C2688" s="2" t="s">
        <v>9708</v>
      </c>
      <c r="D2688" s="2" t="s">
        <v>3498</v>
      </c>
      <c r="E2688" s="2" t="b">
        <v>1</v>
      </c>
      <c r="F2688" s="2" t="b">
        <v>0</v>
      </c>
      <c r="G2688" s="2" t="s">
        <v>9937</v>
      </c>
      <c r="H2688" s="3" t="str">
        <f>_xlfn.IFNA(INDEX(RulebookFields!C2:C999, MATCH(D2688,RulebookFields!A2:A999, 0)), "")</f>
        <v>ProcedureExecutions</v>
      </c>
      <c r="I2688" s="3" t="str">
        <f>_xlfn.IFNA(INDEX(RulebookFields!D2:D999, MATCH(D2688,RulebookFields!A2:A999, 0)), "")</f>
        <v>UnrecordedRefusalCount</v>
      </c>
      <c r="J2688" s="3" t="b">
        <f>_xlfn.IFNA(INDEX(RulebookFields!I2:I999, MATCH(D2688,RulebookFields!A2:A999, 0)), "")</f>
        <v>1</v>
      </c>
      <c r="K2688" s="3" t="b">
        <f>AND(F2688, J2688)</f>
        <v>0</v>
      </c>
      <c r="L2688" s="3" t="b">
        <f>AND(G2688 &lt;&gt; "plain", G2688 &lt;&gt; "")</f>
        <v>0</v>
      </c>
      <c r="M2688" s="3" t="str">
        <f>IF(E2688, C2688 &amp; "|" &amp; H2688, "")</f>
        <v>principal-knowledge-authority|ProcedureExecutions</v>
      </c>
      <c r="N2688" s="2" t="s">
        <v>9938</v>
      </c>
    </row>
    <row r="2689">
      <c r="A2689" s="2" t="s">
        <v>12625</v>
      </c>
      <c r="B2689" s="3" t="str">
        <f>C2689 &amp; " -&gt; " &amp; D2689</f>
        <v>principal-knowledge-authority -&gt; ProcedureExecutions.HasUnrecordedRefusals</v>
      </c>
      <c r="C2689" s="2" t="s">
        <v>9708</v>
      </c>
      <c r="D2689" s="2" t="s">
        <v>3500</v>
      </c>
      <c r="E2689" s="2" t="b">
        <v>1</v>
      </c>
      <c r="F2689" s="2" t="b">
        <v>0</v>
      </c>
      <c r="G2689" s="2" t="s">
        <v>9937</v>
      </c>
      <c r="H2689" s="3" t="str">
        <f>_xlfn.IFNA(INDEX(RulebookFields!C2:C999, MATCH(D2689,RulebookFields!A2:A999, 0)), "")</f>
        <v>ProcedureExecutions</v>
      </c>
      <c r="I2689" s="3" t="str">
        <f>_xlfn.IFNA(INDEX(RulebookFields!D2:D999, MATCH(D2689,RulebookFields!A2:A999, 0)), "")</f>
        <v>HasUnrecordedRefusals</v>
      </c>
      <c r="J2689" s="3" t="b">
        <f>_xlfn.IFNA(INDEX(RulebookFields!I2:I999, MATCH(D2689,RulebookFields!A2:A999, 0)), "")</f>
        <v>1</v>
      </c>
      <c r="K2689" s="3" t="b">
        <f>AND(F2689, J2689)</f>
        <v>0</v>
      </c>
      <c r="L2689" s="3" t="b">
        <f>AND(G2689 &lt;&gt; "plain", G2689 &lt;&gt; "")</f>
        <v>0</v>
      </c>
      <c r="M2689" s="3" t="str">
        <f>IF(E2689, C2689 &amp; "|" &amp; H2689, "")</f>
        <v>principal-knowledge-authority|ProcedureExecutions</v>
      </c>
      <c r="N2689" s="2" t="s">
        <v>9938</v>
      </c>
    </row>
    <row r="2690">
      <c r="A2690" s="2" t="s">
        <v>12626</v>
      </c>
      <c r="B2690" s="3" t="str">
        <f>C2690 &amp; " -&gt; " &amp; D2690</f>
        <v>principal-knowledge-authority -&gt; ProcedureExecutions.IndependentlyConfirmedIntentCount</v>
      </c>
      <c r="C2690" s="2" t="s">
        <v>9708</v>
      </c>
      <c r="D2690" s="2" t="s">
        <v>3502</v>
      </c>
      <c r="E2690" s="2" t="b">
        <v>1</v>
      </c>
      <c r="F2690" s="2" t="b">
        <v>0</v>
      </c>
      <c r="G2690" s="2" t="s">
        <v>9937</v>
      </c>
      <c r="H2690" s="3" t="str">
        <f>_xlfn.IFNA(INDEX(RulebookFields!C2:C999, MATCH(D2690,RulebookFields!A2:A999, 0)), "")</f>
        <v>ProcedureExecutions</v>
      </c>
      <c r="I2690" s="3" t="str">
        <f>_xlfn.IFNA(INDEX(RulebookFields!D2:D999, MATCH(D2690,RulebookFields!A2:A999, 0)), "")</f>
        <v>IndependentlyConfirmedIntentCount</v>
      </c>
      <c r="J2690" s="3" t="b">
        <f>_xlfn.IFNA(INDEX(RulebookFields!I2:I999, MATCH(D2690,RulebookFields!A2:A999, 0)), "")</f>
        <v>1</v>
      </c>
      <c r="K2690" s="3" t="b">
        <f>AND(F2690, J2690)</f>
        <v>0</v>
      </c>
      <c r="L2690" s="3" t="b">
        <f>AND(G2690 &lt;&gt; "plain", G2690 &lt;&gt; "")</f>
        <v>0</v>
      </c>
      <c r="M2690" s="3" t="str">
        <f>IF(E2690, C2690 &amp; "|" &amp; H2690, "")</f>
        <v>principal-knowledge-authority|ProcedureExecutions</v>
      </c>
      <c r="N2690" s="2" t="s">
        <v>9938</v>
      </c>
    </row>
    <row r="2691">
      <c r="A2691" s="2" t="s">
        <v>12627</v>
      </c>
      <c r="B2691" s="3" t="str">
        <f>C2691 &amp; " -&gt; " &amp; D2691</f>
        <v>principal-knowledge-authority -&gt; ProcedureExecutions.SendDecisionsAreEntirelySelfWitnessed</v>
      </c>
      <c r="C2691" s="2" t="s">
        <v>9708</v>
      </c>
      <c r="D2691" s="2" t="s">
        <v>3504</v>
      </c>
      <c r="E2691" s="2" t="b">
        <v>1</v>
      </c>
      <c r="F2691" s="2" t="b">
        <v>0</v>
      </c>
      <c r="G2691" s="2" t="s">
        <v>9937</v>
      </c>
      <c r="H2691" s="3" t="str">
        <f>_xlfn.IFNA(INDEX(RulebookFields!C2:C999, MATCH(D2691,RulebookFields!A2:A999, 0)), "")</f>
        <v>ProcedureExecutions</v>
      </c>
      <c r="I2691" s="3" t="str">
        <f>_xlfn.IFNA(INDEX(RulebookFields!D2:D999, MATCH(D2691,RulebookFields!A2:A999, 0)), "")</f>
        <v>SendDecisionsAreEntirelySelfWitnessed</v>
      </c>
      <c r="J2691" s="3" t="b">
        <f>_xlfn.IFNA(INDEX(RulebookFields!I2:I999, MATCH(D2691,RulebookFields!A2:A999, 0)), "")</f>
        <v>1</v>
      </c>
      <c r="K2691" s="3" t="b">
        <f>AND(F2691, J2691)</f>
        <v>0</v>
      </c>
      <c r="L2691" s="3" t="b">
        <f>AND(G2691 &lt;&gt; "plain", G2691 &lt;&gt; "")</f>
        <v>0</v>
      </c>
      <c r="M2691" s="3" t="str">
        <f>IF(E2691, C2691 &amp; "|" &amp; H2691, "")</f>
        <v>principal-knowledge-authority|ProcedureExecutions</v>
      </c>
      <c r="N2691" s="2" t="s">
        <v>9938</v>
      </c>
    </row>
    <row r="2692">
      <c r="A2692" s="2" t="s">
        <v>12628</v>
      </c>
      <c r="B2692" s="3" t="str">
        <f>C2692 &amp; " -&gt; " &amp; D2692</f>
        <v>principal-knowledge-authority -&gt; ProcedureExecutions.SemanticTypeIri</v>
      </c>
      <c r="C2692" s="2" t="s">
        <v>9708</v>
      </c>
      <c r="D2692" s="2" t="s">
        <v>3506</v>
      </c>
      <c r="E2692" s="2" t="b">
        <v>1</v>
      </c>
      <c r="F2692" s="2" t="b">
        <v>0</v>
      </c>
      <c r="G2692" s="2" t="s">
        <v>9937</v>
      </c>
      <c r="H2692" s="3" t="str">
        <f>_xlfn.IFNA(INDEX(RulebookFields!C2:C999, MATCH(D2692,RulebookFields!A2:A999, 0)), "")</f>
        <v>ProcedureExecutions</v>
      </c>
      <c r="I2692" s="3" t="str">
        <f>_xlfn.IFNA(INDEX(RulebookFields!D2:D999, MATCH(D2692,RulebookFields!A2:A999, 0)), "")</f>
        <v>SemanticTypeIri</v>
      </c>
      <c r="J2692" s="3" t="b">
        <f>_xlfn.IFNA(INDEX(RulebookFields!I2:I999, MATCH(D2692,RulebookFields!A2:A999, 0)), "")</f>
        <v>0</v>
      </c>
      <c r="K2692" s="3" t="b">
        <f>AND(F2692, J2692)</f>
        <v>0</v>
      </c>
      <c r="L2692" s="3" t="b">
        <f>AND(G2692 &lt;&gt; "plain", G2692 &lt;&gt; "")</f>
        <v>0</v>
      </c>
      <c r="M2692" s="3" t="str">
        <f>IF(E2692, C2692 &amp; "|" &amp; H2692, "")</f>
        <v>principal-knowledge-authority|ProcedureExecutions</v>
      </c>
      <c r="N2692" s="2" t="s">
        <v>9938</v>
      </c>
    </row>
    <row r="2693">
      <c r="A2693" s="2" t="s">
        <v>12629</v>
      </c>
      <c r="B2693" s="3" t="str">
        <f>C2693 &amp; " -&gt; " &amp; D2693</f>
        <v>principal-knowledge-authority -&gt; ProcedureResources.ProcedureResourceId</v>
      </c>
      <c r="C2693" s="2" t="s">
        <v>9708</v>
      </c>
      <c r="D2693" s="2" t="s">
        <v>3120</v>
      </c>
      <c r="E2693" s="2" t="b">
        <v>1</v>
      </c>
      <c r="F2693" s="2" t="b">
        <v>0</v>
      </c>
      <c r="G2693" s="2" t="s">
        <v>9937</v>
      </c>
      <c r="H2693" s="3" t="str">
        <f>_xlfn.IFNA(INDEX(RulebookFields!C2:C999, MATCH(D2693,RulebookFields!A2:A999, 0)), "")</f>
        <v>ProcedureResources</v>
      </c>
      <c r="I2693" s="3" t="str">
        <f>_xlfn.IFNA(INDEX(RulebookFields!D2:D999, MATCH(D2693,RulebookFields!A2:A999, 0)), "")</f>
        <v>ProcedureResourceId</v>
      </c>
      <c r="J2693" s="3" t="b">
        <f>_xlfn.IFNA(INDEX(RulebookFields!I2:I999, MATCH(D2693,RulebookFields!A2:A999, 0)), "")</f>
        <v>0</v>
      </c>
      <c r="K2693" s="3" t="b">
        <f>AND(F2693, J2693)</f>
        <v>0</v>
      </c>
      <c r="L2693" s="3" t="b">
        <f>AND(G2693 &lt;&gt; "plain", G2693 &lt;&gt; "")</f>
        <v>0</v>
      </c>
      <c r="M2693" s="3" t="str">
        <f>IF(E2693, C2693 &amp; "|" &amp; H2693, "")</f>
        <v>principal-knowledge-authority|ProcedureResources</v>
      </c>
      <c r="N2693" s="2" t="s">
        <v>9938</v>
      </c>
    </row>
    <row r="2694">
      <c r="A2694" s="2" t="s">
        <v>12630</v>
      </c>
      <c r="B2694" s="3" t="str">
        <f>C2694 &amp; " -&gt; " &amp; D2694</f>
        <v>principal-knowledge-authority -&gt; ProcedureResources.Name</v>
      </c>
      <c r="C2694" s="2" t="s">
        <v>9708</v>
      </c>
      <c r="D2694" s="2" t="s">
        <v>3122</v>
      </c>
      <c r="E2694" s="2" t="b">
        <v>1</v>
      </c>
      <c r="F2694" s="2" t="b">
        <v>0</v>
      </c>
      <c r="G2694" s="2" t="s">
        <v>9937</v>
      </c>
      <c r="H2694" s="3" t="str">
        <f>_xlfn.IFNA(INDEX(RulebookFields!C2:C999, MATCH(D2694,RulebookFields!A2:A999, 0)), "")</f>
        <v>ProcedureResources</v>
      </c>
      <c r="I2694" s="3" t="str">
        <f>_xlfn.IFNA(INDEX(RulebookFields!D2:D999, MATCH(D2694,RulebookFields!A2:A999, 0)), "")</f>
        <v>Name</v>
      </c>
      <c r="J2694" s="3" t="b">
        <f>_xlfn.IFNA(INDEX(RulebookFields!I2:I999, MATCH(D2694,RulebookFields!A2:A999, 0)), "")</f>
        <v>1</v>
      </c>
      <c r="K2694" s="3" t="b">
        <f>AND(F2694, J2694)</f>
        <v>0</v>
      </c>
      <c r="L2694" s="3" t="b">
        <f>AND(G2694 &lt;&gt; "plain", G2694 &lt;&gt; "")</f>
        <v>0</v>
      </c>
      <c r="M2694" s="3" t="str">
        <f>IF(E2694, C2694 &amp; "|" &amp; H2694, "")</f>
        <v>principal-knowledge-authority|ProcedureResources</v>
      </c>
      <c r="N2694" s="2" t="s">
        <v>9938</v>
      </c>
    </row>
    <row r="2695">
      <c r="A2695" s="2" t="s">
        <v>12631</v>
      </c>
      <c r="B2695" s="3" t="str">
        <f>C2695 &amp; " -&gt; " &amp; D2695</f>
        <v>principal-knowledge-authority -&gt; ProcedureResources.ProcedureVersion</v>
      </c>
      <c r="C2695" s="2" t="s">
        <v>9708</v>
      </c>
      <c r="D2695" s="2" t="s">
        <v>3124</v>
      </c>
      <c r="E2695" s="2" t="b">
        <v>1</v>
      </c>
      <c r="F2695" s="2" t="b">
        <v>0</v>
      </c>
      <c r="G2695" s="2" t="s">
        <v>9937</v>
      </c>
      <c r="H2695" s="3" t="str">
        <f>_xlfn.IFNA(INDEX(RulebookFields!C2:C999, MATCH(D2695,RulebookFields!A2:A999, 0)), "")</f>
        <v>ProcedureResources</v>
      </c>
      <c r="I2695" s="3" t="str">
        <f>_xlfn.IFNA(INDEX(RulebookFields!D2:D999, MATCH(D2695,RulebookFields!A2:A999, 0)), "")</f>
        <v>ProcedureVersion</v>
      </c>
      <c r="J2695" s="3" t="b">
        <f>_xlfn.IFNA(INDEX(RulebookFields!I2:I999, MATCH(D2695,RulebookFields!A2:A999, 0)), "")</f>
        <v>0</v>
      </c>
      <c r="K2695" s="3" t="b">
        <f>AND(F2695, J2695)</f>
        <v>0</v>
      </c>
      <c r="L2695" s="3" t="b">
        <f>AND(G2695 &lt;&gt; "plain", G2695 &lt;&gt; "")</f>
        <v>0</v>
      </c>
      <c r="M2695" s="3" t="str">
        <f>IF(E2695, C2695 &amp; "|" &amp; H2695, "")</f>
        <v>principal-knowledge-authority|ProcedureResources</v>
      </c>
      <c r="N2695" s="2" t="s">
        <v>9938</v>
      </c>
    </row>
    <row r="2696">
      <c r="A2696" s="2" t="s">
        <v>12632</v>
      </c>
      <c r="B2696" s="3" t="str">
        <f>C2696 &amp; " -&gt; " &amp; D2696</f>
        <v>principal-knowledge-authority -&gt; ProcedureResources.Resource</v>
      </c>
      <c r="C2696" s="2" t="s">
        <v>9708</v>
      </c>
      <c r="D2696" s="2" t="s">
        <v>3125</v>
      </c>
      <c r="E2696" s="2" t="b">
        <v>1</v>
      </c>
      <c r="F2696" s="2" t="b">
        <v>0</v>
      </c>
      <c r="G2696" s="2" t="s">
        <v>9937</v>
      </c>
      <c r="H2696" s="3" t="str">
        <f>_xlfn.IFNA(INDEX(RulebookFields!C2:C999, MATCH(D2696,RulebookFields!A2:A999, 0)), "")</f>
        <v>ProcedureResources</v>
      </c>
      <c r="I2696" s="3" t="str">
        <f>_xlfn.IFNA(INDEX(RulebookFields!D2:D999, MATCH(D2696,RulebookFields!A2:A999, 0)), "")</f>
        <v>Resource</v>
      </c>
      <c r="J2696" s="3" t="b">
        <f>_xlfn.IFNA(INDEX(RulebookFields!I2:I999, MATCH(D2696,RulebookFields!A2:A999, 0)), "")</f>
        <v>0</v>
      </c>
      <c r="K2696" s="3" t="b">
        <f>AND(F2696, J2696)</f>
        <v>0</v>
      </c>
      <c r="L2696" s="3" t="b">
        <f>AND(G2696 &lt;&gt; "plain", G2696 &lt;&gt; "")</f>
        <v>0</v>
      </c>
      <c r="M2696" s="3" t="str">
        <f>IF(E2696, C2696 &amp; "|" &amp; H2696, "")</f>
        <v>principal-knowledge-authority|ProcedureResources</v>
      </c>
      <c r="N2696" s="2" t="s">
        <v>9938</v>
      </c>
    </row>
    <row r="2697">
      <c r="A2697" s="2" t="s">
        <v>12633</v>
      </c>
      <c r="B2697" s="3" t="str">
        <f>C2697 &amp; " -&gt; " &amp; D2697</f>
        <v>principal-knowledge-authority -&gt; ProcedureResources.Relation</v>
      </c>
      <c r="C2697" s="2" t="s">
        <v>9708</v>
      </c>
      <c r="D2697" s="2" t="s">
        <v>3126</v>
      </c>
      <c r="E2697" s="2" t="b">
        <v>1</v>
      </c>
      <c r="F2697" s="2" t="b">
        <v>0</v>
      </c>
      <c r="G2697" s="2" t="s">
        <v>9937</v>
      </c>
      <c r="H2697" s="3" t="str">
        <f>_xlfn.IFNA(INDEX(RulebookFields!C2:C999, MATCH(D2697,RulebookFields!A2:A999, 0)), "")</f>
        <v>ProcedureResources</v>
      </c>
      <c r="I2697" s="3" t="str">
        <f>_xlfn.IFNA(INDEX(RulebookFields!D2:D999, MATCH(D2697,RulebookFields!A2:A999, 0)), "")</f>
        <v>Relation</v>
      </c>
      <c r="J2697" s="3" t="b">
        <f>_xlfn.IFNA(INDEX(RulebookFields!I2:I999, MATCH(D2697,RulebookFields!A2:A999, 0)), "")</f>
        <v>0</v>
      </c>
      <c r="K2697" s="3" t="b">
        <f>AND(F2697, J2697)</f>
        <v>0</v>
      </c>
      <c r="L2697" s="3" t="b">
        <f>AND(G2697 &lt;&gt; "plain", G2697 &lt;&gt; "")</f>
        <v>0</v>
      </c>
      <c r="M2697" s="3" t="str">
        <f>IF(E2697, C2697 &amp; "|" &amp; H2697, "")</f>
        <v>principal-knowledge-authority|ProcedureResources</v>
      </c>
      <c r="N2697" s="2" t="s">
        <v>9938</v>
      </c>
    </row>
    <row r="2698">
      <c r="A2698" s="2" t="s">
        <v>12634</v>
      </c>
      <c r="B2698" s="3" t="str">
        <f>C2698 &amp; " -&gt; " &amp; D2698</f>
        <v>principal-knowledge-authority -&gt; ProcedureResources.RelationIri</v>
      </c>
      <c r="C2698" s="2" t="s">
        <v>9708</v>
      </c>
      <c r="D2698" s="2" t="s">
        <v>3127</v>
      </c>
      <c r="E2698" s="2" t="b">
        <v>1</v>
      </c>
      <c r="F2698" s="2" t="b">
        <v>0</v>
      </c>
      <c r="G2698" s="2" t="s">
        <v>9937</v>
      </c>
      <c r="H2698" s="3" t="str">
        <f>_xlfn.IFNA(INDEX(RulebookFields!C2:C999, MATCH(D2698,RulebookFields!A2:A999, 0)), "")</f>
        <v>ProcedureResources</v>
      </c>
      <c r="I2698" s="3" t="str">
        <f>_xlfn.IFNA(INDEX(RulebookFields!D2:D999, MATCH(D2698,RulebookFields!A2:A999, 0)), "")</f>
        <v>RelationIri</v>
      </c>
      <c r="J2698" s="3" t="b">
        <f>_xlfn.IFNA(INDEX(RulebookFields!I2:I999, MATCH(D2698,RulebookFields!A2:A999, 0)), "")</f>
        <v>1</v>
      </c>
      <c r="K2698" s="3" t="b">
        <f>AND(F2698, J2698)</f>
        <v>0</v>
      </c>
      <c r="L2698" s="3" t="b">
        <f>AND(G2698 &lt;&gt; "plain", G2698 &lt;&gt; "")</f>
        <v>0</v>
      </c>
      <c r="M2698" s="3" t="str">
        <f>IF(E2698, C2698 &amp; "|" &amp; H2698, "")</f>
        <v>principal-knowledge-authority|ProcedureResources</v>
      </c>
      <c r="N2698" s="2" t="s">
        <v>9938</v>
      </c>
    </row>
    <row r="2699">
      <c r="A2699" s="2" t="s">
        <v>12635</v>
      </c>
      <c r="B2699" s="3" t="str">
        <f>C2699 &amp; " -&gt; " &amp; D2699</f>
        <v>principal-knowledge-authority -&gt; ProcedureStatusChanges.ProcedureStatusChangeId</v>
      </c>
      <c r="C2699" s="2" t="s">
        <v>9708</v>
      </c>
      <c r="D2699" s="2" t="s">
        <v>2827</v>
      </c>
      <c r="E2699" s="2" t="b">
        <v>1</v>
      </c>
      <c r="F2699" s="2" t="b">
        <v>0</v>
      </c>
      <c r="G2699" s="2" t="s">
        <v>9937</v>
      </c>
      <c r="H2699" s="3" t="str">
        <f>_xlfn.IFNA(INDEX(RulebookFields!C2:C999, MATCH(D2699,RulebookFields!A2:A999, 0)), "")</f>
        <v>ProcedureStatusChanges</v>
      </c>
      <c r="I2699" s="3" t="str">
        <f>_xlfn.IFNA(INDEX(RulebookFields!D2:D999, MATCH(D2699,RulebookFields!A2:A999, 0)), "")</f>
        <v>ProcedureStatusChangeId</v>
      </c>
      <c r="J2699" s="3" t="b">
        <f>_xlfn.IFNA(INDEX(RulebookFields!I2:I999, MATCH(D2699,RulebookFields!A2:A999, 0)), "")</f>
        <v>0</v>
      </c>
      <c r="K2699" s="3" t="b">
        <f>AND(F2699, J2699)</f>
        <v>0</v>
      </c>
      <c r="L2699" s="3" t="b">
        <f>AND(G2699 &lt;&gt; "plain", G2699 &lt;&gt; "")</f>
        <v>0</v>
      </c>
      <c r="M2699" s="3" t="str">
        <f>IF(E2699, C2699 &amp; "|" &amp; H2699, "")</f>
        <v>principal-knowledge-authority|ProcedureStatusChanges</v>
      </c>
      <c r="N2699" s="2" t="s">
        <v>9938</v>
      </c>
    </row>
    <row r="2700">
      <c r="A2700" s="2" t="s">
        <v>12636</v>
      </c>
      <c r="B2700" s="3" t="str">
        <f>C2700 &amp; " -&gt; " &amp; D2700</f>
        <v>principal-knowledge-authority -&gt; ProcedureStatusChanges.Name</v>
      </c>
      <c r="C2700" s="2" t="s">
        <v>9708</v>
      </c>
      <c r="D2700" s="2" t="s">
        <v>2828</v>
      </c>
      <c r="E2700" s="2" t="b">
        <v>1</v>
      </c>
      <c r="F2700" s="2" t="b">
        <v>0</v>
      </c>
      <c r="G2700" s="2" t="s">
        <v>9937</v>
      </c>
      <c r="H2700" s="3" t="str">
        <f>_xlfn.IFNA(INDEX(RulebookFields!C2:C999, MATCH(D2700,RulebookFields!A2:A999, 0)), "")</f>
        <v>ProcedureStatusChanges</v>
      </c>
      <c r="I2700" s="3" t="str">
        <f>_xlfn.IFNA(INDEX(RulebookFields!D2:D999, MATCH(D2700,RulebookFields!A2:A999, 0)), "")</f>
        <v>Name</v>
      </c>
      <c r="J2700" s="3" t="b">
        <f>_xlfn.IFNA(INDEX(RulebookFields!I2:I999, MATCH(D2700,RulebookFields!A2:A999, 0)), "")</f>
        <v>1</v>
      </c>
      <c r="K2700" s="3" t="b">
        <f>AND(F2700, J2700)</f>
        <v>0</v>
      </c>
      <c r="L2700" s="3" t="b">
        <f>AND(G2700 &lt;&gt; "plain", G2700 &lt;&gt; "")</f>
        <v>0</v>
      </c>
      <c r="M2700" s="3" t="str">
        <f>IF(E2700, C2700 &amp; "|" &amp; H2700, "")</f>
        <v>principal-knowledge-authority|ProcedureStatusChanges</v>
      </c>
      <c r="N2700" s="2" t="s">
        <v>9938</v>
      </c>
    </row>
    <row r="2701">
      <c r="A2701" s="2" t="s">
        <v>12637</v>
      </c>
      <c r="B2701" s="3" t="str">
        <f>C2701 &amp; " -&gt; " &amp; D2701</f>
        <v>principal-knowledge-authority -&gt; ProcedureStatusChanges.ProcedureVersion</v>
      </c>
      <c r="C2701" s="2" t="s">
        <v>9708</v>
      </c>
      <c r="D2701" s="2" t="s">
        <v>2830</v>
      </c>
      <c r="E2701" s="2" t="b">
        <v>1</v>
      </c>
      <c r="F2701" s="2" t="b">
        <v>0</v>
      </c>
      <c r="G2701" s="2" t="s">
        <v>9937</v>
      </c>
      <c r="H2701" s="3" t="str">
        <f>_xlfn.IFNA(INDEX(RulebookFields!C2:C999, MATCH(D2701,RulebookFields!A2:A999, 0)), "")</f>
        <v>ProcedureStatusChanges</v>
      </c>
      <c r="I2701" s="3" t="str">
        <f>_xlfn.IFNA(INDEX(RulebookFields!D2:D999, MATCH(D2701,RulebookFields!A2:A999, 0)), "")</f>
        <v>ProcedureVersion</v>
      </c>
      <c r="J2701" s="3" t="b">
        <f>_xlfn.IFNA(INDEX(RulebookFields!I2:I999, MATCH(D2701,RulebookFields!A2:A999, 0)), "")</f>
        <v>0</v>
      </c>
      <c r="K2701" s="3" t="b">
        <f>AND(F2701, J2701)</f>
        <v>0</v>
      </c>
      <c r="L2701" s="3" t="b">
        <f>AND(G2701 &lt;&gt; "plain", G2701 &lt;&gt; "")</f>
        <v>0</v>
      </c>
      <c r="M2701" s="3" t="str">
        <f>IF(E2701, C2701 &amp; "|" &amp; H2701, "")</f>
        <v>principal-knowledge-authority|ProcedureStatusChanges</v>
      </c>
      <c r="N2701" s="2" t="s">
        <v>9938</v>
      </c>
    </row>
    <row r="2702">
      <c r="A2702" s="2" t="s">
        <v>12638</v>
      </c>
      <c r="B2702" s="3" t="str">
        <f>C2702 &amp; " -&gt; " &amp; D2702</f>
        <v>principal-knowledge-authority -&gt; ProcedureStatusChanges.FromStatus</v>
      </c>
      <c r="C2702" s="2" t="s">
        <v>9708</v>
      </c>
      <c r="D2702" s="2" t="s">
        <v>2831</v>
      </c>
      <c r="E2702" s="2" t="b">
        <v>1</v>
      </c>
      <c r="F2702" s="2" t="b">
        <v>0</v>
      </c>
      <c r="G2702" s="2" t="s">
        <v>9937</v>
      </c>
      <c r="H2702" s="3" t="str">
        <f>_xlfn.IFNA(INDEX(RulebookFields!C2:C999, MATCH(D2702,RulebookFields!A2:A999, 0)), "")</f>
        <v>ProcedureStatusChanges</v>
      </c>
      <c r="I2702" s="3" t="str">
        <f>_xlfn.IFNA(INDEX(RulebookFields!D2:D999, MATCH(D2702,RulebookFields!A2:A999, 0)), "")</f>
        <v>FromStatus</v>
      </c>
      <c r="J2702" s="3" t="b">
        <f>_xlfn.IFNA(INDEX(RulebookFields!I2:I999, MATCH(D2702,RulebookFields!A2:A999, 0)), "")</f>
        <v>0</v>
      </c>
      <c r="K2702" s="3" t="b">
        <f>AND(F2702, J2702)</f>
        <v>0</v>
      </c>
      <c r="L2702" s="3" t="b">
        <f>AND(G2702 &lt;&gt; "plain", G2702 &lt;&gt; "")</f>
        <v>0</v>
      </c>
      <c r="M2702" s="3" t="str">
        <f>IF(E2702, C2702 &amp; "|" &amp; H2702, "")</f>
        <v>principal-knowledge-authority|ProcedureStatusChanges</v>
      </c>
      <c r="N2702" s="2" t="s">
        <v>9938</v>
      </c>
    </row>
    <row r="2703">
      <c r="A2703" s="2" t="s">
        <v>12639</v>
      </c>
      <c r="B2703" s="3" t="str">
        <f>C2703 &amp; " -&gt; " &amp; D2703</f>
        <v>principal-knowledge-authority -&gt; ProcedureStatusChanges.ToStatus</v>
      </c>
      <c r="C2703" s="2" t="s">
        <v>9708</v>
      </c>
      <c r="D2703" s="2" t="s">
        <v>2832</v>
      </c>
      <c r="E2703" s="2" t="b">
        <v>1</v>
      </c>
      <c r="F2703" s="2" t="b">
        <v>0</v>
      </c>
      <c r="G2703" s="2" t="s">
        <v>9937</v>
      </c>
      <c r="H2703" s="3" t="str">
        <f>_xlfn.IFNA(INDEX(RulebookFields!C2:C999, MATCH(D2703,RulebookFields!A2:A999, 0)), "")</f>
        <v>ProcedureStatusChanges</v>
      </c>
      <c r="I2703" s="3" t="str">
        <f>_xlfn.IFNA(INDEX(RulebookFields!D2:D999, MATCH(D2703,RulebookFields!A2:A999, 0)), "")</f>
        <v>ToStatus</v>
      </c>
      <c r="J2703" s="3" t="b">
        <f>_xlfn.IFNA(INDEX(RulebookFields!I2:I999, MATCH(D2703,RulebookFields!A2:A999, 0)), "")</f>
        <v>0</v>
      </c>
      <c r="K2703" s="3" t="b">
        <f>AND(F2703, J2703)</f>
        <v>0</v>
      </c>
      <c r="L2703" s="3" t="b">
        <f>AND(G2703 &lt;&gt; "plain", G2703 &lt;&gt; "")</f>
        <v>0</v>
      </c>
      <c r="M2703" s="3" t="str">
        <f>IF(E2703, C2703 &amp; "|" &amp; H2703, "")</f>
        <v>principal-knowledge-authority|ProcedureStatusChanges</v>
      </c>
      <c r="N2703" s="2" t="s">
        <v>9938</v>
      </c>
    </row>
    <row r="2704">
      <c r="A2704" s="2" t="s">
        <v>12640</v>
      </c>
      <c r="B2704" s="3" t="str">
        <f>C2704 &amp; " -&gt; " &amp; D2704</f>
        <v>principal-knowledge-authority -&gt; ProcedureStatusChanges.ChangedAt</v>
      </c>
      <c r="C2704" s="2" t="s">
        <v>9708</v>
      </c>
      <c r="D2704" s="2" t="s">
        <v>2833</v>
      </c>
      <c r="E2704" s="2" t="b">
        <v>1</v>
      </c>
      <c r="F2704" s="2" t="b">
        <v>0</v>
      </c>
      <c r="G2704" s="2" t="s">
        <v>9937</v>
      </c>
      <c r="H2704" s="3" t="str">
        <f>_xlfn.IFNA(INDEX(RulebookFields!C2:C999, MATCH(D2704,RulebookFields!A2:A999, 0)), "")</f>
        <v>ProcedureStatusChanges</v>
      </c>
      <c r="I2704" s="3" t="str">
        <f>_xlfn.IFNA(INDEX(RulebookFields!D2:D999, MATCH(D2704,RulebookFields!A2:A999, 0)), "")</f>
        <v>ChangedAt</v>
      </c>
      <c r="J2704" s="3" t="b">
        <f>_xlfn.IFNA(INDEX(RulebookFields!I2:I999, MATCH(D2704,RulebookFields!A2:A999, 0)), "")</f>
        <v>0</v>
      </c>
      <c r="K2704" s="3" t="b">
        <f>AND(F2704, J2704)</f>
        <v>0</v>
      </c>
      <c r="L2704" s="3" t="b">
        <f>AND(G2704 &lt;&gt; "plain", G2704 &lt;&gt; "")</f>
        <v>0</v>
      </c>
      <c r="M2704" s="3" t="str">
        <f>IF(E2704, C2704 &amp; "|" &amp; H2704, "")</f>
        <v>principal-knowledge-authority|ProcedureStatusChanges</v>
      </c>
      <c r="N2704" s="2" t="s">
        <v>9938</v>
      </c>
    </row>
    <row r="2705">
      <c r="A2705" s="2" t="s">
        <v>12641</v>
      </c>
      <c r="B2705" s="3" t="str">
        <f>C2705 &amp; " -&gt; " &amp; D2705</f>
        <v>principal-knowledge-authority -&gt; ProcedureStatusChanges.ChangedByAgent</v>
      </c>
      <c r="C2705" s="2" t="s">
        <v>9708</v>
      </c>
      <c r="D2705" s="2" t="s">
        <v>2834</v>
      </c>
      <c r="E2705" s="2" t="b">
        <v>1</v>
      </c>
      <c r="F2705" s="2" t="b">
        <v>0</v>
      </c>
      <c r="G2705" s="2" t="s">
        <v>9937</v>
      </c>
      <c r="H2705" s="3" t="str">
        <f>_xlfn.IFNA(INDEX(RulebookFields!C2:C999, MATCH(D2705,RulebookFields!A2:A999, 0)), "")</f>
        <v>ProcedureStatusChanges</v>
      </c>
      <c r="I2705" s="3" t="str">
        <f>_xlfn.IFNA(INDEX(RulebookFields!D2:D999, MATCH(D2705,RulebookFields!A2:A999, 0)), "")</f>
        <v>ChangedByAgent</v>
      </c>
      <c r="J2705" s="3" t="b">
        <f>_xlfn.IFNA(INDEX(RulebookFields!I2:I999, MATCH(D2705,RulebookFields!A2:A999, 0)), "")</f>
        <v>0</v>
      </c>
      <c r="K2705" s="3" t="b">
        <f>AND(F2705, J2705)</f>
        <v>0</v>
      </c>
      <c r="L2705" s="3" t="b">
        <f>AND(G2705 &lt;&gt; "plain", G2705 &lt;&gt; "")</f>
        <v>0</v>
      </c>
      <c r="M2705" s="3" t="str">
        <f>IF(E2705, C2705 &amp; "|" &amp; H2705, "")</f>
        <v>principal-knowledge-authority|ProcedureStatusChanges</v>
      </c>
      <c r="N2705" s="2" t="s">
        <v>9938</v>
      </c>
    </row>
    <row r="2706">
      <c r="A2706" s="2" t="s">
        <v>12642</v>
      </c>
      <c r="B2706" s="3" t="str">
        <f>C2706 &amp; " -&gt; " &amp; D2706</f>
        <v>principal-knowledge-authority -&gt; ProcedureStatusChanges.Motivation</v>
      </c>
      <c r="C2706" s="2" t="s">
        <v>9708</v>
      </c>
      <c r="D2706" s="2" t="s">
        <v>2835</v>
      </c>
      <c r="E2706" s="2" t="b">
        <v>1</v>
      </c>
      <c r="F2706" s="2" t="b">
        <v>0</v>
      </c>
      <c r="G2706" s="2" t="s">
        <v>9937</v>
      </c>
      <c r="H2706" s="3" t="str">
        <f>_xlfn.IFNA(INDEX(RulebookFields!C2:C999, MATCH(D2706,RulebookFields!A2:A999, 0)), "")</f>
        <v>ProcedureStatusChanges</v>
      </c>
      <c r="I2706" s="3" t="str">
        <f>_xlfn.IFNA(INDEX(RulebookFields!D2:D999, MATCH(D2706,RulebookFields!A2:A999, 0)), "")</f>
        <v>Motivation</v>
      </c>
      <c r="J2706" s="3" t="b">
        <f>_xlfn.IFNA(INDEX(RulebookFields!I2:I999, MATCH(D2706,RulebookFields!A2:A999, 0)), "")</f>
        <v>0</v>
      </c>
      <c r="K2706" s="3" t="b">
        <f>AND(F2706, J2706)</f>
        <v>0</v>
      </c>
      <c r="L2706" s="3" t="b">
        <f>AND(G2706 &lt;&gt; "plain", G2706 &lt;&gt; "")</f>
        <v>0</v>
      </c>
      <c r="M2706" s="3" t="str">
        <f>IF(E2706, C2706 &amp; "|" &amp; H2706, "")</f>
        <v>principal-knowledge-authority|ProcedureStatusChanges</v>
      </c>
      <c r="N2706" s="2" t="s">
        <v>9938</v>
      </c>
    </row>
    <row r="2707">
      <c r="A2707" s="2" t="s">
        <v>12643</v>
      </c>
      <c r="B2707" s="3" t="str">
        <f>C2707 &amp; " -&gt; " &amp; D2707</f>
        <v>principal-knowledge-authority -&gt; ProcedureStatusChanges.SemanticTypeIri</v>
      </c>
      <c r="C2707" s="2" t="s">
        <v>9708</v>
      </c>
      <c r="D2707" s="2" t="s">
        <v>2836</v>
      </c>
      <c r="E2707" s="2" t="b">
        <v>1</v>
      </c>
      <c r="F2707" s="2" t="b">
        <v>0</v>
      </c>
      <c r="G2707" s="2" t="s">
        <v>9937</v>
      </c>
      <c r="H2707" s="3" t="str">
        <f>_xlfn.IFNA(INDEX(RulebookFields!C2:C999, MATCH(D2707,RulebookFields!A2:A999, 0)), "")</f>
        <v>ProcedureStatusChanges</v>
      </c>
      <c r="I2707" s="3" t="str">
        <f>_xlfn.IFNA(INDEX(RulebookFields!D2:D999, MATCH(D2707,RulebookFields!A2:A999, 0)), "")</f>
        <v>SemanticTypeIri</v>
      </c>
      <c r="J2707" s="3" t="b">
        <f>_xlfn.IFNA(INDEX(RulebookFields!I2:I999, MATCH(D2707,RulebookFields!A2:A999, 0)), "")</f>
        <v>0</v>
      </c>
      <c r="K2707" s="3" t="b">
        <f>AND(F2707, J2707)</f>
        <v>0</v>
      </c>
      <c r="L2707" s="3" t="b">
        <f>AND(G2707 &lt;&gt; "plain", G2707 &lt;&gt; "")</f>
        <v>0</v>
      </c>
      <c r="M2707" s="3" t="str">
        <f>IF(E2707, C2707 &amp; "|" &amp; H2707, "")</f>
        <v>principal-knowledge-authority|ProcedureStatusChanges</v>
      </c>
      <c r="N2707" s="2" t="s">
        <v>9938</v>
      </c>
    </row>
    <row r="2708">
      <c r="A2708" s="2" t="s">
        <v>12644</v>
      </c>
      <c r="B2708" s="3" t="str">
        <f>C2708 &amp; " -&gt; " &amp; D2708</f>
        <v>principal-knowledge-authority -&gt; ProcedureTypes.ProcedureTypeId</v>
      </c>
      <c r="C2708" s="2" t="s">
        <v>9708</v>
      </c>
      <c r="D2708" s="2" t="s">
        <v>2644</v>
      </c>
      <c r="E2708" s="2" t="b">
        <v>1</v>
      </c>
      <c r="F2708" s="2" t="b">
        <v>0</v>
      </c>
      <c r="G2708" s="2" t="s">
        <v>9937</v>
      </c>
      <c r="H2708" s="3" t="str">
        <f>_xlfn.IFNA(INDEX(RulebookFields!C2:C999, MATCH(D2708,RulebookFields!A2:A999, 0)), "")</f>
        <v>ProcedureTypes</v>
      </c>
      <c r="I2708" s="3" t="str">
        <f>_xlfn.IFNA(INDEX(RulebookFields!D2:D999, MATCH(D2708,RulebookFields!A2:A999, 0)), "")</f>
        <v>ProcedureTypeId</v>
      </c>
      <c r="J2708" s="3" t="b">
        <f>_xlfn.IFNA(INDEX(RulebookFields!I2:I999, MATCH(D2708,RulebookFields!A2:A999, 0)), "")</f>
        <v>0</v>
      </c>
      <c r="K2708" s="3" t="b">
        <f>AND(F2708, J2708)</f>
        <v>0</v>
      </c>
      <c r="L2708" s="3" t="b">
        <f>AND(G2708 &lt;&gt; "plain", G2708 &lt;&gt; "")</f>
        <v>0</v>
      </c>
      <c r="M2708" s="3" t="str">
        <f>IF(E2708, C2708 &amp; "|" &amp; H2708, "")</f>
        <v>principal-knowledge-authority|ProcedureTypes</v>
      </c>
      <c r="N2708" s="2" t="s">
        <v>9938</v>
      </c>
    </row>
    <row r="2709">
      <c r="A2709" s="2" t="s">
        <v>12645</v>
      </c>
      <c r="B2709" s="3" t="str">
        <f>C2709 &amp; " -&gt; " &amp; D2709</f>
        <v>principal-knowledge-authority -&gt; ProcedureTypes.Name</v>
      </c>
      <c r="C2709" s="2" t="s">
        <v>9708</v>
      </c>
      <c r="D2709" s="2" t="s">
        <v>2646</v>
      </c>
      <c r="E2709" s="2" t="b">
        <v>1</v>
      </c>
      <c r="F2709" s="2" t="b">
        <v>0</v>
      </c>
      <c r="G2709" s="2" t="s">
        <v>9937</v>
      </c>
      <c r="H2709" s="3" t="str">
        <f>_xlfn.IFNA(INDEX(RulebookFields!C2:C999, MATCH(D2709,RulebookFields!A2:A999, 0)), "")</f>
        <v>ProcedureTypes</v>
      </c>
      <c r="I2709" s="3" t="str">
        <f>_xlfn.IFNA(INDEX(RulebookFields!D2:D999, MATCH(D2709,RulebookFields!A2:A999, 0)), "")</f>
        <v>Name</v>
      </c>
      <c r="J2709" s="3" t="b">
        <f>_xlfn.IFNA(INDEX(RulebookFields!I2:I999, MATCH(D2709,RulebookFields!A2:A999, 0)), "")</f>
        <v>1</v>
      </c>
      <c r="K2709" s="3" t="b">
        <f>AND(F2709, J2709)</f>
        <v>0</v>
      </c>
      <c r="L2709" s="3" t="b">
        <f>AND(G2709 &lt;&gt; "plain", G2709 &lt;&gt; "")</f>
        <v>0</v>
      </c>
      <c r="M2709" s="3" t="str">
        <f>IF(E2709, C2709 &amp; "|" &amp; H2709, "")</f>
        <v>principal-knowledge-authority|ProcedureTypes</v>
      </c>
      <c r="N2709" s="2" t="s">
        <v>9938</v>
      </c>
    </row>
    <row r="2710">
      <c r="A2710" s="2" t="s">
        <v>12646</v>
      </c>
      <c r="B2710" s="3" t="str">
        <f>C2710 &amp; " -&gt; " &amp; D2710</f>
        <v>principal-knowledge-authority -&gt; ProcedureTypes.Label</v>
      </c>
      <c r="C2710" s="2" t="s">
        <v>9708</v>
      </c>
      <c r="D2710" s="2" t="s">
        <v>2647</v>
      </c>
      <c r="E2710" s="2" t="b">
        <v>1</v>
      </c>
      <c r="F2710" s="2" t="b">
        <v>0</v>
      </c>
      <c r="G2710" s="2" t="s">
        <v>9937</v>
      </c>
      <c r="H2710" s="3" t="str">
        <f>_xlfn.IFNA(INDEX(RulebookFields!C2:C999, MATCH(D2710,RulebookFields!A2:A999, 0)), "")</f>
        <v>ProcedureTypes</v>
      </c>
      <c r="I2710" s="3" t="str">
        <f>_xlfn.IFNA(INDEX(RulebookFields!D2:D999, MATCH(D2710,RulebookFields!A2:A999, 0)), "")</f>
        <v>Label</v>
      </c>
      <c r="J2710" s="3" t="b">
        <f>_xlfn.IFNA(INDEX(RulebookFields!I2:I999, MATCH(D2710,RulebookFields!A2:A999, 0)), "")</f>
        <v>0</v>
      </c>
      <c r="K2710" s="3" t="b">
        <f>AND(F2710, J2710)</f>
        <v>0</v>
      </c>
      <c r="L2710" s="3" t="b">
        <f>AND(G2710 &lt;&gt; "plain", G2710 &lt;&gt; "")</f>
        <v>0</v>
      </c>
      <c r="M2710" s="3" t="str">
        <f>IF(E2710, C2710 &amp; "|" &amp; H2710, "")</f>
        <v>principal-knowledge-authority|ProcedureTypes</v>
      </c>
      <c r="N2710" s="2" t="s">
        <v>9938</v>
      </c>
    </row>
    <row r="2711">
      <c r="A2711" s="2" t="s">
        <v>12647</v>
      </c>
      <c r="B2711" s="3" t="str">
        <f>C2711 &amp; " -&gt; " &amp; D2711</f>
        <v>principal-knowledge-authority -&gt; ProcedureTypes.Definition</v>
      </c>
      <c r="C2711" s="2" t="s">
        <v>9708</v>
      </c>
      <c r="D2711" s="2" t="s">
        <v>2648</v>
      </c>
      <c r="E2711" s="2" t="b">
        <v>1</v>
      </c>
      <c r="F2711" s="2" t="b">
        <v>0</v>
      </c>
      <c r="G2711" s="2" t="s">
        <v>9937</v>
      </c>
      <c r="H2711" s="3" t="str">
        <f>_xlfn.IFNA(INDEX(RulebookFields!C2:C999, MATCH(D2711,RulebookFields!A2:A999, 0)), "")</f>
        <v>ProcedureTypes</v>
      </c>
      <c r="I2711" s="3" t="str">
        <f>_xlfn.IFNA(INDEX(RulebookFields!D2:D999, MATCH(D2711,RulebookFields!A2:A999, 0)), "")</f>
        <v>Definition</v>
      </c>
      <c r="J2711" s="3" t="b">
        <f>_xlfn.IFNA(INDEX(RulebookFields!I2:I999, MATCH(D2711,RulebookFields!A2:A999, 0)), "")</f>
        <v>0</v>
      </c>
      <c r="K2711" s="3" t="b">
        <f>AND(F2711, J2711)</f>
        <v>0</v>
      </c>
      <c r="L2711" s="3" t="b">
        <f>AND(G2711 &lt;&gt; "plain", G2711 &lt;&gt; "")</f>
        <v>0</v>
      </c>
      <c r="M2711" s="3" t="str">
        <f>IF(E2711, C2711 &amp; "|" &amp; H2711, "")</f>
        <v>principal-knowledge-authority|ProcedureTypes</v>
      </c>
      <c r="N2711" s="2" t="s">
        <v>9938</v>
      </c>
    </row>
    <row r="2712">
      <c r="A2712" s="2" t="s">
        <v>12648</v>
      </c>
      <c r="B2712" s="3" t="str">
        <f>C2712 &amp; " -&gt; " &amp; D2712</f>
        <v>principal-knowledge-authority -&gt; ProcedureTypes.SemanticTypeIri</v>
      </c>
      <c r="C2712" s="2" t="s">
        <v>9708</v>
      </c>
      <c r="D2712" s="2" t="s">
        <v>2649</v>
      </c>
      <c r="E2712" s="2" t="b">
        <v>1</v>
      </c>
      <c r="F2712" s="2" t="b">
        <v>0</v>
      </c>
      <c r="G2712" s="2" t="s">
        <v>9937</v>
      </c>
      <c r="H2712" s="3" t="str">
        <f>_xlfn.IFNA(INDEX(RulebookFields!C2:C999, MATCH(D2712,RulebookFields!A2:A999, 0)), "")</f>
        <v>ProcedureTypes</v>
      </c>
      <c r="I2712" s="3" t="str">
        <f>_xlfn.IFNA(INDEX(RulebookFields!D2:D999, MATCH(D2712,RulebookFields!A2:A999, 0)), "")</f>
        <v>SemanticTypeIri</v>
      </c>
      <c r="J2712" s="3" t="b">
        <f>_xlfn.IFNA(INDEX(RulebookFields!I2:I999, MATCH(D2712,RulebookFields!A2:A999, 0)), "")</f>
        <v>0</v>
      </c>
      <c r="K2712" s="3" t="b">
        <f>AND(F2712, J2712)</f>
        <v>0</v>
      </c>
      <c r="L2712" s="3" t="b">
        <f>AND(G2712 &lt;&gt; "plain", G2712 &lt;&gt; "")</f>
        <v>0</v>
      </c>
      <c r="M2712" s="3" t="str">
        <f>IF(E2712, C2712 &amp; "|" &amp; H2712, "")</f>
        <v>principal-knowledge-authority|ProcedureTypes</v>
      </c>
      <c r="N2712" s="2" t="s">
        <v>9938</v>
      </c>
    </row>
    <row r="2713">
      <c r="A2713" s="2" t="s">
        <v>12649</v>
      </c>
      <c r="B2713" s="3" t="str">
        <f>C2713 &amp; " -&gt; " &amp; D2713</f>
        <v>principal-knowledge-authority -&gt; ProcedureVersionLinks.ProcedureVersionLinkId</v>
      </c>
      <c r="C2713" s="2" t="s">
        <v>9708</v>
      </c>
      <c r="D2713" s="2" t="s">
        <v>2817</v>
      </c>
      <c r="E2713" s="2" t="b">
        <v>1</v>
      </c>
      <c r="F2713" s="2" t="b">
        <v>0</v>
      </c>
      <c r="G2713" s="2" t="s">
        <v>9937</v>
      </c>
      <c r="H2713" s="3" t="str">
        <f>_xlfn.IFNA(INDEX(RulebookFields!C2:C999, MATCH(D2713,RulebookFields!A2:A999, 0)), "")</f>
        <v>ProcedureVersionLinks</v>
      </c>
      <c r="I2713" s="3" t="str">
        <f>_xlfn.IFNA(INDEX(RulebookFields!D2:D999, MATCH(D2713,RulebookFields!A2:A999, 0)), "")</f>
        <v>ProcedureVersionLinkId</v>
      </c>
      <c r="J2713" s="3" t="b">
        <f>_xlfn.IFNA(INDEX(RulebookFields!I2:I999, MATCH(D2713,RulebookFields!A2:A999, 0)), "")</f>
        <v>0</v>
      </c>
      <c r="K2713" s="3" t="b">
        <f>AND(F2713, J2713)</f>
        <v>0</v>
      </c>
      <c r="L2713" s="3" t="b">
        <f>AND(G2713 &lt;&gt; "plain", G2713 &lt;&gt; "")</f>
        <v>0</v>
      </c>
      <c r="M2713" s="3" t="str">
        <f>IF(E2713, C2713 &amp; "|" &amp; H2713, "")</f>
        <v>principal-knowledge-authority|ProcedureVersionLinks</v>
      </c>
      <c r="N2713" s="2" t="s">
        <v>9938</v>
      </c>
    </row>
    <row r="2714">
      <c r="A2714" s="2" t="s">
        <v>12650</v>
      </c>
      <c r="B2714" s="3" t="str">
        <f>C2714 &amp; " -&gt; " &amp; D2714</f>
        <v>principal-knowledge-authority -&gt; ProcedureVersionLinks.Name</v>
      </c>
      <c r="C2714" s="2" t="s">
        <v>9708</v>
      </c>
      <c r="D2714" s="2" t="s">
        <v>2819</v>
      </c>
      <c r="E2714" s="2" t="b">
        <v>1</v>
      </c>
      <c r="F2714" s="2" t="b">
        <v>0</v>
      </c>
      <c r="G2714" s="2" t="s">
        <v>9937</v>
      </c>
      <c r="H2714" s="3" t="str">
        <f>_xlfn.IFNA(INDEX(RulebookFields!C2:C999, MATCH(D2714,RulebookFields!A2:A999, 0)), "")</f>
        <v>ProcedureVersionLinks</v>
      </c>
      <c r="I2714" s="3" t="str">
        <f>_xlfn.IFNA(INDEX(RulebookFields!D2:D999, MATCH(D2714,RulebookFields!A2:A999, 0)), "")</f>
        <v>Name</v>
      </c>
      <c r="J2714" s="3" t="b">
        <f>_xlfn.IFNA(INDEX(RulebookFields!I2:I999, MATCH(D2714,RulebookFields!A2:A999, 0)), "")</f>
        <v>1</v>
      </c>
      <c r="K2714" s="3" t="b">
        <f>AND(F2714, J2714)</f>
        <v>0</v>
      </c>
      <c r="L2714" s="3" t="b">
        <f>AND(G2714 &lt;&gt; "plain", G2714 &lt;&gt; "")</f>
        <v>0</v>
      </c>
      <c r="M2714" s="3" t="str">
        <f>IF(E2714, C2714 &amp; "|" &amp; H2714, "")</f>
        <v>principal-knowledge-authority|ProcedureVersionLinks</v>
      </c>
      <c r="N2714" s="2" t="s">
        <v>9938</v>
      </c>
    </row>
    <row r="2715">
      <c r="A2715" s="2" t="s">
        <v>12651</v>
      </c>
      <c r="B2715" s="3" t="str">
        <f>C2715 &amp; " -&gt; " &amp; D2715</f>
        <v>principal-knowledge-authority -&gt; ProcedureVersionLinks.PreviousProcedureVersion</v>
      </c>
      <c r="C2715" s="2" t="s">
        <v>9708</v>
      </c>
      <c r="D2715" s="2" t="s">
        <v>2821</v>
      </c>
      <c r="E2715" s="2" t="b">
        <v>1</v>
      </c>
      <c r="F2715" s="2" t="b">
        <v>0</v>
      </c>
      <c r="G2715" s="2" t="s">
        <v>9937</v>
      </c>
      <c r="H2715" s="3" t="str">
        <f>_xlfn.IFNA(INDEX(RulebookFields!C2:C999, MATCH(D2715,RulebookFields!A2:A999, 0)), "")</f>
        <v>ProcedureVersionLinks</v>
      </c>
      <c r="I2715" s="3" t="str">
        <f>_xlfn.IFNA(INDEX(RulebookFields!D2:D999, MATCH(D2715,RulebookFields!A2:A999, 0)), "")</f>
        <v>PreviousProcedureVersion</v>
      </c>
      <c r="J2715" s="3" t="b">
        <f>_xlfn.IFNA(INDEX(RulebookFields!I2:I999, MATCH(D2715,RulebookFields!A2:A999, 0)), "")</f>
        <v>0</v>
      </c>
      <c r="K2715" s="3" t="b">
        <f>AND(F2715, J2715)</f>
        <v>0</v>
      </c>
      <c r="L2715" s="3" t="b">
        <f>AND(G2715 &lt;&gt; "plain", G2715 &lt;&gt; "")</f>
        <v>0</v>
      </c>
      <c r="M2715" s="3" t="str">
        <f>IF(E2715, C2715 &amp; "|" &amp; H2715, "")</f>
        <v>principal-knowledge-authority|ProcedureVersionLinks</v>
      </c>
      <c r="N2715" s="2" t="s">
        <v>9938</v>
      </c>
    </row>
    <row r="2716">
      <c r="A2716" s="2" t="s">
        <v>12652</v>
      </c>
      <c r="B2716" s="3" t="str">
        <f>C2716 &amp; " -&gt; " &amp; D2716</f>
        <v>principal-knowledge-authority -&gt; ProcedureVersionLinks.NextProcedureVersion</v>
      </c>
      <c r="C2716" s="2" t="s">
        <v>9708</v>
      </c>
      <c r="D2716" s="2" t="s">
        <v>2822</v>
      </c>
      <c r="E2716" s="2" t="b">
        <v>1</v>
      </c>
      <c r="F2716" s="2" t="b">
        <v>0</v>
      </c>
      <c r="G2716" s="2" t="s">
        <v>9937</v>
      </c>
      <c r="H2716" s="3" t="str">
        <f>_xlfn.IFNA(INDEX(RulebookFields!C2:C999, MATCH(D2716,RulebookFields!A2:A999, 0)), "")</f>
        <v>ProcedureVersionLinks</v>
      </c>
      <c r="I2716" s="3" t="str">
        <f>_xlfn.IFNA(INDEX(RulebookFields!D2:D999, MATCH(D2716,RulebookFields!A2:A999, 0)), "")</f>
        <v>NextProcedureVersion</v>
      </c>
      <c r="J2716" s="3" t="b">
        <f>_xlfn.IFNA(INDEX(RulebookFields!I2:I999, MATCH(D2716,RulebookFields!A2:A999, 0)), "")</f>
        <v>0</v>
      </c>
      <c r="K2716" s="3" t="b">
        <f>AND(F2716, J2716)</f>
        <v>0</v>
      </c>
      <c r="L2716" s="3" t="b">
        <f>AND(G2716 &lt;&gt; "plain", G2716 &lt;&gt; "")</f>
        <v>0</v>
      </c>
      <c r="M2716" s="3" t="str">
        <f>IF(E2716, C2716 &amp; "|" &amp; H2716, "")</f>
        <v>principal-knowledge-authority|ProcedureVersionLinks</v>
      </c>
      <c r="N2716" s="2" t="s">
        <v>9938</v>
      </c>
    </row>
    <row r="2717">
      <c r="A2717" s="2" t="s">
        <v>12653</v>
      </c>
      <c r="B2717" s="3" t="str">
        <f>C2717 &amp; " -&gt; " &amp; D2717</f>
        <v>principal-knowledge-authority -&gt; ProcedureVersionLinks.RelationIri</v>
      </c>
      <c r="C2717" s="2" t="s">
        <v>9708</v>
      </c>
      <c r="D2717" s="2" t="s">
        <v>2823</v>
      </c>
      <c r="E2717" s="2" t="b">
        <v>1</v>
      </c>
      <c r="F2717" s="2" t="b">
        <v>0</v>
      </c>
      <c r="G2717" s="2" t="s">
        <v>9937</v>
      </c>
      <c r="H2717" s="3" t="str">
        <f>_xlfn.IFNA(INDEX(RulebookFields!C2:C999, MATCH(D2717,RulebookFields!A2:A999, 0)), "")</f>
        <v>ProcedureVersionLinks</v>
      </c>
      <c r="I2717" s="3" t="str">
        <f>_xlfn.IFNA(INDEX(RulebookFields!D2:D999, MATCH(D2717,RulebookFields!A2:A999, 0)), "")</f>
        <v>RelationIri</v>
      </c>
      <c r="J2717" s="3" t="b">
        <f>_xlfn.IFNA(INDEX(RulebookFields!I2:I999, MATCH(D2717,RulebookFields!A2:A999, 0)), "")</f>
        <v>0</v>
      </c>
      <c r="K2717" s="3" t="b">
        <f>AND(F2717, J2717)</f>
        <v>0</v>
      </c>
      <c r="L2717" s="3" t="b">
        <f>AND(G2717 &lt;&gt; "plain", G2717 &lt;&gt; "")</f>
        <v>0</v>
      </c>
      <c r="M2717" s="3" t="str">
        <f>IF(E2717, C2717 &amp; "|" &amp; H2717, "")</f>
        <v>principal-knowledge-authority|ProcedureVersionLinks</v>
      </c>
      <c r="N2717" s="2" t="s">
        <v>9938</v>
      </c>
    </row>
    <row r="2718">
      <c r="A2718" s="2" t="s">
        <v>12654</v>
      </c>
      <c r="B2718" s="3" t="str">
        <f>C2718 &amp; " -&gt; " &amp; D2718</f>
        <v>principal-knowledge-authority -&gt; ProcedureVersionLinks.ChangeSummary</v>
      </c>
      <c r="C2718" s="2" t="s">
        <v>9708</v>
      </c>
      <c r="D2718" s="2" t="s">
        <v>2824</v>
      </c>
      <c r="E2718" s="2" t="b">
        <v>1</v>
      </c>
      <c r="F2718" s="2" t="b">
        <v>0</v>
      </c>
      <c r="G2718" s="2" t="s">
        <v>9937</v>
      </c>
      <c r="H2718" s="3" t="str">
        <f>_xlfn.IFNA(INDEX(RulebookFields!C2:C999, MATCH(D2718,RulebookFields!A2:A999, 0)), "")</f>
        <v>ProcedureVersionLinks</v>
      </c>
      <c r="I2718" s="3" t="str">
        <f>_xlfn.IFNA(INDEX(RulebookFields!D2:D999, MATCH(D2718,RulebookFields!A2:A999, 0)), "")</f>
        <v>ChangeSummary</v>
      </c>
      <c r="J2718" s="3" t="b">
        <f>_xlfn.IFNA(INDEX(RulebookFields!I2:I999, MATCH(D2718,RulebookFields!A2:A999, 0)), "")</f>
        <v>0</v>
      </c>
      <c r="K2718" s="3" t="b">
        <f>AND(F2718, J2718)</f>
        <v>0</v>
      </c>
      <c r="L2718" s="3" t="b">
        <f>AND(G2718 &lt;&gt; "plain", G2718 &lt;&gt; "")</f>
        <v>0</v>
      </c>
      <c r="M2718" s="3" t="str">
        <f>IF(E2718, C2718 &amp; "|" &amp; H2718, "")</f>
        <v>principal-knowledge-authority|ProcedureVersionLinks</v>
      </c>
      <c r="N2718" s="2" t="s">
        <v>9938</v>
      </c>
    </row>
    <row r="2719">
      <c r="A2719" s="2" t="s">
        <v>12655</v>
      </c>
      <c r="B2719" s="3" t="str">
        <f>C2719 &amp; " -&gt; " &amp; D2719</f>
        <v>principal-knowledge-authority -&gt; ProcedureVersionLinks.SupersededVersionKey</v>
      </c>
      <c r="C2719" s="2" t="s">
        <v>9708</v>
      </c>
      <c r="D2719" s="2" t="s">
        <v>2825</v>
      </c>
      <c r="E2719" s="2" t="b">
        <v>1</v>
      </c>
      <c r="F2719" s="2" t="b">
        <v>0</v>
      </c>
      <c r="G2719" s="2" t="s">
        <v>9937</v>
      </c>
      <c r="H2719" s="3" t="str">
        <f>_xlfn.IFNA(INDEX(RulebookFields!C2:C999, MATCH(D2719,RulebookFields!A2:A999, 0)), "")</f>
        <v>ProcedureVersionLinks</v>
      </c>
      <c r="I2719" s="3" t="str">
        <f>_xlfn.IFNA(INDEX(RulebookFields!D2:D999, MATCH(D2719,RulebookFields!A2:A999, 0)), "")</f>
        <v>SupersededVersionKey</v>
      </c>
      <c r="J2719" s="3" t="b">
        <f>_xlfn.IFNA(INDEX(RulebookFields!I2:I999, MATCH(D2719,RulebookFields!A2:A999, 0)), "")</f>
        <v>1</v>
      </c>
      <c r="K2719" s="3" t="b">
        <f>AND(F2719, J2719)</f>
        <v>0</v>
      </c>
      <c r="L2719" s="3" t="b">
        <f>AND(G2719 &lt;&gt; "plain", G2719 &lt;&gt; "")</f>
        <v>0</v>
      </c>
      <c r="M2719" s="3" t="str">
        <f>IF(E2719, C2719 &amp; "|" &amp; H2719, "")</f>
        <v>principal-knowledge-authority|ProcedureVersionLinks</v>
      </c>
      <c r="N2719" s="2" t="s">
        <v>9938</v>
      </c>
    </row>
    <row r="2720">
      <c r="A2720" s="2" t="s">
        <v>12656</v>
      </c>
      <c r="B2720" s="3" t="str">
        <f>C2720 &amp; " -&gt; " &amp; D2720</f>
        <v>principal-knowledge-authority -&gt; ProcedureVersions.ProcedureVersionId</v>
      </c>
      <c r="C2720" s="2" t="s">
        <v>9708</v>
      </c>
      <c r="D2720" s="2" t="s">
        <v>2662</v>
      </c>
      <c r="E2720" s="2" t="b">
        <v>1</v>
      </c>
      <c r="F2720" s="2" t="b">
        <v>0</v>
      </c>
      <c r="G2720" s="2" t="s">
        <v>9937</v>
      </c>
      <c r="H2720" s="3" t="str">
        <f>_xlfn.IFNA(INDEX(RulebookFields!C2:C999, MATCH(D2720,RulebookFields!A2:A999, 0)), "")</f>
        <v>ProcedureVersions</v>
      </c>
      <c r="I2720" s="3" t="str">
        <f>_xlfn.IFNA(INDEX(RulebookFields!D2:D999, MATCH(D2720,RulebookFields!A2:A999, 0)), "")</f>
        <v>ProcedureVersionId</v>
      </c>
      <c r="J2720" s="3" t="b">
        <f>_xlfn.IFNA(INDEX(RulebookFields!I2:I999, MATCH(D2720,RulebookFields!A2:A999, 0)), "")</f>
        <v>0</v>
      </c>
      <c r="K2720" s="3" t="b">
        <f>AND(F2720, J2720)</f>
        <v>0</v>
      </c>
      <c r="L2720" s="3" t="b">
        <f>AND(G2720 &lt;&gt; "plain", G2720 &lt;&gt; "")</f>
        <v>0</v>
      </c>
      <c r="M2720" s="3" t="str">
        <f>IF(E2720, C2720 &amp; "|" &amp; H2720, "")</f>
        <v>principal-knowledge-authority|ProcedureVersions</v>
      </c>
      <c r="N2720" s="2" t="s">
        <v>9938</v>
      </c>
    </row>
    <row r="2721">
      <c r="A2721" s="2" t="s">
        <v>12657</v>
      </c>
      <c r="B2721" s="3" t="str">
        <f>C2721 &amp; " -&gt; " &amp; D2721</f>
        <v>principal-knowledge-authority -&gt; ProcedureVersions.Name</v>
      </c>
      <c r="C2721" s="2" t="s">
        <v>9708</v>
      </c>
      <c r="D2721" s="2" t="s">
        <v>2663</v>
      </c>
      <c r="E2721" s="2" t="b">
        <v>1</v>
      </c>
      <c r="F2721" s="2" t="b">
        <v>0</v>
      </c>
      <c r="G2721" s="2" t="s">
        <v>9937</v>
      </c>
      <c r="H2721" s="3" t="str">
        <f>_xlfn.IFNA(INDEX(RulebookFields!C2:C999, MATCH(D2721,RulebookFields!A2:A999, 0)), "")</f>
        <v>ProcedureVersions</v>
      </c>
      <c r="I2721" s="3" t="str">
        <f>_xlfn.IFNA(INDEX(RulebookFields!D2:D999, MATCH(D2721,RulebookFields!A2:A999, 0)), "")</f>
        <v>Name</v>
      </c>
      <c r="J2721" s="3" t="b">
        <f>_xlfn.IFNA(INDEX(RulebookFields!I2:I999, MATCH(D2721,RulebookFields!A2:A999, 0)), "")</f>
        <v>1</v>
      </c>
      <c r="K2721" s="3" t="b">
        <f>AND(F2721, J2721)</f>
        <v>0</v>
      </c>
      <c r="L2721" s="3" t="b">
        <f>AND(G2721 &lt;&gt; "plain", G2721 &lt;&gt; "")</f>
        <v>0</v>
      </c>
      <c r="M2721" s="3" t="str">
        <f>IF(E2721, C2721 &amp; "|" &amp; H2721, "")</f>
        <v>principal-knowledge-authority|ProcedureVersions</v>
      </c>
      <c r="N2721" s="2" t="s">
        <v>9938</v>
      </c>
    </row>
    <row r="2722">
      <c r="A2722" s="2" t="s">
        <v>12658</v>
      </c>
      <c r="B2722" s="3" t="str">
        <f>C2722 &amp; " -&gt; " &amp; D2722</f>
        <v>principal-knowledge-authority -&gt; ProcedureVersions.Procedure</v>
      </c>
      <c r="C2722" s="2" t="s">
        <v>9708</v>
      </c>
      <c r="D2722" s="2" t="s">
        <v>2664</v>
      </c>
      <c r="E2722" s="2" t="b">
        <v>1</v>
      </c>
      <c r="F2722" s="2" t="b">
        <v>0</v>
      </c>
      <c r="G2722" s="2" t="s">
        <v>9937</v>
      </c>
      <c r="H2722" s="3" t="str">
        <f>_xlfn.IFNA(INDEX(RulebookFields!C2:C999, MATCH(D2722,RulebookFields!A2:A999, 0)), "")</f>
        <v>ProcedureVersions</v>
      </c>
      <c r="I2722" s="3" t="str">
        <f>_xlfn.IFNA(INDEX(RulebookFields!D2:D999, MATCH(D2722,RulebookFields!A2:A999, 0)), "")</f>
        <v>Procedure</v>
      </c>
      <c r="J2722" s="3" t="b">
        <f>_xlfn.IFNA(INDEX(RulebookFields!I2:I999, MATCH(D2722,RulebookFields!A2:A999, 0)), "")</f>
        <v>0</v>
      </c>
      <c r="K2722" s="3" t="b">
        <f>AND(F2722, J2722)</f>
        <v>0</v>
      </c>
      <c r="L2722" s="3" t="b">
        <f>AND(G2722 &lt;&gt; "plain", G2722 &lt;&gt; "")</f>
        <v>0</v>
      </c>
      <c r="M2722" s="3" t="str">
        <f>IF(E2722, C2722 &amp; "|" &amp; H2722, "")</f>
        <v>principal-knowledge-authority|ProcedureVersions</v>
      </c>
      <c r="N2722" s="2" t="s">
        <v>9938</v>
      </c>
    </row>
    <row r="2723">
      <c r="A2723" s="2" t="s">
        <v>12659</v>
      </c>
      <c r="B2723" s="3" t="str">
        <f>C2723 &amp; " -&gt; " &amp; D2723</f>
        <v>principal-knowledge-authority -&gt; ProcedureVersions.VersionNumber</v>
      </c>
      <c r="C2723" s="2" t="s">
        <v>9708</v>
      </c>
      <c r="D2723" s="2" t="s">
        <v>1750</v>
      </c>
      <c r="E2723" s="2" t="b">
        <v>1</v>
      </c>
      <c r="F2723" s="2" t="b">
        <v>0</v>
      </c>
      <c r="G2723" s="2" t="s">
        <v>9937</v>
      </c>
      <c r="H2723" s="3" t="str">
        <f>_xlfn.IFNA(INDEX(RulebookFields!C2:C999, MATCH(D2723,RulebookFields!A2:A999, 0)), "")</f>
        <v>ProcedureVersions</v>
      </c>
      <c r="I2723" s="3" t="str">
        <f>_xlfn.IFNA(INDEX(RulebookFields!D2:D999, MATCH(D2723,RulebookFields!A2:A999, 0)), "")</f>
        <v>VersionNumber</v>
      </c>
      <c r="J2723" s="3" t="b">
        <f>_xlfn.IFNA(INDEX(RulebookFields!I2:I999, MATCH(D2723,RulebookFields!A2:A999, 0)), "")</f>
        <v>0</v>
      </c>
      <c r="K2723" s="3" t="b">
        <f>AND(F2723, J2723)</f>
        <v>0</v>
      </c>
      <c r="L2723" s="3" t="b">
        <f>AND(G2723 &lt;&gt; "plain", G2723 &lt;&gt; "")</f>
        <v>0</v>
      </c>
      <c r="M2723" s="3" t="str">
        <f>IF(E2723, C2723 &amp; "|" &amp; H2723, "")</f>
        <v>principal-knowledge-authority|ProcedureVersions</v>
      </c>
      <c r="N2723" s="2" t="s">
        <v>9938</v>
      </c>
    </row>
    <row r="2724">
      <c r="A2724" s="2" t="s">
        <v>12660</v>
      </c>
      <c r="B2724" s="3" t="str">
        <f>C2724 &amp; " -&gt; " &amp; D2724</f>
        <v>principal-knowledge-authority -&gt; ProcedureVersions.Title</v>
      </c>
      <c r="C2724" s="2" t="s">
        <v>9708</v>
      </c>
      <c r="D2724" s="2" t="s">
        <v>2665</v>
      </c>
      <c r="E2724" s="2" t="b">
        <v>1</v>
      </c>
      <c r="F2724" s="2" t="b">
        <v>0</v>
      </c>
      <c r="G2724" s="2" t="s">
        <v>9937</v>
      </c>
      <c r="H2724" s="3" t="str">
        <f>_xlfn.IFNA(INDEX(RulebookFields!C2:C999, MATCH(D2724,RulebookFields!A2:A999, 0)), "")</f>
        <v>ProcedureVersions</v>
      </c>
      <c r="I2724" s="3" t="str">
        <f>_xlfn.IFNA(INDEX(RulebookFields!D2:D999, MATCH(D2724,RulebookFields!A2:A999, 0)), "")</f>
        <v>Title</v>
      </c>
      <c r="J2724" s="3" t="b">
        <f>_xlfn.IFNA(INDEX(RulebookFields!I2:I999, MATCH(D2724,RulebookFields!A2:A999, 0)), "")</f>
        <v>0</v>
      </c>
      <c r="K2724" s="3" t="b">
        <f>AND(F2724, J2724)</f>
        <v>0</v>
      </c>
      <c r="L2724" s="3" t="b">
        <f>AND(G2724 &lt;&gt; "plain", G2724 &lt;&gt; "")</f>
        <v>0</v>
      </c>
      <c r="M2724" s="3" t="str">
        <f>IF(E2724, C2724 &amp; "|" &amp; H2724, "")</f>
        <v>principal-knowledge-authority|ProcedureVersions</v>
      </c>
      <c r="N2724" s="2" t="s">
        <v>9938</v>
      </c>
    </row>
    <row r="2725">
      <c r="A2725" s="2" t="s">
        <v>12661</v>
      </c>
      <c r="B2725" s="3" t="str">
        <f>C2725 &amp; " -&gt; " &amp; D2725</f>
        <v>principal-knowledge-authority -&gt; ProcedureVersions.Status</v>
      </c>
      <c r="C2725" s="2" t="s">
        <v>9708</v>
      </c>
      <c r="D2725" s="2" t="s">
        <v>2666</v>
      </c>
      <c r="E2725" s="2" t="b">
        <v>1</v>
      </c>
      <c r="F2725" s="2" t="b">
        <v>0</v>
      </c>
      <c r="G2725" s="2" t="s">
        <v>9937</v>
      </c>
      <c r="H2725" s="3" t="str">
        <f>_xlfn.IFNA(INDEX(RulebookFields!C2:C999, MATCH(D2725,RulebookFields!A2:A999, 0)), "")</f>
        <v>ProcedureVersions</v>
      </c>
      <c r="I2725" s="3" t="str">
        <f>_xlfn.IFNA(INDEX(RulebookFields!D2:D999, MATCH(D2725,RulebookFields!A2:A999, 0)), "")</f>
        <v>Status</v>
      </c>
      <c r="J2725" s="3" t="b">
        <f>_xlfn.IFNA(INDEX(RulebookFields!I2:I999, MATCH(D2725,RulebookFields!A2:A999, 0)), "")</f>
        <v>0</v>
      </c>
      <c r="K2725" s="3" t="b">
        <f>AND(F2725, J2725)</f>
        <v>0</v>
      </c>
      <c r="L2725" s="3" t="b">
        <f>AND(G2725 &lt;&gt; "plain", G2725 &lt;&gt; "")</f>
        <v>0</v>
      </c>
      <c r="M2725" s="3" t="str">
        <f>IF(E2725, C2725 &amp; "|" &amp; H2725, "")</f>
        <v>principal-knowledge-authority|ProcedureVersions</v>
      </c>
      <c r="N2725" s="2" t="s">
        <v>9938</v>
      </c>
    </row>
    <row r="2726">
      <c r="A2726" s="2" t="s">
        <v>12662</v>
      </c>
      <c r="B2726" s="3" t="str">
        <f>C2726 &amp; " -&gt; " &amp; D2726</f>
        <v>principal-knowledge-authority -&gt; ProcedureVersions.IssuedAt</v>
      </c>
      <c r="C2726" s="2" t="s">
        <v>9708</v>
      </c>
      <c r="D2726" s="2" t="s">
        <v>2667</v>
      </c>
      <c r="E2726" s="2" t="b">
        <v>1</v>
      </c>
      <c r="F2726" s="2" t="b">
        <v>0</v>
      </c>
      <c r="G2726" s="2" t="s">
        <v>9937</v>
      </c>
      <c r="H2726" s="3" t="str">
        <f>_xlfn.IFNA(INDEX(RulebookFields!C2:C999, MATCH(D2726,RulebookFields!A2:A999, 0)), "")</f>
        <v>ProcedureVersions</v>
      </c>
      <c r="I2726" s="3" t="str">
        <f>_xlfn.IFNA(INDEX(RulebookFields!D2:D999, MATCH(D2726,RulebookFields!A2:A999, 0)), "")</f>
        <v>IssuedAt</v>
      </c>
      <c r="J2726" s="3" t="b">
        <f>_xlfn.IFNA(INDEX(RulebookFields!I2:I999, MATCH(D2726,RulebookFields!A2:A999, 0)), "")</f>
        <v>0</v>
      </c>
      <c r="K2726" s="3" t="b">
        <f>AND(F2726, J2726)</f>
        <v>0</v>
      </c>
      <c r="L2726" s="3" t="b">
        <f>AND(G2726 &lt;&gt; "plain", G2726 &lt;&gt; "")</f>
        <v>0</v>
      </c>
      <c r="M2726" s="3" t="str">
        <f>IF(E2726, C2726 &amp; "|" &amp; H2726, "")</f>
        <v>principal-knowledge-authority|ProcedureVersions</v>
      </c>
      <c r="N2726" s="2" t="s">
        <v>9938</v>
      </c>
    </row>
    <row r="2727">
      <c r="A2727" s="2" t="s">
        <v>12663</v>
      </c>
      <c r="B2727" s="3" t="str">
        <f>C2727 &amp; " -&gt; " &amp; D2727</f>
        <v>principal-knowledge-authority -&gt; ProcedureVersions.ModifiedAt</v>
      </c>
      <c r="C2727" s="2" t="s">
        <v>9708</v>
      </c>
      <c r="D2727" s="2" t="s">
        <v>2668</v>
      </c>
      <c r="E2727" s="2" t="b">
        <v>1</v>
      </c>
      <c r="F2727" s="2" t="b">
        <v>0</v>
      </c>
      <c r="G2727" s="2" t="s">
        <v>9937</v>
      </c>
      <c r="H2727" s="3" t="str">
        <f>_xlfn.IFNA(INDEX(RulebookFields!C2:C999, MATCH(D2727,RulebookFields!A2:A999, 0)), "")</f>
        <v>ProcedureVersions</v>
      </c>
      <c r="I2727" s="3" t="str">
        <f>_xlfn.IFNA(INDEX(RulebookFields!D2:D999, MATCH(D2727,RulebookFields!A2:A999, 0)), "")</f>
        <v>ModifiedAt</v>
      </c>
      <c r="J2727" s="3" t="b">
        <f>_xlfn.IFNA(INDEX(RulebookFields!I2:I999, MATCH(D2727,RulebookFields!A2:A999, 0)), "")</f>
        <v>0</v>
      </c>
      <c r="K2727" s="3" t="b">
        <f>AND(F2727, J2727)</f>
        <v>0</v>
      </c>
      <c r="L2727" s="3" t="b">
        <f>AND(G2727 &lt;&gt; "plain", G2727 &lt;&gt; "")</f>
        <v>0</v>
      </c>
      <c r="M2727" s="3" t="str">
        <f>IF(E2727, C2727 &amp; "|" &amp; H2727, "")</f>
        <v>principal-knowledge-authority|ProcedureVersions</v>
      </c>
      <c r="N2727" s="2" t="s">
        <v>9938</v>
      </c>
    </row>
    <row r="2728">
      <c r="A2728" s="2" t="s">
        <v>12664</v>
      </c>
      <c r="B2728" s="3" t="str">
        <f>C2728 &amp; " -&gt; " &amp; D2728</f>
        <v>principal-knowledge-authority -&gt; ProcedureVersions.CreatedByAgent</v>
      </c>
      <c r="C2728" s="2" t="s">
        <v>9708</v>
      </c>
      <c r="D2728" s="2" t="s">
        <v>2669</v>
      </c>
      <c r="E2728" s="2" t="b">
        <v>1</v>
      </c>
      <c r="F2728" s="2" t="b">
        <v>0</v>
      </c>
      <c r="G2728" s="2" t="s">
        <v>9937</v>
      </c>
      <c r="H2728" s="3" t="str">
        <f>_xlfn.IFNA(INDEX(RulebookFields!C2:C999, MATCH(D2728,RulebookFields!A2:A999, 0)), "")</f>
        <v>ProcedureVersions</v>
      </c>
      <c r="I2728" s="3" t="str">
        <f>_xlfn.IFNA(INDEX(RulebookFields!D2:D999, MATCH(D2728,RulebookFields!A2:A999, 0)), "")</f>
        <v>CreatedByAgent</v>
      </c>
      <c r="J2728" s="3" t="b">
        <f>_xlfn.IFNA(INDEX(RulebookFields!I2:I999, MATCH(D2728,RulebookFields!A2:A999, 0)), "")</f>
        <v>0</v>
      </c>
      <c r="K2728" s="3" t="b">
        <f>AND(F2728, J2728)</f>
        <v>0</v>
      </c>
      <c r="L2728" s="3" t="b">
        <f>AND(G2728 &lt;&gt; "plain", G2728 &lt;&gt; "")</f>
        <v>0</v>
      </c>
      <c r="M2728" s="3" t="str">
        <f>IF(E2728, C2728 &amp; "|" &amp; H2728, "")</f>
        <v>principal-knowledge-authority|ProcedureVersions</v>
      </c>
      <c r="N2728" s="2" t="s">
        <v>9938</v>
      </c>
    </row>
    <row r="2729">
      <c r="A2729" s="2" t="s">
        <v>12665</v>
      </c>
      <c r="B2729" s="3" t="str">
        <f>C2729 &amp; " -&gt; " &amp; D2729</f>
        <v>principal-knowledge-authority -&gt; ProcedureVersions.ModifiedByAgent</v>
      </c>
      <c r="C2729" s="2" t="s">
        <v>9708</v>
      </c>
      <c r="D2729" s="2" t="s">
        <v>2670</v>
      </c>
      <c r="E2729" s="2" t="b">
        <v>1</v>
      </c>
      <c r="F2729" s="2" t="b">
        <v>0</v>
      </c>
      <c r="G2729" s="2" t="s">
        <v>9937</v>
      </c>
      <c r="H2729" s="3" t="str">
        <f>_xlfn.IFNA(INDEX(RulebookFields!C2:C999, MATCH(D2729,RulebookFields!A2:A999, 0)), "")</f>
        <v>ProcedureVersions</v>
      </c>
      <c r="I2729" s="3" t="str">
        <f>_xlfn.IFNA(INDEX(RulebookFields!D2:D999, MATCH(D2729,RulebookFields!A2:A999, 0)), "")</f>
        <v>ModifiedByAgent</v>
      </c>
      <c r="J2729" s="3" t="b">
        <f>_xlfn.IFNA(INDEX(RulebookFields!I2:I999, MATCH(D2729,RulebookFields!A2:A999, 0)), "")</f>
        <v>0</v>
      </c>
      <c r="K2729" s="3" t="b">
        <f>AND(F2729, J2729)</f>
        <v>0</v>
      </c>
      <c r="L2729" s="3" t="b">
        <f>AND(G2729 &lt;&gt; "plain", G2729 &lt;&gt; "")</f>
        <v>0</v>
      </c>
      <c r="M2729" s="3" t="str">
        <f>IF(E2729, C2729 &amp; "|" &amp; H2729, "")</f>
        <v>principal-knowledge-authority|ProcedureVersions</v>
      </c>
      <c r="N2729" s="2" t="s">
        <v>9938</v>
      </c>
    </row>
    <row r="2730">
      <c r="A2730" s="2" t="s">
        <v>12666</v>
      </c>
      <c r="B2730" s="3" t="str">
        <f>C2730 &amp; " -&gt; " &amp; D2730</f>
        <v>principal-knowledge-authority -&gt; ProcedureVersions.NewVersionMotivation</v>
      </c>
      <c r="C2730" s="2" t="s">
        <v>9708</v>
      </c>
      <c r="D2730" s="2" t="s">
        <v>2671</v>
      </c>
      <c r="E2730" s="2" t="b">
        <v>1</v>
      </c>
      <c r="F2730" s="2" t="b">
        <v>0</v>
      </c>
      <c r="G2730" s="2" t="s">
        <v>9937</v>
      </c>
      <c r="H2730" s="3" t="str">
        <f>_xlfn.IFNA(INDEX(RulebookFields!C2:C999, MATCH(D2730,RulebookFields!A2:A999, 0)), "")</f>
        <v>ProcedureVersions</v>
      </c>
      <c r="I2730" s="3" t="str">
        <f>_xlfn.IFNA(INDEX(RulebookFields!D2:D999, MATCH(D2730,RulebookFields!A2:A999, 0)), "")</f>
        <v>NewVersionMotivation</v>
      </c>
      <c r="J2730" s="3" t="b">
        <f>_xlfn.IFNA(INDEX(RulebookFields!I2:I999, MATCH(D2730,RulebookFields!A2:A999, 0)), "")</f>
        <v>0</v>
      </c>
      <c r="K2730" s="3" t="b">
        <f>AND(F2730, J2730)</f>
        <v>0</v>
      </c>
      <c r="L2730" s="3" t="b">
        <f>AND(G2730 &lt;&gt; "plain", G2730 &lt;&gt; "")</f>
        <v>0</v>
      </c>
      <c r="M2730" s="3" t="str">
        <f>IF(E2730, C2730 &amp; "|" &amp; H2730, "")</f>
        <v>principal-knowledge-authority|ProcedureVersions</v>
      </c>
      <c r="N2730" s="2" t="s">
        <v>9938</v>
      </c>
    </row>
    <row r="2731">
      <c r="A2731" s="2" t="s">
        <v>12667</v>
      </c>
      <c r="B2731" s="3" t="str">
        <f>C2731 &amp; " -&gt; " &amp; D2731</f>
        <v>principal-knowledge-authority -&gt; ProcedureVersions.ChangelogDescription</v>
      </c>
      <c r="C2731" s="2" t="s">
        <v>9708</v>
      </c>
      <c r="D2731" s="2" t="s">
        <v>2672</v>
      </c>
      <c r="E2731" s="2" t="b">
        <v>1</v>
      </c>
      <c r="F2731" s="2" t="b">
        <v>0</v>
      </c>
      <c r="G2731" s="2" t="s">
        <v>9937</v>
      </c>
      <c r="H2731" s="3" t="str">
        <f>_xlfn.IFNA(INDEX(RulebookFields!C2:C999, MATCH(D2731,RulebookFields!A2:A999, 0)), "")</f>
        <v>ProcedureVersions</v>
      </c>
      <c r="I2731" s="3" t="str">
        <f>_xlfn.IFNA(INDEX(RulebookFields!D2:D999, MATCH(D2731,RulebookFields!A2:A999, 0)), "")</f>
        <v>ChangelogDescription</v>
      </c>
      <c r="J2731" s="3" t="b">
        <f>_xlfn.IFNA(INDEX(RulebookFields!I2:I999, MATCH(D2731,RulebookFields!A2:A999, 0)), "")</f>
        <v>0</v>
      </c>
      <c r="K2731" s="3" t="b">
        <f>AND(F2731, J2731)</f>
        <v>0</v>
      </c>
      <c r="L2731" s="3" t="b">
        <f>AND(G2731 &lt;&gt; "plain", G2731 &lt;&gt; "")</f>
        <v>0</v>
      </c>
      <c r="M2731" s="3" t="str">
        <f>IF(E2731, C2731 &amp; "|" &amp; H2731, "")</f>
        <v>principal-knowledge-authority|ProcedureVersions</v>
      </c>
      <c r="N2731" s="2" t="s">
        <v>9938</v>
      </c>
    </row>
    <row r="2732">
      <c r="A2732" s="2" t="s">
        <v>12668</v>
      </c>
      <c r="B2732" s="3" t="str">
        <f>C2732 &amp; " -&gt; " &amp; D2732</f>
        <v>principal-knowledge-authority -&gt; ProcedureVersions.IsCurrent</v>
      </c>
      <c r="C2732" s="2" t="s">
        <v>9708</v>
      </c>
      <c r="D2732" s="2" t="s">
        <v>2673</v>
      </c>
      <c r="E2732" s="2" t="b">
        <v>1</v>
      </c>
      <c r="F2732" s="2" t="b">
        <v>0</v>
      </c>
      <c r="G2732" s="2" t="s">
        <v>9937</v>
      </c>
      <c r="H2732" s="3" t="str">
        <f>_xlfn.IFNA(INDEX(RulebookFields!C2:C999, MATCH(D2732,RulebookFields!A2:A999, 0)), "")</f>
        <v>ProcedureVersions</v>
      </c>
      <c r="I2732" s="3" t="str">
        <f>_xlfn.IFNA(INDEX(RulebookFields!D2:D999, MATCH(D2732,RulebookFields!A2:A999, 0)), "")</f>
        <v>IsCurrent</v>
      </c>
      <c r="J2732" s="3" t="b">
        <f>_xlfn.IFNA(INDEX(RulebookFields!I2:I999, MATCH(D2732,RulebookFields!A2:A999, 0)), "")</f>
        <v>0</v>
      </c>
      <c r="K2732" s="3" t="b">
        <f>AND(F2732, J2732)</f>
        <v>0</v>
      </c>
      <c r="L2732" s="3" t="b">
        <f>AND(G2732 &lt;&gt; "plain", G2732 &lt;&gt; "")</f>
        <v>0</v>
      </c>
      <c r="M2732" s="3" t="str">
        <f>IF(E2732, C2732 &amp; "|" &amp; H2732, "")</f>
        <v>principal-knowledge-authority|ProcedureVersions</v>
      </c>
      <c r="N2732" s="2" t="s">
        <v>9938</v>
      </c>
    </row>
    <row r="2733">
      <c r="A2733" s="2" t="s">
        <v>12669</v>
      </c>
      <c r="B2733" s="3" t="str">
        <f>C2733 &amp; " -&gt; " &amp; D2733</f>
        <v>principal-knowledge-authority -&gt; ProcedureVersions.CountOfSteps</v>
      </c>
      <c r="C2733" s="2" t="s">
        <v>9708</v>
      </c>
      <c r="D2733" s="2" t="s">
        <v>2674</v>
      </c>
      <c r="E2733" s="2" t="b">
        <v>1</v>
      </c>
      <c r="F2733" s="2" t="b">
        <v>0</v>
      </c>
      <c r="G2733" s="2" t="s">
        <v>9937</v>
      </c>
      <c r="H2733" s="3" t="str">
        <f>_xlfn.IFNA(INDEX(RulebookFields!C2:C999, MATCH(D2733,RulebookFields!A2:A999, 0)), "")</f>
        <v>ProcedureVersions</v>
      </c>
      <c r="I2733" s="3" t="str">
        <f>_xlfn.IFNA(INDEX(RulebookFields!D2:D999, MATCH(D2733,RulebookFields!A2:A999, 0)), "")</f>
        <v>CountOfSteps</v>
      </c>
      <c r="J2733" s="3" t="b">
        <f>_xlfn.IFNA(INDEX(RulebookFields!I2:I999, MATCH(D2733,RulebookFields!A2:A999, 0)), "")</f>
        <v>1</v>
      </c>
      <c r="K2733" s="3" t="b">
        <f>AND(F2733, J2733)</f>
        <v>0</v>
      </c>
      <c r="L2733" s="3" t="b">
        <f>AND(G2733 &lt;&gt; "plain", G2733 &lt;&gt; "")</f>
        <v>0</v>
      </c>
      <c r="M2733" s="3" t="str">
        <f>IF(E2733, C2733 &amp; "|" &amp; H2733, "")</f>
        <v>principal-knowledge-authority|ProcedureVersions</v>
      </c>
      <c r="N2733" s="2" t="s">
        <v>9938</v>
      </c>
    </row>
    <row r="2734">
      <c r="A2734" s="2" t="s">
        <v>12670</v>
      </c>
      <c r="B2734" s="3" t="str">
        <f>C2734 &amp; " -&gt; " &amp; D2734</f>
        <v>principal-knowledge-authority -&gt; ProcedureVersions.CountOfOpenKnowledgeGaps</v>
      </c>
      <c r="C2734" s="2" t="s">
        <v>9708</v>
      </c>
      <c r="D2734" s="2" t="s">
        <v>2676</v>
      </c>
      <c r="E2734" s="2" t="b">
        <v>1</v>
      </c>
      <c r="F2734" s="2" t="b">
        <v>0</v>
      </c>
      <c r="G2734" s="2" t="s">
        <v>9937</v>
      </c>
      <c r="H2734" s="3" t="str">
        <f>_xlfn.IFNA(INDEX(RulebookFields!C2:C999, MATCH(D2734,RulebookFields!A2:A999, 0)), "")</f>
        <v>ProcedureVersions</v>
      </c>
      <c r="I2734" s="3" t="str">
        <f>_xlfn.IFNA(INDEX(RulebookFields!D2:D999, MATCH(D2734,RulebookFields!A2:A999, 0)), "")</f>
        <v>CountOfOpenKnowledgeGaps</v>
      </c>
      <c r="J2734" s="3" t="b">
        <f>_xlfn.IFNA(INDEX(RulebookFields!I2:I999, MATCH(D2734,RulebookFields!A2:A999, 0)), "")</f>
        <v>1</v>
      </c>
      <c r="K2734" s="3" t="b">
        <f>AND(F2734, J2734)</f>
        <v>0</v>
      </c>
      <c r="L2734" s="3" t="b">
        <f>AND(G2734 &lt;&gt; "plain", G2734 &lt;&gt; "")</f>
        <v>0</v>
      </c>
      <c r="M2734" s="3" t="str">
        <f>IF(E2734, C2734 &amp; "|" &amp; H2734, "")</f>
        <v>principal-knowledge-authority|ProcedureVersions</v>
      </c>
      <c r="N2734" s="2" t="s">
        <v>9938</v>
      </c>
    </row>
    <row r="2735">
      <c r="A2735" s="2" t="s">
        <v>12671</v>
      </c>
      <c r="B2735" s="3" t="str">
        <f>C2735 &amp; " -&gt; " &amp; D2735</f>
        <v>principal-knowledge-authority -&gt; ProcedureVersions.IsReadyForExecution</v>
      </c>
      <c r="C2735" s="2" t="s">
        <v>9708</v>
      </c>
      <c r="D2735" s="2" t="s">
        <v>2678</v>
      </c>
      <c r="E2735" s="2" t="b">
        <v>1</v>
      </c>
      <c r="F2735" s="2" t="b">
        <v>0</v>
      </c>
      <c r="G2735" s="2" t="s">
        <v>9937</v>
      </c>
      <c r="H2735" s="3" t="str">
        <f>_xlfn.IFNA(INDEX(RulebookFields!C2:C999, MATCH(D2735,RulebookFields!A2:A999, 0)), "")</f>
        <v>ProcedureVersions</v>
      </c>
      <c r="I2735" s="3" t="str">
        <f>_xlfn.IFNA(INDEX(RulebookFields!D2:D999, MATCH(D2735,RulebookFields!A2:A999, 0)), "")</f>
        <v>IsReadyForExecution</v>
      </c>
      <c r="J2735" s="3" t="b">
        <f>_xlfn.IFNA(INDEX(RulebookFields!I2:I999, MATCH(D2735,RulebookFields!A2:A999, 0)), "")</f>
        <v>1</v>
      </c>
      <c r="K2735" s="3" t="b">
        <f>AND(F2735, J2735)</f>
        <v>0</v>
      </c>
      <c r="L2735" s="3" t="b">
        <f>AND(G2735 &lt;&gt; "plain", G2735 &lt;&gt; "")</f>
        <v>0</v>
      </c>
      <c r="M2735" s="3" t="str">
        <f>IF(E2735, C2735 &amp; "|" &amp; H2735, "")</f>
        <v>principal-knowledge-authority|ProcedureVersions</v>
      </c>
      <c r="N2735" s="2" t="s">
        <v>9938</v>
      </c>
    </row>
    <row r="2736">
      <c r="A2736" s="2" t="s">
        <v>12672</v>
      </c>
      <c r="B2736" s="3" t="str">
        <f>C2736 &amp; " -&gt; " &amp; D2736</f>
        <v>principal-knowledge-authority -&gt; ProcedureVersions.SpecifiedStepCount</v>
      </c>
      <c r="C2736" s="2" t="s">
        <v>9708</v>
      </c>
      <c r="D2736" s="2" t="s">
        <v>2680</v>
      </c>
      <c r="E2736" s="2" t="b">
        <v>1</v>
      </c>
      <c r="F2736" s="2" t="b">
        <v>0</v>
      </c>
      <c r="G2736" s="2" t="s">
        <v>9937</v>
      </c>
      <c r="H2736" s="3" t="str">
        <f>_xlfn.IFNA(INDEX(RulebookFields!C2:C999, MATCH(D2736,RulebookFields!A2:A999, 0)), "")</f>
        <v>ProcedureVersions</v>
      </c>
      <c r="I2736" s="3" t="str">
        <f>_xlfn.IFNA(INDEX(RulebookFields!D2:D999, MATCH(D2736,RulebookFields!A2:A999, 0)), "")</f>
        <v>SpecifiedStepCount</v>
      </c>
      <c r="J2736" s="3" t="b">
        <f>_xlfn.IFNA(INDEX(RulebookFields!I2:I999, MATCH(D2736,RulebookFields!A2:A999, 0)), "")</f>
        <v>1</v>
      </c>
      <c r="K2736" s="3" t="b">
        <f>AND(F2736, J2736)</f>
        <v>0</v>
      </c>
      <c r="L2736" s="3" t="b">
        <f>AND(G2736 &lt;&gt; "plain", G2736 &lt;&gt; "")</f>
        <v>0</v>
      </c>
      <c r="M2736" s="3" t="str">
        <f>IF(E2736, C2736 &amp; "|" &amp; H2736, "")</f>
        <v>principal-knowledge-authority|ProcedureVersions</v>
      </c>
      <c r="N2736" s="2" t="s">
        <v>9938</v>
      </c>
    </row>
    <row r="2737">
      <c r="A2737" s="2" t="s">
        <v>12673</v>
      </c>
      <c r="B2737" s="3" t="str">
        <f>C2737 &amp; " -&gt; " &amp; D2737</f>
        <v>principal-knowledge-authority -&gt; ProcedureVersions.OverdueReviewCount</v>
      </c>
      <c r="C2737" s="2" t="s">
        <v>9708</v>
      </c>
      <c r="D2737" s="2" t="s">
        <v>2682</v>
      </c>
      <c r="E2737" s="2" t="b">
        <v>1</v>
      </c>
      <c r="F2737" s="2" t="b">
        <v>0</v>
      </c>
      <c r="G2737" s="2" t="s">
        <v>9937</v>
      </c>
      <c r="H2737" s="3" t="str">
        <f>_xlfn.IFNA(INDEX(RulebookFields!C2:C999, MATCH(D2737,RulebookFields!A2:A999, 0)), "")</f>
        <v>ProcedureVersions</v>
      </c>
      <c r="I2737" s="3" t="str">
        <f>_xlfn.IFNA(INDEX(RulebookFields!D2:D999, MATCH(D2737,RulebookFields!A2:A999, 0)), "")</f>
        <v>OverdueReviewCount</v>
      </c>
      <c r="J2737" s="3" t="b">
        <f>_xlfn.IFNA(INDEX(RulebookFields!I2:I999, MATCH(D2737,RulebookFields!A2:A999, 0)), "")</f>
        <v>1</v>
      </c>
      <c r="K2737" s="3" t="b">
        <f>AND(F2737, J2737)</f>
        <v>0</v>
      </c>
      <c r="L2737" s="3" t="b">
        <f>AND(G2737 &lt;&gt; "plain", G2737 &lt;&gt; "")</f>
        <v>0</v>
      </c>
      <c r="M2737" s="3" t="str">
        <f>IF(E2737, C2737 &amp; "|" &amp; H2737, "")</f>
        <v>principal-knowledge-authority|ProcedureVersions</v>
      </c>
      <c r="N2737" s="2" t="s">
        <v>9938</v>
      </c>
    </row>
    <row r="2738">
      <c r="A2738" s="2" t="s">
        <v>12674</v>
      </c>
      <c r="B2738" s="3" t="str">
        <f>C2738 &amp; " -&gt; " &amp; D2738</f>
        <v>principal-knowledge-authority -&gt; ProcedureVersions.OpenChangeRequestCount</v>
      </c>
      <c r="C2738" s="2" t="s">
        <v>9708</v>
      </c>
      <c r="D2738" s="2" t="s">
        <v>2684</v>
      </c>
      <c r="E2738" s="2" t="b">
        <v>1</v>
      </c>
      <c r="F2738" s="2" t="b">
        <v>0</v>
      </c>
      <c r="G2738" s="2" t="s">
        <v>9937</v>
      </c>
      <c r="H2738" s="3" t="str">
        <f>_xlfn.IFNA(INDEX(RulebookFields!C2:C999, MATCH(D2738,RulebookFields!A2:A999, 0)), "")</f>
        <v>ProcedureVersions</v>
      </c>
      <c r="I2738" s="3" t="str">
        <f>_xlfn.IFNA(INDEX(RulebookFields!D2:D999, MATCH(D2738,RulebookFields!A2:A999, 0)), "")</f>
        <v>OpenChangeRequestCount</v>
      </c>
      <c r="J2738" s="3" t="b">
        <f>_xlfn.IFNA(INDEX(RulebookFields!I2:I999, MATCH(D2738,RulebookFields!A2:A999, 0)), "")</f>
        <v>1</v>
      </c>
      <c r="K2738" s="3" t="b">
        <f>AND(F2738, J2738)</f>
        <v>0</v>
      </c>
      <c r="L2738" s="3" t="b">
        <f>AND(G2738 &lt;&gt; "plain", G2738 &lt;&gt; "")</f>
        <v>0</v>
      </c>
      <c r="M2738" s="3" t="str">
        <f>IF(E2738, C2738 &amp; "|" &amp; H2738, "")</f>
        <v>principal-knowledge-authority|ProcedureVersions</v>
      </c>
      <c r="N2738" s="2" t="s">
        <v>9938</v>
      </c>
    </row>
    <row r="2739">
      <c r="A2739" s="2" t="s">
        <v>12675</v>
      </c>
      <c r="B2739" s="3" t="str">
        <f>C2739 &amp; " -&gt; " &amp; D2739</f>
        <v>principal-knowledge-authority -&gt; ProcedureVersions.OpenHighSeverityGapCount</v>
      </c>
      <c r="C2739" s="2" t="s">
        <v>9708</v>
      </c>
      <c r="D2739" s="2" t="s">
        <v>2686</v>
      </c>
      <c r="E2739" s="2" t="b">
        <v>1</v>
      </c>
      <c r="F2739" s="2" t="b">
        <v>0</v>
      </c>
      <c r="G2739" s="2" t="s">
        <v>9937</v>
      </c>
      <c r="H2739" s="3" t="str">
        <f>_xlfn.IFNA(INDEX(RulebookFields!C2:C999, MATCH(D2739,RulebookFields!A2:A999, 0)), "")</f>
        <v>ProcedureVersions</v>
      </c>
      <c r="I2739" s="3" t="str">
        <f>_xlfn.IFNA(INDEX(RulebookFields!D2:D999, MATCH(D2739,RulebookFields!A2:A999, 0)), "")</f>
        <v>OpenHighSeverityGapCount</v>
      </c>
      <c r="J2739" s="3" t="b">
        <f>_xlfn.IFNA(INDEX(RulebookFields!I2:I999, MATCH(D2739,RulebookFields!A2:A999, 0)), "")</f>
        <v>1</v>
      </c>
      <c r="K2739" s="3" t="b">
        <f>AND(F2739, J2739)</f>
        <v>0</v>
      </c>
      <c r="L2739" s="3" t="b">
        <f>AND(G2739 &lt;&gt; "plain", G2739 &lt;&gt; "")</f>
        <v>0</v>
      </c>
      <c r="M2739" s="3" t="str">
        <f>IF(E2739, C2739 &amp; "|" &amp; H2739, "")</f>
        <v>principal-knowledge-authority|ProcedureVersions</v>
      </c>
      <c r="N2739" s="2" t="s">
        <v>9938</v>
      </c>
    </row>
    <row r="2740">
      <c r="A2740" s="2" t="s">
        <v>12676</v>
      </c>
      <c r="B2740" s="3" t="str">
        <f>C2740 &amp; " -&gt; " &amp; D2740</f>
        <v>principal-knowledge-authority -&gt; ProcedureVersions.IsFitToExecute</v>
      </c>
      <c r="C2740" s="2" t="s">
        <v>9708</v>
      </c>
      <c r="D2740" s="2" t="s">
        <v>2688</v>
      </c>
      <c r="E2740" s="2" t="b">
        <v>1</v>
      </c>
      <c r="F2740" s="2" t="b">
        <v>0</v>
      </c>
      <c r="G2740" s="2" t="s">
        <v>9937</v>
      </c>
      <c r="H2740" s="3" t="str">
        <f>_xlfn.IFNA(INDEX(RulebookFields!C2:C999, MATCH(D2740,RulebookFields!A2:A999, 0)), "")</f>
        <v>ProcedureVersions</v>
      </c>
      <c r="I2740" s="3" t="str">
        <f>_xlfn.IFNA(INDEX(RulebookFields!D2:D999, MATCH(D2740,RulebookFields!A2:A999, 0)), "")</f>
        <v>IsFitToExecute</v>
      </c>
      <c r="J2740" s="3" t="b">
        <f>_xlfn.IFNA(INDEX(RulebookFields!I2:I999, MATCH(D2740,RulebookFields!A2:A999, 0)), "")</f>
        <v>1</v>
      </c>
      <c r="K2740" s="3" t="b">
        <f>AND(F2740, J2740)</f>
        <v>0</v>
      </c>
      <c r="L2740" s="3" t="b">
        <f>AND(G2740 &lt;&gt; "plain", G2740 &lt;&gt; "")</f>
        <v>0</v>
      </c>
      <c r="M2740" s="3" t="str">
        <f>IF(E2740, C2740 &amp; "|" &amp; H2740, "")</f>
        <v>principal-knowledge-authority|ProcedureVersions</v>
      </c>
      <c r="N2740" s="2" t="s">
        <v>9938</v>
      </c>
    </row>
    <row r="2741">
      <c r="A2741" s="2" t="s">
        <v>12677</v>
      </c>
      <c r="B2741" s="3" t="str">
        <f>C2741 &amp; " -&gt; " &amp; D2741</f>
        <v>principal-knowledge-authority -&gt; ProcedureVersions.StewardReviewCadenceDays</v>
      </c>
      <c r="C2741" s="2" t="s">
        <v>9708</v>
      </c>
      <c r="D2741" s="2" t="s">
        <v>2690</v>
      </c>
      <c r="E2741" s="2" t="b">
        <v>1</v>
      </c>
      <c r="F2741" s="2" t="b">
        <v>0</v>
      </c>
      <c r="G2741" s="2" t="s">
        <v>9937</v>
      </c>
      <c r="H2741" s="3" t="str">
        <f>_xlfn.IFNA(INDEX(RulebookFields!C2:C999, MATCH(D2741,RulebookFields!A2:A999, 0)), "")</f>
        <v>ProcedureVersions</v>
      </c>
      <c r="I2741" s="3" t="str">
        <f>_xlfn.IFNA(INDEX(RulebookFields!D2:D999, MATCH(D2741,RulebookFields!A2:A999, 0)), "")</f>
        <v>StewardReviewCadenceDays</v>
      </c>
      <c r="J2741" s="3" t="b">
        <f>_xlfn.IFNA(INDEX(RulebookFields!I2:I999, MATCH(D2741,RulebookFields!A2:A999, 0)), "")</f>
        <v>1</v>
      </c>
      <c r="K2741" s="3" t="b">
        <f>AND(F2741, J2741)</f>
        <v>0</v>
      </c>
      <c r="L2741" s="3" t="b">
        <f>AND(G2741 &lt;&gt; "plain", G2741 &lt;&gt; "")</f>
        <v>0</v>
      </c>
      <c r="M2741" s="3" t="str">
        <f>IF(E2741, C2741 &amp; "|" &amp; H2741, "")</f>
        <v>principal-knowledge-authority|ProcedureVersions</v>
      </c>
      <c r="N2741" s="2" t="s">
        <v>9938</v>
      </c>
    </row>
    <row r="2742">
      <c r="A2742" s="2" t="s">
        <v>12678</v>
      </c>
      <c r="B2742" s="3" t="str">
        <f>C2742 &amp; " -&gt; " &amp; D2742</f>
        <v>principal-knowledge-authority -&gt; ProcedureVersions.CountOfStewardshipAssignments</v>
      </c>
      <c r="C2742" s="2" t="s">
        <v>9708</v>
      </c>
      <c r="D2742" s="2" t="s">
        <v>2692</v>
      </c>
      <c r="E2742" s="2" t="b">
        <v>1</v>
      </c>
      <c r="F2742" s="2" t="b">
        <v>0</v>
      </c>
      <c r="G2742" s="2" t="s">
        <v>9937</v>
      </c>
      <c r="H2742" s="3" t="str">
        <f>_xlfn.IFNA(INDEX(RulebookFields!C2:C999, MATCH(D2742,RulebookFields!A2:A999, 0)), "")</f>
        <v>ProcedureVersions</v>
      </c>
      <c r="I2742" s="3" t="str">
        <f>_xlfn.IFNA(INDEX(RulebookFields!D2:D999, MATCH(D2742,RulebookFields!A2:A999, 0)), "")</f>
        <v>CountOfStewardshipAssignments</v>
      </c>
      <c r="J2742" s="3" t="b">
        <f>_xlfn.IFNA(INDEX(RulebookFields!I2:I999, MATCH(D2742,RulebookFields!A2:A999, 0)), "")</f>
        <v>1</v>
      </c>
      <c r="K2742" s="3" t="b">
        <f>AND(F2742, J2742)</f>
        <v>0</v>
      </c>
      <c r="L2742" s="3" t="b">
        <f>AND(G2742 &lt;&gt; "plain", G2742 &lt;&gt; "")</f>
        <v>0</v>
      </c>
      <c r="M2742" s="3" t="str">
        <f>IF(E2742, C2742 &amp; "|" &amp; H2742, "")</f>
        <v>principal-knowledge-authority|ProcedureVersions</v>
      </c>
      <c r="N2742" s="2" t="s">
        <v>9938</v>
      </c>
    </row>
    <row r="2743">
      <c r="A2743" s="2" t="s">
        <v>12679</v>
      </c>
      <c r="B2743" s="3" t="str">
        <f>C2743 &amp; " -&gt; " &amp; D2743</f>
        <v>principal-knowledge-authority -&gt; ProcedureVersions.HasAnySteward</v>
      </c>
      <c r="C2743" s="2" t="s">
        <v>9708</v>
      </c>
      <c r="D2743" s="2" t="s">
        <v>2694</v>
      </c>
      <c r="E2743" s="2" t="b">
        <v>1</v>
      </c>
      <c r="F2743" s="2" t="b">
        <v>0</v>
      </c>
      <c r="G2743" s="2" t="s">
        <v>9937</v>
      </c>
      <c r="H2743" s="3" t="str">
        <f>_xlfn.IFNA(INDEX(RulebookFields!C2:C999, MATCH(D2743,RulebookFields!A2:A999, 0)), "")</f>
        <v>ProcedureVersions</v>
      </c>
      <c r="I2743" s="3" t="str">
        <f>_xlfn.IFNA(INDEX(RulebookFields!D2:D999, MATCH(D2743,RulebookFields!A2:A999, 0)), "")</f>
        <v>HasAnySteward</v>
      </c>
      <c r="J2743" s="3" t="b">
        <f>_xlfn.IFNA(INDEX(RulebookFields!I2:I999, MATCH(D2743,RulebookFields!A2:A999, 0)), "")</f>
        <v>1</v>
      </c>
      <c r="K2743" s="3" t="b">
        <f>AND(F2743, J2743)</f>
        <v>0</v>
      </c>
      <c r="L2743" s="3" t="b">
        <f>AND(G2743 &lt;&gt; "plain", G2743 &lt;&gt; "")</f>
        <v>0</v>
      </c>
      <c r="M2743" s="3" t="str">
        <f>IF(E2743, C2743 &amp; "|" &amp; H2743, "")</f>
        <v>principal-knowledge-authority|ProcedureVersions</v>
      </c>
      <c r="N2743" s="2" t="s">
        <v>9938</v>
      </c>
    </row>
    <row r="2744">
      <c r="A2744" s="2" t="s">
        <v>12680</v>
      </c>
      <c r="B2744" s="3" t="str">
        <f>C2744 &amp; " -&gt; " &amp; D2744</f>
        <v>principal-knowledge-authority -&gt; ProcedureVersions.IsLive</v>
      </c>
      <c r="C2744" s="2" t="s">
        <v>9708</v>
      </c>
      <c r="D2744" s="2" t="s">
        <v>2696</v>
      </c>
      <c r="E2744" s="2" t="b">
        <v>1</v>
      </c>
      <c r="F2744" s="2" t="b">
        <v>0</v>
      </c>
      <c r="G2744" s="2" t="s">
        <v>9937</v>
      </c>
      <c r="H2744" s="3" t="str">
        <f>_xlfn.IFNA(INDEX(RulebookFields!C2:C999, MATCH(D2744,RulebookFields!A2:A999, 0)), "")</f>
        <v>ProcedureVersions</v>
      </c>
      <c r="I2744" s="3" t="str">
        <f>_xlfn.IFNA(INDEX(RulebookFields!D2:D999, MATCH(D2744,RulebookFields!A2:A999, 0)), "")</f>
        <v>IsLive</v>
      </c>
      <c r="J2744" s="3" t="b">
        <f>_xlfn.IFNA(INDEX(RulebookFields!I2:I999, MATCH(D2744,RulebookFields!A2:A999, 0)), "")</f>
        <v>1</v>
      </c>
      <c r="K2744" s="3" t="b">
        <f>AND(F2744, J2744)</f>
        <v>0</v>
      </c>
      <c r="L2744" s="3" t="b">
        <f>AND(G2744 &lt;&gt; "plain", G2744 &lt;&gt; "")</f>
        <v>0</v>
      </c>
      <c r="M2744" s="3" t="str">
        <f>IF(E2744, C2744 &amp; "|" &amp; H2744, "")</f>
        <v>principal-knowledge-authority|ProcedureVersions</v>
      </c>
      <c r="N2744" s="2" t="s">
        <v>9938</v>
      </c>
    </row>
    <row r="2745">
      <c r="A2745" s="2" t="s">
        <v>12681</v>
      </c>
      <c r="B2745" s="3" t="str">
        <f>C2745 &amp; " -&gt; " &amp; D2745</f>
        <v>principal-knowledge-authority -&gt; ProcedureVersions.IsUnstewarded</v>
      </c>
      <c r="C2745" s="2" t="s">
        <v>9708</v>
      </c>
      <c r="D2745" s="2" t="s">
        <v>2698</v>
      </c>
      <c r="E2745" s="2" t="b">
        <v>1</v>
      </c>
      <c r="F2745" s="2" t="b">
        <v>0</v>
      </c>
      <c r="G2745" s="2" t="s">
        <v>9937</v>
      </c>
      <c r="H2745" s="3" t="str">
        <f>_xlfn.IFNA(INDEX(RulebookFields!C2:C999, MATCH(D2745,RulebookFields!A2:A999, 0)), "")</f>
        <v>ProcedureVersions</v>
      </c>
      <c r="I2745" s="3" t="str">
        <f>_xlfn.IFNA(INDEX(RulebookFields!D2:D999, MATCH(D2745,RulebookFields!A2:A999, 0)), "")</f>
        <v>IsUnstewarded</v>
      </c>
      <c r="J2745" s="3" t="b">
        <f>_xlfn.IFNA(INDEX(RulebookFields!I2:I999, MATCH(D2745,RulebookFields!A2:A999, 0)), "")</f>
        <v>1</v>
      </c>
      <c r="K2745" s="3" t="b">
        <f>AND(F2745, J2745)</f>
        <v>0</v>
      </c>
      <c r="L2745" s="3" t="b">
        <f>AND(G2745 &lt;&gt; "plain", G2745 &lt;&gt; "")</f>
        <v>0</v>
      </c>
      <c r="M2745" s="3" t="str">
        <f>IF(E2745, C2745 &amp; "|" &amp; H2745, "")</f>
        <v>principal-knowledge-authority|ProcedureVersions</v>
      </c>
      <c r="N2745" s="2" t="s">
        <v>9938</v>
      </c>
    </row>
    <row r="2746">
      <c r="A2746" s="2" t="s">
        <v>12682</v>
      </c>
      <c r="B2746" s="3" t="str">
        <f>C2746 &amp; " -&gt; " &amp; D2746</f>
        <v>principal-knowledge-authority -&gt; ProcedureVersions.IsLiveAndUnstewarded</v>
      </c>
      <c r="C2746" s="2" t="s">
        <v>9708</v>
      </c>
      <c r="D2746" s="2" t="s">
        <v>2700</v>
      </c>
      <c r="E2746" s="2" t="b">
        <v>1</v>
      </c>
      <c r="F2746" s="2" t="b">
        <v>0</v>
      </c>
      <c r="G2746" s="2" t="s">
        <v>9937</v>
      </c>
      <c r="H2746" s="3" t="str">
        <f>_xlfn.IFNA(INDEX(RulebookFields!C2:C999, MATCH(D2746,RulebookFields!A2:A999, 0)), "")</f>
        <v>ProcedureVersions</v>
      </c>
      <c r="I2746" s="3" t="str">
        <f>_xlfn.IFNA(INDEX(RulebookFields!D2:D999, MATCH(D2746,RulebookFields!A2:A999, 0)), "")</f>
        <v>IsLiveAndUnstewarded</v>
      </c>
      <c r="J2746" s="3" t="b">
        <f>_xlfn.IFNA(INDEX(RulebookFields!I2:I999, MATCH(D2746,RulebookFields!A2:A999, 0)), "")</f>
        <v>1</v>
      </c>
      <c r="K2746" s="3" t="b">
        <f>AND(F2746, J2746)</f>
        <v>0</v>
      </c>
      <c r="L2746" s="3" t="b">
        <f>AND(G2746 &lt;&gt; "plain", G2746 &lt;&gt; "")</f>
        <v>0</v>
      </c>
      <c r="M2746" s="3" t="str">
        <f>IF(E2746, C2746 &amp; "|" &amp; H2746, "")</f>
        <v>principal-knowledge-authority|ProcedureVersions</v>
      </c>
      <c r="N2746" s="2" t="s">
        <v>9938</v>
      </c>
    </row>
    <row r="2747">
      <c r="A2747" s="2" t="s">
        <v>12683</v>
      </c>
      <c r="B2747" s="3" t="str">
        <f>C2747 &amp; " -&gt; " &amp; D2747</f>
        <v>principal-knowledge-authority -&gt; ProcedureVersions.CountOfOpenBlockingGaps</v>
      </c>
      <c r="C2747" s="2" t="s">
        <v>9708</v>
      </c>
      <c r="D2747" s="2" t="s">
        <v>2702</v>
      </c>
      <c r="E2747" s="2" t="b">
        <v>1</v>
      </c>
      <c r="F2747" s="2" t="b">
        <v>0</v>
      </c>
      <c r="G2747" s="2" t="s">
        <v>9937</v>
      </c>
      <c r="H2747" s="3" t="str">
        <f>_xlfn.IFNA(INDEX(RulebookFields!C2:C999, MATCH(D2747,RulebookFields!A2:A999, 0)), "")</f>
        <v>ProcedureVersions</v>
      </c>
      <c r="I2747" s="3" t="str">
        <f>_xlfn.IFNA(INDEX(RulebookFields!D2:D999, MATCH(D2747,RulebookFields!A2:A999, 0)), "")</f>
        <v>CountOfOpenBlockingGaps</v>
      </c>
      <c r="J2747" s="3" t="b">
        <f>_xlfn.IFNA(INDEX(RulebookFields!I2:I999, MATCH(D2747,RulebookFields!A2:A999, 0)), "")</f>
        <v>1</v>
      </c>
      <c r="K2747" s="3" t="b">
        <f>AND(F2747, J2747)</f>
        <v>0</v>
      </c>
      <c r="L2747" s="3" t="b">
        <f>AND(G2747 &lt;&gt; "plain", G2747 &lt;&gt; "")</f>
        <v>0</v>
      </c>
      <c r="M2747" s="3" t="str">
        <f>IF(E2747, C2747 &amp; "|" &amp; H2747, "")</f>
        <v>principal-knowledge-authority|ProcedureVersions</v>
      </c>
      <c r="N2747" s="2" t="s">
        <v>9938</v>
      </c>
    </row>
    <row r="2748">
      <c r="A2748" s="2" t="s">
        <v>12684</v>
      </c>
      <c r="B2748" s="3" t="str">
        <f>C2748 &amp; " -&gt; " &amp; D2748</f>
        <v>principal-knowledge-authority -&gt; ProcedureVersions.HasOpenBlockingGap</v>
      </c>
      <c r="C2748" s="2" t="s">
        <v>9708</v>
      </c>
      <c r="D2748" s="2" t="s">
        <v>2704</v>
      </c>
      <c r="E2748" s="2" t="b">
        <v>1</v>
      </c>
      <c r="F2748" s="2" t="b">
        <v>0</v>
      </c>
      <c r="G2748" s="2" t="s">
        <v>9937</v>
      </c>
      <c r="H2748" s="3" t="str">
        <f>_xlfn.IFNA(INDEX(RulebookFields!C2:C999, MATCH(D2748,RulebookFields!A2:A999, 0)), "")</f>
        <v>ProcedureVersions</v>
      </c>
      <c r="I2748" s="3" t="str">
        <f>_xlfn.IFNA(INDEX(RulebookFields!D2:D999, MATCH(D2748,RulebookFields!A2:A999, 0)), "")</f>
        <v>HasOpenBlockingGap</v>
      </c>
      <c r="J2748" s="3" t="b">
        <f>_xlfn.IFNA(INDEX(RulebookFields!I2:I999, MATCH(D2748,RulebookFields!A2:A999, 0)), "")</f>
        <v>1</v>
      </c>
      <c r="K2748" s="3" t="b">
        <f>AND(F2748, J2748)</f>
        <v>0</v>
      </c>
      <c r="L2748" s="3" t="b">
        <f>AND(G2748 &lt;&gt; "plain", G2748 &lt;&gt; "")</f>
        <v>0</v>
      </c>
      <c r="M2748" s="3" t="str">
        <f>IF(E2748, C2748 &amp; "|" &amp; H2748, "")</f>
        <v>principal-knowledge-authority|ProcedureVersions</v>
      </c>
      <c r="N2748" s="2" t="s">
        <v>9938</v>
      </c>
    </row>
    <row r="2749">
      <c r="A2749" s="2" t="s">
        <v>12685</v>
      </c>
      <c r="B2749" s="3" t="str">
        <f>C2749 &amp; " -&gt; " &amp; D2749</f>
        <v>principal-knowledge-authority -&gt; ProcedureVersions.IsLiveWithBlockingGap</v>
      </c>
      <c r="C2749" s="2" t="s">
        <v>9708</v>
      </c>
      <c r="D2749" s="2" t="s">
        <v>2706</v>
      </c>
      <c r="E2749" s="2" t="b">
        <v>1</v>
      </c>
      <c r="F2749" s="2" t="b">
        <v>0</v>
      </c>
      <c r="G2749" s="2" t="s">
        <v>9937</v>
      </c>
      <c r="H2749" s="3" t="str">
        <f>_xlfn.IFNA(INDEX(RulebookFields!C2:C999, MATCH(D2749,RulebookFields!A2:A999, 0)), "")</f>
        <v>ProcedureVersions</v>
      </c>
      <c r="I2749" s="3" t="str">
        <f>_xlfn.IFNA(INDEX(RulebookFields!D2:D999, MATCH(D2749,RulebookFields!A2:A999, 0)), "")</f>
        <v>IsLiveWithBlockingGap</v>
      </c>
      <c r="J2749" s="3" t="b">
        <f>_xlfn.IFNA(INDEX(RulebookFields!I2:I999, MATCH(D2749,RulebookFields!A2:A999, 0)), "")</f>
        <v>1</v>
      </c>
      <c r="K2749" s="3" t="b">
        <f>AND(F2749, J2749)</f>
        <v>0</v>
      </c>
      <c r="L2749" s="3" t="b">
        <f>AND(G2749 &lt;&gt; "plain", G2749 &lt;&gt; "")</f>
        <v>0</v>
      </c>
      <c r="M2749" s="3" t="str">
        <f>IF(E2749, C2749 &amp; "|" &amp; H2749, "")</f>
        <v>principal-knowledge-authority|ProcedureVersions</v>
      </c>
      <c r="N2749" s="2" t="s">
        <v>9938</v>
      </c>
    </row>
    <row r="2750">
      <c r="A2750" s="2" t="s">
        <v>12686</v>
      </c>
      <c r="B2750" s="3" t="str">
        <f>C2750 &amp; " -&gt; " &amp; D2750</f>
        <v>principal-knowledge-authority -&gt; ProcedureVersions.ShouldNotBeExecutable</v>
      </c>
      <c r="C2750" s="2" t="s">
        <v>9708</v>
      </c>
      <c r="D2750" s="2" t="s">
        <v>2708</v>
      </c>
      <c r="E2750" s="2" t="b">
        <v>1</v>
      </c>
      <c r="F2750" s="2" t="b">
        <v>0</v>
      </c>
      <c r="G2750" s="2" t="s">
        <v>9937</v>
      </c>
      <c r="H2750" s="3" t="str">
        <f>_xlfn.IFNA(INDEX(RulebookFields!C2:C999, MATCH(D2750,RulebookFields!A2:A999, 0)), "")</f>
        <v>ProcedureVersions</v>
      </c>
      <c r="I2750" s="3" t="str">
        <f>_xlfn.IFNA(INDEX(RulebookFields!D2:D999, MATCH(D2750,RulebookFields!A2:A999, 0)), "")</f>
        <v>ShouldNotBeExecutable</v>
      </c>
      <c r="J2750" s="3" t="b">
        <f>_xlfn.IFNA(INDEX(RulebookFields!I2:I999, MATCH(D2750,RulebookFields!A2:A999, 0)), "")</f>
        <v>1</v>
      </c>
      <c r="K2750" s="3" t="b">
        <f>AND(F2750, J2750)</f>
        <v>0</v>
      </c>
      <c r="L2750" s="3" t="b">
        <f>AND(G2750 &lt;&gt; "plain", G2750 &lt;&gt; "")</f>
        <v>0</v>
      </c>
      <c r="M2750" s="3" t="str">
        <f>IF(E2750, C2750 &amp; "|" &amp; H2750, "")</f>
        <v>principal-knowledge-authority|ProcedureVersions</v>
      </c>
      <c r="N2750" s="2" t="s">
        <v>9938</v>
      </c>
    </row>
    <row r="2751">
      <c r="A2751" s="2" t="s">
        <v>12687</v>
      </c>
      <c r="B2751" s="3" t="str">
        <f>C2751 &amp; " -&gt; " &amp; D2751</f>
        <v>principal-knowledge-authority -&gt; ProcedureVersions.CountOfUnapprovedRelianceFragments</v>
      </c>
      <c r="C2751" s="2" t="s">
        <v>9708</v>
      </c>
      <c r="D2751" s="2" t="s">
        <v>2710</v>
      </c>
      <c r="E2751" s="2" t="b">
        <v>1</v>
      </c>
      <c r="F2751" s="2" t="b">
        <v>0</v>
      </c>
      <c r="G2751" s="2" t="s">
        <v>9937</v>
      </c>
      <c r="H2751" s="3" t="str">
        <f>_xlfn.IFNA(INDEX(RulebookFields!C2:C999, MATCH(D2751,RulebookFields!A2:A999, 0)), "")</f>
        <v>ProcedureVersions</v>
      </c>
      <c r="I2751" s="3" t="str">
        <f>_xlfn.IFNA(INDEX(RulebookFields!D2:D999, MATCH(D2751,RulebookFields!A2:A999, 0)), "")</f>
        <v>CountOfUnapprovedRelianceFragments</v>
      </c>
      <c r="J2751" s="3" t="b">
        <f>_xlfn.IFNA(INDEX(RulebookFields!I2:I999, MATCH(D2751,RulebookFields!A2:A999, 0)), "")</f>
        <v>1</v>
      </c>
      <c r="K2751" s="3" t="b">
        <f>AND(F2751, J2751)</f>
        <v>0</v>
      </c>
      <c r="L2751" s="3" t="b">
        <f>AND(G2751 &lt;&gt; "plain", G2751 &lt;&gt; "")</f>
        <v>0</v>
      </c>
      <c r="M2751" s="3" t="str">
        <f>IF(E2751, C2751 &amp; "|" &amp; H2751, "")</f>
        <v>principal-knowledge-authority|ProcedureVersions</v>
      </c>
      <c r="N2751" s="2" t="s">
        <v>9938</v>
      </c>
    </row>
    <row r="2752">
      <c r="A2752" s="2" t="s">
        <v>12688</v>
      </c>
      <c r="B2752" s="3" t="str">
        <f>C2752 &amp; " -&gt; " &amp; D2752</f>
        <v>principal-knowledge-authority -&gt; ProcedureVersions.RunsOnUnapprovedKnowledge</v>
      </c>
      <c r="C2752" s="2" t="s">
        <v>9708</v>
      </c>
      <c r="D2752" s="2" t="s">
        <v>2712</v>
      </c>
      <c r="E2752" s="2" t="b">
        <v>1</v>
      </c>
      <c r="F2752" s="2" t="b">
        <v>0</v>
      </c>
      <c r="G2752" s="2" t="s">
        <v>9937</v>
      </c>
      <c r="H2752" s="3" t="str">
        <f>_xlfn.IFNA(INDEX(RulebookFields!C2:C999, MATCH(D2752,RulebookFields!A2:A999, 0)), "")</f>
        <v>ProcedureVersions</v>
      </c>
      <c r="I2752" s="3" t="str">
        <f>_xlfn.IFNA(INDEX(RulebookFields!D2:D999, MATCH(D2752,RulebookFields!A2:A999, 0)), "")</f>
        <v>RunsOnUnapprovedKnowledge</v>
      </c>
      <c r="J2752" s="3" t="b">
        <f>_xlfn.IFNA(INDEX(RulebookFields!I2:I999, MATCH(D2752,RulebookFields!A2:A999, 0)), "")</f>
        <v>1</v>
      </c>
      <c r="K2752" s="3" t="b">
        <f>AND(F2752, J2752)</f>
        <v>0</v>
      </c>
      <c r="L2752" s="3" t="b">
        <f>AND(G2752 &lt;&gt; "plain", G2752 &lt;&gt; "")</f>
        <v>0</v>
      </c>
      <c r="M2752" s="3" t="str">
        <f>IF(E2752, C2752 &amp; "|" &amp; H2752, "")</f>
        <v>principal-knowledge-authority|ProcedureVersions</v>
      </c>
      <c r="N2752" s="2" t="s">
        <v>9938</v>
      </c>
    </row>
    <row r="2753">
      <c r="A2753" s="2" t="s">
        <v>12689</v>
      </c>
      <c r="B2753" s="3" t="str">
        <f>C2753 &amp; " -&gt; " &amp; D2753</f>
        <v>principal-knowledge-authority -&gt; ProcedureVersions.CountOfOverdueGaps</v>
      </c>
      <c r="C2753" s="2" t="s">
        <v>9708</v>
      </c>
      <c r="D2753" s="2" t="s">
        <v>2714</v>
      </c>
      <c r="E2753" s="2" t="b">
        <v>1</v>
      </c>
      <c r="F2753" s="2" t="b">
        <v>0</v>
      </c>
      <c r="G2753" s="2" t="s">
        <v>9937</v>
      </c>
      <c r="H2753" s="3" t="str">
        <f>_xlfn.IFNA(INDEX(RulebookFields!C2:C999, MATCH(D2753,RulebookFields!A2:A999, 0)), "")</f>
        <v>ProcedureVersions</v>
      </c>
      <c r="I2753" s="3" t="str">
        <f>_xlfn.IFNA(INDEX(RulebookFields!D2:D999, MATCH(D2753,RulebookFields!A2:A999, 0)), "")</f>
        <v>CountOfOverdueGaps</v>
      </c>
      <c r="J2753" s="3" t="b">
        <f>_xlfn.IFNA(INDEX(RulebookFields!I2:I999, MATCH(D2753,RulebookFields!A2:A999, 0)), "")</f>
        <v>1</v>
      </c>
      <c r="K2753" s="3" t="b">
        <f>AND(F2753, J2753)</f>
        <v>0</v>
      </c>
      <c r="L2753" s="3" t="b">
        <f>AND(G2753 &lt;&gt; "plain", G2753 &lt;&gt; "")</f>
        <v>0</v>
      </c>
      <c r="M2753" s="3" t="str">
        <f>IF(E2753, C2753 &amp; "|" &amp; H2753, "")</f>
        <v>principal-knowledge-authority|ProcedureVersions</v>
      </c>
      <c r="N2753" s="2" t="s">
        <v>9938</v>
      </c>
    </row>
    <row r="2754">
      <c r="A2754" s="2" t="s">
        <v>12690</v>
      </c>
      <c r="B2754" s="3" t="str">
        <f>C2754 &amp; " -&gt; " &amp; D2754</f>
        <v>principal-knowledge-authority -&gt; ProcedureVersions.CountOfChangeRequests</v>
      </c>
      <c r="C2754" s="2" t="s">
        <v>9708</v>
      </c>
      <c r="D2754" s="2" t="s">
        <v>2716</v>
      </c>
      <c r="E2754" s="2" t="b">
        <v>1</v>
      </c>
      <c r="F2754" s="2" t="b">
        <v>0</v>
      </c>
      <c r="G2754" s="2" t="s">
        <v>9937</v>
      </c>
      <c r="H2754" s="3" t="str">
        <f>_xlfn.IFNA(INDEX(RulebookFields!C2:C999, MATCH(D2754,RulebookFields!A2:A999, 0)), "")</f>
        <v>ProcedureVersions</v>
      </c>
      <c r="I2754" s="3" t="str">
        <f>_xlfn.IFNA(INDEX(RulebookFields!D2:D999, MATCH(D2754,RulebookFields!A2:A999, 0)), "")</f>
        <v>CountOfChangeRequests</v>
      </c>
      <c r="J2754" s="3" t="b">
        <f>_xlfn.IFNA(INDEX(RulebookFields!I2:I999, MATCH(D2754,RulebookFields!A2:A999, 0)), "")</f>
        <v>1</v>
      </c>
      <c r="K2754" s="3" t="b">
        <f>AND(F2754, J2754)</f>
        <v>0</v>
      </c>
      <c r="L2754" s="3" t="b">
        <f>AND(G2754 &lt;&gt; "plain", G2754 &lt;&gt; "")</f>
        <v>0</v>
      </c>
      <c r="M2754" s="3" t="str">
        <f>IF(E2754, C2754 &amp; "|" &amp; H2754, "")</f>
        <v>principal-knowledge-authority|ProcedureVersions</v>
      </c>
      <c r="N2754" s="2" t="s">
        <v>9938</v>
      </c>
    </row>
    <row r="2755">
      <c r="A2755" s="2" t="s">
        <v>12691</v>
      </c>
      <c r="B2755" s="3" t="str">
        <f>C2755 &amp; " -&gt; " &amp; D2755</f>
        <v>principal-knowledge-authority -&gt; ProcedureVersions.CountOfReviewEvents</v>
      </c>
      <c r="C2755" s="2" t="s">
        <v>9708</v>
      </c>
      <c r="D2755" s="2" t="s">
        <v>2718</v>
      </c>
      <c r="E2755" s="2" t="b">
        <v>1</v>
      </c>
      <c r="F2755" s="2" t="b">
        <v>0</v>
      </c>
      <c r="G2755" s="2" t="s">
        <v>9937</v>
      </c>
      <c r="H2755" s="3" t="str">
        <f>_xlfn.IFNA(INDEX(RulebookFields!C2:C999, MATCH(D2755,RulebookFields!A2:A999, 0)), "")</f>
        <v>ProcedureVersions</v>
      </c>
      <c r="I2755" s="3" t="str">
        <f>_xlfn.IFNA(INDEX(RulebookFields!D2:D999, MATCH(D2755,RulebookFields!A2:A999, 0)), "")</f>
        <v>CountOfReviewEvents</v>
      </c>
      <c r="J2755" s="3" t="b">
        <f>_xlfn.IFNA(INDEX(RulebookFields!I2:I999, MATCH(D2755,RulebookFields!A2:A999, 0)), "")</f>
        <v>1</v>
      </c>
      <c r="K2755" s="3" t="b">
        <f>AND(F2755, J2755)</f>
        <v>0</v>
      </c>
      <c r="L2755" s="3" t="b">
        <f>AND(G2755 &lt;&gt; "plain", G2755 &lt;&gt; "")</f>
        <v>0</v>
      </c>
      <c r="M2755" s="3" t="str">
        <f>IF(E2755, C2755 &amp; "|" &amp; H2755, "")</f>
        <v>principal-knowledge-authority|ProcedureVersions</v>
      </c>
      <c r="N2755" s="2" t="s">
        <v>9938</v>
      </c>
    </row>
    <row r="2756">
      <c r="A2756" s="2" t="s">
        <v>12692</v>
      </c>
      <c r="B2756" s="3" t="str">
        <f>C2756 &amp; " -&gt; " &amp; D2756</f>
        <v>principal-knowledge-authority -&gt; ProcedureVersions.HasGovernanceRecord</v>
      </c>
      <c r="C2756" s="2" t="s">
        <v>9708</v>
      </c>
      <c r="D2756" s="2" t="s">
        <v>2720</v>
      </c>
      <c r="E2756" s="2" t="b">
        <v>1</v>
      </c>
      <c r="F2756" s="2" t="b">
        <v>0</v>
      </c>
      <c r="G2756" s="2" t="s">
        <v>9937</v>
      </c>
      <c r="H2756" s="3" t="str">
        <f>_xlfn.IFNA(INDEX(RulebookFields!C2:C999, MATCH(D2756,RulebookFields!A2:A999, 0)), "")</f>
        <v>ProcedureVersions</v>
      </c>
      <c r="I2756" s="3" t="str">
        <f>_xlfn.IFNA(INDEX(RulebookFields!D2:D999, MATCH(D2756,RulebookFields!A2:A999, 0)), "")</f>
        <v>HasGovernanceRecord</v>
      </c>
      <c r="J2756" s="3" t="b">
        <f>_xlfn.IFNA(INDEX(RulebookFields!I2:I999, MATCH(D2756,RulebookFields!A2:A999, 0)), "")</f>
        <v>1</v>
      </c>
      <c r="K2756" s="3" t="b">
        <f>AND(F2756, J2756)</f>
        <v>0</v>
      </c>
      <c r="L2756" s="3" t="b">
        <f>AND(G2756 &lt;&gt; "plain", G2756 &lt;&gt; "")</f>
        <v>0</v>
      </c>
      <c r="M2756" s="3" t="str">
        <f>IF(E2756, C2756 &amp; "|" &amp; H2756, "")</f>
        <v>principal-knowledge-authority|ProcedureVersions</v>
      </c>
      <c r="N2756" s="2" t="s">
        <v>9938</v>
      </c>
    </row>
    <row r="2757">
      <c r="A2757" s="2" t="s">
        <v>12693</v>
      </c>
      <c r="B2757" s="3" t="str">
        <f>C2757 &amp; " -&gt; " &amp; D2757</f>
        <v>principal-knowledge-authority -&gt; ProcedureVersions.EvaluationContext</v>
      </c>
      <c r="C2757" s="2" t="s">
        <v>9708</v>
      </c>
      <c r="D2757" s="2" t="s">
        <v>2722</v>
      </c>
      <c r="E2757" s="2" t="b">
        <v>1</v>
      </c>
      <c r="F2757" s="2" t="b">
        <v>0</v>
      </c>
      <c r="G2757" s="2" t="s">
        <v>9937</v>
      </c>
      <c r="H2757" s="3" t="str">
        <f>_xlfn.IFNA(INDEX(RulebookFields!C2:C999, MATCH(D2757,RulebookFields!A2:A999, 0)), "")</f>
        <v>ProcedureVersions</v>
      </c>
      <c r="I2757" s="3" t="str">
        <f>_xlfn.IFNA(INDEX(RulebookFields!D2:D999, MATCH(D2757,RulebookFields!A2:A999, 0)), "")</f>
        <v>EvaluationContext</v>
      </c>
      <c r="J2757" s="3" t="b">
        <f>_xlfn.IFNA(INDEX(RulebookFields!I2:I999, MATCH(D2757,RulebookFields!A2:A999, 0)), "")</f>
        <v>0</v>
      </c>
      <c r="K2757" s="3" t="b">
        <f>AND(F2757, J2757)</f>
        <v>0</v>
      </c>
      <c r="L2757" s="3" t="b">
        <f>AND(G2757 &lt;&gt; "plain", G2757 &lt;&gt; "")</f>
        <v>0</v>
      </c>
      <c r="M2757" s="3" t="str">
        <f>IF(E2757, C2757 &amp; "|" &amp; H2757, "")</f>
        <v>principal-knowledge-authority|ProcedureVersions</v>
      </c>
      <c r="N2757" s="2" t="s">
        <v>9938</v>
      </c>
    </row>
    <row r="2758">
      <c r="A2758" s="2" t="s">
        <v>12694</v>
      </c>
      <c r="B2758" s="3" t="str">
        <f>C2758 &amp; " -&gt; " &amp; D2758</f>
        <v>principal-knowledge-authority -&gt; ProcedureVersions.AsOfInstant</v>
      </c>
      <c r="C2758" s="2" t="s">
        <v>9708</v>
      </c>
      <c r="D2758" s="2" t="s">
        <v>2723</v>
      </c>
      <c r="E2758" s="2" t="b">
        <v>1</v>
      </c>
      <c r="F2758" s="2" t="b">
        <v>0</v>
      </c>
      <c r="G2758" s="2" t="s">
        <v>9937</v>
      </c>
      <c r="H2758" s="3" t="str">
        <f>_xlfn.IFNA(INDEX(RulebookFields!C2:C999, MATCH(D2758,RulebookFields!A2:A999, 0)), "")</f>
        <v>ProcedureVersions</v>
      </c>
      <c r="I2758" s="3" t="str">
        <f>_xlfn.IFNA(INDEX(RulebookFields!D2:D999, MATCH(D2758,RulebookFields!A2:A999, 0)), "")</f>
        <v>AsOfInstant</v>
      </c>
      <c r="J2758" s="3" t="b">
        <f>_xlfn.IFNA(INDEX(RulebookFields!I2:I999, MATCH(D2758,RulebookFields!A2:A999, 0)), "")</f>
        <v>1</v>
      </c>
      <c r="K2758" s="3" t="b">
        <f>AND(F2758, J2758)</f>
        <v>0</v>
      </c>
      <c r="L2758" s="3" t="b">
        <f>AND(G2758 &lt;&gt; "plain", G2758 &lt;&gt; "")</f>
        <v>0</v>
      </c>
      <c r="M2758" s="3" t="str">
        <f>IF(E2758, C2758 &amp; "|" &amp; H2758, "")</f>
        <v>principal-knowledge-authority|ProcedureVersions</v>
      </c>
      <c r="N2758" s="2" t="s">
        <v>9938</v>
      </c>
    </row>
    <row r="2759">
      <c r="A2759" s="2" t="s">
        <v>12695</v>
      </c>
      <c r="B2759" s="3" t="str">
        <f>C2759 &amp; " -&gt; " &amp; D2759</f>
        <v>principal-knowledge-authority -&gt; ProcedureVersions.DaysSinceModified</v>
      </c>
      <c r="C2759" s="2" t="s">
        <v>9708</v>
      </c>
      <c r="D2759" s="2" t="s">
        <v>2724</v>
      </c>
      <c r="E2759" s="2" t="b">
        <v>1</v>
      </c>
      <c r="F2759" s="2" t="b">
        <v>0</v>
      </c>
      <c r="G2759" s="2" t="s">
        <v>9937</v>
      </c>
      <c r="H2759" s="3" t="str">
        <f>_xlfn.IFNA(INDEX(RulebookFields!C2:C999, MATCH(D2759,RulebookFields!A2:A999, 0)), "")</f>
        <v>ProcedureVersions</v>
      </c>
      <c r="I2759" s="3" t="str">
        <f>_xlfn.IFNA(INDEX(RulebookFields!D2:D999, MATCH(D2759,RulebookFields!A2:A999, 0)), "")</f>
        <v>DaysSinceModified</v>
      </c>
      <c r="J2759" s="3" t="b">
        <f>_xlfn.IFNA(INDEX(RulebookFields!I2:I999, MATCH(D2759,RulebookFields!A2:A999, 0)), "")</f>
        <v>1</v>
      </c>
      <c r="K2759" s="3" t="b">
        <f>AND(F2759, J2759)</f>
        <v>0</v>
      </c>
      <c r="L2759" s="3" t="b">
        <f>AND(G2759 &lt;&gt; "plain", G2759 &lt;&gt; "")</f>
        <v>0</v>
      </c>
      <c r="M2759" s="3" t="str">
        <f>IF(E2759, C2759 &amp; "|" &amp; H2759, "")</f>
        <v>principal-knowledge-authority|ProcedureVersions</v>
      </c>
      <c r="N2759" s="2" t="s">
        <v>9938</v>
      </c>
    </row>
    <row r="2760">
      <c r="A2760" s="2" t="s">
        <v>12696</v>
      </c>
      <c r="B2760" s="3" t="str">
        <f>C2760 &amp; " -&gt; " &amp; D2760</f>
        <v>principal-knowledge-authority -&gt; ProcedureVersions.DaysSinceLastReview</v>
      </c>
      <c r="C2760" s="2" t="s">
        <v>9708</v>
      </c>
      <c r="D2760" s="2" t="s">
        <v>2726</v>
      </c>
      <c r="E2760" s="2" t="b">
        <v>1</v>
      </c>
      <c r="F2760" s="2" t="b">
        <v>0</v>
      </c>
      <c r="G2760" s="2" t="s">
        <v>9937</v>
      </c>
      <c r="H2760" s="3" t="str">
        <f>_xlfn.IFNA(INDEX(RulebookFields!C2:C999, MATCH(D2760,RulebookFields!A2:A999, 0)), "")</f>
        <v>ProcedureVersions</v>
      </c>
      <c r="I2760" s="3" t="str">
        <f>_xlfn.IFNA(INDEX(RulebookFields!D2:D999, MATCH(D2760,RulebookFields!A2:A999, 0)), "")</f>
        <v>DaysSinceLastReview</v>
      </c>
      <c r="J2760" s="3" t="b">
        <f>_xlfn.IFNA(INDEX(RulebookFields!I2:I999, MATCH(D2760,RulebookFields!A2:A999, 0)), "")</f>
        <v>1</v>
      </c>
      <c r="K2760" s="3" t="b">
        <f>AND(F2760, J2760)</f>
        <v>0</v>
      </c>
      <c r="L2760" s="3" t="b">
        <f>AND(G2760 &lt;&gt; "plain", G2760 &lt;&gt; "")</f>
        <v>0</v>
      </c>
      <c r="M2760" s="3" t="str">
        <f>IF(E2760, C2760 &amp; "|" &amp; H2760, "")</f>
        <v>principal-knowledge-authority|ProcedureVersions</v>
      </c>
      <c r="N2760" s="2" t="s">
        <v>9938</v>
      </c>
    </row>
    <row r="2761">
      <c r="A2761" s="2" t="s">
        <v>12697</v>
      </c>
      <c r="B2761" s="3" t="str">
        <f>C2761 &amp; " -&gt; " &amp; D2761</f>
        <v>principal-knowledge-authority -&gt; ProcedureVersions.WasModifiedSinceLastReview</v>
      </c>
      <c r="C2761" s="2" t="s">
        <v>9708</v>
      </c>
      <c r="D2761" s="2" t="s">
        <v>2728</v>
      </c>
      <c r="E2761" s="2" t="b">
        <v>1</v>
      </c>
      <c r="F2761" s="2" t="b">
        <v>0</v>
      </c>
      <c r="G2761" s="2" t="s">
        <v>9937</v>
      </c>
      <c r="H2761" s="3" t="str">
        <f>_xlfn.IFNA(INDEX(RulebookFields!C2:C999, MATCH(D2761,RulebookFields!A2:A999, 0)), "")</f>
        <v>ProcedureVersions</v>
      </c>
      <c r="I2761" s="3" t="str">
        <f>_xlfn.IFNA(INDEX(RulebookFields!D2:D999, MATCH(D2761,RulebookFields!A2:A999, 0)), "")</f>
        <v>WasModifiedSinceLastReview</v>
      </c>
      <c r="J2761" s="3" t="b">
        <f>_xlfn.IFNA(INDEX(RulebookFields!I2:I999, MATCH(D2761,RulebookFields!A2:A999, 0)), "")</f>
        <v>1</v>
      </c>
      <c r="K2761" s="3" t="b">
        <f>AND(F2761, J2761)</f>
        <v>0</v>
      </c>
      <c r="L2761" s="3" t="b">
        <f>AND(G2761 &lt;&gt; "plain", G2761 &lt;&gt; "")</f>
        <v>0</v>
      </c>
      <c r="M2761" s="3" t="str">
        <f>IF(E2761, C2761 &amp; "|" &amp; H2761, "")</f>
        <v>principal-knowledge-authority|ProcedureVersions</v>
      </c>
      <c r="N2761" s="2" t="s">
        <v>9938</v>
      </c>
    </row>
    <row r="2762">
      <c r="A2762" s="2" t="s">
        <v>12698</v>
      </c>
      <c r="B2762" s="3" t="str">
        <f>C2762 &amp; " -&gt; " &amp; D2762</f>
        <v>principal-knowledge-authority -&gt; ProcedureVersions.ModifierIsAuthority</v>
      </c>
      <c r="C2762" s="2" t="s">
        <v>9708</v>
      </c>
      <c r="D2762" s="2" t="s">
        <v>2730</v>
      </c>
      <c r="E2762" s="2" t="b">
        <v>1</v>
      </c>
      <c r="F2762" s="2" t="b">
        <v>0</v>
      </c>
      <c r="G2762" s="2" t="s">
        <v>9937</v>
      </c>
      <c r="H2762" s="3" t="str">
        <f>_xlfn.IFNA(INDEX(RulebookFields!C2:C999, MATCH(D2762,RulebookFields!A2:A999, 0)), "")</f>
        <v>ProcedureVersions</v>
      </c>
      <c r="I2762" s="3" t="str">
        <f>_xlfn.IFNA(INDEX(RulebookFields!D2:D999, MATCH(D2762,RulebookFields!A2:A999, 0)), "")</f>
        <v>ModifierIsAuthority</v>
      </c>
      <c r="J2762" s="3" t="b">
        <f>_xlfn.IFNA(INDEX(RulebookFields!I2:I999, MATCH(D2762,RulebookFields!A2:A999, 0)), "")</f>
        <v>1</v>
      </c>
      <c r="K2762" s="3" t="b">
        <f>AND(F2762, J2762)</f>
        <v>0</v>
      </c>
      <c r="L2762" s="3" t="b">
        <f>AND(G2762 &lt;&gt; "plain", G2762 &lt;&gt; "")</f>
        <v>0</v>
      </c>
      <c r="M2762" s="3" t="str">
        <f>IF(E2762, C2762 &amp; "|" &amp; H2762, "")</f>
        <v>principal-knowledge-authority|ProcedureVersions</v>
      </c>
      <c r="N2762" s="2" t="s">
        <v>9938</v>
      </c>
    </row>
    <row r="2763">
      <c r="A2763" s="2" t="s">
        <v>12699</v>
      </c>
      <c r="B2763" s="3" t="str">
        <f>C2763 &amp; " -&gt; " &amp; D2763</f>
        <v>principal-knowledge-authority -&gt; ProcedureVersions.HasUnwitnessedChange</v>
      </c>
      <c r="C2763" s="2" t="s">
        <v>9708</v>
      </c>
      <c r="D2763" s="2" t="s">
        <v>2732</v>
      </c>
      <c r="E2763" s="2" t="b">
        <v>1</v>
      </c>
      <c r="F2763" s="2" t="b">
        <v>0</v>
      </c>
      <c r="G2763" s="2" t="s">
        <v>9937</v>
      </c>
      <c r="H2763" s="3" t="str">
        <f>_xlfn.IFNA(INDEX(RulebookFields!C2:C999, MATCH(D2763,RulebookFields!A2:A999, 0)), "")</f>
        <v>ProcedureVersions</v>
      </c>
      <c r="I2763" s="3" t="str">
        <f>_xlfn.IFNA(INDEX(RulebookFields!D2:D999, MATCH(D2763,RulebookFields!A2:A999, 0)), "")</f>
        <v>HasUnwitnessedChange</v>
      </c>
      <c r="J2763" s="3" t="b">
        <f>_xlfn.IFNA(INDEX(RulebookFields!I2:I999, MATCH(D2763,RulebookFields!A2:A999, 0)), "")</f>
        <v>1</v>
      </c>
      <c r="K2763" s="3" t="b">
        <f>AND(F2763, J2763)</f>
        <v>0</v>
      </c>
      <c r="L2763" s="3" t="b">
        <f>AND(G2763 &lt;&gt; "plain", G2763 &lt;&gt; "")</f>
        <v>0</v>
      </c>
      <c r="M2763" s="3" t="str">
        <f>IF(E2763, C2763 &amp; "|" &amp; H2763, "")</f>
        <v>principal-knowledge-authority|ProcedureVersions</v>
      </c>
      <c r="N2763" s="2" t="s">
        <v>9938</v>
      </c>
    </row>
    <row r="2764">
      <c r="A2764" s="2" t="s">
        <v>12700</v>
      </c>
      <c r="B2764" s="3" t="str">
        <f>C2764 &amp; " -&gt; " &amp; D2764</f>
        <v>principal-knowledge-authority -&gt; ProcedureVersions.CountOfStaleFragments</v>
      </c>
      <c r="C2764" s="2" t="s">
        <v>9708</v>
      </c>
      <c r="D2764" s="2" t="s">
        <v>2734</v>
      </c>
      <c r="E2764" s="2" t="b">
        <v>1</v>
      </c>
      <c r="F2764" s="2" t="b">
        <v>0</v>
      </c>
      <c r="G2764" s="2" t="s">
        <v>9937</v>
      </c>
      <c r="H2764" s="3" t="str">
        <f>_xlfn.IFNA(INDEX(RulebookFields!C2:C999, MATCH(D2764,RulebookFields!A2:A999, 0)), "")</f>
        <v>ProcedureVersions</v>
      </c>
      <c r="I2764" s="3" t="str">
        <f>_xlfn.IFNA(INDEX(RulebookFields!D2:D999, MATCH(D2764,RulebookFields!A2:A999, 0)), "")</f>
        <v>CountOfStaleFragments</v>
      </c>
      <c r="J2764" s="3" t="b">
        <f>_xlfn.IFNA(INDEX(RulebookFields!I2:I999, MATCH(D2764,RulebookFields!A2:A999, 0)), "")</f>
        <v>1</v>
      </c>
      <c r="K2764" s="3" t="b">
        <f>AND(F2764, J2764)</f>
        <v>0</v>
      </c>
      <c r="L2764" s="3" t="b">
        <f>AND(G2764 &lt;&gt; "plain", G2764 &lt;&gt; "")</f>
        <v>0</v>
      </c>
      <c r="M2764" s="3" t="str">
        <f>IF(E2764, C2764 &amp; "|" &amp; H2764, "")</f>
        <v>principal-knowledge-authority|ProcedureVersions</v>
      </c>
      <c r="N2764" s="2" t="s">
        <v>9938</v>
      </c>
    </row>
    <row r="2765">
      <c r="A2765" s="2" t="s">
        <v>12701</v>
      </c>
      <c r="B2765" s="3" t="str">
        <f>C2765 &amp; " -&gt; " &amp; D2765</f>
        <v>principal-knowledge-authority -&gt; ProcedureVersions.KnowledgeIsStalerThanCadence</v>
      </c>
      <c r="C2765" s="2" t="s">
        <v>9708</v>
      </c>
      <c r="D2765" s="2" t="s">
        <v>2736</v>
      </c>
      <c r="E2765" s="2" t="b">
        <v>1</v>
      </c>
      <c r="F2765" s="2" t="b">
        <v>0</v>
      </c>
      <c r="G2765" s="2" t="s">
        <v>9937</v>
      </c>
      <c r="H2765" s="3" t="str">
        <f>_xlfn.IFNA(INDEX(RulebookFields!C2:C999, MATCH(D2765,RulebookFields!A2:A999, 0)), "")</f>
        <v>ProcedureVersions</v>
      </c>
      <c r="I2765" s="3" t="str">
        <f>_xlfn.IFNA(INDEX(RulebookFields!D2:D999, MATCH(D2765,RulebookFields!A2:A999, 0)), "")</f>
        <v>KnowledgeIsStalerThanCadence</v>
      </c>
      <c r="J2765" s="3" t="b">
        <f>_xlfn.IFNA(INDEX(RulebookFields!I2:I999, MATCH(D2765,RulebookFields!A2:A999, 0)), "")</f>
        <v>1</v>
      </c>
      <c r="K2765" s="3" t="b">
        <f>AND(F2765, J2765)</f>
        <v>0</v>
      </c>
      <c r="L2765" s="3" t="b">
        <f>AND(G2765 &lt;&gt; "plain", G2765 &lt;&gt; "")</f>
        <v>0</v>
      </c>
      <c r="M2765" s="3" t="str">
        <f>IF(E2765, C2765 &amp; "|" &amp; H2765, "")</f>
        <v>principal-knowledge-authority|ProcedureVersions</v>
      </c>
      <c r="N2765" s="2" t="s">
        <v>9938</v>
      </c>
    </row>
    <row r="2766">
      <c r="A2766" s="2" t="s">
        <v>12702</v>
      </c>
      <c r="B2766" s="3" t="str">
        <f>C2766 &amp; " -&gt; " &amp; D2766</f>
        <v>principal-knowledge-authority -&gt; ProcedureVersions.CompoundFragileFragmentCount</v>
      </c>
      <c r="C2766" s="2" t="s">
        <v>9708</v>
      </c>
      <c r="D2766" s="2" t="s">
        <v>2738</v>
      </c>
      <c r="E2766" s="2" t="b">
        <v>1</v>
      </c>
      <c r="F2766" s="2" t="b">
        <v>0</v>
      </c>
      <c r="G2766" s="2" t="s">
        <v>9937</v>
      </c>
      <c r="H2766" s="3" t="str">
        <f>_xlfn.IFNA(INDEX(RulebookFields!C2:C999, MATCH(D2766,RulebookFields!A2:A999, 0)), "")</f>
        <v>ProcedureVersions</v>
      </c>
      <c r="I2766" s="3" t="str">
        <f>_xlfn.IFNA(INDEX(RulebookFields!D2:D999, MATCH(D2766,RulebookFields!A2:A999, 0)), "")</f>
        <v>CompoundFragileFragmentCount</v>
      </c>
      <c r="J2766" s="3" t="b">
        <f>_xlfn.IFNA(INDEX(RulebookFields!I2:I999, MATCH(D2766,RulebookFields!A2:A999, 0)), "")</f>
        <v>1</v>
      </c>
      <c r="K2766" s="3" t="b">
        <f>AND(F2766, J2766)</f>
        <v>0</v>
      </c>
      <c r="L2766" s="3" t="b">
        <f>AND(G2766 &lt;&gt; "plain", G2766 &lt;&gt; "")</f>
        <v>0</v>
      </c>
      <c r="M2766" s="3" t="str">
        <f>IF(E2766, C2766 &amp; "|" &amp; H2766, "")</f>
        <v>principal-knowledge-authority|ProcedureVersions</v>
      </c>
      <c r="N2766" s="2" t="s">
        <v>9938</v>
      </c>
    </row>
    <row r="2767">
      <c r="A2767" s="2" t="s">
        <v>12703</v>
      </c>
      <c r="B2767" s="3" t="str">
        <f>C2767 &amp; " -&gt; " &amp; D2767</f>
        <v>principal-knowledge-authority -&gt; ProcedureVersions.RestsOnCompoundFragileKnowledge</v>
      </c>
      <c r="C2767" s="2" t="s">
        <v>9708</v>
      </c>
      <c r="D2767" s="2" t="s">
        <v>2740</v>
      </c>
      <c r="E2767" s="2" t="b">
        <v>1</v>
      </c>
      <c r="F2767" s="2" t="b">
        <v>0</v>
      </c>
      <c r="G2767" s="2" t="s">
        <v>9937</v>
      </c>
      <c r="H2767" s="3" t="str">
        <f>_xlfn.IFNA(INDEX(RulebookFields!C2:C999, MATCH(D2767,RulebookFields!A2:A999, 0)), "")</f>
        <v>ProcedureVersions</v>
      </c>
      <c r="I2767" s="3" t="str">
        <f>_xlfn.IFNA(INDEX(RulebookFields!D2:D999, MATCH(D2767,RulebookFields!A2:A999, 0)), "")</f>
        <v>RestsOnCompoundFragileKnowledge</v>
      </c>
      <c r="J2767" s="3" t="b">
        <f>_xlfn.IFNA(INDEX(RulebookFields!I2:I999, MATCH(D2767,RulebookFields!A2:A999, 0)), "")</f>
        <v>1</v>
      </c>
      <c r="K2767" s="3" t="b">
        <f>AND(F2767, J2767)</f>
        <v>0</v>
      </c>
      <c r="L2767" s="3" t="b">
        <f>AND(G2767 &lt;&gt; "plain", G2767 &lt;&gt; "")</f>
        <v>0</v>
      </c>
      <c r="M2767" s="3" t="str">
        <f>IF(E2767, C2767 &amp; "|" &amp; H2767, "")</f>
        <v>principal-knowledge-authority|ProcedureVersions</v>
      </c>
      <c r="N2767" s="2" t="s">
        <v>9938</v>
      </c>
    </row>
    <row r="2768">
      <c r="A2768" s="2" t="s">
        <v>12704</v>
      </c>
      <c r="B2768" s="3" t="str">
        <f>C2768 &amp; " -&gt; " &amp; D2768</f>
        <v>principal-knowledge-authority -&gt; ProcedureVersions.ConcentratedWitnessSessionCount</v>
      </c>
      <c r="C2768" s="2" t="s">
        <v>9708</v>
      </c>
      <c r="D2768" s="2" t="s">
        <v>2742</v>
      </c>
      <c r="E2768" s="2" t="b">
        <v>1</v>
      </c>
      <c r="F2768" s="2" t="b">
        <v>0</v>
      </c>
      <c r="G2768" s="2" t="s">
        <v>9937</v>
      </c>
      <c r="H2768" s="3" t="str">
        <f>_xlfn.IFNA(INDEX(RulebookFields!C2:C999, MATCH(D2768,RulebookFields!A2:A999, 0)), "")</f>
        <v>ProcedureVersions</v>
      </c>
      <c r="I2768" s="3" t="str">
        <f>_xlfn.IFNA(INDEX(RulebookFields!D2:D999, MATCH(D2768,RulebookFields!A2:A999, 0)), "")</f>
        <v>ConcentratedWitnessSessionCount</v>
      </c>
      <c r="J2768" s="3" t="b">
        <f>_xlfn.IFNA(INDEX(RulebookFields!I2:I999, MATCH(D2768,RulebookFields!A2:A999, 0)), "")</f>
        <v>1</v>
      </c>
      <c r="K2768" s="3" t="b">
        <f>AND(F2768, J2768)</f>
        <v>0</v>
      </c>
      <c r="L2768" s="3" t="b">
        <f>AND(G2768 &lt;&gt; "plain", G2768 &lt;&gt; "")</f>
        <v>0</v>
      </c>
      <c r="M2768" s="3" t="str">
        <f>IF(E2768, C2768 &amp; "|" &amp; H2768, "")</f>
        <v>principal-knowledge-authority|ProcedureVersions</v>
      </c>
      <c r="N2768" s="2" t="s">
        <v>9938</v>
      </c>
    </row>
    <row r="2769">
      <c r="A2769" s="2" t="s">
        <v>12705</v>
      </c>
      <c r="B2769" s="3" t="str">
        <f>C2769 &amp; " -&gt; " &amp; D2769</f>
        <v>principal-knowledge-authority -&gt; ProcedureVersions.KnowledgeBaseIsConcentrated</v>
      </c>
      <c r="C2769" s="2" t="s">
        <v>9708</v>
      </c>
      <c r="D2769" s="2" t="s">
        <v>2744</v>
      </c>
      <c r="E2769" s="2" t="b">
        <v>1</v>
      </c>
      <c r="F2769" s="2" t="b">
        <v>0</v>
      </c>
      <c r="G2769" s="2" t="s">
        <v>9937</v>
      </c>
      <c r="H2769" s="3" t="str">
        <f>_xlfn.IFNA(INDEX(RulebookFields!C2:C999, MATCH(D2769,RulebookFields!A2:A999, 0)), "")</f>
        <v>ProcedureVersions</v>
      </c>
      <c r="I2769" s="3" t="str">
        <f>_xlfn.IFNA(INDEX(RulebookFields!D2:D999, MATCH(D2769,RulebookFields!A2:A999, 0)), "")</f>
        <v>KnowledgeBaseIsConcentrated</v>
      </c>
      <c r="J2769" s="3" t="b">
        <f>_xlfn.IFNA(INDEX(RulebookFields!I2:I999, MATCH(D2769,RulebookFields!A2:A999, 0)), "")</f>
        <v>1</v>
      </c>
      <c r="K2769" s="3" t="b">
        <f>AND(F2769, J2769)</f>
        <v>0</v>
      </c>
      <c r="L2769" s="3" t="b">
        <f>AND(G2769 &lt;&gt; "plain", G2769 &lt;&gt; "")</f>
        <v>0</v>
      </c>
      <c r="M2769" s="3" t="str">
        <f>IF(E2769, C2769 &amp; "|" &amp; H2769, "")</f>
        <v>principal-knowledge-authority|ProcedureVersions</v>
      </c>
      <c r="N2769" s="2" t="s">
        <v>9938</v>
      </c>
    </row>
    <row r="2770">
      <c r="A2770" s="2" t="s">
        <v>12706</v>
      </c>
      <c r="B2770" s="3" t="str">
        <f>C2770 &amp; " -&gt; " &amp; D2770</f>
        <v>principal-knowledge-authority -&gt; ProcedureVersions.MachineConsumedUnapprovedCount</v>
      </c>
      <c r="C2770" s="2" t="s">
        <v>9708</v>
      </c>
      <c r="D2770" s="2" t="s">
        <v>2746</v>
      </c>
      <c r="E2770" s="2" t="b">
        <v>1</v>
      </c>
      <c r="F2770" s="2" t="b">
        <v>0</v>
      </c>
      <c r="G2770" s="2" t="s">
        <v>9937</v>
      </c>
      <c r="H2770" s="3" t="str">
        <f>_xlfn.IFNA(INDEX(RulebookFields!C2:C999, MATCH(D2770,RulebookFields!A2:A999, 0)), "")</f>
        <v>ProcedureVersions</v>
      </c>
      <c r="I2770" s="3" t="str">
        <f>_xlfn.IFNA(INDEX(RulebookFields!D2:D999, MATCH(D2770,RulebookFields!A2:A999, 0)), "")</f>
        <v>MachineConsumedUnapprovedCount</v>
      </c>
      <c r="J2770" s="3" t="b">
        <f>_xlfn.IFNA(INDEX(RulebookFields!I2:I999, MATCH(D2770,RulebookFields!A2:A999, 0)), "")</f>
        <v>1</v>
      </c>
      <c r="K2770" s="3" t="b">
        <f>AND(F2770, J2770)</f>
        <v>0</v>
      </c>
      <c r="L2770" s="3" t="b">
        <f>AND(G2770 &lt;&gt; "plain", G2770 &lt;&gt; "")</f>
        <v>0</v>
      </c>
      <c r="M2770" s="3" t="str">
        <f>IF(E2770, C2770 &amp; "|" &amp; H2770, "")</f>
        <v>principal-knowledge-authority|ProcedureVersions</v>
      </c>
      <c r="N2770" s="2" t="s">
        <v>9938</v>
      </c>
    </row>
    <row r="2771">
      <c r="A2771" s="2" t="s">
        <v>12707</v>
      </c>
      <c r="B2771" s="3" t="str">
        <f>C2771 &amp; " -&gt; " &amp; D2771</f>
        <v>principal-knowledge-authority -&gt; ProcedureVersions.FeedsUnapprovedKnowledgeToMachines</v>
      </c>
      <c r="C2771" s="2" t="s">
        <v>9708</v>
      </c>
      <c r="D2771" s="2" t="s">
        <v>2748</v>
      </c>
      <c r="E2771" s="2" t="b">
        <v>1</v>
      </c>
      <c r="F2771" s="2" t="b">
        <v>0</v>
      </c>
      <c r="G2771" s="2" t="s">
        <v>9937</v>
      </c>
      <c r="H2771" s="3" t="str">
        <f>_xlfn.IFNA(INDEX(RulebookFields!C2:C999, MATCH(D2771,RulebookFields!A2:A999, 0)), "")</f>
        <v>ProcedureVersions</v>
      </c>
      <c r="I2771" s="3" t="str">
        <f>_xlfn.IFNA(INDEX(RulebookFields!D2:D999, MATCH(D2771,RulebookFields!A2:A999, 0)), "")</f>
        <v>FeedsUnapprovedKnowledgeToMachines</v>
      </c>
      <c r="J2771" s="3" t="b">
        <f>_xlfn.IFNA(INDEX(RulebookFields!I2:I999, MATCH(D2771,RulebookFields!A2:A999, 0)), "")</f>
        <v>1</v>
      </c>
      <c r="K2771" s="3" t="b">
        <f>AND(F2771, J2771)</f>
        <v>0</v>
      </c>
      <c r="L2771" s="3" t="b">
        <f>AND(G2771 &lt;&gt; "plain", G2771 &lt;&gt; "")</f>
        <v>0</v>
      </c>
      <c r="M2771" s="3" t="str">
        <f>IF(E2771, C2771 &amp; "|" &amp; H2771, "")</f>
        <v>principal-knowledge-authority|ProcedureVersions</v>
      </c>
      <c r="N2771" s="2" t="s">
        <v>9938</v>
      </c>
    </row>
    <row r="2772">
      <c r="A2772" s="2" t="s">
        <v>12708</v>
      </c>
      <c r="B2772" s="3" t="str">
        <f>C2772 &amp; " -&gt; " &amp; D2772</f>
        <v>principal-knowledge-authority -&gt; ProcedureVersions.GenuinelyOverdueFragmentCount</v>
      </c>
      <c r="C2772" s="2" t="s">
        <v>9708</v>
      </c>
      <c r="D2772" s="2" t="s">
        <v>2750</v>
      </c>
      <c r="E2772" s="2" t="b">
        <v>1</v>
      </c>
      <c r="F2772" s="2" t="b">
        <v>0</v>
      </c>
      <c r="G2772" s="2" t="s">
        <v>9937</v>
      </c>
      <c r="H2772" s="3" t="str">
        <f>_xlfn.IFNA(INDEX(RulebookFields!C2:C999, MATCH(D2772,RulebookFields!A2:A999, 0)), "")</f>
        <v>ProcedureVersions</v>
      </c>
      <c r="I2772" s="3" t="str">
        <f>_xlfn.IFNA(INDEX(RulebookFields!D2:D999, MATCH(D2772,RulebookFields!A2:A999, 0)), "")</f>
        <v>GenuinelyOverdueFragmentCount</v>
      </c>
      <c r="J2772" s="3" t="b">
        <f>_xlfn.IFNA(INDEX(RulebookFields!I2:I999, MATCH(D2772,RulebookFields!A2:A999, 0)), "")</f>
        <v>1</v>
      </c>
      <c r="K2772" s="3" t="b">
        <f>AND(F2772, J2772)</f>
        <v>0</v>
      </c>
      <c r="L2772" s="3" t="b">
        <f>AND(G2772 &lt;&gt; "plain", G2772 &lt;&gt; "")</f>
        <v>0</v>
      </c>
      <c r="M2772" s="3" t="str">
        <f>IF(E2772, C2772 &amp; "|" &amp; H2772, "")</f>
        <v>principal-knowledge-authority|ProcedureVersions</v>
      </c>
      <c r="N2772" s="2" t="s">
        <v>9938</v>
      </c>
    </row>
    <row r="2773">
      <c r="A2773" s="2" t="s">
        <v>12709</v>
      </c>
      <c r="B2773" s="3" t="str">
        <f>C2773 &amp; " -&gt; " &amp; D2773</f>
        <v>principal-knowledge-authority -&gt; ProcedureVersions.AwaitedDecisionCount</v>
      </c>
      <c r="C2773" s="2" t="s">
        <v>9708</v>
      </c>
      <c r="D2773" s="2" t="s">
        <v>2752</v>
      </c>
      <c r="E2773" s="2" t="b">
        <v>1</v>
      </c>
      <c r="F2773" s="2" t="b">
        <v>0</v>
      </c>
      <c r="G2773" s="2" t="s">
        <v>9937</v>
      </c>
      <c r="H2773" s="3" t="str">
        <f>_xlfn.IFNA(INDEX(RulebookFields!C2:C999, MATCH(D2773,RulebookFields!A2:A999, 0)), "")</f>
        <v>ProcedureVersions</v>
      </c>
      <c r="I2773" s="3" t="str">
        <f>_xlfn.IFNA(INDEX(RulebookFields!D2:D999, MATCH(D2773,RulebookFields!A2:A999, 0)), "")</f>
        <v>AwaitedDecisionCount</v>
      </c>
      <c r="J2773" s="3" t="b">
        <f>_xlfn.IFNA(INDEX(RulebookFields!I2:I999, MATCH(D2773,RulebookFields!A2:A999, 0)), "")</f>
        <v>1</v>
      </c>
      <c r="K2773" s="3" t="b">
        <f>AND(F2773, J2773)</f>
        <v>0</v>
      </c>
      <c r="L2773" s="3" t="b">
        <f>AND(G2773 &lt;&gt; "plain", G2773 &lt;&gt; "")</f>
        <v>0</v>
      </c>
      <c r="M2773" s="3" t="str">
        <f>IF(E2773, C2773 &amp; "|" &amp; H2773, "")</f>
        <v>principal-knowledge-authority|ProcedureVersions</v>
      </c>
      <c r="N2773" s="2" t="s">
        <v>9938</v>
      </c>
    </row>
    <row r="2774">
      <c r="A2774" s="2" t="s">
        <v>12710</v>
      </c>
      <c r="B2774" s="3" t="str">
        <f>C2774 &amp; " -&gt; " &amp; D2774</f>
        <v>principal-knowledge-authority -&gt; ProcedureVersions.ScopedOpenBlockingGapCount</v>
      </c>
      <c r="C2774" s="2" t="s">
        <v>9708</v>
      </c>
      <c r="D2774" s="2" t="s">
        <v>2754</v>
      </c>
      <c r="E2774" s="2" t="b">
        <v>1</v>
      </c>
      <c r="F2774" s="2" t="b">
        <v>0</v>
      </c>
      <c r="G2774" s="2" t="s">
        <v>9937</v>
      </c>
      <c r="H2774" s="3" t="str">
        <f>_xlfn.IFNA(INDEX(RulebookFields!C2:C999, MATCH(D2774,RulebookFields!A2:A999, 0)), "")</f>
        <v>ProcedureVersions</v>
      </c>
      <c r="I2774" s="3" t="str">
        <f>_xlfn.IFNA(INDEX(RulebookFields!D2:D999, MATCH(D2774,RulebookFields!A2:A999, 0)), "")</f>
        <v>ScopedOpenBlockingGapCount</v>
      </c>
      <c r="J2774" s="3" t="b">
        <f>_xlfn.IFNA(INDEX(RulebookFields!I2:I999, MATCH(D2774,RulebookFields!A2:A999, 0)), "")</f>
        <v>1</v>
      </c>
      <c r="K2774" s="3" t="b">
        <f>AND(F2774, J2774)</f>
        <v>0</v>
      </c>
      <c r="L2774" s="3" t="b">
        <f>AND(G2774 &lt;&gt; "plain", G2774 &lt;&gt; "")</f>
        <v>0</v>
      </c>
      <c r="M2774" s="3" t="str">
        <f>IF(E2774, C2774 &amp; "|" &amp; H2774, "")</f>
        <v>principal-knowledge-authority|ProcedureVersions</v>
      </c>
      <c r="N2774" s="2" t="s">
        <v>9938</v>
      </c>
    </row>
    <row r="2775">
      <c r="A2775" s="2" t="s">
        <v>12711</v>
      </c>
      <c r="B2775" s="3" t="str">
        <f>C2775 &amp; " -&gt; " &amp; D2775</f>
        <v>principal-knowledge-authority -&gt; ProcedureVersions.IsBlockedOnPendingDecision</v>
      </c>
      <c r="C2775" s="2" t="s">
        <v>9708</v>
      </c>
      <c r="D2775" s="2" t="s">
        <v>2756</v>
      </c>
      <c r="E2775" s="2" t="b">
        <v>1</v>
      </c>
      <c r="F2775" s="2" t="b">
        <v>0</v>
      </c>
      <c r="G2775" s="2" t="s">
        <v>9937</v>
      </c>
      <c r="H2775" s="3" t="str">
        <f>_xlfn.IFNA(INDEX(RulebookFields!C2:C999, MATCH(D2775,RulebookFields!A2:A999, 0)), "")</f>
        <v>ProcedureVersions</v>
      </c>
      <c r="I2775" s="3" t="str">
        <f>_xlfn.IFNA(INDEX(RulebookFields!D2:D999, MATCH(D2775,RulebookFields!A2:A999, 0)), "")</f>
        <v>IsBlockedOnPendingDecision</v>
      </c>
      <c r="J2775" s="3" t="b">
        <f>_xlfn.IFNA(INDEX(RulebookFields!I2:I999, MATCH(D2775,RulebookFields!A2:A999, 0)), "")</f>
        <v>1</v>
      </c>
      <c r="K2775" s="3" t="b">
        <f>AND(F2775, J2775)</f>
        <v>0</v>
      </c>
      <c r="L2775" s="3" t="b">
        <f>AND(G2775 &lt;&gt; "plain", G2775 &lt;&gt; "")</f>
        <v>0</v>
      </c>
      <c r="M2775" s="3" t="str">
        <f>IF(E2775, C2775 &amp; "|" &amp; H2775, "")</f>
        <v>principal-knowledge-authority|ProcedureVersions</v>
      </c>
      <c r="N2775" s="2" t="s">
        <v>9938</v>
      </c>
    </row>
    <row r="2776">
      <c r="A2776" s="2" t="s">
        <v>12712</v>
      </c>
      <c r="B2776" s="3" t="str">
        <f>C2776 &amp; " -&gt; " &amp; D2776</f>
        <v>principal-knowledge-authority -&gt; ProcedureVersions.UnexercisedHumanGateCount</v>
      </c>
      <c r="C2776" s="2" t="s">
        <v>9708</v>
      </c>
      <c r="D2776" s="2" t="s">
        <v>2758</v>
      </c>
      <c r="E2776" s="2" t="b">
        <v>1</v>
      </c>
      <c r="F2776" s="2" t="b">
        <v>0</v>
      </c>
      <c r="G2776" s="2" t="s">
        <v>9937</v>
      </c>
      <c r="H2776" s="3" t="str">
        <f>_xlfn.IFNA(INDEX(RulebookFields!C2:C999, MATCH(D2776,RulebookFields!A2:A999, 0)), "")</f>
        <v>ProcedureVersions</v>
      </c>
      <c r="I2776" s="3" t="str">
        <f>_xlfn.IFNA(INDEX(RulebookFields!D2:D999, MATCH(D2776,RulebookFields!A2:A999, 0)), "")</f>
        <v>UnexercisedHumanGateCount</v>
      </c>
      <c r="J2776" s="3" t="b">
        <f>_xlfn.IFNA(INDEX(RulebookFields!I2:I999, MATCH(D2776,RulebookFields!A2:A999, 0)), "")</f>
        <v>1</v>
      </c>
      <c r="K2776" s="3" t="b">
        <f>AND(F2776, J2776)</f>
        <v>0</v>
      </c>
      <c r="L2776" s="3" t="b">
        <f>AND(G2776 &lt;&gt; "plain", G2776 &lt;&gt; "")</f>
        <v>0</v>
      </c>
      <c r="M2776" s="3" t="str">
        <f>IF(E2776, C2776 &amp; "|" &amp; H2776, "")</f>
        <v>principal-knowledge-authority|ProcedureVersions</v>
      </c>
      <c r="N2776" s="2" t="s">
        <v>9938</v>
      </c>
    </row>
    <row r="2777">
      <c r="A2777" s="2" t="s">
        <v>12713</v>
      </c>
      <c r="B2777" s="3" t="str">
        <f>C2777 &amp; " -&gt; " &amp; D2777</f>
        <v>principal-knowledge-authority -&gt; ProcedureVersions.AiBoundaryIsUnevidenced</v>
      </c>
      <c r="C2777" s="2" t="s">
        <v>9708</v>
      </c>
      <c r="D2777" s="2" t="s">
        <v>2760</v>
      </c>
      <c r="E2777" s="2" t="b">
        <v>1</v>
      </c>
      <c r="F2777" s="2" t="b">
        <v>0</v>
      </c>
      <c r="G2777" s="2" t="s">
        <v>9937</v>
      </c>
      <c r="H2777" s="3" t="str">
        <f>_xlfn.IFNA(INDEX(RulebookFields!C2:C999, MATCH(D2777,RulebookFields!A2:A999, 0)), "")</f>
        <v>ProcedureVersions</v>
      </c>
      <c r="I2777" s="3" t="str">
        <f>_xlfn.IFNA(INDEX(RulebookFields!D2:D999, MATCH(D2777,RulebookFields!A2:A999, 0)), "")</f>
        <v>AiBoundaryIsUnevidenced</v>
      </c>
      <c r="J2777" s="3" t="b">
        <f>_xlfn.IFNA(INDEX(RulebookFields!I2:I999, MATCH(D2777,RulebookFields!A2:A999, 0)), "")</f>
        <v>1</v>
      </c>
      <c r="K2777" s="3" t="b">
        <f>AND(F2777, J2777)</f>
        <v>0</v>
      </c>
      <c r="L2777" s="3" t="b">
        <f>AND(G2777 &lt;&gt; "plain", G2777 &lt;&gt; "")</f>
        <v>0</v>
      </c>
      <c r="M2777" s="3" t="str">
        <f>IF(E2777, C2777 &amp; "|" &amp; H2777, "")</f>
        <v>principal-knowledge-authority|ProcedureVersions</v>
      </c>
      <c r="N2777" s="2" t="s">
        <v>9938</v>
      </c>
    </row>
    <row r="2778">
      <c r="A2778" s="2" t="s">
        <v>12714</v>
      </c>
      <c r="B2778" s="3" t="str">
        <f>C2778 &amp; " -&gt; " &amp; D2778</f>
        <v>principal-knowledge-authority -&gt; ProcedureVersions.LoadBearingUnapprovedCount</v>
      </c>
      <c r="C2778" s="2" t="s">
        <v>9708</v>
      </c>
      <c r="D2778" s="2" t="s">
        <v>2762</v>
      </c>
      <c r="E2778" s="2" t="b">
        <v>1</v>
      </c>
      <c r="F2778" s="2" t="b">
        <v>0</v>
      </c>
      <c r="G2778" s="2" t="s">
        <v>9937</v>
      </c>
      <c r="H2778" s="3" t="str">
        <f>_xlfn.IFNA(INDEX(RulebookFields!C2:C999, MATCH(D2778,RulebookFields!A2:A999, 0)), "")</f>
        <v>ProcedureVersions</v>
      </c>
      <c r="I2778" s="3" t="str">
        <f>_xlfn.IFNA(INDEX(RulebookFields!D2:D999, MATCH(D2778,RulebookFields!A2:A999, 0)), "")</f>
        <v>LoadBearingUnapprovedCount</v>
      </c>
      <c r="J2778" s="3" t="b">
        <f>_xlfn.IFNA(INDEX(RulebookFields!I2:I999, MATCH(D2778,RulebookFields!A2:A999, 0)), "")</f>
        <v>1</v>
      </c>
      <c r="K2778" s="3" t="b">
        <f>AND(F2778, J2778)</f>
        <v>0</v>
      </c>
      <c r="L2778" s="3" t="b">
        <f>AND(G2778 &lt;&gt; "plain", G2778 &lt;&gt; "")</f>
        <v>0</v>
      </c>
      <c r="M2778" s="3" t="str">
        <f>IF(E2778, C2778 &amp; "|" &amp; H2778, "")</f>
        <v>principal-knowledge-authority|ProcedureVersions</v>
      </c>
      <c r="N2778" s="2" t="s">
        <v>9938</v>
      </c>
    </row>
    <row r="2779">
      <c r="A2779" s="2" t="s">
        <v>12715</v>
      </c>
      <c r="B2779" s="3" t="str">
        <f>C2779 &amp; " -&gt; " &amp; D2779</f>
        <v>principal-knowledge-authority -&gt; ProcedureVersions.UnlandedDecisionCount</v>
      </c>
      <c r="C2779" s="2" t="s">
        <v>9708</v>
      </c>
      <c r="D2779" s="2" t="s">
        <v>2764</v>
      </c>
      <c r="E2779" s="2" t="b">
        <v>1</v>
      </c>
      <c r="F2779" s="2" t="b">
        <v>0</v>
      </c>
      <c r="G2779" s="2" t="s">
        <v>9937</v>
      </c>
      <c r="H2779" s="3" t="str">
        <f>_xlfn.IFNA(INDEX(RulebookFields!C2:C999, MATCH(D2779,RulebookFields!A2:A999, 0)), "")</f>
        <v>ProcedureVersions</v>
      </c>
      <c r="I2779" s="3" t="str">
        <f>_xlfn.IFNA(INDEX(RulebookFields!D2:D999, MATCH(D2779,RulebookFields!A2:A999, 0)), "")</f>
        <v>UnlandedDecisionCount</v>
      </c>
      <c r="J2779" s="3" t="b">
        <f>_xlfn.IFNA(INDEX(RulebookFields!I2:I999, MATCH(D2779,RulebookFields!A2:A999, 0)), "")</f>
        <v>1</v>
      </c>
      <c r="K2779" s="3" t="b">
        <f>AND(F2779, J2779)</f>
        <v>0</v>
      </c>
      <c r="L2779" s="3" t="b">
        <f>AND(G2779 &lt;&gt; "plain", G2779 &lt;&gt; "")</f>
        <v>0</v>
      </c>
      <c r="M2779" s="3" t="str">
        <f>IF(E2779, C2779 &amp; "|" &amp; H2779, "")</f>
        <v>principal-knowledge-authority|ProcedureVersions</v>
      </c>
      <c r="N2779" s="2" t="s">
        <v>9938</v>
      </c>
    </row>
    <row r="2780">
      <c r="A2780" s="2" t="s">
        <v>12716</v>
      </c>
      <c r="B2780" s="3" t="str">
        <f>C2780 &amp; " -&gt; " &amp; D2780</f>
        <v>principal-knowledge-authority -&gt; ProcedureVersions.UnrehearsedControlEntryCount</v>
      </c>
      <c r="C2780" s="2" t="s">
        <v>9708</v>
      </c>
      <c r="D2780" s="2" t="s">
        <v>2766</v>
      </c>
      <c r="E2780" s="2" t="b">
        <v>1</v>
      </c>
      <c r="F2780" s="2" t="b">
        <v>0</v>
      </c>
      <c r="G2780" s="2" t="s">
        <v>9937</v>
      </c>
      <c r="H2780" s="3" t="str">
        <f>_xlfn.IFNA(INDEX(RulebookFields!C2:C999, MATCH(D2780,RulebookFields!A2:A999, 0)), "")</f>
        <v>ProcedureVersions</v>
      </c>
      <c r="I2780" s="3" t="str">
        <f>_xlfn.IFNA(INDEX(RulebookFields!D2:D999, MATCH(D2780,RulebookFields!A2:A999, 0)), "")</f>
        <v>UnrehearsedControlEntryCount</v>
      </c>
      <c r="J2780" s="3" t="b">
        <f>_xlfn.IFNA(INDEX(RulebookFields!I2:I999, MATCH(D2780,RulebookFields!A2:A999, 0)), "")</f>
        <v>1</v>
      </c>
      <c r="K2780" s="3" t="b">
        <f>AND(F2780, J2780)</f>
        <v>0</v>
      </c>
      <c r="L2780" s="3" t="b">
        <f>AND(G2780 &lt;&gt; "plain", G2780 &lt;&gt; "")</f>
        <v>0</v>
      </c>
      <c r="M2780" s="3" t="str">
        <f>IF(E2780, C2780 &amp; "|" &amp; H2780, "")</f>
        <v>principal-knowledge-authority|ProcedureVersions</v>
      </c>
      <c r="N2780" s="2" t="s">
        <v>9938</v>
      </c>
    </row>
    <row r="2781">
      <c r="A2781" s="2" t="s">
        <v>12717</v>
      </c>
      <c r="B2781" s="3" t="str">
        <f>C2781 &amp; " -&gt; " &amp; D2781</f>
        <v>principal-knowledge-authority -&gt; ProcedureVersions.HasUnrehearsedControlEntry</v>
      </c>
      <c r="C2781" s="2" t="s">
        <v>9708</v>
      </c>
      <c r="D2781" s="2" t="s">
        <v>2768</v>
      </c>
      <c r="E2781" s="2" t="b">
        <v>1</v>
      </c>
      <c r="F2781" s="2" t="b">
        <v>0</v>
      </c>
      <c r="G2781" s="2" t="s">
        <v>9937</v>
      </c>
      <c r="H2781" s="3" t="str">
        <f>_xlfn.IFNA(INDEX(RulebookFields!C2:C999, MATCH(D2781,RulebookFields!A2:A999, 0)), "")</f>
        <v>ProcedureVersions</v>
      </c>
      <c r="I2781" s="3" t="str">
        <f>_xlfn.IFNA(INDEX(RulebookFields!D2:D999, MATCH(D2781,RulebookFields!A2:A999, 0)), "")</f>
        <v>HasUnrehearsedControlEntry</v>
      </c>
      <c r="J2781" s="3" t="b">
        <f>_xlfn.IFNA(INDEX(RulebookFields!I2:I999, MATCH(D2781,RulebookFields!A2:A999, 0)), "")</f>
        <v>1</v>
      </c>
      <c r="K2781" s="3" t="b">
        <f>AND(F2781, J2781)</f>
        <v>0</v>
      </c>
      <c r="L2781" s="3" t="b">
        <f>AND(G2781 &lt;&gt; "plain", G2781 &lt;&gt; "")</f>
        <v>0</v>
      </c>
      <c r="M2781" s="3" t="str">
        <f>IF(E2781, C2781 &amp; "|" &amp; H2781, "")</f>
        <v>principal-knowledge-authority|ProcedureVersions</v>
      </c>
      <c r="N2781" s="2" t="s">
        <v>9938</v>
      </c>
    </row>
    <row r="2782">
      <c r="A2782" s="2" t="s">
        <v>12718</v>
      </c>
      <c r="B2782" s="3" t="str">
        <f>C2782 &amp; " -&gt; " &amp; D2782</f>
        <v>principal-knowledge-authority -&gt; ProcedureVersions.IsLiveWithUnrehearsedControl</v>
      </c>
      <c r="C2782" s="2" t="s">
        <v>9708</v>
      </c>
      <c r="D2782" s="2" t="s">
        <v>2770</v>
      </c>
      <c r="E2782" s="2" t="b">
        <v>1</v>
      </c>
      <c r="F2782" s="2" t="b">
        <v>0</v>
      </c>
      <c r="G2782" s="2" t="s">
        <v>9937</v>
      </c>
      <c r="H2782" s="3" t="str">
        <f>_xlfn.IFNA(INDEX(RulebookFields!C2:C999, MATCH(D2782,RulebookFields!A2:A999, 0)), "")</f>
        <v>ProcedureVersions</v>
      </c>
      <c r="I2782" s="3" t="str">
        <f>_xlfn.IFNA(INDEX(RulebookFields!D2:D999, MATCH(D2782,RulebookFields!A2:A999, 0)), "")</f>
        <v>IsLiveWithUnrehearsedControl</v>
      </c>
      <c r="J2782" s="3" t="b">
        <f>_xlfn.IFNA(INDEX(RulebookFields!I2:I999, MATCH(D2782,RulebookFields!A2:A999, 0)), "")</f>
        <v>1</v>
      </c>
      <c r="K2782" s="3" t="b">
        <f>AND(F2782, J2782)</f>
        <v>0</v>
      </c>
      <c r="L2782" s="3" t="b">
        <f>AND(G2782 &lt;&gt; "plain", G2782 &lt;&gt; "")</f>
        <v>0</v>
      </c>
      <c r="M2782" s="3" t="str">
        <f>IF(E2782, C2782 &amp; "|" &amp; H2782, "")</f>
        <v>principal-knowledge-authority|ProcedureVersions</v>
      </c>
      <c r="N2782" s="2" t="s">
        <v>9938</v>
      </c>
    </row>
    <row r="2783">
      <c r="A2783" s="2" t="s">
        <v>12719</v>
      </c>
      <c r="B2783" s="3" t="str">
        <f>C2783 &amp; " -&gt; " &amp; D2783</f>
        <v>principal-knowledge-authority -&gt; ProcedureVersions.CadenceBreachCount</v>
      </c>
      <c r="C2783" s="2" t="s">
        <v>9708</v>
      </c>
      <c r="D2783" s="2" t="s">
        <v>2772</v>
      </c>
      <c r="E2783" s="2" t="b">
        <v>1</v>
      </c>
      <c r="F2783" s="2" t="b">
        <v>0</v>
      </c>
      <c r="G2783" s="2" t="s">
        <v>9937</v>
      </c>
      <c r="H2783" s="3" t="str">
        <f>_xlfn.IFNA(INDEX(RulebookFields!C2:C999, MATCH(D2783,RulebookFields!A2:A999, 0)), "")</f>
        <v>ProcedureVersions</v>
      </c>
      <c r="I2783" s="3" t="str">
        <f>_xlfn.IFNA(INDEX(RulebookFields!D2:D999, MATCH(D2783,RulebookFields!A2:A999, 0)), "")</f>
        <v>CadenceBreachCount</v>
      </c>
      <c r="J2783" s="3" t="b">
        <f>_xlfn.IFNA(INDEX(RulebookFields!I2:I999, MATCH(D2783,RulebookFields!A2:A999, 0)), "")</f>
        <v>1</v>
      </c>
      <c r="K2783" s="3" t="b">
        <f>AND(F2783, J2783)</f>
        <v>0</v>
      </c>
      <c r="L2783" s="3" t="b">
        <f>AND(G2783 &lt;&gt; "plain", G2783 &lt;&gt; "")</f>
        <v>0</v>
      </c>
      <c r="M2783" s="3" t="str">
        <f>IF(E2783, C2783 &amp; "|" &amp; H2783, "")</f>
        <v>principal-knowledge-authority|ProcedureVersions</v>
      </c>
      <c r="N2783" s="2" t="s">
        <v>9938</v>
      </c>
    </row>
    <row r="2784">
      <c r="A2784" s="2" t="s">
        <v>12720</v>
      </c>
      <c r="B2784" s="3" t="str">
        <f>C2784 &amp; " -&gt; " &amp; D2784</f>
        <v>principal-knowledge-authority -&gt; ProcedureVersions.IsInCadenceBreach</v>
      </c>
      <c r="C2784" s="2" t="s">
        <v>9708</v>
      </c>
      <c r="D2784" s="2" t="s">
        <v>2774</v>
      </c>
      <c r="E2784" s="2" t="b">
        <v>1</v>
      </c>
      <c r="F2784" s="2" t="b">
        <v>0</v>
      </c>
      <c r="G2784" s="2" t="s">
        <v>9937</v>
      </c>
      <c r="H2784" s="3" t="str">
        <f>_xlfn.IFNA(INDEX(RulebookFields!C2:C999, MATCH(D2784,RulebookFields!A2:A999, 0)), "")</f>
        <v>ProcedureVersions</v>
      </c>
      <c r="I2784" s="3" t="str">
        <f>_xlfn.IFNA(INDEX(RulebookFields!D2:D999, MATCH(D2784,RulebookFields!A2:A999, 0)), "")</f>
        <v>IsInCadenceBreach</v>
      </c>
      <c r="J2784" s="3" t="b">
        <f>_xlfn.IFNA(INDEX(RulebookFields!I2:I999, MATCH(D2784,RulebookFields!A2:A999, 0)), "")</f>
        <v>1</v>
      </c>
      <c r="K2784" s="3" t="b">
        <f>AND(F2784, J2784)</f>
        <v>0</v>
      </c>
      <c r="L2784" s="3" t="b">
        <f>AND(G2784 &lt;&gt; "plain", G2784 &lt;&gt; "")</f>
        <v>0</v>
      </c>
      <c r="M2784" s="3" t="str">
        <f>IF(E2784, C2784 &amp; "|" &amp; H2784, "")</f>
        <v>principal-knowledge-authority|ProcedureVersions</v>
      </c>
      <c r="N2784" s="2" t="s">
        <v>9938</v>
      </c>
    </row>
    <row r="2785">
      <c r="A2785" s="2" t="s">
        <v>12721</v>
      </c>
      <c r="B2785" s="3" t="str">
        <f>C2785 &amp; " -&gt; " &amp; D2785</f>
        <v>principal-knowledge-authority -&gt; ProcedureVersions.HasDecisionInFlight</v>
      </c>
      <c r="C2785" s="2" t="s">
        <v>9708</v>
      </c>
      <c r="D2785" s="2" t="s">
        <v>2776</v>
      </c>
      <c r="E2785" s="2" t="b">
        <v>1</v>
      </c>
      <c r="F2785" s="2" t="b">
        <v>0</v>
      </c>
      <c r="G2785" s="2" t="s">
        <v>9937</v>
      </c>
      <c r="H2785" s="3" t="str">
        <f>_xlfn.IFNA(INDEX(RulebookFields!C2:C999, MATCH(D2785,RulebookFields!A2:A999, 0)), "")</f>
        <v>ProcedureVersions</v>
      </c>
      <c r="I2785" s="3" t="str">
        <f>_xlfn.IFNA(INDEX(RulebookFields!D2:D999, MATCH(D2785,RulebookFields!A2:A999, 0)), "")</f>
        <v>HasDecisionInFlight</v>
      </c>
      <c r="J2785" s="3" t="b">
        <f>_xlfn.IFNA(INDEX(RulebookFields!I2:I999, MATCH(D2785,RulebookFields!A2:A999, 0)), "")</f>
        <v>1</v>
      </c>
      <c r="K2785" s="3" t="b">
        <f>AND(F2785, J2785)</f>
        <v>0</v>
      </c>
      <c r="L2785" s="3" t="b">
        <f>AND(G2785 &lt;&gt; "plain", G2785 &lt;&gt; "")</f>
        <v>0</v>
      </c>
      <c r="M2785" s="3" t="str">
        <f>IF(E2785, C2785 &amp; "|" &amp; H2785, "")</f>
        <v>principal-knowledge-authority|ProcedureVersions</v>
      </c>
      <c r="N2785" s="2" t="s">
        <v>9938</v>
      </c>
    </row>
    <row r="2786">
      <c r="A2786" s="2" t="s">
        <v>12722</v>
      </c>
      <c r="B2786" s="3" t="str">
        <f>C2786 &amp; " -&gt; " &amp; D2786</f>
        <v>principal-knowledge-authority -&gt; ProcedureVersions.IsUnremediatedCadenceBreach</v>
      </c>
      <c r="C2786" s="2" t="s">
        <v>9708</v>
      </c>
      <c r="D2786" s="2" t="s">
        <v>2778</v>
      </c>
      <c r="E2786" s="2" t="b">
        <v>1</v>
      </c>
      <c r="F2786" s="2" t="b">
        <v>0</v>
      </c>
      <c r="G2786" s="2" t="s">
        <v>9937</v>
      </c>
      <c r="H2786" s="3" t="str">
        <f>_xlfn.IFNA(INDEX(RulebookFields!C2:C999, MATCH(D2786,RulebookFields!A2:A999, 0)), "")</f>
        <v>ProcedureVersions</v>
      </c>
      <c r="I2786" s="3" t="str">
        <f>_xlfn.IFNA(INDEX(RulebookFields!D2:D999, MATCH(D2786,RulebookFields!A2:A999, 0)), "")</f>
        <v>IsUnremediatedCadenceBreach</v>
      </c>
      <c r="J2786" s="3" t="b">
        <f>_xlfn.IFNA(INDEX(RulebookFields!I2:I999, MATCH(D2786,RulebookFields!A2:A999, 0)), "")</f>
        <v>1</v>
      </c>
      <c r="K2786" s="3" t="b">
        <f>AND(F2786, J2786)</f>
        <v>0</v>
      </c>
      <c r="L2786" s="3" t="b">
        <f>AND(G2786 &lt;&gt; "plain", G2786 &lt;&gt; "")</f>
        <v>0</v>
      </c>
      <c r="M2786" s="3" t="str">
        <f>IF(E2786, C2786 &amp; "|" &amp; H2786, "")</f>
        <v>principal-knowledge-authority|ProcedureVersions</v>
      </c>
      <c r="N2786" s="2" t="s">
        <v>9938</v>
      </c>
    </row>
    <row r="2787">
      <c r="A2787" s="2" t="s">
        <v>12723</v>
      </c>
      <c r="B2787" s="3" t="str">
        <f>C2787 &amp; " -&gt; " &amp; D2787</f>
        <v>principal-knowledge-authority -&gt; ProcedureVersions.IsManagedCadenceBreach</v>
      </c>
      <c r="C2787" s="2" t="s">
        <v>9708</v>
      </c>
      <c r="D2787" s="2" t="s">
        <v>2780</v>
      </c>
      <c r="E2787" s="2" t="b">
        <v>1</v>
      </c>
      <c r="F2787" s="2" t="b">
        <v>0</v>
      </c>
      <c r="G2787" s="2" t="s">
        <v>9937</v>
      </c>
      <c r="H2787" s="3" t="str">
        <f>_xlfn.IFNA(INDEX(RulebookFields!C2:C999, MATCH(D2787,RulebookFields!A2:A999, 0)), "")</f>
        <v>ProcedureVersions</v>
      </c>
      <c r="I2787" s="3" t="str">
        <f>_xlfn.IFNA(INDEX(RulebookFields!D2:D999, MATCH(D2787,RulebookFields!A2:A999, 0)), "")</f>
        <v>IsManagedCadenceBreach</v>
      </c>
      <c r="J2787" s="3" t="b">
        <f>_xlfn.IFNA(INDEX(RulebookFields!I2:I999, MATCH(D2787,RulebookFields!A2:A999, 0)), "")</f>
        <v>1</v>
      </c>
      <c r="K2787" s="3" t="b">
        <f>AND(F2787, J2787)</f>
        <v>0</v>
      </c>
      <c r="L2787" s="3" t="b">
        <f>AND(G2787 &lt;&gt; "plain", G2787 &lt;&gt; "")</f>
        <v>0</v>
      </c>
      <c r="M2787" s="3" t="str">
        <f>IF(E2787, C2787 &amp; "|" &amp; H2787, "")</f>
        <v>principal-knowledge-authority|ProcedureVersions</v>
      </c>
      <c r="N2787" s="2" t="s">
        <v>9938</v>
      </c>
    </row>
    <row r="2788">
      <c r="A2788" s="2" t="s">
        <v>12724</v>
      </c>
      <c r="B2788" s="3" t="str">
        <f>C2788 &amp; " -&gt; " &amp; D2788</f>
        <v>principal-knowledge-authority -&gt; ProcedureVersions.GovernanceIsSilent</v>
      </c>
      <c r="C2788" s="2" t="s">
        <v>9708</v>
      </c>
      <c r="D2788" s="2" t="s">
        <v>2782</v>
      </c>
      <c r="E2788" s="2" t="b">
        <v>1</v>
      </c>
      <c r="F2788" s="2" t="b">
        <v>0</v>
      </c>
      <c r="G2788" s="2" t="s">
        <v>9937</v>
      </c>
      <c r="H2788" s="3" t="str">
        <f>_xlfn.IFNA(INDEX(RulebookFields!C2:C999, MATCH(D2788,RulebookFields!A2:A999, 0)), "")</f>
        <v>ProcedureVersions</v>
      </c>
      <c r="I2788" s="3" t="str">
        <f>_xlfn.IFNA(INDEX(RulebookFields!D2:D999, MATCH(D2788,RulebookFields!A2:A999, 0)), "")</f>
        <v>GovernanceIsSilent</v>
      </c>
      <c r="J2788" s="3" t="b">
        <f>_xlfn.IFNA(INDEX(RulebookFields!I2:I999, MATCH(D2788,RulebookFields!A2:A999, 0)), "")</f>
        <v>1</v>
      </c>
      <c r="K2788" s="3" t="b">
        <f>AND(F2788, J2788)</f>
        <v>0</v>
      </c>
      <c r="L2788" s="3" t="b">
        <f>AND(G2788 &lt;&gt; "plain", G2788 &lt;&gt; "")</f>
        <v>0</v>
      </c>
      <c r="M2788" s="3" t="str">
        <f>IF(E2788, C2788 &amp; "|" &amp; H2788, "")</f>
        <v>principal-knowledge-authority|ProcedureVersions</v>
      </c>
      <c r="N2788" s="2" t="s">
        <v>9938</v>
      </c>
    </row>
    <row r="2789">
      <c r="A2789" s="2" t="s">
        <v>12725</v>
      </c>
      <c r="B2789" s="3" t="str">
        <f>C2789 &amp; " -&gt; " &amp; D2789</f>
        <v>principal-knowledge-authority -&gt; ProcedureVersions.ValidFragmentCount</v>
      </c>
      <c r="C2789" s="2" t="s">
        <v>9708</v>
      </c>
      <c r="D2789" s="2" t="s">
        <v>2784</v>
      </c>
      <c r="E2789" s="2" t="b">
        <v>1</v>
      </c>
      <c r="F2789" s="2" t="b">
        <v>0</v>
      </c>
      <c r="G2789" s="2" t="s">
        <v>9937</v>
      </c>
      <c r="H2789" s="3" t="str">
        <f>_xlfn.IFNA(INDEX(RulebookFields!C2:C999, MATCH(D2789,RulebookFields!A2:A999, 0)), "")</f>
        <v>ProcedureVersions</v>
      </c>
      <c r="I2789" s="3" t="str">
        <f>_xlfn.IFNA(INDEX(RulebookFields!D2:D999, MATCH(D2789,RulebookFields!A2:A999, 0)), "")</f>
        <v>ValidFragmentCount</v>
      </c>
      <c r="J2789" s="3" t="b">
        <f>_xlfn.IFNA(INDEX(RulebookFields!I2:I999, MATCH(D2789,RulebookFields!A2:A999, 0)), "")</f>
        <v>1</v>
      </c>
      <c r="K2789" s="3" t="b">
        <f>AND(F2789, J2789)</f>
        <v>0</v>
      </c>
      <c r="L2789" s="3" t="b">
        <f>AND(G2789 &lt;&gt; "plain", G2789 &lt;&gt; "")</f>
        <v>0</v>
      </c>
      <c r="M2789" s="3" t="str">
        <f>IF(E2789, C2789 &amp; "|" &amp; H2789, "")</f>
        <v>principal-knowledge-authority|ProcedureVersions</v>
      </c>
      <c r="N2789" s="2" t="s">
        <v>9938</v>
      </c>
    </row>
    <row r="2790">
      <c r="A2790" s="2" t="s">
        <v>12726</v>
      </c>
      <c r="B2790" s="3" t="str">
        <f>C2790 &amp; " -&gt; " &amp; D2790</f>
        <v>principal-knowledge-authority -&gt; ProcedureVersions.StillOwnsValidKnowledge</v>
      </c>
      <c r="C2790" s="2" t="s">
        <v>9708</v>
      </c>
      <c r="D2790" s="2" t="s">
        <v>2786</v>
      </c>
      <c r="E2790" s="2" t="b">
        <v>1</v>
      </c>
      <c r="F2790" s="2" t="b">
        <v>0</v>
      </c>
      <c r="G2790" s="2" t="s">
        <v>9937</v>
      </c>
      <c r="H2790" s="3" t="str">
        <f>_xlfn.IFNA(INDEX(RulebookFields!C2:C999, MATCH(D2790,RulebookFields!A2:A999, 0)), "")</f>
        <v>ProcedureVersions</v>
      </c>
      <c r="I2790" s="3" t="str">
        <f>_xlfn.IFNA(INDEX(RulebookFields!D2:D999, MATCH(D2790,RulebookFields!A2:A999, 0)), "")</f>
        <v>StillOwnsValidKnowledge</v>
      </c>
      <c r="J2790" s="3" t="b">
        <f>_xlfn.IFNA(INDEX(RulebookFields!I2:I999, MATCH(D2790,RulebookFields!A2:A999, 0)), "")</f>
        <v>1</v>
      </c>
      <c r="K2790" s="3" t="b">
        <f>AND(F2790, J2790)</f>
        <v>0</v>
      </c>
      <c r="L2790" s="3" t="b">
        <f>AND(G2790 &lt;&gt; "plain", G2790 &lt;&gt; "")</f>
        <v>0</v>
      </c>
      <c r="M2790" s="3" t="str">
        <f>IF(E2790, C2790 &amp; "|" &amp; H2790, "")</f>
        <v>principal-knowledge-authority|ProcedureVersions</v>
      </c>
      <c r="N2790" s="2" t="s">
        <v>9938</v>
      </c>
    </row>
    <row r="2791">
      <c r="A2791" s="2" t="s">
        <v>12727</v>
      </c>
      <c r="B2791" s="3" t="str">
        <f>C2791 &amp; " -&gt; " &amp; D2791</f>
        <v>principal-knowledge-authority -&gt; ProcedureVersions.IncomingSupersessionCount</v>
      </c>
      <c r="C2791" s="2" t="s">
        <v>9708</v>
      </c>
      <c r="D2791" s="2" t="s">
        <v>2788</v>
      </c>
      <c r="E2791" s="2" t="b">
        <v>1</v>
      </c>
      <c r="F2791" s="2" t="b">
        <v>0</v>
      </c>
      <c r="G2791" s="2" t="s">
        <v>9937</v>
      </c>
      <c r="H2791" s="3" t="str">
        <f>_xlfn.IFNA(INDEX(RulebookFields!C2:C999, MATCH(D2791,RulebookFields!A2:A999, 0)), "")</f>
        <v>ProcedureVersions</v>
      </c>
      <c r="I2791" s="3" t="str">
        <f>_xlfn.IFNA(INDEX(RulebookFields!D2:D999, MATCH(D2791,RulebookFields!A2:A999, 0)), "")</f>
        <v>IncomingSupersessionCount</v>
      </c>
      <c r="J2791" s="3" t="b">
        <f>_xlfn.IFNA(INDEX(RulebookFields!I2:I999, MATCH(D2791,RulebookFields!A2:A999, 0)), "")</f>
        <v>1</v>
      </c>
      <c r="K2791" s="3" t="b">
        <f>AND(F2791, J2791)</f>
        <v>0</v>
      </c>
      <c r="L2791" s="3" t="b">
        <f>AND(G2791 &lt;&gt; "plain", G2791 &lt;&gt; "")</f>
        <v>0</v>
      </c>
      <c r="M2791" s="3" t="str">
        <f>IF(E2791, C2791 &amp; "|" &amp; H2791, "")</f>
        <v>principal-knowledge-authority|ProcedureVersions</v>
      </c>
      <c r="N2791" s="2" t="s">
        <v>9938</v>
      </c>
    </row>
    <row r="2792">
      <c r="A2792" s="2" t="s">
        <v>12728</v>
      </c>
      <c r="B2792" s="3" t="str">
        <f>C2792 &amp; " -&gt; " &amp; D2792</f>
        <v>principal-knowledge-authority -&gt; ProcedureVersions.IsStillReferenced</v>
      </c>
      <c r="C2792" s="2" t="s">
        <v>9708</v>
      </c>
      <c r="D2792" s="2" t="s">
        <v>2790</v>
      </c>
      <c r="E2792" s="2" t="b">
        <v>1</v>
      </c>
      <c r="F2792" s="2" t="b">
        <v>0</v>
      </c>
      <c r="G2792" s="2" t="s">
        <v>9937</v>
      </c>
      <c r="H2792" s="3" t="str">
        <f>_xlfn.IFNA(INDEX(RulebookFields!C2:C999, MATCH(D2792,RulebookFields!A2:A999, 0)), "")</f>
        <v>ProcedureVersions</v>
      </c>
      <c r="I2792" s="3" t="str">
        <f>_xlfn.IFNA(INDEX(RulebookFields!D2:D999, MATCH(D2792,RulebookFields!A2:A999, 0)), "")</f>
        <v>IsStillReferenced</v>
      </c>
      <c r="J2792" s="3" t="b">
        <f>_xlfn.IFNA(INDEX(RulebookFields!I2:I999, MATCH(D2792,RulebookFields!A2:A999, 0)), "")</f>
        <v>1</v>
      </c>
      <c r="K2792" s="3" t="b">
        <f>AND(F2792, J2792)</f>
        <v>0</v>
      </c>
      <c r="L2792" s="3" t="b">
        <f>AND(G2792 &lt;&gt; "plain", G2792 &lt;&gt; "")</f>
        <v>0</v>
      </c>
      <c r="M2792" s="3" t="str">
        <f>IF(E2792, C2792 &amp; "|" &amp; H2792, "")</f>
        <v>principal-knowledge-authority|ProcedureVersions</v>
      </c>
      <c r="N2792" s="2" t="s">
        <v>9938</v>
      </c>
    </row>
    <row r="2793">
      <c r="A2793" s="2" t="s">
        <v>12729</v>
      </c>
      <c r="B2793" s="3" t="str">
        <f>C2793 &amp; " -&gt; " &amp; D2793</f>
        <v>principal-knowledge-authority -&gt; ProcedureVersions.IsLoadBearingOrphan</v>
      </c>
      <c r="C2793" s="2" t="s">
        <v>9708</v>
      </c>
      <c r="D2793" s="2" t="s">
        <v>2792</v>
      </c>
      <c r="E2793" s="2" t="b">
        <v>1</v>
      </c>
      <c r="F2793" s="2" t="b">
        <v>0</v>
      </c>
      <c r="G2793" s="2" t="s">
        <v>9937</v>
      </c>
      <c r="H2793" s="3" t="str">
        <f>_xlfn.IFNA(INDEX(RulebookFields!C2:C999, MATCH(D2793,RulebookFields!A2:A999, 0)), "")</f>
        <v>ProcedureVersions</v>
      </c>
      <c r="I2793" s="3" t="str">
        <f>_xlfn.IFNA(INDEX(RulebookFields!D2:D999, MATCH(D2793,RulebookFields!A2:A999, 0)), "")</f>
        <v>IsLoadBearingOrphan</v>
      </c>
      <c r="J2793" s="3" t="b">
        <f>_xlfn.IFNA(INDEX(RulebookFields!I2:I999, MATCH(D2793,RulebookFields!A2:A999, 0)), "")</f>
        <v>1</v>
      </c>
      <c r="K2793" s="3" t="b">
        <f>AND(F2793, J2793)</f>
        <v>0</v>
      </c>
      <c r="L2793" s="3" t="b">
        <f>AND(G2793 &lt;&gt; "plain", G2793 &lt;&gt; "")</f>
        <v>0</v>
      </c>
      <c r="M2793" s="3" t="str">
        <f>IF(E2793, C2793 &amp; "|" &amp; H2793, "")</f>
        <v>principal-knowledge-authority|ProcedureVersions</v>
      </c>
      <c r="N2793" s="2" t="s">
        <v>9938</v>
      </c>
    </row>
    <row r="2794">
      <c r="A2794" s="2" t="s">
        <v>12730</v>
      </c>
      <c r="B2794" s="3" t="str">
        <f>C2794 &amp; " -&gt; " &amp; D2794</f>
        <v>principal-knowledge-authority -&gt; ProcedureVersions.IsCleanlyRetired</v>
      </c>
      <c r="C2794" s="2" t="s">
        <v>9708</v>
      </c>
      <c r="D2794" s="2" t="s">
        <v>2794</v>
      </c>
      <c r="E2794" s="2" t="b">
        <v>1</v>
      </c>
      <c r="F2794" s="2" t="b">
        <v>0</v>
      </c>
      <c r="G2794" s="2" t="s">
        <v>9937</v>
      </c>
      <c r="H2794" s="3" t="str">
        <f>_xlfn.IFNA(INDEX(RulebookFields!C2:C999, MATCH(D2794,RulebookFields!A2:A999, 0)), "")</f>
        <v>ProcedureVersions</v>
      </c>
      <c r="I2794" s="3" t="str">
        <f>_xlfn.IFNA(INDEX(RulebookFields!D2:D999, MATCH(D2794,RulebookFields!A2:A999, 0)), "")</f>
        <v>IsCleanlyRetired</v>
      </c>
      <c r="J2794" s="3" t="b">
        <f>_xlfn.IFNA(INDEX(RulebookFields!I2:I999, MATCH(D2794,RulebookFields!A2:A999, 0)), "")</f>
        <v>1</v>
      </c>
      <c r="K2794" s="3" t="b">
        <f>AND(F2794, J2794)</f>
        <v>0</v>
      </c>
      <c r="L2794" s="3" t="b">
        <f>AND(G2794 &lt;&gt; "plain", G2794 &lt;&gt; "")</f>
        <v>0</v>
      </c>
      <c r="M2794" s="3" t="str">
        <f>IF(E2794, C2794 &amp; "|" &amp; H2794, "")</f>
        <v>principal-knowledge-authority|ProcedureVersions</v>
      </c>
      <c r="N2794" s="2" t="s">
        <v>9938</v>
      </c>
    </row>
    <row r="2795">
      <c r="A2795" s="2" t="s">
        <v>12731</v>
      </c>
      <c r="B2795" s="3" t="str">
        <f>C2795 &amp; " -&gt; " &amp; D2795</f>
        <v>principal-knowledge-authority -&gt; ProcedureVersions.StalledImplementationCount</v>
      </c>
      <c r="C2795" s="2" t="s">
        <v>9708</v>
      </c>
      <c r="D2795" s="2" t="s">
        <v>2796</v>
      </c>
      <c r="E2795" s="2" t="b">
        <v>1</v>
      </c>
      <c r="F2795" s="2" t="b">
        <v>0</v>
      </c>
      <c r="G2795" s="2" t="s">
        <v>9937</v>
      </c>
      <c r="H2795" s="3" t="str">
        <f>_xlfn.IFNA(INDEX(RulebookFields!C2:C999, MATCH(D2795,RulebookFields!A2:A999, 0)), "")</f>
        <v>ProcedureVersions</v>
      </c>
      <c r="I2795" s="3" t="str">
        <f>_xlfn.IFNA(INDEX(RulebookFields!D2:D999, MATCH(D2795,RulebookFields!A2:A999, 0)), "")</f>
        <v>StalledImplementationCount</v>
      </c>
      <c r="J2795" s="3" t="b">
        <f>_xlfn.IFNA(INDEX(RulebookFields!I2:I999, MATCH(D2795,RulebookFields!A2:A999, 0)), "")</f>
        <v>1</v>
      </c>
      <c r="K2795" s="3" t="b">
        <f>AND(F2795, J2795)</f>
        <v>0</v>
      </c>
      <c r="L2795" s="3" t="b">
        <f>AND(G2795 &lt;&gt; "plain", G2795 &lt;&gt; "")</f>
        <v>0</v>
      </c>
      <c r="M2795" s="3" t="str">
        <f>IF(E2795, C2795 &amp; "|" &amp; H2795, "")</f>
        <v>principal-knowledge-authority|ProcedureVersions</v>
      </c>
      <c r="N2795" s="2" t="s">
        <v>9938</v>
      </c>
    </row>
    <row r="2796">
      <c r="A2796" s="2" t="s">
        <v>12732</v>
      </c>
      <c r="B2796" s="3" t="str">
        <f>C2796 &amp; " -&gt; " &amp; D2796</f>
        <v>principal-knowledge-authority -&gt; ProcedureVersions.IsHeldUnfitByLandedDecisions</v>
      </c>
      <c r="C2796" s="2" t="s">
        <v>9708</v>
      </c>
      <c r="D2796" s="2" t="s">
        <v>2798</v>
      </c>
      <c r="E2796" s="2" t="b">
        <v>1</v>
      </c>
      <c r="F2796" s="2" t="b">
        <v>0</v>
      </c>
      <c r="G2796" s="2" t="s">
        <v>9937</v>
      </c>
      <c r="H2796" s="3" t="str">
        <f>_xlfn.IFNA(INDEX(RulebookFields!C2:C999, MATCH(D2796,RulebookFields!A2:A999, 0)), "")</f>
        <v>ProcedureVersions</v>
      </c>
      <c r="I2796" s="3" t="str">
        <f>_xlfn.IFNA(INDEX(RulebookFields!D2:D999, MATCH(D2796,RulebookFields!A2:A999, 0)), "")</f>
        <v>IsHeldUnfitByLandedDecisions</v>
      </c>
      <c r="J2796" s="3" t="b">
        <f>_xlfn.IFNA(INDEX(RulebookFields!I2:I999, MATCH(D2796,RulebookFields!A2:A999, 0)), "")</f>
        <v>1</v>
      </c>
      <c r="K2796" s="3" t="b">
        <f>AND(F2796, J2796)</f>
        <v>0</v>
      </c>
      <c r="L2796" s="3" t="b">
        <f>AND(G2796 &lt;&gt; "plain", G2796 &lt;&gt; "")</f>
        <v>0</v>
      </c>
      <c r="M2796" s="3" t="str">
        <f>IF(E2796, C2796 &amp; "|" &amp; H2796, "")</f>
        <v>principal-knowledge-authority|ProcedureVersions</v>
      </c>
      <c r="N2796" s="2" t="s">
        <v>9938</v>
      </c>
    </row>
    <row r="2797">
      <c r="A2797" s="2" t="s">
        <v>12733</v>
      </c>
      <c r="B2797" s="3" t="str">
        <f>C2797 &amp; " -&gt; " &amp; D2797</f>
        <v>principal-knowledge-authority -&gt; ProcedureVersions.UndeclaredControlKindCount</v>
      </c>
      <c r="C2797" s="2" t="s">
        <v>9708</v>
      </c>
      <c r="D2797" s="2" t="s">
        <v>2800</v>
      </c>
      <c r="E2797" s="2" t="b">
        <v>1</v>
      </c>
      <c r="F2797" s="2" t="b">
        <v>0</v>
      </c>
      <c r="G2797" s="2" t="s">
        <v>9937</v>
      </c>
      <c r="H2797" s="3" t="str">
        <f>_xlfn.IFNA(INDEX(RulebookFields!C2:C999, MATCH(D2797,RulebookFields!A2:A999, 0)), "")</f>
        <v>ProcedureVersions</v>
      </c>
      <c r="I2797" s="3" t="str">
        <f>_xlfn.IFNA(INDEX(RulebookFields!D2:D999, MATCH(D2797,RulebookFields!A2:A999, 0)), "")</f>
        <v>UndeclaredControlKindCount</v>
      </c>
      <c r="J2797" s="3" t="b">
        <f>_xlfn.IFNA(INDEX(RulebookFields!I2:I999, MATCH(D2797,RulebookFields!A2:A999, 0)), "")</f>
        <v>1</v>
      </c>
      <c r="K2797" s="3" t="b">
        <f>AND(F2797, J2797)</f>
        <v>0</v>
      </c>
      <c r="L2797" s="3" t="b">
        <f>AND(G2797 &lt;&gt; "plain", G2797 &lt;&gt; "")</f>
        <v>0</v>
      </c>
      <c r="M2797" s="3" t="str">
        <f>IF(E2797, C2797 &amp; "|" &amp; H2797, "")</f>
        <v>principal-knowledge-authority|ProcedureVersions</v>
      </c>
      <c r="N2797" s="2" t="s">
        <v>9938</v>
      </c>
    </row>
    <row r="2798">
      <c r="A2798" s="2" t="s">
        <v>12734</v>
      </c>
      <c r="B2798" s="3" t="str">
        <f>C2798 &amp; " -&gt; " &amp; D2798</f>
        <v>principal-knowledge-authority -&gt; ProcedureVersions.ControlTaxonomyIsIncomplete</v>
      </c>
      <c r="C2798" s="2" t="s">
        <v>9708</v>
      </c>
      <c r="D2798" s="2" t="s">
        <v>2802</v>
      </c>
      <c r="E2798" s="2" t="b">
        <v>1</v>
      </c>
      <c r="F2798" s="2" t="b">
        <v>0</v>
      </c>
      <c r="G2798" s="2" t="s">
        <v>9937</v>
      </c>
      <c r="H2798" s="3" t="str">
        <f>_xlfn.IFNA(INDEX(RulebookFields!C2:C999, MATCH(D2798,RulebookFields!A2:A999, 0)), "")</f>
        <v>ProcedureVersions</v>
      </c>
      <c r="I2798" s="3" t="str">
        <f>_xlfn.IFNA(INDEX(RulebookFields!D2:D999, MATCH(D2798,RulebookFields!A2:A999, 0)), "")</f>
        <v>ControlTaxonomyIsIncomplete</v>
      </c>
      <c r="J2798" s="3" t="b">
        <f>_xlfn.IFNA(INDEX(RulebookFields!I2:I999, MATCH(D2798,RulebookFields!A2:A999, 0)), "")</f>
        <v>1</v>
      </c>
      <c r="K2798" s="3" t="b">
        <f>AND(F2798, J2798)</f>
        <v>0</v>
      </c>
      <c r="L2798" s="3" t="b">
        <f>AND(G2798 &lt;&gt; "plain", G2798 &lt;&gt; "")</f>
        <v>0</v>
      </c>
      <c r="M2798" s="3" t="str">
        <f>IF(E2798, C2798 &amp; "|" &amp; H2798, "")</f>
        <v>principal-knowledge-authority|ProcedureVersions</v>
      </c>
      <c r="N2798" s="2" t="s">
        <v>9938</v>
      </c>
    </row>
    <row r="2799">
      <c r="A2799" s="2" t="s">
        <v>12735</v>
      </c>
      <c r="B2799" s="3" t="str">
        <f>C2799 &amp; " -&gt; " &amp; D2799</f>
        <v>principal-knowledge-authority -&gt; ProcedureVersions.HasApprovedChangeRequest</v>
      </c>
      <c r="C2799" s="2" t="s">
        <v>9708</v>
      </c>
      <c r="D2799" s="2" t="s">
        <v>2804</v>
      </c>
      <c r="E2799" s="2" t="b">
        <v>1</v>
      </c>
      <c r="F2799" s="2" t="b">
        <v>0</v>
      </c>
      <c r="G2799" s="2" t="s">
        <v>9937</v>
      </c>
      <c r="H2799" s="3" t="str">
        <f>_xlfn.IFNA(INDEX(RulebookFields!C2:C999, MATCH(D2799,RulebookFields!A2:A999, 0)), "")</f>
        <v>ProcedureVersions</v>
      </c>
      <c r="I2799" s="3" t="str">
        <f>_xlfn.IFNA(INDEX(RulebookFields!D2:D999, MATCH(D2799,RulebookFields!A2:A999, 0)), "")</f>
        <v>HasApprovedChangeRequest</v>
      </c>
      <c r="J2799" s="3" t="b">
        <f>_xlfn.IFNA(INDEX(RulebookFields!I2:I999, MATCH(D2799,RulebookFields!A2:A999, 0)), "")</f>
        <v>1</v>
      </c>
      <c r="K2799" s="3" t="b">
        <f>AND(F2799, J2799)</f>
        <v>0</v>
      </c>
      <c r="L2799" s="3" t="b">
        <f>AND(G2799 &lt;&gt; "plain", G2799 &lt;&gt; "")</f>
        <v>0</v>
      </c>
      <c r="M2799" s="3" t="str">
        <f>IF(E2799, C2799 &amp; "|" &amp; H2799, "")</f>
        <v>principal-knowledge-authority|ProcedureVersions</v>
      </c>
      <c r="N2799" s="2" t="s">
        <v>9938</v>
      </c>
    </row>
    <row r="2800">
      <c r="A2800" s="2" t="s">
        <v>12736</v>
      </c>
      <c r="B2800" s="3" t="str">
        <f>C2800 &amp; " -&gt; " &amp; D2800</f>
        <v>principal-knowledge-authority -&gt; ProcedureVersions.ApprovedChangeRequestCount</v>
      </c>
      <c r="C2800" s="2" t="s">
        <v>9708</v>
      </c>
      <c r="D2800" s="2" t="s">
        <v>2806</v>
      </c>
      <c r="E2800" s="2" t="b">
        <v>1</v>
      </c>
      <c r="F2800" s="2" t="b">
        <v>0</v>
      </c>
      <c r="G2800" s="2" t="s">
        <v>9937</v>
      </c>
      <c r="H2800" s="3" t="str">
        <f>_xlfn.IFNA(INDEX(RulebookFields!C2:C999, MATCH(D2800,RulebookFields!A2:A999, 0)), "")</f>
        <v>ProcedureVersions</v>
      </c>
      <c r="I2800" s="3" t="str">
        <f>_xlfn.IFNA(INDEX(RulebookFields!D2:D999, MATCH(D2800,RulebookFields!A2:A999, 0)), "")</f>
        <v>ApprovedChangeRequestCount</v>
      </c>
      <c r="J2800" s="3" t="b">
        <f>_xlfn.IFNA(INDEX(RulebookFields!I2:I999, MATCH(D2800,RulebookFields!A2:A999, 0)), "")</f>
        <v>1</v>
      </c>
      <c r="K2800" s="3" t="b">
        <f>AND(F2800, J2800)</f>
        <v>0</v>
      </c>
      <c r="L2800" s="3" t="b">
        <f>AND(G2800 &lt;&gt; "plain", G2800 &lt;&gt; "")</f>
        <v>0</v>
      </c>
      <c r="M2800" s="3" t="str">
        <f>IF(E2800, C2800 &amp; "|" &amp; H2800, "")</f>
        <v>principal-knowledge-authority|ProcedureVersions</v>
      </c>
      <c r="N2800" s="2" t="s">
        <v>9938</v>
      </c>
    </row>
    <row r="2801">
      <c r="A2801" s="2" t="s">
        <v>12737</v>
      </c>
      <c r="B2801" s="3" t="str">
        <f>C2801 &amp; " -&gt; " &amp; D2801</f>
        <v>principal-knowledge-authority -&gt; ProcedureVersions.UnwatchedUnownedControlCount</v>
      </c>
      <c r="C2801" s="2" t="s">
        <v>9708</v>
      </c>
      <c r="D2801" s="2" t="s">
        <v>2808</v>
      </c>
      <c r="E2801" s="2" t="b">
        <v>1</v>
      </c>
      <c r="F2801" s="2" t="b">
        <v>0</v>
      </c>
      <c r="G2801" s="2" t="s">
        <v>9937</v>
      </c>
      <c r="H2801" s="3" t="str">
        <f>_xlfn.IFNA(INDEX(RulebookFields!C2:C999, MATCH(D2801,RulebookFields!A2:A999, 0)), "")</f>
        <v>ProcedureVersions</v>
      </c>
      <c r="I2801" s="3" t="str">
        <f>_xlfn.IFNA(INDEX(RulebookFields!D2:D999, MATCH(D2801,RulebookFields!A2:A999, 0)), "")</f>
        <v>UnwatchedUnownedControlCount</v>
      </c>
      <c r="J2801" s="3" t="b">
        <f>_xlfn.IFNA(INDEX(RulebookFields!I2:I999, MATCH(D2801,RulebookFields!A2:A999, 0)), "")</f>
        <v>1</v>
      </c>
      <c r="K2801" s="3" t="b">
        <f>AND(F2801, J2801)</f>
        <v>0</v>
      </c>
      <c r="L2801" s="3" t="b">
        <f>AND(G2801 &lt;&gt; "plain", G2801 &lt;&gt; "")</f>
        <v>0</v>
      </c>
      <c r="M2801" s="3" t="str">
        <f>IF(E2801, C2801 &amp; "|" &amp; H2801, "")</f>
        <v>principal-knowledge-authority|ProcedureVersions</v>
      </c>
      <c r="N2801" s="2" t="s">
        <v>9938</v>
      </c>
    </row>
    <row r="2802">
      <c r="A2802" s="2" t="s">
        <v>12738</v>
      </c>
      <c r="B2802" s="3" t="str">
        <f>C2802 &amp; " -&gt; " &amp; D2802</f>
        <v>principal-knowledge-authority -&gt; ProcedureVersions.SemanticTypeIri</v>
      </c>
      <c r="C2802" s="2" t="s">
        <v>9708</v>
      </c>
      <c r="D2802" s="2" t="s">
        <v>2816</v>
      </c>
      <c r="E2802" s="2" t="b">
        <v>1</v>
      </c>
      <c r="F2802" s="2" t="b">
        <v>0</v>
      </c>
      <c r="G2802" s="2" t="s">
        <v>9937</v>
      </c>
      <c r="H2802" s="3" t="str">
        <f>_xlfn.IFNA(INDEX(RulebookFields!C2:C999, MATCH(D2802,RulebookFields!A2:A999, 0)), "")</f>
        <v>ProcedureVersions</v>
      </c>
      <c r="I2802" s="3" t="str">
        <f>_xlfn.IFNA(INDEX(RulebookFields!D2:D999, MATCH(D2802,RulebookFields!A2:A999, 0)), "")</f>
        <v>SemanticTypeIri</v>
      </c>
      <c r="J2802" s="3" t="b">
        <f>_xlfn.IFNA(INDEX(RulebookFields!I2:I999, MATCH(D2802,RulebookFields!A2:A999, 0)), "")</f>
        <v>0</v>
      </c>
      <c r="K2802" s="3" t="b">
        <f>AND(F2802, J2802)</f>
        <v>0</v>
      </c>
      <c r="L2802" s="3" t="b">
        <f>AND(G2802 &lt;&gt; "plain", G2802 &lt;&gt; "")</f>
        <v>0</v>
      </c>
      <c r="M2802" s="3" t="str">
        <f>IF(E2802, C2802 &amp; "|" &amp; H2802, "")</f>
        <v>principal-knowledge-authority|ProcedureVersions</v>
      </c>
      <c r="N2802" s="2" t="s">
        <v>9938</v>
      </c>
    </row>
    <row r="2803">
      <c r="A2803" s="2" t="s">
        <v>12739</v>
      </c>
      <c r="B2803" s="3" t="str">
        <f>C2803 &amp; " -&gt; " &amp; D2803</f>
        <v>principal-knowledge-authority -&gt; Procedures.ProcedureId</v>
      </c>
      <c r="C2803" s="2" t="s">
        <v>9708</v>
      </c>
      <c r="D2803" s="2" t="s">
        <v>2650</v>
      </c>
      <c r="E2803" s="2" t="b">
        <v>1</v>
      </c>
      <c r="F2803" s="2" t="b">
        <v>0</v>
      </c>
      <c r="G2803" s="2" t="s">
        <v>9937</v>
      </c>
      <c r="H2803" s="3" t="str">
        <f>_xlfn.IFNA(INDEX(RulebookFields!C2:C999, MATCH(D2803,RulebookFields!A2:A999, 0)), "")</f>
        <v>Procedures</v>
      </c>
      <c r="I2803" s="3" t="str">
        <f>_xlfn.IFNA(INDEX(RulebookFields!D2:D999, MATCH(D2803,RulebookFields!A2:A999, 0)), "")</f>
        <v>ProcedureId</v>
      </c>
      <c r="J2803" s="3" t="b">
        <f>_xlfn.IFNA(INDEX(RulebookFields!I2:I999, MATCH(D2803,RulebookFields!A2:A999, 0)), "")</f>
        <v>0</v>
      </c>
      <c r="K2803" s="3" t="b">
        <f>AND(F2803, J2803)</f>
        <v>0</v>
      </c>
      <c r="L2803" s="3" t="b">
        <f>AND(G2803 &lt;&gt; "plain", G2803 &lt;&gt; "")</f>
        <v>0</v>
      </c>
      <c r="M2803" s="3" t="str">
        <f>IF(E2803, C2803 &amp; "|" &amp; H2803, "")</f>
        <v>principal-knowledge-authority|Procedures</v>
      </c>
      <c r="N2803" s="2" t="s">
        <v>9938</v>
      </c>
    </row>
    <row r="2804">
      <c r="A2804" s="2" t="s">
        <v>12740</v>
      </c>
      <c r="B2804" s="3" t="str">
        <f>C2804 &amp; " -&gt; " &amp; D2804</f>
        <v>principal-knowledge-authority -&gt; Procedures.Name</v>
      </c>
      <c r="C2804" s="2" t="s">
        <v>9708</v>
      </c>
      <c r="D2804" s="2" t="s">
        <v>2651</v>
      </c>
      <c r="E2804" s="2" t="b">
        <v>1</v>
      </c>
      <c r="F2804" s="2" t="b">
        <v>0</v>
      </c>
      <c r="G2804" s="2" t="s">
        <v>9937</v>
      </c>
      <c r="H2804" s="3" t="str">
        <f>_xlfn.IFNA(INDEX(RulebookFields!C2:C999, MATCH(D2804,RulebookFields!A2:A999, 0)), "")</f>
        <v>Procedures</v>
      </c>
      <c r="I2804" s="3" t="str">
        <f>_xlfn.IFNA(INDEX(RulebookFields!D2:D999, MATCH(D2804,RulebookFields!A2:A999, 0)), "")</f>
        <v>Name</v>
      </c>
      <c r="J2804" s="3" t="b">
        <f>_xlfn.IFNA(INDEX(RulebookFields!I2:I999, MATCH(D2804,RulebookFields!A2:A999, 0)), "")</f>
        <v>1</v>
      </c>
      <c r="K2804" s="3" t="b">
        <f>AND(F2804, J2804)</f>
        <v>0</v>
      </c>
      <c r="L2804" s="3" t="b">
        <f>AND(G2804 &lt;&gt; "plain", G2804 &lt;&gt; "")</f>
        <v>0</v>
      </c>
      <c r="M2804" s="3" t="str">
        <f>IF(E2804, C2804 &amp; "|" &amp; H2804, "")</f>
        <v>principal-knowledge-authority|Procedures</v>
      </c>
      <c r="N2804" s="2" t="s">
        <v>9938</v>
      </c>
    </row>
    <row r="2805">
      <c r="A2805" s="2" t="s">
        <v>12741</v>
      </c>
      <c r="B2805" s="3" t="str">
        <f>C2805 &amp; " -&gt; " &amp; D2805</f>
        <v>principal-knowledge-authority -&gt; Procedures.Title</v>
      </c>
      <c r="C2805" s="2" t="s">
        <v>9708</v>
      </c>
      <c r="D2805" s="2" t="s">
        <v>2653</v>
      </c>
      <c r="E2805" s="2" t="b">
        <v>1</v>
      </c>
      <c r="F2805" s="2" t="b">
        <v>0</v>
      </c>
      <c r="G2805" s="2" t="s">
        <v>9937</v>
      </c>
      <c r="H2805" s="3" t="str">
        <f>_xlfn.IFNA(INDEX(RulebookFields!C2:C999, MATCH(D2805,RulebookFields!A2:A999, 0)), "")</f>
        <v>Procedures</v>
      </c>
      <c r="I2805" s="3" t="str">
        <f>_xlfn.IFNA(INDEX(RulebookFields!D2:D999, MATCH(D2805,RulebookFields!A2:A999, 0)), "")</f>
        <v>Title</v>
      </c>
      <c r="J2805" s="3" t="b">
        <f>_xlfn.IFNA(INDEX(RulebookFields!I2:I999, MATCH(D2805,RulebookFields!A2:A999, 0)), "")</f>
        <v>0</v>
      </c>
      <c r="K2805" s="3" t="b">
        <f>AND(F2805, J2805)</f>
        <v>0</v>
      </c>
      <c r="L2805" s="3" t="b">
        <f>AND(G2805 &lt;&gt; "plain", G2805 &lt;&gt; "")</f>
        <v>0</v>
      </c>
      <c r="M2805" s="3" t="str">
        <f>IF(E2805, C2805 &amp; "|" &amp; H2805, "")</f>
        <v>principal-knowledge-authority|Procedures</v>
      </c>
      <c r="N2805" s="2" t="s">
        <v>9938</v>
      </c>
    </row>
    <row r="2806">
      <c r="A2806" s="2" t="s">
        <v>12742</v>
      </c>
      <c r="B2806" s="3" t="str">
        <f>C2806 &amp; " -&gt; " &amp; D2806</f>
        <v>principal-knowledge-authority -&gt; Procedures.ProcedureType</v>
      </c>
      <c r="C2806" s="2" t="s">
        <v>9708</v>
      </c>
      <c r="D2806" s="2" t="s">
        <v>2654</v>
      </c>
      <c r="E2806" s="2" t="b">
        <v>1</v>
      </c>
      <c r="F2806" s="2" t="b">
        <v>0</v>
      </c>
      <c r="G2806" s="2" t="s">
        <v>9937</v>
      </c>
      <c r="H2806" s="3" t="str">
        <f>_xlfn.IFNA(INDEX(RulebookFields!C2:C999, MATCH(D2806,RulebookFields!A2:A999, 0)), "")</f>
        <v>Procedures</v>
      </c>
      <c r="I2806" s="3" t="str">
        <f>_xlfn.IFNA(INDEX(RulebookFields!D2:D999, MATCH(D2806,RulebookFields!A2:A999, 0)), "")</f>
        <v>ProcedureType</v>
      </c>
      <c r="J2806" s="3" t="b">
        <f>_xlfn.IFNA(INDEX(RulebookFields!I2:I999, MATCH(D2806,RulebookFields!A2:A999, 0)), "")</f>
        <v>0</v>
      </c>
      <c r="K2806" s="3" t="b">
        <f>AND(F2806, J2806)</f>
        <v>0</v>
      </c>
      <c r="L2806" s="3" t="b">
        <f>AND(G2806 &lt;&gt; "plain", G2806 &lt;&gt; "")</f>
        <v>0</v>
      </c>
      <c r="M2806" s="3" t="str">
        <f>IF(E2806, C2806 &amp; "|" &amp; H2806, "")</f>
        <v>principal-knowledge-authority|Procedures</v>
      </c>
      <c r="N2806" s="2" t="s">
        <v>9938</v>
      </c>
    </row>
    <row r="2807">
      <c r="A2807" s="2" t="s">
        <v>12743</v>
      </c>
      <c r="B2807" s="3" t="str">
        <f>C2807 &amp; " -&gt; " &amp; D2807</f>
        <v>principal-knowledge-authority -&gt; Procedures.OwnerOrganization</v>
      </c>
      <c r="C2807" s="2" t="s">
        <v>9708</v>
      </c>
      <c r="D2807" s="2" t="s">
        <v>2655</v>
      </c>
      <c r="E2807" s="2" t="b">
        <v>1</v>
      </c>
      <c r="F2807" s="2" t="b">
        <v>0</v>
      </c>
      <c r="G2807" s="2" t="s">
        <v>9937</v>
      </c>
      <c r="H2807" s="3" t="str">
        <f>_xlfn.IFNA(INDEX(RulebookFields!C2:C999, MATCH(D2807,RulebookFields!A2:A999, 0)), "")</f>
        <v>Procedures</v>
      </c>
      <c r="I2807" s="3" t="str">
        <f>_xlfn.IFNA(INDEX(RulebookFields!D2:D999, MATCH(D2807,RulebookFields!A2:A999, 0)), "")</f>
        <v>OwnerOrganization</v>
      </c>
      <c r="J2807" s="3" t="b">
        <f>_xlfn.IFNA(INDEX(RulebookFields!I2:I999, MATCH(D2807,RulebookFields!A2:A999, 0)), "")</f>
        <v>0</v>
      </c>
      <c r="K2807" s="3" t="b">
        <f>AND(F2807, J2807)</f>
        <v>0</v>
      </c>
      <c r="L2807" s="3" t="b">
        <f>AND(G2807 &lt;&gt; "plain", G2807 &lt;&gt; "")</f>
        <v>0</v>
      </c>
      <c r="M2807" s="3" t="str">
        <f>IF(E2807, C2807 &amp; "|" &amp; H2807, "")</f>
        <v>principal-knowledge-authority|Procedures</v>
      </c>
      <c r="N2807" s="2" t="s">
        <v>9938</v>
      </c>
    </row>
    <row r="2808">
      <c r="A2808" s="2" t="s">
        <v>12744</v>
      </c>
      <c r="B2808" s="3" t="str">
        <f>C2808 &amp; " -&gt; " &amp; D2808</f>
        <v>principal-knowledge-authority -&gt; Procedures.AdoptedByOrganization</v>
      </c>
      <c r="C2808" s="2" t="s">
        <v>9708</v>
      </c>
      <c r="D2808" s="2" t="s">
        <v>2656</v>
      </c>
      <c r="E2808" s="2" t="b">
        <v>1</v>
      </c>
      <c r="F2808" s="2" t="b">
        <v>0</v>
      </c>
      <c r="G2808" s="2" t="s">
        <v>9937</v>
      </c>
      <c r="H2808" s="3" t="str">
        <f>_xlfn.IFNA(INDEX(RulebookFields!C2:C999, MATCH(D2808,RulebookFields!A2:A999, 0)), "")</f>
        <v>Procedures</v>
      </c>
      <c r="I2808" s="3" t="str">
        <f>_xlfn.IFNA(INDEX(RulebookFields!D2:D999, MATCH(D2808,RulebookFields!A2:A999, 0)), "")</f>
        <v>AdoptedByOrganization</v>
      </c>
      <c r="J2808" s="3" t="b">
        <f>_xlfn.IFNA(INDEX(RulebookFields!I2:I999, MATCH(D2808,RulebookFields!A2:A999, 0)), "")</f>
        <v>0</v>
      </c>
      <c r="K2808" s="3" t="b">
        <f>AND(F2808, J2808)</f>
        <v>0</v>
      </c>
      <c r="L2808" s="3" t="b">
        <f>AND(G2808 &lt;&gt; "plain", G2808 &lt;&gt; "")</f>
        <v>0</v>
      </c>
      <c r="M2808" s="3" t="str">
        <f>IF(E2808, C2808 &amp; "|" &amp; H2808, "")</f>
        <v>principal-knowledge-authority|Procedures</v>
      </c>
      <c r="N2808" s="2" t="s">
        <v>9938</v>
      </c>
    </row>
    <row r="2809">
      <c r="A2809" s="2" t="s">
        <v>12745</v>
      </c>
      <c r="B2809" s="3" t="str">
        <f>C2809 &amp; " -&gt; " &amp; D2809</f>
        <v>principal-knowledge-authority -&gt; Procedures.Purpose</v>
      </c>
      <c r="C2809" s="2" t="s">
        <v>9708</v>
      </c>
      <c r="D2809" s="2" t="s">
        <v>2657</v>
      </c>
      <c r="E2809" s="2" t="b">
        <v>1</v>
      </c>
      <c r="F2809" s="2" t="b">
        <v>0</v>
      </c>
      <c r="G2809" s="2" t="s">
        <v>9937</v>
      </c>
      <c r="H2809" s="3" t="str">
        <f>_xlfn.IFNA(INDEX(RulebookFields!C2:C999, MATCH(D2809,RulebookFields!A2:A999, 0)), "")</f>
        <v>Procedures</v>
      </c>
      <c r="I2809" s="3" t="str">
        <f>_xlfn.IFNA(INDEX(RulebookFields!D2:D999, MATCH(D2809,RulebookFields!A2:A999, 0)), "")</f>
        <v>Purpose</v>
      </c>
      <c r="J2809" s="3" t="b">
        <f>_xlfn.IFNA(INDEX(RulebookFields!I2:I999, MATCH(D2809,RulebookFields!A2:A999, 0)), "")</f>
        <v>0</v>
      </c>
      <c r="K2809" s="3" t="b">
        <f>AND(F2809, J2809)</f>
        <v>0</v>
      </c>
      <c r="L2809" s="3" t="b">
        <f>AND(G2809 &lt;&gt; "plain", G2809 &lt;&gt; "")</f>
        <v>0</v>
      </c>
      <c r="M2809" s="3" t="str">
        <f>IF(E2809, C2809 &amp; "|" &amp; H2809, "")</f>
        <v>principal-knowledge-authority|Procedures</v>
      </c>
      <c r="N2809" s="2" t="s">
        <v>9938</v>
      </c>
    </row>
    <row r="2810">
      <c r="A2810" s="2" t="s">
        <v>12746</v>
      </c>
      <c r="B2810" s="3" t="str">
        <f>C2810 &amp; " -&gt; " &amp; D2810</f>
        <v>principal-knowledge-authority -&gt; Procedures.Target</v>
      </c>
      <c r="C2810" s="2" t="s">
        <v>9708</v>
      </c>
      <c r="D2810" s="2" t="s">
        <v>2658</v>
      </c>
      <c r="E2810" s="2" t="b">
        <v>1</v>
      </c>
      <c r="F2810" s="2" t="b">
        <v>0</v>
      </c>
      <c r="G2810" s="2" t="s">
        <v>9937</v>
      </c>
      <c r="H2810" s="3" t="str">
        <f>_xlfn.IFNA(INDEX(RulebookFields!C2:C999, MATCH(D2810,RulebookFields!A2:A999, 0)), "")</f>
        <v>Procedures</v>
      </c>
      <c r="I2810" s="3" t="str">
        <f>_xlfn.IFNA(INDEX(RulebookFields!D2:D999, MATCH(D2810,RulebookFields!A2:A999, 0)), "")</f>
        <v>Target</v>
      </c>
      <c r="J2810" s="3" t="b">
        <f>_xlfn.IFNA(INDEX(RulebookFields!I2:I999, MATCH(D2810,RulebookFields!A2:A999, 0)), "")</f>
        <v>0</v>
      </c>
      <c r="K2810" s="3" t="b">
        <f>AND(F2810, J2810)</f>
        <v>0</v>
      </c>
      <c r="L2810" s="3" t="b">
        <f>AND(G2810 &lt;&gt; "plain", G2810 &lt;&gt; "")</f>
        <v>0</v>
      </c>
      <c r="M2810" s="3" t="str">
        <f>IF(E2810, C2810 &amp; "|" &amp; H2810, "")</f>
        <v>principal-knowledge-authority|Procedures</v>
      </c>
      <c r="N2810" s="2" t="s">
        <v>9938</v>
      </c>
    </row>
    <row r="2811">
      <c r="A2811" s="2" t="s">
        <v>12747</v>
      </c>
      <c r="B2811" s="3" t="str">
        <f>C2811 &amp; " -&gt; " &amp; D2811</f>
        <v>principal-knowledge-authority -&gt; Procedures.IsTemplate</v>
      </c>
      <c r="C2811" s="2" t="s">
        <v>9708</v>
      </c>
      <c r="D2811" s="2" t="s">
        <v>2659</v>
      </c>
      <c r="E2811" s="2" t="b">
        <v>1</v>
      </c>
      <c r="F2811" s="2" t="b">
        <v>0</v>
      </c>
      <c r="G2811" s="2" t="s">
        <v>9937</v>
      </c>
      <c r="H2811" s="3" t="str">
        <f>_xlfn.IFNA(INDEX(RulebookFields!C2:C999, MATCH(D2811,RulebookFields!A2:A999, 0)), "")</f>
        <v>Procedures</v>
      </c>
      <c r="I2811" s="3" t="str">
        <f>_xlfn.IFNA(INDEX(RulebookFields!D2:D999, MATCH(D2811,RulebookFields!A2:A999, 0)), "")</f>
        <v>IsTemplate</v>
      </c>
      <c r="J2811" s="3" t="b">
        <f>_xlfn.IFNA(INDEX(RulebookFields!I2:I999, MATCH(D2811,RulebookFields!A2:A999, 0)), "")</f>
        <v>0</v>
      </c>
      <c r="K2811" s="3" t="b">
        <f>AND(F2811, J2811)</f>
        <v>0</v>
      </c>
      <c r="L2811" s="3" t="b">
        <f>AND(G2811 &lt;&gt; "plain", G2811 &lt;&gt; "")</f>
        <v>0</v>
      </c>
      <c r="M2811" s="3" t="str">
        <f>IF(E2811, C2811 &amp; "|" &amp; H2811, "")</f>
        <v>principal-knowledge-authority|Procedures</v>
      </c>
      <c r="N2811" s="2" t="s">
        <v>9938</v>
      </c>
    </row>
    <row r="2812">
      <c r="A2812" s="2" t="s">
        <v>12748</v>
      </c>
      <c r="B2812" s="3" t="str">
        <f>C2812 &amp; " -&gt; " &amp; D2812</f>
        <v>principal-knowledge-authority -&gt; Procedures.CurrentVersionKey</v>
      </c>
      <c r="C2812" s="2" t="s">
        <v>9708</v>
      </c>
      <c r="D2812" s="2" t="s">
        <v>2660</v>
      </c>
      <c r="E2812" s="2" t="b">
        <v>1</v>
      </c>
      <c r="F2812" s="2" t="b">
        <v>0</v>
      </c>
      <c r="G2812" s="2" t="s">
        <v>9937</v>
      </c>
      <c r="H2812" s="3" t="str">
        <f>_xlfn.IFNA(INDEX(RulebookFields!C2:C999, MATCH(D2812,RulebookFields!A2:A999, 0)), "")</f>
        <v>Procedures</v>
      </c>
      <c r="I2812" s="3" t="str">
        <f>_xlfn.IFNA(INDEX(RulebookFields!D2:D999, MATCH(D2812,RulebookFields!A2:A999, 0)), "")</f>
        <v>CurrentVersionKey</v>
      </c>
      <c r="J2812" s="3" t="b">
        <f>_xlfn.IFNA(INDEX(RulebookFields!I2:I999, MATCH(D2812,RulebookFields!A2:A999, 0)), "")</f>
        <v>0</v>
      </c>
      <c r="K2812" s="3" t="b">
        <f>AND(F2812, J2812)</f>
        <v>0</v>
      </c>
      <c r="L2812" s="3" t="b">
        <f>AND(G2812 &lt;&gt; "plain", G2812 &lt;&gt; "")</f>
        <v>0</v>
      </c>
      <c r="M2812" s="3" t="str">
        <f>IF(E2812, C2812 &amp; "|" &amp; H2812, "")</f>
        <v>principal-knowledge-authority|Procedures</v>
      </c>
      <c r="N2812" s="2" t="s">
        <v>9938</v>
      </c>
    </row>
    <row r="2813">
      <c r="A2813" s="2" t="s">
        <v>12749</v>
      </c>
      <c r="B2813" s="3" t="str">
        <f>C2813 &amp; " -&gt; " &amp; D2813</f>
        <v>principal-knowledge-authority -&gt; Procedures.SemanticTypeIri</v>
      </c>
      <c r="C2813" s="2" t="s">
        <v>9708</v>
      </c>
      <c r="D2813" s="2" t="s">
        <v>2661</v>
      </c>
      <c r="E2813" s="2" t="b">
        <v>1</v>
      </c>
      <c r="F2813" s="2" t="b">
        <v>0</v>
      </c>
      <c r="G2813" s="2" t="s">
        <v>9937</v>
      </c>
      <c r="H2813" s="3" t="str">
        <f>_xlfn.IFNA(INDEX(RulebookFields!C2:C999, MATCH(D2813,RulebookFields!A2:A999, 0)), "")</f>
        <v>Procedures</v>
      </c>
      <c r="I2813" s="3" t="str">
        <f>_xlfn.IFNA(INDEX(RulebookFields!D2:D999, MATCH(D2813,RulebookFields!A2:A999, 0)), "")</f>
        <v>SemanticTypeIri</v>
      </c>
      <c r="J2813" s="3" t="b">
        <f>_xlfn.IFNA(INDEX(RulebookFields!I2:I999, MATCH(D2813,RulebookFields!A2:A999, 0)), "")</f>
        <v>0</v>
      </c>
      <c r="K2813" s="3" t="b">
        <f>AND(F2813, J2813)</f>
        <v>0</v>
      </c>
      <c r="L2813" s="3" t="b">
        <f>AND(G2813 &lt;&gt; "plain", G2813 &lt;&gt; "")</f>
        <v>0</v>
      </c>
      <c r="M2813" s="3" t="str">
        <f>IF(E2813, C2813 &amp; "|" &amp; H2813, "")</f>
        <v>principal-knowledge-authority|Procedures</v>
      </c>
      <c r="N2813" s="2" t="s">
        <v>9938</v>
      </c>
    </row>
    <row r="2814">
      <c r="A2814" s="2" t="s">
        <v>12750</v>
      </c>
      <c r="B2814" s="3" t="str">
        <f>C2814 &amp; " -&gt; " &amp; D2814</f>
        <v>principal-knowledge-authority -&gt; Rationales.RationaleId</v>
      </c>
      <c r="C2814" s="2" t="s">
        <v>9708</v>
      </c>
      <c r="D2814" s="2" t="s">
        <v>3084</v>
      </c>
      <c r="E2814" s="2" t="b">
        <v>1</v>
      </c>
      <c r="F2814" s="2" t="b">
        <v>0</v>
      </c>
      <c r="G2814" s="2" t="s">
        <v>9937</v>
      </c>
      <c r="H2814" s="3" t="str">
        <f>_xlfn.IFNA(INDEX(RulebookFields!C2:C999, MATCH(D2814,RulebookFields!A2:A999, 0)), "")</f>
        <v>Rationales</v>
      </c>
      <c r="I2814" s="3" t="str">
        <f>_xlfn.IFNA(INDEX(RulebookFields!D2:D999, MATCH(D2814,RulebookFields!A2:A999, 0)), "")</f>
        <v>RationaleId</v>
      </c>
      <c r="J2814" s="3" t="b">
        <f>_xlfn.IFNA(INDEX(RulebookFields!I2:I999, MATCH(D2814,RulebookFields!A2:A999, 0)), "")</f>
        <v>0</v>
      </c>
      <c r="K2814" s="3" t="b">
        <f>AND(F2814, J2814)</f>
        <v>0</v>
      </c>
      <c r="L2814" s="3" t="b">
        <f>AND(G2814 &lt;&gt; "plain", G2814 &lt;&gt; "")</f>
        <v>0</v>
      </c>
      <c r="M2814" s="3" t="str">
        <f>IF(E2814, C2814 &amp; "|" &amp; H2814, "")</f>
        <v>principal-knowledge-authority|Rationales</v>
      </c>
      <c r="N2814" s="2" t="s">
        <v>9938</v>
      </c>
    </row>
    <row r="2815">
      <c r="A2815" s="2" t="s">
        <v>12751</v>
      </c>
      <c r="B2815" s="3" t="str">
        <f>C2815 &amp; " -&gt; " &amp; D2815</f>
        <v>principal-knowledge-authority -&gt; Rationales.Name</v>
      </c>
      <c r="C2815" s="2" t="s">
        <v>9708</v>
      </c>
      <c r="D2815" s="2" t="s">
        <v>3086</v>
      </c>
      <c r="E2815" s="2" t="b">
        <v>1</v>
      </c>
      <c r="F2815" s="2" t="b">
        <v>0</v>
      </c>
      <c r="G2815" s="2" t="s">
        <v>9937</v>
      </c>
      <c r="H2815" s="3" t="str">
        <f>_xlfn.IFNA(INDEX(RulebookFields!C2:C999, MATCH(D2815,RulebookFields!A2:A999, 0)), "")</f>
        <v>Rationales</v>
      </c>
      <c r="I2815" s="3" t="str">
        <f>_xlfn.IFNA(INDEX(RulebookFields!D2:D999, MATCH(D2815,RulebookFields!A2:A999, 0)), "")</f>
        <v>Name</v>
      </c>
      <c r="J2815" s="3" t="b">
        <f>_xlfn.IFNA(INDEX(RulebookFields!I2:I999, MATCH(D2815,RulebookFields!A2:A999, 0)), "")</f>
        <v>1</v>
      </c>
      <c r="K2815" s="3" t="b">
        <f>AND(F2815, J2815)</f>
        <v>0</v>
      </c>
      <c r="L2815" s="3" t="b">
        <f>AND(G2815 &lt;&gt; "plain", G2815 &lt;&gt; "")</f>
        <v>0</v>
      </c>
      <c r="M2815" s="3" t="str">
        <f>IF(E2815, C2815 &amp; "|" &amp; H2815, "")</f>
        <v>principal-knowledge-authority|Rationales</v>
      </c>
      <c r="N2815" s="2" t="s">
        <v>9938</v>
      </c>
    </row>
    <row r="2816">
      <c r="A2816" s="2" t="s">
        <v>12752</v>
      </c>
      <c r="B2816" s="3" t="str">
        <f>C2816 &amp; " -&gt; " &amp; D2816</f>
        <v>principal-knowledge-authority -&gt; Rationales.ProcedureVersion</v>
      </c>
      <c r="C2816" s="2" t="s">
        <v>9708</v>
      </c>
      <c r="D2816" s="2" t="s">
        <v>3087</v>
      </c>
      <c r="E2816" s="2" t="b">
        <v>1</v>
      </c>
      <c r="F2816" s="2" t="b">
        <v>0</v>
      </c>
      <c r="G2816" s="2" t="s">
        <v>9937</v>
      </c>
      <c r="H2816" s="3" t="str">
        <f>_xlfn.IFNA(INDEX(RulebookFields!C2:C999, MATCH(D2816,RulebookFields!A2:A999, 0)), "")</f>
        <v>Rationales</v>
      </c>
      <c r="I2816" s="3" t="str">
        <f>_xlfn.IFNA(INDEX(RulebookFields!D2:D999, MATCH(D2816,RulebookFields!A2:A999, 0)), "")</f>
        <v>ProcedureVersion</v>
      </c>
      <c r="J2816" s="3" t="b">
        <f>_xlfn.IFNA(INDEX(RulebookFields!I2:I999, MATCH(D2816,RulebookFields!A2:A999, 0)), "")</f>
        <v>0</v>
      </c>
      <c r="K2816" s="3" t="b">
        <f>AND(F2816, J2816)</f>
        <v>0</v>
      </c>
      <c r="L2816" s="3" t="b">
        <f>AND(G2816 &lt;&gt; "plain", G2816 &lt;&gt; "")</f>
        <v>0</v>
      </c>
      <c r="M2816" s="3" t="str">
        <f>IF(E2816, C2816 &amp; "|" &amp; H2816, "")</f>
        <v>principal-knowledge-authority|Rationales</v>
      </c>
      <c r="N2816" s="2" t="s">
        <v>9938</v>
      </c>
    </row>
    <row r="2817">
      <c r="A2817" s="2" t="s">
        <v>12753</v>
      </c>
      <c r="B2817" s="3" t="str">
        <f>C2817 &amp; " -&gt; " &amp; D2817</f>
        <v>principal-knowledge-authority -&gt; Rationales.Step</v>
      </c>
      <c r="C2817" s="2" t="s">
        <v>9708</v>
      </c>
      <c r="D2817" s="2" t="s">
        <v>3088</v>
      </c>
      <c r="E2817" s="2" t="b">
        <v>1</v>
      </c>
      <c r="F2817" s="2" t="b">
        <v>0</v>
      </c>
      <c r="G2817" s="2" t="s">
        <v>9937</v>
      </c>
      <c r="H2817" s="3" t="str">
        <f>_xlfn.IFNA(INDEX(RulebookFields!C2:C999, MATCH(D2817,RulebookFields!A2:A999, 0)), "")</f>
        <v>Rationales</v>
      </c>
      <c r="I2817" s="3" t="str">
        <f>_xlfn.IFNA(INDEX(RulebookFields!D2:D999, MATCH(D2817,RulebookFields!A2:A999, 0)), "")</f>
        <v>Step</v>
      </c>
      <c r="J2817" s="3" t="b">
        <f>_xlfn.IFNA(INDEX(RulebookFields!I2:I999, MATCH(D2817,RulebookFields!A2:A999, 0)), "")</f>
        <v>0</v>
      </c>
      <c r="K2817" s="3" t="b">
        <f>AND(F2817, J2817)</f>
        <v>0</v>
      </c>
      <c r="L2817" s="3" t="b">
        <f>AND(G2817 &lt;&gt; "plain", G2817 &lt;&gt; "")</f>
        <v>0</v>
      </c>
      <c r="M2817" s="3" t="str">
        <f>IF(E2817, C2817 &amp; "|" &amp; H2817, "")</f>
        <v>principal-knowledge-authority|Rationales</v>
      </c>
      <c r="N2817" s="2" t="s">
        <v>9938</v>
      </c>
    </row>
    <row r="2818">
      <c r="A2818" s="2" t="s">
        <v>12754</v>
      </c>
      <c r="B2818" s="3" t="str">
        <f>C2818 &amp; " -&gt; " &amp; D2818</f>
        <v>principal-knowledge-authority -&gt; Rationales.Title</v>
      </c>
      <c r="C2818" s="2" t="s">
        <v>9708</v>
      </c>
      <c r="D2818" s="2" t="s">
        <v>3089</v>
      </c>
      <c r="E2818" s="2" t="b">
        <v>1</v>
      </c>
      <c r="F2818" s="2" t="b">
        <v>0</v>
      </c>
      <c r="G2818" s="2" t="s">
        <v>9937</v>
      </c>
      <c r="H2818" s="3" t="str">
        <f>_xlfn.IFNA(INDEX(RulebookFields!C2:C999, MATCH(D2818,RulebookFields!A2:A999, 0)), "")</f>
        <v>Rationales</v>
      </c>
      <c r="I2818" s="3" t="str">
        <f>_xlfn.IFNA(INDEX(RulebookFields!D2:D999, MATCH(D2818,RulebookFields!A2:A999, 0)), "")</f>
        <v>Title</v>
      </c>
      <c r="J2818" s="3" t="b">
        <f>_xlfn.IFNA(INDEX(RulebookFields!I2:I999, MATCH(D2818,RulebookFields!A2:A999, 0)), "")</f>
        <v>0</v>
      </c>
      <c r="K2818" s="3" t="b">
        <f>AND(F2818, J2818)</f>
        <v>0</v>
      </c>
      <c r="L2818" s="3" t="b">
        <f>AND(G2818 &lt;&gt; "plain", G2818 &lt;&gt; "")</f>
        <v>0</v>
      </c>
      <c r="M2818" s="3" t="str">
        <f>IF(E2818, C2818 &amp; "|" &amp; H2818, "")</f>
        <v>principal-knowledge-authority|Rationales</v>
      </c>
      <c r="N2818" s="2" t="s">
        <v>9938</v>
      </c>
    </row>
    <row r="2819">
      <c r="A2819" s="2" t="s">
        <v>12755</v>
      </c>
      <c r="B2819" s="3" t="str">
        <f>C2819 &amp; " -&gt; " &amp; D2819</f>
        <v>principal-knowledge-authority -&gt; Rationales.Statement</v>
      </c>
      <c r="C2819" s="2" t="s">
        <v>9708</v>
      </c>
      <c r="D2819" s="2" t="s">
        <v>3090</v>
      </c>
      <c r="E2819" s="2" t="b">
        <v>1</v>
      </c>
      <c r="F2819" s="2" t="b">
        <v>0</v>
      </c>
      <c r="G2819" s="2" t="s">
        <v>9937</v>
      </c>
      <c r="H2819" s="3" t="str">
        <f>_xlfn.IFNA(INDEX(RulebookFields!C2:C999, MATCH(D2819,RulebookFields!A2:A999, 0)), "")</f>
        <v>Rationales</v>
      </c>
      <c r="I2819" s="3" t="str">
        <f>_xlfn.IFNA(INDEX(RulebookFields!D2:D999, MATCH(D2819,RulebookFields!A2:A999, 0)), "")</f>
        <v>Statement</v>
      </c>
      <c r="J2819" s="3" t="b">
        <f>_xlfn.IFNA(INDEX(RulebookFields!I2:I999, MATCH(D2819,RulebookFields!A2:A999, 0)), "")</f>
        <v>0</v>
      </c>
      <c r="K2819" s="3" t="b">
        <f>AND(F2819, J2819)</f>
        <v>0</v>
      </c>
      <c r="L2819" s="3" t="b">
        <f>AND(G2819 &lt;&gt; "plain", G2819 &lt;&gt; "")</f>
        <v>0</v>
      </c>
      <c r="M2819" s="3" t="str">
        <f>IF(E2819, C2819 &amp; "|" &amp; H2819, "")</f>
        <v>principal-knowledge-authority|Rationales</v>
      </c>
      <c r="N2819" s="2" t="s">
        <v>9938</v>
      </c>
    </row>
    <row r="2820">
      <c r="A2820" s="2" t="s">
        <v>12756</v>
      </c>
      <c r="B2820" s="3" t="str">
        <f>C2820 &amp; " -&gt; " &amp; D2820</f>
        <v>principal-knowledge-authority -&gt; Rationales.Status</v>
      </c>
      <c r="C2820" s="2" t="s">
        <v>9708</v>
      </c>
      <c r="D2820" s="2" t="s">
        <v>3091</v>
      </c>
      <c r="E2820" s="2" t="b">
        <v>1</v>
      </c>
      <c r="F2820" s="2" t="b">
        <v>0</v>
      </c>
      <c r="G2820" s="2" t="s">
        <v>9937</v>
      </c>
      <c r="H2820" s="3" t="str">
        <f>_xlfn.IFNA(INDEX(RulebookFields!C2:C999, MATCH(D2820,RulebookFields!A2:A999, 0)), "")</f>
        <v>Rationales</v>
      </c>
      <c r="I2820" s="3" t="str">
        <f>_xlfn.IFNA(INDEX(RulebookFields!D2:D999, MATCH(D2820,RulebookFields!A2:A999, 0)), "")</f>
        <v>Status</v>
      </c>
      <c r="J2820" s="3" t="b">
        <f>_xlfn.IFNA(INDEX(RulebookFields!I2:I999, MATCH(D2820,RulebookFields!A2:A999, 0)), "")</f>
        <v>0</v>
      </c>
      <c r="K2820" s="3" t="b">
        <f>AND(F2820, J2820)</f>
        <v>0</v>
      </c>
      <c r="L2820" s="3" t="b">
        <f>AND(G2820 &lt;&gt; "plain", G2820 &lt;&gt; "")</f>
        <v>0</v>
      </c>
      <c r="M2820" s="3" t="str">
        <f>IF(E2820, C2820 &amp; "|" &amp; H2820, "")</f>
        <v>principal-knowledge-authority|Rationales</v>
      </c>
      <c r="N2820" s="2" t="s">
        <v>9938</v>
      </c>
    </row>
    <row r="2821">
      <c r="A2821" s="2" t="s">
        <v>12757</v>
      </c>
      <c r="B2821" s="3" t="str">
        <f>C2821 &amp; " -&gt; " &amp; D2821</f>
        <v>principal-knowledge-authority -&gt; Rationales.AuthorityRole</v>
      </c>
      <c r="C2821" s="2" t="s">
        <v>9708</v>
      </c>
      <c r="D2821" s="2" t="s">
        <v>3092</v>
      </c>
      <c r="E2821" s="2" t="b">
        <v>1</v>
      </c>
      <c r="F2821" s="2" t="b">
        <v>0</v>
      </c>
      <c r="G2821" s="2" t="s">
        <v>9937</v>
      </c>
      <c r="H2821" s="3" t="str">
        <f>_xlfn.IFNA(INDEX(RulebookFields!C2:C999, MATCH(D2821,RulebookFields!A2:A999, 0)), "")</f>
        <v>Rationales</v>
      </c>
      <c r="I2821" s="3" t="str">
        <f>_xlfn.IFNA(INDEX(RulebookFields!D2:D999, MATCH(D2821,RulebookFields!A2:A999, 0)), "")</f>
        <v>AuthorityRole</v>
      </c>
      <c r="J2821" s="3" t="b">
        <f>_xlfn.IFNA(INDEX(RulebookFields!I2:I999, MATCH(D2821,RulebookFields!A2:A999, 0)), "")</f>
        <v>0</v>
      </c>
      <c r="K2821" s="3" t="b">
        <f>AND(F2821, J2821)</f>
        <v>0</v>
      </c>
      <c r="L2821" s="3" t="b">
        <f>AND(G2821 &lt;&gt; "plain", G2821 &lt;&gt; "")</f>
        <v>0</v>
      </c>
      <c r="M2821" s="3" t="str">
        <f>IF(E2821, C2821 &amp; "|" &amp; H2821, "")</f>
        <v>principal-knowledge-authority|Rationales</v>
      </c>
      <c r="N2821" s="2" t="s">
        <v>9938</v>
      </c>
    </row>
    <row r="2822">
      <c r="A2822" s="2" t="s">
        <v>12758</v>
      </c>
      <c r="B2822" s="3" t="str">
        <f>C2822 &amp; " -&gt; " &amp; D2822</f>
        <v>principal-knowledge-authority -&gt; Rationales.SemanticTypeIri</v>
      </c>
      <c r="C2822" s="2" t="s">
        <v>9708</v>
      </c>
      <c r="D2822" s="2" t="s">
        <v>3093</v>
      </c>
      <c r="E2822" s="2" t="b">
        <v>1</v>
      </c>
      <c r="F2822" s="2" t="b">
        <v>0</v>
      </c>
      <c r="G2822" s="2" t="s">
        <v>9937</v>
      </c>
      <c r="H2822" s="3" t="str">
        <f>_xlfn.IFNA(INDEX(RulebookFields!C2:C999, MATCH(D2822,RulebookFields!A2:A999, 0)), "")</f>
        <v>Rationales</v>
      </c>
      <c r="I2822" s="3" t="str">
        <f>_xlfn.IFNA(INDEX(RulebookFields!D2:D999, MATCH(D2822,RulebookFields!A2:A999, 0)), "")</f>
        <v>SemanticTypeIri</v>
      </c>
      <c r="J2822" s="3" t="b">
        <f>_xlfn.IFNA(INDEX(RulebookFields!I2:I999, MATCH(D2822,RulebookFields!A2:A999, 0)), "")</f>
        <v>0</v>
      </c>
      <c r="K2822" s="3" t="b">
        <f>AND(F2822, J2822)</f>
        <v>0</v>
      </c>
      <c r="L2822" s="3" t="b">
        <f>AND(G2822 &lt;&gt; "plain", G2822 &lt;&gt; "")</f>
        <v>0</v>
      </c>
      <c r="M2822" s="3" t="str">
        <f>IF(E2822, C2822 &amp; "|" &amp; H2822, "")</f>
        <v>principal-knowledge-authority|Rationales</v>
      </c>
      <c r="N2822" s="2" t="s">
        <v>9938</v>
      </c>
    </row>
    <row r="2823">
      <c r="A2823" s="2" t="s">
        <v>12759</v>
      </c>
      <c r="B2823" s="3" t="str">
        <f>C2823 &amp; " -&gt; " &amp; D2823</f>
        <v>principal-knowledge-authority -&gt; Recipients.RecipientId</v>
      </c>
      <c r="C2823" s="2" t="s">
        <v>9708</v>
      </c>
      <c r="D2823" s="2" t="s">
        <v>4345</v>
      </c>
      <c r="E2823" s="2" t="b">
        <v>1</v>
      </c>
      <c r="F2823" s="2" t="b">
        <v>0</v>
      </c>
      <c r="G2823" s="2" t="s">
        <v>9937</v>
      </c>
      <c r="H2823" s="3" t="str">
        <f>_xlfn.IFNA(INDEX(RulebookFields!C2:C999, MATCH(D2823,RulebookFields!A2:A999, 0)), "")</f>
      </c>
      <c r="I2823" s="3" t="str">
        <f>_xlfn.IFNA(INDEX(RulebookFields!D2:D999, MATCH(D2823,RulebookFields!A2:A999, 0)), "")</f>
      </c>
      <c r="J2823" s="3" t="str">
        <f>_xlfn.IFNA(INDEX(RulebookFields!I2:I999, MATCH(D2823,RulebookFields!A2:A999, 0)), "")</f>
      </c>
      <c r="K2823" s="3" t="b">
        <f>AND(F2823, J2823)</f>
        <v>0</v>
      </c>
      <c r="L2823" s="3" t="b">
        <f>AND(G2823 &lt;&gt; "plain", G2823 &lt;&gt; "")</f>
        <v>0</v>
      </c>
      <c r="M2823" s="3" t="str">
        <f>IF(E2823, C2823 &amp; "|" &amp; H2823, "")</f>
        <v>principal-knowledge-authority|</v>
      </c>
      <c r="N2823" s="2" t="s">
        <v>9938</v>
      </c>
    </row>
    <row r="2824">
      <c r="A2824" s="2" t="s">
        <v>12760</v>
      </c>
      <c r="B2824" s="3" t="str">
        <f>C2824 &amp; " -&gt; " &amp; D2824</f>
        <v>principal-knowledge-authority -&gt; Recipients.Name</v>
      </c>
      <c r="C2824" s="2" t="s">
        <v>9708</v>
      </c>
      <c r="D2824" s="2" t="s">
        <v>4348</v>
      </c>
      <c r="E2824" s="2" t="b">
        <v>1</v>
      </c>
      <c r="F2824" s="2" t="b">
        <v>0</v>
      </c>
      <c r="G2824" s="2" t="s">
        <v>9937</v>
      </c>
      <c r="H2824" s="3" t="str">
        <f>_xlfn.IFNA(INDEX(RulebookFields!C2:C999, MATCH(D2824,RulebookFields!A2:A999, 0)), "")</f>
      </c>
      <c r="I2824" s="3" t="str">
        <f>_xlfn.IFNA(INDEX(RulebookFields!D2:D999, MATCH(D2824,RulebookFields!A2:A999, 0)), "")</f>
      </c>
      <c r="J2824" s="3" t="str">
        <f>_xlfn.IFNA(INDEX(RulebookFields!I2:I999, MATCH(D2824,RulebookFields!A2:A999, 0)), "")</f>
      </c>
      <c r="K2824" s="3" t="b">
        <f>AND(F2824, J2824)</f>
        <v>0</v>
      </c>
      <c r="L2824" s="3" t="b">
        <f>AND(G2824 &lt;&gt; "plain", G2824 &lt;&gt; "")</f>
        <v>0</v>
      </c>
      <c r="M2824" s="3" t="str">
        <f>IF(E2824, C2824 &amp; "|" &amp; H2824, "")</f>
        <v>principal-knowledge-authority|</v>
      </c>
      <c r="N2824" s="2" t="s">
        <v>9938</v>
      </c>
    </row>
    <row r="2825">
      <c r="A2825" s="2" t="s">
        <v>12761</v>
      </c>
      <c r="B2825" s="3" t="str">
        <f>C2825 &amp; " -&gt; " &amp; D2825</f>
        <v>principal-knowledge-authority -&gt; Recipients.DisplayName</v>
      </c>
      <c r="C2825" s="2" t="s">
        <v>9708</v>
      </c>
      <c r="D2825" s="2" t="s">
        <v>4349</v>
      </c>
      <c r="E2825" s="2" t="b">
        <v>1</v>
      </c>
      <c r="F2825" s="2" t="b">
        <v>0</v>
      </c>
      <c r="G2825" s="2" t="s">
        <v>9937</v>
      </c>
      <c r="H2825" s="3" t="str">
        <f>_xlfn.IFNA(INDEX(RulebookFields!C2:C999, MATCH(D2825,RulebookFields!A2:A999, 0)), "")</f>
      </c>
      <c r="I2825" s="3" t="str">
        <f>_xlfn.IFNA(INDEX(RulebookFields!D2:D999, MATCH(D2825,RulebookFields!A2:A999, 0)), "")</f>
      </c>
      <c r="J2825" s="3" t="str">
        <f>_xlfn.IFNA(INDEX(RulebookFields!I2:I999, MATCH(D2825,RulebookFields!A2:A999, 0)), "")</f>
      </c>
      <c r="K2825" s="3" t="b">
        <f>AND(F2825, J2825)</f>
        <v>0</v>
      </c>
      <c r="L2825" s="3" t="b">
        <f>AND(G2825 &lt;&gt; "plain", G2825 &lt;&gt; "")</f>
        <v>0</v>
      </c>
      <c r="M2825" s="3" t="str">
        <f>IF(E2825, C2825 &amp; "|" &amp; H2825, "")</f>
        <v>principal-knowledge-authority|</v>
      </c>
      <c r="N2825" s="2" t="s">
        <v>9938</v>
      </c>
    </row>
    <row r="2826">
      <c r="A2826" s="2" t="s">
        <v>12762</v>
      </c>
      <c r="B2826" s="3" t="str">
        <f>C2826 &amp; " -&gt; " &amp; D2826</f>
        <v>principal-knowledge-authority -&gt; Recipients.Organization</v>
      </c>
      <c r="C2826" s="2" t="s">
        <v>9708</v>
      </c>
      <c r="D2826" s="2" t="s">
        <v>4350</v>
      </c>
      <c r="E2826" s="2" t="b">
        <v>1</v>
      </c>
      <c r="F2826" s="2" t="b">
        <v>0</v>
      </c>
      <c r="G2826" s="2" t="s">
        <v>9937</v>
      </c>
      <c r="H2826" s="3" t="str">
        <f>_xlfn.IFNA(INDEX(RulebookFields!C2:C999, MATCH(D2826,RulebookFields!A2:A999, 0)), "")</f>
      </c>
      <c r="I2826" s="3" t="str">
        <f>_xlfn.IFNA(INDEX(RulebookFields!D2:D999, MATCH(D2826,RulebookFields!A2:A999, 0)), "")</f>
      </c>
      <c r="J2826" s="3" t="str">
        <f>_xlfn.IFNA(INDEX(RulebookFields!I2:I999, MATCH(D2826,RulebookFields!A2:A999, 0)), "")</f>
      </c>
      <c r="K2826" s="3" t="b">
        <f>AND(F2826, J2826)</f>
        <v>0</v>
      </c>
      <c r="L2826" s="3" t="b">
        <f>AND(G2826 &lt;&gt; "plain", G2826 &lt;&gt; "")</f>
        <v>0</v>
      </c>
      <c r="M2826" s="3" t="str">
        <f>IF(E2826, C2826 &amp; "|" &amp; H2826, "")</f>
        <v>principal-knowledge-authority|</v>
      </c>
      <c r="N2826" s="2" t="s">
        <v>9938</v>
      </c>
    </row>
    <row r="2827">
      <c r="A2827" s="2" t="s">
        <v>12763</v>
      </c>
      <c r="B2827" s="3" t="str">
        <f>C2827 &amp; " -&gt; " &amp; D2827</f>
        <v>principal-knowledge-authority -&gt; Recipients.EmailAddress</v>
      </c>
      <c r="C2827" s="2" t="s">
        <v>9708</v>
      </c>
      <c r="D2827" s="2" t="s">
        <v>4351</v>
      </c>
      <c r="E2827" s="2" t="b">
        <v>1</v>
      </c>
      <c r="F2827" s="2" t="b">
        <v>0</v>
      </c>
      <c r="G2827" s="2" t="s">
        <v>9937</v>
      </c>
      <c r="H2827" s="3" t="str">
        <f>_xlfn.IFNA(INDEX(RulebookFields!C2:C999, MATCH(D2827,RulebookFields!A2:A999, 0)), "")</f>
      </c>
      <c r="I2827" s="3" t="str">
        <f>_xlfn.IFNA(INDEX(RulebookFields!D2:D999, MATCH(D2827,RulebookFields!A2:A999, 0)), "")</f>
      </c>
      <c r="J2827" s="3" t="str">
        <f>_xlfn.IFNA(INDEX(RulebookFields!I2:I999, MATCH(D2827,RulebookFields!A2:A999, 0)), "")</f>
      </c>
      <c r="K2827" s="3" t="b">
        <f>AND(F2827, J2827)</f>
        <v>0</v>
      </c>
      <c r="L2827" s="3" t="b">
        <f>AND(G2827 &lt;&gt; "plain", G2827 &lt;&gt; "")</f>
        <v>0</v>
      </c>
      <c r="M2827" s="3" t="str">
        <f>IF(E2827, C2827 &amp; "|" &amp; H2827, "")</f>
        <v>principal-knowledge-authority|</v>
      </c>
      <c r="N2827" s="2" t="s">
        <v>9938</v>
      </c>
    </row>
    <row r="2828">
      <c r="A2828" s="2" t="s">
        <v>12764</v>
      </c>
      <c r="B2828" s="3" t="str">
        <f>C2828 &amp; " -&gt; " &amp; D2828</f>
        <v>principal-knowledge-authority -&gt; Recipients.MobileNumber</v>
      </c>
      <c r="C2828" s="2" t="s">
        <v>9708</v>
      </c>
      <c r="D2828" s="2" t="s">
        <v>4353</v>
      </c>
      <c r="E2828" s="2" t="b">
        <v>1</v>
      </c>
      <c r="F2828" s="2" t="b">
        <v>0</v>
      </c>
      <c r="G2828" s="2" t="s">
        <v>9937</v>
      </c>
      <c r="H2828" s="3" t="str">
        <f>_xlfn.IFNA(INDEX(RulebookFields!C2:C999, MATCH(D2828,RulebookFields!A2:A999, 0)), "")</f>
      </c>
      <c r="I2828" s="3" t="str">
        <f>_xlfn.IFNA(INDEX(RulebookFields!D2:D999, MATCH(D2828,RulebookFields!A2:A999, 0)), "")</f>
      </c>
      <c r="J2828" s="3" t="str">
        <f>_xlfn.IFNA(INDEX(RulebookFields!I2:I999, MATCH(D2828,RulebookFields!A2:A999, 0)), "")</f>
      </c>
      <c r="K2828" s="3" t="b">
        <f>AND(F2828, J2828)</f>
        <v>0</v>
      </c>
      <c r="L2828" s="3" t="b">
        <f>AND(G2828 &lt;&gt; "plain", G2828 &lt;&gt; "")</f>
        <v>0</v>
      </c>
      <c r="M2828" s="3" t="str">
        <f>IF(E2828, C2828 &amp; "|" &amp; H2828, "")</f>
        <v>principal-knowledge-authority|</v>
      </c>
      <c r="N2828" s="2" t="s">
        <v>9938</v>
      </c>
    </row>
    <row r="2829">
      <c r="A2829" s="2" t="s">
        <v>12765</v>
      </c>
      <c r="B2829" s="3" t="str">
        <f>C2829 &amp; " -&gt; " &amp; D2829</f>
        <v>principal-knowledge-authority -&gt; Recipients.SmsConsentStatus</v>
      </c>
      <c r="C2829" s="2" t="s">
        <v>9708</v>
      </c>
      <c r="D2829" s="2" t="s">
        <v>4355</v>
      </c>
      <c r="E2829" s="2" t="b">
        <v>1</v>
      </c>
      <c r="F2829" s="2" t="b">
        <v>0</v>
      </c>
      <c r="G2829" s="2" t="s">
        <v>9937</v>
      </c>
      <c r="H2829" s="3" t="str">
        <f>_xlfn.IFNA(INDEX(RulebookFields!C2:C999, MATCH(D2829,RulebookFields!A2:A999, 0)), "")</f>
      </c>
      <c r="I2829" s="3" t="str">
        <f>_xlfn.IFNA(INDEX(RulebookFields!D2:D999, MATCH(D2829,RulebookFields!A2:A999, 0)), "")</f>
      </c>
      <c r="J2829" s="3" t="str">
        <f>_xlfn.IFNA(INDEX(RulebookFields!I2:I999, MATCH(D2829,RulebookFields!A2:A999, 0)), "")</f>
      </c>
      <c r="K2829" s="3" t="b">
        <f>AND(F2829, J2829)</f>
        <v>0</v>
      </c>
      <c r="L2829" s="3" t="b">
        <f>AND(G2829 &lt;&gt; "plain", G2829 &lt;&gt; "")</f>
        <v>0</v>
      </c>
      <c r="M2829" s="3" t="str">
        <f>IF(E2829, C2829 &amp; "|" &amp; H2829, "")</f>
        <v>principal-knowledge-authority|</v>
      </c>
      <c r="N2829" s="2" t="s">
        <v>9938</v>
      </c>
    </row>
    <row r="2830">
      <c r="A2830" s="2" t="s">
        <v>12766</v>
      </c>
      <c r="B2830" s="3" t="str">
        <f>C2830 &amp; " -&gt; " &amp; D2830</f>
        <v>principal-knowledge-authority -&gt; Recipients.SmsConsentAt</v>
      </c>
      <c r="C2830" s="2" t="s">
        <v>9708</v>
      </c>
      <c r="D2830" s="2" t="s">
        <v>4357</v>
      </c>
      <c r="E2830" s="2" t="b">
        <v>1</v>
      </c>
      <c r="F2830" s="2" t="b">
        <v>0</v>
      </c>
      <c r="G2830" s="2" t="s">
        <v>9937</v>
      </c>
      <c r="H2830" s="3" t="str">
        <f>_xlfn.IFNA(INDEX(RulebookFields!C2:C999, MATCH(D2830,RulebookFields!A2:A999, 0)), "")</f>
      </c>
      <c r="I2830" s="3" t="str">
        <f>_xlfn.IFNA(INDEX(RulebookFields!D2:D999, MATCH(D2830,RulebookFields!A2:A999, 0)), "")</f>
      </c>
      <c r="J2830" s="3" t="str">
        <f>_xlfn.IFNA(INDEX(RulebookFields!I2:I999, MATCH(D2830,RulebookFields!A2:A999, 0)), "")</f>
      </c>
      <c r="K2830" s="3" t="b">
        <f>AND(F2830, J2830)</f>
        <v>0</v>
      </c>
      <c r="L2830" s="3" t="b">
        <f>AND(G2830 &lt;&gt; "plain", G2830 &lt;&gt; "")</f>
        <v>0</v>
      </c>
      <c r="M2830" s="3" t="str">
        <f>IF(E2830, C2830 &amp; "|" &amp; H2830, "")</f>
        <v>principal-knowledge-authority|</v>
      </c>
      <c r="N2830" s="2" t="s">
        <v>9938</v>
      </c>
    </row>
    <row r="2831">
      <c r="A2831" s="2" t="s">
        <v>12767</v>
      </c>
      <c r="B2831" s="3" t="str">
        <f>C2831 &amp; " -&gt; " &amp; D2831</f>
        <v>principal-knowledge-authority -&gt; Recipients.ConsentBinding</v>
      </c>
      <c r="C2831" s="2" t="s">
        <v>9708</v>
      </c>
      <c r="D2831" s="2" t="s">
        <v>4359</v>
      </c>
      <c r="E2831" s="2" t="b">
        <v>1</v>
      </c>
      <c r="F2831" s="2" t="b">
        <v>0</v>
      </c>
      <c r="G2831" s="2" t="s">
        <v>9937</v>
      </c>
      <c r="H2831" s="3" t="str">
        <f>_xlfn.IFNA(INDEX(RulebookFields!C2:C999, MATCH(D2831,RulebookFields!A2:A999, 0)), "")</f>
      </c>
      <c r="I2831" s="3" t="str">
        <f>_xlfn.IFNA(INDEX(RulebookFields!D2:D999, MATCH(D2831,RulebookFields!A2:A999, 0)), "")</f>
      </c>
      <c r="J2831" s="3" t="str">
        <f>_xlfn.IFNA(INDEX(RulebookFields!I2:I999, MATCH(D2831,RulebookFields!A2:A999, 0)), "")</f>
      </c>
      <c r="K2831" s="3" t="b">
        <f>AND(F2831, J2831)</f>
        <v>0</v>
      </c>
      <c r="L2831" s="3" t="b">
        <f>AND(G2831 &lt;&gt; "plain", G2831 &lt;&gt; "")</f>
        <v>0</v>
      </c>
      <c r="M2831" s="3" t="str">
        <f>IF(E2831, C2831 &amp; "|" &amp; H2831, "")</f>
        <v>principal-knowledge-authority|</v>
      </c>
      <c r="N2831" s="2" t="s">
        <v>9938</v>
      </c>
    </row>
    <row r="2832">
      <c r="A2832" s="2" t="s">
        <v>12768</v>
      </c>
      <c r="B2832" s="3" t="str">
        <f>C2832 &amp; " -&gt; " &amp; D2832</f>
        <v>principal-knowledge-authority -&gt; Recipients.HasSmsConsent</v>
      </c>
      <c r="C2832" s="2" t="s">
        <v>9708</v>
      </c>
      <c r="D2832" s="2" t="s">
        <v>4361</v>
      </c>
      <c r="E2832" s="2" t="b">
        <v>1</v>
      </c>
      <c r="F2832" s="2" t="b">
        <v>0</v>
      </c>
      <c r="G2832" s="2" t="s">
        <v>9937</v>
      </c>
      <c r="H2832" s="3" t="str">
        <f>_xlfn.IFNA(INDEX(RulebookFields!C2:C999, MATCH(D2832,RulebookFields!A2:A999, 0)), "")</f>
      </c>
      <c r="I2832" s="3" t="str">
        <f>_xlfn.IFNA(INDEX(RulebookFields!D2:D999, MATCH(D2832,RulebookFields!A2:A999, 0)), "")</f>
      </c>
      <c r="J2832" s="3" t="str">
        <f>_xlfn.IFNA(INDEX(RulebookFields!I2:I999, MATCH(D2832,RulebookFields!A2:A999, 0)), "")</f>
      </c>
      <c r="K2832" s="3" t="b">
        <f>AND(F2832, J2832)</f>
        <v>0</v>
      </c>
      <c r="L2832" s="3" t="b">
        <f>AND(G2832 &lt;&gt; "plain", G2832 &lt;&gt; "")</f>
        <v>0</v>
      </c>
      <c r="M2832" s="3" t="str">
        <f>IF(E2832, C2832 &amp; "|" &amp; H2832, "")</f>
        <v>principal-knowledge-authority|</v>
      </c>
      <c r="N2832" s="2" t="s">
        <v>9938</v>
      </c>
    </row>
    <row r="2833">
      <c r="A2833" s="2" t="s">
        <v>12769</v>
      </c>
      <c r="B2833" s="3" t="str">
        <f>C2833 &amp; " -&gt; " &amp; D2833</f>
        <v>principal-knowledge-authority -&gt; Recipients.IsEmailReachable</v>
      </c>
      <c r="C2833" s="2" t="s">
        <v>9708</v>
      </c>
      <c r="D2833" s="2" t="s">
        <v>4364</v>
      </c>
      <c r="E2833" s="2" t="b">
        <v>1</v>
      </c>
      <c r="F2833" s="2" t="b">
        <v>0</v>
      </c>
      <c r="G2833" s="2" t="s">
        <v>9937</v>
      </c>
      <c r="H2833" s="3" t="str">
        <f>_xlfn.IFNA(INDEX(RulebookFields!C2:C999, MATCH(D2833,RulebookFields!A2:A999, 0)), "")</f>
      </c>
      <c r="I2833" s="3" t="str">
        <f>_xlfn.IFNA(INDEX(RulebookFields!D2:D999, MATCH(D2833,RulebookFields!A2:A999, 0)), "")</f>
      </c>
      <c r="J2833" s="3" t="str">
        <f>_xlfn.IFNA(INDEX(RulebookFields!I2:I999, MATCH(D2833,RulebookFields!A2:A999, 0)), "")</f>
      </c>
      <c r="K2833" s="3" t="b">
        <f>AND(F2833, J2833)</f>
        <v>0</v>
      </c>
      <c r="L2833" s="3" t="b">
        <f>AND(G2833 &lt;&gt; "plain", G2833 &lt;&gt; "")</f>
        <v>0</v>
      </c>
      <c r="M2833" s="3" t="str">
        <f>IF(E2833, C2833 &amp; "|" &amp; H2833, "")</f>
        <v>principal-knowledge-authority|</v>
      </c>
      <c r="N2833" s="2" t="s">
        <v>9938</v>
      </c>
    </row>
    <row r="2834">
      <c r="A2834" s="2" t="s">
        <v>12770</v>
      </c>
      <c r="B2834" s="3" t="str">
        <f>C2834 &amp; " -&gt; " &amp; D2834</f>
        <v>principal-knowledge-authority -&gt; Recipients.IsSmsReachable</v>
      </c>
      <c r="C2834" s="2" t="s">
        <v>9708</v>
      </c>
      <c r="D2834" s="2" t="s">
        <v>4367</v>
      </c>
      <c r="E2834" s="2" t="b">
        <v>1</v>
      </c>
      <c r="F2834" s="2" t="b">
        <v>0</v>
      </c>
      <c r="G2834" s="2" t="s">
        <v>9937</v>
      </c>
      <c r="H2834" s="3" t="str">
        <f>_xlfn.IFNA(INDEX(RulebookFields!C2:C999, MATCH(D2834,RulebookFields!A2:A999, 0)), "")</f>
      </c>
      <c r="I2834" s="3" t="str">
        <f>_xlfn.IFNA(INDEX(RulebookFields!D2:D999, MATCH(D2834,RulebookFields!A2:A999, 0)), "")</f>
      </c>
      <c r="J2834" s="3" t="str">
        <f>_xlfn.IFNA(INDEX(RulebookFields!I2:I999, MATCH(D2834,RulebookFields!A2:A999, 0)), "")</f>
      </c>
      <c r="K2834" s="3" t="b">
        <f>AND(F2834, J2834)</f>
        <v>0</v>
      </c>
      <c r="L2834" s="3" t="b">
        <f>AND(G2834 &lt;&gt; "plain", G2834 &lt;&gt; "")</f>
        <v>0</v>
      </c>
      <c r="M2834" s="3" t="str">
        <f>IF(E2834, C2834 &amp; "|" &amp; H2834, "")</f>
        <v>principal-knowledge-authority|</v>
      </c>
      <c r="N2834" s="2" t="s">
        <v>9938</v>
      </c>
    </row>
    <row r="2835">
      <c r="A2835" s="2" t="s">
        <v>12771</v>
      </c>
      <c r="B2835" s="3" t="str">
        <f>C2835 &amp; " -&gt; " &amp; D2835</f>
        <v>principal-knowledge-authority -&gt; Recipients.IsUnreachable</v>
      </c>
      <c r="C2835" s="2" t="s">
        <v>9708</v>
      </c>
      <c r="D2835" s="2" t="s">
        <v>4370</v>
      </c>
      <c r="E2835" s="2" t="b">
        <v>1</v>
      </c>
      <c r="F2835" s="2" t="b">
        <v>0</v>
      </c>
      <c r="G2835" s="2" t="s">
        <v>9937</v>
      </c>
      <c r="H2835" s="3" t="str">
        <f>_xlfn.IFNA(INDEX(RulebookFields!C2:C999, MATCH(D2835,RulebookFields!A2:A999, 0)), "")</f>
      </c>
      <c r="I2835" s="3" t="str">
        <f>_xlfn.IFNA(INDEX(RulebookFields!D2:D999, MATCH(D2835,RulebookFields!A2:A999, 0)), "")</f>
      </c>
      <c r="J2835" s="3" t="str">
        <f>_xlfn.IFNA(INDEX(RulebookFields!I2:I999, MATCH(D2835,RulebookFields!A2:A999, 0)), "")</f>
      </c>
      <c r="K2835" s="3" t="b">
        <f>AND(F2835, J2835)</f>
        <v>0</v>
      </c>
      <c r="L2835" s="3" t="b">
        <f>AND(G2835 &lt;&gt; "plain", G2835 &lt;&gt; "")</f>
        <v>0</v>
      </c>
      <c r="M2835" s="3" t="str">
        <f>IF(E2835, C2835 &amp; "|" &amp; H2835, "")</f>
        <v>principal-knowledge-authority|</v>
      </c>
      <c r="N2835" s="2" t="s">
        <v>9938</v>
      </c>
    </row>
    <row r="2836">
      <c r="A2836" s="2" t="s">
        <v>12772</v>
      </c>
      <c r="B2836" s="3" t="str">
        <f>C2836 &amp; " -&gt; " &amp; D2836</f>
        <v>principal-knowledge-authority -&gt; Recipients.IsCommunicationallyStranded</v>
      </c>
      <c r="C2836" s="2" t="s">
        <v>9708</v>
      </c>
      <c r="D2836" s="2" t="s">
        <v>4373</v>
      </c>
      <c r="E2836" s="2" t="b">
        <v>1</v>
      </c>
      <c r="F2836" s="2" t="b">
        <v>0</v>
      </c>
      <c r="G2836" s="2" t="s">
        <v>9937</v>
      </c>
      <c r="H2836" s="3" t="str">
        <f>_xlfn.IFNA(INDEX(RulebookFields!C2:C999, MATCH(D2836,RulebookFields!A2:A999, 0)), "")</f>
      </c>
      <c r="I2836" s="3" t="str">
        <f>_xlfn.IFNA(INDEX(RulebookFields!D2:D999, MATCH(D2836,RulebookFields!A2:A999, 0)), "")</f>
      </c>
      <c r="J2836" s="3" t="str">
        <f>_xlfn.IFNA(INDEX(RulebookFields!I2:I999, MATCH(D2836,RulebookFields!A2:A999, 0)), "")</f>
      </c>
      <c r="K2836" s="3" t="b">
        <f>AND(F2836, J2836)</f>
        <v>0</v>
      </c>
      <c r="L2836" s="3" t="b">
        <f>AND(G2836 &lt;&gt; "plain", G2836 &lt;&gt; "")</f>
        <v>0</v>
      </c>
      <c r="M2836" s="3" t="str">
        <f>IF(E2836, C2836 &amp; "|" &amp; H2836, "")</f>
        <v>principal-knowledge-authority|</v>
      </c>
      <c r="N2836" s="2" t="s">
        <v>9938</v>
      </c>
    </row>
    <row r="2837">
      <c r="A2837" s="2" t="s">
        <v>12773</v>
      </c>
      <c r="B2837" s="3" t="str">
        <f>C2837 &amp; " -&gt; " &amp; D2837</f>
        <v>principal-knowledge-authority -&gt; Recipients.SemanticTypeIri</v>
      </c>
      <c r="C2837" s="2" t="s">
        <v>9708</v>
      </c>
      <c r="D2837" s="2" t="s">
        <v>4376</v>
      </c>
      <c r="E2837" s="2" t="b">
        <v>1</v>
      </c>
      <c r="F2837" s="2" t="b">
        <v>0</v>
      </c>
      <c r="G2837" s="2" t="s">
        <v>9937</v>
      </c>
      <c r="H2837" s="3" t="str">
        <f>_xlfn.IFNA(INDEX(RulebookFields!C2:C999, MATCH(D2837,RulebookFields!A2:A999, 0)), "")</f>
      </c>
      <c r="I2837" s="3" t="str">
        <f>_xlfn.IFNA(INDEX(RulebookFields!D2:D999, MATCH(D2837,RulebookFields!A2:A999, 0)), "")</f>
      </c>
      <c r="J2837" s="3" t="str">
        <f>_xlfn.IFNA(INDEX(RulebookFields!I2:I999, MATCH(D2837,RulebookFields!A2:A999, 0)), "")</f>
      </c>
      <c r="K2837" s="3" t="b">
        <f>AND(F2837, J2837)</f>
        <v>0</v>
      </c>
      <c r="L2837" s="3" t="b">
        <f>AND(G2837 &lt;&gt; "plain", G2837 &lt;&gt; "")</f>
        <v>0</v>
      </c>
      <c r="M2837" s="3" t="str">
        <f>IF(E2837, C2837 &amp; "|" &amp; H2837, "")</f>
        <v>principal-knowledge-authority|</v>
      </c>
      <c r="N2837" s="2" t="s">
        <v>9938</v>
      </c>
    </row>
    <row r="2838">
      <c r="A2838" s="2" t="s">
        <v>12774</v>
      </c>
      <c r="B2838" s="3" t="str">
        <f>C2838 &amp; " -&gt; " &amp; D2838</f>
        <v>principal-knowledge-authority -&gt; RequirementSatisfactions.RequirementSatisfactionId</v>
      </c>
      <c r="C2838" s="2" t="s">
        <v>9708</v>
      </c>
      <c r="D2838" s="2" t="s">
        <v>3707</v>
      </c>
      <c r="E2838" s="2" t="b">
        <v>1</v>
      </c>
      <c r="F2838" s="2" t="b">
        <v>0</v>
      </c>
      <c r="G2838" s="2" t="s">
        <v>9937</v>
      </c>
      <c r="H2838" s="3" t="str">
        <f>_xlfn.IFNA(INDEX(RulebookFields!C2:C999, MATCH(D2838,RulebookFields!A2:A999, 0)), "")</f>
        <v>RequirementSatisfactions</v>
      </c>
      <c r="I2838" s="3" t="str">
        <f>_xlfn.IFNA(INDEX(RulebookFields!D2:D999, MATCH(D2838,RulebookFields!A2:A999, 0)), "")</f>
        <v>RequirementSatisfactionId</v>
      </c>
      <c r="J2838" s="3" t="b">
        <f>_xlfn.IFNA(INDEX(RulebookFields!I2:I999, MATCH(D2838,RulebookFields!A2:A999, 0)), "")</f>
        <v>0</v>
      </c>
      <c r="K2838" s="3" t="b">
        <f>AND(F2838, J2838)</f>
        <v>0</v>
      </c>
      <c r="L2838" s="3" t="b">
        <f>AND(G2838 &lt;&gt; "plain", G2838 &lt;&gt; "")</f>
        <v>0</v>
      </c>
      <c r="M2838" s="3" t="str">
        <f>IF(E2838, C2838 &amp; "|" &amp; H2838, "")</f>
        <v>principal-knowledge-authority|RequirementSatisfactions</v>
      </c>
      <c r="N2838" s="2" t="s">
        <v>9938</v>
      </c>
    </row>
    <row r="2839">
      <c r="A2839" s="2" t="s">
        <v>12775</v>
      </c>
      <c r="B2839" s="3" t="str">
        <f>C2839 &amp; " -&gt; " &amp; D2839</f>
        <v>principal-knowledge-authority -&gt; RequirementSatisfactions.Name</v>
      </c>
      <c r="C2839" s="2" t="s">
        <v>9708</v>
      </c>
      <c r="D2839" s="2" t="s">
        <v>3708</v>
      </c>
      <c r="E2839" s="2" t="b">
        <v>1</v>
      </c>
      <c r="F2839" s="2" t="b">
        <v>0</v>
      </c>
      <c r="G2839" s="2" t="s">
        <v>9937</v>
      </c>
      <c r="H2839" s="3" t="str">
        <f>_xlfn.IFNA(INDEX(RulebookFields!C2:C999, MATCH(D2839,RulebookFields!A2:A999, 0)), "")</f>
        <v>RequirementSatisfactions</v>
      </c>
      <c r="I2839" s="3" t="str">
        <f>_xlfn.IFNA(INDEX(RulebookFields!D2:D999, MATCH(D2839,RulebookFields!A2:A999, 0)), "")</f>
        <v>Name</v>
      </c>
      <c r="J2839" s="3" t="b">
        <f>_xlfn.IFNA(INDEX(RulebookFields!I2:I999, MATCH(D2839,RulebookFields!A2:A999, 0)), "")</f>
        <v>1</v>
      </c>
      <c r="K2839" s="3" t="b">
        <f>AND(F2839, J2839)</f>
        <v>0</v>
      </c>
      <c r="L2839" s="3" t="b">
        <f>AND(G2839 &lt;&gt; "plain", G2839 &lt;&gt; "")</f>
        <v>0</v>
      </c>
      <c r="M2839" s="3" t="str">
        <f>IF(E2839, C2839 &amp; "|" &amp; H2839, "")</f>
        <v>principal-knowledge-authority|RequirementSatisfactions</v>
      </c>
      <c r="N2839" s="2" t="s">
        <v>9938</v>
      </c>
    </row>
    <row r="2840">
      <c r="A2840" s="2" t="s">
        <v>12776</v>
      </c>
      <c r="B2840" s="3" t="str">
        <f>C2840 &amp; " -&gt; " &amp; D2840</f>
        <v>principal-knowledge-authority -&gt; RequirementSatisfactions.StepExecution</v>
      </c>
      <c r="C2840" s="2" t="s">
        <v>9708</v>
      </c>
      <c r="D2840" s="2" t="s">
        <v>3710</v>
      </c>
      <c r="E2840" s="2" t="b">
        <v>1</v>
      </c>
      <c r="F2840" s="2" t="b">
        <v>0</v>
      </c>
      <c r="G2840" s="2" t="s">
        <v>9937</v>
      </c>
      <c r="H2840" s="3" t="str">
        <f>_xlfn.IFNA(INDEX(RulebookFields!C2:C999, MATCH(D2840,RulebookFields!A2:A999, 0)), "")</f>
        <v>RequirementSatisfactions</v>
      </c>
      <c r="I2840" s="3" t="str">
        <f>_xlfn.IFNA(INDEX(RulebookFields!D2:D999, MATCH(D2840,RulebookFields!A2:A999, 0)), "")</f>
        <v>StepExecution</v>
      </c>
      <c r="J2840" s="3" t="b">
        <f>_xlfn.IFNA(INDEX(RulebookFields!I2:I999, MATCH(D2840,RulebookFields!A2:A999, 0)), "")</f>
        <v>0</v>
      </c>
      <c r="K2840" s="3" t="b">
        <f>AND(F2840, J2840)</f>
        <v>0</v>
      </c>
      <c r="L2840" s="3" t="b">
        <f>AND(G2840 &lt;&gt; "plain", G2840 &lt;&gt; "")</f>
        <v>0</v>
      </c>
      <c r="M2840" s="3" t="str">
        <f>IF(E2840, C2840 &amp; "|" &amp; H2840, "")</f>
        <v>principal-knowledge-authority|RequirementSatisfactions</v>
      </c>
      <c r="N2840" s="2" t="s">
        <v>9938</v>
      </c>
    </row>
    <row r="2841">
      <c r="A2841" s="2" t="s">
        <v>12777</v>
      </c>
      <c r="B2841" s="3" t="str">
        <f>C2841 &amp; " -&gt; " &amp; D2841</f>
        <v>principal-knowledge-authority -&gt; RequirementSatisfactions.Requirement</v>
      </c>
      <c r="C2841" s="2" t="s">
        <v>9708</v>
      </c>
      <c r="D2841" s="2" t="s">
        <v>3711</v>
      </c>
      <c r="E2841" s="2" t="b">
        <v>1</v>
      </c>
      <c r="F2841" s="2" t="b">
        <v>0</v>
      </c>
      <c r="G2841" s="2" t="s">
        <v>9937</v>
      </c>
      <c r="H2841" s="3" t="str">
        <f>_xlfn.IFNA(INDEX(RulebookFields!C2:C999, MATCH(D2841,RulebookFields!A2:A999, 0)), "")</f>
        <v>RequirementSatisfactions</v>
      </c>
      <c r="I2841" s="3" t="str">
        <f>_xlfn.IFNA(INDEX(RulebookFields!D2:D999, MATCH(D2841,RulebookFields!A2:A999, 0)), "")</f>
        <v>Requirement</v>
      </c>
      <c r="J2841" s="3" t="b">
        <f>_xlfn.IFNA(INDEX(RulebookFields!I2:I999, MATCH(D2841,RulebookFields!A2:A999, 0)), "")</f>
        <v>0</v>
      </c>
      <c r="K2841" s="3" t="b">
        <f>AND(F2841, J2841)</f>
        <v>0</v>
      </c>
      <c r="L2841" s="3" t="b">
        <f>AND(G2841 &lt;&gt; "plain", G2841 &lt;&gt; "")</f>
        <v>0</v>
      </c>
      <c r="M2841" s="3" t="str">
        <f>IF(E2841, C2841 &amp; "|" &amp; H2841, "")</f>
        <v>principal-knowledge-authority|RequirementSatisfactions</v>
      </c>
      <c r="N2841" s="2" t="s">
        <v>9938</v>
      </c>
    </row>
    <row r="2842">
      <c r="A2842" s="2" t="s">
        <v>12778</v>
      </c>
      <c r="B2842" s="3" t="str">
        <f>C2842 &amp; " -&gt; " &amp; D2842</f>
        <v>principal-knowledge-authority -&gt; RequirementSatisfactions.SatisfactionLevel</v>
      </c>
      <c r="C2842" s="2" t="s">
        <v>9708</v>
      </c>
      <c r="D2842" s="2" t="s">
        <v>3712</v>
      </c>
      <c r="E2842" s="2" t="b">
        <v>1</v>
      </c>
      <c r="F2842" s="2" t="b">
        <v>0</v>
      </c>
      <c r="G2842" s="2" t="s">
        <v>9937</v>
      </c>
      <c r="H2842" s="3" t="str">
        <f>_xlfn.IFNA(INDEX(RulebookFields!C2:C999, MATCH(D2842,RulebookFields!A2:A999, 0)), "")</f>
        <v>RequirementSatisfactions</v>
      </c>
      <c r="I2842" s="3" t="str">
        <f>_xlfn.IFNA(INDEX(RulebookFields!D2:D999, MATCH(D2842,RulebookFields!A2:A999, 0)), "")</f>
        <v>SatisfactionLevel</v>
      </c>
      <c r="J2842" s="3" t="b">
        <f>_xlfn.IFNA(INDEX(RulebookFields!I2:I999, MATCH(D2842,RulebookFields!A2:A999, 0)), "")</f>
        <v>0</v>
      </c>
      <c r="K2842" s="3" t="b">
        <f>AND(F2842, J2842)</f>
        <v>0</v>
      </c>
      <c r="L2842" s="3" t="b">
        <f>AND(G2842 &lt;&gt; "plain", G2842 &lt;&gt; "")</f>
        <v>0</v>
      </c>
      <c r="M2842" s="3" t="str">
        <f>IF(E2842, C2842 &amp; "|" &amp; H2842, "")</f>
        <v>principal-knowledge-authority|RequirementSatisfactions</v>
      </c>
      <c r="N2842" s="2" t="s">
        <v>9938</v>
      </c>
    </row>
    <row r="2843">
      <c r="A2843" s="2" t="s">
        <v>12779</v>
      </c>
      <c r="B2843" s="3" t="str">
        <f>C2843 &amp; " -&gt; " &amp; D2843</f>
        <v>principal-knowledge-authority -&gt; RequirementSatisfactions.Evidence</v>
      </c>
      <c r="C2843" s="2" t="s">
        <v>9708</v>
      </c>
      <c r="D2843" s="2" t="s">
        <v>3713</v>
      </c>
      <c r="E2843" s="2" t="b">
        <v>1</v>
      </c>
      <c r="F2843" s="2" t="b">
        <v>0</v>
      </c>
      <c r="G2843" s="2" t="s">
        <v>9937</v>
      </c>
      <c r="H2843" s="3" t="str">
        <f>_xlfn.IFNA(INDEX(RulebookFields!C2:C999, MATCH(D2843,RulebookFields!A2:A999, 0)), "")</f>
        <v>RequirementSatisfactions</v>
      </c>
      <c r="I2843" s="3" t="str">
        <f>_xlfn.IFNA(INDEX(RulebookFields!D2:D999, MATCH(D2843,RulebookFields!A2:A999, 0)), "")</f>
        <v>Evidence</v>
      </c>
      <c r="J2843" s="3" t="b">
        <f>_xlfn.IFNA(INDEX(RulebookFields!I2:I999, MATCH(D2843,RulebookFields!A2:A999, 0)), "")</f>
        <v>0</v>
      </c>
      <c r="K2843" s="3" t="b">
        <f>AND(F2843, J2843)</f>
        <v>0</v>
      </c>
      <c r="L2843" s="3" t="b">
        <f>AND(G2843 &lt;&gt; "plain", G2843 &lt;&gt; "")</f>
        <v>0</v>
      </c>
      <c r="M2843" s="3" t="str">
        <f>IF(E2843, C2843 &amp; "|" &amp; H2843, "")</f>
        <v>principal-knowledge-authority|RequirementSatisfactions</v>
      </c>
      <c r="N2843" s="2" t="s">
        <v>9938</v>
      </c>
    </row>
    <row r="2844">
      <c r="A2844" s="2" t="s">
        <v>12780</v>
      </c>
      <c r="B2844" s="3" t="str">
        <f>C2844 &amp; " -&gt; " &amp; D2844</f>
        <v>principal-knowledge-authority -&gt; RequirementSatisfactions.EvaluatedByAgent</v>
      </c>
      <c r="C2844" s="2" t="s">
        <v>9708</v>
      </c>
      <c r="D2844" s="2" t="s">
        <v>3714</v>
      </c>
      <c r="E2844" s="2" t="b">
        <v>1</v>
      </c>
      <c r="F2844" s="2" t="b">
        <v>0</v>
      </c>
      <c r="G2844" s="2" t="s">
        <v>9937</v>
      </c>
      <c r="H2844" s="3" t="str">
        <f>_xlfn.IFNA(INDEX(RulebookFields!C2:C999, MATCH(D2844,RulebookFields!A2:A999, 0)), "")</f>
        <v>RequirementSatisfactions</v>
      </c>
      <c r="I2844" s="3" t="str">
        <f>_xlfn.IFNA(INDEX(RulebookFields!D2:D999, MATCH(D2844,RulebookFields!A2:A999, 0)), "")</f>
        <v>EvaluatedByAgent</v>
      </c>
      <c r="J2844" s="3" t="b">
        <f>_xlfn.IFNA(INDEX(RulebookFields!I2:I999, MATCH(D2844,RulebookFields!A2:A999, 0)), "")</f>
        <v>0</v>
      </c>
      <c r="K2844" s="3" t="b">
        <f>AND(F2844, J2844)</f>
        <v>0</v>
      </c>
      <c r="L2844" s="3" t="b">
        <f>AND(G2844 &lt;&gt; "plain", G2844 &lt;&gt; "")</f>
        <v>0</v>
      </c>
      <c r="M2844" s="3" t="str">
        <f>IF(E2844, C2844 &amp; "|" &amp; H2844, "")</f>
        <v>principal-knowledge-authority|RequirementSatisfactions</v>
      </c>
      <c r="N2844" s="2" t="s">
        <v>9938</v>
      </c>
    </row>
    <row r="2845">
      <c r="A2845" s="2" t="s">
        <v>12781</v>
      </c>
      <c r="B2845" s="3" t="str">
        <f>C2845 &amp; " -&gt; " &amp; D2845</f>
        <v>principal-knowledge-authority -&gt; RequirementSatisfactions.EvaluatedAt</v>
      </c>
      <c r="C2845" s="2" t="s">
        <v>9708</v>
      </c>
      <c r="D2845" s="2" t="s">
        <v>3715</v>
      </c>
      <c r="E2845" s="2" t="b">
        <v>1</v>
      </c>
      <c r="F2845" s="2" t="b">
        <v>0</v>
      </c>
      <c r="G2845" s="2" t="s">
        <v>9937</v>
      </c>
      <c r="H2845" s="3" t="str">
        <f>_xlfn.IFNA(INDEX(RulebookFields!C2:C999, MATCH(D2845,RulebookFields!A2:A999, 0)), "")</f>
        <v>RequirementSatisfactions</v>
      </c>
      <c r="I2845" s="3" t="str">
        <f>_xlfn.IFNA(INDEX(RulebookFields!D2:D999, MATCH(D2845,RulebookFields!A2:A999, 0)), "")</f>
        <v>EvaluatedAt</v>
      </c>
      <c r="J2845" s="3" t="b">
        <f>_xlfn.IFNA(INDEX(RulebookFields!I2:I999, MATCH(D2845,RulebookFields!A2:A999, 0)), "")</f>
        <v>0</v>
      </c>
      <c r="K2845" s="3" t="b">
        <f>AND(F2845, J2845)</f>
        <v>0</v>
      </c>
      <c r="L2845" s="3" t="b">
        <f>AND(G2845 &lt;&gt; "plain", G2845 &lt;&gt; "")</f>
        <v>0</v>
      </c>
      <c r="M2845" s="3" t="str">
        <f>IF(E2845, C2845 &amp; "|" &amp; H2845, "")</f>
        <v>principal-knowledge-authority|RequirementSatisfactions</v>
      </c>
      <c r="N2845" s="2" t="s">
        <v>9938</v>
      </c>
    </row>
    <row r="2846">
      <c r="A2846" s="2" t="s">
        <v>12782</v>
      </c>
      <c r="B2846" s="3" t="str">
        <f>C2846 &amp; " -&gt; " &amp; D2846</f>
        <v>principal-knowledge-authority -&gt; RequirementSatisfactions.RequirementIsBlocking</v>
      </c>
      <c r="C2846" s="2" t="s">
        <v>9708</v>
      </c>
      <c r="D2846" s="2" t="s">
        <v>3716</v>
      </c>
      <c r="E2846" s="2" t="b">
        <v>1</v>
      </c>
      <c r="F2846" s="2" t="b">
        <v>0</v>
      </c>
      <c r="G2846" s="2" t="s">
        <v>9937</v>
      </c>
      <c r="H2846" s="3" t="str">
        <f>_xlfn.IFNA(INDEX(RulebookFields!C2:C999, MATCH(D2846,RulebookFields!A2:A999, 0)), "")</f>
        <v>RequirementSatisfactions</v>
      </c>
      <c r="I2846" s="3" t="str">
        <f>_xlfn.IFNA(INDEX(RulebookFields!D2:D999, MATCH(D2846,RulebookFields!A2:A999, 0)), "")</f>
        <v>RequirementIsBlocking</v>
      </c>
      <c r="J2846" s="3" t="b">
        <f>_xlfn.IFNA(INDEX(RulebookFields!I2:I999, MATCH(D2846,RulebookFields!A2:A999, 0)), "")</f>
        <v>1</v>
      </c>
      <c r="K2846" s="3" t="b">
        <f>AND(F2846, J2846)</f>
        <v>0</v>
      </c>
      <c r="L2846" s="3" t="b">
        <f>AND(G2846 &lt;&gt; "plain", G2846 &lt;&gt; "")</f>
        <v>0</v>
      </c>
      <c r="M2846" s="3" t="str">
        <f>IF(E2846, C2846 &amp; "|" &amp; H2846, "")</f>
        <v>principal-knowledge-authority|RequirementSatisfactions</v>
      </c>
      <c r="N2846" s="2" t="s">
        <v>9938</v>
      </c>
    </row>
    <row r="2847">
      <c r="A2847" s="2" t="s">
        <v>12783</v>
      </c>
      <c r="B2847" s="3" t="str">
        <f>C2847 &amp; " -&gt; " &amp; D2847</f>
        <v>principal-knowledge-authority -&gt; RequirementSatisfactions.IsFullySatisfied</v>
      </c>
      <c r="C2847" s="2" t="s">
        <v>9708</v>
      </c>
      <c r="D2847" s="2" t="s">
        <v>3717</v>
      </c>
      <c r="E2847" s="2" t="b">
        <v>1</v>
      </c>
      <c r="F2847" s="2" t="b">
        <v>0</v>
      </c>
      <c r="G2847" s="2" t="s">
        <v>9937</v>
      </c>
      <c r="H2847" s="3" t="str">
        <f>_xlfn.IFNA(INDEX(RulebookFields!C2:C999, MATCH(D2847,RulebookFields!A2:A999, 0)), "")</f>
        <v>RequirementSatisfactions</v>
      </c>
      <c r="I2847" s="3" t="str">
        <f>_xlfn.IFNA(INDEX(RulebookFields!D2:D999, MATCH(D2847,RulebookFields!A2:A999, 0)), "")</f>
        <v>IsFullySatisfied</v>
      </c>
      <c r="J2847" s="3" t="b">
        <f>_xlfn.IFNA(INDEX(RulebookFields!I2:I999, MATCH(D2847,RulebookFields!A2:A999, 0)), "")</f>
        <v>1</v>
      </c>
      <c r="K2847" s="3" t="b">
        <f>AND(F2847, J2847)</f>
        <v>0</v>
      </c>
      <c r="L2847" s="3" t="b">
        <f>AND(G2847 &lt;&gt; "plain", G2847 &lt;&gt; "")</f>
        <v>0</v>
      </c>
      <c r="M2847" s="3" t="str">
        <f>IF(E2847, C2847 &amp; "|" &amp; H2847, "")</f>
        <v>principal-knowledge-authority|RequirementSatisfactions</v>
      </c>
      <c r="N2847" s="2" t="s">
        <v>9938</v>
      </c>
    </row>
    <row r="2848">
      <c r="A2848" s="2" t="s">
        <v>12784</v>
      </c>
      <c r="B2848" s="3" t="str">
        <f>C2848 &amp; " -&gt; " &amp; D2848</f>
        <v>principal-knowledge-authority -&gt; RequirementSatisfactions.IsBlockingAndUnmet</v>
      </c>
      <c r="C2848" s="2" t="s">
        <v>9708</v>
      </c>
      <c r="D2848" s="2" t="s">
        <v>845</v>
      </c>
      <c r="E2848" s="2" t="b">
        <v>1</v>
      </c>
      <c r="F2848" s="2" t="b">
        <v>0</v>
      </c>
      <c r="G2848" s="2" t="s">
        <v>9937</v>
      </c>
      <c r="H2848" s="3" t="str">
        <f>_xlfn.IFNA(INDEX(RulebookFields!C2:C999, MATCH(D2848,RulebookFields!A2:A999, 0)), "")</f>
        <v>RequirementSatisfactions</v>
      </c>
      <c r="I2848" s="3" t="str">
        <f>_xlfn.IFNA(INDEX(RulebookFields!D2:D999, MATCH(D2848,RulebookFields!A2:A999, 0)), "")</f>
        <v>IsBlockingAndUnmet</v>
      </c>
      <c r="J2848" s="3" t="b">
        <f>_xlfn.IFNA(INDEX(RulebookFields!I2:I999, MATCH(D2848,RulebookFields!A2:A999, 0)), "")</f>
        <v>1</v>
      </c>
      <c r="K2848" s="3" t="b">
        <f>AND(F2848, J2848)</f>
        <v>0</v>
      </c>
      <c r="L2848" s="3" t="b">
        <f>AND(G2848 &lt;&gt; "plain", G2848 &lt;&gt; "")</f>
        <v>0</v>
      </c>
      <c r="M2848" s="3" t="str">
        <f>IF(E2848, C2848 &amp; "|" &amp; H2848, "")</f>
        <v>principal-knowledge-authority|RequirementSatisfactions</v>
      </c>
      <c r="N2848" s="2" t="s">
        <v>9938</v>
      </c>
    </row>
    <row r="2849">
      <c r="A2849" s="2" t="s">
        <v>12785</v>
      </c>
      <c r="B2849" s="3" t="str">
        <f>C2849 &amp; " -&gt; " &amp; D2849</f>
        <v>principal-knowledge-authority -&gt; RequirementSatisfactions.BlockingUnmetStepKey</v>
      </c>
      <c r="C2849" s="2" t="s">
        <v>9708</v>
      </c>
      <c r="D2849" s="2" t="s">
        <v>3720</v>
      </c>
      <c r="E2849" s="2" t="b">
        <v>1</v>
      </c>
      <c r="F2849" s="2" t="b">
        <v>0</v>
      </c>
      <c r="G2849" s="2" t="s">
        <v>9937</v>
      </c>
      <c r="H2849" s="3" t="str">
        <f>_xlfn.IFNA(INDEX(RulebookFields!C2:C999, MATCH(D2849,RulebookFields!A2:A999, 0)), "")</f>
        <v>RequirementSatisfactions</v>
      </c>
      <c r="I2849" s="3" t="str">
        <f>_xlfn.IFNA(INDEX(RulebookFields!D2:D999, MATCH(D2849,RulebookFields!A2:A999, 0)), "")</f>
        <v>BlockingUnmetStepKey</v>
      </c>
      <c r="J2849" s="3" t="b">
        <f>_xlfn.IFNA(INDEX(RulebookFields!I2:I999, MATCH(D2849,RulebookFields!A2:A999, 0)), "")</f>
        <v>1</v>
      </c>
      <c r="K2849" s="3" t="b">
        <f>AND(F2849, J2849)</f>
        <v>0</v>
      </c>
      <c r="L2849" s="3" t="b">
        <f>AND(G2849 &lt;&gt; "plain", G2849 &lt;&gt; "")</f>
        <v>0</v>
      </c>
      <c r="M2849" s="3" t="str">
        <f>IF(E2849, C2849 &amp; "|" &amp; H2849, "")</f>
        <v>principal-knowledge-authority|RequirementSatisfactions</v>
      </c>
      <c r="N2849" s="2" t="s">
        <v>9938</v>
      </c>
    </row>
    <row r="2850">
      <c r="A2850" s="2" t="s">
        <v>12786</v>
      </c>
      <c r="B2850" s="3" t="str">
        <f>C2850 &amp; " -&gt; " &amp; D2850</f>
        <v>principal-knowledge-authority -&gt; RequirementSatisfactions.BlockingSatisfactionStepKey</v>
      </c>
      <c r="C2850" s="2" t="s">
        <v>9708</v>
      </c>
      <c r="D2850" s="2" t="s">
        <v>3722</v>
      </c>
      <c r="E2850" s="2" t="b">
        <v>1</v>
      </c>
      <c r="F2850" s="2" t="b">
        <v>0</v>
      </c>
      <c r="G2850" s="2" t="s">
        <v>9937</v>
      </c>
      <c r="H2850" s="3" t="str">
        <f>_xlfn.IFNA(INDEX(RulebookFields!C2:C999, MATCH(D2850,RulebookFields!A2:A999, 0)), "")</f>
        <v>RequirementSatisfactions</v>
      </c>
      <c r="I2850" s="3" t="str">
        <f>_xlfn.IFNA(INDEX(RulebookFields!D2:D999, MATCH(D2850,RulebookFields!A2:A999, 0)), "")</f>
        <v>BlockingSatisfactionStepKey</v>
      </c>
      <c r="J2850" s="3" t="b">
        <f>_xlfn.IFNA(INDEX(RulebookFields!I2:I999, MATCH(D2850,RulebookFields!A2:A999, 0)), "")</f>
        <v>1</v>
      </c>
      <c r="K2850" s="3" t="b">
        <f>AND(F2850, J2850)</f>
        <v>0</v>
      </c>
      <c r="L2850" s="3" t="b">
        <f>AND(G2850 &lt;&gt; "plain", G2850 &lt;&gt; "")</f>
        <v>0</v>
      </c>
      <c r="M2850" s="3" t="str">
        <f>IF(E2850, C2850 &amp; "|" &amp; H2850, "")</f>
        <v>principal-knowledge-authority|RequirementSatisfactions</v>
      </c>
      <c r="N2850" s="2" t="s">
        <v>9938</v>
      </c>
    </row>
    <row r="2851">
      <c r="A2851" s="2" t="s">
        <v>12787</v>
      </c>
      <c r="B2851" s="3" t="str">
        <f>C2851 &amp; " -&gt; " &amp; D2851</f>
        <v>principal-knowledge-authority -&gt; RequirementSatisfactions.NegativeOutcomeRequirementKey</v>
      </c>
      <c r="C2851" s="2" t="s">
        <v>9708</v>
      </c>
      <c r="D2851" s="2" t="s">
        <v>3724</v>
      </c>
      <c r="E2851" s="2" t="b">
        <v>1</v>
      </c>
      <c r="F2851" s="2" t="b">
        <v>0</v>
      </c>
      <c r="G2851" s="2" t="s">
        <v>9937</v>
      </c>
      <c r="H2851" s="3" t="str">
        <f>_xlfn.IFNA(INDEX(RulebookFields!C2:C999, MATCH(D2851,RulebookFields!A2:A999, 0)), "")</f>
        <v>RequirementSatisfactions</v>
      </c>
      <c r="I2851" s="3" t="str">
        <f>_xlfn.IFNA(INDEX(RulebookFields!D2:D999, MATCH(D2851,RulebookFields!A2:A999, 0)), "")</f>
        <v>NegativeOutcomeRequirementKey</v>
      </c>
      <c r="J2851" s="3" t="b">
        <f>_xlfn.IFNA(INDEX(RulebookFields!I2:I999, MATCH(D2851,RulebookFields!A2:A999, 0)), "")</f>
        <v>1</v>
      </c>
      <c r="K2851" s="3" t="b">
        <f>AND(F2851, J2851)</f>
        <v>0</v>
      </c>
      <c r="L2851" s="3" t="b">
        <f>AND(G2851 &lt;&gt; "plain", G2851 &lt;&gt; "")</f>
        <v>0</v>
      </c>
      <c r="M2851" s="3" t="str">
        <f>IF(E2851, C2851 &amp; "|" &amp; H2851, "")</f>
        <v>principal-knowledge-authority|RequirementSatisfactions</v>
      </c>
      <c r="N2851" s="2" t="s">
        <v>9938</v>
      </c>
    </row>
    <row r="2852">
      <c r="A2852" s="2" t="s">
        <v>12788</v>
      </c>
      <c r="B2852" s="3" t="str">
        <f>C2852 &amp; " -&gt; " &amp; D2852</f>
        <v>principal-knowledge-authority -&gt; RequirementSatisfactions.EvaluatorAgentKind</v>
      </c>
      <c r="C2852" s="2" t="s">
        <v>9708</v>
      </c>
      <c r="D2852" s="2" t="s">
        <v>3726</v>
      </c>
      <c r="E2852" s="2" t="b">
        <v>1</v>
      </c>
      <c r="F2852" s="2" t="b">
        <v>0</v>
      </c>
      <c r="G2852" s="2" t="s">
        <v>9937</v>
      </c>
      <c r="H2852" s="3" t="str">
        <f>_xlfn.IFNA(INDEX(RulebookFields!C2:C999, MATCH(D2852,RulebookFields!A2:A999, 0)), "")</f>
        <v>RequirementSatisfactions</v>
      </c>
      <c r="I2852" s="3" t="str">
        <f>_xlfn.IFNA(INDEX(RulebookFields!D2:D999, MATCH(D2852,RulebookFields!A2:A999, 0)), "")</f>
        <v>EvaluatorAgentKind</v>
      </c>
      <c r="J2852" s="3" t="b">
        <f>_xlfn.IFNA(INDEX(RulebookFields!I2:I999, MATCH(D2852,RulebookFields!A2:A999, 0)), "")</f>
        <v>1</v>
      </c>
      <c r="K2852" s="3" t="b">
        <f>AND(F2852, J2852)</f>
        <v>0</v>
      </c>
      <c r="L2852" s="3" t="b">
        <f>AND(G2852 &lt;&gt; "plain", G2852 &lt;&gt; "")</f>
        <v>0</v>
      </c>
      <c r="M2852" s="3" t="str">
        <f>IF(E2852, C2852 &amp; "|" &amp; H2852, "")</f>
        <v>principal-knowledge-authority|RequirementSatisfactions</v>
      </c>
      <c r="N2852" s="2" t="s">
        <v>9938</v>
      </c>
    </row>
    <row r="2853">
      <c r="A2853" s="2" t="s">
        <v>12789</v>
      </c>
      <c r="B2853" s="3" t="str">
        <f>C2853 &amp; " -&gt; " &amp; D2853</f>
        <v>principal-knowledge-authority -&gt; RequirementSatisfactions.NonHumanEvaluatedHumanControl</v>
      </c>
      <c r="C2853" s="2" t="s">
        <v>9708</v>
      </c>
      <c r="D2853" s="2" t="s">
        <v>3728</v>
      </c>
      <c r="E2853" s="2" t="b">
        <v>1</v>
      </c>
      <c r="F2853" s="2" t="b">
        <v>0</v>
      </c>
      <c r="G2853" s="2" t="s">
        <v>9937</v>
      </c>
      <c r="H2853" s="3" t="str">
        <f>_xlfn.IFNA(INDEX(RulebookFields!C2:C999, MATCH(D2853,RulebookFields!A2:A999, 0)), "")</f>
        <v>RequirementSatisfactions</v>
      </c>
      <c r="I2853" s="3" t="str">
        <f>_xlfn.IFNA(INDEX(RulebookFields!D2:D999, MATCH(D2853,RulebookFields!A2:A999, 0)), "")</f>
        <v>NonHumanEvaluatedHumanControl</v>
      </c>
      <c r="J2853" s="3" t="b">
        <f>_xlfn.IFNA(INDEX(RulebookFields!I2:I999, MATCH(D2853,RulebookFields!A2:A999, 0)), "")</f>
        <v>1</v>
      </c>
      <c r="K2853" s="3" t="b">
        <f>AND(F2853, J2853)</f>
        <v>0</v>
      </c>
      <c r="L2853" s="3" t="b">
        <f>AND(G2853 &lt;&gt; "plain", G2853 &lt;&gt; "")</f>
        <v>0</v>
      </c>
      <c r="M2853" s="3" t="str">
        <f>IF(E2853, C2853 &amp; "|" &amp; H2853, "")</f>
        <v>principal-knowledge-authority|RequirementSatisfactions</v>
      </c>
      <c r="N2853" s="2" t="s">
        <v>9938</v>
      </c>
    </row>
    <row r="2854">
      <c r="A2854" s="2" t="s">
        <v>12790</v>
      </c>
      <c r="B2854" s="3" t="str">
        <f>C2854 &amp; " -&gt; " &amp; D2854</f>
        <v>principal-knowledge-authority -&gt; RequirementSatisfactions.RequirementHasComputedWitness</v>
      </c>
      <c r="C2854" s="2" t="s">
        <v>9708</v>
      </c>
      <c r="D2854" s="2" t="s">
        <v>3730</v>
      </c>
      <c r="E2854" s="2" t="b">
        <v>1</v>
      </c>
      <c r="F2854" s="2" t="b">
        <v>0</v>
      </c>
      <c r="G2854" s="2" t="s">
        <v>9937</v>
      </c>
      <c r="H2854" s="3" t="str">
        <f>_xlfn.IFNA(INDEX(RulebookFields!C2:C999, MATCH(D2854,RulebookFields!A2:A999, 0)), "")</f>
        <v>RequirementSatisfactions</v>
      </c>
      <c r="I2854" s="3" t="str">
        <f>_xlfn.IFNA(INDEX(RulebookFields!D2:D999, MATCH(D2854,RulebookFields!A2:A999, 0)), "")</f>
        <v>RequirementHasComputedWitness</v>
      </c>
      <c r="J2854" s="3" t="b">
        <f>_xlfn.IFNA(INDEX(RulebookFields!I2:I999, MATCH(D2854,RulebookFields!A2:A999, 0)), "")</f>
        <v>1</v>
      </c>
      <c r="K2854" s="3" t="b">
        <f>AND(F2854, J2854)</f>
        <v>0</v>
      </c>
      <c r="L2854" s="3" t="b">
        <f>AND(G2854 &lt;&gt; "plain", G2854 &lt;&gt; "")</f>
        <v>0</v>
      </c>
      <c r="M2854" s="3" t="str">
        <f>IF(E2854, C2854 &amp; "|" &amp; H2854, "")</f>
        <v>principal-knowledge-authority|RequirementSatisfactions</v>
      </c>
      <c r="N2854" s="2" t="s">
        <v>9938</v>
      </c>
    </row>
    <row r="2855">
      <c r="A2855" s="2" t="s">
        <v>12791</v>
      </c>
      <c r="B2855" s="3" t="str">
        <f>C2855 &amp; " -&gt; " &amp; D2855</f>
        <v>principal-knowledge-authority -&gt; RequirementSatisfactions.IsAssertedOnly</v>
      </c>
      <c r="C2855" s="2" t="s">
        <v>9708</v>
      </c>
      <c r="D2855" s="2" t="s">
        <v>3732</v>
      </c>
      <c r="E2855" s="2" t="b">
        <v>1</v>
      </c>
      <c r="F2855" s="2" t="b">
        <v>0</v>
      </c>
      <c r="G2855" s="2" t="s">
        <v>9937</v>
      </c>
      <c r="H2855" s="3" t="str">
        <f>_xlfn.IFNA(INDEX(RulebookFields!C2:C999, MATCH(D2855,RulebookFields!A2:A999, 0)), "")</f>
        <v>RequirementSatisfactions</v>
      </c>
      <c r="I2855" s="3" t="str">
        <f>_xlfn.IFNA(INDEX(RulebookFields!D2:D999, MATCH(D2855,RulebookFields!A2:A999, 0)), "")</f>
        <v>IsAssertedOnly</v>
      </c>
      <c r="J2855" s="3" t="b">
        <f>_xlfn.IFNA(INDEX(RulebookFields!I2:I999, MATCH(D2855,RulebookFields!A2:A999, 0)), "")</f>
        <v>1</v>
      </c>
      <c r="K2855" s="3" t="b">
        <f>AND(F2855, J2855)</f>
        <v>0</v>
      </c>
      <c r="L2855" s="3" t="b">
        <f>AND(G2855 &lt;&gt; "plain", G2855 &lt;&gt; "")</f>
        <v>0</v>
      </c>
      <c r="M2855" s="3" t="str">
        <f>IF(E2855, C2855 &amp; "|" &amp; H2855, "")</f>
        <v>principal-knowledge-authority|RequirementSatisfactions</v>
      </c>
      <c r="N2855" s="2" t="s">
        <v>9938</v>
      </c>
    </row>
    <row r="2856">
      <c r="A2856" s="2" t="s">
        <v>12792</v>
      </c>
      <c r="B2856" s="3" t="str">
        <f>C2856 &amp; " -&gt; " &amp; D2856</f>
        <v>principal-knowledge-authority -&gt; RequirementSatisfactions.AssertedOnlyExecutionKey</v>
      </c>
      <c r="C2856" s="2" t="s">
        <v>9708</v>
      </c>
      <c r="D2856" s="2" t="s">
        <v>3734</v>
      </c>
      <c r="E2856" s="2" t="b">
        <v>1</v>
      </c>
      <c r="F2856" s="2" t="b">
        <v>0</v>
      </c>
      <c r="G2856" s="2" t="s">
        <v>9937</v>
      </c>
      <c r="H2856" s="3" t="str">
        <f>_xlfn.IFNA(INDEX(RulebookFields!C2:C999, MATCH(D2856,RulebookFields!A2:A999, 0)), "")</f>
        <v>RequirementSatisfactions</v>
      </c>
      <c r="I2856" s="3" t="str">
        <f>_xlfn.IFNA(INDEX(RulebookFields!D2:D999, MATCH(D2856,RulebookFields!A2:A999, 0)), "")</f>
        <v>AssertedOnlyExecutionKey</v>
      </c>
      <c r="J2856" s="3" t="b">
        <f>_xlfn.IFNA(INDEX(RulebookFields!I2:I999, MATCH(D2856,RulebookFields!A2:A999, 0)), "")</f>
        <v>1</v>
      </c>
      <c r="K2856" s="3" t="b">
        <f>AND(F2856, J2856)</f>
        <v>0</v>
      </c>
      <c r="L2856" s="3" t="b">
        <f>AND(G2856 &lt;&gt; "plain", G2856 &lt;&gt; "")</f>
        <v>0</v>
      </c>
      <c r="M2856" s="3" t="str">
        <f>IF(E2856, C2856 &amp; "|" &amp; H2856, "")</f>
        <v>principal-knowledge-authority|RequirementSatisfactions</v>
      </c>
      <c r="N2856" s="2" t="s">
        <v>9938</v>
      </c>
    </row>
    <row r="2857">
      <c r="A2857" s="2" t="s">
        <v>12793</v>
      </c>
      <c r="B2857" s="3" t="str">
        <f>C2857 &amp; " -&gt; " &amp; D2857</f>
        <v>principal-knowledge-authority -&gt; RequirementSatisfactions.ParentProcedureExecution</v>
      </c>
      <c r="C2857" s="2" t="s">
        <v>9708</v>
      </c>
      <c r="D2857" s="2" t="s">
        <v>3736</v>
      </c>
      <c r="E2857" s="2" t="b">
        <v>1</v>
      </c>
      <c r="F2857" s="2" t="b">
        <v>0</v>
      </c>
      <c r="G2857" s="2" t="s">
        <v>9937</v>
      </c>
      <c r="H2857" s="3" t="str">
        <f>_xlfn.IFNA(INDEX(RulebookFields!C2:C999, MATCH(D2857,RulebookFields!A2:A999, 0)), "")</f>
        <v>RequirementSatisfactions</v>
      </c>
      <c r="I2857" s="3" t="str">
        <f>_xlfn.IFNA(INDEX(RulebookFields!D2:D999, MATCH(D2857,RulebookFields!A2:A999, 0)), "")</f>
        <v>ParentProcedureExecution</v>
      </c>
      <c r="J2857" s="3" t="b">
        <f>_xlfn.IFNA(INDEX(RulebookFields!I2:I999, MATCH(D2857,RulebookFields!A2:A999, 0)), "")</f>
        <v>1</v>
      </c>
      <c r="K2857" s="3" t="b">
        <f>AND(F2857, J2857)</f>
        <v>0</v>
      </c>
      <c r="L2857" s="3" t="b">
        <f>AND(G2857 &lt;&gt; "plain", G2857 &lt;&gt; "")</f>
        <v>0</v>
      </c>
      <c r="M2857" s="3" t="str">
        <f>IF(E2857, C2857 &amp; "|" &amp; H2857, "")</f>
        <v>principal-knowledge-authority|RequirementSatisfactions</v>
      </c>
      <c r="N2857" s="2" t="s">
        <v>9938</v>
      </c>
    </row>
    <row r="2858">
      <c r="A2858" s="2" t="s">
        <v>12794</v>
      </c>
      <c r="B2858" s="3" t="str">
        <f>C2858 &amp; " -&gt; " &amp; D2858</f>
        <v>principal-knowledge-authority -&gt; RequirementSatisfactions.StepExecutionWhenScored</v>
      </c>
      <c r="C2858" s="2" t="s">
        <v>9708</v>
      </c>
      <c r="D2858" s="2" t="s">
        <v>3738</v>
      </c>
      <c r="E2858" s="2" t="b">
        <v>1</v>
      </c>
      <c r="F2858" s="2" t="b">
        <v>0</v>
      </c>
      <c r="G2858" s="2" t="s">
        <v>9937</v>
      </c>
      <c r="H2858" s="3" t="str">
        <f>_xlfn.IFNA(INDEX(RulebookFields!C2:C999, MATCH(D2858,RulebookFields!A2:A999, 0)), "")</f>
        <v>RequirementSatisfactions</v>
      </c>
      <c r="I2858" s="3" t="str">
        <f>_xlfn.IFNA(INDEX(RulebookFields!D2:D999, MATCH(D2858,RulebookFields!A2:A999, 0)), "")</f>
        <v>StepExecutionWhenScored</v>
      </c>
      <c r="J2858" s="3" t="b">
        <f>_xlfn.IFNA(INDEX(RulebookFields!I2:I999, MATCH(D2858,RulebookFields!A2:A999, 0)), "")</f>
        <v>1</v>
      </c>
      <c r="K2858" s="3" t="b">
        <f>AND(F2858, J2858)</f>
        <v>0</v>
      </c>
      <c r="L2858" s="3" t="b">
        <f>AND(G2858 &lt;&gt; "plain", G2858 &lt;&gt; "")</f>
        <v>0</v>
      </c>
      <c r="M2858" s="3" t="str">
        <f>IF(E2858, C2858 &amp; "|" &amp; H2858, "")</f>
        <v>principal-knowledge-authority|RequirementSatisfactions</v>
      </c>
      <c r="N2858" s="2" t="s">
        <v>9938</v>
      </c>
    </row>
    <row r="2859">
      <c r="A2859" s="2" t="s">
        <v>12795</v>
      </c>
      <c r="B2859" s="3" t="str">
        <f>C2859 &amp; " -&gt; " &amp; D2859</f>
        <v>principal-knowledge-authority -&gt; RequirementSatisfactions.IsHumanEvaluated</v>
      </c>
      <c r="C2859" s="2" t="s">
        <v>9708</v>
      </c>
      <c r="D2859" s="2" t="s">
        <v>3740</v>
      </c>
      <c r="E2859" s="2" t="b">
        <v>1</v>
      </c>
      <c r="F2859" s="2" t="b">
        <v>0</v>
      </c>
      <c r="G2859" s="2" t="s">
        <v>9937</v>
      </c>
      <c r="H2859" s="3" t="str">
        <f>_xlfn.IFNA(INDEX(RulebookFields!C2:C999, MATCH(D2859,RulebookFields!A2:A999, 0)), "")</f>
        <v>RequirementSatisfactions</v>
      </c>
      <c r="I2859" s="3" t="str">
        <f>_xlfn.IFNA(INDEX(RulebookFields!D2:D999, MATCH(D2859,RulebookFields!A2:A999, 0)), "")</f>
        <v>IsHumanEvaluated</v>
      </c>
      <c r="J2859" s="3" t="b">
        <f>_xlfn.IFNA(INDEX(RulebookFields!I2:I999, MATCH(D2859,RulebookFields!A2:A999, 0)), "")</f>
        <v>1</v>
      </c>
      <c r="K2859" s="3" t="b">
        <f>AND(F2859, J2859)</f>
        <v>0</v>
      </c>
      <c r="L2859" s="3" t="b">
        <f>AND(G2859 &lt;&gt; "plain", G2859 &lt;&gt; "")</f>
        <v>0</v>
      </c>
      <c r="M2859" s="3" t="str">
        <f>IF(E2859, C2859 &amp; "|" &amp; H2859, "")</f>
        <v>principal-knowledge-authority|RequirementSatisfactions</v>
      </c>
      <c r="N2859" s="2" t="s">
        <v>9938</v>
      </c>
    </row>
    <row r="2860">
      <c r="A2860" s="2" t="s">
        <v>12796</v>
      </c>
      <c r="B2860" s="3" t="str">
        <f>C2860 &amp; " -&gt; " &amp; D2860</f>
        <v>principal-knowledge-authority -&gt; RequirementSatisfactions.RequirementIsApprovalType</v>
      </c>
      <c r="C2860" s="2" t="s">
        <v>9708</v>
      </c>
      <c r="D2860" s="2" t="s">
        <v>3742</v>
      </c>
      <c r="E2860" s="2" t="b">
        <v>1</v>
      </c>
      <c r="F2860" s="2" t="b">
        <v>0</v>
      </c>
      <c r="G2860" s="2" t="s">
        <v>9937</v>
      </c>
      <c r="H2860" s="3" t="str">
        <f>_xlfn.IFNA(INDEX(RulebookFields!C2:C999, MATCH(D2860,RulebookFields!A2:A999, 0)), "")</f>
        <v>RequirementSatisfactions</v>
      </c>
      <c r="I2860" s="3" t="str">
        <f>_xlfn.IFNA(INDEX(RulebookFields!D2:D999, MATCH(D2860,RulebookFields!A2:A999, 0)), "")</f>
        <v>RequirementIsApprovalType</v>
      </c>
      <c r="J2860" s="3" t="b">
        <f>_xlfn.IFNA(INDEX(RulebookFields!I2:I999, MATCH(D2860,RulebookFields!A2:A999, 0)), "")</f>
        <v>1</v>
      </c>
      <c r="K2860" s="3" t="b">
        <f>AND(F2860, J2860)</f>
        <v>0</v>
      </c>
      <c r="L2860" s="3" t="b">
        <f>AND(G2860 &lt;&gt; "plain", G2860 &lt;&gt; "")</f>
        <v>0</v>
      </c>
      <c r="M2860" s="3" t="str">
        <f>IF(E2860, C2860 &amp; "|" &amp; H2860, "")</f>
        <v>principal-knowledge-authority|RequirementSatisfactions</v>
      </c>
      <c r="N2860" s="2" t="s">
        <v>9938</v>
      </c>
    </row>
    <row r="2861">
      <c r="A2861" s="2" t="s">
        <v>12797</v>
      </c>
      <c r="B2861" s="3" t="str">
        <f>C2861 &amp; " -&gt; " &amp; D2861</f>
        <v>principal-knowledge-authority -&gt; RequirementSatisfactions.IsInvalidApproval</v>
      </c>
      <c r="C2861" s="2" t="s">
        <v>9708</v>
      </c>
      <c r="D2861" s="2" t="s">
        <v>3744</v>
      </c>
      <c r="E2861" s="2" t="b">
        <v>1</v>
      </c>
      <c r="F2861" s="2" t="b">
        <v>0</v>
      </c>
      <c r="G2861" s="2" t="s">
        <v>9937</v>
      </c>
      <c r="H2861" s="3" t="str">
        <f>_xlfn.IFNA(INDEX(RulebookFields!C2:C999, MATCH(D2861,RulebookFields!A2:A999, 0)), "")</f>
        <v>RequirementSatisfactions</v>
      </c>
      <c r="I2861" s="3" t="str">
        <f>_xlfn.IFNA(INDEX(RulebookFields!D2:D999, MATCH(D2861,RulebookFields!A2:A999, 0)), "")</f>
        <v>IsInvalidApproval</v>
      </c>
      <c r="J2861" s="3" t="b">
        <f>_xlfn.IFNA(INDEX(RulebookFields!I2:I999, MATCH(D2861,RulebookFields!A2:A999, 0)), "")</f>
        <v>1</v>
      </c>
      <c r="K2861" s="3" t="b">
        <f>AND(F2861, J2861)</f>
        <v>0</v>
      </c>
      <c r="L2861" s="3" t="b">
        <f>AND(G2861 &lt;&gt; "plain", G2861 &lt;&gt; "")</f>
        <v>0</v>
      </c>
      <c r="M2861" s="3" t="str">
        <f>IF(E2861, C2861 &amp; "|" &amp; H2861, "")</f>
        <v>principal-knowledge-authority|RequirementSatisfactions</v>
      </c>
      <c r="N2861" s="2" t="s">
        <v>9938</v>
      </c>
    </row>
    <row r="2862">
      <c r="A2862" s="2" t="s">
        <v>12798</v>
      </c>
      <c r="B2862" s="3" t="str">
        <f>C2862 &amp; " -&gt; " &amp; D2862</f>
        <v>principal-knowledge-authority -&gt; RequirementSatisfactions.ProcedureExecutionOfSatisfaction</v>
      </c>
      <c r="C2862" s="2" t="s">
        <v>9708</v>
      </c>
      <c r="D2862" s="2" t="s">
        <v>3746</v>
      </c>
      <c r="E2862" s="2" t="b">
        <v>1</v>
      </c>
      <c r="F2862" s="2" t="b">
        <v>0</v>
      </c>
      <c r="G2862" s="2" t="s">
        <v>9937</v>
      </c>
      <c r="H2862" s="3" t="str">
        <f>_xlfn.IFNA(INDEX(RulebookFields!C2:C999, MATCH(D2862,RulebookFields!A2:A999, 0)), "")</f>
        <v>RequirementSatisfactions</v>
      </c>
      <c r="I2862" s="3" t="str">
        <f>_xlfn.IFNA(INDEX(RulebookFields!D2:D999, MATCH(D2862,RulebookFields!A2:A999, 0)), "")</f>
        <v>ProcedureExecutionOfSatisfaction</v>
      </c>
      <c r="J2862" s="3" t="b">
        <f>_xlfn.IFNA(INDEX(RulebookFields!I2:I999, MATCH(D2862,RulebookFields!A2:A999, 0)), "")</f>
        <v>1</v>
      </c>
      <c r="K2862" s="3" t="b">
        <f>AND(F2862, J2862)</f>
        <v>0</v>
      </c>
      <c r="L2862" s="3" t="b">
        <f>AND(G2862 &lt;&gt; "plain", G2862 &lt;&gt; "")</f>
        <v>0</v>
      </c>
      <c r="M2862" s="3" t="str">
        <f>IF(E2862, C2862 &amp; "|" &amp; H2862, "")</f>
        <v>principal-knowledge-authority|RequirementSatisfactions</v>
      </c>
      <c r="N2862" s="2" t="s">
        <v>9938</v>
      </c>
    </row>
    <row r="2863">
      <c r="A2863" s="2" t="s">
        <v>12799</v>
      </c>
      <c r="B2863" s="3" t="str">
        <f>C2863 &amp; " -&gt; " &amp; D2863</f>
        <v>principal-knowledge-authority -&gt; RequirementSatisfactions.RunWhenInvalidApproval</v>
      </c>
      <c r="C2863" s="2" t="s">
        <v>9708</v>
      </c>
      <c r="D2863" s="2" t="s">
        <v>3747</v>
      </c>
      <c r="E2863" s="2" t="b">
        <v>1</v>
      </c>
      <c r="F2863" s="2" t="b">
        <v>0</v>
      </c>
      <c r="G2863" s="2" t="s">
        <v>9937</v>
      </c>
      <c r="H2863" s="3" t="str">
        <f>_xlfn.IFNA(INDEX(RulebookFields!C2:C999, MATCH(D2863,RulebookFields!A2:A999, 0)), "")</f>
        <v>RequirementSatisfactions</v>
      </c>
      <c r="I2863" s="3" t="str">
        <f>_xlfn.IFNA(INDEX(RulebookFields!D2:D999, MATCH(D2863,RulebookFields!A2:A999, 0)), "")</f>
        <v>RunWhenInvalidApproval</v>
      </c>
      <c r="J2863" s="3" t="b">
        <f>_xlfn.IFNA(INDEX(RulebookFields!I2:I999, MATCH(D2863,RulebookFields!A2:A999, 0)), "")</f>
        <v>1</v>
      </c>
      <c r="K2863" s="3" t="b">
        <f>AND(F2863, J2863)</f>
        <v>0</v>
      </c>
      <c r="L2863" s="3" t="b">
        <f>AND(G2863 &lt;&gt; "plain", G2863 &lt;&gt; "")</f>
        <v>0</v>
      </c>
      <c r="M2863" s="3" t="str">
        <f>IF(E2863, C2863 &amp; "|" &amp; H2863, "")</f>
        <v>principal-knowledge-authority|RequirementSatisfactions</v>
      </c>
      <c r="N2863" s="2" t="s">
        <v>9938</v>
      </c>
    </row>
    <row r="2864">
      <c r="A2864" s="2" t="s">
        <v>12800</v>
      </c>
      <c r="B2864" s="3" t="str">
        <f>C2864 &amp; " -&gt; " &amp; D2864</f>
        <v>principal-knowledge-authority -&gt; RequirementSatisfactions.RequirementIsUnfalsified</v>
      </c>
      <c r="C2864" s="2" t="s">
        <v>9708</v>
      </c>
      <c r="D2864" s="2" t="s">
        <v>3749</v>
      </c>
      <c r="E2864" s="2" t="b">
        <v>1</v>
      </c>
      <c r="F2864" s="2" t="b">
        <v>0</v>
      </c>
      <c r="G2864" s="2" t="s">
        <v>9937</v>
      </c>
      <c r="H2864" s="3" t="str">
        <f>_xlfn.IFNA(INDEX(RulebookFields!C2:C999, MATCH(D2864,RulebookFields!A2:A999, 0)), "")</f>
        <v>RequirementSatisfactions</v>
      </c>
      <c r="I2864" s="3" t="str">
        <f>_xlfn.IFNA(INDEX(RulebookFields!D2:D999, MATCH(D2864,RulebookFields!A2:A999, 0)), "")</f>
        <v>RequirementIsUnfalsified</v>
      </c>
      <c r="J2864" s="3" t="b">
        <f>_xlfn.IFNA(INDEX(RulebookFields!I2:I999, MATCH(D2864,RulebookFields!A2:A999, 0)), "")</f>
        <v>1</v>
      </c>
      <c r="K2864" s="3" t="b">
        <f>AND(F2864, J2864)</f>
        <v>0</v>
      </c>
      <c r="L2864" s="3" t="b">
        <f>AND(G2864 &lt;&gt; "plain", G2864 &lt;&gt; "")</f>
        <v>0</v>
      </c>
      <c r="M2864" s="3" t="str">
        <f>IF(E2864, C2864 &amp; "|" &amp; H2864, "")</f>
        <v>principal-knowledge-authority|RequirementSatisfactions</v>
      </c>
      <c r="N2864" s="2" t="s">
        <v>9938</v>
      </c>
    </row>
    <row r="2865">
      <c r="A2865" s="2" t="s">
        <v>12801</v>
      </c>
      <c r="B2865" s="3" t="str">
        <f>C2865 &amp; " -&gt; " &amp; D2865</f>
        <v>principal-knowledge-authority -&gt; RequirementSatisfactions.IsClearanceByUnfalsifiedControl</v>
      </c>
      <c r="C2865" s="2" t="s">
        <v>9708</v>
      </c>
      <c r="D2865" s="2" t="s">
        <v>3751</v>
      </c>
      <c r="E2865" s="2" t="b">
        <v>1</v>
      </c>
      <c r="F2865" s="2" t="b">
        <v>0</v>
      </c>
      <c r="G2865" s="2" t="s">
        <v>9937</v>
      </c>
      <c r="H2865" s="3" t="str">
        <f>_xlfn.IFNA(INDEX(RulebookFields!C2:C999, MATCH(D2865,RulebookFields!A2:A999, 0)), "")</f>
        <v>RequirementSatisfactions</v>
      </c>
      <c r="I2865" s="3" t="str">
        <f>_xlfn.IFNA(INDEX(RulebookFields!D2:D999, MATCH(D2865,RulebookFields!A2:A999, 0)), "")</f>
        <v>IsClearanceByUnfalsifiedControl</v>
      </c>
      <c r="J2865" s="3" t="b">
        <f>_xlfn.IFNA(INDEX(RulebookFields!I2:I999, MATCH(D2865,RulebookFields!A2:A999, 0)), "")</f>
        <v>1</v>
      </c>
      <c r="K2865" s="3" t="b">
        <f>AND(F2865, J2865)</f>
        <v>0</v>
      </c>
      <c r="L2865" s="3" t="b">
        <f>AND(G2865 &lt;&gt; "plain", G2865 &lt;&gt; "")</f>
        <v>0</v>
      </c>
      <c r="M2865" s="3" t="str">
        <f>IF(E2865, C2865 &amp; "|" &amp; H2865, "")</f>
        <v>principal-knowledge-authority|RequirementSatisfactions</v>
      </c>
      <c r="N2865" s="2" t="s">
        <v>9938</v>
      </c>
    </row>
    <row r="2866">
      <c r="A2866" s="2" t="s">
        <v>12802</v>
      </c>
      <c r="B2866" s="3" t="str">
        <f>C2866 &amp; " -&gt; " &amp; D2866</f>
        <v>principal-knowledge-authority -&gt; RequirementSatisfactions.UnfalsifiedClearanceStepKey</v>
      </c>
      <c r="C2866" s="2" t="s">
        <v>9708</v>
      </c>
      <c r="D2866" s="2" t="s">
        <v>3753</v>
      </c>
      <c r="E2866" s="2" t="b">
        <v>1</v>
      </c>
      <c r="F2866" s="2" t="b">
        <v>0</v>
      </c>
      <c r="G2866" s="2" t="s">
        <v>9937</v>
      </c>
      <c r="H2866" s="3" t="str">
        <f>_xlfn.IFNA(INDEX(RulebookFields!C2:C999, MATCH(D2866,RulebookFields!A2:A999, 0)), "")</f>
        <v>RequirementSatisfactions</v>
      </c>
      <c r="I2866" s="3" t="str">
        <f>_xlfn.IFNA(INDEX(RulebookFields!D2:D999, MATCH(D2866,RulebookFields!A2:A999, 0)), "")</f>
        <v>UnfalsifiedClearanceStepKey</v>
      </c>
      <c r="J2866" s="3" t="b">
        <f>_xlfn.IFNA(INDEX(RulebookFields!I2:I999, MATCH(D2866,RulebookFields!A2:A999, 0)), "")</f>
        <v>1</v>
      </c>
      <c r="K2866" s="3" t="b">
        <f>AND(F2866, J2866)</f>
        <v>0</v>
      </c>
      <c r="L2866" s="3" t="b">
        <f>AND(G2866 &lt;&gt; "plain", G2866 &lt;&gt; "")</f>
        <v>0</v>
      </c>
      <c r="M2866" s="3" t="str">
        <f>IF(E2866, C2866 &amp; "|" &amp; H2866, "")</f>
        <v>principal-knowledge-authority|RequirementSatisfactions</v>
      </c>
      <c r="N2866" s="2" t="s">
        <v>9938</v>
      </c>
    </row>
    <row r="2867">
      <c r="A2867" s="2" t="s">
        <v>12803</v>
      </c>
      <c r="B2867" s="3" t="str">
        <f>C2867 &amp; " -&gt; " &amp; D2867</f>
        <v>principal-knowledge-authority -&gt; RequirementSatisfactions.SpecStepOfExecution</v>
      </c>
      <c r="C2867" s="2" t="s">
        <v>9708</v>
      </c>
      <c r="D2867" s="2" t="s">
        <v>3755</v>
      </c>
      <c r="E2867" s="2" t="b">
        <v>1</v>
      </c>
      <c r="F2867" s="2" t="b">
        <v>0</v>
      </c>
      <c r="G2867" s="2" t="s">
        <v>9937</v>
      </c>
      <c r="H2867" s="3" t="str">
        <f>_xlfn.IFNA(INDEX(RulebookFields!C2:C999, MATCH(D2867,RulebookFields!A2:A999, 0)), "")</f>
        <v>RequirementSatisfactions</v>
      </c>
      <c r="I2867" s="3" t="str">
        <f>_xlfn.IFNA(INDEX(RulebookFields!D2:D999, MATCH(D2867,RulebookFields!A2:A999, 0)), "")</f>
        <v>SpecStepOfExecution</v>
      </c>
      <c r="J2867" s="3" t="b">
        <f>_xlfn.IFNA(INDEX(RulebookFields!I2:I999, MATCH(D2867,RulebookFields!A2:A999, 0)), "")</f>
        <v>1</v>
      </c>
      <c r="K2867" s="3" t="b">
        <f>AND(F2867, J2867)</f>
        <v>0</v>
      </c>
      <c r="L2867" s="3" t="b">
        <f>AND(G2867 &lt;&gt; "plain", G2867 &lt;&gt; "")</f>
        <v>0</v>
      </c>
      <c r="M2867" s="3" t="str">
        <f>IF(E2867, C2867 &amp; "|" &amp; H2867, "")</f>
        <v>principal-knowledge-authority|RequirementSatisfactions</v>
      </c>
      <c r="N2867" s="2" t="s">
        <v>9938</v>
      </c>
    </row>
    <row r="2868">
      <c r="A2868" s="2" t="s">
        <v>12804</v>
      </c>
      <c r="B2868" s="3" t="str">
        <f>C2868 &amp; " -&gt; " &amp; D2868</f>
        <v>principal-knowledge-authority -&gt; RequirementSatisfactions.BindingKey</v>
      </c>
      <c r="C2868" s="2" t="s">
        <v>9708</v>
      </c>
      <c r="D2868" s="2" t="s">
        <v>3757</v>
      </c>
      <c r="E2868" s="2" t="b">
        <v>1</v>
      </c>
      <c r="F2868" s="2" t="b">
        <v>0</v>
      </c>
      <c r="G2868" s="2" t="s">
        <v>9937</v>
      </c>
      <c r="H2868" s="3" t="str">
        <f>_xlfn.IFNA(INDEX(RulebookFields!C2:C999, MATCH(D2868,RulebookFields!A2:A999, 0)), "")</f>
        <v>RequirementSatisfactions</v>
      </c>
      <c r="I2868" s="3" t="str">
        <f>_xlfn.IFNA(INDEX(RulebookFields!D2:D999, MATCH(D2868,RulebookFields!A2:A999, 0)), "")</f>
        <v>BindingKey</v>
      </c>
      <c r="J2868" s="3" t="b">
        <f>_xlfn.IFNA(INDEX(RulebookFields!I2:I999, MATCH(D2868,RulebookFields!A2:A999, 0)), "")</f>
        <v>1</v>
      </c>
      <c r="K2868" s="3" t="b">
        <f>AND(F2868, J2868)</f>
        <v>0</v>
      </c>
      <c r="L2868" s="3" t="b">
        <f>AND(G2868 &lt;&gt; "plain", G2868 &lt;&gt; "")</f>
        <v>0</v>
      </c>
      <c r="M2868" s="3" t="str">
        <f>IF(E2868, C2868 &amp; "|" &amp; H2868, "")</f>
        <v>principal-knowledge-authority|RequirementSatisfactions</v>
      </c>
      <c r="N2868" s="2" t="s">
        <v>9938</v>
      </c>
    </row>
    <row r="2869">
      <c r="A2869" s="2" t="s">
        <v>12805</v>
      </c>
      <c r="B2869" s="3" t="str">
        <f>C2869 &amp; " -&gt; " &amp; D2869</f>
        <v>principal-knowledge-authority -&gt; RequirementSatisfactions.ScoredStepExecutorAgent</v>
      </c>
      <c r="C2869" s="2" t="s">
        <v>9708</v>
      </c>
      <c r="D2869" s="2" t="s">
        <v>3759</v>
      </c>
      <c r="E2869" s="2" t="b">
        <v>1</v>
      </c>
      <c r="F2869" s="2" t="b">
        <v>0</v>
      </c>
      <c r="G2869" s="2" t="s">
        <v>9937</v>
      </c>
      <c r="H2869" s="3" t="str">
        <f>_xlfn.IFNA(INDEX(RulebookFields!C2:C999, MATCH(D2869,RulebookFields!A2:A999, 0)), "")</f>
        <v>RequirementSatisfactions</v>
      </c>
      <c r="I2869" s="3" t="str">
        <f>_xlfn.IFNA(INDEX(RulebookFields!D2:D999, MATCH(D2869,RulebookFields!A2:A999, 0)), "")</f>
        <v>ScoredStepExecutorAgent</v>
      </c>
      <c r="J2869" s="3" t="b">
        <f>_xlfn.IFNA(INDEX(RulebookFields!I2:I999, MATCH(D2869,RulebookFields!A2:A999, 0)), "")</f>
        <v>1</v>
      </c>
      <c r="K2869" s="3" t="b">
        <f>AND(F2869, J2869)</f>
        <v>0</v>
      </c>
      <c r="L2869" s="3" t="b">
        <f>AND(G2869 &lt;&gt; "plain", G2869 &lt;&gt; "")</f>
        <v>0</v>
      </c>
      <c r="M2869" s="3" t="str">
        <f>IF(E2869, C2869 &amp; "|" &amp; H2869, "")</f>
        <v>principal-knowledge-authority|RequirementSatisfactions</v>
      </c>
      <c r="N2869" s="2" t="s">
        <v>9938</v>
      </c>
    </row>
    <row r="2870">
      <c r="A2870" s="2" t="s">
        <v>12806</v>
      </c>
      <c r="B2870" s="3" t="str">
        <f>C2870 &amp; " -&gt; " &amp; D2870</f>
        <v>principal-knowledge-authority -&gt; RequirementSatisfactions.EvaluatorIsStepExecutor</v>
      </c>
      <c r="C2870" s="2" t="s">
        <v>9708</v>
      </c>
      <c r="D2870" s="2" t="s">
        <v>3761</v>
      </c>
      <c r="E2870" s="2" t="b">
        <v>1</v>
      </c>
      <c r="F2870" s="2" t="b">
        <v>0</v>
      </c>
      <c r="G2870" s="2" t="s">
        <v>9937</v>
      </c>
      <c r="H2870" s="3" t="str">
        <f>_xlfn.IFNA(INDEX(RulebookFields!C2:C999, MATCH(D2870,RulebookFields!A2:A999, 0)), "")</f>
        <v>RequirementSatisfactions</v>
      </c>
      <c r="I2870" s="3" t="str">
        <f>_xlfn.IFNA(INDEX(RulebookFields!D2:D999, MATCH(D2870,RulebookFields!A2:A999, 0)), "")</f>
        <v>EvaluatorIsStepExecutor</v>
      </c>
      <c r="J2870" s="3" t="b">
        <f>_xlfn.IFNA(INDEX(RulebookFields!I2:I999, MATCH(D2870,RulebookFields!A2:A999, 0)), "")</f>
        <v>1</v>
      </c>
      <c r="K2870" s="3" t="b">
        <f>AND(F2870, J2870)</f>
        <v>0</v>
      </c>
      <c r="L2870" s="3" t="b">
        <f>AND(G2870 &lt;&gt; "plain", G2870 &lt;&gt; "")</f>
        <v>0</v>
      </c>
      <c r="M2870" s="3" t="str">
        <f>IF(E2870, C2870 &amp; "|" &amp; H2870, "")</f>
        <v>principal-knowledge-authority|RequirementSatisfactions</v>
      </c>
      <c r="N2870" s="2" t="s">
        <v>9938</v>
      </c>
    </row>
    <row r="2871">
      <c r="A2871" s="2" t="s">
        <v>12807</v>
      </c>
      <c r="B2871" s="3" t="str">
        <f>C2871 &amp; " -&gt; " &amp; D2871</f>
        <v>principal-knowledge-authority -&gt; RequirementSatisfactions.RunOwnerAgent</v>
      </c>
      <c r="C2871" s="2" t="s">
        <v>9708</v>
      </c>
      <c r="D2871" s="2" t="s">
        <v>3763</v>
      </c>
      <c r="E2871" s="2" t="b">
        <v>1</v>
      </c>
      <c r="F2871" s="2" t="b">
        <v>0</v>
      </c>
      <c r="G2871" s="2" t="s">
        <v>9937</v>
      </c>
      <c r="H2871" s="3" t="str">
        <f>_xlfn.IFNA(INDEX(RulebookFields!C2:C999, MATCH(D2871,RulebookFields!A2:A999, 0)), "")</f>
        <v>RequirementSatisfactions</v>
      </c>
      <c r="I2871" s="3" t="str">
        <f>_xlfn.IFNA(INDEX(RulebookFields!D2:D999, MATCH(D2871,RulebookFields!A2:A999, 0)), "")</f>
        <v>RunOwnerAgent</v>
      </c>
      <c r="J2871" s="3" t="b">
        <f>_xlfn.IFNA(INDEX(RulebookFields!I2:I999, MATCH(D2871,RulebookFields!A2:A999, 0)), "")</f>
        <v>1</v>
      </c>
      <c r="K2871" s="3" t="b">
        <f>AND(F2871, J2871)</f>
        <v>0</v>
      </c>
      <c r="L2871" s="3" t="b">
        <f>AND(G2871 &lt;&gt; "plain", G2871 &lt;&gt; "")</f>
        <v>0</v>
      </c>
      <c r="M2871" s="3" t="str">
        <f>IF(E2871, C2871 &amp; "|" &amp; H2871, "")</f>
        <v>principal-knowledge-authority|RequirementSatisfactions</v>
      </c>
      <c r="N2871" s="2" t="s">
        <v>9938</v>
      </c>
    </row>
    <row r="2872">
      <c r="A2872" s="2" t="s">
        <v>12808</v>
      </c>
      <c r="B2872" s="3" t="str">
        <f>C2872 &amp; " -&gt; " &amp; D2872</f>
        <v>principal-knowledge-authority -&gt; RequirementSatisfactions.EvaluatorOwnsTheRun</v>
      </c>
      <c r="C2872" s="2" t="s">
        <v>9708</v>
      </c>
      <c r="D2872" s="2" t="s">
        <v>3765</v>
      </c>
      <c r="E2872" s="2" t="b">
        <v>1</v>
      </c>
      <c r="F2872" s="2" t="b">
        <v>0</v>
      </c>
      <c r="G2872" s="2" t="s">
        <v>9937</v>
      </c>
      <c r="H2872" s="3" t="str">
        <f>_xlfn.IFNA(INDEX(RulebookFields!C2:C999, MATCH(D2872,RulebookFields!A2:A999, 0)), "")</f>
        <v>RequirementSatisfactions</v>
      </c>
      <c r="I2872" s="3" t="str">
        <f>_xlfn.IFNA(INDEX(RulebookFields!D2:D999, MATCH(D2872,RulebookFields!A2:A999, 0)), "")</f>
        <v>EvaluatorOwnsTheRun</v>
      </c>
      <c r="J2872" s="3" t="b">
        <f>_xlfn.IFNA(INDEX(RulebookFields!I2:I999, MATCH(D2872,RulebookFields!A2:A999, 0)), "")</f>
        <v>1</v>
      </c>
      <c r="K2872" s="3" t="b">
        <f>AND(F2872, J2872)</f>
        <v>0</v>
      </c>
      <c r="L2872" s="3" t="b">
        <f>AND(G2872 &lt;&gt; "plain", G2872 &lt;&gt; "")</f>
        <v>0</v>
      </c>
      <c r="M2872" s="3" t="str">
        <f>IF(E2872, C2872 &amp; "|" &amp; H2872, "")</f>
        <v>principal-knowledge-authority|RequirementSatisfactions</v>
      </c>
      <c r="N2872" s="2" t="s">
        <v>9938</v>
      </c>
    </row>
    <row r="2873">
      <c r="A2873" s="2" t="s">
        <v>12809</v>
      </c>
      <c r="B2873" s="3" t="str">
        <f>C2873 &amp; " -&gt; " &amp; D2873</f>
        <v>principal-knowledge-authority -&gt; RequirementSatisfactions.IsInterestedPartyAssertion</v>
      </c>
      <c r="C2873" s="2" t="s">
        <v>9708</v>
      </c>
      <c r="D2873" s="2" t="s">
        <v>3767</v>
      </c>
      <c r="E2873" s="2" t="b">
        <v>1</v>
      </c>
      <c r="F2873" s="2" t="b">
        <v>0</v>
      </c>
      <c r="G2873" s="2" t="s">
        <v>9937</v>
      </c>
      <c r="H2873" s="3" t="str">
        <f>_xlfn.IFNA(INDEX(RulebookFields!C2:C999, MATCH(D2873,RulebookFields!A2:A999, 0)), "")</f>
        <v>RequirementSatisfactions</v>
      </c>
      <c r="I2873" s="3" t="str">
        <f>_xlfn.IFNA(INDEX(RulebookFields!D2:D999, MATCH(D2873,RulebookFields!A2:A999, 0)), "")</f>
        <v>IsInterestedPartyAssertion</v>
      </c>
      <c r="J2873" s="3" t="b">
        <f>_xlfn.IFNA(INDEX(RulebookFields!I2:I999, MATCH(D2873,RulebookFields!A2:A999, 0)), "")</f>
        <v>1</v>
      </c>
      <c r="K2873" s="3" t="b">
        <f>AND(F2873, J2873)</f>
        <v>0</v>
      </c>
      <c r="L2873" s="3" t="b">
        <f>AND(G2873 &lt;&gt; "plain", G2873 &lt;&gt; "")</f>
        <v>0</v>
      </c>
      <c r="M2873" s="3" t="str">
        <f>IF(E2873, C2873 &amp; "|" &amp; H2873, "")</f>
        <v>principal-knowledge-authority|RequirementSatisfactions</v>
      </c>
      <c r="N2873" s="2" t="s">
        <v>9938</v>
      </c>
    </row>
    <row r="2874">
      <c r="A2874" s="2" t="s">
        <v>12810</v>
      </c>
      <c r="B2874" s="3" t="str">
        <f>C2874 &amp; " -&gt; " &amp; D2874</f>
        <v>principal-knowledge-authority -&gt; RequirementSatisfactions.HasWrittenEvidence</v>
      </c>
      <c r="C2874" s="2" t="s">
        <v>9708</v>
      </c>
      <c r="D2874" s="2" t="s">
        <v>3769</v>
      </c>
      <c r="E2874" s="2" t="b">
        <v>1</v>
      </c>
      <c r="F2874" s="2" t="b">
        <v>0</v>
      </c>
      <c r="G2874" s="2" t="s">
        <v>9937</v>
      </c>
      <c r="H2874" s="3" t="str">
        <f>_xlfn.IFNA(INDEX(RulebookFields!C2:C999, MATCH(D2874,RulebookFields!A2:A999, 0)), "")</f>
        <v>RequirementSatisfactions</v>
      </c>
      <c r="I2874" s="3" t="str">
        <f>_xlfn.IFNA(INDEX(RulebookFields!D2:D999, MATCH(D2874,RulebookFields!A2:A999, 0)), "")</f>
        <v>HasWrittenEvidence</v>
      </c>
      <c r="J2874" s="3" t="b">
        <f>_xlfn.IFNA(INDEX(RulebookFields!I2:I999, MATCH(D2874,RulebookFields!A2:A999, 0)), "")</f>
        <v>1</v>
      </c>
      <c r="K2874" s="3" t="b">
        <f>AND(F2874, J2874)</f>
        <v>0</v>
      </c>
      <c r="L2874" s="3" t="b">
        <f>AND(G2874 &lt;&gt; "plain", G2874 &lt;&gt; "")</f>
        <v>0</v>
      </c>
      <c r="M2874" s="3" t="str">
        <f>IF(E2874, C2874 &amp; "|" &amp; H2874, "")</f>
        <v>principal-knowledge-authority|RequirementSatisfactions</v>
      </c>
      <c r="N2874" s="2" t="s">
        <v>9938</v>
      </c>
    </row>
    <row r="2875">
      <c r="A2875" s="2" t="s">
        <v>12811</v>
      </c>
      <c r="B2875" s="3" t="str">
        <f>C2875 &amp; " -&gt; " &amp; D2875</f>
        <v>principal-knowledge-authority -&gt; RequirementSatisfactions.IsBareAssertion</v>
      </c>
      <c r="C2875" s="2" t="s">
        <v>9708</v>
      </c>
      <c r="D2875" s="2" t="s">
        <v>3771</v>
      </c>
      <c r="E2875" s="2" t="b">
        <v>1</v>
      </c>
      <c r="F2875" s="2" t="b">
        <v>0</v>
      </c>
      <c r="G2875" s="2" t="s">
        <v>9937</v>
      </c>
      <c r="H2875" s="3" t="str">
        <f>_xlfn.IFNA(INDEX(RulebookFields!C2:C999, MATCH(D2875,RulebookFields!A2:A999, 0)), "")</f>
        <v>RequirementSatisfactions</v>
      </c>
      <c r="I2875" s="3" t="str">
        <f>_xlfn.IFNA(INDEX(RulebookFields!D2:D999, MATCH(D2875,RulebookFields!A2:A999, 0)), "")</f>
        <v>IsBareAssertion</v>
      </c>
      <c r="J2875" s="3" t="b">
        <f>_xlfn.IFNA(INDEX(RulebookFields!I2:I999, MATCH(D2875,RulebookFields!A2:A999, 0)), "")</f>
        <v>1</v>
      </c>
      <c r="K2875" s="3" t="b">
        <f>AND(F2875, J2875)</f>
        <v>0</v>
      </c>
      <c r="L2875" s="3" t="b">
        <f>AND(G2875 &lt;&gt; "plain", G2875 &lt;&gt; "")</f>
        <v>0</v>
      </c>
      <c r="M2875" s="3" t="str">
        <f>IF(E2875, C2875 &amp; "|" &amp; H2875, "")</f>
        <v>principal-knowledge-authority|RequirementSatisfactions</v>
      </c>
      <c r="N2875" s="2" t="s">
        <v>9938</v>
      </c>
    </row>
    <row r="2876">
      <c r="A2876" s="2" t="s">
        <v>12812</v>
      </c>
      <c r="B2876" s="3" t="str">
        <f>C2876 &amp; " -&gt; " &amp; D2876</f>
        <v>principal-knowledge-authority -&gt; RequirementSatisfactions.InterestedAssertionExecutionKey</v>
      </c>
      <c r="C2876" s="2" t="s">
        <v>9708</v>
      </c>
      <c r="D2876" s="2" t="s">
        <v>3773</v>
      </c>
      <c r="E2876" s="2" t="b">
        <v>1</v>
      </c>
      <c r="F2876" s="2" t="b">
        <v>0</v>
      </c>
      <c r="G2876" s="2" t="s">
        <v>9937</v>
      </c>
      <c r="H2876" s="3" t="str">
        <f>_xlfn.IFNA(INDEX(RulebookFields!C2:C999, MATCH(D2876,RulebookFields!A2:A999, 0)), "")</f>
        <v>RequirementSatisfactions</v>
      </c>
      <c r="I2876" s="3" t="str">
        <f>_xlfn.IFNA(INDEX(RulebookFields!D2:D999, MATCH(D2876,RulebookFields!A2:A999, 0)), "")</f>
        <v>InterestedAssertionExecutionKey</v>
      </c>
      <c r="J2876" s="3" t="b">
        <f>_xlfn.IFNA(INDEX(RulebookFields!I2:I999, MATCH(D2876,RulebookFields!A2:A999, 0)), "")</f>
        <v>1</v>
      </c>
      <c r="K2876" s="3" t="b">
        <f>AND(F2876, J2876)</f>
        <v>0</v>
      </c>
      <c r="L2876" s="3" t="b">
        <f>AND(G2876 &lt;&gt; "plain", G2876 &lt;&gt; "")</f>
        <v>0</v>
      </c>
      <c r="M2876" s="3" t="str">
        <f>IF(E2876, C2876 &amp; "|" &amp; H2876, "")</f>
        <v>principal-knowledge-authority|RequirementSatisfactions</v>
      </c>
      <c r="N2876" s="2" t="s">
        <v>9938</v>
      </c>
    </row>
    <row r="2877">
      <c r="A2877" s="2" t="s">
        <v>12813</v>
      </c>
      <c r="B2877" s="3" t="str">
        <f>C2877 &amp; " -&gt; " &amp; D2877</f>
        <v>principal-knowledge-authority -&gt; RequirementSatisfactions.IsComputedlyWitnessed</v>
      </c>
      <c r="C2877" s="2" t="s">
        <v>9708</v>
      </c>
      <c r="D2877" s="2" t="s">
        <v>3775</v>
      </c>
      <c r="E2877" s="2" t="b">
        <v>1</v>
      </c>
      <c r="F2877" s="2" t="b">
        <v>0</v>
      </c>
      <c r="G2877" s="2" t="s">
        <v>9937</v>
      </c>
      <c r="H2877" s="3" t="str">
        <f>_xlfn.IFNA(INDEX(RulebookFields!C2:C999, MATCH(D2877,RulebookFields!A2:A999, 0)), "")</f>
        <v>RequirementSatisfactions</v>
      </c>
      <c r="I2877" s="3" t="str">
        <f>_xlfn.IFNA(INDEX(RulebookFields!D2:D999, MATCH(D2877,RulebookFields!A2:A999, 0)), "")</f>
        <v>IsComputedlyWitnessed</v>
      </c>
      <c r="J2877" s="3" t="b">
        <f>_xlfn.IFNA(INDEX(RulebookFields!I2:I999, MATCH(D2877,RulebookFields!A2:A999, 0)), "")</f>
        <v>1</v>
      </c>
      <c r="K2877" s="3" t="b">
        <f>AND(F2877, J2877)</f>
        <v>0</v>
      </c>
      <c r="L2877" s="3" t="b">
        <f>AND(G2877 &lt;&gt; "plain", G2877 &lt;&gt; "")</f>
        <v>0</v>
      </c>
      <c r="M2877" s="3" t="str">
        <f>IF(E2877, C2877 &amp; "|" &amp; H2877, "")</f>
        <v>principal-knowledge-authority|RequirementSatisfactions</v>
      </c>
      <c r="N2877" s="2" t="s">
        <v>9938</v>
      </c>
    </row>
    <row r="2878">
      <c r="A2878" s="2" t="s">
        <v>12814</v>
      </c>
      <c r="B2878" s="3" t="str">
        <f>C2878 &amp; " -&gt; " &amp; D2878</f>
        <v>principal-knowledge-authority -&gt; RequirementSatisfactions.ComputedWitnessExecutionKey</v>
      </c>
      <c r="C2878" s="2" t="s">
        <v>9708</v>
      </c>
      <c r="D2878" s="2" t="s">
        <v>3777</v>
      </c>
      <c r="E2878" s="2" t="b">
        <v>1</v>
      </c>
      <c r="F2878" s="2" t="b">
        <v>0</v>
      </c>
      <c r="G2878" s="2" t="s">
        <v>9937</v>
      </c>
      <c r="H2878" s="3" t="str">
        <f>_xlfn.IFNA(INDEX(RulebookFields!C2:C999, MATCH(D2878,RulebookFields!A2:A999, 0)), "")</f>
        <v>RequirementSatisfactions</v>
      </c>
      <c r="I2878" s="3" t="str">
        <f>_xlfn.IFNA(INDEX(RulebookFields!D2:D999, MATCH(D2878,RulebookFields!A2:A999, 0)), "")</f>
        <v>ComputedWitnessExecutionKey</v>
      </c>
      <c r="J2878" s="3" t="b">
        <f>_xlfn.IFNA(INDEX(RulebookFields!I2:I999, MATCH(D2878,RulebookFields!A2:A999, 0)), "")</f>
        <v>1</v>
      </c>
      <c r="K2878" s="3" t="b">
        <f>AND(F2878, J2878)</f>
        <v>0</v>
      </c>
      <c r="L2878" s="3" t="b">
        <f>AND(G2878 &lt;&gt; "plain", G2878 &lt;&gt; "")</f>
        <v>0</v>
      </c>
      <c r="M2878" s="3" t="str">
        <f>IF(E2878, C2878 &amp; "|" &amp; H2878, "")</f>
        <v>principal-knowledge-authority|RequirementSatisfactions</v>
      </c>
      <c r="N2878" s="2" t="s">
        <v>9938</v>
      </c>
    </row>
    <row r="2879">
      <c r="A2879" s="2" t="s">
        <v>12815</v>
      </c>
      <c r="B2879" s="3" t="str">
        <f>C2879 &amp; " -&gt; " &amp; D2879</f>
        <v>principal-knowledge-authority -&gt; RequirementSatisfactions.StepExecutorAgent</v>
      </c>
      <c r="C2879" s="2" t="s">
        <v>9708</v>
      </c>
      <c r="D2879" s="2" t="s">
        <v>3779</v>
      </c>
      <c r="E2879" s="2" t="b">
        <v>1</v>
      </c>
      <c r="F2879" s="2" t="b">
        <v>0</v>
      </c>
      <c r="G2879" s="2" t="s">
        <v>9937</v>
      </c>
      <c r="H2879" s="3" t="str">
        <f>_xlfn.IFNA(INDEX(RulebookFields!C2:C999, MATCH(D2879,RulebookFields!A2:A999, 0)), "")</f>
        <v>RequirementSatisfactions</v>
      </c>
      <c r="I2879" s="3" t="str">
        <f>_xlfn.IFNA(INDEX(RulebookFields!D2:D999, MATCH(D2879,RulebookFields!A2:A999, 0)), "")</f>
        <v>StepExecutorAgent</v>
      </c>
      <c r="J2879" s="3" t="b">
        <f>_xlfn.IFNA(INDEX(RulebookFields!I2:I999, MATCH(D2879,RulebookFields!A2:A999, 0)), "")</f>
        <v>1</v>
      </c>
      <c r="K2879" s="3" t="b">
        <f>AND(F2879, J2879)</f>
        <v>0</v>
      </c>
      <c r="L2879" s="3" t="b">
        <f>AND(G2879 &lt;&gt; "plain", G2879 &lt;&gt; "")</f>
        <v>0</v>
      </c>
      <c r="M2879" s="3" t="str">
        <f>IF(E2879, C2879 &amp; "|" &amp; H2879, "")</f>
        <v>principal-knowledge-authority|RequirementSatisfactions</v>
      </c>
      <c r="N2879" s="2" t="s">
        <v>9938</v>
      </c>
    </row>
    <row r="2880">
      <c r="A2880" s="2" t="s">
        <v>12816</v>
      </c>
      <c r="B2880" s="3" t="str">
        <f>C2880 &amp; " -&gt; " &amp; D2880</f>
        <v>principal-knowledge-authority -&gt; RequirementSatisfactions.WasScoredAfterAttestation</v>
      </c>
      <c r="C2880" s="2" t="s">
        <v>9708</v>
      </c>
      <c r="D2880" s="2" t="s">
        <v>3780</v>
      </c>
      <c r="E2880" s="2" t="b">
        <v>1</v>
      </c>
      <c r="F2880" s="2" t="b">
        <v>0</v>
      </c>
      <c r="G2880" s="2" t="s">
        <v>9937</v>
      </c>
      <c r="H2880" s="3" t="str">
        <f>_xlfn.IFNA(INDEX(RulebookFields!C2:C999, MATCH(D2880,RulebookFields!A2:A999, 0)), "")</f>
        <v>RequirementSatisfactions</v>
      </c>
      <c r="I2880" s="3" t="str">
        <f>_xlfn.IFNA(INDEX(RulebookFields!D2:D999, MATCH(D2880,RulebookFields!A2:A999, 0)), "")</f>
        <v>WasScoredAfterAttestation</v>
      </c>
      <c r="J2880" s="3" t="b">
        <f>_xlfn.IFNA(INDEX(RulebookFields!I2:I999, MATCH(D2880,RulebookFields!A2:A999, 0)), "")</f>
        <v>1</v>
      </c>
      <c r="K2880" s="3" t="b">
        <f>AND(F2880, J2880)</f>
        <v>0</v>
      </c>
      <c r="L2880" s="3" t="b">
        <f>AND(G2880 &lt;&gt; "plain", G2880 &lt;&gt; "")</f>
        <v>0</v>
      </c>
      <c r="M2880" s="3" t="str">
        <f>IF(E2880, C2880 &amp; "|" &amp; H2880, "")</f>
        <v>principal-knowledge-authority|RequirementSatisfactions</v>
      </c>
      <c r="N2880" s="2" t="s">
        <v>9938</v>
      </c>
    </row>
    <row r="2881">
      <c r="A2881" s="2" t="s">
        <v>12817</v>
      </c>
      <c r="B2881" s="3" t="str">
        <f>C2881 &amp; " -&gt; " &amp; D2881</f>
        <v>principal-knowledge-authority -&gt; RequirementSatisfactions.AttestationInstantForRun</v>
      </c>
      <c r="C2881" s="2" t="s">
        <v>9708</v>
      </c>
      <c r="D2881" s="2" t="s">
        <v>3782</v>
      </c>
      <c r="E2881" s="2" t="b">
        <v>1</v>
      </c>
      <c r="F2881" s="2" t="b">
        <v>0</v>
      </c>
      <c r="G2881" s="2" t="s">
        <v>9937</v>
      </c>
      <c r="H2881" s="3" t="str">
        <f>_xlfn.IFNA(INDEX(RulebookFields!C2:C999, MATCH(D2881,RulebookFields!A2:A999, 0)), "")</f>
        <v>RequirementSatisfactions</v>
      </c>
      <c r="I2881" s="3" t="str">
        <f>_xlfn.IFNA(INDEX(RulebookFields!D2:D999, MATCH(D2881,RulebookFields!A2:A999, 0)), "")</f>
        <v>AttestationInstantForRun</v>
      </c>
      <c r="J2881" s="3" t="b">
        <f>_xlfn.IFNA(INDEX(RulebookFields!I2:I999, MATCH(D2881,RulebookFields!A2:A999, 0)), "")</f>
        <v>1</v>
      </c>
      <c r="K2881" s="3" t="b">
        <f>AND(F2881, J2881)</f>
        <v>0</v>
      </c>
      <c r="L2881" s="3" t="b">
        <f>AND(G2881 &lt;&gt; "plain", G2881 &lt;&gt; "")</f>
        <v>0</v>
      </c>
      <c r="M2881" s="3" t="str">
        <f>IF(E2881, C2881 &amp; "|" &amp; H2881, "")</f>
        <v>principal-knowledge-authority|RequirementSatisfactions</v>
      </c>
      <c r="N2881" s="2" t="s">
        <v>9938</v>
      </c>
    </row>
    <row r="2882">
      <c r="A2882" s="2" t="s">
        <v>12818</v>
      </c>
      <c r="B2882" s="3" t="str">
        <f>C2882 &amp; " -&gt; " &amp; D2882</f>
        <v>principal-knowledge-authority -&gt; RequirementSatisfactions.PostAttestationScoreExecutionKey</v>
      </c>
      <c r="C2882" s="2" t="s">
        <v>9708</v>
      </c>
      <c r="D2882" s="2" t="s">
        <v>3784</v>
      </c>
      <c r="E2882" s="2" t="b">
        <v>1</v>
      </c>
      <c r="F2882" s="2" t="b">
        <v>0</v>
      </c>
      <c r="G2882" s="2" t="s">
        <v>9937</v>
      </c>
      <c r="H2882" s="3" t="str">
        <f>_xlfn.IFNA(INDEX(RulebookFields!C2:C999, MATCH(D2882,RulebookFields!A2:A999, 0)), "")</f>
        <v>RequirementSatisfactions</v>
      </c>
      <c r="I2882" s="3" t="str">
        <f>_xlfn.IFNA(INDEX(RulebookFields!D2:D999, MATCH(D2882,RulebookFields!A2:A999, 0)), "")</f>
        <v>PostAttestationScoreExecutionKey</v>
      </c>
      <c r="J2882" s="3" t="b">
        <f>_xlfn.IFNA(INDEX(RulebookFields!I2:I999, MATCH(D2882,RulebookFields!A2:A999, 0)), "")</f>
        <v>1</v>
      </c>
      <c r="K2882" s="3" t="b">
        <f>AND(F2882, J2882)</f>
        <v>0</v>
      </c>
      <c r="L2882" s="3" t="b">
        <f>AND(G2882 &lt;&gt; "plain", G2882 &lt;&gt; "")</f>
        <v>0</v>
      </c>
      <c r="M2882" s="3" t="str">
        <f>IF(E2882, C2882 &amp; "|" &amp; H2882, "")</f>
        <v>principal-knowledge-authority|RequirementSatisfactions</v>
      </c>
      <c r="N2882" s="2" t="s">
        <v>9938</v>
      </c>
    </row>
    <row r="2883">
      <c r="A2883" s="2" t="s">
        <v>12819</v>
      </c>
      <c r="B2883" s="3" t="str">
        <f>C2883 &amp; " -&gt; " &amp; D2883</f>
        <v>principal-knowledge-authority -&gt; RequirementSatisfactions.SemanticTypeIri</v>
      </c>
      <c r="C2883" s="2" t="s">
        <v>9708</v>
      </c>
      <c r="D2883" s="2" t="s">
        <v>3786</v>
      </c>
      <c r="E2883" s="2" t="b">
        <v>1</v>
      </c>
      <c r="F2883" s="2" t="b">
        <v>0</v>
      </c>
      <c r="G2883" s="2" t="s">
        <v>9937</v>
      </c>
      <c r="H2883" s="3" t="str">
        <f>_xlfn.IFNA(INDEX(RulebookFields!C2:C999, MATCH(D2883,RulebookFields!A2:A999, 0)), "")</f>
        <v>RequirementSatisfactions</v>
      </c>
      <c r="I2883" s="3" t="str">
        <f>_xlfn.IFNA(INDEX(RulebookFields!D2:D999, MATCH(D2883,RulebookFields!A2:A999, 0)), "")</f>
        <v>SemanticTypeIri</v>
      </c>
      <c r="J2883" s="3" t="b">
        <f>_xlfn.IFNA(INDEX(RulebookFields!I2:I999, MATCH(D2883,RulebookFields!A2:A999, 0)), "")</f>
        <v>0</v>
      </c>
      <c r="K2883" s="3" t="b">
        <f>AND(F2883, J2883)</f>
        <v>0</v>
      </c>
      <c r="L2883" s="3" t="b">
        <f>AND(G2883 &lt;&gt; "plain", G2883 &lt;&gt; "")</f>
        <v>0</v>
      </c>
      <c r="M2883" s="3" t="str">
        <f>IF(E2883, C2883 &amp; "|" &amp; H2883, "")</f>
        <v>principal-knowledge-authority|RequirementSatisfactions</v>
      </c>
      <c r="N2883" s="2" t="s">
        <v>9938</v>
      </c>
    </row>
    <row r="2884">
      <c r="A2884" s="2" t="s">
        <v>12820</v>
      </c>
      <c r="B2884" s="3" t="str">
        <f>C2884 &amp; " -&gt; " &amp; D2884</f>
        <v>principal-knowledge-authority -&gt; Requirements.RequirementId</v>
      </c>
      <c r="C2884" s="2" t="s">
        <v>9708</v>
      </c>
      <c r="D2884" s="2" t="s">
        <v>2979</v>
      </c>
      <c r="E2884" s="2" t="b">
        <v>1</v>
      </c>
      <c r="F2884" s="2" t="b">
        <v>0</v>
      </c>
      <c r="G2884" s="2" t="s">
        <v>9937</v>
      </c>
      <c r="H2884" s="3" t="str">
        <f>_xlfn.IFNA(INDEX(RulebookFields!C2:C999, MATCH(D2884,RulebookFields!A2:A999, 0)), "")</f>
        <v>Requirements</v>
      </c>
      <c r="I2884" s="3" t="str">
        <f>_xlfn.IFNA(INDEX(RulebookFields!D2:D999, MATCH(D2884,RulebookFields!A2:A999, 0)), "")</f>
        <v>RequirementId</v>
      </c>
      <c r="J2884" s="3" t="b">
        <f>_xlfn.IFNA(INDEX(RulebookFields!I2:I999, MATCH(D2884,RulebookFields!A2:A999, 0)), "")</f>
        <v>0</v>
      </c>
      <c r="K2884" s="3" t="b">
        <f>AND(F2884, J2884)</f>
        <v>0</v>
      </c>
      <c r="L2884" s="3" t="b">
        <f>AND(G2884 &lt;&gt; "plain", G2884 &lt;&gt; "")</f>
        <v>0</v>
      </c>
      <c r="M2884" s="3" t="str">
        <f>IF(E2884, C2884 &amp; "|" &amp; H2884, "")</f>
        <v>principal-knowledge-authority|Requirements</v>
      </c>
      <c r="N2884" s="2" t="s">
        <v>9938</v>
      </c>
    </row>
    <row r="2885">
      <c r="A2885" s="2" t="s">
        <v>12821</v>
      </c>
      <c r="B2885" s="3" t="str">
        <f>C2885 &amp; " -&gt; " &amp; D2885</f>
        <v>principal-knowledge-authority -&gt; Requirements.Name</v>
      </c>
      <c r="C2885" s="2" t="s">
        <v>9708</v>
      </c>
      <c r="D2885" s="2" t="s">
        <v>2980</v>
      </c>
      <c r="E2885" s="2" t="b">
        <v>1</v>
      </c>
      <c r="F2885" s="2" t="b">
        <v>0</v>
      </c>
      <c r="G2885" s="2" t="s">
        <v>9937</v>
      </c>
      <c r="H2885" s="3" t="str">
        <f>_xlfn.IFNA(INDEX(RulebookFields!C2:C999, MATCH(D2885,RulebookFields!A2:A999, 0)), "")</f>
        <v>Requirements</v>
      </c>
      <c r="I2885" s="3" t="str">
        <f>_xlfn.IFNA(INDEX(RulebookFields!D2:D999, MATCH(D2885,RulebookFields!A2:A999, 0)), "")</f>
        <v>Name</v>
      </c>
      <c r="J2885" s="3" t="b">
        <f>_xlfn.IFNA(INDEX(RulebookFields!I2:I999, MATCH(D2885,RulebookFields!A2:A999, 0)), "")</f>
        <v>1</v>
      </c>
      <c r="K2885" s="3" t="b">
        <f>AND(F2885, J2885)</f>
        <v>0</v>
      </c>
      <c r="L2885" s="3" t="b">
        <f>AND(G2885 &lt;&gt; "plain", G2885 &lt;&gt; "")</f>
        <v>0</v>
      </c>
      <c r="M2885" s="3" t="str">
        <f>IF(E2885, C2885 &amp; "|" &amp; H2885, "")</f>
        <v>principal-knowledge-authority|Requirements</v>
      </c>
      <c r="N2885" s="2" t="s">
        <v>9938</v>
      </c>
    </row>
    <row r="2886">
      <c r="A2886" s="2" t="s">
        <v>12822</v>
      </c>
      <c r="B2886" s="3" t="str">
        <f>C2886 &amp; " -&gt; " &amp; D2886</f>
        <v>principal-knowledge-authority -&gt; Requirements.Label</v>
      </c>
      <c r="C2886" s="2" t="s">
        <v>9708</v>
      </c>
      <c r="D2886" s="2" t="s">
        <v>2981</v>
      </c>
      <c r="E2886" s="2" t="b">
        <v>1</v>
      </c>
      <c r="F2886" s="2" t="b">
        <v>0</v>
      </c>
      <c r="G2886" s="2" t="s">
        <v>9937</v>
      </c>
      <c r="H2886" s="3" t="str">
        <f>_xlfn.IFNA(INDEX(RulebookFields!C2:C999, MATCH(D2886,RulebookFields!A2:A999, 0)), "")</f>
        <v>Requirements</v>
      </c>
      <c r="I2886" s="3" t="str">
        <f>_xlfn.IFNA(INDEX(RulebookFields!D2:D999, MATCH(D2886,RulebookFields!A2:A999, 0)), "")</f>
        <v>Label</v>
      </c>
      <c r="J2886" s="3" t="b">
        <f>_xlfn.IFNA(INDEX(RulebookFields!I2:I999, MATCH(D2886,RulebookFields!A2:A999, 0)), "")</f>
        <v>0</v>
      </c>
      <c r="K2886" s="3" t="b">
        <f>AND(F2886, J2886)</f>
        <v>0</v>
      </c>
      <c r="L2886" s="3" t="b">
        <f>AND(G2886 &lt;&gt; "plain", G2886 &lt;&gt; "")</f>
        <v>0</v>
      </c>
      <c r="M2886" s="3" t="str">
        <f>IF(E2886, C2886 &amp; "|" &amp; H2886, "")</f>
        <v>principal-knowledge-authority|Requirements</v>
      </c>
      <c r="N2886" s="2" t="s">
        <v>9938</v>
      </c>
    </row>
    <row r="2887">
      <c r="A2887" s="2" t="s">
        <v>12823</v>
      </c>
      <c r="B2887" s="3" t="str">
        <f>C2887 &amp; " -&gt; " &amp; D2887</f>
        <v>principal-knowledge-authority -&gt; Requirements.RequirementType</v>
      </c>
      <c r="C2887" s="2" t="s">
        <v>9708</v>
      </c>
      <c r="D2887" s="2" t="s">
        <v>2982</v>
      </c>
      <c r="E2887" s="2" t="b">
        <v>1</v>
      </c>
      <c r="F2887" s="2" t="b">
        <v>0</v>
      </c>
      <c r="G2887" s="2" t="s">
        <v>9937</v>
      </c>
      <c r="H2887" s="3" t="str">
        <f>_xlfn.IFNA(INDEX(RulebookFields!C2:C999, MATCH(D2887,RulebookFields!A2:A999, 0)), "")</f>
        <v>Requirements</v>
      </c>
      <c r="I2887" s="3" t="str">
        <f>_xlfn.IFNA(INDEX(RulebookFields!D2:D999, MATCH(D2887,RulebookFields!A2:A999, 0)), "")</f>
        <v>RequirementType</v>
      </c>
      <c r="J2887" s="3" t="b">
        <f>_xlfn.IFNA(INDEX(RulebookFields!I2:I999, MATCH(D2887,RulebookFields!A2:A999, 0)), "")</f>
        <v>0</v>
      </c>
      <c r="K2887" s="3" t="b">
        <f>AND(F2887, J2887)</f>
        <v>0</v>
      </c>
      <c r="L2887" s="3" t="b">
        <f>AND(G2887 &lt;&gt; "plain", G2887 &lt;&gt; "")</f>
        <v>0</v>
      </c>
      <c r="M2887" s="3" t="str">
        <f>IF(E2887, C2887 &amp; "|" &amp; H2887, "")</f>
        <v>principal-knowledge-authority|Requirements</v>
      </c>
      <c r="N2887" s="2" t="s">
        <v>9938</v>
      </c>
    </row>
    <row r="2888">
      <c r="A2888" s="2" t="s">
        <v>12824</v>
      </c>
      <c r="B2888" s="3" t="str">
        <f>C2888 &amp; " -&gt; " &amp; D2888</f>
        <v>principal-knowledge-authority -&gt; Requirements.Statement</v>
      </c>
      <c r="C2888" s="2" t="s">
        <v>9708</v>
      </c>
      <c r="D2888" s="2" t="s">
        <v>2983</v>
      </c>
      <c r="E2888" s="2" t="b">
        <v>1</v>
      </c>
      <c r="F2888" s="2" t="b">
        <v>0</v>
      </c>
      <c r="G2888" s="2" t="s">
        <v>9937</v>
      </c>
      <c r="H2888" s="3" t="str">
        <f>_xlfn.IFNA(INDEX(RulebookFields!C2:C999, MATCH(D2888,RulebookFields!A2:A999, 0)), "")</f>
        <v>Requirements</v>
      </c>
      <c r="I2888" s="3" t="str">
        <f>_xlfn.IFNA(INDEX(RulebookFields!D2:D999, MATCH(D2888,RulebookFields!A2:A999, 0)), "")</f>
        <v>Statement</v>
      </c>
      <c r="J2888" s="3" t="b">
        <f>_xlfn.IFNA(INDEX(RulebookFields!I2:I999, MATCH(D2888,RulebookFields!A2:A999, 0)), "")</f>
        <v>0</v>
      </c>
      <c r="K2888" s="3" t="b">
        <f>AND(F2888, J2888)</f>
        <v>0</v>
      </c>
      <c r="L2888" s="3" t="b">
        <f>AND(G2888 &lt;&gt; "plain", G2888 &lt;&gt; "")</f>
        <v>0</v>
      </c>
      <c r="M2888" s="3" t="str">
        <f>IF(E2888, C2888 &amp; "|" &amp; H2888, "")</f>
        <v>principal-knowledge-authority|Requirements</v>
      </c>
      <c r="N2888" s="2" t="s">
        <v>9938</v>
      </c>
    </row>
    <row r="2889">
      <c r="A2889" s="2" t="s">
        <v>12825</v>
      </c>
      <c r="B2889" s="3" t="str">
        <f>C2889 &amp; " -&gt; " &amp; D2889</f>
        <v>principal-knowledge-authority -&gt; Requirements.Rationale</v>
      </c>
      <c r="C2889" s="2" t="s">
        <v>9708</v>
      </c>
      <c r="D2889" s="2" t="s">
        <v>2984</v>
      </c>
      <c r="E2889" s="2" t="b">
        <v>1</v>
      </c>
      <c r="F2889" s="2" t="b">
        <v>0</v>
      </c>
      <c r="G2889" s="2" t="s">
        <v>9937</v>
      </c>
      <c r="H2889" s="3" t="str">
        <f>_xlfn.IFNA(INDEX(RulebookFields!C2:C999, MATCH(D2889,RulebookFields!A2:A999, 0)), "")</f>
        <v>Requirements</v>
      </c>
      <c r="I2889" s="3" t="str">
        <f>_xlfn.IFNA(INDEX(RulebookFields!D2:D999, MATCH(D2889,RulebookFields!A2:A999, 0)), "")</f>
        <v>Rationale</v>
      </c>
      <c r="J2889" s="3" t="b">
        <f>_xlfn.IFNA(INDEX(RulebookFields!I2:I999, MATCH(D2889,RulebookFields!A2:A999, 0)), "")</f>
        <v>0</v>
      </c>
      <c r="K2889" s="3" t="b">
        <f>AND(F2889, J2889)</f>
        <v>0</v>
      </c>
      <c r="L2889" s="3" t="b">
        <f>AND(G2889 &lt;&gt; "plain", G2889 &lt;&gt; "")</f>
        <v>0</v>
      </c>
      <c r="M2889" s="3" t="str">
        <f>IF(E2889, C2889 &amp; "|" &amp; H2889, "")</f>
        <v>principal-knowledge-authority|Requirements</v>
      </c>
      <c r="N2889" s="2" t="s">
        <v>9938</v>
      </c>
    </row>
    <row r="2890">
      <c r="A2890" s="2" t="s">
        <v>12826</v>
      </c>
      <c r="B2890" s="3" t="str">
        <f>C2890 &amp; " -&gt; " &amp; D2890</f>
        <v>principal-knowledge-authority -&gt; Requirements.IsBlocking</v>
      </c>
      <c r="C2890" s="2" t="s">
        <v>9708</v>
      </c>
      <c r="D2890" s="2" t="s">
        <v>2985</v>
      </c>
      <c r="E2890" s="2" t="b">
        <v>1</v>
      </c>
      <c r="F2890" s="2" t="b">
        <v>0</v>
      </c>
      <c r="G2890" s="2" t="s">
        <v>9937</v>
      </c>
      <c r="H2890" s="3" t="str">
        <f>_xlfn.IFNA(INDEX(RulebookFields!C2:C999, MATCH(D2890,RulebookFields!A2:A999, 0)), "")</f>
        <v>Requirements</v>
      </c>
      <c r="I2890" s="3" t="str">
        <f>_xlfn.IFNA(INDEX(RulebookFields!D2:D999, MATCH(D2890,RulebookFields!A2:A999, 0)), "")</f>
        <v>IsBlocking</v>
      </c>
      <c r="J2890" s="3" t="b">
        <f>_xlfn.IFNA(INDEX(RulebookFields!I2:I999, MATCH(D2890,RulebookFields!A2:A999, 0)), "")</f>
        <v>0</v>
      </c>
      <c r="K2890" s="3" t="b">
        <f>AND(F2890, J2890)</f>
        <v>0</v>
      </c>
      <c r="L2890" s="3" t="b">
        <f>AND(G2890 &lt;&gt; "plain", G2890 &lt;&gt; "")</f>
        <v>0</v>
      </c>
      <c r="M2890" s="3" t="str">
        <f>IF(E2890, C2890 &amp; "|" &amp; H2890, "")</f>
        <v>principal-knowledge-authority|Requirements</v>
      </c>
      <c r="N2890" s="2" t="s">
        <v>9938</v>
      </c>
    </row>
    <row r="2891">
      <c r="A2891" s="2" t="s">
        <v>12827</v>
      </c>
      <c r="B2891" s="3" t="str">
        <f>C2891 &amp; " -&gt; " &amp; D2891</f>
        <v>principal-knowledge-authority -&gt; Requirements.SatisfactionRecordCount</v>
      </c>
      <c r="C2891" s="2" t="s">
        <v>9708</v>
      </c>
      <c r="D2891" s="2" t="s">
        <v>2986</v>
      </c>
      <c r="E2891" s="2" t="b">
        <v>1</v>
      </c>
      <c r="F2891" s="2" t="b">
        <v>0</v>
      </c>
      <c r="G2891" s="2" t="s">
        <v>9937</v>
      </c>
      <c r="H2891" s="3" t="str">
        <f>_xlfn.IFNA(INDEX(RulebookFields!C2:C999, MATCH(D2891,RulebookFields!A2:A999, 0)), "")</f>
        <v>Requirements</v>
      </c>
      <c r="I2891" s="3" t="str">
        <f>_xlfn.IFNA(INDEX(RulebookFields!D2:D999, MATCH(D2891,RulebookFields!A2:A999, 0)), "")</f>
        <v>SatisfactionRecordCount</v>
      </c>
      <c r="J2891" s="3" t="b">
        <f>_xlfn.IFNA(INDEX(RulebookFields!I2:I999, MATCH(D2891,RulebookFields!A2:A999, 0)), "")</f>
        <v>1</v>
      </c>
      <c r="K2891" s="3" t="b">
        <f>AND(F2891, J2891)</f>
        <v>0</v>
      </c>
      <c r="L2891" s="3" t="b">
        <f>AND(G2891 &lt;&gt; "plain", G2891 &lt;&gt; "")</f>
        <v>0</v>
      </c>
      <c r="M2891" s="3" t="str">
        <f>IF(E2891, C2891 &amp; "|" &amp; H2891, "")</f>
        <v>principal-knowledge-authority|Requirements</v>
      </c>
      <c r="N2891" s="2" t="s">
        <v>9938</v>
      </c>
    </row>
    <row r="2892">
      <c r="A2892" s="2" t="s">
        <v>12828</v>
      </c>
      <c r="B2892" s="3" t="str">
        <f>C2892 &amp; " -&gt; " &amp; D2892</f>
        <v>principal-knowledge-authority -&gt; Requirements.StepBindingCount</v>
      </c>
      <c r="C2892" s="2" t="s">
        <v>9708</v>
      </c>
      <c r="D2892" s="2" t="s">
        <v>2988</v>
      </c>
      <c r="E2892" s="2" t="b">
        <v>1</v>
      </c>
      <c r="F2892" s="2" t="b">
        <v>0</v>
      </c>
      <c r="G2892" s="2" t="s">
        <v>9937</v>
      </c>
      <c r="H2892" s="3" t="str">
        <f>_xlfn.IFNA(INDEX(RulebookFields!C2:C999, MATCH(D2892,RulebookFields!A2:A999, 0)), "")</f>
        <v>Requirements</v>
      </c>
      <c r="I2892" s="3" t="str">
        <f>_xlfn.IFNA(INDEX(RulebookFields!D2:D999, MATCH(D2892,RulebookFields!A2:A999, 0)), "")</f>
        <v>StepBindingCount</v>
      </c>
      <c r="J2892" s="3" t="b">
        <f>_xlfn.IFNA(INDEX(RulebookFields!I2:I999, MATCH(D2892,RulebookFields!A2:A999, 0)), "")</f>
        <v>1</v>
      </c>
      <c r="K2892" s="3" t="b">
        <f>AND(F2892, J2892)</f>
        <v>0</v>
      </c>
      <c r="L2892" s="3" t="b">
        <f>AND(G2892 &lt;&gt; "plain", G2892 &lt;&gt; "")</f>
        <v>0</v>
      </c>
      <c r="M2892" s="3" t="str">
        <f>IF(E2892, C2892 &amp; "|" &amp; H2892, "")</f>
        <v>principal-knowledge-authority|Requirements</v>
      </c>
      <c r="N2892" s="2" t="s">
        <v>9938</v>
      </c>
    </row>
    <row r="2893">
      <c r="A2893" s="2" t="s">
        <v>12829</v>
      </c>
      <c r="B2893" s="3" t="str">
        <f>C2893 &amp; " -&gt; " &amp; D2893</f>
        <v>principal-knowledge-authority -&gt; Requirements.IsBoundToAnyStep</v>
      </c>
      <c r="C2893" s="2" t="s">
        <v>9708</v>
      </c>
      <c r="D2893" s="2" t="s">
        <v>2990</v>
      </c>
      <c r="E2893" s="2" t="b">
        <v>1</v>
      </c>
      <c r="F2893" s="2" t="b">
        <v>0</v>
      </c>
      <c r="G2893" s="2" t="s">
        <v>9937</v>
      </c>
      <c r="H2893" s="3" t="str">
        <f>_xlfn.IFNA(INDEX(RulebookFields!C2:C999, MATCH(D2893,RulebookFields!A2:A999, 0)), "")</f>
        <v>Requirements</v>
      </c>
      <c r="I2893" s="3" t="str">
        <f>_xlfn.IFNA(INDEX(RulebookFields!D2:D999, MATCH(D2893,RulebookFields!A2:A999, 0)), "")</f>
        <v>IsBoundToAnyStep</v>
      </c>
      <c r="J2893" s="3" t="b">
        <f>_xlfn.IFNA(INDEX(RulebookFields!I2:I999, MATCH(D2893,RulebookFields!A2:A999, 0)), "")</f>
        <v>1</v>
      </c>
      <c r="K2893" s="3" t="b">
        <f>AND(F2893, J2893)</f>
        <v>0</v>
      </c>
      <c r="L2893" s="3" t="b">
        <f>AND(G2893 &lt;&gt; "plain", G2893 &lt;&gt; "")</f>
        <v>0</v>
      </c>
      <c r="M2893" s="3" t="str">
        <f>IF(E2893, C2893 &amp; "|" &amp; H2893, "")</f>
        <v>principal-knowledge-authority|Requirements</v>
      </c>
      <c r="N2893" s="2" t="s">
        <v>9938</v>
      </c>
    </row>
    <row r="2894">
      <c r="A2894" s="2" t="s">
        <v>12830</v>
      </c>
      <c r="B2894" s="3" t="str">
        <f>C2894 &amp; " -&gt; " &amp; D2894</f>
        <v>principal-knowledge-authority -&gt; Requirements.HasEverBeenEvaluated</v>
      </c>
      <c r="C2894" s="2" t="s">
        <v>9708</v>
      </c>
      <c r="D2894" s="2" t="s">
        <v>2992</v>
      </c>
      <c r="E2894" s="2" t="b">
        <v>1</v>
      </c>
      <c r="F2894" s="2" t="b">
        <v>0</v>
      </c>
      <c r="G2894" s="2" t="s">
        <v>9937</v>
      </c>
      <c r="H2894" s="3" t="str">
        <f>_xlfn.IFNA(INDEX(RulebookFields!C2:C999, MATCH(D2894,RulebookFields!A2:A999, 0)), "")</f>
        <v>Requirements</v>
      </c>
      <c r="I2894" s="3" t="str">
        <f>_xlfn.IFNA(INDEX(RulebookFields!D2:D999, MATCH(D2894,RulebookFields!A2:A999, 0)), "")</f>
        <v>HasEverBeenEvaluated</v>
      </c>
      <c r="J2894" s="3" t="b">
        <f>_xlfn.IFNA(INDEX(RulebookFields!I2:I999, MATCH(D2894,RulebookFields!A2:A999, 0)), "")</f>
        <v>1</v>
      </c>
      <c r="K2894" s="3" t="b">
        <f>AND(F2894, J2894)</f>
        <v>0</v>
      </c>
      <c r="L2894" s="3" t="b">
        <f>AND(G2894 &lt;&gt; "plain", G2894 &lt;&gt; "")</f>
        <v>0</v>
      </c>
      <c r="M2894" s="3" t="str">
        <f>IF(E2894, C2894 &amp; "|" &amp; H2894, "")</f>
        <v>principal-knowledge-authority|Requirements</v>
      </c>
      <c r="N2894" s="2" t="s">
        <v>9938</v>
      </c>
    </row>
    <row r="2895">
      <c r="A2895" s="2" t="s">
        <v>12831</v>
      </c>
      <c r="B2895" s="3" t="str">
        <f>C2895 &amp; " -&gt; " &amp; D2895</f>
        <v>principal-knowledge-authority -&gt; Requirements.NegativeOutcomeCount</v>
      </c>
      <c r="C2895" s="2" t="s">
        <v>9708</v>
      </c>
      <c r="D2895" s="2" t="s">
        <v>2994</v>
      </c>
      <c r="E2895" s="2" t="b">
        <v>1</v>
      </c>
      <c r="F2895" s="2" t="b">
        <v>0</v>
      </c>
      <c r="G2895" s="2" t="s">
        <v>9937</v>
      </c>
      <c r="H2895" s="3" t="str">
        <f>_xlfn.IFNA(INDEX(RulebookFields!C2:C999, MATCH(D2895,RulebookFields!A2:A999, 0)), "")</f>
        <v>Requirements</v>
      </c>
      <c r="I2895" s="3" t="str">
        <f>_xlfn.IFNA(INDEX(RulebookFields!D2:D999, MATCH(D2895,RulebookFields!A2:A999, 0)), "")</f>
        <v>NegativeOutcomeCount</v>
      </c>
      <c r="J2895" s="3" t="b">
        <f>_xlfn.IFNA(INDEX(RulebookFields!I2:I999, MATCH(D2895,RulebookFields!A2:A999, 0)), "")</f>
        <v>1</v>
      </c>
      <c r="K2895" s="3" t="b">
        <f>AND(F2895, J2895)</f>
        <v>0</v>
      </c>
      <c r="L2895" s="3" t="b">
        <f>AND(G2895 &lt;&gt; "plain", G2895 &lt;&gt; "")</f>
        <v>0</v>
      </c>
      <c r="M2895" s="3" t="str">
        <f>IF(E2895, C2895 &amp; "|" &amp; H2895, "")</f>
        <v>principal-knowledge-authority|Requirements</v>
      </c>
      <c r="N2895" s="2" t="s">
        <v>9938</v>
      </c>
    </row>
    <row r="2896">
      <c r="A2896" s="2" t="s">
        <v>12832</v>
      </c>
      <c r="B2896" s="3" t="str">
        <f>C2896 &amp; " -&gt; " &amp; D2896</f>
        <v>principal-knowledge-authority -&gt; Requirements.IsInoperativeControl</v>
      </c>
      <c r="C2896" s="2" t="s">
        <v>9708</v>
      </c>
      <c r="D2896" s="2" t="s">
        <v>2996</v>
      </c>
      <c r="E2896" s="2" t="b">
        <v>1</v>
      </c>
      <c r="F2896" s="2" t="b">
        <v>0</v>
      </c>
      <c r="G2896" s="2" t="s">
        <v>9937</v>
      </c>
      <c r="H2896" s="3" t="str">
        <f>_xlfn.IFNA(INDEX(RulebookFields!C2:C999, MATCH(D2896,RulebookFields!A2:A999, 0)), "")</f>
        <v>Requirements</v>
      </c>
      <c r="I2896" s="3" t="str">
        <f>_xlfn.IFNA(INDEX(RulebookFields!D2:D999, MATCH(D2896,RulebookFields!A2:A999, 0)), "")</f>
        <v>IsInoperativeControl</v>
      </c>
      <c r="J2896" s="3" t="b">
        <f>_xlfn.IFNA(INDEX(RulebookFields!I2:I999, MATCH(D2896,RulebookFields!A2:A999, 0)), "")</f>
        <v>1</v>
      </c>
      <c r="K2896" s="3" t="b">
        <f>AND(F2896, J2896)</f>
        <v>0</v>
      </c>
      <c r="L2896" s="3" t="b">
        <f>AND(G2896 &lt;&gt; "plain", G2896 &lt;&gt; "")</f>
        <v>0</v>
      </c>
      <c r="M2896" s="3" t="str">
        <f>IF(E2896, C2896 &amp; "|" &amp; H2896, "")</f>
        <v>principal-knowledge-authority|Requirements</v>
      </c>
      <c r="N2896" s="2" t="s">
        <v>9938</v>
      </c>
    </row>
    <row r="2897">
      <c r="A2897" s="2" t="s">
        <v>12833</v>
      </c>
      <c r="B2897" s="3" t="str">
        <f>C2897 &amp; " -&gt; " &amp; D2897</f>
        <v>principal-knowledge-authority -&gt; Requirements.IsDecorativeControl</v>
      </c>
      <c r="C2897" s="2" t="s">
        <v>9708</v>
      </c>
      <c r="D2897" s="2" t="s">
        <v>2998</v>
      </c>
      <c r="E2897" s="2" t="b">
        <v>1</v>
      </c>
      <c r="F2897" s="2" t="b">
        <v>0</v>
      </c>
      <c r="G2897" s="2" t="s">
        <v>9937</v>
      </c>
      <c r="H2897" s="3" t="str">
        <f>_xlfn.IFNA(INDEX(RulebookFields!C2:C999, MATCH(D2897,RulebookFields!A2:A999, 0)), "")</f>
        <v>Requirements</v>
      </c>
      <c r="I2897" s="3" t="str">
        <f>_xlfn.IFNA(INDEX(RulebookFields!D2:D999, MATCH(D2897,RulebookFields!A2:A999, 0)), "")</f>
        <v>IsDecorativeControl</v>
      </c>
      <c r="J2897" s="3" t="b">
        <f>_xlfn.IFNA(INDEX(RulebookFields!I2:I999, MATCH(D2897,RulebookFields!A2:A999, 0)), "")</f>
        <v>1</v>
      </c>
      <c r="K2897" s="3" t="b">
        <f>AND(F2897, J2897)</f>
        <v>0</v>
      </c>
      <c r="L2897" s="3" t="b">
        <f>AND(G2897 &lt;&gt; "plain", G2897 &lt;&gt; "")</f>
        <v>0</v>
      </c>
      <c r="M2897" s="3" t="str">
        <f>IF(E2897, C2897 &amp; "|" &amp; H2897, "")</f>
        <v>principal-knowledge-authority|Requirements</v>
      </c>
      <c r="N2897" s="2" t="s">
        <v>9938</v>
      </c>
    </row>
    <row r="2898">
      <c r="A2898" s="2" t="s">
        <v>12834</v>
      </c>
      <c r="B2898" s="3" t="str">
        <f>C2898 &amp; " -&gt; " &amp; D2898</f>
        <v>principal-knowledge-authority -&gt; Requirements.HasComputedWitness</v>
      </c>
      <c r="C2898" s="2" t="s">
        <v>9708</v>
      </c>
      <c r="D2898" s="2" t="s">
        <v>3000</v>
      </c>
      <c r="E2898" s="2" t="b">
        <v>1</v>
      </c>
      <c r="F2898" s="2" t="b">
        <v>0</v>
      </c>
      <c r="G2898" s="2" t="s">
        <v>9937</v>
      </c>
      <c r="H2898" s="3" t="str">
        <f>_xlfn.IFNA(INDEX(RulebookFields!C2:C999, MATCH(D2898,RulebookFields!A2:A999, 0)), "")</f>
        <v>Requirements</v>
      </c>
      <c r="I2898" s="3" t="str">
        <f>_xlfn.IFNA(INDEX(RulebookFields!D2:D999, MATCH(D2898,RulebookFields!A2:A999, 0)), "")</f>
        <v>HasComputedWitness</v>
      </c>
      <c r="J2898" s="3" t="b">
        <f>_xlfn.IFNA(INDEX(RulebookFields!I2:I999, MATCH(D2898,RulebookFields!A2:A999, 0)), "")</f>
        <v>0</v>
      </c>
      <c r="K2898" s="3" t="b">
        <f>AND(F2898, J2898)</f>
        <v>0</v>
      </c>
      <c r="L2898" s="3" t="b">
        <f>AND(G2898 &lt;&gt; "plain", G2898 &lt;&gt; "")</f>
        <v>0</v>
      </c>
      <c r="M2898" s="3" t="str">
        <f>IF(E2898, C2898 &amp; "|" &amp; H2898, "")</f>
        <v>principal-knowledge-authority|Requirements</v>
      </c>
      <c r="N2898" s="2" t="s">
        <v>9938</v>
      </c>
    </row>
    <row r="2899">
      <c r="A2899" s="2" t="s">
        <v>12835</v>
      </c>
      <c r="B2899" s="3" t="str">
        <f>C2899 &amp; " -&gt; " &amp; D2899</f>
        <v>principal-knowledge-authority -&gt; Requirements.WitnessFieldName</v>
      </c>
      <c r="C2899" s="2" t="s">
        <v>9708</v>
      </c>
      <c r="D2899" s="2" t="s">
        <v>3001</v>
      </c>
      <c r="E2899" s="2" t="b">
        <v>1</v>
      </c>
      <c r="F2899" s="2" t="b">
        <v>0</v>
      </c>
      <c r="G2899" s="2" t="s">
        <v>9937</v>
      </c>
      <c r="H2899" s="3" t="str">
        <f>_xlfn.IFNA(INDEX(RulebookFields!C2:C999, MATCH(D2899,RulebookFields!A2:A999, 0)), "")</f>
        <v>Requirements</v>
      </c>
      <c r="I2899" s="3" t="str">
        <f>_xlfn.IFNA(INDEX(RulebookFields!D2:D999, MATCH(D2899,RulebookFields!A2:A999, 0)), "")</f>
        <v>WitnessFieldName</v>
      </c>
      <c r="J2899" s="3" t="b">
        <f>_xlfn.IFNA(INDEX(RulebookFields!I2:I999, MATCH(D2899,RulebookFields!A2:A999, 0)), "")</f>
        <v>0</v>
      </c>
      <c r="K2899" s="3" t="b">
        <f>AND(F2899, J2899)</f>
        <v>0</v>
      </c>
      <c r="L2899" s="3" t="b">
        <f>AND(G2899 &lt;&gt; "plain", G2899 &lt;&gt; "")</f>
        <v>0</v>
      </c>
      <c r="M2899" s="3" t="str">
        <f>IF(E2899, C2899 &amp; "|" &amp; H2899, "")</f>
        <v>principal-knowledge-authority|Requirements</v>
      </c>
      <c r="N2899" s="2" t="s">
        <v>9938</v>
      </c>
    </row>
    <row r="2900">
      <c r="A2900" s="2" t="s">
        <v>12836</v>
      </c>
      <c r="B2900" s="3" t="str">
        <f>C2900 &amp; " -&gt; " &amp; D2900</f>
        <v>principal-knowledge-authority -&gt; Requirements.HasEverProducedNegative</v>
      </c>
      <c r="C2900" s="2" t="s">
        <v>9708</v>
      </c>
      <c r="D2900" s="2" t="s">
        <v>3002</v>
      </c>
      <c r="E2900" s="2" t="b">
        <v>1</v>
      </c>
      <c r="F2900" s="2" t="b">
        <v>0</v>
      </c>
      <c r="G2900" s="2" t="s">
        <v>9937</v>
      </c>
      <c r="H2900" s="3" t="str">
        <f>_xlfn.IFNA(INDEX(RulebookFields!C2:C999, MATCH(D2900,RulebookFields!A2:A999, 0)), "")</f>
        <v>Requirements</v>
      </c>
      <c r="I2900" s="3" t="str">
        <f>_xlfn.IFNA(INDEX(RulebookFields!D2:D999, MATCH(D2900,RulebookFields!A2:A999, 0)), "")</f>
        <v>HasEverProducedNegative</v>
      </c>
      <c r="J2900" s="3" t="b">
        <f>_xlfn.IFNA(INDEX(RulebookFields!I2:I999, MATCH(D2900,RulebookFields!A2:A999, 0)), "")</f>
        <v>1</v>
      </c>
      <c r="K2900" s="3" t="b">
        <f>AND(F2900, J2900)</f>
        <v>0</v>
      </c>
      <c r="L2900" s="3" t="b">
        <f>AND(G2900 &lt;&gt; "plain", G2900 &lt;&gt; "")</f>
        <v>0</v>
      </c>
      <c r="M2900" s="3" t="str">
        <f>IF(E2900, C2900 &amp; "|" &amp; H2900, "")</f>
        <v>principal-knowledge-authority|Requirements</v>
      </c>
      <c r="N2900" s="2" t="s">
        <v>9938</v>
      </c>
    </row>
    <row r="2901">
      <c r="A2901" s="2" t="s">
        <v>12837</v>
      </c>
      <c r="B2901" s="3" t="str">
        <f>C2901 &amp; " -&gt; " &amp; D2901</f>
        <v>principal-knowledge-authority -&gt; Requirements.IsUnfalsifiedControl</v>
      </c>
      <c r="C2901" s="2" t="s">
        <v>9708</v>
      </c>
      <c r="D2901" s="2" t="s">
        <v>3004</v>
      </c>
      <c r="E2901" s="2" t="b">
        <v>1</v>
      </c>
      <c r="F2901" s="2" t="b">
        <v>0</v>
      </c>
      <c r="G2901" s="2" t="s">
        <v>9937</v>
      </c>
      <c r="H2901" s="3" t="str">
        <f>_xlfn.IFNA(INDEX(RulebookFields!C2:C999, MATCH(D2901,RulebookFields!A2:A999, 0)), "")</f>
        <v>Requirements</v>
      </c>
      <c r="I2901" s="3" t="str">
        <f>_xlfn.IFNA(INDEX(RulebookFields!D2:D999, MATCH(D2901,RulebookFields!A2:A999, 0)), "")</f>
        <v>IsUnfalsifiedControl</v>
      </c>
      <c r="J2901" s="3" t="b">
        <f>_xlfn.IFNA(INDEX(RulebookFields!I2:I999, MATCH(D2901,RulebookFields!A2:A999, 0)), "")</f>
        <v>1</v>
      </c>
      <c r="K2901" s="3" t="b">
        <f>AND(F2901, J2901)</f>
        <v>0</v>
      </c>
      <c r="L2901" s="3" t="b">
        <f>AND(G2901 &lt;&gt; "plain", G2901 &lt;&gt; "")</f>
        <v>0</v>
      </c>
      <c r="M2901" s="3" t="str">
        <f>IF(E2901, C2901 &amp; "|" &amp; H2901, "")</f>
        <v>principal-knowledge-authority|Requirements</v>
      </c>
      <c r="N2901" s="2" t="s">
        <v>9938</v>
      </c>
    </row>
    <row r="2902">
      <c r="A2902" s="2" t="s">
        <v>12838</v>
      </c>
      <c r="B2902" s="3" t="str">
        <f>C2902 &amp; " -&gt; " &amp; D2902</f>
        <v>principal-knowledge-authority -&gt; Requirements.ClaimsAWitnessField</v>
      </c>
      <c r="C2902" s="2" t="s">
        <v>9708</v>
      </c>
      <c r="D2902" s="2" t="s">
        <v>3006</v>
      </c>
      <c r="E2902" s="2" t="b">
        <v>1</v>
      </c>
      <c r="F2902" s="2" t="b">
        <v>0</v>
      </c>
      <c r="G2902" s="2" t="s">
        <v>9937</v>
      </c>
      <c r="H2902" s="3" t="str">
        <f>_xlfn.IFNA(INDEX(RulebookFields!C2:C999, MATCH(D2902,RulebookFields!A2:A999, 0)), "")</f>
        <v>Requirements</v>
      </c>
      <c r="I2902" s="3" t="str">
        <f>_xlfn.IFNA(INDEX(RulebookFields!D2:D999, MATCH(D2902,RulebookFields!A2:A999, 0)), "")</f>
        <v>ClaimsAWitnessField</v>
      </c>
      <c r="J2902" s="3" t="b">
        <f>_xlfn.IFNA(INDEX(RulebookFields!I2:I999, MATCH(D2902,RulebookFields!A2:A999, 0)), "")</f>
        <v>1</v>
      </c>
      <c r="K2902" s="3" t="b">
        <f>AND(F2902, J2902)</f>
        <v>0</v>
      </c>
      <c r="L2902" s="3" t="b">
        <f>AND(G2902 &lt;&gt; "plain", G2902 &lt;&gt; "")</f>
        <v>0</v>
      </c>
      <c r="M2902" s="3" t="str">
        <f>IF(E2902, C2902 &amp; "|" &amp; H2902, "")</f>
        <v>principal-knowledge-authority|Requirements</v>
      </c>
      <c r="N2902" s="2" t="s">
        <v>9938</v>
      </c>
    </row>
    <row r="2903">
      <c r="A2903" s="2" t="s">
        <v>12839</v>
      </c>
      <c r="B2903" s="3" t="str">
        <f>C2903 &amp; " -&gt; " &amp; D2903</f>
        <v>principal-knowledge-authority -&gt; Requirements.NamedWitnessFieldExists</v>
      </c>
      <c r="C2903" s="2" t="s">
        <v>9708</v>
      </c>
      <c r="D2903" s="2" t="s">
        <v>3008</v>
      </c>
      <c r="E2903" s="2" t="b">
        <v>1</v>
      </c>
      <c r="F2903" s="2" t="b">
        <v>0</v>
      </c>
      <c r="G2903" s="2" t="s">
        <v>9937</v>
      </c>
      <c r="H2903" s="3" t="str">
        <f>_xlfn.IFNA(INDEX(RulebookFields!C2:C999, MATCH(D2903,RulebookFields!A2:A999, 0)), "")</f>
        <v>Requirements</v>
      </c>
      <c r="I2903" s="3" t="str">
        <f>_xlfn.IFNA(INDEX(RulebookFields!D2:D999, MATCH(D2903,RulebookFields!A2:A999, 0)), "")</f>
        <v>NamedWitnessFieldExists</v>
      </c>
      <c r="J2903" s="3" t="b">
        <f>_xlfn.IFNA(INDEX(RulebookFields!I2:I999, MATCH(D2903,RulebookFields!A2:A999, 0)), "")</f>
        <v>1</v>
      </c>
      <c r="K2903" s="3" t="b">
        <f>AND(F2903, J2903)</f>
        <v>0</v>
      </c>
      <c r="L2903" s="3" t="b">
        <f>AND(G2903 &lt;&gt; "plain", G2903 &lt;&gt; "")</f>
        <v>0</v>
      </c>
      <c r="M2903" s="3" t="str">
        <f>IF(E2903, C2903 &amp; "|" &amp; H2903, "")</f>
        <v>principal-knowledge-authority|Requirements</v>
      </c>
      <c r="N2903" s="2" t="s">
        <v>9938</v>
      </c>
    </row>
    <row r="2904">
      <c r="A2904" s="2" t="s">
        <v>12840</v>
      </c>
      <c r="B2904" s="3" t="str">
        <f>C2904 &amp; " -&gt; " &amp; D2904</f>
        <v>principal-knowledge-authority -&gt; Requirements.DerivedHasComputedWitness</v>
      </c>
      <c r="C2904" s="2" t="s">
        <v>9708</v>
      </c>
      <c r="D2904" s="2" t="s">
        <v>3010</v>
      </c>
      <c r="E2904" s="2" t="b">
        <v>1</v>
      </c>
      <c r="F2904" s="2" t="b">
        <v>0</v>
      </c>
      <c r="G2904" s="2" t="s">
        <v>9937</v>
      </c>
      <c r="H2904" s="3" t="str">
        <f>_xlfn.IFNA(INDEX(RulebookFields!C2:C999, MATCH(D2904,RulebookFields!A2:A999, 0)), "")</f>
        <v>Requirements</v>
      </c>
      <c r="I2904" s="3" t="str">
        <f>_xlfn.IFNA(INDEX(RulebookFields!D2:D999, MATCH(D2904,RulebookFields!A2:A999, 0)), "")</f>
        <v>DerivedHasComputedWitness</v>
      </c>
      <c r="J2904" s="3" t="b">
        <f>_xlfn.IFNA(INDEX(RulebookFields!I2:I999, MATCH(D2904,RulebookFields!A2:A999, 0)), "")</f>
        <v>1</v>
      </c>
      <c r="K2904" s="3" t="b">
        <f>AND(F2904, J2904)</f>
        <v>0</v>
      </c>
      <c r="L2904" s="3" t="b">
        <f>AND(G2904 &lt;&gt; "plain", G2904 &lt;&gt; "")</f>
        <v>0</v>
      </c>
      <c r="M2904" s="3" t="str">
        <f>IF(E2904, C2904 &amp; "|" &amp; H2904, "")</f>
        <v>principal-knowledge-authority|Requirements</v>
      </c>
      <c r="N2904" s="2" t="s">
        <v>9938</v>
      </c>
    </row>
    <row r="2905">
      <c r="A2905" s="2" t="s">
        <v>12841</v>
      </c>
      <c r="B2905" s="3" t="str">
        <f>C2905 &amp; " -&gt; " &amp; D2905</f>
        <v>principal-knowledge-authority -&gt; Requirements.WitnessClaimIsUnverified</v>
      </c>
      <c r="C2905" s="2" t="s">
        <v>9708</v>
      </c>
      <c r="D2905" s="2" t="s">
        <v>3012</v>
      </c>
      <c r="E2905" s="2" t="b">
        <v>1</v>
      </c>
      <c r="F2905" s="2" t="b">
        <v>0</v>
      </c>
      <c r="G2905" s="2" t="s">
        <v>9937</v>
      </c>
      <c r="H2905" s="3" t="str">
        <f>_xlfn.IFNA(INDEX(RulebookFields!C2:C999, MATCH(D2905,RulebookFields!A2:A999, 0)), "")</f>
        <v>Requirements</v>
      </c>
      <c r="I2905" s="3" t="str">
        <f>_xlfn.IFNA(INDEX(RulebookFields!D2:D999, MATCH(D2905,RulebookFields!A2:A999, 0)), "")</f>
        <v>WitnessClaimIsUnverified</v>
      </c>
      <c r="J2905" s="3" t="b">
        <f>_xlfn.IFNA(INDEX(RulebookFields!I2:I999, MATCH(D2905,RulebookFields!A2:A999, 0)), "")</f>
        <v>1</v>
      </c>
      <c r="K2905" s="3" t="b">
        <f>AND(F2905, J2905)</f>
        <v>0</v>
      </c>
      <c r="L2905" s="3" t="b">
        <f>AND(G2905 &lt;&gt; "plain", G2905 &lt;&gt; "")</f>
        <v>0</v>
      </c>
      <c r="M2905" s="3" t="str">
        <f>IF(E2905, C2905 &amp; "|" &amp; H2905, "")</f>
        <v>principal-knowledge-authority|Requirements</v>
      </c>
      <c r="N2905" s="2" t="s">
        <v>9938</v>
      </c>
    </row>
    <row r="2906">
      <c r="A2906" s="2" t="s">
        <v>12842</v>
      </c>
      <c r="B2906" s="3" t="str">
        <f>C2906 &amp; " -&gt; " &amp; D2906</f>
        <v>principal-knowledge-authority -&gt; Requirements.IsUnwitnessedBlockingControl</v>
      </c>
      <c r="C2906" s="2" t="s">
        <v>9708</v>
      </c>
      <c r="D2906" s="2" t="s">
        <v>3014</v>
      </c>
      <c r="E2906" s="2" t="b">
        <v>1</v>
      </c>
      <c r="F2906" s="2" t="b">
        <v>0</v>
      </c>
      <c r="G2906" s="2" t="s">
        <v>9937</v>
      </c>
      <c r="H2906" s="3" t="str">
        <f>_xlfn.IFNA(INDEX(RulebookFields!C2:C999, MATCH(D2906,RulebookFields!A2:A999, 0)), "")</f>
        <v>Requirements</v>
      </c>
      <c r="I2906" s="3" t="str">
        <f>_xlfn.IFNA(INDEX(RulebookFields!D2:D999, MATCH(D2906,RulebookFields!A2:A999, 0)), "")</f>
        <v>IsUnwitnessedBlockingControl</v>
      </c>
      <c r="J2906" s="3" t="b">
        <f>_xlfn.IFNA(INDEX(RulebookFields!I2:I999, MATCH(D2906,RulebookFields!A2:A999, 0)), "")</f>
        <v>1</v>
      </c>
      <c r="K2906" s="3" t="b">
        <f>AND(F2906, J2906)</f>
        <v>0</v>
      </c>
      <c r="L2906" s="3" t="b">
        <f>AND(G2906 &lt;&gt; "plain", G2906 &lt;&gt; "")</f>
        <v>0</v>
      </c>
      <c r="M2906" s="3" t="str">
        <f>IF(E2906, C2906 &amp; "|" &amp; H2906, "")</f>
        <v>principal-knowledge-authority|Requirements</v>
      </c>
      <c r="N2906" s="2" t="s">
        <v>9938</v>
      </c>
    </row>
    <row r="2907">
      <c r="A2907" s="2" t="s">
        <v>12843</v>
      </c>
      <c r="B2907" s="3" t="str">
        <f>C2907 &amp; " -&gt; " &amp; D2907</f>
        <v>principal-knowledge-authority -&gt; Requirements.WitnessFireCount</v>
      </c>
      <c r="C2907" s="2" t="s">
        <v>9708</v>
      </c>
      <c r="D2907" s="2" t="s">
        <v>3016</v>
      </c>
      <c r="E2907" s="2" t="b">
        <v>1</v>
      </c>
      <c r="F2907" s="2" t="b">
        <v>0</v>
      </c>
      <c r="G2907" s="2" t="s">
        <v>9937</v>
      </c>
      <c r="H2907" s="3" t="str">
        <f>_xlfn.IFNA(INDEX(RulebookFields!C2:C999, MATCH(D2907,RulebookFields!A2:A999, 0)), "")</f>
        <v>Requirements</v>
      </c>
      <c r="I2907" s="3" t="str">
        <f>_xlfn.IFNA(INDEX(RulebookFields!D2:D999, MATCH(D2907,RulebookFields!A2:A999, 0)), "")</f>
        <v>WitnessFireCount</v>
      </c>
      <c r="J2907" s="3" t="b">
        <f>_xlfn.IFNA(INDEX(RulebookFields!I2:I999, MATCH(D2907,RulebookFields!A2:A999, 0)), "")</f>
        <v>1</v>
      </c>
      <c r="K2907" s="3" t="b">
        <f>AND(F2907, J2907)</f>
        <v>0</v>
      </c>
      <c r="L2907" s="3" t="b">
        <f>AND(G2907 &lt;&gt; "plain", G2907 &lt;&gt; "")</f>
        <v>0</v>
      </c>
      <c r="M2907" s="3" t="str">
        <f>IF(E2907, C2907 &amp; "|" &amp; H2907, "")</f>
        <v>principal-knowledge-authority|Requirements</v>
      </c>
      <c r="N2907" s="2" t="s">
        <v>9938</v>
      </c>
    </row>
    <row r="2908">
      <c r="A2908" s="2" t="s">
        <v>12844</v>
      </c>
      <c r="B2908" s="3" t="str">
        <f>C2908 &amp; " -&gt; " &amp; D2908</f>
        <v>principal-knowledge-authority -&gt; Requirements.WitnessHasNeverFired</v>
      </c>
      <c r="C2908" s="2" t="s">
        <v>9708</v>
      </c>
      <c r="D2908" s="2" t="s">
        <v>3018</v>
      </c>
      <c r="E2908" s="2" t="b">
        <v>1</v>
      </c>
      <c r="F2908" s="2" t="b">
        <v>0</v>
      </c>
      <c r="G2908" s="2" t="s">
        <v>9937</v>
      </c>
      <c r="H2908" s="3" t="str">
        <f>_xlfn.IFNA(INDEX(RulebookFields!C2:C999, MATCH(D2908,RulebookFields!A2:A999, 0)), "")</f>
        <v>Requirements</v>
      </c>
      <c r="I2908" s="3" t="str">
        <f>_xlfn.IFNA(INDEX(RulebookFields!D2:D999, MATCH(D2908,RulebookFields!A2:A999, 0)), "")</f>
        <v>WitnessHasNeverFired</v>
      </c>
      <c r="J2908" s="3" t="b">
        <f>_xlfn.IFNA(INDEX(RulebookFields!I2:I999, MATCH(D2908,RulebookFields!A2:A999, 0)), "")</f>
        <v>1</v>
      </c>
      <c r="K2908" s="3" t="b">
        <f>AND(F2908, J2908)</f>
        <v>0</v>
      </c>
      <c r="L2908" s="3" t="b">
        <f>AND(G2908 &lt;&gt; "plain", G2908 &lt;&gt; "")</f>
        <v>0</v>
      </c>
      <c r="M2908" s="3" t="str">
        <f>IF(E2908, C2908 &amp; "|" &amp; H2908, "")</f>
        <v>principal-knowledge-authority|Requirements</v>
      </c>
      <c r="N2908" s="2" t="s">
        <v>9938</v>
      </c>
    </row>
    <row r="2909">
      <c r="A2909" s="2" t="s">
        <v>12845</v>
      </c>
      <c r="B2909" s="3" t="str">
        <f>C2909 &amp; " -&gt; " &amp; D2909</f>
        <v>principal-knowledge-authority -&gt; Requirements.EvaluationSampleSize</v>
      </c>
      <c r="C2909" s="2" t="s">
        <v>9708</v>
      </c>
      <c r="D2909" s="2" t="s">
        <v>3020</v>
      </c>
      <c r="E2909" s="2" t="b">
        <v>1</v>
      </c>
      <c r="F2909" s="2" t="b">
        <v>0</v>
      </c>
      <c r="G2909" s="2" t="s">
        <v>9937</v>
      </c>
      <c r="H2909" s="3" t="str">
        <f>_xlfn.IFNA(INDEX(RulebookFields!C2:C999, MATCH(D2909,RulebookFields!A2:A999, 0)), "")</f>
        <v>Requirements</v>
      </c>
      <c r="I2909" s="3" t="str">
        <f>_xlfn.IFNA(INDEX(RulebookFields!D2:D999, MATCH(D2909,RulebookFields!A2:A999, 0)), "")</f>
        <v>EvaluationSampleSize</v>
      </c>
      <c r="J2909" s="3" t="b">
        <f>_xlfn.IFNA(INDEX(RulebookFields!I2:I999, MATCH(D2909,RulebookFields!A2:A999, 0)), "")</f>
        <v>1</v>
      </c>
      <c r="K2909" s="3" t="b">
        <f>AND(F2909, J2909)</f>
        <v>0</v>
      </c>
      <c r="L2909" s="3" t="b">
        <f>AND(G2909 &lt;&gt; "plain", G2909 &lt;&gt; "")</f>
        <v>0</v>
      </c>
      <c r="M2909" s="3" t="str">
        <f>IF(E2909, C2909 &amp; "|" &amp; H2909, "")</f>
        <v>principal-knowledge-authority|Requirements</v>
      </c>
      <c r="N2909" s="2" t="s">
        <v>9938</v>
      </c>
    </row>
    <row r="2910">
      <c r="A2910" s="2" t="s">
        <v>12846</v>
      </c>
      <c r="B2910" s="3" t="str">
        <f>C2910 &amp; " -&gt; " &amp; D2910</f>
        <v>principal-knowledge-authority -&gt; Requirements.HasMeaningfulSample</v>
      </c>
      <c r="C2910" s="2" t="s">
        <v>9708</v>
      </c>
      <c r="D2910" s="2" t="s">
        <v>3022</v>
      </c>
      <c r="E2910" s="2" t="b">
        <v>1</v>
      </c>
      <c r="F2910" s="2" t="b">
        <v>0</v>
      </c>
      <c r="G2910" s="2" t="s">
        <v>9937</v>
      </c>
      <c r="H2910" s="3" t="str">
        <f>_xlfn.IFNA(INDEX(RulebookFields!C2:C999, MATCH(D2910,RulebookFields!A2:A999, 0)), "")</f>
        <v>Requirements</v>
      </c>
      <c r="I2910" s="3" t="str">
        <f>_xlfn.IFNA(INDEX(RulebookFields!D2:D999, MATCH(D2910,RulebookFields!A2:A999, 0)), "")</f>
        <v>HasMeaningfulSample</v>
      </c>
      <c r="J2910" s="3" t="b">
        <f>_xlfn.IFNA(INDEX(RulebookFields!I2:I999, MATCH(D2910,RulebookFields!A2:A999, 0)), "")</f>
        <v>1</v>
      </c>
      <c r="K2910" s="3" t="b">
        <f>AND(F2910, J2910)</f>
        <v>0</v>
      </c>
      <c r="L2910" s="3" t="b">
        <f>AND(G2910 &lt;&gt; "plain", G2910 &lt;&gt; "")</f>
        <v>0</v>
      </c>
      <c r="M2910" s="3" t="str">
        <f>IF(E2910, C2910 &amp; "|" &amp; H2910, "")</f>
        <v>principal-knowledge-authority|Requirements</v>
      </c>
      <c r="N2910" s="2" t="s">
        <v>9938</v>
      </c>
    </row>
    <row r="2911">
      <c r="A2911" s="2" t="s">
        <v>12847</v>
      </c>
      <c r="B2911" s="3" t="str">
        <f>C2911 &amp; " -&gt; " &amp; D2911</f>
        <v>principal-knowledge-authority -&gt; Requirements.MinimumSampleForAssurance</v>
      </c>
      <c r="C2911" s="2" t="s">
        <v>9708</v>
      </c>
      <c r="D2911" s="2" t="s">
        <v>3024</v>
      </c>
      <c r="E2911" s="2" t="b">
        <v>1</v>
      </c>
      <c r="F2911" s="2" t="b">
        <v>0</v>
      </c>
      <c r="G2911" s="2" t="s">
        <v>9937</v>
      </c>
      <c r="H2911" s="3" t="str">
        <f>_xlfn.IFNA(INDEX(RulebookFields!C2:C999, MATCH(D2911,RulebookFields!A2:A999, 0)), "")</f>
        <v>Requirements</v>
      </c>
      <c r="I2911" s="3" t="str">
        <f>_xlfn.IFNA(INDEX(RulebookFields!D2:D999, MATCH(D2911,RulebookFields!A2:A999, 0)), "")</f>
        <v>MinimumSampleForAssurance</v>
      </c>
      <c r="J2911" s="3" t="b">
        <f>_xlfn.IFNA(INDEX(RulebookFields!I2:I999, MATCH(D2911,RulebookFields!A2:A999, 0)), "")</f>
        <v>0</v>
      </c>
      <c r="K2911" s="3" t="b">
        <f>AND(F2911, J2911)</f>
        <v>0</v>
      </c>
      <c r="L2911" s="3" t="b">
        <f>AND(G2911 &lt;&gt; "plain", G2911 &lt;&gt; "")</f>
        <v>0</v>
      </c>
      <c r="M2911" s="3" t="str">
        <f>IF(E2911, C2911 &amp; "|" &amp; H2911, "")</f>
        <v>principal-knowledge-authority|Requirements</v>
      </c>
      <c r="N2911" s="2" t="s">
        <v>9938</v>
      </c>
    </row>
    <row r="2912">
      <c r="A2912" s="2" t="s">
        <v>12848</v>
      </c>
      <c r="B2912" s="3" t="str">
        <f>C2912 &amp; " -&gt; " &amp; D2912</f>
        <v>principal-knowledge-authority -&gt; Requirements.IsUntestedWitness</v>
      </c>
      <c r="C2912" s="2" t="s">
        <v>9708</v>
      </c>
      <c r="D2912" s="2" t="s">
        <v>3025</v>
      </c>
      <c r="E2912" s="2" t="b">
        <v>1</v>
      </c>
      <c r="F2912" s="2" t="b">
        <v>0</v>
      </c>
      <c r="G2912" s="2" t="s">
        <v>9937</v>
      </c>
      <c r="H2912" s="3" t="str">
        <f>_xlfn.IFNA(INDEX(RulebookFields!C2:C999, MATCH(D2912,RulebookFields!A2:A999, 0)), "")</f>
        <v>Requirements</v>
      </c>
      <c r="I2912" s="3" t="str">
        <f>_xlfn.IFNA(INDEX(RulebookFields!D2:D999, MATCH(D2912,RulebookFields!A2:A999, 0)), "")</f>
        <v>IsUntestedWitness</v>
      </c>
      <c r="J2912" s="3" t="b">
        <f>_xlfn.IFNA(INDEX(RulebookFields!I2:I999, MATCH(D2912,RulebookFields!A2:A999, 0)), "")</f>
        <v>1</v>
      </c>
      <c r="K2912" s="3" t="b">
        <f>AND(F2912, J2912)</f>
        <v>0</v>
      </c>
      <c r="L2912" s="3" t="b">
        <f>AND(G2912 &lt;&gt; "plain", G2912 &lt;&gt; "")</f>
        <v>0</v>
      </c>
      <c r="M2912" s="3" t="str">
        <f>IF(E2912, C2912 &amp; "|" &amp; H2912, "")</f>
        <v>principal-knowledge-authority|Requirements</v>
      </c>
      <c r="N2912" s="2" t="s">
        <v>9938</v>
      </c>
    </row>
    <row r="2913">
      <c r="A2913" s="2" t="s">
        <v>12849</v>
      </c>
      <c r="B2913" s="3" t="str">
        <f>C2913 &amp; " -&gt; " &amp; D2913</f>
        <v>principal-knowledge-authority -&gt; Requirements.IsEvidencedHoldingControl</v>
      </c>
      <c r="C2913" s="2" t="s">
        <v>9708</v>
      </c>
      <c r="D2913" s="2" t="s">
        <v>3027</v>
      </c>
      <c r="E2913" s="2" t="b">
        <v>1</v>
      </c>
      <c r="F2913" s="2" t="b">
        <v>0</v>
      </c>
      <c r="G2913" s="2" t="s">
        <v>9937</v>
      </c>
      <c r="H2913" s="3" t="str">
        <f>_xlfn.IFNA(INDEX(RulebookFields!C2:C999, MATCH(D2913,RulebookFields!A2:A999, 0)), "")</f>
        <v>Requirements</v>
      </c>
      <c r="I2913" s="3" t="str">
        <f>_xlfn.IFNA(INDEX(RulebookFields!D2:D999, MATCH(D2913,RulebookFields!A2:A999, 0)), "")</f>
        <v>IsEvidencedHoldingControl</v>
      </c>
      <c r="J2913" s="3" t="b">
        <f>_xlfn.IFNA(INDEX(RulebookFields!I2:I999, MATCH(D2913,RulebookFields!A2:A999, 0)), "")</f>
        <v>1</v>
      </c>
      <c r="K2913" s="3" t="b">
        <f>AND(F2913, J2913)</f>
        <v>0</v>
      </c>
      <c r="L2913" s="3" t="b">
        <f>AND(G2913 &lt;&gt; "plain", G2913 &lt;&gt; "")</f>
        <v>0</v>
      </c>
      <c r="M2913" s="3" t="str">
        <f>IF(E2913, C2913 &amp; "|" &amp; H2913, "")</f>
        <v>principal-knowledge-authority|Requirements</v>
      </c>
      <c r="N2913" s="2" t="s">
        <v>9938</v>
      </c>
    </row>
    <row r="2914">
      <c r="A2914" s="2" t="s">
        <v>12850</v>
      </c>
      <c r="B2914" s="3" t="str">
        <f>C2914 &amp; " -&gt; " &amp; D2914</f>
        <v>principal-knowledge-authority -&gt; Requirements.ControlAssuranceState</v>
      </c>
      <c r="C2914" s="2" t="s">
        <v>9708</v>
      </c>
      <c r="D2914" s="2" t="s">
        <v>3029</v>
      </c>
      <c r="E2914" s="2" t="b">
        <v>1</v>
      </c>
      <c r="F2914" s="2" t="b">
        <v>0</v>
      </c>
      <c r="G2914" s="2" t="s">
        <v>9937</v>
      </c>
      <c r="H2914" s="3" t="str">
        <f>_xlfn.IFNA(INDEX(RulebookFields!C2:C999, MATCH(D2914,RulebookFields!A2:A999, 0)), "")</f>
        <v>Requirements</v>
      </c>
      <c r="I2914" s="3" t="str">
        <f>_xlfn.IFNA(INDEX(RulebookFields!D2:D999, MATCH(D2914,RulebookFields!A2:A999, 0)), "")</f>
        <v>ControlAssuranceState</v>
      </c>
      <c r="J2914" s="3" t="b">
        <f>_xlfn.IFNA(INDEX(RulebookFields!I2:I999, MATCH(D2914,RulebookFields!A2:A999, 0)), "")</f>
        <v>1</v>
      </c>
      <c r="K2914" s="3" t="b">
        <f>AND(F2914, J2914)</f>
        <v>0</v>
      </c>
      <c r="L2914" s="3" t="b">
        <f>AND(G2914 &lt;&gt; "plain", G2914 &lt;&gt; "")</f>
        <v>0</v>
      </c>
      <c r="M2914" s="3" t="str">
        <f>IF(E2914, C2914 &amp; "|" &amp; H2914, "")</f>
        <v>principal-knowledge-authority|Requirements</v>
      </c>
      <c r="N2914" s="2" t="s">
        <v>9938</v>
      </c>
    </row>
    <row r="2915">
      <c r="A2915" s="2" t="s">
        <v>12851</v>
      </c>
      <c r="B2915" s="3" t="str">
        <f>C2915 &amp; " -&gt; " &amp; D2915</f>
        <v>principal-knowledge-authority -&gt; Requirements.UnexercisedBindingCount</v>
      </c>
      <c r="C2915" s="2" t="s">
        <v>9708</v>
      </c>
      <c r="D2915" s="2" t="s">
        <v>3031</v>
      </c>
      <c r="E2915" s="2" t="b">
        <v>1</v>
      </c>
      <c r="F2915" s="2" t="b">
        <v>0</v>
      </c>
      <c r="G2915" s="2" t="s">
        <v>9937</v>
      </c>
      <c r="H2915" s="3" t="str">
        <f>_xlfn.IFNA(INDEX(RulebookFields!C2:C999, MATCH(D2915,RulebookFields!A2:A999, 0)), "")</f>
        <v>Requirements</v>
      </c>
      <c r="I2915" s="3" t="str">
        <f>_xlfn.IFNA(INDEX(RulebookFields!D2:D999, MATCH(D2915,RulebookFields!A2:A999, 0)), "")</f>
        <v>UnexercisedBindingCount</v>
      </c>
      <c r="J2915" s="3" t="b">
        <f>_xlfn.IFNA(INDEX(RulebookFields!I2:I999, MATCH(D2915,RulebookFields!A2:A999, 0)), "")</f>
        <v>1</v>
      </c>
      <c r="K2915" s="3" t="b">
        <f>AND(F2915, J2915)</f>
        <v>0</v>
      </c>
      <c r="L2915" s="3" t="b">
        <f>AND(G2915 &lt;&gt; "plain", G2915 &lt;&gt; "")</f>
        <v>0</v>
      </c>
      <c r="M2915" s="3" t="str">
        <f>IF(E2915, C2915 &amp; "|" &amp; H2915, "")</f>
        <v>principal-knowledge-authority|Requirements</v>
      </c>
      <c r="N2915" s="2" t="s">
        <v>9938</v>
      </c>
    </row>
    <row r="2916">
      <c r="A2916" s="2" t="s">
        <v>12852</v>
      </c>
      <c r="B2916" s="3" t="str">
        <f>C2916 &amp; " -&gt; " &amp; D2916</f>
        <v>principal-knowledge-authority -&gt; Requirements.WitnessIsPartiallyScoped</v>
      </c>
      <c r="C2916" s="2" t="s">
        <v>9708</v>
      </c>
      <c r="D2916" s="2" t="s">
        <v>3033</v>
      </c>
      <c r="E2916" s="2" t="b">
        <v>1</v>
      </c>
      <c r="F2916" s="2" t="b">
        <v>0</v>
      </c>
      <c r="G2916" s="2" t="s">
        <v>9937</v>
      </c>
      <c r="H2916" s="3" t="str">
        <f>_xlfn.IFNA(INDEX(RulebookFields!C2:C999, MATCH(D2916,RulebookFields!A2:A999, 0)), "")</f>
        <v>Requirements</v>
      </c>
      <c r="I2916" s="3" t="str">
        <f>_xlfn.IFNA(INDEX(RulebookFields!D2:D999, MATCH(D2916,RulebookFields!A2:A999, 0)), "")</f>
        <v>WitnessIsPartiallyScoped</v>
      </c>
      <c r="J2916" s="3" t="b">
        <f>_xlfn.IFNA(INDEX(RulebookFields!I2:I999, MATCH(D2916,RulebookFields!A2:A999, 0)), "")</f>
        <v>1</v>
      </c>
      <c r="K2916" s="3" t="b">
        <f>AND(F2916, J2916)</f>
        <v>0</v>
      </c>
      <c r="L2916" s="3" t="b">
        <f>AND(G2916 &lt;&gt; "plain", G2916 &lt;&gt; "")</f>
        <v>0</v>
      </c>
      <c r="M2916" s="3" t="str">
        <f>IF(E2916, C2916 &amp; "|" &amp; H2916, "")</f>
        <v>principal-knowledge-authority|Requirements</v>
      </c>
      <c r="N2916" s="2" t="s">
        <v>9938</v>
      </c>
    </row>
    <row r="2917">
      <c r="A2917" s="2" t="s">
        <v>12853</v>
      </c>
      <c r="B2917" s="3" t="str">
        <f>C2917 &amp; " -&gt; " &amp; D2917</f>
        <v>principal-knowledge-authority -&gt; Requirements.AccountableRole</v>
      </c>
      <c r="C2917" s="2" t="s">
        <v>9708</v>
      </c>
      <c r="D2917" s="2" t="s">
        <v>3035</v>
      </c>
      <c r="E2917" s="2" t="b">
        <v>1</v>
      </c>
      <c r="F2917" s="2" t="b">
        <v>0</v>
      </c>
      <c r="G2917" s="2" t="s">
        <v>9937</v>
      </c>
      <c r="H2917" s="3" t="str">
        <f>_xlfn.IFNA(INDEX(RulebookFields!C2:C999, MATCH(D2917,RulebookFields!A2:A999, 0)), "")</f>
        <v>Requirements</v>
      </c>
      <c r="I2917" s="3" t="str">
        <f>_xlfn.IFNA(INDEX(RulebookFields!D2:D999, MATCH(D2917,RulebookFields!A2:A999, 0)), "")</f>
        <v>AccountableRole</v>
      </c>
      <c r="J2917" s="3" t="b">
        <f>_xlfn.IFNA(INDEX(RulebookFields!I2:I999, MATCH(D2917,RulebookFields!A2:A999, 0)), "")</f>
        <v>0</v>
      </c>
      <c r="K2917" s="3" t="b">
        <f>AND(F2917, J2917)</f>
        <v>0</v>
      </c>
      <c r="L2917" s="3" t="b">
        <f>AND(G2917 &lt;&gt; "plain", G2917 &lt;&gt; "")</f>
        <v>0</v>
      </c>
      <c r="M2917" s="3" t="str">
        <f>IF(E2917, C2917 &amp; "|" &amp; H2917, "")</f>
        <v>principal-knowledge-authority|Requirements</v>
      </c>
      <c r="N2917" s="2" t="s">
        <v>9938</v>
      </c>
    </row>
    <row r="2918">
      <c r="A2918" s="2" t="s">
        <v>12854</v>
      </c>
      <c r="B2918" s="3" t="str">
        <f>C2918 &amp; " -&gt; " &amp; D2918</f>
        <v>principal-knowledge-authority -&gt; Requirements.AccountableAgent</v>
      </c>
      <c r="C2918" s="2" t="s">
        <v>9708</v>
      </c>
      <c r="D2918" s="2" t="s">
        <v>3036</v>
      </c>
      <c r="E2918" s="2" t="b">
        <v>1</v>
      </c>
      <c r="F2918" s="2" t="b">
        <v>0</v>
      </c>
      <c r="G2918" s="2" t="s">
        <v>9937</v>
      </c>
      <c r="H2918" s="3" t="str">
        <f>_xlfn.IFNA(INDEX(RulebookFields!C2:C999, MATCH(D2918,RulebookFields!A2:A999, 0)), "")</f>
        <v>Requirements</v>
      </c>
      <c r="I2918" s="3" t="str">
        <f>_xlfn.IFNA(INDEX(RulebookFields!D2:D999, MATCH(D2918,RulebookFields!A2:A999, 0)), "")</f>
        <v>AccountableAgent</v>
      </c>
      <c r="J2918" s="3" t="b">
        <f>_xlfn.IFNA(INDEX(RulebookFields!I2:I999, MATCH(D2918,RulebookFields!A2:A999, 0)), "")</f>
        <v>1</v>
      </c>
      <c r="K2918" s="3" t="b">
        <f>AND(F2918, J2918)</f>
        <v>0</v>
      </c>
      <c r="L2918" s="3" t="b">
        <f>AND(G2918 &lt;&gt; "plain", G2918 &lt;&gt; "")</f>
        <v>0</v>
      </c>
      <c r="M2918" s="3" t="str">
        <f>IF(E2918, C2918 &amp; "|" &amp; H2918, "")</f>
        <v>principal-knowledge-authority|Requirements</v>
      </c>
      <c r="N2918" s="2" t="s">
        <v>9938</v>
      </c>
    </row>
    <row r="2919">
      <c r="A2919" s="2" t="s">
        <v>12855</v>
      </c>
      <c r="B2919" s="3" t="str">
        <f>C2919 &amp; " -&gt; " &amp; D2919</f>
        <v>principal-knowledge-authority -&gt; Requirements.HasNamedOwner</v>
      </c>
      <c r="C2919" s="2" t="s">
        <v>9708</v>
      </c>
      <c r="D2919" s="2" t="s">
        <v>3038</v>
      </c>
      <c r="E2919" s="2" t="b">
        <v>1</v>
      </c>
      <c r="F2919" s="2" t="b">
        <v>0</v>
      </c>
      <c r="G2919" s="2" t="s">
        <v>9937</v>
      </c>
      <c r="H2919" s="3" t="str">
        <f>_xlfn.IFNA(INDEX(RulebookFields!C2:C999, MATCH(D2919,RulebookFields!A2:A999, 0)), "")</f>
        <v>Requirements</v>
      </c>
      <c r="I2919" s="3" t="str">
        <f>_xlfn.IFNA(INDEX(RulebookFields!D2:D999, MATCH(D2919,RulebookFields!A2:A999, 0)), "")</f>
        <v>HasNamedOwner</v>
      </c>
      <c r="J2919" s="3" t="b">
        <f>_xlfn.IFNA(INDEX(RulebookFields!I2:I999, MATCH(D2919,RulebookFields!A2:A999, 0)), "")</f>
        <v>1</v>
      </c>
      <c r="K2919" s="3" t="b">
        <f>AND(F2919, J2919)</f>
        <v>0</v>
      </c>
      <c r="L2919" s="3" t="b">
        <f>AND(G2919 &lt;&gt; "plain", G2919 &lt;&gt; "")</f>
        <v>0</v>
      </c>
      <c r="M2919" s="3" t="str">
        <f>IF(E2919, C2919 &amp; "|" &amp; H2919, "")</f>
        <v>principal-knowledge-authority|Requirements</v>
      </c>
      <c r="N2919" s="2" t="s">
        <v>9938</v>
      </c>
    </row>
    <row r="2920">
      <c r="A2920" s="2" t="s">
        <v>12856</v>
      </c>
      <c r="B2920" s="3" t="str">
        <f>C2920 &amp; " -&gt; " &amp; D2920</f>
        <v>principal-knowledge-authority -&gt; Requirements.IsOrphanedBlockingControl</v>
      </c>
      <c r="C2920" s="2" t="s">
        <v>9708</v>
      </c>
      <c r="D2920" s="2" t="s">
        <v>3040</v>
      </c>
      <c r="E2920" s="2" t="b">
        <v>1</v>
      </c>
      <c r="F2920" s="2" t="b">
        <v>0</v>
      </c>
      <c r="G2920" s="2" t="s">
        <v>9937</v>
      </c>
      <c r="H2920" s="3" t="str">
        <f>_xlfn.IFNA(INDEX(RulebookFields!C2:C999, MATCH(D2920,RulebookFields!A2:A999, 0)), "")</f>
        <v>Requirements</v>
      </c>
      <c r="I2920" s="3" t="str">
        <f>_xlfn.IFNA(INDEX(RulebookFields!D2:D999, MATCH(D2920,RulebookFields!A2:A999, 0)), "")</f>
        <v>IsOrphanedBlockingControl</v>
      </c>
      <c r="J2920" s="3" t="b">
        <f>_xlfn.IFNA(INDEX(RulebookFields!I2:I999, MATCH(D2920,RulebookFields!A2:A999, 0)), "")</f>
        <v>1</v>
      </c>
      <c r="K2920" s="3" t="b">
        <f>AND(F2920, J2920)</f>
        <v>0</v>
      </c>
      <c r="L2920" s="3" t="b">
        <f>AND(G2920 &lt;&gt; "plain", G2920 &lt;&gt; "")</f>
        <v>0</v>
      </c>
      <c r="M2920" s="3" t="str">
        <f>IF(E2920, C2920 &amp; "|" &amp; H2920, "")</f>
        <v>principal-knowledge-authority|Requirements</v>
      </c>
      <c r="N2920" s="2" t="s">
        <v>9938</v>
      </c>
    </row>
    <row r="2921">
      <c r="A2921" s="2" t="s">
        <v>12857</v>
      </c>
      <c r="B2921" s="3" t="str">
        <f>C2921 &amp; " -&gt; " &amp; D2921</f>
        <v>principal-knowledge-authority -&gt; Requirements.IsUnwatchedAndUnowned</v>
      </c>
      <c r="C2921" s="2" t="s">
        <v>9708</v>
      </c>
      <c r="D2921" s="2" t="s">
        <v>3042</v>
      </c>
      <c r="E2921" s="2" t="b">
        <v>1</v>
      </c>
      <c r="F2921" s="2" t="b">
        <v>0</v>
      </c>
      <c r="G2921" s="2" t="s">
        <v>9937</v>
      </c>
      <c r="H2921" s="3" t="str">
        <f>_xlfn.IFNA(INDEX(RulebookFields!C2:C999, MATCH(D2921,RulebookFields!A2:A999, 0)), "")</f>
        <v>Requirements</v>
      </c>
      <c r="I2921" s="3" t="str">
        <f>_xlfn.IFNA(INDEX(RulebookFields!D2:D999, MATCH(D2921,RulebookFields!A2:A999, 0)), "")</f>
        <v>IsUnwatchedAndUnowned</v>
      </c>
      <c r="J2921" s="3" t="b">
        <f>_xlfn.IFNA(INDEX(RulebookFields!I2:I999, MATCH(D2921,RulebookFields!A2:A999, 0)), "")</f>
        <v>1</v>
      </c>
      <c r="K2921" s="3" t="b">
        <f>AND(F2921, J2921)</f>
        <v>0</v>
      </c>
      <c r="L2921" s="3" t="b">
        <f>AND(G2921 &lt;&gt; "plain", G2921 &lt;&gt; "")</f>
        <v>0</v>
      </c>
      <c r="M2921" s="3" t="str">
        <f>IF(E2921, C2921 &amp; "|" &amp; H2921, "")</f>
        <v>principal-knowledge-authority|Requirements</v>
      </c>
      <c r="N2921" s="2" t="s">
        <v>9938</v>
      </c>
    </row>
    <row r="2922">
      <c r="A2922" s="2" t="s">
        <v>12858</v>
      </c>
      <c r="B2922" s="3" t="str">
        <f>C2922 &amp; " -&gt; " &amp; D2922</f>
        <v>principal-knowledge-authority -&gt; Requirements.AttestationExposureNote</v>
      </c>
      <c r="C2922" s="2" t="s">
        <v>9708</v>
      </c>
      <c r="D2922" s="2" t="s">
        <v>3044</v>
      </c>
      <c r="E2922" s="2" t="b">
        <v>1</v>
      </c>
      <c r="F2922" s="2" t="b">
        <v>0</v>
      </c>
      <c r="G2922" s="2" t="s">
        <v>9937</v>
      </c>
      <c r="H2922" s="3" t="str">
        <f>_xlfn.IFNA(INDEX(RulebookFields!C2:C999, MATCH(D2922,RulebookFields!A2:A999, 0)), "")</f>
        <v>Requirements</v>
      </c>
      <c r="I2922" s="3" t="str">
        <f>_xlfn.IFNA(INDEX(RulebookFields!D2:D999, MATCH(D2922,RulebookFields!A2:A999, 0)), "")</f>
        <v>AttestationExposureNote</v>
      </c>
      <c r="J2922" s="3" t="b">
        <f>_xlfn.IFNA(INDEX(RulebookFields!I2:I999, MATCH(D2922,RulebookFields!A2:A999, 0)), "")</f>
        <v>1</v>
      </c>
      <c r="K2922" s="3" t="b">
        <f>AND(F2922, J2922)</f>
        <v>0</v>
      </c>
      <c r="L2922" s="3" t="b">
        <f>AND(G2922 &lt;&gt; "plain", G2922 &lt;&gt; "")</f>
        <v>0</v>
      </c>
      <c r="M2922" s="3" t="str">
        <f>IF(E2922, C2922 &amp; "|" &amp; H2922, "")</f>
        <v>principal-knowledge-authority|Requirements</v>
      </c>
      <c r="N2922" s="2" t="s">
        <v>9938</v>
      </c>
    </row>
    <row r="2923">
      <c r="A2923" s="2" t="s">
        <v>12859</v>
      </c>
      <c r="B2923" s="3" t="str">
        <f>C2923 &amp; " -&gt; " &amp; D2923</f>
        <v>principal-knowledge-authority -&gt; Requirements.UnwatchedUnownedFlag</v>
      </c>
      <c r="C2923" s="2" t="s">
        <v>9708</v>
      </c>
      <c r="D2923" s="2" t="s">
        <v>3046</v>
      </c>
      <c r="E2923" s="2" t="b">
        <v>1</v>
      </c>
      <c r="F2923" s="2" t="b">
        <v>0</v>
      </c>
      <c r="G2923" s="2" t="s">
        <v>9937</v>
      </c>
      <c r="H2923" s="3" t="str">
        <f>_xlfn.IFNA(INDEX(RulebookFields!C2:C999, MATCH(D2923,RulebookFields!A2:A999, 0)), "")</f>
        <v>Requirements</v>
      </c>
      <c r="I2923" s="3" t="str">
        <f>_xlfn.IFNA(INDEX(RulebookFields!D2:D999, MATCH(D2923,RulebookFields!A2:A999, 0)), "")</f>
        <v>UnwatchedUnownedFlag</v>
      </c>
      <c r="J2923" s="3" t="b">
        <f>_xlfn.IFNA(INDEX(RulebookFields!I2:I999, MATCH(D2923,RulebookFields!A2:A999, 0)), "")</f>
        <v>1</v>
      </c>
      <c r="K2923" s="3" t="b">
        <f>AND(F2923, J2923)</f>
        <v>0</v>
      </c>
      <c r="L2923" s="3" t="b">
        <f>AND(G2923 &lt;&gt; "plain", G2923 &lt;&gt; "")</f>
        <v>0</v>
      </c>
      <c r="M2923" s="3" t="str">
        <f>IF(E2923, C2923 &amp; "|" &amp; H2923, "")</f>
        <v>principal-knowledge-authority|Requirements</v>
      </c>
      <c r="N2923" s="2" t="s">
        <v>9938</v>
      </c>
    </row>
    <row r="2924">
      <c r="A2924" s="2" t="s">
        <v>12860</v>
      </c>
      <c r="B2924" s="3" t="str">
        <f>C2924 &amp; " -&gt; " &amp; D2924</f>
        <v>principal-knowledge-authority -&gt; Requirements.SemanticTypeIri</v>
      </c>
      <c r="C2924" s="2" t="s">
        <v>9708</v>
      </c>
      <c r="D2924" s="2" t="s">
        <v>3051</v>
      </c>
      <c r="E2924" s="2" t="b">
        <v>1</v>
      </c>
      <c r="F2924" s="2" t="b">
        <v>0</v>
      </c>
      <c r="G2924" s="2" t="s">
        <v>9937</v>
      </c>
      <c r="H2924" s="3" t="str">
        <f>_xlfn.IFNA(INDEX(RulebookFields!C2:C999, MATCH(D2924,RulebookFields!A2:A999, 0)), "")</f>
        <v>Requirements</v>
      </c>
      <c r="I2924" s="3" t="str">
        <f>_xlfn.IFNA(INDEX(RulebookFields!D2:D999, MATCH(D2924,RulebookFields!A2:A999, 0)), "")</f>
        <v>SemanticTypeIri</v>
      </c>
      <c r="J2924" s="3" t="b">
        <f>_xlfn.IFNA(INDEX(RulebookFields!I2:I999, MATCH(D2924,RulebookFields!A2:A999, 0)), "")</f>
        <v>0</v>
      </c>
      <c r="K2924" s="3" t="b">
        <f>AND(F2924, J2924)</f>
        <v>0</v>
      </c>
      <c r="L2924" s="3" t="b">
        <f>AND(G2924 &lt;&gt; "plain", G2924 &lt;&gt; "")</f>
        <v>0</v>
      </c>
      <c r="M2924" s="3" t="str">
        <f>IF(E2924, C2924 &amp; "|" &amp; H2924, "")</f>
        <v>principal-knowledge-authority|Requirements</v>
      </c>
      <c r="N2924" s="2" t="s">
        <v>9938</v>
      </c>
    </row>
    <row r="2925">
      <c r="A2925" s="2" t="s">
        <v>12861</v>
      </c>
      <c r="B2925" s="3" t="str">
        <f>C2925 &amp; " -&gt; " &amp; D2925</f>
        <v>principal-knowledge-authority -&gt; Resources.ResourceId</v>
      </c>
      <c r="C2925" s="2" t="s">
        <v>9708</v>
      </c>
      <c r="D2925" s="2" t="s">
        <v>3108</v>
      </c>
      <c r="E2925" s="2" t="b">
        <v>1</v>
      </c>
      <c r="F2925" s="2" t="b">
        <v>0</v>
      </c>
      <c r="G2925" s="2" t="s">
        <v>9937</v>
      </c>
      <c r="H2925" s="3" t="str">
        <f>_xlfn.IFNA(INDEX(RulebookFields!C2:C999, MATCH(D2925,RulebookFields!A2:A999, 0)), "")</f>
        <v>Resources</v>
      </c>
      <c r="I2925" s="3" t="str">
        <f>_xlfn.IFNA(INDEX(RulebookFields!D2:D999, MATCH(D2925,RulebookFields!A2:A999, 0)), "")</f>
        <v>ResourceId</v>
      </c>
      <c r="J2925" s="3" t="b">
        <f>_xlfn.IFNA(INDEX(RulebookFields!I2:I999, MATCH(D2925,RulebookFields!A2:A999, 0)), "")</f>
        <v>0</v>
      </c>
      <c r="K2925" s="3" t="b">
        <f>AND(F2925, J2925)</f>
        <v>0</v>
      </c>
      <c r="L2925" s="3" t="b">
        <f>AND(G2925 &lt;&gt; "plain", G2925 &lt;&gt; "")</f>
        <v>0</v>
      </c>
      <c r="M2925" s="3" t="str">
        <f>IF(E2925, C2925 &amp; "|" &amp; H2925, "")</f>
        <v>principal-knowledge-authority|Resources</v>
      </c>
      <c r="N2925" s="2" t="s">
        <v>9938</v>
      </c>
    </row>
    <row r="2926">
      <c r="A2926" s="2" t="s">
        <v>12862</v>
      </c>
      <c r="B2926" s="3" t="str">
        <f>C2926 &amp; " -&gt; " &amp; D2926</f>
        <v>principal-knowledge-authority -&gt; Resources.Name</v>
      </c>
      <c r="C2926" s="2" t="s">
        <v>9708</v>
      </c>
      <c r="D2926" s="2" t="s">
        <v>3109</v>
      </c>
      <c r="E2926" s="2" t="b">
        <v>1</v>
      </c>
      <c r="F2926" s="2" t="b">
        <v>0</v>
      </c>
      <c r="G2926" s="2" t="s">
        <v>9937</v>
      </c>
      <c r="H2926" s="3" t="str">
        <f>_xlfn.IFNA(INDEX(RulebookFields!C2:C999, MATCH(D2926,RulebookFields!A2:A999, 0)), "")</f>
        <v>Resources</v>
      </c>
      <c r="I2926" s="3" t="str">
        <f>_xlfn.IFNA(INDEX(RulebookFields!D2:D999, MATCH(D2926,RulebookFields!A2:A999, 0)), "")</f>
        <v>Name</v>
      </c>
      <c r="J2926" s="3" t="b">
        <f>_xlfn.IFNA(INDEX(RulebookFields!I2:I999, MATCH(D2926,RulebookFields!A2:A999, 0)), "")</f>
        <v>1</v>
      </c>
      <c r="K2926" s="3" t="b">
        <f>AND(F2926, J2926)</f>
        <v>0</v>
      </c>
      <c r="L2926" s="3" t="b">
        <f>AND(G2926 &lt;&gt; "plain", G2926 &lt;&gt; "")</f>
        <v>0</v>
      </c>
      <c r="M2926" s="3" t="str">
        <f>IF(E2926, C2926 &amp; "|" &amp; H2926, "")</f>
        <v>principal-knowledge-authority|Resources</v>
      </c>
      <c r="N2926" s="2" t="s">
        <v>9938</v>
      </c>
    </row>
    <row r="2927">
      <c r="A2927" s="2" t="s">
        <v>12863</v>
      </c>
      <c r="B2927" s="3" t="str">
        <f>C2927 &amp; " -&gt; " &amp; D2927</f>
        <v>principal-knowledge-authority -&gt; Resources.Title</v>
      </c>
      <c r="C2927" s="2" t="s">
        <v>9708</v>
      </c>
      <c r="D2927" s="2" t="s">
        <v>3110</v>
      </c>
      <c r="E2927" s="2" t="b">
        <v>1</v>
      </c>
      <c r="F2927" s="2" t="b">
        <v>0</v>
      </c>
      <c r="G2927" s="2" t="s">
        <v>9937</v>
      </c>
      <c r="H2927" s="3" t="str">
        <f>_xlfn.IFNA(INDEX(RulebookFields!C2:C999, MATCH(D2927,RulebookFields!A2:A999, 0)), "")</f>
        <v>Resources</v>
      </c>
      <c r="I2927" s="3" t="str">
        <f>_xlfn.IFNA(INDEX(RulebookFields!D2:D999, MATCH(D2927,RulebookFields!A2:A999, 0)), "")</f>
        <v>Title</v>
      </c>
      <c r="J2927" s="3" t="b">
        <f>_xlfn.IFNA(INDEX(RulebookFields!I2:I999, MATCH(D2927,RulebookFields!A2:A999, 0)), "")</f>
        <v>0</v>
      </c>
      <c r="K2927" s="3" t="b">
        <f>AND(F2927, J2927)</f>
        <v>0</v>
      </c>
      <c r="L2927" s="3" t="b">
        <f>AND(G2927 &lt;&gt; "plain", G2927 &lt;&gt; "")</f>
        <v>0</v>
      </c>
      <c r="M2927" s="3" t="str">
        <f>IF(E2927, C2927 &amp; "|" &amp; H2927, "")</f>
        <v>principal-knowledge-authority|Resources</v>
      </c>
      <c r="N2927" s="2" t="s">
        <v>9938</v>
      </c>
    </row>
    <row r="2928">
      <c r="A2928" s="2" t="s">
        <v>12864</v>
      </c>
      <c r="B2928" s="3" t="str">
        <f>C2928 &amp; " -&gt; " &amp; D2928</f>
        <v>principal-knowledge-authority -&gt; Resources.ResourceKind</v>
      </c>
      <c r="C2928" s="2" t="s">
        <v>9708</v>
      </c>
      <c r="D2928" s="2" t="s">
        <v>3111</v>
      </c>
      <c r="E2928" s="2" t="b">
        <v>1</v>
      </c>
      <c r="F2928" s="2" t="b">
        <v>0</v>
      </c>
      <c r="G2928" s="2" t="s">
        <v>9937</v>
      </c>
      <c r="H2928" s="3" t="str">
        <f>_xlfn.IFNA(INDEX(RulebookFields!C2:C999, MATCH(D2928,RulebookFields!A2:A999, 0)), "")</f>
        <v>Resources</v>
      </c>
      <c r="I2928" s="3" t="str">
        <f>_xlfn.IFNA(INDEX(RulebookFields!D2:D999, MATCH(D2928,RulebookFields!A2:A999, 0)), "")</f>
        <v>ResourceKind</v>
      </c>
      <c r="J2928" s="3" t="b">
        <f>_xlfn.IFNA(INDEX(RulebookFields!I2:I999, MATCH(D2928,RulebookFields!A2:A999, 0)), "")</f>
        <v>0</v>
      </c>
      <c r="K2928" s="3" t="b">
        <f>AND(F2928, J2928)</f>
        <v>0</v>
      </c>
      <c r="L2928" s="3" t="b">
        <f>AND(G2928 &lt;&gt; "plain", G2928 &lt;&gt; "")</f>
        <v>0</v>
      </c>
      <c r="M2928" s="3" t="str">
        <f>IF(E2928, C2928 &amp; "|" &amp; H2928, "")</f>
        <v>principal-knowledge-authority|Resources</v>
      </c>
      <c r="N2928" s="2" t="s">
        <v>9938</v>
      </c>
    </row>
    <row r="2929">
      <c r="A2929" s="2" t="s">
        <v>12865</v>
      </c>
      <c r="B2929" s="3" t="str">
        <f>C2929 &amp; " -&gt; " &amp; D2929</f>
        <v>principal-knowledge-authority -&gt; Resources.ExternalUri</v>
      </c>
      <c r="C2929" s="2" t="s">
        <v>9708</v>
      </c>
      <c r="D2929" s="2" t="s">
        <v>3112</v>
      </c>
      <c r="E2929" s="2" t="b">
        <v>1</v>
      </c>
      <c r="F2929" s="2" t="b">
        <v>0</v>
      </c>
      <c r="G2929" s="2" t="s">
        <v>9937</v>
      </c>
      <c r="H2929" s="3" t="str">
        <f>_xlfn.IFNA(INDEX(RulebookFields!C2:C999, MATCH(D2929,RulebookFields!A2:A999, 0)), "")</f>
        <v>Resources</v>
      </c>
      <c r="I2929" s="3" t="str">
        <f>_xlfn.IFNA(INDEX(RulebookFields!D2:D999, MATCH(D2929,RulebookFields!A2:A999, 0)), "")</f>
        <v>ExternalUri</v>
      </c>
      <c r="J2929" s="3" t="b">
        <f>_xlfn.IFNA(INDEX(RulebookFields!I2:I999, MATCH(D2929,RulebookFields!A2:A999, 0)), "")</f>
        <v>0</v>
      </c>
      <c r="K2929" s="3" t="b">
        <f>AND(F2929, J2929)</f>
        <v>0</v>
      </c>
      <c r="L2929" s="3" t="b">
        <f>AND(G2929 &lt;&gt; "plain", G2929 &lt;&gt; "")</f>
        <v>0</v>
      </c>
      <c r="M2929" s="3" t="str">
        <f>IF(E2929, C2929 &amp; "|" &amp; H2929, "")</f>
        <v>principal-knowledge-authority|Resources</v>
      </c>
      <c r="N2929" s="2" t="s">
        <v>9938</v>
      </c>
    </row>
    <row r="2930">
      <c r="A2930" s="2" t="s">
        <v>12866</v>
      </c>
      <c r="B2930" s="3" t="str">
        <f>C2930 &amp; " -&gt; " &amp; D2930</f>
        <v>principal-knowledge-authority -&gt; Resources.CreatedAt</v>
      </c>
      <c r="C2930" s="2" t="s">
        <v>9708</v>
      </c>
      <c r="D2930" s="2" t="s">
        <v>3113</v>
      </c>
      <c r="E2930" s="2" t="b">
        <v>1</v>
      </c>
      <c r="F2930" s="2" t="b">
        <v>0</v>
      </c>
      <c r="G2930" s="2" t="s">
        <v>9937</v>
      </c>
      <c r="H2930" s="3" t="str">
        <f>_xlfn.IFNA(INDEX(RulebookFields!C2:C999, MATCH(D2930,RulebookFields!A2:A999, 0)), "")</f>
        <v>Resources</v>
      </c>
      <c r="I2930" s="3" t="str">
        <f>_xlfn.IFNA(INDEX(RulebookFields!D2:D999, MATCH(D2930,RulebookFields!A2:A999, 0)), "")</f>
        <v>CreatedAt</v>
      </c>
      <c r="J2930" s="3" t="b">
        <f>_xlfn.IFNA(INDEX(RulebookFields!I2:I999, MATCH(D2930,RulebookFields!A2:A999, 0)), "")</f>
        <v>0</v>
      </c>
      <c r="K2930" s="3" t="b">
        <f>AND(F2930, J2930)</f>
        <v>0</v>
      </c>
      <c r="L2930" s="3" t="b">
        <f>AND(G2930 &lt;&gt; "plain", G2930 &lt;&gt; "")</f>
        <v>0</v>
      </c>
      <c r="M2930" s="3" t="str">
        <f>IF(E2930, C2930 &amp; "|" &amp; H2930, "")</f>
        <v>principal-knowledge-authority|Resources</v>
      </c>
      <c r="N2930" s="2" t="s">
        <v>9938</v>
      </c>
    </row>
    <row r="2931">
      <c r="A2931" s="2" t="s">
        <v>12867</v>
      </c>
      <c r="B2931" s="3" t="str">
        <f>C2931 &amp; " -&gt; " &amp; D2931</f>
        <v>principal-knowledge-authority -&gt; Resources.ModifiedAt</v>
      </c>
      <c r="C2931" s="2" t="s">
        <v>9708</v>
      </c>
      <c r="D2931" s="2" t="s">
        <v>3114</v>
      </c>
      <c r="E2931" s="2" t="b">
        <v>1</v>
      </c>
      <c r="F2931" s="2" t="b">
        <v>0</v>
      </c>
      <c r="G2931" s="2" t="s">
        <v>9937</v>
      </c>
      <c r="H2931" s="3" t="str">
        <f>_xlfn.IFNA(INDEX(RulebookFields!C2:C999, MATCH(D2931,RulebookFields!A2:A999, 0)), "")</f>
        <v>Resources</v>
      </c>
      <c r="I2931" s="3" t="str">
        <f>_xlfn.IFNA(INDEX(RulebookFields!D2:D999, MATCH(D2931,RulebookFields!A2:A999, 0)), "")</f>
        <v>ModifiedAt</v>
      </c>
      <c r="J2931" s="3" t="b">
        <f>_xlfn.IFNA(INDEX(RulebookFields!I2:I999, MATCH(D2931,RulebookFields!A2:A999, 0)), "")</f>
        <v>0</v>
      </c>
      <c r="K2931" s="3" t="b">
        <f>AND(F2931, J2931)</f>
        <v>0</v>
      </c>
      <c r="L2931" s="3" t="b">
        <f>AND(G2931 &lt;&gt; "plain", G2931 &lt;&gt; "")</f>
        <v>0</v>
      </c>
      <c r="M2931" s="3" t="str">
        <f>IF(E2931, C2931 &amp; "|" &amp; H2931, "")</f>
        <v>principal-knowledge-authority|Resources</v>
      </c>
      <c r="N2931" s="2" t="s">
        <v>9938</v>
      </c>
    </row>
    <row r="2932">
      <c r="A2932" s="2" t="s">
        <v>12868</v>
      </c>
      <c r="B2932" s="3" t="str">
        <f>C2932 &amp; " -&gt; " &amp; D2932</f>
        <v>principal-knowledge-authority -&gt; Resources.Description</v>
      </c>
      <c r="C2932" s="2" t="s">
        <v>9708</v>
      </c>
      <c r="D2932" s="2" t="s">
        <v>3115</v>
      </c>
      <c r="E2932" s="2" t="b">
        <v>1</v>
      </c>
      <c r="F2932" s="2" t="b">
        <v>0</v>
      </c>
      <c r="G2932" s="2" t="s">
        <v>9937</v>
      </c>
      <c r="H2932" s="3" t="str">
        <f>_xlfn.IFNA(INDEX(RulebookFields!C2:C999, MATCH(D2932,RulebookFields!A2:A999, 0)), "")</f>
        <v>Resources</v>
      </c>
      <c r="I2932" s="3" t="str">
        <f>_xlfn.IFNA(INDEX(RulebookFields!D2:D999, MATCH(D2932,RulebookFields!A2:A999, 0)), "")</f>
        <v>Description</v>
      </c>
      <c r="J2932" s="3" t="b">
        <f>_xlfn.IFNA(INDEX(RulebookFields!I2:I999, MATCH(D2932,RulebookFields!A2:A999, 0)), "")</f>
        <v>0</v>
      </c>
      <c r="K2932" s="3" t="b">
        <f>AND(F2932, J2932)</f>
        <v>0</v>
      </c>
      <c r="L2932" s="3" t="b">
        <f>AND(G2932 &lt;&gt; "plain", G2932 &lt;&gt; "")</f>
        <v>0</v>
      </c>
      <c r="M2932" s="3" t="str">
        <f>IF(E2932, C2932 &amp; "|" &amp; H2932, "")</f>
        <v>principal-knowledge-authority|Resources</v>
      </c>
      <c r="N2932" s="2" t="s">
        <v>9938</v>
      </c>
    </row>
    <row r="2933">
      <c r="A2933" s="2" t="s">
        <v>12869</v>
      </c>
      <c r="B2933" s="3" t="str">
        <f>C2933 &amp; " -&gt; " &amp; D2933</f>
        <v>principal-knowledge-authority -&gt; Resources.ApprovalStatus</v>
      </c>
      <c r="C2933" s="2" t="s">
        <v>9708</v>
      </c>
      <c r="D2933" s="2" t="s">
        <v>3116</v>
      </c>
      <c r="E2933" s="2" t="b">
        <v>1</v>
      </c>
      <c r="F2933" s="2" t="b">
        <v>0</v>
      </c>
      <c r="G2933" s="2" t="s">
        <v>9937</v>
      </c>
      <c r="H2933" s="3" t="str">
        <f>_xlfn.IFNA(INDEX(RulebookFields!C2:C999, MATCH(D2933,RulebookFields!A2:A999, 0)), "")</f>
        <v>Resources</v>
      </c>
      <c r="I2933" s="3" t="str">
        <f>_xlfn.IFNA(INDEX(RulebookFields!D2:D999, MATCH(D2933,RulebookFields!A2:A999, 0)), "")</f>
        <v>ApprovalStatus</v>
      </c>
      <c r="J2933" s="3" t="b">
        <f>_xlfn.IFNA(INDEX(RulebookFields!I2:I999, MATCH(D2933,RulebookFields!A2:A999, 0)), "")</f>
        <v>0</v>
      </c>
      <c r="K2933" s="3" t="b">
        <f>AND(F2933, J2933)</f>
        <v>0</v>
      </c>
      <c r="L2933" s="3" t="b">
        <f>AND(G2933 &lt;&gt; "plain", G2933 &lt;&gt; "")</f>
        <v>0</v>
      </c>
      <c r="M2933" s="3" t="str">
        <f>IF(E2933, C2933 &amp; "|" &amp; H2933, "")</f>
        <v>principal-knowledge-authority|Resources</v>
      </c>
      <c r="N2933" s="2" t="s">
        <v>9938</v>
      </c>
    </row>
    <row r="2934">
      <c r="A2934" s="2" t="s">
        <v>12870</v>
      </c>
      <c r="B2934" s="3" t="str">
        <f>C2934 &amp; " -&gt; " &amp; D2934</f>
        <v>principal-knowledge-authority -&gt; Resources.IsApprovedSource</v>
      </c>
      <c r="C2934" s="2" t="s">
        <v>9708</v>
      </c>
      <c r="D2934" s="2" t="s">
        <v>3117</v>
      </c>
      <c r="E2934" s="2" t="b">
        <v>1</v>
      </c>
      <c r="F2934" s="2" t="b">
        <v>0</v>
      </c>
      <c r="G2934" s="2" t="s">
        <v>9937</v>
      </c>
      <c r="H2934" s="3" t="str">
        <f>_xlfn.IFNA(INDEX(RulebookFields!C2:C999, MATCH(D2934,RulebookFields!A2:A999, 0)), "")</f>
        <v>Resources</v>
      </c>
      <c r="I2934" s="3" t="str">
        <f>_xlfn.IFNA(INDEX(RulebookFields!D2:D999, MATCH(D2934,RulebookFields!A2:A999, 0)), "")</f>
        <v>IsApprovedSource</v>
      </c>
      <c r="J2934" s="3" t="b">
        <f>_xlfn.IFNA(INDEX(RulebookFields!I2:I999, MATCH(D2934,RulebookFields!A2:A999, 0)), "")</f>
        <v>1</v>
      </c>
      <c r="K2934" s="3" t="b">
        <f>AND(F2934, J2934)</f>
        <v>0</v>
      </c>
      <c r="L2934" s="3" t="b">
        <f>AND(G2934 &lt;&gt; "plain", G2934 &lt;&gt; "")</f>
        <v>0</v>
      </c>
      <c r="M2934" s="3" t="str">
        <f>IF(E2934, C2934 &amp; "|" &amp; H2934, "")</f>
        <v>principal-knowledge-authority|Resources</v>
      </c>
      <c r="N2934" s="2" t="s">
        <v>9938</v>
      </c>
    </row>
    <row r="2935">
      <c r="A2935" s="2" t="s">
        <v>12871</v>
      </c>
      <c r="B2935" s="3" t="str">
        <f>C2935 &amp; " -&gt; " &amp; D2935</f>
        <v>principal-knowledge-authority -&gt; Resources.SemanticTypeIri</v>
      </c>
      <c r="C2935" s="2" t="s">
        <v>9708</v>
      </c>
      <c r="D2935" s="2" t="s">
        <v>3119</v>
      </c>
      <c r="E2935" s="2" t="b">
        <v>1</v>
      </c>
      <c r="F2935" s="2" t="b">
        <v>0</v>
      </c>
      <c r="G2935" s="2" t="s">
        <v>9937</v>
      </c>
      <c r="H2935" s="3" t="str">
        <f>_xlfn.IFNA(INDEX(RulebookFields!C2:C999, MATCH(D2935,RulebookFields!A2:A999, 0)), "")</f>
        <v>Resources</v>
      </c>
      <c r="I2935" s="3" t="str">
        <f>_xlfn.IFNA(INDEX(RulebookFields!D2:D999, MATCH(D2935,RulebookFields!A2:A999, 0)), "")</f>
        <v>SemanticTypeIri</v>
      </c>
      <c r="J2935" s="3" t="b">
        <f>_xlfn.IFNA(INDEX(RulebookFields!I2:I999, MATCH(D2935,RulebookFields!A2:A999, 0)), "")</f>
        <v>0</v>
      </c>
      <c r="K2935" s="3" t="b">
        <f>AND(F2935, J2935)</f>
        <v>0</v>
      </c>
      <c r="L2935" s="3" t="b">
        <f>AND(G2935 &lt;&gt; "plain", G2935 &lt;&gt; "")</f>
        <v>0</v>
      </c>
      <c r="M2935" s="3" t="str">
        <f>IF(E2935, C2935 &amp; "|" &amp; H2935, "")</f>
        <v>principal-knowledge-authority|Resources</v>
      </c>
      <c r="N2935" s="2" t="s">
        <v>9938</v>
      </c>
    </row>
    <row r="2936">
      <c r="A2936" s="2" t="s">
        <v>12872</v>
      </c>
      <c r="B2936" s="3" t="str">
        <f>C2936 &amp; " -&gt; " &amp; D2936</f>
        <v>principal-knowledge-authority -&gt; ReviewEvents.ReviewEventId</v>
      </c>
      <c r="C2936" s="2" t="s">
        <v>9708</v>
      </c>
      <c r="D2936" s="2" t="s">
        <v>3921</v>
      </c>
      <c r="E2936" s="2" t="b">
        <v>1</v>
      </c>
      <c r="F2936" s="2" t="b">
        <v>0</v>
      </c>
      <c r="G2936" s="2" t="s">
        <v>9937</v>
      </c>
      <c r="H2936" s="3" t="str">
        <f>_xlfn.IFNA(INDEX(RulebookFields!C2:C999, MATCH(D2936,RulebookFields!A2:A999, 0)), "")</f>
        <v>ReviewEvents</v>
      </c>
      <c r="I2936" s="3" t="str">
        <f>_xlfn.IFNA(INDEX(RulebookFields!D2:D999, MATCH(D2936,RulebookFields!A2:A999, 0)), "")</f>
        <v>ReviewEventId</v>
      </c>
      <c r="J2936" s="3" t="b">
        <f>_xlfn.IFNA(INDEX(RulebookFields!I2:I999, MATCH(D2936,RulebookFields!A2:A999, 0)), "")</f>
        <v>0</v>
      </c>
      <c r="K2936" s="3" t="b">
        <f>AND(F2936, J2936)</f>
        <v>0</v>
      </c>
      <c r="L2936" s="3" t="b">
        <f>AND(G2936 &lt;&gt; "plain", G2936 &lt;&gt; "")</f>
        <v>0</v>
      </c>
      <c r="M2936" s="3" t="str">
        <f>IF(E2936, C2936 &amp; "|" &amp; H2936, "")</f>
        <v>principal-knowledge-authority|ReviewEvents</v>
      </c>
      <c r="N2936" s="2" t="s">
        <v>9938</v>
      </c>
    </row>
    <row r="2937">
      <c r="A2937" s="2" t="s">
        <v>12873</v>
      </c>
      <c r="B2937" s="3" t="str">
        <f>C2937 &amp; " -&gt; " &amp; D2937</f>
        <v>principal-knowledge-authority -&gt; ReviewEvents.Name</v>
      </c>
      <c r="C2937" s="2" t="s">
        <v>9708</v>
      </c>
      <c r="D2937" s="2" t="s">
        <v>3923</v>
      </c>
      <c r="E2937" s="2" t="b">
        <v>1</v>
      </c>
      <c r="F2937" s="2" t="b">
        <v>0</v>
      </c>
      <c r="G2937" s="2" t="s">
        <v>9937</v>
      </c>
      <c r="H2937" s="3" t="str">
        <f>_xlfn.IFNA(INDEX(RulebookFields!C2:C999, MATCH(D2937,RulebookFields!A2:A999, 0)), "")</f>
        <v>ReviewEvents</v>
      </c>
      <c r="I2937" s="3" t="str">
        <f>_xlfn.IFNA(INDEX(RulebookFields!D2:D999, MATCH(D2937,RulebookFields!A2:A999, 0)), "")</f>
        <v>Name</v>
      </c>
      <c r="J2937" s="3" t="b">
        <f>_xlfn.IFNA(INDEX(RulebookFields!I2:I999, MATCH(D2937,RulebookFields!A2:A999, 0)), "")</f>
        <v>1</v>
      </c>
      <c r="K2937" s="3" t="b">
        <f>AND(F2937, J2937)</f>
        <v>0</v>
      </c>
      <c r="L2937" s="3" t="b">
        <f>AND(G2937 &lt;&gt; "plain", G2937 &lt;&gt; "")</f>
        <v>0</v>
      </c>
      <c r="M2937" s="3" t="str">
        <f>IF(E2937, C2937 &amp; "|" &amp; H2937, "")</f>
        <v>principal-knowledge-authority|ReviewEvents</v>
      </c>
      <c r="N2937" s="2" t="s">
        <v>9938</v>
      </c>
    </row>
    <row r="2938">
      <c r="A2938" s="2" t="s">
        <v>12874</v>
      </c>
      <c r="B2938" s="3" t="str">
        <f>C2938 &amp; " -&gt; " &amp; D2938</f>
        <v>principal-knowledge-authority -&gt; ReviewEvents.ProcedureVersion</v>
      </c>
      <c r="C2938" s="2" t="s">
        <v>9708</v>
      </c>
      <c r="D2938" s="2" t="s">
        <v>3925</v>
      </c>
      <c r="E2938" s="2" t="b">
        <v>1</v>
      </c>
      <c r="F2938" s="2" t="b">
        <v>0</v>
      </c>
      <c r="G2938" s="2" t="s">
        <v>9937</v>
      </c>
      <c r="H2938" s="3" t="str">
        <f>_xlfn.IFNA(INDEX(RulebookFields!C2:C999, MATCH(D2938,RulebookFields!A2:A999, 0)), "")</f>
        <v>ReviewEvents</v>
      </c>
      <c r="I2938" s="3" t="str">
        <f>_xlfn.IFNA(INDEX(RulebookFields!D2:D999, MATCH(D2938,RulebookFields!A2:A999, 0)), "")</f>
        <v>ProcedureVersion</v>
      </c>
      <c r="J2938" s="3" t="b">
        <f>_xlfn.IFNA(INDEX(RulebookFields!I2:I999, MATCH(D2938,RulebookFields!A2:A999, 0)), "")</f>
        <v>0</v>
      </c>
      <c r="K2938" s="3" t="b">
        <f>AND(F2938, J2938)</f>
        <v>0</v>
      </c>
      <c r="L2938" s="3" t="b">
        <f>AND(G2938 &lt;&gt; "plain", G2938 &lt;&gt; "")</f>
        <v>0</v>
      </c>
      <c r="M2938" s="3" t="str">
        <f>IF(E2938, C2938 &amp; "|" &amp; H2938, "")</f>
        <v>principal-knowledge-authority|ReviewEvents</v>
      </c>
      <c r="N2938" s="2" t="s">
        <v>9938</v>
      </c>
    </row>
    <row r="2939">
      <c r="A2939" s="2" t="s">
        <v>12875</v>
      </c>
      <c r="B2939" s="3" t="str">
        <f>C2939 &amp; " -&gt; " &amp; D2939</f>
        <v>principal-knowledge-authority -&gt; ReviewEvents.ReviewKind</v>
      </c>
      <c r="C2939" s="2" t="s">
        <v>9708</v>
      </c>
      <c r="D2939" s="2" t="s">
        <v>3926</v>
      </c>
      <c r="E2939" s="2" t="b">
        <v>1</v>
      </c>
      <c r="F2939" s="2" t="b">
        <v>0</v>
      </c>
      <c r="G2939" s="2" t="s">
        <v>9937</v>
      </c>
      <c r="H2939" s="3" t="str">
        <f>_xlfn.IFNA(INDEX(RulebookFields!C2:C999, MATCH(D2939,RulebookFields!A2:A999, 0)), "")</f>
        <v>ReviewEvents</v>
      </c>
      <c r="I2939" s="3" t="str">
        <f>_xlfn.IFNA(INDEX(RulebookFields!D2:D999, MATCH(D2939,RulebookFields!A2:A999, 0)), "")</f>
        <v>ReviewKind</v>
      </c>
      <c r="J2939" s="3" t="b">
        <f>_xlfn.IFNA(INDEX(RulebookFields!I2:I999, MATCH(D2939,RulebookFields!A2:A999, 0)), "")</f>
        <v>0</v>
      </c>
      <c r="K2939" s="3" t="b">
        <f>AND(F2939, J2939)</f>
        <v>0</v>
      </c>
      <c r="L2939" s="3" t="b">
        <f>AND(G2939 &lt;&gt; "plain", G2939 &lt;&gt; "")</f>
        <v>0</v>
      </c>
      <c r="M2939" s="3" t="str">
        <f>IF(E2939, C2939 &amp; "|" &amp; H2939, "")</f>
        <v>principal-knowledge-authority|ReviewEvents</v>
      </c>
      <c r="N2939" s="2" t="s">
        <v>9938</v>
      </c>
    </row>
    <row r="2940">
      <c r="A2940" s="2" t="s">
        <v>12876</v>
      </c>
      <c r="B2940" s="3" t="str">
        <f>C2940 &amp; " -&gt; " &amp; D2940</f>
        <v>principal-knowledge-authority -&gt; ReviewEvents.ReviewedAt</v>
      </c>
      <c r="C2940" s="2" t="s">
        <v>9708</v>
      </c>
      <c r="D2940" s="2" t="s">
        <v>3927</v>
      </c>
      <c r="E2940" s="2" t="b">
        <v>1</v>
      </c>
      <c r="F2940" s="2" t="b">
        <v>0</v>
      </c>
      <c r="G2940" s="2" t="s">
        <v>9937</v>
      </c>
      <c r="H2940" s="3" t="str">
        <f>_xlfn.IFNA(INDEX(RulebookFields!C2:C999, MATCH(D2940,RulebookFields!A2:A999, 0)), "")</f>
        <v>ReviewEvents</v>
      </c>
      <c r="I2940" s="3" t="str">
        <f>_xlfn.IFNA(INDEX(RulebookFields!D2:D999, MATCH(D2940,RulebookFields!A2:A999, 0)), "")</f>
        <v>ReviewedAt</v>
      </c>
      <c r="J2940" s="3" t="b">
        <f>_xlfn.IFNA(INDEX(RulebookFields!I2:I999, MATCH(D2940,RulebookFields!A2:A999, 0)), "")</f>
        <v>0</v>
      </c>
      <c r="K2940" s="3" t="b">
        <f>AND(F2940, J2940)</f>
        <v>0</v>
      </c>
      <c r="L2940" s="3" t="b">
        <f>AND(G2940 &lt;&gt; "plain", G2940 &lt;&gt; "")</f>
        <v>0</v>
      </c>
      <c r="M2940" s="3" t="str">
        <f>IF(E2940, C2940 &amp; "|" &amp; H2940, "")</f>
        <v>principal-knowledge-authority|ReviewEvents</v>
      </c>
      <c r="N2940" s="2" t="s">
        <v>9938</v>
      </c>
    </row>
    <row r="2941">
      <c r="A2941" s="2" t="s">
        <v>12877</v>
      </c>
      <c r="B2941" s="3" t="str">
        <f>C2941 &amp; " -&gt; " &amp; D2941</f>
        <v>principal-knowledge-authority -&gt; ReviewEvents.ReviewedByAgent</v>
      </c>
      <c r="C2941" s="2" t="s">
        <v>9708</v>
      </c>
      <c r="D2941" s="2" t="s">
        <v>3928</v>
      </c>
      <c r="E2941" s="2" t="b">
        <v>1</v>
      </c>
      <c r="F2941" s="2" t="b">
        <v>0</v>
      </c>
      <c r="G2941" s="2" t="s">
        <v>9937</v>
      </c>
      <c r="H2941" s="3" t="str">
        <f>_xlfn.IFNA(INDEX(RulebookFields!C2:C999, MATCH(D2941,RulebookFields!A2:A999, 0)), "")</f>
        <v>ReviewEvents</v>
      </c>
      <c r="I2941" s="3" t="str">
        <f>_xlfn.IFNA(INDEX(RulebookFields!D2:D999, MATCH(D2941,RulebookFields!A2:A999, 0)), "")</f>
        <v>ReviewedByAgent</v>
      </c>
      <c r="J2941" s="3" t="b">
        <f>_xlfn.IFNA(INDEX(RulebookFields!I2:I999, MATCH(D2941,RulebookFields!A2:A999, 0)), "")</f>
        <v>0</v>
      </c>
      <c r="K2941" s="3" t="b">
        <f>AND(F2941, J2941)</f>
        <v>0</v>
      </c>
      <c r="L2941" s="3" t="b">
        <f>AND(G2941 &lt;&gt; "plain", G2941 &lt;&gt; "")</f>
        <v>0</v>
      </c>
      <c r="M2941" s="3" t="str">
        <f>IF(E2941, C2941 &amp; "|" &amp; H2941, "")</f>
        <v>principal-knowledge-authority|ReviewEvents</v>
      </c>
      <c r="N2941" s="2" t="s">
        <v>9938</v>
      </c>
    </row>
    <row r="2942">
      <c r="A2942" s="2" t="s">
        <v>12878</v>
      </c>
      <c r="B2942" s="3" t="str">
        <f>C2942 &amp; " -&gt; " &amp; D2942</f>
        <v>principal-knowledge-authority -&gt; ReviewEvents.Outcome</v>
      </c>
      <c r="C2942" s="2" t="s">
        <v>9708</v>
      </c>
      <c r="D2942" s="2" t="s">
        <v>3929</v>
      </c>
      <c r="E2942" s="2" t="b">
        <v>1</v>
      </c>
      <c r="F2942" s="2" t="b">
        <v>0</v>
      </c>
      <c r="G2942" s="2" t="s">
        <v>9937</v>
      </c>
      <c r="H2942" s="3" t="str">
        <f>_xlfn.IFNA(INDEX(RulebookFields!C2:C999, MATCH(D2942,RulebookFields!A2:A999, 0)), "")</f>
        <v>ReviewEvents</v>
      </c>
      <c r="I2942" s="3" t="str">
        <f>_xlfn.IFNA(INDEX(RulebookFields!D2:D999, MATCH(D2942,RulebookFields!A2:A999, 0)), "")</f>
        <v>Outcome</v>
      </c>
      <c r="J2942" s="3" t="b">
        <f>_xlfn.IFNA(INDEX(RulebookFields!I2:I999, MATCH(D2942,RulebookFields!A2:A999, 0)), "")</f>
        <v>0</v>
      </c>
      <c r="K2942" s="3" t="b">
        <f>AND(F2942, J2942)</f>
        <v>0</v>
      </c>
      <c r="L2942" s="3" t="b">
        <f>AND(G2942 &lt;&gt; "plain", G2942 &lt;&gt; "")</f>
        <v>0</v>
      </c>
      <c r="M2942" s="3" t="str">
        <f>IF(E2942, C2942 &amp; "|" &amp; H2942, "")</f>
        <v>principal-knowledge-authority|ReviewEvents</v>
      </c>
      <c r="N2942" s="2" t="s">
        <v>9938</v>
      </c>
    </row>
    <row r="2943">
      <c r="A2943" s="2" t="s">
        <v>12879</v>
      </c>
      <c r="B2943" s="3" t="str">
        <f>C2943 &amp; " -&gt; " &amp; D2943</f>
        <v>principal-knowledge-authority -&gt; ReviewEvents.RelatedChangeRequest</v>
      </c>
      <c r="C2943" s="2" t="s">
        <v>9708</v>
      </c>
      <c r="D2943" s="2" t="s">
        <v>3930</v>
      </c>
      <c r="E2943" s="2" t="b">
        <v>1</v>
      </c>
      <c r="F2943" s="2" t="b">
        <v>0</v>
      </c>
      <c r="G2943" s="2" t="s">
        <v>9937</v>
      </c>
      <c r="H2943" s="3" t="str">
        <f>_xlfn.IFNA(INDEX(RulebookFields!C2:C999, MATCH(D2943,RulebookFields!A2:A999, 0)), "")</f>
        <v>ReviewEvents</v>
      </c>
      <c r="I2943" s="3" t="str">
        <f>_xlfn.IFNA(INDEX(RulebookFields!D2:D999, MATCH(D2943,RulebookFields!A2:A999, 0)), "")</f>
        <v>RelatedChangeRequest</v>
      </c>
      <c r="J2943" s="3" t="b">
        <f>_xlfn.IFNA(INDEX(RulebookFields!I2:I999, MATCH(D2943,RulebookFields!A2:A999, 0)), "")</f>
        <v>0</v>
      </c>
      <c r="K2943" s="3" t="b">
        <f>AND(F2943, J2943)</f>
        <v>0</v>
      </c>
      <c r="L2943" s="3" t="b">
        <f>AND(G2943 &lt;&gt; "plain", G2943 &lt;&gt; "")</f>
        <v>0</v>
      </c>
      <c r="M2943" s="3" t="str">
        <f>IF(E2943, C2943 &amp; "|" &amp; H2943, "")</f>
        <v>principal-knowledge-authority|ReviewEvents</v>
      </c>
      <c r="N2943" s="2" t="s">
        <v>9938</v>
      </c>
    </row>
    <row r="2944">
      <c r="A2944" s="2" t="s">
        <v>12880</v>
      </c>
      <c r="B2944" s="3" t="str">
        <f>C2944 &amp; " -&gt; " &amp; D2944</f>
        <v>principal-knowledge-authority -&gt; ReviewEvents.NextReviewDue</v>
      </c>
      <c r="C2944" s="2" t="s">
        <v>9708</v>
      </c>
      <c r="D2944" s="2" t="s">
        <v>3931</v>
      </c>
      <c r="E2944" s="2" t="b">
        <v>1</v>
      </c>
      <c r="F2944" s="2" t="b">
        <v>0</v>
      </c>
      <c r="G2944" s="2" t="s">
        <v>9937</v>
      </c>
      <c r="H2944" s="3" t="str">
        <f>_xlfn.IFNA(INDEX(RulebookFields!C2:C999, MATCH(D2944,RulebookFields!A2:A999, 0)), "")</f>
        <v>ReviewEvents</v>
      </c>
      <c r="I2944" s="3" t="str">
        <f>_xlfn.IFNA(INDEX(RulebookFields!D2:D999, MATCH(D2944,RulebookFields!A2:A999, 0)), "")</f>
        <v>NextReviewDue</v>
      </c>
      <c r="J2944" s="3" t="b">
        <f>_xlfn.IFNA(INDEX(RulebookFields!I2:I999, MATCH(D2944,RulebookFields!A2:A999, 0)), "")</f>
        <v>0</v>
      </c>
      <c r="K2944" s="3" t="b">
        <f>AND(F2944, J2944)</f>
        <v>0</v>
      </c>
      <c r="L2944" s="3" t="b">
        <f>AND(G2944 &lt;&gt; "plain", G2944 &lt;&gt; "")</f>
        <v>0</v>
      </c>
      <c r="M2944" s="3" t="str">
        <f>IF(E2944, C2944 &amp; "|" &amp; H2944, "")</f>
        <v>principal-knowledge-authority|ReviewEvents</v>
      </c>
      <c r="N2944" s="2" t="s">
        <v>9938</v>
      </c>
    </row>
    <row r="2945">
      <c r="A2945" s="2" t="s">
        <v>12881</v>
      </c>
      <c r="B2945" s="3" t="str">
        <f>C2945 &amp; " -&gt; " &amp; D2945</f>
        <v>principal-knowledge-authority -&gt; ReviewEvents.EvaluationContext</v>
      </c>
      <c r="C2945" s="2" t="s">
        <v>9708</v>
      </c>
      <c r="D2945" s="2" t="s">
        <v>3932</v>
      </c>
      <c r="E2945" s="2" t="b">
        <v>1</v>
      </c>
      <c r="F2945" s="2" t="b">
        <v>0</v>
      </c>
      <c r="G2945" s="2" t="s">
        <v>9937</v>
      </c>
      <c r="H2945" s="3" t="str">
        <f>_xlfn.IFNA(INDEX(RulebookFields!C2:C999, MATCH(D2945,RulebookFields!A2:A999, 0)), "")</f>
        <v>ReviewEvents</v>
      </c>
      <c r="I2945" s="3" t="str">
        <f>_xlfn.IFNA(INDEX(RulebookFields!D2:D999, MATCH(D2945,RulebookFields!A2:A999, 0)), "")</f>
        <v>EvaluationContext</v>
      </c>
      <c r="J2945" s="3" t="b">
        <f>_xlfn.IFNA(INDEX(RulebookFields!I2:I999, MATCH(D2945,RulebookFields!A2:A999, 0)), "")</f>
        <v>0</v>
      </c>
      <c r="K2945" s="3" t="b">
        <f>AND(F2945, J2945)</f>
        <v>0</v>
      </c>
      <c r="L2945" s="3" t="b">
        <f>AND(G2945 &lt;&gt; "plain", G2945 &lt;&gt; "")</f>
        <v>0</v>
      </c>
      <c r="M2945" s="3" t="str">
        <f>IF(E2945, C2945 &amp; "|" &amp; H2945, "")</f>
        <v>principal-knowledge-authority|ReviewEvents</v>
      </c>
      <c r="N2945" s="2" t="s">
        <v>9938</v>
      </c>
    </row>
    <row r="2946">
      <c r="A2946" s="2" t="s">
        <v>12882</v>
      </c>
      <c r="B2946" s="3" t="str">
        <f>C2946 &amp; " -&gt; " &amp; D2946</f>
        <v>principal-knowledge-authority -&gt; ReviewEvents.AsOfInstant</v>
      </c>
      <c r="C2946" s="2" t="s">
        <v>9708</v>
      </c>
      <c r="D2946" s="2" t="s">
        <v>3933</v>
      </c>
      <c r="E2946" s="2" t="b">
        <v>1</v>
      </c>
      <c r="F2946" s="2" t="b">
        <v>0</v>
      </c>
      <c r="G2946" s="2" t="s">
        <v>9937</v>
      </c>
      <c r="H2946" s="3" t="str">
        <f>_xlfn.IFNA(INDEX(RulebookFields!C2:C999, MATCH(D2946,RulebookFields!A2:A999, 0)), "")</f>
        <v>ReviewEvents</v>
      </c>
      <c r="I2946" s="3" t="str">
        <f>_xlfn.IFNA(INDEX(RulebookFields!D2:D999, MATCH(D2946,RulebookFields!A2:A999, 0)), "")</f>
        <v>AsOfInstant</v>
      </c>
      <c r="J2946" s="3" t="b">
        <f>_xlfn.IFNA(INDEX(RulebookFields!I2:I999, MATCH(D2946,RulebookFields!A2:A999, 0)), "")</f>
        <v>1</v>
      </c>
      <c r="K2946" s="3" t="b">
        <f>AND(F2946, J2946)</f>
        <v>0</v>
      </c>
      <c r="L2946" s="3" t="b">
        <f>AND(G2946 &lt;&gt; "plain", G2946 &lt;&gt; "")</f>
        <v>0</v>
      </c>
      <c r="M2946" s="3" t="str">
        <f>IF(E2946, C2946 &amp; "|" &amp; H2946, "")</f>
        <v>principal-knowledge-authority|ReviewEvents</v>
      </c>
      <c r="N2946" s="2" t="s">
        <v>9938</v>
      </c>
    </row>
    <row r="2947">
      <c r="A2947" s="2" t="s">
        <v>12883</v>
      </c>
      <c r="B2947" s="3" t="str">
        <f>C2947 &amp; " -&gt; " &amp; D2947</f>
        <v>principal-knowledge-authority -&gt; ReviewEvents.IsOverdue</v>
      </c>
      <c r="C2947" s="2" t="s">
        <v>9708</v>
      </c>
      <c r="D2947" s="2" t="s">
        <v>3934</v>
      </c>
      <c r="E2947" s="2" t="b">
        <v>1</v>
      </c>
      <c r="F2947" s="2" t="b">
        <v>0</v>
      </c>
      <c r="G2947" s="2" t="s">
        <v>9937</v>
      </c>
      <c r="H2947" s="3" t="str">
        <f>_xlfn.IFNA(INDEX(RulebookFields!C2:C999, MATCH(D2947,RulebookFields!A2:A999, 0)), "")</f>
        <v>ReviewEvents</v>
      </c>
      <c r="I2947" s="3" t="str">
        <f>_xlfn.IFNA(INDEX(RulebookFields!D2:D999, MATCH(D2947,RulebookFields!A2:A999, 0)), "")</f>
        <v>IsOverdue</v>
      </c>
      <c r="J2947" s="3" t="b">
        <f>_xlfn.IFNA(INDEX(RulebookFields!I2:I999, MATCH(D2947,RulebookFields!A2:A999, 0)), "")</f>
        <v>1</v>
      </c>
      <c r="K2947" s="3" t="b">
        <f>AND(F2947, J2947)</f>
        <v>0</v>
      </c>
      <c r="L2947" s="3" t="b">
        <f>AND(G2947 &lt;&gt; "plain", G2947 &lt;&gt; "")</f>
        <v>0</v>
      </c>
      <c r="M2947" s="3" t="str">
        <f>IF(E2947, C2947 &amp; "|" &amp; H2947, "")</f>
        <v>principal-knowledge-authority|ReviewEvents</v>
      </c>
      <c r="N2947" s="2" t="s">
        <v>9938</v>
      </c>
    </row>
    <row r="2948">
      <c r="A2948" s="2" t="s">
        <v>12884</v>
      </c>
      <c r="B2948" s="3" t="str">
        <f>C2948 &amp; " -&gt; " &amp; D2948</f>
        <v>principal-knowledge-authority -&gt; ReviewEvents.OverdueVersionKey</v>
      </c>
      <c r="C2948" s="2" t="s">
        <v>9708</v>
      </c>
      <c r="D2948" s="2" t="s">
        <v>3936</v>
      </c>
      <c r="E2948" s="2" t="b">
        <v>1</v>
      </c>
      <c r="F2948" s="2" t="b">
        <v>0</v>
      </c>
      <c r="G2948" s="2" t="s">
        <v>9937</v>
      </c>
      <c r="H2948" s="3" t="str">
        <f>_xlfn.IFNA(INDEX(RulebookFields!C2:C999, MATCH(D2948,RulebookFields!A2:A999, 0)), "")</f>
        <v>ReviewEvents</v>
      </c>
      <c r="I2948" s="3" t="str">
        <f>_xlfn.IFNA(INDEX(RulebookFields!D2:D999, MATCH(D2948,RulebookFields!A2:A999, 0)), "")</f>
        <v>OverdueVersionKey</v>
      </c>
      <c r="J2948" s="3" t="b">
        <f>_xlfn.IFNA(INDEX(RulebookFields!I2:I999, MATCH(D2948,RulebookFields!A2:A999, 0)), "")</f>
        <v>1</v>
      </c>
      <c r="K2948" s="3" t="b">
        <f>AND(F2948, J2948)</f>
        <v>0</v>
      </c>
      <c r="L2948" s="3" t="b">
        <f>AND(G2948 &lt;&gt; "plain", G2948 &lt;&gt; "")</f>
        <v>0</v>
      </c>
      <c r="M2948" s="3" t="str">
        <f>IF(E2948, C2948 &amp; "|" &amp; H2948, "")</f>
        <v>principal-knowledge-authority|ReviewEvents</v>
      </c>
      <c r="N2948" s="2" t="s">
        <v>9938</v>
      </c>
    </row>
    <row r="2949">
      <c r="A2949" s="2" t="s">
        <v>12885</v>
      </c>
      <c r="B2949" s="3" t="str">
        <f>C2949 &amp; " -&gt; " &amp; D2949</f>
        <v>principal-knowledge-authority -&gt; ReviewEvents.PromisedCadenceDays</v>
      </c>
      <c r="C2949" s="2" t="s">
        <v>9708</v>
      </c>
      <c r="D2949" s="2" t="s">
        <v>3938</v>
      </c>
      <c r="E2949" s="2" t="b">
        <v>1</v>
      </c>
      <c r="F2949" s="2" t="b">
        <v>0</v>
      </c>
      <c r="G2949" s="2" t="s">
        <v>9937</v>
      </c>
      <c r="H2949" s="3" t="str">
        <f>_xlfn.IFNA(INDEX(RulebookFields!C2:C999, MATCH(D2949,RulebookFields!A2:A999, 0)), "")</f>
        <v>ReviewEvents</v>
      </c>
      <c r="I2949" s="3" t="str">
        <f>_xlfn.IFNA(INDEX(RulebookFields!D2:D999, MATCH(D2949,RulebookFields!A2:A999, 0)), "")</f>
        <v>PromisedCadenceDays</v>
      </c>
      <c r="J2949" s="3" t="b">
        <f>_xlfn.IFNA(INDEX(RulebookFields!I2:I999, MATCH(D2949,RulebookFields!A2:A999, 0)), "")</f>
        <v>1</v>
      </c>
      <c r="K2949" s="3" t="b">
        <f>AND(F2949, J2949)</f>
        <v>0</v>
      </c>
      <c r="L2949" s="3" t="b">
        <f>AND(G2949 &lt;&gt; "plain", G2949 &lt;&gt; "")</f>
        <v>0</v>
      </c>
      <c r="M2949" s="3" t="str">
        <f>IF(E2949, C2949 &amp; "|" &amp; H2949, "")</f>
        <v>principal-knowledge-authority|ReviewEvents</v>
      </c>
      <c r="N2949" s="2" t="s">
        <v>9938</v>
      </c>
    </row>
    <row r="2950">
      <c r="A2950" s="2" t="s">
        <v>12886</v>
      </c>
      <c r="B2950" s="3" t="str">
        <f>C2950 &amp; " -&gt; " &amp; D2950</f>
        <v>principal-knowledge-authority -&gt; ReviewEvents.DaysSinceReviewed</v>
      </c>
      <c r="C2950" s="2" t="s">
        <v>9708</v>
      </c>
      <c r="D2950" s="2" t="s">
        <v>3939</v>
      </c>
      <c r="E2950" s="2" t="b">
        <v>1</v>
      </c>
      <c r="F2950" s="2" t="b">
        <v>0</v>
      </c>
      <c r="G2950" s="2" t="s">
        <v>9937</v>
      </c>
      <c r="H2950" s="3" t="str">
        <f>_xlfn.IFNA(INDEX(RulebookFields!C2:C999, MATCH(D2950,RulebookFields!A2:A999, 0)), "")</f>
        <v>ReviewEvents</v>
      </c>
      <c r="I2950" s="3" t="str">
        <f>_xlfn.IFNA(INDEX(RulebookFields!D2:D999, MATCH(D2950,RulebookFields!A2:A999, 0)), "")</f>
        <v>DaysSinceReviewed</v>
      </c>
      <c r="J2950" s="3" t="b">
        <f>_xlfn.IFNA(INDEX(RulebookFields!I2:I999, MATCH(D2950,RulebookFields!A2:A999, 0)), "")</f>
        <v>1</v>
      </c>
      <c r="K2950" s="3" t="b">
        <f>AND(F2950, J2950)</f>
        <v>0</v>
      </c>
      <c r="L2950" s="3" t="b">
        <f>AND(G2950 &lt;&gt; "plain", G2950 &lt;&gt; "")</f>
        <v>0</v>
      </c>
      <c r="M2950" s="3" t="str">
        <f>IF(E2950, C2950 &amp; "|" &amp; H2950, "")</f>
        <v>principal-knowledge-authority|ReviewEvents</v>
      </c>
      <c r="N2950" s="2" t="s">
        <v>9938</v>
      </c>
    </row>
    <row r="2951">
      <c r="A2951" s="2" t="s">
        <v>12887</v>
      </c>
      <c r="B2951" s="3" t="str">
        <f>C2951 &amp; " -&gt; " &amp; D2951</f>
        <v>principal-knowledge-authority -&gt; ReviewEvents.ExceedsPromisedCadence</v>
      </c>
      <c r="C2951" s="2" t="s">
        <v>9708</v>
      </c>
      <c r="D2951" s="2" t="s">
        <v>3941</v>
      </c>
      <c r="E2951" s="2" t="b">
        <v>1</v>
      </c>
      <c r="F2951" s="2" t="b">
        <v>0</v>
      </c>
      <c r="G2951" s="2" t="s">
        <v>9937</v>
      </c>
      <c r="H2951" s="3" t="str">
        <f>_xlfn.IFNA(INDEX(RulebookFields!C2:C999, MATCH(D2951,RulebookFields!A2:A999, 0)), "")</f>
        <v>ReviewEvents</v>
      </c>
      <c r="I2951" s="3" t="str">
        <f>_xlfn.IFNA(INDEX(RulebookFields!D2:D999, MATCH(D2951,RulebookFields!A2:A999, 0)), "")</f>
        <v>ExceedsPromisedCadence</v>
      </c>
      <c r="J2951" s="3" t="b">
        <f>_xlfn.IFNA(INDEX(RulebookFields!I2:I999, MATCH(D2951,RulebookFields!A2:A999, 0)), "")</f>
        <v>1</v>
      </c>
      <c r="K2951" s="3" t="b">
        <f>AND(F2951, J2951)</f>
        <v>0</v>
      </c>
      <c r="L2951" s="3" t="b">
        <f>AND(G2951 &lt;&gt; "plain", G2951 &lt;&gt; "")</f>
        <v>0</v>
      </c>
      <c r="M2951" s="3" t="str">
        <f>IF(E2951, C2951 &amp; "|" &amp; H2951, "")</f>
        <v>principal-knowledge-authority|ReviewEvents</v>
      </c>
      <c r="N2951" s="2" t="s">
        <v>9938</v>
      </c>
    </row>
    <row r="2952">
      <c r="A2952" s="2" t="s">
        <v>12888</v>
      </c>
      <c r="B2952" s="3" t="str">
        <f>C2952 &amp; " -&gt; " &amp; D2952</f>
        <v>principal-knowledge-authority -&gt; ReviewEvents.CadenceDriftDays</v>
      </c>
      <c r="C2952" s="2" t="s">
        <v>9708</v>
      </c>
      <c r="D2952" s="2" t="s">
        <v>3943</v>
      </c>
      <c r="E2952" s="2" t="b">
        <v>1</v>
      </c>
      <c r="F2952" s="2" t="b">
        <v>0</v>
      </c>
      <c r="G2952" s="2" t="s">
        <v>9937</v>
      </c>
      <c r="H2952" s="3" t="str">
        <f>_xlfn.IFNA(INDEX(RulebookFields!C2:C999, MATCH(D2952,RulebookFields!A2:A999, 0)), "")</f>
        <v>ReviewEvents</v>
      </c>
      <c r="I2952" s="3" t="str">
        <f>_xlfn.IFNA(INDEX(RulebookFields!D2:D999, MATCH(D2952,RulebookFields!A2:A999, 0)), "")</f>
        <v>CadenceDriftDays</v>
      </c>
      <c r="J2952" s="3" t="b">
        <f>_xlfn.IFNA(INDEX(RulebookFields!I2:I999, MATCH(D2952,RulebookFields!A2:A999, 0)), "")</f>
        <v>1</v>
      </c>
      <c r="K2952" s="3" t="b">
        <f>AND(F2952, J2952)</f>
        <v>0</v>
      </c>
      <c r="L2952" s="3" t="b">
        <f>AND(G2952 &lt;&gt; "plain", G2952 &lt;&gt; "")</f>
        <v>0</v>
      </c>
      <c r="M2952" s="3" t="str">
        <f>IF(E2952, C2952 &amp; "|" &amp; H2952, "")</f>
        <v>principal-knowledge-authority|ReviewEvents</v>
      </c>
      <c r="N2952" s="2" t="s">
        <v>9938</v>
      </c>
    </row>
    <row r="2953">
      <c r="A2953" s="2" t="s">
        <v>12889</v>
      </c>
      <c r="B2953" s="3" t="str">
        <f>C2953 &amp; " -&gt; " &amp; D2953</f>
        <v>principal-knowledge-authority -&gt; ReviewEvents.PromiseAndBehaviorDisagree</v>
      </c>
      <c r="C2953" s="2" t="s">
        <v>9708</v>
      </c>
      <c r="D2953" s="2" t="s">
        <v>3945</v>
      </c>
      <c r="E2953" s="2" t="b">
        <v>1</v>
      </c>
      <c r="F2953" s="2" t="b">
        <v>0</v>
      </c>
      <c r="G2953" s="2" t="s">
        <v>9937</v>
      </c>
      <c r="H2953" s="3" t="str">
        <f>_xlfn.IFNA(INDEX(RulebookFields!C2:C999, MATCH(D2953,RulebookFields!A2:A999, 0)), "")</f>
        <v>ReviewEvents</v>
      </c>
      <c r="I2953" s="3" t="str">
        <f>_xlfn.IFNA(INDEX(RulebookFields!D2:D999, MATCH(D2953,RulebookFields!A2:A999, 0)), "")</f>
        <v>PromiseAndBehaviorDisagree</v>
      </c>
      <c r="J2953" s="3" t="b">
        <f>_xlfn.IFNA(INDEX(RulebookFields!I2:I999, MATCH(D2953,RulebookFields!A2:A999, 0)), "")</f>
        <v>1</v>
      </c>
      <c r="K2953" s="3" t="b">
        <f>AND(F2953, J2953)</f>
        <v>0</v>
      </c>
      <c r="L2953" s="3" t="b">
        <f>AND(G2953 &lt;&gt; "plain", G2953 &lt;&gt; "")</f>
        <v>0</v>
      </c>
      <c r="M2953" s="3" t="str">
        <f>IF(E2953, C2953 &amp; "|" &amp; H2953, "")</f>
        <v>principal-knowledge-authority|ReviewEvents</v>
      </c>
      <c r="N2953" s="2" t="s">
        <v>9938</v>
      </c>
    </row>
    <row r="2954">
      <c r="A2954" s="2" t="s">
        <v>12890</v>
      </c>
      <c r="B2954" s="3" t="str">
        <f>C2954 &amp; " -&gt; " &amp; D2954</f>
        <v>principal-knowledge-authority -&gt; ReviewEvents.CadenceBreachVersionKey</v>
      </c>
      <c r="C2954" s="2" t="s">
        <v>9708</v>
      </c>
      <c r="D2954" s="2" t="s">
        <v>3947</v>
      </c>
      <c r="E2954" s="2" t="b">
        <v>1</v>
      </c>
      <c r="F2954" s="2" t="b">
        <v>0</v>
      </c>
      <c r="G2954" s="2" t="s">
        <v>9937</v>
      </c>
      <c r="H2954" s="3" t="str">
        <f>_xlfn.IFNA(INDEX(RulebookFields!C2:C999, MATCH(D2954,RulebookFields!A2:A999, 0)), "")</f>
        <v>ReviewEvents</v>
      </c>
      <c r="I2954" s="3" t="str">
        <f>_xlfn.IFNA(INDEX(RulebookFields!D2:D999, MATCH(D2954,RulebookFields!A2:A999, 0)), "")</f>
        <v>CadenceBreachVersionKey</v>
      </c>
      <c r="J2954" s="3" t="b">
        <f>_xlfn.IFNA(INDEX(RulebookFields!I2:I999, MATCH(D2954,RulebookFields!A2:A999, 0)), "")</f>
        <v>1</v>
      </c>
      <c r="K2954" s="3" t="b">
        <f>AND(F2954, J2954)</f>
        <v>0</v>
      </c>
      <c r="L2954" s="3" t="b">
        <f>AND(G2954 &lt;&gt; "plain", G2954 &lt;&gt; "")</f>
        <v>0</v>
      </c>
      <c r="M2954" s="3" t="str">
        <f>IF(E2954, C2954 &amp; "|" &amp; H2954, "")</f>
        <v>principal-knowledge-authority|ReviewEvents</v>
      </c>
      <c r="N2954" s="2" t="s">
        <v>9938</v>
      </c>
    </row>
    <row r="2955">
      <c r="A2955" s="2" t="s">
        <v>12891</v>
      </c>
      <c r="B2955" s="3" t="str">
        <f>C2955 &amp; " -&gt; " &amp; D2955</f>
        <v>principal-knowledge-authority -&gt; ReviewEvents.SemanticTypeIri</v>
      </c>
      <c r="C2955" s="2" t="s">
        <v>9708</v>
      </c>
      <c r="D2955" s="2" t="s">
        <v>3949</v>
      </c>
      <c r="E2955" s="2" t="b">
        <v>1</v>
      </c>
      <c r="F2955" s="2" t="b">
        <v>0</v>
      </c>
      <c r="G2955" s="2" t="s">
        <v>9937</v>
      </c>
      <c r="H2955" s="3" t="str">
        <f>_xlfn.IFNA(INDEX(RulebookFields!C2:C999, MATCH(D2955,RulebookFields!A2:A999, 0)), "")</f>
        <v>ReviewEvents</v>
      </c>
      <c r="I2955" s="3" t="str">
        <f>_xlfn.IFNA(INDEX(RulebookFields!D2:D999, MATCH(D2955,RulebookFields!A2:A999, 0)), "")</f>
        <v>SemanticTypeIri</v>
      </c>
      <c r="J2955" s="3" t="b">
        <f>_xlfn.IFNA(INDEX(RulebookFields!I2:I999, MATCH(D2955,RulebookFields!A2:A999, 0)), "")</f>
        <v>0</v>
      </c>
      <c r="K2955" s="3" t="b">
        <f>AND(F2955, J2955)</f>
        <v>0</v>
      </c>
      <c r="L2955" s="3" t="b">
        <f>AND(G2955 &lt;&gt; "plain", G2955 &lt;&gt; "")</f>
        <v>0</v>
      </c>
      <c r="M2955" s="3" t="str">
        <f>IF(E2955, C2955 &amp; "|" &amp; H2955, "")</f>
        <v>principal-knowledge-authority|ReviewEvents</v>
      </c>
      <c r="N2955" s="2" t="s">
        <v>9938</v>
      </c>
    </row>
    <row r="2956">
      <c r="A2956" s="2" t="s">
        <v>12892</v>
      </c>
      <c r="B2956" s="3" t="str">
        <f>C2956 &amp; " -&gt; " &amp; D2956</f>
        <v>principal-knowledge-authority -&gt; RoleAssignments.RoleAssignmentId</v>
      </c>
      <c r="C2956" s="2" t="s">
        <v>9708</v>
      </c>
      <c r="D2956" s="2" t="s">
        <v>2513</v>
      </c>
      <c r="E2956" s="2" t="b">
        <v>1</v>
      </c>
      <c r="F2956" s="2" t="b">
        <v>0</v>
      </c>
      <c r="G2956" s="2" t="s">
        <v>9937</v>
      </c>
      <c r="H2956" s="3" t="str">
        <f>_xlfn.IFNA(INDEX(RulebookFields!C2:C999, MATCH(D2956,RulebookFields!A2:A999, 0)), "")</f>
        <v>RoleAssignments</v>
      </c>
      <c r="I2956" s="3" t="str">
        <f>_xlfn.IFNA(INDEX(RulebookFields!D2:D999, MATCH(D2956,RulebookFields!A2:A999, 0)), "")</f>
        <v>RoleAssignmentId</v>
      </c>
      <c r="J2956" s="3" t="b">
        <f>_xlfn.IFNA(INDEX(RulebookFields!I2:I999, MATCH(D2956,RulebookFields!A2:A999, 0)), "")</f>
        <v>0</v>
      </c>
      <c r="K2956" s="3" t="b">
        <f>AND(F2956, J2956)</f>
        <v>0</v>
      </c>
      <c r="L2956" s="3" t="b">
        <f>AND(G2956 &lt;&gt; "plain", G2956 &lt;&gt; "")</f>
        <v>0</v>
      </c>
      <c r="M2956" s="3" t="str">
        <f>IF(E2956, C2956 &amp; "|" &amp; H2956, "")</f>
        <v>principal-knowledge-authority|RoleAssignments</v>
      </c>
      <c r="N2956" s="2" t="s">
        <v>9938</v>
      </c>
    </row>
    <row r="2957">
      <c r="A2957" s="2" t="s">
        <v>12893</v>
      </c>
      <c r="B2957" s="3" t="str">
        <f>C2957 &amp; " -&gt; " &amp; D2957</f>
        <v>principal-knowledge-authority -&gt; RoleAssignments.Name</v>
      </c>
      <c r="C2957" s="2" t="s">
        <v>9708</v>
      </c>
      <c r="D2957" s="2" t="s">
        <v>2514</v>
      </c>
      <c r="E2957" s="2" t="b">
        <v>1</v>
      </c>
      <c r="F2957" s="2" t="b">
        <v>0</v>
      </c>
      <c r="G2957" s="2" t="s">
        <v>9937</v>
      </c>
      <c r="H2957" s="3" t="str">
        <f>_xlfn.IFNA(INDEX(RulebookFields!C2:C999, MATCH(D2957,RulebookFields!A2:A999, 0)), "")</f>
        <v>RoleAssignments</v>
      </c>
      <c r="I2957" s="3" t="str">
        <f>_xlfn.IFNA(INDEX(RulebookFields!D2:D999, MATCH(D2957,RulebookFields!A2:A999, 0)), "")</f>
        <v>Name</v>
      </c>
      <c r="J2957" s="3" t="b">
        <f>_xlfn.IFNA(INDEX(RulebookFields!I2:I999, MATCH(D2957,RulebookFields!A2:A999, 0)), "")</f>
        <v>1</v>
      </c>
      <c r="K2957" s="3" t="b">
        <f>AND(F2957, J2957)</f>
        <v>0</v>
      </c>
      <c r="L2957" s="3" t="b">
        <f>AND(G2957 &lt;&gt; "plain", G2957 &lt;&gt; "")</f>
        <v>0</v>
      </c>
      <c r="M2957" s="3" t="str">
        <f>IF(E2957, C2957 &amp; "|" &amp; H2957, "")</f>
        <v>principal-knowledge-authority|RoleAssignments</v>
      </c>
      <c r="N2957" s="2" t="s">
        <v>9938</v>
      </c>
    </row>
    <row r="2958">
      <c r="A2958" s="2" t="s">
        <v>12894</v>
      </c>
      <c r="B2958" s="3" t="str">
        <f>C2958 &amp; " -&gt; " &amp; D2958</f>
        <v>principal-knowledge-authority -&gt; RoleAssignments.Role</v>
      </c>
      <c r="C2958" s="2" t="s">
        <v>9708</v>
      </c>
      <c r="D2958" s="2" t="s">
        <v>2516</v>
      </c>
      <c r="E2958" s="2" t="b">
        <v>1</v>
      </c>
      <c r="F2958" s="2" t="b">
        <v>0</v>
      </c>
      <c r="G2958" s="2" t="s">
        <v>9937</v>
      </c>
      <c r="H2958" s="3" t="str">
        <f>_xlfn.IFNA(INDEX(RulebookFields!C2:C999, MATCH(D2958,RulebookFields!A2:A999, 0)), "")</f>
        <v>RoleAssignments</v>
      </c>
      <c r="I2958" s="3" t="str">
        <f>_xlfn.IFNA(INDEX(RulebookFields!D2:D999, MATCH(D2958,RulebookFields!A2:A999, 0)), "")</f>
        <v>Role</v>
      </c>
      <c r="J2958" s="3" t="b">
        <f>_xlfn.IFNA(INDEX(RulebookFields!I2:I999, MATCH(D2958,RulebookFields!A2:A999, 0)), "")</f>
        <v>0</v>
      </c>
      <c r="K2958" s="3" t="b">
        <f>AND(F2958, J2958)</f>
        <v>0</v>
      </c>
      <c r="L2958" s="3" t="b">
        <f>AND(G2958 &lt;&gt; "plain", G2958 &lt;&gt; "")</f>
        <v>0</v>
      </c>
      <c r="M2958" s="3" t="str">
        <f>IF(E2958, C2958 &amp; "|" &amp; H2958, "")</f>
        <v>principal-knowledge-authority|RoleAssignments</v>
      </c>
      <c r="N2958" s="2" t="s">
        <v>9938</v>
      </c>
    </row>
    <row r="2959">
      <c r="A2959" s="2" t="s">
        <v>12895</v>
      </c>
      <c r="B2959" s="3" t="str">
        <f>C2959 &amp; " -&gt; " &amp; D2959</f>
        <v>principal-knowledge-authority -&gt; RoleAssignments.Agent</v>
      </c>
      <c r="C2959" s="2" t="s">
        <v>9708</v>
      </c>
      <c r="D2959" s="2" t="s">
        <v>2517</v>
      </c>
      <c r="E2959" s="2" t="b">
        <v>1</v>
      </c>
      <c r="F2959" s="2" t="b">
        <v>0</v>
      </c>
      <c r="G2959" s="2" t="s">
        <v>9937</v>
      </c>
      <c r="H2959" s="3" t="str">
        <f>_xlfn.IFNA(INDEX(RulebookFields!C2:C999, MATCH(D2959,RulebookFields!A2:A999, 0)), "")</f>
        <v>RoleAssignments</v>
      </c>
      <c r="I2959" s="3" t="str">
        <f>_xlfn.IFNA(INDEX(RulebookFields!D2:D999, MATCH(D2959,RulebookFields!A2:A999, 0)), "")</f>
        <v>Agent</v>
      </c>
      <c r="J2959" s="3" t="b">
        <f>_xlfn.IFNA(INDEX(RulebookFields!I2:I999, MATCH(D2959,RulebookFields!A2:A999, 0)), "")</f>
        <v>0</v>
      </c>
      <c r="K2959" s="3" t="b">
        <f>AND(F2959, J2959)</f>
        <v>0</v>
      </c>
      <c r="L2959" s="3" t="b">
        <f>AND(G2959 &lt;&gt; "plain", G2959 &lt;&gt; "")</f>
        <v>0</v>
      </c>
      <c r="M2959" s="3" t="str">
        <f>IF(E2959, C2959 &amp; "|" &amp; H2959, "")</f>
        <v>principal-knowledge-authority|RoleAssignments</v>
      </c>
      <c r="N2959" s="2" t="s">
        <v>9938</v>
      </c>
    </row>
    <row r="2960">
      <c r="A2960" s="2" t="s">
        <v>12896</v>
      </c>
      <c r="B2960" s="3" t="str">
        <f>C2960 &amp; " -&gt; " &amp; D2960</f>
        <v>principal-knowledge-authority -&gt; RoleAssignments.ValidFrom</v>
      </c>
      <c r="C2960" s="2" t="s">
        <v>9708</v>
      </c>
      <c r="D2960" s="2" t="s">
        <v>2518</v>
      </c>
      <c r="E2960" s="2" t="b">
        <v>1</v>
      </c>
      <c r="F2960" s="2" t="b">
        <v>0</v>
      </c>
      <c r="G2960" s="2" t="s">
        <v>9937</v>
      </c>
      <c r="H2960" s="3" t="str">
        <f>_xlfn.IFNA(INDEX(RulebookFields!C2:C999, MATCH(D2960,RulebookFields!A2:A999, 0)), "")</f>
        <v>RoleAssignments</v>
      </c>
      <c r="I2960" s="3" t="str">
        <f>_xlfn.IFNA(INDEX(RulebookFields!D2:D999, MATCH(D2960,RulebookFields!A2:A999, 0)), "")</f>
        <v>ValidFrom</v>
      </c>
      <c r="J2960" s="3" t="b">
        <f>_xlfn.IFNA(INDEX(RulebookFields!I2:I999, MATCH(D2960,RulebookFields!A2:A999, 0)), "")</f>
        <v>0</v>
      </c>
      <c r="K2960" s="3" t="b">
        <f>AND(F2960, J2960)</f>
        <v>0</v>
      </c>
      <c r="L2960" s="3" t="b">
        <f>AND(G2960 &lt;&gt; "plain", G2960 &lt;&gt; "")</f>
        <v>0</v>
      </c>
      <c r="M2960" s="3" t="str">
        <f>IF(E2960, C2960 &amp; "|" &amp; H2960, "")</f>
        <v>principal-knowledge-authority|RoleAssignments</v>
      </c>
      <c r="N2960" s="2" t="s">
        <v>9938</v>
      </c>
    </row>
    <row r="2961">
      <c r="A2961" s="2" t="s">
        <v>12897</v>
      </c>
      <c r="B2961" s="3" t="str">
        <f>C2961 &amp; " -&gt; " &amp; D2961</f>
        <v>principal-knowledge-authority -&gt; RoleAssignments.ValidTo</v>
      </c>
      <c r="C2961" s="2" t="s">
        <v>9708</v>
      </c>
      <c r="D2961" s="2" t="s">
        <v>2519</v>
      </c>
      <c r="E2961" s="2" t="b">
        <v>1</v>
      </c>
      <c r="F2961" s="2" t="b">
        <v>0</v>
      </c>
      <c r="G2961" s="2" t="s">
        <v>9937</v>
      </c>
      <c r="H2961" s="3" t="str">
        <f>_xlfn.IFNA(INDEX(RulebookFields!C2:C999, MATCH(D2961,RulebookFields!A2:A999, 0)), "")</f>
        <v>RoleAssignments</v>
      </c>
      <c r="I2961" s="3" t="str">
        <f>_xlfn.IFNA(INDEX(RulebookFields!D2:D999, MATCH(D2961,RulebookFields!A2:A999, 0)), "")</f>
        <v>ValidTo</v>
      </c>
      <c r="J2961" s="3" t="b">
        <f>_xlfn.IFNA(INDEX(RulebookFields!I2:I999, MATCH(D2961,RulebookFields!A2:A999, 0)), "")</f>
        <v>0</v>
      </c>
      <c r="K2961" s="3" t="b">
        <f>AND(F2961, J2961)</f>
        <v>0</v>
      </c>
      <c r="L2961" s="3" t="b">
        <f>AND(G2961 &lt;&gt; "plain", G2961 &lt;&gt; "")</f>
        <v>0</v>
      </c>
      <c r="M2961" s="3" t="str">
        <f>IF(E2961, C2961 &amp; "|" &amp; H2961, "")</f>
        <v>principal-knowledge-authority|RoleAssignments</v>
      </c>
      <c r="N2961" s="2" t="s">
        <v>9938</v>
      </c>
    </row>
    <row r="2962">
      <c r="A2962" s="2" t="s">
        <v>12898</v>
      </c>
      <c r="B2962" s="3" t="str">
        <f>C2962 &amp; " -&gt; " &amp; D2962</f>
        <v>principal-knowledge-authority -&gt; RoleAssignments.Reason</v>
      </c>
      <c r="C2962" s="2" t="s">
        <v>9708</v>
      </c>
      <c r="D2962" s="2" t="s">
        <v>2520</v>
      </c>
      <c r="E2962" s="2" t="b">
        <v>1</v>
      </c>
      <c r="F2962" s="2" t="b">
        <v>0</v>
      </c>
      <c r="G2962" s="2" t="s">
        <v>9937</v>
      </c>
      <c r="H2962" s="3" t="str">
        <f>_xlfn.IFNA(INDEX(RulebookFields!C2:C999, MATCH(D2962,RulebookFields!A2:A999, 0)), "")</f>
        <v>RoleAssignments</v>
      </c>
      <c r="I2962" s="3" t="str">
        <f>_xlfn.IFNA(INDEX(RulebookFields!D2:D999, MATCH(D2962,RulebookFields!A2:A999, 0)), "")</f>
        <v>Reason</v>
      </c>
      <c r="J2962" s="3" t="b">
        <f>_xlfn.IFNA(INDEX(RulebookFields!I2:I999, MATCH(D2962,RulebookFields!A2:A999, 0)), "")</f>
        <v>0</v>
      </c>
      <c r="K2962" s="3" t="b">
        <f>AND(F2962, J2962)</f>
        <v>0</v>
      </c>
      <c r="L2962" s="3" t="b">
        <f>AND(G2962 &lt;&gt; "plain", G2962 &lt;&gt; "")</f>
        <v>0</v>
      </c>
      <c r="M2962" s="3" t="str">
        <f>IF(E2962, C2962 &amp; "|" &amp; H2962, "")</f>
        <v>principal-knowledge-authority|RoleAssignments</v>
      </c>
      <c r="N2962" s="2" t="s">
        <v>9938</v>
      </c>
    </row>
    <row r="2963">
      <c r="A2963" s="2" t="s">
        <v>12899</v>
      </c>
      <c r="B2963" s="3" t="str">
        <f>C2963 &amp; " -&gt; " &amp; D2963</f>
        <v>principal-knowledge-authority -&gt; RoleAssignments.Status</v>
      </c>
      <c r="C2963" s="2" t="s">
        <v>9708</v>
      </c>
      <c r="D2963" s="2" t="s">
        <v>2521</v>
      </c>
      <c r="E2963" s="2" t="b">
        <v>1</v>
      </c>
      <c r="F2963" s="2" t="b">
        <v>0</v>
      </c>
      <c r="G2963" s="2" t="s">
        <v>9937</v>
      </c>
      <c r="H2963" s="3" t="str">
        <f>_xlfn.IFNA(INDEX(RulebookFields!C2:C999, MATCH(D2963,RulebookFields!A2:A999, 0)), "")</f>
        <v>RoleAssignments</v>
      </c>
      <c r="I2963" s="3" t="str">
        <f>_xlfn.IFNA(INDEX(RulebookFields!D2:D999, MATCH(D2963,RulebookFields!A2:A999, 0)), "")</f>
        <v>Status</v>
      </c>
      <c r="J2963" s="3" t="b">
        <f>_xlfn.IFNA(INDEX(RulebookFields!I2:I999, MATCH(D2963,RulebookFields!A2:A999, 0)), "")</f>
        <v>0</v>
      </c>
      <c r="K2963" s="3" t="b">
        <f>AND(F2963, J2963)</f>
        <v>0</v>
      </c>
      <c r="L2963" s="3" t="b">
        <f>AND(G2963 &lt;&gt; "plain", G2963 &lt;&gt; "")</f>
        <v>0</v>
      </c>
      <c r="M2963" s="3" t="str">
        <f>IF(E2963, C2963 &amp; "|" &amp; H2963, "")</f>
        <v>principal-knowledge-authority|RoleAssignments</v>
      </c>
      <c r="N2963" s="2" t="s">
        <v>9938</v>
      </c>
    </row>
    <row r="2964">
      <c r="A2964" s="2" t="s">
        <v>12900</v>
      </c>
      <c r="B2964" s="3" t="str">
        <f>C2964 &amp; " -&gt; " &amp; D2964</f>
        <v>principal-knowledge-authority -&gt; RoleAssignments.EvaluationContext</v>
      </c>
      <c r="C2964" s="2" t="s">
        <v>9708</v>
      </c>
      <c r="D2964" s="2" t="s">
        <v>2522</v>
      </c>
      <c r="E2964" s="2" t="b">
        <v>1</v>
      </c>
      <c r="F2964" s="2" t="b">
        <v>0</v>
      </c>
      <c r="G2964" s="2" t="s">
        <v>9937</v>
      </c>
      <c r="H2964" s="3" t="str">
        <f>_xlfn.IFNA(INDEX(RulebookFields!C2:C999, MATCH(D2964,RulebookFields!A2:A999, 0)), "")</f>
        <v>RoleAssignments</v>
      </c>
      <c r="I2964" s="3" t="str">
        <f>_xlfn.IFNA(INDEX(RulebookFields!D2:D999, MATCH(D2964,RulebookFields!A2:A999, 0)), "")</f>
        <v>EvaluationContext</v>
      </c>
      <c r="J2964" s="3" t="b">
        <f>_xlfn.IFNA(INDEX(RulebookFields!I2:I999, MATCH(D2964,RulebookFields!A2:A999, 0)), "")</f>
        <v>0</v>
      </c>
      <c r="K2964" s="3" t="b">
        <f>AND(F2964, J2964)</f>
        <v>0</v>
      </c>
      <c r="L2964" s="3" t="b">
        <f>AND(G2964 &lt;&gt; "plain", G2964 &lt;&gt; "")</f>
        <v>0</v>
      </c>
      <c r="M2964" s="3" t="str">
        <f>IF(E2964, C2964 &amp; "|" &amp; H2964, "")</f>
        <v>principal-knowledge-authority|RoleAssignments</v>
      </c>
      <c r="N2964" s="2" t="s">
        <v>9938</v>
      </c>
    </row>
    <row r="2965">
      <c r="A2965" s="2" t="s">
        <v>12901</v>
      </c>
      <c r="B2965" s="3" t="str">
        <f>C2965 &amp; " -&gt; " &amp; D2965</f>
        <v>principal-knowledge-authority -&gt; RoleAssignments.AsOfInstant</v>
      </c>
      <c r="C2965" s="2" t="s">
        <v>9708</v>
      </c>
      <c r="D2965" s="2" t="s">
        <v>2523</v>
      </c>
      <c r="E2965" s="2" t="b">
        <v>1</v>
      </c>
      <c r="F2965" s="2" t="b">
        <v>0</v>
      </c>
      <c r="G2965" s="2" t="s">
        <v>9937</v>
      </c>
      <c r="H2965" s="3" t="str">
        <f>_xlfn.IFNA(INDEX(RulebookFields!C2:C999, MATCH(D2965,RulebookFields!A2:A999, 0)), "")</f>
        <v>RoleAssignments</v>
      </c>
      <c r="I2965" s="3" t="str">
        <f>_xlfn.IFNA(INDEX(RulebookFields!D2:D999, MATCH(D2965,RulebookFields!A2:A999, 0)), "")</f>
        <v>AsOfInstant</v>
      </c>
      <c r="J2965" s="3" t="b">
        <f>_xlfn.IFNA(INDEX(RulebookFields!I2:I999, MATCH(D2965,RulebookFields!A2:A999, 0)), "")</f>
        <v>1</v>
      </c>
      <c r="K2965" s="3" t="b">
        <f>AND(F2965, J2965)</f>
        <v>0</v>
      </c>
      <c r="L2965" s="3" t="b">
        <f>AND(G2965 &lt;&gt; "plain", G2965 &lt;&gt; "")</f>
        <v>0</v>
      </c>
      <c r="M2965" s="3" t="str">
        <f>IF(E2965, C2965 &amp; "|" &amp; H2965, "")</f>
        <v>principal-knowledge-authority|RoleAssignments</v>
      </c>
      <c r="N2965" s="2" t="s">
        <v>9938</v>
      </c>
    </row>
    <row r="2966">
      <c r="A2966" s="2" t="s">
        <v>12902</v>
      </c>
      <c r="B2966" s="3" t="str">
        <f>C2966 &amp; " -&gt; " &amp; D2966</f>
        <v>principal-knowledge-authority -&gt; RoleAssignments.IsCurrent</v>
      </c>
      <c r="C2966" s="2" t="s">
        <v>9708</v>
      </c>
      <c r="D2966" s="2" t="s">
        <v>2525</v>
      </c>
      <c r="E2966" s="2" t="b">
        <v>1</v>
      </c>
      <c r="F2966" s="2" t="b">
        <v>0</v>
      </c>
      <c r="G2966" s="2" t="s">
        <v>9937</v>
      </c>
      <c r="H2966" s="3" t="str">
        <f>_xlfn.IFNA(INDEX(RulebookFields!C2:C999, MATCH(D2966,RulebookFields!A2:A999, 0)), "")</f>
        <v>RoleAssignments</v>
      </c>
      <c r="I2966" s="3" t="str">
        <f>_xlfn.IFNA(INDEX(RulebookFields!D2:D999, MATCH(D2966,RulebookFields!A2:A999, 0)), "")</f>
        <v>IsCurrent</v>
      </c>
      <c r="J2966" s="3" t="b">
        <f>_xlfn.IFNA(INDEX(RulebookFields!I2:I999, MATCH(D2966,RulebookFields!A2:A999, 0)), "")</f>
        <v>1</v>
      </c>
      <c r="K2966" s="3" t="b">
        <f>AND(F2966, J2966)</f>
        <v>0</v>
      </c>
      <c r="L2966" s="3" t="b">
        <f>AND(G2966 &lt;&gt; "plain", G2966 &lt;&gt; "")</f>
        <v>0</v>
      </c>
      <c r="M2966" s="3" t="str">
        <f>IF(E2966, C2966 &amp; "|" &amp; H2966, "")</f>
        <v>principal-knowledge-authority|RoleAssignments</v>
      </c>
      <c r="N2966" s="2" t="s">
        <v>9938</v>
      </c>
    </row>
    <row r="2967">
      <c r="A2967" s="2" t="s">
        <v>12903</v>
      </c>
      <c r="B2967" s="3" t="str">
        <f>C2967 &amp; " -&gt; " &amp; D2967</f>
        <v>principal-knowledge-authority -&gt; RoleAssignments.CurrentAgentKey</v>
      </c>
      <c r="C2967" s="2" t="s">
        <v>9708</v>
      </c>
      <c r="D2967" s="2" t="s">
        <v>2527</v>
      </c>
      <c r="E2967" s="2" t="b">
        <v>1</v>
      </c>
      <c r="F2967" s="2" t="b">
        <v>0</v>
      </c>
      <c r="G2967" s="2" t="s">
        <v>9937</v>
      </c>
      <c r="H2967" s="3" t="str">
        <f>_xlfn.IFNA(INDEX(RulebookFields!C2:C999, MATCH(D2967,RulebookFields!A2:A999, 0)), "")</f>
        <v>RoleAssignments</v>
      </c>
      <c r="I2967" s="3" t="str">
        <f>_xlfn.IFNA(INDEX(RulebookFields!D2:D999, MATCH(D2967,RulebookFields!A2:A999, 0)), "")</f>
        <v>CurrentAgentKey</v>
      </c>
      <c r="J2967" s="3" t="b">
        <f>_xlfn.IFNA(INDEX(RulebookFields!I2:I999, MATCH(D2967,RulebookFields!A2:A999, 0)), "")</f>
        <v>1</v>
      </c>
      <c r="K2967" s="3" t="b">
        <f>AND(F2967, J2967)</f>
        <v>0</v>
      </c>
      <c r="L2967" s="3" t="b">
        <f>AND(G2967 &lt;&gt; "plain", G2967 &lt;&gt; "")</f>
        <v>0</v>
      </c>
      <c r="M2967" s="3" t="str">
        <f>IF(E2967, C2967 &amp; "|" &amp; H2967, "")</f>
        <v>principal-knowledge-authority|RoleAssignments</v>
      </c>
      <c r="N2967" s="2" t="s">
        <v>9938</v>
      </c>
    </row>
    <row r="2968">
      <c r="A2968" s="2" t="s">
        <v>12904</v>
      </c>
      <c r="B2968" s="3" t="str">
        <f>C2968 &amp; " -&gt; " &amp; D2968</f>
        <v>principal-knowledge-authority -&gt; RoleAssignments.IsCurrentlyValid</v>
      </c>
      <c r="C2968" s="2" t="s">
        <v>9708</v>
      </c>
      <c r="D2968" s="2" t="s">
        <v>2529</v>
      </c>
      <c r="E2968" s="2" t="b">
        <v>1</v>
      </c>
      <c r="F2968" s="2" t="b">
        <v>0</v>
      </c>
      <c r="G2968" s="2" t="s">
        <v>9937</v>
      </c>
      <c r="H2968" s="3" t="str">
        <f>_xlfn.IFNA(INDEX(RulebookFields!C2:C999, MATCH(D2968,RulebookFields!A2:A999, 0)), "")</f>
        <v>RoleAssignments</v>
      </c>
      <c r="I2968" s="3" t="str">
        <f>_xlfn.IFNA(INDEX(RulebookFields!D2:D999, MATCH(D2968,RulebookFields!A2:A999, 0)), "")</f>
        <v>IsCurrentlyValid</v>
      </c>
      <c r="J2968" s="3" t="b">
        <f>_xlfn.IFNA(INDEX(RulebookFields!I2:I999, MATCH(D2968,RulebookFields!A2:A999, 0)), "")</f>
        <v>1</v>
      </c>
      <c r="K2968" s="3" t="b">
        <f>AND(F2968, J2968)</f>
        <v>0</v>
      </c>
      <c r="L2968" s="3" t="b">
        <f>AND(G2968 &lt;&gt; "plain", G2968 &lt;&gt; "")</f>
        <v>0</v>
      </c>
      <c r="M2968" s="3" t="str">
        <f>IF(E2968, C2968 &amp; "|" &amp; H2968, "")</f>
        <v>principal-knowledge-authority|RoleAssignments</v>
      </c>
      <c r="N2968" s="2" t="s">
        <v>9938</v>
      </c>
    </row>
    <row r="2969">
      <c r="A2969" s="2" t="s">
        <v>12905</v>
      </c>
      <c r="B2969" s="3" t="str">
        <f>C2969 &amp; " -&gt; " &amp; D2969</f>
        <v>principal-knowledge-authority -&gt; RoleAssignments.AgentRoleKey</v>
      </c>
      <c r="C2969" s="2" t="s">
        <v>9708</v>
      </c>
      <c r="D2969" s="2" t="s">
        <v>2531</v>
      </c>
      <c r="E2969" s="2" t="b">
        <v>1</v>
      </c>
      <c r="F2969" s="2" t="b">
        <v>0</v>
      </c>
      <c r="G2969" s="2" t="s">
        <v>9937</v>
      </c>
      <c r="H2969" s="3" t="str">
        <f>_xlfn.IFNA(INDEX(RulebookFields!C2:C999, MATCH(D2969,RulebookFields!A2:A999, 0)), "")</f>
        <v>RoleAssignments</v>
      </c>
      <c r="I2969" s="3" t="str">
        <f>_xlfn.IFNA(INDEX(RulebookFields!D2:D999, MATCH(D2969,RulebookFields!A2:A999, 0)), "")</f>
        <v>AgentRoleKey</v>
      </c>
      <c r="J2969" s="3" t="b">
        <f>_xlfn.IFNA(INDEX(RulebookFields!I2:I999, MATCH(D2969,RulebookFields!A2:A999, 0)), "")</f>
        <v>1</v>
      </c>
      <c r="K2969" s="3" t="b">
        <f>AND(F2969, J2969)</f>
        <v>0</v>
      </c>
      <c r="L2969" s="3" t="b">
        <f>AND(G2969 &lt;&gt; "plain", G2969 &lt;&gt; "")</f>
        <v>0</v>
      </c>
      <c r="M2969" s="3" t="str">
        <f>IF(E2969, C2969 &amp; "|" &amp; H2969, "")</f>
        <v>principal-knowledge-authority|RoleAssignments</v>
      </c>
      <c r="N2969" s="2" t="s">
        <v>9938</v>
      </c>
    </row>
    <row r="2970">
      <c r="A2970" s="2" t="s">
        <v>12906</v>
      </c>
      <c r="B2970" s="3" t="str">
        <f>C2970 &amp; " -&gt; " &amp; D2970</f>
        <v>principal-knowledge-authority -&gt; RoleAssignments.HasDeparted</v>
      </c>
      <c r="C2970" s="2" t="s">
        <v>9708</v>
      </c>
      <c r="D2970" s="2" t="s">
        <v>2533</v>
      </c>
      <c r="E2970" s="2" t="b">
        <v>1</v>
      </c>
      <c r="F2970" s="2" t="b">
        <v>0</v>
      </c>
      <c r="G2970" s="2" t="s">
        <v>9937</v>
      </c>
      <c r="H2970" s="3" t="str">
        <f>_xlfn.IFNA(INDEX(RulebookFields!C2:C999, MATCH(D2970,RulebookFields!A2:A999, 0)), "")</f>
        <v>RoleAssignments</v>
      </c>
      <c r="I2970" s="3" t="str">
        <f>_xlfn.IFNA(INDEX(RulebookFields!D2:D999, MATCH(D2970,RulebookFields!A2:A999, 0)), "")</f>
        <v>HasDeparted</v>
      </c>
      <c r="J2970" s="3" t="b">
        <f>_xlfn.IFNA(INDEX(RulebookFields!I2:I999, MATCH(D2970,RulebookFields!A2:A999, 0)), "")</f>
        <v>1</v>
      </c>
      <c r="K2970" s="3" t="b">
        <f>AND(F2970, J2970)</f>
        <v>0</v>
      </c>
      <c r="L2970" s="3" t="b">
        <f>AND(G2970 &lt;&gt; "plain", G2970 &lt;&gt; "")</f>
        <v>0</v>
      </c>
      <c r="M2970" s="3" t="str">
        <f>IF(E2970, C2970 &amp; "|" &amp; H2970, "")</f>
        <v>principal-knowledge-authority|RoleAssignments</v>
      </c>
      <c r="N2970" s="2" t="s">
        <v>9938</v>
      </c>
    </row>
    <row r="2971">
      <c r="A2971" s="2" t="s">
        <v>12907</v>
      </c>
      <c r="B2971" s="3" t="str">
        <f>C2971 &amp; " -&gt; " &amp; D2971</f>
        <v>principal-knowledge-authority -&gt; RoleAssignments.CoversNow</v>
      </c>
      <c r="C2971" s="2" t="s">
        <v>9708</v>
      </c>
      <c r="D2971" s="2" t="s">
        <v>2535</v>
      </c>
      <c r="E2971" s="2" t="b">
        <v>1</v>
      </c>
      <c r="F2971" s="2" t="b">
        <v>0</v>
      </c>
      <c r="G2971" s="2" t="s">
        <v>9937</v>
      </c>
      <c r="H2971" s="3" t="str">
        <f>_xlfn.IFNA(INDEX(RulebookFields!C2:C999, MATCH(D2971,RulebookFields!A2:A999, 0)), "")</f>
        <v>RoleAssignments</v>
      </c>
      <c r="I2971" s="3" t="str">
        <f>_xlfn.IFNA(INDEX(RulebookFields!D2:D999, MATCH(D2971,RulebookFields!A2:A999, 0)), "")</f>
        <v>CoversNow</v>
      </c>
      <c r="J2971" s="3" t="b">
        <f>_xlfn.IFNA(INDEX(RulebookFields!I2:I999, MATCH(D2971,RulebookFields!A2:A999, 0)), "")</f>
        <v>1</v>
      </c>
      <c r="K2971" s="3" t="b">
        <f>AND(F2971, J2971)</f>
        <v>0</v>
      </c>
      <c r="L2971" s="3" t="b">
        <f>AND(G2971 &lt;&gt; "plain", G2971 &lt;&gt; "")</f>
        <v>0</v>
      </c>
      <c r="M2971" s="3" t="str">
        <f>IF(E2971, C2971 &amp; "|" &amp; H2971, "")</f>
        <v>principal-knowledge-authority|RoleAssignments</v>
      </c>
      <c r="N2971" s="2" t="s">
        <v>9938</v>
      </c>
    </row>
    <row r="2972">
      <c r="A2972" s="2" t="s">
        <v>12908</v>
      </c>
      <c r="B2972" s="3" t="str">
        <f>C2972 &amp; " -&gt; " &amp; D2972</f>
        <v>principal-knowledge-authority -&gt; RoleAssignments.RoleWhenCovering</v>
      </c>
      <c r="C2972" s="2" t="s">
        <v>9708</v>
      </c>
      <c r="D2972" s="2" t="s">
        <v>2537</v>
      </c>
      <c r="E2972" s="2" t="b">
        <v>1</v>
      </c>
      <c r="F2972" s="2" t="b">
        <v>0</v>
      </c>
      <c r="G2972" s="2" t="s">
        <v>9937</v>
      </c>
      <c r="H2972" s="3" t="str">
        <f>_xlfn.IFNA(INDEX(RulebookFields!C2:C999, MATCH(D2972,RulebookFields!A2:A999, 0)), "")</f>
        <v>RoleAssignments</v>
      </c>
      <c r="I2972" s="3" t="str">
        <f>_xlfn.IFNA(INDEX(RulebookFields!D2:D999, MATCH(D2972,RulebookFields!A2:A999, 0)), "")</f>
        <v>RoleWhenCovering</v>
      </c>
      <c r="J2972" s="3" t="b">
        <f>_xlfn.IFNA(INDEX(RulebookFields!I2:I999, MATCH(D2972,RulebookFields!A2:A999, 0)), "")</f>
        <v>1</v>
      </c>
      <c r="K2972" s="3" t="b">
        <f>AND(F2972, J2972)</f>
        <v>0</v>
      </c>
      <c r="L2972" s="3" t="b">
        <f>AND(G2972 &lt;&gt; "plain", G2972 &lt;&gt; "")</f>
        <v>0</v>
      </c>
      <c r="M2972" s="3" t="str">
        <f>IF(E2972, C2972 &amp; "|" &amp; H2972, "")</f>
        <v>principal-knowledge-authority|RoleAssignments</v>
      </c>
      <c r="N2972" s="2" t="s">
        <v>9938</v>
      </c>
    </row>
    <row r="2973">
      <c r="A2973" s="2" t="s">
        <v>12909</v>
      </c>
      <c r="B2973" s="3" t="str">
        <f>C2973 &amp; " -&gt; " &amp; D2973</f>
        <v>principal-knowledge-authority -&gt; RoleAssignments.AgentKind</v>
      </c>
      <c r="C2973" s="2" t="s">
        <v>9708</v>
      </c>
      <c r="D2973" s="2" t="s">
        <v>2539</v>
      </c>
      <c r="E2973" s="2" t="b">
        <v>1</v>
      </c>
      <c r="F2973" s="2" t="b">
        <v>0</v>
      </c>
      <c r="G2973" s="2" t="s">
        <v>9937</v>
      </c>
      <c r="H2973" s="3" t="str">
        <f>_xlfn.IFNA(INDEX(RulebookFields!C2:C999, MATCH(D2973,RulebookFields!A2:A999, 0)), "")</f>
        <v>RoleAssignments</v>
      </c>
      <c r="I2973" s="3" t="str">
        <f>_xlfn.IFNA(INDEX(RulebookFields!D2:D999, MATCH(D2973,RulebookFields!A2:A999, 0)), "")</f>
        <v>AgentKind</v>
      </c>
      <c r="J2973" s="3" t="b">
        <f>_xlfn.IFNA(INDEX(RulebookFields!I2:I999, MATCH(D2973,RulebookFields!A2:A999, 0)), "")</f>
        <v>1</v>
      </c>
      <c r="K2973" s="3" t="b">
        <f>AND(F2973, J2973)</f>
        <v>0</v>
      </c>
      <c r="L2973" s="3" t="b">
        <f>AND(G2973 &lt;&gt; "plain", G2973 &lt;&gt; "")</f>
        <v>0</v>
      </c>
      <c r="M2973" s="3" t="str">
        <f>IF(E2973, C2973 &amp; "|" &amp; H2973, "")</f>
        <v>principal-knowledge-authority|RoleAssignments</v>
      </c>
      <c r="N2973" s="2" t="s">
        <v>9938</v>
      </c>
    </row>
    <row r="2974">
      <c r="A2974" s="2" t="s">
        <v>12910</v>
      </c>
      <c r="B2974" s="3" t="str">
        <f>C2974 &amp; " -&gt; " &amp; D2974</f>
        <v>principal-knowledge-authority -&gt; RoleAssignments.IsNonHumanAssignment</v>
      </c>
      <c r="C2974" s="2" t="s">
        <v>9708</v>
      </c>
      <c r="D2974" s="2" t="s">
        <v>2541</v>
      </c>
      <c r="E2974" s="2" t="b">
        <v>1</v>
      </c>
      <c r="F2974" s="2" t="b">
        <v>0</v>
      </c>
      <c r="G2974" s="2" t="s">
        <v>9937</v>
      </c>
      <c r="H2974" s="3" t="str">
        <f>_xlfn.IFNA(INDEX(RulebookFields!C2:C999, MATCH(D2974,RulebookFields!A2:A999, 0)), "")</f>
        <v>RoleAssignments</v>
      </c>
      <c r="I2974" s="3" t="str">
        <f>_xlfn.IFNA(INDEX(RulebookFields!D2:D999, MATCH(D2974,RulebookFields!A2:A999, 0)), "")</f>
        <v>IsNonHumanAssignment</v>
      </c>
      <c r="J2974" s="3" t="b">
        <f>_xlfn.IFNA(INDEX(RulebookFields!I2:I999, MATCH(D2974,RulebookFields!A2:A999, 0)), "")</f>
        <v>1</v>
      </c>
      <c r="K2974" s="3" t="b">
        <f>AND(F2974, J2974)</f>
        <v>0</v>
      </c>
      <c r="L2974" s="3" t="b">
        <f>AND(G2974 &lt;&gt; "plain", G2974 &lt;&gt; "")</f>
        <v>0</v>
      </c>
      <c r="M2974" s="3" t="str">
        <f>IF(E2974, C2974 &amp; "|" &amp; H2974, "")</f>
        <v>principal-knowledge-authority|RoleAssignments</v>
      </c>
      <c r="N2974" s="2" t="s">
        <v>9938</v>
      </c>
    </row>
    <row r="2975">
      <c r="A2975" s="2" t="s">
        <v>12911</v>
      </c>
      <c r="B2975" s="3" t="str">
        <f>C2975 &amp; " -&gt; " &amp; D2975</f>
        <v>principal-knowledge-authority -&gt; RoleAssignments.SupersedesAssignment</v>
      </c>
      <c r="C2975" s="2" t="s">
        <v>9708</v>
      </c>
      <c r="D2975" s="2" t="s">
        <v>2542</v>
      </c>
      <c r="E2975" s="2" t="b">
        <v>1</v>
      </c>
      <c r="F2975" s="2" t="b">
        <v>0</v>
      </c>
      <c r="G2975" s="2" t="s">
        <v>9937</v>
      </c>
      <c r="H2975" s="3" t="str">
        <f>_xlfn.IFNA(INDEX(RulebookFields!C2:C999, MATCH(D2975,RulebookFields!A2:A999, 0)), "")</f>
        <v>RoleAssignments</v>
      </c>
      <c r="I2975" s="3" t="str">
        <f>_xlfn.IFNA(INDEX(RulebookFields!D2:D999, MATCH(D2975,RulebookFields!A2:A999, 0)), "")</f>
        <v>SupersedesAssignment</v>
      </c>
      <c r="J2975" s="3" t="b">
        <f>_xlfn.IFNA(INDEX(RulebookFields!I2:I999, MATCH(D2975,RulebookFields!A2:A999, 0)), "")</f>
        <v>0</v>
      </c>
      <c r="K2975" s="3" t="b">
        <f>AND(F2975, J2975)</f>
        <v>0</v>
      </c>
      <c r="L2975" s="3" t="b">
        <f>AND(G2975 &lt;&gt; "plain", G2975 &lt;&gt; "")</f>
        <v>0</v>
      </c>
      <c r="M2975" s="3" t="str">
        <f>IF(E2975, C2975 &amp; "|" &amp; H2975, "")</f>
        <v>principal-knowledge-authority|RoleAssignments</v>
      </c>
      <c r="N2975" s="2" t="s">
        <v>9938</v>
      </c>
    </row>
    <row r="2976">
      <c r="A2976" s="2" t="s">
        <v>12912</v>
      </c>
      <c r="B2976" s="3" t="str">
        <f>C2976 &amp; " -&gt; " &amp; D2976</f>
        <v>principal-knowledge-authority -&gt; RoleAssignments.PredecessorAgentKind</v>
      </c>
      <c r="C2976" s="2" t="s">
        <v>9708</v>
      </c>
      <c r="D2976" s="2" t="s">
        <v>2543</v>
      </c>
      <c r="E2976" s="2" t="b">
        <v>1</v>
      </c>
      <c r="F2976" s="2" t="b">
        <v>0</v>
      </c>
      <c r="G2976" s="2" t="s">
        <v>9937</v>
      </c>
      <c r="H2976" s="3" t="str">
        <f>_xlfn.IFNA(INDEX(RulebookFields!C2:C999, MATCH(D2976,RulebookFields!A2:A999, 0)), "")</f>
        <v>RoleAssignments</v>
      </c>
      <c r="I2976" s="3" t="str">
        <f>_xlfn.IFNA(INDEX(RulebookFields!D2:D999, MATCH(D2976,RulebookFields!A2:A999, 0)), "")</f>
        <v>PredecessorAgentKind</v>
      </c>
      <c r="J2976" s="3" t="b">
        <f>_xlfn.IFNA(INDEX(RulebookFields!I2:I999, MATCH(D2976,RulebookFields!A2:A999, 0)), "")</f>
        <v>1</v>
      </c>
      <c r="K2976" s="3" t="b">
        <f>AND(F2976, J2976)</f>
        <v>0</v>
      </c>
      <c r="L2976" s="3" t="b">
        <f>AND(G2976 &lt;&gt; "plain", G2976 &lt;&gt; "")</f>
        <v>0</v>
      </c>
      <c r="M2976" s="3" t="str">
        <f>IF(E2976, C2976 &amp; "|" &amp; H2976, "")</f>
        <v>principal-knowledge-authority|RoleAssignments</v>
      </c>
      <c r="N2976" s="2" t="s">
        <v>9938</v>
      </c>
    </row>
    <row r="2977">
      <c r="A2977" s="2" t="s">
        <v>12913</v>
      </c>
      <c r="B2977" s="3" t="str">
        <f>C2977 &amp; " -&gt; " &amp; D2977</f>
        <v>principal-knowledge-authority -&gt; RoleAssignments.IsHumanToNonHumanHandover</v>
      </c>
      <c r="C2977" s="2" t="s">
        <v>9708</v>
      </c>
      <c r="D2977" s="2" t="s">
        <v>2545</v>
      </c>
      <c r="E2977" s="2" t="b">
        <v>1</v>
      </c>
      <c r="F2977" s="2" t="b">
        <v>0</v>
      </c>
      <c r="G2977" s="2" t="s">
        <v>9937</v>
      </c>
      <c r="H2977" s="3" t="str">
        <f>_xlfn.IFNA(INDEX(RulebookFields!C2:C999, MATCH(D2977,RulebookFields!A2:A999, 0)), "")</f>
        <v>RoleAssignments</v>
      </c>
      <c r="I2977" s="3" t="str">
        <f>_xlfn.IFNA(INDEX(RulebookFields!D2:D999, MATCH(D2977,RulebookFields!A2:A999, 0)), "")</f>
        <v>IsHumanToNonHumanHandover</v>
      </c>
      <c r="J2977" s="3" t="b">
        <f>_xlfn.IFNA(INDEX(RulebookFields!I2:I999, MATCH(D2977,RulebookFields!A2:A999, 0)), "")</f>
        <v>1</v>
      </c>
      <c r="K2977" s="3" t="b">
        <f>AND(F2977, J2977)</f>
        <v>0</v>
      </c>
      <c r="L2977" s="3" t="b">
        <f>AND(G2977 &lt;&gt; "plain", G2977 &lt;&gt; "")</f>
        <v>0</v>
      </c>
      <c r="M2977" s="3" t="str">
        <f>IF(E2977, C2977 &amp; "|" &amp; H2977, "")</f>
        <v>principal-knowledge-authority|RoleAssignments</v>
      </c>
      <c r="N2977" s="2" t="s">
        <v>9938</v>
      </c>
    </row>
    <row r="2978">
      <c r="A2978" s="2" t="s">
        <v>12914</v>
      </c>
      <c r="B2978" s="3" t="str">
        <f>C2978 &amp; " -&gt; " &amp; D2978</f>
        <v>principal-knowledge-authority -&gt; RoleAssignments.ApprovingAuthorityRole</v>
      </c>
      <c r="C2978" s="2" t="s">
        <v>9708</v>
      </c>
      <c r="D2978" s="2" t="s">
        <v>2547</v>
      </c>
      <c r="E2978" s="2" t="b">
        <v>1</v>
      </c>
      <c r="F2978" s="2" t="b">
        <v>0</v>
      </c>
      <c r="G2978" s="2" t="s">
        <v>9937</v>
      </c>
      <c r="H2978" s="3" t="str">
        <f>_xlfn.IFNA(INDEX(RulebookFields!C2:C999, MATCH(D2978,RulebookFields!A2:A999, 0)), "")</f>
        <v>RoleAssignments</v>
      </c>
      <c r="I2978" s="3" t="str">
        <f>_xlfn.IFNA(INDEX(RulebookFields!D2:D999, MATCH(D2978,RulebookFields!A2:A999, 0)), "")</f>
        <v>ApprovingAuthorityRole</v>
      </c>
      <c r="J2978" s="3" t="b">
        <f>_xlfn.IFNA(INDEX(RulebookFields!I2:I999, MATCH(D2978,RulebookFields!A2:A999, 0)), "")</f>
        <v>0</v>
      </c>
      <c r="K2978" s="3" t="b">
        <f>AND(F2978, J2978)</f>
        <v>0</v>
      </c>
      <c r="L2978" s="3" t="b">
        <f>AND(G2978 &lt;&gt; "plain", G2978 &lt;&gt; "")</f>
        <v>0</v>
      </c>
      <c r="M2978" s="3" t="str">
        <f>IF(E2978, C2978 &amp; "|" &amp; H2978, "")</f>
        <v>principal-knowledge-authority|RoleAssignments</v>
      </c>
      <c r="N2978" s="2" t="s">
        <v>9938</v>
      </c>
    </row>
    <row r="2979">
      <c r="A2979" s="2" t="s">
        <v>12915</v>
      </c>
      <c r="B2979" s="3" t="str">
        <f>C2979 &amp; " -&gt; " &amp; D2979</f>
        <v>principal-knowledge-authority -&gt; RoleAssignments.AuthorizingChangeRequest</v>
      </c>
      <c r="C2979" s="2" t="s">
        <v>9708</v>
      </c>
      <c r="D2979" s="2" t="s">
        <v>2548</v>
      </c>
      <c r="E2979" s="2" t="b">
        <v>1</v>
      </c>
      <c r="F2979" s="2" t="b">
        <v>0</v>
      </c>
      <c r="G2979" s="2" t="s">
        <v>9937</v>
      </c>
      <c r="H2979" s="3" t="str">
        <f>_xlfn.IFNA(INDEX(RulebookFields!C2:C999, MATCH(D2979,RulebookFields!A2:A999, 0)), "")</f>
        <v>RoleAssignments</v>
      </c>
      <c r="I2979" s="3" t="str">
        <f>_xlfn.IFNA(INDEX(RulebookFields!D2:D999, MATCH(D2979,RulebookFields!A2:A999, 0)), "")</f>
        <v>AuthorizingChangeRequest</v>
      </c>
      <c r="J2979" s="3" t="b">
        <f>_xlfn.IFNA(INDEX(RulebookFields!I2:I999, MATCH(D2979,RulebookFields!A2:A999, 0)), "")</f>
        <v>0</v>
      </c>
      <c r="K2979" s="3" t="b">
        <f>AND(F2979, J2979)</f>
        <v>0</v>
      </c>
      <c r="L2979" s="3" t="b">
        <f>AND(G2979 &lt;&gt; "plain", G2979 &lt;&gt; "")</f>
        <v>0</v>
      </c>
      <c r="M2979" s="3" t="str">
        <f>IF(E2979, C2979 &amp; "|" &amp; H2979, "")</f>
        <v>principal-knowledge-authority|RoleAssignments</v>
      </c>
      <c r="N2979" s="2" t="s">
        <v>9938</v>
      </c>
    </row>
    <row r="2980">
      <c r="A2980" s="2" t="s">
        <v>12916</v>
      </c>
      <c r="B2980" s="3" t="str">
        <f>C2980 &amp; " -&gt; " &amp; D2980</f>
        <v>principal-knowledge-authority -&gt; RoleAssignments.IsUnauthorizedNonHumanAssignment</v>
      </c>
      <c r="C2980" s="2" t="s">
        <v>9708</v>
      </c>
      <c r="D2980" s="2" t="s">
        <v>2549</v>
      </c>
      <c r="E2980" s="2" t="b">
        <v>1</v>
      </c>
      <c r="F2980" s="2" t="b">
        <v>0</v>
      </c>
      <c r="G2980" s="2" t="s">
        <v>9937</v>
      </c>
      <c r="H2980" s="3" t="str">
        <f>_xlfn.IFNA(INDEX(RulebookFields!C2:C999, MATCH(D2980,RulebookFields!A2:A999, 0)), "")</f>
        <v>RoleAssignments</v>
      </c>
      <c r="I2980" s="3" t="str">
        <f>_xlfn.IFNA(INDEX(RulebookFields!D2:D999, MATCH(D2980,RulebookFields!A2:A999, 0)), "")</f>
        <v>IsUnauthorizedNonHumanAssignment</v>
      </c>
      <c r="J2980" s="3" t="b">
        <f>_xlfn.IFNA(INDEX(RulebookFields!I2:I999, MATCH(D2980,RulebookFields!A2:A999, 0)), "")</f>
        <v>1</v>
      </c>
      <c r="K2980" s="3" t="b">
        <f>AND(F2980, J2980)</f>
        <v>0</v>
      </c>
      <c r="L2980" s="3" t="b">
        <f>AND(G2980 &lt;&gt; "plain", G2980 &lt;&gt; "")</f>
        <v>0</v>
      </c>
      <c r="M2980" s="3" t="str">
        <f>IF(E2980, C2980 &amp; "|" &amp; H2980, "")</f>
        <v>principal-knowledge-authority|RoleAssignments</v>
      </c>
      <c r="N2980" s="2" t="s">
        <v>9938</v>
      </c>
    </row>
    <row r="2981">
      <c r="A2981" s="2" t="s">
        <v>12917</v>
      </c>
      <c r="B2981" s="3" t="str">
        <f>C2981 &amp; " -&gt; " &amp; D2981</f>
        <v>principal-knowledge-authority -&gt; RoleAssignments.WasAuthorizedByChangeRequest</v>
      </c>
      <c r="C2981" s="2" t="s">
        <v>9708</v>
      </c>
      <c r="D2981" s="2" t="s">
        <v>2551</v>
      </c>
      <c r="E2981" s="2" t="b">
        <v>1</v>
      </c>
      <c r="F2981" s="2" t="b">
        <v>0</v>
      </c>
      <c r="G2981" s="2" t="s">
        <v>9937</v>
      </c>
      <c r="H2981" s="3" t="str">
        <f>_xlfn.IFNA(INDEX(RulebookFields!C2:C999, MATCH(D2981,RulebookFields!A2:A999, 0)), "")</f>
        <v>RoleAssignments</v>
      </c>
      <c r="I2981" s="3" t="str">
        <f>_xlfn.IFNA(INDEX(RulebookFields!D2:D999, MATCH(D2981,RulebookFields!A2:A999, 0)), "")</f>
        <v>WasAuthorizedByChangeRequest</v>
      </c>
      <c r="J2981" s="3" t="b">
        <f>_xlfn.IFNA(INDEX(RulebookFields!I2:I999, MATCH(D2981,RulebookFields!A2:A999, 0)), "")</f>
        <v>1</v>
      </c>
      <c r="K2981" s="3" t="b">
        <f>AND(F2981, J2981)</f>
        <v>0</v>
      </c>
      <c r="L2981" s="3" t="b">
        <f>AND(G2981 &lt;&gt; "plain", G2981 &lt;&gt; "")</f>
        <v>0</v>
      </c>
      <c r="M2981" s="3" t="str">
        <f>IF(E2981, C2981 &amp; "|" &amp; H2981, "")</f>
        <v>principal-knowledge-authority|RoleAssignments</v>
      </c>
      <c r="N2981" s="2" t="s">
        <v>9938</v>
      </c>
    </row>
    <row r="2982">
      <c r="A2982" s="2" t="s">
        <v>12918</v>
      </c>
      <c r="B2982" s="3" t="str">
        <f>C2982 &amp; " -&gt; " &amp; D2982</f>
        <v>principal-knowledge-authority -&gt; RoleAssignments.DecisionCount</v>
      </c>
      <c r="C2982" s="2" t="s">
        <v>9708</v>
      </c>
      <c r="D2982" s="2" t="s">
        <v>2553</v>
      </c>
      <c r="E2982" s="2" t="b">
        <v>1</v>
      </c>
      <c r="F2982" s="2" t="b">
        <v>0</v>
      </c>
      <c r="G2982" s="2" t="s">
        <v>9937</v>
      </c>
      <c r="H2982" s="3" t="str">
        <f>_xlfn.IFNA(INDEX(RulebookFields!C2:C999, MATCH(D2982,RulebookFields!A2:A999, 0)), "")</f>
        <v>RoleAssignments</v>
      </c>
      <c r="I2982" s="3" t="str">
        <f>_xlfn.IFNA(INDEX(RulebookFields!D2:D999, MATCH(D2982,RulebookFields!A2:A999, 0)), "")</f>
        <v>DecisionCount</v>
      </c>
      <c r="J2982" s="3" t="b">
        <f>_xlfn.IFNA(INDEX(RulebookFields!I2:I999, MATCH(D2982,RulebookFields!A2:A999, 0)), "")</f>
        <v>1</v>
      </c>
      <c r="K2982" s="3" t="b">
        <f>AND(F2982, J2982)</f>
        <v>0</v>
      </c>
      <c r="L2982" s="3" t="b">
        <f>AND(G2982 &lt;&gt; "plain", G2982 &lt;&gt; "")</f>
        <v>0</v>
      </c>
      <c r="M2982" s="3" t="str">
        <f>IF(E2982, C2982 &amp; "|" &amp; H2982, "")</f>
        <v>principal-knowledge-authority|RoleAssignments</v>
      </c>
      <c r="N2982" s="2" t="s">
        <v>9938</v>
      </c>
    </row>
    <row r="2983">
      <c r="A2983" s="2" t="s">
        <v>12919</v>
      </c>
      <c r="B2983" s="3" t="str">
        <f>C2983 &amp; " -&gt; " &amp; D2983</f>
        <v>principal-knowledge-authority -&gt; RoleAssignments.OverriddenDecisionCount</v>
      </c>
      <c r="C2983" s="2" t="s">
        <v>9708</v>
      </c>
      <c r="D2983" s="2" t="s">
        <v>2555</v>
      </c>
      <c r="E2983" s="2" t="b">
        <v>1</v>
      </c>
      <c r="F2983" s="2" t="b">
        <v>0</v>
      </c>
      <c r="G2983" s="2" t="s">
        <v>9937</v>
      </c>
      <c r="H2983" s="3" t="str">
        <f>_xlfn.IFNA(INDEX(RulebookFields!C2:C999, MATCH(D2983,RulebookFields!A2:A999, 0)), "")</f>
        <v>RoleAssignments</v>
      </c>
      <c r="I2983" s="3" t="str">
        <f>_xlfn.IFNA(INDEX(RulebookFields!D2:D999, MATCH(D2983,RulebookFields!A2:A999, 0)), "")</f>
        <v>OverriddenDecisionCount</v>
      </c>
      <c r="J2983" s="3" t="b">
        <f>_xlfn.IFNA(INDEX(RulebookFields!I2:I999, MATCH(D2983,RulebookFields!A2:A999, 0)), "")</f>
        <v>1</v>
      </c>
      <c r="K2983" s="3" t="b">
        <f>AND(F2983, J2983)</f>
        <v>0</v>
      </c>
      <c r="L2983" s="3" t="b">
        <f>AND(G2983 &lt;&gt; "plain", G2983 &lt;&gt; "")</f>
        <v>0</v>
      </c>
      <c r="M2983" s="3" t="str">
        <f>IF(E2983, C2983 &amp; "|" &amp; H2983, "")</f>
        <v>principal-knowledge-authority|RoleAssignments</v>
      </c>
      <c r="N2983" s="2" t="s">
        <v>9938</v>
      </c>
    </row>
    <row r="2984">
      <c r="A2984" s="2" t="s">
        <v>12920</v>
      </c>
      <c r="B2984" s="3" t="str">
        <f>C2984 &amp; " -&gt; " &amp; D2984</f>
        <v>principal-knowledge-authority -&gt; RoleAssignments.OverrideRatePercent</v>
      </c>
      <c r="C2984" s="2" t="s">
        <v>9708</v>
      </c>
      <c r="D2984" s="2" t="s">
        <v>2557</v>
      </c>
      <c r="E2984" s="2" t="b">
        <v>1</v>
      </c>
      <c r="F2984" s="2" t="b">
        <v>0</v>
      </c>
      <c r="G2984" s="2" t="s">
        <v>9937</v>
      </c>
      <c r="H2984" s="3" t="str">
        <f>_xlfn.IFNA(INDEX(RulebookFields!C2:C999, MATCH(D2984,RulebookFields!A2:A999, 0)), "")</f>
        <v>RoleAssignments</v>
      </c>
      <c r="I2984" s="3" t="str">
        <f>_xlfn.IFNA(INDEX(RulebookFields!D2:D999, MATCH(D2984,RulebookFields!A2:A999, 0)), "")</f>
        <v>OverrideRatePercent</v>
      </c>
      <c r="J2984" s="3" t="b">
        <f>_xlfn.IFNA(INDEX(RulebookFields!I2:I999, MATCH(D2984,RulebookFields!A2:A999, 0)), "")</f>
        <v>1</v>
      </c>
      <c r="K2984" s="3" t="b">
        <f>AND(F2984, J2984)</f>
        <v>0</v>
      </c>
      <c r="L2984" s="3" t="b">
        <f>AND(G2984 &lt;&gt; "plain", G2984 &lt;&gt; "")</f>
        <v>0</v>
      </c>
      <c r="M2984" s="3" t="str">
        <f>IF(E2984, C2984 &amp; "|" &amp; H2984, "")</f>
        <v>principal-knowledge-authority|RoleAssignments</v>
      </c>
      <c r="N2984" s="2" t="s">
        <v>9938</v>
      </c>
    </row>
    <row r="2985">
      <c r="A2985" s="2" t="s">
        <v>12921</v>
      </c>
      <c r="B2985" s="3" t="str">
        <f>C2985 &amp; " -&gt; " &amp; D2985</f>
        <v>principal-knowledge-authority -&gt; RoleAssignments.PredecessorOverrideRatePercent</v>
      </c>
      <c r="C2985" s="2" t="s">
        <v>9708</v>
      </c>
      <c r="D2985" s="2" t="s">
        <v>2558</v>
      </c>
      <c r="E2985" s="2" t="b">
        <v>1</v>
      </c>
      <c r="F2985" s="2" t="b">
        <v>0</v>
      </c>
      <c r="G2985" s="2" t="s">
        <v>9937</v>
      </c>
      <c r="H2985" s="3" t="str">
        <f>_xlfn.IFNA(INDEX(RulebookFields!C2:C999, MATCH(D2985,RulebookFields!A2:A999, 0)), "")</f>
        <v>RoleAssignments</v>
      </c>
      <c r="I2985" s="3" t="str">
        <f>_xlfn.IFNA(INDEX(RulebookFields!D2:D999, MATCH(D2985,RulebookFields!A2:A999, 0)), "")</f>
        <v>PredecessorOverrideRatePercent</v>
      </c>
      <c r="J2985" s="3" t="b">
        <f>_xlfn.IFNA(INDEX(RulebookFields!I2:I999, MATCH(D2985,RulebookFields!A2:A999, 0)), "")</f>
        <v>1</v>
      </c>
      <c r="K2985" s="3" t="b">
        <f>AND(F2985, J2985)</f>
        <v>0</v>
      </c>
      <c r="L2985" s="3" t="b">
        <f>AND(G2985 &lt;&gt; "plain", G2985 &lt;&gt; "")</f>
        <v>0</v>
      </c>
      <c r="M2985" s="3" t="str">
        <f>IF(E2985, C2985 &amp; "|" &amp; H2985, "")</f>
        <v>principal-knowledge-authority|RoleAssignments</v>
      </c>
      <c r="N2985" s="2" t="s">
        <v>9938</v>
      </c>
    </row>
    <row r="2986">
      <c r="A2986" s="2" t="s">
        <v>12922</v>
      </c>
      <c r="B2986" s="3" t="str">
        <f>C2986 &amp; " -&gt; " &amp; D2986</f>
        <v>principal-knowledge-authority -&gt; RoleAssignments.QualityRegressedVsPredecessor</v>
      </c>
      <c r="C2986" s="2" t="s">
        <v>9708</v>
      </c>
      <c r="D2986" s="2" t="s">
        <v>2560</v>
      </c>
      <c r="E2986" s="2" t="b">
        <v>1</v>
      </c>
      <c r="F2986" s="2" t="b">
        <v>0</v>
      </c>
      <c r="G2986" s="2" t="s">
        <v>9937</v>
      </c>
      <c r="H2986" s="3" t="str">
        <f>_xlfn.IFNA(INDEX(RulebookFields!C2:C999, MATCH(D2986,RulebookFields!A2:A999, 0)), "")</f>
        <v>RoleAssignments</v>
      </c>
      <c r="I2986" s="3" t="str">
        <f>_xlfn.IFNA(INDEX(RulebookFields!D2:D999, MATCH(D2986,RulebookFields!A2:A999, 0)), "")</f>
        <v>QualityRegressedVsPredecessor</v>
      </c>
      <c r="J2986" s="3" t="b">
        <f>_xlfn.IFNA(INDEX(RulebookFields!I2:I999, MATCH(D2986,RulebookFields!A2:A999, 0)), "")</f>
        <v>1</v>
      </c>
      <c r="K2986" s="3" t="b">
        <f>AND(F2986, J2986)</f>
        <v>0</v>
      </c>
      <c r="L2986" s="3" t="b">
        <f>AND(G2986 &lt;&gt; "plain", G2986 &lt;&gt; "")</f>
        <v>0</v>
      </c>
      <c r="M2986" s="3" t="str">
        <f>IF(E2986, C2986 &amp; "|" &amp; H2986, "")</f>
        <v>principal-knowledge-authority|RoleAssignments</v>
      </c>
      <c r="N2986" s="2" t="s">
        <v>9938</v>
      </c>
    </row>
    <row r="2987">
      <c r="A2987" s="2" t="s">
        <v>12923</v>
      </c>
      <c r="B2987" s="3" t="str">
        <f>C2987 &amp; " -&gt; " &amp; D2987</f>
        <v>principal-knowledge-authority -&gt; RoleAssignments.DepartedRoleKey</v>
      </c>
      <c r="C2987" s="2" t="s">
        <v>9708</v>
      </c>
      <c r="D2987" s="2" t="s">
        <v>2562</v>
      </c>
      <c r="E2987" s="2" t="b">
        <v>1</v>
      </c>
      <c r="F2987" s="2" t="b">
        <v>0</v>
      </c>
      <c r="G2987" s="2" t="s">
        <v>9937</v>
      </c>
      <c r="H2987" s="3" t="str">
        <f>_xlfn.IFNA(INDEX(RulebookFields!C2:C999, MATCH(D2987,RulebookFields!A2:A999, 0)), "")</f>
        <v>RoleAssignments</v>
      </c>
      <c r="I2987" s="3" t="str">
        <f>_xlfn.IFNA(INDEX(RulebookFields!D2:D999, MATCH(D2987,RulebookFields!A2:A999, 0)), "")</f>
        <v>DepartedRoleKey</v>
      </c>
      <c r="J2987" s="3" t="b">
        <f>_xlfn.IFNA(INDEX(RulebookFields!I2:I999, MATCH(D2987,RulebookFields!A2:A999, 0)), "")</f>
        <v>1</v>
      </c>
      <c r="K2987" s="3" t="b">
        <f>AND(F2987, J2987)</f>
        <v>0</v>
      </c>
      <c r="L2987" s="3" t="b">
        <f>AND(G2987 &lt;&gt; "plain", G2987 &lt;&gt; "")</f>
        <v>0</v>
      </c>
      <c r="M2987" s="3" t="str">
        <f>IF(E2987, C2987 &amp; "|" &amp; H2987, "")</f>
        <v>principal-knowledge-authority|RoleAssignments</v>
      </c>
      <c r="N2987" s="2" t="s">
        <v>9938</v>
      </c>
    </row>
    <row r="2988">
      <c r="A2988" s="2" t="s">
        <v>12924</v>
      </c>
      <c r="B2988" s="3" t="str">
        <f>C2988 &amp; " -&gt; " &amp; D2988</f>
        <v>principal-knowledge-authority -&gt; RoleAssignments.MinimumDecisionsForComparison</v>
      </c>
      <c r="C2988" s="2" t="s">
        <v>9708</v>
      </c>
      <c r="D2988" s="2" t="s">
        <v>2564</v>
      </c>
      <c r="E2988" s="2" t="b">
        <v>1</v>
      </c>
      <c r="F2988" s="2" t="b">
        <v>0</v>
      </c>
      <c r="G2988" s="2" t="s">
        <v>9937</v>
      </c>
      <c r="H2988" s="3" t="str">
        <f>_xlfn.IFNA(INDEX(RulebookFields!C2:C999, MATCH(D2988,RulebookFields!A2:A999, 0)), "")</f>
        <v>RoleAssignments</v>
      </c>
      <c r="I2988" s="3" t="str">
        <f>_xlfn.IFNA(INDEX(RulebookFields!D2:D999, MATCH(D2988,RulebookFields!A2:A999, 0)), "")</f>
        <v>MinimumDecisionsForComparison</v>
      </c>
      <c r="J2988" s="3" t="b">
        <f>_xlfn.IFNA(INDEX(RulebookFields!I2:I999, MATCH(D2988,RulebookFields!A2:A999, 0)), "")</f>
        <v>0</v>
      </c>
      <c r="K2988" s="3" t="b">
        <f>AND(F2988, J2988)</f>
        <v>0</v>
      </c>
      <c r="L2988" s="3" t="b">
        <f>AND(G2988 &lt;&gt; "plain", G2988 &lt;&gt; "")</f>
        <v>0</v>
      </c>
      <c r="M2988" s="3" t="str">
        <f>IF(E2988, C2988 &amp; "|" &amp; H2988, "")</f>
        <v>principal-knowledge-authority|RoleAssignments</v>
      </c>
      <c r="N2988" s="2" t="s">
        <v>9938</v>
      </c>
    </row>
    <row r="2989">
      <c r="A2989" s="2" t="s">
        <v>12925</v>
      </c>
      <c r="B2989" s="3" t="str">
        <f>C2989 &amp; " -&gt; " &amp; D2989</f>
        <v>principal-knowledge-authority -&gt; RoleAssignments.PredecessorDecisionCount</v>
      </c>
      <c r="C2989" s="2" t="s">
        <v>9708</v>
      </c>
      <c r="D2989" s="2" t="s">
        <v>2565</v>
      </c>
      <c r="E2989" s="2" t="b">
        <v>1</v>
      </c>
      <c r="F2989" s="2" t="b">
        <v>0</v>
      </c>
      <c r="G2989" s="2" t="s">
        <v>9937</v>
      </c>
      <c r="H2989" s="3" t="str">
        <f>_xlfn.IFNA(INDEX(RulebookFields!C2:C999, MATCH(D2989,RulebookFields!A2:A999, 0)), "")</f>
        <v>RoleAssignments</v>
      </c>
      <c r="I2989" s="3" t="str">
        <f>_xlfn.IFNA(INDEX(RulebookFields!D2:D999, MATCH(D2989,RulebookFields!A2:A999, 0)), "")</f>
        <v>PredecessorDecisionCount</v>
      </c>
      <c r="J2989" s="3" t="b">
        <f>_xlfn.IFNA(INDEX(RulebookFields!I2:I999, MATCH(D2989,RulebookFields!A2:A999, 0)), "")</f>
        <v>1</v>
      </c>
      <c r="K2989" s="3" t="b">
        <f>AND(F2989, J2989)</f>
        <v>0</v>
      </c>
      <c r="L2989" s="3" t="b">
        <f>AND(G2989 &lt;&gt; "plain", G2989 &lt;&gt; "")</f>
        <v>0</v>
      </c>
      <c r="M2989" s="3" t="str">
        <f>IF(E2989, C2989 &amp; "|" &amp; H2989, "")</f>
        <v>principal-knowledge-authority|RoleAssignments</v>
      </c>
      <c r="N2989" s="2" t="s">
        <v>9938</v>
      </c>
    </row>
    <row r="2990">
      <c r="A2990" s="2" t="s">
        <v>12926</v>
      </c>
      <c r="B2990" s="3" t="str">
        <f>C2990 &amp; " -&gt; " &amp; D2990</f>
        <v>principal-knowledge-authority -&gt; RoleAssignments.HasSufficientSample</v>
      </c>
      <c r="C2990" s="2" t="s">
        <v>9708</v>
      </c>
      <c r="D2990" s="2" t="s">
        <v>2567</v>
      </c>
      <c r="E2990" s="2" t="b">
        <v>1</v>
      </c>
      <c r="F2990" s="2" t="b">
        <v>0</v>
      </c>
      <c r="G2990" s="2" t="s">
        <v>9937</v>
      </c>
      <c r="H2990" s="3" t="str">
        <f>_xlfn.IFNA(INDEX(RulebookFields!C2:C999, MATCH(D2990,RulebookFields!A2:A999, 0)), "")</f>
        <v>RoleAssignments</v>
      </c>
      <c r="I2990" s="3" t="str">
        <f>_xlfn.IFNA(INDEX(RulebookFields!D2:D999, MATCH(D2990,RulebookFields!A2:A999, 0)), "")</f>
        <v>HasSufficientSample</v>
      </c>
      <c r="J2990" s="3" t="b">
        <f>_xlfn.IFNA(INDEX(RulebookFields!I2:I999, MATCH(D2990,RulebookFields!A2:A999, 0)), "")</f>
        <v>1</v>
      </c>
      <c r="K2990" s="3" t="b">
        <f>AND(F2990, J2990)</f>
        <v>0</v>
      </c>
      <c r="L2990" s="3" t="b">
        <f>AND(G2990 &lt;&gt; "plain", G2990 &lt;&gt; "")</f>
        <v>0</v>
      </c>
      <c r="M2990" s="3" t="str">
        <f>IF(E2990, C2990 &amp; "|" &amp; H2990, "")</f>
        <v>principal-knowledge-authority|RoleAssignments</v>
      </c>
      <c r="N2990" s="2" t="s">
        <v>9938</v>
      </c>
    </row>
    <row r="2991">
      <c r="A2991" s="2" t="s">
        <v>12927</v>
      </c>
      <c r="B2991" s="3" t="str">
        <f>C2991 &amp; " -&gt; " &amp; D2991</f>
        <v>principal-knowledge-authority -&gt; RoleAssignments.PredecessorHasSufficientSample</v>
      </c>
      <c r="C2991" s="2" t="s">
        <v>9708</v>
      </c>
      <c r="D2991" s="2" t="s">
        <v>2569</v>
      </c>
      <c r="E2991" s="2" t="b">
        <v>1</v>
      </c>
      <c r="F2991" s="2" t="b">
        <v>0</v>
      </c>
      <c r="G2991" s="2" t="s">
        <v>9937</v>
      </c>
      <c r="H2991" s="3" t="str">
        <f>_xlfn.IFNA(INDEX(RulebookFields!C2:C999, MATCH(D2991,RulebookFields!A2:A999, 0)), "")</f>
        <v>RoleAssignments</v>
      </c>
      <c r="I2991" s="3" t="str">
        <f>_xlfn.IFNA(INDEX(RulebookFields!D2:D999, MATCH(D2991,RulebookFields!A2:A999, 0)), "")</f>
        <v>PredecessorHasSufficientSample</v>
      </c>
      <c r="J2991" s="3" t="b">
        <f>_xlfn.IFNA(INDEX(RulebookFields!I2:I999, MATCH(D2991,RulebookFields!A2:A999, 0)), "")</f>
        <v>1</v>
      </c>
      <c r="K2991" s="3" t="b">
        <f>AND(F2991, J2991)</f>
        <v>0</v>
      </c>
      <c r="L2991" s="3" t="b">
        <f>AND(G2991 &lt;&gt; "plain", G2991 &lt;&gt; "")</f>
        <v>0</v>
      </c>
      <c r="M2991" s="3" t="str">
        <f>IF(E2991, C2991 &amp; "|" &amp; H2991, "")</f>
        <v>principal-knowledge-authority|RoleAssignments</v>
      </c>
      <c r="N2991" s="2" t="s">
        <v>9938</v>
      </c>
    </row>
    <row r="2992">
      <c r="A2992" s="2" t="s">
        <v>12928</v>
      </c>
      <c r="B2992" s="3" t="str">
        <f>C2992 &amp; " -&gt; " &amp; D2992</f>
        <v>principal-knowledge-authority -&gt; RoleAssignments.ComparisonIsEvidentiallySound</v>
      </c>
      <c r="C2992" s="2" t="s">
        <v>9708</v>
      </c>
      <c r="D2992" s="2" t="s">
        <v>2571</v>
      </c>
      <c r="E2992" s="2" t="b">
        <v>1</v>
      </c>
      <c r="F2992" s="2" t="b">
        <v>0</v>
      </c>
      <c r="G2992" s="2" t="s">
        <v>9937</v>
      </c>
      <c r="H2992" s="3" t="str">
        <f>_xlfn.IFNA(INDEX(RulebookFields!C2:C999, MATCH(D2992,RulebookFields!A2:A999, 0)), "")</f>
        <v>RoleAssignments</v>
      </c>
      <c r="I2992" s="3" t="str">
        <f>_xlfn.IFNA(INDEX(RulebookFields!D2:D999, MATCH(D2992,RulebookFields!A2:A999, 0)), "")</f>
        <v>ComparisonIsEvidentiallySound</v>
      </c>
      <c r="J2992" s="3" t="b">
        <f>_xlfn.IFNA(INDEX(RulebookFields!I2:I999, MATCH(D2992,RulebookFields!A2:A999, 0)), "")</f>
        <v>1</v>
      </c>
      <c r="K2992" s="3" t="b">
        <f>AND(F2992, J2992)</f>
        <v>0</v>
      </c>
      <c r="L2992" s="3" t="b">
        <f>AND(G2992 &lt;&gt; "plain", G2992 &lt;&gt; "")</f>
        <v>0</v>
      </c>
      <c r="M2992" s="3" t="str">
        <f>IF(E2992, C2992 &amp; "|" &amp; H2992, "")</f>
        <v>principal-knowledge-authority|RoleAssignments</v>
      </c>
      <c r="N2992" s="2" t="s">
        <v>9938</v>
      </c>
    </row>
    <row r="2993">
      <c r="A2993" s="2" t="s">
        <v>12929</v>
      </c>
      <c r="B2993" s="3" t="str">
        <f>C2993 &amp; " -&gt; " &amp; D2993</f>
        <v>principal-knowledge-authority -&gt; RoleAssignments.SingleOverrideSwingPercent</v>
      </c>
      <c r="C2993" s="2" t="s">
        <v>9708</v>
      </c>
      <c r="D2993" s="2" t="s">
        <v>2573</v>
      </c>
      <c r="E2993" s="2" t="b">
        <v>1</v>
      </c>
      <c r="F2993" s="2" t="b">
        <v>0</v>
      </c>
      <c r="G2993" s="2" t="s">
        <v>9937</v>
      </c>
      <c r="H2993" s="3" t="str">
        <f>_xlfn.IFNA(INDEX(RulebookFields!C2:C999, MATCH(D2993,RulebookFields!A2:A999, 0)), "")</f>
        <v>RoleAssignments</v>
      </c>
      <c r="I2993" s="3" t="str">
        <f>_xlfn.IFNA(INDEX(RulebookFields!D2:D999, MATCH(D2993,RulebookFields!A2:A999, 0)), "")</f>
        <v>SingleOverrideSwingPercent</v>
      </c>
      <c r="J2993" s="3" t="b">
        <f>_xlfn.IFNA(INDEX(RulebookFields!I2:I999, MATCH(D2993,RulebookFields!A2:A999, 0)), "")</f>
        <v>1</v>
      </c>
      <c r="K2993" s="3" t="b">
        <f>AND(F2993, J2993)</f>
        <v>0</v>
      </c>
      <c r="L2993" s="3" t="b">
        <f>AND(G2993 &lt;&gt; "plain", G2993 &lt;&gt; "")</f>
        <v>0</v>
      </c>
      <c r="M2993" s="3" t="str">
        <f>IF(E2993, C2993 &amp; "|" &amp; H2993, "")</f>
        <v>principal-knowledge-authority|RoleAssignments</v>
      </c>
      <c r="N2993" s="2" t="s">
        <v>9938</v>
      </c>
    </row>
    <row r="2994">
      <c r="A2994" s="2" t="s">
        <v>12930</v>
      </c>
      <c r="B2994" s="3" t="str">
        <f>C2994 &amp; " -&gt; " &amp; D2994</f>
        <v>principal-knowledge-authority -&gt; RoleAssignments.QualityVerdictIsUnsupported</v>
      </c>
      <c r="C2994" s="2" t="s">
        <v>9708</v>
      </c>
      <c r="D2994" s="2" t="s">
        <v>2575</v>
      </c>
      <c r="E2994" s="2" t="b">
        <v>1</v>
      </c>
      <c r="F2994" s="2" t="b">
        <v>0</v>
      </c>
      <c r="G2994" s="2" t="s">
        <v>9937</v>
      </c>
      <c r="H2994" s="3" t="str">
        <f>_xlfn.IFNA(INDEX(RulebookFields!C2:C999, MATCH(D2994,RulebookFields!A2:A999, 0)), "")</f>
        <v>RoleAssignments</v>
      </c>
      <c r="I2994" s="3" t="str">
        <f>_xlfn.IFNA(INDEX(RulebookFields!D2:D999, MATCH(D2994,RulebookFields!A2:A999, 0)), "")</f>
        <v>QualityVerdictIsUnsupported</v>
      </c>
      <c r="J2994" s="3" t="b">
        <f>_xlfn.IFNA(INDEX(RulebookFields!I2:I999, MATCH(D2994,RulebookFields!A2:A999, 0)), "")</f>
        <v>1</v>
      </c>
      <c r="K2994" s="3" t="b">
        <f>AND(F2994, J2994)</f>
        <v>0</v>
      </c>
      <c r="L2994" s="3" t="b">
        <f>AND(G2994 &lt;&gt; "plain", G2994 &lt;&gt; "")</f>
        <v>0</v>
      </c>
      <c r="M2994" s="3" t="str">
        <f>IF(E2994, C2994 &amp; "|" &amp; H2994, "")</f>
        <v>principal-knowledge-authority|RoleAssignments</v>
      </c>
      <c r="N2994" s="2" t="s">
        <v>9938</v>
      </c>
    </row>
    <row r="2995">
      <c r="A2995" s="2" t="s">
        <v>12931</v>
      </c>
      <c r="B2995" s="3" t="str">
        <f>C2995 &amp; " -&gt; " &amp; D2995</f>
        <v>principal-knowledge-authority -&gt; RoleAssignments.IsUnmeasuredAutomationHandover</v>
      </c>
      <c r="C2995" s="2" t="s">
        <v>9708</v>
      </c>
      <c r="D2995" s="2" t="s">
        <v>2577</v>
      </c>
      <c r="E2995" s="2" t="b">
        <v>1</v>
      </c>
      <c r="F2995" s="2" t="b">
        <v>0</v>
      </c>
      <c r="G2995" s="2" t="s">
        <v>9937</v>
      </c>
      <c r="H2995" s="3" t="str">
        <f>_xlfn.IFNA(INDEX(RulebookFields!C2:C999, MATCH(D2995,RulebookFields!A2:A999, 0)), "")</f>
        <v>RoleAssignments</v>
      </c>
      <c r="I2995" s="3" t="str">
        <f>_xlfn.IFNA(INDEX(RulebookFields!D2:D999, MATCH(D2995,RulebookFields!A2:A999, 0)), "")</f>
        <v>IsUnmeasuredAutomationHandover</v>
      </c>
      <c r="J2995" s="3" t="b">
        <f>_xlfn.IFNA(INDEX(RulebookFields!I2:I999, MATCH(D2995,RulebookFields!A2:A999, 0)), "")</f>
        <v>1</v>
      </c>
      <c r="K2995" s="3" t="b">
        <f>AND(F2995, J2995)</f>
        <v>0</v>
      </c>
      <c r="L2995" s="3" t="b">
        <f>AND(G2995 &lt;&gt; "plain", G2995 &lt;&gt; "")</f>
        <v>0</v>
      </c>
      <c r="M2995" s="3" t="str">
        <f>IF(E2995, C2995 &amp; "|" &amp; H2995, "")</f>
        <v>principal-knowledge-authority|RoleAssignments</v>
      </c>
      <c r="N2995" s="2" t="s">
        <v>9938</v>
      </c>
    </row>
    <row r="2996">
      <c r="A2996" s="2" t="s">
        <v>12932</v>
      </c>
      <c r="B2996" s="3" t="str">
        <f>C2996 &amp; " -&gt; " &amp; D2996</f>
        <v>principal-knowledge-authority -&gt; RoleAssignments.ErrorCorrectionCount</v>
      </c>
      <c r="C2996" s="2" t="s">
        <v>9708</v>
      </c>
      <c r="D2996" s="2" t="s">
        <v>2579</v>
      </c>
      <c r="E2996" s="2" t="b">
        <v>1</v>
      </c>
      <c r="F2996" s="2" t="b">
        <v>0</v>
      </c>
      <c r="G2996" s="2" t="s">
        <v>9937</v>
      </c>
      <c r="H2996" s="3" t="str">
        <f>_xlfn.IFNA(INDEX(RulebookFields!C2:C999, MATCH(D2996,RulebookFields!A2:A999, 0)), "")</f>
        <v>RoleAssignments</v>
      </c>
      <c r="I2996" s="3" t="str">
        <f>_xlfn.IFNA(INDEX(RulebookFields!D2:D999, MATCH(D2996,RulebookFields!A2:A999, 0)), "")</f>
        <v>ErrorCorrectionCount</v>
      </c>
      <c r="J2996" s="3" t="b">
        <f>_xlfn.IFNA(INDEX(RulebookFields!I2:I999, MATCH(D2996,RulebookFields!A2:A999, 0)), "")</f>
        <v>1</v>
      </c>
      <c r="K2996" s="3" t="b">
        <f>AND(F2996, J2996)</f>
        <v>0</v>
      </c>
      <c r="L2996" s="3" t="b">
        <f>AND(G2996 &lt;&gt; "plain", G2996 &lt;&gt; "")</f>
        <v>0</v>
      </c>
      <c r="M2996" s="3" t="str">
        <f>IF(E2996, C2996 &amp; "|" &amp; H2996, "")</f>
        <v>principal-knowledge-authority|RoleAssignments</v>
      </c>
      <c r="N2996" s="2" t="s">
        <v>9938</v>
      </c>
    </row>
    <row r="2997">
      <c r="A2997" s="2" t="s">
        <v>12933</v>
      </c>
      <c r="B2997" s="3" t="str">
        <f>C2997 &amp; " -&gt; " &amp; D2997</f>
        <v>principal-knowledge-authority -&gt; RoleAssignments.ErrorRatePercent</v>
      </c>
      <c r="C2997" s="2" t="s">
        <v>9708</v>
      </c>
      <c r="D2997" s="2" t="s">
        <v>2581</v>
      </c>
      <c r="E2997" s="2" t="b">
        <v>1</v>
      </c>
      <c r="F2997" s="2" t="b">
        <v>0</v>
      </c>
      <c r="G2997" s="2" t="s">
        <v>9937</v>
      </c>
      <c r="H2997" s="3" t="str">
        <f>_xlfn.IFNA(INDEX(RulebookFields!C2:C999, MATCH(D2997,RulebookFields!A2:A999, 0)), "")</f>
        <v>RoleAssignments</v>
      </c>
      <c r="I2997" s="3" t="str">
        <f>_xlfn.IFNA(INDEX(RulebookFields!D2:D999, MATCH(D2997,RulebookFields!A2:A999, 0)), "")</f>
        <v>ErrorRatePercent</v>
      </c>
      <c r="J2997" s="3" t="b">
        <f>_xlfn.IFNA(INDEX(RulebookFields!I2:I999, MATCH(D2997,RulebookFields!A2:A999, 0)), "")</f>
        <v>1</v>
      </c>
      <c r="K2997" s="3" t="b">
        <f>AND(F2997, J2997)</f>
        <v>0</v>
      </c>
      <c r="L2997" s="3" t="b">
        <f>AND(G2997 &lt;&gt; "plain", G2997 &lt;&gt; "")</f>
        <v>0</v>
      </c>
      <c r="M2997" s="3" t="str">
        <f>IF(E2997, C2997 &amp; "|" &amp; H2997, "")</f>
        <v>principal-knowledge-authority|RoleAssignments</v>
      </c>
      <c r="N2997" s="2" t="s">
        <v>9938</v>
      </c>
    </row>
    <row r="2998">
      <c r="A2998" s="2" t="s">
        <v>12934</v>
      </c>
      <c r="B2998" s="3" t="str">
        <f>C2998 &amp; " -&gt; " &amp; D2998</f>
        <v>principal-knowledge-authority -&gt; RoleAssignments.AuthorizationDecidedAt</v>
      </c>
      <c r="C2998" s="2" t="s">
        <v>9708</v>
      </c>
      <c r="D2998" s="2" t="s">
        <v>2583</v>
      </c>
      <c r="E2998" s="2" t="b">
        <v>1</v>
      </c>
      <c r="F2998" s="2" t="b">
        <v>0</v>
      </c>
      <c r="G2998" s="2" t="s">
        <v>9937</v>
      </c>
      <c r="H2998" s="3" t="str">
        <f>_xlfn.IFNA(INDEX(RulebookFields!C2:C999, MATCH(D2998,RulebookFields!A2:A999, 0)), "")</f>
        <v>RoleAssignments</v>
      </c>
      <c r="I2998" s="3" t="str">
        <f>_xlfn.IFNA(INDEX(RulebookFields!D2:D999, MATCH(D2998,RulebookFields!A2:A999, 0)), "")</f>
        <v>AuthorizationDecidedAt</v>
      </c>
      <c r="J2998" s="3" t="b">
        <f>_xlfn.IFNA(INDEX(RulebookFields!I2:I999, MATCH(D2998,RulebookFields!A2:A999, 0)), "")</f>
        <v>0</v>
      </c>
      <c r="K2998" s="3" t="b">
        <f>AND(F2998, J2998)</f>
        <v>0</v>
      </c>
      <c r="L2998" s="3" t="b">
        <f>AND(G2998 &lt;&gt; "plain", G2998 &lt;&gt; "")</f>
        <v>0</v>
      </c>
      <c r="M2998" s="3" t="str">
        <f>IF(E2998, C2998 &amp; "|" &amp; H2998, "")</f>
        <v>principal-knowledge-authority|RoleAssignments</v>
      </c>
      <c r="N2998" s="2" t="s">
        <v>9938</v>
      </c>
    </row>
    <row r="2999">
      <c r="A2999" s="2" t="s">
        <v>12935</v>
      </c>
      <c r="B2999" s="3" t="str">
        <f>C2999 &amp; " -&gt; " &amp; D2999</f>
        <v>principal-knowledge-authority -&gt; RoleAssignments.AuthorizationReviewedAt</v>
      </c>
      <c r="C2999" s="2" t="s">
        <v>9708</v>
      </c>
      <c r="D2999" s="2" t="s">
        <v>2584</v>
      </c>
      <c r="E2999" s="2" t="b">
        <v>1</v>
      </c>
      <c r="F2999" s="2" t="b">
        <v>0</v>
      </c>
      <c r="G2999" s="2" t="s">
        <v>9937</v>
      </c>
      <c r="H2999" s="3" t="str">
        <f>_xlfn.IFNA(INDEX(RulebookFields!C2:C999, MATCH(D2999,RulebookFields!A2:A999, 0)), "")</f>
        <v>RoleAssignments</v>
      </c>
      <c r="I2999" s="3" t="str">
        <f>_xlfn.IFNA(INDEX(RulebookFields!D2:D999, MATCH(D2999,RulebookFields!A2:A999, 0)), "")</f>
        <v>AuthorizationReviewedAt</v>
      </c>
      <c r="J2999" s="3" t="b">
        <f>_xlfn.IFNA(INDEX(RulebookFields!I2:I999, MATCH(D2999,RulebookFields!A2:A999, 0)), "")</f>
        <v>0</v>
      </c>
      <c r="K2999" s="3" t="b">
        <f>AND(F2999, J2999)</f>
        <v>0</v>
      </c>
      <c r="L2999" s="3" t="b">
        <f>AND(G2999 &lt;&gt; "plain", G2999 &lt;&gt; "")</f>
        <v>0</v>
      </c>
      <c r="M2999" s="3" t="str">
        <f>IF(E2999, C2999 &amp; "|" &amp; H2999, "")</f>
        <v>principal-knowledge-authority|RoleAssignments</v>
      </c>
      <c r="N2999" s="2" t="s">
        <v>9938</v>
      </c>
    </row>
    <row r="3000">
      <c r="A3000" s="2" t="s">
        <v>12936</v>
      </c>
      <c r="B3000" s="3" t="str">
        <f>C3000 &amp; " -&gt; " &amp; D3000</f>
        <v>principal-knowledge-authority -&gt; RoleAssignments.AuthorizationReviewCadenceDays</v>
      </c>
      <c r="C3000" s="2" t="s">
        <v>9708</v>
      </c>
      <c r="D3000" s="2" t="s">
        <v>2585</v>
      </c>
      <c r="E3000" s="2" t="b">
        <v>1</v>
      </c>
      <c r="F3000" s="2" t="b">
        <v>0</v>
      </c>
      <c r="G3000" s="2" t="s">
        <v>9937</v>
      </c>
      <c r="H3000" s="3" t="str">
        <f>_xlfn.IFNA(INDEX(RulebookFields!C2:C999, MATCH(D3000,RulebookFields!A2:A999, 0)), "")</f>
        <v>RoleAssignments</v>
      </c>
      <c r="I3000" s="3" t="str">
        <f>_xlfn.IFNA(INDEX(RulebookFields!D2:D999, MATCH(D3000,RulebookFields!A2:A999, 0)), "")</f>
        <v>AuthorizationReviewCadenceDays</v>
      </c>
      <c r="J3000" s="3" t="b">
        <f>_xlfn.IFNA(INDEX(RulebookFields!I2:I999, MATCH(D3000,RulebookFields!A2:A999, 0)), "")</f>
        <v>0</v>
      </c>
      <c r="K3000" s="3" t="b">
        <f>AND(F3000, J3000)</f>
        <v>0</v>
      </c>
      <c r="L3000" s="3" t="b">
        <f>AND(G3000 &lt;&gt; "plain", G3000 &lt;&gt; "")</f>
        <v>0</v>
      </c>
      <c r="M3000" s="3" t="str">
        <f>IF(E3000, C3000 &amp; "|" &amp; H3000, "")</f>
        <v>principal-knowledge-authority|RoleAssignments</v>
      </c>
      <c r="N3000" s="2" t="s">
        <v>9938</v>
      </c>
    </row>
    <row r="3001">
      <c r="A3001" s="2" t="s">
        <v>12937</v>
      </c>
      <c r="B3001" s="3" t="str">
        <f>C3001 &amp; " -&gt; " &amp; D3001</f>
        <v>principal-knowledge-authority -&gt; RoleAssignments.HasDatedAuthorization</v>
      </c>
      <c r="C3001" s="2" t="s">
        <v>9708</v>
      </c>
      <c r="D3001" s="2" t="s">
        <v>2586</v>
      </c>
      <c r="E3001" s="2" t="b">
        <v>1</v>
      </c>
      <c r="F3001" s="2" t="b">
        <v>0</v>
      </c>
      <c r="G3001" s="2" t="s">
        <v>9937</v>
      </c>
      <c r="H3001" s="3" t="str">
        <f>_xlfn.IFNA(INDEX(RulebookFields!C2:C999, MATCH(D3001,RulebookFields!A2:A999, 0)), "")</f>
        <v>RoleAssignments</v>
      </c>
      <c r="I3001" s="3" t="str">
        <f>_xlfn.IFNA(INDEX(RulebookFields!D2:D999, MATCH(D3001,RulebookFields!A2:A999, 0)), "")</f>
        <v>HasDatedAuthorization</v>
      </c>
      <c r="J3001" s="3" t="b">
        <f>_xlfn.IFNA(INDEX(RulebookFields!I2:I999, MATCH(D3001,RulebookFields!A2:A999, 0)), "")</f>
        <v>1</v>
      </c>
      <c r="K3001" s="3" t="b">
        <f>AND(F3001, J3001)</f>
        <v>0</v>
      </c>
      <c r="L3001" s="3" t="b">
        <f>AND(G3001 &lt;&gt; "plain", G3001 &lt;&gt; "")</f>
        <v>0</v>
      </c>
      <c r="M3001" s="3" t="str">
        <f>IF(E3001, C3001 &amp; "|" &amp; H3001, "")</f>
        <v>principal-knowledge-authority|RoleAssignments</v>
      </c>
      <c r="N3001" s="2" t="s">
        <v>9938</v>
      </c>
    </row>
    <row r="3002">
      <c r="A3002" s="2" t="s">
        <v>12938</v>
      </c>
      <c r="B3002" s="3" t="str">
        <f>C3002 &amp; " -&gt; " &amp; D3002</f>
        <v>principal-knowledge-authority -&gt; RoleAssignments.DaysSinceAuthorizationReview</v>
      </c>
      <c r="C3002" s="2" t="s">
        <v>9708</v>
      </c>
      <c r="D3002" s="2" t="s">
        <v>2588</v>
      </c>
      <c r="E3002" s="2" t="b">
        <v>1</v>
      </c>
      <c r="F3002" s="2" t="b">
        <v>0</v>
      </c>
      <c r="G3002" s="2" t="s">
        <v>9937</v>
      </c>
      <c r="H3002" s="3" t="str">
        <f>_xlfn.IFNA(INDEX(RulebookFields!C2:C999, MATCH(D3002,RulebookFields!A2:A999, 0)), "")</f>
        <v>RoleAssignments</v>
      </c>
      <c r="I3002" s="3" t="str">
        <f>_xlfn.IFNA(INDEX(RulebookFields!D2:D999, MATCH(D3002,RulebookFields!A2:A999, 0)), "")</f>
        <v>DaysSinceAuthorizationReview</v>
      </c>
      <c r="J3002" s="3" t="b">
        <f>_xlfn.IFNA(INDEX(RulebookFields!I2:I999, MATCH(D3002,RulebookFields!A2:A999, 0)), "")</f>
        <v>1</v>
      </c>
      <c r="K3002" s="3" t="b">
        <f>AND(F3002, J3002)</f>
        <v>0</v>
      </c>
      <c r="L3002" s="3" t="b">
        <f>AND(G3002 &lt;&gt; "plain", G3002 &lt;&gt; "")</f>
        <v>0</v>
      </c>
      <c r="M3002" s="3" t="str">
        <f>IF(E3002, C3002 &amp; "|" &amp; H3002, "")</f>
        <v>principal-knowledge-authority|RoleAssignments</v>
      </c>
      <c r="N3002" s="2" t="s">
        <v>9938</v>
      </c>
    </row>
    <row r="3003">
      <c r="A3003" s="2" t="s">
        <v>12939</v>
      </c>
      <c r="B3003" s="3" t="str">
        <f>C3003 &amp; " -&gt; " &amp; D3003</f>
        <v>principal-knowledge-authority -&gt; RoleAssignments.AuthorizationIsOverdueForReview</v>
      </c>
      <c r="C3003" s="2" t="s">
        <v>9708</v>
      </c>
      <c r="D3003" s="2" t="s">
        <v>2590</v>
      </c>
      <c r="E3003" s="2" t="b">
        <v>1</v>
      </c>
      <c r="F3003" s="2" t="b">
        <v>0</v>
      </c>
      <c r="G3003" s="2" t="s">
        <v>9937</v>
      </c>
      <c r="H3003" s="3" t="str">
        <f>_xlfn.IFNA(INDEX(RulebookFields!C2:C999, MATCH(D3003,RulebookFields!A2:A999, 0)), "")</f>
        <v>RoleAssignments</v>
      </c>
      <c r="I3003" s="3" t="str">
        <f>_xlfn.IFNA(INDEX(RulebookFields!D2:D999, MATCH(D3003,RulebookFields!A2:A999, 0)), "")</f>
        <v>AuthorizationIsOverdueForReview</v>
      </c>
      <c r="J3003" s="3" t="b">
        <f>_xlfn.IFNA(INDEX(RulebookFields!I2:I999, MATCH(D3003,RulebookFields!A2:A999, 0)), "")</f>
        <v>1</v>
      </c>
      <c r="K3003" s="3" t="b">
        <f>AND(F3003, J3003)</f>
        <v>0</v>
      </c>
      <c r="L3003" s="3" t="b">
        <f>AND(G3003 &lt;&gt; "plain", G3003 &lt;&gt; "")</f>
        <v>0</v>
      </c>
      <c r="M3003" s="3" t="str">
        <f>IF(E3003, C3003 &amp; "|" &amp; H3003, "")</f>
        <v>principal-knowledge-authority|RoleAssignments</v>
      </c>
      <c r="N3003" s="2" t="s">
        <v>9938</v>
      </c>
    </row>
    <row r="3004">
      <c r="A3004" s="2" t="s">
        <v>12940</v>
      </c>
      <c r="B3004" s="3" t="str">
        <f>C3004 &amp; " -&gt; " &amp; D3004</f>
        <v>principal-knowledge-authority -&gt; RoleAssignments.IsStandingUnreviewedAutomation</v>
      </c>
      <c r="C3004" s="2" t="s">
        <v>9708</v>
      </c>
      <c r="D3004" s="2" t="s">
        <v>2592</v>
      </c>
      <c r="E3004" s="2" t="b">
        <v>1</v>
      </c>
      <c r="F3004" s="2" t="b">
        <v>0</v>
      </c>
      <c r="G3004" s="2" t="s">
        <v>9937</v>
      </c>
      <c r="H3004" s="3" t="str">
        <f>_xlfn.IFNA(INDEX(RulebookFields!C2:C999, MATCH(D3004,RulebookFields!A2:A999, 0)), "")</f>
        <v>RoleAssignments</v>
      </c>
      <c r="I3004" s="3" t="str">
        <f>_xlfn.IFNA(INDEX(RulebookFields!D2:D999, MATCH(D3004,RulebookFields!A2:A999, 0)), "")</f>
        <v>IsStandingUnreviewedAutomation</v>
      </c>
      <c r="J3004" s="3" t="b">
        <f>_xlfn.IFNA(INDEX(RulebookFields!I2:I999, MATCH(D3004,RulebookFields!A2:A999, 0)), "")</f>
        <v>1</v>
      </c>
      <c r="K3004" s="3" t="b">
        <f>AND(F3004, J3004)</f>
        <v>0</v>
      </c>
      <c r="L3004" s="3" t="b">
        <f>AND(G3004 &lt;&gt; "plain", G3004 &lt;&gt; "")</f>
        <v>0</v>
      </c>
      <c r="M3004" s="3" t="str">
        <f>IF(E3004, C3004 &amp; "|" &amp; H3004, "")</f>
        <v>principal-knowledge-authority|RoleAssignments</v>
      </c>
      <c r="N3004" s="2" t="s">
        <v>9938</v>
      </c>
    </row>
    <row r="3005">
      <c r="A3005" s="2" t="s">
        <v>12941</v>
      </c>
      <c r="B3005" s="3" t="str">
        <f>C3005 &amp; " -&gt; " &amp; D3005</f>
        <v>principal-knowledge-authority -&gt; RoleAssignments.IsUnconditionedAutomationHandover</v>
      </c>
      <c r="C3005" s="2" t="s">
        <v>9708</v>
      </c>
      <c r="D3005" s="2" t="s">
        <v>2594</v>
      </c>
      <c r="E3005" s="2" t="b">
        <v>1</v>
      </c>
      <c r="F3005" s="2" t="b">
        <v>0</v>
      </c>
      <c r="G3005" s="2" t="s">
        <v>9937</v>
      </c>
      <c r="H3005" s="3" t="str">
        <f>_xlfn.IFNA(INDEX(RulebookFields!C2:C999, MATCH(D3005,RulebookFields!A2:A999, 0)), "")</f>
        <v>RoleAssignments</v>
      </c>
      <c r="I3005" s="3" t="str">
        <f>_xlfn.IFNA(INDEX(RulebookFields!D2:D999, MATCH(D3005,RulebookFields!A2:A999, 0)), "")</f>
        <v>IsUnconditionedAutomationHandover</v>
      </c>
      <c r="J3005" s="3" t="b">
        <f>_xlfn.IFNA(INDEX(RulebookFields!I2:I999, MATCH(D3005,RulebookFields!A2:A999, 0)), "")</f>
        <v>1</v>
      </c>
      <c r="K3005" s="3" t="b">
        <f>AND(F3005, J3005)</f>
        <v>0</v>
      </c>
      <c r="L3005" s="3" t="b">
        <f>AND(G3005 &lt;&gt; "plain", G3005 &lt;&gt; "")</f>
        <v>0</v>
      </c>
      <c r="M3005" s="3" t="str">
        <f>IF(E3005, C3005 &amp; "|" &amp; H3005, "")</f>
        <v>principal-knowledge-authority|RoleAssignments</v>
      </c>
      <c r="N3005" s="2" t="s">
        <v>9938</v>
      </c>
    </row>
    <row r="3006">
      <c r="A3006" s="2" t="s">
        <v>12942</v>
      </c>
      <c r="B3006" s="3" t="str">
        <f>C3006 &amp; " -&gt; " &amp; D3006</f>
        <v>principal-knowledge-authority -&gt; RoleAssignments.MaxTolerableErrorRatePercent</v>
      </c>
      <c r="C3006" s="2" t="s">
        <v>9708</v>
      </c>
      <c r="D3006" s="2" t="s">
        <v>2596</v>
      </c>
      <c r="E3006" s="2" t="b">
        <v>1</v>
      </c>
      <c r="F3006" s="2" t="b">
        <v>0</v>
      </c>
      <c r="G3006" s="2" t="s">
        <v>9937</v>
      </c>
      <c r="H3006" s="3" t="str">
        <f>_xlfn.IFNA(INDEX(RulebookFields!C2:C999, MATCH(D3006,RulebookFields!A2:A999, 0)), "")</f>
        <v>RoleAssignments</v>
      </c>
      <c r="I3006" s="3" t="str">
        <f>_xlfn.IFNA(INDEX(RulebookFields!D2:D999, MATCH(D3006,RulebookFields!A2:A999, 0)), "")</f>
        <v>MaxTolerableErrorRatePercent</v>
      </c>
      <c r="J3006" s="3" t="b">
        <f>_xlfn.IFNA(INDEX(RulebookFields!I2:I999, MATCH(D3006,RulebookFields!A2:A999, 0)), "")</f>
        <v>0</v>
      </c>
      <c r="K3006" s="3" t="b">
        <f>AND(F3006, J3006)</f>
        <v>0</v>
      </c>
      <c r="L3006" s="3" t="b">
        <f>AND(G3006 &lt;&gt; "plain", G3006 &lt;&gt; "")</f>
        <v>0</v>
      </c>
      <c r="M3006" s="3" t="str">
        <f>IF(E3006, C3006 &amp; "|" &amp; H3006, "")</f>
        <v>principal-knowledge-authority|RoleAssignments</v>
      </c>
      <c r="N3006" s="2" t="s">
        <v>9938</v>
      </c>
    </row>
    <row r="3007">
      <c r="A3007" s="2" t="s">
        <v>12943</v>
      </c>
      <c r="B3007" s="3" t="str">
        <f>C3007 &amp; " -&gt; " &amp; D3007</f>
        <v>principal-knowledge-authority -&gt; RoleAssignments.ExceedsTolerableErrorRate</v>
      </c>
      <c r="C3007" s="2" t="s">
        <v>9708</v>
      </c>
      <c r="D3007" s="2" t="s">
        <v>2597</v>
      </c>
      <c r="E3007" s="2" t="b">
        <v>1</v>
      </c>
      <c r="F3007" s="2" t="b">
        <v>0</v>
      </c>
      <c r="G3007" s="2" t="s">
        <v>9937</v>
      </c>
      <c r="H3007" s="3" t="str">
        <f>_xlfn.IFNA(INDEX(RulebookFields!C2:C999, MATCH(D3007,RulebookFields!A2:A999, 0)), "")</f>
        <v>RoleAssignments</v>
      </c>
      <c r="I3007" s="3" t="str">
        <f>_xlfn.IFNA(INDEX(RulebookFields!D2:D999, MATCH(D3007,RulebookFields!A2:A999, 0)), "")</f>
        <v>ExceedsTolerableErrorRate</v>
      </c>
      <c r="J3007" s="3" t="b">
        <f>_xlfn.IFNA(INDEX(RulebookFields!I2:I999, MATCH(D3007,RulebookFields!A2:A999, 0)), "")</f>
        <v>1</v>
      </c>
      <c r="K3007" s="3" t="b">
        <f>AND(F3007, J3007)</f>
        <v>0</v>
      </c>
      <c r="L3007" s="3" t="b">
        <f>AND(G3007 &lt;&gt; "plain", G3007 &lt;&gt; "")</f>
        <v>0</v>
      </c>
      <c r="M3007" s="3" t="str">
        <f>IF(E3007, C3007 &amp; "|" &amp; H3007, "")</f>
        <v>principal-knowledge-authority|RoleAssignments</v>
      </c>
      <c r="N3007" s="2" t="s">
        <v>9938</v>
      </c>
    </row>
    <row r="3008">
      <c r="A3008" s="2" t="s">
        <v>12944</v>
      </c>
      <c r="B3008" s="3" t="str">
        <f>C3008 &amp; " -&gt; " &amp; D3008</f>
        <v>principal-knowledge-authority -&gt; RoleAssignments.BoundaryViolationCountForAssignment</v>
      </c>
      <c r="C3008" s="2" t="s">
        <v>9708</v>
      </c>
      <c r="D3008" s="2" t="s">
        <v>2599</v>
      </c>
      <c r="E3008" s="2" t="b">
        <v>1</v>
      </c>
      <c r="F3008" s="2" t="b">
        <v>0</v>
      </c>
      <c r="G3008" s="2" t="s">
        <v>9937</v>
      </c>
      <c r="H3008" s="3" t="str">
        <f>_xlfn.IFNA(INDEX(RulebookFields!C2:C999, MATCH(D3008,RulebookFields!A2:A999, 0)), "")</f>
        <v>RoleAssignments</v>
      </c>
      <c r="I3008" s="3" t="str">
        <f>_xlfn.IFNA(INDEX(RulebookFields!D2:D999, MATCH(D3008,RulebookFields!A2:A999, 0)), "")</f>
        <v>BoundaryViolationCountForAssignment</v>
      </c>
      <c r="J3008" s="3" t="b">
        <f>_xlfn.IFNA(INDEX(RulebookFields!I2:I999, MATCH(D3008,RulebookFields!A2:A999, 0)), "")</f>
        <v>1</v>
      </c>
      <c r="K3008" s="3" t="b">
        <f>AND(F3008, J3008)</f>
        <v>0</v>
      </c>
      <c r="L3008" s="3" t="b">
        <f>AND(G3008 &lt;&gt; "plain", G3008 &lt;&gt; "")</f>
        <v>0</v>
      </c>
      <c r="M3008" s="3" t="str">
        <f>IF(E3008, C3008 &amp; "|" &amp; H3008, "")</f>
        <v>principal-knowledge-authority|RoleAssignments</v>
      </c>
      <c r="N3008" s="2" t="s">
        <v>9938</v>
      </c>
    </row>
    <row r="3009">
      <c r="A3009" s="2" t="s">
        <v>12945</v>
      </c>
      <c r="B3009" s="3" t="str">
        <f>C3009 &amp; " -&gt; " &amp; D3009</f>
        <v>principal-knowledge-authority -&gt; RoleAssignments.HasAnyBoundaryViolation</v>
      </c>
      <c r="C3009" s="2" t="s">
        <v>9708</v>
      </c>
      <c r="D3009" s="2" t="s">
        <v>2601</v>
      </c>
      <c r="E3009" s="2" t="b">
        <v>1</v>
      </c>
      <c r="F3009" s="2" t="b">
        <v>0</v>
      </c>
      <c r="G3009" s="2" t="s">
        <v>9937</v>
      </c>
      <c r="H3009" s="3" t="str">
        <f>_xlfn.IFNA(INDEX(RulebookFields!C2:C999, MATCH(D3009,RulebookFields!A2:A999, 0)), "")</f>
        <v>RoleAssignments</v>
      </c>
      <c r="I3009" s="3" t="str">
        <f>_xlfn.IFNA(INDEX(RulebookFields!D2:D999, MATCH(D3009,RulebookFields!A2:A999, 0)), "")</f>
        <v>HasAnyBoundaryViolation</v>
      </c>
      <c r="J3009" s="3" t="b">
        <f>_xlfn.IFNA(INDEX(RulebookFields!I2:I999, MATCH(D3009,RulebookFields!A2:A999, 0)), "")</f>
        <v>1</v>
      </c>
      <c r="K3009" s="3" t="b">
        <f>AND(F3009, J3009)</f>
        <v>0</v>
      </c>
      <c r="L3009" s="3" t="b">
        <f>AND(G3009 &lt;&gt; "plain", G3009 &lt;&gt; "")</f>
        <v>0</v>
      </c>
      <c r="M3009" s="3" t="str">
        <f>IF(E3009, C3009 &amp; "|" &amp; H3009, "")</f>
        <v>principal-knowledge-authority|RoleAssignments</v>
      </c>
      <c r="N3009" s="2" t="s">
        <v>9938</v>
      </c>
    </row>
    <row r="3010">
      <c r="A3010" s="2" t="s">
        <v>12946</v>
      </c>
      <c r="B3010" s="3" t="str">
        <f>C3010 &amp; " -&gt; " &amp; D3010</f>
        <v>principal-knowledge-authority -&gt; RoleAssignments.HasUngroundedGoverningBoundary</v>
      </c>
      <c r="C3010" s="2" t="s">
        <v>9708</v>
      </c>
      <c r="D3010" s="2" t="s">
        <v>2603</v>
      </c>
      <c r="E3010" s="2" t="b">
        <v>1</v>
      </c>
      <c r="F3010" s="2" t="b">
        <v>0</v>
      </c>
      <c r="G3010" s="2" t="s">
        <v>9937</v>
      </c>
      <c r="H3010" s="3" t="str">
        <f>_xlfn.IFNA(INDEX(RulebookFields!C2:C999, MATCH(D3010,RulebookFields!A2:A999, 0)), "")</f>
        <v>RoleAssignments</v>
      </c>
      <c r="I3010" s="3" t="str">
        <f>_xlfn.IFNA(INDEX(RulebookFields!D2:D999, MATCH(D3010,RulebookFields!A2:A999, 0)), "")</f>
        <v>HasUngroundedGoverningBoundary</v>
      </c>
      <c r="J3010" s="3" t="b">
        <f>_xlfn.IFNA(INDEX(RulebookFields!I2:I999, MATCH(D3010,RulebookFields!A2:A999, 0)), "")</f>
        <v>1</v>
      </c>
      <c r="K3010" s="3" t="b">
        <f>AND(F3010, J3010)</f>
        <v>0</v>
      </c>
      <c r="L3010" s="3" t="b">
        <f>AND(G3010 &lt;&gt; "plain", G3010 &lt;&gt; "")</f>
        <v>0</v>
      </c>
      <c r="M3010" s="3" t="str">
        <f>IF(E3010, C3010 &amp; "|" &amp; H3010, "")</f>
        <v>principal-knowledge-authority|RoleAssignments</v>
      </c>
      <c r="N3010" s="2" t="s">
        <v>9938</v>
      </c>
    </row>
    <row r="3011">
      <c r="A3011" s="2" t="s">
        <v>12947</v>
      </c>
      <c r="B3011" s="3" t="str">
        <f>C3011 &amp; " -&gt; " &amp; D3011</f>
        <v>principal-knowledge-authority -&gt; RoleAssignments.SuspensionConditionMet</v>
      </c>
      <c r="C3011" s="2" t="s">
        <v>9708</v>
      </c>
      <c r="D3011" s="2" t="s">
        <v>2605</v>
      </c>
      <c r="E3011" s="2" t="b">
        <v>1</v>
      </c>
      <c r="F3011" s="2" t="b">
        <v>0</v>
      </c>
      <c r="G3011" s="2" t="s">
        <v>9937</v>
      </c>
      <c r="H3011" s="3" t="str">
        <f>_xlfn.IFNA(INDEX(RulebookFields!C2:C999, MATCH(D3011,RulebookFields!A2:A999, 0)), "")</f>
        <v>RoleAssignments</v>
      </c>
      <c r="I3011" s="3" t="str">
        <f>_xlfn.IFNA(INDEX(RulebookFields!D2:D999, MATCH(D3011,RulebookFields!A2:A999, 0)), "")</f>
        <v>SuspensionConditionMet</v>
      </c>
      <c r="J3011" s="3" t="b">
        <f>_xlfn.IFNA(INDEX(RulebookFields!I2:I999, MATCH(D3011,RulebookFields!A2:A999, 0)), "")</f>
        <v>1</v>
      </c>
      <c r="K3011" s="3" t="b">
        <f>AND(F3011, J3011)</f>
        <v>0</v>
      </c>
      <c r="L3011" s="3" t="b">
        <f>AND(G3011 &lt;&gt; "plain", G3011 &lt;&gt; "")</f>
        <v>0</v>
      </c>
      <c r="M3011" s="3" t="str">
        <f>IF(E3011, C3011 &amp; "|" &amp; H3011, "")</f>
        <v>principal-knowledge-authority|RoleAssignments</v>
      </c>
      <c r="N3011" s="2" t="s">
        <v>9938</v>
      </c>
    </row>
    <row r="3012">
      <c r="A3012" s="2" t="s">
        <v>12948</v>
      </c>
      <c r="B3012" s="3" t="str">
        <f>C3012 &amp; " -&gt; " &amp; D3012</f>
        <v>principal-knowledge-authority -&gt; RoleAssignments.IsOperatingUnderMetSuspensionCondition</v>
      </c>
      <c r="C3012" s="2" t="s">
        <v>9708</v>
      </c>
      <c r="D3012" s="2" t="s">
        <v>2607</v>
      </c>
      <c r="E3012" s="2" t="b">
        <v>1</v>
      </c>
      <c r="F3012" s="2" t="b">
        <v>0</v>
      </c>
      <c r="G3012" s="2" t="s">
        <v>9937</v>
      </c>
      <c r="H3012" s="3" t="str">
        <f>_xlfn.IFNA(INDEX(RulebookFields!C2:C999, MATCH(D3012,RulebookFields!A2:A999, 0)), "")</f>
        <v>RoleAssignments</v>
      </c>
      <c r="I3012" s="3" t="str">
        <f>_xlfn.IFNA(INDEX(RulebookFields!D2:D999, MATCH(D3012,RulebookFields!A2:A999, 0)), "")</f>
        <v>IsOperatingUnderMetSuspensionCondition</v>
      </c>
      <c r="J3012" s="3" t="b">
        <f>_xlfn.IFNA(INDEX(RulebookFields!I2:I999, MATCH(D3012,RulebookFields!A2:A999, 0)), "")</f>
        <v>1</v>
      </c>
      <c r="K3012" s="3" t="b">
        <f>AND(F3012, J3012)</f>
        <v>0</v>
      </c>
      <c r="L3012" s="3" t="b">
        <f>AND(G3012 &lt;&gt; "plain", G3012 &lt;&gt; "")</f>
        <v>0</v>
      </c>
      <c r="M3012" s="3" t="str">
        <f>IF(E3012, C3012 &amp; "|" &amp; H3012, "")</f>
        <v>principal-knowledge-authority|RoleAssignments</v>
      </c>
      <c r="N3012" s="2" t="s">
        <v>9938</v>
      </c>
    </row>
    <row r="3013">
      <c r="A3013" s="2" t="s">
        <v>12949</v>
      </c>
      <c r="B3013" s="3" t="str">
        <f>C3013 &amp; " -&gt; " &amp; D3013</f>
        <v>principal-knowledge-authority -&gt; RoleAssignments.HasDeclaredSuspensionCondition</v>
      </c>
      <c r="C3013" s="2" t="s">
        <v>9708</v>
      </c>
      <c r="D3013" s="2" t="s">
        <v>2609</v>
      </c>
      <c r="E3013" s="2" t="b">
        <v>1</v>
      </c>
      <c r="F3013" s="2" t="b">
        <v>0</v>
      </c>
      <c r="G3013" s="2" t="s">
        <v>9937</v>
      </c>
      <c r="H3013" s="3" t="str">
        <f>_xlfn.IFNA(INDEX(RulebookFields!C2:C999, MATCH(D3013,RulebookFields!A2:A999, 0)), "")</f>
        <v>RoleAssignments</v>
      </c>
      <c r="I3013" s="3" t="str">
        <f>_xlfn.IFNA(INDEX(RulebookFields!D2:D999, MATCH(D3013,RulebookFields!A2:A999, 0)), "")</f>
        <v>HasDeclaredSuspensionCondition</v>
      </c>
      <c r="J3013" s="3" t="b">
        <f>_xlfn.IFNA(INDEX(RulebookFields!I2:I999, MATCH(D3013,RulebookFields!A2:A999, 0)), "")</f>
        <v>1</v>
      </c>
      <c r="K3013" s="3" t="b">
        <f>AND(F3013, J3013)</f>
        <v>0</v>
      </c>
      <c r="L3013" s="3" t="b">
        <f>AND(G3013 &lt;&gt; "plain", G3013 &lt;&gt; "")</f>
        <v>0</v>
      </c>
      <c r="M3013" s="3" t="str">
        <f>IF(E3013, C3013 &amp; "|" &amp; H3013, "")</f>
        <v>principal-knowledge-authority|RoleAssignments</v>
      </c>
      <c r="N3013" s="2" t="s">
        <v>9938</v>
      </c>
    </row>
    <row r="3014">
      <c r="A3014" s="2" t="s">
        <v>12950</v>
      </c>
      <c r="B3014" s="3" t="str">
        <f>C3014 &amp; " -&gt; " &amp; D3014</f>
        <v>principal-knowledge-authority -&gt; RoleAssignments.HasApprovingAuthority</v>
      </c>
      <c r="C3014" s="2" t="s">
        <v>9708</v>
      </c>
      <c r="D3014" s="2" t="s">
        <v>2611</v>
      </c>
      <c r="E3014" s="2" t="b">
        <v>1</v>
      </c>
      <c r="F3014" s="2" t="b">
        <v>0</v>
      </c>
      <c r="G3014" s="2" t="s">
        <v>9937</v>
      </c>
      <c r="H3014" s="3" t="str">
        <f>_xlfn.IFNA(INDEX(RulebookFields!C2:C999, MATCH(D3014,RulebookFields!A2:A999, 0)), "")</f>
        <v>RoleAssignments</v>
      </c>
      <c r="I3014" s="3" t="str">
        <f>_xlfn.IFNA(INDEX(RulebookFields!D2:D999, MATCH(D3014,RulebookFields!A2:A999, 0)), "")</f>
        <v>HasApprovingAuthority</v>
      </c>
      <c r="J3014" s="3" t="b">
        <f>_xlfn.IFNA(INDEX(RulebookFields!I2:I999, MATCH(D3014,RulebookFields!A2:A999, 0)), "")</f>
        <v>1</v>
      </c>
      <c r="K3014" s="3" t="b">
        <f>AND(F3014, J3014)</f>
        <v>0</v>
      </c>
      <c r="L3014" s="3" t="b">
        <f>AND(G3014 &lt;&gt; "plain", G3014 &lt;&gt; "")</f>
        <v>0</v>
      </c>
      <c r="M3014" s="3" t="str">
        <f>IF(E3014, C3014 &amp; "|" &amp; H3014, "")</f>
        <v>principal-knowledge-authority|RoleAssignments</v>
      </c>
      <c r="N3014" s="2" t="s">
        <v>9938</v>
      </c>
    </row>
    <row r="3015">
      <c r="A3015" s="2" t="s">
        <v>12951</v>
      </c>
      <c r="B3015" s="3" t="str">
        <f>C3015 &amp; " -&gt; " &amp; D3015</f>
        <v>principal-knowledge-authority -&gt; RoleAssignments.HasAuthorizingChangeRequest</v>
      </c>
      <c r="C3015" s="2" t="s">
        <v>9708</v>
      </c>
      <c r="D3015" s="2" t="s">
        <v>2613</v>
      </c>
      <c r="E3015" s="2" t="b">
        <v>1</v>
      </c>
      <c r="F3015" s="2" t="b">
        <v>0</v>
      </c>
      <c r="G3015" s="2" t="s">
        <v>9937</v>
      </c>
      <c r="H3015" s="3" t="str">
        <f>_xlfn.IFNA(INDEX(RulebookFields!C2:C999, MATCH(D3015,RulebookFields!A2:A999, 0)), "")</f>
        <v>RoleAssignments</v>
      </c>
      <c r="I3015" s="3" t="str">
        <f>_xlfn.IFNA(INDEX(RulebookFields!D2:D999, MATCH(D3015,RulebookFields!A2:A999, 0)), "")</f>
        <v>HasAuthorizingChangeRequest</v>
      </c>
      <c r="J3015" s="3" t="b">
        <f>_xlfn.IFNA(INDEX(RulebookFields!I2:I999, MATCH(D3015,RulebookFields!A2:A999, 0)), "")</f>
        <v>1</v>
      </c>
      <c r="K3015" s="3" t="b">
        <f>AND(F3015, J3015)</f>
        <v>0</v>
      </c>
      <c r="L3015" s="3" t="b">
        <f>AND(G3015 &lt;&gt; "plain", G3015 &lt;&gt; "")</f>
        <v>0</v>
      </c>
      <c r="M3015" s="3" t="str">
        <f>IF(E3015, C3015 &amp; "|" &amp; H3015, "")</f>
        <v>principal-knowledge-authority|RoleAssignments</v>
      </c>
      <c r="N3015" s="2" t="s">
        <v>9938</v>
      </c>
    </row>
    <row r="3016">
      <c r="A3016" s="2" t="s">
        <v>12952</v>
      </c>
      <c r="B3016" s="3" t="str">
        <f>C3016 &amp; " -&gt; " &amp; D3016</f>
        <v>principal-knowledge-authority -&gt; RoleAssignments.IsEnforcementRole</v>
      </c>
      <c r="C3016" s="2" t="s">
        <v>9708</v>
      </c>
      <c r="D3016" s="2" t="s">
        <v>2615</v>
      </c>
      <c r="E3016" s="2" t="b">
        <v>1</v>
      </c>
      <c r="F3016" s="2" t="b">
        <v>0</v>
      </c>
      <c r="G3016" s="2" t="s">
        <v>9937</v>
      </c>
      <c r="H3016" s="3" t="str">
        <f>_xlfn.IFNA(INDEX(RulebookFields!C2:C999, MATCH(D3016,RulebookFields!A2:A999, 0)), "")</f>
        <v>RoleAssignments</v>
      </c>
      <c r="I3016" s="3" t="str">
        <f>_xlfn.IFNA(INDEX(RulebookFields!D2:D999, MATCH(D3016,RulebookFields!A2:A999, 0)), "")</f>
        <v>IsEnforcementRole</v>
      </c>
      <c r="J3016" s="3" t="b">
        <f>_xlfn.IFNA(INDEX(RulebookFields!I2:I999, MATCH(D3016,RulebookFields!A2:A999, 0)), "")</f>
        <v>0</v>
      </c>
      <c r="K3016" s="3" t="b">
        <f>AND(F3016, J3016)</f>
        <v>0</v>
      </c>
      <c r="L3016" s="3" t="b">
        <f>AND(G3016 &lt;&gt; "plain", G3016 &lt;&gt; "")</f>
        <v>0</v>
      </c>
      <c r="M3016" s="3" t="str">
        <f>IF(E3016, C3016 &amp; "|" &amp; H3016, "")</f>
        <v>principal-knowledge-authority|RoleAssignments</v>
      </c>
      <c r="N3016" s="2" t="s">
        <v>9938</v>
      </c>
    </row>
    <row r="3017">
      <c r="A3017" s="2" t="s">
        <v>12953</v>
      </c>
      <c r="B3017" s="3" t="str">
        <f>C3017 &amp; " -&gt; " &amp; D3017</f>
        <v>principal-knowledge-authority -&gt; RoleAssignments.IsUnauthorizedEnforcementAgent</v>
      </c>
      <c r="C3017" s="2" t="s">
        <v>9708</v>
      </c>
      <c r="D3017" s="2" t="s">
        <v>2616</v>
      </c>
      <c r="E3017" s="2" t="b">
        <v>1</v>
      </c>
      <c r="F3017" s="2" t="b">
        <v>0</v>
      </c>
      <c r="G3017" s="2" t="s">
        <v>9937</v>
      </c>
      <c r="H3017" s="3" t="str">
        <f>_xlfn.IFNA(INDEX(RulebookFields!C2:C999, MATCH(D3017,RulebookFields!A2:A999, 0)), "")</f>
        <v>RoleAssignments</v>
      </c>
      <c r="I3017" s="3" t="str">
        <f>_xlfn.IFNA(INDEX(RulebookFields!D2:D999, MATCH(D3017,RulebookFields!A2:A999, 0)), "")</f>
        <v>IsUnauthorizedEnforcementAgent</v>
      </c>
      <c r="J3017" s="3" t="b">
        <f>_xlfn.IFNA(INDEX(RulebookFields!I2:I999, MATCH(D3017,RulebookFields!A2:A999, 0)), "")</f>
        <v>1</v>
      </c>
      <c r="K3017" s="3" t="b">
        <f>AND(F3017, J3017)</f>
        <v>0</v>
      </c>
      <c r="L3017" s="3" t="b">
        <f>AND(G3017 &lt;&gt; "plain", G3017 &lt;&gt; "")</f>
        <v>0</v>
      </c>
      <c r="M3017" s="3" t="str">
        <f>IF(E3017, C3017 &amp; "|" &amp; H3017, "")</f>
        <v>principal-knowledge-authority|RoleAssignments</v>
      </c>
      <c r="N3017" s="2" t="s">
        <v>9938</v>
      </c>
    </row>
    <row r="3018">
      <c r="A3018" s="2" t="s">
        <v>12954</v>
      </c>
      <c r="B3018" s="3" t="str">
        <f>C3018 &amp; " -&gt; " &amp; D3018</f>
        <v>principal-knowledge-authority -&gt; RoleAssignments.GovernanceEvidenceCount</v>
      </c>
      <c r="C3018" s="2" t="s">
        <v>9708</v>
      </c>
      <c r="D3018" s="2" t="s">
        <v>2618</v>
      </c>
      <c r="E3018" s="2" t="b">
        <v>1</v>
      </c>
      <c r="F3018" s="2" t="b">
        <v>0</v>
      </c>
      <c r="G3018" s="2" t="s">
        <v>9937</v>
      </c>
      <c r="H3018" s="3" t="str">
        <f>_xlfn.IFNA(INDEX(RulebookFields!C2:C999, MATCH(D3018,RulebookFields!A2:A999, 0)), "")</f>
        <v>RoleAssignments</v>
      </c>
      <c r="I3018" s="3" t="str">
        <f>_xlfn.IFNA(INDEX(RulebookFields!D2:D999, MATCH(D3018,RulebookFields!A2:A999, 0)), "")</f>
        <v>GovernanceEvidenceCount</v>
      </c>
      <c r="J3018" s="3" t="b">
        <f>_xlfn.IFNA(INDEX(RulebookFields!I2:I999, MATCH(D3018,RulebookFields!A2:A999, 0)), "")</f>
        <v>1</v>
      </c>
      <c r="K3018" s="3" t="b">
        <f>AND(F3018, J3018)</f>
        <v>0</v>
      </c>
      <c r="L3018" s="3" t="b">
        <f>AND(G3018 &lt;&gt; "plain", G3018 &lt;&gt; "")</f>
        <v>0</v>
      </c>
      <c r="M3018" s="3" t="str">
        <f>IF(E3018, C3018 &amp; "|" &amp; H3018, "")</f>
        <v>principal-knowledge-authority|RoleAssignments</v>
      </c>
      <c r="N3018" s="2" t="s">
        <v>9938</v>
      </c>
    </row>
    <row r="3019">
      <c r="A3019" s="2" t="s">
        <v>12955</v>
      </c>
      <c r="B3019" s="3" t="str">
        <f>C3019 &amp; " -&gt; " &amp; D3019</f>
        <v>principal-knowledge-authority -&gt; RoleAssignments.UnauthorizedEnforcementRoleKey</v>
      </c>
      <c r="C3019" s="2" t="s">
        <v>9708</v>
      </c>
      <c r="D3019" s="2" t="s">
        <v>2620</v>
      </c>
      <c r="E3019" s="2" t="b">
        <v>1</v>
      </c>
      <c r="F3019" s="2" t="b">
        <v>0</v>
      </c>
      <c r="G3019" s="2" t="s">
        <v>9937</v>
      </c>
      <c r="H3019" s="3" t="str">
        <f>_xlfn.IFNA(INDEX(RulebookFields!C2:C999, MATCH(D3019,RulebookFields!A2:A999, 0)), "")</f>
        <v>RoleAssignments</v>
      </c>
      <c r="I3019" s="3" t="str">
        <f>_xlfn.IFNA(INDEX(RulebookFields!D2:D999, MATCH(D3019,RulebookFields!A2:A999, 0)), "")</f>
        <v>UnauthorizedEnforcementRoleKey</v>
      </c>
      <c r="J3019" s="3" t="b">
        <f>_xlfn.IFNA(INDEX(RulebookFields!I2:I999, MATCH(D3019,RulebookFields!A2:A999, 0)), "")</f>
        <v>1</v>
      </c>
      <c r="K3019" s="3" t="b">
        <f>AND(F3019, J3019)</f>
        <v>0</v>
      </c>
      <c r="L3019" s="3" t="b">
        <f>AND(G3019 &lt;&gt; "plain", G3019 &lt;&gt; "")</f>
        <v>0</v>
      </c>
      <c r="M3019" s="3" t="str">
        <f>IF(E3019, C3019 &amp; "|" &amp; H3019, "")</f>
        <v>principal-knowledge-authority|RoleAssignments</v>
      </c>
      <c r="N3019" s="2" t="s">
        <v>9938</v>
      </c>
    </row>
    <row r="3020">
      <c r="A3020" s="2" t="s">
        <v>12956</v>
      </c>
      <c r="B3020" s="3" t="str">
        <f>C3020 &amp; " -&gt; " &amp; D3020</f>
        <v>principal-knowledge-authority -&gt; RoleAssignments.SemanticTypeIri</v>
      </c>
      <c r="C3020" s="2" t="s">
        <v>9708</v>
      </c>
      <c r="D3020" s="2" t="s">
        <v>2622</v>
      </c>
      <c r="E3020" s="2" t="b">
        <v>1</v>
      </c>
      <c r="F3020" s="2" t="b">
        <v>0</v>
      </c>
      <c r="G3020" s="2" t="s">
        <v>9937</v>
      </c>
      <c r="H3020" s="3" t="str">
        <f>_xlfn.IFNA(INDEX(RulebookFields!C2:C999, MATCH(D3020,RulebookFields!A2:A999, 0)), "")</f>
        <v>RoleAssignments</v>
      </c>
      <c r="I3020" s="3" t="str">
        <f>_xlfn.IFNA(INDEX(RulebookFields!D2:D999, MATCH(D3020,RulebookFields!A2:A999, 0)), "")</f>
        <v>SemanticTypeIri</v>
      </c>
      <c r="J3020" s="3" t="b">
        <f>_xlfn.IFNA(INDEX(RulebookFields!I2:I999, MATCH(D3020,RulebookFields!A2:A999, 0)), "")</f>
        <v>0</v>
      </c>
      <c r="K3020" s="3" t="b">
        <f>AND(F3020, J3020)</f>
        <v>0</v>
      </c>
      <c r="L3020" s="3" t="b">
        <f>AND(G3020 &lt;&gt; "plain", G3020 &lt;&gt; "")</f>
        <v>0</v>
      </c>
      <c r="M3020" s="3" t="str">
        <f>IF(E3020, C3020 &amp; "|" &amp; H3020, "")</f>
        <v>principal-knowledge-authority|RoleAssignments</v>
      </c>
      <c r="N3020" s="2" t="s">
        <v>9938</v>
      </c>
    </row>
    <row r="3021">
      <c r="A3021" s="2" t="s">
        <v>12957</v>
      </c>
      <c r="B3021" s="3" t="str">
        <f>C3021 &amp; " -&gt; " &amp; D3021</f>
        <v>principal-knowledge-authority -&gt; RoleQuestions.RoleQuestionId</v>
      </c>
      <c r="C3021" s="2" t="s">
        <v>9708</v>
      </c>
      <c r="D3021" s="2" t="s">
        <v>4090</v>
      </c>
      <c r="E3021" s="2" t="b">
        <v>1</v>
      </c>
      <c r="F3021" s="2" t="b">
        <v>0</v>
      </c>
      <c r="G3021" s="2" t="s">
        <v>9937</v>
      </c>
      <c r="H3021" s="3" t="str">
        <f>_xlfn.IFNA(INDEX(RulebookFields!C2:C999, MATCH(D3021,RulebookFields!A2:A999, 0)), "")</f>
      </c>
      <c r="I3021" s="3" t="str">
        <f>_xlfn.IFNA(INDEX(RulebookFields!D2:D999, MATCH(D3021,RulebookFields!A2:A999, 0)), "")</f>
      </c>
      <c r="J3021" s="3" t="str">
        <f>_xlfn.IFNA(INDEX(RulebookFields!I2:I999, MATCH(D3021,RulebookFields!A2:A999, 0)), "")</f>
      </c>
      <c r="K3021" s="3" t="b">
        <f>AND(F3021, J3021)</f>
        <v>0</v>
      </c>
      <c r="L3021" s="3" t="b">
        <f>AND(G3021 &lt;&gt; "plain", G3021 &lt;&gt; "")</f>
        <v>0</v>
      </c>
      <c r="M3021" s="3" t="str">
        <f>IF(E3021, C3021 &amp; "|" &amp; H3021, "")</f>
        <v>principal-knowledge-authority|</v>
      </c>
      <c r="N3021" s="2" t="s">
        <v>9938</v>
      </c>
    </row>
    <row r="3022">
      <c r="A3022" s="2" t="s">
        <v>12958</v>
      </c>
      <c r="B3022" s="3" t="str">
        <f>C3022 &amp; " -&gt; " &amp; D3022</f>
        <v>principal-knowledge-authority -&gt; RoleQuestions.Name</v>
      </c>
      <c r="C3022" s="2" t="s">
        <v>9708</v>
      </c>
      <c r="D3022" s="2" t="s">
        <v>4092</v>
      </c>
      <c r="E3022" s="2" t="b">
        <v>1</v>
      </c>
      <c r="F3022" s="2" t="b">
        <v>0</v>
      </c>
      <c r="G3022" s="2" t="s">
        <v>9937</v>
      </c>
      <c r="H3022" s="3" t="str">
        <f>_xlfn.IFNA(INDEX(RulebookFields!C2:C999, MATCH(D3022,RulebookFields!A2:A999, 0)), "")</f>
      </c>
      <c r="I3022" s="3" t="str">
        <f>_xlfn.IFNA(INDEX(RulebookFields!D2:D999, MATCH(D3022,RulebookFields!A2:A999, 0)), "")</f>
      </c>
      <c r="J3022" s="3" t="str">
        <f>_xlfn.IFNA(INDEX(RulebookFields!I2:I999, MATCH(D3022,RulebookFields!A2:A999, 0)), "")</f>
      </c>
      <c r="K3022" s="3" t="b">
        <f>AND(F3022, J3022)</f>
        <v>0</v>
      </c>
      <c r="L3022" s="3" t="b">
        <f>AND(G3022 &lt;&gt; "plain", G3022 &lt;&gt; "")</f>
        <v>0</v>
      </c>
      <c r="M3022" s="3" t="str">
        <f>IF(E3022, C3022 &amp; "|" &amp; H3022, "")</f>
        <v>principal-knowledge-authority|</v>
      </c>
      <c r="N3022" s="2" t="s">
        <v>9938</v>
      </c>
    </row>
    <row r="3023">
      <c r="A3023" s="2" t="s">
        <v>12959</v>
      </c>
      <c r="B3023" s="3" t="str">
        <f>C3023 &amp; " -&gt; " &amp; D3023</f>
        <v>principal-knowledge-authority -&gt; RoleQuestions.AskingRole</v>
      </c>
      <c r="C3023" s="2" t="s">
        <v>9708</v>
      </c>
      <c r="D3023" s="2" t="s">
        <v>4094</v>
      </c>
      <c r="E3023" s="2" t="b">
        <v>1</v>
      </c>
      <c r="F3023" s="2" t="b">
        <v>0</v>
      </c>
      <c r="G3023" s="2" t="s">
        <v>9937</v>
      </c>
      <c r="H3023" s="3" t="str">
        <f>_xlfn.IFNA(INDEX(RulebookFields!C2:C999, MATCH(D3023,RulebookFields!A2:A999, 0)), "")</f>
      </c>
      <c r="I3023" s="3" t="str">
        <f>_xlfn.IFNA(INDEX(RulebookFields!D2:D999, MATCH(D3023,RulebookFields!A2:A999, 0)), "")</f>
      </c>
      <c r="J3023" s="3" t="str">
        <f>_xlfn.IFNA(INDEX(RulebookFields!I2:I999, MATCH(D3023,RulebookFields!A2:A999, 0)), "")</f>
      </c>
      <c r="K3023" s="3" t="b">
        <f>AND(F3023, J3023)</f>
        <v>0</v>
      </c>
      <c r="L3023" s="3" t="b">
        <f>AND(G3023 &lt;&gt; "plain", G3023 &lt;&gt; "")</f>
        <v>0</v>
      </c>
      <c r="M3023" s="3" t="str">
        <f>IF(E3023, C3023 &amp; "|" &amp; H3023, "")</f>
        <v>principal-knowledge-authority|</v>
      </c>
      <c r="N3023" s="2" t="s">
        <v>9938</v>
      </c>
    </row>
    <row r="3024">
      <c r="A3024" s="2" t="s">
        <v>12960</v>
      </c>
      <c r="B3024" s="3" t="str">
        <f>C3024 &amp; " -&gt; " &amp; D3024</f>
        <v>principal-knowledge-authority -&gt; RoleQuestions.WitnessLoop</v>
      </c>
      <c r="C3024" s="2" t="s">
        <v>9708</v>
      </c>
      <c r="D3024" s="2" t="s">
        <v>4095</v>
      </c>
      <c r="E3024" s="2" t="b">
        <v>1</v>
      </c>
      <c r="F3024" s="2" t="b">
        <v>0</v>
      </c>
      <c r="G3024" s="2" t="s">
        <v>9937</v>
      </c>
      <c r="H3024" s="3" t="str">
        <f>_xlfn.IFNA(INDEX(RulebookFields!C2:C999, MATCH(D3024,RulebookFields!A2:A999, 0)), "")</f>
      </c>
      <c r="I3024" s="3" t="str">
        <f>_xlfn.IFNA(INDEX(RulebookFields!D2:D999, MATCH(D3024,RulebookFields!A2:A999, 0)), "")</f>
      </c>
      <c r="J3024" s="3" t="str">
        <f>_xlfn.IFNA(INDEX(RulebookFields!I2:I999, MATCH(D3024,RulebookFields!A2:A999, 0)), "")</f>
      </c>
      <c r="K3024" s="3" t="b">
        <f>AND(F3024, J3024)</f>
        <v>0</v>
      </c>
      <c r="L3024" s="3" t="b">
        <f>AND(G3024 &lt;&gt; "plain", G3024 &lt;&gt; "")</f>
        <v>0</v>
      </c>
      <c r="M3024" s="3" t="str">
        <f>IF(E3024, C3024 &amp; "|" &amp; H3024, "")</f>
        <v>principal-knowledge-authority|</v>
      </c>
      <c r="N3024" s="2" t="s">
        <v>9938</v>
      </c>
    </row>
    <row r="3025">
      <c r="A3025" s="2" t="s">
        <v>12961</v>
      </c>
      <c r="B3025" s="3" t="str">
        <f>C3025 &amp; " -&gt; " &amp; D3025</f>
        <v>principal-knowledge-authority -&gt; RoleQuestions.QuestionText</v>
      </c>
      <c r="C3025" s="2" t="s">
        <v>9708</v>
      </c>
      <c r="D3025" s="2" t="s">
        <v>4096</v>
      </c>
      <c r="E3025" s="2" t="b">
        <v>1</v>
      </c>
      <c r="F3025" s="2" t="b">
        <v>0</v>
      </c>
      <c r="G3025" s="2" t="s">
        <v>9937</v>
      </c>
      <c r="H3025" s="3" t="str">
        <f>_xlfn.IFNA(INDEX(RulebookFields!C2:C999, MATCH(D3025,RulebookFields!A2:A999, 0)), "")</f>
      </c>
      <c r="I3025" s="3" t="str">
        <f>_xlfn.IFNA(INDEX(RulebookFields!D2:D999, MATCH(D3025,RulebookFields!A2:A999, 0)), "")</f>
      </c>
      <c r="J3025" s="3" t="str">
        <f>_xlfn.IFNA(INDEX(RulebookFields!I2:I999, MATCH(D3025,RulebookFields!A2:A999, 0)), "")</f>
      </c>
      <c r="K3025" s="3" t="b">
        <f>AND(F3025, J3025)</f>
        <v>0</v>
      </c>
      <c r="L3025" s="3" t="b">
        <f>AND(G3025 &lt;&gt; "plain", G3025 &lt;&gt; "")</f>
        <v>0</v>
      </c>
      <c r="M3025" s="3" t="str">
        <f>IF(E3025, C3025 &amp; "|" &amp; H3025, "")</f>
        <v>principal-knowledge-authority|</v>
      </c>
      <c r="N3025" s="2" t="s">
        <v>9938</v>
      </c>
    </row>
    <row r="3026">
      <c r="A3026" s="2" t="s">
        <v>12962</v>
      </c>
      <c r="B3026" s="3" t="str">
        <f>C3026 &amp; " -&gt; " &amp; D3026</f>
        <v>principal-knowledge-authority -&gt; RoleQuestions.WhyItMatters</v>
      </c>
      <c r="C3026" s="2" t="s">
        <v>9708</v>
      </c>
      <c r="D3026" s="2" t="s">
        <v>4097</v>
      </c>
      <c r="E3026" s="2" t="b">
        <v>1</v>
      </c>
      <c r="F3026" s="2" t="b">
        <v>0</v>
      </c>
      <c r="G3026" s="2" t="s">
        <v>9937</v>
      </c>
      <c r="H3026" s="3" t="str">
        <f>_xlfn.IFNA(INDEX(RulebookFields!C2:C999, MATCH(D3026,RulebookFields!A2:A999, 0)), "")</f>
      </c>
      <c r="I3026" s="3" t="str">
        <f>_xlfn.IFNA(INDEX(RulebookFields!D2:D999, MATCH(D3026,RulebookFields!A2:A999, 0)), "")</f>
      </c>
      <c r="J3026" s="3" t="str">
        <f>_xlfn.IFNA(INDEX(RulebookFields!I2:I999, MATCH(D3026,RulebookFields!A2:A999, 0)), "")</f>
      </c>
      <c r="K3026" s="3" t="b">
        <f>AND(F3026, J3026)</f>
        <v>0</v>
      </c>
      <c r="L3026" s="3" t="b">
        <f>AND(G3026 &lt;&gt; "plain", G3026 &lt;&gt; "")</f>
        <v>0</v>
      </c>
      <c r="M3026" s="3" t="str">
        <f>IF(E3026, C3026 &amp; "|" &amp; H3026, "")</f>
        <v>principal-knowledge-authority|</v>
      </c>
      <c r="N3026" s="2" t="s">
        <v>9938</v>
      </c>
    </row>
    <row r="3027">
      <c r="A3027" s="2" t="s">
        <v>12963</v>
      </c>
      <c r="B3027" s="3" t="str">
        <f>C3027 &amp; " -&gt; " &amp; D3027</f>
        <v>principal-knowledge-authority -&gt; RoleQuestions.AnswerableBefore</v>
      </c>
      <c r="C3027" s="2" t="s">
        <v>9708</v>
      </c>
      <c r="D3027" s="2" t="s">
        <v>4098</v>
      </c>
      <c r="E3027" s="2" t="b">
        <v>1</v>
      </c>
      <c r="F3027" s="2" t="b">
        <v>0</v>
      </c>
      <c r="G3027" s="2" t="s">
        <v>9937</v>
      </c>
      <c r="H3027" s="3" t="str">
        <f>_xlfn.IFNA(INDEX(RulebookFields!C2:C999, MATCH(D3027,RulebookFields!A2:A999, 0)), "")</f>
      </c>
      <c r="I3027" s="3" t="str">
        <f>_xlfn.IFNA(INDEX(RulebookFields!D2:D999, MATCH(D3027,RulebookFields!A2:A999, 0)), "")</f>
      </c>
      <c r="J3027" s="3" t="str">
        <f>_xlfn.IFNA(INDEX(RulebookFields!I2:I999, MATCH(D3027,RulebookFields!A2:A999, 0)), "")</f>
      </c>
      <c r="K3027" s="3" t="b">
        <f>AND(F3027, J3027)</f>
        <v>0</v>
      </c>
      <c r="L3027" s="3" t="b">
        <f>AND(G3027 &lt;&gt; "plain", G3027 &lt;&gt; "")</f>
        <v>0</v>
      </c>
      <c r="M3027" s="3" t="str">
        <f>IF(E3027, C3027 &amp; "|" &amp; H3027, "")</f>
        <v>principal-knowledge-authority|</v>
      </c>
      <c r="N3027" s="2" t="s">
        <v>9938</v>
      </c>
    </row>
    <row r="3028">
      <c r="A3028" s="2" t="s">
        <v>12964</v>
      </c>
      <c r="B3028" s="3" t="str">
        <f>C3028 &amp; " -&gt; " &amp; D3028</f>
        <v>principal-knowledge-authority -&gt; RoleQuestions.PredicateCount</v>
      </c>
      <c r="C3028" s="2" t="s">
        <v>9708</v>
      </c>
      <c r="D3028" s="2" t="s">
        <v>4099</v>
      </c>
      <c r="E3028" s="2" t="b">
        <v>1</v>
      </c>
      <c r="F3028" s="2" t="b">
        <v>0</v>
      </c>
      <c r="G3028" s="2" t="s">
        <v>9937</v>
      </c>
      <c r="H3028" s="3" t="str">
        <f>_xlfn.IFNA(INDEX(RulebookFields!C2:C999, MATCH(D3028,RulebookFields!A2:A999, 0)), "")</f>
      </c>
      <c r="I3028" s="3" t="str">
        <f>_xlfn.IFNA(INDEX(RulebookFields!D2:D999, MATCH(D3028,RulebookFields!A2:A999, 0)), "")</f>
      </c>
      <c r="J3028" s="3" t="str">
        <f>_xlfn.IFNA(INDEX(RulebookFields!I2:I999, MATCH(D3028,RulebookFields!A2:A999, 0)), "")</f>
      </c>
      <c r="K3028" s="3" t="b">
        <f>AND(F3028, J3028)</f>
        <v>0</v>
      </c>
      <c r="L3028" s="3" t="b">
        <f>AND(G3028 &lt;&gt; "plain", G3028 &lt;&gt; "")</f>
        <v>0</v>
      </c>
      <c r="M3028" s="3" t="str">
        <f>IF(E3028, C3028 &amp; "|" &amp; H3028, "")</f>
        <v>principal-knowledge-authority|</v>
      </c>
      <c r="N3028" s="2" t="s">
        <v>9938</v>
      </c>
    </row>
    <row r="3029">
      <c r="A3029" s="2" t="s">
        <v>12965</v>
      </c>
      <c r="B3029" s="3" t="str">
        <f>C3029 &amp; " -&gt; " &amp; D3029</f>
        <v>principal-knowledge-authority -&gt; RoleQuestions.IsAnswered</v>
      </c>
      <c r="C3029" s="2" t="s">
        <v>9708</v>
      </c>
      <c r="D3029" s="2" t="s">
        <v>4101</v>
      </c>
      <c r="E3029" s="2" t="b">
        <v>1</v>
      </c>
      <c r="F3029" s="2" t="b">
        <v>0</v>
      </c>
      <c r="G3029" s="2" t="s">
        <v>9937</v>
      </c>
      <c r="H3029" s="3" t="str">
        <f>_xlfn.IFNA(INDEX(RulebookFields!C2:C999, MATCH(D3029,RulebookFields!A2:A999, 0)), "")</f>
      </c>
      <c r="I3029" s="3" t="str">
        <f>_xlfn.IFNA(INDEX(RulebookFields!D2:D999, MATCH(D3029,RulebookFields!A2:A999, 0)), "")</f>
      </c>
      <c r="J3029" s="3" t="str">
        <f>_xlfn.IFNA(INDEX(RulebookFields!I2:I999, MATCH(D3029,RulebookFields!A2:A999, 0)), "")</f>
      </c>
      <c r="K3029" s="3" t="b">
        <f>AND(F3029, J3029)</f>
        <v>0</v>
      </c>
      <c r="L3029" s="3" t="b">
        <f>AND(G3029 &lt;&gt; "plain", G3029 &lt;&gt; "")</f>
        <v>0</v>
      </c>
      <c r="M3029" s="3" t="str">
        <f>IF(E3029, C3029 &amp; "|" &amp; H3029, "")</f>
        <v>principal-knowledge-authority|</v>
      </c>
      <c r="N3029" s="2" t="s">
        <v>9938</v>
      </c>
    </row>
    <row r="3030">
      <c r="A3030" s="2" t="s">
        <v>12966</v>
      </c>
      <c r="B3030" s="3" t="str">
        <f>C3030 &amp; " -&gt; " &amp; D3030</f>
        <v>principal-knowledge-authority -&gt; RoleQuestions.WitnessedAnswer</v>
      </c>
      <c r="C3030" s="2" t="s">
        <v>9708</v>
      </c>
      <c r="D3030" s="2" t="s">
        <v>4103</v>
      </c>
      <c r="E3030" s="2" t="b">
        <v>1</v>
      </c>
      <c r="F3030" s="2" t="b">
        <v>0</v>
      </c>
      <c r="G3030" s="2" t="s">
        <v>9937</v>
      </c>
      <c r="H3030" s="3" t="str">
        <f>_xlfn.IFNA(INDEX(RulebookFields!C2:C999, MATCH(D3030,RulebookFields!A2:A999, 0)), "")</f>
      </c>
      <c r="I3030" s="3" t="str">
        <f>_xlfn.IFNA(INDEX(RulebookFields!D2:D999, MATCH(D3030,RulebookFields!A2:A999, 0)), "")</f>
      </c>
      <c r="J3030" s="3" t="str">
        <f>_xlfn.IFNA(INDEX(RulebookFields!I2:I999, MATCH(D3030,RulebookFields!A2:A999, 0)), "")</f>
      </c>
      <c r="K3030" s="3" t="b">
        <f>AND(F3030, J3030)</f>
        <v>0</v>
      </c>
      <c r="L3030" s="3" t="b">
        <f>AND(G3030 &lt;&gt; "plain", G3030 &lt;&gt; "")</f>
        <v>0</v>
      </c>
      <c r="M3030" s="3" t="str">
        <f>IF(E3030, C3030 &amp; "|" &amp; H3030, "")</f>
        <v>principal-knowledge-authority|</v>
      </c>
      <c r="N3030" s="2" t="s">
        <v>9938</v>
      </c>
    </row>
    <row r="3031">
      <c r="A3031" s="2" t="s">
        <v>12967</v>
      </c>
      <c r="B3031" s="3" t="str">
        <f>C3031 &amp; " -&gt; " &amp; D3031</f>
        <v>principal-knowledge-authority -&gt; RoleQuestions.SemanticTypeIri</v>
      </c>
      <c r="C3031" s="2" t="s">
        <v>9708</v>
      </c>
      <c r="D3031" s="2" t="s">
        <v>4104</v>
      </c>
      <c r="E3031" s="2" t="b">
        <v>1</v>
      </c>
      <c r="F3031" s="2" t="b">
        <v>0</v>
      </c>
      <c r="G3031" s="2" t="s">
        <v>9937</v>
      </c>
      <c r="H3031" s="3" t="str">
        <f>_xlfn.IFNA(INDEX(RulebookFields!C2:C999, MATCH(D3031,RulebookFields!A2:A999, 0)), "")</f>
      </c>
      <c r="I3031" s="3" t="str">
        <f>_xlfn.IFNA(INDEX(RulebookFields!D2:D999, MATCH(D3031,RulebookFields!A2:A999, 0)), "")</f>
      </c>
      <c r="J3031" s="3" t="str">
        <f>_xlfn.IFNA(INDEX(RulebookFields!I2:I999, MATCH(D3031,RulebookFields!A2:A999, 0)), "")</f>
      </c>
      <c r="K3031" s="3" t="b">
        <f>AND(F3031, J3031)</f>
        <v>0</v>
      </c>
      <c r="L3031" s="3" t="b">
        <f>AND(G3031 &lt;&gt; "plain", G3031 &lt;&gt; "")</f>
        <v>0</v>
      </c>
      <c r="M3031" s="3" t="str">
        <f>IF(E3031, C3031 &amp; "|" &amp; H3031, "")</f>
        <v>principal-knowledge-authority|</v>
      </c>
      <c r="N3031" s="2" t="s">
        <v>9938</v>
      </c>
    </row>
    <row r="3032">
      <c r="A3032" s="2" t="s">
        <v>12968</v>
      </c>
      <c r="B3032" s="3" t="str">
        <f>C3032 &amp; " -&gt; " &amp; D3032</f>
        <v>principal-knowledge-authority -&gt; Roles.RoleId</v>
      </c>
      <c r="C3032" s="2" t="s">
        <v>9708</v>
      </c>
      <c r="D3032" s="2" t="s">
        <v>2471</v>
      </c>
      <c r="E3032" s="2" t="b">
        <v>1</v>
      </c>
      <c r="F3032" s="2" t="b">
        <v>0</v>
      </c>
      <c r="G3032" s="2" t="s">
        <v>9937</v>
      </c>
      <c r="H3032" s="3" t="str">
        <f>_xlfn.IFNA(INDEX(RulebookFields!C2:C999, MATCH(D3032,RulebookFields!A2:A999, 0)), "")</f>
        <v>Roles</v>
      </c>
      <c r="I3032" s="3" t="str">
        <f>_xlfn.IFNA(INDEX(RulebookFields!D2:D999, MATCH(D3032,RulebookFields!A2:A999, 0)), "")</f>
        <v>RoleId</v>
      </c>
      <c r="J3032" s="3" t="b">
        <f>_xlfn.IFNA(INDEX(RulebookFields!I2:I999, MATCH(D3032,RulebookFields!A2:A999, 0)), "")</f>
        <v>0</v>
      </c>
      <c r="K3032" s="3" t="b">
        <f>AND(F3032, J3032)</f>
        <v>0</v>
      </c>
      <c r="L3032" s="3" t="b">
        <f>AND(G3032 &lt;&gt; "plain", G3032 &lt;&gt; "")</f>
        <v>0</v>
      </c>
      <c r="M3032" s="3" t="str">
        <f>IF(E3032, C3032 &amp; "|" &amp; H3032, "")</f>
        <v>principal-knowledge-authority|Roles</v>
      </c>
      <c r="N3032" s="2" t="s">
        <v>9938</v>
      </c>
    </row>
    <row r="3033">
      <c r="A3033" s="2" t="s">
        <v>12969</v>
      </c>
      <c r="B3033" s="3" t="str">
        <f>C3033 &amp; " -&gt; " &amp; D3033</f>
        <v>principal-knowledge-authority -&gt; Roles.Name</v>
      </c>
      <c r="C3033" s="2" t="s">
        <v>9708</v>
      </c>
      <c r="D3033" s="2" t="s">
        <v>2472</v>
      </c>
      <c r="E3033" s="2" t="b">
        <v>1</v>
      </c>
      <c r="F3033" s="2" t="b">
        <v>0</v>
      </c>
      <c r="G3033" s="2" t="s">
        <v>9937</v>
      </c>
      <c r="H3033" s="3" t="str">
        <f>_xlfn.IFNA(INDEX(RulebookFields!C2:C999, MATCH(D3033,RulebookFields!A2:A999, 0)), "")</f>
        <v>Roles</v>
      </c>
      <c r="I3033" s="3" t="str">
        <f>_xlfn.IFNA(INDEX(RulebookFields!D2:D999, MATCH(D3033,RulebookFields!A2:A999, 0)), "")</f>
        <v>Name</v>
      </c>
      <c r="J3033" s="3" t="b">
        <f>_xlfn.IFNA(INDEX(RulebookFields!I2:I999, MATCH(D3033,RulebookFields!A2:A999, 0)), "")</f>
        <v>1</v>
      </c>
      <c r="K3033" s="3" t="b">
        <f>AND(F3033, J3033)</f>
        <v>0</v>
      </c>
      <c r="L3033" s="3" t="b">
        <f>AND(G3033 &lt;&gt; "plain", G3033 &lt;&gt; "")</f>
        <v>0</v>
      </c>
      <c r="M3033" s="3" t="str">
        <f>IF(E3033, C3033 &amp; "|" &amp; H3033, "")</f>
        <v>principal-knowledge-authority|Roles</v>
      </c>
      <c r="N3033" s="2" t="s">
        <v>9938</v>
      </c>
    </row>
    <row r="3034">
      <c r="A3034" s="2" t="s">
        <v>12970</v>
      </c>
      <c r="B3034" s="3" t="str">
        <f>C3034 &amp; " -&gt; " &amp; D3034</f>
        <v>principal-knowledge-authority -&gt; Roles.Label</v>
      </c>
      <c r="C3034" s="2" t="s">
        <v>9708</v>
      </c>
      <c r="D3034" s="2" t="s">
        <v>2474</v>
      </c>
      <c r="E3034" s="2" t="b">
        <v>1</v>
      </c>
      <c r="F3034" s="2" t="b">
        <v>0</v>
      </c>
      <c r="G3034" s="2" t="s">
        <v>9937</v>
      </c>
      <c r="H3034" s="3" t="str">
        <f>_xlfn.IFNA(INDEX(RulebookFields!C2:C999, MATCH(D3034,RulebookFields!A2:A999, 0)), "")</f>
        <v>Roles</v>
      </c>
      <c r="I3034" s="3" t="str">
        <f>_xlfn.IFNA(INDEX(RulebookFields!D2:D999, MATCH(D3034,RulebookFields!A2:A999, 0)), "")</f>
        <v>Label</v>
      </c>
      <c r="J3034" s="3" t="b">
        <f>_xlfn.IFNA(INDEX(RulebookFields!I2:I999, MATCH(D3034,RulebookFields!A2:A999, 0)), "")</f>
        <v>0</v>
      </c>
      <c r="K3034" s="3" t="b">
        <f>AND(F3034, J3034)</f>
        <v>0</v>
      </c>
      <c r="L3034" s="3" t="b">
        <f>AND(G3034 &lt;&gt; "plain", G3034 &lt;&gt; "")</f>
        <v>0</v>
      </c>
      <c r="M3034" s="3" t="str">
        <f>IF(E3034, C3034 &amp; "|" &amp; H3034, "")</f>
        <v>principal-knowledge-authority|Roles</v>
      </c>
      <c r="N3034" s="2" t="s">
        <v>9938</v>
      </c>
    </row>
    <row r="3035">
      <c r="A3035" s="2" t="s">
        <v>12971</v>
      </c>
      <c r="B3035" s="3" t="str">
        <f>C3035 &amp; " -&gt; " &amp; D3035</f>
        <v>principal-knowledge-authority -&gt; Roles.Organization</v>
      </c>
      <c r="C3035" s="2" t="s">
        <v>9708</v>
      </c>
      <c r="D3035" s="2" t="s">
        <v>2475</v>
      </c>
      <c r="E3035" s="2" t="b">
        <v>1</v>
      </c>
      <c r="F3035" s="2" t="b">
        <v>0</v>
      </c>
      <c r="G3035" s="2" t="s">
        <v>9937</v>
      </c>
      <c r="H3035" s="3" t="str">
        <f>_xlfn.IFNA(INDEX(RulebookFields!C2:C999, MATCH(D3035,RulebookFields!A2:A999, 0)), "")</f>
        <v>Roles</v>
      </c>
      <c r="I3035" s="3" t="str">
        <f>_xlfn.IFNA(INDEX(RulebookFields!D2:D999, MATCH(D3035,RulebookFields!A2:A999, 0)), "")</f>
        <v>Organization</v>
      </c>
      <c r="J3035" s="3" t="b">
        <f>_xlfn.IFNA(INDEX(RulebookFields!I2:I999, MATCH(D3035,RulebookFields!A2:A999, 0)), "")</f>
        <v>0</v>
      </c>
      <c r="K3035" s="3" t="b">
        <f>AND(F3035, J3035)</f>
        <v>0</v>
      </c>
      <c r="L3035" s="3" t="b">
        <f>AND(G3035 &lt;&gt; "plain", G3035 &lt;&gt; "")</f>
        <v>0</v>
      </c>
      <c r="M3035" s="3" t="str">
        <f>IF(E3035, C3035 &amp; "|" &amp; H3035, "")</f>
        <v>principal-knowledge-authority|Roles</v>
      </c>
      <c r="N3035" s="2" t="s">
        <v>9938</v>
      </c>
    </row>
    <row r="3036">
      <c r="A3036" s="2" t="s">
        <v>12972</v>
      </c>
      <c r="B3036" s="3" t="str">
        <f>C3036 &amp; " -&gt; " &amp; D3036</f>
        <v>principal-knowledge-authority -&gt; Roles.CurrentAgent</v>
      </c>
      <c r="C3036" s="2" t="s">
        <v>9708</v>
      </c>
      <c r="D3036" s="2" t="s">
        <v>2476</v>
      </c>
      <c r="E3036" s="2" t="b">
        <v>1</v>
      </c>
      <c r="F3036" s="2" t="b">
        <v>0</v>
      </c>
      <c r="G3036" s="2" t="s">
        <v>9937</v>
      </c>
      <c r="H3036" s="3" t="str">
        <f>_xlfn.IFNA(INDEX(RulebookFields!C2:C999, MATCH(D3036,RulebookFields!A2:A999, 0)), "")</f>
        <v>Roles</v>
      </c>
      <c r="I3036" s="3" t="str">
        <f>_xlfn.IFNA(INDEX(RulebookFields!D2:D999, MATCH(D3036,RulebookFields!A2:A999, 0)), "")</f>
        <v>CurrentAgent</v>
      </c>
      <c r="J3036" s="3" t="b">
        <f>_xlfn.IFNA(INDEX(RulebookFields!I2:I999, MATCH(D3036,RulebookFields!A2:A999, 0)), "")</f>
        <v>0</v>
      </c>
      <c r="K3036" s="3" t="b">
        <f>AND(F3036, J3036)</f>
        <v>0</v>
      </c>
      <c r="L3036" s="3" t="b">
        <f>AND(G3036 &lt;&gt; "plain", G3036 &lt;&gt; "")</f>
        <v>0</v>
      </c>
      <c r="M3036" s="3" t="str">
        <f>IF(E3036, C3036 &amp; "|" &amp; H3036, "")</f>
        <v>principal-knowledge-authority|Roles</v>
      </c>
      <c r="N3036" s="2" t="s">
        <v>9938</v>
      </c>
    </row>
    <row r="3037">
      <c r="A3037" s="2" t="s">
        <v>12973</v>
      </c>
      <c r="B3037" s="3" t="str">
        <f>C3037 &amp; " -&gt; " &amp; D3037</f>
        <v>principal-knowledge-authority -&gt; Roles.CurrentAgentKind</v>
      </c>
      <c r="C3037" s="2" t="s">
        <v>9708</v>
      </c>
      <c r="D3037" s="2" t="s">
        <v>2477</v>
      </c>
      <c r="E3037" s="2" t="b">
        <v>1</v>
      </c>
      <c r="F3037" s="2" t="b">
        <v>0</v>
      </c>
      <c r="G3037" s="2" t="s">
        <v>9937</v>
      </c>
      <c r="H3037" s="3" t="str">
        <f>_xlfn.IFNA(INDEX(RulebookFields!C2:C999, MATCH(D3037,RulebookFields!A2:A999, 0)), "")</f>
        <v>Roles</v>
      </c>
      <c r="I3037" s="3" t="str">
        <f>_xlfn.IFNA(INDEX(RulebookFields!D2:D999, MATCH(D3037,RulebookFields!A2:A999, 0)), "")</f>
        <v>CurrentAgentKind</v>
      </c>
      <c r="J3037" s="3" t="b">
        <f>_xlfn.IFNA(INDEX(RulebookFields!I2:I999, MATCH(D3037,RulebookFields!A2:A999, 0)), "")</f>
        <v>1</v>
      </c>
      <c r="K3037" s="3" t="b">
        <f>AND(F3037, J3037)</f>
        <v>0</v>
      </c>
      <c r="L3037" s="3" t="b">
        <f>AND(G3037 &lt;&gt; "plain", G3037 &lt;&gt; "")</f>
        <v>0</v>
      </c>
      <c r="M3037" s="3" t="str">
        <f>IF(E3037, C3037 &amp; "|" &amp; H3037, "")</f>
        <v>principal-knowledge-authority|Roles</v>
      </c>
      <c r="N3037" s="2" t="s">
        <v>9938</v>
      </c>
    </row>
    <row r="3038">
      <c r="A3038" s="2" t="s">
        <v>12974</v>
      </c>
      <c r="B3038" s="3" t="str">
        <f>C3038 &amp; " -&gt; " &amp; D3038</f>
        <v>principal-knowledge-authority -&gt; Roles.Responsibility</v>
      </c>
      <c r="C3038" s="2" t="s">
        <v>9708</v>
      </c>
      <c r="D3038" s="2" t="s">
        <v>2480</v>
      </c>
      <c r="E3038" s="2" t="b">
        <v>1</v>
      </c>
      <c r="F3038" s="2" t="b">
        <v>0</v>
      </c>
      <c r="G3038" s="2" t="s">
        <v>9937</v>
      </c>
      <c r="H3038" s="3" t="str">
        <f>_xlfn.IFNA(INDEX(RulebookFields!C2:C999, MATCH(D3038,RulebookFields!A2:A999, 0)), "")</f>
        <v>Roles</v>
      </c>
      <c r="I3038" s="3" t="str">
        <f>_xlfn.IFNA(INDEX(RulebookFields!D2:D999, MATCH(D3038,RulebookFields!A2:A999, 0)), "")</f>
        <v>Responsibility</v>
      </c>
      <c r="J3038" s="3" t="b">
        <f>_xlfn.IFNA(INDEX(RulebookFields!I2:I999, MATCH(D3038,RulebookFields!A2:A999, 0)), "")</f>
        <v>0</v>
      </c>
      <c r="K3038" s="3" t="b">
        <f>AND(F3038, J3038)</f>
        <v>0</v>
      </c>
      <c r="L3038" s="3" t="b">
        <f>AND(G3038 &lt;&gt; "plain", G3038 &lt;&gt; "")</f>
        <v>0</v>
      </c>
      <c r="M3038" s="3" t="str">
        <f>IF(E3038, C3038 &amp; "|" &amp; H3038, "")</f>
        <v>principal-knowledge-authority|Roles</v>
      </c>
      <c r="N3038" s="2" t="s">
        <v>9938</v>
      </c>
    </row>
    <row r="3039">
      <c r="A3039" s="2" t="s">
        <v>12975</v>
      </c>
      <c r="B3039" s="3" t="str">
        <f>C3039 &amp; " -&gt; " &amp; D3039</f>
        <v>principal-knowledge-authority -&gt; Roles.ActiveAssignmentCount</v>
      </c>
      <c r="C3039" s="2" t="s">
        <v>9708</v>
      </c>
      <c r="D3039" s="2" t="s">
        <v>2481</v>
      </c>
      <c r="E3039" s="2" t="b">
        <v>1</v>
      </c>
      <c r="F3039" s="2" t="b">
        <v>0</v>
      </c>
      <c r="G3039" s="2" t="s">
        <v>9937</v>
      </c>
      <c r="H3039" s="3" t="str">
        <f>_xlfn.IFNA(INDEX(RulebookFields!C2:C999, MATCH(D3039,RulebookFields!A2:A999, 0)), "")</f>
        <v>Roles</v>
      </c>
      <c r="I3039" s="3" t="str">
        <f>_xlfn.IFNA(INDEX(RulebookFields!D2:D999, MATCH(D3039,RulebookFields!A2:A999, 0)), "")</f>
        <v>ActiveAssignmentCount</v>
      </c>
      <c r="J3039" s="3" t="b">
        <f>_xlfn.IFNA(INDEX(RulebookFields!I2:I999, MATCH(D3039,RulebookFields!A2:A999, 0)), "")</f>
        <v>1</v>
      </c>
      <c r="K3039" s="3" t="b">
        <f>AND(F3039, J3039)</f>
        <v>0</v>
      </c>
      <c r="L3039" s="3" t="b">
        <f>AND(G3039 &lt;&gt; "plain", G3039 &lt;&gt; "")</f>
        <v>0</v>
      </c>
      <c r="M3039" s="3" t="str">
        <f>IF(E3039, C3039 &amp; "|" &amp; H3039, "")</f>
        <v>principal-knowledge-authority|Roles</v>
      </c>
      <c r="N3039" s="2" t="s">
        <v>9938</v>
      </c>
    </row>
    <row r="3040">
      <c r="A3040" s="2" t="s">
        <v>12976</v>
      </c>
      <c r="B3040" s="3" t="str">
        <f>C3040 &amp; " -&gt; " &amp; D3040</f>
        <v>principal-knowledge-authority -&gt; Roles.CurrentlyCoveredAssignmentCount</v>
      </c>
      <c r="C3040" s="2" t="s">
        <v>9708</v>
      </c>
      <c r="D3040" s="2" t="s">
        <v>2483</v>
      </c>
      <c r="E3040" s="2" t="b">
        <v>1</v>
      </c>
      <c r="F3040" s="2" t="b">
        <v>0</v>
      </c>
      <c r="G3040" s="2" t="s">
        <v>9937</v>
      </c>
      <c r="H3040" s="3" t="str">
        <f>_xlfn.IFNA(INDEX(RulebookFields!C2:C999, MATCH(D3040,RulebookFields!A2:A999, 0)), "")</f>
        <v>Roles</v>
      </c>
      <c r="I3040" s="3" t="str">
        <f>_xlfn.IFNA(INDEX(RulebookFields!D2:D999, MATCH(D3040,RulebookFields!A2:A999, 0)), "")</f>
        <v>CurrentlyCoveredAssignmentCount</v>
      </c>
      <c r="J3040" s="3" t="b">
        <f>_xlfn.IFNA(INDEX(RulebookFields!I2:I999, MATCH(D3040,RulebookFields!A2:A999, 0)), "")</f>
        <v>1</v>
      </c>
      <c r="K3040" s="3" t="b">
        <f>AND(F3040, J3040)</f>
        <v>0</v>
      </c>
      <c r="L3040" s="3" t="b">
        <f>AND(G3040 &lt;&gt; "plain", G3040 &lt;&gt; "")</f>
        <v>0</v>
      </c>
      <c r="M3040" s="3" t="str">
        <f>IF(E3040, C3040 &amp; "|" &amp; H3040, "")</f>
        <v>principal-knowledge-authority|Roles</v>
      </c>
      <c r="N3040" s="2" t="s">
        <v>9938</v>
      </c>
    </row>
    <row r="3041">
      <c r="A3041" s="2" t="s">
        <v>12977</v>
      </c>
      <c r="B3041" s="3" t="str">
        <f>C3041 &amp; " -&gt; " &amp; D3041</f>
        <v>principal-knowledge-authority -&gt; Roles.HasNoCurrentHolder</v>
      </c>
      <c r="C3041" s="2" t="s">
        <v>9708</v>
      </c>
      <c r="D3041" s="2" t="s">
        <v>2485</v>
      </c>
      <c r="E3041" s="2" t="b">
        <v>1</v>
      </c>
      <c r="F3041" s="2" t="b">
        <v>0</v>
      </c>
      <c r="G3041" s="2" t="s">
        <v>9937</v>
      </c>
      <c r="H3041" s="3" t="str">
        <f>_xlfn.IFNA(INDEX(RulebookFields!C2:C999, MATCH(D3041,RulebookFields!A2:A999, 0)), "")</f>
        <v>Roles</v>
      </c>
      <c r="I3041" s="3" t="str">
        <f>_xlfn.IFNA(INDEX(RulebookFields!D2:D999, MATCH(D3041,RulebookFields!A2:A999, 0)), "")</f>
        <v>HasNoCurrentHolder</v>
      </c>
      <c r="J3041" s="3" t="b">
        <f>_xlfn.IFNA(INDEX(RulebookFields!I2:I999, MATCH(D3041,RulebookFields!A2:A999, 0)), "")</f>
        <v>1</v>
      </c>
      <c r="K3041" s="3" t="b">
        <f>AND(F3041, J3041)</f>
        <v>0</v>
      </c>
      <c r="L3041" s="3" t="b">
        <f>AND(G3041 &lt;&gt; "plain", G3041 &lt;&gt; "")</f>
        <v>0</v>
      </c>
      <c r="M3041" s="3" t="str">
        <f>IF(E3041, C3041 &amp; "|" &amp; H3041, "")</f>
        <v>principal-knowledge-authority|Roles</v>
      </c>
      <c r="N3041" s="2" t="s">
        <v>9938</v>
      </c>
    </row>
    <row r="3042">
      <c r="A3042" s="2" t="s">
        <v>12978</v>
      </c>
      <c r="B3042" s="3" t="str">
        <f>C3042 &amp; " -&gt; " &amp; D3042</f>
        <v>principal-knowledge-authority -&gt; Roles.CountOfAwaitedDecisions</v>
      </c>
      <c r="C3042" s="2" t="s">
        <v>9708</v>
      </c>
      <c r="D3042" s="2" t="s">
        <v>2487</v>
      </c>
      <c r="E3042" s="2" t="b">
        <v>1</v>
      </c>
      <c r="F3042" s="2" t="b">
        <v>0</v>
      </c>
      <c r="G3042" s="2" t="s">
        <v>9937</v>
      </c>
      <c r="H3042" s="3" t="str">
        <f>_xlfn.IFNA(INDEX(RulebookFields!C2:C999, MATCH(D3042,RulebookFields!A2:A999, 0)), "")</f>
        <v>Roles</v>
      </c>
      <c r="I3042" s="3" t="str">
        <f>_xlfn.IFNA(INDEX(RulebookFields!D2:D999, MATCH(D3042,RulebookFields!A2:A999, 0)), "")</f>
        <v>CountOfAwaitedDecisions</v>
      </c>
      <c r="J3042" s="3" t="b">
        <f>_xlfn.IFNA(INDEX(RulebookFields!I2:I999, MATCH(D3042,RulebookFields!A2:A999, 0)), "")</f>
        <v>1</v>
      </c>
      <c r="K3042" s="3" t="b">
        <f>AND(F3042, J3042)</f>
        <v>0</v>
      </c>
      <c r="L3042" s="3" t="b">
        <f>AND(G3042 &lt;&gt; "plain", G3042 &lt;&gt; "")</f>
        <v>0</v>
      </c>
      <c r="M3042" s="3" t="str">
        <f>IF(E3042, C3042 &amp; "|" &amp; H3042, "")</f>
        <v>principal-knowledge-authority|Roles</v>
      </c>
      <c r="N3042" s="2" t="s">
        <v>9938</v>
      </c>
    </row>
    <row r="3043">
      <c r="A3043" s="2" t="s">
        <v>12979</v>
      </c>
      <c r="B3043" s="3" t="str">
        <f>C3043 &amp; " -&gt; " &amp; D3043</f>
        <v>principal-knowledge-authority -&gt; Roles.CurrentAssignment</v>
      </c>
      <c r="C3043" s="2" t="s">
        <v>9708</v>
      </c>
      <c r="D3043" s="2" t="s">
        <v>2489</v>
      </c>
      <c r="E3043" s="2" t="b">
        <v>1</v>
      </c>
      <c r="F3043" s="2" t="b">
        <v>0</v>
      </c>
      <c r="G3043" s="2" t="s">
        <v>9937</v>
      </c>
      <c r="H3043" s="3" t="str">
        <f>_xlfn.IFNA(INDEX(RulebookFields!C2:C999, MATCH(D3043,RulebookFields!A2:A999, 0)), "")</f>
        <v>Roles</v>
      </c>
      <c r="I3043" s="3" t="str">
        <f>_xlfn.IFNA(INDEX(RulebookFields!D2:D999, MATCH(D3043,RulebookFields!A2:A999, 0)), "")</f>
        <v>CurrentAssignment</v>
      </c>
      <c r="J3043" s="3" t="b">
        <f>_xlfn.IFNA(INDEX(RulebookFields!I2:I999, MATCH(D3043,RulebookFields!A2:A999, 0)), "")</f>
        <v>0</v>
      </c>
      <c r="K3043" s="3" t="b">
        <f>AND(F3043, J3043)</f>
        <v>0</v>
      </c>
      <c r="L3043" s="3" t="b">
        <f>AND(G3043 &lt;&gt; "plain", G3043 &lt;&gt; "")</f>
        <v>0</v>
      </c>
      <c r="M3043" s="3" t="str">
        <f>IF(E3043, C3043 &amp; "|" &amp; H3043, "")</f>
        <v>principal-knowledge-authority|Roles</v>
      </c>
      <c r="N3043" s="2" t="s">
        <v>9938</v>
      </c>
    </row>
    <row r="3044">
      <c r="A3044" s="2" t="s">
        <v>12980</v>
      </c>
      <c r="B3044" s="3" t="str">
        <f>C3044 &amp; " -&gt; " &amp; D3044</f>
        <v>principal-knowledge-authority -&gt; Roles.CurrentAssignmentValidFrom</v>
      </c>
      <c r="C3044" s="2" t="s">
        <v>9708</v>
      </c>
      <c r="D3044" s="2" t="s">
        <v>2490</v>
      </c>
      <c r="E3044" s="2" t="b">
        <v>1</v>
      </c>
      <c r="F3044" s="2" t="b">
        <v>0</v>
      </c>
      <c r="G3044" s="2" t="s">
        <v>9937</v>
      </c>
      <c r="H3044" s="3" t="str">
        <f>_xlfn.IFNA(INDEX(RulebookFields!C2:C999, MATCH(D3044,RulebookFields!A2:A999, 0)), "")</f>
        <v>Roles</v>
      </c>
      <c r="I3044" s="3" t="str">
        <f>_xlfn.IFNA(INDEX(RulebookFields!D2:D999, MATCH(D3044,RulebookFields!A2:A999, 0)), "")</f>
        <v>CurrentAssignmentValidFrom</v>
      </c>
      <c r="J3044" s="3" t="b">
        <f>_xlfn.IFNA(INDEX(RulebookFields!I2:I999, MATCH(D3044,RulebookFields!A2:A999, 0)), "")</f>
        <v>1</v>
      </c>
      <c r="K3044" s="3" t="b">
        <f>AND(F3044, J3044)</f>
        <v>0</v>
      </c>
      <c r="L3044" s="3" t="b">
        <f>AND(G3044 &lt;&gt; "plain", G3044 &lt;&gt; "")</f>
        <v>0</v>
      </c>
      <c r="M3044" s="3" t="str">
        <f>IF(E3044, C3044 &amp; "|" &amp; H3044, "")</f>
        <v>principal-knowledge-authority|Roles</v>
      </c>
      <c r="N3044" s="2" t="s">
        <v>9938</v>
      </c>
    </row>
    <row r="3045">
      <c r="A3045" s="2" t="s">
        <v>12981</v>
      </c>
      <c r="B3045" s="3" t="str">
        <f>C3045 &amp; " -&gt; " &amp; D3045</f>
        <v>principal-knowledge-authority -&gt; Roles.IsNonHumanHeld</v>
      </c>
      <c r="C3045" s="2" t="s">
        <v>9708</v>
      </c>
      <c r="D3045" s="2" t="s">
        <v>2492</v>
      </c>
      <c r="E3045" s="2" t="b">
        <v>1</v>
      </c>
      <c r="F3045" s="2" t="b">
        <v>0</v>
      </c>
      <c r="G3045" s="2" t="s">
        <v>9937</v>
      </c>
      <c r="H3045" s="3" t="str">
        <f>_xlfn.IFNA(INDEX(RulebookFields!C2:C999, MATCH(D3045,RulebookFields!A2:A999, 0)), "")</f>
        <v>Roles</v>
      </c>
      <c r="I3045" s="3" t="str">
        <f>_xlfn.IFNA(INDEX(RulebookFields!D2:D999, MATCH(D3045,RulebookFields!A2:A999, 0)), "")</f>
        <v>IsNonHumanHeld</v>
      </c>
      <c r="J3045" s="3" t="b">
        <f>_xlfn.IFNA(INDEX(RulebookFields!I2:I999, MATCH(D3045,RulebookFields!A2:A999, 0)), "")</f>
        <v>1</v>
      </c>
      <c r="K3045" s="3" t="b">
        <f>AND(F3045, J3045)</f>
        <v>0</v>
      </c>
      <c r="L3045" s="3" t="b">
        <f>AND(G3045 &lt;&gt; "plain", G3045 &lt;&gt; "")</f>
        <v>0</v>
      </c>
      <c r="M3045" s="3" t="str">
        <f>IF(E3045, C3045 &amp; "|" &amp; H3045, "")</f>
        <v>principal-knowledge-authority|Roles</v>
      </c>
      <c r="N3045" s="2" t="s">
        <v>9938</v>
      </c>
    </row>
    <row r="3046">
      <c r="A3046" s="2" t="s">
        <v>12982</v>
      </c>
      <c r="B3046" s="3" t="str">
        <f>C3046 &amp; " -&gt; " &amp; D3046</f>
        <v>principal-knowledge-authority -&gt; Roles.IsUngovernedNonHumanRole</v>
      </c>
      <c r="C3046" s="2" t="s">
        <v>9708</v>
      </c>
      <c r="D3046" s="2" t="s">
        <v>2494</v>
      </c>
      <c r="E3046" s="2" t="b">
        <v>1</v>
      </c>
      <c r="F3046" s="2" t="b">
        <v>0</v>
      </c>
      <c r="G3046" s="2" t="s">
        <v>9937</v>
      </c>
      <c r="H3046" s="3" t="str">
        <f>_xlfn.IFNA(INDEX(RulebookFields!C2:C999, MATCH(D3046,RulebookFields!A2:A999, 0)), "")</f>
        <v>Roles</v>
      </c>
      <c r="I3046" s="3" t="str">
        <f>_xlfn.IFNA(INDEX(RulebookFields!D2:D999, MATCH(D3046,RulebookFields!A2:A999, 0)), "")</f>
        <v>IsUngovernedNonHumanRole</v>
      </c>
      <c r="J3046" s="3" t="b">
        <f>_xlfn.IFNA(INDEX(RulebookFields!I2:I999, MATCH(D3046,RulebookFields!A2:A999, 0)), "")</f>
        <v>1</v>
      </c>
      <c r="K3046" s="3" t="b">
        <f>AND(F3046, J3046)</f>
        <v>0</v>
      </c>
      <c r="L3046" s="3" t="b">
        <f>AND(G3046 &lt;&gt; "plain", G3046 &lt;&gt; "")</f>
        <v>0</v>
      </c>
      <c r="M3046" s="3" t="str">
        <f>IF(E3046, C3046 &amp; "|" &amp; H3046, "")</f>
        <v>principal-knowledge-authority|Roles</v>
      </c>
      <c r="N3046" s="2" t="s">
        <v>9938</v>
      </c>
    </row>
    <row r="3047">
      <c r="A3047" s="2" t="s">
        <v>12983</v>
      </c>
      <c r="B3047" s="3" t="str">
        <f>C3047 &amp; " -&gt; " &amp; D3047</f>
        <v>principal-knowledge-authority -&gt; Roles.DepartedAssignmentCount</v>
      </c>
      <c r="C3047" s="2" t="s">
        <v>9708</v>
      </c>
      <c r="D3047" s="2" t="s">
        <v>2496</v>
      </c>
      <c r="E3047" s="2" t="b">
        <v>1</v>
      </c>
      <c r="F3047" s="2" t="b">
        <v>0</v>
      </c>
      <c r="G3047" s="2" t="s">
        <v>9937</v>
      </c>
      <c r="H3047" s="3" t="str">
        <f>_xlfn.IFNA(INDEX(RulebookFields!C2:C999, MATCH(D3047,RulebookFields!A2:A999, 0)), "")</f>
        <v>Roles</v>
      </c>
      <c r="I3047" s="3" t="str">
        <f>_xlfn.IFNA(INDEX(RulebookFields!D2:D999, MATCH(D3047,RulebookFields!A2:A999, 0)), "")</f>
        <v>DepartedAssignmentCount</v>
      </c>
      <c r="J3047" s="3" t="b">
        <f>_xlfn.IFNA(INDEX(RulebookFields!I2:I999, MATCH(D3047,RulebookFields!A2:A999, 0)), "")</f>
        <v>1</v>
      </c>
      <c r="K3047" s="3" t="b">
        <f>AND(F3047, J3047)</f>
        <v>0</v>
      </c>
      <c r="L3047" s="3" t="b">
        <f>AND(G3047 &lt;&gt; "plain", G3047 &lt;&gt; "")</f>
        <v>0</v>
      </c>
      <c r="M3047" s="3" t="str">
        <f>IF(E3047, C3047 &amp; "|" &amp; H3047, "")</f>
        <v>principal-knowledge-authority|Roles</v>
      </c>
      <c r="N3047" s="2" t="s">
        <v>9938</v>
      </c>
    </row>
    <row r="3048">
      <c r="A3048" s="2" t="s">
        <v>12984</v>
      </c>
      <c r="B3048" s="3" t="str">
        <f>C3048 &amp; " -&gt; " &amp; D3048</f>
        <v>principal-knowledge-authority -&gt; Roles.HasLostAHolder</v>
      </c>
      <c r="C3048" s="2" t="s">
        <v>9708</v>
      </c>
      <c r="D3048" s="2" t="s">
        <v>2498</v>
      </c>
      <c r="E3048" s="2" t="b">
        <v>1</v>
      </c>
      <c r="F3048" s="2" t="b">
        <v>0</v>
      </c>
      <c r="G3048" s="2" t="s">
        <v>9937</v>
      </c>
      <c r="H3048" s="3" t="str">
        <f>_xlfn.IFNA(INDEX(RulebookFields!C2:C999, MATCH(D3048,RulebookFields!A2:A999, 0)), "")</f>
        <v>Roles</v>
      </c>
      <c r="I3048" s="3" t="str">
        <f>_xlfn.IFNA(INDEX(RulebookFields!D2:D999, MATCH(D3048,RulebookFields!A2:A999, 0)), "")</f>
        <v>HasLostAHolder</v>
      </c>
      <c r="J3048" s="3" t="b">
        <f>_xlfn.IFNA(INDEX(RulebookFields!I2:I999, MATCH(D3048,RulebookFields!A2:A999, 0)), "")</f>
        <v>1</v>
      </c>
      <c r="K3048" s="3" t="b">
        <f>AND(F3048, J3048)</f>
        <v>0</v>
      </c>
      <c r="L3048" s="3" t="b">
        <f>AND(G3048 &lt;&gt; "plain", G3048 &lt;&gt; "")</f>
        <v>0</v>
      </c>
      <c r="M3048" s="3" t="str">
        <f>IF(E3048, C3048 &amp; "|" &amp; H3048, "")</f>
        <v>principal-knowledge-authority|Roles</v>
      </c>
      <c r="N3048" s="2" t="s">
        <v>9938</v>
      </c>
    </row>
    <row r="3049">
      <c r="A3049" s="2" t="s">
        <v>12985</v>
      </c>
      <c r="B3049" s="3" t="str">
        <f>C3049 &amp; " -&gt; " &amp; D3049</f>
        <v>principal-knowledge-authority -&gt; Roles.IsVacatedRole</v>
      </c>
      <c r="C3049" s="2" t="s">
        <v>9708</v>
      </c>
      <c r="D3049" s="2" t="s">
        <v>2500</v>
      </c>
      <c r="E3049" s="2" t="b">
        <v>1</v>
      </c>
      <c r="F3049" s="2" t="b">
        <v>0</v>
      </c>
      <c r="G3049" s="2" t="s">
        <v>9937</v>
      </c>
      <c r="H3049" s="3" t="str">
        <f>_xlfn.IFNA(INDEX(RulebookFields!C2:C999, MATCH(D3049,RulebookFields!A2:A999, 0)), "")</f>
        <v>Roles</v>
      </c>
      <c r="I3049" s="3" t="str">
        <f>_xlfn.IFNA(INDEX(RulebookFields!D2:D999, MATCH(D3049,RulebookFields!A2:A999, 0)), "")</f>
        <v>IsVacatedRole</v>
      </c>
      <c r="J3049" s="3" t="b">
        <f>_xlfn.IFNA(INDEX(RulebookFields!I2:I999, MATCH(D3049,RulebookFields!A2:A999, 0)), "")</f>
        <v>1</v>
      </c>
      <c r="K3049" s="3" t="b">
        <f>AND(F3049, J3049)</f>
        <v>0</v>
      </c>
      <c r="L3049" s="3" t="b">
        <f>AND(G3049 &lt;&gt; "plain", G3049 &lt;&gt; "")</f>
        <v>0</v>
      </c>
      <c r="M3049" s="3" t="str">
        <f>IF(E3049, C3049 &amp; "|" &amp; H3049, "")</f>
        <v>principal-knowledge-authority|Roles</v>
      </c>
      <c r="N3049" s="2" t="s">
        <v>9938</v>
      </c>
    </row>
    <row r="3050">
      <c r="A3050" s="2" t="s">
        <v>12986</v>
      </c>
      <c r="B3050" s="3" t="str">
        <f>C3050 &amp; " -&gt; " &amp; D3050</f>
        <v>principal-knowledge-authority -&gt; Roles.UngroundedBoundaryCount</v>
      </c>
      <c r="C3050" s="2" t="s">
        <v>9708</v>
      </c>
      <c r="D3050" s="2" t="s">
        <v>2502</v>
      </c>
      <c r="E3050" s="2" t="b">
        <v>1</v>
      </c>
      <c r="F3050" s="2" t="b">
        <v>0</v>
      </c>
      <c r="G3050" s="2" t="s">
        <v>9937</v>
      </c>
      <c r="H3050" s="3" t="str">
        <f>_xlfn.IFNA(INDEX(RulebookFields!C2:C999, MATCH(D3050,RulebookFields!A2:A999, 0)), "")</f>
        <v>Roles</v>
      </c>
      <c r="I3050" s="3" t="str">
        <f>_xlfn.IFNA(INDEX(RulebookFields!D2:D999, MATCH(D3050,RulebookFields!A2:A999, 0)), "")</f>
        <v>UngroundedBoundaryCount</v>
      </c>
      <c r="J3050" s="3" t="b">
        <f>_xlfn.IFNA(INDEX(RulebookFields!I2:I999, MATCH(D3050,RulebookFields!A2:A999, 0)), "")</f>
        <v>1</v>
      </c>
      <c r="K3050" s="3" t="b">
        <f>AND(F3050, J3050)</f>
        <v>0</v>
      </c>
      <c r="L3050" s="3" t="b">
        <f>AND(G3050 &lt;&gt; "plain", G3050 &lt;&gt; "")</f>
        <v>0</v>
      </c>
      <c r="M3050" s="3" t="str">
        <f>IF(E3050, C3050 &amp; "|" &amp; H3050, "")</f>
        <v>principal-knowledge-authority|Roles</v>
      </c>
      <c r="N3050" s="2" t="s">
        <v>9938</v>
      </c>
    </row>
    <row r="3051">
      <c r="A3051" s="2" t="s">
        <v>12987</v>
      </c>
      <c r="B3051" s="3" t="str">
        <f>C3051 &amp; " -&gt; " &amp; D3051</f>
        <v>principal-knowledge-authority -&gt; Roles.IsGovernedByLapsedAuthority</v>
      </c>
      <c r="C3051" s="2" t="s">
        <v>9708</v>
      </c>
      <c r="D3051" s="2" t="s">
        <v>2504</v>
      </c>
      <c r="E3051" s="2" t="b">
        <v>1</v>
      </c>
      <c r="F3051" s="2" t="b">
        <v>0</v>
      </c>
      <c r="G3051" s="2" t="s">
        <v>9937</v>
      </c>
      <c r="H3051" s="3" t="str">
        <f>_xlfn.IFNA(INDEX(RulebookFields!C2:C999, MATCH(D3051,RulebookFields!A2:A999, 0)), "")</f>
        <v>Roles</v>
      </c>
      <c r="I3051" s="3" t="str">
        <f>_xlfn.IFNA(INDEX(RulebookFields!D2:D999, MATCH(D3051,RulebookFields!A2:A999, 0)), "")</f>
        <v>IsGovernedByLapsedAuthority</v>
      </c>
      <c r="J3051" s="3" t="b">
        <f>_xlfn.IFNA(INDEX(RulebookFields!I2:I999, MATCH(D3051,RulebookFields!A2:A999, 0)), "")</f>
        <v>1</v>
      </c>
      <c r="K3051" s="3" t="b">
        <f>AND(F3051, J3051)</f>
        <v>0</v>
      </c>
      <c r="L3051" s="3" t="b">
        <f>AND(G3051 &lt;&gt; "plain", G3051 &lt;&gt; "")</f>
        <v>0</v>
      </c>
      <c r="M3051" s="3" t="str">
        <f>IF(E3051, C3051 &amp; "|" &amp; H3051, "")</f>
        <v>principal-knowledge-authority|Roles</v>
      </c>
      <c r="N3051" s="2" t="s">
        <v>9938</v>
      </c>
    </row>
    <row r="3052">
      <c r="A3052" s="2" t="s">
        <v>12988</v>
      </c>
      <c r="B3052" s="3" t="str">
        <f>C3052 &amp; " -&gt; " &amp; D3052</f>
        <v>principal-knowledge-authority -&gt; Roles.UnescalatedRefusalCount</v>
      </c>
      <c r="C3052" s="2" t="s">
        <v>9708</v>
      </c>
      <c r="D3052" s="2" t="s">
        <v>2506</v>
      </c>
      <c r="E3052" s="2" t="b">
        <v>1</v>
      </c>
      <c r="F3052" s="2" t="b">
        <v>0</v>
      </c>
      <c r="G3052" s="2" t="s">
        <v>9937</v>
      </c>
      <c r="H3052" s="3" t="str">
        <f>_xlfn.IFNA(INDEX(RulebookFields!C2:C999, MATCH(D3052,RulebookFields!A2:A999, 0)), "")</f>
        <v>Roles</v>
      </c>
      <c r="I3052" s="3" t="str">
        <f>_xlfn.IFNA(INDEX(RulebookFields!D2:D999, MATCH(D3052,RulebookFields!A2:A999, 0)), "")</f>
        <v>UnescalatedRefusalCount</v>
      </c>
      <c r="J3052" s="3" t="b">
        <f>_xlfn.IFNA(INDEX(RulebookFields!I2:I999, MATCH(D3052,RulebookFields!A2:A999, 0)), "")</f>
        <v>1</v>
      </c>
      <c r="K3052" s="3" t="b">
        <f>AND(F3052, J3052)</f>
        <v>0</v>
      </c>
      <c r="L3052" s="3" t="b">
        <f>AND(G3052 &lt;&gt; "plain", G3052 &lt;&gt; "")</f>
        <v>0</v>
      </c>
      <c r="M3052" s="3" t="str">
        <f>IF(E3052, C3052 &amp; "|" &amp; H3052, "")</f>
        <v>principal-knowledge-authority|Roles</v>
      </c>
      <c r="N3052" s="2" t="s">
        <v>9938</v>
      </c>
    </row>
    <row r="3053">
      <c r="A3053" s="2" t="s">
        <v>12989</v>
      </c>
      <c r="B3053" s="3" t="str">
        <f>C3053 &amp; " -&gt; " &amp; D3053</f>
        <v>principal-knowledge-authority -&gt; Roles.UnauthorizedEnforcementAssignmentCount</v>
      </c>
      <c r="C3053" s="2" t="s">
        <v>9708</v>
      </c>
      <c r="D3053" s="2" t="s">
        <v>2508</v>
      </c>
      <c r="E3053" s="2" t="b">
        <v>1</v>
      </c>
      <c r="F3053" s="2" t="b">
        <v>0</v>
      </c>
      <c r="G3053" s="2" t="s">
        <v>9937</v>
      </c>
      <c r="H3053" s="3" t="str">
        <f>_xlfn.IFNA(INDEX(RulebookFields!C2:C999, MATCH(D3053,RulebookFields!A2:A999, 0)), "")</f>
        <v>Roles</v>
      </c>
      <c r="I3053" s="3" t="str">
        <f>_xlfn.IFNA(INDEX(RulebookFields!D2:D999, MATCH(D3053,RulebookFields!A2:A999, 0)), "")</f>
        <v>UnauthorizedEnforcementAssignmentCount</v>
      </c>
      <c r="J3053" s="3" t="b">
        <f>_xlfn.IFNA(INDEX(RulebookFields!I2:I999, MATCH(D3053,RulebookFields!A2:A999, 0)), "")</f>
        <v>1</v>
      </c>
      <c r="K3053" s="3" t="b">
        <f>AND(F3053, J3053)</f>
        <v>0</v>
      </c>
      <c r="L3053" s="3" t="b">
        <f>AND(G3053 &lt;&gt; "plain", G3053 &lt;&gt; "")</f>
        <v>0</v>
      </c>
      <c r="M3053" s="3" t="str">
        <f>IF(E3053, C3053 &amp; "|" &amp; H3053, "")</f>
        <v>principal-knowledge-authority|Roles</v>
      </c>
      <c r="N3053" s="2" t="s">
        <v>9938</v>
      </c>
    </row>
    <row r="3054">
      <c r="A3054" s="2" t="s">
        <v>12990</v>
      </c>
      <c r="B3054" s="3" t="str">
        <f>C3054 &amp; " -&gt; " &amp; D3054</f>
        <v>principal-knowledge-authority -&gt; Roles.IsUngovernedEnforcementRole</v>
      </c>
      <c r="C3054" s="2" t="s">
        <v>9708</v>
      </c>
      <c r="D3054" s="2" t="s">
        <v>2510</v>
      </c>
      <c r="E3054" s="2" t="b">
        <v>1</v>
      </c>
      <c r="F3054" s="2" t="b">
        <v>0</v>
      </c>
      <c r="G3054" s="2" t="s">
        <v>9937</v>
      </c>
      <c r="H3054" s="3" t="str">
        <f>_xlfn.IFNA(INDEX(RulebookFields!C2:C999, MATCH(D3054,RulebookFields!A2:A999, 0)), "")</f>
        <v>Roles</v>
      </c>
      <c r="I3054" s="3" t="str">
        <f>_xlfn.IFNA(INDEX(RulebookFields!D2:D999, MATCH(D3054,RulebookFields!A2:A999, 0)), "")</f>
        <v>IsUngovernedEnforcementRole</v>
      </c>
      <c r="J3054" s="3" t="b">
        <f>_xlfn.IFNA(INDEX(RulebookFields!I2:I999, MATCH(D3054,RulebookFields!A2:A999, 0)), "")</f>
        <v>1</v>
      </c>
      <c r="K3054" s="3" t="b">
        <f>AND(F3054, J3054)</f>
        <v>0</v>
      </c>
      <c r="L3054" s="3" t="b">
        <f>AND(G3054 &lt;&gt; "plain", G3054 &lt;&gt; "")</f>
        <v>0</v>
      </c>
      <c r="M3054" s="3" t="str">
        <f>IF(E3054, C3054 &amp; "|" &amp; H3054, "")</f>
        <v>principal-knowledge-authority|Roles</v>
      </c>
      <c r="N3054" s="2" t="s">
        <v>9938</v>
      </c>
    </row>
    <row r="3055">
      <c r="A3055" s="2" t="s">
        <v>12991</v>
      </c>
      <c r="B3055" s="3" t="str">
        <f>C3055 &amp; " -&gt; " &amp; D3055</f>
        <v>principal-knowledge-authority -&gt; Roles.SemanticTypeIri</v>
      </c>
      <c r="C3055" s="2" t="s">
        <v>9708</v>
      </c>
      <c r="D3055" s="2" t="s">
        <v>2512</v>
      </c>
      <c r="E3055" s="2" t="b">
        <v>1</v>
      </c>
      <c r="F3055" s="2" t="b">
        <v>0</v>
      </c>
      <c r="G3055" s="2" t="s">
        <v>9937</v>
      </c>
      <c r="H3055" s="3" t="str">
        <f>_xlfn.IFNA(INDEX(RulebookFields!C2:C999, MATCH(D3055,RulebookFields!A2:A999, 0)), "")</f>
        <v>Roles</v>
      </c>
      <c r="I3055" s="3" t="str">
        <f>_xlfn.IFNA(INDEX(RulebookFields!D2:D999, MATCH(D3055,RulebookFields!A2:A999, 0)), "")</f>
        <v>SemanticTypeIri</v>
      </c>
      <c r="J3055" s="3" t="b">
        <f>_xlfn.IFNA(INDEX(RulebookFields!I2:I999, MATCH(D3055,RulebookFields!A2:A999, 0)), "")</f>
        <v>0</v>
      </c>
      <c r="K3055" s="3" t="b">
        <f>AND(F3055, J3055)</f>
        <v>0</v>
      </c>
      <c r="L3055" s="3" t="b">
        <f>AND(G3055 &lt;&gt; "plain", G3055 &lt;&gt; "")</f>
        <v>0</v>
      </c>
      <c r="M3055" s="3" t="str">
        <f>IF(E3055, C3055 &amp; "|" &amp; H3055, "")</f>
        <v>principal-knowledge-authority|Roles</v>
      </c>
      <c r="N3055" s="2" t="s">
        <v>9938</v>
      </c>
    </row>
    <row r="3056">
      <c r="A3056" s="2" t="s">
        <v>12992</v>
      </c>
      <c r="B3056" s="3" t="str">
        <f>C3056 &amp; " -&gt; " &amp; D3056</f>
        <v>principal-knowledge-authority -&gt; RulebookFields.RulebookFieldId</v>
      </c>
      <c r="C3056" s="2" t="s">
        <v>9708</v>
      </c>
      <c r="D3056" s="2" t="s">
        <v>4105</v>
      </c>
      <c r="E3056" s="2" t="b">
        <v>1</v>
      </c>
      <c r="F3056" s="2" t="b">
        <v>0</v>
      </c>
      <c r="G3056" s="2" t="s">
        <v>9937</v>
      </c>
      <c r="H3056" s="3" t="str">
        <f>_xlfn.IFNA(INDEX(RulebookFields!C2:C999, MATCH(D3056,RulebookFields!A2:A999, 0)), "")</f>
      </c>
      <c r="I3056" s="3" t="str">
        <f>_xlfn.IFNA(INDEX(RulebookFields!D2:D999, MATCH(D3056,RulebookFields!A2:A999, 0)), "")</f>
      </c>
      <c r="J3056" s="3" t="str">
        <f>_xlfn.IFNA(INDEX(RulebookFields!I2:I999, MATCH(D3056,RulebookFields!A2:A999, 0)), "")</f>
      </c>
      <c r="K3056" s="3" t="b">
        <f>AND(F3056, J3056)</f>
        <v>0</v>
      </c>
      <c r="L3056" s="3" t="b">
        <f>AND(G3056 &lt;&gt; "plain", G3056 &lt;&gt; "")</f>
        <v>0</v>
      </c>
      <c r="M3056" s="3" t="str">
        <f>IF(E3056, C3056 &amp; "|" &amp; H3056, "")</f>
        <v>principal-knowledge-authority|</v>
      </c>
      <c r="N3056" s="2" t="s">
        <v>9938</v>
      </c>
    </row>
    <row r="3057">
      <c r="A3057" s="2" t="s">
        <v>12993</v>
      </c>
      <c r="B3057" s="3" t="str">
        <f>C3057 &amp; " -&gt; " &amp; D3057</f>
        <v>principal-knowledge-authority -&gt; RulebookFields.Name</v>
      </c>
      <c r="C3057" s="2" t="s">
        <v>9708</v>
      </c>
      <c r="D3057" s="2" t="s">
        <v>4107</v>
      </c>
      <c r="E3057" s="2" t="b">
        <v>1</v>
      </c>
      <c r="F3057" s="2" t="b">
        <v>0</v>
      </c>
      <c r="G3057" s="2" t="s">
        <v>9937</v>
      </c>
      <c r="H3057" s="3" t="str">
        <f>_xlfn.IFNA(INDEX(RulebookFields!C2:C999, MATCH(D3057,RulebookFields!A2:A999, 0)), "")</f>
      </c>
      <c r="I3057" s="3" t="str">
        <f>_xlfn.IFNA(INDEX(RulebookFields!D2:D999, MATCH(D3057,RulebookFields!A2:A999, 0)), "")</f>
      </c>
      <c r="J3057" s="3" t="str">
        <f>_xlfn.IFNA(INDEX(RulebookFields!I2:I999, MATCH(D3057,RulebookFields!A2:A999, 0)), "")</f>
      </c>
      <c r="K3057" s="3" t="b">
        <f>AND(F3057, J3057)</f>
        <v>0</v>
      </c>
      <c r="L3057" s="3" t="b">
        <f>AND(G3057 &lt;&gt; "plain", G3057 &lt;&gt; "")</f>
        <v>0</v>
      </c>
      <c r="M3057" s="3" t="str">
        <f>IF(E3057, C3057 &amp; "|" &amp; H3057, "")</f>
        <v>principal-knowledge-authority|</v>
      </c>
      <c r="N3057" s="2" t="s">
        <v>9938</v>
      </c>
    </row>
    <row r="3058">
      <c r="A3058" s="2" t="s">
        <v>12994</v>
      </c>
      <c r="B3058" s="3" t="str">
        <f>C3058 &amp; " -&gt; " &amp; D3058</f>
        <v>principal-knowledge-authority -&gt; RulebookFields.TargetTable</v>
      </c>
      <c r="C3058" s="2" t="s">
        <v>9708</v>
      </c>
      <c r="D3058" s="2" t="s">
        <v>4109</v>
      </c>
      <c r="E3058" s="2" t="b">
        <v>1</v>
      </c>
      <c r="F3058" s="2" t="b">
        <v>0</v>
      </c>
      <c r="G3058" s="2" t="s">
        <v>9937</v>
      </c>
      <c r="H3058" s="3" t="str">
        <f>_xlfn.IFNA(INDEX(RulebookFields!C2:C999, MATCH(D3058,RulebookFields!A2:A999, 0)), "")</f>
      </c>
      <c r="I3058" s="3" t="str">
        <f>_xlfn.IFNA(INDEX(RulebookFields!D2:D999, MATCH(D3058,RulebookFields!A2:A999, 0)), "")</f>
      </c>
      <c r="J3058" s="3" t="str">
        <f>_xlfn.IFNA(INDEX(RulebookFields!I2:I999, MATCH(D3058,RulebookFields!A2:A999, 0)), "")</f>
      </c>
      <c r="K3058" s="3" t="b">
        <f>AND(F3058, J3058)</f>
        <v>0</v>
      </c>
      <c r="L3058" s="3" t="b">
        <f>AND(G3058 &lt;&gt; "plain", G3058 &lt;&gt; "")</f>
        <v>0</v>
      </c>
      <c r="M3058" s="3" t="str">
        <f>IF(E3058, C3058 &amp; "|" &amp; H3058, "")</f>
        <v>principal-knowledge-authority|</v>
      </c>
      <c r="N3058" s="2" t="s">
        <v>9938</v>
      </c>
    </row>
    <row r="3059">
      <c r="A3059" s="2" t="s">
        <v>12995</v>
      </c>
      <c r="B3059" s="3" t="str">
        <f>C3059 &amp; " -&gt; " &amp; D3059</f>
        <v>principal-knowledge-authority -&gt; RulebookFields.FieldName</v>
      </c>
      <c r="C3059" s="2" t="s">
        <v>9708</v>
      </c>
      <c r="D3059" s="2" t="s">
        <v>4110</v>
      </c>
      <c r="E3059" s="2" t="b">
        <v>1</v>
      </c>
      <c r="F3059" s="2" t="b">
        <v>0</v>
      </c>
      <c r="G3059" s="2" t="s">
        <v>9937</v>
      </c>
      <c r="H3059" s="3" t="str">
        <f>_xlfn.IFNA(INDEX(RulebookFields!C2:C999, MATCH(D3059,RulebookFields!A2:A999, 0)), "")</f>
      </c>
      <c r="I3059" s="3" t="str">
        <f>_xlfn.IFNA(INDEX(RulebookFields!D2:D999, MATCH(D3059,RulebookFields!A2:A999, 0)), "")</f>
      </c>
      <c r="J3059" s="3" t="str">
        <f>_xlfn.IFNA(INDEX(RulebookFields!I2:I999, MATCH(D3059,RulebookFields!A2:A999, 0)), "")</f>
      </c>
      <c r="K3059" s="3" t="b">
        <f>AND(F3059, J3059)</f>
        <v>0</v>
      </c>
      <c r="L3059" s="3" t="b">
        <f>AND(G3059 &lt;&gt; "plain", G3059 &lt;&gt; "")</f>
        <v>0</v>
      </c>
      <c r="M3059" s="3" t="str">
        <f>IF(E3059, C3059 &amp; "|" &amp; H3059, "")</f>
        <v>principal-knowledge-authority|</v>
      </c>
      <c r="N3059" s="2" t="s">
        <v>9938</v>
      </c>
    </row>
    <row r="3060">
      <c r="A3060" s="2" t="s">
        <v>12996</v>
      </c>
      <c r="B3060" s="3" t="str">
        <f>C3060 &amp; " -&gt; " &amp; D3060</f>
        <v>principal-knowledge-authority -&gt; RulebookFields.FieldType</v>
      </c>
      <c r="C3060" s="2" t="s">
        <v>9708</v>
      </c>
      <c r="D3060" s="2" t="s">
        <v>4111</v>
      </c>
      <c r="E3060" s="2" t="b">
        <v>1</v>
      </c>
      <c r="F3060" s="2" t="b">
        <v>0</v>
      </c>
      <c r="G3060" s="2" t="s">
        <v>9937</v>
      </c>
      <c r="H3060" s="3" t="str">
        <f>_xlfn.IFNA(INDEX(RulebookFields!C2:C999, MATCH(D3060,RulebookFields!A2:A999, 0)), "")</f>
      </c>
      <c r="I3060" s="3" t="str">
        <f>_xlfn.IFNA(INDEX(RulebookFields!D2:D999, MATCH(D3060,RulebookFields!A2:A999, 0)), "")</f>
      </c>
      <c r="J3060" s="3" t="str">
        <f>_xlfn.IFNA(INDEX(RulebookFields!I2:I999, MATCH(D3060,RulebookFields!A2:A999, 0)), "")</f>
      </c>
      <c r="K3060" s="3" t="b">
        <f>AND(F3060, J3060)</f>
        <v>0</v>
      </c>
      <c r="L3060" s="3" t="b">
        <f>AND(G3060 &lt;&gt; "plain", G3060 &lt;&gt; "")</f>
        <v>0</v>
      </c>
      <c r="M3060" s="3" t="str">
        <f>IF(E3060, C3060 &amp; "|" &amp; H3060, "")</f>
        <v>principal-knowledge-authority|</v>
      </c>
      <c r="N3060" s="2" t="s">
        <v>9938</v>
      </c>
    </row>
    <row r="3061">
      <c r="A3061" s="2" t="s">
        <v>12997</v>
      </c>
      <c r="B3061" s="3" t="str">
        <f>C3061 &amp; " -&gt; " &amp; D3061</f>
        <v>principal-knowledge-authority -&gt; RulebookFields.Datatype</v>
      </c>
      <c r="C3061" s="2" t="s">
        <v>9708</v>
      </c>
      <c r="D3061" s="2" t="s">
        <v>4112</v>
      </c>
      <c r="E3061" s="2" t="b">
        <v>1</v>
      </c>
      <c r="F3061" s="2" t="b">
        <v>0</v>
      </c>
      <c r="G3061" s="2" t="s">
        <v>9937</v>
      </c>
      <c r="H3061" s="3" t="str">
        <f>_xlfn.IFNA(INDEX(RulebookFields!C2:C999, MATCH(D3061,RulebookFields!A2:A999, 0)), "")</f>
      </c>
      <c r="I3061" s="3" t="str">
        <f>_xlfn.IFNA(INDEX(RulebookFields!D2:D999, MATCH(D3061,RulebookFields!A2:A999, 0)), "")</f>
      </c>
      <c r="J3061" s="3" t="str">
        <f>_xlfn.IFNA(INDEX(RulebookFields!I2:I999, MATCH(D3061,RulebookFields!A2:A999, 0)), "")</f>
      </c>
      <c r="K3061" s="3" t="b">
        <f>AND(F3061, J3061)</f>
        <v>0</v>
      </c>
      <c r="L3061" s="3" t="b">
        <f>AND(G3061 &lt;&gt; "plain", G3061 &lt;&gt; "")</f>
        <v>0</v>
      </c>
      <c r="M3061" s="3" t="str">
        <f>IF(E3061, C3061 &amp; "|" &amp; H3061, "")</f>
        <v>principal-knowledge-authority|</v>
      </c>
      <c r="N3061" s="2" t="s">
        <v>9938</v>
      </c>
    </row>
    <row r="3062">
      <c r="A3062" s="2" t="s">
        <v>12998</v>
      </c>
      <c r="B3062" s="3" t="str">
        <f>C3062 &amp; " -&gt; " &amp; D3062</f>
        <v>principal-knowledge-authority -&gt; RulebookFields.Formula</v>
      </c>
      <c r="C3062" s="2" t="s">
        <v>9708</v>
      </c>
      <c r="D3062" s="2" t="s">
        <v>4113</v>
      </c>
      <c r="E3062" s="2" t="b">
        <v>1</v>
      </c>
      <c r="F3062" s="2" t="b">
        <v>0</v>
      </c>
      <c r="G3062" s="2" t="s">
        <v>9937</v>
      </c>
      <c r="H3062" s="3" t="str">
        <f>_xlfn.IFNA(INDEX(RulebookFields!C2:C999, MATCH(D3062,RulebookFields!A2:A999, 0)), "")</f>
      </c>
      <c r="I3062" s="3" t="str">
        <f>_xlfn.IFNA(INDEX(RulebookFields!D2:D999, MATCH(D3062,RulebookFields!A2:A999, 0)), "")</f>
      </c>
      <c r="J3062" s="3" t="str">
        <f>_xlfn.IFNA(INDEX(RulebookFields!I2:I999, MATCH(D3062,RulebookFields!A2:A999, 0)), "")</f>
      </c>
      <c r="K3062" s="3" t="b">
        <f>AND(F3062, J3062)</f>
        <v>0</v>
      </c>
      <c r="L3062" s="3" t="b">
        <f>AND(G3062 &lt;&gt; "plain", G3062 &lt;&gt; "")</f>
        <v>0</v>
      </c>
      <c r="M3062" s="3" t="str">
        <f>IF(E3062, C3062 &amp; "|" &amp; H3062, "")</f>
        <v>principal-knowledge-authority|</v>
      </c>
      <c r="N3062" s="2" t="s">
        <v>9938</v>
      </c>
    </row>
    <row r="3063">
      <c r="A3063" s="2" t="s">
        <v>12999</v>
      </c>
      <c r="B3063" s="3" t="str">
        <f>C3063 &amp; " -&gt; " &amp; D3063</f>
        <v>principal-knowledge-authority -&gt; RulebookFields.InventedForQuestion</v>
      </c>
      <c r="C3063" s="2" t="s">
        <v>9708</v>
      </c>
      <c r="D3063" s="2" t="s">
        <v>4114</v>
      </c>
      <c r="E3063" s="2" t="b">
        <v>1</v>
      </c>
      <c r="F3063" s="2" t="b">
        <v>0</v>
      </c>
      <c r="G3063" s="2" t="s">
        <v>9937</v>
      </c>
      <c r="H3063" s="3" t="str">
        <f>_xlfn.IFNA(INDEX(RulebookFields!C2:C999, MATCH(D3063,RulebookFields!A2:A999, 0)), "")</f>
      </c>
      <c r="I3063" s="3" t="str">
        <f>_xlfn.IFNA(INDEX(RulebookFields!D2:D999, MATCH(D3063,RulebookFields!A2:A999, 0)), "")</f>
      </c>
      <c r="J3063" s="3" t="str">
        <f>_xlfn.IFNA(INDEX(RulebookFields!I2:I999, MATCH(D3063,RulebookFields!A2:A999, 0)), "")</f>
      </c>
      <c r="K3063" s="3" t="b">
        <f>AND(F3063, J3063)</f>
        <v>0</v>
      </c>
      <c r="L3063" s="3" t="b">
        <f>AND(G3063 &lt;&gt; "plain", G3063 &lt;&gt; "")</f>
        <v>0</v>
      </c>
      <c r="M3063" s="3" t="str">
        <f>IF(E3063, C3063 &amp; "|" &amp; H3063, "")</f>
        <v>principal-knowledge-authority|</v>
      </c>
      <c r="N3063" s="2" t="s">
        <v>9938</v>
      </c>
    </row>
    <row r="3064">
      <c r="A3064" s="2" t="s">
        <v>13000</v>
      </c>
      <c r="B3064" s="3" t="str">
        <f>C3064 &amp; " -&gt; " &amp; D3064</f>
        <v>principal-knowledge-authority -&gt; RulebookFields.IsDerived</v>
      </c>
      <c r="C3064" s="2" t="s">
        <v>9708</v>
      </c>
      <c r="D3064" s="2" t="s">
        <v>4115</v>
      </c>
      <c r="E3064" s="2" t="b">
        <v>1</v>
      </c>
      <c r="F3064" s="2" t="b">
        <v>0</v>
      </c>
      <c r="G3064" s="2" t="s">
        <v>9937</v>
      </c>
      <c r="H3064" s="3" t="str">
        <f>_xlfn.IFNA(INDEX(RulebookFields!C2:C999, MATCH(D3064,RulebookFields!A2:A999, 0)), "")</f>
      </c>
      <c r="I3064" s="3" t="str">
        <f>_xlfn.IFNA(INDEX(RulebookFields!D2:D999, MATCH(D3064,RulebookFields!A2:A999, 0)), "")</f>
      </c>
      <c r="J3064" s="3" t="str">
        <f>_xlfn.IFNA(INDEX(RulebookFields!I2:I999, MATCH(D3064,RulebookFields!A2:A999, 0)), "")</f>
      </c>
      <c r="K3064" s="3" t="b">
        <f>AND(F3064, J3064)</f>
        <v>0</v>
      </c>
      <c r="L3064" s="3" t="b">
        <f>AND(G3064 &lt;&gt; "plain", G3064 &lt;&gt; "")</f>
        <v>0</v>
      </c>
      <c r="M3064" s="3" t="str">
        <f>IF(E3064, C3064 &amp; "|" &amp; H3064, "")</f>
        <v>principal-knowledge-authority|</v>
      </c>
      <c r="N3064" s="2" t="s">
        <v>9938</v>
      </c>
    </row>
    <row r="3065">
      <c r="A3065" s="2" t="s">
        <v>13001</v>
      </c>
      <c r="B3065" s="3" t="str">
        <f>C3065 &amp; " -&gt; " &amp; D3065</f>
        <v>principal-knowledge-authority -&gt; RulebookFields.IsWitness</v>
      </c>
      <c r="C3065" s="2" t="s">
        <v>9708</v>
      </c>
      <c r="D3065" s="2" t="s">
        <v>4117</v>
      </c>
      <c r="E3065" s="2" t="b">
        <v>1</v>
      </c>
      <c r="F3065" s="2" t="b">
        <v>0</v>
      </c>
      <c r="G3065" s="2" t="s">
        <v>9937</v>
      </c>
      <c r="H3065" s="3" t="str">
        <f>_xlfn.IFNA(INDEX(RulebookFields!C2:C999, MATCH(D3065,RulebookFields!A2:A999, 0)), "")</f>
      </c>
      <c r="I3065" s="3" t="str">
        <f>_xlfn.IFNA(INDEX(RulebookFields!D2:D999, MATCH(D3065,RulebookFields!A2:A999, 0)), "")</f>
      </c>
      <c r="J3065" s="3" t="str">
        <f>_xlfn.IFNA(INDEX(RulebookFields!I2:I999, MATCH(D3065,RulebookFields!A2:A999, 0)), "")</f>
      </c>
      <c r="K3065" s="3" t="b">
        <f>AND(F3065, J3065)</f>
        <v>0</v>
      </c>
      <c r="L3065" s="3" t="b">
        <f>AND(G3065 &lt;&gt; "plain", G3065 &lt;&gt; "")</f>
        <v>0</v>
      </c>
      <c r="M3065" s="3" t="str">
        <f>IF(E3065, C3065 &amp; "|" &amp; H3065, "")</f>
        <v>principal-knowledge-authority|</v>
      </c>
      <c r="N3065" s="2" t="s">
        <v>9938</v>
      </c>
    </row>
    <row r="3066">
      <c r="A3066" s="2" t="s">
        <v>13002</v>
      </c>
      <c r="B3066" s="3" t="str">
        <f>C3066 &amp; " -&gt; " &amp; D3066</f>
        <v>principal-knowledge-authority -&gt; RulebookFields.SemanticTypeIri</v>
      </c>
      <c r="C3066" s="2" t="s">
        <v>9708</v>
      </c>
      <c r="D3066" s="2" t="s">
        <v>4123</v>
      </c>
      <c r="E3066" s="2" t="b">
        <v>1</v>
      </c>
      <c r="F3066" s="2" t="b">
        <v>0</v>
      </c>
      <c r="G3066" s="2" t="s">
        <v>9937</v>
      </c>
      <c r="H3066" s="3" t="str">
        <f>_xlfn.IFNA(INDEX(RulebookFields!C2:C999, MATCH(D3066,RulebookFields!A2:A999, 0)), "")</f>
      </c>
      <c r="I3066" s="3" t="str">
        <f>_xlfn.IFNA(INDEX(RulebookFields!D2:D999, MATCH(D3066,RulebookFields!A2:A999, 0)), "")</f>
      </c>
      <c r="J3066" s="3" t="str">
        <f>_xlfn.IFNA(INDEX(RulebookFields!I2:I999, MATCH(D3066,RulebookFields!A2:A999, 0)), "")</f>
      </c>
      <c r="K3066" s="3" t="b">
        <f>AND(F3066, J3066)</f>
        <v>0</v>
      </c>
      <c r="L3066" s="3" t="b">
        <f>AND(G3066 &lt;&gt; "plain", G3066 &lt;&gt; "")</f>
        <v>0</v>
      </c>
      <c r="M3066" s="3" t="str">
        <f>IF(E3066, C3066 &amp; "|" &amp; H3066, "")</f>
        <v>principal-knowledge-authority|</v>
      </c>
      <c r="N3066" s="2" t="s">
        <v>9938</v>
      </c>
    </row>
    <row r="3067">
      <c r="A3067" s="2" t="s">
        <v>13003</v>
      </c>
      <c r="B3067" s="3" t="str">
        <f>C3067 &amp; " -&gt; " &amp; D3067</f>
        <v>principal-knowledge-authority -&gt; RulebookReleases.RulebookReleaseId</v>
      </c>
      <c r="C3067" s="2" t="s">
        <v>9708</v>
      </c>
      <c r="D3067" s="2" t="s">
        <v>2383</v>
      </c>
      <c r="E3067" s="2" t="b">
        <v>1</v>
      </c>
      <c r="F3067" s="2" t="b">
        <v>0</v>
      </c>
      <c r="G3067" s="2" t="s">
        <v>9937</v>
      </c>
      <c r="H3067" s="3" t="str">
        <f>_xlfn.IFNA(INDEX(RulebookFields!C2:C999, MATCH(D3067,RulebookFields!A2:A999, 0)), "")</f>
        <v>RulebookReleases</v>
      </c>
      <c r="I3067" s="3" t="str">
        <f>_xlfn.IFNA(INDEX(RulebookFields!D2:D999, MATCH(D3067,RulebookFields!A2:A999, 0)), "")</f>
        <v>RulebookReleaseId</v>
      </c>
      <c r="J3067" s="3" t="b">
        <f>_xlfn.IFNA(INDEX(RulebookFields!I2:I999, MATCH(D3067,RulebookFields!A2:A999, 0)), "")</f>
        <v>0</v>
      </c>
      <c r="K3067" s="3" t="b">
        <f>AND(F3067, J3067)</f>
        <v>0</v>
      </c>
      <c r="L3067" s="3" t="b">
        <f>AND(G3067 &lt;&gt; "plain", G3067 &lt;&gt; "")</f>
        <v>0</v>
      </c>
      <c r="M3067" s="3" t="str">
        <f>IF(E3067, C3067 &amp; "|" &amp; H3067, "")</f>
        <v>principal-knowledge-authority|RulebookReleases</v>
      </c>
      <c r="N3067" s="2" t="s">
        <v>9938</v>
      </c>
    </row>
    <row r="3068">
      <c r="A3068" s="2" t="s">
        <v>13004</v>
      </c>
      <c r="B3068" s="3" t="str">
        <f>C3068 &amp; " -&gt; " &amp; D3068</f>
        <v>principal-knowledge-authority -&gt; RulebookReleases.Name</v>
      </c>
      <c r="C3068" s="2" t="s">
        <v>9708</v>
      </c>
      <c r="D3068" s="2" t="s">
        <v>2388</v>
      </c>
      <c r="E3068" s="2" t="b">
        <v>1</v>
      </c>
      <c r="F3068" s="2" t="b">
        <v>0</v>
      </c>
      <c r="G3068" s="2" t="s">
        <v>9937</v>
      </c>
      <c r="H3068" s="3" t="str">
        <f>_xlfn.IFNA(INDEX(RulebookFields!C2:C999, MATCH(D3068,RulebookFields!A2:A999, 0)), "")</f>
        <v>RulebookReleases</v>
      </c>
      <c r="I3068" s="3" t="str">
        <f>_xlfn.IFNA(INDEX(RulebookFields!D2:D999, MATCH(D3068,RulebookFields!A2:A999, 0)), "")</f>
        <v>Name</v>
      </c>
      <c r="J3068" s="3" t="b">
        <f>_xlfn.IFNA(INDEX(RulebookFields!I2:I999, MATCH(D3068,RulebookFields!A2:A999, 0)), "")</f>
        <v>1</v>
      </c>
      <c r="K3068" s="3" t="b">
        <f>AND(F3068, J3068)</f>
        <v>0</v>
      </c>
      <c r="L3068" s="3" t="b">
        <f>AND(G3068 &lt;&gt; "plain", G3068 &lt;&gt; "")</f>
        <v>0</v>
      </c>
      <c r="M3068" s="3" t="str">
        <f>IF(E3068, C3068 &amp; "|" &amp; H3068, "")</f>
        <v>principal-knowledge-authority|RulebookReleases</v>
      </c>
      <c r="N3068" s="2" t="s">
        <v>9938</v>
      </c>
    </row>
    <row r="3069">
      <c r="A3069" s="2" t="s">
        <v>13005</v>
      </c>
      <c r="B3069" s="3" t="str">
        <f>C3069 &amp; " -&gt; " &amp; D3069</f>
        <v>principal-knowledge-authority -&gt; RulebookReleases.RulebookVersion</v>
      </c>
      <c r="C3069" s="2" t="s">
        <v>9708</v>
      </c>
      <c r="D3069" s="2" t="s">
        <v>2391</v>
      </c>
      <c r="E3069" s="2" t="b">
        <v>1</v>
      </c>
      <c r="F3069" s="2" t="b">
        <v>0</v>
      </c>
      <c r="G3069" s="2" t="s">
        <v>9937</v>
      </c>
      <c r="H3069" s="3" t="str">
        <f>_xlfn.IFNA(INDEX(RulebookFields!C2:C999, MATCH(D3069,RulebookFields!A2:A999, 0)), "")</f>
        <v>RulebookReleases</v>
      </c>
      <c r="I3069" s="3" t="str">
        <f>_xlfn.IFNA(INDEX(RulebookFields!D2:D999, MATCH(D3069,RulebookFields!A2:A999, 0)), "")</f>
        <v>RulebookVersion</v>
      </c>
      <c r="J3069" s="3" t="b">
        <f>_xlfn.IFNA(INDEX(RulebookFields!I2:I999, MATCH(D3069,RulebookFields!A2:A999, 0)), "")</f>
        <v>0</v>
      </c>
      <c r="K3069" s="3" t="b">
        <f>AND(F3069, J3069)</f>
        <v>0</v>
      </c>
      <c r="L3069" s="3" t="b">
        <f>AND(G3069 &lt;&gt; "plain", G3069 &lt;&gt; "")</f>
        <v>0</v>
      </c>
      <c r="M3069" s="3" t="str">
        <f>IF(E3069, C3069 &amp; "|" &amp; H3069, "")</f>
        <v>principal-knowledge-authority|RulebookReleases</v>
      </c>
      <c r="N3069" s="2" t="s">
        <v>9938</v>
      </c>
    </row>
    <row r="3070">
      <c r="A3070" s="2" t="s">
        <v>13006</v>
      </c>
      <c r="B3070" s="3" t="str">
        <f>C3070 &amp; " -&gt; " &amp; D3070</f>
        <v>principal-knowledge-authority -&gt; RulebookReleases.ProfileVersion</v>
      </c>
      <c r="C3070" s="2" t="s">
        <v>9708</v>
      </c>
      <c r="D3070" s="2" t="s">
        <v>2392</v>
      </c>
      <c r="E3070" s="2" t="b">
        <v>1</v>
      </c>
      <c r="F3070" s="2" t="b">
        <v>0</v>
      </c>
      <c r="G3070" s="2" t="s">
        <v>9937</v>
      </c>
      <c r="H3070" s="3" t="str">
        <f>_xlfn.IFNA(INDEX(RulebookFields!C2:C999, MATCH(D3070,RulebookFields!A2:A999, 0)), "")</f>
        <v>RulebookReleases</v>
      </c>
      <c r="I3070" s="3" t="str">
        <f>_xlfn.IFNA(INDEX(RulebookFields!D2:D999, MATCH(D3070,RulebookFields!A2:A999, 0)), "")</f>
        <v>ProfileVersion</v>
      </c>
      <c r="J3070" s="3" t="b">
        <f>_xlfn.IFNA(INDEX(RulebookFields!I2:I999, MATCH(D3070,RulebookFields!A2:A999, 0)), "")</f>
        <v>0</v>
      </c>
      <c r="K3070" s="3" t="b">
        <f>AND(F3070, J3070)</f>
        <v>0</v>
      </c>
      <c r="L3070" s="3" t="b">
        <f>AND(G3070 &lt;&gt; "plain", G3070 &lt;&gt; "")</f>
        <v>0</v>
      </c>
      <c r="M3070" s="3" t="str">
        <f>IF(E3070, C3070 &amp; "|" &amp; H3070, "")</f>
        <v>principal-knowledge-authority|RulebookReleases</v>
      </c>
      <c r="N3070" s="2" t="s">
        <v>9938</v>
      </c>
    </row>
    <row r="3071">
      <c r="A3071" s="2" t="s">
        <v>13007</v>
      </c>
      <c r="B3071" s="3" t="str">
        <f>C3071 &amp; " -&gt; " &amp; D3071</f>
        <v>principal-knowledge-authority -&gt; RulebookReleases.ProfileSchemaPath</v>
      </c>
      <c r="C3071" s="2" t="s">
        <v>9708</v>
      </c>
      <c r="D3071" s="2" t="s">
        <v>2393</v>
      </c>
      <c r="E3071" s="2" t="b">
        <v>1</v>
      </c>
      <c r="F3071" s="2" t="b">
        <v>0</v>
      </c>
      <c r="G3071" s="2" t="s">
        <v>9937</v>
      </c>
      <c r="H3071" s="3" t="str">
        <f>_xlfn.IFNA(INDEX(RulebookFields!C2:C999, MATCH(D3071,RulebookFields!A2:A999, 0)), "")</f>
        <v>RulebookReleases</v>
      </c>
      <c r="I3071" s="3" t="str">
        <f>_xlfn.IFNA(INDEX(RulebookFields!D2:D999, MATCH(D3071,RulebookFields!A2:A999, 0)), "")</f>
        <v>ProfileSchemaPath</v>
      </c>
      <c r="J3071" s="3" t="b">
        <f>_xlfn.IFNA(INDEX(RulebookFields!I2:I999, MATCH(D3071,RulebookFields!A2:A999, 0)), "")</f>
        <v>0</v>
      </c>
      <c r="K3071" s="3" t="b">
        <f>AND(F3071, J3071)</f>
        <v>0</v>
      </c>
      <c r="L3071" s="3" t="b">
        <f>AND(G3071 &lt;&gt; "plain", G3071 &lt;&gt; "")</f>
        <v>0</v>
      </c>
      <c r="M3071" s="3" t="str">
        <f>IF(E3071, C3071 &amp; "|" &amp; H3071, "")</f>
        <v>principal-knowledge-authority|RulebookReleases</v>
      </c>
      <c r="N3071" s="2" t="s">
        <v>9938</v>
      </c>
    </row>
    <row r="3072">
      <c r="A3072" s="2" t="s">
        <v>13008</v>
      </c>
      <c r="B3072" s="3" t="str">
        <f>C3072 &amp; " -&gt; " &amp; D3072</f>
        <v>principal-knowledge-authority -&gt; RulebookReleases.PkoCoreVersionIri</v>
      </c>
      <c r="C3072" s="2" t="s">
        <v>9708</v>
      </c>
      <c r="D3072" s="2" t="s">
        <v>2394</v>
      </c>
      <c r="E3072" s="2" t="b">
        <v>1</v>
      </c>
      <c r="F3072" s="2" t="b">
        <v>0</v>
      </c>
      <c r="G3072" s="2" t="s">
        <v>9937</v>
      </c>
      <c r="H3072" s="3" t="str">
        <f>_xlfn.IFNA(INDEX(RulebookFields!C2:C999, MATCH(D3072,RulebookFields!A2:A999, 0)), "")</f>
        <v>RulebookReleases</v>
      </c>
      <c r="I3072" s="3" t="str">
        <f>_xlfn.IFNA(INDEX(RulebookFields!D2:D999, MATCH(D3072,RulebookFields!A2:A999, 0)), "")</f>
        <v>PkoCoreVersionIri</v>
      </c>
      <c r="J3072" s="3" t="b">
        <f>_xlfn.IFNA(INDEX(RulebookFields!I2:I999, MATCH(D3072,RulebookFields!A2:A999, 0)), "")</f>
        <v>0</v>
      </c>
      <c r="K3072" s="3" t="b">
        <f>AND(F3072, J3072)</f>
        <v>0</v>
      </c>
      <c r="L3072" s="3" t="b">
        <f>AND(G3072 &lt;&gt; "plain", G3072 &lt;&gt; "")</f>
        <v>0</v>
      </c>
      <c r="M3072" s="3" t="str">
        <f>IF(E3072, C3072 &amp; "|" &amp; H3072, "")</f>
        <v>principal-knowledge-authority|RulebookReleases</v>
      </c>
      <c r="N3072" s="2" t="s">
        <v>9938</v>
      </c>
    </row>
    <row r="3073">
      <c r="A3073" s="2" t="s">
        <v>13009</v>
      </c>
      <c r="B3073" s="3" t="str">
        <f>C3073 &amp; " -&gt; " &amp; D3073</f>
        <v>principal-knowledge-authority -&gt; RulebookReleases.PkoIndustryVersionIri</v>
      </c>
      <c r="C3073" s="2" t="s">
        <v>9708</v>
      </c>
      <c r="D3073" s="2" t="s">
        <v>2395</v>
      </c>
      <c r="E3073" s="2" t="b">
        <v>1</v>
      </c>
      <c r="F3073" s="2" t="b">
        <v>0</v>
      </c>
      <c r="G3073" s="2" t="s">
        <v>9937</v>
      </c>
      <c r="H3073" s="3" t="str">
        <f>_xlfn.IFNA(INDEX(RulebookFields!C2:C999, MATCH(D3073,RulebookFields!A2:A999, 0)), "")</f>
        <v>RulebookReleases</v>
      </c>
      <c r="I3073" s="3" t="str">
        <f>_xlfn.IFNA(INDEX(RulebookFields!D2:D999, MATCH(D3073,RulebookFields!A2:A999, 0)), "")</f>
        <v>PkoIndustryVersionIri</v>
      </c>
      <c r="J3073" s="3" t="b">
        <f>_xlfn.IFNA(INDEX(RulebookFields!I2:I999, MATCH(D3073,RulebookFields!A2:A999, 0)), "")</f>
        <v>0</v>
      </c>
      <c r="K3073" s="3" t="b">
        <f>AND(F3073, J3073)</f>
        <v>0</v>
      </c>
      <c r="L3073" s="3" t="b">
        <f>AND(G3073 &lt;&gt; "plain", G3073 &lt;&gt; "")</f>
        <v>0</v>
      </c>
      <c r="M3073" s="3" t="str">
        <f>IF(E3073, C3073 &amp; "|" &amp; H3073, "")</f>
        <v>principal-knowledge-authority|RulebookReleases</v>
      </c>
      <c r="N3073" s="2" t="s">
        <v>9938</v>
      </c>
    </row>
    <row r="3074">
      <c r="A3074" s="2" t="s">
        <v>13010</v>
      </c>
      <c r="B3074" s="3" t="str">
        <f>C3074 &amp; " -&gt; " &amp; D3074</f>
        <v>principal-knowledge-authority -&gt; RulebookReleases.IssuedAt</v>
      </c>
      <c r="C3074" s="2" t="s">
        <v>9708</v>
      </c>
      <c r="D3074" s="2" t="s">
        <v>2396</v>
      </c>
      <c r="E3074" s="2" t="b">
        <v>1</v>
      </c>
      <c r="F3074" s="2" t="b">
        <v>0</v>
      </c>
      <c r="G3074" s="2" t="s">
        <v>9937</v>
      </c>
      <c r="H3074" s="3" t="str">
        <f>_xlfn.IFNA(INDEX(RulebookFields!C2:C999, MATCH(D3074,RulebookFields!A2:A999, 0)), "")</f>
        <v>RulebookReleases</v>
      </c>
      <c r="I3074" s="3" t="str">
        <f>_xlfn.IFNA(INDEX(RulebookFields!D2:D999, MATCH(D3074,RulebookFields!A2:A999, 0)), "")</f>
        <v>IssuedAt</v>
      </c>
      <c r="J3074" s="3" t="b">
        <f>_xlfn.IFNA(INDEX(RulebookFields!I2:I999, MATCH(D3074,RulebookFields!A2:A999, 0)), "")</f>
        <v>0</v>
      </c>
      <c r="K3074" s="3" t="b">
        <f>AND(F3074, J3074)</f>
        <v>0</v>
      </c>
      <c r="L3074" s="3" t="b">
        <f>AND(G3074 &lt;&gt; "plain", G3074 &lt;&gt; "")</f>
        <v>0</v>
      </c>
      <c r="M3074" s="3" t="str">
        <f>IF(E3074, C3074 &amp; "|" &amp; H3074, "")</f>
        <v>principal-knowledge-authority|RulebookReleases</v>
      </c>
      <c r="N3074" s="2" t="s">
        <v>9938</v>
      </c>
    </row>
    <row r="3075">
      <c r="A3075" s="2" t="s">
        <v>13011</v>
      </c>
      <c r="B3075" s="3" t="str">
        <f>C3075 &amp; " -&gt; " &amp; D3075</f>
        <v>principal-knowledge-authority -&gt; RulebookReleases.Status</v>
      </c>
      <c r="C3075" s="2" t="s">
        <v>9708</v>
      </c>
      <c r="D3075" s="2" t="s">
        <v>2398</v>
      </c>
      <c r="E3075" s="2" t="b">
        <v>1</v>
      </c>
      <c r="F3075" s="2" t="b">
        <v>0</v>
      </c>
      <c r="G3075" s="2" t="s">
        <v>9937</v>
      </c>
      <c r="H3075" s="3" t="str">
        <f>_xlfn.IFNA(INDEX(RulebookFields!C2:C999, MATCH(D3075,RulebookFields!A2:A999, 0)), "")</f>
        <v>RulebookReleases</v>
      </c>
      <c r="I3075" s="3" t="str">
        <f>_xlfn.IFNA(INDEX(RulebookFields!D2:D999, MATCH(D3075,RulebookFields!A2:A999, 0)), "")</f>
        <v>Status</v>
      </c>
      <c r="J3075" s="3" t="b">
        <f>_xlfn.IFNA(INDEX(RulebookFields!I2:I999, MATCH(D3075,RulebookFields!A2:A999, 0)), "")</f>
        <v>0</v>
      </c>
      <c r="K3075" s="3" t="b">
        <f>AND(F3075, J3075)</f>
        <v>0</v>
      </c>
      <c r="L3075" s="3" t="b">
        <f>AND(G3075 &lt;&gt; "plain", G3075 &lt;&gt; "")</f>
        <v>0</v>
      </c>
      <c r="M3075" s="3" t="str">
        <f>IF(E3075, C3075 &amp; "|" &amp; H3075, "")</f>
        <v>principal-knowledge-authority|RulebookReleases</v>
      </c>
      <c r="N3075" s="2" t="s">
        <v>9938</v>
      </c>
    </row>
    <row r="3076">
      <c r="A3076" s="2" t="s">
        <v>13012</v>
      </c>
      <c r="B3076" s="3" t="str">
        <f>C3076 &amp; " -&gt; " &amp; D3076</f>
        <v>principal-knowledge-authority -&gt; RulebookReleases.Changelog</v>
      </c>
      <c r="C3076" s="2" t="s">
        <v>9708</v>
      </c>
      <c r="D3076" s="2" t="s">
        <v>2399</v>
      </c>
      <c r="E3076" s="2" t="b">
        <v>1</v>
      </c>
      <c r="F3076" s="2" t="b">
        <v>0</v>
      </c>
      <c r="G3076" s="2" t="s">
        <v>9937</v>
      </c>
      <c r="H3076" s="3" t="str">
        <f>_xlfn.IFNA(INDEX(RulebookFields!C2:C999, MATCH(D3076,RulebookFields!A2:A999, 0)), "")</f>
        <v>RulebookReleases</v>
      </c>
      <c r="I3076" s="3" t="str">
        <f>_xlfn.IFNA(INDEX(RulebookFields!D2:D999, MATCH(D3076,RulebookFields!A2:A999, 0)), "")</f>
        <v>Changelog</v>
      </c>
      <c r="J3076" s="3" t="b">
        <f>_xlfn.IFNA(INDEX(RulebookFields!I2:I999, MATCH(D3076,RulebookFields!A2:A999, 0)), "")</f>
        <v>0</v>
      </c>
      <c r="K3076" s="3" t="b">
        <f>AND(F3076, J3076)</f>
        <v>0</v>
      </c>
      <c r="L3076" s="3" t="b">
        <f>AND(G3076 &lt;&gt; "plain", G3076 &lt;&gt; "")</f>
        <v>0</v>
      </c>
      <c r="M3076" s="3" t="str">
        <f>IF(E3076, C3076 &amp; "|" &amp; H3076, "")</f>
        <v>principal-knowledge-authority|RulebookReleases</v>
      </c>
      <c r="N3076" s="2" t="s">
        <v>9938</v>
      </c>
    </row>
    <row r="3077">
      <c r="A3077" s="2" t="s">
        <v>13013</v>
      </c>
      <c r="B3077" s="3" t="str">
        <f>C3077 &amp; " -&gt; " &amp; D3077</f>
        <v>principal-knowledge-authority -&gt; RulebookReleases.IsCurrent</v>
      </c>
      <c r="C3077" s="2" t="s">
        <v>9708</v>
      </c>
      <c r="D3077" s="2" t="s">
        <v>2400</v>
      </c>
      <c r="E3077" s="2" t="b">
        <v>1</v>
      </c>
      <c r="F3077" s="2" t="b">
        <v>0</v>
      </c>
      <c r="G3077" s="2" t="s">
        <v>9937</v>
      </c>
      <c r="H3077" s="3" t="str">
        <f>_xlfn.IFNA(INDEX(RulebookFields!C2:C999, MATCH(D3077,RulebookFields!A2:A999, 0)), "")</f>
        <v>RulebookReleases</v>
      </c>
      <c r="I3077" s="3" t="str">
        <f>_xlfn.IFNA(INDEX(RulebookFields!D2:D999, MATCH(D3077,RulebookFields!A2:A999, 0)), "")</f>
        <v>IsCurrent</v>
      </c>
      <c r="J3077" s="3" t="b">
        <f>_xlfn.IFNA(INDEX(RulebookFields!I2:I999, MATCH(D3077,RulebookFields!A2:A999, 0)), "")</f>
        <v>0</v>
      </c>
      <c r="K3077" s="3" t="b">
        <f>AND(F3077, J3077)</f>
        <v>0</v>
      </c>
      <c r="L3077" s="3" t="b">
        <f>AND(G3077 &lt;&gt; "plain", G3077 &lt;&gt; "")</f>
        <v>0</v>
      </c>
      <c r="M3077" s="3" t="str">
        <f>IF(E3077, C3077 &amp; "|" &amp; H3077, "")</f>
        <v>principal-knowledge-authority|RulebookReleases</v>
      </c>
      <c r="N3077" s="2" t="s">
        <v>9938</v>
      </c>
    </row>
    <row r="3078">
      <c r="A3078" s="2" t="s">
        <v>13014</v>
      </c>
      <c r="B3078" s="3" t="str">
        <f>C3078 &amp; " -&gt; " &amp; D3078</f>
        <v>principal-knowledge-authority -&gt; SemanticMappings.SemanticMappingId</v>
      </c>
      <c r="C3078" s="2" t="s">
        <v>9708</v>
      </c>
      <c r="D3078" s="2" t="s">
        <v>4063</v>
      </c>
      <c r="E3078" s="2" t="b">
        <v>1</v>
      </c>
      <c r="F3078" s="2" t="b">
        <v>0</v>
      </c>
      <c r="G3078" s="2" t="s">
        <v>9937</v>
      </c>
      <c r="H3078" s="3" t="str">
        <f>_xlfn.IFNA(INDEX(RulebookFields!C2:C999, MATCH(D3078,RulebookFields!A2:A999, 0)), "")</f>
      </c>
      <c r="I3078" s="3" t="str">
        <f>_xlfn.IFNA(INDEX(RulebookFields!D2:D999, MATCH(D3078,RulebookFields!A2:A999, 0)), "")</f>
      </c>
      <c r="J3078" s="3" t="str">
        <f>_xlfn.IFNA(INDEX(RulebookFields!I2:I999, MATCH(D3078,RulebookFields!A2:A999, 0)), "")</f>
      </c>
      <c r="K3078" s="3" t="b">
        <f>AND(F3078, J3078)</f>
        <v>0</v>
      </c>
      <c r="L3078" s="3" t="b">
        <f>AND(G3078 &lt;&gt; "plain", G3078 &lt;&gt; "")</f>
        <v>0</v>
      </c>
      <c r="M3078" s="3" t="str">
        <f>IF(E3078, C3078 &amp; "|" &amp; H3078, "")</f>
        <v>principal-knowledge-authority|</v>
      </c>
      <c r="N3078" s="2" t="s">
        <v>9938</v>
      </c>
    </row>
    <row r="3079">
      <c r="A3079" s="2" t="s">
        <v>13015</v>
      </c>
      <c r="B3079" s="3" t="str">
        <f>C3079 &amp; " -&gt; " &amp; D3079</f>
        <v>principal-knowledge-authority -&gt; SemanticMappings.Name</v>
      </c>
      <c r="C3079" s="2" t="s">
        <v>9708</v>
      </c>
      <c r="D3079" s="2" t="s">
        <v>4065</v>
      </c>
      <c r="E3079" s="2" t="b">
        <v>1</v>
      </c>
      <c r="F3079" s="2" t="b">
        <v>0</v>
      </c>
      <c r="G3079" s="2" t="s">
        <v>9937</v>
      </c>
      <c r="H3079" s="3" t="str">
        <f>_xlfn.IFNA(INDEX(RulebookFields!C2:C999, MATCH(D3079,RulebookFields!A2:A999, 0)), "")</f>
      </c>
      <c r="I3079" s="3" t="str">
        <f>_xlfn.IFNA(INDEX(RulebookFields!D2:D999, MATCH(D3079,RulebookFields!A2:A999, 0)), "")</f>
      </c>
      <c r="J3079" s="3" t="str">
        <f>_xlfn.IFNA(INDEX(RulebookFields!I2:I999, MATCH(D3079,RulebookFields!A2:A999, 0)), "")</f>
      </c>
      <c r="K3079" s="3" t="b">
        <f>AND(F3079, J3079)</f>
        <v>0</v>
      </c>
      <c r="L3079" s="3" t="b">
        <f>AND(G3079 &lt;&gt; "plain", G3079 &lt;&gt; "")</f>
        <v>0</v>
      </c>
      <c r="M3079" s="3" t="str">
        <f>IF(E3079, C3079 &amp; "|" &amp; H3079, "")</f>
        <v>principal-knowledge-authority|</v>
      </c>
      <c r="N3079" s="2" t="s">
        <v>9938</v>
      </c>
    </row>
    <row r="3080">
      <c r="A3080" s="2" t="s">
        <v>13016</v>
      </c>
      <c r="B3080" s="3" t="str">
        <f>C3080 &amp; " -&gt; " &amp; D3080</f>
        <v>principal-knowledge-authority -&gt; SemanticMappings.SourcePath</v>
      </c>
      <c r="C3080" s="2" t="s">
        <v>9708</v>
      </c>
      <c r="D3080" s="2" t="s">
        <v>4067</v>
      </c>
      <c r="E3080" s="2" t="b">
        <v>1</v>
      </c>
      <c r="F3080" s="2" t="b">
        <v>0</v>
      </c>
      <c r="G3080" s="2" t="s">
        <v>9937</v>
      </c>
      <c r="H3080" s="3" t="str">
        <f>_xlfn.IFNA(INDEX(RulebookFields!C2:C999, MATCH(D3080,RulebookFields!A2:A999, 0)), "")</f>
      </c>
      <c r="I3080" s="3" t="str">
        <f>_xlfn.IFNA(INDEX(RulebookFields!D2:D999, MATCH(D3080,RulebookFields!A2:A999, 0)), "")</f>
      </c>
      <c r="J3080" s="3" t="str">
        <f>_xlfn.IFNA(INDEX(RulebookFields!I2:I999, MATCH(D3080,RulebookFields!A2:A999, 0)), "")</f>
      </c>
      <c r="K3080" s="3" t="b">
        <f>AND(F3080, J3080)</f>
        <v>0</v>
      </c>
      <c r="L3080" s="3" t="b">
        <f>AND(G3080 &lt;&gt; "plain", G3080 &lt;&gt; "")</f>
        <v>0</v>
      </c>
      <c r="M3080" s="3" t="str">
        <f>IF(E3080, C3080 &amp; "|" &amp; H3080, "")</f>
        <v>principal-knowledge-authority|</v>
      </c>
      <c r="N3080" s="2" t="s">
        <v>9938</v>
      </c>
    </row>
    <row r="3081">
      <c r="A3081" s="2" t="s">
        <v>13017</v>
      </c>
      <c r="B3081" s="3" t="str">
        <f>C3081 &amp; " -&gt; " &amp; D3081</f>
        <v>principal-knowledge-authority -&gt; SemanticMappings.MappingKind</v>
      </c>
      <c r="C3081" s="2" t="s">
        <v>9708</v>
      </c>
      <c r="D3081" s="2" t="s">
        <v>4068</v>
      </c>
      <c r="E3081" s="2" t="b">
        <v>1</v>
      </c>
      <c r="F3081" s="2" t="b">
        <v>0</v>
      </c>
      <c r="G3081" s="2" t="s">
        <v>9937</v>
      </c>
      <c r="H3081" s="3" t="str">
        <f>_xlfn.IFNA(INDEX(RulebookFields!C2:C999, MATCH(D3081,RulebookFields!A2:A999, 0)), "")</f>
      </c>
      <c r="I3081" s="3" t="str">
        <f>_xlfn.IFNA(INDEX(RulebookFields!D2:D999, MATCH(D3081,RulebookFields!A2:A999, 0)), "")</f>
      </c>
      <c r="J3081" s="3" t="str">
        <f>_xlfn.IFNA(INDEX(RulebookFields!I2:I999, MATCH(D3081,RulebookFields!A2:A999, 0)), "")</f>
      </c>
      <c r="K3081" s="3" t="b">
        <f>AND(F3081, J3081)</f>
        <v>0</v>
      </c>
      <c r="L3081" s="3" t="b">
        <f>AND(G3081 &lt;&gt; "plain", G3081 &lt;&gt; "")</f>
        <v>0</v>
      </c>
      <c r="M3081" s="3" t="str">
        <f>IF(E3081, C3081 &amp; "|" &amp; H3081, "")</f>
        <v>principal-knowledge-authority|</v>
      </c>
      <c r="N3081" s="2" t="s">
        <v>9938</v>
      </c>
    </row>
    <row r="3082">
      <c r="A3082" s="2" t="s">
        <v>13018</v>
      </c>
      <c r="B3082" s="3" t="str">
        <f>C3082 &amp; " -&gt; " &amp; D3082</f>
        <v>principal-knowledge-authority -&gt; SemanticMappings.TargetIri</v>
      </c>
      <c r="C3082" s="2" t="s">
        <v>9708</v>
      </c>
      <c r="D3082" s="2" t="s">
        <v>4069</v>
      </c>
      <c r="E3082" s="2" t="b">
        <v>1</v>
      </c>
      <c r="F3082" s="2" t="b">
        <v>0</v>
      </c>
      <c r="G3082" s="2" t="s">
        <v>9937</v>
      </c>
      <c r="H3082" s="3" t="str">
        <f>_xlfn.IFNA(INDEX(RulebookFields!C2:C999, MATCH(D3082,RulebookFields!A2:A999, 0)), "")</f>
      </c>
      <c r="I3082" s="3" t="str">
        <f>_xlfn.IFNA(INDEX(RulebookFields!D2:D999, MATCH(D3082,RulebookFields!A2:A999, 0)), "")</f>
      </c>
      <c r="J3082" s="3" t="str">
        <f>_xlfn.IFNA(INDEX(RulebookFields!I2:I999, MATCH(D3082,RulebookFields!A2:A999, 0)), "")</f>
      </c>
      <c r="K3082" s="3" t="b">
        <f>AND(F3082, J3082)</f>
        <v>0</v>
      </c>
      <c r="L3082" s="3" t="b">
        <f>AND(G3082 &lt;&gt; "plain", G3082 &lt;&gt; "")</f>
        <v>0</v>
      </c>
      <c r="M3082" s="3" t="str">
        <f>IF(E3082, C3082 &amp; "|" &amp; H3082, "")</f>
        <v>principal-knowledge-authority|</v>
      </c>
      <c r="N3082" s="2" t="s">
        <v>9938</v>
      </c>
    </row>
    <row r="3083">
      <c r="A3083" s="2" t="s">
        <v>13019</v>
      </c>
      <c r="B3083" s="3" t="str">
        <f>C3083 &amp; " -&gt; " &amp; D3083</f>
        <v>principal-knowledge-authority -&gt; SemanticMappings.MappingRelation</v>
      </c>
      <c r="C3083" s="2" t="s">
        <v>9708</v>
      </c>
      <c r="D3083" s="2" t="s">
        <v>4070</v>
      </c>
      <c r="E3083" s="2" t="b">
        <v>1</v>
      </c>
      <c r="F3083" s="2" t="b">
        <v>0</v>
      </c>
      <c r="G3083" s="2" t="s">
        <v>9937</v>
      </c>
      <c r="H3083" s="3" t="str">
        <f>_xlfn.IFNA(INDEX(RulebookFields!C2:C999, MATCH(D3083,RulebookFields!A2:A999, 0)), "")</f>
      </c>
      <c r="I3083" s="3" t="str">
        <f>_xlfn.IFNA(INDEX(RulebookFields!D2:D999, MATCH(D3083,RulebookFields!A2:A999, 0)), "")</f>
      </c>
      <c r="J3083" s="3" t="str">
        <f>_xlfn.IFNA(INDEX(RulebookFields!I2:I999, MATCH(D3083,RulebookFields!A2:A999, 0)), "")</f>
      </c>
      <c r="K3083" s="3" t="b">
        <f>AND(F3083, J3083)</f>
        <v>0</v>
      </c>
      <c r="L3083" s="3" t="b">
        <f>AND(G3083 &lt;&gt; "plain", G3083 &lt;&gt; "")</f>
        <v>0</v>
      </c>
      <c r="M3083" s="3" t="str">
        <f>IF(E3083, C3083 &amp; "|" &amp; H3083, "")</f>
        <v>principal-knowledge-authority|</v>
      </c>
      <c r="N3083" s="2" t="s">
        <v>9938</v>
      </c>
    </row>
    <row r="3084">
      <c r="A3084" s="2" t="s">
        <v>13020</v>
      </c>
      <c r="B3084" s="3" t="str">
        <f>C3084 &amp; " -&gt; " &amp; D3084</f>
        <v>principal-knowledge-authority -&gt; SemanticMappings.OntologyProfile</v>
      </c>
      <c r="C3084" s="2" t="s">
        <v>9708</v>
      </c>
      <c r="D3084" s="2" t="s">
        <v>4071</v>
      </c>
      <c r="E3084" s="2" t="b">
        <v>1</v>
      </c>
      <c r="F3084" s="2" t="b">
        <v>0</v>
      </c>
      <c r="G3084" s="2" t="s">
        <v>9937</v>
      </c>
      <c r="H3084" s="3" t="str">
        <f>_xlfn.IFNA(INDEX(RulebookFields!C2:C999, MATCH(D3084,RulebookFields!A2:A999, 0)), "")</f>
      </c>
      <c r="I3084" s="3" t="str">
        <f>_xlfn.IFNA(INDEX(RulebookFields!D2:D999, MATCH(D3084,RulebookFields!A2:A999, 0)), "")</f>
      </c>
      <c r="J3084" s="3" t="str">
        <f>_xlfn.IFNA(INDEX(RulebookFields!I2:I999, MATCH(D3084,RulebookFields!A2:A999, 0)), "")</f>
      </c>
      <c r="K3084" s="3" t="b">
        <f>AND(F3084, J3084)</f>
        <v>0</v>
      </c>
      <c r="L3084" s="3" t="b">
        <f>AND(G3084 &lt;&gt; "plain", G3084 &lt;&gt; "")</f>
        <v>0</v>
      </c>
      <c r="M3084" s="3" t="str">
        <f>IF(E3084, C3084 &amp; "|" &amp; H3084, "")</f>
        <v>principal-knowledge-authority|</v>
      </c>
      <c r="N3084" s="2" t="s">
        <v>9938</v>
      </c>
    </row>
    <row r="3085">
      <c r="A3085" s="2" t="s">
        <v>13021</v>
      </c>
      <c r="B3085" s="3" t="str">
        <f>C3085 &amp; " -&gt; " &amp; D3085</f>
        <v>principal-knowledge-authority -&gt; SemanticMappings.Notes</v>
      </c>
      <c r="C3085" s="2" t="s">
        <v>9708</v>
      </c>
      <c r="D3085" s="2" t="s">
        <v>4072</v>
      </c>
      <c r="E3085" s="2" t="b">
        <v>1</v>
      </c>
      <c r="F3085" s="2" t="b">
        <v>0</v>
      </c>
      <c r="G3085" s="2" t="s">
        <v>9937</v>
      </c>
      <c r="H3085" s="3" t="str">
        <f>_xlfn.IFNA(INDEX(RulebookFields!C2:C999, MATCH(D3085,RulebookFields!A2:A999, 0)), "")</f>
      </c>
      <c r="I3085" s="3" t="str">
        <f>_xlfn.IFNA(INDEX(RulebookFields!D2:D999, MATCH(D3085,RulebookFields!A2:A999, 0)), "")</f>
      </c>
      <c r="J3085" s="3" t="str">
        <f>_xlfn.IFNA(INDEX(RulebookFields!I2:I999, MATCH(D3085,RulebookFields!A2:A999, 0)), "")</f>
      </c>
      <c r="K3085" s="3" t="b">
        <f>AND(F3085, J3085)</f>
        <v>0</v>
      </c>
      <c r="L3085" s="3" t="b">
        <f>AND(G3085 &lt;&gt; "plain", G3085 &lt;&gt; "")</f>
        <v>0</v>
      </c>
      <c r="M3085" s="3" t="str">
        <f>IF(E3085, C3085 &amp; "|" &amp; H3085, "")</f>
        <v>principal-knowledge-authority|</v>
      </c>
      <c r="N3085" s="2" t="s">
        <v>9938</v>
      </c>
    </row>
    <row r="3086">
      <c r="A3086" s="2" t="s">
        <v>13022</v>
      </c>
      <c r="B3086" s="3" t="str">
        <f>C3086 &amp; " -&gt; " &amp; D3086</f>
        <v>principal-knowledge-authority -&gt; SendIntents.SendIntentId</v>
      </c>
      <c r="C3086" s="2" t="s">
        <v>9708</v>
      </c>
      <c r="D3086" s="2" t="s">
        <v>4661</v>
      </c>
      <c r="E3086" s="2" t="b">
        <v>1</v>
      </c>
      <c r="F3086" s="2" t="b">
        <v>0</v>
      </c>
      <c r="G3086" s="2" t="s">
        <v>9937</v>
      </c>
      <c r="H3086" s="3" t="str">
        <f>_xlfn.IFNA(INDEX(RulebookFields!C2:C999, MATCH(D3086,RulebookFields!A2:A999, 0)), "")</f>
      </c>
      <c r="I3086" s="3" t="str">
        <f>_xlfn.IFNA(INDEX(RulebookFields!D2:D999, MATCH(D3086,RulebookFields!A2:A999, 0)), "")</f>
      </c>
      <c r="J3086" s="3" t="str">
        <f>_xlfn.IFNA(INDEX(RulebookFields!I2:I999, MATCH(D3086,RulebookFields!A2:A999, 0)), "")</f>
      </c>
      <c r="K3086" s="3" t="b">
        <f>AND(F3086, J3086)</f>
        <v>0</v>
      </c>
      <c r="L3086" s="3" t="b">
        <f>AND(G3086 &lt;&gt; "plain", G3086 &lt;&gt; "")</f>
        <v>0</v>
      </c>
      <c r="M3086" s="3" t="str">
        <f>IF(E3086, C3086 &amp; "|" &amp; H3086, "")</f>
        <v>principal-knowledge-authority|</v>
      </c>
      <c r="N3086" s="2" t="s">
        <v>9938</v>
      </c>
    </row>
    <row r="3087">
      <c r="A3087" s="2" t="s">
        <v>13023</v>
      </c>
      <c r="B3087" s="3" t="str">
        <f>C3087 &amp; " -&gt; " &amp; D3087</f>
        <v>principal-knowledge-authority -&gt; SendIntents.Name</v>
      </c>
      <c r="C3087" s="2" t="s">
        <v>9708</v>
      </c>
      <c r="D3087" s="2" t="s">
        <v>4664</v>
      </c>
      <c r="E3087" s="2" t="b">
        <v>1</v>
      </c>
      <c r="F3087" s="2" t="b">
        <v>0</v>
      </c>
      <c r="G3087" s="2" t="s">
        <v>9937</v>
      </c>
      <c r="H3087" s="3" t="str">
        <f>_xlfn.IFNA(INDEX(RulebookFields!C2:C999, MATCH(D3087,RulebookFields!A2:A999, 0)), "")</f>
      </c>
      <c r="I3087" s="3" t="str">
        <f>_xlfn.IFNA(INDEX(RulebookFields!D2:D999, MATCH(D3087,RulebookFields!A2:A999, 0)), "")</f>
      </c>
      <c r="J3087" s="3" t="str">
        <f>_xlfn.IFNA(INDEX(RulebookFields!I2:I999, MATCH(D3087,RulebookFields!A2:A999, 0)), "")</f>
      </c>
      <c r="K3087" s="3" t="b">
        <f>AND(F3087, J3087)</f>
        <v>0</v>
      </c>
      <c r="L3087" s="3" t="b">
        <f>AND(G3087 &lt;&gt; "plain", G3087 &lt;&gt; "")</f>
        <v>0</v>
      </c>
      <c r="M3087" s="3" t="str">
        <f>IF(E3087, C3087 &amp; "|" &amp; H3087, "")</f>
        <v>principal-knowledge-authority|</v>
      </c>
      <c r="N3087" s="2" t="s">
        <v>9938</v>
      </c>
    </row>
    <row r="3088">
      <c r="A3088" s="2" t="s">
        <v>13024</v>
      </c>
      <c r="B3088" s="3" t="str">
        <f>C3088 &amp; " -&gt; " &amp; D3088</f>
        <v>principal-knowledge-authority -&gt; SendIntents.ProcedureExecution</v>
      </c>
      <c r="C3088" s="2" t="s">
        <v>9708</v>
      </c>
      <c r="D3088" s="2" t="s">
        <v>4666</v>
      </c>
      <c r="E3088" s="2" t="b">
        <v>1</v>
      </c>
      <c r="F3088" s="2" t="b">
        <v>0</v>
      </c>
      <c r="G3088" s="2" t="s">
        <v>9937</v>
      </c>
      <c r="H3088" s="3" t="str">
        <f>_xlfn.IFNA(INDEX(RulebookFields!C2:C999, MATCH(D3088,RulebookFields!A2:A999, 0)), "")</f>
      </c>
      <c r="I3088" s="3" t="str">
        <f>_xlfn.IFNA(INDEX(RulebookFields!D2:D999, MATCH(D3088,RulebookFields!A2:A999, 0)), "")</f>
      </c>
      <c r="J3088" s="3" t="str">
        <f>_xlfn.IFNA(INDEX(RulebookFields!I2:I999, MATCH(D3088,RulebookFields!A2:A999, 0)), "")</f>
      </c>
      <c r="K3088" s="3" t="b">
        <f>AND(F3088, J3088)</f>
        <v>0</v>
      </c>
      <c r="L3088" s="3" t="b">
        <f>AND(G3088 &lt;&gt; "plain", G3088 &lt;&gt; "")</f>
        <v>0</v>
      </c>
      <c r="M3088" s="3" t="str">
        <f>IF(E3088, C3088 &amp; "|" &amp; H3088, "")</f>
        <v>principal-knowledge-authority|</v>
      </c>
      <c r="N3088" s="2" t="s">
        <v>9938</v>
      </c>
    </row>
    <row r="3089">
      <c r="A3089" s="2" t="s">
        <v>13025</v>
      </c>
      <c r="B3089" s="3" t="str">
        <f>C3089 &amp; " -&gt; " &amp; D3089</f>
        <v>principal-knowledge-authority -&gt; SendIntents.StepExecution</v>
      </c>
      <c r="C3089" s="2" t="s">
        <v>9708</v>
      </c>
      <c r="D3089" s="2" t="s">
        <v>4667</v>
      </c>
      <c r="E3089" s="2" t="b">
        <v>1</v>
      </c>
      <c r="F3089" s="2" t="b">
        <v>0</v>
      </c>
      <c r="G3089" s="2" t="s">
        <v>9937</v>
      </c>
      <c r="H3089" s="3" t="str">
        <f>_xlfn.IFNA(INDEX(RulebookFields!C2:C999, MATCH(D3089,RulebookFields!A2:A999, 0)), "")</f>
      </c>
      <c r="I3089" s="3" t="str">
        <f>_xlfn.IFNA(INDEX(RulebookFields!D2:D999, MATCH(D3089,RulebookFields!A2:A999, 0)), "")</f>
      </c>
      <c r="J3089" s="3" t="str">
        <f>_xlfn.IFNA(INDEX(RulebookFields!I2:I999, MATCH(D3089,RulebookFields!A2:A999, 0)), "")</f>
      </c>
      <c r="K3089" s="3" t="b">
        <f>AND(F3089, J3089)</f>
        <v>0</v>
      </c>
      <c r="L3089" s="3" t="b">
        <f>AND(G3089 &lt;&gt; "plain", G3089 &lt;&gt; "")</f>
        <v>0</v>
      </c>
      <c r="M3089" s="3" t="str">
        <f>IF(E3089, C3089 &amp; "|" &amp; H3089, "")</f>
        <v>principal-knowledge-authority|</v>
      </c>
      <c r="N3089" s="2" t="s">
        <v>9938</v>
      </c>
    </row>
    <row r="3090">
      <c r="A3090" s="2" t="s">
        <v>13026</v>
      </c>
      <c r="B3090" s="3" t="str">
        <f>C3090 &amp; " -&gt; " &amp; D3090</f>
        <v>principal-knowledge-authority -&gt; SendIntents.Recipient</v>
      </c>
      <c r="C3090" s="2" t="s">
        <v>9708</v>
      </c>
      <c r="D3090" s="2" t="s">
        <v>4668</v>
      </c>
      <c r="E3090" s="2" t="b">
        <v>1</v>
      </c>
      <c r="F3090" s="2" t="b">
        <v>0</v>
      </c>
      <c r="G3090" s="2" t="s">
        <v>9937</v>
      </c>
      <c r="H3090" s="3" t="str">
        <f>_xlfn.IFNA(INDEX(RulebookFields!C2:C999, MATCH(D3090,RulebookFields!A2:A999, 0)), "")</f>
      </c>
      <c r="I3090" s="3" t="str">
        <f>_xlfn.IFNA(INDEX(RulebookFields!D2:D999, MATCH(D3090,RulebookFields!A2:A999, 0)), "")</f>
      </c>
      <c r="J3090" s="3" t="str">
        <f>_xlfn.IFNA(INDEX(RulebookFields!I2:I999, MATCH(D3090,RulebookFields!A2:A999, 0)), "")</f>
      </c>
      <c r="K3090" s="3" t="b">
        <f>AND(F3090, J3090)</f>
        <v>0</v>
      </c>
      <c r="L3090" s="3" t="b">
        <f>AND(G3090 &lt;&gt; "plain", G3090 &lt;&gt; "")</f>
        <v>0</v>
      </c>
      <c r="M3090" s="3" t="str">
        <f>IF(E3090, C3090 &amp; "|" &amp; H3090, "")</f>
        <v>principal-knowledge-authority|</v>
      </c>
      <c r="N3090" s="2" t="s">
        <v>9938</v>
      </c>
    </row>
    <row r="3091">
      <c r="A3091" s="2" t="s">
        <v>13027</v>
      </c>
      <c r="B3091" s="3" t="str">
        <f>C3091 &amp; " -&gt; " &amp; D3091</f>
        <v>principal-knowledge-authority -&gt; SendIntents.MessageTemplate</v>
      </c>
      <c r="C3091" s="2" t="s">
        <v>9708</v>
      </c>
      <c r="D3091" s="2" t="s">
        <v>4669</v>
      </c>
      <c r="E3091" s="2" t="b">
        <v>1</v>
      </c>
      <c r="F3091" s="2" t="b">
        <v>0</v>
      </c>
      <c r="G3091" s="2" t="s">
        <v>9937</v>
      </c>
      <c r="H3091" s="3" t="str">
        <f>_xlfn.IFNA(INDEX(RulebookFields!C2:C999, MATCH(D3091,RulebookFields!A2:A999, 0)), "")</f>
      </c>
      <c r="I3091" s="3" t="str">
        <f>_xlfn.IFNA(INDEX(RulebookFields!D2:D999, MATCH(D3091,RulebookFields!A2:A999, 0)), "")</f>
      </c>
      <c r="J3091" s="3" t="str">
        <f>_xlfn.IFNA(INDEX(RulebookFields!I2:I999, MATCH(D3091,RulebookFields!A2:A999, 0)), "")</f>
      </c>
      <c r="K3091" s="3" t="b">
        <f>AND(F3091, J3091)</f>
        <v>0</v>
      </c>
      <c r="L3091" s="3" t="b">
        <f>AND(G3091 &lt;&gt; "plain", G3091 &lt;&gt; "")</f>
        <v>0</v>
      </c>
      <c r="M3091" s="3" t="str">
        <f>IF(E3091, C3091 &amp; "|" &amp; H3091, "")</f>
        <v>principal-knowledge-authority|</v>
      </c>
      <c r="N3091" s="2" t="s">
        <v>9938</v>
      </c>
    </row>
    <row r="3092">
      <c r="A3092" s="2" t="s">
        <v>13028</v>
      </c>
      <c r="B3092" s="3" t="str">
        <f>C3092 &amp; " -&gt; " &amp; D3092</f>
        <v>principal-knowledge-authority -&gt; SendIntents.ProposedBody</v>
      </c>
      <c r="C3092" s="2" t="s">
        <v>9708</v>
      </c>
      <c r="D3092" s="2" t="s">
        <v>4670</v>
      </c>
      <c r="E3092" s="2" t="b">
        <v>1</v>
      </c>
      <c r="F3092" s="2" t="b">
        <v>0</v>
      </c>
      <c r="G3092" s="2" t="s">
        <v>9937</v>
      </c>
      <c r="H3092" s="3" t="str">
        <f>_xlfn.IFNA(INDEX(RulebookFields!C2:C999, MATCH(D3092,RulebookFields!A2:A999, 0)), "")</f>
      </c>
      <c r="I3092" s="3" t="str">
        <f>_xlfn.IFNA(INDEX(RulebookFields!D2:D999, MATCH(D3092,RulebookFields!A2:A999, 0)), "")</f>
      </c>
      <c r="J3092" s="3" t="str">
        <f>_xlfn.IFNA(INDEX(RulebookFields!I2:I999, MATCH(D3092,RulebookFields!A2:A999, 0)), "")</f>
      </c>
      <c r="K3092" s="3" t="b">
        <f>AND(F3092, J3092)</f>
        <v>0</v>
      </c>
      <c r="L3092" s="3" t="b">
        <f>AND(G3092 &lt;&gt; "plain", G3092 &lt;&gt; "")</f>
        <v>0</v>
      </c>
      <c r="M3092" s="3" t="str">
        <f>IF(E3092, C3092 &amp; "|" &amp; H3092, "")</f>
        <v>principal-knowledge-authority|</v>
      </c>
      <c r="N3092" s="2" t="s">
        <v>9938</v>
      </c>
    </row>
    <row r="3093">
      <c r="A3093" s="2" t="s">
        <v>13029</v>
      </c>
      <c r="B3093" s="3" t="str">
        <f>C3093 &amp; " -&gt; " &amp; D3093</f>
        <v>principal-knowledge-authority -&gt; SendIntents.ProposedSendAtLocalHour</v>
      </c>
      <c r="C3093" s="2" t="s">
        <v>9708</v>
      </c>
      <c r="D3093" s="2" t="s">
        <v>4672</v>
      </c>
      <c r="E3093" s="2" t="b">
        <v>1</v>
      </c>
      <c r="F3093" s="2" t="b">
        <v>0</v>
      </c>
      <c r="G3093" s="2" t="s">
        <v>9937</v>
      </c>
      <c r="H3093" s="3" t="str">
        <f>_xlfn.IFNA(INDEX(RulebookFields!C2:C999, MATCH(D3093,RulebookFields!A2:A999, 0)), "")</f>
      </c>
      <c r="I3093" s="3" t="str">
        <f>_xlfn.IFNA(INDEX(RulebookFields!D2:D999, MATCH(D3093,RulebookFields!A2:A999, 0)), "")</f>
      </c>
      <c r="J3093" s="3" t="str">
        <f>_xlfn.IFNA(INDEX(RulebookFields!I2:I999, MATCH(D3093,RulebookFields!A2:A999, 0)), "")</f>
      </c>
      <c r="K3093" s="3" t="b">
        <f>AND(F3093, J3093)</f>
        <v>0</v>
      </c>
      <c r="L3093" s="3" t="b">
        <f>AND(G3093 &lt;&gt; "plain", G3093 &lt;&gt; "")</f>
        <v>0</v>
      </c>
      <c r="M3093" s="3" t="str">
        <f>IF(E3093, C3093 &amp; "|" &amp; H3093, "")</f>
        <v>principal-knowledge-authority|</v>
      </c>
      <c r="N3093" s="2" t="s">
        <v>9938</v>
      </c>
    </row>
    <row r="3094">
      <c r="A3094" s="2" t="s">
        <v>13030</v>
      </c>
      <c r="B3094" s="3" t="str">
        <f>C3094 &amp; " -&gt; " &amp; D3094</f>
        <v>principal-knowledge-authority -&gt; SendIntents.EvaluatedAt</v>
      </c>
      <c r="C3094" s="2" t="s">
        <v>9708</v>
      </c>
      <c r="D3094" s="2" t="s">
        <v>4674</v>
      </c>
      <c r="E3094" s="2" t="b">
        <v>1</v>
      </c>
      <c r="F3094" s="2" t="b">
        <v>0</v>
      </c>
      <c r="G3094" s="2" t="s">
        <v>9937</v>
      </c>
      <c r="H3094" s="3" t="str">
        <f>_xlfn.IFNA(INDEX(RulebookFields!C2:C999, MATCH(D3094,RulebookFields!A2:A999, 0)), "")</f>
      </c>
      <c r="I3094" s="3" t="str">
        <f>_xlfn.IFNA(INDEX(RulebookFields!D2:D999, MATCH(D3094,RulebookFields!A2:A999, 0)), "")</f>
      </c>
      <c r="J3094" s="3" t="str">
        <f>_xlfn.IFNA(INDEX(RulebookFields!I2:I999, MATCH(D3094,RulebookFields!A2:A999, 0)), "")</f>
      </c>
      <c r="K3094" s="3" t="b">
        <f>AND(F3094, J3094)</f>
        <v>0</v>
      </c>
      <c r="L3094" s="3" t="b">
        <f>AND(G3094 &lt;&gt; "plain", G3094 &lt;&gt; "")</f>
        <v>0</v>
      </c>
      <c r="M3094" s="3" t="str">
        <f>IF(E3094, C3094 &amp; "|" &amp; H3094, "")</f>
        <v>principal-knowledge-authority|</v>
      </c>
      <c r="N3094" s="2" t="s">
        <v>9938</v>
      </c>
    </row>
    <row r="3095">
      <c r="A3095" s="2" t="s">
        <v>13031</v>
      </c>
      <c r="B3095" s="3" t="str">
        <f>C3095 &amp; " -&gt; " &amp; D3095</f>
        <v>principal-knowledge-authority -&gt; SendIntents.ResultingDelivery</v>
      </c>
      <c r="C3095" s="2" t="s">
        <v>9708</v>
      </c>
      <c r="D3095" s="2" t="s">
        <v>4675</v>
      </c>
      <c r="E3095" s="2" t="b">
        <v>1</v>
      </c>
      <c r="F3095" s="2" t="b">
        <v>0</v>
      </c>
      <c r="G3095" s="2" t="s">
        <v>9937</v>
      </c>
      <c r="H3095" s="3" t="str">
        <f>_xlfn.IFNA(INDEX(RulebookFields!C2:C999, MATCH(D3095,RulebookFields!A2:A999, 0)), "")</f>
      </c>
      <c r="I3095" s="3" t="str">
        <f>_xlfn.IFNA(INDEX(RulebookFields!D2:D999, MATCH(D3095,RulebookFields!A2:A999, 0)), "")</f>
      </c>
      <c r="J3095" s="3" t="str">
        <f>_xlfn.IFNA(INDEX(RulebookFields!I2:I999, MATCH(D3095,RulebookFields!A2:A999, 0)), "")</f>
      </c>
      <c r="K3095" s="3" t="b">
        <f>AND(F3095, J3095)</f>
        <v>0</v>
      </c>
      <c r="L3095" s="3" t="b">
        <f>AND(G3095 &lt;&gt; "plain", G3095 &lt;&gt; "")</f>
        <v>0</v>
      </c>
      <c r="M3095" s="3" t="str">
        <f>IF(E3095, C3095 &amp; "|" &amp; H3095, "")</f>
        <v>principal-knowledge-authority|</v>
      </c>
      <c r="N3095" s="2" t="s">
        <v>9938</v>
      </c>
    </row>
    <row r="3096">
      <c r="A3096" s="2" t="s">
        <v>13032</v>
      </c>
      <c r="B3096" s="3" t="str">
        <f>C3096 &amp; " -&gt; " &amp; D3096</f>
        <v>principal-knowledge-authority -&gt; SendIntents.IntentPolicy</v>
      </c>
      <c r="C3096" s="2" t="s">
        <v>9708</v>
      </c>
      <c r="D3096" s="2" t="s">
        <v>4677</v>
      </c>
      <c r="E3096" s="2" t="b">
        <v>1</v>
      </c>
      <c r="F3096" s="2" t="b">
        <v>0</v>
      </c>
      <c r="G3096" s="2" t="s">
        <v>9937</v>
      </c>
      <c r="H3096" s="3" t="str">
        <f>_xlfn.IFNA(INDEX(RulebookFields!C2:C999, MATCH(D3096,RulebookFields!A2:A999, 0)), "")</f>
      </c>
      <c r="I3096" s="3" t="str">
        <f>_xlfn.IFNA(INDEX(RulebookFields!D2:D999, MATCH(D3096,RulebookFields!A2:A999, 0)), "")</f>
      </c>
      <c r="J3096" s="3" t="str">
        <f>_xlfn.IFNA(INDEX(RulebookFields!I2:I999, MATCH(D3096,RulebookFields!A2:A999, 0)), "")</f>
      </c>
      <c r="K3096" s="3" t="b">
        <f>AND(F3096, J3096)</f>
        <v>0</v>
      </c>
      <c r="L3096" s="3" t="b">
        <f>AND(G3096 &lt;&gt; "plain", G3096 &lt;&gt; "")</f>
        <v>0</v>
      </c>
      <c r="M3096" s="3" t="str">
        <f>IF(E3096, C3096 &amp; "|" &amp; H3096, "")</f>
        <v>principal-knowledge-authority|</v>
      </c>
      <c r="N3096" s="2" t="s">
        <v>9938</v>
      </c>
    </row>
    <row r="3097">
      <c r="A3097" s="2" t="s">
        <v>13033</v>
      </c>
      <c r="B3097" s="3" t="str">
        <f>C3097 &amp; " -&gt; " &amp; D3097</f>
        <v>principal-knowledge-authority -&gt; SendIntents.IntentChannel</v>
      </c>
      <c r="C3097" s="2" t="s">
        <v>9708</v>
      </c>
      <c r="D3097" s="2" t="s">
        <v>4679</v>
      </c>
      <c r="E3097" s="2" t="b">
        <v>1</v>
      </c>
      <c r="F3097" s="2" t="b">
        <v>0</v>
      </c>
      <c r="G3097" s="2" t="s">
        <v>9937</v>
      </c>
      <c r="H3097" s="3" t="str">
        <f>_xlfn.IFNA(INDEX(RulebookFields!C2:C999, MATCH(D3097,RulebookFields!A2:A999, 0)), "")</f>
      </c>
      <c r="I3097" s="3" t="str">
        <f>_xlfn.IFNA(INDEX(RulebookFields!D2:D999, MATCH(D3097,RulebookFields!A2:A999, 0)), "")</f>
      </c>
      <c r="J3097" s="3" t="str">
        <f>_xlfn.IFNA(INDEX(RulebookFields!I2:I999, MATCH(D3097,RulebookFields!A2:A999, 0)), "")</f>
      </c>
      <c r="K3097" s="3" t="b">
        <f>AND(F3097, J3097)</f>
        <v>0</v>
      </c>
      <c r="L3097" s="3" t="b">
        <f>AND(G3097 &lt;&gt; "plain", G3097 &lt;&gt; "")</f>
        <v>0</v>
      </c>
      <c r="M3097" s="3" t="str">
        <f>IF(E3097, C3097 &amp; "|" &amp; H3097, "")</f>
        <v>principal-knowledge-authority|</v>
      </c>
      <c r="N3097" s="2" t="s">
        <v>9938</v>
      </c>
    </row>
    <row r="3098">
      <c r="A3098" s="2" t="s">
        <v>13034</v>
      </c>
      <c r="B3098" s="3" t="str">
        <f>C3098 &amp; " -&gt; " &amp; D3098</f>
        <v>principal-knowledge-authority -&gt; SendIntents.PolicyIsActive</v>
      </c>
      <c r="C3098" s="2" t="s">
        <v>9708</v>
      </c>
      <c r="D3098" s="2" t="s">
        <v>4682</v>
      </c>
      <c r="E3098" s="2" t="b">
        <v>1</v>
      </c>
      <c r="F3098" s="2" t="b">
        <v>0</v>
      </c>
      <c r="G3098" s="2" t="s">
        <v>9937</v>
      </c>
      <c r="H3098" s="3" t="str">
        <f>_xlfn.IFNA(INDEX(RulebookFields!C2:C999, MATCH(D3098,RulebookFields!A2:A999, 0)), "")</f>
      </c>
      <c r="I3098" s="3" t="str">
        <f>_xlfn.IFNA(INDEX(RulebookFields!D2:D999, MATCH(D3098,RulebookFields!A2:A999, 0)), "")</f>
      </c>
      <c r="J3098" s="3" t="str">
        <f>_xlfn.IFNA(INDEX(RulebookFields!I2:I999, MATCH(D3098,RulebookFields!A2:A999, 0)), "")</f>
      </c>
      <c r="K3098" s="3" t="b">
        <f>AND(F3098, J3098)</f>
        <v>0</v>
      </c>
      <c r="L3098" s="3" t="b">
        <f>AND(G3098 &lt;&gt; "plain", G3098 &lt;&gt; "")</f>
        <v>0</v>
      </c>
      <c r="M3098" s="3" t="str">
        <f>IF(E3098, C3098 &amp; "|" &amp; H3098, "")</f>
        <v>principal-knowledge-authority|</v>
      </c>
      <c r="N3098" s="2" t="s">
        <v>9938</v>
      </c>
    </row>
    <row r="3099">
      <c r="A3099" s="2" t="s">
        <v>13035</v>
      </c>
      <c r="B3099" s="3" t="str">
        <f>C3099 &amp; " -&gt; " &amp; D3099</f>
        <v>principal-knowledge-authority -&gt; SendIntents.IntentRequiresConsent</v>
      </c>
      <c r="C3099" s="2" t="s">
        <v>9708</v>
      </c>
      <c r="D3099" s="2" t="s">
        <v>4685</v>
      </c>
      <c r="E3099" s="2" t="b">
        <v>1</v>
      </c>
      <c r="F3099" s="2" t="b">
        <v>0</v>
      </c>
      <c r="G3099" s="2" t="s">
        <v>9937</v>
      </c>
      <c r="H3099" s="3" t="str">
        <f>_xlfn.IFNA(INDEX(RulebookFields!C2:C999, MATCH(D3099,RulebookFields!A2:A999, 0)), "")</f>
      </c>
      <c r="I3099" s="3" t="str">
        <f>_xlfn.IFNA(INDEX(RulebookFields!D2:D999, MATCH(D3099,RulebookFields!A2:A999, 0)), "")</f>
      </c>
      <c r="J3099" s="3" t="str">
        <f>_xlfn.IFNA(INDEX(RulebookFields!I2:I999, MATCH(D3099,RulebookFields!A2:A999, 0)), "")</f>
      </c>
      <c r="K3099" s="3" t="b">
        <f>AND(F3099, J3099)</f>
        <v>0</v>
      </c>
      <c r="L3099" s="3" t="b">
        <f>AND(G3099 &lt;&gt; "plain", G3099 &lt;&gt; "")</f>
        <v>0</v>
      </c>
      <c r="M3099" s="3" t="str">
        <f>IF(E3099, C3099 &amp; "|" &amp; H3099, "")</f>
        <v>principal-knowledge-authority|</v>
      </c>
      <c r="N3099" s="2" t="s">
        <v>9938</v>
      </c>
    </row>
    <row r="3100">
      <c r="A3100" s="2" t="s">
        <v>13036</v>
      </c>
      <c r="B3100" s="3" t="str">
        <f>C3100 &amp; " -&gt; " &amp; D3100</f>
        <v>principal-knowledge-authority -&gt; SendIntents.RecipientHasChannelConsent</v>
      </c>
      <c r="C3100" s="2" t="s">
        <v>9708</v>
      </c>
      <c r="D3100" s="2" t="s">
        <v>4688</v>
      </c>
      <c r="E3100" s="2" t="b">
        <v>1</v>
      </c>
      <c r="F3100" s="2" t="b">
        <v>0</v>
      </c>
      <c r="G3100" s="2" t="s">
        <v>9937</v>
      </c>
      <c r="H3100" s="3" t="str">
        <f>_xlfn.IFNA(INDEX(RulebookFields!C2:C999, MATCH(D3100,RulebookFields!A2:A999, 0)), "")</f>
      </c>
      <c r="I3100" s="3" t="str">
        <f>_xlfn.IFNA(INDEX(RulebookFields!D2:D999, MATCH(D3100,RulebookFields!A2:A999, 0)), "")</f>
      </c>
      <c r="J3100" s="3" t="str">
        <f>_xlfn.IFNA(INDEX(RulebookFields!I2:I999, MATCH(D3100,RulebookFields!A2:A999, 0)), "")</f>
      </c>
      <c r="K3100" s="3" t="b">
        <f>AND(F3100, J3100)</f>
        <v>0</v>
      </c>
      <c r="L3100" s="3" t="b">
        <f>AND(G3100 &lt;&gt; "plain", G3100 &lt;&gt; "")</f>
        <v>0</v>
      </c>
      <c r="M3100" s="3" t="str">
        <f>IF(E3100, C3100 &amp; "|" &amp; H3100, "")</f>
        <v>principal-knowledge-authority|</v>
      </c>
      <c r="N3100" s="2" t="s">
        <v>9938</v>
      </c>
    </row>
    <row r="3101">
      <c r="A3101" s="2" t="s">
        <v>13037</v>
      </c>
      <c r="B3101" s="3" t="str">
        <f>C3101 &amp; " -&gt; " &amp; D3101</f>
        <v>principal-knowledge-authority -&gt; SendIntents.ConsentGatePassed</v>
      </c>
      <c r="C3101" s="2" t="s">
        <v>9708</v>
      </c>
      <c r="D3101" s="2" t="s">
        <v>4690</v>
      </c>
      <c r="E3101" s="2" t="b">
        <v>1</v>
      </c>
      <c r="F3101" s="2" t="b">
        <v>0</v>
      </c>
      <c r="G3101" s="2" t="s">
        <v>9937</v>
      </c>
      <c r="H3101" s="3" t="str">
        <f>_xlfn.IFNA(INDEX(RulebookFields!C2:C999, MATCH(D3101,RulebookFields!A2:A999, 0)), "")</f>
      </c>
      <c r="I3101" s="3" t="str">
        <f>_xlfn.IFNA(INDEX(RulebookFields!D2:D999, MATCH(D3101,RulebookFields!A2:A999, 0)), "")</f>
      </c>
      <c r="J3101" s="3" t="str">
        <f>_xlfn.IFNA(INDEX(RulebookFields!I2:I999, MATCH(D3101,RulebookFields!A2:A999, 0)), "")</f>
      </c>
      <c r="K3101" s="3" t="b">
        <f>AND(F3101, J3101)</f>
        <v>0</v>
      </c>
      <c r="L3101" s="3" t="b">
        <f>AND(G3101 &lt;&gt; "plain", G3101 &lt;&gt; "")</f>
        <v>0</v>
      </c>
      <c r="M3101" s="3" t="str">
        <f>IF(E3101, C3101 &amp; "|" &amp; H3101, "")</f>
        <v>principal-knowledge-authority|</v>
      </c>
      <c r="N3101" s="2" t="s">
        <v>9938</v>
      </c>
    </row>
    <row r="3102">
      <c r="A3102" s="2" t="s">
        <v>13038</v>
      </c>
      <c r="B3102" s="3" t="str">
        <f>C3102 &amp; " -&gt; " &amp; D3102</f>
        <v>principal-knowledge-authority -&gt; SendIntents.RecipientIsSmsReachable</v>
      </c>
      <c r="C3102" s="2" t="s">
        <v>9708</v>
      </c>
      <c r="D3102" s="2" t="s">
        <v>4693</v>
      </c>
      <c r="E3102" s="2" t="b">
        <v>1</v>
      </c>
      <c r="F3102" s="2" t="b">
        <v>0</v>
      </c>
      <c r="G3102" s="2" t="s">
        <v>9937</v>
      </c>
      <c r="H3102" s="3" t="str">
        <f>_xlfn.IFNA(INDEX(RulebookFields!C2:C999, MATCH(D3102,RulebookFields!A2:A999, 0)), "")</f>
      </c>
      <c r="I3102" s="3" t="str">
        <f>_xlfn.IFNA(INDEX(RulebookFields!D2:D999, MATCH(D3102,RulebookFields!A2:A999, 0)), "")</f>
      </c>
      <c r="J3102" s="3" t="str">
        <f>_xlfn.IFNA(INDEX(RulebookFields!I2:I999, MATCH(D3102,RulebookFields!A2:A999, 0)), "")</f>
      </c>
      <c r="K3102" s="3" t="b">
        <f>AND(F3102, J3102)</f>
        <v>0</v>
      </c>
      <c r="L3102" s="3" t="b">
        <f>AND(G3102 &lt;&gt; "plain", G3102 &lt;&gt; "")</f>
        <v>0</v>
      </c>
      <c r="M3102" s="3" t="str">
        <f>IF(E3102, C3102 &amp; "|" &amp; H3102, "")</f>
        <v>principal-knowledge-authority|</v>
      </c>
      <c r="N3102" s="2" t="s">
        <v>9938</v>
      </c>
    </row>
    <row r="3103">
      <c r="A3103" s="2" t="s">
        <v>13039</v>
      </c>
      <c r="B3103" s="3" t="str">
        <f>C3103 &amp; " -&gt; " &amp; D3103</f>
        <v>principal-knowledge-authority -&gt; SendIntents.RecipientIsEmailReachable</v>
      </c>
      <c r="C3103" s="2" t="s">
        <v>9708</v>
      </c>
      <c r="D3103" s="2" t="s">
        <v>4696</v>
      </c>
      <c r="E3103" s="2" t="b">
        <v>1</v>
      </c>
      <c r="F3103" s="2" t="b">
        <v>0</v>
      </c>
      <c r="G3103" s="2" t="s">
        <v>9937</v>
      </c>
      <c r="H3103" s="3" t="str">
        <f>_xlfn.IFNA(INDEX(RulebookFields!C2:C999, MATCH(D3103,RulebookFields!A2:A999, 0)), "")</f>
      </c>
      <c r="I3103" s="3" t="str">
        <f>_xlfn.IFNA(INDEX(RulebookFields!D2:D999, MATCH(D3103,RulebookFields!A2:A999, 0)), "")</f>
      </c>
      <c r="J3103" s="3" t="str">
        <f>_xlfn.IFNA(INDEX(RulebookFields!I2:I999, MATCH(D3103,RulebookFields!A2:A999, 0)), "")</f>
      </c>
      <c r="K3103" s="3" t="b">
        <f>AND(F3103, J3103)</f>
        <v>0</v>
      </c>
      <c r="L3103" s="3" t="b">
        <f>AND(G3103 &lt;&gt; "plain", G3103 &lt;&gt; "")</f>
        <v>0</v>
      </c>
      <c r="M3103" s="3" t="str">
        <f>IF(E3103, C3103 &amp; "|" &amp; H3103, "")</f>
        <v>principal-knowledge-authority|</v>
      </c>
      <c r="N3103" s="2" t="s">
        <v>9938</v>
      </c>
    </row>
    <row r="3104">
      <c r="A3104" s="2" t="s">
        <v>13040</v>
      </c>
      <c r="B3104" s="3" t="str">
        <f>C3104 &amp; " -&gt; " &amp; D3104</f>
        <v>principal-knowledge-authority -&gt; SendIntents.ReachabilityGatePassed</v>
      </c>
      <c r="C3104" s="2" t="s">
        <v>9708</v>
      </c>
      <c r="D3104" s="2" t="s">
        <v>4699</v>
      </c>
      <c r="E3104" s="2" t="b">
        <v>1</v>
      </c>
      <c r="F3104" s="2" t="b">
        <v>0</v>
      </c>
      <c r="G3104" s="2" t="s">
        <v>9937</v>
      </c>
      <c r="H3104" s="3" t="str">
        <f>_xlfn.IFNA(INDEX(RulebookFields!C2:C999, MATCH(D3104,RulebookFields!A2:A999, 0)), "")</f>
      </c>
      <c r="I3104" s="3" t="str">
        <f>_xlfn.IFNA(INDEX(RulebookFields!D2:D999, MATCH(D3104,RulebookFields!A2:A999, 0)), "")</f>
      </c>
      <c r="J3104" s="3" t="str">
        <f>_xlfn.IFNA(INDEX(RulebookFields!I2:I999, MATCH(D3104,RulebookFields!A2:A999, 0)), "")</f>
      </c>
      <c r="K3104" s="3" t="b">
        <f>AND(F3104, J3104)</f>
        <v>0</v>
      </c>
      <c r="L3104" s="3" t="b">
        <f>AND(G3104 &lt;&gt; "plain", G3104 &lt;&gt; "")</f>
        <v>0</v>
      </c>
      <c r="M3104" s="3" t="str">
        <f>IF(E3104, C3104 &amp; "|" &amp; H3104, "")</f>
        <v>principal-knowledge-authority|</v>
      </c>
      <c r="N3104" s="2" t="s">
        <v>9938</v>
      </c>
    </row>
    <row r="3105">
      <c r="A3105" s="2" t="s">
        <v>13041</v>
      </c>
      <c r="B3105" s="3" t="str">
        <f>C3105 &amp; " -&gt; " &amp; D3105</f>
        <v>principal-knowledge-authority -&gt; SendIntents.PermissionGatePassed</v>
      </c>
      <c r="C3105" s="2" t="s">
        <v>9708</v>
      </c>
      <c r="D3105" s="2" t="s">
        <v>4702</v>
      </c>
      <c r="E3105" s="2" t="b">
        <v>1</v>
      </c>
      <c r="F3105" s="2" t="b">
        <v>0</v>
      </c>
      <c r="G3105" s="2" t="s">
        <v>9937</v>
      </c>
      <c r="H3105" s="3" t="str">
        <f>_xlfn.IFNA(INDEX(RulebookFields!C2:C999, MATCH(D3105,RulebookFields!A2:A999, 0)), "")</f>
      </c>
      <c r="I3105" s="3" t="str">
        <f>_xlfn.IFNA(INDEX(RulebookFields!D2:D999, MATCH(D3105,RulebookFields!A2:A999, 0)), "")</f>
      </c>
      <c r="J3105" s="3" t="str">
        <f>_xlfn.IFNA(INDEX(RulebookFields!I2:I999, MATCH(D3105,RulebookFields!A2:A999, 0)), "")</f>
      </c>
      <c r="K3105" s="3" t="b">
        <f>AND(F3105, J3105)</f>
        <v>0</v>
      </c>
      <c r="L3105" s="3" t="b">
        <f>AND(G3105 &lt;&gt; "plain", G3105 &lt;&gt; "")</f>
        <v>0</v>
      </c>
      <c r="M3105" s="3" t="str">
        <f>IF(E3105, C3105 &amp; "|" &amp; H3105, "")</f>
        <v>principal-knowledge-authority|</v>
      </c>
      <c r="N3105" s="2" t="s">
        <v>9938</v>
      </c>
    </row>
    <row r="3106">
      <c r="A3106" s="2" t="s">
        <v>13042</v>
      </c>
      <c r="B3106" s="3" t="str">
        <f>C3106 &amp; " -&gt; " &amp; D3106</f>
        <v>principal-knowledge-authority -&gt; SendIntents.IntentQuietStartHour</v>
      </c>
      <c r="C3106" s="2" t="s">
        <v>9708</v>
      </c>
      <c r="D3106" s="2" t="s">
        <v>4705</v>
      </c>
      <c r="E3106" s="2" t="b">
        <v>1</v>
      </c>
      <c r="F3106" s="2" t="b">
        <v>0</v>
      </c>
      <c r="G3106" s="2" t="s">
        <v>9937</v>
      </c>
      <c r="H3106" s="3" t="str">
        <f>_xlfn.IFNA(INDEX(RulebookFields!C2:C999, MATCH(D3106,RulebookFields!A2:A999, 0)), "")</f>
      </c>
      <c r="I3106" s="3" t="str">
        <f>_xlfn.IFNA(INDEX(RulebookFields!D2:D999, MATCH(D3106,RulebookFields!A2:A999, 0)), "")</f>
      </c>
      <c r="J3106" s="3" t="str">
        <f>_xlfn.IFNA(INDEX(RulebookFields!I2:I999, MATCH(D3106,RulebookFields!A2:A999, 0)), "")</f>
      </c>
      <c r="K3106" s="3" t="b">
        <f>AND(F3106, J3106)</f>
        <v>0</v>
      </c>
      <c r="L3106" s="3" t="b">
        <f>AND(G3106 &lt;&gt; "plain", G3106 &lt;&gt; "")</f>
        <v>0</v>
      </c>
      <c r="M3106" s="3" t="str">
        <f>IF(E3106, C3106 &amp; "|" &amp; H3106, "")</f>
        <v>principal-knowledge-authority|</v>
      </c>
      <c r="N3106" s="2" t="s">
        <v>9938</v>
      </c>
    </row>
    <row r="3107">
      <c r="A3107" s="2" t="s">
        <v>13043</v>
      </c>
      <c r="B3107" s="3" t="str">
        <f>C3107 &amp; " -&gt; " &amp; D3107</f>
        <v>principal-knowledge-authority -&gt; SendIntents.IntentQuietEndHour</v>
      </c>
      <c r="C3107" s="2" t="s">
        <v>9708</v>
      </c>
      <c r="D3107" s="2" t="s">
        <v>4708</v>
      </c>
      <c r="E3107" s="2" t="b">
        <v>1</v>
      </c>
      <c r="F3107" s="2" t="b">
        <v>0</v>
      </c>
      <c r="G3107" s="2" t="s">
        <v>9937</v>
      </c>
      <c r="H3107" s="3" t="str">
        <f>_xlfn.IFNA(INDEX(RulebookFields!C2:C999, MATCH(D3107,RulebookFields!A2:A999, 0)), "")</f>
      </c>
      <c r="I3107" s="3" t="str">
        <f>_xlfn.IFNA(INDEX(RulebookFields!D2:D999, MATCH(D3107,RulebookFields!A2:A999, 0)), "")</f>
      </c>
      <c r="J3107" s="3" t="str">
        <f>_xlfn.IFNA(INDEX(RulebookFields!I2:I999, MATCH(D3107,RulebookFields!A2:A999, 0)), "")</f>
      </c>
      <c r="K3107" s="3" t="b">
        <f>AND(F3107, J3107)</f>
        <v>0</v>
      </c>
      <c r="L3107" s="3" t="b">
        <f>AND(G3107 &lt;&gt; "plain", G3107 &lt;&gt; "")</f>
        <v>0</v>
      </c>
      <c r="M3107" s="3" t="str">
        <f>IF(E3107, C3107 &amp; "|" &amp; H3107, "")</f>
        <v>principal-knowledge-authority|</v>
      </c>
      <c r="N3107" s="2" t="s">
        <v>9938</v>
      </c>
    </row>
    <row r="3108">
      <c r="A3108" s="2" t="s">
        <v>13044</v>
      </c>
      <c r="B3108" s="3" t="str">
        <f>C3108 &amp; " -&gt; " &amp; D3108</f>
        <v>principal-knowledge-authority -&gt; SendIntents.IntentPolicyHasQuietHours</v>
      </c>
      <c r="C3108" s="2" t="s">
        <v>9708</v>
      </c>
      <c r="D3108" s="2" t="s">
        <v>4711</v>
      </c>
      <c r="E3108" s="2" t="b">
        <v>1</v>
      </c>
      <c r="F3108" s="2" t="b">
        <v>0</v>
      </c>
      <c r="G3108" s="2" t="s">
        <v>9937</v>
      </c>
      <c r="H3108" s="3" t="str">
        <f>_xlfn.IFNA(INDEX(RulebookFields!C2:C999, MATCH(D3108,RulebookFields!A2:A999, 0)), "")</f>
      </c>
      <c r="I3108" s="3" t="str">
        <f>_xlfn.IFNA(INDEX(RulebookFields!D2:D999, MATCH(D3108,RulebookFields!A2:A999, 0)), "")</f>
      </c>
      <c r="J3108" s="3" t="str">
        <f>_xlfn.IFNA(INDEX(RulebookFields!I2:I999, MATCH(D3108,RulebookFields!A2:A999, 0)), "")</f>
      </c>
      <c r="K3108" s="3" t="b">
        <f>AND(F3108, J3108)</f>
        <v>0</v>
      </c>
      <c r="L3108" s="3" t="b">
        <f>AND(G3108 &lt;&gt; "plain", G3108 &lt;&gt; "")</f>
        <v>0</v>
      </c>
      <c r="M3108" s="3" t="str">
        <f>IF(E3108, C3108 &amp; "|" &amp; H3108, "")</f>
        <v>principal-knowledge-authority|</v>
      </c>
      <c r="N3108" s="2" t="s">
        <v>9938</v>
      </c>
    </row>
    <row r="3109">
      <c r="A3109" s="2" t="s">
        <v>13045</v>
      </c>
      <c r="B3109" s="3" t="str">
        <f>C3109 &amp; " -&gt; " &amp; D3109</f>
        <v>principal-knowledge-authority -&gt; SendIntents.IntentQuietWindowWraps</v>
      </c>
      <c r="C3109" s="2" t="s">
        <v>9708</v>
      </c>
      <c r="D3109" s="2" t="s">
        <v>4714</v>
      </c>
      <c r="E3109" s="2" t="b">
        <v>1</v>
      </c>
      <c r="F3109" s="2" t="b">
        <v>0</v>
      </c>
      <c r="G3109" s="2" t="s">
        <v>9937</v>
      </c>
      <c r="H3109" s="3" t="str">
        <f>_xlfn.IFNA(INDEX(RulebookFields!C2:C999, MATCH(D3109,RulebookFields!A2:A999, 0)), "")</f>
      </c>
      <c r="I3109" s="3" t="str">
        <f>_xlfn.IFNA(INDEX(RulebookFields!D2:D999, MATCH(D3109,RulebookFields!A2:A999, 0)), "")</f>
      </c>
      <c r="J3109" s="3" t="str">
        <f>_xlfn.IFNA(INDEX(RulebookFields!I2:I999, MATCH(D3109,RulebookFields!A2:A999, 0)), "")</f>
      </c>
      <c r="K3109" s="3" t="b">
        <f>AND(F3109, J3109)</f>
        <v>0</v>
      </c>
      <c r="L3109" s="3" t="b">
        <f>AND(G3109 &lt;&gt; "plain", G3109 &lt;&gt; "")</f>
        <v>0</v>
      </c>
      <c r="M3109" s="3" t="str">
        <f>IF(E3109, C3109 &amp; "|" &amp; H3109, "")</f>
        <v>principal-knowledge-authority|</v>
      </c>
      <c r="N3109" s="2" t="s">
        <v>9938</v>
      </c>
    </row>
    <row r="3110">
      <c r="A3110" s="2" t="s">
        <v>13046</v>
      </c>
      <c r="B3110" s="3" t="str">
        <f>C3110 &amp; " -&gt; " &amp; D3110</f>
        <v>principal-knowledge-authority -&gt; SendIntents.IntentIsInsideQuietWindow</v>
      </c>
      <c r="C3110" s="2" t="s">
        <v>9708</v>
      </c>
      <c r="D3110" s="2" t="s">
        <v>4717</v>
      </c>
      <c r="E3110" s="2" t="b">
        <v>1</v>
      </c>
      <c r="F3110" s="2" t="b">
        <v>0</v>
      </c>
      <c r="G3110" s="2" t="s">
        <v>9937</v>
      </c>
      <c r="H3110" s="3" t="str">
        <f>_xlfn.IFNA(INDEX(RulebookFields!C2:C999, MATCH(D3110,RulebookFields!A2:A999, 0)), "")</f>
      </c>
      <c r="I3110" s="3" t="str">
        <f>_xlfn.IFNA(INDEX(RulebookFields!D2:D999, MATCH(D3110,RulebookFields!A2:A999, 0)), "")</f>
      </c>
      <c r="J3110" s="3" t="str">
        <f>_xlfn.IFNA(INDEX(RulebookFields!I2:I999, MATCH(D3110,RulebookFields!A2:A999, 0)), "")</f>
      </c>
      <c r="K3110" s="3" t="b">
        <f>AND(F3110, J3110)</f>
        <v>0</v>
      </c>
      <c r="L3110" s="3" t="b">
        <f>AND(G3110 &lt;&gt; "plain", G3110 &lt;&gt; "")</f>
        <v>0</v>
      </c>
      <c r="M3110" s="3" t="str">
        <f>IF(E3110, C3110 &amp; "|" &amp; H3110, "")</f>
        <v>principal-knowledge-authority|</v>
      </c>
      <c r="N3110" s="2" t="s">
        <v>9938</v>
      </c>
    </row>
    <row r="3111">
      <c r="A3111" s="2" t="s">
        <v>13047</v>
      </c>
      <c r="B3111" s="3" t="str">
        <f>C3111 &amp; " -&gt; " &amp; D3111</f>
        <v>principal-knowledge-authority -&gt; SendIntents.TimingGatePassed</v>
      </c>
      <c r="C3111" s="2" t="s">
        <v>9708</v>
      </c>
      <c r="D3111" s="2" t="s">
        <v>4720</v>
      </c>
      <c r="E3111" s="2" t="b">
        <v>1</v>
      </c>
      <c r="F3111" s="2" t="b">
        <v>0</v>
      </c>
      <c r="G3111" s="2" t="s">
        <v>9937</v>
      </c>
      <c r="H3111" s="3" t="str">
        <f>_xlfn.IFNA(INDEX(RulebookFields!C2:C999, MATCH(D3111,RulebookFields!A2:A999, 0)), "")</f>
      </c>
      <c r="I3111" s="3" t="str">
        <f>_xlfn.IFNA(INDEX(RulebookFields!D2:D999, MATCH(D3111,RulebookFields!A2:A999, 0)), "")</f>
      </c>
      <c r="J3111" s="3" t="str">
        <f>_xlfn.IFNA(INDEX(RulebookFields!I2:I999, MATCH(D3111,RulebookFields!A2:A999, 0)), "")</f>
      </c>
      <c r="K3111" s="3" t="b">
        <f>AND(F3111, J3111)</f>
        <v>0</v>
      </c>
      <c r="L3111" s="3" t="b">
        <f>AND(G3111 &lt;&gt; "plain", G3111 &lt;&gt; "")</f>
        <v>0</v>
      </c>
      <c r="M3111" s="3" t="str">
        <f>IF(E3111, C3111 &amp; "|" &amp; H3111, "")</f>
        <v>principal-knowledge-authority|</v>
      </c>
      <c r="N3111" s="2" t="s">
        <v>9938</v>
      </c>
    </row>
    <row r="3112">
      <c r="A3112" s="2" t="s">
        <v>13048</v>
      </c>
      <c r="B3112" s="3" t="str">
        <f>C3112 &amp; " -&gt; " &amp; D3112</f>
        <v>principal-knowledge-authority -&gt; SendIntents.HoursUntilWindowOpens</v>
      </c>
      <c r="C3112" s="2" t="s">
        <v>9708</v>
      </c>
      <c r="D3112" s="2" t="s">
        <v>4723</v>
      </c>
      <c r="E3112" s="2" t="b">
        <v>1</v>
      </c>
      <c r="F3112" s="2" t="b">
        <v>0</v>
      </c>
      <c r="G3112" s="2" t="s">
        <v>9937</v>
      </c>
      <c r="H3112" s="3" t="str">
        <f>_xlfn.IFNA(INDEX(RulebookFields!C2:C999, MATCH(D3112,RulebookFields!A2:A999, 0)), "")</f>
      </c>
      <c r="I3112" s="3" t="str">
        <f>_xlfn.IFNA(INDEX(RulebookFields!D2:D999, MATCH(D3112,RulebookFields!A2:A999, 0)), "")</f>
      </c>
      <c r="J3112" s="3" t="str">
        <f>_xlfn.IFNA(INDEX(RulebookFields!I2:I999, MATCH(D3112,RulebookFields!A2:A999, 0)), "")</f>
      </c>
      <c r="K3112" s="3" t="b">
        <f>AND(F3112, J3112)</f>
        <v>0</v>
      </c>
      <c r="L3112" s="3" t="b">
        <f>AND(G3112 &lt;&gt; "plain", G3112 &lt;&gt; "")</f>
        <v>0</v>
      </c>
      <c r="M3112" s="3" t="str">
        <f>IF(E3112, C3112 &amp; "|" &amp; H3112, "")</f>
        <v>principal-knowledge-authority|</v>
      </c>
      <c r="N3112" s="2" t="s">
        <v>9938</v>
      </c>
    </row>
    <row r="3113">
      <c r="A3113" s="2" t="s">
        <v>13049</v>
      </c>
      <c r="B3113" s="3" t="str">
        <f>C3113 &amp; " -&gt; " &amp; D3113</f>
        <v>principal-knowledge-authority -&gt; SendIntents.IntentMaxMessageLength</v>
      </c>
      <c r="C3113" s="2" t="s">
        <v>9708</v>
      </c>
      <c r="D3113" s="2" t="s">
        <v>4726</v>
      </c>
      <c r="E3113" s="2" t="b">
        <v>1</v>
      </c>
      <c r="F3113" s="2" t="b">
        <v>0</v>
      </c>
      <c r="G3113" s="2" t="s">
        <v>9937</v>
      </c>
      <c r="H3113" s="3" t="str">
        <f>_xlfn.IFNA(INDEX(RulebookFields!C2:C999, MATCH(D3113,RulebookFields!A2:A999, 0)), "")</f>
      </c>
      <c r="I3113" s="3" t="str">
        <f>_xlfn.IFNA(INDEX(RulebookFields!D2:D999, MATCH(D3113,RulebookFields!A2:A999, 0)), "")</f>
      </c>
      <c r="J3113" s="3" t="str">
        <f>_xlfn.IFNA(INDEX(RulebookFields!I2:I999, MATCH(D3113,RulebookFields!A2:A999, 0)), "")</f>
      </c>
      <c r="K3113" s="3" t="b">
        <f>AND(F3113, J3113)</f>
        <v>0</v>
      </c>
      <c r="L3113" s="3" t="b">
        <f>AND(G3113 &lt;&gt; "plain", G3113 &lt;&gt; "")</f>
        <v>0</v>
      </c>
      <c r="M3113" s="3" t="str">
        <f>IF(E3113, C3113 &amp; "|" &amp; H3113, "")</f>
        <v>principal-knowledge-authority|</v>
      </c>
      <c r="N3113" s="2" t="s">
        <v>9938</v>
      </c>
    </row>
    <row r="3114">
      <c r="A3114" s="2" t="s">
        <v>13050</v>
      </c>
      <c r="B3114" s="3" t="str">
        <f>C3114 &amp; " -&gt; " &amp; D3114</f>
        <v>principal-knowledge-authority -&gt; SendIntents.IntentMaxSegments</v>
      </c>
      <c r="C3114" s="2" t="s">
        <v>9708</v>
      </c>
      <c r="D3114" s="2" t="s">
        <v>4729</v>
      </c>
      <c r="E3114" s="2" t="b">
        <v>1</v>
      </c>
      <c r="F3114" s="2" t="b">
        <v>0</v>
      </c>
      <c r="G3114" s="2" t="s">
        <v>9937</v>
      </c>
      <c r="H3114" s="3" t="str">
        <f>_xlfn.IFNA(INDEX(RulebookFields!C2:C999, MATCH(D3114,RulebookFields!A2:A999, 0)), "")</f>
      </c>
      <c r="I3114" s="3" t="str">
        <f>_xlfn.IFNA(INDEX(RulebookFields!D2:D999, MATCH(D3114,RulebookFields!A2:A999, 0)), "")</f>
      </c>
      <c r="J3114" s="3" t="str">
        <f>_xlfn.IFNA(INDEX(RulebookFields!I2:I999, MATCH(D3114,RulebookFields!A2:A999, 0)), "")</f>
      </c>
      <c r="K3114" s="3" t="b">
        <f>AND(F3114, J3114)</f>
        <v>0</v>
      </c>
      <c r="L3114" s="3" t="b">
        <f>AND(G3114 &lt;&gt; "plain", G3114 &lt;&gt; "")</f>
        <v>0</v>
      </c>
      <c r="M3114" s="3" t="str">
        <f>IF(E3114, C3114 &amp; "|" &amp; H3114, "")</f>
        <v>principal-knowledge-authority|</v>
      </c>
      <c r="N3114" s="2" t="s">
        <v>9938</v>
      </c>
    </row>
    <row r="3115">
      <c r="A3115" s="2" t="s">
        <v>13051</v>
      </c>
      <c r="B3115" s="3" t="str">
        <f>C3115 &amp; " -&gt; " &amp; D3115</f>
        <v>principal-knowledge-authority -&gt; SendIntents.ProposedBodyLength</v>
      </c>
      <c r="C3115" s="2" t="s">
        <v>9708</v>
      </c>
      <c r="D3115" s="2" t="s">
        <v>4732</v>
      </c>
      <c r="E3115" s="2" t="b">
        <v>1</v>
      </c>
      <c r="F3115" s="2" t="b">
        <v>0</v>
      </c>
      <c r="G3115" s="2" t="s">
        <v>9937</v>
      </c>
      <c r="H3115" s="3" t="str">
        <f>_xlfn.IFNA(INDEX(RulebookFields!C2:C999, MATCH(D3115,RulebookFields!A2:A999, 0)), "")</f>
      </c>
      <c r="I3115" s="3" t="str">
        <f>_xlfn.IFNA(INDEX(RulebookFields!D2:D999, MATCH(D3115,RulebookFields!A2:A999, 0)), "")</f>
      </c>
      <c r="J3115" s="3" t="str">
        <f>_xlfn.IFNA(INDEX(RulebookFields!I2:I999, MATCH(D3115,RulebookFields!A2:A999, 0)), "")</f>
      </c>
      <c r="K3115" s="3" t="b">
        <f>AND(F3115, J3115)</f>
        <v>0</v>
      </c>
      <c r="L3115" s="3" t="b">
        <f>AND(G3115 &lt;&gt; "plain", G3115 &lt;&gt; "")</f>
        <v>0</v>
      </c>
      <c r="M3115" s="3" t="str">
        <f>IF(E3115, C3115 &amp; "|" &amp; H3115, "")</f>
        <v>principal-knowledge-authority|</v>
      </c>
      <c r="N3115" s="2" t="s">
        <v>9938</v>
      </c>
    </row>
    <row r="3116">
      <c r="A3116" s="2" t="s">
        <v>13052</v>
      </c>
      <c r="B3116" s="3" t="str">
        <f>C3116 &amp; " -&gt; " &amp; D3116</f>
        <v>principal-knowledge-authority -&gt; SendIntents.ProposedSegmentCount</v>
      </c>
      <c r="C3116" s="2" t="s">
        <v>9708</v>
      </c>
      <c r="D3116" s="2" t="s">
        <v>4734</v>
      </c>
      <c r="E3116" s="2" t="b">
        <v>1</v>
      </c>
      <c r="F3116" s="2" t="b">
        <v>0</v>
      </c>
      <c r="G3116" s="2" t="s">
        <v>9937</v>
      </c>
      <c r="H3116" s="3" t="str">
        <f>_xlfn.IFNA(INDEX(RulebookFields!C2:C999, MATCH(D3116,RulebookFields!A2:A999, 0)), "")</f>
      </c>
      <c r="I3116" s="3" t="str">
        <f>_xlfn.IFNA(INDEX(RulebookFields!D2:D999, MATCH(D3116,RulebookFields!A2:A999, 0)), "")</f>
      </c>
      <c r="J3116" s="3" t="str">
        <f>_xlfn.IFNA(INDEX(RulebookFields!I2:I999, MATCH(D3116,RulebookFields!A2:A999, 0)), "")</f>
      </c>
      <c r="K3116" s="3" t="b">
        <f>AND(F3116, J3116)</f>
        <v>0</v>
      </c>
      <c r="L3116" s="3" t="b">
        <f>AND(G3116 &lt;&gt; "plain", G3116 &lt;&gt; "")</f>
        <v>0</v>
      </c>
      <c r="M3116" s="3" t="str">
        <f>IF(E3116, C3116 &amp; "|" &amp; H3116, "")</f>
        <v>principal-knowledge-authority|</v>
      </c>
      <c r="N3116" s="2" t="s">
        <v>9938</v>
      </c>
    </row>
    <row r="3117">
      <c r="A3117" s="2" t="s">
        <v>13053</v>
      </c>
      <c r="B3117" s="3" t="str">
        <f>C3117 &amp; " -&gt; " &amp; D3117</f>
        <v>principal-knowledge-authority -&gt; SendIntents.LengthGatePassed</v>
      </c>
      <c r="C3117" s="2" t="s">
        <v>9708</v>
      </c>
      <c r="D3117" s="2" t="s">
        <v>4736</v>
      </c>
      <c r="E3117" s="2" t="b">
        <v>1</v>
      </c>
      <c r="F3117" s="2" t="b">
        <v>0</v>
      </c>
      <c r="G3117" s="2" t="s">
        <v>9937</v>
      </c>
      <c r="H3117" s="3" t="str">
        <f>_xlfn.IFNA(INDEX(RulebookFields!C2:C999, MATCH(D3117,RulebookFields!A2:A999, 0)), "")</f>
      </c>
      <c r="I3117" s="3" t="str">
        <f>_xlfn.IFNA(INDEX(RulebookFields!D2:D999, MATCH(D3117,RulebookFields!A2:A999, 0)), "")</f>
      </c>
      <c r="J3117" s="3" t="str">
        <f>_xlfn.IFNA(INDEX(RulebookFields!I2:I999, MATCH(D3117,RulebookFields!A2:A999, 0)), "")</f>
      </c>
      <c r="K3117" s="3" t="b">
        <f>AND(F3117, J3117)</f>
        <v>0</v>
      </c>
      <c r="L3117" s="3" t="b">
        <f>AND(G3117 &lt;&gt; "plain", G3117 &lt;&gt; "")</f>
        <v>0</v>
      </c>
      <c r="M3117" s="3" t="str">
        <f>IF(E3117, C3117 &amp; "|" &amp; H3117, "")</f>
        <v>principal-knowledge-authority|</v>
      </c>
      <c r="N3117" s="2" t="s">
        <v>9938</v>
      </c>
    </row>
    <row r="3118">
      <c r="A3118" s="2" t="s">
        <v>13054</v>
      </c>
      <c r="B3118" s="3" t="str">
        <f>C3118 &amp; " -&gt; " &amp; D3118</f>
        <v>principal-knowledge-authority -&gt; SendIntents.IntentRequiredOptOutPhrase</v>
      </c>
      <c r="C3118" s="2" t="s">
        <v>9708</v>
      </c>
      <c r="D3118" s="2" t="s">
        <v>4739</v>
      </c>
      <c r="E3118" s="2" t="b">
        <v>1</v>
      </c>
      <c r="F3118" s="2" t="b">
        <v>0</v>
      </c>
      <c r="G3118" s="2" t="s">
        <v>9937</v>
      </c>
      <c r="H3118" s="3" t="str">
        <f>_xlfn.IFNA(INDEX(RulebookFields!C2:C999, MATCH(D3118,RulebookFields!A2:A999, 0)), "")</f>
      </c>
      <c r="I3118" s="3" t="str">
        <f>_xlfn.IFNA(INDEX(RulebookFields!D2:D999, MATCH(D3118,RulebookFields!A2:A999, 0)), "")</f>
      </c>
      <c r="J3118" s="3" t="str">
        <f>_xlfn.IFNA(INDEX(RulebookFields!I2:I999, MATCH(D3118,RulebookFields!A2:A999, 0)), "")</f>
      </c>
      <c r="K3118" s="3" t="b">
        <f>AND(F3118, J3118)</f>
        <v>0</v>
      </c>
      <c r="L3118" s="3" t="b">
        <f>AND(G3118 &lt;&gt; "plain", G3118 &lt;&gt; "")</f>
        <v>0</v>
      </c>
      <c r="M3118" s="3" t="str">
        <f>IF(E3118, C3118 &amp; "|" &amp; H3118, "")</f>
        <v>principal-knowledge-authority|</v>
      </c>
      <c r="N3118" s="2" t="s">
        <v>9938</v>
      </c>
    </row>
    <row r="3119">
      <c r="A3119" s="2" t="s">
        <v>13055</v>
      </c>
      <c r="B3119" s="3" t="str">
        <f>C3119 &amp; " -&gt; " &amp; D3119</f>
        <v>principal-knowledge-authority -&gt; SendIntents.ProposedOptOutPosition</v>
      </c>
      <c r="C3119" s="2" t="s">
        <v>9708</v>
      </c>
      <c r="D3119" s="2" t="s">
        <v>4742</v>
      </c>
      <c r="E3119" s="2" t="b">
        <v>1</v>
      </c>
      <c r="F3119" s="2" t="b">
        <v>0</v>
      </c>
      <c r="G3119" s="2" t="s">
        <v>9937</v>
      </c>
      <c r="H3119" s="3" t="str">
        <f>_xlfn.IFNA(INDEX(RulebookFields!C2:C999, MATCH(D3119,RulebookFields!A2:A999, 0)), "")</f>
      </c>
      <c r="I3119" s="3" t="str">
        <f>_xlfn.IFNA(INDEX(RulebookFields!D2:D999, MATCH(D3119,RulebookFields!A2:A999, 0)), "")</f>
      </c>
      <c r="J3119" s="3" t="str">
        <f>_xlfn.IFNA(INDEX(RulebookFields!I2:I999, MATCH(D3119,RulebookFields!A2:A999, 0)), "")</f>
      </c>
      <c r="K3119" s="3" t="b">
        <f>AND(F3119, J3119)</f>
        <v>0</v>
      </c>
      <c r="L3119" s="3" t="b">
        <f>AND(G3119 &lt;&gt; "plain", G3119 &lt;&gt; "")</f>
        <v>0</v>
      </c>
      <c r="M3119" s="3" t="str">
        <f>IF(E3119, C3119 &amp; "|" &amp; H3119, "")</f>
        <v>principal-knowledge-authority|</v>
      </c>
      <c r="N3119" s="2" t="s">
        <v>9938</v>
      </c>
    </row>
    <row r="3120">
      <c r="A3120" s="2" t="s">
        <v>13056</v>
      </c>
      <c r="B3120" s="3" t="str">
        <f>C3120 &amp; " -&gt; " &amp; D3120</f>
        <v>principal-knowledge-authority -&gt; SendIntents.OptOutGatePassed</v>
      </c>
      <c r="C3120" s="2" t="s">
        <v>9708</v>
      </c>
      <c r="D3120" s="2" t="s">
        <v>4744</v>
      </c>
      <c r="E3120" s="2" t="b">
        <v>1</v>
      </c>
      <c r="F3120" s="2" t="b">
        <v>0</v>
      </c>
      <c r="G3120" s="2" t="s">
        <v>9937</v>
      </c>
      <c r="H3120" s="3" t="str">
        <f>_xlfn.IFNA(INDEX(RulebookFields!C2:C999, MATCH(D3120,RulebookFields!A2:A999, 0)), "")</f>
      </c>
      <c r="I3120" s="3" t="str">
        <f>_xlfn.IFNA(INDEX(RulebookFields!D2:D999, MATCH(D3120,RulebookFields!A2:A999, 0)), "")</f>
      </c>
      <c r="J3120" s="3" t="str">
        <f>_xlfn.IFNA(INDEX(RulebookFields!I2:I999, MATCH(D3120,RulebookFields!A2:A999, 0)), "")</f>
      </c>
      <c r="K3120" s="3" t="b">
        <f>AND(F3120, J3120)</f>
        <v>0</v>
      </c>
      <c r="L3120" s="3" t="b">
        <f>AND(G3120 &lt;&gt; "plain", G3120 &lt;&gt; "")</f>
        <v>0</v>
      </c>
      <c r="M3120" s="3" t="str">
        <f>IF(E3120, C3120 &amp; "|" &amp; H3120, "")</f>
        <v>principal-knowledge-authority|</v>
      </c>
      <c r="N3120" s="2" t="s">
        <v>9938</v>
      </c>
    </row>
    <row r="3121">
      <c r="A3121" s="2" t="s">
        <v>13057</v>
      </c>
      <c r="B3121" s="3" t="str">
        <f>C3121 &amp; " -&gt; " &amp; D3121</f>
        <v>principal-knowledge-authority -&gt; SendIntents.ContentGatePassed</v>
      </c>
      <c r="C3121" s="2" t="s">
        <v>9708</v>
      </c>
      <c r="D3121" s="2" t="s">
        <v>4747</v>
      </c>
      <c r="E3121" s="2" t="b">
        <v>1</v>
      </c>
      <c r="F3121" s="2" t="b">
        <v>0</v>
      </c>
      <c r="G3121" s="2" t="s">
        <v>9937</v>
      </c>
      <c r="H3121" s="3" t="str">
        <f>_xlfn.IFNA(INDEX(RulebookFields!C2:C999, MATCH(D3121,RulebookFields!A2:A999, 0)), "")</f>
      </c>
      <c r="I3121" s="3" t="str">
        <f>_xlfn.IFNA(INDEX(RulebookFields!D2:D999, MATCH(D3121,RulebookFields!A2:A999, 0)), "")</f>
      </c>
      <c r="J3121" s="3" t="str">
        <f>_xlfn.IFNA(INDEX(RulebookFields!I2:I999, MATCH(D3121,RulebookFields!A2:A999, 0)), "")</f>
      </c>
      <c r="K3121" s="3" t="b">
        <f>AND(F3121, J3121)</f>
        <v>0</v>
      </c>
      <c r="L3121" s="3" t="b">
        <f>AND(G3121 &lt;&gt; "plain", G3121 &lt;&gt; "")</f>
        <v>0</v>
      </c>
      <c r="M3121" s="3" t="str">
        <f>IF(E3121, C3121 &amp; "|" &amp; H3121, "")</f>
        <v>principal-knowledge-authority|</v>
      </c>
      <c r="N3121" s="2" t="s">
        <v>9938</v>
      </c>
    </row>
    <row r="3122">
      <c r="A3122" s="2" t="s">
        <v>13058</v>
      </c>
      <c r="B3122" s="3" t="str">
        <f>C3122 &amp; " -&gt; " &amp; D3122</f>
        <v>principal-knowledge-authority -&gt; SendIntents.TemplateIsSendable</v>
      </c>
      <c r="C3122" s="2" t="s">
        <v>9708</v>
      </c>
      <c r="D3122" s="2" t="s">
        <v>4750</v>
      </c>
      <c r="E3122" s="2" t="b">
        <v>1</v>
      </c>
      <c r="F3122" s="2" t="b">
        <v>0</v>
      </c>
      <c r="G3122" s="2" t="s">
        <v>9937</v>
      </c>
      <c r="H3122" s="3" t="str">
        <f>_xlfn.IFNA(INDEX(RulebookFields!C2:C999, MATCH(D3122,RulebookFields!A2:A999, 0)), "")</f>
      </c>
      <c r="I3122" s="3" t="str">
        <f>_xlfn.IFNA(INDEX(RulebookFields!D2:D999, MATCH(D3122,RulebookFields!A2:A999, 0)), "")</f>
      </c>
      <c r="J3122" s="3" t="str">
        <f>_xlfn.IFNA(INDEX(RulebookFields!I2:I999, MATCH(D3122,RulebookFields!A2:A999, 0)), "")</f>
      </c>
      <c r="K3122" s="3" t="b">
        <f>AND(F3122, J3122)</f>
        <v>0</v>
      </c>
      <c r="L3122" s="3" t="b">
        <f>AND(G3122 &lt;&gt; "plain", G3122 &lt;&gt; "")</f>
        <v>0</v>
      </c>
      <c r="M3122" s="3" t="str">
        <f>IF(E3122, C3122 &amp; "|" &amp; H3122, "")</f>
        <v>principal-knowledge-authority|</v>
      </c>
      <c r="N3122" s="2" t="s">
        <v>9938</v>
      </c>
    </row>
    <row r="3123">
      <c r="A3123" s="2" t="s">
        <v>13059</v>
      </c>
      <c r="B3123" s="3" t="str">
        <f>C3123 &amp; " -&gt; " &amp; D3123</f>
        <v>principal-knowledge-authority -&gt; SendIntents.ExecutionHasLegalClearance</v>
      </c>
      <c r="C3123" s="2" t="s">
        <v>9708</v>
      </c>
      <c r="D3123" s="2" t="s">
        <v>4752</v>
      </c>
      <c r="E3123" s="2" t="b">
        <v>1</v>
      </c>
      <c r="F3123" s="2" t="b">
        <v>0</v>
      </c>
      <c r="G3123" s="2" t="s">
        <v>9937</v>
      </c>
      <c r="H3123" s="3" t="str">
        <f>_xlfn.IFNA(INDEX(RulebookFields!C2:C999, MATCH(D3123,RulebookFields!A2:A999, 0)), "")</f>
      </c>
      <c r="I3123" s="3" t="str">
        <f>_xlfn.IFNA(INDEX(RulebookFields!D2:D999, MATCH(D3123,RulebookFields!A2:A999, 0)), "")</f>
      </c>
      <c r="J3123" s="3" t="str">
        <f>_xlfn.IFNA(INDEX(RulebookFields!I2:I999, MATCH(D3123,RulebookFields!A2:A999, 0)), "")</f>
      </c>
      <c r="K3123" s="3" t="b">
        <f>AND(F3123, J3123)</f>
        <v>0</v>
      </c>
      <c r="L3123" s="3" t="b">
        <f>AND(G3123 &lt;&gt; "plain", G3123 &lt;&gt; "")</f>
        <v>0</v>
      </c>
      <c r="M3123" s="3" t="str">
        <f>IF(E3123, C3123 &amp; "|" &amp; H3123, "")</f>
        <v>principal-knowledge-authority|</v>
      </c>
      <c r="N3123" s="2" t="s">
        <v>9938</v>
      </c>
    </row>
    <row r="3124">
      <c r="A3124" s="2" t="s">
        <v>13060</v>
      </c>
      <c r="B3124" s="3" t="str">
        <f>C3124 &amp; " -&gt; " &amp; D3124</f>
        <v>principal-knowledge-authority -&gt; SendIntents.IntentApprovalRole</v>
      </c>
      <c r="C3124" s="2" t="s">
        <v>9708</v>
      </c>
      <c r="D3124" s="2" t="s">
        <v>4754</v>
      </c>
      <c r="E3124" s="2" t="b">
        <v>1</v>
      </c>
      <c r="F3124" s="2" t="b">
        <v>0</v>
      </c>
      <c r="G3124" s="2" t="s">
        <v>9937</v>
      </c>
      <c r="H3124" s="3" t="str">
        <f>_xlfn.IFNA(INDEX(RulebookFields!C2:C999, MATCH(D3124,RulebookFields!A2:A999, 0)), "")</f>
      </c>
      <c r="I3124" s="3" t="str">
        <f>_xlfn.IFNA(INDEX(RulebookFields!D2:D999, MATCH(D3124,RulebookFields!A2:A999, 0)), "")</f>
      </c>
      <c r="J3124" s="3" t="str">
        <f>_xlfn.IFNA(INDEX(RulebookFields!I2:I999, MATCH(D3124,RulebookFields!A2:A999, 0)), "")</f>
      </c>
      <c r="K3124" s="3" t="b">
        <f>AND(F3124, J3124)</f>
        <v>0</v>
      </c>
      <c r="L3124" s="3" t="b">
        <f>AND(G3124 &lt;&gt; "plain", G3124 &lt;&gt; "")</f>
        <v>0</v>
      </c>
      <c r="M3124" s="3" t="str">
        <f>IF(E3124, C3124 &amp; "|" &amp; H3124, "")</f>
        <v>principal-knowledge-authority|</v>
      </c>
      <c r="N3124" s="2" t="s">
        <v>9938</v>
      </c>
    </row>
    <row r="3125">
      <c r="A3125" s="2" t="s">
        <v>13061</v>
      </c>
      <c r="B3125" s="3" t="str">
        <f>C3125 &amp; " -&gt; " &amp; D3125</f>
        <v>principal-knowledge-authority -&gt; SendIntents.ApprovalRoleAgentKind</v>
      </c>
      <c r="C3125" s="2" t="s">
        <v>9708</v>
      </c>
      <c r="D3125" s="2" t="s">
        <v>4757</v>
      </c>
      <c r="E3125" s="2" t="b">
        <v>1</v>
      </c>
      <c r="F3125" s="2" t="b">
        <v>0</v>
      </c>
      <c r="G3125" s="2" t="s">
        <v>9937</v>
      </c>
      <c r="H3125" s="3" t="str">
        <f>_xlfn.IFNA(INDEX(RulebookFields!C2:C999, MATCH(D3125,RulebookFields!A2:A999, 0)), "")</f>
      </c>
      <c r="I3125" s="3" t="str">
        <f>_xlfn.IFNA(INDEX(RulebookFields!D2:D999, MATCH(D3125,RulebookFields!A2:A999, 0)), "")</f>
      </c>
      <c r="J3125" s="3" t="str">
        <f>_xlfn.IFNA(INDEX(RulebookFields!I2:I999, MATCH(D3125,RulebookFields!A2:A999, 0)), "")</f>
      </c>
      <c r="K3125" s="3" t="b">
        <f>AND(F3125, J3125)</f>
        <v>0</v>
      </c>
      <c r="L3125" s="3" t="b">
        <f>AND(G3125 &lt;&gt; "plain", G3125 &lt;&gt; "")</f>
        <v>0</v>
      </c>
      <c r="M3125" s="3" t="str">
        <f>IF(E3125, C3125 &amp; "|" &amp; H3125, "")</f>
        <v>principal-knowledge-authority|</v>
      </c>
      <c r="N3125" s="2" t="s">
        <v>9938</v>
      </c>
    </row>
    <row r="3126">
      <c r="A3126" s="2" t="s">
        <v>13062</v>
      </c>
      <c r="B3126" s="3" t="str">
        <f>C3126 &amp; " -&gt; " &amp; D3126</f>
        <v>principal-knowledge-authority -&gt; SendIntents.ApprovalIsHuman</v>
      </c>
      <c r="C3126" s="2" t="s">
        <v>9708</v>
      </c>
      <c r="D3126" s="2" t="s">
        <v>4760</v>
      </c>
      <c r="E3126" s="2" t="b">
        <v>1</v>
      </c>
      <c r="F3126" s="2" t="b">
        <v>0</v>
      </c>
      <c r="G3126" s="2" t="s">
        <v>9937</v>
      </c>
      <c r="H3126" s="3" t="str">
        <f>_xlfn.IFNA(INDEX(RulebookFields!C2:C999, MATCH(D3126,RulebookFields!A2:A999, 0)), "")</f>
      </c>
      <c r="I3126" s="3" t="str">
        <f>_xlfn.IFNA(INDEX(RulebookFields!D2:D999, MATCH(D3126,RulebookFields!A2:A999, 0)), "")</f>
      </c>
      <c r="J3126" s="3" t="str">
        <f>_xlfn.IFNA(INDEX(RulebookFields!I2:I999, MATCH(D3126,RulebookFields!A2:A999, 0)), "")</f>
      </c>
      <c r="K3126" s="3" t="b">
        <f>AND(F3126, J3126)</f>
        <v>0</v>
      </c>
      <c r="L3126" s="3" t="b">
        <f>AND(G3126 &lt;&gt; "plain", G3126 &lt;&gt; "")</f>
        <v>0</v>
      </c>
      <c r="M3126" s="3" t="str">
        <f>IF(E3126, C3126 &amp; "|" &amp; H3126, "")</f>
        <v>principal-knowledge-authority|</v>
      </c>
      <c r="N3126" s="2" t="s">
        <v>9938</v>
      </c>
    </row>
    <row r="3127">
      <c r="A3127" s="2" t="s">
        <v>13063</v>
      </c>
      <c r="B3127" s="3" t="str">
        <f>C3127 &amp; " -&gt; " &amp; D3127</f>
        <v>principal-knowledge-authority -&gt; SendIntents.AuthorizationGatePassed</v>
      </c>
      <c r="C3127" s="2" t="s">
        <v>9708</v>
      </c>
      <c r="D3127" s="2" t="s">
        <v>4763</v>
      </c>
      <c r="E3127" s="2" t="b">
        <v>1</v>
      </c>
      <c r="F3127" s="2" t="b">
        <v>0</v>
      </c>
      <c r="G3127" s="2" t="s">
        <v>9937</v>
      </c>
      <c r="H3127" s="3" t="str">
        <f>_xlfn.IFNA(INDEX(RulebookFields!C2:C999, MATCH(D3127,RulebookFields!A2:A999, 0)), "")</f>
      </c>
      <c r="I3127" s="3" t="str">
        <f>_xlfn.IFNA(INDEX(RulebookFields!D2:D999, MATCH(D3127,RulebookFields!A2:A999, 0)), "")</f>
      </c>
      <c r="J3127" s="3" t="str">
        <f>_xlfn.IFNA(INDEX(RulebookFields!I2:I999, MATCH(D3127,RulebookFields!A2:A999, 0)), "")</f>
      </c>
      <c r="K3127" s="3" t="b">
        <f>AND(F3127, J3127)</f>
        <v>0</v>
      </c>
      <c r="L3127" s="3" t="b">
        <f>AND(G3127 &lt;&gt; "plain", G3127 &lt;&gt; "")</f>
        <v>0</v>
      </c>
      <c r="M3127" s="3" t="str">
        <f>IF(E3127, C3127 &amp; "|" &amp; H3127, "")</f>
        <v>principal-knowledge-authority|</v>
      </c>
      <c r="N3127" s="2" t="s">
        <v>9938</v>
      </c>
    </row>
    <row r="3128">
      <c r="A3128" s="2" t="s">
        <v>13064</v>
      </c>
      <c r="B3128" s="3" t="str">
        <f>C3128 &amp; " -&gt; " &amp; D3128</f>
        <v>principal-knowledge-authority -&gt; SendIntents.IsClearedToSend</v>
      </c>
      <c r="C3128" s="2" t="s">
        <v>9708</v>
      </c>
      <c r="D3128" s="2" t="s">
        <v>4766</v>
      </c>
      <c r="E3128" s="2" t="b">
        <v>1</v>
      </c>
      <c r="F3128" s="2" t="b">
        <v>0</v>
      </c>
      <c r="G3128" s="2" t="s">
        <v>9937</v>
      </c>
      <c r="H3128" s="3" t="str">
        <f>_xlfn.IFNA(INDEX(RulebookFields!C2:C999, MATCH(D3128,RulebookFields!A2:A999, 0)), "")</f>
      </c>
      <c r="I3128" s="3" t="str">
        <f>_xlfn.IFNA(INDEX(RulebookFields!D2:D999, MATCH(D3128,RulebookFields!A2:A999, 0)), "")</f>
      </c>
      <c r="J3128" s="3" t="str">
        <f>_xlfn.IFNA(INDEX(RulebookFields!I2:I999, MATCH(D3128,RulebookFields!A2:A999, 0)), "")</f>
      </c>
      <c r="K3128" s="3" t="b">
        <f>AND(F3128, J3128)</f>
        <v>0</v>
      </c>
      <c r="L3128" s="3" t="b">
        <f>AND(G3128 &lt;&gt; "plain", G3128 &lt;&gt; "")</f>
        <v>0</v>
      </c>
      <c r="M3128" s="3" t="str">
        <f>IF(E3128, C3128 &amp; "|" &amp; H3128, "")</f>
        <v>principal-knowledge-authority|</v>
      </c>
      <c r="N3128" s="2" t="s">
        <v>9938</v>
      </c>
    </row>
    <row r="3129">
      <c r="A3129" s="2" t="s">
        <v>13065</v>
      </c>
      <c r="B3129" s="3" t="str">
        <f>C3129 &amp; " -&gt; " &amp; D3129</f>
        <v>principal-knowledge-authority -&gt; SendIntents.BlockingGateName</v>
      </c>
      <c r="C3129" s="2" t="s">
        <v>9708</v>
      </c>
      <c r="D3129" s="2" t="s">
        <v>4769</v>
      </c>
      <c r="E3129" s="2" t="b">
        <v>1</v>
      </c>
      <c r="F3129" s="2" t="b">
        <v>0</v>
      </c>
      <c r="G3129" s="2" t="s">
        <v>9937</v>
      </c>
      <c r="H3129" s="3" t="str">
        <f>_xlfn.IFNA(INDEX(RulebookFields!C2:C999, MATCH(D3129,RulebookFields!A2:A999, 0)), "")</f>
      </c>
      <c r="I3129" s="3" t="str">
        <f>_xlfn.IFNA(INDEX(RulebookFields!D2:D999, MATCH(D3129,RulebookFields!A2:A999, 0)), "")</f>
      </c>
      <c r="J3129" s="3" t="str">
        <f>_xlfn.IFNA(INDEX(RulebookFields!I2:I999, MATCH(D3129,RulebookFields!A2:A999, 0)), "")</f>
      </c>
      <c r="K3129" s="3" t="b">
        <f>AND(F3129, J3129)</f>
        <v>0</v>
      </c>
      <c r="L3129" s="3" t="b">
        <f>AND(G3129 &lt;&gt; "plain", G3129 &lt;&gt; "")</f>
        <v>0</v>
      </c>
      <c r="M3129" s="3" t="str">
        <f>IF(E3129, C3129 &amp; "|" &amp; H3129, "")</f>
        <v>principal-knowledge-authority|</v>
      </c>
      <c r="N3129" s="2" t="s">
        <v>9938</v>
      </c>
    </row>
    <row r="3130">
      <c r="A3130" s="2" t="s">
        <v>13066</v>
      </c>
      <c r="B3130" s="3" t="str">
        <f>C3130 &amp; " -&gt; " &amp; D3130</f>
        <v>principal-knowledge-authority -&gt; SendIntents.HasResultingDelivery</v>
      </c>
      <c r="C3130" s="2" t="s">
        <v>9708</v>
      </c>
      <c r="D3130" s="2" t="s">
        <v>4772</v>
      </c>
      <c r="E3130" s="2" t="b">
        <v>1</v>
      </c>
      <c r="F3130" s="2" t="b">
        <v>0</v>
      </c>
      <c r="G3130" s="2" t="s">
        <v>9937</v>
      </c>
      <c r="H3130" s="3" t="str">
        <f>_xlfn.IFNA(INDEX(RulebookFields!C2:C999, MATCH(D3130,RulebookFields!A2:A999, 0)), "")</f>
      </c>
      <c r="I3130" s="3" t="str">
        <f>_xlfn.IFNA(INDEX(RulebookFields!D2:D999, MATCH(D3130,RulebookFields!A2:A999, 0)), "")</f>
      </c>
      <c r="J3130" s="3" t="str">
        <f>_xlfn.IFNA(INDEX(RulebookFields!I2:I999, MATCH(D3130,RulebookFields!A2:A999, 0)), "")</f>
      </c>
      <c r="K3130" s="3" t="b">
        <f>AND(F3130, J3130)</f>
        <v>0</v>
      </c>
      <c r="L3130" s="3" t="b">
        <f>AND(G3130 &lt;&gt; "plain", G3130 &lt;&gt; "")</f>
        <v>0</v>
      </c>
      <c r="M3130" s="3" t="str">
        <f>IF(E3130, C3130 &amp; "|" &amp; H3130, "")</f>
        <v>principal-knowledge-authority|</v>
      </c>
      <c r="N3130" s="2" t="s">
        <v>9938</v>
      </c>
    </row>
    <row r="3131">
      <c r="A3131" s="2" t="s">
        <v>13067</v>
      </c>
      <c r="B3131" s="3" t="str">
        <f>C3131 &amp; " -&gt; " &amp; D3131</f>
        <v>principal-knowledge-authority -&gt; SendIntents.ResultingDeliveryWasTransmitted</v>
      </c>
      <c r="C3131" s="2" t="s">
        <v>9708</v>
      </c>
      <c r="D3131" s="2" t="s">
        <v>4775</v>
      </c>
      <c r="E3131" s="2" t="b">
        <v>1</v>
      </c>
      <c r="F3131" s="2" t="b">
        <v>0</v>
      </c>
      <c r="G3131" s="2" t="s">
        <v>9937</v>
      </c>
      <c r="H3131" s="3" t="str">
        <f>_xlfn.IFNA(INDEX(RulebookFields!C2:C999, MATCH(D3131,RulebookFields!A2:A999, 0)), "")</f>
      </c>
      <c r="I3131" s="3" t="str">
        <f>_xlfn.IFNA(INDEX(RulebookFields!D2:D999, MATCH(D3131,RulebookFields!A2:A999, 0)), "")</f>
      </c>
      <c r="J3131" s="3" t="str">
        <f>_xlfn.IFNA(INDEX(RulebookFields!I2:I999, MATCH(D3131,RulebookFields!A2:A999, 0)), "")</f>
      </c>
      <c r="K3131" s="3" t="b">
        <f>AND(F3131, J3131)</f>
        <v>0</v>
      </c>
      <c r="L3131" s="3" t="b">
        <f>AND(G3131 &lt;&gt; "plain", G3131 &lt;&gt; "")</f>
        <v>0</v>
      </c>
      <c r="M3131" s="3" t="str">
        <f>IF(E3131, C3131 &amp; "|" &amp; H3131, "")</f>
        <v>principal-knowledge-authority|</v>
      </c>
      <c r="N3131" s="2" t="s">
        <v>9938</v>
      </c>
    </row>
    <row r="3132">
      <c r="A3132" s="2" t="s">
        <v>13068</v>
      </c>
      <c r="B3132" s="3" t="str">
        <f>C3132 &amp; " -&gt; " &amp; D3132</f>
        <v>principal-knowledge-authority -&gt; SendIntents.IsOverriddenRefusal</v>
      </c>
      <c r="C3132" s="2" t="s">
        <v>9708</v>
      </c>
      <c r="D3132" s="2" t="s">
        <v>4778</v>
      </c>
      <c r="E3132" s="2" t="b">
        <v>1</v>
      </c>
      <c r="F3132" s="2" t="b">
        <v>0</v>
      </c>
      <c r="G3132" s="2" t="s">
        <v>9937</v>
      </c>
      <c r="H3132" s="3" t="str">
        <f>_xlfn.IFNA(INDEX(RulebookFields!C2:C999, MATCH(D3132,RulebookFields!A2:A999, 0)), "")</f>
      </c>
      <c r="I3132" s="3" t="str">
        <f>_xlfn.IFNA(INDEX(RulebookFields!D2:D999, MATCH(D3132,RulebookFields!A2:A999, 0)), "")</f>
      </c>
      <c r="J3132" s="3" t="str">
        <f>_xlfn.IFNA(INDEX(RulebookFields!I2:I999, MATCH(D3132,RulebookFields!A2:A999, 0)), "")</f>
      </c>
      <c r="K3132" s="3" t="b">
        <f>AND(F3132, J3132)</f>
        <v>0</v>
      </c>
      <c r="L3132" s="3" t="b">
        <f>AND(G3132 &lt;&gt; "plain", G3132 &lt;&gt; "")</f>
        <v>0</v>
      </c>
      <c r="M3132" s="3" t="str">
        <f>IF(E3132, C3132 &amp; "|" &amp; H3132, "")</f>
        <v>principal-knowledge-authority|</v>
      </c>
      <c r="N3132" s="2" t="s">
        <v>9938</v>
      </c>
    </row>
    <row r="3133">
      <c r="A3133" s="2" t="s">
        <v>13069</v>
      </c>
      <c r="B3133" s="3" t="str">
        <f>C3133 &amp; " -&gt; " &amp; D3133</f>
        <v>principal-knowledge-authority -&gt; SendIntents.IsSilentlyDropped</v>
      </c>
      <c r="C3133" s="2" t="s">
        <v>9708</v>
      </c>
      <c r="D3133" s="2" t="s">
        <v>4781</v>
      </c>
      <c r="E3133" s="2" t="b">
        <v>1</v>
      </c>
      <c r="F3133" s="2" t="b">
        <v>0</v>
      </c>
      <c r="G3133" s="2" t="s">
        <v>9937</v>
      </c>
      <c r="H3133" s="3" t="str">
        <f>_xlfn.IFNA(INDEX(RulebookFields!C2:C999, MATCH(D3133,RulebookFields!A2:A999, 0)), "")</f>
      </c>
      <c r="I3133" s="3" t="str">
        <f>_xlfn.IFNA(INDEX(RulebookFields!D2:D999, MATCH(D3133,RulebookFields!A2:A999, 0)), "")</f>
      </c>
      <c r="J3133" s="3" t="str">
        <f>_xlfn.IFNA(INDEX(RulebookFields!I2:I999, MATCH(D3133,RulebookFields!A2:A999, 0)), "")</f>
      </c>
      <c r="K3133" s="3" t="b">
        <f>AND(F3133, J3133)</f>
        <v>0</v>
      </c>
      <c r="L3133" s="3" t="b">
        <f>AND(G3133 &lt;&gt; "plain", G3133 &lt;&gt; "")</f>
        <v>0</v>
      </c>
      <c r="M3133" s="3" t="str">
        <f>IF(E3133, C3133 &amp; "|" &amp; H3133, "")</f>
        <v>principal-knowledge-authority|</v>
      </c>
      <c r="N3133" s="2" t="s">
        <v>9938</v>
      </c>
    </row>
    <row r="3134">
      <c r="A3134" s="2" t="s">
        <v>13070</v>
      </c>
      <c r="B3134" s="3" t="str">
        <f>C3134 &amp; " -&gt; " &amp; D3134</f>
        <v>principal-knowledge-authority -&gt; SendIntents.ResultingDeliveryException</v>
      </c>
      <c r="C3134" s="2" t="s">
        <v>9708</v>
      </c>
      <c r="D3134" s="2" t="s">
        <v>4784</v>
      </c>
      <c r="E3134" s="2" t="b">
        <v>1</v>
      </c>
      <c r="F3134" s="2" t="b">
        <v>0</v>
      </c>
      <c r="G3134" s="2" t="s">
        <v>9937</v>
      </c>
      <c r="H3134" s="3" t="str">
        <f>_xlfn.IFNA(INDEX(RulebookFields!C2:C999, MATCH(D3134,RulebookFields!A2:A999, 0)), "")</f>
      </c>
      <c r="I3134" s="3" t="str">
        <f>_xlfn.IFNA(INDEX(RulebookFields!D2:D999, MATCH(D3134,RulebookFields!A2:A999, 0)), "")</f>
      </c>
      <c r="J3134" s="3" t="str">
        <f>_xlfn.IFNA(INDEX(RulebookFields!I2:I999, MATCH(D3134,RulebookFields!A2:A999, 0)), "")</f>
      </c>
      <c r="K3134" s="3" t="b">
        <f>AND(F3134, J3134)</f>
        <v>0</v>
      </c>
      <c r="L3134" s="3" t="b">
        <f>AND(G3134 &lt;&gt; "plain", G3134 &lt;&gt; "")</f>
        <v>0</v>
      </c>
      <c r="M3134" s="3" t="str">
        <f>IF(E3134, C3134 &amp; "|" &amp; H3134, "")</f>
        <v>principal-knowledge-authority|</v>
      </c>
      <c r="N3134" s="2" t="s">
        <v>9938</v>
      </c>
    </row>
    <row r="3135">
      <c r="A3135" s="2" t="s">
        <v>13071</v>
      </c>
      <c r="B3135" s="3" t="str">
        <f>C3135 &amp; " -&gt; " &amp; D3135</f>
        <v>principal-knowledge-authority -&gt; SendIntents.RefusalCitedAnException</v>
      </c>
      <c r="C3135" s="2" t="s">
        <v>9708</v>
      </c>
      <c r="D3135" s="2" t="s">
        <v>4787</v>
      </c>
      <c r="E3135" s="2" t="b">
        <v>1</v>
      </c>
      <c r="F3135" s="2" t="b">
        <v>0</v>
      </c>
      <c r="G3135" s="2" t="s">
        <v>9937</v>
      </c>
      <c r="H3135" s="3" t="str">
        <f>_xlfn.IFNA(INDEX(RulebookFields!C2:C999, MATCH(D3135,RulebookFields!A2:A999, 0)), "")</f>
      </c>
      <c r="I3135" s="3" t="str">
        <f>_xlfn.IFNA(INDEX(RulebookFields!D2:D999, MATCH(D3135,RulebookFields!A2:A999, 0)), "")</f>
      </c>
      <c r="J3135" s="3" t="str">
        <f>_xlfn.IFNA(INDEX(RulebookFields!I2:I999, MATCH(D3135,RulebookFields!A2:A999, 0)), "")</f>
      </c>
      <c r="K3135" s="3" t="b">
        <f>AND(F3135, J3135)</f>
        <v>0</v>
      </c>
      <c r="L3135" s="3" t="b">
        <f>AND(G3135 &lt;&gt; "plain", G3135 &lt;&gt; "")</f>
        <v>0</v>
      </c>
      <c r="M3135" s="3" t="str">
        <f>IF(E3135, C3135 &amp; "|" &amp; H3135, "")</f>
        <v>principal-knowledge-authority|</v>
      </c>
      <c r="N3135" s="2" t="s">
        <v>9938</v>
      </c>
    </row>
    <row r="3136">
      <c r="A3136" s="2" t="s">
        <v>13072</v>
      </c>
      <c r="B3136" s="3" t="str">
        <f>C3136 &amp; " -&gt; " &amp; D3136</f>
        <v>principal-knowledge-authority -&gt; SendIntents.IsProperlyHandledRefusal</v>
      </c>
      <c r="C3136" s="2" t="s">
        <v>9708</v>
      </c>
      <c r="D3136" s="2" t="s">
        <v>4790</v>
      </c>
      <c r="E3136" s="2" t="b">
        <v>1</v>
      </c>
      <c r="F3136" s="2" t="b">
        <v>0</v>
      </c>
      <c r="G3136" s="2" t="s">
        <v>9937</v>
      </c>
      <c r="H3136" s="3" t="str">
        <f>_xlfn.IFNA(INDEX(RulebookFields!C2:C999, MATCH(D3136,RulebookFields!A2:A999, 0)), "")</f>
      </c>
      <c r="I3136" s="3" t="str">
        <f>_xlfn.IFNA(INDEX(RulebookFields!D2:D999, MATCH(D3136,RulebookFields!A2:A999, 0)), "")</f>
      </c>
      <c r="J3136" s="3" t="str">
        <f>_xlfn.IFNA(INDEX(RulebookFields!I2:I999, MATCH(D3136,RulebookFields!A2:A999, 0)), "")</f>
      </c>
      <c r="K3136" s="3" t="b">
        <f>AND(F3136, J3136)</f>
        <v>0</v>
      </c>
      <c r="L3136" s="3" t="b">
        <f>AND(G3136 &lt;&gt; "plain", G3136 &lt;&gt; "")</f>
        <v>0</v>
      </c>
      <c r="M3136" s="3" t="str">
        <f>IF(E3136, C3136 &amp; "|" &amp; H3136, "")</f>
        <v>principal-knowledge-authority|</v>
      </c>
      <c r="N3136" s="2" t="s">
        <v>9938</v>
      </c>
    </row>
    <row r="3137">
      <c r="A3137" s="2" t="s">
        <v>13073</v>
      </c>
      <c r="B3137" s="3" t="str">
        <f>C3137 &amp; " -&gt; " &amp; D3137</f>
        <v>principal-knowledge-authority -&gt; SendIntents.RefusalFailureExecutionKey</v>
      </c>
      <c r="C3137" s="2" t="s">
        <v>9708</v>
      </c>
      <c r="D3137" s="2" t="s">
        <v>4793</v>
      </c>
      <c r="E3137" s="2" t="b">
        <v>1</v>
      </c>
      <c r="F3137" s="2" t="b">
        <v>0</v>
      </c>
      <c r="G3137" s="2" t="s">
        <v>9937</v>
      </c>
      <c r="H3137" s="3" t="str">
        <f>_xlfn.IFNA(INDEX(RulebookFields!C2:C999, MATCH(D3137,RulebookFields!A2:A999, 0)), "")</f>
      </c>
      <c r="I3137" s="3" t="str">
        <f>_xlfn.IFNA(INDEX(RulebookFields!D2:D999, MATCH(D3137,RulebookFields!A2:A999, 0)), "")</f>
      </c>
      <c r="J3137" s="3" t="str">
        <f>_xlfn.IFNA(INDEX(RulebookFields!I2:I999, MATCH(D3137,RulebookFields!A2:A999, 0)), "")</f>
      </c>
      <c r="K3137" s="3" t="b">
        <f>AND(F3137, J3137)</f>
        <v>0</v>
      </c>
      <c r="L3137" s="3" t="b">
        <f>AND(G3137 &lt;&gt; "plain", G3137 &lt;&gt; "")</f>
        <v>0</v>
      </c>
      <c r="M3137" s="3" t="str">
        <f>IF(E3137, C3137 &amp; "|" &amp; H3137, "")</f>
        <v>principal-knowledge-authority|</v>
      </c>
      <c r="N3137" s="2" t="s">
        <v>9938</v>
      </c>
    </row>
    <row r="3138">
      <c r="A3138" s="2" t="s">
        <v>13074</v>
      </c>
      <c r="B3138" s="3" t="str">
        <f>C3138 &amp; " -&gt; " &amp; D3138</f>
        <v>principal-knowledge-authority -&gt; SendIntents.IntentExecutionKey</v>
      </c>
      <c r="C3138" s="2" t="s">
        <v>9708</v>
      </c>
      <c r="D3138" s="2" t="s">
        <v>4796</v>
      </c>
      <c r="E3138" s="2" t="b">
        <v>1</v>
      </c>
      <c r="F3138" s="2" t="b">
        <v>0</v>
      </c>
      <c r="G3138" s="2" t="s">
        <v>9937</v>
      </c>
      <c r="H3138" s="3" t="str">
        <f>_xlfn.IFNA(INDEX(RulebookFields!C2:C999, MATCH(D3138,RulebookFields!A2:A999, 0)), "")</f>
      </c>
      <c r="I3138" s="3" t="str">
        <f>_xlfn.IFNA(INDEX(RulebookFields!D2:D999, MATCH(D3138,RulebookFields!A2:A999, 0)), "")</f>
      </c>
      <c r="J3138" s="3" t="str">
        <f>_xlfn.IFNA(INDEX(RulebookFields!I2:I999, MATCH(D3138,RulebookFields!A2:A999, 0)), "")</f>
      </c>
      <c r="K3138" s="3" t="b">
        <f>AND(F3138, J3138)</f>
        <v>0</v>
      </c>
      <c r="L3138" s="3" t="b">
        <f>AND(G3138 &lt;&gt; "plain", G3138 &lt;&gt; "")</f>
        <v>0</v>
      </c>
      <c r="M3138" s="3" t="str">
        <f>IF(E3138, C3138 &amp; "|" &amp; H3138, "")</f>
        <v>principal-knowledge-authority|</v>
      </c>
      <c r="N3138" s="2" t="s">
        <v>9938</v>
      </c>
    </row>
    <row r="3139">
      <c r="A3139" s="2" t="s">
        <v>13075</v>
      </c>
      <c r="B3139" s="3" t="str">
        <f>C3139 &amp; " -&gt; " &amp; D3139</f>
        <v>principal-knowledge-authority -&gt; SendIntents.DeliveredIntentExecutionKey</v>
      </c>
      <c r="C3139" s="2" t="s">
        <v>9708</v>
      </c>
      <c r="D3139" s="2" t="s">
        <v>4799</v>
      </c>
      <c r="E3139" s="2" t="b">
        <v>1</v>
      </c>
      <c r="F3139" s="2" t="b">
        <v>0</v>
      </c>
      <c r="G3139" s="2" t="s">
        <v>9937</v>
      </c>
      <c r="H3139" s="3" t="str">
        <f>_xlfn.IFNA(INDEX(RulebookFields!C2:C999, MATCH(D3139,RulebookFields!A2:A999, 0)), "")</f>
      </c>
      <c r="I3139" s="3" t="str">
        <f>_xlfn.IFNA(INDEX(RulebookFields!D2:D999, MATCH(D3139,RulebookFields!A2:A999, 0)), "")</f>
      </c>
      <c r="J3139" s="3" t="str">
        <f>_xlfn.IFNA(INDEX(RulebookFields!I2:I999, MATCH(D3139,RulebookFields!A2:A999, 0)), "")</f>
      </c>
      <c r="K3139" s="3" t="b">
        <f>AND(F3139, J3139)</f>
        <v>0</v>
      </c>
      <c r="L3139" s="3" t="b">
        <f>AND(G3139 &lt;&gt; "plain", G3139 &lt;&gt; "")</f>
        <v>0</v>
      </c>
      <c r="M3139" s="3" t="str">
        <f>IF(E3139, C3139 &amp; "|" &amp; H3139, "")</f>
        <v>principal-knowledge-authority|</v>
      </c>
      <c r="N3139" s="2" t="s">
        <v>9938</v>
      </c>
    </row>
    <row r="3140">
      <c r="A3140" s="2" t="s">
        <v>13076</v>
      </c>
      <c r="B3140" s="3" t="str">
        <f>C3140 &amp; " -&gt; " &amp; D3140</f>
        <v>principal-knowledge-authority -&gt; SendIntents.DroppedIntentExecutionKey</v>
      </c>
      <c r="C3140" s="2" t="s">
        <v>9708</v>
      </c>
      <c r="D3140" s="2" t="s">
        <v>4802</v>
      </c>
      <c r="E3140" s="2" t="b">
        <v>1</v>
      </c>
      <c r="F3140" s="2" t="b">
        <v>0</v>
      </c>
      <c r="G3140" s="2" t="s">
        <v>9937</v>
      </c>
      <c r="H3140" s="3" t="str">
        <f>_xlfn.IFNA(INDEX(RulebookFields!C2:C999, MATCH(D3140,RulebookFields!A2:A999, 0)), "")</f>
      </c>
      <c r="I3140" s="3" t="str">
        <f>_xlfn.IFNA(INDEX(RulebookFields!D2:D999, MATCH(D3140,RulebookFields!A2:A999, 0)), "")</f>
      </c>
      <c r="J3140" s="3" t="str">
        <f>_xlfn.IFNA(INDEX(RulebookFields!I2:I999, MATCH(D3140,RulebookFields!A2:A999, 0)), "")</f>
      </c>
      <c r="K3140" s="3" t="b">
        <f>AND(F3140, J3140)</f>
        <v>0</v>
      </c>
      <c r="L3140" s="3" t="b">
        <f>AND(G3140 &lt;&gt; "plain", G3140 &lt;&gt; "")</f>
        <v>0</v>
      </c>
      <c r="M3140" s="3" t="str">
        <f>IF(E3140, C3140 &amp; "|" &amp; H3140, "")</f>
        <v>principal-knowledge-authority|</v>
      </c>
      <c r="N3140" s="2" t="s">
        <v>9938</v>
      </c>
    </row>
    <row r="3141">
      <c r="A3141" s="2" t="s">
        <v>13077</v>
      </c>
      <c r="B3141" s="3" t="str">
        <f>C3141 &amp; " -&gt; " &amp; D3141</f>
        <v>principal-knowledge-authority -&gt; SendIntents.MyApprovalWasInForce</v>
      </c>
      <c r="C3141" s="2" t="s">
        <v>9708</v>
      </c>
      <c r="D3141" s="2" t="s">
        <v>4805</v>
      </c>
      <c r="E3141" s="2" t="b">
        <v>1</v>
      </c>
      <c r="F3141" s="2" t="b">
        <v>0</v>
      </c>
      <c r="G3141" s="2" t="s">
        <v>9937</v>
      </c>
      <c r="H3141" s="3" t="str">
        <f>_xlfn.IFNA(INDEX(RulebookFields!C2:C999, MATCH(D3141,RulebookFields!A2:A999, 0)), "")</f>
      </c>
      <c r="I3141" s="3" t="str">
        <f>_xlfn.IFNA(INDEX(RulebookFields!D2:D999, MATCH(D3141,RulebookFields!A2:A999, 0)), "")</f>
      </c>
      <c r="J3141" s="3" t="str">
        <f>_xlfn.IFNA(INDEX(RulebookFields!I2:I999, MATCH(D3141,RulebookFields!A2:A999, 0)), "")</f>
      </c>
      <c r="K3141" s="3" t="b">
        <f>AND(F3141, J3141)</f>
        <v>0</v>
      </c>
      <c r="L3141" s="3" t="b">
        <f>AND(G3141 &lt;&gt; "plain", G3141 &lt;&gt; "")</f>
        <v>0</v>
      </c>
      <c r="M3141" s="3" t="str">
        <f>IF(E3141, C3141 &amp; "|" &amp; H3141, "")</f>
        <v>principal-knowledge-authority|</v>
      </c>
      <c r="N3141" s="2" t="s">
        <v>9938</v>
      </c>
    </row>
    <row r="3142">
      <c r="A3142" s="2" t="s">
        <v>13078</v>
      </c>
      <c r="B3142" s="3" t="str">
        <f>C3142 &amp; " -&gt; " &amp; D3142</f>
        <v>principal-knowledge-authority -&gt; SendIntents.RefusedOnApprovedContent</v>
      </c>
      <c r="C3142" s="2" t="s">
        <v>9708</v>
      </c>
      <c r="D3142" s="2" t="s">
        <v>4808</v>
      </c>
      <c r="E3142" s="2" t="b">
        <v>1</v>
      </c>
      <c r="F3142" s="2" t="b">
        <v>0</v>
      </c>
      <c r="G3142" s="2" t="s">
        <v>9937</v>
      </c>
      <c r="H3142" s="3" t="str">
        <f>_xlfn.IFNA(INDEX(RulebookFields!C2:C999, MATCH(D3142,RulebookFields!A2:A999, 0)), "")</f>
      </c>
      <c r="I3142" s="3" t="str">
        <f>_xlfn.IFNA(INDEX(RulebookFields!D2:D999, MATCH(D3142,RulebookFields!A2:A999, 0)), "")</f>
      </c>
      <c r="J3142" s="3" t="str">
        <f>_xlfn.IFNA(INDEX(RulebookFields!I2:I999, MATCH(D3142,RulebookFields!A2:A999, 0)), "")</f>
      </c>
      <c r="K3142" s="3" t="b">
        <f>AND(F3142, J3142)</f>
        <v>0</v>
      </c>
      <c r="L3142" s="3" t="b">
        <f>AND(G3142 &lt;&gt; "plain", G3142 &lt;&gt; "")</f>
        <v>0</v>
      </c>
      <c r="M3142" s="3" t="str">
        <f>IF(E3142, C3142 &amp; "|" &amp; H3142, "")</f>
        <v>principal-knowledge-authority|</v>
      </c>
      <c r="N3142" s="2" t="s">
        <v>9938</v>
      </c>
    </row>
    <row r="3143">
      <c r="A3143" s="2" t="s">
        <v>13079</v>
      </c>
      <c r="B3143" s="3" t="str">
        <f>C3143 &amp; " -&gt; " &amp; D3143</f>
        <v>principal-knowledge-authority -&gt; SendIntents.RefusedOnOptOutOnly</v>
      </c>
      <c r="C3143" s="2" t="s">
        <v>9708</v>
      </c>
      <c r="D3143" s="2" t="s">
        <v>4811</v>
      </c>
      <c r="E3143" s="2" t="b">
        <v>1</v>
      </c>
      <c r="F3143" s="2" t="b">
        <v>0</v>
      </c>
      <c r="G3143" s="2" t="s">
        <v>9937</v>
      </c>
      <c r="H3143" s="3" t="str">
        <f>_xlfn.IFNA(INDEX(RulebookFields!C2:C999, MATCH(D3143,RulebookFields!A2:A999, 0)), "")</f>
      </c>
      <c r="I3143" s="3" t="str">
        <f>_xlfn.IFNA(INDEX(RulebookFields!D2:D999, MATCH(D3143,RulebookFields!A2:A999, 0)), "")</f>
      </c>
      <c r="J3143" s="3" t="str">
        <f>_xlfn.IFNA(INDEX(RulebookFields!I2:I999, MATCH(D3143,RulebookFields!A2:A999, 0)), "")</f>
      </c>
      <c r="K3143" s="3" t="b">
        <f>AND(F3143, J3143)</f>
        <v>0</v>
      </c>
      <c r="L3143" s="3" t="b">
        <f>AND(G3143 &lt;&gt; "plain", G3143 &lt;&gt; "")</f>
        <v>0</v>
      </c>
      <c r="M3143" s="3" t="str">
        <f>IF(E3143, C3143 &amp; "|" &amp; H3143, "")</f>
        <v>principal-knowledge-authority|</v>
      </c>
      <c r="N3143" s="2" t="s">
        <v>9938</v>
      </c>
    </row>
    <row r="3144">
      <c r="A3144" s="2" t="s">
        <v>13080</v>
      </c>
      <c r="B3144" s="3" t="str">
        <f>C3144 &amp; " -&gt; " &amp; D3144</f>
        <v>principal-knowledge-authority -&gt; SendIntents.RefusalWasOnMyRules</v>
      </c>
      <c r="C3144" s="2" t="s">
        <v>9708</v>
      </c>
      <c r="D3144" s="2" t="s">
        <v>4814</v>
      </c>
      <c r="E3144" s="2" t="b">
        <v>1</v>
      </c>
      <c r="F3144" s="2" t="b">
        <v>0</v>
      </c>
      <c r="G3144" s="2" t="s">
        <v>9937</v>
      </c>
      <c r="H3144" s="3" t="str">
        <f>_xlfn.IFNA(INDEX(RulebookFields!C2:C999, MATCH(D3144,RulebookFields!A2:A999, 0)), "")</f>
      </c>
      <c r="I3144" s="3" t="str">
        <f>_xlfn.IFNA(INDEX(RulebookFields!D2:D999, MATCH(D3144,RulebookFields!A2:A999, 0)), "")</f>
      </c>
      <c r="J3144" s="3" t="str">
        <f>_xlfn.IFNA(INDEX(RulebookFields!I2:I999, MATCH(D3144,RulebookFields!A2:A999, 0)), "")</f>
      </c>
      <c r="K3144" s="3" t="b">
        <f>AND(F3144, J3144)</f>
        <v>0</v>
      </c>
      <c r="L3144" s="3" t="b">
        <f>AND(G3144 &lt;&gt; "plain", G3144 &lt;&gt; "")</f>
        <v>0</v>
      </c>
      <c r="M3144" s="3" t="str">
        <f>IF(E3144, C3144 &amp; "|" &amp; H3144, "")</f>
        <v>principal-knowledge-authority|</v>
      </c>
      <c r="N3144" s="2" t="s">
        <v>9938</v>
      </c>
    </row>
    <row r="3145">
      <c r="A3145" s="2" t="s">
        <v>13081</v>
      </c>
      <c r="B3145" s="3" t="str">
        <f>C3145 &amp; " -&gt; " &amp; D3145</f>
        <v>principal-knowledge-authority -&gt; SendIntents.RefusalWasOutsideMyControl</v>
      </c>
      <c r="C3145" s="2" t="s">
        <v>9708</v>
      </c>
      <c r="D3145" s="2" t="s">
        <v>4817</v>
      </c>
      <c r="E3145" s="2" t="b">
        <v>1</v>
      </c>
      <c r="F3145" s="2" t="b">
        <v>0</v>
      </c>
      <c r="G3145" s="2" t="s">
        <v>9937</v>
      </c>
      <c r="H3145" s="3" t="str">
        <f>_xlfn.IFNA(INDEX(RulebookFields!C2:C999, MATCH(D3145,RulebookFields!A2:A999, 0)), "")</f>
      </c>
      <c r="I3145" s="3" t="str">
        <f>_xlfn.IFNA(INDEX(RulebookFields!D2:D999, MATCH(D3145,RulebookFields!A2:A999, 0)), "")</f>
      </c>
      <c r="J3145" s="3" t="str">
        <f>_xlfn.IFNA(INDEX(RulebookFields!I2:I999, MATCH(D3145,RulebookFields!A2:A999, 0)), "")</f>
      </c>
      <c r="K3145" s="3" t="b">
        <f>AND(F3145, J3145)</f>
        <v>0</v>
      </c>
      <c r="L3145" s="3" t="b">
        <f>AND(G3145 &lt;&gt; "plain", G3145 &lt;&gt; "")</f>
        <v>0</v>
      </c>
      <c r="M3145" s="3" t="str">
        <f>IF(E3145, C3145 &amp; "|" &amp; H3145, "")</f>
        <v>principal-knowledge-authority|</v>
      </c>
      <c r="N3145" s="2" t="s">
        <v>9938</v>
      </c>
    </row>
    <row r="3146">
      <c r="A3146" s="2" t="s">
        <v>13082</v>
      </c>
      <c r="B3146" s="3" t="str">
        <f>C3146 &amp; " -&gt; " &amp; D3146</f>
        <v>principal-knowledge-authority -&gt; SendIntents.ApproverWasNotified</v>
      </c>
      <c r="C3146" s="2" t="s">
        <v>9708</v>
      </c>
      <c r="D3146" s="2" t="s">
        <v>4820</v>
      </c>
      <c r="E3146" s="2" t="b">
        <v>1</v>
      </c>
      <c r="F3146" s="2" t="b">
        <v>0</v>
      </c>
      <c r="G3146" s="2" t="s">
        <v>9937</v>
      </c>
      <c r="H3146" s="3" t="str">
        <f>_xlfn.IFNA(INDEX(RulebookFields!C2:C999, MATCH(D3146,RulebookFields!A2:A999, 0)), "")</f>
      </c>
      <c r="I3146" s="3" t="str">
        <f>_xlfn.IFNA(INDEX(RulebookFields!D2:D999, MATCH(D3146,RulebookFields!A2:A999, 0)), "")</f>
      </c>
      <c r="J3146" s="3" t="str">
        <f>_xlfn.IFNA(INDEX(RulebookFields!I2:I999, MATCH(D3146,RulebookFields!A2:A999, 0)), "")</f>
      </c>
      <c r="K3146" s="3" t="b">
        <f>AND(F3146, J3146)</f>
        <v>0</v>
      </c>
      <c r="L3146" s="3" t="b">
        <f>AND(G3146 &lt;&gt; "plain", G3146 &lt;&gt; "")</f>
        <v>0</v>
      </c>
      <c r="M3146" s="3" t="str">
        <f>IF(E3146, C3146 &amp; "|" &amp; H3146, "")</f>
        <v>principal-knowledge-authority|</v>
      </c>
      <c r="N3146" s="2" t="s">
        <v>9938</v>
      </c>
    </row>
    <row r="3147">
      <c r="A3147" s="2" t="s">
        <v>13083</v>
      </c>
      <c r="B3147" s="3" t="str">
        <f>C3147 &amp; " -&gt; " &amp; D3147</f>
        <v>principal-knowledge-authority -&gt; SendIntents.IsUnreportedRefusalOnMyRules</v>
      </c>
      <c r="C3147" s="2" t="s">
        <v>9708</v>
      </c>
      <c r="D3147" s="2" t="s">
        <v>4822</v>
      </c>
      <c r="E3147" s="2" t="b">
        <v>1</v>
      </c>
      <c r="F3147" s="2" t="b">
        <v>0</v>
      </c>
      <c r="G3147" s="2" t="s">
        <v>9937</v>
      </c>
      <c r="H3147" s="3" t="str">
        <f>_xlfn.IFNA(INDEX(RulebookFields!C2:C999, MATCH(D3147,RulebookFields!A2:A999, 0)), "")</f>
      </c>
      <c r="I3147" s="3" t="str">
        <f>_xlfn.IFNA(INDEX(RulebookFields!D2:D999, MATCH(D3147,RulebookFields!A2:A999, 0)), "")</f>
      </c>
      <c r="J3147" s="3" t="str">
        <f>_xlfn.IFNA(INDEX(RulebookFields!I2:I999, MATCH(D3147,RulebookFields!A2:A999, 0)), "")</f>
      </c>
      <c r="K3147" s="3" t="b">
        <f>AND(F3147, J3147)</f>
        <v>0</v>
      </c>
      <c r="L3147" s="3" t="b">
        <f>AND(G3147 &lt;&gt; "plain", G3147 &lt;&gt; "")</f>
        <v>0</v>
      </c>
      <c r="M3147" s="3" t="str">
        <f>IF(E3147, C3147 &amp; "|" &amp; H3147, "")</f>
        <v>principal-knowledge-authority|</v>
      </c>
      <c r="N3147" s="2" t="s">
        <v>9938</v>
      </c>
    </row>
    <row r="3148">
      <c r="A3148" s="2" t="s">
        <v>13084</v>
      </c>
      <c r="B3148" s="3" t="str">
        <f>C3148 &amp; " -&gt; " &amp; D3148</f>
        <v>principal-knowledge-authority -&gt; SendIntents.IsApprovalOverriddenSilently</v>
      </c>
      <c r="C3148" s="2" t="s">
        <v>9708</v>
      </c>
      <c r="D3148" s="2" t="s">
        <v>4825</v>
      </c>
      <c r="E3148" s="2" t="b">
        <v>1</v>
      </c>
      <c r="F3148" s="2" t="b">
        <v>0</v>
      </c>
      <c r="G3148" s="2" t="s">
        <v>9937</v>
      </c>
      <c r="H3148" s="3" t="str">
        <f>_xlfn.IFNA(INDEX(RulebookFields!C2:C999, MATCH(D3148,RulebookFields!A2:A999, 0)), "")</f>
      </c>
      <c r="I3148" s="3" t="str">
        <f>_xlfn.IFNA(INDEX(RulebookFields!D2:D999, MATCH(D3148,RulebookFields!A2:A999, 0)), "")</f>
      </c>
      <c r="J3148" s="3" t="str">
        <f>_xlfn.IFNA(INDEX(RulebookFields!I2:I999, MATCH(D3148,RulebookFields!A2:A999, 0)), "")</f>
      </c>
      <c r="K3148" s="3" t="b">
        <f>AND(F3148, J3148)</f>
        <v>0</v>
      </c>
      <c r="L3148" s="3" t="b">
        <f>AND(G3148 &lt;&gt; "plain", G3148 &lt;&gt; "")</f>
        <v>0</v>
      </c>
      <c r="M3148" s="3" t="str">
        <f>IF(E3148, C3148 &amp; "|" &amp; H3148, "")</f>
        <v>principal-knowledge-authority|</v>
      </c>
      <c r="N3148" s="2" t="s">
        <v>9938</v>
      </c>
    </row>
    <row r="3149">
      <c r="A3149" s="2" t="s">
        <v>13085</v>
      </c>
      <c r="B3149" s="3" t="str">
        <f>C3149 &amp; " -&gt; " &amp; D3149</f>
        <v>principal-knowledge-authority -&gt; SendIntents.AlternateChannelIntent</v>
      </c>
      <c r="C3149" s="2" t="s">
        <v>9708</v>
      </c>
      <c r="D3149" s="2" t="s">
        <v>4828</v>
      </c>
      <c r="E3149" s="2" t="b">
        <v>1</v>
      </c>
      <c r="F3149" s="2" t="b">
        <v>0</v>
      </c>
      <c r="G3149" s="2" t="s">
        <v>9937</v>
      </c>
      <c r="H3149" s="3" t="str">
        <f>_xlfn.IFNA(INDEX(RulebookFields!C2:C999, MATCH(D3149,RulebookFields!A2:A999, 0)), "")</f>
      </c>
      <c r="I3149" s="3" t="str">
        <f>_xlfn.IFNA(INDEX(RulebookFields!D2:D999, MATCH(D3149,RulebookFields!A2:A999, 0)), "")</f>
      </c>
      <c r="J3149" s="3" t="str">
        <f>_xlfn.IFNA(INDEX(RulebookFields!I2:I999, MATCH(D3149,RulebookFields!A2:A999, 0)), "")</f>
      </c>
      <c r="K3149" s="3" t="b">
        <f>AND(F3149, J3149)</f>
        <v>0</v>
      </c>
      <c r="L3149" s="3" t="b">
        <f>AND(G3149 &lt;&gt; "plain", G3149 &lt;&gt; "")</f>
        <v>0</v>
      </c>
      <c r="M3149" s="3" t="str">
        <f>IF(E3149, C3149 &amp; "|" &amp; H3149, "")</f>
        <v>principal-knowledge-authority|</v>
      </c>
      <c r="N3149" s="2" t="s">
        <v>9938</v>
      </c>
    </row>
    <row r="3150">
      <c r="A3150" s="2" t="s">
        <v>13086</v>
      </c>
      <c r="B3150" s="3" t="str">
        <f>C3150 &amp; " -&gt; " &amp; D3150</f>
        <v>principal-knowledge-authority -&gt; SendIntents.HasAlternateChannelAttempt</v>
      </c>
      <c r="C3150" s="2" t="s">
        <v>9708</v>
      </c>
      <c r="D3150" s="2" t="s">
        <v>4830</v>
      </c>
      <c r="E3150" s="2" t="b">
        <v>1</v>
      </c>
      <c r="F3150" s="2" t="b">
        <v>0</v>
      </c>
      <c r="G3150" s="2" t="s">
        <v>9937</v>
      </c>
      <c r="H3150" s="3" t="str">
        <f>_xlfn.IFNA(INDEX(RulebookFields!C2:C999, MATCH(D3150,RulebookFields!A2:A999, 0)), "")</f>
      </c>
      <c r="I3150" s="3" t="str">
        <f>_xlfn.IFNA(INDEX(RulebookFields!D2:D999, MATCH(D3150,RulebookFields!A2:A999, 0)), "")</f>
      </c>
      <c r="J3150" s="3" t="str">
        <f>_xlfn.IFNA(INDEX(RulebookFields!I2:I999, MATCH(D3150,RulebookFields!A2:A999, 0)), "")</f>
      </c>
      <c r="K3150" s="3" t="b">
        <f>AND(F3150, J3150)</f>
        <v>0</v>
      </c>
      <c r="L3150" s="3" t="b">
        <f>AND(G3150 &lt;&gt; "plain", G3150 &lt;&gt; "")</f>
        <v>0</v>
      </c>
      <c r="M3150" s="3" t="str">
        <f>IF(E3150, C3150 &amp; "|" &amp; H3150, "")</f>
        <v>principal-knowledge-authority|</v>
      </c>
      <c r="N3150" s="2" t="s">
        <v>9938</v>
      </c>
    </row>
    <row r="3151">
      <c r="A3151" s="2" t="s">
        <v>13087</v>
      </c>
      <c r="B3151" s="3" t="str">
        <f>C3151 &amp; " -&gt; " &amp; D3151</f>
        <v>principal-knowledge-authority -&gt; SendIntents.AlternateAttemptWasCleared</v>
      </c>
      <c r="C3151" s="2" t="s">
        <v>9708</v>
      </c>
      <c r="D3151" s="2" t="s">
        <v>4833</v>
      </c>
      <c r="E3151" s="2" t="b">
        <v>1</v>
      </c>
      <c r="F3151" s="2" t="b">
        <v>0</v>
      </c>
      <c r="G3151" s="2" t="s">
        <v>9937</v>
      </c>
      <c r="H3151" s="3" t="str">
        <f>_xlfn.IFNA(INDEX(RulebookFields!C2:C999, MATCH(D3151,RulebookFields!A2:A999, 0)), "")</f>
      </c>
      <c r="I3151" s="3" t="str">
        <f>_xlfn.IFNA(INDEX(RulebookFields!D2:D999, MATCH(D3151,RulebookFields!A2:A999, 0)), "")</f>
      </c>
      <c r="J3151" s="3" t="str">
        <f>_xlfn.IFNA(INDEX(RulebookFields!I2:I999, MATCH(D3151,RulebookFields!A2:A999, 0)), "")</f>
      </c>
      <c r="K3151" s="3" t="b">
        <f>AND(F3151, J3151)</f>
        <v>0</v>
      </c>
      <c r="L3151" s="3" t="b">
        <f>AND(G3151 &lt;&gt; "plain", G3151 &lt;&gt; "")</f>
        <v>0</v>
      </c>
      <c r="M3151" s="3" t="str">
        <f>IF(E3151, C3151 &amp; "|" &amp; H3151, "")</f>
        <v>principal-knowledge-authority|</v>
      </c>
      <c r="N3151" s="2" t="s">
        <v>9938</v>
      </c>
    </row>
    <row r="3152">
      <c r="A3152" s="2" t="s">
        <v>13088</v>
      </c>
      <c r="B3152" s="3" t="str">
        <f>C3152 &amp; " -&gt; " &amp; D3152</f>
        <v>principal-knowledge-authority -&gt; SendIntents.IsRefusedWithNoAlternative</v>
      </c>
      <c r="C3152" s="2" t="s">
        <v>9708</v>
      </c>
      <c r="D3152" s="2" t="s">
        <v>4836</v>
      </c>
      <c r="E3152" s="2" t="b">
        <v>1</v>
      </c>
      <c r="F3152" s="2" t="b">
        <v>0</v>
      </c>
      <c r="G3152" s="2" t="s">
        <v>9937</v>
      </c>
      <c r="H3152" s="3" t="str">
        <f>_xlfn.IFNA(INDEX(RulebookFields!C2:C999, MATCH(D3152,RulebookFields!A2:A999, 0)), "")</f>
      </c>
      <c r="I3152" s="3" t="str">
        <f>_xlfn.IFNA(INDEX(RulebookFields!D2:D999, MATCH(D3152,RulebookFields!A2:A999, 0)), "")</f>
      </c>
      <c r="J3152" s="3" t="str">
        <f>_xlfn.IFNA(INDEX(RulebookFields!I2:I999, MATCH(D3152,RulebookFields!A2:A999, 0)), "")</f>
      </c>
      <c r="K3152" s="3" t="b">
        <f>AND(F3152, J3152)</f>
        <v>0</v>
      </c>
      <c r="L3152" s="3" t="b">
        <f>AND(G3152 &lt;&gt; "plain", G3152 &lt;&gt; "")</f>
        <v>0</v>
      </c>
      <c r="M3152" s="3" t="str">
        <f>IF(E3152, C3152 &amp; "|" &amp; H3152, "")</f>
        <v>principal-knowledge-authority|</v>
      </c>
      <c r="N3152" s="2" t="s">
        <v>9938</v>
      </c>
    </row>
    <row r="3153">
      <c r="A3153" s="2" t="s">
        <v>13089</v>
      </c>
      <c r="B3153" s="3" t="str">
        <f>C3153 &amp; " -&gt; " &amp; D3153</f>
        <v>principal-knowledge-authority -&gt; SendIntents.ExceptionPrescribedAnAlternative</v>
      </c>
      <c r="C3153" s="2" t="s">
        <v>9708</v>
      </c>
      <c r="D3153" s="2" t="s">
        <v>4839</v>
      </c>
      <c r="E3153" s="2" t="b">
        <v>1</v>
      </c>
      <c r="F3153" s="2" t="b">
        <v>0</v>
      </c>
      <c r="G3153" s="2" t="s">
        <v>9937</v>
      </c>
      <c r="H3153" s="3" t="str">
        <f>_xlfn.IFNA(INDEX(RulebookFields!C2:C999, MATCH(D3153,RulebookFields!A2:A999, 0)), "")</f>
      </c>
      <c r="I3153" s="3" t="str">
        <f>_xlfn.IFNA(INDEX(RulebookFields!D2:D999, MATCH(D3153,RulebookFields!A2:A999, 0)), "")</f>
      </c>
      <c r="J3153" s="3" t="str">
        <f>_xlfn.IFNA(INDEX(RulebookFields!I2:I999, MATCH(D3153,RulebookFields!A2:A999, 0)), "")</f>
      </c>
      <c r="K3153" s="3" t="b">
        <f>AND(F3153, J3153)</f>
        <v>0</v>
      </c>
      <c r="L3153" s="3" t="b">
        <f>AND(G3153 &lt;&gt; "plain", G3153 &lt;&gt; "")</f>
        <v>0</v>
      </c>
      <c r="M3153" s="3" t="str">
        <f>IF(E3153, C3153 &amp; "|" &amp; H3153, "")</f>
        <v>principal-knowledge-authority|</v>
      </c>
      <c r="N3153" s="2" t="s">
        <v>9938</v>
      </c>
    </row>
    <row r="3154">
      <c r="A3154" s="2" t="s">
        <v>13090</v>
      </c>
      <c r="B3154" s="3" t="str">
        <f>C3154 &amp; " -&gt; " &amp; D3154</f>
        <v>principal-knowledge-authority -&gt; SendIntents.PrescribedHandlingWasPerformed</v>
      </c>
      <c r="C3154" s="2" t="s">
        <v>9708</v>
      </c>
      <c r="D3154" s="2" t="s">
        <v>4842</v>
      </c>
      <c r="E3154" s="2" t="b">
        <v>1</v>
      </c>
      <c r="F3154" s="2" t="b">
        <v>0</v>
      </c>
      <c r="G3154" s="2" t="s">
        <v>9937</v>
      </c>
      <c r="H3154" s="3" t="str">
        <f>_xlfn.IFNA(INDEX(RulebookFields!C2:C999, MATCH(D3154,RulebookFields!A2:A999, 0)), "")</f>
      </c>
      <c r="I3154" s="3" t="str">
        <f>_xlfn.IFNA(INDEX(RulebookFields!D2:D999, MATCH(D3154,RulebookFields!A2:A999, 0)), "")</f>
      </c>
      <c r="J3154" s="3" t="str">
        <f>_xlfn.IFNA(INDEX(RulebookFields!I2:I999, MATCH(D3154,RulebookFields!A2:A999, 0)), "")</f>
      </c>
      <c r="K3154" s="3" t="b">
        <f>AND(F3154, J3154)</f>
        <v>0</v>
      </c>
      <c r="L3154" s="3" t="b">
        <f>AND(G3154 &lt;&gt; "plain", G3154 &lt;&gt; "")</f>
        <v>0</v>
      </c>
      <c r="M3154" s="3" t="str">
        <f>IF(E3154, C3154 &amp; "|" &amp; H3154, "")</f>
        <v>principal-knowledge-authority|</v>
      </c>
      <c r="N3154" s="2" t="s">
        <v>9938</v>
      </c>
    </row>
    <row r="3155">
      <c r="A3155" s="2" t="s">
        <v>13091</v>
      </c>
      <c r="B3155" s="3" t="str">
        <f>C3155 &amp; " -&gt; " &amp; D3155</f>
        <v>principal-knowledge-authority -&gt; SendIntents.IsSuppressionWithoutRemedy</v>
      </c>
      <c r="C3155" s="2" t="s">
        <v>9708</v>
      </c>
      <c r="D3155" s="2" t="s">
        <v>4845</v>
      </c>
      <c r="E3155" s="2" t="b">
        <v>1</v>
      </c>
      <c r="F3155" s="2" t="b">
        <v>0</v>
      </c>
      <c r="G3155" s="2" t="s">
        <v>9937</v>
      </c>
      <c r="H3155" s="3" t="str">
        <f>_xlfn.IFNA(INDEX(RulebookFields!C2:C999, MATCH(D3155,RulebookFields!A2:A999, 0)), "")</f>
      </c>
      <c r="I3155" s="3" t="str">
        <f>_xlfn.IFNA(INDEX(RulebookFields!D2:D999, MATCH(D3155,RulebookFields!A2:A999, 0)), "")</f>
      </c>
      <c r="J3155" s="3" t="str">
        <f>_xlfn.IFNA(INDEX(RulebookFields!I2:I999, MATCH(D3155,RulebookFields!A2:A999, 0)), "")</f>
      </c>
      <c r="K3155" s="3" t="b">
        <f>AND(F3155, J3155)</f>
        <v>0</v>
      </c>
      <c r="L3155" s="3" t="b">
        <f>AND(G3155 &lt;&gt; "plain", G3155 &lt;&gt; "")</f>
        <v>0</v>
      </c>
      <c r="M3155" s="3" t="str">
        <f>IF(E3155, C3155 &amp; "|" &amp; H3155, "")</f>
        <v>principal-knowledge-authority|</v>
      </c>
      <c r="N3155" s="2" t="s">
        <v>9938</v>
      </c>
    </row>
    <row r="3156">
      <c r="A3156" s="2" t="s">
        <v>13092</v>
      </c>
      <c r="B3156" s="3" t="str">
        <f>C3156 &amp; " -&gt; " &amp; D3156</f>
        <v>principal-knowledge-authority -&gt; SendIntents.RefusalRecordedAt</v>
      </c>
      <c r="C3156" s="2" t="s">
        <v>9708</v>
      </c>
      <c r="D3156" s="2" t="s">
        <v>4848</v>
      </c>
      <c r="E3156" s="2" t="b">
        <v>1</v>
      </c>
      <c r="F3156" s="2" t="b">
        <v>0</v>
      </c>
      <c r="G3156" s="2" t="s">
        <v>9937</v>
      </c>
      <c r="H3156" s="3" t="str">
        <f>_xlfn.IFNA(INDEX(RulebookFields!C2:C999, MATCH(D3156,RulebookFields!A2:A999, 0)), "")</f>
      </c>
      <c r="I3156" s="3" t="str">
        <f>_xlfn.IFNA(INDEX(RulebookFields!D2:D999, MATCH(D3156,RulebookFields!A2:A999, 0)), "")</f>
      </c>
      <c r="J3156" s="3" t="str">
        <f>_xlfn.IFNA(INDEX(RulebookFields!I2:I999, MATCH(D3156,RulebookFields!A2:A999, 0)), "")</f>
      </c>
      <c r="K3156" s="3" t="b">
        <f>AND(F3156, J3156)</f>
        <v>0</v>
      </c>
      <c r="L3156" s="3" t="b">
        <f>AND(G3156 &lt;&gt; "plain", G3156 &lt;&gt; "")</f>
        <v>0</v>
      </c>
      <c r="M3156" s="3" t="str">
        <f>IF(E3156, C3156 &amp; "|" &amp; H3156, "")</f>
        <v>principal-knowledge-authority|</v>
      </c>
      <c r="N3156" s="2" t="s">
        <v>9938</v>
      </c>
    </row>
    <row r="3157">
      <c r="A3157" s="2" t="s">
        <v>13093</v>
      </c>
      <c r="B3157" s="3" t="str">
        <f>C3157 &amp; " -&gt; " &amp; D3157</f>
        <v>principal-knowledge-authority -&gt; SendIntents.RefusalNotifiedRole</v>
      </c>
      <c r="C3157" s="2" t="s">
        <v>9708</v>
      </c>
      <c r="D3157" s="2" t="s">
        <v>4850</v>
      </c>
      <c r="E3157" s="2" t="b">
        <v>1</v>
      </c>
      <c r="F3157" s="2" t="b">
        <v>0</v>
      </c>
      <c r="G3157" s="2" t="s">
        <v>9937</v>
      </c>
      <c r="H3157" s="3" t="str">
        <f>_xlfn.IFNA(INDEX(RulebookFields!C2:C999, MATCH(D3157,RulebookFields!A2:A999, 0)), "")</f>
      </c>
      <c r="I3157" s="3" t="str">
        <f>_xlfn.IFNA(INDEX(RulebookFields!D2:D999, MATCH(D3157,RulebookFields!A2:A999, 0)), "")</f>
      </c>
      <c r="J3157" s="3" t="str">
        <f>_xlfn.IFNA(INDEX(RulebookFields!I2:I999, MATCH(D3157,RulebookFields!A2:A999, 0)), "")</f>
      </c>
      <c r="K3157" s="3" t="b">
        <f>AND(F3157, J3157)</f>
        <v>0</v>
      </c>
      <c r="L3157" s="3" t="b">
        <f>AND(G3157 &lt;&gt; "plain", G3157 &lt;&gt; "")</f>
        <v>0</v>
      </c>
      <c r="M3157" s="3" t="str">
        <f>IF(E3157, C3157 &amp; "|" &amp; H3157, "")</f>
        <v>principal-knowledge-authority|</v>
      </c>
      <c r="N3157" s="2" t="s">
        <v>9938</v>
      </c>
    </row>
    <row r="3158">
      <c r="A3158" s="2" t="s">
        <v>13094</v>
      </c>
      <c r="B3158" s="3" t="str">
        <f>C3158 &amp; " -&gt; " &amp; D3158</f>
        <v>principal-knowledge-authority -&gt; SendIntents.HasDurableRefusalRecord</v>
      </c>
      <c r="C3158" s="2" t="s">
        <v>9708</v>
      </c>
      <c r="D3158" s="2" t="s">
        <v>4852</v>
      </c>
      <c r="E3158" s="2" t="b">
        <v>1</v>
      </c>
      <c r="F3158" s="2" t="b">
        <v>0</v>
      </c>
      <c r="G3158" s="2" t="s">
        <v>9937</v>
      </c>
      <c r="H3158" s="3" t="str">
        <f>_xlfn.IFNA(INDEX(RulebookFields!C2:C999, MATCH(D3158,RulebookFields!A2:A999, 0)), "")</f>
      </c>
      <c r="I3158" s="3" t="str">
        <f>_xlfn.IFNA(INDEX(RulebookFields!D2:D999, MATCH(D3158,RulebookFields!A2:A999, 0)), "")</f>
      </c>
      <c r="J3158" s="3" t="str">
        <f>_xlfn.IFNA(INDEX(RulebookFields!I2:I999, MATCH(D3158,RulebookFields!A2:A999, 0)), "")</f>
      </c>
      <c r="K3158" s="3" t="b">
        <f>AND(F3158, J3158)</f>
        <v>0</v>
      </c>
      <c r="L3158" s="3" t="b">
        <f>AND(G3158 &lt;&gt; "plain", G3158 &lt;&gt; "")</f>
        <v>0</v>
      </c>
      <c r="M3158" s="3" t="str">
        <f>IF(E3158, C3158 &amp; "|" &amp; H3158, "")</f>
        <v>principal-knowledge-authority|</v>
      </c>
      <c r="N3158" s="2" t="s">
        <v>9938</v>
      </c>
    </row>
    <row r="3159">
      <c r="A3159" s="2" t="s">
        <v>13095</v>
      </c>
      <c r="B3159" s="3" t="str">
        <f>C3159 &amp; " -&gt; " &amp; D3159</f>
        <v>principal-knowledge-authority -&gt; SendIntents.RefusalWasEscalated</v>
      </c>
      <c r="C3159" s="2" t="s">
        <v>9708</v>
      </c>
      <c r="D3159" s="2" t="s">
        <v>4855</v>
      </c>
      <c r="E3159" s="2" t="b">
        <v>1</v>
      </c>
      <c r="F3159" s="2" t="b">
        <v>0</v>
      </c>
      <c r="G3159" s="2" t="s">
        <v>9937</v>
      </c>
      <c r="H3159" s="3" t="str">
        <f>_xlfn.IFNA(INDEX(RulebookFields!C2:C999, MATCH(D3159,RulebookFields!A2:A999, 0)), "")</f>
      </c>
      <c r="I3159" s="3" t="str">
        <f>_xlfn.IFNA(INDEX(RulebookFields!D2:D999, MATCH(D3159,RulebookFields!A2:A999, 0)), "")</f>
      </c>
      <c r="J3159" s="3" t="str">
        <f>_xlfn.IFNA(INDEX(RulebookFields!I2:I999, MATCH(D3159,RulebookFields!A2:A999, 0)), "")</f>
      </c>
      <c r="K3159" s="3" t="b">
        <f>AND(F3159, J3159)</f>
        <v>0</v>
      </c>
      <c r="L3159" s="3" t="b">
        <f>AND(G3159 &lt;&gt; "plain", G3159 &lt;&gt; "")</f>
        <v>0</v>
      </c>
      <c r="M3159" s="3" t="str">
        <f>IF(E3159, C3159 &amp; "|" &amp; H3159, "")</f>
        <v>principal-knowledge-authority|</v>
      </c>
      <c r="N3159" s="2" t="s">
        <v>9938</v>
      </c>
    </row>
    <row r="3160">
      <c r="A3160" s="2" t="s">
        <v>13096</v>
      </c>
      <c r="B3160" s="3" t="str">
        <f>C3160 &amp; " -&gt; " &amp; D3160</f>
        <v>principal-knowledge-authority -&gt; SendIntents.IsUnrecordedRefusal</v>
      </c>
      <c r="C3160" s="2" t="s">
        <v>9708</v>
      </c>
      <c r="D3160" s="2" t="s">
        <v>4858</v>
      </c>
      <c r="E3160" s="2" t="b">
        <v>1</v>
      </c>
      <c r="F3160" s="2" t="b">
        <v>0</v>
      </c>
      <c r="G3160" s="2" t="s">
        <v>9937</v>
      </c>
      <c r="H3160" s="3" t="str">
        <f>_xlfn.IFNA(INDEX(RulebookFields!C2:C999, MATCH(D3160,RulebookFields!A2:A999, 0)), "")</f>
      </c>
      <c r="I3160" s="3" t="str">
        <f>_xlfn.IFNA(INDEX(RulebookFields!D2:D999, MATCH(D3160,RulebookFields!A2:A999, 0)), "")</f>
      </c>
      <c r="J3160" s="3" t="str">
        <f>_xlfn.IFNA(INDEX(RulebookFields!I2:I999, MATCH(D3160,RulebookFields!A2:A999, 0)), "")</f>
      </c>
      <c r="K3160" s="3" t="b">
        <f>AND(F3160, J3160)</f>
        <v>0</v>
      </c>
      <c r="L3160" s="3" t="b">
        <f>AND(G3160 &lt;&gt; "plain", G3160 &lt;&gt; "")</f>
        <v>0</v>
      </c>
      <c r="M3160" s="3" t="str">
        <f>IF(E3160, C3160 &amp; "|" &amp; H3160, "")</f>
        <v>principal-knowledge-authority|</v>
      </c>
      <c r="N3160" s="2" t="s">
        <v>9938</v>
      </c>
    </row>
    <row r="3161">
      <c r="A3161" s="2" t="s">
        <v>13097</v>
      </c>
      <c r="B3161" s="3" t="str">
        <f>C3161 &amp; " -&gt; " &amp; D3161</f>
        <v>principal-knowledge-authority -&gt; SendIntents.IsUnescalatedRefusal</v>
      </c>
      <c r="C3161" s="2" t="s">
        <v>9708</v>
      </c>
      <c r="D3161" s="2" t="s">
        <v>4861</v>
      </c>
      <c r="E3161" s="2" t="b">
        <v>1</v>
      </c>
      <c r="F3161" s="2" t="b">
        <v>0</v>
      </c>
      <c r="G3161" s="2" t="s">
        <v>9937</v>
      </c>
      <c r="H3161" s="3" t="str">
        <f>_xlfn.IFNA(INDEX(RulebookFields!C2:C999, MATCH(D3161,RulebookFields!A2:A999, 0)), "")</f>
      </c>
      <c r="I3161" s="3" t="str">
        <f>_xlfn.IFNA(INDEX(RulebookFields!D2:D999, MATCH(D3161,RulebookFields!A2:A999, 0)), "")</f>
      </c>
      <c r="J3161" s="3" t="str">
        <f>_xlfn.IFNA(INDEX(RulebookFields!I2:I999, MATCH(D3161,RulebookFields!A2:A999, 0)), "")</f>
      </c>
      <c r="K3161" s="3" t="b">
        <f>AND(F3161, J3161)</f>
        <v>0</v>
      </c>
      <c r="L3161" s="3" t="b">
        <f>AND(G3161 &lt;&gt; "plain", G3161 &lt;&gt; "")</f>
        <v>0</v>
      </c>
      <c r="M3161" s="3" t="str">
        <f>IF(E3161, C3161 &amp; "|" &amp; H3161, "")</f>
        <v>principal-knowledge-authority|</v>
      </c>
      <c r="N3161" s="2" t="s">
        <v>9938</v>
      </c>
    </row>
    <row r="3162">
      <c r="A3162" s="2" t="s">
        <v>13098</v>
      </c>
      <c r="B3162" s="3" t="str">
        <f>C3162 &amp; " -&gt; " &amp; D3162</f>
        <v>principal-knowledge-authority -&gt; SendIntents.UnescalatedRefusalRoleKey</v>
      </c>
      <c r="C3162" s="2" t="s">
        <v>9708</v>
      </c>
      <c r="D3162" s="2" t="s">
        <v>4864</v>
      </c>
      <c r="E3162" s="2" t="b">
        <v>1</v>
      </c>
      <c r="F3162" s="2" t="b">
        <v>0</v>
      </c>
      <c r="G3162" s="2" t="s">
        <v>9937</v>
      </c>
      <c r="H3162" s="3" t="str">
        <f>_xlfn.IFNA(INDEX(RulebookFields!C2:C999, MATCH(D3162,RulebookFields!A2:A999, 0)), "")</f>
      </c>
      <c r="I3162" s="3" t="str">
        <f>_xlfn.IFNA(INDEX(RulebookFields!D2:D999, MATCH(D3162,RulebookFields!A2:A999, 0)), "")</f>
      </c>
      <c r="J3162" s="3" t="str">
        <f>_xlfn.IFNA(INDEX(RulebookFields!I2:I999, MATCH(D3162,RulebookFields!A2:A999, 0)), "")</f>
      </c>
      <c r="K3162" s="3" t="b">
        <f>AND(F3162, J3162)</f>
        <v>0</v>
      </c>
      <c r="L3162" s="3" t="b">
        <f>AND(G3162 &lt;&gt; "plain", G3162 &lt;&gt; "")</f>
        <v>0</v>
      </c>
      <c r="M3162" s="3" t="str">
        <f>IF(E3162, C3162 &amp; "|" &amp; H3162, "")</f>
        <v>principal-knowledge-authority|</v>
      </c>
      <c r="N3162" s="2" t="s">
        <v>9938</v>
      </c>
    </row>
    <row r="3163">
      <c r="A3163" s="2" t="s">
        <v>13099</v>
      </c>
      <c r="B3163" s="3" t="str">
        <f>C3163 &amp; " -&gt; " &amp; D3163</f>
        <v>principal-knowledge-authority -&gt; SendIntents.UnrecordedRefusalExecutionKey</v>
      </c>
      <c r="C3163" s="2" t="s">
        <v>9708</v>
      </c>
      <c r="D3163" s="2" t="s">
        <v>4867</v>
      </c>
      <c r="E3163" s="2" t="b">
        <v>1</v>
      </c>
      <c r="F3163" s="2" t="b">
        <v>0</v>
      </c>
      <c r="G3163" s="2" t="s">
        <v>9937</v>
      </c>
      <c r="H3163" s="3" t="str">
        <f>_xlfn.IFNA(INDEX(RulebookFields!C2:C999, MATCH(D3163,RulebookFields!A2:A999, 0)), "")</f>
      </c>
      <c r="I3163" s="3" t="str">
        <f>_xlfn.IFNA(INDEX(RulebookFields!D2:D999, MATCH(D3163,RulebookFields!A2:A999, 0)), "")</f>
      </c>
      <c r="J3163" s="3" t="str">
        <f>_xlfn.IFNA(INDEX(RulebookFields!I2:I999, MATCH(D3163,RulebookFields!A2:A999, 0)), "")</f>
      </c>
      <c r="K3163" s="3" t="b">
        <f>AND(F3163, J3163)</f>
        <v>0</v>
      </c>
      <c r="L3163" s="3" t="b">
        <f>AND(G3163 &lt;&gt; "plain", G3163 &lt;&gt; "")</f>
        <v>0</v>
      </c>
      <c r="M3163" s="3" t="str">
        <f>IF(E3163, C3163 &amp; "|" &amp; H3163, "")</f>
        <v>principal-knowledge-authority|</v>
      </c>
      <c r="N3163" s="2" t="s">
        <v>9938</v>
      </c>
    </row>
    <row r="3164">
      <c r="A3164" s="2" t="s">
        <v>13100</v>
      </c>
      <c r="B3164" s="3" t="str">
        <f>C3164 &amp; " -&gt; " &amp; D3164</f>
        <v>principal-knowledge-authority -&gt; SendIntents.RetryIntent</v>
      </c>
      <c r="C3164" s="2" t="s">
        <v>9708</v>
      </c>
      <c r="D3164" s="2" t="s">
        <v>4870</v>
      </c>
      <c r="E3164" s="2" t="b">
        <v>1</v>
      </c>
      <c r="F3164" s="2" t="b">
        <v>0</v>
      </c>
      <c r="G3164" s="2" t="s">
        <v>9937</v>
      </c>
      <c r="H3164" s="3" t="str">
        <f>_xlfn.IFNA(INDEX(RulebookFields!C2:C999, MATCH(D3164,RulebookFields!A2:A999, 0)), "")</f>
      </c>
      <c r="I3164" s="3" t="str">
        <f>_xlfn.IFNA(INDEX(RulebookFields!D2:D999, MATCH(D3164,RulebookFields!A2:A999, 0)), "")</f>
      </c>
      <c r="J3164" s="3" t="str">
        <f>_xlfn.IFNA(INDEX(RulebookFields!I2:I999, MATCH(D3164,RulebookFields!A2:A999, 0)), "")</f>
      </c>
      <c r="K3164" s="3" t="b">
        <f>AND(F3164, J3164)</f>
        <v>0</v>
      </c>
      <c r="L3164" s="3" t="b">
        <f>AND(G3164 &lt;&gt; "plain", G3164 &lt;&gt; "")</f>
        <v>0</v>
      </c>
      <c r="M3164" s="3" t="str">
        <f>IF(E3164, C3164 &amp; "|" &amp; H3164, "")</f>
        <v>principal-knowledge-authority|</v>
      </c>
      <c r="N3164" s="2" t="s">
        <v>9938</v>
      </c>
    </row>
    <row r="3165">
      <c r="A3165" s="2" t="s">
        <v>13101</v>
      </c>
      <c r="B3165" s="3" t="str">
        <f>C3165 &amp; " -&gt; " &amp; D3165</f>
        <v>principal-knowledge-authority -&gt; SendIntents.WasDeferredOnTiming</v>
      </c>
      <c r="C3165" s="2" t="s">
        <v>9708</v>
      </c>
      <c r="D3165" s="2" t="s">
        <v>4872</v>
      </c>
      <c r="E3165" s="2" t="b">
        <v>1</v>
      </c>
      <c r="F3165" s="2" t="b">
        <v>0</v>
      </c>
      <c r="G3165" s="2" t="s">
        <v>9937</v>
      </c>
      <c r="H3165" s="3" t="str">
        <f>_xlfn.IFNA(INDEX(RulebookFields!C2:C999, MATCH(D3165,RulebookFields!A2:A999, 0)), "")</f>
      </c>
      <c r="I3165" s="3" t="str">
        <f>_xlfn.IFNA(INDEX(RulebookFields!D2:D999, MATCH(D3165,RulebookFields!A2:A999, 0)), "")</f>
      </c>
      <c r="J3165" s="3" t="str">
        <f>_xlfn.IFNA(INDEX(RulebookFields!I2:I999, MATCH(D3165,RulebookFields!A2:A999, 0)), "")</f>
      </c>
      <c r="K3165" s="3" t="b">
        <f>AND(F3165, J3165)</f>
        <v>0</v>
      </c>
      <c r="L3165" s="3" t="b">
        <f>AND(G3165 &lt;&gt; "plain", G3165 &lt;&gt; "")</f>
        <v>0</v>
      </c>
      <c r="M3165" s="3" t="str">
        <f>IF(E3165, C3165 &amp; "|" &amp; H3165, "")</f>
        <v>principal-knowledge-authority|</v>
      </c>
      <c r="N3165" s="2" t="s">
        <v>9938</v>
      </c>
    </row>
    <row r="3166">
      <c r="A3166" s="2" t="s">
        <v>13102</v>
      </c>
      <c r="B3166" s="3" t="str">
        <f>C3166 &amp; " -&gt; " &amp; D3166</f>
        <v>principal-knowledge-authority -&gt; SendIntents.EvaluationContext</v>
      </c>
      <c r="C3166" s="2" t="s">
        <v>9708</v>
      </c>
      <c r="D3166" s="2" t="s">
        <v>4875</v>
      </c>
      <c r="E3166" s="2" t="b">
        <v>1</v>
      </c>
      <c r="F3166" s="2" t="b">
        <v>0</v>
      </c>
      <c r="G3166" s="2" t="s">
        <v>9937</v>
      </c>
      <c r="H3166" s="3" t="str">
        <f>_xlfn.IFNA(INDEX(RulebookFields!C2:C999, MATCH(D3166,RulebookFields!A2:A999, 0)), "")</f>
      </c>
      <c r="I3166" s="3" t="str">
        <f>_xlfn.IFNA(INDEX(RulebookFields!D2:D999, MATCH(D3166,RulebookFields!A2:A999, 0)), "")</f>
      </c>
      <c r="J3166" s="3" t="str">
        <f>_xlfn.IFNA(INDEX(RulebookFields!I2:I999, MATCH(D3166,RulebookFields!A2:A999, 0)), "")</f>
      </c>
      <c r="K3166" s="3" t="b">
        <f>AND(F3166, J3166)</f>
        <v>0</v>
      </c>
      <c r="L3166" s="3" t="b">
        <f>AND(G3166 &lt;&gt; "plain", G3166 &lt;&gt; "")</f>
        <v>0</v>
      </c>
      <c r="M3166" s="3" t="str">
        <f>IF(E3166, C3166 &amp; "|" &amp; H3166, "")</f>
        <v>principal-knowledge-authority|</v>
      </c>
      <c r="N3166" s="2" t="s">
        <v>9938</v>
      </c>
    </row>
    <row r="3167">
      <c r="A3167" s="2" t="s">
        <v>13103</v>
      </c>
      <c r="B3167" s="3" t="str">
        <f>C3167 &amp; " -&gt; " &amp; D3167</f>
        <v>principal-knowledge-authority -&gt; SendIntents.AsOfInstant</v>
      </c>
      <c r="C3167" s="2" t="s">
        <v>9708</v>
      </c>
      <c r="D3167" s="2" t="s">
        <v>4876</v>
      </c>
      <c r="E3167" s="2" t="b">
        <v>1</v>
      </c>
      <c r="F3167" s="2" t="b">
        <v>0</v>
      </c>
      <c r="G3167" s="2" t="s">
        <v>9937</v>
      </c>
      <c r="H3167" s="3" t="str">
        <f>_xlfn.IFNA(INDEX(RulebookFields!C2:C999, MATCH(D3167,RulebookFields!A2:A999, 0)), "")</f>
      </c>
      <c r="I3167" s="3" t="str">
        <f>_xlfn.IFNA(INDEX(RulebookFields!D2:D999, MATCH(D3167,RulebookFields!A2:A999, 0)), "")</f>
      </c>
      <c r="J3167" s="3" t="str">
        <f>_xlfn.IFNA(INDEX(RulebookFields!I2:I999, MATCH(D3167,RulebookFields!A2:A999, 0)), "")</f>
      </c>
      <c r="K3167" s="3" t="b">
        <f>AND(F3167, J3167)</f>
        <v>0</v>
      </c>
      <c r="L3167" s="3" t="b">
        <f>AND(G3167 &lt;&gt; "plain", G3167 &lt;&gt; "")</f>
        <v>0</v>
      </c>
      <c r="M3167" s="3" t="str">
        <f>IF(E3167, C3167 &amp; "|" &amp; H3167, "")</f>
        <v>principal-knowledge-authority|</v>
      </c>
      <c r="N3167" s="2" t="s">
        <v>9938</v>
      </c>
    </row>
    <row r="3168">
      <c r="A3168" s="2" t="s">
        <v>13104</v>
      </c>
      <c r="B3168" s="3" t="str">
        <f>C3168 &amp; " -&gt; " &amp; D3168</f>
        <v>principal-knowledge-authority -&gt; SendIntents.WindowHasSinceReopened</v>
      </c>
      <c r="C3168" s="2" t="s">
        <v>9708</v>
      </c>
      <c r="D3168" s="2" t="s">
        <v>4877</v>
      </c>
      <c r="E3168" s="2" t="b">
        <v>1</v>
      </c>
      <c r="F3168" s="2" t="b">
        <v>0</v>
      </c>
      <c r="G3168" s="2" t="s">
        <v>9937</v>
      </c>
      <c r="H3168" s="3" t="str">
        <f>_xlfn.IFNA(INDEX(RulebookFields!C2:C999, MATCH(D3168,RulebookFields!A2:A999, 0)), "")</f>
      </c>
      <c r="I3168" s="3" t="str">
        <f>_xlfn.IFNA(INDEX(RulebookFields!D2:D999, MATCH(D3168,RulebookFields!A2:A999, 0)), "")</f>
      </c>
      <c r="J3168" s="3" t="str">
        <f>_xlfn.IFNA(INDEX(RulebookFields!I2:I999, MATCH(D3168,RulebookFields!A2:A999, 0)), "")</f>
      </c>
      <c r="K3168" s="3" t="b">
        <f>AND(F3168, J3168)</f>
        <v>0</v>
      </c>
      <c r="L3168" s="3" t="b">
        <f>AND(G3168 &lt;&gt; "plain", G3168 &lt;&gt; "")</f>
        <v>0</v>
      </c>
      <c r="M3168" s="3" t="str">
        <f>IF(E3168, C3168 &amp; "|" &amp; H3168, "")</f>
        <v>principal-knowledge-authority|</v>
      </c>
      <c r="N3168" s="2" t="s">
        <v>9938</v>
      </c>
    </row>
    <row r="3169">
      <c r="A3169" s="2" t="s">
        <v>13105</v>
      </c>
      <c r="B3169" s="3" t="str">
        <f>C3169 &amp; " -&gt; " &amp; D3169</f>
        <v>principal-knowledge-authority -&gt; SendIntents.HasRetryAttempt</v>
      </c>
      <c r="C3169" s="2" t="s">
        <v>9708</v>
      </c>
      <c r="D3169" s="2" t="s">
        <v>4880</v>
      </c>
      <c r="E3169" s="2" t="b">
        <v>1</v>
      </c>
      <c r="F3169" s="2" t="b">
        <v>0</v>
      </c>
      <c r="G3169" s="2" t="s">
        <v>9937</v>
      </c>
      <c r="H3169" s="3" t="str">
        <f>_xlfn.IFNA(INDEX(RulebookFields!C2:C999, MATCH(D3169,RulebookFields!A2:A999, 0)), "")</f>
      </c>
      <c r="I3169" s="3" t="str">
        <f>_xlfn.IFNA(INDEX(RulebookFields!D2:D999, MATCH(D3169,RulebookFields!A2:A999, 0)), "")</f>
      </c>
      <c r="J3169" s="3" t="str">
        <f>_xlfn.IFNA(INDEX(RulebookFields!I2:I999, MATCH(D3169,RulebookFields!A2:A999, 0)), "")</f>
      </c>
      <c r="K3169" s="3" t="b">
        <f>AND(F3169, J3169)</f>
        <v>0</v>
      </c>
      <c r="L3169" s="3" t="b">
        <f>AND(G3169 &lt;&gt; "plain", G3169 &lt;&gt; "")</f>
        <v>0</v>
      </c>
      <c r="M3169" s="3" t="str">
        <f>IF(E3169, C3169 &amp; "|" &amp; H3169, "")</f>
        <v>principal-knowledge-authority|</v>
      </c>
      <c r="N3169" s="2" t="s">
        <v>9938</v>
      </c>
    </row>
    <row r="3170">
      <c r="A3170" s="2" t="s">
        <v>13106</v>
      </c>
      <c r="B3170" s="3" t="str">
        <f>C3170 &amp; " -&gt; " &amp; D3170</f>
        <v>principal-knowledge-authority -&gt; SendIntents.RetryWasCleared</v>
      </c>
      <c r="C3170" s="2" t="s">
        <v>9708</v>
      </c>
      <c r="D3170" s="2" t="s">
        <v>4883</v>
      </c>
      <c r="E3170" s="2" t="b">
        <v>1</v>
      </c>
      <c r="F3170" s="2" t="b">
        <v>0</v>
      </c>
      <c r="G3170" s="2" t="s">
        <v>9937</v>
      </c>
      <c r="H3170" s="3" t="str">
        <f>_xlfn.IFNA(INDEX(RulebookFields!C2:C999, MATCH(D3170,RulebookFields!A2:A999, 0)), "")</f>
      </c>
      <c r="I3170" s="3" t="str">
        <f>_xlfn.IFNA(INDEX(RulebookFields!D2:D999, MATCH(D3170,RulebookFields!A2:A999, 0)), "")</f>
      </c>
      <c r="J3170" s="3" t="str">
        <f>_xlfn.IFNA(INDEX(RulebookFields!I2:I999, MATCH(D3170,RulebookFields!A2:A999, 0)), "")</f>
      </c>
      <c r="K3170" s="3" t="b">
        <f>AND(F3170, J3170)</f>
        <v>0</v>
      </c>
      <c r="L3170" s="3" t="b">
        <f>AND(G3170 &lt;&gt; "plain", G3170 &lt;&gt; "")</f>
        <v>0</v>
      </c>
      <c r="M3170" s="3" t="str">
        <f>IF(E3170, C3170 &amp; "|" &amp; H3170, "")</f>
        <v>principal-knowledge-authority|</v>
      </c>
      <c r="N3170" s="2" t="s">
        <v>9938</v>
      </c>
    </row>
    <row r="3171">
      <c r="A3171" s="2" t="s">
        <v>13107</v>
      </c>
      <c r="B3171" s="3" t="str">
        <f>C3171 &amp; " -&gt; " &amp; D3171</f>
        <v>principal-knowledge-authority -&gt; SendIntents.IsAbandonedDeferral</v>
      </c>
      <c r="C3171" s="2" t="s">
        <v>9708</v>
      </c>
      <c r="D3171" s="2" t="s">
        <v>4886</v>
      </c>
      <c r="E3171" s="2" t="b">
        <v>1</v>
      </c>
      <c r="F3171" s="2" t="b">
        <v>0</v>
      </c>
      <c r="G3171" s="2" t="s">
        <v>9937</v>
      </c>
      <c r="H3171" s="3" t="str">
        <f>_xlfn.IFNA(INDEX(RulebookFields!C2:C999, MATCH(D3171,RulebookFields!A2:A999, 0)), "")</f>
      </c>
      <c r="I3171" s="3" t="str">
        <f>_xlfn.IFNA(INDEX(RulebookFields!D2:D999, MATCH(D3171,RulebookFields!A2:A999, 0)), "")</f>
      </c>
      <c r="J3171" s="3" t="str">
        <f>_xlfn.IFNA(INDEX(RulebookFields!I2:I999, MATCH(D3171,RulebookFields!A2:A999, 0)), "")</f>
      </c>
      <c r="K3171" s="3" t="b">
        <f>AND(F3171, J3171)</f>
        <v>0</v>
      </c>
      <c r="L3171" s="3" t="b">
        <f>AND(G3171 &lt;&gt; "plain", G3171 &lt;&gt; "")</f>
        <v>0</v>
      </c>
      <c r="M3171" s="3" t="str">
        <f>IF(E3171, C3171 &amp; "|" &amp; H3171, "")</f>
        <v>principal-knowledge-authority|</v>
      </c>
      <c r="N3171" s="2" t="s">
        <v>9938</v>
      </c>
    </row>
    <row r="3172">
      <c r="A3172" s="2" t="s">
        <v>13108</v>
      </c>
      <c r="B3172" s="3" t="str">
        <f>C3172 &amp; " -&gt; " &amp; D3172</f>
        <v>principal-knowledge-authority -&gt; SendIntents.DeferralAgeHours</v>
      </c>
      <c r="C3172" s="2" t="s">
        <v>9708</v>
      </c>
      <c r="D3172" s="2" t="s">
        <v>4889</v>
      </c>
      <c r="E3172" s="2" t="b">
        <v>1</v>
      </c>
      <c r="F3172" s="2" t="b">
        <v>0</v>
      </c>
      <c r="G3172" s="2" t="s">
        <v>9937</v>
      </c>
      <c r="H3172" s="3" t="str">
        <f>_xlfn.IFNA(INDEX(RulebookFields!C2:C999, MATCH(D3172,RulebookFields!A2:A999, 0)), "")</f>
      </c>
      <c r="I3172" s="3" t="str">
        <f>_xlfn.IFNA(INDEX(RulebookFields!D2:D999, MATCH(D3172,RulebookFields!A2:A999, 0)), "")</f>
      </c>
      <c r="J3172" s="3" t="str">
        <f>_xlfn.IFNA(INDEX(RulebookFields!I2:I999, MATCH(D3172,RulebookFields!A2:A999, 0)), "")</f>
      </c>
      <c r="K3172" s="3" t="b">
        <f>AND(F3172, J3172)</f>
        <v>0</v>
      </c>
      <c r="L3172" s="3" t="b">
        <f>AND(G3172 &lt;&gt; "plain", G3172 &lt;&gt; "")</f>
        <v>0</v>
      </c>
      <c r="M3172" s="3" t="str">
        <f>IF(E3172, C3172 &amp; "|" &amp; H3172, "")</f>
        <v>principal-knowledge-authority|</v>
      </c>
      <c r="N3172" s="2" t="s">
        <v>9938</v>
      </c>
    </row>
    <row r="3173">
      <c r="A3173" s="2" t="s">
        <v>13109</v>
      </c>
      <c r="B3173" s="3" t="str">
        <f>C3173 &amp; " -&gt; " &amp; D3173</f>
        <v>principal-knowledge-authority -&gt; SendIntents.IsStaleDeferral</v>
      </c>
      <c r="C3173" s="2" t="s">
        <v>9708</v>
      </c>
      <c r="D3173" s="2" t="s">
        <v>4892</v>
      </c>
      <c r="E3173" s="2" t="b">
        <v>1</v>
      </c>
      <c r="F3173" s="2" t="b">
        <v>0</v>
      </c>
      <c r="G3173" s="2" t="s">
        <v>9937</v>
      </c>
      <c r="H3173" s="3" t="str">
        <f>_xlfn.IFNA(INDEX(RulebookFields!C2:C999, MATCH(D3173,RulebookFields!A2:A999, 0)), "")</f>
      </c>
      <c r="I3173" s="3" t="str">
        <f>_xlfn.IFNA(INDEX(RulebookFields!D2:D999, MATCH(D3173,RulebookFields!A2:A999, 0)), "")</f>
      </c>
      <c r="J3173" s="3" t="str">
        <f>_xlfn.IFNA(INDEX(RulebookFields!I2:I999, MATCH(D3173,RulebookFields!A2:A999, 0)), "")</f>
      </c>
      <c r="K3173" s="3" t="b">
        <f>AND(F3173, J3173)</f>
        <v>0</v>
      </c>
      <c r="L3173" s="3" t="b">
        <f>AND(G3173 &lt;&gt; "plain", G3173 &lt;&gt; "")</f>
        <v>0</v>
      </c>
      <c r="M3173" s="3" t="str">
        <f>IF(E3173, C3173 &amp; "|" &amp; H3173, "")</f>
        <v>principal-knowledge-authority|</v>
      </c>
      <c r="N3173" s="2" t="s">
        <v>9938</v>
      </c>
    </row>
    <row r="3174">
      <c r="A3174" s="2" t="s">
        <v>13110</v>
      </c>
      <c r="B3174" s="3" t="str">
        <f>C3174 &amp; " -&gt; " &amp; D3174</f>
        <v>principal-knowledge-authority -&gt; SendIntents.EvaluatingRoleAssignment</v>
      </c>
      <c r="C3174" s="2" t="s">
        <v>9708</v>
      </c>
      <c r="D3174" s="2" t="s">
        <v>4895</v>
      </c>
      <c r="E3174" s="2" t="b">
        <v>1</v>
      </c>
      <c r="F3174" s="2" t="b">
        <v>0</v>
      </c>
      <c r="G3174" s="2" t="s">
        <v>9937</v>
      </c>
      <c r="H3174" s="3" t="str">
        <f>_xlfn.IFNA(INDEX(RulebookFields!C2:C999, MATCH(D3174,RulebookFields!A2:A999, 0)), "")</f>
      </c>
      <c r="I3174" s="3" t="str">
        <f>_xlfn.IFNA(INDEX(RulebookFields!D2:D999, MATCH(D3174,RulebookFields!A2:A999, 0)), "")</f>
      </c>
      <c r="J3174" s="3" t="str">
        <f>_xlfn.IFNA(INDEX(RulebookFields!I2:I999, MATCH(D3174,RulebookFields!A2:A999, 0)), "")</f>
      </c>
      <c r="K3174" s="3" t="b">
        <f>AND(F3174, J3174)</f>
        <v>0</v>
      </c>
      <c r="L3174" s="3" t="b">
        <f>AND(G3174 &lt;&gt; "plain", G3174 &lt;&gt; "")</f>
        <v>0</v>
      </c>
      <c r="M3174" s="3" t="str">
        <f>IF(E3174, C3174 &amp; "|" &amp; H3174, "")</f>
        <v>principal-knowledge-authority|</v>
      </c>
      <c r="N3174" s="2" t="s">
        <v>9938</v>
      </c>
    </row>
    <row r="3175">
      <c r="A3175" s="2" t="s">
        <v>13111</v>
      </c>
      <c r="B3175" s="3" t="str">
        <f>C3175 &amp; " -&gt; " &amp; D3175</f>
        <v>principal-knowledge-authority -&gt; SendIntents.EnforcedByUnauthorizedAgent</v>
      </c>
      <c r="C3175" s="2" t="s">
        <v>9708</v>
      </c>
      <c r="D3175" s="2" t="s">
        <v>4897</v>
      </c>
      <c r="E3175" s="2" t="b">
        <v>1</v>
      </c>
      <c r="F3175" s="2" t="b">
        <v>0</v>
      </c>
      <c r="G3175" s="2" t="s">
        <v>9937</v>
      </c>
      <c r="H3175" s="3" t="str">
        <f>_xlfn.IFNA(INDEX(RulebookFields!C2:C999, MATCH(D3175,RulebookFields!A2:A999, 0)), "")</f>
      </c>
      <c r="I3175" s="3" t="str">
        <f>_xlfn.IFNA(INDEX(RulebookFields!D2:D999, MATCH(D3175,RulebookFields!A2:A999, 0)), "")</f>
      </c>
      <c r="J3175" s="3" t="str">
        <f>_xlfn.IFNA(INDEX(RulebookFields!I2:I999, MATCH(D3175,RulebookFields!A2:A999, 0)), "")</f>
      </c>
      <c r="K3175" s="3" t="b">
        <f>AND(F3175, J3175)</f>
        <v>0</v>
      </c>
      <c r="L3175" s="3" t="b">
        <f>AND(G3175 &lt;&gt; "plain", G3175 &lt;&gt; "")</f>
        <v>0</v>
      </c>
      <c r="M3175" s="3" t="str">
        <f>IF(E3175, C3175 &amp; "|" &amp; H3175, "")</f>
        <v>principal-knowledge-authority|</v>
      </c>
      <c r="N3175" s="2" t="s">
        <v>9938</v>
      </c>
    </row>
    <row r="3176">
      <c r="A3176" s="2" t="s">
        <v>13112</v>
      </c>
      <c r="B3176" s="3" t="str">
        <f>C3176 &amp; " -&gt; " &amp; D3176</f>
        <v>principal-knowledge-authority -&gt; SendIntents.ConsentInputWasResolvable</v>
      </c>
      <c r="C3176" s="2" t="s">
        <v>9708</v>
      </c>
      <c r="D3176" s="2" t="s">
        <v>4900</v>
      </c>
      <c r="E3176" s="2" t="b">
        <v>1</v>
      </c>
      <c r="F3176" s="2" t="b">
        <v>0</v>
      </c>
      <c r="G3176" s="2" t="s">
        <v>9937</v>
      </c>
      <c r="H3176" s="3" t="str">
        <f>_xlfn.IFNA(INDEX(RulebookFields!C2:C999, MATCH(D3176,RulebookFields!A2:A999, 0)), "")</f>
      </c>
      <c r="I3176" s="3" t="str">
        <f>_xlfn.IFNA(INDEX(RulebookFields!D2:D999, MATCH(D3176,RulebookFields!A2:A999, 0)), "")</f>
      </c>
      <c r="J3176" s="3" t="str">
        <f>_xlfn.IFNA(INDEX(RulebookFields!I2:I999, MATCH(D3176,RulebookFields!A2:A999, 0)), "")</f>
      </c>
      <c r="K3176" s="3" t="b">
        <f>AND(F3176, J3176)</f>
        <v>0</v>
      </c>
      <c r="L3176" s="3" t="b">
        <f>AND(G3176 &lt;&gt; "plain", G3176 &lt;&gt; "")</f>
        <v>0</v>
      </c>
      <c r="M3176" s="3" t="str">
        <f>IF(E3176, C3176 &amp; "|" &amp; H3176, "")</f>
        <v>principal-knowledge-authority|</v>
      </c>
      <c r="N3176" s="2" t="s">
        <v>9938</v>
      </c>
    </row>
    <row r="3177">
      <c r="A3177" s="2" t="s">
        <v>13113</v>
      </c>
      <c r="B3177" s="3" t="str">
        <f>C3177 &amp; " -&gt; " &amp; D3177</f>
        <v>principal-knowledge-authority -&gt; SendIntents.RecipientConsentStatusRaw</v>
      </c>
      <c r="C3177" s="2" t="s">
        <v>9708</v>
      </c>
      <c r="D3177" s="2" t="s">
        <v>4903</v>
      </c>
      <c r="E3177" s="2" t="b">
        <v>1</v>
      </c>
      <c r="F3177" s="2" t="b">
        <v>0</v>
      </c>
      <c r="G3177" s="2" t="s">
        <v>9937</v>
      </c>
      <c r="H3177" s="3" t="str">
        <f>_xlfn.IFNA(INDEX(RulebookFields!C2:C999, MATCH(D3177,RulebookFields!A2:A999, 0)), "")</f>
      </c>
      <c r="I3177" s="3" t="str">
        <f>_xlfn.IFNA(INDEX(RulebookFields!D2:D999, MATCH(D3177,RulebookFields!A2:A999, 0)), "")</f>
      </c>
      <c r="J3177" s="3" t="str">
        <f>_xlfn.IFNA(INDEX(RulebookFields!I2:I999, MATCH(D3177,RulebookFields!A2:A999, 0)), "")</f>
      </c>
      <c r="K3177" s="3" t="b">
        <f>AND(F3177, J3177)</f>
        <v>0</v>
      </c>
      <c r="L3177" s="3" t="b">
        <f>AND(G3177 &lt;&gt; "plain", G3177 &lt;&gt; "")</f>
        <v>0</v>
      </c>
      <c r="M3177" s="3" t="str">
        <f>IF(E3177, C3177 &amp; "|" &amp; H3177, "")</f>
        <v>principal-knowledge-authority|</v>
      </c>
      <c r="N3177" s="2" t="s">
        <v>9938</v>
      </c>
    </row>
    <row r="3178">
      <c r="A3178" s="2" t="s">
        <v>13114</v>
      </c>
      <c r="B3178" s="3" t="str">
        <f>C3178 &amp; " -&gt; " &amp; D3178</f>
        <v>principal-knowledge-authority -&gt; SendIntents.PolicyInputWasResolvable</v>
      </c>
      <c r="C3178" s="2" t="s">
        <v>9708</v>
      </c>
      <c r="D3178" s="2" t="s">
        <v>4906</v>
      </c>
      <c r="E3178" s="2" t="b">
        <v>1</v>
      </c>
      <c r="F3178" s="2" t="b">
        <v>0</v>
      </c>
      <c r="G3178" s="2" t="s">
        <v>9937</v>
      </c>
      <c r="H3178" s="3" t="str">
        <f>_xlfn.IFNA(INDEX(RulebookFields!C2:C999, MATCH(D3178,RulebookFields!A2:A999, 0)), "")</f>
      </c>
      <c r="I3178" s="3" t="str">
        <f>_xlfn.IFNA(INDEX(RulebookFields!D2:D999, MATCH(D3178,RulebookFields!A2:A999, 0)), "")</f>
      </c>
      <c r="J3178" s="3" t="str">
        <f>_xlfn.IFNA(INDEX(RulebookFields!I2:I999, MATCH(D3178,RulebookFields!A2:A999, 0)), "")</f>
      </c>
      <c r="K3178" s="3" t="b">
        <f>AND(F3178, J3178)</f>
        <v>0</v>
      </c>
      <c r="L3178" s="3" t="b">
        <f>AND(G3178 &lt;&gt; "plain", G3178 &lt;&gt; "")</f>
        <v>0</v>
      </c>
      <c r="M3178" s="3" t="str">
        <f>IF(E3178, C3178 &amp; "|" &amp; H3178, "")</f>
        <v>principal-knowledge-authority|</v>
      </c>
      <c r="N3178" s="2" t="s">
        <v>9938</v>
      </c>
    </row>
    <row r="3179">
      <c r="A3179" s="2" t="s">
        <v>13115</v>
      </c>
      <c r="B3179" s="3" t="str">
        <f>C3179 &amp; " -&gt; " &amp; D3179</f>
        <v>principal-knowledge-authority -&gt; SendIntents.AllGateInputsResolved</v>
      </c>
      <c r="C3179" s="2" t="s">
        <v>9708</v>
      </c>
      <c r="D3179" s="2" t="s">
        <v>4909</v>
      </c>
      <c r="E3179" s="2" t="b">
        <v>1</v>
      </c>
      <c r="F3179" s="2" t="b">
        <v>0</v>
      </c>
      <c r="G3179" s="2" t="s">
        <v>9937</v>
      </c>
      <c r="H3179" s="3" t="str">
        <f>_xlfn.IFNA(INDEX(RulebookFields!C2:C999, MATCH(D3179,RulebookFields!A2:A999, 0)), "")</f>
      </c>
      <c r="I3179" s="3" t="str">
        <f>_xlfn.IFNA(INDEX(RulebookFields!D2:D999, MATCH(D3179,RulebookFields!A2:A999, 0)), "")</f>
      </c>
      <c r="J3179" s="3" t="str">
        <f>_xlfn.IFNA(INDEX(RulebookFields!I2:I999, MATCH(D3179,RulebookFields!A2:A999, 0)), "")</f>
      </c>
      <c r="K3179" s="3" t="b">
        <f>AND(F3179, J3179)</f>
        <v>0</v>
      </c>
      <c r="L3179" s="3" t="b">
        <f>AND(G3179 &lt;&gt; "plain", G3179 &lt;&gt; "")</f>
        <v>0</v>
      </c>
      <c r="M3179" s="3" t="str">
        <f>IF(E3179, C3179 &amp; "|" &amp; H3179, "")</f>
        <v>principal-knowledge-authority|</v>
      </c>
      <c r="N3179" s="2" t="s">
        <v>9938</v>
      </c>
    </row>
    <row r="3180">
      <c r="A3180" s="2" t="s">
        <v>13116</v>
      </c>
      <c r="B3180" s="3" t="str">
        <f>C3180 &amp; " -&gt; " &amp; D3180</f>
        <v>principal-knowledge-authority -&gt; SendIntents.IsUnevaluableRefusal</v>
      </c>
      <c r="C3180" s="2" t="s">
        <v>9708</v>
      </c>
      <c r="D3180" s="2" t="s">
        <v>4912</v>
      </c>
      <c r="E3180" s="2" t="b">
        <v>1</v>
      </c>
      <c r="F3180" s="2" t="b">
        <v>0</v>
      </c>
      <c r="G3180" s="2" t="s">
        <v>9937</v>
      </c>
      <c r="H3180" s="3" t="str">
        <f>_xlfn.IFNA(INDEX(RulebookFields!C2:C999, MATCH(D3180,RulebookFields!A2:A999, 0)), "")</f>
      </c>
      <c r="I3180" s="3" t="str">
        <f>_xlfn.IFNA(INDEX(RulebookFields!D2:D999, MATCH(D3180,RulebookFields!A2:A999, 0)), "")</f>
      </c>
      <c r="J3180" s="3" t="str">
        <f>_xlfn.IFNA(INDEX(RulebookFields!I2:I999, MATCH(D3180,RulebookFields!A2:A999, 0)), "")</f>
      </c>
      <c r="K3180" s="3" t="b">
        <f>AND(F3180, J3180)</f>
        <v>0</v>
      </c>
      <c r="L3180" s="3" t="b">
        <f>AND(G3180 &lt;&gt; "plain", G3180 &lt;&gt; "")</f>
        <v>0</v>
      </c>
      <c r="M3180" s="3" t="str">
        <f>IF(E3180, C3180 &amp; "|" &amp; H3180, "")</f>
        <v>principal-knowledge-authority|</v>
      </c>
      <c r="N3180" s="2" t="s">
        <v>9938</v>
      </c>
    </row>
    <row r="3181">
      <c r="A3181" s="2" t="s">
        <v>13117</v>
      </c>
      <c r="B3181" s="3" t="str">
        <f>C3181 &amp; " -&gt; " &amp; D3181</f>
        <v>principal-knowledge-authority -&gt; SendIntents.GateResultWasIndependentlyConfirmed</v>
      </c>
      <c r="C3181" s="2" t="s">
        <v>9708</v>
      </c>
      <c r="D3181" s="2" t="s">
        <v>4915</v>
      </c>
      <c r="E3181" s="2" t="b">
        <v>1</v>
      </c>
      <c r="F3181" s="2" t="b">
        <v>0</v>
      </c>
      <c r="G3181" s="2" t="s">
        <v>9937</v>
      </c>
      <c r="H3181" s="3" t="str">
        <f>_xlfn.IFNA(INDEX(RulebookFields!C2:C999, MATCH(D3181,RulebookFields!A2:A999, 0)), "")</f>
      </c>
      <c r="I3181" s="3" t="str">
        <f>_xlfn.IFNA(INDEX(RulebookFields!D2:D999, MATCH(D3181,RulebookFields!A2:A999, 0)), "")</f>
      </c>
      <c r="J3181" s="3" t="str">
        <f>_xlfn.IFNA(INDEX(RulebookFields!I2:I999, MATCH(D3181,RulebookFields!A2:A999, 0)), "")</f>
      </c>
      <c r="K3181" s="3" t="b">
        <f>AND(F3181, J3181)</f>
        <v>0</v>
      </c>
      <c r="L3181" s="3" t="b">
        <f>AND(G3181 &lt;&gt; "plain", G3181 &lt;&gt; "")</f>
        <v>0</v>
      </c>
      <c r="M3181" s="3" t="str">
        <f>IF(E3181, C3181 &amp; "|" &amp; H3181, "")</f>
        <v>principal-knowledge-authority|</v>
      </c>
      <c r="N3181" s="2" t="s">
        <v>9938</v>
      </c>
    </row>
    <row r="3182">
      <c r="A3182" s="2" t="s">
        <v>13118</v>
      </c>
      <c r="B3182" s="3" t="str">
        <f>C3182 &amp; " -&gt; " &amp; D3182</f>
        <v>principal-knowledge-authority -&gt; SendIntents.IsSelfWitnessedDecision</v>
      </c>
      <c r="C3182" s="2" t="s">
        <v>9708</v>
      </c>
      <c r="D3182" s="2" t="s">
        <v>4917</v>
      </c>
      <c r="E3182" s="2" t="b">
        <v>1</v>
      </c>
      <c r="F3182" s="2" t="b">
        <v>0</v>
      </c>
      <c r="G3182" s="2" t="s">
        <v>9937</v>
      </c>
      <c r="H3182" s="3" t="str">
        <f>_xlfn.IFNA(INDEX(RulebookFields!C2:C999, MATCH(D3182,RulebookFields!A2:A999, 0)), "")</f>
      </c>
      <c r="I3182" s="3" t="str">
        <f>_xlfn.IFNA(INDEX(RulebookFields!D2:D999, MATCH(D3182,RulebookFields!A2:A999, 0)), "")</f>
      </c>
      <c r="J3182" s="3" t="str">
        <f>_xlfn.IFNA(INDEX(RulebookFields!I2:I999, MATCH(D3182,RulebookFields!A2:A999, 0)), "")</f>
      </c>
      <c r="K3182" s="3" t="b">
        <f>AND(F3182, J3182)</f>
        <v>0</v>
      </c>
      <c r="L3182" s="3" t="b">
        <f>AND(G3182 &lt;&gt; "plain", G3182 &lt;&gt; "")</f>
        <v>0</v>
      </c>
      <c r="M3182" s="3" t="str">
        <f>IF(E3182, C3182 &amp; "|" &amp; H3182, "")</f>
        <v>principal-knowledge-authority|</v>
      </c>
      <c r="N3182" s="2" t="s">
        <v>9938</v>
      </c>
    </row>
    <row r="3183">
      <c r="A3183" s="2" t="s">
        <v>13119</v>
      </c>
      <c r="B3183" s="3" t="str">
        <f>C3183 &amp; " -&gt; " &amp; D3183</f>
        <v>principal-knowledge-authority -&gt; SendIntents.IsIndependentlyConfirmed</v>
      </c>
      <c r="C3183" s="2" t="s">
        <v>9708</v>
      </c>
      <c r="D3183" s="2" t="s">
        <v>4920</v>
      </c>
      <c r="E3183" s="2" t="b">
        <v>1</v>
      </c>
      <c r="F3183" s="2" t="b">
        <v>0</v>
      </c>
      <c r="G3183" s="2" t="s">
        <v>9937</v>
      </c>
      <c r="H3183" s="3" t="str">
        <f>_xlfn.IFNA(INDEX(RulebookFields!C2:C999, MATCH(D3183,RulebookFields!A2:A999, 0)), "")</f>
      </c>
      <c r="I3183" s="3" t="str">
        <f>_xlfn.IFNA(INDEX(RulebookFields!D2:D999, MATCH(D3183,RulebookFields!A2:A999, 0)), "")</f>
      </c>
      <c r="J3183" s="3" t="str">
        <f>_xlfn.IFNA(INDEX(RulebookFields!I2:I999, MATCH(D3183,RulebookFields!A2:A999, 0)), "")</f>
      </c>
      <c r="K3183" s="3" t="b">
        <f>AND(F3183, J3183)</f>
        <v>0</v>
      </c>
      <c r="L3183" s="3" t="b">
        <f>AND(G3183 &lt;&gt; "plain", G3183 &lt;&gt; "")</f>
        <v>0</v>
      </c>
      <c r="M3183" s="3" t="str">
        <f>IF(E3183, C3183 &amp; "|" &amp; H3183, "")</f>
        <v>principal-knowledge-authority|</v>
      </c>
      <c r="N3183" s="2" t="s">
        <v>9938</v>
      </c>
    </row>
    <row r="3184">
      <c r="A3184" s="2" t="s">
        <v>13120</v>
      </c>
      <c r="B3184" s="3" t="str">
        <f>C3184 &amp; " -&gt; " &amp; D3184</f>
        <v>principal-knowledge-authority -&gt; SendIntents.IndependentlyConfirmedExecutionKey</v>
      </c>
      <c r="C3184" s="2" t="s">
        <v>9708</v>
      </c>
      <c r="D3184" s="2" t="s">
        <v>4923</v>
      </c>
      <c r="E3184" s="2" t="b">
        <v>1</v>
      </c>
      <c r="F3184" s="2" t="b">
        <v>0</v>
      </c>
      <c r="G3184" s="2" t="s">
        <v>9937</v>
      </c>
      <c r="H3184" s="3" t="str">
        <f>_xlfn.IFNA(INDEX(RulebookFields!C2:C999, MATCH(D3184,RulebookFields!A2:A999, 0)), "")</f>
      </c>
      <c r="I3184" s="3" t="str">
        <f>_xlfn.IFNA(INDEX(RulebookFields!D2:D999, MATCH(D3184,RulebookFields!A2:A999, 0)), "")</f>
      </c>
      <c r="J3184" s="3" t="str">
        <f>_xlfn.IFNA(INDEX(RulebookFields!I2:I999, MATCH(D3184,RulebookFields!A2:A999, 0)), "")</f>
      </c>
      <c r="K3184" s="3" t="b">
        <f>AND(F3184, J3184)</f>
        <v>0</v>
      </c>
      <c r="L3184" s="3" t="b">
        <f>AND(G3184 &lt;&gt; "plain", G3184 &lt;&gt; "")</f>
        <v>0</v>
      </c>
      <c r="M3184" s="3" t="str">
        <f>IF(E3184, C3184 &amp; "|" &amp; H3184, "")</f>
        <v>principal-knowledge-authority|</v>
      </c>
      <c r="N3184" s="2" t="s">
        <v>9938</v>
      </c>
    </row>
    <row r="3185">
      <c r="A3185" s="2" t="s">
        <v>13121</v>
      </c>
      <c r="B3185" s="3" t="str">
        <f>C3185 &amp; " -&gt; " &amp; D3185</f>
        <v>principal-knowledge-authority -&gt; SendIntents.SemanticTypeIri</v>
      </c>
      <c r="C3185" s="2" t="s">
        <v>9708</v>
      </c>
      <c r="D3185" s="2" t="s">
        <v>4926</v>
      </c>
      <c r="E3185" s="2" t="b">
        <v>1</v>
      </c>
      <c r="F3185" s="2" t="b">
        <v>0</v>
      </c>
      <c r="G3185" s="2" t="s">
        <v>9937</v>
      </c>
      <c r="H3185" s="3" t="str">
        <f>_xlfn.IFNA(INDEX(RulebookFields!C2:C999, MATCH(D3185,RulebookFields!A2:A999, 0)), "")</f>
      </c>
      <c r="I3185" s="3" t="str">
        <f>_xlfn.IFNA(INDEX(RulebookFields!D2:D999, MATCH(D3185,RulebookFields!A2:A999, 0)), "")</f>
      </c>
      <c r="J3185" s="3" t="str">
        <f>_xlfn.IFNA(INDEX(RulebookFields!I2:I999, MATCH(D3185,RulebookFields!A2:A999, 0)), "")</f>
      </c>
      <c r="K3185" s="3" t="b">
        <f>AND(F3185, J3185)</f>
        <v>0</v>
      </c>
      <c r="L3185" s="3" t="b">
        <f>AND(G3185 &lt;&gt; "plain", G3185 &lt;&gt; "")</f>
        <v>0</v>
      </c>
      <c r="M3185" s="3" t="str">
        <f>IF(E3185, C3185 &amp; "|" &amp; H3185, "")</f>
        <v>principal-knowledge-authority|</v>
      </c>
      <c r="N3185" s="2" t="s">
        <v>9938</v>
      </c>
    </row>
    <row r="3186">
      <c r="A3186" s="2" t="s">
        <v>13122</v>
      </c>
      <c r="B3186" s="3" t="str">
        <f>C3186 &amp; " -&gt; " &amp; D3186</f>
        <v>principal-knowledge-authority -&gt; StepActions.StepActionId</v>
      </c>
      <c r="C3186" s="2" t="s">
        <v>9708</v>
      </c>
      <c r="D3186" s="2" t="s">
        <v>2961</v>
      </c>
      <c r="E3186" s="2" t="b">
        <v>1</v>
      </c>
      <c r="F3186" s="2" t="b">
        <v>0</v>
      </c>
      <c r="G3186" s="2" t="s">
        <v>9937</v>
      </c>
      <c r="H3186" s="3" t="str">
        <f>_xlfn.IFNA(INDEX(RulebookFields!C2:C999, MATCH(D3186,RulebookFields!A2:A999, 0)), "")</f>
        <v>StepActions</v>
      </c>
      <c r="I3186" s="3" t="str">
        <f>_xlfn.IFNA(INDEX(RulebookFields!D2:D999, MATCH(D3186,RulebookFields!A2:A999, 0)), "")</f>
        <v>StepActionId</v>
      </c>
      <c r="J3186" s="3" t="b">
        <f>_xlfn.IFNA(INDEX(RulebookFields!I2:I999, MATCH(D3186,RulebookFields!A2:A999, 0)), "")</f>
        <v>0</v>
      </c>
      <c r="K3186" s="3" t="b">
        <f>AND(F3186, J3186)</f>
        <v>0</v>
      </c>
      <c r="L3186" s="3" t="b">
        <f>AND(G3186 &lt;&gt; "plain", G3186 &lt;&gt; "")</f>
        <v>0</v>
      </c>
      <c r="M3186" s="3" t="str">
        <f>IF(E3186, C3186 &amp; "|" &amp; H3186, "")</f>
        <v>principal-knowledge-authority|StepActions</v>
      </c>
      <c r="N3186" s="2" t="s">
        <v>9938</v>
      </c>
    </row>
    <row r="3187">
      <c r="A3187" s="2" t="s">
        <v>13123</v>
      </c>
      <c r="B3187" s="3" t="str">
        <f>C3187 &amp; " -&gt; " &amp; D3187</f>
        <v>principal-knowledge-authority -&gt; StepActions.Name</v>
      </c>
      <c r="C3187" s="2" t="s">
        <v>9708</v>
      </c>
      <c r="D3187" s="2" t="s">
        <v>2963</v>
      </c>
      <c r="E3187" s="2" t="b">
        <v>1</v>
      </c>
      <c r="F3187" s="2" t="b">
        <v>0</v>
      </c>
      <c r="G3187" s="2" t="s">
        <v>9937</v>
      </c>
      <c r="H3187" s="3" t="str">
        <f>_xlfn.IFNA(INDEX(RulebookFields!C2:C999, MATCH(D3187,RulebookFields!A2:A999, 0)), "")</f>
        <v>StepActions</v>
      </c>
      <c r="I3187" s="3" t="str">
        <f>_xlfn.IFNA(INDEX(RulebookFields!D2:D999, MATCH(D3187,RulebookFields!A2:A999, 0)), "")</f>
        <v>Name</v>
      </c>
      <c r="J3187" s="3" t="b">
        <f>_xlfn.IFNA(INDEX(RulebookFields!I2:I999, MATCH(D3187,RulebookFields!A2:A999, 0)), "")</f>
        <v>1</v>
      </c>
      <c r="K3187" s="3" t="b">
        <f>AND(F3187, J3187)</f>
        <v>0</v>
      </c>
      <c r="L3187" s="3" t="b">
        <f>AND(G3187 &lt;&gt; "plain", G3187 &lt;&gt; "")</f>
        <v>0</v>
      </c>
      <c r="M3187" s="3" t="str">
        <f>IF(E3187, C3187 &amp; "|" &amp; H3187, "")</f>
        <v>principal-knowledge-authority|StepActions</v>
      </c>
      <c r="N3187" s="2" t="s">
        <v>9938</v>
      </c>
    </row>
    <row r="3188">
      <c r="A3188" s="2" t="s">
        <v>13124</v>
      </c>
      <c r="B3188" s="3" t="str">
        <f>C3188 &amp; " -&gt; " &amp; D3188</f>
        <v>principal-knowledge-authority -&gt; StepActions.Step</v>
      </c>
      <c r="C3188" s="2" t="s">
        <v>9708</v>
      </c>
      <c r="D3188" s="2" t="s">
        <v>2965</v>
      </c>
      <c r="E3188" s="2" t="b">
        <v>1</v>
      </c>
      <c r="F3188" s="2" t="b">
        <v>0</v>
      </c>
      <c r="G3188" s="2" t="s">
        <v>9937</v>
      </c>
      <c r="H3188" s="3" t="str">
        <f>_xlfn.IFNA(INDEX(RulebookFields!C2:C999, MATCH(D3188,RulebookFields!A2:A999, 0)), "")</f>
        <v>StepActions</v>
      </c>
      <c r="I3188" s="3" t="str">
        <f>_xlfn.IFNA(INDEX(RulebookFields!D2:D999, MATCH(D3188,RulebookFields!A2:A999, 0)), "")</f>
        <v>Step</v>
      </c>
      <c r="J3188" s="3" t="b">
        <f>_xlfn.IFNA(INDEX(RulebookFields!I2:I999, MATCH(D3188,RulebookFields!A2:A999, 0)), "")</f>
        <v>0</v>
      </c>
      <c r="K3188" s="3" t="b">
        <f>AND(F3188, J3188)</f>
        <v>0</v>
      </c>
      <c r="L3188" s="3" t="b">
        <f>AND(G3188 &lt;&gt; "plain", G3188 &lt;&gt; "")</f>
        <v>0</v>
      </c>
      <c r="M3188" s="3" t="str">
        <f>IF(E3188, C3188 &amp; "|" &amp; H3188, "")</f>
        <v>principal-knowledge-authority|StepActions</v>
      </c>
      <c r="N3188" s="2" t="s">
        <v>9938</v>
      </c>
    </row>
    <row r="3189">
      <c r="A3189" s="2" t="s">
        <v>13125</v>
      </c>
      <c r="B3189" s="3" t="str">
        <f>C3189 &amp; " -&gt; " &amp; D3189</f>
        <v>principal-knowledge-authority -&gt; StepActions.Action</v>
      </c>
      <c r="C3189" s="2" t="s">
        <v>9708</v>
      </c>
      <c r="D3189" s="2" t="s">
        <v>2966</v>
      </c>
      <c r="E3189" s="2" t="b">
        <v>1</v>
      </c>
      <c r="F3189" s="2" t="b">
        <v>0</v>
      </c>
      <c r="G3189" s="2" t="s">
        <v>9937</v>
      </c>
      <c r="H3189" s="3" t="str">
        <f>_xlfn.IFNA(INDEX(RulebookFields!C2:C999, MATCH(D3189,RulebookFields!A2:A999, 0)), "")</f>
        <v>StepActions</v>
      </c>
      <c r="I3189" s="3" t="str">
        <f>_xlfn.IFNA(INDEX(RulebookFields!D2:D999, MATCH(D3189,RulebookFields!A2:A999, 0)), "")</f>
        <v>Action</v>
      </c>
      <c r="J3189" s="3" t="b">
        <f>_xlfn.IFNA(INDEX(RulebookFields!I2:I999, MATCH(D3189,RulebookFields!A2:A999, 0)), "")</f>
        <v>0</v>
      </c>
      <c r="K3189" s="3" t="b">
        <f>AND(F3189, J3189)</f>
        <v>0</v>
      </c>
      <c r="L3189" s="3" t="b">
        <f>AND(G3189 &lt;&gt; "plain", G3189 &lt;&gt; "")</f>
        <v>0</v>
      </c>
      <c r="M3189" s="3" t="str">
        <f>IF(E3189, C3189 &amp; "|" &amp; H3189, "")</f>
        <v>principal-knowledge-authority|StepActions</v>
      </c>
      <c r="N3189" s="2" t="s">
        <v>9938</v>
      </c>
    </row>
    <row r="3190">
      <c r="A3190" s="2" t="s">
        <v>13126</v>
      </c>
      <c r="B3190" s="3" t="str">
        <f>C3190 &amp; " -&gt; " &amp; D3190</f>
        <v>principal-knowledge-authority -&gt; StepExecutions.StepExecutionId</v>
      </c>
      <c r="C3190" s="2" t="s">
        <v>9708</v>
      </c>
      <c r="D3190" s="2" t="s">
        <v>3507</v>
      </c>
      <c r="E3190" s="2" t="b">
        <v>1</v>
      </c>
      <c r="F3190" s="2" t="b">
        <v>0</v>
      </c>
      <c r="G3190" s="2" t="s">
        <v>9937</v>
      </c>
      <c r="H3190" s="3" t="str">
        <f>_xlfn.IFNA(INDEX(RulebookFields!C2:C999, MATCH(D3190,RulebookFields!A2:A999, 0)), "")</f>
        <v>StepExecutions</v>
      </c>
      <c r="I3190" s="3" t="str">
        <f>_xlfn.IFNA(INDEX(RulebookFields!D2:D999, MATCH(D3190,RulebookFields!A2:A999, 0)), "")</f>
        <v>StepExecutionId</v>
      </c>
      <c r="J3190" s="3" t="b">
        <f>_xlfn.IFNA(INDEX(RulebookFields!I2:I999, MATCH(D3190,RulebookFields!A2:A999, 0)), "")</f>
        <v>0</v>
      </c>
      <c r="K3190" s="3" t="b">
        <f>AND(F3190, J3190)</f>
        <v>0</v>
      </c>
      <c r="L3190" s="3" t="b">
        <f>AND(G3190 &lt;&gt; "plain", G3190 &lt;&gt; "")</f>
        <v>0</v>
      </c>
      <c r="M3190" s="3" t="str">
        <f>IF(E3190, C3190 &amp; "|" &amp; H3190, "")</f>
        <v>principal-knowledge-authority|StepExecutions</v>
      </c>
      <c r="N3190" s="2" t="s">
        <v>9938</v>
      </c>
    </row>
    <row r="3191">
      <c r="A3191" s="2" t="s">
        <v>13127</v>
      </c>
      <c r="B3191" s="3" t="str">
        <f>C3191 &amp; " -&gt; " &amp; D3191</f>
        <v>principal-knowledge-authority -&gt; StepExecutions.Name</v>
      </c>
      <c r="C3191" s="2" t="s">
        <v>9708</v>
      </c>
      <c r="D3191" s="2" t="s">
        <v>3508</v>
      </c>
      <c r="E3191" s="2" t="b">
        <v>1</v>
      </c>
      <c r="F3191" s="2" t="b">
        <v>0</v>
      </c>
      <c r="G3191" s="2" t="s">
        <v>9937</v>
      </c>
      <c r="H3191" s="3" t="str">
        <f>_xlfn.IFNA(INDEX(RulebookFields!C2:C999, MATCH(D3191,RulebookFields!A2:A999, 0)), "")</f>
        <v>StepExecutions</v>
      </c>
      <c r="I3191" s="3" t="str">
        <f>_xlfn.IFNA(INDEX(RulebookFields!D2:D999, MATCH(D3191,RulebookFields!A2:A999, 0)), "")</f>
        <v>Name</v>
      </c>
      <c r="J3191" s="3" t="b">
        <f>_xlfn.IFNA(INDEX(RulebookFields!I2:I999, MATCH(D3191,RulebookFields!A2:A999, 0)), "")</f>
        <v>1</v>
      </c>
      <c r="K3191" s="3" t="b">
        <f>AND(F3191, J3191)</f>
        <v>0</v>
      </c>
      <c r="L3191" s="3" t="b">
        <f>AND(G3191 &lt;&gt; "plain", G3191 &lt;&gt; "")</f>
        <v>0</v>
      </c>
      <c r="M3191" s="3" t="str">
        <f>IF(E3191, C3191 &amp; "|" &amp; H3191, "")</f>
        <v>principal-knowledge-authority|StepExecutions</v>
      </c>
      <c r="N3191" s="2" t="s">
        <v>9938</v>
      </c>
    </row>
    <row r="3192">
      <c r="A3192" s="2" t="s">
        <v>13128</v>
      </c>
      <c r="B3192" s="3" t="str">
        <f>C3192 &amp; " -&gt; " &amp; D3192</f>
        <v>principal-knowledge-authority -&gt; StepExecutions.ProcedureExecution</v>
      </c>
      <c r="C3192" s="2" t="s">
        <v>9708</v>
      </c>
      <c r="D3192" s="2" t="s">
        <v>3510</v>
      </c>
      <c r="E3192" s="2" t="b">
        <v>1</v>
      </c>
      <c r="F3192" s="2" t="b">
        <v>0</v>
      </c>
      <c r="G3192" s="2" t="s">
        <v>9937</v>
      </c>
      <c r="H3192" s="3" t="str">
        <f>_xlfn.IFNA(INDEX(RulebookFields!C2:C999, MATCH(D3192,RulebookFields!A2:A999, 0)), "")</f>
        <v>StepExecutions</v>
      </c>
      <c r="I3192" s="3" t="str">
        <f>_xlfn.IFNA(INDEX(RulebookFields!D2:D999, MATCH(D3192,RulebookFields!A2:A999, 0)), "")</f>
        <v>ProcedureExecution</v>
      </c>
      <c r="J3192" s="3" t="b">
        <f>_xlfn.IFNA(INDEX(RulebookFields!I2:I999, MATCH(D3192,RulebookFields!A2:A999, 0)), "")</f>
        <v>0</v>
      </c>
      <c r="K3192" s="3" t="b">
        <f>AND(F3192, J3192)</f>
        <v>0</v>
      </c>
      <c r="L3192" s="3" t="b">
        <f>AND(G3192 &lt;&gt; "plain", G3192 &lt;&gt; "")</f>
        <v>0</v>
      </c>
      <c r="M3192" s="3" t="str">
        <f>IF(E3192, C3192 &amp; "|" &amp; H3192, "")</f>
        <v>principal-knowledge-authority|StepExecutions</v>
      </c>
      <c r="N3192" s="2" t="s">
        <v>9938</v>
      </c>
    </row>
    <row r="3193">
      <c r="A3193" s="2" t="s">
        <v>13129</v>
      </c>
      <c r="B3193" s="3" t="str">
        <f>C3193 &amp; " -&gt; " &amp; D3193</f>
        <v>principal-knowledge-authority -&gt; StepExecutions.Step</v>
      </c>
      <c r="C3193" s="2" t="s">
        <v>9708</v>
      </c>
      <c r="D3193" s="2" t="s">
        <v>3511</v>
      </c>
      <c r="E3193" s="2" t="b">
        <v>1</v>
      </c>
      <c r="F3193" s="2" t="b">
        <v>0</v>
      </c>
      <c r="G3193" s="2" t="s">
        <v>9937</v>
      </c>
      <c r="H3193" s="3" t="str">
        <f>_xlfn.IFNA(INDEX(RulebookFields!C2:C999, MATCH(D3193,RulebookFields!A2:A999, 0)), "")</f>
        <v>StepExecutions</v>
      </c>
      <c r="I3193" s="3" t="str">
        <f>_xlfn.IFNA(INDEX(RulebookFields!D2:D999, MATCH(D3193,RulebookFields!A2:A999, 0)), "")</f>
        <v>Step</v>
      </c>
      <c r="J3193" s="3" t="b">
        <f>_xlfn.IFNA(INDEX(RulebookFields!I2:I999, MATCH(D3193,RulebookFields!A2:A999, 0)), "")</f>
        <v>0</v>
      </c>
      <c r="K3193" s="3" t="b">
        <f>AND(F3193, J3193)</f>
        <v>0</v>
      </c>
      <c r="L3193" s="3" t="b">
        <f>AND(G3193 &lt;&gt; "plain", G3193 &lt;&gt; "")</f>
        <v>0</v>
      </c>
      <c r="M3193" s="3" t="str">
        <f>IF(E3193, C3193 &amp; "|" &amp; H3193, "")</f>
        <v>principal-knowledge-authority|StepExecutions</v>
      </c>
      <c r="N3193" s="2" t="s">
        <v>9938</v>
      </c>
    </row>
    <row r="3194">
      <c r="A3194" s="2" t="s">
        <v>13130</v>
      </c>
      <c r="B3194" s="3" t="str">
        <f>C3194 &amp; " -&gt; " &amp; D3194</f>
        <v>principal-knowledge-authority -&gt; StepExecutions.ExecutedByAgent</v>
      </c>
      <c r="C3194" s="2" t="s">
        <v>9708</v>
      </c>
      <c r="D3194" s="2" t="s">
        <v>3512</v>
      </c>
      <c r="E3194" s="2" t="b">
        <v>1</v>
      </c>
      <c r="F3194" s="2" t="b">
        <v>0</v>
      </c>
      <c r="G3194" s="2" t="s">
        <v>9937</v>
      </c>
      <c r="H3194" s="3" t="str">
        <f>_xlfn.IFNA(INDEX(RulebookFields!C2:C999, MATCH(D3194,RulebookFields!A2:A999, 0)), "")</f>
        <v>StepExecutions</v>
      </c>
      <c r="I3194" s="3" t="str">
        <f>_xlfn.IFNA(INDEX(RulebookFields!D2:D999, MATCH(D3194,RulebookFields!A2:A999, 0)), "")</f>
        <v>ExecutedByAgent</v>
      </c>
      <c r="J3194" s="3" t="b">
        <f>_xlfn.IFNA(INDEX(RulebookFields!I2:I999, MATCH(D3194,RulebookFields!A2:A999, 0)), "")</f>
        <v>0</v>
      </c>
      <c r="K3194" s="3" t="b">
        <f>AND(F3194, J3194)</f>
        <v>0</v>
      </c>
      <c r="L3194" s="3" t="b">
        <f>AND(G3194 &lt;&gt; "plain", G3194 &lt;&gt; "")</f>
        <v>0</v>
      </c>
      <c r="M3194" s="3" t="str">
        <f>IF(E3194, C3194 &amp; "|" &amp; H3194, "")</f>
        <v>principal-knowledge-authority|StepExecutions</v>
      </c>
      <c r="N3194" s="2" t="s">
        <v>9938</v>
      </c>
    </row>
    <row r="3195">
      <c r="A3195" s="2" t="s">
        <v>13131</v>
      </c>
      <c r="B3195" s="3" t="str">
        <f>C3195 &amp; " -&gt; " &amp; D3195</f>
        <v>principal-knowledge-authority -&gt; StepExecutions.ExecutionStatus</v>
      </c>
      <c r="C3195" s="2" t="s">
        <v>9708</v>
      </c>
      <c r="D3195" s="2" t="s">
        <v>3513</v>
      </c>
      <c r="E3195" s="2" t="b">
        <v>1</v>
      </c>
      <c r="F3195" s="2" t="b">
        <v>0</v>
      </c>
      <c r="G3195" s="2" t="s">
        <v>9937</v>
      </c>
      <c r="H3195" s="3" t="str">
        <f>_xlfn.IFNA(INDEX(RulebookFields!C2:C999, MATCH(D3195,RulebookFields!A2:A999, 0)), "")</f>
        <v>StepExecutions</v>
      </c>
      <c r="I3195" s="3" t="str">
        <f>_xlfn.IFNA(INDEX(RulebookFields!D2:D999, MATCH(D3195,RulebookFields!A2:A999, 0)), "")</f>
        <v>ExecutionStatus</v>
      </c>
      <c r="J3195" s="3" t="b">
        <f>_xlfn.IFNA(INDEX(RulebookFields!I2:I999, MATCH(D3195,RulebookFields!A2:A999, 0)), "")</f>
        <v>0</v>
      </c>
      <c r="K3195" s="3" t="b">
        <f>AND(F3195, J3195)</f>
        <v>0</v>
      </c>
      <c r="L3195" s="3" t="b">
        <f>AND(G3195 &lt;&gt; "plain", G3195 &lt;&gt; "")</f>
        <v>0</v>
      </c>
      <c r="M3195" s="3" t="str">
        <f>IF(E3195, C3195 &amp; "|" &amp; H3195, "")</f>
        <v>principal-knowledge-authority|StepExecutions</v>
      </c>
      <c r="N3195" s="2" t="s">
        <v>9938</v>
      </c>
    </row>
    <row r="3196">
      <c r="A3196" s="2" t="s">
        <v>13132</v>
      </c>
      <c r="B3196" s="3" t="str">
        <f>C3196 &amp; " -&gt; " &amp; D3196</f>
        <v>principal-knowledge-authority -&gt; StepExecutions.StartedAt</v>
      </c>
      <c r="C3196" s="2" t="s">
        <v>9708</v>
      </c>
      <c r="D3196" s="2" t="s">
        <v>3514</v>
      </c>
      <c r="E3196" s="2" t="b">
        <v>1</v>
      </c>
      <c r="F3196" s="2" t="b">
        <v>0</v>
      </c>
      <c r="G3196" s="2" t="s">
        <v>9937</v>
      </c>
      <c r="H3196" s="3" t="str">
        <f>_xlfn.IFNA(INDEX(RulebookFields!C2:C999, MATCH(D3196,RulebookFields!A2:A999, 0)), "")</f>
        <v>StepExecutions</v>
      </c>
      <c r="I3196" s="3" t="str">
        <f>_xlfn.IFNA(INDEX(RulebookFields!D2:D999, MATCH(D3196,RulebookFields!A2:A999, 0)), "")</f>
        <v>StartedAt</v>
      </c>
      <c r="J3196" s="3" t="b">
        <f>_xlfn.IFNA(INDEX(RulebookFields!I2:I999, MATCH(D3196,RulebookFields!A2:A999, 0)), "")</f>
        <v>0</v>
      </c>
      <c r="K3196" s="3" t="b">
        <f>AND(F3196, J3196)</f>
        <v>0</v>
      </c>
      <c r="L3196" s="3" t="b">
        <f>AND(G3196 &lt;&gt; "plain", G3196 &lt;&gt; "")</f>
        <v>0</v>
      </c>
      <c r="M3196" s="3" t="str">
        <f>IF(E3196, C3196 &amp; "|" &amp; H3196, "")</f>
        <v>principal-knowledge-authority|StepExecutions</v>
      </c>
      <c r="N3196" s="2" t="s">
        <v>9938</v>
      </c>
    </row>
    <row r="3197">
      <c r="A3197" s="2" t="s">
        <v>13133</v>
      </c>
      <c r="B3197" s="3" t="str">
        <f>C3197 &amp; " -&gt; " &amp; D3197</f>
        <v>principal-knowledge-authority -&gt; StepExecutions.EndedAt</v>
      </c>
      <c r="C3197" s="2" t="s">
        <v>9708</v>
      </c>
      <c r="D3197" s="2" t="s">
        <v>3515</v>
      </c>
      <c r="E3197" s="2" t="b">
        <v>1</v>
      </c>
      <c r="F3197" s="2" t="b">
        <v>0</v>
      </c>
      <c r="G3197" s="2" t="s">
        <v>9937</v>
      </c>
      <c r="H3197" s="3" t="str">
        <f>_xlfn.IFNA(INDEX(RulebookFields!C2:C999, MATCH(D3197,RulebookFields!A2:A999, 0)), "")</f>
        <v>StepExecutions</v>
      </c>
      <c r="I3197" s="3" t="str">
        <f>_xlfn.IFNA(INDEX(RulebookFields!D2:D999, MATCH(D3197,RulebookFields!A2:A999, 0)), "")</f>
        <v>EndedAt</v>
      </c>
      <c r="J3197" s="3" t="b">
        <f>_xlfn.IFNA(INDEX(RulebookFields!I2:I999, MATCH(D3197,RulebookFields!A2:A999, 0)), "")</f>
        <v>0</v>
      </c>
      <c r="K3197" s="3" t="b">
        <f>AND(F3197, J3197)</f>
        <v>0</v>
      </c>
      <c r="L3197" s="3" t="b">
        <f>AND(G3197 &lt;&gt; "plain", G3197 &lt;&gt; "")</f>
        <v>0</v>
      </c>
      <c r="M3197" s="3" t="str">
        <f>IF(E3197, C3197 &amp; "|" &amp; H3197, "")</f>
        <v>principal-knowledge-authority|StepExecutions</v>
      </c>
      <c r="N3197" s="2" t="s">
        <v>9938</v>
      </c>
    </row>
    <row r="3198">
      <c r="A3198" s="2" t="s">
        <v>13134</v>
      </c>
      <c r="B3198" s="3" t="str">
        <f>C3198 &amp; " -&gt; " &amp; D3198</f>
        <v>principal-knowledge-authority -&gt; StepExecutions.VerificationResult</v>
      </c>
      <c r="C3198" s="2" t="s">
        <v>9708</v>
      </c>
      <c r="D3198" s="2" t="s">
        <v>3516</v>
      </c>
      <c r="E3198" s="2" t="b">
        <v>1</v>
      </c>
      <c r="F3198" s="2" t="b">
        <v>0</v>
      </c>
      <c r="G3198" s="2" t="s">
        <v>9937</v>
      </c>
      <c r="H3198" s="3" t="str">
        <f>_xlfn.IFNA(INDEX(RulebookFields!C2:C999, MATCH(D3198,RulebookFields!A2:A999, 0)), "")</f>
        <v>StepExecutions</v>
      </c>
      <c r="I3198" s="3" t="str">
        <f>_xlfn.IFNA(INDEX(RulebookFields!D2:D999, MATCH(D3198,RulebookFields!A2:A999, 0)), "")</f>
        <v>VerificationResult</v>
      </c>
      <c r="J3198" s="3" t="b">
        <f>_xlfn.IFNA(INDEX(RulebookFields!I2:I999, MATCH(D3198,RulebookFields!A2:A999, 0)), "")</f>
        <v>0</v>
      </c>
      <c r="K3198" s="3" t="b">
        <f>AND(F3198, J3198)</f>
        <v>0</v>
      </c>
      <c r="L3198" s="3" t="b">
        <f>AND(G3198 &lt;&gt; "plain", G3198 &lt;&gt; "")</f>
        <v>0</v>
      </c>
      <c r="M3198" s="3" t="str">
        <f>IF(E3198, C3198 &amp; "|" &amp; H3198, "")</f>
        <v>principal-knowledge-authority|StepExecutions</v>
      </c>
      <c r="N3198" s="2" t="s">
        <v>9938</v>
      </c>
    </row>
    <row r="3199">
      <c r="A3199" s="2" t="s">
        <v>13135</v>
      </c>
      <c r="B3199" s="3" t="str">
        <f>C3199 &amp; " -&gt; " &amp; D3199</f>
        <v>principal-knowledge-authority -&gt; StepExecutions.Deviation</v>
      </c>
      <c r="C3199" s="2" t="s">
        <v>9708</v>
      </c>
      <c r="D3199" s="2" t="s">
        <v>3517</v>
      </c>
      <c r="E3199" s="2" t="b">
        <v>1</v>
      </c>
      <c r="F3199" s="2" t="b">
        <v>0</v>
      </c>
      <c r="G3199" s="2" t="s">
        <v>9937</v>
      </c>
      <c r="H3199" s="3" t="str">
        <f>_xlfn.IFNA(INDEX(RulebookFields!C2:C999, MATCH(D3199,RulebookFields!A2:A999, 0)), "")</f>
        <v>StepExecutions</v>
      </c>
      <c r="I3199" s="3" t="str">
        <f>_xlfn.IFNA(INDEX(RulebookFields!D2:D999, MATCH(D3199,RulebookFields!A2:A999, 0)), "")</f>
        <v>Deviation</v>
      </c>
      <c r="J3199" s="3" t="b">
        <f>_xlfn.IFNA(INDEX(RulebookFields!I2:I999, MATCH(D3199,RulebookFields!A2:A999, 0)), "")</f>
        <v>0</v>
      </c>
      <c r="K3199" s="3" t="b">
        <f>AND(F3199, J3199)</f>
        <v>0</v>
      </c>
      <c r="L3199" s="3" t="b">
        <f>AND(G3199 &lt;&gt; "plain", G3199 &lt;&gt; "")</f>
        <v>0</v>
      </c>
      <c r="M3199" s="3" t="str">
        <f>IF(E3199, C3199 &amp; "|" &amp; H3199, "")</f>
        <v>principal-knowledge-authority|StepExecutions</v>
      </c>
      <c r="N3199" s="2" t="s">
        <v>9938</v>
      </c>
    </row>
    <row r="3200">
      <c r="A3200" s="2" t="s">
        <v>13136</v>
      </c>
      <c r="B3200" s="3" t="str">
        <f>C3200 &amp; " -&gt; " &amp; D3200</f>
        <v>principal-knowledge-authority -&gt; StepExecutions.ActualDurationMinutes</v>
      </c>
      <c r="C3200" s="2" t="s">
        <v>9708</v>
      </c>
      <c r="D3200" s="2" t="s">
        <v>3518</v>
      </c>
      <c r="E3200" s="2" t="b">
        <v>1</v>
      </c>
      <c r="F3200" s="2" t="b">
        <v>0</v>
      </c>
      <c r="G3200" s="2" t="s">
        <v>9937</v>
      </c>
      <c r="H3200" s="3" t="str">
        <f>_xlfn.IFNA(INDEX(RulebookFields!C2:C999, MATCH(D3200,RulebookFields!A2:A999, 0)), "")</f>
        <v>StepExecutions</v>
      </c>
      <c r="I3200" s="3" t="str">
        <f>_xlfn.IFNA(INDEX(RulebookFields!D2:D999, MATCH(D3200,RulebookFields!A2:A999, 0)), "")</f>
        <v>ActualDurationMinutes</v>
      </c>
      <c r="J3200" s="3" t="b">
        <f>_xlfn.IFNA(INDEX(RulebookFields!I2:I999, MATCH(D3200,RulebookFields!A2:A999, 0)), "")</f>
        <v>1</v>
      </c>
      <c r="K3200" s="3" t="b">
        <f>AND(F3200, J3200)</f>
        <v>0</v>
      </c>
      <c r="L3200" s="3" t="b">
        <f>AND(G3200 &lt;&gt; "plain", G3200 &lt;&gt; "")</f>
        <v>0</v>
      </c>
      <c r="M3200" s="3" t="str">
        <f>IF(E3200, C3200 &amp; "|" &amp; H3200, "")</f>
        <v>principal-knowledge-authority|StepExecutions</v>
      </c>
      <c r="N3200" s="2" t="s">
        <v>9938</v>
      </c>
    </row>
    <row r="3201">
      <c r="A3201" s="2" t="s">
        <v>13137</v>
      </c>
      <c r="B3201" s="3" t="str">
        <f>C3201 &amp; " -&gt; " &amp; D3201</f>
        <v>principal-knowledge-authority -&gt; StepExecutions.ExpectedDurationMinutes</v>
      </c>
      <c r="C3201" s="2" t="s">
        <v>9708</v>
      </c>
      <c r="D3201" s="2" t="s">
        <v>3520</v>
      </c>
      <c r="E3201" s="2" t="b">
        <v>1</v>
      </c>
      <c r="F3201" s="2" t="b">
        <v>0</v>
      </c>
      <c r="G3201" s="2" t="s">
        <v>9937</v>
      </c>
      <c r="H3201" s="3" t="str">
        <f>_xlfn.IFNA(INDEX(RulebookFields!C2:C999, MATCH(D3201,RulebookFields!A2:A999, 0)), "")</f>
        <v>StepExecutions</v>
      </c>
      <c r="I3201" s="3" t="str">
        <f>_xlfn.IFNA(INDEX(RulebookFields!D2:D999, MATCH(D3201,RulebookFields!A2:A999, 0)), "")</f>
        <v>ExpectedDurationMinutes</v>
      </c>
      <c r="J3201" s="3" t="b">
        <f>_xlfn.IFNA(INDEX(RulebookFields!I2:I999, MATCH(D3201,RulebookFields!A2:A999, 0)), "")</f>
        <v>1</v>
      </c>
      <c r="K3201" s="3" t="b">
        <f>AND(F3201, J3201)</f>
        <v>0</v>
      </c>
      <c r="L3201" s="3" t="b">
        <f>AND(G3201 &lt;&gt; "plain", G3201 &lt;&gt; "")</f>
        <v>0</v>
      </c>
      <c r="M3201" s="3" t="str">
        <f>IF(E3201, C3201 &amp; "|" &amp; H3201, "")</f>
        <v>principal-knowledge-authority|StepExecutions</v>
      </c>
      <c r="N3201" s="2" t="s">
        <v>9938</v>
      </c>
    </row>
    <row r="3202">
      <c r="A3202" s="2" t="s">
        <v>13138</v>
      </c>
      <c r="B3202" s="3" t="str">
        <f>C3202 &amp; " -&gt; " &amp; D3202</f>
        <v>principal-knowledge-authority -&gt; StepExecutions.IsLate</v>
      </c>
      <c r="C3202" s="2" t="s">
        <v>9708</v>
      </c>
      <c r="D3202" s="2" t="s">
        <v>3522</v>
      </c>
      <c r="E3202" s="2" t="b">
        <v>1</v>
      </c>
      <c r="F3202" s="2" t="b">
        <v>0</v>
      </c>
      <c r="G3202" s="2" t="s">
        <v>9937</v>
      </c>
      <c r="H3202" s="3" t="str">
        <f>_xlfn.IFNA(INDEX(RulebookFields!C2:C999, MATCH(D3202,RulebookFields!A2:A999, 0)), "")</f>
        <v>StepExecutions</v>
      </c>
      <c r="I3202" s="3" t="str">
        <f>_xlfn.IFNA(INDEX(RulebookFields!D2:D999, MATCH(D3202,RulebookFields!A2:A999, 0)), "")</f>
        <v>IsLate</v>
      </c>
      <c r="J3202" s="3" t="b">
        <f>_xlfn.IFNA(INDEX(RulebookFields!I2:I999, MATCH(D3202,RulebookFields!A2:A999, 0)), "")</f>
        <v>1</v>
      </c>
      <c r="K3202" s="3" t="b">
        <f>AND(F3202, J3202)</f>
        <v>0</v>
      </c>
      <c r="L3202" s="3" t="b">
        <f>AND(G3202 &lt;&gt; "plain", G3202 &lt;&gt; "")</f>
        <v>0</v>
      </c>
      <c r="M3202" s="3" t="str">
        <f>IF(E3202, C3202 &amp; "|" &amp; H3202, "")</f>
        <v>principal-knowledge-authority|StepExecutions</v>
      </c>
      <c r="N3202" s="2" t="s">
        <v>9938</v>
      </c>
    </row>
    <row r="3203">
      <c r="A3203" s="2" t="s">
        <v>13139</v>
      </c>
      <c r="B3203" s="3" t="str">
        <f>C3203 &amp; " -&gt; " &amp; D3203</f>
        <v>principal-knowledge-authority -&gt; StepExecutions.BlockingUnmetCount</v>
      </c>
      <c r="C3203" s="2" t="s">
        <v>9708</v>
      </c>
      <c r="D3203" s="2" t="s">
        <v>3524</v>
      </c>
      <c r="E3203" s="2" t="b">
        <v>1</v>
      </c>
      <c r="F3203" s="2" t="b">
        <v>0</v>
      </c>
      <c r="G3203" s="2" t="s">
        <v>9937</v>
      </c>
      <c r="H3203" s="3" t="str">
        <f>_xlfn.IFNA(INDEX(RulebookFields!C2:C999, MATCH(D3203,RulebookFields!A2:A999, 0)), "")</f>
        <v>StepExecutions</v>
      </c>
      <c r="I3203" s="3" t="str">
        <f>_xlfn.IFNA(INDEX(RulebookFields!D2:D999, MATCH(D3203,RulebookFields!A2:A999, 0)), "")</f>
        <v>BlockingUnmetCount</v>
      </c>
      <c r="J3203" s="3" t="b">
        <f>_xlfn.IFNA(INDEX(RulebookFields!I2:I999, MATCH(D3203,RulebookFields!A2:A999, 0)), "")</f>
        <v>1</v>
      </c>
      <c r="K3203" s="3" t="b">
        <f>AND(F3203, J3203)</f>
        <v>0</v>
      </c>
      <c r="L3203" s="3" t="b">
        <f>AND(G3203 &lt;&gt; "plain", G3203 &lt;&gt; "")</f>
        <v>0</v>
      </c>
      <c r="M3203" s="3" t="str">
        <f>IF(E3203, C3203 &amp; "|" &amp; H3203, "")</f>
        <v>principal-knowledge-authority|StepExecutions</v>
      </c>
      <c r="N3203" s="2" t="s">
        <v>9938</v>
      </c>
    </row>
    <row r="3204">
      <c r="A3204" s="2" t="s">
        <v>13140</v>
      </c>
      <c r="B3204" s="3" t="str">
        <f>C3204 &amp; " -&gt; " &amp; D3204</f>
        <v>principal-knowledge-authority -&gt; StepExecutions.BlockingUnmetCountSafe</v>
      </c>
      <c r="C3204" s="2" t="s">
        <v>9708</v>
      </c>
      <c r="D3204" s="2" t="s">
        <v>3526</v>
      </c>
      <c r="E3204" s="2" t="b">
        <v>1</v>
      </c>
      <c r="F3204" s="2" t="b">
        <v>0</v>
      </c>
      <c r="G3204" s="2" t="s">
        <v>9937</v>
      </c>
      <c r="H3204" s="3" t="str">
        <f>_xlfn.IFNA(INDEX(RulebookFields!C2:C999, MATCH(D3204,RulebookFields!A2:A999, 0)), "")</f>
        <v>StepExecutions</v>
      </c>
      <c r="I3204" s="3" t="str">
        <f>_xlfn.IFNA(INDEX(RulebookFields!D2:D999, MATCH(D3204,RulebookFields!A2:A999, 0)), "")</f>
        <v>BlockingUnmetCountSafe</v>
      </c>
      <c r="J3204" s="3" t="b">
        <f>_xlfn.IFNA(INDEX(RulebookFields!I2:I999, MATCH(D3204,RulebookFields!A2:A999, 0)), "")</f>
        <v>1</v>
      </c>
      <c r="K3204" s="3" t="b">
        <f>AND(F3204, J3204)</f>
        <v>0</v>
      </c>
      <c r="L3204" s="3" t="b">
        <f>AND(G3204 &lt;&gt; "plain", G3204 &lt;&gt; "")</f>
        <v>0</v>
      </c>
      <c r="M3204" s="3" t="str">
        <f>IF(E3204, C3204 &amp; "|" &amp; H3204, "")</f>
        <v>principal-knowledge-authority|StepExecutions</v>
      </c>
      <c r="N3204" s="2" t="s">
        <v>9938</v>
      </c>
    </row>
    <row r="3205">
      <c r="A3205" s="2" t="s">
        <v>13141</v>
      </c>
      <c r="B3205" s="3" t="str">
        <f>C3205 &amp; " -&gt; " &amp; D3205</f>
        <v>principal-knowledge-authority -&gt; StepExecutions.ProceededPastBlockingControl</v>
      </c>
      <c r="C3205" s="2" t="s">
        <v>9708</v>
      </c>
      <c r="D3205" s="2" t="s">
        <v>3528</v>
      </c>
      <c r="E3205" s="2" t="b">
        <v>1</v>
      </c>
      <c r="F3205" s="2" t="b">
        <v>0</v>
      </c>
      <c r="G3205" s="2" t="s">
        <v>9937</v>
      </c>
      <c r="H3205" s="3" t="str">
        <f>_xlfn.IFNA(INDEX(RulebookFields!C2:C999, MATCH(D3205,RulebookFields!A2:A999, 0)), "")</f>
        <v>StepExecutions</v>
      </c>
      <c r="I3205" s="3" t="str">
        <f>_xlfn.IFNA(INDEX(RulebookFields!D2:D999, MATCH(D3205,RulebookFields!A2:A999, 0)), "")</f>
        <v>ProceededPastBlockingControl</v>
      </c>
      <c r="J3205" s="3" t="b">
        <f>_xlfn.IFNA(INDEX(RulebookFields!I2:I999, MATCH(D3205,RulebookFields!A2:A999, 0)), "")</f>
        <v>1</v>
      </c>
      <c r="K3205" s="3" t="b">
        <f>AND(F3205, J3205)</f>
        <v>0</v>
      </c>
      <c r="L3205" s="3" t="b">
        <f>AND(G3205 &lt;&gt; "plain", G3205 &lt;&gt; "")</f>
        <v>0</v>
      </c>
      <c r="M3205" s="3" t="str">
        <f>IF(E3205, C3205 &amp; "|" &amp; H3205, "")</f>
        <v>principal-knowledge-authority|StepExecutions</v>
      </c>
      <c r="N3205" s="2" t="s">
        <v>9938</v>
      </c>
    </row>
    <row r="3206">
      <c r="A3206" s="2" t="s">
        <v>13142</v>
      </c>
      <c r="B3206" s="3" t="str">
        <f>C3206 &amp; " -&gt; " &amp; D3206</f>
        <v>principal-knowledge-authority -&gt; StepExecutions.ExpectedBlockingCount</v>
      </c>
      <c r="C3206" s="2" t="s">
        <v>9708</v>
      </c>
      <c r="D3206" s="2" t="s">
        <v>3530</v>
      </c>
      <c r="E3206" s="2" t="b">
        <v>1</v>
      </c>
      <c r="F3206" s="2" t="b">
        <v>0</v>
      </c>
      <c r="G3206" s="2" t="s">
        <v>9937</v>
      </c>
      <c r="H3206" s="3" t="str">
        <f>_xlfn.IFNA(INDEX(RulebookFields!C2:C999, MATCH(D3206,RulebookFields!A2:A999, 0)), "")</f>
        <v>StepExecutions</v>
      </c>
      <c r="I3206" s="3" t="str">
        <f>_xlfn.IFNA(INDEX(RulebookFields!D2:D999, MATCH(D3206,RulebookFields!A2:A999, 0)), "")</f>
        <v>ExpectedBlockingCount</v>
      </c>
      <c r="J3206" s="3" t="b">
        <f>_xlfn.IFNA(INDEX(RulebookFields!I2:I999, MATCH(D3206,RulebookFields!A2:A999, 0)), "")</f>
        <v>1</v>
      </c>
      <c r="K3206" s="3" t="b">
        <f>AND(F3206, J3206)</f>
        <v>0</v>
      </c>
      <c r="L3206" s="3" t="b">
        <f>AND(G3206 &lt;&gt; "plain", G3206 &lt;&gt; "")</f>
        <v>0</v>
      </c>
      <c r="M3206" s="3" t="str">
        <f>IF(E3206, C3206 &amp; "|" &amp; H3206, "")</f>
        <v>principal-knowledge-authority|StepExecutions</v>
      </c>
      <c r="N3206" s="2" t="s">
        <v>9938</v>
      </c>
    </row>
    <row r="3207">
      <c r="A3207" s="2" t="s">
        <v>13143</v>
      </c>
      <c r="B3207" s="3" t="str">
        <f>C3207 &amp; " -&gt; " &amp; D3207</f>
        <v>principal-knowledge-authority -&gt; StepExecutions.EvaluatedBlockingCount</v>
      </c>
      <c r="C3207" s="2" t="s">
        <v>9708</v>
      </c>
      <c r="D3207" s="2" t="s">
        <v>3532</v>
      </c>
      <c r="E3207" s="2" t="b">
        <v>1</v>
      </c>
      <c r="F3207" s="2" t="b">
        <v>0</v>
      </c>
      <c r="G3207" s="2" t="s">
        <v>9937</v>
      </c>
      <c r="H3207" s="3" t="str">
        <f>_xlfn.IFNA(INDEX(RulebookFields!C2:C999, MATCH(D3207,RulebookFields!A2:A999, 0)), "")</f>
        <v>StepExecutions</v>
      </c>
      <c r="I3207" s="3" t="str">
        <f>_xlfn.IFNA(INDEX(RulebookFields!D2:D999, MATCH(D3207,RulebookFields!A2:A999, 0)), "")</f>
        <v>EvaluatedBlockingCount</v>
      </c>
      <c r="J3207" s="3" t="b">
        <f>_xlfn.IFNA(INDEX(RulebookFields!I2:I999, MATCH(D3207,RulebookFields!A2:A999, 0)), "")</f>
        <v>1</v>
      </c>
      <c r="K3207" s="3" t="b">
        <f>AND(F3207, J3207)</f>
        <v>0</v>
      </c>
      <c r="L3207" s="3" t="b">
        <f>AND(G3207 &lt;&gt; "plain", G3207 &lt;&gt; "")</f>
        <v>0</v>
      </c>
      <c r="M3207" s="3" t="str">
        <f>IF(E3207, C3207 &amp; "|" &amp; H3207, "")</f>
        <v>principal-knowledge-authority|StepExecutions</v>
      </c>
      <c r="N3207" s="2" t="s">
        <v>9938</v>
      </c>
    </row>
    <row r="3208">
      <c r="A3208" s="2" t="s">
        <v>13144</v>
      </c>
      <c r="B3208" s="3" t="str">
        <f>C3208 &amp; " -&gt; " &amp; D3208</f>
        <v>principal-knowledge-authority -&gt; StepExecutions.UnevaluatedBlockingCount</v>
      </c>
      <c r="C3208" s="2" t="s">
        <v>9708</v>
      </c>
      <c r="D3208" s="2" t="s">
        <v>3534</v>
      </c>
      <c r="E3208" s="2" t="b">
        <v>1</v>
      </c>
      <c r="F3208" s="2" t="b">
        <v>0</v>
      </c>
      <c r="G3208" s="2" t="s">
        <v>9937</v>
      </c>
      <c r="H3208" s="3" t="str">
        <f>_xlfn.IFNA(INDEX(RulebookFields!C2:C999, MATCH(D3208,RulebookFields!A2:A999, 0)), "")</f>
        <v>StepExecutions</v>
      </c>
      <c r="I3208" s="3" t="str">
        <f>_xlfn.IFNA(INDEX(RulebookFields!D2:D999, MATCH(D3208,RulebookFields!A2:A999, 0)), "")</f>
        <v>UnevaluatedBlockingCount</v>
      </c>
      <c r="J3208" s="3" t="b">
        <f>_xlfn.IFNA(INDEX(RulebookFields!I2:I999, MATCH(D3208,RulebookFields!A2:A999, 0)), "")</f>
        <v>1</v>
      </c>
      <c r="K3208" s="3" t="b">
        <f>AND(F3208, J3208)</f>
        <v>0</v>
      </c>
      <c r="L3208" s="3" t="b">
        <f>AND(G3208 &lt;&gt; "plain", G3208 &lt;&gt; "")</f>
        <v>0</v>
      </c>
      <c r="M3208" s="3" t="str">
        <f>IF(E3208, C3208 &amp; "|" &amp; H3208, "")</f>
        <v>principal-knowledge-authority|StepExecutions</v>
      </c>
      <c r="N3208" s="2" t="s">
        <v>9938</v>
      </c>
    </row>
    <row r="3209">
      <c r="A3209" s="2" t="s">
        <v>13145</v>
      </c>
      <c r="B3209" s="3" t="str">
        <f>C3209 &amp; " -&gt; " &amp; D3209</f>
        <v>principal-knowledge-authority -&gt; StepExecutions.HasUnevaluatedBlockingControl</v>
      </c>
      <c r="C3209" s="2" t="s">
        <v>9708</v>
      </c>
      <c r="D3209" s="2" t="s">
        <v>3536</v>
      </c>
      <c r="E3209" s="2" t="b">
        <v>1</v>
      </c>
      <c r="F3209" s="2" t="b">
        <v>0</v>
      </c>
      <c r="G3209" s="2" t="s">
        <v>9937</v>
      </c>
      <c r="H3209" s="3" t="str">
        <f>_xlfn.IFNA(INDEX(RulebookFields!C2:C999, MATCH(D3209,RulebookFields!A2:A999, 0)), "")</f>
        <v>StepExecutions</v>
      </c>
      <c r="I3209" s="3" t="str">
        <f>_xlfn.IFNA(INDEX(RulebookFields!D2:D999, MATCH(D3209,RulebookFields!A2:A999, 0)), "")</f>
        <v>HasUnevaluatedBlockingControl</v>
      </c>
      <c r="J3209" s="3" t="b">
        <f>_xlfn.IFNA(INDEX(RulebookFields!I2:I999, MATCH(D3209,RulebookFields!A2:A999, 0)), "")</f>
        <v>1</v>
      </c>
      <c r="K3209" s="3" t="b">
        <f>AND(F3209, J3209)</f>
        <v>0</v>
      </c>
      <c r="L3209" s="3" t="b">
        <f>AND(G3209 &lt;&gt; "plain", G3209 &lt;&gt; "")</f>
        <v>0</v>
      </c>
      <c r="M3209" s="3" t="str">
        <f>IF(E3209, C3209 &amp; "|" &amp; H3209, "")</f>
        <v>principal-knowledge-authority|StepExecutions</v>
      </c>
      <c r="N3209" s="2" t="s">
        <v>9938</v>
      </c>
    </row>
    <row r="3210">
      <c r="A3210" s="2" t="s">
        <v>13146</v>
      </c>
      <c r="B3210" s="3" t="str">
        <f>C3210 &amp; " -&gt; " &amp; D3210</f>
        <v>principal-knowledge-authority -&gt; StepExecutions.StaleAuthoritativeSourceCount</v>
      </c>
      <c r="C3210" s="2" t="s">
        <v>9708</v>
      </c>
      <c r="D3210" s="2" t="s">
        <v>3538</v>
      </c>
      <c r="E3210" s="2" t="b">
        <v>1</v>
      </c>
      <c r="F3210" s="2" t="b">
        <v>0</v>
      </c>
      <c r="G3210" s="2" t="s">
        <v>9937</v>
      </c>
      <c r="H3210" s="3" t="str">
        <f>_xlfn.IFNA(INDEX(RulebookFields!C2:C999, MATCH(D3210,RulebookFields!A2:A999, 0)), "")</f>
        <v>StepExecutions</v>
      </c>
      <c r="I3210" s="3" t="str">
        <f>_xlfn.IFNA(INDEX(RulebookFields!D2:D999, MATCH(D3210,RulebookFields!A2:A999, 0)), "")</f>
        <v>StaleAuthoritativeSourceCount</v>
      </c>
      <c r="J3210" s="3" t="b">
        <f>_xlfn.IFNA(INDEX(RulebookFields!I2:I999, MATCH(D3210,RulebookFields!A2:A999, 0)), "")</f>
        <v>1</v>
      </c>
      <c r="K3210" s="3" t="b">
        <f>AND(F3210, J3210)</f>
        <v>0</v>
      </c>
      <c r="L3210" s="3" t="b">
        <f>AND(G3210 &lt;&gt; "plain", G3210 &lt;&gt; "")</f>
        <v>0</v>
      </c>
      <c r="M3210" s="3" t="str">
        <f>IF(E3210, C3210 &amp; "|" &amp; H3210, "")</f>
        <v>principal-knowledge-authority|StepExecutions</v>
      </c>
      <c r="N3210" s="2" t="s">
        <v>9938</v>
      </c>
    </row>
    <row r="3211">
      <c r="A3211" s="2" t="s">
        <v>13147</v>
      </c>
      <c r="B3211" s="3" t="str">
        <f>C3211 &amp; " -&gt; " &amp; D3211</f>
        <v>principal-knowledge-authority -&gt; StepExecutions.RanOnStaleAuthoritativeSource</v>
      </c>
      <c r="C3211" s="2" t="s">
        <v>9708</v>
      </c>
      <c r="D3211" s="2" t="s">
        <v>3540</v>
      </c>
      <c r="E3211" s="2" t="b">
        <v>1</v>
      </c>
      <c r="F3211" s="2" t="b">
        <v>0</v>
      </c>
      <c r="G3211" s="2" t="s">
        <v>9937</v>
      </c>
      <c r="H3211" s="3" t="str">
        <f>_xlfn.IFNA(INDEX(RulebookFields!C2:C999, MATCH(D3211,RulebookFields!A2:A999, 0)), "")</f>
        <v>StepExecutions</v>
      </c>
      <c r="I3211" s="3" t="str">
        <f>_xlfn.IFNA(INDEX(RulebookFields!D2:D999, MATCH(D3211,RulebookFields!A2:A999, 0)), "")</f>
        <v>RanOnStaleAuthoritativeSource</v>
      </c>
      <c r="J3211" s="3" t="b">
        <f>_xlfn.IFNA(INDEX(RulebookFields!I2:I999, MATCH(D3211,RulebookFields!A2:A999, 0)), "")</f>
        <v>1</v>
      </c>
      <c r="K3211" s="3" t="b">
        <f>AND(F3211, J3211)</f>
        <v>0</v>
      </c>
      <c r="L3211" s="3" t="b">
        <f>AND(G3211 &lt;&gt; "plain", G3211 &lt;&gt; "")</f>
        <v>0</v>
      </c>
      <c r="M3211" s="3" t="str">
        <f>IF(E3211, C3211 &amp; "|" &amp; H3211, "")</f>
        <v>principal-knowledge-authority|StepExecutions</v>
      </c>
      <c r="N3211" s="2" t="s">
        <v>9938</v>
      </c>
    </row>
    <row r="3212">
      <c r="A3212" s="2" t="s">
        <v>13148</v>
      </c>
      <c r="B3212" s="3" t="str">
        <f>C3212 &amp; " -&gt; " &amp; D3212</f>
        <v>principal-knowledge-authority -&gt; StepExecutions.HasDeviationNote</v>
      </c>
      <c r="C3212" s="2" t="s">
        <v>9708</v>
      </c>
      <c r="D3212" s="2" t="s">
        <v>3542</v>
      </c>
      <c r="E3212" s="2" t="b">
        <v>1</v>
      </c>
      <c r="F3212" s="2" t="b">
        <v>0</v>
      </c>
      <c r="G3212" s="2" t="s">
        <v>9937</v>
      </c>
      <c r="H3212" s="3" t="str">
        <f>_xlfn.IFNA(INDEX(RulebookFields!C2:C999, MATCH(D3212,RulebookFields!A2:A999, 0)), "")</f>
        <v>StepExecutions</v>
      </c>
      <c r="I3212" s="3" t="str">
        <f>_xlfn.IFNA(INDEX(RulebookFields!D2:D999, MATCH(D3212,RulebookFields!A2:A999, 0)), "")</f>
        <v>HasDeviationNote</v>
      </c>
      <c r="J3212" s="3" t="b">
        <f>_xlfn.IFNA(INDEX(RulebookFields!I2:I999, MATCH(D3212,RulebookFields!A2:A999, 0)), "")</f>
        <v>1</v>
      </c>
      <c r="K3212" s="3" t="b">
        <f>AND(F3212, J3212)</f>
        <v>0</v>
      </c>
      <c r="L3212" s="3" t="b">
        <f>AND(G3212 &lt;&gt; "plain", G3212 &lt;&gt; "")</f>
        <v>0</v>
      </c>
      <c r="M3212" s="3" t="str">
        <f>IF(E3212, C3212 &amp; "|" &amp; H3212, "")</f>
        <v>principal-knowledge-authority|StepExecutions</v>
      </c>
      <c r="N3212" s="2" t="s">
        <v>9938</v>
      </c>
    </row>
    <row r="3213">
      <c r="A3213" s="2" t="s">
        <v>13149</v>
      </c>
      <c r="B3213" s="3" t="str">
        <f>C3213 &amp; " -&gt; " &amp; D3213</f>
        <v>principal-knowledge-authority -&gt; StepExecutions.IsLateAndUnexplained</v>
      </c>
      <c r="C3213" s="2" t="s">
        <v>9708</v>
      </c>
      <c r="D3213" s="2" t="s">
        <v>3544</v>
      </c>
      <c r="E3213" s="2" t="b">
        <v>1</v>
      </c>
      <c r="F3213" s="2" t="b">
        <v>0</v>
      </c>
      <c r="G3213" s="2" t="s">
        <v>9937</v>
      </c>
      <c r="H3213" s="3" t="str">
        <f>_xlfn.IFNA(INDEX(RulebookFields!C2:C999, MATCH(D3213,RulebookFields!A2:A999, 0)), "")</f>
        <v>StepExecutions</v>
      </c>
      <c r="I3213" s="3" t="str">
        <f>_xlfn.IFNA(INDEX(RulebookFields!D2:D999, MATCH(D3213,RulebookFields!A2:A999, 0)), "")</f>
        <v>IsLateAndUnexplained</v>
      </c>
      <c r="J3213" s="3" t="b">
        <f>_xlfn.IFNA(INDEX(RulebookFields!I2:I999, MATCH(D3213,RulebookFields!A2:A999, 0)), "")</f>
        <v>1</v>
      </c>
      <c r="K3213" s="3" t="b">
        <f>AND(F3213, J3213)</f>
        <v>0</v>
      </c>
      <c r="L3213" s="3" t="b">
        <f>AND(G3213 &lt;&gt; "plain", G3213 &lt;&gt; "")</f>
        <v>0</v>
      </c>
      <c r="M3213" s="3" t="str">
        <f>IF(E3213, C3213 &amp; "|" &amp; H3213, "")</f>
        <v>principal-knowledge-authority|StepExecutions</v>
      </c>
      <c r="N3213" s="2" t="s">
        <v>9938</v>
      </c>
    </row>
    <row r="3214">
      <c r="A3214" s="2" t="s">
        <v>13150</v>
      </c>
      <c r="B3214" s="3" t="str">
        <f>C3214 &amp; " -&gt; " &amp; D3214</f>
        <v>principal-knowledge-authority -&gt; StepExecutions.AvailableExceptionCountForStep</v>
      </c>
      <c r="C3214" s="2" t="s">
        <v>9708</v>
      </c>
      <c r="D3214" s="2" t="s">
        <v>3546</v>
      </c>
      <c r="E3214" s="2" t="b">
        <v>1</v>
      </c>
      <c r="F3214" s="2" t="b">
        <v>0</v>
      </c>
      <c r="G3214" s="2" t="s">
        <v>9937</v>
      </c>
      <c r="H3214" s="3" t="str">
        <f>_xlfn.IFNA(INDEX(RulebookFields!C2:C999, MATCH(D3214,RulebookFields!A2:A999, 0)), "")</f>
        <v>StepExecutions</v>
      </c>
      <c r="I3214" s="3" t="str">
        <f>_xlfn.IFNA(INDEX(RulebookFields!D2:D999, MATCH(D3214,RulebookFields!A2:A999, 0)), "")</f>
        <v>AvailableExceptionCountForStep</v>
      </c>
      <c r="J3214" s="3" t="b">
        <f>_xlfn.IFNA(INDEX(RulebookFields!I2:I999, MATCH(D3214,RulebookFields!A2:A999, 0)), "")</f>
        <v>1</v>
      </c>
      <c r="K3214" s="3" t="b">
        <f>AND(F3214, J3214)</f>
        <v>0</v>
      </c>
      <c r="L3214" s="3" t="b">
        <f>AND(G3214 &lt;&gt; "plain", G3214 &lt;&gt; "")</f>
        <v>0</v>
      </c>
      <c r="M3214" s="3" t="str">
        <f>IF(E3214, C3214 &amp; "|" &amp; H3214, "")</f>
        <v>principal-knowledge-authority|StepExecutions</v>
      </c>
      <c r="N3214" s="2" t="s">
        <v>9938</v>
      </c>
    </row>
    <row r="3215">
      <c r="A3215" s="2" t="s">
        <v>13151</v>
      </c>
      <c r="B3215" s="3" t="str">
        <f>C3215 &amp; " -&gt; " &amp; D3215</f>
        <v>principal-knowledge-authority -&gt; StepExecutions.HadUninvokedExceptionAvailable</v>
      </c>
      <c r="C3215" s="2" t="s">
        <v>9708</v>
      </c>
      <c r="D3215" s="2" t="s">
        <v>3548</v>
      </c>
      <c r="E3215" s="2" t="b">
        <v>1</v>
      </c>
      <c r="F3215" s="2" t="b">
        <v>0</v>
      </c>
      <c r="G3215" s="2" t="s">
        <v>9937</v>
      </c>
      <c r="H3215" s="3" t="str">
        <f>_xlfn.IFNA(INDEX(RulebookFields!C2:C999, MATCH(D3215,RulebookFields!A2:A999, 0)), "")</f>
        <v>StepExecutions</v>
      </c>
      <c r="I3215" s="3" t="str">
        <f>_xlfn.IFNA(INDEX(RulebookFields!D2:D999, MATCH(D3215,RulebookFields!A2:A999, 0)), "")</f>
        <v>HadUninvokedExceptionAvailable</v>
      </c>
      <c r="J3215" s="3" t="b">
        <f>_xlfn.IFNA(INDEX(RulebookFields!I2:I999, MATCH(D3215,RulebookFields!A2:A999, 0)), "")</f>
        <v>1</v>
      </c>
      <c r="K3215" s="3" t="b">
        <f>AND(F3215, J3215)</f>
        <v>0</v>
      </c>
      <c r="L3215" s="3" t="b">
        <f>AND(G3215 &lt;&gt; "plain", G3215 &lt;&gt; "")</f>
        <v>0</v>
      </c>
      <c r="M3215" s="3" t="str">
        <f>IF(E3215, C3215 &amp; "|" &amp; H3215, "")</f>
        <v>principal-knowledge-authority|StepExecutions</v>
      </c>
      <c r="N3215" s="2" t="s">
        <v>9938</v>
      </c>
    </row>
    <row r="3216">
      <c r="A3216" s="2" t="s">
        <v>13152</v>
      </c>
      <c r="B3216" s="3" t="str">
        <f>C3216 &amp; " -&gt; " &amp; D3216</f>
        <v>principal-knowledge-authority -&gt; StepExecutions.ExpectedVerificationCount</v>
      </c>
      <c r="C3216" s="2" t="s">
        <v>9708</v>
      </c>
      <c r="D3216" s="2" t="s">
        <v>3550</v>
      </c>
      <c r="E3216" s="2" t="b">
        <v>1</v>
      </c>
      <c r="F3216" s="2" t="b">
        <v>0</v>
      </c>
      <c r="G3216" s="2" t="s">
        <v>9937</v>
      </c>
      <c r="H3216" s="3" t="str">
        <f>_xlfn.IFNA(INDEX(RulebookFields!C2:C999, MATCH(D3216,RulebookFields!A2:A999, 0)), "")</f>
        <v>StepExecutions</v>
      </c>
      <c r="I3216" s="3" t="str">
        <f>_xlfn.IFNA(INDEX(RulebookFields!D2:D999, MATCH(D3216,RulebookFields!A2:A999, 0)), "")</f>
        <v>ExpectedVerificationCount</v>
      </c>
      <c r="J3216" s="3" t="b">
        <f>_xlfn.IFNA(INDEX(RulebookFields!I2:I999, MATCH(D3216,RulebookFields!A2:A999, 0)), "")</f>
        <v>1</v>
      </c>
      <c r="K3216" s="3" t="b">
        <f>AND(F3216, J3216)</f>
        <v>0</v>
      </c>
      <c r="L3216" s="3" t="b">
        <f>AND(G3216 &lt;&gt; "plain", G3216 &lt;&gt; "")</f>
        <v>0</v>
      </c>
      <c r="M3216" s="3" t="str">
        <f>IF(E3216, C3216 &amp; "|" &amp; H3216, "")</f>
        <v>principal-knowledge-authority|StepExecutions</v>
      </c>
      <c r="N3216" s="2" t="s">
        <v>9938</v>
      </c>
    </row>
    <row r="3217">
      <c r="A3217" s="2" t="s">
        <v>13153</v>
      </c>
      <c r="B3217" s="3" t="str">
        <f>C3217 &amp; " -&gt; " &amp; D3217</f>
        <v>principal-knowledge-authority -&gt; StepExecutions.PerformedVerificationCount</v>
      </c>
      <c r="C3217" s="2" t="s">
        <v>9708</v>
      </c>
      <c r="D3217" s="2" t="s">
        <v>3552</v>
      </c>
      <c r="E3217" s="2" t="b">
        <v>1</v>
      </c>
      <c r="F3217" s="2" t="b">
        <v>0</v>
      </c>
      <c r="G3217" s="2" t="s">
        <v>9937</v>
      </c>
      <c r="H3217" s="3" t="str">
        <f>_xlfn.IFNA(INDEX(RulebookFields!C2:C999, MATCH(D3217,RulebookFields!A2:A999, 0)), "")</f>
        <v>StepExecutions</v>
      </c>
      <c r="I3217" s="3" t="str">
        <f>_xlfn.IFNA(INDEX(RulebookFields!D2:D999, MATCH(D3217,RulebookFields!A2:A999, 0)), "")</f>
        <v>PerformedVerificationCount</v>
      </c>
      <c r="J3217" s="3" t="b">
        <f>_xlfn.IFNA(INDEX(RulebookFields!I2:I999, MATCH(D3217,RulebookFields!A2:A999, 0)), "")</f>
        <v>1</v>
      </c>
      <c r="K3217" s="3" t="b">
        <f>AND(F3217, J3217)</f>
        <v>0</v>
      </c>
      <c r="L3217" s="3" t="b">
        <f>AND(G3217 &lt;&gt; "plain", G3217 &lt;&gt; "")</f>
        <v>0</v>
      </c>
      <c r="M3217" s="3" t="str">
        <f>IF(E3217, C3217 &amp; "|" &amp; H3217, "")</f>
        <v>principal-knowledge-authority|StepExecutions</v>
      </c>
      <c r="N3217" s="2" t="s">
        <v>9938</v>
      </c>
    </row>
    <row r="3218">
      <c r="A3218" s="2" t="s">
        <v>13154</v>
      </c>
      <c r="B3218" s="3" t="str">
        <f>C3218 &amp; " -&gt; " &amp; D3218</f>
        <v>principal-knowledge-authority -&gt; StepExecutions.SkippedVerificationCount</v>
      </c>
      <c r="C3218" s="2" t="s">
        <v>9708</v>
      </c>
      <c r="D3218" s="2" t="s">
        <v>3554</v>
      </c>
      <c r="E3218" s="2" t="b">
        <v>1</v>
      </c>
      <c r="F3218" s="2" t="b">
        <v>0</v>
      </c>
      <c r="G3218" s="2" t="s">
        <v>9937</v>
      </c>
      <c r="H3218" s="3" t="str">
        <f>_xlfn.IFNA(INDEX(RulebookFields!C2:C999, MATCH(D3218,RulebookFields!A2:A999, 0)), "")</f>
        <v>StepExecutions</v>
      </c>
      <c r="I3218" s="3" t="str">
        <f>_xlfn.IFNA(INDEX(RulebookFields!D2:D999, MATCH(D3218,RulebookFields!A2:A999, 0)), "")</f>
        <v>SkippedVerificationCount</v>
      </c>
      <c r="J3218" s="3" t="b">
        <f>_xlfn.IFNA(INDEX(RulebookFields!I2:I999, MATCH(D3218,RulebookFields!A2:A999, 0)), "")</f>
        <v>1</v>
      </c>
      <c r="K3218" s="3" t="b">
        <f>AND(F3218, J3218)</f>
        <v>0</v>
      </c>
      <c r="L3218" s="3" t="b">
        <f>AND(G3218 &lt;&gt; "plain", G3218 &lt;&gt; "")</f>
        <v>0</v>
      </c>
      <c r="M3218" s="3" t="str">
        <f>IF(E3218, C3218 &amp; "|" &amp; H3218, "")</f>
        <v>principal-knowledge-authority|StepExecutions</v>
      </c>
      <c r="N3218" s="2" t="s">
        <v>9938</v>
      </c>
    </row>
    <row r="3219">
      <c r="A3219" s="2" t="s">
        <v>13155</v>
      </c>
      <c r="B3219" s="3" t="str">
        <f>C3219 &amp; " -&gt; " &amp; D3219</f>
        <v>principal-knowledge-authority -&gt; StepExecutions.HasSkippedVerification</v>
      </c>
      <c r="C3219" s="2" t="s">
        <v>9708</v>
      </c>
      <c r="D3219" s="2" t="s">
        <v>3556</v>
      </c>
      <c r="E3219" s="2" t="b">
        <v>1</v>
      </c>
      <c r="F3219" s="2" t="b">
        <v>0</v>
      </c>
      <c r="G3219" s="2" t="s">
        <v>9937</v>
      </c>
      <c r="H3219" s="3" t="str">
        <f>_xlfn.IFNA(INDEX(RulebookFields!C2:C999, MATCH(D3219,RulebookFields!A2:A999, 0)), "")</f>
        <v>StepExecutions</v>
      </c>
      <c r="I3219" s="3" t="str">
        <f>_xlfn.IFNA(INDEX(RulebookFields!D2:D999, MATCH(D3219,RulebookFields!A2:A999, 0)), "")</f>
        <v>HasSkippedVerification</v>
      </c>
      <c r="J3219" s="3" t="b">
        <f>_xlfn.IFNA(INDEX(RulebookFields!I2:I999, MATCH(D3219,RulebookFields!A2:A999, 0)), "")</f>
        <v>1</v>
      </c>
      <c r="K3219" s="3" t="b">
        <f>AND(F3219, J3219)</f>
        <v>0</v>
      </c>
      <c r="L3219" s="3" t="b">
        <f>AND(G3219 &lt;&gt; "plain", G3219 &lt;&gt; "")</f>
        <v>0</v>
      </c>
      <c r="M3219" s="3" t="str">
        <f>IF(E3219, C3219 &amp; "|" &amp; H3219, "")</f>
        <v>principal-knowledge-authority|StepExecutions</v>
      </c>
      <c r="N3219" s="2" t="s">
        <v>9938</v>
      </c>
    </row>
    <row r="3220">
      <c r="A3220" s="2" t="s">
        <v>13156</v>
      </c>
      <c r="B3220" s="3" t="str">
        <f>C3220 &amp; " -&gt; " &amp; D3220</f>
        <v>principal-knowledge-authority -&gt; StepExecutions.ClaimsPassWithoutEvidence</v>
      </c>
      <c r="C3220" s="2" t="s">
        <v>9708</v>
      </c>
      <c r="D3220" s="2" t="s">
        <v>3558</v>
      </c>
      <c r="E3220" s="2" t="b">
        <v>1</v>
      </c>
      <c r="F3220" s="2" t="b">
        <v>0</v>
      </c>
      <c r="G3220" s="2" t="s">
        <v>9937</v>
      </c>
      <c r="H3220" s="3" t="str">
        <f>_xlfn.IFNA(INDEX(RulebookFields!C2:C999, MATCH(D3220,RulebookFields!A2:A999, 0)), "")</f>
        <v>StepExecutions</v>
      </c>
      <c r="I3220" s="3" t="str">
        <f>_xlfn.IFNA(INDEX(RulebookFields!D2:D999, MATCH(D3220,RulebookFields!A2:A999, 0)), "")</f>
        <v>ClaimsPassWithoutEvidence</v>
      </c>
      <c r="J3220" s="3" t="b">
        <f>_xlfn.IFNA(INDEX(RulebookFields!I2:I999, MATCH(D3220,RulebookFields!A2:A999, 0)), "")</f>
        <v>1</v>
      </c>
      <c r="K3220" s="3" t="b">
        <f>AND(F3220, J3220)</f>
        <v>0</v>
      </c>
      <c r="L3220" s="3" t="b">
        <f>AND(G3220 &lt;&gt; "plain", G3220 &lt;&gt; "")</f>
        <v>0</v>
      </c>
      <c r="M3220" s="3" t="str">
        <f>IF(E3220, C3220 &amp; "|" &amp; H3220, "")</f>
        <v>principal-knowledge-authority|StepExecutions</v>
      </c>
      <c r="N3220" s="2" t="s">
        <v>9938</v>
      </c>
    </row>
    <row r="3221">
      <c r="A3221" s="2" t="s">
        <v>13157</v>
      </c>
      <c r="B3221" s="3" t="str">
        <f>C3221 &amp; " -&gt; " &amp; D3221</f>
        <v>principal-knowledge-authority -&gt; StepExecutions.StepIsPreparation</v>
      </c>
      <c r="C3221" s="2" t="s">
        <v>9708</v>
      </c>
      <c r="D3221" s="2" t="s">
        <v>3560</v>
      </c>
      <c r="E3221" s="2" t="b">
        <v>1</v>
      </c>
      <c r="F3221" s="2" t="b">
        <v>0</v>
      </c>
      <c r="G3221" s="2" t="s">
        <v>9937</v>
      </c>
      <c r="H3221" s="3" t="str">
        <f>_xlfn.IFNA(INDEX(RulebookFields!C2:C999, MATCH(D3221,RulebookFields!A2:A999, 0)), "")</f>
        <v>StepExecutions</v>
      </c>
      <c r="I3221" s="3" t="str">
        <f>_xlfn.IFNA(INDEX(RulebookFields!D2:D999, MATCH(D3221,RulebookFields!A2:A999, 0)), "")</f>
        <v>StepIsPreparation</v>
      </c>
      <c r="J3221" s="3" t="b">
        <f>_xlfn.IFNA(INDEX(RulebookFields!I2:I999, MATCH(D3221,RulebookFields!A2:A999, 0)), "")</f>
        <v>1</v>
      </c>
      <c r="K3221" s="3" t="b">
        <f>AND(F3221, J3221)</f>
        <v>0</v>
      </c>
      <c r="L3221" s="3" t="b">
        <f>AND(G3221 &lt;&gt; "plain", G3221 &lt;&gt; "")</f>
        <v>0</v>
      </c>
      <c r="M3221" s="3" t="str">
        <f>IF(E3221, C3221 &amp; "|" &amp; H3221, "")</f>
        <v>principal-knowledge-authority|StepExecutions</v>
      </c>
      <c r="N3221" s="2" t="s">
        <v>9938</v>
      </c>
    </row>
    <row r="3222">
      <c r="A3222" s="2" t="s">
        <v>13158</v>
      </c>
      <c r="B3222" s="3" t="str">
        <f>C3222 &amp; " -&gt; " &amp; D3222</f>
        <v>principal-knowledge-authority -&gt; StepExecutions.StepIsApproval</v>
      </c>
      <c r="C3222" s="2" t="s">
        <v>9708</v>
      </c>
      <c r="D3222" s="2" t="s">
        <v>3562</v>
      </c>
      <c r="E3222" s="2" t="b">
        <v>1</v>
      </c>
      <c r="F3222" s="2" t="b">
        <v>0</v>
      </c>
      <c r="G3222" s="2" t="s">
        <v>9937</v>
      </c>
      <c r="H3222" s="3" t="str">
        <f>_xlfn.IFNA(INDEX(RulebookFields!C2:C999, MATCH(D3222,RulebookFields!A2:A999, 0)), "")</f>
        <v>StepExecutions</v>
      </c>
      <c r="I3222" s="3" t="str">
        <f>_xlfn.IFNA(INDEX(RulebookFields!D2:D999, MATCH(D3222,RulebookFields!A2:A999, 0)), "")</f>
        <v>StepIsApproval</v>
      </c>
      <c r="J3222" s="3" t="b">
        <f>_xlfn.IFNA(INDEX(RulebookFields!I2:I999, MATCH(D3222,RulebookFields!A2:A999, 0)), "")</f>
        <v>1</v>
      </c>
      <c r="K3222" s="3" t="b">
        <f>AND(F3222, J3222)</f>
        <v>0</v>
      </c>
      <c r="L3222" s="3" t="b">
        <f>AND(G3222 &lt;&gt; "plain", G3222 &lt;&gt; "")</f>
        <v>0</v>
      </c>
      <c r="M3222" s="3" t="str">
        <f>IF(E3222, C3222 &amp; "|" &amp; H3222, "")</f>
        <v>principal-knowledge-authority|StepExecutions</v>
      </c>
      <c r="N3222" s="2" t="s">
        <v>9938</v>
      </c>
    </row>
    <row r="3223">
      <c r="A3223" s="2" t="s">
        <v>13159</v>
      </c>
      <c r="B3223" s="3" t="str">
        <f>C3223 &amp; " -&gt; " &amp; D3223</f>
        <v>principal-knowledge-authority -&gt; StepExecutions.PreparerAgentKey</v>
      </c>
      <c r="C3223" s="2" t="s">
        <v>9708</v>
      </c>
      <c r="D3223" s="2" t="s">
        <v>3564</v>
      </c>
      <c r="E3223" s="2" t="b">
        <v>1</v>
      </c>
      <c r="F3223" s="2" t="b">
        <v>0</v>
      </c>
      <c r="G3223" s="2" t="s">
        <v>9937</v>
      </c>
      <c r="H3223" s="3" t="str">
        <f>_xlfn.IFNA(INDEX(RulebookFields!C2:C999, MATCH(D3223,RulebookFields!A2:A999, 0)), "")</f>
        <v>StepExecutions</v>
      </c>
      <c r="I3223" s="3" t="str">
        <f>_xlfn.IFNA(INDEX(RulebookFields!D2:D999, MATCH(D3223,RulebookFields!A2:A999, 0)), "")</f>
        <v>PreparerAgentKey</v>
      </c>
      <c r="J3223" s="3" t="b">
        <f>_xlfn.IFNA(INDEX(RulebookFields!I2:I999, MATCH(D3223,RulebookFields!A2:A999, 0)), "")</f>
        <v>1</v>
      </c>
      <c r="K3223" s="3" t="b">
        <f>AND(F3223, J3223)</f>
        <v>0</v>
      </c>
      <c r="L3223" s="3" t="b">
        <f>AND(G3223 &lt;&gt; "plain", G3223 &lt;&gt; "")</f>
        <v>0</v>
      </c>
      <c r="M3223" s="3" t="str">
        <f>IF(E3223, C3223 &amp; "|" &amp; H3223, "")</f>
        <v>principal-knowledge-authority|StepExecutions</v>
      </c>
      <c r="N3223" s="2" t="s">
        <v>9938</v>
      </c>
    </row>
    <row r="3224">
      <c r="A3224" s="2" t="s">
        <v>13160</v>
      </c>
      <c r="B3224" s="3" t="str">
        <f>C3224 &amp; " -&gt; " &amp; D3224</f>
        <v>principal-knowledge-authority -&gt; StepExecutions.ApproverAgentKey</v>
      </c>
      <c r="C3224" s="2" t="s">
        <v>9708</v>
      </c>
      <c r="D3224" s="2" t="s">
        <v>3566</v>
      </c>
      <c r="E3224" s="2" t="b">
        <v>1</v>
      </c>
      <c r="F3224" s="2" t="b">
        <v>0</v>
      </c>
      <c r="G3224" s="2" t="s">
        <v>9937</v>
      </c>
      <c r="H3224" s="3" t="str">
        <f>_xlfn.IFNA(INDEX(RulebookFields!C2:C999, MATCH(D3224,RulebookFields!A2:A999, 0)), "")</f>
        <v>StepExecutions</v>
      </c>
      <c r="I3224" s="3" t="str">
        <f>_xlfn.IFNA(INDEX(RulebookFields!D2:D999, MATCH(D3224,RulebookFields!A2:A999, 0)), "")</f>
        <v>ApproverAgentKey</v>
      </c>
      <c r="J3224" s="3" t="b">
        <f>_xlfn.IFNA(INDEX(RulebookFields!I2:I999, MATCH(D3224,RulebookFields!A2:A999, 0)), "")</f>
        <v>1</v>
      </c>
      <c r="K3224" s="3" t="b">
        <f>AND(F3224, J3224)</f>
        <v>0</v>
      </c>
      <c r="L3224" s="3" t="b">
        <f>AND(G3224 &lt;&gt; "plain", G3224 &lt;&gt; "")</f>
        <v>0</v>
      </c>
      <c r="M3224" s="3" t="str">
        <f>IF(E3224, C3224 &amp; "|" &amp; H3224, "")</f>
        <v>principal-knowledge-authority|StepExecutions</v>
      </c>
      <c r="N3224" s="2" t="s">
        <v>9938</v>
      </c>
    </row>
    <row r="3225">
      <c r="A3225" s="2" t="s">
        <v>13161</v>
      </c>
      <c r="B3225" s="3" t="str">
        <f>C3225 &amp; " -&gt; " &amp; D3225</f>
        <v>principal-knowledge-authority -&gt; StepExecutions.PreparedByThisAgentCount</v>
      </c>
      <c r="C3225" s="2" t="s">
        <v>9708</v>
      </c>
      <c r="D3225" s="2" t="s">
        <v>3568</v>
      </c>
      <c r="E3225" s="2" t="b">
        <v>1</v>
      </c>
      <c r="F3225" s="2" t="b">
        <v>0</v>
      </c>
      <c r="G3225" s="2" t="s">
        <v>9937</v>
      </c>
      <c r="H3225" s="3" t="str">
        <f>_xlfn.IFNA(INDEX(RulebookFields!C2:C999, MATCH(D3225,RulebookFields!A2:A999, 0)), "")</f>
        <v>StepExecutions</v>
      </c>
      <c r="I3225" s="3" t="str">
        <f>_xlfn.IFNA(INDEX(RulebookFields!D2:D999, MATCH(D3225,RulebookFields!A2:A999, 0)), "")</f>
        <v>PreparedByThisAgentCount</v>
      </c>
      <c r="J3225" s="3" t="b">
        <f>_xlfn.IFNA(INDEX(RulebookFields!I2:I999, MATCH(D3225,RulebookFields!A2:A999, 0)), "")</f>
        <v>1</v>
      </c>
      <c r="K3225" s="3" t="b">
        <f>AND(F3225, J3225)</f>
        <v>0</v>
      </c>
      <c r="L3225" s="3" t="b">
        <f>AND(G3225 &lt;&gt; "plain", G3225 &lt;&gt; "")</f>
        <v>0</v>
      </c>
      <c r="M3225" s="3" t="str">
        <f>IF(E3225, C3225 &amp; "|" &amp; H3225, "")</f>
        <v>principal-knowledge-authority|StepExecutions</v>
      </c>
      <c r="N3225" s="2" t="s">
        <v>9938</v>
      </c>
    </row>
    <row r="3226">
      <c r="A3226" s="2" t="s">
        <v>13162</v>
      </c>
      <c r="B3226" s="3" t="str">
        <f>C3226 &amp; " -&gt; " &amp; D3226</f>
        <v>principal-knowledge-authority -&gt; StepExecutions.ViolatesSeparationOfDuties</v>
      </c>
      <c r="C3226" s="2" t="s">
        <v>9708</v>
      </c>
      <c r="D3226" s="2" t="s">
        <v>838</v>
      </c>
      <c r="E3226" s="2" t="b">
        <v>1</v>
      </c>
      <c r="F3226" s="2" t="b">
        <v>0</v>
      </c>
      <c r="G3226" s="2" t="s">
        <v>9937</v>
      </c>
      <c r="H3226" s="3" t="str">
        <f>_xlfn.IFNA(INDEX(RulebookFields!C2:C999, MATCH(D3226,RulebookFields!A2:A999, 0)), "")</f>
        <v>StepExecutions</v>
      </c>
      <c r="I3226" s="3" t="str">
        <f>_xlfn.IFNA(INDEX(RulebookFields!D2:D999, MATCH(D3226,RulebookFields!A2:A999, 0)), "")</f>
        <v>ViolatesSeparationOfDuties</v>
      </c>
      <c r="J3226" s="3" t="b">
        <f>_xlfn.IFNA(INDEX(RulebookFields!I2:I999, MATCH(D3226,RulebookFields!A2:A999, 0)), "")</f>
        <v>1</v>
      </c>
      <c r="K3226" s="3" t="b">
        <f>AND(F3226, J3226)</f>
        <v>0</v>
      </c>
      <c r="L3226" s="3" t="b">
        <f>AND(G3226 &lt;&gt; "plain", G3226 &lt;&gt; "")</f>
        <v>0</v>
      </c>
      <c r="M3226" s="3" t="str">
        <f>IF(E3226, C3226 &amp; "|" &amp; H3226, "")</f>
        <v>principal-knowledge-authority|StepExecutions</v>
      </c>
      <c r="N3226" s="2" t="s">
        <v>9938</v>
      </c>
    </row>
    <row r="3227">
      <c r="A3227" s="2" t="s">
        <v>13163</v>
      </c>
      <c r="B3227" s="3" t="str">
        <f>C3227 &amp; " -&gt; " &amp; D3227</f>
        <v>principal-knowledge-authority -&gt; StepExecutions.RequiredRoleForStep</v>
      </c>
      <c r="C3227" s="2" t="s">
        <v>9708</v>
      </c>
      <c r="D3227" s="2" t="s">
        <v>3571</v>
      </c>
      <c r="E3227" s="2" t="b">
        <v>1</v>
      </c>
      <c r="F3227" s="2" t="b">
        <v>0</v>
      </c>
      <c r="G3227" s="2" t="s">
        <v>9937</v>
      </c>
      <c r="H3227" s="3" t="str">
        <f>_xlfn.IFNA(INDEX(RulebookFields!C2:C999, MATCH(D3227,RulebookFields!A2:A999, 0)), "")</f>
        <v>StepExecutions</v>
      </c>
      <c r="I3227" s="3" t="str">
        <f>_xlfn.IFNA(INDEX(RulebookFields!D2:D999, MATCH(D3227,RulebookFields!A2:A999, 0)), "")</f>
        <v>RequiredRoleForStep</v>
      </c>
      <c r="J3227" s="3" t="b">
        <f>_xlfn.IFNA(INDEX(RulebookFields!I2:I999, MATCH(D3227,RulebookFields!A2:A999, 0)), "")</f>
        <v>1</v>
      </c>
      <c r="K3227" s="3" t="b">
        <f>AND(F3227, J3227)</f>
        <v>0</v>
      </c>
      <c r="L3227" s="3" t="b">
        <f>AND(G3227 &lt;&gt; "plain", G3227 &lt;&gt; "")</f>
        <v>0</v>
      </c>
      <c r="M3227" s="3" t="str">
        <f>IF(E3227, C3227 &amp; "|" &amp; H3227, "")</f>
        <v>principal-knowledge-authority|StepExecutions</v>
      </c>
      <c r="N3227" s="2" t="s">
        <v>9938</v>
      </c>
    </row>
    <row r="3228">
      <c r="A3228" s="2" t="s">
        <v>13164</v>
      </c>
      <c r="B3228" s="3" t="str">
        <f>C3228 &amp; " -&gt; " &amp; D3228</f>
        <v>principal-knowledge-authority -&gt; StepExecutions.ExecutorRoleKey</v>
      </c>
      <c r="C3228" s="2" t="s">
        <v>9708</v>
      </c>
      <c r="D3228" s="2" t="s">
        <v>3573</v>
      </c>
      <c r="E3228" s="2" t="b">
        <v>1</v>
      </c>
      <c r="F3228" s="2" t="b">
        <v>0</v>
      </c>
      <c r="G3228" s="2" t="s">
        <v>9937</v>
      </c>
      <c r="H3228" s="3" t="str">
        <f>_xlfn.IFNA(INDEX(RulebookFields!C2:C999, MATCH(D3228,RulebookFields!A2:A999, 0)), "")</f>
        <v>StepExecutions</v>
      </c>
      <c r="I3228" s="3" t="str">
        <f>_xlfn.IFNA(INDEX(RulebookFields!D2:D999, MATCH(D3228,RulebookFields!A2:A999, 0)), "")</f>
        <v>ExecutorRoleKey</v>
      </c>
      <c r="J3228" s="3" t="b">
        <f>_xlfn.IFNA(INDEX(RulebookFields!I2:I999, MATCH(D3228,RulebookFields!A2:A999, 0)), "")</f>
        <v>1</v>
      </c>
      <c r="K3228" s="3" t="b">
        <f>AND(F3228, J3228)</f>
        <v>0</v>
      </c>
      <c r="L3228" s="3" t="b">
        <f>AND(G3228 &lt;&gt; "plain", G3228 &lt;&gt; "")</f>
        <v>0</v>
      </c>
      <c r="M3228" s="3" t="str">
        <f>IF(E3228, C3228 &amp; "|" &amp; H3228, "")</f>
        <v>principal-knowledge-authority|StepExecutions</v>
      </c>
      <c r="N3228" s="2" t="s">
        <v>9938</v>
      </c>
    </row>
    <row r="3229">
      <c r="A3229" s="2" t="s">
        <v>13165</v>
      </c>
      <c r="B3229" s="3" t="str">
        <f>C3229 &amp; " -&gt; " &amp; D3229</f>
        <v>principal-knowledge-authority -&gt; StepExecutions.ExecutorAuthorityCount</v>
      </c>
      <c r="C3229" s="2" t="s">
        <v>9708</v>
      </c>
      <c r="D3229" s="2" t="s">
        <v>3575</v>
      </c>
      <c r="E3229" s="2" t="b">
        <v>1</v>
      </c>
      <c r="F3229" s="2" t="b">
        <v>0</v>
      </c>
      <c r="G3229" s="2" t="s">
        <v>9937</v>
      </c>
      <c r="H3229" s="3" t="str">
        <f>_xlfn.IFNA(INDEX(RulebookFields!C2:C999, MATCH(D3229,RulebookFields!A2:A999, 0)), "")</f>
        <v>StepExecutions</v>
      </c>
      <c r="I3229" s="3" t="str">
        <f>_xlfn.IFNA(INDEX(RulebookFields!D2:D999, MATCH(D3229,RulebookFields!A2:A999, 0)), "")</f>
        <v>ExecutorAuthorityCount</v>
      </c>
      <c r="J3229" s="3" t="b">
        <f>_xlfn.IFNA(INDEX(RulebookFields!I2:I999, MATCH(D3229,RulebookFields!A2:A999, 0)), "")</f>
        <v>1</v>
      </c>
      <c r="K3229" s="3" t="b">
        <f>AND(F3229, J3229)</f>
        <v>0</v>
      </c>
      <c r="L3229" s="3" t="b">
        <f>AND(G3229 &lt;&gt; "plain", G3229 &lt;&gt; "")</f>
        <v>0</v>
      </c>
      <c r="M3229" s="3" t="str">
        <f>IF(E3229, C3229 &amp; "|" &amp; H3229, "")</f>
        <v>principal-knowledge-authority|StepExecutions</v>
      </c>
      <c r="N3229" s="2" t="s">
        <v>9938</v>
      </c>
    </row>
    <row r="3230">
      <c r="A3230" s="2" t="s">
        <v>13166</v>
      </c>
      <c r="B3230" s="3" t="str">
        <f>C3230 &amp; " -&gt; " &amp; D3230</f>
        <v>principal-knowledge-authority -&gt; StepExecutions.ExecutorHeldRequiredRole</v>
      </c>
      <c r="C3230" s="2" t="s">
        <v>9708</v>
      </c>
      <c r="D3230" s="2" t="s">
        <v>3577</v>
      </c>
      <c r="E3230" s="2" t="b">
        <v>1</v>
      </c>
      <c r="F3230" s="2" t="b">
        <v>0</v>
      </c>
      <c r="G3230" s="2" t="s">
        <v>9937</v>
      </c>
      <c r="H3230" s="3" t="str">
        <f>_xlfn.IFNA(INDEX(RulebookFields!C2:C999, MATCH(D3230,RulebookFields!A2:A999, 0)), "")</f>
        <v>StepExecutions</v>
      </c>
      <c r="I3230" s="3" t="str">
        <f>_xlfn.IFNA(INDEX(RulebookFields!D2:D999, MATCH(D3230,RulebookFields!A2:A999, 0)), "")</f>
        <v>ExecutorHeldRequiredRole</v>
      </c>
      <c r="J3230" s="3" t="b">
        <f>_xlfn.IFNA(INDEX(RulebookFields!I2:I999, MATCH(D3230,RulebookFields!A2:A999, 0)), "")</f>
        <v>1</v>
      </c>
      <c r="K3230" s="3" t="b">
        <f>AND(F3230, J3230)</f>
        <v>0</v>
      </c>
      <c r="L3230" s="3" t="b">
        <f>AND(G3230 &lt;&gt; "plain", G3230 &lt;&gt; "")</f>
        <v>0</v>
      </c>
      <c r="M3230" s="3" t="str">
        <f>IF(E3230, C3230 &amp; "|" &amp; H3230, "")</f>
        <v>principal-knowledge-authority|StepExecutions</v>
      </c>
      <c r="N3230" s="2" t="s">
        <v>9938</v>
      </c>
    </row>
    <row r="3231">
      <c r="A3231" s="2" t="s">
        <v>13167</v>
      </c>
      <c r="B3231" s="3" t="str">
        <f>C3231 &amp; " -&gt; " &amp; D3231</f>
        <v>principal-knowledge-authority -&gt; StepExecutions.IsUnauthorizedApproval</v>
      </c>
      <c r="C3231" s="2" t="s">
        <v>9708</v>
      </c>
      <c r="D3231" s="2" t="s">
        <v>3579</v>
      </c>
      <c r="E3231" s="2" t="b">
        <v>1</v>
      </c>
      <c r="F3231" s="2" t="b">
        <v>0</v>
      </c>
      <c r="G3231" s="2" t="s">
        <v>9937</v>
      </c>
      <c r="H3231" s="3" t="str">
        <f>_xlfn.IFNA(INDEX(RulebookFields!C2:C999, MATCH(D3231,RulebookFields!A2:A999, 0)), "")</f>
        <v>StepExecutions</v>
      </c>
      <c r="I3231" s="3" t="str">
        <f>_xlfn.IFNA(INDEX(RulebookFields!D2:D999, MATCH(D3231,RulebookFields!A2:A999, 0)), "")</f>
        <v>IsUnauthorizedApproval</v>
      </c>
      <c r="J3231" s="3" t="b">
        <f>_xlfn.IFNA(INDEX(RulebookFields!I2:I999, MATCH(D3231,RulebookFields!A2:A999, 0)), "")</f>
        <v>1</v>
      </c>
      <c r="K3231" s="3" t="b">
        <f>AND(F3231, J3231)</f>
        <v>0</v>
      </c>
      <c r="L3231" s="3" t="b">
        <f>AND(G3231 &lt;&gt; "plain", G3231 &lt;&gt; "")</f>
        <v>0</v>
      </c>
      <c r="M3231" s="3" t="str">
        <f>IF(E3231, C3231 &amp; "|" &amp; H3231, "")</f>
        <v>principal-knowledge-authority|StepExecutions</v>
      </c>
      <c r="N3231" s="2" t="s">
        <v>9938</v>
      </c>
    </row>
    <row r="3232">
      <c r="A3232" s="2" t="s">
        <v>13168</v>
      </c>
      <c r="B3232" s="3" t="str">
        <f>C3232 &amp; " -&gt; " &amp; D3232</f>
        <v>principal-knowledge-authority -&gt; StepExecutions.CompletedExecutionKey</v>
      </c>
      <c r="C3232" s="2" t="s">
        <v>9708</v>
      </c>
      <c r="D3232" s="2" t="s">
        <v>3581</v>
      </c>
      <c r="E3232" s="2" t="b">
        <v>1</v>
      </c>
      <c r="F3232" s="2" t="b">
        <v>0</v>
      </c>
      <c r="G3232" s="2" t="s">
        <v>9937</v>
      </c>
      <c r="H3232" s="3" t="str">
        <f>_xlfn.IFNA(INDEX(RulebookFields!C2:C999, MATCH(D3232,RulebookFields!A2:A999, 0)), "")</f>
        <v>StepExecutions</v>
      </c>
      <c r="I3232" s="3" t="str">
        <f>_xlfn.IFNA(INDEX(RulebookFields!D2:D999, MATCH(D3232,RulebookFields!A2:A999, 0)), "")</f>
        <v>CompletedExecutionKey</v>
      </c>
      <c r="J3232" s="3" t="b">
        <f>_xlfn.IFNA(INDEX(RulebookFields!I2:I999, MATCH(D3232,RulebookFields!A2:A999, 0)), "")</f>
        <v>1</v>
      </c>
      <c r="K3232" s="3" t="b">
        <f>AND(F3232, J3232)</f>
        <v>0</v>
      </c>
      <c r="L3232" s="3" t="b">
        <f>AND(G3232 &lt;&gt; "plain", G3232 &lt;&gt; "")</f>
        <v>0</v>
      </c>
      <c r="M3232" s="3" t="str">
        <f>IF(E3232, C3232 &amp; "|" &amp; H3232, "")</f>
        <v>principal-knowledge-authority|StepExecutions</v>
      </c>
      <c r="N3232" s="2" t="s">
        <v>9938</v>
      </c>
    </row>
    <row r="3233">
      <c r="A3233" s="2" t="s">
        <v>13169</v>
      </c>
      <c r="B3233" s="3" t="str">
        <f>C3233 &amp; " -&gt; " &amp; D3233</f>
        <v>principal-knowledge-authority -&gt; StepExecutions.ControlBreachExecutionKey</v>
      </c>
      <c r="C3233" s="2" t="s">
        <v>9708</v>
      </c>
      <c r="D3233" s="2" t="s">
        <v>3583</v>
      </c>
      <c r="E3233" s="2" t="b">
        <v>1</v>
      </c>
      <c r="F3233" s="2" t="b">
        <v>0</v>
      </c>
      <c r="G3233" s="2" t="s">
        <v>9937</v>
      </c>
      <c r="H3233" s="3" t="str">
        <f>_xlfn.IFNA(INDEX(RulebookFields!C2:C999, MATCH(D3233,RulebookFields!A2:A999, 0)), "")</f>
        <v>StepExecutions</v>
      </c>
      <c r="I3233" s="3" t="str">
        <f>_xlfn.IFNA(INDEX(RulebookFields!D2:D999, MATCH(D3233,RulebookFields!A2:A999, 0)), "")</f>
        <v>ControlBreachExecutionKey</v>
      </c>
      <c r="J3233" s="3" t="b">
        <f>_xlfn.IFNA(INDEX(RulebookFields!I2:I999, MATCH(D3233,RulebookFields!A2:A999, 0)), "")</f>
        <v>1</v>
      </c>
      <c r="K3233" s="3" t="b">
        <f>AND(F3233, J3233)</f>
        <v>0</v>
      </c>
      <c r="L3233" s="3" t="b">
        <f>AND(G3233 &lt;&gt; "plain", G3233 &lt;&gt; "")</f>
        <v>0</v>
      </c>
      <c r="M3233" s="3" t="str">
        <f>IF(E3233, C3233 &amp; "|" &amp; H3233, "")</f>
        <v>principal-knowledge-authority|StepExecutions</v>
      </c>
      <c r="N3233" s="2" t="s">
        <v>9938</v>
      </c>
    </row>
    <row r="3234">
      <c r="A3234" s="2" t="s">
        <v>13170</v>
      </c>
      <c r="B3234" s="3" t="str">
        <f>C3234 &amp; " -&gt; " &amp; D3234</f>
        <v>principal-knowledge-authority -&gt; StepExecutions.LateExecutionKey</v>
      </c>
      <c r="C3234" s="2" t="s">
        <v>9708</v>
      </c>
      <c r="D3234" s="2" t="s">
        <v>3585</v>
      </c>
      <c r="E3234" s="2" t="b">
        <v>1</v>
      </c>
      <c r="F3234" s="2" t="b">
        <v>0</v>
      </c>
      <c r="G3234" s="2" t="s">
        <v>9937</v>
      </c>
      <c r="H3234" s="3" t="str">
        <f>_xlfn.IFNA(INDEX(RulebookFields!C2:C999, MATCH(D3234,RulebookFields!A2:A999, 0)), "")</f>
        <v>StepExecutions</v>
      </c>
      <c r="I3234" s="3" t="str">
        <f>_xlfn.IFNA(INDEX(RulebookFields!D2:D999, MATCH(D3234,RulebookFields!A2:A999, 0)), "")</f>
        <v>LateExecutionKey</v>
      </c>
      <c r="J3234" s="3" t="b">
        <f>_xlfn.IFNA(INDEX(RulebookFields!I2:I999, MATCH(D3234,RulebookFields!A2:A999, 0)), "")</f>
        <v>1</v>
      </c>
      <c r="K3234" s="3" t="b">
        <f>AND(F3234, J3234)</f>
        <v>0</v>
      </c>
      <c r="L3234" s="3" t="b">
        <f>AND(G3234 &lt;&gt; "plain", G3234 &lt;&gt; "")</f>
        <v>0</v>
      </c>
      <c r="M3234" s="3" t="str">
        <f>IF(E3234, C3234 &amp; "|" &amp; H3234, "")</f>
        <v>principal-knowledge-authority|StepExecutions</v>
      </c>
      <c r="N3234" s="2" t="s">
        <v>9938</v>
      </c>
    </row>
    <row r="3235">
      <c r="A3235" s="2" t="s">
        <v>13171</v>
      </c>
      <c r="B3235" s="3" t="str">
        <f>C3235 &amp; " -&gt; " &amp; D3235</f>
        <v>principal-knowledge-authority -&gt; StepExecutions.ExecutorAgentKind</v>
      </c>
      <c r="C3235" s="2" t="s">
        <v>9708</v>
      </c>
      <c r="D3235" s="2" t="s">
        <v>3587</v>
      </c>
      <c r="E3235" s="2" t="b">
        <v>1</v>
      </c>
      <c r="F3235" s="2" t="b">
        <v>0</v>
      </c>
      <c r="G3235" s="2" t="s">
        <v>9937</v>
      </c>
      <c r="H3235" s="3" t="str">
        <f>_xlfn.IFNA(INDEX(RulebookFields!C2:C999, MATCH(D3235,RulebookFields!A2:A999, 0)), "")</f>
        <v>StepExecutions</v>
      </c>
      <c r="I3235" s="3" t="str">
        <f>_xlfn.IFNA(INDEX(RulebookFields!D2:D999, MATCH(D3235,RulebookFields!A2:A999, 0)), "")</f>
        <v>ExecutorAgentKind</v>
      </c>
      <c r="J3235" s="3" t="b">
        <f>_xlfn.IFNA(INDEX(RulebookFields!I2:I999, MATCH(D3235,RulebookFields!A2:A999, 0)), "")</f>
        <v>1</v>
      </c>
      <c r="K3235" s="3" t="b">
        <f>AND(F3235, J3235)</f>
        <v>0</v>
      </c>
      <c r="L3235" s="3" t="b">
        <f>AND(G3235 &lt;&gt; "plain", G3235 &lt;&gt; "")</f>
        <v>0</v>
      </c>
      <c r="M3235" s="3" t="str">
        <f>IF(E3235, C3235 &amp; "|" &amp; H3235, "")</f>
        <v>principal-knowledge-authority|StepExecutions</v>
      </c>
      <c r="N3235" s="2" t="s">
        <v>9938</v>
      </c>
    </row>
    <row r="3236">
      <c r="A3236" s="2" t="s">
        <v>13172</v>
      </c>
      <c r="B3236" s="3" t="str">
        <f>C3236 &amp; " -&gt; " &amp; D3236</f>
        <v>principal-knowledge-authority -&gt; StepExecutions.ExecutorIsHuman</v>
      </c>
      <c r="C3236" s="2" t="s">
        <v>9708</v>
      </c>
      <c r="D3236" s="2" t="s">
        <v>3589</v>
      </c>
      <c r="E3236" s="2" t="b">
        <v>1</v>
      </c>
      <c r="F3236" s="2" t="b">
        <v>0</v>
      </c>
      <c r="G3236" s="2" t="s">
        <v>9937</v>
      </c>
      <c r="H3236" s="3" t="str">
        <f>_xlfn.IFNA(INDEX(RulebookFields!C2:C999, MATCH(D3236,RulebookFields!A2:A999, 0)), "")</f>
        <v>StepExecutions</v>
      </c>
      <c r="I3236" s="3" t="str">
        <f>_xlfn.IFNA(INDEX(RulebookFields!D2:D999, MATCH(D3236,RulebookFields!A2:A999, 0)), "")</f>
        <v>ExecutorIsHuman</v>
      </c>
      <c r="J3236" s="3" t="b">
        <f>_xlfn.IFNA(INDEX(RulebookFields!I2:I999, MATCH(D3236,RulebookFields!A2:A999, 0)), "")</f>
        <v>1</v>
      </c>
      <c r="K3236" s="3" t="b">
        <f>AND(F3236, J3236)</f>
        <v>0</v>
      </c>
      <c r="L3236" s="3" t="b">
        <f>AND(G3236 &lt;&gt; "plain", G3236 &lt;&gt; "")</f>
        <v>0</v>
      </c>
      <c r="M3236" s="3" t="str">
        <f>IF(E3236, C3236 &amp; "|" &amp; H3236, "")</f>
        <v>principal-knowledge-authority|StepExecutions</v>
      </c>
      <c r="N3236" s="2" t="s">
        <v>9938</v>
      </c>
    </row>
    <row r="3237">
      <c r="A3237" s="2" t="s">
        <v>13173</v>
      </c>
      <c r="B3237" s="3" t="str">
        <f>C3237 &amp; " -&gt; " &amp; D3237</f>
        <v>principal-knowledge-authority -&gt; StepExecutions.StepRequiresHumanConfirmation</v>
      </c>
      <c r="C3237" s="2" t="s">
        <v>9708</v>
      </c>
      <c r="D3237" s="2" t="s">
        <v>3591</v>
      </c>
      <c r="E3237" s="2" t="b">
        <v>1</v>
      </c>
      <c r="F3237" s="2" t="b">
        <v>0</v>
      </c>
      <c r="G3237" s="2" t="s">
        <v>9937</v>
      </c>
      <c r="H3237" s="3" t="str">
        <f>_xlfn.IFNA(INDEX(RulebookFields!C2:C999, MATCH(D3237,RulebookFields!A2:A999, 0)), "")</f>
        <v>StepExecutions</v>
      </c>
      <c r="I3237" s="3" t="str">
        <f>_xlfn.IFNA(INDEX(RulebookFields!D2:D999, MATCH(D3237,RulebookFields!A2:A999, 0)), "")</f>
        <v>StepRequiresHumanConfirmation</v>
      </c>
      <c r="J3237" s="3" t="b">
        <f>_xlfn.IFNA(INDEX(RulebookFields!I2:I999, MATCH(D3237,RulebookFields!A2:A999, 0)), "")</f>
        <v>1</v>
      </c>
      <c r="K3237" s="3" t="b">
        <f>AND(F3237, J3237)</f>
        <v>0</v>
      </c>
      <c r="L3237" s="3" t="b">
        <f>AND(G3237 &lt;&gt; "plain", G3237 &lt;&gt; "")</f>
        <v>0</v>
      </c>
      <c r="M3237" s="3" t="str">
        <f>IF(E3237, C3237 &amp; "|" &amp; H3237, "")</f>
        <v>principal-knowledge-authority|StepExecutions</v>
      </c>
      <c r="N3237" s="2" t="s">
        <v>9938</v>
      </c>
    </row>
    <row r="3238">
      <c r="A3238" s="2" t="s">
        <v>13174</v>
      </c>
      <c r="B3238" s="3" t="str">
        <f>C3238 &amp; " -&gt; " &amp; D3238</f>
        <v>principal-knowledge-authority -&gt; StepExecutions.NonHumanRanHumanStep</v>
      </c>
      <c r="C3238" s="2" t="s">
        <v>9708</v>
      </c>
      <c r="D3238" s="2" t="s">
        <v>3593</v>
      </c>
      <c r="E3238" s="2" t="b">
        <v>1</v>
      </c>
      <c r="F3238" s="2" t="b">
        <v>0</v>
      </c>
      <c r="G3238" s="2" t="s">
        <v>9937</v>
      </c>
      <c r="H3238" s="3" t="str">
        <f>_xlfn.IFNA(INDEX(RulebookFields!C2:C999, MATCH(D3238,RulebookFields!A2:A999, 0)), "")</f>
        <v>StepExecutions</v>
      </c>
      <c r="I3238" s="3" t="str">
        <f>_xlfn.IFNA(INDEX(RulebookFields!D2:D999, MATCH(D3238,RulebookFields!A2:A999, 0)), "")</f>
        <v>NonHumanRanHumanStep</v>
      </c>
      <c r="J3238" s="3" t="b">
        <f>_xlfn.IFNA(INDEX(RulebookFields!I2:I999, MATCH(D3238,RulebookFields!A2:A999, 0)), "")</f>
        <v>1</v>
      </c>
      <c r="K3238" s="3" t="b">
        <f>AND(F3238, J3238)</f>
        <v>0</v>
      </c>
      <c r="L3238" s="3" t="b">
        <f>AND(G3238 &lt;&gt; "plain", G3238 &lt;&gt; "")</f>
        <v>0</v>
      </c>
      <c r="M3238" s="3" t="str">
        <f>IF(E3238, C3238 &amp; "|" &amp; H3238, "")</f>
        <v>principal-knowledge-authority|StepExecutions</v>
      </c>
      <c r="N3238" s="2" t="s">
        <v>9938</v>
      </c>
    </row>
    <row r="3239">
      <c r="A3239" s="2" t="s">
        <v>13175</v>
      </c>
      <c r="B3239" s="3" t="str">
        <f>C3239 &amp; " -&gt; " &amp; D3239</f>
        <v>principal-knowledge-authority -&gt; StepExecutions.NonHumanApproval</v>
      </c>
      <c r="C3239" s="2" t="s">
        <v>9708</v>
      </c>
      <c r="D3239" s="2" t="s">
        <v>3595</v>
      </c>
      <c r="E3239" s="2" t="b">
        <v>1</v>
      </c>
      <c r="F3239" s="2" t="b">
        <v>0</v>
      </c>
      <c r="G3239" s="2" t="s">
        <v>9937</v>
      </c>
      <c r="H3239" s="3" t="str">
        <f>_xlfn.IFNA(INDEX(RulebookFields!C2:C999, MATCH(D3239,RulebookFields!A2:A999, 0)), "")</f>
        <v>StepExecutions</v>
      </c>
      <c r="I3239" s="3" t="str">
        <f>_xlfn.IFNA(INDEX(RulebookFields!D2:D999, MATCH(D3239,RulebookFields!A2:A999, 0)), "")</f>
        <v>NonHumanApproval</v>
      </c>
      <c r="J3239" s="3" t="b">
        <f>_xlfn.IFNA(INDEX(RulebookFields!I2:I999, MATCH(D3239,RulebookFields!A2:A999, 0)), "")</f>
        <v>1</v>
      </c>
      <c r="K3239" s="3" t="b">
        <f>AND(F3239, J3239)</f>
        <v>0</v>
      </c>
      <c r="L3239" s="3" t="b">
        <f>AND(G3239 &lt;&gt; "plain", G3239 &lt;&gt; "")</f>
        <v>0</v>
      </c>
      <c r="M3239" s="3" t="str">
        <f>IF(E3239, C3239 &amp; "|" &amp; H3239, "")</f>
        <v>principal-knowledge-authority|StepExecutions</v>
      </c>
      <c r="N3239" s="2" t="s">
        <v>9938</v>
      </c>
    </row>
    <row r="3240">
      <c r="A3240" s="2" t="s">
        <v>13176</v>
      </c>
      <c r="B3240" s="3" t="str">
        <f>C3240 &amp; " -&gt; " &amp; D3240</f>
        <v>principal-knowledge-authority -&gt; StepExecutions.UnevaluatedBlockingExecutionKey</v>
      </c>
      <c r="C3240" s="2" t="s">
        <v>9708</v>
      </c>
      <c r="D3240" s="2" t="s">
        <v>3597</v>
      </c>
      <c r="E3240" s="2" t="b">
        <v>1</v>
      </c>
      <c r="F3240" s="2" t="b">
        <v>0</v>
      </c>
      <c r="G3240" s="2" t="s">
        <v>9937</v>
      </c>
      <c r="H3240" s="3" t="str">
        <f>_xlfn.IFNA(INDEX(RulebookFields!C2:C999, MATCH(D3240,RulebookFields!A2:A999, 0)), "")</f>
        <v>StepExecutions</v>
      </c>
      <c r="I3240" s="3" t="str">
        <f>_xlfn.IFNA(INDEX(RulebookFields!D2:D999, MATCH(D3240,RulebookFields!A2:A999, 0)), "")</f>
        <v>UnevaluatedBlockingExecutionKey</v>
      </c>
      <c r="J3240" s="3" t="b">
        <f>_xlfn.IFNA(INDEX(RulebookFields!I2:I999, MATCH(D3240,RulebookFields!A2:A999, 0)), "")</f>
        <v>1</v>
      </c>
      <c r="K3240" s="3" t="b">
        <f>AND(F3240, J3240)</f>
        <v>0</v>
      </c>
      <c r="L3240" s="3" t="b">
        <f>AND(G3240 &lt;&gt; "plain", G3240 &lt;&gt; "")</f>
        <v>0</v>
      </c>
      <c r="M3240" s="3" t="str">
        <f>IF(E3240, C3240 &amp; "|" &amp; H3240, "")</f>
        <v>principal-knowledge-authority|StepExecutions</v>
      </c>
      <c r="N3240" s="2" t="s">
        <v>9938</v>
      </c>
    </row>
    <row r="3241">
      <c r="A3241" s="2" t="s">
        <v>13177</v>
      </c>
      <c r="B3241" s="3" t="str">
        <f>C3241 &amp; " -&gt; " &amp; D3241</f>
        <v>principal-knowledge-authority -&gt; StepExecutions.SeparationViolationExecutionKey</v>
      </c>
      <c r="C3241" s="2" t="s">
        <v>9708</v>
      </c>
      <c r="D3241" s="2" t="s">
        <v>3599</v>
      </c>
      <c r="E3241" s="2" t="b">
        <v>1</v>
      </c>
      <c r="F3241" s="2" t="b">
        <v>0</v>
      </c>
      <c r="G3241" s="2" t="s">
        <v>9937</v>
      </c>
      <c r="H3241" s="3" t="str">
        <f>_xlfn.IFNA(INDEX(RulebookFields!C2:C999, MATCH(D3241,RulebookFields!A2:A999, 0)), "")</f>
        <v>StepExecutions</v>
      </c>
      <c r="I3241" s="3" t="str">
        <f>_xlfn.IFNA(INDEX(RulebookFields!D2:D999, MATCH(D3241,RulebookFields!A2:A999, 0)), "")</f>
        <v>SeparationViolationExecutionKey</v>
      </c>
      <c r="J3241" s="3" t="b">
        <f>_xlfn.IFNA(INDEX(RulebookFields!I2:I999, MATCH(D3241,RulebookFields!A2:A999, 0)), "")</f>
        <v>1</v>
      </c>
      <c r="K3241" s="3" t="b">
        <f>AND(F3241, J3241)</f>
        <v>0</v>
      </c>
      <c r="L3241" s="3" t="b">
        <f>AND(G3241 &lt;&gt; "plain", G3241 &lt;&gt; "")</f>
        <v>0</v>
      </c>
      <c r="M3241" s="3" t="str">
        <f>IF(E3241, C3241 &amp; "|" &amp; H3241, "")</f>
        <v>principal-knowledge-authority|StepExecutions</v>
      </c>
      <c r="N3241" s="2" t="s">
        <v>9938</v>
      </c>
    </row>
    <row r="3242">
      <c r="A3242" s="2" t="s">
        <v>13178</v>
      </c>
      <c r="B3242" s="3" t="str">
        <f>C3242 &amp; " -&gt; " &amp; D3242</f>
        <v>principal-knowledge-authority -&gt; StepExecutions.SelfWitnessedVerificationCount</v>
      </c>
      <c r="C3242" s="2" t="s">
        <v>9708</v>
      </c>
      <c r="D3242" s="2" t="s">
        <v>3601</v>
      </c>
      <c r="E3242" s="2" t="b">
        <v>1</v>
      </c>
      <c r="F3242" s="2" t="b">
        <v>0</v>
      </c>
      <c r="G3242" s="2" t="s">
        <v>9937</v>
      </c>
      <c r="H3242" s="3" t="str">
        <f>_xlfn.IFNA(INDEX(RulebookFields!C2:C999, MATCH(D3242,RulebookFields!A2:A999, 0)), "")</f>
        <v>StepExecutions</v>
      </c>
      <c r="I3242" s="3" t="str">
        <f>_xlfn.IFNA(INDEX(RulebookFields!D2:D999, MATCH(D3242,RulebookFields!A2:A999, 0)), "")</f>
        <v>SelfWitnessedVerificationCount</v>
      </c>
      <c r="J3242" s="3" t="b">
        <f>_xlfn.IFNA(INDEX(RulebookFields!I2:I999, MATCH(D3242,RulebookFields!A2:A999, 0)), "")</f>
        <v>1</v>
      </c>
      <c r="K3242" s="3" t="b">
        <f>AND(F3242, J3242)</f>
        <v>0</v>
      </c>
      <c r="L3242" s="3" t="b">
        <f>AND(G3242 &lt;&gt; "plain", G3242 &lt;&gt; "")</f>
        <v>0</v>
      </c>
      <c r="M3242" s="3" t="str">
        <f>IF(E3242, C3242 &amp; "|" &amp; H3242, "")</f>
        <v>principal-knowledge-authority|StepExecutions</v>
      </c>
      <c r="N3242" s="2" t="s">
        <v>9938</v>
      </c>
    </row>
    <row r="3243">
      <c r="A3243" s="2" t="s">
        <v>13179</v>
      </c>
      <c r="B3243" s="3" t="str">
        <f>C3243 &amp; " -&gt; " &amp; D3243</f>
        <v>principal-knowledge-authority -&gt; StepExecutions.UnbackedVerificationCount</v>
      </c>
      <c r="C3243" s="2" t="s">
        <v>9708</v>
      </c>
      <c r="D3243" s="2" t="s">
        <v>3603</v>
      </c>
      <c r="E3243" s="2" t="b">
        <v>1</v>
      </c>
      <c r="F3243" s="2" t="b">
        <v>0</v>
      </c>
      <c r="G3243" s="2" t="s">
        <v>9937</v>
      </c>
      <c r="H3243" s="3" t="str">
        <f>_xlfn.IFNA(INDEX(RulebookFields!C2:C999, MATCH(D3243,RulebookFields!A2:A999, 0)), "")</f>
        <v>StepExecutions</v>
      </c>
      <c r="I3243" s="3" t="str">
        <f>_xlfn.IFNA(INDEX(RulebookFields!D2:D999, MATCH(D3243,RulebookFields!A2:A999, 0)), "")</f>
        <v>UnbackedVerificationCount</v>
      </c>
      <c r="J3243" s="3" t="b">
        <f>_xlfn.IFNA(INDEX(RulebookFields!I2:I999, MATCH(D3243,RulebookFields!A2:A999, 0)), "")</f>
        <v>1</v>
      </c>
      <c r="K3243" s="3" t="b">
        <f>AND(F3243, J3243)</f>
        <v>0</v>
      </c>
      <c r="L3243" s="3" t="b">
        <f>AND(G3243 &lt;&gt; "plain", G3243 &lt;&gt; "")</f>
        <v>0</v>
      </c>
      <c r="M3243" s="3" t="str">
        <f>IF(E3243, C3243 &amp; "|" &amp; H3243, "")</f>
        <v>principal-knowledge-authority|StepExecutions</v>
      </c>
      <c r="N3243" s="2" t="s">
        <v>9938</v>
      </c>
    </row>
    <row r="3244">
      <c r="A3244" s="2" t="s">
        <v>13180</v>
      </c>
      <c r="B3244" s="3" t="str">
        <f>C3244 &amp; " -&gt; " &amp; D3244</f>
        <v>principal-knowledge-authority -&gt; StepExecutions.ApprovalRestsOnSelfAttestation</v>
      </c>
      <c r="C3244" s="2" t="s">
        <v>9708</v>
      </c>
      <c r="D3244" s="2" t="s">
        <v>3605</v>
      </c>
      <c r="E3244" s="2" t="b">
        <v>1</v>
      </c>
      <c r="F3244" s="2" t="b">
        <v>0</v>
      </c>
      <c r="G3244" s="2" t="s">
        <v>9937</v>
      </c>
      <c r="H3244" s="3" t="str">
        <f>_xlfn.IFNA(INDEX(RulebookFields!C2:C999, MATCH(D3244,RulebookFields!A2:A999, 0)), "")</f>
        <v>StepExecutions</v>
      </c>
      <c r="I3244" s="3" t="str">
        <f>_xlfn.IFNA(INDEX(RulebookFields!D2:D999, MATCH(D3244,RulebookFields!A2:A999, 0)), "")</f>
        <v>ApprovalRestsOnSelfAttestation</v>
      </c>
      <c r="J3244" s="3" t="b">
        <f>_xlfn.IFNA(INDEX(RulebookFields!I2:I999, MATCH(D3244,RulebookFields!A2:A999, 0)), "")</f>
        <v>1</v>
      </c>
      <c r="K3244" s="3" t="b">
        <f>AND(F3244, J3244)</f>
        <v>0</v>
      </c>
      <c r="L3244" s="3" t="b">
        <f>AND(G3244 &lt;&gt; "plain", G3244 &lt;&gt; "")</f>
        <v>0</v>
      </c>
      <c r="M3244" s="3" t="str">
        <f>IF(E3244, C3244 &amp; "|" &amp; H3244, "")</f>
        <v>principal-knowledge-authority|StepExecutions</v>
      </c>
      <c r="N3244" s="2" t="s">
        <v>9938</v>
      </c>
    </row>
    <row r="3245">
      <c r="A3245" s="2" t="s">
        <v>13181</v>
      </c>
      <c r="B3245" s="3" t="str">
        <f>C3245 &amp; " -&gt; " &amp; D3245</f>
        <v>principal-knowledge-authority -&gt; StepExecutions.ExceptionInvocationCount</v>
      </c>
      <c r="C3245" s="2" t="s">
        <v>9708</v>
      </c>
      <c r="D3245" s="2" t="s">
        <v>3607</v>
      </c>
      <c r="E3245" s="2" t="b">
        <v>1</v>
      </c>
      <c r="F3245" s="2" t="b">
        <v>0</v>
      </c>
      <c r="G3245" s="2" t="s">
        <v>9937</v>
      </c>
      <c r="H3245" s="3" t="str">
        <f>_xlfn.IFNA(INDEX(RulebookFields!C2:C999, MATCH(D3245,RulebookFields!A2:A999, 0)), "")</f>
        <v>StepExecutions</v>
      </c>
      <c r="I3245" s="3" t="str">
        <f>_xlfn.IFNA(INDEX(RulebookFields!D2:D999, MATCH(D3245,RulebookFields!A2:A999, 0)), "")</f>
        <v>ExceptionInvocationCount</v>
      </c>
      <c r="J3245" s="3" t="b">
        <f>_xlfn.IFNA(INDEX(RulebookFields!I2:I999, MATCH(D3245,RulebookFields!A2:A999, 0)), "")</f>
        <v>1</v>
      </c>
      <c r="K3245" s="3" t="b">
        <f>AND(F3245, J3245)</f>
        <v>0</v>
      </c>
      <c r="L3245" s="3" t="b">
        <f>AND(G3245 &lt;&gt; "plain", G3245 &lt;&gt; "")</f>
        <v>0</v>
      </c>
      <c r="M3245" s="3" t="str">
        <f>IF(E3245, C3245 &amp; "|" &amp; H3245, "")</f>
        <v>principal-knowledge-authority|StepExecutions</v>
      </c>
      <c r="N3245" s="2" t="s">
        <v>9938</v>
      </c>
    </row>
    <row r="3246">
      <c r="A3246" s="2" t="s">
        <v>13182</v>
      </c>
      <c r="B3246" s="3" t="str">
        <f>C3246 &amp; " -&gt; " &amp; D3246</f>
        <v>principal-knowledge-authority -&gt; StepExecutions.RanUnderException</v>
      </c>
      <c r="C3246" s="2" t="s">
        <v>9708</v>
      </c>
      <c r="D3246" s="2" t="s">
        <v>3609</v>
      </c>
      <c r="E3246" s="2" t="b">
        <v>1</v>
      </c>
      <c r="F3246" s="2" t="b">
        <v>0</v>
      </c>
      <c r="G3246" s="2" t="s">
        <v>9937</v>
      </c>
      <c r="H3246" s="3" t="str">
        <f>_xlfn.IFNA(INDEX(RulebookFields!C2:C999, MATCH(D3246,RulebookFields!A2:A999, 0)), "")</f>
        <v>StepExecutions</v>
      </c>
      <c r="I3246" s="3" t="str">
        <f>_xlfn.IFNA(INDEX(RulebookFields!D2:D999, MATCH(D3246,RulebookFields!A2:A999, 0)), "")</f>
        <v>RanUnderException</v>
      </c>
      <c r="J3246" s="3" t="b">
        <f>_xlfn.IFNA(INDEX(RulebookFields!I2:I999, MATCH(D3246,RulebookFields!A2:A999, 0)), "")</f>
        <v>1</v>
      </c>
      <c r="K3246" s="3" t="b">
        <f>AND(F3246, J3246)</f>
        <v>0</v>
      </c>
      <c r="L3246" s="3" t="b">
        <f>AND(G3246 &lt;&gt; "plain", G3246 &lt;&gt; "")</f>
        <v>0</v>
      </c>
      <c r="M3246" s="3" t="str">
        <f>IF(E3246, C3246 &amp; "|" &amp; H3246, "")</f>
        <v>principal-knowledge-authority|StepExecutions</v>
      </c>
      <c r="N3246" s="2" t="s">
        <v>9938</v>
      </c>
    </row>
    <row r="3247">
      <c r="A3247" s="2" t="s">
        <v>13183</v>
      </c>
      <c r="B3247" s="3" t="str">
        <f>C3247 &amp; " -&gt; " &amp; D3247</f>
        <v>principal-knowledge-authority -&gt; StepExecutions.IsCompleted</v>
      </c>
      <c r="C3247" s="2" t="s">
        <v>9708</v>
      </c>
      <c r="D3247" s="2" t="s">
        <v>3611</v>
      </c>
      <c r="E3247" s="2" t="b">
        <v>1</v>
      </c>
      <c r="F3247" s="2" t="b">
        <v>0</v>
      </c>
      <c r="G3247" s="2" t="s">
        <v>9937</v>
      </c>
      <c r="H3247" s="3" t="str">
        <f>_xlfn.IFNA(INDEX(RulebookFields!C2:C999, MATCH(D3247,RulebookFields!A2:A999, 0)), "")</f>
        <v>StepExecutions</v>
      </c>
      <c r="I3247" s="3" t="str">
        <f>_xlfn.IFNA(INDEX(RulebookFields!D2:D999, MATCH(D3247,RulebookFields!A2:A999, 0)), "")</f>
        <v>IsCompleted</v>
      </c>
      <c r="J3247" s="3" t="b">
        <f>_xlfn.IFNA(INDEX(RulebookFields!I2:I999, MATCH(D3247,RulebookFields!A2:A999, 0)), "")</f>
        <v>1</v>
      </c>
      <c r="K3247" s="3" t="b">
        <f>AND(F3247, J3247)</f>
        <v>0</v>
      </c>
      <c r="L3247" s="3" t="b">
        <f>AND(G3247 &lt;&gt; "plain", G3247 &lt;&gt; "")</f>
        <v>0</v>
      </c>
      <c r="M3247" s="3" t="str">
        <f>IF(E3247, C3247 &amp; "|" &amp; H3247, "")</f>
        <v>principal-knowledge-authority|StepExecutions</v>
      </c>
      <c r="N3247" s="2" t="s">
        <v>9938</v>
      </c>
    </row>
    <row r="3248">
      <c r="A3248" s="2" t="s">
        <v>13184</v>
      </c>
      <c r="B3248" s="3" t="str">
        <f>C3248 &amp; " -&gt; " &amp; D3248</f>
        <v>principal-knowledge-authority -&gt; StepExecutions.IsVerificationPassed</v>
      </c>
      <c r="C3248" s="2" t="s">
        <v>9708</v>
      </c>
      <c r="D3248" s="2" t="s">
        <v>3613</v>
      </c>
      <c r="E3248" s="2" t="b">
        <v>1</v>
      </c>
      <c r="F3248" s="2" t="b">
        <v>0</v>
      </c>
      <c r="G3248" s="2" t="s">
        <v>9937</v>
      </c>
      <c r="H3248" s="3" t="str">
        <f>_xlfn.IFNA(INDEX(RulebookFields!C2:C999, MATCH(D3248,RulebookFields!A2:A999, 0)), "")</f>
        <v>StepExecutions</v>
      </c>
      <c r="I3248" s="3" t="str">
        <f>_xlfn.IFNA(INDEX(RulebookFields!D2:D999, MATCH(D3248,RulebookFields!A2:A999, 0)), "")</f>
        <v>IsVerificationPassed</v>
      </c>
      <c r="J3248" s="3" t="b">
        <f>_xlfn.IFNA(INDEX(RulebookFields!I2:I999, MATCH(D3248,RulebookFields!A2:A999, 0)), "")</f>
        <v>1</v>
      </c>
      <c r="K3248" s="3" t="b">
        <f>AND(F3248, J3248)</f>
        <v>0</v>
      </c>
      <c r="L3248" s="3" t="b">
        <f>AND(G3248 &lt;&gt; "plain", G3248 &lt;&gt; "")</f>
        <v>0</v>
      </c>
      <c r="M3248" s="3" t="str">
        <f>IF(E3248, C3248 &amp; "|" &amp; H3248, "")</f>
        <v>principal-knowledge-authority|StepExecutions</v>
      </c>
      <c r="N3248" s="2" t="s">
        <v>9938</v>
      </c>
    </row>
    <row r="3249">
      <c r="A3249" s="2" t="s">
        <v>13185</v>
      </c>
      <c r="B3249" s="3" t="str">
        <f>C3249 &amp; " -&gt; " &amp; D3249</f>
        <v>principal-knowledge-authority -&gt; StepExecutions.IsLegalReviewStep</v>
      </c>
      <c r="C3249" s="2" t="s">
        <v>9708</v>
      </c>
      <c r="D3249" s="2" t="s">
        <v>3615</v>
      </c>
      <c r="E3249" s="2" t="b">
        <v>1</v>
      </c>
      <c r="F3249" s="2" t="b">
        <v>0</v>
      </c>
      <c r="G3249" s="2" t="s">
        <v>9937</v>
      </c>
      <c r="H3249" s="3" t="str">
        <f>_xlfn.IFNA(INDEX(RulebookFields!C2:C999, MATCH(D3249,RulebookFields!A2:A999, 0)), "")</f>
        <v>StepExecutions</v>
      </c>
      <c r="I3249" s="3" t="str">
        <f>_xlfn.IFNA(INDEX(RulebookFields!D2:D999, MATCH(D3249,RulebookFields!A2:A999, 0)), "")</f>
        <v>IsLegalReviewStep</v>
      </c>
      <c r="J3249" s="3" t="b">
        <f>_xlfn.IFNA(INDEX(RulebookFields!I2:I999, MATCH(D3249,RulebookFields!A2:A999, 0)), "")</f>
        <v>1</v>
      </c>
      <c r="K3249" s="3" t="b">
        <f>AND(F3249, J3249)</f>
        <v>0</v>
      </c>
      <c r="L3249" s="3" t="b">
        <f>AND(G3249 &lt;&gt; "plain", G3249 &lt;&gt; "")</f>
        <v>0</v>
      </c>
      <c r="M3249" s="3" t="str">
        <f>IF(E3249, C3249 &amp; "|" &amp; H3249, "")</f>
        <v>principal-knowledge-authority|StepExecutions</v>
      </c>
      <c r="N3249" s="2" t="s">
        <v>9938</v>
      </c>
    </row>
    <row r="3250">
      <c r="A3250" s="2" t="s">
        <v>13186</v>
      </c>
      <c r="B3250" s="3" t="str">
        <f>C3250 &amp; " -&gt; " &amp; D3250</f>
        <v>principal-knowledge-authority -&gt; StepExecutions.ClearedLegalReviewKey</v>
      </c>
      <c r="C3250" s="2" t="s">
        <v>9708</v>
      </c>
      <c r="D3250" s="2" t="s">
        <v>3617</v>
      </c>
      <c r="E3250" s="2" t="b">
        <v>1</v>
      </c>
      <c r="F3250" s="2" t="b">
        <v>0</v>
      </c>
      <c r="G3250" s="2" t="s">
        <v>9937</v>
      </c>
      <c r="H3250" s="3" t="str">
        <f>_xlfn.IFNA(INDEX(RulebookFields!C2:C999, MATCH(D3250,RulebookFields!A2:A999, 0)), "")</f>
        <v>StepExecutions</v>
      </c>
      <c r="I3250" s="3" t="str">
        <f>_xlfn.IFNA(INDEX(RulebookFields!D2:D999, MATCH(D3250,RulebookFields!A2:A999, 0)), "")</f>
        <v>ClearedLegalReviewKey</v>
      </c>
      <c r="J3250" s="3" t="b">
        <f>_xlfn.IFNA(INDEX(RulebookFields!I2:I999, MATCH(D3250,RulebookFields!A2:A999, 0)), "")</f>
        <v>1</v>
      </c>
      <c r="K3250" s="3" t="b">
        <f>AND(F3250, J3250)</f>
        <v>0</v>
      </c>
      <c r="L3250" s="3" t="b">
        <f>AND(G3250 &lt;&gt; "plain", G3250 &lt;&gt; "")</f>
        <v>0</v>
      </c>
      <c r="M3250" s="3" t="str">
        <f>IF(E3250, C3250 &amp; "|" &amp; H3250, "")</f>
        <v>principal-knowledge-authority|StepExecutions</v>
      </c>
      <c r="N3250" s="2" t="s">
        <v>9938</v>
      </c>
    </row>
    <row r="3251">
      <c r="A3251" s="2" t="s">
        <v>13187</v>
      </c>
      <c r="B3251" s="3" t="str">
        <f>C3251 &amp; " -&gt; " &amp; D3251</f>
        <v>principal-knowledge-authority -&gt; StepExecutions.AssignedRole</v>
      </c>
      <c r="C3251" s="2" t="s">
        <v>9708</v>
      </c>
      <c r="D3251" s="2" t="s">
        <v>3619</v>
      </c>
      <c r="E3251" s="2" t="b">
        <v>1</v>
      </c>
      <c r="F3251" s="2" t="b">
        <v>0</v>
      </c>
      <c r="G3251" s="2" t="s">
        <v>9937</v>
      </c>
      <c r="H3251" s="3" t="str">
        <f>_xlfn.IFNA(INDEX(RulebookFields!C2:C999, MATCH(D3251,RulebookFields!A2:A999, 0)), "")</f>
        <v>StepExecutions</v>
      </c>
      <c r="I3251" s="3" t="str">
        <f>_xlfn.IFNA(INDEX(RulebookFields!D2:D999, MATCH(D3251,RulebookFields!A2:A999, 0)), "")</f>
        <v>AssignedRole</v>
      </c>
      <c r="J3251" s="3" t="b">
        <f>_xlfn.IFNA(INDEX(RulebookFields!I2:I999, MATCH(D3251,RulebookFields!A2:A999, 0)), "")</f>
        <v>1</v>
      </c>
      <c r="K3251" s="3" t="b">
        <f>AND(F3251, J3251)</f>
        <v>0</v>
      </c>
      <c r="L3251" s="3" t="b">
        <f>AND(G3251 &lt;&gt; "plain", G3251 &lt;&gt; "")</f>
        <v>0</v>
      </c>
      <c r="M3251" s="3" t="str">
        <f>IF(E3251, C3251 &amp; "|" &amp; H3251, "")</f>
        <v>principal-knowledge-authority|StepExecutions</v>
      </c>
      <c r="N3251" s="2" t="s">
        <v>9938</v>
      </c>
    </row>
    <row r="3252">
      <c r="A3252" s="2" t="s">
        <v>13188</v>
      </c>
      <c r="B3252" s="3" t="str">
        <f>C3252 &amp; " -&gt; " &amp; D3252</f>
        <v>principal-knowledge-authority -&gt; StepExecutions.RoleCurrentAgent</v>
      </c>
      <c r="C3252" s="2" t="s">
        <v>9708</v>
      </c>
      <c r="D3252" s="2" t="s">
        <v>3620</v>
      </c>
      <c r="E3252" s="2" t="b">
        <v>1</v>
      </c>
      <c r="F3252" s="2" t="b">
        <v>0</v>
      </c>
      <c r="G3252" s="2" t="s">
        <v>9937</v>
      </c>
      <c r="H3252" s="3" t="str">
        <f>_xlfn.IFNA(INDEX(RulebookFields!C2:C999, MATCH(D3252,RulebookFields!A2:A999, 0)), "")</f>
        <v>StepExecutions</v>
      </c>
      <c r="I3252" s="3" t="str">
        <f>_xlfn.IFNA(INDEX(RulebookFields!D2:D999, MATCH(D3252,RulebookFields!A2:A999, 0)), "")</f>
        <v>RoleCurrentAgent</v>
      </c>
      <c r="J3252" s="3" t="b">
        <f>_xlfn.IFNA(INDEX(RulebookFields!I2:I999, MATCH(D3252,RulebookFields!A2:A999, 0)), "")</f>
        <v>1</v>
      </c>
      <c r="K3252" s="3" t="b">
        <f>AND(F3252, J3252)</f>
        <v>0</v>
      </c>
      <c r="L3252" s="3" t="b">
        <f>AND(G3252 &lt;&gt; "plain", G3252 &lt;&gt; "")</f>
        <v>0</v>
      </c>
      <c r="M3252" s="3" t="str">
        <f>IF(E3252, C3252 &amp; "|" &amp; H3252, "")</f>
        <v>principal-knowledge-authority|StepExecutions</v>
      </c>
      <c r="N3252" s="2" t="s">
        <v>9938</v>
      </c>
    </row>
    <row r="3253">
      <c r="A3253" s="2" t="s">
        <v>13189</v>
      </c>
      <c r="B3253" s="3" t="str">
        <f>C3253 &amp; " -&gt; " &amp; D3253</f>
        <v>principal-knowledge-authority -&gt; StepExecutions.ExecutorIsDesignatedAgent</v>
      </c>
      <c r="C3253" s="2" t="s">
        <v>9708</v>
      </c>
      <c r="D3253" s="2" t="s">
        <v>3622</v>
      </c>
      <c r="E3253" s="2" t="b">
        <v>1</v>
      </c>
      <c r="F3253" s="2" t="b">
        <v>0</v>
      </c>
      <c r="G3253" s="2" t="s">
        <v>9937</v>
      </c>
      <c r="H3253" s="3" t="str">
        <f>_xlfn.IFNA(INDEX(RulebookFields!C2:C999, MATCH(D3253,RulebookFields!A2:A999, 0)), "")</f>
        <v>StepExecutions</v>
      </c>
      <c r="I3253" s="3" t="str">
        <f>_xlfn.IFNA(INDEX(RulebookFields!D2:D999, MATCH(D3253,RulebookFields!A2:A999, 0)), "")</f>
        <v>ExecutorIsDesignatedAgent</v>
      </c>
      <c r="J3253" s="3" t="b">
        <f>_xlfn.IFNA(INDEX(RulebookFields!I2:I999, MATCH(D3253,RulebookFields!A2:A999, 0)), "")</f>
        <v>1</v>
      </c>
      <c r="K3253" s="3" t="b">
        <f>AND(F3253, J3253)</f>
        <v>0</v>
      </c>
      <c r="L3253" s="3" t="b">
        <f>AND(G3253 &lt;&gt; "plain", G3253 &lt;&gt; "")</f>
        <v>0</v>
      </c>
      <c r="M3253" s="3" t="str">
        <f>IF(E3253, C3253 &amp; "|" &amp; H3253, "")</f>
        <v>principal-knowledge-authority|StepExecutions</v>
      </c>
      <c r="N3253" s="2" t="s">
        <v>9938</v>
      </c>
    </row>
    <row r="3254">
      <c r="A3254" s="2" t="s">
        <v>13190</v>
      </c>
      <c r="B3254" s="3" t="str">
        <f>C3254 &amp; " -&gt; " &amp; D3254</f>
        <v>principal-knowledge-authority -&gt; StepExecutions.InputsWereFreshAtRun</v>
      </c>
      <c r="C3254" s="2" t="s">
        <v>9708</v>
      </c>
      <c r="D3254" s="2" t="s">
        <v>3624</v>
      </c>
      <c r="E3254" s="2" t="b">
        <v>1</v>
      </c>
      <c r="F3254" s="2" t="b">
        <v>0</v>
      </c>
      <c r="G3254" s="2" t="s">
        <v>9937</v>
      </c>
      <c r="H3254" s="3" t="str">
        <f>_xlfn.IFNA(INDEX(RulebookFields!C2:C999, MATCH(D3254,RulebookFields!A2:A999, 0)), "")</f>
        <v>StepExecutions</v>
      </c>
      <c r="I3254" s="3" t="str">
        <f>_xlfn.IFNA(INDEX(RulebookFields!D2:D999, MATCH(D3254,RulebookFields!A2:A999, 0)), "")</f>
        <v>InputsWereFreshAtRun</v>
      </c>
      <c r="J3254" s="3" t="b">
        <f>_xlfn.IFNA(INDEX(RulebookFields!I2:I999, MATCH(D3254,RulebookFields!A2:A999, 0)), "")</f>
        <v>1</v>
      </c>
      <c r="K3254" s="3" t="b">
        <f>AND(F3254, J3254)</f>
        <v>0</v>
      </c>
      <c r="L3254" s="3" t="b">
        <f>AND(G3254 &lt;&gt; "plain", G3254 &lt;&gt; "")</f>
        <v>0</v>
      </c>
      <c r="M3254" s="3" t="str">
        <f>IF(E3254, C3254 &amp; "|" &amp; H3254, "")</f>
        <v>principal-knowledge-authority|StepExecutions</v>
      </c>
      <c r="N3254" s="2" t="s">
        <v>9938</v>
      </c>
    </row>
    <row r="3255">
      <c r="A3255" s="2" t="s">
        <v>13191</v>
      </c>
      <c r="B3255" s="3" t="str">
        <f>C3255 &amp; " -&gt; " &amp; D3255</f>
        <v>principal-knowledge-authority -&gt; StepExecutions.RanOnStaleInputs</v>
      </c>
      <c r="C3255" s="2" t="s">
        <v>9708</v>
      </c>
      <c r="D3255" s="2" t="s">
        <v>3626</v>
      </c>
      <c r="E3255" s="2" t="b">
        <v>1</v>
      </c>
      <c r="F3255" s="2" t="b">
        <v>0</v>
      </c>
      <c r="G3255" s="2" t="s">
        <v>9937</v>
      </c>
      <c r="H3255" s="3" t="str">
        <f>_xlfn.IFNA(INDEX(RulebookFields!C2:C999, MATCH(D3255,RulebookFields!A2:A999, 0)), "")</f>
        <v>StepExecutions</v>
      </c>
      <c r="I3255" s="3" t="str">
        <f>_xlfn.IFNA(INDEX(RulebookFields!D2:D999, MATCH(D3255,RulebookFields!A2:A999, 0)), "")</f>
        <v>RanOnStaleInputs</v>
      </c>
      <c r="J3255" s="3" t="b">
        <f>_xlfn.IFNA(INDEX(RulebookFields!I2:I999, MATCH(D3255,RulebookFields!A2:A999, 0)), "")</f>
        <v>1</v>
      </c>
      <c r="K3255" s="3" t="b">
        <f>AND(F3255, J3255)</f>
        <v>0</v>
      </c>
      <c r="L3255" s="3" t="b">
        <f>AND(G3255 &lt;&gt; "plain", G3255 &lt;&gt; "")</f>
        <v>0</v>
      </c>
      <c r="M3255" s="3" t="str">
        <f>IF(E3255, C3255 &amp; "|" &amp; H3255, "")</f>
        <v>principal-knowledge-authority|StepExecutions</v>
      </c>
      <c r="N3255" s="2" t="s">
        <v>9938</v>
      </c>
    </row>
    <row r="3256">
      <c r="A3256" s="2" t="s">
        <v>13192</v>
      </c>
      <c r="B3256" s="3" t="str">
        <f>C3256 &amp; " -&gt; " &amp; D3256</f>
        <v>principal-knowledge-authority -&gt; StepExecutions.UnresolvedIssueCount</v>
      </c>
      <c r="C3256" s="2" t="s">
        <v>9708</v>
      </c>
      <c r="D3256" s="2" t="s">
        <v>3628</v>
      </c>
      <c r="E3256" s="2" t="b">
        <v>1</v>
      </c>
      <c r="F3256" s="2" t="b">
        <v>0</v>
      </c>
      <c r="G3256" s="2" t="s">
        <v>9937</v>
      </c>
      <c r="H3256" s="3" t="str">
        <f>_xlfn.IFNA(INDEX(RulebookFields!C2:C999, MATCH(D3256,RulebookFields!A2:A999, 0)), "")</f>
        <v>StepExecutions</v>
      </c>
      <c r="I3256" s="3" t="str">
        <f>_xlfn.IFNA(INDEX(RulebookFields!D2:D999, MATCH(D3256,RulebookFields!A2:A999, 0)), "")</f>
        <v>UnresolvedIssueCount</v>
      </c>
      <c r="J3256" s="3" t="b">
        <f>_xlfn.IFNA(INDEX(RulebookFields!I2:I999, MATCH(D3256,RulebookFields!A2:A999, 0)), "")</f>
        <v>1</v>
      </c>
      <c r="K3256" s="3" t="b">
        <f>AND(F3256, J3256)</f>
        <v>0</v>
      </c>
      <c r="L3256" s="3" t="b">
        <f>AND(G3256 &lt;&gt; "plain", G3256 &lt;&gt; "")</f>
        <v>0</v>
      </c>
      <c r="M3256" s="3" t="str">
        <f>IF(E3256, C3256 &amp; "|" &amp; H3256, "")</f>
        <v>principal-knowledge-authority|StepExecutions</v>
      </c>
      <c r="N3256" s="2" t="s">
        <v>9938</v>
      </c>
    </row>
    <row r="3257">
      <c r="A3257" s="2" t="s">
        <v>13193</v>
      </c>
      <c r="B3257" s="3" t="str">
        <f>C3257 &amp; " -&gt; " &amp; D3257</f>
        <v>principal-knowledge-authority -&gt; StepExecutions.HasDeviation</v>
      </c>
      <c r="C3257" s="2" t="s">
        <v>9708</v>
      </c>
      <c r="D3257" s="2" t="s">
        <v>3630</v>
      </c>
      <c r="E3257" s="2" t="b">
        <v>1</v>
      </c>
      <c r="F3257" s="2" t="b">
        <v>0</v>
      </c>
      <c r="G3257" s="2" t="s">
        <v>9937</v>
      </c>
      <c r="H3257" s="3" t="str">
        <f>_xlfn.IFNA(INDEX(RulebookFields!C2:C999, MATCH(D3257,RulebookFields!A2:A999, 0)), "")</f>
        <v>StepExecutions</v>
      </c>
      <c r="I3257" s="3" t="str">
        <f>_xlfn.IFNA(INDEX(RulebookFields!D2:D999, MATCH(D3257,RulebookFields!A2:A999, 0)), "")</f>
        <v>HasDeviation</v>
      </c>
      <c r="J3257" s="3" t="b">
        <f>_xlfn.IFNA(INDEX(RulebookFields!I2:I999, MATCH(D3257,RulebookFields!A2:A999, 0)), "")</f>
        <v>1</v>
      </c>
      <c r="K3257" s="3" t="b">
        <f>AND(F3257, J3257)</f>
        <v>0</v>
      </c>
      <c r="L3257" s="3" t="b">
        <f>AND(G3257 &lt;&gt; "plain", G3257 &lt;&gt; "")</f>
        <v>0</v>
      </c>
      <c r="M3257" s="3" t="str">
        <f>IF(E3257, C3257 &amp; "|" &amp; H3257, "")</f>
        <v>principal-knowledge-authority|StepExecutions</v>
      </c>
      <c r="N3257" s="2" t="s">
        <v>9938</v>
      </c>
    </row>
    <row r="3258">
      <c r="A3258" s="2" t="s">
        <v>13194</v>
      </c>
      <c r="B3258" s="3" t="str">
        <f>C3258 &amp; " -&gt; " &amp; D3258</f>
        <v>principal-knowledge-authority -&gt; StepExecutions.IsClean</v>
      </c>
      <c r="C3258" s="2" t="s">
        <v>9708</v>
      </c>
      <c r="D3258" s="2" t="s">
        <v>3631</v>
      </c>
      <c r="E3258" s="2" t="b">
        <v>1</v>
      </c>
      <c r="F3258" s="2" t="b">
        <v>0</v>
      </c>
      <c r="G3258" s="2" t="s">
        <v>9937</v>
      </c>
      <c r="H3258" s="3" t="str">
        <f>_xlfn.IFNA(INDEX(RulebookFields!C2:C999, MATCH(D3258,RulebookFields!A2:A999, 0)), "")</f>
        <v>StepExecutions</v>
      </c>
      <c r="I3258" s="3" t="str">
        <f>_xlfn.IFNA(INDEX(RulebookFields!D2:D999, MATCH(D3258,RulebookFields!A2:A999, 0)), "")</f>
        <v>IsClean</v>
      </c>
      <c r="J3258" s="3" t="b">
        <f>_xlfn.IFNA(INDEX(RulebookFields!I2:I999, MATCH(D3258,RulebookFields!A2:A999, 0)), "")</f>
        <v>1</v>
      </c>
      <c r="K3258" s="3" t="b">
        <f>AND(F3258, J3258)</f>
        <v>0</v>
      </c>
      <c r="L3258" s="3" t="b">
        <f>AND(G3258 &lt;&gt; "plain", G3258 &lt;&gt; "")</f>
        <v>0</v>
      </c>
      <c r="M3258" s="3" t="str">
        <f>IF(E3258, C3258 &amp; "|" &amp; H3258, "")</f>
        <v>principal-knowledge-authority|StepExecutions</v>
      </c>
      <c r="N3258" s="2" t="s">
        <v>9938</v>
      </c>
    </row>
    <row r="3259">
      <c r="A3259" s="2" t="s">
        <v>13195</v>
      </c>
      <c r="B3259" s="3" t="str">
        <f>C3259 &amp; " -&gt; " &amp; D3259</f>
        <v>principal-knowledge-authority -&gt; StepExecutions.ProcedureExecutionWhenUnclean</v>
      </c>
      <c r="C3259" s="2" t="s">
        <v>9708</v>
      </c>
      <c r="D3259" s="2" t="s">
        <v>3633</v>
      </c>
      <c r="E3259" s="2" t="b">
        <v>1</v>
      </c>
      <c r="F3259" s="2" t="b">
        <v>0</v>
      </c>
      <c r="G3259" s="2" t="s">
        <v>9937</v>
      </c>
      <c r="H3259" s="3" t="str">
        <f>_xlfn.IFNA(INDEX(RulebookFields!C2:C999, MATCH(D3259,RulebookFields!A2:A999, 0)), "")</f>
        <v>StepExecutions</v>
      </c>
      <c r="I3259" s="3" t="str">
        <f>_xlfn.IFNA(INDEX(RulebookFields!D2:D999, MATCH(D3259,RulebookFields!A2:A999, 0)), "")</f>
        <v>ProcedureExecutionWhenUnclean</v>
      </c>
      <c r="J3259" s="3" t="b">
        <f>_xlfn.IFNA(INDEX(RulebookFields!I2:I999, MATCH(D3259,RulebookFields!A2:A999, 0)), "")</f>
        <v>1</v>
      </c>
      <c r="K3259" s="3" t="b">
        <f>AND(F3259, J3259)</f>
        <v>0</v>
      </c>
      <c r="L3259" s="3" t="b">
        <f>AND(G3259 &lt;&gt; "plain", G3259 &lt;&gt; "")</f>
        <v>0</v>
      </c>
      <c r="M3259" s="3" t="str">
        <f>IF(E3259, C3259 &amp; "|" &amp; H3259, "")</f>
        <v>principal-knowledge-authority|StepExecutions</v>
      </c>
      <c r="N3259" s="2" t="s">
        <v>9938</v>
      </c>
    </row>
    <row r="3260">
      <c r="A3260" s="2" t="s">
        <v>13196</v>
      </c>
      <c r="B3260" s="3" t="str">
        <f>C3260 &amp; " -&gt; " &amp; D3260</f>
        <v>principal-knowledge-authority -&gt; StepExecutions.EvaluatedRequirementCount</v>
      </c>
      <c r="C3260" s="2" t="s">
        <v>9708</v>
      </c>
      <c r="D3260" s="2" t="s">
        <v>3635</v>
      </c>
      <c r="E3260" s="2" t="b">
        <v>1</v>
      </c>
      <c r="F3260" s="2" t="b">
        <v>0</v>
      </c>
      <c r="G3260" s="2" t="s">
        <v>9937</v>
      </c>
      <c r="H3260" s="3" t="str">
        <f>_xlfn.IFNA(INDEX(RulebookFields!C2:C999, MATCH(D3260,RulebookFields!A2:A999, 0)), "")</f>
        <v>StepExecutions</v>
      </c>
      <c r="I3260" s="3" t="str">
        <f>_xlfn.IFNA(INDEX(RulebookFields!D2:D999, MATCH(D3260,RulebookFields!A2:A999, 0)), "")</f>
        <v>EvaluatedRequirementCount</v>
      </c>
      <c r="J3260" s="3" t="b">
        <f>_xlfn.IFNA(INDEX(RulebookFields!I2:I999, MATCH(D3260,RulebookFields!A2:A999, 0)), "")</f>
        <v>1</v>
      </c>
      <c r="K3260" s="3" t="b">
        <f>AND(F3260, J3260)</f>
        <v>0</v>
      </c>
      <c r="L3260" s="3" t="b">
        <f>AND(G3260 &lt;&gt; "plain", G3260 &lt;&gt; "")</f>
        <v>0</v>
      </c>
      <c r="M3260" s="3" t="str">
        <f>IF(E3260, C3260 &amp; "|" &amp; H3260, "")</f>
        <v>principal-knowledge-authority|StepExecutions</v>
      </c>
      <c r="N3260" s="2" t="s">
        <v>9938</v>
      </c>
    </row>
    <row r="3261">
      <c r="A3261" s="2" t="s">
        <v>13197</v>
      </c>
      <c r="B3261" s="3" t="str">
        <f>C3261 &amp; " -&gt; " &amp; D3261</f>
        <v>principal-knowledge-authority -&gt; StepExecutions.RequiredBlockingCount</v>
      </c>
      <c r="C3261" s="2" t="s">
        <v>9708</v>
      </c>
      <c r="D3261" s="2" t="s">
        <v>3637</v>
      </c>
      <c r="E3261" s="2" t="b">
        <v>1</v>
      </c>
      <c r="F3261" s="2" t="b">
        <v>0</v>
      </c>
      <c r="G3261" s="2" t="s">
        <v>9937</v>
      </c>
      <c r="H3261" s="3" t="str">
        <f>_xlfn.IFNA(INDEX(RulebookFields!C2:C999, MATCH(D3261,RulebookFields!A2:A999, 0)), "")</f>
        <v>StepExecutions</v>
      </c>
      <c r="I3261" s="3" t="str">
        <f>_xlfn.IFNA(INDEX(RulebookFields!D2:D999, MATCH(D3261,RulebookFields!A2:A999, 0)), "")</f>
        <v>RequiredBlockingCount</v>
      </c>
      <c r="J3261" s="3" t="b">
        <f>_xlfn.IFNA(INDEX(RulebookFields!I2:I999, MATCH(D3261,RulebookFields!A2:A999, 0)), "")</f>
        <v>1</v>
      </c>
      <c r="K3261" s="3" t="b">
        <f>AND(F3261, J3261)</f>
        <v>0</v>
      </c>
      <c r="L3261" s="3" t="b">
        <f>AND(G3261 &lt;&gt; "plain", G3261 &lt;&gt; "")</f>
        <v>0</v>
      </c>
      <c r="M3261" s="3" t="str">
        <f>IF(E3261, C3261 &amp; "|" &amp; H3261, "")</f>
        <v>principal-knowledge-authority|StepExecutions</v>
      </c>
      <c r="N3261" s="2" t="s">
        <v>9938</v>
      </c>
    </row>
    <row r="3262">
      <c r="A3262" s="2" t="s">
        <v>13198</v>
      </c>
      <c r="B3262" s="3" t="str">
        <f>C3262 &amp; " -&gt; " &amp; D3262</f>
        <v>principal-knowledge-authority -&gt; StepExecutions.HasUnevaluatedBlockingRequirement</v>
      </c>
      <c r="C3262" s="2" t="s">
        <v>9708</v>
      </c>
      <c r="D3262" s="2" t="s">
        <v>3638</v>
      </c>
      <c r="E3262" s="2" t="b">
        <v>1</v>
      </c>
      <c r="F3262" s="2" t="b">
        <v>0</v>
      </c>
      <c r="G3262" s="2" t="s">
        <v>9937</v>
      </c>
      <c r="H3262" s="3" t="str">
        <f>_xlfn.IFNA(INDEX(RulebookFields!C2:C999, MATCH(D3262,RulebookFields!A2:A999, 0)), "")</f>
        <v>StepExecutions</v>
      </c>
      <c r="I3262" s="3" t="str">
        <f>_xlfn.IFNA(INDEX(RulebookFields!D2:D999, MATCH(D3262,RulebookFields!A2:A999, 0)), "")</f>
        <v>HasUnevaluatedBlockingRequirement</v>
      </c>
      <c r="J3262" s="3" t="b">
        <f>_xlfn.IFNA(INDEX(RulebookFields!I2:I999, MATCH(D3262,RulebookFields!A2:A999, 0)), "")</f>
        <v>1</v>
      </c>
      <c r="K3262" s="3" t="b">
        <f>AND(F3262, J3262)</f>
        <v>0</v>
      </c>
      <c r="L3262" s="3" t="b">
        <f>AND(G3262 &lt;&gt; "plain", G3262 &lt;&gt; "")</f>
        <v>0</v>
      </c>
      <c r="M3262" s="3" t="str">
        <f>IF(E3262, C3262 &amp; "|" &amp; H3262, "")</f>
        <v>principal-knowledge-authority|StepExecutions</v>
      </c>
      <c r="N3262" s="2" t="s">
        <v>9938</v>
      </c>
    </row>
    <row r="3263">
      <c r="A3263" s="2" t="s">
        <v>13199</v>
      </c>
      <c r="B3263" s="3" t="str">
        <f>C3263 &amp; " -&gt; " &amp; D3263</f>
        <v>principal-knowledge-authority -&gt; StepExecutions.ExecutingAgentKind</v>
      </c>
      <c r="C3263" s="2" t="s">
        <v>9708</v>
      </c>
      <c r="D3263" s="2" t="s">
        <v>3640</v>
      </c>
      <c r="E3263" s="2" t="b">
        <v>1</v>
      </c>
      <c r="F3263" s="2" t="b">
        <v>0</v>
      </c>
      <c r="G3263" s="2" t="s">
        <v>9937</v>
      </c>
      <c r="H3263" s="3" t="str">
        <f>_xlfn.IFNA(INDEX(RulebookFields!C2:C999, MATCH(D3263,RulebookFields!A2:A999, 0)), "")</f>
        <v>StepExecutions</v>
      </c>
      <c r="I3263" s="3" t="str">
        <f>_xlfn.IFNA(INDEX(RulebookFields!D2:D999, MATCH(D3263,RulebookFields!A2:A999, 0)), "")</f>
        <v>ExecutingAgentKind</v>
      </c>
      <c r="J3263" s="3" t="b">
        <f>_xlfn.IFNA(INDEX(RulebookFields!I2:I999, MATCH(D3263,RulebookFields!A2:A999, 0)), "")</f>
        <v>1</v>
      </c>
      <c r="K3263" s="3" t="b">
        <f>AND(F3263, J3263)</f>
        <v>0</v>
      </c>
      <c r="L3263" s="3" t="b">
        <f>AND(G3263 &lt;&gt; "plain", G3263 &lt;&gt; "")</f>
        <v>0</v>
      </c>
      <c r="M3263" s="3" t="str">
        <f>IF(E3263, C3263 &amp; "|" &amp; H3263, "")</f>
        <v>principal-knowledge-authority|StepExecutions</v>
      </c>
      <c r="N3263" s="2" t="s">
        <v>9938</v>
      </c>
    </row>
    <row r="3264">
      <c r="A3264" s="2" t="s">
        <v>13200</v>
      </c>
      <c r="B3264" s="3" t="str">
        <f>C3264 &amp; " -&gt; " &amp; D3264</f>
        <v>principal-knowledge-authority -&gt; StepExecutions.WasExecutedBySoftware</v>
      </c>
      <c r="C3264" s="2" t="s">
        <v>9708</v>
      </c>
      <c r="D3264" s="2" t="s">
        <v>3641</v>
      </c>
      <c r="E3264" s="2" t="b">
        <v>1</v>
      </c>
      <c r="F3264" s="2" t="b">
        <v>0</v>
      </c>
      <c r="G3264" s="2" t="s">
        <v>9937</v>
      </c>
      <c r="H3264" s="3" t="str">
        <f>_xlfn.IFNA(INDEX(RulebookFields!C2:C999, MATCH(D3264,RulebookFields!A2:A999, 0)), "")</f>
        <v>StepExecutions</v>
      </c>
      <c r="I3264" s="3" t="str">
        <f>_xlfn.IFNA(INDEX(RulebookFields!D2:D999, MATCH(D3264,RulebookFields!A2:A999, 0)), "")</f>
        <v>WasExecutedBySoftware</v>
      </c>
      <c r="J3264" s="3" t="b">
        <f>_xlfn.IFNA(INDEX(RulebookFields!I2:I999, MATCH(D3264,RulebookFields!A2:A999, 0)), "")</f>
        <v>1</v>
      </c>
      <c r="K3264" s="3" t="b">
        <f>AND(F3264, J3264)</f>
        <v>0</v>
      </c>
      <c r="L3264" s="3" t="b">
        <f>AND(G3264 &lt;&gt; "plain", G3264 &lt;&gt; "")</f>
        <v>0</v>
      </c>
      <c r="M3264" s="3" t="str">
        <f>IF(E3264, C3264 &amp; "|" &amp; H3264, "")</f>
        <v>principal-knowledge-authority|StepExecutions</v>
      </c>
      <c r="N3264" s="2" t="s">
        <v>9938</v>
      </c>
    </row>
    <row r="3265">
      <c r="A3265" s="2" t="s">
        <v>13201</v>
      </c>
      <c r="B3265" s="3" t="str">
        <f>C3265 &amp; " -&gt; " &amp; D3265</f>
        <v>principal-knowledge-authority -&gt; StepExecutions.StepIsSoftwareAssigned</v>
      </c>
      <c r="C3265" s="2" t="s">
        <v>9708</v>
      </c>
      <c r="D3265" s="2" t="s">
        <v>3643</v>
      </c>
      <c r="E3265" s="2" t="b">
        <v>1</v>
      </c>
      <c r="F3265" s="2" t="b">
        <v>0</v>
      </c>
      <c r="G3265" s="2" t="s">
        <v>9937</v>
      </c>
      <c r="H3265" s="3" t="str">
        <f>_xlfn.IFNA(INDEX(RulebookFields!C2:C999, MATCH(D3265,RulebookFields!A2:A999, 0)), "")</f>
        <v>StepExecutions</v>
      </c>
      <c r="I3265" s="3" t="str">
        <f>_xlfn.IFNA(INDEX(RulebookFields!D2:D999, MATCH(D3265,RulebookFields!A2:A999, 0)), "")</f>
        <v>StepIsSoftwareAssigned</v>
      </c>
      <c r="J3265" s="3" t="b">
        <f>_xlfn.IFNA(INDEX(RulebookFields!I2:I999, MATCH(D3265,RulebookFields!A2:A999, 0)), "")</f>
        <v>1</v>
      </c>
      <c r="K3265" s="3" t="b">
        <f>AND(F3265, J3265)</f>
        <v>0</v>
      </c>
      <c r="L3265" s="3" t="b">
        <f>AND(G3265 &lt;&gt; "plain", G3265 &lt;&gt; "")</f>
        <v>0</v>
      </c>
      <c r="M3265" s="3" t="str">
        <f>IF(E3265, C3265 &amp; "|" &amp; H3265, "")</f>
        <v>principal-knowledge-authority|StepExecutions</v>
      </c>
      <c r="N3265" s="2" t="s">
        <v>9938</v>
      </c>
    </row>
    <row r="3266">
      <c r="A3266" s="2" t="s">
        <v>13202</v>
      </c>
      <c r="B3266" s="3" t="str">
        <f>C3266 &amp; " -&gt; " &amp; D3266</f>
        <v>principal-knowledge-authority -&gt; StepExecutions.SoftwareDidHumanWork</v>
      </c>
      <c r="C3266" s="2" t="s">
        <v>9708</v>
      </c>
      <c r="D3266" s="2" t="s">
        <v>3644</v>
      </c>
      <c r="E3266" s="2" t="b">
        <v>1</v>
      </c>
      <c r="F3266" s="2" t="b">
        <v>0</v>
      </c>
      <c r="G3266" s="2" t="s">
        <v>9937</v>
      </c>
      <c r="H3266" s="3" t="str">
        <f>_xlfn.IFNA(INDEX(RulebookFields!C2:C999, MATCH(D3266,RulebookFields!A2:A999, 0)), "")</f>
        <v>StepExecutions</v>
      </c>
      <c r="I3266" s="3" t="str">
        <f>_xlfn.IFNA(INDEX(RulebookFields!D2:D999, MATCH(D3266,RulebookFields!A2:A999, 0)), "")</f>
        <v>SoftwareDidHumanWork</v>
      </c>
      <c r="J3266" s="3" t="b">
        <f>_xlfn.IFNA(INDEX(RulebookFields!I2:I999, MATCH(D3266,RulebookFields!A2:A999, 0)), "")</f>
        <v>1</v>
      </c>
      <c r="K3266" s="3" t="b">
        <f>AND(F3266, J3266)</f>
        <v>0</v>
      </c>
      <c r="L3266" s="3" t="b">
        <f>AND(G3266 &lt;&gt; "plain", G3266 &lt;&gt; "")</f>
        <v>0</v>
      </c>
      <c r="M3266" s="3" t="str">
        <f>IF(E3266, C3266 &amp; "|" &amp; H3266, "")</f>
        <v>principal-knowledge-authority|StepExecutions</v>
      </c>
      <c r="N3266" s="2" t="s">
        <v>9938</v>
      </c>
    </row>
    <row r="3267">
      <c r="A3267" s="2" t="s">
        <v>13203</v>
      </c>
      <c r="B3267" s="3" t="str">
        <f>C3267 &amp; " -&gt; " &amp; D3267</f>
        <v>principal-knowledge-authority -&gt; StepExecutions.IsApprovalExecution</v>
      </c>
      <c r="C3267" s="2" t="s">
        <v>9708</v>
      </c>
      <c r="D3267" s="2" t="s">
        <v>3646</v>
      </c>
      <c r="E3267" s="2" t="b">
        <v>1</v>
      </c>
      <c r="F3267" s="2" t="b">
        <v>0</v>
      </c>
      <c r="G3267" s="2" t="s">
        <v>9937</v>
      </c>
      <c r="H3267" s="3" t="str">
        <f>_xlfn.IFNA(INDEX(RulebookFields!C2:C999, MATCH(D3267,RulebookFields!A2:A999, 0)), "")</f>
        <v>StepExecutions</v>
      </c>
      <c r="I3267" s="3" t="str">
        <f>_xlfn.IFNA(INDEX(RulebookFields!D2:D999, MATCH(D3267,RulebookFields!A2:A999, 0)), "")</f>
        <v>IsApprovalExecution</v>
      </c>
      <c r="J3267" s="3" t="b">
        <f>_xlfn.IFNA(INDEX(RulebookFields!I2:I999, MATCH(D3267,RulebookFields!A2:A999, 0)), "")</f>
        <v>1</v>
      </c>
      <c r="K3267" s="3" t="b">
        <f>AND(F3267, J3267)</f>
        <v>0</v>
      </c>
      <c r="L3267" s="3" t="b">
        <f>AND(G3267 &lt;&gt; "plain", G3267 &lt;&gt; "")</f>
        <v>0</v>
      </c>
      <c r="M3267" s="3" t="str">
        <f>IF(E3267, C3267 &amp; "|" &amp; H3267, "")</f>
        <v>principal-knowledge-authority|StepExecutions</v>
      </c>
      <c r="N3267" s="2" t="s">
        <v>9938</v>
      </c>
    </row>
    <row r="3268">
      <c r="A3268" s="2" t="s">
        <v>13204</v>
      </c>
      <c r="B3268" s="3" t="str">
        <f>C3268 &amp; " -&gt; " &amp; D3268</f>
        <v>principal-knowledge-authority -&gt; StepExecutions.IsVerified</v>
      </c>
      <c r="C3268" s="2" t="s">
        <v>9708</v>
      </c>
      <c r="D3268" s="2" t="s">
        <v>3648</v>
      </c>
      <c r="E3268" s="2" t="b">
        <v>1</v>
      </c>
      <c r="F3268" s="2" t="b">
        <v>0</v>
      </c>
      <c r="G3268" s="2" t="s">
        <v>9937</v>
      </c>
      <c r="H3268" s="3" t="str">
        <f>_xlfn.IFNA(INDEX(RulebookFields!C2:C999, MATCH(D3268,RulebookFields!A2:A999, 0)), "")</f>
        <v>StepExecutions</v>
      </c>
      <c r="I3268" s="3" t="str">
        <f>_xlfn.IFNA(INDEX(RulebookFields!D2:D999, MATCH(D3268,RulebookFields!A2:A999, 0)), "")</f>
        <v>IsVerified</v>
      </c>
      <c r="J3268" s="3" t="b">
        <f>_xlfn.IFNA(INDEX(RulebookFields!I2:I999, MATCH(D3268,RulebookFields!A2:A999, 0)), "")</f>
        <v>1</v>
      </c>
      <c r="K3268" s="3" t="b">
        <f>AND(F3268, J3268)</f>
        <v>0</v>
      </c>
      <c r="L3268" s="3" t="b">
        <f>AND(G3268 &lt;&gt; "plain", G3268 &lt;&gt; "")</f>
        <v>0</v>
      </c>
      <c r="M3268" s="3" t="str">
        <f>IF(E3268, C3268 &amp; "|" &amp; H3268, "")</f>
        <v>principal-knowledge-authority|StepExecutions</v>
      </c>
      <c r="N3268" s="2" t="s">
        <v>9938</v>
      </c>
    </row>
    <row r="3269">
      <c r="A3269" s="2" t="s">
        <v>13205</v>
      </c>
      <c r="B3269" s="3" t="str">
        <f>C3269 &amp; " -&gt; " &amp; D3269</f>
        <v>principal-knowledge-authority -&gt; StepExecutions.UnconfirmedNonHumanDecisionCount</v>
      </c>
      <c r="C3269" s="2" t="s">
        <v>9708</v>
      </c>
      <c r="D3269" s="2" t="s">
        <v>3650</v>
      </c>
      <c r="E3269" s="2" t="b">
        <v>1</v>
      </c>
      <c r="F3269" s="2" t="b">
        <v>0</v>
      </c>
      <c r="G3269" s="2" t="s">
        <v>9937</v>
      </c>
      <c r="H3269" s="3" t="str">
        <f>_xlfn.IFNA(INDEX(RulebookFields!C2:C999, MATCH(D3269,RulebookFields!A2:A999, 0)), "")</f>
        <v>StepExecutions</v>
      </c>
      <c r="I3269" s="3" t="str">
        <f>_xlfn.IFNA(INDEX(RulebookFields!D2:D999, MATCH(D3269,RulebookFields!A2:A999, 0)), "")</f>
        <v>UnconfirmedNonHumanDecisionCount</v>
      </c>
      <c r="J3269" s="3" t="b">
        <f>_xlfn.IFNA(INDEX(RulebookFields!I2:I999, MATCH(D3269,RulebookFields!A2:A999, 0)), "")</f>
        <v>1</v>
      </c>
      <c r="K3269" s="3" t="b">
        <f>AND(F3269, J3269)</f>
        <v>0</v>
      </c>
      <c r="L3269" s="3" t="b">
        <f>AND(G3269 &lt;&gt; "plain", G3269 &lt;&gt; "")</f>
        <v>0</v>
      </c>
      <c r="M3269" s="3" t="str">
        <f>IF(E3269, C3269 &amp; "|" &amp; H3269, "")</f>
        <v>principal-knowledge-authority|StepExecutions</v>
      </c>
      <c r="N3269" s="2" t="s">
        <v>9938</v>
      </c>
    </row>
    <row r="3270">
      <c r="A3270" s="2" t="s">
        <v>13206</v>
      </c>
      <c r="B3270" s="3" t="str">
        <f>C3270 &amp; " -&gt; " &amp; D3270</f>
        <v>principal-knowledge-authority -&gt; StepExecutions.RequiresHumanConfirmation</v>
      </c>
      <c r="C3270" s="2" t="s">
        <v>9708</v>
      </c>
      <c r="D3270" s="2" t="s">
        <v>3652</v>
      </c>
      <c r="E3270" s="2" t="b">
        <v>1</v>
      </c>
      <c r="F3270" s="2" t="b">
        <v>0</v>
      </c>
      <c r="G3270" s="2" t="s">
        <v>9937</v>
      </c>
      <c r="H3270" s="3" t="str">
        <f>_xlfn.IFNA(INDEX(RulebookFields!C2:C999, MATCH(D3270,RulebookFields!A2:A999, 0)), "")</f>
        <v>StepExecutions</v>
      </c>
      <c r="I3270" s="3" t="str">
        <f>_xlfn.IFNA(INDEX(RulebookFields!D2:D999, MATCH(D3270,RulebookFields!A2:A999, 0)), "")</f>
        <v>RequiresHumanConfirmation</v>
      </c>
      <c r="J3270" s="3" t="b">
        <f>_xlfn.IFNA(INDEX(RulebookFields!I2:I999, MATCH(D3270,RulebookFields!A2:A999, 0)), "")</f>
        <v>1</v>
      </c>
      <c r="K3270" s="3" t="b">
        <f>AND(F3270, J3270)</f>
        <v>0</v>
      </c>
      <c r="L3270" s="3" t="b">
        <f>AND(G3270 &lt;&gt; "plain", G3270 &lt;&gt; "")</f>
        <v>0</v>
      </c>
      <c r="M3270" s="3" t="str">
        <f>IF(E3270, C3270 &amp; "|" &amp; H3270, "")</f>
        <v>principal-knowledge-authority|StepExecutions</v>
      </c>
      <c r="N3270" s="2" t="s">
        <v>9938</v>
      </c>
    </row>
    <row r="3271">
      <c r="A3271" s="2" t="s">
        <v>13207</v>
      </c>
      <c r="B3271" s="3" t="str">
        <f>C3271 &amp; " -&gt; " &amp; D3271</f>
        <v>principal-knowledge-authority -&gt; StepExecutions.HumanConfirmationMissing</v>
      </c>
      <c r="C3271" s="2" t="s">
        <v>9708</v>
      </c>
      <c r="D3271" s="2" t="s">
        <v>3653</v>
      </c>
      <c r="E3271" s="2" t="b">
        <v>1</v>
      </c>
      <c r="F3271" s="2" t="b">
        <v>0</v>
      </c>
      <c r="G3271" s="2" t="s">
        <v>9937</v>
      </c>
      <c r="H3271" s="3" t="str">
        <f>_xlfn.IFNA(INDEX(RulebookFields!C2:C999, MATCH(D3271,RulebookFields!A2:A999, 0)), "")</f>
        <v>StepExecutions</v>
      </c>
      <c r="I3271" s="3" t="str">
        <f>_xlfn.IFNA(INDEX(RulebookFields!D2:D999, MATCH(D3271,RulebookFields!A2:A999, 0)), "")</f>
        <v>HumanConfirmationMissing</v>
      </c>
      <c r="J3271" s="3" t="b">
        <f>_xlfn.IFNA(INDEX(RulebookFields!I2:I999, MATCH(D3271,RulebookFields!A2:A999, 0)), "")</f>
        <v>1</v>
      </c>
      <c r="K3271" s="3" t="b">
        <f>AND(F3271, J3271)</f>
        <v>0</v>
      </c>
      <c r="L3271" s="3" t="b">
        <f>AND(G3271 &lt;&gt; "plain", G3271 &lt;&gt; "")</f>
        <v>0</v>
      </c>
      <c r="M3271" s="3" t="str">
        <f>IF(E3271, C3271 &amp; "|" &amp; H3271, "")</f>
        <v>principal-knowledge-authority|StepExecutions</v>
      </c>
      <c r="N3271" s="2" t="s">
        <v>9938</v>
      </c>
    </row>
    <row r="3272">
      <c r="A3272" s="2" t="s">
        <v>13208</v>
      </c>
      <c r="B3272" s="3" t="str">
        <f>C3272 &amp; " -&gt; " &amp; D3272</f>
        <v>principal-knowledge-authority -&gt; StepExecutions.DraftedFromUnusableSource</v>
      </c>
      <c r="C3272" s="2" t="s">
        <v>9708</v>
      </c>
      <c r="D3272" s="2" t="s">
        <v>3655</v>
      </c>
      <c r="E3272" s="2" t="b">
        <v>1</v>
      </c>
      <c r="F3272" s="2" t="b">
        <v>0</v>
      </c>
      <c r="G3272" s="2" t="s">
        <v>9937</v>
      </c>
      <c r="H3272" s="3" t="str">
        <f>_xlfn.IFNA(INDEX(RulebookFields!C2:C999, MATCH(D3272,RulebookFields!A2:A999, 0)), "")</f>
        <v>StepExecutions</v>
      </c>
      <c r="I3272" s="3" t="str">
        <f>_xlfn.IFNA(INDEX(RulebookFields!D2:D999, MATCH(D3272,RulebookFields!A2:A999, 0)), "")</f>
        <v>DraftedFromUnusableSource</v>
      </c>
      <c r="J3272" s="3" t="b">
        <f>_xlfn.IFNA(INDEX(RulebookFields!I2:I999, MATCH(D3272,RulebookFields!A2:A999, 0)), "")</f>
        <v>1</v>
      </c>
      <c r="K3272" s="3" t="b">
        <f>AND(F3272, J3272)</f>
        <v>0</v>
      </c>
      <c r="L3272" s="3" t="b">
        <f>AND(G3272 &lt;&gt; "plain", G3272 &lt;&gt; "")</f>
        <v>0</v>
      </c>
      <c r="M3272" s="3" t="str">
        <f>IF(E3272, C3272 &amp; "|" &amp; H3272, "")</f>
        <v>principal-knowledge-authority|StepExecutions</v>
      </c>
      <c r="N3272" s="2" t="s">
        <v>9938</v>
      </c>
    </row>
    <row r="3273">
      <c r="A3273" s="2" t="s">
        <v>13209</v>
      </c>
      <c r="B3273" s="3" t="str">
        <f>C3273 &amp; " -&gt; " &amp; D3273</f>
        <v>principal-knowledge-authority -&gt; StepExecutions.InputsWereUsable</v>
      </c>
      <c r="C3273" s="2" t="s">
        <v>9708</v>
      </c>
      <c r="D3273" s="2" t="s">
        <v>3657</v>
      </c>
      <c r="E3273" s="2" t="b">
        <v>1</v>
      </c>
      <c r="F3273" s="2" t="b">
        <v>0</v>
      </c>
      <c r="G3273" s="2" t="s">
        <v>9937</v>
      </c>
      <c r="H3273" s="3" t="str">
        <f>_xlfn.IFNA(INDEX(RulebookFields!C2:C999, MATCH(D3273,RulebookFields!A2:A999, 0)), "")</f>
        <v>StepExecutions</v>
      </c>
      <c r="I3273" s="3" t="str">
        <f>_xlfn.IFNA(INDEX(RulebookFields!D2:D999, MATCH(D3273,RulebookFields!A2:A999, 0)), "")</f>
        <v>InputsWereUsable</v>
      </c>
      <c r="J3273" s="3" t="b">
        <f>_xlfn.IFNA(INDEX(RulebookFields!I2:I999, MATCH(D3273,RulebookFields!A2:A999, 0)), "")</f>
        <v>1</v>
      </c>
      <c r="K3273" s="3" t="b">
        <f>AND(F3273, J3273)</f>
        <v>0</v>
      </c>
      <c r="L3273" s="3" t="b">
        <f>AND(G3273 &lt;&gt; "plain", G3273 &lt;&gt; "")</f>
        <v>0</v>
      </c>
      <c r="M3273" s="3" t="str">
        <f>IF(E3273, C3273 &amp; "|" &amp; H3273, "")</f>
        <v>principal-knowledge-authority|StepExecutions</v>
      </c>
      <c r="N3273" s="2" t="s">
        <v>9938</v>
      </c>
    </row>
    <row r="3274">
      <c r="A3274" s="2" t="s">
        <v>13210</v>
      </c>
      <c r="B3274" s="3" t="str">
        <f>C3274 &amp; " -&gt; " &amp; D3274</f>
        <v>principal-knowledge-authority -&gt; StepExecutions.SoftwareExecutionStepKey</v>
      </c>
      <c r="C3274" s="2" t="s">
        <v>9708</v>
      </c>
      <c r="D3274" s="2" t="s">
        <v>3659</v>
      </c>
      <c r="E3274" s="2" t="b">
        <v>1</v>
      </c>
      <c r="F3274" s="2" t="b">
        <v>0</v>
      </c>
      <c r="G3274" s="2" t="s">
        <v>9937</v>
      </c>
      <c r="H3274" s="3" t="str">
        <f>_xlfn.IFNA(INDEX(RulebookFields!C2:C999, MATCH(D3274,RulebookFields!A2:A999, 0)), "")</f>
        <v>StepExecutions</v>
      </c>
      <c r="I3274" s="3" t="str">
        <f>_xlfn.IFNA(INDEX(RulebookFields!D2:D999, MATCH(D3274,RulebookFields!A2:A999, 0)), "")</f>
        <v>SoftwareExecutionStepKey</v>
      </c>
      <c r="J3274" s="3" t="b">
        <f>_xlfn.IFNA(INDEX(RulebookFields!I2:I999, MATCH(D3274,RulebookFields!A2:A999, 0)), "")</f>
        <v>1</v>
      </c>
      <c r="K3274" s="3" t="b">
        <f>AND(F3274, J3274)</f>
        <v>0</v>
      </c>
      <c r="L3274" s="3" t="b">
        <f>AND(G3274 &lt;&gt; "plain", G3274 &lt;&gt; "")</f>
        <v>0</v>
      </c>
      <c r="M3274" s="3" t="str">
        <f>IF(E3274, C3274 &amp; "|" &amp; H3274, "")</f>
        <v>principal-knowledge-authority|StepExecutions</v>
      </c>
      <c r="N3274" s="2" t="s">
        <v>9938</v>
      </c>
    </row>
    <row r="3275">
      <c r="A3275" s="2" t="s">
        <v>13211</v>
      </c>
      <c r="B3275" s="3" t="str">
        <f>C3275 &amp; " -&gt; " &amp; D3275</f>
        <v>principal-knowledge-authority -&gt; StepExecutions.StepControlKind</v>
      </c>
      <c r="C3275" s="2" t="s">
        <v>9708</v>
      </c>
      <c r="D3275" s="2" t="s">
        <v>3661</v>
      </c>
      <c r="E3275" s="2" t="b">
        <v>1</v>
      </c>
      <c r="F3275" s="2" t="b">
        <v>0</v>
      </c>
      <c r="G3275" s="2" t="s">
        <v>9937</v>
      </c>
      <c r="H3275" s="3" t="str">
        <f>_xlfn.IFNA(INDEX(RulebookFields!C2:C999, MATCH(D3275,RulebookFields!A2:A999, 0)), "")</f>
        <v>StepExecutions</v>
      </c>
      <c r="I3275" s="3" t="str">
        <f>_xlfn.IFNA(INDEX(RulebookFields!D2:D999, MATCH(D3275,RulebookFields!A2:A999, 0)), "")</f>
        <v>StepControlKind</v>
      </c>
      <c r="J3275" s="3" t="b">
        <f>_xlfn.IFNA(INDEX(RulebookFields!I2:I999, MATCH(D3275,RulebookFields!A2:A999, 0)), "")</f>
        <v>1</v>
      </c>
      <c r="K3275" s="3" t="b">
        <f>AND(F3275, J3275)</f>
        <v>0</v>
      </c>
      <c r="L3275" s="3" t="b">
        <f>AND(G3275 &lt;&gt; "plain", G3275 &lt;&gt; "")</f>
        <v>0</v>
      </c>
      <c r="M3275" s="3" t="str">
        <f>IF(E3275, C3275 &amp; "|" &amp; H3275, "")</f>
        <v>principal-knowledge-authority|StepExecutions</v>
      </c>
      <c r="N3275" s="2" t="s">
        <v>9938</v>
      </c>
    </row>
    <row r="3276">
      <c r="A3276" s="2" t="s">
        <v>13212</v>
      </c>
      <c r="B3276" s="3" t="str">
        <f>C3276 &amp; " -&gt; " &amp; D3276</f>
        <v>principal-knowledge-authority -&gt; StepExecutions.UnfalsifiedClearanceCount</v>
      </c>
      <c r="C3276" s="2" t="s">
        <v>9708</v>
      </c>
      <c r="D3276" s="2" t="s">
        <v>3663</v>
      </c>
      <c r="E3276" s="2" t="b">
        <v>1</v>
      </c>
      <c r="F3276" s="2" t="b">
        <v>0</v>
      </c>
      <c r="G3276" s="2" t="s">
        <v>9937</v>
      </c>
      <c r="H3276" s="3" t="str">
        <f>_xlfn.IFNA(INDEX(RulebookFields!C2:C999, MATCH(D3276,RulebookFields!A2:A999, 0)), "")</f>
        <v>StepExecutions</v>
      </c>
      <c r="I3276" s="3" t="str">
        <f>_xlfn.IFNA(INDEX(RulebookFields!D2:D999, MATCH(D3276,RulebookFields!A2:A999, 0)), "")</f>
        <v>UnfalsifiedClearanceCount</v>
      </c>
      <c r="J3276" s="3" t="b">
        <f>_xlfn.IFNA(INDEX(RulebookFields!I2:I999, MATCH(D3276,RulebookFields!A2:A999, 0)), "")</f>
        <v>1</v>
      </c>
      <c r="K3276" s="3" t="b">
        <f>AND(F3276, J3276)</f>
        <v>0</v>
      </c>
      <c r="L3276" s="3" t="b">
        <f>AND(G3276 &lt;&gt; "plain", G3276 &lt;&gt; "")</f>
        <v>0</v>
      </c>
      <c r="M3276" s="3" t="str">
        <f>IF(E3276, C3276 &amp; "|" &amp; H3276, "")</f>
        <v>principal-knowledge-authority|StepExecutions</v>
      </c>
      <c r="N3276" s="2" t="s">
        <v>9938</v>
      </c>
    </row>
    <row r="3277">
      <c r="A3277" s="2" t="s">
        <v>13213</v>
      </c>
      <c r="B3277" s="3" t="str">
        <f>C3277 &amp; " -&gt; " &amp; D3277</f>
        <v>principal-knowledge-authority -&gt; StepExecutions.AllClearancesAreUnfalsified</v>
      </c>
      <c r="C3277" s="2" t="s">
        <v>9708</v>
      </c>
      <c r="D3277" s="2" t="s">
        <v>3665</v>
      </c>
      <c r="E3277" s="2" t="b">
        <v>1</v>
      </c>
      <c r="F3277" s="2" t="b">
        <v>0</v>
      </c>
      <c r="G3277" s="2" t="s">
        <v>9937</v>
      </c>
      <c r="H3277" s="3" t="str">
        <f>_xlfn.IFNA(INDEX(RulebookFields!C2:C999, MATCH(D3277,RulebookFields!A2:A999, 0)), "")</f>
        <v>StepExecutions</v>
      </c>
      <c r="I3277" s="3" t="str">
        <f>_xlfn.IFNA(INDEX(RulebookFields!D2:D999, MATCH(D3277,RulebookFields!A2:A999, 0)), "")</f>
        <v>AllClearancesAreUnfalsified</v>
      </c>
      <c r="J3277" s="3" t="b">
        <f>_xlfn.IFNA(INDEX(RulebookFields!I2:I999, MATCH(D3277,RulebookFields!A2:A999, 0)), "")</f>
        <v>1</v>
      </c>
      <c r="K3277" s="3" t="b">
        <f>AND(F3277, J3277)</f>
        <v>0</v>
      </c>
      <c r="L3277" s="3" t="b">
        <f>AND(G3277 &lt;&gt; "plain", G3277 &lt;&gt; "")</f>
        <v>0</v>
      </c>
      <c r="M3277" s="3" t="str">
        <f>IF(E3277, C3277 &amp; "|" &amp; H3277, "")</f>
        <v>principal-knowledge-authority|StepExecutions</v>
      </c>
      <c r="N3277" s="2" t="s">
        <v>9938</v>
      </c>
    </row>
    <row r="3278">
      <c r="A3278" s="2" t="s">
        <v>13214</v>
      </c>
      <c r="B3278" s="3" t="str">
        <f>C3278 &amp; " -&gt; " &amp; D3278</f>
        <v>principal-knowledge-authority -&gt; StepExecutions.StaleAtRunCount</v>
      </c>
      <c r="C3278" s="2" t="s">
        <v>9708</v>
      </c>
      <c r="D3278" s="2" t="s">
        <v>3667</v>
      </c>
      <c r="E3278" s="2" t="b">
        <v>1</v>
      </c>
      <c r="F3278" s="2" t="b">
        <v>0</v>
      </c>
      <c r="G3278" s="2" t="s">
        <v>9937</v>
      </c>
      <c r="H3278" s="3" t="str">
        <f>_xlfn.IFNA(INDEX(RulebookFields!C2:C999, MATCH(D3278,RulebookFields!A2:A999, 0)), "")</f>
        <v>StepExecutions</v>
      </c>
      <c r="I3278" s="3" t="str">
        <f>_xlfn.IFNA(INDEX(RulebookFields!D2:D999, MATCH(D3278,RulebookFields!A2:A999, 0)), "")</f>
        <v>StaleAtRunCount</v>
      </c>
      <c r="J3278" s="3" t="b">
        <f>_xlfn.IFNA(INDEX(RulebookFields!I2:I999, MATCH(D3278,RulebookFields!A2:A999, 0)), "")</f>
        <v>1</v>
      </c>
      <c r="K3278" s="3" t="b">
        <f>AND(F3278, J3278)</f>
        <v>0</v>
      </c>
      <c r="L3278" s="3" t="b">
        <f>AND(G3278 &lt;&gt; "plain", G3278 &lt;&gt; "")</f>
        <v>0</v>
      </c>
      <c r="M3278" s="3" t="str">
        <f>IF(E3278, C3278 &amp; "|" &amp; H3278, "")</f>
        <v>principal-knowledge-authority|StepExecutions</v>
      </c>
      <c r="N3278" s="2" t="s">
        <v>9938</v>
      </c>
    </row>
    <row r="3279">
      <c r="A3279" s="2" t="s">
        <v>13215</v>
      </c>
      <c r="B3279" s="3" t="str">
        <f>C3279 &amp; " -&gt; " &amp; D3279</f>
        <v>principal-knowledge-authority -&gt; StepExecutions.WasStaleWhenIRanIt</v>
      </c>
      <c r="C3279" s="2" t="s">
        <v>9708</v>
      </c>
      <c r="D3279" s="2" t="s">
        <v>3669</v>
      </c>
      <c r="E3279" s="2" t="b">
        <v>1</v>
      </c>
      <c r="F3279" s="2" t="b">
        <v>0</v>
      </c>
      <c r="G3279" s="2" t="s">
        <v>9937</v>
      </c>
      <c r="H3279" s="3" t="str">
        <f>_xlfn.IFNA(INDEX(RulebookFields!C2:C999, MATCH(D3279,RulebookFields!A2:A999, 0)), "")</f>
        <v>StepExecutions</v>
      </c>
      <c r="I3279" s="3" t="str">
        <f>_xlfn.IFNA(INDEX(RulebookFields!D2:D999, MATCH(D3279,RulebookFields!A2:A999, 0)), "")</f>
        <v>WasStaleWhenIRanIt</v>
      </c>
      <c r="J3279" s="3" t="b">
        <f>_xlfn.IFNA(INDEX(RulebookFields!I2:I999, MATCH(D3279,RulebookFields!A2:A999, 0)), "")</f>
        <v>1</v>
      </c>
      <c r="K3279" s="3" t="b">
        <f>AND(F3279, J3279)</f>
        <v>0</v>
      </c>
      <c r="L3279" s="3" t="b">
        <f>AND(G3279 &lt;&gt; "plain", G3279 &lt;&gt; "")</f>
        <v>0</v>
      </c>
      <c r="M3279" s="3" t="str">
        <f>IF(E3279, C3279 &amp; "|" &amp; H3279, "")</f>
        <v>principal-knowledge-authority|StepExecutions</v>
      </c>
      <c r="N3279" s="2" t="s">
        <v>9938</v>
      </c>
    </row>
    <row r="3280">
      <c r="A3280" s="2" t="s">
        <v>13216</v>
      </c>
      <c r="B3280" s="3" t="str">
        <f>C3280 &amp; " -&gt; " &amp; D3280</f>
        <v>principal-knowledge-authority -&gt; StepExecutions.StalenessAnswerIsTenseDependent</v>
      </c>
      <c r="C3280" s="2" t="s">
        <v>9708</v>
      </c>
      <c r="D3280" s="2" t="s">
        <v>3671</v>
      </c>
      <c r="E3280" s="2" t="b">
        <v>1</v>
      </c>
      <c r="F3280" s="2" t="b">
        <v>0</v>
      </c>
      <c r="G3280" s="2" t="s">
        <v>9937</v>
      </c>
      <c r="H3280" s="3" t="str">
        <f>_xlfn.IFNA(INDEX(RulebookFields!C2:C999, MATCH(D3280,RulebookFields!A2:A999, 0)), "")</f>
        <v>StepExecutions</v>
      </c>
      <c r="I3280" s="3" t="str">
        <f>_xlfn.IFNA(INDEX(RulebookFields!D2:D999, MATCH(D3280,RulebookFields!A2:A999, 0)), "")</f>
        <v>StalenessAnswerIsTenseDependent</v>
      </c>
      <c r="J3280" s="3" t="b">
        <f>_xlfn.IFNA(INDEX(RulebookFields!I2:I999, MATCH(D3280,RulebookFields!A2:A999, 0)), "")</f>
        <v>1</v>
      </c>
      <c r="K3280" s="3" t="b">
        <f>AND(F3280, J3280)</f>
        <v>0</v>
      </c>
      <c r="L3280" s="3" t="b">
        <f>AND(G3280 &lt;&gt; "plain", G3280 &lt;&gt; "")</f>
        <v>0</v>
      </c>
      <c r="M3280" s="3" t="str">
        <f>IF(E3280, C3280 &amp; "|" &amp; H3280, "")</f>
        <v>principal-knowledge-authority|StepExecutions</v>
      </c>
      <c r="N3280" s="2" t="s">
        <v>9938</v>
      </c>
    </row>
    <row r="3281">
      <c r="A3281" s="2" t="s">
        <v>13217</v>
      </c>
      <c r="B3281" s="3" t="str">
        <f>C3281 &amp; " -&gt; " &amp; D3281</f>
        <v>principal-knowledge-authority -&gt; StepExecutions.HasAnyDeclaredCheck</v>
      </c>
      <c r="C3281" s="2" t="s">
        <v>9708</v>
      </c>
      <c r="D3281" s="2" t="s">
        <v>3673</v>
      </c>
      <c r="E3281" s="2" t="b">
        <v>1</v>
      </c>
      <c r="F3281" s="2" t="b">
        <v>0</v>
      </c>
      <c r="G3281" s="2" t="s">
        <v>9937</v>
      </c>
      <c r="H3281" s="3" t="str">
        <f>_xlfn.IFNA(INDEX(RulebookFields!C2:C999, MATCH(D3281,RulebookFields!A2:A999, 0)), "")</f>
        <v>StepExecutions</v>
      </c>
      <c r="I3281" s="3" t="str">
        <f>_xlfn.IFNA(INDEX(RulebookFields!D2:D999, MATCH(D3281,RulebookFields!A2:A999, 0)), "")</f>
        <v>HasAnyDeclaredCheck</v>
      </c>
      <c r="J3281" s="3" t="b">
        <f>_xlfn.IFNA(INDEX(RulebookFields!I2:I999, MATCH(D3281,RulebookFields!A2:A999, 0)), "")</f>
        <v>1</v>
      </c>
      <c r="K3281" s="3" t="b">
        <f>AND(F3281, J3281)</f>
        <v>0</v>
      </c>
      <c r="L3281" s="3" t="b">
        <f>AND(G3281 &lt;&gt; "plain", G3281 &lt;&gt; "")</f>
        <v>0</v>
      </c>
      <c r="M3281" s="3" t="str">
        <f>IF(E3281, C3281 &amp; "|" &amp; H3281, "")</f>
        <v>principal-knowledge-authority|StepExecutions</v>
      </c>
      <c r="N3281" s="2" t="s">
        <v>9938</v>
      </c>
    </row>
    <row r="3282">
      <c r="A3282" s="2" t="s">
        <v>13218</v>
      </c>
      <c r="B3282" s="3" t="str">
        <f>C3282 &amp; " -&gt; " &amp; D3282</f>
        <v>principal-knowledge-authority -&gt; StepExecutions.PerformedCheckCount</v>
      </c>
      <c r="C3282" s="2" t="s">
        <v>9708</v>
      </c>
      <c r="D3282" s="2" t="s">
        <v>3675</v>
      </c>
      <c r="E3282" s="2" t="b">
        <v>1</v>
      </c>
      <c r="F3282" s="2" t="b">
        <v>0</v>
      </c>
      <c r="G3282" s="2" t="s">
        <v>9937</v>
      </c>
      <c r="H3282" s="3" t="str">
        <f>_xlfn.IFNA(INDEX(RulebookFields!C2:C999, MATCH(D3282,RulebookFields!A2:A999, 0)), "")</f>
        <v>StepExecutions</v>
      </c>
      <c r="I3282" s="3" t="str">
        <f>_xlfn.IFNA(INDEX(RulebookFields!D2:D999, MATCH(D3282,RulebookFields!A2:A999, 0)), "")</f>
        <v>PerformedCheckCount</v>
      </c>
      <c r="J3282" s="3" t="b">
        <f>_xlfn.IFNA(INDEX(RulebookFields!I2:I999, MATCH(D3282,RulebookFields!A2:A999, 0)), "")</f>
        <v>1</v>
      </c>
      <c r="K3282" s="3" t="b">
        <f>AND(F3282, J3282)</f>
        <v>0</v>
      </c>
      <c r="L3282" s="3" t="b">
        <f>AND(G3282 &lt;&gt; "plain", G3282 &lt;&gt; "")</f>
        <v>0</v>
      </c>
      <c r="M3282" s="3" t="str">
        <f>IF(E3282, C3282 &amp; "|" &amp; H3282, "")</f>
        <v>principal-knowledge-authority|StepExecutions</v>
      </c>
      <c r="N3282" s="2" t="s">
        <v>9938</v>
      </c>
    </row>
    <row r="3283">
      <c r="A3283" s="2" t="s">
        <v>13219</v>
      </c>
      <c r="B3283" s="3" t="str">
        <f>C3283 &amp; " -&gt; " &amp; D3283</f>
        <v>principal-knowledge-authority -&gt; StepExecutions.DeclaredCheckCount</v>
      </c>
      <c r="C3283" s="2" t="s">
        <v>9708</v>
      </c>
      <c r="D3283" s="2" t="s">
        <v>3677</v>
      </c>
      <c r="E3283" s="2" t="b">
        <v>1</v>
      </c>
      <c r="F3283" s="2" t="b">
        <v>0</v>
      </c>
      <c r="G3283" s="2" t="s">
        <v>9937</v>
      </c>
      <c r="H3283" s="3" t="str">
        <f>_xlfn.IFNA(INDEX(RulebookFields!C2:C999, MATCH(D3283,RulebookFields!A2:A999, 0)), "")</f>
        <v>StepExecutions</v>
      </c>
      <c r="I3283" s="3" t="str">
        <f>_xlfn.IFNA(INDEX(RulebookFields!D2:D999, MATCH(D3283,RulebookFields!A2:A999, 0)), "")</f>
        <v>DeclaredCheckCount</v>
      </c>
      <c r="J3283" s="3" t="b">
        <f>_xlfn.IFNA(INDEX(RulebookFields!I2:I999, MATCH(D3283,RulebookFields!A2:A999, 0)), "")</f>
        <v>1</v>
      </c>
      <c r="K3283" s="3" t="b">
        <f>AND(F3283, J3283)</f>
        <v>0</v>
      </c>
      <c r="L3283" s="3" t="b">
        <f>AND(G3283 &lt;&gt; "plain", G3283 &lt;&gt; "")</f>
        <v>0</v>
      </c>
      <c r="M3283" s="3" t="str">
        <f>IF(E3283, C3283 &amp; "|" &amp; H3283, "")</f>
        <v>principal-knowledge-authority|StepExecutions</v>
      </c>
      <c r="N3283" s="2" t="s">
        <v>9938</v>
      </c>
    </row>
    <row r="3284">
      <c r="A3284" s="2" t="s">
        <v>13220</v>
      </c>
      <c r="B3284" s="3" t="str">
        <f>C3284 &amp; " -&gt; " &amp; D3284</f>
        <v>principal-knowledge-authority -&gt; StepExecutions.IsUncheckedByDesign</v>
      </c>
      <c r="C3284" s="2" t="s">
        <v>9708</v>
      </c>
      <c r="D3284" s="2" t="s">
        <v>3679</v>
      </c>
      <c r="E3284" s="2" t="b">
        <v>1</v>
      </c>
      <c r="F3284" s="2" t="b">
        <v>0</v>
      </c>
      <c r="G3284" s="2" t="s">
        <v>9937</v>
      </c>
      <c r="H3284" s="3" t="str">
        <f>_xlfn.IFNA(INDEX(RulebookFields!C2:C999, MATCH(D3284,RulebookFields!A2:A999, 0)), "")</f>
        <v>StepExecutions</v>
      </c>
      <c r="I3284" s="3" t="str">
        <f>_xlfn.IFNA(INDEX(RulebookFields!D2:D999, MATCH(D3284,RulebookFields!A2:A999, 0)), "")</f>
        <v>IsUncheckedByDesign</v>
      </c>
      <c r="J3284" s="3" t="b">
        <f>_xlfn.IFNA(INDEX(RulebookFields!I2:I999, MATCH(D3284,RulebookFields!A2:A999, 0)), "")</f>
        <v>1</v>
      </c>
      <c r="K3284" s="3" t="b">
        <f>AND(F3284, J3284)</f>
        <v>0</v>
      </c>
      <c r="L3284" s="3" t="b">
        <f>AND(G3284 &lt;&gt; "plain", G3284 &lt;&gt; "")</f>
        <v>0</v>
      </c>
      <c r="M3284" s="3" t="str">
        <f>IF(E3284, C3284 &amp; "|" &amp; H3284, "")</f>
        <v>principal-knowledge-authority|StepExecutions</v>
      </c>
      <c r="N3284" s="2" t="s">
        <v>9938</v>
      </c>
    </row>
    <row r="3285">
      <c r="A3285" s="2" t="s">
        <v>13221</v>
      </c>
      <c r="B3285" s="3" t="str">
        <f>C3285 &amp; " -&gt; " &amp; D3285</f>
        <v>principal-knowledge-authority -&gt; StepExecutions.IsVacuouslyClean</v>
      </c>
      <c r="C3285" s="2" t="s">
        <v>9708</v>
      </c>
      <c r="D3285" s="2" t="s">
        <v>3681</v>
      </c>
      <c r="E3285" s="2" t="b">
        <v>1</v>
      </c>
      <c r="F3285" s="2" t="b">
        <v>0</v>
      </c>
      <c r="G3285" s="2" t="s">
        <v>9937</v>
      </c>
      <c r="H3285" s="3" t="str">
        <f>_xlfn.IFNA(INDEX(RulebookFields!C2:C999, MATCH(D3285,RulebookFields!A2:A999, 0)), "")</f>
        <v>StepExecutions</v>
      </c>
      <c r="I3285" s="3" t="str">
        <f>_xlfn.IFNA(INDEX(RulebookFields!D2:D999, MATCH(D3285,RulebookFields!A2:A999, 0)), "")</f>
        <v>IsVacuouslyClean</v>
      </c>
      <c r="J3285" s="3" t="b">
        <f>_xlfn.IFNA(INDEX(RulebookFields!I2:I999, MATCH(D3285,RulebookFields!A2:A999, 0)), "")</f>
        <v>1</v>
      </c>
      <c r="K3285" s="3" t="b">
        <f>AND(F3285, J3285)</f>
        <v>0</v>
      </c>
      <c r="L3285" s="3" t="b">
        <f>AND(G3285 &lt;&gt; "plain", G3285 &lt;&gt; "")</f>
        <v>0</v>
      </c>
      <c r="M3285" s="3" t="str">
        <f>IF(E3285, C3285 &amp; "|" &amp; H3285, "")</f>
        <v>principal-knowledge-authority|StepExecutions</v>
      </c>
      <c r="N3285" s="2" t="s">
        <v>9938</v>
      </c>
    </row>
    <row r="3286">
      <c r="A3286" s="2" t="s">
        <v>13222</v>
      </c>
      <c r="B3286" s="3" t="str">
        <f>C3286 &amp; " -&gt; " &amp; D3286</f>
        <v>principal-knowledge-authority -&gt; StepExecutions.IsSubstantivelyClean</v>
      </c>
      <c r="C3286" s="2" t="s">
        <v>9708</v>
      </c>
      <c r="D3286" s="2" t="s">
        <v>3683</v>
      </c>
      <c r="E3286" s="2" t="b">
        <v>1</v>
      </c>
      <c r="F3286" s="2" t="b">
        <v>0</v>
      </c>
      <c r="G3286" s="2" t="s">
        <v>9937</v>
      </c>
      <c r="H3286" s="3" t="str">
        <f>_xlfn.IFNA(INDEX(RulebookFields!C2:C999, MATCH(D3286,RulebookFields!A2:A999, 0)), "")</f>
        <v>StepExecutions</v>
      </c>
      <c r="I3286" s="3" t="str">
        <f>_xlfn.IFNA(INDEX(RulebookFields!D2:D999, MATCH(D3286,RulebookFields!A2:A999, 0)), "")</f>
        <v>IsSubstantivelyClean</v>
      </c>
      <c r="J3286" s="3" t="b">
        <f>_xlfn.IFNA(INDEX(RulebookFields!I2:I999, MATCH(D3286,RulebookFields!A2:A999, 0)), "")</f>
        <v>1</v>
      </c>
      <c r="K3286" s="3" t="b">
        <f>AND(F3286, J3286)</f>
        <v>0</v>
      </c>
      <c r="L3286" s="3" t="b">
        <f>AND(G3286 &lt;&gt; "plain", G3286 &lt;&gt; "")</f>
        <v>0</v>
      </c>
      <c r="M3286" s="3" t="str">
        <f>IF(E3286, C3286 &amp; "|" &amp; H3286, "")</f>
        <v>principal-knowledge-authority|StepExecutions</v>
      </c>
      <c r="N3286" s="2" t="s">
        <v>9938</v>
      </c>
    </row>
    <row r="3287">
      <c r="A3287" s="2" t="s">
        <v>13223</v>
      </c>
      <c r="B3287" s="3" t="str">
        <f>C3287 &amp; " -&gt; " &amp; D3287</f>
        <v>principal-knowledge-authority -&gt; StepExecutions.VacuouslyCleanExecutionKey</v>
      </c>
      <c r="C3287" s="2" t="s">
        <v>9708</v>
      </c>
      <c r="D3287" s="2" t="s">
        <v>3685</v>
      </c>
      <c r="E3287" s="2" t="b">
        <v>1</v>
      </c>
      <c r="F3287" s="2" t="b">
        <v>0</v>
      </c>
      <c r="G3287" s="2" t="s">
        <v>9937</v>
      </c>
      <c r="H3287" s="3" t="str">
        <f>_xlfn.IFNA(INDEX(RulebookFields!C2:C999, MATCH(D3287,RulebookFields!A2:A999, 0)), "")</f>
        <v>StepExecutions</v>
      </c>
      <c r="I3287" s="3" t="str">
        <f>_xlfn.IFNA(INDEX(RulebookFields!D2:D999, MATCH(D3287,RulebookFields!A2:A999, 0)), "")</f>
        <v>VacuouslyCleanExecutionKey</v>
      </c>
      <c r="J3287" s="3" t="b">
        <f>_xlfn.IFNA(INDEX(RulebookFields!I2:I999, MATCH(D3287,RulebookFields!A2:A999, 0)), "")</f>
        <v>1</v>
      </c>
      <c r="K3287" s="3" t="b">
        <f>AND(F3287, J3287)</f>
        <v>0</v>
      </c>
      <c r="L3287" s="3" t="b">
        <f>AND(G3287 &lt;&gt; "plain", G3287 &lt;&gt; "")</f>
        <v>0</v>
      </c>
      <c r="M3287" s="3" t="str">
        <f>IF(E3287, C3287 &amp; "|" &amp; H3287, "")</f>
        <v>principal-knowledge-authority|StepExecutions</v>
      </c>
      <c r="N3287" s="2" t="s">
        <v>9938</v>
      </c>
    </row>
    <row r="3288">
      <c r="A3288" s="2" t="s">
        <v>13224</v>
      </c>
      <c r="B3288" s="3" t="str">
        <f>C3288 &amp; " -&gt; " &amp; D3288</f>
        <v>principal-knowledge-authority -&gt; StepExecutions.UncorroboratedPassCount</v>
      </c>
      <c r="C3288" s="2" t="s">
        <v>9708</v>
      </c>
      <c r="D3288" s="2" t="s">
        <v>3687</v>
      </c>
      <c r="E3288" s="2" t="b">
        <v>1</v>
      </c>
      <c r="F3288" s="2" t="b">
        <v>0</v>
      </c>
      <c r="G3288" s="2" t="s">
        <v>9937</v>
      </c>
      <c r="H3288" s="3" t="str">
        <f>_xlfn.IFNA(INDEX(RulebookFields!C2:C999, MATCH(D3288,RulebookFields!A2:A999, 0)), "")</f>
        <v>StepExecutions</v>
      </c>
      <c r="I3288" s="3" t="str">
        <f>_xlfn.IFNA(INDEX(RulebookFields!D2:D999, MATCH(D3288,RulebookFields!A2:A999, 0)), "")</f>
        <v>UncorroboratedPassCount</v>
      </c>
      <c r="J3288" s="3" t="b">
        <f>_xlfn.IFNA(INDEX(RulebookFields!I2:I999, MATCH(D3288,RulebookFields!A2:A999, 0)), "")</f>
        <v>1</v>
      </c>
      <c r="K3288" s="3" t="b">
        <f>AND(F3288, J3288)</f>
        <v>0</v>
      </c>
      <c r="L3288" s="3" t="b">
        <f>AND(G3288 &lt;&gt; "plain", G3288 &lt;&gt; "")</f>
        <v>0</v>
      </c>
      <c r="M3288" s="3" t="str">
        <f>IF(E3288, C3288 &amp; "|" &amp; H3288, "")</f>
        <v>principal-knowledge-authority|StepExecutions</v>
      </c>
      <c r="N3288" s="2" t="s">
        <v>9938</v>
      </c>
    </row>
    <row r="3289">
      <c r="A3289" s="2" t="s">
        <v>13225</v>
      </c>
      <c r="B3289" s="3" t="str">
        <f>C3289 &amp; " -&gt; " &amp; D3289</f>
        <v>principal-knowledge-authority -&gt; StepExecutions.EvidencePositionIsWeak</v>
      </c>
      <c r="C3289" s="2" t="s">
        <v>9708</v>
      </c>
      <c r="D3289" s="2" t="s">
        <v>3689</v>
      </c>
      <c r="E3289" s="2" t="b">
        <v>1</v>
      </c>
      <c r="F3289" s="2" t="b">
        <v>0</v>
      </c>
      <c r="G3289" s="2" t="s">
        <v>9937</v>
      </c>
      <c r="H3289" s="3" t="str">
        <f>_xlfn.IFNA(INDEX(RulebookFields!C2:C999, MATCH(D3289,RulebookFields!A2:A999, 0)), "")</f>
        <v>StepExecutions</v>
      </c>
      <c r="I3289" s="3" t="str">
        <f>_xlfn.IFNA(INDEX(RulebookFields!D2:D999, MATCH(D3289,RulebookFields!A2:A999, 0)), "")</f>
        <v>EvidencePositionIsWeak</v>
      </c>
      <c r="J3289" s="3" t="b">
        <f>_xlfn.IFNA(INDEX(RulebookFields!I2:I999, MATCH(D3289,RulebookFields!A2:A999, 0)), "")</f>
        <v>1</v>
      </c>
      <c r="K3289" s="3" t="b">
        <f>AND(F3289, J3289)</f>
        <v>0</v>
      </c>
      <c r="L3289" s="3" t="b">
        <f>AND(G3289 &lt;&gt; "plain", G3289 &lt;&gt; "")</f>
        <v>0</v>
      </c>
      <c r="M3289" s="3" t="str">
        <f>IF(E3289, C3289 &amp; "|" &amp; H3289, "")</f>
        <v>principal-knowledge-authority|StepExecutions</v>
      </c>
      <c r="N3289" s="2" t="s">
        <v>9938</v>
      </c>
    </row>
    <row r="3290">
      <c r="A3290" s="2" t="s">
        <v>13226</v>
      </c>
      <c r="B3290" s="3" t="str">
        <f>C3290 &amp; " -&gt; " &amp; D3290</f>
        <v>principal-knowledge-authority -&gt; StepExecutions.PreparationExecutionKey</v>
      </c>
      <c r="C3290" s="2" t="s">
        <v>9708</v>
      </c>
      <c r="D3290" s="2" t="s">
        <v>3691</v>
      </c>
      <c r="E3290" s="2" t="b">
        <v>1</v>
      </c>
      <c r="F3290" s="2" t="b">
        <v>0</v>
      </c>
      <c r="G3290" s="2" t="s">
        <v>9937</v>
      </c>
      <c r="H3290" s="3" t="str">
        <f>_xlfn.IFNA(INDEX(RulebookFields!C2:C999, MATCH(D3290,RulebookFields!A2:A999, 0)), "")</f>
        <v>StepExecutions</v>
      </c>
      <c r="I3290" s="3" t="str">
        <f>_xlfn.IFNA(INDEX(RulebookFields!D2:D999, MATCH(D3290,RulebookFields!A2:A999, 0)), "")</f>
        <v>PreparationExecutionKey</v>
      </c>
      <c r="J3290" s="3" t="b">
        <f>_xlfn.IFNA(INDEX(RulebookFields!I2:I999, MATCH(D3290,RulebookFields!A2:A999, 0)), "")</f>
        <v>1</v>
      </c>
      <c r="K3290" s="3" t="b">
        <f>AND(F3290, J3290)</f>
        <v>0</v>
      </c>
      <c r="L3290" s="3" t="b">
        <f>AND(G3290 &lt;&gt; "plain", G3290 &lt;&gt; "")</f>
        <v>0</v>
      </c>
      <c r="M3290" s="3" t="str">
        <f>IF(E3290, C3290 &amp; "|" &amp; H3290, "")</f>
        <v>principal-knowledge-authority|StepExecutions</v>
      </c>
      <c r="N3290" s="2" t="s">
        <v>9938</v>
      </c>
    </row>
    <row r="3291">
      <c r="A3291" s="2" t="s">
        <v>13227</v>
      </c>
      <c r="B3291" s="3" t="str">
        <f>C3291 &amp; " -&gt; " &amp; D3291</f>
        <v>principal-knowledge-authority -&gt; StepExecutions.ApprovalExecutionKey</v>
      </c>
      <c r="C3291" s="2" t="s">
        <v>9708</v>
      </c>
      <c r="D3291" s="2" t="s">
        <v>3693</v>
      </c>
      <c r="E3291" s="2" t="b">
        <v>1</v>
      </c>
      <c r="F3291" s="2" t="b">
        <v>0</v>
      </c>
      <c r="G3291" s="2" t="s">
        <v>9937</v>
      </c>
      <c r="H3291" s="3" t="str">
        <f>_xlfn.IFNA(INDEX(RulebookFields!C2:C999, MATCH(D3291,RulebookFields!A2:A999, 0)), "")</f>
        <v>StepExecutions</v>
      </c>
      <c r="I3291" s="3" t="str">
        <f>_xlfn.IFNA(INDEX(RulebookFields!D2:D999, MATCH(D3291,RulebookFields!A2:A999, 0)), "")</f>
        <v>ApprovalExecutionKey</v>
      </c>
      <c r="J3291" s="3" t="b">
        <f>_xlfn.IFNA(INDEX(RulebookFields!I2:I999, MATCH(D3291,RulebookFields!A2:A999, 0)), "")</f>
        <v>1</v>
      </c>
      <c r="K3291" s="3" t="b">
        <f>AND(F3291, J3291)</f>
        <v>0</v>
      </c>
      <c r="L3291" s="3" t="b">
        <f>AND(G3291 &lt;&gt; "plain", G3291 &lt;&gt; "")</f>
        <v>0</v>
      </c>
      <c r="M3291" s="3" t="str">
        <f>IF(E3291, C3291 &amp; "|" &amp; H3291, "")</f>
        <v>principal-knowledge-authority|StepExecutions</v>
      </c>
      <c r="N3291" s="2" t="s">
        <v>9938</v>
      </c>
    </row>
    <row r="3292">
      <c r="A3292" s="2" t="s">
        <v>13228</v>
      </c>
      <c r="B3292" s="3" t="str">
        <f>C3292 &amp; " -&gt; " &amp; D3292</f>
        <v>principal-knowledge-authority -&gt; StepExecutions.HasGoverningInstrument</v>
      </c>
      <c r="C3292" s="2" t="s">
        <v>9708</v>
      </c>
      <c r="D3292" s="2" t="s">
        <v>3695</v>
      </c>
      <c r="E3292" s="2" t="b">
        <v>1</v>
      </c>
      <c r="F3292" s="2" t="b">
        <v>0</v>
      </c>
      <c r="G3292" s="2" t="s">
        <v>9937</v>
      </c>
      <c r="H3292" s="3" t="str">
        <f>_xlfn.IFNA(INDEX(RulebookFields!C2:C999, MATCH(D3292,RulebookFields!A2:A999, 0)), "")</f>
        <v>StepExecutions</v>
      </c>
      <c r="I3292" s="3" t="str">
        <f>_xlfn.IFNA(INDEX(RulebookFields!D2:D999, MATCH(D3292,RulebookFields!A2:A999, 0)), "")</f>
        <v>HasGoverningInstrument</v>
      </c>
      <c r="J3292" s="3" t="b">
        <f>_xlfn.IFNA(INDEX(RulebookFields!I2:I999, MATCH(D3292,RulebookFields!A2:A999, 0)), "")</f>
        <v>1</v>
      </c>
      <c r="K3292" s="3" t="b">
        <f>AND(F3292, J3292)</f>
        <v>0</v>
      </c>
      <c r="L3292" s="3" t="b">
        <f>AND(G3292 &lt;&gt; "plain", G3292 &lt;&gt; "")</f>
        <v>0</v>
      </c>
      <c r="M3292" s="3" t="str">
        <f>IF(E3292, C3292 &amp; "|" &amp; H3292, "")</f>
        <v>principal-knowledge-authority|StepExecutions</v>
      </c>
      <c r="N3292" s="2" t="s">
        <v>9938</v>
      </c>
    </row>
    <row r="3293">
      <c r="A3293" s="2" t="s">
        <v>13229</v>
      </c>
      <c r="B3293" s="3" t="str">
        <f>C3293 &amp; " -&gt; " &amp; D3293</f>
        <v>principal-knowledge-authority -&gt; StepExecutions.HasApprovedChangeCoverage</v>
      </c>
      <c r="C3293" s="2" t="s">
        <v>9708</v>
      </c>
      <c r="D3293" s="2" t="s">
        <v>3697</v>
      </c>
      <c r="E3293" s="2" t="b">
        <v>1</v>
      </c>
      <c r="F3293" s="2" t="b">
        <v>0</v>
      </c>
      <c r="G3293" s="2" t="s">
        <v>9937</v>
      </c>
      <c r="H3293" s="3" t="str">
        <f>_xlfn.IFNA(INDEX(RulebookFields!C2:C999, MATCH(D3293,RulebookFields!A2:A999, 0)), "")</f>
        <v>StepExecutions</v>
      </c>
      <c r="I3293" s="3" t="str">
        <f>_xlfn.IFNA(INDEX(RulebookFields!D2:D999, MATCH(D3293,RulebookFields!A2:A999, 0)), "")</f>
        <v>HasApprovedChangeCoverage</v>
      </c>
      <c r="J3293" s="3" t="b">
        <f>_xlfn.IFNA(INDEX(RulebookFields!I2:I999, MATCH(D3293,RulebookFields!A2:A999, 0)), "")</f>
        <v>1</v>
      </c>
      <c r="K3293" s="3" t="b">
        <f>AND(F3293, J3293)</f>
        <v>0</v>
      </c>
      <c r="L3293" s="3" t="b">
        <f>AND(G3293 &lt;&gt; "plain", G3293 &lt;&gt; "")</f>
        <v>0</v>
      </c>
      <c r="M3293" s="3" t="str">
        <f>IF(E3293, C3293 &amp; "|" &amp; H3293, "")</f>
        <v>principal-knowledge-authority|StepExecutions</v>
      </c>
      <c r="N3293" s="2" t="s">
        <v>9938</v>
      </c>
    </row>
    <row r="3294">
      <c r="A3294" s="2" t="s">
        <v>13230</v>
      </c>
      <c r="B3294" s="3" t="str">
        <f>C3294 &amp; " -&gt; " &amp; D3294</f>
        <v>principal-knowledge-authority -&gt; StepExecutions.VersionOfStep</v>
      </c>
      <c r="C3294" s="2" t="s">
        <v>9708</v>
      </c>
      <c r="D3294" s="2" t="s">
        <v>3699</v>
      </c>
      <c r="E3294" s="2" t="b">
        <v>1</v>
      </c>
      <c r="F3294" s="2" t="b">
        <v>0</v>
      </c>
      <c r="G3294" s="2" t="s">
        <v>9937</v>
      </c>
      <c r="H3294" s="3" t="str">
        <f>_xlfn.IFNA(INDEX(RulebookFields!C2:C999, MATCH(D3294,RulebookFields!A2:A999, 0)), "")</f>
        <v>StepExecutions</v>
      </c>
      <c r="I3294" s="3" t="str">
        <f>_xlfn.IFNA(INDEX(RulebookFields!D2:D999, MATCH(D3294,RulebookFields!A2:A999, 0)), "")</f>
        <v>VersionOfStep</v>
      </c>
      <c r="J3294" s="3" t="b">
        <f>_xlfn.IFNA(INDEX(RulebookFields!I2:I999, MATCH(D3294,RulebookFields!A2:A999, 0)), "")</f>
        <v>1</v>
      </c>
      <c r="K3294" s="3" t="b">
        <f>AND(F3294, J3294)</f>
        <v>0</v>
      </c>
      <c r="L3294" s="3" t="b">
        <f>AND(G3294 &lt;&gt; "plain", G3294 &lt;&gt; "")</f>
        <v>0</v>
      </c>
      <c r="M3294" s="3" t="str">
        <f>IF(E3294, C3294 &amp; "|" &amp; H3294, "")</f>
        <v>principal-knowledge-authority|StepExecutions</v>
      </c>
      <c r="N3294" s="2" t="s">
        <v>9938</v>
      </c>
    </row>
    <row r="3295">
      <c r="A3295" s="2" t="s">
        <v>13231</v>
      </c>
      <c r="B3295" s="3" t="str">
        <f>C3295 &amp; " -&gt; " &amp; D3295</f>
        <v>principal-knowledge-authority -&gt; StepExecutions.IsUngovernedDivergence</v>
      </c>
      <c r="C3295" s="2" t="s">
        <v>9708</v>
      </c>
      <c r="D3295" s="2" t="s">
        <v>3700</v>
      </c>
      <c r="E3295" s="2" t="b">
        <v>1</v>
      </c>
      <c r="F3295" s="2" t="b">
        <v>0</v>
      </c>
      <c r="G3295" s="2" t="s">
        <v>9937</v>
      </c>
      <c r="H3295" s="3" t="str">
        <f>_xlfn.IFNA(INDEX(RulebookFields!C2:C999, MATCH(D3295,RulebookFields!A2:A999, 0)), "")</f>
        <v>StepExecutions</v>
      </c>
      <c r="I3295" s="3" t="str">
        <f>_xlfn.IFNA(INDEX(RulebookFields!D2:D999, MATCH(D3295,RulebookFields!A2:A999, 0)), "")</f>
        <v>IsUngovernedDivergence</v>
      </c>
      <c r="J3295" s="3" t="b">
        <f>_xlfn.IFNA(INDEX(RulebookFields!I2:I999, MATCH(D3295,RulebookFields!A2:A999, 0)), "")</f>
        <v>1</v>
      </c>
      <c r="K3295" s="3" t="b">
        <f>AND(F3295, J3295)</f>
        <v>0</v>
      </c>
      <c r="L3295" s="3" t="b">
        <f>AND(G3295 &lt;&gt; "plain", G3295 &lt;&gt; "")</f>
        <v>0</v>
      </c>
      <c r="M3295" s="3" t="str">
        <f>IF(E3295, C3295 &amp; "|" &amp; H3295, "")</f>
        <v>principal-knowledge-authority|StepExecutions</v>
      </c>
      <c r="N3295" s="2" t="s">
        <v>9938</v>
      </c>
    </row>
    <row r="3296">
      <c r="A3296" s="2" t="s">
        <v>13232</v>
      </c>
      <c r="B3296" s="3" t="str">
        <f>C3296 &amp; " -&gt; " &amp; D3296</f>
        <v>principal-knowledge-authority -&gt; StepExecutions.UngovernedDivergenceExecutionKey</v>
      </c>
      <c r="C3296" s="2" t="s">
        <v>9708</v>
      </c>
      <c r="D3296" s="2" t="s">
        <v>3702</v>
      </c>
      <c r="E3296" s="2" t="b">
        <v>1</v>
      </c>
      <c r="F3296" s="2" t="b">
        <v>0</v>
      </c>
      <c r="G3296" s="2" t="s">
        <v>9937</v>
      </c>
      <c r="H3296" s="3" t="str">
        <f>_xlfn.IFNA(INDEX(RulebookFields!C2:C999, MATCH(D3296,RulebookFields!A2:A999, 0)), "")</f>
        <v>StepExecutions</v>
      </c>
      <c r="I3296" s="3" t="str">
        <f>_xlfn.IFNA(INDEX(RulebookFields!D2:D999, MATCH(D3296,RulebookFields!A2:A999, 0)), "")</f>
        <v>UngovernedDivergenceExecutionKey</v>
      </c>
      <c r="J3296" s="3" t="b">
        <f>_xlfn.IFNA(INDEX(RulebookFields!I2:I999, MATCH(D3296,RulebookFields!A2:A999, 0)), "")</f>
        <v>1</v>
      </c>
      <c r="K3296" s="3" t="b">
        <f>AND(F3296, J3296)</f>
        <v>0</v>
      </c>
      <c r="L3296" s="3" t="b">
        <f>AND(G3296 &lt;&gt; "plain", G3296 &lt;&gt; "")</f>
        <v>0</v>
      </c>
      <c r="M3296" s="3" t="str">
        <f>IF(E3296, C3296 &amp; "|" &amp; H3296, "")</f>
        <v>principal-knowledge-authority|StepExecutions</v>
      </c>
      <c r="N3296" s="2" t="s">
        <v>9938</v>
      </c>
    </row>
    <row r="3297">
      <c r="A3297" s="2" t="s">
        <v>13233</v>
      </c>
      <c r="B3297" s="3" t="str">
        <f>C3297 &amp; " -&gt; " &amp; D3297</f>
        <v>principal-knowledge-authority -&gt; StepExecutions.SelfAttestedApprovalExecutionKey</v>
      </c>
      <c r="C3297" s="2" t="s">
        <v>9708</v>
      </c>
      <c r="D3297" s="2" t="s">
        <v>3704</v>
      </c>
      <c r="E3297" s="2" t="b">
        <v>1</v>
      </c>
      <c r="F3297" s="2" t="b">
        <v>0</v>
      </c>
      <c r="G3297" s="2" t="s">
        <v>9937</v>
      </c>
      <c r="H3297" s="3" t="str">
        <f>_xlfn.IFNA(INDEX(RulebookFields!C2:C999, MATCH(D3297,RulebookFields!A2:A999, 0)), "")</f>
        <v>StepExecutions</v>
      </c>
      <c r="I3297" s="3" t="str">
        <f>_xlfn.IFNA(INDEX(RulebookFields!D2:D999, MATCH(D3297,RulebookFields!A2:A999, 0)), "")</f>
        <v>SelfAttestedApprovalExecutionKey</v>
      </c>
      <c r="J3297" s="3" t="b">
        <f>_xlfn.IFNA(INDEX(RulebookFields!I2:I999, MATCH(D3297,RulebookFields!A2:A999, 0)), "")</f>
        <v>1</v>
      </c>
      <c r="K3297" s="3" t="b">
        <f>AND(F3297, J3297)</f>
        <v>0</v>
      </c>
      <c r="L3297" s="3" t="b">
        <f>AND(G3297 &lt;&gt; "plain", G3297 &lt;&gt; "")</f>
        <v>0</v>
      </c>
      <c r="M3297" s="3" t="str">
        <f>IF(E3297, C3297 &amp; "|" &amp; H3297, "")</f>
        <v>principal-knowledge-authority|StepExecutions</v>
      </c>
      <c r="N3297" s="2" t="s">
        <v>9938</v>
      </c>
    </row>
    <row r="3298">
      <c r="A3298" s="2" t="s">
        <v>13234</v>
      </c>
      <c r="B3298" s="3" t="str">
        <f>C3298 &amp; " -&gt; " &amp; D3298</f>
        <v>principal-knowledge-authority -&gt; StepExecutions.SemanticTypeIri</v>
      </c>
      <c r="C3298" s="2" t="s">
        <v>9708</v>
      </c>
      <c r="D3298" s="2" t="s">
        <v>3706</v>
      </c>
      <c r="E3298" s="2" t="b">
        <v>1</v>
      </c>
      <c r="F3298" s="2" t="b">
        <v>0</v>
      </c>
      <c r="G3298" s="2" t="s">
        <v>9937</v>
      </c>
      <c r="H3298" s="3" t="str">
        <f>_xlfn.IFNA(INDEX(RulebookFields!C2:C999, MATCH(D3298,RulebookFields!A2:A999, 0)), "")</f>
        <v>StepExecutions</v>
      </c>
      <c r="I3298" s="3" t="str">
        <f>_xlfn.IFNA(INDEX(RulebookFields!D2:D999, MATCH(D3298,RulebookFields!A2:A999, 0)), "")</f>
        <v>SemanticTypeIri</v>
      </c>
      <c r="J3298" s="3" t="b">
        <f>_xlfn.IFNA(INDEX(RulebookFields!I2:I999, MATCH(D3298,RulebookFields!A2:A999, 0)), "")</f>
        <v>0</v>
      </c>
      <c r="K3298" s="3" t="b">
        <f>AND(F3298, J3298)</f>
        <v>0</v>
      </c>
      <c r="L3298" s="3" t="b">
        <f>AND(G3298 &lt;&gt; "plain", G3298 &lt;&gt; "")</f>
        <v>0</v>
      </c>
      <c r="M3298" s="3" t="str">
        <f>IF(E3298, C3298 &amp; "|" &amp; H3298, "")</f>
        <v>principal-knowledge-authority|StepExecutions</v>
      </c>
      <c r="N3298" s="2" t="s">
        <v>9938</v>
      </c>
    </row>
    <row r="3299">
      <c r="A3299" s="2" t="s">
        <v>13235</v>
      </c>
      <c r="B3299" s="3" t="str">
        <f>C3299 &amp; " -&gt; " &amp; D3299</f>
        <v>principal-knowledge-authority -&gt; StepFunctions.StepFunctionId</v>
      </c>
      <c r="C3299" s="2" t="s">
        <v>9708</v>
      </c>
      <c r="D3299" s="2" t="s">
        <v>2967</v>
      </c>
      <c r="E3299" s="2" t="b">
        <v>1</v>
      </c>
      <c r="F3299" s="2" t="b">
        <v>0</v>
      </c>
      <c r="G3299" s="2" t="s">
        <v>9937</v>
      </c>
      <c r="H3299" s="3" t="str">
        <f>_xlfn.IFNA(INDEX(RulebookFields!C2:C999, MATCH(D3299,RulebookFields!A2:A999, 0)), "")</f>
        <v>StepFunctions</v>
      </c>
      <c r="I3299" s="3" t="str">
        <f>_xlfn.IFNA(INDEX(RulebookFields!D2:D999, MATCH(D3299,RulebookFields!A2:A999, 0)), "")</f>
        <v>StepFunctionId</v>
      </c>
      <c r="J3299" s="3" t="b">
        <f>_xlfn.IFNA(INDEX(RulebookFields!I2:I999, MATCH(D3299,RulebookFields!A2:A999, 0)), "")</f>
        <v>0</v>
      </c>
      <c r="K3299" s="3" t="b">
        <f>AND(F3299, J3299)</f>
        <v>0</v>
      </c>
      <c r="L3299" s="3" t="b">
        <f>AND(G3299 &lt;&gt; "plain", G3299 &lt;&gt; "")</f>
        <v>0</v>
      </c>
      <c r="M3299" s="3" t="str">
        <f>IF(E3299, C3299 &amp; "|" &amp; H3299, "")</f>
        <v>principal-knowledge-authority|StepFunctions</v>
      </c>
      <c r="N3299" s="2" t="s">
        <v>9938</v>
      </c>
    </row>
    <row r="3300">
      <c r="A3300" s="2" t="s">
        <v>13236</v>
      </c>
      <c r="B3300" s="3" t="str">
        <f>C3300 &amp; " -&gt; " &amp; D3300</f>
        <v>principal-knowledge-authority -&gt; StepFunctions.Name</v>
      </c>
      <c r="C3300" s="2" t="s">
        <v>9708</v>
      </c>
      <c r="D3300" s="2" t="s">
        <v>2969</v>
      </c>
      <c r="E3300" s="2" t="b">
        <v>1</v>
      </c>
      <c r="F3300" s="2" t="b">
        <v>0</v>
      </c>
      <c r="G3300" s="2" t="s">
        <v>9937</v>
      </c>
      <c r="H3300" s="3" t="str">
        <f>_xlfn.IFNA(INDEX(RulebookFields!C2:C999, MATCH(D3300,RulebookFields!A2:A999, 0)), "")</f>
        <v>StepFunctions</v>
      </c>
      <c r="I3300" s="3" t="str">
        <f>_xlfn.IFNA(INDEX(RulebookFields!D2:D999, MATCH(D3300,RulebookFields!A2:A999, 0)), "")</f>
        <v>Name</v>
      </c>
      <c r="J3300" s="3" t="b">
        <f>_xlfn.IFNA(INDEX(RulebookFields!I2:I999, MATCH(D3300,RulebookFields!A2:A999, 0)), "")</f>
        <v>1</v>
      </c>
      <c r="K3300" s="3" t="b">
        <f>AND(F3300, J3300)</f>
        <v>0</v>
      </c>
      <c r="L3300" s="3" t="b">
        <f>AND(G3300 &lt;&gt; "plain", G3300 &lt;&gt; "")</f>
        <v>0</v>
      </c>
      <c r="M3300" s="3" t="str">
        <f>IF(E3300, C3300 &amp; "|" &amp; H3300, "")</f>
        <v>principal-knowledge-authority|StepFunctions</v>
      </c>
      <c r="N3300" s="2" t="s">
        <v>9938</v>
      </c>
    </row>
    <row r="3301">
      <c r="A3301" s="2" t="s">
        <v>13237</v>
      </c>
      <c r="B3301" s="3" t="str">
        <f>C3301 &amp; " -&gt; " &amp; D3301</f>
        <v>principal-knowledge-authority -&gt; StepFunctions.Step</v>
      </c>
      <c r="C3301" s="2" t="s">
        <v>9708</v>
      </c>
      <c r="D3301" s="2" t="s">
        <v>2971</v>
      </c>
      <c r="E3301" s="2" t="b">
        <v>1</v>
      </c>
      <c r="F3301" s="2" t="b">
        <v>0</v>
      </c>
      <c r="G3301" s="2" t="s">
        <v>9937</v>
      </c>
      <c r="H3301" s="3" t="str">
        <f>_xlfn.IFNA(INDEX(RulebookFields!C2:C999, MATCH(D3301,RulebookFields!A2:A999, 0)), "")</f>
        <v>StepFunctions</v>
      </c>
      <c r="I3301" s="3" t="str">
        <f>_xlfn.IFNA(INDEX(RulebookFields!D2:D999, MATCH(D3301,RulebookFields!A2:A999, 0)), "")</f>
        <v>Step</v>
      </c>
      <c r="J3301" s="3" t="b">
        <f>_xlfn.IFNA(INDEX(RulebookFields!I2:I999, MATCH(D3301,RulebookFields!A2:A999, 0)), "")</f>
        <v>0</v>
      </c>
      <c r="K3301" s="3" t="b">
        <f>AND(F3301, J3301)</f>
        <v>0</v>
      </c>
      <c r="L3301" s="3" t="b">
        <f>AND(G3301 &lt;&gt; "plain", G3301 &lt;&gt; "")</f>
        <v>0</v>
      </c>
      <c r="M3301" s="3" t="str">
        <f>IF(E3301, C3301 &amp; "|" &amp; H3301, "")</f>
        <v>principal-knowledge-authority|StepFunctions</v>
      </c>
      <c r="N3301" s="2" t="s">
        <v>9938</v>
      </c>
    </row>
    <row r="3302">
      <c r="A3302" s="2" t="s">
        <v>13238</v>
      </c>
      <c r="B3302" s="3" t="str">
        <f>C3302 &amp; " -&gt; " &amp; D3302</f>
        <v>principal-knowledge-authority -&gt; StepFunctions.Function</v>
      </c>
      <c r="C3302" s="2" t="s">
        <v>9708</v>
      </c>
      <c r="D3302" s="2" t="s">
        <v>2972</v>
      </c>
      <c r="E3302" s="2" t="b">
        <v>1</v>
      </c>
      <c r="F3302" s="2" t="b">
        <v>0</v>
      </c>
      <c r="G3302" s="2" t="s">
        <v>9937</v>
      </c>
      <c r="H3302" s="3" t="str">
        <f>_xlfn.IFNA(INDEX(RulebookFields!C2:C999, MATCH(D3302,RulebookFields!A2:A999, 0)), "")</f>
        <v>StepFunctions</v>
      </c>
      <c r="I3302" s="3" t="str">
        <f>_xlfn.IFNA(INDEX(RulebookFields!D2:D999, MATCH(D3302,RulebookFields!A2:A999, 0)), "")</f>
        <v>Function</v>
      </c>
      <c r="J3302" s="3" t="b">
        <f>_xlfn.IFNA(INDEX(RulebookFields!I2:I999, MATCH(D3302,RulebookFields!A2:A999, 0)), "")</f>
        <v>0</v>
      </c>
      <c r="K3302" s="3" t="b">
        <f>AND(F3302, J3302)</f>
        <v>0</v>
      </c>
      <c r="L3302" s="3" t="b">
        <f>AND(G3302 &lt;&gt; "plain", G3302 &lt;&gt; "")</f>
        <v>0</v>
      </c>
      <c r="M3302" s="3" t="str">
        <f>IF(E3302, C3302 &amp; "|" &amp; H3302, "")</f>
        <v>principal-knowledge-authority|StepFunctions</v>
      </c>
      <c r="N3302" s="2" t="s">
        <v>9938</v>
      </c>
    </row>
    <row r="3303">
      <c r="A3303" s="2" t="s">
        <v>13239</v>
      </c>
      <c r="B3303" s="3" t="str">
        <f>C3303 &amp; " -&gt; " &amp; D3303</f>
        <v>principal-knowledge-authority -&gt; StepRequirements.StepRequirementId</v>
      </c>
      <c r="C3303" s="2" t="s">
        <v>9708</v>
      </c>
      <c r="D3303" s="2" t="s">
        <v>3052</v>
      </c>
      <c r="E3303" s="2" t="b">
        <v>1</v>
      </c>
      <c r="F3303" s="2" t="b">
        <v>0</v>
      </c>
      <c r="G3303" s="2" t="s">
        <v>9937</v>
      </c>
      <c r="H3303" s="3" t="str">
        <f>_xlfn.IFNA(INDEX(RulebookFields!C2:C999, MATCH(D3303,RulebookFields!A2:A999, 0)), "")</f>
        <v>StepRequirements</v>
      </c>
      <c r="I3303" s="3" t="str">
        <f>_xlfn.IFNA(INDEX(RulebookFields!D2:D999, MATCH(D3303,RulebookFields!A2:A999, 0)), "")</f>
        <v>StepRequirementId</v>
      </c>
      <c r="J3303" s="3" t="b">
        <f>_xlfn.IFNA(INDEX(RulebookFields!I2:I999, MATCH(D3303,RulebookFields!A2:A999, 0)), "")</f>
        <v>0</v>
      </c>
      <c r="K3303" s="3" t="b">
        <f>AND(F3303, J3303)</f>
        <v>0</v>
      </c>
      <c r="L3303" s="3" t="b">
        <f>AND(G3303 &lt;&gt; "plain", G3303 &lt;&gt; "")</f>
        <v>0</v>
      </c>
      <c r="M3303" s="3" t="str">
        <f>IF(E3303, C3303 &amp; "|" &amp; H3303, "")</f>
        <v>principal-knowledge-authority|StepRequirements</v>
      </c>
      <c r="N3303" s="2" t="s">
        <v>9938</v>
      </c>
    </row>
    <row r="3304">
      <c r="A3304" s="2" t="s">
        <v>13240</v>
      </c>
      <c r="B3304" s="3" t="str">
        <f>C3304 &amp; " -&gt; " &amp; D3304</f>
        <v>principal-knowledge-authority -&gt; StepRequirements.Name</v>
      </c>
      <c r="C3304" s="2" t="s">
        <v>9708</v>
      </c>
      <c r="D3304" s="2" t="s">
        <v>3054</v>
      </c>
      <c r="E3304" s="2" t="b">
        <v>1</v>
      </c>
      <c r="F3304" s="2" t="b">
        <v>0</v>
      </c>
      <c r="G3304" s="2" t="s">
        <v>9937</v>
      </c>
      <c r="H3304" s="3" t="str">
        <f>_xlfn.IFNA(INDEX(RulebookFields!C2:C999, MATCH(D3304,RulebookFields!A2:A999, 0)), "")</f>
        <v>StepRequirements</v>
      </c>
      <c r="I3304" s="3" t="str">
        <f>_xlfn.IFNA(INDEX(RulebookFields!D2:D999, MATCH(D3304,RulebookFields!A2:A999, 0)), "")</f>
        <v>Name</v>
      </c>
      <c r="J3304" s="3" t="b">
        <f>_xlfn.IFNA(INDEX(RulebookFields!I2:I999, MATCH(D3304,RulebookFields!A2:A999, 0)), "")</f>
        <v>1</v>
      </c>
      <c r="K3304" s="3" t="b">
        <f>AND(F3304, J3304)</f>
        <v>0</v>
      </c>
      <c r="L3304" s="3" t="b">
        <f>AND(G3304 &lt;&gt; "plain", G3304 &lt;&gt; "")</f>
        <v>0</v>
      </c>
      <c r="M3304" s="3" t="str">
        <f>IF(E3304, C3304 &amp; "|" &amp; H3304, "")</f>
        <v>principal-knowledge-authority|StepRequirements</v>
      </c>
      <c r="N3304" s="2" t="s">
        <v>9938</v>
      </c>
    </row>
    <row r="3305">
      <c r="A3305" s="2" t="s">
        <v>13241</v>
      </c>
      <c r="B3305" s="3" t="str">
        <f>C3305 &amp; " -&gt; " &amp; D3305</f>
        <v>principal-knowledge-authority -&gt; StepRequirements.Step</v>
      </c>
      <c r="C3305" s="2" t="s">
        <v>9708</v>
      </c>
      <c r="D3305" s="2" t="s">
        <v>3056</v>
      </c>
      <c r="E3305" s="2" t="b">
        <v>1</v>
      </c>
      <c r="F3305" s="2" t="b">
        <v>0</v>
      </c>
      <c r="G3305" s="2" t="s">
        <v>9937</v>
      </c>
      <c r="H3305" s="3" t="str">
        <f>_xlfn.IFNA(INDEX(RulebookFields!C2:C999, MATCH(D3305,RulebookFields!A2:A999, 0)), "")</f>
        <v>StepRequirements</v>
      </c>
      <c r="I3305" s="3" t="str">
        <f>_xlfn.IFNA(INDEX(RulebookFields!D2:D999, MATCH(D3305,RulebookFields!A2:A999, 0)), "")</f>
        <v>Step</v>
      </c>
      <c r="J3305" s="3" t="b">
        <f>_xlfn.IFNA(INDEX(RulebookFields!I2:I999, MATCH(D3305,RulebookFields!A2:A999, 0)), "")</f>
        <v>0</v>
      </c>
      <c r="K3305" s="3" t="b">
        <f>AND(F3305, J3305)</f>
        <v>0</v>
      </c>
      <c r="L3305" s="3" t="b">
        <f>AND(G3305 &lt;&gt; "plain", G3305 &lt;&gt; "")</f>
        <v>0</v>
      </c>
      <c r="M3305" s="3" t="str">
        <f>IF(E3305, C3305 &amp; "|" &amp; H3305, "")</f>
        <v>principal-knowledge-authority|StepRequirements</v>
      </c>
      <c r="N3305" s="2" t="s">
        <v>9938</v>
      </c>
    </row>
    <row r="3306">
      <c r="A3306" s="2" t="s">
        <v>13242</v>
      </c>
      <c r="B3306" s="3" t="str">
        <f>C3306 &amp; " -&gt; " &amp; D3306</f>
        <v>principal-knowledge-authority -&gt; StepRequirements.Requirement</v>
      </c>
      <c r="C3306" s="2" t="s">
        <v>9708</v>
      </c>
      <c r="D3306" s="2" t="s">
        <v>3057</v>
      </c>
      <c r="E3306" s="2" t="b">
        <v>1</v>
      </c>
      <c r="F3306" s="2" t="b">
        <v>0</v>
      </c>
      <c r="G3306" s="2" t="s">
        <v>9937</v>
      </c>
      <c r="H3306" s="3" t="str">
        <f>_xlfn.IFNA(INDEX(RulebookFields!C2:C999, MATCH(D3306,RulebookFields!A2:A999, 0)), "")</f>
        <v>StepRequirements</v>
      </c>
      <c r="I3306" s="3" t="str">
        <f>_xlfn.IFNA(INDEX(RulebookFields!D2:D999, MATCH(D3306,RulebookFields!A2:A999, 0)), "")</f>
        <v>Requirement</v>
      </c>
      <c r="J3306" s="3" t="b">
        <f>_xlfn.IFNA(INDEX(RulebookFields!I2:I999, MATCH(D3306,RulebookFields!A2:A999, 0)), "")</f>
        <v>0</v>
      </c>
      <c r="K3306" s="3" t="b">
        <f>AND(F3306, J3306)</f>
        <v>0</v>
      </c>
      <c r="L3306" s="3" t="b">
        <f>AND(G3306 &lt;&gt; "plain", G3306 &lt;&gt; "")</f>
        <v>0</v>
      </c>
      <c r="M3306" s="3" t="str">
        <f>IF(E3306, C3306 &amp; "|" &amp; H3306, "")</f>
        <v>principal-knowledge-authority|StepRequirements</v>
      </c>
      <c r="N3306" s="2" t="s">
        <v>9938</v>
      </c>
    </row>
    <row r="3307">
      <c r="A3307" s="2" t="s">
        <v>13243</v>
      </c>
      <c r="B3307" s="3" t="str">
        <f>C3307 &amp; " -&gt; " &amp; D3307</f>
        <v>principal-knowledge-authority -&gt; StepRequirements.RequirementIsBlocking</v>
      </c>
      <c r="C3307" s="2" t="s">
        <v>9708</v>
      </c>
      <c r="D3307" s="2" t="s">
        <v>3058</v>
      </c>
      <c r="E3307" s="2" t="b">
        <v>1</v>
      </c>
      <c r="F3307" s="2" t="b">
        <v>0</v>
      </c>
      <c r="G3307" s="2" t="s">
        <v>9937</v>
      </c>
      <c r="H3307" s="3" t="str">
        <f>_xlfn.IFNA(INDEX(RulebookFields!C2:C999, MATCH(D3307,RulebookFields!A2:A999, 0)), "")</f>
        <v>StepRequirements</v>
      </c>
      <c r="I3307" s="3" t="str">
        <f>_xlfn.IFNA(INDEX(RulebookFields!D2:D999, MATCH(D3307,RulebookFields!A2:A999, 0)), "")</f>
        <v>RequirementIsBlocking</v>
      </c>
      <c r="J3307" s="3" t="b">
        <f>_xlfn.IFNA(INDEX(RulebookFields!I2:I999, MATCH(D3307,RulebookFields!A2:A999, 0)), "")</f>
        <v>1</v>
      </c>
      <c r="K3307" s="3" t="b">
        <f>AND(F3307, J3307)</f>
        <v>0</v>
      </c>
      <c r="L3307" s="3" t="b">
        <f>AND(G3307 &lt;&gt; "plain", G3307 &lt;&gt; "")</f>
        <v>0</v>
      </c>
      <c r="M3307" s="3" t="str">
        <f>IF(E3307, C3307 &amp; "|" &amp; H3307, "")</f>
        <v>principal-knowledge-authority|StepRequirements</v>
      </c>
      <c r="N3307" s="2" t="s">
        <v>9938</v>
      </c>
    </row>
    <row r="3308">
      <c r="A3308" s="2" t="s">
        <v>13244</v>
      </c>
      <c r="B3308" s="3" t="str">
        <f>C3308 &amp; " -&gt; " &amp; D3308</f>
        <v>principal-knowledge-authority -&gt; StepRequirements.BlockingStepKey</v>
      </c>
      <c r="C3308" s="2" t="s">
        <v>9708</v>
      </c>
      <c r="D3308" s="2" t="s">
        <v>3060</v>
      </c>
      <c r="E3308" s="2" t="b">
        <v>1</v>
      </c>
      <c r="F3308" s="2" t="b">
        <v>0</v>
      </c>
      <c r="G3308" s="2" t="s">
        <v>9937</v>
      </c>
      <c r="H3308" s="3" t="str">
        <f>_xlfn.IFNA(INDEX(RulebookFields!C2:C999, MATCH(D3308,RulebookFields!A2:A999, 0)), "")</f>
        <v>StepRequirements</v>
      </c>
      <c r="I3308" s="3" t="str">
        <f>_xlfn.IFNA(INDEX(RulebookFields!D2:D999, MATCH(D3308,RulebookFields!A2:A999, 0)), "")</f>
        <v>BlockingStepKey</v>
      </c>
      <c r="J3308" s="3" t="b">
        <f>_xlfn.IFNA(INDEX(RulebookFields!I2:I999, MATCH(D3308,RulebookFields!A2:A999, 0)), "")</f>
        <v>1</v>
      </c>
      <c r="K3308" s="3" t="b">
        <f>AND(F3308, J3308)</f>
        <v>0</v>
      </c>
      <c r="L3308" s="3" t="b">
        <f>AND(G3308 &lt;&gt; "plain", G3308 &lt;&gt; "")</f>
        <v>0</v>
      </c>
      <c r="M3308" s="3" t="str">
        <f>IF(E3308, C3308 &amp; "|" &amp; H3308, "")</f>
        <v>principal-knowledge-authority|StepRequirements</v>
      </c>
      <c r="N3308" s="2" t="s">
        <v>9938</v>
      </c>
    </row>
    <row r="3309">
      <c r="A3309" s="2" t="s">
        <v>13245</v>
      </c>
      <c r="B3309" s="3" t="str">
        <f>C3309 &amp; " -&gt; " &amp; D3309</f>
        <v>principal-knowledge-authority -&gt; StepRequirements.StepWhenBlocking</v>
      </c>
      <c r="C3309" s="2" t="s">
        <v>9708</v>
      </c>
      <c r="D3309" s="2" t="s">
        <v>3062</v>
      </c>
      <c r="E3309" s="2" t="b">
        <v>1</v>
      </c>
      <c r="F3309" s="2" t="b">
        <v>0</v>
      </c>
      <c r="G3309" s="2" t="s">
        <v>9937</v>
      </c>
      <c r="H3309" s="3" t="str">
        <f>_xlfn.IFNA(INDEX(RulebookFields!C2:C999, MATCH(D3309,RulebookFields!A2:A999, 0)), "")</f>
        <v>StepRequirements</v>
      </c>
      <c r="I3309" s="3" t="str">
        <f>_xlfn.IFNA(INDEX(RulebookFields!D2:D999, MATCH(D3309,RulebookFields!A2:A999, 0)), "")</f>
        <v>StepWhenBlocking</v>
      </c>
      <c r="J3309" s="3" t="b">
        <f>_xlfn.IFNA(INDEX(RulebookFields!I2:I999, MATCH(D3309,RulebookFields!A2:A999, 0)), "")</f>
        <v>1</v>
      </c>
      <c r="K3309" s="3" t="b">
        <f>AND(F3309, J3309)</f>
        <v>0</v>
      </c>
      <c r="L3309" s="3" t="b">
        <f>AND(G3309 &lt;&gt; "plain", G3309 &lt;&gt; "")</f>
        <v>0</v>
      </c>
      <c r="M3309" s="3" t="str">
        <f>IF(E3309, C3309 &amp; "|" &amp; H3309, "")</f>
        <v>principal-knowledge-authority|StepRequirements</v>
      </c>
      <c r="N3309" s="2" t="s">
        <v>9938</v>
      </c>
    </row>
    <row r="3310">
      <c r="A3310" s="2" t="s">
        <v>13246</v>
      </c>
      <c r="B3310" s="3" t="str">
        <f>C3310 &amp; " -&gt; " &amp; D3310</f>
        <v>principal-knowledge-authority -&gt; StepRequirements.RequirementLacksWitness</v>
      </c>
      <c r="C3310" s="2" t="s">
        <v>9708</v>
      </c>
      <c r="D3310" s="2" t="s">
        <v>3063</v>
      </c>
      <c r="E3310" s="2" t="b">
        <v>1</v>
      </c>
      <c r="F3310" s="2" t="b">
        <v>0</v>
      </c>
      <c r="G3310" s="2" t="s">
        <v>9937</v>
      </c>
      <c r="H3310" s="3" t="str">
        <f>_xlfn.IFNA(INDEX(RulebookFields!C2:C999, MATCH(D3310,RulebookFields!A2:A999, 0)), "")</f>
        <v>StepRequirements</v>
      </c>
      <c r="I3310" s="3" t="str">
        <f>_xlfn.IFNA(INDEX(RulebookFields!D2:D999, MATCH(D3310,RulebookFields!A2:A999, 0)), "")</f>
        <v>RequirementLacksWitness</v>
      </c>
      <c r="J3310" s="3" t="b">
        <f>_xlfn.IFNA(INDEX(RulebookFields!I2:I999, MATCH(D3310,RulebookFields!A2:A999, 0)), "")</f>
        <v>1</v>
      </c>
      <c r="K3310" s="3" t="b">
        <f>AND(F3310, J3310)</f>
        <v>0</v>
      </c>
      <c r="L3310" s="3" t="b">
        <f>AND(G3310 &lt;&gt; "plain", G3310 &lt;&gt; "")</f>
        <v>0</v>
      </c>
      <c r="M3310" s="3" t="str">
        <f>IF(E3310, C3310 &amp; "|" &amp; H3310, "")</f>
        <v>principal-knowledge-authority|StepRequirements</v>
      </c>
      <c r="N3310" s="2" t="s">
        <v>9938</v>
      </c>
    </row>
    <row r="3311">
      <c r="A3311" s="2" t="s">
        <v>13247</v>
      </c>
      <c r="B3311" s="3" t="str">
        <f>C3311 &amp; " -&gt; " &amp; D3311</f>
        <v>principal-knowledge-authority -&gt; StepRequirements.UnwitnessedStepKey</v>
      </c>
      <c r="C3311" s="2" t="s">
        <v>9708</v>
      </c>
      <c r="D3311" s="2" t="s">
        <v>3065</v>
      </c>
      <c r="E3311" s="2" t="b">
        <v>1</v>
      </c>
      <c r="F3311" s="2" t="b">
        <v>0</v>
      </c>
      <c r="G3311" s="2" t="s">
        <v>9937</v>
      </c>
      <c r="H3311" s="3" t="str">
        <f>_xlfn.IFNA(INDEX(RulebookFields!C2:C999, MATCH(D3311,RulebookFields!A2:A999, 0)), "")</f>
        <v>StepRequirements</v>
      </c>
      <c r="I3311" s="3" t="str">
        <f>_xlfn.IFNA(INDEX(RulebookFields!D2:D999, MATCH(D3311,RulebookFields!A2:A999, 0)), "")</f>
        <v>UnwitnessedStepKey</v>
      </c>
      <c r="J3311" s="3" t="b">
        <f>_xlfn.IFNA(INDEX(RulebookFields!I2:I999, MATCH(D3311,RulebookFields!A2:A999, 0)), "")</f>
        <v>1</v>
      </c>
      <c r="K3311" s="3" t="b">
        <f>AND(F3311, J3311)</f>
        <v>0</v>
      </c>
      <c r="L3311" s="3" t="b">
        <f>AND(G3311 &lt;&gt; "plain", G3311 &lt;&gt; "")</f>
        <v>0</v>
      </c>
      <c r="M3311" s="3" t="str">
        <f>IF(E3311, C3311 &amp; "|" &amp; H3311, "")</f>
        <v>principal-knowledge-authority|StepRequirements</v>
      </c>
      <c r="N3311" s="2" t="s">
        <v>9938</v>
      </c>
    </row>
    <row r="3312">
      <c r="A3312" s="2" t="s">
        <v>13248</v>
      </c>
      <c r="B3312" s="3" t="str">
        <f>C3312 &amp; " -&gt; " &amp; D3312</f>
        <v>principal-knowledge-authority -&gt; StepRequirements.SatisfactionCountForBinding</v>
      </c>
      <c r="C3312" s="2" t="s">
        <v>9708</v>
      </c>
      <c r="D3312" s="2" t="s">
        <v>3067</v>
      </c>
      <c r="E3312" s="2" t="b">
        <v>1</v>
      </c>
      <c r="F3312" s="2" t="b">
        <v>0</v>
      </c>
      <c r="G3312" s="2" t="s">
        <v>9937</v>
      </c>
      <c r="H3312" s="3" t="str">
        <f>_xlfn.IFNA(INDEX(RulebookFields!C2:C999, MATCH(D3312,RulebookFields!A2:A999, 0)), "")</f>
        <v>StepRequirements</v>
      </c>
      <c r="I3312" s="3" t="str">
        <f>_xlfn.IFNA(INDEX(RulebookFields!D2:D999, MATCH(D3312,RulebookFields!A2:A999, 0)), "")</f>
        <v>SatisfactionCountForBinding</v>
      </c>
      <c r="J3312" s="3" t="b">
        <f>_xlfn.IFNA(INDEX(RulebookFields!I2:I999, MATCH(D3312,RulebookFields!A2:A999, 0)), "")</f>
        <v>1</v>
      </c>
      <c r="K3312" s="3" t="b">
        <f>AND(F3312, J3312)</f>
        <v>0</v>
      </c>
      <c r="L3312" s="3" t="b">
        <f>AND(G3312 &lt;&gt; "plain", G3312 &lt;&gt; "")</f>
        <v>0</v>
      </c>
      <c r="M3312" s="3" t="str">
        <f>IF(E3312, C3312 &amp; "|" &amp; H3312, "")</f>
        <v>principal-knowledge-authority|StepRequirements</v>
      </c>
      <c r="N3312" s="2" t="s">
        <v>9938</v>
      </c>
    </row>
    <row r="3313">
      <c r="A3313" s="2" t="s">
        <v>13249</v>
      </c>
      <c r="B3313" s="3" t="str">
        <f>C3313 &amp; " -&gt; " &amp; D3313</f>
        <v>principal-knowledge-authority -&gt; StepRequirements.BindingWasEverExercised</v>
      </c>
      <c r="C3313" s="2" t="s">
        <v>9708</v>
      </c>
      <c r="D3313" s="2" t="s">
        <v>3069</v>
      </c>
      <c r="E3313" s="2" t="b">
        <v>1</v>
      </c>
      <c r="F3313" s="2" t="b">
        <v>0</v>
      </c>
      <c r="G3313" s="2" t="s">
        <v>9937</v>
      </c>
      <c r="H3313" s="3" t="str">
        <f>_xlfn.IFNA(INDEX(RulebookFields!C2:C999, MATCH(D3313,RulebookFields!A2:A999, 0)), "")</f>
        <v>StepRequirements</v>
      </c>
      <c r="I3313" s="3" t="str">
        <f>_xlfn.IFNA(INDEX(RulebookFields!D2:D999, MATCH(D3313,RulebookFields!A2:A999, 0)), "")</f>
        <v>BindingWasEverExercised</v>
      </c>
      <c r="J3313" s="3" t="b">
        <f>_xlfn.IFNA(INDEX(RulebookFields!I2:I999, MATCH(D3313,RulebookFields!A2:A999, 0)), "")</f>
        <v>1</v>
      </c>
      <c r="K3313" s="3" t="b">
        <f>AND(F3313, J3313)</f>
        <v>0</v>
      </c>
      <c r="L3313" s="3" t="b">
        <f>AND(G3313 &lt;&gt; "plain", G3313 &lt;&gt; "")</f>
        <v>0</v>
      </c>
      <c r="M3313" s="3" t="str">
        <f>IF(E3313, C3313 &amp; "|" &amp; H3313, "")</f>
        <v>principal-knowledge-authority|StepRequirements</v>
      </c>
      <c r="N3313" s="2" t="s">
        <v>9938</v>
      </c>
    </row>
    <row r="3314">
      <c r="A3314" s="2" t="s">
        <v>13250</v>
      </c>
      <c r="B3314" s="3" t="str">
        <f>C3314 &amp; " -&gt; " &amp; D3314</f>
        <v>principal-knowledge-authority -&gt; StepRequirements.IsUnexercisedBlockingBinding</v>
      </c>
      <c r="C3314" s="2" t="s">
        <v>9708</v>
      </c>
      <c r="D3314" s="2" t="s">
        <v>3071</v>
      </c>
      <c r="E3314" s="2" t="b">
        <v>1</v>
      </c>
      <c r="F3314" s="2" t="b">
        <v>0</v>
      </c>
      <c r="G3314" s="2" t="s">
        <v>9937</v>
      </c>
      <c r="H3314" s="3" t="str">
        <f>_xlfn.IFNA(INDEX(RulebookFields!C2:C999, MATCH(D3314,RulebookFields!A2:A999, 0)), "")</f>
        <v>StepRequirements</v>
      </c>
      <c r="I3314" s="3" t="str">
        <f>_xlfn.IFNA(INDEX(RulebookFields!D2:D999, MATCH(D3314,RulebookFields!A2:A999, 0)), "")</f>
        <v>IsUnexercisedBlockingBinding</v>
      </c>
      <c r="J3314" s="3" t="b">
        <f>_xlfn.IFNA(INDEX(RulebookFields!I2:I999, MATCH(D3314,RulebookFields!A2:A999, 0)), "")</f>
        <v>1</v>
      </c>
      <c r="K3314" s="3" t="b">
        <f>AND(F3314, J3314)</f>
        <v>0</v>
      </c>
      <c r="L3314" s="3" t="b">
        <f>AND(G3314 &lt;&gt; "plain", G3314 &lt;&gt; "")</f>
        <v>0</v>
      </c>
      <c r="M3314" s="3" t="str">
        <f>IF(E3314, C3314 &amp; "|" &amp; H3314, "")</f>
        <v>principal-knowledge-authority|StepRequirements</v>
      </c>
      <c r="N3314" s="2" t="s">
        <v>9938</v>
      </c>
    </row>
    <row r="3315">
      <c r="A3315" s="2" t="s">
        <v>13251</v>
      </c>
      <c r="B3315" s="3" t="str">
        <f>C3315 &amp; " -&gt; " &amp; D3315</f>
        <v>principal-knowledge-authority -&gt; StepRequirements.UnexercisedBindingRequirementKey</v>
      </c>
      <c r="C3315" s="2" t="s">
        <v>9708</v>
      </c>
      <c r="D3315" s="2" t="s">
        <v>3073</v>
      </c>
      <c r="E3315" s="2" t="b">
        <v>1</v>
      </c>
      <c r="F3315" s="2" t="b">
        <v>0</v>
      </c>
      <c r="G3315" s="2" t="s">
        <v>9937</v>
      </c>
      <c r="H3315" s="3" t="str">
        <f>_xlfn.IFNA(INDEX(RulebookFields!C2:C999, MATCH(D3315,RulebookFields!A2:A999, 0)), "")</f>
        <v>StepRequirements</v>
      </c>
      <c r="I3315" s="3" t="str">
        <f>_xlfn.IFNA(INDEX(RulebookFields!D2:D999, MATCH(D3315,RulebookFields!A2:A999, 0)), "")</f>
        <v>UnexercisedBindingRequirementKey</v>
      </c>
      <c r="J3315" s="3" t="b">
        <f>_xlfn.IFNA(INDEX(RulebookFields!I2:I999, MATCH(D3315,RulebookFields!A2:A999, 0)), "")</f>
        <v>1</v>
      </c>
      <c r="K3315" s="3" t="b">
        <f>AND(F3315, J3315)</f>
        <v>0</v>
      </c>
      <c r="L3315" s="3" t="b">
        <f>AND(G3315 &lt;&gt; "plain", G3315 &lt;&gt; "")</f>
        <v>0</v>
      </c>
      <c r="M3315" s="3" t="str">
        <f>IF(E3315, C3315 &amp; "|" &amp; H3315, "")</f>
        <v>principal-knowledge-authority|StepRequirements</v>
      </c>
      <c r="N3315" s="2" t="s">
        <v>9938</v>
      </c>
    </row>
    <row r="3316">
      <c r="A3316" s="2" t="s">
        <v>13252</v>
      </c>
      <c r="B3316" s="3" t="str">
        <f>C3316 &amp; " -&gt; " &amp; D3316</f>
        <v>principal-knowledge-authority -&gt; StepTools.StepToolId</v>
      </c>
      <c r="C3316" s="2" t="s">
        <v>9708</v>
      </c>
      <c r="D3316" s="2" t="s">
        <v>2973</v>
      </c>
      <c r="E3316" s="2" t="b">
        <v>1</v>
      </c>
      <c r="F3316" s="2" t="b">
        <v>0</v>
      </c>
      <c r="G3316" s="2" t="s">
        <v>9937</v>
      </c>
      <c r="H3316" s="3" t="str">
        <f>_xlfn.IFNA(INDEX(RulebookFields!C2:C999, MATCH(D3316,RulebookFields!A2:A999, 0)), "")</f>
        <v>StepTools</v>
      </c>
      <c r="I3316" s="3" t="str">
        <f>_xlfn.IFNA(INDEX(RulebookFields!D2:D999, MATCH(D3316,RulebookFields!A2:A999, 0)), "")</f>
        <v>StepToolId</v>
      </c>
      <c r="J3316" s="3" t="b">
        <f>_xlfn.IFNA(INDEX(RulebookFields!I2:I999, MATCH(D3316,RulebookFields!A2:A999, 0)), "")</f>
        <v>0</v>
      </c>
      <c r="K3316" s="3" t="b">
        <f>AND(F3316, J3316)</f>
        <v>0</v>
      </c>
      <c r="L3316" s="3" t="b">
        <f>AND(G3316 &lt;&gt; "plain", G3316 &lt;&gt; "")</f>
        <v>0</v>
      </c>
      <c r="M3316" s="3" t="str">
        <f>IF(E3316, C3316 &amp; "|" &amp; H3316, "")</f>
        <v>principal-knowledge-authority|StepTools</v>
      </c>
      <c r="N3316" s="2" t="s">
        <v>9938</v>
      </c>
    </row>
    <row r="3317">
      <c r="A3317" s="2" t="s">
        <v>13253</v>
      </c>
      <c r="B3317" s="3" t="str">
        <f>C3317 &amp; " -&gt; " &amp; D3317</f>
        <v>principal-knowledge-authority -&gt; StepTools.Name</v>
      </c>
      <c r="C3317" s="2" t="s">
        <v>9708</v>
      </c>
      <c r="D3317" s="2" t="s">
        <v>2975</v>
      </c>
      <c r="E3317" s="2" t="b">
        <v>1</v>
      </c>
      <c r="F3317" s="2" t="b">
        <v>0</v>
      </c>
      <c r="G3317" s="2" t="s">
        <v>9937</v>
      </c>
      <c r="H3317" s="3" t="str">
        <f>_xlfn.IFNA(INDEX(RulebookFields!C2:C999, MATCH(D3317,RulebookFields!A2:A999, 0)), "")</f>
        <v>StepTools</v>
      </c>
      <c r="I3317" s="3" t="str">
        <f>_xlfn.IFNA(INDEX(RulebookFields!D2:D999, MATCH(D3317,RulebookFields!A2:A999, 0)), "")</f>
        <v>Name</v>
      </c>
      <c r="J3317" s="3" t="b">
        <f>_xlfn.IFNA(INDEX(RulebookFields!I2:I999, MATCH(D3317,RulebookFields!A2:A999, 0)), "")</f>
        <v>1</v>
      </c>
      <c r="K3317" s="3" t="b">
        <f>AND(F3317, J3317)</f>
        <v>0</v>
      </c>
      <c r="L3317" s="3" t="b">
        <f>AND(G3317 &lt;&gt; "plain", G3317 &lt;&gt; "")</f>
        <v>0</v>
      </c>
      <c r="M3317" s="3" t="str">
        <f>IF(E3317, C3317 &amp; "|" &amp; H3317, "")</f>
        <v>principal-knowledge-authority|StepTools</v>
      </c>
      <c r="N3317" s="2" t="s">
        <v>9938</v>
      </c>
    </row>
    <row r="3318">
      <c r="A3318" s="2" t="s">
        <v>13254</v>
      </c>
      <c r="B3318" s="3" t="str">
        <f>C3318 &amp; " -&gt; " &amp; D3318</f>
        <v>principal-knowledge-authority -&gt; StepTools.Step</v>
      </c>
      <c r="C3318" s="2" t="s">
        <v>9708</v>
      </c>
      <c r="D3318" s="2" t="s">
        <v>2977</v>
      </c>
      <c r="E3318" s="2" t="b">
        <v>1</v>
      </c>
      <c r="F3318" s="2" t="b">
        <v>0</v>
      </c>
      <c r="G3318" s="2" t="s">
        <v>9937</v>
      </c>
      <c r="H3318" s="3" t="str">
        <f>_xlfn.IFNA(INDEX(RulebookFields!C2:C999, MATCH(D3318,RulebookFields!A2:A999, 0)), "")</f>
        <v>StepTools</v>
      </c>
      <c r="I3318" s="3" t="str">
        <f>_xlfn.IFNA(INDEX(RulebookFields!D2:D999, MATCH(D3318,RulebookFields!A2:A999, 0)), "")</f>
        <v>Step</v>
      </c>
      <c r="J3318" s="3" t="b">
        <f>_xlfn.IFNA(INDEX(RulebookFields!I2:I999, MATCH(D3318,RulebookFields!A2:A999, 0)), "")</f>
        <v>0</v>
      </c>
      <c r="K3318" s="3" t="b">
        <f>AND(F3318, J3318)</f>
        <v>0</v>
      </c>
      <c r="L3318" s="3" t="b">
        <f>AND(G3318 &lt;&gt; "plain", G3318 &lt;&gt; "")</f>
        <v>0</v>
      </c>
      <c r="M3318" s="3" t="str">
        <f>IF(E3318, C3318 &amp; "|" &amp; H3318, "")</f>
        <v>principal-knowledge-authority|StepTools</v>
      </c>
      <c r="N3318" s="2" t="s">
        <v>9938</v>
      </c>
    </row>
    <row r="3319">
      <c r="A3319" s="2" t="s">
        <v>13255</v>
      </c>
      <c r="B3319" s="3" t="str">
        <f>C3319 &amp; " -&gt; " &amp; D3319</f>
        <v>principal-knowledge-authority -&gt; StepTools.Tool</v>
      </c>
      <c r="C3319" s="2" t="s">
        <v>9708</v>
      </c>
      <c r="D3319" s="2" t="s">
        <v>2978</v>
      </c>
      <c r="E3319" s="2" t="b">
        <v>1</v>
      </c>
      <c r="F3319" s="2" t="b">
        <v>0</v>
      </c>
      <c r="G3319" s="2" t="s">
        <v>9937</v>
      </c>
      <c r="H3319" s="3" t="str">
        <f>_xlfn.IFNA(INDEX(RulebookFields!C2:C999, MATCH(D3319,RulebookFields!A2:A999, 0)), "")</f>
        <v>StepTools</v>
      </c>
      <c r="I3319" s="3" t="str">
        <f>_xlfn.IFNA(INDEX(RulebookFields!D2:D999, MATCH(D3319,RulebookFields!A2:A999, 0)), "")</f>
        <v>Tool</v>
      </c>
      <c r="J3319" s="3" t="b">
        <f>_xlfn.IFNA(INDEX(RulebookFields!I2:I999, MATCH(D3319,RulebookFields!A2:A999, 0)), "")</f>
        <v>0</v>
      </c>
      <c r="K3319" s="3" t="b">
        <f>AND(F3319, J3319)</f>
        <v>0</v>
      </c>
      <c r="L3319" s="3" t="b">
        <f>AND(G3319 &lt;&gt; "plain", G3319 &lt;&gt; "")</f>
        <v>0</v>
      </c>
      <c r="M3319" s="3" t="str">
        <f>IF(E3319, C3319 &amp; "|" &amp; H3319, "")</f>
        <v>principal-knowledge-authority|StepTools</v>
      </c>
      <c r="N3319" s="2" t="s">
        <v>9938</v>
      </c>
    </row>
    <row r="3320">
      <c r="A3320" s="2" t="s">
        <v>13256</v>
      </c>
      <c r="B3320" s="3" t="str">
        <f>C3320 &amp; " -&gt; " &amp; D3320</f>
        <v>principal-knowledge-authority -&gt; StepTransitions.StepTransitionId</v>
      </c>
      <c r="C3320" s="2" t="s">
        <v>9708</v>
      </c>
      <c r="D3320" s="2" t="s">
        <v>2909</v>
      </c>
      <c r="E3320" s="2" t="b">
        <v>1</v>
      </c>
      <c r="F3320" s="2" t="b">
        <v>0</v>
      </c>
      <c r="G3320" s="2" t="s">
        <v>9937</v>
      </c>
      <c r="H3320" s="3" t="str">
        <f>_xlfn.IFNA(INDEX(RulebookFields!C2:C999, MATCH(D3320,RulebookFields!A2:A999, 0)), "")</f>
        <v>StepTransitions</v>
      </c>
      <c r="I3320" s="3" t="str">
        <f>_xlfn.IFNA(INDEX(RulebookFields!D2:D999, MATCH(D3320,RulebookFields!A2:A999, 0)), "")</f>
        <v>StepTransitionId</v>
      </c>
      <c r="J3320" s="3" t="b">
        <f>_xlfn.IFNA(INDEX(RulebookFields!I2:I999, MATCH(D3320,RulebookFields!A2:A999, 0)), "")</f>
        <v>0</v>
      </c>
      <c r="K3320" s="3" t="b">
        <f>AND(F3320, J3320)</f>
        <v>0</v>
      </c>
      <c r="L3320" s="3" t="b">
        <f>AND(G3320 &lt;&gt; "plain", G3320 &lt;&gt; "")</f>
        <v>0</v>
      </c>
      <c r="M3320" s="3" t="str">
        <f>IF(E3320, C3320 &amp; "|" &amp; H3320, "")</f>
        <v>principal-knowledge-authority|StepTransitions</v>
      </c>
      <c r="N3320" s="2" t="s">
        <v>9938</v>
      </c>
    </row>
    <row r="3321">
      <c r="A3321" s="2" t="s">
        <v>13257</v>
      </c>
      <c r="B3321" s="3" t="str">
        <f>C3321 &amp; " -&gt; " &amp; D3321</f>
        <v>principal-knowledge-authority -&gt; StepTransitions.Name</v>
      </c>
      <c r="C3321" s="2" t="s">
        <v>9708</v>
      </c>
      <c r="D3321" s="2" t="s">
        <v>2910</v>
      </c>
      <c r="E3321" s="2" t="b">
        <v>1</v>
      </c>
      <c r="F3321" s="2" t="b">
        <v>0</v>
      </c>
      <c r="G3321" s="2" t="s">
        <v>9937</v>
      </c>
      <c r="H3321" s="3" t="str">
        <f>_xlfn.IFNA(INDEX(RulebookFields!C2:C999, MATCH(D3321,RulebookFields!A2:A999, 0)), "")</f>
        <v>StepTransitions</v>
      </c>
      <c r="I3321" s="3" t="str">
        <f>_xlfn.IFNA(INDEX(RulebookFields!D2:D999, MATCH(D3321,RulebookFields!A2:A999, 0)), "")</f>
        <v>Name</v>
      </c>
      <c r="J3321" s="3" t="b">
        <f>_xlfn.IFNA(INDEX(RulebookFields!I2:I999, MATCH(D3321,RulebookFields!A2:A999, 0)), "")</f>
        <v>1</v>
      </c>
      <c r="K3321" s="3" t="b">
        <f>AND(F3321, J3321)</f>
        <v>0</v>
      </c>
      <c r="L3321" s="3" t="b">
        <f>AND(G3321 &lt;&gt; "plain", G3321 &lt;&gt; "")</f>
        <v>0</v>
      </c>
      <c r="M3321" s="3" t="str">
        <f>IF(E3321, C3321 &amp; "|" &amp; H3321, "")</f>
        <v>principal-knowledge-authority|StepTransitions</v>
      </c>
      <c r="N3321" s="2" t="s">
        <v>9938</v>
      </c>
    </row>
    <row r="3322">
      <c r="A3322" s="2" t="s">
        <v>13258</v>
      </c>
      <c r="B3322" s="3" t="str">
        <f>C3322 &amp; " -&gt; " &amp; D3322</f>
        <v>principal-knowledge-authority -&gt; StepTransitions.ProcedureVersion</v>
      </c>
      <c r="C3322" s="2" t="s">
        <v>9708</v>
      </c>
      <c r="D3322" s="2" t="s">
        <v>2912</v>
      </c>
      <c r="E3322" s="2" t="b">
        <v>1</v>
      </c>
      <c r="F3322" s="2" t="b">
        <v>0</v>
      </c>
      <c r="G3322" s="2" t="s">
        <v>9937</v>
      </c>
      <c r="H3322" s="3" t="str">
        <f>_xlfn.IFNA(INDEX(RulebookFields!C2:C999, MATCH(D3322,RulebookFields!A2:A999, 0)), "")</f>
        <v>StepTransitions</v>
      </c>
      <c r="I3322" s="3" t="str">
        <f>_xlfn.IFNA(INDEX(RulebookFields!D2:D999, MATCH(D3322,RulebookFields!A2:A999, 0)), "")</f>
        <v>ProcedureVersion</v>
      </c>
      <c r="J3322" s="3" t="b">
        <f>_xlfn.IFNA(INDEX(RulebookFields!I2:I999, MATCH(D3322,RulebookFields!A2:A999, 0)), "")</f>
        <v>0</v>
      </c>
      <c r="K3322" s="3" t="b">
        <f>AND(F3322, J3322)</f>
        <v>0</v>
      </c>
      <c r="L3322" s="3" t="b">
        <f>AND(G3322 &lt;&gt; "plain", G3322 &lt;&gt; "")</f>
        <v>0</v>
      </c>
      <c r="M3322" s="3" t="str">
        <f>IF(E3322, C3322 &amp; "|" &amp; H3322, "")</f>
        <v>principal-knowledge-authority|StepTransitions</v>
      </c>
      <c r="N3322" s="2" t="s">
        <v>9938</v>
      </c>
    </row>
    <row r="3323">
      <c r="A3323" s="2" t="s">
        <v>13259</v>
      </c>
      <c r="B3323" s="3" t="str">
        <f>C3323 &amp; " -&gt; " &amp; D3323</f>
        <v>principal-knowledge-authority -&gt; StepTransitions.FromStep</v>
      </c>
      <c r="C3323" s="2" t="s">
        <v>9708</v>
      </c>
      <c r="D3323" s="2" t="s">
        <v>1767</v>
      </c>
      <c r="E3323" s="2" t="b">
        <v>1</v>
      </c>
      <c r="F3323" s="2" t="b">
        <v>0</v>
      </c>
      <c r="G3323" s="2" t="s">
        <v>9937</v>
      </c>
      <c r="H3323" s="3" t="str">
        <f>_xlfn.IFNA(INDEX(RulebookFields!C2:C999, MATCH(D3323,RulebookFields!A2:A999, 0)), "")</f>
        <v>StepTransitions</v>
      </c>
      <c r="I3323" s="3" t="str">
        <f>_xlfn.IFNA(INDEX(RulebookFields!D2:D999, MATCH(D3323,RulebookFields!A2:A999, 0)), "")</f>
        <v>FromStep</v>
      </c>
      <c r="J3323" s="3" t="b">
        <f>_xlfn.IFNA(INDEX(RulebookFields!I2:I999, MATCH(D3323,RulebookFields!A2:A999, 0)), "")</f>
        <v>0</v>
      </c>
      <c r="K3323" s="3" t="b">
        <f>AND(F3323, J3323)</f>
        <v>0</v>
      </c>
      <c r="L3323" s="3" t="b">
        <f>AND(G3323 &lt;&gt; "plain", G3323 &lt;&gt; "")</f>
        <v>0</v>
      </c>
      <c r="M3323" s="3" t="str">
        <f>IF(E3323, C3323 &amp; "|" &amp; H3323, "")</f>
        <v>principal-knowledge-authority|StepTransitions</v>
      </c>
      <c r="N3323" s="2" t="s">
        <v>9938</v>
      </c>
    </row>
    <row r="3324">
      <c r="A3324" s="2" t="s">
        <v>13260</v>
      </c>
      <c r="B3324" s="3" t="str">
        <f>C3324 &amp; " -&gt; " &amp; D3324</f>
        <v>principal-knowledge-authority -&gt; StepTransitions.ToStep</v>
      </c>
      <c r="C3324" s="2" t="s">
        <v>9708</v>
      </c>
      <c r="D3324" s="2" t="s">
        <v>1772</v>
      </c>
      <c r="E3324" s="2" t="b">
        <v>1</v>
      </c>
      <c r="F3324" s="2" t="b">
        <v>0</v>
      </c>
      <c r="G3324" s="2" t="s">
        <v>9937</v>
      </c>
      <c r="H3324" s="3" t="str">
        <f>_xlfn.IFNA(INDEX(RulebookFields!C2:C999, MATCH(D3324,RulebookFields!A2:A999, 0)), "")</f>
        <v>StepTransitions</v>
      </c>
      <c r="I3324" s="3" t="str">
        <f>_xlfn.IFNA(INDEX(RulebookFields!D2:D999, MATCH(D3324,RulebookFields!A2:A999, 0)), "")</f>
        <v>ToStep</v>
      </c>
      <c r="J3324" s="3" t="b">
        <f>_xlfn.IFNA(INDEX(RulebookFields!I2:I999, MATCH(D3324,RulebookFields!A2:A999, 0)), "")</f>
        <v>0</v>
      </c>
      <c r="K3324" s="3" t="b">
        <f>AND(F3324, J3324)</f>
        <v>0</v>
      </c>
      <c r="L3324" s="3" t="b">
        <f>AND(G3324 &lt;&gt; "plain", G3324 &lt;&gt; "")</f>
        <v>0</v>
      </c>
      <c r="M3324" s="3" t="str">
        <f>IF(E3324, C3324 &amp; "|" &amp; H3324, "")</f>
        <v>principal-knowledge-authority|StepTransitions</v>
      </c>
      <c r="N3324" s="2" t="s">
        <v>9938</v>
      </c>
    </row>
    <row r="3325">
      <c r="A3325" s="2" t="s">
        <v>13261</v>
      </c>
      <c r="B3325" s="3" t="str">
        <f>C3325 &amp; " -&gt; " &amp; D3325</f>
        <v>principal-knowledge-authority -&gt; StepTransitions.TransitionKind</v>
      </c>
      <c r="C3325" s="2" t="s">
        <v>9708</v>
      </c>
      <c r="D3325" s="2" t="s">
        <v>2913</v>
      </c>
      <c r="E3325" s="2" t="b">
        <v>1</v>
      </c>
      <c r="F3325" s="2" t="b">
        <v>0</v>
      </c>
      <c r="G3325" s="2" t="s">
        <v>9937</v>
      </c>
      <c r="H3325" s="3" t="str">
        <f>_xlfn.IFNA(INDEX(RulebookFields!C2:C999, MATCH(D3325,RulebookFields!A2:A999, 0)), "")</f>
        <v>StepTransitions</v>
      </c>
      <c r="I3325" s="3" t="str">
        <f>_xlfn.IFNA(INDEX(RulebookFields!D2:D999, MATCH(D3325,RulebookFields!A2:A999, 0)), "")</f>
        <v>TransitionKind</v>
      </c>
      <c r="J3325" s="3" t="b">
        <f>_xlfn.IFNA(INDEX(RulebookFields!I2:I999, MATCH(D3325,RulebookFields!A2:A999, 0)), "")</f>
        <v>0</v>
      </c>
      <c r="K3325" s="3" t="b">
        <f>AND(F3325, J3325)</f>
        <v>0</v>
      </c>
      <c r="L3325" s="3" t="b">
        <f>AND(G3325 &lt;&gt; "plain", G3325 &lt;&gt; "")</f>
        <v>0</v>
      </c>
      <c r="M3325" s="3" t="str">
        <f>IF(E3325, C3325 &amp; "|" &amp; H3325, "")</f>
        <v>principal-knowledge-authority|StepTransitions</v>
      </c>
      <c r="N3325" s="2" t="s">
        <v>9938</v>
      </c>
    </row>
    <row r="3326">
      <c r="A3326" s="2" t="s">
        <v>13262</v>
      </c>
      <c r="B3326" s="3" t="str">
        <f>C3326 &amp; " -&gt; " &amp; D3326</f>
        <v>principal-knowledge-authority -&gt; StepTransitions.Condition</v>
      </c>
      <c r="C3326" s="2" t="s">
        <v>9708</v>
      </c>
      <c r="D3326" s="2" t="s">
        <v>2914</v>
      </c>
      <c r="E3326" s="2" t="b">
        <v>1</v>
      </c>
      <c r="F3326" s="2" t="b">
        <v>0</v>
      </c>
      <c r="G3326" s="2" t="s">
        <v>9937</v>
      </c>
      <c r="H3326" s="3" t="str">
        <f>_xlfn.IFNA(INDEX(RulebookFields!C2:C999, MATCH(D3326,RulebookFields!A2:A999, 0)), "")</f>
        <v>StepTransitions</v>
      </c>
      <c r="I3326" s="3" t="str">
        <f>_xlfn.IFNA(INDEX(RulebookFields!D2:D999, MATCH(D3326,RulebookFields!A2:A999, 0)), "")</f>
        <v>Condition</v>
      </c>
      <c r="J3326" s="3" t="b">
        <f>_xlfn.IFNA(INDEX(RulebookFields!I2:I999, MATCH(D3326,RulebookFields!A2:A999, 0)), "")</f>
        <v>0</v>
      </c>
      <c r="K3326" s="3" t="b">
        <f>AND(F3326, J3326)</f>
        <v>0</v>
      </c>
      <c r="L3326" s="3" t="b">
        <f>AND(G3326 &lt;&gt; "plain", G3326 &lt;&gt; "")</f>
        <v>0</v>
      </c>
      <c r="M3326" s="3" t="str">
        <f>IF(E3326, C3326 &amp; "|" &amp; H3326, "")</f>
        <v>principal-knowledge-authority|StepTransitions</v>
      </c>
      <c r="N3326" s="2" t="s">
        <v>9938</v>
      </c>
    </row>
    <row r="3327">
      <c r="A3327" s="2" t="s">
        <v>13263</v>
      </c>
      <c r="B3327" s="3" t="str">
        <f>C3327 &amp; " -&gt; " &amp; D3327</f>
        <v>principal-knowledge-authority -&gt; StepTransitions.Priority</v>
      </c>
      <c r="C3327" s="2" t="s">
        <v>9708</v>
      </c>
      <c r="D3327" s="2" t="s">
        <v>2915</v>
      </c>
      <c r="E3327" s="2" t="b">
        <v>1</v>
      </c>
      <c r="F3327" s="2" t="b">
        <v>0</v>
      </c>
      <c r="G3327" s="2" t="s">
        <v>9937</v>
      </c>
      <c r="H3327" s="3" t="str">
        <f>_xlfn.IFNA(INDEX(RulebookFields!C2:C999, MATCH(D3327,RulebookFields!A2:A999, 0)), "")</f>
        <v>StepTransitions</v>
      </c>
      <c r="I3327" s="3" t="str">
        <f>_xlfn.IFNA(INDEX(RulebookFields!D2:D999, MATCH(D3327,RulebookFields!A2:A999, 0)), "")</f>
        <v>Priority</v>
      </c>
      <c r="J3327" s="3" t="b">
        <f>_xlfn.IFNA(INDEX(RulebookFields!I2:I999, MATCH(D3327,RulebookFields!A2:A999, 0)), "")</f>
        <v>0</v>
      </c>
      <c r="K3327" s="3" t="b">
        <f>AND(F3327, J3327)</f>
        <v>0</v>
      </c>
      <c r="L3327" s="3" t="b">
        <f>AND(G3327 &lt;&gt; "plain", G3327 &lt;&gt; "")</f>
        <v>0</v>
      </c>
      <c r="M3327" s="3" t="str">
        <f>IF(E3327, C3327 &amp; "|" &amp; H3327, "")</f>
        <v>principal-knowledge-authority|StepTransitions</v>
      </c>
      <c r="N3327" s="2" t="s">
        <v>9938</v>
      </c>
    </row>
    <row r="3328">
      <c r="A3328" s="2" t="s">
        <v>13264</v>
      </c>
      <c r="B3328" s="3" t="str">
        <f>C3328 &amp; " -&gt; " &amp; D3328</f>
        <v>principal-knowledge-authority -&gt; StepTransitions.IsRecoveryPath</v>
      </c>
      <c r="C3328" s="2" t="s">
        <v>9708</v>
      </c>
      <c r="D3328" s="2" t="s">
        <v>2916</v>
      </c>
      <c r="E3328" s="2" t="b">
        <v>1</v>
      </c>
      <c r="F3328" s="2" t="b">
        <v>0</v>
      </c>
      <c r="G3328" s="2" t="s">
        <v>9937</v>
      </c>
      <c r="H3328" s="3" t="str">
        <f>_xlfn.IFNA(INDEX(RulebookFields!C2:C999, MATCH(D3328,RulebookFields!A2:A999, 0)), "")</f>
        <v>StepTransitions</v>
      </c>
      <c r="I3328" s="3" t="str">
        <f>_xlfn.IFNA(INDEX(RulebookFields!D2:D999, MATCH(D3328,RulebookFields!A2:A999, 0)), "")</f>
        <v>IsRecoveryPath</v>
      </c>
      <c r="J3328" s="3" t="b">
        <f>_xlfn.IFNA(INDEX(RulebookFields!I2:I999, MATCH(D3328,RulebookFields!A2:A999, 0)), "")</f>
        <v>1</v>
      </c>
      <c r="K3328" s="3" t="b">
        <f>AND(F3328, J3328)</f>
        <v>0</v>
      </c>
      <c r="L3328" s="3" t="b">
        <f>AND(G3328 &lt;&gt; "plain", G3328 &lt;&gt; "")</f>
        <v>0</v>
      </c>
      <c r="M3328" s="3" t="str">
        <f>IF(E3328, C3328 &amp; "|" &amp; H3328, "")</f>
        <v>principal-knowledge-authority|StepTransitions</v>
      </c>
      <c r="N3328" s="2" t="s">
        <v>9938</v>
      </c>
    </row>
    <row r="3329">
      <c r="A3329" s="2" t="s">
        <v>13265</v>
      </c>
      <c r="B3329" s="3" t="str">
        <f>C3329 &amp; " -&gt; " &amp; D3329</f>
        <v>principal-knowledge-authority -&gt; StepTransitions.CountOfFromStepExecutions</v>
      </c>
      <c r="C3329" s="2" t="s">
        <v>9708</v>
      </c>
      <c r="D3329" s="2" t="s">
        <v>2918</v>
      </c>
      <c r="E3329" s="2" t="b">
        <v>1</v>
      </c>
      <c r="F3329" s="2" t="b">
        <v>0</v>
      </c>
      <c r="G3329" s="2" t="s">
        <v>9937</v>
      </c>
      <c r="H3329" s="3" t="str">
        <f>_xlfn.IFNA(INDEX(RulebookFields!C2:C999, MATCH(D3329,RulebookFields!A2:A999, 0)), "")</f>
        <v>StepTransitions</v>
      </c>
      <c r="I3329" s="3" t="str">
        <f>_xlfn.IFNA(INDEX(RulebookFields!D2:D999, MATCH(D3329,RulebookFields!A2:A999, 0)), "")</f>
        <v>CountOfFromStepExecutions</v>
      </c>
      <c r="J3329" s="3" t="b">
        <f>_xlfn.IFNA(INDEX(RulebookFields!I2:I999, MATCH(D3329,RulebookFields!A2:A999, 0)), "")</f>
        <v>1</v>
      </c>
      <c r="K3329" s="3" t="b">
        <f>AND(F3329, J3329)</f>
        <v>0</v>
      </c>
      <c r="L3329" s="3" t="b">
        <f>AND(G3329 &lt;&gt; "plain", G3329 &lt;&gt; "")</f>
        <v>0</v>
      </c>
      <c r="M3329" s="3" t="str">
        <f>IF(E3329, C3329 &amp; "|" &amp; H3329, "")</f>
        <v>principal-knowledge-authority|StepTransitions</v>
      </c>
      <c r="N3329" s="2" t="s">
        <v>9938</v>
      </c>
    </row>
    <row r="3330">
      <c r="A3330" s="2" t="s">
        <v>13266</v>
      </c>
      <c r="B3330" s="3" t="str">
        <f>C3330 &amp; " -&gt; " &amp; D3330</f>
        <v>principal-knowledge-authority -&gt; StepTransitions.CountOfToStepExecutions</v>
      </c>
      <c r="C3330" s="2" t="s">
        <v>9708</v>
      </c>
      <c r="D3330" s="2" t="s">
        <v>2920</v>
      </c>
      <c r="E3330" s="2" t="b">
        <v>1</v>
      </c>
      <c r="F3330" s="2" t="b">
        <v>0</v>
      </c>
      <c r="G3330" s="2" t="s">
        <v>9937</v>
      </c>
      <c r="H3330" s="3" t="str">
        <f>_xlfn.IFNA(INDEX(RulebookFields!C2:C999, MATCH(D3330,RulebookFields!A2:A999, 0)), "")</f>
        <v>StepTransitions</v>
      </c>
      <c r="I3330" s="3" t="str">
        <f>_xlfn.IFNA(INDEX(RulebookFields!D2:D999, MATCH(D3330,RulebookFields!A2:A999, 0)), "")</f>
        <v>CountOfToStepExecutions</v>
      </c>
      <c r="J3330" s="3" t="b">
        <f>_xlfn.IFNA(INDEX(RulebookFields!I2:I999, MATCH(D3330,RulebookFields!A2:A999, 0)), "")</f>
        <v>1</v>
      </c>
      <c r="K3330" s="3" t="b">
        <f>AND(F3330, J3330)</f>
        <v>0</v>
      </c>
      <c r="L3330" s="3" t="b">
        <f>AND(G3330 &lt;&gt; "plain", G3330 &lt;&gt; "")</f>
        <v>0</v>
      </c>
      <c r="M3330" s="3" t="str">
        <f>IF(E3330, C3330 &amp; "|" &amp; H3330, "")</f>
        <v>principal-knowledge-authority|StepTransitions</v>
      </c>
      <c r="N3330" s="2" t="s">
        <v>9938</v>
      </c>
    </row>
    <row r="3331">
      <c r="A3331" s="2" t="s">
        <v>13267</v>
      </c>
      <c r="B3331" s="3" t="str">
        <f>C3331 &amp; " -&gt; " &amp; D3331</f>
        <v>principal-knowledge-authority -&gt; StepTransitions.HasReachableOrigin</v>
      </c>
      <c r="C3331" s="2" t="s">
        <v>9708</v>
      </c>
      <c r="D3331" s="2" t="s">
        <v>2922</v>
      </c>
      <c r="E3331" s="2" t="b">
        <v>1</v>
      </c>
      <c r="F3331" s="2" t="b">
        <v>0</v>
      </c>
      <c r="G3331" s="2" t="s">
        <v>9937</v>
      </c>
      <c r="H3331" s="3" t="str">
        <f>_xlfn.IFNA(INDEX(RulebookFields!C2:C999, MATCH(D3331,RulebookFields!A2:A999, 0)), "")</f>
        <v>StepTransitions</v>
      </c>
      <c r="I3331" s="3" t="str">
        <f>_xlfn.IFNA(INDEX(RulebookFields!D2:D999, MATCH(D3331,RulebookFields!A2:A999, 0)), "")</f>
        <v>HasReachableOrigin</v>
      </c>
      <c r="J3331" s="3" t="b">
        <f>_xlfn.IFNA(INDEX(RulebookFields!I2:I999, MATCH(D3331,RulebookFields!A2:A999, 0)), "")</f>
        <v>1</v>
      </c>
      <c r="K3331" s="3" t="b">
        <f>AND(F3331, J3331)</f>
        <v>0</v>
      </c>
      <c r="L3331" s="3" t="b">
        <f>AND(G3331 &lt;&gt; "plain", G3331 &lt;&gt; "")</f>
        <v>0</v>
      </c>
      <c r="M3331" s="3" t="str">
        <f>IF(E3331, C3331 &amp; "|" &amp; H3331, "")</f>
        <v>principal-knowledge-authority|StepTransitions</v>
      </c>
      <c r="N3331" s="2" t="s">
        <v>9938</v>
      </c>
    </row>
    <row r="3332">
      <c r="A3332" s="2" t="s">
        <v>13268</v>
      </c>
      <c r="B3332" s="3" t="str">
        <f>C3332 &amp; " -&gt; " &amp; D3332</f>
        <v>principal-knowledge-authority -&gt; StepTransitions.HasReachableTarget</v>
      </c>
      <c r="C3332" s="2" t="s">
        <v>9708</v>
      </c>
      <c r="D3332" s="2" t="s">
        <v>2924</v>
      </c>
      <c r="E3332" s="2" t="b">
        <v>1</v>
      </c>
      <c r="F3332" s="2" t="b">
        <v>0</v>
      </c>
      <c r="G3332" s="2" t="s">
        <v>9937</v>
      </c>
      <c r="H3332" s="3" t="str">
        <f>_xlfn.IFNA(INDEX(RulebookFields!C2:C999, MATCH(D3332,RulebookFields!A2:A999, 0)), "")</f>
        <v>StepTransitions</v>
      </c>
      <c r="I3332" s="3" t="str">
        <f>_xlfn.IFNA(INDEX(RulebookFields!D2:D999, MATCH(D3332,RulebookFields!A2:A999, 0)), "")</f>
        <v>HasReachableTarget</v>
      </c>
      <c r="J3332" s="3" t="b">
        <f>_xlfn.IFNA(INDEX(RulebookFields!I2:I999, MATCH(D3332,RulebookFields!A2:A999, 0)), "")</f>
        <v>1</v>
      </c>
      <c r="K3332" s="3" t="b">
        <f>AND(F3332, J3332)</f>
        <v>0</v>
      </c>
      <c r="L3332" s="3" t="b">
        <f>AND(G3332 &lt;&gt; "plain", G3332 &lt;&gt; "")</f>
        <v>0</v>
      </c>
      <c r="M3332" s="3" t="str">
        <f>IF(E3332, C3332 &amp; "|" &amp; H3332, "")</f>
        <v>principal-knowledge-authority|StepTransitions</v>
      </c>
      <c r="N3332" s="2" t="s">
        <v>9938</v>
      </c>
    </row>
    <row r="3333">
      <c r="A3333" s="2" t="s">
        <v>13269</v>
      </c>
      <c r="B3333" s="3" t="str">
        <f>C3333 &amp; " -&gt; " &amp; D3333</f>
        <v>principal-knowledge-authority -&gt; StepTransitions.IsNeverExercised</v>
      </c>
      <c r="C3333" s="2" t="s">
        <v>9708</v>
      </c>
      <c r="D3333" s="2" t="s">
        <v>2926</v>
      </c>
      <c r="E3333" s="2" t="b">
        <v>1</v>
      </c>
      <c r="F3333" s="2" t="b">
        <v>0</v>
      </c>
      <c r="G3333" s="2" t="s">
        <v>9937</v>
      </c>
      <c r="H3333" s="3" t="str">
        <f>_xlfn.IFNA(INDEX(RulebookFields!C2:C999, MATCH(D3333,RulebookFields!A2:A999, 0)), "")</f>
        <v>StepTransitions</v>
      </c>
      <c r="I3333" s="3" t="str">
        <f>_xlfn.IFNA(INDEX(RulebookFields!D2:D999, MATCH(D3333,RulebookFields!A2:A999, 0)), "")</f>
        <v>IsNeverExercised</v>
      </c>
      <c r="J3333" s="3" t="b">
        <f>_xlfn.IFNA(INDEX(RulebookFields!I2:I999, MATCH(D3333,RulebookFields!A2:A999, 0)), "")</f>
        <v>1</v>
      </c>
      <c r="K3333" s="3" t="b">
        <f>AND(F3333, J3333)</f>
        <v>0</v>
      </c>
      <c r="L3333" s="3" t="b">
        <f>AND(G3333 &lt;&gt; "plain", G3333 &lt;&gt; "")</f>
        <v>0</v>
      </c>
      <c r="M3333" s="3" t="str">
        <f>IF(E3333, C3333 &amp; "|" &amp; H3333, "")</f>
        <v>principal-knowledge-authority|StepTransitions</v>
      </c>
      <c r="N3333" s="2" t="s">
        <v>9938</v>
      </c>
    </row>
    <row r="3334">
      <c r="A3334" s="2" t="s">
        <v>13270</v>
      </c>
      <c r="B3334" s="3" t="str">
        <f>C3334 &amp; " -&gt; " &amp; D3334</f>
        <v>principal-knowledge-authority -&gt; StepTransitions.IsUntestedRecoveryPath</v>
      </c>
      <c r="C3334" s="2" t="s">
        <v>9708</v>
      </c>
      <c r="D3334" s="2" t="s">
        <v>2928</v>
      </c>
      <c r="E3334" s="2" t="b">
        <v>1</v>
      </c>
      <c r="F3334" s="2" t="b">
        <v>0</v>
      </c>
      <c r="G3334" s="2" t="s">
        <v>9937</v>
      </c>
      <c r="H3334" s="3" t="str">
        <f>_xlfn.IFNA(INDEX(RulebookFields!C2:C999, MATCH(D3334,RulebookFields!A2:A999, 0)), "")</f>
        <v>StepTransitions</v>
      </c>
      <c r="I3334" s="3" t="str">
        <f>_xlfn.IFNA(INDEX(RulebookFields!D2:D999, MATCH(D3334,RulebookFields!A2:A999, 0)), "")</f>
        <v>IsUntestedRecoveryPath</v>
      </c>
      <c r="J3334" s="3" t="b">
        <f>_xlfn.IFNA(INDEX(RulebookFields!I2:I999, MATCH(D3334,RulebookFields!A2:A999, 0)), "")</f>
        <v>1</v>
      </c>
      <c r="K3334" s="3" t="b">
        <f>AND(F3334, J3334)</f>
        <v>0</v>
      </c>
      <c r="L3334" s="3" t="b">
        <f>AND(G3334 &lt;&gt; "plain", G3334 &lt;&gt; "")</f>
        <v>0</v>
      </c>
      <c r="M3334" s="3" t="str">
        <f>IF(E3334, C3334 &amp; "|" &amp; H3334, "")</f>
        <v>principal-knowledge-authority|StepTransitions</v>
      </c>
      <c r="N3334" s="2" t="s">
        <v>9938</v>
      </c>
    </row>
    <row r="3335">
      <c r="A3335" s="2" t="s">
        <v>13271</v>
      </c>
      <c r="B3335" s="3" t="str">
        <f>C3335 &amp; " -&gt; " &amp; D3335</f>
        <v>principal-knowledge-authority -&gt; StepTransitions.CountOfObservedTraversals</v>
      </c>
      <c r="C3335" s="2" t="s">
        <v>9708</v>
      </c>
      <c r="D3335" s="2" t="s">
        <v>2930</v>
      </c>
      <c r="E3335" s="2" t="b">
        <v>1</v>
      </c>
      <c r="F3335" s="2" t="b">
        <v>0</v>
      </c>
      <c r="G3335" s="2" t="s">
        <v>9937</v>
      </c>
      <c r="H3335" s="3" t="str">
        <f>_xlfn.IFNA(INDEX(RulebookFields!C2:C999, MATCH(D3335,RulebookFields!A2:A999, 0)), "")</f>
        <v>StepTransitions</v>
      </c>
      <c r="I3335" s="3" t="str">
        <f>_xlfn.IFNA(INDEX(RulebookFields!D2:D999, MATCH(D3335,RulebookFields!A2:A999, 0)), "")</f>
        <v>CountOfObservedTraversals</v>
      </c>
      <c r="J3335" s="3" t="b">
        <f>_xlfn.IFNA(INDEX(RulebookFields!I2:I999, MATCH(D3335,RulebookFields!A2:A999, 0)), "")</f>
        <v>1</v>
      </c>
      <c r="K3335" s="3" t="b">
        <f>AND(F3335, J3335)</f>
        <v>0</v>
      </c>
      <c r="L3335" s="3" t="b">
        <f>AND(G3335 &lt;&gt; "plain", G3335 &lt;&gt; "")</f>
        <v>0</v>
      </c>
      <c r="M3335" s="3" t="str">
        <f>IF(E3335, C3335 &amp; "|" &amp; H3335, "")</f>
        <v>principal-knowledge-authority|StepTransitions</v>
      </c>
      <c r="N3335" s="2" t="s">
        <v>9938</v>
      </c>
    </row>
    <row r="3336">
      <c r="A3336" s="2" t="s">
        <v>13272</v>
      </c>
      <c r="B3336" s="3" t="str">
        <f>C3336 &amp; " -&gt; " &amp; D3336</f>
        <v>principal-knowledge-authority -&gt; StepTransitions.HasBeenTraversed</v>
      </c>
      <c r="C3336" s="2" t="s">
        <v>9708</v>
      </c>
      <c r="D3336" s="2" t="s">
        <v>2932</v>
      </c>
      <c r="E3336" s="2" t="b">
        <v>1</v>
      </c>
      <c r="F3336" s="2" t="b">
        <v>0</v>
      </c>
      <c r="G3336" s="2" t="s">
        <v>9937</v>
      </c>
      <c r="H3336" s="3" t="str">
        <f>_xlfn.IFNA(INDEX(RulebookFields!C2:C999, MATCH(D3336,RulebookFields!A2:A999, 0)), "")</f>
        <v>StepTransitions</v>
      </c>
      <c r="I3336" s="3" t="str">
        <f>_xlfn.IFNA(INDEX(RulebookFields!D2:D999, MATCH(D3336,RulebookFields!A2:A999, 0)), "")</f>
        <v>HasBeenTraversed</v>
      </c>
      <c r="J3336" s="3" t="b">
        <f>_xlfn.IFNA(INDEX(RulebookFields!I2:I999, MATCH(D3336,RulebookFields!A2:A999, 0)), "")</f>
        <v>1</v>
      </c>
      <c r="K3336" s="3" t="b">
        <f>AND(F3336, J3336)</f>
        <v>0</v>
      </c>
      <c r="L3336" s="3" t="b">
        <f>AND(G3336 &lt;&gt; "plain", G3336 &lt;&gt; "")</f>
        <v>0</v>
      </c>
      <c r="M3336" s="3" t="str">
        <f>IF(E3336, C3336 &amp; "|" &amp; H3336, "")</f>
        <v>principal-knowledge-authority|StepTransitions</v>
      </c>
      <c r="N3336" s="2" t="s">
        <v>9938</v>
      </c>
    </row>
    <row r="3337">
      <c r="A3337" s="2" t="s">
        <v>13273</v>
      </c>
      <c r="B3337" s="3" t="str">
        <f>C3337 &amp; " -&gt; " &amp; D3337</f>
        <v>principal-knowledge-authority -&gt; StepTransitions.IsUnwalkedRecoveryPath</v>
      </c>
      <c r="C3337" s="2" t="s">
        <v>9708</v>
      </c>
      <c r="D3337" s="2" t="s">
        <v>2934</v>
      </c>
      <c r="E3337" s="2" t="b">
        <v>1</v>
      </c>
      <c r="F3337" s="2" t="b">
        <v>0</v>
      </c>
      <c r="G3337" s="2" t="s">
        <v>9937</v>
      </c>
      <c r="H3337" s="3" t="str">
        <f>_xlfn.IFNA(INDEX(RulebookFields!C2:C999, MATCH(D3337,RulebookFields!A2:A999, 0)), "")</f>
        <v>StepTransitions</v>
      </c>
      <c r="I3337" s="3" t="str">
        <f>_xlfn.IFNA(INDEX(RulebookFields!D2:D999, MATCH(D3337,RulebookFields!A2:A999, 0)), "")</f>
        <v>IsUnwalkedRecoveryPath</v>
      </c>
      <c r="J3337" s="3" t="b">
        <f>_xlfn.IFNA(INDEX(RulebookFields!I2:I999, MATCH(D3337,RulebookFields!A2:A999, 0)), "")</f>
        <v>1</v>
      </c>
      <c r="K3337" s="3" t="b">
        <f>AND(F3337, J3337)</f>
        <v>0</v>
      </c>
      <c r="L3337" s="3" t="b">
        <f>AND(G3337 &lt;&gt; "plain", G3337 &lt;&gt; "")</f>
        <v>0</v>
      </c>
      <c r="M3337" s="3" t="str">
        <f>IF(E3337, C3337 &amp; "|" &amp; H3337, "")</f>
        <v>principal-knowledge-authority|StepTransitions</v>
      </c>
      <c r="N3337" s="2" t="s">
        <v>9938</v>
      </c>
    </row>
    <row r="3338">
      <c r="A3338" s="2" t="s">
        <v>13274</v>
      </c>
      <c r="B3338" s="3" t="str">
        <f>C3338 &amp; " -&gt; " &amp; D3338</f>
        <v>principal-knowledge-authority -&gt; StepTransitions.TargetBlockingRequirementCount</v>
      </c>
      <c r="C3338" s="2" t="s">
        <v>9708</v>
      </c>
      <c r="D3338" s="2" t="s">
        <v>2936</v>
      </c>
      <c r="E3338" s="2" t="b">
        <v>1</v>
      </c>
      <c r="F3338" s="2" t="b">
        <v>0</v>
      </c>
      <c r="G3338" s="2" t="s">
        <v>9937</v>
      </c>
      <c r="H3338" s="3" t="str">
        <f>_xlfn.IFNA(INDEX(RulebookFields!C2:C999, MATCH(D3338,RulebookFields!A2:A999, 0)), "")</f>
        <v>StepTransitions</v>
      </c>
      <c r="I3338" s="3" t="str">
        <f>_xlfn.IFNA(INDEX(RulebookFields!D2:D999, MATCH(D3338,RulebookFields!A2:A999, 0)), "")</f>
        <v>TargetBlockingRequirementCount</v>
      </c>
      <c r="J3338" s="3" t="b">
        <f>_xlfn.IFNA(INDEX(RulebookFields!I2:I999, MATCH(D3338,RulebookFields!A2:A999, 0)), "")</f>
        <v>1</v>
      </c>
      <c r="K3338" s="3" t="b">
        <f>AND(F3338, J3338)</f>
        <v>0</v>
      </c>
      <c r="L3338" s="3" t="b">
        <f>AND(G3338 &lt;&gt; "plain", G3338 &lt;&gt; "")</f>
        <v>0</v>
      </c>
      <c r="M3338" s="3" t="str">
        <f>IF(E3338, C3338 &amp; "|" &amp; H3338, "")</f>
        <v>principal-knowledge-authority|StepTransitions</v>
      </c>
      <c r="N3338" s="2" t="s">
        <v>9938</v>
      </c>
    </row>
    <row r="3339">
      <c r="A3339" s="2" t="s">
        <v>13275</v>
      </c>
      <c r="B3339" s="3" t="str">
        <f>C3339 &amp; " -&gt; " &amp; D3339</f>
        <v>principal-knowledge-authority -&gt; StepTransitions.TargetCarriesBlockingControl</v>
      </c>
      <c r="C3339" s="2" t="s">
        <v>9708</v>
      </c>
      <c r="D3339" s="2" t="s">
        <v>2938</v>
      </c>
      <c r="E3339" s="2" t="b">
        <v>1</v>
      </c>
      <c r="F3339" s="2" t="b">
        <v>0</v>
      </c>
      <c r="G3339" s="2" t="s">
        <v>9937</v>
      </c>
      <c r="H3339" s="3" t="str">
        <f>_xlfn.IFNA(INDEX(RulebookFields!C2:C999, MATCH(D3339,RulebookFields!A2:A999, 0)), "")</f>
        <v>StepTransitions</v>
      </c>
      <c r="I3339" s="3" t="str">
        <f>_xlfn.IFNA(INDEX(RulebookFields!D2:D999, MATCH(D3339,RulebookFields!A2:A999, 0)), "")</f>
        <v>TargetCarriesBlockingControl</v>
      </c>
      <c r="J3339" s="3" t="b">
        <f>_xlfn.IFNA(INDEX(RulebookFields!I2:I999, MATCH(D3339,RulebookFields!A2:A999, 0)), "")</f>
        <v>1</v>
      </c>
      <c r="K3339" s="3" t="b">
        <f>AND(F3339, J3339)</f>
        <v>0</v>
      </c>
      <c r="L3339" s="3" t="b">
        <f>AND(G3339 &lt;&gt; "plain", G3339 &lt;&gt; "")</f>
        <v>0</v>
      </c>
      <c r="M3339" s="3" t="str">
        <f>IF(E3339, C3339 &amp; "|" &amp; H3339, "")</f>
        <v>principal-knowledge-authority|StepTransitions</v>
      </c>
      <c r="N3339" s="2" t="s">
        <v>9938</v>
      </c>
    </row>
    <row r="3340">
      <c r="A3340" s="2" t="s">
        <v>13276</v>
      </c>
      <c r="B3340" s="3" t="str">
        <f>C3340 &amp; " -&gt; " &amp; D3340</f>
        <v>principal-knowledge-authority -&gt; StepTransitions.IsUnrehearsedControlEntry</v>
      </c>
      <c r="C3340" s="2" t="s">
        <v>9708</v>
      </c>
      <c r="D3340" s="2" t="s">
        <v>2940</v>
      </c>
      <c r="E3340" s="2" t="b">
        <v>1</v>
      </c>
      <c r="F3340" s="2" t="b">
        <v>0</v>
      </c>
      <c r="G3340" s="2" t="s">
        <v>9937</v>
      </c>
      <c r="H3340" s="3" t="str">
        <f>_xlfn.IFNA(INDEX(RulebookFields!C2:C999, MATCH(D3340,RulebookFields!A2:A999, 0)), "")</f>
        <v>StepTransitions</v>
      </c>
      <c r="I3340" s="3" t="str">
        <f>_xlfn.IFNA(INDEX(RulebookFields!D2:D999, MATCH(D3340,RulebookFields!A2:A999, 0)), "")</f>
        <v>IsUnrehearsedControlEntry</v>
      </c>
      <c r="J3340" s="3" t="b">
        <f>_xlfn.IFNA(INDEX(RulebookFields!I2:I999, MATCH(D3340,RulebookFields!A2:A999, 0)), "")</f>
        <v>1</v>
      </c>
      <c r="K3340" s="3" t="b">
        <f>AND(F3340, J3340)</f>
        <v>0</v>
      </c>
      <c r="L3340" s="3" t="b">
        <f>AND(G3340 &lt;&gt; "plain", G3340 &lt;&gt; "")</f>
        <v>0</v>
      </c>
      <c r="M3340" s="3" t="str">
        <f>IF(E3340, C3340 &amp; "|" &amp; H3340, "")</f>
        <v>principal-knowledge-authority|StepTransitions</v>
      </c>
      <c r="N3340" s="2" t="s">
        <v>9938</v>
      </c>
    </row>
    <row r="3341">
      <c r="A3341" s="2" t="s">
        <v>13277</v>
      </c>
      <c r="B3341" s="3" t="str">
        <f>C3341 &amp; " -&gt; " &amp; D3341</f>
        <v>principal-knowledge-authority -&gt; StepTransitions.UnrehearsedControlVersionKey</v>
      </c>
      <c r="C3341" s="2" t="s">
        <v>9708</v>
      </c>
      <c r="D3341" s="2" t="s">
        <v>2942</v>
      </c>
      <c r="E3341" s="2" t="b">
        <v>1</v>
      </c>
      <c r="F3341" s="2" t="b">
        <v>0</v>
      </c>
      <c r="G3341" s="2" t="s">
        <v>9937</v>
      </c>
      <c r="H3341" s="3" t="str">
        <f>_xlfn.IFNA(INDEX(RulebookFields!C2:C999, MATCH(D3341,RulebookFields!A2:A999, 0)), "")</f>
        <v>StepTransitions</v>
      </c>
      <c r="I3341" s="3" t="str">
        <f>_xlfn.IFNA(INDEX(RulebookFields!D2:D999, MATCH(D3341,RulebookFields!A2:A999, 0)), "")</f>
        <v>UnrehearsedControlVersionKey</v>
      </c>
      <c r="J3341" s="3" t="b">
        <f>_xlfn.IFNA(INDEX(RulebookFields!I2:I999, MATCH(D3341,RulebookFields!A2:A999, 0)), "")</f>
        <v>1</v>
      </c>
      <c r="K3341" s="3" t="b">
        <f>AND(F3341, J3341)</f>
        <v>0</v>
      </c>
      <c r="L3341" s="3" t="b">
        <f>AND(G3341 &lt;&gt; "plain", G3341 &lt;&gt; "")</f>
        <v>0</v>
      </c>
      <c r="M3341" s="3" t="str">
        <f>IF(E3341, C3341 &amp; "|" &amp; H3341, "")</f>
        <v>principal-knowledge-authority|StepTransitions</v>
      </c>
      <c r="N3341" s="2" t="s">
        <v>9938</v>
      </c>
    </row>
    <row r="3342">
      <c r="A3342" s="2" t="s">
        <v>13278</v>
      </c>
      <c r="B3342" s="3" t="str">
        <f>C3342 &amp; " -&gt; " &amp; D3342</f>
        <v>principal-knowledge-authority -&gt; StepTransitions.SemanticTypeIri</v>
      </c>
      <c r="C3342" s="2" t="s">
        <v>9708</v>
      </c>
      <c r="D3342" s="2" t="s">
        <v>2944</v>
      </c>
      <c r="E3342" s="2" t="b">
        <v>1</v>
      </c>
      <c r="F3342" s="2" t="b">
        <v>0</v>
      </c>
      <c r="G3342" s="2" t="s">
        <v>9937</v>
      </c>
      <c r="H3342" s="3" t="str">
        <f>_xlfn.IFNA(INDEX(RulebookFields!C2:C999, MATCH(D3342,RulebookFields!A2:A999, 0)), "")</f>
        <v>StepTransitions</v>
      </c>
      <c r="I3342" s="3" t="str">
        <f>_xlfn.IFNA(INDEX(RulebookFields!D2:D999, MATCH(D3342,RulebookFields!A2:A999, 0)), "")</f>
        <v>SemanticTypeIri</v>
      </c>
      <c r="J3342" s="3" t="b">
        <f>_xlfn.IFNA(INDEX(RulebookFields!I2:I999, MATCH(D3342,RulebookFields!A2:A999, 0)), "")</f>
        <v>0</v>
      </c>
      <c r="K3342" s="3" t="b">
        <f>AND(F3342, J3342)</f>
        <v>0</v>
      </c>
      <c r="L3342" s="3" t="b">
        <f>AND(G3342 &lt;&gt; "plain", G3342 &lt;&gt; "")</f>
        <v>0</v>
      </c>
      <c r="M3342" s="3" t="str">
        <f>IF(E3342, C3342 &amp; "|" &amp; H3342, "")</f>
        <v>principal-knowledge-authority|StepTransitions</v>
      </c>
      <c r="N3342" s="2" t="s">
        <v>9938</v>
      </c>
    </row>
    <row r="3343">
      <c r="A3343" s="2" t="s">
        <v>13279</v>
      </c>
      <c r="B3343" s="3" t="str">
        <f>C3343 &amp; " -&gt; " &amp; D3343</f>
        <v>principal-knowledge-authority -&gt; StepVerifications.StepVerificationId</v>
      </c>
      <c r="C3343" s="2" t="s">
        <v>9708</v>
      </c>
      <c r="D3343" s="2" t="s">
        <v>3075</v>
      </c>
      <c r="E3343" s="2" t="b">
        <v>1</v>
      </c>
      <c r="F3343" s="2" t="b">
        <v>0</v>
      </c>
      <c r="G3343" s="2" t="s">
        <v>9937</v>
      </c>
      <c r="H3343" s="3" t="str">
        <f>_xlfn.IFNA(INDEX(RulebookFields!C2:C999, MATCH(D3343,RulebookFields!A2:A999, 0)), "")</f>
        <v>StepVerifications</v>
      </c>
      <c r="I3343" s="3" t="str">
        <f>_xlfn.IFNA(INDEX(RulebookFields!D2:D999, MATCH(D3343,RulebookFields!A2:A999, 0)), "")</f>
        <v>StepVerificationId</v>
      </c>
      <c r="J3343" s="3" t="b">
        <f>_xlfn.IFNA(INDEX(RulebookFields!I2:I999, MATCH(D3343,RulebookFields!A2:A999, 0)), "")</f>
        <v>0</v>
      </c>
      <c r="K3343" s="3" t="b">
        <f>AND(F3343, J3343)</f>
        <v>0</v>
      </c>
      <c r="L3343" s="3" t="b">
        <f>AND(G3343 &lt;&gt; "plain", G3343 &lt;&gt; "")</f>
        <v>0</v>
      </c>
      <c r="M3343" s="3" t="str">
        <f>IF(E3343, C3343 &amp; "|" &amp; H3343, "")</f>
        <v>principal-knowledge-authority|StepVerifications</v>
      </c>
      <c r="N3343" s="2" t="s">
        <v>9938</v>
      </c>
    </row>
    <row r="3344">
      <c r="A3344" s="2" t="s">
        <v>13280</v>
      </c>
      <c r="B3344" s="3" t="str">
        <f>C3344 &amp; " -&gt; " &amp; D3344</f>
        <v>principal-knowledge-authority -&gt; StepVerifications.Name</v>
      </c>
      <c r="C3344" s="2" t="s">
        <v>9708</v>
      </c>
      <c r="D3344" s="2" t="s">
        <v>3076</v>
      </c>
      <c r="E3344" s="2" t="b">
        <v>1</v>
      </c>
      <c r="F3344" s="2" t="b">
        <v>0</v>
      </c>
      <c r="G3344" s="2" t="s">
        <v>9937</v>
      </c>
      <c r="H3344" s="3" t="str">
        <f>_xlfn.IFNA(INDEX(RulebookFields!C2:C999, MATCH(D3344,RulebookFields!A2:A999, 0)), "")</f>
        <v>StepVerifications</v>
      </c>
      <c r="I3344" s="3" t="str">
        <f>_xlfn.IFNA(INDEX(RulebookFields!D2:D999, MATCH(D3344,RulebookFields!A2:A999, 0)), "")</f>
        <v>Name</v>
      </c>
      <c r="J3344" s="3" t="b">
        <f>_xlfn.IFNA(INDEX(RulebookFields!I2:I999, MATCH(D3344,RulebookFields!A2:A999, 0)), "")</f>
        <v>1</v>
      </c>
      <c r="K3344" s="3" t="b">
        <f>AND(F3344, J3344)</f>
        <v>0</v>
      </c>
      <c r="L3344" s="3" t="b">
        <f>AND(G3344 &lt;&gt; "plain", G3344 &lt;&gt; "")</f>
        <v>0</v>
      </c>
      <c r="M3344" s="3" t="str">
        <f>IF(E3344, C3344 &amp; "|" &amp; H3344, "")</f>
        <v>principal-knowledge-authority|StepVerifications</v>
      </c>
      <c r="N3344" s="2" t="s">
        <v>9938</v>
      </c>
    </row>
    <row r="3345">
      <c r="A3345" s="2" t="s">
        <v>13281</v>
      </c>
      <c r="B3345" s="3" t="str">
        <f>C3345 &amp; " -&gt; " &amp; D3345</f>
        <v>principal-knowledge-authority -&gt; StepVerifications.Step</v>
      </c>
      <c r="C3345" s="2" t="s">
        <v>9708</v>
      </c>
      <c r="D3345" s="2" t="s">
        <v>3078</v>
      </c>
      <c r="E3345" s="2" t="b">
        <v>1</v>
      </c>
      <c r="F3345" s="2" t="b">
        <v>0</v>
      </c>
      <c r="G3345" s="2" t="s">
        <v>9937</v>
      </c>
      <c r="H3345" s="3" t="str">
        <f>_xlfn.IFNA(INDEX(RulebookFields!C2:C999, MATCH(D3345,RulebookFields!A2:A999, 0)), "")</f>
        <v>StepVerifications</v>
      </c>
      <c r="I3345" s="3" t="str">
        <f>_xlfn.IFNA(INDEX(RulebookFields!D2:D999, MATCH(D3345,RulebookFields!A2:A999, 0)), "")</f>
        <v>Step</v>
      </c>
      <c r="J3345" s="3" t="b">
        <f>_xlfn.IFNA(INDEX(RulebookFields!I2:I999, MATCH(D3345,RulebookFields!A2:A999, 0)), "")</f>
        <v>0</v>
      </c>
      <c r="K3345" s="3" t="b">
        <f>AND(F3345, J3345)</f>
        <v>0</v>
      </c>
      <c r="L3345" s="3" t="b">
        <f>AND(G3345 &lt;&gt; "plain", G3345 &lt;&gt; "")</f>
        <v>0</v>
      </c>
      <c r="M3345" s="3" t="str">
        <f>IF(E3345, C3345 &amp; "|" &amp; H3345, "")</f>
        <v>principal-knowledge-authority|StepVerifications</v>
      </c>
      <c r="N3345" s="2" t="s">
        <v>9938</v>
      </c>
    </row>
    <row r="3346">
      <c r="A3346" s="2" t="s">
        <v>13282</v>
      </c>
      <c r="B3346" s="3" t="str">
        <f>C3346 &amp; " -&gt; " &amp; D3346</f>
        <v>principal-knowledge-authority -&gt; StepVerifications.VerificationKind</v>
      </c>
      <c r="C3346" s="2" t="s">
        <v>9708</v>
      </c>
      <c r="D3346" s="2" t="s">
        <v>3079</v>
      </c>
      <c r="E3346" s="2" t="b">
        <v>1</v>
      </c>
      <c r="F3346" s="2" t="b">
        <v>0</v>
      </c>
      <c r="G3346" s="2" t="s">
        <v>9937</v>
      </c>
      <c r="H3346" s="3" t="str">
        <f>_xlfn.IFNA(INDEX(RulebookFields!C2:C999, MATCH(D3346,RulebookFields!A2:A999, 0)), "")</f>
        <v>StepVerifications</v>
      </c>
      <c r="I3346" s="3" t="str">
        <f>_xlfn.IFNA(INDEX(RulebookFields!D2:D999, MATCH(D3346,RulebookFields!A2:A999, 0)), "")</f>
        <v>VerificationKind</v>
      </c>
      <c r="J3346" s="3" t="b">
        <f>_xlfn.IFNA(INDEX(RulebookFields!I2:I999, MATCH(D3346,RulebookFields!A2:A999, 0)), "")</f>
        <v>0</v>
      </c>
      <c r="K3346" s="3" t="b">
        <f>AND(F3346, J3346)</f>
        <v>0</v>
      </c>
      <c r="L3346" s="3" t="b">
        <f>AND(G3346 &lt;&gt; "plain", G3346 &lt;&gt; "")</f>
        <v>0</v>
      </c>
      <c r="M3346" s="3" t="str">
        <f>IF(E3346, C3346 &amp; "|" &amp; H3346, "")</f>
        <v>principal-knowledge-authority|StepVerifications</v>
      </c>
      <c r="N3346" s="2" t="s">
        <v>9938</v>
      </c>
    </row>
    <row r="3347">
      <c r="A3347" s="2" t="s">
        <v>13283</v>
      </c>
      <c r="B3347" s="3" t="str">
        <f>C3347 &amp; " -&gt; " &amp; D3347</f>
        <v>principal-knowledge-authority -&gt; StepVerifications.SignalIdentifier</v>
      </c>
      <c r="C3347" s="2" t="s">
        <v>9708</v>
      </c>
      <c r="D3347" s="2" t="s">
        <v>3080</v>
      </c>
      <c r="E3347" s="2" t="b">
        <v>1</v>
      </c>
      <c r="F3347" s="2" t="b">
        <v>0</v>
      </c>
      <c r="G3347" s="2" t="s">
        <v>9937</v>
      </c>
      <c r="H3347" s="3" t="str">
        <f>_xlfn.IFNA(INDEX(RulebookFields!C2:C999, MATCH(D3347,RulebookFields!A2:A999, 0)), "")</f>
        <v>StepVerifications</v>
      </c>
      <c r="I3347" s="3" t="str">
        <f>_xlfn.IFNA(INDEX(RulebookFields!D2:D999, MATCH(D3347,RulebookFields!A2:A999, 0)), "")</f>
        <v>SignalIdentifier</v>
      </c>
      <c r="J3347" s="3" t="b">
        <f>_xlfn.IFNA(INDEX(RulebookFields!I2:I999, MATCH(D3347,RulebookFields!A2:A999, 0)), "")</f>
        <v>0</v>
      </c>
      <c r="K3347" s="3" t="b">
        <f>AND(F3347, J3347)</f>
        <v>0</v>
      </c>
      <c r="L3347" s="3" t="b">
        <f>AND(G3347 &lt;&gt; "plain", G3347 &lt;&gt; "")</f>
        <v>0</v>
      </c>
      <c r="M3347" s="3" t="str">
        <f>IF(E3347, C3347 &amp; "|" &amp; H3347, "")</f>
        <v>principal-knowledge-authority|StepVerifications</v>
      </c>
      <c r="N3347" s="2" t="s">
        <v>9938</v>
      </c>
    </row>
    <row r="3348">
      <c r="A3348" s="2" t="s">
        <v>13284</v>
      </c>
      <c r="B3348" s="3" t="str">
        <f>C3348 &amp; " -&gt; " &amp; D3348</f>
        <v>principal-knowledge-authority -&gt; StepVerifications.ExpectedSignalValue</v>
      </c>
      <c r="C3348" s="2" t="s">
        <v>9708</v>
      </c>
      <c r="D3348" s="2" t="s">
        <v>3081</v>
      </c>
      <c r="E3348" s="2" t="b">
        <v>1</v>
      </c>
      <c r="F3348" s="2" t="b">
        <v>0</v>
      </c>
      <c r="G3348" s="2" t="s">
        <v>9937</v>
      </c>
      <c r="H3348" s="3" t="str">
        <f>_xlfn.IFNA(INDEX(RulebookFields!C2:C999, MATCH(D3348,RulebookFields!A2:A999, 0)), "")</f>
        <v>StepVerifications</v>
      </c>
      <c r="I3348" s="3" t="str">
        <f>_xlfn.IFNA(INDEX(RulebookFields!D2:D999, MATCH(D3348,RulebookFields!A2:A999, 0)), "")</f>
        <v>ExpectedSignalValue</v>
      </c>
      <c r="J3348" s="3" t="b">
        <f>_xlfn.IFNA(INDEX(RulebookFields!I2:I999, MATCH(D3348,RulebookFields!A2:A999, 0)), "")</f>
        <v>0</v>
      </c>
      <c r="K3348" s="3" t="b">
        <f>AND(F3348, J3348)</f>
        <v>0</v>
      </c>
      <c r="L3348" s="3" t="b">
        <f>AND(G3348 &lt;&gt; "plain", G3348 &lt;&gt; "")</f>
        <v>0</v>
      </c>
      <c r="M3348" s="3" t="str">
        <f>IF(E3348, C3348 &amp; "|" &amp; H3348, "")</f>
        <v>principal-knowledge-authority|StepVerifications</v>
      </c>
      <c r="N3348" s="2" t="s">
        <v>9938</v>
      </c>
    </row>
    <row r="3349">
      <c r="A3349" s="2" t="s">
        <v>13285</v>
      </c>
      <c r="B3349" s="3" t="str">
        <f>C3349 &amp; " -&gt; " &amp; D3349</f>
        <v>principal-knowledge-authority -&gt; StepVerifications.Instruction</v>
      </c>
      <c r="C3349" s="2" t="s">
        <v>9708</v>
      </c>
      <c r="D3349" s="2" t="s">
        <v>3082</v>
      </c>
      <c r="E3349" s="2" t="b">
        <v>1</v>
      </c>
      <c r="F3349" s="2" t="b">
        <v>0</v>
      </c>
      <c r="G3349" s="2" t="s">
        <v>9937</v>
      </c>
      <c r="H3349" s="3" t="str">
        <f>_xlfn.IFNA(INDEX(RulebookFields!C2:C999, MATCH(D3349,RulebookFields!A2:A999, 0)), "")</f>
        <v>StepVerifications</v>
      </c>
      <c r="I3349" s="3" t="str">
        <f>_xlfn.IFNA(INDEX(RulebookFields!D2:D999, MATCH(D3349,RulebookFields!A2:A999, 0)), "")</f>
        <v>Instruction</v>
      </c>
      <c r="J3349" s="3" t="b">
        <f>_xlfn.IFNA(INDEX(RulebookFields!I2:I999, MATCH(D3349,RulebookFields!A2:A999, 0)), "")</f>
        <v>0</v>
      </c>
      <c r="K3349" s="3" t="b">
        <f>AND(F3349, J3349)</f>
        <v>0</v>
      </c>
      <c r="L3349" s="3" t="b">
        <f>AND(G3349 &lt;&gt; "plain", G3349 &lt;&gt; "")</f>
        <v>0</v>
      </c>
      <c r="M3349" s="3" t="str">
        <f>IF(E3349, C3349 &amp; "|" &amp; H3349, "")</f>
        <v>principal-knowledge-authority|StepVerifications</v>
      </c>
      <c r="N3349" s="2" t="s">
        <v>9938</v>
      </c>
    </row>
    <row r="3350">
      <c r="A3350" s="2" t="s">
        <v>13286</v>
      </c>
      <c r="B3350" s="3" t="str">
        <f>C3350 &amp; " -&gt; " &amp; D3350</f>
        <v>principal-knowledge-authority -&gt; StepVerifications.SemanticTypeIri</v>
      </c>
      <c r="C3350" s="2" t="s">
        <v>9708</v>
      </c>
      <c r="D3350" s="2" t="s">
        <v>3083</v>
      </c>
      <c r="E3350" s="2" t="b">
        <v>1</v>
      </c>
      <c r="F3350" s="2" t="b">
        <v>0</v>
      </c>
      <c r="G3350" s="2" t="s">
        <v>9937</v>
      </c>
      <c r="H3350" s="3" t="str">
        <f>_xlfn.IFNA(INDEX(RulebookFields!C2:C999, MATCH(D3350,RulebookFields!A2:A999, 0)), "")</f>
        <v>StepVerifications</v>
      </c>
      <c r="I3350" s="3" t="str">
        <f>_xlfn.IFNA(INDEX(RulebookFields!D2:D999, MATCH(D3350,RulebookFields!A2:A999, 0)), "")</f>
        <v>SemanticTypeIri</v>
      </c>
      <c r="J3350" s="3" t="b">
        <f>_xlfn.IFNA(INDEX(RulebookFields!I2:I999, MATCH(D3350,RulebookFields!A2:A999, 0)), "")</f>
        <v>0</v>
      </c>
      <c r="K3350" s="3" t="b">
        <f>AND(F3350, J3350)</f>
        <v>0</v>
      </c>
      <c r="L3350" s="3" t="b">
        <f>AND(G3350 &lt;&gt; "plain", G3350 &lt;&gt; "")</f>
        <v>0</v>
      </c>
      <c r="M3350" s="3" t="str">
        <f>IF(E3350, C3350 &amp; "|" &amp; H3350, "")</f>
        <v>principal-knowledge-authority|StepVerifications</v>
      </c>
      <c r="N3350" s="2" t="s">
        <v>9938</v>
      </c>
    </row>
    <row r="3351">
      <c r="A3351" s="2" t="s">
        <v>13287</v>
      </c>
      <c r="B3351" s="3" t="str">
        <f>C3351 &amp; " -&gt; " &amp; D3351</f>
        <v>principal-knowledge-authority -&gt; Steps.StepId</v>
      </c>
      <c r="C3351" s="2" t="s">
        <v>9708</v>
      </c>
      <c r="D3351" s="2" t="s">
        <v>2837</v>
      </c>
      <c r="E3351" s="2" t="b">
        <v>1</v>
      </c>
      <c r="F3351" s="2" t="b">
        <v>0</v>
      </c>
      <c r="G3351" s="2" t="s">
        <v>9937</v>
      </c>
      <c r="H3351" s="3" t="str">
        <f>_xlfn.IFNA(INDEX(RulebookFields!C2:C999, MATCH(D3351,RulebookFields!A2:A999, 0)), "")</f>
        <v>Steps</v>
      </c>
      <c r="I3351" s="3" t="str">
        <f>_xlfn.IFNA(INDEX(RulebookFields!D2:D999, MATCH(D3351,RulebookFields!A2:A999, 0)), "")</f>
        <v>StepId</v>
      </c>
      <c r="J3351" s="3" t="b">
        <f>_xlfn.IFNA(INDEX(RulebookFields!I2:I999, MATCH(D3351,RulebookFields!A2:A999, 0)), "")</f>
        <v>0</v>
      </c>
      <c r="K3351" s="3" t="b">
        <f>AND(F3351, J3351)</f>
        <v>0</v>
      </c>
      <c r="L3351" s="3" t="b">
        <f>AND(G3351 &lt;&gt; "plain", G3351 &lt;&gt; "")</f>
        <v>0</v>
      </c>
      <c r="M3351" s="3" t="str">
        <f>IF(E3351, C3351 &amp; "|" &amp; H3351, "")</f>
        <v>principal-knowledge-authority|Steps</v>
      </c>
      <c r="N3351" s="2" t="s">
        <v>9938</v>
      </c>
    </row>
    <row r="3352">
      <c r="A3352" s="2" t="s">
        <v>13288</v>
      </c>
      <c r="B3352" s="3" t="str">
        <f>C3352 &amp; " -&gt; " &amp; D3352</f>
        <v>principal-knowledge-authority -&gt; Steps.Name</v>
      </c>
      <c r="C3352" s="2" t="s">
        <v>9708</v>
      </c>
      <c r="D3352" s="2" t="s">
        <v>2838</v>
      </c>
      <c r="E3352" s="2" t="b">
        <v>1</v>
      </c>
      <c r="F3352" s="2" t="b">
        <v>0</v>
      </c>
      <c r="G3352" s="2" t="s">
        <v>9937</v>
      </c>
      <c r="H3352" s="3" t="str">
        <f>_xlfn.IFNA(INDEX(RulebookFields!C2:C999, MATCH(D3352,RulebookFields!A2:A999, 0)), "")</f>
        <v>Steps</v>
      </c>
      <c r="I3352" s="3" t="str">
        <f>_xlfn.IFNA(INDEX(RulebookFields!D2:D999, MATCH(D3352,RulebookFields!A2:A999, 0)), "")</f>
        <v>Name</v>
      </c>
      <c r="J3352" s="3" t="b">
        <f>_xlfn.IFNA(INDEX(RulebookFields!I2:I999, MATCH(D3352,RulebookFields!A2:A999, 0)), "")</f>
        <v>1</v>
      </c>
      <c r="K3352" s="3" t="b">
        <f>AND(F3352, J3352)</f>
        <v>0</v>
      </c>
      <c r="L3352" s="3" t="b">
        <f>AND(G3352 &lt;&gt; "plain", G3352 &lt;&gt; "")</f>
        <v>0</v>
      </c>
      <c r="M3352" s="3" t="str">
        <f>IF(E3352, C3352 &amp; "|" &amp; H3352, "")</f>
        <v>principal-knowledge-authority|Steps</v>
      </c>
      <c r="N3352" s="2" t="s">
        <v>9938</v>
      </c>
    </row>
    <row r="3353">
      <c r="A3353" s="2" t="s">
        <v>13289</v>
      </c>
      <c r="B3353" s="3" t="str">
        <f>C3353 &amp; " -&gt; " &amp; D3353</f>
        <v>principal-knowledge-authority -&gt; Steps.ProcedureVersion</v>
      </c>
      <c r="C3353" s="2" t="s">
        <v>9708</v>
      </c>
      <c r="D3353" s="2" t="s">
        <v>2840</v>
      </c>
      <c r="E3353" s="2" t="b">
        <v>1</v>
      </c>
      <c r="F3353" s="2" t="b">
        <v>0</v>
      </c>
      <c r="G3353" s="2" t="s">
        <v>9937</v>
      </c>
      <c r="H3353" s="3" t="str">
        <f>_xlfn.IFNA(INDEX(RulebookFields!C2:C999, MATCH(D3353,RulebookFields!A2:A999, 0)), "")</f>
        <v>Steps</v>
      </c>
      <c r="I3353" s="3" t="str">
        <f>_xlfn.IFNA(INDEX(RulebookFields!D2:D999, MATCH(D3353,RulebookFields!A2:A999, 0)), "")</f>
        <v>ProcedureVersion</v>
      </c>
      <c r="J3353" s="3" t="b">
        <f>_xlfn.IFNA(INDEX(RulebookFields!I2:I999, MATCH(D3353,RulebookFields!A2:A999, 0)), "")</f>
        <v>0</v>
      </c>
      <c r="K3353" s="3" t="b">
        <f>AND(F3353, J3353)</f>
        <v>0</v>
      </c>
      <c r="L3353" s="3" t="b">
        <f>AND(G3353 &lt;&gt; "plain", G3353 &lt;&gt; "")</f>
        <v>0</v>
      </c>
      <c r="M3353" s="3" t="str">
        <f>IF(E3353, C3353 &amp; "|" &amp; H3353, "")</f>
        <v>principal-knowledge-authority|Steps</v>
      </c>
      <c r="N3353" s="2" t="s">
        <v>9938</v>
      </c>
    </row>
    <row r="3354">
      <c r="A3354" s="2" t="s">
        <v>13290</v>
      </c>
      <c r="B3354" s="3" t="str">
        <f>C3354 &amp; " -&gt; " &amp; D3354</f>
        <v>principal-knowledge-authority -&gt; Steps.StepNumber</v>
      </c>
      <c r="C3354" s="2" t="s">
        <v>9708</v>
      </c>
      <c r="D3354" s="2" t="s">
        <v>2841</v>
      </c>
      <c r="E3354" s="2" t="b">
        <v>1</v>
      </c>
      <c r="F3354" s="2" t="b">
        <v>0</v>
      </c>
      <c r="G3354" s="2" t="s">
        <v>9937</v>
      </c>
      <c r="H3354" s="3" t="str">
        <f>_xlfn.IFNA(INDEX(RulebookFields!C2:C999, MATCH(D3354,RulebookFields!A2:A999, 0)), "")</f>
        <v>Steps</v>
      </c>
      <c r="I3354" s="3" t="str">
        <f>_xlfn.IFNA(INDEX(RulebookFields!D2:D999, MATCH(D3354,RulebookFields!A2:A999, 0)), "")</f>
        <v>StepNumber</v>
      </c>
      <c r="J3354" s="3" t="b">
        <f>_xlfn.IFNA(INDEX(RulebookFields!I2:I999, MATCH(D3354,RulebookFields!A2:A999, 0)), "")</f>
        <v>0</v>
      </c>
      <c r="K3354" s="3" t="b">
        <f>AND(F3354, J3354)</f>
        <v>0</v>
      </c>
      <c r="L3354" s="3" t="b">
        <f>AND(G3354 &lt;&gt; "plain", G3354 &lt;&gt; "")</f>
        <v>0</v>
      </c>
      <c r="M3354" s="3" t="str">
        <f>IF(E3354, C3354 &amp; "|" &amp; H3354, "")</f>
        <v>principal-knowledge-authority|Steps</v>
      </c>
      <c r="N3354" s="2" t="s">
        <v>9938</v>
      </c>
    </row>
    <row r="3355">
      <c r="A3355" s="2" t="s">
        <v>13291</v>
      </c>
      <c r="B3355" s="3" t="str">
        <f>C3355 &amp; " -&gt; " &amp; D3355</f>
        <v>principal-knowledge-authority -&gt; Steps.Title</v>
      </c>
      <c r="C3355" s="2" t="s">
        <v>9708</v>
      </c>
      <c r="D3355" s="2" t="s">
        <v>2842</v>
      </c>
      <c r="E3355" s="2" t="b">
        <v>1</v>
      </c>
      <c r="F3355" s="2" t="b">
        <v>0</v>
      </c>
      <c r="G3355" s="2" t="s">
        <v>9937</v>
      </c>
      <c r="H3355" s="3" t="str">
        <f>_xlfn.IFNA(INDEX(RulebookFields!C2:C999, MATCH(D3355,RulebookFields!A2:A999, 0)), "")</f>
        <v>Steps</v>
      </c>
      <c r="I3355" s="3" t="str">
        <f>_xlfn.IFNA(INDEX(RulebookFields!D2:D999, MATCH(D3355,RulebookFields!A2:A999, 0)), "")</f>
        <v>Title</v>
      </c>
      <c r="J3355" s="3" t="b">
        <f>_xlfn.IFNA(INDEX(RulebookFields!I2:I999, MATCH(D3355,RulebookFields!A2:A999, 0)), "")</f>
        <v>0</v>
      </c>
      <c r="K3355" s="3" t="b">
        <f>AND(F3355, J3355)</f>
        <v>0</v>
      </c>
      <c r="L3355" s="3" t="b">
        <f>AND(G3355 &lt;&gt; "plain", G3355 &lt;&gt; "")</f>
        <v>0</v>
      </c>
      <c r="M3355" s="3" t="str">
        <f>IF(E3355, C3355 &amp; "|" &amp; H3355, "")</f>
        <v>principal-knowledge-authority|Steps</v>
      </c>
      <c r="N3355" s="2" t="s">
        <v>9938</v>
      </c>
    </row>
    <row r="3356">
      <c r="A3356" s="2" t="s">
        <v>13292</v>
      </c>
      <c r="B3356" s="3" t="str">
        <f>C3356 &amp; " -&gt; " &amp; D3356</f>
        <v>principal-knowledge-authority -&gt; Steps.StepKind</v>
      </c>
      <c r="C3356" s="2" t="s">
        <v>9708</v>
      </c>
      <c r="D3356" s="2" t="s">
        <v>2843</v>
      </c>
      <c r="E3356" s="2" t="b">
        <v>1</v>
      </c>
      <c r="F3356" s="2" t="b">
        <v>0</v>
      </c>
      <c r="G3356" s="2" t="s">
        <v>9937</v>
      </c>
      <c r="H3356" s="3" t="str">
        <f>_xlfn.IFNA(INDEX(RulebookFields!C2:C999, MATCH(D3356,RulebookFields!A2:A999, 0)), "")</f>
        <v>Steps</v>
      </c>
      <c r="I3356" s="3" t="str">
        <f>_xlfn.IFNA(INDEX(RulebookFields!D2:D999, MATCH(D3356,RulebookFields!A2:A999, 0)), "")</f>
        <v>StepKind</v>
      </c>
      <c r="J3356" s="3" t="b">
        <f>_xlfn.IFNA(INDEX(RulebookFields!I2:I999, MATCH(D3356,RulebookFields!A2:A999, 0)), "")</f>
        <v>0</v>
      </c>
      <c r="K3356" s="3" t="b">
        <f>AND(F3356, J3356)</f>
        <v>0</v>
      </c>
      <c r="L3356" s="3" t="b">
        <f>AND(G3356 &lt;&gt; "plain", G3356 &lt;&gt; "")</f>
        <v>0</v>
      </c>
      <c r="M3356" s="3" t="str">
        <f>IF(E3356, C3356 &amp; "|" &amp; H3356, "")</f>
        <v>principal-knowledge-authority|Steps</v>
      </c>
      <c r="N3356" s="2" t="s">
        <v>9938</v>
      </c>
    </row>
    <row r="3357">
      <c r="A3357" s="2" t="s">
        <v>13293</v>
      </c>
      <c r="B3357" s="3" t="str">
        <f>C3357 &amp; " -&gt; " &amp; D3357</f>
        <v>principal-knowledge-authority -&gt; Steps.AssignedRole</v>
      </c>
      <c r="C3357" s="2" t="s">
        <v>9708</v>
      </c>
      <c r="D3357" s="2" t="s">
        <v>2844</v>
      </c>
      <c r="E3357" s="2" t="b">
        <v>1</v>
      </c>
      <c r="F3357" s="2" t="b">
        <v>0</v>
      </c>
      <c r="G3357" s="2" t="s">
        <v>9937</v>
      </c>
      <c r="H3357" s="3" t="str">
        <f>_xlfn.IFNA(INDEX(RulebookFields!C2:C999, MATCH(D3357,RulebookFields!A2:A999, 0)), "")</f>
        <v>Steps</v>
      </c>
      <c r="I3357" s="3" t="str">
        <f>_xlfn.IFNA(INDEX(RulebookFields!D2:D999, MATCH(D3357,RulebookFields!A2:A999, 0)), "")</f>
        <v>AssignedRole</v>
      </c>
      <c r="J3357" s="3" t="b">
        <f>_xlfn.IFNA(INDEX(RulebookFields!I2:I999, MATCH(D3357,RulebookFields!A2:A999, 0)), "")</f>
        <v>0</v>
      </c>
      <c r="K3357" s="3" t="b">
        <f>AND(F3357, J3357)</f>
        <v>0</v>
      </c>
      <c r="L3357" s="3" t="b">
        <f>AND(G3357 &lt;&gt; "plain", G3357 &lt;&gt; "")</f>
        <v>0</v>
      </c>
      <c r="M3357" s="3" t="str">
        <f>IF(E3357, C3357 &amp; "|" &amp; H3357, "")</f>
        <v>principal-knowledge-authority|Steps</v>
      </c>
      <c r="N3357" s="2" t="s">
        <v>9938</v>
      </c>
    </row>
    <row r="3358">
      <c r="A3358" s="2" t="s">
        <v>13294</v>
      </c>
      <c r="B3358" s="3" t="str">
        <f>C3358 &amp; " -&gt; " &amp; D3358</f>
        <v>principal-knowledge-authority -&gt; Steps.AssignedRoleLabel</v>
      </c>
      <c r="C3358" s="2" t="s">
        <v>9708</v>
      </c>
      <c r="D3358" s="2" t="s">
        <v>2845</v>
      </c>
      <c r="E3358" s="2" t="b">
        <v>1</v>
      </c>
      <c r="F3358" s="2" t="b">
        <v>0</v>
      </c>
      <c r="G3358" s="2" t="s">
        <v>9937</v>
      </c>
      <c r="H3358" s="3" t="str">
        <f>_xlfn.IFNA(INDEX(RulebookFields!C2:C999, MATCH(D3358,RulebookFields!A2:A999, 0)), "")</f>
        <v>Steps</v>
      </c>
      <c r="I3358" s="3" t="str">
        <f>_xlfn.IFNA(INDEX(RulebookFields!D2:D999, MATCH(D3358,RulebookFields!A2:A999, 0)), "")</f>
        <v>AssignedRoleLabel</v>
      </c>
      <c r="J3358" s="3" t="b">
        <f>_xlfn.IFNA(INDEX(RulebookFields!I2:I999, MATCH(D3358,RulebookFields!A2:A999, 0)), "")</f>
        <v>1</v>
      </c>
      <c r="K3358" s="3" t="b">
        <f>AND(F3358, J3358)</f>
        <v>0</v>
      </c>
      <c r="L3358" s="3" t="b">
        <f>AND(G3358 &lt;&gt; "plain", G3358 &lt;&gt; "")</f>
        <v>0</v>
      </c>
      <c r="M3358" s="3" t="str">
        <f>IF(E3358, C3358 &amp; "|" &amp; H3358, "")</f>
        <v>principal-knowledge-authority|Steps</v>
      </c>
      <c r="N3358" s="2" t="s">
        <v>9938</v>
      </c>
    </row>
    <row r="3359">
      <c r="A3359" s="2" t="s">
        <v>13295</v>
      </c>
      <c r="B3359" s="3" t="str">
        <f>C3359 &amp; " -&gt; " &amp; D3359</f>
        <v>principal-knowledge-authority -&gt; Steps.AssignedAgentKind</v>
      </c>
      <c r="C3359" s="2" t="s">
        <v>9708</v>
      </c>
      <c r="D3359" s="2" t="s">
        <v>2847</v>
      </c>
      <c r="E3359" s="2" t="b">
        <v>1</v>
      </c>
      <c r="F3359" s="2" t="b">
        <v>0</v>
      </c>
      <c r="G3359" s="2" t="s">
        <v>9937</v>
      </c>
      <c r="H3359" s="3" t="str">
        <f>_xlfn.IFNA(INDEX(RulebookFields!C2:C999, MATCH(D3359,RulebookFields!A2:A999, 0)), "")</f>
        <v>Steps</v>
      </c>
      <c r="I3359" s="3" t="str">
        <f>_xlfn.IFNA(INDEX(RulebookFields!D2:D999, MATCH(D3359,RulebookFields!A2:A999, 0)), "")</f>
        <v>AssignedAgentKind</v>
      </c>
      <c r="J3359" s="3" t="b">
        <f>_xlfn.IFNA(INDEX(RulebookFields!I2:I999, MATCH(D3359,RulebookFields!A2:A999, 0)), "")</f>
        <v>1</v>
      </c>
      <c r="K3359" s="3" t="b">
        <f>AND(F3359, J3359)</f>
        <v>0</v>
      </c>
      <c r="L3359" s="3" t="b">
        <f>AND(G3359 &lt;&gt; "plain", G3359 &lt;&gt; "")</f>
        <v>0</v>
      </c>
      <c r="M3359" s="3" t="str">
        <f>IF(E3359, C3359 &amp; "|" &amp; H3359, "")</f>
        <v>principal-knowledge-authority|Steps</v>
      </c>
      <c r="N3359" s="2" t="s">
        <v>9938</v>
      </c>
    </row>
    <row r="3360">
      <c r="A3360" s="2" t="s">
        <v>13296</v>
      </c>
      <c r="B3360" s="3" t="str">
        <f>C3360 &amp; " -&gt; " &amp; D3360</f>
        <v>principal-knowledge-authority -&gt; Steps.Instruction</v>
      </c>
      <c r="C3360" s="2" t="s">
        <v>9708</v>
      </c>
      <c r="D3360" s="2" t="s">
        <v>2849</v>
      </c>
      <c r="E3360" s="2" t="b">
        <v>1</v>
      </c>
      <c r="F3360" s="2" t="b">
        <v>0</v>
      </c>
      <c r="G3360" s="2" t="s">
        <v>9937</v>
      </c>
      <c r="H3360" s="3" t="str">
        <f>_xlfn.IFNA(INDEX(RulebookFields!C2:C999, MATCH(D3360,RulebookFields!A2:A999, 0)), "")</f>
        <v>Steps</v>
      </c>
      <c r="I3360" s="3" t="str">
        <f>_xlfn.IFNA(INDEX(RulebookFields!D2:D999, MATCH(D3360,RulebookFields!A2:A999, 0)), "")</f>
        <v>Instruction</v>
      </c>
      <c r="J3360" s="3" t="b">
        <f>_xlfn.IFNA(INDEX(RulebookFields!I2:I999, MATCH(D3360,RulebookFields!A2:A999, 0)), "")</f>
        <v>0</v>
      </c>
      <c r="K3360" s="3" t="b">
        <f>AND(F3360, J3360)</f>
        <v>0</v>
      </c>
      <c r="L3360" s="3" t="b">
        <f>AND(G3360 &lt;&gt; "plain", G3360 &lt;&gt; "")</f>
        <v>0</v>
      </c>
      <c r="M3360" s="3" t="str">
        <f>IF(E3360, C3360 &amp; "|" &amp; H3360, "")</f>
        <v>principal-knowledge-authority|Steps</v>
      </c>
      <c r="N3360" s="2" t="s">
        <v>9938</v>
      </c>
    </row>
    <row r="3361">
      <c r="A3361" s="2" t="s">
        <v>13297</v>
      </c>
      <c r="B3361" s="3" t="str">
        <f>C3361 &amp; " -&gt; " &amp; D3361</f>
        <v>principal-knowledge-authority -&gt; Steps.ExpectedDurationMinutes</v>
      </c>
      <c r="C3361" s="2" t="s">
        <v>9708</v>
      </c>
      <c r="D3361" s="2" t="s">
        <v>2850</v>
      </c>
      <c r="E3361" s="2" t="b">
        <v>1</v>
      </c>
      <c r="F3361" s="2" t="b">
        <v>0</v>
      </c>
      <c r="G3361" s="2" t="s">
        <v>9937</v>
      </c>
      <c r="H3361" s="3" t="str">
        <f>_xlfn.IFNA(INDEX(RulebookFields!C2:C999, MATCH(D3361,RulebookFields!A2:A999, 0)), "")</f>
        <v>Steps</v>
      </c>
      <c r="I3361" s="3" t="str">
        <f>_xlfn.IFNA(INDEX(RulebookFields!D2:D999, MATCH(D3361,RulebookFields!A2:A999, 0)), "")</f>
        <v>ExpectedDurationMinutes</v>
      </c>
      <c r="J3361" s="3" t="b">
        <f>_xlfn.IFNA(INDEX(RulebookFields!I2:I999, MATCH(D3361,RulebookFields!A2:A999, 0)), "")</f>
        <v>0</v>
      </c>
      <c r="K3361" s="3" t="b">
        <f>AND(F3361, J3361)</f>
        <v>0</v>
      </c>
      <c r="L3361" s="3" t="b">
        <f>AND(G3361 &lt;&gt; "plain", G3361 &lt;&gt; "")</f>
        <v>0</v>
      </c>
      <c r="M3361" s="3" t="str">
        <f>IF(E3361, C3361 &amp; "|" &amp; H3361, "")</f>
        <v>principal-knowledge-authority|Steps</v>
      </c>
      <c r="N3361" s="2" t="s">
        <v>9938</v>
      </c>
    </row>
    <row r="3362">
      <c r="A3362" s="2" t="s">
        <v>13298</v>
      </c>
      <c r="B3362" s="3" t="str">
        <f>C3362 &amp; " -&gt; " &amp; D3362</f>
        <v>principal-knowledge-authority -&gt; Steps.ExpertiseLevel</v>
      </c>
      <c r="C3362" s="2" t="s">
        <v>9708</v>
      </c>
      <c r="D3362" s="2" t="s">
        <v>2851</v>
      </c>
      <c r="E3362" s="2" t="b">
        <v>1</v>
      </c>
      <c r="F3362" s="2" t="b">
        <v>0</v>
      </c>
      <c r="G3362" s="2" t="s">
        <v>9937</v>
      </c>
      <c r="H3362" s="3" t="str">
        <f>_xlfn.IFNA(INDEX(RulebookFields!C2:C999, MATCH(D3362,RulebookFields!A2:A999, 0)), "")</f>
        <v>Steps</v>
      </c>
      <c r="I3362" s="3" t="str">
        <f>_xlfn.IFNA(INDEX(RulebookFields!D2:D999, MATCH(D3362,RulebookFields!A2:A999, 0)), "")</f>
        <v>ExpertiseLevel</v>
      </c>
      <c r="J3362" s="3" t="b">
        <f>_xlfn.IFNA(INDEX(RulebookFields!I2:I999, MATCH(D3362,RulebookFields!A2:A999, 0)), "")</f>
        <v>0</v>
      </c>
      <c r="K3362" s="3" t="b">
        <f>AND(F3362, J3362)</f>
        <v>0</v>
      </c>
      <c r="L3362" s="3" t="b">
        <f>AND(G3362 &lt;&gt; "plain", G3362 &lt;&gt; "")</f>
        <v>0</v>
      </c>
      <c r="M3362" s="3" t="str">
        <f>IF(E3362, C3362 &amp; "|" &amp; H3362, "")</f>
        <v>principal-knowledge-authority|Steps</v>
      </c>
      <c r="N3362" s="2" t="s">
        <v>9938</v>
      </c>
    </row>
    <row r="3363">
      <c r="A3363" s="2" t="s">
        <v>13299</v>
      </c>
      <c r="B3363" s="3" t="str">
        <f>C3363 &amp; " -&gt; " &amp; D3363</f>
        <v>principal-knowledge-authority -&gt; Steps.RequiresHumanConfirmation</v>
      </c>
      <c r="C3363" s="2" t="s">
        <v>9708</v>
      </c>
      <c r="D3363" s="2" t="s">
        <v>2852</v>
      </c>
      <c r="E3363" s="2" t="b">
        <v>1</v>
      </c>
      <c r="F3363" s="2" t="b">
        <v>0</v>
      </c>
      <c r="G3363" s="2" t="s">
        <v>9937</v>
      </c>
      <c r="H3363" s="3" t="str">
        <f>_xlfn.IFNA(INDEX(RulebookFields!C2:C999, MATCH(D3363,RulebookFields!A2:A999, 0)), "")</f>
        <v>Steps</v>
      </c>
      <c r="I3363" s="3" t="str">
        <f>_xlfn.IFNA(INDEX(RulebookFields!D2:D999, MATCH(D3363,RulebookFields!A2:A999, 0)), "")</f>
        <v>RequiresHumanConfirmation</v>
      </c>
      <c r="J3363" s="3" t="b">
        <f>_xlfn.IFNA(INDEX(RulebookFields!I2:I999, MATCH(D3363,RulebookFields!A2:A999, 0)), "")</f>
        <v>0</v>
      </c>
      <c r="K3363" s="3" t="b">
        <f>AND(F3363, J3363)</f>
        <v>0</v>
      </c>
      <c r="L3363" s="3" t="b">
        <f>AND(G3363 &lt;&gt; "plain", G3363 &lt;&gt; "")</f>
        <v>0</v>
      </c>
      <c r="M3363" s="3" t="str">
        <f>IF(E3363, C3363 &amp; "|" &amp; H3363, "")</f>
        <v>principal-knowledge-authority|Steps</v>
      </c>
      <c r="N3363" s="2" t="s">
        <v>9938</v>
      </c>
    </row>
    <row r="3364">
      <c r="A3364" s="2" t="s">
        <v>13300</v>
      </c>
      <c r="B3364" s="3" t="str">
        <f>C3364 &amp; " -&gt; " &amp; D3364</f>
        <v>principal-knowledge-authority -&gt; Steps.BlockingRequirementCount</v>
      </c>
      <c r="C3364" s="2" t="s">
        <v>9708</v>
      </c>
      <c r="D3364" s="2" t="s">
        <v>2853</v>
      </c>
      <c r="E3364" s="2" t="b">
        <v>1</v>
      </c>
      <c r="F3364" s="2" t="b">
        <v>0</v>
      </c>
      <c r="G3364" s="2" t="s">
        <v>9937</v>
      </c>
      <c r="H3364" s="3" t="str">
        <f>_xlfn.IFNA(INDEX(RulebookFields!C2:C999, MATCH(D3364,RulebookFields!A2:A999, 0)), "")</f>
        <v>Steps</v>
      </c>
      <c r="I3364" s="3" t="str">
        <f>_xlfn.IFNA(INDEX(RulebookFields!D2:D999, MATCH(D3364,RulebookFields!A2:A999, 0)), "")</f>
        <v>BlockingRequirementCount</v>
      </c>
      <c r="J3364" s="3" t="b">
        <f>_xlfn.IFNA(INDEX(RulebookFields!I2:I999, MATCH(D3364,RulebookFields!A2:A999, 0)), "")</f>
        <v>1</v>
      </c>
      <c r="K3364" s="3" t="b">
        <f>AND(F3364, J3364)</f>
        <v>0</v>
      </c>
      <c r="L3364" s="3" t="b">
        <f>AND(G3364 &lt;&gt; "plain", G3364 &lt;&gt; "")</f>
        <v>0</v>
      </c>
      <c r="M3364" s="3" t="str">
        <f>IF(E3364, C3364 &amp; "|" &amp; H3364, "")</f>
        <v>principal-knowledge-authority|Steps</v>
      </c>
      <c r="N3364" s="2" t="s">
        <v>9938</v>
      </c>
    </row>
    <row r="3365">
      <c r="A3365" s="2" t="s">
        <v>13301</v>
      </c>
      <c r="B3365" s="3" t="str">
        <f>C3365 &amp; " -&gt; " &amp; D3365</f>
        <v>principal-knowledge-authority -&gt; Steps.StaleBindingCount</v>
      </c>
      <c r="C3365" s="2" t="s">
        <v>9708</v>
      </c>
      <c r="D3365" s="2" t="s">
        <v>2855</v>
      </c>
      <c r="E3365" s="2" t="b">
        <v>1</v>
      </c>
      <c r="F3365" s="2" t="b">
        <v>0</v>
      </c>
      <c r="G3365" s="2" t="s">
        <v>9937</v>
      </c>
      <c r="H3365" s="3" t="str">
        <f>_xlfn.IFNA(INDEX(RulebookFields!C2:C999, MATCH(D3365,RulebookFields!A2:A999, 0)), "")</f>
        <v>Steps</v>
      </c>
      <c r="I3365" s="3" t="str">
        <f>_xlfn.IFNA(INDEX(RulebookFields!D2:D999, MATCH(D3365,RulebookFields!A2:A999, 0)), "")</f>
        <v>StaleBindingCount</v>
      </c>
      <c r="J3365" s="3" t="b">
        <f>_xlfn.IFNA(INDEX(RulebookFields!I2:I999, MATCH(D3365,RulebookFields!A2:A999, 0)), "")</f>
        <v>1</v>
      </c>
      <c r="K3365" s="3" t="b">
        <f>AND(F3365, J3365)</f>
        <v>0</v>
      </c>
      <c r="L3365" s="3" t="b">
        <f>AND(G3365 &lt;&gt; "plain", G3365 &lt;&gt; "")</f>
        <v>0</v>
      </c>
      <c r="M3365" s="3" t="str">
        <f>IF(E3365, C3365 &amp; "|" &amp; H3365, "")</f>
        <v>principal-knowledge-authority|Steps</v>
      </c>
      <c r="N3365" s="2" t="s">
        <v>9938</v>
      </c>
    </row>
    <row r="3366">
      <c r="A3366" s="2" t="s">
        <v>13302</v>
      </c>
      <c r="B3366" s="3" t="str">
        <f>C3366 &amp; " -&gt; " &amp; D3366</f>
        <v>principal-knowledge-authority -&gt; Steps.AuthoritativeStaleCount</v>
      </c>
      <c r="C3366" s="2" t="s">
        <v>9708</v>
      </c>
      <c r="D3366" s="2" t="s">
        <v>2857</v>
      </c>
      <c r="E3366" s="2" t="b">
        <v>1</v>
      </c>
      <c r="F3366" s="2" t="b">
        <v>0</v>
      </c>
      <c r="G3366" s="2" t="s">
        <v>9937</v>
      </c>
      <c r="H3366" s="3" t="str">
        <f>_xlfn.IFNA(INDEX(RulebookFields!C2:C999, MATCH(D3366,RulebookFields!A2:A999, 0)), "")</f>
        <v>Steps</v>
      </c>
      <c r="I3366" s="3" t="str">
        <f>_xlfn.IFNA(INDEX(RulebookFields!D2:D999, MATCH(D3366,RulebookFields!A2:A999, 0)), "")</f>
        <v>AuthoritativeStaleCount</v>
      </c>
      <c r="J3366" s="3" t="b">
        <f>_xlfn.IFNA(INDEX(RulebookFields!I2:I999, MATCH(D3366,RulebookFields!A2:A999, 0)), "")</f>
        <v>1</v>
      </c>
      <c r="K3366" s="3" t="b">
        <f>AND(F3366, J3366)</f>
        <v>0</v>
      </c>
      <c r="L3366" s="3" t="b">
        <f>AND(G3366 &lt;&gt; "plain", G3366 &lt;&gt; "")</f>
        <v>0</v>
      </c>
      <c r="M3366" s="3" t="str">
        <f>IF(E3366, C3366 &amp; "|" &amp; H3366, "")</f>
        <v>principal-knowledge-authority|Steps</v>
      </c>
      <c r="N3366" s="2" t="s">
        <v>9938</v>
      </c>
    </row>
    <row r="3367">
      <c r="A3367" s="2" t="s">
        <v>13303</v>
      </c>
      <c r="B3367" s="3" t="str">
        <f>C3367 &amp; " -&gt; " &amp; D3367</f>
        <v>principal-knowledge-authority -&gt; Steps.AvailableExceptionCount</v>
      </c>
      <c r="C3367" s="2" t="s">
        <v>9708</v>
      </c>
      <c r="D3367" s="2" t="s">
        <v>2859</v>
      </c>
      <c r="E3367" s="2" t="b">
        <v>1</v>
      </c>
      <c r="F3367" s="2" t="b">
        <v>0</v>
      </c>
      <c r="G3367" s="2" t="s">
        <v>9937</v>
      </c>
      <c r="H3367" s="3" t="str">
        <f>_xlfn.IFNA(INDEX(RulebookFields!C2:C999, MATCH(D3367,RulebookFields!A2:A999, 0)), "")</f>
        <v>Steps</v>
      </c>
      <c r="I3367" s="3" t="str">
        <f>_xlfn.IFNA(INDEX(RulebookFields!D2:D999, MATCH(D3367,RulebookFields!A2:A999, 0)), "")</f>
        <v>AvailableExceptionCount</v>
      </c>
      <c r="J3367" s="3" t="b">
        <f>_xlfn.IFNA(INDEX(RulebookFields!I2:I999, MATCH(D3367,RulebookFields!A2:A999, 0)), "")</f>
        <v>1</v>
      </c>
      <c r="K3367" s="3" t="b">
        <f>AND(F3367, J3367)</f>
        <v>0</v>
      </c>
      <c r="L3367" s="3" t="b">
        <f>AND(G3367 &lt;&gt; "plain", G3367 &lt;&gt; "")</f>
        <v>0</v>
      </c>
      <c r="M3367" s="3" t="str">
        <f>IF(E3367, C3367 &amp; "|" &amp; H3367, "")</f>
        <v>principal-knowledge-authority|Steps</v>
      </c>
      <c r="N3367" s="2" t="s">
        <v>9938</v>
      </c>
    </row>
    <row r="3368">
      <c r="A3368" s="2" t="s">
        <v>13304</v>
      </c>
      <c r="B3368" s="3" t="str">
        <f>C3368 &amp; " -&gt; " &amp; D3368</f>
        <v>principal-knowledge-authority -&gt; Steps.DeclaredVerificationCount</v>
      </c>
      <c r="C3368" s="2" t="s">
        <v>9708</v>
      </c>
      <c r="D3368" s="2" t="s">
        <v>2861</v>
      </c>
      <c r="E3368" s="2" t="b">
        <v>1</v>
      </c>
      <c r="F3368" s="2" t="b">
        <v>0</v>
      </c>
      <c r="G3368" s="2" t="s">
        <v>9937</v>
      </c>
      <c r="H3368" s="3" t="str">
        <f>_xlfn.IFNA(INDEX(RulebookFields!C2:C999, MATCH(D3368,RulebookFields!A2:A999, 0)), "")</f>
        <v>Steps</v>
      </c>
      <c r="I3368" s="3" t="str">
        <f>_xlfn.IFNA(INDEX(RulebookFields!D2:D999, MATCH(D3368,RulebookFields!A2:A999, 0)), "")</f>
        <v>DeclaredVerificationCount</v>
      </c>
      <c r="J3368" s="3" t="b">
        <f>_xlfn.IFNA(INDEX(RulebookFields!I2:I999, MATCH(D3368,RulebookFields!A2:A999, 0)), "")</f>
        <v>1</v>
      </c>
      <c r="K3368" s="3" t="b">
        <f>AND(F3368, J3368)</f>
        <v>0</v>
      </c>
      <c r="L3368" s="3" t="b">
        <f>AND(G3368 &lt;&gt; "plain", G3368 &lt;&gt; "")</f>
        <v>0</v>
      </c>
      <c r="M3368" s="3" t="str">
        <f>IF(E3368, C3368 &amp; "|" &amp; H3368, "")</f>
        <v>principal-knowledge-authority|Steps</v>
      </c>
      <c r="N3368" s="2" t="s">
        <v>9938</v>
      </c>
    </row>
    <row r="3369">
      <c r="A3369" s="2" t="s">
        <v>13305</v>
      </c>
      <c r="B3369" s="3" t="str">
        <f>C3369 &amp; " -&gt; " &amp; D3369</f>
        <v>principal-knowledge-authority -&gt; Steps.IsPreparationStep</v>
      </c>
      <c r="C3369" s="2" t="s">
        <v>9708</v>
      </c>
      <c r="D3369" s="2" t="s">
        <v>2863</v>
      </c>
      <c r="E3369" s="2" t="b">
        <v>1</v>
      </c>
      <c r="F3369" s="2" t="b">
        <v>0</v>
      </c>
      <c r="G3369" s="2" t="s">
        <v>9937</v>
      </c>
      <c r="H3369" s="3" t="str">
        <f>_xlfn.IFNA(INDEX(RulebookFields!C2:C999, MATCH(D3369,RulebookFields!A2:A999, 0)), "")</f>
        <v>Steps</v>
      </c>
      <c r="I3369" s="3" t="str">
        <f>_xlfn.IFNA(INDEX(RulebookFields!D2:D999, MATCH(D3369,RulebookFields!A2:A999, 0)), "")</f>
        <v>IsPreparationStep</v>
      </c>
      <c r="J3369" s="3" t="b">
        <f>_xlfn.IFNA(INDEX(RulebookFields!I2:I999, MATCH(D3369,RulebookFields!A2:A999, 0)), "")</f>
        <v>1</v>
      </c>
      <c r="K3369" s="3" t="b">
        <f>AND(F3369, J3369)</f>
        <v>0</v>
      </c>
      <c r="L3369" s="3" t="b">
        <f>AND(G3369 &lt;&gt; "plain", G3369 &lt;&gt; "")</f>
        <v>0</v>
      </c>
      <c r="M3369" s="3" t="str">
        <f>IF(E3369, C3369 &amp; "|" &amp; H3369, "")</f>
        <v>principal-knowledge-authority|Steps</v>
      </c>
      <c r="N3369" s="2" t="s">
        <v>9938</v>
      </c>
    </row>
    <row r="3370">
      <c r="A3370" s="2" t="s">
        <v>13306</v>
      </c>
      <c r="B3370" s="3" t="str">
        <f>C3370 &amp; " -&gt; " &amp; D3370</f>
        <v>principal-knowledge-authority -&gt; Steps.IsApprovalStep</v>
      </c>
      <c r="C3370" s="2" t="s">
        <v>9708</v>
      </c>
      <c r="D3370" s="2" t="s">
        <v>2865</v>
      </c>
      <c r="E3370" s="2" t="b">
        <v>1</v>
      </c>
      <c r="F3370" s="2" t="b">
        <v>0</v>
      </c>
      <c r="G3370" s="2" t="s">
        <v>9937</v>
      </c>
      <c r="H3370" s="3" t="str">
        <f>_xlfn.IFNA(INDEX(RulebookFields!C2:C999, MATCH(D3370,RulebookFields!A2:A999, 0)), "")</f>
        <v>Steps</v>
      </c>
      <c r="I3370" s="3" t="str">
        <f>_xlfn.IFNA(INDEX(RulebookFields!D2:D999, MATCH(D3370,RulebookFields!A2:A999, 0)), "")</f>
        <v>IsApprovalStep</v>
      </c>
      <c r="J3370" s="3" t="b">
        <f>_xlfn.IFNA(INDEX(RulebookFields!I2:I999, MATCH(D3370,RulebookFields!A2:A999, 0)), "")</f>
        <v>1</v>
      </c>
      <c r="K3370" s="3" t="b">
        <f>AND(F3370, J3370)</f>
        <v>0</v>
      </c>
      <c r="L3370" s="3" t="b">
        <f>AND(G3370 &lt;&gt; "plain", G3370 &lt;&gt; "")</f>
        <v>0</v>
      </c>
      <c r="M3370" s="3" t="str">
        <f>IF(E3370, C3370 &amp; "|" &amp; H3370, "")</f>
        <v>principal-knowledge-authority|Steps</v>
      </c>
      <c r="N3370" s="2" t="s">
        <v>9938</v>
      </c>
    </row>
    <row r="3371">
      <c r="A3371" s="2" t="s">
        <v>13307</v>
      </c>
      <c r="B3371" s="3" t="str">
        <f>C3371 &amp; " -&gt; " &amp; D3371</f>
        <v>principal-knowledge-authority -&gt; Steps.StaleAuthoritativeBindingCount</v>
      </c>
      <c r="C3371" s="2" t="s">
        <v>9708</v>
      </c>
      <c r="D3371" s="2" t="s">
        <v>2867</v>
      </c>
      <c r="E3371" s="2" t="b">
        <v>1</v>
      </c>
      <c r="F3371" s="2" t="b">
        <v>0</v>
      </c>
      <c r="G3371" s="2" t="s">
        <v>9937</v>
      </c>
      <c r="H3371" s="3" t="str">
        <f>_xlfn.IFNA(INDEX(RulebookFields!C2:C999, MATCH(D3371,RulebookFields!A2:A999, 0)), "")</f>
        <v>Steps</v>
      </c>
      <c r="I3371" s="3" t="str">
        <f>_xlfn.IFNA(INDEX(RulebookFields!D2:D999, MATCH(D3371,RulebookFields!A2:A999, 0)), "")</f>
        <v>StaleAuthoritativeBindingCount</v>
      </c>
      <c r="J3371" s="3" t="b">
        <f>_xlfn.IFNA(INDEX(RulebookFields!I2:I999, MATCH(D3371,RulebookFields!A2:A999, 0)), "")</f>
        <v>1</v>
      </c>
      <c r="K3371" s="3" t="b">
        <f>AND(F3371, J3371)</f>
        <v>0</v>
      </c>
      <c r="L3371" s="3" t="b">
        <f>AND(G3371 &lt;&gt; "plain", G3371 &lt;&gt; "")</f>
        <v>0</v>
      </c>
      <c r="M3371" s="3" t="str">
        <f>IF(E3371, C3371 &amp; "|" &amp; H3371, "")</f>
        <v>principal-knowledge-authority|Steps</v>
      </c>
      <c r="N3371" s="2" t="s">
        <v>9938</v>
      </c>
    </row>
    <row r="3372">
      <c r="A3372" s="2" t="s">
        <v>13308</v>
      </c>
      <c r="B3372" s="3" t="str">
        <f>C3372 &amp; " -&gt; " &amp; D3372</f>
        <v>principal-knowledge-authority -&gt; Steps.InputsAreFresh</v>
      </c>
      <c r="C3372" s="2" t="s">
        <v>9708</v>
      </c>
      <c r="D3372" s="2" t="s">
        <v>2869</v>
      </c>
      <c r="E3372" s="2" t="b">
        <v>1</v>
      </c>
      <c r="F3372" s="2" t="b">
        <v>0</v>
      </c>
      <c r="G3372" s="2" t="s">
        <v>9937</v>
      </c>
      <c r="H3372" s="3" t="str">
        <f>_xlfn.IFNA(INDEX(RulebookFields!C2:C999, MATCH(D3372,RulebookFields!A2:A999, 0)), "")</f>
        <v>Steps</v>
      </c>
      <c r="I3372" s="3" t="str">
        <f>_xlfn.IFNA(INDEX(RulebookFields!D2:D999, MATCH(D3372,RulebookFields!A2:A999, 0)), "")</f>
        <v>InputsAreFresh</v>
      </c>
      <c r="J3372" s="3" t="b">
        <f>_xlfn.IFNA(INDEX(RulebookFields!I2:I999, MATCH(D3372,RulebookFields!A2:A999, 0)), "")</f>
        <v>1</v>
      </c>
      <c r="K3372" s="3" t="b">
        <f>AND(F3372, J3372)</f>
        <v>0</v>
      </c>
      <c r="L3372" s="3" t="b">
        <f>AND(G3372 &lt;&gt; "plain", G3372 &lt;&gt; "")</f>
        <v>0</v>
      </c>
      <c r="M3372" s="3" t="str">
        <f>IF(E3372, C3372 &amp; "|" &amp; H3372, "")</f>
        <v>principal-knowledge-authority|Steps</v>
      </c>
      <c r="N3372" s="2" t="s">
        <v>9938</v>
      </c>
    </row>
    <row r="3373">
      <c r="A3373" s="2" t="s">
        <v>13309</v>
      </c>
      <c r="B3373" s="3" t="str">
        <f>C3373 &amp; " -&gt; " &amp; D3373</f>
        <v>principal-knowledge-authority -&gt; Steps.IsSoftwareAssigned</v>
      </c>
      <c r="C3373" s="2" t="s">
        <v>9708</v>
      </c>
      <c r="D3373" s="2" t="s">
        <v>2871</v>
      </c>
      <c r="E3373" s="2" t="b">
        <v>1</v>
      </c>
      <c r="F3373" s="2" t="b">
        <v>0</v>
      </c>
      <c r="G3373" s="2" t="s">
        <v>9937</v>
      </c>
      <c r="H3373" s="3" t="str">
        <f>_xlfn.IFNA(INDEX(RulebookFields!C2:C999, MATCH(D3373,RulebookFields!A2:A999, 0)), "")</f>
        <v>Steps</v>
      </c>
      <c r="I3373" s="3" t="str">
        <f>_xlfn.IFNA(INDEX(RulebookFields!D2:D999, MATCH(D3373,RulebookFields!A2:A999, 0)), "")</f>
        <v>IsSoftwareAssigned</v>
      </c>
      <c r="J3373" s="3" t="b">
        <f>_xlfn.IFNA(INDEX(RulebookFields!I2:I999, MATCH(D3373,RulebookFields!A2:A999, 0)), "")</f>
        <v>1</v>
      </c>
      <c r="K3373" s="3" t="b">
        <f>AND(F3373, J3373)</f>
        <v>0</v>
      </c>
      <c r="L3373" s="3" t="b">
        <f>AND(G3373 &lt;&gt; "plain", G3373 &lt;&gt; "")</f>
        <v>0</v>
      </c>
      <c r="M3373" s="3" t="str">
        <f>IF(E3373, C3373 &amp; "|" &amp; H3373, "")</f>
        <v>principal-knowledge-authority|Steps</v>
      </c>
      <c r="N3373" s="2" t="s">
        <v>9938</v>
      </c>
    </row>
    <row r="3374">
      <c r="A3374" s="2" t="s">
        <v>13310</v>
      </c>
      <c r="B3374" s="3" t="str">
        <f>C3374 &amp; " -&gt; " &amp; D3374</f>
        <v>principal-knowledge-authority -&gt; Steps.IsHumanApprovalGate</v>
      </c>
      <c r="C3374" s="2" t="s">
        <v>9708</v>
      </c>
      <c r="D3374" s="2" t="s">
        <v>2873</v>
      </c>
      <c r="E3374" s="2" t="b">
        <v>1</v>
      </c>
      <c r="F3374" s="2" t="b">
        <v>0</v>
      </c>
      <c r="G3374" s="2" t="s">
        <v>9937</v>
      </c>
      <c r="H3374" s="3" t="str">
        <f>_xlfn.IFNA(INDEX(RulebookFields!C2:C999, MATCH(D3374,RulebookFields!A2:A999, 0)), "")</f>
        <v>Steps</v>
      </c>
      <c r="I3374" s="3" t="str">
        <f>_xlfn.IFNA(INDEX(RulebookFields!D2:D999, MATCH(D3374,RulebookFields!A2:A999, 0)), "")</f>
        <v>IsHumanApprovalGate</v>
      </c>
      <c r="J3374" s="3" t="b">
        <f>_xlfn.IFNA(INDEX(RulebookFields!I2:I999, MATCH(D3374,RulebookFields!A2:A999, 0)), "")</f>
        <v>1</v>
      </c>
      <c r="K3374" s="3" t="b">
        <f>AND(F3374, J3374)</f>
        <v>0</v>
      </c>
      <c r="L3374" s="3" t="b">
        <f>AND(G3374 &lt;&gt; "plain", G3374 &lt;&gt; "")</f>
        <v>0</v>
      </c>
      <c r="M3374" s="3" t="str">
        <f>IF(E3374, C3374 &amp; "|" &amp; H3374, "")</f>
        <v>principal-knowledge-authority|Steps</v>
      </c>
      <c r="N3374" s="2" t="s">
        <v>9938</v>
      </c>
    </row>
    <row r="3375">
      <c r="A3375" s="2" t="s">
        <v>13311</v>
      </c>
      <c r="B3375" s="3" t="str">
        <f>C3375 &amp; " -&gt; " &amp; D3375</f>
        <v>principal-knowledge-authority -&gt; Steps.GateHeldByHuman</v>
      </c>
      <c r="C3375" s="2" t="s">
        <v>9708</v>
      </c>
      <c r="D3375" s="2" t="s">
        <v>2875</v>
      </c>
      <c r="E3375" s="2" t="b">
        <v>1</v>
      </c>
      <c r="F3375" s="2" t="b">
        <v>0</v>
      </c>
      <c r="G3375" s="2" t="s">
        <v>9937</v>
      </c>
      <c r="H3375" s="3" t="str">
        <f>_xlfn.IFNA(INDEX(RulebookFields!C2:C999, MATCH(D3375,RulebookFields!A2:A999, 0)), "")</f>
        <v>Steps</v>
      </c>
      <c r="I3375" s="3" t="str">
        <f>_xlfn.IFNA(INDEX(RulebookFields!D2:D999, MATCH(D3375,RulebookFields!A2:A999, 0)), "")</f>
        <v>GateHeldByHuman</v>
      </c>
      <c r="J3375" s="3" t="b">
        <f>_xlfn.IFNA(INDEX(RulebookFields!I2:I999, MATCH(D3375,RulebookFields!A2:A999, 0)), "")</f>
        <v>1</v>
      </c>
      <c r="K3375" s="3" t="b">
        <f>AND(F3375, J3375)</f>
        <v>0</v>
      </c>
      <c r="L3375" s="3" t="b">
        <f>AND(G3375 &lt;&gt; "plain", G3375 &lt;&gt; "")</f>
        <v>0</v>
      </c>
      <c r="M3375" s="3" t="str">
        <f>IF(E3375, C3375 &amp; "|" &amp; H3375, "")</f>
        <v>principal-knowledge-authority|Steps</v>
      </c>
      <c r="N3375" s="2" t="s">
        <v>9938</v>
      </c>
    </row>
    <row r="3376">
      <c r="A3376" s="2" t="s">
        <v>13312</v>
      </c>
      <c r="B3376" s="3" t="str">
        <f>C3376 &amp; " -&gt; " &amp; D3376</f>
        <v>principal-knowledge-authority -&gt; Steps.BindingBoundaryCount</v>
      </c>
      <c r="C3376" s="2" t="s">
        <v>9708</v>
      </c>
      <c r="D3376" s="2" t="s">
        <v>2877</v>
      </c>
      <c r="E3376" s="2" t="b">
        <v>1</v>
      </c>
      <c r="F3376" s="2" t="b">
        <v>0</v>
      </c>
      <c r="G3376" s="2" t="s">
        <v>9937</v>
      </c>
      <c r="H3376" s="3" t="str">
        <f>_xlfn.IFNA(INDEX(RulebookFields!C2:C999, MATCH(D3376,RulebookFields!A2:A999, 0)), "")</f>
        <v>Steps</v>
      </c>
      <c r="I3376" s="3" t="str">
        <f>_xlfn.IFNA(INDEX(RulebookFields!D2:D999, MATCH(D3376,RulebookFields!A2:A999, 0)), "")</f>
        <v>BindingBoundaryCount</v>
      </c>
      <c r="J3376" s="3" t="b">
        <f>_xlfn.IFNA(INDEX(RulebookFields!I2:I999, MATCH(D3376,RulebookFields!A2:A999, 0)), "")</f>
        <v>1</v>
      </c>
      <c r="K3376" s="3" t="b">
        <f>AND(F3376, J3376)</f>
        <v>0</v>
      </c>
      <c r="L3376" s="3" t="b">
        <f>AND(G3376 &lt;&gt; "plain", G3376 &lt;&gt; "")</f>
        <v>0</v>
      </c>
      <c r="M3376" s="3" t="str">
        <f>IF(E3376, C3376 &amp; "|" &amp; H3376, "")</f>
        <v>principal-knowledge-authority|Steps</v>
      </c>
      <c r="N3376" s="2" t="s">
        <v>9938</v>
      </c>
    </row>
    <row r="3377">
      <c r="A3377" s="2" t="s">
        <v>13313</v>
      </c>
      <c r="B3377" s="3" t="str">
        <f>C3377 &amp; " -&gt; " &amp; D3377</f>
        <v>principal-knowledge-authority -&gt; Steps.AssignedRoleIsUngoverned</v>
      </c>
      <c r="C3377" s="2" t="s">
        <v>9708</v>
      </c>
      <c r="D3377" s="2" t="s">
        <v>2879</v>
      </c>
      <c r="E3377" s="2" t="b">
        <v>1</v>
      </c>
      <c r="F3377" s="2" t="b">
        <v>0</v>
      </c>
      <c r="G3377" s="2" t="s">
        <v>9937</v>
      </c>
      <c r="H3377" s="3" t="str">
        <f>_xlfn.IFNA(INDEX(RulebookFields!C2:C999, MATCH(D3377,RulebookFields!A2:A999, 0)), "")</f>
        <v>Steps</v>
      </c>
      <c r="I3377" s="3" t="str">
        <f>_xlfn.IFNA(INDEX(RulebookFields!D2:D999, MATCH(D3377,RulebookFields!A2:A999, 0)), "")</f>
        <v>AssignedRoleIsUngoverned</v>
      </c>
      <c r="J3377" s="3" t="b">
        <f>_xlfn.IFNA(INDEX(RulebookFields!I2:I999, MATCH(D3377,RulebookFields!A2:A999, 0)), "")</f>
        <v>1</v>
      </c>
      <c r="K3377" s="3" t="b">
        <f>AND(F3377, J3377)</f>
        <v>0</v>
      </c>
      <c r="L3377" s="3" t="b">
        <f>AND(G3377 &lt;&gt; "plain", G3377 &lt;&gt; "")</f>
        <v>0</v>
      </c>
      <c r="M3377" s="3" t="str">
        <f>IF(E3377, C3377 &amp; "|" &amp; H3377, "")</f>
        <v>principal-knowledge-authority|Steps</v>
      </c>
      <c r="N3377" s="2" t="s">
        <v>9938</v>
      </c>
    </row>
    <row r="3378">
      <c r="A3378" s="2" t="s">
        <v>13314</v>
      </c>
      <c r="B3378" s="3" t="str">
        <f>C3378 &amp; " -&gt; " &amp; D3378</f>
        <v>principal-knowledge-authority -&gt; Steps.UnusableBindingCount</v>
      </c>
      <c r="C3378" s="2" t="s">
        <v>9708</v>
      </c>
      <c r="D3378" s="2" t="s">
        <v>2881</v>
      </c>
      <c r="E3378" s="2" t="b">
        <v>1</v>
      </c>
      <c r="F3378" s="2" t="b">
        <v>0</v>
      </c>
      <c r="G3378" s="2" t="s">
        <v>9937</v>
      </c>
      <c r="H3378" s="3" t="str">
        <f>_xlfn.IFNA(INDEX(RulebookFields!C2:C999, MATCH(D3378,RulebookFields!A2:A999, 0)), "")</f>
        <v>Steps</v>
      </c>
      <c r="I3378" s="3" t="str">
        <f>_xlfn.IFNA(INDEX(RulebookFields!D2:D999, MATCH(D3378,RulebookFields!A2:A999, 0)), "")</f>
        <v>UnusableBindingCount</v>
      </c>
      <c r="J3378" s="3" t="b">
        <f>_xlfn.IFNA(INDEX(RulebookFields!I2:I999, MATCH(D3378,RulebookFields!A2:A999, 0)), "")</f>
        <v>1</v>
      </c>
      <c r="K3378" s="3" t="b">
        <f>AND(F3378, J3378)</f>
        <v>0</v>
      </c>
      <c r="L3378" s="3" t="b">
        <f>AND(G3378 &lt;&gt; "plain", G3378 &lt;&gt; "")</f>
        <v>0</v>
      </c>
      <c r="M3378" s="3" t="str">
        <f>IF(E3378, C3378 &amp; "|" &amp; H3378, "")</f>
        <v>principal-knowledge-authority|Steps</v>
      </c>
      <c r="N3378" s="2" t="s">
        <v>9938</v>
      </c>
    </row>
    <row r="3379">
      <c r="A3379" s="2" t="s">
        <v>13315</v>
      </c>
      <c r="B3379" s="3" t="str">
        <f>C3379 &amp; " -&gt; " &amp; D3379</f>
        <v>principal-knowledge-authority -&gt; Steps.AllSourcesUsable</v>
      </c>
      <c r="C3379" s="2" t="s">
        <v>9708</v>
      </c>
      <c r="D3379" s="2" t="s">
        <v>2883</v>
      </c>
      <c r="E3379" s="2" t="b">
        <v>1</v>
      </c>
      <c r="F3379" s="2" t="b">
        <v>0</v>
      </c>
      <c r="G3379" s="2" t="s">
        <v>9937</v>
      </c>
      <c r="H3379" s="3" t="str">
        <f>_xlfn.IFNA(INDEX(RulebookFields!C2:C999, MATCH(D3379,RulebookFields!A2:A999, 0)), "")</f>
        <v>Steps</v>
      </c>
      <c r="I3379" s="3" t="str">
        <f>_xlfn.IFNA(INDEX(RulebookFields!D2:D999, MATCH(D3379,RulebookFields!A2:A999, 0)), "")</f>
        <v>AllSourcesUsable</v>
      </c>
      <c r="J3379" s="3" t="b">
        <f>_xlfn.IFNA(INDEX(RulebookFields!I2:I999, MATCH(D3379,RulebookFields!A2:A999, 0)), "")</f>
        <v>1</v>
      </c>
      <c r="K3379" s="3" t="b">
        <f>AND(F3379, J3379)</f>
        <v>0</v>
      </c>
      <c r="L3379" s="3" t="b">
        <f>AND(G3379 &lt;&gt; "plain", G3379 &lt;&gt; "")</f>
        <v>0</v>
      </c>
      <c r="M3379" s="3" t="str">
        <f>IF(E3379, C3379 &amp; "|" &amp; H3379, "")</f>
        <v>principal-knowledge-authority|Steps</v>
      </c>
      <c r="N3379" s="2" t="s">
        <v>9938</v>
      </c>
    </row>
    <row r="3380">
      <c r="A3380" s="2" t="s">
        <v>13316</v>
      </c>
      <c r="B3380" s="3" t="str">
        <f>C3380 &amp; " -&gt; " &amp; D3380</f>
        <v>principal-knowledge-authority -&gt; Steps.ControlKind</v>
      </c>
      <c r="C3380" s="2" t="s">
        <v>9708</v>
      </c>
      <c r="D3380" s="2" t="s">
        <v>2885</v>
      </c>
      <c r="E3380" s="2" t="b">
        <v>1</v>
      </c>
      <c r="F3380" s="2" t="b">
        <v>0</v>
      </c>
      <c r="G3380" s="2" t="s">
        <v>9937</v>
      </c>
      <c r="H3380" s="3" t="str">
        <f>_xlfn.IFNA(INDEX(RulebookFields!C2:C999, MATCH(D3380,RulebookFields!A2:A999, 0)), "")</f>
        <v>Steps</v>
      </c>
      <c r="I3380" s="3" t="str">
        <f>_xlfn.IFNA(INDEX(RulebookFields!D2:D999, MATCH(D3380,RulebookFields!A2:A999, 0)), "")</f>
        <v>ControlKind</v>
      </c>
      <c r="J3380" s="3" t="b">
        <f>_xlfn.IFNA(INDEX(RulebookFields!I2:I999, MATCH(D3380,RulebookFields!A2:A999, 0)), "")</f>
        <v>0</v>
      </c>
      <c r="K3380" s="3" t="b">
        <f>AND(F3380, J3380)</f>
        <v>0</v>
      </c>
      <c r="L3380" s="3" t="b">
        <f>AND(G3380 &lt;&gt; "plain", G3380 &lt;&gt; "")</f>
        <v>0</v>
      </c>
      <c r="M3380" s="3" t="str">
        <f>IF(E3380, C3380 &amp; "|" &amp; H3380, "")</f>
        <v>principal-knowledge-authority|Steps</v>
      </c>
      <c r="N3380" s="2" t="s">
        <v>9938</v>
      </c>
    </row>
    <row r="3381">
      <c r="A3381" s="2" t="s">
        <v>13317</v>
      </c>
      <c r="B3381" s="3" t="str">
        <f>C3381 &amp; " -&gt; " &amp; D3381</f>
        <v>principal-knowledge-authority -&gt; Steps.UnwarrantedBoundaryCount</v>
      </c>
      <c r="C3381" s="2" t="s">
        <v>9708</v>
      </c>
      <c r="D3381" s="2" t="s">
        <v>2886</v>
      </c>
      <c r="E3381" s="2" t="b">
        <v>1</v>
      </c>
      <c r="F3381" s="2" t="b">
        <v>0</v>
      </c>
      <c r="G3381" s="2" t="s">
        <v>9937</v>
      </c>
      <c r="H3381" s="3" t="str">
        <f>_xlfn.IFNA(INDEX(RulebookFields!C2:C999, MATCH(D3381,RulebookFields!A2:A999, 0)), "")</f>
        <v>Steps</v>
      </c>
      <c r="I3381" s="3" t="str">
        <f>_xlfn.IFNA(INDEX(RulebookFields!D2:D999, MATCH(D3381,RulebookFields!A2:A999, 0)), "")</f>
        <v>UnwarrantedBoundaryCount</v>
      </c>
      <c r="J3381" s="3" t="b">
        <f>_xlfn.IFNA(INDEX(RulebookFields!I2:I999, MATCH(D3381,RulebookFields!A2:A999, 0)), "")</f>
        <v>1</v>
      </c>
      <c r="K3381" s="3" t="b">
        <f>AND(F3381, J3381)</f>
        <v>0</v>
      </c>
      <c r="L3381" s="3" t="b">
        <f>AND(G3381 &lt;&gt; "plain", G3381 &lt;&gt; "")</f>
        <v>0</v>
      </c>
      <c r="M3381" s="3" t="str">
        <f>IF(E3381, C3381 &amp; "|" &amp; H3381, "")</f>
        <v>principal-knowledge-authority|Steps</v>
      </c>
      <c r="N3381" s="2" t="s">
        <v>9938</v>
      </c>
    </row>
    <row r="3382">
      <c r="A3382" s="2" t="s">
        <v>13318</v>
      </c>
      <c r="B3382" s="3" t="str">
        <f>C3382 &amp; " -&gt; " &amp; D3382</f>
        <v>principal-knowledge-authority -&gt; Steps.IsGovernedByUnwarrantedBoundary</v>
      </c>
      <c r="C3382" s="2" t="s">
        <v>9708</v>
      </c>
      <c r="D3382" s="2" t="s">
        <v>2888</v>
      </c>
      <c r="E3382" s="2" t="b">
        <v>1</v>
      </c>
      <c r="F3382" s="2" t="b">
        <v>0</v>
      </c>
      <c r="G3382" s="2" t="s">
        <v>9937</v>
      </c>
      <c r="H3382" s="3" t="str">
        <f>_xlfn.IFNA(INDEX(RulebookFields!C2:C999, MATCH(D3382,RulebookFields!A2:A999, 0)), "")</f>
        <v>Steps</v>
      </c>
      <c r="I3382" s="3" t="str">
        <f>_xlfn.IFNA(INDEX(RulebookFields!D2:D999, MATCH(D3382,RulebookFields!A2:A999, 0)), "")</f>
        <v>IsGovernedByUnwarrantedBoundary</v>
      </c>
      <c r="J3382" s="3" t="b">
        <f>_xlfn.IFNA(INDEX(RulebookFields!I2:I999, MATCH(D3382,RulebookFields!A2:A999, 0)), "")</f>
        <v>1</v>
      </c>
      <c r="K3382" s="3" t="b">
        <f>AND(F3382, J3382)</f>
        <v>0</v>
      </c>
      <c r="L3382" s="3" t="b">
        <f>AND(G3382 &lt;&gt; "plain", G3382 &lt;&gt; "")</f>
        <v>0</v>
      </c>
      <c r="M3382" s="3" t="str">
        <f>IF(E3382, C3382 &amp; "|" &amp; H3382, "")</f>
        <v>principal-knowledge-authority|Steps</v>
      </c>
      <c r="N3382" s="2" t="s">
        <v>9938</v>
      </c>
    </row>
    <row r="3383">
      <c r="A3383" s="2" t="s">
        <v>13319</v>
      </c>
      <c r="B3383" s="3" t="str">
        <f>C3383 &amp; " -&gt; " &amp; D3383</f>
        <v>principal-knowledge-authority -&gt; Steps.SoftwareExecutionCount</v>
      </c>
      <c r="C3383" s="2" t="s">
        <v>9708</v>
      </c>
      <c r="D3383" s="2" t="s">
        <v>2890</v>
      </c>
      <c r="E3383" s="2" t="b">
        <v>1</v>
      </c>
      <c r="F3383" s="2" t="b">
        <v>0</v>
      </c>
      <c r="G3383" s="2" t="s">
        <v>9937</v>
      </c>
      <c r="H3383" s="3" t="str">
        <f>_xlfn.IFNA(INDEX(RulebookFields!C2:C999, MATCH(D3383,RulebookFields!A2:A999, 0)), "")</f>
        <v>Steps</v>
      </c>
      <c r="I3383" s="3" t="str">
        <f>_xlfn.IFNA(INDEX(RulebookFields!D2:D999, MATCH(D3383,RulebookFields!A2:A999, 0)), "")</f>
        <v>SoftwareExecutionCount</v>
      </c>
      <c r="J3383" s="3" t="b">
        <f>_xlfn.IFNA(INDEX(RulebookFields!I2:I999, MATCH(D3383,RulebookFields!A2:A999, 0)), "")</f>
        <v>1</v>
      </c>
      <c r="K3383" s="3" t="b">
        <f>AND(F3383, J3383)</f>
        <v>0</v>
      </c>
      <c r="L3383" s="3" t="b">
        <f>AND(G3383 &lt;&gt; "plain", G3383 &lt;&gt; "")</f>
        <v>0</v>
      </c>
      <c r="M3383" s="3" t="str">
        <f>IF(E3383, C3383 &amp; "|" &amp; H3383, "")</f>
        <v>principal-knowledge-authority|Steps</v>
      </c>
      <c r="N3383" s="2" t="s">
        <v>9938</v>
      </c>
    </row>
    <row r="3384">
      <c r="A3384" s="2" t="s">
        <v>13320</v>
      </c>
      <c r="B3384" s="3" t="str">
        <f>C3384 &amp; " -&gt; " &amp; D3384</f>
        <v>principal-knowledge-authority -&gt; Steps.HasBeenApproachedBySoftware</v>
      </c>
      <c r="C3384" s="2" t="s">
        <v>9708</v>
      </c>
      <c r="D3384" s="2" t="s">
        <v>2892</v>
      </c>
      <c r="E3384" s="2" t="b">
        <v>1</v>
      </c>
      <c r="F3384" s="2" t="b">
        <v>0</v>
      </c>
      <c r="G3384" s="2" t="s">
        <v>9937</v>
      </c>
      <c r="H3384" s="3" t="str">
        <f>_xlfn.IFNA(INDEX(RulebookFields!C2:C999, MATCH(D3384,RulebookFields!A2:A999, 0)), "")</f>
        <v>Steps</v>
      </c>
      <c r="I3384" s="3" t="str">
        <f>_xlfn.IFNA(INDEX(RulebookFields!D2:D999, MATCH(D3384,RulebookFields!A2:A999, 0)), "")</f>
        <v>HasBeenApproachedBySoftware</v>
      </c>
      <c r="J3384" s="3" t="b">
        <f>_xlfn.IFNA(INDEX(RulebookFields!I2:I999, MATCH(D3384,RulebookFields!A2:A999, 0)), "")</f>
        <v>1</v>
      </c>
      <c r="K3384" s="3" t="b">
        <f>AND(F3384, J3384)</f>
        <v>0</v>
      </c>
      <c r="L3384" s="3" t="b">
        <f>AND(G3384 &lt;&gt; "plain", G3384 &lt;&gt; "")</f>
        <v>0</v>
      </c>
      <c r="M3384" s="3" t="str">
        <f>IF(E3384, C3384 &amp; "|" &amp; H3384, "")</f>
        <v>principal-knowledge-authority|Steps</v>
      </c>
      <c r="N3384" s="2" t="s">
        <v>9938</v>
      </c>
    </row>
    <row r="3385">
      <c r="A3385" s="2" t="s">
        <v>13321</v>
      </c>
      <c r="B3385" s="3" t="str">
        <f>C3385 &amp; " -&gt; " &amp; D3385</f>
        <v>principal-knowledge-authority -&gt; Steps.IsUnexercisedHumanGate</v>
      </c>
      <c r="C3385" s="2" t="s">
        <v>9708</v>
      </c>
      <c r="D3385" s="2" t="s">
        <v>2894</v>
      </c>
      <c r="E3385" s="2" t="b">
        <v>1</v>
      </c>
      <c r="F3385" s="2" t="b">
        <v>0</v>
      </c>
      <c r="G3385" s="2" t="s">
        <v>9937</v>
      </c>
      <c r="H3385" s="3" t="str">
        <f>_xlfn.IFNA(INDEX(RulebookFields!C2:C999, MATCH(D3385,RulebookFields!A2:A999, 0)), "")</f>
        <v>Steps</v>
      </c>
      <c r="I3385" s="3" t="str">
        <f>_xlfn.IFNA(INDEX(RulebookFields!D2:D999, MATCH(D3385,RulebookFields!A2:A999, 0)), "")</f>
        <v>IsUnexercisedHumanGate</v>
      </c>
      <c r="J3385" s="3" t="b">
        <f>_xlfn.IFNA(INDEX(RulebookFields!I2:I999, MATCH(D3385,RulebookFields!A2:A999, 0)), "")</f>
        <v>1</v>
      </c>
      <c r="K3385" s="3" t="b">
        <f>AND(F3385, J3385)</f>
        <v>0</v>
      </c>
      <c r="L3385" s="3" t="b">
        <f>AND(G3385 &lt;&gt; "plain", G3385 &lt;&gt; "")</f>
        <v>0</v>
      </c>
      <c r="M3385" s="3" t="str">
        <f>IF(E3385, C3385 &amp; "|" &amp; H3385, "")</f>
        <v>principal-knowledge-authority|Steps</v>
      </c>
      <c r="N3385" s="2" t="s">
        <v>9938</v>
      </c>
    </row>
    <row r="3386">
      <c r="A3386" s="2" t="s">
        <v>13322</v>
      </c>
      <c r="B3386" s="3" t="str">
        <f>C3386 &amp; " -&gt; " &amp; D3386</f>
        <v>principal-knowledge-authority -&gt; Steps.IsDemonstratedHumanGate</v>
      </c>
      <c r="C3386" s="2" t="s">
        <v>9708</v>
      </c>
      <c r="D3386" s="2" t="s">
        <v>2896</v>
      </c>
      <c r="E3386" s="2" t="b">
        <v>1</v>
      </c>
      <c r="F3386" s="2" t="b">
        <v>0</v>
      </c>
      <c r="G3386" s="2" t="s">
        <v>9937</v>
      </c>
      <c r="H3386" s="3" t="str">
        <f>_xlfn.IFNA(INDEX(RulebookFields!C2:C999, MATCH(D3386,RulebookFields!A2:A999, 0)), "")</f>
        <v>Steps</v>
      </c>
      <c r="I3386" s="3" t="str">
        <f>_xlfn.IFNA(INDEX(RulebookFields!D2:D999, MATCH(D3386,RulebookFields!A2:A999, 0)), "")</f>
        <v>IsDemonstratedHumanGate</v>
      </c>
      <c r="J3386" s="3" t="b">
        <f>_xlfn.IFNA(INDEX(RulebookFields!I2:I999, MATCH(D3386,RulebookFields!A2:A999, 0)), "")</f>
        <v>1</v>
      </c>
      <c r="K3386" s="3" t="b">
        <f>AND(F3386, J3386)</f>
        <v>0</v>
      </c>
      <c r="L3386" s="3" t="b">
        <f>AND(G3386 &lt;&gt; "plain", G3386 &lt;&gt; "")</f>
        <v>0</v>
      </c>
      <c r="M3386" s="3" t="str">
        <f>IF(E3386, C3386 &amp; "|" &amp; H3386, "")</f>
        <v>principal-knowledge-authority|Steps</v>
      </c>
      <c r="N3386" s="2" t="s">
        <v>9938</v>
      </c>
    </row>
    <row r="3387">
      <c r="A3387" s="2" t="s">
        <v>13323</v>
      </c>
      <c r="B3387" s="3" t="str">
        <f>C3387 &amp; " -&gt; " &amp; D3387</f>
        <v>principal-knowledge-authority -&gt; Steps.UnexercisedGateVersionKey</v>
      </c>
      <c r="C3387" s="2" t="s">
        <v>9708</v>
      </c>
      <c r="D3387" s="2" t="s">
        <v>2898</v>
      </c>
      <c r="E3387" s="2" t="b">
        <v>1</v>
      </c>
      <c r="F3387" s="2" t="b">
        <v>0</v>
      </c>
      <c r="G3387" s="2" t="s">
        <v>9937</v>
      </c>
      <c r="H3387" s="3" t="str">
        <f>_xlfn.IFNA(INDEX(RulebookFields!C2:C999, MATCH(D3387,RulebookFields!A2:A999, 0)), "")</f>
        <v>Steps</v>
      </c>
      <c r="I3387" s="3" t="str">
        <f>_xlfn.IFNA(INDEX(RulebookFields!D2:D999, MATCH(D3387,RulebookFields!A2:A999, 0)), "")</f>
        <v>UnexercisedGateVersionKey</v>
      </c>
      <c r="J3387" s="3" t="b">
        <f>_xlfn.IFNA(INDEX(RulebookFields!I2:I999, MATCH(D3387,RulebookFields!A2:A999, 0)), "")</f>
        <v>1</v>
      </c>
      <c r="K3387" s="3" t="b">
        <f>AND(F3387, J3387)</f>
        <v>0</v>
      </c>
      <c r="L3387" s="3" t="b">
        <f>AND(G3387 &lt;&gt; "plain", G3387 &lt;&gt; "")</f>
        <v>0</v>
      </c>
      <c r="M3387" s="3" t="str">
        <f>IF(E3387, C3387 &amp; "|" &amp; H3387, "")</f>
        <v>principal-knowledge-authority|Steps</v>
      </c>
      <c r="N3387" s="2" t="s">
        <v>9938</v>
      </c>
    </row>
    <row r="3388">
      <c r="A3388" s="2" t="s">
        <v>13324</v>
      </c>
      <c r="B3388" s="3" t="str">
        <f>C3388 &amp; " -&gt; " &amp; D3388</f>
        <v>principal-knowledge-authority -&gt; Steps.HasDeclaredControlKind</v>
      </c>
      <c r="C3388" s="2" t="s">
        <v>9708</v>
      </c>
      <c r="D3388" s="2" t="s">
        <v>2900</v>
      </c>
      <c r="E3388" s="2" t="b">
        <v>1</v>
      </c>
      <c r="F3388" s="2" t="b">
        <v>0</v>
      </c>
      <c r="G3388" s="2" t="s">
        <v>9937</v>
      </c>
      <c r="H3388" s="3" t="str">
        <f>_xlfn.IFNA(INDEX(RulebookFields!C2:C999, MATCH(D3388,RulebookFields!A2:A999, 0)), "")</f>
        <v>Steps</v>
      </c>
      <c r="I3388" s="3" t="str">
        <f>_xlfn.IFNA(INDEX(RulebookFields!D2:D999, MATCH(D3388,RulebookFields!A2:A999, 0)), "")</f>
        <v>HasDeclaredControlKind</v>
      </c>
      <c r="J3388" s="3" t="b">
        <f>_xlfn.IFNA(INDEX(RulebookFields!I2:I999, MATCH(D3388,RulebookFields!A2:A999, 0)), "")</f>
        <v>1</v>
      </c>
      <c r="K3388" s="3" t="b">
        <f>AND(F3388, J3388)</f>
        <v>0</v>
      </c>
      <c r="L3388" s="3" t="b">
        <f>AND(G3388 &lt;&gt; "plain", G3388 &lt;&gt; "")</f>
        <v>0</v>
      </c>
      <c r="M3388" s="3" t="str">
        <f>IF(E3388, C3388 &amp; "|" &amp; H3388, "")</f>
        <v>principal-knowledge-authority|Steps</v>
      </c>
      <c r="N3388" s="2" t="s">
        <v>9938</v>
      </c>
    </row>
    <row r="3389">
      <c r="A3389" s="2" t="s">
        <v>13325</v>
      </c>
      <c r="B3389" s="3" t="str">
        <f>C3389 &amp; " -&gt; " &amp; D3389</f>
        <v>principal-knowledge-authority -&gt; Steps.UndeclaredControlVersionKey</v>
      </c>
      <c r="C3389" s="2" t="s">
        <v>9708</v>
      </c>
      <c r="D3389" s="2" t="s">
        <v>2902</v>
      </c>
      <c r="E3389" s="2" t="b">
        <v>1</v>
      </c>
      <c r="F3389" s="2" t="b">
        <v>0</v>
      </c>
      <c r="G3389" s="2" t="s">
        <v>9937</v>
      </c>
      <c r="H3389" s="3" t="str">
        <f>_xlfn.IFNA(INDEX(RulebookFields!C2:C999, MATCH(D3389,RulebookFields!A2:A999, 0)), "")</f>
        <v>Steps</v>
      </c>
      <c r="I3389" s="3" t="str">
        <f>_xlfn.IFNA(INDEX(RulebookFields!D2:D999, MATCH(D3389,RulebookFields!A2:A999, 0)), "")</f>
        <v>UndeclaredControlVersionKey</v>
      </c>
      <c r="J3389" s="3" t="b">
        <f>_xlfn.IFNA(INDEX(RulebookFields!I2:I999, MATCH(D3389,RulebookFields!A2:A999, 0)), "")</f>
        <v>1</v>
      </c>
      <c r="K3389" s="3" t="b">
        <f>AND(F3389, J3389)</f>
        <v>0</v>
      </c>
      <c r="L3389" s="3" t="b">
        <f>AND(G3389 &lt;&gt; "plain", G3389 &lt;&gt; "")</f>
        <v>0</v>
      </c>
      <c r="M3389" s="3" t="str">
        <f>IF(E3389, C3389 &amp; "|" &amp; H3389, "")</f>
        <v>principal-knowledge-authority|Steps</v>
      </c>
      <c r="N3389" s="2" t="s">
        <v>9938</v>
      </c>
    </row>
    <row r="3390">
      <c r="A3390" s="2" t="s">
        <v>13326</v>
      </c>
      <c r="B3390" s="3" t="str">
        <f>C3390 &amp; " -&gt; " &amp; D3390</f>
        <v>principal-knowledge-authority -&gt; Steps.ApprovalStepIsSoftwareAssigned</v>
      </c>
      <c r="C3390" s="2" t="s">
        <v>9708</v>
      </c>
      <c r="D3390" s="2" t="s">
        <v>2904</v>
      </c>
      <c r="E3390" s="2" t="b">
        <v>1</v>
      </c>
      <c r="F3390" s="2" t="b">
        <v>0</v>
      </c>
      <c r="G3390" s="2" t="s">
        <v>9937</v>
      </c>
      <c r="H3390" s="3" t="str">
        <f>_xlfn.IFNA(INDEX(RulebookFields!C2:C999, MATCH(D3390,RulebookFields!A2:A999, 0)), "")</f>
        <v>Steps</v>
      </c>
      <c r="I3390" s="3" t="str">
        <f>_xlfn.IFNA(INDEX(RulebookFields!D2:D999, MATCH(D3390,RulebookFields!A2:A999, 0)), "")</f>
        <v>ApprovalStepIsSoftwareAssigned</v>
      </c>
      <c r="J3390" s="3" t="b">
        <f>_xlfn.IFNA(INDEX(RulebookFields!I2:I999, MATCH(D3390,RulebookFields!A2:A999, 0)), "")</f>
        <v>1</v>
      </c>
      <c r="K3390" s="3" t="b">
        <f>AND(F3390, J3390)</f>
        <v>0</v>
      </c>
      <c r="L3390" s="3" t="b">
        <f>AND(G3390 &lt;&gt; "plain", G3390 &lt;&gt; "")</f>
        <v>0</v>
      </c>
      <c r="M3390" s="3" t="str">
        <f>IF(E3390, C3390 &amp; "|" &amp; H3390, "")</f>
        <v>principal-knowledge-authority|Steps</v>
      </c>
      <c r="N3390" s="2" t="s">
        <v>9938</v>
      </c>
    </row>
    <row r="3391">
      <c r="A3391" s="2" t="s">
        <v>13327</v>
      </c>
      <c r="B3391" s="3" t="str">
        <f>C3391 &amp; " -&gt; " &amp; D3391</f>
        <v>principal-knowledge-authority -&gt; Steps.UnwitnessedBlockingCount</v>
      </c>
      <c r="C3391" s="2" t="s">
        <v>9708</v>
      </c>
      <c r="D3391" s="2" t="s">
        <v>2906</v>
      </c>
      <c r="E3391" s="2" t="b">
        <v>1</v>
      </c>
      <c r="F3391" s="2" t="b">
        <v>0</v>
      </c>
      <c r="G3391" s="2" t="s">
        <v>9937</v>
      </c>
      <c r="H3391" s="3" t="str">
        <f>_xlfn.IFNA(INDEX(RulebookFields!C2:C999, MATCH(D3391,RulebookFields!A2:A999, 0)), "")</f>
        <v>Steps</v>
      </c>
      <c r="I3391" s="3" t="str">
        <f>_xlfn.IFNA(INDEX(RulebookFields!D2:D999, MATCH(D3391,RulebookFields!A2:A999, 0)), "")</f>
        <v>UnwitnessedBlockingCount</v>
      </c>
      <c r="J3391" s="3" t="b">
        <f>_xlfn.IFNA(INDEX(RulebookFields!I2:I999, MATCH(D3391,RulebookFields!A2:A999, 0)), "")</f>
        <v>1</v>
      </c>
      <c r="K3391" s="3" t="b">
        <f>AND(F3391, J3391)</f>
        <v>0</v>
      </c>
      <c r="L3391" s="3" t="b">
        <f>AND(G3391 &lt;&gt; "plain", G3391 &lt;&gt; "")</f>
        <v>0</v>
      </c>
      <c r="M3391" s="3" t="str">
        <f>IF(E3391, C3391 &amp; "|" &amp; H3391, "")</f>
        <v>principal-knowledge-authority|Steps</v>
      </c>
      <c r="N3391" s="2" t="s">
        <v>9938</v>
      </c>
    </row>
    <row r="3392">
      <c r="A3392" s="2" t="s">
        <v>13328</v>
      </c>
      <c r="B3392" s="3" t="str">
        <f>C3392 &amp; " -&gt; " &amp; D3392</f>
        <v>principal-knowledge-authority -&gt; Steps.SemanticTypeIri</v>
      </c>
      <c r="C3392" s="2" t="s">
        <v>9708</v>
      </c>
      <c r="D3392" s="2" t="s">
        <v>2908</v>
      </c>
      <c r="E3392" s="2" t="b">
        <v>1</v>
      </c>
      <c r="F3392" s="2" t="b">
        <v>0</v>
      </c>
      <c r="G3392" s="2" t="s">
        <v>9937</v>
      </c>
      <c r="H3392" s="3" t="str">
        <f>_xlfn.IFNA(INDEX(RulebookFields!C2:C999, MATCH(D3392,RulebookFields!A2:A999, 0)), "")</f>
        <v>Steps</v>
      </c>
      <c r="I3392" s="3" t="str">
        <f>_xlfn.IFNA(INDEX(RulebookFields!D2:D999, MATCH(D3392,RulebookFields!A2:A999, 0)), "")</f>
        <v>SemanticTypeIri</v>
      </c>
      <c r="J3392" s="3" t="b">
        <f>_xlfn.IFNA(INDEX(RulebookFields!I2:I999, MATCH(D3392,RulebookFields!A2:A999, 0)), "")</f>
        <v>0</v>
      </c>
      <c r="K3392" s="3" t="b">
        <f>AND(F3392, J3392)</f>
        <v>0</v>
      </c>
      <c r="L3392" s="3" t="b">
        <f>AND(G3392 &lt;&gt; "plain", G3392 &lt;&gt; "")</f>
        <v>0</v>
      </c>
      <c r="M3392" s="3" t="str">
        <f>IF(E3392, C3392 &amp; "|" &amp; H3392, "")</f>
        <v>principal-knowledge-authority|Steps</v>
      </c>
      <c r="N3392" s="2" t="s">
        <v>9938</v>
      </c>
    </row>
    <row r="3393">
      <c r="A3393" s="2" t="s">
        <v>13329</v>
      </c>
      <c r="B3393" s="3" t="str">
        <f>C3393 &amp; " -&gt; " &amp; D3393</f>
        <v>principal-knowledge-authority -&gt; StewardshipAssignments.StewardshipAssignmentId</v>
      </c>
      <c r="C3393" s="2" t="s">
        <v>9708</v>
      </c>
      <c r="D3393" s="2" t="s">
        <v>3830</v>
      </c>
      <c r="E3393" s="2" t="b">
        <v>1</v>
      </c>
      <c r="F3393" s="2" t="b">
        <v>0</v>
      </c>
      <c r="G3393" s="2" t="s">
        <v>9937</v>
      </c>
      <c r="H3393" s="3" t="str">
        <f>_xlfn.IFNA(INDEX(RulebookFields!C2:C999, MATCH(D3393,RulebookFields!A2:A999, 0)), "")</f>
        <v>StewardshipAssignments</v>
      </c>
      <c r="I3393" s="3" t="str">
        <f>_xlfn.IFNA(INDEX(RulebookFields!D2:D999, MATCH(D3393,RulebookFields!A2:A999, 0)), "")</f>
        <v>StewardshipAssignmentId</v>
      </c>
      <c r="J3393" s="3" t="b">
        <f>_xlfn.IFNA(INDEX(RulebookFields!I2:I999, MATCH(D3393,RulebookFields!A2:A999, 0)), "")</f>
        <v>0</v>
      </c>
      <c r="K3393" s="3" t="b">
        <f>AND(F3393, J3393)</f>
        <v>0</v>
      </c>
      <c r="L3393" s="3" t="b">
        <f>AND(G3393 &lt;&gt; "plain", G3393 &lt;&gt; "")</f>
        <v>0</v>
      </c>
      <c r="M3393" s="3" t="str">
        <f>IF(E3393, C3393 &amp; "|" &amp; H3393, "")</f>
        <v>principal-knowledge-authority|StewardshipAssignments</v>
      </c>
      <c r="N3393" s="2" t="s">
        <v>9938</v>
      </c>
    </row>
    <row r="3394">
      <c r="A3394" s="2" t="s">
        <v>13330</v>
      </c>
      <c r="B3394" s="3" t="str">
        <f>C3394 &amp; " -&gt; " &amp; D3394</f>
        <v>principal-knowledge-authority -&gt; StewardshipAssignments.Name</v>
      </c>
      <c r="C3394" s="2" t="s">
        <v>9708</v>
      </c>
      <c r="D3394" s="2" t="s">
        <v>3831</v>
      </c>
      <c r="E3394" s="2" t="b">
        <v>1</v>
      </c>
      <c r="F3394" s="2" t="b">
        <v>0</v>
      </c>
      <c r="G3394" s="2" t="s">
        <v>9937</v>
      </c>
      <c r="H3394" s="3" t="str">
        <f>_xlfn.IFNA(INDEX(RulebookFields!C2:C999, MATCH(D3394,RulebookFields!A2:A999, 0)), "")</f>
        <v>StewardshipAssignments</v>
      </c>
      <c r="I3394" s="3" t="str">
        <f>_xlfn.IFNA(INDEX(RulebookFields!D2:D999, MATCH(D3394,RulebookFields!A2:A999, 0)), "")</f>
        <v>Name</v>
      </c>
      <c r="J3394" s="3" t="b">
        <f>_xlfn.IFNA(INDEX(RulebookFields!I2:I999, MATCH(D3394,RulebookFields!A2:A999, 0)), "")</f>
        <v>1</v>
      </c>
      <c r="K3394" s="3" t="b">
        <f>AND(F3394, J3394)</f>
        <v>0</v>
      </c>
      <c r="L3394" s="3" t="b">
        <f>AND(G3394 &lt;&gt; "plain", G3394 &lt;&gt; "")</f>
        <v>0</v>
      </c>
      <c r="M3394" s="3" t="str">
        <f>IF(E3394, C3394 &amp; "|" &amp; H3394, "")</f>
        <v>principal-knowledge-authority|StewardshipAssignments</v>
      </c>
      <c r="N3394" s="2" t="s">
        <v>9938</v>
      </c>
    </row>
    <row r="3395">
      <c r="A3395" s="2" t="s">
        <v>13331</v>
      </c>
      <c r="B3395" s="3" t="str">
        <f>C3395 &amp; " -&gt; " &amp; D3395</f>
        <v>principal-knowledge-authority -&gt; StewardshipAssignments.ProcedureVersion</v>
      </c>
      <c r="C3395" s="2" t="s">
        <v>9708</v>
      </c>
      <c r="D3395" s="2" t="s">
        <v>3833</v>
      </c>
      <c r="E3395" s="2" t="b">
        <v>1</v>
      </c>
      <c r="F3395" s="2" t="b">
        <v>0</v>
      </c>
      <c r="G3395" s="2" t="s">
        <v>9937</v>
      </c>
      <c r="H3395" s="3" t="str">
        <f>_xlfn.IFNA(INDEX(RulebookFields!C2:C999, MATCH(D3395,RulebookFields!A2:A999, 0)), "")</f>
        <v>StewardshipAssignments</v>
      </c>
      <c r="I3395" s="3" t="str">
        <f>_xlfn.IFNA(INDEX(RulebookFields!D2:D999, MATCH(D3395,RulebookFields!A2:A999, 0)), "")</f>
        <v>ProcedureVersion</v>
      </c>
      <c r="J3395" s="3" t="b">
        <f>_xlfn.IFNA(INDEX(RulebookFields!I2:I999, MATCH(D3395,RulebookFields!A2:A999, 0)), "")</f>
        <v>0</v>
      </c>
      <c r="K3395" s="3" t="b">
        <f>AND(F3395, J3395)</f>
        <v>0</v>
      </c>
      <c r="L3395" s="3" t="b">
        <f>AND(G3395 &lt;&gt; "plain", G3395 &lt;&gt; "")</f>
        <v>0</v>
      </c>
      <c r="M3395" s="3" t="str">
        <f>IF(E3395, C3395 &amp; "|" &amp; H3395, "")</f>
        <v>principal-knowledge-authority|StewardshipAssignments</v>
      </c>
      <c r="N3395" s="2" t="s">
        <v>9938</v>
      </c>
    </row>
    <row r="3396">
      <c r="A3396" s="2" t="s">
        <v>13332</v>
      </c>
      <c r="B3396" s="3" t="str">
        <f>C3396 &amp; " -&gt; " &amp; D3396</f>
        <v>principal-knowledge-authority -&gt; StewardshipAssignments.StewardRole</v>
      </c>
      <c r="C3396" s="2" t="s">
        <v>9708</v>
      </c>
      <c r="D3396" s="2" t="s">
        <v>3834</v>
      </c>
      <c r="E3396" s="2" t="b">
        <v>1</v>
      </c>
      <c r="F3396" s="2" t="b">
        <v>0</v>
      </c>
      <c r="G3396" s="2" t="s">
        <v>9937</v>
      </c>
      <c r="H3396" s="3" t="str">
        <f>_xlfn.IFNA(INDEX(RulebookFields!C2:C999, MATCH(D3396,RulebookFields!A2:A999, 0)), "")</f>
        <v>StewardshipAssignments</v>
      </c>
      <c r="I3396" s="3" t="str">
        <f>_xlfn.IFNA(INDEX(RulebookFields!D2:D999, MATCH(D3396,RulebookFields!A2:A999, 0)), "")</f>
        <v>StewardRole</v>
      </c>
      <c r="J3396" s="3" t="b">
        <f>_xlfn.IFNA(INDEX(RulebookFields!I2:I999, MATCH(D3396,RulebookFields!A2:A999, 0)), "")</f>
        <v>0</v>
      </c>
      <c r="K3396" s="3" t="b">
        <f>AND(F3396, J3396)</f>
        <v>0</v>
      </c>
      <c r="L3396" s="3" t="b">
        <f>AND(G3396 &lt;&gt; "plain", G3396 &lt;&gt; "")</f>
        <v>0</v>
      </c>
      <c r="M3396" s="3" t="str">
        <f>IF(E3396, C3396 &amp; "|" &amp; H3396, "")</f>
        <v>principal-knowledge-authority|StewardshipAssignments</v>
      </c>
      <c r="N3396" s="2" t="s">
        <v>9938</v>
      </c>
    </row>
    <row r="3397">
      <c r="A3397" s="2" t="s">
        <v>13333</v>
      </c>
      <c r="B3397" s="3" t="str">
        <f>C3397 &amp; " -&gt; " &amp; D3397</f>
        <v>principal-knowledge-authority -&gt; StewardshipAssignments.AuthorityRole</v>
      </c>
      <c r="C3397" s="2" t="s">
        <v>9708</v>
      </c>
      <c r="D3397" s="2" t="s">
        <v>3835</v>
      </c>
      <c r="E3397" s="2" t="b">
        <v>1</v>
      </c>
      <c r="F3397" s="2" t="b">
        <v>0</v>
      </c>
      <c r="G3397" s="2" t="s">
        <v>9937</v>
      </c>
      <c r="H3397" s="3" t="str">
        <f>_xlfn.IFNA(INDEX(RulebookFields!C2:C999, MATCH(D3397,RulebookFields!A2:A999, 0)), "")</f>
        <v>StewardshipAssignments</v>
      </c>
      <c r="I3397" s="3" t="str">
        <f>_xlfn.IFNA(INDEX(RulebookFields!D2:D999, MATCH(D3397,RulebookFields!A2:A999, 0)), "")</f>
        <v>AuthorityRole</v>
      </c>
      <c r="J3397" s="3" t="b">
        <f>_xlfn.IFNA(INDEX(RulebookFields!I2:I999, MATCH(D3397,RulebookFields!A2:A999, 0)), "")</f>
        <v>0</v>
      </c>
      <c r="K3397" s="3" t="b">
        <f>AND(F3397, J3397)</f>
        <v>0</v>
      </c>
      <c r="L3397" s="3" t="b">
        <f>AND(G3397 &lt;&gt; "plain", G3397 &lt;&gt; "")</f>
        <v>0</v>
      </c>
      <c r="M3397" s="3" t="str">
        <f>IF(E3397, C3397 &amp; "|" &amp; H3397, "")</f>
        <v>principal-knowledge-authority|StewardshipAssignments</v>
      </c>
      <c r="N3397" s="2" t="s">
        <v>9938</v>
      </c>
    </row>
    <row r="3398">
      <c r="A3398" s="2" t="s">
        <v>13334</v>
      </c>
      <c r="B3398" s="3" t="str">
        <f>C3398 &amp; " -&gt; " &amp; D3398</f>
        <v>principal-knowledge-authority -&gt; StewardshipAssignments.ValidFrom</v>
      </c>
      <c r="C3398" s="2" t="s">
        <v>9708</v>
      </c>
      <c r="D3398" s="2" t="s">
        <v>3836</v>
      </c>
      <c r="E3398" s="2" t="b">
        <v>1</v>
      </c>
      <c r="F3398" s="2" t="b">
        <v>0</v>
      </c>
      <c r="G3398" s="2" t="s">
        <v>9937</v>
      </c>
      <c r="H3398" s="3" t="str">
        <f>_xlfn.IFNA(INDEX(RulebookFields!C2:C999, MATCH(D3398,RulebookFields!A2:A999, 0)), "")</f>
        <v>StewardshipAssignments</v>
      </c>
      <c r="I3398" s="3" t="str">
        <f>_xlfn.IFNA(INDEX(RulebookFields!D2:D999, MATCH(D3398,RulebookFields!A2:A999, 0)), "")</f>
        <v>ValidFrom</v>
      </c>
      <c r="J3398" s="3" t="b">
        <f>_xlfn.IFNA(INDEX(RulebookFields!I2:I999, MATCH(D3398,RulebookFields!A2:A999, 0)), "")</f>
        <v>0</v>
      </c>
      <c r="K3398" s="3" t="b">
        <f>AND(F3398, J3398)</f>
        <v>0</v>
      </c>
      <c r="L3398" s="3" t="b">
        <f>AND(G3398 &lt;&gt; "plain", G3398 &lt;&gt; "")</f>
        <v>0</v>
      </c>
      <c r="M3398" s="3" t="str">
        <f>IF(E3398, C3398 &amp; "|" &amp; H3398, "")</f>
        <v>principal-knowledge-authority|StewardshipAssignments</v>
      </c>
      <c r="N3398" s="2" t="s">
        <v>9938</v>
      </c>
    </row>
    <row r="3399">
      <c r="A3399" s="2" t="s">
        <v>13335</v>
      </c>
      <c r="B3399" s="3" t="str">
        <f>C3399 &amp; " -&gt; " &amp; D3399</f>
        <v>principal-knowledge-authority -&gt; StewardshipAssignments.ValidTo</v>
      </c>
      <c r="C3399" s="2" t="s">
        <v>9708</v>
      </c>
      <c r="D3399" s="2" t="s">
        <v>3837</v>
      </c>
      <c r="E3399" s="2" t="b">
        <v>1</v>
      </c>
      <c r="F3399" s="2" t="b">
        <v>0</v>
      </c>
      <c r="G3399" s="2" t="s">
        <v>9937</v>
      </c>
      <c r="H3399" s="3" t="str">
        <f>_xlfn.IFNA(INDEX(RulebookFields!C2:C999, MATCH(D3399,RulebookFields!A2:A999, 0)), "")</f>
        <v>StewardshipAssignments</v>
      </c>
      <c r="I3399" s="3" t="str">
        <f>_xlfn.IFNA(INDEX(RulebookFields!D2:D999, MATCH(D3399,RulebookFields!A2:A999, 0)), "")</f>
        <v>ValidTo</v>
      </c>
      <c r="J3399" s="3" t="b">
        <f>_xlfn.IFNA(INDEX(RulebookFields!I2:I999, MATCH(D3399,RulebookFields!A2:A999, 0)), "")</f>
        <v>0</v>
      </c>
      <c r="K3399" s="3" t="b">
        <f>AND(F3399, J3399)</f>
        <v>0</v>
      </c>
      <c r="L3399" s="3" t="b">
        <f>AND(G3399 &lt;&gt; "plain", G3399 &lt;&gt; "")</f>
        <v>0</v>
      </c>
      <c r="M3399" s="3" t="str">
        <f>IF(E3399, C3399 &amp; "|" &amp; H3399, "")</f>
        <v>principal-knowledge-authority|StewardshipAssignments</v>
      </c>
      <c r="N3399" s="2" t="s">
        <v>9938</v>
      </c>
    </row>
    <row r="3400">
      <c r="A3400" s="2" t="s">
        <v>13336</v>
      </c>
      <c r="B3400" s="3" t="str">
        <f>C3400 &amp; " -&gt; " &amp; D3400</f>
        <v>principal-knowledge-authority -&gt; StewardshipAssignments.ReviewCadenceDays</v>
      </c>
      <c r="C3400" s="2" t="s">
        <v>9708</v>
      </c>
      <c r="D3400" s="2" t="s">
        <v>3838</v>
      </c>
      <c r="E3400" s="2" t="b">
        <v>1</v>
      </c>
      <c r="F3400" s="2" t="b">
        <v>0</v>
      </c>
      <c r="G3400" s="2" t="s">
        <v>9937</v>
      </c>
      <c r="H3400" s="3" t="str">
        <f>_xlfn.IFNA(INDEX(RulebookFields!C2:C999, MATCH(D3400,RulebookFields!A2:A999, 0)), "")</f>
        <v>StewardshipAssignments</v>
      </c>
      <c r="I3400" s="3" t="str">
        <f>_xlfn.IFNA(INDEX(RulebookFields!D2:D999, MATCH(D3400,RulebookFields!A2:A999, 0)), "")</f>
        <v>ReviewCadenceDays</v>
      </c>
      <c r="J3400" s="3" t="b">
        <f>_xlfn.IFNA(INDEX(RulebookFields!I2:I999, MATCH(D3400,RulebookFields!A2:A999, 0)), "")</f>
        <v>0</v>
      </c>
      <c r="K3400" s="3" t="b">
        <f>AND(F3400, J3400)</f>
        <v>0</v>
      </c>
      <c r="L3400" s="3" t="b">
        <f>AND(G3400 &lt;&gt; "plain", G3400 &lt;&gt; "")</f>
        <v>0</v>
      </c>
      <c r="M3400" s="3" t="str">
        <f>IF(E3400, C3400 &amp; "|" &amp; H3400, "")</f>
        <v>principal-knowledge-authority|StewardshipAssignments</v>
      </c>
      <c r="N3400" s="2" t="s">
        <v>9938</v>
      </c>
    </row>
    <row r="3401">
      <c r="A3401" s="2" t="s">
        <v>13337</v>
      </c>
      <c r="B3401" s="3" t="str">
        <f>C3401 &amp; " -&gt; " &amp; D3401</f>
        <v>principal-knowledge-authority -&gt; StewardshipAssignments.CountOfReviewEvents</v>
      </c>
      <c r="C3401" s="2" t="s">
        <v>9708</v>
      </c>
      <c r="D3401" s="2" t="s">
        <v>3839</v>
      </c>
      <c r="E3401" s="2" t="b">
        <v>1</v>
      </c>
      <c r="F3401" s="2" t="b">
        <v>0</v>
      </c>
      <c r="G3401" s="2" t="s">
        <v>9937</v>
      </c>
      <c r="H3401" s="3" t="str">
        <f>_xlfn.IFNA(INDEX(RulebookFields!C2:C999, MATCH(D3401,RulebookFields!A2:A999, 0)), "")</f>
        <v>StewardshipAssignments</v>
      </c>
      <c r="I3401" s="3" t="str">
        <f>_xlfn.IFNA(INDEX(RulebookFields!D2:D999, MATCH(D3401,RulebookFields!A2:A999, 0)), "")</f>
        <v>CountOfReviewEvents</v>
      </c>
      <c r="J3401" s="3" t="b">
        <f>_xlfn.IFNA(INDEX(RulebookFields!I2:I999, MATCH(D3401,RulebookFields!A2:A999, 0)), "")</f>
        <v>1</v>
      </c>
      <c r="K3401" s="3" t="b">
        <f>AND(F3401, J3401)</f>
        <v>0</v>
      </c>
      <c r="L3401" s="3" t="b">
        <f>AND(G3401 &lt;&gt; "plain", G3401 &lt;&gt; "")</f>
        <v>0</v>
      </c>
      <c r="M3401" s="3" t="str">
        <f>IF(E3401, C3401 &amp; "|" &amp; H3401, "")</f>
        <v>principal-knowledge-authority|StewardshipAssignments</v>
      </c>
      <c r="N3401" s="2" t="s">
        <v>9938</v>
      </c>
    </row>
    <row r="3402">
      <c r="A3402" s="2" t="s">
        <v>13338</v>
      </c>
      <c r="B3402" s="3" t="str">
        <f>C3402 &amp; " -&gt; " &amp; D3402</f>
        <v>principal-knowledge-authority -&gt; StewardshipAssignments.HasEverBeenReviewed</v>
      </c>
      <c r="C3402" s="2" t="s">
        <v>9708</v>
      </c>
      <c r="D3402" s="2" t="s">
        <v>3841</v>
      </c>
      <c r="E3402" s="2" t="b">
        <v>1</v>
      </c>
      <c r="F3402" s="2" t="b">
        <v>0</v>
      </c>
      <c r="G3402" s="2" t="s">
        <v>9937</v>
      </c>
      <c r="H3402" s="3" t="str">
        <f>_xlfn.IFNA(INDEX(RulebookFields!C2:C999, MATCH(D3402,RulebookFields!A2:A999, 0)), "")</f>
        <v>StewardshipAssignments</v>
      </c>
      <c r="I3402" s="3" t="str">
        <f>_xlfn.IFNA(INDEX(RulebookFields!D2:D999, MATCH(D3402,RulebookFields!A2:A999, 0)), "")</f>
        <v>HasEverBeenReviewed</v>
      </c>
      <c r="J3402" s="3" t="b">
        <f>_xlfn.IFNA(INDEX(RulebookFields!I2:I999, MATCH(D3402,RulebookFields!A2:A999, 0)), "")</f>
        <v>1</v>
      </c>
      <c r="K3402" s="3" t="b">
        <f>AND(F3402, J3402)</f>
        <v>0</v>
      </c>
      <c r="L3402" s="3" t="b">
        <f>AND(G3402 &lt;&gt; "plain", G3402 &lt;&gt; "")</f>
        <v>0</v>
      </c>
      <c r="M3402" s="3" t="str">
        <f>IF(E3402, C3402 &amp; "|" &amp; H3402, "")</f>
        <v>principal-knowledge-authority|StewardshipAssignments</v>
      </c>
      <c r="N3402" s="2" t="s">
        <v>9938</v>
      </c>
    </row>
    <row r="3403">
      <c r="A3403" s="2" t="s">
        <v>13339</v>
      </c>
      <c r="B3403" s="3" t="str">
        <f>C3403 &amp; " -&gt; " &amp; D3403</f>
        <v>principal-knowledge-authority -&gt; StewardshipAssignments.EvaluationContext</v>
      </c>
      <c r="C3403" s="2" t="s">
        <v>9708</v>
      </c>
      <c r="D3403" s="2" t="s">
        <v>3843</v>
      </c>
      <c r="E3403" s="2" t="b">
        <v>1</v>
      </c>
      <c r="F3403" s="2" t="b">
        <v>0</v>
      </c>
      <c r="G3403" s="2" t="s">
        <v>9937</v>
      </c>
      <c r="H3403" s="3" t="str">
        <f>_xlfn.IFNA(INDEX(RulebookFields!C2:C999, MATCH(D3403,RulebookFields!A2:A999, 0)), "")</f>
        <v>StewardshipAssignments</v>
      </c>
      <c r="I3403" s="3" t="str">
        <f>_xlfn.IFNA(INDEX(RulebookFields!D2:D999, MATCH(D3403,RulebookFields!A2:A999, 0)), "")</f>
        <v>EvaluationContext</v>
      </c>
      <c r="J3403" s="3" t="b">
        <f>_xlfn.IFNA(INDEX(RulebookFields!I2:I999, MATCH(D3403,RulebookFields!A2:A999, 0)), "")</f>
        <v>0</v>
      </c>
      <c r="K3403" s="3" t="b">
        <f>AND(F3403, J3403)</f>
        <v>0</v>
      </c>
      <c r="L3403" s="3" t="b">
        <f>AND(G3403 &lt;&gt; "plain", G3403 &lt;&gt; "")</f>
        <v>0</v>
      </c>
      <c r="M3403" s="3" t="str">
        <f>IF(E3403, C3403 &amp; "|" &amp; H3403, "")</f>
        <v>principal-knowledge-authority|StewardshipAssignments</v>
      </c>
      <c r="N3403" s="2" t="s">
        <v>9938</v>
      </c>
    </row>
    <row r="3404">
      <c r="A3404" s="2" t="s">
        <v>13340</v>
      </c>
      <c r="B3404" s="3" t="str">
        <f>C3404 &amp; " -&gt; " &amp; D3404</f>
        <v>principal-knowledge-authority -&gt; StewardshipAssignments.AsOfInstant</v>
      </c>
      <c r="C3404" s="2" t="s">
        <v>9708</v>
      </c>
      <c r="D3404" s="2" t="s">
        <v>3844</v>
      </c>
      <c r="E3404" s="2" t="b">
        <v>1</v>
      </c>
      <c r="F3404" s="2" t="b">
        <v>0</v>
      </c>
      <c r="G3404" s="2" t="s">
        <v>9937</v>
      </c>
      <c r="H3404" s="3" t="str">
        <f>_xlfn.IFNA(INDEX(RulebookFields!C2:C999, MATCH(D3404,RulebookFields!A2:A999, 0)), "")</f>
        <v>StewardshipAssignments</v>
      </c>
      <c r="I3404" s="3" t="str">
        <f>_xlfn.IFNA(INDEX(RulebookFields!D2:D999, MATCH(D3404,RulebookFields!A2:A999, 0)), "")</f>
        <v>AsOfInstant</v>
      </c>
      <c r="J3404" s="3" t="b">
        <f>_xlfn.IFNA(INDEX(RulebookFields!I2:I999, MATCH(D3404,RulebookFields!A2:A999, 0)), "")</f>
        <v>1</v>
      </c>
      <c r="K3404" s="3" t="b">
        <f>AND(F3404, J3404)</f>
        <v>0</v>
      </c>
      <c r="L3404" s="3" t="b">
        <f>AND(G3404 &lt;&gt; "plain", G3404 &lt;&gt; "")</f>
        <v>0</v>
      </c>
      <c r="M3404" s="3" t="str">
        <f>IF(E3404, C3404 &amp; "|" &amp; H3404, "")</f>
        <v>principal-knowledge-authority|StewardshipAssignments</v>
      </c>
      <c r="N3404" s="2" t="s">
        <v>9938</v>
      </c>
    </row>
    <row r="3405">
      <c r="A3405" s="2" t="s">
        <v>13341</v>
      </c>
      <c r="B3405" s="3" t="str">
        <f>C3405 &amp; " -&gt; " &amp; D3405</f>
        <v>principal-knowledge-authority -&gt; StewardshipAssignments.IsCurrentAssignment</v>
      </c>
      <c r="C3405" s="2" t="s">
        <v>9708</v>
      </c>
      <c r="D3405" s="2" t="s">
        <v>3845</v>
      </c>
      <c r="E3405" s="2" t="b">
        <v>1</v>
      </c>
      <c r="F3405" s="2" t="b">
        <v>0</v>
      </c>
      <c r="G3405" s="2" t="s">
        <v>9937</v>
      </c>
      <c r="H3405" s="3" t="str">
        <f>_xlfn.IFNA(INDEX(RulebookFields!C2:C999, MATCH(D3405,RulebookFields!A2:A999, 0)), "")</f>
        <v>StewardshipAssignments</v>
      </c>
      <c r="I3405" s="3" t="str">
        <f>_xlfn.IFNA(INDEX(RulebookFields!D2:D999, MATCH(D3405,RulebookFields!A2:A999, 0)), "")</f>
        <v>IsCurrentAssignment</v>
      </c>
      <c r="J3405" s="3" t="b">
        <f>_xlfn.IFNA(INDEX(RulebookFields!I2:I999, MATCH(D3405,RulebookFields!A2:A999, 0)), "")</f>
        <v>1</v>
      </c>
      <c r="K3405" s="3" t="b">
        <f>AND(F3405, J3405)</f>
        <v>0</v>
      </c>
      <c r="L3405" s="3" t="b">
        <f>AND(G3405 &lt;&gt; "plain", G3405 &lt;&gt; "")</f>
        <v>0</v>
      </c>
      <c r="M3405" s="3" t="str">
        <f>IF(E3405, C3405 &amp; "|" &amp; H3405, "")</f>
        <v>principal-knowledge-authority|StewardshipAssignments</v>
      </c>
      <c r="N3405" s="2" t="s">
        <v>9938</v>
      </c>
    </row>
    <row r="3406">
      <c r="A3406" s="2" t="s">
        <v>13342</v>
      </c>
      <c r="B3406" s="3" t="str">
        <f>C3406 &amp; " -&gt; " &amp; D3406</f>
        <v>principal-knowledge-authority -&gt; StewardshipAssignments.SemanticTypeIri</v>
      </c>
      <c r="C3406" s="2" t="s">
        <v>9708</v>
      </c>
      <c r="D3406" s="2" t="s">
        <v>3846</v>
      </c>
      <c r="E3406" s="2" t="b">
        <v>1</v>
      </c>
      <c r="F3406" s="2" t="b">
        <v>0</v>
      </c>
      <c r="G3406" s="2" t="s">
        <v>9937</v>
      </c>
      <c r="H3406" s="3" t="str">
        <f>_xlfn.IFNA(INDEX(RulebookFields!C2:C999, MATCH(D3406,RulebookFields!A2:A999, 0)), "")</f>
        <v>StewardshipAssignments</v>
      </c>
      <c r="I3406" s="3" t="str">
        <f>_xlfn.IFNA(INDEX(RulebookFields!D2:D999, MATCH(D3406,RulebookFields!A2:A999, 0)), "")</f>
        <v>SemanticTypeIri</v>
      </c>
      <c r="J3406" s="3" t="b">
        <f>_xlfn.IFNA(INDEX(RulebookFields!I2:I999, MATCH(D3406,RulebookFields!A2:A999, 0)), "")</f>
        <v>0</v>
      </c>
      <c r="K3406" s="3" t="b">
        <f>AND(F3406, J3406)</f>
        <v>0</v>
      </c>
      <c r="L3406" s="3" t="b">
        <f>AND(G3406 &lt;&gt; "plain", G3406 &lt;&gt; "")</f>
        <v>0</v>
      </c>
      <c r="M3406" s="3" t="str">
        <f>IF(E3406, C3406 &amp; "|" &amp; H3406, "")</f>
        <v>principal-knowledge-authority|StewardshipAssignments</v>
      </c>
      <c r="N3406" s="2" t="s">
        <v>9938</v>
      </c>
    </row>
    <row r="3407">
      <c r="A3407" s="2" t="s">
        <v>13343</v>
      </c>
      <c r="B3407" s="3" t="str">
        <f>C3407 &amp; " -&gt; " &amp; D3407</f>
        <v>principal-knowledge-authority -&gt; TemplateApprovals.TemplateApprovalId</v>
      </c>
      <c r="C3407" s="2" t="s">
        <v>9708</v>
      </c>
      <c r="D3407" s="2" t="s">
        <v>4631</v>
      </c>
      <c r="E3407" s="2" t="b">
        <v>1</v>
      </c>
      <c r="F3407" s="2" t="b">
        <v>0</v>
      </c>
      <c r="G3407" s="2" t="s">
        <v>9937</v>
      </c>
      <c r="H3407" s="3" t="str">
        <f>_xlfn.IFNA(INDEX(RulebookFields!C2:C999, MATCH(D3407,RulebookFields!A2:A999, 0)), "")</f>
      </c>
      <c r="I3407" s="3" t="str">
        <f>_xlfn.IFNA(INDEX(RulebookFields!D2:D999, MATCH(D3407,RulebookFields!A2:A999, 0)), "")</f>
      </c>
      <c r="J3407" s="3" t="str">
        <f>_xlfn.IFNA(INDEX(RulebookFields!I2:I999, MATCH(D3407,RulebookFields!A2:A999, 0)), "")</f>
      </c>
      <c r="K3407" s="3" t="b">
        <f>AND(F3407, J3407)</f>
        <v>0</v>
      </c>
      <c r="L3407" s="3" t="b">
        <f>AND(G3407 &lt;&gt; "plain", G3407 &lt;&gt; "")</f>
        <v>0</v>
      </c>
      <c r="M3407" s="3" t="str">
        <f>IF(E3407, C3407 &amp; "|" &amp; H3407, "")</f>
        <v>principal-knowledge-authority|</v>
      </c>
      <c r="N3407" s="2" t="s">
        <v>9938</v>
      </c>
    </row>
    <row r="3408">
      <c r="A3408" s="2" t="s">
        <v>13344</v>
      </c>
      <c r="B3408" s="3" t="str">
        <f>C3408 &amp; " -&gt; " &amp; D3408</f>
        <v>principal-knowledge-authority -&gt; TemplateApprovals.Name</v>
      </c>
      <c r="C3408" s="2" t="s">
        <v>9708</v>
      </c>
      <c r="D3408" s="2" t="s">
        <v>4634</v>
      </c>
      <c r="E3408" s="2" t="b">
        <v>1</v>
      </c>
      <c r="F3408" s="2" t="b">
        <v>0</v>
      </c>
      <c r="G3408" s="2" t="s">
        <v>9937</v>
      </c>
      <c r="H3408" s="3" t="str">
        <f>_xlfn.IFNA(INDEX(RulebookFields!C2:C999, MATCH(D3408,RulebookFields!A2:A999, 0)), "")</f>
      </c>
      <c r="I3408" s="3" t="str">
        <f>_xlfn.IFNA(INDEX(RulebookFields!D2:D999, MATCH(D3408,RulebookFields!A2:A999, 0)), "")</f>
      </c>
      <c r="J3408" s="3" t="str">
        <f>_xlfn.IFNA(INDEX(RulebookFields!I2:I999, MATCH(D3408,RulebookFields!A2:A999, 0)), "")</f>
      </c>
      <c r="K3408" s="3" t="b">
        <f>AND(F3408, J3408)</f>
        <v>0</v>
      </c>
      <c r="L3408" s="3" t="b">
        <f>AND(G3408 &lt;&gt; "plain", G3408 &lt;&gt; "")</f>
        <v>0</v>
      </c>
      <c r="M3408" s="3" t="str">
        <f>IF(E3408, C3408 &amp; "|" &amp; H3408, "")</f>
        <v>principal-knowledge-authority|</v>
      </c>
      <c r="N3408" s="2" t="s">
        <v>9938</v>
      </c>
    </row>
    <row r="3409">
      <c r="A3409" s="2" t="s">
        <v>13345</v>
      </c>
      <c r="B3409" s="3" t="str">
        <f>C3409 &amp; " -&gt; " &amp; D3409</f>
        <v>principal-knowledge-authority -&gt; TemplateApprovals.MessageTemplate</v>
      </c>
      <c r="C3409" s="2" t="s">
        <v>9708</v>
      </c>
      <c r="D3409" s="2" t="s">
        <v>4636</v>
      </c>
      <c r="E3409" s="2" t="b">
        <v>1</v>
      </c>
      <c r="F3409" s="2" t="b">
        <v>0</v>
      </c>
      <c r="G3409" s="2" t="s">
        <v>9937</v>
      </c>
      <c r="H3409" s="3" t="str">
        <f>_xlfn.IFNA(INDEX(RulebookFields!C2:C999, MATCH(D3409,RulebookFields!A2:A999, 0)), "")</f>
      </c>
      <c r="I3409" s="3" t="str">
        <f>_xlfn.IFNA(INDEX(RulebookFields!D2:D999, MATCH(D3409,RulebookFields!A2:A999, 0)), "")</f>
      </c>
      <c r="J3409" s="3" t="str">
        <f>_xlfn.IFNA(INDEX(RulebookFields!I2:I999, MATCH(D3409,RulebookFields!A2:A999, 0)), "")</f>
      </c>
      <c r="K3409" s="3" t="b">
        <f>AND(F3409, J3409)</f>
        <v>0</v>
      </c>
      <c r="L3409" s="3" t="b">
        <f>AND(G3409 &lt;&gt; "plain", G3409 &lt;&gt; "")</f>
        <v>0</v>
      </c>
      <c r="M3409" s="3" t="str">
        <f>IF(E3409, C3409 &amp; "|" &amp; H3409, "")</f>
        <v>principal-knowledge-authority|</v>
      </c>
      <c r="N3409" s="2" t="s">
        <v>9938</v>
      </c>
    </row>
    <row r="3410">
      <c r="A3410" s="2" t="s">
        <v>13346</v>
      </c>
      <c r="B3410" s="3" t="str">
        <f>C3410 &amp; " -&gt; " &amp; D3410</f>
        <v>principal-knowledge-authority -&gt; TemplateApprovals.DecidedByAgent</v>
      </c>
      <c r="C3410" s="2" t="s">
        <v>9708</v>
      </c>
      <c r="D3410" s="2" t="s">
        <v>4637</v>
      </c>
      <c r="E3410" s="2" t="b">
        <v>1</v>
      </c>
      <c r="F3410" s="2" t="b">
        <v>0</v>
      </c>
      <c r="G3410" s="2" t="s">
        <v>9937</v>
      </c>
      <c r="H3410" s="3" t="str">
        <f>_xlfn.IFNA(INDEX(RulebookFields!C2:C999, MATCH(D3410,RulebookFields!A2:A999, 0)), "")</f>
      </c>
      <c r="I3410" s="3" t="str">
        <f>_xlfn.IFNA(INDEX(RulebookFields!D2:D999, MATCH(D3410,RulebookFields!A2:A999, 0)), "")</f>
      </c>
      <c r="J3410" s="3" t="str">
        <f>_xlfn.IFNA(INDEX(RulebookFields!I2:I999, MATCH(D3410,RulebookFields!A2:A999, 0)), "")</f>
      </c>
      <c r="K3410" s="3" t="b">
        <f>AND(F3410, J3410)</f>
        <v>0</v>
      </c>
      <c r="L3410" s="3" t="b">
        <f>AND(G3410 &lt;&gt; "plain", G3410 &lt;&gt; "")</f>
        <v>0</v>
      </c>
      <c r="M3410" s="3" t="str">
        <f>IF(E3410, C3410 &amp; "|" &amp; H3410, "")</f>
        <v>principal-knowledge-authority|</v>
      </c>
      <c r="N3410" s="2" t="s">
        <v>9938</v>
      </c>
    </row>
    <row r="3411">
      <c r="A3411" s="2" t="s">
        <v>13347</v>
      </c>
      <c r="B3411" s="3" t="str">
        <f>C3411 &amp; " -&gt; " &amp; D3411</f>
        <v>principal-knowledge-authority -&gt; TemplateApprovals.DecidedInRole</v>
      </c>
      <c r="C3411" s="2" t="s">
        <v>9708</v>
      </c>
      <c r="D3411" s="2" t="s">
        <v>4639</v>
      </c>
      <c r="E3411" s="2" t="b">
        <v>1</v>
      </c>
      <c r="F3411" s="2" t="b">
        <v>0</v>
      </c>
      <c r="G3411" s="2" t="s">
        <v>9937</v>
      </c>
      <c r="H3411" s="3" t="str">
        <f>_xlfn.IFNA(INDEX(RulebookFields!C2:C999, MATCH(D3411,RulebookFields!A2:A999, 0)), "")</f>
      </c>
      <c r="I3411" s="3" t="str">
        <f>_xlfn.IFNA(INDEX(RulebookFields!D2:D999, MATCH(D3411,RulebookFields!A2:A999, 0)), "")</f>
      </c>
      <c r="J3411" s="3" t="str">
        <f>_xlfn.IFNA(INDEX(RulebookFields!I2:I999, MATCH(D3411,RulebookFields!A2:A999, 0)), "")</f>
      </c>
      <c r="K3411" s="3" t="b">
        <f>AND(F3411, J3411)</f>
        <v>0</v>
      </c>
      <c r="L3411" s="3" t="b">
        <f>AND(G3411 &lt;&gt; "plain", G3411 &lt;&gt; "")</f>
        <v>0</v>
      </c>
      <c r="M3411" s="3" t="str">
        <f>IF(E3411, C3411 &amp; "|" &amp; H3411, "")</f>
        <v>principal-knowledge-authority|</v>
      </c>
      <c r="N3411" s="2" t="s">
        <v>9938</v>
      </c>
    </row>
    <row r="3412">
      <c r="A3412" s="2" t="s">
        <v>13348</v>
      </c>
      <c r="B3412" s="3" t="str">
        <f>C3412 &amp; " -&gt; " &amp; D3412</f>
        <v>principal-knowledge-authority -&gt; TemplateApprovals.Decision</v>
      </c>
      <c r="C3412" s="2" t="s">
        <v>9708</v>
      </c>
      <c r="D3412" s="2" t="s">
        <v>4641</v>
      </c>
      <c r="E3412" s="2" t="b">
        <v>1</v>
      </c>
      <c r="F3412" s="2" t="b">
        <v>0</v>
      </c>
      <c r="G3412" s="2" t="s">
        <v>9937</v>
      </c>
      <c r="H3412" s="3" t="str">
        <f>_xlfn.IFNA(INDEX(RulebookFields!C2:C999, MATCH(D3412,RulebookFields!A2:A999, 0)), "")</f>
      </c>
      <c r="I3412" s="3" t="str">
        <f>_xlfn.IFNA(INDEX(RulebookFields!D2:D999, MATCH(D3412,RulebookFields!A2:A999, 0)), "")</f>
      </c>
      <c r="J3412" s="3" t="str">
        <f>_xlfn.IFNA(INDEX(RulebookFields!I2:I999, MATCH(D3412,RulebookFields!A2:A999, 0)), "")</f>
      </c>
      <c r="K3412" s="3" t="b">
        <f>AND(F3412, J3412)</f>
        <v>0</v>
      </c>
      <c r="L3412" s="3" t="b">
        <f>AND(G3412 &lt;&gt; "plain", G3412 &lt;&gt; "")</f>
        <v>0</v>
      </c>
      <c r="M3412" s="3" t="str">
        <f>IF(E3412, C3412 &amp; "|" &amp; H3412, "")</f>
        <v>principal-knowledge-authority|</v>
      </c>
      <c r="N3412" s="2" t="s">
        <v>9938</v>
      </c>
    </row>
    <row r="3413">
      <c r="A3413" s="2" t="s">
        <v>13349</v>
      </c>
      <c r="B3413" s="3" t="str">
        <f>C3413 &amp; " -&gt; " &amp; D3413</f>
        <v>principal-knowledge-authority -&gt; TemplateApprovals.DecidedAt</v>
      </c>
      <c r="C3413" s="2" t="s">
        <v>9708</v>
      </c>
      <c r="D3413" s="2" t="s">
        <v>4643</v>
      </c>
      <c r="E3413" s="2" t="b">
        <v>1</v>
      </c>
      <c r="F3413" s="2" t="b">
        <v>0</v>
      </c>
      <c r="G3413" s="2" t="s">
        <v>9937</v>
      </c>
      <c r="H3413" s="3" t="str">
        <f>_xlfn.IFNA(INDEX(RulebookFields!C2:C999, MATCH(D3413,RulebookFields!A2:A999, 0)), "")</f>
      </c>
      <c r="I3413" s="3" t="str">
        <f>_xlfn.IFNA(INDEX(RulebookFields!D2:D999, MATCH(D3413,RulebookFields!A2:A999, 0)), "")</f>
      </c>
      <c r="J3413" s="3" t="str">
        <f>_xlfn.IFNA(INDEX(RulebookFields!I2:I999, MATCH(D3413,RulebookFields!A2:A999, 0)), "")</f>
      </c>
      <c r="K3413" s="3" t="b">
        <f>AND(F3413, J3413)</f>
        <v>0</v>
      </c>
      <c r="L3413" s="3" t="b">
        <f>AND(G3413 &lt;&gt; "plain", G3413 &lt;&gt; "")</f>
        <v>0</v>
      </c>
      <c r="M3413" s="3" t="str">
        <f>IF(E3413, C3413 &amp; "|" &amp; H3413, "")</f>
        <v>principal-knowledge-authority|</v>
      </c>
      <c r="N3413" s="2" t="s">
        <v>9938</v>
      </c>
    </row>
    <row r="3414">
      <c r="A3414" s="2" t="s">
        <v>13350</v>
      </c>
      <c r="B3414" s="3" t="str">
        <f>C3414 &amp; " -&gt; " &amp; D3414</f>
        <v>principal-knowledge-authority -&gt; TemplateApprovals.ApprovedBodyHash</v>
      </c>
      <c r="C3414" s="2" t="s">
        <v>9708</v>
      </c>
      <c r="D3414" s="2" t="s">
        <v>4644</v>
      </c>
      <c r="E3414" s="2" t="b">
        <v>1</v>
      </c>
      <c r="F3414" s="2" t="b">
        <v>0</v>
      </c>
      <c r="G3414" s="2" t="s">
        <v>9937</v>
      </c>
      <c r="H3414" s="3" t="str">
        <f>_xlfn.IFNA(INDEX(RulebookFields!C2:C999, MATCH(D3414,RulebookFields!A2:A999, 0)), "")</f>
      </c>
      <c r="I3414" s="3" t="str">
        <f>_xlfn.IFNA(INDEX(RulebookFields!D2:D999, MATCH(D3414,RulebookFields!A2:A999, 0)), "")</f>
      </c>
      <c r="J3414" s="3" t="str">
        <f>_xlfn.IFNA(INDEX(RulebookFields!I2:I999, MATCH(D3414,RulebookFields!A2:A999, 0)), "")</f>
      </c>
      <c r="K3414" s="3" t="b">
        <f>AND(F3414, J3414)</f>
        <v>0</v>
      </c>
      <c r="L3414" s="3" t="b">
        <f>AND(G3414 &lt;&gt; "plain", G3414 &lt;&gt; "")</f>
        <v>0</v>
      </c>
      <c r="M3414" s="3" t="str">
        <f>IF(E3414, C3414 &amp; "|" &amp; H3414, "")</f>
        <v>principal-knowledge-authority|</v>
      </c>
      <c r="N3414" s="2" t="s">
        <v>9938</v>
      </c>
    </row>
    <row r="3415">
      <c r="A3415" s="2" t="s">
        <v>13351</v>
      </c>
      <c r="B3415" s="3" t="str">
        <f>C3415 &amp; " -&gt; " &amp; D3415</f>
        <v>principal-knowledge-authority -&gt; TemplateApprovals.Notes</v>
      </c>
      <c r="C3415" s="2" t="s">
        <v>9708</v>
      </c>
      <c r="D3415" s="2" t="s">
        <v>4646</v>
      </c>
      <c r="E3415" s="2" t="b">
        <v>1</v>
      </c>
      <c r="F3415" s="2" t="b">
        <v>0</v>
      </c>
      <c r="G3415" s="2" t="s">
        <v>9937</v>
      </c>
      <c r="H3415" s="3" t="str">
        <f>_xlfn.IFNA(INDEX(RulebookFields!C2:C999, MATCH(D3415,RulebookFields!A2:A999, 0)), "")</f>
      </c>
      <c r="I3415" s="3" t="str">
        <f>_xlfn.IFNA(INDEX(RulebookFields!D2:D999, MATCH(D3415,RulebookFields!A2:A999, 0)), "")</f>
      </c>
      <c r="J3415" s="3" t="str">
        <f>_xlfn.IFNA(INDEX(RulebookFields!I2:I999, MATCH(D3415,RulebookFields!A2:A999, 0)), "")</f>
      </c>
      <c r="K3415" s="3" t="b">
        <f>AND(F3415, J3415)</f>
        <v>0</v>
      </c>
      <c r="L3415" s="3" t="b">
        <f>AND(G3415 &lt;&gt; "plain", G3415 &lt;&gt; "")</f>
        <v>0</v>
      </c>
      <c r="M3415" s="3" t="str">
        <f>IF(E3415, C3415 &amp; "|" &amp; H3415, "")</f>
        <v>principal-knowledge-authority|</v>
      </c>
      <c r="N3415" s="2" t="s">
        <v>9938</v>
      </c>
    </row>
    <row r="3416">
      <c r="A3416" s="2" t="s">
        <v>13352</v>
      </c>
      <c r="B3416" s="3" t="str">
        <f>C3416 &amp; " -&gt; " &amp; D3416</f>
        <v>principal-knowledge-authority -&gt; TemplateApprovals.IsApprovalDecision</v>
      </c>
      <c r="C3416" s="2" t="s">
        <v>9708</v>
      </c>
      <c r="D3416" s="2" t="s">
        <v>4647</v>
      </c>
      <c r="E3416" s="2" t="b">
        <v>1</v>
      </c>
      <c r="F3416" s="2" t="b">
        <v>0</v>
      </c>
      <c r="G3416" s="2" t="s">
        <v>9937</v>
      </c>
      <c r="H3416" s="3" t="str">
        <f>_xlfn.IFNA(INDEX(RulebookFields!C2:C999, MATCH(D3416,RulebookFields!A2:A999, 0)), "")</f>
      </c>
      <c r="I3416" s="3" t="str">
        <f>_xlfn.IFNA(INDEX(RulebookFields!D2:D999, MATCH(D3416,RulebookFields!A2:A999, 0)), "")</f>
      </c>
      <c r="J3416" s="3" t="str">
        <f>_xlfn.IFNA(INDEX(RulebookFields!I2:I999, MATCH(D3416,RulebookFields!A2:A999, 0)), "")</f>
      </c>
      <c r="K3416" s="3" t="b">
        <f>AND(F3416, J3416)</f>
        <v>0</v>
      </c>
      <c r="L3416" s="3" t="b">
        <f>AND(G3416 &lt;&gt; "plain", G3416 &lt;&gt; "")</f>
        <v>0</v>
      </c>
      <c r="M3416" s="3" t="str">
        <f>IF(E3416, C3416 &amp; "|" &amp; H3416, "")</f>
        <v>principal-knowledge-authority|</v>
      </c>
      <c r="N3416" s="2" t="s">
        <v>9938</v>
      </c>
    </row>
    <row r="3417">
      <c r="A3417" s="2" t="s">
        <v>13353</v>
      </c>
      <c r="B3417" s="3" t="str">
        <f>C3417 &amp; " -&gt; " &amp; D3417</f>
        <v>principal-knowledge-authority -&gt; TemplateApprovals.TemplatePolicy</v>
      </c>
      <c r="C3417" s="2" t="s">
        <v>9708</v>
      </c>
      <c r="D3417" s="2" t="s">
        <v>4650</v>
      </c>
      <c r="E3417" s="2" t="b">
        <v>1</v>
      </c>
      <c r="F3417" s="2" t="b">
        <v>0</v>
      </c>
      <c r="G3417" s="2" t="s">
        <v>9937</v>
      </c>
      <c r="H3417" s="3" t="str">
        <f>_xlfn.IFNA(INDEX(RulebookFields!C2:C999, MATCH(D3417,RulebookFields!A2:A999, 0)), "")</f>
      </c>
      <c r="I3417" s="3" t="str">
        <f>_xlfn.IFNA(INDEX(RulebookFields!D2:D999, MATCH(D3417,RulebookFields!A2:A999, 0)), "")</f>
      </c>
      <c r="J3417" s="3" t="str">
        <f>_xlfn.IFNA(INDEX(RulebookFields!I2:I999, MATCH(D3417,RulebookFields!A2:A999, 0)), "")</f>
      </c>
      <c r="K3417" s="3" t="b">
        <f>AND(F3417, J3417)</f>
        <v>0</v>
      </c>
      <c r="L3417" s="3" t="b">
        <f>AND(G3417 &lt;&gt; "plain", G3417 &lt;&gt; "")</f>
        <v>0</v>
      </c>
      <c r="M3417" s="3" t="str">
        <f>IF(E3417, C3417 &amp; "|" &amp; H3417, "")</f>
        <v>principal-knowledge-authority|</v>
      </c>
      <c r="N3417" s="2" t="s">
        <v>9938</v>
      </c>
    </row>
    <row r="3418">
      <c r="A3418" s="2" t="s">
        <v>13354</v>
      </c>
      <c r="B3418" s="3" t="str">
        <f>C3418 &amp; " -&gt; " &amp; D3418</f>
        <v>principal-knowledge-authority -&gt; TemplateApprovals.RequiredApprovalRole</v>
      </c>
      <c r="C3418" s="2" t="s">
        <v>9708</v>
      </c>
      <c r="D3418" s="2" t="s">
        <v>4652</v>
      </c>
      <c r="E3418" s="2" t="b">
        <v>1</v>
      </c>
      <c r="F3418" s="2" t="b">
        <v>0</v>
      </c>
      <c r="G3418" s="2" t="s">
        <v>9937</v>
      </c>
      <c r="H3418" s="3" t="str">
        <f>_xlfn.IFNA(INDEX(RulebookFields!C2:C999, MATCH(D3418,RulebookFields!A2:A999, 0)), "")</f>
      </c>
      <c r="I3418" s="3" t="str">
        <f>_xlfn.IFNA(INDEX(RulebookFields!D2:D999, MATCH(D3418,RulebookFields!A2:A999, 0)), "")</f>
      </c>
      <c r="J3418" s="3" t="str">
        <f>_xlfn.IFNA(INDEX(RulebookFields!I2:I999, MATCH(D3418,RulebookFields!A2:A999, 0)), "")</f>
      </c>
      <c r="K3418" s="3" t="b">
        <f>AND(F3418, J3418)</f>
        <v>0</v>
      </c>
      <c r="L3418" s="3" t="b">
        <f>AND(G3418 &lt;&gt; "plain", G3418 &lt;&gt; "")</f>
        <v>0</v>
      </c>
      <c r="M3418" s="3" t="str">
        <f>IF(E3418, C3418 &amp; "|" &amp; H3418, "")</f>
        <v>principal-knowledge-authority|</v>
      </c>
      <c r="N3418" s="2" t="s">
        <v>9938</v>
      </c>
    </row>
    <row r="3419">
      <c r="A3419" s="2" t="s">
        <v>13355</v>
      </c>
      <c r="B3419" s="3" t="str">
        <f>C3419 &amp; " -&gt; " &amp; D3419</f>
        <v>principal-knowledge-authority -&gt; TemplateApprovals.IsDecidedByRequiredRole</v>
      </c>
      <c r="C3419" s="2" t="s">
        <v>9708</v>
      </c>
      <c r="D3419" s="2" t="s">
        <v>4654</v>
      </c>
      <c r="E3419" s="2" t="b">
        <v>1</v>
      </c>
      <c r="F3419" s="2" t="b">
        <v>0</v>
      </c>
      <c r="G3419" s="2" t="s">
        <v>9937</v>
      </c>
      <c r="H3419" s="3" t="str">
        <f>_xlfn.IFNA(INDEX(RulebookFields!C2:C999, MATCH(D3419,RulebookFields!A2:A999, 0)), "")</f>
      </c>
      <c r="I3419" s="3" t="str">
        <f>_xlfn.IFNA(INDEX(RulebookFields!D2:D999, MATCH(D3419,RulebookFields!A2:A999, 0)), "")</f>
      </c>
      <c r="J3419" s="3" t="str">
        <f>_xlfn.IFNA(INDEX(RulebookFields!I2:I999, MATCH(D3419,RulebookFields!A2:A999, 0)), "")</f>
      </c>
      <c r="K3419" s="3" t="b">
        <f>AND(F3419, J3419)</f>
        <v>0</v>
      </c>
      <c r="L3419" s="3" t="b">
        <f>AND(G3419 &lt;&gt; "plain", G3419 &lt;&gt; "")</f>
        <v>0</v>
      </c>
      <c r="M3419" s="3" t="str">
        <f>IF(E3419, C3419 &amp; "|" &amp; H3419, "")</f>
        <v>principal-knowledge-authority|</v>
      </c>
      <c r="N3419" s="2" t="s">
        <v>9938</v>
      </c>
    </row>
    <row r="3420">
      <c r="A3420" s="2" t="s">
        <v>13356</v>
      </c>
      <c r="B3420" s="3" t="str">
        <f>C3420 &amp; " -&gt; " &amp; D3420</f>
        <v>principal-knowledge-authority -&gt; TemplateApprovals.ValidApprovalTemplateKey</v>
      </c>
      <c r="C3420" s="2" t="s">
        <v>9708</v>
      </c>
      <c r="D3420" s="2" t="s">
        <v>4657</v>
      </c>
      <c r="E3420" s="2" t="b">
        <v>1</v>
      </c>
      <c r="F3420" s="2" t="b">
        <v>0</v>
      </c>
      <c r="G3420" s="2" t="s">
        <v>9937</v>
      </c>
      <c r="H3420" s="3" t="str">
        <f>_xlfn.IFNA(INDEX(RulebookFields!C2:C999, MATCH(D3420,RulebookFields!A2:A999, 0)), "")</f>
      </c>
      <c r="I3420" s="3" t="str">
        <f>_xlfn.IFNA(INDEX(RulebookFields!D2:D999, MATCH(D3420,RulebookFields!A2:A999, 0)), "")</f>
      </c>
      <c r="J3420" s="3" t="str">
        <f>_xlfn.IFNA(INDEX(RulebookFields!I2:I999, MATCH(D3420,RulebookFields!A2:A999, 0)), "")</f>
      </c>
      <c r="K3420" s="3" t="b">
        <f>AND(F3420, J3420)</f>
        <v>0</v>
      </c>
      <c r="L3420" s="3" t="b">
        <f>AND(G3420 &lt;&gt; "plain", G3420 &lt;&gt; "")</f>
        <v>0</v>
      </c>
      <c r="M3420" s="3" t="str">
        <f>IF(E3420, C3420 &amp; "|" &amp; H3420, "")</f>
        <v>principal-knowledge-authority|</v>
      </c>
      <c r="N3420" s="2" t="s">
        <v>9938</v>
      </c>
    </row>
    <row r="3421">
      <c r="A3421" s="2" t="s">
        <v>13357</v>
      </c>
      <c r="B3421" s="3" t="str">
        <f>C3421 &amp; " -&gt; " &amp; D3421</f>
        <v>principal-knowledge-authority -&gt; TemplateApprovals.SemanticTypeIri</v>
      </c>
      <c r="C3421" s="2" t="s">
        <v>9708</v>
      </c>
      <c r="D3421" s="2" t="s">
        <v>4660</v>
      </c>
      <c r="E3421" s="2" t="b">
        <v>1</v>
      </c>
      <c r="F3421" s="2" t="b">
        <v>0</v>
      </c>
      <c r="G3421" s="2" t="s">
        <v>9937</v>
      </c>
      <c r="H3421" s="3" t="str">
        <f>_xlfn.IFNA(INDEX(RulebookFields!C2:C999, MATCH(D3421,RulebookFields!A2:A999, 0)), "")</f>
      </c>
      <c r="I3421" s="3" t="str">
        <f>_xlfn.IFNA(INDEX(RulebookFields!D2:D999, MATCH(D3421,RulebookFields!A2:A999, 0)), "")</f>
      </c>
      <c r="J3421" s="3" t="str">
        <f>_xlfn.IFNA(INDEX(RulebookFields!I2:I999, MATCH(D3421,RulebookFields!A2:A999, 0)), "")</f>
      </c>
      <c r="K3421" s="3" t="b">
        <f>AND(F3421, J3421)</f>
        <v>0</v>
      </c>
      <c r="L3421" s="3" t="b">
        <f>AND(G3421 &lt;&gt; "plain", G3421 &lt;&gt; "")</f>
        <v>0</v>
      </c>
      <c r="M3421" s="3" t="str">
        <f>IF(E3421, C3421 &amp; "|" &amp; H3421, "")</f>
        <v>principal-knowledge-authority|</v>
      </c>
      <c r="N3421" s="2" t="s">
        <v>9938</v>
      </c>
    </row>
    <row r="3422">
      <c r="A3422" s="2" t="s">
        <v>13358</v>
      </c>
      <c r="B3422" s="3" t="str">
        <f>C3422 &amp; " -&gt; " &amp; D3422</f>
        <v>principal-knowledge-authority -&gt; TestCases.TestCaseId</v>
      </c>
      <c r="C3422" s="2" t="s">
        <v>9708</v>
      </c>
      <c r="D3422" s="2" t="s">
        <v>4142</v>
      </c>
      <c r="E3422" s="2" t="b">
        <v>1</v>
      </c>
      <c r="F3422" s="2" t="b">
        <v>0</v>
      </c>
      <c r="G3422" s="2" t="s">
        <v>9937</v>
      </c>
      <c r="H3422" s="3" t="str">
        <f>_xlfn.IFNA(INDEX(RulebookFields!C2:C999, MATCH(D3422,RulebookFields!A2:A999, 0)), "")</f>
      </c>
      <c r="I3422" s="3" t="str">
        <f>_xlfn.IFNA(INDEX(RulebookFields!D2:D999, MATCH(D3422,RulebookFields!A2:A999, 0)), "")</f>
      </c>
      <c r="J3422" s="3" t="str">
        <f>_xlfn.IFNA(INDEX(RulebookFields!I2:I999, MATCH(D3422,RulebookFields!A2:A999, 0)), "")</f>
      </c>
      <c r="K3422" s="3" t="b">
        <f>AND(F3422, J3422)</f>
        <v>0</v>
      </c>
      <c r="L3422" s="3" t="b">
        <f>AND(G3422 &lt;&gt; "plain", G3422 &lt;&gt; "")</f>
        <v>0</v>
      </c>
      <c r="M3422" s="3" t="str">
        <f>IF(E3422, C3422 &amp; "|" &amp; H3422, "")</f>
        <v>principal-knowledge-authority|</v>
      </c>
      <c r="N3422" s="2" t="s">
        <v>9938</v>
      </c>
    </row>
    <row r="3423">
      <c r="A3423" s="2" t="s">
        <v>13359</v>
      </c>
      <c r="B3423" s="3" t="str">
        <f>C3423 &amp; " -&gt; " &amp; D3423</f>
        <v>principal-knowledge-authority -&gt; TestCases.Name</v>
      </c>
      <c r="C3423" s="2" t="s">
        <v>9708</v>
      </c>
      <c r="D3423" s="2" t="s">
        <v>4145</v>
      </c>
      <c r="E3423" s="2" t="b">
        <v>1</v>
      </c>
      <c r="F3423" s="2" t="b">
        <v>0</v>
      </c>
      <c r="G3423" s="2" t="s">
        <v>9937</v>
      </c>
      <c r="H3423" s="3" t="str">
        <f>_xlfn.IFNA(INDEX(RulebookFields!C2:C999, MATCH(D3423,RulebookFields!A2:A999, 0)), "")</f>
      </c>
      <c r="I3423" s="3" t="str">
        <f>_xlfn.IFNA(INDEX(RulebookFields!D2:D999, MATCH(D3423,RulebookFields!A2:A999, 0)), "")</f>
      </c>
      <c r="J3423" s="3" t="str">
        <f>_xlfn.IFNA(INDEX(RulebookFields!I2:I999, MATCH(D3423,RulebookFields!A2:A999, 0)), "")</f>
      </c>
      <c r="K3423" s="3" t="b">
        <f>AND(F3423, J3423)</f>
        <v>0</v>
      </c>
      <c r="L3423" s="3" t="b">
        <f>AND(G3423 &lt;&gt; "plain", G3423 &lt;&gt; "")</f>
        <v>0</v>
      </c>
      <c r="M3423" s="3" t="str">
        <f>IF(E3423, C3423 &amp; "|" &amp; H3423, "")</f>
        <v>principal-knowledge-authority|</v>
      </c>
      <c r="N3423" s="2" t="s">
        <v>9938</v>
      </c>
    </row>
    <row r="3424">
      <c r="A3424" s="2" t="s">
        <v>13360</v>
      </c>
      <c r="B3424" s="3" t="str">
        <f>C3424 &amp; " -&gt; " &amp; D3424</f>
        <v>principal-knowledge-authority -&gt; TestCases.TestKind</v>
      </c>
      <c r="C3424" s="2" t="s">
        <v>9708</v>
      </c>
      <c r="D3424" s="2" t="s">
        <v>4147</v>
      </c>
      <c r="E3424" s="2" t="b">
        <v>1</v>
      </c>
      <c r="F3424" s="2" t="b">
        <v>0</v>
      </c>
      <c r="G3424" s="2" t="s">
        <v>9937</v>
      </c>
      <c r="H3424" s="3" t="str">
        <f>_xlfn.IFNA(INDEX(RulebookFields!C2:C999, MATCH(D3424,RulebookFields!A2:A999, 0)), "")</f>
      </c>
      <c r="I3424" s="3" t="str">
        <f>_xlfn.IFNA(INDEX(RulebookFields!D2:D999, MATCH(D3424,RulebookFields!A2:A999, 0)), "")</f>
      </c>
      <c r="J3424" s="3" t="str">
        <f>_xlfn.IFNA(INDEX(RulebookFields!I2:I999, MATCH(D3424,RulebookFields!A2:A999, 0)), "")</f>
      </c>
      <c r="K3424" s="3" t="b">
        <f>AND(F3424, J3424)</f>
        <v>0</v>
      </c>
      <c r="L3424" s="3" t="b">
        <f>AND(G3424 &lt;&gt; "plain", G3424 &lt;&gt; "")</f>
        <v>0</v>
      </c>
      <c r="M3424" s="3" t="str">
        <f>IF(E3424, C3424 &amp; "|" &amp; H3424, "")</f>
        <v>principal-knowledge-authority|</v>
      </c>
      <c r="N3424" s="2" t="s">
        <v>9938</v>
      </c>
    </row>
    <row r="3425">
      <c r="A3425" s="2" t="s">
        <v>13361</v>
      </c>
      <c r="B3425" s="3" t="str">
        <f>C3425 &amp; " -&gt; " &amp; D3425</f>
        <v>principal-knowledge-authority -&gt; TestCases.Subject</v>
      </c>
      <c r="C3425" s="2" t="s">
        <v>9708</v>
      </c>
      <c r="D3425" s="2" t="s">
        <v>4149</v>
      </c>
      <c r="E3425" s="2" t="b">
        <v>1</v>
      </c>
      <c r="F3425" s="2" t="b">
        <v>0</v>
      </c>
      <c r="G3425" s="2" t="s">
        <v>9937</v>
      </c>
      <c r="H3425" s="3" t="str">
        <f>_xlfn.IFNA(INDEX(RulebookFields!C2:C999, MATCH(D3425,RulebookFields!A2:A999, 0)), "")</f>
      </c>
      <c r="I3425" s="3" t="str">
        <f>_xlfn.IFNA(INDEX(RulebookFields!D2:D999, MATCH(D3425,RulebookFields!A2:A999, 0)), "")</f>
      </c>
      <c r="J3425" s="3" t="str">
        <f>_xlfn.IFNA(INDEX(RulebookFields!I2:I999, MATCH(D3425,RulebookFields!A2:A999, 0)), "")</f>
      </c>
      <c r="K3425" s="3" t="b">
        <f>AND(F3425, J3425)</f>
        <v>0</v>
      </c>
      <c r="L3425" s="3" t="b">
        <f>AND(G3425 &lt;&gt; "plain", G3425 &lt;&gt; "")</f>
        <v>0</v>
      </c>
      <c r="M3425" s="3" t="str">
        <f>IF(E3425, C3425 &amp; "|" &amp; H3425, "")</f>
        <v>principal-knowledge-authority|</v>
      </c>
      <c r="N3425" s="2" t="s">
        <v>9938</v>
      </c>
    </row>
    <row r="3426">
      <c r="A3426" s="2" t="s">
        <v>13362</v>
      </c>
      <c r="B3426" s="3" t="str">
        <f>C3426 &amp; " -&gt; " &amp; D3426</f>
        <v>principal-knowledge-authority -&gt; TestCases.TargetTable</v>
      </c>
      <c r="C3426" s="2" t="s">
        <v>9708</v>
      </c>
      <c r="D3426" s="2" t="s">
        <v>4151</v>
      </c>
      <c r="E3426" s="2" t="b">
        <v>1</v>
      </c>
      <c r="F3426" s="2" t="b">
        <v>0</v>
      </c>
      <c r="G3426" s="2" t="s">
        <v>9937</v>
      </c>
      <c r="H3426" s="3" t="str">
        <f>_xlfn.IFNA(INDEX(RulebookFields!C2:C999, MATCH(D3426,RulebookFields!A2:A999, 0)), "")</f>
      </c>
      <c r="I3426" s="3" t="str">
        <f>_xlfn.IFNA(INDEX(RulebookFields!D2:D999, MATCH(D3426,RulebookFields!A2:A999, 0)), "")</f>
      </c>
      <c r="J3426" s="3" t="str">
        <f>_xlfn.IFNA(INDEX(RulebookFields!I2:I999, MATCH(D3426,RulebookFields!A2:A999, 0)), "")</f>
      </c>
      <c r="K3426" s="3" t="b">
        <f>AND(F3426, J3426)</f>
        <v>0</v>
      </c>
      <c r="L3426" s="3" t="b">
        <f>AND(G3426 &lt;&gt; "plain", G3426 &lt;&gt; "")</f>
        <v>0</v>
      </c>
      <c r="M3426" s="3" t="str">
        <f>IF(E3426, C3426 &amp; "|" &amp; H3426, "")</f>
        <v>principal-knowledge-authority|</v>
      </c>
      <c r="N3426" s="2" t="s">
        <v>9938</v>
      </c>
    </row>
    <row r="3427">
      <c r="A3427" s="2" t="s">
        <v>13363</v>
      </c>
      <c r="B3427" s="3" t="str">
        <f>C3427 &amp; " -&gt; " &amp; D3427</f>
        <v>principal-knowledge-authority -&gt; TestCases.TargetField</v>
      </c>
      <c r="C3427" s="2" t="s">
        <v>9708</v>
      </c>
      <c r="D3427" s="2" t="s">
        <v>4152</v>
      </c>
      <c r="E3427" s="2" t="b">
        <v>1</v>
      </c>
      <c r="F3427" s="2" t="b">
        <v>0</v>
      </c>
      <c r="G3427" s="2" t="s">
        <v>9937</v>
      </c>
      <c r="H3427" s="3" t="str">
        <f>_xlfn.IFNA(INDEX(RulebookFields!C2:C999, MATCH(D3427,RulebookFields!A2:A999, 0)), "")</f>
      </c>
      <c r="I3427" s="3" t="str">
        <f>_xlfn.IFNA(INDEX(RulebookFields!D2:D999, MATCH(D3427,RulebookFields!A2:A999, 0)), "")</f>
      </c>
      <c r="J3427" s="3" t="str">
        <f>_xlfn.IFNA(INDEX(RulebookFields!I2:I999, MATCH(D3427,RulebookFields!A2:A999, 0)), "")</f>
      </c>
      <c r="K3427" s="3" t="b">
        <f>AND(F3427, J3427)</f>
        <v>0</v>
      </c>
      <c r="L3427" s="3" t="b">
        <f>AND(G3427 &lt;&gt; "plain", G3427 &lt;&gt; "")</f>
        <v>0</v>
      </c>
      <c r="M3427" s="3" t="str">
        <f>IF(E3427, C3427 &amp; "|" &amp; H3427, "")</f>
        <v>principal-knowledge-authority|</v>
      </c>
      <c r="N3427" s="2" t="s">
        <v>9938</v>
      </c>
    </row>
    <row r="3428">
      <c r="A3428" s="2" t="s">
        <v>13364</v>
      </c>
      <c r="B3428" s="3" t="str">
        <f>C3428 &amp; " -&gt; " &amp; D3428</f>
        <v>principal-knowledge-authority -&gt; TestCases.Assertion</v>
      </c>
      <c r="C3428" s="2" t="s">
        <v>9708</v>
      </c>
      <c r="D3428" s="2" t="s">
        <v>4154</v>
      </c>
      <c r="E3428" s="2" t="b">
        <v>1</v>
      </c>
      <c r="F3428" s="2" t="b">
        <v>0</v>
      </c>
      <c r="G3428" s="2" t="s">
        <v>9937</v>
      </c>
      <c r="H3428" s="3" t="str">
        <f>_xlfn.IFNA(INDEX(RulebookFields!C2:C999, MATCH(D3428,RulebookFields!A2:A999, 0)), "")</f>
      </c>
      <c r="I3428" s="3" t="str">
        <f>_xlfn.IFNA(INDEX(RulebookFields!D2:D999, MATCH(D3428,RulebookFields!A2:A999, 0)), "")</f>
      </c>
      <c r="J3428" s="3" t="str">
        <f>_xlfn.IFNA(INDEX(RulebookFields!I2:I999, MATCH(D3428,RulebookFields!A2:A999, 0)), "")</f>
      </c>
      <c r="K3428" s="3" t="b">
        <f>AND(F3428, J3428)</f>
        <v>0</v>
      </c>
      <c r="L3428" s="3" t="b">
        <f>AND(G3428 &lt;&gt; "plain", G3428 &lt;&gt; "")</f>
        <v>0</v>
      </c>
      <c r="M3428" s="3" t="str">
        <f>IF(E3428, C3428 &amp; "|" &amp; H3428, "")</f>
        <v>principal-knowledge-authority|</v>
      </c>
      <c r="N3428" s="2" t="s">
        <v>9938</v>
      </c>
    </row>
    <row r="3429">
      <c r="A3429" s="2" t="s">
        <v>13365</v>
      </c>
      <c r="B3429" s="3" t="str">
        <f>C3429 &amp; " -&gt; " &amp; D3429</f>
        <v>principal-knowledge-authority -&gt; TestCases.DefendsQuestion</v>
      </c>
      <c r="C3429" s="2" t="s">
        <v>9708</v>
      </c>
      <c r="D3429" s="2" t="s">
        <v>4156</v>
      </c>
      <c r="E3429" s="2" t="b">
        <v>1</v>
      </c>
      <c r="F3429" s="2" t="b">
        <v>0</v>
      </c>
      <c r="G3429" s="2" t="s">
        <v>9937</v>
      </c>
      <c r="H3429" s="3" t="str">
        <f>_xlfn.IFNA(INDEX(RulebookFields!C2:C999, MATCH(D3429,RulebookFields!A2:A999, 0)), "")</f>
      </c>
      <c r="I3429" s="3" t="str">
        <f>_xlfn.IFNA(INDEX(RulebookFields!D2:D999, MATCH(D3429,RulebookFields!A2:A999, 0)), "")</f>
      </c>
      <c r="J3429" s="3" t="str">
        <f>_xlfn.IFNA(INDEX(RulebookFields!I2:I999, MATCH(D3429,RulebookFields!A2:A999, 0)), "")</f>
      </c>
      <c r="K3429" s="3" t="b">
        <f>AND(F3429, J3429)</f>
        <v>0</v>
      </c>
      <c r="L3429" s="3" t="b">
        <f>AND(G3429 &lt;&gt; "plain", G3429 &lt;&gt; "")</f>
        <v>0</v>
      </c>
      <c r="M3429" s="3" t="str">
        <f>IF(E3429, C3429 &amp; "|" &amp; H3429, "")</f>
        <v>principal-knowledge-authority|</v>
      </c>
      <c r="N3429" s="2" t="s">
        <v>9938</v>
      </c>
    </row>
    <row r="3430">
      <c r="A3430" s="2" t="s">
        <v>13366</v>
      </c>
      <c r="B3430" s="3" t="str">
        <f>C3430 &amp; " -&gt; " &amp; D3430</f>
        <v>principal-knowledge-authority -&gt; TestCases.Suite</v>
      </c>
      <c r="C3430" s="2" t="s">
        <v>9708</v>
      </c>
      <c r="D3430" s="2" t="s">
        <v>4158</v>
      </c>
      <c r="E3430" s="2" t="b">
        <v>1</v>
      </c>
      <c r="F3430" s="2" t="b">
        <v>0</v>
      </c>
      <c r="G3430" s="2" t="s">
        <v>9937</v>
      </c>
      <c r="H3430" s="3" t="str">
        <f>_xlfn.IFNA(INDEX(RulebookFields!C2:C999, MATCH(D3430,RulebookFields!A2:A999, 0)), "")</f>
      </c>
      <c r="I3430" s="3" t="str">
        <f>_xlfn.IFNA(INDEX(RulebookFields!D2:D999, MATCH(D3430,RulebookFields!A2:A999, 0)), "")</f>
      </c>
      <c r="J3430" s="3" t="str">
        <f>_xlfn.IFNA(INDEX(RulebookFields!I2:I999, MATCH(D3430,RulebookFields!A2:A999, 0)), "")</f>
      </c>
      <c r="K3430" s="3" t="b">
        <f>AND(F3430, J3430)</f>
        <v>0</v>
      </c>
      <c r="L3430" s="3" t="b">
        <f>AND(G3430 &lt;&gt; "plain", G3430 &lt;&gt; "")</f>
        <v>0</v>
      </c>
      <c r="M3430" s="3" t="str">
        <f>IF(E3430, C3430 &amp; "|" &amp; H3430, "")</f>
        <v>principal-knowledge-authority|</v>
      </c>
      <c r="N3430" s="2" t="s">
        <v>9938</v>
      </c>
    </row>
    <row r="3431">
      <c r="A3431" s="2" t="s">
        <v>13367</v>
      </c>
      <c r="B3431" s="3" t="str">
        <f>C3431 &amp; " -&gt; " &amp; D3431</f>
        <v>principal-knowledge-authority -&gt; TestCases.Severity</v>
      </c>
      <c r="C3431" s="2" t="s">
        <v>9708</v>
      </c>
      <c r="D3431" s="2" t="s">
        <v>4160</v>
      </c>
      <c r="E3431" s="2" t="b">
        <v>1</v>
      </c>
      <c r="F3431" s="2" t="b">
        <v>0</v>
      </c>
      <c r="G3431" s="2" t="s">
        <v>9937</v>
      </c>
      <c r="H3431" s="3" t="str">
        <f>_xlfn.IFNA(INDEX(RulebookFields!C2:C999, MATCH(D3431,RulebookFields!A2:A999, 0)), "")</f>
      </c>
      <c r="I3431" s="3" t="str">
        <f>_xlfn.IFNA(INDEX(RulebookFields!D2:D999, MATCH(D3431,RulebookFields!A2:A999, 0)), "")</f>
      </c>
      <c r="J3431" s="3" t="str">
        <f>_xlfn.IFNA(INDEX(RulebookFields!I2:I999, MATCH(D3431,RulebookFields!A2:A999, 0)), "")</f>
      </c>
      <c r="K3431" s="3" t="b">
        <f>AND(F3431, J3431)</f>
        <v>0</v>
      </c>
      <c r="L3431" s="3" t="b">
        <f>AND(G3431 &lt;&gt; "plain", G3431 &lt;&gt; "")</f>
        <v>0</v>
      </c>
      <c r="M3431" s="3" t="str">
        <f>IF(E3431, C3431 &amp; "|" &amp; H3431, "")</f>
        <v>principal-knowledge-authority|</v>
      </c>
      <c r="N3431" s="2" t="s">
        <v>9938</v>
      </c>
    </row>
    <row r="3432">
      <c r="A3432" s="2" t="s">
        <v>13368</v>
      </c>
      <c r="B3432" s="3" t="str">
        <f>C3432 &amp; " -&gt; " &amp; D3432</f>
        <v>principal-knowledge-authority -&gt; TestCases.IsBlocking</v>
      </c>
      <c r="C3432" s="2" t="s">
        <v>9708</v>
      </c>
      <c r="D3432" s="2" t="s">
        <v>4161</v>
      </c>
      <c r="E3432" s="2" t="b">
        <v>1</v>
      </c>
      <c r="F3432" s="2" t="b">
        <v>0</v>
      </c>
      <c r="G3432" s="2" t="s">
        <v>9937</v>
      </c>
      <c r="H3432" s="3" t="str">
        <f>_xlfn.IFNA(INDEX(RulebookFields!C2:C999, MATCH(D3432,RulebookFields!A2:A999, 0)), "")</f>
      </c>
      <c r="I3432" s="3" t="str">
        <f>_xlfn.IFNA(INDEX(RulebookFields!D2:D999, MATCH(D3432,RulebookFields!A2:A999, 0)), "")</f>
      </c>
      <c r="J3432" s="3" t="str">
        <f>_xlfn.IFNA(INDEX(RulebookFields!I2:I999, MATCH(D3432,RulebookFields!A2:A999, 0)), "")</f>
      </c>
      <c r="K3432" s="3" t="b">
        <f>AND(F3432, J3432)</f>
        <v>0</v>
      </c>
      <c r="L3432" s="3" t="b">
        <f>AND(G3432 &lt;&gt; "plain", G3432 &lt;&gt; "")</f>
        <v>0</v>
      </c>
      <c r="M3432" s="3" t="str">
        <f>IF(E3432, C3432 &amp; "|" &amp; H3432, "")</f>
        <v>principal-knowledge-authority|</v>
      </c>
      <c r="N3432" s="2" t="s">
        <v>9938</v>
      </c>
    </row>
    <row r="3433">
      <c r="A3433" s="2" t="s">
        <v>13369</v>
      </c>
      <c r="B3433" s="3" t="str">
        <f>C3433 &amp; " -&gt; " &amp; D3433</f>
        <v>principal-knowledge-authority -&gt; TestCases.LastOutcome</v>
      </c>
      <c r="C3433" s="2" t="s">
        <v>9708</v>
      </c>
      <c r="D3433" s="2" t="s">
        <v>4163</v>
      </c>
      <c r="E3433" s="2" t="b">
        <v>1</v>
      </c>
      <c r="F3433" s="2" t="b">
        <v>0</v>
      </c>
      <c r="G3433" s="2" t="s">
        <v>9937</v>
      </c>
      <c r="H3433" s="3" t="str">
        <f>_xlfn.IFNA(INDEX(RulebookFields!C2:C999, MATCH(D3433,RulebookFields!A2:A999, 0)), "")</f>
      </c>
      <c r="I3433" s="3" t="str">
        <f>_xlfn.IFNA(INDEX(RulebookFields!D2:D999, MATCH(D3433,RulebookFields!A2:A999, 0)), "")</f>
      </c>
      <c r="J3433" s="3" t="str">
        <f>_xlfn.IFNA(INDEX(RulebookFields!I2:I999, MATCH(D3433,RulebookFields!A2:A999, 0)), "")</f>
      </c>
      <c r="K3433" s="3" t="b">
        <f>AND(F3433, J3433)</f>
        <v>0</v>
      </c>
      <c r="L3433" s="3" t="b">
        <f>AND(G3433 &lt;&gt; "plain", G3433 &lt;&gt; "")</f>
        <v>0</v>
      </c>
      <c r="M3433" s="3" t="str">
        <f>IF(E3433, C3433 &amp; "|" &amp; H3433, "")</f>
        <v>principal-knowledge-authority|</v>
      </c>
      <c r="N3433" s="2" t="s">
        <v>9938</v>
      </c>
    </row>
    <row r="3434">
      <c r="A3434" s="2" t="s">
        <v>13370</v>
      </c>
      <c r="B3434" s="3" t="str">
        <f>C3434 &amp; " -&gt; " &amp; D3434</f>
        <v>principal-knowledge-authority -&gt; TestCases.LastDetail</v>
      </c>
      <c r="C3434" s="2" t="s">
        <v>9708</v>
      </c>
      <c r="D3434" s="2" t="s">
        <v>4165</v>
      </c>
      <c r="E3434" s="2" t="b">
        <v>1</v>
      </c>
      <c r="F3434" s="2" t="b">
        <v>0</v>
      </c>
      <c r="G3434" s="2" t="s">
        <v>9937</v>
      </c>
      <c r="H3434" s="3" t="str">
        <f>_xlfn.IFNA(INDEX(RulebookFields!C2:C999, MATCH(D3434,RulebookFields!A2:A999, 0)), "")</f>
      </c>
      <c r="I3434" s="3" t="str">
        <f>_xlfn.IFNA(INDEX(RulebookFields!D2:D999, MATCH(D3434,RulebookFields!A2:A999, 0)), "")</f>
      </c>
      <c r="J3434" s="3" t="str">
        <f>_xlfn.IFNA(INDEX(RulebookFields!I2:I999, MATCH(D3434,RulebookFields!A2:A999, 0)), "")</f>
      </c>
      <c r="K3434" s="3" t="b">
        <f>AND(F3434, J3434)</f>
        <v>0</v>
      </c>
      <c r="L3434" s="3" t="b">
        <f>AND(G3434 &lt;&gt; "plain", G3434 &lt;&gt; "")</f>
        <v>0</v>
      </c>
      <c r="M3434" s="3" t="str">
        <f>IF(E3434, C3434 &amp; "|" &amp; H3434, "")</f>
        <v>principal-knowledge-authority|</v>
      </c>
      <c r="N3434" s="2" t="s">
        <v>9938</v>
      </c>
    </row>
    <row r="3435">
      <c r="A3435" s="2" t="s">
        <v>13371</v>
      </c>
      <c r="B3435" s="3" t="str">
        <f>C3435 &amp; " -&gt; " &amp; D3435</f>
        <v>principal-knowledge-authority -&gt; TestCases.LastRunAt</v>
      </c>
      <c r="C3435" s="2" t="s">
        <v>9708</v>
      </c>
      <c r="D3435" s="2" t="s">
        <v>4167</v>
      </c>
      <c r="E3435" s="2" t="b">
        <v>1</v>
      </c>
      <c r="F3435" s="2" t="b">
        <v>0</v>
      </c>
      <c r="G3435" s="2" t="s">
        <v>9937</v>
      </c>
      <c r="H3435" s="3" t="str">
        <f>_xlfn.IFNA(INDEX(RulebookFields!C2:C999, MATCH(D3435,RulebookFields!A2:A999, 0)), "")</f>
      </c>
      <c r="I3435" s="3" t="str">
        <f>_xlfn.IFNA(INDEX(RulebookFields!D2:D999, MATCH(D3435,RulebookFields!A2:A999, 0)), "")</f>
      </c>
      <c r="J3435" s="3" t="str">
        <f>_xlfn.IFNA(INDEX(RulebookFields!I2:I999, MATCH(D3435,RulebookFields!A2:A999, 0)), "")</f>
      </c>
      <c r="K3435" s="3" t="b">
        <f>AND(F3435, J3435)</f>
        <v>0</v>
      </c>
      <c r="L3435" s="3" t="b">
        <f>AND(G3435 &lt;&gt; "plain", G3435 &lt;&gt; "")</f>
        <v>0</v>
      </c>
      <c r="M3435" s="3" t="str">
        <f>IF(E3435, C3435 &amp; "|" &amp; H3435, "")</f>
        <v>principal-knowledge-authority|</v>
      </c>
      <c r="N3435" s="2" t="s">
        <v>9938</v>
      </c>
    </row>
    <row r="3436">
      <c r="A3436" s="2" t="s">
        <v>13372</v>
      </c>
      <c r="B3436" s="3" t="str">
        <f>C3436 &amp; " -&gt; " &amp; D3436</f>
        <v>principal-knowledge-authority -&gt; TestCases.IsPassing</v>
      </c>
      <c r="C3436" s="2" t="s">
        <v>9708</v>
      </c>
      <c r="D3436" s="2" t="s">
        <v>4169</v>
      </c>
      <c r="E3436" s="2" t="b">
        <v>1</v>
      </c>
      <c r="F3436" s="2" t="b">
        <v>0</v>
      </c>
      <c r="G3436" s="2" t="s">
        <v>9937</v>
      </c>
      <c r="H3436" s="3" t="str">
        <f>_xlfn.IFNA(INDEX(RulebookFields!C2:C999, MATCH(D3436,RulebookFields!A2:A999, 0)), "")</f>
      </c>
      <c r="I3436" s="3" t="str">
        <f>_xlfn.IFNA(INDEX(RulebookFields!D2:D999, MATCH(D3436,RulebookFields!A2:A999, 0)), "")</f>
      </c>
      <c r="J3436" s="3" t="str">
        <f>_xlfn.IFNA(INDEX(RulebookFields!I2:I999, MATCH(D3436,RulebookFields!A2:A999, 0)), "")</f>
      </c>
      <c r="K3436" s="3" t="b">
        <f>AND(F3436, J3436)</f>
        <v>0</v>
      </c>
      <c r="L3436" s="3" t="b">
        <f>AND(G3436 &lt;&gt; "plain", G3436 &lt;&gt; "")</f>
        <v>0</v>
      </c>
      <c r="M3436" s="3" t="str">
        <f>IF(E3436, C3436 &amp; "|" &amp; H3436, "")</f>
        <v>principal-knowledge-authority|</v>
      </c>
      <c r="N3436" s="2" t="s">
        <v>9938</v>
      </c>
    </row>
    <row r="3437">
      <c r="A3437" s="2" t="s">
        <v>13373</v>
      </c>
      <c r="B3437" s="3" t="str">
        <f>C3437 &amp; " -&gt; " &amp; D3437</f>
        <v>principal-knowledge-authority -&gt; TestCases.IsFailing</v>
      </c>
      <c r="C3437" s="2" t="s">
        <v>9708</v>
      </c>
      <c r="D3437" s="2" t="s">
        <v>4172</v>
      </c>
      <c r="E3437" s="2" t="b">
        <v>1</v>
      </c>
      <c r="F3437" s="2" t="b">
        <v>0</v>
      </c>
      <c r="G3437" s="2" t="s">
        <v>9937</v>
      </c>
      <c r="H3437" s="3" t="str">
        <f>_xlfn.IFNA(INDEX(RulebookFields!C2:C999, MATCH(D3437,RulebookFields!A2:A999, 0)), "")</f>
      </c>
      <c r="I3437" s="3" t="str">
        <f>_xlfn.IFNA(INDEX(RulebookFields!D2:D999, MATCH(D3437,RulebookFields!A2:A999, 0)), "")</f>
      </c>
      <c r="J3437" s="3" t="str">
        <f>_xlfn.IFNA(INDEX(RulebookFields!I2:I999, MATCH(D3437,RulebookFields!A2:A999, 0)), "")</f>
      </c>
      <c r="K3437" s="3" t="b">
        <f>AND(F3437, J3437)</f>
        <v>0</v>
      </c>
      <c r="L3437" s="3" t="b">
        <f>AND(G3437 &lt;&gt; "plain", G3437 &lt;&gt; "")</f>
        <v>0</v>
      </c>
      <c r="M3437" s="3" t="str">
        <f>IF(E3437, C3437 &amp; "|" &amp; H3437, "")</f>
        <v>principal-knowledge-authority|</v>
      </c>
      <c r="N3437" s="2" t="s">
        <v>9938</v>
      </c>
    </row>
    <row r="3438">
      <c r="A3438" s="2" t="s">
        <v>13374</v>
      </c>
      <c r="B3438" s="3" t="str">
        <f>C3438 &amp; " -&gt; " &amp; D3438</f>
        <v>principal-knowledge-authority -&gt; TestCases.NeedsAttention</v>
      </c>
      <c r="C3438" s="2" t="s">
        <v>9708</v>
      </c>
      <c r="D3438" s="2" t="s">
        <v>4175</v>
      </c>
      <c r="E3438" s="2" t="b">
        <v>1</v>
      </c>
      <c r="F3438" s="2" t="b">
        <v>0</v>
      </c>
      <c r="G3438" s="2" t="s">
        <v>9937</v>
      </c>
      <c r="H3438" s="3" t="str">
        <f>_xlfn.IFNA(INDEX(RulebookFields!C2:C999, MATCH(D3438,RulebookFields!A2:A999, 0)), "")</f>
      </c>
      <c r="I3438" s="3" t="str">
        <f>_xlfn.IFNA(INDEX(RulebookFields!D2:D999, MATCH(D3438,RulebookFields!A2:A999, 0)), "")</f>
      </c>
      <c r="J3438" s="3" t="str">
        <f>_xlfn.IFNA(INDEX(RulebookFields!I2:I999, MATCH(D3438,RulebookFields!A2:A999, 0)), "")</f>
      </c>
      <c r="K3438" s="3" t="b">
        <f>AND(F3438, J3438)</f>
        <v>0</v>
      </c>
      <c r="L3438" s="3" t="b">
        <f>AND(G3438 &lt;&gt; "plain", G3438 &lt;&gt; "")</f>
        <v>0</v>
      </c>
      <c r="M3438" s="3" t="str">
        <f>IF(E3438, C3438 &amp; "|" &amp; H3438, "")</f>
        <v>principal-knowledge-authority|</v>
      </c>
      <c r="N3438" s="2" t="s">
        <v>9938</v>
      </c>
    </row>
    <row r="3439">
      <c r="A3439" s="2" t="s">
        <v>13375</v>
      </c>
      <c r="B3439" s="3" t="str">
        <f>C3439 &amp; " -&gt; " &amp; D3439</f>
        <v>principal-knowledge-authority -&gt; TestCases.PassingSuiteKey</v>
      </c>
      <c r="C3439" s="2" t="s">
        <v>9708</v>
      </c>
      <c r="D3439" s="2" t="s">
        <v>4178</v>
      </c>
      <c r="E3439" s="2" t="b">
        <v>1</v>
      </c>
      <c r="F3439" s="2" t="b">
        <v>0</v>
      </c>
      <c r="G3439" s="2" t="s">
        <v>9937</v>
      </c>
      <c r="H3439" s="3" t="str">
        <f>_xlfn.IFNA(INDEX(RulebookFields!C2:C999, MATCH(D3439,RulebookFields!A2:A999, 0)), "")</f>
      </c>
      <c r="I3439" s="3" t="str">
        <f>_xlfn.IFNA(INDEX(RulebookFields!D2:D999, MATCH(D3439,RulebookFields!A2:A999, 0)), "")</f>
      </c>
      <c r="J3439" s="3" t="str">
        <f>_xlfn.IFNA(INDEX(RulebookFields!I2:I999, MATCH(D3439,RulebookFields!A2:A999, 0)), "")</f>
      </c>
      <c r="K3439" s="3" t="b">
        <f>AND(F3439, J3439)</f>
        <v>0</v>
      </c>
      <c r="L3439" s="3" t="b">
        <f>AND(G3439 &lt;&gt; "plain", G3439 &lt;&gt; "")</f>
        <v>0</v>
      </c>
      <c r="M3439" s="3" t="str">
        <f>IF(E3439, C3439 &amp; "|" &amp; H3439, "")</f>
        <v>principal-knowledge-authority|</v>
      </c>
      <c r="N3439" s="2" t="s">
        <v>9938</v>
      </c>
    </row>
    <row r="3440">
      <c r="A3440" s="2" t="s">
        <v>13376</v>
      </c>
      <c r="B3440" s="3" t="str">
        <f>C3440 &amp; " -&gt; " &amp; D3440</f>
        <v>principal-knowledge-authority -&gt; TestCases.NeedsAttentionSuiteKey</v>
      </c>
      <c r="C3440" s="2" t="s">
        <v>9708</v>
      </c>
      <c r="D3440" s="2" t="s">
        <v>4181</v>
      </c>
      <c r="E3440" s="2" t="b">
        <v>1</v>
      </c>
      <c r="F3440" s="2" t="b">
        <v>0</v>
      </c>
      <c r="G3440" s="2" t="s">
        <v>9937</v>
      </c>
      <c r="H3440" s="3" t="str">
        <f>_xlfn.IFNA(INDEX(RulebookFields!C2:C999, MATCH(D3440,RulebookFields!A2:A999, 0)), "")</f>
      </c>
      <c r="I3440" s="3" t="str">
        <f>_xlfn.IFNA(INDEX(RulebookFields!D2:D999, MATCH(D3440,RulebookFields!A2:A999, 0)), "")</f>
      </c>
      <c r="J3440" s="3" t="str">
        <f>_xlfn.IFNA(INDEX(RulebookFields!I2:I999, MATCH(D3440,RulebookFields!A2:A999, 0)), "")</f>
      </c>
      <c r="K3440" s="3" t="b">
        <f>AND(F3440, J3440)</f>
        <v>0</v>
      </c>
      <c r="L3440" s="3" t="b">
        <f>AND(G3440 &lt;&gt; "plain", G3440 &lt;&gt; "")</f>
        <v>0</v>
      </c>
      <c r="M3440" s="3" t="str">
        <f>IF(E3440, C3440 &amp; "|" &amp; H3440, "")</f>
        <v>principal-knowledge-authority|</v>
      </c>
      <c r="N3440" s="2" t="s">
        <v>9938</v>
      </c>
    </row>
    <row r="3441">
      <c r="A3441" s="2" t="s">
        <v>13377</v>
      </c>
      <c r="B3441" s="3" t="str">
        <f>C3441 &amp; " -&gt; " &amp; D3441</f>
        <v>principal-knowledge-authority -&gt; TestCases.SemanticTypeIri</v>
      </c>
      <c r="C3441" s="2" t="s">
        <v>9708</v>
      </c>
      <c r="D3441" s="2" t="s">
        <v>4184</v>
      </c>
      <c r="E3441" s="2" t="b">
        <v>1</v>
      </c>
      <c r="F3441" s="2" t="b">
        <v>0</v>
      </c>
      <c r="G3441" s="2" t="s">
        <v>9937</v>
      </c>
      <c r="H3441" s="3" t="str">
        <f>_xlfn.IFNA(INDEX(RulebookFields!C2:C999, MATCH(D3441,RulebookFields!A2:A999, 0)), "")</f>
      </c>
      <c r="I3441" s="3" t="str">
        <f>_xlfn.IFNA(INDEX(RulebookFields!D2:D999, MATCH(D3441,RulebookFields!A2:A999, 0)), "")</f>
      </c>
      <c r="J3441" s="3" t="str">
        <f>_xlfn.IFNA(INDEX(RulebookFields!I2:I999, MATCH(D3441,RulebookFields!A2:A999, 0)), "")</f>
      </c>
      <c r="K3441" s="3" t="b">
        <f>AND(F3441, J3441)</f>
        <v>0</v>
      </c>
      <c r="L3441" s="3" t="b">
        <f>AND(G3441 &lt;&gt; "plain", G3441 &lt;&gt; "")</f>
        <v>0</v>
      </c>
      <c r="M3441" s="3" t="str">
        <f>IF(E3441, C3441 &amp; "|" &amp; H3441, "")</f>
        <v>principal-knowledge-authority|</v>
      </c>
      <c r="N3441" s="2" t="s">
        <v>9938</v>
      </c>
    </row>
    <row r="3442">
      <c r="A3442" s="2" t="s">
        <v>13378</v>
      </c>
      <c r="B3442" s="3" t="str">
        <f>C3442 &amp; " -&gt; " &amp; D3442</f>
        <v>principal-knowledge-authority -&gt; TestSuites.TestSuiteId</v>
      </c>
      <c r="C3442" s="2" t="s">
        <v>9708</v>
      </c>
      <c r="D3442" s="2" t="s">
        <v>4124</v>
      </c>
      <c r="E3442" s="2" t="b">
        <v>1</v>
      </c>
      <c r="F3442" s="2" t="b">
        <v>0</v>
      </c>
      <c r="G3442" s="2" t="s">
        <v>9937</v>
      </c>
      <c r="H3442" s="3" t="str">
        <f>_xlfn.IFNA(INDEX(RulebookFields!C2:C999, MATCH(D3442,RulebookFields!A2:A999, 0)), "")</f>
      </c>
      <c r="I3442" s="3" t="str">
        <f>_xlfn.IFNA(INDEX(RulebookFields!D2:D999, MATCH(D3442,RulebookFields!A2:A999, 0)), "")</f>
      </c>
      <c r="J3442" s="3" t="str">
        <f>_xlfn.IFNA(INDEX(RulebookFields!I2:I999, MATCH(D3442,RulebookFields!A2:A999, 0)), "")</f>
      </c>
      <c r="K3442" s="3" t="b">
        <f>AND(F3442, J3442)</f>
        <v>0</v>
      </c>
      <c r="L3442" s="3" t="b">
        <f>AND(G3442 &lt;&gt; "plain", G3442 &lt;&gt; "")</f>
        <v>0</v>
      </c>
      <c r="M3442" s="3" t="str">
        <f>IF(E3442, C3442 &amp; "|" &amp; H3442, "")</f>
        <v>principal-knowledge-authority|</v>
      </c>
      <c r="N3442" s="2" t="s">
        <v>9938</v>
      </c>
    </row>
    <row r="3443">
      <c r="A3443" s="2" t="s">
        <v>13379</v>
      </c>
      <c r="B3443" s="3" t="str">
        <f>C3443 &amp; " -&gt; " &amp; D3443</f>
        <v>principal-knowledge-authority -&gt; TestSuites.Name</v>
      </c>
      <c r="C3443" s="2" t="s">
        <v>9708</v>
      </c>
      <c r="D3443" s="2" t="s">
        <v>4127</v>
      </c>
      <c r="E3443" s="2" t="b">
        <v>1</v>
      </c>
      <c r="F3443" s="2" t="b">
        <v>0</v>
      </c>
      <c r="G3443" s="2" t="s">
        <v>9937</v>
      </c>
      <c r="H3443" s="3" t="str">
        <f>_xlfn.IFNA(INDEX(RulebookFields!C2:C999, MATCH(D3443,RulebookFields!A2:A999, 0)), "")</f>
      </c>
      <c r="I3443" s="3" t="str">
        <f>_xlfn.IFNA(INDEX(RulebookFields!D2:D999, MATCH(D3443,RulebookFields!A2:A999, 0)), "")</f>
      </c>
      <c r="J3443" s="3" t="str">
        <f>_xlfn.IFNA(INDEX(RulebookFields!I2:I999, MATCH(D3443,RulebookFields!A2:A999, 0)), "")</f>
      </c>
      <c r="K3443" s="3" t="b">
        <f>AND(F3443, J3443)</f>
        <v>0</v>
      </c>
      <c r="L3443" s="3" t="b">
        <f>AND(G3443 &lt;&gt; "plain", G3443 &lt;&gt; "")</f>
        <v>0</v>
      </c>
      <c r="M3443" s="3" t="str">
        <f>IF(E3443, C3443 &amp; "|" &amp; H3443, "")</f>
        <v>principal-knowledge-authority|</v>
      </c>
      <c r="N3443" s="2" t="s">
        <v>9938</v>
      </c>
    </row>
    <row r="3444">
      <c r="A3444" s="2" t="s">
        <v>13380</v>
      </c>
      <c r="B3444" s="3" t="str">
        <f>C3444 &amp; " -&gt; " &amp; D3444</f>
        <v>principal-knowledge-authority -&gt; TestSuites.Label</v>
      </c>
      <c r="C3444" s="2" t="s">
        <v>9708</v>
      </c>
      <c r="D3444" s="2" t="s">
        <v>4128</v>
      </c>
      <c r="E3444" s="2" t="b">
        <v>1</v>
      </c>
      <c r="F3444" s="2" t="b">
        <v>0</v>
      </c>
      <c r="G3444" s="2" t="s">
        <v>9937</v>
      </c>
      <c r="H3444" s="3" t="str">
        <f>_xlfn.IFNA(INDEX(RulebookFields!C2:C999, MATCH(D3444,RulebookFields!A2:A999, 0)), "")</f>
      </c>
      <c r="I3444" s="3" t="str">
        <f>_xlfn.IFNA(INDEX(RulebookFields!D2:D999, MATCH(D3444,RulebookFields!A2:A999, 0)), "")</f>
      </c>
      <c r="J3444" s="3" t="str">
        <f>_xlfn.IFNA(INDEX(RulebookFields!I2:I999, MATCH(D3444,RulebookFields!A2:A999, 0)), "")</f>
      </c>
      <c r="K3444" s="3" t="b">
        <f>AND(F3444, J3444)</f>
        <v>0</v>
      </c>
      <c r="L3444" s="3" t="b">
        <f>AND(G3444 &lt;&gt; "plain", G3444 &lt;&gt; "")</f>
        <v>0</v>
      </c>
      <c r="M3444" s="3" t="str">
        <f>IF(E3444, C3444 &amp; "|" &amp; H3444, "")</f>
        <v>principal-knowledge-authority|</v>
      </c>
      <c r="N3444" s="2" t="s">
        <v>9938</v>
      </c>
    </row>
    <row r="3445">
      <c r="A3445" s="2" t="s">
        <v>13381</v>
      </c>
      <c r="B3445" s="3" t="str">
        <f>C3445 &amp; " -&gt; " &amp; D3445</f>
        <v>principal-knowledge-authority -&gt; TestSuites.TestCount</v>
      </c>
      <c r="C3445" s="2" t="s">
        <v>9708</v>
      </c>
      <c r="D3445" s="2" t="s">
        <v>4129</v>
      </c>
      <c r="E3445" s="2" t="b">
        <v>1</v>
      </c>
      <c r="F3445" s="2" t="b">
        <v>0</v>
      </c>
      <c r="G3445" s="2" t="s">
        <v>9937</v>
      </c>
      <c r="H3445" s="3" t="str">
        <f>_xlfn.IFNA(INDEX(RulebookFields!C2:C999, MATCH(D3445,RulebookFields!A2:A999, 0)), "")</f>
      </c>
      <c r="I3445" s="3" t="str">
        <f>_xlfn.IFNA(INDEX(RulebookFields!D2:D999, MATCH(D3445,RulebookFields!A2:A999, 0)), "")</f>
      </c>
      <c r="J3445" s="3" t="str">
        <f>_xlfn.IFNA(INDEX(RulebookFields!I2:I999, MATCH(D3445,RulebookFields!A2:A999, 0)), "")</f>
      </c>
      <c r="K3445" s="3" t="b">
        <f>AND(F3445, J3445)</f>
        <v>0</v>
      </c>
      <c r="L3445" s="3" t="b">
        <f>AND(G3445 &lt;&gt; "plain", G3445 &lt;&gt; "")</f>
        <v>0</v>
      </c>
      <c r="M3445" s="3" t="str">
        <f>IF(E3445, C3445 &amp; "|" &amp; H3445, "")</f>
        <v>principal-knowledge-authority|</v>
      </c>
      <c r="N3445" s="2" t="s">
        <v>9938</v>
      </c>
    </row>
    <row r="3446">
      <c r="A3446" s="2" t="s">
        <v>13382</v>
      </c>
      <c r="B3446" s="3" t="str">
        <f>C3446 &amp; " -&gt; " &amp; D3446</f>
        <v>principal-knowledge-authority -&gt; TestSuites.PassCount</v>
      </c>
      <c r="C3446" s="2" t="s">
        <v>9708</v>
      </c>
      <c r="D3446" s="2" t="s">
        <v>4132</v>
      </c>
      <c r="E3446" s="2" t="b">
        <v>1</v>
      </c>
      <c r="F3446" s="2" t="b">
        <v>0</v>
      </c>
      <c r="G3446" s="2" t="s">
        <v>9937</v>
      </c>
      <c r="H3446" s="3" t="str">
        <f>_xlfn.IFNA(INDEX(RulebookFields!C2:C999, MATCH(D3446,RulebookFields!A2:A999, 0)), "")</f>
      </c>
      <c r="I3446" s="3" t="str">
        <f>_xlfn.IFNA(INDEX(RulebookFields!D2:D999, MATCH(D3446,RulebookFields!A2:A999, 0)), "")</f>
      </c>
      <c r="J3446" s="3" t="str">
        <f>_xlfn.IFNA(INDEX(RulebookFields!I2:I999, MATCH(D3446,RulebookFields!A2:A999, 0)), "")</f>
      </c>
      <c r="K3446" s="3" t="b">
        <f>AND(F3446, J3446)</f>
        <v>0</v>
      </c>
      <c r="L3446" s="3" t="b">
        <f>AND(G3446 &lt;&gt; "plain", G3446 &lt;&gt; "")</f>
        <v>0</v>
      </c>
      <c r="M3446" s="3" t="str">
        <f>IF(E3446, C3446 &amp; "|" &amp; H3446, "")</f>
        <v>principal-knowledge-authority|</v>
      </c>
      <c r="N3446" s="2" t="s">
        <v>9938</v>
      </c>
    </row>
    <row r="3447">
      <c r="A3447" s="2" t="s">
        <v>13383</v>
      </c>
      <c r="B3447" s="3" t="str">
        <f>C3447 &amp; " -&gt; " &amp; D3447</f>
        <v>principal-knowledge-authority -&gt; TestSuites.BlockingFailCount</v>
      </c>
      <c r="C3447" s="2" t="s">
        <v>9708</v>
      </c>
      <c r="D3447" s="2" t="s">
        <v>4135</v>
      </c>
      <c r="E3447" s="2" t="b">
        <v>1</v>
      </c>
      <c r="F3447" s="2" t="b">
        <v>0</v>
      </c>
      <c r="G3447" s="2" t="s">
        <v>9937</v>
      </c>
      <c r="H3447" s="3" t="str">
        <f>_xlfn.IFNA(INDEX(RulebookFields!C2:C999, MATCH(D3447,RulebookFields!A2:A999, 0)), "")</f>
      </c>
      <c r="I3447" s="3" t="str">
        <f>_xlfn.IFNA(INDEX(RulebookFields!D2:D999, MATCH(D3447,RulebookFields!A2:A999, 0)), "")</f>
      </c>
      <c r="J3447" s="3" t="str">
        <f>_xlfn.IFNA(INDEX(RulebookFields!I2:I999, MATCH(D3447,RulebookFields!A2:A999, 0)), "")</f>
      </c>
      <c r="K3447" s="3" t="b">
        <f>AND(F3447, J3447)</f>
        <v>0</v>
      </c>
      <c r="L3447" s="3" t="b">
        <f>AND(G3447 &lt;&gt; "plain", G3447 &lt;&gt; "")</f>
        <v>0</v>
      </c>
      <c r="M3447" s="3" t="str">
        <f>IF(E3447, C3447 &amp; "|" &amp; H3447, "")</f>
        <v>principal-knowledge-authority|</v>
      </c>
      <c r="N3447" s="2" t="s">
        <v>9938</v>
      </c>
    </row>
    <row r="3448">
      <c r="A3448" s="2" t="s">
        <v>13384</v>
      </c>
      <c r="B3448" s="3" t="str">
        <f>C3448 &amp; " -&gt; " &amp; D3448</f>
        <v>principal-knowledge-authority -&gt; TestSuites.IsGreen</v>
      </c>
      <c r="C3448" s="2" t="s">
        <v>9708</v>
      </c>
      <c r="D3448" s="2" t="s">
        <v>4138</v>
      </c>
      <c r="E3448" s="2" t="b">
        <v>1</v>
      </c>
      <c r="F3448" s="2" t="b">
        <v>0</v>
      </c>
      <c r="G3448" s="2" t="s">
        <v>9937</v>
      </c>
      <c r="H3448" s="3" t="str">
        <f>_xlfn.IFNA(INDEX(RulebookFields!C2:C999, MATCH(D3448,RulebookFields!A2:A999, 0)), "")</f>
      </c>
      <c r="I3448" s="3" t="str">
        <f>_xlfn.IFNA(INDEX(RulebookFields!D2:D999, MATCH(D3448,RulebookFields!A2:A999, 0)), "")</f>
      </c>
      <c r="J3448" s="3" t="str">
        <f>_xlfn.IFNA(INDEX(RulebookFields!I2:I999, MATCH(D3448,RulebookFields!A2:A999, 0)), "")</f>
      </c>
      <c r="K3448" s="3" t="b">
        <f>AND(F3448, J3448)</f>
        <v>0</v>
      </c>
      <c r="L3448" s="3" t="b">
        <f>AND(G3448 &lt;&gt; "plain", G3448 &lt;&gt; "")</f>
        <v>0</v>
      </c>
      <c r="M3448" s="3" t="str">
        <f>IF(E3448, C3448 &amp; "|" &amp; H3448, "")</f>
        <v>principal-knowledge-authority|</v>
      </c>
      <c r="N3448" s="2" t="s">
        <v>9938</v>
      </c>
    </row>
    <row r="3449">
      <c r="A3449" s="2" t="s">
        <v>13385</v>
      </c>
      <c r="B3449" s="3" t="str">
        <f>C3449 &amp; " -&gt; " &amp; D3449</f>
        <v>principal-knowledge-authority -&gt; TestSuites.SemanticTypeIri</v>
      </c>
      <c r="C3449" s="2" t="s">
        <v>9708</v>
      </c>
      <c r="D3449" s="2" t="s">
        <v>4141</v>
      </c>
      <c r="E3449" s="2" t="b">
        <v>1</v>
      </c>
      <c r="F3449" s="2" t="b">
        <v>0</v>
      </c>
      <c r="G3449" s="2" t="s">
        <v>9937</v>
      </c>
      <c r="H3449" s="3" t="str">
        <f>_xlfn.IFNA(INDEX(RulebookFields!C2:C999, MATCH(D3449,RulebookFields!A2:A999, 0)), "")</f>
      </c>
      <c r="I3449" s="3" t="str">
        <f>_xlfn.IFNA(INDEX(RulebookFields!D2:D999, MATCH(D3449,RulebookFields!A2:A999, 0)), "")</f>
      </c>
      <c r="J3449" s="3" t="str">
        <f>_xlfn.IFNA(INDEX(RulebookFields!I2:I999, MATCH(D3449,RulebookFields!A2:A999, 0)), "")</f>
      </c>
      <c r="K3449" s="3" t="b">
        <f>AND(F3449, J3449)</f>
        <v>0</v>
      </c>
      <c r="L3449" s="3" t="b">
        <f>AND(G3449 &lt;&gt; "plain", G3449 &lt;&gt; "")</f>
        <v>0</v>
      </c>
      <c r="M3449" s="3" t="str">
        <f>IF(E3449, C3449 &amp; "|" &amp; H3449, "")</f>
        <v>principal-knowledge-authority|</v>
      </c>
      <c r="N3449" s="2" t="s">
        <v>9938</v>
      </c>
    </row>
    <row r="3450">
      <c r="A3450" s="2" t="s">
        <v>13386</v>
      </c>
      <c r="B3450" s="3" t="str">
        <f>C3450 &amp; " -&gt; " &amp; D3450</f>
        <v>principal-knowledge-authority -&gt; Tools.ToolId</v>
      </c>
      <c r="C3450" s="2" t="s">
        <v>9708</v>
      </c>
      <c r="D3450" s="2" t="s">
        <v>2956</v>
      </c>
      <c r="E3450" s="2" t="b">
        <v>1</v>
      </c>
      <c r="F3450" s="2" t="b">
        <v>0</v>
      </c>
      <c r="G3450" s="2" t="s">
        <v>9937</v>
      </c>
      <c r="H3450" s="3" t="str">
        <f>_xlfn.IFNA(INDEX(RulebookFields!C2:C999, MATCH(D3450,RulebookFields!A2:A999, 0)), "")</f>
        <v>Tools</v>
      </c>
      <c r="I3450" s="3" t="str">
        <f>_xlfn.IFNA(INDEX(RulebookFields!D2:D999, MATCH(D3450,RulebookFields!A2:A999, 0)), "")</f>
        <v>ToolId</v>
      </c>
      <c r="J3450" s="3" t="b">
        <f>_xlfn.IFNA(INDEX(RulebookFields!I2:I999, MATCH(D3450,RulebookFields!A2:A999, 0)), "")</f>
        <v>0</v>
      </c>
      <c r="K3450" s="3" t="b">
        <f>AND(F3450, J3450)</f>
        <v>0</v>
      </c>
      <c r="L3450" s="3" t="b">
        <f>AND(G3450 &lt;&gt; "plain", G3450 &lt;&gt; "")</f>
        <v>0</v>
      </c>
      <c r="M3450" s="3" t="str">
        <f>IF(E3450, C3450 &amp; "|" &amp; H3450, "")</f>
        <v>principal-knowledge-authority|Tools</v>
      </c>
      <c r="N3450" s="2" t="s">
        <v>9938</v>
      </c>
    </row>
    <row r="3451">
      <c r="A3451" s="2" t="s">
        <v>13387</v>
      </c>
      <c r="B3451" s="3" t="str">
        <f>C3451 &amp; " -&gt; " &amp; D3451</f>
        <v>principal-knowledge-authority -&gt; Tools.Name</v>
      </c>
      <c r="C3451" s="2" t="s">
        <v>9708</v>
      </c>
      <c r="D3451" s="2" t="s">
        <v>2957</v>
      </c>
      <c r="E3451" s="2" t="b">
        <v>1</v>
      </c>
      <c r="F3451" s="2" t="b">
        <v>0</v>
      </c>
      <c r="G3451" s="2" t="s">
        <v>9937</v>
      </c>
      <c r="H3451" s="3" t="str">
        <f>_xlfn.IFNA(INDEX(RulebookFields!C2:C999, MATCH(D3451,RulebookFields!A2:A999, 0)), "")</f>
        <v>Tools</v>
      </c>
      <c r="I3451" s="3" t="str">
        <f>_xlfn.IFNA(INDEX(RulebookFields!D2:D999, MATCH(D3451,RulebookFields!A2:A999, 0)), "")</f>
        <v>Name</v>
      </c>
      <c r="J3451" s="3" t="b">
        <f>_xlfn.IFNA(INDEX(RulebookFields!I2:I999, MATCH(D3451,RulebookFields!A2:A999, 0)), "")</f>
        <v>1</v>
      </c>
      <c r="K3451" s="3" t="b">
        <f>AND(F3451, J3451)</f>
        <v>0</v>
      </c>
      <c r="L3451" s="3" t="b">
        <f>AND(G3451 &lt;&gt; "plain", G3451 &lt;&gt; "")</f>
        <v>0</v>
      </c>
      <c r="M3451" s="3" t="str">
        <f>IF(E3451, C3451 &amp; "|" &amp; H3451, "")</f>
        <v>principal-knowledge-authority|Tools</v>
      </c>
      <c r="N3451" s="2" t="s">
        <v>9938</v>
      </c>
    </row>
    <row r="3452">
      <c r="A3452" s="2" t="s">
        <v>13388</v>
      </c>
      <c r="B3452" s="3" t="str">
        <f>C3452 &amp; " -&gt; " &amp; D3452</f>
        <v>principal-knowledge-authority -&gt; Tools.Label</v>
      </c>
      <c r="C3452" s="2" t="s">
        <v>9708</v>
      </c>
      <c r="D3452" s="2" t="s">
        <v>2958</v>
      </c>
      <c r="E3452" s="2" t="b">
        <v>1</v>
      </c>
      <c r="F3452" s="2" t="b">
        <v>0</v>
      </c>
      <c r="G3452" s="2" t="s">
        <v>9937</v>
      </c>
      <c r="H3452" s="3" t="str">
        <f>_xlfn.IFNA(INDEX(RulebookFields!C2:C999, MATCH(D3452,RulebookFields!A2:A999, 0)), "")</f>
        <v>Tools</v>
      </c>
      <c r="I3452" s="3" t="str">
        <f>_xlfn.IFNA(INDEX(RulebookFields!D2:D999, MATCH(D3452,RulebookFields!A2:A999, 0)), "")</f>
        <v>Label</v>
      </c>
      <c r="J3452" s="3" t="b">
        <f>_xlfn.IFNA(INDEX(RulebookFields!I2:I999, MATCH(D3452,RulebookFields!A2:A999, 0)), "")</f>
        <v>0</v>
      </c>
      <c r="K3452" s="3" t="b">
        <f>AND(F3452, J3452)</f>
        <v>0</v>
      </c>
      <c r="L3452" s="3" t="b">
        <f>AND(G3452 &lt;&gt; "plain", G3452 &lt;&gt; "")</f>
        <v>0</v>
      </c>
      <c r="M3452" s="3" t="str">
        <f>IF(E3452, C3452 &amp; "|" &amp; H3452, "")</f>
        <v>principal-knowledge-authority|Tools</v>
      </c>
      <c r="N3452" s="2" t="s">
        <v>9938</v>
      </c>
    </row>
    <row r="3453">
      <c r="A3453" s="2" t="s">
        <v>13389</v>
      </c>
      <c r="B3453" s="3" t="str">
        <f>C3453 &amp; " -&gt; " &amp; D3453</f>
        <v>principal-knowledge-authority -&gt; Tools.Purpose</v>
      </c>
      <c r="C3453" s="2" t="s">
        <v>9708</v>
      </c>
      <c r="D3453" s="2" t="s">
        <v>2959</v>
      </c>
      <c r="E3453" s="2" t="b">
        <v>1</v>
      </c>
      <c r="F3453" s="2" t="b">
        <v>0</v>
      </c>
      <c r="G3453" s="2" t="s">
        <v>9937</v>
      </c>
      <c r="H3453" s="3" t="str">
        <f>_xlfn.IFNA(INDEX(RulebookFields!C2:C999, MATCH(D3453,RulebookFields!A2:A999, 0)), "")</f>
        <v>Tools</v>
      </c>
      <c r="I3453" s="3" t="str">
        <f>_xlfn.IFNA(INDEX(RulebookFields!D2:D999, MATCH(D3453,RulebookFields!A2:A999, 0)), "")</f>
        <v>Purpose</v>
      </c>
      <c r="J3453" s="3" t="b">
        <f>_xlfn.IFNA(INDEX(RulebookFields!I2:I999, MATCH(D3453,RulebookFields!A2:A999, 0)), "")</f>
        <v>0</v>
      </c>
      <c r="K3453" s="3" t="b">
        <f>AND(F3453, J3453)</f>
        <v>0</v>
      </c>
      <c r="L3453" s="3" t="b">
        <f>AND(G3453 &lt;&gt; "plain", G3453 &lt;&gt; "")</f>
        <v>0</v>
      </c>
      <c r="M3453" s="3" t="str">
        <f>IF(E3453, C3453 &amp; "|" &amp; H3453, "")</f>
        <v>principal-knowledge-authority|Tools</v>
      </c>
      <c r="N3453" s="2" t="s">
        <v>9938</v>
      </c>
    </row>
    <row r="3454">
      <c r="A3454" s="2" t="s">
        <v>13390</v>
      </c>
      <c r="B3454" s="3" t="str">
        <f>C3454 &amp; " -&gt; " &amp; D3454</f>
        <v>principal-knowledge-authority -&gt; Tools.SemanticTypeIri</v>
      </c>
      <c r="C3454" s="2" t="s">
        <v>9708</v>
      </c>
      <c r="D3454" s="2" t="s">
        <v>2960</v>
      </c>
      <c r="E3454" s="2" t="b">
        <v>1</v>
      </c>
      <c r="F3454" s="2" t="b">
        <v>0</v>
      </c>
      <c r="G3454" s="2" t="s">
        <v>9937</v>
      </c>
      <c r="H3454" s="3" t="str">
        <f>_xlfn.IFNA(INDEX(RulebookFields!C2:C999, MATCH(D3454,RulebookFields!A2:A999, 0)), "")</f>
        <v>Tools</v>
      </c>
      <c r="I3454" s="3" t="str">
        <f>_xlfn.IFNA(INDEX(RulebookFields!D2:D999, MATCH(D3454,RulebookFields!A2:A999, 0)), "")</f>
        <v>SemanticTypeIri</v>
      </c>
      <c r="J3454" s="3" t="b">
        <f>_xlfn.IFNA(INDEX(RulebookFields!I2:I999, MATCH(D3454,RulebookFields!A2:A999, 0)), "")</f>
        <v>0</v>
      </c>
      <c r="K3454" s="3" t="b">
        <f>AND(F3454, J3454)</f>
        <v>0</v>
      </c>
      <c r="L3454" s="3" t="b">
        <f>AND(G3454 &lt;&gt; "plain", G3454 &lt;&gt; "")</f>
        <v>0</v>
      </c>
      <c r="M3454" s="3" t="str">
        <f>IF(E3454, C3454 &amp; "|" &amp; H3454, "")</f>
        <v>principal-knowledge-authority|Tools</v>
      </c>
      <c r="N3454" s="2" t="s">
        <v>9938</v>
      </c>
    </row>
    <row r="3455">
      <c r="A3455" s="2" t="s">
        <v>13391</v>
      </c>
      <c r="B3455" s="3" t="str">
        <f>C3455 &amp; " -&gt; " &amp; D3455</f>
        <v>principal-knowledge-authority -&gt; UserFeedback.UserFeedbackId</v>
      </c>
      <c r="C3455" s="2" t="s">
        <v>9708</v>
      </c>
      <c r="D3455" s="2" t="s">
        <v>3820</v>
      </c>
      <c r="E3455" s="2" t="b">
        <v>1</v>
      </c>
      <c r="F3455" s="2" t="b">
        <v>0</v>
      </c>
      <c r="G3455" s="2" t="s">
        <v>9937</v>
      </c>
      <c r="H3455" s="3" t="str">
        <f>_xlfn.IFNA(INDEX(RulebookFields!C2:C999, MATCH(D3455,RulebookFields!A2:A999, 0)), "")</f>
        <v>UserFeedback</v>
      </c>
      <c r="I3455" s="3" t="str">
        <f>_xlfn.IFNA(INDEX(RulebookFields!D2:D999, MATCH(D3455,RulebookFields!A2:A999, 0)), "")</f>
        <v>UserFeedbackId</v>
      </c>
      <c r="J3455" s="3" t="b">
        <f>_xlfn.IFNA(INDEX(RulebookFields!I2:I999, MATCH(D3455,RulebookFields!A2:A999, 0)), "")</f>
        <v>0</v>
      </c>
      <c r="K3455" s="3" t="b">
        <f>AND(F3455, J3455)</f>
        <v>0</v>
      </c>
      <c r="L3455" s="3" t="b">
        <f>AND(G3455 &lt;&gt; "plain", G3455 &lt;&gt; "")</f>
        <v>0</v>
      </c>
      <c r="M3455" s="3" t="str">
        <f>IF(E3455, C3455 &amp; "|" &amp; H3455, "")</f>
        <v>principal-knowledge-authority|UserFeedback</v>
      </c>
      <c r="N3455" s="2" t="s">
        <v>9938</v>
      </c>
    </row>
    <row r="3456">
      <c r="A3456" s="2" t="s">
        <v>13392</v>
      </c>
      <c r="B3456" s="3" t="str">
        <f>C3456 &amp; " -&gt; " &amp; D3456</f>
        <v>principal-knowledge-authority -&gt; UserFeedback.Name</v>
      </c>
      <c r="C3456" s="2" t="s">
        <v>9708</v>
      </c>
      <c r="D3456" s="2" t="s">
        <v>3821</v>
      </c>
      <c r="E3456" s="2" t="b">
        <v>1</v>
      </c>
      <c r="F3456" s="2" t="b">
        <v>0</v>
      </c>
      <c r="G3456" s="2" t="s">
        <v>9937</v>
      </c>
      <c r="H3456" s="3" t="str">
        <f>_xlfn.IFNA(INDEX(RulebookFields!C2:C999, MATCH(D3456,RulebookFields!A2:A999, 0)), "")</f>
        <v>UserFeedback</v>
      </c>
      <c r="I3456" s="3" t="str">
        <f>_xlfn.IFNA(INDEX(RulebookFields!D2:D999, MATCH(D3456,RulebookFields!A2:A999, 0)), "")</f>
        <v>Name</v>
      </c>
      <c r="J3456" s="3" t="b">
        <f>_xlfn.IFNA(INDEX(RulebookFields!I2:I999, MATCH(D3456,RulebookFields!A2:A999, 0)), "")</f>
        <v>1</v>
      </c>
      <c r="K3456" s="3" t="b">
        <f>AND(F3456, J3456)</f>
        <v>0</v>
      </c>
      <c r="L3456" s="3" t="b">
        <f>AND(G3456 &lt;&gt; "plain", G3456 &lt;&gt; "")</f>
        <v>0</v>
      </c>
      <c r="M3456" s="3" t="str">
        <f>IF(E3456, C3456 &amp; "|" &amp; H3456, "")</f>
        <v>principal-knowledge-authority|UserFeedback</v>
      </c>
      <c r="N3456" s="2" t="s">
        <v>9938</v>
      </c>
    </row>
    <row r="3457">
      <c r="A3457" s="2" t="s">
        <v>13393</v>
      </c>
      <c r="B3457" s="3" t="str">
        <f>C3457 &amp; " -&gt; " &amp; D3457</f>
        <v>principal-knowledge-authority -&gt; UserFeedback.ProcedureExecution</v>
      </c>
      <c r="C3457" s="2" t="s">
        <v>9708</v>
      </c>
      <c r="D3457" s="2" t="s">
        <v>3823</v>
      </c>
      <c r="E3457" s="2" t="b">
        <v>1</v>
      </c>
      <c r="F3457" s="2" t="b">
        <v>0</v>
      </c>
      <c r="G3457" s="2" t="s">
        <v>9937</v>
      </c>
      <c r="H3457" s="3" t="str">
        <f>_xlfn.IFNA(INDEX(RulebookFields!C2:C999, MATCH(D3457,RulebookFields!A2:A999, 0)), "")</f>
        <v>UserFeedback</v>
      </c>
      <c r="I3457" s="3" t="str">
        <f>_xlfn.IFNA(INDEX(RulebookFields!D2:D999, MATCH(D3457,RulebookFields!A2:A999, 0)), "")</f>
        <v>ProcedureExecution</v>
      </c>
      <c r="J3457" s="3" t="b">
        <f>_xlfn.IFNA(INDEX(RulebookFields!I2:I999, MATCH(D3457,RulebookFields!A2:A999, 0)), "")</f>
        <v>0</v>
      </c>
      <c r="K3457" s="3" t="b">
        <f>AND(F3457, J3457)</f>
        <v>0</v>
      </c>
      <c r="L3457" s="3" t="b">
        <f>AND(G3457 &lt;&gt; "plain", G3457 &lt;&gt; "")</f>
        <v>0</v>
      </c>
      <c r="M3457" s="3" t="str">
        <f>IF(E3457, C3457 &amp; "|" &amp; H3457, "")</f>
        <v>principal-knowledge-authority|UserFeedback</v>
      </c>
      <c r="N3457" s="2" t="s">
        <v>9938</v>
      </c>
    </row>
    <row r="3458">
      <c r="A3458" s="2" t="s">
        <v>13394</v>
      </c>
      <c r="B3458" s="3" t="str">
        <f>C3458 &amp; " -&gt; " &amp; D3458</f>
        <v>principal-knowledge-authority -&gt; UserFeedback.ProvidedByAgent</v>
      </c>
      <c r="C3458" s="2" t="s">
        <v>9708</v>
      </c>
      <c r="D3458" s="2" t="s">
        <v>3824</v>
      </c>
      <c r="E3458" s="2" t="b">
        <v>1</v>
      </c>
      <c r="F3458" s="2" t="b">
        <v>0</v>
      </c>
      <c r="G3458" s="2" t="s">
        <v>9937</v>
      </c>
      <c r="H3458" s="3" t="str">
        <f>_xlfn.IFNA(INDEX(RulebookFields!C2:C999, MATCH(D3458,RulebookFields!A2:A999, 0)), "")</f>
        <v>UserFeedback</v>
      </c>
      <c r="I3458" s="3" t="str">
        <f>_xlfn.IFNA(INDEX(RulebookFields!D2:D999, MATCH(D3458,RulebookFields!A2:A999, 0)), "")</f>
        <v>ProvidedByAgent</v>
      </c>
      <c r="J3458" s="3" t="b">
        <f>_xlfn.IFNA(INDEX(RulebookFields!I2:I999, MATCH(D3458,RulebookFields!A2:A999, 0)), "")</f>
        <v>0</v>
      </c>
      <c r="K3458" s="3" t="b">
        <f>AND(F3458, J3458)</f>
        <v>0</v>
      </c>
      <c r="L3458" s="3" t="b">
        <f>AND(G3458 &lt;&gt; "plain", G3458 &lt;&gt; "")</f>
        <v>0</v>
      </c>
      <c r="M3458" s="3" t="str">
        <f>IF(E3458, C3458 &amp; "|" &amp; H3458, "")</f>
        <v>principal-knowledge-authority|UserFeedback</v>
      </c>
      <c r="N3458" s="2" t="s">
        <v>9938</v>
      </c>
    </row>
    <row r="3459">
      <c r="A3459" s="2" t="s">
        <v>13395</v>
      </c>
      <c r="B3459" s="3" t="str">
        <f>C3459 &amp; " -&gt; " &amp; D3459</f>
        <v>principal-knowledge-authority -&gt; UserFeedback.ProvidedAt</v>
      </c>
      <c r="C3459" s="2" t="s">
        <v>9708</v>
      </c>
      <c r="D3459" s="2" t="s">
        <v>3825</v>
      </c>
      <c r="E3459" s="2" t="b">
        <v>1</v>
      </c>
      <c r="F3459" s="2" t="b">
        <v>0</v>
      </c>
      <c r="G3459" s="2" t="s">
        <v>9937</v>
      </c>
      <c r="H3459" s="3" t="str">
        <f>_xlfn.IFNA(INDEX(RulebookFields!C2:C999, MATCH(D3459,RulebookFields!A2:A999, 0)), "")</f>
        <v>UserFeedback</v>
      </c>
      <c r="I3459" s="3" t="str">
        <f>_xlfn.IFNA(INDEX(RulebookFields!D2:D999, MATCH(D3459,RulebookFields!A2:A999, 0)), "")</f>
        <v>ProvidedAt</v>
      </c>
      <c r="J3459" s="3" t="b">
        <f>_xlfn.IFNA(INDEX(RulebookFields!I2:I999, MATCH(D3459,RulebookFields!A2:A999, 0)), "")</f>
        <v>0</v>
      </c>
      <c r="K3459" s="3" t="b">
        <f>AND(F3459, J3459)</f>
        <v>0</v>
      </c>
      <c r="L3459" s="3" t="b">
        <f>AND(G3459 &lt;&gt; "plain", G3459 &lt;&gt; "")</f>
        <v>0</v>
      </c>
      <c r="M3459" s="3" t="str">
        <f>IF(E3459, C3459 &amp; "|" &amp; H3459, "")</f>
        <v>principal-knowledge-authority|UserFeedback</v>
      </c>
      <c r="N3459" s="2" t="s">
        <v>9938</v>
      </c>
    </row>
    <row r="3460">
      <c r="A3460" s="2" t="s">
        <v>13396</v>
      </c>
      <c r="B3460" s="3" t="str">
        <f>C3460 &amp; " -&gt; " &amp; D3460</f>
        <v>principal-knowledge-authority -&gt; UserFeedback.FeedbackText</v>
      </c>
      <c r="C3460" s="2" t="s">
        <v>9708</v>
      </c>
      <c r="D3460" s="2" t="s">
        <v>3826</v>
      </c>
      <c r="E3460" s="2" t="b">
        <v>1</v>
      </c>
      <c r="F3460" s="2" t="b">
        <v>0</v>
      </c>
      <c r="G3460" s="2" t="s">
        <v>9937</v>
      </c>
      <c r="H3460" s="3" t="str">
        <f>_xlfn.IFNA(INDEX(RulebookFields!C2:C999, MATCH(D3460,RulebookFields!A2:A999, 0)), "")</f>
        <v>UserFeedback</v>
      </c>
      <c r="I3460" s="3" t="str">
        <f>_xlfn.IFNA(INDEX(RulebookFields!D2:D999, MATCH(D3460,RulebookFields!A2:A999, 0)), "")</f>
        <v>FeedbackText</v>
      </c>
      <c r="J3460" s="3" t="b">
        <f>_xlfn.IFNA(INDEX(RulebookFields!I2:I999, MATCH(D3460,RulebookFields!A2:A999, 0)), "")</f>
        <v>0</v>
      </c>
      <c r="K3460" s="3" t="b">
        <f>AND(F3460, J3460)</f>
        <v>0</v>
      </c>
      <c r="L3460" s="3" t="b">
        <f>AND(G3460 &lt;&gt; "plain", G3460 &lt;&gt; "")</f>
        <v>0</v>
      </c>
      <c r="M3460" s="3" t="str">
        <f>IF(E3460, C3460 &amp; "|" &amp; H3460, "")</f>
        <v>principal-knowledge-authority|UserFeedback</v>
      </c>
      <c r="N3460" s="2" t="s">
        <v>9938</v>
      </c>
    </row>
    <row r="3461">
      <c r="A3461" s="2" t="s">
        <v>13397</v>
      </c>
      <c r="B3461" s="3" t="str">
        <f>C3461 &amp; " -&gt; " &amp; D3461</f>
        <v>principal-knowledge-authority -&gt; UserFeedback.Disposition</v>
      </c>
      <c r="C3461" s="2" t="s">
        <v>9708</v>
      </c>
      <c r="D3461" s="2" t="s">
        <v>3827</v>
      </c>
      <c r="E3461" s="2" t="b">
        <v>1</v>
      </c>
      <c r="F3461" s="2" t="b">
        <v>0</v>
      </c>
      <c r="G3461" s="2" t="s">
        <v>9937</v>
      </c>
      <c r="H3461" s="3" t="str">
        <f>_xlfn.IFNA(INDEX(RulebookFields!C2:C999, MATCH(D3461,RulebookFields!A2:A999, 0)), "")</f>
        <v>UserFeedback</v>
      </c>
      <c r="I3461" s="3" t="str">
        <f>_xlfn.IFNA(INDEX(RulebookFields!D2:D999, MATCH(D3461,RulebookFields!A2:A999, 0)), "")</f>
        <v>Disposition</v>
      </c>
      <c r="J3461" s="3" t="b">
        <f>_xlfn.IFNA(INDEX(RulebookFields!I2:I999, MATCH(D3461,RulebookFields!A2:A999, 0)), "")</f>
        <v>0</v>
      </c>
      <c r="K3461" s="3" t="b">
        <f>AND(F3461, J3461)</f>
        <v>0</v>
      </c>
      <c r="L3461" s="3" t="b">
        <f>AND(G3461 &lt;&gt; "plain", G3461 &lt;&gt; "")</f>
        <v>0</v>
      </c>
      <c r="M3461" s="3" t="str">
        <f>IF(E3461, C3461 &amp; "|" &amp; H3461, "")</f>
        <v>principal-knowledge-authority|UserFeedback</v>
      </c>
      <c r="N3461" s="2" t="s">
        <v>9938</v>
      </c>
    </row>
    <row r="3462">
      <c r="A3462" s="2" t="s">
        <v>13398</v>
      </c>
      <c r="B3462" s="3" t="str">
        <f>C3462 &amp; " -&gt; " &amp; D3462</f>
        <v>principal-knowledge-authority -&gt; UserFeedback.ChangeRequestKey</v>
      </c>
      <c r="C3462" s="2" t="s">
        <v>9708</v>
      </c>
      <c r="D3462" s="2" t="s">
        <v>3828</v>
      </c>
      <c r="E3462" s="2" t="b">
        <v>1</v>
      </c>
      <c r="F3462" s="2" t="b">
        <v>0</v>
      </c>
      <c r="G3462" s="2" t="s">
        <v>9937</v>
      </c>
      <c r="H3462" s="3" t="str">
        <f>_xlfn.IFNA(INDEX(RulebookFields!C2:C999, MATCH(D3462,RulebookFields!A2:A999, 0)), "")</f>
        <v>UserFeedback</v>
      </c>
      <c r="I3462" s="3" t="str">
        <f>_xlfn.IFNA(INDEX(RulebookFields!D2:D999, MATCH(D3462,RulebookFields!A2:A999, 0)), "")</f>
        <v>ChangeRequestKey</v>
      </c>
      <c r="J3462" s="3" t="b">
        <f>_xlfn.IFNA(INDEX(RulebookFields!I2:I999, MATCH(D3462,RulebookFields!A2:A999, 0)), "")</f>
        <v>0</v>
      </c>
      <c r="K3462" s="3" t="b">
        <f>AND(F3462, J3462)</f>
        <v>0</v>
      </c>
      <c r="L3462" s="3" t="b">
        <f>AND(G3462 &lt;&gt; "plain", G3462 &lt;&gt; "")</f>
        <v>0</v>
      </c>
      <c r="M3462" s="3" t="str">
        <f>IF(E3462, C3462 &amp; "|" &amp; H3462, "")</f>
        <v>principal-knowledge-authority|UserFeedback</v>
      </c>
      <c r="N3462" s="2" t="s">
        <v>9938</v>
      </c>
    </row>
    <row r="3463">
      <c r="A3463" s="2" t="s">
        <v>13399</v>
      </c>
      <c r="B3463" s="3" t="str">
        <f>C3463 &amp; " -&gt; " &amp; D3463</f>
        <v>principal-knowledge-authority -&gt; UserFeedback.SemanticTypeIri</v>
      </c>
      <c r="C3463" s="2" t="s">
        <v>9708</v>
      </c>
      <c r="D3463" s="2" t="s">
        <v>3829</v>
      </c>
      <c r="E3463" s="2" t="b">
        <v>1</v>
      </c>
      <c r="F3463" s="2" t="b">
        <v>0</v>
      </c>
      <c r="G3463" s="2" t="s">
        <v>9937</v>
      </c>
      <c r="H3463" s="3" t="str">
        <f>_xlfn.IFNA(INDEX(RulebookFields!C2:C999, MATCH(D3463,RulebookFields!A2:A999, 0)), "")</f>
        <v>UserFeedback</v>
      </c>
      <c r="I3463" s="3" t="str">
        <f>_xlfn.IFNA(INDEX(RulebookFields!D2:D999, MATCH(D3463,RulebookFields!A2:A999, 0)), "")</f>
        <v>SemanticTypeIri</v>
      </c>
      <c r="J3463" s="3" t="b">
        <f>_xlfn.IFNA(INDEX(RulebookFields!I2:I999, MATCH(D3463,RulebookFields!A2:A999, 0)), "")</f>
        <v>0</v>
      </c>
      <c r="K3463" s="3" t="b">
        <f>AND(F3463, J3463)</f>
        <v>0</v>
      </c>
      <c r="L3463" s="3" t="b">
        <f>AND(G3463 &lt;&gt; "plain", G3463 &lt;&gt; "")</f>
        <v>0</v>
      </c>
      <c r="M3463" s="3" t="str">
        <f>IF(E3463, C3463 &amp; "|" &amp; H3463, "")</f>
        <v>principal-knowledge-authority|UserFeedback</v>
      </c>
      <c r="N3463" s="2" t="s">
        <v>9938</v>
      </c>
    </row>
    <row r="3464">
      <c r="A3464" s="2" t="s">
        <v>13400</v>
      </c>
      <c r="B3464" s="3" t="str">
        <f>C3464 &amp; " -&gt; " &amp; D3464</f>
        <v>principal-knowledge-authority -&gt; UserQuestions.UserQuestionId</v>
      </c>
      <c r="C3464" s="2" t="s">
        <v>9708</v>
      </c>
      <c r="D3464" s="2" t="s">
        <v>3809</v>
      </c>
      <c r="E3464" s="2" t="b">
        <v>1</v>
      </c>
      <c r="F3464" s="2" t="b">
        <v>0</v>
      </c>
      <c r="G3464" s="2" t="s">
        <v>9937</v>
      </c>
      <c r="H3464" s="3" t="str">
        <f>_xlfn.IFNA(INDEX(RulebookFields!C2:C999, MATCH(D3464,RulebookFields!A2:A999, 0)), "")</f>
        <v>UserQuestions</v>
      </c>
      <c r="I3464" s="3" t="str">
        <f>_xlfn.IFNA(INDEX(RulebookFields!D2:D999, MATCH(D3464,RulebookFields!A2:A999, 0)), "")</f>
        <v>UserQuestionId</v>
      </c>
      <c r="J3464" s="3" t="b">
        <f>_xlfn.IFNA(INDEX(RulebookFields!I2:I999, MATCH(D3464,RulebookFields!A2:A999, 0)), "")</f>
        <v>0</v>
      </c>
      <c r="K3464" s="3" t="b">
        <f>AND(F3464, J3464)</f>
        <v>0</v>
      </c>
      <c r="L3464" s="3" t="b">
        <f>AND(G3464 &lt;&gt; "plain", G3464 &lt;&gt; "")</f>
        <v>0</v>
      </c>
      <c r="M3464" s="3" t="str">
        <f>IF(E3464, C3464 &amp; "|" &amp; H3464, "")</f>
        <v>principal-knowledge-authority|UserQuestions</v>
      </c>
      <c r="N3464" s="2" t="s">
        <v>9938</v>
      </c>
    </row>
    <row r="3465">
      <c r="A3465" s="2" t="s">
        <v>13401</v>
      </c>
      <c r="B3465" s="3" t="str">
        <f>C3465 &amp; " -&gt; " &amp; D3465</f>
        <v>principal-knowledge-authority -&gt; UserQuestions.Name</v>
      </c>
      <c r="C3465" s="2" t="s">
        <v>9708</v>
      </c>
      <c r="D3465" s="2" t="s">
        <v>3810</v>
      </c>
      <c r="E3465" s="2" t="b">
        <v>1</v>
      </c>
      <c r="F3465" s="2" t="b">
        <v>0</v>
      </c>
      <c r="G3465" s="2" t="s">
        <v>9937</v>
      </c>
      <c r="H3465" s="3" t="str">
        <f>_xlfn.IFNA(INDEX(RulebookFields!C2:C999, MATCH(D3465,RulebookFields!A2:A999, 0)), "")</f>
        <v>UserQuestions</v>
      </c>
      <c r="I3465" s="3" t="str">
        <f>_xlfn.IFNA(INDEX(RulebookFields!D2:D999, MATCH(D3465,RulebookFields!A2:A999, 0)), "")</f>
        <v>Name</v>
      </c>
      <c r="J3465" s="3" t="b">
        <f>_xlfn.IFNA(INDEX(RulebookFields!I2:I999, MATCH(D3465,RulebookFields!A2:A999, 0)), "")</f>
        <v>1</v>
      </c>
      <c r="K3465" s="3" t="b">
        <f>AND(F3465, J3465)</f>
        <v>0</v>
      </c>
      <c r="L3465" s="3" t="b">
        <f>AND(G3465 &lt;&gt; "plain", G3465 &lt;&gt; "")</f>
        <v>0</v>
      </c>
      <c r="M3465" s="3" t="str">
        <f>IF(E3465, C3465 &amp; "|" &amp; H3465, "")</f>
        <v>principal-knowledge-authority|UserQuestions</v>
      </c>
      <c r="N3465" s="2" t="s">
        <v>9938</v>
      </c>
    </row>
    <row r="3466">
      <c r="A3466" s="2" t="s">
        <v>13402</v>
      </c>
      <c r="B3466" s="3" t="str">
        <f>C3466 &amp; " -&gt; " &amp; D3466</f>
        <v>principal-knowledge-authority -&gt; UserQuestions.StepExecution</v>
      </c>
      <c r="C3466" s="2" t="s">
        <v>9708</v>
      </c>
      <c r="D3466" s="2" t="s">
        <v>3812</v>
      </c>
      <c r="E3466" s="2" t="b">
        <v>1</v>
      </c>
      <c r="F3466" s="2" t="b">
        <v>0</v>
      </c>
      <c r="G3466" s="2" t="s">
        <v>9937</v>
      </c>
      <c r="H3466" s="3" t="str">
        <f>_xlfn.IFNA(INDEX(RulebookFields!C2:C999, MATCH(D3466,RulebookFields!A2:A999, 0)), "")</f>
        <v>UserQuestions</v>
      </c>
      <c r="I3466" s="3" t="str">
        <f>_xlfn.IFNA(INDEX(RulebookFields!D2:D999, MATCH(D3466,RulebookFields!A2:A999, 0)), "")</f>
        <v>StepExecution</v>
      </c>
      <c r="J3466" s="3" t="b">
        <f>_xlfn.IFNA(INDEX(RulebookFields!I2:I999, MATCH(D3466,RulebookFields!A2:A999, 0)), "")</f>
        <v>0</v>
      </c>
      <c r="K3466" s="3" t="b">
        <f>AND(F3466, J3466)</f>
        <v>0</v>
      </c>
      <c r="L3466" s="3" t="b">
        <f>AND(G3466 &lt;&gt; "plain", G3466 &lt;&gt; "")</f>
        <v>0</v>
      </c>
      <c r="M3466" s="3" t="str">
        <f>IF(E3466, C3466 &amp; "|" &amp; H3466, "")</f>
        <v>principal-knowledge-authority|UserQuestions</v>
      </c>
      <c r="N3466" s="2" t="s">
        <v>9938</v>
      </c>
    </row>
    <row r="3467">
      <c r="A3467" s="2" t="s">
        <v>13403</v>
      </c>
      <c r="B3467" s="3" t="str">
        <f>C3467 &amp; " -&gt; " &amp; D3467</f>
        <v>principal-knowledge-authority -&gt; UserQuestions.AskedByAgent</v>
      </c>
      <c r="C3467" s="2" t="s">
        <v>9708</v>
      </c>
      <c r="D3467" s="2" t="s">
        <v>3813</v>
      </c>
      <c r="E3467" s="2" t="b">
        <v>1</v>
      </c>
      <c r="F3467" s="2" t="b">
        <v>0</v>
      </c>
      <c r="G3467" s="2" t="s">
        <v>9937</v>
      </c>
      <c r="H3467" s="3" t="str">
        <f>_xlfn.IFNA(INDEX(RulebookFields!C2:C999, MATCH(D3467,RulebookFields!A2:A999, 0)), "")</f>
        <v>UserQuestions</v>
      </c>
      <c r="I3467" s="3" t="str">
        <f>_xlfn.IFNA(INDEX(RulebookFields!D2:D999, MATCH(D3467,RulebookFields!A2:A999, 0)), "")</f>
        <v>AskedByAgent</v>
      </c>
      <c r="J3467" s="3" t="b">
        <f>_xlfn.IFNA(INDEX(RulebookFields!I2:I999, MATCH(D3467,RulebookFields!A2:A999, 0)), "")</f>
        <v>0</v>
      </c>
      <c r="K3467" s="3" t="b">
        <f>AND(F3467, J3467)</f>
        <v>0</v>
      </c>
      <c r="L3467" s="3" t="b">
        <f>AND(G3467 &lt;&gt; "plain", G3467 &lt;&gt; "")</f>
        <v>0</v>
      </c>
      <c r="M3467" s="3" t="str">
        <f>IF(E3467, C3467 &amp; "|" &amp; H3467, "")</f>
        <v>principal-knowledge-authority|UserQuestions</v>
      </c>
      <c r="N3467" s="2" t="s">
        <v>9938</v>
      </c>
    </row>
    <row r="3468">
      <c r="A3468" s="2" t="s">
        <v>13404</v>
      </c>
      <c r="B3468" s="3" t="str">
        <f>C3468 &amp; " -&gt; " &amp; D3468</f>
        <v>principal-knowledge-authority -&gt; UserQuestions.AskedAt</v>
      </c>
      <c r="C3468" s="2" t="s">
        <v>9708</v>
      </c>
      <c r="D3468" s="2" t="s">
        <v>3814</v>
      </c>
      <c r="E3468" s="2" t="b">
        <v>1</v>
      </c>
      <c r="F3468" s="2" t="b">
        <v>0</v>
      </c>
      <c r="G3468" s="2" t="s">
        <v>9937</v>
      </c>
      <c r="H3468" s="3" t="str">
        <f>_xlfn.IFNA(INDEX(RulebookFields!C2:C999, MATCH(D3468,RulebookFields!A2:A999, 0)), "")</f>
        <v>UserQuestions</v>
      </c>
      <c r="I3468" s="3" t="str">
        <f>_xlfn.IFNA(INDEX(RulebookFields!D2:D999, MATCH(D3468,RulebookFields!A2:A999, 0)), "")</f>
        <v>AskedAt</v>
      </c>
      <c r="J3468" s="3" t="b">
        <f>_xlfn.IFNA(INDEX(RulebookFields!I2:I999, MATCH(D3468,RulebookFields!A2:A999, 0)), "")</f>
        <v>0</v>
      </c>
      <c r="K3468" s="3" t="b">
        <f>AND(F3468, J3468)</f>
        <v>0</v>
      </c>
      <c r="L3468" s="3" t="b">
        <f>AND(G3468 &lt;&gt; "plain", G3468 &lt;&gt; "")</f>
        <v>0</v>
      </c>
      <c r="M3468" s="3" t="str">
        <f>IF(E3468, C3468 &amp; "|" &amp; H3468, "")</f>
        <v>principal-knowledge-authority|UserQuestions</v>
      </c>
      <c r="N3468" s="2" t="s">
        <v>9938</v>
      </c>
    </row>
    <row r="3469">
      <c r="A3469" s="2" t="s">
        <v>13405</v>
      </c>
      <c r="B3469" s="3" t="str">
        <f>C3469 &amp; " -&gt; " &amp; D3469</f>
        <v>principal-knowledge-authority -&gt; UserQuestions.QuestionText</v>
      </c>
      <c r="C3469" s="2" t="s">
        <v>9708</v>
      </c>
      <c r="D3469" s="2" t="s">
        <v>3815</v>
      </c>
      <c r="E3469" s="2" t="b">
        <v>1</v>
      </c>
      <c r="F3469" s="2" t="b">
        <v>0</v>
      </c>
      <c r="G3469" s="2" t="s">
        <v>9937</v>
      </c>
      <c r="H3469" s="3" t="str">
        <f>_xlfn.IFNA(INDEX(RulebookFields!C2:C999, MATCH(D3469,RulebookFields!A2:A999, 0)), "")</f>
        <v>UserQuestions</v>
      </c>
      <c r="I3469" s="3" t="str">
        <f>_xlfn.IFNA(INDEX(RulebookFields!D2:D999, MATCH(D3469,RulebookFields!A2:A999, 0)), "")</f>
        <v>QuestionText</v>
      </c>
      <c r="J3469" s="3" t="b">
        <f>_xlfn.IFNA(INDEX(RulebookFields!I2:I999, MATCH(D3469,RulebookFields!A2:A999, 0)), "")</f>
        <v>0</v>
      </c>
      <c r="K3469" s="3" t="b">
        <f>AND(F3469, J3469)</f>
        <v>0</v>
      </c>
      <c r="L3469" s="3" t="b">
        <f>AND(G3469 &lt;&gt; "plain", G3469 &lt;&gt; "")</f>
        <v>0</v>
      </c>
      <c r="M3469" s="3" t="str">
        <f>IF(E3469, C3469 &amp; "|" &amp; H3469, "")</f>
        <v>principal-knowledge-authority|UserQuestions</v>
      </c>
      <c r="N3469" s="2" t="s">
        <v>9938</v>
      </c>
    </row>
    <row r="3470">
      <c r="A3470" s="2" t="s">
        <v>13406</v>
      </c>
      <c r="B3470" s="3" t="str">
        <f>C3470 &amp; " -&gt; " &amp; D3470</f>
        <v>principal-knowledge-authority -&gt; UserQuestions.ResolvedByFaq</v>
      </c>
      <c r="C3470" s="2" t="s">
        <v>9708</v>
      </c>
      <c r="D3470" s="2" t="s">
        <v>3816</v>
      </c>
      <c r="E3470" s="2" t="b">
        <v>1</v>
      </c>
      <c r="F3470" s="2" t="b">
        <v>0</v>
      </c>
      <c r="G3470" s="2" t="s">
        <v>9937</v>
      </c>
      <c r="H3470" s="3" t="str">
        <f>_xlfn.IFNA(INDEX(RulebookFields!C2:C999, MATCH(D3470,RulebookFields!A2:A999, 0)), "")</f>
        <v>UserQuestions</v>
      </c>
      <c r="I3470" s="3" t="str">
        <f>_xlfn.IFNA(INDEX(RulebookFields!D2:D999, MATCH(D3470,RulebookFields!A2:A999, 0)), "")</f>
        <v>ResolvedByFaq</v>
      </c>
      <c r="J3470" s="3" t="b">
        <f>_xlfn.IFNA(INDEX(RulebookFields!I2:I999, MATCH(D3470,RulebookFields!A2:A999, 0)), "")</f>
        <v>0</v>
      </c>
      <c r="K3470" s="3" t="b">
        <f>AND(F3470, J3470)</f>
        <v>0</v>
      </c>
      <c r="L3470" s="3" t="b">
        <f>AND(G3470 &lt;&gt; "plain", G3470 &lt;&gt; "")</f>
        <v>0</v>
      </c>
      <c r="M3470" s="3" t="str">
        <f>IF(E3470, C3470 &amp; "|" &amp; H3470, "")</f>
        <v>principal-knowledge-authority|UserQuestions</v>
      </c>
      <c r="N3470" s="2" t="s">
        <v>9938</v>
      </c>
    </row>
    <row r="3471">
      <c r="A3471" s="2" t="s">
        <v>13407</v>
      </c>
      <c r="B3471" s="3" t="str">
        <f>C3471 &amp; " -&gt; " &amp; D3471</f>
        <v>principal-knowledge-authority -&gt; UserQuestions.AddressedByResource</v>
      </c>
      <c r="C3471" s="2" t="s">
        <v>9708</v>
      </c>
      <c r="D3471" s="2" t="s">
        <v>3817</v>
      </c>
      <c r="E3471" s="2" t="b">
        <v>1</v>
      </c>
      <c r="F3471" s="2" t="b">
        <v>0</v>
      </c>
      <c r="G3471" s="2" t="s">
        <v>9937</v>
      </c>
      <c r="H3471" s="3" t="str">
        <f>_xlfn.IFNA(INDEX(RulebookFields!C2:C999, MATCH(D3471,RulebookFields!A2:A999, 0)), "")</f>
        <v>UserQuestions</v>
      </c>
      <c r="I3471" s="3" t="str">
        <f>_xlfn.IFNA(INDEX(RulebookFields!D2:D999, MATCH(D3471,RulebookFields!A2:A999, 0)), "")</f>
        <v>AddressedByResource</v>
      </c>
      <c r="J3471" s="3" t="b">
        <f>_xlfn.IFNA(INDEX(RulebookFields!I2:I999, MATCH(D3471,RulebookFields!A2:A999, 0)), "")</f>
        <v>0</v>
      </c>
      <c r="K3471" s="3" t="b">
        <f>AND(F3471, J3471)</f>
        <v>0</v>
      </c>
      <c r="L3471" s="3" t="b">
        <f>AND(G3471 &lt;&gt; "plain", G3471 &lt;&gt; "")</f>
        <v>0</v>
      </c>
      <c r="M3471" s="3" t="str">
        <f>IF(E3471, C3471 &amp; "|" &amp; H3471, "")</f>
        <v>principal-knowledge-authority|UserQuestions</v>
      </c>
      <c r="N3471" s="2" t="s">
        <v>9938</v>
      </c>
    </row>
    <row r="3472">
      <c r="A3472" s="2" t="s">
        <v>13408</v>
      </c>
      <c r="B3472" s="3" t="str">
        <f>C3472 &amp; " -&gt; " &amp; D3472</f>
        <v>principal-knowledge-authority -&gt; UserQuestions.Status</v>
      </c>
      <c r="C3472" s="2" t="s">
        <v>9708</v>
      </c>
      <c r="D3472" s="2" t="s">
        <v>3818</v>
      </c>
      <c r="E3472" s="2" t="b">
        <v>1</v>
      </c>
      <c r="F3472" s="2" t="b">
        <v>0</v>
      </c>
      <c r="G3472" s="2" t="s">
        <v>9937</v>
      </c>
      <c r="H3472" s="3" t="str">
        <f>_xlfn.IFNA(INDEX(RulebookFields!C2:C999, MATCH(D3472,RulebookFields!A2:A999, 0)), "")</f>
        <v>UserQuestions</v>
      </c>
      <c r="I3472" s="3" t="str">
        <f>_xlfn.IFNA(INDEX(RulebookFields!D2:D999, MATCH(D3472,RulebookFields!A2:A999, 0)), "")</f>
        <v>Status</v>
      </c>
      <c r="J3472" s="3" t="b">
        <f>_xlfn.IFNA(INDEX(RulebookFields!I2:I999, MATCH(D3472,RulebookFields!A2:A999, 0)), "")</f>
        <v>0</v>
      </c>
      <c r="K3472" s="3" t="b">
        <f>AND(F3472, J3472)</f>
        <v>0</v>
      </c>
      <c r="L3472" s="3" t="b">
        <f>AND(G3472 &lt;&gt; "plain", G3472 &lt;&gt; "")</f>
        <v>0</v>
      </c>
      <c r="M3472" s="3" t="str">
        <f>IF(E3472, C3472 &amp; "|" &amp; H3472, "")</f>
        <v>principal-knowledge-authority|UserQuestions</v>
      </c>
      <c r="N3472" s="2" t="s">
        <v>9938</v>
      </c>
    </row>
    <row r="3473">
      <c r="A3473" s="2" t="s">
        <v>13409</v>
      </c>
      <c r="B3473" s="3" t="str">
        <f>C3473 &amp; " -&gt; " &amp; D3473</f>
        <v>principal-knowledge-authority -&gt; UserQuestions.SemanticTypeIri</v>
      </c>
      <c r="C3473" s="2" t="s">
        <v>9708</v>
      </c>
      <c r="D3473" s="2" t="s">
        <v>3819</v>
      </c>
      <c r="E3473" s="2" t="b">
        <v>1</v>
      </c>
      <c r="F3473" s="2" t="b">
        <v>0</v>
      </c>
      <c r="G3473" s="2" t="s">
        <v>9937</v>
      </c>
      <c r="H3473" s="3" t="str">
        <f>_xlfn.IFNA(INDEX(RulebookFields!C2:C999, MATCH(D3473,RulebookFields!A2:A999, 0)), "")</f>
        <v>UserQuestions</v>
      </c>
      <c r="I3473" s="3" t="str">
        <f>_xlfn.IFNA(INDEX(RulebookFields!D2:D999, MATCH(D3473,RulebookFields!A2:A999, 0)), "")</f>
        <v>SemanticTypeIri</v>
      </c>
      <c r="J3473" s="3" t="b">
        <f>_xlfn.IFNA(INDEX(RulebookFields!I2:I999, MATCH(D3473,RulebookFields!A2:A999, 0)), "")</f>
        <v>0</v>
      </c>
      <c r="K3473" s="3" t="b">
        <f>AND(F3473, J3473)</f>
        <v>0</v>
      </c>
      <c r="L3473" s="3" t="b">
        <f>AND(G3473 &lt;&gt; "plain", G3473 &lt;&gt; "")</f>
        <v>0</v>
      </c>
      <c r="M3473" s="3" t="str">
        <f>IF(E3473, C3473 &amp; "|" &amp; H3473, "")</f>
        <v>principal-knowledge-authority|UserQuestions</v>
      </c>
      <c r="N3473" s="2" t="s">
        <v>9938</v>
      </c>
    </row>
    <row r="3474">
      <c r="A3474" s="2" t="s">
        <v>13410</v>
      </c>
      <c r="B3474" s="3" t="str">
        <f>C3474 &amp; " -&gt; " &amp; D3474</f>
        <v>principal-knowledge-authority -&gt; VerificationOutcomes.VerificationOutcomeId</v>
      </c>
      <c r="C3474" s="2" t="s">
        <v>9708</v>
      </c>
      <c r="D3474" s="2" t="s">
        <v>4270</v>
      </c>
      <c r="E3474" s="2" t="b">
        <v>1</v>
      </c>
      <c r="F3474" s="2" t="b">
        <v>0</v>
      </c>
      <c r="G3474" s="2" t="s">
        <v>9937</v>
      </c>
      <c r="H3474" s="3" t="str">
        <f>_xlfn.IFNA(INDEX(RulebookFields!C2:C999, MATCH(D3474,RulebookFields!A2:A999, 0)), "")</f>
      </c>
      <c r="I3474" s="3" t="str">
        <f>_xlfn.IFNA(INDEX(RulebookFields!D2:D999, MATCH(D3474,RulebookFields!A2:A999, 0)), "")</f>
      </c>
      <c r="J3474" s="3" t="str">
        <f>_xlfn.IFNA(INDEX(RulebookFields!I2:I999, MATCH(D3474,RulebookFields!A2:A999, 0)), "")</f>
      </c>
      <c r="K3474" s="3" t="b">
        <f>AND(F3474, J3474)</f>
        <v>0</v>
      </c>
      <c r="L3474" s="3" t="b">
        <f>AND(G3474 &lt;&gt; "plain", G3474 &lt;&gt; "")</f>
        <v>0</v>
      </c>
      <c r="M3474" s="3" t="str">
        <f>IF(E3474, C3474 &amp; "|" &amp; H3474, "")</f>
        <v>principal-knowledge-authority|</v>
      </c>
      <c r="N3474" s="2" t="s">
        <v>9938</v>
      </c>
    </row>
    <row r="3475">
      <c r="A3475" s="2" t="s">
        <v>13411</v>
      </c>
      <c r="B3475" s="3" t="str">
        <f>C3475 &amp; " -&gt; " &amp; D3475</f>
        <v>principal-knowledge-authority -&gt; VerificationOutcomes.Name</v>
      </c>
      <c r="C3475" s="2" t="s">
        <v>9708</v>
      </c>
      <c r="D3475" s="2" t="s">
        <v>4273</v>
      </c>
      <c r="E3475" s="2" t="b">
        <v>1</v>
      </c>
      <c r="F3475" s="2" t="b">
        <v>0</v>
      </c>
      <c r="G3475" s="2" t="s">
        <v>9937</v>
      </c>
      <c r="H3475" s="3" t="str">
        <f>_xlfn.IFNA(INDEX(RulebookFields!C2:C999, MATCH(D3475,RulebookFields!A2:A999, 0)), "")</f>
      </c>
      <c r="I3475" s="3" t="str">
        <f>_xlfn.IFNA(INDEX(RulebookFields!D2:D999, MATCH(D3475,RulebookFields!A2:A999, 0)), "")</f>
      </c>
      <c r="J3475" s="3" t="str">
        <f>_xlfn.IFNA(INDEX(RulebookFields!I2:I999, MATCH(D3475,RulebookFields!A2:A999, 0)), "")</f>
      </c>
      <c r="K3475" s="3" t="b">
        <f>AND(F3475, J3475)</f>
        <v>0</v>
      </c>
      <c r="L3475" s="3" t="b">
        <f>AND(G3475 &lt;&gt; "plain", G3475 &lt;&gt; "")</f>
        <v>0</v>
      </c>
      <c r="M3475" s="3" t="str">
        <f>IF(E3475, C3475 &amp; "|" &amp; H3475, "")</f>
        <v>principal-knowledge-authority|</v>
      </c>
      <c r="N3475" s="2" t="s">
        <v>9938</v>
      </c>
    </row>
    <row r="3476">
      <c r="A3476" s="2" t="s">
        <v>13412</v>
      </c>
      <c r="B3476" s="3" t="str">
        <f>C3476 &amp; " -&gt; " &amp; D3476</f>
        <v>principal-knowledge-authority -&gt; VerificationOutcomes.StepExecution</v>
      </c>
      <c r="C3476" s="2" t="s">
        <v>9708</v>
      </c>
      <c r="D3476" s="2" t="s">
        <v>4275</v>
      </c>
      <c r="E3476" s="2" t="b">
        <v>1</v>
      </c>
      <c r="F3476" s="2" t="b">
        <v>0</v>
      </c>
      <c r="G3476" s="2" t="s">
        <v>9937</v>
      </c>
      <c r="H3476" s="3" t="str">
        <f>_xlfn.IFNA(INDEX(RulebookFields!C2:C999, MATCH(D3476,RulebookFields!A2:A999, 0)), "")</f>
      </c>
      <c r="I3476" s="3" t="str">
        <f>_xlfn.IFNA(INDEX(RulebookFields!D2:D999, MATCH(D3476,RulebookFields!A2:A999, 0)), "")</f>
      </c>
      <c r="J3476" s="3" t="str">
        <f>_xlfn.IFNA(INDEX(RulebookFields!I2:I999, MATCH(D3476,RulebookFields!A2:A999, 0)), "")</f>
      </c>
      <c r="K3476" s="3" t="b">
        <f>AND(F3476, J3476)</f>
        <v>0</v>
      </c>
      <c r="L3476" s="3" t="b">
        <f>AND(G3476 &lt;&gt; "plain", G3476 &lt;&gt; "")</f>
        <v>0</v>
      </c>
      <c r="M3476" s="3" t="str">
        <f>IF(E3476, C3476 &amp; "|" &amp; H3476, "")</f>
        <v>principal-knowledge-authority|</v>
      </c>
      <c r="N3476" s="2" t="s">
        <v>9938</v>
      </c>
    </row>
    <row r="3477">
      <c r="A3477" s="2" t="s">
        <v>13413</v>
      </c>
      <c r="B3477" s="3" t="str">
        <f>C3477 &amp; " -&gt; " &amp; D3477</f>
        <v>principal-knowledge-authority -&gt; VerificationOutcomes.StepVerification</v>
      </c>
      <c r="C3477" s="2" t="s">
        <v>9708</v>
      </c>
      <c r="D3477" s="2" t="s">
        <v>4276</v>
      </c>
      <c r="E3477" s="2" t="b">
        <v>1</v>
      </c>
      <c r="F3477" s="2" t="b">
        <v>0</v>
      </c>
      <c r="G3477" s="2" t="s">
        <v>9937</v>
      </c>
      <c r="H3477" s="3" t="str">
        <f>_xlfn.IFNA(INDEX(RulebookFields!C2:C999, MATCH(D3477,RulebookFields!A2:A999, 0)), "")</f>
      </c>
      <c r="I3477" s="3" t="str">
        <f>_xlfn.IFNA(INDEX(RulebookFields!D2:D999, MATCH(D3477,RulebookFields!A2:A999, 0)), "")</f>
      </c>
      <c r="J3477" s="3" t="str">
        <f>_xlfn.IFNA(INDEX(RulebookFields!I2:I999, MATCH(D3477,RulebookFields!A2:A999, 0)), "")</f>
      </c>
      <c r="K3477" s="3" t="b">
        <f>AND(F3477, J3477)</f>
        <v>0</v>
      </c>
      <c r="L3477" s="3" t="b">
        <f>AND(G3477 &lt;&gt; "plain", G3477 &lt;&gt; "")</f>
        <v>0</v>
      </c>
      <c r="M3477" s="3" t="str">
        <f>IF(E3477, C3477 &amp; "|" &amp; H3477, "")</f>
        <v>principal-knowledge-authority|</v>
      </c>
      <c r="N3477" s="2" t="s">
        <v>9938</v>
      </c>
    </row>
    <row r="3478">
      <c r="A3478" s="2" t="s">
        <v>13414</v>
      </c>
      <c r="B3478" s="3" t="str">
        <f>C3478 &amp; " -&gt; " &amp; D3478</f>
        <v>principal-knowledge-authority -&gt; VerificationOutcomes.ObservedSignalValue</v>
      </c>
      <c r="C3478" s="2" t="s">
        <v>9708</v>
      </c>
      <c r="D3478" s="2" t="s">
        <v>4278</v>
      </c>
      <c r="E3478" s="2" t="b">
        <v>1</v>
      </c>
      <c r="F3478" s="2" t="b">
        <v>0</v>
      </c>
      <c r="G3478" s="2" t="s">
        <v>9937</v>
      </c>
      <c r="H3478" s="3" t="str">
        <f>_xlfn.IFNA(INDEX(RulebookFields!C2:C999, MATCH(D3478,RulebookFields!A2:A999, 0)), "")</f>
      </c>
      <c r="I3478" s="3" t="str">
        <f>_xlfn.IFNA(INDEX(RulebookFields!D2:D999, MATCH(D3478,RulebookFields!A2:A999, 0)), "")</f>
      </c>
      <c r="J3478" s="3" t="str">
        <f>_xlfn.IFNA(INDEX(RulebookFields!I2:I999, MATCH(D3478,RulebookFields!A2:A999, 0)), "")</f>
      </c>
      <c r="K3478" s="3" t="b">
        <f>AND(F3478, J3478)</f>
        <v>0</v>
      </c>
      <c r="L3478" s="3" t="b">
        <f>AND(G3478 &lt;&gt; "plain", G3478 &lt;&gt; "")</f>
        <v>0</v>
      </c>
      <c r="M3478" s="3" t="str">
        <f>IF(E3478, C3478 &amp; "|" &amp; H3478, "")</f>
        <v>principal-knowledge-authority|</v>
      </c>
      <c r="N3478" s="2" t="s">
        <v>9938</v>
      </c>
    </row>
    <row r="3479">
      <c r="A3479" s="2" t="s">
        <v>13415</v>
      </c>
      <c r="B3479" s="3" t="str">
        <f>C3479 &amp; " -&gt; " &amp; D3479</f>
        <v>principal-knowledge-authority -&gt; VerificationOutcomes.ObservedByAgent</v>
      </c>
      <c r="C3479" s="2" t="s">
        <v>9708</v>
      </c>
      <c r="D3479" s="2" t="s">
        <v>4280</v>
      </c>
      <c r="E3479" s="2" t="b">
        <v>1</v>
      </c>
      <c r="F3479" s="2" t="b">
        <v>0</v>
      </c>
      <c r="G3479" s="2" t="s">
        <v>9937</v>
      </c>
      <c r="H3479" s="3" t="str">
        <f>_xlfn.IFNA(INDEX(RulebookFields!C2:C999, MATCH(D3479,RulebookFields!A2:A999, 0)), "")</f>
      </c>
      <c r="I3479" s="3" t="str">
        <f>_xlfn.IFNA(INDEX(RulebookFields!D2:D999, MATCH(D3479,RulebookFields!A2:A999, 0)), "")</f>
      </c>
      <c r="J3479" s="3" t="str">
        <f>_xlfn.IFNA(INDEX(RulebookFields!I2:I999, MATCH(D3479,RulebookFields!A2:A999, 0)), "")</f>
      </c>
      <c r="K3479" s="3" t="b">
        <f>AND(F3479, J3479)</f>
        <v>0</v>
      </c>
      <c r="L3479" s="3" t="b">
        <f>AND(G3479 &lt;&gt; "plain", G3479 &lt;&gt; "")</f>
        <v>0</v>
      </c>
      <c r="M3479" s="3" t="str">
        <f>IF(E3479, C3479 &amp; "|" &amp; H3479, "")</f>
        <v>principal-knowledge-authority|</v>
      </c>
      <c r="N3479" s="2" t="s">
        <v>9938</v>
      </c>
    </row>
    <row r="3480">
      <c r="A3480" s="2" t="s">
        <v>13416</v>
      </c>
      <c r="B3480" s="3" t="str">
        <f>C3480 &amp; " -&gt; " &amp; D3480</f>
        <v>principal-knowledge-authority -&gt; VerificationOutcomes.ObservedAt</v>
      </c>
      <c r="C3480" s="2" t="s">
        <v>9708</v>
      </c>
      <c r="D3480" s="2" t="s">
        <v>4282</v>
      </c>
      <c r="E3480" s="2" t="b">
        <v>1</v>
      </c>
      <c r="F3480" s="2" t="b">
        <v>0</v>
      </c>
      <c r="G3480" s="2" t="s">
        <v>9937</v>
      </c>
      <c r="H3480" s="3" t="str">
        <f>_xlfn.IFNA(INDEX(RulebookFields!C2:C999, MATCH(D3480,RulebookFields!A2:A999, 0)), "")</f>
      </c>
      <c r="I3480" s="3" t="str">
        <f>_xlfn.IFNA(INDEX(RulebookFields!D2:D999, MATCH(D3480,RulebookFields!A2:A999, 0)), "")</f>
      </c>
      <c r="J3480" s="3" t="str">
        <f>_xlfn.IFNA(INDEX(RulebookFields!I2:I999, MATCH(D3480,RulebookFields!A2:A999, 0)), "")</f>
      </c>
      <c r="K3480" s="3" t="b">
        <f>AND(F3480, J3480)</f>
        <v>0</v>
      </c>
      <c r="L3480" s="3" t="b">
        <f>AND(G3480 &lt;&gt; "plain", G3480 &lt;&gt; "")</f>
        <v>0</v>
      </c>
      <c r="M3480" s="3" t="str">
        <f>IF(E3480, C3480 &amp; "|" &amp; H3480, "")</f>
        <v>principal-knowledge-authority|</v>
      </c>
      <c r="N3480" s="2" t="s">
        <v>9938</v>
      </c>
    </row>
    <row r="3481">
      <c r="A3481" s="2" t="s">
        <v>13417</v>
      </c>
      <c r="B3481" s="3" t="str">
        <f>C3481 &amp; " -&gt; " &amp; D3481</f>
        <v>principal-knowledge-authority -&gt; VerificationOutcomes.EvidenceUri</v>
      </c>
      <c r="C3481" s="2" t="s">
        <v>9708</v>
      </c>
      <c r="D3481" s="2" t="s">
        <v>4284</v>
      </c>
      <c r="E3481" s="2" t="b">
        <v>1</v>
      </c>
      <c r="F3481" s="2" t="b">
        <v>0</v>
      </c>
      <c r="G3481" s="2" t="s">
        <v>9937</v>
      </c>
      <c r="H3481" s="3" t="str">
        <f>_xlfn.IFNA(INDEX(RulebookFields!C2:C999, MATCH(D3481,RulebookFields!A2:A999, 0)), "")</f>
      </c>
      <c r="I3481" s="3" t="str">
        <f>_xlfn.IFNA(INDEX(RulebookFields!D2:D999, MATCH(D3481,RulebookFields!A2:A999, 0)), "")</f>
      </c>
      <c r="J3481" s="3" t="str">
        <f>_xlfn.IFNA(INDEX(RulebookFields!I2:I999, MATCH(D3481,RulebookFields!A2:A999, 0)), "")</f>
      </c>
      <c r="K3481" s="3" t="b">
        <f>AND(F3481, J3481)</f>
        <v>0</v>
      </c>
      <c r="L3481" s="3" t="b">
        <f>AND(G3481 &lt;&gt; "plain", G3481 &lt;&gt; "")</f>
        <v>0</v>
      </c>
      <c r="M3481" s="3" t="str">
        <f>IF(E3481, C3481 &amp; "|" &amp; H3481, "")</f>
        <v>principal-knowledge-authority|</v>
      </c>
      <c r="N3481" s="2" t="s">
        <v>9938</v>
      </c>
    </row>
    <row r="3482">
      <c r="A3482" s="2" t="s">
        <v>13418</v>
      </c>
      <c r="B3482" s="3" t="str">
        <f>C3482 &amp; " -&gt; " &amp; D3482</f>
        <v>principal-knowledge-authority -&gt; VerificationOutcomes.ExpectedSignalValue</v>
      </c>
      <c r="C3482" s="2" t="s">
        <v>9708</v>
      </c>
      <c r="D3482" s="2" t="s">
        <v>4286</v>
      </c>
      <c r="E3482" s="2" t="b">
        <v>1</v>
      </c>
      <c r="F3482" s="2" t="b">
        <v>0</v>
      </c>
      <c r="G3482" s="2" t="s">
        <v>9937</v>
      </c>
      <c r="H3482" s="3" t="str">
        <f>_xlfn.IFNA(INDEX(RulebookFields!C2:C999, MATCH(D3482,RulebookFields!A2:A999, 0)), "")</f>
      </c>
      <c r="I3482" s="3" t="str">
        <f>_xlfn.IFNA(INDEX(RulebookFields!D2:D999, MATCH(D3482,RulebookFields!A2:A999, 0)), "")</f>
      </c>
      <c r="J3482" s="3" t="str">
        <f>_xlfn.IFNA(INDEX(RulebookFields!I2:I999, MATCH(D3482,RulebookFields!A2:A999, 0)), "")</f>
      </c>
      <c r="K3482" s="3" t="b">
        <f>AND(F3482, J3482)</f>
        <v>0</v>
      </c>
      <c r="L3482" s="3" t="b">
        <f>AND(G3482 &lt;&gt; "plain", G3482 &lt;&gt; "")</f>
        <v>0</v>
      </c>
      <c r="M3482" s="3" t="str">
        <f>IF(E3482, C3482 &amp; "|" &amp; H3482, "")</f>
        <v>principal-knowledge-authority|</v>
      </c>
      <c r="N3482" s="2" t="s">
        <v>9938</v>
      </c>
    </row>
    <row r="3483">
      <c r="A3483" s="2" t="s">
        <v>13419</v>
      </c>
      <c r="B3483" s="3" t="str">
        <f>C3483 &amp; " -&gt; " &amp; D3483</f>
        <v>principal-knowledge-authority -&gt; VerificationOutcomes.SignalIdentifier</v>
      </c>
      <c r="C3483" s="2" t="s">
        <v>9708</v>
      </c>
      <c r="D3483" s="2" t="s">
        <v>4288</v>
      </c>
      <c r="E3483" s="2" t="b">
        <v>1</v>
      </c>
      <c r="F3483" s="2" t="b">
        <v>0</v>
      </c>
      <c r="G3483" s="2" t="s">
        <v>9937</v>
      </c>
      <c r="H3483" s="3" t="str">
        <f>_xlfn.IFNA(INDEX(RulebookFields!C2:C999, MATCH(D3483,RulebookFields!A2:A999, 0)), "")</f>
      </c>
      <c r="I3483" s="3" t="str">
        <f>_xlfn.IFNA(INDEX(RulebookFields!D2:D999, MATCH(D3483,RulebookFields!A2:A999, 0)), "")</f>
      </c>
      <c r="J3483" s="3" t="str">
        <f>_xlfn.IFNA(INDEX(RulebookFields!I2:I999, MATCH(D3483,RulebookFields!A2:A999, 0)), "")</f>
      </c>
      <c r="K3483" s="3" t="b">
        <f>AND(F3483, J3483)</f>
        <v>0</v>
      </c>
      <c r="L3483" s="3" t="b">
        <f>AND(G3483 &lt;&gt; "plain", G3483 &lt;&gt; "")</f>
        <v>0</v>
      </c>
      <c r="M3483" s="3" t="str">
        <f>IF(E3483, C3483 &amp; "|" &amp; H3483, "")</f>
        <v>principal-knowledge-authority|</v>
      </c>
      <c r="N3483" s="2" t="s">
        <v>9938</v>
      </c>
    </row>
    <row r="3484">
      <c r="A3484" s="2" t="s">
        <v>13420</v>
      </c>
      <c r="B3484" s="3" t="str">
        <f>C3484 &amp; " -&gt; " &amp; D3484</f>
        <v>principal-knowledge-authority -&gt; VerificationOutcomes.SignalMatchesExpected</v>
      </c>
      <c r="C3484" s="2" t="s">
        <v>9708</v>
      </c>
      <c r="D3484" s="2" t="s">
        <v>824</v>
      </c>
      <c r="E3484" s="2" t="b">
        <v>1</v>
      </c>
      <c r="F3484" s="2" t="b">
        <v>0</v>
      </c>
      <c r="G3484" s="2" t="s">
        <v>9937</v>
      </c>
      <c r="H3484" s="3" t="str">
        <f>_xlfn.IFNA(INDEX(RulebookFields!C2:C999, MATCH(D3484,RulebookFields!A2:A999, 0)), "")</f>
      </c>
      <c r="I3484" s="3" t="str">
        <f>_xlfn.IFNA(INDEX(RulebookFields!D2:D999, MATCH(D3484,RulebookFields!A2:A999, 0)), "")</f>
      </c>
      <c r="J3484" s="3" t="str">
        <f>_xlfn.IFNA(INDEX(RulebookFields!I2:I999, MATCH(D3484,RulebookFields!A2:A999, 0)), "")</f>
      </c>
      <c r="K3484" s="3" t="b">
        <f>AND(F3484, J3484)</f>
        <v>0</v>
      </c>
      <c r="L3484" s="3" t="b">
        <f>AND(G3484 &lt;&gt; "plain", G3484 &lt;&gt; "")</f>
        <v>0</v>
      </c>
      <c r="M3484" s="3" t="str">
        <f>IF(E3484, C3484 &amp; "|" &amp; H3484, "")</f>
        <v>principal-knowledge-authority|</v>
      </c>
      <c r="N3484" s="2" t="s">
        <v>9938</v>
      </c>
    </row>
    <row r="3485">
      <c r="A3485" s="2" t="s">
        <v>13421</v>
      </c>
      <c r="B3485" s="3" t="str">
        <f>C3485 &amp; " -&gt; " &amp; D3485</f>
        <v>principal-knowledge-authority -&gt; VerificationOutcomes.HasEvidence</v>
      </c>
      <c r="C3485" s="2" t="s">
        <v>9708</v>
      </c>
      <c r="D3485" s="2" t="s">
        <v>4292</v>
      </c>
      <c r="E3485" s="2" t="b">
        <v>1</v>
      </c>
      <c r="F3485" s="2" t="b">
        <v>0</v>
      </c>
      <c r="G3485" s="2" t="s">
        <v>9937</v>
      </c>
      <c r="H3485" s="3" t="str">
        <f>_xlfn.IFNA(INDEX(RulebookFields!C2:C999, MATCH(D3485,RulebookFields!A2:A999, 0)), "")</f>
      </c>
      <c r="I3485" s="3" t="str">
        <f>_xlfn.IFNA(INDEX(RulebookFields!D2:D999, MATCH(D3485,RulebookFields!A2:A999, 0)), "")</f>
      </c>
      <c r="J3485" s="3" t="str">
        <f>_xlfn.IFNA(INDEX(RulebookFields!I2:I999, MATCH(D3485,RulebookFields!A2:A999, 0)), "")</f>
      </c>
      <c r="K3485" s="3" t="b">
        <f>AND(F3485, J3485)</f>
        <v>0</v>
      </c>
      <c r="L3485" s="3" t="b">
        <f>AND(G3485 &lt;&gt; "plain", G3485 &lt;&gt; "")</f>
        <v>0</v>
      </c>
      <c r="M3485" s="3" t="str">
        <f>IF(E3485, C3485 &amp; "|" &amp; H3485, "")</f>
        <v>principal-knowledge-authority|</v>
      </c>
      <c r="N3485" s="2" t="s">
        <v>9938</v>
      </c>
    </row>
    <row r="3486">
      <c r="A3486" s="2" t="s">
        <v>13422</v>
      </c>
      <c r="B3486" s="3" t="str">
        <f>C3486 &amp; " -&gt; " &amp; D3486</f>
        <v>principal-knowledge-authority -&gt; VerificationOutcomes.IsUnbackedObservation</v>
      </c>
      <c r="C3486" s="2" t="s">
        <v>9708</v>
      </c>
      <c r="D3486" s="2" t="s">
        <v>831</v>
      </c>
      <c r="E3486" s="2" t="b">
        <v>1</v>
      </c>
      <c r="F3486" s="2" t="b">
        <v>0</v>
      </c>
      <c r="G3486" s="2" t="s">
        <v>9937</v>
      </c>
      <c r="H3486" s="3" t="str">
        <f>_xlfn.IFNA(INDEX(RulebookFields!C2:C999, MATCH(D3486,RulebookFields!A2:A999, 0)), "")</f>
      </c>
      <c r="I3486" s="3" t="str">
        <f>_xlfn.IFNA(INDEX(RulebookFields!D2:D999, MATCH(D3486,RulebookFields!A2:A999, 0)), "")</f>
      </c>
      <c r="J3486" s="3" t="str">
        <f>_xlfn.IFNA(INDEX(RulebookFields!I2:I999, MATCH(D3486,RulebookFields!A2:A999, 0)), "")</f>
      </c>
      <c r="K3486" s="3" t="b">
        <f>AND(F3486, J3486)</f>
        <v>0</v>
      </c>
      <c r="L3486" s="3" t="b">
        <f>AND(G3486 &lt;&gt; "plain", G3486 &lt;&gt; "")</f>
        <v>0</v>
      </c>
      <c r="M3486" s="3" t="str">
        <f>IF(E3486, C3486 &amp; "|" &amp; H3486, "")</f>
        <v>principal-knowledge-authority|</v>
      </c>
      <c r="N3486" s="2" t="s">
        <v>9938</v>
      </c>
    </row>
    <row r="3487">
      <c r="A3487" s="2" t="s">
        <v>13423</v>
      </c>
      <c r="B3487" s="3" t="str">
        <f>C3487 &amp; " -&gt; " &amp; D3487</f>
        <v>principal-knowledge-authority -&gt; VerificationOutcomes.IsSelfWitnessed</v>
      </c>
      <c r="C3487" s="2" t="s">
        <v>9708</v>
      </c>
      <c r="D3487" s="2" t="s">
        <v>4297</v>
      </c>
      <c r="E3487" s="2" t="b">
        <v>1</v>
      </c>
      <c r="F3487" s="2" t="b">
        <v>0</v>
      </c>
      <c r="G3487" s="2" t="s">
        <v>9937</v>
      </c>
      <c r="H3487" s="3" t="str">
        <f>_xlfn.IFNA(INDEX(RulebookFields!C2:C999, MATCH(D3487,RulebookFields!A2:A999, 0)), "")</f>
      </c>
      <c r="I3487" s="3" t="str">
        <f>_xlfn.IFNA(INDEX(RulebookFields!D2:D999, MATCH(D3487,RulebookFields!A2:A999, 0)), "")</f>
      </c>
      <c r="J3487" s="3" t="str">
        <f>_xlfn.IFNA(INDEX(RulebookFields!I2:I999, MATCH(D3487,RulebookFields!A2:A999, 0)), "")</f>
      </c>
      <c r="K3487" s="3" t="b">
        <f>AND(F3487, J3487)</f>
        <v>0</v>
      </c>
      <c r="L3487" s="3" t="b">
        <f>AND(G3487 &lt;&gt; "plain", G3487 &lt;&gt; "")</f>
        <v>0</v>
      </c>
      <c r="M3487" s="3" t="str">
        <f>IF(E3487, C3487 &amp; "|" &amp; H3487, "")</f>
        <v>principal-knowledge-authority|</v>
      </c>
      <c r="N3487" s="2" t="s">
        <v>9938</v>
      </c>
    </row>
    <row r="3488">
      <c r="A3488" s="2" t="s">
        <v>13424</v>
      </c>
      <c r="B3488" s="3" t="str">
        <f>C3488 &amp; " -&gt; " &amp; D3488</f>
        <v>principal-knowledge-authority -&gt; VerificationOutcomes.StepExecutorAgent</v>
      </c>
      <c r="C3488" s="2" t="s">
        <v>9708</v>
      </c>
      <c r="D3488" s="2" t="s">
        <v>4300</v>
      </c>
      <c r="E3488" s="2" t="b">
        <v>1</v>
      </c>
      <c r="F3488" s="2" t="b">
        <v>0</v>
      </c>
      <c r="G3488" s="2" t="s">
        <v>9937</v>
      </c>
      <c r="H3488" s="3" t="str">
        <f>_xlfn.IFNA(INDEX(RulebookFields!C2:C999, MATCH(D3488,RulebookFields!A2:A999, 0)), "")</f>
      </c>
      <c r="I3488" s="3" t="str">
        <f>_xlfn.IFNA(INDEX(RulebookFields!D2:D999, MATCH(D3488,RulebookFields!A2:A999, 0)), "")</f>
      </c>
      <c r="J3488" s="3" t="str">
        <f>_xlfn.IFNA(INDEX(RulebookFields!I2:I999, MATCH(D3488,RulebookFields!A2:A999, 0)), "")</f>
      </c>
      <c r="K3488" s="3" t="b">
        <f>AND(F3488, J3488)</f>
        <v>0</v>
      </c>
      <c r="L3488" s="3" t="b">
        <f>AND(G3488 &lt;&gt; "plain", G3488 &lt;&gt; "")</f>
        <v>0</v>
      </c>
      <c r="M3488" s="3" t="str">
        <f>IF(E3488, C3488 &amp; "|" &amp; H3488, "")</f>
        <v>principal-knowledge-authority|</v>
      </c>
      <c r="N3488" s="2" t="s">
        <v>9938</v>
      </c>
    </row>
    <row r="3489">
      <c r="A3489" s="2" t="s">
        <v>13425</v>
      </c>
      <c r="B3489" s="3" t="str">
        <f>C3489 &amp; " -&gt; " &amp; D3489</f>
        <v>principal-knowledge-authority -&gt; VerificationOutcomes.SelfWitnessedStepKey</v>
      </c>
      <c r="C3489" s="2" t="s">
        <v>9708</v>
      </c>
      <c r="D3489" s="2" t="s">
        <v>4301</v>
      </c>
      <c r="E3489" s="2" t="b">
        <v>1</v>
      </c>
      <c r="F3489" s="2" t="b">
        <v>0</v>
      </c>
      <c r="G3489" s="2" t="s">
        <v>9937</v>
      </c>
      <c r="H3489" s="3" t="str">
        <f>_xlfn.IFNA(INDEX(RulebookFields!C2:C999, MATCH(D3489,RulebookFields!A2:A999, 0)), "")</f>
      </c>
      <c r="I3489" s="3" t="str">
        <f>_xlfn.IFNA(INDEX(RulebookFields!D2:D999, MATCH(D3489,RulebookFields!A2:A999, 0)), "")</f>
      </c>
      <c r="J3489" s="3" t="str">
        <f>_xlfn.IFNA(INDEX(RulebookFields!I2:I999, MATCH(D3489,RulebookFields!A2:A999, 0)), "")</f>
      </c>
      <c r="K3489" s="3" t="b">
        <f>AND(F3489, J3489)</f>
        <v>0</v>
      </c>
      <c r="L3489" s="3" t="b">
        <f>AND(G3489 &lt;&gt; "plain", G3489 &lt;&gt; "")</f>
        <v>0</v>
      </c>
      <c r="M3489" s="3" t="str">
        <f>IF(E3489, C3489 &amp; "|" &amp; H3489, "")</f>
        <v>principal-knowledge-authority|</v>
      </c>
      <c r="N3489" s="2" t="s">
        <v>9938</v>
      </c>
    </row>
    <row r="3490">
      <c r="A3490" s="2" t="s">
        <v>13426</v>
      </c>
      <c r="B3490" s="3" t="str">
        <f>C3490 &amp; " -&gt; " &amp; D3490</f>
        <v>principal-knowledge-authority -&gt; VerificationOutcomes.UnbackedStepKey</v>
      </c>
      <c r="C3490" s="2" t="s">
        <v>9708</v>
      </c>
      <c r="D3490" s="2" t="s">
        <v>4304</v>
      </c>
      <c r="E3490" s="2" t="b">
        <v>1</v>
      </c>
      <c r="F3490" s="2" t="b">
        <v>0</v>
      </c>
      <c r="G3490" s="2" t="s">
        <v>9937</v>
      </c>
      <c r="H3490" s="3" t="str">
        <f>_xlfn.IFNA(INDEX(RulebookFields!C2:C999, MATCH(D3490,RulebookFields!A2:A999, 0)), "")</f>
      </c>
      <c r="I3490" s="3" t="str">
        <f>_xlfn.IFNA(INDEX(RulebookFields!D2:D999, MATCH(D3490,RulebookFields!A2:A999, 0)), "")</f>
      </c>
      <c r="J3490" s="3" t="str">
        <f>_xlfn.IFNA(INDEX(RulebookFields!I2:I999, MATCH(D3490,RulebookFields!A2:A999, 0)), "")</f>
      </c>
      <c r="K3490" s="3" t="b">
        <f>AND(F3490, J3490)</f>
        <v>0</v>
      </c>
      <c r="L3490" s="3" t="b">
        <f>AND(G3490 &lt;&gt; "plain", G3490 &lt;&gt; "")</f>
        <v>0</v>
      </c>
      <c r="M3490" s="3" t="str">
        <f>IF(E3490, C3490 &amp; "|" &amp; H3490, "")</f>
        <v>principal-knowledge-authority|</v>
      </c>
      <c r="N3490" s="2" t="s">
        <v>9938</v>
      </c>
    </row>
    <row r="3491">
      <c r="A3491" s="2" t="s">
        <v>13427</v>
      </c>
      <c r="B3491" s="3" t="str">
        <f>C3491 &amp; " -&gt; " &amp; D3491</f>
        <v>principal-knowledge-authority -&gt; VerificationOutcomes.IsSelfWitnessedAndUnbacked</v>
      </c>
      <c r="C3491" s="2" t="s">
        <v>9708</v>
      </c>
      <c r="D3491" s="2" t="s">
        <v>4307</v>
      </c>
      <c r="E3491" s="2" t="b">
        <v>1</v>
      </c>
      <c r="F3491" s="2" t="b">
        <v>0</v>
      </c>
      <c r="G3491" s="2" t="s">
        <v>9937</v>
      </c>
      <c r="H3491" s="3" t="str">
        <f>_xlfn.IFNA(INDEX(RulebookFields!C2:C999, MATCH(D3491,RulebookFields!A2:A999, 0)), "")</f>
      </c>
      <c r="I3491" s="3" t="str">
        <f>_xlfn.IFNA(INDEX(RulebookFields!D2:D999, MATCH(D3491,RulebookFields!A2:A999, 0)), "")</f>
      </c>
      <c r="J3491" s="3" t="str">
        <f>_xlfn.IFNA(INDEX(RulebookFields!I2:I999, MATCH(D3491,RulebookFields!A2:A999, 0)), "")</f>
      </c>
      <c r="K3491" s="3" t="b">
        <f>AND(F3491, J3491)</f>
        <v>0</v>
      </c>
      <c r="L3491" s="3" t="b">
        <f>AND(G3491 &lt;&gt; "plain", G3491 &lt;&gt; "")</f>
        <v>0</v>
      </c>
      <c r="M3491" s="3" t="str">
        <f>IF(E3491, C3491 &amp; "|" &amp; H3491, "")</f>
        <v>principal-knowledge-authority|</v>
      </c>
      <c r="N3491" s="2" t="s">
        <v>9938</v>
      </c>
    </row>
    <row r="3492">
      <c r="A3492" s="2" t="s">
        <v>13428</v>
      </c>
      <c r="B3492" s="3" t="str">
        <f>C3492 &amp; " -&gt; " &amp; D3492</f>
        <v>principal-knowledge-authority -&gt; VerificationOutcomes.IsUncorroboratedPass</v>
      </c>
      <c r="C3492" s="2" t="s">
        <v>9708</v>
      </c>
      <c r="D3492" s="2" t="s">
        <v>4310</v>
      </c>
      <c r="E3492" s="2" t="b">
        <v>1</v>
      </c>
      <c r="F3492" s="2" t="b">
        <v>0</v>
      </c>
      <c r="G3492" s="2" t="s">
        <v>9937</v>
      </c>
      <c r="H3492" s="3" t="str">
        <f>_xlfn.IFNA(INDEX(RulebookFields!C2:C999, MATCH(D3492,RulebookFields!A2:A999, 0)), "")</f>
      </c>
      <c r="I3492" s="3" t="str">
        <f>_xlfn.IFNA(INDEX(RulebookFields!D2:D999, MATCH(D3492,RulebookFields!A2:A999, 0)), "")</f>
      </c>
      <c r="J3492" s="3" t="str">
        <f>_xlfn.IFNA(INDEX(RulebookFields!I2:I999, MATCH(D3492,RulebookFields!A2:A999, 0)), "")</f>
      </c>
      <c r="K3492" s="3" t="b">
        <f>AND(F3492, J3492)</f>
        <v>0</v>
      </c>
      <c r="L3492" s="3" t="b">
        <f>AND(G3492 &lt;&gt; "plain", G3492 &lt;&gt; "")</f>
        <v>0</v>
      </c>
      <c r="M3492" s="3" t="str">
        <f>IF(E3492, C3492 &amp; "|" &amp; H3492, "")</f>
        <v>principal-knowledge-authority|</v>
      </c>
      <c r="N3492" s="2" t="s">
        <v>9938</v>
      </c>
    </row>
    <row r="3493">
      <c r="A3493" s="2" t="s">
        <v>13429</v>
      </c>
      <c r="B3493" s="3" t="str">
        <f>C3493 &amp; " -&gt; " &amp; D3493</f>
        <v>principal-knowledge-authority -&gt; VerificationOutcomes.UncorroboratedPassStepKey</v>
      </c>
      <c r="C3493" s="2" t="s">
        <v>9708</v>
      </c>
      <c r="D3493" s="2" t="s">
        <v>4313</v>
      </c>
      <c r="E3493" s="2" t="b">
        <v>1</v>
      </c>
      <c r="F3493" s="2" t="b">
        <v>0</v>
      </c>
      <c r="G3493" s="2" t="s">
        <v>9937</v>
      </c>
      <c r="H3493" s="3" t="str">
        <f>_xlfn.IFNA(INDEX(RulebookFields!C2:C999, MATCH(D3493,RulebookFields!A2:A999, 0)), "")</f>
      </c>
      <c r="I3493" s="3" t="str">
        <f>_xlfn.IFNA(INDEX(RulebookFields!D2:D999, MATCH(D3493,RulebookFields!A2:A999, 0)), "")</f>
      </c>
      <c r="J3493" s="3" t="str">
        <f>_xlfn.IFNA(INDEX(RulebookFields!I2:I999, MATCH(D3493,RulebookFields!A2:A999, 0)), "")</f>
      </c>
      <c r="K3493" s="3" t="b">
        <f>AND(F3493, J3493)</f>
        <v>0</v>
      </c>
      <c r="L3493" s="3" t="b">
        <f>AND(G3493 &lt;&gt; "plain", G3493 &lt;&gt; "")</f>
        <v>0</v>
      </c>
      <c r="M3493" s="3" t="str">
        <f>IF(E3493, C3493 &amp; "|" &amp; H3493, "")</f>
        <v>principal-knowledge-authority|</v>
      </c>
      <c r="N3493" s="2" t="s">
        <v>9938</v>
      </c>
    </row>
    <row r="3494">
      <c r="A3494" s="2" t="s">
        <v>13430</v>
      </c>
      <c r="B3494" s="3" t="str">
        <f>C3494 &amp; " -&gt; " &amp; D3494</f>
        <v>principal-knowledge-authority -&gt; VerificationOutcomes.ObserverIsNonHuman</v>
      </c>
      <c r="C3494" s="2" t="s">
        <v>9708</v>
      </c>
      <c r="D3494" s="2" t="s">
        <v>4316</v>
      </c>
      <c r="E3494" s="2" t="b">
        <v>1</v>
      </c>
      <c r="F3494" s="2" t="b">
        <v>0</v>
      </c>
      <c r="G3494" s="2" t="s">
        <v>9937</v>
      </c>
      <c r="H3494" s="3" t="str">
        <f>_xlfn.IFNA(INDEX(RulebookFields!C2:C999, MATCH(D3494,RulebookFields!A2:A999, 0)), "")</f>
      </c>
      <c r="I3494" s="3" t="str">
        <f>_xlfn.IFNA(INDEX(RulebookFields!D2:D999, MATCH(D3494,RulebookFields!A2:A999, 0)), "")</f>
      </c>
      <c r="J3494" s="3" t="str">
        <f>_xlfn.IFNA(INDEX(RulebookFields!I2:I999, MATCH(D3494,RulebookFields!A2:A999, 0)), "")</f>
      </c>
      <c r="K3494" s="3" t="b">
        <f>AND(F3494, J3494)</f>
        <v>0</v>
      </c>
      <c r="L3494" s="3" t="b">
        <f>AND(G3494 &lt;&gt; "plain", G3494 &lt;&gt; "")</f>
        <v>0</v>
      </c>
      <c r="M3494" s="3" t="str">
        <f>IF(E3494, C3494 &amp; "|" &amp; H3494, "")</f>
        <v>principal-knowledge-authority|</v>
      </c>
      <c r="N3494" s="2" t="s">
        <v>9938</v>
      </c>
    </row>
    <row r="3495">
      <c r="A3495" s="2" t="s">
        <v>13431</v>
      </c>
      <c r="B3495" s="3" t="str">
        <f>C3495 &amp; " -&gt; " &amp; D3495</f>
        <v>principal-knowledge-authority -&gt; VerificationOutcomes.ObserverIsIndependentOfExecutor</v>
      </c>
      <c r="C3495" s="2" t="s">
        <v>9708</v>
      </c>
      <c r="D3495" s="2" t="s">
        <v>4319</v>
      </c>
      <c r="E3495" s="2" t="b">
        <v>1</v>
      </c>
      <c r="F3495" s="2" t="b">
        <v>0</v>
      </c>
      <c r="G3495" s="2" t="s">
        <v>9937</v>
      </c>
      <c r="H3495" s="3" t="str">
        <f>_xlfn.IFNA(INDEX(RulebookFields!C2:C999, MATCH(D3495,RulebookFields!A2:A999, 0)), "")</f>
      </c>
      <c r="I3495" s="3" t="str">
        <f>_xlfn.IFNA(INDEX(RulebookFields!D2:D999, MATCH(D3495,RulebookFields!A2:A999, 0)), "")</f>
      </c>
      <c r="J3495" s="3" t="str">
        <f>_xlfn.IFNA(INDEX(RulebookFields!I2:I999, MATCH(D3495,RulebookFields!A2:A999, 0)), "")</f>
      </c>
      <c r="K3495" s="3" t="b">
        <f>AND(F3495, J3495)</f>
        <v>0</v>
      </c>
      <c r="L3495" s="3" t="b">
        <f>AND(G3495 &lt;&gt; "plain", G3495 &lt;&gt; "")</f>
        <v>0</v>
      </c>
      <c r="M3495" s="3" t="str">
        <f>IF(E3495, C3495 &amp; "|" &amp; H3495, "")</f>
        <v>principal-knowledge-authority|</v>
      </c>
      <c r="N3495" s="2" t="s">
        <v>9938</v>
      </c>
    </row>
    <row r="3496">
      <c r="A3496" s="2" t="s">
        <v>13432</v>
      </c>
      <c r="B3496" s="3" t="str">
        <f>C3496 &amp; " -&gt; " &amp; D3496</f>
        <v>principal-knowledge-authority -&gt; VerificationOutcomes.IsIndependentHumanObservation</v>
      </c>
      <c r="C3496" s="2" t="s">
        <v>9708</v>
      </c>
      <c r="D3496" s="2" t="s">
        <v>4322</v>
      </c>
      <c r="E3496" s="2" t="b">
        <v>1</v>
      </c>
      <c r="F3496" s="2" t="b">
        <v>0</v>
      </c>
      <c r="G3496" s="2" t="s">
        <v>9937</v>
      </c>
      <c r="H3496" s="3" t="str">
        <f>_xlfn.IFNA(INDEX(RulebookFields!C2:C999, MATCH(D3496,RulebookFields!A2:A999, 0)), "")</f>
      </c>
      <c r="I3496" s="3" t="str">
        <f>_xlfn.IFNA(INDEX(RulebookFields!D2:D999, MATCH(D3496,RulebookFields!A2:A999, 0)), "")</f>
      </c>
      <c r="J3496" s="3" t="str">
        <f>_xlfn.IFNA(INDEX(RulebookFields!I2:I999, MATCH(D3496,RulebookFields!A2:A999, 0)), "")</f>
      </c>
      <c r="K3496" s="3" t="b">
        <f>AND(F3496, J3496)</f>
        <v>0</v>
      </c>
      <c r="L3496" s="3" t="b">
        <f>AND(G3496 &lt;&gt; "plain", G3496 &lt;&gt; "")</f>
        <v>0</v>
      </c>
      <c r="M3496" s="3" t="str">
        <f>IF(E3496, C3496 &amp; "|" &amp; H3496, "")</f>
        <v>principal-knowledge-authority|</v>
      </c>
      <c r="N3496" s="2" t="s">
        <v>9938</v>
      </c>
    </row>
    <row r="3497">
      <c r="A3497" s="2" t="s">
        <v>13433</v>
      </c>
      <c r="B3497" s="3" t="str">
        <f>C3497 &amp; " -&gt; " &amp; D3497</f>
        <v>principal-knowledge-authority -&gt; VerificationOutcomes.IndependentObservationExecutionKey</v>
      </c>
      <c r="C3497" s="2" t="s">
        <v>9708</v>
      </c>
      <c r="D3497" s="2" t="s">
        <v>4325</v>
      </c>
      <c r="E3497" s="2" t="b">
        <v>1</v>
      </c>
      <c r="F3497" s="2" t="b">
        <v>0</v>
      </c>
      <c r="G3497" s="2" t="s">
        <v>9937</v>
      </c>
      <c r="H3497" s="3" t="str">
        <f>_xlfn.IFNA(INDEX(RulebookFields!C2:C999, MATCH(D3497,RulebookFields!A2:A999, 0)), "")</f>
      </c>
      <c r="I3497" s="3" t="str">
        <f>_xlfn.IFNA(INDEX(RulebookFields!D2:D999, MATCH(D3497,RulebookFields!A2:A999, 0)), "")</f>
      </c>
      <c r="J3497" s="3" t="str">
        <f>_xlfn.IFNA(INDEX(RulebookFields!I2:I999, MATCH(D3497,RulebookFields!A2:A999, 0)), "")</f>
      </c>
      <c r="K3497" s="3" t="b">
        <f>AND(F3497, J3497)</f>
        <v>0</v>
      </c>
      <c r="L3497" s="3" t="b">
        <f>AND(G3497 &lt;&gt; "plain", G3497 &lt;&gt; "")</f>
        <v>0</v>
      </c>
      <c r="M3497" s="3" t="str">
        <f>IF(E3497, C3497 &amp; "|" &amp; H3497, "")</f>
        <v>principal-knowledge-authority|</v>
      </c>
      <c r="N3497" s="2" t="s">
        <v>9938</v>
      </c>
    </row>
    <row r="3498">
      <c r="A3498" s="2" t="s">
        <v>13434</v>
      </c>
      <c r="B3498" s="3" t="str">
        <f>C3498 &amp; " -&gt; " &amp; D3498</f>
        <v>principal-knowledge-authority -&gt; VerificationOutcomes.ParentProcedureExecutionOfOutcome</v>
      </c>
      <c r="C3498" s="2" t="s">
        <v>9708</v>
      </c>
      <c r="D3498" s="2" t="s">
        <v>4328</v>
      </c>
      <c r="E3498" s="2" t="b">
        <v>1</v>
      </c>
      <c r="F3498" s="2" t="b">
        <v>0</v>
      </c>
      <c r="G3498" s="2" t="s">
        <v>9937</v>
      </c>
      <c r="H3498" s="3" t="str">
        <f>_xlfn.IFNA(INDEX(RulebookFields!C2:C999, MATCH(D3498,RulebookFields!A2:A999, 0)), "")</f>
      </c>
      <c r="I3498" s="3" t="str">
        <f>_xlfn.IFNA(INDEX(RulebookFields!D2:D999, MATCH(D3498,RulebookFields!A2:A999, 0)), "")</f>
      </c>
      <c r="J3498" s="3" t="str">
        <f>_xlfn.IFNA(INDEX(RulebookFields!I2:I999, MATCH(D3498,RulebookFields!A2:A999, 0)), "")</f>
      </c>
      <c r="K3498" s="3" t="b">
        <f>AND(F3498, J3498)</f>
        <v>0</v>
      </c>
      <c r="L3498" s="3" t="b">
        <f>AND(G3498 &lt;&gt; "plain", G3498 &lt;&gt; "")</f>
        <v>0</v>
      </c>
      <c r="M3498" s="3" t="str">
        <f>IF(E3498, C3498 &amp; "|" &amp; H3498, "")</f>
        <v>principal-knowledge-authority|</v>
      </c>
      <c r="N3498" s="2" t="s">
        <v>9938</v>
      </c>
    </row>
    <row r="3499">
      <c r="A3499" s="2" t="s">
        <v>13435</v>
      </c>
      <c r="B3499" s="3" t="str">
        <f>C3499 &amp; " -&gt; " &amp; D3499</f>
        <v>principal-knowledge-authority -&gt; VerificationOutcomes.SemanticTypeIri</v>
      </c>
      <c r="C3499" s="2" t="s">
        <v>9708</v>
      </c>
      <c r="D3499" s="2" t="s">
        <v>4330</v>
      </c>
      <c r="E3499" s="2" t="b">
        <v>1</v>
      </c>
      <c r="F3499" s="2" t="b">
        <v>0</v>
      </c>
      <c r="G3499" s="2" t="s">
        <v>9937</v>
      </c>
      <c r="H3499" s="3" t="str">
        <f>_xlfn.IFNA(INDEX(RulebookFields!C2:C999, MATCH(D3499,RulebookFields!A2:A999, 0)), "")</f>
      </c>
      <c r="I3499" s="3" t="str">
        <f>_xlfn.IFNA(INDEX(RulebookFields!D2:D999, MATCH(D3499,RulebookFields!A2:A999, 0)), "")</f>
      </c>
      <c r="J3499" s="3" t="str">
        <f>_xlfn.IFNA(INDEX(RulebookFields!I2:I999, MATCH(D3499,RulebookFields!A2:A999, 0)), "")</f>
      </c>
      <c r="K3499" s="3" t="b">
        <f>AND(F3499, J3499)</f>
        <v>0</v>
      </c>
      <c r="L3499" s="3" t="b">
        <f>AND(G3499 &lt;&gt; "plain", G3499 &lt;&gt; "")</f>
        <v>0</v>
      </c>
      <c r="M3499" s="3" t="str">
        <f>IF(E3499, C3499 &amp; "|" &amp; H3499, "")</f>
        <v>principal-knowledge-authority|</v>
      </c>
      <c r="N3499" s="2" t="s">
        <v>9938</v>
      </c>
    </row>
    <row r="3500">
      <c r="A3500" s="2" t="s">
        <v>13436</v>
      </c>
      <c r="B3500" s="3" t="str">
        <f>C3500 &amp; " -&gt; " &amp; D3500</f>
        <v>principal-knowledge-authority -&gt; WitnessLoops.WitnessLoopId</v>
      </c>
      <c r="C3500" s="2" t="s">
        <v>9708</v>
      </c>
      <c r="D3500" s="2" t="s">
        <v>4073</v>
      </c>
      <c r="E3500" s="2" t="b">
        <v>1</v>
      </c>
      <c r="F3500" s="2" t="b">
        <v>0</v>
      </c>
      <c r="G3500" s="2" t="s">
        <v>9937</v>
      </c>
      <c r="H3500" s="3" t="str">
        <f>_xlfn.IFNA(INDEX(RulebookFields!C2:C999, MATCH(D3500,RulebookFields!A2:A999, 0)), "")</f>
      </c>
      <c r="I3500" s="3" t="str">
        <f>_xlfn.IFNA(INDEX(RulebookFields!D2:D999, MATCH(D3500,RulebookFields!A2:A999, 0)), "")</f>
      </c>
      <c r="J3500" s="3" t="str">
        <f>_xlfn.IFNA(INDEX(RulebookFields!I2:I999, MATCH(D3500,RulebookFields!A2:A999, 0)), "")</f>
      </c>
      <c r="K3500" s="3" t="b">
        <f>AND(F3500, J3500)</f>
        <v>0</v>
      </c>
      <c r="L3500" s="3" t="b">
        <f>AND(G3500 &lt;&gt; "plain", G3500 &lt;&gt; "")</f>
        <v>0</v>
      </c>
      <c r="M3500" s="3" t="str">
        <f>IF(E3500, C3500 &amp; "|" &amp; H3500, "")</f>
        <v>principal-knowledge-authority|</v>
      </c>
      <c r="N3500" s="2" t="s">
        <v>9938</v>
      </c>
    </row>
    <row r="3501">
      <c r="A3501" s="2" t="s">
        <v>13437</v>
      </c>
      <c r="B3501" s="3" t="str">
        <f>C3501 &amp; " -&gt; " &amp; D3501</f>
        <v>principal-knowledge-authority -&gt; WitnessLoops.Name</v>
      </c>
      <c r="C3501" s="2" t="s">
        <v>9708</v>
      </c>
      <c r="D3501" s="2" t="s">
        <v>4075</v>
      </c>
      <c r="E3501" s="2" t="b">
        <v>1</v>
      </c>
      <c r="F3501" s="2" t="b">
        <v>0</v>
      </c>
      <c r="G3501" s="2" t="s">
        <v>9937</v>
      </c>
      <c r="H3501" s="3" t="str">
        <f>_xlfn.IFNA(INDEX(RulebookFields!C2:C999, MATCH(D3501,RulebookFields!A2:A999, 0)), "")</f>
      </c>
      <c r="I3501" s="3" t="str">
        <f>_xlfn.IFNA(INDEX(RulebookFields!D2:D999, MATCH(D3501,RulebookFields!A2:A999, 0)), "")</f>
      </c>
      <c r="J3501" s="3" t="str">
        <f>_xlfn.IFNA(INDEX(RulebookFields!I2:I999, MATCH(D3501,RulebookFields!A2:A999, 0)), "")</f>
      </c>
      <c r="K3501" s="3" t="b">
        <f>AND(F3501, J3501)</f>
        <v>0</v>
      </c>
      <c r="L3501" s="3" t="b">
        <f>AND(G3501 &lt;&gt; "plain", G3501 &lt;&gt; "")</f>
        <v>0</v>
      </c>
      <c r="M3501" s="3" t="str">
        <f>IF(E3501, C3501 &amp; "|" &amp; H3501, "")</f>
        <v>principal-knowledge-authority|</v>
      </c>
      <c r="N3501" s="2" t="s">
        <v>9938</v>
      </c>
    </row>
    <row r="3502">
      <c r="A3502" s="2" t="s">
        <v>13438</v>
      </c>
      <c r="B3502" s="3" t="str">
        <f>C3502 &amp; " -&gt; " &amp; D3502</f>
        <v>principal-knowledge-authority -&gt; WitnessLoops.LoopNumber</v>
      </c>
      <c r="C3502" s="2" t="s">
        <v>9708</v>
      </c>
      <c r="D3502" s="2" t="s">
        <v>4077</v>
      </c>
      <c r="E3502" s="2" t="b">
        <v>1</v>
      </c>
      <c r="F3502" s="2" t="b">
        <v>0</v>
      </c>
      <c r="G3502" s="2" t="s">
        <v>9937</v>
      </c>
      <c r="H3502" s="3" t="str">
        <f>_xlfn.IFNA(INDEX(RulebookFields!C2:C999, MATCH(D3502,RulebookFields!A2:A999, 0)), "")</f>
      </c>
      <c r="I3502" s="3" t="str">
        <f>_xlfn.IFNA(INDEX(RulebookFields!D2:D999, MATCH(D3502,RulebookFields!A2:A999, 0)), "")</f>
      </c>
      <c r="J3502" s="3" t="str">
        <f>_xlfn.IFNA(INDEX(RulebookFields!I2:I999, MATCH(D3502,RulebookFields!A2:A999, 0)), "")</f>
      </c>
      <c r="K3502" s="3" t="b">
        <f>AND(F3502, J3502)</f>
        <v>0</v>
      </c>
      <c r="L3502" s="3" t="b">
        <f>AND(G3502 &lt;&gt; "plain", G3502 &lt;&gt; "")</f>
        <v>0</v>
      </c>
      <c r="M3502" s="3" t="str">
        <f>IF(E3502, C3502 &amp; "|" &amp; H3502, "")</f>
        <v>principal-knowledge-authority|</v>
      </c>
      <c r="N3502" s="2" t="s">
        <v>9938</v>
      </c>
    </row>
    <row r="3503">
      <c r="A3503" s="2" t="s">
        <v>13439</v>
      </c>
      <c r="B3503" s="3" t="str">
        <f>C3503 &amp; " -&gt; " &amp; D3503</f>
        <v>principal-knowledge-authority -&gt; WitnessLoops.Title</v>
      </c>
      <c r="C3503" s="2" t="s">
        <v>9708</v>
      </c>
      <c r="D3503" s="2" t="s">
        <v>4078</v>
      </c>
      <c r="E3503" s="2" t="b">
        <v>1</v>
      </c>
      <c r="F3503" s="2" t="b">
        <v>0</v>
      </c>
      <c r="G3503" s="2" t="s">
        <v>9937</v>
      </c>
      <c r="H3503" s="3" t="str">
        <f>_xlfn.IFNA(INDEX(RulebookFields!C2:C999, MATCH(D3503,RulebookFields!A2:A999, 0)), "")</f>
      </c>
      <c r="I3503" s="3" t="str">
        <f>_xlfn.IFNA(INDEX(RulebookFields!D2:D999, MATCH(D3503,RulebookFields!A2:A999, 0)), "")</f>
      </c>
      <c r="J3503" s="3" t="str">
        <f>_xlfn.IFNA(INDEX(RulebookFields!I2:I999, MATCH(D3503,RulebookFields!A2:A999, 0)), "")</f>
      </c>
      <c r="K3503" s="3" t="b">
        <f>AND(F3503, J3503)</f>
        <v>0</v>
      </c>
      <c r="L3503" s="3" t="b">
        <f>AND(G3503 &lt;&gt; "plain", G3503 &lt;&gt; "")</f>
        <v>0</v>
      </c>
      <c r="M3503" s="3" t="str">
        <f>IF(E3503, C3503 &amp; "|" &amp; H3503, "")</f>
        <v>principal-knowledge-authority|</v>
      </c>
      <c r="N3503" s="2" t="s">
        <v>9938</v>
      </c>
    </row>
    <row r="3504">
      <c r="A3504" s="2" t="s">
        <v>13440</v>
      </c>
      <c r="B3504" s="3" t="str">
        <f>C3504 &amp; " -&gt; " &amp; D3504</f>
        <v>principal-knowledge-authority -&gt; WitnessLoops.Premise</v>
      </c>
      <c r="C3504" s="2" t="s">
        <v>9708</v>
      </c>
      <c r="D3504" s="2" t="s">
        <v>4079</v>
      </c>
      <c r="E3504" s="2" t="b">
        <v>1</v>
      </c>
      <c r="F3504" s="2" t="b">
        <v>0</v>
      </c>
      <c r="G3504" s="2" t="s">
        <v>9937</v>
      </c>
      <c r="H3504" s="3" t="str">
        <f>_xlfn.IFNA(INDEX(RulebookFields!C2:C999, MATCH(D3504,RulebookFields!A2:A999, 0)), "")</f>
      </c>
      <c r="I3504" s="3" t="str">
        <f>_xlfn.IFNA(INDEX(RulebookFields!D2:D999, MATCH(D3504,RulebookFields!A2:A999, 0)), "")</f>
      </c>
      <c r="J3504" s="3" t="str">
        <f>_xlfn.IFNA(INDEX(RulebookFields!I2:I999, MATCH(D3504,RulebookFields!A2:A999, 0)), "")</f>
      </c>
      <c r="K3504" s="3" t="b">
        <f>AND(F3504, J3504)</f>
        <v>0</v>
      </c>
      <c r="L3504" s="3" t="b">
        <f>AND(G3504 &lt;&gt; "plain", G3504 &lt;&gt; "")</f>
        <v>0</v>
      </c>
      <c r="M3504" s="3" t="str">
        <f>IF(E3504, C3504 &amp; "|" &amp; H3504, "")</f>
        <v>principal-knowledge-authority|</v>
      </c>
      <c r="N3504" s="2" t="s">
        <v>9938</v>
      </c>
    </row>
    <row r="3505">
      <c r="A3505" s="2" t="s">
        <v>13441</v>
      </c>
      <c r="B3505" s="3" t="str">
        <f>C3505 &amp; " -&gt; " &amp; D3505</f>
        <v>principal-knowledge-authority -&gt; WitnessLoops.StartedAt</v>
      </c>
      <c r="C3505" s="2" t="s">
        <v>9708</v>
      </c>
      <c r="D3505" s="2" t="s">
        <v>4080</v>
      </c>
      <c r="E3505" s="2" t="b">
        <v>1</v>
      </c>
      <c r="F3505" s="2" t="b">
        <v>0</v>
      </c>
      <c r="G3505" s="2" t="s">
        <v>9937</v>
      </c>
      <c r="H3505" s="3" t="str">
        <f>_xlfn.IFNA(INDEX(RulebookFields!C2:C999, MATCH(D3505,RulebookFields!A2:A999, 0)), "")</f>
      </c>
      <c r="I3505" s="3" t="str">
        <f>_xlfn.IFNA(INDEX(RulebookFields!D2:D999, MATCH(D3505,RulebookFields!A2:A999, 0)), "")</f>
      </c>
      <c r="J3505" s="3" t="str">
        <f>_xlfn.IFNA(INDEX(RulebookFields!I2:I999, MATCH(D3505,RulebookFields!A2:A999, 0)), "")</f>
      </c>
      <c r="K3505" s="3" t="b">
        <f>AND(F3505, J3505)</f>
        <v>0</v>
      </c>
      <c r="L3505" s="3" t="b">
        <f>AND(G3505 &lt;&gt; "plain", G3505 &lt;&gt; "")</f>
        <v>0</v>
      </c>
      <c r="M3505" s="3" t="str">
        <f>IF(E3505, C3505 &amp; "|" &amp; H3505, "")</f>
        <v>principal-knowledge-authority|</v>
      </c>
      <c r="N3505" s="2" t="s">
        <v>9938</v>
      </c>
    </row>
    <row r="3506">
      <c r="A3506" s="2" t="s">
        <v>13442</v>
      </c>
      <c r="B3506" s="3" t="str">
        <f>C3506 &amp; " -&gt; " &amp; D3506</f>
        <v>principal-knowledge-authority -&gt; WitnessLoops.CompletedAt</v>
      </c>
      <c r="C3506" s="2" t="s">
        <v>9708</v>
      </c>
      <c r="D3506" s="2" t="s">
        <v>4081</v>
      </c>
      <c r="E3506" s="2" t="b">
        <v>1</v>
      </c>
      <c r="F3506" s="2" t="b">
        <v>0</v>
      </c>
      <c r="G3506" s="2" t="s">
        <v>9937</v>
      </c>
      <c r="H3506" s="3" t="str">
        <f>_xlfn.IFNA(INDEX(RulebookFields!C2:C999, MATCH(D3506,RulebookFields!A2:A999, 0)), "")</f>
      </c>
      <c r="I3506" s="3" t="str">
        <f>_xlfn.IFNA(INDEX(RulebookFields!D2:D999, MATCH(D3506,RulebookFields!A2:A999, 0)), "")</f>
      </c>
      <c r="J3506" s="3" t="str">
        <f>_xlfn.IFNA(INDEX(RulebookFields!I2:I999, MATCH(D3506,RulebookFields!A2:A999, 0)), "")</f>
      </c>
      <c r="K3506" s="3" t="b">
        <f>AND(F3506, J3506)</f>
        <v>0</v>
      </c>
      <c r="L3506" s="3" t="b">
        <f>AND(G3506 &lt;&gt; "plain", G3506 &lt;&gt; "")</f>
        <v>0</v>
      </c>
      <c r="M3506" s="3" t="str">
        <f>IF(E3506, C3506 &amp; "|" &amp; H3506, "")</f>
        <v>principal-knowledge-authority|</v>
      </c>
      <c r="N3506" s="2" t="s">
        <v>9938</v>
      </c>
    </row>
    <row r="3507">
      <c r="A3507" s="2" t="s">
        <v>13443</v>
      </c>
      <c r="B3507" s="3" t="str">
        <f>C3507 &amp; " -&gt; " &amp; D3507</f>
        <v>principal-knowledge-authority -&gt; WitnessLoops.QuestionCount</v>
      </c>
      <c r="C3507" s="2" t="s">
        <v>9708</v>
      </c>
      <c r="D3507" s="2" t="s">
        <v>4082</v>
      </c>
      <c r="E3507" s="2" t="b">
        <v>1</v>
      </c>
      <c r="F3507" s="2" t="b">
        <v>0</v>
      </c>
      <c r="G3507" s="2" t="s">
        <v>9937</v>
      </c>
      <c r="H3507" s="3" t="str">
        <f>_xlfn.IFNA(INDEX(RulebookFields!C2:C999, MATCH(D3507,RulebookFields!A2:A999, 0)), "")</f>
      </c>
      <c r="I3507" s="3" t="str">
        <f>_xlfn.IFNA(INDEX(RulebookFields!D2:D999, MATCH(D3507,RulebookFields!A2:A999, 0)), "")</f>
      </c>
      <c r="J3507" s="3" t="str">
        <f>_xlfn.IFNA(INDEX(RulebookFields!I2:I999, MATCH(D3507,RulebookFields!A2:A999, 0)), "")</f>
      </c>
      <c r="K3507" s="3" t="b">
        <f>AND(F3507, J3507)</f>
        <v>0</v>
      </c>
      <c r="L3507" s="3" t="b">
        <f>AND(G3507 &lt;&gt; "plain", G3507 &lt;&gt; "")</f>
        <v>0</v>
      </c>
      <c r="M3507" s="3" t="str">
        <f>IF(E3507, C3507 &amp; "|" &amp; H3507, "")</f>
        <v>principal-knowledge-authority|</v>
      </c>
      <c r="N3507" s="2" t="s">
        <v>9938</v>
      </c>
    </row>
    <row r="3508">
      <c r="A3508" s="2" t="s">
        <v>13444</v>
      </c>
      <c r="B3508" s="3" t="str">
        <f>C3508 &amp; " -&gt; " &amp; D3508</f>
        <v>principal-knowledge-authority -&gt; WitnessLoops.IsComplete</v>
      </c>
      <c r="C3508" s="2" t="s">
        <v>9708</v>
      </c>
      <c r="D3508" s="2" t="s">
        <v>4084</v>
      </c>
      <c r="E3508" s="2" t="b">
        <v>1</v>
      </c>
      <c r="F3508" s="2" t="b">
        <v>0</v>
      </c>
      <c r="G3508" s="2" t="s">
        <v>9937</v>
      </c>
      <c r="H3508" s="3" t="str">
        <f>_xlfn.IFNA(INDEX(RulebookFields!C2:C999, MATCH(D3508,RulebookFields!A2:A999, 0)), "")</f>
      </c>
      <c r="I3508" s="3" t="str">
        <f>_xlfn.IFNA(INDEX(RulebookFields!D2:D999, MATCH(D3508,RulebookFields!A2:A999, 0)), "")</f>
      </c>
      <c r="J3508" s="3" t="str">
        <f>_xlfn.IFNA(INDEX(RulebookFields!I2:I999, MATCH(D3508,RulebookFields!A2:A999, 0)), "")</f>
      </c>
      <c r="K3508" s="3" t="b">
        <f>AND(F3508, J3508)</f>
        <v>0</v>
      </c>
      <c r="L3508" s="3" t="b">
        <f>AND(G3508 &lt;&gt; "plain", G3508 &lt;&gt; "")</f>
        <v>0</v>
      </c>
      <c r="M3508" s="3" t="str">
        <f>IF(E3508, C3508 &amp; "|" &amp; H3508, "")</f>
        <v>principal-knowledge-authority|</v>
      </c>
      <c r="N3508" s="2" t="s">
        <v>9938</v>
      </c>
    </row>
    <row r="3509">
      <c r="A3509" s="2" t="s">
        <v>13445</v>
      </c>
      <c r="B3509" s="3" t="str">
        <f>C3509 &amp; " -&gt; " &amp; D3509</f>
        <v>principal-knowledge-authority -&gt; WitnessLoops.FieldsAfter</v>
      </c>
      <c r="C3509" s="2" t="s">
        <v>9708</v>
      </c>
      <c r="D3509" s="2" t="s">
        <v>4086</v>
      </c>
      <c r="E3509" s="2" t="b">
        <v>1</v>
      </c>
      <c r="F3509" s="2" t="b">
        <v>0</v>
      </c>
      <c r="G3509" s="2" t="s">
        <v>9937</v>
      </c>
      <c r="H3509" s="3" t="str">
        <f>_xlfn.IFNA(INDEX(RulebookFields!C2:C999, MATCH(D3509,RulebookFields!A2:A999, 0)), "")</f>
      </c>
      <c r="I3509" s="3" t="str">
        <f>_xlfn.IFNA(INDEX(RulebookFields!D2:D999, MATCH(D3509,RulebookFields!A2:A999, 0)), "")</f>
      </c>
      <c r="J3509" s="3" t="str">
        <f>_xlfn.IFNA(INDEX(RulebookFields!I2:I999, MATCH(D3509,RulebookFields!A2:A999, 0)), "")</f>
      </c>
      <c r="K3509" s="3" t="b">
        <f>AND(F3509, J3509)</f>
        <v>0</v>
      </c>
      <c r="L3509" s="3" t="b">
        <f>AND(G3509 &lt;&gt; "plain", G3509 &lt;&gt; "")</f>
        <v>0</v>
      </c>
      <c r="M3509" s="3" t="str">
        <f>IF(E3509, C3509 &amp; "|" &amp; H3509, "")</f>
        <v>principal-knowledge-authority|</v>
      </c>
      <c r="N3509" s="2" t="s">
        <v>9938</v>
      </c>
    </row>
    <row r="3510">
      <c r="A3510" s="2" t="s">
        <v>13446</v>
      </c>
      <c r="B3510" s="3" t="str">
        <f>C3510 &amp; " -&gt; " &amp; D3510</f>
        <v>principal-knowledge-authority -&gt; WitnessLoops.DerivedAfter</v>
      </c>
      <c r="C3510" s="2" t="s">
        <v>9708</v>
      </c>
      <c r="D3510" s="2" t="s">
        <v>4087</v>
      </c>
      <c r="E3510" s="2" t="b">
        <v>1</v>
      </c>
      <c r="F3510" s="2" t="b">
        <v>0</v>
      </c>
      <c r="G3510" s="2" t="s">
        <v>9937</v>
      </c>
      <c r="H3510" s="3" t="str">
        <f>_xlfn.IFNA(INDEX(RulebookFields!C2:C999, MATCH(D3510,RulebookFields!A2:A999, 0)), "")</f>
      </c>
      <c r="I3510" s="3" t="str">
        <f>_xlfn.IFNA(INDEX(RulebookFields!D2:D999, MATCH(D3510,RulebookFields!A2:A999, 0)), "")</f>
      </c>
      <c r="J3510" s="3" t="str">
        <f>_xlfn.IFNA(INDEX(RulebookFields!I2:I999, MATCH(D3510,RulebookFields!A2:A999, 0)), "")</f>
      </c>
      <c r="K3510" s="3" t="b">
        <f>AND(F3510, J3510)</f>
        <v>0</v>
      </c>
      <c r="L3510" s="3" t="b">
        <f>AND(G3510 &lt;&gt; "plain", G3510 &lt;&gt; "")</f>
        <v>0</v>
      </c>
      <c r="M3510" s="3" t="str">
        <f>IF(E3510, C3510 &amp; "|" &amp; H3510, "")</f>
        <v>principal-knowledge-authority|</v>
      </c>
      <c r="N3510" s="2" t="s">
        <v>9938</v>
      </c>
    </row>
    <row r="3511">
      <c r="A3511" s="2" t="s">
        <v>13447</v>
      </c>
      <c r="B3511" s="3" t="str">
        <f>C3511 &amp; " -&gt; " &amp; D3511</f>
        <v>principal-knowledge-authority -&gt; WitnessLoops.WitnessedAfter</v>
      </c>
      <c r="C3511" s="2" t="s">
        <v>9708</v>
      </c>
      <c r="D3511" s="2" t="s">
        <v>4088</v>
      </c>
      <c r="E3511" s="2" t="b">
        <v>1</v>
      </c>
      <c r="F3511" s="2" t="b">
        <v>0</v>
      </c>
      <c r="G3511" s="2" t="s">
        <v>9937</v>
      </c>
      <c r="H3511" s="3" t="str">
        <f>_xlfn.IFNA(INDEX(RulebookFields!C2:C999, MATCH(D3511,RulebookFields!A2:A999, 0)), "")</f>
      </c>
      <c r="I3511" s="3" t="str">
        <f>_xlfn.IFNA(INDEX(RulebookFields!D2:D999, MATCH(D3511,RulebookFields!A2:A999, 0)), "")</f>
      </c>
      <c r="J3511" s="3" t="str">
        <f>_xlfn.IFNA(INDEX(RulebookFields!I2:I999, MATCH(D3511,RulebookFields!A2:A999, 0)), "")</f>
      </c>
      <c r="K3511" s="3" t="b">
        <f>AND(F3511, J3511)</f>
        <v>0</v>
      </c>
      <c r="L3511" s="3" t="b">
        <f>AND(G3511 &lt;&gt; "plain", G3511 &lt;&gt; "")</f>
        <v>0</v>
      </c>
      <c r="M3511" s="3" t="str">
        <f>IF(E3511, C3511 &amp; "|" &amp; H3511, "")</f>
        <v>principal-knowledge-authority|</v>
      </c>
      <c r="N3511" s="2" t="s">
        <v>9938</v>
      </c>
    </row>
    <row r="3512">
      <c r="A3512" s="2" t="s">
        <v>13448</v>
      </c>
      <c r="B3512" s="3" t="str">
        <f>C3512 &amp; " -&gt; " &amp; D3512</f>
        <v>principal-knowledge-authority -&gt; WitnessLoops.SemanticTypeIri</v>
      </c>
      <c r="C3512" s="2" t="s">
        <v>9708</v>
      </c>
      <c r="D3512" s="2" t="s">
        <v>4089</v>
      </c>
      <c r="E3512" s="2" t="b">
        <v>1</v>
      </c>
      <c r="F3512" s="2" t="b">
        <v>0</v>
      </c>
      <c r="G3512" s="2" t="s">
        <v>9937</v>
      </c>
      <c r="H3512" s="3" t="str">
        <f>_xlfn.IFNA(INDEX(RulebookFields!C2:C999, MATCH(D3512,RulebookFields!A2:A999, 0)), "")</f>
      </c>
      <c r="I3512" s="3" t="str">
        <f>_xlfn.IFNA(INDEX(RulebookFields!D2:D999, MATCH(D3512,RulebookFields!A2:A999, 0)), "")</f>
      </c>
      <c r="J3512" s="3" t="str">
        <f>_xlfn.IFNA(INDEX(RulebookFields!I2:I999, MATCH(D3512,RulebookFields!A2:A999, 0)), "")</f>
      </c>
      <c r="K3512" s="3" t="b">
        <f>AND(F3512, J3512)</f>
        <v>0</v>
      </c>
      <c r="L3512" s="3" t="b">
        <f>AND(G3512 &lt;&gt; "plain", G3512 &lt;&gt; "")</f>
        <v>0</v>
      </c>
      <c r="M3512" s="3" t="str">
        <f>IF(E3512, C3512 &amp; "|" &amp; H3512, "")</f>
        <v>principal-knowledge-authority|</v>
      </c>
      <c r="N3512" s="2" t="s">
        <v>9938</v>
      </c>
    </row>
    <row r="3513">
      <c r="A3513" s="2" t="s">
        <v>13449</v>
      </c>
      <c r="B3513" s="3" t="str">
        <f>C3513 &amp; " -&gt; " &amp; D3513</f>
        <v>principal-process-steward -&gt; ProcessMiningRuns.ProcessMiningRunId</v>
      </c>
      <c r="C3513" s="2" t="s">
        <v>9706</v>
      </c>
      <c r="D3513" s="2" t="s">
        <v>5587</v>
      </c>
      <c r="E3513" s="2" t="b">
        <v>1</v>
      </c>
      <c r="F3513" s="2" t="b">
        <v>0</v>
      </c>
      <c r="G3513" s="2" t="s">
        <v>9937</v>
      </c>
      <c r="H3513" s="3" t="str">
        <f>_xlfn.IFNA(INDEX(RulebookFields!C2:C999, MATCH(D3513,RulebookFields!A2:A999, 0)), "")</f>
      </c>
      <c r="I3513" s="3" t="str">
        <f>_xlfn.IFNA(INDEX(RulebookFields!D2:D999, MATCH(D3513,RulebookFields!A2:A999, 0)), "")</f>
      </c>
      <c r="J3513" s="3" t="str">
        <f>_xlfn.IFNA(INDEX(RulebookFields!I2:I999, MATCH(D3513,RulebookFields!A2:A999, 0)), "")</f>
      </c>
      <c r="K3513" s="3" t="b">
        <f>AND(F3513, J3513)</f>
        <v>0</v>
      </c>
      <c r="L3513" s="3" t="b">
        <f>AND(G3513 &lt;&gt; "plain", G3513 &lt;&gt; "")</f>
        <v>0</v>
      </c>
      <c r="M3513" s="3" t="str">
        <f>IF(E3513, C3513 &amp; "|" &amp; H3513, "")</f>
        <v>principal-process-steward|</v>
      </c>
      <c r="N3513" s="2" t="s">
        <v>9938</v>
      </c>
    </row>
    <row r="3514">
      <c r="A3514" s="2" t="s">
        <v>13450</v>
      </c>
      <c r="B3514" s="3" t="str">
        <f>C3514 &amp; " -&gt; " &amp; D3514</f>
        <v>principal-process-steward -&gt; ProcessMiningRuns.Name</v>
      </c>
      <c r="C3514" s="2" t="s">
        <v>9706</v>
      </c>
      <c r="D3514" s="2" t="s">
        <v>5589</v>
      </c>
      <c r="E3514" s="2" t="b">
        <v>1</v>
      </c>
      <c r="F3514" s="2" t="b">
        <v>0</v>
      </c>
      <c r="G3514" s="2" t="s">
        <v>9937</v>
      </c>
      <c r="H3514" s="3" t="str">
        <f>_xlfn.IFNA(INDEX(RulebookFields!C2:C999, MATCH(D3514,RulebookFields!A2:A999, 0)), "")</f>
      </c>
      <c r="I3514" s="3" t="str">
        <f>_xlfn.IFNA(INDEX(RulebookFields!D2:D999, MATCH(D3514,RulebookFields!A2:A999, 0)), "")</f>
      </c>
      <c r="J3514" s="3" t="str">
        <f>_xlfn.IFNA(INDEX(RulebookFields!I2:I999, MATCH(D3514,RulebookFields!A2:A999, 0)), "")</f>
      </c>
      <c r="K3514" s="3" t="b">
        <f>AND(F3514, J3514)</f>
        <v>0</v>
      </c>
      <c r="L3514" s="3" t="b">
        <f>AND(G3514 &lt;&gt; "plain", G3514 &lt;&gt; "")</f>
        <v>0</v>
      </c>
      <c r="M3514" s="3" t="str">
        <f>IF(E3514, C3514 &amp; "|" &amp; H3514, "")</f>
        <v>principal-process-steward|</v>
      </c>
      <c r="N3514" s="2" t="s">
        <v>9938</v>
      </c>
    </row>
    <row r="3515">
      <c r="A3515" s="2" t="s">
        <v>13451</v>
      </c>
      <c r="B3515" s="3" t="str">
        <f>C3515 &amp; " -&gt; " &amp; D3515</f>
        <v>principal-process-steward -&gt; ProcessMiningRuns.ProcedureVersion</v>
      </c>
      <c r="C3515" s="2" t="s">
        <v>9706</v>
      </c>
      <c r="D3515" s="2" t="s">
        <v>5591</v>
      </c>
      <c r="E3515" s="2" t="b">
        <v>1</v>
      </c>
      <c r="F3515" s="2" t="b">
        <v>0</v>
      </c>
      <c r="G3515" s="2" t="s">
        <v>9937</v>
      </c>
      <c r="H3515" s="3" t="str">
        <f>_xlfn.IFNA(INDEX(RulebookFields!C2:C999, MATCH(D3515,RulebookFields!A2:A999, 0)), "")</f>
      </c>
      <c r="I3515" s="3" t="str">
        <f>_xlfn.IFNA(INDEX(RulebookFields!D2:D999, MATCH(D3515,RulebookFields!A2:A999, 0)), "")</f>
      </c>
      <c r="J3515" s="3" t="str">
        <f>_xlfn.IFNA(INDEX(RulebookFields!I2:I999, MATCH(D3515,RulebookFields!A2:A999, 0)), "")</f>
      </c>
      <c r="K3515" s="3" t="b">
        <f>AND(F3515, J3515)</f>
        <v>0</v>
      </c>
      <c r="L3515" s="3" t="b">
        <f>AND(G3515 &lt;&gt; "plain", G3515 &lt;&gt; "")</f>
        <v>0</v>
      </c>
      <c r="M3515" s="3" t="str">
        <f>IF(E3515, C3515 &amp; "|" &amp; H3515, "")</f>
        <v>principal-process-steward|</v>
      </c>
      <c r="N3515" s="2" t="s">
        <v>9938</v>
      </c>
    </row>
    <row r="3516">
      <c r="A3516" s="2" t="s">
        <v>13452</v>
      </c>
      <c r="B3516" s="3" t="str">
        <f>C3516 &amp; " -&gt; " &amp; D3516</f>
        <v>principal-process-steward -&gt; ProcessMiningRuns.EventLogSource</v>
      </c>
      <c r="C3516" s="2" t="s">
        <v>9706</v>
      </c>
      <c r="D3516" s="2" t="s">
        <v>5592</v>
      </c>
      <c r="E3516" s="2" t="b">
        <v>1</v>
      </c>
      <c r="F3516" s="2" t="b">
        <v>0</v>
      </c>
      <c r="G3516" s="2" t="s">
        <v>9937</v>
      </c>
      <c r="H3516" s="3" t="str">
        <f>_xlfn.IFNA(INDEX(RulebookFields!C2:C999, MATCH(D3516,RulebookFields!A2:A999, 0)), "")</f>
      </c>
      <c r="I3516" s="3" t="str">
        <f>_xlfn.IFNA(INDEX(RulebookFields!D2:D999, MATCH(D3516,RulebookFields!A2:A999, 0)), "")</f>
      </c>
      <c r="J3516" s="3" t="str">
        <f>_xlfn.IFNA(INDEX(RulebookFields!I2:I999, MATCH(D3516,RulebookFields!A2:A999, 0)), "")</f>
      </c>
      <c r="K3516" s="3" t="b">
        <f>AND(F3516, J3516)</f>
        <v>0</v>
      </c>
      <c r="L3516" s="3" t="b">
        <f>AND(G3516 &lt;&gt; "plain", G3516 &lt;&gt; "")</f>
        <v>0</v>
      </c>
      <c r="M3516" s="3" t="str">
        <f>IF(E3516, C3516 &amp; "|" &amp; H3516, "")</f>
        <v>principal-process-steward|</v>
      </c>
      <c r="N3516" s="2" t="s">
        <v>9938</v>
      </c>
    </row>
    <row r="3517">
      <c r="A3517" s="2" t="s">
        <v>13453</v>
      </c>
      <c r="B3517" s="3" t="str">
        <f>C3517 &amp; " -&gt; " &amp; D3517</f>
        <v>principal-process-steward -&gt; ProcessMiningRuns.MinedAt</v>
      </c>
      <c r="C3517" s="2" t="s">
        <v>9706</v>
      </c>
      <c r="D3517" s="2" t="s">
        <v>5594</v>
      </c>
      <c r="E3517" s="2" t="b">
        <v>1</v>
      </c>
      <c r="F3517" s="2" t="b">
        <v>0</v>
      </c>
      <c r="G3517" s="2" t="s">
        <v>9937</v>
      </c>
      <c r="H3517" s="3" t="str">
        <f>_xlfn.IFNA(INDEX(RulebookFields!C2:C999, MATCH(D3517,RulebookFields!A2:A999, 0)), "")</f>
      </c>
      <c r="I3517" s="3" t="str">
        <f>_xlfn.IFNA(INDEX(RulebookFields!D2:D999, MATCH(D3517,RulebookFields!A2:A999, 0)), "")</f>
      </c>
      <c r="J3517" s="3" t="str">
        <f>_xlfn.IFNA(INDEX(RulebookFields!I2:I999, MATCH(D3517,RulebookFields!A2:A999, 0)), "")</f>
      </c>
      <c r="K3517" s="3" t="b">
        <f>AND(F3517, J3517)</f>
        <v>0</v>
      </c>
      <c r="L3517" s="3" t="b">
        <f>AND(G3517 &lt;&gt; "plain", G3517 &lt;&gt; "")</f>
        <v>0</v>
      </c>
      <c r="M3517" s="3" t="str">
        <f>IF(E3517, C3517 &amp; "|" &amp; H3517, "")</f>
        <v>principal-process-steward|</v>
      </c>
      <c r="N3517" s="2" t="s">
        <v>9938</v>
      </c>
    </row>
    <row r="3518">
      <c r="A3518" s="2" t="s">
        <v>13454</v>
      </c>
      <c r="B3518" s="3" t="str">
        <f>C3518 &amp; " -&gt; " &amp; D3518</f>
        <v>principal-process-steward -&gt; ProcessMiningRuns.DiscoveredVariantCount</v>
      </c>
      <c r="C3518" s="2" t="s">
        <v>9706</v>
      </c>
      <c r="D3518" s="2" t="s">
        <v>5596</v>
      </c>
      <c r="E3518" s="2" t="b">
        <v>1</v>
      </c>
      <c r="F3518" s="2" t="b">
        <v>0</v>
      </c>
      <c r="G3518" s="2" t="s">
        <v>9937</v>
      </c>
      <c r="H3518" s="3" t="str">
        <f>_xlfn.IFNA(INDEX(RulebookFields!C2:C999, MATCH(D3518,RulebookFields!A2:A999, 0)), "")</f>
      </c>
      <c r="I3518" s="3" t="str">
        <f>_xlfn.IFNA(INDEX(RulebookFields!D2:D999, MATCH(D3518,RulebookFields!A2:A999, 0)), "")</f>
      </c>
      <c r="J3518" s="3" t="str">
        <f>_xlfn.IFNA(INDEX(RulebookFields!I2:I999, MATCH(D3518,RulebookFields!A2:A999, 0)), "")</f>
      </c>
      <c r="K3518" s="3" t="b">
        <f>AND(F3518, J3518)</f>
        <v>0</v>
      </c>
      <c r="L3518" s="3" t="b">
        <f>AND(G3518 &lt;&gt; "plain", G3518 &lt;&gt; "")</f>
        <v>0</v>
      </c>
      <c r="M3518" s="3" t="str">
        <f>IF(E3518, C3518 &amp; "|" &amp; H3518, "")</f>
        <v>principal-process-steward|</v>
      </c>
      <c r="N3518" s="2" t="s">
        <v>9938</v>
      </c>
    </row>
    <row r="3519">
      <c r="A3519" s="2" t="s">
        <v>13455</v>
      </c>
      <c r="B3519" s="3" t="str">
        <f>C3519 &amp; " -&gt; " &amp; D3519</f>
        <v>principal-process-steward -&gt; ProcessMiningRuns.ConformingVariantCount</v>
      </c>
      <c r="C3519" s="2" t="s">
        <v>9706</v>
      </c>
      <c r="D3519" s="2" t="s">
        <v>5598</v>
      </c>
      <c r="E3519" s="2" t="b">
        <v>1</v>
      </c>
      <c r="F3519" s="2" t="b">
        <v>0</v>
      </c>
      <c r="G3519" s="2" t="s">
        <v>9937</v>
      </c>
      <c r="H3519" s="3" t="str">
        <f>_xlfn.IFNA(INDEX(RulebookFields!C2:C999, MATCH(D3519,RulebookFields!A2:A999, 0)), "")</f>
      </c>
      <c r="I3519" s="3" t="str">
        <f>_xlfn.IFNA(INDEX(RulebookFields!D2:D999, MATCH(D3519,RulebookFields!A2:A999, 0)), "")</f>
      </c>
      <c r="J3519" s="3" t="str">
        <f>_xlfn.IFNA(INDEX(RulebookFields!I2:I999, MATCH(D3519,RulebookFields!A2:A999, 0)), "")</f>
      </c>
      <c r="K3519" s="3" t="b">
        <f>AND(F3519, J3519)</f>
        <v>0</v>
      </c>
      <c r="L3519" s="3" t="b">
        <f>AND(G3519 &lt;&gt; "plain", G3519 &lt;&gt; "")</f>
        <v>0</v>
      </c>
      <c r="M3519" s="3" t="str">
        <f>IF(E3519, C3519 &amp; "|" &amp; H3519, "")</f>
        <v>principal-process-steward|</v>
      </c>
      <c r="N3519" s="2" t="s">
        <v>9938</v>
      </c>
    </row>
    <row r="3520">
      <c r="A3520" s="2" t="s">
        <v>13456</v>
      </c>
      <c r="B3520" s="3" t="str">
        <f>C3520 &amp; " -&gt; " &amp; D3520</f>
        <v>principal-process-steward -&gt; ProcessMiningRuns.DeviationDescription</v>
      </c>
      <c r="C3520" s="2" t="s">
        <v>9706</v>
      </c>
      <c r="D3520" s="2" t="s">
        <v>5600</v>
      </c>
      <c r="E3520" s="2" t="b">
        <v>1</v>
      </c>
      <c r="F3520" s="2" t="b">
        <v>0</v>
      </c>
      <c r="G3520" s="2" t="s">
        <v>9937</v>
      </c>
      <c r="H3520" s="3" t="str">
        <f>_xlfn.IFNA(INDEX(RulebookFields!C2:C999, MATCH(D3520,RulebookFields!A2:A999, 0)), "")</f>
      </c>
      <c r="I3520" s="3" t="str">
        <f>_xlfn.IFNA(INDEX(RulebookFields!D2:D999, MATCH(D3520,RulebookFields!A2:A999, 0)), "")</f>
      </c>
      <c r="J3520" s="3" t="str">
        <f>_xlfn.IFNA(INDEX(RulebookFields!I2:I999, MATCH(D3520,RulebookFields!A2:A999, 0)), "")</f>
      </c>
      <c r="K3520" s="3" t="b">
        <f>AND(F3520, J3520)</f>
        <v>0</v>
      </c>
      <c r="L3520" s="3" t="b">
        <f>AND(G3520 &lt;&gt; "plain", G3520 &lt;&gt; "")</f>
        <v>0</v>
      </c>
      <c r="M3520" s="3" t="str">
        <f>IF(E3520, C3520 &amp; "|" &amp; H3520, "")</f>
        <v>principal-process-steward|</v>
      </c>
      <c r="N3520" s="2" t="s">
        <v>9938</v>
      </c>
    </row>
    <row r="3521">
      <c r="A3521" s="2" t="s">
        <v>13457</v>
      </c>
      <c r="B3521" s="3" t="str">
        <f>C3521 &amp; " -&gt; " &amp; D3521</f>
        <v>principal-process-steward -&gt; ProcessMiningRuns.EvaluationContext</v>
      </c>
      <c r="C3521" s="2" t="s">
        <v>9706</v>
      </c>
      <c r="D3521" s="2" t="s">
        <v>5602</v>
      </c>
      <c r="E3521" s="2" t="b">
        <v>1</v>
      </c>
      <c r="F3521" s="2" t="b">
        <v>0</v>
      </c>
      <c r="G3521" s="2" t="s">
        <v>9937</v>
      </c>
      <c r="H3521" s="3" t="str">
        <f>_xlfn.IFNA(INDEX(RulebookFields!C2:C999, MATCH(D3521,RulebookFields!A2:A999, 0)), "")</f>
      </c>
      <c r="I3521" s="3" t="str">
        <f>_xlfn.IFNA(INDEX(RulebookFields!D2:D999, MATCH(D3521,RulebookFields!A2:A999, 0)), "")</f>
      </c>
      <c r="J3521" s="3" t="str">
        <f>_xlfn.IFNA(INDEX(RulebookFields!I2:I999, MATCH(D3521,RulebookFields!A2:A999, 0)), "")</f>
      </c>
      <c r="K3521" s="3" t="b">
        <f>AND(F3521, J3521)</f>
        <v>0</v>
      </c>
      <c r="L3521" s="3" t="b">
        <f>AND(G3521 &lt;&gt; "plain", G3521 &lt;&gt; "")</f>
        <v>0</v>
      </c>
      <c r="M3521" s="3" t="str">
        <f>IF(E3521, C3521 &amp; "|" &amp; H3521, "")</f>
        <v>principal-process-steward|</v>
      </c>
      <c r="N3521" s="2" t="s">
        <v>9938</v>
      </c>
    </row>
    <row r="3522">
      <c r="A3522" s="2" t="s">
        <v>13458</v>
      </c>
      <c r="B3522" s="3" t="str">
        <f>C3522 &amp; " -&gt; " &amp; D3522</f>
        <v>principal-process-steward -&gt; ProcessMiningRuns.AsOfInstant</v>
      </c>
      <c r="C3522" s="2" t="s">
        <v>9706</v>
      </c>
      <c r="D3522" s="2" t="s">
        <v>5603</v>
      </c>
      <c r="E3522" s="2" t="b">
        <v>1</v>
      </c>
      <c r="F3522" s="2" t="b">
        <v>0</v>
      </c>
      <c r="G3522" s="2" t="s">
        <v>9937</v>
      </c>
      <c r="H3522" s="3" t="str">
        <f>_xlfn.IFNA(INDEX(RulebookFields!C2:C999, MATCH(D3522,RulebookFields!A2:A999, 0)), "")</f>
      </c>
      <c r="I3522" s="3" t="str">
        <f>_xlfn.IFNA(INDEX(RulebookFields!D2:D999, MATCH(D3522,RulebookFields!A2:A999, 0)), "")</f>
      </c>
      <c r="J3522" s="3" t="str">
        <f>_xlfn.IFNA(INDEX(RulebookFields!I2:I999, MATCH(D3522,RulebookFields!A2:A999, 0)), "")</f>
      </c>
      <c r="K3522" s="3" t="b">
        <f>AND(F3522, J3522)</f>
        <v>0</v>
      </c>
      <c r="L3522" s="3" t="b">
        <f>AND(G3522 &lt;&gt; "plain", G3522 &lt;&gt; "")</f>
        <v>0</v>
      </c>
      <c r="M3522" s="3" t="str">
        <f>IF(E3522, C3522 &amp; "|" &amp; H3522, "")</f>
        <v>principal-process-steward|</v>
      </c>
      <c r="N3522" s="2" t="s">
        <v>9938</v>
      </c>
    </row>
    <row r="3523">
      <c r="A3523" s="2" t="s">
        <v>13459</v>
      </c>
      <c r="B3523" s="3" t="str">
        <f>C3523 &amp; " -&gt; " &amp; D3523</f>
        <v>principal-process-steward -&gt; ProcessMiningRuns.ConformanceRate</v>
      </c>
      <c r="C3523" s="2" t="s">
        <v>9706</v>
      </c>
      <c r="D3523" s="2" t="s">
        <v>5604</v>
      </c>
      <c r="E3523" s="2" t="b">
        <v>1</v>
      </c>
      <c r="F3523" s="2" t="b">
        <v>0</v>
      </c>
      <c r="G3523" s="2" t="s">
        <v>9937</v>
      </c>
      <c r="H3523" s="3" t="str">
        <f>_xlfn.IFNA(INDEX(RulebookFields!C2:C999, MATCH(D3523,RulebookFields!A2:A999, 0)), "")</f>
      </c>
      <c r="I3523" s="3" t="str">
        <f>_xlfn.IFNA(INDEX(RulebookFields!D2:D999, MATCH(D3523,RulebookFields!A2:A999, 0)), "")</f>
      </c>
      <c r="J3523" s="3" t="str">
        <f>_xlfn.IFNA(INDEX(RulebookFields!I2:I999, MATCH(D3523,RulebookFields!A2:A999, 0)), "")</f>
      </c>
      <c r="K3523" s="3" t="b">
        <f>AND(F3523, J3523)</f>
        <v>0</v>
      </c>
      <c r="L3523" s="3" t="b">
        <f>AND(G3523 &lt;&gt; "plain", G3523 &lt;&gt; "")</f>
        <v>0</v>
      </c>
      <c r="M3523" s="3" t="str">
        <f>IF(E3523, C3523 &amp; "|" &amp; H3523, "")</f>
        <v>principal-process-steward|</v>
      </c>
      <c r="N3523" s="2" t="s">
        <v>9938</v>
      </c>
    </row>
    <row r="3524">
      <c r="A3524" s="2" t="s">
        <v>13460</v>
      </c>
      <c r="B3524" s="3" t="str">
        <f>C3524 &amp; " -&gt; " &amp; D3524</f>
        <v>principal-process-steward -&gt; ProcessMiningRuns.IsConformant</v>
      </c>
      <c r="C3524" s="2" t="s">
        <v>9706</v>
      </c>
      <c r="D3524" s="2" t="s">
        <v>5607</v>
      </c>
      <c r="E3524" s="2" t="b">
        <v>1</v>
      </c>
      <c r="F3524" s="2" t="b">
        <v>0</v>
      </c>
      <c r="G3524" s="2" t="s">
        <v>9937</v>
      </c>
      <c r="H3524" s="3" t="str">
        <f>_xlfn.IFNA(INDEX(RulebookFields!C2:C999, MATCH(D3524,RulebookFields!A2:A999, 0)), "")</f>
      </c>
      <c r="I3524" s="3" t="str">
        <f>_xlfn.IFNA(INDEX(RulebookFields!D2:D999, MATCH(D3524,RulebookFields!A2:A999, 0)), "")</f>
      </c>
      <c r="J3524" s="3" t="str">
        <f>_xlfn.IFNA(INDEX(RulebookFields!I2:I999, MATCH(D3524,RulebookFields!A2:A999, 0)), "")</f>
      </c>
      <c r="K3524" s="3" t="b">
        <f>AND(F3524, J3524)</f>
        <v>0</v>
      </c>
      <c r="L3524" s="3" t="b">
        <f>AND(G3524 &lt;&gt; "plain", G3524 &lt;&gt; "")</f>
        <v>0</v>
      </c>
      <c r="M3524" s="3" t="str">
        <f>IF(E3524, C3524 &amp; "|" &amp; H3524, "")</f>
        <v>principal-process-steward|</v>
      </c>
      <c r="N3524" s="2" t="s">
        <v>9938</v>
      </c>
    </row>
    <row r="3525">
      <c r="A3525" s="2" t="s">
        <v>13461</v>
      </c>
      <c r="B3525" s="3" t="str">
        <f>C3525 &amp; " -&gt; " &amp; D3525</f>
        <v>principal-process-steward -&gt; ProcessMiningRuns.HasMajorDriftFromDocumentation</v>
      </c>
      <c r="C3525" s="2" t="s">
        <v>9706</v>
      </c>
      <c r="D3525" s="2" t="s">
        <v>5610</v>
      </c>
      <c r="E3525" s="2" t="b">
        <v>1</v>
      </c>
      <c r="F3525" s="2" t="b">
        <v>0</v>
      </c>
      <c r="G3525" s="2" t="s">
        <v>9937</v>
      </c>
      <c r="H3525" s="3" t="str">
        <f>_xlfn.IFNA(INDEX(RulebookFields!C2:C999, MATCH(D3525,RulebookFields!A2:A999, 0)), "")</f>
      </c>
      <c r="I3525" s="3" t="str">
        <f>_xlfn.IFNA(INDEX(RulebookFields!D2:D999, MATCH(D3525,RulebookFields!A2:A999, 0)), "")</f>
      </c>
      <c r="J3525" s="3" t="str">
        <f>_xlfn.IFNA(INDEX(RulebookFields!I2:I999, MATCH(D3525,RulebookFields!A2:A999, 0)), "")</f>
      </c>
      <c r="K3525" s="3" t="b">
        <f>AND(F3525, J3525)</f>
        <v>0</v>
      </c>
      <c r="L3525" s="3" t="b">
        <f>AND(G3525 &lt;&gt; "plain", G3525 &lt;&gt; "")</f>
        <v>0</v>
      </c>
      <c r="M3525" s="3" t="str">
        <f>IF(E3525, C3525 &amp; "|" &amp; H3525, "")</f>
        <v>principal-process-steward|</v>
      </c>
      <c r="N3525" s="2" t="s">
        <v>9938</v>
      </c>
    </row>
    <row r="3526">
      <c r="A3526" s="2" t="s">
        <v>13462</v>
      </c>
      <c r="B3526" s="3" t="str">
        <f>C3526 &amp; " -&gt; " &amp; D3526</f>
        <v>principal-process-steward -&gt; ProcessMiningRuns.DaysSinceMined</v>
      </c>
      <c r="C3526" s="2" t="s">
        <v>9706</v>
      </c>
      <c r="D3526" s="2" t="s">
        <v>5613</v>
      </c>
      <c r="E3526" s="2" t="b">
        <v>1</v>
      </c>
      <c r="F3526" s="2" t="b">
        <v>0</v>
      </c>
      <c r="G3526" s="2" t="s">
        <v>9937</v>
      </c>
      <c r="H3526" s="3" t="str">
        <f>_xlfn.IFNA(INDEX(RulebookFields!C2:C999, MATCH(D3526,RulebookFields!A2:A999, 0)), "")</f>
      </c>
      <c r="I3526" s="3" t="str">
        <f>_xlfn.IFNA(INDEX(RulebookFields!D2:D999, MATCH(D3526,RulebookFields!A2:A999, 0)), "")</f>
      </c>
      <c r="J3526" s="3" t="str">
        <f>_xlfn.IFNA(INDEX(RulebookFields!I2:I999, MATCH(D3526,RulebookFields!A2:A999, 0)), "")</f>
      </c>
      <c r="K3526" s="3" t="b">
        <f>AND(F3526, J3526)</f>
        <v>0</v>
      </c>
      <c r="L3526" s="3" t="b">
        <f>AND(G3526 &lt;&gt; "plain", G3526 &lt;&gt; "")</f>
        <v>0</v>
      </c>
      <c r="M3526" s="3" t="str">
        <f>IF(E3526, C3526 &amp; "|" &amp; H3526, "")</f>
        <v>principal-process-steward|</v>
      </c>
      <c r="N3526" s="2" t="s">
        <v>9938</v>
      </c>
    </row>
    <row r="3527">
      <c r="A3527" s="2" t="s">
        <v>13463</v>
      </c>
      <c r="B3527" s="3" t="str">
        <f>C3527 &amp; " -&gt; " &amp; D3527</f>
        <v>principal-process-steward -&gt; ProcessMiningRuns.IsStaleMiningEvidence</v>
      </c>
      <c r="C3527" s="2" t="s">
        <v>9706</v>
      </c>
      <c r="D3527" s="2" t="s">
        <v>5616</v>
      </c>
      <c r="E3527" s="2" t="b">
        <v>1</v>
      </c>
      <c r="F3527" s="2" t="b">
        <v>0</v>
      </c>
      <c r="G3527" s="2" t="s">
        <v>9937</v>
      </c>
      <c r="H3527" s="3" t="str">
        <f>_xlfn.IFNA(INDEX(RulebookFields!C2:C999, MATCH(D3527,RulebookFields!A2:A999, 0)), "")</f>
      </c>
      <c r="I3527" s="3" t="str">
        <f>_xlfn.IFNA(INDEX(RulebookFields!D2:D999, MATCH(D3527,RulebookFields!A2:A999, 0)), "")</f>
      </c>
      <c r="J3527" s="3" t="str">
        <f>_xlfn.IFNA(INDEX(RulebookFields!I2:I999, MATCH(D3527,RulebookFields!A2:A999, 0)), "")</f>
      </c>
      <c r="K3527" s="3" t="b">
        <f>AND(F3527, J3527)</f>
        <v>0</v>
      </c>
      <c r="L3527" s="3" t="b">
        <f>AND(G3527 &lt;&gt; "plain", G3527 &lt;&gt; "")</f>
        <v>0</v>
      </c>
      <c r="M3527" s="3" t="str">
        <f>IF(E3527, C3527 &amp; "|" &amp; H3527, "")</f>
        <v>principal-process-steward|</v>
      </c>
      <c r="N3527" s="2" t="s">
        <v>9938</v>
      </c>
    </row>
    <row r="3528">
      <c r="A3528" s="2" t="s">
        <v>13464</v>
      </c>
      <c r="B3528" s="3" t="str">
        <f>C3528 &amp; " -&gt; " &amp; D3528</f>
        <v>principal-process-steward -&gt; ProcessMiningRuns.ProcedureVersionIsLive</v>
      </c>
      <c r="C3528" s="2" t="s">
        <v>9706</v>
      </c>
      <c r="D3528" s="2" t="s">
        <v>5619</v>
      </c>
      <c r="E3528" s="2" t="b">
        <v>1</v>
      </c>
      <c r="F3528" s="2" t="b">
        <v>0</v>
      </c>
      <c r="G3528" s="2" t="s">
        <v>9937</v>
      </c>
      <c r="H3528" s="3" t="str">
        <f>_xlfn.IFNA(INDEX(RulebookFields!C2:C999, MATCH(D3528,RulebookFields!A2:A999, 0)), "")</f>
      </c>
      <c r="I3528" s="3" t="str">
        <f>_xlfn.IFNA(INDEX(RulebookFields!D2:D999, MATCH(D3528,RulebookFields!A2:A999, 0)), "")</f>
      </c>
      <c r="J3528" s="3" t="str">
        <f>_xlfn.IFNA(INDEX(RulebookFields!I2:I999, MATCH(D3528,RulebookFields!A2:A999, 0)), "")</f>
      </c>
      <c r="K3528" s="3" t="b">
        <f>AND(F3528, J3528)</f>
        <v>0</v>
      </c>
      <c r="L3528" s="3" t="b">
        <f>AND(G3528 &lt;&gt; "plain", G3528 &lt;&gt; "")</f>
        <v>0</v>
      </c>
      <c r="M3528" s="3" t="str">
        <f>IF(E3528, C3528 &amp; "|" &amp; H3528, "")</f>
        <v>principal-process-steward|</v>
      </c>
      <c r="N3528" s="2" t="s">
        <v>9938</v>
      </c>
    </row>
    <row r="3529">
      <c r="A3529" s="2" t="s">
        <v>13465</v>
      </c>
      <c r="B3529" s="3" t="str">
        <f>C3529 &amp; " -&gt; " &amp; D3529</f>
        <v>principal-process-steward -&gt; ProcessMiningRuns.IsDriftOnLiveVersion</v>
      </c>
      <c r="C3529" s="2" t="s">
        <v>9706</v>
      </c>
      <c r="D3529" s="2" t="s">
        <v>5621</v>
      </c>
      <c r="E3529" s="2" t="b">
        <v>1</v>
      </c>
      <c r="F3529" s="2" t="b">
        <v>0</v>
      </c>
      <c r="G3529" s="2" t="s">
        <v>9937</v>
      </c>
      <c r="H3529" s="3" t="str">
        <f>_xlfn.IFNA(INDEX(RulebookFields!C2:C999, MATCH(D3529,RulebookFields!A2:A999, 0)), "")</f>
      </c>
      <c r="I3529" s="3" t="str">
        <f>_xlfn.IFNA(INDEX(RulebookFields!D2:D999, MATCH(D3529,RulebookFields!A2:A999, 0)), "")</f>
      </c>
      <c r="J3529" s="3" t="str">
        <f>_xlfn.IFNA(INDEX(RulebookFields!I2:I999, MATCH(D3529,RulebookFields!A2:A999, 0)), "")</f>
      </c>
      <c r="K3529" s="3" t="b">
        <f>AND(F3529, J3529)</f>
        <v>0</v>
      </c>
      <c r="L3529" s="3" t="b">
        <f>AND(G3529 &lt;&gt; "plain", G3529 &lt;&gt; "")</f>
        <v>0</v>
      </c>
      <c r="M3529" s="3" t="str">
        <f>IF(E3529, C3529 &amp; "|" &amp; H3529, "")</f>
        <v>principal-process-steward|</v>
      </c>
      <c r="N3529" s="2" t="s">
        <v>9938</v>
      </c>
    </row>
    <row r="3530">
      <c r="A3530" s="2" t="s">
        <v>13466</v>
      </c>
      <c r="B3530" s="3" t="str">
        <f>C3530 &amp; " -&gt; " &amp; D3530</f>
        <v>principal-process-steward -&gt; ProcessMiningRuns.DriftedMiningRunKey</v>
      </c>
      <c r="C3530" s="2" t="s">
        <v>9706</v>
      </c>
      <c r="D3530" s="2" t="s">
        <v>5624</v>
      </c>
      <c r="E3530" s="2" t="b">
        <v>1</v>
      </c>
      <c r="F3530" s="2" t="b">
        <v>0</v>
      </c>
      <c r="G3530" s="2" t="s">
        <v>9937</v>
      </c>
      <c r="H3530" s="3" t="str">
        <f>_xlfn.IFNA(INDEX(RulebookFields!C2:C999, MATCH(D3530,RulebookFields!A2:A999, 0)), "")</f>
      </c>
      <c r="I3530" s="3" t="str">
        <f>_xlfn.IFNA(INDEX(RulebookFields!D2:D999, MATCH(D3530,RulebookFields!A2:A999, 0)), "")</f>
      </c>
      <c r="J3530" s="3" t="str">
        <f>_xlfn.IFNA(INDEX(RulebookFields!I2:I999, MATCH(D3530,RulebookFields!A2:A999, 0)), "")</f>
      </c>
      <c r="K3530" s="3" t="b">
        <f>AND(F3530, J3530)</f>
        <v>0</v>
      </c>
      <c r="L3530" s="3" t="b">
        <f>AND(G3530 &lt;&gt; "plain", G3530 &lt;&gt; "")</f>
        <v>0</v>
      </c>
      <c r="M3530" s="3" t="str">
        <f>IF(E3530, C3530 &amp; "|" &amp; H3530, "")</f>
        <v>principal-process-steward|</v>
      </c>
      <c r="N3530" s="2" t="s">
        <v>9938</v>
      </c>
    </row>
    <row r="3531">
      <c r="A3531" s="2" t="s">
        <v>13467</v>
      </c>
      <c r="B3531" s="3" t="str">
        <f>C3531 &amp; " -&gt; " &amp; D3531</f>
        <v>principal-process-steward -&gt; ProcessMiningRuns.SemanticTypeIri</v>
      </c>
      <c r="C3531" s="2" t="s">
        <v>9706</v>
      </c>
      <c r="D3531" s="2" t="s">
        <v>5627</v>
      </c>
      <c r="E3531" s="2" t="b">
        <v>1</v>
      </c>
      <c r="F3531" s="2" t="b">
        <v>0</v>
      </c>
      <c r="G3531" s="2" t="s">
        <v>9937</v>
      </c>
      <c r="H3531" s="3" t="str">
        <f>_xlfn.IFNA(INDEX(RulebookFields!C2:C999, MATCH(D3531,RulebookFields!A2:A999, 0)), "")</f>
      </c>
      <c r="I3531" s="3" t="str">
        <f>_xlfn.IFNA(INDEX(RulebookFields!D2:D999, MATCH(D3531,RulebookFields!A2:A999, 0)), "")</f>
      </c>
      <c r="J3531" s="3" t="str">
        <f>_xlfn.IFNA(INDEX(RulebookFields!I2:I999, MATCH(D3531,RulebookFields!A2:A999, 0)), "")</f>
      </c>
      <c r="K3531" s="3" t="b">
        <f>AND(F3531, J3531)</f>
        <v>0</v>
      </c>
      <c r="L3531" s="3" t="b">
        <f>AND(G3531 &lt;&gt; "plain", G3531 &lt;&gt; "")</f>
        <v>0</v>
      </c>
      <c r="M3531" s="3" t="str">
        <f>IF(E3531, C3531 &amp; "|" &amp; H3531, "")</f>
        <v>principal-process-steward|</v>
      </c>
      <c r="N3531" s="2" t="s">
        <v>9938</v>
      </c>
    </row>
    <row r="3532">
      <c r="A3532" s="2" t="s">
        <v>13468</v>
      </c>
      <c r="B3532" s="3" t="str">
        <f>C3532 &amp; " -&gt; " &amp; D3532</f>
        <v>principal-process-steward -&gt; Vocabularies.VocabularyId</v>
      </c>
      <c r="C3532" s="2" t="s">
        <v>9706</v>
      </c>
      <c r="D3532" s="2" t="s">
        <v>5628</v>
      </c>
      <c r="E3532" s="2" t="b">
        <v>1</v>
      </c>
      <c r="F3532" s="2" t="b">
        <v>0</v>
      </c>
      <c r="G3532" s="2" t="s">
        <v>9937</v>
      </c>
      <c r="H3532" s="3" t="str">
        <f>_xlfn.IFNA(INDEX(RulebookFields!C2:C999, MATCH(D3532,RulebookFields!A2:A999, 0)), "")</f>
      </c>
      <c r="I3532" s="3" t="str">
        <f>_xlfn.IFNA(INDEX(RulebookFields!D2:D999, MATCH(D3532,RulebookFields!A2:A999, 0)), "")</f>
      </c>
      <c r="J3532" s="3" t="str">
        <f>_xlfn.IFNA(INDEX(RulebookFields!I2:I999, MATCH(D3532,RulebookFields!A2:A999, 0)), "")</f>
      </c>
      <c r="K3532" s="3" t="b">
        <f>AND(F3532, J3532)</f>
        <v>0</v>
      </c>
      <c r="L3532" s="3" t="b">
        <f>AND(G3532 &lt;&gt; "plain", G3532 &lt;&gt; "")</f>
        <v>0</v>
      </c>
      <c r="M3532" s="3" t="str">
        <f>IF(E3532, C3532 &amp; "|" &amp; H3532, "")</f>
        <v>principal-process-steward|</v>
      </c>
      <c r="N3532" s="2" t="s">
        <v>9938</v>
      </c>
    </row>
    <row r="3533">
      <c r="A3533" s="2" t="s">
        <v>13469</v>
      </c>
      <c r="B3533" s="3" t="str">
        <f>C3533 &amp; " -&gt; " &amp; D3533</f>
        <v>principal-process-steward -&gt; Vocabularies.Name</v>
      </c>
      <c r="C3533" s="2" t="s">
        <v>9706</v>
      </c>
      <c r="D3533" s="2" t="s">
        <v>5630</v>
      </c>
      <c r="E3533" s="2" t="b">
        <v>1</v>
      </c>
      <c r="F3533" s="2" t="b">
        <v>0</v>
      </c>
      <c r="G3533" s="2" t="s">
        <v>9937</v>
      </c>
      <c r="H3533" s="3" t="str">
        <f>_xlfn.IFNA(INDEX(RulebookFields!C2:C999, MATCH(D3533,RulebookFields!A2:A999, 0)), "")</f>
      </c>
      <c r="I3533" s="3" t="str">
        <f>_xlfn.IFNA(INDEX(RulebookFields!D2:D999, MATCH(D3533,RulebookFields!A2:A999, 0)), "")</f>
      </c>
      <c r="J3533" s="3" t="str">
        <f>_xlfn.IFNA(INDEX(RulebookFields!I2:I999, MATCH(D3533,RulebookFields!A2:A999, 0)), "")</f>
      </c>
      <c r="K3533" s="3" t="b">
        <f>AND(F3533, J3533)</f>
        <v>0</v>
      </c>
      <c r="L3533" s="3" t="b">
        <f>AND(G3533 &lt;&gt; "plain", G3533 &lt;&gt; "")</f>
        <v>0</v>
      </c>
      <c r="M3533" s="3" t="str">
        <f>IF(E3533, C3533 &amp; "|" &amp; H3533, "")</f>
        <v>principal-process-steward|</v>
      </c>
      <c r="N3533" s="2" t="s">
        <v>9938</v>
      </c>
    </row>
    <row r="3534">
      <c r="A3534" s="2" t="s">
        <v>13470</v>
      </c>
      <c r="B3534" s="3" t="str">
        <f>C3534 &amp; " -&gt; " &amp; D3534</f>
        <v>principal-process-steward -&gt; Vocabularies.Title</v>
      </c>
      <c r="C3534" s="2" t="s">
        <v>9706</v>
      </c>
      <c r="D3534" s="2" t="s">
        <v>5631</v>
      </c>
      <c r="E3534" s="2" t="b">
        <v>1</v>
      </c>
      <c r="F3534" s="2" t="b">
        <v>0</v>
      </c>
      <c r="G3534" s="2" t="s">
        <v>9937</v>
      </c>
      <c r="H3534" s="3" t="str">
        <f>_xlfn.IFNA(INDEX(RulebookFields!C2:C999, MATCH(D3534,RulebookFields!A2:A999, 0)), "")</f>
      </c>
      <c r="I3534" s="3" t="str">
        <f>_xlfn.IFNA(INDEX(RulebookFields!D2:D999, MATCH(D3534,RulebookFields!A2:A999, 0)), "")</f>
      </c>
      <c r="J3534" s="3" t="str">
        <f>_xlfn.IFNA(INDEX(RulebookFields!I2:I999, MATCH(D3534,RulebookFields!A2:A999, 0)), "")</f>
      </c>
      <c r="K3534" s="3" t="b">
        <f>AND(F3534, J3534)</f>
        <v>0</v>
      </c>
      <c r="L3534" s="3" t="b">
        <f>AND(G3534 &lt;&gt; "plain", G3534 &lt;&gt; "")</f>
        <v>0</v>
      </c>
      <c r="M3534" s="3" t="str">
        <f>IF(E3534, C3534 &amp; "|" &amp; H3534, "")</f>
        <v>principal-process-steward|</v>
      </c>
      <c r="N3534" s="2" t="s">
        <v>9938</v>
      </c>
    </row>
    <row r="3535">
      <c r="A3535" s="2" t="s">
        <v>13471</v>
      </c>
      <c r="B3535" s="3" t="str">
        <f>C3535 &amp; " -&gt; " &amp; D3535</f>
        <v>principal-process-steward -&gt; Vocabularies.SchemeUri</v>
      </c>
      <c r="C3535" s="2" t="s">
        <v>9706</v>
      </c>
      <c r="D3535" s="2" t="s">
        <v>5632</v>
      </c>
      <c r="E3535" s="2" t="b">
        <v>1</v>
      </c>
      <c r="F3535" s="2" t="b">
        <v>0</v>
      </c>
      <c r="G3535" s="2" t="s">
        <v>9937</v>
      </c>
      <c r="H3535" s="3" t="str">
        <f>_xlfn.IFNA(INDEX(RulebookFields!C2:C999, MATCH(D3535,RulebookFields!A2:A999, 0)), "")</f>
      </c>
      <c r="I3535" s="3" t="str">
        <f>_xlfn.IFNA(INDEX(RulebookFields!D2:D999, MATCH(D3535,RulebookFields!A2:A999, 0)), "")</f>
      </c>
      <c r="J3535" s="3" t="str">
        <f>_xlfn.IFNA(INDEX(RulebookFields!I2:I999, MATCH(D3535,RulebookFields!A2:A999, 0)), "")</f>
      </c>
      <c r="K3535" s="3" t="b">
        <f>AND(F3535, J3535)</f>
        <v>0</v>
      </c>
      <c r="L3535" s="3" t="b">
        <f>AND(G3535 &lt;&gt; "plain", G3535 &lt;&gt; "")</f>
        <v>0</v>
      </c>
      <c r="M3535" s="3" t="str">
        <f>IF(E3535, C3535 &amp; "|" &amp; H3535, "")</f>
        <v>principal-process-steward|</v>
      </c>
      <c r="N3535" s="2" t="s">
        <v>9938</v>
      </c>
    </row>
    <row r="3536">
      <c r="A3536" s="2" t="s">
        <v>13472</v>
      </c>
      <c r="B3536" s="3" t="str">
        <f>C3536 &amp; " -&gt; " &amp; D3536</f>
        <v>principal-process-steward -&gt; Vocabularies.GoverningRole</v>
      </c>
      <c r="C3536" s="2" t="s">
        <v>9706</v>
      </c>
      <c r="D3536" s="2" t="s">
        <v>5634</v>
      </c>
      <c r="E3536" s="2" t="b">
        <v>1</v>
      </c>
      <c r="F3536" s="2" t="b">
        <v>0</v>
      </c>
      <c r="G3536" s="2" t="s">
        <v>9937</v>
      </c>
      <c r="H3536" s="3" t="str">
        <f>_xlfn.IFNA(INDEX(RulebookFields!C2:C999, MATCH(D3536,RulebookFields!A2:A999, 0)), "")</f>
      </c>
      <c r="I3536" s="3" t="str">
        <f>_xlfn.IFNA(INDEX(RulebookFields!D2:D999, MATCH(D3536,RulebookFields!A2:A999, 0)), "")</f>
      </c>
      <c r="J3536" s="3" t="str">
        <f>_xlfn.IFNA(INDEX(RulebookFields!I2:I999, MATCH(D3536,RulebookFields!A2:A999, 0)), "")</f>
      </c>
      <c r="K3536" s="3" t="b">
        <f>AND(F3536, J3536)</f>
        <v>0</v>
      </c>
      <c r="L3536" s="3" t="b">
        <f>AND(G3536 &lt;&gt; "plain", G3536 &lt;&gt; "")</f>
        <v>0</v>
      </c>
      <c r="M3536" s="3" t="str">
        <f>IF(E3536, C3536 &amp; "|" &amp; H3536, "")</f>
        <v>principal-process-steward|</v>
      </c>
      <c r="N3536" s="2" t="s">
        <v>9938</v>
      </c>
    </row>
    <row r="3537">
      <c r="A3537" s="2" t="s">
        <v>13473</v>
      </c>
      <c r="B3537" s="3" t="str">
        <f>C3537 &amp; " -&gt; " &amp; D3537</f>
        <v>principal-process-steward -&gt; Vocabularies.TermCount</v>
      </c>
      <c r="C3537" s="2" t="s">
        <v>9706</v>
      </c>
      <c r="D3537" s="2" t="s">
        <v>5636</v>
      </c>
      <c r="E3537" s="2" t="b">
        <v>1</v>
      </c>
      <c r="F3537" s="2" t="b">
        <v>0</v>
      </c>
      <c r="G3537" s="2" t="s">
        <v>9937</v>
      </c>
      <c r="H3537" s="3" t="str">
        <f>_xlfn.IFNA(INDEX(RulebookFields!C2:C999, MATCH(D3537,RulebookFields!A2:A999, 0)), "")</f>
      </c>
      <c r="I3537" s="3" t="str">
        <f>_xlfn.IFNA(INDEX(RulebookFields!D2:D999, MATCH(D3537,RulebookFields!A2:A999, 0)), "")</f>
      </c>
      <c r="J3537" s="3" t="str">
        <f>_xlfn.IFNA(INDEX(RulebookFields!I2:I999, MATCH(D3537,RulebookFields!A2:A999, 0)), "")</f>
      </c>
      <c r="K3537" s="3" t="b">
        <f>AND(F3537, J3537)</f>
        <v>0</v>
      </c>
      <c r="L3537" s="3" t="b">
        <f>AND(G3537 &lt;&gt; "plain", G3537 &lt;&gt; "")</f>
        <v>0</v>
      </c>
      <c r="M3537" s="3" t="str">
        <f>IF(E3537, C3537 &amp; "|" &amp; H3537, "")</f>
        <v>principal-process-steward|</v>
      </c>
      <c r="N3537" s="2" t="s">
        <v>9938</v>
      </c>
    </row>
    <row r="3538">
      <c r="A3538" s="2" t="s">
        <v>13474</v>
      </c>
      <c r="B3538" s="3" t="str">
        <f>C3538 &amp; " -&gt; " &amp; D3538</f>
        <v>principal-process-steward -&gt; Vocabularies.OrphanTermCount</v>
      </c>
      <c r="C3538" s="2" t="s">
        <v>9706</v>
      </c>
      <c r="D3538" s="2" t="s">
        <v>5639</v>
      </c>
      <c r="E3538" s="2" t="b">
        <v>1</v>
      </c>
      <c r="F3538" s="2" t="b">
        <v>0</v>
      </c>
      <c r="G3538" s="2" t="s">
        <v>9937</v>
      </c>
      <c r="H3538" s="3" t="str">
        <f>_xlfn.IFNA(INDEX(RulebookFields!C2:C999, MATCH(D3538,RulebookFields!A2:A999, 0)), "")</f>
      </c>
      <c r="I3538" s="3" t="str">
        <f>_xlfn.IFNA(INDEX(RulebookFields!D2:D999, MATCH(D3538,RulebookFields!A2:A999, 0)), "")</f>
      </c>
      <c r="J3538" s="3" t="str">
        <f>_xlfn.IFNA(INDEX(RulebookFields!I2:I999, MATCH(D3538,RulebookFields!A2:A999, 0)), "")</f>
      </c>
      <c r="K3538" s="3" t="b">
        <f>AND(F3538, J3538)</f>
        <v>0</v>
      </c>
      <c r="L3538" s="3" t="b">
        <f>AND(G3538 &lt;&gt; "plain", G3538 &lt;&gt; "")</f>
        <v>0</v>
      </c>
      <c r="M3538" s="3" t="str">
        <f>IF(E3538, C3538 &amp; "|" &amp; H3538, "")</f>
        <v>principal-process-steward|</v>
      </c>
      <c r="N3538" s="2" t="s">
        <v>9938</v>
      </c>
    </row>
    <row r="3539">
      <c r="A3539" s="2" t="s">
        <v>13475</v>
      </c>
      <c r="B3539" s="3" t="str">
        <f>C3539 &amp; " -&gt; " &amp; D3539</f>
        <v>principal-process-steward -&gt; Vocabularies.HasOrphanTerms</v>
      </c>
      <c r="C3539" s="2" t="s">
        <v>9706</v>
      </c>
      <c r="D3539" s="2" t="s">
        <v>5642</v>
      </c>
      <c r="E3539" s="2" t="b">
        <v>1</v>
      </c>
      <c r="F3539" s="2" t="b">
        <v>0</v>
      </c>
      <c r="G3539" s="2" t="s">
        <v>9937</v>
      </c>
      <c r="H3539" s="3" t="str">
        <f>_xlfn.IFNA(INDEX(RulebookFields!C2:C999, MATCH(D3539,RulebookFields!A2:A999, 0)), "")</f>
      </c>
      <c r="I3539" s="3" t="str">
        <f>_xlfn.IFNA(INDEX(RulebookFields!D2:D999, MATCH(D3539,RulebookFields!A2:A999, 0)), "")</f>
      </c>
      <c r="J3539" s="3" t="str">
        <f>_xlfn.IFNA(INDEX(RulebookFields!I2:I999, MATCH(D3539,RulebookFields!A2:A999, 0)), "")</f>
      </c>
      <c r="K3539" s="3" t="b">
        <f>AND(F3539, J3539)</f>
        <v>0</v>
      </c>
      <c r="L3539" s="3" t="b">
        <f>AND(G3539 &lt;&gt; "plain", G3539 &lt;&gt; "")</f>
        <v>0</v>
      </c>
      <c r="M3539" s="3" t="str">
        <f>IF(E3539, C3539 &amp; "|" &amp; H3539, "")</f>
        <v>principal-process-steward|</v>
      </c>
      <c r="N3539" s="2" t="s">
        <v>9938</v>
      </c>
    </row>
    <row r="3540">
      <c r="A3540" s="2" t="s">
        <v>13476</v>
      </c>
      <c r="B3540" s="3" t="str">
        <f>C3540 &amp; " -&gt; " &amp; D3540</f>
        <v>principal-process-steward -&gt; Vocabularies.SemanticTypeIri</v>
      </c>
      <c r="C3540" s="2" t="s">
        <v>9706</v>
      </c>
      <c r="D3540" s="2" t="s">
        <v>5645</v>
      </c>
      <c r="E3540" s="2" t="b">
        <v>1</v>
      </c>
      <c r="F3540" s="2" t="b">
        <v>0</v>
      </c>
      <c r="G3540" s="2" t="s">
        <v>9937</v>
      </c>
      <c r="H3540" s="3" t="str">
        <f>_xlfn.IFNA(INDEX(RulebookFields!C2:C999, MATCH(D3540,RulebookFields!A2:A999, 0)), "")</f>
      </c>
      <c r="I3540" s="3" t="str">
        <f>_xlfn.IFNA(INDEX(RulebookFields!D2:D999, MATCH(D3540,RulebookFields!A2:A999, 0)), "")</f>
      </c>
      <c r="J3540" s="3" t="str">
        <f>_xlfn.IFNA(INDEX(RulebookFields!I2:I999, MATCH(D3540,RulebookFields!A2:A999, 0)), "")</f>
      </c>
      <c r="K3540" s="3" t="b">
        <f>AND(F3540, J3540)</f>
        <v>0</v>
      </c>
      <c r="L3540" s="3" t="b">
        <f>AND(G3540 &lt;&gt; "plain", G3540 &lt;&gt; "")</f>
        <v>0</v>
      </c>
      <c r="M3540" s="3" t="str">
        <f>IF(E3540, C3540 &amp; "|" &amp; H3540, "")</f>
        <v>principal-process-steward|</v>
      </c>
      <c r="N3540" s="2" t="s">
        <v>9938</v>
      </c>
    </row>
    <row r="3541">
      <c r="A3541" s="2" t="s">
        <v>13477</v>
      </c>
      <c r="B3541" s="3" t="str">
        <f>C3541 &amp; " -&gt; " &amp; D3541</f>
        <v>principal-process-steward -&gt; VocabularyTerms.VocabularyTermId</v>
      </c>
      <c r="C3541" s="2" t="s">
        <v>9706</v>
      </c>
      <c r="D3541" s="2" t="s">
        <v>5646</v>
      </c>
      <c r="E3541" s="2" t="b">
        <v>1</v>
      </c>
      <c r="F3541" s="2" t="b">
        <v>0</v>
      </c>
      <c r="G3541" s="2" t="s">
        <v>9937</v>
      </c>
      <c r="H3541" s="3" t="str">
        <f>_xlfn.IFNA(INDEX(RulebookFields!C2:C999, MATCH(D3541,RulebookFields!A2:A999, 0)), "")</f>
      </c>
      <c r="I3541" s="3" t="str">
        <f>_xlfn.IFNA(INDEX(RulebookFields!D2:D999, MATCH(D3541,RulebookFields!A2:A999, 0)), "")</f>
      </c>
      <c r="J3541" s="3" t="str">
        <f>_xlfn.IFNA(INDEX(RulebookFields!I2:I999, MATCH(D3541,RulebookFields!A2:A999, 0)), "")</f>
      </c>
      <c r="K3541" s="3" t="b">
        <f>AND(F3541, J3541)</f>
        <v>0</v>
      </c>
      <c r="L3541" s="3" t="b">
        <f>AND(G3541 &lt;&gt; "plain", G3541 &lt;&gt; "")</f>
        <v>0</v>
      </c>
      <c r="M3541" s="3" t="str">
        <f>IF(E3541, C3541 &amp; "|" &amp; H3541, "")</f>
        <v>principal-process-steward|</v>
      </c>
      <c r="N3541" s="2" t="s">
        <v>9938</v>
      </c>
    </row>
    <row r="3542">
      <c r="A3542" s="2" t="s">
        <v>13478</v>
      </c>
      <c r="B3542" s="3" t="str">
        <f>C3542 &amp; " -&gt; " &amp; D3542</f>
        <v>principal-process-steward -&gt; VocabularyTerms.Name</v>
      </c>
      <c r="C3542" s="2" t="s">
        <v>9706</v>
      </c>
      <c r="D3542" s="2" t="s">
        <v>5648</v>
      </c>
      <c r="E3542" s="2" t="b">
        <v>1</v>
      </c>
      <c r="F3542" s="2" t="b">
        <v>0</v>
      </c>
      <c r="G3542" s="2" t="s">
        <v>9937</v>
      </c>
      <c r="H3542" s="3" t="str">
        <f>_xlfn.IFNA(INDEX(RulebookFields!C2:C999, MATCH(D3542,RulebookFields!A2:A999, 0)), "")</f>
      </c>
      <c r="I3542" s="3" t="str">
        <f>_xlfn.IFNA(INDEX(RulebookFields!D2:D999, MATCH(D3542,RulebookFields!A2:A999, 0)), "")</f>
      </c>
      <c r="J3542" s="3" t="str">
        <f>_xlfn.IFNA(INDEX(RulebookFields!I2:I999, MATCH(D3542,RulebookFields!A2:A999, 0)), "")</f>
      </c>
      <c r="K3542" s="3" t="b">
        <f>AND(F3542, J3542)</f>
        <v>0</v>
      </c>
      <c r="L3542" s="3" t="b">
        <f>AND(G3542 &lt;&gt; "plain", G3542 &lt;&gt; "")</f>
        <v>0</v>
      </c>
      <c r="M3542" s="3" t="str">
        <f>IF(E3542, C3542 &amp; "|" &amp; H3542, "")</f>
        <v>principal-process-steward|</v>
      </c>
      <c r="N3542" s="2" t="s">
        <v>9938</v>
      </c>
    </row>
    <row r="3543">
      <c r="A3543" s="2" t="s">
        <v>13479</v>
      </c>
      <c r="B3543" s="3" t="str">
        <f>C3543 &amp; " -&gt; " &amp; D3543</f>
        <v>principal-process-steward -&gt; VocabularyTerms.Vocabulary</v>
      </c>
      <c r="C3543" s="2" t="s">
        <v>9706</v>
      </c>
      <c r="D3543" s="2" t="s">
        <v>5650</v>
      </c>
      <c r="E3543" s="2" t="b">
        <v>1</v>
      </c>
      <c r="F3543" s="2" t="b">
        <v>0</v>
      </c>
      <c r="G3543" s="2" t="s">
        <v>9937</v>
      </c>
      <c r="H3543" s="3" t="str">
        <f>_xlfn.IFNA(INDEX(RulebookFields!C2:C999, MATCH(D3543,RulebookFields!A2:A999, 0)), "")</f>
      </c>
      <c r="I3543" s="3" t="str">
        <f>_xlfn.IFNA(INDEX(RulebookFields!D2:D999, MATCH(D3543,RulebookFields!A2:A999, 0)), "")</f>
      </c>
      <c r="J3543" s="3" t="str">
        <f>_xlfn.IFNA(INDEX(RulebookFields!I2:I999, MATCH(D3543,RulebookFields!A2:A999, 0)), "")</f>
      </c>
      <c r="K3543" s="3" t="b">
        <f>AND(F3543, J3543)</f>
        <v>0</v>
      </c>
      <c r="L3543" s="3" t="b">
        <f>AND(G3543 &lt;&gt; "plain", G3543 &lt;&gt; "")</f>
        <v>0</v>
      </c>
      <c r="M3543" s="3" t="str">
        <f>IF(E3543, C3543 &amp; "|" &amp; H3543, "")</f>
        <v>principal-process-steward|</v>
      </c>
      <c r="N3543" s="2" t="s">
        <v>9938</v>
      </c>
    </row>
    <row r="3544">
      <c r="A3544" s="2" t="s">
        <v>13480</v>
      </c>
      <c r="B3544" s="3" t="str">
        <f>C3544 &amp; " -&gt; " &amp; D3544</f>
        <v>principal-process-steward -&gt; VocabularyTerms.PrefLabel</v>
      </c>
      <c r="C3544" s="2" t="s">
        <v>9706</v>
      </c>
      <c r="D3544" s="2" t="s">
        <v>5652</v>
      </c>
      <c r="E3544" s="2" t="b">
        <v>1</v>
      </c>
      <c r="F3544" s="2" t="b">
        <v>0</v>
      </c>
      <c r="G3544" s="2" t="s">
        <v>9937</v>
      </c>
      <c r="H3544" s="3" t="str">
        <f>_xlfn.IFNA(INDEX(RulebookFields!C2:C999, MATCH(D3544,RulebookFields!A2:A999, 0)), "")</f>
      </c>
      <c r="I3544" s="3" t="str">
        <f>_xlfn.IFNA(INDEX(RulebookFields!D2:D999, MATCH(D3544,RulebookFields!A2:A999, 0)), "")</f>
      </c>
      <c r="J3544" s="3" t="str">
        <f>_xlfn.IFNA(INDEX(RulebookFields!I2:I999, MATCH(D3544,RulebookFields!A2:A999, 0)), "")</f>
      </c>
      <c r="K3544" s="3" t="b">
        <f>AND(F3544, J3544)</f>
        <v>0</v>
      </c>
      <c r="L3544" s="3" t="b">
        <f>AND(G3544 &lt;&gt; "plain", G3544 &lt;&gt; "")</f>
        <v>0</v>
      </c>
      <c r="M3544" s="3" t="str">
        <f>IF(E3544, C3544 &amp; "|" &amp; H3544, "")</f>
        <v>principal-process-steward|</v>
      </c>
      <c r="N3544" s="2" t="s">
        <v>9938</v>
      </c>
    </row>
    <row r="3545">
      <c r="A3545" s="2" t="s">
        <v>13481</v>
      </c>
      <c r="B3545" s="3" t="str">
        <f>C3545 &amp; " -&gt; " &amp; D3545</f>
        <v>principal-process-steward -&gt; VocabularyTerms.AltLabels</v>
      </c>
      <c r="C3545" s="2" t="s">
        <v>9706</v>
      </c>
      <c r="D3545" s="2" t="s">
        <v>5654</v>
      </c>
      <c r="E3545" s="2" t="b">
        <v>1</v>
      </c>
      <c r="F3545" s="2" t="b">
        <v>0</v>
      </c>
      <c r="G3545" s="2" t="s">
        <v>9937</v>
      </c>
      <c r="H3545" s="3" t="str">
        <f>_xlfn.IFNA(INDEX(RulebookFields!C2:C999, MATCH(D3545,RulebookFields!A2:A999, 0)), "")</f>
      </c>
      <c r="I3545" s="3" t="str">
        <f>_xlfn.IFNA(INDEX(RulebookFields!D2:D999, MATCH(D3545,RulebookFields!A2:A999, 0)), "")</f>
      </c>
      <c r="J3545" s="3" t="str">
        <f>_xlfn.IFNA(INDEX(RulebookFields!I2:I999, MATCH(D3545,RulebookFields!A2:A999, 0)), "")</f>
      </c>
      <c r="K3545" s="3" t="b">
        <f>AND(F3545, J3545)</f>
        <v>0</v>
      </c>
      <c r="L3545" s="3" t="b">
        <f>AND(G3545 &lt;&gt; "plain", G3545 &lt;&gt; "")</f>
        <v>0</v>
      </c>
      <c r="M3545" s="3" t="str">
        <f>IF(E3545, C3545 &amp; "|" &amp; H3545, "")</f>
        <v>principal-process-steward|</v>
      </c>
      <c r="N3545" s="2" t="s">
        <v>9938</v>
      </c>
    </row>
    <row r="3546">
      <c r="A3546" s="2" t="s">
        <v>13482</v>
      </c>
      <c r="B3546" s="3" t="str">
        <f>C3546 &amp; " -&gt; " &amp; D3546</f>
        <v>principal-process-steward -&gt; VocabularyTerms.Definition</v>
      </c>
      <c r="C3546" s="2" t="s">
        <v>9706</v>
      </c>
      <c r="D3546" s="2" t="s">
        <v>5656</v>
      </c>
      <c r="E3546" s="2" t="b">
        <v>1</v>
      </c>
      <c r="F3546" s="2" t="b">
        <v>0</v>
      </c>
      <c r="G3546" s="2" t="s">
        <v>9937</v>
      </c>
      <c r="H3546" s="3" t="str">
        <f>_xlfn.IFNA(INDEX(RulebookFields!C2:C999, MATCH(D3546,RulebookFields!A2:A999, 0)), "")</f>
      </c>
      <c r="I3546" s="3" t="str">
        <f>_xlfn.IFNA(INDEX(RulebookFields!D2:D999, MATCH(D3546,RulebookFields!A2:A999, 0)), "")</f>
      </c>
      <c r="J3546" s="3" t="str">
        <f>_xlfn.IFNA(INDEX(RulebookFields!I2:I999, MATCH(D3546,RulebookFields!A2:A999, 0)), "")</f>
      </c>
      <c r="K3546" s="3" t="b">
        <f>AND(F3546, J3546)</f>
        <v>0</v>
      </c>
      <c r="L3546" s="3" t="b">
        <f>AND(G3546 &lt;&gt; "plain", G3546 &lt;&gt; "")</f>
        <v>0</v>
      </c>
      <c r="M3546" s="3" t="str">
        <f>IF(E3546, C3546 &amp; "|" &amp; H3546, "")</f>
        <v>principal-process-steward|</v>
      </c>
      <c r="N3546" s="2" t="s">
        <v>9938</v>
      </c>
    </row>
    <row r="3547">
      <c r="A3547" s="2" t="s">
        <v>13483</v>
      </c>
      <c r="B3547" s="3" t="str">
        <f>C3547 &amp; " -&gt; " &amp; D3547</f>
        <v>principal-process-steward -&gt; VocabularyTerms.UsageCount</v>
      </c>
      <c r="C3547" s="2" t="s">
        <v>9706</v>
      </c>
      <c r="D3547" s="2" t="s">
        <v>5657</v>
      </c>
      <c r="E3547" s="2" t="b">
        <v>1</v>
      </c>
      <c r="F3547" s="2" t="b">
        <v>0</v>
      </c>
      <c r="G3547" s="2" t="s">
        <v>9937</v>
      </c>
      <c r="H3547" s="3" t="str">
        <f>_xlfn.IFNA(INDEX(RulebookFields!C2:C999, MATCH(D3547,RulebookFields!A2:A999, 0)), "")</f>
      </c>
      <c r="I3547" s="3" t="str">
        <f>_xlfn.IFNA(INDEX(RulebookFields!D2:D999, MATCH(D3547,RulebookFields!A2:A999, 0)), "")</f>
      </c>
      <c r="J3547" s="3" t="str">
        <f>_xlfn.IFNA(INDEX(RulebookFields!I2:I999, MATCH(D3547,RulebookFields!A2:A999, 0)), "")</f>
      </c>
      <c r="K3547" s="3" t="b">
        <f>AND(F3547, J3547)</f>
        <v>0</v>
      </c>
      <c r="L3547" s="3" t="b">
        <f>AND(G3547 &lt;&gt; "plain", G3547 &lt;&gt; "")</f>
        <v>0</v>
      </c>
      <c r="M3547" s="3" t="str">
        <f>IF(E3547, C3547 &amp; "|" &amp; H3547, "")</f>
        <v>principal-process-steward|</v>
      </c>
      <c r="N3547" s="2" t="s">
        <v>9938</v>
      </c>
    </row>
    <row r="3548">
      <c r="A3548" s="2" t="s">
        <v>13484</v>
      </c>
      <c r="B3548" s="3" t="str">
        <f>C3548 &amp; " -&gt; " &amp; D3548</f>
        <v>principal-process-steward -&gt; VocabularyTerms.IsOrphanTerm</v>
      </c>
      <c r="C3548" s="2" t="s">
        <v>9706</v>
      </c>
      <c r="D3548" s="2" t="s">
        <v>5659</v>
      </c>
      <c r="E3548" s="2" t="b">
        <v>1</v>
      </c>
      <c r="F3548" s="2" t="b">
        <v>0</v>
      </c>
      <c r="G3548" s="2" t="s">
        <v>9937</v>
      </c>
      <c r="H3548" s="3" t="str">
        <f>_xlfn.IFNA(INDEX(RulebookFields!C2:C999, MATCH(D3548,RulebookFields!A2:A999, 0)), "")</f>
      </c>
      <c r="I3548" s="3" t="str">
        <f>_xlfn.IFNA(INDEX(RulebookFields!D2:D999, MATCH(D3548,RulebookFields!A2:A999, 0)), "")</f>
      </c>
      <c r="J3548" s="3" t="str">
        <f>_xlfn.IFNA(INDEX(RulebookFields!I2:I999, MATCH(D3548,RulebookFields!A2:A999, 0)), "")</f>
      </c>
      <c r="K3548" s="3" t="b">
        <f>AND(F3548, J3548)</f>
        <v>0</v>
      </c>
      <c r="L3548" s="3" t="b">
        <f>AND(G3548 &lt;&gt; "plain", G3548 &lt;&gt; "")</f>
        <v>0</v>
      </c>
      <c r="M3548" s="3" t="str">
        <f>IF(E3548, C3548 &amp; "|" &amp; H3548, "")</f>
        <v>principal-process-steward|</v>
      </c>
      <c r="N3548" s="2" t="s">
        <v>9938</v>
      </c>
    </row>
    <row r="3549">
      <c r="A3549" s="2" t="s">
        <v>13485</v>
      </c>
      <c r="B3549" s="3" t="str">
        <f>C3549 &amp; " -&gt; " &amp; D3549</f>
        <v>principal-process-steward -&gt; VocabularyTerms.IsWidelyAdoptedTerm</v>
      </c>
      <c r="C3549" s="2" t="s">
        <v>9706</v>
      </c>
      <c r="D3549" s="2" t="s">
        <v>5662</v>
      </c>
      <c r="E3549" s="2" t="b">
        <v>1</v>
      </c>
      <c r="F3549" s="2" t="b">
        <v>0</v>
      </c>
      <c r="G3549" s="2" t="s">
        <v>9937</v>
      </c>
      <c r="H3549" s="3" t="str">
        <f>_xlfn.IFNA(INDEX(RulebookFields!C2:C999, MATCH(D3549,RulebookFields!A2:A999, 0)), "")</f>
      </c>
      <c r="I3549" s="3" t="str">
        <f>_xlfn.IFNA(INDEX(RulebookFields!D2:D999, MATCH(D3549,RulebookFields!A2:A999, 0)), "")</f>
      </c>
      <c r="J3549" s="3" t="str">
        <f>_xlfn.IFNA(INDEX(RulebookFields!I2:I999, MATCH(D3549,RulebookFields!A2:A999, 0)), "")</f>
      </c>
      <c r="K3549" s="3" t="b">
        <f>AND(F3549, J3549)</f>
        <v>0</v>
      </c>
      <c r="L3549" s="3" t="b">
        <f>AND(G3549 &lt;&gt; "plain", G3549 &lt;&gt; "")</f>
        <v>0</v>
      </c>
      <c r="M3549" s="3" t="str">
        <f>IF(E3549, C3549 &amp; "|" &amp; H3549, "")</f>
        <v>principal-process-steward|</v>
      </c>
      <c r="N3549" s="2" t="s">
        <v>9938</v>
      </c>
    </row>
    <row r="3550">
      <c r="A3550" s="2" t="s">
        <v>13486</v>
      </c>
      <c r="B3550" s="3" t="str">
        <f>C3550 &amp; " -&gt; " &amp; D3550</f>
        <v>principal-process-steward -&gt; VocabularyTerms.OrphanTermVocabularyKey</v>
      </c>
      <c r="C3550" s="2" t="s">
        <v>9706</v>
      </c>
      <c r="D3550" s="2" t="s">
        <v>5665</v>
      </c>
      <c r="E3550" s="2" t="b">
        <v>1</v>
      </c>
      <c r="F3550" s="2" t="b">
        <v>0</v>
      </c>
      <c r="G3550" s="2" t="s">
        <v>9937</v>
      </c>
      <c r="H3550" s="3" t="str">
        <f>_xlfn.IFNA(INDEX(RulebookFields!C2:C999, MATCH(D3550,RulebookFields!A2:A999, 0)), "")</f>
      </c>
      <c r="I3550" s="3" t="str">
        <f>_xlfn.IFNA(INDEX(RulebookFields!D2:D999, MATCH(D3550,RulebookFields!A2:A999, 0)), "")</f>
      </c>
      <c r="J3550" s="3" t="str">
        <f>_xlfn.IFNA(INDEX(RulebookFields!I2:I999, MATCH(D3550,RulebookFields!A2:A999, 0)), "")</f>
      </c>
      <c r="K3550" s="3" t="b">
        <f>AND(F3550, J3550)</f>
        <v>0</v>
      </c>
      <c r="L3550" s="3" t="b">
        <f>AND(G3550 &lt;&gt; "plain", G3550 &lt;&gt; "")</f>
        <v>0</v>
      </c>
      <c r="M3550" s="3" t="str">
        <f>IF(E3550, C3550 &amp; "|" &amp; H3550, "")</f>
        <v>principal-process-steward|</v>
      </c>
      <c r="N3550" s="2" t="s">
        <v>9938</v>
      </c>
    </row>
    <row r="3551">
      <c r="A3551" s="2" t="s">
        <v>13487</v>
      </c>
      <c r="B3551" s="3" t="str">
        <f>C3551 &amp; " -&gt; " &amp; D3551</f>
        <v>principal-process-steward -&gt; VocabularyTerms.SemanticTypeIri</v>
      </c>
      <c r="C3551" s="2" t="s">
        <v>9706</v>
      </c>
      <c r="D3551" s="2" t="s">
        <v>5668</v>
      </c>
      <c r="E3551" s="2" t="b">
        <v>1</v>
      </c>
      <c r="F3551" s="2" t="b">
        <v>0</v>
      </c>
      <c r="G3551" s="2" t="s">
        <v>9937</v>
      </c>
      <c r="H3551" s="3" t="str">
        <f>_xlfn.IFNA(INDEX(RulebookFields!C2:C999, MATCH(D3551,RulebookFields!A2:A999, 0)), "")</f>
      </c>
      <c r="I3551" s="3" t="str">
        <f>_xlfn.IFNA(INDEX(RulebookFields!D2:D999, MATCH(D3551,RulebookFields!A2:A999, 0)), "")</f>
      </c>
      <c r="J3551" s="3" t="str">
        <f>_xlfn.IFNA(INDEX(RulebookFields!I2:I999, MATCH(D3551,RulebookFields!A2:A999, 0)), "")</f>
      </c>
      <c r="K3551" s="3" t="b">
        <f>AND(F3551, J3551)</f>
        <v>0</v>
      </c>
      <c r="L3551" s="3" t="b">
        <f>AND(G3551 &lt;&gt; "plain", G3551 &lt;&gt; "")</f>
        <v>0</v>
      </c>
      <c r="M3551" s="3" t="str">
        <f>IF(E3551, C3551 &amp; "|" &amp; H3551, "")</f>
        <v>principal-process-steward|</v>
      </c>
      <c r="N3551" s="2" t="s">
        <v>9938</v>
      </c>
    </row>
    <row r="3552">
      <c r="A3552" s="2" t="s">
        <v>13488</v>
      </c>
      <c r="B3552" s="3" t="str">
        <f>C3552 &amp; " -&gt; " &amp; D3552</f>
        <v>principal-process-steward -&gt; KnowledgeBrokerLinks.KnowledgeBrokerLinkId</v>
      </c>
      <c r="C3552" s="2" t="s">
        <v>9706</v>
      </c>
      <c r="D3552" s="2" t="s">
        <v>5669</v>
      </c>
      <c r="E3552" s="2" t="b">
        <v>1</v>
      </c>
      <c r="F3552" s="2" t="b">
        <v>0</v>
      </c>
      <c r="G3552" s="2" t="s">
        <v>9937</v>
      </c>
      <c r="H3552" s="3" t="str">
        <f>_xlfn.IFNA(INDEX(RulebookFields!C2:C999, MATCH(D3552,RulebookFields!A2:A999, 0)), "")</f>
      </c>
      <c r="I3552" s="3" t="str">
        <f>_xlfn.IFNA(INDEX(RulebookFields!D2:D999, MATCH(D3552,RulebookFields!A2:A999, 0)), "")</f>
      </c>
      <c r="J3552" s="3" t="str">
        <f>_xlfn.IFNA(INDEX(RulebookFields!I2:I999, MATCH(D3552,RulebookFields!A2:A999, 0)), "")</f>
      </c>
      <c r="K3552" s="3" t="b">
        <f>AND(F3552, J3552)</f>
        <v>0</v>
      </c>
      <c r="L3552" s="3" t="b">
        <f>AND(G3552 &lt;&gt; "plain", G3552 &lt;&gt; "")</f>
        <v>0</v>
      </c>
      <c r="M3552" s="3" t="str">
        <f>IF(E3552, C3552 &amp; "|" &amp; H3552, "")</f>
        <v>principal-process-steward|</v>
      </c>
      <c r="N3552" s="2" t="s">
        <v>9938</v>
      </c>
    </row>
    <row r="3553">
      <c r="A3553" s="2" t="s">
        <v>13489</v>
      </c>
      <c r="B3553" s="3" t="str">
        <f>C3553 &amp; " -&gt; " &amp; D3553</f>
        <v>principal-process-steward -&gt; KnowledgeBrokerLinks.Name</v>
      </c>
      <c r="C3553" s="2" t="s">
        <v>9706</v>
      </c>
      <c r="D3553" s="2" t="s">
        <v>5671</v>
      </c>
      <c r="E3553" s="2" t="b">
        <v>1</v>
      </c>
      <c r="F3553" s="2" t="b">
        <v>0</v>
      </c>
      <c r="G3553" s="2" t="s">
        <v>9937</v>
      </c>
      <c r="H3553" s="3" t="str">
        <f>_xlfn.IFNA(INDEX(RulebookFields!C2:C999, MATCH(D3553,RulebookFields!A2:A999, 0)), "")</f>
      </c>
      <c r="I3553" s="3" t="str">
        <f>_xlfn.IFNA(INDEX(RulebookFields!D2:D999, MATCH(D3553,RulebookFields!A2:A999, 0)), "")</f>
      </c>
      <c r="J3553" s="3" t="str">
        <f>_xlfn.IFNA(INDEX(RulebookFields!I2:I999, MATCH(D3553,RulebookFields!A2:A999, 0)), "")</f>
      </c>
      <c r="K3553" s="3" t="b">
        <f>AND(F3553, J3553)</f>
        <v>0</v>
      </c>
      <c r="L3553" s="3" t="b">
        <f>AND(G3553 &lt;&gt; "plain", G3553 &lt;&gt; "")</f>
        <v>0</v>
      </c>
      <c r="M3553" s="3" t="str">
        <f>IF(E3553, C3553 &amp; "|" &amp; H3553, "")</f>
        <v>principal-process-steward|</v>
      </c>
      <c r="N3553" s="2" t="s">
        <v>9938</v>
      </c>
    </row>
    <row r="3554">
      <c r="A3554" s="2" t="s">
        <v>13490</v>
      </c>
      <c r="B3554" s="3" t="str">
        <f>C3554 &amp; " -&gt; " &amp; D3554</f>
        <v>principal-process-steward -&gt; KnowledgeBrokerLinks.Seeker</v>
      </c>
      <c r="C3554" s="2" t="s">
        <v>9706</v>
      </c>
      <c r="D3554" s="2" t="s">
        <v>5673</v>
      </c>
      <c r="E3554" s="2" t="b">
        <v>1</v>
      </c>
      <c r="F3554" s="2" t="b">
        <v>0</v>
      </c>
      <c r="G3554" s="2" t="s">
        <v>9937</v>
      </c>
      <c r="H3554" s="3" t="str">
        <f>_xlfn.IFNA(INDEX(RulebookFields!C2:C999, MATCH(D3554,RulebookFields!A2:A999, 0)), "")</f>
      </c>
      <c r="I3554" s="3" t="str">
        <f>_xlfn.IFNA(INDEX(RulebookFields!D2:D999, MATCH(D3554,RulebookFields!A2:A999, 0)), "")</f>
      </c>
      <c r="J3554" s="3" t="str">
        <f>_xlfn.IFNA(INDEX(RulebookFields!I2:I999, MATCH(D3554,RulebookFields!A2:A999, 0)), "")</f>
      </c>
      <c r="K3554" s="3" t="b">
        <f>AND(F3554, J3554)</f>
        <v>0</v>
      </c>
      <c r="L3554" s="3" t="b">
        <f>AND(G3554 &lt;&gt; "plain", G3554 &lt;&gt; "")</f>
        <v>0</v>
      </c>
      <c r="M3554" s="3" t="str">
        <f>IF(E3554, C3554 &amp; "|" &amp; H3554, "")</f>
        <v>principal-process-steward|</v>
      </c>
      <c r="N3554" s="2" t="s">
        <v>9938</v>
      </c>
    </row>
    <row r="3555">
      <c r="A3555" s="2" t="s">
        <v>13491</v>
      </c>
      <c r="B3555" s="3" t="str">
        <f>C3555 &amp; " -&gt; " &amp; D3555</f>
        <v>principal-process-steward -&gt; KnowledgeBrokerLinks.Broker</v>
      </c>
      <c r="C3555" s="2" t="s">
        <v>9706</v>
      </c>
      <c r="D3555" s="2" t="s">
        <v>5675</v>
      </c>
      <c r="E3555" s="2" t="b">
        <v>1</v>
      </c>
      <c r="F3555" s="2" t="b">
        <v>0</v>
      </c>
      <c r="G3555" s="2" t="s">
        <v>9937</v>
      </c>
      <c r="H3555" s="3" t="str">
        <f>_xlfn.IFNA(INDEX(RulebookFields!C2:C999, MATCH(D3555,RulebookFields!A2:A999, 0)), "")</f>
      </c>
      <c r="I3555" s="3" t="str">
        <f>_xlfn.IFNA(INDEX(RulebookFields!D2:D999, MATCH(D3555,RulebookFields!A2:A999, 0)), "")</f>
      </c>
      <c r="J3555" s="3" t="str">
        <f>_xlfn.IFNA(INDEX(RulebookFields!I2:I999, MATCH(D3555,RulebookFields!A2:A999, 0)), "")</f>
      </c>
      <c r="K3555" s="3" t="b">
        <f>AND(F3555, J3555)</f>
        <v>0</v>
      </c>
      <c r="L3555" s="3" t="b">
        <f>AND(G3555 &lt;&gt; "plain", G3555 &lt;&gt; "")</f>
        <v>0</v>
      </c>
      <c r="M3555" s="3" t="str">
        <f>IF(E3555, C3555 &amp; "|" &amp; H3555, "")</f>
        <v>principal-process-steward|</v>
      </c>
      <c r="N3555" s="2" t="s">
        <v>9938</v>
      </c>
    </row>
    <row r="3556">
      <c r="A3556" s="2" t="s">
        <v>13492</v>
      </c>
      <c r="B3556" s="3" t="str">
        <f>C3556 &amp; " -&gt; " &amp; D3556</f>
        <v>principal-process-steward -&gt; KnowledgeBrokerLinks.Topic</v>
      </c>
      <c r="C3556" s="2" t="s">
        <v>9706</v>
      </c>
      <c r="D3556" s="2" t="s">
        <v>5677</v>
      </c>
      <c r="E3556" s="2" t="b">
        <v>1</v>
      </c>
      <c r="F3556" s="2" t="b">
        <v>0</v>
      </c>
      <c r="G3556" s="2" t="s">
        <v>9937</v>
      </c>
      <c r="H3556" s="3" t="str">
        <f>_xlfn.IFNA(INDEX(RulebookFields!C2:C999, MATCH(D3556,RulebookFields!A2:A999, 0)), "")</f>
      </c>
      <c r="I3556" s="3" t="str">
        <f>_xlfn.IFNA(INDEX(RulebookFields!D2:D999, MATCH(D3556,RulebookFields!A2:A999, 0)), "")</f>
      </c>
      <c r="J3556" s="3" t="str">
        <f>_xlfn.IFNA(INDEX(RulebookFields!I2:I999, MATCH(D3556,RulebookFields!A2:A999, 0)), "")</f>
      </c>
      <c r="K3556" s="3" t="b">
        <f>AND(F3556, J3556)</f>
        <v>0</v>
      </c>
      <c r="L3556" s="3" t="b">
        <f>AND(G3556 &lt;&gt; "plain", G3556 &lt;&gt; "")</f>
        <v>0</v>
      </c>
      <c r="M3556" s="3" t="str">
        <f>IF(E3556, C3556 &amp; "|" &amp; H3556, "")</f>
        <v>principal-process-steward|</v>
      </c>
      <c r="N3556" s="2" t="s">
        <v>9938</v>
      </c>
    </row>
    <row r="3557">
      <c r="A3557" s="2" t="s">
        <v>13493</v>
      </c>
      <c r="B3557" s="3" t="str">
        <f>C3557 &amp; " -&gt; " &amp; D3557</f>
        <v>principal-process-steward -&gt; KnowledgeBrokerLinks.Frequency</v>
      </c>
      <c r="C3557" s="2" t="s">
        <v>9706</v>
      </c>
      <c r="D3557" s="2" t="s">
        <v>5679</v>
      </c>
      <c r="E3557" s="2" t="b">
        <v>1</v>
      </c>
      <c r="F3557" s="2" t="b">
        <v>0</v>
      </c>
      <c r="G3557" s="2" t="s">
        <v>9937</v>
      </c>
      <c r="H3557" s="3" t="str">
        <f>_xlfn.IFNA(INDEX(RulebookFields!C2:C999, MATCH(D3557,RulebookFields!A2:A999, 0)), "")</f>
      </c>
      <c r="I3557" s="3" t="str">
        <f>_xlfn.IFNA(INDEX(RulebookFields!D2:D999, MATCH(D3557,RulebookFields!A2:A999, 0)), "")</f>
      </c>
      <c r="J3557" s="3" t="str">
        <f>_xlfn.IFNA(INDEX(RulebookFields!I2:I999, MATCH(D3557,RulebookFields!A2:A999, 0)), "")</f>
      </c>
      <c r="K3557" s="3" t="b">
        <f>AND(F3557, J3557)</f>
        <v>0</v>
      </c>
      <c r="L3557" s="3" t="b">
        <f>AND(G3557 &lt;&gt; "plain", G3557 &lt;&gt; "")</f>
        <v>0</v>
      </c>
      <c r="M3557" s="3" t="str">
        <f>IF(E3557, C3557 &amp; "|" &amp; H3557, "")</f>
        <v>principal-process-steward|</v>
      </c>
      <c r="N3557" s="2" t="s">
        <v>9938</v>
      </c>
    </row>
    <row r="3558">
      <c r="A3558" s="2" t="s">
        <v>13494</v>
      </c>
      <c r="B3558" s="3" t="str">
        <f>C3558 &amp; " -&gt; " &amp; D3558</f>
        <v>principal-process-steward -&gt; KnowledgeBrokerLinks.LastConsultedAt</v>
      </c>
      <c r="C3558" s="2" t="s">
        <v>9706</v>
      </c>
      <c r="D3558" s="2" t="s">
        <v>5681</v>
      </c>
      <c r="E3558" s="2" t="b">
        <v>1</v>
      </c>
      <c r="F3558" s="2" t="b">
        <v>0</v>
      </c>
      <c r="G3558" s="2" t="s">
        <v>9937</v>
      </c>
      <c r="H3558" s="3" t="str">
        <f>_xlfn.IFNA(INDEX(RulebookFields!C2:C999, MATCH(D3558,RulebookFields!A2:A999, 0)), "")</f>
      </c>
      <c r="I3558" s="3" t="str">
        <f>_xlfn.IFNA(INDEX(RulebookFields!D2:D999, MATCH(D3558,RulebookFields!A2:A999, 0)), "")</f>
      </c>
      <c r="J3558" s="3" t="str">
        <f>_xlfn.IFNA(INDEX(RulebookFields!I2:I999, MATCH(D3558,RulebookFields!A2:A999, 0)), "")</f>
      </c>
      <c r="K3558" s="3" t="b">
        <f>AND(F3558, J3558)</f>
        <v>0</v>
      </c>
      <c r="L3558" s="3" t="b">
        <f>AND(G3558 &lt;&gt; "plain", G3558 &lt;&gt; "")</f>
        <v>0</v>
      </c>
      <c r="M3558" s="3" t="str">
        <f>IF(E3558, C3558 &amp; "|" &amp; H3558, "")</f>
        <v>principal-process-steward|</v>
      </c>
      <c r="N3558" s="2" t="s">
        <v>9938</v>
      </c>
    </row>
    <row r="3559">
      <c r="A3559" s="2" t="s">
        <v>13495</v>
      </c>
      <c r="B3559" s="3" t="str">
        <f>C3559 &amp; " -&gt; " &amp; D3559</f>
        <v>principal-process-steward -&gt; KnowledgeBrokerLinks.EvaluationContext</v>
      </c>
      <c r="C3559" s="2" t="s">
        <v>9706</v>
      </c>
      <c r="D3559" s="2" t="s">
        <v>5683</v>
      </c>
      <c r="E3559" s="2" t="b">
        <v>1</v>
      </c>
      <c r="F3559" s="2" t="b">
        <v>0</v>
      </c>
      <c r="G3559" s="2" t="s">
        <v>9937</v>
      </c>
      <c r="H3559" s="3" t="str">
        <f>_xlfn.IFNA(INDEX(RulebookFields!C2:C999, MATCH(D3559,RulebookFields!A2:A999, 0)), "")</f>
      </c>
      <c r="I3559" s="3" t="str">
        <f>_xlfn.IFNA(INDEX(RulebookFields!D2:D999, MATCH(D3559,RulebookFields!A2:A999, 0)), "")</f>
      </c>
      <c r="J3559" s="3" t="str">
        <f>_xlfn.IFNA(INDEX(RulebookFields!I2:I999, MATCH(D3559,RulebookFields!A2:A999, 0)), "")</f>
      </c>
      <c r="K3559" s="3" t="b">
        <f>AND(F3559, J3559)</f>
        <v>0</v>
      </c>
      <c r="L3559" s="3" t="b">
        <f>AND(G3559 &lt;&gt; "plain", G3559 &lt;&gt; "")</f>
        <v>0</v>
      </c>
      <c r="M3559" s="3" t="str">
        <f>IF(E3559, C3559 &amp; "|" &amp; H3559, "")</f>
        <v>principal-process-steward|</v>
      </c>
      <c r="N3559" s="2" t="s">
        <v>9938</v>
      </c>
    </row>
    <row r="3560">
      <c r="A3560" s="2" t="s">
        <v>13496</v>
      </c>
      <c r="B3560" s="3" t="str">
        <f>C3560 &amp; " -&gt; " &amp; D3560</f>
        <v>principal-process-steward -&gt; KnowledgeBrokerLinks.AsOfInstant</v>
      </c>
      <c r="C3560" s="2" t="s">
        <v>9706</v>
      </c>
      <c r="D3560" s="2" t="s">
        <v>5684</v>
      </c>
      <c r="E3560" s="2" t="b">
        <v>1</v>
      </c>
      <c r="F3560" s="2" t="b">
        <v>0</v>
      </c>
      <c r="G3560" s="2" t="s">
        <v>9937</v>
      </c>
      <c r="H3560" s="3" t="str">
        <f>_xlfn.IFNA(INDEX(RulebookFields!C2:C999, MATCH(D3560,RulebookFields!A2:A999, 0)), "")</f>
      </c>
      <c r="I3560" s="3" t="str">
        <f>_xlfn.IFNA(INDEX(RulebookFields!D2:D999, MATCH(D3560,RulebookFields!A2:A999, 0)), "")</f>
      </c>
      <c r="J3560" s="3" t="str">
        <f>_xlfn.IFNA(INDEX(RulebookFields!I2:I999, MATCH(D3560,RulebookFields!A2:A999, 0)), "")</f>
      </c>
      <c r="K3560" s="3" t="b">
        <f>AND(F3560, J3560)</f>
        <v>0</v>
      </c>
      <c r="L3560" s="3" t="b">
        <f>AND(G3560 &lt;&gt; "plain", G3560 &lt;&gt; "")</f>
        <v>0</v>
      </c>
      <c r="M3560" s="3" t="str">
        <f>IF(E3560, C3560 &amp; "|" &amp; H3560, "")</f>
        <v>principal-process-steward|</v>
      </c>
      <c r="N3560" s="2" t="s">
        <v>9938</v>
      </c>
    </row>
    <row r="3561">
      <c r="A3561" s="2" t="s">
        <v>13497</v>
      </c>
      <c r="B3561" s="3" t="str">
        <f>C3561 &amp; " -&gt; " &amp; D3561</f>
        <v>principal-process-steward -&gt; KnowledgeBrokerLinks.DaysSinceConsulted</v>
      </c>
      <c r="C3561" s="2" t="s">
        <v>9706</v>
      </c>
      <c r="D3561" s="2" t="s">
        <v>5685</v>
      </c>
      <c r="E3561" s="2" t="b">
        <v>1</v>
      </c>
      <c r="F3561" s="2" t="b">
        <v>0</v>
      </c>
      <c r="G3561" s="2" t="s">
        <v>9937</v>
      </c>
      <c r="H3561" s="3" t="str">
        <f>_xlfn.IFNA(INDEX(RulebookFields!C2:C999, MATCH(D3561,RulebookFields!A2:A999, 0)), "")</f>
      </c>
      <c r="I3561" s="3" t="str">
        <f>_xlfn.IFNA(INDEX(RulebookFields!D2:D999, MATCH(D3561,RulebookFields!A2:A999, 0)), "")</f>
      </c>
      <c r="J3561" s="3" t="str">
        <f>_xlfn.IFNA(INDEX(RulebookFields!I2:I999, MATCH(D3561,RulebookFields!A2:A999, 0)), "")</f>
      </c>
      <c r="K3561" s="3" t="b">
        <f>AND(F3561, J3561)</f>
        <v>0</v>
      </c>
      <c r="L3561" s="3" t="b">
        <f>AND(G3561 &lt;&gt; "plain", G3561 &lt;&gt; "")</f>
        <v>0</v>
      </c>
      <c r="M3561" s="3" t="str">
        <f>IF(E3561, C3561 &amp; "|" &amp; H3561, "")</f>
        <v>principal-process-steward|</v>
      </c>
      <c r="N3561" s="2" t="s">
        <v>9938</v>
      </c>
    </row>
    <row r="3562">
      <c r="A3562" s="2" t="s">
        <v>13498</v>
      </c>
      <c r="B3562" s="3" t="str">
        <f>C3562 &amp; " -&gt; " &amp; D3562</f>
        <v>principal-process-steward -&gt; KnowledgeBrokerLinks.IsActiveReliance</v>
      </c>
      <c r="C3562" s="2" t="s">
        <v>9706</v>
      </c>
      <c r="D3562" s="2" t="s">
        <v>5688</v>
      </c>
      <c r="E3562" s="2" t="b">
        <v>1</v>
      </c>
      <c r="F3562" s="2" t="b">
        <v>0</v>
      </c>
      <c r="G3562" s="2" t="s">
        <v>9937</v>
      </c>
      <c r="H3562" s="3" t="str">
        <f>_xlfn.IFNA(INDEX(RulebookFields!C2:C999, MATCH(D3562,RulebookFields!A2:A999, 0)), "")</f>
      </c>
      <c r="I3562" s="3" t="str">
        <f>_xlfn.IFNA(INDEX(RulebookFields!D2:D999, MATCH(D3562,RulebookFields!A2:A999, 0)), "")</f>
      </c>
      <c r="J3562" s="3" t="str">
        <f>_xlfn.IFNA(INDEX(RulebookFields!I2:I999, MATCH(D3562,RulebookFields!A2:A999, 0)), "")</f>
      </c>
      <c r="K3562" s="3" t="b">
        <f>AND(F3562, J3562)</f>
        <v>0</v>
      </c>
      <c r="L3562" s="3" t="b">
        <f>AND(G3562 &lt;&gt; "plain", G3562 &lt;&gt; "")</f>
        <v>0</v>
      </c>
      <c r="M3562" s="3" t="str">
        <f>IF(E3562, C3562 &amp; "|" &amp; H3562, "")</f>
        <v>principal-process-steward|</v>
      </c>
      <c r="N3562" s="2" t="s">
        <v>9938</v>
      </c>
    </row>
    <row r="3563">
      <c r="A3563" s="2" t="s">
        <v>13499</v>
      </c>
      <c r="B3563" s="3" t="str">
        <f>C3563 &amp; " -&gt; " &amp; D3563</f>
        <v>principal-process-steward -&gt; KnowledgeBrokerLinks.BrokerIsStillEngaged</v>
      </c>
      <c r="C3563" s="2" t="s">
        <v>9706</v>
      </c>
      <c r="D3563" s="2" t="s">
        <v>5691</v>
      </c>
      <c r="E3563" s="2" t="b">
        <v>1</v>
      </c>
      <c r="F3563" s="2" t="b">
        <v>0</v>
      </c>
      <c r="G3563" s="2" t="s">
        <v>9937</v>
      </c>
      <c r="H3563" s="3" t="str">
        <f>_xlfn.IFNA(INDEX(RulebookFields!C2:C999, MATCH(D3563,RulebookFields!A2:A999, 0)), "")</f>
      </c>
      <c r="I3563" s="3" t="str">
        <f>_xlfn.IFNA(INDEX(RulebookFields!D2:D999, MATCH(D3563,RulebookFields!A2:A999, 0)), "")</f>
      </c>
      <c r="J3563" s="3" t="str">
        <f>_xlfn.IFNA(INDEX(RulebookFields!I2:I999, MATCH(D3563,RulebookFields!A2:A999, 0)), "")</f>
      </c>
      <c r="K3563" s="3" t="b">
        <f>AND(F3563, J3563)</f>
        <v>0</v>
      </c>
      <c r="L3563" s="3" t="b">
        <f>AND(G3563 &lt;&gt; "plain", G3563 &lt;&gt; "")</f>
        <v>0</v>
      </c>
      <c r="M3563" s="3" t="str">
        <f>IF(E3563, C3563 &amp; "|" &amp; H3563, "")</f>
        <v>principal-process-steward|</v>
      </c>
      <c r="N3563" s="2" t="s">
        <v>9938</v>
      </c>
    </row>
    <row r="3564">
      <c r="A3564" s="2" t="s">
        <v>13500</v>
      </c>
      <c r="B3564" s="3" t="str">
        <f>C3564 &amp; " -&gt; " &amp; D3564</f>
        <v>principal-process-steward -&gt; KnowledgeBrokerLinks.IsAtRiskReliance</v>
      </c>
      <c r="C3564" s="2" t="s">
        <v>9706</v>
      </c>
      <c r="D3564" s="2" t="s">
        <v>5694</v>
      </c>
      <c r="E3564" s="2" t="b">
        <v>1</v>
      </c>
      <c r="F3564" s="2" t="b">
        <v>0</v>
      </c>
      <c r="G3564" s="2" t="s">
        <v>9937</v>
      </c>
      <c r="H3564" s="3" t="str">
        <f>_xlfn.IFNA(INDEX(RulebookFields!C2:C999, MATCH(D3564,RulebookFields!A2:A999, 0)), "")</f>
      </c>
      <c r="I3564" s="3" t="str">
        <f>_xlfn.IFNA(INDEX(RulebookFields!D2:D999, MATCH(D3564,RulebookFields!A2:A999, 0)), "")</f>
      </c>
      <c r="J3564" s="3" t="str">
        <f>_xlfn.IFNA(INDEX(RulebookFields!I2:I999, MATCH(D3564,RulebookFields!A2:A999, 0)), "")</f>
      </c>
      <c r="K3564" s="3" t="b">
        <f>AND(F3564, J3564)</f>
        <v>0</v>
      </c>
      <c r="L3564" s="3" t="b">
        <f>AND(G3564 &lt;&gt; "plain", G3564 &lt;&gt; "")</f>
        <v>0</v>
      </c>
      <c r="M3564" s="3" t="str">
        <f>IF(E3564, C3564 &amp; "|" &amp; H3564, "")</f>
        <v>principal-process-steward|</v>
      </c>
      <c r="N3564" s="2" t="s">
        <v>9938</v>
      </c>
    </row>
    <row r="3565">
      <c r="A3565" s="2" t="s">
        <v>13501</v>
      </c>
      <c r="B3565" s="3" t="str">
        <f>C3565 &amp; " -&gt; " &amp; D3565</f>
        <v>principal-process-steward -&gt; KnowledgeBrokerLinks.ActiveRelianceBrokerKey</v>
      </c>
      <c r="C3565" s="2" t="s">
        <v>9706</v>
      </c>
      <c r="D3565" s="2" t="s">
        <v>5697</v>
      </c>
      <c r="E3565" s="2" t="b">
        <v>1</v>
      </c>
      <c r="F3565" s="2" t="b">
        <v>0</v>
      </c>
      <c r="G3565" s="2" t="s">
        <v>9937</v>
      </c>
      <c r="H3565" s="3" t="str">
        <f>_xlfn.IFNA(INDEX(RulebookFields!C2:C999, MATCH(D3565,RulebookFields!A2:A999, 0)), "")</f>
      </c>
      <c r="I3565" s="3" t="str">
        <f>_xlfn.IFNA(INDEX(RulebookFields!D2:D999, MATCH(D3565,RulebookFields!A2:A999, 0)), "")</f>
      </c>
      <c r="J3565" s="3" t="str">
        <f>_xlfn.IFNA(INDEX(RulebookFields!I2:I999, MATCH(D3565,RulebookFields!A2:A999, 0)), "")</f>
      </c>
      <c r="K3565" s="3" t="b">
        <f>AND(F3565, J3565)</f>
        <v>0</v>
      </c>
      <c r="L3565" s="3" t="b">
        <f>AND(G3565 &lt;&gt; "plain", G3565 &lt;&gt; "")</f>
        <v>0</v>
      </c>
      <c r="M3565" s="3" t="str">
        <f>IF(E3565, C3565 &amp; "|" &amp; H3565, "")</f>
        <v>principal-process-steward|</v>
      </c>
      <c r="N3565" s="2" t="s">
        <v>9938</v>
      </c>
    </row>
    <row r="3566">
      <c r="A3566" s="2" t="s">
        <v>13502</v>
      </c>
      <c r="B3566" s="3" t="str">
        <f>C3566 &amp; " -&gt; " &amp; D3566</f>
        <v>principal-process-steward -&gt; KnowledgeBrokerLinks.AtRiskBrokerKey</v>
      </c>
      <c r="C3566" s="2" t="s">
        <v>9706</v>
      </c>
      <c r="D3566" s="2" t="s">
        <v>5700</v>
      </c>
      <c r="E3566" s="2" t="b">
        <v>1</v>
      </c>
      <c r="F3566" s="2" t="b">
        <v>0</v>
      </c>
      <c r="G3566" s="2" t="s">
        <v>9937</v>
      </c>
      <c r="H3566" s="3" t="str">
        <f>_xlfn.IFNA(INDEX(RulebookFields!C2:C999, MATCH(D3566,RulebookFields!A2:A999, 0)), "")</f>
      </c>
      <c r="I3566" s="3" t="str">
        <f>_xlfn.IFNA(INDEX(RulebookFields!D2:D999, MATCH(D3566,RulebookFields!A2:A999, 0)), "")</f>
      </c>
      <c r="J3566" s="3" t="str">
        <f>_xlfn.IFNA(INDEX(RulebookFields!I2:I999, MATCH(D3566,RulebookFields!A2:A999, 0)), "")</f>
      </c>
      <c r="K3566" s="3" t="b">
        <f>AND(F3566, J3566)</f>
        <v>0</v>
      </c>
      <c r="L3566" s="3" t="b">
        <f>AND(G3566 &lt;&gt; "plain", G3566 &lt;&gt; "")</f>
        <v>0</v>
      </c>
      <c r="M3566" s="3" t="str">
        <f>IF(E3566, C3566 &amp; "|" &amp; H3566, "")</f>
        <v>principal-process-steward|</v>
      </c>
      <c r="N3566" s="2" t="s">
        <v>9938</v>
      </c>
    </row>
    <row r="3567">
      <c r="A3567" s="2" t="s">
        <v>13503</v>
      </c>
      <c r="B3567" s="3" t="str">
        <f>C3567 &amp; " -&gt; " &amp; D3567</f>
        <v>principal-process-steward -&gt; KnowledgeBrokerLinks.SemanticTypeIri</v>
      </c>
      <c r="C3567" s="2" t="s">
        <v>9706</v>
      </c>
      <c r="D3567" s="2" t="s">
        <v>5703</v>
      </c>
      <c r="E3567" s="2" t="b">
        <v>1</v>
      </c>
      <c r="F3567" s="2" t="b">
        <v>0</v>
      </c>
      <c r="G3567" s="2" t="s">
        <v>9937</v>
      </c>
      <c r="H3567" s="3" t="str">
        <f>_xlfn.IFNA(INDEX(RulebookFields!C2:C999, MATCH(D3567,RulebookFields!A2:A999, 0)), "")</f>
      </c>
      <c r="I3567" s="3" t="str">
        <f>_xlfn.IFNA(INDEX(RulebookFields!D2:D999, MATCH(D3567,RulebookFields!A2:A999, 0)), "")</f>
      </c>
      <c r="J3567" s="3" t="str">
        <f>_xlfn.IFNA(INDEX(RulebookFields!I2:I999, MATCH(D3567,RulebookFields!A2:A999, 0)), "")</f>
      </c>
      <c r="K3567" s="3" t="b">
        <f>AND(F3567, J3567)</f>
        <v>0</v>
      </c>
      <c r="L3567" s="3" t="b">
        <f>AND(G3567 &lt;&gt; "plain", G3567 &lt;&gt; "")</f>
        <v>0</v>
      </c>
      <c r="M3567" s="3" t="str">
        <f>IF(E3567, C3567 &amp; "|" &amp; H3567, "")</f>
        <v>principal-process-steward|</v>
      </c>
      <c r="N3567" s="2" t="s">
        <v>9938</v>
      </c>
    </row>
    <row r="3568">
      <c r="A3568" s="2" t="s">
        <v>13504</v>
      </c>
      <c r="B3568" s="3" t="str">
        <f>C3568 &amp; " -&gt; " &amp; D3568</f>
        <v>principal-process-steward -&gt; ProcedureVersions.MiningRunCount</v>
      </c>
      <c r="C3568" s="2" t="s">
        <v>9706</v>
      </c>
      <c r="D3568" s="2" t="s">
        <v>2810</v>
      </c>
      <c r="E3568" s="2" t="b">
        <v>1</v>
      </c>
      <c r="F3568" s="2" t="b">
        <v>0</v>
      </c>
      <c r="G3568" s="2" t="s">
        <v>9937</v>
      </c>
      <c r="H3568" s="3" t="str">
        <f>_xlfn.IFNA(INDEX(RulebookFields!C2:C999, MATCH(D3568,RulebookFields!A2:A999, 0)), "")</f>
        <v>ProcedureVersions</v>
      </c>
      <c r="I3568" s="3" t="str">
        <f>_xlfn.IFNA(INDEX(RulebookFields!D2:D999, MATCH(D3568,RulebookFields!A2:A999, 0)), "")</f>
        <v>MiningRunCount</v>
      </c>
      <c r="J3568" s="3" t="b">
        <f>_xlfn.IFNA(INDEX(RulebookFields!I2:I999, MATCH(D3568,RulebookFields!A2:A999, 0)), "")</f>
        <v>1</v>
      </c>
      <c r="K3568" s="3" t="b">
        <f>AND(F3568, J3568)</f>
        <v>0</v>
      </c>
      <c r="L3568" s="3" t="b">
        <f>AND(G3568 &lt;&gt; "plain", G3568 &lt;&gt; "")</f>
        <v>0</v>
      </c>
      <c r="M3568" s="3" t="str">
        <f>IF(E3568, C3568 &amp; "|" &amp; H3568, "")</f>
        <v>principal-process-steward|ProcedureVersions</v>
      </c>
      <c r="N3568" s="2" t="s">
        <v>9938</v>
      </c>
    </row>
    <row r="3569">
      <c r="A3569" s="2" t="s">
        <v>13505</v>
      </c>
      <c r="B3569" s="3" t="str">
        <f>C3569 &amp; " -&gt; " &amp; D3569</f>
        <v>principal-process-steward -&gt; ProcedureVersions.DriftedMiningRunCount</v>
      </c>
      <c r="C3569" s="2" t="s">
        <v>9706</v>
      </c>
      <c r="D3569" s="2" t="s">
        <v>2812</v>
      </c>
      <c r="E3569" s="2" t="b">
        <v>1</v>
      </c>
      <c r="F3569" s="2" t="b">
        <v>0</v>
      </c>
      <c r="G3569" s="2" t="s">
        <v>9937</v>
      </c>
      <c r="H3569" s="3" t="str">
        <f>_xlfn.IFNA(INDEX(RulebookFields!C2:C999, MATCH(D3569,RulebookFields!A2:A999, 0)), "")</f>
        <v>ProcedureVersions</v>
      </c>
      <c r="I3569" s="3" t="str">
        <f>_xlfn.IFNA(INDEX(RulebookFields!D2:D999, MATCH(D3569,RulebookFields!A2:A999, 0)), "")</f>
        <v>DriftedMiningRunCount</v>
      </c>
      <c r="J3569" s="3" t="b">
        <f>_xlfn.IFNA(INDEX(RulebookFields!I2:I999, MATCH(D3569,RulebookFields!A2:A999, 0)), "")</f>
        <v>1</v>
      </c>
      <c r="K3569" s="3" t="b">
        <f>AND(F3569, J3569)</f>
        <v>0</v>
      </c>
      <c r="L3569" s="3" t="b">
        <f>AND(G3569 &lt;&gt; "plain", G3569 &lt;&gt; "")</f>
        <v>0</v>
      </c>
      <c r="M3569" s="3" t="str">
        <f>IF(E3569, C3569 &amp; "|" &amp; H3569, "")</f>
        <v>principal-process-steward|ProcedureVersions</v>
      </c>
      <c r="N3569" s="2" t="s">
        <v>9938</v>
      </c>
    </row>
    <row r="3570">
      <c r="A3570" s="2" t="s">
        <v>13506</v>
      </c>
      <c r="B3570" s="3" t="str">
        <f>C3570 &amp; " -&gt; " &amp; D3570</f>
        <v>principal-process-steward -&gt; ProcedureVersions.HasUnresolvedMiningDrift</v>
      </c>
      <c r="C3570" s="2" t="s">
        <v>9706</v>
      </c>
      <c r="D3570" s="2" t="s">
        <v>2814</v>
      </c>
      <c r="E3570" s="2" t="b">
        <v>1</v>
      </c>
      <c r="F3570" s="2" t="b">
        <v>0</v>
      </c>
      <c r="G3570" s="2" t="s">
        <v>9937</v>
      </c>
      <c r="H3570" s="3" t="str">
        <f>_xlfn.IFNA(INDEX(RulebookFields!C2:C999, MATCH(D3570,RulebookFields!A2:A999, 0)), "")</f>
        <v>ProcedureVersions</v>
      </c>
      <c r="I3570" s="3" t="str">
        <f>_xlfn.IFNA(INDEX(RulebookFields!D2:D999, MATCH(D3570,RulebookFields!A2:A999, 0)), "")</f>
        <v>HasUnresolvedMiningDrift</v>
      </c>
      <c r="J3570" s="3" t="b">
        <f>_xlfn.IFNA(INDEX(RulebookFields!I2:I999, MATCH(D3570,RulebookFields!A2:A999, 0)), "")</f>
        <v>1</v>
      </c>
      <c r="K3570" s="3" t="b">
        <f>AND(F3570, J3570)</f>
        <v>0</v>
      </c>
      <c r="L3570" s="3" t="b">
        <f>AND(G3570 &lt;&gt; "plain", G3570 &lt;&gt; "")</f>
        <v>0</v>
      </c>
      <c r="M3570" s="3" t="str">
        <f>IF(E3570, C3570 &amp; "|" &amp; H3570, "")</f>
        <v>principal-process-steward|ProcedureVersions</v>
      </c>
      <c r="N3570" s="2" t="s">
        <v>9938</v>
      </c>
    </row>
    <row r="3571">
      <c r="A3571" s="2" t="s">
        <v>13507</v>
      </c>
      <c r="B3571" s="3" t="str">
        <f>C3571 &amp; " -&gt; " &amp; D3571</f>
        <v>principal-process-steward -&gt; Requirements.ControlledTerm</v>
      </c>
      <c r="C3571" s="2" t="s">
        <v>9706</v>
      </c>
      <c r="D3571" s="2" t="s">
        <v>3048</v>
      </c>
      <c r="E3571" s="2" t="b">
        <v>1</v>
      </c>
      <c r="F3571" s="2" t="b">
        <v>0</v>
      </c>
      <c r="G3571" s="2" t="s">
        <v>9937</v>
      </c>
      <c r="H3571" s="3" t="str">
        <f>_xlfn.IFNA(INDEX(RulebookFields!C2:C999, MATCH(D3571,RulebookFields!A2:A999, 0)), "")</f>
        <v>Requirements</v>
      </c>
      <c r="I3571" s="3" t="str">
        <f>_xlfn.IFNA(INDEX(RulebookFields!D2:D999, MATCH(D3571,RulebookFields!A2:A999, 0)), "")</f>
        <v>ControlledTerm</v>
      </c>
      <c r="J3571" s="3" t="b">
        <f>_xlfn.IFNA(INDEX(RulebookFields!I2:I999, MATCH(D3571,RulebookFields!A2:A999, 0)), "")</f>
        <v>0</v>
      </c>
      <c r="K3571" s="3" t="b">
        <f>AND(F3571, J3571)</f>
        <v>0</v>
      </c>
      <c r="L3571" s="3" t="b">
        <f>AND(G3571 &lt;&gt; "plain", G3571 &lt;&gt; "")</f>
        <v>0</v>
      </c>
      <c r="M3571" s="3" t="str">
        <f>IF(E3571, C3571 &amp; "|" &amp; H3571, "")</f>
        <v>principal-process-steward|Requirements</v>
      </c>
      <c r="N3571" s="2" t="s">
        <v>9938</v>
      </c>
    </row>
    <row r="3572">
      <c r="A3572" s="2" t="s">
        <v>13508</v>
      </c>
      <c r="B3572" s="3" t="str">
        <f>C3572 &amp; " -&gt; " &amp; D3572</f>
        <v>principal-process-steward -&gt; Requirements.UsesControlledVocabulary</v>
      </c>
      <c r="C3572" s="2" t="s">
        <v>9706</v>
      </c>
      <c r="D3572" s="2" t="s">
        <v>3049</v>
      </c>
      <c r="E3572" s="2" t="b">
        <v>1</v>
      </c>
      <c r="F3572" s="2" t="b">
        <v>0</v>
      </c>
      <c r="G3572" s="2" t="s">
        <v>9937</v>
      </c>
      <c r="H3572" s="3" t="str">
        <f>_xlfn.IFNA(INDEX(RulebookFields!C2:C999, MATCH(D3572,RulebookFields!A2:A999, 0)), "")</f>
        <v>Requirements</v>
      </c>
      <c r="I3572" s="3" t="str">
        <f>_xlfn.IFNA(INDEX(RulebookFields!D2:D999, MATCH(D3572,RulebookFields!A2:A999, 0)), "")</f>
        <v>UsesControlledVocabulary</v>
      </c>
      <c r="J3572" s="3" t="b">
        <f>_xlfn.IFNA(INDEX(RulebookFields!I2:I999, MATCH(D3572,RulebookFields!A2:A999, 0)), "")</f>
        <v>1</v>
      </c>
      <c r="K3572" s="3" t="b">
        <f>AND(F3572, J3572)</f>
        <v>0</v>
      </c>
      <c r="L3572" s="3" t="b">
        <f>AND(G3572 &lt;&gt; "plain", G3572 &lt;&gt; "")</f>
        <v>0</v>
      </c>
      <c r="M3572" s="3" t="str">
        <f>IF(E3572, C3572 &amp; "|" &amp; H3572, "")</f>
        <v>principal-process-steward|Requirements</v>
      </c>
      <c r="N3572" s="2" t="s">
        <v>9938</v>
      </c>
    </row>
    <row r="3573">
      <c r="A3573" s="2" t="s">
        <v>13509</v>
      </c>
      <c r="B3573" s="3" t="str">
        <f>C3573 &amp; " -&gt; " &amp; D3573</f>
        <v>principal-process-steward -&gt; Agents.TimesNamedAsBroker</v>
      </c>
      <c r="C3573" s="2" t="s">
        <v>9706</v>
      </c>
      <c r="D3573" s="2" t="s">
        <v>2462</v>
      </c>
      <c r="E3573" s="2" t="b">
        <v>1</v>
      </c>
      <c r="F3573" s="2" t="b">
        <v>0</v>
      </c>
      <c r="G3573" s="2" t="s">
        <v>9937</v>
      </c>
      <c r="H3573" s="3" t="str">
        <f>_xlfn.IFNA(INDEX(RulebookFields!C2:C999, MATCH(D3573,RulebookFields!A2:A999, 0)), "")</f>
        <v>Agents</v>
      </c>
      <c r="I3573" s="3" t="str">
        <f>_xlfn.IFNA(INDEX(RulebookFields!D2:D999, MATCH(D3573,RulebookFields!A2:A999, 0)), "")</f>
        <v>TimesNamedAsBroker</v>
      </c>
      <c r="J3573" s="3" t="b">
        <f>_xlfn.IFNA(INDEX(RulebookFields!I2:I999, MATCH(D3573,RulebookFields!A2:A999, 0)), "")</f>
        <v>1</v>
      </c>
      <c r="K3573" s="3" t="b">
        <f>AND(F3573, J3573)</f>
        <v>0</v>
      </c>
      <c r="L3573" s="3" t="b">
        <f>AND(G3573 &lt;&gt; "plain", G3573 &lt;&gt; "")</f>
        <v>0</v>
      </c>
      <c r="M3573" s="3" t="str">
        <f>IF(E3573, C3573 &amp; "|" &amp; H3573, "")</f>
        <v>principal-process-steward|Agents</v>
      </c>
      <c r="N3573" s="2" t="s">
        <v>9938</v>
      </c>
    </row>
    <row r="3574">
      <c r="A3574" s="2" t="s">
        <v>13510</v>
      </c>
      <c r="B3574" s="3" t="str">
        <f>C3574 &amp; " -&gt; " &amp; D3574</f>
        <v>principal-process-steward -&gt; Agents.IsRecognizedBroker</v>
      </c>
      <c r="C3574" s="2" t="s">
        <v>9706</v>
      </c>
      <c r="D3574" s="2" t="s">
        <v>2464</v>
      </c>
      <c r="E3574" s="2" t="b">
        <v>1</v>
      </c>
      <c r="F3574" s="2" t="b">
        <v>0</v>
      </c>
      <c r="G3574" s="2" t="s">
        <v>9937</v>
      </c>
      <c r="H3574" s="3" t="str">
        <f>_xlfn.IFNA(INDEX(RulebookFields!C2:C999, MATCH(D3574,RulebookFields!A2:A999, 0)), "")</f>
        <v>Agents</v>
      </c>
      <c r="I3574" s="3" t="str">
        <f>_xlfn.IFNA(INDEX(RulebookFields!D2:D999, MATCH(D3574,RulebookFields!A2:A999, 0)), "")</f>
        <v>IsRecognizedBroker</v>
      </c>
      <c r="J3574" s="3" t="b">
        <f>_xlfn.IFNA(INDEX(RulebookFields!I2:I999, MATCH(D3574,RulebookFields!A2:A999, 0)), "")</f>
        <v>1</v>
      </c>
      <c r="K3574" s="3" t="b">
        <f>AND(F3574, J3574)</f>
        <v>0</v>
      </c>
      <c r="L3574" s="3" t="b">
        <f>AND(G3574 &lt;&gt; "plain", G3574 &lt;&gt; "")</f>
        <v>0</v>
      </c>
      <c r="M3574" s="3" t="str">
        <f>IF(E3574, C3574 &amp; "|" &amp; H3574, "")</f>
        <v>principal-process-steward|Agents</v>
      </c>
      <c r="N3574" s="2" t="s">
        <v>9938</v>
      </c>
    </row>
    <row r="3575">
      <c r="A3575" s="2" t="s">
        <v>13511</v>
      </c>
      <c r="B3575" s="3" t="str">
        <f>C3575 &amp; " -&gt; " &amp; D3575</f>
        <v>principal-process-steward -&gt; Agents.AtRiskRelianceCount</v>
      </c>
      <c r="C3575" s="2" t="s">
        <v>9706</v>
      </c>
      <c r="D3575" s="2" t="s">
        <v>2466</v>
      </c>
      <c r="E3575" s="2" t="b">
        <v>1</v>
      </c>
      <c r="F3575" s="2" t="b">
        <v>0</v>
      </c>
      <c r="G3575" s="2" t="s">
        <v>9937</v>
      </c>
      <c r="H3575" s="3" t="str">
        <f>_xlfn.IFNA(INDEX(RulebookFields!C2:C999, MATCH(D3575,RulebookFields!A2:A999, 0)), "")</f>
        <v>Agents</v>
      </c>
      <c r="I3575" s="3" t="str">
        <f>_xlfn.IFNA(INDEX(RulebookFields!D2:D999, MATCH(D3575,RulebookFields!A2:A999, 0)), "")</f>
        <v>AtRiskRelianceCount</v>
      </c>
      <c r="J3575" s="3" t="b">
        <f>_xlfn.IFNA(INDEX(RulebookFields!I2:I999, MATCH(D3575,RulebookFields!A2:A999, 0)), "")</f>
        <v>1</v>
      </c>
      <c r="K3575" s="3" t="b">
        <f>AND(F3575, J3575)</f>
        <v>0</v>
      </c>
      <c r="L3575" s="3" t="b">
        <f>AND(G3575 &lt;&gt; "plain", G3575 &lt;&gt; "")</f>
        <v>0</v>
      </c>
      <c r="M3575" s="3" t="str">
        <f>IF(E3575, C3575 &amp; "|" &amp; H3575, "")</f>
        <v>principal-process-steward|Agents</v>
      </c>
      <c r="N3575" s="2" t="s">
        <v>9938</v>
      </c>
    </row>
    <row r="3576">
      <c r="A3576" s="2" t="s">
        <v>13512</v>
      </c>
      <c r="B3576" s="3" t="str">
        <f>C3576 &amp; " -&gt; " &amp; D3576</f>
        <v>principal-process-steward -&gt; Agents.HasAtRiskKnowledgeReliance</v>
      </c>
      <c r="C3576" s="2" t="s">
        <v>9706</v>
      </c>
      <c r="D3576" s="2" t="s">
        <v>2468</v>
      </c>
      <c r="E3576" s="2" t="b">
        <v>1</v>
      </c>
      <c r="F3576" s="2" t="b">
        <v>0</v>
      </c>
      <c r="G3576" s="2" t="s">
        <v>9937</v>
      </c>
      <c r="H3576" s="3" t="str">
        <f>_xlfn.IFNA(INDEX(RulebookFields!C2:C999, MATCH(D3576,RulebookFields!A2:A999, 0)), "")</f>
        <v>Agents</v>
      </c>
      <c r="I3576" s="3" t="str">
        <f>_xlfn.IFNA(INDEX(RulebookFields!D2:D999, MATCH(D3576,RulebookFields!A2:A999, 0)), "")</f>
        <v>HasAtRiskKnowledgeReliance</v>
      </c>
      <c r="J3576" s="3" t="b">
        <f>_xlfn.IFNA(INDEX(RulebookFields!I2:I999, MATCH(D3576,RulebookFields!A2:A999, 0)), "")</f>
        <v>1</v>
      </c>
      <c r="K3576" s="3" t="b">
        <f>AND(F3576, J3576)</f>
        <v>0</v>
      </c>
      <c r="L3576" s="3" t="b">
        <f>AND(G3576 &lt;&gt; "plain", G3576 &lt;&gt; "")</f>
        <v>0</v>
      </c>
      <c r="M3576" s="3" t="str">
        <f>IF(E3576, C3576 &amp; "|" &amp; H3576, "")</f>
        <v>principal-process-steward|Agents</v>
      </c>
      <c r="N3576" s="2" t="s">
        <v>9938</v>
      </c>
    </row>
    <row r="3577">
      <c r="A3577" s="2" t="s">
        <v>13513</v>
      </c>
      <c r="B3577" s="3" t="str">
        <f>C3577 &amp; " -&gt; " &amp; D3577</f>
        <v>principal-knowledge-authority -&gt; ProcessMiningRuns.ProcessMiningRunId</v>
      </c>
      <c r="C3577" s="2" t="s">
        <v>9708</v>
      </c>
      <c r="D3577" s="2" t="s">
        <v>5587</v>
      </c>
      <c r="E3577" s="2" t="b">
        <v>1</v>
      </c>
      <c r="F3577" s="2" t="b">
        <v>0</v>
      </c>
      <c r="G3577" s="2" t="s">
        <v>9937</v>
      </c>
      <c r="H3577" s="3" t="str">
        <f>_xlfn.IFNA(INDEX(RulebookFields!C2:C999, MATCH(D3577,RulebookFields!A2:A999, 0)), "")</f>
      </c>
      <c r="I3577" s="3" t="str">
        <f>_xlfn.IFNA(INDEX(RulebookFields!D2:D999, MATCH(D3577,RulebookFields!A2:A999, 0)), "")</f>
      </c>
      <c r="J3577" s="3" t="str">
        <f>_xlfn.IFNA(INDEX(RulebookFields!I2:I999, MATCH(D3577,RulebookFields!A2:A999, 0)), "")</f>
      </c>
      <c r="K3577" s="3" t="b">
        <f>AND(F3577, J3577)</f>
        <v>0</v>
      </c>
      <c r="L3577" s="3" t="b">
        <f>AND(G3577 &lt;&gt; "plain", G3577 &lt;&gt; "")</f>
        <v>0</v>
      </c>
      <c r="M3577" s="3" t="str">
        <f>IF(E3577, C3577 &amp; "|" &amp; H3577, "")</f>
        <v>principal-knowledge-authority|</v>
      </c>
      <c r="N3577" s="2" t="s">
        <v>9938</v>
      </c>
    </row>
    <row r="3578">
      <c r="A3578" s="2" t="s">
        <v>13514</v>
      </c>
      <c r="B3578" s="3" t="str">
        <f>C3578 &amp; " -&gt; " &amp; D3578</f>
        <v>principal-knowledge-authority -&gt; ProcessMiningRuns.Name</v>
      </c>
      <c r="C3578" s="2" t="s">
        <v>9708</v>
      </c>
      <c r="D3578" s="2" t="s">
        <v>5589</v>
      </c>
      <c r="E3578" s="2" t="b">
        <v>1</v>
      </c>
      <c r="F3578" s="2" t="b">
        <v>0</v>
      </c>
      <c r="G3578" s="2" t="s">
        <v>9937</v>
      </c>
      <c r="H3578" s="3" t="str">
        <f>_xlfn.IFNA(INDEX(RulebookFields!C2:C999, MATCH(D3578,RulebookFields!A2:A999, 0)), "")</f>
      </c>
      <c r="I3578" s="3" t="str">
        <f>_xlfn.IFNA(INDEX(RulebookFields!D2:D999, MATCH(D3578,RulebookFields!A2:A999, 0)), "")</f>
      </c>
      <c r="J3578" s="3" t="str">
        <f>_xlfn.IFNA(INDEX(RulebookFields!I2:I999, MATCH(D3578,RulebookFields!A2:A999, 0)), "")</f>
      </c>
      <c r="K3578" s="3" t="b">
        <f>AND(F3578, J3578)</f>
        <v>0</v>
      </c>
      <c r="L3578" s="3" t="b">
        <f>AND(G3578 &lt;&gt; "plain", G3578 &lt;&gt; "")</f>
        <v>0</v>
      </c>
      <c r="M3578" s="3" t="str">
        <f>IF(E3578, C3578 &amp; "|" &amp; H3578, "")</f>
        <v>principal-knowledge-authority|</v>
      </c>
      <c r="N3578" s="2" t="s">
        <v>9938</v>
      </c>
    </row>
    <row r="3579">
      <c r="A3579" s="2" t="s">
        <v>13515</v>
      </c>
      <c r="B3579" s="3" t="str">
        <f>C3579 &amp; " -&gt; " &amp; D3579</f>
        <v>principal-knowledge-authority -&gt; ProcessMiningRuns.ProcedureVersion</v>
      </c>
      <c r="C3579" s="2" t="s">
        <v>9708</v>
      </c>
      <c r="D3579" s="2" t="s">
        <v>5591</v>
      </c>
      <c r="E3579" s="2" t="b">
        <v>1</v>
      </c>
      <c r="F3579" s="2" t="b">
        <v>0</v>
      </c>
      <c r="G3579" s="2" t="s">
        <v>9937</v>
      </c>
      <c r="H3579" s="3" t="str">
        <f>_xlfn.IFNA(INDEX(RulebookFields!C2:C999, MATCH(D3579,RulebookFields!A2:A999, 0)), "")</f>
      </c>
      <c r="I3579" s="3" t="str">
        <f>_xlfn.IFNA(INDEX(RulebookFields!D2:D999, MATCH(D3579,RulebookFields!A2:A999, 0)), "")</f>
      </c>
      <c r="J3579" s="3" t="str">
        <f>_xlfn.IFNA(INDEX(RulebookFields!I2:I999, MATCH(D3579,RulebookFields!A2:A999, 0)), "")</f>
      </c>
      <c r="K3579" s="3" t="b">
        <f>AND(F3579, J3579)</f>
        <v>0</v>
      </c>
      <c r="L3579" s="3" t="b">
        <f>AND(G3579 &lt;&gt; "plain", G3579 &lt;&gt; "")</f>
        <v>0</v>
      </c>
      <c r="M3579" s="3" t="str">
        <f>IF(E3579, C3579 &amp; "|" &amp; H3579, "")</f>
        <v>principal-knowledge-authority|</v>
      </c>
      <c r="N3579" s="2" t="s">
        <v>9938</v>
      </c>
    </row>
    <row r="3580">
      <c r="A3580" s="2" t="s">
        <v>13516</v>
      </c>
      <c r="B3580" s="3" t="str">
        <f>C3580 &amp; " -&gt; " &amp; D3580</f>
        <v>principal-knowledge-authority -&gt; ProcessMiningRuns.EventLogSource</v>
      </c>
      <c r="C3580" s="2" t="s">
        <v>9708</v>
      </c>
      <c r="D3580" s="2" t="s">
        <v>5592</v>
      </c>
      <c r="E3580" s="2" t="b">
        <v>1</v>
      </c>
      <c r="F3580" s="2" t="b">
        <v>0</v>
      </c>
      <c r="G3580" s="2" t="s">
        <v>9937</v>
      </c>
      <c r="H3580" s="3" t="str">
        <f>_xlfn.IFNA(INDEX(RulebookFields!C2:C999, MATCH(D3580,RulebookFields!A2:A999, 0)), "")</f>
      </c>
      <c r="I3580" s="3" t="str">
        <f>_xlfn.IFNA(INDEX(RulebookFields!D2:D999, MATCH(D3580,RulebookFields!A2:A999, 0)), "")</f>
      </c>
      <c r="J3580" s="3" t="str">
        <f>_xlfn.IFNA(INDEX(RulebookFields!I2:I999, MATCH(D3580,RulebookFields!A2:A999, 0)), "")</f>
      </c>
      <c r="K3580" s="3" t="b">
        <f>AND(F3580, J3580)</f>
        <v>0</v>
      </c>
      <c r="L3580" s="3" t="b">
        <f>AND(G3580 &lt;&gt; "plain", G3580 &lt;&gt; "")</f>
        <v>0</v>
      </c>
      <c r="M3580" s="3" t="str">
        <f>IF(E3580, C3580 &amp; "|" &amp; H3580, "")</f>
        <v>principal-knowledge-authority|</v>
      </c>
      <c r="N3580" s="2" t="s">
        <v>9938</v>
      </c>
    </row>
    <row r="3581">
      <c r="A3581" s="2" t="s">
        <v>13517</v>
      </c>
      <c r="B3581" s="3" t="str">
        <f>C3581 &amp; " -&gt; " &amp; D3581</f>
        <v>principal-knowledge-authority -&gt; ProcessMiningRuns.MinedAt</v>
      </c>
      <c r="C3581" s="2" t="s">
        <v>9708</v>
      </c>
      <c r="D3581" s="2" t="s">
        <v>5594</v>
      </c>
      <c r="E3581" s="2" t="b">
        <v>1</v>
      </c>
      <c r="F3581" s="2" t="b">
        <v>0</v>
      </c>
      <c r="G3581" s="2" t="s">
        <v>9937</v>
      </c>
      <c r="H3581" s="3" t="str">
        <f>_xlfn.IFNA(INDEX(RulebookFields!C2:C999, MATCH(D3581,RulebookFields!A2:A999, 0)), "")</f>
      </c>
      <c r="I3581" s="3" t="str">
        <f>_xlfn.IFNA(INDEX(RulebookFields!D2:D999, MATCH(D3581,RulebookFields!A2:A999, 0)), "")</f>
      </c>
      <c r="J3581" s="3" t="str">
        <f>_xlfn.IFNA(INDEX(RulebookFields!I2:I999, MATCH(D3581,RulebookFields!A2:A999, 0)), "")</f>
      </c>
      <c r="K3581" s="3" t="b">
        <f>AND(F3581, J3581)</f>
        <v>0</v>
      </c>
      <c r="L3581" s="3" t="b">
        <f>AND(G3581 &lt;&gt; "plain", G3581 &lt;&gt; "")</f>
        <v>0</v>
      </c>
      <c r="M3581" s="3" t="str">
        <f>IF(E3581, C3581 &amp; "|" &amp; H3581, "")</f>
        <v>principal-knowledge-authority|</v>
      </c>
      <c r="N3581" s="2" t="s">
        <v>9938</v>
      </c>
    </row>
    <row r="3582">
      <c r="A3582" s="2" t="s">
        <v>13518</v>
      </c>
      <c r="B3582" s="3" t="str">
        <f>C3582 &amp; " -&gt; " &amp; D3582</f>
        <v>principal-knowledge-authority -&gt; ProcessMiningRuns.DiscoveredVariantCount</v>
      </c>
      <c r="C3582" s="2" t="s">
        <v>9708</v>
      </c>
      <c r="D3582" s="2" t="s">
        <v>5596</v>
      </c>
      <c r="E3582" s="2" t="b">
        <v>1</v>
      </c>
      <c r="F3582" s="2" t="b">
        <v>0</v>
      </c>
      <c r="G3582" s="2" t="s">
        <v>9937</v>
      </c>
      <c r="H3582" s="3" t="str">
        <f>_xlfn.IFNA(INDEX(RulebookFields!C2:C999, MATCH(D3582,RulebookFields!A2:A999, 0)), "")</f>
      </c>
      <c r="I3582" s="3" t="str">
        <f>_xlfn.IFNA(INDEX(RulebookFields!D2:D999, MATCH(D3582,RulebookFields!A2:A999, 0)), "")</f>
      </c>
      <c r="J3582" s="3" t="str">
        <f>_xlfn.IFNA(INDEX(RulebookFields!I2:I999, MATCH(D3582,RulebookFields!A2:A999, 0)), "")</f>
      </c>
      <c r="K3582" s="3" t="b">
        <f>AND(F3582, J3582)</f>
        <v>0</v>
      </c>
      <c r="L3582" s="3" t="b">
        <f>AND(G3582 &lt;&gt; "plain", G3582 &lt;&gt; "")</f>
        <v>0</v>
      </c>
      <c r="M3582" s="3" t="str">
        <f>IF(E3582, C3582 &amp; "|" &amp; H3582, "")</f>
        <v>principal-knowledge-authority|</v>
      </c>
      <c r="N3582" s="2" t="s">
        <v>9938</v>
      </c>
    </row>
    <row r="3583">
      <c r="A3583" s="2" t="s">
        <v>13519</v>
      </c>
      <c r="B3583" s="3" t="str">
        <f>C3583 &amp; " -&gt; " &amp; D3583</f>
        <v>principal-knowledge-authority -&gt; ProcessMiningRuns.ConformingVariantCount</v>
      </c>
      <c r="C3583" s="2" t="s">
        <v>9708</v>
      </c>
      <c r="D3583" s="2" t="s">
        <v>5598</v>
      </c>
      <c r="E3583" s="2" t="b">
        <v>1</v>
      </c>
      <c r="F3583" s="2" t="b">
        <v>0</v>
      </c>
      <c r="G3583" s="2" t="s">
        <v>9937</v>
      </c>
      <c r="H3583" s="3" t="str">
        <f>_xlfn.IFNA(INDEX(RulebookFields!C2:C999, MATCH(D3583,RulebookFields!A2:A999, 0)), "")</f>
      </c>
      <c r="I3583" s="3" t="str">
        <f>_xlfn.IFNA(INDEX(RulebookFields!D2:D999, MATCH(D3583,RulebookFields!A2:A999, 0)), "")</f>
      </c>
      <c r="J3583" s="3" t="str">
        <f>_xlfn.IFNA(INDEX(RulebookFields!I2:I999, MATCH(D3583,RulebookFields!A2:A999, 0)), "")</f>
      </c>
      <c r="K3583" s="3" t="b">
        <f>AND(F3583, J3583)</f>
        <v>0</v>
      </c>
      <c r="L3583" s="3" t="b">
        <f>AND(G3583 &lt;&gt; "plain", G3583 &lt;&gt; "")</f>
        <v>0</v>
      </c>
      <c r="M3583" s="3" t="str">
        <f>IF(E3583, C3583 &amp; "|" &amp; H3583, "")</f>
        <v>principal-knowledge-authority|</v>
      </c>
      <c r="N3583" s="2" t="s">
        <v>9938</v>
      </c>
    </row>
    <row r="3584">
      <c r="A3584" s="2" t="s">
        <v>13520</v>
      </c>
      <c r="B3584" s="3" t="str">
        <f>C3584 &amp; " -&gt; " &amp; D3584</f>
        <v>principal-knowledge-authority -&gt; ProcessMiningRuns.DeviationDescription</v>
      </c>
      <c r="C3584" s="2" t="s">
        <v>9708</v>
      </c>
      <c r="D3584" s="2" t="s">
        <v>5600</v>
      </c>
      <c r="E3584" s="2" t="b">
        <v>1</v>
      </c>
      <c r="F3584" s="2" t="b">
        <v>0</v>
      </c>
      <c r="G3584" s="2" t="s">
        <v>9937</v>
      </c>
      <c r="H3584" s="3" t="str">
        <f>_xlfn.IFNA(INDEX(RulebookFields!C2:C999, MATCH(D3584,RulebookFields!A2:A999, 0)), "")</f>
      </c>
      <c r="I3584" s="3" t="str">
        <f>_xlfn.IFNA(INDEX(RulebookFields!D2:D999, MATCH(D3584,RulebookFields!A2:A999, 0)), "")</f>
      </c>
      <c r="J3584" s="3" t="str">
        <f>_xlfn.IFNA(INDEX(RulebookFields!I2:I999, MATCH(D3584,RulebookFields!A2:A999, 0)), "")</f>
      </c>
      <c r="K3584" s="3" t="b">
        <f>AND(F3584, J3584)</f>
        <v>0</v>
      </c>
      <c r="L3584" s="3" t="b">
        <f>AND(G3584 &lt;&gt; "plain", G3584 &lt;&gt; "")</f>
        <v>0</v>
      </c>
      <c r="M3584" s="3" t="str">
        <f>IF(E3584, C3584 &amp; "|" &amp; H3584, "")</f>
        <v>principal-knowledge-authority|</v>
      </c>
      <c r="N3584" s="2" t="s">
        <v>9938</v>
      </c>
    </row>
    <row r="3585">
      <c r="A3585" s="2" t="s">
        <v>13521</v>
      </c>
      <c r="B3585" s="3" t="str">
        <f>C3585 &amp; " -&gt; " &amp; D3585</f>
        <v>principal-knowledge-authority -&gt; ProcessMiningRuns.EvaluationContext</v>
      </c>
      <c r="C3585" s="2" t="s">
        <v>9708</v>
      </c>
      <c r="D3585" s="2" t="s">
        <v>5602</v>
      </c>
      <c r="E3585" s="2" t="b">
        <v>1</v>
      </c>
      <c r="F3585" s="2" t="b">
        <v>0</v>
      </c>
      <c r="G3585" s="2" t="s">
        <v>9937</v>
      </c>
      <c r="H3585" s="3" t="str">
        <f>_xlfn.IFNA(INDEX(RulebookFields!C2:C999, MATCH(D3585,RulebookFields!A2:A999, 0)), "")</f>
      </c>
      <c r="I3585" s="3" t="str">
        <f>_xlfn.IFNA(INDEX(RulebookFields!D2:D999, MATCH(D3585,RulebookFields!A2:A999, 0)), "")</f>
      </c>
      <c r="J3585" s="3" t="str">
        <f>_xlfn.IFNA(INDEX(RulebookFields!I2:I999, MATCH(D3585,RulebookFields!A2:A999, 0)), "")</f>
      </c>
      <c r="K3585" s="3" t="b">
        <f>AND(F3585, J3585)</f>
        <v>0</v>
      </c>
      <c r="L3585" s="3" t="b">
        <f>AND(G3585 &lt;&gt; "plain", G3585 &lt;&gt; "")</f>
        <v>0</v>
      </c>
      <c r="M3585" s="3" t="str">
        <f>IF(E3585, C3585 &amp; "|" &amp; H3585, "")</f>
        <v>principal-knowledge-authority|</v>
      </c>
      <c r="N3585" s="2" t="s">
        <v>9938</v>
      </c>
    </row>
    <row r="3586">
      <c r="A3586" s="2" t="s">
        <v>13522</v>
      </c>
      <c r="B3586" s="3" t="str">
        <f>C3586 &amp; " -&gt; " &amp; D3586</f>
        <v>principal-knowledge-authority -&gt; ProcessMiningRuns.AsOfInstant</v>
      </c>
      <c r="C3586" s="2" t="s">
        <v>9708</v>
      </c>
      <c r="D3586" s="2" t="s">
        <v>5603</v>
      </c>
      <c r="E3586" s="2" t="b">
        <v>1</v>
      </c>
      <c r="F3586" s="2" t="b">
        <v>0</v>
      </c>
      <c r="G3586" s="2" t="s">
        <v>9937</v>
      </c>
      <c r="H3586" s="3" t="str">
        <f>_xlfn.IFNA(INDEX(RulebookFields!C2:C999, MATCH(D3586,RulebookFields!A2:A999, 0)), "")</f>
      </c>
      <c r="I3586" s="3" t="str">
        <f>_xlfn.IFNA(INDEX(RulebookFields!D2:D999, MATCH(D3586,RulebookFields!A2:A999, 0)), "")</f>
      </c>
      <c r="J3586" s="3" t="str">
        <f>_xlfn.IFNA(INDEX(RulebookFields!I2:I999, MATCH(D3586,RulebookFields!A2:A999, 0)), "")</f>
      </c>
      <c r="K3586" s="3" t="b">
        <f>AND(F3586, J3586)</f>
        <v>0</v>
      </c>
      <c r="L3586" s="3" t="b">
        <f>AND(G3586 &lt;&gt; "plain", G3586 &lt;&gt; "")</f>
        <v>0</v>
      </c>
      <c r="M3586" s="3" t="str">
        <f>IF(E3586, C3586 &amp; "|" &amp; H3586, "")</f>
        <v>principal-knowledge-authority|</v>
      </c>
      <c r="N3586" s="2" t="s">
        <v>9938</v>
      </c>
    </row>
    <row r="3587">
      <c r="A3587" s="2" t="s">
        <v>13523</v>
      </c>
      <c r="B3587" s="3" t="str">
        <f>C3587 &amp; " -&gt; " &amp; D3587</f>
        <v>principal-knowledge-authority -&gt; ProcessMiningRuns.ConformanceRate</v>
      </c>
      <c r="C3587" s="2" t="s">
        <v>9708</v>
      </c>
      <c r="D3587" s="2" t="s">
        <v>5604</v>
      </c>
      <c r="E3587" s="2" t="b">
        <v>1</v>
      </c>
      <c r="F3587" s="2" t="b">
        <v>0</v>
      </c>
      <c r="G3587" s="2" t="s">
        <v>9937</v>
      </c>
      <c r="H3587" s="3" t="str">
        <f>_xlfn.IFNA(INDEX(RulebookFields!C2:C999, MATCH(D3587,RulebookFields!A2:A999, 0)), "")</f>
      </c>
      <c r="I3587" s="3" t="str">
        <f>_xlfn.IFNA(INDEX(RulebookFields!D2:D999, MATCH(D3587,RulebookFields!A2:A999, 0)), "")</f>
      </c>
      <c r="J3587" s="3" t="str">
        <f>_xlfn.IFNA(INDEX(RulebookFields!I2:I999, MATCH(D3587,RulebookFields!A2:A999, 0)), "")</f>
      </c>
      <c r="K3587" s="3" t="b">
        <f>AND(F3587, J3587)</f>
        <v>0</v>
      </c>
      <c r="L3587" s="3" t="b">
        <f>AND(G3587 &lt;&gt; "plain", G3587 &lt;&gt; "")</f>
        <v>0</v>
      </c>
      <c r="M3587" s="3" t="str">
        <f>IF(E3587, C3587 &amp; "|" &amp; H3587, "")</f>
        <v>principal-knowledge-authority|</v>
      </c>
      <c r="N3587" s="2" t="s">
        <v>9938</v>
      </c>
    </row>
    <row r="3588">
      <c r="A3588" s="2" t="s">
        <v>13524</v>
      </c>
      <c r="B3588" s="3" t="str">
        <f>C3588 &amp; " -&gt; " &amp; D3588</f>
        <v>principal-knowledge-authority -&gt; ProcessMiningRuns.IsConformant</v>
      </c>
      <c r="C3588" s="2" t="s">
        <v>9708</v>
      </c>
      <c r="D3588" s="2" t="s">
        <v>5607</v>
      </c>
      <c r="E3588" s="2" t="b">
        <v>1</v>
      </c>
      <c r="F3588" s="2" t="b">
        <v>0</v>
      </c>
      <c r="G3588" s="2" t="s">
        <v>9937</v>
      </c>
      <c r="H3588" s="3" t="str">
        <f>_xlfn.IFNA(INDEX(RulebookFields!C2:C999, MATCH(D3588,RulebookFields!A2:A999, 0)), "")</f>
      </c>
      <c r="I3588" s="3" t="str">
        <f>_xlfn.IFNA(INDEX(RulebookFields!D2:D999, MATCH(D3588,RulebookFields!A2:A999, 0)), "")</f>
      </c>
      <c r="J3588" s="3" t="str">
        <f>_xlfn.IFNA(INDEX(RulebookFields!I2:I999, MATCH(D3588,RulebookFields!A2:A999, 0)), "")</f>
      </c>
      <c r="K3588" s="3" t="b">
        <f>AND(F3588, J3588)</f>
        <v>0</v>
      </c>
      <c r="L3588" s="3" t="b">
        <f>AND(G3588 &lt;&gt; "plain", G3588 &lt;&gt; "")</f>
        <v>0</v>
      </c>
      <c r="M3588" s="3" t="str">
        <f>IF(E3588, C3588 &amp; "|" &amp; H3588, "")</f>
        <v>principal-knowledge-authority|</v>
      </c>
      <c r="N3588" s="2" t="s">
        <v>9938</v>
      </c>
    </row>
    <row r="3589">
      <c r="A3589" s="2" t="s">
        <v>13525</v>
      </c>
      <c r="B3589" s="3" t="str">
        <f>C3589 &amp; " -&gt; " &amp; D3589</f>
        <v>principal-knowledge-authority -&gt; ProcessMiningRuns.HasMajorDriftFromDocumentation</v>
      </c>
      <c r="C3589" s="2" t="s">
        <v>9708</v>
      </c>
      <c r="D3589" s="2" t="s">
        <v>5610</v>
      </c>
      <c r="E3589" s="2" t="b">
        <v>1</v>
      </c>
      <c r="F3589" s="2" t="b">
        <v>0</v>
      </c>
      <c r="G3589" s="2" t="s">
        <v>9937</v>
      </c>
      <c r="H3589" s="3" t="str">
        <f>_xlfn.IFNA(INDEX(RulebookFields!C2:C999, MATCH(D3589,RulebookFields!A2:A999, 0)), "")</f>
      </c>
      <c r="I3589" s="3" t="str">
        <f>_xlfn.IFNA(INDEX(RulebookFields!D2:D999, MATCH(D3589,RulebookFields!A2:A999, 0)), "")</f>
      </c>
      <c r="J3589" s="3" t="str">
        <f>_xlfn.IFNA(INDEX(RulebookFields!I2:I999, MATCH(D3589,RulebookFields!A2:A999, 0)), "")</f>
      </c>
      <c r="K3589" s="3" t="b">
        <f>AND(F3589, J3589)</f>
        <v>0</v>
      </c>
      <c r="L3589" s="3" t="b">
        <f>AND(G3589 &lt;&gt; "plain", G3589 &lt;&gt; "")</f>
        <v>0</v>
      </c>
      <c r="M3589" s="3" t="str">
        <f>IF(E3589, C3589 &amp; "|" &amp; H3589, "")</f>
        <v>principal-knowledge-authority|</v>
      </c>
      <c r="N3589" s="2" t="s">
        <v>9938</v>
      </c>
    </row>
    <row r="3590">
      <c r="A3590" s="2" t="s">
        <v>13526</v>
      </c>
      <c r="B3590" s="3" t="str">
        <f>C3590 &amp; " -&gt; " &amp; D3590</f>
        <v>principal-knowledge-authority -&gt; ProcessMiningRuns.DaysSinceMined</v>
      </c>
      <c r="C3590" s="2" t="s">
        <v>9708</v>
      </c>
      <c r="D3590" s="2" t="s">
        <v>5613</v>
      </c>
      <c r="E3590" s="2" t="b">
        <v>1</v>
      </c>
      <c r="F3590" s="2" t="b">
        <v>0</v>
      </c>
      <c r="G3590" s="2" t="s">
        <v>9937</v>
      </c>
      <c r="H3590" s="3" t="str">
        <f>_xlfn.IFNA(INDEX(RulebookFields!C2:C999, MATCH(D3590,RulebookFields!A2:A999, 0)), "")</f>
      </c>
      <c r="I3590" s="3" t="str">
        <f>_xlfn.IFNA(INDEX(RulebookFields!D2:D999, MATCH(D3590,RulebookFields!A2:A999, 0)), "")</f>
      </c>
      <c r="J3590" s="3" t="str">
        <f>_xlfn.IFNA(INDEX(RulebookFields!I2:I999, MATCH(D3590,RulebookFields!A2:A999, 0)), "")</f>
      </c>
      <c r="K3590" s="3" t="b">
        <f>AND(F3590, J3590)</f>
        <v>0</v>
      </c>
      <c r="L3590" s="3" t="b">
        <f>AND(G3590 &lt;&gt; "plain", G3590 &lt;&gt; "")</f>
        <v>0</v>
      </c>
      <c r="M3590" s="3" t="str">
        <f>IF(E3590, C3590 &amp; "|" &amp; H3590, "")</f>
        <v>principal-knowledge-authority|</v>
      </c>
      <c r="N3590" s="2" t="s">
        <v>9938</v>
      </c>
    </row>
    <row r="3591">
      <c r="A3591" s="2" t="s">
        <v>13527</v>
      </c>
      <c r="B3591" s="3" t="str">
        <f>C3591 &amp; " -&gt; " &amp; D3591</f>
        <v>principal-knowledge-authority -&gt; ProcessMiningRuns.IsStaleMiningEvidence</v>
      </c>
      <c r="C3591" s="2" t="s">
        <v>9708</v>
      </c>
      <c r="D3591" s="2" t="s">
        <v>5616</v>
      </c>
      <c r="E3591" s="2" t="b">
        <v>1</v>
      </c>
      <c r="F3591" s="2" t="b">
        <v>0</v>
      </c>
      <c r="G3591" s="2" t="s">
        <v>9937</v>
      </c>
      <c r="H3591" s="3" t="str">
        <f>_xlfn.IFNA(INDEX(RulebookFields!C2:C999, MATCH(D3591,RulebookFields!A2:A999, 0)), "")</f>
      </c>
      <c r="I3591" s="3" t="str">
        <f>_xlfn.IFNA(INDEX(RulebookFields!D2:D999, MATCH(D3591,RulebookFields!A2:A999, 0)), "")</f>
      </c>
      <c r="J3591" s="3" t="str">
        <f>_xlfn.IFNA(INDEX(RulebookFields!I2:I999, MATCH(D3591,RulebookFields!A2:A999, 0)), "")</f>
      </c>
      <c r="K3591" s="3" t="b">
        <f>AND(F3591, J3591)</f>
        <v>0</v>
      </c>
      <c r="L3591" s="3" t="b">
        <f>AND(G3591 &lt;&gt; "plain", G3591 &lt;&gt; "")</f>
        <v>0</v>
      </c>
      <c r="M3591" s="3" t="str">
        <f>IF(E3591, C3591 &amp; "|" &amp; H3591, "")</f>
        <v>principal-knowledge-authority|</v>
      </c>
      <c r="N3591" s="2" t="s">
        <v>9938</v>
      </c>
    </row>
    <row r="3592">
      <c r="A3592" s="2" t="s">
        <v>13528</v>
      </c>
      <c r="B3592" s="3" t="str">
        <f>C3592 &amp; " -&gt; " &amp; D3592</f>
        <v>principal-knowledge-authority -&gt; ProcessMiningRuns.ProcedureVersionIsLive</v>
      </c>
      <c r="C3592" s="2" t="s">
        <v>9708</v>
      </c>
      <c r="D3592" s="2" t="s">
        <v>5619</v>
      </c>
      <c r="E3592" s="2" t="b">
        <v>1</v>
      </c>
      <c r="F3592" s="2" t="b">
        <v>0</v>
      </c>
      <c r="G3592" s="2" t="s">
        <v>9937</v>
      </c>
      <c r="H3592" s="3" t="str">
        <f>_xlfn.IFNA(INDEX(RulebookFields!C2:C999, MATCH(D3592,RulebookFields!A2:A999, 0)), "")</f>
      </c>
      <c r="I3592" s="3" t="str">
        <f>_xlfn.IFNA(INDEX(RulebookFields!D2:D999, MATCH(D3592,RulebookFields!A2:A999, 0)), "")</f>
      </c>
      <c r="J3592" s="3" t="str">
        <f>_xlfn.IFNA(INDEX(RulebookFields!I2:I999, MATCH(D3592,RulebookFields!A2:A999, 0)), "")</f>
      </c>
      <c r="K3592" s="3" t="b">
        <f>AND(F3592, J3592)</f>
        <v>0</v>
      </c>
      <c r="L3592" s="3" t="b">
        <f>AND(G3592 &lt;&gt; "plain", G3592 &lt;&gt; "")</f>
        <v>0</v>
      </c>
      <c r="M3592" s="3" t="str">
        <f>IF(E3592, C3592 &amp; "|" &amp; H3592, "")</f>
        <v>principal-knowledge-authority|</v>
      </c>
      <c r="N3592" s="2" t="s">
        <v>9938</v>
      </c>
    </row>
    <row r="3593">
      <c r="A3593" s="2" t="s">
        <v>13529</v>
      </c>
      <c r="B3593" s="3" t="str">
        <f>C3593 &amp; " -&gt; " &amp; D3593</f>
        <v>principal-knowledge-authority -&gt; ProcessMiningRuns.IsDriftOnLiveVersion</v>
      </c>
      <c r="C3593" s="2" t="s">
        <v>9708</v>
      </c>
      <c r="D3593" s="2" t="s">
        <v>5621</v>
      </c>
      <c r="E3593" s="2" t="b">
        <v>1</v>
      </c>
      <c r="F3593" s="2" t="b">
        <v>0</v>
      </c>
      <c r="G3593" s="2" t="s">
        <v>9937</v>
      </c>
      <c r="H3593" s="3" t="str">
        <f>_xlfn.IFNA(INDEX(RulebookFields!C2:C999, MATCH(D3593,RulebookFields!A2:A999, 0)), "")</f>
      </c>
      <c r="I3593" s="3" t="str">
        <f>_xlfn.IFNA(INDEX(RulebookFields!D2:D999, MATCH(D3593,RulebookFields!A2:A999, 0)), "")</f>
      </c>
      <c r="J3593" s="3" t="str">
        <f>_xlfn.IFNA(INDEX(RulebookFields!I2:I999, MATCH(D3593,RulebookFields!A2:A999, 0)), "")</f>
      </c>
      <c r="K3593" s="3" t="b">
        <f>AND(F3593, J3593)</f>
        <v>0</v>
      </c>
      <c r="L3593" s="3" t="b">
        <f>AND(G3593 &lt;&gt; "plain", G3593 &lt;&gt; "")</f>
        <v>0</v>
      </c>
      <c r="M3593" s="3" t="str">
        <f>IF(E3593, C3593 &amp; "|" &amp; H3593, "")</f>
        <v>principal-knowledge-authority|</v>
      </c>
      <c r="N3593" s="2" t="s">
        <v>9938</v>
      </c>
    </row>
    <row r="3594">
      <c r="A3594" s="2" t="s">
        <v>13530</v>
      </c>
      <c r="B3594" s="3" t="str">
        <f>C3594 &amp; " -&gt; " &amp; D3594</f>
        <v>principal-knowledge-authority -&gt; ProcessMiningRuns.DriftedMiningRunKey</v>
      </c>
      <c r="C3594" s="2" t="s">
        <v>9708</v>
      </c>
      <c r="D3594" s="2" t="s">
        <v>5624</v>
      </c>
      <c r="E3594" s="2" t="b">
        <v>1</v>
      </c>
      <c r="F3594" s="2" t="b">
        <v>0</v>
      </c>
      <c r="G3594" s="2" t="s">
        <v>9937</v>
      </c>
      <c r="H3594" s="3" t="str">
        <f>_xlfn.IFNA(INDEX(RulebookFields!C2:C999, MATCH(D3594,RulebookFields!A2:A999, 0)), "")</f>
      </c>
      <c r="I3594" s="3" t="str">
        <f>_xlfn.IFNA(INDEX(RulebookFields!D2:D999, MATCH(D3594,RulebookFields!A2:A999, 0)), "")</f>
      </c>
      <c r="J3594" s="3" t="str">
        <f>_xlfn.IFNA(INDEX(RulebookFields!I2:I999, MATCH(D3594,RulebookFields!A2:A999, 0)), "")</f>
      </c>
      <c r="K3594" s="3" t="b">
        <f>AND(F3594, J3594)</f>
        <v>0</v>
      </c>
      <c r="L3594" s="3" t="b">
        <f>AND(G3594 &lt;&gt; "plain", G3594 &lt;&gt; "")</f>
        <v>0</v>
      </c>
      <c r="M3594" s="3" t="str">
        <f>IF(E3594, C3594 &amp; "|" &amp; H3594, "")</f>
        <v>principal-knowledge-authority|</v>
      </c>
      <c r="N3594" s="2" t="s">
        <v>9938</v>
      </c>
    </row>
    <row r="3595">
      <c r="A3595" s="2" t="s">
        <v>13531</v>
      </c>
      <c r="B3595" s="3" t="str">
        <f>C3595 &amp; " -&gt; " &amp; D3595</f>
        <v>principal-knowledge-authority -&gt; ProcessMiningRuns.SemanticTypeIri</v>
      </c>
      <c r="C3595" s="2" t="s">
        <v>9708</v>
      </c>
      <c r="D3595" s="2" t="s">
        <v>5627</v>
      </c>
      <c r="E3595" s="2" t="b">
        <v>1</v>
      </c>
      <c r="F3595" s="2" t="b">
        <v>0</v>
      </c>
      <c r="G3595" s="2" t="s">
        <v>9937</v>
      </c>
      <c r="H3595" s="3" t="str">
        <f>_xlfn.IFNA(INDEX(RulebookFields!C2:C999, MATCH(D3595,RulebookFields!A2:A999, 0)), "")</f>
      </c>
      <c r="I3595" s="3" t="str">
        <f>_xlfn.IFNA(INDEX(RulebookFields!D2:D999, MATCH(D3595,RulebookFields!A2:A999, 0)), "")</f>
      </c>
      <c r="J3595" s="3" t="str">
        <f>_xlfn.IFNA(INDEX(RulebookFields!I2:I999, MATCH(D3595,RulebookFields!A2:A999, 0)), "")</f>
      </c>
      <c r="K3595" s="3" t="b">
        <f>AND(F3595, J3595)</f>
        <v>0</v>
      </c>
      <c r="L3595" s="3" t="b">
        <f>AND(G3595 &lt;&gt; "plain", G3595 &lt;&gt; "")</f>
        <v>0</v>
      </c>
      <c r="M3595" s="3" t="str">
        <f>IF(E3595, C3595 &amp; "|" &amp; H3595, "")</f>
        <v>principal-knowledge-authority|</v>
      </c>
      <c r="N3595" s="2" t="s">
        <v>9938</v>
      </c>
    </row>
    <row r="3596">
      <c r="A3596" s="2" t="s">
        <v>13532</v>
      </c>
      <c r="B3596" s="3" t="str">
        <f>C3596 &amp; " -&gt; " &amp; D3596</f>
        <v>principal-knowledge-authority -&gt; Vocabularies.VocabularyId</v>
      </c>
      <c r="C3596" s="2" t="s">
        <v>9708</v>
      </c>
      <c r="D3596" s="2" t="s">
        <v>5628</v>
      </c>
      <c r="E3596" s="2" t="b">
        <v>1</v>
      </c>
      <c r="F3596" s="2" t="b">
        <v>0</v>
      </c>
      <c r="G3596" s="2" t="s">
        <v>9937</v>
      </c>
      <c r="H3596" s="3" t="str">
        <f>_xlfn.IFNA(INDEX(RulebookFields!C2:C999, MATCH(D3596,RulebookFields!A2:A999, 0)), "")</f>
      </c>
      <c r="I3596" s="3" t="str">
        <f>_xlfn.IFNA(INDEX(RulebookFields!D2:D999, MATCH(D3596,RulebookFields!A2:A999, 0)), "")</f>
      </c>
      <c r="J3596" s="3" t="str">
        <f>_xlfn.IFNA(INDEX(RulebookFields!I2:I999, MATCH(D3596,RulebookFields!A2:A999, 0)), "")</f>
      </c>
      <c r="K3596" s="3" t="b">
        <f>AND(F3596, J3596)</f>
        <v>0</v>
      </c>
      <c r="L3596" s="3" t="b">
        <f>AND(G3596 &lt;&gt; "plain", G3596 &lt;&gt; "")</f>
        <v>0</v>
      </c>
      <c r="M3596" s="3" t="str">
        <f>IF(E3596, C3596 &amp; "|" &amp; H3596, "")</f>
        <v>principal-knowledge-authority|</v>
      </c>
      <c r="N3596" s="2" t="s">
        <v>9938</v>
      </c>
    </row>
    <row r="3597">
      <c r="A3597" s="2" t="s">
        <v>13533</v>
      </c>
      <c r="B3597" s="3" t="str">
        <f>C3597 &amp; " -&gt; " &amp; D3597</f>
        <v>principal-knowledge-authority -&gt; Vocabularies.Name</v>
      </c>
      <c r="C3597" s="2" t="s">
        <v>9708</v>
      </c>
      <c r="D3597" s="2" t="s">
        <v>5630</v>
      </c>
      <c r="E3597" s="2" t="b">
        <v>1</v>
      </c>
      <c r="F3597" s="2" t="b">
        <v>0</v>
      </c>
      <c r="G3597" s="2" t="s">
        <v>9937</v>
      </c>
      <c r="H3597" s="3" t="str">
        <f>_xlfn.IFNA(INDEX(RulebookFields!C2:C999, MATCH(D3597,RulebookFields!A2:A999, 0)), "")</f>
      </c>
      <c r="I3597" s="3" t="str">
        <f>_xlfn.IFNA(INDEX(RulebookFields!D2:D999, MATCH(D3597,RulebookFields!A2:A999, 0)), "")</f>
      </c>
      <c r="J3597" s="3" t="str">
        <f>_xlfn.IFNA(INDEX(RulebookFields!I2:I999, MATCH(D3597,RulebookFields!A2:A999, 0)), "")</f>
      </c>
      <c r="K3597" s="3" t="b">
        <f>AND(F3597, J3597)</f>
        <v>0</v>
      </c>
      <c r="L3597" s="3" t="b">
        <f>AND(G3597 &lt;&gt; "plain", G3597 &lt;&gt; "")</f>
        <v>0</v>
      </c>
      <c r="M3597" s="3" t="str">
        <f>IF(E3597, C3597 &amp; "|" &amp; H3597, "")</f>
        <v>principal-knowledge-authority|</v>
      </c>
      <c r="N3597" s="2" t="s">
        <v>9938</v>
      </c>
    </row>
    <row r="3598">
      <c r="A3598" s="2" t="s">
        <v>13534</v>
      </c>
      <c r="B3598" s="3" t="str">
        <f>C3598 &amp; " -&gt; " &amp; D3598</f>
        <v>principal-knowledge-authority -&gt; Vocabularies.Title</v>
      </c>
      <c r="C3598" s="2" t="s">
        <v>9708</v>
      </c>
      <c r="D3598" s="2" t="s">
        <v>5631</v>
      </c>
      <c r="E3598" s="2" t="b">
        <v>1</v>
      </c>
      <c r="F3598" s="2" t="b">
        <v>0</v>
      </c>
      <c r="G3598" s="2" t="s">
        <v>9937</v>
      </c>
      <c r="H3598" s="3" t="str">
        <f>_xlfn.IFNA(INDEX(RulebookFields!C2:C999, MATCH(D3598,RulebookFields!A2:A999, 0)), "")</f>
      </c>
      <c r="I3598" s="3" t="str">
        <f>_xlfn.IFNA(INDEX(RulebookFields!D2:D999, MATCH(D3598,RulebookFields!A2:A999, 0)), "")</f>
      </c>
      <c r="J3598" s="3" t="str">
        <f>_xlfn.IFNA(INDEX(RulebookFields!I2:I999, MATCH(D3598,RulebookFields!A2:A999, 0)), "")</f>
      </c>
      <c r="K3598" s="3" t="b">
        <f>AND(F3598, J3598)</f>
        <v>0</v>
      </c>
      <c r="L3598" s="3" t="b">
        <f>AND(G3598 &lt;&gt; "plain", G3598 &lt;&gt; "")</f>
        <v>0</v>
      </c>
      <c r="M3598" s="3" t="str">
        <f>IF(E3598, C3598 &amp; "|" &amp; H3598, "")</f>
        <v>principal-knowledge-authority|</v>
      </c>
      <c r="N3598" s="2" t="s">
        <v>9938</v>
      </c>
    </row>
    <row r="3599">
      <c r="A3599" s="2" t="s">
        <v>13535</v>
      </c>
      <c r="B3599" s="3" t="str">
        <f>C3599 &amp; " -&gt; " &amp; D3599</f>
        <v>principal-knowledge-authority -&gt; Vocabularies.SchemeUri</v>
      </c>
      <c r="C3599" s="2" t="s">
        <v>9708</v>
      </c>
      <c r="D3599" s="2" t="s">
        <v>5632</v>
      </c>
      <c r="E3599" s="2" t="b">
        <v>1</v>
      </c>
      <c r="F3599" s="2" t="b">
        <v>0</v>
      </c>
      <c r="G3599" s="2" t="s">
        <v>9937</v>
      </c>
      <c r="H3599" s="3" t="str">
        <f>_xlfn.IFNA(INDEX(RulebookFields!C2:C999, MATCH(D3599,RulebookFields!A2:A999, 0)), "")</f>
      </c>
      <c r="I3599" s="3" t="str">
        <f>_xlfn.IFNA(INDEX(RulebookFields!D2:D999, MATCH(D3599,RulebookFields!A2:A999, 0)), "")</f>
      </c>
      <c r="J3599" s="3" t="str">
        <f>_xlfn.IFNA(INDEX(RulebookFields!I2:I999, MATCH(D3599,RulebookFields!A2:A999, 0)), "")</f>
      </c>
      <c r="K3599" s="3" t="b">
        <f>AND(F3599, J3599)</f>
        <v>0</v>
      </c>
      <c r="L3599" s="3" t="b">
        <f>AND(G3599 &lt;&gt; "plain", G3599 &lt;&gt; "")</f>
        <v>0</v>
      </c>
      <c r="M3599" s="3" t="str">
        <f>IF(E3599, C3599 &amp; "|" &amp; H3599, "")</f>
        <v>principal-knowledge-authority|</v>
      </c>
      <c r="N3599" s="2" t="s">
        <v>9938</v>
      </c>
    </row>
    <row r="3600">
      <c r="A3600" s="2" t="s">
        <v>13536</v>
      </c>
      <c r="B3600" s="3" t="str">
        <f>C3600 &amp; " -&gt; " &amp; D3600</f>
        <v>principal-knowledge-authority -&gt; Vocabularies.GoverningRole</v>
      </c>
      <c r="C3600" s="2" t="s">
        <v>9708</v>
      </c>
      <c r="D3600" s="2" t="s">
        <v>5634</v>
      </c>
      <c r="E3600" s="2" t="b">
        <v>1</v>
      </c>
      <c r="F3600" s="2" t="b">
        <v>0</v>
      </c>
      <c r="G3600" s="2" t="s">
        <v>9937</v>
      </c>
      <c r="H3600" s="3" t="str">
        <f>_xlfn.IFNA(INDEX(RulebookFields!C2:C999, MATCH(D3600,RulebookFields!A2:A999, 0)), "")</f>
      </c>
      <c r="I3600" s="3" t="str">
        <f>_xlfn.IFNA(INDEX(RulebookFields!D2:D999, MATCH(D3600,RulebookFields!A2:A999, 0)), "")</f>
      </c>
      <c r="J3600" s="3" t="str">
        <f>_xlfn.IFNA(INDEX(RulebookFields!I2:I999, MATCH(D3600,RulebookFields!A2:A999, 0)), "")</f>
      </c>
      <c r="K3600" s="3" t="b">
        <f>AND(F3600, J3600)</f>
        <v>0</v>
      </c>
      <c r="L3600" s="3" t="b">
        <f>AND(G3600 &lt;&gt; "plain", G3600 &lt;&gt; "")</f>
        <v>0</v>
      </c>
      <c r="M3600" s="3" t="str">
        <f>IF(E3600, C3600 &amp; "|" &amp; H3600, "")</f>
        <v>principal-knowledge-authority|</v>
      </c>
      <c r="N3600" s="2" t="s">
        <v>9938</v>
      </c>
    </row>
    <row r="3601">
      <c r="A3601" s="2" t="s">
        <v>13537</v>
      </c>
      <c r="B3601" s="3" t="str">
        <f>C3601 &amp; " -&gt; " &amp; D3601</f>
        <v>principal-knowledge-authority -&gt; Vocabularies.TermCount</v>
      </c>
      <c r="C3601" s="2" t="s">
        <v>9708</v>
      </c>
      <c r="D3601" s="2" t="s">
        <v>5636</v>
      </c>
      <c r="E3601" s="2" t="b">
        <v>1</v>
      </c>
      <c r="F3601" s="2" t="b">
        <v>0</v>
      </c>
      <c r="G3601" s="2" t="s">
        <v>9937</v>
      </c>
      <c r="H3601" s="3" t="str">
        <f>_xlfn.IFNA(INDEX(RulebookFields!C2:C999, MATCH(D3601,RulebookFields!A2:A999, 0)), "")</f>
      </c>
      <c r="I3601" s="3" t="str">
        <f>_xlfn.IFNA(INDEX(RulebookFields!D2:D999, MATCH(D3601,RulebookFields!A2:A999, 0)), "")</f>
      </c>
      <c r="J3601" s="3" t="str">
        <f>_xlfn.IFNA(INDEX(RulebookFields!I2:I999, MATCH(D3601,RulebookFields!A2:A999, 0)), "")</f>
      </c>
      <c r="K3601" s="3" t="b">
        <f>AND(F3601, J3601)</f>
        <v>0</v>
      </c>
      <c r="L3601" s="3" t="b">
        <f>AND(G3601 &lt;&gt; "plain", G3601 &lt;&gt; "")</f>
        <v>0</v>
      </c>
      <c r="M3601" s="3" t="str">
        <f>IF(E3601, C3601 &amp; "|" &amp; H3601, "")</f>
        <v>principal-knowledge-authority|</v>
      </c>
      <c r="N3601" s="2" t="s">
        <v>9938</v>
      </c>
    </row>
    <row r="3602">
      <c r="A3602" s="2" t="s">
        <v>13538</v>
      </c>
      <c r="B3602" s="3" t="str">
        <f>C3602 &amp; " -&gt; " &amp; D3602</f>
        <v>principal-knowledge-authority -&gt; Vocabularies.OrphanTermCount</v>
      </c>
      <c r="C3602" s="2" t="s">
        <v>9708</v>
      </c>
      <c r="D3602" s="2" t="s">
        <v>5639</v>
      </c>
      <c r="E3602" s="2" t="b">
        <v>1</v>
      </c>
      <c r="F3602" s="2" t="b">
        <v>0</v>
      </c>
      <c r="G3602" s="2" t="s">
        <v>9937</v>
      </c>
      <c r="H3602" s="3" t="str">
        <f>_xlfn.IFNA(INDEX(RulebookFields!C2:C999, MATCH(D3602,RulebookFields!A2:A999, 0)), "")</f>
      </c>
      <c r="I3602" s="3" t="str">
        <f>_xlfn.IFNA(INDEX(RulebookFields!D2:D999, MATCH(D3602,RulebookFields!A2:A999, 0)), "")</f>
      </c>
      <c r="J3602" s="3" t="str">
        <f>_xlfn.IFNA(INDEX(RulebookFields!I2:I999, MATCH(D3602,RulebookFields!A2:A999, 0)), "")</f>
      </c>
      <c r="K3602" s="3" t="b">
        <f>AND(F3602, J3602)</f>
        <v>0</v>
      </c>
      <c r="L3602" s="3" t="b">
        <f>AND(G3602 &lt;&gt; "plain", G3602 &lt;&gt; "")</f>
        <v>0</v>
      </c>
      <c r="M3602" s="3" t="str">
        <f>IF(E3602, C3602 &amp; "|" &amp; H3602, "")</f>
        <v>principal-knowledge-authority|</v>
      </c>
      <c r="N3602" s="2" t="s">
        <v>9938</v>
      </c>
    </row>
    <row r="3603">
      <c r="A3603" s="2" t="s">
        <v>13539</v>
      </c>
      <c r="B3603" s="3" t="str">
        <f>C3603 &amp; " -&gt; " &amp; D3603</f>
        <v>principal-knowledge-authority -&gt; Vocabularies.HasOrphanTerms</v>
      </c>
      <c r="C3603" s="2" t="s">
        <v>9708</v>
      </c>
      <c r="D3603" s="2" t="s">
        <v>5642</v>
      </c>
      <c r="E3603" s="2" t="b">
        <v>1</v>
      </c>
      <c r="F3603" s="2" t="b">
        <v>0</v>
      </c>
      <c r="G3603" s="2" t="s">
        <v>9937</v>
      </c>
      <c r="H3603" s="3" t="str">
        <f>_xlfn.IFNA(INDEX(RulebookFields!C2:C999, MATCH(D3603,RulebookFields!A2:A999, 0)), "")</f>
      </c>
      <c r="I3603" s="3" t="str">
        <f>_xlfn.IFNA(INDEX(RulebookFields!D2:D999, MATCH(D3603,RulebookFields!A2:A999, 0)), "")</f>
      </c>
      <c r="J3603" s="3" t="str">
        <f>_xlfn.IFNA(INDEX(RulebookFields!I2:I999, MATCH(D3603,RulebookFields!A2:A999, 0)), "")</f>
      </c>
      <c r="K3603" s="3" t="b">
        <f>AND(F3603, J3603)</f>
        <v>0</v>
      </c>
      <c r="L3603" s="3" t="b">
        <f>AND(G3603 &lt;&gt; "plain", G3603 &lt;&gt; "")</f>
        <v>0</v>
      </c>
      <c r="M3603" s="3" t="str">
        <f>IF(E3603, C3603 &amp; "|" &amp; H3603, "")</f>
        <v>principal-knowledge-authority|</v>
      </c>
      <c r="N3603" s="2" t="s">
        <v>9938</v>
      </c>
    </row>
    <row r="3604">
      <c r="A3604" s="2" t="s">
        <v>13540</v>
      </c>
      <c r="B3604" s="3" t="str">
        <f>C3604 &amp; " -&gt; " &amp; D3604</f>
        <v>principal-knowledge-authority -&gt; Vocabularies.SemanticTypeIri</v>
      </c>
      <c r="C3604" s="2" t="s">
        <v>9708</v>
      </c>
      <c r="D3604" s="2" t="s">
        <v>5645</v>
      </c>
      <c r="E3604" s="2" t="b">
        <v>1</v>
      </c>
      <c r="F3604" s="2" t="b">
        <v>0</v>
      </c>
      <c r="G3604" s="2" t="s">
        <v>9937</v>
      </c>
      <c r="H3604" s="3" t="str">
        <f>_xlfn.IFNA(INDEX(RulebookFields!C2:C999, MATCH(D3604,RulebookFields!A2:A999, 0)), "")</f>
      </c>
      <c r="I3604" s="3" t="str">
        <f>_xlfn.IFNA(INDEX(RulebookFields!D2:D999, MATCH(D3604,RulebookFields!A2:A999, 0)), "")</f>
      </c>
      <c r="J3604" s="3" t="str">
        <f>_xlfn.IFNA(INDEX(RulebookFields!I2:I999, MATCH(D3604,RulebookFields!A2:A999, 0)), "")</f>
      </c>
      <c r="K3604" s="3" t="b">
        <f>AND(F3604, J3604)</f>
        <v>0</v>
      </c>
      <c r="L3604" s="3" t="b">
        <f>AND(G3604 &lt;&gt; "plain", G3604 &lt;&gt; "")</f>
        <v>0</v>
      </c>
      <c r="M3604" s="3" t="str">
        <f>IF(E3604, C3604 &amp; "|" &amp; H3604, "")</f>
        <v>principal-knowledge-authority|</v>
      </c>
      <c r="N3604" s="2" t="s">
        <v>9938</v>
      </c>
    </row>
    <row r="3605">
      <c r="A3605" s="2" t="s">
        <v>13541</v>
      </c>
      <c r="B3605" s="3" t="str">
        <f>C3605 &amp; " -&gt; " &amp; D3605</f>
        <v>principal-knowledge-authority -&gt; VocabularyTerms.VocabularyTermId</v>
      </c>
      <c r="C3605" s="2" t="s">
        <v>9708</v>
      </c>
      <c r="D3605" s="2" t="s">
        <v>5646</v>
      </c>
      <c r="E3605" s="2" t="b">
        <v>1</v>
      </c>
      <c r="F3605" s="2" t="b">
        <v>0</v>
      </c>
      <c r="G3605" s="2" t="s">
        <v>9937</v>
      </c>
      <c r="H3605" s="3" t="str">
        <f>_xlfn.IFNA(INDEX(RulebookFields!C2:C999, MATCH(D3605,RulebookFields!A2:A999, 0)), "")</f>
      </c>
      <c r="I3605" s="3" t="str">
        <f>_xlfn.IFNA(INDEX(RulebookFields!D2:D999, MATCH(D3605,RulebookFields!A2:A999, 0)), "")</f>
      </c>
      <c r="J3605" s="3" t="str">
        <f>_xlfn.IFNA(INDEX(RulebookFields!I2:I999, MATCH(D3605,RulebookFields!A2:A999, 0)), "")</f>
      </c>
      <c r="K3605" s="3" t="b">
        <f>AND(F3605, J3605)</f>
        <v>0</v>
      </c>
      <c r="L3605" s="3" t="b">
        <f>AND(G3605 &lt;&gt; "plain", G3605 &lt;&gt; "")</f>
        <v>0</v>
      </c>
      <c r="M3605" s="3" t="str">
        <f>IF(E3605, C3605 &amp; "|" &amp; H3605, "")</f>
        <v>principal-knowledge-authority|</v>
      </c>
      <c r="N3605" s="2" t="s">
        <v>9938</v>
      </c>
    </row>
    <row r="3606">
      <c r="A3606" s="2" t="s">
        <v>13542</v>
      </c>
      <c r="B3606" s="3" t="str">
        <f>C3606 &amp; " -&gt; " &amp; D3606</f>
        <v>principal-knowledge-authority -&gt; VocabularyTerms.Name</v>
      </c>
      <c r="C3606" s="2" t="s">
        <v>9708</v>
      </c>
      <c r="D3606" s="2" t="s">
        <v>5648</v>
      </c>
      <c r="E3606" s="2" t="b">
        <v>1</v>
      </c>
      <c r="F3606" s="2" t="b">
        <v>0</v>
      </c>
      <c r="G3606" s="2" t="s">
        <v>9937</v>
      </c>
      <c r="H3606" s="3" t="str">
        <f>_xlfn.IFNA(INDEX(RulebookFields!C2:C999, MATCH(D3606,RulebookFields!A2:A999, 0)), "")</f>
      </c>
      <c r="I3606" s="3" t="str">
        <f>_xlfn.IFNA(INDEX(RulebookFields!D2:D999, MATCH(D3606,RulebookFields!A2:A999, 0)), "")</f>
      </c>
      <c r="J3606" s="3" t="str">
        <f>_xlfn.IFNA(INDEX(RulebookFields!I2:I999, MATCH(D3606,RulebookFields!A2:A999, 0)), "")</f>
      </c>
      <c r="K3606" s="3" t="b">
        <f>AND(F3606, J3606)</f>
        <v>0</v>
      </c>
      <c r="L3606" s="3" t="b">
        <f>AND(G3606 &lt;&gt; "plain", G3606 &lt;&gt; "")</f>
        <v>0</v>
      </c>
      <c r="M3606" s="3" t="str">
        <f>IF(E3606, C3606 &amp; "|" &amp; H3606, "")</f>
        <v>principal-knowledge-authority|</v>
      </c>
      <c r="N3606" s="2" t="s">
        <v>9938</v>
      </c>
    </row>
    <row r="3607">
      <c r="A3607" s="2" t="s">
        <v>13543</v>
      </c>
      <c r="B3607" s="3" t="str">
        <f>C3607 &amp; " -&gt; " &amp; D3607</f>
        <v>principal-knowledge-authority -&gt; VocabularyTerms.Vocabulary</v>
      </c>
      <c r="C3607" s="2" t="s">
        <v>9708</v>
      </c>
      <c r="D3607" s="2" t="s">
        <v>5650</v>
      </c>
      <c r="E3607" s="2" t="b">
        <v>1</v>
      </c>
      <c r="F3607" s="2" t="b">
        <v>0</v>
      </c>
      <c r="G3607" s="2" t="s">
        <v>9937</v>
      </c>
      <c r="H3607" s="3" t="str">
        <f>_xlfn.IFNA(INDEX(RulebookFields!C2:C999, MATCH(D3607,RulebookFields!A2:A999, 0)), "")</f>
      </c>
      <c r="I3607" s="3" t="str">
        <f>_xlfn.IFNA(INDEX(RulebookFields!D2:D999, MATCH(D3607,RulebookFields!A2:A999, 0)), "")</f>
      </c>
      <c r="J3607" s="3" t="str">
        <f>_xlfn.IFNA(INDEX(RulebookFields!I2:I999, MATCH(D3607,RulebookFields!A2:A999, 0)), "")</f>
      </c>
      <c r="K3607" s="3" t="b">
        <f>AND(F3607, J3607)</f>
        <v>0</v>
      </c>
      <c r="L3607" s="3" t="b">
        <f>AND(G3607 &lt;&gt; "plain", G3607 &lt;&gt; "")</f>
        <v>0</v>
      </c>
      <c r="M3607" s="3" t="str">
        <f>IF(E3607, C3607 &amp; "|" &amp; H3607, "")</f>
        <v>principal-knowledge-authority|</v>
      </c>
      <c r="N3607" s="2" t="s">
        <v>9938</v>
      </c>
    </row>
    <row r="3608">
      <c r="A3608" s="2" t="s">
        <v>13544</v>
      </c>
      <c r="B3608" s="3" t="str">
        <f>C3608 &amp; " -&gt; " &amp; D3608</f>
        <v>principal-knowledge-authority -&gt; VocabularyTerms.PrefLabel</v>
      </c>
      <c r="C3608" s="2" t="s">
        <v>9708</v>
      </c>
      <c r="D3608" s="2" t="s">
        <v>5652</v>
      </c>
      <c r="E3608" s="2" t="b">
        <v>1</v>
      </c>
      <c r="F3608" s="2" t="b">
        <v>0</v>
      </c>
      <c r="G3608" s="2" t="s">
        <v>9937</v>
      </c>
      <c r="H3608" s="3" t="str">
        <f>_xlfn.IFNA(INDEX(RulebookFields!C2:C999, MATCH(D3608,RulebookFields!A2:A999, 0)), "")</f>
      </c>
      <c r="I3608" s="3" t="str">
        <f>_xlfn.IFNA(INDEX(RulebookFields!D2:D999, MATCH(D3608,RulebookFields!A2:A999, 0)), "")</f>
      </c>
      <c r="J3608" s="3" t="str">
        <f>_xlfn.IFNA(INDEX(RulebookFields!I2:I999, MATCH(D3608,RulebookFields!A2:A999, 0)), "")</f>
      </c>
      <c r="K3608" s="3" t="b">
        <f>AND(F3608, J3608)</f>
        <v>0</v>
      </c>
      <c r="L3608" s="3" t="b">
        <f>AND(G3608 &lt;&gt; "plain", G3608 &lt;&gt; "")</f>
        <v>0</v>
      </c>
      <c r="M3608" s="3" t="str">
        <f>IF(E3608, C3608 &amp; "|" &amp; H3608, "")</f>
        <v>principal-knowledge-authority|</v>
      </c>
      <c r="N3608" s="2" t="s">
        <v>9938</v>
      </c>
    </row>
    <row r="3609">
      <c r="A3609" s="2" t="s">
        <v>13545</v>
      </c>
      <c r="B3609" s="3" t="str">
        <f>C3609 &amp; " -&gt; " &amp; D3609</f>
        <v>principal-knowledge-authority -&gt; VocabularyTerms.AltLabels</v>
      </c>
      <c r="C3609" s="2" t="s">
        <v>9708</v>
      </c>
      <c r="D3609" s="2" t="s">
        <v>5654</v>
      </c>
      <c r="E3609" s="2" t="b">
        <v>1</v>
      </c>
      <c r="F3609" s="2" t="b">
        <v>0</v>
      </c>
      <c r="G3609" s="2" t="s">
        <v>9937</v>
      </c>
      <c r="H3609" s="3" t="str">
        <f>_xlfn.IFNA(INDEX(RulebookFields!C2:C999, MATCH(D3609,RulebookFields!A2:A999, 0)), "")</f>
      </c>
      <c r="I3609" s="3" t="str">
        <f>_xlfn.IFNA(INDEX(RulebookFields!D2:D999, MATCH(D3609,RulebookFields!A2:A999, 0)), "")</f>
      </c>
      <c r="J3609" s="3" t="str">
        <f>_xlfn.IFNA(INDEX(RulebookFields!I2:I999, MATCH(D3609,RulebookFields!A2:A999, 0)), "")</f>
      </c>
      <c r="K3609" s="3" t="b">
        <f>AND(F3609, J3609)</f>
        <v>0</v>
      </c>
      <c r="L3609" s="3" t="b">
        <f>AND(G3609 &lt;&gt; "plain", G3609 &lt;&gt; "")</f>
        <v>0</v>
      </c>
      <c r="M3609" s="3" t="str">
        <f>IF(E3609, C3609 &amp; "|" &amp; H3609, "")</f>
        <v>principal-knowledge-authority|</v>
      </c>
      <c r="N3609" s="2" t="s">
        <v>9938</v>
      </c>
    </row>
    <row r="3610">
      <c r="A3610" s="2" t="s">
        <v>13546</v>
      </c>
      <c r="B3610" s="3" t="str">
        <f>C3610 &amp; " -&gt; " &amp; D3610</f>
        <v>principal-knowledge-authority -&gt; VocabularyTerms.Definition</v>
      </c>
      <c r="C3610" s="2" t="s">
        <v>9708</v>
      </c>
      <c r="D3610" s="2" t="s">
        <v>5656</v>
      </c>
      <c r="E3610" s="2" t="b">
        <v>1</v>
      </c>
      <c r="F3610" s="2" t="b">
        <v>0</v>
      </c>
      <c r="G3610" s="2" t="s">
        <v>9937</v>
      </c>
      <c r="H3610" s="3" t="str">
        <f>_xlfn.IFNA(INDEX(RulebookFields!C2:C999, MATCH(D3610,RulebookFields!A2:A999, 0)), "")</f>
      </c>
      <c r="I3610" s="3" t="str">
        <f>_xlfn.IFNA(INDEX(RulebookFields!D2:D999, MATCH(D3610,RulebookFields!A2:A999, 0)), "")</f>
      </c>
      <c r="J3610" s="3" t="str">
        <f>_xlfn.IFNA(INDEX(RulebookFields!I2:I999, MATCH(D3610,RulebookFields!A2:A999, 0)), "")</f>
      </c>
      <c r="K3610" s="3" t="b">
        <f>AND(F3610, J3610)</f>
        <v>0</v>
      </c>
      <c r="L3610" s="3" t="b">
        <f>AND(G3610 &lt;&gt; "plain", G3610 &lt;&gt; "")</f>
        <v>0</v>
      </c>
      <c r="M3610" s="3" t="str">
        <f>IF(E3610, C3610 &amp; "|" &amp; H3610, "")</f>
        <v>principal-knowledge-authority|</v>
      </c>
      <c r="N3610" s="2" t="s">
        <v>9938</v>
      </c>
    </row>
    <row r="3611">
      <c r="A3611" s="2" t="s">
        <v>13547</v>
      </c>
      <c r="B3611" s="3" t="str">
        <f>C3611 &amp; " -&gt; " &amp; D3611</f>
        <v>principal-knowledge-authority -&gt; VocabularyTerms.UsageCount</v>
      </c>
      <c r="C3611" s="2" t="s">
        <v>9708</v>
      </c>
      <c r="D3611" s="2" t="s">
        <v>5657</v>
      </c>
      <c r="E3611" s="2" t="b">
        <v>1</v>
      </c>
      <c r="F3611" s="2" t="b">
        <v>0</v>
      </c>
      <c r="G3611" s="2" t="s">
        <v>9937</v>
      </c>
      <c r="H3611" s="3" t="str">
        <f>_xlfn.IFNA(INDEX(RulebookFields!C2:C999, MATCH(D3611,RulebookFields!A2:A999, 0)), "")</f>
      </c>
      <c r="I3611" s="3" t="str">
        <f>_xlfn.IFNA(INDEX(RulebookFields!D2:D999, MATCH(D3611,RulebookFields!A2:A999, 0)), "")</f>
      </c>
      <c r="J3611" s="3" t="str">
        <f>_xlfn.IFNA(INDEX(RulebookFields!I2:I999, MATCH(D3611,RulebookFields!A2:A999, 0)), "")</f>
      </c>
      <c r="K3611" s="3" t="b">
        <f>AND(F3611, J3611)</f>
        <v>0</v>
      </c>
      <c r="L3611" s="3" t="b">
        <f>AND(G3611 &lt;&gt; "plain", G3611 &lt;&gt; "")</f>
        <v>0</v>
      </c>
      <c r="M3611" s="3" t="str">
        <f>IF(E3611, C3611 &amp; "|" &amp; H3611, "")</f>
        <v>principal-knowledge-authority|</v>
      </c>
      <c r="N3611" s="2" t="s">
        <v>9938</v>
      </c>
    </row>
    <row r="3612">
      <c r="A3612" s="2" t="s">
        <v>13548</v>
      </c>
      <c r="B3612" s="3" t="str">
        <f>C3612 &amp; " -&gt; " &amp; D3612</f>
        <v>principal-knowledge-authority -&gt; VocabularyTerms.IsOrphanTerm</v>
      </c>
      <c r="C3612" s="2" t="s">
        <v>9708</v>
      </c>
      <c r="D3612" s="2" t="s">
        <v>5659</v>
      </c>
      <c r="E3612" s="2" t="b">
        <v>1</v>
      </c>
      <c r="F3612" s="2" t="b">
        <v>0</v>
      </c>
      <c r="G3612" s="2" t="s">
        <v>9937</v>
      </c>
      <c r="H3612" s="3" t="str">
        <f>_xlfn.IFNA(INDEX(RulebookFields!C2:C999, MATCH(D3612,RulebookFields!A2:A999, 0)), "")</f>
      </c>
      <c r="I3612" s="3" t="str">
        <f>_xlfn.IFNA(INDEX(RulebookFields!D2:D999, MATCH(D3612,RulebookFields!A2:A999, 0)), "")</f>
      </c>
      <c r="J3612" s="3" t="str">
        <f>_xlfn.IFNA(INDEX(RulebookFields!I2:I999, MATCH(D3612,RulebookFields!A2:A999, 0)), "")</f>
      </c>
      <c r="K3612" s="3" t="b">
        <f>AND(F3612, J3612)</f>
        <v>0</v>
      </c>
      <c r="L3612" s="3" t="b">
        <f>AND(G3612 &lt;&gt; "plain", G3612 &lt;&gt; "")</f>
        <v>0</v>
      </c>
      <c r="M3612" s="3" t="str">
        <f>IF(E3612, C3612 &amp; "|" &amp; H3612, "")</f>
        <v>principal-knowledge-authority|</v>
      </c>
      <c r="N3612" s="2" t="s">
        <v>9938</v>
      </c>
    </row>
    <row r="3613">
      <c r="A3613" s="2" t="s">
        <v>13549</v>
      </c>
      <c r="B3613" s="3" t="str">
        <f>C3613 &amp; " -&gt; " &amp; D3613</f>
        <v>principal-knowledge-authority -&gt; VocabularyTerms.IsWidelyAdoptedTerm</v>
      </c>
      <c r="C3613" s="2" t="s">
        <v>9708</v>
      </c>
      <c r="D3613" s="2" t="s">
        <v>5662</v>
      </c>
      <c r="E3613" s="2" t="b">
        <v>1</v>
      </c>
      <c r="F3613" s="2" t="b">
        <v>0</v>
      </c>
      <c r="G3613" s="2" t="s">
        <v>9937</v>
      </c>
      <c r="H3613" s="3" t="str">
        <f>_xlfn.IFNA(INDEX(RulebookFields!C2:C999, MATCH(D3613,RulebookFields!A2:A999, 0)), "")</f>
      </c>
      <c r="I3613" s="3" t="str">
        <f>_xlfn.IFNA(INDEX(RulebookFields!D2:D999, MATCH(D3613,RulebookFields!A2:A999, 0)), "")</f>
      </c>
      <c r="J3613" s="3" t="str">
        <f>_xlfn.IFNA(INDEX(RulebookFields!I2:I999, MATCH(D3613,RulebookFields!A2:A999, 0)), "")</f>
      </c>
      <c r="K3613" s="3" t="b">
        <f>AND(F3613, J3613)</f>
        <v>0</v>
      </c>
      <c r="L3613" s="3" t="b">
        <f>AND(G3613 &lt;&gt; "plain", G3613 &lt;&gt; "")</f>
        <v>0</v>
      </c>
      <c r="M3613" s="3" t="str">
        <f>IF(E3613, C3613 &amp; "|" &amp; H3613, "")</f>
        <v>principal-knowledge-authority|</v>
      </c>
      <c r="N3613" s="2" t="s">
        <v>9938</v>
      </c>
    </row>
    <row r="3614">
      <c r="A3614" s="2" t="s">
        <v>13550</v>
      </c>
      <c r="B3614" s="3" t="str">
        <f>C3614 &amp; " -&gt; " &amp; D3614</f>
        <v>principal-knowledge-authority -&gt; VocabularyTerms.OrphanTermVocabularyKey</v>
      </c>
      <c r="C3614" s="2" t="s">
        <v>9708</v>
      </c>
      <c r="D3614" s="2" t="s">
        <v>5665</v>
      </c>
      <c r="E3614" s="2" t="b">
        <v>1</v>
      </c>
      <c r="F3614" s="2" t="b">
        <v>0</v>
      </c>
      <c r="G3614" s="2" t="s">
        <v>9937</v>
      </c>
      <c r="H3614" s="3" t="str">
        <f>_xlfn.IFNA(INDEX(RulebookFields!C2:C999, MATCH(D3614,RulebookFields!A2:A999, 0)), "")</f>
      </c>
      <c r="I3614" s="3" t="str">
        <f>_xlfn.IFNA(INDEX(RulebookFields!D2:D999, MATCH(D3614,RulebookFields!A2:A999, 0)), "")</f>
      </c>
      <c r="J3614" s="3" t="str">
        <f>_xlfn.IFNA(INDEX(RulebookFields!I2:I999, MATCH(D3614,RulebookFields!A2:A999, 0)), "")</f>
      </c>
      <c r="K3614" s="3" t="b">
        <f>AND(F3614, J3614)</f>
        <v>0</v>
      </c>
      <c r="L3614" s="3" t="b">
        <f>AND(G3614 &lt;&gt; "plain", G3614 &lt;&gt; "")</f>
        <v>0</v>
      </c>
      <c r="M3614" s="3" t="str">
        <f>IF(E3614, C3614 &amp; "|" &amp; H3614, "")</f>
        <v>principal-knowledge-authority|</v>
      </c>
      <c r="N3614" s="2" t="s">
        <v>9938</v>
      </c>
    </row>
    <row r="3615">
      <c r="A3615" s="2" t="s">
        <v>13551</v>
      </c>
      <c r="B3615" s="3" t="str">
        <f>C3615 &amp; " -&gt; " &amp; D3615</f>
        <v>principal-knowledge-authority -&gt; VocabularyTerms.SemanticTypeIri</v>
      </c>
      <c r="C3615" s="2" t="s">
        <v>9708</v>
      </c>
      <c r="D3615" s="2" t="s">
        <v>5668</v>
      </c>
      <c r="E3615" s="2" t="b">
        <v>1</v>
      </c>
      <c r="F3615" s="2" t="b">
        <v>0</v>
      </c>
      <c r="G3615" s="2" t="s">
        <v>9937</v>
      </c>
      <c r="H3615" s="3" t="str">
        <f>_xlfn.IFNA(INDEX(RulebookFields!C2:C999, MATCH(D3615,RulebookFields!A2:A999, 0)), "")</f>
      </c>
      <c r="I3615" s="3" t="str">
        <f>_xlfn.IFNA(INDEX(RulebookFields!D2:D999, MATCH(D3615,RulebookFields!A2:A999, 0)), "")</f>
      </c>
      <c r="J3615" s="3" t="str">
        <f>_xlfn.IFNA(INDEX(RulebookFields!I2:I999, MATCH(D3615,RulebookFields!A2:A999, 0)), "")</f>
      </c>
      <c r="K3615" s="3" t="b">
        <f>AND(F3615, J3615)</f>
        <v>0</v>
      </c>
      <c r="L3615" s="3" t="b">
        <f>AND(G3615 &lt;&gt; "plain", G3615 &lt;&gt; "")</f>
        <v>0</v>
      </c>
      <c r="M3615" s="3" t="str">
        <f>IF(E3615, C3615 &amp; "|" &amp; H3615, "")</f>
        <v>principal-knowledge-authority|</v>
      </c>
      <c r="N3615" s="2" t="s">
        <v>9938</v>
      </c>
    </row>
    <row r="3616">
      <c r="A3616" s="2" t="s">
        <v>13552</v>
      </c>
      <c r="B3616" s="3" t="str">
        <f>C3616 &amp; " -&gt; " &amp; D3616</f>
        <v>principal-knowledge-authority -&gt; KnowledgeBrokerLinks.KnowledgeBrokerLinkId</v>
      </c>
      <c r="C3616" s="2" t="s">
        <v>9708</v>
      </c>
      <c r="D3616" s="2" t="s">
        <v>5669</v>
      </c>
      <c r="E3616" s="2" t="b">
        <v>1</v>
      </c>
      <c r="F3616" s="2" t="b">
        <v>0</v>
      </c>
      <c r="G3616" s="2" t="s">
        <v>9937</v>
      </c>
      <c r="H3616" s="3" t="str">
        <f>_xlfn.IFNA(INDEX(RulebookFields!C2:C999, MATCH(D3616,RulebookFields!A2:A999, 0)), "")</f>
      </c>
      <c r="I3616" s="3" t="str">
        <f>_xlfn.IFNA(INDEX(RulebookFields!D2:D999, MATCH(D3616,RulebookFields!A2:A999, 0)), "")</f>
      </c>
      <c r="J3616" s="3" t="str">
        <f>_xlfn.IFNA(INDEX(RulebookFields!I2:I999, MATCH(D3616,RulebookFields!A2:A999, 0)), "")</f>
      </c>
      <c r="K3616" s="3" t="b">
        <f>AND(F3616, J3616)</f>
        <v>0</v>
      </c>
      <c r="L3616" s="3" t="b">
        <f>AND(G3616 &lt;&gt; "plain", G3616 &lt;&gt; "")</f>
        <v>0</v>
      </c>
      <c r="M3616" s="3" t="str">
        <f>IF(E3616, C3616 &amp; "|" &amp; H3616, "")</f>
        <v>principal-knowledge-authority|</v>
      </c>
      <c r="N3616" s="2" t="s">
        <v>9938</v>
      </c>
    </row>
    <row r="3617">
      <c r="A3617" s="2" t="s">
        <v>13553</v>
      </c>
      <c r="B3617" s="3" t="str">
        <f>C3617 &amp; " -&gt; " &amp; D3617</f>
        <v>principal-knowledge-authority -&gt; KnowledgeBrokerLinks.Name</v>
      </c>
      <c r="C3617" s="2" t="s">
        <v>9708</v>
      </c>
      <c r="D3617" s="2" t="s">
        <v>5671</v>
      </c>
      <c r="E3617" s="2" t="b">
        <v>1</v>
      </c>
      <c r="F3617" s="2" t="b">
        <v>0</v>
      </c>
      <c r="G3617" s="2" t="s">
        <v>9937</v>
      </c>
      <c r="H3617" s="3" t="str">
        <f>_xlfn.IFNA(INDEX(RulebookFields!C2:C999, MATCH(D3617,RulebookFields!A2:A999, 0)), "")</f>
      </c>
      <c r="I3617" s="3" t="str">
        <f>_xlfn.IFNA(INDEX(RulebookFields!D2:D999, MATCH(D3617,RulebookFields!A2:A999, 0)), "")</f>
      </c>
      <c r="J3617" s="3" t="str">
        <f>_xlfn.IFNA(INDEX(RulebookFields!I2:I999, MATCH(D3617,RulebookFields!A2:A999, 0)), "")</f>
      </c>
      <c r="K3617" s="3" t="b">
        <f>AND(F3617, J3617)</f>
        <v>0</v>
      </c>
      <c r="L3617" s="3" t="b">
        <f>AND(G3617 &lt;&gt; "plain", G3617 &lt;&gt; "")</f>
        <v>0</v>
      </c>
      <c r="M3617" s="3" t="str">
        <f>IF(E3617, C3617 &amp; "|" &amp; H3617, "")</f>
        <v>principal-knowledge-authority|</v>
      </c>
      <c r="N3617" s="2" t="s">
        <v>9938</v>
      </c>
    </row>
    <row r="3618">
      <c r="A3618" s="2" t="s">
        <v>13554</v>
      </c>
      <c r="B3618" s="3" t="str">
        <f>C3618 &amp; " -&gt; " &amp; D3618</f>
        <v>principal-knowledge-authority -&gt; KnowledgeBrokerLinks.Seeker</v>
      </c>
      <c r="C3618" s="2" t="s">
        <v>9708</v>
      </c>
      <c r="D3618" s="2" t="s">
        <v>5673</v>
      </c>
      <c r="E3618" s="2" t="b">
        <v>1</v>
      </c>
      <c r="F3618" s="2" t="b">
        <v>0</v>
      </c>
      <c r="G3618" s="2" t="s">
        <v>9937</v>
      </c>
      <c r="H3618" s="3" t="str">
        <f>_xlfn.IFNA(INDEX(RulebookFields!C2:C999, MATCH(D3618,RulebookFields!A2:A999, 0)), "")</f>
      </c>
      <c r="I3618" s="3" t="str">
        <f>_xlfn.IFNA(INDEX(RulebookFields!D2:D999, MATCH(D3618,RulebookFields!A2:A999, 0)), "")</f>
      </c>
      <c r="J3618" s="3" t="str">
        <f>_xlfn.IFNA(INDEX(RulebookFields!I2:I999, MATCH(D3618,RulebookFields!A2:A999, 0)), "")</f>
      </c>
      <c r="K3618" s="3" t="b">
        <f>AND(F3618, J3618)</f>
        <v>0</v>
      </c>
      <c r="L3618" s="3" t="b">
        <f>AND(G3618 &lt;&gt; "plain", G3618 &lt;&gt; "")</f>
        <v>0</v>
      </c>
      <c r="M3618" s="3" t="str">
        <f>IF(E3618, C3618 &amp; "|" &amp; H3618, "")</f>
        <v>principal-knowledge-authority|</v>
      </c>
      <c r="N3618" s="2" t="s">
        <v>9938</v>
      </c>
    </row>
    <row r="3619">
      <c r="A3619" s="2" t="s">
        <v>13555</v>
      </c>
      <c r="B3619" s="3" t="str">
        <f>C3619 &amp; " -&gt; " &amp; D3619</f>
        <v>principal-knowledge-authority -&gt; KnowledgeBrokerLinks.Broker</v>
      </c>
      <c r="C3619" s="2" t="s">
        <v>9708</v>
      </c>
      <c r="D3619" s="2" t="s">
        <v>5675</v>
      </c>
      <c r="E3619" s="2" t="b">
        <v>1</v>
      </c>
      <c r="F3619" s="2" t="b">
        <v>0</v>
      </c>
      <c r="G3619" s="2" t="s">
        <v>9937</v>
      </c>
      <c r="H3619" s="3" t="str">
        <f>_xlfn.IFNA(INDEX(RulebookFields!C2:C999, MATCH(D3619,RulebookFields!A2:A999, 0)), "")</f>
      </c>
      <c r="I3619" s="3" t="str">
        <f>_xlfn.IFNA(INDEX(RulebookFields!D2:D999, MATCH(D3619,RulebookFields!A2:A999, 0)), "")</f>
      </c>
      <c r="J3619" s="3" t="str">
        <f>_xlfn.IFNA(INDEX(RulebookFields!I2:I999, MATCH(D3619,RulebookFields!A2:A999, 0)), "")</f>
      </c>
      <c r="K3619" s="3" t="b">
        <f>AND(F3619, J3619)</f>
        <v>0</v>
      </c>
      <c r="L3619" s="3" t="b">
        <f>AND(G3619 &lt;&gt; "plain", G3619 &lt;&gt; "")</f>
        <v>0</v>
      </c>
      <c r="M3619" s="3" t="str">
        <f>IF(E3619, C3619 &amp; "|" &amp; H3619, "")</f>
        <v>principal-knowledge-authority|</v>
      </c>
      <c r="N3619" s="2" t="s">
        <v>9938</v>
      </c>
    </row>
    <row r="3620">
      <c r="A3620" s="2" t="s">
        <v>13556</v>
      </c>
      <c r="B3620" s="3" t="str">
        <f>C3620 &amp; " -&gt; " &amp; D3620</f>
        <v>principal-knowledge-authority -&gt; KnowledgeBrokerLinks.Topic</v>
      </c>
      <c r="C3620" s="2" t="s">
        <v>9708</v>
      </c>
      <c r="D3620" s="2" t="s">
        <v>5677</v>
      </c>
      <c r="E3620" s="2" t="b">
        <v>1</v>
      </c>
      <c r="F3620" s="2" t="b">
        <v>0</v>
      </c>
      <c r="G3620" s="2" t="s">
        <v>9937</v>
      </c>
      <c r="H3620" s="3" t="str">
        <f>_xlfn.IFNA(INDEX(RulebookFields!C2:C999, MATCH(D3620,RulebookFields!A2:A999, 0)), "")</f>
      </c>
      <c r="I3620" s="3" t="str">
        <f>_xlfn.IFNA(INDEX(RulebookFields!D2:D999, MATCH(D3620,RulebookFields!A2:A999, 0)), "")</f>
      </c>
      <c r="J3620" s="3" t="str">
        <f>_xlfn.IFNA(INDEX(RulebookFields!I2:I999, MATCH(D3620,RulebookFields!A2:A999, 0)), "")</f>
      </c>
      <c r="K3620" s="3" t="b">
        <f>AND(F3620, J3620)</f>
        <v>0</v>
      </c>
      <c r="L3620" s="3" t="b">
        <f>AND(G3620 &lt;&gt; "plain", G3620 &lt;&gt; "")</f>
        <v>0</v>
      </c>
      <c r="M3620" s="3" t="str">
        <f>IF(E3620, C3620 &amp; "|" &amp; H3620, "")</f>
        <v>principal-knowledge-authority|</v>
      </c>
      <c r="N3620" s="2" t="s">
        <v>9938</v>
      </c>
    </row>
    <row r="3621">
      <c r="A3621" s="2" t="s">
        <v>13557</v>
      </c>
      <c r="B3621" s="3" t="str">
        <f>C3621 &amp; " -&gt; " &amp; D3621</f>
        <v>principal-knowledge-authority -&gt; KnowledgeBrokerLinks.Frequency</v>
      </c>
      <c r="C3621" s="2" t="s">
        <v>9708</v>
      </c>
      <c r="D3621" s="2" t="s">
        <v>5679</v>
      </c>
      <c r="E3621" s="2" t="b">
        <v>1</v>
      </c>
      <c r="F3621" s="2" t="b">
        <v>0</v>
      </c>
      <c r="G3621" s="2" t="s">
        <v>9937</v>
      </c>
      <c r="H3621" s="3" t="str">
        <f>_xlfn.IFNA(INDEX(RulebookFields!C2:C999, MATCH(D3621,RulebookFields!A2:A999, 0)), "")</f>
      </c>
      <c r="I3621" s="3" t="str">
        <f>_xlfn.IFNA(INDEX(RulebookFields!D2:D999, MATCH(D3621,RulebookFields!A2:A999, 0)), "")</f>
      </c>
      <c r="J3621" s="3" t="str">
        <f>_xlfn.IFNA(INDEX(RulebookFields!I2:I999, MATCH(D3621,RulebookFields!A2:A999, 0)), "")</f>
      </c>
      <c r="K3621" s="3" t="b">
        <f>AND(F3621, J3621)</f>
        <v>0</v>
      </c>
      <c r="L3621" s="3" t="b">
        <f>AND(G3621 &lt;&gt; "plain", G3621 &lt;&gt; "")</f>
        <v>0</v>
      </c>
      <c r="M3621" s="3" t="str">
        <f>IF(E3621, C3621 &amp; "|" &amp; H3621, "")</f>
        <v>principal-knowledge-authority|</v>
      </c>
      <c r="N3621" s="2" t="s">
        <v>9938</v>
      </c>
    </row>
    <row r="3622">
      <c r="A3622" s="2" t="s">
        <v>13558</v>
      </c>
      <c r="B3622" s="3" t="str">
        <f>C3622 &amp; " -&gt; " &amp; D3622</f>
        <v>principal-knowledge-authority -&gt; KnowledgeBrokerLinks.LastConsultedAt</v>
      </c>
      <c r="C3622" s="2" t="s">
        <v>9708</v>
      </c>
      <c r="D3622" s="2" t="s">
        <v>5681</v>
      </c>
      <c r="E3622" s="2" t="b">
        <v>1</v>
      </c>
      <c r="F3622" s="2" t="b">
        <v>0</v>
      </c>
      <c r="G3622" s="2" t="s">
        <v>9937</v>
      </c>
      <c r="H3622" s="3" t="str">
        <f>_xlfn.IFNA(INDEX(RulebookFields!C2:C999, MATCH(D3622,RulebookFields!A2:A999, 0)), "")</f>
      </c>
      <c r="I3622" s="3" t="str">
        <f>_xlfn.IFNA(INDEX(RulebookFields!D2:D999, MATCH(D3622,RulebookFields!A2:A999, 0)), "")</f>
      </c>
      <c r="J3622" s="3" t="str">
        <f>_xlfn.IFNA(INDEX(RulebookFields!I2:I999, MATCH(D3622,RulebookFields!A2:A999, 0)), "")</f>
      </c>
      <c r="K3622" s="3" t="b">
        <f>AND(F3622, J3622)</f>
        <v>0</v>
      </c>
      <c r="L3622" s="3" t="b">
        <f>AND(G3622 &lt;&gt; "plain", G3622 &lt;&gt; "")</f>
        <v>0</v>
      </c>
      <c r="M3622" s="3" t="str">
        <f>IF(E3622, C3622 &amp; "|" &amp; H3622, "")</f>
        <v>principal-knowledge-authority|</v>
      </c>
      <c r="N3622" s="2" t="s">
        <v>9938</v>
      </c>
    </row>
    <row r="3623">
      <c r="A3623" s="2" t="s">
        <v>13559</v>
      </c>
      <c r="B3623" s="3" t="str">
        <f>C3623 &amp; " -&gt; " &amp; D3623</f>
        <v>principal-knowledge-authority -&gt; KnowledgeBrokerLinks.EvaluationContext</v>
      </c>
      <c r="C3623" s="2" t="s">
        <v>9708</v>
      </c>
      <c r="D3623" s="2" t="s">
        <v>5683</v>
      </c>
      <c r="E3623" s="2" t="b">
        <v>1</v>
      </c>
      <c r="F3623" s="2" t="b">
        <v>0</v>
      </c>
      <c r="G3623" s="2" t="s">
        <v>9937</v>
      </c>
      <c r="H3623" s="3" t="str">
        <f>_xlfn.IFNA(INDEX(RulebookFields!C2:C999, MATCH(D3623,RulebookFields!A2:A999, 0)), "")</f>
      </c>
      <c r="I3623" s="3" t="str">
        <f>_xlfn.IFNA(INDEX(RulebookFields!D2:D999, MATCH(D3623,RulebookFields!A2:A999, 0)), "")</f>
      </c>
      <c r="J3623" s="3" t="str">
        <f>_xlfn.IFNA(INDEX(RulebookFields!I2:I999, MATCH(D3623,RulebookFields!A2:A999, 0)), "")</f>
      </c>
      <c r="K3623" s="3" t="b">
        <f>AND(F3623, J3623)</f>
        <v>0</v>
      </c>
      <c r="L3623" s="3" t="b">
        <f>AND(G3623 &lt;&gt; "plain", G3623 &lt;&gt; "")</f>
        <v>0</v>
      </c>
      <c r="M3623" s="3" t="str">
        <f>IF(E3623, C3623 &amp; "|" &amp; H3623, "")</f>
        <v>principal-knowledge-authority|</v>
      </c>
      <c r="N3623" s="2" t="s">
        <v>9938</v>
      </c>
    </row>
    <row r="3624">
      <c r="A3624" s="2" t="s">
        <v>13560</v>
      </c>
      <c r="B3624" s="3" t="str">
        <f>C3624 &amp; " -&gt; " &amp; D3624</f>
        <v>principal-knowledge-authority -&gt; KnowledgeBrokerLinks.AsOfInstant</v>
      </c>
      <c r="C3624" s="2" t="s">
        <v>9708</v>
      </c>
      <c r="D3624" s="2" t="s">
        <v>5684</v>
      </c>
      <c r="E3624" s="2" t="b">
        <v>1</v>
      </c>
      <c r="F3624" s="2" t="b">
        <v>0</v>
      </c>
      <c r="G3624" s="2" t="s">
        <v>9937</v>
      </c>
      <c r="H3624" s="3" t="str">
        <f>_xlfn.IFNA(INDEX(RulebookFields!C2:C999, MATCH(D3624,RulebookFields!A2:A999, 0)), "")</f>
      </c>
      <c r="I3624" s="3" t="str">
        <f>_xlfn.IFNA(INDEX(RulebookFields!D2:D999, MATCH(D3624,RulebookFields!A2:A999, 0)), "")</f>
      </c>
      <c r="J3624" s="3" t="str">
        <f>_xlfn.IFNA(INDEX(RulebookFields!I2:I999, MATCH(D3624,RulebookFields!A2:A999, 0)), "")</f>
      </c>
      <c r="K3624" s="3" t="b">
        <f>AND(F3624, J3624)</f>
        <v>0</v>
      </c>
      <c r="L3624" s="3" t="b">
        <f>AND(G3624 &lt;&gt; "plain", G3624 &lt;&gt; "")</f>
        <v>0</v>
      </c>
      <c r="M3624" s="3" t="str">
        <f>IF(E3624, C3624 &amp; "|" &amp; H3624, "")</f>
        <v>principal-knowledge-authority|</v>
      </c>
      <c r="N3624" s="2" t="s">
        <v>9938</v>
      </c>
    </row>
    <row r="3625">
      <c r="A3625" s="2" t="s">
        <v>13561</v>
      </c>
      <c r="B3625" s="3" t="str">
        <f>C3625 &amp; " -&gt; " &amp; D3625</f>
        <v>principal-knowledge-authority -&gt; KnowledgeBrokerLinks.DaysSinceConsulted</v>
      </c>
      <c r="C3625" s="2" t="s">
        <v>9708</v>
      </c>
      <c r="D3625" s="2" t="s">
        <v>5685</v>
      </c>
      <c r="E3625" s="2" t="b">
        <v>1</v>
      </c>
      <c r="F3625" s="2" t="b">
        <v>0</v>
      </c>
      <c r="G3625" s="2" t="s">
        <v>9937</v>
      </c>
      <c r="H3625" s="3" t="str">
        <f>_xlfn.IFNA(INDEX(RulebookFields!C2:C999, MATCH(D3625,RulebookFields!A2:A999, 0)), "")</f>
      </c>
      <c r="I3625" s="3" t="str">
        <f>_xlfn.IFNA(INDEX(RulebookFields!D2:D999, MATCH(D3625,RulebookFields!A2:A999, 0)), "")</f>
      </c>
      <c r="J3625" s="3" t="str">
        <f>_xlfn.IFNA(INDEX(RulebookFields!I2:I999, MATCH(D3625,RulebookFields!A2:A999, 0)), "")</f>
      </c>
      <c r="K3625" s="3" t="b">
        <f>AND(F3625, J3625)</f>
        <v>0</v>
      </c>
      <c r="L3625" s="3" t="b">
        <f>AND(G3625 &lt;&gt; "plain", G3625 &lt;&gt; "")</f>
        <v>0</v>
      </c>
      <c r="M3625" s="3" t="str">
        <f>IF(E3625, C3625 &amp; "|" &amp; H3625, "")</f>
        <v>principal-knowledge-authority|</v>
      </c>
      <c r="N3625" s="2" t="s">
        <v>9938</v>
      </c>
    </row>
    <row r="3626">
      <c r="A3626" s="2" t="s">
        <v>13562</v>
      </c>
      <c r="B3626" s="3" t="str">
        <f>C3626 &amp; " -&gt; " &amp; D3626</f>
        <v>principal-knowledge-authority -&gt; KnowledgeBrokerLinks.IsActiveReliance</v>
      </c>
      <c r="C3626" s="2" t="s">
        <v>9708</v>
      </c>
      <c r="D3626" s="2" t="s">
        <v>5688</v>
      </c>
      <c r="E3626" s="2" t="b">
        <v>1</v>
      </c>
      <c r="F3626" s="2" t="b">
        <v>0</v>
      </c>
      <c r="G3626" s="2" t="s">
        <v>9937</v>
      </c>
      <c r="H3626" s="3" t="str">
        <f>_xlfn.IFNA(INDEX(RulebookFields!C2:C999, MATCH(D3626,RulebookFields!A2:A999, 0)), "")</f>
      </c>
      <c r="I3626" s="3" t="str">
        <f>_xlfn.IFNA(INDEX(RulebookFields!D2:D999, MATCH(D3626,RulebookFields!A2:A999, 0)), "")</f>
      </c>
      <c r="J3626" s="3" t="str">
        <f>_xlfn.IFNA(INDEX(RulebookFields!I2:I999, MATCH(D3626,RulebookFields!A2:A999, 0)), "")</f>
      </c>
      <c r="K3626" s="3" t="b">
        <f>AND(F3626, J3626)</f>
        <v>0</v>
      </c>
      <c r="L3626" s="3" t="b">
        <f>AND(G3626 &lt;&gt; "plain", G3626 &lt;&gt; "")</f>
        <v>0</v>
      </c>
      <c r="M3626" s="3" t="str">
        <f>IF(E3626, C3626 &amp; "|" &amp; H3626, "")</f>
        <v>principal-knowledge-authority|</v>
      </c>
      <c r="N3626" s="2" t="s">
        <v>9938</v>
      </c>
    </row>
    <row r="3627">
      <c r="A3627" s="2" t="s">
        <v>13563</v>
      </c>
      <c r="B3627" s="3" t="str">
        <f>C3627 &amp; " -&gt; " &amp; D3627</f>
        <v>principal-knowledge-authority -&gt; KnowledgeBrokerLinks.BrokerIsStillEngaged</v>
      </c>
      <c r="C3627" s="2" t="s">
        <v>9708</v>
      </c>
      <c r="D3627" s="2" t="s">
        <v>5691</v>
      </c>
      <c r="E3627" s="2" t="b">
        <v>1</v>
      </c>
      <c r="F3627" s="2" t="b">
        <v>0</v>
      </c>
      <c r="G3627" s="2" t="s">
        <v>9937</v>
      </c>
      <c r="H3627" s="3" t="str">
        <f>_xlfn.IFNA(INDEX(RulebookFields!C2:C999, MATCH(D3627,RulebookFields!A2:A999, 0)), "")</f>
      </c>
      <c r="I3627" s="3" t="str">
        <f>_xlfn.IFNA(INDEX(RulebookFields!D2:D999, MATCH(D3627,RulebookFields!A2:A999, 0)), "")</f>
      </c>
      <c r="J3627" s="3" t="str">
        <f>_xlfn.IFNA(INDEX(RulebookFields!I2:I999, MATCH(D3627,RulebookFields!A2:A999, 0)), "")</f>
      </c>
      <c r="K3627" s="3" t="b">
        <f>AND(F3627, J3627)</f>
        <v>0</v>
      </c>
      <c r="L3627" s="3" t="b">
        <f>AND(G3627 &lt;&gt; "plain", G3627 &lt;&gt; "")</f>
        <v>0</v>
      </c>
      <c r="M3627" s="3" t="str">
        <f>IF(E3627, C3627 &amp; "|" &amp; H3627, "")</f>
        <v>principal-knowledge-authority|</v>
      </c>
      <c r="N3627" s="2" t="s">
        <v>9938</v>
      </c>
    </row>
    <row r="3628">
      <c r="A3628" s="2" t="s">
        <v>13564</v>
      </c>
      <c r="B3628" s="3" t="str">
        <f>C3628 &amp; " -&gt; " &amp; D3628</f>
        <v>principal-knowledge-authority -&gt; KnowledgeBrokerLinks.IsAtRiskReliance</v>
      </c>
      <c r="C3628" s="2" t="s">
        <v>9708</v>
      </c>
      <c r="D3628" s="2" t="s">
        <v>5694</v>
      </c>
      <c r="E3628" s="2" t="b">
        <v>1</v>
      </c>
      <c r="F3628" s="2" t="b">
        <v>0</v>
      </c>
      <c r="G3628" s="2" t="s">
        <v>9937</v>
      </c>
      <c r="H3628" s="3" t="str">
        <f>_xlfn.IFNA(INDEX(RulebookFields!C2:C999, MATCH(D3628,RulebookFields!A2:A999, 0)), "")</f>
      </c>
      <c r="I3628" s="3" t="str">
        <f>_xlfn.IFNA(INDEX(RulebookFields!D2:D999, MATCH(D3628,RulebookFields!A2:A999, 0)), "")</f>
      </c>
      <c r="J3628" s="3" t="str">
        <f>_xlfn.IFNA(INDEX(RulebookFields!I2:I999, MATCH(D3628,RulebookFields!A2:A999, 0)), "")</f>
      </c>
      <c r="K3628" s="3" t="b">
        <f>AND(F3628, J3628)</f>
        <v>0</v>
      </c>
      <c r="L3628" s="3" t="b">
        <f>AND(G3628 &lt;&gt; "plain", G3628 &lt;&gt; "")</f>
        <v>0</v>
      </c>
      <c r="M3628" s="3" t="str">
        <f>IF(E3628, C3628 &amp; "|" &amp; H3628, "")</f>
        <v>principal-knowledge-authority|</v>
      </c>
      <c r="N3628" s="2" t="s">
        <v>9938</v>
      </c>
    </row>
    <row r="3629">
      <c r="A3629" s="2" t="s">
        <v>13565</v>
      </c>
      <c r="B3629" s="3" t="str">
        <f>C3629 &amp; " -&gt; " &amp; D3629</f>
        <v>principal-knowledge-authority -&gt; KnowledgeBrokerLinks.ActiveRelianceBrokerKey</v>
      </c>
      <c r="C3629" s="2" t="s">
        <v>9708</v>
      </c>
      <c r="D3629" s="2" t="s">
        <v>5697</v>
      </c>
      <c r="E3629" s="2" t="b">
        <v>1</v>
      </c>
      <c r="F3629" s="2" t="b">
        <v>0</v>
      </c>
      <c r="G3629" s="2" t="s">
        <v>9937</v>
      </c>
      <c r="H3629" s="3" t="str">
        <f>_xlfn.IFNA(INDEX(RulebookFields!C2:C999, MATCH(D3629,RulebookFields!A2:A999, 0)), "")</f>
      </c>
      <c r="I3629" s="3" t="str">
        <f>_xlfn.IFNA(INDEX(RulebookFields!D2:D999, MATCH(D3629,RulebookFields!A2:A999, 0)), "")</f>
      </c>
      <c r="J3629" s="3" t="str">
        <f>_xlfn.IFNA(INDEX(RulebookFields!I2:I999, MATCH(D3629,RulebookFields!A2:A999, 0)), "")</f>
      </c>
      <c r="K3629" s="3" t="b">
        <f>AND(F3629, J3629)</f>
        <v>0</v>
      </c>
      <c r="L3629" s="3" t="b">
        <f>AND(G3629 &lt;&gt; "plain", G3629 &lt;&gt; "")</f>
        <v>0</v>
      </c>
      <c r="M3629" s="3" t="str">
        <f>IF(E3629, C3629 &amp; "|" &amp; H3629, "")</f>
        <v>principal-knowledge-authority|</v>
      </c>
      <c r="N3629" s="2" t="s">
        <v>9938</v>
      </c>
    </row>
    <row r="3630">
      <c r="A3630" s="2" t="s">
        <v>13566</v>
      </c>
      <c r="B3630" s="3" t="str">
        <f>C3630 &amp; " -&gt; " &amp; D3630</f>
        <v>principal-knowledge-authority -&gt; KnowledgeBrokerLinks.AtRiskBrokerKey</v>
      </c>
      <c r="C3630" s="2" t="s">
        <v>9708</v>
      </c>
      <c r="D3630" s="2" t="s">
        <v>5700</v>
      </c>
      <c r="E3630" s="2" t="b">
        <v>1</v>
      </c>
      <c r="F3630" s="2" t="b">
        <v>0</v>
      </c>
      <c r="G3630" s="2" t="s">
        <v>9937</v>
      </c>
      <c r="H3630" s="3" t="str">
        <f>_xlfn.IFNA(INDEX(RulebookFields!C2:C999, MATCH(D3630,RulebookFields!A2:A999, 0)), "")</f>
      </c>
      <c r="I3630" s="3" t="str">
        <f>_xlfn.IFNA(INDEX(RulebookFields!D2:D999, MATCH(D3630,RulebookFields!A2:A999, 0)), "")</f>
      </c>
      <c r="J3630" s="3" t="str">
        <f>_xlfn.IFNA(INDEX(RulebookFields!I2:I999, MATCH(D3630,RulebookFields!A2:A999, 0)), "")</f>
      </c>
      <c r="K3630" s="3" t="b">
        <f>AND(F3630, J3630)</f>
        <v>0</v>
      </c>
      <c r="L3630" s="3" t="b">
        <f>AND(G3630 &lt;&gt; "plain", G3630 &lt;&gt; "")</f>
        <v>0</v>
      </c>
      <c r="M3630" s="3" t="str">
        <f>IF(E3630, C3630 &amp; "|" &amp; H3630, "")</f>
        <v>principal-knowledge-authority|</v>
      </c>
      <c r="N3630" s="2" t="s">
        <v>9938</v>
      </c>
    </row>
    <row r="3631">
      <c r="A3631" s="2" t="s">
        <v>13567</v>
      </c>
      <c r="B3631" s="3" t="str">
        <f>C3631 &amp; " -&gt; " &amp; D3631</f>
        <v>principal-knowledge-authority -&gt; KnowledgeBrokerLinks.SemanticTypeIri</v>
      </c>
      <c r="C3631" s="2" t="s">
        <v>9708</v>
      </c>
      <c r="D3631" s="2" t="s">
        <v>5703</v>
      </c>
      <c r="E3631" s="2" t="b">
        <v>1</v>
      </c>
      <c r="F3631" s="2" t="b">
        <v>0</v>
      </c>
      <c r="G3631" s="2" t="s">
        <v>9937</v>
      </c>
      <c r="H3631" s="3" t="str">
        <f>_xlfn.IFNA(INDEX(RulebookFields!C2:C999, MATCH(D3631,RulebookFields!A2:A999, 0)), "")</f>
      </c>
      <c r="I3631" s="3" t="str">
        <f>_xlfn.IFNA(INDEX(RulebookFields!D2:D999, MATCH(D3631,RulebookFields!A2:A999, 0)), "")</f>
      </c>
      <c r="J3631" s="3" t="str">
        <f>_xlfn.IFNA(INDEX(RulebookFields!I2:I999, MATCH(D3631,RulebookFields!A2:A999, 0)), "")</f>
      </c>
      <c r="K3631" s="3" t="b">
        <f>AND(F3631, J3631)</f>
        <v>0</v>
      </c>
      <c r="L3631" s="3" t="b">
        <f>AND(G3631 &lt;&gt; "plain", G3631 &lt;&gt; "")</f>
        <v>0</v>
      </c>
      <c r="M3631" s="3" t="str">
        <f>IF(E3631, C3631 &amp; "|" &amp; H3631, "")</f>
        <v>principal-knowledge-authority|</v>
      </c>
      <c r="N3631" s="2" t="s">
        <v>9938</v>
      </c>
    </row>
    <row r="3632">
      <c r="A3632" s="2" t="s">
        <v>13568</v>
      </c>
      <c r="B3632" s="3" t="str">
        <f>C3632 &amp; " -&gt; " &amp; D3632</f>
        <v>principal-knowledge-authority -&gt; ProcedureVersions.MiningRunCount</v>
      </c>
      <c r="C3632" s="2" t="s">
        <v>9708</v>
      </c>
      <c r="D3632" s="2" t="s">
        <v>2810</v>
      </c>
      <c r="E3632" s="2" t="b">
        <v>1</v>
      </c>
      <c r="F3632" s="2" t="b">
        <v>0</v>
      </c>
      <c r="G3632" s="2" t="s">
        <v>9937</v>
      </c>
      <c r="H3632" s="3" t="str">
        <f>_xlfn.IFNA(INDEX(RulebookFields!C2:C999, MATCH(D3632,RulebookFields!A2:A999, 0)), "")</f>
        <v>ProcedureVersions</v>
      </c>
      <c r="I3632" s="3" t="str">
        <f>_xlfn.IFNA(INDEX(RulebookFields!D2:D999, MATCH(D3632,RulebookFields!A2:A999, 0)), "")</f>
        <v>MiningRunCount</v>
      </c>
      <c r="J3632" s="3" t="b">
        <f>_xlfn.IFNA(INDEX(RulebookFields!I2:I999, MATCH(D3632,RulebookFields!A2:A999, 0)), "")</f>
        <v>1</v>
      </c>
      <c r="K3632" s="3" t="b">
        <f>AND(F3632, J3632)</f>
        <v>0</v>
      </c>
      <c r="L3632" s="3" t="b">
        <f>AND(G3632 &lt;&gt; "plain", G3632 &lt;&gt; "")</f>
        <v>0</v>
      </c>
      <c r="M3632" s="3" t="str">
        <f>IF(E3632, C3632 &amp; "|" &amp; H3632, "")</f>
        <v>principal-knowledge-authority|ProcedureVersions</v>
      </c>
      <c r="N3632" s="2" t="s">
        <v>9938</v>
      </c>
    </row>
    <row r="3633">
      <c r="A3633" s="2" t="s">
        <v>13569</v>
      </c>
      <c r="B3633" s="3" t="str">
        <f>C3633 &amp; " -&gt; " &amp; D3633</f>
        <v>principal-knowledge-authority -&gt; ProcedureVersions.DriftedMiningRunCount</v>
      </c>
      <c r="C3633" s="2" t="s">
        <v>9708</v>
      </c>
      <c r="D3633" s="2" t="s">
        <v>2812</v>
      </c>
      <c r="E3633" s="2" t="b">
        <v>1</v>
      </c>
      <c r="F3633" s="2" t="b">
        <v>0</v>
      </c>
      <c r="G3633" s="2" t="s">
        <v>9937</v>
      </c>
      <c r="H3633" s="3" t="str">
        <f>_xlfn.IFNA(INDEX(RulebookFields!C2:C999, MATCH(D3633,RulebookFields!A2:A999, 0)), "")</f>
        <v>ProcedureVersions</v>
      </c>
      <c r="I3633" s="3" t="str">
        <f>_xlfn.IFNA(INDEX(RulebookFields!D2:D999, MATCH(D3633,RulebookFields!A2:A999, 0)), "")</f>
        <v>DriftedMiningRunCount</v>
      </c>
      <c r="J3633" s="3" t="b">
        <f>_xlfn.IFNA(INDEX(RulebookFields!I2:I999, MATCH(D3633,RulebookFields!A2:A999, 0)), "")</f>
        <v>1</v>
      </c>
      <c r="K3633" s="3" t="b">
        <f>AND(F3633, J3633)</f>
        <v>0</v>
      </c>
      <c r="L3633" s="3" t="b">
        <f>AND(G3633 &lt;&gt; "plain", G3633 &lt;&gt; "")</f>
        <v>0</v>
      </c>
      <c r="M3633" s="3" t="str">
        <f>IF(E3633, C3633 &amp; "|" &amp; H3633, "")</f>
        <v>principal-knowledge-authority|ProcedureVersions</v>
      </c>
      <c r="N3633" s="2" t="s">
        <v>9938</v>
      </c>
    </row>
    <row r="3634">
      <c r="A3634" s="2" t="s">
        <v>13570</v>
      </c>
      <c r="B3634" s="3" t="str">
        <f>C3634 &amp; " -&gt; " &amp; D3634</f>
        <v>principal-knowledge-authority -&gt; ProcedureVersions.HasUnresolvedMiningDrift</v>
      </c>
      <c r="C3634" s="2" t="s">
        <v>9708</v>
      </c>
      <c r="D3634" s="2" t="s">
        <v>2814</v>
      </c>
      <c r="E3634" s="2" t="b">
        <v>1</v>
      </c>
      <c r="F3634" s="2" t="b">
        <v>0</v>
      </c>
      <c r="G3634" s="2" t="s">
        <v>9937</v>
      </c>
      <c r="H3634" s="3" t="str">
        <f>_xlfn.IFNA(INDEX(RulebookFields!C2:C999, MATCH(D3634,RulebookFields!A2:A999, 0)), "")</f>
        <v>ProcedureVersions</v>
      </c>
      <c r="I3634" s="3" t="str">
        <f>_xlfn.IFNA(INDEX(RulebookFields!D2:D999, MATCH(D3634,RulebookFields!A2:A999, 0)), "")</f>
        <v>HasUnresolvedMiningDrift</v>
      </c>
      <c r="J3634" s="3" t="b">
        <f>_xlfn.IFNA(INDEX(RulebookFields!I2:I999, MATCH(D3634,RulebookFields!A2:A999, 0)), "")</f>
        <v>1</v>
      </c>
      <c r="K3634" s="3" t="b">
        <f>AND(F3634, J3634)</f>
        <v>0</v>
      </c>
      <c r="L3634" s="3" t="b">
        <f>AND(G3634 &lt;&gt; "plain", G3634 &lt;&gt; "")</f>
        <v>0</v>
      </c>
      <c r="M3634" s="3" t="str">
        <f>IF(E3634, C3634 &amp; "|" &amp; H3634, "")</f>
        <v>principal-knowledge-authority|ProcedureVersions</v>
      </c>
      <c r="N3634" s="2" t="s">
        <v>9938</v>
      </c>
    </row>
    <row r="3635">
      <c r="A3635" s="2" t="s">
        <v>13571</v>
      </c>
      <c r="B3635" s="3" t="str">
        <f>C3635 &amp; " -&gt; " &amp; D3635</f>
        <v>principal-knowledge-authority -&gt; Requirements.ControlledTerm</v>
      </c>
      <c r="C3635" s="2" t="s">
        <v>9708</v>
      </c>
      <c r="D3635" s="2" t="s">
        <v>3048</v>
      </c>
      <c r="E3635" s="2" t="b">
        <v>1</v>
      </c>
      <c r="F3635" s="2" t="b">
        <v>0</v>
      </c>
      <c r="G3635" s="2" t="s">
        <v>9937</v>
      </c>
      <c r="H3635" s="3" t="str">
        <f>_xlfn.IFNA(INDEX(RulebookFields!C2:C999, MATCH(D3635,RulebookFields!A2:A999, 0)), "")</f>
        <v>Requirements</v>
      </c>
      <c r="I3635" s="3" t="str">
        <f>_xlfn.IFNA(INDEX(RulebookFields!D2:D999, MATCH(D3635,RulebookFields!A2:A999, 0)), "")</f>
        <v>ControlledTerm</v>
      </c>
      <c r="J3635" s="3" t="b">
        <f>_xlfn.IFNA(INDEX(RulebookFields!I2:I999, MATCH(D3635,RulebookFields!A2:A999, 0)), "")</f>
        <v>0</v>
      </c>
      <c r="K3635" s="3" t="b">
        <f>AND(F3635, J3635)</f>
        <v>0</v>
      </c>
      <c r="L3635" s="3" t="b">
        <f>AND(G3635 &lt;&gt; "plain", G3635 &lt;&gt; "")</f>
        <v>0</v>
      </c>
      <c r="M3635" s="3" t="str">
        <f>IF(E3635, C3635 &amp; "|" &amp; H3635, "")</f>
        <v>principal-knowledge-authority|Requirements</v>
      </c>
      <c r="N3635" s="2" t="s">
        <v>9938</v>
      </c>
    </row>
    <row r="3636">
      <c r="A3636" s="2" t="s">
        <v>13572</v>
      </c>
      <c r="B3636" s="3" t="str">
        <f>C3636 &amp; " -&gt; " &amp; D3636</f>
        <v>principal-knowledge-authority -&gt; Requirements.UsesControlledVocabulary</v>
      </c>
      <c r="C3636" s="2" t="s">
        <v>9708</v>
      </c>
      <c r="D3636" s="2" t="s">
        <v>3049</v>
      </c>
      <c r="E3636" s="2" t="b">
        <v>1</v>
      </c>
      <c r="F3636" s="2" t="b">
        <v>0</v>
      </c>
      <c r="G3636" s="2" t="s">
        <v>9937</v>
      </c>
      <c r="H3636" s="3" t="str">
        <f>_xlfn.IFNA(INDEX(RulebookFields!C2:C999, MATCH(D3636,RulebookFields!A2:A999, 0)), "")</f>
        <v>Requirements</v>
      </c>
      <c r="I3636" s="3" t="str">
        <f>_xlfn.IFNA(INDEX(RulebookFields!D2:D999, MATCH(D3636,RulebookFields!A2:A999, 0)), "")</f>
        <v>UsesControlledVocabulary</v>
      </c>
      <c r="J3636" s="3" t="b">
        <f>_xlfn.IFNA(INDEX(RulebookFields!I2:I999, MATCH(D3636,RulebookFields!A2:A999, 0)), "")</f>
        <v>1</v>
      </c>
      <c r="K3636" s="3" t="b">
        <f>AND(F3636, J3636)</f>
        <v>0</v>
      </c>
      <c r="L3636" s="3" t="b">
        <f>AND(G3636 &lt;&gt; "plain", G3636 &lt;&gt; "")</f>
        <v>0</v>
      </c>
      <c r="M3636" s="3" t="str">
        <f>IF(E3636, C3636 &amp; "|" &amp; H3636, "")</f>
        <v>principal-knowledge-authority|Requirements</v>
      </c>
      <c r="N3636" s="2" t="s">
        <v>9938</v>
      </c>
    </row>
    <row r="3637">
      <c r="A3637" s="2" t="s">
        <v>13573</v>
      </c>
      <c r="B3637" s="3" t="str">
        <f>C3637 &amp; " -&gt; " &amp; D3637</f>
        <v>principal-knowledge-authority -&gt; Agents.TimesNamedAsBroker</v>
      </c>
      <c r="C3637" s="2" t="s">
        <v>9708</v>
      </c>
      <c r="D3637" s="2" t="s">
        <v>2462</v>
      </c>
      <c r="E3637" s="2" t="b">
        <v>1</v>
      </c>
      <c r="F3637" s="2" t="b">
        <v>0</v>
      </c>
      <c r="G3637" s="2" t="s">
        <v>9937</v>
      </c>
      <c r="H3637" s="3" t="str">
        <f>_xlfn.IFNA(INDEX(RulebookFields!C2:C999, MATCH(D3637,RulebookFields!A2:A999, 0)), "")</f>
        <v>Agents</v>
      </c>
      <c r="I3637" s="3" t="str">
        <f>_xlfn.IFNA(INDEX(RulebookFields!D2:D999, MATCH(D3637,RulebookFields!A2:A999, 0)), "")</f>
        <v>TimesNamedAsBroker</v>
      </c>
      <c r="J3637" s="3" t="b">
        <f>_xlfn.IFNA(INDEX(RulebookFields!I2:I999, MATCH(D3637,RulebookFields!A2:A999, 0)), "")</f>
        <v>1</v>
      </c>
      <c r="K3637" s="3" t="b">
        <f>AND(F3637, J3637)</f>
        <v>0</v>
      </c>
      <c r="L3637" s="3" t="b">
        <f>AND(G3637 &lt;&gt; "plain", G3637 &lt;&gt; "")</f>
        <v>0</v>
      </c>
      <c r="M3637" s="3" t="str">
        <f>IF(E3637, C3637 &amp; "|" &amp; H3637, "")</f>
        <v>principal-knowledge-authority|Agents</v>
      </c>
      <c r="N3637" s="2" t="s">
        <v>9938</v>
      </c>
    </row>
    <row r="3638">
      <c r="A3638" s="2" t="s">
        <v>13574</v>
      </c>
      <c r="B3638" s="3" t="str">
        <f>C3638 &amp; " -&gt; " &amp; D3638</f>
        <v>principal-knowledge-authority -&gt; Agents.IsRecognizedBroker</v>
      </c>
      <c r="C3638" s="2" t="s">
        <v>9708</v>
      </c>
      <c r="D3638" s="2" t="s">
        <v>2464</v>
      </c>
      <c r="E3638" s="2" t="b">
        <v>1</v>
      </c>
      <c r="F3638" s="2" t="b">
        <v>0</v>
      </c>
      <c r="G3638" s="2" t="s">
        <v>9937</v>
      </c>
      <c r="H3638" s="3" t="str">
        <f>_xlfn.IFNA(INDEX(RulebookFields!C2:C999, MATCH(D3638,RulebookFields!A2:A999, 0)), "")</f>
        <v>Agents</v>
      </c>
      <c r="I3638" s="3" t="str">
        <f>_xlfn.IFNA(INDEX(RulebookFields!D2:D999, MATCH(D3638,RulebookFields!A2:A999, 0)), "")</f>
        <v>IsRecognizedBroker</v>
      </c>
      <c r="J3638" s="3" t="b">
        <f>_xlfn.IFNA(INDEX(RulebookFields!I2:I999, MATCH(D3638,RulebookFields!A2:A999, 0)), "")</f>
        <v>1</v>
      </c>
      <c r="K3638" s="3" t="b">
        <f>AND(F3638, J3638)</f>
        <v>0</v>
      </c>
      <c r="L3638" s="3" t="b">
        <f>AND(G3638 &lt;&gt; "plain", G3638 &lt;&gt; "")</f>
        <v>0</v>
      </c>
      <c r="M3638" s="3" t="str">
        <f>IF(E3638, C3638 &amp; "|" &amp; H3638, "")</f>
        <v>principal-knowledge-authority|Agents</v>
      </c>
      <c r="N3638" s="2" t="s">
        <v>9938</v>
      </c>
    </row>
    <row r="3639">
      <c r="A3639" s="2" t="s">
        <v>13575</v>
      </c>
      <c r="B3639" s="3" t="str">
        <f>C3639 &amp; " -&gt; " &amp; D3639</f>
        <v>principal-knowledge-authority -&gt; Agents.AtRiskRelianceCount</v>
      </c>
      <c r="C3639" s="2" t="s">
        <v>9708</v>
      </c>
      <c r="D3639" s="2" t="s">
        <v>2466</v>
      </c>
      <c r="E3639" s="2" t="b">
        <v>1</v>
      </c>
      <c r="F3639" s="2" t="b">
        <v>0</v>
      </c>
      <c r="G3639" s="2" t="s">
        <v>9937</v>
      </c>
      <c r="H3639" s="3" t="str">
        <f>_xlfn.IFNA(INDEX(RulebookFields!C2:C999, MATCH(D3639,RulebookFields!A2:A999, 0)), "")</f>
        <v>Agents</v>
      </c>
      <c r="I3639" s="3" t="str">
        <f>_xlfn.IFNA(INDEX(RulebookFields!D2:D999, MATCH(D3639,RulebookFields!A2:A999, 0)), "")</f>
        <v>AtRiskRelianceCount</v>
      </c>
      <c r="J3639" s="3" t="b">
        <f>_xlfn.IFNA(INDEX(RulebookFields!I2:I999, MATCH(D3639,RulebookFields!A2:A999, 0)), "")</f>
        <v>1</v>
      </c>
      <c r="K3639" s="3" t="b">
        <f>AND(F3639, J3639)</f>
        <v>0</v>
      </c>
      <c r="L3639" s="3" t="b">
        <f>AND(G3639 &lt;&gt; "plain", G3639 &lt;&gt; "")</f>
        <v>0</v>
      </c>
      <c r="M3639" s="3" t="str">
        <f>IF(E3639, C3639 &amp; "|" &amp; H3639, "")</f>
        <v>principal-knowledge-authority|Agents</v>
      </c>
      <c r="N3639" s="2" t="s">
        <v>9938</v>
      </c>
    </row>
    <row r="3640">
      <c r="A3640" s="2" t="s">
        <v>13576</v>
      </c>
      <c r="B3640" s="3" t="str">
        <f>C3640 &amp; " -&gt; " &amp; D3640</f>
        <v>principal-knowledge-authority -&gt; Agents.HasAtRiskKnowledgeReliance</v>
      </c>
      <c r="C3640" s="2" t="s">
        <v>9708</v>
      </c>
      <c r="D3640" s="2" t="s">
        <v>2468</v>
      </c>
      <c r="E3640" s="2" t="b">
        <v>1</v>
      </c>
      <c r="F3640" s="2" t="b">
        <v>0</v>
      </c>
      <c r="G3640" s="2" t="s">
        <v>9937</v>
      </c>
      <c r="H3640" s="3" t="str">
        <f>_xlfn.IFNA(INDEX(RulebookFields!C2:C999, MATCH(D3640,RulebookFields!A2:A999, 0)), "")</f>
        <v>Agents</v>
      </c>
      <c r="I3640" s="3" t="str">
        <f>_xlfn.IFNA(INDEX(RulebookFields!D2:D999, MATCH(D3640,RulebookFields!A2:A999, 0)), "")</f>
        <v>HasAtRiskKnowledgeReliance</v>
      </c>
      <c r="J3640" s="3" t="b">
        <f>_xlfn.IFNA(INDEX(RulebookFields!I2:I999, MATCH(D3640,RulebookFields!A2:A999, 0)), "")</f>
        <v>1</v>
      </c>
      <c r="K3640" s="3" t="b">
        <f>AND(F3640, J3640)</f>
        <v>0</v>
      </c>
      <c r="L3640" s="3" t="b">
        <f>AND(G3640 &lt;&gt; "plain", G3640 &lt;&gt; "")</f>
        <v>0</v>
      </c>
      <c r="M3640" s="3" t="str">
        <f>IF(E3640, C3640 &amp; "|" &amp; H3640, "")</f>
        <v>principal-knowledge-authority|Agents</v>
      </c>
      <c r="N3640" s="2" t="s">
        <v>9938</v>
      </c>
    </row>
  </sheetData>
  <autoFilter ref="A1:N1"/>
  <headerFooter/>
  <legacyDrawing r:id="rId1"/>
</worksheet>
</file>

<file path=xl/worksheets/sheet7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13"/>
  <sheetViews>
    <sheetView workbookViewId="0">
      <pane ySplit="1" topLeftCell="A2" state="frozen" activePane="bottomLeft"/>
      <selection pane="bottomLeft" activeCell="A1" sqref="A1"/>
    </sheetView>
  </sheetViews>
  <sheetFormatPr defaultRowHeight="15"/>
  <cols>
    <col min="1" max="1" width="33.191341400146484" customWidth="1"/>
    <col min="2" max="2" width="29.93674087524414" customWidth="1"/>
    <col min="3" max="3" width="33.99167251586914" customWidth="1"/>
    <col min="4" max="4" width="29.93674087524414" customWidth="1"/>
    <col min="5" max="5" width="29.93674087524414" customWidth="1"/>
    <col min="6" max="6" width="17.443378448486328" customWidth="1"/>
    <col min="7" max="7" width="17.443378448486328" customWidth="1"/>
    <col min="8" max="8" width="17.443378448486328" customWidth="1"/>
    <col min="9" max="9" width="40.32913589477539" customWidth="1"/>
  </cols>
  <sheetData>
    <row r="1">
      <c r="A1" s="1" t="s">
        <v>5414</v>
      </c>
      <c r="B1" s="1" t="s">
        <v>1</v>
      </c>
      <c r="C1" s="1" t="s">
        <v>5351</v>
      </c>
      <c r="D1" s="1" t="s">
        <v>5322</v>
      </c>
      <c r="E1" s="1" t="s">
        <v>5420</v>
      </c>
      <c r="F1" s="1" t="s">
        <v>5422</v>
      </c>
      <c r="G1" s="1" t="s">
        <v>5424</v>
      </c>
      <c r="H1" s="1" t="s">
        <v>5427</v>
      </c>
      <c r="I1" s="1" t="s">
        <v>94</v>
      </c>
    </row>
    <row r="2">
      <c r="A2" s="2" t="s">
        <v>13577</v>
      </c>
      <c r="B2" s="3" t="str">
        <f>D2</f>
        <v>pko_finance_analyst</v>
      </c>
      <c r="C2" s="2" t="s">
        <v>9685</v>
      </c>
      <c r="D2" s="2" t="s">
        <v>9686</v>
      </c>
      <c r="E2" s="3" t="str">
        <f>D2</f>
        <v>pko_finance_analyst</v>
      </c>
      <c r="F2" s="2" t="b">
        <v>1</v>
      </c>
      <c r="G2" s="3">
        <f>COUNTIFS(RoleSchemaViews!C2:C999, A2)</f>
        <v>7</v>
      </c>
      <c r="H2" s="3" t="b">
        <f>G2 = 0</f>
        <v>0</v>
      </c>
      <c r="I2" s="2" t="s">
        <v>13578</v>
      </c>
    </row>
    <row r="3">
      <c r="A3" s="2" t="s">
        <v>13579</v>
      </c>
      <c r="B3" s="3" t="str">
        <f>D3</f>
        <v>pko_controller</v>
      </c>
      <c r="C3" s="2" t="s">
        <v>9688</v>
      </c>
      <c r="D3" s="2" t="s">
        <v>9689</v>
      </c>
      <c r="E3" s="3" t="str">
        <f>D3</f>
        <v>pko_controller</v>
      </c>
      <c r="F3" s="2" t="b">
        <v>1</v>
      </c>
      <c r="G3" s="3">
        <f>COUNTIFS(RoleSchemaViews!C2:C999, A3)</f>
        <v>8</v>
      </c>
      <c r="H3" s="3" t="b">
        <f>G3 = 0</f>
        <v>0</v>
      </c>
      <c r="I3" s="2" t="s">
        <v>13578</v>
      </c>
    </row>
    <row r="4">
      <c r="A4" s="2" t="s">
        <v>13580</v>
      </c>
      <c r="B4" s="3" t="str">
        <f>D4</f>
        <v>pko_cfo</v>
      </c>
      <c r="C4" s="2" t="s">
        <v>9690</v>
      </c>
      <c r="D4" s="2" t="s">
        <v>9691</v>
      </c>
      <c r="E4" s="3" t="str">
        <f>D4</f>
        <v>pko_cfo</v>
      </c>
      <c r="F4" s="2" t="b">
        <v>1</v>
      </c>
      <c r="G4" s="3">
        <f>COUNTIFS(RoleSchemaViews!C2:C999, A4)</f>
        <v>5</v>
      </c>
      <c r="H4" s="3" t="b">
        <f>G4 = 0</f>
        <v>0</v>
      </c>
      <c r="I4" s="2" t="s">
        <v>13578</v>
      </c>
    </row>
    <row r="5">
      <c r="A5" s="2" t="s">
        <v>13581</v>
      </c>
      <c r="B5" s="3" t="str">
        <f>D5</f>
        <v>pko_hr_policy_owner</v>
      </c>
      <c r="C5" s="2" t="s">
        <v>9692</v>
      </c>
      <c r="D5" s="2" t="s">
        <v>9693</v>
      </c>
      <c r="E5" s="3" t="str">
        <f>D5</f>
        <v>pko_hr_policy_owner</v>
      </c>
      <c r="F5" s="2" t="b">
        <v>1</v>
      </c>
      <c r="G5" s="3">
        <f>COUNTIFS(RoleSchemaViews!C2:C999, A5)</f>
        <v>6</v>
      </c>
      <c r="H5" s="3" t="b">
        <f>G5 = 0</f>
        <v>0</v>
      </c>
      <c r="I5" s="2" t="s">
        <v>13578</v>
      </c>
    </row>
    <row r="6">
      <c r="A6" s="2" t="s">
        <v>13582</v>
      </c>
      <c r="B6" s="3" t="str">
        <f>D6</f>
        <v>pko_employment_counsel</v>
      </c>
      <c r="C6" s="2" t="s">
        <v>9694</v>
      </c>
      <c r="D6" s="2" t="s">
        <v>9695</v>
      </c>
      <c r="E6" s="3" t="str">
        <f>D6</f>
        <v>pko_employment_counsel</v>
      </c>
      <c r="F6" s="2" t="b">
        <v>1</v>
      </c>
      <c r="G6" s="3">
        <f>COUNTIFS(RoleSchemaViews!C2:C999, A6)</f>
        <v>5</v>
      </c>
      <c r="H6" s="3" t="b">
        <f>G6 = 0</f>
        <v>0</v>
      </c>
      <c r="I6" s="2" t="s">
        <v>13578</v>
      </c>
    </row>
    <row r="7">
      <c r="A7" s="2" t="s">
        <v>13583</v>
      </c>
      <c r="B7" s="3" t="str">
        <f>D7</f>
        <v>pko_communications_manager</v>
      </c>
      <c r="C7" s="2" t="s">
        <v>9696</v>
      </c>
      <c r="D7" s="2" t="s">
        <v>9697</v>
      </c>
      <c r="E7" s="3" t="str">
        <f>D7</f>
        <v>pko_communications_manager</v>
      </c>
      <c r="F7" s="2" t="b">
        <v>1</v>
      </c>
      <c r="G7" s="3">
        <f>COUNTIFS(RoleSchemaViews!C2:C999, A7)</f>
        <v>6</v>
      </c>
      <c r="H7" s="3" t="b">
        <f>G7 = 0</f>
        <v>0</v>
      </c>
      <c r="I7" s="2" t="s">
        <v>13578</v>
      </c>
    </row>
    <row r="8">
      <c r="A8" s="2" t="s">
        <v>13584</v>
      </c>
      <c r="B8" s="3" t="str">
        <f>D8</f>
        <v>pko_close_automation</v>
      </c>
      <c r="C8" s="2" t="s">
        <v>9698</v>
      </c>
      <c r="D8" s="2" t="s">
        <v>9699</v>
      </c>
      <c r="E8" s="3" t="str">
        <f>D8</f>
        <v>pko_close_automation</v>
      </c>
      <c r="F8" s="2" t="b">
        <v>1</v>
      </c>
      <c r="G8" s="3">
        <f>COUNTIFS(RoleSchemaViews!C2:C999, A8)</f>
        <v>3</v>
      </c>
      <c r="H8" s="3" t="b">
        <f>G8 = 0</f>
        <v>0</v>
      </c>
      <c r="I8" s="2" t="s">
        <v>13578</v>
      </c>
    </row>
    <row r="9">
      <c r="A9" s="2" t="s">
        <v>13585</v>
      </c>
      <c r="B9" s="3" t="str">
        <f>D9</f>
        <v>pko_variance_review_agent</v>
      </c>
      <c r="C9" s="2" t="s">
        <v>9700</v>
      </c>
      <c r="D9" s="2" t="s">
        <v>9701</v>
      </c>
      <c r="E9" s="3" t="str">
        <f>D9</f>
        <v>pko_variance_review_agent</v>
      </c>
      <c r="F9" s="2" t="b">
        <v>1</v>
      </c>
      <c r="G9" s="3">
        <f>COUNTIFS(RoleSchemaViews!C2:C999, A9)</f>
        <v>5</v>
      </c>
      <c r="H9" s="3" t="b">
        <f>G9 = 0</f>
        <v>0</v>
      </c>
      <c r="I9" s="2" t="s">
        <v>13578</v>
      </c>
    </row>
    <row r="10">
      <c r="A10" s="2" t="s">
        <v>13586</v>
      </c>
      <c r="B10" s="3" t="str">
        <f>D10</f>
        <v>pko_policy_drafting_agent</v>
      </c>
      <c r="C10" s="2" t="s">
        <v>9702</v>
      </c>
      <c r="D10" s="2" t="s">
        <v>9703</v>
      </c>
      <c r="E10" s="3" t="str">
        <f>D10</f>
        <v>pko_policy_drafting_agent</v>
      </c>
      <c r="F10" s="2" t="b">
        <v>1</v>
      </c>
      <c r="G10" s="3">
        <f>COUNTIFS(RoleSchemaViews!C2:C999, A10)</f>
        <v>4</v>
      </c>
      <c r="H10" s="3" t="b">
        <f>G10 = 0</f>
        <v>0</v>
      </c>
      <c r="I10" s="2" t="s">
        <v>13578</v>
      </c>
    </row>
    <row r="11">
      <c r="A11" s="2" t="s">
        <v>13587</v>
      </c>
      <c r="B11" s="3" t="str">
        <f>D11</f>
        <v>pko_notification_publisher</v>
      </c>
      <c r="C11" s="2" t="s">
        <v>9704</v>
      </c>
      <c r="D11" s="2" t="s">
        <v>9705</v>
      </c>
      <c r="E11" s="3" t="str">
        <f>D11</f>
        <v>pko_notification_publisher</v>
      </c>
      <c r="F11" s="2" t="b">
        <v>1</v>
      </c>
      <c r="G11" s="3">
        <f>COUNTIFS(RoleSchemaViews!C2:C999, A11)</f>
        <v>5</v>
      </c>
      <c r="H11" s="3" t="b">
        <f>G11 = 0</f>
        <v>0</v>
      </c>
      <c r="I11" s="2" t="s">
        <v>13578</v>
      </c>
    </row>
    <row r="12">
      <c r="A12" s="2" t="s">
        <v>13588</v>
      </c>
      <c r="B12" s="3" t="str">
        <f>D12</f>
        <v>pko_process_steward</v>
      </c>
      <c r="C12" s="2" t="s">
        <v>9706</v>
      </c>
      <c r="D12" s="2" t="s">
        <v>9707</v>
      </c>
      <c r="E12" s="3" t="str">
        <f>D12</f>
        <v>pko_process_steward</v>
      </c>
      <c r="F12" s="2" t="b">
        <v>1</v>
      </c>
      <c r="G12" s="3">
        <f>COUNTIFS(RoleSchemaViews!C2:C999, A12)</f>
        <v>74</v>
      </c>
      <c r="H12" s="3" t="b">
        <f>G12 = 0</f>
        <v>0</v>
      </c>
      <c r="I12" s="2" t="s">
        <v>13578</v>
      </c>
    </row>
    <row r="13">
      <c r="A13" s="2" t="s">
        <v>13589</v>
      </c>
      <c r="B13" s="3" t="str">
        <f>D13</f>
        <v>pko_knowledge_authority</v>
      </c>
      <c r="C13" s="2" t="s">
        <v>9708</v>
      </c>
      <c r="D13" s="2" t="s">
        <v>9709</v>
      </c>
      <c r="E13" s="3" t="str">
        <f>D13</f>
        <v>pko_knowledge_authority</v>
      </c>
      <c r="F13" s="2" t="b">
        <v>1</v>
      </c>
      <c r="G13" s="3">
        <f>COUNTIFS(RoleSchemaViews!C2:C999, A13)</f>
        <v>74</v>
      </c>
      <c r="H13" s="3" t="b">
        <f>G13 = 0</f>
        <v>0</v>
      </c>
      <c r="I13" s="2" t="s">
        <v>13578</v>
      </c>
    </row>
  </sheetData>
  <autoFilter ref="A1:I1"/>
  <headerFooter/>
  <legacyDrawing r:id="rId1"/>
</worksheet>
</file>

<file path=xl/worksheets/sheet7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203"/>
  <sheetViews>
    <sheetView workbookViewId="0">
      <pane ySplit="1" topLeftCell="A2" state="frozen" activePane="bottomLeft"/>
      <selection pane="bottomLeft" activeCell="A1" sqref="A1"/>
    </sheetView>
  </sheetViews>
  <sheetFormatPr defaultRowHeight="15"/>
  <cols>
    <col min="1" max="1" width="52.40258026123047" customWidth="1"/>
    <col min="2" max="2" width="53.63166046142578" customWidth="1"/>
    <col min="3" max="3" width="33.191341400146484" customWidth="1"/>
    <col min="4" max="4" width="33.99167251586914" customWidth="1"/>
    <col min="5" max="5" width="25.653127670288086" customWidth="1"/>
    <col min="6" max="6" width="26.150236129760742" customWidth="1"/>
    <col min="7" max="7" width="29.93674087524414" customWidth="1"/>
    <col min="8" max="8" width="29.5650634765625" customWidth="1"/>
    <col min="9" max="9" width="56.90026092529297" customWidth="1"/>
    <col min="10" max="10" width="17.443378448486328" customWidth="1"/>
    <col min="11" max="11" width="17.443378448486328" customWidth="1"/>
    <col min="12" max="12" width="17.443378448486328" customWidth="1"/>
    <col min="13" max="13" width="18.62674331665039" customWidth="1"/>
    <col min="14" max="14" width="45.01065444946289" customWidth="1"/>
  </cols>
  <sheetData>
    <row r="1">
      <c r="A1" s="1" t="s">
        <v>5432</v>
      </c>
      <c r="B1" s="1" t="s">
        <v>1</v>
      </c>
      <c r="C1" s="1" t="s">
        <v>5436</v>
      </c>
      <c r="D1" s="1" t="s">
        <v>5351</v>
      </c>
      <c r="E1" s="1" t="s">
        <v>2373</v>
      </c>
      <c r="F1" s="1" t="s">
        <v>5440</v>
      </c>
      <c r="G1" s="1" t="s">
        <v>5322</v>
      </c>
      <c r="H1" s="1" t="s">
        <v>5444</v>
      </c>
      <c r="I1" s="1" t="s">
        <v>5447</v>
      </c>
      <c r="J1" s="1" t="s">
        <v>5450</v>
      </c>
      <c r="K1" s="1" t="s">
        <v>5453</v>
      </c>
      <c r="L1" s="1" t="s">
        <v>5456</v>
      </c>
      <c r="M1" s="1" t="s">
        <v>5459</v>
      </c>
      <c r="N1" s="1" t="s">
        <v>94</v>
      </c>
    </row>
    <row r="2">
      <c r="A2" s="2" t="s">
        <v>13590</v>
      </c>
      <c r="B2" s="3" t="str">
        <f>G2 &amp; "." &amp; F2</f>
        <v>pko_finance_analyst.steps</v>
      </c>
      <c r="C2" s="2" t="s">
        <v>13577</v>
      </c>
      <c r="D2" s="2" t="s">
        <v>9685</v>
      </c>
      <c r="E2" s="2" t="s">
        <v>1758</v>
      </c>
      <c r="F2" s="2" t="s">
        <v>9655</v>
      </c>
      <c r="G2" s="3" t="str">
        <f>_xlfn.IFNA(INDEX(RoleSchemas!D2:D999, MATCH(C2,RoleSchemas!A2:A999, 0)), "")</f>
        <v>pko_finance_analyst</v>
      </c>
      <c r="H2" s="3" t="str">
        <f>_xlfn.IFNA(INDEX(RulebookTables!E2:E999, MATCH(E2,RulebookTables!A2:A999, 0)), "")</f>
        <v>vw_steps</v>
      </c>
      <c r="I2" s="3" t="str">
        <f>D2 &amp; "|" &amp; E2</f>
        <v>principal-finance-analyst|Steps</v>
      </c>
      <c r="J2" s="3">
        <f>COUNTIFS(FieldGrants!M2:M999, I2)</f>
        <v>12</v>
      </c>
      <c r="K2" s="3">
        <f>_xlfn.IFNA(INDEX(RulebookTables!H2:H999, MATCH(E2,RulebookTables!A2:A999, 0)), "")</f>
        <v>42</v>
      </c>
      <c r="L2" s="3" t="b">
        <f>AND(J2 &gt; 0, J2 &gt;= K2)</f>
        <v>0</v>
      </c>
      <c r="M2" s="3" t="b">
        <f>J2 = 0</f>
        <v>0</v>
      </c>
      <c r="N2" s="2" t="s">
        <v>13591</v>
      </c>
    </row>
    <row r="3">
      <c r="A3" s="2" t="s">
        <v>13592</v>
      </c>
      <c r="B3" s="3" t="str">
        <f>G3 &amp; "." &amp; F3</f>
        <v>pko_finance_analyst.step_executions</v>
      </c>
      <c r="C3" s="2" t="s">
        <v>13577</v>
      </c>
      <c r="D3" s="2" t="s">
        <v>9685</v>
      </c>
      <c r="E3" s="2" t="s">
        <v>1807</v>
      </c>
      <c r="F3" s="2" t="s">
        <v>9649</v>
      </c>
      <c r="G3" s="3" t="str">
        <f>_xlfn.IFNA(INDEX(RoleSchemas!D2:D999, MATCH(C3,RoleSchemas!A2:A999, 0)), "")</f>
        <v>pko_finance_analyst</v>
      </c>
      <c r="H3" s="3" t="str">
        <f>_xlfn.IFNA(INDEX(RulebookTables!E2:E999, MATCH(E3,RulebookTables!A2:A999, 0)), "")</f>
        <v>vw_step_executions</v>
      </c>
      <c r="I3" s="3" t="str">
        <f>D3 &amp; "|" &amp; E3</f>
        <v>principal-finance-analyst|StepExecutions</v>
      </c>
      <c r="J3" s="3">
        <f>COUNTIFS(FieldGrants!M2:M999, I3)</f>
        <v>10</v>
      </c>
      <c r="K3" s="3">
        <f>_xlfn.IFNA(INDEX(RulebookTables!H2:H999, MATCH(E3,RulebookTables!A2:A999, 0)), "")</f>
        <v>109</v>
      </c>
      <c r="L3" s="3" t="b">
        <f>AND(J3 &gt; 0, J3 &gt;= K3)</f>
        <v>0</v>
      </c>
      <c r="M3" s="3" t="b">
        <f>J3 = 0</f>
        <v>0</v>
      </c>
      <c r="N3" s="2" t="s">
        <v>13591</v>
      </c>
    </row>
    <row r="4">
      <c r="A4" s="2" t="s">
        <v>13593</v>
      </c>
      <c r="B4" s="3" t="str">
        <f>G4 &amp; "." &amp; F4</f>
        <v>pko_finance_analyst.procedure_executions</v>
      </c>
      <c r="C4" s="2" t="s">
        <v>13577</v>
      </c>
      <c r="D4" s="2" t="s">
        <v>9685</v>
      </c>
      <c r="E4" s="2" t="s">
        <v>1804</v>
      </c>
      <c r="F4" s="2" t="s">
        <v>9628</v>
      </c>
      <c r="G4" s="3" t="str">
        <f>_xlfn.IFNA(INDEX(RoleSchemas!D2:D999, MATCH(C4,RoleSchemas!A2:A999, 0)), "")</f>
        <v>pko_finance_analyst</v>
      </c>
      <c r="H4" s="3" t="str">
        <f>_xlfn.IFNA(INDEX(RulebookTables!E2:E999, MATCH(E4,RulebookTables!A2:A999, 0)), "")</f>
        <v>vw_procedure_executions</v>
      </c>
      <c r="I4" s="3" t="str">
        <f>D4 &amp; "|" &amp; E4</f>
        <v>principal-finance-analyst|ProcedureExecutions</v>
      </c>
      <c r="J4" s="3">
        <f>COUNTIFS(FieldGrants!M2:M999, I4)</f>
        <v>6</v>
      </c>
      <c r="K4" s="3">
        <f>_xlfn.IFNA(INDEX(RulebookTables!H2:H999, MATCH(E4,RulebookTables!A2:A999, 0)), "")</f>
        <v>78</v>
      </c>
      <c r="L4" s="3" t="b">
        <f>AND(J4 &gt; 0, J4 &gt;= K4)</f>
        <v>0</v>
      </c>
      <c r="M4" s="3" t="b">
        <f>J4 = 0</f>
        <v>0</v>
      </c>
      <c r="N4" s="2" t="s">
        <v>13591</v>
      </c>
    </row>
    <row r="5">
      <c r="A5" s="2" t="s">
        <v>13594</v>
      </c>
      <c r="B5" s="3" t="str">
        <f>G5 &amp; "." &amp; F5</f>
        <v>pko_finance_analyst.requirements</v>
      </c>
      <c r="C5" s="2" t="s">
        <v>13577</v>
      </c>
      <c r="D5" s="2" t="s">
        <v>9685</v>
      </c>
      <c r="E5" s="2" t="s">
        <v>1785</v>
      </c>
      <c r="F5" s="2" t="s">
        <v>9638</v>
      </c>
      <c r="G5" s="3" t="str">
        <f>_xlfn.IFNA(INDEX(RoleSchemas!D2:D999, MATCH(C5,RoleSchemas!A2:A999, 0)), "")</f>
        <v>pko_finance_analyst</v>
      </c>
      <c r="H5" s="3" t="str">
        <f>_xlfn.IFNA(INDEX(RulebookTables!E2:E999, MATCH(E5,RulebookTables!A2:A999, 0)), "")</f>
        <v>vw_requirements</v>
      </c>
      <c r="I5" s="3" t="str">
        <f>D5 &amp; "|" &amp; E5</f>
        <v>principal-finance-analyst|Requirements</v>
      </c>
      <c r="J5" s="3">
        <f>COUNTIFS(FieldGrants!M2:M999, I5)</f>
        <v>6</v>
      </c>
      <c r="K5" s="3">
        <f>_xlfn.IFNA(INDEX(RulebookTables!H2:H999, MATCH(E5,RulebookTables!A2:A999, 0)), "")</f>
        <v>43</v>
      </c>
      <c r="L5" s="3" t="b">
        <f>AND(J5 &gt; 0, J5 &gt;= K5)</f>
        <v>0</v>
      </c>
      <c r="M5" s="3" t="b">
        <f>J5 = 0</f>
        <v>0</v>
      </c>
      <c r="N5" s="2" t="s">
        <v>13591</v>
      </c>
    </row>
    <row r="6">
      <c r="A6" s="2" t="s">
        <v>13595</v>
      </c>
      <c r="B6" s="3" t="str">
        <f>G6 &amp; "." &amp; F6</f>
        <v>pko_finance_analyst.requirement_satisfactions</v>
      </c>
      <c r="C6" s="2" t="s">
        <v>13577</v>
      </c>
      <c r="D6" s="2" t="s">
        <v>9685</v>
      </c>
      <c r="E6" s="2" t="s">
        <v>1810</v>
      </c>
      <c r="F6" s="2" t="s">
        <v>9637</v>
      </c>
      <c r="G6" s="3" t="str">
        <f>_xlfn.IFNA(INDEX(RoleSchemas!D2:D999, MATCH(C6,RoleSchemas!A2:A999, 0)), "")</f>
        <v>pko_finance_analyst</v>
      </c>
      <c r="H6" s="3" t="str">
        <f>_xlfn.IFNA(INDEX(RulebookTables!E2:E999, MATCH(E6,RulebookTables!A2:A999, 0)), "")</f>
        <v>vw_requirement_satisfactions</v>
      </c>
      <c r="I6" s="3" t="str">
        <f>D6 &amp; "|" &amp; E6</f>
        <v>principal-finance-analyst|RequirementSatisfactions</v>
      </c>
      <c r="J6" s="3">
        <f>COUNTIFS(FieldGrants!M2:M999, I6)</f>
        <v>6</v>
      </c>
      <c r="K6" s="3">
        <f>_xlfn.IFNA(INDEX(RulebookTables!H2:H999, MATCH(E6,RulebookTables!A2:A999, 0)), "")</f>
        <v>46</v>
      </c>
      <c r="L6" s="3" t="b">
        <f>AND(J6 &gt; 0, J6 &gt;= K6)</f>
        <v>0</v>
      </c>
      <c r="M6" s="3" t="b">
        <f>J6 = 0</f>
        <v>0</v>
      </c>
      <c r="N6" s="2" t="s">
        <v>13591</v>
      </c>
    </row>
    <row r="7">
      <c r="A7" s="2" t="s">
        <v>13596</v>
      </c>
      <c r="B7" s="3" t="str">
        <f>G7 &amp; "." &amp; F7</f>
        <v>pko_finance_analyst.procedures</v>
      </c>
      <c r="C7" s="2" t="s">
        <v>13577</v>
      </c>
      <c r="D7" s="2" t="s">
        <v>9685</v>
      </c>
      <c r="E7" s="2" t="s">
        <v>1742</v>
      </c>
      <c r="F7" s="2" t="s">
        <v>9634</v>
      </c>
      <c r="G7" s="3" t="str">
        <f>_xlfn.IFNA(INDEX(RoleSchemas!D2:D999, MATCH(C7,RoleSchemas!A2:A999, 0)), "")</f>
        <v>pko_finance_analyst</v>
      </c>
      <c r="H7" s="3" t="str">
        <f>_xlfn.IFNA(INDEX(RulebookTables!E2:E999, MATCH(E7,RulebookTables!A2:A999, 0)), "")</f>
        <v>vw_procedures</v>
      </c>
      <c r="I7" s="3" t="str">
        <f>D7 &amp; "|" &amp; E7</f>
        <v>principal-finance-analyst|Procedures</v>
      </c>
      <c r="J7" s="3">
        <f>COUNTIFS(FieldGrants!M2:M999, I7)</f>
        <v>4</v>
      </c>
      <c r="K7" s="3">
        <f>_xlfn.IFNA(INDEX(RulebookTables!H2:H999, MATCH(E7,RulebookTables!A2:A999, 0)), "")</f>
        <v>11</v>
      </c>
      <c r="L7" s="3" t="b">
        <f>AND(J7 &gt; 0, J7 &gt;= K7)</f>
        <v>0</v>
      </c>
      <c r="M7" s="3" t="b">
        <f>J7 = 0</f>
        <v>0</v>
      </c>
      <c r="N7" s="2" t="s">
        <v>13591</v>
      </c>
    </row>
    <row r="8">
      <c r="A8" s="2" t="s">
        <v>13597</v>
      </c>
      <c r="B8" s="3" t="str">
        <f>G8 &amp; "." &amp; F8</f>
        <v>pko_finance_analyst.procedure_versions</v>
      </c>
      <c r="C8" s="2" t="s">
        <v>13577</v>
      </c>
      <c r="D8" s="2" t="s">
        <v>9685</v>
      </c>
      <c r="E8" s="2" t="s">
        <v>1747</v>
      </c>
      <c r="F8" s="2" t="s">
        <v>9633</v>
      </c>
      <c r="G8" s="3" t="str">
        <f>_xlfn.IFNA(INDEX(RoleSchemas!D2:D999, MATCH(C8,RoleSchemas!A2:A999, 0)), "")</f>
        <v>pko_finance_analyst</v>
      </c>
      <c r="H8" s="3" t="str">
        <f>_xlfn.IFNA(INDEX(RulebookTables!E2:E999, MATCH(E8,RulebookTables!A2:A999, 0)), "")</f>
        <v>vw_procedure_versions</v>
      </c>
      <c r="I8" s="3" t="str">
        <f>D8 &amp; "|" &amp; E8</f>
        <v>principal-finance-analyst|ProcedureVersions</v>
      </c>
      <c r="J8" s="3">
        <f>COUNTIFS(FieldGrants!M2:M999, I8)</f>
        <v>7</v>
      </c>
      <c r="K8" s="3">
        <f>_xlfn.IFNA(INDEX(RulebookTables!H2:H999, MATCH(E8,RulebookTables!A2:A999, 0)), "")</f>
        <v>86</v>
      </c>
      <c r="L8" s="3" t="b">
        <f>AND(J8 &gt; 0, J8 &gt;= K8)</f>
        <v>0</v>
      </c>
      <c r="M8" s="3" t="b">
        <f>J8 = 0</f>
        <v>0</v>
      </c>
      <c r="N8" s="2" t="s">
        <v>13591</v>
      </c>
    </row>
    <row r="9">
      <c r="A9" s="2" t="s">
        <v>13598</v>
      </c>
      <c r="B9" s="3" t="str">
        <f>G9 &amp; "." &amp; F9</f>
        <v>pko_controller.steps</v>
      </c>
      <c r="C9" s="2" t="s">
        <v>13579</v>
      </c>
      <c r="D9" s="2" t="s">
        <v>9688</v>
      </c>
      <c r="E9" s="2" t="s">
        <v>1758</v>
      </c>
      <c r="F9" s="2" t="s">
        <v>9655</v>
      </c>
      <c r="G9" s="3" t="str">
        <f>_xlfn.IFNA(INDEX(RoleSchemas!D2:D999, MATCH(C9,RoleSchemas!A2:A999, 0)), "")</f>
        <v>pko_controller</v>
      </c>
      <c r="H9" s="3" t="str">
        <f>_xlfn.IFNA(INDEX(RulebookTables!E2:E999, MATCH(E9,RulebookTables!A2:A999, 0)), "")</f>
        <v>vw_steps</v>
      </c>
      <c r="I9" s="3" t="str">
        <f>D9 &amp; "|" &amp; E9</f>
        <v>principal-controller|Steps</v>
      </c>
      <c r="J9" s="3">
        <f>COUNTIFS(FieldGrants!M2:M999, I9)</f>
        <v>13</v>
      </c>
      <c r="K9" s="3">
        <f>_xlfn.IFNA(INDEX(RulebookTables!H2:H999, MATCH(E9,RulebookTables!A2:A999, 0)), "")</f>
        <v>42</v>
      </c>
      <c r="L9" s="3" t="b">
        <f>AND(J9 &gt; 0, J9 &gt;= K9)</f>
        <v>0</v>
      </c>
      <c r="M9" s="3" t="b">
        <f>J9 = 0</f>
        <v>0</v>
      </c>
      <c r="N9" s="2" t="s">
        <v>13591</v>
      </c>
    </row>
    <row r="10">
      <c r="A10" s="2" t="s">
        <v>13599</v>
      </c>
      <c r="B10" s="3" t="str">
        <f>G10 &amp; "." &amp; F10</f>
        <v>pko_controller.step_executions</v>
      </c>
      <c r="C10" s="2" t="s">
        <v>13579</v>
      </c>
      <c r="D10" s="2" t="s">
        <v>9688</v>
      </c>
      <c r="E10" s="2" t="s">
        <v>1807</v>
      </c>
      <c r="F10" s="2" t="s">
        <v>9649</v>
      </c>
      <c r="G10" s="3" t="str">
        <f>_xlfn.IFNA(INDEX(RoleSchemas!D2:D999, MATCH(C10,RoleSchemas!A2:A999, 0)), "")</f>
        <v>pko_controller</v>
      </c>
      <c r="H10" s="3" t="str">
        <f>_xlfn.IFNA(INDEX(RulebookTables!E2:E999, MATCH(E10,RulebookTables!A2:A999, 0)), "")</f>
        <v>vw_step_executions</v>
      </c>
      <c r="I10" s="3" t="str">
        <f>D10 &amp; "|" &amp; E10</f>
        <v>principal-controller|StepExecutions</v>
      </c>
      <c r="J10" s="3">
        <f>COUNTIFS(FieldGrants!M2:M999, I10)</f>
        <v>8</v>
      </c>
      <c r="K10" s="3">
        <f>_xlfn.IFNA(INDEX(RulebookTables!H2:H999, MATCH(E10,RulebookTables!A2:A999, 0)), "")</f>
        <v>109</v>
      </c>
      <c r="L10" s="3" t="b">
        <f>AND(J10 &gt; 0, J10 &gt;= K10)</f>
        <v>0</v>
      </c>
      <c r="M10" s="3" t="b">
        <f>J10 = 0</f>
        <v>0</v>
      </c>
      <c r="N10" s="2" t="s">
        <v>13591</v>
      </c>
    </row>
    <row r="11">
      <c r="A11" s="2" t="s">
        <v>13600</v>
      </c>
      <c r="B11" s="3" t="str">
        <f>G11 &amp; "." &amp; F11</f>
        <v>pko_controller.procedure_executions</v>
      </c>
      <c r="C11" s="2" t="s">
        <v>13579</v>
      </c>
      <c r="D11" s="2" t="s">
        <v>9688</v>
      </c>
      <c r="E11" s="2" t="s">
        <v>1804</v>
      </c>
      <c r="F11" s="2" t="s">
        <v>9628</v>
      </c>
      <c r="G11" s="3" t="str">
        <f>_xlfn.IFNA(INDEX(RoleSchemas!D2:D999, MATCH(C11,RoleSchemas!A2:A999, 0)), "")</f>
        <v>pko_controller</v>
      </c>
      <c r="H11" s="3" t="str">
        <f>_xlfn.IFNA(INDEX(RulebookTables!E2:E999, MATCH(E11,RulebookTables!A2:A999, 0)), "")</f>
        <v>vw_procedure_executions</v>
      </c>
      <c r="I11" s="3" t="str">
        <f>D11 &amp; "|" &amp; E11</f>
        <v>principal-controller|ProcedureExecutions</v>
      </c>
      <c r="J11" s="3">
        <f>COUNTIFS(FieldGrants!M2:M999, I11)</f>
        <v>6</v>
      </c>
      <c r="K11" s="3">
        <f>_xlfn.IFNA(INDEX(RulebookTables!H2:H999, MATCH(E11,RulebookTables!A2:A999, 0)), "")</f>
        <v>78</v>
      </c>
      <c r="L11" s="3" t="b">
        <f>AND(J11 &gt; 0, J11 &gt;= K11)</f>
        <v>0</v>
      </c>
      <c r="M11" s="3" t="b">
        <f>J11 = 0</f>
        <v>0</v>
      </c>
      <c r="N11" s="2" t="s">
        <v>13591</v>
      </c>
    </row>
    <row r="12">
      <c r="A12" s="2" t="s">
        <v>13601</v>
      </c>
      <c r="B12" s="3" t="str">
        <f>G12 &amp; "." &amp; F12</f>
        <v>pko_controller.exceptions</v>
      </c>
      <c r="C12" s="2" t="s">
        <v>13579</v>
      </c>
      <c r="D12" s="2" t="s">
        <v>9688</v>
      </c>
      <c r="E12" s="2" t="s">
        <v>3095</v>
      </c>
      <c r="F12" s="2" t="s">
        <v>9614</v>
      </c>
      <c r="G12" s="3" t="str">
        <f>_xlfn.IFNA(INDEX(RoleSchemas!D2:D999, MATCH(C12,RoleSchemas!A2:A999, 0)), "")</f>
        <v>pko_controller</v>
      </c>
      <c r="H12" s="3" t="str">
        <f>_xlfn.IFNA(INDEX(RulebookTables!E2:E999, MATCH(E12,RulebookTables!A2:A999, 0)), "")</f>
        <v>vw_exceptions</v>
      </c>
      <c r="I12" s="3" t="str">
        <f>D12 &amp; "|" &amp; E12</f>
        <v>principal-controller|Exceptions</v>
      </c>
      <c r="J12" s="3">
        <f>COUNTIFS(FieldGrants!M2:M999, I12)</f>
        <v>11</v>
      </c>
      <c r="K12" s="3">
        <f>_xlfn.IFNA(INDEX(RulebookTables!H2:H999, MATCH(E12,RulebookTables!A2:A999, 0)), "")</f>
        <v>11</v>
      </c>
      <c r="L12" s="3" t="b">
        <f>AND(J12 &gt; 0, J12 &gt;= K12)</f>
        <v>1</v>
      </c>
      <c r="M12" s="3" t="b">
        <f>J12 = 0</f>
        <v>0</v>
      </c>
      <c r="N12" s="2" t="s">
        <v>13591</v>
      </c>
    </row>
    <row r="13">
      <c r="A13" s="2" t="s">
        <v>13602</v>
      </c>
      <c r="B13" s="3" t="str">
        <f>G13 &amp; "." &amp; F13</f>
        <v>pko_controller.change_requests</v>
      </c>
      <c r="C13" s="2" t="s">
        <v>13579</v>
      </c>
      <c r="D13" s="2" t="s">
        <v>9688</v>
      </c>
      <c r="E13" s="2" t="s">
        <v>3848</v>
      </c>
      <c r="F13" s="2" t="s">
        <v>9604</v>
      </c>
      <c r="G13" s="3" t="str">
        <f>_xlfn.IFNA(INDEX(RoleSchemas!D2:D999, MATCH(C13,RoleSchemas!A2:A999, 0)), "")</f>
        <v>pko_controller</v>
      </c>
      <c r="H13" s="3" t="str">
        <f>_xlfn.IFNA(INDEX(RulebookTables!E2:E999, MATCH(E13,RulebookTables!A2:A999, 0)), "")</f>
        <v>vw_change_requests</v>
      </c>
      <c r="I13" s="3" t="str">
        <f>D13 &amp; "|" &amp; E13</f>
        <v>principal-controller|ChangeRequests</v>
      </c>
      <c r="J13" s="3">
        <f>COUNTIFS(FieldGrants!M2:M999, I13)</f>
        <v>10</v>
      </c>
      <c r="K13" s="3">
        <f>_xlfn.IFNA(INDEX(RulebookTables!H2:H999, MATCH(E13,RulebookTables!A2:A999, 0)), "")</f>
        <v>45</v>
      </c>
      <c r="L13" s="3" t="b">
        <f>AND(J13 &gt; 0, J13 &gt;= K13)</f>
        <v>0</v>
      </c>
      <c r="M13" s="3" t="b">
        <f>J13 = 0</f>
        <v>0</v>
      </c>
      <c r="N13" s="2" t="s">
        <v>13591</v>
      </c>
    </row>
    <row r="14">
      <c r="A14" s="2" t="s">
        <v>13603</v>
      </c>
      <c r="B14" s="3" t="str">
        <f>G14 &amp; "." &amp; F14</f>
        <v>pko_controller.knowledge_fragments</v>
      </c>
      <c r="C14" s="2" t="s">
        <v>13579</v>
      </c>
      <c r="D14" s="2" t="s">
        <v>9688</v>
      </c>
      <c r="E14" s="2" t="s">
        <v>1831</v>
      </c>
      <c r="F14" s="2" t="s">
        <v>9618</v>
      </c>
      <c r="G14" s="3" t="str">
        <f>_xlfn.IFNA(INDEX(RoleSchemas!D2:D999, MATCH(C14,RoleSchemas!A2:A999, 0)), "")</f>
        <v>pko_controller</v>
      </c>
      <c r="H14" s="3" t="str">
        <f>_xlfn.IFNA(INDEX(RulebookTables!E2:E999, MATCH(E14,RulebookTables!A2:A999, 0)), "")</f>
        <v>vw_knowledge_fragments</v>
      </c>
      <c r="I14" s="3" t="str">
        <f>D14 &amp; "|" &amp; E14</f>
        <v>principal-controller|KnowledgeFragments</v>
      </c>
      <c r="J14" s="3">
        <f>COUNTIFS(FieldGrants!M2:M999, I14)</f>
        <v>8</v>
      </c>
      <c r="K14" s="3">
        <f>_xlfn.IFNA(INDEX(RulebookTables!H2:H999, MATCH(E14,RulebookTables!A2:A999, 0)), "")</f>
        <v>80</v>
      </c>
      <c r="L14" s="3" t="b">
        <f>AND(J14 &gt; 0, J14 &gt;= K14)</f>
        <v>0</v>
      </c>
      <c r="M14" s="3" t="b">
        <f>J14 = 0</f>
        <v>0</v>
      </c>
      <c r="N14" s="2" t="s">
        <v>13591</v>
      </c>
    </row>
    <row r="15">
      <c r="A15" s="2" t="s">
        <v>13604</v>
      </c>
      <c r="B15" s="3" t="str">
        <f>G15 &amp; "." &amp; F15</f>
        <v>pko_controller.requirements</v>
      </c>
      <c r="C15" s="2" t="s">
        <v>13579</v>
      </c>
      <c r="D15" s="2" t="s">
        <v>9688</v>
      </c>
      <c r="E15" s="2" t="s">
        <v>1785</v>
      </c>
      <c r="F15" s="2" t="s">
        <v>9638</v>
      </c>
      <c r="G15" s="3" t="str">
        <f>_xlfn.IFNA(INDEX(RoleSchemas!D2:D999, MATCH(C15,RoleSchemas!A2:A999, 0)), "")</f>
        <v>pko_controller</v>
      </c>
      <c r="H15" s="3" t="str">
        <f>_xlfn.IFNA(INDEX(RulebookTables!E2:E999, MATCH(E15,RulebookTables!A2:A999, 0)), "")</f>
        <v>vw_requirements</v>
      </c>
      <c r="I15" s="3" t="str">
        <f>D15 &amp; "|" &amp; E15</f>
        <v>principal-controller|Requirements</v>
      </c>
      <c r="J15" s="3">
        <f>COUNTIFS(FieldGrants!M2:M999, I15)</f>
        <v>6</v>
      </c>
      <c r="K15" s="3">
        <f>_xlfn.IFNA(INDEX(RulebookTables!H2:H999, MATCH(E15,RulebookTables!A2:A999, 0)), "")</f>
        <v>43</v>
      </c>
      <c r="L15" s="3" t="b">
        <f>AND(J15 &gt; 0, J15 &gt;= K15)</f>
        <v>0</v>
      </c>
      <c r="M15" s="3" t="b">
        <f>J15 = 0</f>
        <v>0</v>
      </c>
      <c r="N15" s="2" t="s">
        <v>13591</v>
      </c>
    </row>
    <row r="16">
      <c r="A16" s="2" t="s">
        <v>13605</v>
      </c>
      <c r="B16" s="3" t="str">
        <f>G16 &amp; "." &amp; F16</f>
        <v>pko_controller.procedure_versions</v>
      </c>
      <c r="C16" s="2" t="s">
        <v>13579</v>
      </c>
      <c r="D16" s="2" t="s">
        <v>9688</v>
      </c>
      <c r="E16" s="2" t="s">
        <v>1747</v>
      </c>
      <c r="F16" s="2" t="s">
        <v>9633</v>
      </c>
      <c r="G16" s="3" t="str">
        <f>_xlfn.IFNA(INDEX(RoleSchemas!D2:D999, MATCH(C16,RoleSchemas!A2:A999, 0)), "")</f>
        <v>pko_controller</v>
      </c>
      <c r="H16" s="3" t="str">
        <f>_xlfn.IFNA(INDEX(RulebookTables!E2:E999, MATCH(E16,RulebookTables!A2:A999, 0)), "")</f>
        <v>vw_procedure_versions</v>
      </c>
      <c r="I16" s="3" t="str">
        <f>D16 &amp; "|" &amp; E16</f>
        <v>principal-controller|ProcedureVersions</v>
      </c>
      <c r="J16" s="3">
        <f>COUNTIFS(FieldGrants!M2:M999, I16)</f>
        <v>7</v>
      </c>
      <c r="K16" s="3">
        <f>_xlfn.IFNA(INDEX(RulebookTables!H2:H999, MATCH(E16,RulebookTables!A2:A999, 0)), "")</f>
        <v>86</v>
      </c>
      <c r="L16" s="3" t="b">
        <f>AND(J16 &gt; 0, J16 &gt;= K16)</f>
        <v>0</v>
      </c>
      <c r="M16" s="3" t="b">
        <f>J16 = 0</f>
        <v>0</v>
      </c>
      <c r="N16" s="2" t="s">
        <v>13591</v>
      </c>
    </row>
    <row r="17">
      <c r="A17" s="2" t="s">
        <v>13606</v>
      </c>
      <c r="B17" s="3" t="str">
        <f>G17 &amp; "." &amp; F17</f>
        <v>pko_cfo.procedure_executions</v>
      </c>
      <c r="C17" s="2" t="s">
        <v>13580</v>
      </c>
      <c r="D17" s="2" t="s">
        <v>9690</v>
      </c>
      <c r="E17" s="2" t="s">
        <v>1804</v>
      </c>
      <c r="F17" s="2" t="s">
        <v>9628</v>
      </c>
      <c r="G17" s="3" t="str">
        <f>_xlfn.IFNA(INDEX(RoleSchemas!D2:D999, MATCH(C17,RoleSchemas!A2:A999, 0)), "")</f>
        <v>pko_cfo</v>
      </c>
      <c r="H17" s="3" t="str">
        <f>_xlfn.IFNA(INDEX(RulebookTables!E2:E999, MATCH(E17,RulebookTables!A2:A999, 0)), "")</f>
        <v>vw_procedure_executions</v>
      </c>
      <c r="I17" s="3" t="str">
        <f>D17 &amp; "|" &amp; E17</f>
        <v>principal-cfo|ProcedureExecutions</v>
      </c>
      <c r="J17" s="3">
        <f>COUNTIFS(FieldGrants!M2:M999, I17)</f>
        <v>6</v>
      </c>
      <c r="K17" s="3">
        <f>_xlfn.IFNA(INDEX(RulebookTables!H2:H999, MATCH(E17,RulebookTables!A2:A999, 0)), "")</f>
        <v>78</v>
      </c>
      <c r="L17" s="3" t="b">
        <f>AND(J17 &gt; 0, J17 &gt;= K17)</f>
        <v>0</v>
      </c>
      <c r="M17" s="3" t="b">
        <f>J17 = 0</f>
        <v>0</v>
      </c>
      <c r="N17" s="2" t="s">
        <v>13591</v>
      </c>
    </row>
    <row r="18">
      <c r="A18" s="2" t="s">
        <v>13607</v>
      </c>
      <c r="B18" s="3" t="str">
        <f>G18 &amp; "." &amp; F18</f>
        <v>pko_cfo.exceptions</v>
      </c>
      <c r="C18" s="2" t="s">
        <v>13580</v>
      </c>
      <c r="D18" s="2" t="s">
        <v>9690</v>
      </c>
      <c r="E18" s="2" t="s">
        <v>3095</v>
      </c>
      <c r="F18" s="2" t="s">
        <v>9614</v>
      </c>
      <c r="G18" s="3" t="str">
        <f>_xlfn.IFNA(INDEX(RoleSchemas!D2:D999, MATCH(C18,RoleSchemas!A2:A999, 0)), "")</f>
        <v>pko_cfo</v>
      </c>
      <c r="H18" s="3" t="str">
        <f>_xlfn.IFNA(INDEX(RulebookTables!E2:E999, MATCH(E18,RulebookTables!A2:A999, 0)), "")</f>
        <v>vw_exceptions</v>
      </c>
      <c r="I18" s="3" t="str">
        <f>D18 &amp; "|" &amp; E18</f>
        <v>principal-cfo|Exceptions</v>
      </c>
      <c r="J18" s="3">
        <f>COUNTIFS(FieldGrants!M2:M999, I18)</f>
        <v>11</v>
      </c>
      <c r="K18" s="3">
        <f>_xlfn.IFNA(INDEX(RulebookTables!H2:H999, MATCH(E18,RulebookTables!A2:A999, 0)), "")</f>
        <v>11</v>
      </c>
      <c r="L18" s="3" t="b">
        <f>AND(J18 &gt; 0, J18 &gt;= K18)</f>
        <v>1</v>
      </c>
      <c r="M18" s="3" t="b">
        <f>J18 = 0</f>
        <v>0</v>
      </c>
      <c r="N18" s="2" t="s">
        <v>13591</v>
      </c>
    </row>
    <row r="19">
      <c r="A19" s="2" t="s">
        <v>13608</v>
      </c>
      <c r="B19" s="3" t="str">
        <f>G19 &amp; "." &amp; F19</f>
        <v>pko_cfo.change_requests</v>
      </c>
      <c r="C19" s="2" t="s">
        <v>13580</v>
      </c>
      <c r="D19" s="2" t="s">
        <v>9690</v>
      </c>
      <c r="E19" s="2" t="s">
        <v>3848</v>
      </c>
      <c r="F19" s="2" t="s">
        <v>9604</v>
      </c>
      <c r="G19" s="3" t="str">
        <f>_xlfn.IFNA(INDEX(RoleSchemas!D2:D999, MATCH(C19,RoleSchemas!A2:A999, 0)), "")</f>
        <v>pko_cfo</v>
      </c>
      <c r="H19" s="3" t="str">
        <f>_xlfn.IFNA(INDEX(RulebookTables!E2:E999, MATCH(E19,RulebookTables!A2:A999, 0)), "")</f>
        <v>vw_change_requests</v>
      </c>
      <c r="I19" s="3" t="str">
        <f>D19 &amp; "|" &amp; E19</f>
        <v>principal-cfo|ChangeRequests</v>
      </c>
      <c r="J19" s="3">
        <f>COUNTIFS(FieldGrants!M2:M999, I19)</f>
        <v>9</v>
      </c>
      <c r="K19" s="3">
        <f>_xlfn.IFNA(INDEX(RulebookTables!H2:H999, MATCH(E19,RulebookTables!A2:A999, 0)), "")</f>
        <v>45</v>
      </c>
      <c r="L19" s="3" t="b">
        <f>AND(J19 &gt; 0, J19 &gt;= K19)</f>
        <v>0</v>
      </c>
      <c r="M19" s="3" t="b">
        <f>J19 = 0</f>
        <v>0</v>
      </c>
      <c r="N19" s="2" t="s">
        <v>13591</v>
      </c>
    </row>
    <row r="20">
      <c r="A20" s="2" t="s">
        <v>13609</v>
      </c>
      <c r="B20" s="3" t="str">
        <f>G20 &amp; "." &amp; F20</f>
        <v>pko_cfo.authority_boundaries</v>
      </c>
      <c r="C20" s="2" t="s">
        <v>13580</v>
      </c>
      <c r="D20" s="2" t="s">
        <v>9690</v>
      </c>
      <c r="E20" s="2" t="s">
        <v>5065</v>
      </c>
      <c r="F20" s="2" t="s">
        <v>9602</v>
      </c>
      <c r="G20" s="3" t="str">
        <f>_xlfn.IFNA(INDEX(RoleSchemas!D2:D999, MATCH(C20,RoleSchemas!A2:A999, 0)), "")</f>
        <v>pko_cfo</v>
      </c>
      <c r="H20" s="3" t="str">
        <f>_xlfn.IFNA(INDEX(RulebookTables!E2:E999, MATCH(E20,RulebookTables!A2:A999, 0)), "")</f>
        <v>vw_authority_boundaries</v>
      </c>
      <c r="I20" s="3" t="str">
        <f>D20 &amp; "|" &amp; E20</f>
        <v>principal-cfo|AuthorityBoundaries</v>
      </c>
      <c r="J20" s="3">
        <f>COUNTIFS(FieldGrants!M2:M999, I20)</f>
        <v>0</v>
      </c>
      <c r="K20" s="3">
        <f>_xlfn.IFNA(INDEX(RulebookTables!H2:H999, MATCH(E20,RulebookTables!A2:A999, 0)), "")</f>
        <v>0</v>
      </c>
      <c r="L20" s="3" t="b">
        <f>AND(J20 &gt; 0, J20 &gt;= K20)</f>
        <v>0</v>
      </c>
      <c r="M20" s="3" t="b">
        <f>J20 = 0</f>
        <v>1</v>
      </c>
      <c r="N20" s="2" t="s">
        <v>13591</v>
      </c>
    </row>
    <row r="21">
      <c r="A21" s="2" t="s">
        <v>13610</v>
      </c>
      <c r="B21" s="3" t="str">
        <f>G21 &amp; "." &amp; F21</f>
        <v>pko_cfo.procedures</v>
      </c>
      <c r="C21" s="2" t="s">
        <v>13580</v>
      </c>
      <c r="D21" s="2" t="s">
        <v>9690</v>
      </c>
      <c r="E21" s="2" t="s">
        <v>1742</v>
      </c>
      <c r="F21" s="2" t="s">
        <v>9634</v>
      </c>
      <c r="G21" s="3" t="str">
        <f>_xlfn.IFNA(INDEX(RoleSchemas!D2:D999, MATCH(C21,RoleSchemas!A2:A999, 0)), "")</f>
        <v>pko_cfo</v>
      </c>
      <c r="H21" s="3" t="str">
        <f>_xlfn.IFNA(INDEX(RulebookTables!E2:E999, MATCH(E21,RulebookTables!A2:A999, 0)), "")</f>
        <v>vw_procedures</v>
      </c>
      <c r="I21" s="3" t="str">
        <f>D21 &amp; "|" &amp; E21</f>
        <v>principal-cfo|Procedures</v>
      </c>
      <c r="J21" s="3">
        <f>COUNTIFS(FieldGrants!M2:M999, I21)</f>
        <v>4</v>
      </c>
      <c r="K21" s="3">
        <f>_xlfn.IFNA(INDEX(RulebookTables!H2:H999, MATCH(E21,RulebookTables!A2:A999, 0)), "")</f>
        <v>11</v>
      </c>
      <c r="L21" s="3" t="b">
        <f>AND(J21 &gt; 0, J21 &gt;= K21)</f>
        <v>0</v>
      </c>
      <c r="M21" s="3" t="b">
        <f>J21 = 0</f>
        <v>0</v>
      </c>
      <c r="N21" s="2" t="s">
        <v>13591</v>
      </c>
    </row>
    <row r="22">
      <c r="A22" s="2" t="s">
        <v>13611</v>
      </c>
      <c r="B22" s="3" t="str">
        <f>G22 &amp; "." &amp; F22</f>
        <v>pko_hr_policy_owner.steps</v>
      </c>
      <c r="C22" s="2" t="s">
        <v>13581</v>
      </c>
      <c r="D22" s="2" t="s">
        <v>9692</v>
      </c>
      <c r="E22" s="2" t="s">
        <v>1758</v>
      </c>
      <c r="F22" s="2" t="s">
        <v>9655</v>
      </c>
      <c r="G22" s="3" t="str">
        <f>_xlfn.IFNA(INDEX(RoleSchemas!D2:D999, MATCH(C22,RoleSchemas!A2:A999, 0)), "")</f>
        <v>pko_hr_policy_owner</v>
      </c>
      <c r="H22" s="3" t="str">
        <f>_xlfn.IFNA(INDEX(RulebookTables!E2:E999, MATCH(E22,RulebookTables!A2:A999, 0)), "")</f>
        <v>vw_steps</v>
      </c>
      <c r="I22" s="3" t="str">
        <f>D22 &amp; "|" &amp; E22</f>
        <v>principal-hr-policy-owner|Steps</v>
      </c>
      <c r="J22" s="3">
        <f>COUNTIFS(FieldGrants!M2:M999, I22)</f>
        <v>12</v>
      </c>
      <c r="K22" s="3">
        <f>_xlfn.IFNA(INDEX(RulebookTables!H2:H999, MATCH(E22,RulebookTables!A2:A999, 0)), "")</f>
        <v>42</v>
      </c>
      <c r="L22" s="3" t="b">
        <f>AND(J22 &gt; 0, J22 &gt;= K22)</f>
        <v>0</v>
      </c>
      <c r="M22" s="3" t="b">
        <f>J22 = 0</f>
        <v>0</v>
      </c>
      <c r="N22" s="2" t="s">
        <v>13591</v>
      </c>
    </row>
    <row r="23">
      <c r="A23" s="2" t="s">
        <v>13612</v>
      </c>
      <c r="B23" s="3" t="str">
        <f>G23 &amp; "." &amp; F23</f>
        <v>pko_hr_policy_owner.knowledge_fragments</v>
      </c>
      <c r="C23" s="2" t="s">
        <v>13581</v>
      </c>
      <c r="D23" s="2" t="s">
        <v>9692</v>
      </c>
      <c r="E23" s="2" t="s">
        <v>1831</v>
      </c>
      <c r="F23" s="2" t="s">
        <v>9618</v>
      </c>
      <c r="G23" s="3" t="str">
        <f>_xlfn.IFNA(INDEX(RoleSchemas!D2:D999, MATCH(C23,RoleSchemas!A2:A999, 0)), "")</f>
        <v>pko_hr_policy_owner</v>
      </c>
      <c r="H23" s="3" t="str">
        <f>_xlfn.IFNA(INDEX(RulebookTables!E2:E999, MATCH(E23,RulebookTables!A2:A999, 0)), "")</f>
        <v>vw_knowledge_fragments</v>
      </c>
      <c r="I23" s="3" t="str">
        <f>D23 &amp; "|" &amp; E23</f>
        <v>principal-hr-policy-owner|KnowledgeFragments</v>
      </c>
      <c r="J23" s="3">
        <f>COUNTIFS(FieldGrants!M2:M999, I23)</f>
        <v>10</v>
      </c>
      <c r="K23" s="3">
        <f>_xlfn.IFNA(INDEX(RulebookTables!H2:H999, MATCH(E23,RulebookTables!A2:A999, 0)), "")</f>
        <v>80</v>
      </c>
      <c r="L23" s="3" t="b">
        <f>AND(J23 &gt; 0, J23 &gt;= K23)</f>
        <v>0</v>
      </c>
      <c r="M23" s="3" t="b">
        <f>J23 = 0</f>
        <v>0</v>
      </c>
      <c r="N23" s="2" t="s">
        <v>13591</v>
      </c>
    </row>
    <row r="24">
      <c r="A24" s="2" t="s">
        <v>13613</v>
      </c>
      <c r="B24" s="3" t="str">
        <f>G24 &amp; "." &amp; F24</f>
        <v>pko_hr_policy_owner.knowledge_gaps</v>
      </c>
      <c r="C24" s="2" t="s">
        <v>13581</v>
      </c>
      <c r="D24" s="2" t="s">
        <v>9692</v>
      </c>
      <c r="E24" s="2" t="s">
        <v>3302</v>
      </c>
      <c r="F24" s="2" t="s">
        <v>9619</v>
      </c>
      <c r="G24" s="3" t="str">
        <f>_xlfn.IFNA(INDEX(RoleSchemas!D2:D999, MATCH(C24,RoleSchemas!A2:A999, 0)), "")</f>
        <v>pko_hr_policy_owner</v>
      </c>
      <c r="H24" s="3" t="str">
        <f>_xlfn.IFNA(INDEX(RulebookTables!E2:E999, MATCH(E24,RulebookTables!A2:A999, 0)), "")</f>
        <v>vw_knowledge_gaps</v>
      </c>
      <c r="I24" s="3" t="str">
        <f>D24 &amp; "|" &amp; E24</f>
        <v>principal-hr-policy-owner|KnowledgeGaps</v>
      </c>
      <c r="J24" s="3">
        <f>COUNTIFS(FieldGrants!M2:M999, I24)</f>
        <v>8</v>
      </c>
      <c r="K24" s="3">
        <f>_xlfn.IFNA(INDEX(RulebookTables!H2:H999, MATCH(E24,RulebookTables!A2:A999, 0)), "")</f>
        <v>28</v>
      </c>
      <c r="L24" s="3" t="b">
        <f>AND(J24 &gt; 0, J24 &gt;= K24)</f>
        <v>0</v>
      </c>
      <c r="M24" s="3" t="b">
        <f>J24 = 0</f>
        <v>0</v>
      </c>
      <c r="N24" s="2" t="s">
        <v>13591</v>
      </c>
    </row>
    <row r="25">
      <c r="A25" s="2" t="s">
        <v>13614</v>
      </c>
      <c r="B25" s="3" t="str">
        <f>G25 &amp; "." &amp; F25</f>
        <v>pko_hr_policy_owner.change_requests</v>
      </c>
      <c r="C25" s="2" t="s">
        <v>13581</v>
      </c>
      <c r="D25" s="2" t="s">
        <v>9692</v>
      </c>
      <c r="E25" s="2" t="s">
        <v>3848</v>
      </c>
      <c r="F25" s="2" t="s">
        <v>9604</v>
      </c>
      <c r="G25" s="3" t="str">
        <f>_xlfn.IFNA(INDEX(RoleSchemas!D2:D999, MATCH(C25,RoleSchemas!A2:A999, 0)), "")</f>
        <v>pko_hr_policy_owner</v>
      </c>
      <c r="H25" s="3" t="str">
        <f>_xlfn.IFNA(INDEX(RulebookTables!E2:E999, MATCH(E25,RulebookTables!A2:A999, 0)), "")</f>
        <v>vw_change_requests</v>
      </c>
      <c r="I25" s="3" t="str">
        <f>D25 &amp; "|" &amp; E25</f>
        <v>principal-hr-policy-owner|ChangeRequests</v>
      </c>
      <c r="J25" s="3">
        <f>COUNTIFS(FieldGrants!M2:M999, I25)</f>
        <v>10</v>
      </c>
      <c r="K25" s="3">
        <f>_xlfn.IFNA(INDEX(RulebookTables!H2:H999, MATCH(E25,RulebookTables!A2:A999, 0)), "")</f>
        <v>45</v>
      </c>
      <c r="L25" s="3" t="b">
        <f>AND(J25 &gt; 0, J25 &gt;= K25)</f>
        <v>0</v>
      </c>
      <c r="M25" s="3" t="b">
        <f>J25 = 0</f>
        <v>0</v>
      </c>
      <c r="N25" s="2" t="s">
        <v>13591</v>
      </c>
    </row>
    <row r="26">
      <c r="A26" s="2" t="s">
        <v>13615</v>
      </c>
      <c r="B26" s="3" t="str">
        <f>G26 &amp; "." &amp; F26</f>
        <v>pko_hr_policy_owner.exceptions</v>
      </c>
      <c r="C26" s="2" t="s">
        <v>13581</v>
      </c>
      <c r="D26" s="2" t="s">
        <v>9692</v>
      </c>
      <c r="E26" s="2" t="s">
        <v>3095</v>
      </c>
      <c r="F26" s="2" t="s">
        <v>9614</v>
      </c>
      <c r="G26" s="3" t="str">
        <f>_xlfn.IFNA(INDEX(RoleSchemas!D2:D999, MATCH(C26,RoleSchemas!A2:A999, 0)), "")</f>
        <v>pko_hr_policy_owner</v>
      </c>
      <c r="H26" s="3" t="str">
        <f>_xlfn.IFNA(INDEX(RulebookTables!E2:E999, MATCH(E26,RulebookTables!A2:A999, 0)), "")</f>
        <v>vw_exceptions</v>
      </c>
      <c r="I26" s="3" t="str">
        <f>D26 &amp; "|" &amp; E26</f>
        <v>principal-hr-policy-owner|Exceptions</v>
      </c>
      <c r="J26" s="3">
        <f>COUNTIFS(FieldGrants!M2:M999, I26)</f>
        <v>11</v>
      </c>
      <c r="K26" s="3">
        <f>_xlfn.IFNA(INDEX(RulebookTables!H2:H999, MATCH(E26,RulebookTables!A2:A999, 0)), "")</f>
        <v>11</v>
      </c>
      <c r="L26" s="3" t="b">
        <f>AND(J26 &gt; 0, J26 &gt;= K26)</f>
        <v>1</v>
      </c>
      <c r="M26" s="3" t="b">
        <f>J26 = 0</f>
        <v>0</v>
      </c>
      <c r="N26" s="2" t="s">
        <v>13591</v>
      </c>
    </row>
    <row r="27">
      <c r="A27" s="2" t="s">
        <v>13616</v>
      </c>
      <c r="B27" s="3" t="str">
        <f>G27 &amp; "." &amp; F27</f>
        <v>pko_hr_policy_owner.message_templates</v>
      </c>
      <c r="C27" s="2" t="s">
        <v>13581</v>
      </c>
      <c r="D27" s="2" t="s">
        <v>9692</v>
      </c>
      <c r="E27" s="2" t="s">
        <v>4021</v>
      </c>
      <c r="F27" s="2" t="s">
        <v>9623</v>
      </c>
      <c r="G27" s="3" t="str">
        <f>_xlfn.IFNA(INDEX(RoleSchemas!D2:D999, MATCH(C27,RoleSchemas!A2:A999, 0)), "")</f>
        <v>pko_hr_policy_owner</v>
      </c>
      <c r="H27" s="3" t="str">
        <f>_xlfn.IFNA(INDEX(RulebookTables!E2:E999, MATCH(E27,RulebookTables!A2:A999, 0)), "")</f>
        <v>vw_message_templates</v>
      </c>
      <c r="I27" s="3" t="str">
        <f>D27 &amp; "|" &amp; E27</f>
        <v>principal-hr-policy-owner|MessageTemplates</v>
      </c>
      <c r="J27" s="3">
        <f>COUNTIFS(FieldGrants!M2:M999, I27)</f>
        <v>0</v>
      </c>
      <c r="K27" s="3">
        <f>_xlfn.IFNA(INDEX(RulebookTables!H2:H999, MATCH(E27,RulebookTables!A2:A999, 0)), "")</f>
        <v>0</v>
      </c>
      <c r="L27" s="3" t="b">
        <f>AND(J27 &gt; 0, J27 &gt;= K27)</f>
        <v>0</v>
      </c>
      <c r="M27" s="3" t="b">
        <f>J27 = 0</f>
        <v>1</v>
      </c>
      <c r="N27" s="2" t="s">
        <v>13591</v>
      </c>
    </row>
    <row r="28">
      <c r="A28" s="2" t="s">
        <v>13617</v>
      </c>
      <c r="B28" s="3" t="str">
        <f>G28 &amp; "." &amp; F28</f>
        <v>pko_employment_counsel.change_requests</v>
      </c>
      <c r="C28" s="2" t="s">
        <v>13582</v>
      </c>
      <c r="D28" s="2" t="s">
        <v>9694</v>
      </c>
      <c r="E28" s="2" t="s">
        <v>3848</v>
      </c>
      <c r="F28" s="2" t="s">
        <v>9604</v>
      </c>
      <c r="G28" s="3" t="str">
        <f>_xlfn.IFNA(INDEX(RoleSchemas!D2:D999, MATCH(C28,RoleSchemas!A2:A999, 0)), "")</f>
        <v>pko_employment_counsel</v>
      </c>
      <c r="H28" s="3" t="str">
        <f>_xlfn.IFNA(INDEX(RulebookTables!E2:E999, MATCH(E28,RulebookTables!A2:A999, 0)), "")</f>
        <v>vw_change_requests</v>
      </c>
      <c r="I28" s="3" t="str">
        <f>D28 &amp; "|" &amp; E28</f>
        <v>principal-employment-counsel|ChangeRequests</v>
      </c>
      <c r="J28" s="3">
        <f>COUNTIFS(FieldGrants!M2:M999, I28)</f>
        <v>9</v>
      </c>
      <c r="K28" s="3">
        <f>_xlfn.IFNA(INDEX(RulebookTables!H2:H999, MATCH(E28,RulebookTables!A2:A999, 0)), "")</f>
        <v>45</v>
      </c>
      <c r="L28" s="3" t="b">
        <f>AND(J28 &gt; 0, J28 &gt;= K28)</f>
        <v>0</v>
      </c>
      <c r="M28" s="3" t="b">
        <f>J28 = 0</f>
        <v>0</v>
      </c>
      <c r="N28" s="2" t="s">
        <v>13591</v>
      </c>
    </row>
    <row r="29">
      <c r="A29" s="2" t="s">
        <v>13618</v>
      </c>
      <c r="B29" s="3" t="str">
        <f>G29 &amp; "." &amp; F29</f>
        <v>pko_employment_counsel.knowledge_fragments</v>
      </c>
      <c r="C29" s="2" t="s">
        <v>13582</v>
      </c>
      <c r="D29" s="2" t="s">
        <v>9694</v>
      </c>
      <c r="E29" s="2" t="s">
        <v>1831</v>
      </c>
      <c r="F29" s="2" t="s">
        <v>9618</v>
      </c>
      <c r="G29" s="3" t="str">
        <f>_xlfn.IFNA(INDEX(RoleSchemas!D2:D999, MATCH(C29,RoleSchemas!A2:A999, 0)), "")</f>
        <v>pko_employment_counsel</v>
      </c>
      <c r="H29" s="3" t="str">
        <f>_xlfn.IFNA(INDEX(RulebookTables!E2:E999, MATCH(E29,RulebookTables!A2:A999, 0)), "")</f>
        <v>vw_knowledge_fragments</v>
      </c>
      <c r="I29" s="3" t="str">
        <f>D29 &amp; "|" &amp; E29</f>
        <v>principal-employment-counsel|KnowledgeFragments</v>
      </c>
      <c r="J29" s="3">
        <f>COUNTIFS(FieldGrants!M2:M999, I29)</f>
        <v>8</v>
      </c>
      <c r="K29" s="3">
        <f>_xlfn.IFNA(INDEX(RulebookTables!H2:H999, MATCH(E29,RulebookTables!A2:A999, 0)), "")</f>
        <v>80</v>
      </c>
      <c r="L29" s="3" t="b">
        <f>AND(J29 &gt; 0, J29 &gt;= K29)</f>
        <v>0</v>
      </c>
      <c r="M29" s="3" t="b">
        <f>J29 = 0</f>
        <v>0</v>
      </c>
      <c r="N29" s="2" t="s">
        <v>13591</v>
      </c>
    </row>
    <row r="30">
      <c r="A30" s="2" t="s">
        <v>13619</v>
      </c>
      <c r="B30" s="3" t="str">
        <f>G30 &amp; "." &amp; F30</f>
        <v>pko_employment_counsel.authority_boundaries</v>
      </c>
      <c r="C30" s="2" t="s">
        <v>13582</v>
      </c>
      <c r="D30" s="2" t="s">
        <v>9694</v>
      </c>
      <c r="E30" s="2" t="s">
        <v>5065</v>
      </c>
      <c r="F30" s="2" t="s">
        <v>9602</v>
      </c>
      <c r="G30" s="3" t="str">
        <f>_xlfn.IFNA(INDEX(RoleSchemas!D2:D999, MATCH(C30,RoleSchemas!A2:A999, 0)), "")</f>
        <v>pko_employment_counsel</v>
      </c>
      <c r="H30" s="3" t="str">
        <f>_xlfn.IFNA(INDEX(RulebookTables!E2:E999, MATCH(E30,RulebookTables!A2:A999, 0)), "")</f>
        <v>vw_authority_boundaries</v>
      </c>
      <c r="I30" s="3" t="str">
        <f>D30 &amp; "|" &amp; E30</f>
        <v>principal-employment-counsel|AuthorityBoundaries</v>
      </c>
      <c r="J30" s="3">
        <f>COUNTIFS(FieldGrants!M2:M999, I30)</f>
        <v>0</v>
      </c>
      <c r="K30" s="3">
        <f>_xlfn.IFNA(INDEX(RulebookTables!H2:H999, MATCH(E30,RulebookTables!A2:A999, 0)), "")</f>
        <v>0</v>
      </c>
      <c r="L30" s="3" t="b">
        <f>AND(J30 &gt; 0, J30 &gt;= K30)</f>
        <v>0</v>
      </c>
      <c r="M30" s="3" t="b">
        <f>J30 = 0</f>
        <v>1</v>
      </c>
      <c r="N30" s="2" t="s">
        <v>13591</v>
      </c>
    </row>
    <row r="31">
      <c r="A31" s="2" t="s">
        <v>13620</v>
      </c>
      <c r="B31" s="3" t="str">
        <f>G31 &amp; "." &amp; F31</f>
        <v>pko_employment_counsel.communication_policies</v>
      </c>
      <c r="C31" s="2" t="s">
        <v>13582</v>
      </c>
      <c r="D31" s="2" t="s">
        <v>9694</v>
      </c>
      <c r="E31" s="2" t="s">
        <v>1845</v>
      </c>
      <c r="F31" s="2" t="s">
        <v>9605</v>
      </c>
      <c r="G31" s="3" t="str">
        <f>_xlfn.IFNA(INDEX(RoleSchemas!D2:D999, MATCH(C31,RoleSchemas!A2:A999, 0)), "")</f>
        <v>pko_employment_counsel</v>
      </c>
      <c r="H31" s="3" t="str">
        <f>_xlfn.IFNA(INDEX(RulebookTables!E2:E999, MATCH(E31,RulebookTables!A2:A999, 0)), "")</f>
        <v>vw_communication_policies</v>
      </c>
      <c r="I31" s="3" t="str">
        <f>D31 &amp; "|" &amp; E31</f>
        <v>principal-employment-counsel|CommunicationPolicies</v>
      </c>
      <c r="J31" s="3">
        <f>COUNTIFS(FieldGrants!M2:M999, I31)</f>
        <v>0</v>
      </c>
      <c r="K31" s="3">
        <f>_xlfn.IFNA(INDEX(RulebookTables!H2:H999, MATCH(E31,RulebookTables!A2:A999, 0)), "")</f>
        <v>0</v>
      </c>
      <c r="L31" s="3" t="b">
        <f>AND(J31 &gt; 0, J31 &gt;= K31)</f>
        <v>0</v>
      </c>
      <c r="M31" s="3" t="b">
        <f>J31 = 0</f>
        <v>1</v>
      </c>
      <c r="N31" s="2" t="s">
        <v>13591</v>
      </c>
    </row>
    <row r="32">
      <c r="A32" s="2" t="s">
        <v>13621</v>
      </c>
      <c r="B32" s="3" t="str">
        <f>G32 &amp; "." &amp; F32</f>
        <v>pko_employment_counsel.steps</v>
      </c>
      <c r="C32" s="2" t="s">
        <v>13582</v>
      </c>
      <c r="D32" s="2" t="s">
        <v>9694</v>
      </c>
      <c r="E32" s="2" t="s">
        <v>1758</v>
      </c>
      <c r="F32" s="2" t="s">
        <v>9655</v>
      </c>
      <c r="G32" s="3" t="str">
        <f>_xlfn.IFNA(INDEX(RoleSchemas!D2:D999, MATCH(C32,RoleSchemas!A2:A999, 0)), "")</f>
        <v>pko_employment_counsel</v>
      </c>
      <c r="H32" s="3" t="str">
        <f>_xlfn.IFNA(INDEX(RulebookTables!E2:E999, MATCH(E32,RulebookTables!A2:A999, 0)), "")</f>
        <v>vw_steps</v>
      </c>
      <c r="I32" s="3" t="str">
        <f>D32 &amp; "|" &amp; E32</f>
        <v>principal-employment-counsel|Steps</v>
      </c>
      <c r="J32" s="3">
        <f>COUNTIFS(FieldGrants!M2:M999, I32)</f>
        <v>9</v>
      </c>
      <c r="K32" s="3">
        <f>_xlfn.IFNA(INDEX(RulebookTables!H2:H999, MATCH(E32,RulebookTables!A2:A999, 0)), "")</f>
        <v>42</v>
      </c>
      <c r="L32" s="3" t="b">
        <f>AND(J32 &gt; 0, J32 &gt;= K32)</f>
        <v>0</v>
      </c>
      <c r="M32" s="3" t="b">
        <f>J32 = 0</f>
        <v>0</v>
      </c>
      <c r="N32" s="2" t="s">
        <v>13591</v>
      </c>
    </row>
    <row r="33">
      <c r="A33" s="2" t="s">
        <v>13622</v>
      </c>
      <c r="B33" s="3" t="str">
        <f>G33 &amp; "." &amp; F33</f>
        <v>pko_communications_manager.communication_policies</v>
      </c>
      <c r="C33" s="2" t="s">
        <v>13583</v>
      </c>
      <c r="D33" s="2" t="s">
        <v>9696</v>
      </c>
      <c r="E33" s="2" t="s">
        <v>1845</v>
      </c>
      <c r="F33" s="2" t="s">
        <v>9605</v>
      </c>
      <c r="G33" s="3" t="str">
        <f>_xlfn.IFNA(INDEX(RoleSchemas!D2:D999, MATCH(C33,RoleSchemas!A2:A999, 0)), "")</f>
        <v>pko_communications_manager</v>
      </c>
      <c r="H33" s="3" t="str">
        <f>_xlfn.IFNA(INDEX(RulebookTables!E2:E999, MATCH(E33,RulebookTables!A2:A999, 0)), "")</f>
        <v>vw_communication_policies</v>
      </c>
      <c r="I33" s="3" t="str">
        <f>D33 &amp; "|" &amp; E33</f>
        <v>principal-communications-manager|CommunicationPolicies</v>
      </c>
      <c r="J33" s="3">
        <f>COUNTIFS(FieldGrants!M2:M999, I33)</f>
        <v>0</v>
      </c>
      <c r="K33" s="3">
        <f>_xlfn.IFNA(INDEX(RulebookTables!H2:H999, MATCH(E33,RulebookTables!A2:A999, 0)), "")</f>
        <v>0</v>
      </c>
      <c r="L33" s="3" t="b">
        <f>AND(J33 &gt; 0, J33 &gt;= K33)</f>
        <v>0</v>
      </c>
      <c r="M33" s="3" t="b">
        <f>J33 = 0</f>
        <v>1</v>
      </c>
      <c r="N33" s="2" t="s">
        <v>13591</v>
      </c>
    </row>
    <row r="34">
      <c r="A34" s="2" t="s">
        <v>13623</v>
      </c>
      <c r="B34" s="3" t="str">
        <f>G34 &amp; "." &amp; F34</f>
        <v>pko_communications_manager.message_templates</v>
      </c>
      <c r="C34" s="2" t="s">
        <v>13583</v>
      </c>
      <c r="D34" s="2" t="s">
        <v>9696</v>
      </c>
      <c r="E34" s="2" t="s">
        <v>4021</v>
      </c>
      <c r="F34" s="2" t="s">
        <v>9623</v>
      </c>
      <c r="G34" s="3" t="str">
        <f>_xlfn.IFNA(INDEX(RoleSchemas!D2:D999, MATCH(C34,RoleSchemas!A2:A999, 0)), "")</f>
        <v>pko_communications_manager</v>
      </c>
      <c r="H34" s="3" t="str">
        <f>_xlfn.IFNA(INDEX(RulebookTables!E2:E999, MATCH(E34,RulebookTables!A2:A999, 0)), "")</f>
        <v>vw_message_templates</v>
      </c>
      <c r="I34" s="3" t="str">
        <f>D34 &amp; "|" &amp; E34</f>
        <v>principal-communications-manager|MessageTemplates</v>
      </c>
      <c r="J34" s="3">
        <f>COUNTIFS(FieldGrants!M2:M999, I34)</f>
        <v>0</v>
      </c>
      <c r="K34" s="3">
        <f>_xlfn.IFNA(INDEX(RulebookTables!H2:H999, MATCH(E34,RulebookTables!A2:A999, 0)), "")</f>
        <v>0</v>
      </c>
      <c r="L34" s="3" t="b">
        <f>AND(J34 &gt; 0, J34 &gt;= K34)</f>
        <v>0</v>
      </c>
      <c r="M34" s="3" t="b">
        <f>J34 = 0</f>
        <v>1</v>
      </c>
      <c r="N34" s="2" t="s">
        <v>13591</v>
      </c>
    </row>
    <row r="35">
      <c r="A35" s="2" t="s">
        <v>13624</v>
      </c>
      <c r="B35" s="3" t="str">
        <f>G35 &amp; "." &amp; F35</f>
        <v>pko_communications_manager.send_intents</v>
      </c>
      <c r="C35" s="2" t="s">
        <v>13583</v>
      </c>
      <c r="D35" s="2" t="s">
        <v>9696</v>
      </c>
      <c r="E35" s="2" t="s">
        <v>4662</v>
      </c>
      <c r="F35" s="2" t="s">
        <v>9647</v>
      </c>
      <c r="G35" s="3" t="str">
        <f>_xlfn.IFNA(INDEX(RoleSchemas!D2:D999, MATCH(C35,RoleSchemas!A2:A999, 0)), "")</f>
        <v>pko_communications_manager</v>
      </c>
      <c r="H35" s="3" t="str">
        <f>_xlfn.IFNA(INDEX(RulebookTables!E2:E999, MATCH(E35,RulebookTables!A2:A999, 0)), "")</f>
        <v>vw_send_intents</v>
      </c>
      <c r="I35" s="3" t="str">
        <f>D35 &amp; "|" &amp; E35</f>
        <v>principal-communications-manager|SendIntents</v>
      </c>
      <c r="J35" s="3">
        <f>COUNTIFS(FieldGrants!M2:M999, I35)</f>
        <v>0</v>
      </c>
      <c r="K35" s="3">
        <f>_xlfn.IFNA(INDEX(RulebookTables!H2:H999, MATCH(E35,RulebookTables!A2:A999, 0)), "")</f>
        <v>0</v>
      </c>
      <c r="L35" s="3" t="b">
        <f>AND(J35 &gt; 0, J35 &gt;= K35)</f>
        <v>0</v>
      </c>
      <c r="M35" s="3" t="b">
        <f>J35 = 0</f>
        <v>1</v>
      </c>
      <c r="N35" s="2" t="s">
        <v>13591</v>
      </c>
    </row>
    <row r="36">
      <c r="A36" s="2" t="s">
        <v>13625</v>
      </c>
      <c r="B36" s="3" t="str">
        <f>G36 &amp; "." &amp; F36</f>
        <v>pko_communications_manager.message_deliveries</v>
      </c>
      <c r="C36" s="2" t="s">
        <v>13583</v>
      </c>
      <c r="D36" s="2" t="s">
        <v>9696</v>
      </c>
      <c r="E36" s="2" t="s">
        <v>4378</v>
      </c>
      <c r="F36" s="2" t="s">
        <v>9622</v>
      </c>
      <c r="G36" s="3" t="str">
        <f>_xlfn.IFNA(INDEX(RoleSchemas!D2:D999, MATCH(C36,RoleSchemas!A2:A999, 0)), "")</f>
        <v>pko_communications_manager</v>
      </c>
      <c r="H36" s="3" t="str">
        <f>_xlfn.IFNA(INDEX(RulebookTables!E2:E999, MATCH(E36,RulebookTables!A2:A999, 0)), "")</f>
        <v>vw_message_deliveries</v>
      </c>
      <c r="I36" s="3" t="str">
        <f>D36 &amp; "|" &amp; E36</f>
        <v>principal-communications-manager|MessageDeliveries</v>
      </c>
      <c r="J36" s="3">
        <f>COUNTIFS(FieldGrants!M2:M999, I36)</f>
        <v>0</v>
      </c>
      <c r="K36" s="3">
        <f>_xlfn.IFNA(INDEX(RulebookTables!H2:H999, MATCH(E36,RulebookTables!A2:A999, 0)), "")</f>
        <v>0</v>
      </c>
      <c r="L36" s="3" t="b">
        <f>AND(J36 &gt; 0, J36 &gt;= K36)</f>
        <v>0</v>
      </c>
      <c r="M36" s="3" t="b">
        <f>J36 = 0</f>
        <v>1</v>
      </c>
      <c r="N36" s="2" t="s">
        <v>13591</v>
      </c>
    </row>
    <row r="37">
      <c r="A37" s="2" t="s">
        <v>13626</v>
      </c>
      <c r="B37" s="3" t="str">
        <f>G37 &amp; "." &amp; F37</f>
        <v>pko_communications_manager.recipients</v>
      </c>
      <c r="C37" s="2" t="s">
        <v>13583</v>
      </c>
      <c r="D37" s="2" t="s">
        <v>9696</v>
      </c>
      <c r="E37" s="2" t="s">
        <v>4346</v>
      </c>
      <c r="F37" s="2" t="s">
        <v>9636</v>
      </c>
      <c r="G37" s="3" t="str">
        <f>_xlfn.IFNA(INDEX(RoleSchemas!D2:D999, MATCH(C37,RoleSchemas!A2:A999, 0)), "")</f>
        <v>pko_communications_manager</v>
      </c>
      <c r="H37" s="3" t="str">
        <f>_xlfn.IFNA(INDEX(RulebookTables!E2:E999, MATCH(E37,RulebookTables!A2:A999, 0)), "")</f>
        <v>vw_recipients</v>
      </c>
      <c r="I37" s="3" t="str">
        <f>D37 &amp; "|" &amp; E37</f>
        <v>principal-communications-manager|Recipients</v>
      </c>
      <c r="J37" s="3">
        <f>COUNTIFS(FieldGrants!M2:M999, I37)</f>
        <v>0</v>
      </c>
      <c r="K37" s="3">
        <f>_xlfn.IFNA(INDEX(RulebookTables!H2:H999, MATCH(E37,RulebookTables!A2:A999, 0)), "")</f>
        <v>0</v>
      </c>
      <c r="L37" s="3" t="b">
        <f>AND(J37 &gt; 0, J37 &gt;= K37)</f>
        <v>0</v>
      </c>
      <c r="M37" s="3" t="b">
        <f>J37 = 0</f>
        <v>1</v>
      </c>
      <c r="N37" s="2" t="s">
        <v>13591</v>
      </c>
    </row>
    <row r="38">
      <c r="A38" s="2" t="s">
        <v>13627</v>
      </c>
      <c r="B38" s="3" t="str">
        <f>G38 &amp; "." &amp; F38</f>
        <v>pko_communications_manager.knowledge_gaps</v>
      </c>
      <c r="C38" s="2" t="s">
        <v>13583</v>
      </c>
      <c r="D38" s="2" t="s">
        <v>9696</v>
      </c>
      <c r="E38" s="2" t="s">
        <v>3302</v>
      </c>
      <c r="F38" s="2" t="s">
        <v>9619</v>
      </c>
      <c r="G38" s="3" t="str">
        <f>_xlfn.IFNA(INDEX(RoleSchemas!D2:D999, MATCH(C38,RoleSchemas!A2:A999, 0)), "")</f>
        <v>pko_communications_manager</v>
      </c>
      <c r="H38" s="3" t="str">
        <f>_xlfn.IFNA(INDEX(RulebookTables!E2:E999, MATCH(E38,RulebookTables!A2:A999, 0)), "")</f>
        <v>vw_knowledge_gaps</v>
      </c>
      <c r="I38" s="3" t="str">
        <f>D38 &amp; "|" &amp; E38</f>
        <v>principal-communications-manager|KnowledgeGaps</v>
      </c>
      <c r="J38" s="3">
        <f>COUNTIFS(FieldGrants!M2:M999, I38)</f>
        <v>7</v>
      </c>
      <c r="K38" s="3">
        <f>_xlfn.IFNA(INDEX(RulebookTables!H2:H999, MATCH(E38,RulebookTables!A2:A999, 0)), "")</f>
        <v>28</v>
      </c>
      <c r="L38" s="3" t="b">
        <f>AND(J38 &gt; 0, J38 &gt;= K38)</f>
        <v>0</v>
      </c>
      <c r="M38" s="3" t="b">
        <f>J38 = 0</f>
        <v>0</v>
      </c>
      <c r="N38" s="2" t="s">
        <v>13591</v>
      </c>
    </row>
    <row r="39">
      <c r="A39" s="2" t="s">
        <v>13628</v>
      </c>
      <c r="B39" s="3" t="str">
        <f>G39 &amp; "." &amp; F39</f>
        <v>pko_close_automation.steps</v>
      </c>
      <c r="C39" s="2" t="s">
        <v>13584</v>
      </c>
      <c r="D39" s="2" t="s">
        <v>9698</v>
      </c>
      <c r="E39" s="2" t="s">
        <v>1758</v>
      </c>
      <c r="F39" s="2" t="s">
        <v>9655</v>
      </c>
      <c r="G39" s="3" t="str">
        <f>_xlfn.IFNA(INDEX(RoleSchemas!D2:D999, MATCH(C39,RoleSchemas!A2:A999, 0)), "")</f>
        <v>pko_close_automation</v>
      </c>
      <c r="H39" s="3" t="str">
        <f>_xlfn.IFNA(INDEX(RulebookTables!E2:E999, MATCH(E39,RulebookTables!A2:A999, 0)), "")</f>
        <v>vw_steps</v>
      </c>
      <c r="I39" s="3" t="str">
        <f>D39 &amp; "|" &amp; E39</f>
        <v>principal-close-automation|Steps</v>
      </c>
      <c r="J39" s="3">
        <f>COUNTIFS(FieldGrants!M2:M999, I39)</f>
        <v>10</v>
      </c>
      <c r="K39" s="3">
        <f>_xlfn.IFNA(INDEX(RulebookTables!H2:H999, MATCH(E39,RulebookTables!A2:A999, 0)), "")</f>
        <v>42</v>
      </c>
      <c r="L39" s="3" t="b">
        <f>AND(J39 &gt; 0, J39 &gt;= K39)</f>
        <v>0</v>
      </c>
      <c r="M39" s="3" t="b">
        <f>J39 = 0</f>
        <v>0</v>
      </c>
      <c r="N39" s="2" t="s">
        <v>13591</v>
      </c>
    </row>
    <row r="40">
      <c r="A40" s="2" t="s">
        <v>13629</v>
      </c>
      <c r="B40" s="3" t="str">
        <f>G40 &amp; "." &amp; F40</f>
        <v>pko_close_automation.step_executions</v>
      </c>
      <c r="C40" s="2" t="s">
        <v>13584</v>
      </c>
      <c r="D40" s="2" t="s">
        <v>9698</v>
      </c>
      <c r="E40" s="2" t="s">
        <v>1807</v>
      </c>
      <c r="F40" s="2" t="s">
        <v>9649</v>
      </c>
      <c r="G40" s="3" t="str">
        <f>_xlfn.IFNA(INDEX(RoleSchemas!D2:D999, MATCH(C40,RoleSchemas!A2:A999, 0)), "")</f>
        <v>pko_close_automation</v>
      </c>
      <c r="H40" s="3" t="str">
        <f>_xlfn.IFNA(INDEX(RulebookTables!E2:E999, MATCH(E40,RulebookTables!A2:A999, 0)), "")</f>
        <v>vw_step_executions</v>
      </c>
      <c r="I40" s="3" t="str">
        <f>D40 &amp; "|" &amp; E40</f>
        <v>principal-close-automation|StepExecutions</v>
      </c>
      <c r="J40" s="3">
        <f>COUNTIFS(FieldGrants!M2:M999, I40)</f>
        <v>7</v>
      </c>
      <c r="K40" s="3">
        <f>_xlfn.IFNA(INDEX(RulebookTables!H2:H999, MATCH(E40,RulebookTables!A2:A999, 0)), "")</f>
        <v>109</v>
      </c>
      <c r="L40" s="3" t="b">
        <f>AND(J40 &gt; 0, J40 &gt;= K40)</f>
        <v>0</v>
      </c>
      <c r="M40" s="3" t="b">
        <f>J40 = 0</f>
        <v>0</v>
      </c>
      <c r="N40" s="2" t="s">
        <v>13591</v>
      </c>
    </row>
    <row r="41">
      <c r="A41" s="2" t="s">
        <v>13630</v>
      </c>
      <c r="B41" s="3" t="str">
        <f>G41 &amp; "." &amp; F41</f>
        <v>pko_close_automation.errors</v>
      </c>
      <c r="C41" s="2" t="s">
        <v>13584</v>
      </c>
      <c r="D41" s="2" t="s">
        <v>9698</v>
      </c>
      <c r="E41" s="2" t="s">
        <v>1813</v>
      </c>
      <c r="F41" s="2" t="s">
        <v>9611</v>
      </c>
      <c r="G41" s="3" t="str">
        <f>_xlfn.IFNA(INDEX(RoleSchemas!D2:D999, MATCH(C41,RoleSchemas!A2:A999, 0)), "")</f>
        <v>pko_close_automation</v>
      </c>
      <c r="H41" s="3" t="str">
        <f>_xlfn.IFNA(INDEX(RulebookTables!E2:E999, MATCH(E41,RulebookTables!A2:A999, 0)), "")</f>
        <v>vw_errors</v>
      </c>
      <c r="I41" s="3" t="str">
        <f>D41 &amp; "|" &amp; E41</f>
        <v>principal-close-automation|Errors</v>
      </c>
      <c r="J41" s="3">
        <f>COUNTIFS(FieldGrants!M2:M999, I41)</f>
        <v>6</v>
      </c>
      <c r="K41" s="3">
        <f>_xlfn.IFNA(INDEX(RulebookTables!H2:H999, MATCH(E41,RulebookTables!A2:A999, 0)), "")</f>
        <v>6</v>
      </c>
      <c r="L41" s="3" t="b">
        <f>AND(J41 &gt; 0, J41 &gt;= K41)</f>
        <v>1</v>
      </c>
      <c r="M41" s="3" t="b">
        <f>J41 = 0</f>
        <v>0</v>
      </c>
      <c r="N41" s="2" t="s">
        <v>13591</v>
      </c>
    </row>
    <row r="42">
      <c r="A42" s="2" t="s">
        <v>13631</v>
      </c>
      <c r="B42" s="3" t="str">
        <f>G42 &amp; "." &amp; F42</f>
        <v>pko_variance_review_agent.steps</v>
      </c>
      <c r="C42" s="2" t="s">
        <v>13585</v>
      </c>
      <c r="D42" s="2" t="s">
        <v>9700</v>
      </c>
      <c r="E42" s="2" t="s">
        <v>1758</v>
      </c>
      <c r="F42" s="2" t="s">
        <v>9655</v>
      </c>
      <c r="G42" s="3" t="str">
        <f>_xlfn.IFNA(INDEX(RoleSchemas!D2:D999, MATCH(C42,RoleSchemas!A2:A999, 0)), "")</f>
        <v>pko_variance_review_agent</v>
      </c>
      <c r="H42" s="3" t="str">
        <f>_xlfn.IFNA(INDEX(RulebookTables!E2:E999, MATCH(E42,RulebookTables!A2:A999, 0)), "")</f>
        <v>vw_steps</v>
      </c>
      <c r="I42" s="3" t="str">
        <f>D42 &amp; "|" &amp; E42</f>
        <v>principal-variance-review-agent|Steps</v>
      </c>
      <c r="J42" s="3">
        <f>COUNTIFS(FieldGrants!M2:M999, I42)</f>
        <v>9</v>
      </c>
      <c r="K42" s="3">
        <f>_xlfn.IFNA(INDEX(RulebookTables!H2:H999, MATCH(E42,RulebookTables!A2:A999, 0)), "")</f>
        <v>42</v>
      </c>
      <c r="L42" s="3" t="b">
        <f>AND(J42 &gt; 0, J42 &gt;= K42)</f>
        <v>0</v>
      </c>
      <c r="M42" s="3" t="b">
        <f>J42 = 0</f>
        <v>0</v>
      </c>
      <c r="N42" s="2" t="s">
        <v>13591</v>
      </c>
    </row>
    <row r="43">
      <c r="A43" s="2" t="s">
        <v>13632</v>
      </c>
      <c r="B43" s="3" t="str">
        <f>G43 &amp; "." &amp; F43</f>
        <v>pko_variance_review_agent.step_executions</v>
      </c>
      <c r="C43" s="2" t="s">
        <v>13585</v>
      </c>
      <c r="D43" s="2" t="s">
        <v>9700</v>
      </c>
      <c r="E43" s="2" t="s">
        <v>1807</v>
      </c>
      <c r="F43" s="2" t="s">
        <v>9649</v>
      </c>
      <c r="G43" s="3" t="str">
        <f>_xlfn.IFNA(INDEX(RoleSchemas!D2:D999, MATCH(C43,RoleSchemas!A2:A999, 0)), "")</f>
        <v>pko_variance_review_agent</v>
      </c>
      <c r="H43" s="3" t="str">
        <f>_xlfn.IFNA(INDEX(RulebookTables!E2:E999, MATCH(E43,RulebookTables!A2:A999, 0)), "")</f>
        <v>vw_step_executions</v>
      </c>
      <c r="I43" s="3" t="str">
        <f>D43 &amp; "|" &amp; E43</f>
        <v>principal-variance-review-agent|StepExecutions</v>
      </c>
      <c r="J43" s="3">
        <f>COUNTIFS(FieldGrants!M2:M999, I43)</f>
        <v>9</v>
      </c>
      <c r="K43" s="3">
        <f>_xlfn.IFNA(INDEX(RulebookTables!H2:H999, MATCH(E43,RulebookTables!A2:A999, 0)), "")</f>
        <v>109</v>
      </c>
      <c r="L43" s="3" t="b">
        <f>AND(J43 &gt; 0, J43 &gt;= K43)</f>
        <v>0</v>
      </c>
      <c r="M43" s="3" t="b">
        <f>J43 = 0</f>
        <v>0</v>
      </c>
      <c r="N43" s="2" t="s">
        <v>13591</v>
      </c>
    </row>
    <row r="44">
      <c r="A44" s="2" t="s">
        <v>13633</v>
      </c>
      <c r="B44" s="3" t="str">
        <f>G44 &amp; "." &amp; F44</f>
        <v>pko_variance_review_agent.requirements</v>
      </c>
      <c r="C44" s="2" t="s">
        <v>13585</v>
      </c>
      <c r="D44" s="2" t="s">
        <v>9700</v>
      </c>
      <c r="E44" s="2" t="s">
        <v>1785</v>
      </c>
      <c r="F44" s="2" t="s">
        <v>9638</v>
      </c>
      <c r="G44" s="3" t="str">
        <f>_xlfn.IFNA(INDEX(RoleSchemas!D2:D999, MATCH(C44,RoleSchemas!A2:A999, 0)), "")</f>
        <v>pko_variance_review_agent</v>
      </c>
      <c r="H44" s="3" t="str">
        <f>_xlfn.IFNA(INDEX(RulebookTables!E2:E999, MATCH(E44,RulebookTables!A2:A999, 0)), "")</f>
        <v>vw_requirements</v>
      </c>
      <c r="I44" s="3" t="str">
        <f>D44 &amp; "|" &amp; E44</f>
        <v>principal-variance-review-agent|Requirements</v>
      </c>
      <c r="J44" s="3">
        <f>COUNTIFS(FieldGrants!M2:M999, I44)</f>
        <v>6</v>
      </c>
      <c r="K44" s="3">
        <f>_xlfn.IFNA(INDEX(RulebookTables!H2:H999, MATCH(E44,RulebookTables!A2:A999, 0)), "")</f>
        <v>43</v>
      </c>
      <c r="L44" s="3" t="b">
        <f>AND(J44 &gt; 0, J44 &gt;= K44)</f>
        <v>0</v>
      </c>
      <c r="M44" s="3" t="b">
        <f>J44 = 0</f>
        <v>0</v>
      </c>
      <c r="N44" s="2" t="s">
        <v>13591</v>
      </c>
    </row>
    <row r="45">
      <c r="A45" s="2" t="s">
        <v>13634</v>
      </c>
      <c r="B45" s="3" t="str">
        <f>G45 &amp; "." &amp; F45</f>
        <v>pko_variance_review_agent.requirement_satisfactions</v>
      </c>
      <c r="C45" s="2" t="s">
        <v>13585</v>
      </c>
      <c r="D45" s="2" t="s">
        <v>9700</v>
      </c>
      <c r="E45" s="2" t="s">
        <v>1810</v>
      </c>
      <c r="F45" s="2" t="s">
        <v>9637</v>
      </c>
      <c r="G45" s="3" t="str">
        <f>_xlfn.IFNA(INDEX(RoleSchemas!D2:D999, MATCH(C45,RoleSchemas!A2:A999, 0)), "")</f>
        <v>pko_variance_review_agent</v>
      </c>
      <c r="H45" s="3" t="str">
        <f>_xlfn.IFNA(INDEX(RulebookTables!E2:E999, MATCH(E45,RulebookTables!A2:A999, 0)), "")</f>
        <v>vw_requirement_satisfactions</v>
      </c>
      <c r="I45" s="3" t="str">
        <f>D45 &amp; "|" &amp; E45</f>
        <v>principal-variance-review-agent|RequirementSatisfactions</v>
      </c>
      <c r="J45" s="3">
        <f>COUNTIFS(FieldGrants!M2:M999, I45)</f>
        <v>5</v>
      </c>
      <c r="K45" s="3">
        <f>_xlfn.IFNA(INDEX(RulebookTables!H2:H999, MATCH(E45,RulebookTables!A2:A999, 0)), "")</f>
        <v>46</v>
      </c>
      <c r="L45" s="3" t="b">
        <f>AND(J45 &gt; 0, J45 &gt;= K45)</f>
        <v>0</v>
      </c>
      <c r="M45" s="3" t="b">
        <f>J45 = 0</f>
        <v>0</v>
      </c>
      <c r="N45" s="2" t="s">
        <v>13591</v>
      </c>
    </row>
    <row r="46">
      <c r="A46" s="2" t="s">
        <v>13635</v>
      </c>
      <c r="B46" s="3" t="str">
        <f>G46 &amp; "." &amp; F46</f>
        <v>pko_variance_review_agent.errors</v>
      </c>
      <c r="C46" s="2" t="s">
        <v>13585</v>
      </c>
      <c r="D46" s="2" t="s">
        <v>9700</v>
      </c>
      <c r="E46" s="2" t="s">
        <v>1813</v>
      </c>
      <c r="F46" s="2" t="s">
        <v>9611</v>
      </c>
      <c r="G46" s="3" t="str">
        <f>_xlfn.IFNA(INDEX(RoleSchemas!D2:D999, MATCH(C46,RoleSchemas!A2:A999, 0)), "")</f>
        <v>pko_variance_review_agent</v>
      </c>
      <c r="H46" s="3" t="str">
        <f>_xlfn.IFNA(INDEX(RulebookTables!E2:E999, MATCH(E46,RulebookTables!A2:A999, 0)), "")</f>
        <v>vw_errors</v>
      </c>
      <c r="I46" s="3" t="str">
        <f>D46 &amp; "|" &amp; E46</f>
        <v>principal-variance-review-agent|Errors</v>
      </c>
      <c r="J46" s="3">
        <f>COUNTIFS(FieldGrants!M2:M999, I46)</f>
        <v>6</v>
      </c>
      <c r="K46" s="3">
        <f>_xlfn.IFNA(INDEX(RulebookTables!H2:H999, MATCH(E46,RulebookTables!A2:A999, 0)), "")</f>
        <v>6</v>
      </c>
      <c r="L46" s="3" t="b">
        <f>AND(J46 &gt; 0, J46 &gt;= K46)</f>
        <v>1</v>
      </c>
      <c r="M46" s="3" t="b">
        <f>J46 = 0</f>
        <v>0</v>
      </c>
      <c r="N46" s="2" t="s">
        <v>13591</v>
      </c>
    </row>
    <row r="47">
      <c r="A47" s="2" t="s">
        <v>13636</v>
      </c>
      <c r="B47" s="3" t="str">
        <f>G47 &amp; "." &amp; F47</f>
        <v>pko_policy_drafting_agent.message_templates</v>
      </c>
      <c r="C47" s="2" t="s">
        <v>13586</v>
      </c>
      <c r="D47" s="2" t="s">
        <v>9702</v>
      </c>
      <c r="E47" s="2" t="s">
        <v>4021</v>
      </c>
      <c r="F47" s="2" t="s">
        <v>9623</v>
      </c>
      <c r="G47" s="3" t="str">
        <f>_xlfn.IFNA(INDEX(RoleSchemas!D2:D999, MATCH(C47,RoleSchemas!A2:A999, 0)), "")</f>
        <v>pko_policy_drafting_agent</v>
      </c>
      <c r="H47" s="3" t="str">
        <f>_xlfn.IFNA(INDEX(RulebookTables!E2:E999, MATCH(E47,RulebookTables!A2:A999, 0)), "")</f>
        <v>vw_message_templates</v>
      </c>
      <c r="I47" s="3" t="str">
        <f>D47 &amp; "|" &amp; E47</f>
        <v>principal-policy-drafting-agent|MessageTemplates</v>
      </c>
      <c r="J47" s="3">
        <f>COUNTIFS(FieldGrants!M2:M999, I47)</f>
        <v>0</v>
      </c>
      <c r="K47" s="3">
        <f>_xlfn.IFNA(INDEX(RulebookTables!H2:H999, MATCH(E47,RulebookTables!A2:A999, 0)), "")</f>
        <v>0</v>
      </c>
      <c r="L47" s="3" t="b">
        <f>AND(J47 &gt; 0, J47 &gt;= K47)</f>
        <v>0</v>
      </c>
      <c r="M47" s="3" t="b">
        <f>J47 = 0</f>
        <v>1</v>
      </c>
      <c r="N47" s="2" t="s">
        <v>13591</v>
      </c>
    </row>
    <row r="48">
      <c r="A48" s="2" t="s">
        <v>13637</v>
      </c>
      <c r="B48" s="3" t="str">
        <f>G48 &amp; "." &amp; F48</f>
        <v>pko_policy_drafting_agent.communication_policies</v>
      </c>
      <c r="C48" s="2" t="s">
        <v>13586</v>
      </c>
      <c r="D48" s="2" t="s">
        <v>9702</v>
      </c>
      <c r="E48" s="2" t="s">
        <v>1845</v>
      </c>
      <c r="F48" s="2" t="s">
        <v>9605</v>
      </c>
      <c r="G48" s="3" t="str">
        <f>_xlfn.IFNA(INDEX(RoleSchemas!D2:D999, MATCH(C48,RoleSchemas!A2:A999, 0)), "")</f>
        <v>pko_policy_drafting_agent</v>
      </c>
      <c r="H48" s="3" t="str">
        <f>_xlfn.IFNA(INDEX(RulebookTables!E2:E999, MATCH(E48,RulebookTables!A2:A999, 0)), "")</f>
        <v>vw_communication_policies</v>
      </c>
      <c r="I48" s="3" t="str">
        <f>D48 &amp; "|" &amp; E48</f>
        <v>principal-policy-drafting-agent|CommunicationPolicies</v>
      </c>
      <c r="J48" s="3">
        <f>COUNTIFS(FieldGrants!M2:M999, I48)</f>
        <v>0</v>
      </c>
      <c r="K48" s="3">
        <f>_xlfn.IFNA(INDEX(RulebookTables!H2:H999, MATCH(E48,RulebookTables!A2:A999, 0)), "")</f>
        <v>0</v>
      </c>
      <c r="L48" s="3" t="b">
        <f>AND(J48 &gt; 0, J48 &gt;= K48)</f>
        <v>0</v>
      </c>
      <c r="M48" s="3" t="b">
        <f>J48 = 0</f>
        <v>1</v>
      </c>
      <c r="N48" s="2" t="s">
        <v>13591</v>
      </c>
    </row>
    <row r="49">
      <c r="A49" s="2" t="s">
        <v>13638</v>
      </c>
      <c r="B49" s="3" t="str">
        <f>G49 &amp; "." &amp; F49</f>
        <v>pko_policy_drafting_agent.knowledge_fragments</v>
      </c>
      <c r="C49" s="2" t="s">
        <v>13586</v>
      </c>
      <c r="D49" s="2" t="s">
        <v>9702</v>
      </c>
      <c r="E49" s="2" t="s">
        <v>1831</v>
      </c>
      <c r="F49" s="2" t="s">
        <v>9618</v>
      </c>
      <c r="G49" s="3" t="str">
        <f>_xlfn.IFNA(INDEX(RoleSchemas!D2:D999, MATCH(C49,RoleSchemas!A2:A999, 0)), "")</f>
        <v>pko_policy_drafting_agent</v>
      </c>
      <c r="H49" s="3" t="str">
        <f>_xlfn.IFNA(INDEX(RulebookTables!E2:E999, MATCH(E49,RulebookTables!A2:A999, 0)), "")</f>
        <v>vw_knowledge_fragments</v>
      </c>
      <c r="I49" s="3" t="str">
        <f>D49 &amp; "|" &amp; E49</f>
        <v>principal-policy-drafting-agent|KnowledgeFragments</v>
      </c>
      <c r="J49" s="3">
        <f>COUNTIFS(FieldGrants!M2:M999, I49)</f>
        <v>5</v>
      </c>
      <c r="K49" s="3">
        <f>_xlfn.IFNA(INDEX(RulebookTables!H2:H999, MATCH(E49,RulebookTables!A2:A999, 0)), "")</f>
        <v>80</v>
      </c>
      <c r="L49" s="3" t="b">
        <f>AND(J49 &gt; 0, J49 &gt;= K49)</f>
        <v>0</v>
      </c>
      <c r="M49" s="3" t="b">
        <f>J49 = 0</f>
        <v>0</v>
      </c>
      <c r="N49" s="2" t="s">
        <v>13591</v>
      </c>
    </row>
    <row r="50">
      <c r="A50" s="2" t="s">
        <v>13639</v>
      </c>
      <c r="B50" s="3" t="str">
        <f>G50 &amp; "." &amp; F50</f>
        <v>pko_policy_drafting_agent.steps</v>
      </c>
      <c r="C50" s="2" t="s">
        <v>13586</v>
      </c>
      <c r="D50" s="2" t="s">
        <v>9702</v>
      </c>
      <c r="E50" s="2" t="s">
        <v>1758</v>
      </c>
      <c r="F50" s="2" t="s">
        <v>9655</v>
      </c>
      <c r="G50" s="3" t="str">
        <f>_xlfn.IFNA(INDEX(RoleSchemas!D2:D999, MATCH(C50,RoleSchemas!A2:A999, 0)), "")</f>
        <v>pko_policy_drafting_agent</v>
      </c>
      <c r="H50" s="3" t="str">
        <f>_xlfn.IFNA(INDEX(RulebookTables!E2:E999, MATCH(E50,RulebookTables!A2:A999, 0)), "")</f>
        <v>vw_steps</v>
      </c>
      <c r="I50" s="3" t="str">
        <f>D50 &amp; "|" &amp; E50</f>
        <v>principal-policy-drafting-agent|Steps</v>
      </c>
      <c r="J50" s="3">
        <f>COUNTIFS(FieldGrants!M2:M999, I50)</f>
        <v>9</v>
      </c>
      <c r="K50" s="3">
        <f>_xlfn.IFNA(INDEX(RulebookTables!H2:H999, MATCH(E50,RulebookTables!A2:A999, 0)), "")</f>
        <v>42</v>
      </c>
      <c r="L50" s="3" t="b">
        <f>AND(J50 &gt; 0, J50 &gt;= K50)</f>
        <v>0</v>
      </c>
      <c r="M50" s="3" t="b">
        <f>J50 = 0</f>
        <v>0</v>
      </c>
      <c r="N50" s="2" t="s">
        <v>13591</v>
      </c>
    </row>
    <row r="51">
      <c r="A51" s="2" t="s">
        <v>13640</v>
      </c>
      <c r="B51" s="3" t="str">
        <f>G51 &amp; "." &amp; F51</f>
        <v>pko_notification_publisher.communication_policies</v>
      </c>
      <c r="C51" s="2" t="s">
        <v>13587</v>
      </c>
      <c r="D51" s="2" t="s">
        <v>9704</v>
      </c>
      <c r="E51" s="2" t="s">
        <v>1845</v>
      </c>
      <c r="F51" s="2" t="s">
        <v>9605</v>
      </c>
      <c r="G51" s="3" t="str">
        <f>_xlfn.IFNA(INDEX(RoleSchemas!D2:D999, MATCH(C51,RoleSchemas!A2:A999, 0)), "")</f>
        <v>pko_notification_publisher</v>
      </c>
      <c r="H51" s="3" t="str">
        <f>_xlfn.IFNA(INDEX(RulebookTables!E2:E999, MATCH(E51,RulebookTables!A2:A999, 0)), "")</f>
        <v>vw_communication_policies</v>
      </c>
      <c r="I51" s="3" t="str">
        <f>D51 &amp; "|" &amp; E51</f>
        <v>principal-notification-publisher|CommunicationPolicies</v>
      </c>
      <c r="J51" s="3">
        <f>COUNTIFS(FieldGrants!M2:M999, I51)</f>
        <v>0</v>
      </c>
      <c r="K51" s="3">
        <f>_xlfn.IFNA(INDEX(RulebookTables!H2:H999, MATCH(E51,RulebookTables!A2:A999, 0)), "")</f>
        <v>0</v>
      </c>
      <c r="L51" s="3" t="b">
        <f>AND(J51 &gt; 0, J51 &gt;= K51)</f>
        <v>0</v>
      </c>
      <c r="M51" s="3" t="b">
        <f>J51 = 0</f>
        <v>1</v>
      </c>
      <c r="N51" s="2" t="s">
        <v>13591</v>
      </c>
    </row>
    <row r="52">
      <c r="A52" s="2" t="s">
        <v>13641</v>
      </c>
      <c r="B52" s="3" t="str">
        <f>G52 &amp; "." &amp; F52</f>
        <v>pko_notification_publisher.send_intents</v>
      </c>
      <c r="C52" s="2" t="s">
        <v>13587</v>
      </c>
      <c r="D52" s="2" t="s">
        <v>9704</v>
      </c>
      <c r="E52" s="2" t="s">
        <v>4662</v>
      </c>
      <c r="F52" s="2" t="s">
        <v>9647</v>
      </c>
      <c r="G52" s="3" t="str">
        <f>_xlfn.IFNA(INDEX(RoleSchemas!D2:D999, MATCH(C52,RoleSchemas!A2:A999, 0)), "")</f>
        <v>pko_notification_publisher</v>
      </c>
      <c r="H52" s="3" t="str">
        <f>_xlfn.IFNA(INDEX(RulebookTables!E2:E999, MATCH(E52,RulebookTables!A2:A999, 0)), "")</f>
        <v>vw_send_intents</v>
      </c>
      <c r="I52" s="3" t="str">
        <f>D52 &amp; "|" &amp; E52</f>
        <v>principal-notification-publisher|SendIntents</v>
      </c>
      <c r="J52" s="3">
        <f>COUNTIFS(FieldGrants!M2:M999, I52)</f>
        <v>0</v>
      </c>
      <c r="K52" s="3">
        <f>_xlfn.IFNA(INDEX(RulebookTables!H2:H999, MATCH(E52,RulebookTables!A2:A999, 0)), "")</f>
        <v>0</v>
      </c>
      <c r="L52" s="3" t="b">
        <f>AND(J52 &gt; 0, J52 &gt;= K52)</f>
        <v>0</v>
      </c>
      <c r="M52" s="3" t="b">
        <f>J52 = 0</f>
        <v>1</v>
      </c>
      <c r="N52" s="2" t="s">
        <v>13591</v>
      </c>
    </row>
    <row r="53">
      <c r="A53" s="2" t="s">
        <v>13642</v>
      </c>
      <c r="B53" s="3" t="str">
        <f>G53 &amp; "." &amp; F53</f>
        <v>pko_notification_publisher.message_deliveries</v>
      </c>
      <c r="C53" s="2" t="s">
        <v>13587</v>
      </c>
      <c r="D53" s="2" t="s">
        <v>9704</v>
      </c>
      <c r="E53" s="2" t="s">
        <v>4378</v>
      </c>
      <c r="F53" s="2" t="s">
        <v>9622</v>
      </c>
      <c r="G53" s="3" t="str">
        <f>_xlfn.IFNA(INDEX(RoleSchemas!D2:D999, MATCH(C53,RoleSchemas!A2:A999, 0)), "")</f>
        <v>pko_notification_publisher</v>
      </c>
      <c r="H53" s="3" t="str">
        <f>_xlfn.IFNA(INDEX(RulebookTables!E2:E999, MATCH(E53,RulebookTables!A2:A999, 0)), "")</f>
        <v>vw_message_deliveries</v>
      </c>
      <c r="I53" s="3" t="str">
        <f>D53 &amp; "|" &amp; E53</f>
        <v>principal-notification-publisher|MessageDeliveries</v>
      </c>
      <c r="J53" s="3">
        <f>COUNTIFS(FieldGrants!M2:M999, I53)</f>
        <v>0</v>
      </c>
      <c r="K53" s="3">
        <f>_xlfn.IFNA(INDEX(RulebookTables!H2:H999, MATCH(E53,RulebookTables!A2:A999, 0)), "")</f>
        <v>0</v>
      </c>
      <c r="L53" s="3" t="b">
        <f>AND(J53 &gt; 0, J53 &gt;= K53)</f>
        <v>0</v>
      </c>
      <c r="M53" s="3" t="b">
        <f>J53 = 0</f>
        <v>1</v>
      </c>
      <c r="N53" s="2" t="s">
        <v>13591</v>
      </c>
    </row>
    <row r="54">
      <c r="A54" s="2" t="s">
        <v>13643</v>
      </c>
      <c r="B54" s="3" t="str">
        <f>G54 &amp; "." &amp; F54</f>
        <v>pko_notification_publisher.recipients</v>
      </c>
      <c r="C54" s="2" t="s">
        <v>13587</v>
      </c>
      <c r="D54" s="2" t="s">
        <v>9704</v>
      </c>
      <c r="E54" s="2" t="s">
        <v>4346</v>
      </c>
      <c r="F54" s="2" t="s">
        <v>9636</v>
      </c>
      <c r="G54" s="3" t="str">
        <f>_xlfn.IFNA(INDEX(RoleSchemas!D2:D999, MATCH(C54,RoleSchemas!A2:A999, 0)), "")</f>
        <v>pko_notification_publisher</v>
      </c>
      <c r="H54" s="3" t="str">
        <f>_xlfn.IFNA(INDEX(RulebookTables!E2:E999, MATCH(E54,RulebookTables!A2:A999, 0)), "")</f>
        <v>vw_recipients</v>
      </c>
      <c r="I54" s="3" t="str">
        <f>D54 &amp; "|" &amp; E54</f>
        <v>principal-notification-publisher|Recipients</v>
      </c>
      <c r="J54" s="3">
        <f>COUNTIFS(FieldGrants!M2:M999, I54)</f>
        <v>0</v>
      </c>
      <c r="K54" s="3">
        <f>_xlfn.IFNA(INDEX(RulebookTables!H2:H999, MATCH(E54,RulebookTables!A2:A999, 0)), "")</f>
        <v>0</v>
      </c>
      <c r="L54" s="3" t="b">
        <f>AND(J54 &gt; 0, J54 &gt;= K54)</f>
        <v>0</v>
      </c>
      <c r="M54" s="3" t="b">
        <f>J54 = 0</f>
        <v>1</v>
      </c>
      <c r="N54" s="2" t="s">
        <v>13591</v>
      </c>
    </row>
    <row r="55">
      <c r="A55" s="2" t="s">
        <v>13644</v>
      </c>
      <c r="B55" s="3" t="str">
        <f>G55 &amp; "." &amp; F55</f>
        <v>pko_notification_publisher.steps</v>
      </c>
      <c r="C55" s="2" t="s">
        <v>13587</v>
      </c>
      <c r="D55" s="2" t="s">
        <v>9704</v>
      </c>
      <c r="E55" s="2" t="s">
        <v>1758</v>
      </c>
      <c r="F55" s="2" t="s">
        <v>9655</v>
      </c>
      <c r="G55" s="3" t="str">
        <f>_xlfn.IFNA(INDEX(RoleSchemas!D2:D999, MATCH(C55,RoleSchemas!A2:A999, 0)), "")</f>
        <v>pko_notification_publisher</v>
      </c>
      <c r="H55" s="3" t="str">
        <f>_xlfn.IFNA(INDEX(RulebookTables!E2:E999, MATCH(E55,RulebookTables!A2:A999, 0)), "")</f>
        <v>vw_steps</v>
      </c>
      <c r="I55" s="3" t="str">
        <f>D55 &amp; "|" &amp; E55</f>
        <v>principal-notification-publisher|Steps</v>
      </c>
      <c r="J55" s="3">
        <f>COUNTIFS(FieldGrants!M2:M999, I55)</f>
        <v>9</v>
      </c>
      <c r="K55" s="3">
        <f>_xlfn.IFNA(INDEX(RulebookTables!H2:H999, MATCH(E55,RulebookTables!A2:A999, 0)), "")</f>
        <v>42</v>
      </c>
      <c r="L55" s="3" t="b">
        <f>AND(J55 &gt; 0, J55 &gt;= K55)</f>
        <v>0</v>
      </c>
      <c r="M55" s="3" t="b">
        <f>J55 = 0</f>
        <v>0</v>
      </c>
      <c r="N55" s="2" t="s">
        <v>13591</v>
      </c>
    </row>
    <row r="56">
      <c r="A56" s="2" t="s">
        <v>13645</v>
      </c>
      <c r="B56" s="3" t="str">
        <f>G56 &amp; "." &amp; F56</f>
        <v>pko_process_steward.actions</v>
      </c>
      <c r="C56" s="2" t="s">
        <v>13588</v>
      </c>
      <c r="D56" s="2" t="s">
        <v>9706</v>
      </c>
      <c r="E56" s="2" t="s">
        <v>1776</v>
      </c>
      <c r="F56" s="2" t="s">
        <v>9585</v>
      </c>
      <c r="G56" s="3" t="str">
        <f>_xlfn.IFNA(INDEX(RoleSchemas!D2:D999, MATCH(C56,RoleSchemas!A2:A999, 0)), "")</f>
        <v>pko_process_steward</v>
      </c>
      <c r="H56" s="3" t="str">
        <f>_xlfn.IFNA(INDEX(RulebookTables!E2:E999, MATCH(E56,RulebookTables!A2:A999, 0)), "")</f>
        <v>vw_actions</v>
      </c>
      <c r="I56" s="3" t="str">
        <f>D56 &amp; "|" &amp; E56</f>
        <v>principal-process-steward|Actions</v>
      </c>
      <c r="J56" s="3">
        <f>COUNTIFS(FieldGrants!M2:M999, I56)</f>
        <v>5</v>
      </c>
      <c r="K56" s="3">
        <f>_xlfn.IFNA(INDEX(RulebookTables!H2:H999, MATCH(E56,RulebookTables!A2:A999, 0)), "")</f>
        <v>5</v>
      </c>
      <c r="L56" s="3" t="b">
        <f>AND(J56 &gt; 0, J56 &gt;= K56)</f>
        <v>1</v>
      </c>
      <c r="M56" s="3" t="b">
        <f>J56 = 0</f>
        <v>0</v>
      </c>
      <c r="N56" s="2" t="s">
        <v>13591</v>
      </c>
    </row>
    <row r="57">
      <c r="A57" s="2" t="s">
        <v>13646</v>
      </c>
      <c r="B57" s="3" t="str">
        <f>G57 &amp; "." &amp; F57</f>
        <v>pko_process_steward.agent_decision_records</v>
      </c>
      <c r="C57" s="2" t="s">
        <v>13588</v>
      </c>
      <c r="D57" s="2" t="s">
        <v>9706</v>
      </c>
      <c r="E57" s="2" t="s">
        <v>4928</v>
      </c>
      <c r="F57" s="2" t="s">
        <v>9587</v>
      </c>
      <c r="G57" s="3" t="str">
        <f>_xlfn.IFNA(INDEX(RoleSchemas!D2:D999, MATCH(C57,RoleSchemas!A2:A999, 0)), "")</f>
        <v>pko_process_steward</v>
      </c>
      <c r="H57" s="3" t="str">
        <f>_xlfn.IFNA(INDEX(RulebookTables!E2:E999, MATCH(E57,RulebookTables!A2:A999, 0)), "")</f>
        <v>vw_agent_decision_records</v>
      </c>
      <c r="I57" s="3" t="str">
        <f>D57 &amp; "|" &amp; E57</f>
        <v>principal-process-steward|AgentDecisionRecords</v>
      </c>
      <c r="J57" s="3">
        <f>COUNTIFS(FieldGrants!M2:M999, I57)</f>
        <v>0</v>
      </c>
      <c r="K57" s="3">
        <f>_xlfn.IFNA(INDEX(RulebookTables!H2:H999, MATCH(E57,RulebookTables!A2:A999, 0)), "")</f>
        <v>0</v>
      </c>
      <c r="L57" s="3" t="b">
        <f>AND(J57 &gt; 0, J57 &gt;= K57)</f>
        <v>0</v>
      </c>
      <c r="M57" s="3" t="b">
        <f>J57 = 0</f>
        <v>1</v>
      </c>
      <c r="N57" s="2" t="s">
        <v>13591</v>
      </c>
    </row>
    <row r="58">
      <c r="A58" s="2" t="s">
        <v>13647</v>
      </c>
      <c r="B58" s="3" t="str">
        <f>G58 &amp; "." &amp; F58</f>
        <v>pko_process_steward.agents</v>
      </c>
      <c r="C58" s="2" t="s">
        <v>13588</v>
      </c>
      <c r="D58" s="2" t="s">
        <v>9706</v>
      </c>
      <c r="E58" s="2" t="s">
        <v>1794</v>
      </c>
      <c r="F58" s="2" t="s">
        <v>9589</v>
      </c>
      <c r="G58" s="3" t="str">
        <f>_xlfn.IFNA(INDEX(RoleSchemas!D2:D999, MATCH(C58,RoleSchemas!A2:A999, 0)), "")</f>
        <v>pko_process_steward</v>
      </c>
      <c r="H58" s="3" t="str">
        <f>_xlfn.IFNA(INDEX(RulebookTables!E2:E999, MATCH(E58,RulebookTables!A2:A999, 0)), "")</f>
        <v>vw_agents</v>
      </c>
      <c r="I58" s="3" t="str">
        <f>D58 &amp; "|" &amp; E58</f>
        <v>principal-process-steward|Agents</v>
      </c>
      <c r="J58" s="3">
        <f>COUNTIFS(FieldGrants!M2:M999, I58)</f>
        <v>19</v>
      </c>
      <c r="K58" s="3">
        <f>_xlfn.IFNA(INDEX(RulebookTables!H2:H999, MATCH(E58,RulebookTables!A2:A999, 0)), "")</f>
        <v>23</v>
      </c>
      <c r="L58" s="3" t="b">
        <f>AND(J58 &gt; 0, J58 &gt;= K58)</f>
        <v>0</v>
      </c>
      <c r="M58" s="3" t="b">
        <f>J58 = 0</f>
        <v>0</v>
      </c>
      <c r="N58" s="2" t="s">
        <v>13591</v>
      </c>
    </row>
    <row r="59">
      <c r="A59" s="2" t="s">
        <v>13648</v>
      </c>
      <c r="B59" s="3" t="str">
        <f>G59 &amp; "." &amp; F59</f>
        <v>pko_process_steward.app_nav_groups</v>
      </c>
      <c r="C59" s="2" t="s">
        <v>13588</v>
      </c>
      <c r="D59" s="2" t="s">
        <v>9706</v>
      </c>
      <c r="E59" s="2" t="s">
        <v>1853</v>
      </c>
      <c r="F59" s="2" t="s">
        <v>9590</v>
      </c>
      <c r="G59" s="3" t="str">
        <f>_xlfn.IFNA(INDEX(RoleSchemas!D2:D999, MATCH(C59,RoleSchemas!A2:A999, 0)), "")</f>
        <v>pko_process_steward</v>
      </c>
      <c r="H59" s="3" t="str">
        <f>_xlfn.IFNA(INDEX(RulebookTables!E2:E999, MATCH(E59,RulebookTables!A2:A999, 0)), "")</f>
        <v>vw_app_nav_groups</v>
      </c>
      <c r="I59" s="3" t="str">
        <f>D59 &amp; "|" &amp; E59</f>
        <v>principal-process-steward|AppNavGroups</v>
      </c>
      <c r="J59" s="3">
        <f>COUNTIFS(FieldGrants!M2:M999, I59)</f>
        <v>0</v>
      </c>
      <c r="K59" s="3">
        <f>_xlfn.IFNA(INDEX(RulebookTables!H2:H999, MATCH(E59,RulebookTables!A2:A999, 0)), "")</f>
        <v>0</v>
      </c>
      <c r="L59" s="3" t="b">
        <f>AND(J59 &gt; 0, J59 &gt;= K59)</f>
        <v>0</v>
      </c>
      <c r="M59" s="3" t="b">
        <f>J59 = 0</f>
        <v>1</v>
      </c>
      <c r="N59" s="2" t="s">
        <v>13591</v>
      </c>
    </row>
    <row r="60">
      <c r="A60" s="2" t="s">
        <v>13649</v>
      </c>
      <c r="B60" s="3" t="str">
        <f>G60 &amp; "." &amp; F60</f>
        <v>pko_process_steward.app_role_profiles</v>
      </c>
      <c r="C60" s="2" t="s">
        <v>13588</v>
      </c>
      <c r="D60" s="2" t="s">
        <v>9706</v>
      </c>
      <c r="E60" s="2" t="s">
        <v>1849</v>
      </c>
      <c r="F60" s="2" t="s">
        <v>9593</v>
      </c>
      <c r="G60" s="3" t="str">
        <f>_xlfn.IFNA(INDEX(RoleSchemas!D2:D999, MATCH(C60,RoleSchemas!A2:A999, 0)), "")</f>
        <v>pko_process_steward</v>
      </c>
      <c r="H60" s="3" t="str">
        <f>_xlfn.IFNA(INDEX(RulebookTables!E2:E999, MATCH(E60,RulebookTables!A2:A999, 0)), "")</f>
        <v>vw_app_role_profiles</v>
      </c>
      <c r="I60" s="3" t="str">
        <f>D60 &amp; "|" &amp; E60</f>
        <v>principal-process-steward|AppRoleProfiles</v>
      </c>
      <c r="J60" s="3">
        <f>COUNTIFS(FieldGrants!M2:M999, I60)</f>
        <v>0</v>
      </c>
      <c r="K60" s="3">
        <f>_xlfn.IFNA(INDEX(RulebookTables!H2:H999, MATCH(E60,RulebookTables!A2:A999, 0)), "")</f>
        <v>0</v>
      </c>
      <c r="L60" s="3" t="b">
        <f>AND(J60 &gt; 0, J60 &gt;= K60)</f>
        <v>0</v>
      </c>
      <c r="M60" s="3" t="b">
        <f>J60 = 0</f>
        <v>1</v>
      </c>
      <c r="N60" s="2" t="s">
        <v>13591</v>
      </c>
    </row>
    <row r="61">
      <c r="A61" s="2" t="s">
        <v>13650</v>
      </c>
      <c r="B61" s="3" t="str">
        <f>G61 &amp; "." &amp; F61</f>
        <v>pko_process_steward.app_route_questions</v>
      </c>
      <c r="C61" s="2" t="s">
        <v>13588</v>
      </c>
      <c r="D61" s="2" t="s">
        <v>9706</v>
      </c>
      <c r="E61" s="2" t="s">
        <v>1861</v>
      </c>
      <c r="F61" s="2" t="s">
        <v>9595</v>
      </c>
      <c r="G61" s="3" t="str">
        <f>_xlfn.IFNA(INDEX(RoleSchemas!D2:D999, MATCH(C61,RoleSchemas!A2:A999, 0)), "")</f>
        <v>pko_process_steward</v>
      </c>
      <c r="H61" s="3" t="str">
        <f>_xlfn.IFNA(INDEX(RulebookTables!E2:E999, MATCH(E61,RulebookTables!A2:A999, 0)), "")</f>
        <v>vw_app_route_questions</v>
      </c>
      <c r="I61" s="3" t="str">
        <f>D61 &amp; "|" &amp; E61</f>
        <v>principal-process-steward|AppRouteQuestions</v>
      </c>
      <c r="J61" s="3">
        <f>COUNTIFS(FieldGrants!M2:M999, I61)</f>
        <v>0</v>
      </c>
      <c r="K61" s="3">
        <f>_xlfn.IFNA(INDEX(RulebookTables!H2:H999, MATCH(E61,RulebookTables!A2:A999, 0)), "")</f>
        <v>0</v>
      </c>
      <c r="L61" s="3" t="b">
        <f>AND(J61 &gt; 0, J61 &gt;= K61)</f>
        <v>0</v>
      </c>
      <c r="M61" s="3" t="b">
        <f>J61 = 0</f>
        <v>1</v>
      </c>
      <c r="N61" s="2" t="s">
        <v>13591</v>
      </c>
    </row>
    <row r="62">
      <c r="A62" s="2" t="s">
        <v>13651</v>
      </c>
      <c r="B62" s="3" t="str">
        <f>G62 &amp; "." &amp; F62</f>
        <v>pko_process_steward.app_route_references</v>
      </c>
      <c r="C62" s="2" t="s">
        <v>13588</v>
      </c>
      <c r="D62" s="2" t="s">
        <v>9706</v>
      </c>
      <c r="E62" s="2" t="s">
        <v>1865</v>
      </c>
      <c r="F62" s="2" t="s">
        <v>9597</v>
      </c>
      <c r="G62" s="3" t="str">
        <f>_xlfn.IFNA(INDEX(RoleSchemas!D2:D999, MATCH(C62,RoleSchemas!A2:A999, 0)), "")</f>
        <v>pko_process_steward</v>
      </c>
      <c r="H62" s="3" t="str">
        <f>_xlfn.IFNA(INDEX(RulebookTables!E2:E999, MATCH(E62,RulebookTables!A2:A999, 0)), "")</f>
        <v>vw_app_route_references</v>
      </c>
      <c r="I62" s="3" t="str">
        <f>D62 &amp; "|" &amp; E62</f>
        <v>principal-process-steward|AppRouteReferences</v>
      </c>
      <c r="J62" s="3">
        <f>COUNTIFS(FieldGrants!M2:M999, I62)</f>
        <v>0</v>
      </c>
      <c r="K62" s="3">
        <f>_xlfn.IFNA(INDEX(RulebookTables!H2:H999, MATCH(E62,RulebookTables!A2:A999, 0)), "")</f>
        <v>0</v>
      </c>
      <c r="L62" s="3" t="b">
        <f>AND(J62 &gt; 0, J62 &gt;= K62)</f>
        <v>0</v>
      </c>
      <c r="M62" s="3" t="b">
        <f>J62 = 0</f>
        <v>1</v>
      </c>
      <c r="N62" s="2" t="s">
        <v>13591</v>
      </c>
    </row>
    <row r="63">
      <c r="A63" s="2" t="s">
        <v>13652</v>
      </c>
      <c r="B63" s="3" t="str">
        <f>G63 &amp; "." &amp; F63</f>
        <v>pko_process_steward.app_routes</v>
      </c>
      <c r="C63" s="2" t="s">
        <v>13588</v>
      </c>
      <c r="D63" s="2" t="s">
        <v>9706</v>
      </c>
      <c r="E63" s="2" t="s">
        <v>1857</v>
      </c>
      <c r="F63" s="2" t="s">
        <v>9599</v>
      </c>
      <c r="G63" s="3" t="str">
        <f>_xlfn.IFNA(INDEX(RoleSchemas!D2:D999, MATCH(C63,RoleSchemas!A2:A999, 0)), "")</f>
        <v>pko_process_steward</v>
      </c>
      <c r="H63" s="3" t="str">
        <f>_xlfn.IFNA(INDEX(RulebookTables!E2:E999, MATCH(E63,RulebookTables!A2:A999, 0)), "")</f>
        <v>vw_app_routes</v>
      </c>
      <c r="I63" s="3" t="str">
        <f>D63 &amp; "|" &amp; E63</f>
        <v>principal-process-steward|AppRoutes</v>
      </c>
      <c r="J63" s="3">
        <f>COUNTIFS(FieldGrants!M2:M999, I63)</f>
        <v>0</v>
      </c>
      <c r="K63" s="3">
        <f>_xlfn.IFNA(INDEX(RulebookTables!H2:H999, MATCH(E63,RulebookTables!A2:A999, 0)), "")</f>
        <v>0</v>
      </c>
      <c r="L63" s="3" t="b">
        <f>AND(J63 &gt; 0, J63 &gt;= K63)</f>
        <v>0</v>
      </c>
      <c r="M63" s="3" t="b">
        <f>J63 = 0</f>
        <v>1</v>
      </c>
      <c r="N63" s="2" t="s">
        <v>13591</v>
      </c>
    </row>
    <row r="64">
      <c r="A64" s="2" t="s">
        <v>13653</v>
      </c>
      <c r="B64" s="3" t="str">
        <f>G64 &amp; "." &amp; F64</f>
        <v>pko_process_steward.attestations</v>
      </c>
      <c r="C64" s="2" t="s">
        <v>13588</v>
      </c>
      <c r="D64" s="2" t="s">
        <v>9706</v>
      </c>
      <c r="E64" s="2" t="s">
        <v>5169</v>
      </c>
      <c r="F64" s="2" t="s">
        <v>9601</v>
      </c>
      <c r="G64" s="3" t="str">
        <f>_xlfn.IFNA(INDEX(RoleSchemas!D2:D999, MATCH(C64,RoleSchemas!A2:A999, 0)), "")</f>
        <v>pko_process_steward</v>
      </c>
      <c r="H64" s="3" t="str">
        <f>_xlfn.IFNA(INDEX(RulebookTables!E2:E999, MATCH(E64,RulebookTables!A2:A999, 0)), "")</f>
        <v>vw_attestations</v>
      </c>
      <c r="I64" s="3" t="str">
        <f>D64 &amp; "|" &amp; E64</f>
        <v>principal-process-steward|Attestations</v>
      </c>
      <c r="J64" s="3">
        <f>COUNTIFS(FieldGrants!M2:M999, I64)</f>
        <v>0</v>
      </c>
      <c r="K64" s="3">
        <f>_xlfn.IFNA(INDEX(RulebookTables!H2:H999, MATCH(E64,RulebookTables!A2:A999, 0)), "")</f>
        <v>0</v>
      </c>
      <c r="L64" s="3" t="b">
        <f>AND(J64 &gt; 0, J64 &gt;= K64)</f>
        <v>0</v>
      </c>
      <c r="M64" s="3" t="b">
        <f>J64 = 0</f>
        <v>1</v>
      </c>
      <c r="N64" s="2" t="s">
        <v>13591</v>
      </c>
    </row>
    <row r="65">
      <c r="A65" s="2" t="s">
        <v>13654</v>
      </c>
      <c r="B65" s="3" t="str">
        <f>G65 &amp; "." &amp; F65</f>
        <v>pko_process_steward.authority_boundaries</v>
      </c>
      <c r="C65" s="2" t="s">
        <v>13588</v>
      </c>
      <c r="D65" s="2" t="s">
        <v>9706</v>
      </c>
      <c r="E65" s="2" t="s">
        <v>5065</v>
      </c>
      <c r="F65" s="2" t="s">
        <v>9602</v>
      </c>
      <c r="G65" s="3" t="str">
        <f>_xlfn.IFNA(INDEX(RoleSchemas!D2:D999, MATCH(C65,RoleSchemas!A2:A999, 0)), "")</f>
        <v>pko_process_steward</v>
      </c>
      <c r="H65" s="3" t="str">
        <f>_xlfn.IFNA(INDEX(RulebookTables!E2:E999, MATCH(E65,RulebookTables!A2:A999, 0)), "")</f>
        <v>vw_authority_boundaries</v>
      </c>
      <c r="I65" s="3" t="str">
        <f>D65 &amp; "|" &amp; E65</f>
        <v>principal-process-steward|AuthorityBoundaries</v>
      </c>
      <c r="J65" s="3">
        <f>COUNTIFS(FieldGrants!M2:M999, I65)</f>
        <v>0</v>
      </c>
      <c r="K65" s="3">
        <f>_xlfn.IFNA(INDEX(RulebookTables!H2:H999, MATCH(E65,RulebookTables!A2:A999, 0)), "")</f>
        <v>0</v>
      </c>
      <c r="L65" s="3" t="b">
        <f>AND(J65 &gt; 0, J65 &gt;= K65)</f>
        <v>0</v>
      </c>
      <c r="M65" s="3" t="b">
        <f>J65 = 0</f>
        <v>1</v>
      </c>
      <c r="N65" s="2" t="s">
        <v>13591</v>
      </c>
    </row>
    <row r="66">
      <c r="A66" s="2" t="s">
        <v>13655</v>
      </c>
      <c r="B66" s="3" t="str">
        <f>G66 &amp; "." &amp; F66</f>
        <v>pko_process_steward.binding_observations</v>
      </c>
      <c r="C66" s="2" t="s">
        <v>13588</v>
      </c>
      <c r="D66" s="2" t="s">
        <v>9706</v>
      </c>
      <c r="E66" s="2" t="s">
        <v>5142</v>
      </c>
      <c r="F66" s="2" t="s">
        <v>9603</v>
      </c>
      <c r="G66" s="3" t="str">
        <f>_xlfn.IFNA(INDEX(RoleSchemas!D2:D999, MATCH(C66,RoleSchemas!A2:A999, 0)), "")</f>
        <v>pko_process_steward</v>
      </c>
      <c r="H66" s="3" t="str">
        <f>_xlfn.IFNA(INDEX(RulebookTables!E2:E999, MATCH(E66,RulebookTables!A2:A999, 0)), "")</f>
        <v>vw_binding_observations</v>
      </c>
      <c r="I66" s="3" t="str">
        <f>D66 &amp; "|" &amp; E66</f>
        <v>principal-process-steward|BindingObservations</v>
      </c>
      <c r="J66" s="3">
        <f>COUNTIFS(FieldGrants!M2:M999, I66)</f>
        <v>0</v>
      </c>
      <c r="K66" s="3">
        <f>_xlfn.IFNA(INDEX(RulebookTables!H2:H999, MATCH(E66,RulebookTables!A2:A999, 0)), "")</f>
        <v>0</v>
      </c>
      <c r="L66" s="3" t="b">
        <f>AND(J66 &gt; 0, J66 &gt;= K66)</f>
        <v>0</v>
      </c>
      <c r="M66" s="3" t="b">
        <f>J66 = 0</f>
        <v>1</v>
      </c>
      <c r="N66" s="2" t="s">
        <v>13591</v>
      </c>
    </row>
    <row r="67">
      <c r="A67" s="2" t="s">
        <v>13656</v>
      </c>
      <c r="B67" s="3" t="str">
        <f>G67 &amp; "." &amp; F67</f>
        <v>pko_process_steward.change_requests</v>
      </c>
      <c r="C67" s="2" t="s">
        <v>13588</v>
      </c>
      <c r="D67" s="2" t="s">
        <v>9706</v>
      </c>
      <c r="E67" s="2" t="s">
        <v>3848</v>
      </c>
      <c r="F67" s="2" t="s">
        <v>9604</v>
      </c>
      <c r="G67" s="3" t="str">
        <f>_xlfn.IFNA(INDEX(RoleSchemas!D2:D999, MATCH(C67,RoleSchemas!A2:A999, 0)), "")</f>
        <v>pko_process_steward</v>
      </c>
      <c r="H67" s="3" t="str">
        <f>_xlfn.IFNA(INDEX(RulebookTables!E2:E999, MATCH(E67,RulebookTables!A2:A999, 0)), "")</f>
        <v>vw_change_requests</v>
      </c>
      <c r="I67" s="3" t="str">
        <f>D67 &amp; "|" &amp; E67</f>
        <v>principal-process-steward|ChangeRequests</v>
      </c>
      <c r="J67" s="3">
        <f>COUNTIFS(FieldGrants!M2:M999, I67)</f>
        <v>45</v>
      </c>
      <c r="K67" s="3">
        <f>_xlfn.IFNA(INDEX(RulebookTables!H2:H999, MATCH(E67,RulebookTables!A2:A999, 0)), "")</f>
        <v>45</v>
      </c>
      <c r="L67" s="3" t="b">
        <f>AND(J67 &gt; 0, J67 &gt;= K67)</f>
        <v>1</v>
      </c>
      <c r="M67" s="3" t="b">
        <f>J67 = 0</f>
        <v>0</v>
      </c>
      <c r="N67" s="2" t="s">
        <v>13591</v>
      </c>
    </row>
    <row r="68">
      <c r="A68" s="2" t="s">
        <v>13657</v>
      </c>
      <c r="B68" s="3" t="str">
        <f>G68 &amp; "." &amp; F68</f>
        <v>pko_process_steward.communication_policies</v>
      </c>
      <c r="C68" s="2" t="s">
        <v>13588</v>
      </c>
      <c r="D68" s="2" t="s">
        <v>9706</v>
      </c>
      <c r="E68" s="2" t="s">
        <v>1845</v>
      </c>
      <c r="F68" s="2" t="s">
        <v>9605</v>
      </c>
      <c r="G68" s="3" t="str">
        <f>_xlfn.IFNA(INDEX(RoleSchemas!D2:D999, MATCH(C68,RoleSchemas!A2:A999, 0)), "")</f>
        <v>pko_process_steward</v>
      </c>
      <c r="H68" s="3" t="str">
        <f>_xlfn.IFNA(INDEX(RulebookTables!E2:E999, MATCH(E68,RulebookTables!A2:A999, 0)), "")</f>
        <v>vw_communication_policies</v>
      </c>
      <c r="I68" s="3" t="str">
        <f>D68 &amp; "|" &amp; E68</f>
        <v>principal-process-steward|CommunicationPolicies</v>
      </c>
      <c r="J68" s="3">
        <f>COUNTIFS(FieldGrants!M2:M999, I68)</f>
        <v>0</v>
      </c>
      <c r="K68" s="3">
        <f>_xlfn.IFNA(INDEX(RulebookTables!H2:H999, MATCH(E68,RulebookTables!A2:A999, 0)), "")</f>
        <v>0</v>
      </c>
      <c r="L68" s="3" t="b">
        <f>AND(J68 &gt; 0, J68 &gt;= K68)</f>
        <v>0</v>
      </c>
      <c r="M68" s="3" t="b">
        <f>J68 = 0</f>
        <v>1</v>
      </c>
      <c r="N68" s="2" t="s">
        <v>13591</v>
      </c>
    </row>
    <row r="69">
      <c r="A69" s="2" t="s">
        <v>13658</v>
      </c>
      <c r="B69" s="3" t="str">
        <f>G69 &amp; "." &amp; F69</f>
        <v>pko_process_steward.communities_of_practice</v>
      </c>
      <c r="C69" s="2" t="s">
        <v>13588</v>
      </c>
      <c r="D69" s="2" t="s">
        <v>9706</v>
      </c>
      <c r="E69" s="2" t="s">
        <v>2624</v>
      </c>
      <c r="F69" s="2" t="s">
        <v>9607</v>
      </c>
      <c r="G69" s="3" t="str">
        <f>_xlfn.IFNA(INDEX(RoleSchemas!D2:D999, MATCH(C69,RoleSchemas!A2:A999, 0)), "")</f>
        <v>pko_process_steward</v>
      </c>
      <c r="H69" s="3" t="str">
        <f>_xlfn.IFNA(INDEX(RulebookTables!E2:E999, MATCH(E69,RulebookTables!A2:A999, 0)), "")</f>
        <v>vw_communities_of_practice</v>
      </c>
      <c r="I69" s="3" t="str">
        <f>D69 &amp; "|" &amp; E69</f>
        <v>principal-process-steward|CommunitiesOfPractice</v>
      </c>
      <c r="J69" s="3">
        <f>COUNTIFS(FieldGrants!M2:M999, I69)</f>
        <v>8</v>
      </c>
      <c r="K69" s="3">
        <f>_xlfn.IFNA(INDEX(RulebookTables!H2:H999, MATCH(E69,RulebookTables!A2:A999, 0)), "")</f>
        <v>8</v>
      </c>
      <c r="L69" s="3" t="b">
        <f>AND(J69 &gt; 0, J69 &gt;= K69)</f>
        <v>1</v>
      </c>
      <c r="M69" s="3" t="b">
        <f>J69 = 0</f>
        <v>0</v>
      </c>
      <c r="N69" s="2" t="s">
        <v>13591</v>
      </c>
    </row>
    <row r="70">
      <c r="A70" s="2" t="s">
        <v>13659</v>
      </c>
      <c r="B70" s="3" t="str">
        <f>G70 &amp; "." &amp; F70</f>
        <v>pko_process_steward.delivered_communications</v>
      </c>
      <c r="C70" s="2" t="s">
        <v>13588</v>
      </c>
      <c r="D70" s="2" t="s">
        <v>9706</v>
      </c>
      <c r="E70" s="2" t="s">
        <v>5029</v>
      </c>
      <c r="F70" s="2" t="s">
        <v>9608</v>
      </c>
      <c r="G70" s="3" t="str">
        <f>_xlfn.IFNA(INDEX(RoleSchemas!D2:D999, MATCH(C70,RoleSchemas!A2:A999, 0)), "")</f>
        <v>pko_process_steward</v>
      </c>
      <c r="H70" s="3" t="str">
        <f>_xlfn.IFNA(INDEX(RulebookTables!E2:E999, MATCH(E70,RulebookTables!A2:A999, 0)), "")</f>
        <v>vw_delivered_communications</v>
      </c>
      <c r="I70" s="3" t="str">
        <f>D70 &amp; "|" &amp; E70</f>
        <v>principal-process-steward|DeliveredCommunications</v>
      </c>
      <c r="J70" s="3">
        <f>COUNTIFS(FieldGrants!M2:M999, I70)</f>
        <v>0</v>
      </c>
      <c r="K70" s="3">
        <f>_xlfn.IFNA(INDEX(RulebookTables!H2:H999, MATCH(E70,RulebookTables!A2:A999, 0)), "")</f>
        <v>0</v>
      </c>
      <c r="L70" s="3" t="b">
        <f>AND(J70 &gt; 0, J70 &gt;= K70)</f>
        <v>0</v>
      </c>
      <c r="M70" s="3" t="b">
        <f>J70 = 0</f>
        <v>1</v>
      </c>
      <c r="N70" s="2" t="s">
        <v>13591</v>
      </c>
    </row>
    <row r="71">
      <c r="A71" s="2" t="s">
        <v>13660</v>
      </c>
      <c r="B71" s="3" t="str">
        <f>G71 &amp; "." &amp; F71</f>
        <v>pko_process_steward.elicitation_sessions</v>
      </c>
      <c r="C71" s="2" t="s">
        <v>13588</v>
      </c>
      <c r="D71" s="2" t="s">
        <v>9706</v>
      </c>
      <c r="E71" s="2" t="s">
        <v>1835</v>
      </c>
      <c r="F71" s="2" t="s">
        <v>9610</v>
      </c>
      <c r="G71" s="3" t="str">
        <f>_xlfn.IFNA(INDEX(RoleSchemas!D2:D999, MATCH(C71,RoleSchemas!A2:A999, 0)), "")</f>
        <v>pko_process_steward</v>
      </c>
      <c r="H71" s="3" t="str">
        <f>_xlfn.IFNA(INDEX(RulebookTables!E2:E999, MATCH(E71,RulebookTables!A2:A999, 0)), "")</f>
        <v>vw_elicitation_sessions</v>
      </c>
      <c r="I71" s="3" t="str">
        <f>D71 &amp; "|" &amp; E71</f>
        <v>principal-process-steward|ElicitationSessions</v>
      </c>
      <c r="J71" s="3">
        <f>COUNTIFS(FieldGrants!M2:M999, I71)</f>
        <v>21</v>
      </c>
      <c r="K71" s="3">
        <f>_xlfn.IFNA(INDEX(RulebookTables!H2:H999, MATCH(E71,RulebookTables!A2:A999, 0)), "")</f>
        <v>21</v>
      </c>
      <c r="L71" s="3" t="b">
        <f>AND(J71 &gt; 0, J71 &gt;= K71)</f>
        <v>1</v>
      </c>
      <c r="M71" s="3" t="b">
        <f>J71 = 0</f>
        <v>0</v>
      </c>
      <c r="N71" s="2" t="s">
        <v>13591</v>
      </c>
    </row>
    <row r="72">
      <c r="A72" s="2" t="s">
        <v>13661</v>
      </c>
      <c r="B72" s="3" t="str">
        <f>G72 &amp; "." &amp; F72</f>
        <v>pko_process_steward.errors</v>
      </c>
      <c r="C72" s="2" t="s">
        <v>13588</v>
      </c>
      <c r="D72" s="2" t="s">
        <v>9706</v>
      </c>
      <c r="E72" s="2" t="s">
        <v>1813</v>
      </c>
      <c r="F72" s="2" t="s">
        <v>9611</v>
      </c>
      <c r="G72" s="3" t="str">
        <f>_xlfn.IFNA(INDEX(RoleSchemas!D2:D999, MATCH(C72,RoleSchemas!A2:A999, 0)), "")</f>
        <v>pko_process_steward</v>
      </c>
      <c r="H72" s="3" t="str">
        <f>_xlfn.IFNA(INDEX(RulebookTables!E2:E999, MATCH(E72,RulebookTables!A2:A999, 0)), "")</f>
        <v>vw_errors</v>
      </c>
      <c r="I72" s="3" t="str">
        <f>D72 &amp; "|" &amp; E72</f>
        <v>principal-process-steward|Errors</v>
      </c>
      <c r="J72" s="3">
        <f>COUNTIFS(FieldGrants!M2:M999, I72)</f>
        <v>6</v>
      </c>
      <c r="K72" s="3">
        <f>_xlfn.IFNA(INDEX(RulebookTables!H2:H999, MATCH(E72,RulebookTables!A2:A999, 0)), "")</f>
        <v>6</v>
      </c>
      <c r="L72" s="3" t="b">
        <f>AND(J72 &gt; 0, J72 &gt;= K72)</f>
        <v>1</v>
      </c>
      <c r="M72" s="3" t="b">
        <f>J72 = 0</f>
        <v>0</v>
      </c>
      <c r="N72" s="2" t="s">
        <v>13591</v>
      </c>
    </row>
    <row r="73">
      <c r="A73" s="2" t="s">
        <v>13662</v>
      </c>
      <c r="B73" s="3" t="str">
        <f>G73 &amp; "." &amp; F73</f>
        <v>pko_process_steward.evaluation_contexts</v>
      </c>
      <c r="C73" s="2" t="s">
        <v>13588</v>
      </c>
      <c r="D73" s="2" t="s">
        <v>9706</v>
      </c>
      <c r="E73" s="2" t="s">
        <v>2413</v>
      </c>
      <c r="F73" s="2" t="s">
        <v>9612</v>
      </c>
      <c r="G73" s="3" t="str">
        <f>_xlfn.IFNA(INDEX(RoleSchemas!D2:D999, MATCH(C73,RoleSchemas!A2:A999, 0)), "")</f>
        <v>pko_process_steward</v>
      </c>
      <c r="H73" s="3" t="str">
        <f>_xlfn.IFNA(INDEX(RulebookTables!E2:E999, MATCH(E73,RulebookTables!A2:A999, 0)), "")</f>
        <v>vw_evaluation_contexts</v>
      </c>
      <c r="I73" s="3" t="str">
        <f>D73 &amp; "|" &amp; E73</f>
        <v>principal-process-steward|EvaluationContexts</v>
      </c>
      <c r="J73" s="3">
        <f>COUNTIFS(FieldGrants!M2:M999, I73)</f>
        <v>7</v>
      </c>
      <c r="K73" s="3">
        <f>_xlfn.IFNA(INDEX(RulebookTables!H2:H999, MATCH(E73,RulebookTables!A2:A999, 0)), "")</f>
        <v>7</v>
      </c>
      <c r="L73" s="3" t="b">
        <f>AND(J73 &gt; 0, J73 &gt;= K73)</f>
        <v>1</v>
      </c>
      <c r="M73" s="3" t="b">
        <f>J73 = 0</f>
        <v>0</v>
      </c>
      <c r="N73" s="2" t="s">
        <v>13591</v>
      </c>
    </row>
    <row r="74">
      <c r="A74" s="2" t="s">
        <v>13663</v>
      </c>
      <c r="B74" s="3" t="str">
        <f>G74 &amp; "." &amp; F74</f>
        <v>pko_process_steward.exception_invocations</v>
      </c>
      <c r="C74" s="2" t="s">
        <v>13588</v>
      </c>
      <c r="D74" s="2" t="s">
        <v>9706</v>
      </c>
      <c r="E74" s="2" t="s">
        <v>4221</v>
      </c>
      <c r="F74" s="2" t="s">
        <v>9613</v>
      </c>
      <c r="G74" s="3" t="str">
        <f>_xlfn.IFNA(INDEX(RoleSchemas!D2:D999, MATCH(C74,RoleSchemas!A2:A999, 0)), "")</f>
        <v>pko_process_steward</v>
      </c>
      <c r="H74" s="3" t="str">
        <f>_xlfn.IFNA(INDEX(RulebookTables!E2:E999, MATCH(E74,RulebookTables!A2:A999, 0)), "")</f>
        <v>vw_exception_invocations</v>
      </c>
      <c r="I74" s="3" t="str">
        <f>D74 &amp; "|" &amp; E74</f>
        <v>principal-process-steward|ExceptionInvocations</v>
      </c>
      <c r="J74" s="3">
        <f>COUNTIFS(FieldGrants!M2:M999, I74)</f>
        <v>0</v>
      </c>
      <c r="K74" s="3">
        <f>_xlfn.IFNA(INDEX(RulebookTables!H2:H999, MATCH(E74,RulebookTables!A2:A999, 0)), "")</f>
        <v>0</v>
      </c>
      <c r="L74" s="3" t="b">
        <f>AND(J74 &gt; 0, J74 &gt;= K74)</f>
        <v>0</v>
      </c>
      <c r="M74" s="3" t="b">
        <f>J74 = 0</f>
        <v>1</v>
      </c>
      <c r="N74" s="2" t="s">
        <v>13591</v>
      </c>
    </row>
    <row r="75">
      <c r="A75" s="2" t="s">
        <v>13664</v>
      </c>
      <c r="B75" s="3" t="str">
        <f>G75 &amp; "." &amp; F75</f>
        <v>pko_process_steward.exceptions</v>
      </c>
      <c r="C75" s="2" t="s">
        <v>13588</v>
      </c>
      <c r="D75" s="2" t="s">
        <v>9706</v>
      </c>
      <c r="E75" s="2" t="s">
        <v>3095</v>
      </c>
      <c r="F75" s="2" t="s">
        <v>9614</v>
      </c>
      <c r="G75" s="3" t="str">
        <f>_xlfn.IFNA(INDEX(RoleSchemas!D2:D999, MATCH(C75,RoleSchemas!A2:A999, 0)), "")</f>
        <v>pko_process_steward</v>
      </c>
      <c r="H75" s="3" t="str">
        <f>_xlfn.IFNA(INDEX(RulebookTables!E2:E999, MATCH(E75,RulebookTables!A2:A999, 0)), "")</f>
        <v>vw_exceptions</v>
      </c>
      <c r="I75" s="3" t="str">
        <f>D75 &amp; "|" &amp; E75</f>
        <v>principal-process-steward|Exceptions</v>
      </c>
      <c r="J75" s="3">
        <f>COUNTIFS(FieldGrants!M2:M999, I75)</f>
        <v>11</v>
      </c>
      <c r="K75" s="3">
        <f>_xlfn.IFNA(INDEX(RulebookTables!H2:H999, MATCH(E75,RulebookTables!A2:A999, 0)), "")</f>
        <v>11</v>
      </c>
      <c r="L75" s="3" t="b">
        <f>AND(J75 &gt; 0, J75 &gt;= K75)</f>
        <v>1</v>
      </c>
      <c r="M75" s="3" t="b">
        <f>J75 = 0</f>
        <v>0</v>
      </c>
      <c r="N75" s="2" t="s">
        <v>13591</v>
      </c>
    </row>
    <row r="76">
      <c r="A76" s="2" t="s">
        <v>13665</v>
      </c>
      <c r="B76" s="3" t="str">
        <f>G76 &amp; "." &amp; F76</f>
        <v>pko_process_steward.explanations</v>
      </c>
      <c r="C76" s="2" t="s">
        <v>13588</v>
      </c>
      <c r="D76" s="2" t="s">
        <v>9706</v>
      </c>
      <c r="E76" s="2" t="s">
        <v>1828</v>
      </c>
      <c r="F76" s="2" t="s">
        <v>9615</v>
      </c>
      <c r="G76" s="3" t="str">
        <f>_xlfn.IFNA(INDEX(RoleSchemas!D2:D999, MATCH(C76,RoleSchemas!A2:A999, 0)), "")</f>
        <v>pko_process_steward</v>
      </c>
      <c r="H76" s="3" t="str">
        <f>_xlfn.IFNA(INDEX(RulebookTables!E2:E999, MATCH(E76,RulebookTables!A2:A999, 0)), "")</f>
        <v>vw_explanations</v>
      </c>
      <c r="I76" s="3" t="str">
        <f>D76 &amp; "|" &amp; E76</f>
        <v>principal-process-steward|Explanations</v>
      </c>
      <c r="J76" s="3">
        <f>COUNTIFS(FieldGrants!M2:M999, I76)</f>
        <v>7</v>
      </c>
      <c r="K76" s="3">
        <f>_xlfn.IFNA(INDEX(RulebookTables!H2:H999, MATCH(E76,RulebookTables!A2:A999, 0)), "")</f>
        <v>7</v>
      </c>
      <c r="L76" s="3" t="b">
        <f>AND(J76 &gt; 0, J76 &gt;= K76)</f>
        <v>1</v>
      </c>
      <c r="M76" s="3" t="b">
        <f>J76 = 0</f>
        <v>0</v>
      </c>
      <c r="N76" s="2" t="s">
        <v>13591</v>
      </c>
    </row>
    <row r="77">
      <c r="A77" s="2" t="s">
        <v>13666</v>
      </c>
      <c r="B77" s="3" t="str">
        <f>G77 &amp; "." &amp; F77</f>
        <v>pko_process_steward.functions</v>
      </c>
      <c r="C77" s="2" t="s">
        <v>13588</v>
      </c>
      <c r="D77" s="2" t="s">
        <v>9706</v>
      </c>
      <c r="E77" s="2" t="s">
        <v>1779</v>
      </c>
      <c r="F77" s="2" t="s">
        <v>9616</v>
      </c>
      <c r="G77" s="3" t="str">
        <f>_xlfn.IFNA(INDEX(RoleSchemas!D2:D999, MATCH(C77,RoleSchemas!A2:A999, 0)), "")</f>
        <v>pko_process_steward</v>
      </c>
      <c r="H77" s="3" t="str">
        <f>_xlfn.IFNA(INDEX(RulebookTables!E2:E999, MATCH(E77,RulebookTables!A2:A999, 0)), "")</f>
        <v>vw_functions</v>
      </c>
      <c r="I77" s="3" t="str">
        <f>D77 &amp; "|" &amp; E77</f>
        <v>principal-process-steward|Functions</v>
      </c>
      <c r="J77" s="3">
        <f>COUNTIFS(FieldGrants!M2:M999, I77)</f>
        <v>6</v>
      </c>
      <c r="K77" s="3">
        <f>_xlfn.IFNA(INDEX(RulebookTables!H2:H999, MATCH(E77,RulebookTables!A2:A999, 0)), "")</f>
        <v>6</v>
      </c>
      <c r="L77" s="3" t="b">
        <f>AND(J77 &gt; 0, J77 &gt;= K77)</f>
        <v>1</v>
      </c>
      <c r="M77" s="3" t="b">
        <f>J77 = 0</f>
        <v>0</v>
      </c>
      <c r="N77" s="2" t="s">
        <v>13591</v>
      </c>
    </row>
    <row r="78">
      <c r="A78" s="2" t="s">
        <v>13667</v>
      </c>
      <c r="B78" s="3" t="str">
        <f>G78 &amp; "." &amp; F78</f>
        <v>pko_process_steward.issue_occurrences</v>
      </c>
      <c r="C78" s="2" t="s">
        <v>13588</v>
      </c>
      <c r="D78" s="2" t="s">
        <v>9706</v>
      </c>
      <c r="E78" s="2" t="s">
        <v>1816</v>
      </c>
      <c r="F78" s="2" t="s">
        <v>9617</v>
      </c>
      <c r="G78" s="3" t="str">
        <f>_xlfn.IFNA(INDEX(RoleSchemas!D2:D999, MATCH(C78,RoleSchemas!A2:A999, 0)), "")</f>
        <v>pko_process_steward</v>
      </c>
      <c r="H78" s="3" t="str">
        <f>_xlfn.IFNA(INDEX(RulebookTables!E2:E999, MATCH(E78,RulebookTables!A2:A999, 0)), "")</f>
        <v>vw_issue_occurrences</v>
      </c>
      <c r="I78" s="3" t="str">
        <f>D78 &amp; "|" &amp; E78</f>
        <v>principal-process-steward|IssueOccurrences</v>
      </c>
      <c r="J78" s="3">
        <f>COUNTIFS(FieldGrants!M2:M999, I78)</f>
        <v>12</v>
      </c>
      <c r="K78" s="3">
        <f>_xlfn.IFNA(INDEX(RulebookTables!H2:H999, MATCH(E78,RulebookTables!A2:A999, 0)), "")</f>
        <v>12</v>
      </c>
      <c r="L78" s="3" t="b">
        <f>AND(J78 &gt; 0, J78 &gt;= K78)</f>
        <v>1</v>
      </c>
      <c r="M78" s="3" t="b">
        <f>J78 = 0</f>
        <v>0</v>
      </c>
      <c r="N78" s="2" t="s">
        <v>13591</v>
      </c>
    </row>
    <row r="79">
      <c r="A79" s="2" t="s">
        <v>13668</v>
      </c>
      <c r="B79" s="3" t="str">
        <f>G79 &amp; "." &amp; F79</f>
        <v>pko_process_steward.knowledge_fragments</v>
      </c>
      <c r="C79" s="2" t="s">
        <v>13588</v>
      </c>
      <c r="D79" s="2" t="s">
        <v>9706</v>
      </c>
      <c r="E79" s="2" t="s">
        <v>1831</v>
      </c>
      <c r="F79" s="2" t="s">
        <v>9618</v>
      </c>
      <c r="G79" s="3" t="str">
        <f>_xlfn.IFNA(INDEX(RoleSchemas!D2:D999, MATCH(C79,RoleSchemas!A2:A999, 0)), "")</f>
        <v>pko_process_steward</v>
      </c>
      <c r="H79" s="3" t="str">
        <f>_xlfn.IFNA(INDEX(RulebookTables!E2:E999, MATCH(E79,RulebookTables!A2:A999, 0)), "")</f>
        <v>vw_knowledge_fragments</v>
      </c>
      <c r="I79" s="3" t="str">
        <f>D79 &amp; "|" &amp; E79</f>
        <v>principal-process-steward|KnowledgeFragments</v>
      </c>
      <c r="J79" s="3">
        <f>COUNTIFS(FieldGrants!M2:M999, I79)</f>
        <v>80</v>
      </c>
      <c r="K79" s="3">
        <f>_xlfn.IFNA(INDEX(RulebookTables!H2:H999, MATCH(E79,RulebookTables!A2:A999, 0)), "")</f>
        <v>80</v>
      </c>
      <c r="L79" s="3" t="b">
        <f>AND(J79 &gt; 0, J79 &gt;= K79)</f>
        <v>1</v>
      </c>
      <c r="M79" s="3" t="b">
        <f>J79 = 0</f>
        <v>0</v>
      </c>
      <c r="N79" s="2" t="s">
        <v>13591</v>
      </c>
    </row>
    <row r="80">
      <c r="A80" s="2" t="s">
        <v>13669</v>
      </c>
      <c r="B80" s="3" t="str">
        <f>G80 &amp; "." &amp; F80</f>
        <v>pko_process_steward.knowledge_gaps</v>
      </c>
      <c r="C80" s="2" t="s">
        <v>13588</v>
      </c>
      <c r="D80" s="2" t="s">
        <v>9706</v>
      </c>
      <c r="E80" s="2" t="s">
        <v>3302</v>
      </c>
      <c r="F80" s="2" t="s">
        <v>9619</v>
      </c>
      <c r="G80" s="3" t="str">
        <f>_xlfn.IFNA(INDEX(RoleSchemas!D2:D999, MATCH(C80,RoleSchemas!A2:A999, 0)), "")</f>
        <v>pko_process_steward</v>
      </c>
      <c r="H80" s="3" t="str">
        <f>_xlfn.IFNA(INDEX(RulebookTables!E2:E999, MATCH(E80,RulebookTables!A2:A999, 0)), "")</f>
        <v>vw_knowledge_gaps</v>
      </c>
      <c r="I80" s="3" t="str">
        <f>D80 &amp; "|" &amp; E80</f>
        <v>principal-process-steward|KnowledgeGaps</v>
      </c>
      <c r="J80" s="3">
        <f>COUNTIFS(FieldGrants!M2:M999, I80)</f>
        <v>28</v>
      </c>
      <c r="K80" s="3">
        <f>_xlfn.IFNA(INDEX(RulebookTables!H2:H999, MATCH(E80,RulebookTables!A2:A999, 0)), "")</f>
        <v>28</v>
      </c>
      <c r="L80" s="3" t="b">
        <f>AND(J80 &gt; 0, J80 &gt;= K80)</f>
        <v>1</v>
      </c>
      <c r="M80" s="3" t="b">
        <f>J80 = 0</f>
        <v>0</v>
      </c>
      <c r="N80" s="2" t="s">
        <v>13591</v>
      </c>
    </row>
    <row r="81">
      <c r="A81" s="2" t="s">
        <v>13670</v>
      </c>
      <c r="B81" s="3" t="str">
        <f>G81 &amp; "." &amp; F81</f>
        <v>pko_process_steward.learning_activities</v>
      </c>
      <c r="C81" s="2" t="s">
        <v>13588</v>
      </c>
      <c r="D81" s="2" t="s">
        <v>9706</v>
      </c>
      <c r="E81" s="2" t="s">
        <v>3951</v>
      </c>
      <c r="F81" s="2" t="s">
        <v>9620</v>
      </c>
      <c r="G81" s="3" t="str">
        <f>_xlfn.IFNA(INDEX(RoleSchemas!D2:D999, MATCH(C81,RoleSchemas!A2:A999, 0)), "")</f>
        <v>pko_process_steward</v>
      </c>
      <c r="H81" s="3" t="str">
        <f>_xlfn.IFNA(INDEX(RulebookTables!E2:E999, MATCH(E81,RulebookTables!A2:A999, 0)), "")</f>
        <v>vw_learning_activities</v>
      </c>
      <c r="I81" s="3" t="str">
        <f>D81 &amp; "|" &amp; E81</f>
        <v>principal-process-steward|LearningActivities</v>
      </c>
      <c r="J81" s="3">
        <f>COUNTIFS(FieldGrants!M2:M999, I81)</f>
        <v>10</v>
      </c>
      <c r="K81" s="3">
        <f>_xlfn.IFNA(INDEX(RulebookTables!H2:H999, MATCH(E81,RulebookTables!A2:A999, 0)), "")</f>
        <v>10</v>
      </c>
      <c r="L81" s="3" t="b">
        <f>AND(J81 &gt; 0, J81 &gt;= K81)</f>
        <v>1</v>
      </c>
      <c r="M81" s="3" t="b">
        <f>J81 = 0</f>
        <v>0</v>
      </c>
      <c r="N81" s="2" t="s">
        <v>13591</v>
      </c>
    </row>
    <row r="82">
      <c r="A82" s="2" t="s">
        <v>13671</v>
      </c>
      <c r="B82" s="3" t="str">
        <f>G82 &amp; "." &amp; F82</f>
        <v>pko_process_steward.mentorships</v>
      </c>
      <c r="C82" s="2" t="s">
        <v>13588</v>
      </c>
      <c r="D82" s="2" t="s">
        <v>9706</v>
      </c>
      <c r="E82" s="2" t="s">
        <v>2633</v>
      </c>
      <c r="F82" s="2" t="s">
        <v>9621</v>
      </c>
      <c r="G82" s="3" t="str">
        <f>_xlfn.IFNA(INDEX(RoleSchemas!D2:D999, MATCH(C82,RoleSchemas!A2:A999, 0)), "")</f>
        <v>pko_process_steward</v>
      </c>
      <c r="H82" s="3" t="str">
        <f>_xlfn.IFNA(INDEX(RulebookTables!E2:E999, MATCH(E82,RulebookTables!A2:A999, 0)), "")</f>
        <v>vw_mentorships</v>
      </c>
      <c r="I82" s="3" t="str">
        <f>D82 &amp; "|" &amp; E82</f>
        <v>principal-process-steward|Mentorships</v>
      </c>
      <c r="J82" s="3">
        <f>COUNTIFS(FieldGrants!M2:M999, I82)</f>
        <v>10</v>
      </c>
      <c r="K82" s="3">
        <f>_xlfn.IFNA(INDEX(RulebookTables!H2:H999, MATCH(E82,RulebookTables!A2:A999, 0)), "")</f>
        <v>10</v>
      </c>
      <c r="L82" s="3" t="b">
        <f>AND(J82 &gt; 0, J82 &gt;= K82)</f>
        <v>1</v>
      </c>
      <c r="M82" s="3" t="b">
        <f>J82 = 0</f>
        <v>0</v>
      </c>
      <c r="N82" s="2" t="s">
        <v>13591</v>
      </c>
    </row>
    <row r="83">
      <c r="A83" s="2" t="s">
        <v>13672</v>
      </c>
      <c r="B83" s="3" t="str">
        <f>G83 &amp; "." &amp; F83</f>
        <v>pko_process_steward.message_deliveries</v>
      </c>
      <c r="C83" s="2" t="s">
        <v>13588</v>
      </c>
      <c r="D83" s="2" t="s">
        <v>9706</v>
      </c>
      <c r="E83" s="2" t="s">
        <v>4378</v>
      </c>
      <c r="F83" s="2" t="s">
        <v>9622</v>
      </c>
      <c r="G83" s="3" t="str">
        <f>_xlfn.IFNA(INDEX(RoleSchemas!D2:D999, MATCH(C83,RoleSchemas!A2:A999, 0)), "")</f>
        <v>pko_process_steward</v>
      </c>
      <c r="H83" s="3" t="str">
        <f>_xlfn.IFNA(INDEX(RulebookTables!E2:E999, MATCH(E83,RulebookTables!A2:A999, 0)), "")</f>
        <v>vw_message_deliveries</v>
      </c>
      <c r="I83" s="3" t="str">
        <f>D83 &amp; "|" &amp; E83</f>
        <v>principal-process-steward|MessageDeliveries</v>
      </c>
      <c r="J83" s="3">
        <f>COUNTIFS(FieldGrants!M2:M999, I83)</f>
        <v>0</v>
      </c>
      <c r="K83" s="3">
        <f>_xlfn.IFNA(INDEX(RulebookTables!H2:H999, MATCH(E83,RulebookTables!A2:A999, 0)), "")</f>
        <v>0</v>
      </c>
      <c r="L83" s="3" t="b">
        <f>AND(J83 &gt; 0, J83 &gt;= K83)</f>
        <v>0</v>
      </c>
      <c r="M83" s="3" t="b">
        <f>J83 = 0</f>
        <v>1</v>
      </c>
      <c r="N83" s="2" t="s">
        <v>13591</v>
      </c>
    </row>
    <row r="84">
      <c r="A84" s="2" t="s">
        <v>13673</v>
      </c>
      <c r="B84" s="3" t="str">
        <f>G84 &amp; "." &amp; F84</f>
        <v>pko_process_steward.message_templates</v>
      </c>
      <c r="C84" s="2" t="s">
        <v>13588</v>
      </c>
      <c r="D84" s="2" t="s">
        <v>9706</v>
      </c>
      <c r="E84" s="2" t="s">
        <v>4021</v>
      </c>
      <c r="F84" s="2" t="s">
        <v>9623</v>
      </c>
      <c r="G84" s="3" t="str">
        <f>_xlfn.IFNA(INDEX(RoleSchemas!D2:D999, MATCH(C84,RoleSchemas!A2:A999, 0)), "")</f>
        <v>pko_process_steward</v>
      </c>
      <c r="H84" s="3" t="str">
        <f>_xlfn.IFNA(INDEX(RulebookTables!E2:E999, MATCH(E84,RulebookTables!A2:A999, 0)), "")</f>
        <v>vw_message_templates</v>
      </c>
      <c r="I84" s="3" t="str">
        <f>D84 &amp; "|" &amp; E84</f>
        <v>principal-process-steward|MessageTemplates</v>
      </c>
      <c r="J84" s="3">
        <f>COUNTIFS(FieldGrants!M2:M999, I84)</f>
        <v>0</v>
      </c>
      <c r="K84" s="3">
        <f>_xlfn.IFNA(INDEX(RulebookTables!H2:H999, MATCH(E84,RulebookTables!A2:A999, 0)), "")</f>
        <v>0</v>
      </c>
      <c r="L84" s="3" t="b">
        <f>AND(J84 &gt; 0, J84 &gt;= K84)</f>
        <v>0</v>
      </c>
      <c r="M84" s="3" t="b">
        <f>J84 = 0</f>
        <v>1</v>
      </c>
      <c r="N84" s="2" t="s">
        <v>13591</v>
      </c>
    </row>
    <row r="85">
      <c r="A85" s="2" t="s">
        <v>13674</v>
      </c>
      <c r="B85" s="3" t="str">
        <f>G85 &amp; "." &amp; F85</f>
        <v>pko_process_steward.observed_transitions</v>
      </c>
      <c r="C85" s="2" t="s">
        <v>13588</v>
      </c>
      <c r="D85" s="2" t="s">
        <v>9706</v>
      </c>
      <c r="E85" s="2" t="s">
        <v>4332</v>
      </c>
      <c r="F85" s="2" t="s">
        <v>9624</v>
      </c>
      <c r="G85" s="3" t="str">
        <f>_xlfn.IFNA(INDEX(RoleSchemas!D2:D999, MATCH(C85,RoleSchemas!A2:A999, 0)), "")</f>
        <v>pko_process_steward</v>
      </c>
      <c r="H85" s="3" t="str">
        <f>_xlfn.IFNA(INDEX(RulebookTables!E2:E999, MATCH(E85,RulebookTables!A2:A999, 0)), "")</f>
        <v>vw_observed_transitions</v>
      </c>
      <c r="I85" s="3" t="str">
        <f>D85 &amp; "|" &amp; E85</f>
        <v>principal-process-steward|ObservedTransitions</v>
      </c>
      <c r="J85" s="3">
        <f>COUNTIFS(FieldGrants!M2:M999, I85)</f>
        <v>0</v>
      </c>
      <c r="K85" s="3">
        <f>_xlfn.IFNA(INDEX(RulebookTables!H2:H999, MATCH(E85,RulebookTables!A2:A999, 0)), "")</f>
        <v>0</v>
      </c>
      <c r="L85" s="3" t="b">
        <f>AND(J85 &gt; 0, J85 &gt;= K85)</f>
        <v>0</v>
      </c>
      <c r="M85" s="3" t="b">
        <f>J85 = 0</f>
        <v>1</v>
      </c>
      <c r="N85" s="2" t="s">
        <v>13591</v>
      </c>
    </row>
    <row r="86">
      <c r="A86" s="2" t="s">
        <v>13675</v>
      </c>
      <c r="B86" s="3" t="str">
        <f>G86 &amp; "." &amp; F86</f>
        <v>pko_process_steward.ontology_profiles</v>
      </c>
      <c r="C86" s="2" t="s">
        <v>13588</v>
      </c>
      <c r="D86" s="2" t="s">
        <v>9706</v>
      </c>
      <c r="E86" s="2" t="s">
        <v>2403</v>
      </c>
      <c r="F86" s="2" t="s">
        <v>9625</v>
      </c>
      <c r="G86" s="3" t="str">
        <f>_xlfn.IFNA(INDEX(RoleSchemas!D2:D999, MATCH(C86,RoleSchemas!A2:A999, 0)), "")</f>
        <v>pko_process_steward</v>
      </c>
      <c r="H86" s="3" t="str">
        <f>_xlfn.IFNA(INDEX(RulebookTables!E2:E999, MATCH(E86,RulebookTables!A2:A999, 0)), "")</f>
        <v>vw_ontology_profiles</v>
      </c>
      <c r="I86" s="3" t="str">
        <f>D86 &amp; "|" &amp; E86</f>
        <v>principal-process-steward|OntologyProfiles</v>
      </c>
      <c r="J86" s="3">
        <f>COUNTIFS(FieldGrants!M2:M999, I86)</f>
        <v>0</v>
      </c>
      <c r="K86" s="3">
        <f>_xlfn.IFNA(INDEX(RulebookTables!H2:H999, MATCH(E86,RulebookTables!A2:A999, 0)), "")</f>
        <v>8</v>
      </c>
      <c r="L86" s="3" t="b">
        <f>AND(J86 &gt; 0, J86 &gt;= K86)</f>
        <v>0</v>
      </c>
      <c r="M86" s="3" t="b">
        <f>J86 = 0</f>
        <v>1</v>
      </c>
      <c r="N86" s="2" t="s">
        <v>13591</v>
      </c>
    </row>
    <row r="87">
      <c r="A87" s="2" t="s">
        <v>13676</v>
      </c>
      <c r="B87" s="3" t="str">
        <f>G87 &amp; "." &amp; F87</f>
        <v>pko_process_steward.operational_bindings</v>
      </c>
      <c r="C87" s="2" t="s">
        <v>13588</v>
      </c>
      <c r="D87" s="2" t="s">
        <v>9706</v>
      </c>
      <c r="E87" s="2" t="s">
        <v>1842</v>
      </c>
      <c r="F87" s="2" t="s">
        <v>9626</v>
      </c>
      <c r="G87" s="3" t="str">
        <f>_xlfn.IFNA(INDEX(RoleSchemas!D2:D999, MATCH(C87,RoleSchemas!A2:A999, 0)), "")</f>
        <v>pko_process_steward</v>
      </c>
      <c r="H87" s="3" t="str">
        <f>_xlfn.IFNA(INDEX(RulebookTables!E2:E999, MATCH(E87,RulebookTables!A2:A999, 0)), "")</f>
        <v>vw_operational_bindings</v>
      </c>
      <c r="I87" s="3" t="str">
        <f>D87 &amp; "|" &amp; E87</f>
        <v>principal-process-steward|OperationalBindings</v>
      </c>
      <c r="J87" s="3">
        <f>COUNTIFS(FieldGrants!M2:M999, I87)</f>
        <v>0</v>
      </c>
      <c r="K87" s="3">
        <f>_xlfn.IFNA(INDEX(RulebookTables!H2:H999, MATCH(E87,RulebookTables!A2:A999, 0)), "")</f>
        <v>20</v>
      </c>
      <c r="L87" s="3" t="b">
        <f>AND(J87 &gt; 0, J87 &gt;= K87)</f>
        <v>0</v>
      </c>
      <c r="M87" s="3" t="b">
        <f>J87 = 0</f>
        <v>1</v>
      </c>
      <c r="N87" s="2" t="s">
        <v>13591</v>
      </c>
    </row>
    <row r="88">
      <c r="A88" s="2" t="s">
        <v>13677</v>
      </c>
      <c r="B88" s="3" t="str">
        <f>G88 &amp; "." &amp; F88</f>
        <v>pko_process_steward.organizations</v>
      </c>
      <c r="C88" s="2" t="s">
        <v>13588</v>
      </c>
      <c r="D88" s="2" t="s">
        <v>9706</v>
      </c>
      <c r="E88" s="2" t="s">
        <v>2422</v>
      </c>
      <c r="F88" s="2" t="s">
        <v>9627</v>
      </c>
      <c r="G88" s="3" t="str">
        <f>_xlfn.IFNA(INDEX(RoleSchemas!D2:D999, MATCH(C88,RoleSchemas!A2:A999, 0)), "")</f>
        <v>pko_process_steward</v>
      </c>
      <c r="H88" s="3" t="str">
        <f>_xlfn.IFNA(INDEX(RulebookTables!E2:E999, MATCH(E88,RulebookTables!A2:A999, 0)), "")</f>
        <v>vw_organizations</v>
      </c>
      <c r="I88" s="3" t="str">
        <f>D88 &amp; "|" &amp; E88</f>
        <v>principal-process-steward|Organizations</v>
      </c>
      <c r="J88" s="3">
        <f>COUNTIFS(FieldGrants!M2:M999, I88)</f>
        <v>0</v>
      </c>
      <c r="K88" s="3">
        <f>_xlfn.IFNA(INDEX(RulebookTables!H2:H999, MATCH(E88,RulebookTables!A2:A999, 0)), "")</f>
        <v>6</v>
      </c>
      <c r="L88" s="3" t="b">
        <f>AND(J88 &gt; 0, J88 &gt;= K88)</f>
        <v>0</v>
      </c>
      <c r="M88" s="3" t="b">
        <f>J88 = 0</f>
        <v>1</v>
      </c>
      <c r="N88" s="2" t="s">
        <v>13591</v>
      </c>
    </row>
    <row r="89">
      <c r="A89" s="2" t="s">
        <v>13678</v>
      </c>
      <c r="B89" s="3" t="str">
        <f>G89 &amp; "." &amp; F89</f>
        <v>pko_process_steward.procedure_executions</v>
      </c>
      <c r="C89" s="2" t="s">
        <v>13588</v>
      </c>
      <c r="D89" s="2" t="s">
        <v>9706</v>
      </c>
      <c r="E89" s="2" t="s">
        <v>1804</v>
      </c>
      <c r="F89" s="2" t="s">
        <v>9628</v>
      </c>
      <c r="G89" s="3" t="str">
        <f>_xlfn.IFNA(INDEX(RoleSchemas!D2:D999, MATCH(C89,RoleSchemas!A2:A999, 0)), "")</f>
        <v>pko_process_steward</v>
      </c>
      <c r="H89" s="3" t="str">
        <f>_xlfn.IFNA(INDEX(RulebookTables!E2:E999, MATCH(E89,RulebookTables!A2:A999, 0)), "")</f>
        <v>vw_procedure_executions</v>
      </c>
      <c r="I89" s="3" t="str">
        <f>D89 &amp; "|" &amp; E89</f>
        <v>principal-process-steward|ProcedureExecutions</v>
      </c>
      <c r="J89" s="3">
        <f>COUNTIFS(FieldGrants!M2:M999, I89)</f>
        <v>0</v>
      </c>
      <c r="K89" s="3">
        <f>_xlfn.IFNA(INDEX(RulebookTables!H2:H999, MATCH(E89,RulebookTables!A2:A999, 0)), "")</f>
        <v>78</v>
      </c>
      <c r="L89" s="3" t="b">
        <f>AND(J89 &gt; 0, J89 &gt;= K89)</f>
        <v>0</v>
      </c>
      <c r="M89" s="3" t="b">
        <f>J89 = 0</f>
        <v>1</v>
      </c>
      <c r="N89" s="2" t="s">
        <v>13591</v>
      </c>
    </row>
    <row r="90">
      <c r="A90" s="2" t="s">
        <v>13679</v>
      </c>
      <c r="B90" s="3" t="str">
        <f>G90 &amp; "." &amp; F90</f>
        <v>pko_process_steward.procedure_resources</v>
      </c>
      <c r="C90" s="2" t="s">
        <v>13588</v>
      </c>
      <c r="D90" s="2" t="s">
        <v>9706</v>
      </c>
      <c r="E90" s="2" t="s">
        <v>3121</v>
      </c>
      <c r="F90" s="2" t="s">
        <v>9629</v>
      </c>
      <c r="G90" s="3" t="str">
        <f>_xlfn.IFNA(INDEX(RoleSchemas!D2:D999, MATCH(C90,RoleSchemas!A2:A999, 0)), "")</f>
        <v>pko_process_steward</v>
      </c>
      <c r="H90" s="3" t="str">
        <f>_xlfn.IFNA(INDEX(RulebookTables!E2:E999, MATCH(E90,RulebookTables!A2:A999, 0)), "")</f>
        <v>vw_procedure_resources</v>
      </c>
      <c r="I90" s="3" t="str">
        <f>D90 &amp; "|" &amp; E90</f>
        <v>principal-process-steward|ProcedureResources</v>
      </c>
      <c r="J90" s="3">
        <f>COUNTIFS(FieldGrants!M2:M999, I90)</f>
        <v>0</v>
      </c>
      <c r="K90" s="3">
        <f>_xlfn.IFNA(INDEX(RulebookTables!H2:H999, MATCH(E90,RulebookTables!A2:A999, 0)), "")</f>
        <v>6</v>
      </c>
      <c r="L90" s="3" t="b">
        <f>AND(J90 &gt; 0, J90 &gt;= K90)</f>
        <v>0</v>
      </c>
      <c r="M90" s="3" t="b">
        <f>J90 = 0</f>
        <v>1</v>
      </c>
      <c r="N90" s="2" t="s">
        <v>13591</v>
      </c>
    </row>
    <row r="91">
      <c r="A91" s="2" t="s">
        <v>13680</v>
      </c>
      <c r="B91" s="3" t="str">
        <f>G91 &amp; "." &amp; F91</f>
        <v>pko_process_steward.procedure_status_changes</v>
      </c>
      <c r="C91" s="2" t="s">
        <v>13588</v>
      </c>
      <c r="D91" s="2" t="s">
        <v>9706</v>
      </c>
      <c r="E91" s="2" t="s">
        <v>1755</v>
      </c>
      <c r="F91" s="2" t="s">
        <v>9630</v>
      </c>
      <c r="G91" s="3" t="str">
        <f>_xlfn.IFNA(INDEX(RoleSchemas!D2:D999, MATCH(C91,RoleSchemas!A2:A999, 0)), "")</f>
        <v>pko_process_steward</v>
      </c>
      <c r="H91" s="3" t="str">
        <f>_xlfn.IFNA(INDEX(RulebookTables!E2:E999, MATCH(E91,RulebookTables!A2:A999, 0)), "")</f>
        <v>vw_procedure_status_changes</v>
      </c>
      <c r="I91" s="3" t="str">
        <f>D91 &amp; "|" &amp; E91</f>
        <v>principal-process-steward|ProcedureStatusChanges</v>
      </c>
      <c r="J91" s="3">
        <f>COUNTIFS(FieldGrants!M2:M999, I91)</f>
        <v>0</v>
      </c>
      <c r="K91" s="3">
        <f>_xlfn.IFNA(INDEX(RulebookTables!H2:H999, MATCH(E91,RulebookTables!A2:A999, 0)), "")</f>
        <v>9</v>
      </c>
      <c r="L91" s="3" t="b">
        <f>AND(J91 &gt; 0, J91 &gt;= K91)</f>
        <v>0</v>
      </c>
      <c r="M91" s="3" t="b">
        <f>J91 = 0</f>
        <v>1</v>
      </c>
      <c r="N91" s="2" t="s">
        <v>13591</v>
      </c>
    </row>
    <row r="92">
      <c r="A92" s="2" t="s">
        <v>13681</v>
      </c>
      <c r="B92" s="3" t="str">
        <f>G92 &amp; "." &amp; F92</f>
        <v>pko_process_steward.procedure_types</v>
      </c>
      <c r="C92" s="2" t="s">
        <v>13588</v>
      </c>
      <c r="D92" s="2" t="s">
        <v>9706</v>
      </c>
      <c r="E92" s="2" t="s">
        <v>2645</v>
      </c>
      <c r="F92" s="2" t="s">
        <v>9631</v>
      </c>
      <c r="G92" s="3" t="str">
        <f>_xlfn.IFNA(INDEX(RoleSchemas!D2:D999, MATCH(C92,RoleSchemas!A2:A999, 0)), "")</f>
        <v>pko_process_steward</v>
      </c>
      <c r="H92" s="3" t="str">
        <f>_xlfn.IFNA(INDEX(RulebookTables!E2:E999, MATCH(E92,RulebookTables!A2:A999, 0)), "")</f>
        <v>vw_procedure_types</v>
      </c>
      <c r="I92" s="3" t="str">
        <f>D92 &amp; "|" &amp; E92</f>
        <v>principal-process-steward|ProcedureTypes</v>
      </c>
      <c r="J92" s="3">
        <f>COUNTIFS(FieldGrants!M2:M999, I92)</f>
        <v>0</v>
      </c>
      <c r="K92" s="3">
        <f>_xlfn.IFNA(INDEX(RulebookTables!H2:H999, MATCH(E92,RulebookTables!A2:A999, 0)), "")</f>
        <v>5</v>
      </c>
      <c r="L92" s="3" t="b">
        <f>AND(J92 &gt; 0, J92 &gt;= K92)</f>
        <v>0</v>
      </c>
      <c r="M92" s="3" t="b">
        <f>J92 = 0</f>
        <v>1</v>
      </c>
      <c r="N92" s="2" t="s">
        <v>13591</v>
      </c>
    </row>
    <row r="93">
      <c r="A93" s="2" t="s">
        <v>13682</v>
      </c>
      <c r="B93" s="3" t="str">
        <f>G93 &amp; "." &amp; F93</f>
        <v>pko_process_steward.procedure_version_links</v>
      </c>
      <c r="C93" s="2" t="s">
        <v>13588</v>
      </c>
      <c r="D93" s="2" t="s">
        <v>9706</v>
      </c>
      <c r="E93" s="2" t="s">
        <v>2818</v>
      </c>
      <c r="F93" s="2" t="s">
        <v>9632</v>
      </c>
      <c r="G93" s="3" t="str">
        <f>_xlfn.IFNA(INDEX(RoleSchemas!D2:D999, MATCH(C93,RoleSchemas!A2:A999, 0)), "")</f>
        <v>pko_process_steward</v>
      </c>
      <c r="H93" s="3" t="str">
        <f>_xlfn.IFNA(INDEX(RulebookTables!E2:E999, MATCH(E93,RulebookTables!A2:A999, 0)), "")</f>
        <v>vw_procedure_version_links</v>
      </c>
      <c r="I93" s="3" t="str">
        <f>D93 &amp; "|" &amp; E93</f>
        <v>principal-process-steward|ProcedureVersionLinks</v>
      </c>
      <c r="J93" s="3">
        <f>COUNTIFS(FieldGrants!M2:M999, I93)</f>
        <v>0</v>
      </c>
      <c r="K93" s="3">
        <f>_xlfn.IFNA(INDEX(RulebookTables!H2:H999, MATCH(E93,RulebookTables!A2:A999, 0)), "")</f>
        <v>7</v>
      </c>
      <c r="L93" s="3" t="b">
        <f>AND(J93 &gt; 0, J93 &gt;= K93)</f>
        <v>0</v>
      </c>
      <c r="M93" s="3" t="b">
        <f>J93 = 0</f>
        <v>1</v>
      </c>
      <c r="N93" s="2" t="s">
        <v>13591</v>
      </c>
    </row>
    <row r="94">
      <c r="A94" s="2" t="s">
        <v>13683</v>
      </c>
      <c r="B94" s="3" t="str">
        <f>G94 &amp; "." &amp; F94</f>
        <v>pko_process_steward.procedure_versions</v>
      </c>
      <c r="C94" s="2" t="s">
        <v>13588</v>
      </c>
      <c r="D94" s="2" t="s">
        <v>9706</v>
      </c>
      <c r="E94" s="2" t="s">
        <v>1747</v>
      </c>
      <c r="F94" s="2" t="s">
        <v>9633</v>
      </c>
      <c r="G94" s="3" t="str">
        <f>_xlfn.IFNA(INDEX(RoleSchemas!D2:D999, MATCH(C94,RoleSchemas!A2:A999, 0)), "")</f>
        <v>pko_process_steward</v>
      </c>
      <c r="H94" s="3" t="str">
        <f>_xlfn.IFNA(INDEX(RulebookTables!E2:E999, MATCH(E94,RulebookTables!A2:A999, 0)), "")</f>
        <v>vw_procedure_versions</v>
      </c>
      <c r="I94" s="3" t="str">
        <f>D94 &amp; "|" &amp; E94</f>
        <v>principal-process-steward|ProcedureVersions</v>
      </c>
      <c r="J94" s="3">
        <f>COUNTIFS(FieldGrants!M2:M999, I94)</f>
        <v>0</v>
      </c>
      <c r="K94" s="3">
        <f>_xlfn.IFNA(INDEX(RulebookTables!H2:H999, MATCH(E94,RulebookTables!A2:A999, 0)), "")</f>
        <v>86</v>
      </c>
      <c r="L94" s="3" t="b">
        <f>AND(J94 &gt; 0, J94 &gt;= K94)</f>
        <v>0</v>
      </c>
      <c r="M94" s="3" t="b">
        <f>J94 = 0</f>
        <v>1</v>
      </c>
      <c r="N94" s="2" t="s">
        <v>13591</v>
      </c>
    </row>
    <row r="95">
      <c r="A95" s="2" t="s">
        <v>13684</v>
      </c>
      <c r="B95" s="3" t="str">
        <f>G95 &amp; "." &amp; F95</f>
        <v>pko_process_steward.procedures</v>
      </c>
      <c r="C95" s="2" t="s">
        <v>13588</v>
      </c>
      <c r="D95" s="2" t="s">
        <v>9706</v>
      </c>
      <c r="E95" s="2" t="s">
        <v>1742</v>
      </c>
      <c r="F95" s="2" t="s">
        <v>9634</v>
      </c>
      <c r="G95" s="3" t="str">
        <f>_xlfn.IFNA(INDEX(RoleSchemas!D2:D999, MATCH(C95,RoleSchemas!A2:A999, 0)), "")</f>
        <v>pko_process_steward</v>
      </c>
      <c r="H95" s="3" t="str">
        <f>_xlfn.IFNA(INDEX(RulebookTables!E2:E999, MATCH(E95,RulebookTables!A2:A999, 0)), "")</f>
        <v>vw_procedures</v>
      </c>
      <c r="I95" s="3" t="str">
        <f>D95 &amp; "|" &amp; E95</f>
        <v>principal-process-steward|Procedures</v>
      </c>
      <c r="J95" s="3">
        <f>COUNTIFS(FieldGrants!M2:M999, I95)</f>
        <v>0</v>
      </c>
      <c r="K95" s="3">
        <f>_xlfn.IFNA(INDEX(RulebookTables!H2:H999, MATCH(E95,RulebookTables!A2:A999, 0)), "")</f>
        <v>11</v>
      </c>
      <c r="L95" s="3" t="b">
        <f>AND(J95 &gt; 0, J95 &gt;= K95)</f>
        <v>0</v>
      </c>
      <c r="M95" s="3" t="b">
        <f>J95 = 0</f>
        <v>1</v>
      </c>
      <c r="N95" s="2" t="s">
        <v>13591</v>
      </c>
    </row>
    <row r="96">
      <c r="A96" s="2" t="s">
        <v>13685</v>
      </c>
      <c r="B96" s="3" t="str">
        <f>G96 &amp; "." &amp; F96</f>
        <v>pko_process_steward.rationales</v>
      </c>
      <c r="C96" s="2" t="s">
        <v>13588</v>
      </c>
      <c r="D96" s="2" t="s">
        <v>9706</v>
      </c>
      <c r="E96" s="2" t="s">
        <v>3085</v>
      </c>
      <c r="F96" s="2" t="s">
        <v>9635</v>
      </c>
      <c r="G96" s="3" t="str">
        <f>_xlfn.IFNA(INDEX(RoleSchemas!D2:D999, MATCH(C96,RoleSchemas!A2:A999, 0)), "")</f>
        <v>pko_process_steward</v>
      </c>
      <c r="H96" s="3" t="str">
        <f>_xlfn.IFNA(INDEX(RulebookTables!E2:E999, MATCH(E96,RulebookTables!A2:A999, 0)), "")</f>
        <v>vw_rationales</v>
      </c>
      <c r="I96" s="3" t="str">
        <f>D96 &amp; "|" &amp; E96</f>
        <v>principal-process-steward|Rationales</v>
      </c>
      <c r="J96" s="3">
        <f>COUNTIFS(FieldGrants!M2:M999, I96)</f>
        <v>0</v>
      </c>
      <c r="K96" s="3">
        <f>_xlfn.IFNA(INDEX(RulebookTables!H2:H999, MATCH(E96,RulebookTables!A2:A999, 0)), "")</f>
        <v>9</v>
      </c>
      <c r="L96" s="3" t="b">
        <f>AND(J96 &gt; 0, J96 &gt;= K96)</f>
        <v>0</v>
      </c>
      <c r="M96" s="3" t="b">
        <f>J96 = 0</f>
        <v>1</v>
      </c>
      <c r="N96" s="2" t="s">
        <v>13591</v>
      </c>
    </row>
    <row r="97">
      <c r="A97" s="2" t="s">
        <v>13686</v>
      </c>
      <c r="B97" s="3" t="str">
        <f>G97 &amp; "." &amp; F97</f>
        <v>pko_process_steward.recipients</v>
      </c>
      <c r="C97" s="2" t="s">
        <v>13588</v>
      </c>
      <c r="D97" s="2" t="s">
        <v>9706</v>
      </c>
      <c r="E97" s="2" t="s">
        <v>4346</v>
      </c>
      <c r="F97" s="2" t="s">
        <v>9636</v>
      </c>
      <c r="G97" s="3" t="str">
        <f>_xlfn.IFNA(INDEX(RoleSchemas!D2:D999, MATCH(C97,RoleSchemas!A2:A999, 0)), "")</f>
        <v>pko_process_steward</v>
      </c>
      <c r="H97" s="3" t="str">
        <f>_xlfn.IFNA(INDEX(RulebookTables!E2:E999, MATCH(E97,RulebookTables!A2:A999, 0)), "")</f>
        <v>vw_recipients</v>
      </c>
      <c r="I97" s="3" t="str">
        <f>D97 &amp; "|" &amp; E97</f>
        <v>principal-process-steward|Recipients</v>
      </c>
      <c r="J97" s="3">
        <f>COUNTIFS(FieldGrants!M2:M999, I97)</f>
        <v>0</v>
      </c>
      <c r="K97" s="3">
        <f>_xlfn.IFNA(INDEX(RulebookTables!H2:H999, MATCH(E97,RulebookTables!A2:A999, 0)), "")</f>
        <v>0</v>
      </c>
      <c r="L97" s="3" t="b">
        <f>AND(J97 &gt; 0, J97 &gt;= K97)</f>
        <v>0</v>
      </c>
      <c r="M97" s="3" t="b">
        <f>J97 = 0</f>
        <v>1</v>
      </c>
      <c r="N97" s="2" t="s">
        <v>13591</v>
      </c>
    </row>
    <row r="98">
      <c r="A98" s="2" t="s">
        <v>13687</v>
      </c>
      <c r="B98" s="3" t="str">
        <f>G98 &amp; "." &amp; F98</f>
        <v>pko_process_steward.requirement_satisfactions</v>
      </c>
      <c r="C98" s="2" t="s">
        <v>13588</v>
      </c>
      <c r="D98" s="2" t="s">
        <v>9706</v>
      </c>
      <c r="E98" s="2" t="s">
        <v>1810</v>
      </c>
      <c r="F98" s="2" t="s">
        <v>9637</v>
      </c>
      <c r="G98" s="3" t="str">
        <f>_xlfn.IFNA(INDEX(RoleSchemas!D2:D999, MATCH(C98,RoleSchemas!A2:A999, 0)), "")</f>
        <v>pko_process_steward</v>
      </c>
      <c r="H98" s="3" t="str">
        <f>_xlfn.IFNA(INDEX(RulebookTables!E2:E999, MATCH(E98,RulebookTables!A2:A999, 0)), "")</f>
        <v>vw_requirement_satisfactions</v>
      </c>
      <c r="I98" s="3" t="str">
        <f>D98 &amp; "|" &amp; E98</f>
        <v>principal-process-steward|RequirementSatisfactions</v>
      </c>
      <c r="J98" s="3">
        <f>COUNTIFS(FieldGrants!M2:M999, I98)</f>
        <v>0</v>
      </c>
      <c r="K98" s="3">
        <f>_xlfn.IFNA(INDEX(RulebookTables!H2:H999, MATCH(E98,RulebookTables!A2:A999, 0)), "")</f>
        <v>46</v>
      </c>
      <c r="L98" s="3" t="b">
        <f>AND(J98 &gt; 0, J98 &gt;= K98)</f>
        <v>0</v>
      </c>
      <c r="M98" s="3" t="b">
        <f>J98 = 0</f>
        <v>1</v>
      </c>
      <c r="N98" s="2" t="s">
        <v>13591</v>
      </c>
    </row>
    <row r="99">
      <c r="A99" s="2" t="s">
        <v>13688</v>
      </c>
      <c r="B99" s="3" t="str">
        <f>G99 &amp; "." &amp; F99</f>
        <v>pko_process_steward.requirements</v>
      </c>
      <c r="C99" s="2" t="s">
        <v>13588</v>
      </c>
      <c r="D99" s="2" t="s">
        <v>9706</v>
      </c>
      <c r="E99" s="2" t="s">
        <v>1785</v>
      </c>
      <c r="F99" s="2" t="s">
        <v>9638</v>
      </c>
      <c r="G99" s="3" t="str">
        <f>_xlfn.IFNA(INDEX(RoleSchemas!D2:D999, MATCH(C99,RoleSchemas!A2:A999, 0)), "")</f>
        <v>pko_process_steward</v>
      </c>
      <c r="H99" s="3" t="str">
        <f>_xlfn.IFNA(INDEX(RulebookTables!E2:E999, MATCH(E99,RulebookTables!A2:A999, 0)), "")</f>
        <v>vw_requirements</v>
      </c>
      <c r="I99" s="3" t="str">
        <f>D99 &amp; "|" &amp; E99</f>
        <v>principal-process-steward|Requirements</v>
      </c>
      <c r="J99" s="3">
        <f>COUNTIFS(FieldGrants!M2:M999, I99)</f>
        <v>0</v>
      </c>
      <c r="K99" s="3">
        <f>_xlfn.IFNA(INDEX(RulebookTables!H2:H999, MATCH(E99,RulebookTables!A2:A999, 0)), "")</f>
        <v>43</v>
      </c>
      <c r="L99" s="3" t="b">
        <f>AND(J99 &gt; 0, J99 &gt;= K99)</f>
        <v>0</v>
      </c>
      <c r="M99" s="3" t="b">
        <f>J99 = 0</f>
        <v>1</v>
      </c>
      <c r="N99" s="2" t="s">
        <v>13591</v>
      </c>
    </row>
    <row r="100">
      <c r="A100" s="2" t="s">
        <v>13689</v>
      </c>
      <c r="B100" s="3" t="str">
        <f>G100 &amp; "." &amp; F100</f>
        <v>pko_process_steward.resources</v>
      </c>
      <c r="C100" s="2" t="s">
        <v>13588</v>
      </c>
      <c r="D100" s="2" t="s">
        <v>9706</v>
      </c>
      <c r="E100" s="2" t="s">
        <v>1791</v>
      </c>
      <c r="F100" s="2" t="s">
        <v>9639</v>
      </c>
      <c r="G100" s="3" t="str">
        <f>_xlfn.IFNA(INDEX(RoleSchemas!D2:D999, MATCH(C100,RoleSchemas!A2:A999, 0)), "")</f>
        <v>pko_process_steward</v>
      </c>
      <c r="H100" s="3" t="str">
        <f>_xlfn.IFNA(INDEX(RulebookTables!E2:E999, MATCH(E100,RulebookTables!A2:A999, 0)), "")</f>
        <v>vw_resources</v>
      </c>
      <c r="I100" s="3" t="str">
        <f>D100 &amp; "|" &amp; E100</f>
        <v>principal-process-steward|Resources</v>
      </c>
      <c r="J100" s="3">
        <f>COUNTIFS(FieldGrants!M2:M999, I100)</f>
        <v>0</v>
      </c>
      <c r="K100" s="3">
        <f>_xlfn.IFNA(INDEX(RulebookTables!H2:H999, MATCH(E100,RulebookTables!A2:A999, 0)), "")</f>
        <v>11</v>
      </c>
      <c r="L100" s="3" t="b">
        <f>AND(J100 &gt; 0, J100 &gt;= K100)</f>
        <v>0</v>
      </c>
      <c r="M100" s="3" t="b">
        <f>J100 = 0</f>
        <v>1</v>
      </c>
      <c r="N100" s="2" t="s">
        <v>13591</v>
      </c>
    </row>
    <row r="101">
      <c r="A101" s="2" t="s">
        <v>13690</v>
      </c>
      <c r="B101" s="3" t="str">
        <f>G101 &amp; "." &amp; F101</f>
        <v>pko_process_steward.review_events</v>
      </c>
      <c r="C101" s="2" t="s">
        <v>13588</v>
      </c>
      <c r="D101" s="2" t="s">
        <v>9706</v>
      </c>
      <c r="E101" s="2" t="s">
        <v>3922</v>
      </c>
      <c r="F101" s="2" t="s">
        <v>9640</v>
      </c>
      <c r="G101" s="3" t="str">
        <f>_xlfn.IFNA(INDEX(RoleSchemas!D2:D999, MATCH(C101,RoleSchemas!A2:A999, 0)), "")</f>
        <v>pko_process_steward</v>
      </c>
      <c r="H101" s="3" t="str">
        <f>_xlfn.IFNA(INDEX(RulebookTables!E2:E999, MATCH(E101,RulebookTables!A2:A999, 0)), "")</f>
        <v>vw_review_events</v>
      </c>
      <c r="I101" s="3" t="str">
        <f>D101 &amp; "|" &amp; E101</f>
        <v>principal-process-steward|ReviewEvents</v>
      </c>
      <c r="J101" s="3">
        <f>COUNTIFS(FieldGrants!M2:M999, I101)</f>
        <v>0</v>
      </c>
      <c r="K101" s="3">
        <f>_xlfn.IFNA(INDEX(RulebookTables!H2:H999, MATCH(E101,RulebookTables!A2:A999, 0)), "")</f>
        <v>20</v>
      </c>
      <c r="L101" s="3" t="b">
        <f>AND(J101 &gt; 0, J101 &gt;= K101)</f>
        <v>0</v>
      </c>
      <c r="M101" s="3" t="b">
        <f>J101 = 0</f>
        <v>1</v>
      </c>
      <c r="N101" s="2" t="s">
        <v>13591</v>
      </c>
    </row>
    <row r="102">
      <c r="A102" s="2" t="s">
        <v>13691</v>
      </c>
      <c r="B102" s="3" t="str">
        <f>G102 &amp; "." &amp; F102</f>
        <v>pko_process_steward.role_assignments</v>
      </c>
      <c r="C102" s="2" t="s">
        <v>13588</v>
      </c>
      <c r="D102" s="2" t="s">
        <v>9706</v>
      </c>
      <c r="E102" s="2" t="s">
        <v>1801</v>
      </c>
      <c r="F102" s="2" t="s">
        <v>9641</v>
      </c>
      <c r="G102" s="3" t="str">
        <f>_xlfn.IFNA(INDEX(RoleSchemas!D2:D999, MATCH(C102,RoleSchemas!A2:A999, 0)), "")</f>
        <v>pko_process_steward</v>
      </c>
      <c r="H102" s="3" t="str">
        <f>_xlfn.IFNA(INDEX(RulebookTables!E2:E999, MATCH(E102,RulebookTables!A2:A999, 0)), "")</f>
        <v>vw_role_assignments</v>
      </c>
      <c r="I102" s="3" t="str">
        <f>D102 &amp; "|" &amp; E102</f>
        <v>principal-process-steward|RoleAssignments</v>
      </c>
      <c r="J102" s="3">
        <f>COUNTIFS(FieldGrants!M2:M999, I102)</f>
        <v>0</v>
      </c>
      <c r="K102" s="3">
        <f>_xlfn.IFNA(INDEX(RulebookTables!H2:H999, MATCH(E102,RulebookTables!A2:A999, 0)), "")</f>
        <v>65</v>
      </c>
      <c r="L102" s="3" t="b">
        <f>AND(J102 &gt; 0, J102 &gt;= K102)</f>
        <v>0</v>
      </c>
      <c r="M102" s="3" t="b">
        <f>J102 = 0</f>
        <v>1</v>
      </c>
      <c r="N102" s="2" t="s">
        <v>13591</v>
      </c>
    </row>
    <row r="103">
      <c r="A103" s="2" t="s">
        <v>13692</v>
      </c>
      <c r="B103" s="3" t="str">
        <f>G103 &amp; "." &amp; F103</f>
        <v>pko_process_steward.role_questions</v>
      </c>
      <c r="C103" s="2" t="s">
        <v>13588</v>
      </c>
      <c r="D103" s="2" t="s">
        <v>9706</v>
      </c>
      <c r="E103" s="2" t="s">
        <v>4091</v>
      </c>
      <c r="F103" s="2" t="s">
        <v>9642</v>
      </c>
      <c r="G103" s="3" t="str">
        <f>_xlfn.IFNA(INDEX(RoleSchemas!D2:D999, MATCH(C103,RoleSchemas!A2:A999, 0)), "")</f>
        <v>pko_process_steward</v>
      </c>
      <c r="H103" s="3" t="str">
        <f>_xlfn.IFNA(INDEX(RulebookTables!E2:E999, MATCH(E103,RulebookTables!A2:A999, 0)), "")</f>
        <v>vw_role_questions</v>
      </c>
      <c r="I103" s="3" t="str">
        <f>D103 &amp; "|" &amp; E103</f>
        <v>principal-process-steward|RoleQuestions</v>
      </c>
      <c r="J103" s="3">
        <f>COUNTIFS(FieldGrants!M2:M999, I103)</f>
        <v>0</v>
      </c>
      <c r="K103" s="3">
        <f>_xlfn.IFNA(INDEX(RulebookTables!H2:H999, MATCH(E103,RulebookTables!A2:A999, 0)), "")</f>
        <v>0</v>
      </c>
      <c r="L103" s="3" t="b">
        <f>AND(J103 &gt; 0, J103 &gt;= K103)</f>
        <v>0</v>
      </c>
      <c r="M103" s="3" t="b">
        <f>J103 = 0</f>
        <v>1</v>
      </c>
      <c r="N103" s="2" t="s">
        <v>13591</v>
      </c>
    </row>
    <row r="104">
      <c r="A104" s="2" t="s">
        <v>13693</v>
      </c>
      <c r="B104" s="3" t="str">
        <f>G104 &amp; "." &amp; F104</f>
        <v>pko_process_steward.roles</v>
      </c>
      <c r="C104" s="2" t="s">
        <v>13588</v>
      </c>
      <c r="D104" s="2" t="s">
        <v>9706</v>
      </c>
      <c r="E104" s="2" t="s">
        <v>1798</v>
      </c>
      <c r="F104" s="2" t="s">
        <v>9643</v>
      </c>
      <c r="G104" s="3" t="str">
        <f>_xlfn.IFNA(INDEX(RoleSchemas!D2:D999, MATCH(C104,RoleSchemas!A2:A999, 0)), "")</f>
        <v>pko_process_steward</v>
      </c>
      <c r="H104" s="3" t="str">
        <f>_xlfn.IFNA(INDEX(RulebookTables!E2:E999, MATCH(E104,RulebookTables!A2:A999, 0)), "")</f>
        <v>vw_roles</v>
      </c>
      <c r="I104" s="3" t="str">
        <f>D104 &amp; "|" &amp; E104</f>
        <v>principal-process-steward|Roles</v>
      </c>
      <c r="J104" s="3">
        <f>COUNTIFS(FieldGrants!M2:M999, I104)</f>
        <v>0</v>
      </c>
      <c r="K104" s="3">
        <f>_xlfn.IFNA(INDEX(RulebookTables!H2:H999, MATCH(E104,RulebookTables!A2:A999, 0)), "")</f>
        <v>24</v>
      </c>
      <c r="L104" s="3" t="b">
        <f>AND(J104 &gt; 0, J104 &gt;= K104)</f>
        <v>0</v>
      </c>
      <c r="M104" s="3" t="b">
        <f>J104 = 0</f>
        <v>1</v>
      </c>
      <c r="N104" s="2" t="s">
        <v>13591</v>
      </c>
    </row>
    <row r="105">
      <c r="A105" s="2" t="s">
        <v>13694</v>
      </c>
      <c r="B105" s="3" t="str">
        <f>G105 &amp; "." &amp; F105</f>
        <v>pko_process_steward.rulebook_fields</v>
      </c>
      <c r="C105" s="2" t="s">
        <v>13588</v>
      </c>
      <c r="D105" s="2" t="s">
        <v>9706</v>
      </c>
      <c r="E105" s="2" t="s">
        <v>4106</v>
      </c>
      <c r="F105" s="2" t="s">
        <v>9644</v>
      </c>
      <c r="G105" s="3" t="str">
        <f>_xlfn.IFNA(INDEX(RoleSchemas!D2:D999, MATCH(C105,RoleSchemas!A2:A999, 0)), "")</f>
        <v>pko_process_steward</v>
      </c>
      <c r="H105" s="3" t="str">
        <f>_xlfn.IFNA(INDEX(RulebookTables!E2:E999, MATCH(E105,RulebookTables!A2:A999, 0)), "")</f>
        <v>vw_rulebook_fields</v>
      </c>
      <c r="I105" s="3" t="str">
        <f>D105 &amp; "|" &amp; E105</f>
        <v>principal-process-steward|RulebookFields</v>
      </c>
      <c r="J105" s="3">
        <f>COUNTIFS(FieldGrants!M2:M999, I105)</f>
        <v>0</v>
      </c>
      <c r="K105" s="3">
        <f>_xlfn.IFNA(INDEX(RulebookTables!H2:H999, MATCH(E105,RulebookTables!A2:A999, 0)), "")</f>
        <v>0</v>
      </c>
      <c r="L105" s="3" t="b">
        <f>AND(J105 &gt; 0, J105 &gt;= K105)</f>
        <v>0</v>
      </c>
      <c r="M105" s="3" t="b">
        <f>J105 = 0</f>
        <v>1</v>
      </c>
      <c r="N105" s="2" t="s">
        <v>13591</v>
      </c>
    </row>
    <row r="106">
      <c r="A106" s="2" t="s">
        <v>13695</v>
      </c>
      <c r="B106" s="3" t="str">
        <f>G106 &amp; "." &amp; F106</f>
        <v>pko_process_steward.rulebook_releases</v>
      </c>
      <c r="C106" s="2" t="s">
        <v>13588</v>
      </c>
      <c r="D106" s="2" t="s">
        <v>9706</v>
      </c>
      <c r="E106" s="2" t="s">
        <v>2384</v>
      </c>
      <c r="F106" s="2" t="s">
        <v>9645</v>
      </c>
      <c r="G106" s="3" t="str">
        <f>_xlfn.IFNA(INDEX(RoleSchemas!D2:D999, MATCH(C106,RoleSchemas!A2:A999, 0)), "")</f>
        <v>pko_process_steward</v>
      </c>
      <c r="H106" s="3" t="str">
        <f>_xlfn.IFNA(INDEX(RulebookTables!E2:E999, MATCH(E106,RulebookTables!A2:A999, 0)), "")</f>
        <v>vw_rulebook_releases</v>
      </c>
      <c r="I106" s="3" t="str">
        <f>D106 &amp; "|" &amp; E106</f>
        <v>principal-process-steward|RulebookReleases</v>
      </c>
      <c r="J106" s="3">
        <f>COUNTIFS(FieldGrants!M2:M999, I106)</f>
        <v>0</v>
      </c>
      <c r="K106" s="3">
        <f>_xlfn.IFNA(INDEX(RulebookTables!H2:H999, MATCH(E106,RulebookTables!A2:A999, 0)), "")</f>
        <v>11</v>
      </c>
      <c r="L106" s="3" t="b">
        <f>AND(J106 &gt; 0, J106 &gt;= K106)</f>
        <v>0</v>
      </c>
      <c r="M106" s="3" t="b">
        <f>J106 = 0</f>
        <v>1</v>
      </c>
      <c r="N106" s="2" t="s">
        <v>13591</v>
      </c>
    </row>
    <row r="107">
      <c r="A107" s="2" t="s">
        <v>13696</v>
      </c>
      <c r="B107" s="3" t="str">
        <f>G107 &amp; "." &amp; F107</f>
        <v>pko_process_steward.semantic_mappings</v>
      </c>
      <c r="C107" s="2" t="s">
        <v>13588</v>
      </c>
      <c r="D107" s="2" t="s">
        <v>9706</v>
      </c>
      <c r="E107" s="2" t="s">
        <v>4064</v>
      </c>
      <c r="F107" s="2" t="s">
        <v>9646</v>
      </c>
      <c r="G107" s="3" t="str">
        <f>_xlfn.IFNA(INDEX(RoleSchemas!D2:D999, MATCH(C107,RoleSchemas!A2:A999, 0)), "")</f>
        <v>pko_process_steward</v>
      </c>
      <c r="H107" s="3" t="str">
        <f>_xlfn.IFNA(INDEX(RulebookTables!E2:E999, MATCH(E107,RulebookTables!A2:A999, 0)), "")</f>
        <v>vw_semantic_mappings</v>
      </c>
      <c r="I107" s="3" t="str">
        <f>D107 &amp; "|" &amp; E107</f>
        <v>principal-process-steward|SemanticMappings</v>
      </c>
      <c r="J107" s="3">
        <f>COUNTIFS(FieldGrants!M2:M999, I107)</f>
        <v>0</v>
      </c>
      <c r="K107" s="3">
        <f>_xlfn.IFNA(INDEX(RulebookTables!H2:H999, MATCH(E107,RulebookTables!A2:A999, 0)), "")</f>
        <v>0</v>
      </c>
      <c r="L107" s="3" t="b">
        <f>AND(J107 &gt; 0, J107 &gt;= K107)</f>
        <v>0</v>
      </c>
      <c r="M107" s="3" t="b">
        <f>J107 = 0</f>
        <v>1</v>
      </c>
      <c r="N107" s="2" t="s">
        <v>13591</v>
      </c>
    </row>
    <row r="108">
      <c r="A108" s="2" t="s">
        <v>13697</v>
      </c>
      <c r="B108" s="3" t="str">
        <f>G108 &amp; "." &amp; F108</f>
        <v>pko_process_steward.send_intents</v>
      </c>
      <c r="C108" s="2" t="s">
        <v>13588</v>
      </c>
      <c r="D108" s="2" t="s">
        <v>9706</v>
      </c>
      <c r="E108" s="2" t="s">
        <v>4662</v>
      </c>
      <c r="F108" s="2" t="s">
        <v>9647</v>
      </c>
      <c r="G108" s="3" t="str">
        <f>_xlfn.IFNA(INDEX(RoleSchemas!D2:D999, MATCH(C108,RoleSchemas!A2:A999, 0)), "")</f>
        <v>pko_process_steward</v>
      </c>
      <c r="H108" s="3" t="str">
        <f>_xlfn.IFNA(INDEX(RulebookTables!E2:E999, MATCH(E108,RulebookTables!A2:A999, 0)), "")</f>
        <v>vw_send_intents</v>
      </c>
      <c r="I108" s="3" t="str">
        <f>D108 &amp; "|" &amp; E108</f>
        <v>principal-process-steward|SendIntents</v>
      </c>
      <c r="J108" s="3">
        <f>COUNTIFS(FieldGrants!M2:M999, I108)</f>
        <v>0</v>
      </c>
      <c r="K108" s="3">
        <f>_xlfn.IFNA(INDEX(RulebookTables!H2:H999, MATCH(E108,RulebookTables!A2:A999, 0)), "")</f>
        <v>0</v>
      </c>
      <c r="L108" s="3" t="b">
        <f>AND(J108 &gt; 0, J108 &gt;= K108)</f>
        <v>0</v>
      </c>
      <c r="M108" s="3" t="b">
        <f>J108 = 0</f>
        <v>1</v>
      </c>
      <c r="N108" s="2" t="s">
        <v>13591</v>
      </c>
    </row>
    <row r="109">
      <c r="A109" s="2" t="s">
        <v>13698</v>
      </c>
      <c r="B109" s="3" t="str">
        <f>G109 &amp; "." &amp; F109</f>
        <v>pko_process_steward.step_actions</v>
      </c>
      <c r="C109" s="2" t="s">
        <v>13588</v>
      </c>
      <c r="D109" s="2" t="s">
        <v>9706</v>
      </c>
      <c r="E109" s="2" t="s">
        <v>2962</v>
      </c>
      <c r="F109" s="2" t="s">
        <v>9648</v>
      </c>
      <c r="G109" s="3" t="str">
        <f>_xlfn.IFNA(INDEX(RoleSchemas!D2:D999, MATCH(C109,RoleSchemas!A2:A999, 0)), "")</f>
        <v>pko_process_steward</v>
      </c>
      <c r="H109" s="3" t="str">
        <f>_xlfn.IFNA(INDEX(RulebookTables!E2:E999, MATCH(E109,RulebookTables!A2:A999, 0)), "")</f>
        <v>vw_step_actions</v>
      </c>
      <c r="I109" s="3" t="str">
        <f>D109 &amp; "|" &amp; E109</f>
        <v>principal-process-steward|StepActions</v>
      </c>
      <c r="J109" s="3">
        <f>COUNTIFS(FieldGrants!M2:M999, I109)</f>
        <v>0</v>
      </c>
      <c r="K109" s="3">
        <f>_xlfn.IFNA(INDEX(RulebookTables!H2:H999, MATCH(E109,RulebookTables!A2:A999, 0)), "")</f>
        <v>4</v>
      </c>
      <c r="L109" s="3" t="b">
        <f>AND(J109 &gt; 0, J109 &gt;= K109)</f>
        <v>0</v>
      </c>
      <c r="M109" s="3" t="b">
        <f>J109 = 0</f>
        <v>1</v>
      </c>
      <c r="N109" s="2" t="s">
        <v>13591</v>
      </c>
    </row>
    <row r="110">
      <c r="A110" s="2" t="s">
        <v>13699</v>
      </c>
      <c r="B110" s="3" t="str">
        <f>G110 &amp; "." &amp; F110</f>
        <v>pko_process_steward.step_executions</v>
      </c>
      <c r="C110" s="2" t="s">
        <v>13588</v>
      </c>
      <c r="D110" s="2" t="s">
        <v>9706</v>
      </c>
      <c r="E110" s="2" t="s">
        <v>1807</v>
      </c>
      <c r="F110" s="2" t="s">
        <v>9649</v>
      </c>
      <c r="G110" s="3" t="str">
        <f>_xlfn.IFNA(INDEX(RoleSchemas!D2:D999, MATCH(C110,RoleSchemas!A2:A999, 0)), "")</f>
        <v>pko_process_steward</v>
      </c>
      <c r="H110" s="3" t="str">
        <f>_xlfn.IFNA(INDEX(RulebookTables!E2:E999, MATCH(E110,RulebookTables!A2:A999, 0)), "")</f>
        <v>vw_step_executions</v>
      </c>
      <c r="I110" s="3" t="str">
        <f>D110 &amp; "|" &amp; E110</f>
        <v>principal-process-steward|StepExecutions</v>
      </c>
      <c r="J110" s="3">
        <f>COUNTIFS(FieldGrants!M2:M999, I110)</f>
        <v>0</v>
      </c>
      <c r="K110" s="3">
        <f>_xlfn.IFNA(INDEX(RulebookTables!H2:H999, MATCH(E110,RulebookTables!A2:A999, 0)), "")</f>
        <v>109</v>
      </c>
      <c r="L110" s="3" t="b">
        <f>AND(J110 &gt; 0, J110 &gt;= K110)</f>
        <v>0</v>
      </c>
      <c r="M110" s="3" t="b">
        <f>J110 = 0</f>
        <v>1</v>
      </c>
      <c r="N110" s="2" t="s">
        <v>13591</v>
      </c>
    </row>
    <row r="111">
      <c r="A111" s="2" t="s">
        <v>13700</v>
      </c>
      <c r="B111" s="3" t="str">
        <f>G111 &amp; "." &amp; F111</f>
        <v>pko_process_steward.step_functions</v>
      </c>
      <c r="C111" s="2" t="s">
        <v>13588</v>
      </c>
      <c r="D111" s="2" t="s">
        <v>9706</v>
      </c>
      <c r="E111" s="2" t="s">
        <v>2968</v>
      </c>
      <c r="F111" s="2" t="s">
        <v>9650</v>
      </c>
      <c r="G111" s="3" t="str">
        <f>_xlfn.IFNA(INDEX(RoleSchemas!D2:D999, MATCH(C111,RoleSchemas!A2:A999, 0)), "")</f>
        <v>pko_process_steward</v>
      </c>
      <c r="H111" s="3" t="str">
        <f>_xlfn.IFNA(INDEX(RulebookTables!E2:E999, MATCH(E111,RulebookTables!A2:A999, 0)), "")</f>
        <v>vw_step_functions</v>
      </c>
      <c r="I111" s="3" t="str">
        <f>D111 &amp; "|" &amp; E111</f>
        <v>principal-process-steward|StepFunctions</v>
      </c>
      <c r="J111" s="3">
        <f>COUNTIFS(FieldGrants!M2:M999, I111)</f>
        <v>0</v>
      </c>
      <c r="K111" s="3">
        <f>_xlfn.IFNA(INDEX(RulebookTables!H2:H999, MATCH(E111,RulebookTables!A2:A999, 0)), "")</f>
        <v>4</v>
      </c>
      <c r="L111" s="3" t="b">
        <f>AND(J111 &gt; 0, J111 &gt;= K111)</f>
        <v>0</v>
      </c>
      <c r="M111" s="3" t="b">
        <f>J111 = 0</f>
        <v>1</v>
      </c>
      <c r="N111" s="2" t="s">
        <v>13591</v>
      </c>
    </row>
    <row r="112">
      <c r="A112" s="2" t="s">
        <v>13701</v>
      </c>
      <c r="B112" s="3" t="str">
        <f>G112 &amp; "." &amp; F112</f>
        <v>pko_process_steward.step_requirements</v>
      </c>
      <c r="C112" s="2" t="s">
        <v>13588</v>
      </c>
      <c r="D112" s="2" t="s">
        <v>9706</v>
      </c>
      <c r="E112" s="2" t="s">
        <v>3053</v>
      </c>
      <c r="F112" s="2" t="s">
        <v>9651</v>
      </c>
      <c r="G112" s="3" t="str">
        <f>_xlfn.IFNA(INDEX(RoleSchemas!D2:D999, MATCH(C112,RoleSchemas!A2:A999, 0)), "")</f>
        <v>pko_process_steward</v>
      </c>
      <c r="H112" s="3" t="str">
        <f>_xlfn.IFNA(INDEX(RulebookTables!E2:E999, MATCH(E112,RulebookTables!A2:A999, 0)), "")</f>
        <v>vw_step_requirements</v>
      </c>
      <c r="I112" s="3" t="str">
        <f>D112 &amp; "|" &amp; E112</f>
        <v>principal-process-steward|StepRequirements</v>
      </c>
      <c r="J112" s="3">
        <f>COUNTIFS(FieldGrants!M2:M999, I112)</f>
        <v>0</v>
      </c>
      <c r="K112" s="3">
        <f>_xlfn.IFNA(INDEX(RulebookTables!H2:H999, MATCH(E112,RulebookTables!A2:A999, 0)), "")</f>
        <v>13</v>
      </c>
      <c r="L112" s="3" t="b">
        <f>AND(J112 &gt; 0, J112 &gt;= K112)</f>
        <v>0</v>
      </c>
      <c r="M112" s="3" t="b">
        <f>J112 = 0</f>
        <v>1</v>
      </c>
      <c r="N112" s="2" t="s">
        <v>13591</v>
      </c>
    </row>
    <row r="113">
      <c r="A113" s="2" t="s">
        <v>13702</v>
      </c>
      <c r="B113" s="3" t="str">
        <f>G113 &amp; "." &amp; F113</f>
        <v>pko_process_steward.step_tools</v>
      </c>
      <c r="C113" s="2" t="s">
        <v>13588</v>
      </c>
      <c r="D113" s="2" t="s">
        <v>9706</v>
      </c>
      <c r="E113" s="2" t="s">
        <v>2974</v>
      </c>
      <c r="F113" s="2" t="s">
        <v>9652</v>
      </c>
      <c r="G113" s="3" t="str">
        <f>_xlfn.IFNA(INDEX(RoleSchemas!D2:D999, MATCH(C113,RoleSchemas!A2:A999, 0)), "")</f>
        <v>pko_process_steward</v>
      </c>
      <c r="H113" s="3" t="str">
        <f>_xlfn.IFNA(INDEX(RulebookTables!E2:E999, MATCH(E113,RulebookTables!A2:A999, 0)), "")</f>
        <v>vw_step_tools</v>
      </c>
      <c r="I113" s="3" t="str">
        <f>D113 &amp; "|" &amp; E113</f>
        <v>principal-process-steward|StepTools</v>
      </c>
      <c r="J113" s="3">
        <f>COUNTIFS(FieldGrants!M2:M999, I113)</f>
        <v>0</v>
      </c>
      <c r="K113" s="3">
        <f>_xlfn.IFNA(INDEX(RulebookTables!H2:H999, MATCH(E113,RulebookTables!A2:A999, 0)), "")</f>
        <v>4</v>
      </c>
      <c r="L113" s="3" t="b">
        <f>AND(J113 &gt; 0, J113 &gt;= K113)</f>
        <v>0</v>
      </c>
      <c r="M113" s="3" t="b">
        <f>J113 = 0</f>
        <v>1</v>
      </c>
      <c r="N113" s="2" t="s">
        <v>13591</v>
      </c>
    </row>
    <row r="114">
      <c r="A114" s="2" t="s">
        <v>13703</v>
      </c>
      <c r="B114" s="3" t="str">
        <f>G114 &amp; "." &amp; F114</f>
        <v>pko_process_steward.step_transitions</v>
      </c>
      <c r="C114" s="2" t="s">
        <v>13588</v>
      </c>
      <c r="D114" s="2" t="s">
        <v>9706</v>
      </c>
      <c r="E114" s="2" t="s">
        <v>1764</v>
      </c>
      <c r="F114" s="2" t="s">
        <v>9653</v>
      </c>
      <c r="G114" s="3" t="str">
        <f>_xlfn.IFNA(INDEX(RoleSchemas!D2:D999, MATCH(C114,RoleSchemas!A2:A999, 0)), "")</f>
        <v>pko_process_steward</v>
      </c>
      <c r="H114" s="3" t="str">
        <f>_xlfn.IFNA(INDEX(RulebookTables!E2:E999, MATCH(E114,RulebookTables!A2:A999, 0)), "")</f>
        <v>vw_step_transitions</v>
      </c>
      <c r="I114" s="3" t="str">
        <f>D114 &amp; "|" &amp; E114</f>
        <v>principal-process-steward|StepTransitions</v>
      </c>
      <c r="J114" s="3">
        <f>COUNTIFS(FieldGrants!M2:M999, I114)</f>
        <v>0</v>
      </c>
      <c r="K114" s="3">
        <f>_xlfn.IFNA(INDEX(RulebookTables!H2:H999, MATCH(E114,RulebookTables!A2:A999, 0)), "")</f>
        <v>23</v>
      </c>
      <c r="L114" s="3" t="b">
        <f>AND(J114 &gt; 0, J114 &gt;= K114)</f>
        <v>0</v>
      </c>
      <c r="M114" s="3" t="b">
        <f>J114 = 0</f>
        <v>1</v>
      </c>
      <c r="N114" s="2" t="s">
        <v>13591</v>
      </c>
    </row>
    <row r="115">
      <c r="A115" s="2" t="s">
        <v>13704</v>
      </c>
      <c r="B115" s="3" t="str">
        <f>G115 &amp; "." &amp; F115</f>
        <v>pko_process_steward.step_verifications</v>
      </c>
      <c r="C115" s="2" t="s">
        <v>13588</v>
      </c>
      <c r="D115" s="2" t="s">
        <v>9706</v>
      </c>
      <c r="E115" s="2" t="s">
        <v>1788</v>
      </c>
      <c r="F115" s="2" t="s">
        <v>9654</v>
      </c>
      <c r="G115" s="3" t="str">
        <f>_xlfn.IFNA(INDEX(RoleSchemas!D2:D999, MATCH(C115,RoleSchemas!A2:A999, 0)), "")</f>
        <v>pko_process_steward</v>
      </c>
      <c r="H115" s="3" t="str">
        <f>_xlfn.IFNA(INDEX(RulebookTables!E2:E999, MATCH(E115,RulebookTables!A2:A999, 0)), "")</f>
        <v>vw_step_verifications</v>
      </c>
      <c r="I115" s="3" t="str">
        <f>D115 &amp; "|" &amp; E115</f>
        <v>principal-process-steward|StepVerifications</v>
      </c>
      <c r="J115" s="3">
        <f>COUNTIFS(FieldGrants!M2:M999, I115)</f>
        <v>0</v>
      </c>
      <c r="K115" s="3">
        <f>_xlfn.IFNA(INDEX(RulebookTables!H2:H999, MATCH(E115,RulebookTables!A2:A999, 0)), "")</f>
        <v>8</v>
      </c>
      <c r="L115" s="3" t="b">
        <f>AND(J115 &gt; 0, J115 &gt;= K115)</f>
        <v>0</v>
      </c>
      <c r="M115" s="3" t="b">
        <f>J115 = 0</f>
        <v>1</v>
      </c>
      <c r="N115" s="2" t="s">
        <v>13591</v>
      </c>
    </row>
    <row r="116">
      <c r="A116" s="2" t="s">
        <v>13705</v>
      </c>
      <c r="B116" s="3" t="str">
        <f>G116 &amp; "." &amp; F116</f>
        <v>pko_process_steward.steps</v>
      </c>
      <c r="C116" s="2" t="s">
        <v>13588</v>
      </c>
      <c r="D116" s="2" t="s">
        <v>9706</v>
      </c>
      <c r="E116" s="2" t="s">
        <v>1758</v>
      </c>
      <c r="F116" s="2" t="s">
        <v>9655</v>
      </c>
      <c r="G116" s="3" t="str">
        <f>_xlfn.IFNA(INDEX(RoleSchemas!D2:D999, MATCH(C116,RoleSchemas!A2:A999, 0)), "")</f>
        <v>pko_process_steward</v>
      </c>
      <c r="H116" s="3" t="str">
        <f>_xlfn.IFNA(INDEX(RulebookTables!E2:E999, MATCH(E116,RulebookTables!A2:A999, 0)), "")</f>
        <v>vw_steps</v>
      </c>
      <c r="I116" s="3" t="str">
        <f>D116 &amp; "|" &amp; E116</f>
        <v>principal-process-steward|Steps</v>
      </c>
      <c r="J116" s="3">
        <f>COUNTIFS(FieldGrants!M2:M999, I116)</f>
        <v>0</v>
      </c>
      <c r="K116" s="3">
        <f>_xlfn.IFNA(INDEX(RulebookTables!H2:H999, MATCH(E116,RulebookTables!A2:A999, 0)), "")</f>
        <v>42</v>
      </c>
      <c r="L116" s="3" t="b">
        <f>AND(J116 &gt; 0, J116 &gt;= K116)</f>
        <v>0</v>
      </c>
      <c r="M116" s="3" t="b">
        <f>J116 = 0</f>
        <v>1</v>
      </c>
      <c r="N116" s="2" t="s">
        <v>13591</v>
      </c>
    </row>
    <row r="117">
      <c r="A117" s="2" t="s">
        <v>13706</v>
      </c>
      <c r="B117" s="3" t="str">
        <f>G117 &amp; "." &amp; F117</f>
        <v>pko_process_steward.stewardship_assignments</v>
      </c>
      <c r="C117" s="2" t="s">
        <v>13588</v>
      </c>
      <c r="D117" s="2" t="s">
        <v>9706</v>
      </c>
      <c r="E117" s="2" t="s">
        <v>1839</v>
      </c>
      <c r="F117" s="2" t="s">
        <v>9656</v>
      </c>
      <c r="G117" s="3" t="str">
        <f>_xlfn.IFNA(INDEX(RoleSchemas!D2:D999, MATCH(C117,RoleSchemas!A2:A999, 0)), "")</f>
        <v>pko_process_steward</v>
      </c>
      <c r="H117" s="3" t="str">
        <f>_xlfn.IFNA(INDEX(RulebookTables!E2:E999, MATCH(E117,RulebookTables!A2:A999, 0)), "")</f>
        <v>vw_stewardship_assignments</v>
      </c>
      <c r="I117" s="3" t="str">
        <f>D117 &amp; "|" &amp; E117</f>
        <v>principal-process-steward|StewardshipAssignments</v>
      </c>
      <c r="J117" s="3">
        <f>COUNTIFS(FieldGrants!M2:M999, I117)</f>
        <v>0</v>
      </c>
      <c r="K117" s="3">
        <f>_xlfn.IFNA(INDEX(RulebookTables!H2:H999, MATCH(E117,RulebookTables!A2:A999, 0)), "")</f>
        <v>14</v>
      </c>
      <c r="L117" s="3" t="b">
        <f>AND(J117 &gt; 0, J117 &gt;= K117)</f>
        <v>0</v>
      </c>
      <c r="M117" s="3" t="b">
        <f>J117 = 0</f>
        <v>1</v>
      </c>
      <c r="N117" s="2" t="s">
        <v>13591</v>
      </c>
    </row>
    <row r="118">
      <c r="A118" s="2" t="s">
        <v>13707</v>
      </c>
      <c r="B118" s="3" t="str">
        <f>G118 &amp; "." &amp; F118</f>
        <v>pko_process_steward.template_approvals</v>
      </c>
      <c r="C118" s="2" t="s">
        <v>13588</v>
      </c>
      <c r="D118" s="2" t="s">
        <v>9706</v>
      </c>
      <c r="E118" s="2" t="s">
        <v>4632</v>
      </c>
      <c r="F118" s="2" t="s">
        <v>9657</v>
      </c>
      <c r="G118" s="3" t="str">
        <f>_xlfn.IFNA(INDEX(RoleSchemas!D2:D999, MATCH(C118,RoleSchemas!A2:A999, 0)), "")</f>
        <v>pko_process_steward</v>
      </c>
      <c r="H118" s="3" t="str">
        <f>_xlfn.IFNA(INDEX(RulebookTables!E2:E999, MATCH(E118,RulebookTables!A2:A999, 0)), "")</f>
        <v>vw_template_approvals</v>
      </c>
      <c r="I118" s="3" t="str">
        <f>D118 &amp; "|" &amp; E118</f>
        <v>principal-process-steward|TemplateApprovals</v>
      </c>
      <c r="J118" s="3">
        <f>COUNTIFS(FieldGrants!M2:M999, I118)</f>
        <v>0</v>
      </c>
      <c r="K118" s="3">
        <f>_xlfn.IFNA(INDEX(RulebookTables!H2:H999, MATCH(E118,RulebookTables!A2:A999, 0)), "")</f>
        <v>0</v>
      </c>
      <c r="L118" s="3" t="b">
        <f>AND(J118 &gt; 0, J118 &gt;= K118)</f>
        <v>0</v>
      </c>
      <c r="M118" s="3" t="b">
        <f>J118 = 0</f>
        <v>1</v>
      </c>
      <c r="N118" s="2" t="s">
        <v>13591</v>
      </c>
    </row>
    <row r="119">
      <c r="A119" s="2" t="s">
        <v>13708</v>
      </c>
      <c r="B119" s="3" t="str">
        <f>G119 &amp; "." &amp; F119</f>
        <v>pko_process_steward.test_cases</v>
      </c>
      <c r="C119" s="2" t="s">
        <v>13588</v>
      </c>
      <c r="D119" s="2" t="s">
        <v>9706</v>
      </c>
      <c r="E119" s="2" t="s">
        <v>4143</v>
      </c>
      <c r="F119" s="2" t="s">
        <v>9658</v>
      </c>
      <c r="G119" s="3" t="str">
        <f>_xlfn.IFNA(INDEX(RoleSchemas!D2:D999, MATCH(C119,RoleSchemas!A2:A999, 0)), "")</f>
        <v>pko_process_steward</v>
      </c>
      <c r="H119" s="3" t="str">
        <f>_xlfn.IFNA(INDEX(RulebookTables!E2:E999, MATCH(E119,RulebookTables!A2:A999, 0)), "")</f>
        <v>vw_test_cases</v>
      </c>
      <c r="I119" s="3" t="str">
        <f>D119 &amp; "|" &amp; E119</f>
        <v>principal-process-steward|TestCases</v>
      </c>
      <c r="J119" s="3">
        <f>COUNTIFS(FieldGrants!M2:M999, I119)</f>
        <v>0</v>
      </c>
      <c r="K119" s="3">
        <f>_xlfn.IFNA(INDEX(RulebookTables!H2:H999, MATCH(E119,RulebookTables!A2:A999, 0)), "")</f>
        <v>0</v>
      </c>
      <c r="L119" s="3" t="b">
        <f>AND(J119 &gt; 0, J119 &gt;= K119)</f>
        <v>0</v>
      </c>
      <c r="M119" s="3" t="b">
        <f>J119 = 0</f>
        <v>1</v>
      </c>
      <c r="N119" s="2" t="s">
        <v>13591</v>
      </c>
    </row>
    <row r="120">
      <c r="A120" s="2" t="s">
        <v>13709</v>
      </c>
      <c r="B120" s="3" t="str">
        <f>G120 &amp; "." &amp; F120</f>
        <v>pko_process_steward.test_suites</v>
      </c>
      <c r="C120" s="2" t="s">
        <v>13588</v>
      </c>
      <c r="D120" s="2" t="s">
        <v>9706</v>
      </c>
      <c r="E120" s="2" t="s">
        <v>4125</v>
      </c>
      <c r="F120" s="2" t="s">
        <v>9659</v>
      </c>
      <c r="G120" s="3" t="str">
        <f>_xlfn.IFNA(INDEX(RoleSchemas!D2:D999, MATCH(C120,RoleSchemas!A2:A999, 0)), "")</f>
        <v>pko_process_steward</v>
      </c>
      <c r="H120" s="3" t="str">
        <f>_xlfn.IFNA(INDEX(RulebookTables!E2:E999, MATCH(E120,RulebookTables!A2:A999, 0)), "")</f>
        <v>vw_test_suites</v>
      </c>
      <c r="I120" s="3" t="str">
        <f>D120 &amp; "|" &amp; E120</f>
        <v>principal-process-steward|TestSuites</v>
      </c>
      <c r="J120" s="3">
        <f>COUNTIFS(FieldGrants!M2:M999, I120)</f>
        <v>0</v>
      </c>
      <c r="K120" s="3">
        <f>_xlfn.IFNA(INDEX(RulebookTables!H2:H999, MATCH(E120,RulebookTables!A2:A999, 0)), "")</f>
        <v>0</v>
      </c>
      <c r="L120" s="3" t="b">
        <f>AND(J120 &gt; 0, J120 &gt;= K120)</f>
        <v>0</v>
      </c>
      <c r="M120" s="3" t="b">
        <f>J120 = 0</f>
        <v>1</v>
      </c>
      <c r="N120" s="2" t="s">
        <v>13591</v>
      </c>
    </row>
    <row r="121">
      <c r="A121" s="2" t="s">
        <v>13710</v>
      </c>
      <c r="B121" s="3" t="str">
        <f>G121 &amp; "." &amp; F121</f>
        <v>pko_process_steward.tools</v>
      </c>
      <c r="C121" s="2" t="s">
        <v>13588</v>
      </c>
      <c r="D121" s="2" t="s">
        <v>9706</v>
      </c>
      <c r="E121" s="2" t="s">
        <v>1782</v>
      </c>
      <c r="F121" s="2" t="s">
        <v>9660</v>
      </c>
      <c r="G121" s="3" t="str">
        <f>_xlfn.IFNA(INDEX(RoleSchemas!D2:D999, MATCH(C121,RoleSchemas!A2:A999, 0)), "")</f>
        <v>pko_process_steward</v>
      </c>
      <c r="H121" s="3" t="str">
        <f>_xlfn.IFNA(INDEX(RulebookTables!E2:E999, MATCH(E121,RulebookTables!A2:A999, 0)), "")</f>
        <v>vw_tools</v>
      </c>
      <c r="I121" s="3" t="str">
        <f>D121 &amp; "|" &amp; E121</f>
        <v>principal-process-steward|Tools</v>
      </c>
      <c r="J121" s="3">
        <f>COUNTIFS(FieldGrants!M2:M999, I121)</f>
        <v>0</v>
      </c>
      <c r="K121" s="3">
        <f>_xlfn.IFNA(INDEX(RulebookTables!H2:H999, MATCH(E121,RulebookTables!A2:A999, 0)), "")</f>
        <v>5</v>
      </c>
      <c r="L121" s="3" t="b">
        <f>AND(J121 &gt; 0, J121 &gt;= K121)</f>
        <v>0</v>
      </c>
      <c r="M121" s="3" t="b">
        <f>J121 = 0</f>
        <v>1</v>
      </c>
      <c r="N121" s="2" t="s">
        <v>13591</v>
      </c>
    </row>
    <row r="122">
      <c r="A122" s="2" t="s">
        <v>13711</v>
      </c>
      <c r="B122" s="3" t="str">
        <f>G122 &amp; "." &amp; F122</f>
        <v>pko_process_steward.user_feedback</v>
      </c>
      <c r="C122" s="2" t="s">
        <v>13588</v>
      </c>
      <c r="D122" s="2" t="s">
        <v>9706</v>
      </c>
      <c r="E122" s="2" t="s">
        <v>1822</v>
      </c>
      <c r="F122" s="2" t="s">
        <v>9661</v>
      </c>
      <c r="G122" s="3" t="str">
        <f>_xlfn.IFNA(INDEX(RoleSchemas!D2:D999, MATCH(C122,RoleSchemas!A2:A999, 0)), "")</f>
        <v>pko_process_steward</v>
      </c>
      <c r="H122" s="3" t="str">
        <f>_xlfn.IFNA(INDEX(RulebookTables!E2:E999, MATCH(E122,RulebookTables!A2:A999, 0)), "")</f>
        <v>vw_user_feedback</v>
      </c>
      <c r="I122" s="3" t="str">
        <f>D122 &amp; "|" &amp; E122</f>
        <v>principal-process-steward|UserFeedback</v>
      </c>
      <c r="J122" s="3">
        <f>COUNTIFS(FieldGrants!M2:M999, I122)</f>
        <v>0</v>
      </c>
      <c r="K122" s="3">
        <f>_xlfn.IFNA(INDEX(RulebookTables!H2:H999, MATCH(E122,RulebookTables!A2:A999, 0)), "")</f>
        <v>9</v>
      </c>
      <c r="L122" s="3" t="b">
        <f>AND(J122 &gt; 0, J122 &gt;= K122)</f>
        <v>0</v>
      </c>
      <c r="M122" s="3" t="b">
        <f>J122 = 0</f>
        <v>1</v>
      </c>
      <c r="N122" s="2" t="s">
        <v>13591</v>
      </c>
    </row>
    <row r="123">
      <c r="A123" s="2" t="s">
        <v>13712</v>
      </c>
      <c r="B123" s="3" t="str">
        <f>G123 &amp; "." &amp; F123</f>
        <v>pko_process_steward.user_questions</v>
      </c>
      <c r="C123" s="2" t="s">
        <v>13588</v>
      </c>
      <c r="D123" s="2" t="s">
        <v>9706</v>
      </c>
      <c r="E123" s="2" t="s">
        <v>1819</v>
      </c>
      <c r="F123" s="2" t="s">
        <v>9662</v>
      </c>
      <c r="G123" s="3" t="str">
        <f>_xlfn.IFNA(INDEX(RoleSchemas!D2:D999, MATCH(C123,RoleSchemas!A2:A999, 0)), "")</f>
        <v>pko_process_steward</v>
      </c>
      <c r="H123" s="3" t="str">
        <f>_xlfn.IFNA(INDEX(RulebookTables!E2:E999, MATCH(E123,RulebookTables!A2:A999, 0)), "")</f>
        <v>vw_user_questions</v>
      </c>
      <c r="I123" s="3" t="str">
        <f>D123 &amp; "|" &amp; E123</f>
        <v>principal-process-steward|UserQuestions</v>
      </c>
      <c r="J123" s="3">
        <f>COUNTIFS(FieldGrants!M2:M999, I123)</f>
        <v>0</v>
      </c>
      <c r="K123" s="3">
        <f>_xlfn.IFNA(INDEX(RulebookTables!H2:H999, MATCH(E123,RulebookTables!A2:A999, 0)), "")</f>
        <v>10</v>
      </c>
      <c r="L123" s="3" t="b">
        <f>AND(J123 &gt; 0, J123 &gt;= K123)</f>
        <v>0</v>
      </c>
      <c r="M123" s="3" t="b">
        <f>J123 = 0</f>
        <v>1</v>
      </c>
      <c r="N123" s="2" t="s">
        <v>13591</v>
      </c>
    </row>
    <row r="124">
      <c r="A124" s="2" t="s">
        <v>13713</v>
      </c>
      <c r="B124" s="3" t="str">
        <f>G124 &amp; "." &amp; F124</f>
        <v>pko_process_steward.verification_outcomes</v>
      </c>
      <c r="C124" s="2" t="s">
        <v>13588</v>
      </c>
      <c r="D124" s="2" t="s">
        <v>9706</v>
      </c>
      <c r="E124" s="2" t="s">
        <v>4271</v>
      </c>
      <c r="F124" s="2" t="s">
        <v>9663</v>
      </c>
      <c r="G124" s="3" t="str">
        <f>_xlfn.IFNA(INDEX(RoleSchemas!D2:D999, MATCH(C124,RoleSchemas!A2:A999, 0)), "")</f>
        <v>pko_process_steward</v>
      </c>
      <c r="H124" s="3" t="str">
        <f>_xlfn.IFNA(INDEX(RulebookTables!E2:E999, MATCH(E124,RulebookTables!A2:A999, 0)), "")</f>
        <v>vw_verification_outcomes</v>
      </c>
      <c r="I124" s="3" t="str">
        <f>D124 &amp; "|" &amp; E124</f>
        <v>principal-process-steward|VerificationOutcomes</v>
      </c>
      <c r="J124" s="3">
        <f>COUNTIFS(FieldGrants!M2:M999, I124)</f>
        <v>0</v>
      </c>
      <c r="K124" s="3">
        <f>_xlfn.IFNA(INDEX(RulebookTables!H2:H999, MATCH(E124,RulebookTables!A2:A999, 0)), "")</f>
        <v>0</v>
      </c>
      <c r="L124" s="3" t="b">
        <f>AND(J124 &gt; 0, J124 &gt;= K124)</f>
        <v>0</v>
      </c>
      <c r="M124" s="3" t="b">
        <f>J124 = 0</f>
        <v>1</v>
      </c>
      <c r="N124" s="2" t="s">
        <v>13591</v>
      </c>
    </row>
    <row r="125">
      <c r="A125" s="2" t="s">
        <v>13714</v>
      </c>
      <c r="B125" s="3" t="str">
        <f>G125 &amp; "." &amp; F125</f>
        <v>pko_process_steward.witness_loops</v>
      </c>
      <c r="C125" s="2" t="s">
        <v>13588</v>
      </c>
      <c r="D125" s="2" t="s">
        <v>9706</v>
      </c>
      <c r="E125" s="2" t="s">
        <v>4074</v>
      </c>
      <c r="F125" s="2" t="s">
        <v>9664</v>
      </c>
      <c r="G125" s="3" t="str">
        <f>_xlfn.IFNA(INDEX(RoleSchemas!D2:D999, MATCH(C125,RoleSchemas!A2:A999, 0)), "")</f>
        <v>pko_process_steward</v>
      </c>
      <c r="H125" s="3" t="str">
        <f>_xlfn.IFNA(INDEX(RulebookTables!E2:E999, MATCH(E125,RulebookTables!A2:A999, 0)), "")</f>
        <v>vw_witness_loops</v>
      </c>
      <c r="I125" s="3" t="str">
        <f>D125 &amp; "|" &amp; E125</f>
        <v>principal-process-steward|WitnessLoops</v>
      </c>
      <c r="J125" s="3">
        <f>COUNTIFS(FieldGrants!M2:M999, I125)</f>
        <v>0</v>
      </c>
      <c r="K125" s="3">
        <f>_xlfn.IFNA(INDEX(RulebookTables!H2:H999, MATCH(E125,RulebookTables!A2:A999, 0)), "")</f>
        <v>0</v>
      </c>
      <c r="L125" s="3" t="b">
        <f>AND(J125 &gt; 0, J125 &gt;= K125)</f>
        <v>0</v>
      </c>
      <c r="M125" s="3" t="b">
        <f>J125 = 0</f>
        <v>1</v>
      </c>
      <c r="N125" s="2" t="s">
        <v>13591</v>
      </c>
    </row>
    <row r="126">
      <c r="A126" s="2" t="s">
        <v>13715</v>
      </c>
      <c r="B126" s="3" t="str">
        <f>G126 &amp; "." &amp; F126</f>
        <v>pko_knowledge_authority.actions</v>
      </c>
      <c r="C126" s="2" t="s">
        <v>13589</v>
      </c>
      <c r="D126" s="2" t="s">
        <v>9708</v>
      </c>
      <c r="E126" s="2" t="s">
        <v>1776</v>
      </c>
      <c r="F126" s="2" t="s">
        <v>9585</v>
      </c>
      <c r="G126" s="3" t="str">
        <f>_xlfn.IFNA(INDEX(RoleSchemas!D2:D999, MATCH(C126,RoleSchemas!A2:A999, 0)), "")</f>
        <v>pko_knowledge_authority</v>
      </c>
      <c r="H126" s="3" t="str">
        <f>_xlfn.IFNA(INDEX(RulebookTables!E2:E999, MATCH(E126,RulebookTables!A2:A999, 0)), "")</f>
        <v>vw_actions</v>
      </c>
      <c r="I126" s="3" t="str">
        <f>D126 &amp; "|" &amp; E126</f>
        <v>principal-knowledge-authority|Actions</v>
      </c>
      <c r="J126" s="3">
        <f>COUNTIFS(FieldGrants!M2:M999, I126)</f>
        <v>0</v>
      </c>
      <c r="K126" s="3">
        <f>_xlfn.IFNA(INDEX(RulebookTables!H2:H999, MATCH(E126,RulebookTables!A2:A999, 0)), "")</f>
        <v>5</v>
      </c>
      <c r="L126" s="3" t="b">
        <f>AND(J126 &gt; 0, J126 &gt;= K126)</f>
        <v>0</v>
      </c>
      <c r="M126" s="3" t="b">
        <f>J126 = 0</f>
        <v>1</v>
      </c>
      <c r="N126" s="2" t="s">
        <v>13591</v>
      </c>
    </row>
    <row r="127">
      <c r="A127" s="2" t="s">
        <v>13716</v>
      </c>
      <c r="B127" s="3" t="str">
        <f>G127 &amp; "." &amp; F127</f>
        <v>pko_knowledge_authority.agent_decision_records</v>
      </c>
      <c r="C127" s="2" t="s">
        <v>13589</v>
      </c>
      <c r="D127" s="2" t="s">
        <v>9708</v>
      </c>
      <c r="E127" s="2" t="s">
        <v>4928</v>
      </c>
      <c r="F127" s="2" t="s">
        <v>9587</v>
      </c>
      <c r="G127" s="3" t="str">
        <f>_xlfn.IFNA(INDEX(RoleSchemas!D2:D999, MATCH(C127,RoleSchemas!A2:A999, 0)), "")</f>
        <v>pko_knowledge_authority</v>
      </c>
      <c r="H127" s="3" t="str">
        <f>_xlfn.IFNA(INDEX(RulebookTables!E2:E999, MATCH(E127,RulebookTables!A2:A999, 0)), "")</f>
        <v>vw_agent_decision_records</v>
      </c>
      <c r="I127" s="3" t="str">
        <f>D127 &amp; "|" &amp; E127</f>
        <v>principal-knowledge-authority|AgentDecisionRecords</v>
      </c>
      <c r="J127" s="3">
        <f>COUNTIFS(FieldGrants!M2:M999, I127)</f>
        <v>0</v>
      </c>
      <c r="K127" s="3">
        <f>_xlfn.IFNA(INDEX(RulebookTables!H2:H999, MATCH(E127,RulebookTables!A2:A999, 0)), "")</f>
        <v>0</v>
      </c>
      <c r="L127" s="3" t="b">
        <f>AND(J127 &gt; 0, J127 &gt;= K127)</f>
        <v>0</v>
      </c>
      <c r="M127" s="3" t="b">
        <f>J127 = 0</f>
        <v>1</v>
      </c>
      <c r="N127" s="2" t="s">
        <v>13591</v>
      </c>
    </row>
    <row r="128">
      <c r="A128" s="2" t="s">
        <v>13717</v>
      </c>
      <c r="B128" s="3" t="str">
        <f>G128 &amp; "." &amp; F128</f>
        <v>pko_knowledge_authority.agents</v>
      </c>
      <c r="C128" s="2" t="s">
        <v>13589</v>
      </c>
      <c r="D128" s="2" t="s">
        <v>9708</v>
      </c>
      <c r="E128" s="2" t="s">
        <v>1794</v>
      </c>
      <c r="F128" s="2" t="s">
        <v>9589</v>
      </c>
      <c r="G128" s="3" t="str">
        <f>_xlfn.IFNA(INDEX(RoleSchemas!D2:D999, MATCH(C128,RoleSchemas!A2:A999, 0)), "")</f>
        <v>pko_knowledge_authority</v>
      </c>
      <c r="H128" s="3" t="str">
        <f>_xlfn.IFNA(INDEX(RulebookTables!E2:E999, MATCH(E128,RulebookTables!A2:A999, 0)), "")</f>
        <v>vw_agents</v>
      </c>
      <c r="I128" s="3" t="str">
        <f>D128 &amp; "|" &amp; E128</f>
        <v>principal-knowledge-authority|Agents</v>
      </c>
      <c r="J128" s="3">
        <f>COUNTIFS(FieldGrants!M2:M999, I128)</f>
        <v>0</v>
      </c>
      <c r="K128" s="3">
        <f>_xlfn.IFNA(INDEX(RulebookTables!H2:H999, MATCH(E128,RulebookTables!A2:A999, 0)), "")</f>
        <v>23</v>
      </c>
      <c r="L128" s="3" t="b">
        <f>AND(J128 &gt; 0, J128 &gt;= K128)</f>
        <v>0</v>
      </c>
      <c r="M128" s="3" t="b">
        <f>J128 = 0</f>
        <v>1</v>
      </c>
      <c r="N128" s="2" t="s">
        <v>13591</v>
      </c>
    </row>
    <row r="129">
      <c r="A129" s="2" t="s">
        <v>13718</v>
      </c>
      <c r="B129" s="3" t="str">
        <f>G129 &amp; "." &amp; F129</f>
        <v>pko_knowledge_authority.app_nav_groups</v>
      </c>
      <c r="C129" s="2" t="s">
        <v>13589</v>
      </c>
      <c r="D129" s="2" t="s">
        <v>9708</v>
      </c>
      <c r="E129" s="2" t="s">
        <v>1853</v>
      </c>
      <c r="F129" s="2" t="s">
        <v>9590</v>
      </c>
      <c r="G129" s="3" t="str">
        <f>_xlfn.IFNA(INDEX(RoleSchemas!D2:D999, MATCH(C129,RoleSchemas!A2:A999, 0)), "")</f>
        <v>pko_knowledge_authority</v>
      </c>
      <c r="H129" s="3" t="str">
        <f>_xlfn.IFNA(INDEX(RulebookTables!E2:E999, MATCH(E129,RulebookTables!A2:A999, 0)), "")</f>
        <v>vw_app_nav_groups</v>
      </c>
      <c r="I129" s="3" t="str">
        <f>D129 &amp; "|" &amp; E129</f>
        <v>principal-knowledge-authority|AppNavGroups</v>
      </c>
      <c r="J129" s="3">
        <f>COUNTIFS(FieldGrants!M2:M999, I129)</f>
        <v>0</v>
      </c>
      <c r="K129" s="3">
        <f>_xlfn.IFNA(INDEX(RulebookTables!H2:H999, MATCH(E129,RulebookTables!A2:A999, 0)), "")</f>
        <v>0</v>
      </c>
      <c r="L129" s="3" t="b">
        <f>AND(J129 &gt; 0, J129 &gt;= K129)</f>
        <v>0</v>
      </c>
      <c r="M129" s="3" t="b">
        <f>J129 = 0</f>
        <v>1</v>
      </c>
      <c r="N129" s="2" t="s">
        <v>13591</v>
      </c>
    </row>
    <row r="130">
      <c r="A130" s="2" t="s">
        <v>13719</v>
      </c>
      <c r="B130" s="3" t="str">
        <f>G130 &amp; "." &amp; F130</f>
        <v>pko_knowledge_authority.app_role_profiles</v>
      </c>
      <c r="C130" s="2" t="s">
        <v>13589</v>
      </c>
      <c r="D130" s="2" t="s">
        <v>9708</v>
      </c>
      <c r="E130" s="2" t="s">
        <v>1849</v>
      </c>
      <c r="F130" s="2" t="s">
        <v>9593</v>
      </c>
      <c r="G130" s="3" t="str">
        <f>_xlfn.IFNA(INDEX(RoleSchemas!D2:D999, MATCH(C130,RoleSchemas!A2:A999, 0)), "")</f>
        <v>pko_knowledge_authority</v>
      </c>
      <c r="H130" s="3" t="str">
        <f>_xlfn.IFNA(INDEX(RulebookTables!E2:E999, MATCH(E130,RulebookTables!A2:A999, 0)), "")</f>
        <v>vw_app_role_profiles</v>
      </c>
      <c r="I130" s="3" t="str">
        <f>D130 &amp; "|" &amp; E130</f>
        <v>principal-knowledge-authority|AppRoleProfiles</v>
      </c>
      <c r="J130" s="3">
        <f>COUNTIFS(FieldGrants!M2:M999, I130)</f>
        <v>0</v>
      </c>
      <c r="K130" s="3">
        <f>_xlfn.IFNA(INDEX(RulebookTables!H2:H999, MATCH(E130,RulebookTables!A2:A999, 0)), "")</f>
        <v>0</v>
      </c>
      <c r="L130" s="3" t="b">
        <f>AND(J130 &gt; 0, J130 &gt;= K130)</f>
        <v>0</v>
      </c>
      <c r="M130" s="3" t="b">
        <f>J130 = 0</f>
        <v>1</v>
      </c>
      <c r="N130" s="2" t="s">
        <v>13591</v>
      </c>
    </row>
    <row r="131">
      <c r="A131" s="2" t="s">
        <v>13720</v>
      </c>
      <c r="B131" s="3" t="str">
        <f>G131 &amp; "." &amp; F131</f>
        <v>pko_knowledge_authority.app_route_questions</v>
      </c>
      <c r="C131" s="2" t="s">
        <v>13589</v>
      </c>
      <c r="D131" s="2" t="s">
        <v>9708</v>
      </c>
      <c r="E131" s="2" t="s">
        <v>1861</v>
      </c>
      <c r="F131" s="2" t="s">
        <v>9595</v>
      </c>
      <c r="G131" s="3" t="str">
        <f>_xlfn.IFNA(INDEX(RoleSchemas!D2:D999, MATCH(C131,RoleSchemas!A2:A999, 0)), "")</f>
        <v>pko_knowledge_authority</v>
      </c>
      <c r="H131" s="3" t="str">
        <f>_xlfn.IFNA(INDEX(RulebookTables!E2:E999, MATCH(E131,RulebookTables!A2:A999, 0)), "")</f>
        <v>vw_app_route_questions</v>
      </c>
      <c r="I131" s="3" t="str">
        <f>D131 &amp; "|" &amp; E131</f>
        <v>principal-knowledge-authority|AppRouteQuestions</v>
      </c>
      <c r="J131" s="3">
        <f>COUNTIFS(FieldGrants!M2:M999, I131)</f>
        <v>0</v>
      </c>
      <c r="K131" s="3">
        <f>_xlfn.IFNA(INDEX(RulebookTables!H2:H999, MATCH(E131,RulebookTables!A2:A999, 0)), "")</f>
        <v>0</v>
      </c>
      <c r="L131" s="3" t="b">
        <f>AND(J131 &gt; 0, J131 &gt;= K131)</f>
        <v>0</v>
      </c>
      <c r="M131" s="3" t="b">
        <f>J131 = 0</f>
        <v>1</v>
      </c>
      <c r="N131" s="2" t="s">
        <v>13591</v>
      </c>
    </row>
    <row r="132">
      <c r="A132" s="2" t="s">
        <v>13721</v>
      </c>
      <c r="B132" s="3" t="str">
        <f>G132 &amp; "." &amp; F132</f>
        <v>pko_knowledge_authority.app_route_references</v>
      </c>
      <c r="C132" s="2" t="s">
        <v>13589</v>
      </c>
      <c r="D132" s="2" t="s">
        <v>9708</v>
      </c>
      <c r="E132" s="2" t="s">
        <v>1865</v>
      </c>
      <c r="F132" s="2" t="s">
        <v>9597</v>
      </c>
      <c r="G132" s="3" t="str">
        <f>_xlfn.IFNA(INDEX(RoleSchemas!D2:D999, MATCH(C132,RoleSchemas!A2:A999, 0)), "")</f>
        <v>pko_knowledge_authority</v>
      </c>
      <c r="H132" s="3" t="str">
        <f>_xlfn.IFNA(INDEX(RulebookTables!E2:E999, MATCH(E132,RulebookTables!A2:A999, 0)), "")</f>
        <v>vw_app_route_references</v>
      </c>
      <c r="I132" s="3" t="str">
        <f>D132 &amp; "|" &amp; E132</f>
        <v>principal-knowledge-authority|AppRouteReferences</v>
      </c>
      <c r="J132" s="3">
        <f>COUNTIFS(FieldGrants!M2:M999, I132)</f>
        <v>0</v>
      </c>
      <c r="K132" s="3">
        <f>_xlfn.IFNA(INDEX(RulebookTables!H2:H999, MATCH(E132,RulebookTables!A2:A999, 0)), "")</f>
        <v>0</v>
      </c>
      <c r="L132" s="3" t="b">
        <f>AND(J132 &gt; 0, J132 &gt;= K132)</f>
        <v>0</v>
      </c>
      <c r="M132" s="3" t="b">
        <f>J132 = 0</f>
        <v>1</v>
      </c>
      <c r="N132" s="2" t="s">
        <v>13591</v>
      </c>
    </row>
    <row r="133">
      <c r="A133" s="2" t="s">
        <v>13722</v>
      </c>
      <c r="B133" s="3" t="str">
        <f>G133 &amp; "." &amp; F133</f>
        <v>pko_knowledge_authority.app_routes</v>
      </c>
      <c r="C133" s="2" t="s">
        <v>13589</v>
      </c>
      <c r="D133" s="2" t="s">
        <v>9708</v>
      </c>
      <c r="E133" s="2" t="s">
        <v>1857</v>
      </c>
      <c r="F133" s="2" t="s">
        <v>9599</v>
      </c>
      <c r="G133" s="3" t="str">
        <f>_xlfn.IFNA(INDEX(RoleSchemas!D2:D999, MATCH(C133,RoleSchemas!A2:A999, 0)), "")</f>
        <v>pko_knowledge_authority</v>
      </c>
      <c r="H133" s="3" t="str">
        <f>_xlfn.IFNA(INDEX(RulebookTables!E2:E999, MATCH(E133,RulebookTables!A2:A999, 0)), "")</f>
        <v>vw_app_routes</v>
      </c>
      <c r="I133" s="3" t="str">
        <f>D133 &amp; "|" &amp; E133</f>
        <v>principal-knowledge-authority|AppRoutes</v>
      </c>
      <c r="J133" s="3">
        <f>COUNTIFS(FieldGrants!M2:M999, I133)</f>
        <v>0</v>
      </c>
      <c r="K133" s="3">
        <f>_xlfn.IFNA(INDEX(RulebookTables!H2:H999, MATCH(E133,RulebookTables!A2:A999, 0)), "")</f>
        <v>0</v>
      </c>
      <c r="L133" s="3" t="b">
        <f>AND(J133 &gt; 0, J133 &gt;= K133)</f>
        <v>0</v>
      </c>
      <c r="M133" s="3" t="b">
        <f>J133 = 0</f>
        <v>1</v>
      </c>
      <c r="N133" s="2" t="s">
        <v>13591</v>
      </c>
    </row>
    <row r="134">
      <c r="A134" s="2" t="s">
        <v>13723</v>
      </c>
      <c r="B134" s="3" t="str">
        <f>G134 &amp; "." &amp; F134</f>
        <v>pko_knowledge_authority.attestations</v>
      </c>
      <c r="C134" s="2" t="s">
        <v>13589</v>
      </c>
      <c r="D134" s="2" t="s">
        <v>9708</v>
      </c>
      <c r="E134" s="2" t="s">
        <v>5169</v>
      </c>
      <c r="F134" s="2" t="s">
        <v>9601</v>
      </c>
      <c r="G134" s="3" t="str">
        <f>_xlfn.IFNA(INDEX(RoleSchemas!D2:D999, MATCH(C134,RoleSchemas!A2:A999, 0)), "")</f>
        <v>pko_knowledge_authority</v>
      </c>
      <c r="H134" s="3" t="str">
        <f>_xlfn.IFNA(INDEX(RulebookTables!E2:E999, MATCH(E134,RulebookTables!A2:A999, 0)), "")</f>
        <v>vw_attestations</v>
      </c>
      <c r="I134" s="3" t="str">
        <f>D134 &amp; "|" &amp; E134</f>
        <v>principal-knowledge-authority|Attestations</v>
      </c>
      <c r="J134" s="3">
        <f>COUNTIFS(FieldGrants!M2:M999, I134)</f>
        <v>0</v>
      </c>
      <c r="K134" s="3">
        <f>_xlfn.IFNA(INDEX(RulebookTables!H2:H999, MATCH(E134,RulebookTables!A2:A999, 0)), "")</f>
        <v>0</v>
      </c>
      <c r="L134" s="3" t="b">
        <f>AND(J134 &gt; 0, J134 &gt;= K134)</f>
        <v>0</v>
      </c>
      <c r="M134" s="3" t="b">
        <f>J134 = 0</f>
        <v>1</v>
      </c>
      <c r="N134" s="2" t="s">
        <v>13591</v>
      </c>
    </row>
    <row r="135">
      <c r="A135" s="2" t="s">
        <v>13724</v>
      </c>
      <c r="B135" s="3" t="str">
        <f>G135 &amp; "." &amp; F135</f>
        <v>pko_knowledge_authority.authority_boundaries</v>
      </c>
      <c r="C135" s="2" t="s">
        <v>13589</v>
      </c>
      <c r="D135" s="2" t="s">
        <v>9708</v>
      </c>
      <c r="E135" s="2" t="s">
        <v>5065</v>
      </c>
      <c r="F135" s="2" t="s">
        <v>9602</v>
      </c>
      <c r="G135" s="3" t="str">
        <f>_xlfn.IFNA(INDEX(RoleSchemas!D2:D999, MATCH(C135,RoleSchemas!A2:A999, 0)), "")</f>
        <v>pko_knowledge_authority</v>
      </c>
      <c r="H135" s="3" t="str">
        <f>_xlfn.IFNA(INDEX(RulebookTables!E2:E999, MATCH(E135,RulebookTables!A2:A999, 0)), "")</f>
        <v>vw_authority_boundaries</v>
      </c>
      <c r="I135" s="3" t="str">
        <f>D135 &amp; "|" &amp; E135</f>
        <v>principal-knowledge-authority|AuthorityBoundaries</v>
      </c>
      <c r="J135" s="3">
        <f>COUNTIFS(FieldGrants!M2:M999, I135)</f>
        <v>0</v>
      </c>
      <c r="K135" s="3">
        <f>_xlfn.IFNA(INDEX(RulebookTables!H2:H999, MATCH(E135,RulebookTables!A2:A999, 0)), "")</f>
        <v>0</v>
      </c>
      <c r="L135" s="3" t="b">
        <f>AND(J135 &gt; 0, J135 &gt;= K135)</f>
        <v>0</v>
      </c>
      <c r="M135" s="3" t="b">
        <f>J135 = 0</f>
        <v>1</v>
      </c>
      <c r="N135" s="2" t="s">
        <v>13591</v>
      </c>
    </row>
    <row r="136">
      <c r="A136" s="2" t="s">
        <v>13725</v>
      </c>
      <c r="B136" s="3" t="str">
        <f>G136 &amp; "." &amp; F136</f>
        <v>pko_knowledge_authority.binding_observations</v>
      </c>
      <c r="C136" s="2" t="s">
        <v>13589</v>
      </c>
      <c r="D136" s="2" t="s">
        <v>9708</v>
      </c>
      <c r="E136" s="2" t="s">
        <v>5142</v>
      </c>
      <c r="F136" s="2" t="s">
        <v>9603</v>
      </c>
      <c r="G136" s="3" t="str">
        <f>_xlfn.IFNA(INDEX(RoleSchemas!D2:D999, MATCH(C136,RoleSchemas!A2:A999, 0)), "")</f>
        <v>pko_knowledge_authority</v>
      </c>
      <c r="H136" s="3" t="str">
        <f>_xlfn.IFNA(INDEX(RulebookTables!E2:E999, MATCH(E136,RulebookTables!A2:A999, 0)), "")</f>
        <v>vw_binding_observations</v>
      </c>
      <c r="I136" s="3" t="str">
        <f>D136 &amp; "|" &amp; E136</f>
        <v>principal-knowledge-authority|BindingObservations</v>
      </c>
      <c r="J136" s="3">
        <f>COUNTIFS(FieldGrants!M2:M999, I136)</f>
        <v>0</v>
      </c>
      <c r="K136" s="3">
        <f>_xlfn.IFNA(INDEX(RulebookTables!H2:H999, MATCH(E136,RulebookTables!A2:A999, 0)), "")</f>
        <v>0</v>
      </c>
      <c r="L136" s="3" t="b">
        <f>AND(J136 &gt; 0, J136 &gt;= K136)</f>
        <v>0</v>
      </c>
      <c r="M136" s="3" t="b">
        <f>J136 = 0</f>
        <v>1</v>
      </c>
      <c r="N136" s="2" t="s">
        <v>13591</v>
      </c>
    </row>
    <row r="137">
      <c r="A137" s="2" t="s">
        <v>13726</v>
      </c>
      <c r="B137" s="3" t="str">
        <f>G137 &amp; "." &amp; F137</f>
        <v>pko_knowledge_authority.change_requests</v>
      </c>
      <c r="C137" s="2" t="s">
        <v>13589</v>
      </c>
      <c r="D137" s="2" t="s">
        <v>9708</v>
      </c>
      <c r="E137" s="2" t="s">
        <v>3848</v>
      </c>
      <c r="F137" s="2" t="s">
        <v>9604</v>
      </c>
      <c r="G137" s="3" t="str">
        <f>_xlfn.IFNA(INDEX(RoleSchemas!D2:D999, MATCH(C137,RoleSchemas!A2:A999, 0)), "")</f>
        <v>pko_knowledge_authority</v>
      </c>
      <c r="H137" s="3" t="str">
        <f>_xlfn.IFNA(INDEX(RulebookTables!E2:E999, MATCH(E137,RulebookTables!A2:A999, 0)), "")</f>
        <v>vw_change_requests</v>
      </c>
      <c r="I137" s="3" t="str">
        <f>D137 &amp; "|" &amp; E137</f>
        <v>principal-knowledge-authority|ChangeRequests</v>
      </c>
      <c r="J137" s="3">
        <f>COUNTIFS(FieldGrants!M2:M999, I137)</f>
        <v>0</v>
      </c>
      <c r="K137" s="3">
        <f>_xlfn.IFNA(INDEX(RulebookTables!H2:H999, MATCH(E137,RulebookTables!A2:A999, 0)), "")</f>
        <v>45</v>
      </c>
      <c r="L137" s="3" t="b">
        <f>AND(J137 &gt; 0, J137 &gt;= K137)</f>
        <v>0</v>
      </c>
      <c r="M137" s="3" t="b">
        <f>J137 = 0</f>
        <v>1</v>
      </c>
      <c r="N137" s="2" t="s">
        <v>13591</v>
      </c>
    </row>
    <row r="138">
      <c r="A138" s="2" t="s">
        <v>13727</v>
      </c>
      <c r="B138" s="3" t="str">
        <f>G138 &amp; "." &amp; F138</f>
        <v>pko_knowledge_authority.communication_policies</v>
      </c>
      <c r="C138" s="2" t="s">
        <v>13589</v>
      </c>
      <c r="D138" s="2" t="s">
        <v>9708</v>
      </c>
      <c r="E138" s="2" t="s">
        <v>1845</v>
      </c>
      <c r="F138" s="2" t="s">
        <v>9605</v>
      </c>
      <c r="G138" s="3" t="str">
        <f>_xlfn.IFNA(INDEX(RoleSchemas!D2:D999, MATCH(C138,RoleSchemas!A2:A999, 0)), "")</f>
        <v>pko_knowledge_authority</v>
      </c>
      <c r="H138" s="3" t="str">
        <f>_xlfn.IFNA(INDEX(RulebookTables!E2:E999, MATCH(E138,RulebookTables!A2:A999, 0)), "")</f>
        <v>vw_communication_policies</v>
      </c>
      <c r="I138" s="3" t="str">
        <f>D138 &amp; "|" &amp; E138</f>
        <v>principal-knowledge-authority|CommunicationPolicies</v>
      </c>
      <c r="J138" s="3">
        <f>COUNTIFS(FieldGrants!M2:M999, I138)</f>
        <v>0</v>
      </c>
      <c r="K138" s="3">
        <f>_xlfn.IFNA(INDEX(RulebookTables!H2:H999, MATCH(E138,RulebookTables!A2:A999, 0)), "")</f>
        <v>0</v>
      </c>
      <c r="L138" s="3" t="b">
        <f>AND(J138 &gt; 0, J138 &gt;= K138)</f>
        <v>0</v>
      </c>
      <c r="M138" s="3" t="b">
        <f>J138 = 0</f>
        <v>1</v>
      </c>
      <c r="N138" s="2" t="s">
        <v>13591</v>
      </c>
    </row>
    <row r="139">
      <c r="A139" s="2" t="s">
        <v>13728</v>
      </c>
      <c r="B139" s="3" t="str">
        <f>G139 &amp; "." &amp; F139</f>
        <v>pko_knowledge_authority.communities_of_practice</v>
      </c>
      <c r="C139" s="2" t="s">
        <v>13589</v>
      </c>
      <c r="D139" s="2" t="s">
        <v>9708</v>
      </c>
      <c r="E139" s="2" t="s">
        <v>2624</v>
      </c>
      <c r="F139" s="2" t="s">
        <v>9607</v>
      </c>
      <c r="G139" s="3" t="str">
        <f>_xlfn.IFNA(INDEX(RoleSchemas!D2:D999, MATCH(C139,RoleSchemas!A2:A999, 0)), "")</f>
        <v>pko_knowledge_authority</v>
      </c>
      <c r="H139" s="3" t="str">
        <f>_xlfn.IFNA(INDEX(RulebookTables!E2:E999, MATCH(E139,RulebookTables!A2:A999, 0)), "")</f>
        <v>vw_communities_of_practice</v>
      </c>
      <c r="I139" s="3" t="str">
        <f>D139 &amp; "|" &amp; E139</f>
        <v>principal-knowledge-authority|CommunitiesOfPractice</v>
      </c>
      <c r="J139" s="3">
        <f>COUNTIFS(FieldGrants!M2:M999, I139)</f>
        <v>0</v>
      </c>
      <c r="K139" s="3">
        <f>_xlfn.IFNA(INDEX(RulebookTables!H2:H999, MATCH(E139,RulebookTables!A2:A999, 0)), "")</f>
        <v>8</v>
      </c>
      <c r="L139" s="3" t="b">
        <f>AND(J139 &gt; 0, J139 &gt;= K139)</f>
        <v>0</v>
      </c>
      <c r="M139" s="3" t="b">
        <f>J139 = 0</f>
        <v>1</v>
      </c>
      <c r="N139" s="2" t="s">
        <v>13591</v>
      </c>
    </row>
    <row r="140">
      <c r="A140" s="2" t="s">
        <v>13729</v>
      </c>
      <c r="B140" s="3" t="str">
        <f>G140 &amp; "." &amp; F140</f>
        <v>pko_knowledge_authority.delivered_communications</v>
      </c>
      <c r="C140" s="2" t="s">
        <v>13589</v>
      </c>
      <c r="D140" s="2" t="s">
        <v>9708</v>
      </c>
      <c r="E140" s="2" t="s">
        <v>5029</v>
      </c>
      <c r="F140" s="2" t="s">
        <v>9608</v>
      </c>
      <c r="G140" s="3" t="str">
        <f>_xlfn.IFNA(INDEX(RoleSchemas!D2:D999, MATCH(C140,RoleSchemas!A2:A999, 0)), "")</f>
        <v>pko_knowledge_authority</v>
      </c>
      <c r="H140" s="3" t="str">
        <f>_xlfn.IFNA(INDEX(RulebookTables!E2:E999, MATCH(E140,RulebookTables!A2:A999, 0)), "")</f>
        <v>vw_delivered_communications</v>
      </c>
      <c r="I140" s="3" t="str">
        <f>D140 &amp; "|" &amp; E140</f>
        <v>principal-knowledge-authority|DeliveredCommunications</v>
      </c>
      <c r="J140" s="3">
        <f>COUNTIFS(FieldGrants!M2:M999, I140)</f>
        <v>0</v>
      </c>
      <c r="K140" s="3">
        <f>_xlfn.IFNA(INDEX(RulebookTables!H2:H999, MATCH(E140,RulebookTables!A2:A999, 0)), "")</f>
        <v>0</v>
      </c>
      <c r="L140" s="3" t="b">
        <f>AND(J140 &gt; 0, J140 &gt;= K140)</f>
        <v>0</v>
      </c>
      <c r="M140" s="3" t="b">
        <f>J140 = 0</f>
        <v>1</v>
      </c>
      <c r="N140" s="2" t="s">
        <v>13591</v>
      </c>
    </row>
    <row r="141">
      <c r="A141" s="2" t="s">
        <v>13730</v>
      </c>
      <c r="B141" s="3" t="str">
        <f>G141 &amp; "." &amp; F141</f>
        <v>pko_knowledge_authority.elicitation_sessions</v>
      </c>
      <c r="C141" s="2" t="s">
        <v>13589</v>
      </c>
      <c r="D141" s="2" t="s">
        <v>9708</v>
      </c>
      <c r="E141" s="2" t="s">
        <v>1835</v>
      </c>
      <c r="F141" s="2" t="s">
        <v>9610</v>
      </c>
      <c r="G141" s="3" t="str">
        <f>_xlfn.IFNA(INDEX(RoleSchemas!D2:D999, MATCH(C141,RoleSchemas!A2:A999, 0)), "")</f>
        <v>pko_knowledge_authority</v>
      </c>
      <c r="H141" s="3" t="str">
        <f>_xlfn.IFNA(INDEX(RulebookTables!E2:E999, MATCH(E141,RulebookTables!A2:A999, 0)), "")</f>
        <v>vw_elicitation_sessions</v>
      </c>
      <c r="I141" s="3" t="str">
        <f>D141 &amp; "|" &amp; E141</f>
        <v>principal-knowledge-authority|ElicitationSessions</v>
      </c>
      <c r="J141" s="3">
        <f>COUNTIFS(FieldGrants!M2:M999, I141)</f>
        <v>0</v>
      </c>
      <c r="K141" s="3">
        <f>_xlfn.IFNA(INDEX(RulebookTables!H2:H999, MATCH(E141,RulebookTables!A2:A999, 0)), "")</f>
        <v>21</v>
      </c>
      <c r="L141" s="3" t="b">
        <f>AND(J141 &gt; 0, J141 &gt;= K141)</f>
        <v>0</v>
      </c>
      <c r="M141" s="3" t="b">
        <f>J141 = 0</f>
        <v>1</v>
      </c>
      <c r="N141" s="2" t="s">
        <v>13591</v>
      </c>
    </row>
    <row r="142">
      <c r="A142" s="2" t="s">
        <v>13731</v>
      </c>
      <c r="B142" s="3" t="str">
        <f>G142 &amp; "." &amp; F142</f>
        <v>pko_knowledge_authority.errors</v>
      </c>
      <c r="C142" s="2" t="s">
        <v>13589</v>
      </c>
      <c r="D142" s="2" t="s">
        <v>9708</v>
      </c>
      <c r="E142" s="2" t="s">
        <v>1813</v>
      </c>
      <c r="F142" s="2" t="s">
        <v>9611</v>
      </c>
      <c r="G142" s="3" t="str">
        <f>_xlfn.IFNA(INDEX(RoleSchemas!D2:D999, MATCH(C142,RoleSchemas!A2:A999, 0)), "")</f>
        <v>pko_knowledge_authority</v>
      </c>
      <c r="H142" s="3" t="str">
        <f>_xlfn.IFNA(INDEX(RulebookTables!E2:E999, MATCH(E142,RulebookTables!A2:A999, 0)), "")</f>
        <v>vw_errors</v>
      </c>
      <c r="I142" s="3" t="str">
        <f>D142 &amp; "|" &amp; E142</f>
        <v>principal-knowledge-authority|Errors</v>
      </c>
      <c r="J142" s="3">
        <f>COUNTIFS(FieldGrants!M2:M999, I142)</f>
        <v>0</v>
      </c>
      <c r="K142" s="3">
        <f>_xlfn.IFNA(INDEX(RulebookTables!H2:H999, MATCH(E142,RulebookTables!A2:A999, 0)), "")</f>
        <v>6</v>
      </c>
      <c r="L142" s="3" t="b">
        <f>AND(J142 &gt; 0, J142 &gt;= K142)</f>
        <v>0</v>
      </c>
      <c r="M142" s="3" t="b">
        <f>J142 = 0</f>
        <v>1</v>
      </c>
      <c r="N142" s="2" t="s">
        <v>13591</v>
      </c>
    </row>
    <row r="143">
      <c r="A143" s="2" t="s">
        <v>13732</v>
      </c>
      <c r="B143" s="3" t="str">
        <f>G143 &amp; "." &amp; F143</f>
        <v>pko_knowledge_authority.evaluation_contexts</v>
      </c>
      <c r="C143" s="2" t="s">
        <v>13589</v>
      </c>
      <c r="D143" s="2" t="s">
        <v>9708</v>
      </c>
      <c r="E143" s="2" t="s">
        <v>2413</v>
      </c>
      <c r="F143" s="2" t="s">
        <v>9612</v>
      </c>
      <c r="G143" s="3" t="str">
        <f>_xlfn.IFNA(INDEX(RoleSchemas!D2:D999, MATCH(C143,RoleSchemas!A2:A999, 0)), "")</f>
        <v>pko_knowledge_authority</v>
      </c>
      <c r="H143" s="3" t="str">
        <f>_xlfn.IFNA(INDEX(RulebookTables!E2:E999, MATCH(E143,RulebookTables!A2:A999, 0)), "")</f>
        <v>vw_evaluation_contexts</v>
      </c>
      <c r="I143" s="3" t="str">
        <f>D143 &amp; "|" &amp; E143</f>
        <v>principal-knowledge-authority|EvaluationContexts</v>
      </c>
      <c r="J143" s="3">
        <f>COUNTIFS(FieldGrants!M2:M999, I143)</f>
        <v>0</v>
      </c>
      <c r="K143" s="3">
        <f>_xlfn.IFNA(INDEX(RulebookTables!H2:H999, MATCH(E143,RulebookTables!A2:A999, 0)), "")</f>
        <v>7</v>
      </c>
      <c r="L143" s="3" t="b">
        <f>AND(J143 &gt; 0, J143 &gt;= K143)</f>
        <v>0</v>
      </c>
      <c r="M143" s="3" t="b">
        <f>J143 = 0</f>
        <v>1</v>
      </c>
      <c r="N143" s="2" t="s">
        <v>13591</v>
      </c>
    </row>
    <row r="144">
      <c r="A144" s="2" t="s">
        <v>13733</v>
      </c>
      <c r="B144" s="3" t="str">
        <f>G144 &amp; "." &amp; F144</f>
        <v>pko_knowledge_authority.exception_invocations</v>
      </c>
      <c r="C144" s="2" t="s">
        <v>13589</v>
      </c>
      <c r="D144" s="2" t="s">
        <v>9708</v>
      </c>
      <c r="E144" s="2" t="s">
        <v>4221</v>
      </c>
      <c r="F144" s="2" t="s">
        <v>9613</v>
      </c>
      <c r="G144" s="3" t="str">
        <f>_xlfn.IFNA(INDEX(RoleSchemas!D2:D999, MATCH(C144,RoleSchemas!A2:A999, 0)), "")</f>
        <v>pko_knowledge_authority</v>
      </c>
      <c r="H144" s="3" t="str">
        <f>_xlfn.IFNA(INDEX(RulebookTables!E2:E999, MATCH(E144,RulebookTables!A2:A999, 0)), "")</f>
        <v>vw_exception_invocations</v>
      </c>
      <c r="I144" s="3" t="str">
        <f>D144 &amp; "|" &amp; E144</f>
        <v>principal-knowledge-authority|ExceptionInvocations</v>
      </c>
      <c r="J144" s="3">
        <f>COUNTIFS(FieldGrants!M2:M999, I144)</f>
        <v>0</v>
      </c>
      <c r="K144" s="3">
        <f>_xlfn.IFNA(INDEX(RulebookTables!H2:H999, MATCH(E144,RulebookTables!A2:A999, 0)), "")</f>
        <v>0</v>
      </c>
      <c r="L144" s="3" t="b">
        <f>AND(J144 &gt; 0, J144 &gt;= K144)</f>
        <v>0</v>
      </c>
      <c r="M144" s="3" t="b">
        <f>J144 = 0</f>
        <v>1</v>
      </c>
      <c r="N144" s="2" t="s">
        <v>13591</v>
      </c>
    </row>
    <row r="145">
      <c r="A145" s="2" t="s">
        <v>13734</v>
      </c>
      <c r="B145" s="3" t="str">
        <f>G145 &amp; "." &amp; F145</f>
        <v>pko_knowledge_authority.exceptions</v>
      </c>
      <c r="C145" s="2" t="s">
        <v>13589</v>
      </c>
      <c r="D145" s="2" t="s">
        <v>9708</v>
      </c>
      <c r="E145" s="2" t="s">
        <v>3095</v>
      </c>
      <c r="F145" s="2" t="s">
        <v>9614</v>
      </c>
      <c r="G145" s="3" t="str">
        <f>_xlfn.IFNA(INDEX(RoleSchemas!D2:D999, MATCH(C145,RoleSchemas!A2:A999, 0)), "")</f>
        <v>pko_knowledge_authority</v>
      </c>
      <c r="H145" s="3" t="str">
        <f>_xlfn.IFNA(INDEX(RulebookTables!E2:E999, MATCH(E145,RulebookTables!A2:A999, 0)), "")</f>
        <v>vw_exceptions</v>
      </c>
      <c r="I145" s="3" t="str">
        <f>D145 &amp; "|" &amp; E145</f>
        <v>principal-knowledge-authority|Exceptions</v>
      </c>
      <c r="J145" s="3">
        <f>COUNTIFS(FieldGrants!M2:M999, I145)</f>
        <v>0</v>
      </c>
      <c r="K145" s="3">
        <f>_xlfn.IFNA(INDEX(RulebookTables!H2:H999, MATCH(E145,RulebookTables!A2:A999, 0)), "")</f>
        <v>11</v>
      </c>
      <c r="L145" s="3" t="b">
        <f>AND(J145 &gt; 0, J145 &gt;= K145)</f>
        <v>0</v>
      </c>
      <c r="M145" s="3" t="b">
        <f>J145 = 0</f>
        <v>1</v>
      </c>
      <c r="N145" s="2" t="s">
        <v>13591</v>
      </c>
    </row>
    <row r="146">
      <c r="A146" s="2" t="s">
        <v>13735</v>
      </c>
      <c r="B146" s="3" t="str">
        <f>G146 &amp; "." &amp; F146</f>
        <v>pko_knowledge_authority.explanations</v>
      </c>
      <c r="C146" s="2" t="s">
        <v>13589</v>
      </c>
      <c r="D146" s="2" t="s">
        <v>9708</v>
      </c>
      <c r="E146" s="2" t="s">
        <v>1828</v>
      </c>
      <c r="F146" s="2" t="s">
        <v>9615</v>
      </c>
      <c r="G146" s="3" t="str">
        <f>_xlfn.IFNA(INDEX(RoleSchemas!D2:D999, MATCH(C146,RoleSchemas!A2:A999, 0)), "")</f>
        <v>pko_knowledge_authority</v>
      </c>
      <c r="H146" s="3" t="str">
        <f>_xlfn.IFNA(INDEX(RulebookTables!E2:E999, MATCH(E146,RulebookTables!A2:A999, 0)), "")</f>
        <v>vw_explanations</v>
      </c>
      <c r="I146" s="3" t="str">
        <f>D146 &amp; "|" &amp; E146</f>
        <v>principal-knowledge-authority|Explanations</v>
      </c>
      <c r="J146" s="3">
        <f>COUNTIFS(FieldGrants!M2:M999, I146)</f>
        <v>0</v>
      </c>
      <c r="K146" s="3">
        <f>_xlfn.IFNA(INDEX(RulebookTables!H2:H999, MATCH(E146,RulebookTables!A2:A999, 0)), "")</f>
        <v>7</v>
      </c>
      <c r="L146" s="3" t="b">
        <f>AND(J146 &gt; 0, J146 &gt;= K146)</f>
        <v>0</v>
      </c>
      <c r="M146" s="3" t="b">
        <f>J146 = 0</f>
        <v>1</v>
      </c>
      <c r="N146" s="2" t="s">
        <v>13591</v>
      </c>
    </row>
    <row r="147">
      <c r="A147" s="2" t="s">
        <v>13736</v>
      </c>
      <c r="B147" s="3" t="str">
        <f>G147 &amp; "." &amp; F147</f>
        <v>pko_knowledge_authority.functions</v>
      </c>
      <c r="C147" s="2" t="s">
        <v>13589</v>
      </c>
      <c r="D147" s="2" t="s">
        <v>9708</v>
      </c>
      <c r="E147" s="2" t="s">
        <v>1779</v>
      </c>
      <c r="F147" s="2" t="s">
        <v>9616</v>
      </c>
      <c r="G147" s="3" t="str">
        <f>_xlfn.IFNA(INDEX(RoleSchemas!D2:D999, MATCH(C147,RoleSchemas!A2:A999, 0)), "")</f>
        <v>pko_knowledge_authority</v>
      </c>
      <c r="H147" s="3" t="str">
        <f>_xlfn.IFNA(INDEX(RulebookTables!E2:E999, MATCH(E147,RulebookTables!A2:A999, 0)), "")</f>
        <v>vw_functions</v>
      </c>
      <c r="I147" s="3" t="str">
        <f>D147 &amp; "|" &amp; E147</f>
        <v>principal-knowledge-authority|Functions</v>
      </c>
      <c r="J147" s="3">
        <f>COUNTIFS(FieldGrants!M2:M999, I147)</f>
        <v>0</v>
      </c>
      <c r="K147" s="3">
        <f>_xlfn.IFNA(INDEX(RulebookTables!H2:H999, MATCH(E147,RulebookTables!A2:A999, 0)), "")</f>
        <v>6</v>
      </c>
      <c r="L147" s="3" t="b">
        <f>AND(J147 &gt; 0, J147 &gt;= K147)</f>
        <v>0</v>
      </c>
      <c r="M147" s="3" t="b">
        <f>J147 = 0</f>
        <v>1</v>
      </c>
      <c r="N147" s="2" t="s">
        <v>13591</v>
      </c>
    </row>
    <row r="148">
      <c r="A148" s="2" t="s">
        <v>13737</v>
      </c>
      <c r="B148" s="3" t="str">
        <f>G148 &amp; "." &amp; F148</f>
        <v>pko_knowledge_authority.issue_occurrences</v>
      </c>
      <c r="C148" s="2" t="s">
        <v>13589</v>
      </c>
      <c r="D148" s="2" t="s">
        <v>9708</v>
      </c>
      <c r="E148" s="2" t="s">
        <v>1816</v>
      </c>
      <c r="F148" s="2" t="s">
        <v>9617</v>
      </c>
      <c r="G148" s="3" t="str">
        <f>_xlfn.IFNA(INDEX(RoleSchemas!D2:D999, MATCH(C148,RoleSchemas!A2:A999, 0)), "")</f>
        <v>pko_knowledge_authority</v>
      </c>
      <c r="H148" s="3" t="str">
        <f>_xlfn.IFNA(INDEX(RulebookTables!E2:E999, MATCH(E148,RulebookTables!A2:A999, 0)), "")</f>
        <v>vw_issue_occurrences</v>
      </c>
      <c r="I148" s="3" t="str">
        <f>D148 &amp; "|" &amp; E148</f>
        <v>principal-knowledge-authority|IssueOccurrences</v>
      </c>
      <c r="J148" s="3">
        <f>COUNTIFS(FieldGrants!M2:M999, I148)</f>
        <v>0</v>
      </c>
      <c r="K148" s="3">
        <f>_xlfn.IFNA(INDEX(RulebookTables!H2:H999, MATCH(E148,RulebookTables!A2:A999, 0)), "")</f>
        <v>12</v>
      </c>
      <c r="L148" s="3" t="b">
        <f>AND(J148 &gt; 0, J148 &gt;= K148)</f>
        <v>0</v>
      </c>
      <c r="M148" s="3" t="b">
        <f>J148 = 0</f>
        <v>1</v>
      </c>
      <c r="N148" s="2" t="s">
        <v>13591</v>
      </c>
    </row>
    <row r="149">
      <c r="A149" s="2" t="s">
        <v>13738</v>
      </c>
      <c r="B149" s="3" t="str">
        <f>G149 &amp; "." &amp; F149</f>
        <v>pko_knowledge_authority.knowledge_fragments</v>
      </c>
      <c r="C149" s="2" t="s">
        <v>13589</v>
      </c>
      <c r="D149" s="2" t="s">
        <v>9708</v>
      </c>
      <c r="E149" s="2" t="s">
        <v>1831</v>
      </c>
      <c r="F149" s="2" t="s">
        <v>9618</v>
      </c>
      <c r="G149" s="3" t="str">
        <f>_xlfn.IFNA(INDEX(RoleSchemas!D2:D999, MATCH(C149,RoleSchemas!A2:A999, 0)), "")</f>
        <v>pko_knowledge_authority</v>
      </c>
      <c r="H149" s="3" t="str">
        <f>_xlfn.IFNA(INDEX(RulebookTables!E2:E999, MATCH(E149,RulebookTables!A2:A999, 0)), "")</f>
        <v>vw_knowledge_fragments</v>
      </c>
      <c r="I149" s="3" t="str">
        <f>D149 &amp; "|" &amp; E149</f>
        <v>principal-knowledge-authority|KnowledgeFragments</v>
      </c>
      <c r="J149" s="3">
        <f>COUNTIFS(FieldGrants!M2:M999, I149)</f>
        <v>0</v>
      </c>
      <c r="K149" s="3">
        <f>_xlfn.IFNA(INDEX(RulebookTables!H2:H999, MATCH(E149,RulebookTables!A2:A999, 0)), "")</f>
        <v>80</v>
      </c>
      <c r="L149" s="3" t="b">
        <f>AND(J149 &gt; 0, J149 &gt;= K149)</f>
        <v>0</v>
      </c>
      <c r="M149" s="3" t="b">
        <f>J149 = 0</f>
        <v>1</v>
      </c>
      <c r="N149" s="2" t="s">
        <v>13591</v>
      </c>
    </row>
    <row r="150">
      <c r="A150" s="2" t="s">
        <v>13739</v>
      </c>
      <c r="B150" s="3" t="str">
        <f>G150 &amp; "." &amp; F150</f>
        <v>pko_knowledge_authority.knowledge_gaps</v>
      </c>
      <c r="C150" s="2" t="s">
        <v>13589</v>
      </c>
      <c r="D150" s="2" t="s">
        <v>9708</v>
      </c>
      <c r="E150" s="2" t="s">
        <v>3302</v>
      </c>
      <c r="F150" s="2" t="s">
        <v>9619</v>
      </c>
      <c r="G150" s="3" t="str">
        <f>_xlfn.IFNA(INDEX(RoleSchemas!D2:D999, MATCH(C150,RoleSchemas!A2:A999, 0)), "")</f>
        <v>pko_knowledge_authority</v>
      </c>
      <c r="H150" s="3" t="str">
        <f>_xlfn.IFNA(INDEX(RulebookTables!E2:E999, MATCH(E150,RulebookTables!A2:A999, 0)), "")</f>
        <v>vw_knowledge_gaps</v>
      </c>
      <c r="I150" s="3" t="str">
        <f>D150 &amp; "|" &amp; E150</f>
        <v>principal-knowledge-authority|KnowledgeGaps</v>
      </c>
      <c r="J150" s="3">
        <f>COUNTIFS(FieldGrants!M2:M999, I150)</f>
        <v>0</v>
      </c>
      <c r="K150" s="3">
        <f>_xlfn.IFNA(INDEX(RulebookTables!H2:H999, MATCH(E150,RulebookTables!A2:A999, 0)), "")</f>
        <v>28</v>
      </c>
      <c r="L150" s="3" t="b">
        <f>AND(J150 &gt; 0, J150 &gt;= K150)</f>
        <v>0</v>
      </c>
      <c r="M150" s="3" t="b">
        <f>J150 = 0</f>
        <v>1</v>
      </c>
      <c r="N150" s="2" t="s">
        <v>13591</v>
      </c>
    </row>
    <row r="151">
      <c r="A151" s="2" t="s">
        <v>13740</v>
      </c>
      <c r="B151" s="3" t="str">
        <f>G151 &amp; "." &amp; F151</f>
        <v>pko_knowledge_authority.learning_activities</v>
      </c>
      <c r="C151" s="2" t="s">
        <v>13589</v>
      </c>
      <c r="D151" s="2" t="s">
        <v>9708</v>
      </c>
      <c r="E151" s="2" t="s">
        <v>3951</v>
      </c>
      <c r="F151" s="2" t="s">
        <v>9620</v>
      </c>
      <c r="G151" s="3" t="str">
        <f>_xlfn.IFNA(INDEX(RoleSchemas!D2:D999, MATCH(C151,RoleSchemas!A2:A999, 0)), "")</f>
        <v>pko_knowledge_authority</v>
      </c>
      <c r="H151" s="3" t="str">
        <f>_xlfn.IFNA(INDEX(RulebookTables!E2:E999, MATCH(E151,RulebookTables!A2:A999, 0)), "")</f>
        <v>vw_learning_activities</v>
      </c>
      <c r="I151" s="3" t="str">
        <f>D151 &amp; "|" &amp; E151</f>
        <v>principal-knowledge-authority|LearningActivities</v>
      </c>
      <c r="J151" s="3">
        <f>COUNTIFS(FieldGrants!M2:M999, I151)</f>
        <v>0</v>
      </c>
      <c r="K151" s="3">
        <f>_xlfn.IFNA(INDEX(RulebookTables!H2:H999, MATCH(E151,RulebookTables!A2:A999, 0)), "")</f>
        <v>10</v>
      </c>
      <c r="L151" s="3" t="b">
        <f>AND(J151 &gt; 0, J151 &gt;= K151)</f>
        <v>0</v>
      </c>
      <c r="M151" s="3" t="b">
        <f>J151 = 0</f>
        <v>1</v>
      </c>
      <c r="N151" s="2" t="s">
        <v>13591</v>
      </c>
    </row>
    <row r="152">
      <c r="A152" s="2" t="s">
        <v>13741</v>
      </c>
      <c r="B152" s="3" t="str">
        <f>G152 &amp; "." &amp; F152</f>
        <v>pko_knowledge_authority.mentorships</v>
      </c>
      <c r="C152" s="2" t="s">
        <v>13589</v>
      </c>
      <c r="D152" s="2" t="s">
        <v>9708</v>
      </c>
      <c r="E152" s="2" t="s">
        <v>2633</v>
      </c>
      <c r="F152" s="2" t="s">
        <v>9621</v>
      </c>
      <c r="G152" s="3" t="str">
        <f>_xlfn.IFNA(INDEX(RoleSchemas!D2:D999, MATCH(C152,RoleSchemas!A2:A999, 0)), "")</f>
        <v>pko_knowledge_authority</v>
      </c>
      <c r="H152" s="3" t="str">
        <f>_xlfn.IFNA(INDEX(RulebookTables!E2:E999, MATCH(E152,RulebookTables!A2:A999, 0)), "")</f>
        <v>vw_mentorships</v>
      </c>
      <c r="I152" s="3" t="str">
        <f>D152 &amp; "|" &amp; E152</f>
        <v>principal-knowledge-authority|Mentorships</v>
      </c>
      <c r="J152" s="3">
        <f>COUNTIFS(FieldGrants!M2:M999, I152)</f>
        <v>0</v>
      </c>
      <c r="K152" s="3">
        <f>_xlfn.IFNA(INDEX(RulebookTables!H2:H999, MATCH(E152,RulebookTables!A2:A999, 0)), "")</f>
        <v>10</v>
      </c>
      <c r="L152" s="3" t="b">
        <f>AND(J152 &gt; 0, J152 &gt;= K152)</f>
        <v>0</v>
      </c>
      <c r="M152" s="3" t="b">
        <f>J152 = 0</f>
        <v>1</v>
      </c>
      <c r="N152" s="2" t="s">
        <v>13591</v>
      </c>
    </row>
    <row r="153">
      <c r="A153" s="2" t="s">
        <v>13742</v>
      </c>
      <c r="B153" s="3" t="str">
        <f>G153 &amp; "." &amp; F153</f>
        <v>pko_knowledge_authority.message_deliveries</v>
      </c>
      <c r="C153" s="2" t="s">
        <v>13589</v>
      </c>
      <c r="D153" s="2" t="s">
        <v>9708</v>
      </c>
      <c r="E153" s="2" t="s">
        <v>4378</v>
      </c>
      <c r="F153" s="2" t="s">
        <v>9622</v>
      </c>
      <c r="G153" s="3" t="str">
        <f>_xlfn.IFNA(INDEX(RoleSchemas!D2:D999, MATCH(C153,RoleSchemas!A2:A999, 0)), "")</f>
        <v>pko_knowledge_authority</v>
      </c>
      <c r="H153" s="3" t="str">
        <f>_xlfn.IFNA(INDEX(RulebookTables!E2:E999, MATCH(E153,RulebookTables!A2:A999, 0)), "")</f>
        <v>vw_message_deliveries</v>
      </c>
      <c r="I153" s="3" t="str">
        <f>D153 &amp; "|" &amp; E153</f>
        <v>principal-knowledge-authority|MessageDeliveries</v>
      </c>
      <c r="J153" s="3">
        <f>COUNTIFS(FieldGrants!M2:M999, I153)</f>
        <v>0</v>
      </c>
      <c r="K153" s="3">
        <f>_xlfn.IFNA(INDEX(RulebookTables!H2:H999, MATCH(E153,RulebookTables!A2:A999, 0)), "")</f>
        <v>0</v>
      </c>
      <c r="L153" s="3" t="b">
        <f>AND(J153 &gt; 0, J153 &gt;= K153)</f>
        <v>0</v>
      </c>
      <c r="M153" s="3" t="b">
        <f>J153 = 0</f>
        <v>1</v>
      </c>
      <c r="N153" s="2" t="s">
        <v>13591</v>
      </c>
    </row>
    <row r="154">
      <c r="A154" s="2" t="s">
        <v>13743</v>
      </c>
      <c r="B154" s="3" t="str">
        <f>G154 &amp; "." &amp; F154</f>
        <v>pko_knowledge_authority.message_templates</v>
      </c>
      <c r="C154" s="2" t="s">
        <v>13589</v>
      </c>
      <c r="D154" s="2" t="s">
        <v>9708</v>
      </c>
      <c r="E154" s="2" t="s">
        <v>4021</v>
      </c>
      <c r="F154" s="2" t="s">
        <v>9623</v>
      </c>
      <c r="G154" s="3" t="str">
        <f>_xlfn.IFNA(INDEX(RoleSchemas!D2:D999, MATCH(C154,RoleSchemas!A2:A999, 0)), "")</f>
        <v>pko_knowledge_authority</v>
      </c>
      <c r="H154" s="3" t="str">
        <f>_xlfn.IFNA(INDEX(RulebookTables!E2:E999, MATCH(E154,RulebookTables!A2:A999, 0)), "")</f>
        <v>vw_message_templates</v>
      </c>
      <c r="I154" s="3" t="str">
        <f>D154 &amp; "|" &amp; E154</f>
        <v>principal-knowledge-authority|MessageTemplates</v>
      </c>
      <c r="J154" s="3">
        <f>COUNTIFS(FieldGrants!M2:M999, I154)</f>
        <v>0</v>
      </c>
      <c r="K154" s="3">
        <f>_xlfn.IFNA(INDEX(RulebookTables!H2:H999, MATCH(E154,RulebookTables!A2:A999, 0)), "")</f>
        <v>0</v>
      </c>
      <c r="L154" s="3" t="b">
        <f>AND(J154 &gt; 0, J154 &gt;= K154)</f>
        <v>0</v>
      </c>
      <c r="M154" s="3" t="b">
        <f>J154 = 0</f>
        <v>1</v>
      </c>
      <c r="N154" s="2" t="s">
        <v>13591</v>
      </c>
    </row>
    <row r="155">
      <c r="A155" s="2" t="s">
        <v>13744</v>
      </c>
      <c r="B155" s="3" t="str">
        <f>G155 &amp; "." &amp; F155</f>
        <v>pko_knowledge_authority.observed_transitions</v>
      </c>
      <c r="C155" s="2" t="s">
        <v>13589</v>
      </c>
      <c r="D155" s="2" t="s">
        <v>9708</v>
      </c>
      <c r="E155" s="2" t="s">
        <v>4332</v>
      </c>
      <c r="F155" s="2" t="s">
        <v>9624</v>
      </c>
      <c r="G155" s="3" t="str">
        <f>_xlfn.IFNA(INDEX(RoleSchemas!D2:D999, MATCH(C155,RoleSchemas!A2:A999, 0)), "")</f>
        <v>pko_knowledge_authority</v>
      </c>
      <c r="H155" s="3" t="str">
        <f>_xlfn.IFNA(INDEX(RulebookTables!E2:E999, MATCH(E155,RulebookTables!A2:A999, 0)), "")</f>
        <v>vw_observed_transitions</v>
      </c>
      <c r="I155" s="3" t="str">
        <f>D155 &amp; "|" &amp; E155</f>
        <v>principal-knowledge-authority|ObservedTransitions</v>
      </c>
      <c r="J155" s="3">
        <f>COUNTIFS(FieldGrants!M2:M999, I155)</f>
        <v>0</v>
      </c>
      <c r="K155" s="3">
        <f>_xlfn.IFNA(INDEX(RulebookTables!H2:H999, MATCH(E155,RulebookTables!A2:A999, 0)), "")</f>
        <v>0</v>
      </c>
      <c r="L155" s="3" t="b">
        <f>AND(J155 &gt; 0, J155 &gt;= K155)</f>
        <v>0</v>
      </c>
      <c r="M155" s="3" t="b">
        <f>J155 = 0</f>
        <v>1</v>
      </c>
      <c r="N155" s="2" t="s">
        <v>13591</v>
      </c>
    </row>
    <row r="156">
      <c r="A156" s="2" t="s">
        <v>13745</v>
      </c>
      <c r="B156" s="3" t="str">
        <f>G156 &amp; "." &amp; F156</f>
        <v>pko_knowledge_authority.ontology_profiles</v>
      </c>
      <c r="C156" s="2" t="s">
        <v>13589</v>
      </c>
      <c r="D156" s="2" t="s">
        <v>9708</v>
      </c>
      <c r="E156" s="2" t="s">
        <v>2403</v>
      </c>
      <c r="F156" s="2" t="s">
        <v>9625</v>
      </c>
      <c r="G156" s="3" t="str">
        <f>_xlfn.IFNA(INDEX(RoleSchemas!D2:D999, MATCH(C156,RoleSchemas!A2:A999, 0)), "")</f>
        <v>pko_knowledge_authority</v>
      </c>
      <c r="H156" s="3" t="str">
        <f>_xlfn.IFNA(INDEX(RulebookTables!E2:E999, MATCH(E156,RulebookTables!A2:A999, 0)), "")</f>
        <v>vw_ontology_profiles</v>
      </c>
      <c r="I156" s="3" t="str">
        <f>D156 &amp; "|" &amp; E156</f>
        <v>principal-knowledge-authority|OntologyProfiles</v>
      </c>
      <c r="J156" s="3">
        <f>COUNTIFS(FieldGrants!M2:M999, I156)</f>
        <v>0</v>
      </c>
      <c r="K156" s="3">
        <f>_xlfn.IFNA(INDEX(RulebookTables!H2:H999, MATCH(E156,RulebookTables!A2:A999, 0)), "")</f>
        <v>8</v>
      </c>
      <c r="L156" s="3" t="b">
        <f>AND(J156 &gt; 0, J156 &gt;= K156)</f>
        <v>0</v>
      </c>
      <c r="M156" s="3" t="b">
        <f>J156 = 0</f>
        <v>1</v>
      </c>
      <c r="N156" s="2" t="s">
        <v>13591</v>
      </c>
    </row>
    <row r="157">
      <c r="A157" s="2" t="s">
        <v>13746</v>
      </c>
      <c r="B157" s="3" t="str">
        <f>G157 &amp; "." &amp; F157</f>
        <v>pko_knowledge_authority.operational_bindings</v>
      </c>
      <c r="C157" s="2" t="s">
        <v>13589</v>
      </c>
      <c r="D157" s="2" t="s">
        <v>9708</v>
      </c>
      <c r="E157" s="2" t="s">
        <v>1842</v>
      </c>
      <c r="F157" s="2" t="s">
        <v>9626</v>
      </c>
      <c r="G157" s="3" t="str">
        <f>_xlfn.IFNA(INDEX(RoleSchemas!D2:D999, MATCH(C157,RoleSchemas!A2:A999, 0)), "")</f>
        <v>pko_knowledge_authority</v>
      </c>
      <c r="H157" s="3" t="str">
        <f>_xlfn.IFNA(INDEX(RulebookTables!E2:E999, MATCH(E157,RulebookTables!A2:A999, 0)), "")</f>
        <v>vw_operational_bindings</v>
      </c>
      <c r="I157" s="3" t="str">
        <f>D157 &amp; "|" &amp; E157</f>
        <v>principal-knowledge-authority|OperationalBindings</v>
      </c>
      <c r="J157" s="3">
        <f>COUNTIFS(FieldGrants!M2:M999, I157)</f>
        <v>0</v>
      </c>
      <c r="K157" s="3">
        <f>_xlfn.IFNA(INDEX(RulebookTables!H2:H999, MATCH(E157,RulebookTables!A2:A999, 0)), "")</f>
        <v>20</v>
      </c>
      <c r="L157" s="3" t="b">
        <f>AND(J157 &gt; 0, J157 &gt;= K157)</f>
        <v>0</v>
      </c>
      <c r="M157" s="3" t="b">
        <f>J157 = 0</f>
        <v>1</v>
      </c>
      <c r="N157" s="2" t="s">
        <v>13591</v>
      </c>
    </row>
    <row r="158">
      <c r="A158" s="2" t="s">
        <v>13747</v>
      </c>
      <c r="B158" s="3" t="str">
        <f>G158 &amp; "." &amp; F158</f>
        <v>pko_knowledge_authority.organizations</v>
      </c>
      <c r="C158" s="2" t="s">
        <v>13589</v>
      </c>
      <c r="D158" s="2" t="s">
        <v>9708</v>
      </c>
      <c r="E158" s="2" t="s">
        <v>2422</v>
      </c>
      <c r="F158" s="2" t="s">
        <v>9627</v>
      </c>
      <c r="G158" s="3" t="str">
        <f>_xlfn.IFNA(INDEX(RoleSchemas!D2:D999, MATCH(C158,RoleSchemas!A2:A999, 0)), "")</f>
        <v>pko_knowledge_authority</v>
      </c>
      <c r="H158" s="3" t="str">
        <f>_xlfn.IFNA(INDEX(RulebookTables!E2:E999, MATCH(E158,RulebookTables!A2:A999, 0)), "")</f>
        <v>vw_organizations</v>
      </c>
      <c r="I158" s="3" t="str">
        <f>D158 &amp; "|" &amp; E158</f>
        <v>principal-knowledge-authority|Organizations</v>
      </c>
      <c r="J158" s="3">
        <f>COUNTIFS(FieldGrants!M2:M999, I158)</f>
        <v>0</v>
      </c>
      <c r="K158" s="3">
        <f>_xlfn.IFNA(INDEX(RulebookTables!H2:H999, MATCH(E158,RulebookTables!A2:A999, 0)), "")</f>
        <v>6</v>
      </c>
      <c r="L158" s="3" t="b">
        <f>AND(J158 &gt; 0, J158 &gt;= K158)</f>
        <v>0</v>
      </c>
      <c r="M158" s="3" t="b">
        <f>J158 = 0</f>
        <v>1</v>
      </c>
      <c r="N158" s="2" t="s">
        <v>13591</v>
      </c>
    </row>
    <row r="159">
      <c r="A159" s="2" t="s">
        <v>13748</v>
      </c>
      <c r="B159" s="3" t="str">
        <f>G159 &amp; "." &amp; F159</f>
        <v>pko_knowledge_authority.procedure_executions</v>
      </c>
      <c r="C159" s="2" t="s">
        <v>13589</v>
      </c>
      <c r="D159" s="2" t="s">
        <v>9708</v>
      </c>
      <c r="E159" s="2" t="s">
        <v>1804</v>
      </c>
      <c r="F159" s="2" t="s">
        <v>9628</v>
      </c>
      <c r="G159" s="3" t="str">
        <f>_xlfn.IFNA(INDEX(RoleSchemas!D2:D999, MATCH(C159,RoleSchemas!A2:A999, 0)), "")</f>
        <v>pko_knowledge_authority</v>
      </c>
      <c r="H159" s="3" t="str">
        <f>_xlfn.IFNA(INDEX(RulebookTables!E2:E999, MATCH(E159,RulebookTables!A2:A999, 0)), "")</f>
        <v>vw_procedure_executions</v>
      </c>
      <c r="I159" s="3" t="str">
        <f>D159 &amp; "|" &amp; E159</f>
        <v>principal-knowledge-authority|ProcedureExecutions</v>
      </c>
      <c r="J159" s="3">
        <f>COUNTIFS(FieldGrants!M2:M999, I159)</f>
        <v>0</v>
      </c>
      <c r="K159" s="3">
        <f>_xlfn.IFNA(INDEX(RulebookTables!H2:H999, MATCH(E159,RulebookTables!A2:A999, 0)), "")</f>
        <v>78</v>
      </c>
      <c r="L159" s="3" t="b">
        <f>AND(J159 &gt; 0, J159 &gt;= K159)</f>
        <v>0</v>
      </c>
      <c r="M159" s="3" t="b">
        <f>J159 = 0</f>
        <v>1</v>
      </c>
      <c r="N159" s="2" t="s">
        <v>13591</v>
      </c>
    </row>
    <row r="160">
      <c r="A160" s="2" t="s">
        <v>13749</v>
      </c>
      <c r="B160" s="3" t="str">
        <f>G160 &amp; "." &amp; F160</f>
        <v>pko_knowledge_authority.procedure_resources</v>
      </c>
      <c r="C160" s="2" t="s">
        <v>13589</v>
      </c>
      <c r="D160" s="2" t="s">
        <v>9708</v>
      </c>
      <c r="E160" s="2" t="s">
        <v>3121</v>
      </c>
      <c r="F160" s="2" t="s">
        <v>9629</v>
      </c>
      <c r="G160" s="3" t="str">
        <f>_xlfn.IFNA(INDEX(RoleSchemas!D2:D999, MATCH(C160,RoleSchemas!A2:A999, 0)), "")</f>
        <v>pko_knowledge_authority</v>
      </c>
      <c r="H160" s="3" t="str">
        <f>_xlfn.IFNA(INDEX(RulebookTables!E2:E999, MATCH(E160,RulebookTables!A2:A999, 0)), "")</f>
        <v>vw_procedure_resources</v>
      </c>
      <c r="I160" s="3" t="str">
        <f>D160 &amp; "|" &amp; E160</f>
        <v>principal-knowledge-authority|ProcedureResources</v>
      </c>
      <c r="J160" s="3">
        <f>COUNTIFS(FieldGrants!M2:M999, I160)</f>
        <v>0</v>
      </c>
      <c r="K160" s="3">
        <f>_xlfn.IFNA(INDEX(RulebookTables!H2:H999, MATCH(E160,RulebookTables!A2:A999, 0)), "")</f>
        <v>6</v>
      </c>
      <c r="L160" s="3" t="b">
        <f>AND(J160 &gt; 0, J160 &gt;= K160)</f>
        <v>0</v>
      </c>
      <c r="M160" s="3" t="b">
        <f>J160 = 0</f>
        <v>1</v>
      </c>
      <c r="N160" s="2" t="s">
        <v>13591</v>
      </c>
    </row>
    <row r="161">
      <c r="A161" s="2" t="s">
        <v>13750</v>
      </c>
      <c r="B161" s="3" t="str">
        <f>G161 &amp; "." &amp; F161</f>
        <v>pko_knowledge_authority.procedure_status_changes</v>
      </c>
      <c r="C161" s="2" t="s">
        <v>13589</v>
      </c>
      <c r="D161" s="2" t="s">
        <v>9708</v>
      </c>
      <c r="E161" s="2" t="s">
        <v>1755</v>
      </c>
      <c r="F161" s="2" t="s">
        <v>9630</v>
      </c>
      <c r="G161" s="3" t="str">
        <f>_xlfn.IFNA(INDEX(RoleSchemas!D2:D999, MATCH(C161,RoleSchemas!A2:A999, 0)), "")</f>
        <v>pko_knowledge_authority</v>
      </c>
      <c r="H161" s="3" t="str">
        <f>_xlfn.IFNA(INDEX(RulebookTables!E2:E999, MATCH(E161,RulebookTables!A2:A999, 0)), "")</f>
        <v>vw_procedure_status_changes</v>
      </c>
      <c r="I161" s="3" t="str">
        <f>D161 &amp; "|" &amp; E161</f>
        <v>principal-knowledge-authority|ProcedureStatusChanges</v>
      </c>
      <c r="J161" s="3">
        <f>COUNTIFS(FieldGrants!M2:M999, I161)</f>
        <v>0</v>
      </c>
      <c r="K161" s="3">
        <f>_xlfn.IFNA(INDEX(RulebookTables!H2:H999, MATCH(E161,RulebookTables!A2:A999, 0)), "")</f>
        <v>9</v>
      </c>
      <c r="L161" s="3" t="b">
        <f>AND(J161 &gt; 0, J161 &gt;= K161)</f>
        <v>0</v>
      </c>
      <c r="M161" s="3" t="b">
        <f>J161 = 0</f>
        <v>1</v>
      </c>
      <c r="N161" s="2" t="s">
        <v>13591</v>
      </c>
    </row>
    <row r="162">
      <c r="A162" s="2" t="s">
        <v>13751</v>
      </c>
      <c r="B162" s="3" t="str">
        <f>G162 &amp; "." &amp; F162</f>
        <v>pko_knowledge_authority.procedure_types</v>
      </c>
      <c r="C162" s="2" t="s">
        <v>13589</v>
      </c>
      <c r="D162" s="2" t="s">
        <v>9708</v>
      </c>
      <c r="E162" s="2" t="s">
        <v>2645</v>
      </c>
      <c r="F162" s="2" t="s">
        <v>9631</v>
      </c>
      <c r="G162" s="3" t="str">
        <f>_xlfn.IFNA(INDEX(RoleSchemas!D2:D999, MATCH(C162,RoleSchemas!A2:A999, 0)), "")</f>
        <v>pko_knowledge_authority</v>
      </c>
      <c r="H162" s="3" t="str">
        <f>_xlfn.IFNA(INDEX(RulebookTables!E2:E999, MATCH(E162,RulebookTables!A2:A999, 0)), "")</f>
        <v>vw_procedure_types</v>
      </c>
      <c r="I162" s="3" t="str">
        <f>D162 &amp; "|" &amp; E162</f>
        <v>principal-knowledge-authority|ProcedureTypes</v>
      </c>
      <c r="J162" s="3">
        <f>COUNTIFS(FieldGrants!M2:M999, I162)</f>
        <v>0</v>
      </c>
      <c r="K162" s="3">
        <f>_xlfn.IFNA(INDEX(RulebookTables!H2:H999, MATCH(E162,RulebookTables!A2:A999, 0)), "")</f>
        <v>5</v>
      </c>
      <c r="L162" s="3" t="b">
        <f>AND(J162 &gt; 0, J162 &gt;= K162)</f>
        <v>0</v>
      </c>
      <c r="M162" s="3" t="b">
        <f>J162 = 0</f>
        <v>1</v>
      </c>
      <c r="N162" s="2" t="s">
        <v>13591</v>
      </c>
    </row>
    <row r="163">
      <c r="A163" s="2" t="s">
        <v>13752</v>
      </c>
      <c r="B163" s="3" t="str">
        <f>G163 &amp; "." &amp; F163</f>
        <v>pko_knowledge_authority.procedure_version_links</v>
      </c>
      <c r="C163" s="2" t="s">
        <v>13589</v>
      </c>
      <c r="D163" s="2" t="s">
        <v>9708</v>
      </c>
      <c r="E163" s="2" t="s">
        <v>2818</v>
      </c>
      <c r="F163" s="2" t="s">
        <v>9632</v>
      </c>
      <c r="G163" s="3" t="str">
        <f>_xlfn.IFNA(INDEX(RoleSchemas!D2:D999, MATCH(C163,RoleSchemas!A2:A999, 0)), "")</f>
        <v>pko_knowledge_authority</v>
      </c>
      <c r="H163" s="3" t="str">
        <f>_xlfn.IFNA(INDEX(RulebookTables!E2:E999, MATCH(E163,RulebookTables!A2:A999, 0)), "")</f>
        <v>vw_procedure_version_links</v>
      </c>
      <c r="I163" s="3" t="str">
        <f>D163 &amp; "|" &amp; E163</f>
        <v>principal-knowledge-authority|ProcedureVersionLinks</v>
      </c>
      <c r="J163" s="3">
        <f>COUNTIFS(FieldGrants!M2:M999, I163)</f>
        <v>0</v>
      </c>
      <c r="K163" s="3">
        <f>_xlfn.IFNA(INDEX(RulebookTables!H2:H999, MATCH(E163,RulebookTables!A2:A999, 0)), "")</f>
        <v>7</v>
      </c>
      <c r="L163" s="3" t="b">
        <f>AND(J163 &gt; 0, J163 &gt;= K163)</f>
        <v>0</v>
      </c>
      <c r="M163" s="3" t="b">
        <f>J163 = 0</f>
        <v>1</v>
      </c>
      <c r="N163" s="2" t="s">
        <v>13591</v>
      </c>
    </row>
    <row r="164">
      <c r="A164" s="2" t="s">
        <v>13753</v>
      </c>
      <c r="B164" s="3" t="str">
        <f>G164 &amp; "." &amp; F164</f>
        <v>pko_knowledge_authority.procedure_versions</v>
      </c>
      <c r="C164" s="2" t="s">
        <v>13589</v>
      </c>
      <c r="D164" s="2" t="s">
        <v>9708</v>
      </c>
      <c r="E164" s="2" t="s">
        <v>1747</v>
      </c>
      <c r="F164" s="2" t="s">
        <v>9633</v>
      </c>
      <c r="G164" s="3" t="str">
        <f>_xlfn.IFNA(INDEX(RoleSchemas!D2:D999, MATCH(C164,RoleSchemas!A2:A999, 0)), "")</f>
        <v>pko_knowledge_authority</v>
      </c>
      <c r="H164" s="3" t="str">
        <f>_xlfn.IFNA(INDEX(RulebookTables!E2:E999, MATCH(E164,RulebookTables!A2:A999, 0)), "")</f>
        <v>vw_procedure_versions</v>
      </c>
      <c r="I164" s="3" t="str">
        <f>D164 &amp; "|" &amp; E164</f>
        <v>principal-knowledge-authority|ProcedureVersions</v>
      </c>
      <c r="J164" s="3">
        <f>COUNTIFS(FieldGrants!M2:M999, I164)</f>
        <v>0</v>
      </c>
      <c r="K164" s="3">
        <f>_xlfn.IFNA(INDEX(RulebookTables!H2:H999, MATCH(E164,RulebookTables!A2:A999, 0)), "")</f>
        <v>86</v>
      </c>
      <c r="L164" s="3" t="b">
        <f>AND(J164 &gt; 0, J164 &gt;= K164)</f>
        <v>0</v>
      </c>
      <c r="M164" s="3" t="b">
        <f>J164 = 0</f>
        <v>1</v>
      </c>
      <c r="N164" s="2" t="s">
        <v>13591</v>
      </c>
    </row>
    <row r="165">
      <c r="A165" s="2" t="s">
        <v>13754</v>
      </c>
      <c r="B165" s="3" t="str">
        <f>G165 &amp; "." &amp; F165</f>
        <v>pko_knowledge_authority.procedures</v>
      </c>
      <c r="C165" s="2" t="s">
        <v>13589</v>
      </c>
      <c r="D165" s="2" t="s">
        <v>9708</v>
      </c>
      <c r="E165" s="2" t="s">
        <v>1742</v>
      </c>
      <c r="F165" s="2" t="s">
        <v>9634</v>
      </c>
      <c r="G165" s="3" t="str">
        <f>_xlfn.IFNA(INDEX(RoleSchemas!D2:D999, MATCH(C165,RoleSchemas!A2:A999, 0)), "")</f>
        <v>pko_knowledge_authority</v>
      </c>
      <c r="H165" s="3" t="str">
        <f>_xlfn.IFNA(INDEX(RulebookTables!E2:E999, MATCH(E165,RulebookTables!A2:A999, 0)), "")</f>
        <v>vw_procedures</v>
      </c>
      <c r="I165" s="3" t="str">
        <f>D165 &amp; "|" &amp; E165</f>
        <v>principal-knowledge-authority|Procedures</v>
      </c>
      <c r="J165" s="3">
        <f>COUNTIFS(FieldGrants!M2:M999, I165)</f>
        <v>0</v>
      </c>
      <c r="K165" s="3">
        <f>_xlfn.IFNA(INDEX(RulebookTables!H2:H999, MATCH(E165,RulebookTables!A2:A999, 0)), "")</f>
        <v>11</v>
      </c>
      <c r="L165" s="3" t="b">
        <f>AND(J165 &gt; 0, J165 &gt;= K165)</f>
        <v>0</v>
      </c>
      <c r="M165" s="3" t="b">
        <f>J165 = 0</f>
        <v>1</v>
      </c>
      <c r="N165" s="2" t="s">
        <v>13591</v>
      </c>
    </row>
    <row r="166">
      <c r="A166" s="2" t="s">
        <v>13755</v>
      </c>
      <c r="B166" s="3" t="str">
        <f>G166 &amp; "." &amp; F166</f>
        <v>pko_knowledge_authority.rationales</v>
      </c>
      <c r="C166" s="2" t="s">
        <v>13589</v>
      </c>
      <c r="D166" s="2" t="s">
        <v>9708</v>
      </c>
      <c r="E166" s="2" t="s">
        <v>3085</v>
      </c>
      <c r="F166" s="2" t="s">
        <v>9635</v>
      </c>
      <c r="G166" s="3" t="str">
        <f>_xlfn.IFNA(INDEX(RoleSchemas!D2:D999, MATCH(C166,RoleSchemas!A2:A999, 0)), "")</f>
        <v>pko_knowledge_authority</v>
      </c>
      <c r="H166" s="3" t="str">
        <f>_xlfn.IFNA(INDEX(RulebookTables!E2:E999, MATCH(E166,RulebookTables!A2:A999, 0)), "")</f>
        <v>vw_rationales</v>
      </c>
      <c r="I166" s="3" t="str">
        <f>D166 &amp; "|" &amp; E166</f>
        <v>principal-knowledge-authority|Rationales</v>
      </c>
      <c r="J166" s="3">
        <f>COUNTIFS(FieldGrants!M2:M999, I166)</f>
        <v>0</v>
      </c>
      <c r="K166" s="3">
        <f>_xlfn.IFNA(INDEX(RulebookTables!H2:H999, MATCH(E166,RulebookTables!A2:A999, 0)), "")</f>
        <v>9</v>
      </c>
      <c r="L166" s="3" t="b">
        <f>AND(J166 &gt; 0, J166 &gt;= K166)</f>
        <v>0</v>
      </c>
      <c r="M166" s="3" t="b">
        <f>J166 = 0</f>
        <v>1</v>
      </c>
      <c r="N166" s="2" t="s">
        <v>13591</v>
      </c>
    </row>
    <row r="167">
      <c r="A167" s="2" t="s">
        <v>13756</v>
      </c>
      <c r="B167" s="3" t="str">
        <f>G167 &amp; "." &amp; F167</f>
        <v>pko_knowledge_authority.recipients</v>
      </c>
      <c r="C167" s="2" t="s">
        <v>13589</v>
      </c>
      <c r="D167" s="2" t="s">
        <v>9708</v>
      </c>
      <c r="E167" s="2" t="s">
        <v>4346</v>
      </c>
      <c r="F167" s="2" t="s">
        <v>9636</v>
      </c>
      <c r="G167" s="3" t="str">
        <f>_xlfn.IFNA(INDEX(RoleSchemas!D2:D999, MATCH(C167,RoleSchemas!A2:A999, 0)), "")</f>
        <v>pko_knowledge_authority</v>
      </c>
      <c r="H167" s="3" t="str">
        <f>_xlfn.IFNA(INDEX(RulebookTables!E2:E999, MATCH(E167,RulebookTables!A2:A999, 0)), "")</f>
        <v>vw_recipients</v>
      </c>
      <c r="I167" s="3" t="str">
        <f>D167 &amp; "|" &amp; E167</f>
        <v>principal-knowledge-authority|Recipients</v>
      </c>
      <c r="J167" s="3">
        <f>COUNTIFS(FieldGrants!M2:M999, I167)</f>
        <v>0</v>
      </c>
      <c r="K167" s="3">
        <f>_xlfn.IFNA(INDEX(RulebookTables!H2:H999, MATCH(E167,RulebookTables!A2:A999, 0)), "")</f>
        <v>0</v>
      </c>
      <c r="L167" s="3" t="b">
        <f>AND(J167 &gt; 0, J167 &gt;= K167)</f>
        <v>0</v>
      </c>
      <c r="M167" s="3" t="b">
        <f>J167 = 0</f>
        <v>1</v>
      </c>
      <c r="N167" s="2" t="s">
        <v>13591</v>
      </c>
    </row>
    <row r="168">
      <c r="A168" s="2" t="s">
        <v>13757</v>
      </c>
      <c r="B168" s="3" t="str">
        <f>G168 &amp; "." &amp; F168</f>
        <v>pko_knowledge_authority.requirement_satisfactions</v>
      </c>
      <c r="C168" s="2" t="s">
        <v>13589</v>
      </c>
      <c r="D168" s="2" t="s">
        <v>9708</v>
      </c>
      <c r="E168" s="2" t="s">
        <v>1810</v>
      </c>
      <c r="F168" s="2" t="s">
        <v>9637</v>
      </c>
      <c r="G168" s="3" t="str">
        <f>_xlfn.IFNA(INDEX(RoleSchemas!D2:D999, MATCH(C168,RoleSchemas!A2:A999, 0)), "")</f>
        <v>pko_knowledge_authority</v>
      </c>
      <c r="H168" s="3" t="str">
        <f>_xlfn.IFNA(INDEX(RulebookTables!E2:E999, MATCH(E168,RulebookTables!A2:A999, 0)), "")</f>
        <v>vw_requirement_satisfactions</v>
      </c>
      <c r="I168" s="3" t="str">
        <f>D168 &amp; "|" &amp; E168</f>
        <v>principal-knowledge-authority|RequirementSatisfactions</v>
      </c>
      <c r="J168" s="3">
        <f>COUNTIFS(FieldGrants!M2:M999, I168)</f>
        <v>0</v>
      </c>
      <c r="K168" s="3">
        <f>_xlfn.IFNA(INDEX(RulebookTables!H2:H999, MATCH(E168,RulebookTables!A2:A999, 0)), "")</f>
        <v>46</v>
      </c>
      <c r="L168" s="3" t="b">
        <f>AND(J168 &gt; 0, J168 &gt;= K168)</f>
        <v>0</v>
      </c>
      <c r="M168" s="3" t="b">
        <f>J168 = 0</f>
        <v>1</v>
      </c>
      <c r="N168" s="2" t="s">
        <v>13591</v>
      </c>
    </row>
    <row r="169">
      <c r="A169" s="2" t="s">
        <v>13758</v>
      </c>
      <c r="B169" s="3" t="str">
        <f>G169 &amp; "." &amp; F169</f>
        <v>pko_knowledge_authority.requirements</v>
      </c>
      <c r="C169" s="2" t="s">
        <v>13589</v>
      </c>
      <c r="D169" s="2" t="s">
        <v>9708</v>
      </c>
      <c r="E169" s="2" t="s">
        <v>1785</v>
      </c>
      <c r="F169" s="2" t="s">
        <v>9638</v>
      </c>
      <c r="G169" s="3" t="str">
        <f>_xlfn.IFNA(INDEX(RoleSchemas!D2:D999, MATCH(C169,RoleSchemas!A2:A999, 0)), "")</f>
        <v>pko_knowledge_authority</v>
      </c>
      <c r="H169" s="3" t="str">
        <f>_xlfn.IFNA(INDEX(RulebookTables!E2:E999, MATCH(E169,RulebookTables!A2:A999, 0)), "")</f>
        <v>vw_requirements</v>
      </c>
      <c r="I169" s="3" t="str">
        <f>D169 &amp; "|" &amp; E169</f>
        <v>principal-knowledge-authority|Requirements</v>
      </c>
      <c r="J169" s="3">
        <f>COUNTIFS(FieldGrants!M2:M999, I169)</f>
        <v>0</v>
      </c>
      <c r="K169" s="3">
        <f>_xlfn.IFNA(INDEX(RulebookTables!H2:H999, MATCH(E169,RulebookTables!A2:A999, 0)), "")</f>
        <v>43</v>
      </c>
      <c r="L169" s="3" t="b">
        <f>AND(J169 &gt; 0, J169 &gt;= K169)</f>
        <v>0</v>
      </c>
      <c r="M169" s="3" t="b">
        <f>J169 = 0</f>
        <v>1</v>
      </c>
      <c r="N169" s="2" t="s">
        <v>13591</v>
      </c>
    </row>
    <row r="170">
      <c r="A170" s="2" t="s">
        <v>13759</v>
      </c>
      <c r="B170" s="3" t="str">
        <f>G170 &amp; "." &amp; F170</f>
        <v>pko_knowledge_authority.resources</v>
      </c>
      <c r="C170" s="2" t="s">
        <v>13589</v>
      </c>
      <c r="D170" s="2" t="s">
        <v>9708</v>
      </c>
      <c r="E170" s="2" t="s">
        <v>1791</v>
      </c>
      <c r="F170" s="2" t="s">
        <v>9639</v>
      </c>
      <c r="G170" s="3" t="str">
        <f>_xlfn.IFNA(INDEX(RoleSchemas!D2:D999, MATCH(C170,RoleSchemas!A2:A999, 0)), "")</f>
        <v>pko_knowledge_authority</v>
      </c>
      <c r="H170" s="3" t="str">
        <f>_xlfn.IFNA(INDEX(RulebookTables!E2:E999, MATCH(E170,RulebookTables!A2:A999, 0)), "")</f>
        <v>vw_resources</v>
      </c>
      <c r="I170" s="3" t="str">
        <f>D170 &amp; "|" &amp; E170</f>
        <v>principal-knowledge-authority|Resources</v>
      </c>
      <c r="J170" s="3">
        <f>COUNTIFS(FieldGrants!M2:M999, I170)</f>
        <v>0</v>
      </c>
      <c r="K170" s="3">
        <f>_xlfn.IFNA(INDEX(RulebookTables!H2:H999, MATCH(E170,RulebookTables!A2:A999, 0)), "")</f>
        <v>11</v>
      </c>
      <c r="L170" s="3" t="b">
        <f>AND(J170 &gt; 0, J170 &gt;= K170)</f>
        <v>0</v>
      </c>
      <c r="M170" s="3" t="b">
        <f>J170 = 0</f>
        <v>1</v>
      </c>
      <c r="N170" s="2" t="s">
        <v>13591</v>
      </c>
    </row>
    <row r="171">
      <c r="A171" s="2" t="s">
        <v>13760</v>
      </c>
      <c r="B171" s="3" t="str">
        <f>G171 &amp; "." &amp; F171</f>
        <v>pko_knowledge_authority.review_events</v>
      </c>
      <c r="C171" s="2" t="s">
        <v>13589</v>
      </c>
      <c r="D171" s="2" t="s">
        <v>9708</v>
      </c>
      <c r="E171" s="2" t="s">
        <v>3922</v>
      </c>
      <c r="F171" s="2" t="s">
        <v>9640</v>
      </c>
      <c r="G171" s="3" t="str">
        <f>_xlfn.IFNA(INDEX(RoleSchemas!D2:D999, MATCH(C171,RoleSchemas!A2:A999, 0)), "")</f>
        <v>pko_knowledge_authority</v>
      </c>
      <c r="H171" s="3" t="str">
        <f>_xlfn.IFNA(INDEX(RulebookTables!E2:E999, MATCH(E171,RulebookTables!A2:A999, 0)), "")</f>
        <v>vw_review_events</v>
      </c>
      <c r="I171" s="3" t="str">
        <f>D171 &amp; "|" &amp; E171</f>
        <v>principal-knowledge-authority|ReviewEvents</v>
      </c>
      <c r="J171" s="3">
        <f>COUNTIFS(FieldGrants!M2:M999, I171)</f>
        <v>0</v>
      </c>
      <c r="K171" s="3">
        <f>_xlfn.IFNA(INDEX(RulebookTables!H2:H999, MATCH(E171,RulebookTables!A2:A999, 0)), "")</f>
        <v>20</v>
      </c>
      <c r="L171" s="3" t="b">
        <f>AND(J171 &gt; 0, J171 &gt;= K171)</f>
        <v>0</v>
      </c>
      <c r="M171" s="3" t="b">
        <f>J171 = 0</f>
        <v>1</v>
      </c>
      <c r="N171" s="2" t="s">
        <v>13591</v>
      </c>
    </row>
    <row r="172">
      <c r="A172" s="2" t="s">
        <v>13761</v>
      </c>
      <c r="B172" s="3" t="str">
        <f>G172 &amp; "." &amp; F172</f>
        <v>pko_knowledge_authority.role_assignments</v>
      </c>
      <c r="C172" s="2" t="s">
        <v>13589</v>
      </c>
      <c r="D172" s="2" t="s">
        <v>9708</v>
      </c>
      <c r="E172" s="2" t="s">
        <v>1801</v>
      </c>
      <c r="F172" s="2" t="s">
        <v>9641</v>
      </c>
      <c r="G172" s="3" t="str">
        <f>_xlfn.IFNA(INDEX(RoleSchemas!D2:D999, MATCH(C172,RoleSchemas!A2:A999, 0)), "")</f>
        <v>pko_knowledge_authority</v>
      </c>
      <c r="H172" s="3" t="str">
        <f>_xlfn.IFNA(INDEX(RulebookTables!E2:E999, MATCH(E172,RulebookTables!A2:A999, 0)), "")</f>
        <v>vw_role_assignments</v>
      </c>
      <c r="I172" s="3" t="str">
        <f>D172 &amp; "|" &amp; E172</f>
        <v>principal-knowledge-authority|RoleAssignments</v>
      </c>
      <c r="J172" s="3">
        <f>COUNTIFS(FieldGrants!M2:M999, I172)</f>
        <v>0</v>
      </c>
      <c r="K172" s="3">
        <f>_xlfn.IFNA(INDEX(RulebookTables!H2:H999, MATCH(E172,RulebookTables!A2:A999, 0)), "")</f>
        <v>65</v>
      </c>
      <c r="L172" s="3" t="b">
        <f>AND(J172 &gt; 0, J172 &gt;= K172)</f>
        <v>0</v>
      </c>
      <c r="M172" s="3" t="b">
        <f>J172 = 0</f>
        <v>1</v>
      </c>
      <c r="N172" s="2" t="s">
        <v>13591</v>
      </c>
    </row>
    <row r="173">
      <c r="A173" s="2" t="s">
        <v>13762</v>
      </c>
      <c r="B173" s="3" t="str">
        <f>G173 &amp; "." &amp; F173</f>
        <v>pko_knowledge_authority.role_questions</v>
      </c>
      <c r="C173" s="2" t="s">
        <v>13589</v>
      </c>
      <c r="D173" s="2" t="s">
        <v>9708</v>
      </c>
      <c r="E173" s="2" t="s">
        <v>4091</v>
      </c>
      <c r="F173" s="2" t="s">
        <v>9642</v>
      </c>
      <c r="G173" s="3" t="str">
        <f>_xlfn.IFNA(INDEX(RoleSchemas!D2:D999, MATCH(C173,RoleSchemas!A2:A999, 0)), "")</f>
        <v>pko_knowledge_authority</v>
      </c>
      <c r="H173" s="3" t="str">
        <f>_xlfn.IFNA(INDEX(RulebookTables!E2:E999, MATCH(E173,RulebookTables!A2:A999, 0)), "")</f>
        <v>vw_role_questions</v>
      </c>
      <c r="I173" s="3" t="str">
        <f>D173 &amp; "|" &amp; E173</f>
        <v>principal-knowledge-authority|RoleQuestions</v>
      </c>
      <c r="J173" s="3">
        <f>COUNTIFS(FieldGrants!M2:M999, I173)</f>
        <v>0</v>
      </c>
      <c r="K173" s="3">
        <f>_xlfn.IFNA(INDEX(RulebookTables!H2:H999, MATCH(E173,RulebookTables!A2:A999, 0)), "")</f>
        <v>0</v>
      </c>
      <c r="L173" s="3" t="b">
        <f>AND(J173 &gt; 0, J173 &gt;= K173)</f>
        <v>0</v>
      </c>
      <c r="M173" s="3" t="b">
        <f>J173 = 0</f>
        <v>1</v>
      </c>
      <c r="N173" s="2" t="s">
        <v>13591</v>
      </c>
    </row>
    <row r="174">
      <c r="A174" s="2" t="s">
        <v>13763</v>
      </c>
      <c r="B174" s="3" t="str">
        <f>G174 &amp; "." &amp; F174</f>
        <v>pko_knowledge_authority.roles</v>
      </c>
      <c r="C174" s="2" t="s">
        <v>13589</v>
      </c>
      <c r="D174" s="2" t="s">
        <v>9708</v>
      </c>
      <c r="E174" s="2" t="s">
        <v>1798</v>
      </c>
      <c r="F174" s="2" t="s">
        <v>9643</v>
      </c>
      <c r="G174" s="3" t="str">
        <f>_xlfn.IFNA(INDEX(RoleSchemas!D2:D999, MATCH(C174,RoleSchemas!A2:A999, 0)), "")</f>
        <v>pko_knowledge_authority</v>
      </c>
      <c r="H174" s="3" t="str">
        <f>_xlfn.IFNA(INDEX(RulebookTables!E2:E999, MATCH(E174,RulebookTables!A2:A999, 0)), "")</f>
        <v>vw_roles</v>
      </c>
      <c r="I174" s="3" t="str">
        <f>D174 &amp; "|" &amp; E174</f>
        <v>principal-knowledge-authority|Roles</v>
      </c>
      <c r="J174" s="3">
        <f>COUNTIFS(FieldGrants!M2:M999, I174)</f>
        <v>0</v>
      </c>
      <c r="K174" s="3">
        <f>_xlfn.IFNA(INDEX(RulebookTables!H2:H999, MATCH(E174,RulebookTables!A2:A999, 0)), "")</f>
        <v>24</v>
      </c>
      <c r="L174" s="3" t="b">
        <f>AND(J174 &gt; 0, J174 &gt;= K174)</f>
        <v>0</v>
      </c>
      <c r="M174" s="3" t="b">
        <f>J174 = 0</f>
        <v>1</v>
      </c>
      <c r="N174" s="2" t="s">
        <v>13591</v>
      </c>
    </row>
    <row r="175">
      <c r="A175" s="2" t="s">
        <v>13764</v>
      </c>
      <c r="B175" s="3" t="str">
        <f>G175 &amp; "." &amp; F175</f>
        <v>pko_knowledge_authority.rulebook_fields</v>
      </c>
      <c r="C175" s="2" t="s">
        <v>13589</v>
      </c>
      <c r="D175" s="2" t="s">
        <v>9708</v>
      </c>
      <c r="E175" s="2" t="s">
        <v>4106</v>
      </c>
      <c r="F175" s="2" t="s">
        <v>9644</v>
      </c>
      <c r="G175" s="3" t="str">
        <f>_xlfn.IFNA(INDEX(RoleSchemas!D2:D999, MATCH(C175,RoleSchemas!A2:A999, 0)), "")</f>
        <v>pko_knowledge_authority</v>
      </c>
      <c r="H175" s="3" t="str">
        <f>_xlfn.IFNA(INDEX(RulebookTables!E2:E999, MATCH(E175,RulebookTables!A2:A999, 0)), "")</f>
        <v>vw_rulebook_fields</v>
      </c>
      <c r="I175" s="3" t="str">
        <f>D175 &amp; "|" &amp; E175</f>
        <v>principal-knowledge-authority|RulebookFields</v>
      </c>
      <c r="J175" s="3">
        <f>COUNTIFS(FieldGrants!M2:M999, I175)</f>
        <v>0</v>
      </c>
      <c r="K175" s="3">
        <f>_xlfn.IFNA(INDEX(RulebookTables!H2:H999, MATCH(E175,RulebookTables!A2:A999, 0)), "")</f>
        <v>0</v>
      </c>
      <c r="L175" s="3" t="b">
        <f>AND(J175 &gt; 0, J175 &gt;= K175)</f>
        <v>0</v>
      </c>
      <c r="M175" s="3" t="b">
        <f>J175 = 0</f>
        <v>1</v>
      </c>
      <c r="N175" s="2" t="s">
        <v>13591</v>
      </c>
    </row>
    <row r="176">
      <c r="A176" s="2" t="s">
        <v>13765</v>
      </c>
      <c r="B176" s="3" t="str">
        <f>G176 &amp; "." &amp; F176</f>
        <v>pko_knowledge_authority.rulebook_releases</v>
      </c>
      <c r="C176" s="2" t="s">
        <v>13589</v>
      </c>
      <c r="D176" s="2" t="s">
        <v>9708</v>
      </c>
      <c r="E176" s="2" t="s">
        <v>2384</v>
      </c>
      <c r="F176" s="2" t="s">
        <v>9645</v>
      </c>
      <c r="G176" s="3" t="str">
        <f>_xlfn.IFNA(INDEX(RoleSchemas!D2:D999, MATCH(C176,RoleSchemas!A2:A999, 0)), "")</f>
        <v>pko_knowledge_authority</v>
      </c>
      <c r="H176" s="3" t="str">
        <f>_xlfn.IFNA(INDEX(RulebookTables!E2:E999, MATCH(E176,RulebookTables!A2:A999, 0)), "")</f>
        <v>vw_rulebook_releases</v>
      </c>
      <c r="I176" s="3" t="str">
        <f>D176 &amp; "|" &amp; E176</f>
        <v>principal-knowledge-authority|RulebookReleases</v>
      </c>
      <c r="J176" s="3">
        <f>COUNTIFS(FieldGrants!M2:M999, I176)</f>
        <v>0</v>
      </c>
      <c r="K176" s="3">
        <f>_xlfn.IFNA(INDEX(RulebookTables!H2:H999, MATCH(E176,RulebookTables!A2:A999, 0)), "")</f>
        <v>11</v>
      </c>
      <c r="L176" s="3" t="b">
        <f>AND(J176 &gt; 0, J176 &gt;= K176)</f>
        <v>0</v>
      </c>
      <c r="M176" s="3" t="b">
        <f>J176 = 0</f>
        <v>1</v>
      </c>
      <c r="N176" s="2" t="s">
        <v>13591</v>
      </c>
    </row>
    <row r="177">
      <c r="A177" s="2" t="s">
        <v>13766</v>
      </c>
      <c r="B177" s="3" t="str">
        <f>G177 &amp; "." &amp; F177</f>
        <v>pko_knowledge_authority.semantic_mappings</v>
      </c>
      <c r="C177" s="2" t="s">
        <v>13589</v>
      </c>
      <c r="D177" s="2" t="s">
        <v>9708</v>
      </c>
      <c r="E177" s="2" t="s">
        <v>4064</v>
      </c>
      <c r="F177" s="2" t="s">
        <v>9646</v>
      </c>
      <c r="G177" s="3" t="str">
        <f>_xlfn.IFNA(INDEX(RoleSchemas!D2:D999, MATCH(C177,RoleSchemas!A2:A999, 0)), "")</f>
        <v>pko_knowledge_authority</v>
      </c>
      <c r="H177" s="3" t="str">
        <f>_xlfn.IFNA(INDEX(RulebookTables!E2:E999, MATCH(E177,RulebookTables!A2:A999, 0)), "")</f>
        <v>vw_semantic_mappings</v>
      </c>
      <c r="I177" s="3" t="str">
        <f>D177 &amp; "|" &amp; E177</f>
        <v>principal-knowledge-authority|SemanticMappings</v>
      </c>
      <c r="J177" s="3">
        <f>COUNTIFS(FieldGrants!M2:M999, I177)</f>
        <v>0</v>
      </c>
      <c r="K177" s="3">
        <f>_xlfn.IFNA(INDEX(RulebookTables!H2:H999, MATCH(E177,RulebookTables!A2:A999, 0)), "")</f>
        <v>0</v>
      </c>
      <c r="L177" s="3" t="b">
        <f>AND(J177 &gt; 0, J177 &gt;= K177)</f>
        <v>0</v>
      </c>
      <c r="M177" s="3" t="b">
        <f>J177 = 0</f>
        <v>1</v>
      </c>
      <c r="N177" s="2" t="s">
        <v>13591</v>
      </c>
    </row>
    <row r="178">
      <c r="A178" s="2" t="s">
        <v>13767</v>
      </c>
      <c r="B178" s="3" t="str">
        <f>G178 &amp; "." &amp; F178</f>
        <v>pko_knowledge_authority.send_intents</v>
      </c>
      <c r="C178" s="2" t="s">
        <v>13589</v>
      </c>
      <c r="D178" s="2" t="s">
        <v>9708</v>
      </c>
      <c r="E178" s="2" t="s">
        <v>4662</v>
      </c>
      <c r="F178" s="2" t="s">
        <v>9647</v>
      </c>
      <c r="G178" s="3" t="str">
        <f>_xlfn.IFNA(INDEX(RoleSchemas!D2:D999, MATCH(C178,RoleSchemas!A2:A999, 0)), "")</f>
        <v>pko_knowledge_authority</v>
      </c>
      <c r="H178" s="3" t="str">
        <f>_xlfn.IFNA(INDEX(RulebookTables!E2:E999, MATCH(E178,RulebookTables!A2:A999, 0)), "")</f>
        <v>vw_send_intents</v>
      </c>
      <c r="I178" s="3" t="str">
        <f>D178 &amp; "|" &amp; E178</f>
        <v>principal-knowledge-authority|SendIntents</v>
      </c>
      <c r="J178" s="3">
        <f>COUNTIFS(FieldGrants!M2:M999, I178)</f>
        <v>0</v>
      </c>
      <c r="K178" s="3">
        <f>_xlfn.IFNA(INDEX(RulebookTables!H2:H999, MATCH(E178,RulebookTables!A2:A999, 0)), "")</f>
        <v>0</v>
      </c>
      <c r="L178" s="3" t="b">
        <f>AND(J178 &gt; 0, J178 &gt;= K178)</f>
        <v>0</v>
      </c>
      <c r="M178" s="3" t="b">
        <f>J178 = 0</f>
        <v>1</v>
      </c>
      <c r="N178" s="2" t="s">
        <v>13591</v>
      </c>
    </row>
    <row r="179">
      <c r="A179" s="2" t="s">
        <v>13768</v>
      </c>
      <c r="B179" s="3" t="str">
        <f>G179 &amp; "." &amp; F179</f>
        <v>pko_knowledge_authority.step_actions</v>
      </c>
      <c r="C179" s="2" t="s">
        <v>13589</v>
      </c>
      <c r="D179" s="2" t="s">
        <v>9708</v>
      </c>
      <c r="E179" s="2" t="s">
        <v>2962</v>
      </c>
      <c r="F179" s="2" t="s">
        <v>9648</v>
      </c>
      <c r="G179" s="3" t="str">
        <f>_xlfn.IFNA(INDEX(RoleSchemas!D2:D999, MATCH(C179,RoleSchemas!A2:A999, 0)), "")</f>
        <v>pko_knowledge_authority</v>
      </c>
      <c r="H179" s="3" t="str">
        <f>_xlfn.IFNA(INDEX(RulebookTables!E2:E999, MATCH(E179,RulebookTables!A2:A999, 0)), "")</f>
        <v>vw_step_actions</v>
      </c>
      <c r="I179" s="3" t="str">
        <f>D179 &amp; "|" &amp; E179</f>
        <v>principal-knowledge-authority|StepActions</v>
      </c>
      <c r="J179" s="3">
        <f>COUNTIFS(FieldGrants!M2:M999, I179)</f>
        <v>0</v>
      </c>
      <c r="K179" s="3">
        <f>_xlfn.IFNA(INDEX(RulebookTables!H2:H999, MATCH(E179,RulebookTables!A2:A999, 0)), "")</f>
        <v>4</v>
      </c>
      <c r="L179" s="3" t="b">
        <f>AND(J179 &gt; 0, J179 &gt;= K179)</f>
        <v>0</v>
      </c>
      <c r="M179" s="3" t="b">
        <f>J179 = 0</f>
        <v>1</v>
      </c>
      <c r="N179" s="2" t="s">
        <v>13591</v>
      </c>
    </row>
    <row r="180">
      <c r="A180" s="2" t="s">
        <v>13769</v>
      </c>
      <c r="B180" s="3" t="str">
        <f>G180 &amp; "." &amp; F180</f>
        <v>pko_knowledge_authority.step_executions</v>
      </c>
      <c r="C180" s="2" t="s">
        <v>13589</v>
      </c>
      <c r="D180" s="2" t="s">
        <v>9708</v>
      </c>
      <c r="E180" s="2" t="s">
        <v>1807</v>
      </c>
      <c r="F180" s="2" t="s">
        <v>9649</v>
      </c>
      <c r="G180" s="3" t="str">
        <f>_xlfn.IFNA(INDEX(RoleSchemas!D2:D999, MATCH(C180,RoleSchemas!A2:A999, 0)), "")</f>
        <v>pko_knowledge_authority</v>
      </c>
      <c r="H180" s="3" t="str">
        <f>_xlfn.IFNA(INDEX(RulebookTables!E2:E999, MATCH(E180,RulebookTables!A2:A999, 0)), "")</f>
        <v>vw_step_executions</v>
      </c>
      <c r="I180" s="3" t="str">
        <f>D180 &amp; "|" &amp; E180</f>
        <v>principal-knowledge-authority|StepExecutions</v>
      </c>
      <c r="J180" s="3">
        <f>COUNTIFS(FieldGrants!M2:M999, I180)</f>
        <v>0</v>
      </c>
      <c r="K180" s="3">
        <f>_xlfn.IFNA(INDEX(RulebookTables!H2:H999, MATCH(E180,RulebookTables!A2:A999, 0)), "")</f>
        <v>109</v>
      </c>
      <c r="L180" s="3" t="b">
        <f>AND(J180 &gt; 0, J180 &gt;= K180)</f>
        <v>0</v>
      </c>
      <c r="M180" s="3" t="b">
        <f>J180 = 0</f>
        <v>1</v>
      </c>
      <c r="N180" s="2" t="s">
        <v>13591</v>
      </c>
    </row>
    <row r="181">
      <c r="A181" s="2" t="s">
        <v>13770</v>
      </c>
      <c r="B181" s="3" t="str">
        <f>G181 &amp; "." &amp; F181</f>
        <v>pko_knowledge_authority.step_functions</v>
      </c>
      <c r="C181" s="2" t="s">
        <v>13589</v>
      </c>
      <c r="D181" s="2" t="s">
        <v>9708</v>
      </c>
      <c r="E181" s="2" t="s">
        <v>2968</v>
      </c>
      <c r="F181" s="2" t="s">
        <v>9650</v>
      </c>
      <c r="G181" s="3" t="str">
        <f>_xlfn.IFNA(INDEX(RoleSchemas!D2:D999, MATCH(C181,RoleSchemas!A2:A999, 0)), "")</f>
        <v>pko_knowledge_authority</v>
      </c>
      <c r="H181" s="3" t="str">
        <f>_xlfn.IFNA(INDEX(RulebookTables!E2:E999, MATCH(E181,RulebookTables!A2:A999, 0)), "")</f>
        <v>vw_step_functions</v>
      </c>
      <c r="I181" s="3" t="str">
        <f>D181 &amp; "|" &amp; E181</f>
        <v>principal-knowledge-authority|StepFunctions</v>
      </c>
      <c r="J181" s="3">
        <f>COUNTIFS(FieldGrants!M2:M999, I181)</f>
        <v>0</v>
      </c>
      <c r="K181" s="3">
        <f>_xlfn.IFNA(INDEX(RulebookTables!H2:H999, MATCH(E181,RulebookTables!A2:A999, 0)), "")</f>
        <v>4</v>
      </c>
      <c r="L181" s="3" t="b">
        <f>AND(J181 &gt; 0, J181 &gt;= K181)</f>
        <v>0</v>
      </c>
      <c r="M181" s="3" t="b">
        <f>J181 = 0</f>
        <v>1</v>
      </c>
      <c r="N181" s="2" t="s">
        <v>13591</v>
      </c>
    </row>
    <row r="182">
      <c r="A182" s="2" t="s">
        <v>13771</v>
      </c>
      <c r="B182" s="3" t="str">
        <f>G182 &amp; "." &amp; F182</f>
        <v>pko_knowledge_authority.step_requirements</v>
      </c>
      <c r="C182" s="2" t="s">
        <v>13589</v>
      </c>
      <c r="D182" s="2" t="s">
        <v>9708</v>
      </c>
      <c r="E182" s="2" t="s">
        <v>3053</v>
      </c>
      <c r="F182" s="2" t="s">
        <v>9651</v>
      </c>
      <c r="G182" s="3" t="str">
        <f>_xlfn.IFNA(INDEX(RoleSchemas!D2:D999, MATCH(C182,RoleSchemas!A2:A999, 0)), "")</f>
        <v>pko_knowledge_authority</v>
      </c>
      <c r="H182" s="3" t="str">
        <f>_xlfn.IFNA(INDEX(RulebookTables!E2:E999, MATCH(E182,RulebookTables!A2:A999, 0)), "")</f>
        <v>vw_step_requirements</v>
      </c>
      <c r="I182" s="3" t="str">
        <f>D182 &amp; "|" &amp; E182</f>
        <v>principal-knowledge-authority|StepRequirements</v>
      </c>
      <c r="J182" s="3">
        <f>COUNTIFS(FieldGrants!M2:M999, I182)</f>
        <v>0</v>
      </c>
      <c r="K182" s="3">
        <f>_xlfn.IFNA(INDEX(RulebookTables!H2:H999, MATCH(E182,RulebookTables!A2:A999, 0)), "")</f>
        <v>13</v>
      </c>
      <c r="L182" s="3" t="b">
        <f>AND(J182 &gt; 0, J182 &gt;= K182)</f>
        <v>0</v>
      </c>
      <c r="M182" s="3" t="b">
        <f>J182 = 0</f>
        <v>1</v>
      </c>
      <c r="N182" s="2" t="s">
        <v>13591</v>
      </c>
    </row>
    <row r="183">
      <c r="A183" s="2" t="s">
        <v>13772</v>
      </c>
      <c r="B183" s="3" t="str">
        <f>G183 &amp; "." &amp; F183</f>
        <v>pko_knowledge_authority.step_tools</v>
      </c>
      <c r="C183" s="2" t="s">
        <v>13589</v>
      </c>
      <c r="D183" s="2" t="s">
        <v>9708</v>
      </c>
      <c r="E183" s="2" t="s">
        <v>2974</v>
      </c>
      <c r="F183" s="2" t="s">
        <v>9652</v>
      </c>
      <c r="G183" s="3" t="str">
        <f>_xlfn.IFNA(INDEX(RoleSchemas!D2:D999, MATCH(C183,RoleSchemas!A2:A999, 0)), "")</f>
        <v>pko_knowledge_authority</v>
      </c>
      <c r="H183" s="3" t="str">
        <f>_xlfn.IFNA(INDEX(RulebookTables!E2:E999, MATCH(E183,RulebookTables!A2:A999, 0)), "")</f>
        <v>vw_step_tools</v>
      </c>
      <c r="I183" s="3" t="str">
        <f>D183 &amp; "|" &amp; E183</f>
        <v>principal-knowledge-authority|StepTools</v>
      </c>
      <c r="J183" s="3">
        <f>COUNTIFS(FieldGrants!M2:M999, I183)</f>
        <v>0</v>
      </c>
      <c r="K183" s="3">
        <f>_xlfn.IFNA(INDEX(RulebookTables!H2:H999, MATCH(E183,RulebookTables!A2:A999, 0)), "")</f>
        <v>4</v>
      </c>
      <c r="L183" s="3" t="b">
        <f>AND(J183 &gt; 0, J183 &gt;= K183)</f>
        <v>0</v>
      </c>
      <c r="M183" s="3" t="b">
        <f>J183 = 0</f>
        <v>1</v>
      </c>
      <c r="N183" s="2" t="s">
        <v>13591</v>
      </c>
    </row>
    <row r="184">
      <c r="A184" s="2" t="s">
        <v>13773</v>
      </c>
      <c r="B184" s="3" t="str">
        <f>G184 &amp; "." &amp; F184</f>
        <v>pko_knowledge_authority.step_transitions</v>
      </c>
      <c r="C184" s="2" t="s">
        <v>13589</v>
      </c>
      <c r="D184" s="2" t="s">
        <v>9708</v>
      </c>
      <c r="E184" s="2" t="s">
        <v>1764</v>
      </c>
      <c r="F184" s="2" t="s">
        <v>9653</v>
      </c>
      <c r="G184" s="3" t="str">
        <f>_xlfn.IFNA(INDEX(RoleSchemas!D2:D999, MATCH(C184,RoleSchemas!A2:A999, 0)), "")</f>
        <v>pko_knowledge_authority</v>
      </c>
      <c r="H184" s="3" t="str">
        <f>_xlfn.IFNA(INDEX(RulebookTables!E2:E999, MATCH(E184,RulebookTables!A2:A999, 0)), "")</f>
        <v>vw_step_transitions</v>
      </c>
      <c r="I184" s="3" t="str">
        <f>D184 &amp; "|" &amp; E184</f>
        <v>principal-knowledge-authority|StepTransitions</v>
      </c>
      <c r="J184" s="3">
        <f>COUNTIFS(FieldGrants!M2:M999, I184)</f>
        <v>0</v>
      </c>
      <c r="K184" s="3">
        <f>_xlfn.IFNA(INDEX(RulebookTables!H2:H999, MATCH(E184,RulebookTables!A2:A999, 0)), "")</f>
        <v>23</v>
      </c>
      <c r="L184" s="3" t="b">
        <f>AND(J184 &gt; 0, J184 &gt;= K184)</f>
        <v>0</v>
      </c>
      <c r="M184" s="3" t="b">
        <f>J184 = 0</f>
        <v>1</v>
      </c>
      <c r="N184" s="2" t="s">
        <v>13591</v>
      </c>
    </row>
    <row r="185">
      <c r="A185" s="2" t="s">
        <v>13774</v>
      </c>
      <c r="B185" s="3" t="str">
        <f>G185 &amp; "." &amp; F185</f>
        <v>pko_knowledge_authority.step_verifications</v>
      </c>
      <c r="C185" s="2" t="s">
        <v>13589</v>
      </c>
      <c r="D185" s="2" t="s">
        <v>9708</v>
      </c>
      <c r="E185" s="2" t="s">
        <v>1788</v>
      </c>
      <c r="F185" s="2" t="s">
        <v>9654</v>
      </c>
      <c r="G185" s="3" t="str">
        <f>_xlfn.IFNA(INDEX(RoleSchemas!D2:D999, MATCH(C185,RoleSchemas!A2:A999, 0)), "")</f>
        <v>pko_knowledge_authority</v>
      </c>
      <c r="H185" s="3" t="str">
        <f>_xlfn.IFNA(INDEX(RulebookTables!E2:E999, MATCH(E185,RulebookTables!A2:A999, 0)), "")</f>
        <v>vw_step_verifications</v>
      </c>
      <c r="I185" s="3" t="str">
        <f>D185 &amp; "|" &amp; E185</f>
        <v>principal-knowledge-authority|StepVerifications</v>
      </c>
      <c r="J185" s="3">
        <f>COUNTIFS(FieldGrants!M2:M999, I185)</f>
        <v>0</v>
      </c>
      <c r="K185" s="3">
        <f>_xlfn.IFNA(INDEX(RulebookTables!H2:H999, MATCH(E185,RulebookTables!A2:A999, 0)), "")</f>
        <v>8</v>
      </c>
      <c r="L185" s="3" t="b">
        <f>AND(J185 &gt; 0, J185 &gt;= K185)</f>
        <v>0</v>
      </c>
      <c r="M185" s="3" t="b">
        <f>J185 = 0</f>
        <v>1</v>
      </c>
      <c r="N185" s="2" t="s">
        <v>13591</v>
      </c>
    </row>
    <row r="186">
      <c r="A186" s="2" t="s">
        <v>13775</v>
      </c>
      <c r="B186" s="3" t="str">
        <f>G186 &amp; "." &amp; F186</f>
        <v>pko_knowledge_authority.steps</v>
      </c>
      <c r="C186" s="2" t="s">
        <v>13589</v>
      </c>
      <c r="D186" s="2" t="s">
        <v>9708</v>
      </c>
      <c r="E186" s="2" t="s">
        <v>1758</v>
      </c>
      <c r="F186" s="2" t="s">
        <v>9655</v>
      </c>
      <c r="G186" s="3" t="str">
        <f>_xlfn.IFNA(INDEX(RoleSchemas!D2:D999, MATCH(C186,RoleSchemas!A2:A999, 0)), "")</f>
        <v>pko_knowledge_authority</v>
      </c>
      <c r="H186" s="3" t="str">
        <f>_xlfn.IFNA(INDEX(RulebookTables!E2:E999, MATCH(E186,RulebookTables!A2:A999, 0)), "")</f>
        <v>vw_steps</v>
      </c>
      <c r="I186" s="3" t="str">
        <f>D186 &amp; "|" &amp; E186</f>
        <v>principal-knowledge-authority|Steps</v>
      </c>
      <c r="J186" s="3">
        <f>COUNTIFS(FieldGrants!M2:M999, I186)</f>
        <v>0</v>
      </c>
      <c r="K186" s="3">
        <f>_xlfn.IFNA(INDEX(RulebookTables!H2:H999, MATCH(E186,RulebookTables!A2:A999, 0)), "")</f>
        <v>42</v>
      </c>
      <c r="L186" s="3" t="b">
        <f>AND(J186 &gt; 0, J186 &gt;= K186)</f>
        <v>0</v>
      </c>
      <c r="M186" s="3" t="b">
        <f>J186 = 0</f>
        <v>1</v>
      </c>
      <c r="N186" s="2" t="s">
        <v>13591</v>
      </c>
    </row>
    <row r="187">
      <c r="A187" s="2" t="s">
        <v>13776</v>
      </c>
      <c r="B187" s="3" t="str">
        <f>G187 &amp; "." &amp; F187</f>
        <v>pko_knowledge_authority.stewardship_assignments</v>
      </c>
      <c r="C187" s="2" t="s">
        <v>13589</v>
      </c>
      <c r="D187" s="2" t="s">
        <v>9708</v>
      </c>
      <c r="E187" s="2" t="s">
        <v>1839</v>
      </c>
      <c r="F187" s="2" t="s">
        <v>9656</v>
      </c>
      <c r="G187" s="3" t="str">
        <f>_xlfn.IFNA(INDEX(RoleSchemas!D2:D999, MATCH(C187,RoleSchemas!A2:A999, 0)), "")</f>
        <v>pko_knowledge_authority</v>
      </c>
      <c r="H187" s="3" t="str">
        <f>_xlfn.IFNA(INDEX(RulebookTables!E2:E999, MATCH(E187,RulebookTables!A2:A999, 0)), "")</f>
        <v>vw_stewardship_assignments</v>
      </c>
      <c r="I187" s="3" t="str">
        <f>D187 &amp; "|" &amp; E187</f>
        <v>principal-knowledge-authority|StewardshipAssignments</v>
      </c>
      <c r="J187" s="3">
        <f>COUNTIFS(FieldGrants!M2:M999, I187)</f>
        <v>0</v>
      </c>
      <c r="K187" s="3">
        <f>_xlfn.IFNA(INDEX(RulebookTables!H2:H999, MATCH(E187,RulebookTables!A2:A999, 0)), "")</f>
        <v>14</v>
      </c>
      <c r="L187" s="3" t="b">
        <f>AND(J187 &gt; 0, J187 &gt;= K187)</f>
        <v>0</v>
      </c>
      <c r="M187" s="3" t="b">
        <f>J187 = 0</f>
        <v>1</v>
      </c>
      <c r="N187" s="2" t="s">
        <v>13591</v>
      </c>
    </row>
    <row r="188">
      <c r="A188" s="2" t="s">
        <v>13777</v>
      </c>
      <c r="B188" s="3" t="str">
        <f>G188 &amp; "." &amp; F188</f>
        <v>pko_knowledge_authority.template_approvals</v>
      </c>
      <c r="C188" s="2" t="s">
        <v>13589</v>
      </c>
      <c r="D188" s="2" t="s">
        <v>9708</v>
      </c>
      <c r="E188" s="2" t="s">
        <v>4632</v>
      </c>
      <c r="F188" s="2" t="s">
        <v>9657</v>
      </c>
      <c r="G188" s="3" t="str">
        <f>_xlfn.IFNA(INDEX(RoleSchemas!D2:D999, MATCH(C188,RoleSchemas!A2:A999, 0)), "")</f>
        <v>pko_knowledge_authority</v>
      </c>
      <c r="H188" s="3" t="str">
        <f>_xlfn.IFNA(INDEX(RulebookTables!E2:E999, MATCH(E188,RulebookTables!A2:A999, 0)), "")</f>
        <v>vw_template_approvals</v>
      </c>
      <c r="I188" s="3" t="str">
        <f>D188 &amp; "|" &amp; E188</f>
        <v>principal-knowledge-authority|TemplateApprovals</v>
      </c>
      <c r="J188" s="3">
        <f>COUNTIFS(FieldGrants!M2:M999, I188)</f>
        <v>0</v>
      </c>
      <c r="K188" s="3">
        <f>_xlfn.IFNA(INDEX(RulebookTables!H2:H999, MATCH(E188,RulebookTables!A2:A999, 0)), "")</f>
        <v>0</v>
      </c>
      <c r="L188" s="3" t="b">
        <f>AND(J188 &gt; 0, J188 &gt;= K188)</f>
        <v>0</v>
      </c>
      <c r="M188" s="3" t="b">
        <f>J188 = 0</f>
        <v>1</v>
      </c>
      <c r="N188" s="2" t="s">
        <v>13591</v>
      </c>
    </row>
    <row r="189">
      <c r="A189" s="2" t="s">
        <v>13778</v>
      </c>
      <c r="B189" s="3" t="str">
        <f>G189 &amp; "." &amp; F189</f>
        <v>pko_knowledge_authority.test_cases</v>
      </c>
      <c r="C189" s="2" t="s">
        <v>13589</v>
      </c>
      <c r="D189" s="2" t="s">
        <v>9708</v>
      </c>
      <c r="E189" s="2" t="s">
        <v>4143</v>
      </c>
      <c r="F189" s="2" t="s">
        <v>9658</v>
      </c>
      <c r="G189" s="3" t="str">
        <f>_xlfn.IFNA(INDEX(RoleSchemas!D2:D999, MATCH(C189,RoleSchemas!A2:A999, 0)), "")</f>
        <v>pko_knowledge_authority</v>
      </c>
      <c r="H189" s="3" t="str">
        <f>_xlfn.IFNA(INDEX(RulebookTables!E2:E999, MATCH(E189,RulebookTables!A2:A999, 0)), "")</f>
        <v>vw_test_cases</v>
      </c>
      <c r="I189" s="3" t="str">
        <f>D189 &amp; "|" &amp; E189</f>
        <v>principal-knowledge-authority|TestCases</v>
      </c>
      <c r="J189" s="3">
        <f>COUNTIFS(FieldGrants!M2:M999, I189)</f>
        <v>0</v>
      </c>
      <c r="K189" s="3">
        <f>_xlfn.IFNA(INDEX(RulebookTables!H2:H999, MATCH(E189,RulebookTables!A2:A999, 0)), "")</f>
        <v>0</v>
      </c>
      <c r="L189" s="3" t="b">
        <f>AND(J189 &gt; 0, J189 &gt;= K189)</f>
        <v>0</v>
      </c>
      <c r="M189" s="3" t="b">
        <f>J189 = 0</f>
        <v>1</v>
      </c>
      <c r="N189" s="2" t="s">
        <v>13591</v>
      </c>
    </row>
    <row r="190">
      <c r="A190" s="2" t="s">
        <v>13779</v>
      </c>
      <c r="B190" s="3" t="str">
        <f>G190 &amp; "." &amp; F190</f>
        <v>pko_knowledge_authority.test_suites</v>
      </c>
      <c r="C190" s="2" t="s">
        <v>13589</v>
      </c>
      <c r="D190" s="2" t="s">
        <v>9708</v>
      </c>
      <c r="E190" s="2" t="s">
        <v>4125</v>
      </c>
      <c r="F190" s="2" t="s">
        <v>9659</v>
      </c>
      <c r="G190" s="3" t="str">
        <f>_xlfn.IFNA(INDEX(RoleSchemas!D2:D999, MATCH(C190,RoleSchemas!A2:A999, 0)), "")</f>
        <v>pko_knowledge_authority</v>
      </c>
      <c r="H190" s="3" t="str">
        <f>_xlfn.IFNA(INDEX(RulebookTables!E2:E999, MATCH(E190,RulebookTables!A2:A999, 0)), "")</f>
        <v>vw_test_suites</v>
      </c>
      <c r="I190" s="3" t="str">
        <f>D190 &amp; "|" &amp; E190</f>
        <v>principal-knowledge-authority|TestSuites</v>
      </c>
      <c r="J190" s="3">
        <f>COUNTIFS(FieldGrants!M2:M999, I190)</f>
        <v>0</v>
      </c>
      <c r="K190" s="3">
        <f>_xlfn.IFNA(INDEX(RulebookTables!H2:H999, MATCH(E190,RulebookTables!A2:A999, 0)), "")</f>
        <v>0</v>
      </c>
      <c r="L190" s="3" t="b">
        <f>AND(J190 &gt; 0, J190 &gt;= K190)</f>
        <v>0</v>
      </c>
      <c r="M190" s="3" t="b">
        <f>J190 = 0</f>
        <v>1</v>
      </c>
      <c r="N190" s="2" t="s">
        <v>13591</v>
      </c>
    </row>
    <row r="191">
      <c r="A191" s="2" t="s">
        <v>13780</v>
      </c>
      <c r="B191" s="3" t="str">
        <f>G191 &amp; "." &amp; F191</f>
        <v>pko_knowledge_authority.tools</v>
      </c>
      <c r="C191" s="2" t="s">
        <v>13589</v>
      </c>
      <c r="D191" s="2" t="s">
        <v>9708</v>
      </c>
      <c r="E191" s="2" t="s">
        <v>1782</v>
      </c>
      <c r="F191" s="2" t="s">
        <v>9660</v>
      </c>
      <c r="G191" s="3" t="str">
        <f>_xlfn.IFNA(INDEX(RoleSchemas!D2:D999, MATCH(C191,RoleSchemas!A2:A999, 0)), "")</f>
        <v>pko_knowledge_authority</v>
      </c>
      <c r="H191" s="3" t="str">
        <f>_xlfn.IFNA(INDEX(RulebookTables!E2:E999, MATCH(E191,RulebookTables!A2:A999, 0)), "")</f>
        <v>vw_tools</v>
      </c>
      <c r="I191" s="3" t="str">
        <f>D191 &amp; "|" &amp; E191</f>
        <v>principal-knowledge-authority|Tools</v>
      </c>
      <c r="J191" s="3">
        <f>COUNTIFS(FieldGrants!M2:M999, I191)</f>
        <v>0</v>
      </c>
      <c r="K191" s="3">
        <f>_xlfn.IFNA(INDEX(RulebookTables!H2:H999, MATCH(E191,RulebookTables!A2:A999, 0)), "")</f>
        <v>5</v>
      </c>
      <c r="L191" s="3" t="b">
        <f>AND(J191 &gt; 0, J191 &gt;= K191)</f>
        <v>0</v>
      </c>
      <c r="M191" s="3" t="b">
        <f>J191 = 0</f>
        <v>1</v>
      </c>
      <c r="N191" s="2" t="s">
        <v>13591</v>
      </c>
    </row>
    <row r="192">
      <c r="A192" s="2" t="s">
        <v>13781</v>
      </c>
      <c r="B192" s="3" t="str">
        <f>G192 &amp; "." &amp; F192</f>
        <v>pko_knowledge_authority.user_feedback</v>
      </c>
      <c r="C192" s="2" t="s">
        <v>13589</v>
      </c>
      <c r="D192" s="2" t="s">
        <v>9708</v>
      </c>
      <c r="E192" s="2" t="s">
        <v>1822</v>
      </c>
      <c r="F192" s="2" t="s">
        <v>9661</v>
      </c>
      <c r="G192" s="3" t="str">
        <f>_xlfn.IFNA(INDEX(RoleSchemas!D2:D999, MATCH(C192,RoleSchemas!A2:A999, 0)), "")</f>
        <v>pko_knowledge_authority</v>
      </c>
      <c r="H192" s="3" t="str">
        <f>_xlfn.IFNA(INDEX(RulebookTables!E2:E999, MATCH(E192,RulebookTables!A2:A999, 0)), "")</f>
        <v>vw_user_feedback</v>
      </c>
      <c r="I192" s="3" t="str">
        <f>D192 &amp; "|" &amp; E192</f>
        <v>principal-knowledge-authority|UserFeedback</v>
      </c>
      <c r="J192" s="3">
        <f>COUNTIFS(FieldGrants!M2:M999, I192)</f>
        <v>0</v>
      </c>
      <c r="K192" s="3">
        <f>_xlfn.IFNA(INDEX(RulebookTables!H2:H999, MATCH(E192,RulebookTables!A2:A999, 0)), "")</f>
        <v>9</v>
      </c>
      <c r="L192" s="3" t="b">
        <f>AND(J192 &gt; 0, J192 &gt;= K192)</f>
        <v>0</v>
      </c>
      <c r="M192" s="3" t="b">
        <f>J192 = 0</f>
        <v>1</v>
      </c>
      <c r="N192" s="2" t="s">
        <v>13591</v>
      </c>
    </row>
    <row r="193">
      <c r="A193" s="2" t="s">
        <v>13782</v>
      </c>
      <c r="B193" s="3" t="str">
        <f>G193 &amp; "." &amp; F193</f>
        <v>pko_knowledge_authority.user_questions</v>
      </c>
      <c r="C193" s="2" t="s">
        <v>13589</v>
      </c>
      <c r="D193" s="2" t="s">
        <v>9708</v>
      </c>
      <c r="E193" s="2" t="s">
        <v>1819</v>
      </c>
      <c r="F193" s="2" t="s">
        <v>9662</v>
      </c>
      <c r="G193" s="3" t="str">
        <f>_xlfn.IFNA(INDEX(RoleSchemas!D2:D999, MATCH(C193,RoleSchemas!A2:A999, 0)), "")</f>
        <v>pko_knowledge_authority</v>
      </c>
      <c r="H193" s="3" t="str">
        <f>_xlfn.IFNA(INDEX(RulebookTables!E2:E999, MATCH(E193,RulebookTables!A2:A999, 0)), "")</f>
        <v>vw_user_questions</v>
      </c>
      <c r="I193" s="3" t="str">
        <f>D193 &amp; "|" &amp; E193</f>
        <v>principal-knowledge-authority|UserQuestions</v>
      </c>
      <c r="J193" s="3">
        <f>COUNTIFS(FieldGrants!M2:M999, I193)</f>
        <v>0</v>
      </c>
      <c r="K193" s="3">
        <f>_xlfn.IFNA(INDEX(RulebookTables!H2:H999, MATCH(E193,RulebookTables!A2:A999, 0)), "")</f>
        <v>10</v>
      </c>
      <c r="L193" s="3" t="b">
        <f>AND(J193 &gt; 0, J193 &gt;= K193)</f>
        <v>0</v>
      </c>
      <c r="M193" s="3" t="b">
        <f>J193 = 0</f>
        <v>1</v>
      </c>
      <c r="N193" s="2" t="s">
        <v>13591</v>
      </c>
    </row>
    <row r="194">
      <c r="A194" s="2" t="s">
        <v>13783</v>
      </c>
      <c r="B194" s="3" t="str">
        <f>G194 &amp; "." &amp; F194</f>
        <v>pko_knowledge_authority.verification_outcomes</v>
      </c>
      <c r="C194" s="2" t="s">
        <v>13589</v>
      </c>
      <c r="D194" s="2" t="s">
        <v>9708</v>
      </c>
      <c r="E194" s="2" t="s">
        <v>4271</v>
      </c>
      <c r="F194" s="2" t="s">
        <v>9663</v>
      </c>
      <c r="G194" s="3" t="str">
        <f>_xlfn.IFNA(INDEX(RoleSchemas!D2:D999, MATCH(C194,RoleSchemas!A2:A999, 0)), "")</f>
        <v>pko_knowledge_authority</v>
      </c>
      <c r="H194" s="3" t="str">
        <f>_xlfn.IFNA(INDEX(RulebookTables!E2:E999, MATCH(E194,RulebookTables!A2:A999, 0)), "")</f>
        <v>vw_verification_outcomes</v>
      </c>
      <c r="I194" s="3" t="str">
        <f>D194 &amp; "|" &amp; E194</f>
        <v>principal-knowledge-authority|VerificationOutcomes</v>
      </c>
      <c r="J194" s="3">
        <f>COUNTIFS(FieldGrants!M2:M999, I194)</f>
        <v>0</v>
      </c>
      <c r="K194" s="3">
        <f>_xlfn.IFNA(INDEX(RulebookTables!H2:H999, MATCH(E194,RulebookTables!A2:A999, 0)), "")</f>
        <v>0</v>
      </c>
      <c r="L194" s="3" t="b">
        <f>AND(J194 &gt; 0, J194 &gt;= K194)</f>
        <v>0</v>
      </c>
      <c r="M194" s="3" t="b">
        <f>J194 = 0</f>
        <v>1</v>
      </c>
      <c r="N194" s="2" t="s">
        <v>13591</v>
      </c>
    </row>
    <row r="195">
      <c r="A195" s="2" t="s">
        <v>13784</v>
      </c>
      <c r="B195" s="3" t="str">
        <f>G195 &amp; "." &amp; F195</f>
        <v>pko_knowledge_authority.witness_loops</v>
      </c>
      <c r="C195" s="2" t="s">
        <v>13589</v>
      </c>
      <c r="D195" s="2" t="s">
        <v>9708</v>
      </c>
      <c r="E195" s="2" t="s">
        <v>4074</v>
      </c>
      <c r="F195" s="2" t="s">
        <v>9664</v>
      </c>
      <c r="G195" s="3" t="str">
        <f>_xlfn.IFNA(INDEX(RoleSchemas!D2:D999, MATCH(C195,RoleSchemas!A2:A999, 0)), "")</f>
        <v>pko_knowledge_authority</v>
      </c>
      <c r="H195" s="3" t="str">
        <f>_xlfn.IFNA(INDEX(RulebookTables!E2:E999, MATCH(E195,RulebookTables!A2:A999, 0)), "")</f>
        <v>vw_witness_loops</v>
      </c>
      <c r="I195" s="3" t="str">
        <f>D195 &amp; "|" &amp; E195</f>
        <v>principal-knowledge-authority|WitnessLoops</v>
      </c>
      <c r="J195" s="3">
        <f>COUNTIFS(FieldGrants!M2:M999, I195)</f>
        <v>0</v>
      </c>
      <c r="K195" s="3">
        <f>_xlfn.IFNA(INDEX(RulebookTables!H2:H999, MATCH(E195,RulebookTables!A2:A999, 0)), "")</f>
        <v>0</v>
      </c>
      <c r="L195" s="3" t="b">
        <f>AND(J195 &gt; 0, J195 &gt;= K195)</f>
        <v>0</v>
      </c>
      <c r="M195" s="3" t="b">
        <f>J195 = 0</f>
        <v>1</v>
      </c>
      <c r="N195" s="2" t="s">
        <v>13591</v>
      </c>
    </row>
    <row r="196">
      <c r="A196" s="2" t="s">
        <v>13785</v>
      </c>
      <c r="B196" s="3" t="str">
        <f>G196 &amp; "." &amp; F196</f>
        <v>pko_process_steward.process_mining_runs</v>
      </c>
      <c r="C196" s="2" t="s">
        <v>13588</v>
      </c>
      <c r="D196" s="2" t="s">
        <v>9706</v>
      </c>
      <c r="E196" s="2" t="s">
        <v>1869</v>
      </c>
      <c r="F196" s="2" t="s">
        <v>9665</v>
      </c>
      <c r="G196" s="3" t="str">
        <f>_xlfn.IFNA(INDEX(RoleSchemas!D2:D999, MATCH(C196,RoleSchemas!A2:A999, 0)), "")</f>
        <v>pko_process_steward</v>
      </c>
      <c r="H196" s="3" t="str">
        <f>_xlfn.IFNA(INDEX(RulebookTables!E2:E999, MATCH(E196,RulebookTables!A2:A999, 0)), "")</f>
        <v>vw_process_mining_runs</v>
      </c>
      <c r="I196" s="3" t="str">
        <f>D196 &amp; "|" &amp; E196</f>
        <v>principal-process-steward|ProcessMiningRuns</v>
      </c>
      <c r="J196" s="3">
        <f>COUNTIFS(FieldGrants!M2:M999, I196)</f>
        <v>0</v>
      </c>
      <c r="K196" s="3">
        <f>_xlfn.IFNA(INDEX(RulebookTables!H2:H999, MATCH(E196,RulebookTables!A2:A999, 0)), "")</f>
        <v>0</v>
      </c>
      <c r="L196" s="3" t="b">
        <f>AND(J196 &gt; 0, J196 &gt;= K196)</f>
        <v>0</v>
      </c>
      <c r="M196" s="3" t="b">
        <f>J196 = 0</f>
        <v>1</v>
      </c>
      <c r="N196" s="2" t="s">
        <v>13591</v>
      </c>
    </row>
    <row r="197">
      <c r="A197" s="2" t="s">
        <v>13786</v>
      </c>
      <c r="B197" s="3" t="str">
        <f>G197 &amp; "." &amp; F197</f>
        <v>pko_process_steward.vocabularies</v>
      </c>
      <c r="C197" s="2" t="s">
        <v>13588</v>
      </c>
      <c r="D197" s="2" t="s">
        <v>9706</v>
      </c>
      <c r="E197" s="2" t="s">
        <v>1873</v>
      </c>
      <c r="F197" s="2" t="s">
        <v>9667</v>
      </c>
      <c r="G197" s="3" t="str">
        <f>_xlfn.IFNA(INDEX(RoleSchemas!D2:D999, MATCH(C197,RoleSchemas!A2:A999, 0)), "")</f>
        <v>pko_process_steward</v>
      </c>
      <c r="H197" s="3" t="str">
        <f>_xlfn.IFNA(INDEX(RulebookTables!E2:E999, MATCH(E197,RulebookTables!A2:A999, 0)), "")</f>
        <v>vw_vocabularies</v>
      </c>
      <c r="I197" s="3" t="str">
        <f>D197 &amp; "|" &amp; E197</f>
        <v>principal-process-steward|Vocabularies</v>
      </c>
      <c r="J197" s="3">
        <f>COUNTIFS(FieldGrants!M2:M999, I197)</f>
        <v>0</v>
      </c>
      <c r="K197" s="3">
        <f>_xlfn.IFNA(INDEX(RulebookTables!H2:H999, MATCH(E197,RulebookTables!A2:A999, 0)), "")</f>
        <v>0</v>
      </c>
      <c r="L197" s="3" t="b">
        <f>AND(J197 &gt; 0, J197 &gt;= K197)</f>
        <v>0</v>
      </c>
      <c r="M197" s="3" t="b">
        <f>J197 = 0</f>
        <v>1</v>
      </c>
      <c r="N197" s="2" t="s">
        <v>13591</v>
      </c>
    </row>
    <row r="198">
      <c r="A198" s="2" t="s">
        <v>13787</v>
      </c>
      <c r="B198" s="3" t="str">
        <f>G198 &amp; "." &amp; F198</f>
        <v>pko_process_steward.vocabulary_terms</v>
      </c>
      <c r="C198" s="2" t="s">
        <v>13588</v>
      </c>
      <c r="D198" s="2" t="s">
        <v>9706</v>
      </c>
      <c r="E198" s="2" t="s">
        <v>1877</v>
      </c>
      <c r="F198" s="2" t="s">
        <v>9669</v>
      </c>
      <c r="G198" s="3" t="str">
        <f>_xlfn.IFNA(INDEX(RoleSchemas!D2:D999, MATCH(C198,RoleSchemas!A2:A999, 0)), "")</f>
        <v>pko_process_steward</v>
      </c>
      <c r="H198" s="3" t="str">
        <f>_xlfn.IFNA(INDEX(RulebookTables!E2:E999, MATCH(E198,RulebookTables!A2:A999, 0)), "")</f>
        <v>vw_vocabulary_terms</v>
      </c>
      <c r="I198" s="3" t="str">
        <f>D198 &amp; "|" &amp; E198</f>
        <v>principal-process-steward|VocabularyTerms</v>
      </c>
      <c r="J198" s="3">
        <f>COUNTIFS(FieldGrants!M2:M999, I198)</f>
        <v>0</v>
      </c>
      <c r="K198" s="3">
        <f>_xlfn.IFNA(INDEX(RulebookTables!H2:H999, MATCH(E198,RulebookTables!A2:A999, 0)), "")</f>
        <v>0</v>
      </c>
      <c r="L198" s="3" t="b">
        <f>AND(J198 &gt; 0, J198 &gt;= K198)</f>
        <v>0</v>
      </c>
      <c r="M198" s="3" t="b">
        <f>J198 = 0</f>
        <v>1</v>
      </c>
      <c r="N198" s="2" t="s">
        <v>13591</v>
      </c>
    </row>
    <row r="199">
      <c r="A199" s="2" t="s">
        <v>13788</v>
      </c>
      <c r="B199" s="3" t="str">
        <f>G199 &amp; "." &amp; F199</f>
        <v>pko_process_steward.knowledge_broker_links</v>
      </c>
      <c r="C199" s="2" t="s">
        <v>13588</v>
      </c>
      <c r="D199" s="2" t="s">
        <v>9706</v>
      </c>
      <c r="E199" s="2" t="s">
        <v>1881</v>
      </c>
      <c r="F199" s="2" t="s">
        <v>9671</v>
      </c>
      <c r="G199" s="3" t="str">
        <f>_xlfn.IFNA(INDEX(RoleSchemas!D2:D999, MATCH(C199,RoleSchemas!A2:A999, 0)), "")</f>
        <v>pko_process_steward</v>
      </c>
      <c r="H199" s="3" t="str">
        <f>_xlfn.IFNA(INDEX(RulebookTables!E2:E999, MATCH(E199,RulebookTables!A2:A999, 0)), "")</f>
        <v>vw_knowledge_broker_links</v>
      </c>
      <c r="I199" s="3" t="str">
        <f>D199 &amp; "|" &amp; E199</f>
        <v>principal-process-steward|KnowledgeBrokerLinks</v>
      </c>
      <c r="J199" s="3">
        <f>COUNTIFS(FieldGrants!M2:M999, I199)</f>
        <v>0</v>
      </c>
      <c r="K199" s="3">
        <f>_xlfn.IFNA(INDEX(RulebookTables!H2:H999, MATCH(E199,RulebookTables!A2:A999, 0)), "")</f>
        <v>0</v>
      </c>
      <c r="L199" s="3" t="b">
        <f>AND(J199 &gt; 0, J199 &gt;= K199)</f>
        <v>0</v>
      </c>
      <c r="M199" s="3" t="b">
        <f>J199 = 0</f>
        <v>1</v>
      </c>
      <c r="N199" s="2" t="s">
        <v>13591</v>
      </c>
    </row>
    <row r="200">
      <c r="A200" s="2" t="s">
        <v>13789</v>
      </c>
      <c r="B200" s="3" t="str">
        <f>G200 &amp; "." &amp; F200</f>
        <v>pko_knowledge_authority.process_mining_runs</v>
      </c>
      <c r="C200" s="2" t="s">
        <v>13589</v>
      </c>
      <c r="D200" s="2" t="s">
        <v>9708</v>
      </c>
      <c r="E200" s="2" t="s">
        <v>1869</v>
      </c>
      <c r="F200" s="2" t="s">
        <v>9665</v>
      </c>
      <c r="G200" s="3" t="str">
        <f>_xlfn.IFNA(INDEX(RoleSchemas!D2:D999, MATCH(C200,RoleSchemas!A2:A999, 0)), "")</f>
        <v>pko_knowledge_authority</v>
      </c>
      <c r="H200" s="3" t="str">
        <f>_xlfn.IFNA(INDEX(RulebookTables!E2:E999, MATCH(E200,RulebookTables!A2:A999, 0)), "")</f>
        <v>vw_process_mining_runs</v>
      </c>
      <c r="I200" s="3" t="str">
        <f>D200 &amp; "|" &amp; E200</f>
        <v>principal-knowledge-authority|ProcessMiningRuns</v>
      </c>
      <c r="J200" s="3">
        <f>COUNTIFS(FieldGrants!M2:M999, I200)</f>
        <v>0</v>
      </c>
      <c r="K200" s="3">
        <f>_xlfn.IFNA(INDEX(RulebookTables!H2:H999, MATCH(E200,RulebookTables!A2:A999, 0)), "")</f>
        <v>0</v>
      </c>
      <c r="L200" s="3" t="b">
        <f>AND(J200 &gt; 0, J200 &gt;= K200)</f>
        <v>0</v>
      </c>
      <c r="M200" s="3" t="b">
        <f>J200 = 0</f>
        <v>1</v>
      </c>
      <c r="N200" s="2" t="s">
        <v>13591</v>
      </c>
    </row>
    <row r="201">
      <c r="A201" s="2" t="s">
        <v>13790</v>
      </c>
      <c r="B201" s="3" t="str">
        <f>G201 &amp; "." &amp; F201</f>
        <v>pko_knowledge_authority.vocabularies</v>
      </c>
      <c r="C201" s="2" t="s">
        <v>13589</v>
      </c>
      <c r="D201" s="2" t="s">
        <v>9708</v>
      </c>
      <c r="E201" s="2" t="s">
        <v>1873</v>
      </c>
      <c r="F201" s="2" t="s">
        <v>9667</v>
      </c>
      <c r="G201" s="3" t="str">
        <f>_xlfn.IFNA(INDEX(RoleSchemas!D2:D999, MATCH(C201,RoleSchemas!A2:A999, 0)), "")</f>
        <v>pko_knowledge_authority</v>
      </c>
      <c r="H201" s="3" t="str">
        <f>_xlfn.IFNA(INDEX(RulebookTables!E2:E999, MATCH(E201,RulebookTables!A2:A999, 0)), "")</f>
        <v>vw_vocabularies</v>
      </c>
      <c r="I201" s="3" t="str">
        <f>D201 &amp; "|" &amp; E201</f>
        <v>principal-knowledge-authority|Vocabularies</v>
      </c>
      <c r="J201" s="3">
        <f>COUNTIFS(FieldGrants!M2:M999, I201)</f>
        <v>0</v>
      </c>
      <c r="K201" s="3">
        <f>_xlfn.IFNA(INDEX(RulebookTables!H2:H999, MATCH(E201,RulebookTables!A2:A999, 0)), "")</f>
        <v>0</v>
      </c>
      <c r="L201" s="3" t="b">
        <f>AND(J201 &gt; 0, J201 &gt;= K201)</f>
        <v>0</v>
      </c>
      <c r="M201" s="3" t="b">
        <f>J201 = 0</f>
        <v>1</v>
      </c>
      <c r="N201" s="2" t="s">
        <v>13591</v>
      </c>
    </row>
    <row r="202">
      <c r="A202" s="2" t="s">
        <v>13791</v>
      </c>
      <c r="B202" s="3" t="str">
        <f>G202 &amp; "." &amp; F202</f>
        <v>pko_knowledge_authority.vocabulary_terms</v>
      </c>
      <c r="C202" s="2" t="s">
        <v>13589</v>
      </c>
      <c r="D202" s="2" t="s">
        <v>9708</v>
      </c>
      <c r="E202" s="2" t="s">
        <v>1877</v>
      </c>
      <c r="F202" s="2" t="s">
        <v>9669</v>
      </c>
      <c r="G202" s="3" t="str">
        <f>_xlfn.IFNA(INDEX(RoleSchemas!D2:D999, MATCH(C202,RoleSchemas!A2:A999, 0)), "")</f>
        <v>pko_knowledge_authority</v>
      </c>
      <c r="H202" s="3" t="str">
        <f>_xlfn.IFNA(INDEX(RulebookTables!E2:E999, MATCH(E202,RulebookTables!A2:A999, 0)), "")</f>
        <v>vw_vocabulary_terms</v>
      </c>
      <c r="I202" s="3" t="str">
        <f>D202 &amp; "|" &amp; E202</f>
        <v>principal-knowledge-authority|VocabularyTerms</v>
      </c>
      <c r="J202" s="3">
        <f>COUNTIFS(FieldGrants!M2:M999, I202)</f>
        <v>0</v>
      </c>
      <c r="K202" s="3">
        <f>_xlfn.IFNA(INDEX(RulebookTables!H2:H999, MATCH(E202,RulebookTables!A2:A999, 0)), "")</f>
        <v>0</v>
      </c>
      <c r="L202" s="3" t="b">
        <f>AND(J202 &gt; 0, J202 &gt;= K202)</f>
        <v>0</v>
      </c>
      <c r="M202" s="3" t="b">
        <f>J202 = 0</f>
        <v>1</v>
      </c>
      <c r="N202" s="2" t="s">
        <v>13591</v>
      </c>
    </row>
    <row r="203">
      <c r="A203" s="2" t="s">
        <v>13792</v>
      </c>
      <c r="B203" s="3" t="str">
        <f>G203 &amp; "." &amp; F203</f>
        <v>pko_knowledge_authority.knowledge_broker_links</v>
      </c>
      <c r="C203" s="2" t="s">
        <v>13589</v>
      </c>
      <c r="D203" s="2" t="s">
        <v>9708</v>
      </c>
      <c r="E203" s="2" t="s">
        <v>1881</v>
      </c>
      <c r="F203" s="2" t="s">
        <v>9671</v>
      </c>
      <c r="G203" s="3" t="str">
        <f>_xlfn.IFNA(INDEX(RoleSchemas!D2:D999, MATCH(C203,RoleSchemas!A2:A999, 0)), "")</f>
        <v>pko_knowledge_authority</v>
      </c>
      <c r="H203" s="3" t="str">
        <f>_xlfn.IFNA(INDEX(RulebookTables!E2:E999, MATCH(E203,RulebookTables!A2:A999, 0)), "")</f>
        <v>vw_knowledge_broker_links</v>
      </c>
      <c r="I203" s="3" t="str">
        <f>D203 &amp; "|" &amp; E203</f>
        <v>principal-knowledge-authority|KnowledgeBrokerLinks</v>
      </c>
      <c r="J203" s="3">
        <f>COUNTIFS(FieldGrants!M2:M999, I203)</f>
        <v>0</v>
      </c>
      <c r="K203" s="3">
        <f>_xlfn.IFNA(INDEX(RulebookTables!H2:H999, MATCH(E203,RulebookTables!A2:A999, 0)), "")</f>
        <v>0</v>
      </c>
      <c r="L203" s="3" t="b">
        <f>AND(J203 &gt; 0, J203 &gt;= K203)</f>
        <v>0</v>
      </c>
      <c r="M203" s="3" t="b">
        <f>J203 = 0</f>
        <v>1</v>
      </c>
      <c r="N203" s="2" t="s">
        <v>13591</v>
      </c>
    </row>
  </sheetData>
  <autoFilter ref="A1:N1"/>
  <headerFooter/>
  <legacyDrawing r:id="rId1"/>
</worksheet>
</file>

<file path=xl/worksheets/sheet8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19.72300148010254" customWidth="1"/>
    <col min="2" max="2" width="37.186614990234375" customWidth="1"/>
    <col min="3" max="3" width="17.443378448486328" customWidth="1"/>
    <col min="4" max="4" width="22.531198501586914" customWidth="1"/>
    <col min="5" max="5" width="17.443378448486328" customWidth="1"/>
    <col min="6" max="6" width="17.443378448486328" customWidth="1"/>
    <col min="7" max="7" width="150.5824737548828" customWidth="1"/>
    <col min="8" max="8" width="17.443378448486328" customWidth="1"/>
    <col min="9" max="9" width="45.1950798034668" customWidth="1"/>
  </cols>
  <sheetData>
    <row r="1">
      <c r="A1" s="1" t="s">
        <v>5464</v>
      </c>
      <c r="B1" s="1" t="s">
        <v>1</v>
      </c>
      <c r="C1" s="1" t="s">
        <v>5468</v>
      </c>
      <c r="D1" s="1" t="s">
        <v>5470</v>
      </c>
      <c r="E1" s="1" t="s">
        <v>5472</v>
      </c>
      <c r="F1" s="1" t="s">
        <v>5474</v>
      </c>
      <c r="G1" s="1" t="s">
        <v>5476</v>
      </c>
      <c r="H1" s="1" t="s">
        <v>5478</v>
      </c>
      <c r="I1" s="1" t="s">
        <v>94</v>
      </c>
    </row>
    <row r="2">
      <c r="A2" s="2" t="s">
        <v>13793</v>
      </c>
      <c r="B2" s="3" t="str">
        <f>C2 &amp; " -&gt; " &amp; D2</f>
        <v>email -&gt; app.jwt_email()</v>
      </c>
      <c r="C2" s="2" t="s">
        <v>13794</v>
      </c>
      <c r="D2" s="2" t="s">
        <v>13795</v>
      </c>
      <c r="E2" s="2" t="b">
        <v>1</v>
      </c>
      <c r="F2" s="2" t="b">
        <v>1</v>
      </c>
      <c r="G2" s="2" t="s">
        <v>13796</v>
      </c>
      <c r="H2" s="3">
        <f>COUNTIFS(AccessPolicies!F2:F999, D2)</f>
        <v>0</v>
      </c>
      <c r="I2" s="2" t="s">
        <v>13797</v>
      </c>
    </row>
    <row r="3">
      <c r="A3" s="2" t="s">
        <v>13798</v>
      </c>
      <c r="B3" s="3" t="str">
        <f>C3 &amp; " -&gt; " &amp; D3</f>
        <v>tenant_id -&gt; app.jwt_tenant_id()</v>
      </c>
      <c r="C3" s="2" t="s">
        <v>13799</v>
      </c>
      <c r="D3" s="2" t="s">
        <v>13800</v>
      </c>
      <c r="E3" s="2" t="b">
        <v>1</v>
      </c>
      <c r="F3" s="2" t="b">
        <v>0</v>
      </c>
      <c r="G3" s="2" t="s">
        <v>13801</v>
      </c>
      <c r="H3" s="3">
        <f>COUNTIFS(AccessPolicies!F2:F999, D3)</f>
        <v>0</v>
      </c>
      <c r="I3" s="2" t="s">
        <v>13797</v>
      </c>
    </row>
    <row r="4">
      <c r="A4" s="2" t="s">
        <v>13802</v>
      </c>
      <c r="B4" s="3" t="str">
        <f>C4 &amp; " -&gt; " &amp; D4</f>
        <v>principal -&gt; app.jwt_principal()</v>
      </c>
      <c r="C4" s="2" t="s">
        <v>13803</v>
      </c>
      <c r="D4" s="2" t="s">
        <v>13804</v>
      </c>
      <c r="E4" s="2" t="b">
        <v>0</v>
      </c>
      <c r="F4" s="2" t="b">
        <v>1</v>
      </c>
      <c r="G4" s="2" t="s">
        <v>13805</v>
      </c>
      <c r="H4" s="3">
        <f>COUNTIFS(AccessPolicies!F2:F999, D4)</f>
        <v>0</v>
      </c>
      <c r="I4" s="2" t="s">
        <v>13797</v>
      </c>
    </row>
    <row r="5">
      <c r="A5" s="2" t="s">
        <v>13806</v>
      </c>
      <c r="B5" s="3" t="str">
        <f>C5 &amp; " -&gt; " &amp; D5</f>
        <v>organization -&gt; app.jwt_organization()</v>
      </c>
      <c r="C5" s="2" t="s">
        <v>13807</v>
      </c>
      <c r="D5" s="2" t="s">
        <v>13808</v>
      </c>
      <c r="E5" s="2" t="b">
        <v>0</v>
      </c>
      <c r="F5" s="2" t="b">
        <v>0</v>
      </c>
      <c r="G5" s="2" t="s">
        <v>13809</v>
      </c>
      <c r="H5" s="3">
        <f>COUNTIFS(AccessPolicies!F2:F999, D5)</f>
        <v>0</v>
      </c>
      <c r="I5" s="2" t="s">
        <v>13797</v>
      </c>
    </row>
  </sheetData>
  <autoFilter ref="A1:I1"/>
  <headerFooter/>
  <legacyDrawing r:id="rId1"/>
</worksheet>
</file>

<file path=xl/worksheets/sheet8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8"/>
  <sheetViews>
    <sheetView workbookViewId="0">
      <pane ySplit="1" topLeftCell="A2" state="frozen" activePane="bottomLeft"/>
      <selection pane="bottomLeft" activeCell="A1" sqref="A1"/>
    </sheetView>
  </sheetViews>
  <sheetFormatPr defaultRowHeight="15"/>
  <cols>
    <col min="1" max="1" width="46.97905349731445" customWidth="1"/>
    <col min="2" max="2" width="68.28380584716797" customWidth="1"/>
    <col min="3" max="3" width="51.10602951049805" customWidth="1"/>
    <col min="4" max="4" width="30.479211807250977" customWidth="1"/>
    <col min="5" max="5" width="21.608469009399414" customWidth="1"/>
    <col min="6" max="6" width="30.542070388793945" customWidth="1"/>
    <col min="7" max="7" width="17.443378448486328" customWidth="1"/>
    <col min="8" max="8" width="17.443378448486328" customWidth="1"/>
    <col min="9" max="9" width="23.35041618347168" customWidth="1"/>
    <col min="10" max="10" width="17.443378448486328" customWidth="1"/>
    <col min="11" max="11" width="17.443378448486328" customWidth="1"/>
    <col min="12" max="12" width="17.443378448486328" customWidth="1"/>
    <col min="13" max="13" width="17.443378448486328" customWidth="1"/>
    <col min="14" max="14" width="256" customWidth="1"/>
    <col min="15" max="15" width="17.443378448486328" customWidth="1"/>
    <col min="16" max="16" width="21.608469009399414" customWidth="1"/>
    <col min="17" max="17" width="22.070384979248047" customWidth="1"/>
    <col min="18" max="18" width="45.01087188720703" customWidth="1"/>
  </cols>
  <sheetData>
    <row r="1">
      <c r="A1" s="1" t="s">
        <v>5483</v>
      </c>
      <c r="B1" s="1" t="s">
        <v>1</v>
      </c>
      <c r="C1" s="1" t="s">
        <v>5487</v>
      </c>
      <c r="D1" s="1" t="s">
        <v>5351</v>
      </c>
      <c r="E1" s="1" t="s">
        <v>2373</v>
      </c>
      <c r="F1" s="1" t="s">
        <v>5491</v>
      </c>
      <c r="G1" s="1" t="s">
        <v>5493</v>
      </c>
      <c r="H1" s="1" t="s">
        <v>5495</v>
      </c>
      <c r="I1" s="1" t="s">
        <v>4168</v>
      </c>
      <c r="J1" s="1" t="s">
        <v>5498</v>
      </c>
      <c r="K1" s="1" t="s">
        <v>4170</v>
      </c>
      <c r="L1" s="1" t="s">
        <v>5503</v>
      </c>
      <c r="M1" s="1" t="s">
        <v>5506</v>
      </c>
      <c r="N1" s="1" t="s">
        <v>93</v>
      </c>
      <c r="O1" s="1" t="s">
        <v>5510</v>
      </c>
      <c r="P1" s="1" t="s">
        <v>5513</v>
      </c>
      <c r="Q1" s="1" t="s">
        <v>5515</v>
      </c>
      <c r="R1" s="1" t="s">
        <v>94</v>
      </c>
    </row>
    <row r="2">
      <c r="A2" s="2" t="s">
        <v>13810</v>
      </c>
      <c r="B2" s="3" t="str">
        <f>D2 &amp; " must not see " &amp; F2</f>
        <v>principal-finance-analyst must not see close-v1.0.0</v>
      </c>
      <c r="C2" s="2" t="s">
        <v>9719</v>
      </c>
      <c r="D2" s="2" t="s">
        <v>9685</v>
      </c>
      <c r="E2" s="2" t="s">
        <v>1747</v>
      </c>
      <c r="F2" s="2" t="s">
        <v>454</v>
      </c>
      <c r="G2" s="2" t="b">
        <v>0</v>
      </c>
      <c r="H2" s="2" t="b">
        <v>0</v>
      </c>
      <c r="I2" s="4">
        <v>46278.77506944445</v>
      </c>
      <c r="J2" s="3" t="b">
        <f>I2 &lt;&gt; ""</f>
        <v>1</v>
      </c>
      <c r="K2" s="3" t="b">
        <f>H2 = G2</f>
        <v>1</v>
      </c>
      <c r="L2" s="3" t="b">
        <f>AND(NOT(G2), H2)</f>
        <v>0</v>
      </c>
      <c r="M2" s="3" t="b">
        <f>NOT(J2)</f>
        <v>0</v>
      </c>
      <c r="N2" s="2" t="s">
        <v>13811</v>
      </c>
      <c r="O2" s="3" t="b">
        <f>G2</f>
        <v>0</v>
      </c>
      <c r="P2" s="2"/>
      <c r="Q2" s="2"/>
      <c r="R2" s="2" t="s">
        <v>13812</v>
      </c>
    </row>
    <row r="3">
      <c r="A3" s="2" t="s">
        <v>13813</v>
      </c>
      <c r="B3" s="3" t="str">
        <f>D3 &amp; " must not see " &amp; F3</f>
        <v>principal-finance-analyst must not see close-v1.1.0</v>
      </c>
      <c r="C3" s="2" t="s">
        <v>9719</v>
      </c>
      <c r="D3" s="2" t="s">
        <v>9685</v>
      </c>
      <c r="E3" s="2" t="s">
        <v>1747</v>
      </c>
      <c r="F3" s="2" t="s">
        <v>369</v>
      </c>
      <c r="G3" s="2" t="b">
        <v>1</v>
      </c>
      <c r="H3" s="2" t="b">
        <v>1</v>
      </c>
      <c r="I3" s="4">
        <v>46278.77506944445</v>
      </c>
      <c r="J3" s="3" t="b">
        <f>I3 &lt;&gt; ""</f>
        <v>1</v>
      </c>
      <c r="K3" s="3" t="b">
        <f>H3 = G3</f>
        <v>1</v>
      </c>
      <c r="L3" s="3" t="b">
        <f>AND(NOT(G3), H3)</f>
        <v>0</v>
      </c>
      <c r="M3" s="3" t="b">
        <f>NOT(J3)</f>
        <v>0</v>
      </c>
      <c r="N3" s="2" t="s">
        <v>13814</v>
      </c>
      <c r="O3" s="3" t="b">
        <f>G3</f>
        <v>1</v>
      </c>
      <c r="P3" s="2"/>
      <c r="Q3" s="2"/>
      <c r="R3" s="2" t="s">
        <v>13812</v>
      </c>
    </row>
    <row r="4">
      <c r="A4" s="2" t="s">
        <v>13815</v>
      </c>
      <c r="B4" s="3" t="str">
        <f>D4 &amp; " must not see " &amp; F4</f>
        <v>principal-controller must not see cr-close-timestamp</v>
      </c>
      <c r="C4" s="2" t="s">
        <v>9727</v>
      </c>
      <c r="D4" s="2" t="s">
        <v>9688</v>
      </c>
      <c r="E4" s="2" t="s">
        <v>3848</v>
      </c>
      <c r="F4" s="2" t="s">
        <v>1556</v>
      </c>
      <c r="G4" s="2" t="b">
        <v>0</v>
      </c>
      <c r="H4" s="2" t="b">
        <v>0</v>
      </c>
      <c r="I4" s="4">
        <v>46278.77506944445</v>
      </c>
      <c r="J4" s="3" t="b">
        <f>I4 &lt;&gt; ""</f>
        <v>1</v>
      </c>
      <c r="K4" s="3" t="b">
        <f>H4 = G4</f>
        <v>1</v>
      </c>
      <c r="L4" s="3" t="b">
        <f>AND(NOT(G4), H4)</f>
        <v>0</v>
      </c>
      <c r="M4" s="3" t="b">
        <f>NOT(J4)</f>
        <v>0</v>
      </c>
      <c r="N4" s="2" t="s">
        <v>13816</v>
      </c>
      <c r="O4" s="3" t="b">
        <f>G4</f>
        <v>0</v>
      </c>
      <c r="P4" s="2"/>
      <c r="Q4" s="2"/>
      <c r="R4" s="2" t="s">
        <v>13812</v>
      </c>
    </row>
    <row r="5">
      <c r="A5" s="2" t="s">
        <v>13817</v>
      </c>
      <c r="B5" s="3" t="str">
        <f>D5 &amp; " must not see " &amp; F5</f>
        <v>principal-controller must not see cr-policy-delivery</v>
      </c>
      <c r="C5" s="2" t="s">
        <v>9727</v>
      </c>
      <c r="D5" s="2" t="s">
        <v>9688</v>
      </c>
      <c r="E5" s="2" t="s">
        <v>3848</v>
      </c>
      <c r="F5" s="2" t="s">
        <v>1561</v>
      </c>
      <c r="G5" s="2" t="b">
        <v>1</v>
      </c>
      <c r="H5" s="2" t="b">
        <v>1</v>
      </c>
      <c r="I5" s="4">
        <v>46278.77506944445</v>
      </c>
      <c r="J5" s="3" t="b">
        <f>I5 &lt;&gt; ""</f>
        <v>1</v>
      </c>
      <c r="K5" s="3" t="b">
        <f>H5 = G5</f>
        <v>1</v>
      </c>
      <c r="L5" s="3" t="b">
        <f>AND(NOT(G5), H5)</f>
        <v>0</v>
      </c>
      <c r="M5" s="3" t="b">
        <f>NOT(J5)</f>
        <v>0</v>
      </c>
      <c r="N5" s="2" t="s">
        <v>13818</v>
      </c>
      <c r="O5" s="3" t="b">
        <f>G5</f>
        <v>1</v>
      </c>
      <c r="P5" s="2"/>
      <c r="Q5" s="2"/>
      <c r="R5" s="2" t="s">
        <v>13812</v>
      </c>
    </row>
    <row r="6">
      <c r="A6" s="2" t="s">
        <v>13819</v>
      </c>
      <c r="B6" s="3" t="str">
        <f>D6 &amp; " must not see " &amp; F6</f>
        <v>principal-employment-counsel must not see kf-close-fx-time</v>
      </c>
      <c r="C6" s="2" t="s">
        <v>9751</v>
      </c>
      <c r="D6" s="2" t="s">
        <v>9694</v>
      </c>
      <c r="E6" s="2" t="s">
        <v>1831</v>
      </c>
      <c r="F6" s="2" t="s">
        <v>1152</v>
      </c>
      <c r="G6" s="2" t="b">
        <v>0</v>
      </c>
      <c r="H6" s="2" t="b">
        <v>0</v>
      </c>
      <c r="I6" s="4">
        <v>46278.77506944445</v>
      </c>
      <c r="J6" s="3" t="b">
        <f>I6 &lt;&gt; ""</f>
        <v>1</v>
      </c>
      <c r="K6" s="3" t="b">
        <f>H6 = G6</f>
        <v>1</v>
      </c>
      <c r="L6" s="3" t="b">
        <f>AND(NOT(G6), H6)</f>
        <v>0</v>
      </c>
      <c r="M6" s="3" t="b">
        <f>NOT(J6)</f>
        <v>0</v>
      </c>
      <c r="N6" s="2" t="s">
        <v>13820</v>
      </c>
      <c r="O6" s="3" t="b">
        <f>G6</f>
        <v>0</v>
      </c>
      <c r="P6" s="2"/>
      <c r="Q6" s="2"/>
      <c r="R6" s="2" t="s">
        <v>13812</v>
      </c>
    </row>
    <row r="7">
      <c r="A7" s="2" t="s">
        <v>13821</v>
      </c>
      <c r="B7" s="3" t="str">
        <f>D7 &amp; " must not see " &amp; F7</f>
        <v>principal-employment-counsel must not see kf-policy-ai-boundary</v>
      </c>
      <c r="C7" s="2" t="s">
        <v>9751</v>
      </c>
      <c r="D7" s="2" t="s">
        <v>9694</v>
      </c>
      <c r="E7" s="2" t="s">
        <v>1831</v>
      </c>
      <c r="F7" s="2" t="s">
        <v>1167</v>
      </c>
      <c r="G7" s="2" t="b">
        <v>1</v>
      </c>
      <c r="H7" s="2" t="b">
        <v>1</v>
      </c>
      <c r="I7" s="4">
        <v>46278.77506944445</v>
      </c>
      <c r="J7" s="3" t="b">
        <f>I7 &lt;&gt; ""</f>
        <v>1</v>
      </c>
      <c r="K7" s="3" t="b">
        <f>H7 = G7</f>
        <v>1</v>
      </c>
      <c r="L7" s="3" t="b">
        <f>AND(NOT(G7), H7)</f>
        <v>0</v>
      </c>
      <c r="M7" s="3" t="b">
        <f>NOT(J7)</f>
        <v>0</v>
      </c>
      <c r="N7" s="2" t="s">
        <v>13822</v>
      </c>
      <c r="O7" s="3" t="b">
        <f>G7</f>
        <v>1</v>
      </c>
      <c r="P7" s="2"/>
      <c r="Q7" s="2"/>
      <c r="R7" s="2" t="s">
        <v>13812</v>
      </c>
    </row>
    <row r="8">
      <c r="A8" s="2" t="s">
        <v>13823</v>
      </c>
      <c r="B8" s="3" t="str">
        <f>D8 &amp; " must not see " &amp; F8</f>
        <v>principal-hr-policy-owner must not see gap-close-cadence-unmeasured</v>
      </c>
      <c r="C8" s="2" t="s">
        <v>9744</v>
      </c>
      <c r="D8" s="2" t="s">
        <v>9692</v>
      </c>
      <c r="E8" s="2" t="s">
        <v>3302</v>
      </c>
      <c r="F8" s="2" t="s">
        <v>1204</v>
      </c>
      <c r="G8" s="2" t="b">
        <v>0</v>
      </c>
      <c r="H8" s="2" t="b">
        <v>0</v>
      </c>
      <c r="I8" s="4">
        <v>46278.77506944445</v>
      </c>
      <c r="J8" s="3" t="b">
        <f>I8 &lt;&gt; ""</f>
        <v>1</v>
      </c>
      <c r="K8" s="3" t="b">
        <f>H8 = G8</f>
        <v>1</v>
      </c>
      <c r="L8" s="3" t="b">
        <f>AND(NOT(G8), H8)</f>
        <v>0</v>
      </c>
      <c r="M8" s="3" t="b">
        <f>NOT(J8)</f>
        <v>0</v>
      </c>
      <c r="N8" s="2" t="s">
        <v>13824</v>
      </c>
      <c r="O8" s="3" t="b">
        <f>G8</f>
        <v>0</v>
      </c>
      <c r="P8" s="2"/>
      <c r="Q8" s="2"/>
      <c r="R8" s="2" t="s">
        <v>13812</v>
      </c>
    </row>
    <row r="9">
      <c r="A9" s="2" t="s">
        <v>13825</v>
      </c>
      <c r="B9" s="3" t="str">
        <f>D9 &amp; " must not see " &amp; F9</f>
        <v>principal-hr-policy-owner must not see gap-policy-delivery-receipts</v>
      </c>
      <c r="C9" s="2" t="s">
        <v>9744</v>
      </c>
      <c r="D9" s="2" t="s">
        <v>9692</v>
      </c>
      <c r="E9" s="2" t="s">
        <v>3302</v>
      </c>
      <c r="F9" s="2" t="s">
        <v>1196</v>
      </c>
      <c r="G9" s="2" t="b">
        <v>1</v>
      </c>
      <c r="H9" s="2" t="b">
        <v>1</v>
      </c>
      <c r="I9" s="4">
        <v>46278.77506944445</v>
      </c>
      <c r="J9" s="3" t="b">
        <f>I9 &lt;&gt; ""</f>
        <v>1</v>
      </c>
      <c r="K9" s="3" t="b">
        <f>H9 = G9</f>
        <v>1</v>
      </c>
      <c r="L9" s="3" t="b">
        <f>AND(NOT(G9), H9)</f>
        <v>0</v>
      </c>
      <c r="M9" s="3" t="b">
        <f>NOT(J9)</f>
        <v>0</v>
      </c>
      <c r="N9" s="2" t="s">
        <v>13826</v>
      </c>
      <c r="O9" s="3" t="b">
        <f>G9</f>
        <v>1</v>
      </c>
      <c r="P9" s="2"/>
      <c r="Q9" s="2"/>
      <c r="R9" s="2" t="s">
        <v>13812</v>
      </c>
    </row>
    <row r="10">
      <c r="A10" s="2" t="s">
        <v>13827</v>
      </c>
      <c r="B10" s="3" t="str">
        <f>D10 &amp; " must not see " &amp; F10</f>
        <v>principal-controller must not see kf-close-fx-time</v>
      </c>
      <c r="C10" s="2" t="s">
        <v>9730</v>
      </c>
      <c r="D10" s="2" t="s">
        <v>9688</v>
      </c>
      <c r="E10" s="2" t="s">
        <v>1831</v>
      </c>
      <c r="F10" s="2" t="s">
        <v>1152</v>
      </c>
      <c r="G10" s="2" t="b">
        <v>0</v>
      </c>
      <c r="H10" s="2" t="b">
        <v>0</v>
      </c>
      <c r="I10" s="4">
        <v>46278.77506944445</v>
      </c>
      <c r="J10" s="3" t="b">
        <f>I10 &lt;&gt; ""</f>
        <v>1</v>
      </c>
      <c r="K10" s="3" t="b">
        <f>H10 = G10</f>
        <v>1</v>
      </c>
      <c r="L10" s="3" t="b">
        <f>AND(NOT(G10), H10)</f>
        <v>0</v>
      </c>
      <c r="M10" s="3" t="b">
        <f>NOT(J10)</f>
        <v>0</v>
      </c>
      <c r="N10" s="2" t="s">
        <v>13828</v>
      </c>
      <c r="O10" s="3" t="b">
        <f>G10</f>
        <v>0</v>
      </c>
      <c r="P10" s="2"/>
      <c r="Q10" s="2" t="s">
        <v>13829</v>
      </c>
      <c r="R10" s="2" t="s">
        <v>13812</v>
      </c>
    </row>
    <row r="11">
      <c r="A11" s="2" t="s">
        <v>13830</v>
      </c>
      <c r="B11" s="3" t="str">
        <f>D11 &amp; " must not see " &amp; F11</f>
        <v>principal-cfo must not see </v>
      </c>
      <c r="C11" s="2"/>
      <c r="D11" s="2" t="s">
        <v>9690</v>
      </c>
      <c r="E11" s="2" t="s">
        <v>4662</v>
      </c>
      <c r="F11" s="2"/>
      <c r="G11" s="2" t="b">
        <v>0</v>
      </c>
      <c r="H11" s="2" t="b">
        <v>0</v>
      </c>
      <c r="I11" s="4">
        <v>46278.77506944445</v>
      </c>
      <c r="J11" s="3" t="b">
        <f>I11 &lt;&gt; ""</f>
        <v>1</v>
      </c>
      <c r="K11" s="3" t="b">
        <f>H11 = G11</f>
        <v>1</v>
      </c>
      <c r="L11" s="3" t="b">
        <f>AND(NOT(G11), H11)</f>
        <v>0</v>
      </c>
      <c r="M11" s="3" t="b">
        <f>NOT(J11)</f>
        <v>0</v>
      </c>
      <c r="N11" s="2" t="s">
        <v>13831</v>
      </c>
      <c r="O11" s="3" t="b">
        <f>G11</f>
        <v>0</v>
      </c>
      <c r="P11" s="2" t="s">
        <v>4662</v>
      </c>
      <c r="Q11" s="2"/>
      <c r="R11" s="2" t="s">
        <v>13812</v>
      </c>
    </row>
    <row r="12">
      <c r="A12" s="2" t="s">
        <v>13832</v>
      </c>
      <c r="B12" s="3" t="str">
        <f>D12 &amp; " must not see " &amp; F12</f>
        <v>principal-cfo must not see </v>
      </c>
      <c r="C12" s="2"/>
      <c r="D12" s="2" t="s">
        <v>9690</v>
      </c>
      <c r="E12" s="2" t="s">
        <v>1807</v>
      </c>
      <c r="F12" s="2"/>
      <c r="G12" s="2" t="b">
        <v>0</v>
      </c>
      <c r="H12" s="2" t="b">
        <v>0</v>
      </c>
      <c r="I12" s="4">
        <v>46278.77506944445</v>
      </c>
      <c r="J12" s="3" t="b">
        <f>I12 &lt;&gt; ""</f>
        <v>1</v>
      </c>
      <c r="K12" s="3" t="b">
        <f>H12 = G12</f>
        <v>1</v>
      </c>
      <c r="L12" s="3" t="b">
        <f>AND(NOT(G12), H12)</f>
        <v>0</v>
      </c>
      <c r="M12" s="3" t="b">
        <f>NOT(J12)</f>
        <v>0</v>
      </c>
      <c r="N12" s="2" t="s">
        <v>13833</v>
      </c>
      <c r="O12" s="3" t="b">
        <f>G12</f>
        <v>0</v>
      </c>
      <c r="P12" s="2" t="s">
        <v>1807</v>
      </c>
      <c r="Q12" s="2"/>
      <c r="R12" s="2" t="s">
        <v>13812</v>
      </c>
    </row>
    <row r="13">
      <c r="A13" s="2" t="s">
        <v>13834</v>
      </c>
      <c r="B13" s="3" t="str">
        <f>D13 &amp; " must not see " &amp; F13</f>
        <v>principal-close-automation must not see </v>
      </c>
      <c r="C13" s="2"/>
      <c r="D13" s="2" t="s">
        <v>9698</v>
      </c>
      <c r="E13" s="2" t="s">
        <v>4346</v>
      </c>
      <c r="F13" s="2"/>
      <c r="G13" s="2" t="b">
        <v>0</v>
      </c>
      <c r="H13" s="2" t="b">
        <v>0</v>
      </c>
      <c r="I13" s="4">
        <v>46278.77506944445</v>
      </c>
      <c r="J13" s="3" t="b">
        <f>I13 &lt;&gt; ""</f>
        <v>1</v>
      </c>
      <c r="K13" s="3" t="b">
        <f>H13 = G13</f>
        <v>1</v>
      </c>
      <c r="L13" s="3" t="b">
        <f>AND(NOT(G13), H13)</f>
        <v>0</v>
      </c>
      <c r="M13" s="3" t="b">
        <f>NOT(J13)</f>
        <v>0</v>
      </c>
      <c r="N13" s="2" t="s">
        <v>13835</v>
      </c>
      <c r="O13" s="3" t="b">
        <f>G13</f>
        <v>0</v>
      </c>
      <c r="P13" s="2" t="s">
        <v>4346</v>
      </c>
      <c r="Q13" s="2"/>
      <c r="R13" s="2" t="s">
        <v>13812</v>
      </c>
    </row>
    <row r="14">
      <c r="A14" s="2" t="s">
        <v>13836</v>
      </c>
      <c r="B14" s="3" t="str">
        <f>D14 &amp; " must not see " &amp; F14</f>
        <v>principal-close-automation must not see </v>
      </c>
      <c r="C14" s="2"/>
      <c r="D14" s="2" t="s">
        <v>9698</v>
      </c>
      <c r="E14" s="2" t="s">
        <v>3848</v>
      </c>
      <c r="F14" s="2"/>
      <c r="G14" s="2" t="b">
        <v>0</v>
      </c>
      <c r="H14" s="2" t="b">
        <v>0</v>
      </c>
      <c r="I14" s="4">
        <v>46278.77506944445</v>
      </c>
      <c r="J14" s="3" t="b">
        <f>I14 &lt;&gt; ""</f>
        <v>1</v>
      </c>
      <c r="K14" s="3" t="b">
        <f>H14 = G14</f>
        <v>1</v>
      </c>
      <c r="L14" s="3" t="b">
        <f>AND(NOT(G14), H14)</f>
        <v>0</v>
      </c>
      <c r="M14" s="3" t="b">
        <f>NOT(J14)</f>
        <v>0</v>
      </c>
      <c r="N14" s="2" t="s">
        <v>13837</v>
      </c>
      <c r="O14" s="3" t="b">
        <f>G14</f>
        <v>0</v>
      </c>
      <c r="P14" s="2" t="s">
        <v>3848</v>
      </c>
      <c r="Q14" s="2"/>
      <c r="R14" s="2" t="s">
        <v>13812</v>
      </c>
    </row>
    <row r="15">
      <c r="A15" s="2" t="s">
        <v>13838</v>
      </c>
      <c r="B15" s="3" t="str">
        <f>D15 &amp; " must not see " &amp; F15</f>
        <v>principal-policy-drafting-agent must not see </v>
      </c>
      <c r="C15" s="2"/>
      <c r="D15" s="2" t="s">
        <v>9702</v>
      </c>
      <c r="E15" s="2" t="s">
        <v>4346</v>
      </c>
      <c r="F15" s="2"/>
      <c r="G15" s="2" t="b">
        <v>0</v>
      </c>
      <c r="H15" s="2" t="b">
        <v>0</v>
      </c>
      <c r="I15" s="4">
        <v>46278.77506944445</v>
      </c>
      <c r="J15" s="3" t="b">
        <f>I15 &lt;&gt; ""</f>
        <v>1</v>
      </c>
      <c r="K15" s="3" t="b">
        <f>H15 = G15</f>
        <v>1</v>
      </c>
      <c r="L15" s="3" t="b">
        <f>AND(NOT(G15), H15)</f>
        <v>0</v>
      </c>
      <c r="M15" s="3" t="b">
        <f>NOT(J15)</f>
        <v>0</v>
      </c>
      <c r="N15" s="2" t="s">
        <v>13839</v>
      </c>
      <c r="O15" s="3" t="b">
        <f>G15</f>
        <v>0</v>
      </c>
      <c r="P15" s="2" t="s">
        <v>4346</v>
      </c>
      <c r="Q15" s="2"/>
      <c r="R15" s="2" t="s">
        <v>13812</v>
      </c>
    </row>
    <row r="16">
      <c r="A16" s="2" t="s">
        <v>13840</v>
      </c>
      <c r="B16" s="3" t="str">
        <f>D16 &amp; " must not see " &amp; F16</f>
        <v>principal-notification-publisher must not see </v>
      </c>
      <c r="C16" s="2"/>
      <c r="D16" s="2" t="s">
        <v>9704</v>
      </c>
      <c r="E16" s="2" t="s">
        <v>1831</v>
      </c>
      <c r="F16" s="2"/>
      <c r="G16" s="2" t="b">
        <v>0</v>
      </c>
      <c r="H16" s="2" t="b">
        <v>0</v>
      </c>
      <c r="I16" s="4">
        <v>46278.77506944445</v>
      </c>
      <c r="J16" s="3" t="b">
        <f>I16 &lt;&gt; ""</f>
        <v>1</v>
      </c>
      <c r="K16" s="3" t="b">
        <f>H16 = G16</f>
        <v>1</v>
      </c>
      <c r="L16" s="3" t="b">
        <f>AND(NOT(G16), H16)</f>
        <v>0</v>
      </c>
      <c r="M16" s="3" t="b">
        <f>NOT(J16)</f>
        <v>0</v>
      </c>
      <c r="N16" s="2" t="s">
        <v>13841</v>
      </c>
      <c r="O16" s="3" t="b">
        <f>G16</f>
        <v>0</v>
      </c>
      <c r="P16" s="2" t="s">
        <v>1831</v>
      </c>
      <c r="Q16" s="2"/>
      <c r="R16" s="2" t="s">
        <v>13812</v>
      </c>
    </row>
    <row r="17">
      <c r="A17" s="2" t="s">
        <v>13842</v>
      </c>
      <c r="B17" s="3" t="str">
        <f>D17 &amp; " must not see " &amp; F17</f>
        <v>principal-employment-counsel must not see </v>
      </c>
      <c r="C17" s="2"/>
      <c r="D17" s="2" t="s">
        <v>9694</v>
      </c>
      <c r="E17" s="2" t="s">
        <v>1807</v>
      </c>
      <c r="F17" s="2"/>
      <c r="G17" s="2" t="b">
        <v>0</v>
      </c>
      <c r="H17" s="2" t="b">
        <v>0</v>
      </c>
      <c r="I17" s="4">
        <v>46278.77506944445</v>
      </c>
      <c r="J17" s="3" t="b">
        <f>I17 &lt;&gt; ""</f>
        <v>1</v>
      </c>
      <c r="K17" s="3" t="b">
        <f>H17 = G17</f>
        <v>1</v>
      </c>
      <c r="L17" s="3" t="b">
        <f>AND(NOT(G17), H17)</f>
        <v>0</v>
      </c>
      <c r="M17" s="3" t="b">
        <f>NOT(J17)</f>
        <v>0</v>
      </c>
      <c r="N17" s="2" t="s">
        <v>13843</v>
      </c>
      <c r="O17" s="3" t="b">
        <f>G17</f>
        <v>0</v>
      </c>
      <c r="P17" s="2" t="s">
        <v>1807</v>
      </c>
      <c r="Q17" s="2"/>
      <c r="R17" s="2" t="s">
        <v>13812</v>
      </c>
    </row>
    <row r="18">
      <c r="A18" s="2" t="s">
        <v>13844</v>
      </c>
      <c r="B18" s="3" t="str">
        <f>D18 &amp; " must not see " &amp; F18</f>
        <v>principal-variance-review-agent must not see </v>
      </c>
      <c r="C18" s="2"/>
      <c r="D18" s="2" t="s">
        <v>9700</v>
      </c>
      <c r="E18" s="2" t="s">
        <v>4346</v>
      </c>
      <c r="F18" s="2"/>
      <c r="G18" s="2" t="b">
        <v>0</v>
      </c>
      <c r="H18" s="2" t="b">
        <v>0</v>
      </c>
      <c r="I18" s="4">
        <v>46278.77506944445</v>
      </c>
      <c r="J18" s="3" t="b">
        <f>I18 &lt;&gt; ""</f>
        <v>1</v>
      </c>
      <c r="K18" s="3" t="b">
        <f>H18 = G18</f>
        <v>1</v>
      </c>
      <c r="L18" s="3" t="b">
        <f>AND(NOT(G18), H18)</f>
        <v>0</v>
      </c>
      <c r="M18" s="3" t="b">
        <f>NOT(J18)</f>
        <v>0</v>
      </c>
      <c r="N18" s="2" t="s">
        <v>13845</v>
      </c>
      <c r="O18" s="3" t="b">
        <f>G18</f>
        <v>0</v>
      </c>
      <c r="P18" s="2" t="s">
        <v>4346</v>
      </c>
      <c r="Q18" s="2"/>
      <c r="R18" s="2" t="s">
        <v>13812</v>
      </c>
    </row>
  </sheetData>
  <autoFilter ref="A1:R1"/>
  <headerFooter/>
  <legacyDrawing r:id="rId1"/>
</worksheet>
</file>

<file path=xl/worksheets/sheet8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1"/>
  <sheetViews>
    <sheetView workbookViewId="0">
      <pane ySplit="1" topLeftCell="A2" state="frozen" activePane="bottomLeft"/>
      <selection pane="bottomLeft" activeCell="A1" sqref="A1"/>
    </sheetView>
  </sheetViews>
  <sheetFormatPr defaultRowHeight="15"/>
  <cols>
    <col min="1" max="1" width="24.471935272216797" customWidth="1"/>
    <col min="2" max="2" width="20.0174560546875" customWidth="1"/>
    <col min="3" max="3" width="37.311737060546875" customWidth="1"/>
    <col min="4" max="4" width="20.0174560546875" customWidth="1"/>
    <col min="5" max="5" width="19.900266647338867" customWidth="1"/>
    <col min="6" max="6" width="17.443378448486328" customWidth="1"/>
    <col min="7" max="7" width="18.9503231048584" customWidth="1"/>
    <col min="8" max="8" width="17.443378448486328" customWidth="1"/>
    <col min="9" max="9" width="17.926828384399414" customWidth="1"/>
    <col min="10" max="10" width="17.443378448486328" customWidth="1"/>
    <col min="11" max="11" width="22.81084632873535" customWidth="1"/>
    <col min="12" max="12" width="20.190265655517578" customWidth="1"/>
    <col min="13" max="13" width="36.32843780517578" customWidth="1"/>
  </cols>
  <sheetData>
    <row r="1">
      <c r="A1" s="1" t="s">
        <v>5519</v>
      </c>
      <c r="B1" s="1" t="s">
        <v>1</v>
      </c>
      <c r="C1" s="1" t="s">
        <v>4352</v>
      </c>
      <c r="D1" s="1" t="s">
        <v>100</v>
      </c>
      <c r="E1" s="1" t="s">
        <v>5524</v>
      </c>
      <c r="F1" s="1" t="s">
        <v>5526</v>
      </c>
      <c r="G1" s="1" t="s">
        <v>120</v>
      </c>
      <c r="H1" s="1" t="s">
        <v>121</v>
      </c>
      <c r="I1" s="1" t="s">
        <v>5532</v>
      </c>
      <c r="J1" s="1" t="s">
        <v>5535</v>
      </c>
      <c r="K1" s="1" t="s">
        <v>5538</v>
      </c>
      <c r="L1" s="1" t="s">
        <v>5541</v>
      </c>
      <c r="M1" s="1" t="s">
        <v>94</v>
      </c>
    </row>
    <row r="2">
      <c r="A2" s="2" t="s">
        <v>13846</v>
      </c>
      <c r="B2" s="3" t="str">
        <f>D2</f>
        <v>Amina Yusuf</v>
      </c>
      <c r="C2" s="2" t="s">
        <v>163</v>
      </c>
      <c r="D2" s="2" t="s">
        <v>162</v>
      </c>
      <c r="E2" s="2" t="s">
        <v>161</v>
      </c>
      <c r="F2" s="2" t="b">
        <v>1</v>
      </c>
      <c r="G2" s="3" t="str">
        <f>_xlfn.IFNA(INDEX(Agents!D2:D999, MATCH(E2,Agents!A2:A999, 0)), "")</f>
        <v>Human</v>
      </c>
      <c r="H2" s="3" t="str">
        <f>_xlfn.IFNA(INDEX(Agents!E2:E999, MATCH(E2,Agents!A2:A999, 0)), "")</f>
        <v>acme-people</v>
      </c>
      <c r="I2" s="3">
        <f>COUNTIFS(PrincipalAssignments!C2:C999, A2)</f>
        <v>1</v>
      </c>
      <c r="J2" s="3" t="b">
        <f>I2 = 0</f>
        <v>0</v>
      </c>
      <c r="K2" s="3" t="b">
        <f>I2 &gt; 1</f>
        <v>0</v>
      </c>
      <c r="L2" s="3" t="b">
        <f>OR(G2 = "AIAgent", G2 = "AutomatedPipeline")</f>
        <v>0</v>
      </c>
      <c r="M2" s="2" t="s">
        <v>13847</v>
      </c>
    </row>
    <row r="3">
      <c r="A3" s="2" t="s">
        <v>13848</v>
      </c>
      <c r="B3" s="3" t="str">
        <f>D3</f>
        <v>Close Pipeline</v>
      </c>
      <c r="C3" s="2" t="s">
        <v>13849</v>
      </c>
      <c r="D3" s="2" t="s">
        <v>13850</v>
      </c>
      <c r="E3" s="2" t="s">
        <v>165</v>
      </c>
      <c r="F3" s="2" t="b">
        <v>1</v>
      </c>
      <c r="G3" s="3" t="str">
        <f>_xlfn.IFNA(INDEX(Agents!D2:D999, MATCH(E3,Agents!A2:A999, 0)), "")</f>
        <v>AutomatedPipeline</v>
      </c>
      <c r="H3" s="3" t="str">
        <f>_xlfn.IFNA(INDEX(Agents!E2:E999, MATCH(E3,Agents!A2:A999, 0)), "")</f>
        <v>acme-finance</v>
      </c>
      <c r="I3" s="3">
        <f>COUNTIFS(PrincipalAssignments!C2:C999, A3)</f>
        <v>1</v>
      </c>
      <c r="J3" s="3" t="b">
        <f>I3 = 0</f>
        <v>0</v>
      </c>
      <c r="K3" s="3" t="b">
        <f>I3 &gt; 1</f>
        <v>0</v>
      </c>
      <c r="L3" s="3" t="b">
        <f>OR(G3 = "AIAgent", G3 = "AutomatedPipeline")</f>
        <v>1</v>
      </c>
      <c r="M3" s="2" t="s">
        <v>13847</v>
      </c>
    </row>
    <row r="4">
      <c r="A4" s="2" t="s">
        <v>13851</v>
      </c>
      <c r="B4" s="3" t="str">
        <f>D4</f>
        <v>Devon Okafor</v>
      </c>
      <c r="C4" s="2" t="s">
        <v>147</v>
      </c>
      <c r="D4" s="2" t="s">
        <v>146</v>
      </c>
      <c r="E4" s="2" t="s">
        <v>145</v>
      </c>
      <c r="F4" s="2" t="b">
        <v>1</v>
      </c>
      <c r="G4" s="3" t="str">
        <f>_xlfn.IFNA(INDEX(Agents!D2:D999, MATCH(E4,Agents!A2:A999, 0)), "")</f>
        <v>Human</v>
      </c>
      <c r="H4" s="3" t="str">
        <f>_xlfn.IFNA(INDEX(Agents!E2:E999, MATCH(E4,Agents!A2:A999, 0)), "")</f>
        <v>acme-finance</v>
      </c>
      <c r="I4" s="3">
        <f>COUNTIFS(PrincipalAssignments!C2:C999, A4)</f>
        <v>1</v>
      </c>
      <c r="J4" s="3" t="b">
        <f>I4 = 0</f>
        <v>0</v>
      </c>
      <c r="K4" s="3" t="b">
        <f>I4 &gt; 1</f>
        <v>0</v>
      </c>
      <c r="L4" s="3" t="b">
        <f>OR(G4 = "AIAgent", G4 = "AutomatedPipeline")</f>
        <v>0</v>
      </c>
      <c r="M4" s="2" t="s">
        <v>13847</v>
      </c>
    </row>
    <row r="5">
      <c r="A5" s="2" t="s">
        <v>13852</v>
      </c>
      <c r="B5" s="3" t="str">
        <f>D5</f>
        <v>Elena Garcia</v>
      </c>
      <c r="C5" s="2" t="s">
        <v>155</v>
      </c>
      <c r="D5" s="2" t="s">
        <v>154</v>
      </c>
      <c r="E5" s="2" t="s">
        <v>153</v>
      </c>
      <c r="F5" s="2" t="b">
        <v>1</v>
      </c>
      <c r="G5" s="3" t="str">
        <f>_xlfn.IFNA(INDEX(Agents!D2:D999, MATCH(E5,Agents!A2:A999, 0)), "")</f>
        <v>Human</v>
      </c>
      <c r="H5" s="3" t="str">
        <f>_xlfn.IFNA(INDEX(Agents!E2:E999, MATCH(E5,Agents!A2:A999, 0)), "")</f>
        <v>acme-people</v>
      </c>
      <c r="I5" s="3">
        <f>COUNTIFS(PrincipalAssignments!C2:C999, A5)</f>
        <v>2</v>
      </c>
      <c r="J5" s="3" t="b">
        <f>I5 = 0</f>
        <v>0</v>
      </c>
      <c r="K5" s="3" t="b">
        <f>I5 &gt; 1</f>
        <v>1</v>
      </c>
      <c r="L5" s="3" t="b">
        <f>OR(G5 = "AIAgent", G5 = "AutomatedPipeline")</f>
        <v>0</v>
      </c>
      <c r="M5" s="2" t="s">
        <v>13847</v>
      </c>
    </row>
    <row r="6">
      <c r="A6" s="2" t="s">
        <v>13853</v>
      </c>
      <c r="B6" s="3" t="str">
        <f>D6</f>
        <v>Maria Chen</v>
      </c>
      <c r="C6" s="2" t="s">
        <v>142</v>
      </c>
      <c r="D6" s="2" t="s">
        <v>140</v>
      </c>
      <c r="E6" s="2" t="s">
        <v>139</v>
      </c>
      <c r="F6" s="2" t="b">
        <v>1</v>
      </c>
      <c r="G6" s="3" t="str">
        <f>_xlfn.IFNA(INDEX(Agents!D2:D999, MATCH(E6,Agents!A2:A999, 0)), "")</f>
        <v>Human</v>
      </c>
      <c r="H6" s="3" t="str">
        <f>_xlfn.IFNA(INDEX(Agents!E2:E999, MATCH(E6,Agents!A2:A999, 0)), "")</f>
        <v>acme-finance</v>
      </c>
      <c r="I6" s="3">
        <f>COUNTIFS(PrincipalAssignments!C2:C999, A6)</f>
        <v>1</v>
      </c>
      <c r="J6" s="3" t="b">
        <f>I6 = 0</f>
        <v>0</v>
      </c>
      <c r="K6" s="3" t="b">
        <f>I6 &gt; 1</f>
        <v>0</v>
      </c>
      <c r="L6" s="3" t="b">
        <f>OR(G6 = "AIAgent", G6 = "AutomatedPipeline")</f>
        <v>0</v>
      </c>
      <c r="M6" s="2" t="s">
        <v>13847</v>
      </c>
    </row>
    <row r="7">
      <c r="A7" s="2" t="s">
        <v>13854</v>
      </c>
      <c r="B7" s="3" t="str">
        <f>D7</f>
        <v>Noah Williams</v>
      </c>
      <c r="C7" s="2" t="s">
        <v>159</v>
      </c>
      <c r="D7" s="2" t="s">
        <v>158</v>
      </c>
      <c r="E7" s="2" t="s">
        <v>157</v>
      </c>
      <c r="F7" s="2" t="b">
        <v>1</v>
      </c>
      <c r="G7" s="3" t="str">
        <f>_xlfn.IFNA(INDEX(Agents!D2:D999, MATCH(E7,Agents!A2:A999, 0)), "")</f>
        <v>Human</v>
      </c>
      <c r="H7" s="3" t="str">
        <f>_xlfn.IFNA(INDEX(Agents!E2:E999, MATCH(E7,Agents!A2:A999, 0)), "")</f>
        <v>acme-legal</v>
      </c>
      <c r="I7" s="3">
        <f>COUNTIFS(PrincipalAssignments!C2:C999, A7)</f>
        <v>1</v>
      </c>
      <c r="J7" s="3" t="b">
        <f>I7 = 0</f>
        <v>0</v>
      </c>
      <c r="K7" s="3" t="b">
        <f>I7 &gt; 1</f>
        <v>0</v>
      </c>
      <c r="L7" s="3" t="b">
        <f>OR(G7 = "AIAgent", G7 = "AutomatedPipeline")</f>
        <v>0</v>
      </c>
      <c r="M7" s="2" t="s">
        <v>13847</v>
      </c>
    </row>
    <row r="8">
      <c r="A8" s="2" t="s">
        <v>13855</v>
      </c>
      <c r="B8" s="3" t="str">
        <f>D8</f>
        <v>Notification Pipeline</v>
      </c>
      <c r="C8" s="2" t="s">
        <v>13856</v>
      </c>
      <c r="D8" s="2" t="s">
        <v>13857</v>
      </c>
      <c r="E8" s="2" t="s">
        <v>178</v>
      </c>
      <c r="F8" s="2" t="b">
        <v>1</v>
      </c>
      <c r="G8" s="3" t="str">
        <f>_xlfn.IFNA(INDEX(Agents!D2:D999, MATCH(E8,Agents!A2:A999, 0)), "")</f>
        <v>AutomatedPipeline</v>
      </c>
      <c r="H8" s="3" t="str">
        <f>_xlfn.IFNA(INDEX(Agents!E2:E999, MATCH(E8,Agents!A2:A999, 0)), "")</f>
        <v>acme-people</v>
      </c>
      <c r="I8" s="3">
        <f>COUNTIFS(PrincipalAssignments!C2:C999, A8)</f>
        <v>1</v>
      </c>
      <c r="J8" s="3" t="b">
        <f>I8 = 0</f>
        <v>0</v>
      </c>
      <c r="K8" s="3" t="b">
        <f>I8 &gt; 1</f>
        <v>0</v>
      </c>
      <c r="L8" s="3" t="b">
        <f>OR(G8 = "AIAgent", G8 = "AutomatedPipeline")</f>
        <v>1</v>
      </c>
      <c r="M8" s="2" t="s">
        <v>13847</v>
      </c>
    </row>
    <row r="9">
      <c r="A9" s="2" t="s">
        <v>13858</v>
      </c>
      <c r="B9" s="3" t="str">
        <f>D9</f>
        <v>Policy Drafting Ai</v>
      </c>
      <c r="C9" s="2" t="s">
        <v>13859</v>
      </c>
      <c r="D9" s="2" t="s">
        <v>13860</v>
      </c>
      <c r="E9" s="2" t="s">
        <v>175</v>
      </c>
      <c r="F9" s="2" t="b">
        <v>1</v>
      </c>
      <c r="G9" s="3" t="str">
        <f>_xlfn.IFNA(INDEX(Agents!D2:D999, MATCH(E9,Agents!A2:A999, 0)), "")</f>
        <v>AIAgent</v>
      </c>
      <c r="H9" s="3" t="str">
        <f>_xlfn.IFNA(INDEX(Agents!E2:E999, MATCH(E9,Agents!A2:A999, 0)), "")</f>
        <v>acme-people</v>
      </c>
      <c r="I9" s="3">
        <f>COUNTIFS(PrincipalAssignments!C2:C999, A9)</f>
        <v>1</v>
      </c>
      <c r="J9" s="3" t="b">
        <f>I9 = 0</f>
        <v>0</v>
      </c>
      <c r="K9" s="3" t="b">
        <f>I9 &gt; 1</f>
        <v>0</v>
      </c>
      <c r="L9" s="3" t="b">
        <f>OR(G9 = "AIAgent", G9 = "AutomatedPipeline")</f>
        <v>1</v>
      </c>
      <c r="M9" s="2" t="s">
        <v>13847</v>
      </c>
    </row>
    <row r="10">
      <c r="A10" s="2" t="s">
        <v>13861</v>
      </c>
      <c r="B10" s="3" t="str">
        <f>D10</f>
        <v>Priya Raman</v>
      </c>
      <c r="C10" s="2" t="s">
        <v>151</v>
      </c>
      <c r="D10" s="2" t="s">
        <v>150</v>
      </c>
      <c r="E10" s="2" t="s">
        <v>149</v>
      </c>
      <c r="F10" s="2" t="b">
        <v>1</v>
      </c>
      <c r="G10" s="3" t="str">
        <f>_xlfn.IFNA(INDEX(Agents!D2:D999, MATCH(E10,Agents!A2:A999, 0)), "")</f>
        <v>Human</v>
      </c>
      <c r="H10" s="3" t="str">
        <f>_xlfn.IFNA(INDEX(Agents!E2:E999, MATCH(E10,Agents!A2:A999, 0)), "")</f>
        <v>acme-finance</v>
      </c>
      <c r="I10" s="3">
        <f>COUNTIFS(PrincipalAssignments!C2:C999, A10)</f>
        <v>2</v>
      </c>
      <c r="J10" s="3" t="b">
        <f>I10 = 0</f>
        <v>0</v>
      </c>
      <c r="K10" s="3" t="b">
        <f>I10 &gt; 1</f>
        <v>1</v>
      </c>
      <c r="L10" s="3" t="b">
        <f>OR(G10 = "AIAgent", G10 = "AutomatedPipeline")</f>
        <v>0</v>
      </c>
      <c r="M10" s="2" t="s">
        <v>13847</v>
      </c>
    </row>
    <row r="11">
      <c r="A11" s="2" t="s">
        <v>13862</v>
      </c>
      <c r="B11" s="3" t="str">
        <f>D11</f>
        <v>Variance Ai</v>
      </c>
      <c r="C11" s="2" t="s">
        <v>13863</v>
      </c>
      <c r="D11" s="2" t="s">
        <v>13864</v>
      </c>
      <c r="E11" s="2" t="s">
        <v>171</v>
      </c>
      <c r="F11" s="2" t="b">
        <v>1</v>
      </c>
      <c r="G11" s="3" t="str">
        <f>_xlfn.IFNA(INDEX(Agents!D2:D999, MATCH(E11,Agents!A2:A999, 0)), "")</f>
        <v>AIAgent</v>
      </c>
      <c r="H11" s="3" t="str">
        <f>_xlfn.IFNA(INDEX(Agents!E2:E999, MATCH(E11,Agents!A2:A999, 0)), "")</f>
        <v>acme-finance</v>
      </c>
      <c r="I11" s="3">
        <f>COUNTIFS(PrincipalAssignments!C2:C999, A11)</f>
        <v>1</v>
      </c>
      <c r="J11" s="3" t="b">
        <f>I11 = 0</f>
        <v>0</v>
      </c>
      <c r="K11" s="3" t="b">
        <f>I11 &gt; 1</f>
        <v>0</v>
      </c>
      <c r="L11" s="3" t="b">
        <f>OR(G11 = "AIAgent", G11 = "AutomatedPipeline")</f>
        <v>1</v>
      </c>
      <c r="M11" s="2" t="s">
        <v>13847</v>
      </c>
    </row>
  </sheetData>
  <autoFilter ref="A1:M1"/>
  <headerFooter/>
  <legacyDrawing r:id="rId1"/>
</worksheet>
</file>

<file path=xl/worksheets/sheet8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42.91426467895508" customWidth="1"/>
    <col min="2" max="2" width="56.27479934692383" customWidth="1"/>
    <col min="3" max="3" width="24.471935272216797" customWidth="1"/>
    <col min="4" max="4" width="33.99167251586914" customWidth="1"/>
    <col min="5" max="5" width="17.443378448486328" customWidth="1"/>
    <col min="6" max="6" width="110.0121841430664" customWidth="1"/>
    <col min="7" max="7" width="17.443378448486328" customWidth="1"/>
    <col min="8" max="8" width="17.707918167114258" customWidth="1"/>
    <col min="9" max="9" width="21.324691772460938" customWidth="1"/>
    <col min="10" max="10" width="25.57289695739746" customWidth="1"/>
    <col min="11" max="11" width="47.53519821166992" customWidth="1"/>
  </cols>
  <sheetData>
    <row r="1">
      <c r="A1" s="1" t="s">
        <v>5546</v>
      </c>
      <c r="B1" s="1" t="s">
        <v>1</v>
      </c>
      <c r="C1" s="1" t="s">
        <v>5550</v>
      </c>
      <c r="D1" s="1" t="s">
        <v>5351</v>
      </c>
      <c r="E1" s="1" t="s">
        <v>5553</v>
      </c>
      <c r="F1" s="1" t="s">
        <v>5555</v>
      </c>
      <c r="G1" s="1" t="s">
        <v>5369</v>
      </c>
      <c r="H1" s="1" t="s">
        <v>5558</v>
      </c>
      <c r="I1" s="1" t="s">
        <v>5561</v>
      </c>
      <c r="J1" s="1" t="s">
        <v>5564</v>
      </c>
      <c r="K1" s="1" t="s">
        <v>94</v>
      </c>
    </row>
    <row r="2">
      <c r="A2" s="2" t="s">
        <v>13865</v>
      </c>
      <c r="B2" s="3" t="str">
        <f>C2 &amp; " as " &amp; D2</f>
        <v>user-amina-yusuf as principal-communications-manager</v>
      </c>
      <c r="C2" s="2" t="s">
        <v>13846</v>
      </c>
      <c r="D2" s="2" t="s">
        <v>9696</v>
      </c>
      <c r="E2" s="2" t="b">
        <v>1</v>
      </c>
      <c r="F2" s="2" t="s">
        <v>13866</v>
      </c>
      <c r="G2" s="3" t="b">
        <f>_xlfn.IFNA(INDEX(AccessPrincipals!G2:G999, MATCH(D2,AccessPrincipals!A2:A999, 0)), "")</f>
        <v>0</v>
      </c>
      <c r="H2" s="3" t="str">
        <f>_xlfn.IFNA(INDEX(AppUsers!H2:H999, MATCH(C2,AppUsers!A2:A999, 0)), "")</f>
        <v>acme-people</v>
      </c>
      <c r="I2" s="3" t="str">
        <f>_xlfn.IFNA(INDEX(AccessPrincipals!H2:H999, MATCH(D2,AccessPrincipals!A2:A999, 0)), "")</f>
        <v>acme-people</v>
      </c>
      <c r="J2" s="3" t="b">
        <f>AND(H2 &lt;&gt; "", I2 &lt;&gt; "", H2 &lt;&gt; I2)</f>
        <v>0</v>
      </c>
      <c r="K2" s="2" t="s">
        <v>13867</v>
      </c>
    </row>
    <row r="3">
      <c r="A3" s="2" t="s">
        <v>13868</v>
      </c>
      <c r="B3" s="3" t="str">
        <f>C3 &amp; " as " &amp; D3</f>
        <v>user-close-pipeline as principal-close-automation</v>
      </c>
      <c r="C3" s="2" t="s">
        <v>13848</v>
      </c>
      <c r="D3" s="2" t="s">
        <v>9698</v>
      </c>
      <c r="E3" s="2" t="b">
        <v>1</v>
      </c>
      <c r="F3" s="2" t="s">
        <v>13869</v>
      </c>
      <c r="G3" s="3" t="b">
        <f>_xlfn.IFNA(INDEX(AccessPrincipals!G2:G999, MATCH(D3,AccessPrincipals!A2:A999, 0)), "")</f>
        <v>0</v>
      </c>
      <c r="H3" s="3" t="str">
        <f>_xlfn.IFNA(INDEX(AppUsers!H2:H999, MATCH(C3,AppUsers!A2:A999, 0)), "")</f>
        <v>acme-finance</v>
      </c>
      <c r="I3" s="3" t="str">
        <f>_xlfn.IFNA(INDEX(AccessPrincipals!H2:H999, MATCH(D3,AccessPrincipals!A2:A999, 0)), "")</f>
        <v>acme-finance</v>
      </c>
      <c r="J3" s="3" t="b">
        <f>AND(H3 &lt;&gt; "", I3 &lt;&gt; "", H3 &lt;&gt; I3)</f>
        <v>0</v>
      </c>
      <c r="K3" s="2" t="s">
        <v>13867</v>
      </c>
    </row>
    <row r="4">
      <c r="A4" s="2" t="s">
        <v>13870</v>
      </c>
      <c r="B4" s="3" t="str">
        <f>C4 &amp; " as " &amp; D4</f>
        <v>user-devon-okafor as principal-controller</v>
      </c>
      <c r="C4" s="2" t="s">
        <v>13851</v>
      </c>
      <c r="D4" s="2" t="s">
        <v>9688</v>
      </c>
      <c r="E4" s="2" t="b">
        <v>1</v>
      </c>
      <c r="F4" s="2" t="s">
        <v>13871</v>
      </c>
      <c r="G4" s="3" t="b">
        <f>_xlfn.IFNA(INDEX(AccessPrincipals!G2:G999, MATCH(D4,AccessPrincipals!A2:A999, 0)), "")</f>
        <v>0</v>
      </c>
      <c r="H4" s="3" t="str">
        <f>_xlfn.IFNA(INDEX(AppUsers!H2:H999, MATCH(C4,AppUsers!A2:A999, 0)), "")</f>
        <v>acme-finance</v>
      </c>
      <c r="I4" s="3" t="str">
        <f>_xlfn.IFNA(INDEX(AccessPrincipals!H2:H999, MATCH(D4,AccessPrincipals!A2:A999, 0)), "")</f>
        <v>acme-finance</v>
      </c>
      <c r="J4" s="3" t="b">
        <f>AND(H4 &lt;&gt; "", I4 &lt;&gt; "", H4 &lt;&gt; I4)</f>
        <v>0</v>
      </c>
      <c r="K4" s="2" t="s">
        <v>13867</v>
      </c>
    </row>
    <row r="5">
      <c r="A5" s="2" t="s">
        <v>13872</v>
      </c>
      <c r="B5" s="3" t="str">
        <f>C5 &amp; " as " &amp; D5</f>
        <v>user-elena-garcia as principal-hr-policy-owner</v>
      </c>
      <c r="C5" s="2" t="s">
        <v>13852</v>
      </c>
      <c r="D5" s="2" t="s">
        <v>9692</v>
      </c>
      <c r="E5" s="2" t="b">
        <v>1</v>
      </c>
      <c r="F5" s="2" t="s">
        <v>13873</v>
      </c>
      <c r="G5" s="3" t="b">
        <f>_xlfn.IFNA(INDEX(AccessPrincipals!G2:G999, MATCH(D5,AccessPrincipals!A2:A999, 0)), "")</f>
        <v>0</v>
      </c>
      <c r="H5" s="3" t="str">
        <f>_xlfn.IFNA(INDEX(AppUsers!H2:H999, MATCH(C5,AppUsers!A2:A999, 0)), "")</f>
        <v>acme-people</v>
      </c>
      <c r="I5" s="3" t="str">
        <f>_xlfn.IFNA(INDEX(AccessPrincipals!H2:H999, MATCH(D5,AccessPrincipals!A2:A999, 0)), "")</f>
        <v>acme-people</v>
      </c>
      <c r="J5" s="3" t="b">
        <f>AND(H5 &lt;&gt; "", I5 &lt;&gt; "", H5 &lt;&gt; I5)</f>
        <v>0</v>
      </c>
      <c r="K5" s="2" t="s">
        <v>13867</v>
      </c>
    </row>
    <row r="6">
      <c r="A6" s="2" t="s">
        <v>13874</v>
      </c>
      <c r="B6" s="3" t="str">
        <f>C6 &amp; " as " &amp; D6</f>
        <v>user-elena-garcia as principal-process-steward</v>
      </c>
      <c r="C6" s="2" t="s">
        <v>13852</v>
      </c>
      <c r="D6" s="2" t="s">
        <v>9706</v>
      </c>
      <c r="E6" s="2" t="b">
        <v>0</v>
      </c>
      <c r="F6" s="2" t="s">
        <v>13875</v>
      </c>
      <c r="G6" s="3" t="b">
        <f>_xlfn.IFNA(INDEX(AccessPrincipals!G2:G999, MATCH(D6,AccessPrincipals!A2:A999, 0)), "")</f>
        <v>1</v>
      </c>
      <c r="H6" s="3" t="str">
        <f>_xlfn.IFNA(INDEX(AppUsers!H2:H999, MATCH(C6,AppUsers!A2:A999, 0)), "")</f>
        <v>acme-people</v>
      </c>
      <c r="I6" s="3" t="str">
        <f>_xlfn.IFNA(INDEX(AccessPrincipals!H2:H999, MATCH(D6,AccessPrincipals!A2:A999, 0)), "")</f>
        <v>acme-people</v>
      </c>
      <c r="J6" s="3" t="b">
        <f>AND(H6 &lt;&gt; "", I6 &lt;&gt; "", H6 &lt;&gt; I6)</f>
        <v>0</v>
      </c>
      <c r="K6" s="2" t="s">
        <v>13867</v>
      </c>
    </row>
    <row r="7">
      <c r="A7" s="2" t="s">
        <v>13876</v>
      </c>
      <c r="B7" s="3" t="str">
        <f>C7 &amp; " as " &amp; D7</f>
        <v>user-maria-chen as principal-finance-analyst</v>
      </c>
      <c r="C7" s="2" t="s">
        <v>13853</v>
      </c>
      <c r="D7" s="2" t="s">
        <v>9685</v>
      </c>
      <c r="E7" s="2" t="b">
        <v>1</v>
      </c>
      <c r="F7" s="2" t="s">
        <v>13877</v>
      </c>
      <c r="G7" s="3" t="b">
        <f>_xlfn.IFNA(INDEX(AccessPrincipals!G2:G999, MATCH(D7,AccessPrincipals!A2:A999, 0)), "")</f>
        <v>0</v>
      </c>
      <c r="H7" s="3" t="str">
        <f>_xlfn.IFNA(INDEX(AppUsers!H2:H999, MATCH(C7,AppUsers!A2:A999, 0)), "")</f>
        <v>acme-finance</v>
      </c>
      <c r="I7" s="3" t="str">
        <f>_xlfn.IFNA(INDEX(AccessPrincipals!H2:H999, MATCH(D7,AccessPrincipals!A2:A999, 0)), "")</f>
        <v>acme-finance</v>
      </c>
      <c r="J7" s="3" t="b">
        <f>AND(H7 &lt;&gt; "", I7 &lt;&gt; "", H7 &lt;&gt; I7)</f>
        <v>0</v>
      </c>
      <c r="K7" s="2" t="s">
        <v>13867</v>
      </c>
    </row>
    <row r="8">
      <c r="A8" s="2" t="s">
        <v>13878</v>
      </c>
      <c r="B8" s="3" t="str">
        <f>C8 &amp; " as " &amp; D8</f>
        <v>user-noah-williams as principal-employment-counsel</v>
      </c>
      <c r="C8" s="2" t="s">
        <v>13854</v>
      </c>
      <c r="D8" s="2" t="s">
        <v>9694</v>
      </c>
      <c r="E8" s="2" t="b">
        <v>1</v>
      </c>
      <c r="F8" s="2" t="s">
        <v>13879</v>
      </c>
      <c r="G8" s="3" t="b">
        <f>_xlfn.IFNA(INDEX(AccessPrincipals!G2:G999, MATCH(D8,AccessPrincipals!A2:A999, 0)), "")</f>
        <v>0</v>
      </c>
      <c r="H8" s="3" t="str">
        <f>_xlfn.IFNA(INDEX(AppUsers!H2:H999, MATCH(C8,AppUsers!A2:A999, 0)), "")</f>
        <v>acme-legal</v>
      </c>
      <c r="I8" s="3" t="str">
        <f>_xlfn.IFNA(INDEX(AccessPrincipals!H2:H999, MATCH(D8,AccessPrincipals!A2:A999, 0)), "")</f>
        <v>acme-legal</v>
      </c>
      <c r="J8" s="3" t="b">
        <f>AND(H8 &lt;&gt; "", I8 &lt;&gt; "", H8 &lt;&gt; I8)</f>
        <v>0</v>
      </c>
      <c r="K8" s="2" t="s">
        <v>13867</v>
      </c>
    </row>
    <row r="9">
      <c r="A9" s="2" t="s">
        <v>13880</v>
      </c>
      <c r="B9" s="3" t="str">
        <f>C9 &amp; " as " &amp; D9</f>
        <v>user-notification-pipeline as principal-notification-publisher</v>
      </c>
      <c r="C9" s="2" t="s">
        <v>13855</v>
      </c>
      <c r="D9" s="2" t="s">
        <v>9704</v>
      </c>
      <c r="E9" s="2" t="b">
        <v>1</v>
      </c>
      <c r="F9" s="2" t="s">
        <v>13881</v>
      </c>
      <c r="G9" s="3" t="b">
        <f>_xlfn.IFNA(INDEX(AccessPrincipals!G2:G999, MATCH(D9,AccessPrincipals!A2:A999, 0)), "")</f>
        <v>0</v>
      </c>
      <c r="H9" s="3" t="str">
        <f>_xlfn.IFNA(INDEX(AppUsers!H2:H999, MATCH(C9,AppUsers!A2:A999, 0)), "")</f>
        <v>acme-people</v>
      </c>
      <c r="I9" s="3" t="str">
        <f>_xlfn.IFNA(INDEX(AccessPrincipals!H2:H999, MATCH(D9,AccessPrincipals!A2:A999, 0)), "")</f>
        <v>acme-people</v>
      </c>
      <c r="J9" s="3" t="b">
        <f>AND(H9 &lt;&gt; "", I9 &lt;&gt; "", H9 &lt;&gt; I9)</f>
        <v>0</v>
      </c>
      <c r="K9" s="2" t="s">
        <v>13867</v>
      </c>
    </row>
    <row r="10">
      <c r="A10" s="2" t="s">
        <v>13882</v>
      </c>
      <c r="B10" s="3" t="str">
        <f>C10 &amp; " as " &amp; D10</f>
        <v>user-policy-drafting-ai as principal-policy-drafting-agent</v>
      </c>
      <c r="C10" s="2" t="s">
        <v>13858</v>
      </c>
      <c r="D10" s="2" t="s">
        <v>9702</v>
      </c>
      <c r="E10" s="2" t="b">
        <v>1</v>
      </c>
      <c r="F10" s="2" t="s">
        <v>13883</v>
      </c>
      <c r="G10" s="3" t="b">
        <f>_xlfn.IFNA(INDEX(AccessPrincipals!G2:G999, MATCH(D10,AccessPrincipals!A2:A999, 0)), "")</f>
        <v>0</v>
      </c>
      <c r="H10" s="3" t="str">
        <f>_xlfn.IFNA(INDEX(AppUsers!H2:H999, MATCH(C10,AppUsers!A2:A999, 0)), "")</f>
        <v>acme-people</v>
      </c>
      <c r="I10" s="3" t="str">
        <f>_xlfn.IFNA(INDEX(AccessPrincipals!H2:H999, MATCH(D10,AccessPrincipals!A2:A999, 0)), "")</f>
        <v>acme-people</v>
      </c>
      <c r="J10" s="3" t="b">
        <f>AND(H10 &lt;&gt; "", I10 &lt;&gt; "", H10 &lt;&gt; I10)</f>
        <v>0</v>
      </c>
      <c r="K10" s="2" t="s">
        <v>13867</v>
      </c>
    </row>
    <row r="11">
      <c r="A11" s="2" t="s">
        <v>13884</v>
      </c>
      <c r="B11" s="3" t="str">
        <f>C11 &amp; " as " &amp; D11</f>
        <v>user-priya-raman as principal-cfo</v>
      </c>
      <c r="C11" s="2" t="s">
        <v>13861</v>
      </c>
      <c r="D11" s="2" t="s">
        <v>9690</v>
      </c>
      <c r="E11" s="2" t="b">
        <v>1</v>
      </c>
      <c r="F11" s="2" t="s">
        <v>13885</v>
      </c>
      <c r="G11" s="3" t="b">
        <f>_xlfn.IFNA(INDEX(AccessPrincipals!G2:G999, MATCH(D11,AccessPrincipals!A2:A999, 0)), "")</f>
        <v>0</v>
      </c>
      <c r="H11" s="3" t="str">
        <f>_xlfn.IFNA(INDEX(AppUsers!H2:H999, MATCH(C11,AppUsers!A2:A999, 0)), "")</f>
        <v>acme-finance</v>
      </c>
      <c r="I11" s="3" t="str">
        <f>_xlfn.IFNA(INDEX(AccessPrincipals!H2:H999, MATCH(D11,AccessPrincipals!A2:A999, 0)), "")</f>
        <v>acme-finance</v>
      </c>
      <c r="J11" s="3" t="b">
        <f>AND(H11 &lt;&gt; "", I11 &lt;&gt; "", H11 &lt;&gt; I11)</f>
        <v>0</v>
      </c>
      <c r="K11" s="2" t="s">
        <v>13867</v>
      </c>
    </row>
    <row r="12">
      <c r="A12" s="2" t="s">
        <v>13886</v>
      </c>
      <c r="B12" s="3" t="str">
        <f>C12 &amp; " as " &amp; D12</f>
        <v>user-priya-raman as principal-knowledge-authority</v>
      </c>
      <c r="C12" s="2" t="s">
        <v>13861</v>
      </c>
      <c r="D12" s="2" t="s">
        <v>9708</v>
      </c>
      <c r="E12" s="2" t="b">
        <v>0</v>
      </c>
      <c r="F12" s="2" t="s">
        <v>13887</v>
      </c>
      <c r="G12" s="3" t="b">
        <f>_xlfn.IFNA(INDEX(AccessPrincipals!G2:G999, MATCH(D12,AccessPrincipals!A2:A999, 0)), "")</f>
        <v>1</v>
      </c>
      <c r="H12" s="3" t="str">
        <f>_xlfn.IFNA(INDEX(AppUsers!H2:H999, MATCH(C12,AppUsers!A2:A999, 0)), "")</f>
        <v>acme-finance</v>
      </c>
      <c r="I12" s="3" t="str">
        <f>_xlfn.IFNA(INDEX(AccessPrincipals!H2:H999, MATCH(D12,AccessPrincipals!A2:A999, 0)), "")</f>
        <v>acme-finance</v>
      </c>
      <c r="J12" s="3" t="b">
        <f>AND(H12 &lt;&gt; "", I12 &lt;&gt; "", H12 &lt;&gt; I12)</f>
        <v>0</v>
      </c>
      <c r="K12" s="2" t="s">
        <v>13867</v>
      </c>
    </row>
    <row r="13">
      <c r="A13" s="2" t="s">
        <v>13888</v>
      </c>
      <c r="B13" s="3" t="str">
        <f>C13 &amp; " as " &amp; D13</f>
        <v>user-variance-ai as principal-variance-review-agent</v>
      </c>
      <c r="C13" s="2" t="s">
        <v>13862</v>
      </c>
      <c r="D13" s="2" t="s">
        <v>9700</v>
      </c>
      <c r="E13" s="2" t="b">
        <v>1</v>
      </c>
      <c r="F13" s="2" t="s">
        <v>13889</v>
      </c>
      <c r="G13" s="3" t="b">
        <f>_xlfn.IFNA(INDEX(AccessPrincipals!G2:G999, MATCH(D13,AccessPrincipals!A2:A999, 0)), "")</f>
        <v>0</v>
      </c>
      <c r="H13" s="3" t="str">
        <f>_xlfn.IFNA(INDEX(AppUsers!H2:H999, MATCH(C13,AppUsers!A2:A999, 0)), "")</f>
        <v>acme-finance</v>
      </c>
      <c r="I13" s="3" t="str">
        <f>_xlfn.IFNA(INDEX(AccessPrincipals!H2:H999, MATCH(D13,AccessPrincipals!A2:A999, 0)), "")</f>
        <v>acme-finance</v>
      </c>
      <c r="J13" s="3" t="b">
        <f>AND(H13 &lt;&gt; "", I13 &lt;&gt; "", H13 &lt;&gt; I13)</f>
        <v>0</v>
      </c>
      <c r="K13" s="2" t="s">
        <v>13867</v>
      </c>
    </row>
  </sheetData>
  <autoFilter ref="A1:K1"/>
  <headerFooter/>
  <legacyDrawing r:id="rId1"/>
</worksheet>
</file>

<file path=xl/worksheets/sheet8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17.443378448486328" customWidth="1"/>
  </cols>
  <sheetData>
    <row r="1">
      <c r="A1" s="1" t="s">
        <v>5569</v>
      </c>
      <c r="B1" s="1" t="s">
        <v>1</v>
      </c>
      <c r="C1" s="1" t="s">
        <v>5550</v>
      </c>
      <c r="D1" s="1" t="s">
        <v>5351</v>
      </c>
      <c r="E1" s="1" t="s">
        <v>7</v>
      </c>
      <c r="F1" s="1" t="s">
        <v>5576</v>
      </c>
      <c r="G1" s="1" t="s">
        <v>5578</v>
      </c>
      <c r="H1" s="1" t="s">
        <v>5580</v>
      </c>
      <c r="I1" s="1" t="s">
        <v>5582</v>
      </c>
      <c r="J1" s="1" t="s">
        <v>5584</v>
      </c>
      <c r="K1" s="1" t="s">
        <v>94</v>
      </c>
    </row>
  </sheetData>
  <autoFilter ref="A1:K1"/>
  <headerFooter/>
  <legacyDrawing r:id="rId1"/>
</worksheet>
</file>

<file path=xl/worksheets/sheet8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5"/>
  <sheetViews>
    <sheetView workbookViewId="0">
      <pane ySplit="1" topLeftCell="A2" state="frozen" activePane="bottomLeft"/>
      <selection pane="bottomLeft" activeCell="A1" sqref="A1"/>
    </sheetView>
  </sheetViews>
  <sheetFormatPr defaultRowHeight="15"/>
  <cols>
    <col min="1" max="1" width="27.68600845336914" customWidth="1"/>
    <col min="2" max="2" width="59.55531692504883" customWidth="1"/>
    <col min="3" max="3" width="18.236316680908203" customWidth="1"/>
    <col min="4" max="4" width="31.643558502197266" customWidth="1"/>
    <col min="5" max="5" width="23.35041618347168" customWidth="1"/>
    <col min="6" max="6" width="24.00888442993164" customWidth="1"/>
    <col min="7" max="7" width="24.63018226623535" customWidth="1"/>
    <col min="8" max="8" width="129.1572723388672" customWidth="1"/>
    <col min="9" max="9" width="18.547500610351562" customWidth="1"/>
    <col min="10" max="10" width="23.35041618347168" customWidth="1"/>
    <col min="11" max="11" width="18.3187198638916" customWidth="1"/>
    <col min="12" max="12" width="17.443378448486328" customWidth="1"/>
    <col min="13" max="13" width="33.199031829833984" customWidth="1"/>
    <col min="14" max="14" width="17.443378448486328" customWidth="1"/>
    <col min="15" max="15" width="22.338804244995117" customWidth="1"/>
    <col min="16" max="16" width="23.63511085510254" customWidth="1"/>
    <col min="17" max="17" width="20.89238166809082" customWidth="1"/>
    <col min="18" max="18" width="21.359888076782227" customWidth="1"/>
    <col min="19" max="19" width="45.6241569519043" customWidth="1"/>
  </cols>
  <sheetData>
    <row r="1">
      <c r="A1" s="1" t="s">
        <v>5588</v>
      </c>
      <c r="B1" s="1" t="s">
        <v>1</v>
      </c>
      <c r="C1" s="1" t="s">
        <v>477</v>
      </c>
      <c r="D1" s="1" t="s">
        <v>5593</v>
      </c>
      <c r="E1" s="1" t="s">
        <v>5595</v>
      </c>
      <c r="F1" s="1" t="s">
        <v>5597</v>
      </c>
      <c r="G1" s="1" t="s">
        <v>5599</v>
      </c>
      <c r="H1" s="1" t="s">
        <v>5601</v>
      </c>
      <c r="I1" s="1" t="s">
        <v>258</v>
      </c>
      <c r="J1" s="1" t="s">
        <v>92</v>
      </c>
      <c r="K1" s="1" t="s">
        <v>5605</v>
      </c>
      <c r="L1" s="1" t="s">
        <v>5608</v>
      </c>
      <c r="M1" s="1" t="s">
        <v>5611</v>
      </c>
      <c r="N1" s="1" t="s">
        <v>5614</v>
      </c>
      <c r="O1" s="1" t="s">
        <v>5617</v>
      </c>
      <c r="P1" s="1" t="s">
        <v>5620</v>
      </c>
      <c r="Q1" s="1" t="s">
        <v>5622</v>
      </c>
      <c r="R1" s="1" t="s">
        <v>5625</v>
      </c>
      <c r="S1" s="1" t="s">
        <v>94</v>
      </c>
    </row>
    <row r="2">
      <c r="A2" s="2" t="s">
        <v>13890</v>
      </c>
      <c r="B2" s="3" t="str">
        <f>D2 &amp; " / " &amp; TEXT(E2, "yyyy-mm-dd hh:mm:ss")&amp;"+00"</f>
        <v>ERP General Ledger Audit Log / 2026-07-15 14:00:00+00</v>
      </c>
      <c r="C2" s="2" t="s">
        <v>369</v>
      </c>
      <c r="D2" s="2" t="s">
        <v>13891</v>
      </c>
      <c r="E2" s="4">
        <v>46218.583333333336</v>
      </c>
      <c r="F2" s="7">
        <v>6</v>
      </c>
      <c r="G2" s="7">
        <v>5</v>
      </c>
      <c r="H2" s="2" t="s">
        <v>13892</v>
      </c>
      <c r="I2" s="2" t="s">
        <v>95</v>
      </c>
      <c r="J2" s="6">
        <f>_xlfn.IFNA(INDEX(EvaluationContexts!D2:D999, MATCH(I2,EvaluationContexts!A2:A999, 0)), "")</f>
        <v>46222.75</v>
      </c>
      <c r="K2" s="3">
        <f>IF(F2 = 0, 0, G2 / F2)</f>
        <v>0.8333333333333334</v>
      </c>
      <c r="L2" s="3" t="b">
        <f>K2 &gt;= 0.8</f>
        <v>1</v>
      </c>
      <c r="M2" s="3" t="b">
        <f>K2 &lt; 0.5</f>
        <v>0</v>
      </c>
      <c r="N2" s="5">
        <f>(INT(J2) - INT(E2))</f>
        <v>4</v>
      </c>
      <c r="O2" s="3" t="b">
        <f>N2 &gt; 180</f>
        <v>0</v>
      </c>
      <c r="P2" s="3" t="b">
        <f>_xlfn.IFNA(INDEX(ProcedureVersions!Y2:Y999, MATCH(C2,ProcedureVersions!A2:A999, 0)), "")</f>
        <v>1</v>
      </c>
      <c r="Q2" s="3" t="b">
        <f>AND(M2, P2)</f>
        <v>0</v>
      </c>
      <c r="R2" s="3" t="str">
        <f>IF(Q2, C2, "")</f>
      </c>
      <c r="S2" s="2" t="s">
        <v>1870</v>
      </c>
    </row>
    <row r="3">
      <c r="A3" s="2" t="s">
        <v>13893</v>
      </c>
      <c r="B3" s="3" t="str">
        <f>D3 &amp; " / " &amp; TEXT(E3, "yyyy-mm-dd hh:mm:ss")&amp;"+00"</f>
        <v>ERP General Ledger Audit Log / 2026-07-17 14:00:00+00</v>
      </c>
      <c r="C3" s="2" t="s">
        <v>369</v>
      </c>
      <c r="D3" s="2" t="s">
        <v>13891</v>
      </c>
      <c r="E3" s="4">
        <v>46220.583333333336</v>
      </c>
      <c r="F3" s="7">
        <v>8</v>
      </c>
      <c r="G3" s="7">
        <v>3</v>
      </c>
      <c r="H3" s="2" t="s">
        <v>13894</v>
      </c>
      <c r="I3" s="2" t="s">
        <v>95</v>
      </c>
      <c r="J3" s="6">
        <f>_xlfn.IFNA(INDEX(EvaluationContexts!D2:D999, MATCH(I3,EvaluationContexts!A2:A999, 0)), "")</f>
        <v>46222.75</v>
      </c>
      <c r="K3" s="3">
        <f>IF(F3 = 0, 0, G3 / F3)</f>
        <v>0.375</v>
      </c>
      <c r="L3" s="3" t="b">
        <f>K3 &gt;= 0.8</f>
        <v>0</v>
      </c>
      <c r="M3" s="3" t="b">
        <f>K3 &lt; 0.5</f>
        <v>1</v>
      </c>
      <c r="N3" s="5">
        <f>(INT(J3) - INT(E3))</f>
        <v>2</v>
      </c>
      <c r="O3" s="3" t="b">
        <f>N3 &gt; 180</f>
        <v>0</v>
      </c>
      <c r="P3" s="3" t="b">
        <f>_xlfn.IFNA(INDEX(ProcedureVersions!Y2:Y999, MATCH(C3,ProcedureVersions!A2:A999, 0)), "")</f>
        <v>1</v>
      </c>
      <c r="Q3" s="3" t="b">
        <f>AND(M3, P3)</f>
        <v>1</v>
      </c>
      <c r="R3" s="3" t="str">
        <f>IF(Q3, C3, "")</f>
        <v>close-v1.1.0</v>
      </c>
      <c r="S3" s="2" t="s">
        <v>1870</v>
      </c>
    </row>
    <row r="4">
      <c r="A4" s="2" t="s">
        <v>13895</v>
      </c>
      <c r="B4" s="3" t="str">
        <f>D4 &amp; " / " &amp; TEXT(E4, "yyyy-mm-dd hh:mm:ss")&amp;"+00"</f>
        <v>Notification Pipeline Delivery Log / 2026-01-10 14:00:00+00</v>
      </c>
      <c r="C4" s="2" t="s">
        <v>375</v>
      </c>
      <c r="D4" s="2" t="s">
        <v>13896</v>
      </c>
      <c r="E4" s="4">
        <v>46032.583333333336</v>
      </c>
      <c r="F4" s="7">
        <v>4</v>
      </c>
      <c r="G4" s="7">
        <v>4</v>
      </c>
      <c r="H4" s="2" t="s">
        <v>168</v>
      </c>
      <c r="I4" s="2" t="s">
        <v>95</v>
      </c>
      <c r="J4" s="6">
        <f>_xlfn.IFNA(INDEX(EvaluationContexts!D2:D999, MATCH(I4,EvaluationContexts!A2:A999, 0)), "")</f>
        <v>46222.75</v>
      </c>
      <c r="K4" s="3">
        <f>IF(F4 = 0, 0, G4 / F4)</f>
        <v>1</v>
      </c>
      <c r="L4" s="3" t="b">
        <f>K4 &gt;= 0.8</f>
        <v>1</v>
      </c>
      <c r="M4" s="3" t="b">
        <f>K4 &lt; 0.5</f>
        <v>0</v>
      </c>
      <c r="N4" s="5">
        <f>(INT(J4) - INT(E4))</f>
        <v>190</v>
      </c>
      <c r="O4" s="3" t="b">
        <f>N4 &gt; 180</f>
        <v>1</v>
      </c>
      <c r="P4" s="3" t="b">
        <f>_xlfn.IFNA(INDEX(ProcedureVersions!Y2:Y999, MATCH(C4,ProcedureVersions!A2:A999, 0)), "")</f>
        <v>1</v>
      </c>
      <c r="Q4" s="3" t="b">
        <f>AND(M4, P4)</f>
        <v>0</v>
      </c>
      <c r="R4" s="3" t="str">
        <f>IF(Q4, C4, "")</f>
      </c>
      <c r="S4" s="2" t="s">
        <v>1870</v>
      </c>
    </row>
    <row r="5">
      <c r="A5" s="2" t="s">
        <v>13897</v>
      </c>
      <c r="B5" s="3" t="str">
        <f>D5 &amp; " / " &amp; TEXT(E5, "yyyy-mm-dd hh:mm:ss")&amp;"+00"</f>
        <v>ERP General Ledger Audit Log / 2026-01-01 14:00:00+00</v>
      </c>
      <c r="C5" s="2" t="s">
        <v>454</v>
      </c>
      <c r="D5" s="2" t="s">
        <v>13891</v>
      </c>
      <c r="E5" s="4">
        <v>46023.583333333336</v>
      </c>
      <c r="F5" s="7">
        <v>5</v>
      </c>
      <c r="G5" s="7">
        <v>1</v>
      </c>
      <c r="H5" s="2" t="s">
        <v>13898</v>
      </c>
      <c r="I5" s="2" t="s">
        <v>95</v>
      </c>
      <c r="J5" s="6">
        <f>_xlfn.IFNA(INDEX(EvaluationContexts!D2:D999, MATCH(I5,EvaluationContexts!A2:A999, 0)), "")</f>
        <v>46222.75</v>
      </c>
      <c r="K5" s="3">
        <f>IF(F5 = 0, 0, G5 / F5)</f>
        <v>0.2</v>
      </c>
      <c r="L5" s="3" t="b">
        <f>K5 &gt;= 0.8</f>
        <v>0</v>
      </c>
      <c r="M5" s="3" t="b">
        <f>K5 &lt; 0.5</f>
        <v>1</v>
      </c>
      <c r="N5" s="5">
        <f>(INT(J5) - INT(E5))</f>
        <v>199</v>
      </c>
      <c r="O5" s="3" t="b">
        <f>N5 &gt; 180</f>
        <v>1</v>
      </c>
      <c r="P5" s="3" t="b">
        <f>_xlfn.IFNA(INDEX(ProcedureVersions!Y2:Y999, MATCH(C5,ProcedureVersions!A2:A999, 0)), "")</f>
        <v>0</v>
      </c>
      <c r="Q5" s="3" t="b">
        <f>AND(M5, P5)</f>
        <v>0</v>
      </c>
      <c r="R5" s="3" t="str">
        <f>IF(Q5, C5, "")</f>
      </c>
      <c r="S5" s="2" t="s">
        <v>1870</v>
      </c>
    </row>
  </sheetData>
  <autoFilter ref="A1:S1"/>
  <headerFooter/>
  <legacyDrawing r:id="rId1"/>
</worksheet>
</file>

<file path=xl/worksheets/sheet8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9.486499786376953" customWidth="1"/>
    <col min="2" max="2" width="26.977399826049805" customWidth="1"/>
    <col min="3" max="3" width="26.977399826049805" customWidth="1"/>
    <col min="4" max="4" width="49.195472717285156" customWidth="1"/>
    <col min="5" max="5" width="20.49138832092285" customWidth="1"/>
    <col min="6" max="6" width="17.443378448486328" customWidth="1"/>
    <col min="7" max="7" width="19.105207443237305" customWidth="1"/>
    <col min="8" max="8" width="18.00387954711914" customWidth="1"/>
    <col min="9" max="9" width="38.97528076171875" customWidth="1"/>
  </cols>
  <sheetData>
    <row r="1">
      <c r="A1" s="1" t="s">
        <v>5629</v>
      </c>
      <c r="B1" s="1" t="s">
        <v>1</v>
      </c>
      <c r="C1" s="1" t="s">
        <v>358</v>
      </c>
      <c r="D1" s="1" t="s">
        <v>5633</v>
      </c>
      <c r="E1" s="1" t="s">
        <v>5635</v>
      </c>
      <c r="F1" s="1" t="s">
        <v>5637</v>
      </c>
      <c r="G1" s="1" t="s">
        <v>5640</v>
      </c>
      <c r="H1" s="1" t="s">
        <v>5643</v>
      </c>
      <c r="I1" s="1" t="s">
        <v>94</v>
      </c>
    </row>
    <row r="2">
      <c r="A2" s="2" t="s">
        <v>13899</v>
      </c>
      <c r="B2" s="3" t="str">
        <f>C2</f>
        <v>Close Control Categories</v>
      </c>
      <c r="C2" s="2" t="s">
        <v>13900</v>
      </c>
      <c r="D2" s="2" t="s">
        <v>13901</v>
      </c>
      <c r="E2" s="2" t="s">
        <v>248</v>
      </c>
      <c r="F2" s="3">
        <f>COUNTIFS(VocabularyTerms!C2:C999, A2)</f>
        <v>5</v>
      </c>
      <c r="G2" s="3">
        <f>COUNTIFS(VocabularyTerms!J2:J999, A2)</f>
        <v>0</v>
      </c>
      <c r="H2" s="3" t="b">
        <f>G2 &gt; 0</f>
        <v>0</v>
      </c>
      <c r="I2" s="2" t="s">
        <v>1874</v>
      </c>
    </row>
    <row r="3">
      <c r="A3" s="2" t="s">
        <v>13902</v>
      </c>
      <c r="B3" s="3" t="str">
        <f>C3</f>
        <v>Policy Compliance Domains</v>
      </c>
      <c r="C3" s="2" t="s">
        <v>13903</v>
      </c>
      <c r="D3" s="2" t="s">
        <v>13904</v>
      </c>
      <c r="E3" s="2" t="s">
        <v>248</v>
      </c>
      <c r="F3" s="3">
        <f>COUNTIFS(VocabularyTerms!C2:C999, A3)</f>
        <v>7</v>
      </c>
      <c r="G3" s="3">
        <f>COUNTIFS(VocabularyTerms!J2:J999, A3)</f>
        <v>2</v>
      </c>
      <c r="H3" s="3" t="b">
        <f>G3 &gt; 0</f>
        <v>1</v>
      </c>
      <c r="I3" s="2" t="s">
        <v>1874</v>
      </c>
    </row>
  </sheetData>
  <autoFilter ref="A1:I1"/>
  <headerFooter/>
  <legacyDrawing r:id="rId1"/>
</worksheet>
</file>

<file path=xl/worksheets/sheet8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24.128734588623047" customWidth="1"/>
    <col min="2" max="2" width="25.203283309936523" customWidth="1"/>
    <col min="3" max="3" width="19.486499786376953" customWidth="1"/>
    <col min="4" max="4" width="25.203283309936523" customWidth="1"/>
    <col min="5" max="5" width="38.48260498046875" customWidth="1"/>
    <col min="6" max="6" width="104.89838409423828" customWidth="1"/>
    <col min="7" max="7" width="17.443378448486328" customWidth="1"/>
    <col min="8" max="8" width="17.443378448486328" customWidth="1"/>
    <col min="9" max="9" width="22.246173858642578" customWidth="1"/>
    <col min="10" max="10" width="26.971410751342773" customWidth="1"/>
    <col min="11" max="11" width="44.150604248046875" customWidth="1"/>
  </cols>
  <sheetData>
    <row r="1">
      <c r="A1" s="1" t="s">
        <v>5647</v>
      </c>
      <c r="B1" s="1" t="s">
        <v>1</v>
      </c>
      <c r="C1" s="1" t="s">
        <v>5651</v>
      </c>
      <c r="D1" s="1" t="s">
        <v>5653</v>
      </c>
      <c r="E1" s="1" t="s">
        <v>5655</v>
      </c>
      <c r="F1" s="1" t="s">
        <v>349</v>
      </c>
      <c r="G1" s="1" t="s">
        <v>5478</v>
      </c>
      <c r="H1" s="1" t="s">
        <v>5660</v>
      </c>
      <c r="I1" s="1" t="s">
        <v>5663</v>
      </c>
      <c r="J1" s="1" t="s">
        <v>5666</v>
      </c>
      <c r="K1" s="1" t="s">
        <v>94</v>
      </c>
    </row>
    <row r="2">
      <c r="A2" s="2" t="s">
        <v>825</v>
      </c>
      <c r="B2" s="3" t="str">
        <f>D2</f>
        <v>Cutoff Control</v>
      </c>
      <c r="C2" s="2" t="s">
        <v>13899</v>
      </c>
      <c r="D2" s="2" t="s">
        <v>13905</v>
      </c>
      <c r="E2" s="2" t="s">
        <v>13906</v>
      </c>
      <c r="F2" s="2" t="s">
        <v>13907</v>
      </c>
      <c r="G2" s="3">
        <f>COUNTIFS(Requirements!AO2:AO999, A2)</f>
        <v>1</v>
      </c>
      <c r="H2" s="3" t="b">
        <f>G2 = 0</f>
        <v>0</v>
      </c>
      <c r="I2" s="3" t="b">
        <f>G2 &gt;= 2</f>
        <v>0</v>
      </c>
      <c r="J2" s="3" t="str">
        <f>IF(H2, C2, "")</f>
      </c>
      <c r="K2" s="2" t="s">
        <v>1878</v>
      </c>
    </row>
    <row r="3">
      <c r="A3" s="2" t="s">
        <v>832</v>
      </c>
      <c r="B3" s="3" t="str">
        <f>D3</f>
        <v>Reconciliation Control</v>
      </c>
      <c r="C3" s="2" t="s">
        <v>13899</v>
      </c>
      <c r="D3" s="2" t="s">
        <v>13908</v>
      </c>
      <c r="E3" s="2" t="s">
        <v>13909</v>
      </c>
      <c r="F3" s="2" t="s">
        <v>13910</v>
      </c>
      <c r="G3" s="3">
        <f>COUNTIFS(Requirements!AO2:AO999, A3)</f>
        <v>1</v>
      </c>
      <c r="H3" s="3" t="b">
        <f>G3 = 0</f>
        <v>0</v>
      </c>
      <c r="I3" s="3" t="b">
        <f>G3 &gt;= 2</f>
        <v>0</v>
      </c>
      <c r="J3" s="3" t="str">
        <f>IF(H3, C3, "")</f>
      </c>
      <c r="K3" s="2" t="s">
        <v>1878</v>
      </c>
    </row>
    <row r="4">
      <c r="A4" s="2" t="s">
        <v>839</v>
      </c>
      <c r="B4" s="3" t="str">
        <f>D4</f>
        <v>Segregation of Duties</v>
      </c>
      <c r="C4" s="2" t="s">
        <v>13899</v>
      </c>
      <c r="D4" s="2" t="s">
        <v>13911</v>
      </c>
      <c r="E4" s="2" t="s">
        <v>13912</v>
      </c>
      <c r="F4" s="2" t="s">
        <v>13913</v>
      </c>
      <c r="G4" s="3">
        <f>COUNTIFS(Requirements!AO2:AO999, A4)</f>
        <v>1</v>
      </c>
      <c r="H4" s="3" t="b">
        <f>G4 = 0</f>
        <v>0</v>
      </c>
      <c r="I4" s="3" t="b">
        <f>G4 &gt;= 2</f>
        <v>0</v>
      </c>
      <c r="J4" s="3" t="str">
        <f>IF(H4, C4, "")</f>
      </c>
      <c r="K4" s="2" t="s">
        <v>1878</v>
      </c>
    </row>
    <row r="5">
      <c r="A5" s="2" t="s">
        <v>846</v>
      </c>
      <c r="B5" s="3" t="str">
        <f>D5</f>
        <v>Evidence Retention</v>
      </c>
      <c r="C5" s="2" t="s">
        <v>13899</v>
      </c>
      <c r="D5" s="2" t="s">
        <v>13914</v>
      </c>
      <c r="E5" s="2" t="s">
        <v>13915</v>
      </c>
      <c r="F5" s="2" t="s">
        <v>13916</v>
      </c>
      <c r="G5" s="3">
        <f>COUNTIFS(Requirements!AO2:AO999, A5)</f>
        <v>2</v>
      </c>
      <c r="H5" s="3" t="b">
        <f>G5 = 0</f>
        <v>0</v>
      </c>
      <c r="I5" s="3" t="b">
        <f>G5 &gt;= 2</f>
        <v>1</v>
      </c>
      <c r="J5" s="3" t="str">
        <f>IF(H5, C5, "")</f>
      </c>
      <c r="K5" s="2" t="s">
        <v>1878</v>
      </c>
    </row>
    <row r="6">
      <c r="A6" s="2" t="s">
        <v>851</v>
      </c>
      <c r="B6" s="3" t="str">
        <f>D6</f>
        <v>Human Approval Gate</v>
      </c>
      <c r="C6" s="2" t="s">
        <v>13899</v>
      </c>
      <c r="D6" s="2" t="s">
        <v>13917</v>
      </c>
      <c r="E6" s="2" t="s">
        <v>13918</v>
      </c>
      <c r="F6" s="2" t="s">
        <v>13919</v>
      </c>
      <c r="G6" s="3">
        <f>COUNTIFS(Requirements!AO2:AO999, A6)</f>
        <v>1</v>
      </c>
      <c r="H6" s="3" t="b">
        <f>G6 = 0</f>
        <v>0</v>
      </c>
      <c r="I6" s="3" t="b">
        <f>G6 &gt;= 2</f>
        <v>0</v>
      </c>
      <c r="J6" s="3" t="str">
        <f>IF(H6, C6, "")</f>
      </c>
      <c r="K6" s="2" t="s">
        <v>1878</v>
      </c>
    </row>
    <row r="7">
      <c r="A7" s="2" t="s">
        <v>871</v>
      </c>
      <c r="B7" s="3" t="str">
        <f>D7</f>
        <v>Consent Requirement</v>
      </c>
      <c r="C7" s="2" t="s">
        <v>13902</v>
      </c>
      <c r="D7" s="2" t="s">
        <v>13920</v>
      </c>
      <c r="E7" s="2" t="s">
        <v>13921</v>
      </c>
      <c r="F7" s="2" t="s">
        <v>13922</v>
      </c>
      <c r="G7" s="3">
        <f>COUNTIFS(Requirements!AO2:AO999, A7)</f>
        <v>1</v>
      </c>
      <c r="H7" s="3" t="b">
        <f>G7 = 0</f>
        <v>0</v>
      </c>
      <c r="I7" s="3" t="b">
        <f>G7 &gt;= 2</f>
        <v>0</v>
      </c>
      <c r="J7" s="3" t="str">
        <f>IF(H7, C7, "")</f>
      </c>
      <c r="K7" s="2" t="s">
        <v>1878</v>
      </c>
    </row>
    <row r="8">
      <c r="A8" s="2" t="s">
        <v>877</v>
      </c>
      <c r="B8" s="3" t="str">
        <f>D8</f>
        <v>Quiet Hours Restriction</v>
      </c>
      <c r="C8" s="2" t="s">
        <v>13902</v>
      </c>
      <c r="D8" s="2" t="s">
        <v>13923</v>
      </c>
      <c r="E8" s="2" t="s">
        <v>13924</v>
      </c>
      <c r="F8" s="2" t="s">
        <v>13925</v>
      </c>
      <c r="G8" s="3">
        <f>COUNTIFS(Requirements!AO2:AO999, A8)</f>
        <v>1</v>
      </c>
      <c r="H8" s="3" t="b">
        <f>G8 = 0</f>
        <v>0</v>
      </c>
      <c r="I8" s="3" t="b">
        <f>G8 &gt;= 2</f>
        <v>0</v>
      </c>
      <c r="J8" s="3" t="str">
        <f>IF(H8, C8, "")</f>
      </c>
      <c r="K8" s="2" t="s">
        <v>1878</v>
      </c>
    </row>
    <row r="9">
      <c r="A9" s="2" t="s">
        <v>882</v>
      </c>
      <c r="B9" s="3" t="str">
        <f>D9</f>
        <v>Opt-Out Requirement</v>
      </c>
      <c r="C9" s="2" t="s">
        <v>13902</v>
      </c>
      <c r="D9" s="2" t="s">
        <v>13926</v>
      </c>
      <c r="E9" s="2" t="s">
        <v>13927</v>
      </c>
      <c r="F9" s="2" t="s">
        <v>13928</v>
      </c>
      <c r="G9" s="3">
        <f>COUNTIFS(Requirements!AO2:AO999, A9)</f>
        <v>1</v>
      </c>
      <c r="H9" s="3" t="b">
        <f>G9 = 0</f>
        <v>0</v>
      </c>
      <c r="I9" s="3" t="b">
        <f>G9 &gt;= 2</f>
        <v>0</v>
      </c>
      <c r="J9" s="3" t="str">
        <f>IF(H9, C9, "")</f>
      </c>
      <c r="K9" s="2" t="s">
        <v>1878</v>
      </c>
    </row>
    <row r="10">
      <c r="A10" s="2" t="s">
        <v>892</v>
      </c>
      <c r="B10" s="3" t="str">
        <f>D10</f>
        <v>Accessibility Requirement</v>
      </c>
      <c r="C10" s="2" t="s">
        <v>13902</v>
      </c>
      <c r="D10" s="2" t="s">
        <v>13929</v>
      </c>
      <c r="E10" s="2" t="s">
        <v>13930</v>
      </c>
      <c r="F10" s="2" t="s">
        <v>13931</v>
      </c>
      <c r="G10" s="3">
        <f>COUNTIFS(Requirements!AO2:AO999, A10)</f>
        <v>1</v>
      </c>
      <c r="H10" s="3" t="b">
        <f>G10 = 0</f>
        <v>0</v>
      </c>
      <c r="I10" s="3" t="b">
        <f>G10 &gt;= 2</f>
        <v>0</v>
      </c>
      <c r="J10" s="3" t="str">
        <f>IF(H10, C10, "")</f>
      </c>
      <c r="K10" s="2" t="s">
        <v>1878</v>
      </c>
    </row>
    <row r="11">
      <c r="A11" s="2" t="s">
        <v>861</v>
      </c>
      <c r="B11" s="3" t="str">
        <f>D11</f>
        <v>Legal Review Gate</v>
      </c>
      <c r="C11" s="2" t="s">
        <v>13902</v>
      </c>
      <c r="D11" s="2" t="s">
        <v>13932</v>
      </c>
      <c r="E11" s="2" t="s">
        <v>13933</v>
      </c>
      <c r="F11" s="2" t="s">
        <v>13934</v>
      </c>
      <c r="G11" s="3">
        <f>COUNTIFS(Requirements!AO2:AO999, A11)</f>
        <v>1</v>
      </c>
      <c r="H11" s="3" t="b">
        <f>G11 = 0</f>
        <v>0</v>
      </c>
      <c r="I11" s="3" t="b">
        <f>G11 &gt;= 2</f>
        <v>0</v>
      </c>
      <c r="J11" s="3" t="str">
        <f>IF(H11, C11, "")</f>
      </c>
      <c r="K11" s="2" t="s">
        <v>1878</v>
      </c>
    </row>
    <row r="12">
      <c r="A12" s="2" t="s">
        <v>13935</v>
      </c>
      <c r="B12" s="3" t="str">
        <f>D12</f>
        <v>Data Privacy Impact</v>
      </c>
      <c r="C12" s="2" t="s">
        <v>13902</v>
      </c>
      <c r="D12" s="2" t="s">
        <v>13936</v>
      </c>
      <c r="E12" s="2" t="s">
        <v>13937</v>
      </c>
      <c r="F12" s="2" t="s">
        <v>13938</v>
      </c>
      <c r="G12" s="3">
        <f>COUNTIFS(Requirements!AO2:AO999, A12)</f>
        <v>0</v>
      </c>
      <c r="H12" s="3" t="b">
        <f>G12 = 0</f>
        <v>1</v>
      </c>
      <c r="I12" s="3" t="b">
        <f>G12 &gt;= 2</f>
        <v>0</v>
      </c>
      <c r="J12" s="3" t="str">
        <f>IF(H12, C12, "")</f>
        <v>voc-policy-domains</v>
      </c>
      <c r="K12" s="2" t="s">
        <v>1878</v>
      </c>
    </row>
    <row r="13">
      <c r="A13" s="2" t="s">
        <v>13939</v>
      </c>
      <c r="B13" s="3" t="str">
        <f>D13</f>
        <v>Third-Party Attestation</v>
      </c>
      <c r="C13" s="2" t="s">
        <v>13902</v>
      </c>
      <c r="D13" s="2" t="s">
        <v>13940</v>
      </c>
      <c r="E13" s="2" t="s">
        <v>13941</v>
      </c>
      <c r="F13" s="2" t="s">
        <v>13942</v>
      </c>
      <c r="G13" s="3">
        <f>COUNTIFS(Requirements!AO2:AO999, A13)</f>
        <v>0</v>
      </c>
      <c r="H13" s="3" t="b">
        <f>G13 = 0</f>
        <v>1</v>
      </c>
      <c r="I13" s="3" t="b">
        <f>G13 &gt;= 2</f>
        <v>0</v>
      </c>
      <c r="J13" s="3" t="str">
        <f>IF(H13, C13, "")</f>
        <v>voc-policy-domains</v>
      </c>
      <c r="K13" s="2" t="s">
        <v>1878</v>
      </c>
    </row>
  </sheetData>
  <autoFilter ref="A1:K1"/>
  <headerFooter/>
  <legacyDrawing r:id="rId1"/>
</worksheet>
</file>

<file path=xl/worksheets/sheet8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6"/>
  <sheetViews>
    <sheetView workbookViewId="0">
      <pane ySplit="1" topLeftCell="A2" state="frozen" activePane="bottomLeft"/>
      <selection pane="bottomLeft" activeCell="A1" sqref="A1"/>
    </sheetView>
  </sheetViews>
  <sheetFormatPr defaultRowHeight="15"/>
  <cols>
    <col min="1" max="1" width="23.962678909301758" customWidth="1"/>
    <col min="2" max="2" width="29.24673843383789" customWidth="1"/>
    <col min="3" max="3" width="17.443378448486328" customWidth="1"/>
    <col min="4" max="4" width="17.443378448486328" customWidth="1"/>
    <col min="5" max="5" width="17.443378448486328" customWidth="1"/>
    <col min="6" max="6" width="17.443378448486328" customWidth="1"/>
    <col min="7" max="7" width="23.35041618347168" customWidth="1"/>
    <col min="8" max="8" width="18.547500610351562" customWidth="1"/>
    <col min="9" max="9" width="23.35041618347168" customWidth="1"/>
    <col min="10" max="10" width="20.413494110107422" customWidth="1"/>
    <col min="11" max="11" width="17.443378448486328" customWidth="1"/>
    <col min="12" max="12" width="21.1502685546875" customWidth="1"/>
    <col min="13" max="13" width="17.443378448486328" customWidth="1"/>
    <col min="14" max="14" width="24.297809600830078" customWidth="1"/>
    <col min="15" max="15" width="17.443378448486328" customWidth="1"/>
    <col min="16" max="16" width="49.013633728027344" customWidth="1"/>
  </cols>
  <sheetData>
    <row r="1">
      <c r="A1" s="1" t="s">
        <v>5670</v>
      </c>
      <c r="B1" s="1" t="s">
        <v>1</v>
      </c>
      <c r="C1" s="1" t="s">
        <v>5674</v>
      </c>
      <c r="D1" s="1" t="s">
        <v>5676</v>
      </c>
      <c r="E1" s="1" t="s">
        <v>5678</v>
      </c>
      <c r="F1" s="1" t="s">
        <v>5680</v>
      </c>
      <c r="G1" s="1" t="s">
        <v>5682</v>
      </c>
      <c r="H1" s="1" t="s">
        <v>258</v>
      </c>
      <c r="I1" s="1" t="s">
        <v>92</v>
      </c>
      <c r="J1" s="1" t="s">
        <v>5686</v>
      </c>
      <c r="K1" s="1" t="s">
        <v>5689</v>
      </c>
      <c r="L1" s="1" t="s">
        <v>5692</v>
      </c>
      <c r="M1" s="1" t="s">
        <v>5695</v>
      </c>
      <c r="N1" s="1" t="s">
        <v>5698</v>
      </c>
      <c r="O1" s="1" t="s">
        <v>5701</v>
      </c>
      <c r="P1" s="1" t="s">
        <v>94</v>
      </c>
    </row>
    <row r="2">
      <c r="A2" s="2" t="s">
        <v>13943</v>
      </c>
      <c r="B2" s="3" t="str">
        <f>C2 &amp; " -&gt; " &amp; D2</f>
        <v>maria-chen -&gt; priya-raman</v>
      </c>
      <c r="C2" s="2" t="s">
        <v>139</v>
      </c>
      <c r="D2" s="2" t="s">
        <v>149</v>
      </c>
      <c r="E2" s="2" t="s">
        <v>832</v>
      </c>
      <c r="F2" s="2" t="s">
        <v>13944</v>
      </c>
      <c r="G2" s="4">
        <v>46213.583333333336</v>
      </c>
      <c r="H2" s="2" t="s">
        <v>95</v>
      </c>
      <c r="I2" s="6">
        <f>_xlfn.IFNA(INDEX(EvaluationContexts!D2:D999, MATCH(H2,EvaluationContexts!A2:A999, 0)), "")</f>
        <v>46222.75</v>
      </c>
      <c r="J2" s="5">
        <f>(INT(I2) - INT(G2))</f>
        <v>9</v>
      </c>
      <c r="K2" s="3" t="b">
        <f>AND(NOT(F2 = "Rarely"), J2 &lt;= 180)</f>
        <v>1</v>
      </c>
      <c r="L2" s="3" t="b">
        <f>_xlfn.IFNA(INDEX(Agents!I2:I999, MATCH(D2,Agents!A2:A999, 0)), "")</f>
        <v>1</v>
      </c>
      <c r="M2" s="3" t="b">
        <f>AND(K2, NOT(L2))</f>
        <v>0</v>
      </c>
      <c r="N2" s="3" t="str">
        <f>IF(K2, D2, "")</f>
        <v>priya-raman</v>
      </c>
      <c r="O2" s="3" t="str">
        <f>IF(M2, D2, "")</f>
      </c>
      <c r="P2" s="2" t="s">
        <v>1882</v>
      </c>
    </row>
    <row r="3">
      <c r="A3" s="2" t="s">
        <v>13945</v>
      </c>
      <c r="B3" s="3" t="str">
        <f>C3 &amp; " -&gt; " &amp; D3</f>
        <v>devon-okafor -&gt; priya-raman</v>
      </c>
      <c r="C3" s="2" t="s">
        <v>145</v>
      </c>
      <c r="D3" s="2" t="s">
        <v>149</v>
      </c>
      <c r="E3" s="2" t="s">
        <v>832</v>
      </c>
      <c r="F3" s="2" t="s">
        <v>13946</v>
      </c>
      <c r="G3" s="4">
        <v>46193.583333333336</v>
      </c>
      <c r="H3" s="2" t="s">
        <v>95</v>
      </c>
      <c r="I3" s="6">
        <f>_xlfn.IFNA(INDEX(EvaluationContexts!D2:D999, MATCH(H3,EvaluationContexts!A2:A999, 0)), "")</f>
        <v>46222.75</v>
      </c>
      <c r="J3" s="5">
        <f>(INT(I3) - INT(G3))</f>
        <v>29</v>
      </c>
      <c r="K3" s="3" t="b">
        <f>AND(NOT(F3 = "Rarely"), J3 &lt;= 180)</f>
        <v>1</v>
      </c>
      <c r="L3" s="3" t="b">
        <f>_xlfn.IFNA(INDEX(Agents!I2:I999, MATCH(D3,Agents!A2:A999, 0)), "")</f>
        <v>1</v>
      </c>
      <c r="M3" s="3" t="b">
        <f>AND(K3, NOT(L3))</f>
        <v>0</v>
      </c>
      <c r="N3" s="3" t="str">
        <f>IF(K3, D3, "")</f>
        <v>priya-raman</v>
      </c>
      <c r="O3" s="3" t="str">
        <f>IF(M3, D3, "")</f>
      </c>
      <c r="P3" s="2" t="s">
        <v>1882</v>
      </c>
    </row>
    <row r="4">
      <c r="A4" s="2" t="s">
        <v>13947</v>
      </c>
      <c r="B4" s="3" t="str">
        <f>C4 &amp; " -&gt; " &amp; D4</f>
        <v>elena-garcia -&gt; priya-raman</v>
      </c>
      <c r="C4" s="2" t="s">
        <v>153</v>
      </c>
      <c r="D4" s="2" t="s">
        <v>149</v>
      </c>
      <c r="E4" s="2" t="s">
        <v>839</v>
      </c>
      <c r="F4" s="2" t="s">
        <v>13944</v>
      </c>
      <c r="G4" s="4">
        <v>46208.583333333336</v>
      </c>
      <c r="H4" s="2" t="s">
        <v>95</v>
      </c>
      <c r="I4" s="6">
        <f>_xlfn.IFNA(INDEX(EvaluationContexts!D2:D999, MATCH(H4,EvaluationContexts!A2:A999, 0)), "")</f>
        <v>46222.75</v>
      </c>
      <c r="J4" s="5">
        <f>(INT(I4) - INT(G4))</f>
        <v>14</v>
      </c>
      <c r="K4" s="3" t="b">
        <f>AND(NOT(F4 = "Rarely"), J4 &lt;= 180)</f>
        <v>1</v>
      </c>
      <c r="L4" s="3" t="b">
        <f>_xlfn.IFNA(INDEX(Agents!I2:I999, MATCH(D4,Agents!A2:A999, 0)), "")</f>
        <v>1</v>
      </c>
      <c r="M4" s="3" t="b">
        <f>AND(K4, NOT(L4))</f>
        <v>0</v>
      </c>
      <c r="N4" s="3" t="str">
        <f>IF(K4, D4, "")</f>
        <v>priya-raman</v>
      </c>
      <c r="O4" s="3" t="str">
        <f>IF(M4, D4, "")</f>
      </c>
      <c r="P4" s="2" t="s">
        <v>1882</v>
      </c>
    </row>
    <row r="5">
      <c r="A5" s="2" t="s">
        <v>13948</v>
      </c>
      <c r="B5" s="3" t="str">
        <f>C5 &amp; " -&gt; " &amp; D5</f>
        <v>amina-yusuf -&gt; jordan-park</v>
      </c>
      <c r="C5" s="2" t="s">
        <v>161</v>
      </c>
      <c r="D5" s="2" t="s">
        <v>181</v>
      </c>
      <c r="E5" s="2" t="s">
        <v>839</v>
      </c>
      <c r="F5" s="2" t="s">
        <v>13944</v>
      </c>
      <c r="G5" s="4">
        <v>46204.583333333336</v>
      </c>
      <c r="H5" s="2" t="s">
        <v>95</v>
      </c>
      <c r="I5" s="6">
        <f>_xlfn.IFNA(INDEX(EvaluationContexts!D2:D999, MATCH(H5,EvaluationContexts!A2:A999, 0)), "")</f>
        <v>46222.75</v>
      </c>
      <c r="J5" s="5">
        <f>(INT(I5) - INT(G5))</f>
        <v>18</v>
      </c>
      <c r="K5" s="3" t="b">
        <f>AND(NOT(F5 = "Rarely"), J5 &lt;= 180)</f>
        <v>1</v>
      </c>
      <c r="L5" s="3" t="b">
        <f>_xlfn.IFNA(INDEX(Agents!I2:I999, MATCH(D5,Agents!A2:A999, 0)), "")</f>
        <v>0</v>
      </c>
      <c r="M5" s="3" t="b">
        <f>AND(K5, NOT(L5))</f>
        <v>1</v>
      </c>
      <c r="N5" s="3" t="str">
        <f>IF(K5, D5, "")</f>
        <v>jordan-park</v>
      </c>
      <c r="O5" s="3" t="str">
        <f>IF(M5, D5, "")</f>
        <v>jordan-park</v>
      </c>
      <c r="P5" s="2" t="s">
        <v>1882</v>
      </c>
    </row>
    <row r="6">
      <c r="A6" s="2" t="s">
        <v>13949</v>
      </c>
      <c r="B6" s="3" t="str">
        <f>C6 &amp; " -&gt; " &amp; D6</f>
        <v>noah-williams -&gt; elena-garcia</v>
      </c>
      <c r="C6" s="2" t="s">
        <v>157</v>
      </c>
      <c r="D6" s="2" t="s">
        <v>153</v>
      </c>
      <c r="E6" s="2" t="s">
        <v>877</v>
      </c>
      <c r="F6" s="2" t="s">
        <v>13950</v>
      </c>
      <c r="G6" s="4">
        <v>45658.583333333336</v>
      </c>
      <c r="H6" s="2" t="s">
        <v>95</v>
      </c>
      <c r="I6" s="6">
        <f>_xlfn.IFNA(INDEX(EvaluationContexts!D2:D999, MATCH(H6,EvaluationContexts!A2:A999, 0)), "")</f>
        <v>46222.75</v>
      </c>
      <c r="J6" s="5">
        <f>(INT(I6) - INT(G6))</f>
        <v>564</v>
      </c>
      <c r="K6" s="3" t="b">
        <f>AND(NOT(F6 = "Rarely"), J6 &lt;= 180)</f>
        <v>0</v>
      </c>
      <c r="L6" s="3" t="b">
        <f>_xlfn.IFNA(INDEX(Agents!I2:I999, MATCH(D6,Agents!A2:A999, 0)), "")</f>
        <v>1</v>
      </c>
      <c r="M6" s="3" t="b">
        <f>AND(K6, NOT(L6))</f>
        <v>0</v>
      </c>
      <c r="N6" s="3" t="str">
        <f>IF(K6, D6, "")</f>
      </c>
      <c r="O6" s="3" t="str">
        <f>IF(M6, D6, "")</f>
      </c>
      <c r="P6" s="2" t="s">
        <v>1882</v>
      </c>
    </row>
  </sheetData>
  <autoFilter ref="A1:P1"/>
  <headerFooter/>
  <legacyDrawing r:id="rId1"/>
</worksheet>
</file>

<file path=xl/worksheets/sheet8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9"/>
  <sheetViews>
    <sheetView workbookViewId="0">
      <pane ySplit="1" topLeftCell="A2" state="frozen" activePane="bottomLeft"/>
      <selection pane="bottomLeft" activeCell="A1" sqref="A1"/>
    </sheetView>
  </sheetViews>
  <sheetFormatPr defaultRowHeight="15"/>
  <cols>
    <col min="1" max="1" width="26.533050537109375" customWidth="1"/>
    <col min="2" max="2" width="22.93600082397461" customWidth="1"/>
    <col min="3" max="3" width="22.93600082397461" customWidth="1"/>
    <col min="4" max="4" width="28.44084358215332" customWidth="1"/>
    <col min="5" max="5" width="27.24659538269043" customWidth="1"/>
    <col min="6" max="6" width="55.47088623046875" customWidth="1"/>
    <col min="7" max="7" width="256" customWidth="1"/>
    <col min="8" max="8" width="17.443378448486328" customWidth="1"/>
    <col min="9" max="9" width="17.443378448486328" customWidth="1"/>
    <col min="10" max="10" width="17.443378448486328" customWidth="1"/>
    <col min="11" max="11" width="17.443378448486328" customWidth="1"/>
    <col min="12" max="12" width="17.623083114624023" customWidth="1"/>
    <col min="13" max="13" width="17.88685417175293" customWidth="1"/>
    <col min="14" max="14" width="20.716821670532227" customWidth="1"/>
    <col min="15" max="15" width="17.443378448486328" customWidth="1"/>
    <col min="16" max="16" width="17.443378448486328" customWidth="1"/>
    <col min="17" max="17" width="22.463464736938477" customWidth="1"/>
    <col min="18" max="18" width="23.2163143157959" customWidth="1"/>
    <col min="19" max="19" width="18.80973243713379" customWidth="1"/>
    <col min="20" max="20" width="50.0574951171875" customWidth="1"/>
  </cols>
  <sheetData>
    <row r="1">
      <c r="A1" s="1" t="s">
        <v>5705</v>
      </c>
      <c r="B1" s="1" t="s">
        <v>1</v>
      </c>
      <c r="C1" s="1" t="s">
        <v>19</v>
      </c>
      <c r="D1" s="1" t="s">
        <v>5709</v>
      </c>
      <c r="E1" s="1" t="s">
        <v>5711</v>
      </c>
      <c r="F1" s="1" t="s">
        <v>5713</v>
      </c>
      <c r="G1" s="1" t="s">
        <v>5715</v>
      </c>
      <c r="H1" s="1" t="s">
        <v>253</v>
      </c>
      <c r="I1" s="1" t="s">
        <v>5215</v>
      </c>
      <c r="J1" s="1" t="s">
        <v>5719</v>
      </c>
      <c r="K1" s="1" t="s">
        <v>5722</v>
      </c>
      <c r="L1" s="1" t="s">
        <v>5725</v>
      </c>
      <c r="M1" s="1" t="s">
        <v>5728</v>
      </c>
      <c r="N1" s="1" t="s">
        <v>5731</v>
      </c>
      <c r="O1" s="1" t="s">
        <v>5734</v>
      </c>
      <c r="P1" s="1" t="s">
        <v>5737</v>
      </c>
      <c r="Q1" s="1" t="s">
        <v>5740</v>
      </c>
      <c r="R1" s="1" t="s">
        <v>5743</v>
      </c>
      <c r="S1" s="1" t="s">
        <v>5746</v>
      </c>
      <c r="T1" s="1" t="s">
        <v>94</v>
      </c>
    </row>
    <row r="2">
      <c r="A2" s="2" t="s">
        <v>13951</v>
      </c>
      <c r="B2" s="3" t="str">
        <f>C2</f>
        <v>compile-rulebook</v>
      </c>
      <c r="C2" s="2" t="s">
        <v>13951</v>
      </c>
      <c r="D2" s="2" t="s">
        <v>13951</v>
      </c>
      <c r="E2" s="2" t="s">
        <v>13952</v>
      </c>
      <c r="F2" s="2" t="s">
        <v>13953</v>
      </c>
      <c r="G2" s="2" t="s">
        <v>13954</v>
      </c>
      <c r="H2" s="2" t="s">
        <v>13955</v>
      </c>
      <c r="I2" s="2">
        <v>0</v>
      </c>
      <c r="J2" s="3" t="b">
        <f>H2 = "graded"</f>
        <v>0</v>
      </c>
      <c r="K2" s="3">
        <f>COUNTIFS(SubstrateRunScores!D2:D999, A2)</f>
        <v>0</v>
      </c>
      <c r="L2" s="3">
        <f>SUMIFS(SubstrateRunScores!W2:W999,SubstrateRunScores!D2:D999, A2)</f>
        <v>0</v>
      </c>
      <c r="M2" s="3">
        <f>SUMIFS(SubstrateRunScores!X2:X999,SubstrateRunScores!D2:D999, A2)</f>
        <v>0</v>
      </c>
      <c r="N2" s="3">
        <f>SUMIFS(SubstrateRunScores!Y2:Y999,SubstrateRunScores!D2:D999, A2)</f>
        <v>0</v>
      </c>
      <c r="O2" s="3">
        <f>L2 - M2</f>
        <v>0</v>
      </c>
      <c r="P2" s="3">
        <f>IF(L2 = 0, 0, ROUND(100 * M2 / L2, 2))</f>
        <v>0</v>
      </c>
      <c r="Q2" s="3">
        <f>COUNTIFS(FieldDisagreements!C2:C999, A2)</f>
        <v>0</v>
      </c>
      <c r="R2" s="3">
        <f>COUNTIFS(TableConformance!N2:N999, A2)</f>
        <v>0</v>
      </c>
      <c r="S2" s="3" t="b">
        <f>AND(L2 &gt; 0, O2 = 0, N2 = 0)</f>
        <v>0</v>
      </c>
      <c r="T2" s="2" t="s">
        <v>1886</v>
      </c>
    </row>
    <row r="3">
      <c r="A3" s="2" t="s">
        <v>13956</v>
      </c>
      <c r="B3" s="3" t="str">
        <f>C3</f>
        <v>PostgreSQL</v>
      </c>
      <c r="C3" s="2" t="s">
        <v>13957</v>
      </c>
      <c r="D3" s="2" t="s">
        <v>13958</v>
      </c>
      <c r="E3" s="2" t="s">
        <v>13959</v>
      </c>
      <c r="F3" s="2" t="s">
        <v>13960</v>
      </c>
      <c r="G3" s="2" t="s">
        <v>13961</v>
      </c>
      <c r="H3" s="2" t="s">
        <v>13962</v>
      </c>
      <c r="I3" s="2">
        <v>1</v>
      </c>
      <c r="J3" s="3" t="b">
        <f>H3 = "graded"</f>
        <v>1</v>
      </c>
      <c r="K3" s="3">
        <f>COUNTIFS(SubstrateRunScores!D2:D999, A3)</f>
        <v>1</v>
      </c>
      <c r="L3" s="3">
        <f>SUMIFS(SubstrateRunScores!W2:W999,SubstrateRunScores!D2:D999, A3)</f>
        <v>59878</v>
      </c>
      <c r="M3" s="3">
        <f>SUMIFS(SubstrateRunScores!X2:X999,SubstrateRunScores!D2:D999, A3)</f>
        <v>59763</v>
      </c>
      <c r="N3" s="3">
        <f>SUMIFS(SubstrateRunScores!Y2:Y999,SubstrateRunScores!D2:D999, A3)</f>
        <v>0</v>
      </c>
      <c r="O3" s="3">
        <f>L3 - M3</f>
        <v>115</v>
      </c>
      <c r="P3" s="3">
        <f>IF(L3 = 0, 0, ROUND(100 * M3 / L3, 2))</f>
        <v>99.81</v>
      </c>
      <c r="Q3" s="3">
        <f>COUNTIFS(FieldDisagreements!C2:C999, A3)</f>
        <v>32</v>
      </c>
      <c r="R3" s="3">
        <f>COUNTIFS(TableConformance!N2:N999, A3)</f>
        <v>18</v>
      </c>
      <c r="S3" s="3" t="b">
        <f>AND(L3 &gt; 0, O3 = 0, N3 = 0)</f>
        <v>0</v>
      </c>
      <c r="T3" s="2" t="s">
        <v>1886</v>
      </c>
    </row>
    <row r="4">
      <c r="A4" s="2" t="s">
        <v>13963</v>
      </c>
      <c r="B4" s="3" t="str">
        <f>C4</f>
        <v>Python</v>
      </c>
      <c r="C4" s="2" t="s">
        <v>13964</v>
      </c>
      <c r="D4" s="2" t="s">
        <v>13965</v>
      </c>
      <c r="E4" s="2" t="s">
        <v>13966</v>
      </c>
      <c r="F4" s="2" t="s">
        <v>13967</v>
      </c>
      <c r="G4" s="2" t="s">
        <v>13968</v>
      </c>
      <c r="H4" s="2" t="s">
        <v>13962</v>
      </c>
      <c r="I4" s="2">
        <v>2</v>
      </c>
      <c r="J4" s="3" t="b">
        <f>H4 = "graded"</f>
        <v>1</v>
      </c>
      <c r="K4" s="3">
        <f>COUNTIFS(SubstrateRunScores!D2:D999, A4)</f>
        <v>1</v>
      </c>
      <c r="L4" s="3">
        <f>SUMIFS(SubstrateRunScores!W2:W999,SubstrateRunScores!D2:D999, A4)</f>
        <v>59878</v>
      </c>
      <c r="M4" s="3">
        <f>SUMIFS(SubstrateRunScores!X2:X999,SubstrateRunScores!D2:D999, A4)</f>
        <v>59764</v>
      </c>
      <c r="N4" s="3">
        <f>SUMIFS(SubstrateRunScores!Y2:Y999,SubstrateRunScores!D2:D999, A4)</f>
        <v>0</v>
      </c>
      <c r="O4" s="3">
        <f>L4 - M4</f>
        <v>114</v>
      </c>
      <c r="P4" s="3">
        <f>IF(L4 = 0, 0, ROUND(100 * M4 / L4, 2))</f>
        <v>99.81</v>
      </c>
      <c r="Q4" s="3">
        <f>COUNTIFS(FieldDisagreements!C2:C999, A4)</f>
        <v>31</v>
      </c>
      <c r="R4" s="3">
        <f>COUNTIFS(TableConformance!N2:N999, A4)</f>
        <v>17</v>
      </c>
      <c r="S4" s="3" t="b">
        <f>AND(L4 &gt; 0, O4 = 0, N4 = 0)</f>
        <v>0</v>
      </c>
      <c r="T4" s="2" t="s">
        <v>1886</v>
      </c>
    </row>
    <row r="5">
      <c r="A5" s="2" t="s">
        <v>13969</v>
      </c>
      <c r="B5" s="3" t="str">
        <f>C5</f>
        <v>Go</v>
      </c>
      <c r="C5" s="2" t="s">
        <v>13970</v>
      </c>
      <c r="D5" s="2" t="s">
        <v>13971</v>
      </c>
      <c r="E5" s="2" t="s">
        <v>13972</v>
      </c>
      <c r="F5" s="2" t="s">
        <v>13973</v>
      </c>
      <c r="G5" s="2" t="s">
        <v>13974</v>
      </c>
      <c r="H5" s="2" t="s">
        <v>13962</v>
      </c>
      <c r="I5" s="2">
        <v>3</v>
      </c>
      <c r="J5" s="3" t="b">
        <f>H5 = "graded"</f>
        <v>1</v>
      </c>
      <c r="K5" s="3">
        <f>COUNTIFS(SubstrateRunScores!D2:D999, A5)</f>
        <v>1</v>
      </c>
      <c r="L5" s="3">
        <f>SUMIFS(SubstrateRunScores!W2:W999,SubstrateRunScores!D2:D999, A5)</f>
        <v>59878</v>
      </c>
      <c r="M5" s="3">
        <f>SUMIFS(SubstrateRunScores!X2:X999,SubstrateRunScores!D2:D999, A5)</f>
        <v>59764</v>
      </c>
      <c r="N5" s="3">
        <f>SUMIFS(SubstrateRunScores!Y2:Y999,SubstrateRunScores!D2:D999, A5)</f>
        <v>0</v>
      </c>
      <c r="O5" s="3">
        <f>L5 - M5</f>
        <v>114</v>
      </c>
      <c r="P5" s="3">
        <f>IF(L5 = 0, 0, ROUND(100 * M5 / L5, 2))</f>
        <v>99.81</v>
      </c>
      <c r="Q5" s="3">
        <f>COUNTIFS(FieldDisagreements!C2:C999, A5)</f>
        <v>31</v>
      </c>
      <c r="R5" s="3">
        <f>COUNTIFS(TableConformance!N2:N999, A5)</f>
        <v>17</v>
      </c>
      <c r="S5" s="3" t="b">
        <f>AND(L5 &gt; 0, O5 = 0, N5 = 0)</f>
        <v>0</v>
      </c>
      <c r="T5" s="2" t="s">
        <v>1886</v>
      </c>
    </row>
    <row r="6">
      <c r="A6" s="2" t="s">
        <v>13975</v>
      </c>
      <c r="B6" s="3" t="str">
        <f>C6</f>
        <v>TypeScript</v>
      </c>
      <c r="C6" s="2" t="s">
        <v>13976</v>
      </c>
      <c r="D6" s="2" t="s">
        <v>13977</v>
      </c>
      <c r="E6" s="2" t="s">
        <v>13978</v>
      </c>
      <c r="F6" s="2" t="s">
        <v>13979</v>
      </c>
      <c r="G6" s="2" t="s">
        <v>13980</v>
      </c>
      <c r="H6" s="2" t="s">
        <v>13962</v>
      </c>
      <c r="I6" s="2">
        <v>4</v>
      </c>
      <c r="J6" s="3" t="b">
        <f>H6 = "graded"</f>
        <v>1</v>
      </c>
      <c r="K6" s="3">
        <f>COUNTIFS(SubstrateRunScores!D2:D999, A6)</f>
        <v>1</v>
      </c>
      <c r="L6" s="3">
        <f>SUMIFS(SubstrateRunScores!W2:W999,SubstrateRunScores!D2:D999, A6)</f>
        <v>59878</v>
      </c>
      <c r="M6" s="3">
        <f>SUMIFS(SubstrateRunScores!X2:X999,SubstrateRunScores!D2:D999, A6)</f>
        <v>59764</v>
      </c>
      <c r="N6" s="3">
        <f>SUMIFS(SubstrateRunScores!Y2:Y999,SubstrateRunScores!D2:D999, A6)</f>
        <v>0</v>
      </c>
      <c r="O6" s="3">
        <f>L6 - M6</f>
        <v>114</v>
      </c>
      <c r="P6" s="3">
        <f>IF(L6 = 0, 0, ROUND(100 * M6 / L6, 2))</f>
        <v>99.81</v>
      </c>
      <c r="Q6" s="3">
        <f>COUNTIFS(FieldDisagreements!C2:C999, A6)</f>
        <v>31</v>
      </c>
      <c r="R6" s="3">
        <f>COUNTIFS(TableConformance!N2:N999, A6)</f>
        <v>17</v>
      </c>
      <c r="S6" s="3" t="b">
        <f>AND(L6 &gt; 0, O6 = 0, N6 = 0)</f>
        <v>0</v>
      </c>
      <c r="T6" s="2" t="s">
        <v>1886</v>
      </c>
    </row>
    <row r="7">
      <c r="A7" s="2" t="s">
        <v>13981</v>
      </c>
      <c r="B7" s="3" t="str">
        <f>C7</f>
        <v>C# / Entity Framework</v>
      </c>
      <c r="C7" s="2" t="s">
        <v>13982</v>
      </c>
      <c r="D7" s="2" t="s">
        <v>13983</v>
      </c>
      <c r="E7" s="2" t="s">
        <v>13984</v>
      </c>
      <c r="F7" s="2" t="s">
        <v>13985</v>
      </c>
      <c r="G7" s="2" t="s">
        <v>13986</v>
      </c>
      <c r="H7" s="2" t="s">
        <v>13962</v>
      </c>
      <c r="I7" s="2">
        <v>5</v>
      </c>
      <c r="J7" s="3" t="b">
        <f>H7 = "graded"</f>
        <v>1</v>
      </c>
      <c r="K7" s="3">
        <f>COUNTIFS(SubstrateRunScores!D2:D999, A7)</f>
        <v>1</v>
      </c>
      <c r="L7" s="3">
        <f>SUMIFS(SubstrateRunScores!W2:W999,SubstrateRunScores!D2:D999, A7)</f>
        <v>59878</v>
      </c>
      <c r="M7" s="3">
        <f>SUMIFS(SubstrateRunScores!X2:X999,SubstrateRunScores!D2:D999, A7)</f>
        <v>59764</v>
      </c>
      <c r="N7" s="3">
        <f>SUMIFS(SubstrateRunScores!Y2:Y999,SubstrateRunScores!D2:D999, A7)</f>
        <v>0</v>
      </c>
      <c r="O7" s="3">
        <f>L7 - M7</f>
        <v>114</v>
      </c>
      <c r="P7" s="3">
        <f>IF(L7 = 0, 0, ROUND(100 * M7 / L7, 2))</f>
        <v>99.81</v>
      </c>
      <c r="Q7" s="3">
        <f>COUNTIFS(FieldDisagreements!C2:C999, A7)</f>
        <v>31</v>
      </c>
      <c r="R7" s="3">
        <f>COUNTIFS(TableConformance!N2:N999, A7)</f>
        <v>17</v>
      </c>
      <c r="S7" s="3" t="b">
        <f>AND(L7 &gt; 0, O7 = 0, N7 = 0)</f>
        <v>0</v>
      </c>
      <c r="T7" s="2" t="s">
        <v>1886</v>
      </c>
    </row>
    <row r="8">
      <c r="A8" s="2" t="s">
        <v>13987</v>
      </c>
      <c r="B8" s="3" t="str">
        <f>C8</f>
        <v>Excel</v>
      </c>
      <c r="C8" s="2" t="s">
        <v>13988</v>
      </c>
      <c r="D8" s="2" t="s">
        <v>13989</v>
      </c>
      <c r="E8" s="2" t="s">
        <v>13990</v>
      </c>
      <c r="F8" s="2" t="s">
        <v>13991</v>
      </c>
      <c r="G8" s="2" t="s">
        <v>13992</v>
      </c>
      <c r="H8" s="2" t="s">
        <v>13962</v>
      </c>
      <c r="I8" s="2">
        <v>6</v>
      </c>
      <c r="J8" s="3" t="b">
        <f>H8 = "graded"</f>
        <v>1</v>
      </c>
      <c r="K8" s="3">
        <f>COUNTIFS(SubstrateRunScores!D2:D999, A8)</f>
        <v>1</v>
      </c>
      <c r="L8" s="3">
        <f>SUMIFS(SubstrateRunScores!W2:W999,SubstrateRunScores!D2:D999, A8)</f>
        <v>59878</v>
      </c>
      <c r="M8" s="3">
        <f>SUMIFS(SubstrateRunScores!X2:X999,SubstrateRunScores!D2:D999, A8)</f>
        <v>53868</v>
      </c>
      <c r="N8" s="3">
        <f>SUMIFS(SubstrateRunScores!Y2:Y999,SubstrateRunScores!D2:D999, A8)</f>
        <v>0</v>
      </c>
      <c r="O8" s="3">
        <f>L8 - M8</f>
        <v>6010</v>
      </c>
      <c r="P8" s="3">
        <f>IF(L8 = 0, 0, ROUND(100 * M8 / L8, 2))</f>
        <v>89.96</v>
      </c>
      <c r="Q8" s="3">
        <f>COUNTIFS(FieldDisagreements!C2:C999, A8)</f>
        <v>162</v>
      </c>
      <c r="R8" s="3">
        <f>COUNTIFS(TableConformance!N2:N999, A8)</f>
        <v>35</v>
      </c>
      <c r="S8" s="3" t="b">
        <f>AND(L8 &gt; 0, O8 = 0, N8 = 0)</f>
        <v>0</v>
      </c>
      <c r="T8" s="2" t="s">
        <v>1886</v>
      </c>
    </row>
    <row r="9">
      <c r="A9" s="2" t="s">
        <v>13993</v>
      </c>
      <c r="B9" s="3" t="str">
        <f>C9</f>
        <v>OWL / SHACL</v>
      </c>
      <c r="C9" s="2" t="s">
        <v>13994</v>
      </c>
      <c r="D9" s="2" t="s">
        <v>13995</v>
      </c>
      <c r="E9" s="2" t="s">
        <v>13996</v>
      </c>
      <c r="F9" s="2" t="s">
        <v>13997</v>
      </c>
      <c r="G9" s="2" t="s">
        <v>13998</v>
      </c>
      <c r="H9" s="2" t="s">
        <v>13962</v>
      </c>
      <c r="I9" s="2">
        <v>7</v>
      </c>
      <c r="J9" s="3" t="b">
        <f>H9 = "graded"</f>
        <v>1</v>
      </c>
      <c r="K9" s="3">
        <f>COUNTIFS(SubstrateRunScores!D2:D999, A9)</f>
        <v>1</v>
      </c>
      <c r="L9" s="3">
        <f>SUMIFS(SubstrateRunScores!W2:W999,SubstrateRunScores!D2:D999, A9)</f>
        <v>59878</v>
      </c>
      <c r="M9" s="3">
        <f>SUMIFS(SubstrateRunScores!X2:X999,SubstrateRunScores!D2:D999, A9)</f>
        <v>59587</v>
      </c>
      <c r="N9" s="3">
        <f>SUMIFS(SubstrateRunScores!Y2:Y999,SubstrateRunScores!D2:D999, A9)</f>
        <v>0</v>
      </c>
      <c r="O9" s="3">
        <f>L9 - M9</f>
        <v>291</v>
      </c>
      <c r="P9" s="3">
        <f>IF(L9 = 0, 0, ROUND(100 * M9 / L9, 2))</f>
        <v>99.51</v>
      </c>
      <c r="Q9" s="3">
        <f>COUNTIFS(FieldDisagreements!C2:C999, A9)</f>
        <v>82</v>
      </c>
      <c r="R9" s="3">
        <f>COUNTIFS(TableConformance!N2:N999, A9)</f>
        <v>21</v>
      </c>
      <c r="S9" s="3" t="b">
        <f>AND(L9 &gt; 0, O9 = 0, N9 = 0)</f>
        <v>0</v>
      </c>
      <c r="T9" s="2" t="s">
        <v>1886</v>
      </c>
    </row>
  </sheetData>
  <autoFilter ref="A1:T1"/>
  <headerFooter/>
  <legacyDrawing r:id="rId1"/>
</worksheet>
</file>

<file path=xl/worksheets/sheet9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2"/>
  <sheetViews>
    <sheetView workbookViewId="0">
      <pane ySplit="1" topLeftCell="A2" state="frozen" activePane="bottomLeft"/>
      <selection pane="bottomLeft" activeCell="A1" sqref="A1"/>
    </sheetView>
  </sheetViews>
  <sheetFormatPr defaultRowHeight="15"/>
  <cols>
    <col min="1" max="1" width="23.239910125732422" customWidth="1"/>
    <col min="2" max="2" width="23.239910125732422" customWidth="1"/>
    <col min="3" max="3" width="23.35041618347168" customWidth="1"/>
    <col min="4" max="4" width="17.478349685668945" customWidth="1"/>
    <col min="5" max="5" width="18.320735931396484" customWidth="1"/>
    <col min="6" max="6" width="17.443378448486328" customWidth="1"/>
    <col min="7" max="7" width="106.1751708984375" customWidth="1"/>
    <col min="8" max="8" width="17.443378448486328" customWidth="1"/>
    <col min="9" max="9" width="22.719751358032227" customWidth="1"/>
    <col min="10" max="10" width="17.443378448486328" customWidth="1"/>
    <col min="11" max="11" width="17.443378448486328" customWidth="1"/>
    <col min="12" max="12" width="17.443378448486328" customWidth="1"/>
    <col min="13" max="13" width="17.443378448486328" customWidth="1"/>
    <col min="14" max="14" width="25.16436195373535" customWidth="1"/>
    <col min="15" max="15" width="18.80973243713379" customWidth="1"/>
    <col min="16" max="16" width="44.88669204711914" customWidth="1"/>
  </cols>
  <sheetData>
    <row r="1">
      <c r="A1" s="1" t="s">
        <v>5750</v>
      </c>
      <c r="B1" s="1" t="s">
        <v>1</v>
      </c>
      <c r="C1" s="1" t="s">
        <v>5754</v>
      </c>
      <c r="D1" s="1" t="s">
        <v>5756</v>
      </c>
      <c r="E1" s="1" t="s">
        <v>5758</v>
      </c>
      <c r="F1" s="1" t="s">
        <v>5760</v>
      </c>
      <c r="G1" s="1" t="s">
        <v>1740</v>
      </c>
      <c r="H1" s="1" t="s">
        <v>5763</v>
      </c>
      <c r="I1" s="1" t="s">
        <v>5766</v>
      </c>
      <c r="J1" s="1" t="s">
        <v>5769</v>
      </c>
      <c r="K1" s="1" t="s">
        <v>5772</v>
      </c>
      <c r="L1" s="1" t="s">
        <v>5775</v>
      </c>
      <c r="M1" s="1" t="s">
        <v>5778</v>
      </c>
      <c r="N1" s="1" t="s">
        <v>5781</v>
      </c>
      <c r="O1" s="1" t="s">
        <v>5746</v>
      </c>
      <c r="P1" s="1" t="s">
        <v>94</v>
      </c>
    </row>
    <row r="2">
      <c r="A2" s="2" t="s">
        <v>13999</v>
      </c>
      <c r="B2" s="3" t="str">
        <f>A2</f>
        <v>run-20260913-165336</v>
      </c>
      <c r="C2" s="4">
        <v>46278.91222222222</v>
      </c>
      <c r="D2" s="2" t="s">
        <v>14000</v>
      </c>
      <c r="E2" s="2" t="s">
        <v>13951</v>
      </c>
      <c r="F2" s="2" t="b">
        <v>1</v>
      </c>
      <c r="G2" s="2" t="s">
        <v>14001</v>
      </c>
      <c r="H2" s="3">
        <f>COUNTIFS(SubstrateRunScores!C2:C999, A2)</f>
        <v>7</v>
      </c>
      <c r="I2" s="3">
        <f>COUNTIFS(SubstrateRunScores!U2:U999, A2)</f>
        <v>0</v>
      </c>
      <c r="J2" s="3">
        <f>SUMIFS(SubstrateRunScores!G2:G999,SubstrateRunScores!C2:C999, A2)</f>
        <v>419146</v>
      </c>
      <c r="K2" s="3">
        <f>SUMIFS(SubstrateRunScores!H2:H999,SubstrateRunScores!C2:C999, A2)</f>
        <v>412274</v>
      </c>
      <c r="L2" s="3">
        <f>J2 - K2</f>
        <v>6872</v>
      </c>
      <c r="M2" s="3">
        <f>IF(J2 = 0, 0, ROUND(100 * K2 / J2, 2))</f>
        <v>98.36</v>
      </c>
      <c r="N2" s="3">
        <f>H2 - I2</f>
        <v>7</v>
      </c>
      <c r="O2" s="3" t="b">
        <f>AND(H2 &gt; 0, N2 = 0)</f>
        <v>0</v>
      </c>
      <c r="P2" s="2" t="s">
        <v>1890</v>
      </c>
    </row>
  </sheetData>
  <autoFilter ref="A1:P1"/>
  <headerFooter/>
  <legacyDrawing r:id="rId1"/>
</worksheet>
</file>

<file path=xl/worksheets/sheet9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A8"/>
  <sheetViews>
    <sheetView workbookViewId="0">
      <pane ySplit="1" topLeftCell="A2" state="frozen" activePane="bottomLeft"/>
      <selection pane="bottomLeft" activeCell="A1" sqref="A1"/>
    </sheetView>
  </sheetViews>
  <sheetFormatPr defaultRowHeight="15"/>
  <cols>
    <col min="1" max="1" width="49.2745246887207" customWidth="1"/>
    <col min="2" max="2" width="50.627235412597656" customWidth="1"/>
    <col min="3" max="3" width="23.239910125732422" customWidth="1"/>
    <col min="4" max="4" width="26.533050537109375" customWidth="1"/>
    <col min="5" max="5" width="17.443378448486328" customWidth="1"/>
    <col min="6" max="6" width="17.660505294799805" customWidth="1"/>
    <col min="7" max="7" width="17.443378448486328" customWidth="1"/>
    <col min="8" max="8" width="17.443378448486328" customWidth="1"/>
    <col min="9" max="9" width="17.443378448486328" customWidth="1"/>
    <col min="10" max="10" width="17.574342727661133" customWidth="1"/>
    <col min="11" max="11" width="17.443378448486328" customWidth="1"/>
    <col min="12" max="12" width="17.443378448486328" customWidth="1"/>
    <col min="13" max="13" width="19.332143783569336" customWidth="1"/>
    <col min="14" max="14" width="19.591445922851562" customWidth="1"/>
    <col min="15" max="15" width="17.443378448486328" customWidth="1"/>
    <col min="16" max="16" width="17.443378448486328" customWidth="1"/>
    <col min="17" max="17" width="17.443378448486328" customWidth="1"/>
    <col min="18" max="18" width="17.443378448486328" customWidth="1"/>
    <col min="19" max="19" width="18.36872673034668" customWidth="1"/>
    <col min="20" max="20" width="17.443378448486328" customWidth="1"/>
    <col min="21" max="21" width="17.443378448486328" customWidth="1"/>
    <col min="22" max="22" width="17.443378448486328" customWidth="1"/>
    <col min="23" max="23" width="17.623083114624023" customWidth="1"/>
    <col min="24" max="24" width="17.88685417175293" customWidth="1"/>
    <col min="25" max="25" width="17.443378448486328" customWidth="1"/>
    <col min="26" max="26" width="22.93600082397461" customWidth="1"/>
    <col min="27" max="27" width="46.42279052734375" customWidth="1"/>
  </cols>
  <sheetData>
    <row r="1">
      <c r="A1" s="1" t="s">
        <v>5787</v>
      </c>
      <c r="B1" s="1" t="s">
        <v>1</v>
      </c>
      <c r="C1" s="1" t="s">
        <v>5791</v>
      </c>
      <c r="D1" s="1" t="s">
        <v>5793</v>
      </c>
      <c r="E1" s="1" t="s">
        <v>5795</v>
      </c>
      <c r="F1" s="1" t="s">
        <v>5797</v>
      </c>
      <c r="G1" s="1" t="s">
        <v>5769</v>
      </c>
      <c r="H1" s="1" t="s">
        <v>5772</v>
      </c>
      <c r="I1" s="1" t="s">
        <v>5801</v>
      </c>
      <c r="J1" s="1" t="s">
        <v>5803</v>
      </c>
      <c r="K1" s="1" t="s">
        <v>5805</v>
      </c>
      <c r="L1" s="1" t="s">
        <v>5807</v>
      </c>
      <c r="M1" s="1" t="s">
        <v>5809</v>
      </c>
      <c r="N1" s="1" t="s">
        <v>5811</v>
      </c>
      <c r="O1" s="1" t="s">
        <v>5775</v>
      </c>
      <c r="P1" s="1" t="s">
        <v>5814</v>
      </c>
      <c r="Q1" s="1" t="s">
        <v>5816</v>
      </c>
      <c r="R1" s="1" t="s">
        <v>5819</v>
      </c>
      <c r="S1" s="1" t="s">
        <v>5822</v>
      </c>
      <c r="T1" s="1" t="s">
        <v>5825</v>
      </c>
      <c r="U1" s="1" t="s">
        <v>5828</v>
      </c>
      <c r="V1" s="1" t="s">
        <v>5831</v>
      </c>
      <c r="W1" s="1" t="s">
        <v>5725</v>
      </c>
      <c r="X1" s="1" t="s">
        <v>5728</v>
      </c>
      <c r="Y1" s="1" t="s">
        <v>5838</v>
      </c>
      <c r="Z1" s="1" t="s">
        <v>5841</v>
      </c>
      <c r="AA1" s="1" t="s">
        <v>94</v>
      </c>
    </row>
    <row r="2">
      <c r="A2" s="2" t="s">
        <v>14002</v>
      </c>
      <c r="B2" s="3" t="str">
        <f>_xlfn.CONCAT(C2, " / ", D2)</f>
        <v>run-20260913-165336 / effortless-postgres</v>
      </c>
      <c r="C2" s="2" t="s">
        <v>13999</v>
      </c>
      <c r="D2" s="2" t="s">
        <v>13956</v>
      </c>
      <c r="E2" s="2" t="s">
        <v>168</v>
      </c>
      <c r="F2" s="2">
        <v>24.1</v>
      </c>
      <c r="G2" s="2">
        <v>59878</v>
      </c>
      <c r="H2" s="2">
        <v>59763</v>
      </c>
      <c r="I2" s="2">
        <v>42928</v>
      </c>
      <c r="J2" s="2">
        <v>42816</v>
      </c>
      <c r="K2" s="2">
        <v>12929</v>
      </c>
      <c r="L2" s="2">
        <v>12926</v>
      </c>
      <c r="M2" s="2">
        <v>4021</v>
      </c>
      <c r="N2" s="2">
        <v>4021</v>
      </c>
      <c r="O2" s="3">
        <f>G2 - H2</f>
        <v>115</v>
      </c>
      <c r="P2" s="3">
        <f>IF(G2 = 0, 0, ROUND(100 * H2 / G2, 2))</f>
        <v>99.81</v>
      </c>
      <c r="Q2" s="3">
        <f>IF(I2 = 0, 0, ROUND(100 * J2 / I2, 2))</f>
        <v>99.74</v>
      </c>
      <c r="R2" s="3">
        <f>IF(K2 = 0, 0, ROUND(100 * L2 / K2, 2))</f>
        <v>99.98</v>
      </c>
      <c r="S2" s="3">
        <f>IF(M2 = 0, 0, ROUND(100 * N2 / M2, 2))</f>
        <v>100</v>
      </c>
      <c r="T2" s="3" t="b">
        <f>AND(E2 = "", G2 &gt; 0, O2 = 0)</f>
        <v>0</v>
      </c>
      <c r="U2" s="3" t="str">
        <f>IF(T2, C2, "")</f>
      </c>
      <c r="V2" s="3" t="b">
        <f>_xlfn.IFNA(INDEX(ConformanceRuns!F2:F999, MATCH(C2,ConformanceRuns!A2:A999, 0)), "")</f>
        <v>1</v>
      </c>
      <c r="W2" s="3">
        <f>IF(V2, G2, 0)</f>
        <v>59878</v>
      </c>
      <c r="X2" s="3">
        <f>IF(V2, H2, 0)</f>
        <v>59763</v>
      </c>
      <c r="Y2" s="3">
        <f>IF(AND(V2, E2 &lt;&gt; ""), 1, 0)</f>
        <v>0</v>
      </c>
      <c r="Z2" s="3" t="str">
        <f>_xlfn.IFNA(INDEX(ConformanceSubstrates!C2:C999, MATCH(D2,ConformanceSubstrates!A2:A999, 0)), "")</f>
        <v>PostgreSQL</v>
      </c>
      <c r="AA2" s="2" t="s">
        <v>1894</v>
      </c>
    </row>
    <row r="3">
      <c r="A3" s="2" t="s">
        <v>14003</v>
      </c>
      <c r="B3" s="3" t="str">
        <f>_xlfn.CONCAT(C3, " / ", D3)</f>
        <v>run-20260913-165336 / effortless-xlsx</v>
      </c>
      <c r="C3" s="2" t="s">
        <v>13999</v>
      </c>
      <c r="D3" s="2" t="s">
        <v>13987</v>
      </c>
      <c r="E3" s="2" t="s">
        <v>168</v>
      </c>
      <c r="F3" s="2">
        <v>1.3</v>
      </c>
      <c r="G3" s="2">
        <v>59878</v>
      </c>
      <c r="H3" s="2">
        <v>53868</v>
      </c>
      <c r="I3" s="2">
        <v>42928</v>
      </c>
      <c r="J3" s="2">
        <v>40792</v>
      </c>
      <c r="K3" s="2">
        <v>12929</v>
      </c>
      <c r="L3" s="2">
        <v>9334</v>
      </c>
      <c r="M3" s="2">
        <v>4021</v>
      </c>
      <c r="N3" s="2">
        <v>3742</v>
      </c>
      <c r="O3" s="3">
        <f>G3 - H3</f>
        <v>6010</v>
      </c>
      <c r="P3" s="3">
        <f>IF(G3 = 0, 0, ROUND(100 * H3 / G3, 2))</f>
        <v>89.96</v>
      </c>
      <c r="Q3" s="3">
        <f>IF(I3 = 0, 0, ROUND(100 * J3 / I3, 2))</f>
        <v>95.02</v>
      </c>
      <c r="R3" s="3">
        <f>IF(K3 = 0, 0, ROUND(100 * L3 / K3, 2))</f>
        <v>72.19</v>
      </c>
      <c r="S3" s="3">
        <f>IF(M3 = 0, 0, ROUND(100 * N3 / M3, 2))</f>
        <v>93.06</v>
      </c>
      <c r="T3" s="3" t="b">
        <f>AND(E3 = "", G3 &gt; 0, O3 = 0)</f>
        <v>0</v>
      </c>
      <c r="U3" s="3" t="str">
        <f>IF(T3, C3, "")</f>
      </c>
      <c r="V3" s="3" t="b">
        <f>_xlfn.IFNA(INDEX(ConformanceRuns!F2:F999, MATCH(C3,ConformanceRuns!A2:A999, 0)), "")</f>
        <v>1</v>
      </c>
      <c r="W3" s="3">
        <f>IF(V3, G3, 0)</f>
        <v>59878</v>
      </c>
      <c r="X3" s="3">
        <f>IF(V3, H3, 0)</f>
        <v>53868</v>
      </c>
      <c r="Y3" s="3">
        <f>IF(AND(V3, E3 &lt;&gt; ""), 1, 0)</f>
        <v>0</v>
      </c>
      <c r="Z3" s="3" t="str">
        <f>_xlfn.IFNA(INDEX(ConformanceSubstrates!C2:C999, MATCH(D3,ConformanceSubstrates!A2:A999, 0)), "")</f>
        <v>Excel</v>
      </c>
      <c r="AA3" s="2" t="s">
        <v>1894</v>
      </c>
    </row>
    <row r="4">
      <c r="A4" s="2" t="s">
        <v>14004</v>
      </c>
      <c r="B4" s="3" t="str">
        <f>_xlfn.CONCAT(C4, " / ", D4)</f>
        <v>run-20260913-165336 / effortless-entity-framework</v>
      </c>
      <c r="C4" s="2" t="s">
        <v>13999</v>
      </c>
      <c r="D4" s="2" t="s">
        <v>13981</v>
      </c>
      <c r="E4" s="2" t="s">
        <v>168</v>
      </c>
      <c r="F4" s="2">
        <v>5.8</v>
      </c>
      <c r="G4" s="2">
        <v>59878</v>
      </c>
      <c r="H4" s="2">
        <v>59764</v>
      </c>
      <c r="I4" s="2">
        <v>42928</v>
      </c>
      <c r="J4" s="2">
        <v>42817</v>
      </c>
      <c r="K4" s="2">
        <v>12929</v>
      </c>
      <c r="L4" s="2">
        <v>12926</v>
      </c>
      <c r="M4" s="2">
        <v>4021</v>
      </c>
      <c r="N4" s="2">
        <v>4021</v>
      </c>
      <c r="O4" s="3">
        <f>G4 - H4</f>
        <v>114</v>
      </c>
      <c r="P4" s="3">
        <f>IF(G4 = 0, 0, ROUND(100 * H4 / G4, 2))</f>
        <v>99.81</v>
      </c>
      <c r="Q4" s="3">
        <f>IF(I4 = 0, 0, ROUND(100 * J4 / I4, 2))</f>
        <v>99.74</v>
      </c>
      <c r="R4" s="3">
        <f>IF(K4 = 0, 0, ROUND(100 * L4 / K4, 2))</f>
        <v>99.98</v>
      </c>
      <c r="S4" s="3">
        <f>IF(M4 = 0, 0, ROUND(100 * N4 / M4, 2))</f>
        <v>100</v>
      </c>
      <c r="T4" s="3" t="b">
        <f>AND(E4 = "", G4 &gt; 0, O4 = 0)</f>
        <v>0</v>
      </c>
      <c r="U4" s="3" t="str">
        <f>IF(T4, C4, "")</f>
      </c>
      <c r="V4" s="3" t="b">
        <f>_xlfn.IFNA(INDEX(ConformanceRuns!F2:F999, MATCH(C4,ConformanceRuns!A2:A999, 0)), "")</f>
        <v>1</v>
      </c>
      <c r="W4" s="3">
        <f>IF(V4, G4, 0)</f>
        <v>59878</v>
      </c>
      <c r="X4" s="3">
        <f>IF(V4, H4, 0)</f>
        <v>59764</v>
      </c>
      <c r="Y4" s="3">
        <f>IF(AND(V4, E4 &lt;&gt; ""), 1, 0)</f>
        <v>0</v>
      </c>
      <c r="Z4" s="3" t="str">
        <f>_xlfn.IFNA(INDEX(ConformanceSubstrates!C2:C999, MATCH(D4,ConformanceSubstrates!A2:A999, 0)), "")</f>
        <v>C# / Entity Framework</v>
      </c>
      <c r="AA4" s="2" t="s">
        <v>1894</v>
      </c>
    </row>
    <row r="5">
      <c r="A5" s="2" t="s">
        <v>14005</v>
      </c>
      <c r="B5" s="3" t="str">
        <f>_xlfn.CONCAT(C5, " / ", D5)</f>
        <v>run-20260913-165336 / effortless-golang</v>
      </c>
      <c r="C5" s="2" t="s">
        <v>13999</v>
      </c>
      <c r="D5" s="2" t="s">
        <v>13969</v>
      </c>
      <c r="E5" s="2" t="s">
        <v>168</v>
      </c>
      <c r="F5" s="2">
        <v>3.3</v>
      </c>
      <c r="G5" s="2">
        <v>59878</v>
      </c>
      <c r="H5" s="2">
        <v>59764</v>
      </c>
      <c r="I5" s="2">
        <v>42928</v>
      </c>
      <c r="J5" s="2">
        <v>42817</v>
      </c>
      <c r="K5" s="2">
        <v>12929</v>
      </c>
      <c r="L5" s="2">
        <v>12926</v>
      </c>
      <c r="M5" s="2">
        <v>4021</v>
      </c>
      <c r="N5" s="2">
        <v>4021</v>
      </c>
      <c r="O5" s="3">
        <f>G5 - H5</f>
        <v>114</v>
      </c>
      <c r="P5" s="3">
        <f>IF(G5 = 0, 0, ROUND(100 * H5 / G5, 2))</f>
        <v>99.81</v>
      </c>
      <c r="Q5" s="3">
        <f>IF(I5 = 0, 0, ROUND(100 * J5 / I5, 2))</f>
        <v>99.74</v>
      </c>
      <c r="R5" s="3">
        <f>IF(K5 = 0, 0, ROUND(100 * L5 / K5, 2))</f>
        <v>99.98</v>
      </c>
      <c r="S5" s="3">
        <f>IF(M5 = 0, 0, ROUND(100 * N5 / M5, 2))</f>
        <v>100</v>
      </c>
      <c r="T5" s="3" t="b">
        <f>AND(E5 = "", G5 &gt; 0, O5 = 0)</f>
        <v>0</v>
      </c>
      <c r="U5" s="3" t="str">
        <f>IF(T5, C5, "")</f>
      </c>
      <c r="V5" s="3" t="b">
        <f>_xlfn.IFNA(INDEX(ConformanceRuns!F2:F999, MATCH(C5,ConformanceRuns!A2:A999, 0)), "")</f>
        <v>1</v>
      </c>
      <c r="W5" s="3">
        <f>IF(V5, G5, 0)</f>
        <v>59878</v>
      </c>
      <c r="X5" s="3">
        <f>IF(V5, H5, 0)</f>
        <v>59764</v>
      </c>
      <c r="Y5" s="3">
        <f>IF(AND(V5, E5 &lt;&gt; ""), 1, 0)</f>
        <v>0</v>
      </c>
      <c r="Z5" s="3" t="str">
        <f>_xlfn.IFNA(INDEX(ConformanceSubstrates!C2:C999, MATCH(D5,ConformanceSubstrates!A2:A999, 0)), "")</f>
        <v>Go</v>
      </c>
      <c r="AA5" s="2" t="s">
        <v>1894</v>
      </c>
    </row>
    <row r="6">
      <c r="A6" s="2" t="s">
        <v>14006</v>
      </c>
      <c r="B6" s="3" t="str">
        <f>_xlfn.CONCAT(C6, " / ", D6)</f>
        <v>run-20260913-165336 / effortless-owl</v>
      </c>
      <c r="C6" s="2" t="s">
        <v>13999</v>
      </c>
      <c r="D6" s="2" t="s">
        <v>13993</v>
      </c>
      <c r="E6" s="2" t="s">
        <v>168</v>
      </c>
      <c r="F6" s="2">
        <v>79.7</v>
      </c>
      <c r="G6" s="2">
        <v>59878</v>
      </c>
      <c r="H6" s="2">
        <v>59587</v>
      </c>
      <c r="I6" s="2">
        <v>42928</v>
      </c>
      <c r="J6" s="2">
        <v>42704</v>
      </c>
      <c r="K6" s="2">
        <v>12929</v>
      </c>
      <c r="L6" s="2">
        <v>12922</v>
      </c>
      <c r="M6" s="2">
        <v>4021</v>
      </c>
      <c r="N6" s="2">
        <v>3961</v>
      </c>
      <c r="O6" s="3">
        <f>G6 - H6</f>
        <v>291</v>
      </c>
      <c r="P6" s="3">
        <f>IF(G6 = 0, 0, ROUND(100 * H6 / G6, 2))</f>
        <v>99.51</v>
      </c>
      <c r="Q6" s="3">
        <f>IF(I6 = 0, 0, ROUND(100 * J6 / I6, 2))</f>
        <v>99.48</v>
      </c>
      <c r="R6" s="3">
        <f>IF(K6 = 0, 0, ROUND(100 * L6 / K6, 2))</f>
        <v>99.95</v>
      </c>
      <c r="S6" s="3">
        <f>IF(M6 = 0, 0, ROUND(100 * N6 / M6, 2))</f>
        <v>98.51</v>
      </c>
      <c r="T6" s="3" t="b">
        <f>AND(E6 = "", G6 &gt; 0, O6 = 0)</f>
        <v>0</v>
      </c>
      <c r="U6" s="3" t="str">
        <f>IF(T6, C6, "")</f>
      </c>
      <c r="V6" s="3" t="b">
        <f>_xlfn.IFNA(INDEX(ConformanceRuns!F2:F999, MATCH(C6,ConformanceRuns!A2:A999, 0)), "")</f>
        <v>1</v>
      </c>
      <c r="W6" s="3">
        <f>IF(V6, G6, 0)</f>
        <v>59878</v>
      </c>
      <c r="X6" s="3">
        <f>IF(V6, H6, 0)</f>
        <v>59587</v>
      </c>
      <c r="Y6" s="3">
        <f>IF(AND(V6, E6 &lt;&gt; ""), 1, 0)</f>
        <v>0</v>
      </c>
      <c r="Z6" s="3" t="str">
        <f>_xlfn.IFNA(INDEX(ConformanceSubstrates!C2:C999, MATCH(D6,ConformanceSubstrates!A2:A999, 0)), "")</f>
        <v>OWL / SHACL</v>
      </c>
      <c r="AA6" s="2" t="s">
        <v>1894</v>
      </c>
    </row>
    <row r="7">
      <c r="A7" s="2" t="s">
        <v>14007</v>
      </c>
      <c r="B7" s="3" t="str">
        <f>_xlfn.CONCAT(C7, " / ", D7)</f>
        <v>run-20260913-165336 / effortless-python</v>
      </c>
      <c r="C7" s="2" t="s">
        <v>13999</v>
      </c>
      <c r="D7" s="2" t="s">
        <v>13963</v>
      </c>
      <c r="E7" s="2" t="s">
        <v>168</v>
      </c>
      <c r="F7" s="2">
        <v>0.9</v>
      </c>
      <c r="G7" s="2">
        <v>59878</v>
      </c>
      <c r="H7" s="2">
        <v>59764</v>
      </c>
      <c r="I7" s="2">
        <v>42928</v>
      </c>
      <c r="J7" s="2">
        <v>42817</v>
      </c>
      <c r="K7" s="2">
        <v>12929</v>
      </c>
      <c r="L7" s="2">
        <v>12926</v>
      </c>
      <c r="M7" s="2">
        <v>4021</v>
      </c>
      <c r="N7" s="2">
        <v>4021</v>
      </c>
      <c r="O7" s="3">
        <f>G7 - H7</f>
        <v>114</v>
      </c>
      <c r="P7" s="3">
        <f>IF(G7 = 0, 0, ROUND(100 * H7 / G7, 2))</f>
        <v>99.81</v>
      </c>
      <c r="Q7" s="3">
        <f>IF(I7 = 0, 0, ROUND(100 * J7 / I7, 2))</f>
        <v>99.74</v>
      </c>
      <c r="R7" s="3">
        <f>IF(K7 = 0, 0, ROUND(100 * L7 / K7, 2))</f>
        <v>99.98</v>
      </c>
      <c r="S7" s="3">
        <f>IF(M7 = 0, 0, ROUND(100 * N7 / M7, 2))</f>
        <v>100</v>
      </c>
      <c r="T7" s="3" t="b">
        <f>AND(E7 = "", G7 &gt; 0, O7 = 0)</f>
        <v>0</v>
      </c>
      <c r="U7" s="3" t="str">
        <f>IF(T7, C7, "")</f>
      </c>
      <c r="V7" s="3" t="b">
        <f>_xlfn.IFNA(INDEX(ConformanceRuns!F2:F999, MATCH(C7,ConformanceRuns!A2:A999, 0)), "")</f>
        <v>1</v>
      </c>
      <c r="W7" s="3">
        <f>IF(V7, G7, 0)</f>
        <v>59878</v>
      </c>
      <c r="X7" s="3">
        <f>IF(V7, H7, 0)</f>
        <v>59764</v>
      </c>
      <c r="Y7" s="3">
        <f>IF(AND(V7, E7 &lt;&gt; ""), 1, 0)</f>
        <v>0</v>
      </c>
      <c r="Z7" s="3" t="str">
        <f>_xlfn.IFNA(INDEX(ConformanceSubstrates!C2:C999, MATCH(D7,ConformanceSubstrates!A2:A999, 0)), "")</f>
        <v>Python</v>
      </c>
      <c r="AA7" s="2" t="s">
        <v>1894</v>
      </c>
    </row>
    <row r="8">
      <c r="A8" s="2" t="s">
        <v>14008</v>
      </c>
      <c r="B8" s="3" t="str">
        <f>_xlfn.CONCAT(C8, " / ", D8)</f>
        <v>run-20260913-165336 / effortless-typescript</v>
      </c>
      <c r="C8" s="2" t="s">
        <v>13999</v>
      </c>
      <c r="D8" s="2" t="s">
        <v>13975</v>
      </c>
      <c r="E8" s="2" t="s">
        <v>168</v>
      </c>
      <c r="F8" s="2">
        <v>1.9</v>
      </c>
      <c r="G8" s="2">
        <v>59878</v>
      </c>
      <c r="H8" s="2">
        <v>59764</v>
      </c>
      <c r="I8" s="2">
        <v>42928</v>
      </c>
      <c r="J8" s="2">
        <v>42817</v>
      </c>
      <c r="K8" s="2">
        <v>12929</v>
      </c>
      <c r="L8" s="2">
        <v>12926</v>
      </c>
      <c r="M8" s="2">
        <v>4021</v>
      </c>
      <c r="N8" s="2">
        <v>4021</v>
      </c>
      <c r="O8" s="3">
        <f>G8 - H8</f>
        <v>114</v>
      </c>
      <c r="P8" s="3">
        <f>IF(G8 = 0, 0, ROUND(100 * H8 / G8, 2))</f>
        <v>99.81</v>
      </c>
      <c r="Q8" s="3">
        <f>IF(I8 = 0, 0, ROUND(100 * J8 / I8, 2))</f>
        <v>99.74</v>
      </c>
      <c r="R8" s="3">
        <f>IF(K8 = 0, 0, ROUND(100 * L8 / K8, 2))</f>
        <v>99.98</v>
      </c>
      <c r="S8" s="3">
        <f>IF(M8 = 0, 0, ROUND(100 * N8 / M8, 2))</f>
        <v>100</v>
      </c>
      <c r="T8" s="3" t="b">
        <f>AND(E8 = "", G8 &gt; 0, O8 = 0)</f>
        <v>0</v>
      </c>
      <c r="U8" s="3" t="str">
        <f>IF(T8, C8, "")</f>
      </c>
      <c r="V8" s="3" t="b">
        <f>_xlfn.IFNA(INDEX(ConformanceRuns!F2:F999, MATCH(C8,ConformanceRuns!A2:A999, 0)), "")</f>
        <v>1</v>
      </c>
      <c r="W8" s="3">
        <f>IF(V8, G8, 0)</f>
        <v>59878</v>
      </c>
      <c r="X8" s="3">
        <f>IF(V8, H8, 0)</f>
        <v>59764</v>
      </c>
      <c r="Y8" s="3">
        <f>IF(AND(V8, E8 &lt;&gt; ""), 1, 0)</f>
        <v>0</v>
      </c>
      <c r="Z8" s="3" t="str">
        <f>_xlfn.IFNA(INDEX(ConformanceSubstrates!C2:C999, MATCH(D8,ConformanceSubstrates!A2:A999, 0)), "")</f>
        <v>TypeScript</v>
      </c>
      <c r="AA8" s="2" t="s">
        <v>1894</v>
      </c>
    </row>
  </sheetData>
  <autoFilter ref="A1:AA1"/>
  <headerFooter/>
  <legacyDrawing r:id="rId1"/>
</worksheet>
</file>

<file path=xl/worksheets/sheet9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582"/>
  <sheetViews>
    <sheetView workbookViewId="0">
      <pane ySplit="1" topLeftCell="A2" state="frozen" activePane="bottomLeft"/>
      <selection pane="bottomLeft" activeCell="A1" sqref="A1"/>
    </sheetView>
  </sheetViews>
  <sheetFormatPr defaultRowHeight="15"/>
  <cols>
    <col min="1" max="1" width="51.90706253051758" customWidth="1"/>
    <col min="2" max="2" width="53.2597770690918" customWidth="1"/>
    <col min="3" max="3" width="23.239910125732422" customWidth="1"/>
    <col min="4" max="4" width="26.533050537109375" customWidth="1"/>
    <col min="5" max="5" width="25.653127670288086" customWidth="1"/>
    <col min="6" max="6" width="17.443378448486328" customWidth="1"/>
    <col min="7" max="7" width="18.675983428955078" customWidth="1"/>
    <col min="8" max="8" width="17.443378448486328" customWidth="1"/>
    <col min="9" max="9" width="17.443378448486328" customWidth="1"/>
    <col min="10" max="10" width="20.205142974853516" customWidth="1"/>
    <col min="11" max="11" width="17.443378448486328" customWidth="1"/>
    <col min="12" max="12" width="17.443378448486328" customWidth="1"/>
    <col min="13" max="13" width="17.443378448486328" customWidth="1"/>
    <col min="14" max="14" width="26.533050537109375" customWidth="1"/>
    <col min="15" max="15" width="25.653127670288086" customWidth="1"/>
    <col min="16" max="16" width="22.463464736938477" customWidth="1"/>
    <col min="17" max="17" width="22.93600082397461" customWidth="1"/>
    <col min="18" max="18" width="17.443378448486328" customWidth="1"/>
    <col min="19" max="19" width="46.48964309692383" customWidth="1"/>
  </cols>
  <sheetData>
    <row r="1">
      <c r="A1" s="1" t="s">
        <v>5845</v>
      </c>
      <c r="B1" s="1" t="s">
        <v>1</v>
      </c>
      <c r="C1" s="1" t="s">
        <v>5791</v>
      </c>
      <c r="D1" s="1" t="s">
        <v>5793</v>
      </c>
      <c r="E1" s="1" t="s">
        <v>5851</v>
      </c>
      <c r="F1" s="1" t="s">
        <v>5853</v>
      </c>
      <c r="G1" s="1" t="s">
        <v>5855</v>
      </c>
      <c r="H1" s="1" t="s">
        <v>5769</v>
      </c>
      <c r="I1" s="1" t="s">
        <v>5772</v>
      </c>
      <c r="J1" s="1" t="s">
        <v>5859</v>
      </c>
      <c r="K1" s="1" t="s">
        <v>5775</v>
      </c>
      <c r="L1" s="1" t="s">
        <v>5814</v>
      </c>
      <c r="M1" s="1" t="s">
        <v>5825</v>
      </c>
      <c r="N1" s="1" t="s">
        <v>5865</v>
      </c>
      <c r="O1" s="1" t="s">
        <v>5868</v>
      </c>
      <c r="P1" s="1" t="s">
        <v>5740</v>
      </c>
      <c r="Q1" s="1" t="s">
        <v>5841</v>
      </c>
      <c r="R1" s="1" t="s">
        <v>5297</v>
      </c>
      <c r="S1" s="1" t="s">
        <v>94</v>
      </c>
    </row>
    <row r="2">
      <c r="A2" s="2" t="s">
        <v>14009</v>
      </c>
      <c r="B2" s="3" t="str">
        <f>_xlfn.CONCAT(D2, " / ", E2)</f>
        <v>effortless-postgres / RulebookReleases</v>
      </c>
      <c r="C2" s="2" t="s">
        <v>13999</v>
      </c>
      <c r="D2" s="2" t="s">
        <v>13956</v>
      </c>
      <c r="E2" s="2" t="s">
        <v>2384</v>
      </c>
      <c r="F2" s="2">
        <v>1</v>
      </c>
      <c r="G2" s="2">
        <v>1</v>
      </c>
      <c r="H2" s="2">
        <v>1</v>
      </c>
      <c r="I2" s="2">
        <v>1</v>
      </c>
      <c r="J2" s="2" t="b">
        <v>0</v>
      </c>
      <c r="K2" s="3">
        <f>H2 - I2</f>
        <v>0</v>
      </c>
      <c r="L2" s="3">
        <f>IF(H2 = 0, 0, ROUND(100 * I2 / H2, 2))</f>
        <v>100</v>
      </c>
      <c r="M2" s="3" t="b">
        <f>K2 = 0</f>
        <v>1</v>
      </c>
      <c r="N2" s="3" t="str">
        <f>IF(M2, "", D2)</f>
      </c>
      <c r="O2" s="3" t="str">
        <f>IF(M2, "", E2)</f>
      </c>
      <c r="P2" s="3">
        <f>COUNTIFS(FieldDisagreements!E2:E999, A2)</f>
        <v>0</v>
      </c>
      <c r="Q2" s="3" t="str">
        <f>_xlfn.IFNA(INDEX(ConformanceSubstrates!C2:C999, MATCH(D2,ConformanceSubstrates!A2:A999, 0)), "")</f>
        <v>PostgreSQL</v>
      </c>
      <c r="R2" s="3" t="str">
        <f>_xlfn.IFNA(INDEX(RulebookTables!F2:F999, MATCH(E2,RulebookTables!A2:A999, 0)), "")</f>
        <v>meta</v>
      </c>
      <c r="S2" s="2" t="s">
        <v>1898</v>
      </c>
    </row>
    <row r="3">
      <c r="A3" s="2" t="s">
        <v>14010</v>
      </c>
      <c r="B3" s="3" t="str">
        <f>_xlfn.CONCAT(D3, " / ", E3)</f>
        <v>effortless-postgres / OntologyProfiles</v>
      </c>
      <c r="C3" s="2" t="s">
        <v>13999</v>
      </c>
      <c r="D3" s="2" t="s">
        <v>13956</v>
      </c>
      <c r="E3" s="2" t="s">
        <v>2403</v>
      </c>
      <c r="F3" s="2">
        <v>11</v>
      </c>
      <c r="G3" s="2">
        <v>1</v>
      </c>
      <c r="H3" s="2">
        <v>11</v>
      </c>
      <c r="I3" s="2">
        <v>11</v>
      </c>
      <c r="J3" s="2" t="b">
        <v>0</v>
      </c>
      <c r="K3" s="3">
        <f>H3 - I3</f>
        <v>0</v>
      </c>
      <c r="L3" s="3">
        <f>IF(H3 = 0, 0, ROUND(100 * I3 / H3, 2))</f>
        <v>100</v>
      </c>
      <c r="M3" s="3" t="b">
        <f>K3 = 0</f>
        <v>1</v>
      </c>
      <c r="N3" s="3" t="str">
        <f>IF(M3, "", D3)</f>
      </c>
      <c r="O3" s="3" t="str">
        <f>IF(M3, "", E3)</f>
      </c>
      <c r="P3" s="3">
        <f>COUNTIFS(FieldDisagreements!E2:E999, A3)</f>
        <v>0</v>
      </c>
      <c r="Q3" s="3" t="str">
        <f>_xlfn.IFNA(INDEX(ConformanceSubstrates!C2:C999, MATCH(D3,ConformanceSubstrates!A2:A999, 0)), "")</f>
        <v>PostgreSQL</v>
      </c>
      <c r="R3" s="3" t="str">
        <f>_xlfn.IFNA(INDEX(RulebookTables!F2:F999, MATCH(E3,RulebookTables!A2:A999, 0)), "")</f>
        <v>domain</v>
      </c>
      <c r="S3" s="2" t="s">
        <v>1898</v>
      </c>
    </row>
    <row r="4">
      <c r="A4" s="2" t="s">
        <v>14011</v>
      </c>
      <c r="B4" s="3" t="str">
        <f>_xlfn.CONCAT(D4, " / ", E4)</f>
        <v>effortless-postgres / EvaluationContexts</v>
      </c>
      <c r="C4" s="2" t="s">
        <v>13999</v>
      </c>
      <c r="D4" s="2" t="s">
        <v>13956</v>
      </c>
      <c r="E4" s="2" t="s">
        <v>2413</v>
      </c>
      <c r="F4" s="2">
        <v>1</v>
      </c>
      <c r="G4" s="2">
        <v>1</v>
      </c>
      <c r="H4" s="2">
        <v>1</v>
      </c>
      <c r="I4" s="2">
        <v>0</v>
      </c>
      <c r="J4" s="2" t="b">
        <v>0</v>
      </c>
      <c r="K4" s="3">
        <f>H4 - I4</f>
        <v>1</v>
      </c>
      <c r="L4" s="3">
        <f>IF(H4 = 0, 0, ROUND(100 * I4 / H4, 2))</f>
        <v>0</v>
      </c>
      <c r="M4" s="3" t="b">
        <f>K4 = 0</f>
        <v>0</v>
      </c>
      <c r="N4" s="3" t="str">
        <f>IF(M4, "", D4)</f>
        <v>effortless-postgres</v>
      </c>
      <c r="O4" s="3" t="str">
        <f>IF(M4, "", E4)</f>
        <v>EvaluationContexts</v>
      </c>
      <c r="P4" s="3">
        <f>COUNTIFS(FieldDisagreements!E2:E999, A4)</f>
        <v>1</v>
      </c>
      <c r="Q4" s="3" t="str">
        <f>_xlfn.IFNA(INDEX(ConformanceSubstrates!C2:C999, MATCH(D4,ConformanceSubstrates!A2:A999, 0)), "")</f>
        <v>PostgreSQL</v>
      </c>
      <c r="R4" s="3" t="str">
        <f>_xlfn.IFNA(INDEX(RulebookTables!F2:F999, MATCH(E4,RulebookTables!A2:A999, 0)), "")</f>
        <v>meta</v>
      </c>
      <c r="S4" s="2" t="s">
        <v>1898</v>
      </c>
    </row>
    <row r="5">
      <c r="A5" s="2" t="s">
        <v>14012</v>
      </c>
      <c r="B5" s="3" t="str">
        <f>_xlfn.CONCAT(D5, " / ", E5)</f>
        <v>effortless-postgres / Organizations</v>
      </c>
      <c r="C5" s="2" t="s">
        <v>13999</v>
      </c>
      <c r="D5" s="2" t="s">
        <v>13956</v>
      </c>
      <c r="E5" s="2" t="s">
        <v>2422</v>
      </c>
      <c r="F5" s="2">
        <v>4</v>
      </c>
      <c r="G5" s="2">
        <v>1</v>
      </c>
      <c r="H5" s="2">
        <v>4</v>
      </c>
      <c r="I5" s="2">
        <v>4</v>
      </c>
      <c r="J5" s="2" t="b">
        <v>0</v>
      </c>
      <c r="K5" s="3">
        <f>H5 - I5</f>
        <v>0</v>
      </c>
      <c r="L5" s="3">
        <f>IF(H5 = 0, 0, ROUND(100 * I5 / H5, 2))</f>
        <v>100</v>
      </c>
      <c r="M5" s="3" t="b">
        <f>K5 = 0</f>
        <v>1</v>
      </c>
      <c r="N5" s="3" t="str">
        <f>IF(M5, "", D5)</f>
      </c>
      <c r="O5" s="3" t="str">
        <f>IF(M5, "", E5)</f>
      </c>
      <c r="P5" s="3">
        <f>COUNTIFS(FieldDisagreements!E2:E999, A5)</f>
        <v>0</v>
      </c>
      <c r="Q5" s="3" t="str">
        <f>_xlfn.IFNA(INDEX(ConformanceSubstrates!C2:C999, MATCH(D5,ConformanceSubstrates!A2:A999, 0)), "")</f>
        <v>PostgreSQL</v>
      </c>
      <c r="R5" s="3" t="str">
        <f>_xlfn.IFNA(INDEX(RulebookTables!F2:F999, MATCH(E5,RulebookTables!A2:A999, 0)), "")</f>
        <v>org</v>
      </c>
      <c r="S5" s="2" t="s">
        <v>1898</v>
      </c>
    </row>
    <row r="6">
      <c r="A6" s="2" t="s">
        <v>14013</v>
      </c>
      <c r="B6" s="3" t="str">
        <f>_xlfn.CONCAT(D6, " / ", E6)</f>
        <v>effortless-postgres / Agents</v>
      </c>
      <c r="C6" s="2" t="s">
        <v>13999</v>
      </c>
      <c r="D6" s="2" t="s">
        <v>13956</v>
      </c>
      <c r="E6" s="2" t="s">
        <v>1794</v>
      </c>
      <c r="F6" s="2">
        <v>11</v>
      </c>
      <c r="G6" s="2">
        <v>16</v>
      </c>
      <c r="H6" s="2">
        <v>176</v>
      </c>
      <c r="I6" s="2">
        <v>176</v>
      </c>
      <c r="J6" s="2" t="b">
        <v>0</v>
      </c>
      <c r="K6" s="3">
        <f>H6 - I6</f>
        <v>0</v>
      </c>
      <c r="L6" s="3">
        <f>IF(H6 = 0, 0, ROUND(100 * I6 / H6, 2))</f>
        <v>100</v>
      </c>
      <c r="M6" s="3" t="b">
        <f>K6 = 0</f>
        <v>1</v>
      </c>
      <c r="N6" s="3" t="str">
        <f>IF(M6, "", D6)</f>
      </c>
      <c r="O6" s="3" t="str">
        <f>IF(M6, "", E6)</f>
      </c>
      <c r="P6" s="3">
        <f>COUNTIFS(FieldDisagreements!E2:E999, A6)</f>
        <v>0</v>
      </c>
      <c r="Q6" s="3" t="str">
        <f>_xlfn.IFNA(INDEX(ConformanceSubstrates!C2:C999, MATCH(D6,ConformanceSubstrates!A2:A999, 0)), "")</f>
        <v>PostgreSQL</v>
      </c>
      <c r="R6" s="3" t="str">
        <f>_xlfn.IFNA(INDEX(RulebookTables!F2:F999, MATCH(E6,RulebookTables!A2:A999, 0)), "")</f>
        <v>org</v>
      </c>
      <c r="S6" s="2" t="s">
        <v>1898</v>
      </c>
    </row>
    <row r="7">
      <c r="A7" s="2" t="s">
        <v>14014</v>
      </c>
      <c r="B7" s="3" t="str">
        <f>_xlfn.CONCAT(D7, " / ", E7)</f>
        <v>effortless-postgres / Roles</v>
      </c>
      <c r="C7" s="2" t="s">
        <v>13999</v>
      </c>
      <c r="D7" s="2" t="s">
        <v>13956</v>
      </c>
      <c r="E7" s="2" t="s">
        <v>1798</v>
      </c>
      <c r="F7" s="2">
        <v>12</v>
      </c>
      <c r="G7" s="2">
        <v>17</v>
      </c>
      <c r="H7" s="2">
        <v>204</v>
      </c>
      <c r="I7" s="2">
        <v>204</v>
      </c>
      <c r="J7" s="2" t="b">
        <v>0</v>
      </c>
      <c r="K7" s="3">
        <f>H7 - I7</f>
        <v>0</v>
      </c>
      <c r="L7" s="3">
        <f>IF(H7 = 0, 0, ROUND(100 * I7 / H7, 2))</f>
        <v>100</v>
      </c>
      <c r="M7" s="3" t="b">
        <f>K7 = 0</f>
        <v>1</v>
      </c>
      <c r="N7" s="3" t="str">
        <f>IF(M7, "", D7)</f>
      </c>
      <c r="O7" s="3" t="str">
        <f>IF(M7, "", E7)</f>
      </c>
      <c r="P7" s="3">
        <f>COUNTIFS(FieldDisagreements!E2:E999, A7)</f>
        <v>0</v>
      </c>
      <c r="Q7" s="3" t="str">
        <f>_xlfn.IFNA(INDEX(ConformanceSubstrates!C2:C999, MATCH(D7,ConformanceSubstrates!A2:A999, 0)), "")</f>
        <v>PostgreSQL</v>
      </c>
      <c r="R7" s="3" t="str">
        <f>_xlfn.IFNA(INDEX(RulebookTables!F2:F999, MATCH(E7,RulebookTables!A2:A999, 0)), "")</f>
        <v>org</v>
      </c>
      <c r="S7" s="2" t="s">
        <v>1898</v>
      </c>
    </row>
    <row r="8">
      <c r="A8" s="2" t="s">
        <v>14015</v>
      </c>
      <c r="B8" s="3" t="str">
        <f>_xlfn.CONCAT(D8, " / ", E8)</f>
        <v>effortless-postgres / RoleAssignments</v>
      </c>
      <c r="C8" s="2" t="s">
        <v>13999</v>
      </c>
      <c r="D8" s="2" t="s">
        <v>13956</v>
      </c>
      <c r="E8" s="2" t="s">
        <v>1801</v>
      </c>
      <c r="F8" s="2">
        <v>13</v>
      </c>
      <c r="G8" s="2">
        <v>47</v>
      </c>
      <c r="H8" s="2">
        <v>611</v>
      </c>
      <c r="I8" s="2">
        <v>584</v>
      </c>
      <c r="J8" s="2" t="b">
        <v>0</v>
      </c>
      <c r="K8" s="3">
        <f>H8 - I8</f>
        <v>27</v>
      </c>
      <c r="L8" s="3">
        <f>IF(H8 = 0, 0, ROUND(100 * I8 / H8, 2))</f>
        <v>95.58</v>
      </c>
      <c r="M8" s="3" t="b">
        <f>K8 = 0</f>
        <v>0</v>
      </c>
      <c r="N8" s="3" t="str">
        <f>IF(M8, "", D8)</f>
        <v>effortless-postgres</v>
      </c>
      <c r="O8" s="3" t="str">
        <f>IF(M8, "", E8)</f>
        <v>RoleAssignments</v>
      </c>
      <c r="P8" s="3">
        <f>COUNTIFS(FieldDisagreements!E2:E999, A8)</f>
        <v>3</v>
      </c>
      <c r="Q8" s="3" t="str">
        <f>_xlfn.IFNA(INDEX(ConformanceSubstrates!C2:C999, MATCH(D8,ConformanceSubstrates!A2:A999, 0)), "")</f>
        <v>PostgreSQL</v>
      </c>
      <c r="R8" s="3" t="str">
        <f>_xlfn.IFNA(INDEX(RulebookTables!F2:F999, MATCH(E8,RulebookTables!A2:A999, 0)), "")</f>
        <v>org</v>
      </c>
      <c r="S8" s="2" t="s">
        <v>1898</v>
      </c>
    </row>
    <row r="9">
      <c r="A9" s="2" t="s">
        <v>14016</v>
      </c>
      <c r="B9" s="3" t="str">
        <f>_xlfn.CONCAT(D9, " / ", E9)</f>
        <v>effortless-postgres / CommunitiesOfPractice</v>
      </c>
      <c r="C9" s="2" t="s">
        <v>13999</v>
      </c>
      <c r="D9" s="2" t="s">
        <v>13956</v>
      </c>
      <c r="E9" s="2" t="s">
        <v>2624</v>
      </c>
      <c r="F9" s="2">
        <v>2</v>
      </c>
      <c r="G9" s="2">
        <v>1</v>
      </c>
      <c r="H9" s="2">
        <v>2</v>
      </c>
      <c r="I9" s="2">
        <v>2</v>
      </c>
      <c r="J9" s="2" t="b">
        <v>0</v>
      </c>
      <c r="K9" s="3">
        <f>H9 - I9</f>
        <v>0</v>
      </c>
      <c r="L9" s="3">
        <f>IF(H9 = 0, 0, ROUND(100 * I9 / H9, 2))</f>
        <v>100</v>
      </c>
      <c r="M9" s="3" t="b">
        <f>K9 = 0</f>
        <v>1</v>
      </c>
      <c r="N9" s="3" t="str">
        <f>IF(M9, "", D9)</f>
      </c>
      <c r="O9" s="3" t="str">
        <f>IF(M9, "", E9)</f>
      </c>
      <c r="P9" s="3">
        <f>COUNTIFS(FieldDisagreements!E2:E999, A9)</f>
        <v>0</v>
      </c>
      <c r="Q9" s="3" t="str">
        <f>_xlfn.IFNA(INDEX(ConformanceSubstrates!C2:C999, MATCH(D9,ConformanceSubstrates!A2:A999, 0)), "")</f>
        <v>PostgreSQL</v>
      </c>
      <c r="R9" s="3" t="str">
        <f>_xlfn.IFNA(INDEX(RulebookTables!F2:F999, MATCH(E9,RulebookTables!A2:A999, 0)), "")</f>
        <v>org</v>
      </c>
      <c r="S9" s="2" t="s">
        <v>1898</v>
      </c>
    </row>
    <row r="10">
      <c r="A10" s="2" t="s">
        <v>14017</v>
      </c>
      <c r="B10" s="3" t="str">
        <f>_xlfn.CONCAT(D10, " / ", E10)</f>
        <v>effortless-postgres / Mentorships</v>
      </c>
      <c r="C10" s="2" t="s">
        <v>13999</v>
      </c>
      <c r="D10" s="2" t="s">
        <v>13956</v>
      </c>
      <c r="E10" s="2" t="s">
        <v>2633</v>
      </c>
      <c r="F10" s="2">
        <v>1</v>
      </c>
      <c r="G10" s="2">
        <v>1</v>
      </c>
      <c r="H10" s="2">
        <v>1</v>
      </c>
      <c r="I10" s="2">
        <v>1</v>
      </c>
      <c r="J10" s="2" t="b">
        <v>0</v>
      </c>
      <c r="K10" s="3">
        <f>H10 - I10</f>
        <v>0</v>
      </c>
      <c r="L10" s="3">
        <f>IF(H10 = 0, 0, ROUND(100 * I10 / H10, 2))</f>
        <v>100</v>
      </c>
      <c r="M10" s="3" t="b">
        <f>K10 = 0</f>
        <v>1</v>
      </c>
      <c r="N10" s="3" t="str">
        <f>IF(M10, "", D10)</f>
      </c>
      <c r="O10" s="3" t="str">
        <f>IF(M10, "", E10)</f>
      </c>
      <c r="P10" s="3">
        <f>COUNTIFS(FieldDisagreements!E2:E999, A10)</f>
        <v>0</v>
      </c>
      <c r="Q10" s="3" t="str">
        <f>_xlfn.IFNA(INDEX(ConformanceSubstrates!C2:C999, MATCH(D10,ConformanceSubstrates!A2:A999, 0)), "")</f>
        <v>PostgreSQL</v>
      </c>
      <c r="R10" s="3" t="str">
        <f>_xlfn.IFNA(INDEX(RulebookTables!F2:F999, MATCH(E10,RulebookTables!A2:A999, 0)), "")</f>
        <v>org</v>
      </c>
      <c r="S10" s="2" t="s">
        <v>1898</v>
      </c>
    </row>
    <row r="11">
      <c r="A11" s="2" t="s">
        <v>14018</v>
      </c>
      <c r="B11" s="3" t="str">
        <f>_xlfn.CONCAT(D11, " / ", E11)</f>
        <v>effortless-postgres / ProcedureTypes</v>
      </c>
      <c r="C11" s="2" t="s">
        <v>13999</v>
      </c>
      <c r="D11" s="2" t="s">
        <v>13956</v>
      </c>
      <c r="E11" s="2" t="s">
        <v>2645</v>
      </c>
      <c r="F11" s="2">
        <v>2</v>
      </c>
      <c r="G11" s="2">
        <v>1</v>
      </c>
      <c r="H11" s="2">
        <v>2</v>
      </c>
      <c r="I11" s="2">
        <v>2</v>
      </c>
      <c r="J11" s="2" t="b">
        <v>0</v>
      </c>
      <c r="K11" s="3">
        <f>H11 - I11</f>
        <v>0</v>
      </c>
      <c r="L11" s="3">
        <f>IF(H11 = 0, 0, ROUND(100 * I11 / H11, 2))</f>
        <v>100</v>
      </c>
      <c r="M11" s="3" t="b">
        <f>K11 = 0</f>
        <v>1</v>
      </c>
      <c r="N11" s="3" t="str">
        <f>IF(M11, "", D11)</f>
      </c>
      <c r="O11" s="3" t="str">
        <f>IF(M11, "", E11)</f>
      </c>
      <c r="P11" s="3">
        <f>COUNTIFS(FieldDisagreements!E2:E999, A11)</f>
        <v>0</v>
      </c>
      <c r="Q11" s="3" t="str">
        <f>_xlfn.IFNA(INDEX(ConformanceSubstrates!C2:C999, MATCH(D11,ConformanceSubstrates!A2:A999, 0)), "")</f>
        <v>PostgreSQL</v>
      </c>
      <c r="R11" s="3" t="str">
        <f>_xlfn.IFNA(INDEX(RulebookTables!F2:F999, MATCH(E11,RulebookTables!A2:A999, 0)), "")</f>
        <v>specification</v>
      </c>
      <c r="S11" s="2" t="s">
        <v>1898</v>
      </c>
    </row>
    <row r="12">
      <c r="A12" s="2" t="s">
        <v>14019</v>
      </c>
      <c r="B12" s="3" t="str">
        <f>_xlfn.CONCAT(D12, " / ", E12)</f>
        <v>effortless-postgres / Procedures</v>
      </c>
      <c r="C12" s="2" t="s">
        <v>13999</v>
      </c>
      <c r="D12" s="2" t="s">
        <v>13956</v>
      </c>
      <c r="E12" s="2" t="s">
        <v>1742</v>
      </c>
      <c r="F12" s="2">
        <v>2</v>
      </c>
      <c r="G12" s="2">
        <v>1</v>
      </c>
      <c r="H12" s="2">
        <v>2</v>
      </c>
      <c r="I12" s="2">
        <v>2</v>
      </c>
      <c r="J12" s="2" t="b">
        <v>0</v>
      </c>
      <c r="K12" s="3">
        <f>H12 - I12</f>
        <v>0</v>
      </c>
      <c r="L12" s="3">
        <f>IF(H12 = 0, 0, ROUND(100 * I12 / H12, 2))</f>
        <v>100</v>
      </c>
      <c r="M12" s="3" t="b">
        <f>K12 = 0</f>
        <v>1</v>
      </c>
      <c r="N12" s="3" t="str">
        <f>IF(M12, "", D12)</f>
      </c>
      <c r="O12" s="3" t="str">
        <f>IF(M12, "", E12)</f>
      </c>
      <c r="P12" s="3">
        <f>COUNTIFS(FieldDisagreements!E2:E999, A12)</f>
        <v>0</v>
      </c>
      <c r="Q12" s="3" t="str">
        <f>_xlfn.IFNA(INDEX(ConformanceSubstrates!C2:C999, MATCH(D12,ConformanceSubstrates!A2:A999, 0)), "")</f>
        <v>PostgreSQL</v>
      </c>
      <c r="R12" s="3" t="str">
        <f>_xlfn.IFNA(INDEX(RulebookTables!F2:F999, MATCH(E12,RulebookTables!A2:A999, 0)), "")</f>
        <v>specification</v>
      </c>
      <c r="S12" s="2" t="s">
        <v>1898</v>
      </c>
    </row>
    <row r="13">
      <c r="A13" s="2" t="s">
        <v>14020</v>
      </c>
      <c r="B13" s="3" t="str">
        <f>_xlfn.CONCAT(D13, " / ", E13)</f>
        <v>effortless-postgres / ProcedureVersions</v>
      </c>
      <c r="C13" s="2" t="s">
        <v>13999</v>
      </c>
      <c r="D13" s="2" t="s">
        <v>13956</v>
      </c>
      <c r="E13" s="2" t="s">
        <v>1747</v>
      </c>
      <c r="F13" s="2">
        <v>3</v>
      </c>
      <c r="G13" s="2">
        <v>72</v>
      </c>
      <c r="H13" s="2">
        <v>216</v>
      </c>
      <c r="I13" s="2">
        <v>209</v>
      </c>
      <c r="J13" s="2" t="b">
        <v>0</v>
      </c>
      <c r="K13" s="3">
        <f>H13 - I13</f>
        <v>7</v>
      </c>
      <c r="L13" s="3">
        <f>IF(H13 = 0, 0, ROUND(100 * I13 / H13, 2))</f>
        <v>96.76</v>
      </c>
      <c r="M13" s="3" t="b">
        <f>K13 = 0</f>
        <v>0</v>
      </c>
      <c r="N13" s="3" t="str">
        <f>IF(M13, "", D13)</f>
        <v>effortless-postgres</v>
      </c>
      <c r="O13" s="3" t="str">
        <f>IF(M13, "", E13)</f>
        <v>ProcedureVersions</v>
      </c>
      <c r="P13" s="3">
        <f>COUNTIFS(FieldDisagreements!E2:E999, A13)</f>
        <v>3</v>
      </c>
      <c r="Q13" s="3" t="str">
        <f>_xlfn.IFNA(INDEX(ConformanceSubstrates!C2:C999, MATCH(D13,ConformanceSubstrates!A2:A999, 0)), "")</f>
        <v>PostgreSQL</v>
      </c>
      <c r="R13" s="3" t="str">
        <f>_xlfn.IFNA(INDEX(RulebookTables!F2:F999, MATCH(E13,RulebookTables!A2:A999, 0)), "")</f>
        <v>specification</v>
      </c>
      <c r="S13" s="2" t="s">
        <v>1898</v>
      </c>
    </row>
    <row r="14">
      <c r="A14" s="2" t="s">
        <v>14021</v>
      </c>
      <c r="B14" s="3" t="str">
        <f>_xlfn.CONCAT(D14, " / ", E14)</f>
        <v>effortless-postgres / ProcedureVersionLinks</v>
      </c>
      <c r="C14" s="2" t="s">
        <v>13999</v>
      </c>
      <c r="D14" s="2" t="s">
        <v>13956</v>
      </c>
      <c r="E14" s="2" t="s">
        <v>2818</v>
      </c>
      <c r="F14" s="2">
        <v>1</v>
      </c>
      <c r="G14" s="2">
        <v>2</v>
      </c>
      <c r="H14" s="2">
        <v>2</v>
      </c>
      <c r="I14" s="2">
        <v>2</v>
      </c>
      <c r="J14" s="2" t="b">
        <v>0</v>
      </c>
      <c r="K14" s="3">
        <f>H14 - I14</f>
        <v>0</v>
      </c>
      <c r="L14" s="3">
        <f>IF(H14 = 0, 0, ROUND(100 * I14 / H14, 2))</f>
        <v>100</v>
      </c>
      <c r="M14" s="3" t="b">
        <f>K14 = 0</f>
        <v>1</v>
      </c>
      <c r="N14" s="3" t="str">
        <f>IF(M14, "", D14)</f>
      </c>
      <c r="O14" s="3" t="str">
        <f>IF(M14, "", E14)</f>
      </c>
      <c r="P14" s="3">
        <f>COUNTIFS(FieldDisagreements!E2:E999, A14)</f>
        <v>0</v>
      </c>
      <c r="Q14" s="3" t="str">
        <f>_xlfn.IFNA(INDEX(ConformanceSubstrates!C2:C999, MATCH(D14,ConformanceSubstrates!A2:A999, 0)), "")</f>
        <v>PostgreSQL</v>
      </c>
      <c r="R14" s="3" t="str">
        <f>_xlfn.IFNA(INDEX(RulebookTables!F2:F999, MATCH(E14,RulebookTables!A2:A999, 0)), "")</f>
        <v>specification</v>
      </c>
      <c r="S14" s="2" t="s">
        <v>1898</v>
      </c>
    </row>
    <row r="15">
      <c r="A15" s="2" t="s">
        <v>14022</v>
      </c>
      <c r="B15" s="3" t="str">
        <f>_xlfn.CONCAT(D15, " / ", E15)</f>
        <v>effortless-postgres / ProcedureStatusChanges</v>
      </c>
      <c r="C15" s="2" t="s">
        <v>13999</v>
      </c>
      <c r="D15" s="2" t="s">
        <v>13956</v>
      </c>
      <c r="E15" s="2" t="s">
        <v>1755</v>
      </c>
      <c r="F15" s="2">
        <v>5</v>
      </c>
      <c r="G15" s="2">
        <v>1</v>
      </c>
      <c r="H15" s="2">
        <v>5</v>
      </c>
      <c r="I15" s="2">
        <v>5</v>
      </c>
      <c r="J15" s="2" t="b">
        <v>0</v>
      </c>
      <c r="K15" s="3">
        <f>H15 - I15</f>
        <v>0</v>
      </c>
      <c r="L15" s="3">
        <f>IF(H15 = 0, 0, ROUND(100 * I15 / H15, 2))</f>
        <v>100</v>
      </c>
      <c r="M15" s="3" t="b">
        <f>K15 = 0</f>
        <v>1</v>
      </c>
      <c r="N15" s="3" t="str">
        <f>IF(M15, "", D15)</f>
      </c>
      <c r="O15" s="3" t="str">
        <f>IF(M15, "", E15)</f>
      </c>
      <c r="P15" s="3">
        <f>COUNTIFS(FieldDisagreements!E2:E999, A15)</f>
        <v>0</v>
      </c>
      <c r="Q15" s="3" t="str">
        <f>_xlfn.IFNA(INDEX(ConformanceSubstrates!C2:C999, MATCH(D15,ConformanceSubstrates!A2:A999, 0)), "")</f>
        <v>PostgreSQL</v>
      </c>
      <c r="R15" s="3" t="str">
        <f>_xlfn.IFNA(INDEX(RulebookTables!F2:F999, MATCH(E15,RulebookTables!A2:A999, 0)), "")</f>
        <v>specification</v>
      </c>
      <c r="S15" s="2" t="s">
        <v>1898</v>
      </c>
    </row>
    <row r="16">
      <c r="A16" s="2" t="s">
        <v>14023</v>
      </c>
      <c r="B16" s="3" t="str">
        <f>_xlfn.CONCAT(D16, " / ", E16)</f>
        <v>effortless-postgres / Steps</v>
      </c>
      <c r="C16" s="2" t="s">
        <v>13999</v>
      </c>
      <c r="D16" s="2" t="s">
        <v>13956</v>
      </c>
      <c r="E16" s="2" t="s">
        <v>1758</v>
      </c>
      <c r="F16" s="2">
        <v>17</v>
      </c>
      <c r="G16" s="2">
        <v>30</v>
      </c>
      <c r="H16" s="2">
        <v>510</v>
      </c>
      <c r="I16" s="2">
        <v>510</v>
      </c>
      <c r="J16" s="2" t="b">
        <v>0</v>
      </c>
      <c r="K16" s="3">
        <f>H16 - I16</f>
        <v>0</v>
      </c>
      <c r="L16" s="3">
        <f>IF(H16 = 0, 0, ROUND(100 * I16 / H16, 2))</f>
        <v>100</v>
      </c>
      <c r="M16" s="3" t="b">
        <f>K16 = 0</f>
        <v>1</v>
      </c>
      <c r="N16" s="3" t="str">
        <f>IF(M16, "", D16)</f>
      </c>
      <c r="O16" s="3" t="str">
        <f>IF(M16, "", E16)</f>
      </c>
      <c r="P16" s="3">
        <f>COUNTIFS(FieldDisagreements!E2:E999, A16)</f>
        <v>0</v>
      </c>
      <c r="Q16" s="3" t="str">
        <f>_xlfn.IFNA(INDEX(ConformanceSubstrates!C2:C999, MATCH(D16,ConformanceSubstrates!A2:A999, 0)), "")</f>
        <v>PostgreSQL</v>
      </c>
      <c r="R16" s="3" t="str">
        <f>_xlfn.IFNA(INDEX(RulebookTables!F2:F999, MATCH(E16,RulebookTables!A2:A999, 0)), "")</f>
        <v>specification</v>
      </c>
      <c r="S16" s="2" t="s">
        <v>1898</v>
      </c>
    </row>
    <row r="17">
      <c r="A17" s="2" t="s">
        <v>14024</v>
      </c>
      <c r="B17" s="3" t="str">
        <f>_xlfn.CONCAT(D17, " / ", E17)</f>
        <v>effortless-postgres / StepTransitions</v>
      </c>
      <c r="C17" s="2" t="s">
        <v>13999</v>
      </c>
      <c r="D17" s="2" t="s">
        <v>13956</v>
      </c>
      <c r="E17" s="2" t="s">
        <v>1764</v>
      </c>
      <c r="F17" s="2">
        <v>19</v>
      </c>
      <c r="G17" s="2">
        <v>15</v>
      </c>
      <c r="H17" s="2">
        <v>285</v>
      </c>
      <c r="I17" s="2">
        <v>285</v>
      </c>
      <c r="J17" s="2" t="b">
        <v>0</v>
      </c>
      <c r="K17" s="3">
        <f>H17 - I17</f>
        <v>0</v>
      </c>
      <c r="L17" s="3">
        <f>IF(H17 = 0, 0, ROUND(100 * I17 / H17, 2))</f>
        <v>100</v>
      </c>
      <c r="M17" s="3" t="b">
        <f>K17 = 0</f>
        <v>1</v>
      </c>
      <c r="N17" s="3" t="str">
        <f>IF(M17, "", D17)</f>
      </c>
      <c r="O17" s="3" t="str">
        <f>IF(M17, "", E17)</f>
      </c>
      <c r="P17" s="3">
        <f>COUNTIFS(FieldDisagreements!E2:E999, A17)</f>
        <v>0</v>
      </c>
      <c r="Q17" s="3" t="str">
        <f>_xlfn.IFNA(INDEX(ConformanceSubstrates!C2:C999, MATCH(D17,ConformanceSubstrates!A2:A999, 0)), "")</f>
        <v>PostgreSQL</v>
      </c>
      <c r="R17" s="3" t="str">
        <f>_xlfn.IFNA(INDEX(RulebookTables!F2:F999, MATCH(E17,RulebookTables!A2:A999, 0)), "")</f>
        <v>specification</v>
      </c>
      <c r="S17" s="2" t="s">
        <v>1898</v>
      </c>
    </row>
    <row r="18">
      <c r="A18" s="2" t="s">
        <v>14025</v>
      </c>
      <c r="B18" s="3" t="str">
        <f>_xlfn.CONCAT(D18, " / ", E18)</f>
        <v>effortless-postgres / Actions</v>
      </c>
      <c r="C18" s="2" t="s">
        <v>13999</v>
      </c>
      <c r="D18" s="2" t="s">
        <v>13956</v>
      </c>
      <c r="E18" s="2" t="s">
        <v>1776</v>
      </c>
      <c r="F18" s="2">
        <v>9</v>
      </c>
      <c r="G18" s="2">
        <v>1</v>
      </c>
      <c r="H18" s="2">
        <v>9</v>
      </c>
      <c r="I18" s="2">
        <v>9</v>
      </c>
      <c r="J18" s="2" t="b">
        <v>0</v>
      </c>
      <c r="K18" s="3">
        <f>H18 - I18</f>
        <v>0</v>
      </c>
      <c r="L18" s="3">
        <f>IF(H18 = 0, 0, ROUND(100 * I18 / H18, 2))</f>
        <v>100</v>
      </c>
      <c r="M18" s="3" t="b">
        <f>K18 = 0</f>
        <v>1</v>
      </c>
      <c r="N18" s="3" t="str">
        <f>IF(M18, "", D18)</f>
      </c>
      <c r="O18" s="3" t="str">
        <f>IF(M18, "", E18)</f>
      </c>
      <c r="P18" s="3">
        <f>COUNTIFS(FieldDisagreements!E2:E999, A18)</f>
        <v>0</v>
      </c>
      <c r="Q18" s="3" t="str">
        <f>_xlfn.IFNA(INDEX(ConformanceSubstrates!C2:C999, MATCH(D18,ConformanceSubstrates!A2:A999, 0)), "")</f>
        <v>PostgreSQL</v>
      </c>
      <c r="R18" s="3" t="str">
        <f>_xlfn.IFNA(INDEX(RulebookTables!F2:F999, MATCH(E18,RulebookTables!A2:A999, 0)), "")</f>
        <v>specification</v>
      </c>
      <c r="S18" s="2" t="s">
        <v>1898</v>
      </c>
    </row>
    <row r="19">
      <c r="A19" s="2" t="s">
        <v>14026</v>
      </c>
      <c r="B19" s="3" t="str">
        <f>_xlfn.CONCAT(D19, " / ", E19)</f>
        <v>effortless-postgres / Functions</v>
      </c>
      <c r="C19" s="2" t="s">
        <v>13999</v>
      </c>
      <c r="D19" s="2" t="s">
        <v>13956</v>
      </c>
      <c r="E19" s="2" t="s">
        <v>1779</v>
      </c>
      <c r="F19" s="2">
        <v>8</v>
      </c>
      <c r="G19" s="2">
        <v>1</v>
      </c>
      <c r="H19" s="2">
        <v>8</v>
      </c>
      <c r="I19" s="2">
        <v>8</v>
      </c>
      <c r="J19" s="2" t="b">
        <v>0</v>
      </c>
      <c r="K19" s="3">
        <f>H19 - I19</f>
        <v>0</v>
      </c>
      <c r="L19" s="3">
        <f>IF(H19 = 0, 0, ROUND(100 * I19 / H19, 2))</f>
        <v>100</v>
      </c>
      <c r="M19" s="3" t="b">
        <f>K19 = 0</f>
        <v>1</v>
      </c>
      <c r="N19" s="3" t="str">
        <f>IF(M19, "", D19)</f>
      </c>
      <c r="O19" s="3" t="str">
        <f>IF(M19, "", E19)</f>
      </c>
      <c r="P19" s="3">
        <f>COUNTIFS(FieldDisagreements!E2:E999, A19)</f>
        <v>0</v>
      </c>
      <c r="Q19" s="3" t="str">
        <f>_xlfn.IFNA(INDEX(ConformanceSubstrates!C2:C999, MATCH(D19,ConformanceSubstrates!A2:A999, 0)), "")</f>
        <v>PostgreSQL</v>
      </c>
      <c r="R19" s="3" t="str">
        <f>_xlfn.IFNA(INDEX(RulebookTables!F2:F999, MATCH(E19,RulebookTables!A2:A999, 0)), "")</f>
        <v>specification</v>
      </c>
      <c r="S19" s="2" t="s">
        <v>1898</v>
      </c>
    </row>
    <row r="20">
      <c r="A20" s="2" t="s">
        <v>14027</v>
      </c>
      <c r="B20" s="3" t="str">
        <f>_xlfn.CONCAT(D20, " / ", E20)</f>
        <v>effortless-postgres / Tools</v>
      </c>
      <c r="C20" s="2" t="s">
        <v>13999</v>
      </c>
      <c r="D20" s="2" t="s">
        <v>13956</v>
      </c>
      <c r="E20" s="2" t="s">
        <v>1782</v>
      </c>
      <c r="F20" s="2">
        <v>8</v>
      </c>
      <c r="G20" s="2">
        <v>1</v>
      </c>
      <c r="H20" s="2">
        <v>8</v>
      </c>
      <c r="I20" s="2">
        <v>8</v>
      </c>
      <c r="J20" s="2" t="b">
        <v>0</v>
      </c>
      <c r="K20" s="3">
        <f>H20 - I20</f>
        <v>0</v>
      </c>
      <c r="L20" s="3">
        <f>IF(H20 = 0, 0, ROUND(100 * I20 / H20, 2))</f>
        <v>100</v>
      </c>
      <c r="M20" s="3" t="b">
        <f>K20 = 0</f>
        <v>1</v>
      </c>
      <c r="N20" s="3" t="str">
        <f>IF(M20, "", D20)</f>
      </c>
      <c r="O20" s="3" t="str">
        <f>IF(M20, "", E20)</f>
      </c>
      <c r="P20" s="3">
        <f>COUNTIFS(FieldDisagreements!E2:E999, A20)</f>
        <v>0</v>
      </c>
      <c r="Q20" s="3" t="str">
        <f>_xlfn.IFNA(INDEX(ConformanceSubstrates!C2:C999, MATCH(D20,ConformanceSubstrates!A2:A999, 0)), "")</f>
        <v>PostgreSQL</v>
      </c>
      <c r="R20" s="3" t="str">
        <f>_xlfn.IFNA(INDEX(RulebookTables!F2:F999, MATCH(E20,RulebookTables!A2:A999, 0)), "")</f>
        <v>specification</v>
      </c>
      <c r="S20" s="2" t="s">
        <v>1898</v>
      </c>
    </row>
    <row r="21">
      <c r="A21" s="2" t="s">
        <v>14028</v>
      </c>
      <c r="B21" s="3" t="str">
        <f>_xlfn.CONCAT(D21, " / ", E21)</f>
        <v>effortless-postgres / StepActions</v>
      </c>
      <c r="C21" s="2" t="s">
        <v>13999</v>
      </c>
      <c r="D21" s="2" t="s">
        <v>13956</v>
      </c>
      <c r="E21" s="2" t="s">
        <v>2962</v>
      </c>
      <c r="F21" s="2">
        <v>9</v>
      </c>
      <c r="G21" s="2">
        <v>1</v>
      </c>
      <c r="H21" s="2">
        <v>9</v>
      </c>
      <c r="I21" s="2">
        <v>9</v>
      </c>
      <c r="J21" s="2" t="b">
        <v>0</v>
      </c>
      <c r="K21" s="3">
        <f>H21 - I21</f>
        <v>0</v>
      </c>
      <c r="L21" s="3">
        <f>IF(H21 = 0, 0, ROUND(100 * I21 / H21, 2))</f>
        <v>100</v>
      </c>
      <c r="M21" s="3" t="b">
        <f>K21 = 0</f>
        <v>1</v>
      </c>
      <c r="N21" s="3" t="str">
        <f>IF(M21, "", D21)</f>
      </c>
      <c r="O21" s="3" t="str">
        <f>IF(M21, "", E21)</f>
      </c>
      <c r="P21" s="3">
        <f>COUNTIFS(FieldDisagreements!E2:E999, A21)</f>
        <v>0</v>
      </c>
      <c r="Q21" s="3" t="str">
        <f>_xlfn.IFNA(INDEX(ConformanceSubstrates!C2:C999, MATCH(D21,ConformanceSubstrates!A2:A999, 0)), "")</f>
        <v>PostgreSQL</v>
      </c>
      <c r="R21" s="3" t="str">
        <f>_xlfn.IFNA(INDEX(RulebookTables!F2:F999, MATCH(E21,RulebookTables!A2:A999, 0)), "")</f>
        <v>specification</v>
      </c>
      <c r="S21" s="2" t="s">
        <v>1898</v>
      </c>
    </row>
    <row r="22">
      <c r="A22" s="2" t="s">
        <v>14029</v>
      </c>
      <c r="B22" s="3" t="str">
        <f>_xlfn.CONCAT(D22, " / ", E22)</f>
        <v>effortless-postgres / StepFunctions</v>
      </c>
      <c r="C22" s="2" t="s">
        <v>13999</v>
      </c>
      <c r="D22" s="2" t="s">
        <v>13956</v>
      </c>
      <c r="E22" s="2" t="s">
        <v>2968</v>
      </c>
      <c r="F22" s="2">
        <v>8</v>
      </c>
      <c r="G22" s="2">
        <v>1</v>
      </c>
      <c r="H22" s="2">
        <v>8</v>
      </c>
      <c r="I22" s="2">
        <v>8</v>
      </c>
      <c r="J22" s="2" t="b">
        <v>0</v>
      </c>
      <c r="K22" s="3">
        <f>H22 - I22</f>
        <v>0</v>
      </c>
      <c r="L22" s="3">
        <f>IF(H22 = 0, 0, ROUND(100 * I22 / H22, 2))</f>
        <v>100</v>
      </c>
      <c r="M22" s="3" t="b">
        <f>K22 = 0</f>
        <v>1</v>
      </c>
      <c r="N22" s="3" t="str">
        <f>IF(M22, "", D22)</f>
      </c>
      <c r="O22" s="3" t="str">
        <f>IF(M22, "", E22)</f>
      </c>
      <c r="P22" s="3">
        <f>COUNTIFS(FieldDisagreements!E2:E999, A22)</f>
        <v>0</v>
      </c>
      <c r="Q22" s="3" t="str">
        <f>_xlfn.IFNA(INDEX(ConformanceSubstrates!C2:C999, MATCH(D22,ConformanceSubstrates!A2:A999, 0)), "")</f>
        <v>PostgreSQL</v>
      </c>
      <c r="R22" s="3" t="str">
        <f>_xlfn.IFNA(INDEX(RulebookTables!F2:F999, MATCH(E22,RulebookTables!A2:A999, 0)), "")</f>
        <v>specification</v>
      </c>
      <c r="S22" s="2" t="s">
        <v>1898</v>
      </c>
    </row>
    <row r="23">
      <c r="A23" s="2" t="s">
        <v>14030</v>
      </c>
      <c r="B23" s="3" t="str">
        <f>_xlfn.CONCAT(D23, " / ", E23)</f>
        <v>effortless-postgres / StepTools</v>
      </c>
      <c r="C23" s="2" t="s">
        <v>13999</v>
      </c>
      <c r="D23" s="2" t="s">
        <v>13956</v>
      </c>
      <c r="E23" s="2" t="s">
        <v>2974</v>
      </c>
      <c r="F23" s="2">
        <v>10</v>
      </c>
      <c r="G23" s="2">
        <v>1</v>
      </c>
      <c r="H23" s="2">
        <v>10</v>
      </c>
      <c r="I23" s="2">
        <v>10</v>
      </c>
      <c r="J23" s="2" t="b">
        <v>0</v>
      </c>
      <c r="K23" s="3">
        <f>H23 - I23</f>
        <v>0</v>
      </c>
      <c r="L23" s="3">
        <f>IF(H23 = 0, 0, ROUND(100 * I23 / H23, 2))</f>
        <v>100</v>
      </c>
      <c r="M23" s="3" t="b">
        <f>K23 = 0</f>
        <v>1</v>
      </c>
      <c r="N23" s="3" t="str">
        <f>IF(M23, "", D23)</f>
      </c>
      <c r="O23" s="3" t="str">
        <f>IF(M23, "", E23)</f>
      </c>
      <c r="P23" s="3">
        <f>COUNTIFS(FieldDisagreements!E2:E999, A23)</f>
        <v>0</v>
      </c>
      <c r="Q23" s="3" t="str">
        <f>_xlfn.IFNA(INDEX(ConformanceSubstrates!C2:C999, MATCH(D23,ConformanceSubstrates!A2:A999, 0)), "")</f>
        <v>PostgreSQL</v>
      </c>
      <c r="R23" s="3" t="str">
        <f>_xlfn.IFNA(INDEX(RulebookTables!F2:F999, MATCH(E23,RulebookTables!A2:A999, 0)), "")</f>
        <v>specification</v>
      </c>
      <c r="S23" s="2" t="s">
        <v>1898</v>
      </c>
    </row>
    <row r="24">
      <c r="A24" s="2" t="s">
        <v>14031</v>
      </c>
      <c r="B24" s="3" t="str">
        <f>_xlfn.CONCAT(D24, " / ", E24)</f>
        <v>effortless-postgres / Requirements</v>
      </c>
      <c r="C24" s="2" t="s">
        <v>13999</v>
      </c>
      <c r="D24" s="2" t="s">
        <v>13956</v>
      </c>
      <c r="E24" s="2" t="s">
        <v>1785</v>
      </c>
      <c r="F24" s="2">
        <v>13</v>
      </c>
      <c r="G24" s="2">
        <v>31</v>
      </c>
      <c r="H24" s="2">
        <v>403</v>
      </c>
      <c r="I24" s="2">
        <v>400</v>
      </c>
      <c r="J24" s="2" t="b">
        <v>0</v>
      </c>
      <c r="K24" s="3">
        <f>H24 - I24</f>
        <v>3</v>
      </c>
      <c r="L24" s="3">
        <f>IF(H24 = 0, 0, ROUND(100 * I24 / H24, 2))</f>
        <v>99.26</v>
      </c>
      <c r="M24" s="3" t="b">
        <f>K24 = 0</f>
        <v>0</v>
      </c>
      <c r="N24" s="3" t="str">
        <f>IF(M24, "", D24)</f>
        <v>effortless-postgres</v>
      </c>
      <c r="O24" s="3" t="str">
        <f>IF(M24, "", E24)</f>
        <v>Requirements</v>
      </c>
      <c r="P24" s="3">
        <f>COUNTIFS(FieldDisagreements!E2:E999, A24)</f>
        <v>1</v>
      </c>
      <c r="Q24" s="3" t="str">
        <f>_xlfn.IFNA(INDEX(ConformanceSubstrates!C2:C999, MATCH(D24,ConformanceSubstrates!A2:A999, 0)), "")</f>
        <v>PostgreSQL</v>
      </c>
      <c r="R24" s="3" t="str">
        <f>_xlfn.IFNA(INDEX(RulebookTables!F2:F999, MATCH(E24,RulebookTables!A2:A999, 0)), "")</f>
        <v>governance</v>
      </c>
      <c r="S24" s="2" t="s">
        <v>1898</v>
      </c>
    </row>
    <row r="25">
      <c r="A25" s="2" t="s">
        <v>14032</v>
      </c>
      <c r="B25" s="3" t="str">
        <f>_xlfn.CONCAT(D25, " / ", E25)</f>
        <v>effortless-postgres / StepRequirements</v>
      </c>
      <c r="C25" s="2" t="s">
        <v>13999</v>
      </c>
      <c r="D25" s="2" t="s">
        <v>13956</v>
      </c>
      <c r="E25" s="2" t="s">
        <v>3053</v>
      </c>
      <c r="F25" s="2">
        <v>15</v>
      </c>
      <c r="G25" s="2">
        <v>10</v>
      </c>
      <c r="H25" s="2">
        <v>150</v>
      </c>
      <c r="I25" s="2">
        <v>150</v>
      </c>
      <c r="J25" s="2" t="b">
        <v>0</v>
      </c>
      <c r="K25" s="3">
        <f>H25 - I25</f>
        <v>0</v>
      </c>
      <c r="L25" s="3">
        <f>IF(H25 = 0, 0, ROUND(100 * I25 / H25, 2))</f>
        <v>100</v>
      </c>
      <c r="M25" s="3" t="b">
        <f>K25 = 0</f>
        <v>1</v>
      </c>
      <c r="N25" s="3" t="str">
        <f>IF(M25, "", D25)</f>
      </c>
      <c r="O25" s="3" t="str">
        <f>IF(M25, "", E25)</f>
      </c>
      <c r="P25" s="3">
        <f>COUNTIFS(FieldDisagreements!E2:E999, A25)</f>
        <v>0</v>
      </c>
      <c r="Q25" s="3" t="str">
        <f>_xlfn.IFNA(INDEX(ConformanceSubstrates!C2:C999, MATCH(D25,ConformanceSubstrates!A2:A999, 0)), "")</f>
        <v>PostgreSQL</v>
      </c>
      <c r="R25" s="3" t="str">
        <f>_xlfn.IFNA(INDEX(RulebookTables!F2:F999, MATCH(E25,RulebookTables!A2:A999, 0)), "")</f>
        <v>specification</v>
      </c>
      <c r="S25" s="2" t="s">
        <v>1898</v>
      </c>
    </row>
    <row r="26">
      <c r="A26" s="2" t="s">
        <v>14033</v>
      </c>
      <c r="B26" s="3" t="str">
        <f>_xlfn.CONCAT(D26, " / ", E26)</f>
        <v>effortless-postgres / StepVerifications</v>
      </c>
      <c r="C26" s="2" t="s">
        <v>13999</v>
      </c>
      <c r="D26" s="2" t="s">
        <v>13956</v>
      </c>
      <c r="E26" s="2" t="s">
        <v>1788</v>
      </c>
      <c r="F26" s="2">
        <v>11</v>
      </c>
      <c r="G26" s="2">
        <v>1</v>
      </c>
      <c r="H26" s="2">
        <v>11</v>
      </c>
      <c r="I26" s="2">
        <v>11</v>
      </c>
      <c r="J26" s="2" t="b">
        <v>0</v>
      </c>
      <c r="K26" s="3">
        <f>H26 - I26</f>
        <v>0</v>
      </c>
      <c r="L26" s="3">
        <f>IF(H26 = 0, 0, ROUND(100 * I26 / H26, 2))</f>
        <v>100</v>
      </c>
      <c r="M26" s="3" t="b">
        <f>K26 = 0</f>
        <v>1</v>
      </c>
      <c r="N26" s="3" t="str">
        <f>IF(M26, "", D26)</f>
      </c>
      <c r="O26" s="3" t="str">
        <f>IF(M26, "", E26)</f>
      </c>
      <c r="P26" s="3">
        <f>COUNTIFS(FieldDisagreements!E2:E999, A26)</f>
        <v>0</v>
      </c>
      <c r="Q26" s="3" t="str">
        <f>_xlfn.IFNA(INDEX(ConformanceSubstrates!C2:C999, MATCH(D26,ConformanceSubstrates!A2:A999, 0)), "")</f>
        <v>PostgreSQL</v>
      </c>
      <c r="R26" s="3" t="str">
        <f>_xlfn.IFNA(INDEX(RulebookTables!F2:F999, MATCH(E26,RulebookTables!A2:A999, 0)), "")</f>
        <v>specification</v>
      </c>
      <c r="S26" s="2" t="s">
        <v>1898</v>
      </c>
    </row>
    <row r="27">
      <c r="A27" s="2" t="s">
        <v>14034</v>
      </c>
      <c r="B27" s="3" t="str">
        <f>_xlfn.CONCAT(D27, " / ", E27)</f>
        <v>effortless-postgres / Rationales</v>
      </c>
      <c r="C27" s="2" t="s">
        <v>13999</v>
      </c>
      <c r="D27" s="2" t="s">
        <v>13956</v>
      </c>
      <c r="E27" s="2" t="s">
        <v>3085</v>
      </c>
      <c r="F27" s="2">
        <v>4</v>
      </c>
      <c r="G27" s="2">
        <v>1</v>
      </c>
      <c r="H27" s="2">
        <v>4</v>
      </c>
      <c r="I27" s="2">
        <v>4</v>
      </c>
      <c r="J27" s="2" t="b">
        <v>0</v>
      </c>
      <c r="K27" s="3">
        <f>H27 - I27</f>
        <v>0</v>
      </c>
      <c r="L27" s="3">
        <f>IF(H27 = 0, 0, ROUND(100 * I27 / H27, 2))</f>
        <v>100</v>
      </c>
      <c r="M27" s="3" t="b">
        <f>K27 = 0</f>
        <v>1</v>
      </c>
      <c r="N27" s="3" t="str">
        <f>IF(M27, "", D27)</f>
      </c>
      <c r="O27" s="3" t="str">
        <f>IF(M27, "", E27)</f>
      </c>
      <c r="P27" s="3">
        <f>COUNTIFS(FieldDisagreements!E2:E999, A27)</f>
        <v>0</v>
      </c>
      <c r="Q27" s="3" t="str">
        <f>_xlfn.IFNA(INDEX(ConformanceSubstrates!C2:C999, MATCH(D27,ConformanceSubstrates!A2:A999, 0)), "")</f>
        <v>PostgreSQL</v>
      </c>
      <c r="R27" s="3" t="str">
        <f>_xlfn.IFNA(INDEX(RulebookTables!F2:F999, MATCH(E27,RulebookTables!A2:A999, 0)), "")</f>
        <v>governance</v>
      </c>
      <c r="S27" s="2" t="s">
        <v>1898</v>
      </c>
    </row>
    <row r="28">
      <c r="A28" s="2" t="s">
        <v>14035</v>
      </c>
      <c r="B28" s="3" t="str">
        <f>_xlfn.CONCAT(D28, " / ", E28)</f>
        <v>effortless-postgres / Exceptions</v>
      </c>
      <c r="C28" s="2" t="s">
        <v>13999</v>
      </c>
      <c r="D28" s="2" t="s">
        <v>13956</v>
      </c>
      <c r="E28" s="2" t="s">
        <v>3095</v>
      </c>
      <c r="F28" s="2">
        <v>4</v>
      </c>
      <c r="G28" s="2">
        <v>2</v>
      </c>
      <c r="H28" s="2">
        <v>8</v>
      </c>
      <c r="I28" s="2">
        <v>8</v>
      </c>
      <c r="J28" s="2" t="b">
        <v>0</v>
      </c>
      <c r="K28" s="3">
        <f>H28 - I28</f>
        <v>0</v>
      </c>
      <c r="L28" s="3">
        <f>IF(H28 = 0, 0, ROUND(100 * I28 / H28, 2))</f>
        <v>100</v>
      </c>
      <c r="M28" s="3" t="b">
        <f>K28 = 0</f>
        <v>1</v>
      </c>
      <c r="N28" s="3" t="str">
        <f>IF(M28, "", D28)</f>
      </c>
      <c r="O28" s="3" t="str">
        <f>IF(M28, "", E28)</f>
      </c>
      <c r="P28" s="3">
        <f>COUNTIFS(FieldDisagreements!E2:E999, A28)</f>
        <v>0</v>
      </c>
      <c r="Q28" s="3" t="str">
        <f>_xlfn.IFNA(INDEX(ConformanceSubstrates!C2:C999, MATCH(D28,ConformanceSubstrates!A2:A999, 0)), "")</f>
        <v>PostgreSQL</v>
      </c>
      <c r="R28" s="3" t="str">
        <f>_xlfn.IFNA(INDEX(RulebookTables!F2:F999, MATCH(E28,RulebookTables!A2:A999, 0)), "")</f>
        <v>governance</v>
      </c>
      <c r="S28" s="2" t="s">
        <v>1898</v>
      </c>
    </row>
    <row r="29">
      <c r="A29" s="2" t="s">
        <v>14036</v>
      </c>
      <c r="B29" s="3" t="str">
        <f>_xlfn.CONCAT(D29, " / ", E29)</f>
        <v>effortless-postgres / Resources</v>
      </c>
      <c r="C29" s="2" t="s">
        <v>13999</v>
      </c>
      <c r="D29" s="2" t="s">
        <v>13956</v>
      </c>
      <c r="E29" s="2" t="s">
        <v>1791</v>
      </c>
      <c r="F29" s="2">
        <v>8</v>
      </c>
      <c r="G29" s="2">
        <v>2</v>
      </c>
      <c r="H29" s="2">
        <v>16</v>
      </c>
      <c r="I29" s="2">
        <v>16</v>
      </c>
      <c r="J29" s="2" t="b">
        <v>0</v>
      </c>
      <c r="K29" s="3">
        <f>H29 - I29</f>
        <v>0</v>
      </c>
      <c r="L29" s="3">
        <f>IF(H29 = 0, 0, ROUND(100 * I29 / H29, 2))</f>
        <v>100</v>
      </c>
      <c r="M29" s="3" t="b">
        <f>K29 = 0</f>
        <v>1</v>
      </c>
      <c r="N29" s="3" t="str">
        <f>IF(M29, "", D29)</f>
      </c>
      <c r="O29" s="3" t="str">
        <f>IF(M29, "", E29)</f>
      </c>
      <c r="P29" s="3">
        <f>COUNTIFS(FieldDisagreements!E2:E999, A29)</f>
        <v>0</v>
      </c>
      <c r="Q29" s="3" t="str">
        <f>_xlfn.IFNA(INDEX(ConformanceSubstrates!C2:C999, MATCH(D29,ConformanceSubstrates!A2:A999, 0)), "")</f>
        <v>PostgreSQL</v>
      </c>
      <c r="R29" s="3" t="str">
        <f>_xlfn.IFNA(INDEX(RulebookTables!F2:F999, MATCH(E29,RulebookTables!A2:A999, 0)), "")</f>
        <v>domain</v>
      </c>
      <c r="S29" s="2" t="s">
        <v>1898</v>
      </c>
    </row>
    <row r="30">
      <c r="A30" s="2" t="s">
        <v>14037</v>
      </c>
      <c r="B30" s="3" t="str">
        <f>_xlfn.CONCAT(D30, " / ", E30)</f>
        <v>effortless-postgres / ProcedureResources</v>
      </c>
      <c r="C30" s="2" t="s">
        <v>13999</v>
      </c>
      <c r="D30" s="2" t="s">
        <v>13956</v>
      </c>
      <c r="E30" s="2" t="s">
        <v>3121</v>
      </c>
      <c r="F30" s="2">
        <v>8</v>
      </c>
      <c r="G30" s="2">
        <v>2</v>
      </c>
      <c r="H30" s="2">
        <v>16</v>
      </c>
      <c r="I30" s="2">
        <v>16</v>
      </c>
      <c r="J30" s="2" t="b">
        <v>0</v>
      </c>
      <c r="K30" s="3">
        <f>H30 - I30</f>
        <v>0</v>
      </c>
      <c r="L30" s="3">
        <f>IF(H30 = 0, 0, ROUND(100 * I30 / H30, 2))</f>
        <v>100</v>
      </c>
      <c r="M30" s="3" t="b">
        <f>K30 = 0</f>
        <v>1</v>
      </c>
      <c r="N30" s="3" t="str">
        <f>IF(M30, "", D30)</f>
      </c>
      <c r="O30" s="3" t="str">
        <f>IF(M30, "", E30)</f>
      </c>
      <c r="P30" s="3">
        <f>COUNTIFS(FieldDisagreements!E2:E999, A30)</f>
        <v>0</v>
      </c>
      <c r="Q30" s="3" t="str">
        <f>_xlfn.IFNA(INDEX(ConformanceSubstrates!C2:C999, MATCH(D30,ConformanceSubstrates!A2:A999, 0)), "")</f>
        <v>PostgreSQL</v>
      </c>
      <c r="R30" s="3" t="str">
        <f>_xlfn.IFNA(INDEX(RulebookTables!F2:F999, MATCH(E30,RulebookTables!A2:A999, 0)), "")</f>
        <v>specification</v>
      </c>
      <c r="S30" s="2" t="s">
        <v>1898</v>
      </c>
    </row>
    <row r="31">
      <c r="A31" s="2" t="s">
        <v>14038</v>
      </c>
      <c r="B31" s="3" t="str">
        <f>_xlfn.CONCAT(D31, " / ", E31)</f>
        <v>effortless-postgres / ElicitationSessions</v>
      </c>
      <c r="C31" s="2" t="s">
        <v>13999</v>
      </c>
      <c r="D31" s="2" t="s">
        <v>13956</v>
      </c>
      <c r="E31" s="2" t="s">
        <v>1835</v>
      </c>
      <c r="F31" s="2">
        <v>3</v>
      </c>
      <c r="G31" s="2">
        <v>10</v>
      </c>
      <c r="H31" s="2">
        <v>30</v>
      </c>
      <c r="I31" s="2">
        <v>25</v>
      </c>
      <c r="J31" s="2" t="b">
        <v>0</v>
      </c>
      <c r="K31" s="3">
        <f>H31 - I31</f>
        <v>5</v>
      </c>
      <c r="L31" s="3">
        <f>IF(H31 = 0, 0, ROUND(100 * I31 / H31, 2))</f>
        <v>83.33</v>
      </c>
      <c r="M31" s="3" t="b">
        <f>K31 = 0</f>
        <v>0</v>
      </c>
      <c r="N31" s="3" t="str">
        <f>IF(M31, "", D31)</f>
        <v>effortless-postgres</v>
      </c>
      <c r="O31" s="3" t="str">
        <f>IF(M31, "", E31)</f>
        <v>ElicitationSessions</v>
      </c>
      <c r="P31" s="3">
        <f>COUNTIFS(FieldDisagreements!E2:E999, A31)</f>
        <v>2</v>
      </c>
      <c r="Q31" s="3" t="str">
        <f>_xlfn.IFNA(INDEX(ConformanceSubstrates!C2:C999, MATCH(D31,ConformanceSubstrates!A2:A999, 0)), "")</f>
        <v>PostgreSQL</v>
      </c>
      <c r="R31" s="3" t="str">
        <f>_xlfn.IFNA(INDEX(RulebookTables!F2:F999, MATCH(E31,RulebookTables!A2:A999, 0)), "")</f>
        <v>knowledge</v>
      </c>
      <c r="S31" s="2" t="s">
        <v>1898</v>
      </c>
    </row>
    <row r="32">
      <c r="A32" s="2" t="s">
        <v>14039</v>
      </c>
      <c r="B32" s="3" t="str">
        <f>_xlfn.CONCAT(D32, " / ", E32)</f>
        <v>effortless-postgres / KnowledgeFragments</v>
      </c>
      <c r="C32" s="2" t="s">
        <v>13999</v>
      </c>
      <c r="D32" s="2" t="s">
        <v>13956</v>
      </c>
      <c r="E32" s="2" t="s">
        <v>1831</v>
      </c>
      <c r="F32" s="2">
        <v>7</v>
      </c>
      <c r="G32" s="2">
        <v>65</v>
      </c>
      <c r="H32" s="2">
        <v>455</v>
      </c>
      <c r="I32" s="2">
        <v>445</v>
      </c>
      <c r="J32" s="2" t="b">
        <v>0</v>
      </c>
      <c r="K32" s="3">
        <f>H32 - I32</f>
        <v>10</v>
      </c>
      <c r="L32" s="3">
        <f>IF(H32 = 0, 0, ROUND(100 * I32 / H32, 2))</f>
        <v>97.8</v>
      </c>
      <c r="M32" s="3" t="b">
        <f>K32 = 0</f>
        <v>0</v>
      </c>
      <c r="N32" s="3" t="str">
        <f>IF(M32, "", D32)</f>
        <v>effortless-postgres</v>
      </c>
      <c r="O32" s="3" t="str">
        <f>IF(M32, "", E32)</f>
        <v>KnowledgeFragments</v>
      </c>
      <c r="P32" s="3">
        <f>COUNTIFS(FieldDisagreements!E2:E999, A32)</f>
        <v>4</v>
      </c>
      <c r="Q32" s="3" t="str">
        <f>_xlfn.IFNA(INDEX(ConformanceSubstrates!C2:C999, MATCH(D32,ConformanceSubstrates!A2:A999, 0)), "")</f>
        <v>PostgreSQL</v>
      </c>
      <c r="R32" s="3" t="str">
        <f>_xlfn.IFNA(INDEX(RulebookTables!F2:F999, MATCH(E32,RulebookTables!A2:A999, 0)), "")</f>
        <v>knowledge</v>
      </c>
      <c r="S32" s="2" t="s">
        <v>1898</v>
      </c>
    </row>
    <row r="33">
      <c r="A33" s="2" t="s">
        <v>14040</v>
      </c>
      <c r="B33" s="3" t="str">
        <f>_xlfn.CONCAT(D33, " / ", E33)</f>
        <v>effortless-postgres / KnowledgeGaps</v>
      </c>
      <c r="C33" s="2" t="s">
        <v>13999</v>
      </c>
      <c r="D33" s="2" t="s">
        <v>13956</v>
      </c>
      <c r="E33" s="2" t="s">
        <v>3302</v>
      </c>
      <c r="F33" s="2">
        <v>8</v>
      </c>
      <c r="G33" s="2">
        <v>16</v>
      </c>
      <c r="H33" s="2">
        <v>128</v>
      </c>
      <c r="I33" s="2">
        <v>127</v>
      </c>
      <c r="J33" s="2" t="b">
        <v>0</v>
      </c>
      <c r="K33" s="3">
        <f>H33 - I33</f>
        <v>1</v>
      </c>
      <c r="L33" s="3">
        <f>IF(H33 = 0, 0, ROUND(100 * I33 / H33, 2))</f>
        <v>99.22</v>
      </c>
      <c r="M33" s="3" t="b">
        <f>K33 = 0</f>
        <v>0</v>
      </c>
      <c r="N33" s="3" t="str">
        <f>IF(M33, "", D33)</f>
        <v>effortless-postgres</v>
      </c>
      <c r="O33" s="3" t="str">
        <f>IF(M33, "", E33)</f>
        <v>KnowledgeGaps</v>
      </c>
      <c r="P33" s="3">
        <f>COUNTIFS(FieldDisagreements!E2:E999, A33)</f>
        <v>1</v>
      </c>
      <c r="Q33" s="3" t="str">
        <f>_xlfn.IFNA(INDEX(ConformanceSubstrates!C2:C999, MATCH(D33,ConformanceSubstrates!A2:A999, 0)), "")</f>
        <v>PostgreSQL</v>
      </c>
      <c r="R33" s="3" t="str">
        <f>_xlfn.IFNA(INDEX(RulebookTables!F2:F999, MATCH(E33,RulebookTables!A2:A999, 0)), "")</f>
        <v>knowledge</v>
      </c>
      <c r="S33" s="2" t="s">
        <v>1898</v>
      </c>
    </row>
    <row r="34">
      <c r="A34" s="2" t="s">
        <v>14041</v>
      </c>
      <c r="B34" s="3" t="str">
        <f>_xlfn.CONCAT(D34, " / ", E34)</f>
        <v>effortless-postgres / FAQs</v>
      </c>
      <c r="C34" s="2" t="s">
        <v>13999</v>
      </c>
      <c r="D34" s="2" t="s">
        <v>13956</v>
      </c>
      <c r="E34" s="2" t="s">
        <v>1825</v>
      </c>
      <c r="F34" s="2">
        <v>3</v>
      </c>
      <c r="G34" s="2">
        <v>1</v>
      </c>
      <c r="H34" s="2">
        <v>3</v>
      </c>
      <c r="I34" s="2">
        <v>3</v>
      </c>
      <c r="J34" s="2" t="b">
        <v>0</v>
      </c>
      <c r="K34" s="3">
        <f>H34 - I34</f>
        <v>0</v>
      </c>
      <c r="L34" s="3">
        <f>IF(H34 = 0, 0, ROUND(100 * I34 / H34, 2))</f>
        <v>100</v>
      </c>
      <c r="M34" s="3" t="b">
        <f>K34 = 0</f>
        <v>1</v>
      </c>
      <c r="N34" s="3" t="str">
        <f>IF(M34, "", D34)</f>
      </c>
      <c r="O34" s="3" t="str">
        <f>IF(M34, "", E34)</f>
      </c>
      <c r="P34" s="3">
        <f>COUNTIFS(FieldDisagreements!E2:E999, A34)</f>
        <v>0</v>
      </c>
      <c r="Q34" s="3" t="str">
        <f>_xlfn.IFNA(INDEX(ConformanceSubstrates!C2:C999, MATCH(D34,ConformanceSubstrates!A2:A999, 0)), "")</f>
        <v>PostgreSQL</v>
      </c>
      <c r="R34" s="3" t="str">
        <f>_xlfn.IFNA(INDEX(RulebookTables!F2:F999, MATCH(E34,RulebookTables!A2:A999, 0)), "")</f>
        <v>knowledge</v>
      </c>
      <c r="S34" s="2" t="s">
        <v>1898</v>
      </c>
    </row>
    <row r="35">
      <c r="A35" s="2" t="s">
        <v>14042</v>
      </c>
      <c r="B35" s="3" t="str">
        <f>_xlfn.CONCAT(D35, " / ", E35)</f>
        <v>effortless-postgres / Explanations</v>
      </c>
      <c r="C35" s="2" t="s">
        <v>13999</v>
      </c>
      <c r="D35" s="2" t="s">
        <v>13956</v>
      </c>
      <c r="E35" s="2" t="s">
        <v>1828</v>
      </c>
      <c r="F35" s="2">
        <v>2</v>
      </c>
      <c r="G35" s="2">
        <v>1</v>
      </c>
      <c r="H35" s="2">
        <v>2</v>
      </c>
      <c r="I35" s="2">
        <v>2</v>
      </c>
      <c r="J35" s="2" t="b">
        <v>0</v>
      </c>
      <c r="K35" s="3">
        <f>H35 - I35</f>
        <v>0</v>
      </c>
      <c r="L35" s="3">
        <f>IF(H35 = 0, 0, ROUND(100 * I35 / H35, 2))</f>
        <v>100</v>
      </c>
      <c r="M35" s="3" t="b">
        <f>K35 = 0</f>
        <v>1</v>
      </c>
      <c r="N35" s="3" t="str">
        <f>IF(M35, "", D35)</f>
      </c>
      <c r="O35" s="3" t="str">
        <f>IF(M35, "", E35)</f>
      </c>
      <c r="P35" s="3">
        <f>COUNTIFS(FieldDisagreements!E2:E999, A35)</f>
        <v>0</v>
      </c>
      <c r="Q35" s="3" t="str">
        <f>_xlfn.IFNA(INDEX(ConformanceSubstrates!C2:C999, MATCH(D35,ConformanceSubstrates!A2:A999, 0)), "")</f>
        <v>PostgreSQL</v>
      </c>
      <c r="R35" s="3" t="str">
        <f>_xlfn.IFNA(INDEX(RulebookTables!F2:F999, MATCH(E35,RulebookTables!A2:A999, 0)), "")</f>
        <v>knowledge</v>
      </c>
      <c r="S35" s="2" t="s">
        <v>1898</v>
      </c>
    </row>
    <row r="36">
      <c r="A36" s="2" t="s">
        <v>14043</v>
      </c>
      <c r="B36" s="3" t="str">
        <f>_xlfn.CONCAT(D36, " / ", E36)</f>
        <v>effortless-postgres / ProcedureExecutions</v>
      </c>
      <c r="C36" s="2" t="s">
        <v>13999</v>
      </c>
      <c r="D36" s="2" t="s">
        <v>13956</v>
      </c>
      <c r="E36" s="2" t="s">
        <v>1804</v>
      </c>
      <c r="F36" s="2">
        <v>2</v>
      </c>
      <c r="G36" s="2">
        <v>69</v>
      </c>
      <c r="H36" s="2">
        <v>138</v>
      </c>
      <c r="I36" s="2">
        <v>137</v>
      </c>
      <c r="J36" s="2" t="b">
        <v>0</v>
      </c>
      <c r="K36" s="3">
        <f>H36 - I36</f>
        <v>1</v>
      </c>
      <c r="L36" s="3">
        <f>IF(H36 = 0, 0, ROUND(100 * I36 / H36, 2))</f>
        <v>99.28</v>
      </c>
      <c r="M36" s="3" t="b">
        <f>K36 = 0</f>
        <v>0</v>
      </c>
      <c r="N36" s="3" t="str">
        <f>IF(M36, "", D36)</f>
        <v>effortless-postgres</v>
      </c>
      <c r="O36" s="3" t="str">
        <f>IF(M36, "", E36)</f>
        <v>ProcedureExecutions</v>
      </c>
      <c r="P36" s="3">
        <f>COUNTIFS(FieldDisagreements!E2:E999, A36)</f>
        <v>1</v>
      </c>
      <c r="Q36" s="3" t="str">
        <f>_xlfn.IFNA(INDEX(ConformanceSubstrates!C2:C999, MATCH(D36,ConformanceSubstrates!A2:A999, 0)), "")</f>
        <v>PostgreSQL</v>
      </c>
      <c r="R36" s="3" t="str">
        <f>_xlfn.IFNA(INDEX(RulebookTables!F2:F999, MATCH(E36,RulebookTables!A2:A999, 0)), "")</f>
        <v>specification</v>
      </c>
      <c r="S36" s="2" t="s">
        <v>1898</v>
      </c>
    </row>
    <row r="37">
      <c r="A37" s="2" t="s">
        <v>14044</v>
      </c>
      <c r="B37" s="3" t="str">
        <f>_xlfn.CONCAT(D37, " / ", E37)</f>
        <v>effortless-postgres / StepExecutions</v>
      </c>
      <c r="C37" s="2" t="s">
        <v>13999</v>
      </c>
      <c r="D37" s="2" t="s">
        <v>13956</v>
      </c>
      <c r="E37" s="2" t="s">
        <v>1807</v>
      </c>
      <c r="F37" s="2">
        <v>12</v>
      </c>
      <c r="G37" s="2">
        <v>99</v>
      </c>
      <c r="H37" s="2">
        <v>1188</v>
      </c>
      <c r="I37" s="2">
        <v>1188</v>
      </c>
      <c r="J37" s="2" t="b">
        <v>0</v>
      </c>
      <c r="K37" s="3">
        <f>H37 - I37</f>
        <v>0</v>
      </c>
      <c r="L37" s="3">
        <f>IF(H37 = 0, 0, ROUND(100 * I37 / H37, 2))</f>
        <v>100</v>
      </c>
      <c r="M37" s="3" t="b">
        <f>K37 = 0</f>
        <v>1</v>
      </c>
      <c r="N37" s="3" t="str">
        <f>IF(M37, "", D37)</f>
      </c>
      <c r="O37" s="3" t="str">
        <f>IF(M37, "", E37)</f>
      </c>
      <c r="P37" s="3">
        <f>COUNTIFS(FieldDisagreements!E2:E999, A37)</f>
        <v>0</v>
      </c>
      <c r="Q37" s="3" t="str">
        <f>_xlfn.IFNA(INDEX(ConformanceSubstrates!C2:C999, MATCH(D37,ConformanceSubstrates!A2:A999, 0)), "")</f>
        <v>PostgreSQL</v>
      </c>
      <c r="R37" s="3" t="str">
        <f>_xlfn.IFNA(INDEX(RulebookTables!F2:F999, MATCH(E37,RulebookTables!A2:A999, 0)), "")</f>
        <v>specification</v>
      </c>
      <c r="S37" s="2" t="s">
        <v>1898</v>
      </c>
    </row>
    <row r="38">
      <c r="A38" s="2" t="s">
        <v>14045</v>
      </c>
      <c r="B38" s="3" t="str">
        <f>_xlfn.CONCAT(D38, " / ", E38)</f>
        <v>effortless-postgres / RequirementSatisfactions</v>
      </c>
      <c r="C38" s="2" t="s">
        <v>13999</v>
      </c>
      <c r="D38" s="2" t="s">
        <v>13956</v>
      </c>
      <c r="E38" s="2" t="s">
        <v>1810</v>
      </c>
      <c r="F38" s="2">
        <v>8</v>
      </c>
      <c r="G38" s="2">
        <v>38</v>
      </c>
      <c r="H38" s="2">
        <v>304</v>
      </c>
      <c r="I38" s="2">
        <v>304</v>
      </c>
      <c r="J38" s="2" t="b">
        <v>0</v>
      </c>
      <c r="K38" s="3">
        <f>H38 - I38</f>
        <v>0</v>
      </c>
      <c r="L38" s="3">
        <f>IF(H38 = 0, 0, ROUND(100 * I38 / H38, 2))</f>
        <v>100</v>
      </c>
      <c r="M38" s="3" t="b">
        <f>K38 = 0</f>
        <v>1</v>
      </c>
      <c r="N38" s="3" t="str">
        <f>IF(M38, "", D38)</f>
      </c>
      <c r="O38" s="3" t="str">
        <f>IF(M38, "", E38)</f>
      </c>
      <c r="P38" s="3">
        <f>COUNTIFS(FieldDisagreements!E2:E999, A38)</f>
        <v>0</v>
      </c>
      <c r="Q38" s="3" t="str">
        <f>_xlfn.IFNA(INDEX(ConformanceSubstrates!C2:C999, MATCH(D38,ConformanceSubstrates!A2:A999, 0)), "")</f>
        <v>PostgreSQL</v>
      </c>
      <c r="R38" s="3" t="str">
        <f>_xlfn.IFNA(INDEX(RulebookTables!F2:F999, MATCH(E38,RulebookTables!A2:A999, 0)), "")</f>
        <v>execution</v>
      </c>
      <c r="S38" s="2" t="s">
        <v>1898</v>
      </c>
    </row>
    <row r="39">
      <c r="A39" s="2" t="s">
        <v>14046</v>
      </c>
      <c r="B39" s="3" t="str">
        <f>_xlfn.CONCAT(D39, " / ", E39)</f>
        <v>effortless-postgres / Errors</v>
      </c>
      <c r="C39" s="2" t="s">
        <v>13999</v>
      </c>
      <c r="D39" s="2" t="s">
        <v>13956</v>
      </c>
      <c r="E39" s="2" t="s">
        <v>1813</v>
      </c>
      <c r="F39" s="2">
        <v>2</v>
      </c>
      <c r="G39" s="2">
        <v>1</v>
      </c>
      <c r="H39" s="2">
        <v>2</v>
      </c>
      <c r="I39" s="2">
        <v>2</v>
      </c>
      <c r="J39" s="2" t="b">
        <v>0</v>
      </c>
      <c r="K39" s="3">
        <f>H39 - I39</f>
        <v>0</v>
      </c>
      <c r="L39" s="3">
        <f>IF(H39 = 0, 0, ROUND(100 * I39 / H39, 2))</f>
        <v>100</v>
      </c>
      <c r="M39" s="3" t="b">
        <f>K39 = 0</f>
        <v>1</v>
      </c>
      <c r="N39" s="3" t="str">
        <f>IF(M39, "", D39)</f>
      </c>
      <c r="O39" s="3" t="str">
        <f>IF(M39, "", E39)</f>
      </c>
      <c r="P39" s="3">
        <f>COUNTIFS(FieldDisagreements!E2:E999, A39)</f>
        <v>0</v>
      </c>
      <c r="Q39" s="3" t="str">
        <f>_xlfn.IFNA(INDEX(ConformanceSubstrates!C2:C999, MATCH(D39,ConformanceSubstrates!A2:A999, 0)), "")</f>
        <v>PostgreSQL</v>
      </c>
      <c r="R39" s="3" t="str">
        <f>_xlfn.IFNA(INDEX(RulebookTables!F2:F999, MATCH(E39,RulebookTables!A2:A999, 0)), "")</f>
        <v>execution</v>
      </c>
      <c r="S39" s="2" t="s">
        <v>1898</v>
      </c>
    </row>
    <row r="40">
      <c r="A40" s="2" t="s">
        <v>14047</v>
      </c>
      <c r="B40" s="3" t="str">
        <f>_xlfn.CONCAT(D40, " / ", E40)</f>
        <v>effortless-postgres / IssueOccurrences</v>
      </c>
      <c r="C40" s="2" t="s">
        <v>13999</v>
      </c>
      <c r="D40" s="2" t="s">
        <v>13956</v>
      </c>
      <c r="E40" s="2" t="s">
        <v>1816</v>
      </c>
      <c r="F40" s="2">
        <v>2</v>
      </c>
      <c r="G40" s="2">
        <v>3</v>
      </c>
      <c r="H40" s="2">
        <v>6</v>
      </c>
      <c r="I40" s="2">
        <v>4</v>
      </c>
      <c r="J40" s="2" t="b">
        <v>0</v>
      </c>
      <c r="K40" s="3">
        <f>H40 - I40</f>
        <v>2</v>
      </c>
      <c r="L40" s="3">
        <f>IF(H40 = 0, 0, ROUND(100 * I40 / H40, 2))</f>
        <v>66.67</v>
      </c>
      <c r="M40" s="3" t="b">
        <f>K40 = 0</f>
        <v>0</v>
      </c>
      <c r="N40" s="3" t="str">
        <f>IF(M40, "", D40)</f>
        <v>effortless-postgres</v>
      </c>
      <c r="O40" s="3" t="str">
        <f>IF(M40, "", E40)</f>
        <v>IssueOccurrences</v>
      </c>
      <c r="P40" s="3">
        <f>COUNTIFS(FieldDisagreements!E2:E999, A40)</f>
        <v>1</v>
      </c>
      <c r="Q40" s="3" t="str">
        <f>_xlfn.IFNA(INDEX(ConformanceSubstrates!C2:C999, MATCH(D40,ConformanceSubstrates!A2:A999, 0)), "")</f>
        <v>PostgreSQL</v>
      </c>
      <c r="R40" s="3" t="str">
        <f>_xlfn.IFNA(INDEX(RulebookTables!F2:F999, MATCH(E40,RulebookTables!A2:A999, 0)), "")</f>
        <v>execution</v>
      </c>
      <c r="S40" s="2" t="s">
        <v>1898</v>
      </c>
    </row>
    <row r="41">
      <c r="A41" s="2" t="s">
        <v>14048</v>
      </c>
      <c r="B41" s="3" t="str">
        <f>_xlfn.CONCAT(D41, " / ", E41)</f>
        <v>effortless-postgres / UserQuestions</v>
      </c>
      <c r="C41" s="2" t="s">
        <v>13999</v>
      </c>
      <c r="D41" s="2" t="s">
        <v>13956</v>
      </c>
      <c r="E41" s="2" t="s">
        <v>1819</v>
      </c>
      <c r="F41" s="2">
        <v>2</v>
      </c>
      <c r="G41" s="2">
        <v>1</v>
      </c>
      <c r="H41" s="2">
        <v>2</v>
      </c>
      <c r="I41" s="2">
        <v>2</v>
      </c>
      <c r="J41" s="2" t="b">
        <v>0</v>
      </c>
      <c r="K41" s="3">
        <f>H41 - I41</f>
        <v>0</v>
      </c>
      <c r="L41" s="3">
        <f>IF(H41 = 0, 0, ROUND(100 * I41 / H41, 2))</f>
        <v>100</v>
      </c>
      <c r="M41" s="3" t="b">
        <f>K41 = 0</f>
        <v>1</v>
      </c>
      <c r="N41" s="3" t="str">
        <f>IF(M41, "", D41)</f>
      </c>
      <c r="O41" s="3" t="str">
        <f>IF(M41, "", E41)</f>
      </c>
      <c r="P41" s="3">
        <f>COUNTIFS(FieldDisagreements!E2:E999, A41)</f>
        <v>0</v>
      </c>
      <c r="Q41" s="3" t="str">
        <f>_xlfn.IFNA(INDEX(ConformanceSubstrates!C2:C999, MATCH(D41,ConformanceSubstrates!A2:A999, 0)), "")</f>
        <v>PostgreSQL</v>
      </c>
      <c r="R41" s="3" t="str">
        <f>_xlfn.IFNA(INDEX(RulebookTables!F2:F999, MATCH(E41,RulebookTables!A2:A999, 0)), "")</f>
        <v>domain</v>
      </c>
      <c r="S41" s="2" t="s">
        <v>1898</v>
      </c>
    </row>
    <row r="42">
      <c r="A42" s="2" t="s">
        <v>14049</v>
      </c>
      <c r="B42" s="3" t="str">
        <f>_xlfn.CONCAT(D42, " / ", E42)</f>
        <v>effortless-postgres / UserFeedback</v>
      </c>
      <c r="C42" s="2" t="s">
        <v>13999</v>
      </c>
      <c r="D42" s="2" t="s">
        <v>13956</v>
      </c>
      <c r="E42" s="2" t="s">
        <v>1822</v>
      </c>
      <c r="F42" s="2">
        <v>2</v>
      </c>
      <c r="G42" s="2">
        <v>1</v>
      </c>
      <c r="H42" s="2">
        <v>2</v>
      </c>
      <c r="I42" s="2">
        <v>2</v>
      </c>
      <c r="J42" s="2" t="b">
        <v>0</v>
      </c>
      <c r="K42" s="3">
        <f>H42 - I42</f>
        <v>0</v>
      </c>
      <c r="L42" s="3">
        <f>IF(H42 = 0, 0, ROUND(100 * I42 / H42, 2))</f>
        <v>100</v>
      </c>
      <c r="M42" s="3" t="b">
        <f>K42 = 0</f>
        <v>1</v>
      </c>
      <c r="N42" s="3" t="str">
        <f>IF(M42, "", D42)</f>
      </c>
      <c r="O42" s="3" t="str">
        <f>IF(M42, "", E42)</f>
      </c>
      <c r="P42" s="3">
        <f>COUNTIFS(FieldDisagreements!E2:E999, A42)</f>
        <v>0</v>
      </c>
      <c r="Q42" s="3" t="str">
        <f>_xlfn.IFNA(INDEX(ConformanceSubstrates!C2:C999, MATCH(D42,ConformanceSubstrates!A2:A999, 0)), "")</f>
        <v>PostgreSQL</v>
      </c>
      <c r="R42" s="3" t="str">
        <f>_xlfn.IFNA(INDEX(RulebookTables!F2:F999, MATCH(E42,RulebookTables!A2:A999, 0)), "")</f>
        <v>domain</v>
      </c>
      <c r="S42" s="2" t="s">
        <v>1898</v>
      </c>
    </row>
    <row r="43">
      <c r="A43" s="2" t="s">
        <v>14050</v>
      </c>
      <c r="B43" s="3" t="str">
        <f>_xlfn.CONCAT(D43, " / ", E43)</f>
        <v>effortless-postgres / StewardshipAssignments</v>
      </c>
      <c r="C43" s="2" t="s">
        <v>13999</v>
      </c>
      <c r="D43" s="2" t="s">
        <v>13956</v>
      </c>
      <c r="E43" s="2" t="s">
        <v>1839</v>
      </c>
      <c r="F43" s="2">
        <v>2</v>
      </c>
      <c r="G43" s="2">
        <v>5</v>
      </c>
      <c r="H43" s="2">
        <v>10</v>
      </c>
      <c r="I43" s="2">
        <v>10</v>
      </c>
      <c r="J43" s="2" t="b">
        <v>0</v>
      </c>
      <c r="K43" s="3">
        <f>H43 - I43</f>
        <v>0</v>
      </c>
      <c r="L43" s="3">
        <f>IF(H43 = 0, 0, ROUND(100 * I43 / H43, 2))</f>
        <v>100</v>
      </c>
      <c r="M43" s="3" t="b">
        <f>K43 = 0</f>
        <v>1</v>
      </c>
      <c r="N43" s="3" t="str">
        <f>IF(M43, "", D43)</f>
      </c>
      <c r="O43" s="3" t="str">
        <f>IF(M43, "", E43)</f>
      </c>
      <c r="P43" s="3">
        <f>COUNTIFS(FieldDisagreements!E2:E999, A43)</f>
        <v>0</v>
      </c>
      <c r="Q43" s="3" t="str">
        <f>_xlfn.IFNA(INDEX(ConformanceSubstrates!C2:C999, MATCH(D43,ConformanceSubstrates!A2:A999, 0)), "")</f>
        <v>PostgreSQL</v>
      </c>
      <c r="R43" s="3" t="str">
        <f>_xlfn.IFNA(INDEX(RulebookTables!F2:F999, MATCH(E43,RulebookTables!A2:A999, 0)), "")</f>
        <v>org</v>
      </c>
      <c r="S43" s="2" t="s">
        <v>1898</v>
      </c>
    </row>
    <row r="44">
      <c r="A44" s="2" t="s">
        <v>14051</v>
      </c>
      <c r="B44" s="3" t="str">
        <f>_xlfn.CONCAT(D44, " / ", E44)</f>
        <v>effortless-postgres / ChangeRequests</v>
      </c>
      <c r="C44" s="2" t="s">
        <v>13999</v>
      </c>
      <c r="D44" s="2" t="s">
        <v>13956</v>
      </c>
      <c r="E44" s="2" t="s">
        <v>3848</v>
      </c>
      <c r="F44" s="2">
        <v>2</v>
      </c>
      <c r="G44" s="2">
        <v>32</v>
      </c>
      <c r="H44" s="2">
        <v>64</v>
      </c>
      <c r="I44" s="2">
        <v>62</v>
      </c>
      <c r="J44" s="2" t="b">
        <v>0</v>
      </c>
      <c r="K44" s="3">
        <f>H44 - I44</f>
        <v>2</v>
      </c>
      <c r="L44" s="3">
        <f>IF(H44 = 0, 0, ROUND(100 * I44 / H44, 2))</f>
        <v>96.88</v>
      </c>
      <c r="M44" s="3" t="b">
        <f>K44 = 0</f>
        <v>0</v>
      </c>
      <c r="N44" s="3" t="str">
        <f>IF(M44, "", D44)</f>
        <v>effortless-postgres</v>
      </c>
      <c r="O44" s="3" t="str">
        <f>IF(M44, "", E44)</f>
        <v>ChangeRequests</v>
      </c>
      <c r="P44" s="3">
        <f>COUNTIFS(FieldDisagreements!E2:E999, A44)</f>
        <v>2</v>
      </c>
      <c r="Q44" s="3" t="str">
        <f>_xlfn.IFNA(INDEX(ConformanceSubstrates!C2:C999, MATCH(D44,ConformanceSubstrates!A2:A999, 0)), "")</f>
        <v>PostgreSQL</v>
      </c>
      <c r="R44" s="3" t="str">
        <f>_xlfn.IFNA(INDEX(RulebookTables!F2:F999, MATCH(E44,RulebookTables!A2:A999, 0)), "")</f>
        <v>domain</v>
      </c>
      <c r="S44" s="2" t="s">
        <v>1898</v>
      </c>
    </row>
    <row r="45">
      <c r="A45" s="2" t="s">
        <v>14052</v>
      </c>
      <c r="B45" s="3" t="str">
        <f>_xlfn.CONCAT(D45, " / ", E45)</f>
        <v>effortless-postgres / ReviewEvents</v>
      </c>
      <c r="C45" s="2" t="s">
        <v>13999</v>
      </c>
      <c r="D45" s="2" t="s">
        <v>13956</v>
      </c>
      <c r="E45" s="2" t="s">
        <v>3922</v>
      </c>
      <c r="F45" s="2">
        <v>3</v>
      </c>
      <c r="G45" s="2">
        <v>10</v>
      </c>
      <c r="H45" s="2">
        <v>30</v>
      </c>
      <c r="I45" s="2">
        <v>24</v>
      </c>
      <c r="J45" s="2" t="b">
        <v>0</v>
      </c>
      <c r="K45" s="3">
        <f>H45 - I45</f>
        <v>6</v>
      </c>
      <c r="L45" s="3">
        <f>IF(H45 = 0, 0, ROUND(100 * I45 / H45, 2))</f>
        <v>80</v>
      </c>
      <c r="M45" s="3" t="b">
        <f>K45 = 0</f>
        <v>0</v>
      </c>
      <c r="N45" s="3" t="str">
        <f>IF(M45, "", D45)</f>
        <v>effortless-postgres</v>
      </c>
      <c r="O45" s="3" t="str">
        <f>IF(M45, "", E45)</f>
        <v>ReviewEvents</v>
      </c>
      <c r="P45" s="3">
        <f>COUNTIFS(FieldDisagreements!E2:E999, A45)</f>
        <v>2</v>
      </c>
      <c r="Q45" s="3" t="str">
        <f>_xlfn.IFNA(INDEX(ConformanceSubstrates!C2:C999, MATCH(D45,ConformanceSubstrates!A2:A999, 0)), "")</f>
        <v>PostgreSQL</v>
      </c>
      <c r="R45" s="3" t="str">
        <f>_xlfn.IFNA(INDEX(RulebookTables!F2:F999, MATCH(E45,RulebookTables!A2:A999, 0)), "")</f>
        <v>domain</v>
      </c>
      <c r="S45" s="2" t="s">
        <v>1898</v>
      </c>
    </row>
    <row r="46">
      <c r="A46" s="2" t="s">
        <v>14053</v>
      </c>
      <c r="B46" s="3" t="str">
        <f>_xlfn.CONCAT(D46, " / ", E46)</f>
        <v>effortless-postgres / LearningActivities</v>
      </c>
      <c r="C46" s="2" t="s">
        <v>13999</v>
      </c>
      <c r="D46" s="2" t="s">
        <v>13956</v>
      </c>
      <c r="E46" s="2" t="s">
        <v>3951</v>
      </c>
      <c r="F46" s="2">
        <v>2</v>
      </c>
      <c r="G46" s="2">
        <v>1</v>
      </c>
      <c r="H46" s="2">
        <v>2</v>
      </c>
      <c r="I46" s="2">
        <v>0</v>
      </c>
      <c r="J46" s="2" t="b">
        <v>0</v>
      </c>
      <c r="K46" s="3">
        <f>H46 - I46</f>
        <v>2</v>
      </c>
      <c r="L46" s="3">
        <f>IF(H46 = 0, 0, ROUND(100 * I46 / H46, 2))</f>
        <v>0</v>
      </c>
      <c r="M46" s="3" t="b">
        <f>K46 = 0</f>
        <v>0</v>
      </c>
      <c r="N46" s="3" t="str">
        <f>IF(M46, "", D46)</f>
        <v>effortless-postgres</v>
      </c>
      <c r="O46" s="3" t="str">
        <f>IF(M46, "", E46)</f>
        <v>LearningActivities</v>
      </c>
      <c r="P46" s="3">
        <f>COUNTIFS(FieldDisagreements!E2:E999, A46)</f>
        <v>1</v>
      </c>
      <c r="Q46" s="3" t="str">
        <f>_xlfn.IFNA(INDEX(ConformanceSubstrates!C2:C999, MATCH(D46,ConformanceSubstrates!A2:A999, 0)), "")</f>
        <v>PostgreSQL</v>
      </c>
      <c r="R46" s="3" t="str">
        <f>_xlfn.IFNA(INDEX(RulebookTables!F2:F999, MATCH(E46,RulebookTables!A2:A999, 0)), "")</f>
        <v>domain</v>
      </c>
      <c r="S46" s="2" t="s">
        <v>1898</v>
      </c>
    </row>
    <row r="47">
      <c r="A47" s="2" t="s">
        <v>14054</v>
      </c>
      <c r="B47" s="3" t="str">
        <f>_xlfn.CONCAT(D47, " / ", E47)</f>
        <v>effortless-postgres / OperationalBindings</v>
      </c>
      <c r="C47" s="2" t="s">
        <v>13999</v>
      </c>
      <c r="D47" s="2" t="s">
        <v>13956</v>
      </c>
      <c r="E47" s="2" t="s">
        <v>1842</v>
      </c>
      <c r="F47" s="2">
        <v>5</v>
      </c>
      <c r="G47" s="2">
        <v>11</v>
      </c>
      <c r="H47" s="2">
        <v>55</v>
      </c>
      <c r="I47" s="2">
        <v>55</v>
      </c>
      <c r="J47" s="2" t="b">
        <v>0</v>
      </c>
      <c r="K47" s="3">
        <f>H47 - I47</f>
        <v>0</v>
      </c>
      <c r="L47" s="3">
        <f>IF(H47 = 0, 0, ROUND(100 * I47 / H47, 2))</f>
        <v>100</v>
      </c>
      <c r="M47" s="3" t="b">
        <f>K47 = 0</f>
        <v>1</v>
      </c>
      <c r="N47" s="3" t="str">
        <f>IF(M47, "", D47)</f>
      </c>
      <c r="O47" s="3" t="str">
        <f>IF(M47, "", E47)</f>
      </c>
      <c r="P47" s="3">
        <f>COUNTIFS(FieldDisagreements!E2:E999, A47)</f>
        <v>0</v>
      </c>
      <c r="Q47" s="3" t="str">
        <f>_xlfn.IFNA(INDEX(ConformanceSubstrates!C2:C999, MATCH(D47,ConformanceSubstrates!A2:A999, 0)), "")</f>
        <v>PostgreSQL</v>
      </c>
      <c r="R47" s="3" t="str">
        <f>_xlfn.IFNA(INDEX(RulebookTables!F2:F999, MATCH(E47,RulebookTables!A2:A999, 0)), "")</f>
        <v>domain</v>
      </c>
      <c r="S47" s="2" t="s">
        <v>1898</v>
      </c>
    </row>
    <row r="48">
      <c r="A48" s="2" t="s">
        <v>14055</v>
      </c>
      <c r="B48" s="3" t="str">
        <f>_xlfn.CONCAT(D48, " / ", E48)</f>
        <v>effortless-postgres / CommunicationPolicies</v>
      </c>
      <c r="C48" s="2" t="s">
        <v>13999</v>
      </c>
      <c r="D48" s="2" t="s">
        <v>13956</v>
      </c>
      <c r="E48" s="2" t="s">
        <v>1845</v>
      </c>
      <c r="F48" s="2">
        <v>2</v>
      </c>
      <c r="G48" s="2">
        <v>4</v>
      </c>
      <c r="H48" s="2">
        <v>8</v>
      </c>
      <c r="I48" s="2">
        <v>8</v>
      </c>
      <c r="J48" s="2" t="b">
        <v>0</v>
      </c>
      <c r="K48" s="3">
        <f>H48 - I48</f>
        <v>0</v>
      </c>
      <c r="L48" s="3">
        <f>IF(H48 = 0, 0, ROUND(100 * I48 / H48, 2))</f>
        <v>100</v>
      </c>
      <c r="M48" s="3" t="b">
        <f>K48 = 0</f>
        <v>1</v>
      </c>
      <c r="N48" s="3" t="str">
        <f>IF(M48, "", D48)</f>
      </c>
      <c r="O48" s="3" t="str">
        <f>IF(M48, "", E48)</f>
      </c>
      <c r="P48" s="3">
        <f>COUNTIFS(FieldDisagreements!E2:E999, A48)</f>
        <v>0</v>
      </c>
      <c r="Q48" s="3" t="str">
        <f>_xlfn.IFNA(INDEX(ConformanceSubstrates!C2:C999, MATCH(D48,ConformanceSubstrates!A2:A999, 0)), "")</f>
        <v>PostgreSQL</v>
      </c>
      <c r="R48" s="3" t="str">
        <f>_xlfn.IFNA(INDEX(RulebookTables!F2:F999, MATCH(E48,RulebookTables!A2:A999, 0)), "")</f>
        <v>communication</v>
      </c>
      <c r="S48" s="2" t="s">
        <v>1898</v>
      </c>
    </row>
    <row r="49">
      <c r="A49" s="2" t="s">
        <v>14056</v>
      </c>
      <c r="B49" s="3" t="str">
        <f>_xlfn.CONCAT(D49, " / ", E49)</f>
        <v>effortless-postgres / MessageTemplates</v>
      </c>
      <c r="C49" s="2" t="s">
        <v>13999</v>
      </c>
      <c r="D49" s="2" t="s">
        <v>13956</v>
      </c>
      <c r="E49" s="2" t="s">
        <v>4021</v>
      </c>
      <c r="F49" s="2">
        <v>2</v>
      </c>
      <c r="G49" s="2">
        <v>16</v>
      </c>
      <c r="H49" s="2">
        <v>32</v>
      </c>
      <c r="I49" s="2">
        <v>32</v>
      </c>
      <c r="J49" s="2" t="b">
        <v>0</v>
      </c>
      <c r="K49" s="3">
        <f>H49 - I49</f>
        <v>0</v>
      </c>
      <c r="L49" s="3">
        <f>IF(H49 = 0, 0, ROUND(100 * I49 / H49, 2))</f>
        <v>100</v>
      </c>
      <c r="M49" s="3" t="b">
        <f>K49 = 0</f>
        <v>1</v>
      </c>
      <c r="N49" s="3" t="str">
        <f>IF(M49, "", D49)</f>
      </c>
      <c r="O49" s="3" t="str">
        <f>IF(M49, "", E49)</f>
      </c>
      <c r="P49" s="3">
        <f>COUNTIFS(FieldDisagreements!E2:E999, A49)</f>
        <v>0</v>
      </c>
      <c r="Q49" s="3" t="str">
        <f>_xlfn.IFNA(INDEX(ConformanceSubstrates!C2:C999, MATCH(D49,ConformanceSubstrates!A2:A999, 0)), "")</f>
        <v>PostgreSQL</v>
      </c>
      <c r="R49" s="3" t="str">
        <f>_xlfn.IFNA(INDEX(RulebookTables!F2:F999, MATCH(E49,RulebookTables!A2:A999, 0)), "")</f>
        <v>communication</v>
      </c>
      <c r="S49" s="2" t="s">
        <v>1898</v>
      </c>
    </row>
    <row r="50">
      <c r="A50" s="2" t="s">
        <v>14057</v>
      </c>
      <c r="B50" s="3" t="str">
        <f>_xlfn.CONCAT(D50, " / ", E50)</f>
        <v>effortless-postgres / SemanticMappings</v>
      </c>
      <c r="C50" s="2" t="s">
        <v>13999</v>
      </c>
      <c r="D50" s="2" t="s">
        <v>13956</v>
      </c>
      <c r="E50" s="2" t="s">
        <v>4064</v>
      </c>
      <c r="F50" s="2">
        <v>47</v>
      </c>
      <c r="G50" s="2">
        <v>1</v>
      </c>
      <c r="H50" s="2">
        <v>47</v>
      </c>
      <c r="I50" s="2">
        <v>47</v>
      </c>
      <c r="J50" s="2" t="b">
        <v>0</v>
      </c>
      <c r="K50" s="3">
        <f>H50 - I50</f>
        <v>0</v>
      </c>
      <c r="L50" s="3">
        <f>IF(H50 = 0, 0, ROUND(100 * I50 / H50, 2))</f>
        <v>100</v>
      </c>
      <c r="M50" s="3" t="b">
        <f>K50 = 0</f>
        <v>1</v>
      </c>
      <c r="N50" s="3" t="str">
        <f>IF(M50, "", D50)</f>
      </c>
      <c r="O50" s="3" t="str">
        <f>IF(M50, "", E50)</f>
      </c>
      <c r="P50" s="3">
        <f>COUNTIFS(FieldDisagreements!E2:E999, A50)</f>
        <v>0</v>
      </c>
      <c r="Q50" s="3" t="str">
        <f>_xlfn.IFNA(INDEX(ConformanceSubstrates!C2:C999, MATCH(D50,ConformanceSubstrates!A2:A999, 0)), "")</f>
        <v>PostgreSQL</v>
      </c>
      <c r="R50" s="3" t="str">
        <f>_xlfn.IFNA(INDEX(RulebookTables!F2:F999, MATCH(E50,RulebookTables!A2:A999, 0)), "")</f>
        <v>meta</v>
      </c>
      <c r="S50" s="2" t="s">
        <v>1898</v>
      </c>
    </row>
    <row r="51">
      <c r="A51" s="2" t="s">
        <v>14058</v>
      </c>
      <c r="B51" s="3" t="str">
        <f>_xlfn.CONCAT(D51, " / ", E51)</f>
        <v>effortless-postgres / WitnessLoops</v>
      </c>
      <c r="C51" s="2" t="s">
        <v>13999</v>
      </c>
      <c r="D51" s="2" t="s">
        <v>13956</v>
      </c>
      <c r="E51" s="2" t="s">
        <v>4074</v>
      </c>
      <c r="F51" s="2">
        <v>3</v>
      </c>
      <c r="G51" s="2">
        <v>3</v>
      </c>
      <c r="H51" s="2">
        <v>9</v>
      </c>
      <c r="I51" s="2">
        <v>9</v>
      </c>
      <c r="J51" s="2" t="b">
        <v>0</v>
      </c>
      <c r="K51" s="3">
        <f>H51 - I51</f>
        <v>0</v>
      </c>
      <c r="L51" s="3">
        <f>IF(H51 = 0, 0, ROUND(100 * I51 / H51, 2))</f>
        <v>100</v>
      </c>
      <c r="M51" s="3" t="b">
        <f>K51 = 0</f>
        <v>1</v>
      </c>
      <c r="N51" s="3" t="str">
        <f>IF(M51, "", D51)</f>
      </c>
      <c r="O51" s="3" t="str">
        <f>IF(M51, "", E51)</f>
      </c>
      <c r="P51" s="3">
        <f>COUNTIFS(FieldDisagreements!E2:E999, A51)</f>
        <v>0</v>
      </c>
      <c r="Q51" s="3" t="str">
        <f>_xlfn.IFNA(INDEX(ConformanceSubstrates!C2:C999, MATCH(D51,ConformanceSubstrates!A2:A999, 0)), "")</f>
        <v>PostgreSQL</v>
      </c>
      <c r="R51" s="3" t="str">
        <f>_xlfn.IFNA(INDEX(RulebookTables!F2:F999, MATCH(E51,RulebookTables!A2:A999, 0)), "")</f>
        <v>meta</v>
      </c>
      <c r="S51" s="2" t="s">
        <v>1898</v>
      </c>
    </row>
    <row r="52">
      <c r="A52" s="2" t="s">
        <v>14059</v>
      </c>
      <c r="B52" s="3" t="str">
        <f>_xlfn.CONCAT(D52, " / ", E52)</f>
        <v>effortless-postgres / RoleQuestions</v>
      </c>
      <c r="C52" s="2" t="s">
        <v>13999</v>
      </c>
      <c r="D52" s="2" t="s">
        <v>13956</v>
      </c>
      <c r="E52" s="2" t="s">
        <v>4091</v>
      </c>
      <c r="F52" s="2">
        <v>109</v>
      </c>
      <c r="G52" s="2">
        <v>3</v>
      </c>
      <c r="H52" s="2">
        <v>327</v>
      </c>
      <c r="I52" s="2">
        <v>327</v>
      </c>
      <c r="J52" s="2" t="b">
        <v>0</v>
      </c>
      <c r="K52" s="3">
        <f>H52 - I52</f>
        <v>0</v>
      </c>
      <c r="L52" s="3">
        <f>IF(H52 = 0, 0, ROUND(100 * I52 / H52, 2))</f>
        <v>100</v>
      </c>
      <c r="M52" s="3" t="b">
        <f>K52 = 0</f>
        <v>1</v>
      </c>
      <c r="N52" s="3" t="str">
        <f>IF(M52, "", D52)</f>
      </c>
      <c r="O52" s="3" t="str">
        <f>IF(M52, "", E52)</f>
      </c>
      <c r="P52" s="3">
        <f>COUNTIFS(FieldDisagreements!E2:E999, A52)</f>
        <v>0</v>
      </c>
      <c r="Q52" s="3" t="str">
        <f>_xlfn.IFNA(INDEX(ConformanceSubstrates!C2:C999, MATCH(D52,ConformanceSubstrates!A2:A999, 0)), "")</f>
        <v>PostgreSQL</v>
      </c>
      <c r="R52" s="3" t="str">
        <f>_xlfn.IFNA(INDEX(RulebookTables!F2:F999, MATCH(E52,RulebookTables!A2:A999, 0)), "")</f>
        <v>org</v>
      </c>
      <c r="S52" s="2" t="s">
        <v>1898</v>
      </c>
    </row>
    <row r="53">
      <c r="A53" s="2" t="s">
        <v>14060</v>
      </c>
      <c r="B53" s="3" t="str">
        <f>_xlfn.CONCAT(D53, " / ", E53)</f>
        <v>effortless-postgres / RulebookFields</v>
      </c>
      <c r="C53" s="2" t="s">
        <v>13999</v>
      </c>
      <c r="D53" s="2" t="s">
        <v>13956</v>
      </c>
      <c r="E53" s="2" t="s">
        <v>4106</v>
      </c>
      <c r="F53" s="2">
        <v>1879</v>
      </c>
      <c r="G53" s="2">
        <v>5</v>
      </c>
      <c r="H53" s="2">
        <v>9395</v>
      </c>
      <c r="I53" s="2">
        <v>9395</v>
      </c>
      <c r="J53" s="2" t="b">
        <v>0</v>
      </c>
      <c r="K53" s="3">
        <f>H53 - I53</f>
        <v>0</v>
      </c>
      <c r="L53" s="3">
        <f>IF(H53 = 0, 0, ROUND(100 * I53 / H53, 2))</f>
        <v>100</v>
      </c>
      <c r="M53" s="3" t="b">
        <f>K53 = 0</f>
        <v>1</v>
      </c>
      <c r="N53" s="3" t="str">
        <f>IF(M53, "", D53)</f>
      </c>
      <c r="O53" s="3" t="str">
        <f>IF(M53, "", E53)</f>
      </c>
      <c r="P53" s="3">
        <f>COUNTIFS(FieldDisagreements!E2:E999, A53)</f>
        <v>0</v>
      </c>
      <c r="Q53" s="3" t="str">
        <f>_xlfn.IFNA(INDEX(ConformanceSubstrates!C2:C999, MATCH(D53,ConformanceSubstrates!A2:A999, 0)), "")</f>
        <v>PostgreSQL</v>
      </c>
      <c r="R53" s="3" t="str">
        <f>_xlfn.IFNA(INDEX(RulebookTables!F2:F999, MATCH(E53,RulebookTables!A2:A999, 0)), "")</f>
        <v>access-control</v>
      </c>
      <c r="S53" s="2" t="s">
        <v>1898</v>
      </c>
    </row>
    <row r="54">
      <c r="A54" s="2" t="s">
        <v>14061</v>
      </c>
      <c r="B54" s="3" t="str">
        <f>_xlfn.CONCAT(D54, " / ", E54)</f>
        <v>effortless-postgres / TestSuites</v>
      </c>
      <c r="C54" s="2" t="s">
        <v>13999</v>
      </c>
      <c r="D54" s="2" t="s">
        <v>13956</v>
      </c>
      <c r="E54" s="2" t="s">
        <v>4125</v>
      </c>
      <c r="F54" s="2">
        <v>6</v>
      </c>
      <c r="G54" s="2">
        <v>5</v>
      </c>
      <c r="H54" s="2">
        <v>30</v>
      </c>
      <c r="I54" s="2">
        <v>30</v>
      </c>
      <c r="J54" s="2" t="b">
        <v>0</v>
      </c>
      <c r="K54" s="3">
        <f>H54 - I54</f>
        <v>0</v>
      </c>
      <c r="L54" s="3">
        <f>IF(H54 = 0, 0, ROUND(100 * I54 / H54, 2))</f>
        <v>100</v>
      </c>
      <c r="M54" s="3" t="b">
        <f>K54 = 0</f>
        <v>1</v>
      </c>
      <c r="N54" s="3" t="str">
        <f>IF(M54, "", D54)</f>
      </c>
      <c r="O54" s="3" t="str">
        <f>IF(M54, "", E54)</f>
      </c>
      <c r="P54" s="3">
        <f>COUNTIFS(FieldDisagreements!E2:E999, A54)</f>
        <v>0</v>
      </c>
      <c r="Q54" s="3" t="str">
        <f>_xlfn.IFNA(INDEX(ConformanceSubstrates!C2:C999, MATCH(D54,ConformanceSubstrates!A2:A999, 0)), "")</f>
        <v>PostgreSQL</v>
      </c>
      <c r="R54" s="3" t="str">
        <f>_xlfn.IFNA(INDEX(RulebookTables!F2:F999, MATCH(E54,RulebookTables!A2:A999, 0)), "")</f>
        <v>meta</v>
      </c>
      <c r="S54" s="2" t="s">
        <v>1898</v>
      </c>
    </row>
    <row r="55">
      <c r="A55" s="2" t="s">
        <v>14062</v>
      </c>
      <c r="B55" s="3" t="str">
        <f>_xlfn.CONCAT(D55, " / ", E55)</f>
        <v>effortless-postgres / TestCases</v>
      </c>
      <c r="C55" s="2" t="s">
        <v>13999</v>
      </c>
      <c r="D55" s="2" t="s">
        <v>13956</v>
      </c>
      <c r="E55" s="2" t="s">
        <v>4143</v>
      </c>
      <c r="F55" s="2">
        <v>1794</v>
      </c>
      <c r="G55" s="2">
        <v>7</v>
      </c>
      <c r="H55" s="2">
        <v>12558</v>
      </c>
      <c r="I55" s="2">
        <v>12558</v>
      </c>
      <c r="J55" s="2" t="b">
        <v>0</v>
      </c>
      <c r="K55" s="3">
        <f>H55 - I55</f>
        <v>0</v>
      </c>
      <c r="L55" s="3">
        <f>IF(H55 = 0, 0, ROUND(100 * I55 / H55, 2))</f>
        <v>100</v>
      </c>
      <c r="M55" s="3" t="b">
        <f>K55 = 0</f>
        <v>1</v>
      </c>
      <c r="N55" s="3" t="str">
        <f>IF(M55, "", D55)</f>
      </c>
      <c r="O55" s="3" t="str">
        <f>IF(M55, "", E55)</f>
      </c>
      <c r="P55" s="3">
        <f>COUNTIFS(FieldDisagreements!E2:E999, A55)</f>
        <v>0</v>
      </c>
      <c r="Q55" s="3" t="str">
        <f>_xlfn.IFNA(INDEX(ConformanceSubstrates!C2:C999, MATCH(D55,ConformanceSubstrates!A2:A999, 0)), "")</f>
        <v>PostgreSQL</v>
      </c>
      <c r="R55" s="3" t="str">
        <f>_xlfn.IFNA(INDEX(RulebookTables!F2:F999, MATCH(E55,RulebookTables!A2:A999, 0)), "")</f>
        <v>meta</v>
      </c>
      <c r="S55" s="2" t="s">
        <v>1898</v>
      </c>
    </row>
    <row r="56">
      <c r="A56" s="2" t="s">
        <v>14063</v>
      </c>
      <c r="B56" s="3" t="str">
        <f>_xlfn.CONCAT(D56, " / ", E56)</f>
        <v>effortless-postgres / ExceptionInvocations</v>
      </c>
      <c r="C56" s="2" t="s">
        <v>13999</v>
      </c>
      <c r="D56" s="2" t="s">
        <v>13956</v>
      </c>
      <c r="E56" s="2" t="s">
        <v>4221</v>
      </c>
      <c r="F56" s="2">
        <v>1</v>
      </c>
      <c r="G56" s="2">
        <v>13</v>
      </c>
      <c r="H56" s="2">
        <v>13</v>
      </c>
      <c r="I56" s="2">
        <v>13</v>
      </c>
      <c r="J56" s="2" t="b">
        <v>0</v>
      </c>
      <c r="K56" s="3">
        <f>H56 - I56</f>
        <v>0</v>
      </c>
      <c r="L56" s="3">
        <f>IF(H56 = 0, 0, ROUND(100 * I56 / H56, 2))</f>
        <v>100</v>
      </c>
      <c r="M56" s="3" t="b">
        <f>K56 = 0</f>
        <v>1</v>
      </c>
      <c r="N56" s="3" t="str">
        <f>IF(M56, "", D56)</f>
      </c>
      <c r="O56" s="3" t="str">
        <f>IF(M56, "", E56)</f>
      </c>
      <c r="P56" s="3">
        <f>COUNTIFS(FieldDisagreements!E2:E999, A56)</f>
        <v>0</v>
      </c>
      <c r="Q56" s="3" t="str">
        <f>_xlfn.IFNA(INDEX(ConformanceSubstrates!C2:C999, MATCH(D56,ConformanceSubstrates!A2:A999, 0)), "")</f>
        <v>PostgreSQL</v>
      </c>
      <c r="R56" s="3" t="str">
        <f>_xlfn.IFNA(INDEX(RulebookTables!F2:F999, MATCH(E56,RulebookTables!A2:A999, 0)), "")</f>
        <v>governance</v>
      </c>
      <c r="S56" s="2" t="s">
        <v>1898</v>
      </c>
    </row>
    <row r="57">
      <c r="A57" s="2" t="s">
        <v>14064</v>
      </c>
      <c r="B57" s="3" t="str">
        <f>_xlfn.CONCAT(D57, " / ", E57)</f>
        <v>effortless-postgres / VerificationOutcomes</v>
      </c>
      <c r="C57" s="2" t="s">
        <v>13999</v>
      </c>
      <c r="D57" s="2" t="s">
        <v>13956</v>
      </c>
      <c r="E57" s="2" t="s">
        <v>4271</v>
      </c>
      <c r="F57" s="2">
        <v>4</v>
      </c>
      <c r="G57" s="2">
        <v>18</v>
      </c>
      <c r="H57" s="2">
        <v>72</v>
      </c>
      <c r="I57" s="2">
        <v>72</v>
      </c>
      <c r="J57" s="2" t="b">
        <v>0</v>
      </c>
      <c r="K57" s="3">
        <f>H57 - I57</f>
        <v>0</v>
      </c>
      <c r="L57" s="3">
        <f>IF(H57 = 0, 0, ROUND(100 * I57 / H57, 2))</f>
        <v>100</v>
      </c>
      <c r="M57" s="3" t="b">
        <f>K57 = 0</f>
        <v>1</v>
      </c>
      <c r="N57" s="3" t="str">
        <f>IF(M57, "", D57)</f>
      </c>
      <c r="O57" s="3" t="str">
        <f>IF(M57, "", E57)</f>
      </c>
      <c r="P57" s="3">
        <f>COUNTIFS(FieldDisagreements!E2:E999, A57)</f>
        <v>0</v>
      </c>
      <c r="Q57" s="3" t="str">
        <f>_xlfn.IFNA(INDEX(ConformanceSubstrates!C2:C999, MATCH(D57,ConformanceSubstrates!A2:A999, 0)), "")</f>
        <v>PostgreSQL</v>
      </c>
      <c r="R57" s="3" t="str">
        <f>_xlfn.IFNA(INDEX(RulebookTables!F2:F999, MATCH(E57,RulebookTables!A2:A999, 0)), "")</f>
        <v>execution</v>
      </c>
      <c r="S57" s="2" t="s">
        <v>1898</v>
      </c>
    </row>
    <row r="58">
      <c r="A58" s="2" t="s">
        <v>14065</v>
      </c>
      <c r="B58" s="3" t="str">
        <f>_xlfn.CONCAT(D58, " / ", E58)</f>
        <v>effortless-postgres / ObservedTransitions</v>
      </c>
      <c r="C58" s="2" t="s">
        <v>13999</v>
      </c>
      <c r="D58" s="2" t="s">
        <v>13956</v>
      </c>
      <c r="E58" s="2" t="s">
        <v>4332</v>
      </c>
      <c r="F58" s="2">
        <v>10</v>
      </c>
      <c r="G58" s="2">
        <v>1</v>
      </c>
      <c r="H58" s="2">
        <v>10</v>
      </c>
      <c r="I58" s="2">
        <v>0</v>
      </c>
      <c r="J58" s="2" t="b">
        <v>0</v>
      </c>
      <c r="K58" s="3">
        <f>H58 - I58</f>
        <v>10</v>
      </c>
      <c r="L58" s="3">
        <f>IF(H58 = 0, 0, ROUND(100 * I58 / H58, 2))</f>
        <v>0</v>
      </c>
      <c r="M58" s="3" t="b">
        <f>K58 = 0</f>
        <v>0</v>
      </c>
      <c r="N58" s="3" t="str">
        <f>IF(M58, "", D58)</f>
        <v>effortless-postgres</v>
      </c>
      <c r="O58" s="3" t="str">
        <f>IF(M58, "", E58)</f>
        <v>ObservedTransitions</v>
      </c>
      <c r="P58" s="3">
        <f>COUNTIFS(FieldDisagreements!E2:E999, A58)</f>
        <v>1</v>
      </c>
      <c r="Q58" s="3" t="str">
        <f>_xlfn.IFNA(INDEX(ConformanceSubstrates!C2:C999, MATCH(D58,ConformanceSubstrates!A2:A999, 0)), "")</f>
        <v>PostgreSQL</v>
      </c>
      <c r="R58" s="3" t="str">
        <f>_xlfn.IFNA(INDEX(RulebookTables!F2:F999, MATCH(E58,RulebookTables!A2:A999, 0)), "")</f>
        <v>specification</v>
      </c>
      <c r="S58" s="2" t="s">
        <v>1898</v>
      </c>
    </row>
    <row r="59">
      <c r="A59" s="2" t="s">
        <v>14066</v>
      </c>
      <c r="B59" s="3" t="str">
        <f>_xlfn.CONCAT(D59, " / ", E59)</f>
        <v>effortless-postgres / Recipients</v>
      </c>
      <c r="C59" s="2" t="s">
        <v>13999</v>
      </c>
      <c r="D59" s="2" t="s">
        <v>13956</v>
      </c>
      <c r="E59" s="2" t="s">
        <v>4346</v>
      </c>
      <c r="F59" s="2">
        <v>5</v>
      </c>
      <c r="G59" s="2">
        <v>6</v>
      </c>
      <c r="H59" s="2">
        <v>30</v>
      </c>
      <c r="I59" s="2">
        <v>30</v>
      </c>
      <c r="J59" s="2" t="b">
        <v>0</v>
      </c>
      <c r="K59" s="3">
        <f>H59 - I59</f>
        <v>0</v>
      </c>
      <c r="L59" s="3">
        <f>IF(H59 = 0, 0, ROUND(100 * I59 / H59, 2))</f>
        <v>100</v>
      </c>
      <c r="M59" s="3" t="b">
        <f>K59 = 0</f>
        <v>1</v>
      </c>
      <c r="N59" s="3" t="str">
        <f>IF(M59, "", D59)</f>
      </c>
      <c r="O59" s="3" t="str">
        <f>IF(M59, "", E59)</f>
      </c>
      <c r="P59" s="3">
        <f>COUNTIFS(FieldDisagreements!E2:E999, A59)</f>
        <v>0</v>
      </c>
      <c r="Q59" s="3" t="str">
        <f>_xlfn.IFNA(INDEX(ConformanceSubstrates!C2:C999, MATCH(D59,ConformanceSubstrates!A2:A999, 0)), "")</f>
        <v>PostgreSQL</v>
      </c>
      <c r="R59" s="3" t="str">
        <f>_xlfn.IFNA(INDEX(RulebookTables!F2:F999, MATCH(E59,RulebookTables!A2:A999, 0)), "")</f>
        <v>communication</v>
      </c>
      <c r="S59" s="2" t="s">
        <v>1898</v>
      </c>
    </row>
    <row r="60">
      <c r="A60" s="2" t="s">
        <v>14067</v>
      </c>
      <c r="B60" s="3" t="str">
        <f>_xlfn.CONCAT(D60, " / ", E60)</f>
        <v>effortless-postgres / MessageDeliveries</v>
      </c>
      <c r="C60" s="2" t="s">
        <v>13999</v>
      </c>
      <c r="D60" s="2" t="s">
        <v>13956</v>
      </c>
      <c r="E60" s="2" t="s">
        <v>4378</v>
      </c>
      <c r="F60" s="2">
        <v>6</v>
      </c>
      <c r="G60" s="2">
        <v>74</v>
      </c>
      <c r="H60" s="2">
        <v>444</v>
      </c>
      <c r="I60" s="2">
        <v>420</v>
      </c>
      <c r="J60" s="2" t="b">
        <v>0</v>
      </c>
      <c r="K60" s="3">
        <f>H60 - I60</f>
        <v>24</v>
      </c>
      <c r="L60" s="3">
        <f>IF(H60 = 0, 0, ROUND(100 * I60 / H60, 2))</f>
        <v>94.59</v>
      </c>
      <c r="M60" s="3" t="b">
        <f>K60 = 0</f>
        <v>0</v>
      </c>
      <c r="N60" s="3" t="str">
        <f>IF(M60, "", D60)</f>
        <v>effortless-postgres</v>
      </c>
      <c r="O60" s="3" t="str">
        <f>IF(M60, "", E60)</f>
        <v>MessageDeliveries</v>
      </c>
      <c r="P60" s="3">
        <f>COUNTIFS(FieldDisagreements!E2:E999, A60)</f>
        <v>5</v>
      </c>
      <c r="Q60" s="3" t="str">
        <f>_xlfn.IFNA(INDEX(ConformanceSubstrates!C2:C999, MATCH(D60,ConformanceSubstrates!A2:A999, 0)), "")</f>
        <v>PostgreSQL</v>
      </c>
      <c r="R60" s="3" t="str">
        <f>_xlfn.IFNA(INDEX(RulebookTables!F2:F999, MATCH(E60,RulebookTables!A2:A999, 0)), "")</f>
        <v>communication</v>
      </c>
      <c r="S60" s="2" t="s">
        <v>1898</v>
      </c>
    </row>
    <row r="61">
      <c r="A61" s="2" t="s">
        <v>14068</v>
      </c>
      <c r="B61" s="3" t="str">
        <f>_xlfn.CONCAT(D61, " / ", E61)</f>
        <v>effortless-postgres / TemplateApprovals</v>
      </c>
      <c r="C61" s="2" t="s">
        <v>13999</v>
      </c>
      <c r="D61" s="2" t="s">
        <v>13956</v>
      </c>
      <c r="E61" s="2" t="s">
        <v>4632</v>
      </c>
      <c r="F61" s="2">
        <v>2</v>
      </c>
      <c r="G61" s="2">
        <v>6</v>
      </c>
      <c r="H61" s="2">
        <v>12</v>
      </c>
      <c r="I61" s="2">
        <v>10</v>
      </c>
      <c r="J61" s="2" t="b">
        <v>0</v>
      </c>
      <c r="K61" s="3">
        <f>H61 - I61</f>
        <v>2</v>
      </c>
      <c r="L61" s="3">
        <f>IF(H61 = 0, 0, ROUND(100 * I61 / H61, 2))</f>
        <v>83.33</v>
      </c>
      <c r="M61" s="3" t="b">
        <f>K61 = 0</f>
        <v>0</v>
      </c>
      <c r="N61" s="3" t="str">
        <f>IF(M61, "", D61)</f>
        <v>effortless-postgres</v>
      </c>
      <c r="O61" s="3" t="str">
        <f>IF(M61, "", E61)</f>
        <v>TemplateApprovals</v>
      </c>
      <c r="P61" s="3">
        <f>COUNTIFS(FieldDisagreements!E2:E999, A61)</f>
        <v>1</v>
      </c>
      <c r="Q61" s="3" t="str">
        <f>_xlfn.IFNA(INDEX(ConformanceSubstrates!C2:C999, MATCH(D61,ConformanceSubstrates!A2:A999, 0)), "")</f>
        <v>PostgreSQL</v>
      </c>
      <c r="R61" s="3" t="str">
        <f>_xlfn.IFNA(INDEX(RulebookTables!F2:F999, MATCH(E61,RulebookTables!A2:A999, 0)), "")</f>
        <v>communication</v>
      </c>
      <c r="S61" s="2" t="s">
        <v>1898</v>
      </c>
    </row>
    <row r="62">
      <c r="A62" s="2" t="s">
        <v>14069</v>
      </c>
      <c r="B62" s="3" t="str">
        <f>_xlfn.CONCAT(D62, " / ", E62)</f>
        <v>effortless-postgres / SendIntents</v>
      </c>
      <c r="C62" s="2" t="s">
        <v>13999</v>
      </c>
      <c r="D62" s="2" t="s">
        <v>13956</v>
      </c>
      <c r="E62" s="2" t="s">
        <v>4662</v>
      </c>
      <c r="F62" s="2">
        <v>7</v>
      </c>
      <c r="G62" s="2">
        <v>79</v>
      </c>
      <c r="H62" s="2">
        <v>553</v>
      </c>
      <c r="I62" s="2">
        <v>546</v>
      </c>
      <c r="J62" s="2" t="b">
        <v>0</v>
      </c>
      <c r="K62" s="3">
        <f>H62 - I62</f>
        <v>7</v>
      </c>
      <c r="L62" s="3">
        <f>IF(H62 = 0, 0, ROUND(100 * I62 / H62, 2))</f>
        <v>98.73</v>
      </c>
      <c r="M62" s="3" t="b">
        <f>K62 = 0</f>
        <v>0</v>
      </c>
      <c r="N62" s="3" t="str">
        <f>IF(M62, "", D62)</f>
        <v>effortless-postgres</v>
      </c>
      <c r="O62" s="3" t="str">
        <f>IF(M62, "", E62)</f>
        <v>SendIntents</v>
      </c>
      <c r="P62" s="3">
        <f>COUNTIFS(FieldDisagreements!E2:E999, A62)</f>
        <v>1</v>
      </c>
      <c r="Q62" s="3" t="str">
        <f>_xlfn.IFNA(INDEX(ConformanceSubstrates!C2:C999, MATCH(D62,ConformanceSubstrates!A2:A999, 0)), "")</f>
        <v>PostgreSQL</v>
      </c>
      <c r="R62" s="3" t="str">
        <f>_xlfn.IFNA(INDEX(RulebookTables!F2:F999, MATCH(E62,RulebookTables!A2:A999, 0)), "")</f>
        <v>communication</v>
      </c>
      <c r="S62" s="2" t="s">
        <v>1898</v>
      </c>
    </row>
    <row r="63">
      <c r="A63" s="2" t="s">
        <v>14070</v>
      </c>
      <c r="B63" s="3" t="str">
        <f>_xlfn.CONCAT(D63, " / ", E63)</f>
        <v>effortless-postgres / AgentDecisionRecords</v>
      </c>
      <c r="C63" s="2" t="s">
        <v>13999</v>
      </c>
      <c r="D63" s="2" t="s">
        <v>13956</v>
      </c>
      <c r="E63" s="2" t="s">
        <v>4928</v>
      </c>
      <c r="F63" s="2">
        <v>3</v>
      </c>
      <c r="G63" s="2">
        <v>27</v>
      </c>
      <c r="H63" s="2">
        <v>81</v>
      </c>
      <c r="I63" s="2">
        <v>81</v>
      </c>
      <c r="J63" s="2" t="b">
        <v>0</v>
      </c>
      <c r="K63" s="3">
        <f>H63 - I63</f>
        <v>0</v>
      </c>
      <c r="L63" s="3">
        <f>IF(H63 = 0, 0, ROUND(100 * I63 / H63, 2))</f>
        <v>100</v>
      </c>
      <c r="M63" s="3" t="b">
        <f>K63 = 0</f>
        <v>1</v>
      </c>
      <c r="N63" s="3" t="str">
        <f>IF(M63, "", D63)</f>
      </c>
      <c r="O63" s="3" t="str">
        <f>IF(M63, "", E63)</f>
      </c>
      <c r="P63" s="3">
        <f>COUNTIFS(FieldDisagreements!E2:E999, A63)</f>
        <v>0</v>
      </c>
      <c r="Q63" s="3" t="str">
        <f>_xlfn.IFNA(INDEX(ConformanceSubstrates!C2:C999, MATCH(D63,ConformanceSubstrates!A2:A999, 0)), "")</f>
        <v>PostgreSQL</v>
      </c>
      <c r="R63" s="3" t="str">
        <f>_xlfn.IFNA(INDEX(RulebookTables!F2:F999, MATCH(E63,RulebookTables!A2:A999, 0)), "")</f>
        <v>org</v>
      </c>
      <c r="S63" s="2" t="s">
        <v>1898</v>
      </c>
    </row>
    <row r="64">
      <c r="A64" s="2" t="s">
        <v>14071</v>
      </c>
      <c r="B64" s="3" t="str">
        <f>_xlfn.CONCAT(D64, " / ", E64)</f>
        <v>effortless-postgres / DeliveredCommunications</v>
      </c>
      <c r="C64" s="2" t="s">
        <v>13999</v>
      </c>
      <c r="D64" s="2" t="s">
        <v>13956</v>
      </c>
      <c r="E64" s="2" t="s">
        <v>5029</v>
      </c>
      <c r="F64" s="2">
        <v>1</v>
      </c>
      <c r="G64" s="2">
        <v>6</v>
      </c>
      <c r="H64" s="2">
        <v>6</v>
      </c>
      <c r="I64" s="2">
        <v>5</v>
      </c>
      <c r="J64" s="2" t="b">
        <v>0</v>
      </c>
      <c r="K64" s="3">
        <f>H64 - I64</f>
        <v>1</v>
      </c>
      <c r="L64" s="3">
        <f>IF(H64 = 0, 0, ROUND(100 * I64 / H64, 2))</f>
        <v>83.33</v>
      </c>
      <c r="M64" s="3" t="b">
        <f>K64 = 0</f>
        <v>0</v>
      </c>
      <c r="N64" s="3" t="str">
        <f>IF(M64, "", D64)</f>
        <v>effortless-postgres</v>
      </c>
      <c r="O64" s="3" t="str">
        <f>IF(M64, "", E64)</f>
        <v>DeliveredCommunications</v>
      </c>
      <c r="P64" s="3">
        <f>COUNTIFS(FieldDisagreements!E2:E999, A64)</f>
        <v>1</v>
      </c>
      <c r="Q64" s="3" t="str">
        <f>_xlfn.IFNA(INDEX(ConformanceSubstrates!C2:C999, MATCH(D64,ConformanceSubstrates!A2:A999, 0)), "")</f>
        <v>PostgreSQL</v>
      </c>
      <c r="R64" s="3" t="str">
        <f>_xlfn.IFNA(INDEX(RulebookTables!F2:F999, MATCH(E64,RulebookTables!A2:A999, 0)), "")</f>
        <v>communication</v>
      </c>
      <c r="S64" s="2" t="s">
        <v>1898</v>
      </c>
    </row>
    <row r="65">
      <c r="A65" s="2" t="s">
        <v>14072</v>
      </c>
      <c r="B65" s="3" t="str">
        <f>_xlfn.CONCAT(D65, " / ", E65)</f>
        <v>effortless-postgres / AuthorityBoundaries</v>
      </c>
      <c r="C65" s="2" t="s">
        <v>13999</v>
      </c>
      <c r="D65" s="2" t="s">
        <v>13956</v>
      </c>
      <c r="E65" s="2" t="s">
        <v>5065</v>
      </c>
      <c r="F65" s="2">
        <v>3</v>
      </c>
      <c r="G65" s="2">
        <v>21</v>
      </c>
      <c r="H65" s="2">
        <v>63</v>
      </c>
      <c r="I65" s="2">
        <v>63</v>
      </c>
      <c r="J65" s="2" t="b">
        <v>0</v>
      </c>
      <c r="K65" s="3">
        <f>H65 - I65</f>
        <v>0</v>
      </c>
      <c r="L65" s="3">
        <f>IF(H65 = 0, 0, ROUND(100 * I65 / H65, 2))</f>
        <v>100</v>
      </c>
      <c r="M65" s="3" t="b">
        <f>K65 = 0</f>
        <v>1</v>
      </c>
      <c r="N65" s="3" t="str">
        <f>IF(M65, "", D65)</f>
      </c>
      <c r="O65" s="3" t="str">
        <f>IF(M65, "", E65)</f>
      </c>
      <c r="P65" s="3">
        <f>COUNTIFS(FieldDisagreements!E2:E999, A65)</f>
        <v>0</v>
      </c>
      <c r="Q65" s="3" t="str">
        <f>_xlfn.IFNA(INDEX(ConformanceSubstrates!C2:C999, MATCH(D65,ConformanceSubstrates!A2:A999, 0)), "")</f>
        <v>PostgreSQL</v>
      </c>
      <c r="R65" s="3" t="str">
        <f>_xlfn.IFNA(INDEX(RulebookTables!F2:F999, MATCH(E65,RulebookTables!A2:A999, 0)), "")</f>
        <v>governance</v>
      </c>
      <c r="S65" s="2" t="s">
        <v>1898</v>
      </c>
    </row>
    <row r="66">
      <c r="A66" s="2" t="s">
        <v>14073</v>
      </c>
      <c r="B66" s="3" t="str">
        <f>_xlfn.CONCAT(D66, " / ", E66)</f>
        <v>effortless-postgres / AppRoleProfiles</v>
      </c>
      <c r="C66" s="2" t="s">
        <v>13999</v>
      </c>
      <c r="D66" s="2" t="s">
        <v>13956</v>
      </c>
      <c r="E66" s="2" t="s">
        <v>1849</v>
      </c>
      <c r="F66" s="2">
        <v>12</v>
      </c>
      <c r="G66" s="2">
        <v>2</v>
      </c>
      <c r="H66" s="2">
        <v>24</v>
      </c>
      <c r="I66" s="2">
        <v>24</v>
      </c>
      <c r="J66" s="2" t="b">
        <v>0</v>
      </c>
      <c r="K66" s="3">
        <f>H66 - I66</f>
        <v>0</v>
      </c>
      <c r="L66" s="3">
        <f>IF(H66 = 0, 0, ROUND(100 * I66 / H66, 2))</f>
        <v>100</v>
      </c>
      <c r="M66" s="3" t="b">
        <f>K66 = 0</f>
        <v>1</v>
      </c>
      <c r="N66" s="3" t="str">
        <f>IF(M66, "", D66)</f>
      </c>
      <c r="O66" s="3" t="str">
        <f>IF(M66, "", E66)</f>
      </c>
      <c r="P66" s="3">
        <f>COUNTIFS(FieldDisagreements!E2:E999, A66)</f>
        <v>0</v>
      </c>
      <c r="Q66" s="3" t="str">
        <f>_xlfn.IFNA(INDEX(ConformanceSubstrates!C2:C999, MATCH(D66,ConformanceSubstrates!A2:A999, 0)), "")</f>
        <v>PostgreSQL</v>
      </c>
      <c r="R66" s="3" t="str">
        <f>_xlfn.IFNA(INDEX(RulebookTables!F2:F999, MATCH(E66,RulebookTables!A2:A999, 0)), "")</f>
        <v>org</v>
      </c>
      <c r="S66" s="2" t="s">
        <v>1898</v>
      </c>
    </row>
    <row r="67">
      <c r="A67" s="2" t="s">
        <v>14074</v>
      </c>
      <c r="B67" s="3" t="str">
        <f>_xlfn.CONCAT(D67, " / ", E67)</f>
        <v>effortless-postgres / AppNavGroups</v>
      </c>
      <c r="C67" s="2" t="s">
        <v>13999</v>
      </c>
      <c r="D67" s="2" t="s">
        <v>13956</v>
      </c>
      <c r="E67" s="2" t="s">
        <v>1853</v>
      </c>
      <c r="F67" s="2">
        <v>23</v>
      </c>
      <c r="G67" s="2">
        <v>2</v>
      </c>
      <c r="H67" s="2">
        <v>46</v>
      </c>
      <c r="I67" s="2">
        <v>46</v>
      </c>
      <c r="J67" s="2" t="b">
        <v>0</v>
      </c>
      <c r="K67" s="3">
        <f>H67 - I67</f>
        <v>0</v>
      </c>
      <c r="L67" s="3">
        <f>IF(H67 = 0, 0, ROUND(100 * I67 / H67, 2))</f>
        <v>100</v>
      </c>
      <c r="M67" s="3" t="b">
        <f>K67 = 0</f>
        <v>1</v>
      </c>
      <c r="N67" s="3" t="str">
        <f>IF(M67, "", D67)</f>
      </c>
      <c r="O67" s="3" t="str">
        <f>IF(M67, "", E67)</f>
      </c>
      <c r="P67" s="3">
        <f>COUNTIFS(FieldDisagreements!E2:E999, A67)</f>
        <v>0</v>
      </c>
      <c r="Q67" s="3" t="str">
        <f>_xlfn.IFNA(INDEX(ConformanceSubstrates!C2:C999, MATCH(D67,ConformanceSubstrates!A2:A999, 0)), "")</f>
        <v>PostgreSQL</v>
      </c>
      <c r="R67" s="3" t="str">
        <f>_xlfn.IFNA(INDEX(RulebookTables!F2:F999, MATCH(E67,RulebookTables!A2:A999, 0)), "")</f>
        <v>application</v>
      </c>
      <c r="S67" s="2" t="s">
        <v>1898</v>
      </c>
    </row>
    <row r="68">
      <c r="A68" s="2" t="s">
        <v>14075</v>
      </c>
      <c r="B68" s="3" t="str">
        <f>_xlfn.CONCAT(D68, " / ", E68)</f>
        <v>effortless-postgres / AppRoutes</v>
      </c>
      <c r="C68" s="2" t="s">
        <v>13999</v>
      </c>
      <c r="D68" s="2" t="s">
        <v>13956</v>
      </c>
      <c r="E68" s="2" t="s">
        <v>1857</v>
      </c>
      <c r="F68" s="2">
        <v>149</v>
      </c>
      <c r="G68" s="2">
        <v>7</v>
      </c>
      <c r="H68" s="2">
        <v>1043</v>
      </c>
      <c r="I68" s="2">
        <v>1043</v>
      </c>
      <c r="J68" s="2" t="b">
        <v>0</v>
      </c>
      <c r="K68" s="3">
        <f>H68 - I68</f>
        <v>0</v>
      </c>
      <c r="L68" s="3">
        <f>IF(H68 = 0, 0, ROUND(100 * I68 / H68, 2))</f>
        <v>100</v>
      </c>
      <c r="M68" s="3" t="b">
        <f>K68 = 0</f>
        <v>1</v>
      </c>
      <c r="N68" s="3" t="str">
        <f>IF(M68, "", D68)</f>
      </c>
      <c r="O68" s="3" t="str">
        <f>IF(M68, "", E68)</f>
      </c>
      <c r="P68" s="3">
        <f>COUNTIFS(FieldDisagreements!E2:E999, A68)</f>
        <v>0</v>
      </c>
      <c r="Q68" s="3" t="str">
        <f>_xlfn.IFNA(INDEX(ConformanceSubstrates!C2:C999, MATCH(D68,ConformanceSubstrates!A2:A999, 0)), "")</f>
        <v>PostgreSQL</v>
      </c>
      <c r="R68" s="3" t="str">
        <f>_xlfn.IFNA(INDEX(RulebookTables!F2:F999, MATCH(E68,RulebookTables!A2:A999, 0)), "")</f>
        <v>application</v>
      </c>
      <c r="S68" s="2" t="s">
        <v>1898</v>
      </c>
    </row>
    <row r="69">
      <c r="A69" s="2" t="s">
        <v>14076</v>
      </c>
      <c r="B69" s="3" t="str">
        <f>_xlfn.CONCAT(D69, " / ", E69)</f>
        <v>effortless-postgres / AppRouteQuestions</v>
      </c>
      <c r="C69" s="2" t="s">
        <v>13999</v>
      </c>
      <c r="D69" s="2" t="s">
        <v>13956</v>
      </c>
      <c r="E69" s="2" t="s">
        <v>1861</v>
      </c>
      <c r="F69" s="2">
        <v>151</v>
      </c>
      <c r="G69" s="2">
        <v>1</v>
      </c>
      <c r="H69" s="2">
        <v>151</v>
      </c>
      <c r="I69" s="2">
        <v>151</v>
      </c>
      <c r="J69" s="2" t="b">
        <v>0</v>
      </c>
      <c r="K69" s="3">
        <f>H69 - I69</f>
        <v>0</v>
      </c>
      <c r="L69" s="3">
        <f>IF(H69 = 0, 0, ROUND(100 * I69 / H69, 2))</f>
        <v>100</v>
      </c>
      <c r="M69" s="3" t="b">
        <f>K69 = 0</f>
        <v>1</v>
      </c>
      <c r="N69" s="3" t="str">
        <f>IF(M69, "", D69)</f>
      </c>
      <c r="O69" s="3" t="str">
        <f>IF(M69, "", E69)</f>
      </c>
      <c r="P69" s="3">
        <f>COUNTIFS(FieldDisagreements!E2:E999, A69)</f>
        <v>0</v>
      </c>
      <c r="Q69" s="3" t="str">
        <f>_xlfn.IFNA(INDEX(ConformanceSubstrates!C2:C999, MATCH(D69,ConformanceSubstrates!A2:A999, 0)), "")</f>
        <v>PostgreSQL</v>
      </c>
      <c r="R69" s="3" t="str">
        <f>_xlfn.IFNA(INDEX(RulebookTables!F2:F999, MATCH(E69,RulebookTables!A2:A999, 0)), "")</f>
        <v>application</v>
      </c>
      <c r="S69" s="2" t="s">
        <v>1898</v>
      </c>
    </row>
    <row r="70">
      <c r="A70" s="2" t="s">
        <v>14077</v>
      </c>
      <c r="B70" s="3" t="str">
        <f>_xlfn.CONCAT(D70, " / ", E70)</f>
        <v>effortless-postgres / AppRouteReferences</v>
      </c>
      <c r="C70" s="2" t="s">
        <v>13999</v>
      </c>
      <c r="D70" s="2" t="s">
        <v>13956</v>
      </c>
      <c r="E70" s="2" t="s">
        <v>1865</v>
      </c>
      <c r="F70" s="2">
        <v>315</v>
      </c>
      <c r="G70" s="2">
        <v>1</v>
      </c>
      <c r="H70" s="2">
        <v>315</v>
      </c>
      <c r="I70" s="2">
        <v>315</v>
      </c>
      <c r="J70" s="2" t="b">
        <v>0</v>
      </c>
      <c r="K70" s="3">
        <f>H70 - I70</f>
        <v>0</v>
      </c>
      <c r="L70" s="3">
        <f>IF(H70 = 0, 0, ROUND(100 * I70 / H70, 2))</f>
        <v>100</v>
      </c>
      <c r="M70" s="3" t="b">
        <f>K70 = 0</f>
        <v>1</v>
      </c>
      <c r="N70" s="3" t="str">
        <f>IF(M70, "", D70)</f>
      </c>
      <c r="O70" s="3" t="str">
        <f>IF(M70, "", E70)</f>
      </c>
      <c r="P70" s="3">
        <f>COUNTIFS(FieldDisagreements!E2:E999, A70)</f>
        <v>0</v>
      </c>
      <c r="Q70" s="3" t="str">
        <f>_xlfn.IFNA(INDEX(ConformanceSubstrates!C2:C999, MATCH(D70,ConformanceSubstrates!A2:A999, 0)), "")</f>
        <v>PostgreSQL</v>
      </c>
      <c r="R70" s="3" t="str">
        <f>_xlfn.IFNA(INDEX(RulebookTables!F2:F999, MATCH(E70,RulebookTables!A2:A999, 0)), "")</f>
        <v>application</v>
      </c>
      <c r="S70" s="2" t="s">
        <v>1898</v>
      </c>
    </row>
    <row r="71">
      <c r="A71" s="2" t="s">
        <v>14078</v>
      </c>
      <c r="B71" s="3" t="str">
        <f>_xlfn.CONCAT(D71, " / ", E71)</f>
        <v>effortless-postgres / RulebookTables</v>
      </c>
      <c r="C71" s="2" t="s">
        <v>13999</v>
      </c>
      <c r="D71" s="2" t="s">
        <v>13956</v>
      </c>
      <c r="E71" s="2" t="s">
        <v>5286</v>
      </c>
      <c r="F71" s="2">
        <v>92</v>
      </c>
      <c r="G71" s="2">
        <v>5</v>
      </c>
      <c r="H71" s="2">
        <v>460</v>
      </c>
      <c r="I71" s="2">
        <v>460</v>
      </c>
      <c r="J71" s="2" t="b">
        <v>0</v>
      </c>
      <c r="K71" s="3">
        <f>H71 - I71</f>
        <v>0</v>
      </c>
      <c r="L71" s="3">
        <f>IF(H71 = 0, 0, ROUND(100 * I71 / H71, 2))</f>
        <v>100</v>
      </c>
      <c r="M71" s="3" t="b">
        <f>K71 = 0</f>
        <v>1</v>
      </c>
      <c r="N71" s="3" t="str">
        <f>IF(M71, "", D71)</f>
      </c>
      <c r="O71" s="3" t="str">
        <f>IF(M71, "", E71)</f>
      </c>
      <c r="P71" s="3">
        <f>COUNTIFS(FieldDisagreements!E2:E999, A71)</f>
        <v>0</v>
      </c>
      <c r="Q71" s="3" t="str">
        <f>_xlfn.IFNA(INDEX(ConformanceSubstrates!C2:C999, MATCH(D71,ConformanceSubstrates!A2:A999, 0)), "")</f>
        <v>PostgreSQL</v>
      </c>
      <c r="R71" s="3" t="str">
        <f>_xlfn.IFNA(INDEX(RulebookTables!F2:F999, MATCH(E71,RulebookTables!A2:A999, 0)), "")</f>
        <v>meta</v>
      </c>
      <c r="S71" s="2" t="s">
        <v>1898</v>
      </c>
    </row>
    <row r="72">
      <c r="A72" s="2" t="s">
        <v>14079</v>
      </c>
      <c r="B72" s="3" t="str">
        <f>_xlfn.CONCAT(D72, " / ", E72)</f>
        <v>effortless-postgres / AccessPrincipals</v>
      </c>
      <c r="C72" s="2" t="s">
        <v>13999</v>
      </c>
      <c r="D72" s="2" t="s">
        <v>13956</v>
      </c>
      <c r="E72" s="2" t="s">
        <v>5313</v>
      </c>
      <c r="F72" s="2">
        <v>12</v>
      </c>
      <c r="G72" s="2">
        <v>8</v>
      </c>
      <c r="H72" s="2">
        <v>96</v>
      </c>
      <c r="I72" s="2">
        <v>96</v>
      </c>
      <c r="J72" s="2" t="b">
        <v>0</v>
      </c>
      <c r="K72" s="3">
        <f>H72 - I72</f>
        <v>0</v>
      </c>
      <c r="L72" s="3">
        <f>IF(H72 = 0, 0, ROUND(100 * I72 / H72, 2))</f>
        <v>100</v>
      </c>
      <c r="M72" s="3" t="b">
        <f>K72 = 0</f>
        <v>1</v>
      </c>
      <c r="N72" s="3" t="str">
        <f>IF(M72, "", D72)</f>
      </c>
      <c r="O72" s="3" t="str">
        <f>IF(M72, "", E72)</f>
      </c>
      <c r="P72" s="3">
        <f>COUNTIFS(FieldDisagreements!E2:E999, A72)</f>
        <v>0</v>
      </c>
      <c r="Q72" s="3" t="str">
        <f>_xlfn.IFNA(INDEX(ConformanceSubstrates!C2:C999, MATCH(D72,ConformanceSubstrates!A2:A999, 0)), "")</f>
        <v>PostgreSQL</v>
      </c>
      <c r="R72" s="3" t="str">
        <f>_xlfn.IFNA(INDEX(RulebookTables!F2:F999, MATCH(E72,RulebookTables!A2:A999, 0)), "")</f>
        <v>access-control</v>
      </c>
      <c r="S72" s="2" t="s">
        <v>1898</v>
      </c>
    </row>
    <row r="73">
      <c r="A73" s="2" t="s">
        <v>14080</v>
      </c>
      <c r="B73" s="3" t="str">
        <f>_xlfn.CONCAT(D73, " / ", E73)</f>
        <v>effortless-postgres / AccessPolicies</v>
      </c>
      <c r="C73" s="2" t="s">
        <v>13999</v>
      </c>
      <c r="D73" s="2" t="s">
        <v>13956</v>
      </c>
      <c r="E73" s="2" t="s">
        <v>5346</v>
      </c>
      <c r="F73" s="2">
        <v>202</v>
      </c>
      <c r="G73" s="2">
        <v>7</v>
      </c>
      <c r="H73" s="2">
        <v>1414</v>
      </c>
      <c r="I73" s="2">
        <v>1414</v>
      </c>
      <c r="J73" s="2" t="b">
        <v>0</v>
      </c>
      <c r="K73" s="3">
        <f>H73 - I73</f>
        <v>0</v>
      </c>
      <c r="L73" s="3">
        <f>IF(H73 = 0, 0, ROUND(100 * I73 / H73, 2))</f>
        <v>100</v>
      </c>
      <c r="M73" s="3" t="b">
        <f>K73 = 0</f>
        <v>1</v>
      </c>
      <c r="N73" s="3" t="str">
        <f>IF(M73, "", D73)</f>
      </c>
      <c r="O73" s="3" t="str">
        <f>IF(M73, "", E73)</f>
      </c>
      <c r="P73" s="3">
        <f>COUNTIFS(FieldDisagreements!E2:E999, A73)</f>
        <v>0</v>
      </c>
      <c r="Q73" s="3" t="str">
        <f>_xlfn.IFNA(INDEX(ConformanceSubstrates!C2:C999, MATCH(D73,ConformanceSubstrates!A2:A999, 0)), "")</f>
        <v>PostgreSQL</v>
      </c>
      <c r="R73" s="3" t="str">
        <f>_xlfn.IFNA(INDEX(RulebookTables!F2:F999, MATCH(E73,RulebookTables!A2:A999, 0)), "")</f>
        <v>access-control</v>
      </c>
      <c r="S73" s="2" t="s">
        <v>1898</v>
      </c>
    </row>
    <row r="74">
      <c r="A74" s="2" t="s">
        <v>14081</v>
      </c>
      <c r="B74" s="3" t="str">
        <f>_xlfn.CONCAT(D74, " / ", E74)</f>
        <v>effortless-postgres / FieldGrants</v>
      </c>
      <c r="C74" s="2" t="s">
        <v>13999</v>
      </c>
      <c r="D74" s="2" t="s">
        <v>13956</v>
      </c>
      <c r="E74" s="2" t="s">
        <v>5382</v>
      </c>
      <c r="F74" s="2">
        <v>3639</v>
      </c>
      <c r="G74" s="2">
        <v>7</v>
      </c>
      <c r="H74" s="2">
        <v>25473</v>
      </c>
      <c r="I74" s="2">
        <v>25473</v>
      </c>
      <c r="J74" s="2" t="b">
        <v>0</v>
      </c>
      <c r="K74" s="3">
        <f>H74 - I74</f>
        <v>0</v>
      </c>
      <c r="L74" s="3">
        <f>IF(H74 = 0, 0, ROUND(100 * I74 / H74, 2))</f>
        <v>100</v>
      </c>
      <c r="M74" s="3" t="b">
        <f>K74 = 0</f>
        <v>1</v>
      </c>
      <c r="N74" s="3" t="str">
        <f>IF(M74, "", D74)</f>
      </c>
      <c r="O74" s="3" t="str">
        <f>IF(M74, "", E74)</f>
      </c>
      <c r="P74" s="3">
        <f>COUNTIFS(FieldDisagreements!E2:E999, A74)</f>
        <v>0</v>
      </c>
      <c r="Q74" s="3" t="str">
        <f>_xlfn.IFNA(INDEX(ConformanceSubstrates!C2:C999, MATCH(D74,ConformanceSubstrates!A2:A999, 0)), "")</f>
        <v>PostgreSQL</v>
      </c>
      <c r="R74" s="3" t="str">
        <f>_xlfn.IFNA(INDEX(RulebookTables!F2:F999, MATCH(E74,RulebookTables!A2:A999, 0)), "")</f>
        <v>access-control</v>
      </c>
      <c r="S74" s="2" t="s">
        <v>1898</v>
      </c>
    </row>
    <row r="75">
      <c r="A75" s="2" t="s">
        <v>14082</v>
      </c>
      <c r="B75" s="3" t="str">
        <f>_xlfn.CONCAT(D75, " / ", E75)</f>
        <v>effortless-postgres / RoleSchemas</v>
      </c>
      <c r="C75" s="2" t="s">
        <v>13999</v>
      </c>
      <c r="D75" s="2" t="s">
        <v>13956</v>
      </c>
      <c r="E75" s="2" t="s">
        <v>5413</v>
      </c>
      <c r="F75" s="2">
        <v>12</v>
      </c>
      <c r="G75" s="2">
        <v>4</v>
      </c>
      <c r="H75" s="2">
        <v>48</v>
      </c>
      <c r="I75" s="2">
        <v>48</v>
      </c>
      <c r="J75" s="2" t="b">
        <v>0</v>
      </c>
      <c r="K75" s="3">
        <f>H75 - I75</f>
        <v>0</v>
      </c>
      <c r="L75" s="3">
        <f>IF(H75 = 0, 0, ROUND(100 * I75 / H75, 2))</f>
        <v>100</v>
      </c>
      <c r="M75" s="3" t="b">
        <f>K75 = 0</f>
        <v>1</v>
      </c>
      <c r="N75" s="3" t="str">
        <f>IF(M75, "", D75)</f>
      </c>
      <c r="O75" s="3" t="str">
        <f>IF(M75, "", E75)</f>
      </c>
      <c r="P75" s="3">
        <f>COUNTIFS(FieldDisagreements!E2:E999, A75)</f>
        <v>0</v>
      </c>
      <c r="Q75" s="3" t="str">
        <f>_xlfn.IFNA(INDEX(ConformanceSubstrates!C2:C999, MATCH(D75,ConformanceSubstrates!A2:A999, 0)), "")</f>
        <v>PostgreSQL</v>
      </c>
      <c r="R75" s="3" t="str">
        <f>_xlfn.IFNA(INDEX(RulebookTables!F2:F999, MATCH(E75,RulebookTables!A2:A999, 0)), "")</f>
        <v>org</v>
      </c>
      <c r="S75" s="2" t="s">
        <v>1898</v>
      </c>
    </row>
    <row r="76">
      <c r="A76" s="2" t="s">
        <v>14083</v>
      </c>
      <c r="B76" s="3" t="str">
        <f>_xlfn.CONCAT(D76, " / ", E76)</f>
        <v>effortless-postgres / RoleSchemaViews</v>
      </c>
      <c r="C76" s="2" t="s">
        <v>13999</v>
      </c>
      <c r="D76" s="2" t="s">
        <v>13956</v>
      </c>
      <c r="E76" s="2" t="s">
        <v>5431</v>
      </c>
      <c r="F76" s="2">
        <v>202</v>
      </c>
      <c r="G76" s="2">
        <v>8</v>
      </c>
      <c r="H76" s="2">
        <v>1616</v>
      </c>
      <c r="I76" s="2">
        <v>1616</v>
      </c>
      <c r="J76" s="2" t="b">
        <v>0</v>
      </c>
      <c r="K76" s="3">
        <f>H76 - I76</f>
        <v>0</v>
      </c>
      <c r="L76" s="3">
        <f>IF(H76 = 0, 0, ROUND(100 * I76 / H76, 2))</f>
        <v>100</v>
      </c>
      <c r="M76" s="3" t="b">
        <f>K76 = 0</f>
        <v>1</v>
      </c>
      <c r="N76" s="3" t="str">
        <f>IF(M76, "", D76)</f>
      </c>
      <c r="O76" s="3" t="str">
        <f>IF(M76, "", E76)</f>
      </c>
      <c r="P76" s="3">
        <f>COUNTIFS(FieldDisagreements!E2:E999, A76)</f>
        <v>0</v>
      </c>
      <c r="Q76" s="3" t="str">
        <f>_xlfn.IFNA(INDEX(ConformanceSubstrates!C2:C999, MATCH(D76,ConformanceSubstrates!A2:A999, 0)), "")</f>
        <v>PostgreSQL</v>
      </c>
      <c r="R76" s="3" t="str">
        <f>_xlfn.IFNA(INDEX(RulebookTables!F2:F999, MATCH(E76,RulebookTables!A2:A999, 0)), "")</f>
        <v>org</v>
      </c>
      <c r="S76" s="2" t="s">
        <v>1898</v>
      </c>
    </row>
    <row r="77">
      <c r="A77" s="2" t="s">
        <v>14084</v>
      </c>
      <c r="B77" s="3" t="str">
        <f>_xlfn.CONCAT(D77, " / ", E77)</f>
        <v>effortless-postgres / JwtClaimMappings</v>
      </c>
      <c r="C77" s="2" t="s">
        <v>13999</v>
      </c>
      <c r="D77" s="2" t="s">
        <v>13956</v>
      </c>
      <c r="E77" s="2" t="s">
        <v>5463</v>
      </c>
      <c r="F77" s="2">
        <v>4</v>
      </c>
      <c r="G77" s="2">
        <v>2</v>
      </c>
      <c r="H77" s="2">
        <v>8</v>
      </c>
      <c r="I77" s="2">
        <v>8</v>
      </c>
      <c r="J77" s="2" t="b">
        <v>0</v>
      </c>
      <c r="K77" s="3">
        <f>H77 - I77</f>
        <v>0</v>
      </c>
      <c r="L77" s="3">
        <f>IF(H77 = 0, 0, ROUND(100 * I77 / H77, 2))</f>
        <v>100</v>
      </c>
      <c r="M77" s="3" t="b">
        <f>K77 = 0</f>
        <v>1</v>
      </c>
      <c r="N77" s="3" t="str">
        <f>IF(M77, "", D77)</f>
      </c>
      <c r="O77" s="3" t="str">
        <f>IF(M77, "", E77)</f>
      </c>
      <c r="P77" s="3">
        <f>COUNTIFS(FieldDisagreements!E2:E999, A77)</f>
        <v>0</v>
      </c>
      <c r="Q77" s="3" t="str">
        <f>_xlfn.IFNA(INDEX(ConformanceSubstrates!C2:C999, MATCH(D77,ConformanceSubstrates!A2:A999, 0)), "")</f>
        <v>PostgreSQL</v>
      </c>
      <c r="R77" s="3" t="str">
        <f>_xlfn.IFNA(INDEX(RulebookTables!F2:F999, MATCH(E77,RulebookTables!A2:A999, 0)), "")</f>
        <v>access-control</v>
      </c>
      <c r="S77" s="2" t="s">
        <v>1898</v>
      </c>
    </row>
    <row r="78">
      <c r="A78" s="2" t="s">
        <v>14085</v>
      </c>
      <c r="B78" s="3" t="str">
        <f>_xlfn.CONCAT(D78, " / ", E78)</f>
        <v>effortless-postgres / AccessDenialTests</v>
      </c>
      <c r="C78" s="2" t="s">
        <v>13999</v>
      </c>
      <c r="D78" s="2" t="s">
        <v>13956</v>
      </c>
      <c r="E78" s="2" t="s">
        <v>5482</v>
      </c>
      <c r="F78" s="2">
        <v>17</v>
      </c>
      <c r="G78" s="2">
        <v>6</v>
      </c>
      <c r="H78" s="2">
        <v>102</v>
      </c>
      <c r="I78" s="2">
        <v>102</v>
      </c>
      <c r="J78" s="2" t="b">
        <v>0</v>
      </c>
      <c r="K78" s="3">
        <f>H78 - I78</f>
        <v>0</v>
      </c>
      <c r="L78" s="3">
        <f>IF(H78 = 0, 0, ROUND(100 * I78 / H78, 2))</f>
        <v>100</v>
      </c>
      <c r="M78" s="3" t="b">
        <f>K78 = 0</f>
        <v>1</v>
      </c>
      <c r="N78" s="3" t="str">
        <f>IF(M78, "", D78)</f>
      </c>
      <c r="O78" s="3" t="str">
        <f>IF(M78, "", E78)</f>
      </c>
      <c r="P78" s="3">
        <f>COUNTIFS(FieldDisagreements!E2:E999, A78)</f>
        <v>0</v>
      </c>
      <c r="Q78" s="3" t="str">
        <f>_xlfn.IFNA(INDEX(ConformanceSubstrates!C2:C999, MATCH(D78,ConformanceSubstrates!A2:A999, 0)), "")</f>
        <v>PostgreSQL</v>
      </c>
      <c r="R78" s="3" t="str">
        <f>_xlfn.IFNA(INDEX(RulebookTables!F2:F999, MATCH(E78,RulebookTables!A2:A999, 0)), "")</f>
        <v>access-control</v>
      </c>
      <c r="S78" s="2" t="s">
        <v>1898</v>
      </c>
    </row>
    <row r="79">
      <c r="A79" s="2" t="s">
        <v>14086</v>
      </c>
      <c r="B79" s="3" t="str">
        <f>_xlfn.CONCAT(D79, " / ", E79)</f>
        <v>effortless-postgres / AppUsers</v>
      </c>
      <c r="C79" s="2" t="s">
        <v>13999</v>
      </c>
      <c r="D79" s="2" t="s">
        <v>13956</v>
      </c>
      <c r="E79" s="2" t="s">
        <v>5518</v>
      </c>
      <c r="F79" s="2">
        <v>10</v>
      </c>
      <c r="G79" s="2">
        <v>7</v>
      </c>
      <c r="H79" s="2">
        <v>70</v>
      </c>
      <c r="I79" s="2">
        <v>70</v>
      </c>
      <c r="J79" s="2" t="b">
        <v>0</v>
      </c>
      <c r="K79" s="3">
        <f>H79 - I79</f>
        <v>0</v>
      </c>
      <c r="L79" s="3">
        <f>IF(H79 = 0, 0, ROUND(100 * I79 / H79, 2))</f>
        <v>100</v>
      </c>
      <c r="M79" s="3" t="b">
        <f>K79 = 0</f>
        <v>1</v>
      </c>
      <c r="N79" s="3" t="str">
        <f>IF(M79, "", D79)</f>
      </c>
      <c r="O79" s="3" t="str">
        <f>IF(M79, "", E79)</f>
      </c>
      <c r="P79" s="3">
        <f>COUNTIFS(FieldDisagreements!E2:E999, A79)</f>
        <v>0</v>
      </c>
      <c r="Q79" s="3" t="str">
        <f>_xlfn.IFNA(INDEX(ConformanceSubstrates!C2:C999, MATCH(D79,ConformanceSubstrates!A2:A999, 0)), "")</f>
        <v>PostgreSQL</v>
      </c>
      <c r="R79" s="3" t="str">
        <f>_xlfn.IFNA(INDEX(RulebookTables!F2:F999, MATCH(E79,RulebookTables!A2:A999, 0)), "")</f>
      </c>
      <c r="S79" s="2" t="s">
        <v>1898</v>
      </c>
    </row>
    <row r="80">
      <c r="A80" s="2" t="s">
        <v>14087</v>
      </c>
      <c r="B80" s="3" t="str">
        <f>_xlfn.CONCAT(D80, " / ", E80)</f>
        <v>effortless-postgres / PrincipalAssignments</v>
      </c>
      <c r="C80" s="2" t="s">
        <v>13999</v>
      </c>
      <c r="D80" s="2" t="s">
        <v>13956</v>
      </c>
      <c r="E80" s="2" t="s">
        <v>5545</v>
      </c>
      <c r="F80" s="2">
        <v>12</v>
      </c>
      <c r="G80" s="2">
        <v>5</v>
      </c>
      <c r="H80" s="2">
        <v>60</v>
      </c>
      <c r="I80" s="2">
        <v>60</v>
      </c>
      <c r="J80" s="2" t="b">
        <v>0</v>
      </c>
      <c r="K80" s="3">
        <f>H80 - I80</f>
        <v>0</v>
      </c>
      <c r="L80" s="3">
        <f>IF(H80 = 0, 0, ROUND(100 * I80 / H80, 2))</f>
        <v>100</v>
      </c>
      <c r="M80" s="3" t="b">
        <f>K80 = 0</f>
        <v>1</v>
      </c>
      <c r="N80" s="3" t="str">
        <f>IF(M80, "", D80)</f>
      </c>
      <c r="O80" s="3" t="str">
        <f>IF(M80, "", E80)</f>
      </c>
      <c r="P80" s="3">
        <f>COUNTIFS(FieldDisagreements!E2:E999, A80)</f>
        <v>0</v>
      </c>
      <c r="Q80" s="3" t="str">
        <f>_xlfn.IFNA(INDEX(ConformanceSubstrates!C2:C999, MATCH(D80,ConformanceSubstrates!A2:A999, 0)), "")</f>
        <v>PostgreSQL</v>
      </c>
      <c r="R80" s="3" t="str">
        <f>_xlfn.IFNA(INDEX(RulebookTables!F2:F999, MATCH(E80,RulebookTables!A2:A999, 0)), "")</f>
      </c>
      <c r="S80" s="2" t="s">
        <v>1898</v>
      </c>
    </row>
    <row r="81">
      <c r="A81" s="2" t="s">
        <v>14088</v>
      </c>
      <c r="B81" s="3" t="str">
        <f>_xlfn.CONCAT(D81, " / ", E81)</f>
        <v>effortless-postgres / ProcessMiningRuns</v>
      </c>
      <c r="C81" s="2" t="s">
        <v>13999</v>
      </c>
      <c r="D81" s="2" t="s">
        <v>13956</v>
      </c>
      <c r="E81" s="2" t="s">
        <v>1869</v>
      </c>
      <c r="F81" s="2">
        <v>4</v>
      </c>
      <c r="G81" s="2">
        <v>10</v>
      </c>
      <c r="H81" s="2">
        <v>40</v>
      </c>
      <c r="I81" s="2">
        <v>36</v>
      </c>
      <c r="J81" s="2" t="b">
        <v>0</v>
      </c>
      <c r="K81" s="3">
        <f>H81 - I81</f>
        <v>4</v>
      </c>
      <c r="L81" s="3">
        <f>IF(H81 = 0, 0, ROUND(100 * I81 / H81, 2))</f>
        <v>90</v>
      </c>
      <c r="M81" s="3" t="b">
        <f>K81 = 0</f>
        <v>0</v>
      </c>
      <c r="N81" s="3" t="str">
        <f>IF(M81, "", D81)</f>
        <v>effortless-postgres</v>
      </c>
      <c r="O81" s="3" t="str">
        <f>IF(M81, "", E81)</f>
        <v>ProcessMiningRuns</v>
      </c>
      <c r="P81" s="3">
        <f>COUNTIFS(FieldDisagreements!E2:E999, A81)</f>
        <v>1</v>
      </c>
      <c r="Q81" s="3" t="str">
        <f>_xlfn.IFNA(INDEX(ConformanceSubstrates!C2:C999, MATCH(D81,ConformanceSubstrates!A2:A999, 0)), "")</f>
        <v>PostgreSQL</v>
      </c>
      <c r="R81" s="3" t="str">
        <f>_xlfn.IFNA(INDEX(RulebookTables!F2:F999, MATCH(E81,RulebookTables!A2:A999, 0)), "")</f>
        <v>knowledge</v>
      </c>
      <c r="S81" s="2" t="s">
        <v>1898</v>
      </c>
    </row>
    <row r="82">
      <c r="A82" s="2" t="s">
        <v>14089</v>
      </c>
      <c r="B82" s="3" t="str">
        <f>_xlfn.CONCAT(D82, " / ", E82)</f>
        <v>effortless-postgres / Vocabularies</v>
      </c>
      <c r="C82" s="2" t="s">
        <v>13999</v>
      </c>
      <c r="D82" s="2" t="s">
        <v>13956</v>
      </c>
      <c r="E82" s="2" t="s">
        <v>1873</v>
      </c>
      <c r="F82" s="2">
        <v>2</v>
      </c>
      <c r="G82" s="2">
        <v>4</v>
      </c>
      <c r="H82" s="2">
        <v>8</v>
      </c>
      <c r="I82" s="2">
        <v>8</v>
      </c>
      <c r="J82" s="2" t="b">
        <v>0</v>
      </c>
      <c r="K82" s="3">
        <f>H82 - I82</f>
        <v>0</v>
      </c>
      <c r="L82" s="3">
        <f>IF(H82 = 0, 0, ROUND(100 * I82 / H82, 2))</f>
        <v>100</v>
      </c>
      <c r="M82" s="3" t="b">
        <f>K82 = 0</f>
        <v>1</v>
      </c>
      <c r="N82" s="3" t="str">
        <f>IF(M82, "", D82)</f>
      </c>
      <c r="O82" s="3" t="str">
        <f>IF(M82, "", E82)</f>
      </c>
      <c r="P82" s="3">
        <f>COUNTIFS(FieldDisagreements!E2:E999, A82)</f>
        <v>0</v>
      </c>
      <c r="Q82" s="3" t="str">
        <f>_xlfn.IFNA(INDEX(ConformanceSubstrates!C2:C999, MATCH(D82,ConformanceSubstrates!A2:A999, 0)), "")</f>
        <v>PostgreSQL</v>
      </c>
      <c r="R82" s="3" t="str">
        <f>_xlfn.IFNA(INDEX(RulebookTables!F2:F999, MATCH(E82,RulebookTables!A2:A999, 0)), "")</f>
        <v>knowledge</v>
      </c>
      <c r="S82" s="2" t="s">
        <v>1898</v>
      </c>
    </row>
    <row r="83">
      <c r="A83" s="2" t="s">
        <v>14090</v>
      </c>
      <c r="B83" s="3" t="str">
        <f>_xlfn.CONCAT(D83, " / ", E83)</f>
        <v>effortless-postgres / VocabularyTerms</v>
      </c>
      <c r="C83" s="2" t="s">
        <v>13999</v>
      </c>
      <c r="D83" s="2" t="s">
        <v>13956</v>
      </c>
      <c r="E83" s="2" t="s">
        <v>1877</v>
      </c>
      <c r="F83" s="2">
        <v>12</v>
      </c>
      <c r="G83" s="2">
        <v>5</v>
      </c>
      <c r="H83" s="2">
        <v>60</v>
      </c>
      <c r="I83" s="2">
        <v>60</v>
      </c>
      <c r="J83" s="2" t="b">
        <v>0</v>
      </c>
      <c r="K83" s="3">
        <f>H83 - I83</f>
        <v>0</v>
      </c>
      <c r="L83" s="3">
        <f>IF(H83 = 0, 0, ROUND(100 * I83 / H83, 2))</f>
        <v>100</v>
      </c>
      <c r="M83" s="3" t="b">
        <f>K83 = 0</f>
        <v>1</v>
      </c>
      <c r="N83" s="3" t="str">
        <f>IF(M83, "", D83)</f>
      </c>
      <c r="O83" s="3" t="str">
        <f>IF(M83, "", E83)</f>
      </c>
      <c r="P83" s="3">
        <f>COUNTIFS(FieldDisagreements!E2:E999, A83)</f>
        <v>0</v>
      </c>
      <c r="Q83" s="3" t="str">
        <f>_xlfn.IFNA(INDEX(ConformanceSubstrates!C2:C999, MATCH(D83,ConformanceSubstrates!A2:A999, 0)), "")</f>
        <v>PostgreSQL</v>
      </c>
      <c r="R83" s="3" t="str">
        <f>_xlfn.IFNA(INDEX(RulebookTables!F2:F999, MATCH(E83,RulebookTables!A2:A999, 0)), "")</f>
        <v>knowledge</v>
      </c>
      <c r="S83" s="2" t="s">
        <v>1898</v>
      </c>
    </row>
    <row r="84">
      <c r="A84" s="2" t="s">
        <v>14091</v>
      </c>
      <c r="B84" s="3" t="str">
        <f>_xlfn.CONCAT(D84, " / ", E84)</f>
        <v>effortless-postgres / KnowledgeBrokerLinks</v>
      </c>
      <c r="C84" s="2" t="s">
        <v>13999</v>
      </c>
      <c r="D84" s="2" t="s">
        <v>13956</v>
      </c>
      <c r="E84" s="2" t="s">
        <v>1881</v>
      </c>
      <c r="F84" s="2">
        <v>5</v>
      </c>
      <c r="G84" s="2">
        <v>8</v>
      </c>
      <c r="H84" s="2">
        <v>40</v>
      </c>
      <c r="I84" s="2">
        <v>40</v>
      </c>
      <c r="J84" s="2" t="b">
        <v>0</v>
      </c>
      <c r="K84" s="3">
        <f>H84 - I84</f>
        <v>0</v>
      </c>
      <c r="L84" s="3">
        <f>IF(H84 = 0, 0, ROUND(100 * I84 / H84, 2))</f>
        <v>100</v>
      </c>
      <c r="M84" s="3" t="b">
        <f>K84 = 0</f>
        <v>1</v>
      </c>
      <c r="N84" s="3" t="str">
        <f>IF(M84, "", D84)</f>
      </c>
      <c r="O84" s="3" t="str">
        <f>IF(M84, "", E84)</f>
      </c>
      <c r="P84" s="3">
        <f>COUNTIFS(FieldDisagreements!E2:E999, A84)</f>
        <v>0</v>
      </c>
      <c r="Q84" s="3" t="str">
        <f>_xlfn.IFNA(INDEX(ConformanceSubstrates!C2:C999, MATCH(D84,ConformanceSubstrates!A2:A999, 0)), "")</f>
        <v>PostgreSQL</v>
      </c>
      <c r="R84" s="3" t="str">
        <f>_xlfn.IFNA(INDEX(RulebookTables!F2:F999, MATCH(E84,RulebookTables!A2:A999, 0)), "")</f>
        <v>knowledge</v>
      </c>
      <c r="S84" s="2" t="s">
        <v>1898</v>
      </c>
    </row>
    <row r="85">
      <c r="A85" s="2" t="s">
        <v>14092</v>
      </c>
      <c r="B85" s="3" t="str">
        <f>_xlfn.CONCAT(D85, " / ", E85)</f>
        <v>effortless-xlsx / RulebookReleases</v>
      </c>
      <c r="C85" s="2" t="s">
        <v>13999</v>
      </c>
      <c r="D85" s="2" t="s">
        <v>13987</v>
      </c>
      <c r="E85" s="2" t="s">
        <v>2384</v>
      </c>
      <c r="F85" s="2">
        <v>1</v>
      </c>
      <c r="G85" s="2">
        <v>1</v>
      </c>
      <c r="H85" s="2">
        <v>1</v>
      </c>
      <c r="I85" s="2">
        <v>1</v>
      </c>
      <c r="J85" s="2" t="b">
        <v>0</v>
      </c>
      <c r="K85" s="3">
        <f>H85 - I85</f>
        <v>0</v>
      </c>
      <c r="L85" s="3">
        <f>IF(H85 = 0, 0, ROUND(100 * I85 / H85, 2))</f>
        <v>100</v>
      </c>
      <c r="M85" s="3" t="b">
        <f>K85 = 0</f>
        <v>1</v>
      </c>
      <c r="N85" s="3" t="str">
        <f>IF(M85, "", D85)</f>
      </c>
      <c r="O85" s="3" t="str">
        <f>IF(M85, "", E85)</f>
      </c>
      <c r="P85" s="3">
        <f>COUNTIFS(FieldDisagreements!E2:E999, A85)</f>
        <v>0</v>
      </c>
      <c r="Q85" s="3" t="str">
        <f>_xlfn.IFNA(INDEX(ConformanceSubstrates!C2:C999, MATCH(D85,ConformanceSubstrates!A2:A999, 0)), "")</f>
        <v>Excel</v>
      </c>
      <c r="R85" s="3" t="str">
        <f>_xlfn.IFNA(INDEX(RulebookTables!F2:F999, MATCH(E85,RulebookTables!A2:A999, 0)), "")</f>
        <v>meta</v>
      </c>
      <c r="S85" s="2" t="s">
        <v>1898</v>
      </c>
    </row>
    <row r="86">
      <c r="A86" s="2" t="s">
        <v>14093</v>
      </c>
      <c r="B86" s="3" t="str">
        <f>_xlfn.CONCAT(D86, " / ", E86)</f>
        <v>effortless-xlsx / OntologyProfiles</v>
      </c>
      <c r="C86" s="2" t="s">
        <v>13999</v>
      </c>
      <c r="D86" s="2" t="s">
        <v>13987</v>
      </c>
      <c r="E86" s="2" t="s">
        <v>2403</v>
      </c>
      <c r="F86" s="2">
        <v>11</v>
      </c>
      <c r="G86" s="2">
        <v>1</v>
      </c>
      <c r="H86" s="2">
        <v>11</v>
      </c>
      <c r="I86" s="2">
        <v>11</v>
      </c>
      <c r="J86" s="2" t="b">
        <v>0</v>
      </c>
      <c r="K86" s="3">
        <f>H86 - I86</f>
        <v>0</v>
      </c>
      <c r="L86" s="3">
        <f>IF(H86 = 0, 0, ROUND(100 * I86 / H86, 2))</f>
        <v>100</v>
      </c>
      <c r="M86" s="3" t="b">
        <f>K86 = 0</f>
        <v>1</v>
      </c>
      <c r="N86" s="3" t="str">
        <f>IF(M86, "", D86)</f>
      </c>
      <c r="O86" s="3" t="str">
        <f>IF(M86, "", E86)</f>
      </c>
      <c r="P86" s="3">
        <f>COUNTIFS(FieldDisagreements!E2:E999, A86)</f>
        <v>0</v>
      </c>
      <c r="Q86" s="3" t="str">
        <f>_xlfn.IFNA(INDEX(ConformanceSubstrates!C2:C999, MATCH(D86,ConformanceSubstrates!A2:A999, 0)), "")</f>
        <v>Excel</v>
      </c>
      <c r="R86" s="3" t="str">
        <f>_xlfn.IFNA(INDEX(RulebookTables!F2:F999, MATCH(E86,RulebookTables!A2:A999, 0)), "")</f>
        <v>domain</v>
      </c>
      <c r="S86" s="2" t="s">
        <v>1898</v>
      </c>
    </row>
    <row r="87">
      <c r="A87" s="2" t="s">
        <v>14094</v>
      </c>
      <c r="B87" s="3" t="str">
        <f>_xlfn.CONCAT(D87, " / ", E87)</f>
        <v>effortless-xlsx / EvaluationContexts</v>
      </c>
      <c r="C87" s="2" t="s">
        <v>13999</v>
      </c>
      <c r="D87" s="2" t="s">
        <v>13987</v>
      </c>
      <c r="E87" s="2" t="s">
        <v>2413</v>
      </c>
      <c r="F87" s="2">
        <v>1</v>
      </c>
      <c r="G87" s="2">
        <v>1</v>
      </c>
      <c r="H87" s="2">
        <v>1</v>
      </c>
      <c r="I87" s="2">
        <v>0</v>
      </c>
      <c r="J87" s="2" t="b">
        <v>0</v>
      </c>
      <c r="K87" s="3">
        <f>H87 - I87</f>
        <v>1</v>
      </c>
      <c r="L87" s="3">
        <f>IF(H87 = 0, 0, ROUND(100 * I87 / H87, 2))</f>
        <v>0</v>
      </c>
      <c r="M87" s="3" t="b">
        <f>K87 = 0</f>
        <v>0</v>
      </c>
      <c r="N87" s="3" t="str">
        <f>IF(M87, "", D87)</f>
        <v>effortless-xlsx</v>
      </c>
      <c r="O87" s="3" t="str">
        <f>IF(M87, "", E87)</f>
        <v>EvaluationContexts</v>
      </c>
      <c r="P87" s="3">
        <f>COUNTIFS(FieldDisagreements!E2:E999, A87)</f>
        <v>1</v>
      </c>
      <c r="Q87" s="3" t="str">
        <f>_xlfn.IFNA(INDEX(ConformanceSubstrates!C2:C999, MATCH(D87,ConformanceSubstrates!A2:A999, 0)), "")</f>
        <v>Excel</v>
      </c>
      <c r="R87" s="3" t="str">
        <f>_xlfn.IFNA(INDEX(RulebookTables!F2:F999, MATCH(E87,RulebookTables!A2:A999, 0)), "")</f>
        <v>meta</v>
      </c>
      <c r="S87" s="2" t="s">
        <v>1898</v>
      </c>
    </row>
    <row r="88">
      <c r="A88" s="2" t="s">
        <v>14095</v>
      </c>
      <c r="B88" s="3" t="str">
        <f>_xlfn.CONCAT(D88, " / ", E88)</f>
        <v>effortless-xlsx / Organizations</v>
      </c>
      <c r="C88" s="2" t="s">
        <v>13999</v>
      </c>
      <c r="D88" s="2" t="s">
        <v>13987</v>
      </c>
      <c r="E88" s="2" t="s">
        <v>2422</v>
      </c>
      <c r="F88" s="2">
        <v>4</v>
      </c>
      <c r="G88" s="2">
        <v>1</v>
      </c>
      <c r="H88" s="2">
        <v>4</v>
      </c>
      <c r="I88" s="2">
        <v>4</v>
      </c>
      <c r="J88" s="2" t="b">
        <v>0</v>
      </c>
      <c r="K88" s="3">
        <f>H88 - I88</f>
        <v>0</v>
      </c>
      <c r="L88" s="3">
        <f>IF(H88 = 0, 0, ROUND(100 * I88 / H88, 2))</f>
        <v>100</v>
      </c>
      <c r="M88" s="3" t="b">
        <f>K88 = 0</f>
        <v>1</v>
      </c>
      <c r="N88" s="3" t="str">
        <f>IF(M88, "", D88)</f>
      </c>
      <c r="O88" s="3" t="str">
        <f>IF(M88, "", E88)</f>
      </c>
      <c r="P88" s="3">
        <f>COUNTIFS(FieldDisagreements!E2:E999, A88)</f>
        <v>0</v>
      </c>
      <c r="Q88" s="3" t="str">
        <f>_xlfn.IFNA(INDEX(ConformanceSubstrates!C2:C999, MATCH(D88,ConformanceSubstrates!A2:A999, 0)), "")</f>
        <v>Excel</v>
      </c>
      <c r="R88" s="3" t="str">
        <f>_xlfn.IFNA(INDEX(RulebookTables!F2:F999, MATCH(E88,RulebookTables!A2:A999, 0)), "")</f>
        <v>org</v>
      </c>
      <c r="S88" s="2" t="s">
        <v>1898</v>
      </c>
    </row>
    <row r="89">
      <c r="A89" s="2" t="s">
        <v>14096</v>
      </c>
      <c r="B89" s="3" t="str">
        <f>_xlfn.CONCAT(D89, " / ", E89)</f>
        <v>effortless-xlsx / Agents</v>
      </c>
      <c r="C89" s="2" t="s">
        <v>13999</v>
      </c>
      <c r="D89" s="2" t="s">
        <v>13987</v>
      </c>
      <c r="E89" s="2" t="s">
        <v>1794</v>
      </c>
      <c r="F89" s="2">
        <v>11</v>
      </c>
      <c r="G89" s="2">
        <v>16</v>
      </c>
      <c r="H89" s="2">
        <v>176</v>
      </c>
      <c r="I89" s="2">
        <v>176</v>
      </c>
      <c r="J89" s="2" t="b">
        <v>0</v>
      </c>
      <c r="K89" s="3">
        <f>H89 - I89</f>
        <v>0</v>
      </c>
      <c r="L89" s="3">
        <f>IF(H89 = 0, 0, ROUND(100 * I89 / H89, 2))</f>
        <v>100</v>
      </c>
      <c r="M89" s="3" t="b">
        <f>K89 = 0</f>
        <v>1</v>
      </c>
      <c r="N89" s="3" t="str">
        <f>IF(M89, "", D89)</f>
      </c>
      <c r="O89" s="3" t="str">
        <f>IF(M89, "", E89)</f>
      </c>
      <c r="P89" s="3">
        <f>COUNTIFS(FieldDisagreements!E2:E999, A89)</f>
        <v>0</v>
      </c>
      <c r="Q89" s="3" t="str">
        <f>_xlfn.IFNA(INDEX(ConformanceSubstrates!C2:C999, MATCH(D89,ConformanceSubstrates!A2:A999, 0)), "")</f>
        <v>Excel</v>
      </c>
      <c r="R89" s="3" t="str">
        <f>_xlfn.IFNA(INDEX(RulebookTables!F2:F999, MATCH(E89,RulebookTables!A2:A999, 0)), "")</f>
        <v>org</v>
      </c>
      <c r="S89" s="2" t="s">
        <v>1898</v>
      </c>
    </row>
    <row r="90">
      <c r="A90" s="2" t="s">
        <v>14097</v>
      </c>
      <c r="B90" s="3" t="str">
        <f>_xlfn.CONCAT(D90, " / ", E90)</f>
        <v>effortless-xlsx / Roles</v>
      </c>
      <c r="C90" s="2" t="s">
        <v>13999</v>
      </c>
      <c r="D90" s="2" t="s">
        <v>13987</v>
      </c>
      <c r="E90" s="2" t="s">
        <v>1798</v>
      </c>
      <c r="F90" s="2">
        <v>12</v>
      </c>
      <c r="G90" s="2">
        <v>17</v>
      </c>
      <c r="H90" s="2">
        <v>204</v>
      </c>
      <c r="I90" s="2">
        <v>192</v>
      </c>
      <c r="J90" s="2" t="b">
        <v>0</v>
      </c>
      <c r="K90" s="3">
        <f>H90 - I90</f>
        <v>12</v>
      </c>
      <c r="L90" s="3">
        <f>IF(H90 = 0, 0, ROUND(100 * I90 / H90, 2))</f>
        <v>94.12</v>
      </c>
      <c r="M90" s="3" t="b">
        <f>K90 = 0</f>
        <v>0</v>
      </c>
      <c r="N90" s="3" t="str">
        <f>IF(M90, "", D90)</f>
        <v>effortless-xlsx</v>
      </c>
      <c r="O90" s="3" t="str">
        <f>IF(M90, "", E90)</f>
        <v>Roles</v>
      </c>
      <c r="P90" s="3">
        <f>COUNTIFS(FieldDisagreements!E2:E999, A90)</f>
        <v>1</v>
      </c>
      <c r="Q90" s="3" t="str">
        <f>_xlfn.IFNA(INDEX(ConformanceSubstrates!C2:C999, MATCH(D90,ConformanceSubstrates!A2:A999, 0)), "")</f>
        <v>Excel</v>
      </c>
      <c r="R90" s="3" t="str">
        <f>_xlfn.IFNA(INDEX(RulebookTables!F2:F999, MATCH(E90,RulebookTables!A2:A999, 0)), "")</f>
        <v>org</v>
      </c>
      <c r="S90" s="2" t="s">
        <v>1898</v>
      </c>
    </row>
    <row r="91">
      <c r="A91" s="2" t="s">
        <v>14098</v>
      </c>
      <c r="B91" s="3" t="str">
        <f>_xlfn.CONCAT(D91, " / ", E91)</f>
        <v>effortless-xlsx / RoleAssignments</v>
      </c>
      <c r="C91" s="2" t="s">
        <v>13999</v>
      </c>
      <c r="D91" s="2" t="s">
        <v>13987</v>
      </c>
      <c r="E91" s="2" t="s">
        <v>1801</v>
      </c>
      <c r="F91" s="2">
        <v>13</v>
      </c>
      <c r="G91" s="2">
        <v>47</v>
      </c>
      <c r="H91" s="2">
        <v>611</v>
      </c>
      <c r="I91" s="2">
        <v>527</v>
      </c>
      <c r="J91" s="2" t="b">
        <v>0</v>
      </c>
      <c r="K91" s="3">
        <f>H91 - I91</f>
        <v>84</v>
      </c>
      <c r="L91" s="3">
        <f>IF(H91 = 0, 0, ROUND(100 * I91 / H91, 2))</f>
        <v>86.25</v>
      </c>
      <c r="M91" s="3" t="b">
        <f>K91 = 0</f>
        <v>0</v>
      </c>
      <c r="N91" s="3" t="str">
        <f>IF(M91, "", D91)</f>
        <v>effortless-xlsx</v>
      </c>
      <c r="O91" s="3" t="str">
        <f>IF(M91, "", E91)</f>
        <v>RoleAssignments</v>
      </c>
      <c r="P91" s="3">
        <f>COUNTIFS(FieldDisagreements!E2:E999, A91)</f>
        <v>10</v>
      </c>
      <c r="Q91" s="3" t="str">
        <f>_xlfn.IFNA(INDEX(ConformanceSubstrates!C2:C999, MATCH(D91,ConformanceSubstrates!A2:A999, 0)), "")</f>
        <v>Excel</v>
      </c>
      <c r="R91" s="3" t="str">
        <f>_xlfn.IFNA(INDEX(RulebookTables!F2:F999, MATCH(E91,RulebookTables!A2:A999, 0)), "")</f>
        <v>org</v>
      </c>
      <c r="S91" s="2" t="s">
        <v>1898</v>
      </c>
    </row>
    <row r="92">
      <c r="A92" s="2" t="s">
        <v>14099</v>
      </c>
      <c r="B92" s="3" t="str">
        <f>_xlfn.CONCAT(D92, " / ", E92)</f>
        <v>effortless-xlsx / CommunitiesOfPractice</v>
      </c>
      <c r="C92" s="2" t="s">
        <v>13999</v>
      </c>
      <c r="D92" s="2" t="s">
        <v>13987</v>
      </c>
      <c r="E92" s="2" t="s">
        <v>2624</v>
      </c>
      <c r="F92" s="2">
        <v>2</v>
      </c>
      <c r="G92" s="2">
        <v>1</v>
      </c>
      <c r="H92" s="2">
        <v>2</v>
      </c>
      <c r="I92" s="2">
        <v>2</v>
      </c>
      <c r="J92" s="2" t="b">
        <v>0</v>
      </c>
      <c r="K92" s="3">
        <f>H92 - I92</f>
        <v>0</v>
      </c>
      <c r="L92" s="3">
        <f>IF(H92 = 0, 0, ROUND(100 * I92 / H92, 2))</f>
        <v>100</v>
      </c>
      <c r="M92" s="3" t="b">
        <f>K92 = 0</f>
        <v>1</v>
      </c>
      <c r="N92" s="3" t="str">
        <f>IF(M92, "", D92)</f>
      </c>
      <c r="O92" s="3" t="str">
        <f>IF(M92, "", E92)</f>
      </c>
      <c r="P92" s="3">
        <f>COUNTIFS(FieldDisagreements!E2:E999, A92)</f>
        <v>0</v>
      </c>
      <c r="Q92" s="3" t="str">
        <f>_xlfn.IFNA(INDEX(ConformanceSubstrates!C2:C999, MATCH(D92,ConformanceSubstrates!A2:A999, 0)), "")</f>
        <v>Excel</v>
      </c>
      <c r="R92" s="3" t="str">
        <f>_xlfn.IFNA(INDEX(RulebookTables!F2:F999, MATCH(E92,RulebookTables!A2:A999, 0)), "")</f>
        <v>org</v>
      </c>
      <c r="S92" s="2" t="s">
        <v>1898</v>
      </c>
    </row>
    <row r="93">
      <c r="A93" s="2" t="s">
        <v>14100</v>
      </c>
      <c r="B93" s="3" t="str">
        <f>_xlfn.CONCAT(D93, " / ", E93)</f>
        <v>effortless-xlsx / Mentorships</v>
      </c>
      <c r="C93" s="2" t="s">
        <v>13999</v>
      </c>
      <c r="D93" s="2" t="s">
        <v>13987</v>
      </c>
      <c r="E93" s="2" t="s">
        <v>2633</v>
      </c>
      <c r="F93" s="2">
        <v>1</v>
      </c>
      <c r="G93" s="2">
        <v>1</v>
      </c>
      <c r="H93" s="2">
        <v>1</v>
      </c>
      <c r="I93" s="2">
        <v>1</v>
      </c>
      <c r="J93" s="2" t="b">
        <v>0</v>
      </c>
      <c r="K93" s="3">
        <f>H93 - I93</f>
        <v>0</v>
      </c>
      <c r="L93" s="3">
        <f>IF(H93 = 0, 0, ROUND(100 * I93 / H93, 2))</f>
        <v>100</v>
      </c>
      <c r="M93" s="3" t="b">
        <f>K93 = 0</f>
        <v>1</v>
      </c>
      <c r="N93" s="3" t="str">
        <f>IF(M93, "", D93)</f>
      </c>
      <c r="O93" s="3" t="str">
        <f>IF(M93, "", E93)</f>
      </c>
      <c r="P93" s="3">
        <f>COUNTIFS(FieldDisagreements!E2:E999, A93)</f>
        <v>0</v>
      </c>
      <c r="Q93" s="3" t="str">
        <f>_xlfn.IFNA(INDEX(ConformanceSubstrates!C2:C999, MATCH(D93,ConformanceSubstrates!A2:A999, 0)), "")</f>
        <v>Excel</v>
      </c>
      <c r="R93" s="3" t="str">
        <f>_xlfn.IFNA(INDEX(RulebookTables!F2:F999, MATCH(E93,RulebookTables!A2:A999, 0)), "")</f>
        <v>org</v>
      </c>
      <c r="S93" s="2" t="s">
        <v>1898</v>
      </c>
    </row>
    <row r="94">
      <c r="A94" s="2" t="s">
        <v>14101</v>
      </c>
      <c r="B94" s="3" t="str">
        <f>_xlfn.CONCAT(D94, " / ", E94)</f>
        <v>effortless-xlsx / ProcedureTypes</v>
      </c>
      <c r="C94" s="2" t="s">
        <v>13999</v>
      </c>
      <c r="D94" s="2" t="s">
        <v>13987</v>
      </c>
      <c r="E94" s="2" t="s">
        <v>2645</v>
      </c>
      <c r="F94" s="2">
        <v>2</v>
      </c>
      <c r="G94" s="2">
        <v>1</v>
      </c>
      <c r="H94" s="2">
        <v>2</v>
      </c>
      <c r="I94" s="2">
        <v>2</v>
      </c>
      <c r="J94" s="2" t="b">
        <v>0</v>
      </c>
      <c r="K94" s="3">
        <f>H94 - I94</f>
        <v>0</v>
      </c>
      <c r="L94" s="3">
        <f>IF(H94 = 0, 0, ROUND(100 * I94 / H94, 2))</f>
        <v>100</v>
      </c>
      <c r="M94" s="3" t="b">
        <f>K94 = 0</f>
        <v>1</v>
      </c>
      <c r="N94" s="3" t="str">
        <f>IF(M94, "", D94)</f>
      </c>
      <c r="O94" s="3" t="str">
        <f>IF(M94, "", E94)</f>
      </c>
      <c r="P94" s="3">
        <f>COUNTIFS(FieldDisagreements!E2:E999, A94)</f>
        <v>0</v>
      </c>
      <c r="Q94" s="3" t="str">
        <f>_xlfn.IFNA(INDEX(ConformanceSubstrates!C2:C999, MATCH(D94,ConformanceSubstrates!A2:A999, 0)), "")</f>
        <v>Excel</v>
      </c>
      <c r="R94" s="3" t="str">
        <f>_xlfn.IFNA(INDEX(RulebookTables!F2:F999, MATCH(E94,RulebookTables!A2:A999, 0)), "")</f>
        <v>specification</v>
      </c>
      <c r="S94" s="2" t="s">
        <v>1898</v>
      </c>
    </row>
    <row r="95">
      <c r="A95" s="2" t="s">
        <v>14102</v>
      </c>
      <c r="B95" s="3" t="str">
        <f>_xlfn.CONCAT(D95, " / ", E95)</f>
        <v>effortless-xlsx / Procedures</v>
      </c>
      <c r="C95" s="2" t="s">
        <v>13999</v>
      </c>
      <c r="D95" s="2" t="s">
        <v>13987</v>
      </c>
      <c r="E95" s="2" t="s">
        <v>1742</v>
      </c>
      <c r="F95" s="2">
        <v>2</v>
      </c>
      <c r="G95" s="2">
        <v>1</v>
      </c>
      <c r="H95" s="2">
        <v>2</v>
      </c>
      <c r="I95" s="2">
        <v>2</v>
      </c>
      <c r="J95" s="2" t="b">
        <v>0</v>
      </c>
      <c r="K95" s="3">
        <f>H95 - I95</f>
        <v>0</v>
      </c>
      <c r="L95" s="3">
        <f>IF(H95 = 0, 0, ROUND(100 * I95 / H95, 2))</f>
        <v>100</v>
      </c>
      <c r="M95" s="3" t="b">
        <f>K95 = 0</f>
        <v>1</v>
      </c>
      <c r="N95" s="3" t="str">
        <f>IF(M95, "", D95)</f>
      </c>
      <c r="O95" s="3" t="str">
        <f>IF(M95, "", E95)</f>
      </c>
      <c r="P95" s="3">
        <f>COUNTIFS(FieldDisagreements!E2:E999, A95)</f>
        <v>0</v>
      </c>
      <c r="Q95" s="3" t="str">
        <f>_xlfn.IFNA(INDEX(ConformanceSubstrates!C2:C999, MATCH(D95,ConformanceSubstrates!A2:A999, 0)), "")</f>
        <v>Excel</v>
      </c>
      <c r="R95" s="3" t="str">
        <f>_xlfn.IFNA(INDEX(RulebookTables!F2:F999, MATCH(E95,RulebookTables!A2:A999, 0)), "")</f>
        <v>specification</v>
      </c>
      <c r="S95" s="2" t="s">
        <v>1898</v>
      </c>
    </row>
    <row r="96">
      <c r="A96" s="2" t="s">
        <v>14103</v>
      </c>
      <c r="B96" s="3" t="str">
        <f>_xlfn.CONCAT(D96, " / ", E96)</f>
        <v>effortless-xlsx / ProcedureVersions</v>
      </c>
      <c r="C96" s="2" t="s">
        <v>13999</v>
      </c>
      <c r="D96" s="2" t="s">
        <v>13987</v>
      </c>
      <c r="E96" s="2" t="s">
        <v>1747</v>
      </c>
      <c r="F96" s="2">
        <v>3</v>
      </c>
      <c r="G96" s="2">
        <v>72</v>
      </c>
      <c r="H96" s="2">
        <v>216</v>
      </c>
      <c r="I96" s="2">
        <v>204</v>
      </c>
      <c r="J96" s="2" t="b">
        <v>0</v>
      </c>
      <c r="K96" s="3">
        <f>H96 - I96</f>
        <v>12</v>
      </c>
      <c r="L96" s="3">
        <f>IF(H96 = 0, 0, ROUND(100 * I96 / H96, 2))</f>
        <v>94.44</v>
      </c>
      <c r="M96" s="3" t="b">
        <f>K96 = 0</f>
        <v>0</v>
      </c>
      <c r="N96" s="3" t="str">
        <f>IF(M96, "", D96)</f>
        <v>effortless-xlsx</v>
      </c>
      <c r="O96" s="3" t="str">
        <f>IF(M96, "", E96)</f>
        <v>ProcedureVersions</v>
      </c>
      <c r="P96" s="3">
        <f>COUNTIFS(FieldDisagreements!E2:E999, A96)</f>
        <v>5</v>
      </c>
      <c r="Q96" s="3" t="str">
        <f>_xlfn.IFNA(INDEX(ConformanceSubstrates!C2:C999, MATCH(D96,ConformanceSubstrates!A2:A999, 0)), "")</f>
        <v>Excel</v>
      </c>
      <c r="R96" s="3" t="str">
        <f>_xlfn.IFNA(INDEX(RulebookTables!F2:F999, MATCH(E96,RulebookTables!A2:A999, 0)), "")</f>
        <v>specification</v>
      </c>
      <c r="S96" s="2" t="s">
        <v>1898</v>
      </c>
    </row>
    <row r="97">
      <c r="A97" s="2" t="s">
        <v>14104</v>
      </c>
      <c r="B97" s="3" t="str">
        <f>_xlfn.CONCAT(D97, " / ", E97)</f>
        <v>effortless-xlsx / ProcedureVersionLinks</v>
      </c>
      <c r="C97" s="2" t="s">
        <v>13999</v>
      </c>
      <c r="D97" s="2" t="s">
        <v>13987</v>
      </c>
      <c r="E97" s="2" t="s">
        <v>2818</v>
      </c>
      <c r="F97" s="2">
        <v>1</v>
      </c>
      <c r="G97" s="2">
        <v>2</v>
      </c>
      <c r="H97" s="2">
        <v>2</v>
      </c>
      <c r="I97" s="2">
        <v>2</v>
      </c>
      <c r="J97" s="2" t="b">
        <v>0</v>
      </c>
      <c r="K97" s="3">
        <f>H97 - I97</f>
        <v>0</v>
      </c>
      <c r="L97" s="3">
        <f>IF(H97 = 0, 0, ROUND(100 * I97 / H97, 2))</f>
        <v>100</v>
      </c>
      <c r="M97" s="3" t="b">
        <f>K97 = 0</f>
        <v>1</v>
      </c>
      <c r="N97" s="3" t="str">
        <f>IF(M97, "", D97)</f>
      </c>
      <c r="O97" s="3" t="str">
        <f>IF(M97, "", E97)</f>
      </c>
      <c r="P97" s="3">
        <f>COUNTIFS(FieldDisagreements!E2:E999, A97)</f>
        <v>0</v>
      </c>
      <c r="Q97" s="3" t="str">
        <f>_xlfn.IFNA(INDEX(ConformanceSubstrates!C2:C999, MATCH(D97,ConformanceSubstrates!A2:A999, 0)), "")</f>
        <v>Excel</v>
      </c>
      <c r="R97" s="3" t="str">
        <f>_xlfn.IFNA(INDEX(RulebookTables!F2:F999, MATCH(E97,RulebookTables!A2:A999, 0)), "")</f>
        <v>specification</v>
      </c>
      <c r="S97" s="2" t="s">
        <v>1898</v>
      </c>
    </row>
    <row r="98">
      <c r="A98" s="2" t="s">
        <v>14105</v>
      </c>
      <c r="B98" s="3" t="str">
        <f>_xlfn.CONCAT(D98, " / ", E98)</f>
        <v>effortless-xlsx / ProcedureStatusChanges</v>
      </c>
      <c r="C98" s="2" t="s">
        <v>13999</v>
      </c>
      <c r="D98" s="2" t="s">
        <v>13987</v>
      </c>
      <c r="E98" s="2" t="s">
        <v>1755</v>
      </c>
      <c r="F98" s="2">
        <v>5</v>
      </c>
      <c r="G98" s="2">
        <v>1</v>
      </c>
      <c r="H98" s="2">
        <v>5</v>
      </c>
      <c r="I98" s="2">
        <v>5</v>
      </c>
      <c r="J98" s="2" t="b">
        <v>0</v>
      </c>
      <c r="K98" s="3">
        <f>H98 - I98</f>
        <v>0</v>
      </c>
      <c r="L98" s="3">
        <f>IF(H98 = 0, 0, ROUND(100 * I98 / H98, 2))</f>
        <v>100</v>
      </c>
      <c r="M98" s="3" t="b">
        <f>K98 = 0</f>
        <v>1</v>
      </c>
      <c r="N98" s="3" t="str">
        <f>IF(M98, "", D98)</f>
      </c>
      <c r="O98" s="3" t="str">
        <f>IF(M98, "", E98)</f>
      </c>
      <c r="P98" s="3">
        <f>COUNTIFS(FieldDisagreements!E2:E999, A98)</f>
        <v>0</v>
      </c>
      <c r="Q98" s="3" t="str">
        <f>_xlfn.IFNA(INDEX(ConformanceSubstrates!C2:C999, MATCH(D98,ConformanceSubstrates!A2:A999, 0)), "")</f>
        <v>Excel</v>
      </c>
      <c r="R98" s="3" t="str">
        <f>_xlfn.IFNA(INDEX(RulebookTables!F2:F999, MATCH(E98,RulebookTables!A2:A999, 0)), "")</f>
        <v>specification</v>
      </c>
      <c r="S98" s="2" t="s">
        <v>1898</v>
      </c>
    </row>
    <row r="99">
      <c r="A99" s="2" t="s">
        <v>14106</v>
      </c>
      <c r="B99" s="3" t="str">
        <f>_xlfn.CONCAT(D99, " / ", E99)</f>
        <v>effortless-xlsx / Steps</v>
      </c>
      <c r="C99" s="2" t="s">
        <v>13999</v>
      </c>
      <c r="D99" s="2" t="s">
        <v>13987</v>
      </c>
      <c r="E99" s="2" t="s">
        <v>1758</v>
      </c>
      <c r="F99" s="2">
        <v>17</v>
      </c>
      <c r="G99" s="2">
        <v>30</v>
      </c>
      <c r="H99" s="2">
        <v>510</v>
      </c>
      <c r="I99" s="2">
        <v>490</v>
      </c>
      <c r="J99" s="2" t="b">
        <v>0</v>
      </c>
      <c r="K99" s="3">
        <f>H99 - I99</f>
        <v>20</v>
      </c>
      <c r="L99" s="3">
        <f>IF(H99 = 0, 0, ROUND(100 * I99 / H99, 2))</f>
        <v>96.08</v>
      </c>
      <c r="M99" s="3" t="b">
        <f>K99 = 0</f>
        <v>0</v>
      </c>
      <c r="N99" s="3" t="str">
        <f>IF(M99, "", D99)</f>
        <v>effortless-xlsx</v>
      </c>
      <c r="O99" s="3" t="str">
        <f>IF(M99, "", E99)</f>
        <v>Steps</v>
      </c>
      <c r="P99" s="3">
        <f>COUNTIFS(FieldDisagreements!E2:E999, A99)</f>
        <v>8</v>
      </c>
      <c r="Q99" s="3" t="str">
        <f>_xlfn.IFNA(INDEX(ConformanceSubstrates!C2:C999, MATCH(D99,ConformanceSubstrates!A2:A999, 0)), "")</f>
        <v>Excel</v>
      </c>
      <c r="R99" s="3" t="str">
        <f>_xlfn.IFNA(INDEX(RulebookTables!F2:F999, MATCH(E99,RulebookTables!A2:A999, 0)), "")</f>
        <v>specification</v>
      </c>
      <c r="S99" s="2" t="s">
        <v>1898</v>
      </c>
    </row>
    <row r="100">
      <c r="A100" s="2" t="s">
        <v>14107</v>
      </c>
      <c r="B100" s="3" t="str">
        <f>_xlfn.CONCAT(D100, " / ", E100)</f>
        <v>effortless-xlsx / StepTransitions</v>
      </c>
      <c r="C100" s="2" t="s">
        <v>13999</v>
      </c>
      <c r="D100" s="2" t="s">
        <v>13987</v>
      </c>
      <c r="E100" s="2" t="s">
        <v>1764</v>
      </c>
      <c r="F100" s="2">
        <v>19</v>
      </c>
      <c r="G100" s="2">
        <v>15</v>
      </c>
      <c r="H100" s="2">
        <v>285</v>
      </c>
      <c r="I100" s="2">
        <v>285</v>
      </c>
      <c r="J100" s="2" t="b">
        <v>0</v>
      </c>
      <c r="K100" s="3">
        <f>H100 - I100</f>
        <v>0</v>
      </c>
      <c r="L100" s="3">
        <f>IF(H100 = 0, 0, ROUND(100 * I100 / H100, 2))</f>
        <v>100</v>
      </c>
      <c r="M100" s="3" t="b">
        <f>K100 = 0</f>
        <v>1</v>
      </c>
      <c r="N100" s="3" t="str">
        <f>IF(M100, "", D100)</f>
      </c>
      <c r="O100" s="3" t="str">
        <f>IF(M100, "", E100)</f>
      </c>
      <c r="P100" s="3">
        <f>COUNTIFS(FieldDisagreements!E2:E999, A100)</f>
        <v>0</v>
      </c>
      <c r="Q100" s="3" t="str">
        <f>_xlfn.IFNA(INDEX(ConformanceSubstrates!C2:C999, MATCH(D100,ConformanceSubstrates!A2:A999, 0)), "")</f>
        <v>Excel</v>
      </c>
      <c r="R100" s="3" t="str">
        <f>_xlfn.IFNA(INDEX(RulebookTables!F2:F999, MATCH(E100,RulebookTables!A2:A999, 0)), "")</f>
        <v>specification</v>
      </c>
      <c r="S100" s="2" t="s">
        <v>1898</v>
      </c>
    </row>
    <row r="101">
      <c r="A101" s="2" t="s">
        <v>14108</v>
      </c>
      <c r="B101" s="3" t="str">
        <f>_xlfn.CONCAT(D101, " / ", E101)</f>
        <v>effortless-xlsx / Actions</v>
      </c>
      <c r="C101" s="2" t="s">
        <v>13999</v>
      </c>
      <c r="D101" s="2" t="s">
        <v>13987</v>
      </c>
      <c r="E101" s="2" t="s">
        <v>1776</v>
      </c>
      <c r="F101" s="2">
        <v>9</v>
      </c>
      <c r="G101" s="2">
        <v>1</v>
      </c>
      <c r="H101" s="2">
        <v>9</v>
      </c>
      <c r="I101" s="2">
        <v>9</v>
      </c>
      <c r="J101" s="2" t="b">
        <v>0</v>
      </c>
      <c r="K101" s="3">
        <f>H101 - I101</f>
        <v>0</v>
      </c>
      <c r="L101" s="3">
        <f>IF(H101 = 0, 0, ROUND(100 * I101 / H101, 2))</f>
        <v>100</v>
      </c>
      <c r="M101" s="3" t="b">
        <f>K101 = 0</f>
        <v>1</v>
      </c>
      <c r="N101" s="3" t="str">
        <f>IF(M101, "", D101)</f>
      </c>
      <c r="O101" s="3" t="str">
        <f>IF(M101, "", E101)</f>
      </c>
      <c r="P101" s="3">
        <f>COUNTIFS(FieldDisagreements!E2:E999, A101)</f>
        <v>0</v>
      </c>
      <c r="Q101" s="3" t="str">
        <f>_xlfn.IFNA(INDEX(ConformanceSubstrates!C2:C999, MATCH(D101,ConformanceSubstrates!A2:A999, 0)), "")</f>
        <v>Excel</v>
      </c>
      <c r="R101" s="3" t="str">
        <f>_xlfn.IFNA(INDEX(RulebookTables!F2:F999, MATCH(E101,RulebookTables!A2:A999, 0)), "")</f>
        <v>specification</v>
      </c>
      <c r="S101" s="2" t="s">
        <v>1898</v>
      </c>
    </row>
    <row r="102">
      <c r="A102" s="2" t="s">
        <v>14109</v>
      </c>
      <c r="B102" s="3" t="str">
        <f>_xlfn.CONCAT(D102, " / ", E102)</f>
        <v>effortless-xlsx / Functions</v>
      </c>
      <c r="C102" s="2" t="s">
        <v>13999</v>
      </c>
      <c r="D102" s="2" t="s">
        <v>13987</v>
      </c>
      <c r="E102" s="2" t="s">
        <v>1779</v>
      </c>
      <c r="F102" s="2">
        <v>8</v>
      </c>
      <c r="G102" s="2">
        <v>1</v>
      </c>
      <c r="H102" s="2">
        <v>8</v>
      </c>
      <c r="I102" s="2">
        <v>8</v>
      </c>
      <c r="J102" s="2" t="b">
        <v>0</v>
      </c>
      <c r="K102" s="3">
        <f>H102 - I102</f>
        <v>0</v>
      </c>
      <c r="L102" s="3">
        <f>IF(H102 = 0, 0, ROUND(100 * I102 / H102, 2))</f>
        <v>100</v>
      </c>
      <c r="M102" s="3" t="b">
        <f>K102 = 0</f>
        <v>1</v>
      </c>
      <c r="N102" s="3" t="str">
        <f>IF(M102, "", D102)</f>
      </c>
      <c r="O102" s="3" t="str">
        <f>IF(M102, "", E102)</f>
      </c>
      <c r="P102" s="3">
        <f>COUNTIFS(FieldDisagreements!E2:E999, A102)</f>
        <v>0</v>
      </c>
      <c r="Q102" s="3" t="str">
        <f>_xlfn.IFNA(INDEX(ConformanceSubstrates!C2:C999, MATCH(D102,ConformanceSubstrates!A2:A999, 0)), "")</f>
        <v>Excel</v>
      </c>
      <c r="R102" s="3" t="str">
        <f>_xlfn.IFNA(INDEX(RulebookTables!F2:F999, MATCH(E102,RulebookTables!A2:A999, 0)), "")</f>
        <v>specification</v>
      </c>
      <c r="S102" s="2" t="s">
        <v>1898</v>
      </c>
    </row>
    <row r="103">
      <c r="A103" s="2" t="s">
        <v>14110</v>
      </c>
      <c r="B103" s="3" t="str">
        <f>_xlfn.CONCAT(D103, " / ", E103)</f>
        <v>effortless-xlsx / Tools</v>
      </c>
      <c r="C103" s="2" t="s">
        <v>13999</v>
      </c>
      <c r="D103" s="2" t="s">
        <v>13987</v>
      </c>
      <c r="E103" s="2" t="s">
        <v>1782</v>
      </c>
      <c r="F103" s="2">
        <v>8</v>
      </c>
      <c r="G103" s="2">
        <v>1</v>
      </c>
      <c r="H103" s="2">
        <v>8</v>
      </c>
      <c r="I103" s="2">
        <v>8</v>
      </c>
      <c r="J103" s="2" t="b">
        <v>0</v>
      </c>
      <c r="K103" s="3">
        <f>H103 - I103</f>
        <v>0</v>
      </c>
      <c r="L103" s="3">
        <f>IF(H103 = 0, 0, ROUND(100 * I103 / H103, 2))</f>
        <v>100</v>
      </c>
      <c r="M103" s="3" t="b">
        <f>K103 = 0</f>
        <v>1</v>
      </c>
      <c r="N103" s="3" t="str">
        <f>IF(M103, "", D103)</f>
      </c>
      <c r="O103" s="3" t="str">
        <f>IF(M103, "", E103)</f>
      </c>
      <c r="P103" s="3">
        <f>COUNTIFS(FieldDisagreements!E2:E999, A103)</f>
        <v>0</v>
      </c>
      <c r="Q103" s="3" t="str">
        <f>_xlfn.IFNA(INDEX(ConformanceSubstrates!C2:C999, MATCH(D103,ConformanceSubstrates!A2:A999, 0)), "")</f>
        <v>Excel</v>
      </c>
      <c r="R103" s="3" t="str">
        <f>_xlfn.IFNA(INDEX(RulebookTables!F2:F999, MATCH(E103,RulebookTables!A2:A999, 0)), "")</f>
        <v>specification</v>
      </c>
      <c r="S103" s="2" t="s">
        <v>1898</v>
      </c>
    </row>
    <row r="104">
      <c r="A104" s="2" t="s">
        <v>14111</v>
      </c>
      <c r="B104" s="3" t="str">
        <f>_xlfn.CONCAT(D104, " / ", E104)</f>
        <v>effortless-xlsx / StepActions</v>
      </c>
      <c r="C104" s="2" t="s">
        <v>13999</v>
      </c>
      <c r="D104" s="2" t="s">
        <v>13987</v>
      </c>
      <c r="E104" s="2" t="s">
        <v>2962</v>
      </c>
      <c r="F104" s="2">
        <v>9</v>
      </c>
      <c r="G104" s="2">
        <v>1</v>
      </c>
      <c r="H104" s="2">
        <v>9</v>
      </c>
      <c r="I104" s="2">
        <v>9</v>
      </c>
      <c r="J104" s="2" t="b">
        <v>0</v>
      </c>
      <c r="K104" s="3">
        <f>H104 - I104</f>
        <v>0</v>
      </c>
      <c r="L104" s="3">
        <f>IF(H104 = 0, 0, ROUND(100 * I104 / H104, 2))</f>
        <v>100</v>
      </c>
      <c r="M104" s="3" t="b">
        <f>K104 = 0</f>
        <v>1</v>
      </c>
      <c r="N104" s="3" t="str">
        <f>IF(M104, "", D104)</f>
      </c>
      <c r="O104" s="3" t="str">
        <f>IF(M104, "", E104)</f>
      </c>
      <c r="P104" s="3">
        <f>COUNTIFS(FieldDisagreements!E2:E999, A104)</f>
        <v>0</v>
      </c>
      <c r="Q104" s="3" t="str">
        <f>_xlfn.IFNA(INDEX(ConformanceSubstrates!C2:C999, MATCH(D104,ConformanceSubstrates!A2:A999, 0)), "")</f>
        <v>Excel</v>
      </c>
      <c r="R104" s="3" t="str">
        <f>_xlfn.IFNA(INDEX(RulebookTables!F2:F999, MATCH(E104,RulebookTables!A2:A999, 0)), "")</f>
        <v>specification</v>
      </c>
      <c r="S104" s="2" t="s">
        <v>1898</v>
      </c>
    </row>
    <row r="105">
      <c r="A105" s="2" t="s">
        <v>14112</v>
      </c>
      <c r="B105" s="3" t="str">
        <f>_xlfn.CONCAT(D105, " / ", E105)</f>
        <v>effortless-xlsx / StepFunctions</v>
      </c>
      <c r="C105" s="2" t="s">
        <v>13999</v>
      </c>
      <c r="D105" s="2" t="s">
        <v>13987</v>
      </c>
      <c r="E105" s="2" t="s">
        <v>2968</v>
      </c>
      <c r="F105" s="2">
        <v>8</v>
      </c>
      <c r="G105" s="2">
        <v>1</v>
      </c>
      <c r="H105" s="2">
        <v>8</v>
      </c>
      <c r="I105" s="2">
        <v>8</v>
      </c>
      <c r="J105" s="2" t="b">
        <v>0</v>
      </c>
      <c r="K105" s="3">
        <f>H105 - I105</f>
        <v>0</v>
      </c>
      <c r="L105" s="3">
        <f>IF(H105 = 0, 0, ROUND(100 * I105 / H105, 2))</f>
        <v>100</v>
      </c>
      <c r="M105" s="3" t="b">
        <f>K105 = 0</f>
        <v>1</v>
      </c>
      <c r="N105" s="3" t="str">
        <f>IF(M105, "", D105)</f>
      </c>
      <c r="O105" s="3" t="str">
        <f>IF(M105, "", E105)</f>
      </c>
      <c r="P105" s="3">
        <f>COUNTIFS(FieldDisagreements!E2:E999, A105)</f>
        <v>0</v>
      </c>
      <c r="Q105" s="3" t="str">
        <f>_xlfn.IFNA(INDEX(ConformanceSubstrates!C2:C999, MATCH(D105,ConformanceSubstrates!A2:A999, 0)), "")</f>
        <v>Excel</v>
      </c>
      <c r="R105" s="3" t="str">
        <f>_xlfn.IFNA(INDEX(RulebookTables!F2:F999, MATCH(E105,RulebookTables!A2:A999, 0)), "")</f>
        <v>specification</v>
      </c>
      <c r="S105" s="2" t="s">
        <v>1898</v>
      </c>
    </row>
    <row r="106">
      <c r="A106" s="2" t="s">
        <v>14113</v>
      </c>
      <c r="B106" s="3" t="str">
        <f>_xlfn.CONCAT(D106, " / ", E106)</f>
        <v>effortless-xlsx / StepTools</v>
      </c>
      <c r="C106" s="2" t="s">
        <v>13999</v>
      </c>
      <c r="D106" s="2" t="s">
        <v>13987</v>
      </c>
      <c r="E106" s="2" t="s">
        <v>2974</v>
      </c>
      <c r="F106" s="2">
        <v>10</v>
      </c>
      <c r="G106" s="2">
        <v>1</v>
      </c>
      <c r="H106" s="2">
        <v>10</v>
      </c>
      <c r="I106" s="2">
        <v>10</v>
      </c>
      <c r="J106" s="2" t="b">
        <v>0</v>
      </c>
      <c r="K106" s="3">
        <f>H106 - I106</f>
        <v>0</v>
      </c>
      <c r="L106" s="3">
        <f>IF(H106 = 0, 0, ROUND(100 * I106 / H106, 2))</f>
        <v>100</v>
      </c>
      <c r="M106" s="3" t="b">
        <f>K106 = 0</f>
        <v>1</v>
      </c>
      <c r="N106" s="3" t="str">
        <f>IF(M106, "", D106)</f>
      </c>
      <c r="O106" s="3" t="str">
        <f>IF(M106, "", E106)</f>
      </c>
      <c r="P106" s="3">
        <f>COUNTIFS(FieldDisagreements!E2:E999, A106)</f>
        <v>0</v>
      </c>
      <c r="Q106" s="3" t="str">
        <f>_xlfn.IFNA(INDEX(ConformanceSubstrates!C2:C999, MATCH(D106,ConformanceSubstrates!A2:A999, 0)), "")</f>
        <v>Excel</v>
      </c>
      <c r="R106" s="3" t="str">
        <f>_xlfn.IFNA(INDEX(RulebookTables!F2:F999, MATCH(E106,RulebookTables!A2:A999, 0)), "")</f>
        <v>specification</v>
      </c>
      <c r="S106" s="2" t="s">
        <v>1898</v>
      </c>
    </row>
    <row r="107">
      <c r="A107" s="2" t="s">
        <v>14114</v>
      </c>
      <c r="B107" s="3" t="str">
        <f>_xlfn.CONCAT(D107, " / ", E107)</f>
        <v>effortless-xlsx / Requirements</v>
      </c>
      <c r="C107" s="2" t="s">
        <v>13999</v>
      </c>
      <c r="D107" s="2" t="s">
        <v>13987</v>
      </c>
      <c r="E107" s="2" t="s">
        <v>1785</v>
      </c>
      <c r="F107" s="2">
        <v>13</v>
      </c>
      <c r="G107" s="2">
        <v>31</v>
      </c>
      <c r="H107" s="2">
        <v>403</v>
      </c>
      <c r="I107" s="2">
        <v>379</v>
      </c>
      <c r="J107" s="2" t="b">
        <v>0</v>
      </c>
      <c r="K107" s="3">
        <f>H107 - I107</f>
        <v>24</v>
      </c>
      <c r="L107" s="3">
        <f>IF(H107 = 0, 0, ROUND(100 * I107 / H107, 2))</f>
        <v>94.04</v>
      </c>
      <c r="M107" s="3" t="b">
        <f>K107 = 0</f>
        <v>0</v>
      </c>
      <c r="N107" s="3" t="str">
        <f>IF(M107, "", D107)</f>
        <v>effortless-xlsx</v>
      </c>
      <c r="O107" s="3" t="str">
        <f>IF(M107, "", E107)</f>
        <v>Requirements</v>
      </c>
      <c r="P107" s="3">
        <f>COUNTIFS(FieldDisagreements!E2:E999, A107)</f>
        <v>5</v>
      </c>
      <c r="Q107" s="3" t="str">
        <f>_xlfn.IFNA(INDEX(ConformanceSubstrates!C2:C999, MATCH(D107,ConformanceSubstrates!A2:A999, 0)), "")</f>
        <v>Excel</v>
      </c>
      <c r="R107" s="3" t="str">
        <f>_xlfn.IFNA(INDEX(RulebookTables!F2:F999, MATCH(E107,RulebookTables!A2:A999, 0)), "")</f>
        <v>governance</v>
      </c>
      <c r="S107" s="2" t="s">
        <v>1898</v>
      </c>
    </row>
    <row r="108">
      <c r="A108" s="2" t="s">
        <v>14115</v>
      </c>
      <c r="B108" s="3" t="str">
        <f>_xlfn.CONCAT(D108, " / ", E108)</f>
        <v>effortless-xlsx / StepRequirements</v>
      </c>
      <c r="C108" s="2" t="s">
        <v>13999</v>
      </c>
      <c r="D108" s="2" t="s">
        <v>13987</v>
      </c>
      <c r="E108" s="2" t="s">
        <v>3053</v>
      </c>
      <c r="F108" s="2">
        <v>15</v>
      </c>
      <c r="G108" s="2">
        <v>10</v>
      </c>
      <c r="H108" s="2">
        <v>150</v>
      </c>
      <c r="I108" s="2">
        <v>150</v>
      </c>
      <c r="J108" s="2" t="b">
        <v>0</v>
      </c>
      <c r="K108" s="3">
        <f>H108 - I108</f>
        <v>0</v>
      </c>
      <c r="L108" s="3">
        <f>IF(H108 = 0, 0, ROUND(100 * I108 / H108, 2))</f>
        <v>100</v>
      </c>
      <c r="M108" s="3" t="b">
        <f>K108 = 0</f>
        <v>1</v>
      </c>
      <c r="N108" s="3" t="str">
        <f>IF(M108, "", D108)</f>
      </c>
      <c r="O108" s="3" t="str">
        <f>IF(M108, "", E108)</f>
      </c>
      <c r="P108" s="3">
        <f>COUNTIFS(FieldDisagreements!E2:E999, A108)</f>
        <v>0</v>
      </c>
      <c r="Q108" s="3" t="str">
        <f>_xlfn.IFNA(INDEX(ConformanceSubstrates!C2:C999, MATCH(D108,ConformanceSubstrates!A2:A999, 0)), "")</f>
        <v>Excel</v>
      </c>
      <c r="R108" s="3" t="str">
        <f>_xlfn.IFNA(INDEX(RulebookTables!F2:F999, MATCH(E108,RulebookTables!A2:A999, 0)), "")</f>
        <v>specification</v>
      </c>
      <c r="S108" s="2" t="s">
        <v>1898</v>
      </c>
    </row>
    <row r="109">
      <c r="A109" s="2" t="s">
        <v>14116</v>
      </c>
      <c r="B109" s="3" t="str">
        <f>_xlfn.CONCAT(D109, " / ", E109)</f>
        <v>effortless-xlsx / StepVerifications</v>
      </c>
      <c r="C109" s="2" t="s">
        <v>13999</v>
      </c>
      <c r="D109" s="2" t="s">
        <v>13987</v>
      </c>
      <c r="E109" s="2" t="s">
        <v>1788</v>
      </c>
      <c r="F109" s="2">
        <v>11</v>
      </c>
      <c r="G109" s="2">
        <v>1</v>
      </c>
      <c r="H109" s="2">
        <v>11</v>
      </c>
      <c r="I109" s="2">
        <v>11</v>
      </c>
      <c r="J109" s="2" t="b">
        <v>0</v>
      </c>
      <c r="K109" s="3">
        <f>H109 - I109</f>
        <v>0</v>
      </c>
      <c r="L109" s="3">
        <f>IF(H109 = 0, 0, ROUND(100 * I109 / H109, 2))</f>
        <v>100</v>
      </c>
      <c r="M109" s="3" t="b">
        <f>K109 = 0</f>
        <v>1</v>
      </c>
      <c r="N109" s="3" t="str">
        <f>IF(M109, "", D109)</f>
      </c>
      <c r="O109" s="3" t="str">
        <f>IF(M109, "", E109)</f>
      </c>
      <c r="P109" s="3">
        <f>COUNTIFS(FieldDisagreements!E2:E999, A109)</f>
        <v>0</v>
      </c>
      <c r="Q109" s="3" t="str">
        <f>_xlfn.IFNA(INDEX(ConformanceSubstrates!C2:C999, MATCH(D109,ConformanceSubstrates!A2:A999, 0)), "")</f>
        <v>Excel</v>
      </c>
      <c r="R109" s="3" t="str">
        <f>_xlfn.IFNA(INDEX(RulebookTables!F2:F999, MATCH(E109,RulebookTables!A2:A999, 0)), "")</f>
        <v>specification</v>
      </c>
      <c r="S109" s="2" t="s">
        <v>1898</v>
      </c>
    </row>
    <row r="110">
      <c r="A110" s="2" t="s">
        <v>14117</v>
      </c>
      <c r="B110" s="3" t="str">
        <f>_xlfn.CONCAT(D110, " / ", E110)</f>
        <v>effortless-xlsx / Rationales</v>
      </c>
      <c r="C110" s="2" t="s">
        <v>13999</v>
      </c>
      <c r="D110" s="2" t="s">
        <v>13987</v>
      </c>
      <c r="E110" s="2" t="s">
        <v>3085</v>
      </c>
      <c r="F110" s="2">
        <v>4</v>
      </c>
      <c r="G110" s="2">
        <v>1</v>
      </c>
      <c r="H110" s="2">
        <v>4</v>
      </c>
      <c r="I110" s="2">
        <v>4</v>
      </c>
      <c r="J110" s="2" t="b">
        <v>0</v>
      </c>
      <c r="K110" s="3">
        <f>H110 - I110</f>
        <v>0</v>
      </c>
      <c r="L110" s="3">
        <f>IF(H110 = 0, 0, ROUND(100 * I110 / H110, 2))</f>
        <v>100</v>
      </c>
      <c r="M110" s="3" t="b">
        <f>K110 = 0</f>
        <v>1</v>
      </c>
      <c r="N110" s="3" t="str">
        <f>IF(M110, "", D110)</f>
      </c>
      <c r="O110" s="3" t="str">
        <f>IF(M110, "", E110)</f>
      </c>
      <c r="P110" s="3">
        <f>COUNTIFS(FieldDisagreements!E2:E999, A110)</f>
        <v>0</v>
      </c>
      <c r="Q110" s="3" t="str">
        <f>_xlfn.IFNA(INDEX(ConformanceSubstrates!C2:C999, MATCH(D110,ConformanceSubstrates!A2:A999, 0)), "")</f>
        <v>Excel</v>
      </c>
      <c r="R110" s="3" t="str">
        <f>_xlfn.IFNA(INDEX(RulebookTables!F2:F999, MATCH(E110,RulebookTables!A2:A999, 0)), "")</f>
        <v>governance</v>
      </c>
      <c r="S110" s="2" t="s">
        <v>1898</v>
      </c>
    </row>
    <row r="111">
      <c r="A111" s="2" t="s">
        <v>14118</v>
      </c>
      <c r="B111" s="3" t="str">
        <f>_xlfn.CONCAT(D111, " / ", E111)</f>
        <v>effortless-xlsx / Exceptions</v>
      </c>
      <c r="C111" s="2" t="s">
        <v>13999</v>
      </c>
      <c r="D111" s="2" t="s">
        <v>13987</v>
      </c>
      <c r="E111" s="2" t="s">
        <v>3095</v>
      </c>
      <c r="F111" s="2">
        <v>4</v>
      </c>
      <c r="G111" s="2">
        <v>2</v>
      </c>
      <c r="H111" s="2">
        <v>8</v>
      </c>
      <c r="I111" s="2">
        <v>8</v>
      </c>
      <c r="J111" s="2" t="b">
        <v>0</v>
      </c>
      <c r="K111" s="3">
        <f>H111 - I111</f>
        <v>0</v>
      </c>
      <c r="L111" s="3">
        <f>IF(H111 = 0, 0, ROUND(100 * I111 / H111, 2))</f>
        <v>100</v>
      </c>
      <c r="M111" s="3" t="b">
        <f>K111 = 0</f>
        <v>1</v>
      </c>
      <c r="N111" s="3" t="str">
        <f>IF(M111, "", D111)</f>
      </c>
      <c r="O111" s="3" t="str">
        <f>IF(M111, "", E111)</f>
      </c>
      <c r="P111" s="3">
        <f>COUNTIFS(FieldDisagreements!E2:E999, A111)</f>
        <v>0</v>
      </c>
      <c r="Q111" s="3" t="str">
        <f>_xlfn.IFNA(INDEX(ConformanceSubstrates!C2:C999, MATCH(D111,ConformanceSubstrates!A2:A999, 0)), "")</f>
        <v>Excel</v>
      </c>
      <c r="R111" s="3" t="str">
        <f>_xlfn.IFNA(INDEX(RulebookTables!F2:F999, MATCH(E111,RulebookTables!A2:A999, 0)), "")</f>
        <v>governance</v>
      </c>
      <c r="S111" s="2" t="s">
        <v>1898</v>
      </c>
    </row>
    <row r="112">
      <c r="A112" s="2" t="s">
        <v>14119</v>
      </c>
      <c r="B112" s="3" t="str">
        <f>_xlfn.CONCAT(D112, " / ", E112)</f>
        <v>effortless-xlsx / Resources</v>
      </c>
      <c r="C112" s="2" t="s">
        <v>13999</v>
      </c>
      <c r="D112" s="2" t="s">
        <v>13987</v>
      </c>
      <c r="E112" s="2" t="s">
        <v>1791</v>
      </c>
      <c r="F112" s="2">
        <v>8</v>
      </c>
      <c r="G112" s="2">
        <v>2</v>
      </c>
      <c r="H112" s="2">
        <v>16</v>
      </c>
      <c r="I112" s="2">
        <v>16</v>
      </c>
      <c r="J112" s="2" t="b">
        <v>0</v>
      </c>
      <c r="K112" s="3">
        <f>H112 - I112</f>
        <v>0</v>
      </c>
      <c r="L112" s="3">
        <f>IF(H112 = 0, 0, ROUND(100 * I112 / H112, 2))</f>
        <v>100</v>
      </c>
      <c r="M112" s="3" t="b">
        <f>K112 = 0</f>
        <v>1</v>
      </c>
      <c r="N112" s="3" t="str">
        <f>IF(M112, "", D112)</f>
      </c>
      <c r="O112" s="3" t="str">
        <f>IF(M112, "", E112)</f>
      </c>
      <c r="P112" s="3">
        <f>COUNTIFS(FieldDisagreements!E2:E999, A112)</f>
        <v>0</v>
      </c>
      <c r="Q112" s="3" t="str">
        <f>_xlfn.IFNA(INDEX(ConformanceSubstrates!C2:C999, MATCH(D112,ConformanceSubstrates!A2:A999, 0)), "")</f>
        <v>Excel</v>
      </c>
      <c r="R112" s="3" t="str">
        <f>_xlfn.IFNA(INDEX(RulebookTables!F2:F999, MATCH(E112,RulebookTables!A2:A999, 0)), "")</f>
        <v>domain</v>
      </c>
      <c r="S112" s="2" t="s">
        <v>1898</v>
      </c>
    </row>
    <row r="113">
      <c r="A113" s="2" t="s">
        <v>14120</v>
      </c>
      <c r="B113" s="3" t="str">
        <f>_xlfn.CONCAT(D113, " / ", E113)</f>
        <v>effortless-xlsx / ProcedureResources</v>
      </c>
      <c r="C113" s="2" t="s">
        <v>13999</v>
      </c>
      <c r="D113" s="2" t="s">
        <v>13987</v>
      </c>
      <c r="E113" s="2" t="s">
        <v>3121</v>
      </c>
      <c r="F113" s="2">
        <v>8</v>
      </c>
      <c r="G113" s="2">
        <v>2</v>
      </c>
      <c r="H113" s="2">
        <v>16</v>
      </c>
      <c r="I113" s="2">
        <v>16</v>
      </c>
      <c r="J113" s="2" t="b">
        <v>0</v>
      </c>
      <c r="K113" s="3">
        <f>H113 - I113</f>
        <v>0</v>
      </c>
      <c r="L113" s="3">
        <f>IF(H113 = 0, 0, ROUND(100 * I113 / H113, 2))</f>
        <v>100</v>
      </c>
      <c r="M113" s="3" t="b">
        <f>K113 = 0</f>
        <v>1</v>
      </c>
      <c r="N113" s="3" t="str">
        <f>IF(M113, "", D113)</f>
      </c>
      <c r="O113" s="3" t="str">
        <f>IF(M113, "", E113)</f>
      </c>
      <c r="P113" s="3">
        <f>COUNTIFS(FieldDisagreements!E2:E999, A113)</f>
        <v>0</v>
      </c>
      <c r="Q113" s="3" t="str">
        <f>_xlfn.IFNA(INDEX(ConformanceSubstrates!C2:C999, MATCH(D113,ConformanceSubstrates!A2:A999, 0)), "")</f>
        <v>Excel</v>
      </c>
      <c r="R113" s="3" t="str">
        <f>_xlfn.IFNA(INDEX(RulebookTables!F2:F999, MATCH(E113,RulebookTables!A2:A999, 0)), "")</f>
        <v>specification</v>
      </c>
      <c r="S113" s="2" t="s">
        <v>1898</v>
      </c>
    </row>
    <row r="114">
      <c r="A114" s="2" t="s">
        <v>14121</v>
      </c>
      <c r="B114" s="3" t="str">
        <f>_xlfn.CONCAT(D114, " / ", E114)</f>
        <v>effortless-xlsx / ElicitationSessions</v>
      </c>
      <c r="C114" s="2" t="s">
        <v>13999</v>
      </c>
      <c r="D114" s="2" t="s">
        <v>13987</v>
      </c>
      <c r="E114" s="2" t="s">
        <v>1835</v>
      </c>
      <c r="F114" s="2">
        <v>3</v>
      </c>
      <c r="G114" s="2">
        <v>10</v>
      </c>
      <c r="H114" s="2">
        <v>30</v>
      </c>
      <c r="I114" s="2">
        <v>22</v>
      </c>
      <c r="J114" s="2" t="b">
        <v>0</v>
      </c>
      <c r="K114" s="3">
        <f>H114 - I114</f>
        <v>8</v>
      </c>
      <c r="L114" s="3">
        <f>IF(H114 = 0, 0, ROUND(100 * I114 / H114, 2))</f>
        <v>73.33</v>
      </c>
      <c r="M114" s="3" t="b">
        <f>K114 = 0</f>
        <v>0</v>
      </c>
      <c r="N114" s="3" t="str">
        <f>IF(M114, "", D114)</f>
        <v>effortless-xlsx</v>
      </c>
      <c r="O114" s="3" t="str">
        <f>IF(M114, "", E114)</f>
        <v>ElicitationSessions</v>
      </c>
      <c r="P114" s="3">
        <f>COUNTIFS(FieldDisagreements!E2:E999, A114)</f>
        <v>3</v>
      </c>
      <c r="Q114" s="3" t="str">
        <f>_xlfn.IFNA(INDEX(ConformanceSubstrates!C2:C999, MATCH(D114,ConformanceSubstrates!A2:A999, 0)), "")</f>
        <v>Excel</v>
      </c>
      <c r="R114" s="3" t="str">
        <f>_xlfn.IFNA(INDEX(RulebookTables!F2:F999, MATCH(E114,RulebookTables!A2:A999, 0)), "")</f>
        <v>knowledge</v>
      </c>
      <c r="S114" s="2" t="s">
        <v>1898</v>
      </c>
    </row>
    <row r="115">
      <c r="A115" s="2" t="s">
        <v>14122</v>
      </c>
      <c r="B115" s="3" t="str">
        <f>_xlfn.CONCAT(D115, " / ", E115)</f>
        <v>effortless-xlsx / KnowledgeFragments</v>
      </c>
      <c r="C115" s="2" t="s">
        <v>13999</v>
      </c>
      <c r="D115" s="2" t="s">
        <v>13987</v>
      </c>
      <c r="E115" s="2" t="s">
        <v>1831</v>
      </c>
      <c r="F115" s="2">
        <v>7</v>
      </c>
      <c r="G115" s="2">
        <v>65</v>
      </c>
      <c r="H115" s="2">
        <v>455</v>
      </c>
      <c r="I115" s="2">
        <v>426</v>
      </c>
      <c r="J115" s="2" t="b">
        <v>0</v>
      </c>
      <c r="K115" s="3">
        <f>H115 - I115</f>
        <v>29</v>
      </c>
      <c r="L115" s="3">
        <f>IF(H115 = 0, 0, ROUND(100 * I115 / H115, 2))</f>
        <v>93.63</v>
      </c>
      <c r="M115" s="3" t="b">
        <f>K115 = 0</f>
        <v>0</v>
      </c>
      <c r="N115" s="3" t="str">
        <f>IF(M115, "", D115)</f>
        <v>effortless-xlsx</v>
      </c>
      <c r="O115" s="3" t="str">
        <f>IF(M115, "", E115)</f>
        <v>KnowledgeFragments</v>
      </c>
      <c r="P115" s="3">
        <f>COUNTIFS(FieldDisagreements!E2:E999, A115)</f>
        <v>11</v>
      </c>
      <c r="Q115" s="3" t="str">
        <f>_xlfn.IFNA(INDEX(ConformanceSubstrates!C2:C999, MATCH(D115,ConformanceSubstrates!A2:A999, 0)), "")</f>
        <v>Excel</v>
      </c>
      <c r="R115" s="3" t="str">
        <f>_xlfn.IFNA(INDEX(RulebookTables!F2:F999, MATCH(E115,RulebookTables!A2:A999, 0)), "")</f>
        <v>knowledge</v>
      </c>
      <c r="S115" s="2" t="s">
        <v>1898</v>
      </c>
    </row>
    <row r="116">
      <c r="A116" s="2" t="s">
        <v>14123</v>
      </c>
      <c r="B116" s="3" t="str">
        <f>_xlfn.CONCAT(D116, " / ", E116)</f>
        <v>effortless-xlsx / KnowledgeGaps</v>
      </c>
      <c r="C116" s="2" t="s">
        <v>13999</v>
      </c>
      <c r="D116" s="2" t="s">
        <v>13987</v>
      </c>
      <c r="E116" s="2" t="s">
        <v>3302</v>
      </c>
      <c r="F116" s="2">
        <v>8</v>
      </c>
      <c r="G116" s="2">
        <v>16</v>
      </c>
      <c r="H116" s="2">
        <v>128</v>
      </c>
      <c r="I116" s="2">
        <v>119</v>
      </c>
      <c r="J116" s="2" t="b">
        <v>0</v>
      </c>
      <c r="K116" s="3">
        <f>H116 - I116</f>
        <v>9</v>
      </c>
      <c r="L116" s="3">
        <f>IF(H116 = 0, 0, ROUND(100 * I116 / H116, 2))</f>
        <v>92.97</v>
      </c>
      <c r="M116" s="3" t="b">
        <f>K116 = 0</f>
        <v>0</v>
      </c>
      <c r="N116" s="3" t="str">
        <f>IF(M116, "", D116)</f>
        <v>effortless-xlsx</v>
      </c>
      <c r="O116" s="3" t="str">
        <f>IF(M116, "", E116)</f>
        <v>KnowledgeGaps</v>
      </c>
      <c r="P116" s="3">
        <f>COUNTIFS(FieldDisagreements!E2:E999, A116)</f>
        <v>2</v>
      </c>
      <c r="Q116" s="3" t="str">
        <f>_xlfn.IFNA(INDEX(ConformanceSubstrates!C2:C999, MATCH(D116,ConformanceSubstrates!A2:A999, 0)), "")</f>
        <v>Excel</v>
      </c>
      <c r="R116" s="3" t="str">
        <f>_xlfn.IFNA(INDEX(RulebookTables!F2:F999, MATCH(E116,RulebookTables!A2:A999, 0)), "")</f>
        <v>knowledge</v>
      </c>
      <c r="S116" s="2" t="s">
        <v>1898</v>
      </c>
    </row>
    <row r="117">
      <c r="A117" s="2" t="s">
        <v>14124</v>
      </c>
      <c r="B117" s="3" t="str">
        <f>_xlfn.CONCAT(D117, " / ", E117)</f>
        <v>effortless-xlsx / FAQs</v>
      </c>
      <c r="C117" s="2" t="s">
        <v>13999</v>
      </c>
      <c r="D117" s="2" t="s">
        <v>13987</v>
      </c>
      <c r="E117" s="2" t="s">
        <v>1825</v>
      </c>
      <c r="F117" s="2">
        <v>3</v>
      </c>
      <c r="G117" s="2">
        <v>1</v>
      </c>
      <c r="H117" s="2">
        <v>3</v>
      </c>
      <c r="I117" s="2">
        <v>0</v>
      </c>
      <c r="J117" s="2" t="b">
        <v>1</v>
      </c>
      <c r="K117" s="3">
        <f>H117 - I117</f>
        <v>3</v>
      </c>
      <c r="L117" s="3">
        <f>IF(H117 = 0, 0, ROUND(100 * I117 / H117, 2))</f>
        <v>0</v>
      </c>
      <c r="M117" s="3" t="b">
        <f>K117 = 0</f>
        <v>0</v>
      </c>
      <c r="N117" s="3" t="str">
        <f>IF(M117, "", D117)</f>
        <v>effortless-xlsx</v>
      </c>
      <c r="O117" s="3" t="str">
        <f>IF(M117, "", E117)</f>
        <v>FAQs</v>
      </c>
      <c r="P117" s="3">
        <f>COUNTIFS(FieldDisagreements!E2:E999, A117)</f>
        <v>1</v>
      </c>
      <c r="Q117" s="3" t="str">
        <f>_xlfn.IFNA(INDEX(ConformanceSubstrates!C2:C999, MATCH(D117,ConformanceSubstrates!A2:A999, 0)), "")</f>
        <v>Excel</v>
      </c>
      <c r="R117" s="3" t="str">
        <f>_xlfn.IFNA(INDEX(RulebookTables!F2:F999, MATCH(E117,RulebookTables!A2:A999, 0)), "")</f>
        <v>knowledge</v>
      </c>
      <c r="S117" s="2" t="s">
        <v>1898</v>
      </c>
    </row>
    <row r="118">
      <c r="A118" s="2" t="s">
        <v>14125</v>
      </c>
      <c r="B118" s="3" t="str">
        <f>_xlfn.CONCAT(D118, " / ", E118)</f>
        <v>effortless-xlsx / Explanations</v>
      </c>
      <c r="C118" s="2" t="s">
        <v>13999</v>
      </c>
      <c r="D118" s="2" t="s">
        <v>13987</v>
      </c>
      <c r="E118" s="2" t="s">
        <v>1828</v>
      </c>
      <c r="F118" s="2">
        <v>2</v>
      </c>
      <c r="G118" s="2">
        <v>1</v>
      </c>
      <c r="H118" s="2">
        <v>2</v>
      </c>
      <c r="I118" s="2">
        <v>2</v>
      </c>
      <c r="J118" s="2" t="b">
        <v>0</v>
      </c>
      <c r="K118" s="3">
        <f>H118 - I118</f>
        <v>0</v>
      </c>
      <c r="L118" s="3">
        <f>IF(H118 = 0, 0, ROUND(100 * I118 / H118, 2))</f>
        <v>100</v>
      </c>
      <c r="M118" s="3" t="b">
        <f>K118 = 0</f>
        <v>1</v>
      </c>
      <c r="N118" s="3" t="str">
        <f>IF(M118, "", D118)</f>
      </c>
      <c r="O118" s="3" t="str">
        <f>IF(M118, "", E118)</f>
      </c>
      <c r="P118" s="3">
        <f>COUNTIFS(FieldDisagreements!E2:E999, A118)</f>
        <v>0</v>
      </c>
      <c r="Q118" s="3" t="str">
        <f>_xlfn.IFNA(INDEX(ConformanceSubstrates!C2:C999, MATCH(D118,ConformanceSubstrates!A2:A999, 0)), "")</f>
        <v>Excel</v>
      </c>
      <c r="R118" s="3" t="str">
        <f>_xlfn.IFNA(INDEX(RulebookTables!F2:F999, MATCH(E118,RulebookTables!A2:A999, 0)), "")</f>
        <v>knowledge</v>
      </c>
      <c r="S118" s="2" t="s">
        <v>1898</v>
      </c>
    </row>
    <row r="119">
      <c r="A119" s="2" t="s">
        <v>14126</v>
      </c>
      <c r="B119" s="3" t="str">
        <f>_xlfn.CONCAT(D119, " / ", E119)</f>
        <v>effortless-xlsx / ProcedureExecutions</v>
      </c>
      <c r="C119" s="2" t="s">
        <v>13999</v>
      </c>
      <c r="D119" s="2" t="s">
        <v>13987</v>
      </c>
      <c r="E119" s="2" t="s">
        <v>1804</v>
      </c>
      <c r="F119" s="2">
        <v>2</v>
      </c>
      <c r="G119" s="2">
        <v>69</v>
      </c>
      <c r="H119" s="2">
        <v>138</v>
      </c>
      <c r="I119" s="2">
        <v>125</v>
      </c>
      <c r="J119" s="2" t="b">
        <v>0</v>
      </c>
      <c r="K119" s="3">
        <f>H119 - I119</f>
        <v>13</v>
      </c>
      <c r="L119" s="3">
        <f>IF(H119 = 0, 0, ROUND(100 * I119 / H119, 2))</f>
        <v>90.58</v>
      </c>
      <c r="M119" s="3" t="b">
        <f>K119 = 0</f>
        <v>0</v>
      </c>
      <c r="N119" s="3" t="str">
        <f>IF(M119, "", D119)</f>
        <v>effortless-xlsx</v>
      </c>
      <c r="O119" s="3" t="str">
        <f>IF(M119, "", E119)</f>
        <v>ProcedureExecutions</v>
      </c>
      <c r="P119" s="3">
        <f>COUNTIFS(FieldDisagreements!E2:E999, A119)</f>
        <v>8</v>
      </c>
      <c r="Q119" s="3" t="str">
        <f>_xlfn.IFNA(INDEX(ConformanceSubstrates!C2:C999, MATCH(D119,ConformanceSubstrates!A2:A999, 0)), "")</f>
        <v>Excel</v>
      </c>
      <c r="R119" s="3" t="str">
        <f>_xlfn.IFNA(INDEX(RulebookTables!F2:F999, MATCH(E119,RulebookTables!A2:A999, 0)), "")</f>
        <v>specification</v>
      </c>
      <c r="S119" s="2" t="s">
        <v>1898</v>
      </c>
    </row>
    <row r="120">
      <c r="A120" s="2" t="s">
        <v>14127</v>
      </c>
      <c r="B120" s="3" t="str">
        <f>_xlfn.CONCAT(D120, " / ", E120)</f>
        <v>effortless-xlsx / StepExecutions</v>
      </c>
      <c r="C120" s="2" t="s">
        <v>13999</v>
      </c>
      <c r="D120" s="2" t="s">
        <v>13987</v>
      </c>
      <c r="E120" s="2" t="s">
        <v>1807</v>
      </c>
      <c r="F120" s="2">
        <v>12</v>
      </c>
      <c r="G120" s="2">
        <v>99</v>
      </c>
      <c r="H120" s="2">
        <v>1188</v>
      </c>
      <c r="I120" s="2">
        <v>1030</v>
      </c>
      <c r="J120" s="2" t="b">
        <v>0</v>
      </c>
      <c r="K120" s="3">
        <f>H120 - I120</f>
        <v>158</v>
      </c>
      <c r="L120" s="3">
        <f>IF(H120 = 0, 0, ROUND(100 * I120 / H120, 2))</f>
        <v>86.7</v>
      </c>
      <c r="M120" s="3" t="b">
        <f>K120 = 0</f>
        <v>0</v>
      </c>
      <c r="N120" s="3" t="str">
        <f>IF(M120, "", D120)</f>
        <v>effortless-xlsx</v>
      </c>
      <c r="O120" s="3" t="str">
        <f>IF(M120, "", E120)</f>
        <v>StepExecutions</v>
      </c>
      <c r="P120" s="3">
        <f>COUNTIFS(FieldDisagreements!E2:E999, A120)</f>
        <v>19</v>
      </c>
      <c r="Q120" s="3" t="str">
        <f>_xlfn.IFNA(INDEX(ConformanceSubstrates!C2:C999, MATCH(D120,ConformanceSubstrates!A2:A999, 0)), "")</f>
        <v>Excel</v>
      </c>
      <c r="R120" s="3" t="str">
        <f>_xlfn.IFNA(INDEX(RulebookTables!F2:F999, MATCH(E120,RulebookTables!A2:A999, 0)), "")</f>
        <v>specification</v>
      </c>
      <c r="S120" s="2" t="s">
        <v>1898</v>
      </c>
    </row>
    <row r="121">
      <c r="A121" s="2" t="s">
        <v>14128</v>
      </c>
      <c r="B121" s="3" t="str">
        <f>_xlfn.CONCAT(D121, " / ", E121)</f>
        <v>effortless-xlsx / RequirementSatisfactions</v>
      </c>
      <c r="C121" s="2" t="s">
        <v>13999</v>
      </c>
      <c r="D121" s="2" t="s">
        <v>13987</v>
      </c>
      <c r="E121" s="2" t="s">
        <v>1810</v>
      </c>
      <c r="F121" s="2">
        <v>8</v>
      </c>
      <c r="G121" s="2">
        <v>38</v>
      </c>
      <c r="H121" s="2">
        <v>304</v>
      </c>
      <c r="I121" s="2">
        <v>280</v>
      </c>
      <c r="J121" s="2" t="b">
        <v>0</v>
      </c>
      <c r="K121" s="3">
        <f>H121 - I121</f>
        <v>24</v>
      </c>
      <c r="L121" s="3">
        <f>IF(H121 = 0, 0, ROUND(100 * I121 / H121, 2))</f>
        <v>92.11</v>
      </c>
      <c r="M121" s="3" t="b">
        <f>K121 = 0</f>
        <v>0</v>
      </c>
      <c r="N121" s="3" t="str">
        <f>IF(M121, "", D121)</f>
        <v>effortless-xlsx</v>
      </c>
      <c r="O121" s="3" t="str">
        <f>IF(M121, "", E121)</f>
        <v>RequirementSatisfactions</v>
      </c>
      <c r="P121" s="3">
        <f>COUNTIFS(FieldDisagreements!E2:E999, A121)</f>
        <v>3</v>
      </c>
      <c r="Q121" s="3" t="str">
        <f>_xlfn.IFNA(INDEX(ConformanceSubstrates!C2:C999, MATCH(D121,ConformanceSubstrates!A2:A999, 0)), "")</f>
        <v>Excel</v>
      </c>
      <c r="R121" s="3" t="str">
        <f>_xlfn.IFNA(INDEX(RulebookTables!F2:F999, MATCH(E121,RulebookTables!A2:A999, 0)), "")</f>
        <v>execution</v>
      </c>
      <c r="S121" s="2" t="s">
        <v>1898</v>
      </c>
    </row>
    <row r="122">
      <c r="A122" s="2" t="s">
        <v>14129</v>
      </c>
      <c r="B122" s="3" t="str">
        <f>_xlfn.CONCAT(D122, " / ", E122)</f>
        <v>effortless-xlsx / Errors</v>
      </c>
      <c r="C122" s="2" t="s">
        <v>13999</v>
      </c>
      <c r="D122" s="2" t="s">
        <v>13987</v>
      </c>
      <c r="E122" s="2" t="s">
        <v>1813</v>
      </c>
      <c r="F122" s="2">
        <v>2</v>
      </c>
      <c r="G122" s="2">
        <v>1</v>
      </c>
      <c r="H122" s="2">
        <v>2</v>
      </c>
      <c r="I122" s="2">
        <v>2</v>
      </c>
      <c r="J122" s="2" t="b">
        <v>0</v>
      </c>
      <c r="K122" s="3">
        <f>H122 - I122</f>
        <v>0</v>
      </c>
      <c r="L122" s="3">
        <f>IF(H122 = 0, 0, ROUND(100 * I122 / H122, 2))</f>
        <v>100</v>
      </c>
      <c r="M122" s="3" t="b">
        <f>K122 = 0</f>
        <v>1</v>
      </c>
      <c r="N122" s="3" t="str">
        <f>IF(M122, "", D122)</f>
      </c>
      <c r="O122" s="3" t="str">
        <f>IF(M122, "", E122)</f>
      </c>
      <c r="P122" s="3">
        <f>COUNTIFS(FieldDisagreements!E2:E999, A122)</f>
        <v>0</v>
      </c>
      <c r="Q122" s="3" t="str">
        <f>_xlfn.IFNA(INDEX(ConformanceSubstrates!C2:C999, MATCH(D122,ConformanceSubstrates!A2:A999, 0)), "")</f>
        <v>Excel</v>
      </c>
      <c r="R122" s="3" t="str">
        <f>_xlfn.IFNA(INDEX(RulebookTables!F2:F999, MATCH(E122,RulebookTables!A2:A999, 0)), "")</f>
        <v>execution</v>
      </c>
      <c r="S122" s="2" t="s">
        <v>1898</v>
      </c>
    </row>
    <row r="123">
      <c r="A123" s="2" t="s">
        <v>14130</v>
      </c>
      <c r="B123" s="3" t="str">
        <f>_xlfn.CONCAT(D123, " / ", E123)</f>
        <v>effortless-xlsx / IssueOccurrences</v>
      </c>
      <c r="C123" s="2" t="s">
        <v>13999</v>
      </c>
      <c r="D123" s="2" t="s">
        <v>13987</v>
      </c>
      <c r="E123" s="2" t="s">
        <v>1816</v>
      </c>
      <c r="F123" s="2">
        <v>2</v>
      </c>
      <c r="G123" s="2">
        <v>3</v>
      </c>
      <c r="H123" s="2">
        <v>6</v>
      </c>
      <c r="I123" s="2">
        <v>4</v>
      </c>
      <c r="J123" s="2" t="b">
        <v>0</v>
      </c>
      <c r="K123" s="3">
        <f>H123 - I123</f>
        <v>2</v>
      </c>
      <c r="L123" s="3">
        <f>IF(H123 = 0, 0, ROUND(100 * I123 / H123, 2))</f>
        <v>66.67</v>
      </c>
      <c r="M123" s="3" t="b">
        <f>K123 = 0</f>
        <v>0</v>
      </c>
      <c r="N123" s="3" t="str">
        <f>IF(M123, "", D123)</f>
        <v>effortless-xlsx</v>
      </c>
      <c r="O123" s="3" t="str">
        <f>IF(M123, "", E123)</f>
        <v>IssueOccurrences</v>
      </c>
      <c r="P123" s="3">
        <f>COUNTIFS(FieldDisagreements!E2:E999, A123)</f>
        <v>1</v>
      </c>
      <c r="Q123" s="3" t="str">
        <f>_xlfn.IFNA(INDEX(ConformanceSubstrates!C2:C999, MATCH(D123,ConformanceSubstrates!A2:A999, 0)), "")</f>
        <v>Excel</v>
      </c>
      <c r="R123" s="3" t="str">
        <f>_xlfn.IFNA(INDEX(RulebookTables!F2:F999, MATCH(E123,RulebookTables!A2:A999, 0)), "")</f>
        <v>execution</v>
      </c>
      <c r="S123" s="2" t="s">
        <v>1898</v>
      </c>
    </row>
    <row r="124">
      <c r="A124" s="2" t="s">
        <v>14131</v>
      </c>
      <c r="B124" s="3" t="str">
        <f>_xlfn.CONCAT(D124, " / ", E124)</f>
        <v>effortless-xlsx / UserQuestions</v>
      </c>
      <c r="C124" s="2" t="s">
        <v>13999</v>
      </c>
      <c r="D124" s="2" t="s">
        <v>13987</v>
      </c>
      <c r="E124" s="2" t="s">
        <v>1819</v>
      </c>
      <c r="F124" s="2">
        <v>2</v>
      </c>
      <c r="G124" s="2">
        <v>1</v>
      </c>
      <c r="H124" s="2">
        <v>2</v>
      </c>
      <c r="I124" s="2">
        <v>2</v>
      </c>
      <c r="J124" s="2" t="b">
        <v>0</v>
      </c>
      <c r="K124" s="3">
        <f>H124 - I124</f>
        <v>0</v>
      </c>
      <c r="L124" s="3">
        <f>IF(H124 = 0, 0, ROUND(100 * I124 / H124, 2))</f>
        <v>100</v>
      </c>
      <c r="M124" s="3" t="b">
        <f>K124 = 0</f>
        <v>1</v>
      </c>
      <c r="N124" s="3" t="str">
        <f>IF(M124, "", D124)</f>
      </c>
      <c r="O124" s="3" t="str">
        <f>IF(M124, "", E124)</f>
      </c>
      <c r="P124" s="3">
        <f>COUNTIFS(FieldDisagreements!E2:E999, A124)</f>
        <v>0</v>
      </c>
      <c r="Q124" s="3" t="str">
        <f>_xlfn.IFNA(INDEX(ConformanceSubstrates!C2:C999, MATCH(D124,ConformanceSubstrates!A2:A999, 0)), "")</f>
        <v>Excel</v>
      </c>
      <c r="R124" s="3" t="str">
        <f>_xlfn.IFNA(INDEX(RulebookTables!F2:F999, MATCH(E124,RulebookTables!A2:A999, 0)), "")</f>
        <v>domain</v>
      </c>
      <c r="S124" s="2" t="s">
        <v>1898</v>
      </c>
    </row>
    <row r="125">
      <c r="A125" s="2" t="s">
        <v>14132</v>
      </c>
      <c r="B125" s="3" t="str">
        <f>_xlfn.CONCAT(D125, " / ", E125)</f>
        <v>effortless-xlsx / UserFeedback</v>
      </c>
      <c r="C125" s="2" t="s">
        <v>13999</v>
      </c>
      <c r="D125" s="2" t="s">
        <v>13987</v>
      </c>
      <c r="E125" s="2" t="s">
        <v>1822</v>
      </c>
      <c r="F125" s="2">
        <v>2</v>
      </c>
      <c r="G125" s="2">
        <v>1</v>
      </c>
      <c r="H125" s="2">
        <v>2</v>
      </c>
      <c r="I125" s="2">
        <v>2</v>
      </c>
      <c r="J125" s="2" t="b">
        <v>0</v>
      </c>
      <c r="K125" s="3">
        <f>H125 - I125</f>
        <v>0</v>
      </c>
      <c r="L125" s="3">
        <f>IF(H125 = 0, 0, ROUND(100 * I125 / H125, 2))</f>
        <v>100</v>
      </c>
      <c r="M125" s="3" t="b">
        <f>K125 = 0</f>
        <v>1</v>
      </c>
      <c r="N125" s="3" t="str">
        <f>IF(M125, "", D125)</f>
      </c>
      <c r="O125" s="3" t="str">
        <f>IF(M125, "", E125)</f>
      </c>
      <c r="P125" s="3">
        <f>COUNTIFS(FieldDisagreements!E2:E999, A125)</f>
        <v>0</v>
      </c>
      <c r="Q125" s="3" t="str">
        <f>_xlfn.IFNA(INDEX(ConformanceSubstrates!C2:C999, MATCH(D125,ConformanceSubstrates!A2:A999, 0)), "")</f>
        <v>Excel</v>
      </c>
      <c r="R125" s="3" t="str">
        <f>_xlfn.IFNA(INDEX(RulebookTables!F2:F999, MATCH(E125,RulebookTables!A2:A999, 0)), "")</f>
        <v>domain</v>
      </c>
      <c r="S125" s="2" t="s">
        <v>1898</v>
      </c>
    </row>
    <row r="126">
      <c r="A126" s="2" t="s">
        <v>14133</v>
      </c>
      <c r="B126" s="3" t="str">
        <f>_xlfn.CONCAT(D126, " / ", E126)</f>
        <v>effortless-xlsx / StewardshipAssignments</v>
      </c>
      <c r="C126" s="2" t="s">
        <v>13999</v>
      </c>
      <c r="D126" s="2" t="s">
        <v>13987</v>
      </c>
      <c r="E126" s="2" t="s">
        <v>1839</v>
      </c>
      <c r="F126" s="2">
        <v>2</v>
      </c>
      <c r="G126" s="2">
        <v>5</v>
      </c>
      <c r="H126" s="2">
        <v>10</v>
      </c>
      <c r="I126" s="2">
        <v>8</v>
      </c>
      <c r="J126" s="2" t="b">
        <v>0</v>
      </c>
      <c r="K126" s="3">
        <f>H126 - I126</f>
        <v>2</v>
      </c>
      <c r="L126" s="3">
        <f>IF(H126 = 0, 0, ROUND(100 * I126 / H126, 2))</f>
        <v>80</v>
      </c>
      <c r="M126" s="3" t="b">
        <f>K126 = 0</f>
        <v>0</v>
      </c>
      <c r="N126" s="3" t="str">
        <f>IF(M126, "", D126)</f>
        <v>effortless-xlsx</v>
      </c>
      <c r="O126" s="3" t="str">
        <f>IF(M126, "", E126)</f>
        <v>StewardshipAssignments</v>
      </c>
      <c r="P126" s="3">
        <f>COUNTIFS(FieldDisagreements!E2:E999, A126)</f>
        <v>1</v>
      </c>
      <c r="Q126" s="3" t="str">
        <f>_xlfn.IFNA(INDEX(ConformanceSubstrates!C2:C999, MATCH(D126,ConformanceSubstrates!A2:A999, 0)), "")</f>
        <v>Excel</v>
      </c>
      <c r="R126" s="3" t="str">
        <f>_xlfn.IFNA(INDEX(RulebookTables!F2:F999, MATCH(E126,RulebookTables!A2:A999, 0)), "")</f>
        <v>org</v>
      </c>
      <c r="S126" s="2" t="s">
        <v>1898</v>
      </c>
    </row>
    <row r="127">
      <c r="A127" s="2" t="s">
        <v>14134</v>
      </c>
      <c r="B127" s="3" t="str">
        <f>_xlfn.CONCAT(D127, " / ", E127)</f>
        <v>effortless-xlsx / ChangeRequests</v>
      </c>
      <c r="C127" s="2" t="s">
        <v>13999</v>
      </c>
      <c r="D127" s="2" t="s">
        <v>13987</v>
      </c>
      <c r="E127" s="2" t="s">
        <v>3848</v>
      </c>
      <c r="F127" s="2">
        <v>2</v>
      </c>
      <c r="G127" s="2">
        <v>32</v>
      </c>
      <c r="H127" s="2">
        <v>64</v>
      </c>
      <c r="I127" s="2">
        <v>60</v>
      </c>
      <c r="J127" s="2" t="b">
        <v>0</v>
      </c>
      <c r="K127" s="3">
        <f>H127 - I127</f>
        <v>4</v>
      </c>
      <c r="L127" s="3">
        <f>IF(H127 = 0, 0, ROUND(100 * I127 / H127, 2))</f>
        <v>93.75</v>
      </c>
      <c r="M127" s="3" t="b">
        <f>K127 = 0</f>
        <v>0</v>
      </c>
      <c r="N127" s="3" t="str">
        <f>IF(M127, "", D127)</f>
        <v>effortless-xlsx</v>
      </c>
      <c r="O127" s="3" t="str">
        <f>IF(M127, "", E127)</f>
        <v>ChangeRequests</v>
      </c>
      <c r="P127" s="3">
        <f>COUNTIFS(FieldDisagreements!E2:E999, A127)</f>
        <v>3</v>
      </c>
      <c r="Q127" s="3" t="str">
        <f>_xlfn.IFNA(INDEX(ConformanceSubstrates!C2:C999, MATCH(D127,ConformanceSubstrates!A2:A999, 0)), "")</f>
        <v>Excel</v>
      </c>
      <c r="R127" s="3" t="str">
        <f>_xlfn.IFNA(INDEX(RulebookTables!F2:F999, MATCH(E127,RulebookTables!A2:A999, 0)), "")</f>
        <v>domain</v>
      </c>
      <c r="S127" s="2" t="s">
        <v>1898</v>
      </c>
    </row>
    <row r="128">
      <c r="A128" s="2" t="s">
        <v>14135</v>
      </c>
      <c r="B128" s="3" t="str">
        <f>_xlfn.CONCAT(D128, " / ", E128)</f>
        <v>effortless-xlsx / ReviewEvents</v>
      </c>
      <c r="C128" s="2" t="s">
        <v>13999</v>
      </c>
      <c r="D128" s="2" t="s">
        <v>13987</v>
      </c>
      <c r="E128" s="2" t="s">
        <v>3922</v>
      </c>
      <c r="F128" s="2">
        <v>3</v>
      </c>
      <c r="G128" s="2">
        <v>10</v>
      </c>
      <c r="H128" s="2">
        <v>30</v>
      </c>
      <c r="I128" s="2">
        <v>21</v>
      </c>
      <c r="J128" s="2" t="b">
        <v>0</v>
      </c>
      <c r="K128" s="3">
        <f>H128 - I128</f>
        <v>9</v>
      </c>
      <c r="L128" s="3">
        <f>IF(H128 = 0, 0, ROUND(100 * I128 / H128, 2))</f>
        <v>70</v>
      </c>
      <c r="M128" s="3" t="b">
        <f>K128 = 0</f>
        <v>0</v>
      </c>
      <c r="N128" s="3" t="str">
        <f>IF(M128, "", D128)</f>
        <v>effortless-xlsx</v>
      </c>
      <c r="O128" s="3" t="str">
        <f>IF(M128, "", E128)</f>
        <v>ReviewEvents</v>
      </c>
      <c r="P128" s="3">
        <f>COUNTIFS(FieldDisagreements!E2:E999, A128)</f>
        <v>3</v>
      </c>
      <c r="Q128" s="3" t="str">
        <f>_xlfn.IFNA(INDEX(ConformanceSubstrates!C2:C999, MATCH(D128,ConformanceSubstrates!A2:A999, 0)), "")</f>
        <v>Excel</v>
      </c>
      <c r="R128" s="3" t="str">
        <f>_xlfn.IFNA(INDEX(RulebookTables!F2:F999, MATCH(E128,RulebookTables!A2:A999, 0)), "")</f>
        <v>domain</v>
      </c>
      <c r="S128" s="2" t="s">
        <v>1898</v>
      </c>
    </row>
    <row r="129">
      <c r="A129" s="2" t="s">
        <v>14136</v>
      </c>
      <c r="B129" s="3" t="str">
        <f>_xlfn.CONCAT(D129, " / ", E129)</f>
        <v>effortless-xlsx / LearningActivities</v>
      </c>
      <c r="C129" s="2" t="s">
        <v>13999</v>
      </c>
      <c r="D129" s="2" t="s">
        <v>13987</v>
      </c>
      <c r="E129" s="2" t="s">
        <v>3951</v>
      </c>
      <c r="F129" s="2">
        <v>2</v>
      </c>
      <c r="G129" s="2">
        <v>1</v>
      </c>
      <c r="H129" s="2">
        <v>2</v>
      </c>
      <c r="I129" s="2">
        <v>0</v>
      </c>
      <c r="J129" s="2" t="b">
        <v>0</v>
      </c>
      <c r="K129" s="3">
        <f>H129 - I129</f>
        <v>2</v>
      </c>
      <c r="L129" s="3">
        <f>IF(H129 = 0, 0, ROUND(100 * I129 / H129, 2))</f>
        <v>0</v>
      </c>
      <c r="M129" s="3" t="b">
        <f>K129 = 0</f>
        <v>0</v>
      </c>
      <c r="N129" s="3" t="str">
        <f>IF(M129, "", D129)</f>
        <v>effortless-xlsx</v>
      </c>
      <c r="O129" s="3" t="str">
        <f>IF(M129, "", E129)</f>
        <v>LearningActivities</v>
      </c>
      <c r="P129" s="3">
        <f>COUNTIFS(FieldDisagreements!E2:E999, A129)</f>
        <v>1</v>
      </c>
      <c r="Q129" s="3" t="str">
        <f>_xlfn.IFNA(INDEX(ConformanceSubstrates!C2:C999, MATCH(D129,ConformanceSubstrates!A2:A999, 0)), "")</f>
        <v>Excel</v>
      </c>
      <c r="R129" s="3" t="str">
        <f>_xlfn.IFNA(INDEX(RulebookTables!F2:F999, MATCH(E129,RulebookTables!A2:A999, 0)), "")</f>
        <v>domain</v>
      </c>
      <c r="S129" s="2" t="s">
        <v>1898</v>
      </c>
    </row>
    <row r="130">
      <c r="A130" s="2" t="s">
        <v>14137</v>
      </c>
      <c r="B130" s="3" t="str">
        <f>_xlfn.CONCAT(D130, " / ", E130)</f>
        <v>effortless-xlsx / OperationalBindings</v>
      </c>
      <c r="C130" s="2" t="s">
        <v>13999</v>
      </c>
      <c r="D130" s="2" t="s">
        <v>13987</v>
      </c>
      <c r="E130" s="2" t="s">
        <v>1842</v>
      </c>
      <c r="F130" s="2">
        <v>5</v>
      </c>
      <c r="G130" s="2">
        <v>11</v>
      </c>
      <c r="H130" s="2">
        <v>55</v>
      </c>
      <c r="I130" s="2">
        <v>10</v>
      </c>
      <c r="J130" s="2" t="b">
        <v>0</v>
      </c>
      <c r="K130" s="3">
        <f>H130 - I130</f>
        <v>45</v>
      </c>
      <c r="L130" s="3">
        <f>IF(H130 = 0, 0, ROUND(100 * I130 / H130, 2))</f>
        <v>18.18</v>
      </c>
      <c r="M130" s="3" t="b">
        <f>K130 = 0</f>
        <v>0</v>
      </c>
      <c r="N130" s="3" t="str">
        <f>IF(M130, "", D130)</f>
        <v>effortless-xlsx</v>
      </c>
      <c r="O130" s="3" t="str">
        <f>IF(M130, "", E130)</f>
        <v>OperationalBindings</v>
      </c>
      <c r="P130" s="3">
        <f>COUNTIFS(FieldDisagreements!E2:E999, A130)</f>
        <v>9</v>
      </c>
      <c r="Q130" s="3" t="str">
        <f>_xlfn.IFNA(INDEX(ConformanceSubstrates!C2:C999, MATCH(D130,ConformanceSubstrates!A2:A999, 0)), "")</f>
        <v>Excel</v>
      </c>
      <c r="R130" s="3" t="str">
        <f>_xlfn.IFNA(INDEX(RulebookTables!F2:F999, MATCH(E130,RulebookTables!A2:A999, 0)), "")</f>
        <v>domain</v>
      </c>
      <c r="S130" s="2" t="s">
        <v>1898</v>
      </c>
    </row>
    <row r="131">
      <c r="A131" s="2" t="s">
        <v>14138</v>
      </c>
      <c r="B131" s="3" t="str">
        <f>_xlfn.CONCAT(D131, " / ", E131)</f>
        <v>effortless-xlsx / CommunicationPolicies</v>
      </c>
      <c r="C131" s="2" t="s">
        <v>13999</v>
      </c>
      <c r="D131" s="2" t="s">
        <v>13987</v>
      </c>
      <c r="E131" s="2" t="s">
        <v>1845</v>
      </c>
      <c r="F131" s="2">
        <v>2</v>
      </c>
      <c r="G131" s="2">
        <v>4</v>
      </c>
      <c r="H131" s="2">
        <v>8</v>
      </c>
      <c r="I131" s="2">
        <v>8</v>
      </c>
      <c r="J131" s="2" t="b">
        <v>0</v>
      </c>
      <c r="K131" s="3">
        <f>H131 - I131</f>
        <v>0</v>
      </c>
      <c r="L131" s="3">
        <f>IF(H131 = 0, 0, ROUND(100 * I131 / H131, 2))</f>
        <v>100</v>
      </c>
      <c r="M131" s="3" t="b">
        <f>K131 = 0</f>
        <v>1</v>
      </c>
      <c r="N131" s="3" t="str">
        <f>IF(M131, "", D131)</f>
      </c>
      <c r="O131" s="3" t="str">
        <f>IF(M131, "", E131)</f>
      </c>
      <c r="P131" s="3">
        <f>COUNTIFS(FieldDisagreements!E2:E999, A131)</f>
        <v>0</v>
      </c>
      <c r="Q131" s="3" t="str">
        <f>_xlfn.IFNA(INDEX(ConformanceSubstrates!C2:C999, MATCH(D131,ConformanceSubstrates!A2:A999, 0)), "")</f>
        <v>Excel</v>
      </c>
      <c r="R131" s="3" t="str">
        <f>_xlfn.IFNA(INDEX(RulebookTables!F2:F999, MATCH(E131,RulebookTables!A2:A999, 0)), "")</f>
        <v>communication</v>
      </c>
      <c r="S131" s="2" t="s">
        <v>1898</v>
      </c>
    </row>
    <row r="132">
      <c r="A132" s="2" t="s">
        <v>14139</v>
      </c>
      <c r="B132" s="3" t="str">
        <f>_xlfn.CONCAT(D132, " / ", E132)</f>
        <v>effortless-xlsx / MessageTemplates</v>
      </c>
      <c r="C132" s="2" t="s">
        <v>13999</v>
      </c>
      <c r="D132" s="2" t="s">
        <v>13987</v>
      </c>
      <c r="E132" s="2" t="s">
        <v>4021</v>
      </c>
      <c r="F132" s="2">
        <v>2</v>
      </c>
      <c r="G132" s="2">
        <v>16</v>
      </c>
      <c r="H132" s="2">
        <v>32</v>
      </c>
      <c r="I132" s="2">
        <v>30</v>
      </c>
      <c r="J132" s="2" t="b">
        <v>0</v>
      </c>
      <c r="K132" s="3">
        <f>H132 - I132</f>
        <v>2</v>
      </c>
      <c r="L132" s="3">
        <f>IF(H132 = 0, 0, ROUND(100 * I132 / H132, 2))</f>
        <v>93.75</v>
      </c>
      <c r="M132" s="3" t="b">
        <f>K132 = 0</f>
        <v>0</v>
      </c>
      <c r="N132" s="3" t="str">
        <f>IF(M132, "", D132)</f>
        <v>effortless-xlsx</v>
      </c>
      <c r="O132" s="3" t="str">
        <f>IF(M132, "", E132)</f>
        <v>MessageTemplates</v>
      </c>
      <c r="P132" s="3">
        <f>COUNTIFS(FieldDisagreements!E2:E999, A132)</f>
        <v>1</v>
      </c>
      <c r="Q132" s="3" t="str">
        <f>_xlfn.IFNA(INDEX(ConformanceSubstrates!C2:C999, MATCH(D132,ConformanceSubstrates!A2:A999, 0)), "")</f>
        <v>Excel</v>
      </c>
      <c r="R132" s="3" t="str">
        <f>_xlfn.IFNA(INDEX(RulebookTables!F2:F999, MATCH(E132,RulebookTables!A2:A999, 0)), "")</f>
        <v>communication</v>
      </c>
      <c r="S132" s="2" t="s">
        <v>1898</v>
      </c>
    </row>
    <row r="133">
      <c r="A133" s="2" t="s">
        <v>14140</v>
      </c>
      <c r="B133" s="3" t="str">
        <f>_xlfn.CONCAT(D133, " / ", E133)</f>
        <v>effortless-xlsx / SemanticMappings</v>
      </c>
      <c r="C133" s="2" t="s">
        <v>13999</v>
      </c>
      <c r="D133" s="2" t="s">
        <v>13987</v>
      </c>
      <c r="E133" s="2" t="s">
        <v>4064</v>
      </c>
      <c r="F133" s="2">
        <v>47</v>
      </c>
      <c r="G133" s="2">
        <v>1</v>
      </c>
      <c r="H133" s="2">
        <v>47</v>
      </c>
      <c r="I133" s="2">
        <v>47</v>
      </c>
      <c r="J133" s="2" t="b">
        <v>0</v>
      </c>
      <c r="K133" s="3">
        <f>H133 - I133</f>
        <v>0</v>
      </c>
      <c r="L133" s="3">
        <f>IF(H133 = 0, 0, ROUND(100 * I133 / H133, 2))</f>
        <v>100</v>
      </c>
      <c r="M133" s="3" t="b">
        <f>K133 = 0</f>
        <v>1</v>
      </c>
      <c r="N133" s="3" t="str">
        <f>IF(M133, "", D133)</f>
      </c>
      <c r="O133" s="3" t="str">
        <f>IF(M133, "", E133)</f>
      </c>
      <c r="P133" s="3">
        <f>COUNTIFS(FieldDisagreements!E2:E999, A133)</f>
        <v>0</v>
      </c>
      <c r="Q133" s="3" t="str">
        <f>_xlfn.IFNA(INDEX(ConformanceSubstrates!C2:C999, MATCH(D133,ConformanceSubstrates!A2:A999, 0)), "")</f>
        <v>Excel</v>
      </c>
      <c r="R133" s="3" t="str">
        <f>_xlfn.IFNA(INDEX(RulebookTables!F2:F999, MATCH(E133,RulebookTables!A2:A999, 0)), "")</f>
        <v>meta</v>
      </c>
      <c r="S133" s="2" t="s">
        <v>1898</v>
      </c>
    </row>
    <row r="134">
      <c r="A134" s="2" t="s">
        <v>14141</v>
      </c>
      <c r="B134" s="3" t="str">
        <f>_xlfn.CONCAT(D134, " / ", E134)</f>
        <v>effortless-xlsx / WitnessLoops</v>
      </c>
      <c r="C134" s="2" t="s">
        <v>13999</v>
      </c>
      <c r="D134" s="2" t="s">
        <v>13987</v>
      </c>
      <c r="E134" s="2" t="s">
        <v>4074</v>
      </c>
      <c r="F134" s="2">
        <v>3</v>
      </c>
      <c r="G134" s="2">
        <v>3</v>
      </c>
      <c r="H134" s="2">
        <v>9</v>
      </c>
      <c r="I134" s="2">
        <v>9</v>
      </c>
      <c r="J134" s="2" t="b">
        <v>0</v>
      </c>
      <c r="K134" s="3">
        <f>H134 - I134</f>
        <v>0</v>
      </c>
      <c r="L134" s="3">
        <f>IF(H134 = 0, 0, ROUND(100 * I134 / H134, 2))</f>
        <v>100</v>
      </c>
      <c r="M134" s="3" t="b">
        <f>K134 = 0</f>
        <v>1</v>
      </c>
      <c r="N134" s="3" t="str">
        <f>IF(M134, "", D134)</f>
      </c>
      <c r="O134" s="3" t="str">
        <f>IF(M134, "", E134)</f>
      </c>
      <c r="P134" s="3">
        <f>COUNTIFS(FieldDisagreements!E2:E999, A134)</f>
        <v>0</v>
      </c>
      <c r="Q134" s="3" t="str">
        <f>_xlfn.IFNA(INDEX(ConformanceSubstrates!C2:C999, MATCH(D134,ConformanceSubstrates!A2:A999, 0)), "")</f>
        <v>Excel</v>
      </c>
      <c r="R134" s="3" t="str">
        <f>_xlfn.IFNA(INDEX(RulebookTables!F2:F999, MATCH(E134,RulebookTables!A2:A999, 0)), "")</f>
        <v>meta</v>
      </c>
      <c r="S134" s="2" t="s">
        <v>1898</v>
      </c>
    </row>
    <row r="135">
      <c r="A135" s="2" t="s">
        <v>14142</v>
      </c>
      <c r="B135" s="3" t="str">
        <f>_xlfn.CONCAT(D135, " / ", E135)</f>
        <v>effortless-xlsx / RoleQuestions</v>
      </c>
      <c r="C135" s="2" t="s">
        <v>13999</v>
      </c>
      <c r="D135" s="2" t="s">
        <v>13987</v>
      </c>
      <c r="E135" s="2" t="s">
        <v>4091</v>
      </c>
      <c r="F135" s="2">
        <v>109</v>
      </c>
      <c r="G135" s="2">
        <v>3</v>
      </c>
      <c r="H135" s="2">
        <v>327</v>
      </c>
      <c r="I135" s="2">
        <v>262</v>
      </c>
      <c r="J135" s="2" t="b">
        <v>0</v>
      </c>
      <c r="K135" s="3">
        <f>H135 - I135</f>
        <v>65</v>
      </c>
      <c r="L135" s="3">
        <f>IF(H135 = 0, 0, ROUND(100 * I135 / H135, 2))</f>
        <v>80.12</v>
      </c>
      <c r="M135" s="3" t="b">
        <f>K135 = 0</f>
        <v>0</v>
      </c>
      <c r="N135" s="3" t="str">
        <f>IF(M135, "", D135)</f>
        <v>effortless-xlsx</v>
      </c>
      <c r="O135" s="3" t="str">
        <f>IF(M135, "", E135)</f>
        <v>RoleQuestions</v>
      </c>
      <c r="P135" s="3">
        <f>COUNTIFS(FieldDisagreements!E2:E999, A135)</f>
        <v>2</v>
      </c>
      <c r="Q135" s="3" t="str">
        <f>_xlfn.IFNA(INDEX(ConformanceSubstrates!C2:C999, MATCH(D135,ConformanceSubstrates!A2:A999, 0)), "")</f>
        <v>Excel</v>
      </c>
      <c r="R135" s="3" t="str">
        <f>_xlfn.IFNA(INDEX(RulebookTables!F2:F999, MATCH(E135,RulebookTables!A2:A999, 0)), "")</f>
        <v>org</v>
      </c>
      <c r="S135" s="2" t="s">
        <v>1898</v>
      </c>
    </row>
    <row r="136">
      <c r="A136" s="2" t="s">
        <v>14143</v>
      </c>
      <c r="B136" s="3" t="str">
        <f>_xlfn.CONCAT(D136, " / ", E136)</f>
        <v>effortless-xlsx / RulebookFields</v>
      </c>
      <c r="C136" s="2" t="s">
        <v>13999</v>
      </c>
      <c r="D136" s="2" t="s">
        <v>13987</v>
      </c>
      <c r="E136" s="2" t="s">
        <v>4106</v>
      </c>
      <c r="F136" s="2">
        <v>1879</v>
      </c>
      <c r="G136" s="2">
        <v>5</v>
      </c>
      <c r="H136" s="2">
        <v>9395</v>
      </c>
      <c r="I136" s="2">
        <v>9395</v>
      </c>
      <c r="J136" s="2" t="b">
        <v>0</v>
      </c>
      <c r="K136" s="3">
        <f>H136 - I136</f>
        <v>0</v>
      </c>
      <c r="L136" s="3">
        <f>IF(H136 = 0, 0, ROUND(100 * I136 / H136, 2))</f>
        <v>100</v>
      </c>
      <c r="M136" s="3" t="b">
        <f>K136 = 0</f>
        <v>1</v>
      </c>
      <c r="N136" s="3" t="str">
        <f>IF(M136, "", D136)</f>
      </c>
      <c r="O136" s="3" t="str">
        <f>IF(M136, "", E136)</f>
      </c>
      <c r="P136" s="3">
        <f>COUNTIFS(FieldDisagreements!E2:E999, A136)</f>
        <v>0</v>
      </c>
      <c r="Q136" s="3" t="str">
        <f>_xlfn.IFNA(INDEX(ConformanceSubstrates!C2:C999, MATCH(D136,ConformanceSubstrates!A2:A999, 0)), "")</f>
        <v>Excel</v>
      </c>
      <c r="R136" s="3" t="str">
        <f>_xlfn.IFNA(INDEX(RulebookTables!F2:F999, MATCH(E136,RulebookTables!A2:A999, 0)), "")</f>
        <v>access-control</v>
      </c>
      <c r="S136" s="2" t="s">
        <v>1898</v>
      </c>
    </row>
    <row r="137">
      <c r="A137" s="2" t="s">
        <v>14144</v>
      </c>
      <c r="B137" s="3" t="str">
        <f>_xlfn.CONCAT(D137, " / ", E137)</f>
        <v>effortless-xlsx / TestSuites</v>
      </c>
      <c r="C137" s="2" t="s">
        <v>13999</v>
      </c>
      <c r="D137" s="2" t="s">
        <v>13987</v>
      </c>
      <c r="E137" s="2" t="s">
        <v>4125</v>
      </c>
      <c r="F137" s="2">
        <v>6</v>
      </c>
      <c r="G137" s="2">
        <v>5</v>
      </c>
      <c r="H137" s="2">
        <v>30</v>
      </c>
      <c r="I137" s="2">
        <v>20</v>
      </c>
      <c r="J137" s="2" t="b">
        <v>0</v>
      </c>
      <c r="K137" s="3">
        <f>H137 - I137</f>
        <v>10</v>
      </c>
      <c r="L137" s="3">
        <f>IF(H137 = 0, 0, ROUND(100 * I137 / H137, 2))</f>
        <v>66.67</v>
      </c>
      <c r="M137" s="3" t="b">
        <f>K137 = 0</f>
        <v>0</v>
      </c>
      <c r="N137" s="3" t="str">
        <f>IF(M137, "", D137)</f>
        <v>effortless-xlsx</v>
      </c>
      <c r="O137" s="3" t="str">
        <f>IF(M137, "", E137)</f>
        <v>TestSuites</v>
      </c>
      <c r="P137" s="3">
        <f>COUNTIFS(FieldDisagreements!E2:E999, A137)</f>
        <v>2</v>
      </c>
      <c r="Q137" s="3" t="str">
        <f>_xlfn.IFNA(INDEX(ConformanceSubstrates!C2:C999, MATCH(D137,ConformanceSubstrates!A2:A999, 0)), "")</f>
        <v>Excel</v>
      </c>
      <c r="R137" s="3" t="str">
        <f>_xlfn.IFNA(INDEX(RulebookTables!F2:F999, MATCH(E137,RulebookTables!A2:A999, 0)), "")</f>
        <v>meta</v>
      </c>
      <c r="S137" s="2" t="s">
        <v>1898</v>
      </c>
    </row>
    <row r="138">
      <c r="A138" s="2" t="s">
        <v>14145</v>
      </c>
      <c r="B138" s="3" t="str">
        <f>_xlfn.CONCAT(D138, " / ", E138)</f>
        <v>effortless-xlsx / TestCases</v>
      </c>
      <c r="C138" s="2" t="s">
        <v>13999</v>
      </c>
      <c r="D138" s="2" t="s">
        <v>13987</v>
      </c>
      <c r="E138" s="2" t="s">
        <v>4143</v>
      </c>
      <c r="F138" s="2">
        <v>1794</v>
      </c>
      <c r="G138" s="2">
        <v>7</v>
      </c>
      <c r="H138" s="2">
        <v>12558</v>
      </c>
      <c r="I138" s="2">
        <v>12558</v>
      </c>
      <c r="J138" s="2" t="b">
        <v>0</v>
      </c>
      <c r="K138" s="3">
        <f>H138 - I138</f>
        <v>0</v>
      </c>
      <c r="L138" s="3">
        <f>IF(H138 = 0, 0, ROUND(100 * I138 / H138, 2))</f>
        <v>100</v>
      </c>
      <c r="M138" s="3" t="b">
        <f>K138 = 0</f>
        <v>1</v>
      </c>
      <c r="N138" s="3" t="str">
        <f>IF(M138, "", D138)</f>
      </c>
      <c r="O138" s="3" t="str">
        <f>IF(M138, "", E138)</f>
      </c>
      <c r="P138" s="3">
        <f>COUNTIFS(FieldDisagreements!E2:E999, A138)</f>
        <v>0</v>
      </c>
      <c r="Q138" s="3" t="str">
        <f>_xlfn.IFNA(INDEX(ConformanceSubstrates!C2:C999, MATCH(D138,ConformanceSubstrates!A2:A999, 0)), "")</f>
        <v>Excel</v>
      </c>
      <c r="R138" s="3" t="str">
        <f>_xlfn.IFNA(INDEX(RulebookTables!F2:F999, MATCH(E138,RulebookTables!A2:A999, 0)), "")</f>
        <v>meta</v>
      </c>
      <c r="S138" s="2" t="s">
        <v>1898</v>
      </c>
    </row>
    <row r="139">
      <c r="A139" s="2" t="s">
        <v>14146</v>
      </c>
      <c r="B139" s="3" t="str">
        <f>_xlfn.CONCAT(D139, " / ", E139)</f>
        <v>effortless-xlsx / ExceptionInvocations</v>
      </c>
      <c r="C139" s="2" t="s">
        <v>13999</v>
      </c>
      <c r="D139" s="2" t="s">
        <v>13987</v>
      </c>
      <c r="E139" s="2" t="s">
        <v>4221</v>
      </c>
      <c r="F139" s="2">
        <v>1</v>
      </c>
      <c r="G139" s="2">
        <v>13</v>
      </c>
      <c r="H139" s="2">
        <v>13</v>
      </c>
      <c r="I139" s="2">
        <v>13</v>
      </c>
      <c r="J139" s="2" t="b">
        <v>0</v>
      </c>
      <c r="K139" s="3">
        <f>H139 - I139</f>
        <v>0</v>
      </c>
      <c r="L139" s="3">
        <f>IF(H139 = 0, 0, ROUND(100 * I139 / H139, 2))</f>
        <v>100</v>
      </c>
      <c r="M139" s="3" t="b">
        <f>K139 = 0</f>
        <v>1</v>
      </c>
      <c r="N139" s="3" t="str">
        <f>IF(M139, "", D139)</f>
      </c>
      <c r="O139" s="3" t="str">
        <f>IF(M139, "", E139)</f>
      </c>
      <c r="P139" s="3">
        <f>COUNTIFS(FieldDisagreements!E2:E999, A139)</f>
        <v>0</v>
      </c>
      <c r="Q139" s="3" t="str">
        <f>_xlfn.IFNA(INDEX(ConformanceSubstrates!C2:C999, MATCH(D139,ConformanceSubstrates!A2:A999, 0)), "")</f>
        <v>Excel</v>
      </c>
      <c r="R139" s="3" t="str">
        <f>_xlfn.IFNA(INDEX(RulebookTables!F2:F999, MATCH(E139,RulebookTables!A2:A999, 0)), "")</f>
        <v>governance</v>
      </c>
      <c r="S139" s="2" t="s">
        <v>1898</v>
      </c>
    </row>
    <row r="140">
      <c r="A140" s="2" t="s">
        <v>14147</v>
      </c>
      <c r="B140" s="3" t="str">
        <f>_xlfn.CONCAT(D140, " / ", E140)</f>
        <v>effortless-xlsx / VerificationOutcomes</v>
      </c>
      <c r="C140" s="2" t="s">
        <v>13999</v>
      </c>
      <c r="D140" s="2" t="s">
        <v>13987</v>
      </c>
      <c r="E140" s="2" t="s">
        <v>4271</v>
      </c>
      <c r="F140" s="2">
        <v>4</v>
      </c>
      <c r="G140" s="2">
        <v>18</v>
      </c>
      <c r="H140" s="2">
        <v>72</v>
      </c>
      <c r="I140" s="2">
        <v>72</v>
      </c>
      <c r="J140" s="2" t="b">
        <v>0</v>
      </c>
      <c r="K140" s="3">
        <f>H140 - I140</f>
        <v>0</v>
      </c>
      <c r="L140" s="3">
        <f>IF(H140 = 0, 0, ROUND(100 * I140 / H140, 2))</f>
        <v>100</v>
      </c>
      <c r="M140" s="3" t="b">
        <f>K140 = 0</f>
        <v>1</v>
      </c>
      <c r="N140" s="3" t="str">
        <f>IF(M140, "", D140)</f>
      </c>
      <c r="O140" s="3" t="str">
        <f>IF(M140, "", E140)</f>
      </c>
      <c r="P140" s="3">
        <f>COUNTIFS(FieldDisagreements!E2:E999, A140)</f>
        <v>0</v>
      </c>
      <c r="Q140" s="3" t="str">
        <f>_xlfn.IFNA(INDEX(ConformanceSubstrates!C2:C999, MATCH(D140,ConformanceSubstrates!A2:A999, 0)), "")</f>
        <v>Excel</v>
      </c>
      <c r="R140" s="3" t="str">
        <f>_xlfn.IFNA(INDEX(RulebookTables!F2:F999, MATCH(E140,RulebookTables!A2:A999, 0)), "")</f>
        <v>execution</v>
      </c>
      <c r="S140" s="2" t="s">
        <v>1898</v>
      </c>
    </row>
    <row r="141">
      <c r="A141" s="2" t="s">
        <v>14148</v>
      </c>
      <c r="B141" s="3" t="str">
        <f>_xlfn.CONCAT(D141, " / ", E141)</f>
        <v>effortless-xlsx / ObservedTransitions</v>
      </c>
      <c r="C141" s="2" t="s">
        <v>13999</v>
      </c>
      <c r="D141" s="2" t="s">
        <v>13987</v>
      </c>
      <c r="E141" s="2" t="s">
        <v>4332</v>
      </c>
      <c r="F141" s="2">
        <v>10</v>
      </c>
      <c r="G141" s="2">
        <v>1</v>
      </c>
      <c r="H141" s="2">
        <v>10</v>
      </c>
      <c r="I141" s="2">
        <v>0</v>
      </c>
      <c r="J141" s="2" t="b">
        <v>0</v>
      </c>
      <c r="K141" s="3">
        <f>H141 - I141</f>
        <v>10</v>
      </c>
      <c r="L141" s="3">
        <f>IF(H141 = 0, 0, ROUND(100 * I141 / H141, 2))</f>
        <v>0</v>
      </c>
      <c r="M141" s="3" t="b">
        <f>K141 = 0</f>
        <v>0</v>
      </c>
      <c r="N141" s="3" t="str">
        <f>IF(M141, "", D141)</f>
        <v>effortless-xlsx</v>
      </c>
      <c r="O141" s="3" t="str">
        <f>IF(M141, "", E141)</f>
        <v>ObservedTransitions</v>
      </c>
      <c r="P141" s="3">
        <f>COUNTIFS(FieldDisagreements!E2:E999, A141)</f>
        <v>1</v>
      </c>
      <c r="Q141" s="3" t="str">
        <f>_xlfn.IFNA(INDEX(ConformanceSubstrates!C2:C999, MATCH(D141,ConformanceSubstrates!A2:A999, 0)), "")</f>
        <v>Excel</v>
      </c>
      <c r="R141" s="3" t="str">
        <f>_xlfn.IFNA(INDEX(RulebookTables!F2:F999, MATCH(E141,RulebookTables!A2:A999, 0)), "")</f>
        <v>specification</v>
      </c>
      <c r="S141" s="2" t="s">
        <v>1898</v>
      </c>
    </row>
    <row r="142">
      <c r="A142" s="2" t="s">
        <v>14149</v>
      </c>
      <c r="B142" s="3" t="str">
        <f>_xlfn.CONCAT(D142, " / ", E142)</f>
        <v>effortless-xlsx / Recipients</v>
      </c>
      <c r="C142" s="2" t="s">
        <v>13999</v>
      </c>
      <c r="D142" s="2" t="s">
        <v>13987</v>
      </c>
      <c r="E142" s="2" t="s">
        <v>4346</v>
      </c>
      <c r="F142" s="2">
        <v>5</v>
      </c>
      <c r="G142" s="2">
        <v>6</v>
      </c>
      <c r="H142" s="2">
        <v>30</v>
      </c>
      <c r="I142" s="2">
        <v>30</v>
      </c>
      <c r="J142" s="2" t="b">
        <v>0</v>
      </c>
      <c r="K142" s="3">
        <f>H142 - I142</f>
        <v>0</v>
      </c>
      <c r="L142" s="3">
        <f>IF(H142 = 0, 0, ROUND(100 * I142 / H142, 2))</f>
        <v>100</v>
      </c>
      <c r="M142" s="3" t="b">
        <f>K142 = 0</f>
        <v>1</v>
      </c>
      <c r="N142" s="3" t="str">
        <f>IF(M142, "", D142)</f>
      </c>
      <c r="O142" s="3" t="str">
        <f>IF(M142, "", E142)</f>
      </c>
      <c r="P142" s="3">
        <f>COUNTIFS(FieldDisagreements!E2:E999, A142)</f>
        <v>0</v>
      </c>
      <c r="Q142" s="3" t="str">
        <f>_xlfn.IFNA(INDEX(ConformanceSubstrates!C2:C999, MATCH(D142,ConformanceSubstrates!A2:A999, 0)), "")</f>
        <v>Excel</v>
      </c>
      <c r="R142" s="3" t="str">
        <f>_xlfn.IFNA(INDEX(RulebookTables!F2:F999, MATCH(E142,RulebookTables!A2:A999, 0)), "")</f>
        <v>communication</v>
      </c>
      <c r="S142" s="2" t="s">
        <v>1898</v>
      </c>
    </row>
    <row r="143">
      <c r="A143" s="2" t="s">
        <v>14150</v>
      </c>
      <c r="B143" s="3" t="str">
        <f>_xlfn.CONCAT(D143, " / ", E143)</f>
        <v>effortless-xlsx / MessageDeliveries</v>
      </c>
      <c r="C143" s="2" t="s">
        <v>13999</v>
      </c>
      <c r="D143" s="2" t="s">
        <v>13987</v>
      </c>
      <c r="E143" s="2" t="s">
        <v>4378</v>
      </c>
      <c r="F143" s="2">
        <v>6</v>
      </c>
      <c r="G143" s="2">
        <v>74</v>
      </c>
      <c r="H143" s="2">
        <v>444</v>
      </c>
      <c r="I143" s="2">
        <v>393</v>
      </c>
      <c r="J143" s="2" t="b">
        <v>0</v>
      </c>
      <c r="K143" s="3">
        <f>H143 - I143</f>
        <v>51</v>
      </c>
      <c r="L143" s="3">
        <f>IF(H143 = 0, 0, ROUND(100 * I143 / H143, 2))</f>
        <v>88.51</v>
      </c>
      <c r="M143" s="3" t="b">
        <f>K143 = 0</f>
        <v>0</v>
      </c>
      <c r="N143" s="3" t="str">
        <f>IF(M143, "", D143)</f>
        <v>effortless-xlsx</v>
      </c>
      <c r="O143" s="3" t="str">
        <f>IF(M143, "", E143)</f>
        <v>MessageDeliveries</v>
      </c>
      <c r="P143" s="3">
        <f>COUNTIFS(FieldDisagreements!E2:E999, A143)</f>
        <v>12</v>
      </c>
      <c r="Q143" s="3" t="str">
        <f>_xlfn.IFNA(INDEX(ConformanceSubstrates!C2:C999, MATCH(D143,ConformanceSubstrates!A2:A999, 0)), "")</f>
        <v>Excel</v>
      </c>
      <c r="R143" s="3" t="str">
        <f>_xlfn.IFNA(INDEX(RulebookTables!F2:F999, MATCH(E143,RulebookTables!A2:A999, 0)), "")</f>
        <v>communication</v>
      </c>
      <c r="S143" s="2" t="s">
        <v>1898</v>
      </c>
    </row>
    <row r="144">
      <c r="A144" s="2" t="s">
        <v>14151</v>
      </c>
      <c r="B144" s="3" t="str">
        <f>_xlfn.CONCAT(D144, " / ", E144)</f>
        <v>effortless-xlsx / TemplateApprovals</v>
      </c>
      <c r="C144" s="2" t="s">
        <v>13999</v>
      </c>
      <c r="D144" s="2" t="s">
        <v>13987</v>
      </c>
      <c r="E144" s="2" t="s">
        <v>4632</v>
      </c>
      <c r="F144" s="2">
        <v>2</v>
      </c>
      <c r="G144" s="2">
        <v>6</v>
      </c>
      <c r="H144" s="2">
        <v>12</v>
      </c>
      <c r="I144" s="2">
        <v>10</v>
      </c>
      <c r="J144" s="2" t="b">
        <v>0</v>
      </c>
      <c r="K144" s="3">
        <f>H144 - I144</f>
        <v>2</v>
      </c>
      <c r="L144" s="3">
        <f>IF(H144 = 0, 0, ROUND(100 * I144 / H144, 2))</f>
        <v>83.33</v>
      </c>
      <c r="M144" s="3" t="b">
        <f>K144 = 0</f>
        <v>0</v>
      </c>
      <c r="N144" s="3" t="str">
        <f>IF(M144, "", D144)</f>
        <v>effortless-xlsx</v>
      </c>
      <c r="O144" s="3" t="str">
        <f>IF(M144, "", E144)</f>
        <v>TemplateApprovals</v>
      </c>
      <c r="P144" s="3">
        <f>COUNTIFS(FieldDisagreements!E2:E999, A144)</f>
        <v>1</v>
      </c>
      <c r="Q144" s="3" t="str">
        <f>_xlfn.IFNA(INDEX(ConformanceSubstrates!C2:C999, MATCH(D144,ConformanceSubstrates!A2:A999, 0)), "")</f>
        <v>Excel</v>
      </c>
      <c r="R144" s="3" t="str">
        <f>_xlfn.IFNA(INDEX(RulebookTables!F2:F999, MATCH(E144,RulebookTables!A2:A999, 0)), "")</f>
        <v>communication</v>
      </c>
      <c r="S144" s="2" t="s">
        <v>1898</v>
      </c>
    </row>
    <row r="145">
      <c r="A145" s="2" t="s">
        <v>14152</v>
      </c>
      <c r="B145" s="3" t="str">
        <f>_xlfn.CONCAT(D145, " / ", E145)</f>
        <v>effortless-xlsx / SendIntents</v>
      </c>
      <c r="C145" s="2" t="s">
        <v>13999</v>
      </c>
      <c r="D145" s="2" t="s">
        <v>13987</v>
      </c>
      <c r="E145" s="2" t="s">
        <v>4662</v>
      </c>
      <c r="F145" s="2">
        <v>7</v>
      </c>
      <c r="G145" s="2">
        <v>79</v>
      </c>
      <c r="H145" s="2">
        <v>553</v>
      </c>
      <c r="I145" s="2">
        <v>475</v>
      </c>
      <c r="J145" s="2" t="b">
        <v>0</v>
      </c>
      <c r="K145" s="3">
        <f>H145 - I145</f>
        <v>78</v>
      </c>
      <c r="L145" s="3">
        <f>IF(H145 = 0, 0, ROUND(100 * I145 / H145, 2))</f>
        <v>85.9</v>
      </c>
      <c r="M145" s="3" t="b">
        <f>K145 = 0</f>
        <v>0</v>
      </c>
      <c r="N145" s="3" t="str">
        <f>IF(M145, "", D145)</f>
        <v>effortless-xlsx</v>
      </c>
      <c r="O145" s="3" t="str">
        <f>IF(M145, "", E145)</f>
        <v>SendIntents</v>
      </c>
      <c r="P145" s="3">
        <f>COUNTIFS(FieldDisagreements!E2:E999, A145)</f>
        <v>23</v>
      </c>
      <c r="Q145" s="3" t="str">
        <f>_xlfn.IFNA(INDEX(ConformanceSubstrates!C2:C999, MATCH(D145,ConformanceSubstrates!A2:A999, 0)), "")</f>
        <v>Excel</v>
      </c>
      <c r="R145" s="3" t="str">
        <f>_xlfn.IFNA(INDEX(RulebookTables!F2:F999, MATCH(E145,RulebookTables!A2:A999, 0)), "")</f>
        <v>communication</v>
      </c>
      <c r="S145" s="2" t="s">
        <v>1898</v>
      </c>
    </row>
    <row r="146">
      <c r="A146" s="2" t="s">
        <v>14153</v>
      </c>
      <c r="B146" s="3" t="str">
        <f>_xlfn.CONCAT(D146, " / ", E146)</f>
        <v>effortless-xlsx / AgentDecisionRecords</v>
      </c>
      <c r="C146" s="2" t="s">
        <v>13999</v>
      </c>
      <c r="D146" s="2" t="s">
        <v>13987</v>
      </c>
      <c r="E146" s="2" t="s">
        <v>4928</v>
      </c>
      <c r="F146" s="2">
        <v>3</v>
      </c>
      <c r="G146" s="2">
        <v>27</v>
      </c>
      <c r="H146" s="2">
        <v>81</v>
      </c>
      <c r="I146" s="2">
        <v>78</v>
      </c>
      <c r="J146" s="2" t="b">
        <v>0</v>
      </c>
      <c r="K146" s="3">
        <f>H146 - I146</f>
        <v>3</v>
      </c>
      <c r="L146" s="3">
        <f>IF(H146 = 0, 0, ROUND(100 * I146 / H146, 2))</f>
        <v>96.3</v>
      </c>
      <c r="M146" s="3" t="b">
        <f>K146 = 0</f>
        <v>0</v>
      </c>
      <c r="N146" s="3" t="str">
        <f>IF(M146, "", D146)</f>
        <v>effortless-xlsx</v>
      </c>
      <c r="O146" s="3" t="str">
        <f>IF(M146, "", E146)</f>
        <v>AgentDecisionRecords</v>
      </c>
      <c r="P146" s="3">
        <f>COUNTIFS(FieldDisagreements!E2:E999, A146)</f>
        <v>1</v>
      </c>
      <c r="Q146" s="3" t="str">
        <f>_xlfn.IFNA(INDEX(ConformanceSubstrates!C2:C999, MATCH(D146,ConformanceSubstrates!A2:A999, 0)), "")</f>
        <v>Excel</v>
      </c>
      <c r="R146" s="3" t="str">
        <f>_xlfn.IFNA(INDEX(RulebookTables!F2:F999, MATCH(E146,RulebookTables!A2:A999, 0)), "")</f>
        <v>org</v>
      </c>
      <c r="S146" s="2" t="s">
        <v>1898</v>
      </c>
    </row>
    <row r="147">
      <c r="A147" s="2" t="s">
        <v>14154</v>
      </c>
      <c r="B147" s="3" t="str">
        <f>_xlfn.CONCAT(D147, " / ", E147)</f>
        <v>effortless-xlsx / DeliveredCommunications</v>
      </c>
      <c r="C147" s="2" t="s">
        <v>13999</v>
      </c>
      <c r="D147" s="2" t="s">
        <v>13987</v>
      </c>
      <c r="E147" s="2" t="s">
        <v>5029</v>
      </c>
      <c r="F147" s="2">
        <v>1</v>
      </c>
      <c r="G147" s="2">
        <v>6</v>
      </c>
      <c r="H147" s="2">
        <v>6</v>
      </c>
      <c r="I147" s="2">
        <v>4</v>
      </c>
      <c r="J147" s="2" t="b">
        <v>0</v>
      </c>
      <c r="K147" s="3">
        <f>H147 - I147</f>
        <v>2</v>
      </c>
      <c r="L147" s="3">
        <f>IF(H147 = 0, 0, ROUND(100 * I147 / H147, 2))</f>
        <v>66.67</v>
      </c>
      <c r="M147" s="3" t="b">
        <f>K147 = 0</f>
        <v>0</v>
      </c>
      <c r="N147" s="3" t="str">
        <f>IF(M147, "", D147)</f>
        <v>effortless-xlsx</v>
      </c>
      <c r="O147" s="3" t="str">
        <f>IF(M147, "", E147)</f>
        <v>DeliveredCommunications</v>
      </c>
      <c r="P147" s="3">
        <f>COUNTIFS(FieldDisagreements!E2:E999, A147)</f>
        <v>2</v>
      </c>
      <c r="Q147" s="3" t="str">
        <f>_xlfn.IFNA(INDEX(ConformanceSubstrates!C2:C999, MATCH(D147,ConformanceSubstrates!A2:A999, 0)), "")</f>
        <v>Excel</v>
      </c>
      <c r="R147" s="3" t="str">
        <f>_xlfn.IFNA(INDEX(RulebookTables!F2:F999, MATCH(E147,RulebookTables!A2:A999, 0)), "")</f>
        <v>communication</v>
      </c>
      <c r="S147" s="2" t="s">
        <v>1898</v>
      </c>
    </row>
    <row r="148">
      <c r="A148" s="2" t="s">
        <v>14155</v>
      </c>
      <c r="B148" s="3" t="str">
        <f>_xlfn.CONCAT(D148, " / ", E148)</f>
        <v>effortless-xlsx / AuthorityBoundaries</v>
      </c>
      <c r="C148" s="2" t="s">
        <v>13999</v>
      </c>
      <c r="D148" s="2" t="s">
        <v>13987</v>
      </c>
      <c r="E148" s="2" t="s">
        <v>5065</v>
      </c>
      <c r="F148" s="2">
        <v>3</v>
      </c>
      <c r="G148" s="2">
        <v>21</v>
      </c>
      <c r="H148" s="2">
        <v>63</v>
      </c>
      <c r="I148" s="2">
        <v>52</v>
      </c>
      <c r="J148" s="2" t="b">
        <v>0</v>
      </c>
      <c r="K148" s="3">
        <f>H148 - I148</f>
        <v>11</v>
      </c>
      <c r="L148" s="3">
        <f>IF(H148 = 0, 0, ROUND(100 * I148 / H148, 2))</f>
        <v>82.54</v>
      </c>
      <c r="M148" s="3" t="b">
        <f>K148 = 0</f>
        <v>0</v>
      </c>
      <c r="N148" s="3" t="str">
        <f>IF(M148, "", D148)</f>
        <v>effortless-xlsx</v>
      </c>
      <c r="O148" s="3" t="str">
        <f>IF(M148, "", E148)</f>
        <v>AuthorityBoundaries</v>
      </c>
      <c r="P148" s="3">
        <f>COUNTIFS(FieldDisagreements!E2:E999, A148)</f>
        <v>9</v>
      </c>
      <c r="Q148" s="3" t="str">
        <f>_xlfn.IFNA(INDEX(ConformanceSubstrates!C2:C999, MATCH(D148,ConformanceSubstrates!A2:A999, 0)), "")</f>
        <v>Excel</v>
      </c>
      <c r="R148" s="3" t="str">
        <f>_xlfn.IFNA(INDEX(RulebookTables!F2:F999, MATCH(E148,RulebookTables!A2:A999, 0)), "")</f>
        <v>governance</v>
      </c>
      <c r="S148" s="2" t="s">
        <v>1898</v>
      </c>
    </row>
    <row r="149">
      <c r="A149" s="2" t="s">
        <v>14156</v>
      </c>
      <c r="B149" s="3" t="str">
        <f>_xlfn.CONCAT(D149, " / ", E149)</f>
        <v>effortless-xlsx / AppRoleProfiles</v>
      </c>
      <c r="C149" s="2" t="s">
        <v>13999</v>
      </c>
      <c r="D149" s="2" t="s">
        <v>13987</v>
      </c>
      <c r="E149" s="2" t="s">
        <v>1849</v>
      </c>
      <c r="F149" s="2">
        <v>12</v>
      </c>
      <c r="G149" s="2">
        <v>2</v>
      </c>
      <c r="H149" s="2">
        <v>24</v>
      </c>
      <c r="I149" s="2">
        <v>24</v>
      </c>
      <c r="J149" s="2" t="b">
        <v>0</v>
      </c>
      <c r="K149" s="3">
        <f>H149 - I149</f>
        <v>0</v>
      </c>
      <c r="L149" s="3">
        <f>IF(H149 = 0, 0, ROUND(100 * I149 / H149, 2))</f>
        <v>100</v>
      </c>
      <c r="M149" s="3" t="b">
        <f>K149 = 0</f>
        <v>1</v>
      </c>
      <c r="N149" s="3" t="str">
        <f>IF(M149, "", D149)</f>
      </c>
      <c r="O149" s="3" t="str">
        <f>IF(M149, "", E149)</f>
      </c>
      <c r="P149" s="3">
        <f>COUNTIFS(FieldDisagreements!E2:E999, A149)</f>
        <v>0</v>
      </c>
      <c r="Q149" s="3" t="str">
        <f>_xlfn.IFNA(INDEX(ConformanceSubstrates!C2:C999, MATCH(D149,ConformanceSubstrates!A2:A999, 0)), "")</f>
        <v>Excel</v>
      </c>
      <c r="R149" s="3" t="str">
        <f>_xlfn.IFNA(INDEX(RulebookTables!F2:F999, MATCH(E149,RulebookTables!A2:A999, 0)), "")</f>
        <v>org</v>
      </c>
      <c r="S149" s="2" t="s">
        <v>1898</v>
      </c>
    </row>
    <row r="150">
      <c r="A150" s="2" t="s">
        <v>14157</v>
      </c>
      <c r="B150" s="3" t="str">
        <f>_xlfn.CONCAT(D150, " / ", E150)</f>
        <v>effortless-xlsx / AppNavGroups</v>
      </c>
      <c r="C150" s="2" t="s">
        <v>13999</v>
      </c>
      <c r="D150" s="2" t="s">
        <v>13987</v>
      </c>
      <c r="E150" s="2" t="s">
        <v>1853</v>
      </c>
      <c r="F150" s="2">
        <v>23</v>
      </c>
      <c r="G150" s="2">
        <v>2</v>
      </c>
      <c r="H150" s="2">
        <v>46</v>
      </c>
      <c r="I150" s="2">
        <v>46</v>
      </c>
      <c r="J150" s="2" t="b">
        <v>0</v>
      </c>
      <c r="K150" s="3">
        <f>H150 - I150</f>
        <v>0</v>
      </c>
      <c r="L150" s="3">
        <f>IF(H150 = 0, 0, ROUND(100 * I150 / H150, 2))</f>
        <v>100</v>
      </c>
      <c r="M150" s="3" t="b">
        <f>K150 = 0</f>
        <v>1</v>
      </c>
      <c r="N150" s="3" t="str">
        <f>IF(M150, "", D150)</f>
      </c>
      <c r="O150" s="3" t="str">
        <f>IF(M150, "", E150)</f>
      </c>
      <c r="P150" s="3">
        <f>COUNTIFS(FieldDisagreements!E2:E999, A150)</f>
        <v>0</v>
      </c>
      <c r="Q150" s="3" t="str">
        <f>_xlfn.IFNA(INDEX(ConformanceSubstrates!C2:C999, MATCH(D150,ConformanceSubstrates!A2:A999, 0)), "")</f>
        <v>Excel</v>
      </c>
      <c r="R150" s="3" t="str">
        <f>_xlfn.IFNA(INDEX(RulebookTables!F2:F999, MATCH(E150,RulebookTables!A2:A999, 0)), "")</f>
        <v>application</v>
      </c>
      <c r="S150" s="2" t="s">
        <v>1898</v>
      </c>
    </row>
    <row r="151">
      <c r="A151" s="2" t="s">
        <v>14158</v>
      </c>
      <c r="B151" s="3" t="str">
        <f>_xlfn.CONCAT(D151, " / ", E151)</f>
        <v>effortless-xlsx / AppRoutes</v>
      </c>
      <c r="C151" s="2" t="s">
        <v>13999</v>
      </c>
      <c r="D151" s="2" t="s">
        <v>13987</v>
      </c>
      <c r="E151" s="2" t="s">
        <v>1857</v>
      </c>
      <c r="F151" s="2">
        <v>149</v>
      </c>
      <c r="G151" s="2">
        <v>7</v>
      </c>
      <c r="H151" s="2">
        <v>1043</v>
      </c>
      <c r="I151" s="2">
        <v>1043</v>
      </c>
      <c r="J151" s="2" t="b">
        <v>0</v>
      </c>
      <c r="K151" s="3">
        <f>H151 - I151</f>
        <v>0</v>
      </c>
      <c r="L151" s="3">
        <f>IF(H151 = 0, 0, ROUND(100 * I151 / H151, 2))</f>
        <v>100</v>
      </c>
      <c r="M151" s="3" t="b">
        <f>K151 = 0</f>
        <v>1</v>
      </c>
      <c r="N151" s="3" t="str">
        <f>IF(M151, "", D151)</f>
      </c>
      <c r="O151" s="3" t="str">
        <f>IF(M151, "", E151)</f>
      </c>
      <c r="P151" s="3">
        <f>COUNTIFS(FieldDisagreements!E2:E999, A151)</f>
        <v>0</v>
      </c>
      <c r="Q151" s="3" t="str">
        <f>_xlfn.IFNA(INDEX(ConformanceSubstrates!C2:C999, MATCH(D151,ConformanceSubstrates!A2:A999, 0)), "")</f>
        <v>Excel</v>
      </c>
      <c r="R151" s="3" t="str">
        <f>_xlfn.IFNA(INDEX(RulebookTables!F2:F999, MATCH(E151,RulebookTables!A2:A999, 0)), "")</f>
        <v>application</v>
      </c>
      <c r="S151" s="2" t="s">
        <v>1898</v>
      </c>
    </row>
    <row r="152">
      <c r="A152" s="2" t="s">
        <v>14159</v>
      </c>
      <c r="B152" s="3" t="str">
        <f>_xlfn.CONCAT(D152, " / ", E152)</f>
        <v>effortless-xlsx / AppRouteQuestions</v>
      </c>
      <c r="C152" s="2" t="s">
        <v>13999</v>
      </c>
      <c r="D152" s="2" t="s">
        <v>13987</v>
      </c>
      <c r="E152" s="2" t="s">
        <v>1861</v>
      </c>
      <c r="F152" s="2">
        <v>151</v>
      </c>
      <c r="G152" s="2">
        <v>1</v>
      </c>
      <c r="H152" s="2">
        <v>151</v>
      </c>
      <c r="I152" s="2">
        <v>151</v>
      </c>
      <c r="J152" s="2" t="b">
        <v>0</v>
      </c>
      <c r="K152" s="3">
        <f>H152 - I152</f>
        <v>0</v>
      </c>
      <c r="L152" s="3">
        <f>IF(H152 = 0, 0, ROUND(100 * I152 / H152, 2))</f>
        <v>100</v>
      </c>
      <c r="M152" s="3" t="b">
        <f>K152 = 0</f>
        <v>1</v>
      </c>
      <c r="N152" s="3" t="str">
        <f>IF(M152, "", D152)</f>
      </c>
      <c r="O152" s="3" t="str">
        <f>IF(M152, "", E152)</f>
      </c>
      <c r="P152" s="3">
        <f>COUNTIFS(FieldDisagreements!E2:E999, A152)</f>
        <v>0</v>
      </c>
      <c r="Q152" s="3" t="str">
        <f>_xlfn.IFNA(INDEX(ConformanceSubstrates!C2:C999, MATCH(D152,ConformanceSubstrates!A2:A999, 0)), "")</f>
        <v>Excel</v>
      </c>
      <c r="R152" s="3" t="str">
        <f>_xlfn.IFNA(INDEX(RulebookTables!F2:F999, MATCH(E152,RulebookTables!A2:A999, 0)), "")</f>
        <v>application</v>
      </c>
      <c r="S152" s="2" t="s">
        <v>1898</v>
      </c>
    </row>
    <row r="153">
      <c r="A153" s="2" t="s">
        <v>14160</v>
      </c>
      <c r="B153" s="3" t="str">
        <f>_xlfn.CONCAT(D153, " / ", E153)</f>
        <v>effortless-xlsx / AppRouteReferences</v>
      </c>
      <c r="C153" s="2" t="s">
        <v>13999</v>
      </c>
      <c r="D153" s="2" t="s">
        <v>13987</v>
      </c>
      <c r="E153" s="2" t="s">
        <v>1865</v>
      </c>
      <c r="F153" s="2">
        <v>315</v>
      </c>
      <c r="G153" s="2">
        <v>1</v>
      </c>
      <c r="H153" s="2">
        <v>315</v>
      </c>
      <c r="I153" s="2">
        <v>315</v>
      </c>
      <c r="J153" s="2" t="b">
        <v>0</v>
      </c>
      <c r="K153" s="3">
        <f>H153 - I153</f>
        <v>0</v>
      </c>
      <c r="L153" s="3">
        <f>IF(H153 = 0, 0, ROUND(100 * I153 / H153, 2))</f>
        <v>100</v>
      </c>
      <c r="M153" s="3" t="b">
        <f>K153 = 0</f>
        <v>1</v>
      </c>
      <c r="N153" s="3" t="str">
        <f>IF(M153, "", D153)</f>
      </c>
      <c r="O153" s="3" t="str">
        <f>IF(M153, "", E153)</f>
      </c>
      <c r="P153" s="3">
        <f>COUNTIFS(FieldDisagreements!E2:E999, A153)</f>
        <v>0</v>
      </c>
      <c r="Q153" s="3" t="str">
        <f>_xlfn.IFNA(INDEX(ConformanceSubstrates!C2:C999, MATCH(D153,ConformanceSubstrates!A2:A999, 0)), "")</f>
        <v>Excel</v>
      </c>
      <c r="R153" s="3" t="str">
        <f>_xlfn.IFNA(INDEX(RulebookTables!F2:F999, MATCH(E153,RulebookTables!A2:A999, 0)), "")</f>
        <v>application</v>
      </c>
      <c r="S153" s="2" t="s">
        <v>1898</v>
      </c>
    </row>
    <row r="154">
      <c r="A154" s="2" t="s">
        <v>14161</v>
      </c>
      <c r="B154" s="3" t="str">
        <f>_xlfn.CONCAT(D154, " / ", E154)</f>
        <v>effortless-xlsx / RulebookTables</v>
      </c>
      <c r="C154" s="2" t="s">
        <v>13999</v>
      </c>
      <c r="D154" s="2" t="s">
        <v>13987</v>
      </c>
      <c r="E154" s="2" t="s">
        <v>5286</v>
      </c>
      <c r="F154" s="2">
        <v>92</v>
      </c>
      <c r="G154" s="2">
        <v>5</v>
      </c>
      <c r="H154" s="2">
        <v>460</v>
      </c>
      <c r="I154" s="2">
        <v>413</v>
      </c>
      <c r="J154" s="2" t="b">
        <v>0</v>
      </c>
      <c r="K154" s="3">
        <f>H154 - I154</f>
        <v>47</v>
      </c>
      <c r="L154" s="3">
        <f>IF(H154 = 0, 0, ROUND(100 * I154 / H154, 2))</f>
        <v>89.78</v>
      </c>
      <c r="M154" s="3" t="b">
        <f>K154 = 0</f>
        <v>0</v>
      </c>
      <c r="N154" s="3" t="str">
        <f>IF(M154, "", D154)</f>
        <v>effortless-xlsx</v>
      </c>
      <c r="O154" s="3" t="str">
        <f>IF(M154, "", E154)</f>
        <v>RulebookTables</v>
      </c>
      <c r="P154" s="3">
        <f>COUNTIFS(FieldDisagreements!E2:E999, A154)</f>
        <v>1</v>
      </c>
      <c r="Q154" s="3" t="str">
        <f>_xlfn.IFNA(INDEX(ConformanceSubstrates!C2:C999, MATCH(D154,ConformanceSubstrates!A2:A999, 0)), "")</f>
        <v>Excel</v>
      </c>
      <c r="R154" s="3" t="str">
        <f>_xlfn.IFNA(INDEX(RulebookTables!F2:F999, MATCH(E154,RulebookTables!A2:A999, 0)), "")</f>
        <v>meta</v>
      </c>
      <c r="S154" s="2" t="s">
        <v>1898</v>
      </c>
    </row>
    <row r="155">
      <c r="A155" s="2" t="s">
        <v>14162</v>
      </c>
      <c r="B155" s="3" t="str">
        <f>_xlfn.CONCAT(D155, " / ", E155)</f>
        <v>effortless-xlsx / AccessPrincipals</v>
      </c>
      <c r="C155" s="2" t="s">
        <v>13999</v>
      </c>
      <c r="D155" s="2" t="s">
        <v>13987</v>
      </c>
      <c r="E155" s="2" t="s">
        <v>5313</v>
      </c>
      <c r="F155" s="2">
        <v>12</v>
      </c>
      <c r="G155" s="2">
        <v>8</v>
      </c>
      <c r="H155" s="2">
        <v>96</v>
      </c>
      <c r="I155" s="2">
        <v>94</v>
      </c>
      <c r="J155" s="2" t="b">
        <v>0</v>
      </c>
      <c r="K155" s="3">
        <f>H155 - I155</f>
        <v>2</v>
      </c>
      <c r="L155" s="3">
        <f>IF(H155 = 0, 0, ROUND(100 * I155 / H155, 2))</f>
        <v>97.92</v>
      </c>
      <c r="M155" s="3" t="b">
        <f>K155 = 0</f>
        <v>0</v>
      </c>
      <c r="N155" s="3" t="str">
        <f>IF(M155, "", D155)</f>
        <v>effortless-xlsx</v>
      </c>
      <c r="O155" s="3" t="str">
        <f>IF(M155, "", E155)</f>
        <v>AccessPrincipals</v>
      </c>
      <c r="P155" s="3">
        <f>COUNTIFS(FieldDisagreements!E2:E999, A155)</f>
        <v>1</v>
      </c>
      <c r="Q155" s="3" t="str">
        <f>_xlfn.IFNA(INDEX(ConformanceSubstrates!C2:C999, MATCH(D155,ConformanceSubstrates!A2:A999, 0)), "")</f>
        <v>Excel</v>
      </c>
      <c r="R155" s="3" t="str">
        <f>_xlfn.IFNA(INDEX(RulebookTables!F2:F999, MATCH(E155,RulebookTables!A2:A999, 0)), "")</f>
        <v>access-control</v>
      </c>
      <c r="S155" s="2" t="s">
        <v>1898</v>
      </c>
    </row>
    <row r="156">
      <c r="A156" s="2" t="s">
        <v>14163</v>
      </c>
      <c r="B156" s="3" t="str">
        <f>_xlfn.CONCAT(D156, " / ", E156)</f>
        <v>effortless-xlsx / AccessPolicies</v>
      </c>
      <c r="C156" s="2" t="s">
        <v>13999</v>
      </c>
      <c r="D156" s="2" t="s">
        <v>13987</v>
      </c>
      <c r="E156" s="2" t="s">
        <v>5346</v>
      </c>
      <c r="F156" s="2">
        <v>202</v>
      </c>
      <c r="G156" s="2">
        <v>7</v>
      </c>
      <c r="H156" s="2">
        <v>1414</v>
      </c>
      <c r="I156" s="2">
        <v>1414</v>
      </c>
      <c r="J156" s="2" t="b">
        <v>0</v>
      </c>
      <c r="K156" s="3">
        <f>H156 - I156</f>
        <v>0</v>
      </c>
      <c r="L156" s="3">
        <f>IF(H156 = 0, 0, ROUND(100 * I156 / H156, 2))</f>
        <v>100</v>
      </c>
      <c r="M156" s="3" t="b">
        <f>K156 = 0</f>
        <v>1</v>
      </c>
      <c r="N156" s="3" t="str">
        <f>IF(M156, "", D156)</f>
      </c>
      <c r="O156" s="3" t="str">
        <f>IF(M156, "", E156)</f>
      </c>
      <c r="P156" s="3">
        <f>COUNTIFS(FieldDisagreements!E2:E999, A156)</f>
        <v>0</v>
      </c>
      <c r="Q156" s="3" t="str">
        <f>_xlfn.IFNA(INDEX(ConformanceSubstrates!C2:C999, MATCH(D156,ConformanceSubstrates!A2:A999, 0)), "")</f>
        <v>Excel</v>
      </c>
      <c r="R156" s="3" t="str">
        <f>_xlfn.IFNA(INDEX(RulebookTables!F2:F999, MATCH(E156,RulebookTables!A2:A999, 0)), "")</f>
        <v>access-control</v>
      </c>
      <c r="S156" s="2" t="s">
        <v>1898</v>
      </c>
    </row>
    <row r="157">
      <c r="A157" s="2" t="s">
        <v>14164</v>
      </c>
      <c r="B157" s="3" t="str">
        <f>_xlfn.CONCAT(D157, " / ", E157)</f>
        <v>effortless-xlsx / FieldGrants</v>
      </c>
      <c r="C157" s="2" t="s">
        <v>13999</v>
      </c>
      <c r="D157" s="2" t="s">
        <v>13987</v>
      </c>
      <c r="E157" s="2" t="s">
        <v>5382</v>
      </c>
      <c r="F157" s="2">
        <v>3639</v>
      </c>
      <c r="G157" s="2">
        <v>7</v>
      </c>
      <c r="H157" s="2">
        <v>25473</v>
      </c>
      <c r="I157" s="2">
        <v>20725</v>
      </c>
      <c r="J157" s="2" t="b">
        <v>0</v>
      </c>
      <c r="K157" s="3">
        <f>H157 - I157</f>
        <v>4748</v>
      </c>
      <c r="L157" s="3">
        <f>IF(H157 = 0, 0, ROUND(100 * I157 / H157, 2))</f>
        <v>81.36</v>
      </c>
      <c r="M157" s="3" t="b">
        <f>K157 = 0</f>
        <v>0</v>
      </c>
      <c r="N157" s="3" t="str">
        <f>IF(M157, "", D157)</f>
        <v>effortless-xlsx</v>
      </c>
      <c r="O157" s="3" t="str">
        <f>IF(M157, "", E157)</f>
        <v>FieldGrants</v>
      </c>
      <c r="P157" s="3">
        <f>COUNTIFS(FieldDisagreements!E2:E999, A157)</f>
        <v>4</v>
      </c>
      <c r="Q157" s="3" t="str">
        <f>_xlfn.IFNA(INDEX(ConformanceSubstrates!C2:C999, MATCH(D157,ConformanceSubstrates!A2:A999, 0)), "")</f>
        <v>Excel</v>
      </c>
      <c r="R157" s="3" t="str">
        <f>_xlfn.IFNA(INDEX(RulebookTables!F2:F999, MATCH(E157,RulebookTables!A2:A999, 0)), "")</f>
        <v>access-control</v>
      </c>
      <c r="S157" s="2" t="s">
        <v>1898</v>
      </c>
    </row>
    <row r="158">
      <c r="A158" s="2" t="s">
        <v>14165</v>
      </c>
      <c r="B158" s="3" t="str">
        <f>_xlfn.CONCAT(D158, " / ", E158)</f>
        <v>effortless-xlsx / RoleSchemas</v>
      </c>
      <c r="C158" s="2" t="s">
        <v>13999</v>
      </c>
      <c r="D158" s="2" t="s">
        <v>13987</v>
      </c>
      <c r="E158" s="2" t="s">
        <v>5413</v>
      </c>
      <c r="F158" s="2">
        <v>12</v>
      </c>
      <c r="G158" s="2">
        <v>4</v>
      </c>
      <c r="H158" s="2">
        <v>48</v>
      </c>
      <c r="I158" s="2">
        <v>48</v>
      </c>
      <c r="J158" s="2" t="b">
        <v>0</v>
      </c>
      <c r="K158" s="3">
        <f>H158 - I158</f>
        <v>0</v>
      </c>
      <c r="L158" s="3">
        <f>IF(H158 = 0, 0, ROUND(100 * I158 / H158, 2))</f>
        <v>100</v>
      </c>
      <c r="M158" s="3" t="b">
        <f>K158 = 0</f>
        <v>1</v>
      </c>
      <c r="N158" s="3" t="str">
        <f>IF(M158, "", D158)</f>
      </c>
      <c r="O158" s="3" t="str">
        <f>IF(M158, "", E158)</f>
      </c>
      <c r="P158" s="3">
        <f>COUNTIFS(FieldDisagreements!E2:E999, A158)</f>
        <v>0</v>
      </c>
      <c r="Q158" s="3" t="str">
        <f>_xlfn.IFNA(INDEX(ConformanceSubstrates!C2:C999, MATCH(D158,ConformanceSubstrates!A2:A999, 0)), "")</f>
        <v>Excel</v>
      </c>
      <c r="R158" s="3" t="str">
        <f>_xlfn.IFNA(INDEX(RulebookTables!F2:F999, MATCH(E158,RulebookTables!A2:A999, 0)), "")</f>
        <v>org</v>
      </c>
      <c r="S158" s="2" t="s">
        <v>1898</v>
      </c>
    </row>
    <row r="159">
      <c r="A159" s="2" t="s">
        <v>14166</v>
      </c>
      <c r="B159" s="3" t="str">
        <f>_xlfn.CONCAT(D159, " / ", E159)</f>
        <v>effortless-xlsx / RoleSchemaViews</v>
      </c>
      <c r="C159" s="2" t="s">
        <v>13999</v>
      </c>
      <c r="D159" s="2" t="s">
        <v>13987</v>
      </c>
      <c r="E159" s="2" t="s">
        <v>5431</v>
      </c>
      <c r="F159" s="2">
        <v>202</v>
      </c>
      <c r="G159" s="2">
        <v>8</v>
      </c>
      <c r="H159" s="2">
        <v>1616</v>
      </c>
      <c r="I159" s="2">
        <v>1111</v>
      </c>
      <c r="J159" s="2" t="b">
        <v>0</v>
      </c>
      <c r="K159" s="3">
        <f>H159 - I159</f>
        <v>505</v>
      </c>
      <c r="L159" s="3">
        <f>IF(H159 = 0, 0, ROUND(100 * I159 / H159, 2))</f>
        <v>68.75</v>
      </c>
      <c r="M159" s="3" t="b">
        <f>K159 = 0</f>
        <v>0</v>
      </c>
      <c r="N159" s="3" t="str">
        <f>IF(M159, "", D159)</f>
        <v>effortless-xlsx</v>
      </c>
      <c r="O159" s="3" t="str">
        <f>IF(M159, "", E159)</f>
        <v>RoleSchemaViews</v>
      </c>
      <c r="P159" s="3">
        <f>COUNTIFS(FieldDisagreements!E2:E999, A159)</f>
        <v>4</v>
      </c>
      <c r="Q159" s="3" t="str">
        <f>_xlfn.IFNA(INDEX(ConformanceSubstrates!C2:C999, MATCH(D159,ConformanceSubstrates!A2:A999, 0)), "")</f>
        <v>Excel</v>
      </c>
      <c r="R159" s="3" t="str">
        <f>_xlfn.IFNA(INDEX(RulebookTables!F2:F999, MATCH(E159,RulebookTables!A2:A999, 0)), "")</f>
        <v>org</v>
      </c>
      <c r="S159" s="2" t="s">
        <v>1898</v>
      </c>
    </row>
    <row r="160">
      <c r="A160" s="2" t="s">
        <v>14167</v>
      </c>
      <c r="B160" s="3" t="str">
        <f>_xlfn.CONCAT(D160, " / ", E160)</f>
        <v>effortless-xlsx / JwtClaimMappings</v>
      </c>
      <c r="C160" s="2" t="s">
        <v>13999</v>
      </c>
      <c r="D160" s="2" t="s">
        <v>13987</v>
      </c>
      <c r="E160" s="2" t="s">
        <v>5463</v>
      </c>
      <c r="F160" s="2">
        <v>4</v>
      </c>
      <c r="G160" s="2">
        <v>2</v>
      </c>
      <c r="H160" s="2">
        <v>8</v>
      </c>
      <c r="I160" s="2">
        <v>8</v>
      </c>
      <c r="J160" s="2" t="b">
        <v>0</v>
      </c>
      <c r="K160" s="3">
        <f>H160 - I160</f>
        <v>0</v>
      </c>
      <c r="L160" s="3">
        <f>IF(H160 = 0, 0, ROUND(100 * I160 / H160, 2))</f>
        <v>100</v>
      </c>
      <c r="M160" s="3" t="b">
        <f>K160 = 0</f>
        <v>1</v>
      </c>
      <c r="N160" s="3" t="str">
        <f>IF(M160, "", D160)</f>
      </c>
      <c r="O160" s="3" t="str">
        <f>IF(M160, "", E160)</f>
      </c>
      <c r="P160" s="3">
        <f>COUNTIFS(FieldDisagreements!E2:E999, A160)</f>
        <v>0</v>
      </c>
      <c r="Q160" s="3" t="str">
        <f>_xlfn.IFNA(INDEX(ConformanceSubstrates!C2:C999, MATCH(D160,ConformanceSubstrates!A2:A999, 0)), "")</f>
        <v>Excel</v>
      </c>
      <c r="R160" s="3" t="str">
        <f>_xlfn.IFNA(INDEX(RulebookTables!F2:F999, MATCH(E160,RulebookTables!A2:A999, 0)), "")</f>
        <v>access-control</v>
      </c>
      <c r="S160" s="2" t="s">
        <v>1898</v>
      </c>
    </row>
    <row r="161">
      <c r="A161" s="2" t="s">
        <v>14168</v>
      </c>
      <c r="B161" s="3" t="str">
        <f>_xlfn.CONCAT(D161, " / ", E161)</f>
        <v>effortless-xlsx / AccessDenialTests</v>
      </c>
      <c r="C161" s="2" t="s">
        <v>13999</v>
      </c>
      <c r="D161" s="2" t="s">
        <v>13987</v>
      </c>
      <c r="E161" s="2" t="s">
        <v>5482</v>
      </c>
      <c r="F161" s="2">
        <v>17</v>
      </c>
      <c r="G161" s="2">
        <v>6</v>
      </c>
      <c r="H161" s="2">
        <v>102</v>
      </c>
      <c r="I161" s="2">
        <v>102</v>
      </c>
      <c r="J161" s="2" t="b">
        <v>0</v>
      </c>
      <c r="K161" s="3">
        <f>H161 - I161</f>
        <v>0</v>
      </c>
      <c r="L161" s="3">
        <f>IF(H161 = 0, 0, ROUND(100 * I161 / H161, 2))</f>
        <v>100</v>
      </c>
      <c r="M161" s="3" t="b">
        <f>K161 = 0</f>
        <v>1</v>
      </c>
      <c r="N161" s="3" t="str">
        <f>IF(M161, "", D161)</f>
      </c>
      <c r="O161" s="3" t="str">
        <f>IF(M161, "", E161)</f>
      </c>
      <c r="P161" s="3">
        <f>COUNTIFS(FieldDisagreements!E2:E999, A161)</f>
        <v>0</v>
      </c>
      <c r="Q161" s="3" t="str">
        <f>_xlfn.IFNA(INDEX(ConformanceSubstrates!C2:C999, MATCH(D161,ConformanceSubstrates!A2:A999, 0)), "")</f>
        <v>Excel</v>
      </c>
      <c r="R161" s="3" t="str">
        <f>_xlfn.IFNA(INDEX(RulebookTables!F2:F999, MATCH(E161,RulebookTables!A2:A999, 0)), "")</f>
        <v>access-control</v>
      </c>
      <c r="S161" s="2" t="s">
        <v>1898</v>
      </c>
    </row>
    <row r="162">
      <c r="A162" s="2" t="s">
        <v>14169</v>
      </c>
      <c r="B162" s="3" t="str">
        <f>_xlfn.CONCAT(D162, " / ", E162)</f>
        <v>effortless-xlsx / AppUsers</v>
      </c>
      <c r="C162" s="2" t="s">
        <v>13999</v>
      </c>
      <c r="D162" s="2" t="s">
        <v>13987</v>
      </c>
      <c r="E162" s="2" t="s">
        <v>5518</v>
      </c>
      <c r="F162" s="2">
        <v>10</v>
      </c>
      <c r="G162" s="2">
        <v>7</v>
      </c>
      <c r="H162" s="2">
        <v>70</v>
      </c>
      <c r="I162" s="2">
        <v>70</v>
      </c>
      <c r="J162" s="2" t="b">
        <v>0</v>
      </c>
      <c r="K162" s="3">
        <f>H162 - I162</f>
        <v>0</v>
      </c>
      <c r="L162" s="3">
        <f>IF(H162 = 0, 0, ROUND(100 * I162 / H162, 2))</f>
        <v>100</v>
      </c>
      <c r="M162" s="3" t="b">
        <f>K162 = 0</f>
        <v>1</v>
      </c>
      <c r="N162" s="3" t="str">
        <f>IF(M162, "", D162)</f>
      </c>
      <c r="O162" s="3" t="str">
        <f>IF(M162, "", E162)</f>
      </c>
      <c r="P162" s="3">
        <f>COUNTIFS(FieldDisagreements!E2:E999, A162)</f>
        <v>0</v>
      </c>
      <c r="Q162" s="3" t="str">
        <f>_xlfn.IFNA(INDEX(ConformanceSubstrates!C2:C999, MATCH(D162,ConformanceSubstrates!A2:A999, 0)), "")</f>
        <v>Excel</v>
      </c>
      <c r="R162" s="3" t="str">
        <f>_xlfn.IFNA(INDEX(RulebookTables!F2:F999, MATCH(E162,RulebookTables!A2:A999, 0)), "")</f>
      </c>
      <c r="S162" s="2" t="s">
        <v>1898</v>
      </c>
    </row>
    <row r="163">
      <c r="A163" s="2" t="s">
        <v>14170</v>
      </c>
      <c r="B163" s="3" t="str">
        <f>_xlfn.CONCAT(D163, " / ", E163)</f>
        <v>effortless-xlsx / PrincipalAssignments</v>
      </c>
      <c r="C163" s="2" t="s">
        <v>13999</v>
      </c>
      <c r="D163" s="2" t="s">
        <v>13987</v>
      </c>
      <c r="E163" s="2" t="s">
        <v>5545</v>
      </c>
      <c r="F163" s="2">
        <v>12</v>
      </c>
      <c r="G163" s="2">
        <v>5</v>
      </c>
      <c r="H163" s="2">
        <v>60</v>
      </c>
      <c r="I163" s="2">
        <v>60</v>
      </c>
      <c r="J163" s="2" t="b">
        <v>0</v>
      </c>
      <c r="K163" s="3">
        <f>H163 - I163</f>
        <v>0</v>
      </c>
      <c r="L163" s="3">
        <f>IF(H163 = 0, 0, ROUND(100 * I163 / H163, 2))</f>
        <v>100</v>
      </c>
      <c r="M163" s="3" t="b">
        <f>K163 = 0</f>
        <v>1</v>
      </c>
      <c r="N163" s="3" t="str">
        <f>IF(M163, "", D163)</f>
      </c>
      <c r="O163" s="3" t="str">
        <f>IF(M163, "", E163)</f>
      </c>
      <c r="P163" s="3">
        <f>COUNTIFS(FieldDisagreements!E2:E999, A163)</f>
        <v>0</v>
      </c>
      <c r="Q163" s="3" t="str">
        <f>_xlfn.IFNA(INDEX(ConformanceSubstrates!C2:C999, MATCH(D163,ConformanceSubstrates!A2:A999, 0)), "")</f>
        <v>Excel</v>
      </c>
      <c r="R163" s="3" t="str">
        <f>_xlfn.IFNA(INDEX(RulebookTables!F2:F999, MATCH(E163,RulebookTables!A2:A999, 0)), "")</f>
      </c>
      <c r="S163" s="2" t="s">
        <v>1898</v>
      </c>
    </row>
    <row r="164">
      <c r="A164" s="2" t="s">
        <v>14171</v>
      </c>
      <c r="B164" s="3" t="str">
        <f>_xlfn.CONCAT(D164, " / ", E164)</f>
        <v>effortless-xlsx / ProcessMiningRuns</v>
      </c>
      <c r="C164" s="2" t="s">
        <v>13999</v>
      </c>
      <c r="D164" s="2" t="s">
        <v>13987</v>
      </c>
      <c r="E164" s="2" t="s">
        <v>1869</v>
      </c>
      <c r="F164" s="2">
        <v>4</v>
      </c>
      <c r="G164" s="2">
        <v>10</v>
      </c>
      <c r="H164" s="2">
        <v>40</v>
      </c>
      <c r="I164" s="2">
        <v>32</v>
      </c>
      <c r="J164" s="2" t="b">
        <v>0</v>
      </c>
      <c r="K164" s="3">
        <f>H164 - I164</f>
        <v>8</v>
      </c>
      <c r="L164" s="3">
        <f>IF(H164 = 0, 0, ROUND(100 * I164 / H164, 2))</f>
        <v>80</v>
      </c>
      <c r="M164" s="3" t="b">
        <f>K164 = 0</f>
        <v>0</v>
      </c>
      <c r="N164" s="3" t="str">
        <f>IF(M164, "", D164)</f>
        <v>effortless-xlsx</v>
      </c>
      <c r="O164" s="3" t="str">
        <f>IF(M164, "", E164)</f>
        <v>ProcessMiningRuns</v>
      </c>
      <c r="P164" s="3">
        <f>COUNTIFS(FieldDisagreements!E2:E999, A164)</f>
        <v>2</v>
      </c>
      <c r="Q164" s="3" t="str">
        <f>_xlfn.IFNA(INDEX(ConformanceSubstrates!C2:C999, MATCH(D164,ConformanceSubstrates!A2:A999, 0)), "")</f>
        <v>Excel</v>
      </c>
      <c r="R164" s="3" t="str">
        <f>_xlfn.IFNA(INDEX(RulebookTables!F2:F999, MATCH(E164,RulebookTables!A2:A999, 0)), "")</f>
        <v>knowledge</v>
      </c>
      <c r="S164" s="2" t="s">
        <v>1898</v>
      </c>
    </row>
    <row r="165">
      <c r="A165" s="2" t="s">
        <v>14172</v>
      </c>
      <c r="B165" s="3" t="str">
        <f>_xlfn.CONCAT(D165, " / ", E165)</f>
        <v>effortless-xlsx / Vocabularies</v>
      </c>
      <c r="C165" s="2" t="s">
        <v>13999</v>
      </c>
      <c r="D165" s="2" t="s">
        <v>13987</v>
      </c>
      <c r="E165" s="2" t="s">
        <v>1873</v>
      </c>
      <c r="F165" s="2">
        <v>2</v>
      </c>
      <c r="G165" s="2">
        <v>4</v>
      </c>
      <c r="H165" s="2">
        <v>8</v>
      </c>
      <c r="I165" s="2">
        <v>8</v>
      </c>
      <c r="J165" s="2" t="b">
        <v>0</v>
      </c>
      <c r="K165" s="3">
        <f>H165 - I165</f>
        <v>0</v>
      </c>
      <c r="L165" s="3">
        <f>IF(H165 = 0, 0, ROUND(100 * I165 / H165, 2))</f>
        <v>100</v>
      </c>
      <c r="M165" s="3" t="b">
        <f>K165 = 0</f>
        <v>1</v>
      </c>
      <c r="N165" s="3" t="str">
        <f>IF(M165, "", D165)</f>
      </c>
      <c r="O165" s="3" t="str">
        <f>IF(M165, "", E165)</f>
      </c>
      <c r="P165" s="3">
        <f>COUNTIFS(FieldDisagreements!E2:E999, A165)</f>
        <v>0</v>
      </c>
      <c r="Q165" s="3" t="str">
        <f>_xlfn.IFNA(INDEX(ConformanceSubstrates!C2:C999, MATCH(D165,ConformanceSubstrates!A2:A999, 0)), "")</f>
        <v>Excel</v>
      </c>
      <c r="R165" s="3" t="str">
        <f>_xlfn.IFNA(INDEX(RulebookTables!F2:F999, MATCH(E165,RulebookTables!A2:A999, 0)), "")</f>
        <v>knowledge</v>
      </c>
      <c r="S165" s="2" t="s">
        <v>1898</v>
      </c>
    </row>
    <row r="166">
      <c r="A166" s="2" t="s">
        <v>14173</v>
      </c>
      <c r="B166" s="3" t="str">
        <f>_xlfn.CONCAT(D166, " / ", E166)</f>
        <v>effortless-xlsx / VocabularyTerms</v>
      </c>
      <c r="C166" s="2" t="s">
        <v>13999</v>
      </c>
      <c r="D166" s="2" t="s">
        <v>13987</v>
      </c>
      <c r="E166" s="2" t="s">
        <v>1877</v>
      </c>
      <c r="F166" s="2">
        <v>12</v>
      </c>
      <c r="G166" s="2">
        <v>5</v>
      </c>
      <c r="H166" s="2">
        <v>60</v>
      </c>
      <c r="I166" s="2">
        <v>60</v>
      </c>
      <c r="J166" s="2" t="b">
        <v>0</v>
      </c>
      <c r="K166" s="3">
        <f>H166 - I166</f>
        <v>0</v>
      </c>
      <c r="L166" s="3">
        <f>IF(H166 = 0, 0, ROUND(100 * I166 / H166, 2))</f>
        <v>100</v>
      </c>
      <c r="M166" s="3" t="b">
        <f>K166 = 0</f>
        <v>1</v>
      </c>
      <c r="N166" s="3" t="str">
        <f>IF(M166, "", D166)</f>
      </c>
      <c r="O166" s="3" t="str">
        <f>IF(M166, "", E166)</f>
      </c>
      <c r="P166" s="3">
        <f>COUNTIFS(FieldDisagreements!E2:E999, A166)</f>
        <v>0</v>
      </c>
      <c r="Q166" s="3" t="str">
        <f>_xlfn.IFNA(INDEX(ConformanceSubstrates!C2:C999, MATCH(D166,ConformanceSubstrates!A2:A999, 0)), "")</f>
        <v>Excel</v>
      </c>
      <c r="R166" s="3" t="str">
        <f>_xlfn.IFNA(INDEX(RulebookTables!F2:F999, MATCH(E166,RulebookTables!A2:A999, 0)), "")</f>
        <v>knowledge</v>
      </c>
      <c r="S166" s="2" t="s">
        <v>1898</v>
      </c>
    </row>
    <row r="167">
      <c r="A167" s="2" t="s">
        <v>14174</v>
      </c>
      <c r="B167" s="3" t="str">
        <f>_xlfn.CONCAT(D167, " / ", E167)</f>
        <v>effortless-xlsx / KnowledgeBrokerLinks</v>
      </c>
      <c r="C167" s="2" t="s">
        <v>13999</v>
      </c>
      <c r="D167" s="2" t="s">
        <v>13987</v>
      </c>
      <c r="E167" s="2" t="s">
        <v>1881</v>
      </c>
      <c r="F167" s="2">
        <v>5</v>
      </c>
      <c r="G167" s="2">
        <v>8</v>
      </c>
      <c r="H167" s="2">
        <v>40</v>
      </c>
      <c r="I167" s="2">
        <v>35</v>
      </c>
      <c r="J167" s="2" t="b">
        <v>0</v>
      </c>
      <c r="K167" s="3">
        <f>H167 - I167</f>
        <v>5</v>
      </c>
      <c r="L167" s="3">
        <f>IF(H167 = 0, 0, ROUND(100 * I167 / H167, 2))</f>
        <v>87.5</v>
      </c>
      <c r="M167" s="3" t="b">
        <f>K167 = 0</f>
        <v>0</v>
      </c>
      <c r="N167" s="3" t="str">
        <f>IF(M167, "", D167)</f>
        <v>effortless-xlsx</v>
      </c>
      <c r="O167" s="3" t="str">
        <f>IF(M167, "", E167)</f>
        <v>KnowledgeBrokerLinks</v>
      </c>
      <c r="P167" s="3">
        <f>COUNTIFS(FieldDisagreements!E2:E999, A167)</f>
        <v>1</v>
      </c>
      <c r="Q167" s="3" t="str">
        <f>_xlfn.IFNA(INDEX(ConformanceSubstrates!C2:C999, MATCH(D167,ConformanceSubstrates!A2:A999, 0)), "")</f>
        <v>Excel</v>
      </c>
      <c r="R167" s="3" t="str">
        <f>_xlfn.IFNA(INDEX(RulebookTables!F2:F999, MATCH(E167,RulebookTables!A2:A999, 0)), "")</f>
        <v>knowledge</v>
      </c>
      <c r="S167" s="2" t="s">
        <v>1898</v>
      </c>
    </row>
    <row r="168">
      <c r="A168" s="2" t="s">
        <v>14175</v>
      </c>
      <c r="B168" s="3" t="str">
        <f>_xlfn.CONCAT(D168, " / ", E168)</f>
        <v>effortless-entity-framework / RulebookReleases</v>
      </c>
      <c r="C168" s="2" t="s">
        <v>13999</v>
      </c>
      <c r="D168" s="2" t="s">
        <v>13981</v>
      </c>
      <c r="E168" s="2" t="s">
        <v>2384</v>
      </c>
      <c r="F168" s="2">
        <v>1</v>
      </c>
      <c r="G168" s="2">
        <v>1</v>
      </c>
      <c r="H168" s="2">
        <v>1</v>
      </c>
      <c r="I168" s="2">
        <v>1</v>
      </c>
      <c r="J168" s="2" t="b">
        <v>0</v>
      </c>
      <c r="K168" s="3">
        <f>H168 - I168</f>
        <v>0</v>
      </c>
      <c r="L168" s="3">
        <f>IF(H168 = 0, 0, ROUND(100 * I168 / H168, 2))</f>
        <v>100</v>
      </c>
      <c r="M168" s="3" t="b">
        <f>K168 = 0</f>
        <v>1</v>
      </c>
      <c r="N168" s="3" t="str">
        <f>IF(M168, "", D168)</f>
      </c>
      <c r="O168" s="3" t="str">
        <f>IF(M168, "", E168)</f>
      </c>
      <c r="P168" s="3">
        <f>COUNTIFS(FieldDisagreements!E2:E999, A168)</f>
        <v>0</v>
      </c>
      <c r="Q168" s="3" t="str">
        <f>_xlfn.IFNA(INDEX(ConformanceSubstrates!C2:C999, MATCH(D168,ConformanceSubstrates!A2:A999, 0)), "")</f>
        <v>C# / Entity Framework</v>
      </c>
      <c r="R168" s="3" t="str">
        <f>_xlfn.IFNA(INDEX(RulebookTables!F2:F999, MATCH(E168,RulebookTables!A2:A999, 0)), "")</f>
        <v>meta</v>
      </c>
      <c r="S168" s="2" t="s">
        <v>1898</v>
      </c>
    </row>
    <row r="169">
      <c r="A169" s="2" t="s">
        <v>14176</v>
      </c>
      <c r="B169" s="3" t="str">
        <f>_xlfn.CONCAT(D169, " / ", E169)</f>
        <v>effortless-entity-framework / OntologyProfiles</v>
      </c>
      <c r="C169" s="2" t="s">
        <v>13999</v>
      </c>
      <c r="D169" s="2" t="s">
        <v>13981</v>
      </c>
      <c r="E169" s="2" t="s">
        <v>2403</v>
      </c>
      <c r="F169" s="2">
        <v>11</v>
      </c>
      <c r="G169" s="2">
        <v>1</v>
      </c>
      <c r="H169" s="2">
        <v>11</v>
      </c>
      <c r="I169" s="2">
        <v>11</v>
      </c>
      <c r="J169" s="2" t="b">
        <v>0</v>
      </c>
      <c r="K169" s="3">
        <f>H169 - I169</f>
        <v>0</v>
      </c>
      <c r="L169" s="3">
        <f>IF(H169 = 0, 0, ROUND(100 * I169 / H169, 2))</f>
        <v>100</v>
      </c>
      <c r="M169" s="3" t="b">
        <f>K169 = 0</f>
        <v>1</v>
      </c>
      <c r="N169" s="3" t="str">
        <f>IF(M169, "", D169)</f>
      </c>
      <c r="O169" s="3" t="str">
        <f>IF(M169, "", E169)</f>
      </c>
      <c r="P169" s="3">
        <f>COUNTIFS(FieldDisagreements!E2:E999, A169)</f>
        <v>0</v>
      </c>
      <c r="Q169" s="3" t="str">
        <f>_xlfn.IFNA(INDEX(ConformanceSubstrates!C2:C999, MATCH(D169,ConformanceSubstrates!A2:A999, 0)), "")</f>
        <v>C# / Entity Framework</v>
      </c>
      <c r="R169" s="3" t="str">
        <f>_xlfn.IFNA(INDEX(RulebookTables!F2:F999, MATCH(E169,RulebookTables!A2:A999, 0)), "")</f>
        <v>domain</v>
      </c>
      <c r="S169" s="2" t="s">
        <v>1898</v>
      </c>
    </row>
    <row r="170">
      <c r="A170" s="2" t="s">
        <v>14177</v>
      </c>
      <c r="B170" s="3" t="str">
        <f>_xlfn.CONCAT(D170, " / ", E170)</f>
        <v>effortless-entity-framework / EvaluationContexts</v>
      </c>
      <c r="C170" s="2" t="s">
        <v>13999</v>
      </c>
      <c r="D170" s="2" t="s">
        <v>13981</v>
      </c>
      <c r="E170" s="2" t="s">
        <v>2413</v>
      </c>
      <c r="F170" s="2">
        <v>1</v>
      </c>
      <c r="G170" s="2">
        <v>1</v>
      </c>
      <c r="H170" s="2">
        <v>1</v>
      </c>
      <c r="I170" s="2">
        <v>0</v>
      </c>
      <c r="J170" s="2" t="b">
        <v>0</v>
      </c>
      <c r="K170" s="3">
        <f>H170 - I170</f>
        <v>1</v>
      </c>
      <c r="L170" s="3">
        <f>IF(H170 = 0, 0, ROUND(100 * I170 / H170, 2))</f>
        <v>0</v>
      </c>
      <c r="M170" s="3" t="b">
        <f>K170 = 0</f>
        <v>0</v>
      </c>
      <c r="N170" s="3" t="str">
        <f>IF(M170, "", D170)</f>
        <v>effortless-entity-framework</v>
      </c>
      <c r="O170" s="3" t="str">
        <f>IF(M170, "", E170)</f>
        <v>EvaluationContexts</v>
      </c>
      <c r="P170" s="3">
        <f>COUNTIFS(FieldDisagreements!E2:E999, A170)</f>
        <v>1</v>
      </c>
      <c r="Q170" s="3" t="str">
        <f>_xlfn.IFNA(INDEX(ConformanceSubstrates!C2:C999, MATCH(D170,ConformanceSubstrates!A2:A999, 0)), "")</f>
        <v>C# / Entity Framework</v>
      </c>
      <c r="R170" s="3" t="str">
        <f>_xlfn.IFNA(INDEX(RulebookTables!F2:F999, MATCH(E170,RulebookTables!A2:A999, 0)), "")</f>
        <v>meta</v>
      </c>
      <c r="S170" s="2" t="s">
        <v>1898</v>
      </c>
    </row>
    <row r="171">
      <c r="A171" s="2" t="s">
        <v>14178</v>
      </c>
      <c r="B171" s="3" t="str">
        <f>_xlfn.CONCAT(D171, " / ", E171)</f>
        <v>effortless-entity-framework / Organizations</v>
      </c>
      <c r="C171" s="2" t="s">
        <v>13999</v>
      </c>
      <c r="D171" s="2" t="s">
        <v>13981</v>
      </c>
      <c r="E171" s="2" t="s">
        <v>2422</v>
      </c>
      <c r="F171" s="2">
        <v>4</v>
      </c>
      <c r="G171" s="2">
        <v>1</v>
      </c>
      <c r="H171" s="2">
        <v>4</v>
      </c>
      <c r="I171" s="2">
        <v>4</v>
      </c>
      <c r="J171" s="2" t="b">
        <v>0</v>
      </c>
      <c r="K171" s="3">
        <f>H171 - I171</f>
        <v>0</v>
      </c>
      <c r="L171" s="3">
        <f>IF(H171 = 0, 0, ROUND(100 * I171 / H171, 2))</f>
        <v>100</v>
      </c>
      <c r="M171" s="3" t="b">
        <f>K171 = 0</f>
        <v>1</v>
      </c>
      <c r="N171" s="3" t="str">
        <f>IF(M171, "", D171)</f>
      </c>
      <c r="O171" s="3" t="str">
        <f>IF(M171, "", E171)</f>
      </c>
      <c r="P171" s="3">
        <f>COUNTIFS(FieldDisagreements!E2:E999, A171)</f>
        <v>0</v>
      </c>
      <c r="Q171" s="3" t="str">
        <f>_xlfn.IFNA(INDEX(ConformanceSubstrates!C2:C999, MATCH(D171,ConformanceSubstrates!A2:A999, 0)), "")</f>
        <v>C# / Entity Framework</v>
      </c>
      <c r="R171" s="3" t="str">
        <f>_xlfn.IFNA(INDEX(RulebookTables!F2:F999, MATCH(E171,RulebookTables!A2:A999, 0)), "")</f>
        <v>org</v>
      </c>
      <c r="S171" s="2" t="s">
        <v>1898</v>
      </c>
    </row>
    <row r="172">
      <c r="A172" s="2" t="s">
        <v>14179</v>
      </c>
      <c r="B172" s="3" t="str">
        <f>_xlfn.CONCAT(D172, " / ", E172)</f>
        <v>effortless-entity-framework / Agents</v>
      </c>
      <c r="C172" s="2" t="s">
        <v>13999</v>
      </c>
      <c r="D172" s="2" t="s">
        <v>13981</v>
      </c>
      <c r="E172" s="2" t="s">
        <v>1794</v>
      </c>
      <c r="F172" s="2">
        <v>11</v>
      </c>
      <c r="G172" s="2">
        <v>16</v>
      </c>
      <c r="H172" s="2">
        <v>176</v>
      </c>
      <c r="I172" s="2">
        <v>176</v>
      </c>
      <c r="J172" s="2" t="b">
        <v>0</v>
      </c>
      <c r="K172" s="3">
        <f>H172 - I172</f>
        <v>0</v>
      </c>
      <c r="L172" s="3">
        <f>IF(H172 = 0, 0, ROUND(100 * I172 / H172, 2))</f>
        <v>100</v>
      </c>
      <c r="M172" s="3" t="b">
        <f>K172 = 0</f>
        <v>1</v>
      </c>
      <c r="N172" s="3" t="str">
        <f>IF(M172, "", D172)</f>
      </c>
      <c r="O172" s="3" t="str">
        <f>IF(M172, "", E172)</f>
      </c>
      <c r="P172" s="3">
        <f>COUNTIFS(FieldDisagreements!E2:E999, A172)</f>
        <v>0</v>
      </c>
      <c r="Q172" s="3" t="str">
        <f>_xlfn.IFNA(INDEX(ConformanceSubstrates!C2:C999, MATCH(D172,ConformanceSubstrates!A2:A999, 0)), "")</f>
        <v>C# / Entity Framework</v>
      </c>
      <c r="R172" s="3" t="str">
        <f>_xlfn.IFNA(INDEX(RulebookTables!F2:F999, MATCH(E172,RulebookTables!A2:A999, 0)), "")</f>
        <v>org</v>
      </c>
      <c r="S172" s="2" t="s">
        <v>1898</v>
      </c>
    </row>
    <row r="173">
      <c r="A173" s="2" t="s">
        <v>14180</v>
      </c>
      <c r="B173" s="3" t="str">
        <f>_xlfn.CONCAT(D173, " / ", E173)</f>
        <v>effortless-entity-framework / Roles</v>
      </c>
      <c r="C173" s="2" t="s">
        <v>13999</v>
      </c>
      <c r="D173" s="2" t="s">
        <v>13981</v>
      </c>
      <c r="E173" s="2" t="s">
        <v>1798</v>
      </c>
      <c r="F173" s="2">
        <v>12</v>
      </c>
      <c r="G173" s="2">
        <v>17</v>
      </c>
      <c r="H173" s="2">
        <v>204</v>
      </c>
      <c r="I173" s="2">
        <v>204</v>
      </c>
      <c r="J173" s="2" t="b">
        <v>0</v>
      </c>
      <c r="K173" s="3">
        <f>H173 - I173</f>
        <v>0</v>
      </c>
      <c r="L173" s="3">
        <f>IF(H173 = 0, 0, ROUND(100 * I173 / H173, 2))</f>
        <v>100</v>
      </c>
      <c r="M173" s="3" t="b">
        <f>K173 = 0</f>
        <v>1</v>
      </c>
      <c r="N173" s="3" t="str">
        <f>IF(M173, "", D173)</f>
      </c>
      <c r="O173" s="3" t="str">
        <f>IF(M173, "", E173)</f>
      </c>
      <c r="P173" s="3">
        <f>COUNTIFS(FieldDisagreements!E2:E999, A173)</f>
        <v>0</v>
      </c>
      <c r="Q173" s="3" t="str">
        <f>_xlfn.IFNA(INDEX(ConformanceSubstrates!C2:C999, MATCH(D173,ConformanceSubstrates!A2:A999, 0)), "")</f>
        <v>C# / Entity Framework</v>
      </c>
      <c r="R173" s="3" t="str">
        <f>_xlfn.IFNA(INDEX(RulebookTables!F2:F999, MATCH(E173,RulebookTables!A2:A999, 0)), "")</f>
        <v>org</v>
      </c>
      <c r="S173" s="2" t="s">
        <v>1898</v>
      </c>
    </row>
    <row r="174">
      <c r="A174" s="2" t="s">
        <v>14181</v>
      </c>
      <c r="B174" s="3" t="str">
        <f>_xlfn.CONCAT(D174, " / ", E174)</f>
        <v>effortless-entity-framework / RoleAssignments</v>
      </c>
      <c r="C174" s="2" t="s">
        <v>13999</v>
      </c>
      <c r="D174" s="2" t="s">
        <v>13981</v>
      </c>
      <c r="E174" s="2" t="s">
        <v>1801</v>
      </c>
      <c r="F174" s="2">
        <v>13</v>
      </c>
      <c r="G174" s="2">
        <v>47</v>
      </c>
      <c r="H174" s="2">
        <v>611</v>
      </c>
      <c r="I174" s="2">
        <v>584</v>
      </c>
      <c r="J174" s="2" t="b">
        <v>0</v>
      </c>
      <c r="K174" s="3">
        <f>H174 - I174</f>
        <v>27</v>
      </c>
      <c r="L174" s="3">
        <f>IF(H174 = 0, 0, ROUND(100 * I174 / H174, 2))</f>
        <v>95.58</v>
      </c>
      <c r="M174" s="3" t="b">
        <f>K174 = 0</f>
        <v>0</v>
      </c>
      <c r="N174" s="3" t="str">
        <f>IF(M174, "", D174)</f>
        <v>effortless-entity-framework</v>
      </c>
      <c r="O174" s="3" t="str">
        <f>IF(M174, "", E174)</f>
        <v>RoleAssignments</v>
      </c>
      <c r="P174" s="3">
        <f>COUNTIFS(FieldDisagreements!E2:E999, A174)</f>
        <v>3</v>
      </c>
      <c r="Q174" s="3" t="str">
        <f>_xlfn.IFNA(INDEX(ConformanceSubstrates!C2:C999, MATCH(D174,ConformanceSubstrates!A2:A999, 0)), "")</f>
        <v>C# / Entity Framework</v>
      </c>
      <c r="R174" s="3" t="str">
        <f>_xlfn.IFNA(INDEX(RulebookTables!F2:F999, MATCH(E174,RulebookTables!A2:A999, 0)), "")</f>
        <v>org</v>
      </c>
      <c r="S174" s="2" t="s">
        <v>1898</v>
      </c>
    </row>
    <row r="175">
      <c r="A175" s="2" t="s">
        <v>14182</v>
      </c>
      <c r="B175" s="3" t="str">
        <f>_xlfn.CONCAT(D175, " / ", E175)</f>
        <v>effortless-entity-framework / CommunitiesOfPractice</v>
      </c>
      <c r="C175" s="2" t="s">
        <v>13999</v>
      </c>
      <c r="D175" s="2" t="s">
        <v>13981</v>
      </c>
      <c r="E175" s="2" t="s">
        <v>2624</v>
      </c>
      <c r="F175" s="2">
        <v>2</v>
      </c>
      <c r="G175" s="2">
        <v>1</v>
      </c>
      <c r="H175" s="2">
        <v>2</v>
      </c>
      <c r="I175" s="2">
        <v>2</v>
      </c>
      <c r="J175" s="2" t="b">
        <v>0</v>
      </c>
      <c r="K175" s="3">
        <f>H175 - I175</f>
        <v>0</v>
      </c>
      <c r="L175" s="3">
        <f>IF(H175 = 0, 0, ROUND(100 * I175 / H175, 2))</f>
        <v>100</v>
      </c>
      <c r="M175" s="3" t="b">
        <f>K175 = 0</f>
        <v>1</v>
      </c>
      <c r="N175" s="3" t="str">
        <f>IF(M175, "", D175)</f>
      </c>
      <c r="O175" s="3" t="str">
        <f>IF(M175, "", E175)</f>
      </c>
      <c r="P175" s="3">
        <f>COUNTIFS(FieldDisagreements!E2:E999, A175)</f>
        <v>0</v>
      </c>
      <c r="Q175" s="3" t="str">
        <f>_xlfn.IFNA(INDEX(ConformanceSubstrates!C2:C999, MATCH(D175,ConformanceSubstrates!A2:A999, 0)), "")</f>
        <v>C# / Entity Framework</v>
      </c>
      <c r="R175" s="3" t="str">
        <f>_xlfn.IFNA(INDEX(RulebookTables!F2:F999, MATCH(E175,RulebookTables!A2:A999, 0)), "")</f>
        <v>org</v>
      </c>
      <c r="S175" s="2" t="s">
        <v>1898</v>
      </c>
    </row>
    <row r="176">
      <c r="A176" s="2" t="s">
        <v>14183</v>
      </c>
      <c r="B176" s="3" t="str">
        <f>_xlfn.CONCAT(D176, " / ", E176)</f>
        <v>effortless-entity-framework / Mentorships</v>
      </c>
      <c r="C176" s="2" t="s">
        <v>13999</v>
      </c>
      <c r="D176" s="2" t="s">
        <v>13981</v>
      </c>
      <c r="E176" s="2" t="s">
        <v>2633</v>
      </c>
      <c r="F176" s="2">
        <v>1</v>
      </c>
      <c r="G176" s="2">
        <v>1</v>
      </c>
      <c r="H176" s="2">
        <v>1</v>
      </c>
      <c r="I176" s="2">
        <v>1</v>
      </c>
      <c r="J176" s="2" t="b">
        <v>0</v>
      </c>
      <c r="K176" s="3">
        <f>H176 - I176</f>
        <v>0</v>
      </c>
      <c r="L176" s="3">
        <f>IF(H176 = 0, 0, ROUND(100 * I176 / H176, 2))</f>
        <v>100</v>
      </c>
      <c r="M176" s="3" t="b">
        <f>K176 = 0</f>
        <v>1</v>
      </c>
      <c r="N176" s="3" t="str">
        <f>IF(M176, "", D176)</f>
      </c>
      <c r="O176" s="3" t="str">
        <f>IF(M176, "", E176)</f>
      </c>
      <c r="P176" s="3">
        <f>COUNTIFS(FieldDisagreements!E2:E999, A176)</f>
        <v>0</v>
      </c>
      <c r="Q176" s="3" t="str">
        <f>_xlfn.IFNA(INDEX(ConformanceSubstrates!C2:C999, MATCH(D176,ConformanceSubstrates!A2:A999, 0)), "")</f>
        <v>C# / Entity Framework</v>
      </c>
      <c r="R176" s="3" t="str">
        <f>_xlfn.IFNA(INDEX(RulebookTables!F2:F999, MATCH(E176,RulebookTables!A2:A999, 0)), "")</f>
        <v>org</v>
      </c>
      <c r="S176" s="2" t="s">
        <v>1898</v>
      </c>
    </row>
    <row r="177">
      <c r="A177" s="2" t="s">
        <v>14184</v>
      </c>
      <c r="B177" s="3" t="str">
        <f>_xlfn.CONCAT(D177, " / ", E177)</f>
        <v>effortless-entity-framework / ProcedureTypes</v>
      </c>
      <c r="C177" s="2" t="s">
        <v>13999</v>
      </c>
      <c r="D177" s="2" t="s">
        <v>13981</v>
      </c>
      <c r="E177" s="2" t="s">
        <v>2645</v>
      </c>
      <c r="F177" s="2">
        <v>2</v>
      </c>
      <c r="G177" s="2">
        <v>1</v>
      </c>
      <c r="H177" s="2">
        <v>2</v>
      </c>
      <c r="I177" s="2">
        <v>2</v>
      </c>
      <c r="J177" s="2" t="b">
        <v>0</v>
      </c>
      <c r="K177" s="3">
        <f>H177 - I177</f>
        <v>0</v>
      </c>
      <c r="L177" s="3">
        <f>IF(H177 = 0, 0, ROUND(100 * I177 / H177, 2))</f>
        <v>100</v>
      </c>
      <c r="M177" s="3" t="b">
        <f>K177 = 0</f>
        <v>1</v>
      </c>
      <c r="N177" s="3" t="str">
        <f>IF(M177, "", D177)</f>
      </c>
      <c r="O177" s="3" t="str">
        <f>IF(M177, "", E177)</f>
      </c>
      <c r="P177" s="3">
        <f>COUNTIFS(FieldDisagreements!E2:E999, A177)</f>
        <v>0</v>
      </c>
      <c r="Q177" s="3" t="str">
        <f>_xlfn.IFNA(INDEX(ConformanceSubstrates!C2:C999, MATCH(D177,ConformanceSubstrates!A2:A999, 0)), "")</f>
        <v>C# / Entity Framework</v>
      </c>
      <c r="R177" s="3" t="str">
        <f>_xlfn.IFNA(INDEX(RulebookTables!F2:F999, MATCH(E177,RulebookTables!A2:A999, 0)), "")</f>
        <v>specification</v>
      </c>
      <c r="S177" s="2" t="s">
        <v>1898</v>
      </c>
    </row>
    <row r="178">
      <c r="A178" s="2" t="s">
        <v>14185</v>
      </c>
      <c r="B178" s="3" t="str">
        <f>_xlfn.CONCAT(D178, " / ", E178)</f>
        <v>effortless-entity-framework / Procedures</v>
      </c>
      <c r="C178" s="2" t="s">
        <v>13999</v>
      </c>
      <c r="D178" s="2" t="s">
        <v>13981</v>
      </c>
      <c r="E178" s="2" t="s">
        <v>1742</v>
      </c>
      <c r="F178" s="2">
        <v>2</v>
      </c>
      <c r="G178" s="2">
        <v>1</v>
      </c>
      <c r="H178" s="2">
        <v>2</v>
      </c>
      <c r="I178" s="2">
        <v>2</v>
      </c>
      <c r="J178" s="2" t="b">
        <v>0</v>
      </c>
      <c r="K178" s="3">
        <f>H178 - I178</f>
        <v>0</v>
      </c>
      <c r="L178" s="3">
        <f>IF(H178 = 0, 0, ROUND(100 * I178 / H178, 2))</f>
        <v>100</v>
      </c>
      <c r="M178" s="3" t="b">
        <f>K178 = 0</f>
        <v>1</v>
      </c>
      <c r="N178" s="3" t="str">
        <f>IF(M178, "", D178)</f>
      </c>
      <c r="O178" s="3" t="str">
        <f>IF(M178, "", E178)</f>
      </c>
      <c r="P178" s="3">
        <f>COUNTIFS(FieldDisagreements!E2:E999, A178)</f>
        <v>0</v>
      </c>
      <c r="Q178" s="3" t="str">
        <f>_xlfn.IFNA(INDEX(ConformanceSubstrates!C2:C999, MATCH(D178,ConformanceSubstrates!A2:A999, 0)), "")</f>
        <v>C# / Entity Framework</v>
      </c>
      <c r="R178" s="3" t="str">
        <f>_xlfn.IFNA(INDEX(RulebookTables!F2:F999, MATCH(E178,RulebookTables!A2:A999, 0)), "")</f>
        <v>specification</v>
      </c>
      <c r="S178" s="2" t="s">
        <v>1898</v>
      </c>
    </row>
    <row r="179">
      <c r="A179" s="2" t="s">
        <v>14186</v>
      </c>
      <c r="B179" s="3" t="str">
        <f>_xlfn.CONCAT(D179, " / ", E179)</f>
        <v>effortless-entity-framework / ProcedureVersions</v>
      </c>
      <c r="C179" s="2" t="s">
        <v>13999</v>
      </c>
      <c r="D179" s="2" t="s">
        <v>13981</v>
      </c>
      <c r="E179" s="2" t="s">
        <v>1747</v>
      </c>
      <c r="F179" s="2">
        <v>3</v>
      </c>
      <c r="G179" s="2">
        <v>72</v>
      </c>
      <c r="H179" s="2">
        <v>216</v>
      </c>
      <c r="I179" s="2">
        <v>209</v>
      </c>
      <c r="J179" s="2" t="b">
        <v>0</v>
      </c>
      <c r="K179" s="3">
        <f>H179 - I179</f>
        <v>7</v>
      </c>
      <c r="L179" s="3">
        <f>IF(H179 = 0, 0, ROUND(100 * I179 / H179, 2))</f>
        <v>96.76</v>
      </c>
      <c r="M179" s="3" t="b">
        <f>K179 = 0</f>
        <v>0</v>
      </c>
      <c r="N179" s="3" t="str">
        <f>IF(M179, "", D179)</f>
        <v>effortless-entity-framework</v>
      </c>
      <c r="O179" s="3" t="str">
        <f>IF(M179, "", E179)</f>
        <v>ProcedureVersions</v>
      </c>
      <c r="P179" s="3">
        <f>COUNTIFS(FieldDisagreements!E2:E999, A179)</f>
        <v>3</v>
      </c>
      <c r="Q179" s="3" t="str">
        <f>_xlfn.IFNA(INDEX(ConformanceSubstrates!C2:C999, MATCH(D179,ConformanceSubstrates!A2:A999, 0)), "")</f>
        <v>C# / Entity Framework</v>
      </c>
      <c r="R179" s="3" t="str">
        <f>_xlfn.IFNA(INDEX(RulebookTables!F2:F999, MATCH(E179,RulebookTables!A2:A999, 0)), "")</f>
        <v>specification</v>
      </c>
      <c r="S179" s="2" t="s">
        <v>1898</v>
      </c>
    </row>
    <row r="180">
      <c r="A180" s="2" t="s">
        <v>14187</v>
      </c>
      <c r="B180" s="3" t="str">
        <f>_xlfn.CONCAT(D180, " / ", E180)</f>
        <v>effortless-entity-framework / ProcedureVersionLinks</v>
      </c>
      <c r="C180" s="2" t="s">
        <v>13999</v>
      </c>
      <c r="D180" s="2" t="s">
        <v>13981</v>
      </c>
      <c r="E180" s="2" t="s">
        <v>2818</v>
      </c>
      <c r="F180" s="2">
        <v>1</v>
      </c>
      <c r="G180" s="2">
        <v>2</v>
      </c>
      <c r="H180" s="2">
        <v>2</v>
      </c>
      <c r="I180" s="2">
        <v>2</v>
      </c>
      <c r="J180" s="2" t="b">
        <v>0</v>
      </c>
      <c r="K180" s="3">
        <f>H180 - I180</f>
        <v>0</v>
      </c>
      <c r="L180" s="3">
        <f>IF(H180 = 0, 0, ROUND(100 * I180 / H180, 2))</f>
        <v>100</v>
      </c>
      <c r="M180" s="3" t="b">
        <f>K180 = 0</f>
        <v>1</v>
      </c>
      <c r="N180" s="3" t="str">
        <f>IF(M180, "", D180)</f>
      </c>
      <c r="O180" s="3" t="str">
        <f>IF(M180, "", E180)</f>
      </c>
      <c r="P180" s="3">
        <f>COUNTIFS(FieldDisagreements!E2:E999, A180)</f>
        <v>0</v>
      </c>
      <c r="Q180" s="3" t="str">
        <f>_xlfn.IFNA(INDEX(ConformanceSubstrates!C2:C999, MATCH(D180,ConformanceSubstrates!A2:A999, 0)), "")</f>
        <v>C# / Entity Framework</v>
      </c>
      <c r="R180" s="3" t="str">
        <f>_xlfn.IFNA(INDEX(RulebookTables!F2:F999, MATCH(E180,RulebookTables!A2:A999, 0)), "")</f>
        <v>specification</v>
      </c>
      <c r="S180" s="2" t="s">
        <v>1898</v>
      </c>
    </row>
    <row r="181">
      <c r="A181" s="2" t="s">
        <v>14188</v>
      </c>
      <c r="B181" s="3" t="str">
        <f>_xlfn.CONCAT(D181, " / ", E181)</f>
        <v>effortless-entity-framework / ProcedureStatusChanges</v>
      </c>
      <c r="C181" s="2" t="s">
        <v>13999</v>
      </c>
      <c r="D181" s="2" t="s">
        <v>13981</v>
      </c>
      <c r="E181" s="2" t="s">
        <v>1755</v>
      </c>
      <c r="F181" s="2">
        <v>5</v>
      </c>
      <c r="G181" s="2">
        <v>1</v>
      </c>
      <c r="H181" s="2">
        <v>5</v>
      </c>
      <c r="I181" s="2">
        <v>5</v>
      </c>
      <c r="J181" s="2" t="b">
        <v>0</v>
      </c>
      <c r="K181" s="3">
        <f>H181 - I181</f>
        <v>0</v>
      </c>
      <c r="L181" s="3">
        <f>IF(H181 = 0, 0, ROUND(100 * I181 / H181, 2))</f>
        <v>100</v>
      </c>
      <c r="M181" s="3" t="b">
        <f>K181 = 0</f>
        <v>1</v>
      </c>
      <c r="N181" s="3" t="str">
        <f>IF(M181, "", D181)</f>
      </c>
      <c r="O181" s="3" t="str">
        <f>IF(M181, "", E181)</f>
      </c>
      <c r="P181" s="3">
        <f>COUNTIFS(FieldDisagreements!E2:E999, A181)</f>
        <v>0</v>
      </c>
      <c r="Q181" s="3" t="str">
        <f>_xlfn.IFNA(INDEX(ConformanceSubstrates!C2:C999, MATCH(D181,ConformanceSubstrates!A2:A999, 0)), "")</f>
        <v>C# / Entity Framework</v>
      </c>
      <c r="R181" s="3" t="str">
        <f>_xlfn.IFNA(INDEX(RulebookTables!F2:F999, MATCH(E181,RulebookTables!A2:A999, 0)), "")</f>
        <v>specification</v>
      </c>
      <c r="S181" s="2" t="s">
        <v>1898</v>
      </c>
    </row>
    <row r="182">
      <c r="A182" s="2" t="s">
        <v>14189</v>
      </c>
      <c r="B182" s="3" t="str">
        <f>_xlfn.CONCAT(D182, " / ", E182)</f>
        <v>effortless-entity-framework / Steps</v>
      </c>
      <c r="C182" s="2" t="s">
        <v>13999</v>
      </c>
      <c r="D182" s="2" t="s">
        <v>13981</v>
      </c>
      <c r="E182" s="2" t="s">
        <v>1758</v>
      </c>
      <c r="F182" s="2">
        <v>17</v>
      </c>
      <c r="G182" s="2">
        <v>30</v>
      </c>
      <c r="H182" s="2">
        <v>510</v>
      </c>
      <c r="I182" s="2">
        <v>510</v>
      </c>
      <c r="J182" s="2" t="b">
        <v>0</v>
      </c>
      <c r="K182" s="3">
        <f>H182 - I182</f>
        <v>0</v>
      </c>
      <c r="L182" s="3">
        <f>IF(H182 = 0, 0, ROUND(100 * I182 / H182, 2))</f>
        <v>100</v>
      </c>
      <c r="M182" s="3" t="b">
        <f>K182 = 0</f>
        <v>1</v>
      </c>
      <c r="N182" s="3" t="str">
        <f>IF(M182, "", D182)</f>
      </c>
      <c r="O182" s="3" t="str">
        <f>IF(M182, "", E182)</f>
      </c>
      <c r="P182" s="3">
        <f>COUNTIFS(FieldDisagreements!E2:E999, A182)</f>
        <v>0</v>
      </c>
      <c r="Q182" s="3" t="str">
        <f>_xlfn.IFNA(INDEX(ConformanceSubstrates!C2:C999, MATCH(D182,ConformanceSubstrates!A2:A999, 0)), "")</f>
        <v>C# / Entity Framework</v>
      </c>
      <c r="R182" s="3" t="str">
        <f>_xlfn.IFNA(INDEX(RulebookTables!F2:F999, MATCH(E182,RulebookTables!A2:A999, 0)), "")</f>
        <v>specification</v>
      </c>
      <c r="S182" s="2" t="s">
        <v>1898</v>
      </c>
    </row>
    <row r="183">
      <c r="A183" s="2" t="s">
        <v>14190</v>
      </c>
      <c r="B183" s="3" t="str">
        <f>_xlfn.CONCAT(D183, " / ", E183)</f>
        <v>effortless-entity-framework / StepTransitions</v>
      </c>
      <c r="C183" s="2" t="s">
        <v>13999</v>
      </c>
      <c r="D183" s="2" t="s">
        <v>13981</v>
      </c>
      <c r="E183" s="2" t="s">
        <v>1764</v>
      </c>
      <c r="F183" s="2">
        <v>19</v>
      </c>
      <c r="G183" s="2">
        <v>15</v>
      </c>
      <c r="H183" s="2">
        <v>285</v>
      </c>
      <c r="I183" s="2">
        <v>285</v>
      </c>
      <c r="J183" s="2" t="b">
        <v>0</v>
      </c>
      <c r="K183" s="3">
        <f>H183 - I183</f>
        <v>0</v>
      </c>
      <c r="L183" s="3">
        <f>IF(H183 = 0, 0, ROUND(100 * I183 / H183, 2))</f>
        <v>100</v>
      </c>
      <c r="M183" s="3" t="b">
        <f>K183 = 0</f>
        <v>1</v>
      </c>
      <c r="N183" s="3" t="str">
        <f>IF(M183, "", D183)</f>
      </c>
      <c r="O183" s="3" t="str">
        <f>IF(M183, "", E183)</f>
      </c>
      <c r="P183" s="3">
        <f>COUNTIFS(FieldDisagreements!E2:E999, A183)</f>
        <v>0</v>
      </c>
      <c r="Q183" s="3" t="str">
        <f>_xlfn.IFNA(INDEX(ConformanceSubstrates!C2:C999, MATCH(D183,ConformanceSubstrates!A2:A999, 0)), "")</f>
        <v>C# / Entity Framework</v>
      </c>
      <c r="R183" s="3" t="str">
        <f>_xlfn.IFNA(INDEX(RulebookTables!F2:F999, MATCH(E183,RulebookTables!A2:A999, 0)), "")</f>
        <v>specification</v>
      </c>
      <c r="S183" s="2" t="s">
        <v>1898</v>
      </c>
    </row>
    <row r="184">
      <c r="A184" s="2" t="s">
        <v>14191</v>
      </c>
      <c r="B184" s="3" t="str">
        <f>_xlfn.CONCAT(D184, " / ", E184)</f>
        <v>effortless-entity-framework / Actions</v>
      </c>
      <c r="C184" s="2" t="s">
        <v>13999</v>
      </c>
      <c r="D184" s="2" t="s">
        <v>13981</v>
      </c>
      <c r="E184" s="2" t="s">
        <v>1776</v>
      </c>
      <c r="F184" s="2">
        <v>9</v>
      </c>
      <c r="G184" s="2">
        <v>1</v>
      </c>
      <c r="H184" s="2">
        <v>9</v>
      </c>
      <c r="I184" s="2">
        <v>9</v>
      </c>
      <c r="J184" s="2" t="b">
        <v>0</v>
      </c>
      <c r="K184" s="3">
        <f>H184 - I184</f>
        <v>0</v>
      </c>
      <c r="L184" s="3">
        <f>IF(H184 = 0, 0, ROUND(100 * I184 / H184, 2))</f>
        <v>100</v>
      </c>
      <c r="M184" s="3" t="b">
        <f>K184 = 0</f>
        <v>1</v>
      </c>
      <c r="N184" s="3" t="str">
        <f>IF(M184, "", D184)</f>
      </c>
      <c r="O184" s="3" t="str">
        <f>IF(M184, "", E184)</f>
      </c>
      <c r="P184" s="3">
        <f>COUNTIFS(FieldDisagreements!E2:E999, A184)</f>
        <v>0</v>
      </c>
      <c r="Q184" s="3" t="str">
        <f>_xlfn.IFNA(INDEX(ConformanceSubstrates!C2:C999, MATCH(D184,ConformanceSubstrates!A2:A999, 0)), "")</f>
        <v>C# / Entity Framework</v>
      </c>
      <c r="R184" s="3" t="str">
        <f>_xlfn.IFNA(INDEX(RulebookTables!F2:F999, MATCH(E184,RulebookTables!A2:A999, 0)), "")</f>
        <v>specification</v>
      </c>
      <c r="S184" s="2" t="s">
        <v>1898</v>
      </c>
    </row>
    <row r="185">
      <c r="A185" s="2" t="s">
        <v>14192</v>
      </c>
      <c r="B185" s="3" t="str">
        <f>_xlfn.CONCAT(D185, " / ", E185)</f>
        <v>effortless-entity-framework / Functions</v>
      </c>
      <c r="C185" s="2" t="s">
        <v>13999</v>
      </c>
      <c r="D185" s="2" t="s">
        <v>13981</v>
      </c>
      <c r="E185" s="2" t="s">
        <v>1779</v>
      </c>
      <c r="F185" s="2">
        <v>8</v>
      </c>
      <c r="G185" s="2">
        <v>1</v>
      </c>
      <c r="H185" s="2">
        <v>8</v>
      </c>
      <c r="I185" s="2">
        <v>8</v>
      </c>
      <c r="J185" s="2" t="b">
        <v>0</v>
      </c>
      <c r="K185" s="3">
        <f>H185 - I185</f>
        <v>0</v>
      </c>
      <c r="L185" s="3">
        <f>IF(H185 = 0, 0, ROUND(100 * I185 / H185, 2))</f>
        <v>100</v>
      </c>
      <c r="M185" s="3" t="b">
        <f>K185 = 0</f>
        <v>1</v>
      </c>
      <c r="N185" s="3" t="str">
        <f>IF(M185, "", D185)</f>
      </c>
      <c r="O185" s="3" t="str">
        <f>IF(M185, "", E185)</f>
      </c>
      <c r="P185" s="3">
        <f>COUNTIFS(FieldDisagreements!E2:E999, A185)</f>
        <v>0</v>
      </c>
      <c r="Q185" s="3" t="str">
        <f>_xlfn.IFNA(INDEX(ConformanceSubstrates!C2:C999, MATCH(D185,ConformanceSubstrates!A2:A999, 0)), "")</f>
        <v>C# / Entity Framework</v>
      </c>
      <c r="R185" s="3" t="str">
        <f>_xlfn.IFNA(INDEX(RulebookTables!F2:F999, MATCH(E185,RulebookTables!A2:A999, 0)), "")</f>
        <v>specification</v>
      </c>
      <c r="S185" s="2" t="s">
        <v>1898</v>
      </c>
    </row>
    <row r="186">
      <c r="A186" s="2" t="s">
        <v>14193</v>
      </c>
      <c r="B186" s="3" t="str">
        <f>_xlfn.CONCAT(D186, " / ", E186)</f>
        <v>effortless-entity-framework / Tools</v>
      </c>
      <c r="C186" s="2" t="s">
        <v>13999</v>
      </c>
      <c r="D186" s="2" t="s">
        <v>13981</v>
      </c>
      <c r="E186" s="2" t="s">
        <v>1782</v>
      </c>
      <c r="F186" s="2">
        <v>8</v>
      </c>
      <c r="G186" s="2">
        <v>1</v>
      </c>
      <c r="H186" s="2">
        <v>8</v>
      </c>
      <c r="I186" s="2">
        <v>8</v>
      </c>
      <c r="J186" s="2" t="b">
        <v>0</v>
      </c>
      <c r="K186" s="3">
        <f>H186 - I186</f>
        <v>0</v>
      </c>
      <c r="L186" s="3">
        <f>IF(H186 = 0, 0, ROUND(100 * I186 / H186, 2))</f>
        <v>100</v>
      </c>
      <c r="M186" s="3" t="b">
        <f>K186 = 0</f>
        <v>1</v>
      </c>
      <c r="N186" s="3" t="str">
        <f>IF(M186, "", D186)</f>
      </c>
      <c r="O186" s="3" t="str">
        <f>IF(M186, "", E186)</f>
      </c>
      <c r="P186" s="3">
        <f>COUNTIFS(FieldDisagreements!E2:E999, A186)</f>
        <v>0</v>
      </c>
      <c r="Q186" s="3" t="str">
        <f>_xlfn.IFNA(INDEX(ConformanceSubstrates!C2:C999, MATCH(D186,ConformanceSubstrates!A2:A999, 0)), "")</f>
        <v>C# / Entity Framework</v>
      </c>
      <c r="R186" s="3" t="str">
        <f>_xlfn.IFNA(INDEX(RulebookTables!F2:F999, MATCH(E186,RulebookTables!A2:A999, 0)), "")</f>
        <v>specification</v>
      </c>
      <c r="S186" s="2" t="s">
        <v>1898</v>
      </c>
    </row>
    <row r="187">
      <c r="A187" s="2" t="s">
        <v>14194</v>
      </c>
      <c r="B187" s="3" t="str">
        <f>_xlfn.CONCAT(D187, " / ", E187)</f>
        <v>effortless-entity-framework / StepActions</v>
      </c>
      <c r="C187" s="2" t="s">
        <v>13999</v>
      </c>
      <c r="D187" s="2" t="s">
        <v>13981</v>
      </c>
      <c r="E187" s="2" t="s">
        <v>2962</v>
      </c>
      <c r="F187" s="2">
        <v>9</v>
      </c>
      <c r="G187" s="2">
        <v>1</v>
      </c>
      <c r="H187" s="2">
        <v>9</v>
      </c>
      <c r="I187" s="2">
        <v>9</v>
      </c>
      <c r="J187" s="2" t="b">
        <v>0</v>
      </c>
      <c r="K187" s="3">
        <f>H187 - I187</f>
        <v>0</v>
      </c>
      <c r="L187" s="3">
        <f>IF(H187 = 0, 0, ROUND(100 * I187 / H187, 2))</f>
        <v>100</v>
      </c>
      <c r="M187" s="3" t="b">
        <f>K187 = 0</f>
        <v>1</v>
      </c>
      <c r="N187" s="3" t="str">
        <f>IF(M187, "", D187)</f>
      </c>
      <c r="O187" s="3" t="str">
        <f>IF(M187, "", E187)</f>
      </c>
      <c r="P187" s="3">
        <f>COUNTIFS(FieldDisagreements!E2:E999, A187)</f>
        <v>0</v>
      </c>
      <c r="Q187" s="3" t="str">
        <f>_xlfn.IFNA(INDEX(ConformanceSubstrates!C2:C999, MATCH(D187,ConformanceSubstrates!A2:A999, 0)), "")</f>
        <v>C# / Entity Framework</v>
      </c>
      <c r="R187" s="3" t="str">
        <f>_xlfn.IFNA(INDEX(RulebookTables!F2:F999, MATCH(E187,RulebookTables!A2:A999, 0)), "")</f>
        <v>specification</v>
      </c>
      <c r="S187" s="2" t="s">
        <v>1898</v>
      </c>
    </row>
    <row r="188">
      <c r="A188" s="2" t="s">
        <v>14195</v>
      </c>
      <c r="B188" s="3" t="str">
        <f>_xlfn.CONCAT(D188, " / ", E188)</f>
        <v>effortless-entity-framework / StepFunctions</v>
      </c>
      <c r="C188" s="2" t="s">
        <v>13999</v>
      </c>
      <c r="D188" s="2" t="s">
        <v>13981</v>
      </c>
      <c r="E188" s="2" t="s">
        <v>2968</v>
      </c>
      <c r="F188" s="2">
        <v>8</v>
      </c>
      <c r="G188" s="2">
        <v>1</v>
      </c>
      <c r="H188" s="2">
        <v>8</v>
      </c>
      <c r="I188" s="2">
        <v>8</v>
      </c>
      <c r="J188" s="2" t="b">
        <v>0</v>
      </c>
      <c r="K188" s="3">
        <f>H188 - I188</f>
        <v>0</v>
      </c>
      <c r="L188" s="3">
        <f>IF(H188 = 0, 0, ROUND(100 * I188 / H188, 2))</f>
        <v>100</v>
      </c>
      <c r="M188" s="3" t="b">
        <f>K188 = 0</f>
        <v>1</v>
      </c>
      <c r="N188" s="3" t="str">
        <f>IF(M188, "", D188)</f>
      </c>
      <c r="O188" s="3" t="str">
        <f>IF(M188, "", E188)</f>
      </c>
      <c r="P188" s="3">
        <f>COUNTIFS(FieldDisagreements!E2:E999, A188)</f>
        <v>0</v>
      </c>
      <c r="Q188" s="3" t="str">
        <f>_xlfn.IFNA(INDEX(ConformanceSubstrates!C2:C999, MATCH(D188,ConformanceSubstrates!A2:A999, 0)), "")</f>
        <v>C# / Entity Framework</v>
      </c>
      <c r="R188" s="3" t="str">
        <f>_xlfn.IFNA(INDEX(RulebookTables!F2:F999, MATCH(E188,RulebookTables!A2:A999, 0)), "")</f>
        <v>specification</v>
      </c>
      <c r="S188" s="2" t="s">
        <v>1898</v>
      </c>
    </row>
    <row r="189">
      <c r="A189" s="2" t="s">
        <v>14196</v>
      </c>
      <c r="B189" s="3" t="str">
        <f>_xlfn.CONCAT(D189, " / ", E189)</f>
        <v>effortless-entity-framework / StepTools</v>
      </c>
      <c r="C189" s="2" t="s">
        <v>13999</v>
      </c>
      <c r="D189" s="2" t="s">
        <v>13981</v>
      </c>
      <c r="E189" s="2" t="s">
        <v>2974</v>
      </c>
      <c r="F189" s="2">
        <v>10</v>
      </c>
      <c r="G189" s="2">
        <v>1</v>
      </c>
      <c r="H189" s="2">
        <v>10</v>
      </c>
      <c r="I189" s="2">
        <v>10</v>
      </c>
      <c r="J189" s="2" t="b">
        <v>0</v>
      </c>
      <c r="K189" s="3">
        <f>H189 - I189</f>
        <v>0</v>
      </c>
      <c r="L189" s="3">
        <f>IF(H189 = 0, 0, ROUND(100 * I189 / H189, 2))</f>
        <v>100</v>
      </c>
      <c r="M189" s="3" t="b">
        <f>K189 = 0</f>
        <v>1</v>
      </c>
      <c r="N189" s="3" t="str">
        <f>IF(M189, "", D189)</f>
      </c>
      <c r="O189" s="3" t="str">
        <f>IF(M189, "", E189)</f>
      </c>
      <c r="P189" s="3">
        <f>COUNTIFS(FieldDisagreements!E2:E999, A189)</f>
        <v>0</v>
      </c>
      <c r="Q189" s="3" t="str">
        <f>_xlfn.IFNA(INDEX(ConformanceSubstrates!C2:C999, MATCH(D189,ConformanceSubstrates!A2:A999, 0)), "")</f>
        <v>C# / Entity Framework</v>
      </c>
      <c r="R189" s="3" t="str">
        <f>_xlfn.IFNA(INDEX(RulebookTables!F2:F999, MATCH(E189,RulebookTables!A2:A999, 0)), "")</f>
        <v>specification</v>
      </c>
      <c r="S189" s="2" t="s">
        <v>1898</v>
      </c>
    </row>
    <row r="190">
      <c r="A190" s="2" t="s">
        <v>14197</v>
      </c>
      <c r="B190" s="3" t="str">
        <f>_xlfn.CONCAT(D190, " / ", E190)</f>
        <v>effortless-entity-framework / Requirements</v>
      </c>
      <c r="C190" s="2" t="s">
        <v>13999</v>
      </c>
      <c r="D190" s="2" t="s">
        <v>13981</v>
      </c>
      <c r="E190" s="2" t="s">
        <v>1785</v>
      </c>
      <c r="F190" s="2">
        <v>13</v>
      </c>
      <c r="G190" s="2">
        <v>31</v>
      </c>
      <c r="H190" s="2">
        <v>403</v>
      </c>
      <c r="I190" s="2">
        <v>400</v>
      </c>
      <c r="J190" s="2" t="b">
        <v>0</v>
      </c>
      <c r="K190" s="3">
        <f>H190 - I190</f>
        <v>3</v>
      </c>
      <c r="L190" s="3">
        <f>IF(H190 = 0, 0, ROUND(100 * I190 / H190, 2))</f>
        <v>99.26</v>
      </c>
      <c r="M190" s="3" t="b">
        <f>K190 = 0</f>
        <v>0</v>
      </c>
      <c r="N190" s="3" t="str">
        <f>IF(M190, "", D190)</f>
        <v>effortless-entity-framework</v>
      </c>
      <c r="O190" s="3" t="str">
        <f>IF(M190, "", E190)</f>
        <v>Requirements</v>
      </c>
      <c r="P190" s="3">
        <f>COUNTIFS(FieldDisagreements!E2:E999, A190)</f>
        <v>1</v>
      </c>
      <c r="Q190" s="3" t="str">
        <f>_xlfn.IFNA(INDEX(ConformanceSubstrates!C2:C999, MATCH(D190,ConformanceSubstrates!A2:A999, 0)), "")</f>
        <v>C# / Entity Framework</v>
      </c>
      <c r="R190" s="3" t="str">
        <f>_xlfn.IFNA(INDEX(RulebookTables!F2:F999, MATCH(E190,RulebookTables!A2:A999, 0)), "")</f>
        <v>governance</v>
      </c>
      <c r="S190" s="2" t="s">
        <v>1898</v>
      </c>
    </row>
    <row r="191">
      <c r="A191" s="2" t="s">
        <v>14198</v>
      </c>
      <c r="B191" s="3" t="str">
        <f>_xlfn.CONCAT(D191, " / ", E191)</f>
        <v>effortless-entity-framework / StepRequirements</v>
      </c>
      <c r="C191" s="2" t="s">
        <v>13999</v>
      </c>
      <c r="D191" s="2" t="s">
        <v>13981</v>
      </c>
      <c r="E191" s="2" t="s">
        <v>3053</v>
      </c>
      <c r="F191" s="2">
        <v>15</v>
      </c>
      <c r="G191" s="2">
        <v>10</v>
      </c>
      <c r="H191" s="2">
        <v>150</v>
      </c>
      <c r="I191" s="2">
        <v>150</v>
      </c>
      <c r="J191" s="2" t="b">
        <v>0</v>
      </c>
      <c r="K191" s="3">
        <f>H191 - I191</f>
        <v>0</v>
      </c>
      <c r="L191" s="3">
        <f>IF(H191 = 0, 0, ROUND(100 * I191 / H191, 2))</f>
        <v>100</v>
      </c>
      <c r="M191" s="3" t="b">
        <f>K191 = 0</f>
        <v>1</v>
      </c>
      <c r="N191" s="3" t="str">
        <f>IF(M191, "", D191)</f>
      </c>
      <c r="O191" s="3" t="str">
        <f>IF(M191, "", E191)</f>
      </c>
      <c r="P191" s="3">
        <f>COUNTIFS(FieldDisagreements!E2:E999, A191)</f>
        <v>0</v>
      </c>
      <c r="Q191" s="3" t="str">
        <f>_xlfn.IFNA(INDEX(ConformanceSubstrates!C2:C999, MATCH(D191,ConformanceSubstrates!A2:A999, 0)), "")</f>
        <v>C# / Entity Framework</v>
      </c>
      <c r="R191" s="3" t="str">
        <f>_xlfn.IFNA(INDEX(RulebookTables!F2:F999, MATCH(E191,RulebookTables!A2:A999, 0)), "")</f>
        <v>specification</v>
      </c>
      <c r="S191" s="2" t="s">
        <v>1898</v>
      </c>
    </row>
    <row r="192">
      <c r="A192" s="2" t="s">
        <v>14199</v>
      </c>
      <c r="B192" s="3" t="str">
        <f>_xlfn.CONCAT(D192, " / ", E192)</f>
        <v>effortless-entity-framework / StepVerifications</v>
      </c>
      <c r="C192" s="2" t="s">
        <v>13999</v>
      </c>
      <c r="D192" s="2" t="s">
        <v>13981</v>
      </c>
      <c r="E192" s="2" t="s">
        <v>1788</v>
      </c>
      <c r="F192" s="2">
        <v>11</v>
      </c>
      <c r="G192" s="2">
        <v>1</v>
      </c>
      <c r="H192" s="2">
        <v>11</v>
      </c>
      <c r="I192" s="2">
        <v>11</v>
      </c>
      <c r="J192" s="2" t="b">
        <v>0</v>
      </c>
      <c r="K192" s="3">
        <f>H192 - I192</f>
        <v>0</v>
      </c>
      <c r="L192" s="3">
        <f>IF(H192 = 0, 0, ROUND(100 * I192 / H192, 2))</f>
        <v>100</v>
      </c>
      <c r="M192" s="3" t="b">
        <f>K192 = 0</f>
        <v>1</v>
      </c>
      <c r="N192" s="3" t="str">
        <f>IF(M192, "", D192)</f>
      </c>
      <c r="O192" s="3" t="str">
        <f>IF(M192, "", E192)</f>
      </c>
      <c r="P192" s="3">
        <f>COUNTIFS(FieldDisagreements!E2:E999, A192)</f>
        <v>0</v>
      </c>
      <c r="Q192" s="3" t="str">
        <f>_xlfn.IFNA(INDEX(ConformanceSubstrates!C2:C999, MATCH(D192,ConformanceSubstrates!A2:A999, 0)), "")</f>
        <v>C# / Entity Framework</v>
      </c>
      <c r="R192" s="3" t="str">
        <f>_xlfn.IFNA(INDEX(RulebookTables!F2:F999, MATCH(E192,RulebookTables!A2:A999, 0)), "")</f>
        <v>specification</v>
      </c>
      <c r="S192" s="2" t="s">
        <v>1898</v>
      </c>
    </row>
    <row r="193">
      <c r="A193" s="2" t="s">
        <v>14200</v>
      </c>
      <c r="B193" s="3" t="str">
        <f>_xlfn.CONCAT(D193, " / ", E193)</f>
        <v>effortless-entity-framework / Rationales</v>
      </c>
      <c r="C193" s="2" t="s">
        <v>13999</v>
      </c>
      <c r="D193" s="2" t="s">
        <v>13981</v>
      </c>
      <c r="E193" s="2" t="s">
        <v>3085</v>
      </c>
      <c r="F193" s="2">
        <v>4</v>
      </c>
      <c r="G193" s="2">
        <v>1</v>
      </c>
      <c r="H193" s="2">
        <v>4</v>
      </c>
      <c r="I193" s="2">
        <v>4</v>
      </c>
      <c r="J193" s="2" t="b">
        <v>0</v>
      </c>
      <c r="K193" s="3">
        <f>H193 - I193</f>
        <v>0</v>
      </c>
      <c r="L193" s="3">
        <f>IF(H193 = 0, 0, ROUND(100 * I193 / H193, 2))</f>
        <v>100</v>
      </c>
      <c r="M193" s="3" t="b">
        <f>K193 = 0</f>
        <v>1</v>
      </c>
      <c r="N193" s="3" t="str">
        <f>IF(M193, "", D193)</f>
      </c>
      <c r="O193" s="3" t="str">
        <f>IF(M193, "", E193)</f>
      </c>
      <c r="P193" s="3">
        <f>COUNTIFS(FieldDisagreements!E2:E999, A193)</f>
        <v>0</v>
      </c>
      <c r="Q193" s="3" t="str">
        <f>_xlfn.IFNA(INDEX(ConformanceSubstrates!C2:C999, MATCH(D193,ConformanceSubstrates!A2:A999, 0)), "")</f>
        <v>C# / Entity Framework</v>
      </c>
      <c r="R193" s="3" t="str">
        <f>_xlfn.IFNA(INDEX(RulebookTables!F2:F999, MATCH(E193,RulebookTables!A2:A999, 0)), "")</f>
        <v>governance</v>
      </c>
      <c r="S193" s="2" t="s">
        <v>1898</v>
      </c>
    </row>
    <row r="194">
      <c r="A194" s="2" t="s">
        <v>14201</v>
      </c>
      <c r="B194" s="3" t="str">
        <f>_xlfn.CONCAT(D194, " / ", E194)</f>
        <v>effortless-entity-framework / Exceptions</v>
      </c>
      <c r="C194" s="2" t="s">
        <v>13999</v>
      </c>
      <c r="D194" s="2" t="s">
        <v>13981</v>
      </c>
      <c r="E194" s="2" t="s">
        <v>3095</v>
      </c>
      <c r="F194" s="2">
        <v>4</v>
      </c>
      <c r="G194" s="2">
        <v>2</v>
      </c>
      <c r="H194" s="2">
        <v>8</v>
      </c>
      <c r="I194" s="2">
        <v>8</v>
      </c>
      <c r="J194" s="2" t="b">
        <v>0</v>
      </c>
      <c r="K194" s="3">
        <f>H194 - I194</f>
        <v>0</v>
      </c>
      <c r="L194" s="3">
        <f>IF(H194 = 0, 0, ROUND(100 * I194 / H194, 2))</f>
        <v>100</v>
      </c>
      <c r="M194" s="3" t="b">
        <f>K194 = 0</f>
        <v>1</v>
      </c>
      <c r="N194" s="3" t="str">
        <f>IF(M194, "", D194)</f>
      </c>
      <c r="O194" s="3" t="str">
        <f>IF(M194, "", E194)</f>
      </c>
      <c r="P194" s="3">
        <f>COUNTIFS(FieldDisagreements!E2:E999, A194)</f>
        <v>0</v>
      </c>
      <c r="Q194" s="3" t="str">
        <f>_xlfn.IFNA(INDEX(ConformanceSubstrates!C2:C999, MATCH(D194,ConformanceSubstrates!A2:A999, 0)), "")</f>
        <v>C# / Entity Framework</v>
      </c>
      <c r="R194" s="3" t="str">
        <f>_xlfn.IFNA(INDEX(RulebookTables!F2:F999, MATCH(E194,RulebookTables!A2:A999, 0)), "")</f>
        <v>governance</v>
      </c>
      <c r="S194" s="2" t="s">
        <v>1898</v>
      </c>
    </row>
    <row r="195">
      <c r="A195" s="2" t="s">
        <v>14202</v>
      </c>
      <c r="B195" s="3" t="str">
        <f>_xlfn.CONCAT(D195, " / ", E195)</f>
        <v>effortless-entity-framework / Resources</v>
      </c>
      <c r="C195" s="2" t="s">
        <v>13999</v>
      </c>
      <c r="D195" s="2" t="s">
        <v>13981</v>
      </c>
      <c r="E195" s="2" t="s">
        <v>1791</v>
      </c>
      <c r="F195" s="2">
        <v>8</v>
      </c>
      <c r="G195" s="2">
        <v>2</v>
      </c>
      <c r="H195" s="2">
        <v>16</v>
      </c>
      <c r="I195" s="2">
        <v>16</v>
      </c>
      <c r="J195" s="2" t="b">
        <v>0</v>
      </c>
      <c r="K195" s="3">
        <f>H195 - I195</f>
        <v>0</v>
      </c>
      <c r="L195" s="3">
        <f>IF(H195 = 0, 0, ROUND(100 * I195 / H195, 2))</f>
        <v>100</v>
      </c>
      <c r="M195" s="3" t="b">
        <f>K195 = 0</f>
        <v>1</v>
      </c>
      <c r="N195" s="3" t="str">
        <f>IF(M195, "", D195)</f>
      </c>
      <c r="O195" s="3" t="str">
        <f>IF(M195, "", E195)</f>
      </c>
      <c r="P195" s="3">
        <f>COUNTIFS(FieldDisagreements!E2:E999, A195)</f>
        <v>0</v>
      </c>
      <c r="Q195" s="3" t="str">
        <f>_xlfn.IFNA(INDEX(ConformanceSubstrates!C2:C999, MATCH(D195,ConformanceSubstrates!A2:A999, 0)), "")</f>
        <v>C# / Entity Framework</v>
      </c>
      <c r="R195" s="3" t="str">
        <f>_xlfn.IFNA(INDEX(RulebookTables!F2:F999, MATCH(E195,RulebookTables!A2:A999, 0)), "")</f>
        <v>domain</v>
      </c>
      <c r="S195" s="2" t="s">
        <v>1898</v>
      </c>
    </row>
    <row r="196">
      <c r="A196" s="2" t="s">
        <v>14203</v>
      </c>
      <c r="B196" s="3" t="str">
        <f>_xlfn.CONCAT(D196, " / ", E196)</f>
        <v>effortless-entity-framework / ProcedureResources</v>
      </c>
      <c r="C196" s="2" t="s">
        <v>13999</v>
      </c>
      <c r="D196" s="2" t="s">
        <v>13981</v>
      </c>
      <c r="E196" s="2" t="s">
        <v>3121</v>
      </c>
      <c r="F196" s="2">
        <v>8</v>
      </c>
      <c r="G196" s="2">
        <v>2</v>
      </c>
      <c r="H196" s="2">
        <v>16</v>
      </c>
      <c r="I196" s="2">
        <v>16</v>
      </c>
      <c r="J196" s="2" t="b">
        <v>0</v>
      </c>
      <c r="K196" s="3">
        <f>H196 - I196</f>
        <v>0</v>
      </c>
      <c r="L196" s="3">
        <f>IF(H196 = 0, 0, ROUND(100 * I196 / H196, 2))</f>
        <v>100</v>
      </c>
      <c r="M196" s="3" t="b">
        <f>K196 = 0</f>
        <v>1</v>
      </c>
      <c r="N196" s="3" t="str">
        <f>IF(M196, "", D196)</f>
      </c>
      <c r="O196" s="3" t="str">
        <f>IF(M196, "", E196)</f>
      </c>
      <c r="P196" s="3">
        <f>COUNTIFS(FieldDisagreements!E2:E999, A196)</f>
        <v>0</v>
      </c>
      <c r="Q196" s="3" t="str">
        <f>_xlfn.IFNA(INDEX(ConformanceSubstrates!C2:C999, MATCH(D196,ConformanceSubstrates!A2:A999, 0)), "")</f>
        <v>C# / Entity Framework</v>
      </c>
      <c r="R196" s="3" t="str">
        <f>_xlfn.IFNA(INDEX(RulebookTables!F2:F999, MATCH(E196,RulebookTables!A2:A999, 0)), "")</f>
        <v>specification</v>
      </c>
      <c r="S196" s="2" t="s">
        <v>1898</v>
      </c>
    </row>
    <row r="197">
      <c r="A197" s="2" t="s">
        <v>14204</v>
      </c>
      <c r="B197" s="3" t="str">
        <f>_xlfn.CONCAT(D197, " / ", E197)</f>
        <v>effortless-entity-framework / ElicitationSessions</v>
      </c>
      <c r="C197" s="2" t="s">
        <v>13999</v>
      </c>
      <c r="D197" s="2" t="s">
        <v>13981</v>
      </c>
      <c r="E197" s="2" t="s">
        <v>1835</v>
      </c>
      <c r="F197" s="2">
        <v>3</v>
      </c>
      <c r="G197" s="2">
        <v>10</v>
      </c>
      <c r="H197" s="2">
        <v>30</v>
      </c>
      <c r="I197" s="2">
        <v>25</v>
      </c>
      <c r="J197" s="2" t="b">
        <v>0</v>
      </c>
      <c r="K197" s="3">
        <f>H197 - I197</f>
        <v>5</v>
      </c>
      <c r="L197" s="3">
        <f>IF(H197 = 0, 0, ROUND(100 * I197 / H197, 2))</f>
        <v>83.33</v>
      </c>
      <c r="M197" s="3" t="b">
        <f>K197 = 0</f>
        <v>0</v>
      </c>
      <c r="N197" s="3" t="str">
        <f>IF(M197, "", D197)</f>
        <v>effortless-entity-framework</v>
      </c>
      <c r="O197" s="3" t="str">
        <f>IF(M197, "", E197)</f>
        <v>ElicitationSessions</v>
      </c>
      <c r="P197" s="3">
        <f>COUNTIFS(FieldDisagreements!E2:E999, A197)</f>
        <v>2</v>
      </c>
      <c r="Q197" s="3" t="str">
        <f>_xlfn.IFNA(INDEX(ConformanceSubstrates!C2:C999, MATCH(D197,ConformanceSubstrates!A2:A999, 0)), "")</f>
        <v>C# / Entity Framework</v>
      </c>
      <c r="R197" s="3" t="str">
        <f>_xlfn.IFNA(INDEX(RulebookTables!F2:F999, MATCH(E197,RulebookTables!A2:A999, 0)), "")</f>
        <v>knowledge</v>
      </c>
      <c r="S197" s="2" t="s">
        <v>1898</v>
      </c>
    </row>
    <row r="198">
      <c r="A198" s="2" t="s">
        <v>14205</v>
      </c>
      <c r="B198" s="3" t="str">
        <f>_xlfn.CONCAT(D198, " / ", E198)</f>
        <v>effortless-entity-framework / KnowledgeFragments</v>
      </c>
      <c r="C198" s="2" t="s">
        <v>13999</v>
      </c>
      <c r="D198" s="2" t="s">
        <v>13981</v>
      </c>
      <c r="E198" s="2" t="s">
        <v>1831</v>
      </c>
      <c r="F198" s="2">
        <v>7</v>
      </c>
      <c r="G198" s="2">
        <v>65</v>
      </c>
      <c r="H198" s="2">
        <v>455</v>
      </c>
      <c r="I198" s="2">
        <v>445</v>
      </c>
      <c r="J198" s="2" t="b">
        <v>0</v>
      </c>
      <c r="K198" s="3">
        <f>H198 - I198</f>
        <v>10</v>
      </c>
      <c r="L198" s="3">
        <f>IF(H198 = 0, 0, ROUND(100 * I198 / H198, 2))</f>
        <v>97.8</v>
      </c>
      <c r="M198" s="3" t="b">
        <f>K198 = 0</f>
        <v>0</v>
      </c>
      <c r="N198" s="3" t="str">
        <f>IF(M198, "", D198)</f>
        <v>effortless-entity-framework</v>
      </c>
      <c r="O198" s="3" t="str">
        <f>IF(M198, "", E198)</f>
        <v>KnowledgeFragments</v>
      </c>
      <c r="P198" s="3">
        <f>COUNTIFS(FieldDisagreements!E2:E999, A198)</f>
        <v>4</v>
      </c>
      <c r="Q198" s="3" t="str">
        <f>_xlfn.IFNA(INDEX(ConformanceSubstrates!C2:C999, MATCH(D198,ConformanceSubstrates!A2:A999, 0)), "")</f>
        <v>C# / Entity Framework</v>
      </c>
      <c r="R198" s="3" t="str">
        <f>_xlfn.IFNA(INDEX(RulebookTables!F2:F999, MATCH(E198,RulebookTables!A2:A999, 0)), "")</f>
        <v>knowledge</v>
      </c>
      <c r="S198" s="2" t="s">
        <v>1898</v>
      </c>
    </row>
    <row r="199">
      <c r="A199" s="2" t="s">
        <v>14206</v>
      </c>
      <c r="B199" s="3" t="str">
        <f>_xlfn.CONCAT(D199, " / ", E199)</f>
        <v>effortless-entity-framework / KnowledgeGaps</v>
      </c>
      <c r="C199" s="2" t="s">
        <v>13999</v>
      </c>
      <c r="D199" s="2" t="s">
        <v>13981</v>
      </c>
      <c r="E199" s="2" t="s">
        <v>3302</v>
      </c>
      <c r="F199" s="2">
        <v>8</v>
      </c>
      <c r="G199" s="2">
        <v>16</v>
      </c>
      <c r="H199" s="2">
        <v>128</v>
      </c>
      <c r="I199" s="2">
        <v>127</v>
      </c>
      <c r="J199" s="2" t="b">
        <v>0</v>
      </c>
      <c r="K199" s="3">
        <f>H199 - I199</f>
        <v>1</v>
      </c>
      <c r="L199" s="3">
        <f>IF(H199 = 0, 0, ROUND(100 * I199 / H199, 2))</f>
        <v>99.22</v>
      </c>
      <c r="M199" s="3" t="b">
        <f>K199 = 0</f>
        <v>0</v>
      </c>
      <c r="N199" s="3" t="str">
        <f>IF(M199, "", D199)</f>
        <v>effortless-entity-framework</v>
      </c>
      <c r="O199" s="3" t="str">
        <f>IF(M199, "", E199)</f>
        <v>KnowledgeGaps</v>
      </c>
      <c r="P199" s="3">
        <f>COUNTIFS(FieldDisagreements!E2:E999, A199)</f>
        <v>1</v>
      </c>
      <c r="Q199" s="3" t="str">
        <f>_xlfn.IFNA(INDEX(ConformanceSubstrates!C2:C999, MATCH(D199,ConformanceSubstrates!A2:A999, 0)), "")</f>
        <v>C# / Entity Framework</v>
      </c>
      <c r="R199" s="3" t="str">
        <f>_xlfn.IFNA(INDEX(RulebookTables!F2:F999, MATCH(E199,RulebookTables!A2:A999, 0)), "")</f>
        <v>knowledge</v>
      </c>
      <c r="S199" s="2" t="s">
        <v>1898</v>
      </c>
    </row>
    <row r="200">
      <c r="A200" s="2" t="s">
        <v>14207</v>
      </c>
      <c r="B200" s="3" t="str">
        <f>_xlfn.CONCAT(D200, " / ", E200)</f>
        <v>effortless-entity-framework / FAQs</v>
      </c>
      <c r="C200" s="2" t="s">
        <v>13999</v>
      </c>
      <c r="D200" s="2" t="s">
        <v>13981</v>
      </c>
      <c r="E200" s="2" t="s">
        <v>1825</v>
      </c>
      <c r="F200" s="2">
        <v>3</v>
      </c>
      <c r="G200" s="2">
        <v>1</v>
      </c>
      <c r="H200" s="2">
        <v>3</v>
      </c>
      <c r="I200" s="2">
        <v>3</v>
      </c>
      <c r="J200" s="2" t="b">
        <v>0</v>
      </c>
      <c r="K200" s="3">
        <f>H200 - I200</f>
        <v>0</v>
      </c>
      <c r="L200" s="3">
        <f>IF(H200 = 0, 0, ROUND(100 * I200 / H200, 2))</f>
        <v>100</v>
      </c>
      <c r="M200" s="3" t="b">
        <f>K200 = 0</f>
        <v>1</v>
      </c>
      <c r="N200" s="3" t="str">
        <f>IF(M200, "", D200)</f>
      </c>
      <c r="O200" s="3" t="str">
        <f>IF(M200, "", E200)</f>
      </c>
      <c r="P200" s="3">
        <f>COUNTIFS(FieldDisagreements!E2:E999, A200)</f>
        <v>0</v>
      </c>
      <c r="Q200" s="3" t="str">
        <f>_xlfn.IFNA(INDEX(ConformanceSubstrates!C2:C999, MATCH(D200,ConformanceSubstrates!A2:A999, 0)), "")</f>
        <v>C# / Entity Framework</v>
      </c>
      <c r="R200" s="3" t="str">
        <f>_xlfn.IFNA(INDEX(RulebookTables!F2:F999, MATCH(E200,RulebookTables!A2:A999, 0)), "")</f>
        <v>knowledge</v>
      </c>
      <c r="S200" s="2" t="s">
        <v>1898</v>
      </c>
    </row>
    <row r="201">
      <c r="A201" s="2" t="s">
        <v>14208</v>
      </c>
      <c r="B201" s="3" t="str">
        <f>_xlfn.CONCAT(D201, " / ", E201)</f>
        <v>effortless-entity-framework / Explanations</v>
      </c>
      <c r="C201" s="2" t="s">
        <v>13999</v>
      </c>
      <c r="D201" s="2" t="s">
        <v>13981</v>
      </c>
      <c r="E201" s="2" t="s">
        <v>1828</v>
      </c>
      <c r="F201" s="2">
        <v>2</v>
      </c>
      <c r="G201" s="2">
        <v>1</v>
      </c>
      <c r="H201" s="2">
        <v>2</v>
      </c>
      <c r="I201" s="2">
        <v>2</v>
      </c>
      <c r="J201" s="2" t="b">
        <v>0</v>
      </c>
      <c r="K201" s="3">
        <f>H201 - I201</f>
        <v>0</v>
      </c>
      <c r="L201" s="3">
        <f>IF(H201 = 0, 0, ROUND(100 * I201 / H201, 2))</f>
        <v>100</v>
      </c>
      <c r="M201" s="3" t="b">
        <f>K201 = 0</f>
        <v>1</v>
      </c>
      <c r="N201" s="3" t="str">
        <f>IF(M201, "", D201)</f>
      </c>
      <c r="O201" s="3" t="str">
        <f>IF(M201, "", E201)</f>
      </c>
      <c r="P201" s="3">
        <f>COUNTIFS(FieldDisagreements!E2:E999, A201)</f>
        <v>0</v>
      </c>
      <c r="Q201" s="3" t="str">
        <f>_xlfn.IFNA(INDEX(ConformanceSubstrates!C2:C999, MATCH(D201,ConformanceSubstrates!A2:A999, 0)), "")</f>
        <v>C# / Entity Framework</v>
      </c>
      <c r="R201" s="3" t="str">
        <f>_xlfn.IFNA(INDEX(RulebookTables!F2:F999, MATCH(E201,RulebookTables!A2:A999, 0)), "")</f>
        <v>knowledge</v>
      </c>
      <c r="S201" s="2" t="s">
        <v>1898</v>
      </c>
    </row>
    <row r="202">
      <c r="A202" s="2" t="s">
        <v>14209</v>
      </c>
      <c r="B202" s="3" t="str">
        <f>_xlfn.CONCAT(D202, " / ", E202)</f>
        <v>effortless-entity-framework / ProcedureExecutions</v>
      </c>
      <c r="C202" s="2" t="s">
        <v>13999</v>
      </c>
      <c r="D202" s="2" t="s">
        <v>13981</v>
      </c>
      <c r="E202" s="2" t="s">
        <v>1804</v>
      </c>
      <c r="F202" s="2">
        <v>2</v>
      </c>
      <c r="G202" s="2">
        <v>69</v>
      </c>
      <c r="H202" s="2">
        <v>138</v>
      </c>
      <c r="I202" s="2">
        <v>138</v>
      </c>
      <c r="J202" s="2" t="b">
        <v>0</v>
      </c>
      <c r="K202" s="3">
        <f>H202 - I202</f>
        <v>0</v>
      </c>
      <c r="L202" s="3">
        <f>IF(H202 = 0, 0, ROUND(100 * I202 / H202, 2))</f>
        <v>100</v>
      </c>
      <c r="M202" s="3" t="b">
        <f>K202 = 0</f>
        <v>1</v>
      </c>
      <c r="N202" s="3" t="str">
        <f>IF(M202, "", D202)</f>
      </c>
      <c r="O202" s="3" t="str">
        <f>IF(M202, "", E202)</f>
      </c>
      <c r="P202" s="3">
        <f>COUNTIFS(FieldDisagreements!E2:E999, A202)</f>
        <v>0</v>
      </c>
      <c r="Q202" s="3" t="str">
        <f>_xlfn.IFNA(INDEX(ConformanceSubstrates!C2:C999, MATCH(D202,ConformanceSubstrates!A2:A999, 0)), "")</f>
        <v>C# / Entity Framework</v>
      </c>
      <c r="R202" s="3" t="str">
        <f>_xlfn.IFNA(INDEX(RulebookTables!F2:F999, MATCH(E202,RulebookTables!A2:A999, 0)), "")</f>
        <v>specification</v>
      </c>
      <c r="S202" s="2" t="s">
        <v>1898</v>
      </c>
    </row>
    <row r="203">
      <c r="A203" s="2" t="s">
        <v>14210</v>
      </c>
      <c r="B203" s="3" t="str">
        <f>_xlfn.CONCAT(D203, " / ", E203)</f>
        <v>effortless-entity-framework / StepExecutions</v>
      </c>
      <c r="C203" s="2" t="s">
        <v>13999</v>
      </c>
      <c r="D203" s="2" t="s">
        <v>13981</v>
      </c>
      <c r="E203" s="2" t="s">
        <v>1807</v>
      </c>
      <c r="F203" s="2">
        <v>12</v>
      </c>
      <c r="G203" s="2">
        <v>99</v>
      </c>
      <c r="H203" s="2">
        <v>1188</v>
      </c>
      <c r="I203" s="2">
        <v>1188</v>
      </c>
      <c r="J203" s="2" t="b">
        <v>0</v>
      </c>
      <c r="K203" s="3">
        <f>H203 - I203</f>
        <v>0</v>
      </c>
      <c r="L203" s="3">
        <f>IF(H203 = 0, 0, ROUND(100 * I203 / H203, 2))</f>
        <v>100</v>
      </c>
      <c r="M203" s="3" t="b">
        <f>K203 = 0</f>
        <v>1</v>
      </c>
      <c r="N203" s="3" t="str">
        <f>IF(M203, "", D203)</f>
      </c>
      <c r="O203" s="3" t="str">
        <f>IF(M203, "", E203)</f>
      </c>
      <c r="P203" s="3">
        <f>COUNTIFS(FieldDisagreements!E2:E999, A203)</f>
        <v>0</v>
      </c>
      <c r="Q203" s="3" t="str">
        <f>_xlfn.IFNA(INDEX(ConformanceSubstrates!C2:C999, MATCH(D203,ConformanceSubstrates!A2:A999, 0)), "")</f>
        <v>C# / Entity Framework</v>
      </c>
      <c r="R203" s="3" t="str">
        <f>_xlfn.IFNA(INDEX(RulebookTables!F2:F999, MATCH(E203,RulebookTables!A2:A999, 0)), "")</f>
        <v>specification</v>
      </c>
      <c r="S203" s="2" t="s">
        <v>1898</v>
      </c>
    </row>
    <row r="204">
      <c r="A204" s="2" t="s">
        <v>14211</v>
      </c>
      <c r="B204" s="3" t="str">
        <f>_xlfn.CONCAT(D204, " / ", E204)</f>
        <v>effortless-entity-framework / RequirementSatisfactions</v>
      </c>
      <c r="C204" s="2" t="s">
        <v>13999</v>
      </c>
      <c r="D204" s="2" t="s">
        <v>13981</v>
      </c>
      <c r="E204" s="2" t="s">
        <v>1810</v>
      </c>
      <c r="F204" s="2">
        <v>8</v>
      </c>
      <c r="G204" s="2">
        <v>38</v>
      </c>
      <c r="H204" s="2">
        <v>304</v>
      </c>
      <c r="I204" s="2">
        <v>304</v>
      </c>
      <c r="J204" s="2" t="b">
        <v>0</v>
      </c>
      <c r="K204" s="3">
        <f>H204 - I204</f>
        <v>0</v>
      </c>
      <c r="L204" s="3">
        <f>IF(H204 = 0, 0, ROUND(100 * I204 / H204, 2))</f>
        <v>100</v>
      </c>
      <c r="M204" s="3" t="b">
        <f>K204 = 0</f>
        <v>1</v>
      </c>
      <c r="N204" s="3" t="str">
        <f>IF(M204, "", D204)</f>
      </c>
      <c r="O204" s="3" t="str">
        <f>IF(M204, "", E204)</f>
      </c>
      <c r="P204" s="3">
        <f>COUNTIFS(FieldDisagreements!E2:E999, A204)</f>
        <v>0</v>
      </c>
      <c r="Q204" s="3" t="str">
        <f>_xlfn.IFNA(INDEX(ConformanceSubstrates!C2:C999, MATCH(D204,ConformanceSubstrates!A2:A999, 0)), "")</f>
        <v>C# / Entity Framework</v>
      </c>
      <c r="R204" s="3" t="str">
        <f>_xlfn.IFNA(INDEX(RulebookTables!F2:F999, MATCH(E204,RulebookTables!A2:A999, 0)), "")</f>
        <v>execution</v>
      </c>
      <c r="S204" s="2" t="s">
        <v>1898</v>
      </c>
    </row>
    <row r="205">
      <c r="A205" s="2" t="s">
        <v>14212</v>
      </c>
      <c r="B205" s="3" t="str">
        <f>_xlfn.CONCAT(D205, " / ", E205)</f>
        <v>effortless-entity-framework / Errors</v>
      </c>
      <c r="C205" s="2" t="s">
        <v>13999</v>
      </c>
      <c r="D205" s="2" t="s">
        <v>13981</v>
      </c>
      <c r="E205" s="2" t="s">
        <v>1813</v>
      </c>
      <c r="F205" s="2">
        <v>2</v>
      </c>
      <c r="G205" s="2">
        <v>1</v>
      </c>
      <c r="H205" s="2">
        <v>2</v>
      </c>
      <c r="I205" s="2">
        <v>2</v>
      </c>
      <c r="J205" s="2" t="b">
        <v>0</v>
      </c>
      <c r="K205" s="3">
        <f>H205 - I205</f>
        <v>0</v>
      </c>
      <c r="L205" s="3">
        <f>IF(H205 = 0, 0, ROUND(100 * I205 / H205, 2))</f>
        <v>100</v>
      </c>
      <c r="M205" s="3" t="b">
        <f>K205 = 0</f>
        <v>1</v>
      </c>
      <c r="N205" s="3" t="str">
        <f>IF(M205, "", D205)</f>
      </c>
      <c r="O205" s="3" t="str">
        <f>IF(M205, "", E205)</f>
      </c>
      <c r="P205" s="3">
        <f>COUNTIFS(FieldDisagreements!E2:E999, A205)</f>
        <v>0</v>
      </c>
      <c r="Q205" s="3" t="str">
        <f>_xlfn.IFNA(INDEX(ConformanceSubstrates!C2:C999, MATCH(D205,ConformanceSubstrates!A2:A999, 0)), "")</f>
        <v>C# / Entity Framework</v>
      </c>
      <c r="R205" s="3" t="str">
        <f>_xlfn.IFNA(INDEX(RulebookTables!F2:F999, MATCH(E205,RulebookTables!A2:A999, 0)), "")</f>
        <v>execution</v>
      </c>
      <c r="S205" s="2" t="s">
        <v>1898</v>
      </c>
    </row>
    <row r="206">
      <c r="A206" s="2" t="s">
        <v>14213</v>
      </c>
      <c r="B206" s="3" t="str">
        <f>_xlfn.CONCAT(D206, " / ", E206)</f>
        <v>effortless-entity-framework / IssueOccurrences</v>
      </c>
      <c r="C206" s="2" t="s">
        <v>13999</v>
      </c>
      <c r="D206" s="2" t="s">
        <v>13981</v>
      </c>
      <c r="E206" s="2" t="s">
        <v>1816</v>
      </c>
      <c r="F206" s="2">
        <v>2</v>
      </c>
      <c r="G206" s="2">
        <v>3</v>
      </c>
      <c r="H206" s="2">
        <v>6</v>
      </c>
      <c r="I206" s="2">
        <v>4</v>
      </c>
      <c r="J206" s="2" t="b">
        <v>0</v>
      </c>
      <c r="K206" s="3">
        <f>H206 - I206</f>
        <v>2</v>
      </c>
      <c r="L206" s="3">
        <f>IF(H206 = 0, 0, ROUND(100 * I206 / H206, 2))</f>
        <v>66.67</v>
      </c>
      <c r="M206" s="3" t="b">
        <f>K206 = 0</f>
        <v>0</v>
      </c>
      <c r="N206" s="3" t="str">
        <f>IF(M206, "", D206)</f>
        <v>effortless-entity-framework</v>
      </c>
      <c r="O206" s="3" t="str">
        <f>IF(M206, "", E206)</f>
        <v>IssueOccurrences</v>
      </c>
      <c r="P206" s="3">
        <f>COUNTIFS(FieldDisagreements!E2:E999, A206)</f>
        <v>1</v>
      </c>
      <c r="Q206" s="3" t="str">
        <f>_xlfn.IFNA(INDEX(ConformanceSubstrates!C2:C999, MATCH(D206,ConformanceSubstrates!A2:A999, 0)), "")</f>
        <v>C# / Entity Framework</v>
      </c>
      <c r="R206" s="3" t="str">
        <f>_xlfn.IFNA(INDEX(RulebookTables!F2:F999, MATCH(E206,RulebookTables!A2:A999, 0)), "")</f>
        <v>execution</v>
      </c>
      <c r="S206" s="2" t="s">
        <v>1898</v>
      </c>
    </row>
    <row r="207">
      <c r="A207" s="2" t="s">
        <v>14214</v>
      </c>
      <c r="B207" s="3" t="str">
        <f>_xlfn.CONCAT(D207, " / ", E207)</f>
        <v>effortless-entity-framework / UserQuestions</v>
      </c>
      <c r="C207" s="2" t="s">
        <v>13999</v>
      </c>
      <c r="D207" s="2" t="s">
        <v>13981</v>
      </c>
      <c r="E207" s="2" t="s">
        <v>1819</v>
      </c>
      <c r="F207" s="2">
        <v>2</v>
      </c>
      <c r="G207" s="2">
        <v>1</v>
      </c>
      <c r="H207" s="2">
        <v>2</v>
      </c>
      <c r="I207" s="2">
        <v>2</v>
      </c>
      <c r="J207" s="2" t="b">
        <v>0</v>
      </c>
      <c r="K207" s="3">
        <f>H207 - I207</f>
        <v>0</v>
      </c>
      <c r="L207" s="3">
        <f>IF(H207 = 0, 0, ROUND(100 * I207 / H207, 2))</f>
        <v>100</v>
      </c>
      <c r="M207" s="3" t="b">
        <f>K207 = 0</f>
        <v>1</v>
      </c>
      <c r="N207" s="3" t="str">
        <f>IF(M207, "", D207)</f>
      </c>
      <c r="O207" s="3" t="str">
        <f>IF(M207, "", E207)</f>
      </c>
      <c r="P207" s="3">
        <f>COUNTIFS(FieldDisagreements!E2:E999, A207)</f>
        <v>0</v>
      </c>
      <c r="Q207" s="3" t="str">
        <f>_xlfn.IFNA(INDEX(ConformanceSubstrates!C2:C999, MATCH(D207,ConformanceSubstrates!A2:A999, 0)), "")</f>
        <v>C# / Entity Framework</v>
      </c>
      <c r="R207" s="3" t="str">
        <f>_xlfn.IFNA(INDEX(RulebookTables!F2:F999, MATCH(E207,RulebookTables!A2:A999, 0)), "")</f>
        <v>domain</v>
      </c>
      <c r="S207" s="2" t="s">
        <v>1898</v>
      </c>
    </row>
    <row r="208">
      <c r="A208" s="2" t="s">
        <v>14215</v>
      </c>
      <c r="B208" s="3" t="str">
        <f>_xlfn.CONCAT(D208, " / ", E208)</f>
        <v>effortless-entity-framework / UserFeedback</v>
      </c>
      <c r="C208" s="2" t="s">
        <v>13999</v>
      </c>
      <c r="D208" s="2" t="s">
        <v>13981</v>
      </c>
      <c r="E208" s="2" t="s">
        <v>1822</v>
      </c>
      <c r="F208" s="2">
        <v>2</v>
      </c>
      <c r="G208" s="2">
        <v>1</v>
      </c>
      <c r="H208" s="2">
        <v>2</v>
      </c>
      <c r="I208" s="2">
        <v>2</v>
      </c>
      <c r="J208" s="2" t="b">
        <v>0</v>
      </c>
      <c r="K208" s="3">
        <f>H208 - I208</f>
        <v>0</v>
      </c>
      <c r="L208" s="3">
        <f>IF(H208 = 0, 0, ROUND(100 * I208 / H208, 2))</f>
        <v>100</v>
      </c>
      <c r="M208" s="3" t="b">
        <f>K208 = 0</f>
        <v>1</v>
      </c>
      <c r="N208" s="3" t="str">
        <f>IF(M208, "", D208)</f>
      </c>
      <c r="O208" s="3" t="str">
        <f>IF(M208, "", E208)</f>
      </c>
      <c r="P208" s="3">
        <f>COUNTIFS(FieldDisagreements!E2:E999, A208)</f>
        <v>0</v>
      </c>
      <c r="Q208" s="3" t="str">
        <f>_xlfn.IFNA(INDEX(ConformanceSubstrates!C2:C999, MATCH(D208,ConformanceSubstrates!A2:A999, 0)), "")</f>
        <v>C# / Entity Framework</v>
      </c>
      <c r="R208" s="3" t="str">
        <f>_xlfn.IFNA(INDEX(RulebookTables!F2:F999, MATCH(E208,RulebookTables!A2:A999, 0)), "")</f>
        <v>domain</v>
      </c>
      <c r="S208" s="2" t="s">
        <v>1898</v>
      </c>
    </row>
    <row r="209">
      <c r="A209" s="2" t="s">
        <v>14216</v>
      </c>
      <c r="B209" s="3" t="str">
        <f>_xlfn.CONCAT(D209, " / ", E209)</f>
        <v>effortless-entity-framework / StewardshipAssignments</v>
      </c>
      <c r="C209" s="2" t="s">
        <v>13999</v>
      </c>
      <c r="D209" s="2" t="s">
        <v>13981</v>
      </c>
      <c r="E209" s="2" t="s">
        <v>1839</v>
      </c>
      <c r="F209" s="2">
        <v>2</v>
      </c>
      <c r="G209" s="2">
        <v>5</v>
      </c>
      <c r="H209" s="2">
        <v>10</v>
      </c>
      <c r="I209" s="2">
        <v>10</v>
      </c>
      <c r="J209" s="2" t="b">
        <v>0</v>
      </c>
      <c r="K209" s="3">
        <f>H209 - I209</f>
        <v>0</v>
      </c>
      <c r="L209" s="3">
        <f>IF(H209 = 0, 0, ROUND(100 * I209 / H209, 2))</f>
        <v>100</v>
      </c>
      <c r="M209" s="3" t="b">
        <f>K209 = 0</f>
        <v>1</v>
      </c>
      <c r="N209" s="3" t="str">
        <f>IF(M209, "", D209)</f>
      </c>
      <c r="O209" s="3" t="str">
        <f>IF(M209, "", E209)</f>
      </c>
      <c r="P209" s="3">
        <f>COUNTIFS(FieldDisagreements!E2:E999, A209)</f>
        <v>0</v>
      </c>
      <c r="Q209" s="3" t="str">
        <f>_xlfn.IFNA(INDEX(ConformanceSubstrates!C2:C999, MATCH(D209,ConformanceSubstrates!A2:A999, 0)), "")</f>
        <v>C# / Entity Framework</v>
      </c>
      <c r="R209" s="3" t="str">
        <f>_xlfn.IFNA(INDEX(RulebookTables!F2:F999, MATCH(E209,RulebookTables!A2:A999, 0)), "")</f>
        <v>org</v>
      </c>
      <c r="S209" s="2" t="s">
        <v>1898</v>
      </c>
    </row>
    <row r="210">
      <c r="A210" s="2" t="s">
        <v>14217</v>
      </c>
      <c r="B210" s="3" t="str">
        <f>_xlfn.CONCAT(D210, " / ", E210)</f>
        <v>effortless-entity-framework / ChangeRequests</v>
      </c>
      <c r="C210" s="2" t="s">
        <v>13999</v>
      </c>
      <c r="D210" s="2" t="s">
        <v>13981</v>
      </c>
      <c r="E210" s="2" t="s">
        <v>3848</v>
      </c>
      <c r="F210" s="2">
        <v>2</v>
      </c>
      <c r="G210" s="2">
        <v>32</v>
      </c>
      <c r="H210" s="2">
        <v>64</v>
      </c>
      <c r="I210" s="2">
        <v>62</v>
      </c>
      <c r="J210" s="2" t="b">
        <v>0</v>
      </c>
      <c r="K210" s="3">
        <f>H210 - I210</f>
        <v>2</v>
      </c>
      <c r="L210" s="3">
        <f>IF(H210 = 0, 0, ROUND(100 * I210 / H210, 2))</f>
        <v>96.88</v>
      </c>
      <c r="M210" s="3" t="b">
        <f>K210 = 0</f>
        <v>0</v>
      </c>
      <c r="N210" s="3" t="str">
        <f>IF(M210, "", D210)</f>
        <v>effortless-entity-framework</v>
      </c>
      <c r="O210" s="3" t="str">
        <f>IF(M210, "", E210)</f>
        <v>ChangeRequests</v>
      </c>
      <c r="P210" s="3">
        <f>COUNTIFS(FieldDisagreements!E2:E999, A210)</f>
        <v>2</v>
      </c>
      <c r="Q210" s="3" t="str">
        <f>_xlfn.IFNA(INDEX(ConformanceSubstrates!C2:C999, MATCH(D210,ConformanceSubstrates!A2:A999, 0)), "")</f>
        <v>C# / Entity Framework</v>
      </c>
      <c r="R210" s="3" t="str">
        <f>_xlfn.IFNA(INDEX(RulebookTables!F2:F999, MATCH(E210,RulebookTables!A2:A999, 0)), "")</f>
        <v>domain</v>
      </c>
      <c r="S210" s="2" t="s">
        <v>1898</v>
      </c>
    </row>
    <row r="211">
      <c r="A211" s="2" t="s">
        <v>14218</v>
      </c>
      <c r="B211" s="3" t="str">
        <f>_xlfn.CONCAT(D211, " / ", E211)</f>
        <v>effortless-entity-framework / ReviewEvents</v>
      </c>
      <c r="C211" s="2" t="s">
        <v>13999</v>
      </c>
      <c r="D211" s="2" t="s">
        <v>13981</v>
      </c>
      <c r="E211" s="2" t="s">
        <v>3922</v>
      </c>
      <c r="F211" s="2">
        <v>3</v>
      </c>
      <c r="G211" s="2">
        <v>10</v>
      </c>
      <c r="H211" s="2">
        <v>30</v>
      </c>
      <c r="I211" s="2">
        <v>24</v>
      </c>
      <c r="J211" s="2" t="b">
        <v>0</v>
      </c>
      <c r="K211" s="3">
        <f>H211 - I211</f>
        <v>6</v>
      </c>
      <c r="L211" s="3">
        <f>IF(H211 = 0, 0, ROUND(100 * I211 / H211, 2))</f>
        <v>80</v>
      </c>
      <c r="M211" s="3" t="b">
        <f>K211 = 0</f>
        <v>0</v>
      </c>
      <c r="N211" s="3" t="str">
        <f>IF(M211, "", D211)</f>
        <v>effortless-entity-framework</v>
      </c>
      <c r="O211" s="3" t="str">
        <f>IF(M211, "", E211)</f>
        <v>ReviewEvents</v>
      </c>
      <c r="P211" s="3">
        <f>COUNTIFS(FieldDisagreements!E2:E999, A211)</f>
        <v>2</v>
      </c>
      <c r="Q211" s="3" t="str">
        <f>_xlfn.IFNA(INDEX(ConformanceSubstrates!C2:C999, MATCH(D211,ConformanceSubstrates!A2:A999, 0)), "")</f>
        <v>C# / Entity Framework</v>
      </c>
      <c r="R211" s="3" t="str">
        <f>_xlfn.IFNA(INDEX(RulebookTables!F2:F999, MATCH(E211,RulebookTables!A2:A999, 0)), "")</f>
        <v>domain</v>
      </c>
      <c r="S211" s="2" t="s">
        <v>1898</v>
      </c>
    </row>
    <row r="212">
      <c r="A212" s="2" t="s">
        <v>14219</v>
      </c>
      <c r="B212" s="3" t="str">
        <f>_xlfn.CONCAT(D212, " / ", E212)</f>
        <v>effortless-entity-framework / LearningActivities</v>
      </c>
      <c r="C212" s="2" t="s">
        <v>13999</v>
      </c>
      <c r="D212" s="2" t="s">
        <v>13981</v>
      </c>
      <c r="E212" s="2" t="s">
        <v>3951</v>
      </c>
      <c r="F212" s="2">
        <v>2</v>
      </c>
      <c r="G212" s="2">
        <v>1</v>
      </c>
      <c r="H212" s="2">
        <v>2</v>
      </c>
      <c r="I212" s="2">
        <v>0</v>
      </c>
      <c r="J212" s="2" t="b">
        <v>0</v>
      </c>
      <c r="K212" s="3">
        <f>H212 - I212</f>
        <v>2</v>
      </c>
      <c r="L212" s="3">
        <f>IF(H212 = 0, 0, ROUND(100 * I212 / H212, 2))</f>
        <v>0</v>
      </c>
      <c r="M212" s="3" t="b">
        <f>K212 = 0</f>
        <v>0</v>
      </c>
      <c r="N212" s="3" t="str">
        <f>IF(M212, "", D212)</f>
        <v>effortless-entity-framework</v>
      </c>
      <c r="O212" s="3" t="str">
        <f>IF(M212, "", E212)</f>
        <v>LearningActivities</v>
      </c>
      <c r="P212" s="3">
        <f>COUNTIFS(FieldDisagreements!E2:E999, A212)</f>
        <v>1</v>
      </c>
      <c r="Q212" s="3" t="str">
        <f>_xlfn.IFNA(INDEX(ConformanceSubstrates!C2:C999, MATCH(D212,ConformanceSubstrates!A2:A999, 0)), "")</f>
        <v>C# / Entity Framework</v>
      </c>
      <c r="R212" s="3" t="str">
        <f>_xlfn.IFNA(INDEX(RulebookTables!F2:F999, MATCH(E212,RulebookTables!A2:A999, 0)), "")</f>
        <v>domain</v>
      </c>
      <c r="S212" s="2" t="s">
        <v>1898</v>
      </c>
    </row>
    <row r="213">
      <c r="A213" s="2" t="s">
        <v>14220</v>
      </c>
      <c r="B213" s="3" t="str">
        <f>_xlfn.CONCAT(D213, " / ", E213)</f>
        <v>effortless-entity-framework / OperationalBindings</v>
      </c>
      <c r="C213" s="2" t="s">
        <v>13999</v>
      </c>
      <c r="D213" s="2" t="s">
        <v>13981</v>
      </c>
      <c r="E213" s="2" t="s">
        <v>1842</v>
      </c>
      <c r="F213" s="2">
        <v>5</v>
      </c>
      <c r="G213" s="2">
        <v>11</v>
      </c>
      <c r="H213" s="2">
        <v>55</v>
      </c>
      <c r="I213" s="2">
        <v>55</v>
      </c>
      <c r="J213" s="2" t="b">
        <v>0</v>
      </c>
      <c r="K213" s="3">
        <f>H213 - I213</f>
        <v>0</v>
      </c>
      <c r="L213" s="3">
        <f>IF(H213 = 0, 0, ROUND(100 * I213 / H213, 2))</f>
        <v>100</v>
      </c>
      <c r="M213" s="3" t="b">
        <f>K213 = 0</f>
        <v>1</v>
      </c>
      <c r="N213" s="3" t="str">
        <f>IF(M213, "", D213)</f>
      </c>
      <c r="O213" s="3" t="str">
        <f>IF(M213, "", E213)</f>
      </c>
      <c r="P213" s="3">
        <f>COUNTIFS(FieldDisagreements!E2:E999, A213)</f>
        <v>0</v>
      </c>
      <c r="Q213" s="3" t="str">
        <f>_xlfn.IFNA(INDEX(ConformanceSubstrates!C2:C999, MATCH(D213,ConformanceSubstrates!A2:A999, 0)), "")</f>
        <v>C# / Entity Framework</v>
      </c>
      <c r="R213" s="3" t="str">
        <f>_xlfn.IFNA(INDEX(RulebookTables!F2:F999, MATCH(E213,RulebookTables!A2:A999, 0)), "")</f>
        <v>domain</v>
      </c>
      <c r="S213" s="2" t="s">
        <v>1898</v>
      </c>
    </row>
    <row r="214">
      <c r="A214" s="2" t="s">
        <v>14221</v>
      </c>
      <c r="B214" s="3" t="str">
        <f>_xlfn.CONCAT(D214, " / ", E214)</f>
        <v>effortless-entity-framework / CommunicationPolicies</v>
      </c>
      <c r="C214" s="2" t="s">
        <v>13999</v>
      </c>
      <c r="D214" s="2" t="s">
        <v>13981</v>
      </c>
      <c r="E214" s="2" t="s">
        <v>1845</v>
      </c>
      <c r="F214" s="2">
        <v>2</v>
      </c>
      <c r="G214" s="2">
        <v>4</v>
      </c>
      <c r="H214" s="2">
        <v>8</v>
      </c>
      <c r="I214" s="2">
        <v>8</v>
      </c>
      <c r="J214" s="2" t="b">
        <v>0</v>
      </c>
      <c r="K214" s="3">
        <f>H214 - I214</f>
        <v>0</v>
      </c>
      <c r="L214" s="3">
        <f>IF(H214 = 0, 0, ROUND(100 * I214 / H214, 2))</f>
        <v>100</v>
      </c>
      <c r="M214" s="3" t="b">
        <f>K214 = 0</f>
        <v>1</v>
      </c>
      <c r="N214" s="3" t="str">
        <f>IF(M214, "", D214)</f>
      </c>
      <c r="O214" s="3" t="str">
        <f>IF(M214, "", E214)</f>
      </c>
      <c r="P214" s="3">
        <f>COUNTIFS(FieldDisagreements!E2:E999, A214)</f>
        <v>0</v>
      </c>
      <c r="Q214" s="3" t="str">
        <f>_xlfn.IFNA(INDEX(ConformanceSubstrates!C2:C999, MATCH(D214,ConformanceSubstrates!A2:A999, 0)), "")</f>
        <v>C# / Entity Framework</v>
      </c>
      <c r="R214" s="3" t="str">
        <f>_xlfn.IFNA(INDEX(RulebookTables!F2:F999, MATCH(E214,RulebookTables!A2:A999, 0)), "")</f>
        <v>communication</v>
      </c>
      <c r="S214" s="2" t="s">
        <v>1898</v>
      </c>
    </row>
    <row r="215">
      <c r="A215" s="2" t="s">
        <v>14222</v>
      </c>
      <c r="B215" s="3" t="str">
        <f>_xlfn.CONCAT(D215, " / ", E215)</f>
        <v>effortless-entity-framework / MessageTemplates</v>
      </c>
      <c r="C215" s="2" t="s">
        <v>13999</v>
      </c>
      <c r="D215" s="2" t="s">
        <v>13981</v>
      </c>
      <c r="E215" s="2" t="s">
        <v>4021</v>
      </c>
      <c r="F215" s="2">
        <v>2</v>
      </c>
      <c r="G215" s="2">
        <v>16</v>
      </c>
      <c r="H215" s="2">
        <v>32</v>
      </c>
      <c r="I215" s="2">
        <v>32</v>
      </c>
      <c r="J215" s="2" t="b">
        <v>0</v>
      </c>
      <c r="K215" s="3">
        <f>H215 - I215</f>
        <v>0</v>
      </c>
      <c r="L215" s="3">
        <f>IF(H215 = 0, 0, ROUND(100 * I215 / H215, 2))</f>
        <v>100</v>
      </c>
      <c r="M215" s="3" t="b">
        <f>K215 = 0</f>
        <v>1</v>
      </c>
      <c r="N215" s="3" t="str">
        <f>IF(M215, "", D215)</f>
      </c>
      <c r="O215" s="3" t="str">
        <f>IF(M215, "", E215)</f>
      </c>
      <c r="P215" s="3">
        <f>COUNTIFS(FieldDisagreements!E2:E999, A215)</f>
        <v>0</v>
      </c>
      <c r="Q215" s="3" t="str">
        <f>_xlfn.IFNA(INDEX(ConformanceSubstrates!C2:C999, MATCH(D215,ConformanceSubstrates!A2:A999, 0)), "")</f>
        <v>C# / Entity Framework</v>
      </c>
      <c r="R215" s="3" t="str">
        <f>_xlfn.IFNA(INDEX(RulebookTables!F2:F999, MATCH(E215,RulebookTables!A2:A999, 0)), "")</f>
        <v>communication</v>
      </c>
      <c r="S215" s="2" t="s">
        <v>1898</v>
      </c>
    </row>
    <row r="216">
      <c r="A216" s="2" t="s">
        <v>14223</v>
      </c>
      <c r="B216" s="3" t="str">
        <f>_xlfn.CONCAT(D216, " / ", E216)</f>
        <v>effortless-entity-framework / SemanticMappings</v>
      </c>
      <c r="C216" s="2" t="s">
        <v>13999</v>
      </c>
      <c r="D216" s="2" t="s">
        <v>13981</v>
      </c>
      <c r="E216" s="2" t="s">
        <v>4064</v>
      </c>
      <c r="F216" s="2">
        <v>47</v>
      </c>
      <c r="G216" s="2">
        <v>1</v>
      </c>
      <c r="H216" s="2">
        <v>47</v>
      </c>
      <c r="I216" s="2">
        <v>47</v>
      </c>
      <c r="J216" s="2" t="b">
        <v>0</v>
      </c>
      <c r="K216" s="3">
        <f>H216 - I216</f>
        <v>0</v>
      </c>
      <c r="L216" s="3">
        <f>IF(H216 = 0, 0, ROUND(100 * I216 / H216, 2))</f>
        <v>100</v>
      </c>
      <c r="M216" s="3" t="b">
        <f>K216 = 0</f>
        <v>1</v>
      </c>
      <c r="N216" s="3" t="str">
        <f>IF(M216, "", D216)</f>
      </c>
      <c r="O216" s="3" t="str">
        <f>IF(M216, "", E216)</f>
      </c>
      <c r="P216" s="3">
        <f>COUNTIFS(FieldDisagreements!E2:E999, A216)</f>
        <v>0</v>
      </c>
      <c r="Q216" s="3" t="str">
        <f>_xlfn.IFNA(INDEX(ConformanceSubstrates!C2:C999, MATCH(D216,ConformanceSubstrates!A2:A999, 0)), "")</f>
        <v>C# / Entity Framework</v>
      </c>
      <c r="R216" s="3" t="str">
        <f>_xlfn.IFNA(INDEX(RulebookTables!F2:F999, MATCH(E216,RulebookTables!A2:A999, 0)), "")</f>
        <v>meta</v>
      </c>
      <c r="S216" s="2" t="s">
        <v>1898</v>
      </c>
    </row>
    <row r="217">
      <c r="A217" s="2" t="s">
        <v>14224</v>
      </c>
      <c r="B217" s="3" t="str">
        <f>_xlfn.CONCAT(D217, " / ", E217)</f>
        <v>effortless-entity-framework / WitnessLoops</v>
      </c>
      <c r="C217" s="2" t="s">
        <v>13999</v>
      </c>
      <c r="D217" s="2" t="s">
        <v>13981</v>
      </c>
      <c r="E217" s="2" t="s">
        <v>4074</v>
      </c>
      <c r="F217" s="2">
        <v>3</v>
      </c>
      <c r="G217" s="2">
        <v>3</v>
      </c>
      <c r="H217" s="2">
        <v>9</v>
      </c>
      <c r="I217" s="2">
        <v>9</v>
      </c>
      <c r="J217" s="2" t="b">
        <v>0</v>
      </c>
      <c r="K217" s="3">
        <f>H217 - I217</f>
        <v>0</v>
      </c>
      <c r="L217" s="3">
        <f>IF(H217 = 0, 0, ROUND(100 * I217 / H217, 2))</f>
        <v>100</v>
      </c>
      <c r="M217" s="3" t="b">
        <f>K217 = 0</f>
        <v>1</v>
      </c>
      <c r="N217" s="3" t="str">
        <f>IF(M217, "", D217)</f>
      </c>
      <c r="O217" s="3" t="str">
        <f>IF(M217, "", E217)</f>
      </c>
      <c r="P217" s="3">
        <f>COUNTIFS(FieldDisagreements!E2:E999, A217)</f>
        <v>0</v>
      </c>
      <c r="Q217" s="3" t="str">
        <f>_xlfn.IFNA(INDEX(ConformanceSubstrates!C2:C999, MATCH(D217,ConformanceSubstrates!A2:A999, 0)), "")</f>
        <v>C# / Entity Framework</v>
      </c>
      <c r="R217" s="3" t="str">
        <f>_xlfn.IFNA(INDEX(RulebookTables!F2:F999, MATCH(E217,RulebookTables!A2:A999, 0)), "")</f>
        <v>meta</v>
      </c>
      <c r="S217" s="2" t="s">
        <v>1898</v>
      </c>
    </row>
    <row r="218">
      <c r="A218" s="2" t="s">
        <v>14225</v>
      </c>
      <c r="B218" s="3" t="str">
        <f>_xlfn.CONCAT(D218, " / ", E218)</f>
        <v>effortless-entity-framework / RoleQuestions</v>
      </c>
      <c r="C218" s="2" t="s">
        <v>13999</v>
      </c>
      <c r="D218" s="2" t="s">
        <v>13981</v>
      </c>
      <c r="E218" s="2" t="s">
        <v>4091</v>
      </c>
      <c r="F218" s="2">
        <v>109</v>
      </c>
      <c r="G218" s="2">
        <v>3</v>
      </c>
      <c r="H218" s="2">
        <v>327</v>
      </c>
      <c r="I218" s="2">
        <v>327</v>
      </c>
      <c r="J218" s="2" t="b">
        <v>0</v>
      </c>
      <c r="K218" s="3">
        <f>H218 - I218</f>
        <v>0</v>
      </c>
      <c r="L218" s="3">
        <f>IF(H218 = 0, 0, ROUND(100 * I218 / H218, 2))</f>
        <v>100</v>
      </c>
      <c r="M218" s="3" t="b">
        <f>K218 = 0</f>
        <v>1</v>
      </c>
      <c r="N218" s="3" t="str">
        <f>IF(M218, "", D218)</f>
      </c>
      <c r="O218" s="3" t="str">
        <f>IF(M218, "", E218)</f>
      </c>
      <c r="P218" s="3">
        <f>COUNTIFS(FieldDisagreements!E2:E999, A218)</f>
        <v>0</v>
      </c>
      <c r="Q218" s="3" t="str">
        <f>_xlfn.IFNA(INDEX(ConformanceSubstrates!C2:C999, MATCH(D218,ConformanceSubstrates!A2:A999, 0)), "")</f>
        <v>C# / Entity Framework</v>
      </c>
      <c r="R218" s="3" t="str">
        <f>_xlfn.IFNA(INDEX(RulebookTables!F2:F999, MATCH(E218,RulebookTables!A2:A999, 0)), "")</f>
        <v>org</v>
      </c>
      <c r="S218" s="2" t="s">
        <v>1898</v>
      </c>
    </row>
    <row r="219">
      <c r="A219" s="2" t="s">
        <v>14226</v>
      </c>
      <c r="B219" s="3" t="str">
        <f>_xlfn.CONCAT(D219, " / ", E219)</f>
        <v>effortless-entity-framework / RulebookFields</v>
      </c>
      <c r="C219" s="2" t="s">
        <v>13999</v>
      </c>
      <c r="D219" s="2" t="s">
        <v>13981</v>
      </c>
      <c r="E219" s="2" t="s">
        <v>4106</v>
      </c>
      <c r="F219" s="2">
        <v>1879</v>
      </c>
      <c r="G219" s="2">
        <v>5</v>
      </c>
      <c r="H219" s="2">
        <v>9395</v>
      </c>
      <c r="I219" s="2">
        <v>9395</v>
      </c>
      <c r="J219" s="2" t="b">
        <v>0</v>
      </c>
      <c r="K219" s="3">
        <f>H219 - I219</f>
        <v>0</v>
      </c>
      <c r="L219" s="3">
        <f>IF(H219 = 0, 0, ROUND(100 * I219 / H219, 2))</f>
        <v>100</v>
      </c>
      <c r="M219" s="3" t="b">
        <f>K219 = 0</f>
        <v>1</v>
      </c>
      <c r="N219" s="3" t="str">
        <f>IF(M219, "", D219)</f>
      </c>
      <c r="O219" s="3" t="str">
        <f>IF(M219, "", E219)</f>
      </c>
      <c r="P219" s="3">
        <f>COUNTIFS(FieldDisagreements!E2:E999, A219)</f>
        <v>0</v>
      </c>
      <c r="Q219" s="3" t="str">
        <f>_xlfn.IFNA(INDEX(ConformanceSubstrates!C2:C999, MATCH(D219,ConformanceSubstrates!A2:A999, 0)), "")</f>
        <v>C# / Entity Framework</v>
      </c>
      <c r="R219" s="3" t="str">
        <f>_xlfn.IFNA(INDEX(RulebookTables!F2:F999, MATCH(E219,RulebookTables!A2:A999, 0)), "")</f>
        <v>access-control</v>
      </c>
      <c r="S219" s="2" t="s">
        <v>1898</v>
      </c>
    </row>
    <row r="220">
      <c r="A220" s="2" t="s">
        <v>14227</v>
      </c>
      <c r="B220" s="3" t="str">
        <f>_xlfn.CONCAT(D220, " / ", E220)</f>
        <v>effortless-entity-framework / TestSuites</v>
      </c>
      <c r="C220" s="2" t="s">
        <v>13999</v>
      </c>
      <c r="D220" s="2" t="s">
        <v>13981</v>
      </c>
      <c r="E220" s="2" t="s">
        <v>4125</v>
      </c>
      <c r="F220" s="2">
        <v>6</v>
      </c>
      <c r="G220" s="2">
        <v>5</v>
      </c>
      <c r="H220" s="2">
        <v>30</v>
      </c>
      <c r="I220" s="2">
        <v>30</v>
      </c>
      <c r="J220" s="2" t="b">
        <v>0</v>
      </c>
      <c r="K220" s="3">
        <f>H220 - I220</f>
        <v>0</v>
      </c>
      <c r="L220" s="3">
        <f>IF(H220 = 0, 0, ROUND(100 * I220 / H220, 2))</f>
        <v>100</v>
      </c>
      <c r="M220" s="3" t="b">
        <f>K220 = 0</f>
        <v>1</v>
      </c>
      <c r="N220" s="3" t="str">
        <f>IF(M220, "", D220)</f>
      </c>
      <c r="O220" s="3" t="str">
        <f>IF(M220, "", E220)</f>
      </c>
      <c r="P220" s="3">
        <f>COUNTIFS(FieldDisagreements!E2:E999, A220)</f>
        <v>0</v>
      </c>
      <c r="Q220" s="3" t="str">
        <f>_xlfn.IFNA(INDEX(ConformanceSubstrates!C2:C999, MATCH(D220,ConformanceSubstrates!A2:A999, 0)), "")</f>
        <v>C# / Entity Framework</v>
      </c>
      <c r="R220" s="3" t="str">
        <f>_xlfn.IFNA(INDEX(RulebookTables!F2:F999, MATCH(E220,RulebookTables!A2:A999, 0)), "")</f>
        <v>meta</v>
      </c>
      <c r="S220" s="2" t="s">
        <v>1898</v>
      </c>
    </row>
    <row r="221">
      <c r="A221" s="2" t="s">
        <v>14228</v>
      </c>
      <c r="B221" s="3" t="str">
        <f>_xlfn.CONCAT(D221, " / ", E221)</f>
        <v>effortless-entity-framework / TestCases</v>
      </c>
      <c r="C221" s="2" t="s">
        <v>13999</v>
      </c>
      <c r="D221" s="2" t="s">
        <v>13981</v>
      </c>
      <c r="E221" s="2" t="s">
        <v>4143</v>
      </c>
      <c r="F221" s="2">
        <v>1794</v>
      </c>
      <c r="G221" s="2">
        <v>7</v>
      </c>
      <c r="H221" s="2">
        <v>12558</v>
      </c>
      <c r="I221" s="2">
        <v>12558</v>
      </c>
      <c r="J221" s="2" t="b">
        <v>0</v>
      </c>
      <c r="K221" s="3">
        <f>H221 - I221</f>
        <v>0</v>
      </c>
      <c r="L221" s="3">
        <f>IF(H221 = 0, 0, ROUND(100 * I221 / H221, 2))</f>
        <v>100</v>
      </c>
      <c r="M221" s="3" t="b">
        <f>K221 = 0</f>
        <v>1</v>
      </c>
      <c r="N221" s="3" t="str">
        <f>IF(M221, "", D221)</f>
      </c>
      <c r="O221" s="3" t="str">
        <f>IF(M221, "", E221)</f>
      </c>
      <c r="P221" s="3">
        <f>COUNTIFS(FieldDisagreements!E2:E999, A221)</f>
        <v>0</v>
      </c>
      <c r="Q221" s="3" t="str">
        <f>_xlfn.IFNA(INDEX(ConformanceSubstrates!C2:C999, MATCH(D221,ConformanceSubstrates!A2:A999, 0)), "")</f>
        <v>C# / Entity Framework</v>
      </c>
      <c r="R221" s="3" t="str">
        <f>_xlfn.IFNA(INDEX(RulebookTables!F2:F999, MATCH(E221,RulebookTables!A2:A999, 0)), "")</f>
        <v>meta</v>
      </c>
      <c r="S221" s="2" t="s">
        <v>1898</v>
      </c>
    </row>
    <row r="222">
      <c r="A222" s="2" t="s">
        <v>14229</v>
      </c>
      <c r="B222" s="3" t="str">
        <f>_xlfn.CONCAT(D222, " / ", E222)</f>
        <v>effortless-entity-framework / ExceptionInvocations</v>
      </c>
      <c r="C222" s="2" t="s">
        <v>13999</v>
      </c>
      <c r="D222" s="2" t="s">
        <v>13981</v>
      </c>
      <c r="E222" s="2" t="s">
        <v>4221</v>
      </c>
      <c r="F222" s="2">
        <v>1</v>
      </c>
      <c r="G222" s="2">
        <v>13</v>
      </c>
      <c r="H222" s="2">
        <v>13</v>
      </c>
      <c r="I222" s="2">
        <v>13</v>
      </c>
      <c r="J222" s="2" t="b">
        <v>0</v>
      </c>
      <c r="K222" s="3">
        <f>H222 - I222</f>
        <v>0</v>
      </c>
      <c r="L222" s="3">
        <f>IF(H222 = 0, 0, ROUND(100 * I222 / H222, 2))</f>
        <v>100</v>
      </c>
      <c r="M222" s="3" t="b">
        <f>K222 = 0</f>
        <v>1</v>
      </c>
      <c r="N222" s="3" t="str">
        <f>IF(M222, "", D222)</f>
      </c>
      <c r="O222" s="3" t="str">
        <f>IF(M222, "", E222)</f>
      </c>
      <c r="P222" s="3">
        <f>COUNTIFS(FieldDisagreements!E2:E999, A222)</f>
        <v>0</v>
      </c>
      <c r="Q222" s="3" t="str">
        <f>_xlfn.IFNA(INDEX(ConformanceSubstrates!C2:C999, MATCH(D222,ConformanceSubstrates!A2:A999, 0)), "")</f>
        <v>C# / Entity Framework</v>
      </c>
      <c r="R222" s="3" t="str">
        <f>_xlfn.IFNA(INDEX(RulebookTables!F2:F999, MATCH(E222,RulebookTables!A2:A999, 0)), "")</f>
        <v>governance</v>
      </c>
      <c r="S222" s="2" t="s">
        <v>1898</v>
      </c>
    </row>
    <row r="223">
      <c r="A223" s="2" t="s">
        <v>14230</v>
      </c>
      <c r="B223" s="3" t="str">
        <f>_xlfn.CONCAT(D223, " / ", E223)</f>
        <v>effortless-entity-framework / VerificationOutcomes</v>
      </c>
      <c r="C223" s="2" t="s">
        <v>13999</v>
      </c>
      <c r="D223" s="2" t="s">
        <v>13981</v>
      </c>
      <c r="E223" s="2" t="s">
        <v>4271</v>
      </c>
      <c r="F223" s="2">
        <v>4</v>
      </c>
      <c r="G223" s="2">
        <v>18</v>
      </c>
      <c r="H223" s="2">
        <v>72</v>
      </c>
      <c r="I223" s="2">
        <v>72</v>
      </c>
      <c r="J223" s="2" t="b">
        <v>0</v>
      </c>
      <c r="K223" s="3">
        <f>H223 - I223</f>
        <v>0</v>
      </c>
      <c r="L223" s="3">
        <f>IF(H223 = 0, 0, ROUND(100 * I223 / H223, 2))</f>
        <v>100</v>
      </c>
      <c r="M223" s="3" t="b">
        <f>K223 = 0</f>
        <v>1</v>
      </c>
      <c r="N223" s="3" t="str">
        <f>IF(M223, "", D223)</f>
      </c>
      <c r="O223" s="3" t="str">
        <f>IF(M223, "", E223)</f>
      </c>
      <c r="P223" s="3">
        <f>COUNTIFS(FieldDisagreements!E2:E999, A223)</f>
        <v>0</v>
      </c>
      <c r="Q223" s="3" t="str">
        <f>_xlfn.IFNA(INDEX(ConformanceSubstrates!C2:C999, MATCH(D223,ConformanceSubstrates!A2:A999, 0)), "")</f>
        <v>C# / Entity Framework</v>
      </c>
      <c r="R223" s="3" t="str">
        <f>_xlfn.IFNA(INDEX(RulebookTables!F2:F999, MATCH(E223,RulebookTables!A2:A999, 0)), "")</f>
        <v>execution</v>
      </c>
      <c r="S223" s="2" t="s">
        <v>1898</v>
      </c>
    </row>
    <row r="224">
      <c r="A224" s="2" t="s">
        <v>14231</v>
      </c>
      <c r="B224" s="3" t="str">
        <f>_xlfn.CONCAT(D224, " / ", E224)</f>
        <v>effortless-entity-framework / ObservedTransitions</v>
      </c>
      <c r="C224" s="2" t="s">
        <v>13999</v>
      </c>
      <c r="D224" s="2" t="s">
        <v>13981</v>
      </c>
      <c r="E224" s="2" t="s">
        <v>4332</v>
      </c>
      <c r="F224" s="2">
        <v>10</v>
      </c>
      <c r="G224" s="2">
        <v>1</v>
      </c>
      <c r="H224" s="2">
        <v>10</v>
      </c>
      <c r="I224" s="2">
        <v>0</v>
      </c>
      <c r="J224" s="2" t="b">
        <v>0</v>
      </c>
      <c r="K224" s="3">
        <f>H224 - I224</f>
        <v>10</v>
      </c>
      <c r="L224" s="3">
        <f>IF(H224 = 0, 0, ROUND(100 * I224 / H224, 2))</f>
        <v>0</v>
      </c>
      <c r="M224" s="3" t="b">
        <f>K224 = 0</f>
        <v>0</v>
      </c>
      <c r="N224" s="3" t="str">
        <f>IF(M224, "", D224)</f>
        <v>effortless-entity-framework</v>
      </c>
      <c r="O224" s="3" t="str">
        <f>IF(M224, "", E224)</f>
        <v>ObservedTransitions</v>
      </c>
      <c r="P224" s="3">
        <f>COUNTIFS(FieldDisagreements!E2:E999, A224)</f>
        <v>1</v>
      </c>
      <c r="Q224" s="3" t="str">
        <f>_xlfn.IFNA(INDEX(ConformanceSubstrates!C2:C999, MATCH(D224,ConformanceSubstrates!A2:A999, 0)), "")</f>
        <v>C# / Entity Framework</v>
      </c>
      <c r="R224" s="3" t="str">
        <f>_xlfn.IFNA(INDEX(RulebookTables!F2:F999, MATCH(E224,RulebookTables!A2:A999, 0)), "")</f>
        <v>specification</v>
      </c>
      <c r="S224" s="2" t="s">
        <v>1898</v>
      </c>
    </row>
    <row r="225">
      <c r="A225" s="2" t="s">
        <v>14232</v>
      </c>
      <c r="B225" s="3" t="str">
        <f>_xlfn.CONCAT(D225, " / ", E225)</f>
        <v>effortless-entity-framework / Recipients</v>
      </c>
      <c r="C225" s="2" t="s">
        <v>13999</v>
      </c>
      <c r="D225" s="2" t="s">
        <v>13981</v>
      </c>
      <c r="E225" s="2" t="s">
        <v>4346</v>
      </c>
      <c r="F225" s="2">
        <v>5</v>
      </c>
      <c r="G225" s="2">
        <v>6</v>
      </c>
      <c r="H225" s="2">
        <v>30</v>
      </c>
      <c r="I225" s="2">
        <v>30</v>
      </c>
      <c r="J225" s="2" t="b">
        <v>0</v>
      </c>
      <c r="K225" s="3">
        <f>H225 - I225</f>
        <v>0</v>
      </c>
      <c r="L225" s="3">
        <f>IF(H225 = 0, 0, ROUND(100 * I225 / H225, 2))</f>
        <v>100</v>
      </c>
      <c r="M225" s="3" t="b">
        <f>K225 = 0</f>
        <v>1</v>
      </c>
      <c r="N225" s="3" t="str">
        <f>IF(M225, "", D225)</f>
      </c>
      <c r="O225" s="3" t="str">
        <f>IF(M225, "", E225)</f>
      </c>
      <c r="P225" s="3">
        <f>COUNTIFS(FieldDisagreements!E2:E999, A225)</f>
        <v>0</v>
      </c>
      <c r="Q225" s="3" t="str">
        <f>_xlfn.IFNA(INDEX(ConformanceSubstrates!C2:C999, MATCH(D225,ConformanceSubstrates!A2:A999, 0)), "")</f>
        <v>C# / Entity Framework</v>
      </c>
      <c r="R225" s="3" t="str">
        <f>_xlfn.IFNA(INDEX(RulebookTables!F2:F999, MATCH(E225,RulebookTables!A2:A999, 0)), "")</f>
        <v>communication</v>
      </c>
      <c r="S225" s="2" t="s">
        <v>1898</v>
      </c>
    </row>
    <row r="226">
      <c r="A226" s="2" t="s">
        <v>14233</v>
      </c>
      <c r="B226" s="3" t="str">
        <f>_xlfn.CONCAT(D226, " / ", E226)</f>
        <v>effortless-entity-framework / MessageDeliveries</v>
      </c>
      <c r="C226" s="2" t="s">
        <v>13999</v>
      </c>
      <c r="D226" s="2" t="s">
        <v>13981</v>
      </c>
      <c r="E226" s="2" t="s">
        <v>4378</v>
      </c>
      <c r="F226" s="2">
        <v>6</v>
      </c>
      <c r="G226" s="2">
        <v>74</v>
      </c>
      <c r="H226" s="2">
        <v>444</v>
      </c>
      <c r="I226" s="2">
        <v>420</v>
      </c>
      <c r="J226" s="2" t="b">
        <v>0</v>
      </c>
      <c r="K226" s="3">
        <f>H226 - I226</f>
        <v>24</v>
      </c>
      <c r="L226" s="3">
        <f>IF(H226 = 0, 0, ROUND(100 * I226 / H226, 2))</f>
        <v>94.59</v>
      </c>
      <c r="M226" s="3" t="b">
        <f>K226 = 0</f>
        <v>0</v>
      </c>
      <c r="N226" s="3" t="str">
        <f>IF(M226, "", D226)</f>
        <v>effortless-entity-framework</v>
      </c>
      <c r="O226" s="3" t="str">
        <f>IF(M226, "", E226)</f>
        <v>MessageDeliveries</v>
      </c>
      <c r="P226" s="3">
        <f>COUNTIFS(FieldDisagreements!E2:E999, A226)</f>
        <v>5</v>
      </c>
      <c r="Q226" s="3" t="str">
        <f>_xlfn.IFNA(INDEX(ConformanceSubstrates!C2:C999, MATCH(D226,ConformanceSubstrates!A2:A999, 0)), "")</f>
        <v>C# / Entity Framework</v>
      </c>
      <c r="R226" s="3" t="str">
        <f>_xlfn.IFNA(INDEX(RulebookTables!F2:F999, MATCH(E226,RulebookTables!A2:A999, 0)), "")</f>
        <v>communication</v>
      </c>
      <c r="S226" s="2" t="s">
        <v>1898</v>
      </c>
    </row>
    <row r="227">
      <c r="A227" s="2" t="s">
        <v>14234</v>
      </c>
      <c r="B227" s="3" t="str">
        <f>_xlfn.CONCAT(D227, " / ", E227)</f>
        <v>effortless-entity-framework / TemplateApprovals</v>
      </c>
      <c r="C227" s="2" t="s">
        <v>13999</v>
      </c>
      <c r="D227" s="2" t="s">
        <v>13981</v>
      </c>
      <c r="E227" s="2" t="s">
        <v>4632</v>
      </c>
      <c r="F227" s="2">
        <v>2</v>
      </c>
      <c r="G227" s="2">
        <v>6</v>
      </c>
      <c r="H227" s="2">
        <v>12</v>
      </c>
      <c r="I227" s="2">
        <v>10</v>
      </c>
      <c r="J227" s="2" t="b">
        <v>0</v>
      </c>
      <c r="K227" s="3">
        <f>H227 - I227</f>
        <v>2</v>
      </c>
      <c r="L227" s="3">
        <f>IF(H227 = 0, 0, ROUND(100 * I227 / H227, 2))</f>
        <v>83.33</v>
      </c>
      <c r="M227" s="3" t="b">
        <f>K227 = 0</f>
        <v>0</v>
      </c>
      <c r="N227" s="3" t="str">
        <f>IF(M227, "", D227)</f>
        <v>effortless-entity-framework</v>
      </c>
      <c r="O227" s="3" t="str">
        <f>IF(M227, "", E227)</f>
        <v>TemplateApprovals</v>
      </c>
      <c r="P227" s="3">
        <f>COUNTIFS(FieldDisagreements!E2:E999, A227)</f>
        <v>1</v>
      </c>
      <c r="Q227" s="3" t="str">
        <f>_xlfn.IFNA(INDEX(ConformanceSubstrates!C2:C999, MATCH(D227,ConformanceSubstrates!A2:A999, 0)), "")</f>
        <v>C# / Entity Framework</v>
      </c>
      <c r="R227" s="3" t="str">
        <f>_xlfn.IFNA(INDEX(RulebookTables!F2:F999, MATCH(E227,RulebookTables!A2:A999, 0)), "")</f>
        <v>communication</v>
      </c>
      <c r="S227" s="2" t="s">
        <v>1898</v>
      </c>
    </row>
    <row r="228">
      <c r="A228" s="2" t="s">
        <v>14235</v>
      </c>
      <c r="B228" s="3" t="str">
        <f>_xlfn.CONCAT(D228, " / ", E228)</f>
        <v>effortless-entity-framework / SendIntents</v>
      </c>
      <c r="C228" s="2" t="s">
        <v>13999</v>
      </c>
      <c r="D228" s="2" t="s">
        <v>13981</v>
      </c>
      <c r="E228" s="2" t="s">
        <v>4662</v>
      </c>
      <c r="F228" s="2">
        <v>7</v>
      </c>
      <c r="G228" s="2">
        <v>79</v>
      </c>
      <c r="H228" s="2">
        <v>553</v>
      </c>
      <c r="I228" s="2">
        <v>546</v>
      </c>
      <c r="J228" s="2" t="b">
        <v>0</v>
      </c>
      <c r="K228" s="3">
        <f>H228 - I228</f>
        <v>7</v>
      </c>
      <c r="L228" s="3">
        <f>IF(H228 = 0, 0, ROUND(100 * I228 / H228, 2))</f>
        <v>98.73</v>
      </c>
      <c r="M228" s="3" t="b">
        <f>K228 = 0</f>
        <v>0</v>
      </c>
      <c r="N228" s="3" t="str">
        <f>IF(M228, "", D228)</f>
        <v>effortless-entity-framework</v>
      </c>
      <c r="O228" s="3" t="str">
        <f>IF(M228, "", E228)</f>
        <v>SendIntents</v>
      </c>
      <c r="P228" s="3">
        <f>COUNTIFS(FieldDisagreements!E2:E999, A228)</f>
        <v>1</v>
      </c>
      <c r="Q228" s="3" t="str">
        <f>_xlfn.IFNA(INDEX(ConformanceSubstrates!C2:C999, MATCH(D228,ConformanceSubstrates!A2:A999, 0)), "")</f>
        <v>C# / Entity Framework</v>
      </c>
      <c r="R228" s="3" t="str">
        <f>_xlfn.IFNA(INDEX(RulebookTables!F2:F999, MATCH(E228,RulebookTables!A2:A999, 0)), "")</f>
        <v>communication</v>
      </c>
      <c r="S228" s="2" t="s">
        <v>1898</v>
      </c>
    </row>
    <row r="229">
      <c r="A229" s="2" t="s">
        <v>14236</v>
      </c>
      <c r="B229" s="3" t="str">
        <f>_xlfn.CONCAT(D229, " / ", E229)</f>
        <v>effortless-entity-framework / AgentDecisionRecords</v>
      </c>
      <c r="C229" s="2" t="s">
        <v>13999</v>
      </c>
      <c r="D229" s="2" t="s">
        <v>13981</v>
      </c>
      <c r="E229" s="2" t="s">
        <v>4928</v>
      </c>
      <c r="F229" s="2">
        <v>3</v>
      </c>
      <c r="G229" s="2">
        <v>27</v>
      </c>
      <c r="H229" s="2">
        <v>81</v>
      </c>
      <c r="I229" s="2">
        <v>81</v>
      </c>
      <c r="J229" s="2" t="b">
        <v>0</v>
      </c>
      <c r="K229" s="3">
        <f>H229 - I229</f>
        <v>0</v>
      </c>
      <c r="L229" s="3">
        <f>IF(H229 = 0, 0, ROUND(100 * I229 / H229, 2))</f>
        <v>100</v>
      </c>
      <c r="M229" s="3" t="b">
        <f>K229 = 0</f>
        <v>1</v>
      </c>
      <c r="N229" s="3" t="str">
        <f>IF(M229, "", D229)</f>
      </c>
      <c r="O229" s="3" t="str">
        <f>IF(M229, "", E229)</f>
      </c>
      <c r="P229" s="3">
        <f>COUNTIFS(FieldDisagreements!E2:E999, A229)</f>
        <v>0</v>
      </c>
      <c r="Q229" s="3" t="str">
        <f>_xlfn.IFNA(INDEX(ConformanceSubstrates!C2:C999, MATCH(D229,ConformanceSubstrates!A2:A999, 0)), "")</f>
        <v>C# / Entity Framework</v>
      </c>
      <c r="R229" s="3" t="str">
        <f>_xlfn.IFNA(INDEX(RulebookTables!F2:F999, MATCH(E229,RulebookTables!A2:A999, 0)), "")</f>
        <v>org</v>
      </c>
      <c r="S229" s="2" t="s">
        <v>1898</v>
      </c>
    </row>
    <row r="230">
      <c r="A230" s="2" t="s">
        <v>14237</v>
      </c>
      <c r="B230" s="3" t="str">
        <f>_xlfn.CONCAT(D230, " / ", E230)</f>
        <v>effortless-entity-framework / DeliveredCommunications</v>
      </c>
      <c r="C230" s="2" t="s">
        <v>13999</v>
      </c>
      <c r="D230" s="2" t="s">
        <v>13981</v>
      </c>
      <c r="E230" s="2" t="s">
        <v>5029</v>
      </c>
      <c r="F230" s="2">
        <v>1</v>
      </c>
      <c r="G230" s="2">
        <v>6</v>
      </c>
      <c r="H230" s="2">
        <v>6</v>
      </c>
      <c r="I230" s="2">
        <v>5</v>
      </c>
      <c r="J230" s="2" t="b">
        <v>0</v>
      </c>
      <c r="K230" s="3">
        <f>H230 - I230</f>
        <v>1</v>
      </c>
      <c r="L230" s="3">
        <f>IF(H230 = 0, 0, ROUND(100 * I230 / H230, 2))</f>
        <v>83.33</v>
      </c>
      <c r="M230" s="3" t="b">
        <f>K230 = 0</f>
        <v>0</v>
      </c>
      <c r="N230" s="3" t="str">
        <f>IF(M230, "", D230)</f>
        <v>effortless-entity-framework</v>
      </c>
      <c r="O230" s="3" t="str">
        <f>IF(M230, "", E230)</f>
        <v>DeliveredCommunications</v>
      </c>
      <c r="P230" s="3">
        <f>COUNTIFS(FieldDisagreements!E2:E999, A230)</f>
        <v>1</v>
      </c>
      <c r="Q230" s="3" t="str">
        <f>_xlfn.IFNA(INDEX(ConformanceSubstrates!C2:C999, MATCH(D230,ConformanceSubstrates!A2:A999, 0)), "")</f>
        <v>C# / Entity Framework</v>
      </c>
      <c r="R230" s="3" t="str">
        <f>_xlfn.IFNA(INDEX(RulebookTables!F2:F999, MATCH(E230,RulebookTables!A2:A999, 0)), "")</f>
        <v>communication</v>
      </c>
      <c r="S230" s="2" t="s">
        <v>1898</v>
      </c>
    </row>
    <row r="231">
      <c r="A231" s="2" t="s">
        <v>14238</v>
      </c>
      <c r="B231" s="3" t="str">
        <f>_xlfn.CONCAT(D231, " / ", E231)</f>
        <v>effortless-entity-framework / AuthorityBoundaries</v>
      </c>
      <c r="C231" s="2" t="s">
        <v>13999</v>
      </c>
      <c r="D231" s="2" t="s">
        <v>13981</v>
      </c>
      <c r="E231" s="2" t="s">
        <v>5065</v>
      </c>
      <c r="F231" s="2">
        <v>3</v>
      </c>
      <c r="G231" s="2">
        <v>21</v>
      </c>
      <c r="H231" s="2">
        <v>63</v>
      </c>
      <c r="I231" s="2">
        <v>63</v>
      </c>
      <c r="J231" s="2" t="b">
        <v>0</v>
      </c>
      <c r="K231" s="3">
        <f>H231 - I231</f>
        <v>0</v>
      </c>
      <c r="L231" s="3">
        <f>IF(H231 = 0, 0, ROUND(100 * I231 / H231, 2))</f>
        <v>100</v>
      </c>
      <c r="M231" s="3" t="b">
        <f>K231 = 0</f>
        <v>1</v>
      </c>
      <c r="N231" s="3" t="str">
        <f>IF(M231, "", D231)</f>
      </c>
      <c r="O231" s="3" t="str">
        <f>IF(M231, "", E231)</f>
      </c>
      <c r="P231" s="3">
        <f>COUNTIFS(FieldDisagreements!E2:E999, A231)</f>
        <v>0</v>
      </c>
      <c r="Q231" s="3" t="str">
        <f>_xlfn.IFNA(INDEX(ConformanceSubstrates!C2:C999, MATCH(D231,ConformanceSubstrates!A2:A999, 0)), "")</f>
        <v>C# / Entity Framework</v>
      </c>
      <c r="R231" s="3" t="str">
        <f>_xlfn.IFNA(INDEX(RulebookTables!F2:F999, MATCH(E231,RulebookTables!A2:A999, 0)), "")</f>
        <v>governance</v>
      </c>
      <c r="S231" s="2" t="s">
        <v>1898</v>
      </c>
    </row>
    <row r="232">
      <c r="A232" s="2" t="s">
        <v>14239</v>
      </c>
      <c r="B232" s="3" t="str">
        <f>_xlfn.CONCAT(D232, " / ", E232)</f>
        <v>effortless-entity-framework / AppRoleProfiles</v>
      </c>
      <c r="C232" s="2" t="s">
        <v>13999</v>
      </c>
      <c r="D232" s="2" t="s">
        <v>13981</v>
      </c>
      <c r="E232" s="2" t="s">
        <v>1849</v>
      </c>
      <c r="F232" s="2">
        <v>12</v>
      </c>
      <c r="G232" s="2">
        <v>2</v>
      </c>
      <c r="H232" s="2">
        <v>24</v>
      </c>
      <c r="I232" s="2">
        <v>24</v>
      </c>
      <c r="J232" s="2" t="b">
        <v>0</v>
      </c>
      <c r="K232" s="3">
        <f>H232 - I232</f>
        <v>0</v>
      </c>
      <c r="L232" s="3">
        <f>IF(H232 = 0, 0, ROUND(100 * I232 / H232, 2))</f>
        <v>100</v>
      </c>
      <c r="M232" s="3" t="b">
        <f>K232 = 0</f>
        <v>1</v>
      </c>
      <c r="N232" s="3" t="str">
        <f>IF(M232, "", D232)</f>
      </c>
      <c r="O232" s="3" t="str">
        <f>IF(M232, "", E232)</f>
      </c>
      <c r="P232" s="3">
        <f>COUNTIFS(FieldDisagreements!E2:E999, A232)</f>
        <v>0</v>
      </c>
      <c r="Q232" s="3" t="str">
        <f>_xlfn.IFNA(INDEX(ConformanceSubstrates!C2:C999, MATCH(D232,ConformanceSubstrates!A2:A999, 0)), "")</f>
        <v>C# / Entity Framework</v>
      </c>
      <c r="R232" s="3" t="str">
        <f>_xlfn.IFNA(INDEX(RulebookTables!F2:F999, MATCH(E232,RulebookTables!A2:A999, 0)), "")</f>
        <v>org</v>
      </c>
      <c r="S232" s="2" t="s">
        <v>1898</v>
      </c>
    </row>
    <row r="233">
      <c r="A233" s="2" t="s">
        <v>14240</v>
      </c>
      <c r="B233" s="3" t="str">
        <f>_xlfn.CONCAT(D233, " / ", E233)</f>
        <v>effortless-entity-framework / AppNavGroups</v>
      </c>
      <c r="C233" s="2" t="s">
        <v>13999</v>
      </c>
      <c r="D233" s="2" t="s">
        <v>13981</v>
      </c>
      <c r="E233" s="2" t="s">
        <v>1853</v>
      </c>
      <c r="F233" s="2">
        <v>23</v>
      </c>
      <c r="G233" s="2">
        <v>2</v>
      </c>
      <c r="H233" s="2">
        <v>46</v>
      </c>
      <c r="I233" s="2">
        <v>46</v>
      </c>
      <c r="J233" s="2" t="b">
        <v>0</v>
      </c>
      <c r="K233" s="3">
        <f>H233 - I233</f>
        <v>0</v>
      </c>
      <c r="L233" s="3">
        <f>IF(H233 = 0, 0, ROUND(100 * I233 / H233, 2))</f>
        <v>100</v>
      </c>
      <c r="M233" s="3" t="b">
        <f>K233 = 0</f>
        <v>1</v>
      </c>
      <c r="N233" s="3" t="str">
        <f>IF(M233, "", D233)</f>
      </c>
      <c r="O233" s="3" t="str">
        <f>IF(M233, "", E233)</f>
      </c>
      <c r="P233" s="3">
        <f>COUNTIFS(FieldDisagreements!E2:E999, A233)</f>
        <v>0</v>
      </c>
      <c r="Q233" s="3" t="str">
        <f>_xlfn.IFNA(INDEX(ConformanceSubstrates!C2:C999, MATCH(D233,ConformanceSubstrates!A2:A999, 0)), "")</f>
        <v>C# / Entity Framework</v>
      </c>
      <c r="R233" s="3" t="str">
        <f>_xlfn.IFNA(INDEX(RulebookTables!F2:F999, MATCH(E233,RulebookTables!A2:A999, 0)), "")</f>
        <v>application</v>
      </c>
      <c r="S233" s="2" t="s">
        <v>1898</v>
      </c>
    </row>
    <row r="234">
      <c r="A234" s="2" t="s">
        <v>14241</v>
      </c>
      <c r="B234" s="3" t="str">
        <f>_xlfn.CONCAT(D234, " / ", E234)</f>
        <v>effortless-entity-framework / AppRoutes</v>
      </c>
      <c r="C234" s="2" t="s">
        <v>13999</v>
      </c>
      <c r="D234" s="2" t="s">
        <v>13981</v>
      </c>
      <c r="E234" s="2" t="s">
        <v>1857</v>
      </c>
      <c r="F234" s="2">
        <v>149</v>
      </c>
      <c r="G234" s="2">
        <v>7</v>
      </c>
      <c r="H234" s="2">
        <v>1043</v>
      </c>
      <c r="I234" s="2">
        <v>1043</v>
      </c>
      <c r="J234" s="2" t="b">
        <v>0</v>
      </c>
      <c r="K234" s="3">
        <f>H234 - I234</f>
        <v>0</v>
      </c>
      <c r="L234" s="3">
        <f>IF(H234 = 0, 0, ROUND(100 * I234 / H234, 2))</f>
        <v>100</v>
      </c>
      <c r="M234" s="3" t="b">
        <f>K234 = 0</f>
        <v>1</v>
      </c>
      <c r="N234" s="3" t="str">
        <f>IF(M234, "", D234)</f>
      </c>
      <c r="O234" s="3" t="str">
        <f>IF(M234, "", E234)</f>
      </c>
      <c r="P234" s="3">
        <f>COUNTIFS(FieldDisagreements!E2:E999, A234)</f>
        <v>0</v>
      </c>
      <c r="Q234" s="3" t="str">
        <f>_xlfn.IFNA(INDEX(ConformanceSubstrates!C2:C999, MATCH(D234,ConformanceSubstrates!A2:A999, 0)), "")</f>
        <v>C# / Entity Framework</v>
      </c>
      <c r="R234" s="3" t="str">
        <f>_xlfn.IFNA(INDEX(RulebookTables!F2:F999, MATCH(E234,RulebookTables!A2:A999, 0)), "")</f>
        <v>application</v>
      </c>
      <c r="S234" s="2" t="s">
        <v>1898</v>
      </c>
    </row>
    <row r="235">
      <c r="A235" s="2" t="s">
        <v>14242</v>
      </c>
      <c r="B235" s="3" t="str">
        <f>_xlfn.CONCAT(D235, " / ", E235)</f>
        <v>effortless-entity-framework / AppRouteQuestions</v>
      </c>
      <c r="C235" s="2" t="s">
        <v>13999</v>
      </c>
      <c r="D235" s="2" t="s">
        <v>13981</v>
      </c>
      <c r="E235" s="2" t="s">
        <v>1861</v>
      </c>
      <c r="F235" s="2">
        <v>151</v>
      </c>
      <c r="G235" s="2">
        <v>1</v>
      </c>
      <c r="H235" s="2">
        <v>151</v>
      </c>
      <c r="I235" s="2">
        <v>151</v>
      </c>
      <c r="J235" s="2" t="b">
        <v>0</v>
      </c>
      <c r="K235" s="3">
        <f>H235 - I235</f>
        <v>0</v>
      </c>
      <c r="L235" s="3">
        <f>IF(H235 = 0, 0, ROUND(100 * I235 / H235, 2))</f>
        <v>100</v>
      </c>
      <c r="M235" s="3" t="b">
        <f>K235 = 0</f>
        <v>1</v>
      </c>
      <c r="N235" s="3" t="str">
        <f>IF(M235, "", D235)</f>
      </c>
      <c r="O235" s="3" t="str">
        <f>IF(M235, "", E235)</f>
      </c>
      <c r="P235" s="3">
        <f>COUNTIFS(FieldDisagreements!E2:E999, A235)</f>
        <v>0</v>
      </c>
      <c r="Q235" s="3" t="str">
        <f>_xlfn.IFNA(INDEX(ConformanceSubstrates!C2:C999, MATCH(D235,ConformanceSubstrates!A2:A999, 0)), "")</f>
        <v>C# / Entity Framework</v>
      </c>
      <c r="R235" s="3" t="str">
        <f>_xlfn.IFNA(INDEX(RulebookTables!F2:F999, MATCH(E235,RulebookTables!A2:A999, 0)), "")</f>
        <v>application</v>
      </c>
      <c r="S235" s="2" t="s">
        <v>1898</v>
      </c>
    </row>
    <row r="236">
      <c r="A236" s="2" t="s">
        <v>14243</v>
      </c>
      <c r="B236" s="3" t="str">
        <f>_xlfn.CONCAT(D236, " / ", E236)</f>
        <v>effortless-entity-framework / AppRouteReferences</v>
      </c>
      <c r="C236" s="2" t="s">
        <v>13999</v>
      </c>
      <c r="D236" s="2" t="s">
        <v>13981</v>
      </c>
      <c r="E236" s="2" t="s">
        <v>1865</v>
      </c>
      <c r="F236" s="2">
        <v>315</v>
      </c>
      <c r="G236" s="2">
        <v>1</v>
      </c>
      <c r="H236" s="2">
        <v>315</v>
      </c>
      <c r="I236" s="2">
        <v>315</v>
      </c>
      <c r="J236" s="2" t="b">
        <v>0</v>
      </c>
      <c r="K236" s="3">
        <f>H236 - I236</f>
        <v>0</v>
      </c>
      <c r="L236" s="3">
        <f>IF(H236 = 0, 0, ROUND(100 * I236 / H236, 2))</f>
        <v>100</v>
      </c>
      <c r="M236" s="3" t="b">
        <f>K236 = 0</f>
        <v>1</v>
      </c>
      <c r="N236" s="3" t="str">
        <f>IF(M236, "", D236)</f>
      </c>
      <c r="O236" s="3" t="str">
        <f>IF(M236, "", E236)</f>
      </c>
      <c r="P236" s="3">
        <f>COUNTIFS(FieldDisagreements!E2:E999, A236)</f>
        <v>0</v>
      </c>
      <c r="Q236" s="3" t="str">
        <f>_xlfn.IFNA(INDEX(ConformanceSubstrates!C2:C999, MATCH(D236,ConformanceSubstrates!A2:A999, 0)), "")</f>
        <v>C# / Entity Framework</v>
      </c>
      <c r="R236" s="3" t="str">
        <f>_xlfn.IFNA(INDEX(RulebookTables!F2:F999, MATCH(E236,RulebookTables!A2:A999, 0)), "")</f>
        <v>application</v>
      </c>
      <c r="S236" s="2" t="s">
        <v>1898</v>
      </c>
    </row>
    <row r="237">
      <c r="A237" s="2" t="s">
        <v>14244</v>
      </c>
      <c r="B237" s="3" t="str">
        <f>_xlfn.CONCAT(D237, " / ", E237)</f>
        <v>effortless-entity-framework / RulebookTables</v>
      </c>
      <c r="C237" s="2" t="s">
        <v>13999</v>
      </c>
      <c r="D237" s="2" t="s">
        <v>13981</v>
      </c>
      <c r="E237" s="2" t="s">
        <v>5286</v>
      </c>
      <c r="F237" s="2">
        <v>92</v>
      </c>
      <c r="G237" s="2">
        <v>5</v>
      </c>
      <c r="H237" s="2">
        <v>460</v>
      </c>
      <c r="I237" s="2">
        <v>460</v>
      </c>
      <c r="J237" s="2" t="b">
        <v>0</v>
      </c>
      <c r="K237" s="3">
        <f>H237 - I237</f>
        <v>0</v>
      </c>
      <c r="L237" s="3">
        <f>IF(H237 = 0, 0, ROUND(100 * I237 / H237, 2))</f>
        <v>100</v>
      </c>
      <c r="M237" s="3" t="b">
        <f>K237 = 0</f>
        <v>1</v>
      </c>
      <c r="N237" s="3" t="str">
        <f>IF(M237, "", D237)</f>
      </c>
      <c r="O237" s="3" t="str">
        <f>IF(M237, "", E237)</f>
      </c>
      <c r="P237" s="3">
        <f>COUNTIFS(FieldDisagreements!E2:E999, A237)</f>
        <v>0</v>
      </c>
      <c r="Q237" s="3" t="str">
        <f>_xlfn.IFNA(INDEX(ConformanceSubstrates!C2:C999, MATCH(D237,ConformanceSubstrates!A2:A999, 0)), "")</f>
        <v>C# / Entity Framework</v>
      </c>
      <c r="R237" s="3" t="str">
        <f>_xlfn.IFNA(INDEX(RulebookTables!F2:F999, MATCH(E237,RulebookTables!A2:A999, 0)), "")</f>
        <v>meta</v>
      </c>
      <c r="S237" s="2" t="s">
        <v>1898</v>
      </c>
    </row>
    <row r="238">
      <c r="A238" s="2" t="s">
        <v>14245</v>
      </c>
      <c r="B238" s="3" t="str">
        <f>_xlfn.CONCAT(D238, " / ", E238)</f>
        <v>effortless-entity-framework / AccessPrincipals</v>
      </c>
      <c r="C238" s="2" t="s">
        <v>13999</v>
      </c>
      <c r="D238" s="2" t="s">
        <v>13981</v>
      </c>
      <c r="E238" s="2" t="s">
        <v>5313</v>
      </c>
      <c r="F238" s="2">
        <v>12</v>
      </c>
      <c r="G238" s="2">
        <v>8</v>
      </c>
      <c r="H238" s="2">
        <v>96</v>
      </c>
      <c r="I238" s="2">
        <v>96</v>
      </c>
      <c r="J238" s="2" t="b">
        <v>0</v>
      </c>
      <c r="K238" s="3">
        <f>H238 - I238</f>
        <v>0</v>
      </c>
      <c r="L238" s="3">
        <f>IF(H238 = 0, 0, ROUND(100 * I238 / H238, 2))</f>
        <v>100</v>
      </c>
      <c r="M238" s="3" t="b">
        <f>K238 = 0</f>
        <v>1</v>
      </c>
      <c r="N238" s="3" t="str">
        <f>IF(M238, "", D238)</f>
      </c>
      <c r="O238" s="3" t="str">
        <f>IF(M238, "", E238)</f>
      </c>
      <c r="P238" s="3">
        <f>COUNTIFS(FieldDisagreements!E2:E999, A238)</f>
        <v>0</v>
      </c>
      <c r="Q238" s="3" t="str">
        <f>_xlfn.IFNA(INDEX(ConformanceSubstrates!C2:C999, MATCH(D238,ConformanceSubstrates!A2:A999, 0)), "")</f>
        <v>C# / Entity Framework</v>
      </c>
      <c r="R238" s="3" t="str">
        <f>_xlfn.IFNA(INDEX(RulebookTables!F2:F999, MATCH(E238,RulebookTables!A2:A999, 0)), "")</f>
        <v>access-control</v>
      </c>
      <c r="S238" s="2" t="s">
        <v>1898</v>
      </c>
    </row>
    <row r="239">
      <c r="A239" s="2" t="s">
        <v>14246</v>
      </c>
      <c r="B239" s="3" t="str">
        <f>_xlfn.CONCAT(D239, " / ", E239)</f>
        <v>effortless-entity-framework / AccessPolicies</v>
      </c>
      <c r="C239" s="2" t="s">
        <v>13999</v>
      </c>
      <c r="D239" s="2" t="s">
        <v>13981</v>
      </c>
      <c r="E239" s="2" t="s">
        <v>5346</v>
      </c>
      <c r="F239" s="2">
        <v>202</v>
      </c>
      <c r="G239" s="2">
        <v>7</v>
      </c>
      <c r="H239" s="2">
        <v>1414</v>
      </c>
      <c r="I239" s="2">
        <v>1414</v>
      </c>
      <c r="J239" s="2" t="b">
        <v>0</v>
      </c>
      <c r="K239" s="3">
        <f>H239 - I239</f>
        <v>0</v>
      </c>
      <c r="L239" s="3">
        <f>IF(H239 = 0, 0, ROUND(100 * I239 / H239, 2))</f>
        <v>100</v>
      </c>
      <c r="M239" s="3" t="b">
        <f>K239 = 0</f>
        <v>1</v>
      </c>
      <c r="N239" s="3" t="str">
        <f>IF(M239, "", D239)</f>
      </c>
      <c r="O239" s="3" t="str">
        <f>IF(M239, "", E239)</f>
      </c>
      <c r="P239" s="3">
        <f>COUNTIFS(FieldDisagreements!E2:E999, A239)</f>
        <v>0</v>
      </c>
      <c r="Q239" s="3" t="str">
        <f>_xlfn.IFNA(INDEX(ConformanceSubstrates!C2:C999, MATCH(D239,ConformanceSubstrates!A2:A999, 0)), "")</f>
        <v>C# / Entity Framework</v>
      </c>
      <c r="R239" s="3" t="str">
        <f>_xlfn.IFNA(INDEX(RulebookTables!F2:F999, MATCH(E239,RulebookTables!A2:A999, 0)), "")</f>
        <v>access-control</v>
      </c>
      <c r="S239" s="2" t="s">
        <v>1898</v>
      </c>
    </row>
    <row r="240">
      <c r="A240" s="2" t="s">
        <v>14247</v>
      </c>
      <c r="B240" s="3" t="str">
        <f>_xlfn.CONCAT(D240, " / ", E240)</f>
        <v>effortless-entity-framework / FieldGrants</v>
      </c>
      <c r="C240" s="2" t="s">
        <v>13999</v>
      </c>
      <c r="D240" s="2" t="s">
        <v>13981</v>
      </c>
      <c r="E240" s="2" t="s">
        <v>5382</v>
      </c>
      <c r="F240" s="2">
        <v>3639</v>
      </c>
      <c r="G240" s="2">
        <v>7</v>
      </c>
      <c r="H240" s="2">
        <v>25473</v>
      </c>
      <c r="I240" s="2">
        <v>25473</v>
      </c>
      <c r="J240" s="2" t="b">
        <v>0</v>
      </c>
      <c r="K240" s="3">
        <f>H240 - I240</f>
        <v>0</v>
      </c>
      <c r="L240" s="3">
        <f>IF(H240 = 0, 0, ROUND(100 * I240 / H240, 2))</f>
        <v>100</v>
      </c>
      <c r="M240" s="3" t="b">
        <f>K240 = 0</f>
        <v>1</v>
      </c>
      <c r="N240" s="3" t="str">
        <f>IF(M240, "", D240)</f>
      </c>
      <c r="O240" s="3" t="str">
        <f>IF(M240, "", E240)</f>
      </c>
      <c r="P240" s="3">
        <f>COUNTIFS(FieldDisagreements!E2:E999, A240)</f>
        <v>0</v>
      </c>
      <c r="Q240" s="3" t="str">
        <f>_xlfn.IFNA(INDEX(ConformanceSubstrates!C2:C999, MATCH(D240,ConformanceSubstrates!A2:A999, 0)), "")</f>
        <v>C# / Entity Framework</v>
      </c>
      <c r="R240" s="3" t="str">
        <f>_xlfn.IFNA(INDEX(RulebookTables!F2:F999, MATCH(E240,RulebookTables!A2:A999, 0)), "")</f>
        <v>access-control</v>
      </c>
      <c r="S240" s="2" t="s">
        <v>1898</v>
      </c>
    </row>
    <row r="241">
      <c r="A241" s="2" t="s">
        <v>14248</v>
      </c>
      <c r="B241" s="3" t="str">
        <f>_xlfn.CONCAT(D241, " / ", E241)</f>
        <v>effortless-entity-framework / RoleSchemas</v>
      </c>
      <c r="C241" s="2" t="s">
        <v>13999</v>
      </c>
      <c r="D241" s="2" t="s">
        <v>13981</v>
      </c>
      <c r="E241" s="2" t="s">
        <v>5413</v>
      </c>
      <c r="F241" s="2">
        <v>12</v>
      </c>
      <c r="G241" s="2">
        <v>4</v>
      </c>
      <c r="H241" s="2">
        <v>48</v>
      </c>
      <c r="I241" s="2">
        <v>48</v>
      </c>
      <c r="J241" s="2" t="b">
        <v>0</v>
      </c>
      <c r="K241" s="3">
        <f>H241 - I241</f>
        <v>0</v>
      </c>
      <c r="L241" s="3">
        <f>IF(H241 = 0, 0, ROUND(100 * I241 / H241, 2))</f>
        <v>100</v>
      </c>
      <c r="M241" s="3" t="b">
        <f>K241 = 0</f>
        <v>1</v>
      </c>
      <c r="N241" s="3" t="str">
        <f>IF(M241, "", D241)</f>
      </c>
      <c r="O241" s="3" t="str">
        <f>IF(M241, "", E241)</f>
      </c>
      <c r="P241" s="3">
        <f>COUNTIFS(FieldDisagreements!E2:E999, A241)</f>
        <v>0</v>
      </c>
      <c r="Q241" s="3" t="str">
        <f>_xlfn.IFNA(INDEX(ConformanceSubstrates!C2:C999, MATCH(D241,ConformanceSubstrates!A2:A999, 0)), "")</f>
        <v>C# / Entity Framework</v>
      </c>
      <c r="R241" s="3" t="str">
        <f>_xlfn.IFNA(INDEX(RulebookTables!F2:F999, MATCH(E241,RulebookTables!A2:A999, 0)), "")</f>
        <v>org</v>
      </c>
      <c r="S241" s="2" t="s">
        <v>1898</v>
      </c>
    </row>
    <row r="242">
      <c r="A242" s="2" t="s">
        <v>14249</v>
      </c>
      <c r="B242" s="3" t="str">
        <f>_xlfn.CONCAT(D242, " / ", E242)</f>
        <v>effortless-entity-framework / RoleSchemaViews</v>
      </c>
      <c r="C242" s="2" t="s">
        <v>13999</v>
      </c>
      <c r="D242" s="2" t="s">
        <v>13981</v>
      </c>
      <c r="E242" s="2" t="s">
        <v>5431</v>
      </c>
      <c r="F242" s="2">
        <v>202</v>
      </c>
      <c r="G242" s="2">
        <v>8</v>
      </c>
      <c r="H242" s="2">
        <v>1616</v>
      </c>
      <c r="I242" s="2">
        <v>1616</v>
      </c>
      <c r="J242" s="2" t="b">
        <v>0</v>
      </c>
      <c r="K242" s="3">
        <f>H242 - I242</f>
        <v>0</v>
      </c>
      <c r="L242" s="3">
        <f>IF(H242 = 0, 0, ROUND(100 * I242 / H242, 2))</f>
        <v>100</v>
      </c>
      <c r="M242" s="3" t="b">
        <f>K242 = 0</f>
        <v>1</v>
      </c>
      <c r="N242" s="3" t="str">
        <f>IF(M242, "", D242)</f>
      </c>
      <c r="O242" s="3" t="str">
        <f>IF(M242, "", E242)</f>
      </c>
      <c r="P242" s="3">
        <f>COUNTIFS(FieldDisagreements!E2:E999, A242)</f>
        <v>0</v>
      </c>
      <c r="Q242" s="3" t="str">
        <f>_xlfn.IFNA(INDEX(ConformanceSubstrates!C2:C999, MATCH(D242,ConformanceSubstrates!A2:A999, 0)), "")</f>
        <v>C# / Entity Framework</v>
      </c>
      <c r="R242" s="3" t="str">
        <f>_xlfn.IFNA(INDEX(RulebookTables!F2:F999, MATCH(E242,RulebookTables!A2:A999, 0)), "")</f>
        <v>org</v>
      </c>
      <c r="S242" s="2" t="s">
        <v>1898</v>
      </c>
    </row>
    <row r="243">
      <c r="A243" s="2" t="s">
        <v>14250</v>
      </c>
      <c r="B243" s="3" t="str">
        <f>_xlfn.CONCAT(D243, " / ", E243)</f>
        <v>effortless-entity-framework / JwtClaimMappings</v>
      </c>
      <c r="C243" s="2" t="s">
        <v>13999</v>
      </c>
      <c r="D243" s="2" t="s">
        <v>13981</v>
      </c>
      <c r="E243" s="2" t="s">
        <v>5463</v>
      </c>
      <c r="F243" s="2">
        <v>4</v>
      </c>
      <c r="G243" s="2">
        <v>2</v>
      </c>
      <c r="H243" s="2">
        <v>8</v>
      </c>
      <c r="I243" s="2">
        <v>8</v>
      </c>
      <c r="J243" s="2" t="b">
        <v>0</v>
      </c>
      <c r="K243" s="3">
        <f>H243 - I243</f>
        <v>0</v>
      </c>
      <c r="L243" s="3">
        <f>IF(H243 = 0, 0, ROUND(100 * I243 / H243, 2))</f>
        <v>100</v>
      </c>
      <c r="M243" s="3" t="b">
        <f>K243 = 0</f>
        <v>1</v>
      </c>
      <c r="N243" s="3" t="str">
        <f>IF(M243, "", D243)</f>
      </c>
      <c r="O243" s="3" t="str">
        <f>IF(M243, "", E243)</f>
      </c>
      <c r="P243" s="3">
        <f>COUNTIFS(FieldDisagreements!E2:E999, A243)</f>
        <v>0</v>
      </c>
      <c r="Q243" s="3" t="str">
        <f>_xlfn.IFNA(INDEX(ConformanceSubstrates!C2:C999, MATCH(D243,ConformanceSubstrates!A2:A999, 0)), "")</f>
        <v>C# / Entity Framework</v>
      </c>
      <c r="R243" s="3" t="str">
        <f>_xlfn.IFNA(INDEX(RulebookTables!F2:F999, MATCH(E243,RulebookTables!A2:A999, 0)), "")</f>
        <v>access-control</v>
      </c>
      <c r="S243" s="2" t="s">
        <v>1898</v>
      </c>
    </row>
    <row r="244">
      <c r="A244" s="2" t="s">
        <v>14251</v>
      </c>
      <c r="B244" s="3" t="str">
        <f>_xlfn.CONCAT(D244, " / ", E244)</f>
        <v>effortless-entity-framework / AccessDenialTests</v>
      </c>
      <c r="C244" s="2" t="s">
        <v>13999</v>
      </c>
      <c r="D244" s="2" t="s">
        <v>13981</v>
      </c>
      <c r="E244" s="2" t="s">
        <v>5482</v>
      </c>
      <c r="F244" s="2">
        <v>17</v>
      </c>
      <c r="G244" s="2">
        <v>6</v>
      </c>
      <c r="H244" s="2">
        <v>102</v>
      </c>
      <c r="I244" s="2">
        <v>102</v>
      </c>
      <c r="J244" s="2" t="b">
        <v>0</v>
      </c>
      <c r="K244" s="3">
        <f>H244 - I244</f>
        <v>0</v>
      </c>
      <c r="L244" s="3">
        <f>IF(H244 = 0, 0, ROUND(100 * I244 / H244, 2))</f>
        <v>100</v>
      </c>
      <c r="M244" s="3" t="b">
        <f>K244 = 0</f>
        <v>1</v>
      </c>
      <c r="N244" s="3" t="str">
        <f>IF(M244, "", D244)</f>
      </c>
      <c r="O244" s="3" t="str">
        <f>IF(M244, "", E244)</f>
      </c>
      <c r="P244" s="3">
        <f>COUNTIFS(FieldDisagreements!E2:E999, A244)</f>
        <v>0</v>
      </c>
      <c r="Q244" s="3" t="str">
        <f>_xlfn.IFNA(INDEX(ConformanceSubstrates!C2:C999, MATCH(D244,ConformanceSubstrates!A2:A999, 0)), "")</f>
        <v>C# / Entity Framework</v>
      </c>
      <c r="R244" s="3" t="str">
        <f>_xlfn.IFNA(INDEX(RulebookTables!F2:F999, MATCH(E244,RulebookTables!A2:A999, 0)), "")</f>
        <v>access-control</v>
      </c>
      <c r="S244" s="2" t="s">
        <v>1898</v>
      </c>
    </row>
    <row r="245">
      <c r="A245" s="2" t="s">
        <v>14252</v>
      </c>
      <c r="B245" s="3" t="str">
        <f>_xlfn.CONCAT(D245, " / ", E245)</f>
        <v>effortless-entity-framework / AppUsers</v>
      </c>
      <c r="C245" s="2" t="s">
        <v>13999</v>
      </c>
      <c r="D245" s="2" t="s">
        <v>13981</v>
      </c>
      <c r="E245" s="2" t="s">
        <v>5518</v>
      </c>
      <c r="F245" s="2">
        <v>10</v>
      </c>
      <c r="G245" s="2">
        <v>7</v>
      </c>
      <c r="H245" s="2">
        <v>70</v>
      </c>
      <c r="I245" s="2">
        <v>70</v>
      </c>
      <c r="J245" s="2" t="b">
        <v>0</v>
      </c>
      <c r="K245" s="3">
        <f>H245 - I245</f>
        <v>0</v>
      </c>
      <c r="L245" s="3">
        <f>IF(H245 = 0, 0, ROUND(100 * I245 / H245, 2))</f>
        <v>100</v>
      </c>
      <c r="M245" s="3" t="b">
        <f>K245 = 0</f>
        <v>1</v>
      </c>
      <c r="N245" s="3" t="str">
        <f>IF(M245, "", D245)</f>
      </c>
      <c r="O245" s="3" t="str">
        <f>IF(M245, "", E245)</f>
      </c>
      <c r="P245" s="3">
        <f>COUNTIFS(FieldDisagreements!E2:E999, A245)</f>
        <v>0</v>
      </c>
      <c r="Q245" s="3" t="str">
        <f>_xlfn.IFNA(INDEX(ConformanceSubstrates!C2:C999, MATCH(D245,ConformanceSubstrates!A2:A999, 0)), "")</f>
        <v>C# / Entity Framework</v>
      </c>
      <c r="R245" s="3" t="str">
        <f>_xlfn.IFNA(INDEX(RulebookTables!F2:F999, MATCH(E245,RulebookTables!A2:A999, 0)), "")</f>
      </c>
      <c r="S245" s="2" t="s">
        <v>1898</v>
      </c>
    </row>
    <row r="246">
      <c r="A246" s="2" t="s">
        <v>14253</v>
      </c>
      <c r="B246" s="3" t="str">
        <f>_xlfn.CONCAT(D246, " / ", E246)</f>
        <v>effortless-entity-framework / PrincipalAssignments</v>
      </c>
      <c r="C246" s="2" t="s">
        <v>13999</v>
      </c>
      <c r="D246" s="2" t="s">
        <v>13981</v>
      </c>
      <c r="E246" s="2" t="s">
        <v>5545</v>
      </c>
      <c r="F246" s="2">
        <v>12</v>
      </c>
      <c r="G246" s="2">
        <v>5</v>
      </c>
      <c r="H246" s="2">
        <v>60</v>
      </c>
      <c r="I246" s="2">
        <v>60</v>
      </c>
      <c r="J246" s="2" t="b">
        <v>0</v>
      </c>
      <c r="K246" s="3">
        <f>H246 - I246</f>
        <v>0</v>
      </c>
      <c r="L246" s="3">
        <f>IF(H246 = 0, 0, ROUND(100 * I246 / H246, 2))</f>
        <v>100</v>
      </c>
      <c r="M246" s="3" t="b">
        <f>K246 = 0</f>
        <v>1</v>
      </c>
      <c r="N246" s="3" t="str">
        <f>IF(M246, "", D246)</f>
      </c>
      <c r="O246" s="3" t="str">
        <f>IF(M246, "", E246)</f>
      </c>
      <c r="P246" s="3">
        <f>COUNTIFS(FieldDisagreements!E2:E999, A246)</f>
        <v>0</v>
      </c>
      <c r="Q246" s="3" t="str">
        <f>_xlfn.IFNA(INDEX(ConformanceSubstrates!C2:C999, MATCH(D246,ConformanceSubstrates!A2:A999, 0)), "")</f>
        <v>C# / Entity Framework</v>
      </c>
      <c r="R246" s="3" t="str">
        <f>_xlfn.IFNA(INDEX(RulebookTables!F2:F999, MATCH(E246,RulebookTables!A2:A999, 0)), "")</f>
      </c>
      <c r="S246" s="2" t="s">
        <v>1898</v>
      </c>
    </row>
    <row r="247">
      <c r="A247" s="2" t="s">
        <v>14254</v>
      </c>
      <c r="B247" s="3" t="str">
        <f>_xlfn.CONCAT(D247, " / ", E247)</f>
        <v>effortless-entity-framework / ProcessMiningRuns</v>
      </c>
      <c r="C247" s="2" t="s">
        <v>13999</v>
      </c>
      <c r="D247" s="2" t="s">
        <v>13981</v>
      </c>
      <c r="E247" s="2" t="s">
        <v>1869</v>
      </c>
      <c r="F247" s="2">
        <v>4</v>
      </c>
      <c r="G247" s="2">
        <v>10</v>
      </c>
      <c r="H247" s="2">
        <v>40</v>
      </c>
      <c r="I247" s="2">
        <v>36</v>
      </c>
      <c r="J247" s="2" t="b">
        <v>0</v>
      </c>
      <c r="K247" s="3">
        <f>H247 - I247</f>
        <v>4</v>
      </c>
      <c r="L247" s="3">
        <f>IF(H247 = 0, 0, ROUND(100 * I247 / H247, 2))</f>
        <v>90</v>
      </c>
      <c r="M247" s="3" t="b">
        <f>K247 = 0</f>
        <v>0</v>
      </c>
      <c r="N247" s="3" t="str">
        <f>IF(M247, "", D247)</f>
        <v>effortless-entity-framework</v>
      </c>
      <c r="O247" s="3" t="str">
        <f>IF(M247, "", E247)</f>
        <v>ProcessMiningRuns</v>
      </c>
      <c r="P247" s="3">
        <f>COUNTIFS(FieldDisagreements!E2:E999, A247)</f>
        <v>1</v>
      </c>
      <c r="Q247" s="3" t="str">
        <f>_xlfn.IFNA(INDEX(ConformanceSubstrates!C2:C999, MATCH(D247,ConformanceSubstrates!A2:A999, 0)), "")</f>
        <v>C# / Entity Framework</v>
      </c>
      <c r="R247" s="3" t="str">
        <f>_xlfn.IFNA(INDEX(RulebookTables!F2:F999, MATCH(E247,RulebookTables!A2:A999, 0)), "")</f>
        <v>knowledge</v>
      </c>
      <c r="S247" s="2" t="s">
        <v>1898</v>
      </c>
    </row>
    <row r="248">
      <c r="A248" s="2" t="s">
        <v>14255</v>
      </c>
      <c r="B248" s="3" t="str">
        <f>_xlfn.CONCAT(D248, " / ", E248)</f>
        <v>effortless-entity-framework / Vocabularies</v>
      </c>
      <c r="C248" s="2" t="s">
        <v>13999</v>
      </c>
      <c r="D248" s="2" t="s">
        <v>13981</v>
      </c>
      <c r="E248" s="2" t="s">
        <v>1873</v>
      </c>
      <c r="F248" s="2">
        <v>2</v>
      </c>
      <c r="G248" s="2">
        <v>4</v>
      </c>
      <c r="H248" s="2">
        <v>8</v>
      </c>
      <c r="I248" s="2">
        <v>8</v>
      </c>
      <c r="J248" s="2" t="b">
        <v>0</v>
      </c>
      <c r="K248" s="3">
        <f>H248 - I248</f>
        <v>0</v>
      </c>
      <c r="L248" s="3">
        <f>IF(H248 = 0, 0, ROUND(100 * I248 / H248, 2))</f>
        <v>100</v>
      </c>
      <c r="M248" s="3" t="b">
        <f>K248 = 0</f>
        <v>1</v>
      </c>
      <c r="N248" s="3" t="str">
        <f>IF(M248, "", D248)</f>
      </c>
      <c r="O248" s="3" t="str">
        <f>IF(M248, "", E248)</f>
      </c>
      <c r="P248" s="3">
        <f>COUNTIFS(FieldDisagreements!E2:E999, A248)</f>
        <v>0</v>
      </c>
      <c r="Q248" s="3" t="str">
        <f>_xlfn.IFNA(INDEX(ConformanceSubstrates!C2:C999, MATCH(D248,ConformanceSubstrates!A2:A999, 0)), "")</f>
        <v>C# / Entity Framework</v>
      </c>
      <c r="R248" s="3" t="str">
        <f>_xlfn.IFNA(INDEX(RulebookTables!F2:F999, MATCH(E248,RulebookTables!A2:A999, 0)), "")</f>
        <v>knowledge</v>
      </c>
      <c r="S248" s="2" t="s">
        <v>1898</v>
      </c>
    </row>
    <row r="249">
      <c r="A249" s="2" t="s">
        <v>14256</v>
      </c>
      <c r="B249" s="3" t="str">
        <f>_xlfn.CONCAT(D249, " / ", E249)</f>
        <v>effortless-entity-framework / VocabularyTerms</v>
      </c>
      <c r="C249" s="2" t="s">
        <v>13999</v>
      </c>
      <c r="D249" s="2" t="s">
        <v>13981</v>
      </c>
      <c r="E249" s="2" t="s">
        <v>1877</v>
      </c>
      <c r="F249" s="2">
        <v>12</v>
      </c>
      <c r="G249" s="2">
        <v>5</v>
      </c>
      <c r="H249" s="2">
        <v>60</v>
      </c>
      <c r="I249" s="2">
        <v>60</v>
      </c>
      <c r="J249" s="2" t="b">
        <v>0</v>
      </c>
      <c r="K249" s="3">
        <f>H249 - I249</f>
        <v>0</v>
      </c>
      <c r="L249" s="3">
        <f>IF(H249 = 0, 0, ROUND(100 * I249 / H249, 2))</f>
        <v>100</v>
      </c>
      <c r="M249" s="3" t="b">
        <f>K249 = 0</f>
        <v>1</v>
      </c>
      <c r="N249" s="3" t="str">
        <f>IF(M249, "", D249)</f>
      </c>
      <c r="O249" s="3" t="str">
        <f>IF(M249, "", E249)</f>
      </c>
      <c r="P249" s="3">
        <f>COUNTIFS(FieldDisagreements!E2:E999, A249)</f>
        <v>0</v>
      </c>
      <c r="Q249" s="3" t="str">
        <f>_xlfn.IFNA(INDEX(ConformanceSubstrates!C2:C999, MATCH(D249,ConformanceSubstrates!A2:A999, 0)), "")</f>
        <v>C# / Entity Framework</v>
      </c>
      <c r="R249" s="3" t="str">
        <f>_xlfn.IFNA(INDEX(RulebookTables!F2:F999, MATCH(E249,RulebookTables!A2:A999, 0)), "")</f>
        <v>knowledge</v>
      </c>
      <c r="S249" s="2" t="s">
        <v>1898</v>
      </c>
    </row>
    <row r="250">
      <c r="A250" s="2" t="s">
        <v>14257</v>
      </c>
      <c r="B250" s="3" t="str">
        <f>_xlfn.CONCAT(D250, " / ", E250)</f>
        <v>effortless-entity-framework / KnowledgeBrokerLinks</v>
      </c>
      <c r="C250" s="2" t="s">
        <v>13999</v>
      </c>
      <c r="D250" s="2" t="s">
        <v>13981</v>
      </c>
      <c r="E250" s="2" t="s">
        <v>1881</v>
      </c>
      <c r="F250" s="2">
        <v>5</v>
      </c>
      <c r="G250" s="2">
        <v>8</v>
      </c>
      <c r="H250" s="2">
        <v>40</v>
      </c>
      <c r="I250" s="2">
        <v>40</v>
      </c>
      <c r="J250" s="2" t="b">
        <v>0</v>
      </c>
      <c r="K250" s="3">
        <f>H250 - I250</f>
        <v>0</v>
      </c>
      <c r="L250" s="3">
        <f>IF(H250 = 0, 0, ROUND(100 * I250 / H250, 2))</f>
        <v>100</v>
      </c>
      <c r="M250" s="3" t="b">
        <f>K250 = 0</f>
        <v>1</v>
      </c>
      <c r="N250" s="3" t="str">
        <f>IF(M250, "", D250)</f>
      </c>
      <c r="O250" s="3" t="str">
        <f>IF(M250, "", E250)</f>
      </c>
      <c r="P250" s="3">
        <f>COUNTIFS(FieldDisagreements!E2:E999, A250)</f>
        <v>0</v>
      </c>
      <c r="Q250" s="3" t="str">
        <f>_xlfn.IFNA(INDEX(ConformanceSubstrates!C2:C999, MATCH(D250,ConformanceSubstrates!A2:A999, 0)), "")</f>
        <v>C# / Entity Framework</v>
      </c>
      <c r="R250" s="3" t="str">
        <f>_xlfn.IFNA(INDEX(RulebookTables!F2:F999, MATCH(E250,RulebookTables!A2:A999, 0)), "")</f>
        <v>knowledge</v>
      </c>
      <c r="S250" s="2" t="s">
        <v>1898</v>
      </c>
    </row>
    <row r="251">
      <c r="A251" s="2" t="s">
        <v>14258</v>
      </c>
      <c r="B251" s="3" t="str">
        <f>_xlfn.CONCAT(D251, " / ", E251)</f>
        <v>effortless-golang / RulebookReleases</v>
      </c>
      <c r="C251" s="2" t="s">
        <v>13999</v>
      </c>
      <c r="D251" s="2" t="s">
        <v>13969</v>
      </c>
      <c r="E251" s="2" t="s">
        <v>2384</v>
      </c>
      <c r="F251" s="2">
        <v>1</v>
      </c>
      <c r="G251" s="2">
        <v>1</v>
      </c>
      <c r="H251" s="2">
        <v>1</v>
      </c>
      <c r="I251" s="2">
        <v>1</v>
      </c>
      <c r="J251" s="2" t="b">
        <v>0</v>
      </c>
      <c r="K251" s="3">
        <f>H251 - I251</f>
        <v>0</v>
      </c>
      <c r="L251" s="3">
        <f>IF(H251 = 0, 0, ROUND(100 * I251 / H251, 2))</f>
        <v>100</v>
      </c>
      <c r="M251" s="3" t="b">
        <f>K251 = 0</f>
        <v>1</v>
      </c>
      <c r="N251" s="3" t="str">
        <f>IF(M251, "", D251)</f>
      </c>
      <c r="O251" s="3" t="str">
        <f>IF(M251, "", E251)</f>
      </c>
      <c r="P251" s="3">
        <f>COUNTIFS(FieldDisagreements!E2:E999, A251)</f>
        <v>0</v>
      </c>
      <c r="Q251" s="3" t="str">
        <f>_xlfn.IFNA(INDEX(ConformanceSubstrates!C2:C999, MATCH(D251,ConformanceSubstrates!A2:A999, 0)), "")</f>
        <v>Go</v>
      </c>
      <c r="R251" s="3" t="str">
        <f>_xlfn.IFNA(INDEX(RulebookTables!F2:F999, MATCH(E251,RulebookTables!A2:A999, 0)), "")</f>
        <v>meta</v>
      </c>
      <c r="S251" s="2" t="s">
        <v>1898</v>
      </c>
    </row>
    <row r="252">
      <c r="A252" s="2" t="s">
        <v>14259</v>
      </c>
      <c r="B252" s="3" t="str">
        <f>_xlfn.CONCAT(D252, " / ", E252)</f>
        <v>effortless-golang / OntologyProfiles</v>
      </c>
      <c r="C252" s="2" t="s">
        <v>13999</v>
      </c>
      <c r="D252" s="2" t="s">
        <v>13969</v>
      </c>
      <c r="E252" s="2" t="s">
        <v>2403</v>
      </c>
      <c r="F252" s="2">
        <v>11</v>
      </c>
      <c r="G252" s="2">
        <v>1</v>
      </c>
      <c r="H252" s="2">
        <v>11</v>
      </c>
      <c r="I252" s="2">
        <v>11</v>
      </c>
      <c r="J252" s="2" t="b">
        <v>0</v>
      </c>
      <c r="K252" s="3">
        <f>H252 - I252</f>
        <v>0</v>
      </c>
      <c r="L252" s="3">
        <f>IF(H252 = 0, 0, ROUND(100 * I252 / H252, 2))</f>
        <v>100</v>
      </c>
      <c r="M252" s="3" t="b">
        <f>K252 = 0</f>
        <v>1</v>
      </c>
      <c r="N252" s="3" t="str">
        <f>IF(M252, "", D252)</f>
      </c>
      <c r="O252" s="3" t="str">
        <f>IF(M252, "", E252)</f>
      </c>
      <c r="P252" s="3">
        <f>COUNTIFS(FieldDisagreements!E2:E999, A252)</f>
        <v>0</v>
      </c>
      <c r="Q252" s="3" t="str">
        <f>_xlfn.IFNA(INDEX(ConformanceSubstrates!C2:C999, MATCH(D252,ConformanceSubstrates!A2:A999, 0)), "")</f>
        <v>Go</v>
      </c>
      <c r="R252" s="3" t="str">
        <f>_xlfn.IFNA(INDEX(RulebookTables!F2:F999, MATCH(E252,RulebookTables!A2:A999, 0)), "")</f>
        <v>domain</v>
      </c>
      <c r="S252" s="2" t="s">
        <v>1898</v>
      </c>
    </row>
    <row r="253">
      <c r="A253" s="2" t="s">
        <v>14260</v>
      </c>
      <c r="B253" s="3" t="str">
        <f>_xlfn.CONCAT(D253, " / ", E253)</f>
        <v>effortless-golang / EvaluationContexts</v>
      </c>
      <c r="C253" s="2" t="s">
        <v>13999</v>
      </c>
      <c r="D253" s="2" t="s">
        <v>13969</v>
      </c>
      <c r="E253" s="2" t="s">
        <v>2413</v>
      </c>
      <c r="F253" s="2">
        <v>1</v>
      </c>
      <c r="G253" s="2">
        <v>1</v>
      </c>
      <c r="H253" s="2">
        <v>1</v>
      </c>
      <c r="I253" s="2">
        <v>0</v>
      </c>
      <c r="J253" s="2" t="b">
        <v>0</v>
      </c>
      <c r="K253" s="3">
        <f>H253 - I253</f>
        <v>1</v>
      </c>
      <c r="L253" s="3">
        <f>IF(H253 = 0, 0, ROUND(100 * I253 / H253, 2))</f>
        <v>0</v>
      </c>
      <c r="M253" s="3" t="b">
        <f>K253 = 0</f>
        <v>0</v>
      </c>
      <c r="N253" s="3" t="str">
        <f>IF(M253, "", D253)</f>
        <v>effortless-golang</v>
      </c>
      <c r="O253" s="3" t="str">
        <f>IF(M253, "", E253)</f>
        <v>EvaluationContexts</v>
      </c>
      <c r="P253" s="3">
        <f>COUNTIFS(FieldDisagreements!E2:E999, A253)</f>
        <v>1</v>
      </c>
      <c r="Q253" s="3" t="str">
        <f>_xlfn.IFNA(INDEX(ConformanceSubstrates!C2:C999, MATCH(D253,ConformanceSubstrates!A2:A999, 0)), "")</f>
        <v>Go</v>
      </c>
      <c r="R253" s="3" t="str">
        <f>_xlfn.IFNA(INDEX(RulebookTables!F2:F999, MATCH(E253,RulebookTables!A2:A999, 0)), "")</f>
        <v>meta</v>
      </c>
      <c r="S253" s="2" t="s">
        <v>1898</v>
      </c>
    </row>
    <row r="254">
      <c r="A254" s="2" t="s">
        <v>14261</v>
      </c>
      <c r="B254" s="3" t="str">
        <f>_xlfn.CONCAT(D254, " / ", E254)</f>
        <v>effortless-golang / Organizations</v>
      </c>
      <c r="C254" s="2" t="s">
        <v>13999</v>
      </c>
      <c r="D254" s="2" t="s">
        <v>13969</v>
      </c>
      <c r="E254" s="2" t="s">
        <v>2422</v>
      </c>
      <c r="F254" s="2">
        <v>4</v>
      </c>
      <c r="G254" s="2">
        <v>1</v>
      </c>
      <c r="H254" s="2">
        <v>4</v>
      </c>
      <c r="I254" s="2">
        <v>4</v>
      </c>
      <c r="J254" s="2" t="b">
        <v>0</v>
      </c>
      <c r="K254" s="3">
        <f>H254 - I254</f>
        <v>0</v>
      </c>
      <c r="L254" s="3">
        <f>IF(H254 = 0, 0, ROUND(100 * I254 / H254, 2))</f>
        <v>100</v>
      </c>
      <c r="M254" s="3" t="b">
        <f>K254 = 0</f>
        <v>1</v>
      </c>
      <c r="N254" s="3" t="str">
        <f>IF(M254, "", D254)</f>
      </c>
      <c r="O254" s="3" t="str">
        <f>IF(M254, "", E254)</f>
      </c>
      <c r="P254" s="3">
        <f>COUNTIFS(FieldDisagreements!E2:E999, A254)</f>
        <v>0</v>
      </c>
      <c r="Q254" s="3" t="str">
        <f>_xlfn.IFNA(INDEX(ConformanceSubstrates!C2:C999, MATCH(D254,ConformanceSubstrates!A2:A999, 0)), "")</f>
        <v>Go</v>
      </c>
      <c r="R254" s="3" t="str">
        <f>_xlfn.IFNA(INDEX(RulebookTables!F2:F999, MATCH(E254,RulebookTables!A2:A999, 0)), "")</f>
        <v>org</v>
      </c>
      <c r="S254" s="2" t="s">
        <v>1898</v>
      </c>
    </row>
    <row r="255">
      <c r="A255" s="2" t="s">
        <v>14262</v>
      </c>
      <c r="B255" s="3" t="str">
        <f>_xlfn.CONCAT(D255, " / ", E255)</f>
        <v>effortless-golang / Agents</v>
      </c>
      <c r="C255" s="2" t="s">
        <v>13999</v>
      </c>
      <c r="D255" s="2" t="s">
        <v>13969</v>
      </c>
      <c r="E255" s="2" t="s">
        <v>1794</v>
      </c>
      <c r="F255" s="2">
        <v>11</v>
      </c>
      <c r="G255" s="2">
        <v>16</v>
      </c>
      <c r="H255" s="2">
        <v>176</v>
      </c>
      <c r="I255" s="2">
        <v>176</v>
      </c>
      <c r="J255" s="2" t="b">
        <v>0</v>
      </c>
      <c r="K255" s="3">
        <f>H255 - I255</f>
        <v>0</v>
      </c>
      <c r="L255" s="3">
        <f>IF(H255 = 0, 0, ROUND(100 * I255 / H255, 2))</f>
        <v>100</v>
      </c>
      <c r="M255" s="3" t="b">
        <f>K255 = 0</f>
        <v>1</v>
      </c>
      <c r="N255" s="3" t="str">
        <f>IF(M255, "", D255)</f>
      </c>
      <c r="O255" s="3" t="str">
        <f>IF(M255, "", E255)</f>
      </c>
      <c r="P255" s="3">
        <f>COUNTIFS(FieldDisagreements!E2:E999, A255)</f>
        <v>0</v>
      </c>
      <c r="Q255" s="3" t="str">
        <f>_xlfn.IFNA(INDEX(ConformanceSubstrates!C2:C999, MATCH(D255,ConformanceSubstrates!A2:A999, 0)), "")</f>
        <v>Go</v>
      </c>
      <c r="R255" s="3" t="str">
        <f>_xlfn.IFNA(INDEX(RulebookTables!F2:F999, MATCH(E255,RulebookTables!A2:A999, 0)), "")</f>
        <v>org</v>
      </c>
      <c r="S255" s="2" t="s">
        <v>1898</v>
      </c>
    </row>
    <row r="256">
      <c r="A256" s="2" t="s">
        <v>14263</v>
      </c>
      <c r="B256" s="3" t="str">
        <f>_xlfn.CONCAT(D256, " / ", E256)</f>
        <v>effortless-golang / Roles</v>
      </c>
      <c r="C256" s="2" t="s">
        <v>13999</v>
      </c>
      <c r="D256" s="2" t="s">
        <v>13969</v>
      </c>
      <c r="E256" s="2" t="s">
        <v>1798</v>
      </c>
      <c r="F256" s="2">
        <v>12</v>
      </c>
      <c r="G256" s="2">
        <v>17</v>
      </c>
      <c r="H256" s="2">
        <v>204</v>
      </c>
      <c r="I256" s="2">
        <v>204</v>
      </c>
      <c r="J256" s="2" t="b">
        <v>0</v>
      </c>
      <c r="K256" s="3">
        <f>H256 - I256</f>
        <v>0</v>
      </c>
      <c r="L256" s="3">
        <f>IF(H256 = 0, 0, ROUND(100 * I256 / H256, 2))</f>
        <v>100</v>
      </c>
      <c r="M256" s="3" t="b">
        <f>K256 = 0</f>
        <v>1</v>
      </c>
      <c r="N256" s="3" t="str">
        <f>IF(M256, "", D256)</f>
      </c>
      <c r="O256" s="3" t="str">
        <f>IF(M256, "", E256)</f>
      </c>
      <c r="P256" s="3">
        <f>COUNTIFS(FieldDisagreements!E2:E999, A256)</f>
        <v>0</v>
      </c>
      <c r="Q256" s="3" t="str">
        <f>_xlfn.IFNA(INDEX(ConformanceSubstrates!C2:C999, MATCH(D256,ConformanceSubstrates!A2:A999, 0)), "")</f>
        <v>Go</v>
      </c>
      <c r="R256" s="3" t="str">
        <f>_xlfn.IFNA(INDEX(RulebookTables!F2:F999, MATCH(E256,RulebookTables!A2:A999, 0)), "")</f>
        <v>org</v>
      </c>
      <c r="S256" s="2" t="s">
        <v>1898</v>
      </c>
    </row>
    <row r="257">
      <c r="A257" s="2" t="s">
        <v>14264</v>
      </c>
      <c r="B257" s="3" t="str">
        <f>_xlfn.CONCAT(D257, " / ", E257)</f>
        <v>effortless-golang / RoleAssignments</v>
      </c>
      <c r="C257" s="2" t="s">
        <v>13999</v>
      </c>
      <c r="D257" s="2" t="s">
        <v>13969</v>
      </c>
      <c r="E257" s="2" t="s">
        <v>1801</v>
      </c>
      <c r="F257" s="2">
        <v>13</v>
      </c>
      <c r="G257" s="2">
        <v>47</v>
      </c>
      <c r="H257" s="2">
        <v>611</v>
      </c>
      <c r="I257" s="2">
        <v>584</v>
      </c>
      <c r="J257" s="2" t="b">
        <v>0</v>
      </c>
      <c r="K257" s="3">
        <f>H257 - I257</f>
        <v>27</v>
      </c>
      <c r="L257" s="3">
        <f>IF(H257 = 0, 0, ROUND(100 * I257 / H257, 2))</f>
        <v>95.58</v>
      </c>
      <c r="M257" s="3" t="b">
        <f>K257 = 0</f>
        <v>0</v>
      </c>
      <c r="N257" s="3" t="str">
        <f>IF(M257, "", D257)</f>
        <v>effortless-golang</v>
      </c>
      <c r="O257" s="3" t="str">
        <f>IF(M257, "", E257)</f>
        <v>RoleAssignments</v>
      </c>
      <c r="P257" s="3">
        <f>COUNTIFS(FieldDisagreements!E2:E999, A257)</f>
        <v>3</v>
      </c>
      <c r="Q257" s="3" t="str">
        <f>_xlfn.IFNA(INDEX(ConformanceSubstrates!C2:C999, MATCH(D257,ConformanceSubstrates!A2:A999, 0)), "")</f>
        <v>Go</v>
      </c>
      <c r="R257" s="3" t="str">
        <f>_xlfn.IFNA(INDEX(RulebookTables!F2:F999, MATCH(E257,RulebookTables!A2:A999, 0)), "")</f>
        <v>org</v>
      </c>
      <c r="S257" s="2" t="s">
        <v>1898</v>
      </c>
    </row>
    <row r="258">
      <c r="A258" s="2" t="s">
        <v>14265</v>
      </c>
      <c r="B258" s="3" t="str">
        <f>_xlfn.CONCAT(D258, " / ", E258)</f>
        <v>effortless-golang / CommunitiesOfPractice</v>
      </c>
      <c r="C258" s="2" t="s">
        <v>13999</v>
      </c>
      <c r="D258" s="2" t="s">
        <v>13969</v>
      </c>
      <c r="E258" s="2" t="s">
        <v>2624</v>
      </c>
      <c r="F258" s="2">
        <v>2</v>
      </c>
      <c r="G258" s="2">
        <v>1</v>
      </c>
      <c r="H258" s="2">
        <v>2</v>
      </c>
      <c r="I258" s="2">
        <v>2</v>
      </c>
      <c r="J258" s="2" t="b">
        <v>0</v>
      </c>
      <c r="K258" s="3">
        <f>H258 - I258</f>
        <v>0</v>
      </c>
      <c r="L258" s="3">
        <f>IF(H258 = 0, 0, ROUND(100 * I258 / H258, 2))</f>
        <v>100</v>
      </c>
      <c r="M258" s="3" t="b">
        <f>K258 = 0</f>
        <v>1</v>
      </c>
      <c r="N258" s="3" t="str">
        <f>IF(M258, "", D258)</f>
      </c>
      <c r="O258" s="3" t="str">
        <f>IF(M258, "", E258)</f>
      </c>
      <c r="P258" s="3">
        <f>COUNTIFS(FieldDisagreements!E2:E999, A258)</f>
        <v>0</v>
      </c>
      <c r="Q258" s="3" t="str">
        <f>_xlfn.IFNA(INDEX(ConformanceSubstrates!C2:C999, MATCH(D258,ConformanceSubstrates!A2:A999, 0)), "")</f>
        <v>Go</v>
      </c>
      <c r="R258" s="3" t="str">
        <f>_xlfn.IFNA(INDEX(RulebookTables!F2:F999, MATCH(E258,RulebookTables!A2:A999, 0)), "")</f>
        <v>org</v>
      </c>
      <c r="S258" s="2" t="s">
        <v>1898</v>
      </c>
    </row>
    <row r="259">
      <c r="A259" s="2" t="s">
        <v>14266</v>
      </c>
      <c r="B259" s="3" t="str">
        <f>_xlfn.CONCAT(D259, " / ", E259)</f>
        <v>effortless-golang / Mentorships</v>
      </c>
      <c r="C259" s="2" t="s">
        <v>13999</v>
      </c>
      <c r="D259" s="2" t="s">
        <v>13969</v>
      </c>
      <c r="E259" s="2" t="s">
        <v>2633</v>
      </c>
      <c r="F259" s="2">
        <v>1</v>
      </c>
      <c r="G259" s="2">
        <v>1</v>
      </c>
      <c r="H259" s="2">
        <v>1</v>
      </c>
      <c r="I259" s="2">
        <v>1</v>
      </c>
      <c r="J259" s="2" t="b">
        <v>0</v>
      </c>
      <c r="K259" s="3">
        <f>H259 - I259</f>
        <v>0</v>
      </c>
      <c r="L259" s="3">
        <f>IF(H259 = 0, 0, ROUND(100 * I259 / H259, 2))</f>
        <v>100</v>
      </c>
      <c r="M259" s="3" t="b">
        <f>K259 = 0</f>
        <v>1</v>
      </c>
      <c r="N259" s="3" t="str">
        <f>IF(M259, "", D259)</f>
      </c>
      <c r="O259" s="3" t="str">
        <f>IF(M259, "", E259)</f>
      </c>
      <c r="P259" s="3">
        <f>COUNTIFS(FieldDisagreements!E2:E999, A259)</f>
        <v>0</v>
      </c>
      <c r="Q259" s="3" t="str">
        <f>_xlfn.IFNA(INDEX(ConformanceSubstrates!C2:C999, MATCH(D259,ConformanceSubstrates!A2:A999, 0)), "")</f>
        <v>Go</v>
      </c>
      <c r="R259" s="3" t="str">
        <f>_xlfn.IFNA(INDEX(RulebookTables!F2:F999, MATCH(E259,RulebookTables!A2:A999, 0)), "")</f>
        <v>org</v>
      </c>
      <c r="S259" s="2" t="s">
        <v>1898</v>
      </c>
    </row>
    <row r="260">
      <c r="A260" s="2" t="s">
        <v>14267</v>
      </c>
      <c r="B260" s="3" t="str">
        <f>_xlfn.CONCAT(D260, " / ", E260)</f>
        <v>effortless-golang / ProcedureTypes</v>
      </c>
      <c r="C260" s="2" t="s">
        <v>13999</v>
      </c>
      <c r="D260" s="2" t="s">
        <v>13969</v>
      </c>
      <c r="E260" s="2" t="s">
        <v>2645</v>
      </c>
      <c r="F260" s="2">
        <v>2</v>
      </c>
      <c r="G260" s="2">
        <v>1</v>
      </c>
      <c r="H260" s="2">
        <v>2</v>
      </c>
      <c r="I260" s="2">
        <v>2</v>
      </c>
      <c r="J260" s="2" t="b">
        <v>0</v>
      </c>
      <c r="K260" s="3">
        <f>H260 - I260</f>
        <v>0</v>
      </c>
      <c r="L260" s="3">
        <f>IF(H260 = 0, 0, ROUND(100 * I260 / H260, 2))</f>
        <v>100</v>
      </c>
      <c r="M260" s="3" t="b">
        <f>K260 = 0</f>
        <v>1</v>
      </c>
      <c r="N260" s="3" t="str">
        <f>IF(M260, "", D260)</f>
      </c>
      <c r="O260" s="3" t="str">
        <f>IF(M260, "", E260)</f>
      </c>
      <c r="P260" s="3">
        <f>COUNTIFS(FieldDisagreements!E2:E999, A260)</f>
        <v>0</v>
      </c>
      <c r="Q260" s="3" t="str">
        <f>_xlfn.IFNA(INDEX(ConformanceSubstrates!C2:C999, MATCH(D260,ConformanceSubstrates!A2:A999, 0)), "")</f>
        <v>Go</v>
      </c>
      <c r="R260" s="3" t="str">
        <f>_xlfn.IFNA(INDEX(RulebookTables!F2:F999, MATCH(E260,RulebookTables!A2:A999, 0)), "")</f>
        <v>specification</v>
      </c>
      <c r="S260" s="2" t="s">
        <v>1898</v>
      </c>
    </row>
    <row r="261">
      <c r="A261" s="2" t="s">
        <v>14268</v>
      </c>
      <c r="B261" s="3" t="str">
        <f>_xlfn.CONCAT(D261, " / ", E261)</f>
        <v>effortless-golang / Procedures</v>
      </c>
      <c r="C261" s="2" t="s">
        <v>13999</v>
      </c>
      <c r="D261" s="2" t="s">
        <v>13969</v>
      </c>
      <c r="E261" s="2" t="s">
        <v>1742</v>
      </c>
      <c r="F261" s="2">
        <v>2</v>
      </c>
      <c r="G261" s="2">
        <v>1</v>
      </c>
      <c r="H261" s="2">
        <v>2</v>
      </c>
      <c r="I261" s="2">
        <v>2</v>
      </c>
      <c r="J261" s="2" t="b">
        <v>0</v>
      </c>
      <c r="K261" s="3">
        <f>H261 - I261</f>
        <v>0</v>
      </c>
      <c r="L261" s="3">
        <f>IF(H261 = 0, 0, ROUND(100 * I261 / H261, 2))</f>
        <v>100</v>
      </c>
      <c r="M261" s="3" t="b">
        <f>K261 = 0</f>
        <v>1</v>
      </c>
      <c r="N261" s="3" t="str">
        <f>IF(M261, "", D261)</f>
      </c>
      <c r="O261" s="3" t="str">
        <f>IF(M261, "", E261)</f>
      </c>
      <c r="P261" s="3">
        <f>COUNTIFS(FieldDisagreements!E2:E999, A261)</f>
        <v>0</v>
      </c>
      <c r="Q261" s="3" t="str">
        <f>_xlfn.IFNA(INDEX(ConformanceSubstrates!C2:C999, MATCH(D261,ConformanceSubstrates!A2:A999, 0)), "")</f>
        <v>Go</v>
      </c>
      <c r="R261" s="3" t="str">
        <f>_xlfn.IFNA(INDEX(RulebookTables!F2:F999, MATCH(E261,RulebookTables!A2:A999, 0)), "")</f>
        <v>specification</v>
      </c>
      <c r="S261" s="2" t="s">
        <v>1898</v>
      </c>
    </row>
    <row r="262">
      <c r="A262" s="2" t="s">
        <v>14269</v>
      </c>
      <c r="B262" s="3" t="str">
        <f>_xlfn.CONCAT(D262, " / ", E262)</f>
        <v>effortless-golang / ProcedureVersions</v>
      </c>
      <c r="C262" s="2" t="s">
        <v>13999</v>
      </c>
      <c r="D262" s="2" t="s">
        <v>13969</v>
      </c>
      <c r="E262" s="2" t="s">
        <v>1747</v>
      </c>
      <c r="F262" s="2">
        <v>3</v>
      </c>
      <c r="G262" s="2">
        <v>72</v>
      </c>
      <c r="H262" s="2">
        <v>216</v>
      </c>
      <c r="I262" s="2">
        <v>209</v>
      </c>
      <c r="J262" s="2" t="b">
        <v>0</v>
      </c>
      <c r="K262" s="3">
        <f>H262 - I262</f>
        <v>7</v>
      </c>
      <c r="L262" s="3">
        <f>IF(H262 = 0, 0, ROUND(100 * I262 / H262, 2))</f>
        <v>96.76</v>
      </c>
      <c r="M262" s="3" t="b">
        <f>K262 = 0</f>
        <v>0</v>
      </c>
      <c r="N262" s="3" t="str">
        <f>IF(M262, "", D262)</f>
        <v>effortless-golang</v>
      </c>
      <c r="O262" s="3" t="str">
        <f>IF(M262, "", E262)</f>
        <v>ProcedureVersions</v>
      </c>
      <c r="P262" s="3">
        <f>COUNTIFS(FieldDisagreements!E2:E999, A262)</f>
        <v>3</v>
      </c>
      <c r="Q262" s="3" t="str">
        <f>_xlfn.IFNA(INDEX(ConformanceSubstrates!C2:C999, MATCH(D262,ConformanceSubstrates!A2:A999, 0)), "")</f>
        <v>Go</v>
      </c>
      <c r="R262" s="3" t="str">
        <f>_xlfn.IFNA(INDEX(RulebookTables!F2:F999, MATCH(E262,RulebookTables!A2:A999, 0)), "")</f>
        <v>specification</v>
      </c>
      <c r="S262" s="2" t="s">
        <v>1898</v>
      </c>
    </row>
    <row r="263">
      <c r="A263" s="2" t="s">
        <v>14270</v>
      </c>
      <c r="B263" s="3" t="str">
        <f>_xlfn.CONCAT(D263, " / ", E263)</f>
        <v>effortless-golang / ProcedureVersionLinks</v>
      </c>
      <c r="C263" s="2" t="s">
        <v>13999</v>
      </c>
      <c r="D263" s="2" t="s">
        <v>13969</v>
      </c>
      <c r="E263" s="2" t="s">
        <v>2818</v>
      </c>
      <c r="F263" s="2">
        <v>1</v>
      </c>
      <c r="G263" s="2">
        <v>2</v>
      </c>
      <c r="H263" s="2">
        <v>2</v>
      </c>
      <c r="I263" s="2">
        <v>2</v>
      </c>
      <c r="J263" s="2" t="b">
        <v>0</v>
      </c>
      <c r="K263" s="3">
        <f>H263 - I263</f>
        <v>0</v>
      </c>
      <c r="L263" s="3">
        <f>IF(H263 = 0, 0, ROUND(100 * I263 / H263, 2))</f>
        <v>100</v>
      </c>
      <c r="M263" s="3" t="b">
        <f>K263 = 0</f>
        <v>1</v>
      </c>
      <c r="N263" s="3" t="str">
        <f>IF(M263, "", D263)</f>
      </c>
      <c r="O263" s="3" t="str">
        <f>IF(M263, "", E263)</f>
      </c>
      <c r="P263" s="3">
        <f>COUNTIFS(FieldDisagreements!E2:E999, A263)</f>
        <v>0</v>
      </c>
      <c r="Q263" s="3" t="str">
        <f>_xlfn.IFNA(INDEX(ConformanceSubstrates!C2:C999, MATCH(D263,ConformanceSubstrates!A2:A999, 0)), "")</f>
        <v>Go</v>
      </c>
      <c r="R263" s="3" t="str">
        <f>_xlfn.IFNA(INDEX(RulebookTables!F2:F999, MATCH(E263,RulebookTables!A2:A999, 0)), "")</f>
        <v>specification</v>
      </c>
      <c r="S263" s="2" t="s">
        <v>1898</v>
      </c>
    </row>
    <row r="264">
      <c r="A264" s="2" t="s">
        <v>14271</v>
      </c>
      <c r="B264" s="3" t="str">
        <f>_xlfn.CONCAT(D264, " / ", E264)</f>
        <v>effortless-golang / ProcedureStatusChanges</v>
      </c>
      <c r="C264" s="2" t="s">
        <v>13999</v>
      </c>
      <c r="D264" s="2" t="s">
        <v>13969</v>
      </c>
      <c r="E264" s="2" t="s">
        <v>1755</v>
      </c>
      <c r="F264" s="2">
        <v>5</v>
      </c>
      <c r="G264" s="2">
        <v>1</v>
      </c>
      <c r="H264" s="2">
        <v>5</v>
      </c>
      <c r="I264" s="2">
        <v>5</v>
      </c>
      <c r="J264" s="2" t="b">
        <v>0</v>
      </c>
      <c r="K264" s="3">
        <f>H264 - I264</f>
        <v>0</v>
      </c>
      <c r="L264" s="3">
        <f>IF(H264 = 0, 0, ROUND(100 * I264 / H264, 2))</f>
        <v>100</v>
      </c>
      <c r="M264" s="3" t="b">
        <f>K264 = 0</f>
        <v>1</v>
      </c>
      <c r="N264" s="3" t="str">
        <f>IF(M264, "", D264)</f>
      </c>
      <c r="O264" s="3" t="str">
        <f>IF(M264, "", E264)</f>
      </c>
      <c r="P264" s="3">
        <f>COUNTIFS(FieldDisagreements!E2:E999, A264)</f>
        <v>0</v>
      </c>
      <c r="Q264" s="3" t="str">
        <f>_xlfn.IFNA(INDEX(ConformanceSubstrates!C2:C999, MATCH(D264,ConformanceSubstrates!A2:A999, 0)), "")</f>
        <v>Go</v>
      </c>
      <c r="R264" s="3" t="str">
        <f>_xlfn.IFNA(INDEX(RulebookTables!F2:F999, MATCH(E264,RulebookTables!A2:A999, 0)), "")</f>
        <v>specification</v>
      </c>
      <c r="S264" s="2" t="s">
        <v>1898</v>
      </c>
    </row>
    <row r="265">
      <c r="A265" s="2" t="s">
        <v>14272</v>
      </c>
      <c r="B265" s="3" t="str">
        <f>_xlfn.CONCAT(D265, " / ", E265)</f>
        <v>effortless-golang / Steps</v>
      </c>
      <c r="C265" s="2" t="s">
        <v>13999</v>
      </c>
      <c r="D265" s="2" t="s">
        <v>13969</v>
      </c>
      <c r="E265" s="2" t="s">
        <v>1758</v>
      </c>
      <c r="F265" s="2">
        <v>17</v>
      </c>
      <c r="G265" s="2">
        <v>30</v>
      </c>
      <c r="H265" s="2">
        <v>510</v>
      </c>
      <c r="I265" s="2">
        <v>510</v>
      </c>
      <c r="J265" s="2" t="b">
        <v>0</v>
      </c>
      <c r="K265" s="3">
        <f>H265 - I265</f>
        <v>0</v>
      </c>
      <c r="L265" s="3">
        <f>IF(H265 = 0, 0, ROUND(100 * I265 / H265, 2))</f>
        <v>100</v>
      </c>
      <c r="M265" s="3" t="b">
        <f>K265 = 0</f>
        <v>1</v>
      </c>
      <c r="N265" s="3" t="str">
        <f>IF(M265, "", D265)</f>
      </c>
      <c r="O265" s="3" t="str">
        <f>IF(M265, "", E265)</f>
      </c>
      <c r="P265" s="3">
        <f>COUNTIFS(FieldDisagreements!E2:E999, A265)</f>
        <v>0</v>
      </c>
      <c r="Q265" s="3" t="str">
        <f>_xlfn.IFNA(INDEX(ConformanceSubstrates!C2:C999, MATCH(D265,ConformanceSubstrates!A2:A999, 0)), "")</f>
        <v>Go</v>
      </c>
      <c r="R265" s="3" t="str">
        <f>_xlfn.IFNA(INDEX(RulebookTables!F2:F999, MATCH(E265,RulebookTables!A2:A999, 0)), "")</f>
        <v>specification</v>
      </c>
      <c r="S265" s="2" t="s">
        <v>1898</v>
      </c>
    </row>
    <row r="266">
      <c r="A266" s="2" t="s">
        <v>14273</v>
      </c>
      <c r="B266" s="3" t="str">
        <f>_xlfn.CONCAT(D266, " / ", E266)</f>
        <v>effortless-golang / StepTransitions</v>
      </c>
      <c r="C266" s="2" t="s">
        <v>13999</v>
      </c>
      <c r="D266" s="2" t="s">
        <v>13969</v>
      </c>
      <c r="E266" s="2" t="s">
        <v>1764</v>
      </c>
      <c r="F266" s="2">
        <v>19</v>
      </c>
      <c r="G266" s="2">
        <v>15</v>
      </c>
      <c r="H266" s="2">
        <v>285</v>
      </c>
      <c r="I266" s="2">
        <v>285</v>
      </c>
      <c r="J266" s="2" t="b">
        <v>0</v>
      </c>
      <c r="K266" s="3">
        <f>H266 - I266</f>
        <v>0</v>
      </c>
      <c r="L266" s="3">
        <f>IF(H266 = 0, 0, ROUND(100 * I266 / H266, 2))</f>
        <v>100</v>
      </c>
      <c r="M266" s="3" t="b">
        <f>K266 = 0</f>
        <v>1</v>
      </c>
      <c r="N266" s="3" t="str">
        <f>IF(M266, "", D266)</f>
      </c>
      <c r="O266" s="3" t="str">
        <f>IF(M266, "", E266)</f>
      </c>
      <c r="P266" s="3">
        <f>COUNTIFS(FieldDisagreements!E2:E999, A266)</f>
        <v>0</v>
      </c>
      <c r="Q266" s="3" t="str">
        <f>_xlfn.IFNA(INDEX(ConformanceSubstrates!C2:C999, MATCH(D266,ConformanceSubstrates!A2:A999, 0)), "")</f>
        <v>Go</v>
      </c>
      <c r="R266" s="3" t="str">
        <f>_xlfn.IFNA(INDEX(RulebookTables!F2:F999, MATCH(E266,RulebookTables!A2:A999, 0)), "")</f>
        <v>specification</v>
      </c>
      <c r="S266" s="2" t="s">
        <v>1898</v>
      </c>
    </row>
    <row r="267">
      <c r="A267" s="2" t="s">
        <v>14274</v>
      </c>
      <c r="B267" s="3" t="str">
        <f>_xlfn.CONCAT(D267, " / ", E267)</f>
        <v>effortless-golang / Actions</v>
      </c>
      <c r="C267" s="2" t="s">
        <v>13999</v>
      </c>
      <c r="D267" s="2" t="s">
        <v>13969</v>
      </c>
      <c r="E267" s="2" t="s">
        <v>1776</v>
      </c>
      <c r="F267" s="2">
        <v>9</v>
      </c>
      <c r="G267" s="2">
        <v>1</v>
      </c>
      <c r="H267" s="2">
        <v>9</v>
      </c>
      <c r="I267" s="2">
        <v>9</v>
      </c>
      <c r="J267" s="2" t="b">
        <v>0</v>
      </c>
      <c r="K267" s="3">
        <f>H267 - I267</f>
        <v>0</v>
      </c>
      <c r="L267" s="3">
        <f>IF(H267 = 0, 0, ROUND(100 * I267 / H267, 2))</f>
        <v>100</v>
      </c>
      <c r="M267" s="3" t="b">
        <f>K267 = 0</f>
        <v>1</v>
      </c>
      <c r="N267" s="3" t="str">
        <f>IF(M267, "", D267)</f>
      </c>
      <c r="O267" s="3" t="str">
        <f>IF(M267, "", E267)</f>
      </c>
      <c r="P267" s="3">
        <f>COUNTIFS(FieldDisagreements!E2:E999, A267)</f>
        <v>0</v>
      </c>
      <c r="Q267" s="3" t="str">
        <f>_xlfn.IFNA(INDEX(ConformanceSubstrates!C2:C999, MATCH(D267,ConformanceSubstrates!A2:A999, 0)), "")</f>
        <v>Go</v>
      </c>
      <c r="R267" s="3" t="str">
        <f>_xlfn.IFNA(INDEX(RulebookTables!F2:F999, MATCH(E267,RulebookTables!A2:A999, 0)), "")</f>
        <v>specification</v>
      </c>
      <c r="S267" s="2" t="s">
        <v>1898</v>
      </c>
    </row>
    <row r="268">
      <c r="A268" s="2" t="s">
        <v>14275</v>
      </c>
      <c r="B268" s="3" t="str">
        <f>_xlfn.CONCAT(D268, " / ", E268)</f>
        <v>effortless-golang / Functions</v>
      </c>
      <c r="C268" s="2" t="s">
        <v>13999</v>
      </c>
      <c r="D268" s="2" t="s">
        <v>13969</v>
      </c>
      <c r="E268" s="2" t="s">
        <v>1779</v>
      </c>
      <c r="F268" s="2">
        <v>8</v>
      </c>
      <c r="G268" s="2">
        <v>1</v>
      </c>
      <c r="H268" s="2">
        <v>8</v>
      </c>
      <c r="I268" s="2">
        <v>8</v>
      </c>
      <c r="J268" s="2" t="b">
        <v>0</v>
      </c>
      <c r="K268" s="3">
        <f>H268 - I268</f>
        <v>0</v>
      </c>
      <c r="L268" s="3">
        <f>IF(H268 = 0, 0, ROUND(100 * I268 / H268, 2))</f>
        <v>100</v>
      </c>
      <c r="M268" s="3" t="b">
        <f>K268 = 0</f>
        <v>1</v>
      </c>
      <c r="N268" s="3" t="str">
        <f>IF(M268, "", D268)</f>
      </c>
      <c r="O268" s="3" t="str">
        <f>IF(M268, "", E268)</f>
      </c>
      <c r="P268" s="3">
        <f>COUNTIFS(FieldDisagreements!E2:E999, A268)</f>
        <v>0</v>
      </c>
      <c r="Q268" s="3" t="str">
        <f>_xlfn.IFNA(INDEX(ConformanceSubstrates!C2:C999, MATCH(D268,ConformanceSubstrates!A2:A999, 0)), "")</f>
        <v>Go</v>
      </c>
      <c r="R268" s="3" t="str">
        <f>_xlfn.IFNA(INDEX(RulebookTables!F2:F999, MATCH(E268,RulebookTables!A2:A999, 0)), "")</f>
        <v>specification</v>
      </c>
      <c r="S268" s="2" t="s">
        <v>1898</v>
      </c>
    </row>
    <row r="269">
      <c r="A269" s="2" t="s">
        <v>14276</v>
      </c>
      <c r="B269" s="3" t="str">
        <f>_xlfn.CONCAT(D269, " / ", E269)</f>
        <v>effortless-golang / Tools</v>
      </c>
      <c r="C269" s="2" t="s">
        <v>13999</v>
      </c>
      <c r="D269" s="2" t="s">
        <v>13969</v>
      </c>
      <c r="E269" s="2" t="s">
        <v>1782</v>
      </c>
      <c r="F269" s="2">
        <v>8</v>
      </c>
      <c r="G269" s="2">
        <v>1</v>
      </c>
      <c r="H269" s="2">
        <v>8</v>
      </c>
      <c r="I269" s="2">
        <v>8</v>
      </c>
      <c r="J269" s="2" t="b">
        <v>0</v>
      </c>
      <c r="K269" s="3">
        <f>H269 - I269</f>
        <v>0</v>
      </c>
      <c r="L269" s="3">
        <f>IF(H269 = 0, 0, ROUND(100 * I269 / H269, 2))</f>
        <v>100</v>
      </c>
      <c r="M269" s="3" t="b">
        <f>K269 = 0</f>
        <v>1</v>
      </c>
      <c r="N269" s="3" t="str">
        <f>IF(M269, "", D269)</f>
      </c>
      <c r="O269" s="3" t="str">
        <f>IF(M269, "", E269)</f>
      </c>
      <c r="P269" s="3">
        <f>COUNTIFS(FieldDisagreements!E2:E999, A269)</f>
        <v>0</v>
      </c>
      <c r="Q269" s="3" t="str">
        <f>_xlfn.IFNA(INDEX(ConformanceSubstrates!C2:C999, MATCH(D269,ConformanceSubstrates!A2:A999, 0)), "")</f>
        <v>Go</v>
      </c>
      <c r="R269" s="3" t="str">
        <f>_xlfn.IFNA(INDEX(RulebookTables!F2:F999, MATCH(E269,RulebookTables!A2:A999, 0)), "")</f>
        <v>specification</v>
      </c>
      <c r="S269" s="2" t="s">
        <v>1898</v>
      </c>
    </row>
    <row r="270">
      <c r="A270" s="2" t="s">
        <v>14277</v>
      </c>
      <c r="B270" s="3" t="str">
        <f>_xlfn.CONCAT(D270, " / ", E270)</f>
        <v>effortless-golang / StepActions</v>
      </c>
      <c r="C270" s="2" t="s">
        <v>13999</v>
      </c>
      <c r="D270" s="2" t="s">
        <v>13969</v>
      </c>
      <c r="E270" s="2" t="s">
        <v>2962</v>
      </c>
      <c r="F270" s="2">
        <v>9</v>
      </c>
      <c r="G270" s="2">
        <v>1</v>
      </c>
      <c r="H270" s="2">
        <v>9</v>
      </c>
      <c r="I270" s="2">
        <v>9</v>
      </c>
      <c r="J270" s="2" t="b">
        <v>0</v>
      </c>
      <c r="K270" s="3">
        <f>H270 - I270</f>
        <v>0</v>
      </c>
      <c r="L270" s="3">
        <f>IF(H270 = 0, 0, ROUND(100 * I270 / H270, 2))</f>
        <v>100</v>
      </c>
      <c r="M270" s="3" t="b">
        <f>K270 = 0</f>
        <v>1</v>
      </c>
      <c r="N270" s="3" t="str">
        <f>IF(M270, "", D270)</f>
      </c>
      <c r="O270" s="3" t="str">
        <f>IF(M270, "", E270)</f>
      </c>
      <c r="P270" s="3">
        <f>COUNTIFS(FieldDisagreements!E2:E999, A270)</f>
        <v>0</v>
      </c>
      <c r="Q270" s="3" t="str">
        <f>_xlfn.IFNA(INDEX(ConformanceSubstrates!C2:C999, MATCH(D270,ConformanceSubstrates!A2:A999, 0)), "")</f>
        <v>Go</v>
      </c>
      <c r="R270" s="3" t="str">
        <f>_xlfn.IFNA(INDEX(RulebookTables!F2:F999, MATCH(E270,RulebookTables!A2:A999, 0)), "")</f>
        <v>specification</v>
      </c>
      <c r="S270" s="2" t="s">
        <v>1898</v>
      </c>
    </row>
    <row r="271">
      <c r="A271" s="2" t="s">
        <v>14278</v>
      </c>
      <c r="B271" s="3" t="str">
        <f>_xlfn.CONCAT(D271, " / ", E271)</f>
        <v>effortless-golang / StepFunctions</v>
      </c>
      <c r="C271" s="2" t="s">
        <v>13999</v>
      </c>
      <c r="D271" s="2" t="s">
        <v>13969</v>
      </c>
      <c r="E271" s="2" t="s">
        <v>2968</v>
      </c>
      <c r="F271" s="2">
        <v>8</v>
      </c>
      <c r="G271" s="2">
        <v>1</v>
      </c>
      <c r="H271" s="2">
        <v>8</v>
      </c>
      <c r="I271" s="2">
        <v>8</v>
      </c>
      <c r="J271" s="2" t="b">
        <v>0</v>
      </c>
      <c r="K271" s="3">
        <f>H271 - I271</f>
        <v>0</v>
      </c>
      <c r="L271" s="3">
        <f>IF(H271 = 0, 0, ROUND(100 * I271 / H271, 2))</f>
        <v>100</v>
      </c>
      <c r="M271" s="3" t="b">
        <f>K271 = 0</f>
        <v>1</v>
      </c>
      <c r="N271" s="3" t="str">
        <f>IF(M271, "", D271)</f>
      </c>
      <c r="O271" s="3" t="str">
        <f>IF(M271, "", E271)</f>
      </c>
      <c r="P271" s="3">
        <f>COUNTIFS(FieldDisagreements!E2:E999, A271)</f>
        <v>0</v>
      </c>
      <c r="Q271" s="3" t="str">
        <f>_xlfn.IFNA(INDEX(ConformanceSubstrates!C2:C999, MATCH(D271,ConformanceSubstrates!A2:A999, 0)), "")</f>
        <v>Go</v>
      </c>
      <c r="R271" s="3" t="str">
        <f>_xlfn.IFNA(INDEX(RulebookTables!F2:F999, MATCH(E271,RulebookTables!A2:A999, 0)), "")</f>
        <v>specification</v>
      </c>
      <c r="S271" s="2" t="s">
        <v>1898</v>
      </c>
    </row>
    <row r="272">
      <c r="A272" s="2" t="s">
        <v>14279</v>
      </c>
      <c r="B272" s="3" t="str">
        <f>_xlfn.CONCAT(D272, " / ", E272)</f>
        <v>effortless-golang / StepTools</v>
      </c>
      <c r="C272" s="2" t="s">
        <v>13999</v>
      </c>
      <c r="D272" s="2" t="s">
        <v>13969</v>
      </c>
      <c r="E272" s="2" t="s">
        <v>2974</v>
      </c>
      <c r="F272" s="2">
        <v>10</v>
      </c>
      <c r="G272" s="2">
        <v>1</v>
      </c>
      <c r="H272" s="2">
        <v>10</v>
      </c>
      <c r="I272" s="2">
        <v>10</v>
      </c>
      <c r="J272" s="2" t="b">
        <v>0</v>
      </c>
      <c r="K272" s="3">
        <f>H272 - I272</f>
        <v>0</v>
      </c>
      <c r="L272" s="3">
        <f>IF(H272 = 0, 0, ROUND(100 * I272 / H272, 2))</f>
        <v>100</v>
      </c>
      <c r="M272" s="3" t="b">
        <f>K272 = 0</f>
        <v>1</v>
      </c>
      <c r="N272" s="3" t="str">
        <f>IF(M272, "", D272)</f>
      </c>
      <c r="O272" s="3" t="str">
        <f>IF(M272, "", E272)</f>
      </c>
      <c r="P272" s="3">
        <f>COUNTIFS(FieldDisagreements!E2:E999, A272)</f>
        <v>0</v>
      </c>
      <c r="Q272" s="3" t="str">
        <f>_xlfn.IFNA(INDEX(ConformanceSubstrates!C2:C999, MATCH(D272,ConformanceSubstrates!A2:A999, 0)), "")</f>
        <v>Go</v>
      </c>
      <c r="R272" s="3" t="str">
        <f>_xlfn.IFNA(INDEX(RulebookTables!F2:F999, MATCH(E272,RulebookTables!A2:A999, 0)), "")</f>
        <v>specification</v>
      </c>
      <c r="S272" s="2" t="s">
        <v>1898</v>
      </c>
    </row>
    <row r="273">
      <c r="A273" s="2" t="s">
        <v>14280</v>
      </c>
      <c r="B273" s="3" t="str">
        <f>_xlfn.CONCAT(D273, " / ", E273)</f>
        <v>effortless-golang / Requirements</v>
      </c>
      <c r="C273" s="2" t="s">
        <v>13999</v>
      </c>
      <c r="D273" s="2" t="s">
        <v>13969</v>
      </c>
      <c r="E273" s="2" t="s">
        <v>1785</v>
      </c>
      <c r="F273" s="2">
        <v>13</v>
      </c>
      <c r="G273" s="2">
        <v>31</v>
      </c>
      <c r="H273" s="2">
        <v>403</v>
      </c>
      <c r="I273" s="2">
        <v>400</v>
      </c>
      <c r="J273" s="2" t="b">
        <v>0</v>
      </c>
      <c r="K273" s="3">
        <f>H273 - I273</f>
        <v>3</v>
      </c>
      <c r="L273" s="3">
        <f>IF(H273 = 0, 0, ROUND(100 * I273 / H273, 2))</f>
        <v>99.26</v>
      </c>
      <c r="M273" s="3" t="b">
        <f>K273 = 0</f>
        <v>0</v>
      </c>
      <c r="N273" s="3" t="str">
        <f>IF(M273, "", D273)</f>
        <v>effortless-golang</v>
      </c>
      <c r="O273" s="3" t="str">
        <f>IF(M273, "", E273)</f>
        <v>Requirements</v>
      </c>
      <c r="P273" s="3">
        <f>COUNTIFS(FieldDisagreements!E2:E999, A273)</f>
        <v>1</v>
      </c>
      <c r="Q273" s="3" t="str">
        <f>_xlfn.IFNA(INDEX(ConformanceSubstrates!C2:C999, MATCH(D273,ConformanceSubstrates!A2:A999, 0)), "")</f>
        <v>Go</v>
      </c>
      <c r="R273" s="3" t="str">
        <f>_xlfn.IFNA(INDEX(RulebookTables!F2:F999, MATCH(E273,RulebookTables!A2:A999, 0)), "")</f>
        <v>governance</v>
      </c>
      <c r="S273" s="2" t="s">
        <v>1898</v>
      </c>
    </row>
    <row r="274">
      <c r="A274" s="2" t="s">
        <v>14281</v>
      </c>
      <c r="B274" s="3" t="str">
        <f>_xlfn.CONCAT(D274, " / ", E274)</f>
        <v>effortless-golang / StepRequirements</v>
      </c>
      <c r="C274" s="2" t="s">
        <v>13999</v>
      </c>
      <c r="D274" s="2" t="s">
        <v>13969</v>
      </c>
      <c r="E274" s="2" t="s">
        <v>3053</v>
      </c>
      <c r="F274" s="2">
        <v>15</v>
      </c>
      <c r="G274" s="2">
        <v>10</v>
      </c>
      <c r="H274" s="2">
        <v>150</v>
      </c>
      <c r="I274" s="2">
        <v>150</v>
      </c>
      <c r="J274" s="2" t="b">
        <v>0</v>
      </c>
      <c r="K274" s="3">
        <f>H274 - I274</f>
        <v>0</v>
      </c>
      <c r="L274" s="3">
        <f>IF(H274 = 0, 0, ROUND(100 * I274 / H274, 2))</f>
        <v>100</v>
      </c>
      <c r="M274" s="3" t="b">
        <f>K274 = 0</f>
        <v>1</v>
      </c>
      <c r="N274" s="3" t="str">
        <f>IF(M274, "", D274)</f>
      </c>
      <c r="O274" s="3" t="str">
        <f>IF(M274, "", E274)</f>
      </c>
      <c r="P274" s="3">
        <f>COUNTIFS(FieldDisagreements!E2:E999, A274)</f>
        <v>0</v>
      </c>
      <c r="Q274" s="3" t="str">
        <f>_xlfn.IFNA(INDEX(ConformanceSubstrates!C2:C999, MATCH(D274,ConformanceSubstrates!A2:A999, 0)), "")</f>
        <v>Go</v>
      </c>
      <c r="R274" s="3" t="str">
        <f>_xlfn.IFNA(INDEX(RulebookTables!F2:F999, MATCH(E274,RulebookTables!A2:A999, 0)), "")</f>
        <v>specification</v>
      </c>
      <c r="S274" s="2" t="s">
        <v>1898</v>
      </c>
    </row>
    <row r="275">
      <c r="A275" s="2" t="s">
        <v>14282</v>
      </c>
      <c r="B275" s="3" t="str">
        <f>_xlfn.CONCAT(D275, " / ", E275)</f>
        <v>effortless-golang / StepVerifications</v>
      </c>
      <c r="C275" s="2" t="s">
        <v>13999</v>
      </c>
      <c r="D275" s="2" t="s">
        <v>13969</v>
      </c>
      <c r="E275" s="2" t="s">
        <v>1788</v>
      </c>
      <c r="F275" s="2">
        <v>11</v>
      </c>
      <c r="G275" s="2">
        <v>1</v>
      </c>
      <c r="H275" s="2">
        <v>11</v>
      </c>
      <c r="I275" s="2">
        <v>11</v>
      </c>
      <c r="J275" s="2" t="b">
        <v>0</v>
      </c>
      <c r="K275" s="3">
        <f>H275 - I275</f>
        <v>0</v>
      </c>
      <c r="L275" s="3">
        <f>IF(H275 = 0, 0, ROUND(100 * I275 / H275, 2))</f>
        <v>100</v>
      </c>
      <c r="M275" s="3" t="b">
        <f>K275 = 0</f>
        <v>1</v>
      </c>
      <c r="N275" s="3" t="str">
        <f>IF(M275, "", D275)</f>
      </c>
      <c r="O275" s="3" t="str">
        <f>IF(M275, "", E275)</f>
      </c>
      <c r="P275" s="3">
        <f>COUNTIFS(FieldDisagreements!E2:E999, A275)</f>
        <v>0</v>
      </c>
      <c r="Q275" s="3" t="str">
        <f>_xlfn.IFNA(INDEX(ConformanceSubstrates!C2:C999, MATCH(D275,ConformanceSubstrates!A2:A999, 0)), "")</f>
        <v>Go</v>
      </c>
      <c r="R275" s="3" t="str">
        <f>_xlfn.IFNA(INDEX(RulebookTables!F2:F999, MATCH(E275,RulebookTables!A2:A999, 0)), "")</f>
        <v>specification</v>
      </c>
      <c r="S275" s="2" t="s">
        <v>1898</v>
      </c>
    </row>
    <row r="276">
      <c r="A276" s="2" t="s">
        <v>14283</v>
      </c>
      <c r="B276" s="3" t="str">
        <f>_xlfn.CONCAT(D276, " / ", E276)</f>
        <v>effortless-golang / Rationales</v>
      </c>
      <c r="C276" s="2" t="s">
        <v>13999</v>
      </c>
      <c r="D276" s="2" t="s">
        <v>13969</v>
      </c>
      <c r="E276" s="2" t="s">
        <v>3085</v>
      </c>
      <c r="F276" s="2">
        <v>4</v>
      </c>
      <c r="G276" s="2">
        <v>1</v>
      </c>
      <c r="H276" s="2">
        <v>4</v>
      </c>
      <c r="I276" s="2">
        <v>4</v>
      </c>
      <c r="J276" s="2" t="b">
        <v>0</v>
      </c>
      <c r="K276" s="3">
        <f>H276 - I276</f>
        <v>0</v>
      </c>
      <c r="L276" s="3">
        <f>IF(H276 = 0, 0, ROUND(100 * I276 / H276, 2))</f>
        <v>100</v>
      </c>
      <c r="M276" s="3" t="b">
        <f>K276 = 0</f>
        <v>1</v>
      </c>
      <c r="N276" s="3" t="str">
        <f>IF(M276, "", D276)</f>
      </c>
      <c r="O276" s="3" t="str">
        <f>IF(M276, "", E276)</f>
      </c>
      <c r="P276" s="3">
        <f>COUNTIFS(FieldDisagreements!E2:E999, A276)</f>
        <v>0</v>
      </c>
      <c r="Q276" s="3" t="str">
        <f>_xlfn.IFNA(INDEX(ConformanceSubstrates!C2:C999, MATCH(D276,ConformanceSubstrates!A2:A999, 0)), "")</f>
        <v>Go</v>
      </c>
      <c r="R276" s="3" t="str">
        <f>_xlfn.IFNA(INDEX(RulebookTables!F2:F999, MATCH(E276,RulebookTables!A2:A999, 0)), "")</f>
        <v>governance</v>
      </c>
      <c r="S276" s="2" t="s">
        <v>1898</v>
      </c>
    </row>
    <row r="277">
      <c r="A277" s="2" t="s">
        <v>14284</v>
      </c>
      <c r="B277" s="3" t="str">
        <f>_xlfn.CONCAT(D277, " / ", E277)</f>
        <v>effortless-golang / Exceptions</v>
      </c>
      <c r="C277" s="2" t="s">
        <v>13999</v>
      </c>
      <c r="D277" s="2" t="s">
        <v>13969</v>
      </c>
      <c r="E277" s="2" t="s">
        <v>3095</v>
      </c>
      <c r="F277" s="2">
        <v>4</v>
      </c>
      <c r="G277" s="2">
        <v>2</v>
      </c>
      <c r="H277" s="2">
        <v>8</v>
      </c>
      <c r="I277" s="2">
        <v>8</v>
      </c>
      <c r="J277" s="2" t="b">
        <v>0</v>
      </c>
      <c r="K277" s="3">
        <f>H277 - I277</f>
        <v>0</v>
      </c>
      <c r="L277" s="3">
        <f>IF(H277 = 0, 0, ROUND(100 * I277 / H277, 2))</f>
        <v>100</v>
      </c>
      <c r="M277" s="3" t="b">
        <f>K277 = 0</f>
        <v>1</v>
      </c>
      <c r="N277" s="3" t="str">
        <f>IF(M277, "", D277)</f>
      </c>
      <c r="O277" s="3" t="str">
        <f>IF(M277, "", E277)</f>
      </c>
      <c r="P277" s="3">
        <f>COUNTIFS(FieldDisagreements!E2:E999, A277)</f>
        <v>0</v>
      </c>
      <c r="Q277" s="3" t="str">
        <f>_xlfn.IFNA(INDEX(ConformanceSubstrates!C2:C999, MATCH(D277,ConformanceSubstrates!A2:A999, 0)), "")</f>
        <v>Go</v>
      </c>
      <c r="R277" s="3" t="str">
        <f>_xlfn.IFNA(INDEX(RulebookTables!F2:F999, MATCH(E277,RulebookTables!A2:A999, 0)), "")</f>
        <v>governance</v>
      </c>
      <c r="S277" s="2" t="s">
        <v>1898</v>
      </c>
    </row>
    <row r="278">
      <c r="A278" s="2" t="s">
        <v>14285</v>
      </c>
      <c r="B278" s="3" t="str">
        <f>_xlfn.CONCAT(D278, " / ", E278)</f>
        <v>effortless-golang / Resources</v>
      </c>
      <c r="C278" s="2" t="s">
        <v>13999</v>
      </c>
      <c r="D278" s="2" t="s">
        <v>13969</v>
      </c>
      <c r="E278" s="2" t="s">
        <v>1791</v>
      </c>
      <c r="F278" s="2">
        <v>8</v>
      </c>
      <c r="G278" s="2">
        <v>2</v>
      </c>
      <c r="H278" s="2">
        <v>16</v>
      </c>
      <c r="I278" s="2">
        <v>16</v>
      </c>
      <c r="J278" s="2" t="b">
        <v>0</v>
      </c>
      <c r="K278" s="3">
        <f>H278 - I278</f>
        <v>0</v>
      </c>
      <c r="L278" s="3">
        <f>IF(H278 = 0, 0, ROUND(100 * I278 / H278, 2))</f>
        <v>100</v>
      </c>
      <c r="M278" s="3" t="b">
        <f>K278 = 0</f>
        <v>1</v>
      </c>
      <c r="N278" s="3" t="str">
        <f>IF(M278, "", D278)</f>
      </c>
      <c r="O278" s="3" t="str">
        <f>IF(M278, "", E278)</f>
      </c>
      <c r="P278" s="3">
        <f>COUNTIFS(FieldDisagreements!E2:E999, A278)</f>
        <v>0</v>
      </c>
      <c r="Q278" s="3" t="str">
        <f>_xlfn.IFNA(INDEX(ConformanceSubstrates!C2:C999, MATCH(D278,ConformanceSubstrates!A2:A999, 0)), "")</f>
        <v>Go</v>
      </c>
      <c r="R278" s="3" t="str">
        <f>_xlfn.IFNA(INDEX(RulebookTables!F2:F999, MATCH(E278,RulebookTables!A2:A999, 0)), "")</f>
        <v>domain</v>
      </c>
      <c r="S278" s="2" t="s">
        <v>1898</v>
      </c>
    </row>
    <row r="279">
      <c r="A279" s="2" t="s">
        <v>14286</v>
      </c>
      <c r="B279" s="3" t="str">
        <f>_xlfn.CONCAT(D279, " / ", E279)</f>
        <v>effortless-golang / ProcedureResources</v>
      </c>
      <c r="C279" s="2" t="s">
        <v>13999</v>
      </c>
      <c r="D279" s="2" t="s">
        <v>13969</v>
      </c>
      <c r="E279" s="2" t="s">
        <v>3121</v>
      </c>
      <c r="F279" s="2">
        <v>8</v>
      </c>
      <c r="G279" s="2">
        <v>2</v>
      </c>
      <c r="H279" s="2">
        <v>16</v>
      </c>
      <c r="I279" s="2">
        <v>16</v>
      </c>
      <c r="J279" s="2" t="b">
        <v>0</v>
      </c>
      <c r="K279" s="3">
        <f>H279 - I279</f>
        <v>0</v>
      </c>
      <c r="L279" s="3">
        <f>IF(H279 = 0, 0, ROUND(100 * I279 / H279, 2))</f>
        <v>100</v>
      </c>
      <c r="M279" s="3" t="b">
        <f>K279 = 0</f>
        <v>1</v>
      </c>
      <c r="N279" s="3" t="str">
        <f>IF(M279, "", D279)</f>
      </c>
      <c r="O279" s="3" t="str">
        <f>IF(M279, "", E279)</f>
      </c>
      <c r="P279" s="3">
        <f>COUNTIFS(FieldDisagreements!E2:E999, A279)</f>
        <v>0</v>
      </c>
      <c r="Q279" s="3" t="str">
        <f>_xlfn.IFNA(INDEX(ConformanceSubstrates!C2:C999, MATCH(D279,ConformanceSubstrates!A2:A999, 0)), "")</f>
        <v>Go</v>
      </c>
      <c r="R279" s="3" t="str">
        <f>_xlfn.IFNA(INDEX(RulebookTables!F2:F999, MATCH(E279,RulebookTables!A2:A999, 0)), "")</f>
        <v>specification</v>
      </c>
      <c r="S279" s="2" t="s">
        <v>1898</v>
      </c>
    </row>
    <row r="280">
      <c r="A280" s="2" t="s">
        <v>14287</v>
      </c>
      <c r="B280" s="3" t="str">
        <f>_xlfn.CONCAT(D280, " / ", E280)</f>
        <v>effortless-golang / ElicitationSessions</v>
      </c>
      <c r="C280" s="2" t="s">
        <v>13999</v>
      </c>
      <c r="D280" s="2" t="s">
        <v>13969</v>
      </c>
      <c r="E280" s="2" t="s">
        <v>1835</v>
      </c>
      <c r="F280" s="2">
        <v>3</v>
      </c>
      <c r="G280" s="2">
        <v>10</v>
      </c>
      <c r="H280" s="2">
        <v>30</v>
      </c>
      <c r="I280" s="2">
        <v>25</v>
      </c>
      <c r="J280" s="2" t="b">
        <v>0</v>
      </c>
      <c r="K280" s="3">
        <f>H280 - I280</f>
        <v>5</v>
      </c>
      <c r="L280" s="3">
        <f>IF(H280 = 0, 0, ROUND(100 * I280 / H280, 2))</f>
        <v>83.33</v>
      </c>
      <c r="M280" s="3" t="b">
        <f>K280 = 0</f>
        <v>0</v>
      </c>
      <c r="N280" s="3" t="str">
        <f>IF(M280, "", D280)</f>
        <v>effortless-golang</v>
      </c>
      <c r="O280" s="3" t="str">
        <f>IF(M280, "", E280)</f>
        <v>ElicitationSessions</v>
      </c>
      <c r="P280" s="3">
        <f>COUNTIFS(FieldDisagreements!E2:E999, A280)</f>
        <v>2</v>
      </c>
      <c r="Q280" s="3" t="str">
        <f>_xlfn.IFNA(INDEX(ConformanceSubstrates!C2:C999, MATCH(D280,ConformanceSubstrates!A2:A999, 0)), "")</f>
        <v>Go</v>
      </c>
      <c r="R280" s="3" t="str">
        <f>_xlfn.IFNA(INDEX(RulebookTables!F2:F999, MATCH(E280,RulebookTables!A2:A999, 0)), "")</f>
        <v>knowledge</v>
      </c>
      <c r="S280" s="2" t="s">
        <v>1898</v>
      </c>
    </row>
    <row r="281">
      <c r="A281" s="2" t="s">
        <v>14288</v>
      </c>
      <c r="B281" s="3" t="str">
        <f>_xlfn.CONCAT(D281, " / ", E281)</f>
        <v>effortless-golang / KnowledgeFragments</v>
      </c>
      <c r="C281" s="2" t="s">
        <v>13999</v>
      </c>
      <c r="D281" s="2" t="s">
        <v>13969</v>
      </c>
      <c r="E281" s="2" t="s">
        <v>1831</v>
      </c>
      <c r="F281" s="2">
        <v>7</v>
      </c>
      <c r="G281" s="2">
        <v>65</v>
      </c>
      <c r="H281" s="2">
        <v>455</v>
      </c>
      <c r="I281" s="2">
        <v>445</v>
      </c>
      <c r="J281" s="2" t="b">
        <v>0</v>
      </c>
      <c r="K281" s="3">
        <f>H281 - I281</f>
        <v>10</v>
      </c>
      <c r="L281" s="3">
        <f>IF(H281 = 0, 0, ROUND(100 * I281 / H281, 2))</f>
        <v>97.8</v>
      </c>
      <c r="M281" s="3" t="b">
        <f>K281 = 0</f>
        <v>0</v>
      </c>
      <c r="N281" s="3" t="str">
        <f>IF(M281, "", D281)</f>
        <v>effortless-golang</v>
      </c>
      <c r="O281" s="3" t="str">
        <f>IF(M281, "", E281)</f>
        <v>KnowledgeFragments</v>
      </c>
      <c r="P281" s="3">
        <f>COUNTIFS(FieldDisagreements!E2:E999, A281)</f>
        <v>4</v>
      </c>
      <c r="Q281" s="3" t="str">
        <f>_xlfn.IFNA(INDEX(ConformanceSubstrates!C2:C999, MATCH(D281,ConformanceSubstrates!A2:A999, 0)), "")</f>
        <v>Go</v>
      </c>
      <c r="R281" s="3" t="str">
        <f>_xlfn.IFNA(INDEX(RulebookTables!F2:F999, MATCH(E281,RulebookTables!A2:A999, 0)), "")</f>
        <v>knowledge</v>
      </c>
      <c r="S281" s="2" t="s">
        <v>1898</v>
      </c>
    </row>
    <row r="282">
      <c r="A282" s="2" t="s">
        <v>14289</v>
      </c>
      <c r="B282" s="3" t="str">
        <f>_xlfn.CONCAT(D282, " / ", E282)</f>
        <v>effortless-golang / KnowledgeGaps</v>
      </c>
      <c r="C282" s="2" t="s">
        <v>13999</v>
      </c>
      <c r="D282" s="2" t="s">
        <v>13969</v>
      </c>
      <c r="E282" s="2" t="s">
        <v>3302</v>
      </c>
      <c r="F282" s="2">
        <v>8</v>
      </c>
      <c r="G282" s="2">
        <v>16</v>
      </c>
      <c r="H282" s="2">
        <v>128</v>
      </c>
      <c r="I282" s="2">
        <v>127</v>
      </c>
      <c r="J282" s="2" t="b">
        <v>0</v>
      </c>
      <c r="K282" s="3">
        <f>H282 - I282</f>
        <v>1</v>
      </c>
      <c r="L282" s="3">
        <f>IF(H282 = 0, 0, ROUND(100 * I282 / H282, 2))</f>
        <v>99.22</v>
      </c>
      <c r="M282" s="3" t="b">
        <f>K282 = 0</f>
        <v>0</v>
      </c>
      <c r="N282" s="3" t="str">
        <f>IF(M282, "", D282)</f>
        <v>effortless-golang</v>
      </c>
      <c r="O282" s="3" t="str">
        <f>IF(M282, "", E282)</f>
        <v>KnowledgeGaps</v>
      </c>
      <c r="P282" s="3">
        <f>COUNTIFS(FieldDisagreements!E2:E999, A282)</f>
        <v>1</v>
      </c>
      <c r="Q282" s="3" t="str">
        <f>_xlfn.IFNA(INDEX(ConformanceSubstrates!C2:C999, MATCH(D282,ConformanceSubstrates!A2:A999, 0)), "")</f>
        <v>Go</v>
      </c>
      <c r="R282" s="3" t="str">
        <f>_xlfn.IFNA(INDEX(RulebookTables!F2:F999, MATCH(E282,RulebookTables!A2:A999, 0)), "")</f>
        <v>knowledge</v>
      </c>
      <c r="S282" s="2" t="s">
        <v>1898</v>
      </c>
    </row>
    <row r="283">
      <c r="A283" s="2" t="s">
        <v>14290</v>
      </c>
      <c r="B283" s="3" t="str">
        <f>_xlfn.CONCAT(D283, " / ", E283)</f>
        <v>effortless-golang / FAQs</v>
      </c>
      <c r="C283" s="2" t="s">
        <v>13999</v>
      </c>
      <c r="D283" s="2" t="s">
        <v>13969</v>
      </c>
      <c r="E283" s="2" t="s">
        <v>1825</v>
      </c>
      <c r="F283" s="2">
        <v>3</v>
      </c>
      <c r="G283" s="2">
        <v>1</v>
      </c>
      <c r="H283" s="2">
        <v>3</v>
      </c>
      <c r="I283" s="2">
        <v>3</v>
      </c>
      <c r="J283" s="2" t="b">
        <v>0</v>
      </c>
      <c r="K283" s="3">
        <f>H283 - I283</f>
        <v>0</v>
      </c>
      <c r="L283" s="3">
        <f>IF(H283 = 0, 0, ROUND(100 * I283 / H283, 2))</f>
        <v>100</v>
      </c>
      <c r="M283" s="3" t="b">
        <f>K283 = 0</f>
        <v>1</v>
      </c>
      <c r="N283" s="3" t="str">
        <f>IF(M283, "", D283)</f>
      </c>
      <c r="O283" s="3" t="str">
        <f>IF(M283, "", E283)</f>
      </c>
      <c r="P283" s="3">
        <f>COUNTIFS(FieldDisagreements!E2:E999, A283)</f>
        <v>0</v>
      </c>
      <c r="Q283" s="3" t="str">
        <f>_xlfn.IFNA(INDEX(ConformanceSubstrates!C2:C999, MATCH(D283,ConformanceSubstrates!A2:A999, 0)), "")</f>
        <v>Go</v>
      </c>
      <c r="R283" s="3" t="str">
        <f>_xlfn.IFNA(INDEX(RulebookTables!F2:F999, MATCH(E283,RulebookTables!A2:A999, 0)), "")</f>
        <v>knowledge</v>
      </c>
      <c r="S283" s="2" t="s">
        <v>1898</v>
      </c>
    </row>
    <row r="284">
      <c r="A284" s="2" t="s">
        <v>14291</v>
      </c>
      <c r="B284" s="3" t="str">
        <f>_xlfn.CONCAT(D284, " / ", E284)</f>
        <v>effortless-golang / Explanations</v>
      </c>
      <c r="C284" s="2" t="s">
        <v>13999</v>
      </c>
      <c r="D284" s="2" t="s">
        <v>13969</v>
      </c>
      <c r="E284" s="2" t="s">
        <v>1828</v>
      </c>
      <c r="F284" s="2">
        <v>2</v>
      </c>
      <c r="G284" s="2">
        <v>1</v>
      </c>
      <c r="H284" s="2">
        <v>2</v>
      </c>
      <c r="I284" s="2">
        <v>2</v>
      </c>
      <c r="J284" s="2" t="b">
        <v>0</v>
      </c>
      <c r="K284" s="3">
        <f>H284 - I284</f>
        <v>0</v>
      </c>
      <c r="L284" s="3">
        <f>IF(H284 = 0, 0, ROUND(100 * I284 / H284, 2))</f>
        <v>100</v>
      </c>
      <c r="M284" s="3" t="b">
        <f>K284 = 0</f>
        <v>1</v>
      </c>
      <c r="N284" s="3" t="str">
        <f>IF(M284, "", D284)</f>
      </c>
      <c r="O284" s="3" t="str">
        <f>IF(M284, "", E284)</f>
      </c>
      <c r="P284" s="3">
        <f>COUNTIFS(FieldDisagreements!E2:E999, A284)</f>
        <v>0</v>
      </c>
      <c r="Q284" s="3" t="str">
        <f>_xlfn.IFNA(INDEX(ConformanceSubstrates!C2:C999, MATCH(D284,ConformanceSubstrates!A2:A999, 0)), "")</f>
        <v>Go</v>
      </c>
      <c r="R284" s="3" t="str">
        <f>_xlfn.IFNA(INDEX(RulebookTables!F2:F999, MATCH(E284,RulebookTables!A2:A999, 0)), "")</f>
        <v>knowledge</v>
      </c>
      <c r="S284" s="2" t="s">
        <v>1898</v>
      </c>
    </row>
    <row r="285">
      <c r="A285" s="2" t="s">
        <v>14292</v>
      </c>
      <c r="B285" s="3" t="str">
        <f>_xlfn.CONCAT(D285, " / ", E285)</f>
        <v>effortless-golang / ProcedureExecutions</v>
      </c>
      <c r="C285" s="2" t="s">
        <v>13999</v>
      </c>
      <c r="D285" s="2" t="s">
        <v>13969</v>
      </c>
      <c r="E285" s="2" t="s">
        <v>1804</v>
      </c>
      <c r="F285" s="2">
        <v>2</v>
      </c>
      <c r="G285" s="2">
        <v>69</v>
      </c>
      <c r="H285" s="2">
        <v>138</v>
      </c>
      <c r="I285" s="2">
        <v>138</v>
      </c>
      <c r="J285" s="2" t="b">
        <v>0</v>
      </c>
      <c r="K285" s="3">
        <f>H285 - I285</f>
        <v>0</v>
      </c>
      <c r="L285" s="3">
        <f>IF(H285 = 0, 0, ROUND(100 * I285 / H285, 2))</f>
        <v>100</v>
      </c>
      <c r="M285" s="3" t="b">
        <f>K285 = 0</f>
        <v>1</v>
      </c>
      <c r="N285" s="3" t="str">
        <f>IF(M285, "", D285)</f>
      </c>
      <c r="O285" s="3" t="str">
        <f>IF(M285, "", E285)</f>
      </c>
      <c r="P285" s="3">
        <f>COUNTIFS(FieldDisagreements!E2:E999, A285)</f>
        <v>0</v>
      </c>
      <c r="Q285" s="3" t="str">
        <f>_xlfn.IFNA(INDEX(ConformanceSubstrates!C2:C999, MATCH(D285,ConformanceSubstrates!A2:A999, 0)), "")</f>
        <v>Go</v>
      </c>
      <c r="R285" s="3" t="str">
        <f>_xlfn.IFNA(INDEX(RulebookTables!F2:F999, MATCH(E285,RulebookTables!A2:A999, 0)), "")</f>
        <v>specification</v>
      </c>
      <c r="S285" s="2" t="s">
        <v>1898</v>
      </c>
    </row>
    <row r="286">
      <c r="A286" s="2" t="s">
        <v>14293</v>
      </c>
      <c r="B286" s="3" t="str">
        <f>_xlfn.CONCAT(D286, " / ", E286)</f>
        <v>effortless-golang / StepExecutions</v>
      </c>
      <c r="C286" s="2" t="s">
        <v>13999</v>
      </c>
      <c r="D286" s="2" t="s">
        <v>13969</v>
      </c>
      <c r="E286" s="2" t="s">
        <v>1807</v>
      </c>
      <c r="F286" s="2">
        <v>12</v>
      </c>
      <c r="G286" s="2">
        <v>99</v>
      </c>
      <c r="H286" s="2">
        <v>1188</v>
      </c>
      <c r="I286" s="2">
        <v>1188</v>
      </c>
      <c r="J286" s="2" t="b">
        <v>0</v>
      </c>
      <c r="K286" s="3">
        <f>H286 - I286</f>
        <v>0</v>
      </c>
      <c r="L286" s="3">
        <f>IF(H286 = 0, 0, ROUND(100 * I286 / H286, 2))</f>
        <v>100</v>
      </c>
      <c r="M286" s="3" t="b">
        <f>K286 = 0</f>
        <v>1</v>
      </c>
      <c r="N286" s="3" t="str">
        <f>IF(M286, "", D286)</f>
      </c>
      <c r="O286" s="3" t="str">
        <f>IF(M286, "", E286)</f>
      </c>
      <c r="P286" s="3">
        <f>COUNTIFS(FieldDisagreements!E2:E999, A286)</f>
        <v>0</v>
      </c>
      <c r="Q286" s="3" t="str">
        <f>_xlfn.IFNA(INDEX(ConformanceSubstrates!C2:C999, MATCH(D286,ConformanceSubstrates!A2:A999, 0)), "")</f>
        <v>Go</v>
      </c>
      <c r="R286" s="3" t="str">
        <f>_xlfn.IFNA(INDEX(RulebookTables!F2:F999, MATCH(E286,RulebookTables!A2:A999, 0)), "")</f>
        <v>specification</v>
      </c>
      <c r="S286" s="2" t="s">
        <v>1898</v>
      </c>
    </row>
    <row r="287">
      <c r="A287" s="2" t="s">
        <v>14294</v>
      </c>
      <c r="B287" s="3" t="str">
        <f>_xlfn.CONCAT(D287, " / ", E287)</f>
        <v>effortless-golang / RequirementSatisfactions</v>
      </c>
      <c r="C287" s="2" t="s">
        <v>13999</v>
      </c>
      <c r="D287" s="2" t="s">
        <v>13969</v>
      </c>
      <c r="E287" s="2" t="s">
        <v>1810</v>
      </c>
      <c r="F287" s="2">
        <v>8</v>
      </c>
      <c r="G287" s="2">
        <v>38</v>
      </c>
      <c r="H287" s="2">
        <v>304</v>
      </c>
      <c r="I287" s="2">
        <v>304</v>
      </c>
      <c r="J287" s="2" t="b">
        <v>0</v>
      </c>
      <c r="K287" s="3">
        <f>H287 - I287</f>
        <v>0</v>
      </c>
      <c r="L287" s="3">
        <f>IF(H287 = 0, 0, ROUND(100 * I287 / H287, 2))</f>
        <v>100</v>
      </c>
      <c r="M287" s="3" t="b">
        <f>K287 = 0</f>
        <v>1</v>
      </c>
      <c r="N287" s="3" t="str">
        <f>IF(M287, "", D287)</f>
      </c>
      <c r="O287" s="3" t="str">
        <f>IF(M287, "", E287)</f>
      </c>
      <c r="P287" s="3">
        <f>COUNTIFS(FieldDisagreements!E2:E999, A287)</f>
        <v>0</v>
      </c>
      <c r="Q287" s="3" t="str">
        <f>_xlfn.IFNA(INDEX(ConformanceSubstrates!C2:C999, MATCH(D287,ConformanceSubstrates!A2:A999, 0)), "")</f>
        <v>Go</v>
      </c>
      <c r="R287" s="3" t="str">
        <f>_xlfn.IFNA(INDEX(RulebookTables!F2:F999, MATCH(E287,RulebookTables!A2:A999, 0)), "")</f>
        <v>execution</v>
      </c>
      <c r="S287" s="2" t="s">
        <v>1898</v>
      </c>
    </row>
    <row r="288">
      <c r="A288" s="2" t="s">
        <v>14295</v>
      </c>
      <c r="B288" s="3" t="str">
        <f>_xlfn.CONCAT(D288, " / ", E288)</f>
        <v>effortless-golang / Errors</v>
      </c>
      <c r="C288" s="2" t="s">
        <v>13999</v>
      </c>
      <c r="D288" s="2" t="s">
        <v>13969</v>
      </c>
      <c r="E288" s="2" t="s">
        <v>1813</v>
      </c>
      <c r="F288" s="2">
        <v>2</v>
      </c>
      <c r="G288" s="2">
        <v>1</v>
      </c>
      <c r="H288" s="2">
        <v>2</v>
      </c>
      <c r="I288" s="2">
        <v>2</v>
      </c>
      <c r="J288" s="2" t="b">
        <v>0</v>
      </c>
      <c r="K288" s="3">
        <f>H288 - I288</f>
        <v>0</v>
      </c>
      <c r="L288" s="3">
        <f>IF(H288 = 0, 0, ROUND(100 * I288 / H288, 2))</f>
        <v>100</v>
      </c>
      <c r="M288" s="3" t="b">
        <f>K288 = 0</f>
        <v>1</v>
      </c>
      <c r="N288" s="3" t="str">
        <f>IF(M288, "", D288)</f>
      </c>
      <c r="O288" s="3" t="str">
        <f>IF(M288, "", E288)</f>
      </c>
      <c r="P288" s="3">
        <f>COUNTIFS(FieldDisagreements!E2:E999, A288)</f>
        <v>0</v>
      </c>
      <c r="Q288" s="3" t="str">
        <f>_xlfn.IFNA(INDEX(ConformanceSubstrates!C2:C999, MATCH(D288,ConformanceSubstrates!A2:A999, 0)), "")</f>
        <v>Go</v>
      </c>
      <c r="R288" s="3" t="str">
        <f>_xlfn.IFNA(INDEX(RulebookTables!F2:F999, MATCH(E288,RulebookTables!A2:A999, 0)), "")</f>
        <v>execution</v>
      </c>
      <c r="S288" s="2" t="s">
        <v>1898</v>
      </c>
    </row>
    <row r="289">
      <c r="A289" s="2" t="s">
        <v>14296</v>
      </c>
      <c r="B289" s="3" t="str">
        <f>_xlfn.CONCAT(D289, " / ", E289)</f>
        <v>effortless-golang / IssueOccurrences</v>
      </c>
      <c r="C289" s="2" t="s">
        <v>13999</v>
      </c>
      <c r="D289" s="2" t="s">
        <v>13969</v>
      </c>
      <c r="E289" s="2" t="s">
        <v>1816</v>
      </c>
      <c r="F289" s="2">
        <v>2</v>
      </c>
      <c r="G289" s="2">
        <v>3</v>
      </c>
      <c r="H289" s="2">
        <v>6</v>
      </c>
      <c r="I289" s="2">
        <v>4</v>
      </c>
      <c r="J289" s="2" t="b">
        <v>0</v>
      </c>
      <c r="K289" s="3">
        <f>H289 - I289</f>
        <v>2</v>
      </c>
      <c r="L289" s="3">
        <f>IF(H289 = 0, 0, ROUND(100 * I289 / H289, 2))</f>
        <v>66.67</v>
      </c>
      <c r="M289" s="3" t="b">
        <f>K289 = 0</f>
        <v>0</v>
      </c>
      <c r="N289" s="3" t="str">
        <f>IF(M289, "", D289)</f>
        <v>effortless-golang</v>
      </c>
      <c r="O289" s="3" t="str">
        <f>IF(M289, "", E289)</f>
        <v>IssueOccurrences</v>
      </c>
      <c r="P289" s="3">
        <f>COUNTIFS(FieldDisagreements!E2:E999, A289)</f>
        <v>1</v>
      </c>
      <c r="Q289" s="3" t="str">
        <f>_xlfn.IFNA(INDEX(ConformanceSubstrates!C2:C999, MATCH(D289,ConformanceSubstrates!A2:A999, 0)), "")</f>
        <v>Go</v>
      </c>
      <c r="R289" s="3" t="str">
        <f>_xlfn.IFNA(INDEX(RulebookTables!F2:F999, MATCH(E289,RulebookTables!A2:A999, 0)), "")</f>
        <v>execution</v>
      </c>
      <c r="S289" s="2" t="s">
        <v>1898</v>
      </c>
    </row>
    <row r="290">
      <c r="A290" s="2" t="s">
        <v>14297</v>
      </c>
      <c r="B290" s="3" t="str">
        <f>_xlfn.CONCAT(D290, " / ", E290)</f>
        <v>effortless-golang / UserQuestions</v>
      </c>
      <c r="C290" s="2" t="s">
        <v>13999</v>
      </c>
      <c r="D290" s="2" t="s">
        <v>13969</v>
      </c>
      <c r="E290" s="2" t="s">
        <v>1819</v>
      </c>
      <c r="F290" s="2">
        <v>2</v>
      </c>
      <c r="G290" s="2">
        <v>1</v>
      </c>
      <c r="H290" s="2">
        <v>2</v>
      </c>
      <c r="I290" s="2">
        <v>2</v>
      </c>
      <c r="J290" s="2" t="b">
        <v>0</v>
      </c>
      <c r="K290" s="3">
        <f>H290 - I290</f>
        <v>0</v>
      </c>
      <c r="L290" s="3">
        <f>IF(H290 = 0, 0, ROUND(100 * I290 / H290, 2))</f>
        <v>100</v>
      </c>
      <c r="M290" s="3" t="b">
        <f>K290 = 0</f>
        <v>1</v>
      </c>
      <c r="N290" s="3" t="str">
        <f>IF(M290, "", D290)</f>
      </c>
      <c r="O290" s="3" t="str">
        <f>IF(M290, "", E290)</f>
      </c>
      <c r="P290" s="3">
        <f>COUNTIFS(FieldDisagreements!E2:E999, A290)</f>
        <v>0</v>
      </c>
      <c r="Q290" s="3" t="str">
        <f>_xlfn.IFNA(INDEX(ConformanceSubstrates!C2:C999, MATCH(D290,ConformanceSubstrates!A2:A999, 0)), "")</f>
        <v>Go</v>
      </c>
      <c r="R290" s="3" t="str">
        <f>_xlfn.IFNA(INDEX(RulebookTables!F2:F999, MATCH(E290,RulebookTables!A2:A999, 0)), "")</f>
        <v>domain</v>
      </c>
      <c r="S290" s="2" t="s">
        <v>1898</v>
      </c>
    </row>
    <row r="291">
      <c r="A291" s="2" t="s">
        <v>14298</v>
      </c>
      <c r="B291" s="3" t="str">
        <f>_xlfn.CONCAT(D291, " / ", E291)</f>
        <v>effortless-golang / UserFeedback</v>
      </c>
      <c r="C291" s="2" t="s">
        <v>13999</v>
      </c>
      <c r="D291" s="2" t="s">
        <v>13969</v>
      </c>
      <c r="E291" s="2" t="s">
        <v>1822</v>
      </c>
      <c r="F291" s="2">
        <v>2</v>
      </c>
      <c r="G291" s="2">
        <v>1</v>
      </c>
      <c r="H291" s="2">
        <v>2</v>
      </c>
      <c r="I291" s="2">
        <v>2</v>
      </c>
      <c r="J291" s="2" t="b">
        <v>0</v>
      </c>
      <c r="K291" s="3">
        <f>H291 - I291</f>
        <v>0</v>
      </c>
      <c r="L291" s="3">
        <f>IF(H291 = 0, 0, ROUND(100 * I291 / H291, 2))</f>
        <v>100</v>
      </c>
      <c r="M291" s="3" t="b">
        <f>K291 = 0</f>
        <v>1</v>
      </c>
      <c r="N291" s="3" t="str">
        <f>IF(M291, "", D291)</f>
      </c>
      <c r="O291" s="3" t="str">
        <f>IF(M291, "", E291)</f>
      </c>
      <c r="P291" s="3">
        <f>COUNTIFS(FieldDisagreements!E2:E999, A291)</f>
        <v>0</v>
      </c>
      <c r="Q291" s="3" t="str">
        <f>_xlfn.IFNA(INDEX(ConformanceSubstrates!C2:C999, MATCH(D291,ConformanceSubstrates!A2:A999, 0)), "")</f>
        <v>Go</v>
      </c>
      <c r="R291" s="3" t="str">
        <f>_xlfn.IFNA(INDEX(RulebookTables!F2:F999, MATCH(E291,RulebookTables!A2:A999, 0)), "")</f>
        <v>domain</v>
      </c>
      <c r="S291" s="2" t="s">
        <v>1898</v>
      </c>
    </row>
    <row r="292">
      <c r="A292" s="2" t="s">
        <v>14299</v>
      </c>
      <c r="B292" s="3" t="str">
        <f>_xlfn.CONCAT(D292, " / ", E292)</f>
        <v>effortless-golang / StewardshipAssignments</v>
      </c>
      <c r="C292" s="2" t="s">
        <v>13999</v>
      </c>
      <c r="D292" s="2" t="s">
        <v>13969</v>
      </c>
      <c r="E292" s="2" t="s">
        <v>1839</v>
      </c>
      <c r="F292" s="2">
        <v>2</v>
      </c>
      <c r="G292" s="2">
        <v>5</v>
      </c>
      <c r="H292" s="2">
        <v>10</v>
      </c>
      <c r="I292" s="2">
        <v>10</v>
      </c>
      <c r="J292" s="2" t="b">
        <v>0</v>
      </c>
      <c r="K292" s="3">
        <f>H292 - I292</f>
        <v>0</v>
      </c>
      <c r="L292" s="3">
        <f>IF(H292 = 0, 0, ROUND(100 * I292 / H292, 2))</f>
        <v>100</v>
      </c>
      <c r="M292" s="3" t="b">
        <f>K292 = 0</f>
        <v>1</v>
      </c>
      <c r="N292" s="3" t="str">
        <f>IF(M292, "", D292)</f>
      </c>
      <c r="O292" s="3" t="str">
        <f>IF(M292, "", E292)</f>
      </c>
      <c r="P292" s="3">
        <f>COUNTIFS(FieldDisagreements!E2:E999, A292)</f>
        <v>0</v>
      </c>
      <c r="Q292" s="3" t="str">
        <f>_xlfn.IFNA(INDEX(ConformanceSubstrates!C2:C999, MATCH(D292,ConformanceSubstrates!A2:A999, 0)), "")</f>
        <v>Go</v>
      </c>
      <c r="R292" s="3" t="str">
        <f>_xlfn.IFNA(INDEX(RulebookTables!F2:F999, MATCH(E292,RulebookTables!A2:A999, 0)), "")</f>
        <v>org</v>
      </c>
      <c r="S292" s="2" t="s">
        <v>1898</v>
      </c>
    </row>
    <row r="293">
      <c r="A293" s="2" t="s">
        <v>14300</v>
      </c>
      <c r="B293" s="3" t="str">
        <f>_xlfn.CONCAT(D293, " / ", E293)</f>
        <v>effortless-golang / ChangeRequests</v>
      </c>
      <c r="C293" s="2" t="s">
        <v>13999</v>
      </c>
      <c r="D293" s="2" t="s">
        <v>13969</v>
      </c>
      <c r="E293" s="2" t="s">
        <v>3848</v>
      </c>
      <c r="F293" s="2">
        <v>2</v>
      </c>
      <c r="G293" s="2">
        <v>32</v>
      </c>
      <c r="H293" s="2">
        <v>64</v>
      </c>
      <c r="I293" s="2">
        <v>62</v>
      </c>
      <c r="J293" s="2" t="b">
        <v>0</v>
      </c>
      <c r="K293" s="3">
        <f>H293 - I293</f>
        <v>2</v>
      </c>
      <c r="L293" s="3">
        <f>IF(H293 = 0, 0, ROUND(100 * I293 / H293, 2))</f>
        <v>96.88</v>
      </c>
      <c r="M293" s="3" t="b">
        <f>K293 = 0</f>
        <v>0</v>
      </c>
      <c r="N293" s="3" t="str">
        <f>IF(M293, "", D293)</f>
        <v>effortless-golang</v>
      </c>
      <c r="O293" s="3" t="str">
        <f>IF(M293, "", E293)</f>
        <v>ChangeRequests</v>
      </c>
      <c r="P293" s="3">
        <f>COUNTIFS(FieldDisagreements!E2:E999, A293)</f>
        <v>2</v>
      </c>
      <c r="Q293" s="3" t="str">
        <f>_xlfn.IFNA(INDEX(ConformanceSubstrates!C2:C999, MATCH(D293,ConformanceSubstrates!A2:A999, 0)), "")</f>
        <v>Go</v>
      </c>
      <c r="R293" s="3" t="str">
        <f>_xlfn.IFNA(INDEX(RulebookTables!F2:F999, MATCH(E293,RulebookTables!A2:A999, 0)), "")</f>
        <v>domain</v>
      </c>
      <c r="S293" s="2" t="s">
        <v>1898</v>
      </c>
    </row>
    <row r="294">
      <c r="A294" s="2" t="s">
        <v>14301</v>
      </c>
      <c r="B294" s="3" t="str">
        <f>_xlfn.CONCAT(D294, " / ", E294)</f>
        <v>effortless-golang / ReviewEvents</v>
      </c>
      <c r="C294" s="2" t="s">
        <v>13999</v>
      </c>
      <c r="D294" s="2" t="s">
        <v>13969</v>
      </c>
      <c r="E294" s="2" t="s">
        <v>3922</v>
      </c>
      <c r="F294" s="2">
        <v>3</v>
      </c>
      <c r="G294" s="2">
        <v>10</v>
      </c>
      <c r="H294" s="2">
        <v>30</v>
      </c>
      <c r="I294" s="2">
        <v>24</v>
      </c>
      <c r="J294" s="2" t="b">
        <v>0</v>
      </c>
      <c r="K294" s="3">
        <f>H294 - I294</f>
        <v>6</v>
      </c>
      <c r="L294" s="3">
        <f>IF(H294 = 0, 0, ROUND(100 * I294 / H294, 2))</f>
        <v>80</v>
      </c>
      <c r="M294" s="3" t="b">
        <f>K294 = 0</f>
        <v>0</v>
      </c>
      <c r="N294" s="3" t="str">
        <f>IF(M294, "", D294)</f>
        <v>effortless-golang</v>
      </c>
      <c r="O294" s="3" t="str">
        <f>IF(M294, "", E294)</f>
        <v>ReviewEvents</v>
      </c>
      <c r="P294" s="3">
        <f>COUNTIFS(FieldDisagreements!E2:E999, A294)</f>
        <v>2</v>
      </c>
      <c r="Q294" s="3" t="str">
        <f>_xlfn.IFNA(INDEX(ConformanceSubstrates!C2:C999, MATCH(D294,ConformanceSubstrates!A2:A999, 0)), "")</f>
        <v>Go</v>
      </c>
      <c r="R294" s="3" t="str">
        <f>_xlfn.IFNA(INDEX(RulebookTables!F2:F999, MATCH(E294,RulebookTables!A2:A999, 0)), "")</f>
        <v>domain</v>
      </c>
      <c r="S294" s="2" t="s">
        <v>1898</v>
      </c>
    </row>
    <row r="295">
      <c r="A295" s="2" t="s">
        <v>14302</v>
      </c>
      <c r="B295" s="3" t="str">
        <f>_xlfn.CONCAT(D295, " / ", E295)</f>
        <v>effortless-golang / LearningActivities</v>
      </c>
      <c r="C295" s="2" t="s">
        <v>13999</v>
      </c>
      <c r="D295" s="2" t="s">
        <v>13969</v>
      </c>
      <c r="E295" s="2" t="s">
        <v>3951</v>
      </c>
      <c r="F295" s="2">
        <v>2</v>
      </c>
      <c r="G295" s="2">
        <v>1</v>
      </c>
      <c r="H295" s="2">
        <v>2</v>
      </c>
      <c r="I295" s="2">
        <v>0</v>
      </c>
      <c r="J295" s="2" t="b">
        <v>0</v>
      </c>
      <c r="K295" s="3">
        <f>H295 - I295</f>
        <v>2</v>
      </c>
      <c r="L295" s="3">
        <f>IF(H295 = 0, 0, ROUND(100 * I295 / H295, 2))</f>
        <v>0</v>
      </c>
      <c r="M295" s="3" t="b">
        <f>K295 = 0</f>
        <v>0</v>
      </c>
      <c r="N295" s="3" t="str">
        <f>IF(M295, "", D295)</f>
        <v>effortless-golang</v>
      </c>
      <c r="O295" s="3" t="str">
        <f>IF(M295, "", E295)</f>
        <v>LearningActivities</v>
      </c>
      <c r="P295" s="3">
        <f>COUNTIFS(FieldDisagreements!E2:E999, A295)</f>
        <v>1</v>
      </c>
      <c r="Q295" s="3" t="str">
        <f>_xlfn.IFNA(INDEX(ConformanceSubstrates!C2:C999, MATCH(D295,ConformanceSubstrates!A2:A999, 0)), "")</f>
        <v>Go</v>
      </c>
      <c r="R295" s="3" t="str">
        <f>_xlfn.IFNA(INDEX(RulebookTables!F2:F999, MATCH(E295,RulebookTables!A2:A999, 0)), "")</f>
        <v>domain</v>
      </c>
      <c r="S295" s="2" t="s">
        <v>1898</v>
      </c>
    </row>
    <row r="296">
      <c r="A296" s="2" t="s">
        <v>14303</v>
      </c>
      <c r="B296" s="3" t="str">
        <f>_xlfn.CONCAT(D296, " / ", E296)</f>
        <v>effortless-golang / OperationalBindings</v>
      </c>
      <c r="C296" s="2" t="s">
        <v>13999</v>
      </c>
      <c r="D296" s="2" t="s">
        <v>13969</v>
      </c>
      <c r="E296" s="2" t="s">
        <v>1842</v>
      </c>
      <c r="F296" s="2">
        <v>5</v>
      </c>
      <c r="G296" s="2">
        <v>11</v>
      </c>
      <c r="H296" s="2">
        <v>55</v>
      </c>
      <c r="I296" s="2">
        <v>55</v>
      </c>
      <c r="J296" s="2" t="b">
        <v>0</v>
      </c>
      <c r="K296" s="3">
        <f>H296 - I296</f>
        <v>0</v>
      </c>
      <c r="L296" s="3">
        <f>IF(H296 = 0, 0, ROUND(100 * I296 / H296, 2))</f>
        <v>100</v>
      </c>
      <c r="M296" s="3" t="b">
        <f>K296 = 0</f>
        <v>1</v>
      </c>
      <c r="N296" s="3" t="str">
        <f>IF(M296, "", D296)</f>
      </c>
      <c r="O296" s="3" t="str">
        <f>IF(M296, "", E296)</f>
      </c>
      <c r="P296" s="3">
        <f>COUNTIFS(FieldDisagreements!E2:E999, A296)</f>
        <v>0</v>
      </c>
      <c r="Q296" s="3" t="str">
        <f>_xlfn.IFNA(INDEX(ConformanceSubstrates!C2:C999, MATCH(D296,ConformanceSubstrates!A2:A999, 0)), "")</f>
        <v>Go</v>
      </c>
      <c r="R296" s="3" t="str">
        <f>_xlfn.IFNA(INDEX(RulebookTables!F2:F999, MATCH(E296,RulebookTables!A2:A999, 0)), "")</f>
        <v>domain</v>
      </c>
      <c r="S296" s="2" t="s">
        <v>1898</v>
      </c>
    </row>
    <row r="297">
      <c r="A297" s="2" t="s">
        <v>14304</v>
      </c>
      <c r="B297" s="3" t="str">
        <f>_xlfn.CONCAT(D297, " / ", E297)</f>
        <v>effortless-golang / CommunicationPolicies</v>
      </c>
      <c r="C297" s="2" t="s">
        <v>13999</v>
      </c>
      <c r="D297" s="2" t="s">
        <v>13969</v>
      </c>
      <c r="E297" s="2" t="s">
        <v>1845</v>
      </c>
      <c r="F297" s="2">
        <v>2</v>
      </c>
      <c r="G297" s="2">
        <v>4</v>
      </c>
      <c r="H297" s="2">
        <v>8</v>
      </c>
      <c r="I297" s="2">
        <v>8</v>
      </c>
      <c r="J297" s="2" t="b">
        <v>0</v>
      </c>
      <c r="K297" s="3">
        <f>H297 - I297</f>
        <v>0</v>
      </c>
      <c r="L297" s="3">
        <f>IF(H297 = 0, 0, ROUND(100 * I297 / H297, 2))</f>
        <v>100</v>
      </c>
      <c r="M297" s="3" t="b">
        <f>K297 = 0</f>
        <v>1</v>
      </c>
      <c r="N297" s="3" t="str">
        <f>IF(M297, "", D297)</f>
      </c>
      <c r="O297" s="3" t="str">
        <f>IF(M297, "", E297)</f>
      </c>
      <c r="P297" s="3">
        <f>COUNTIFS(FieldDisagreements!E2:E999, A297)</f>
        <v>0</v>
      </c>
      <c r="Q297" s="3" t="str">
        <f>_xlfn.IFNA(INDEX(ConformanceSubstrates!C2:C999, MATCH(D297,ConformanceSubstrates!A2:A999, 0)), "")</f>
        <v>Go</v>
      </c>
      <c r="R297" s="3" t="str">
        <f>_xlfn.IFNA(INDEX(RulebookTables!F2:F999, MATCH(E297,RulebookTables!A2:A999, 0)), "")</f>
        <v>communication</v>
      </c>
      <c r="S297" s="2" t="s">
        <v>1898</v>
      </c>
    </row>
    <row r="298">
      <c r="A298" s="2" t="s">
        <v>14305</v>
      </c>
      <c r="B298" s="3" t="str">
        <f>_xlfn.CONCAT(D298, " / ", E298)</f>
        <v>effortless-golang / MessageTemplates</v>
      </c>
      <c r="C298" s="2" t="s">
        <v>13999</v>
      </c>
      <c r="D298" s="2" t="s">
        <v>13969</v>
      </c>
      <c r="E298" s="2" t="s">
        <v>4021</v>
      </c>
      <c r="F298" s="2">
        <v>2</v>
      </c>
      <c r="G298" s="2">
        <v>16</v>
      </c>
      <c r="H298" s="2">
        <v>32</v>
      </c>
      <c r="I298" s="2">
        <v>32</v>
      </c>
      <c r="J298" s="2" t="b">
        <v>0</v>
      </c>
      <c r="K298" s="3">
        <f>H298 - I298</f>
        <v>0</v>
      </c>
      <c r="L298" s="3">
        <f>IF(H298 = 0, 0, ROUND(100 * I298 / H298, 2))</f>
        <v>100</v>
      </c>
      <c r="M298" s="3" t="b">
        <f>K298 = 0</f>
        <v>1</v>
      </c>
      <c r="N298" s="3" t="str">
        <f>IF(M298, "", D298)</f>
      </c>
      <c r="O298" s="3" t="str">
        <f>IF(M298, "", E298)</f>
      </c>
      <c r="P298" s="3">
        <f>COUNTIFS(FieldDisagreements!E2:E999, A298)</f>
        <v>0</v>
      </c>
      <c r="Q298" s="3" t="str">
        <f>_xlfn.IFNA(INDEX(ConformanceSubstrates!C2:C999, MATCH(D298,ConformanceSubstrates!A2:A999, 0)), "")</f>
        <v>Go</v>
      </c>
      <c r="R298" s="3" t="str">
        <f>_xlfn.IFNA(INDEX(RulebookTables!F2:F999, MATCH(E298,RulebookTables!A2:A999, 0)), "")</f>
        <v>communication</v>
      </c>
      <c r="S298" s="2" t="s">
        <v>1898</v>
      </c>
    </row>
    <row r="299">
      <c r="A299" s="2" t="s">
        <v>14306</v>
      </c>
      <c r="B299" s="3" t="str">
        <f>_xlfn.CONCAT(D299, " / ", E299)</f>
        <v>effortless-golang / SemanticMappings</v>
      </c>
      <c r="C299" s="2" t="s">
        <v>13999</v>
      </c>
      <c r="D299" s="2" t="s">
        <v>13969</v>
      </c>
      <c r="E299" s="2" t="s">
        <v>4064</v>
      </c>
      <c r="F299" s="2">
        <v>47</v>
      </c>
      <c r="G299" s="2">
        <v>1</v>
      </c>
      <c r="H299" s="2">
        <v>47</v>
      </c>
      <c r="I299" s="2">
        <v>47</v>
      </c>
      <c r="J299" s="2" t="b">
        <v>0</v>
      </c>
      <c r="K299" s="3">
        <f>H299 - I299</f>
        <v>0</v>
      </c>
      <c r="L299" s="3">
        <f>IF(H299 = 0, 0, ROUND(100 * I299 / H299, 2))</f>
        <v>100</v>
      </c>
      <c r="M299" s="3" t="b">
        <f>K299 = 0</f>
        <v>1</v>
      </c>
      <c r="N299" s="3" t="str">
        <f>IF(M299, "", D299)</f>
      </c>
      <c r="O299" s="3" t="str">
        <f>IF(M299, "", E299)</f>
      </c>
      <c r="P299" s="3">
        <f>COUNTIFS(FieldDisagreements!E2:E999, A299)</f>
        <v>0</v>
      </c>
      <c r="Q299" s="3" t="str">
        <f>_xlfn.IFNA(INDEX(ConformanceSubstrates!C2:C999, MATCH(D299,ConformanceSubstrates!A2:A999, 0)), "")</f>
        <v>Go</v>
      </c>
      <c r="R299" s="3" t="str">
        <f>_xlfn.IFNA(INDEX(RulebookTables!F2:F999, MATCH(E299,RulebookTables!A2:A999, 0)), "")</f>
        <v>meta</v>
      </c>
      <c r="S299" s="2" t="s">
        <v>1898</v>
      </c>
    </row>
    <row r="300">
      <c r="A300" s="2" t="s">
        <v>14307</v>
      </c>
      <c r="B300" s="3" t="str">
        <f>_xlfn.CONCAT(D300, " / ", E300)</f>
        <v>effortless-golang / WitnessLoops</v>
      </c>
      <c r="C300" s="2" t="s">
        <v>13999</v>
      </c>
      <c r="D300" s="2" t="s">
        <v>13969</v>
      </c>
      <c r="E300" s="2" t="s">
        <v>4074</v>
      </c>
      <c r="F300" s="2">
        <v>3</v>
      </c>
      <c r="G300" s="2">
        <v>3</v>
      </c>
      <c r="H300" s="2">
        <v>9</v>
      </c>
      <c r="I300" s="2">
        <v>9</v>
      </c>
      <c r="J300" s="2" t="b">
        <v>0</v>
      </c>
      <c r="K300" s="3">
        <f>H300 - I300</f>
        <v>0</v>
      </c>
      <c r="L300" s="3">
        <f>IF(H300 = 0, 0, ROUND(100 * I300 / H300, 2))</f>
        <v>100</v>
      </c>
      <c r="M300" s="3" t="b">
        <f>K300 = 0</f>
        <v>1</v>
      </c>
      <c r="N300" s="3" t="str">
        <f>IF(M300, "", D300)</f>
      </c>
      <c r="O300" s="3" t="str">
        <f>IF(M300, "", E300)</f>
      </c>
      <c r="P300" s="3">
        <f>COUNTIFS(FieldDisagreements!E2:E999, A300)</f>
        <v>0</v>
      </c>
      <c r="Q300" s="3" t="str">
        <f>_xlfn.IFNA(INDEX(ConformanceSubstrates!C2:C999, MATCH(D300,ConformanceSubstrates!A2:A999, 0)), "")</f>
        <v>Go</v>
      </c>
      <c r="R300" s="3" t="str">
        <f>_xlfn.IFNA(INDEX(RulebookTables!F2:F999, MATCH(E300,RulebookTables!A2:A999, 0)), "")</f>
        <v>meta</v>
      </c>
      <c r="S300" s="2" t="s">
        <v>1898</v>
      </c>
    </row>
    <row r="301">
      <c r="A301" s="2" t="s">
        <v>14308</v>
      </c>
      <c r="B301" s="3" t="str">
        <f>_xlfn.CONCAT(D301, " / ", E301)</f>
        <v>effortless-golang / RoleQuestions</v>
      </c>
      <c r="C301" s="2" t="s">
        <v>13999</v>
      </c>
      <c r="D301" s="2" t="s">
        <v>13969</v>
      </c>
      <c r="E301" s="2" t="s">
        <v>4091</v>
      </c>
      <c r="F301" s="2">
        <v>109</v>
      </c>
      <c r="G301" s="2">
        <v>3</v>
      </c>
      <c r="H301" s="2">
        <v>327</v>
      </c>
      <c r="I301" s="2">
        <v>327</v>
      </c>
      <c r="J301" s="2" t="b">
        <v>0</v>
      </c>
      <c r="K301" s="3">
        <f>H301 - I301</f>
        <v>0</v>
      </c>
      <c r="L301" s="3">
        <f>IF(H301 = 0, 0, ROUND(100 * I301 / H301, 2))</f>
        <v>100</v>
      </c>
      <c r="M301" s="3" t="b">
        <f>K301 = 0</f>
        <v>1</v>
      </c>
      <c r="N301" s="3" t="str">
        <f>IF(M301, "", D301)</f>
      </c>
      <c r="O301" s="3" t="str">
        <f>IF(M301, "", E301)</f>
      </c>
      <c r="P301" s="3">
        <f>COUNTIFS(FieldDisagreements!E2:E999, A301)</f>
        <v>0</v>
      </c>
      <c r="Q301" s="3" t="str">
        <f>_xlfn.IFNA(INDEX(ConformanceSubstrates!C2:C999, MATCH(D301,ConformanceSubstrates!A2:A999, 0)), "")</f>
        <v>Go</v>
      </c>
      <c r="R301" s="3" t="str">
        <f>_xlfn.IFNA(INDEX(RulebookTables!F2:F999, MATCH(E301,RulebookTables!A2:A999, 0)), "")</f>
        <v>org</v>
      </c>
      <c r="S301" s="2" t="s">
        <v>1898</v>
      </c>
    </row>
    <row r="302">
      <c r="A302" s="2" t="s">
        <v>14309</v>
      </c>
      <c r="B302" s="3" t="str">
        <f>_xlfn.CONCAT(D302, " / ", E302)</f>
        <v>effortless-golang / RulebookFields</v>
      </c>
      <c r="C302" s="2" t="s">
        <v>13999</v>
      </c>
      <c r="D302" s="2" t="s">
        <v>13969</v>
      </c>
      <c r="E302" s="2" t="s">
        <v>4106</v>
      </c>
      <c r="F302" s="2">
        <v>1879</v>
      </c>
      <c r="G302" s="2">
        <v>5</v>
      </c>
      <c r="H302" s="2">
        <v>9395</v>
      </c>
      <c r="I302" s="2">
        <v>9395</v>
      </c>
      <c r="J302" s="2" t="b">
        <v>0</v>
      </c>
      <c r="K302" s="3">
        <f>H302 - I302</f>
        <v>0</v>
      </c>
      <c r="L302" s="3">
        <f>IF(H302 = 0, 0, ROUND(100 * I302 / H302, 2))</f>
        <v>100</v>
      </c>
      <c r="M302" s="3" t="b">
        <f>K302 = 0</f>
        <v>1</v>
      </c>
      <c r="N302" s="3" t="str">
        <f>IF(M302, "", D302)</f>
      </c>
      <c r="O302" s="3" t="str">
        <f>IF(M302, "", E302)</f>
      </c>
      <c r="P302" s="3">
        <f>COUNTIFS(FieldDisagreements!E2:E999, A302)</f>
        <v>0</v>
      </c>
      <c r="Q302" s="3" t="str">
        <f>_xlfn.IFNA(INDEX(ConformanceSubstrates!C2:C999, MATCH(D302,ConformanceSubstrates!A2:A999, 0)), "")</f>
        <v>Go</v>
      </c>
      <c r="R302" s="3" t="str">
        <f>_xlfn.IFNA(INDEX(RulebookTables!F2:F999, MATCH(E302,RulebookTables!A2:A999, 0)), "")</f>
        <v>access-control</v>
      </c>
      <c r="S302" s="2" t="s">
        <v>1898</v>
      </c>
    </row>
    <row r="303">
      <c r="A303" s="2" t="s">
        <v>14310</v>
      </c>
      <c r="B303" s="3" t="str">
        <f>_xlfn.CONCAT(D303, " / ", E303)</f>
        <v>effortless-golang / TestSuites</v>
      </c>
      <c r="C303" s="2" t="s">
        <v>13999</v>
      </c>
      <c r="D303" s="2" t="s">
        <v>13969</v>
      </c>
      <c r="E303" s="2" t="s">
        <v>4125</v>
      </c>
      <c r="F303" s="2">
        <v>6</v>
      </c>
      <c r="G303" s="2">
        <v>5</v>
      </c>
      <c r="H303" s="2">
        <v>30</v>
      </c>
      <c r="I303" s="2">
        <v>30</v>
      </c>
      <c r="J303" s="2" t="b">
        <v>0</v>
      </c>
      <c r="K303" s="3">
        <f>H303 - I303</f>
        <v>0</v>
      </c>
      <c r="L303" s="3">
        <f>IF(H303 = 0, 0, ROUND(100 * I303 / H303, 2))</f>
        <v>100</v>
      </c>
      <c r="M303" s="3" t="b">
        <f>K303 = 0</f>
        <v>1</v>
      </c>
      <c r="N303" s="3" t="str">
        <f>IF(M303, "", D303)</f>
      </c>
      <c r="O303" s="3" t="str">
        <f>IF(M303, "", E303)</f>
      </c>
      <c r="P303" s="3">
        <f>COUNTIFS(FieldDisagreements!E2:E999, A303)</f>
        <v>0</v>
      </c>
      <c r="Q303" s="3" t="str">
        <f>_xlfn.IFNA(INDEX(ConformanceSubstrates!C2:C999, MATCH(D303,ConformanceSubstrates!A2:A999, 0)), "")</f>
        <v>Go</v>
      </c>
      <c r="R303" s="3" t="str">
        <f>_xlfn.IFNA(INDEX(RulebookTables!F2:F999, MATCH(E303,RulebookTables!A2:A999, 0)), "")</f>
        <v>meta</v>
      </c>
      <c r="S303" s="2" t="s">
        <v>1898</v>
      </c>
    </row>
    <row r="304">
      <c r="A304" s="2" t="s">
        <v>14311</v>
      </c>
      <c r="B304" s="3" t="str">
        <f>_xlfn.CONCAT(D304, " / ", E304)</f>
        <v>effortless-golang / TestCases</v>
      </c>
      <c r="C304" s="2" t="s">
        <v>13999</v>
      </c>
      <c r="D304" s="2" t="s">
        <v>13969</v>
      </c>
      <c r="E304" s="2" t="s">
        <v>4143</v>
      </c>
      <c r="F304" s="2">
        <v>1794</v>
      </c>
      <c r="G304" s="2">
        <v>7</v>
      </c>
      <c r="H304" s="2">
        <v>12558</v>
      </c>
      <c r="I304" s="2">
        <v>12558</v>
      </c>
      <c r="J304" s="2" t="b">
        <v>0</v>
      </c>
      <c r="K304" s="3">
        <f>H304 - I304</f>
        <v>0</v>
      </c>
      <c r="L304" s="3">
        <f>IF(H304 = 0, 0, ROUND(100 * I304 / H304, 2))</f>
        <v>100</v>
      </c>
      <c r="M304" s="3" t="b">
        <f>K304 = 0</f>
        <v>1</v>
      </c>
      <c r="N304" s="3" t="str">
        <f>IF(M304, "", D304)</f>
      </c>
      <c r="O304" s="3" t="str">
        <f>IF(M304, "", E304)</f>
      </c>
      <c r="P304" s="3">
        <f>COUNTIFS(FieldDisagreements!E2:E999, A304)</f>
        <v>0</v>
      </c>
      <c r="Q304" s="3" t="str">
        <f>_xlfn.IFNA(INDEX(ConformanceSubstrates!C2:C999, MATCH(D304,ConformanceSubstrates!A2:A999, 0)), "")</f>
        <v>Go</v>
      </c>
      <c r="R304" s="3" t="str">
        <f>_xlfn.IFNA(INDEX(RulebookTables!F2:F999, MATCH(E304,RulebookTables!A2:A999, 0)), "")</f>
        <v>meta</v>
      </c>
      <c r="S304" s="2" t="s">
        <v>1898</v>
      </c>
    </row>
    <row r="305">
      <c r="A305" s="2" t="s">
        <v>14312</v>
      </c>
      <c r="B305" s="3" t="str">
        <f>_xlfn.CONCAT(D305, " / ", E305)</f>
        <v>effortless-golang / ExceptionInvocations</v>
      </c>
      <c r="C305" s="2" t="s">
        <v>13999</v>
      </c>
      <c r="D305" s="2" t="s">
        <v>13969</v>
      </c>
      <c r="E305" s="2" t="s">
        <v>4221</v>
      </c>
      <c r="F305" s="2">
        <v>1</v>
      </c>
      <c r="G305" s="2">
        <v>13</v>
      </c>
      <c r="H305" s="2">
        <v>13</v>
      </c>
      <c r="I305" s="2">
        <v>13</v>
      </c>
      <c r="J305" s="2" t="b">
        <v>0</v>
      </c>
      <c r="K305" s="3">
        <f>H305 - I305</f>
        <v>0</v>
      </c>
      <c r="L305" s="3">
        <f>IF(H305 = 0, 0, ROUND(100 * I305 / H305, 2))</f>
        <v>100</v>
      </c>
      <c r="M305" s="3" t="b">
        <f>K305 = 0</f>
        <v>1</v>
      </c>
      <c r="N305" s="3" t="str">
        <f>IF(M305, "", D305)</f>
      </c>
      <c r="O305" s="3" t="str">
        <f>IF(M305, "", E305)</f>
      </c>
      <c r="P305" s="3">
        <f>COUNTIFS(FieldDisagreements!E2:E999, A305)</f>
        <v>0</v>
      </c>
      <c r="Q305" s="3" t="str">
        <f>_xlfn.IFNA(INDEX(ConformanceSubstrates!C2:C999, MATCH(D305,ConformanceSubstrates!A2:A999, 0)), "")</f>
        <v>Go</v>
      </c>
      <c r="R305" s="3" t="str">
        <f>_xlfn.IFNA(INDEX(RulebookTables!F2:F999, MATCH(E305,RulebookTables!A2:A999, 0)), "")</f>
        <v>governance</v>
      </c>
      <c r="S305" s="2" t="s">
        <v>1898</v>
      </c>
    </row>
    <row r="306">
      <c r="A306" s="2" t="s">
        <v>14313</v>
      </c>
      <c r="B306" s="3" t="str">
        <f>_xlfn.CONCAT(D306, " / ", E306)</f>
        <v>effortless-golang / VerificationOutcomes</v>
      </c>
      <c r="C306" s="2" t="s">
        <v>13999</v>
      </c>
      <c r="D306" s="2" t="s">
        <v>13969</v>
      </c>
      <c r="E306" s="2" t="s">
        <v>4271</v>
      </c>
      <c r="F306" s="2">
        <v>4</v>
      </c>
      <c r="G306" s="2">
        <v>18</v>
      </c>
      <c r="H306" s="2">
        <v>72</v>
      </c>
      <c r="I306" s="2">
        <v>72</v>
      </c>
      <c r="J306" s="2" t="b">
        <v>0</v>
      </c>
      <c r="K306" s="3">
        <f>H306 - I306</f>
        <v>0</v>
      </c>
      <c r="L306" s="3">
        <f>IF(H306 = 0, 0, ROUND(100 * I306 / H306, 2))</f>
        <v>100</v>
      </c>
      <c r="M306" s="3" t="b">
        <f>K306 = 0</f>
        <v>1</v>
      </c>
      <c r="N306" s="3" t="str">
        <f>IF(M306, "", D306)</f>
      </c>
      <c r="O306" s="3" t="str">
        <f>IF(M306, "", E306)</f>
      </c>
      <c r="P306" s="3">
        <f>COUNTIFS(FieldDisagreements!E2:E999, A306)</f>
        <v>0</v>
      </c>
      <c r="Q306" s="3" t="str">
        <f>_xlfn.IFNA(INDEX(ConformanceSubstrates!C2:C999, MATCH(D306,ConformanceSubstrates!A2:A999, 0)), "")</f>
        <v>Go</v>
      </c>
      <c r="R306" s="3" t="str">
        <f>_xlfn.IFNA(INDEX(RulebookTables!F2:F999, MATCH(E306,RulebookTables!A2:A999, 0)), "")</f>
        <v>execution</v>
      </c>
      <c r="S306" s="2" t="s">
        <v>1898</v>
      </c>
    </row>
    <row r="307">
      <c r="A307" s="2" t="s">
        <v>14314</v>
      </c>
      <c r="B307" s="3" t="str">
        <f>_xlfn.CONCAT(D307, " / ", E307)</f>
        <v>effortless-golang / ObservedTransitions</v>
      </c>
      <c r="C307" s="2" t="s">
        <v>13999</v>
      </c>
      <c r="D307" s="2" t="s">
        <v>13969</v>
      </c>
      <c r="E307" s="2" t="s">
        <v>4332</v>
      </c>
      <c r="F307" s="2">
        <v>10</v>
      </c>
      <c r="G307" s="2">
        <v>1</v>
      </c>
      <c r="H307" s="2">
        <v>10</v>
      </c>
      <c r="I307" s="2">
        <v>0</v>
      </c>
      <c r="J307" s="2" t="b">
        <v>0</v>
      </c>
      <c r="K307" s="3">
        <f>H307 - I307</f>
        <v>10</v>
      </c>
      <c r="L307" s="3">
        <f>IF(H307 = 0, 0, ROUND(100 * I307 / H307, 2))</f>
        <v>0</v>
      </c>
      <c r="M307" s="3" t="b">
        <f>K307 = 0</f>
        <v>0</v>
      </c>
      <c r="N307" s="3" t="str">
        <f>IF(M307, "", D307)</f>
        <v>effortless-golang</v>
      </c>
      <c r="O307" s="3" t="str">
        <f>IF(M307, "", E307)</f>
        <v>ObservedTransitions</v>
      </c>
      <c r="P307" s="3">
        <f>COUNTIFS(FieldDisagreements!E2:E999, A307)</f>
        <v>1</v>
      </c>
      <c r="Q307" s="3" t="str">
        <f>_xlfn.IFNA(INDEX(ConformanceSubstrates!C2:C999, MATCH(D307,ConformanceSubstrates!A2:A999, 0)), "")</f>
        <v>Go</v>
      </c>
      <c r="R307" s="3" t="str">
        <f>_xlfn.IFNA(INDEX(RulebookTables!F2:F999, MATCH(E307,RulebookTables!A2:A999, 0)), "")</f>
        <v>specification</v>
      </c>
      <c r="S307" s="2" t="s">
        <v>1898</v>
      </c>
    </row>
    <row r="308">
      <c r="A308" s="2" t="s">
        <v>14315</v>
      </c>
      <c r="B308" s="3" t="str">
        <f>_xlfn.CONCAT(D308, " / ", E308)</f>
        <v>effortless-golang / Recipients</v>
      </c>
      <c r="C308" s="2" t="s">
        <v>13999</v>
      </c>
      <c r="D308" s="2" t="s">
        <v>13969</v>
      </c>
      <c r="E308" s="2" t="s">
        <v>4346</v>
      </c>
      <c r="F308" s="2">
        <v>5</v>
      </c>
      <c r="G308" s="2">
        <v>6</v>
      </c>
      <c r="H308" s="2">
        <v>30</v>
      </c>
      <c r="I308" s="2">
        <v>30</v>
      </c>
      <c r="J308" s="2" t="b">
        <v>0</v>
      </c>
      <c r="K308" s="3">
        <f>H308 - I308</f>
        <v>0</v>
      </c>
      <c r="L308" s="3">
        <f>IF(H308 = 0, 0, ROUND(100 * I308 / H308, 2))</f>
        <v>100</v>
      </c>
      <c r="M308" s="3" t="b">
        <f>K308 = 0</f>
        <v>1</v>
      </c>
      <c r="N308" s="3" t="str">
        <f>IF(M308, "", D308)</f>
      </c>
      <c r="O308" s="3" t="str">
        <f>IF(M308, "", E308)</f>
      </c>
      <c r="P308" s="3">
        <f>COUNTIFS(FieldDisagreements!E2:E999, A308)</f>
        <v>0</v>
      </c>
      <c r="Q308" s="3" t="str">
        <f>_xlfn.IFNA(INDEX(ConformanceSubstrates!C2:C999, MATCH(D308,ConformanceSubstrates!A2:A999, 0)), "")</f>
        <v>Go</v>
      </c>
      <c r="R308" s="3" t="str">
        <f>_xlfn.IFNA(INDEX(RulebookTables!F2:F999, MATCH(E308,RulebookTables!A2:A999, 0)), "")</f>
        <v>communication</v>
      </c>
      <c r="S308" s="2" t="s">
        <v>1898</v>
      </c>
    </row>
    <row r="309">
      <c r="A309" s="2" t="s">
        <v>14316</v>
      </c>
      <c r="B309" s="3" t="str">
        <f>_xlfn.CONCAT(D309, " / ", E309)</f>
        <v>effortless-golang / MessageDeliveries</v>
      </c>
      <c r="C309" s="2" t="s">
        <v>13999</v>
      </c>
      <c r="D309" s="2" t="s">
        <v>13969</v>
      </c>
      <c r="E309" s="2" t="s">
        <v>4378</v>
      </c>
      <c r="F309" s="2">
        <v>6</v>
      </c>
      <c r="G309" s="2">
        <v>74</v>
      </c>
      <c r="H309" s="2">
        <v>444</v>
      </c>
      <c r="I309" s="2">
        <v>420</v>
      </c>
      <c r="J309" s="2" t="b">
        <v>0</v>
      </c>
      <c r="K309" s="3">
        <f>H309 - I309</f>
        <v>24</v>
      </c>
      <c r="L309" s="3">
        <f>IF(H309 = 0, 0, ROUND(100 * I309 / H309, 2))</f>
        <v>94.59</v>
      </c>
      <c r="M309" s="3" t="b">
        <f>K309 = 0</f>
        <v>0</v>
      </c>
      <c r="N309" s="3" t="str">
        <f>IF(M309, "", D309)</f>
        <v>effortless-golang</v>
      </c>
      <c r="O309" s="3" t="str">
        <f>IF(M309, "", E309)</f>
        <v>MessageDeliveries</v>
      </c>
      <c r="P309" s="3">
        <f>COUNTIFS(FieldDisagreements!E2:E999, A309)</f>
        <v>5</v>
      </c>
      <c r="Q309" s="3" t="str">
        <f>_xlfn.IFNA(INDEX(ConformanceSubstrates!C2:C999, MATCH(D309,ConformanceSubstrates!A2:A999, 0)), "")</f>
        <v>Go</v>
      </c>
      <c r="R309" s="3" t="str">
        <f>_xlfn.IFNA(INDEX(RulebookTables!F2:F999, MATCH(E309,RulebookTables!A2:A999, 0)), "")</f>
        <v>communication</v>
      </c>
      <c r="S309" s="2" t="s">
        <v>1898</v>
      </c>
    </row>
    <row r="310">
      <c r="A310" s="2" t="s">
        <v>14317</v>
      </c>
      <c r="B310" s="3" t="str">
        <f>_xlfn.CONCAT(D310, " / ", E310)</f>
        <v>effortless-golang / TemplateApprovals</v>
      </c>
      <c r="C310" s="2" t="s">
        <v>13999</v>
      </c>
      <c r="D310" s="2" t="s">
        <v>13969</v>
      </c>
      <c r="E310" s="2" t="s">
        <v>4632</v>
      </c>
      <c r="F310" s="2">
        <v>2</v>
      </c>
      <c r="G310" s="2">
        <v>6</v>
      </c>
      <c r="H310" s="2">
        <v>12</v>
      </c>
      <c r="I310" s="2">
        <v>10</v>
      </c>
      <c r="J310" s="2" t="b">
        <v>0</v>
      </c>
      <c r="K310" s="3">
        <f>H310 - I310</f>
        <v>2</v>
      </c>
      <c r="L310" s="3">
        <f>IF(H310 = 0, 0, ROUND(100 * I310 / H310, 2))</f>
        <v>83.33</v>
      </c>
      <c r="M310" s="3" t="b">
        <f>K310 = 0</f>
        <v>0</v>
      </c>
      <c r="N310" s="3" t="str">
        <f>IF(M310, "", D310)</f>
        <v>effortless-golang</v>
      </c>
      <c r="O310" s="3" t="str">
        <f>IF(M310, "", E310)</f>
        <v>TemplateApprovals</v>
      </c>
      <c r="P310" s="3">
        <f>COUNTIFS(FieldDisagreements!E2:E999, A310)</f>
        <v>1</v>
      </c>
      <c r="Q310" s="3" t="str">
        <f>_xlfn.IFNA(INDEX(ConformanceSubstrates!C2:C999, MATCH(D310,ConformanceSubstrates!A2:A999, 0)), "")</f>
        <v>Go</v>
      </c>
      <c r="R310" s="3" t="str">
        <f>_xlfn.IFNA(INDEX(RulebookTables!F2:F999, MATCH(E310,RulebookTables!A2:A999, 0)), "")</f>
        <v>communication</v>
      </c>
      <c r="S310" s="2" t="s">
        <v>1898</v>
      </c>
    </row>
    <row r="311">
      <c r="A311" s="2" t="s">
        <v>14318</v>
      </c>
      <c r="B311" s="3" t="str">
        <f>_xlfn.CONCAT(D311, " / ", E311)</f>
        <v>effortless-golang / SendIntents</v>
      </c>
      <c r="C311" s="2" t="s">
        <v>13999</v>
      </c>
      <c r="D311" s="2" t="s">
        <v>13969</v>
      </c>
      <c r="E311" s="2" t="s">
        <v>4662</v>
      </c>
      <c r="F311" s="2">
        <v>7</v>
      </c>
      <c r="G311" s="2">
        <v>79</v>
      </c>
      <c r="H311" s="2">
        <v>553</v>
      </c>
      <c r="I311" s="2">
        <v>546</v>
      </c>
      <c r="J311" s="2" t="b">
        <v>0</v>
      </c>
      <c r="K311" s="3">
        <f>H311 - I311</f>
        <v>7</v>
      </c>
      <c r="L311" s="3">
        <f>IF(H311 = 0, 0, ROUND(100 * I311 / H311, 2))</f>
        <v>98.73</v>
      </c>
      <c r="M311" s="3" t="b">
        <f>K311 = 0</f>
        <v>0</v>
      </c>
      <c r="N311" s="3" t="str">
        <f>IF(M311, "", D311)</f>
        <v>effortless-golang</v>
      </c>
      <c r="O311" s="3" t="str">
        <f>IF(M311, "", E311)</f>
        <v>SendIntents</v>
      </c>
      <c r="P311" s="3">
        <f>COUNTIFS(FieldDisagreements!E2:E999, A311)</f>
        <v>1</v>
      </c>
      <c r="Q311" s="3" t="str">
        <f>_xlfn.IFNA(INDEX(ConformanceSubstrates!C2:C999, MATCH(D311,ConformanceSubstrates!A2:A999, 0)), "")</f>
        <v>Go</v>
      </c>
      <c r="R311" s="3" t="str">
        <f>_xlfn.IFNA(INDEX(RulebookTables!F2:F999, MATCH(E311,RulebookTables!A2:A999, 0)), "")</f>
        <v>communication</v>
      </c>
      <c r="S311" s="2" t="s">
        <v>1898</v>
      </c>
    </row>
    <row r="312">
      <c r="A312" s="2" t="s">
        <v>14319</v>
      </c>
      <c r="B312" s="3" t="str">
        <f>_xlfn.CONCAT(D312, " / ", E312)</f>
        <v>effortless-golang / AgentDecisionRecords</v>
      </c>
      <c r="C312" s="2" t="s">
        <v>13999</v>
      </c>
      <c r="D312" s="2" t="s">
        <v>13969</v>
      </c>
      <c r="E312" s="2" t="s">
        <v>4928</v>
      </c>
      <c r="F312" s="2">
        <v>3</v>
      </c>
      <c r="G312" s="2">
        <v>27</v>
      </c>
      <c r="H312" s="2">
        <v>81</v>
      </c>
      <c r="I312" s="2">
        <v>81</v>
      </c>
      <c r="J312" s="2" t="b">
        <v>0</v>
      </c>
      <c r="K312" s="3">
        <f>H312 - I312</f>
        <v>0</v>
      </c>
      <c r="L312" s="3">
        <f>IF(H312 = 0, 0, ROUND(100 * I312 / H312, 2))</f>
        <v>100</v>
      </c>
      <c r="M312" s="3" t="b">
        <f>K312 = 0</f>
        <v>1</v>
      </c>
      <c r="N312" s="3" t="str">
        <f>IF(M312, "", D312)</f>
      </c>
      <c r="O312" s="3" t="str">
        <f>IF(M312, "", E312)</f>
      </c>
      <c r="P312" s="3">
        <f>COUNTIFS(FieldDisagreements!E2:E999, A312)</f>
        <v>0</v>
      </c>
      <c r="Q312" s="3" t="str">
        <f>_xlfn.IFNA(INDEX(ConformanceSubstrates!C2:C999, MATCH(D312,ConformanceSubstrates!A2:A999, 0)), "")</f>
        <v>Go</v>
      </c>
      <c r="R312" s="3" t="str">
        <f>_xlfn.IFNA(INDEX(RulebookTables!F2:F999, MATCH(E312,RulebookTables!A2:A999, 0)), "")</f>
        <v>org</v>
      </c>
      <c r="S312" s="2" t="s">
        <v>1898</v>
      </c>
    </row>
    <row r="313">
      <c r="A313" s="2" t="s">
        <v>14320</v>
      </c>
      <c r="B313" s="3" t="str">
        <f>_xlfn.CONCAT(D313, " / ", E313)</f>
        <v>effortless-golang / DeliveredCommunications</v>
      </c>
      <c r="C313" s="2" t="s">
        <v>13999</v>
      </c>
      <c r="D313" s="2" t="s">
        <v>13969</v>
      </c>
      <c r="E313" s="2" t="s">
        <v>5029</v>
      </c>
      <c r="F313" s="2">
        <v>1</v>
      </c>
      <c r="G313" s="2">
        <v>6</v>
      </c>
      <c r="H313" s="2">
        <v>6</v>
      </c>
      <c r="I313" s="2">
        <v>5</v>
      </c>
      <c r="J313" s="2" t="b">
        <v>0</v>
      </c>
      <c r="K313" s="3">
        <f>H313 - I313</f>
        <v>1</v>
      </c>
      <c r="L313" s="3">
        <f>IF(H313 = 0, 0, ROUND(100 * I313 / H313, 2))</f>
        <v>83.33</v>
      </c>
      <c r="M313" s="3" t="b">
        <f>K313 = 0</f>
        <v>0</v>
      </c>
      <c r="N313" s="3" t="str">
        <f>IF(M313, "", D313)</f>
        <v>effortless-golang</v>
      </c>
      <c r="O313" s="3" t="str">
        <f>IF(M313, "", E313)</f>
        <v>DeliveredCommunications</v>
      </c>
      <c r="P313" s="3">
        <f>COUNTIFS(FieldDisagreements!E2:E999, A313)</f>
        <v>1</v>
      </c>
      <c r="Q313" s="3" t="str">
        <f>_xlfn.IFNA(INDEX(ConformanceSubstrates!C2:C999, MATCH(D313,ConformanceSubstrates!A2:A999, 0)), "")</f>
        <v>Go</v>
      </c>
      <c r="R313" s="3" t="str">
        <f>_xlfn.IFNA(INDEX(RulebookTables!F2:F999, MATCH(E313,RulebookTables!A2:A999, 0)), "")</f>
        <v>communication</v>
      </c>
      <c r="S313" s="2" t="s">
        <v>1898</v>
      </c>
    </row>
    <row r="314">
      <c r="A314" s="2" t="s">
        <v>14321</v>
      </c>
      <c r="B314" s="3" t="str">
        <f>_xlfn.CONCAT(D314, " / ", E314)</f>
        <v>effortless-golang / AuthorityBoundaries</v>
      </c>
      <c r="C314" s="2" t="s">
        <v>13999</v>
      </c>
      <c r="D314" s="2" t="s">
        <v>13969</v>
      </c>
      <c r="E314" s="2" t="s">
        <v>5065</v>
      </c>
      <c r="F314" s="2">
        <v>3</v>
      </c>
      <c r="G314" s="2">
        <v>21</v>
      </c>
      <c r="H314" s="2">
        <v>63</v>
      </c>
      <c r="I314" s="2">
        <v>63</v>
      </c>
      <c r="J314" s="2" t="b">
        <v>0</v>
      </c>
      <c r="K314" s="3">
        <f>H314 - I314</f>
        <v>0</v>
      </c>
      <c r="L314" s="3">
        <f>IF(H314 = 0, 0, ROUND(100 * I314 / H314, 2))</f>
        <v>100</v>
      </c>
      <c r="M314" s="3" t="b">
        <f>K314 = 0</f>
        <v>1</v>
      </c>
      <c r="N314" s="3" t="str">
        <f>IF(M314, "", D314)</f>
      </c>
      <c r="O314" s="3" t="str">
        <f>IF(M314, "", E314)</f>
      </c>
      <c r="P314" s="3">
        <f>COUNTIFS(FieldDisagreements!E2:E999, A314)</f>
        <v>0</v>
      </c>
      <c r="Q314" s="3" t="str">
        <f>_xlfn.IFNA(INDEX(ConformanceSubstrates!C2:C999, MATCH(D314,ConformanceSubstrates!A2:A999, 0)), "")</f>
        <v>Go</v>
      </c>
      <c r="R314" s="3" t="str">
        <f>_xlfn.IFNA(INDEX(RulebookTables!F2:F999, MATCH(E314,RulebookTables!A2:A999, 0)), "")</f>
        <v>governance</v>
      </c>
      <c r="S314" s="2" t="s">
        <v>1898</v>
      </c>
    </row>
    <row r="315">
      <c r="A315" s="2" t="s">
        <v>14322</v>
      </c>
      <c r="B315" s="3" t="str">
        <f>_xlfn.CONCAT(D315, " / ", E315)</f>
        <v>effortless-golang / AppRoleProfiles</v>
      </c>
      <c r="C315" s="2" t="s">
        <v>13999</v>
      </c>
      <c r="D315" s="2" t="s">
        <v>13969</v>
      </c>
      <c r="E315" s="2" t="s">
        <v>1849</v>
      </c>
      <c r="F315" s="2">
        <v>12</v>
      </c>
      <c r="G315" s="2">
        <v>2</v>
      </c>
      <c r="H315" s="2">
        <v>24</v>
      </c>
      <c r="I315" s="2">
        <v>24</v>
      </c>
      <c r="J315" s="2" t="b">
        <v>0</v>
      </c>
      <c r="K315" s="3">
        <f>H315 - I315</f>
        <v>0</v>
      </c>
      <c r="L315" s="3">
        <f>IF(H315 = 0, 0, ROUND(100 * I315 / H315, 2))</f>
        <v>100</v>
      </c>
      <c r="M315" s="3" t="b">
        <f>K315 = 0</f>
        <v>1</v>
      </c>
      <c r="N315" s="3" t="str">
        <f>IF(M315, "", D315)</f>
      </c>
      <c r="O315" s="3" t="str">
        <f>IF(M315, "", E315)</f>
      </c>
      <c r="P315" s="3">
        <f>COUNTIFS(FieldDisagreements!E2:E999, A315)</f>
        <v>0</v>
      </c>
      <c r="Q315" s="3" t="str">
        <f>_xlfn.IFNA(INDEX(ConformanceSubstrates!C2:C999, MATCH(D315,ConformanceSubstrates!A2:A999, 0)), "")</f>
        <v>Go</v>
      </c>
      <c r="R315" s="3" t="str">
        <f>_xlfn.IFNA(INDEX(RulebookTables!F2:F999, MATCH(E315,RulebookTables!A2:A999, 0)), "")</f>
        <v>org</v>
      </c>
      <c r="S315" s="2" t="s">
        <v>1898</v>
      </c>
    </row>
    <row r="316">
      <c r="A316" s="2" t="s">
        <v>14323</v>
      </c>
      <c r="B316" s="3" t="str">
        <f>_xlfn.CONCAT(D316, " / ", E316)</f>
        <v>effortless-golang / AppNavGroups</v>
      </c>
      <c r="C316" s="2" t="s">
        <v>13999</v>
      </c>
      <c r="D316" s="2" t="s">
        <v>13969</v>
      </c>
      <c r="E316" s="2" t="s">
        <v>1853</v>
      </c>
      <c r="F316" s="2">
        <v>23</v>
      </c>
      <c r="G316" s="2">
        <v>2</v>
      </c>
      <c r="H316" s="2">
        <v>46</v>
      </c>
      <c r="I316" s="2">
        <v>46</v>
      </c>
      <c r="J316" s="2" t="b">
        <v>0</v>
      </c>
      <c r="K316" s="3">
        <f>H316 - I316</f>
        <v>0</v>
      </c>
      <c r="L316" s="3">
        <f>IF(H316 = 0, 0, ROUND(100 * I316 / H316, 2))</f>
        <v>100</v>
      </c>
      <c r="M316" s="3" t="b">
        <f>K316 = 0</f>
        <v>1</v>
      </c>
      <c r="N316" s="3" t="str">
        <f>IF(M316, "", D316)</f>
      </c>
      <c r="O316" s="3" t="str">
        <f>IF(M316, "", E316)</f>
      </c>
      <c r="P316" s="3">
        <f>COUNTIFS(FieldDisagreements!E2:E999, A316)</f>
        <v>0</v>
      </c>
      <c r="Q316" s="3" t="str">
        <f>_xlfn.IFNA(INDEX(ConformanceSubstrates!C2:C999, MATCH(D316,ConformanceSubstrates!A2:A999, 0)), "")</f>
        <v>Go</v>
      </c>
      <c r="R316" s="3" t="str">
        <f>_xlfn.IFNA(INDEX(RulebookTables!F2:F999, MATCH(E316,RulebookTables!A2:A999, 0)), "")</f>
        <v>application</v>
      </c>
      <c r="S316" s="2" t="s">
        <v>1898</v>
      </c>
    </row>
    <row r="317">
      <c r="A317" s="2" t="s">
        <v>14324</v>
      </c>
      <c r="B317" s="3" t="str">
        <f>_xlfn.CONCAT(D317, " / ", E317)</f>
        <v>effortless-golang / AppRoutes</v>
      </c>
      <c r="C317" s="2" t="s">
        <v>13999</v>
      </c>
      <c r="D317" s="2" t="s">
        <v>13969</v>
      </c>
      <c r="E317" s="2" t="s">
        <v>1857</v>
      </c>
      <c r="F317" s="2">
        <v>149</v>
      </c>
      <c r="G317" s="2">
        <v>7</v>
      </c>
      <c r="H317" s="2">
        <v>1043</v>
      </c>
      <c r="I317" s="2">
        <v>1043</v>
      </c>
      <c r="J317" s="2" t="b">
        <v>0</v>
      </c>
      <c r="K317" s="3">
        <f>H317 - I317</f>
        <v>0</v>
      </c>
      <c r="L317" s="3">
        <f>IF(H317 = 0, 0, ROUND(100 * I317 / H317, 2))</f>
        <v>100</v>
      </c>
      <c r="M317" s="3" t="b">
        <f>K317 = 0</f>
        <v>1</v>
      </c>
      <c r="N317" s="3" t="str">
        <f>IF(M317, "", D317)</f>
      </c>
      <c r="O317" s="3" t="str">
        <f>IF(M317, "", E317)</f>
      </c>
      <c r="P317" s="3">
        <f>COUNTIFS(FieldDisagreements!E2:E999, A317)</f>
        <v>0</v>
      </c>
      <c r="Q317" s="3" t="str">
        <f>_xlfn.IFNA(INDEX(ConformanceSubstrates!C2:C999, MATCH(D317,ConformanceSubstrates!A2:A999, 0)), "")</f>
        <v>Go</v>
      </c>
      <c r="R317" s="3" t="str">
        <f>_xlfn.IFNA(INDEX(RulebookTables!F2:F999, MATCH(E317,RulebookTables!A2:A999, 0)), "")</f>
        <v>application</v>
      </c>
      <c r="S317" s="2" t="s">
        <v>1898</v>
      </c>
    </row>
    <row r="318">
      <c r="A318" s="2" t="s">
        <v>14325</v>
      </c>
      <c r="B318" s="3" t="str">
        <f>_xlfn.CONCAT(D318, " / ", E318)</f>
        <v>effortless-golang / AppRouteQuestions</v>
      </c>
      <c r="C318" s="2" t="s">
        <v>13999</v>
      </c>
      <c r="D318" s="2" t="s">
        <v>13969</v>
      </c>
      <c r="E318" s="2" t="s">
        <v>1861</v>
      </c>
      <c r="F318" s="2">
        <v>151</v>
      </c>
      <c r="G318" s="2">
        <v>1</v>
      </c>
      <c r="H318" s="2">
        <v>151</v>
      </c>
      <c r="I318" s="2">
        <v>151</v>
      </c>
      <c r="J318" s="2" t="b">
        <v>0</v>
      </c>
      <c r="K318" s="3">
        <f>H318 - I318</f>
        <v>0</v>
      </c>
      <c r="L318" s="3">
        <f>IF(H318 = 0, 0, ROUND(100 * I318 / H318, 2))</f>
        <v>100</v>
      </c>
      <c r="M318" s="3" t="b">
        <f>K318 = 0</f>
        <v>1</v>
      </c>
      <c r="N318" s="3" t="str">
        <f>IF(M318, "", D318)</f>
      </c>
      <c r="O318" s="3" t="str">
        <f>IF(M318, "", E318)</f>
      </c>
      <c r="P318" s="3">
        <f>COUNTIFS(FieldDisagreements!E2:E999, A318)</f>
        <v>0</v>
      </c>
      <c r="Q318" s="3" t="str">
        <f>_xlfn.IFNA(INDEX(ConformanceSubstrates!C2:C999, MATCH(D318,ConformanceSubstrates!A2:A999, 0)), "")</f>
        <v>Go</v>
      </c>
      <c r="R318" s="3" t="str">
        <f>_xlfn.IFNA(INDEX(RulebookTables!F2:F999, MATCH(E318,RulebookTables!A2:A999, 0)), "")</f>
        <v>application</v>
      </c>
      <c r="S318" s="2" t="s">
        <v>1898</v>
      </c>
    </row>
    <row r="319">
      <c r="A319" s="2" t="s">
        <v>14326</v>
      </c>
      <c r="B319" s="3" t="str">
        <f>_xlfn.CONCAT(D319, " / ", E319)</f>
        <v>effortless-golang / AppRouteReferences</v>
      </c>
      <c r="C319" s="2" t="s">
        <v>13999</v>
      </c>
      <c r="D319" s="2" t="s">
        <v>13969</v>
      </c>
      <c r="E319" s="2" t="s">
        <v>1865</v>
      </c>
      <c r="F319" s="2">
        <v>315</v>
      </c>
      <c r="G319" s="2">
        <v>1</v>
      </c>
      <c r="H319" s="2">
        <v>315</v>
      </c>
      <c r="I319" s="2">
        <v>315</v>
      </c>
      <c r="J319" s="2" t="b">
        <v>0</v>
      </c>
      <c r="K319" s="3">
        <f>H319 - I319</f>
        <v>0</v>
      </c>
      <c r="L319" s="3">
        <f>IF(H319 = 0, 0, ROUND(100 * I319 / H319, 2))</f>
        <v>100</v>
      </c>
      <c r="M319" s="3" t="b">
        <f>K319 = 0</f>
        <v>1</v>
      </c>
      <c r="N319" s="3" t="str">
        <f>IF(M319, "", D319)</f>
      </c>
      <c r="O319" s="3" t="str">
        <f>IF(M319, "", E319)</f>
      </c>
      <c r="P319" s="3">
        <f>COUNTIFS(FieldDisagreements!E2:E999, A319)</f>
        <v>0</v>
      </c>
      <c r="Q319" s="3" t="str">
        <f>_xlfn.IFNA(INDEX(ConformanceSubstrates!C2:C999, MATCH(D319,ConformanceSubstrates!A2:A999, 0)), "")</f>
        <v>Go</v>
      </c>
      <c r="R319" s="3" t="str">
        <f>_xlfn.IFNA(INDEX(RulebookTables!F2:F999, MATCH(E319,RulebookTables!A2:A999, 0)), "")</f>
        <v>application</v>
      </c>
      <c r="S319" s="2" t="s">
        <v>1898</v>
      </c>
    </row>
    <row r="320">
      <c r="A320" s="2" t="s">
        <v>14327</v>
      </c>
      <c r="B320" s="3" t="str">
        <f>_xlfn.CONCAT(D320, " / ", E320)</f>
        <v>effortless-golang / RulebookTables</v>
      </c>
      <c r="C320" s="2" t="s">
        <v>13999</v>
      </c>
      <c r="D320" s="2" t="s">
        <v>13969</v>
      </c>
      <c r="E320" s="2" t="s">
        <v>5286</v>
      </c>
      <c r="F320" s="2">
        <v>92</v>
      </c>
      <c r="G320" s="2">
        <v>5</v>
      </c>
      <c r="H320" s="2">
        <v>460</v>
      </c>
      <c r="I320" s="2">
        <v>460</v>
      </c>
      <c r="J320" s="2" t="b">
        <v>0</v>
      </c>
      <c r="K320" s="3">
        <f>H320 - I320</f>
        <v>0</v>
      </c>
      <c r="L320" s="3">
        <f>IF(H320 = 0, 0, ROUND(100 * I320 / H320, 2))</f>
        <v>100</v>
      </c>
      <c r="M320" s="3" t="b">
        <f>K320 = 0</f>
        <v>1</v>
      </c>
      <c r="N320" s="3" t="str">
        <f>IF(M320, "", D320)</f>
      </c>
      <c r="O320" s="3" t="str">
        <f>IF(M320, "", E320)</f>
      </c>
      <c r="P320" s="3">
        <f>COUNTIFS(FieldDisagreements!E2:E999, A320)</f>
        <v>0</v>
      </c>
      <c r="Q320" s="3" t="str">
        <f>_xlfn.IFNA(INDEX(ConformanceSubstrates!C2:C999, MATCH(D320,ConformanceSubstrates!A2:A999, 0)), "")</f>
        <v>Go</v>
      </c>
      <c r="R320" s="3" t="str">
        <f>_xlfn.IFNA(INDEX(RulebookTables!F2:F999, MATCH(E320,RulebookTables!A2:A999, 0)), "")</f>
        <v>meta</v>
      </c>
      <c r="S320" s="2" t="s">
        <v>1898</v>
      </c>
    </row>
    <row r="321">
      <c r="A321" s="2" t="s">
        <v>14328</v>
      </c>
      <c r="B321" s="3" t="str">
        <f>_xlfn.CONCAT(D321, " / ", E321)</f>
        <v>effortless-golang / AccessPrincipals</v>
      </c>
      <c r="C321" s="2" t="s">
        <v>13999</v>
      </c>
      <c r="D321" s="2" t="s">
        <v>13969</v>
      </c>
      <c r="E321" s="2" t="s">
        <v>5313</v>
      </c>
      <c r="F321" s="2">
        <v>12</v>
      </c>
      <c r="G321" s="2">
        <v>8</v>
      </c>
      <c r="H321" s="2">
        <v>96</v>
      </c>
      <c r="I321" s="2">
        <v>96</v>
      </c>
      <c r="J321" s="2" t="b">
        <v>0</v>
      </c>
      <c r="K321" s="3">
        <f>H321 - I321</f>
        <v>0</v>
      </c>
      <c r="L321" s="3">
        <f>IF(H321 = 0, 0, ROUND(100 * I321 / H321, 2))</f>
        <v>100</v>
      </c>
      <c r="M321" s="3" t="b">
        <f>K321 = 0</f>
        <v>1</v>
      </c>
      <c r="N321" s="3" t="str">
        <f>IF(M321, "", D321)</f>
      </c>
      <c r="O321" s="3" t="str">
        <f>IF(M321, "", E321)</f>
      </c>
      <c r="P321" s="3">
        <f>COUNTIFS(FieldDisagreements!E2:E999, A321)</f>
        <v>0</v>
      </c>
      <c r="Q321" s="3" t="str">
        <f>_xlfn.IFNA(INDEX(ConformanceSubstrates!C2:C999, MATCH(D321,ConformanceSubstrates!A2:A999, 0)), "")</f>
        <v>Go</v>
      </c>
      <c r="R321" s="3" t="str">
        <f>_xlfn.IFNA(INDEX(RulebookTables!F2:F999, MATCH(E321,RulebookTables!A2:A999, 0)), "")</f>
        <v>access-control</v>
      </c>
      <c r="S321" s="2" t="s">
        <v>1898</v>
      </c>
    </row>
    <row r="322">
      <c r="A322" s="2" t="s">
        <v>14329</v>
      </c>
      <c r="B322" s="3" t="str">
        <f>_xlfn.CONCAT(D322, " / ", E322)</f>
        <v>effortless-golang / AccessPolicies</v>
      </c>
      <c r="C322" s="2" t="s">
        <v>13999</v>
      </c>
      <c r="D322" s="2" t="s">
        <v>13969</v>
      </c>
      <c r="E322" s="2" t="s">
        <v>5346</v>
      </c>
      <c r="F322" s="2">
        <v>202</v>
      </c>
      <c r="G322" s="2">
        <v>7</v>
      </c>
      <c r="H322" s="2">
        <v>1414</v>
      </c>
      <c r="I322" s="2">
        <v>1414</v>
      </c>
      <c r="J322" s="2" t="b">
        <v>0</v>
      </c>
      <c r="K322" s="3">
        <f>H322 - I322</f>
        <v>0</v>
      </c>
      <c r="L322" s="3">
        <f>IF(H322 = 0, 0, ROUND(100 * I322 / H322, 2))</f>
        <v>100</v>
      </c>
      <c r="M322" s="3" t="b">
        <f>K322 = 0</f>
        <v>1</v>
      </c>
      <c r="N322" s="3" t="str">
        <f>IF(M322, "", D322)</f>
      </c>
      <c r="O322" s="3" t="str">
        <f>IF(M322, "", E322)</f>
      </c>
      <c r="P322" s="3">
        <f>COUNTIFS(FieldDisagreements!E2:E999, A322)</f>
        <v>0</v>
      </c>
      <c r="Q322" s="3" t="str">
        <f>_xlfn.IFNA(INDEX(ConformanceSubstrates!C2:C999, MATCH(D322,ConformanceSubstrates!A2:A999, 0)), "")</f>
        <v>Go</v>
      </c>
      <c r="R322" s="3" t="str">
        <f>_xlfn.IFNA(INDEX(RulebookTables!F2:F999, MATCH(E322,RulebookTables!A2:A999, 0)), "")</f>
        <v>access-control</v>
      </c>
      <c r="S322" s="2" t="s">
        <v>1898</v>
      </c>
    </row>
    <row r="323">
      <c r="A323" s="2" t="s">
        <v>14330</v>
      </c>
      <c r="B323" s="3" t="str">
        <f>_xlfn.CONCAT(D323, " / ", E323)</f>
        <v>effortless-golang / FieldGrants</v>
      </c>
      <c r="C323" s="2" t="s">
        <v>13999</v>
      </c>
      <c r="D323" s="2" t="s">
        <v>13969</v>
      </c>
      <c r="E323" s="2" t="s">
        <v>5382</v>
      </c>
      <c r="F323" s="2">
        <v>3639</v>
      </c>
      <c r="G323" s="2">
        <v>7</v>
      </c>
      <c r="H323" s="2">
        <v>25473</v>
      </c>
      <c r="I323" s="2">
        <v>25473</v>
      </c>
      <c r="J323" s="2" t="b">
        <v>0</v>
      </c>
      <c r="K323" s="3">
        <f>H323 - I323</f>
        <v>0</v>
      </c>
      <c r="L323" s="3">
        <f>IF(H323 = 0, 0, ROUND(100 * I323 / H323, 2))</f>
        <v>100</v>
      </c>
      <c r="M323" s="3" t="b">
        <f>K323 = 0</f>
        <v>1</v>
      </c>
      <c r="N323" s="3" t="str">
        <f>IF(M323, "", D323)</f>
      </c>
      <c r="O323" s="3" t="str">
        <f>IF(M323, "", E323)</f>
      </c>
      <c r="P323" s="3">
        <f>COUNTIFS(FieldDisagreements!E2:E999, A323)</f>
        <v>0</v>
      </c>
      <c r="Q323" s="3" t="str">
        <f>_xlfn.IFNA(INDEX(ConformanceSubstrates!C2:C999, MATCH(D323,ConformanceSubstrates!A2:A999, 0)), "")</f>
        <v>Go</v>
      </c>
      <c r="R323" s="3" t="str">
        <f>_xlfn.IFNA(INDEX(RulebookTables!F2:F999, MATCH(E323,RulebookTables!A2:A999, 0)), "")</f>
        <v>access-control</v>
      </c>
      <c r="S323" s="2" t="s">
        <v>1898</v>
      </c>
    </row>
    <row r="324">
      <c r="A324" s="2" t="s">
        <v>14331</v>
      </c>
      <c r="B324" s="3" t="str">
        <f>_xlfn.CONCAT(D324, " / ", E324)</f>
        <v>effortless-golang / RoleSchemas</v>
      </c>
      <c r="C324" s="2" t="s">
        <v>13999</v>
      </c>
      <c r="D324" s="2" t="s">
        <v>13969</v>
      </c>
      <c r="E324" s="2" t="s">
        <v>5413</v>
      </c>
      <c r="F324" s="2">
        <v>12</v>
      </c>
      <c r="G324" s="2">
        <v>4</v>
      </c>
      <c r="H324" s="2">
        <v>48</v>
      </c>
      <c r="I324" s="2">
        <v>48</v>
      </c>
      <c r="J324" s="2" t="b">
        <v>0</v>
      </c>
      <c r="K324" s="3">
        <f>H324 - I324</f>
        <v>0</v>
      </c>
      <c r="L324" s="3">
        <f>IF(H324 = 0, 0, ROUND(100 * I324 / H324, 2))</f>
        <v>100</v>
      </c>
      <c r="M324" s="3" t="b">
        <f>K324 = 0</f>
        <v>1</v>
      </c>
      <c r="N324" s="3" t="str">
        <f>IF(M324, "", D324)</f>
      </c>
      <c r="O324" s="3" t="str">
        <f>IF(M324, "", E324)</f>
      </c>
      <c r="P324" s="3">
        <f>COUNTIFS(FieldDisagreements!E2:E999, A324)</f>
        <v>0</v>
      </c>
      <c r="Q324" s="3" t="str">
        <f>_xlfn.IFNA(INDEX(ConformanceSubstrates!C2:C999, MATCH(D324,ConformanceSubstrates!A2:A999, 0)), "")</f>
        <v>Go</v>
      </c>
      <c r="R324" s="3" t="str">
        <f>_xlfn.IFNA(INDEX(RulebookTables!F2:F999, MATCH(E324,RulebookTables!A2:A999, 0)), "")</f>
        <v>org</v>
      </c>
      <c r="S324" s="2" t="s">
        <v>1898</v>
      </c>
    </row>
    <row r="325">
      <c r="A325" s="2" t="s">
        <v>14332</v>
      </c>
      <c r="B325" s="3" t="str">
        <f>_xlfn.CONCAT(D325, " / ", E325)</f>
        <v>effortless-golang / RoleSchemaViews</v>
      </c>
      <c r="C325" s="2" t="s">
        <v>13999</v>
      </c>
      <c r="D325" s="2" t="s">
        <v>13969</v>
      </c>
      <c r="E325" s="2" t="s">
        <v>5431</v>
      </c>
      <c r="F325" s="2">
        <v>202</v>
      </c>
      <c r="G325" s="2">
        <v>8</v>
      </c>
      <c r="H325" s="2">
        <v>1616</v>
      </c>
      <c r="I325" s="2">
        <v>1616</v>
      </c>
      <c r="J325" s="2" t="b">
        <v>0</v>
      </c>
      <c r="K325" s="3">
        <f>H325 - I325</f>
        <v>0</v>
      </c>
      <c r="L325" s="3">
        <f>IF(H325 = 0, 0, ROUND(100 * I325 / H325, 2))</f>
        <v>100</v>
      </c>
      <c r="M325" s="3" t="b">
        <f>K325 = 0</f>
        <v>1</v>
      </c>
      <c r="N325" s="3" t="str">
        <f>IF(M325, "", D325)</f>
      </c>
      <c r="O325" s="3" t="str">
        <f>IF(M325, "", E325)</f>
      </c>
      <c r="P325" s="3">
        <f>COUNTIFS(FieldDisagreements!E2:E999, A325)</f>
        <v>0</v>
      </c>
      <c r="Q325" s="3" t="str">
        <f>_xlfn.IFNA(INDEX(ConformanceSubstrates!C2:C999, MATCH(D325,ConformanceSubstrates!A2:A999, 0)), "")</f>
        <v>Go</v>
      </c>
      <c r="R325" s="3" t="str">
        <f>_xlfn.IFNA(INDEX(RulebookTables!F2:F999, MATCH(E325,RulebookTables!A2:A999, 0)), "")</f>
        <v>org</v>
      </c>
      <c r="S325" s="2" t="s">
        <v>1898</v>
      </c>
    </row>
    <row r="326">
      <c r="A326" s="2" t="s">
        <v>14333</v>
      </c>
      <c r="B326" s="3" t="str">
        <f>_xlfn.CONCAT(D326, " / ", E326)</f>
        <v>effortless-golang / JwtClaimMappings</v>
      </c>
      <c r="C326" s="2" t="s">
        <v>13999</v>
      </c>
      <c r="D326" s="2" t="s">
        <v>13969</v>
      </c>
      <c r="E326" s="2" t="s">
        <v>5463</v>
      </c>
      <c r="F326" s="2">
        <v>4</v>
      </c>
      <c r="G326" s="2">
        <v>2</v>
      </c>
      <c r="H326" s="2">
        <v>8</v>
      </c>
      <c r="I326" s="2">
        <v>8</v>
      </c>
      <c r="J326" s="2" t="b">
        <v>0</v>
      </c>
      <c r="K326" s="3">
        <f>H326 - I326</f>
        <v>0</v>
      </c>
      <c r="L326" s="3">
        <f>IF(H326 = 0, 0, ROUND(100 * I326 / H326, 2))</f>
        <v>100</v>
      </c>
      <c r="M326" s="3" t="b">
        <f>K326 = 0</f>
        <v>1</v>
      </c>
      <c r="N326" s="3" t="str">
        <f>IF(M326, "", D326)</f>
      </c>
      <c r="O326" s="3" t="str">
        <f>IF(M326, "", E326)</f>
      </c>
      <c r="P326" s="3">
        <f>COUNTIFS(FieldDisagreements!E2:E999, A326)</f>
        <v>0</v>
      </c>
      <c r="Q326" s="3" t="str">
        <f>_xlfn.IFNA(INDEX(ConformanceSubstrates!C2:C999, MATCH(D326,ConformanceSubstrates!A2:A999, 0)), "")</f>
        <v>Go</v>
      </c>
      <c r="R326" s="3" t="str">
        <f>_xlfn.IFNA(INDEX(RulebookTables!F2:F999, MATCH(E326,RulebookTables!A2:A999, 0)), "")</f>
        <v>access-control</v>
      </c>
      <c r="S326" s="2" t="s">
        <v>1898</v>
      </c>
    </row>
    <row r="327">
      <c r="A327" s="2" t="s">
        <v>14334</v>
      </c>
      <c r="B327" s="3" t="str">
        <f>_xlfn.CONCAT(D327, " / ", E327)</f>
        <v>effortless-golang / AccessDenialTests</v>
      </c>
      <c r="C327" s="2" t="s">
        <v>13999</v>
      </c>
      <c r="D327" s="2" t="s">
        <v>13969</v>
      </c>
      <c r="E327" s="2" t="s">
        <v>5482</v>
      </c>
      <c r="F327" s="2">
        <v>17</v>
      </c>
      <c r="G327" s="2">
        <v>6</v>
      </c>
      <c r="H327" s="2">
        <v>102</v>
      </c>
      <c r="I327" s="2">
        <v>102</v>
      </c>
      <c r="J327" s="2" t="b">
        <v>0</v>
      </c>
      <c r="K327" s="3">
        <f>H327 - I327</f>
        <v>0</v>
      </c>
      <c r="L327" s="3">
        <f>IF(H327 = 0, 0, ROUND(100 * I327 / H327, 2))</f>
        <v>100</v>
      </c>
      <c r="M327" s="3" t="b">
        <f>K327 = 0</f>
        <v>1</v>
      </c>
      <c r="N327" s="3" t="str">
        <f>IF(M327, "", D327)</f>
      </c>
      <c r="O327" s="3" t="str">
        <f>IF(M327, "", E327)</f>
      </c>
      <c r="P327" s="3">
        <f>COUNTIFS(FieldDisagreements!E2:E999, A327)</f>
        <v>0</v>
      </c>
      <c r="Q327" s="3" t="str">
        <f>_xlfn.IFNA(INDEX(ConformanceSubstrates!C2:C999, MATCH(D327,ConformanceSubstrates!A2:A999, 0)), "")</f>
        <v>Go</v>
      </c>
      <c r="R327" s="3" t="str">
        <f>_xlfn.IFNA(INDEX(RulebookTables!F2:F999, MATCH(E327,RulebookTables!A2:A999, 0)), "")</f>
        <v>access-control</v>
      </c>
      <c r="S327" s="2" t="s">
        <v>1898</v>
      </c>
    </row>
    <row r="328">
      <c r="A328" s="2" t="s">
        <v>14335</v>
      </c>
      <c r="B328" s="3" t="str">
        <f>_xlfn.CONCAT(D328, " / ", E328)</f>
        <v>effortless-golang / AppUsers</v>
      </c>
      <c r="C328" s="2" t="s">
        <v>13999</v>
      </c>
      <c r="D328" s="2" t="s">
        <v>13969</v>
      </c>
      <c r="E328" s="2" t="s">
        <v>5518</v>
      </c>
      <c r="F328" s="2">
        <v>10</v>
      </c>
      <c r="G328" s="2">
        <v>7</v>
      </c>
      <c r="H328" s="2">
        <v>70</v>
      </c>
      <c r="I328" s="2">
        <v>70</v>
      </c>
      <c r="J328" s="2" t="b">
        <v>0</v>
      </c>
      <c r="K328" s="3">
        <f>H328 - I328</f>
        <v>0</v>
      </c>
      <c r="L328" s="3">
        <f>IF(H328 = 0, 0, ROUND(100 * I328 / H328, 2))</f>
        <v>100</v>
      </c>
      <c r="M328" s="3" t="b">
        <f>K328 = 0</f>
        <v>1</v>
      </c>
      <c r="N328" s="3" t="str">
        <f>IF(M328, "", D328)</f>
      </c>
      <c r="O328" s="3" t="str">
        <f>IF(M328, "", E328)</f>
      </c>
      <c r="P328" s="3">
        <f>COUNTIFS(FieldDisagreements!E2:E999, A328)</f>
        <v>0</v>
      </c>
      <c r="Q328" s="3" t="str">
        <f>_xlfn.IFNA(INDEX(ConformanceSubstrates!C2:C999, MATCH(D328,ConformanceSubstrates!A2:A999, 0)), "")</f>
        <v>Go</v>
      </c>
      <c r="R328" s="3" t="str">
        <f>_xlfn.IFNA(INDEX(RulebookTables!F2:F999, MATCH(E328,RulebookTables!A2:A999, 0)), "")</f>
      </c>
      <c r="S328" s="2" t="s">
        <v>1898</v>
      </c>
    </row>
    <row r="329">
      <c r="A329" s="2" t="s">
        <v>14336</v>
      </c>
      <c r="B329" s="3" t="str">
        <f>_xlfn.CONCAT(D329, " / ", E329)</f>
        <v>effortless-golang / PrincipalAssignments</v>
      </c>
      <c r="C329" s="2" t="s">
        <v>13999</v>
      </c>
      <c r="D329" s="2" t="s">
        <v>13969</v>
      </c>
      <c r="E329" s="2" t="s">
        <v>5545</v>
      </c>
      <c r="F329" s="2">
        <v>12</v>
      </c>
      <c r="G329" s="2">
        <v>5</v>
      </c>
      <c r="H329" s="2">
        <v>60</v>
      </c>
      <c r="I329" s="2">
        <v>60</v>
      </c>
      <c r="J329" s="2" t="b">
        <v>0</v>
      </c>
      <c r="K329" s="3">
        <f>H329 - I329</f>
        <v>0</v>
      </c>
      <c r="L329" s="3">
        <f>IF(H329 = 0, 0, ROUND(100 * I329 / H329, 2))</f>
        <v>100</v>
      </c>
      <c r="M329" s="3" t="b">
        <f>K329 = 0</f>
        <v>1</v>
      </c>
      <c r="N329" s="3" t="str">
        <f>IF(M329, "", D329)</f>
      </c>
      <c r="O329" s="3" t="str">
        <f>IF(M329, "", E329)</f>
      </c>
      <c r="P329" s="3">
        <f>COUNTIFS(FieldDisagreements!E2:E999, A329)</f>
        <v>0</v>
      </c>
      <c r="Q329" s="3" t="str">
        <f>_xlfn.IFNA(INDEX(ConformanceSubstrates!C2:C999, MATCH(D329,ConformanceSubstrates!A2:A999, 0)), "")</f>
        <v>Go</v>
      </c>
      <c r="R329" s="3" t="str">
        <f>_xlfn.IFNA(INDEX(RulebookTables!F2:F999, MATCH(E329,RulebookTables!A2:A999, 0)), "")</f>
      </c>
      <c r="S329" s="2" t="s">
        <v>1898</v>
      </c>
    </row>
    <row r="330">
      <c r="A330" s="2" t="s">
        <v>14337</v>
      </c>
      <c r="B330" s="3" t="str">
        <f>_xlfn.CONCAT(D330, " / ", E330)</f>
        <v>effortless-golang / ProcessMiningRuns</v>
      </c>
      <c r="C330" s="2" t="s">
        <v>13999</v>
      </c>
      <c r="D330" s="2" t="s">
        <v>13969</v>
      </c>
      <c r="E330" s="2" t="s">
        <v>1869</v>
      </c>
      <c r="F330" s="2">
        <v>4</v>
      </c>
      <c r="G330" s="2">
        <v>10</v>
      </c>
      <c r="H330" s="2">
        <v>40</v>
      </c>
      <c r="I330" s="2">
        <v>36</v>
      </c>
      <c r="J330" s="2" t="b">
        <v>0</v>
      </c>
      <c r="K330" s="3">
        <f>H330 - I330</f>
        <v>4</v>
      </c>
      <c r="L330" s="3">
        <f>IF(H330 = 0, 0, ROUND(100 * I330 / H330, 2))</f>
        <v>90</v>
      </c>
      <c r="M330" s="3" t="b">
        <f>K330 = 0</f>
        <v>0</v>
      </c>
      <c r="N330" s="3" t="str">
        <f>IF(M330, "", D330)</f>
        <v>effortless-golang</v>
      </c>
      <c r="O330" s="3" t="str">
        <f>IF(M330, "", E330)</f>
        <v>ProcessMiningRuns</v>
      </c>
      <c r="P330" s="3">
        <f>COUNTIFS(FieldDisagreements!E2:E999, A330)</f>
        <v>1</v>
      </c>
      <c r="Q330" s="3" t="str">
        <f>_xlfn.IFNA(INDEX(ConformanceSubstrates!C2:C999, MATCH(D330,ConformanceSubstrates!A2:A999, 0)), "")</f>
        <v>Go</v>
      </c>
      <c r="R330" s="3" t="str">
        <f>_xlfn.IFNA(INDEX(RulebookTables!F2:F999, MATCH(E330,RulebookTables!A2:A999, 0)), "")</f>
        <v>knowledge</v>
      </c>
      <c r="S330" s="2" t="s">
        <v>1898</v>
      </c>
    </row>
    <row r="331">
      <c r="A331" s="2" t="s">
        <v>14338</v>
      </c>
      <c r="B331" s="3" t="str">
        <f>_xlfn.CONCAT(D331, " / ", E331)</f>
        <v>effortless-golang / Vocabularies</v>
      </c>
      <c r="C331" s="2" t="s">
        <v>13999</v>
      </c>
      <c r="D331" s="2" t="s">
        <v>13969</v>
      </c>
      <c r="E331" s="2" t="s">
        <v>1873</v>
      </c>
      <c r="F331" s="2">
        <v>2</v>
      </c>
      <c r="G331" s="2">
        <v>4</v>
      </c>
      <c r="H331" s="2">
        <v>8</v>
      </c>
      <c r="I331" s="2">
        <v>8</v>
      </c>
      <c r="J331" s="2" t="b">
        <v>0</v>
      </c>
      <c r="K331" s="3">
        <f>H331 - I331</f>
        <v>0</v>
      </c>
      <c r="L331" s="3">
        <f>IF(H331 = 0, 0, ROUND(100 * I331 / H331, 2))</f>
        <v>100</v>
      </c>
      <c r="M331" s="3" t="b">
        <f>K331 = 0</f>
        <v>1</v>
      </c>
      <c r="N331" s="3" t="str">
        <f>IF(M331, "", D331)</f>
      </c>
      <c r="O331" s="3" t="str">
        <f>IF(M331, "", E331)</f>
      </c>
      <c r="P331" s="3">
        <f>COUNTIFS(FieldDisagreements!E2:E999, A331)</f>
        <v>0</v>
      </c>
      <c r="Q331" s="3" t="str">
        <f>_xlfn.IFNA(INDEX(ConformanceSubstrates!C2:C999, MATCH(D331,ConformanceSubstrates!A2:A999, 0)), "")</f>
        <v>Go</v>
      </c>
      <c r="R331" s="3" t="str">
        <f>_xlfn.IFNA(INDEX(RulebookTables!F2:F999, MATCH(E331,RulebookTables!A2:A999, 0)), "")</f>
        <v>knowledge</v>
      </c>
      <c r="S331" s="2" t="s">
        <v>1898</v>
      </c>
    </row>
    <row r="332">
      <c r="A332" s="2" t="s">
        <v>14339</v>
      </c>
      <c r="B332" s="3" t="str">
        <f>_xlfn.CONCAT(D332, " / ", E332)</f>
        <v>effortless-golang / VocabularyTerms</v>
      </c>
      <c r="C332" s="2" t="s">
        <v>13999</v>
      </c>
      <c r="D332" s="2" t="s">
        <v>13969</v>
      </c>
      <c r="E332" s="2" t="s">
        <v>1877</v>
      </c>
      <c r="F332" s="2">
        <v>12</v>
      </c>
      <c r="G332" s="2">
        <v>5</v>
      </c>
      <c r="H332" s="2">
        <v>60</v>
      </c>
      <c r="I332" s="2">
        <v>60</v>
      </c>
      <c r="J332" s="2" t="b">
        <v>0</v>
      </c>
      <c r="K332" s="3">
        <f>H332 - I332</f>
        <v>0</v>
      </c>
      <c r="L332" s="3">
        <f>IF(H332 = 0, 0, ROUND(100 * I332 / H332, 2))</f>
        <v>100</v>
      </c>
      <c r="M332" s="3" t="b">
        <f>K332 = 0</f>
        <v>1</v>
      </c>
      <c r="N332" s="3" t="str">
        <f>IF(M332, "", D332)</f>
      </c>
      <c r="O332" s="3" t="str">
        <f>IF(M332, "", E332)</f>
      </c>
      <c r="P332" s="3">
        <f>COUNTIFS(FieldDisagreements!E2:E999, A332)</f>
        <v>0</v>
      </c>
      <c r="Q332" s="3" t="str">
        <f>_xlfn.IFNA(INDEX(ConformanceSubstrates!C2:C999, MATCH(D332,ConformanceSubstrates!A2:A999, 0)), "")</f>
        <v>Go</v>
      </c>
      <c r="R332" s="3" t="str">
        <f>_xlfn.IFNA(INDEX(RulebookTables!F2:F999, MATCH(E332,RulebookTables!A2:A999, 0)), "")</f>
        <v>knowledge</v>
      </c>
      <c r="S332" s="2" t="s">
        <v>1898</v>
      </c>
    </row>
    <row r="333">
      <c r="A333" s="2" t="s">
        <v>14340</v>
      </c>
      <c r="B333" s="3" t="str">
        <f>_xlfn.CONCAT(D333, " / ", E333)</f>
        <v>effortless-golang / KnowledgeBrokerLinks</v>
      </c>
      <c r="C333" s="2" t="s">
        <v>13999</v>
      </c>
      <c r="D333" s="2" t="s">
        <v>13969</v>
      </c>
      <c r="E333" s="2" t="s">
        <v>1881</v>
      </c>
      <c r="F333" s="2">
        <v>5</v>
      </c>
      <c r="G333" s="2">
        <v>8</v>
      </c>
      <c r="H333" s="2">
        <v>40</v>
      </c>
      <c r="I333" s="2">
        <v>40</v>
      </c>
      <c r="J333" s="2" t="b">
        <v>0</v>
      </c>
      <c r="K333" s="3">
        <f>H333 - I333</f>
        <v>0</v>
      </c>
      <c r="L333" s="3">
        <f>IF(H333 = 0, 0, ROUND(100 * I333 / H333, 2))</f>
        <v>100</v>
      </c>
      <c r="M333" s="3" t="b">
        <f>K333 = 0</f>
        <v>1</v>
      </c>
      <c r="N333" s="3" t="str">
        <f>IF(M333, "", D333)</f>
      </c>
      <c r="O333" s="3" t="str">
        <f>IF(M333, "", E333)</f>
      </c>
      <c r="P333" s="3">
        <f>COUNTIFS(FieldDisagreements!E2:E999, A333)</f>
        <v>0</v>
      </c>
      <c r="Q333" s="3" t="str">
        <f>_xlfn.IFNA(INDEX(ConformanceSubstrates!C2:C999, MATCH(D333,ConformanceSubstrates!A2:A999, 0)), "")</f>
        <v>Go</v>
      </c>
      <c r="R333" s="3" t="str">
        <f>_xlfn.IFNA(INDEX(RulebookTables!F2:F999, MATCH(E333,RulebookTables!A2:A999, 0)), "")</f>
        <v>knowledge</v>
      </c>
      <c r="S333" s="2" t="s">
        <v>1898</v>
      </c>
    </row>
    <row r="334">
      <c r="A334" s="2" t="s">
        <v>14341</v>
      </c>
      <c r="B334" s="3" t="str">
        <f>_xlfn.CONCAT(D334, " / ", E334)</f>
        <v>effortless-owl / RulebookReleases</v>
      </c>
      <c r="C334" s="2" t="s">
        <v>13999</v>
      </c>
      <c r="D334" s="2" t="s">
        <v>13993</v>
      </c>
      <c r="E334" s="2" t="s">
        <v>2384</v>
      </c>
      <c r="F334" s="2">
        <v>1</v>
      </c>
      <c r="G334" s="2">
        <v>1</v>
      </c>
      <c r="H334" s="2">
        <v>1</v>
      </c>
      <c r="I334" s="2">
        <v>0</v>
      </c>
      <c r="J334" s="2" t="b">
        <v>0</v>
      </c>
      <c r="K334" s="3">
        <f>H334 - I334</f>
        <v>1</v>
      </c>
      <c r="L334" s="3">
        <f>IF(H334 = 0, 0, ROUND(100 * I334 / H334, 2))</f>
        <v>0</v>
      </c>
      <c r="M334" s="3" t="b">
        <f>K334 = 0</f>
        <v>0</v>
      </c>
      <c r="N334" s="3" t="str">
        <f>IF(M334, "", D334)</f>
        <v>effortless-owl</v>
      </c>
      <c r="O334" s="3" t="str">
        <f>IF(M334, "", E334)</f>
        <v>RulebookReleases</v>
      </c>
      <c r="P334" s="3">
        <f>COUNTIFS(FieldDisagreements!E2:E999, A334)</f>
        <v>1</v>
      </c>
      <c r="Q334" s="3" t="str">
        <f>_xlfn.IFNA(INDEX(ConformanceSubstrates!C2:C999, MATCH(D334,ConformanceSubstrates!A2:A999, 0)), "")</f>
        <v>OWL / SHACL</v>
      </c>
      <c r="R334" s="3" t="str">
        <f>_xlfn.IFNA(INDEX(RulebookTables!F2:F999, MATCH(E334,RulebookTables!A2:A999, 0)), "")</f>
        <v>meta</v>
      </c>
      <c r="S334" s="2" t="s">
        <v>1898</v>
      </c>
    </row>
    <row r="335">
      <c r="A335" s="2" t="s">
        <v>14342</v>
      </c>
      <c r="B335" s="3" t="str">
        <f>_xlfn.CONCAT(D335, " / ", E335)</f>
        <v>effortless-owl / OntologyProfiles</v>
      </c>
      <c r="C335" s="2" t="s">
        <v>13999</v>
      </c>
      <c r="D335" s="2" t="s">
        <v>13993</v>
      </c>
      <c r="E335" s="2" t="s">
        <v>2403</v>
      </c>
      <c r="F335" s="2">
        <v>11</v>
      </c>
      <c r="G335" s="2">
        <v>1</v>
      </c>
      <c r="H335" s="2">
        <v>11</v>
      </c>
      <c r="I335" s="2">
        <v>11</v>
      </c>
      <c r="J335" s="2" t="b">
        <v>0</v>
      </c>
      <c r="K335" s="3">
        <f>H335 - I335</f>
        <v>0</v>
      </c>
      <c r="L335" s="3">
        <f>IF(H335 = 0, 0, ROUND(100 * I335 / H335, 2))</f>
        <v>100</v>
      </c>
      <c r="M335" s="3" t="b">
        <f>K335 = 0</f>
        <v>1</v>
      </c>
      <c r="N335" s="3" t="str">
        <f>IF(M335, "", D335)</f>
      </c>
      <c r="O335" s="3" t="str">
        <f>IF(M335, "", E335)</f>
      </c>
      <c r="P335" s="3">
        <f>COUNTIFS(FieldDisagreements!E2:E999, A335)</f>
        <v>0</v>
      </c>
      <c r="Q335" s="3" t="str">
        <f>_xlfn.IFNA(INDEX(ConformanceSubstrates!C2:C999, MATCH(D335,ConformanceSubstrates!A2:A999, 0)), "")</f>
        <v>OWL / SHACL</v>
      </c>
      <c r="R335" s="3" t="str">
        <f>_xlfn.IFNA(INDEX(RulebookTables!F2:F999, MATCH(E335,RulebookTables!A2:A999, 0)), "")</f>
        <v>domain</v>
      </c>
      <c r="S335" s="2" t="s">
        <v>1898</v>
      </c>
    </row>
    <row r="336">
      <c r="A336" s="2" t="s">
        <v>14343</v>
      </c>
      <c r="B336" s="3" t="str">
        <f>_xlfn.CONCAT(D336, " / ", E336)</f>
        <v>effortless-owl / EvaluationContexts</v>
      </c>
      <c r="C336" s="2" t="s">
        <v>13999</v>
      </c>
      <c r="D336" s="2" t="s">
        <v>13993</v>
      </c>
      <c r="E336" s="2" t="s">
        <v>2413</v>
      </c>
      <c r="F336" s="2">
        <v>1</v>
      </c>
      <c r="G336" s="2">
        <v>1</v>
      </c>
      <c r="H336" s="2">
        <v>1</v>
      </c>
      <c r="I336" s="2">
        <v>1</v>
      </c>
      <c r="J336" s="2" t="b">
        <v>0</v>
      </c>
      <c r="K336" s="3">
        <f>H336 - I336</f>
        <v>0</v>
      </c>
      <c r="L336" s="3">
        <f>IF(H336 = 0, 0, ROUND(100 * I336 / H336, 2))</f>
        <v>100</v>
      </c>
      <c r="M336" s="3" t="b">
        <f>K336 = 0</f>
        <v>1</v>
      </c>
      <c r="N336" s="3" t="str">
        <f>IF(M336, "", D336)</f>
      </c>
      <c r="O336" s="3" t="str">
        <f>IF(M336, "", E336)</f>
      </c>
      <c r="P336" s="3">
        <f>COUNTIFS(FieldDisagreements!E2:E999, A336)</f>
        <v>0</v>
      </c>
      <c r="Q336" s="3" t="str">
        <f>_xlfn.IFNA(INDEX(ConformanceSubstrates!C2:C999, MATCH(D336,ConformanceSubstrates!A2:A999, 0)), "")</f>
        <v>OWL / SHACL</v>
      </c>
      <c r="R336" s="3" t="str">
        <f>_xlfn.IFNA(INDEX(RulebookTables!F2:F999, MATCH(E336,RulebookTables!A2:A999, 0)), "")</f>
        <v>meta</v>
      </c>
      <c r="S336" s="2" t="s">
        <v>1898</v>
      </c>
    </row>
    <row r="337">
      <c r="A337" s="2" t="s">
        <v>14344</v>
      </c>
      <c r="B337" s="3" t="str">
        <f>_xlfn.CONCAT(D337, " / ", E337)</f>
        <v>effortless-owl / Organizations</v>
      </c>
      <c r="C337" s="2" t="s">
        <v>13999</v>
      </c>
      <c r="D337" s="2" t="s">
        <v>13993</v>
      </c>
      <c r="E337" s="2" t="s">
        <v>2422</v>
      </c>
      <c r="F337" s="2">
        <v>4</v>
      </c>
      <c r="G337" s="2">
        <v>1</v>
      </c>
      <c r="H337" s="2">
        <v>4</v>
      </c>
      <c r="I337" s="2">
        <v>4</v>
      </c>
      <c r="J337" s="2" t="b">
        <v>0</v>
      </c>
      <c r="K337" s="3">
        <f>H337 - I337</f>
        <v>0</v>
      </c>
      <c r="L337" s="3">
        <f>IF(H337 = 0, 0, ROUND(100 * I337 / H337, 2))</f>
        <v>100</v>
      </c>
      <c r="M337" s="3" t="b">
        <f>K337 = 0</f>
        <v>1</v>
      </c>
      <c r="N337" s="3" t="str">
        <f>IF(M337, "", D337)</f>
      </c>
      <c r="O337" s="3" t="str">
        <f>IF(M337, "", E337)</f>
      </c>
      <c r="P337" s="3">
        <f>COUNTIFS(FieldDisagreements!E2:E999, A337)</f>
        <v>0</v>
      </c>
      <c r="Q337" s="3" t="str">
        <f>_xlfn.IFNA(INDEX(ConformanceSubstrates!C2:C999, MATCH(D337,ConformanceSubstrates!A2:A999, 0)), "")</f>
        <v>OWL / SHACL</v>
      </c>
      <c r="R337" s="3" t="str">
        <f>_xlfn.IFNA(INDEX(RulebookTables!F2:F999, MATCH(E337,RulebookTables!A2:A999, 0)), "")</f>
        <v>org</v>
      </c>
      <c r="S337" s="2" t="s">
        <v>1898</v>
      </c>
    </row>
    <row r="338">
      <c r="A338" s="2" t="s">
        <v>14345</v>
      </c>
      <c r="B338" s="3" t="str">
        <f>_xlfn.CONCAT(D338, " / ", E338)</f>
        <v>effortless-owl / Agents</v>
      </c>
      <c r="C338" s="2" t="s">
        <v>13999</v>
      </c>
      <c r="D338" s="2" t="s">
        <v>13993</v>
      </c>
      <c r="E338" s="2" t="s">
        <v>1794</v>
      </c>
      <c r="F338" s="2">
        <v>11</v>
      </c>
      <c r="G338" s="2">
        <v>16</v>
      </c>
      <c r="H338" s="2">
        <v>176</v>
      </c>
      <c r="I338" s="2">
        <v>176</v>
      </c>
      <c r="J338" s="2" t="b">
        <v>0</v>
      </c>
      <c r="K338" s="3">
        <f>H338 - I338</f>
        <v>0</v>
      </c>
      <c r="L338" s="3">
        <f>IF(H338 = 0, 0, ROUND(100 * I338 / H338, 2))</f>
        <v>100</v>
      </c>
      <c r="M338" s="3" t="b">
        <f>K338 = 0</f>
        <v>1</v>
      </c>
      <c r="N338" s="3" t="str">
        <f>IF(M338, "", D338)</f>
      </c>
      <c r="O338" s="3" t="str">
        <f>IF(M338, "", E338)</f>
      </c>
      <c r="P338" s="3">
        <f>COUNTIFS(FieldDisagreements!E2:E999, A338)</f>
        <v>0</v>
      </c>
      <c r="Q338" s="3" t="str">
        <f>_xlfn.IFNA(INDEX(ConformanceSubstrates!C2:C999, MATCH(D338,ConformanceSubstrates!A2:A999, 0)), "")</f>
        <v>OWL / SHACL</v>
      </c>
      <c r="R338" s="3" t="str">
        <f>_xlfn.IFNA(INDEX(RulebookTables!F2:F999, MATCH(E338,RulebookTables!A2:A999, 0)), "")</f>
        <v>org</v>
      </c>
      <c r="S338" s="2" t="s">
        <v>1898</v>
      </c>
    </row>
    <row r="339">
      <c r="A339" s="2" t="s">
        <v>14346</v>
      </c>
      <c r="B339" s="3" t="str">
        <f>_xlfn.CONCAT(D339, " / ", E339)</f>
        <v>effortless-owl / Roles</v>
      </c>
      <c r="C339" s="2" t="s">
        <v>13999</v>
      </c>
      <c r="D339" s="2" t="s">
        <v>13993</v>
      </c>
      <c r="E339" s="2" t="s">
        <v>1798</v>
      </c>
      <c r="F339" s="2">
        <v>12</v>
      </c>
      <c r="G339" s="2">
        <v>17</v>
      </c>
      <c r="H339" s="2">
        <v>204</v>
      </c>
      <c r="I339" s="2">
        <v>204</v>
      </c>
      <c r="J339" s="2" t="b">
        <v>0</v>
      </c>
      <c r="K339" s="3">
        <f>H339 - I339</f>
        <v>0</v>
      </c>
      <c r="L339" s="3">
        <f>IF(H339 = 0, 0, ROUND(100 * I339 / H339, 2))</f>
        <v>100</v>
      </c>
      <c r="M339" s="3" t="b">
        <f>K339 = 0</f>
        <v>1</v>
      </c>
      <c r="N339" s="3" t="str">
        <f>IF(M339, "", D339)</f>
      </c>
      <c r="O339" s="3" t="str">
        <f>IF(M339, "", E339)</f>
      </c>
      <c r="P339" s="3">
        <f>COUNTIFS(FieldDisagreements!E2:E999, A339)</f>
        <v>0</v>
      </c>
      <c r="Q339" s="3" t="str">
        <f>_xlfn.IFNA(INDEX(ConformanceSubstrates!C2:C999, MATCH(D339,ConformanceSubstrates!A2:A999, 0)), "")</f>
        <v>OWL / SHACL</v>
      </c>
      <c r="R339" s="3" t="str">
        <f>_xlfn.IFNA(INDEX(RulebookTables!F2:F999, MATCH(E339,RulebookTables!A2:A999, 0)), "")</f>
        <v>org</v>
      </c>
      <c r="S339" s="2" t="s">
        <v>1898</v>
      </c>
    </row>
    <row r="340">
      <c r="A340" s="2" t="s">
        <v>14347</v>
      </c>
      <c r="B340" s="3" t="str">
        <f>_xlfn.CONCAT(D340, " / ", E340)</f>
        <v>effortless-owl / RoleAssignments</v>
      </c>
      <c r="C340" s="2" t="s">
        <v>13999</v>
      </c>
      <c r="D340" s="2" t="s">
        <v>13993</v>
      </c>
      <c r="E340" s="2" t="s">
        <v>1801</v>
      </c>
      <c r="F340" s="2">
        <v>13</v>
      </c>
      <c r="G340" s="2">
        <v>47</v>
      </c>
      <c r="H340" s="2">
        <v>611</v>
      </c>
      <c r="I340" s="2">
        <v>597</v>
      </c>
      <c r="J340" s="2" t="b">
        <v>0</v>
      </c>
      <c r="K340" s="3">
        <f>H340 - I340</f>
        <v>14</v>
      </c>
      <c r="L340" s="3">
        <f>IF(H340 = 0, 0, ROUND(100 * I340 / H340, 2))</f>
        <v>97.71</v>
      </c>
      <c r="M340" s="3" t="b">
        <f>K340 = 0</f>
        <v>0</v>
      </c>
      <c r="N340" s="3" t="str">
        <f>IF(M340, "", D340)</f>
        <v>effortless-owl</v>
      </c>
      <c r="O340" s="3" t="str">
        <f>IF(M340, "", E340)</f>
        <v>RoleAssignments</v>
      </c>
      <c r="P340" s="3">
        <f>COUNTIFS(FieldDisagreements!E2:E999, A340)</f>
        <v>2</v>
      </c>
      <c r="Q340" s="3" t="str">
        <f>_xlfn.IFNA(INDEX(ConformanceSubstrates!C2:C999, MATCH(D340,ConformanceSubstrates!A2:A999, 0)), "")</f>
        <v>OWL / SHACL</v>
      </c>
      <c r="R340" s="3" t="str">
        <f>_xlfn.IFNA(INDEX(RulebookTables!F2:F999, MATCH(E340,RulebookTables!A2:A999, 0)), "")</f>
        <v>org</v>
      </c>
      <c r="S340" s="2" t="s">
        <v>1898</v>
      </c>
    </row>
    <row r="341">
      <c r="A341" s="2" t="s">
        <v>14348</v>
      </c>
      <c r="B341" s="3" t="str">
        <f>_xlfn.CONCAT(D341, " / ", E341)</f>
        <v>effortless-owl / CommunitiesOfPractice</v>
      </c>
      <c r="C341" s="2" t="s">
        <v>13999</v>
      </c>
      <c r="D341" s="2" t="s">
        <v>13993</v>
      </c>
      <c r="E341" s="2" t="s">
        <v>2624</v>
      </c>
      <c r="F341" s="2">
        <v>2</v>
      </c>
      <c r="G341" s="2">
        <v>1</v>
      </c>
      <c r="H341" s="2">
        <v>2</v>
      </c>
      <c r="I341" s="2">
        <v>2</v>
      </c>
      <c r="J341" s="2" t="b">
        <v>0</v>
      </c>
      <c r="K341" s="3">
        <f>H341 - I341</f>
        <v>0</v>
      </c>
      <c r="L341" s="3">
        <f>IF(H341 = 0, 0, ROUND(100 * I341 / H341, 2))</f>
        <v>100</v>
      </c>
      <c r="M341" s="3" t="b">
        <f>K341 = 0</f>
        <v>1</v>
      </c>
      <c r="N341" s="3" t="str">
        <f>IF(M341, "", D341)</f>
      </c>
      <c r="O341" s="3" t="str">
        <f>IF(M341, "", E341)</f>
      </c>
      <c r="P341" s="3">
        <f>COUNTIFS(FieldDisagreements!E2:E999, A341)</f>
        <v>0</v>
      </c>
      <c r="Q341" s="3" t="str">
        <f>_xlfn.IFNA(INDEX(ConformanceSubstrates!C2:C999, MATCH(D341,ConformanceSubstrates!A2:A999, 0)), "")</f>
        <v>OWL / SHACL</v>
      </c>
      <c r="R341" s="3" t="str">
        <f>_xlfn.IFNA(INDEX(RulebookTables!F2:F999, MATCH(E341,RulebookTables!A2:A999, 0)), "")</f>
        <v>org</v>
      </c>
      <c r="S341" s="2" t="s">
        <v>1898</v>
      </c>
    </row>
    <row r="342">
      <c r="A342" s="2" t="s">
        <v>14349</v>
      </c>
      <c r="B342" s="3" t="str">
        <f>_xlfn.CONCAT(D342, " / ", E342)</f>
        <v>effortless-owl / Mentorships</v>
      </c>
      <c r="C342" s="2" t="s">
        <v>13999</v>
      </c>
      <c r="D342" s="2" t="s">
        <v>13993</v>
      </c>
      <c r="E342" s="2" t="s">
        <v>2633</v>
      </c>
      <c r="F342" s="2">
        <v>1</v>
      </c>
      <c r="G342" s="2">
        <v>1</v>
      </c>
      <c r="H342" s="2">
        <v>1</v>
      </c>
      <c r="I342" s="2">
        <v>1</v>
      </c>
      <c r="J342" s="2" t="b">
        <v>0</v>
      </c>
      <c r="K342" s="3">
        <f>H342 - I342</f>
        <v>0</v>
      </c>
      <c r="L342" s="3">
        <f>IF(H342 = 0, 0, ROUND(100 * I342 / H342, 2))</f>
        <v>100</v>
      </c>
      <c r="M342" s="3" t="b">
        <f>K342 = 0</f>
        <v>1</v>
      </c>
      <c r="N342" s="3" t="str">
        <f>IF(M342, "", D342)</f>
      </c>
      <c r="O342" s="3" t="str">
        <f>IF(M342, "", E342)</f>
      </c>
      <c r="P342" s="3">
        <f>COUNTIFS(FieldDisagreements!E2:E999, A342)</f>
        <v>0</v>
      </c>
      <c r="Q342" s="3" t="str">
        <f>_xlfn.IFNA(INDEX(ConformanceSubstrates!C2:C999, MATCH(D342,ConformanceSubstrates!A2:A999, 0)), "")</f>
        <v>OWL / SHACL</v>
      </c>
      <c r="R342" s="3" t="str">
        <f>_xlfn.IFNA(INDEX(RulebookTables!F2:F999, MATCH(E342,RulebookTables!A2:A999, 0)), "")</f>
        <v>org</v>
      </c>
      <c r="S342" s="2" t="s">
        <v>1898</v>
      </c>
    </row>
    <row r="343">
      <c r="A343" s="2" t="s">
        <v>14350</v>
      </c>
      <c r="B343" s="3" t="str">
        <f>_xlfn.CONCAT(D343, " / ", E343)</f>
        <v>effortless-owl / ProcedureTypes</v>
      </c>
      <c r="C343" s="2" t="s">
        <v>13999</v>
      </c>
      <c r="D343" s="2" t="s">
        <v>13993</v>
      </c>
      <c r="E343" s="2" t="s">
        <v>2645</v>
      </c>
      <c r="F343" s="2">
        <v>2</v>
      </c>
      <c r="G343" s="2">
        <v>1</v>
      </c>
      <c r="H343" s="2">
        <v>2</v>
      </c>
      <c r="I343" s="2">
        <v>2</v>
      </c>
      <c r="J343" s="2" t="b">
        <v>0</v>
      </c>
      <c r="K343" s="3">
        <f>H343 - I343</f>
        <v>0</v>
      </c>
      <c r="L343" s="3">
        <f>IF(H343 = 0, 0, ROUND(100 * I343 / H343, 2))</f>
        <v>100</v>
      </c>
      <c r="M343" s="3" t="b">
        <f>K343 = 0</f>
        <v>1</v>
      </c>
      <c r="N343" s="3" t="str">
        <f>IF(M343, "", D343)</f>
      </c>
      <c r="O343" s="3" t="str">
        <f>IF(M343, "", E343)</f>
      </c>
      <c r="P343" s="3">
        <f>COUNTIFS(FieldDisagreements!E2:E999, A343)</f>
        <v>0</v>
      </c>
      <c r="Q343" s="3" t="str">
        <f>_xlfn.IFNA(INDEX(ConformanceSubstrates!C2:C999, MATCH(D343,ConformanceSubstrates!A2:A999, 0)), "")</f>
        <v>OWL / SHACL</v>
      </c>
      <c r="R343" s="3" t="str">
        <f>_xlfn.IFNA(INDEX(RulebookTables!F2:F999, MATCH(E343,RulebookTables!A2:A999, 0)), "")</f>
        <v>specification</v>
      </c>
      <c r="S343" s="2" t="s">
        <v>1898</v>
      </c>
    </row>
    <row r="344">
      <c r="A344" s="2" t="s">
        <v>14351</v>
      </c>
      <c r="B344" s="3" t="str">
        <f>_xlfn.CONCAT(D344, " / ", E344)</f>
        <v>effortless-owl / Procedures</v>
      </c>
      <c r="C344" s="2" t="s">
        <v>13999</v>
      </c>
      <c r="D344" s="2" t="s">
        <v>13993</v>
      </c>
      <c r="E344" s="2" t="s">
        <v>1742</v>
      </c>
      <c r="F344" s="2">
        <v>2</v>
      </c>
      <c r="G344" s="2">
        <v>1</v>
      </c>
      <c r="H344" s="2">
        <v>2</v>
      </c>
      <c r="I344" s="2">
        <v>2</v>
      </c>
      <c r="J344" s="2" t="b">
        <v>0</v>
      </c>
      <c r="K344" s="3">
        <f>H344 - I344</f>
        <v>0</v>
      </c>
      <c r="L344" s="3">
        <f>IF(H344 = 0, 0, ROUND(100 * I344 / H344, 2))</f>
        <v>100</v>
      </c>
      <c r="M344" s="3" t="b">
        <f>K344 = 0</f>
        <v>1</v>
      </c>
      <c r="N344" s="3" t="str">
        <f>IF(M344, "", D344)</f>
      </c>
      <c r="O344" s="3" t="str">
        <f>IF(M344, "", E344)</f>
      </c>
      <c r="P344" s="3">
        <f>COUNTIFS(FieldDisagreements!E2:E999, A344)</f>
        <v>0</v>
      </c>
      <c r="Q344" s="3" t="str">
        <f>_xlfn.IFNA(INDEX(ConformanceSubstrates!C2:C999, MATCH(D344,ConformanceSubstrates!A2:A999, 0)), "")</f>
        <v>OWL / SHACL</v>
      </c>
      <c r="R344" s="3" t="str">
        <f>_xlfn.IFNA(INDEX(RulebookTables!F2:F999, MATCH(E344,RulebookTables!A2:A999, 0)), "")</f>
        <v>specification</v>
      </c>
      <c r="S344" s="2" t="s">
        <v>1898</v>
      </c>
    </row>
    <row r="345">
      <c r="A345" s="2" t="s">
        <v>14352</v>
      </c>
      <c r="B345" s="3" t="str">
        <f>_xlfn.CONCAT(D345, " / ", E345)</f>
        <v>effortless-owl / ProcedureVersions</v>
      </c>
      <c r="C345" s="2" t="s">
        <v>13999</v>
      </c>
      <c r="D345" s="2" t="s">
        <v>13993</v>
      </c>
      <c r="E345" s="2" t="s">
        <v>1747</v>
      </c>
      <c r="F345" s="2">
        <v>3</v>
      </c>
      <c r="G345" s="2">
        <v>72</v>
      </c>
      <c r="H345" s="2">
        <v>216</v>
      </c>
      <c r="I345" s="2">
        <v>203</v>
      </c>
      <c r="J345" s="2" t="b">
        <v>0</v>
      </c>
      <c r="K345" s="3">
        <f>H345 - I345</f>
        <v>13</v>
      </c>
      <c r="L345" s="3">
        <f>IF(H345 = 0, 0, ROUND(100 * I345 / H345, 2))</f>
        <v>93.98</v>
      </c>
      <c r="M345" s="3" t="b">
        <f>K345 = 0</f>
        <v>0</v>
      </c>
      <c r="N345" s="3" t="str">
        <f>IF(M345, "", D345)</f>
        <v>effortless-owl</v>
      </c>
      <c r="O345" s="3" t="str">
        <f>IF(M345, "", E345)</f>
        <v>ProcedureVersions</v>
      </c>
      <c r="P345" s="3">
        <f>COUNTIFS(FieldDisagreements!E2:E999, A345)</f>
        <v>8</v>
      </c>
      <c r="Q345" s="3" t="str">
        <f>_xlfn.IFNA(INDEX(ConformanceSubstrates!C2:C999, MATCH(D345,ConformanceSubstrates!A2:A999, 0)), "")</f>
        <v>OWL / SHACL</v>
      </c>
      <c r="R345" s="3" t="str">
        <f>_xlfn.IFNA(INDEX(RulebookTables!F2:F999, MATCH(E345,RulebookTables!A2:A999, 0)), "")</f>
        <v>specification</v>
      </c>
      <c r="S345" s="2" t="s">
        <v>1898</v>
      </c>
    </row>
    <row r="346">
      <c r="A346" s="2" t="s">
        <v>14353</v>
      </c>
      <c r="B346" s="3" t="str">
        <f>_xlfn.CONCAT(D346, " / ", E346)</f>
        <v>effortless-owl / ProcedureVersionLinks</v>
      </c>
      <c r="C346" s="2" t="s">
        <v>13999</v>
      </c>
      <c r="D346" s="2" t="s">
        <v>13993</v>
      </c>
      <c r="E346" s="2" t="s">
        <v>2818</v>
      </c>
      <c r="F346" s="2">
        <v>1</v>
      </c>
      <c r="G346" s="2">
        <v>2</v>
      </c>
      <c r="H346" s="2">
        <v>2</v>
      </c>
      <c r="I346" s="2">
        <v>1</v>
      </c>
      <c r="J346" s="2" t="b">
        <v>0</v>
      </c>
      <c r="K346" s="3">
        <f>H346 - I346</f>
        <v>1</v>
      </c>
      <c r="L346" s="3">
        <f>IF(H346 = 0, 0, ROUND(100 * I346 / H346, 2))</f>
        <v>50</v>
      </c>
      <c r="M346" s="3" t="b">
        <f>K346 = 0</f>
        <v>0</v>
      </c>
      <c r="N346" s="3" t="str">
        <f>IF(M346, "", D346)</f>
        <v>effortless-owl</v>
      </c>
      <c r="O346" s="3" t="str">
        <f>IF(M346, "", E346)</f>
        <v>ProcedureVersionLinks</v>
      </c>
      <c r="P346" s="3">
        <f>COUNTIFS(FieldDisagreements!E2:E999, A346)</f>
        <v>1</v>
      </c>
      <c r="Q346" s="3" t="str">
        <f>_xlfn.IFNA(INDEX(ConformanceSubstrates!C2:C999, MATCH(D346,ConformanceSubstrates!A2:A999, 0)), "")</f>
        <v>OWL / SHACL</v>
      </c>
      <c r="R346" s="3" t="str">
        <f>_xlfn.IFNA(INDEX(RulebookTables!F2:F999, MATCH(E346,RulebookTables!A2:A999, 0)), "")</f>
        <v>specification</v>
      </c>
      <c r="S346" s="2" t="s">
        <v>1898</v>
      </c>
    </row>
    <row r="347">
      <c r="A347" s="2" t="s">
        <v>14354</v>
      </c>
      <c r="B347" s="3" t="str">
        <f>_xlfn.CONCAT(D347, " / ", E347)</f>
        <v>effortless-owl / ProcedureStatusChanges</v>
      </c>
      <c r="C347" s="2" t="s">
        <v>13999</v>
      </c>
      <c r="D347" s="2" t="s">
        <v>13993</v>
      </c>
      <c r="E347" s="2" t="s">
        <v>1755</v>
      </c>
      <c r="F347" s="2">
        <v>5</v>
      </c>
      <c r="G347" s="2">
        <v>1</v>
      </c>
      <c r="H347" s="2">
        <v>5</v>
      </c>
      <c r="I347" s="2">
        <v>5</v>
      </c>
      <c r="J347" s="2" t="b">
        <v>0</v>
      </c>
      <c r="K347" s="3">
        <f>H347 - I347</f>
        <v>0</v>
      </c>
      <c r="L347" s="3">
        <f>IF(H347 = 0, 0, ROUND(100 * I347 / H347, 2))</f>
        <v>100</v>
      </c>
      <c r="M347" s="3" t="b">
        <f>K347 = 0</f>
        <v>1</v>
      </c>
      <c r="N347" s="3" t="str">
        <f>IF(M347, "", D347)</f>
      </c>
      <c r="O347" s="3" t="str">
        <f>IF(M347, "", E347)</f>
      </c>
      <c r="P347" s="3">
        <f>COUNTIFS(FieldDisagreements!E2:E999, A347)</f>
        <v>0</v>
      </c>
      <c r="Q347" s="3" t="str">
        <f>_xlfn.IFNA(INDEX(ConformanceSubstrates!C2:C999, MATCH(D347,ConformanceSubstrates!A2:A999, 0)), "")</f>
        <v>OWL / SHACL</v>
      </c>
      <c r="R347" s="3" t="str">
        <f>_xlfn.IFNA(INDEX(RulebookTables!F2:F999, MATCH(E347,RulebookTables!A2:A999, 0)), "")</f>
        <v>specification</v>
      </c>
      <c r="S347" s="2" t="s">
        <v>1898</v>
      </c>
    </row>
    <row r="348">
      <c r="A348" s="2" t="s">
        <v>14355</v>
      </c>
      <c r="B348" s="3" t="str">
        <f>_xlfn.CONCAT(D348, " / ", E348)</f>
        <v>effortless-owl / Steps</v>
      </c>
      <c r="C348" s="2" t="s">
        <v>13999</v>
      </c>
      <c r="D348" s="2" t="s">
        <v>13993</v>
      </c>
      <c r="E348" s="2" t="s">
        <v>1758</v>
      </c>
      <c r="F348" s="2">
        <v>17</v>
      </c>
      <c r="G348" s="2">
        <v>30</v>
      </c>
      <c r="H348" s="2">
        <v>510</v>
      </c>
      <c r="I348" s="2">
        <v>498</v>
      </c>
      <c r="J348" s="2" t="b">
        <v>0</v>
      </c>
      <c r="K348" s="3">
        <f>H348 - I348</f>
        <v>12</v>
      </c>
      <c r="L348" s="3">
        <f>IF(H348 = 0, 0, ROUND(100 * I348 / H348, 2))</f>
        <v>97.65</v>
      </c>
      <c r="M348" s="3" t="b">
        <f>K348 = 0</f>
        <v>0</v>
      </c>
      <c r="N348" s="3" t="str">
        <f>IF(M348, "", D348)</f>
        <v>effortless-owl</v>
      </c>
      <c r="O348" s="3" t="str">
        <f>IF(M348, "", E348)</f>
        <v>Steps</v>
      </c>
      <c r="P348" s="3">
        <f>COUNTIFS(FieldDisagreements!E2:E999, A348)</f>
        <v>4</v>
      </c>
      <c r="Q348" s="3" t="str">
        <f>_xlfn.IFNA(INDEX(ConformanceSubstrates!C2:C999, MATCH(D348,ConformanceSubstrates!A2:A999, 0)), "")</f>
        <v>OWL / SHACL</v>
      </c>
      <c r="R348" s="3" t="str">
        <f>_xlfn.IFNA(INDEX(RulebookTables!F2:F999, MATCH(E348,RulebookTables!A2:A999, 0)), "")</f>
        <v>specification</v>
      </c>
      <c r="S348" s="2" t="s">
        <v>1898</v>
      </c>
    </row>
    <row r="349">
      <c r="A349" s="2" t="s">
        <v>14356</v>
      </c>
      <c r="B349" s="3" t="str">
        <f>_xlfn.CONCAT(D349, " / ", E349)</f>
        <v>effortless-owl / StepTransitions</v>
      </c>
      <c r="C349" s="2" t="s">
        <v>13999</v>
      </c>
      <c r="D349" s="2" t="s">
        <v>13993</v>
      </c>
      <c r="E349" s="2" t="s">
        <v>1764</v>
      </c>
      <c r="F349" s="2">
        <v>19</v>
      </c>
      <c r="G349" s="2">
        <v>15</v>
      </c>
      <c r="H349" s="2">
        <v>285</v>
      </c>
      <c r="I349" s="2">
        <v>215</v>
      </c>
      <c r="J349" s="2" t="b">
        <v>0</v>
      </c>
      <c r="K349" s="3">
        <f>H349 - I349</f>
        <v>70</v>
      </c>
      <c r="L349" s="3">
        <f>IF(H349 = 0, 0, ROUND(100 * I349 / H349, 2))</f>
        <v>75.44</v>
      </c>
      <c r="M349" s="3" t="b">
        <f>K349 = 0</f>
        <v>0</v>
      </c>
      <c r="N349" s="3" t="str">
        <f>IF(M349, "", D349)</f>
        <v>effortless-owl</v>
      </c>
      <c r="O349" s="3" t="str">
        <f>IF(M349, "", E349)</f>
        <v>StepTransitions</v>
      </c>
      <c r="P349" s="3">
        <f>COUNTIFS(FieldDisagreements!E2:E999, A349)</f>
        <v>6</v>
      </c>
      <c r="Q349" s="3" t="str">
        <f>_xlfn.IFNA(INDEX(ConformanceSubstrates!C2:C999, MATCH(D349,ConformanceSubstrates!A2:A999, 0)), "")</f>
        <v>OWL / SHACL</v>
      </c>
      <c r="R349" s="3" t="str">
        <f>_xlfn.IFNA(INDEX(RulebookTables!F2:F999, MATCH(E349,RulebookTables!A2:A999, 0)), "")</f>
        <v>specification</v>
      </c>
      <c r="S349" s="2" t="s">
        <v>1898</v>
      </c>
    </row>
    <row r="350">
      <c r="A350" s="2" t="s">
        <v>14357</v>
      </c>
      <c r="B350" s="3" t="str">
        <f>_xlfn.CONCAT(D350, " / ", E350)</f>
        <v>effortless-owl / Actions</v>
      </c>
      <c r="C350" s="2" t="s">
        <v>13999</v>
      </c>
      <c r="D350" s="2" t="s">
        <v>13993</v>
      </c>
      <c r="E350" s="2" t="s">
        <v>1776</v>
      </c>
      <c r="F350" s="2">
        <v>9</v>
      </c>
      <c r="G350" s="2">
        <v>1</v>
      </c>
      <c r="H350" s="2">
        <v>9</v>
      </c>
      <c r="I350" s="2">
        <v>9</v>
      </c>
      <c r="J350" s="2" t="b">
        <v>0</v>
      </c>
      <c r="K350" s="3">
        <f>H350 - I350</f>
        <v>0</v>
      </c>
      <c r="L350" s="3">
        <f>IF(H350 = 0, 0, ROUND(100 * I350 / H350, 2))</f>
        <v>100</v>
      </c>
      <c r="M350" s="3" t="b">
        <f>K350 = 0</f>
        <v>1</v>
      </c>
      <c r="N350" s="3" t="str">
        <f>IF(M350, "", D350)</f>
      </c>
      <c r="O350" s="3" t="str">
        <f>IF(M350, "", E350)</f>
      </c>
      <c r="P350" s="3">
        <f>COUNTIFS(FieldDisagreements!E2:E999, A350)</f>
        <v>0</v>
      </c>
      <c r="Q350" s="3" t="str">
        <f>_xlfn.IFNA(INDEX(ConformanceSubstrates!C2:C999, MATCH(D350,ConformanceSubstrates!A2:A999, 0)), "")</f>
        <v>OWL / SHACL</v>
      </c>
      <c r="R350" s="3" t="str">
        <f>_xlfn.IFNA(INDEX(RulebookTables!F2:F999, MATCH(E350,RulebookTables!A2:A999, 0)), "")</f>
        <v>specification</v>
      </c>
      <c r="S350" s="2" t="s">
        <v>1898</v>
      </c>
    </row>
    <row r="351">
      <c r="A351" s="2" t="s">
        <v>14358</v>
      </c>
      <c r="B351" s="3" t="str">
        <f>_xlfn.CONCAT(D351, " / ", E351)</f>
        <v>effortless-owl / Functions</v>
      </c>
      <c r="C351" s="2" t="s">
        <v>13999</v>
      </c>
      <c r="D351" s="2" t="s">
        <v>13993</v>
      </c>
      <c r="E351" s="2" t="s">
        <v>1779</v>
      </c>
      <c r="F351" s="2">
        <v>8</v>
      </c>
      <c r="G351" s="2">
        <v>1</v>
      </c>
      <c r="H351" s="2">
        <v>8</v>
      </c>
      <c r="I351" s="2">
        <v>8</v>
      </c>
      <c r="J351" s="2" t="b">
        <v>0</v>
      </c>
      <c r="K351" s="3">
        <f>H351 - I351</f>
        <v>0</v>
      </c>
      <c r="L351" s="3">
        <f>IF(H351 = 0, 0, ROUND(100 * I351 / H351, 2))</f>
        <v>100</v>
      </c>
      <c r="M351" s="3" t="b">
        <f>K351 = 0</f>
        <v>1</v>
      </c>
      <c r="N351" s="3" t="str">
        <f>IF(M351, "", D351)</f>
      </c>
      <c r="O351" s="3" t="str">
        <f>IF(M351, "", E351)</f>
      </c>
      <c r="P351" s="3">
        <f>COUNTIFS(FieldDisagreements!E2:E999, A351)</f>
        <v>0</v>
      </c>
      <c r="Q351" s="3" t="str">
        <f>_xlfn.IFNA(INDEX(ConformanceSubstrates!C2:C999, MATCH(D351,ConformanceSubstrates!A2:A999, 0)), "")</f>
        <v>OWL / SHACL</v>
      </c>
      <c r="R351" s="3" t="str">
        <f>_xlfn.IFNA(INDEX(RulebookTables!F2:F999, MATCH(E351,RulebookTables!A2:A999, 0)), "")</f>
        <v>specification</v>
      </c>
      <c r="S351" s="2" t="s">
        <v>1898</v>
      </c>
    </row>
    <row r="352">
      <c r="A352" s="2" t="s">
        <v>14359</v>
      </c>
      <c r="B352" s="3" t="str">
        <f>_xlfn.CONCAT(D352, " / ", E352)</f>
        <v>effortless-owl / Tools</v>
      </c>
      <c r="C352" s="2" t="s">
        <v>13999</v>
      </c>
      <c r="D352" s="2" t="s">
        <v>13993</v>
      </c>
      <c r="E352" s="2" t="s">
        <v>1782</v>
      </c>
      <c r="F352" s="2">
        <v>8</v>
      </c>
      <c r="G352" s="2">
        <v>1</v>
      </c>
      <c r="H352" s="2">
        <v>8</v>
      </c>
      <c r="I352" s="2">
        <v>8</v>
      </c>
      <c r="J352" s="2" t="b">
        <v>0</v>
      </c>
      <c r="K352" s="3">
        <f>H352 - I352</f>
        <v>0</v>
      </c>
      <c r="L352" s="3">
        <f>IF(H352 = 0, 0, ROUND(100 * I352 / H352, 2))</f>
        <v>100</v>
      </c>
      <c r="M352" s="3" t="b">
        <f>K352 = 0</f>
        <v>1</v>
      </c>
      <c r="N352" s="3" t="str">
        <f>IF(M352, "", D352)</f>
      </c>
      <c r="O352" s="3" t="str">
        <f>IF(M352, "", E352)</f>
      </c>
      <c r="P352" s="3">
        <f>COUNTIFS(FieldDisagreements!E2:E999, A352)</f>
        <v>0</v>
      </c>
      <c r="Q352" s="3" t="str">
        <f>_xlfn.IFNA(INDEX(ConformanceSubstrates!C2:C999, MATCH(D352,ConformanceSubstrates!A2:A999, 0)), "")</f>
        <v>OWL / SHACL</v>
      </c>
      <c r="R352" s="3" t="str">
        <f>_xlfn.IFNA(INDEX(RulebookTables!F2:F999, MATCH(E352,RulebookTables!A2:A999, 0)), "")</f>
        <v>specification</v>
      </c>
      <c r="S352" s="2" t="s">
        <v>1898</v>
      </c>
    </row>
    <row r="353">
      <c r="A353" s="2" t="s">
        <v>14360</v>
      </c>
      <c r="B353" s="3" t="str">
        <f>_xlfn.CONCAT(D353, " / ", E353)</f>
        <v>effortless-owl / StepActions</v>
      </c>
      <c r="C353" s="2" t="s">
        <v>13999</v>
      </c>
      <c r="D353" s="2" t="s">
        <v>13993</v>
      </c>
      <c r="E353" s="2" t="s">
        <v>2962</v>
      </c>
      <c r="F353" s="2">
        <v>9</v>
      </c>
      <c r="G353" s="2">
        <v>1</v>
      </c>
      <c r="H353" s="2">
        <v>9</v>
      </c>
      <c r="I353" s="2">
        <v>9</v>
      </c>
      <c r="J353" s="2" t="b">
        <v>0</v>
      </c>
      <c r="K353" s="3">
        <f>H353 - I353</f>
        <v>0</v>
      </c>
      <c r="L353" s="3">
        <f>IF(H353 = 0, 0, ROUND(100 * I353 / H353, 2))</f>
        <v>100</v>
      </c>
      <c r="M353" s="3" t="b">
        <f>K353 = 0</f>
        <v>1</v>
      </c>
      <c r="N353" s="3" t="str">
        <f>IF(M353, "", D353)</f>
      </c>
      <c r="O353" s="3" t="str">
        <f>IF(M353, "", E353)</f>
      </c>
      <c r="P353" s="3">
        <f>COUNTIFS(FieldDisagreements!E2:E999, A353)</f>
        <v>0</v>
      </c>
      <c r="Q353" s="3" t="str">
        <f>_xlfn.IFNA(INDEX(ConformanceSubstrates!C2:C999, MATCH(D353,ConformanceSubstrates!A2:A999, 0)), "")</f>
        <v>OWL / SHACL</v>
      </c>
      <c r="R353" s="3" t="str">
        <f>_xlfn.IFNA(INDEX(RulebookTables!F2:F999, MATCH(E353,RulebookTables!A2:A999, 0)), "")</f>
        <v>specification</v>
      </c>
      <c r="S353" s="2" t="s">
        <v>1898</v>
      </c>
    </row>
    <row r="354">
      <c r="A354" s="2" t="s">
        <v>14361</v>
      </c>
      <c r="B354" s="3" t="str">
        <f>_xlfn.CONCAT(D354, " / ", E354)</f>
        <v>effortless-owl / StepFunctions</v>
      </c>
      <c r="C354" s="2" t="s">
        <v>13999</v>
      </c>
      <c r="D354" s="2" t="s">
        <v>13993</v>
      </c>
      <c r="E354" s="2" t="s">
        <v>2968</v>
      </c>
      <c r="F354" s="2">
        <v>8</v>
      </c>
      <c r="G354" s="2">
        <v>1</v>
      </c>
      <c r="H354" s="2">
        <v>8</v>
      </c>
      <c r="I354" s="2">
        <v>8</v>
      </c>
      <c r="J354" s="2" t="b">
        <v>0</v>
      </c>
      <c r="K354" s="3">
        <f>H354 - I354</f>
        <v>0</v>
      </c>
      <c r="L354" s="3">
        <f>IF(H354 = 0, 0, ROUND(100 * I354 / H354, 2))</f>
        <v>100</v>
      </c>
      <c r="M354" s="3" t="b">
        <f>K354 = 0</f>
        <v>1</v>
      </c>
      <c r="N354" s="3" t="str">
        <f>IF(M354, "", D354)</f>
      </c>
      <c r="O354" s="3" t="str">
        <f>IF(M354, "", E354)</f>
      </c>
      <c r="P354" s="3">
        <f>COUNTIFS(FieldDisagreements!E2:E999, A354)</f>
        <v>0</v>
      </c>
      <c r="Q354" s="3" t="str">
        <f>_xlfn.IFNA(INDEX(ConformanceSubstrates!C2:C999, MATCH(D354,ConformanceSubstrates!A2:A999, 0)), "")</f>
        <v>OWL / SHACL</v>
      </c>
      <c r="R354" s="3" t="str">
        <f>_xlfn.IFNA(INDEX(RulebookTables!F2:F999, MATCH(E354,RulebookTables!A2:A999, 0)), "")</f>
        <v>specification</v>
      </c>
      <c r="S354" s="2" t="s">
        <v>1898</v>
      </c>
    </row>
    <row r="355">
      <c r="A355" s="2" t="s">
        <v>14362</v>
      </c>
      <c r="B355" s="3" t="str">
        <f>_xlfn.CONCAT(D355, " / ", E355)</f>
        <v>effortless-owl / StepTools</v>
      </c>
      <c r="C355" s="2" t="s">
        <v>13999</v>
      </c>
      <c r="D355" s="2" t="s">
        <v>13993</v>
      </c>
      <c r="E355" s="2" t="s">
        <v>2974</v>
      </c>
      <c r="F355" s="2">
        <v>10</v>
      </c>
      <c r="G355" s="2">
        <v>1</v>
      </c>
      <c r="H355" s="2">
        <v>10</v>
      </c>
      <c r="I355" s="2">
        <v>10</v>
      </c>
      <c r="J355" s="2" t="b">
        <v>0</v>
      </c>
      <c r="K355" s="3">
        <f>H355 - I355</f>
        <v>0</v>
      </c>
      <c r="L355" s="3">
        <f>IF(H355 = 0, 0, ROUND(100 * I355 / H355, 2))</f>
        <v>100</v>
      </c>
      <c r="M355" s="3" t="b">
        <f>K355 = 0</f>
        <v>1</v>
      </c>
      <c r="N355" s="3" t="str">
        <f>IF(M355, "", D355)</f>
      </c>
      <c r="O355" s="3" t="str">
        <f>IF(M355, "", E355)</f>
      </c>
      <c r="P355" s="3">
        <f>COUNTIFS(FieldDisagreements!E2:E999, A355)</f>
        <v>0</v>
      </c>
      <c r="Q355" s="3" t="str">
        <f>_xlfn.IFNA(INDEX(ConformanceSubstrates!C2:C999, MATCH(D355,ConformanceSubstrates!A2:A999, 0)), "")</f>
        <v>OWL / SHACL</v>
      </c>
      <c r="R355" s="3" t="str">
        <f>_xlfn.IFNA(INDEX(RulebookTables!F2:F999, MATCH(E355,RulebookTables!A2:A999, 0)), "")</f>
        <v>specification</v>
      </c>
      <c r="S355" s="2" t="s">
        <v>1898</v>
      </c>
    </row>
    <row r="356">
      <c r="A356" s="2" t="s">
        <v>14363</v>
      </c>
      <c r="B356" s="3" t="str">
        <f>_xlfn.CONCAT(D356, " / ", E356)</f>
        <v>effortless-owl / Requirements</v>
      </c>
      <c r="C356" s="2" t="s">
        <v>13999</v>
      </c>
      <c r="D356" s="2" t="s">
        <v>13993</v>
      </c>
      <c r="E356" s="2" t="s">
        <v>1785</v>
      </c>
      <c r="F356" s="2">
        <v>13</v>
      </c>
      <c r="G356" s="2">
        <v>31</v>
      </c>
      <c r="H356" s="2">
        <v>403</v>
      </c>
      <c r="I356" s="2">
        <v>397</v>
      </c>
      <c r="J356" s="2" t="b">
        <v>0</v>
      </c>
      <c r="K356" s="3">
        <f>H356 - I356</f>
        <v>6</v>
      </c>
      <c r="L356" s="3">
        <f>IF(H356 = 0, 0, ROUND(100 * I356 / H356, 2))</f>
        <v>98.51</v>
      </c>
      <c r="M356" s="3" t="b">
        <f>K356 = 0</f>
        <v>0</v>
      </c>
      <c r="N356" s="3" t="str">
        <f>IF(M356, "", D356)</f>
        <v>effortless-owl</v>
      </c>
      <c r="O356" s="3" t="str">
        <f>IF(M356, "", E356)</f>
        <v>Requirements</v>
      </c>
      <c r="P356" s="3">
        <f>COUNTIFS(FieldDisagreements!E2:E999, A356)</f>
        <v>2</v>
      </c>
      <c r="Q356" s="3" t="str">
        <f>_xlfn.IFNA(INDEX(ConformanceSubstrates!C2:C999, MATCH(D356,ConformanceSubstrates!A2:A999, 0)), "")</f>
        <v>OWL / SHACL</v>
      </c>
      <c r="R356" s="3" t="str">
        <f>_xlfn.IFNA(INDEX(RulebookTables!F2:F999, MATCH(E356,RulebookTables!A2:A999, 0)), "")</f>
        <v>governance</v>
      </c>
      <c r="S356" s="2" t="s">
        <v>1898</v>
      </c>
    </row>
    <row r="357">
      <c r="A357" s="2" t="s">
        <v>14364</v>
      </c>
      <c r="B357" s="3" t="str">
        <f>_xlfn.CONCAT(D357, " / ", E357)</f>
        <v>effortless-owl / StepRequirements</v>
      </c>
      <c r="C357" s="2" t="s">
        <v>13999</v>
      </c>
      <c r="D357" s="2" t="s">
        <v>13993</v>
      </c>
      <c r="E357" s="2" t="s">
        <v>3053</v>
      </c>
      <c r="F357" s="2">
        <v>15</v>
      </c>
      <c r="G357" s="2">
        <v>10</v>
      </c>
      <c r="H357" s="2">
        <v>150</v>
      </c>
      <c r="I357" s="2">
        <v>150</v>
      </c>
      <c r="J357" s="2" t="b">
        <v>0</v>
      </c>
      <c r="K357" s="3">
        <f>H357 - I357</f>
        <v>0</v>
      </c>
      <c r="L357" s="3">
        <f>IF(H357 = 0, 0, ROUND(100 * I357 / H357, 2))</f>
        <v>100</v>
      </c>
      <c r="M357" s="3" t="b">
        <f>K357 = 0</f>
        <v>1</v>
      </c>
      <c r="N357" s="3" t="str">
        <f>IF(M357, "", D357)</f>
      </c>
      <c r="O357" s="3" t="str">
        <f>IF(M357, "", E357)</f>
      </c>
      <c r="P357" s="3">
        <f>COUNTIFS(FieldDisagreements!E2:E999, A357)</f>
        <v>0</v>
      </c>
      <c r="Q357" s="3" t="str">
        <f>_xlfn.IFNA(INDEX(ConformanceSubstrates!C2:C999, MATCH(D357,ConformanceSubstrates!A2:A999, 0)), "")</f>
        <v>OWL / SHACL</v>
      </c>
      <c r="R357" s="3" t="str">
        <f>_xlfn.IFNA(INDEX(RulebookTables!F2:F999, MATCH(E357,RulebookTables!A2:A999, 0)), "")</f>
        <v>specification</v>
      </c>
      <c r="S357" s="2" t="s">
        <v>1898</v>
      </c>
    </row>
    <row r="358">
      <c r="A358" s="2" t="s">
        <v>14365</v>
      </c>
      <c r="B358" s="3" t="str">
        <f>_xlfn.CONCAT(D358, " / ", E358)</f>
        <v>effortless-owl / StepVerifications</v>
      </c>
      <c r="C358" s="2" t="s">
        <v>13999</v>
      </c>
      <c r="D358" s="2" t="s">
        <v>13993</v>
      </c>
      <c r="E358" s="2" t="s">
        <v>1788</v>
      </c>
      <c r="F358" s="2">
        <v>11</v>
      </c>
      <c r="G358" s="2">
        <v>1</v>
      </c>
      <c r="H358" s="2">
        <v>11</v>
      </c>
      <c r="I358" s="2">
        <v>11</v>
      </c>
      <c r="J358" s="2" t="b">
        <v>0</v>
      </c>
      <c r="K358" s="3">
        <f>H358 - I358</f>
        <v>0</v>
      </c>
      <c r="L358" s="3">
        <f>IF(H358 = 0, 0, ROUND(100 * I358 / H358, 2))</f>
        <v>100</v>
      </c>
      <c r="M358" s="3" t="b">
        <f>K358 = 0</f>
        <v>1</v>
      </c>
      <c r="N358" s="3" t="str">
        <f>IF(M358, "", D358)</f>
      </c>
      <c r="O358" s="3" t="str">
        <f>IF(M358, "", E358)</f>
      </c>
      <c r="P358" s="3">
        <f>COUNTIFS(FieldDisagreements!E2:E999, A358)</f>
        <v>0</v>
      </c>
      <c r="Q358" s="3" t="str">
        <f>_xlfn.IFNA(INDEX(ConformanceSubstrates!C2:C999, MATCH(D358,ConformanceSubstrates!A2:A999, 0)), "")</f>
        <v>OWL / SHACL</v>
      </c>
      <c r="R358" s="3" t="str">
        <f>_xlfn.IFNA(INDEX(RulebookTables!F2:F999, MATCH(E358,RulebookTables!A2:A999, 0)), "")</f>
        <v>specification</v>
      </c>
      <c r="S358" s="2" t="s">
        <v>1898</v>
      </c>
    </row>
    <row r="359">
      <c r="A359" s="2" t="s">
        <v>14366</v>
      </c>
      <c r="B359" s="3" t="str">
        <f>_xlfn.CONCAT(D359, " / ", E359)</f>
        <v>effortless-owl / Rationales</v>
      </c>
      <c r="C359" s="2" t="s">
        <v>13999</v>
      </c>
      <c r="D359" s="2" t="s">
        <v>13993</v>
      </c>
      <c r="E359" s="2" t="s">
        <v>3085</v>
      </c>
      <c r="F359" s="2">
        <v>4</v>
      </c>
      <c r="G359" s="2">
        <v>1</v>
      </c>
      <c r="H359" s="2">
        <v>4</v>
      </c>
      <c r="I359" s="2">
        <v>4</v>
      </c>
      <c r="J359" s="2" t="b">
        <v>0</v>
      </c>
      <c r="K359" s="3">
        <f>H359 - I359</f>
        <v>0</v>
      </c>
      <c r="L359" s="3">
        <f>IF(H359 = 0, 0, ROUND(100 * I359 / H359, 2))</f>
        <v>100</v>
      </c>
      <c r="M359" s="3" t="b">
        <f>K359 = 0</f>
        <v>1</v>
      </c>
      <c r="N359" s="3" t="str">
        <f>IF(M359, "", D359)</f>
      </c>
      <c r="O359" s="3" t="str">
        <f>IF(M359, "", E359)</f>
      </c>
      <c r="P359" s="3">
        <f>COUNTIFS(FieldDisagreements!E2:E999, A359)</f>
        <v>0</v>
      </c>
      <c r="Q359" s="3" t="str">
        <f>_xlfn.IFNA(INDEX(ConformanceSubstrates!C2:C999, MATCH(D359,ConformanceSubstrates!A2:A999, 0)), "")</f>
        <v>OWL / SHACL</v>
      </c>
      <c r="R359" s="3" t="str">
        <f>_xlfn.IFNA(INDEX(RulebookTables!F2:F999, MATCH(E359,RulebookTables!A2:A999, 0)), "")</f>
        <v>governance</v>
      </c>
      <c r="S359" s="2" t="s">
        <v>1898</v>
      </c>
    </row>
    <row r="360">
      <c r="A360" s="2" t="s">
        <v>14367</v>
      </c>
      <c r="B360" s="3" t="str">
        <f>_xlfn.CONCAT(D360, " / ", E360)</f>
        <v>effortless-owl / Exceptions</v>
      </c>
      <c r="C360" s="2" t="s">
        <v>13999</v>
      </c>
      <c r="D360" s="2" t="s">
        <v>13993</v>
      </c>
      <c r="E360" s="2" t="s">
        <v>3095</v>
      </c>
      <c r="F360" s="2">
        <v>4</v>
      </c>
      <c r="G360" s="2">
        <v>2</v>
      </c>
      <c r="H360" s="2">
        <v>8</v>
      </c>
      <c r="I360" s="2">
        <v>8</v>
      </c>
      <c r="J360" s="2" t="b">
        <v>0</v>
      </c>
      <c r="K360" s="3">
        <f>H360 - I360</f>
        <v>0</v>
      </c>
      <c r="L360" s="3">
        <f>IF(H360 = 0, 0, ROUND(100 * I360 / H360, 2))</f>
        <v>100</v>
      </c>
      <c r="M360" s="3" t="b">
        <f>K360 = 0</f>
        <v>1</v>
      </c>
      <c r="N360" s="3" t="str">
        <f>IF(M360, "", D360)</f>
      </c>
      <c r="O360" s="3" t="str">
        <f>IF(M360, "", E360)</f>
      </c>
      <c r="P360" s="3">
        <f>COUNTIFS(FieldDisagreements!E2:E999, A360)</f>
        <v>0</v>
      </c>
      <c r="Q360" s="3" t="str">
        <f>_xlfn.IFNA(INDEX(ConformanceSubstrates!C2:C999, MATCH(D360,ConformanceSubstrates!A2:A999, 0)), "")</f>
        <v>OWL / SHACL</v>
      </c>
      <c r="R360" s="3" t="str">
        <f>_xlfn.IFNA(INDEX(RulebookTables!F2:F999, MATCH(E360,RulebookTables!A2:A999, 0)), "")</f>
        <v>governance</v>
      </c>
      <c r="S360" s="2" t="s">
        <v>1898</v>
      </c>
    </row>
    <row r="361">
      <c r="A361" s="2" t="s">
        <v>14368</v>
      </c>
      <c r="B361" s="3" t="str">
        <f>_xlfn.CONCAT(D361, " / ", E361)</f>
        <v>effortless-owl / Resources</v>
      </c>
      <c r="C361" s="2" t="s">
        <v>13999</v>
      </c>
      <c r="D361" s="2" t="s">
        <v>13993</v>
      </c>
      <c r="E361" s="2" t="s">
        <v>1791</v>
      </c>
      <c r="F361" s="2">
        <v>8</v>
      </c>
      <c r="G361" s="2">
        <v>2</v>
      </c>
      <c r="H361" s="2">
        <v>16</v>
      </c>
      <c r="I361" s="2">
        <v>16</v>
      </c>
      <c r="J361" s="2" t="b">
        <v>0</v>
      </c>
      <c r="K361" s="3">
        <f>H361 - I361</f>
        <v>0</v>
      </c>
      <c r="L361" s="3">
        <f>IF(H361 = 0, 0, ROUND(100 * I361 / H361, 2))</f>
        <v>100</v>
      </c>
      <c r="M361" s="3" t="b">
        <f>K361 = 0</f>
        <v>1</v>
      </c>
      <c r="N361" s="3" t="str">
        <f>IF(M361, "", D361)</f>
      </c>
      <c r="O361" s="3" t="str">
        <f>IF(M361, "", E361)</f>
      </c>
      <c r="P361" s="3">
        <f>COUNTIFS(FieldDisagreements!E2:E999, A361)</f>
        <v>0</v>
      </c>
      <c r="Q361" s="3" t="str">
        <f>_xlfn.IFNA(INDEX(ConformanceSubstrates!C2:C999, MATCH(D361,ConformanceSubstrates!A2:A999, 0)), "")</f>
        <v>OWL / SHACL</v>
      </c>
      <c r="R361" s="3" t="str">
        <f>_xlfn.IFNA(INDEX(RulebookTables!F2:F999, MATCH(E361,RulebookTables!A2:A999, 0)), "")</f>
        <v>domain</v>
      </c>
      <c r="S361" s="2" t="s">
        <v>1898</v>
      </c>
    </row>
    <row r="362">
      <c r="A362" s="2" t="s">
        <v>14369</v>
      </c>
      <c r="B362" s="3" t="str">
        <f>_xlfn.CONCAT(D362, " / ", E362)</f>
        <v>effortless-owl / ProcedureResources</v>
      </c>
      <c r="C362" s="2" t="s">
        <v>13999</v>
      </c>
      <c r="D362" s="2" t="s">
        <v>13993</v>
      </c>
      <c r="E362" s="2" t="s">
        <v>3121</v>
      </c>
      <c r="F362" s="2">
        <v>8</v>
      </c>
      <c r="G362" s="2">
        <v>2</v>
      </c>
      <c r="H362" s="2">
        <v>16</v>
      </c>
      <c r="I362" s="2">
        <v>16</v>
      </c>
      <c r="J362" s="2" t="b">
        <v>0</v>
      </c>
      <c r="K362" s="3">
        <f>H362 - I362</f>
        <v>0</v>
      </c>
      <c r="L362" s="3">
        <f>IF(H362 = 0, 0, ROUND(100 * I362 / H362, 2))</f>
        <v>100</v>
      </c>
      <c r="M362" s="3" t="b">
        <f>K362 = 0</f>
        <v>1</v>
      </c>
      <c r="N362" s="3" t="str">
        <f>IF(M362, "", D362)</f>
      </c>
      <c r="O362" s="3" t="str">
        <f>IF(M362, "", E362)</f>
      </c>
      <c r="P362" s="3">
        <f>COUNTIFS(FieldDisagreements!E2:E999, A362)</f>
        <v>0</v>
      </c>
      <c r="Q362" s="3" t="str">
        <f>_xlfn.IFNA(INDEX(ConformanceSubstrates!C2:C999, MATCH(D362,ConformanceSubstrates!A2:A999, 0)), "")</f>
        <v>OWL / SHACL</v>
      </c>
      <c r="R362" s="3" t="str">
        <f>_xlfn.IFNA(INDEX(RulebookTables!F2:F999, MATCH(E362,RulebookTables!A2:A999, 0)), "")</f>
        <v>specification</v>
      </c>
      <c r="S362" s="2" t="s">
        <v>1898</v>
      </c>
    </row>
    <row r="363">
      <c r="A363" s="2" t="s">
        <v>14370</v>
      </c>
      <c r="B363" s="3" t="str">
        <f>_xlfn.CONCAT(D363, " / ", E363)</f>
        <v>effortless-owl / ElicitationSessions</v>
      </c>
      <c r="C363" s="2" t="s">
        <v>13999</v>
      </c>
      <c r="D363" s="2" t="s">
        <v>13993</v>
      </c>
      <c r="E363" s="2" t="s">
        <v>1835</v>
      </c>
      <c r="F363" s="2">
        <v>3</v>
      </c>
      <c r="G363" s="2">
        <v>10</v>
      </c>
      <c r="H363" s="2">
        <v>30</v>
      </c>
      <c r="I363" s="2">
        <v>28</v>
      </c>
      <c r="J363" s="2" t="b">
        <v>0</v>
      </c>
      <c r="K363" s="3">
        <f>H363 - I363</f>
        <v>2</v>
      </c>
      <c r="L363" s="3">
        <f>IF(H363 = 0, 0, ROUND(100 * I363 / H363, 2))</f>
        <v>93.33</v>
      </c>
      <c r="M363" s="3" t="b">
        <f>K363 = 0</f>
        <v>0</v>
      </c>
      <c r="N363" s="3" t="str">
        <f>IF(M363, "", D363)</f>
        <v>effortless-owl</v>
      </c>
      <c r="O363" s="3" t="str">
        <f>IF(M363, "", E363)</f>
        <v>ElicitationSessions</v>
      </c>
      <c r="P363" s="3">
        <f>COUNTIFS(FieldDisagreements!E2:E999, A363)</f>
        <v>1</v>
      </c>
      <c r="Q363" s="3" t="str">
        <f>_xlfn.IFNA(INDEX(ConformanceSubstrates!C2:C999, MATCH(D363,ConformanceSubstrates!A2:A999, 0)), "")</f>
        <v>OWL / SHACL</v>
      </c>
      <c r="R363" s="3" t="str">
        <f>_xlfn.IFNA(INDEX(RulebookTables!F2:F999, MATCH(E363,RulebookTables!A2:A999, 0)), "")</f>
        <v>knowledge</v>
      </c>
      <c r="S363" s="2" t="s">
        <v>1898</v>
      </c>
    </row>
    <row r="364">
      <c r="A364" s="2" t="s">
        <v>14371</v>
      </c>
      <c r="B364" s="3" t="str">
        <f>_xlfn.CONCAT(D364, " / ", E364)</f>
        <v>effortless-owl / KnowledgeFragments</v>
      </c>
      <c r="C364" s="2" t="s">
        <v>13999</v>
      </c>
      <c r="D364" s="2" t="s">
        <v>13993</v>
      </c>
      <c r="E364" s="2" t="s">
        <v>1831</v>
      </c>
      <c r="F364" s="2">
        <v>7</v>
      </c>
      <c r="G364" s="2">
        <v>65</v>
      </c>
      <c r="H364" s="2">
        <v>455</v>
      </c>
      <c r="I364" s="2">
        <v>434</v>
      </c>
      <c r="J364" s="2" t="b">
        <v>0</v>
      </c>
      <c r="K364" s="3">
        <f>H364 - I364</f>
        <v>21</v>
      </c>
      <c r="L364" s="3">
        <f>IF(H364 = 0, 0, ROUND(100 * I364 / H364, 2))</f>
        <v>95.38</v>
      </c>
      <c r="M364" s="3" t="b">
        <f>K364 = 0</f>
        <v>0</v>
      </c>
      <c r="N364" s="3" t="str">
        <f>IF(M364, "", D364)</f>
        <v>effortless-owl</v>
      </c>
      <c r="O364" s="3" t="str">
        <f>IF(M364, "", E364)</f>
        <v>KnowledgeFragments</v>
      </c>
      <c r="P364" s="3">
        <f>COUNTIFS(FieldDisagreements!E2:E999, A364)</f>
        <v>10</v>
      </c>
      <c r="Q364" s="3" t="str">
        <f>_xlfn.IFNA(INDEX(ConformanceSubstrates!C2:C999, MATCH(D364,ConformanceSubstrates!A2:A999, 0)), "")</f>
        <v>OWL / SHACL</v>
      </c>
      <c r="R364" s="3" t="str">
        <f>_xlfn.IFNA(INDEX(RulebookTables!F2:F999, MATCH(E364,RulebookTables!A2:A999, 0)), "")</f>
        <v>knowledge</v>
      </c>
      <c r="S364" s="2" t="s">
        <v>1898</v>
      </c>
    </row>
    <row r="365">
      <c r="A365" s="2" t="s">
        <v>14372</v>
      </c>
      <c r="B365" s="3" t="str">
        <f>_xlfn.CONCAT(D365, " / ", E365)</f>
        <v>effortless-owl / KnowledgeGaps</v>
      </c>
      <c r="C365" s="2" t="s">
        <v>13999</v>
      </c>
      <c r="D365" s="2" t="s">
        <v>13993</v>
      </c>
      <c r="E365" s="2" t="s">
        <v>3302</v>
      </c>
      <c r="F365" s="2">
        <v>8</v>
      </c>
      <c r="G365" s="2">
        <v>16</v>
      </c>
      <c r="H365" s="2">
        <v>128</v>
      </c>
      <c r="I365" s="2">
        <v>127</v>
      </c>
      <c r="J365" s="2" t="b">
        <v>0</v>
      </c>
      <c r="K365" s="3">
        <f>H365 - I365</f>
        <v>1</v>
      </c>
      <c r="L365" s="3">
        <f>IF(H365 = 0, 0, ROUND(100 * I365 / H365, 2))</f>
        <v>99.22</v>
      </c>
      <c r="M365" s="3" t="b">
        <f>K365 = 0</f>
        <v>0</v>
      </c>
      <c r="N365" s="3" t="str">
        <f>IF(M365, "", D365)</f>
        <v>effortless-owl</v>
      </c>
      <c r="O365" s="3" t="str">
        <f>IF(M365, "", E365)</f>
        <v>KnowledgeGaps</v>
      </c>
      <c r="P365" s="3">
        <f>COUNTIFS(FieldDisagreements!E2:E999, A365)</f>
        <v>1</v>
      </c>
      <c r="Q365" s="3" t="str">
        <f>_xlfn.IFNA(INDEX(ConformanceSubstrates!C2:C999, MATCH(D365,ConformanceSubstrates!A2:A999, 0)), "")</f>
        <v>OWL / SHACL</v>
      </c>
      <c r="R365" s="3" t="str">
        <f>_xlfn.IFNA(INDEX(RulebookTables!F2:F999, MATCH(E365,RulebookTables!A2:A999, 0)), "")</f>
        <v>knowledge</v>
      </c>
      <c r="S365" s="2" t="s">
        <v>1898</v>
      </c>
    </row>
    <row r="366">
      <c r="A366" s="2" t="s">
        <v>14373</v>
      </c>
      <c r="B366" s="3" t="str">
        <f>_xlfn.CONCAT(D366, " / ", E366)</f>
        <v>effortless-owl / FAQs</v>
      </c>
      <c r="C366" s="2" t="s">
        <v>13999</v>
      </c>
      <c r="D366" s="2" t="s">
        <v>13993</v>
      </c>
      <c r="E366" s="2" t="s">
        <v>1825</v>
      </c>
      <c r="F366" s="2">
        <v>3</v>
      </c>
      <c r="G366" s="2">
        <v>1</v>
      </c>
      <c r="H366" s="2">
        <v>3</v>
      </c>
      <c r="I366" s="2">
        <v>3</v>
      </c>
      <c r="J366" s="2" t="b">
        <v>0</v>
      </c>
      <c r="K366" s="3">
        <f>H366 - I366</f>
        <v>0</v>
      </c>
      <c r="L366" s="3">
        <f>IF(H366 = 0, 0, ROUND(100 * I366 / H366, 2))</f>
        <v>100</v>
      </c>
      <c r="M366" s="3" t="b">
        <f>K366 = 0</f>
        <v>1</v>
      </c>
      <c r="N366" s="3" t="str">
        <f>IF(M366, "", D366)</f>
      </c>
      <c r="O366" s="3" t="str">
        <f>IF(M366, "", E366)</f>
      </c>
      <c r="P366" s="3">
        <f>COUNTIFS(FieldDisagreements!E2:E999, A366)</f>
        <v>0</v>
      </c>
      <c r="Q366" s="3" t="str">
        <f>_xlfn.IFNA(INDEX(ConformanceSubstrates!C2:C999, MATCH(D366,ConformanceSubstrates!A2:A999, 0)), "")</f>
        <v>OWL / SHACL</v>
      </c>
      <c r="R366" s="3" t="str">
        <f>_xlfn.IFNA(INDEX(RulebookTables!F2:F999, MATCH(E366,RulebookTables!A2:A999, 0)), "")</f>
        <v>knowledge</v>
      </c>
      <c r="S366" s="2" t="s">
        <v>1898</v>
      </c>
    </row>
    <row r="367">
      <c r="A367" s="2" t="s">
        <v>14374</v>
      </c>
      <c r="B367" s="3" t="str">
        <f>_xlfn.CONCAT(D367, " / ", E367)</f>
        <v>effortless-owl / Explanations</v>
      </c>
      <c r="C367" s="2" t="s">
        <v>13999</v>
      </c>
      <c r="D367" s="2" t="s">
        <v>13993</v>
      </c>
      <c r="E367" s="2" t="s">
        <v>1828</v>
      </c>
      <c r="F367" s="2">
        <v>2</v>
      </c>
      <c r="G367" s="2">
        <v>1</v>
      </c>
      <c r="H367" s="2">
        <v>2</v>
      </c>
      <c r="I367" s="2">
        <v>2</v>
      </c>
      <c r="J367" s="2" t="b">
        <v>0</v>
      </c>
      <c r="K367" s="3">
        <f>H367 - I367</f>
        <v>0</v>
      </c>
      <c r="L367" s="3">
        <f>IF(H367 = 0, 0, ROUND(100 * I367 / H367, 2))</f>
        <v>100</v>
      </c>
      <c r="M367" s="3" t="b">
        <f>K367 = 0</f>
        <v>1</v>
      </c>
      <c r="N367" s="3" t="str">
        <f>IF(M367, "", D367)</f>
      </c>
      <c r="O367" s="3" t="str">
        <f>IF(M367, "", E367)</f>
      </c>
      <c r="P367" s="3">
        <f>COUNTIFS(FieldDisagreements!E2:E999, A367)</f>
        <v>0</v>
      </c>
      <c r="Q367" s="3" t="str">
        <f>_xlfn.IFNA(INDEX(ConformanceSubstrates!C2:C999, MATCH(D367,ConformanceSubstrates!A2:A999, 0)), "")</f>
        <v>OWL / SHACL</v>
      </c>
      <c r="R367" s="3" t="str">
        <f>_xlfn.IFNA(INDEX(RulebookTables!F2:F999, MATCH(E367,RulebookTables!A2:A999, 0)), "")</f>
        <v>knowledge</v>
      </c>
      <c r="S367" s="2" t="s">
        <v>1898</v>
      </c>
    </row>
    <row r="368">
      <c r="A368" s="2" t="s">
        <v>14375</v>
      </c>
      <c r="B368" s="3" t="str">
        <f>_xlfn.CONCAT(D368, " / ", E368)</f>
        <v>effortless-owl / ProcedureExecutions</v>
      </c>
      <c r="C368" s="2" t="s">
        <v>13999</v>
      </c>
      <c r="D368" s="2" t="s">
        <v>13993</v>
      </c>
      <c r="E368" s="2" t="s">
        <v>1804</v>
      </c>
      <c r="F368" s="2">
        <v>2</v>
      </c>
      <c r="G368" s="2">
        <v>69</v>
      </c>
      <c r="H368" s="2">
        <v>138</v>
      </c>
      <c r="I368" s="2">
        <v>131</v>
      </c>
      <c r="J368" s="2" t="b">
        <v>0</v>
      </c>
      <c r="K368" s="3">
        <f>H368 - I368</f>
        <v>7</v>
      </c>
      <c r="L368" s="3">
        <f>IF(H368 = 0, 0, ROUND(100 * I368 / H368, 2))</f>
        <v>94.93</v>
      </c>
      <c r="M368" s="3" t="b">
        <f>K368 = 0</f>
        <v>0</v>
      </c>
      <c r="N368" s="3" t="str">
        <f>IF(M368, "", D368)</f>
        <v>effortless-owl</v>
      </c>
      <c r="O368" s="3" t="str">
        <f>IF(M368, "", E368)</f>
        <v>ProcedureExecutions</v>
      </c>
      <c r="P368" s="3">
        <f>COUNTIFS(FieldDisagreements!E2:E999, A368)</f>
        <v>4</v>
      </c>
      <c r="Q368" s="3" t="str">
        <f>_xlfn.IFNA(INDEX(ConformanceSubstrates!C2:C999, MATCH(D368,ConformanceSubstrates!A2:A999, 0)), "")</f>
        <v>OWL / SHACL</v>
      </c>
      <c r="R368" s="3" t="str">
        <f>_xlfn.IFNA(INDEX(RulebookTables!F2:F999, MATCH(E368,RulebookTables!A2:A999, 0)), "")</f>
        <v>specification</v>
      </c>
      <c r="S368" s="2" t="s">
        <v>1898</v>
      </c>
    </row>
    <row r="369">
      <c r="A369" s="2" t="s">
        <v>14376</v>
      </c>
      <c r="B369" s="3" t="str">
        <f>_xlfn.CONCAT(D369, " / ", E369)</f>
        <v>effortless-owl / StepExecutions</v>
      </c>
      <c r="C369" s="2" t="s">
        <v>13999</v>
      </c>
      <c r="D369" s="2" t="s">
        <v>13993</v>
      </c>
      <c r="E369" s="2" t="s">
        <v>1807</v>
      </c>
      <c r="F369" s="2">
        <v>12</v>
      </c>
      <c r="G369" s="2">
        <v>99</v>
      </c>
      <c r="H369" s="2">
        <v>1188</v>
      </c>
      <c r="I369" s="2">
        <v>1134</v>
      </c>
      <c r="J369" s="2" t="b">
        <v>0</v>
      </c>
      <c r="K369" s="3">
        <f>H369 - I369</f>
        <v>54</v>
      </c>
      <c r="L369" s="3">
        <f>IF(H369 = 0, 0, ROUND(100 * I369 / H369, 2))</f>
        <v>95.45</v>
      </c>
      <c r="M369" s="3" t="b">
        <f>K369 = 0</f>
        <v>0</v>
      </c>
      <c r="N369" s="3" t="str">
        <f>IF(M369, "", D369)</f>
        <v>effortless-owl</v>
      </c>
      <c r="O369" s="3" t="str">
        <f>IF(M369, "", E369)</f>
        <v>StepExecutions</v>
      </c>
      <c r="P369" s="3">
        <f>COUNTIFS(FieldDisagreements!E2:E999, A369)</f>
        <v>16</v>
      </c>
      <c r="Q369" s="3" t="str">
        <f>_xlfn.IFNA(INDEX(ConformanceSubstrates!C2:C999, MATCH(D369,ConformanceSubstrates!A2:A999, 0)), "")</f>
        <v>OWL / SHACL</v>
      </c>
      <c r="R369" s="3" t="str">
        <f>_xlfn.IFNA(INDEX(RulebookTables!F2:F999, MATCH(E369,RulebookTables!A2:A999, 0)), "")</f>
        <v>specification</v>
      </c>
      <c r="S369" s="2" t="s">
        <v>1898</v>
      </c>
    </row>
    <row r="370">
      <c r="A370" s="2" t="s">
        <v>14377</v>
      </c>
      <c r="B370" s="3" t="str">
        <f>_xlfn.CONCAT(D370, " / ", E370)</f>
        <v>effortless-owl / RequirementSatisfactions</v>
      </c>
      <c r="C370" s="2" t="s">
        <v>13999</v>
      </c>
      <c r="D370" s="2" t="s">
        <v>13993</v>
      </c>
      <c r="E370" s="2" t="s">
        <v>1810</v>
      </c>
      <c r="F370" s="2">
        <v>8</v>
      </c>
      <c r="G370" s="2">
        <v>38</v>
      </c>
      <c r="H370" s="2">
        <v>304</v>
      </c>
      <c r="I370" s="2">
        <v>304</v>
      </c>
      <c r="J370" s="2" t="b">
        <v>0</v>
      </c>
      <c r="K370" s="3">
        <f>H370 - I370</f>
        <v>0</v>
      </c>
      <c r="L370" s="3">
        <f>IF(H370 = 0, 0, ROUND(100 * I370 / H370, 2))</f>
        <v>100</v>
      </c>
      <c r="M370" s="3" t="b">
        <f>K370 = 0</f>
        <v>1</v>
      </c>
      <c r="N370" s="3" t="str">
        <f>IF(M370, "", D370)</f>
      </c>
      <c r="O370" s="3" t="str">
        <f>IF(M370, "", E370)</f>
      </c>
      <c r="P370" s="3">
        <f>COUNTIFS(FieldDisagreements!E2:E999, A370)</f>
        <v>0</v>
      </c>
      <c r="Q370" s="3" t="str">
        <f>_xlfn.IFNA(INDEX(ConformanceSubstrates!C2:C999, MATCH(D370,ConformanceSubstrates!A2:A999, 0)), "")</f>
        <v>OWL / SHACL</v>
      </c>
      <c r="R370" s="3" t="str">
        <f>_xlfn.IFNA(INDEX(RulebookTables!F2:F999, MATCH(E370,RulebookTables!A2:A999, 0)), "")</f>
        <v>execution</v>
      </c>
      <c r="S370" s="2" t="s">
        <v>1898</v>
      </c>
    </row>
    <row r="371">
      <c r="A371" s="2" t="s">
        <v>14378</v>
      </c>
      <c r="B371" s="3" t="str">
        <f>_xlfn.CONCAT(D371, " / ", E371)</f>
        <v>effortless-owl / Errors</v>
      </c>
      <c r="C371" s="2" t="s">
        <v>13999</v>
      </c>
      <c r="D371" s="2" t="s">
        <v>13993</v>
      </c>
      <c r="E371" s="2" t="s">
        <v>1813</v>
      </c>
      <c r="F371" s="2">
        <v>2</v>
      </c>
      <c r="G371" s="2">
        <v>1</v>
      </c>
      <c r="H371" s="2">
        <v>2</v>
      </c>
      <c r="I371" s="2">
        <v>2</v>
      </c>
      <c r="J371" s="2" t="b">
        <v>0</v>
      </c>
      <c r="K371" s="3">
        <f>H371 - I371</f>
        <v>0</v>
      </c>
      <c r="L371" s="3">
        <f>IF(H371 = 0, 0, ROUND(100 * I371 / H371, 2))</f>
        <v>100</v>
      </c>
      <c r="M371" s="3" t="b">
        <f>K371 = 0</f>
        <v>1</v>
      </c>
      <c r="N371" s="3" t="str">
        <f>IF(M371, "", D371)</f>
      </c>
      <c r="O371" s="3" t="str">
        <f>IF(M371, "", E371)</f>
      </c>
      <c r="P371" s="3">
        <f>COUNTIFS(FieldDisagreements!E2:E999, A371)</f>
        <v>0</v>
      </c>
      <c r="Q371" s="3" t="str">
        <f>_xlfn.IFNA(INDEX(ConformanceSubstrates!C2:C999, MATCH(D371,ConformanceSubstrates!A2:A999, 0)), "")</f>
        <v>OWL / SHACL</v>
      </c>
      <c r="R371" s="3" t="str">
        <f>_xlfn.IFNA(INDEX(RulebookTables!F2:F999, MATCH(E371,RulebookTables!A2:A999, 0)), "")</f>
        <v>execution</v>
      </c>
      <c r="S371" s="2" t="s">
        <v>1898</v>
      </c>
    </row>
    <row r="372">
      <c r="A372" s="2" t="s">
        <v>14379</v>
      </c>
      <c r="B372" s="3" t="str">
        <f>_xlfn.CONCAT(D372, " / ", E372)</f>
        <v>effortless-owl / IssueOccurrences</v>
      </c>
      <c r="C372" s="2" t="s">
        <v>13999</v>
      </c>
      <c r="D372" s="2" t="s">
        <v>13993</v>
      </c>
      <c r="E372" s="2" t="s">
        <v>1816</v>
      </c>
      <c r="F372" s="2">
        <v>2</v>
      </c>
      <c r="G372" s="2">
        <v>3</v>
      </c>
      <c r="H372" s="2">
        <v>6</v>
      </c>
      <c r="I372" s="2">
        <v>6</v>
      </c>
      <c r="J372" s="2" t="b">
        <v>0</v>
      </c>
      <c r="K372" s="3">
        <f>H372 - I372</f>
        <v>0</v>
      </c>
      <c r="L372" s="3">
        <f>IF(H372 = 0, 0, ROUND(100 * I372 / H372, 2))</f>
        <v>100</v>
      </c>
      <c r="M372" s="3" t="b">
        <f>K372 = 0</f>
        <v>1</v>
      </c>
      <c r="N372" s="3" t="str">
        <f>IF(M372, "", D372)</f>
      </c>
      <c r="O372" s="3" t="str">
        <f>IF(M372, "", E372)</f>
      </c>
      <c r="P372" s="3">
        <f>COUNTIFS(FieldDisagreements!E2:E999, A372)</f>
        <v>0</v>
      </c>
      <c r="Q372" s="3" t="str">
        <f>_xlfn.IFNA(INDEX(ConformanceSubstrates!C2:C999, MATCH(D372,ConformanceSubstrates!A2:A999, 0)), "")</f>
        <v>OWL / SHACL</v>
      </c>
      <c r="R372" s="3" t="str">
        <f>_xlfn.IFNA(INDEX(RulebookTables!F2:F999, MATCH(E372,RulebookTables!A2:A999, 0)), "")</f>
        <v>execution</v>
      </c>
      <c r="S372" s="2" t="s">
        <v>1898</v>
      </c>
    </row>
    <row r="373">
      <c r="A373" s="2" t="s">
        <v>14380</v>
      </c>
      <c r="B373" s="3" t="str">
        <f>_xlfn.CONCAT(D373, " / ", E373)</f>
        <v>effortless-owl / UserQuestions</v>
      </c>
      <c r="C373" s="2" t="s">
        <v>13999</v>
      </c>
      <c r="D373" s="2" t="s">
        <v>13993</v>
      </c>
      <c r="E373" s="2" t="s">
        <v>1819</v>
      </c>
      <c r="F373" s="2">
        <v>2</v>
      </c>
      <c r="G373" s="2">
        <v>1</v>
      </c>
      <c r="H373" s="2">
        <v>2</v>
      </c>
      <c r="I373" s="2">
        <v>2</v>
      </c>
      <c r="J373" s="2" t="b">
        <v>0</v>
      </c>
      <c r="K373" s="3">
        <f>H373 - I373</f>
        <v>0</v>
      </c>
      <c r="L373" s="3">
        <f>IF(H373 = 0, 0, ROUND(100 * I373 / H373, 2))</f>
        <v>100</v>
      </c>
      <c r="M373" s="3" t="b">
        <f>K373 = 0</f>
        <v>1</v>
      </c>
      <c r="N373" s="3" t="str">
        <f>IF(M373, "", D373)</f>
      </c>
      <c r="O373" s="3" t="str">
        <f>IF(M373, "", E373)</f>
      </c>
      <c r="P373" s="3">
        <f>COUNTIFS(FieldDisagreements!E2:E999, A373)</f>
        <v>0</v>
      </c>
      <c r="Q373" s="3" t="str">
        <f>_xlfn.IFNA(INDEX(ConformanceSubstrates!C2:C999, MATCH(D373,ConformanceSubstrates!A2:A999, 0)), "")</f>
        <v>OWL / SHACL</v>
      </c>
      <c r="R373" s="3" t="str">
        <f>_xlfn.IFNA(INDEX(RulebookTables!F2:F999, MATCH(E373,RulebookTables!A2:A999, 0)), "")</f>
        <v>domain</v>
      </c>
      <c r="S373" s="2" t="s">
        <v>1898</v>
      </c>
    </row>
    <row r="374">
      <c r="A374" s="2" t="s">
        <v>14381</v>
      </c>
      <c r="B374" s="3" t="str">
        <f>_xlfn.CONCAT(D374, " / ", E374)</f>
        <v>effortless-owl / UserFeedback</v>
      </c>
      <c r="C374" s="2" t="s">
        <v>13999</v>
      </c>
      <c r="D374" s="2" t="s">
        <v>13993</v>
      </c>
      <c r="E374" s="2" t="s">
        <v>1822</v>
      </c>
      <c r="F374" s="2">
        <v>2</v>
      </c>
      <c r="G374" s="2">
        <v>1</v>
      </c>
      <c r="H374" s="2">
        <v>2</v>
      </c>
      <c r="I374" s="2">
        <v>2</v>
      </c>
      <c r="J374" s="2" t="b">
        <v>0</v>
      </c>
      <c r="K374" s="3">
        <f>H374 - I374</f>
        <v>0</v>
      </c>
      <c r="L374" s="3">
        <f>IF(H374 = 0, 0, ROUND(100 * I374 / H374, 2))</f>
        <v>100</v>
      </c>
      <c r="M374" s="3" t="b">
        <f>K374 = 0</f>
        <v>1</v>
      </c>
      <c r="N374" s="3" t="str">
        <f>IF(M374, "", D374)</f>
      </c>
      <c r="O374" s="3" t="str">
        <f>IF(M374, "", E374)</f>
      </c>
      <c r="P374" s="3">
        <f>COUNTIFS(FieldDisagreements!E2:E999, A374)</f>
        <v>0</v>
      </c>
      <c r="Q374" s="3" t="str">
        <f>_xlfn.IFNA(INDEX(ConformanceSubstrates!C2:C999, MATCH(D374,ConformanceSubstrates!A2:A999, 0)), "")</f>
        <v>OWL / SHACL</v>
      </c>
      <c r="R374" s="3" t="str">
        <f>_xlfn.IFNA(INDEX(RulebookTables!F2:F999, MATCH(E374,RulebookTables!A2:A999, 0)), "")</f>
        <v>domain</v>
      </c>
      <c r="S374" s="2" t="s">
        <v>1898</v>
      </c>
    </row>
    <row r="375">
      <c r="A375" s="2" t="s">
        <v>14382</v>
      </c>
      <c r="B375" s="3" t="str">
        <f>_xlfn.CONCAT(D375, " / ", E375)</f>
        <v>effortless-owl / StewardshipAssignments</v>
      </c>
      <c r="C375" s="2" t="s">
        <v>13999</v>
      </c>
      <c r="D375" s="2" t="s">
        <v>13993</v>
      </c>
      <c r="E375" s="2" t="s">
        <v>1839</v>
      </c>
      <c r="F375" s="2">
        <v>2</v>
      </c>
      <c r="G375" s="2">
        <v>5</v>
      </c>
      <c r="H375" s="2">
        <v>10</v>
      </c>
      <c r="I375" s="2">
        <v>10</v>
      </c>
      <c r="J375" s="2" t="b">
        <v>0</v>
      </c>
      <c r="K375" s="3">
        <f>H375 - I375</f>
        <v>0</v>
      </c>
      <c r="L375" s="3">
        <f>IF(H375 = 0, 0, ROUND(100 * I375 / H375, 2))</f>
        <v>100</v>
      </c>
      <c r="M375" s="3" t="b">
        <f>K375 = 0</f>
        <v>1</v>
      </c>
      <c r="N375" s="3" t="str">
        <f>IF(M375, "", D375)</f>
      </c>
      <c r="O375" s="3" t="str">
        <f>IF(M375, "", E375)</f>
      </c>
      <c r="P375" s="3">
        <f>COUNTIFS(FieldDisagreements!E2:E999, A375)</f>
        <v>0</v>
      </c>
      <c r="Q375" s="3" t="str">
        <f>_xlfn.IFNA(INDEX(ConformanceSubstrates!C2:C999, MATCH(D375,ConformanceSubstrates!A2:A999, 0)), "")</f>
        <v>OWL / SHACL</v>
      </c>
      <c r="R375" s="3" t="str">
        <f>_xlfn.IFNA(INDEX(RulebookTables!F2:F999, MATCH(E375,RulebookTables!A2:A999, 0)), "")</f>
        <v>org</v>
      </c>
      <c r="S375" s="2" t="s">
        <v>1898</v>
      </c>
    </row>
    <row r="376">
      <c r="A376" s="2" t="s">
        <v>14383</v>
      </c>
      <c r="B376" s="3" t="str">
        <f>_xlfn.CONCAT(D376, " / ", E376)</f>
        <v>effortless-owl / ChangeRequests</v>
      </c>
      <c r="C376" s="2" t="s">
        <v>13999</v>
      </c>
      <c r="D376" s="2" t="s">
        <v>13993</v>
      </c>
      <c r="E376" s="2" t="s">
        <v>3848</v>
      </c>
      <c r="F376" s="2">
        <v>2</v>
      </c>
      <c r="G376" s="2">
        <v>32</v>
      </c>
      <c r="H376" s="2">
        <v>64</v>
      </c>
      <c r="I376" s="2">
        <v>62</v>
      </c>
      <c r="J376" s="2" t="b">
        <v>0</v>
      </c>
      <c r="K376" s="3">
        <f>H376 - I376</f>
        <v>2</v>
      </c>
      <c r="L376" s="3">
        <f>IF(H376 = 0, 0, ROUND(100 * I376 / H376, 2))</f>
        <v>96.88</v>
      </c>
      <c r="M376" s="3" t="b">
        <f>K376 = 0</f>
        <v>0</v>
      </c>
      <c r="N376" s="3" t="str">
        <f>IF(M376, "", D376)</f>
        <v>effortless-owl</v>
      </c>
      <c r="O376" s="3" t="str">
        <f>IF(M376, "", E376)</f>
        <v>ChangeRequests</v>
      </c>
      <c r="P376" s="3">
        <f>COUNTIFS(FieldDisagreements!E2:E999, A376)</f>
        <v>2</v>
      </c>
      <c r="Q376" s="3" t="str">
        <f>_xlfn.IFNA(INDEX(ConformanceSubstrates!C2:C999, MATCH(D376,ConformanceSubstrates!A2:A999, 0)), "")</f>
        <v>OWL / SHACL</v>
      </c>
      <c r="R376" s="3" t="str">
        <f>_xlfn.IFNA(INDEX(RulebookTables!F2:F999, MATCH(E376,RulebookTables!A2:A999, 0)), "")</f>
        <v>domain</v>
      </c>
      <c r="S376" s="2" t="s">
        <v>1898</v>
      </c>
    </row>
    <row r="377">
      <c r="A377" s="2" t="s">
        <v>14384</v>
      </c>
      <c r="B377" s="3" t="str">
        <f>_xlfn.CONCAT(D377, " / ", E377)</f>
        <v>effortless-owl / ReviewEvents</v>
      </c>
      <c r="C377" s="2" t="s">
        <v>13999</v>
      </c>
      <c r="D377" s="2" t="s">
        <v>13993</v>
      </c>
      <c r="E377" s="2" t="s">
        <v>3922</v>
      </c>
      <c r="F377" s="2">
        <v>3</v>
      </c>
      <c r="G377" s="2">
        <v>10</v>
      </c>
      <c r="H377" s="2">
        <v>30</v>
      </c>
      <c r="I377" s="2">
        <v>24</v>
      </c>
      <c r="J377" s="2" t="b">
        <v>0</v>
      </c>
      <c r="K377" s="3">
        <f>H377 - I377</f>
        <v>6</v>
      </c>
      <c r="L377" s="3">
        <f>IF(H377 = 0, 0, ROUND(100 * I377 / H377, 2))</f>
        <v>80</v>
      </c>
      <c r="M377" s="3" t="b">
        <f>K377 = 0</f>
        <v>0</v>
      </c>
      <c r="N377" s="3" t="str">
        <f>IF(M377, "", D377)</f>
        <v>effortless-owl</v>
      </c>
      <c r="O377" s="3" t="str">
        <f>IF(M377, "", E377)</f>
        <v>ReviewEvents</v>
      </c>
      <c r="P377" s="3">
        <f>COUNTIFS(FieldDisagreements!E2:E999, A377)</f>
        <v>2</v>
      </c>
      <c r="Q377" s="3" t="str">
        <f>_xlfn.IFNA(INDEX(ConformanceSubstrates!C2:C999, MATCH(D377,ConformanceSubstrates!A2:A999, 0)), "")</f>
        <v>OWL / SHACL</v>
      </c>
      <c r="R377" s="3" t="str">
        <f>_xlfn.IFNA(INDEX(RulebookTables!F2:F999, MATCH(E377,RulebookTables!A2:A999, 0)), "")</f>
        <v>domain</v>
      </c>
      <c r="S377" s="2" t="s">
        <v>1898</v>
      </c>
    </row>
    <row r="378">
      <c r="A378" s="2" t="s">
        <v>14385</v>
      </c>
      <c r="B378" s="3" t="str">
        <f>_xlfn.CONCAT(D378, " / ", E378)</f>
        <v>effortless-owl / LearningActivities</v>
      </c>
      <c r="C378" s="2" t="s">
        <v>13999</v>
      </c>
      <c r="D378" s="2" t="s">
        <v>13993</v>
      </c>
      <c r="E378" s="2" t="s">
        <v>3951</v>
      </c>
      <c r="F378" s="2">
        <v>2</v>
      </c>
      <c r="G378" s="2">
        <v>1</v>
      </c>
      <c r="H378" s="2">
        <v>2</v>
      </c>
      <c r="I378" s="2">
        <v>2</v>
      </c>
      <c r="J378" s="2" t="b">
        <v>0</v>
      </c>
      <c r="K378" s="3">
        <f>H378 - I378</f>
        <v>0</v>
      </c>
      <c r="L378" s="3">
        <f>IF(H378 = 0, 0, ROUND(100 * I378 / H378, 2))</f>
        <v>100</v>
      </c>
      <c r="M378" s="3" t="b">
        <f>K378 = 0</f>
        <v>1</v>
      </c>
      <c r="N378" s="3" t="str">
        <f>IF(M378, "", D378)</f>
      </c>
      <c r="O378" s="3" t="str">
        <f>IF(M378, "", E378)</f>
      </c>
      <c r="P378" s="3">
        <f>COUNTIFS(FieldDisagreements!E2:E999, A378)</f>
        <v>0</v>
      </c>
      <c r="Q378" s="3" t="str">
        <f>_xlfn.IFNA(INDEX(ConformanceSubstrates!C2:C999, MATCH(D378,ConformanceSubstrates!A2:A999, 0)), "")</f>
        <v>OWL / SHACL</v>
      </c>
      <c r="R378" s="3" t="str">
        <f>_xlfn.IFNA(INDEX(RulebookTables!F2:F999, MATCH(E378,RulebookTables!A2:A999, 0)), "")</f>
        <v>domain</v>
      </c>
      <c r="S378" s="2" t="s">
        <v>1898</v>
      </c>
    </row>
    <row r="379">
      <c r="A379" s="2" t="s">
        <v>14386</v>
      </c>
      <c r="B379" s="3" t="str">
        <f>_xlfn.CONCAT(D379, " / ", E379)</f>
        <v>effortless-owl / OperationalBindings</v>
      </c>
      <c r="C379" s="2" t="s">
        <v>13999</v>
      </c>
      <c r="D379" s="2" t="s">
        <v>13993</v>
      </c>
      <c r="E379" s="2" t="s">
        <v>1842</v>
      </c>
      <c r="F379" s="2">
        <v>5</v>
      </c>
      <c r="G379" s="2">
        <v>11</v>
      </c>
      <c r="H379" s="2">
        <v>55</v>
      </c>
      <c r="I379" s="2">
        <v>36</v>
      </c>
      <c r="J379" s="2" t="b">
        <v>0</v>
      </c>
      <c r="K379" s="3">
        <f>H379 - I379</f>
        <v>19</v>
      </c>
      <c r="L379" s="3">
        <f>IF(H379 = 0, 0, ROUND(100 * I379 / H379, 2))</f>
        <v>65.45</v>
      </c>
      <c r="M379" s="3" t="b">
        <f>K379 = 0</f>
        <v>0</v>
      </c>
      <c r="N379" s="3" t="str">
        <f>IF(M379, "", D379)</f>
        <v>effortless-owl</v>
      </c>
      <c r="O379" s="3" t="str">
        <f>IF(M379, "", E379)</f>
        <v>OperationalBindings</v>
      </c>
      <c r="P379" s="3">
        <f>COUNTIFS(FieldDisagreements!E2:E999, A379)</f>
        <v>6</v>
      </c>
      <c r="Q379" s="3" t="str">
        <f>_xlfn.IFNA(INDEX(ConformanceSubstrates!C2:C999, MATCH(D379,ConformanceSubstrates!A2:A999, 0)), "")</f>
        <v>OWL / SHACL</v>
      </c>
      <c r="R379" s="3" t="str">
        <f>_xlfn.IFNA(INDEX(RulebookTables!F2:F999, MATCH(E379,RulebookTables!A2:A999, 0)), "")</f>
        <v>domain</v>
      </c>
      <c r="S379" s="2" t="s">
        <v>1898</v>
      </c>
    </row>
    <row r="380">
      <c r="A380" s="2" t="s">
        <v>14387</v>
      </c>
      <c r="B380" s="3" t="str">
        <f>_xlfn.CONCAT(D380, " / ", E380)</f>
        <v>effortless-owl / CommunicationPolicies</v>
      </c>
      <c r="C380" s="2" t="s">
        <v>13999</v>
      </c>
      <c r="D380" s="2" t="s">
        <v>13993</v>
      </c>
      <c r="E380" s="2" t="s">
        <v>1845</v>
      </c>
      <c r="F380" s="2">
        <v>2</v>
      </c>
      <c r="G380" s="2">
        <v>4</v>
      </c>
      <c r="H380" s="2">
        <v>8</v>
      </c>
      <c r="I380" s="2">
        <v>8</v>
      </c>
      <c r="J380" s="2" t="b">
        <v>0</v>
      </c>
      <c r="K380" s="3">
        <f>H380 - I380</f>
        <v>0</v>
      </c>
      <c r="L380" s="3">
        <f>IF(H380 = 0, 0, ROUND(100 * I380 / H380, 2))</f>
        <v>100</v>
      </c>
      <c r="M380" s="3" t="b">
        <f>K380 = 0</f>
        <v>1</v>
      </c>
      <c r="N380" s="3" t="str">
        <f>IF(M380, "", D380)</f>
      </c>
      <c r="O380" s="3" t="str">
        <f>IF(M380, "", E380)</f>
      </c>
      <c r="P380" s="3">
        <f>COUNTIFS(FieldDisagreements!E2:E999, A380)</f>
        <v>0</v>
      </c>
      <c r="Q380" s="3" t="str">
        <f>_xlfn.IFNA(INDEX(ConformanceSubstrates!C2:C999, MATCH(D380,ConformanceSubstrates!A2:A999, 0)), "")</f>
        <v>OWL / SHACL</v>
      </c>
      <c r="R380" s="3" t="str">
        <f>_xlfn.IFNA(INDEX(RulebookTables!F2:F999, MATCH(E380,RulebookTables!A2:A999, 0)), "")</f>
        <v>communication</v>
      </c>
      <c r="S380" s="2" t="s">
        <v>1898</v>
      </c>
    </row>
    <row r="381">
      <c r="A381" s="2" t="s">
        <v>14388</v>
      </c>
      <c r="B381" s="3" t="str">
        <f>_xlfn.CONCAT(D381, " / ", E381)</f>
        <v>effortless-owl / MessageTemplates</v>
      </c>
      <c r="C381" s="2" t="s">
        <v>13999</v>
      </c>
      <c r="D381" s="2" t="s">
        <v>13993</v>
      </c>
      <c r="E381" s="2" t="s">
        <v>4021</v>
      </c>
      <c r="F381" s="2">
        <v>2</v>
      </c>
      <c r="G381" s="2">
        <v>16</v>
      </c>
      <c r="H381" s="2">
        <v>32</v>
      </c>
      <c r="I381" s="2">
        <v>32</v>
      </c>
      <c r="J381" s="2" t="b">
        <v>0</v>
      </c>
      <c r="K381" s="3">
        <f>H381 - I381</f>
        <v>0</v>
      </c>
      <c r="L381" s="3">
        <f>IF(H381 = 0, 0, ROUND(100 * I381 / H381, 2))</f>
        <v>100</v>
      </c>
      <c r="M381" s="3" t="b">
        <f>K381 = 0</f>
        <v>1</v>
      </c>
      <c r="N381" s="3" t="str">
        <f>IF(M381, "", D381)</f>
      </c>
      <c r="O381" s="3" t="str">
        <f>IF(M381, "", E381)</f>
      </c>
      <c r="P381" s="3">
        <f>COUNTIFS(FieldDisagreements!E2:E999, A381)</f>
        <v>0</v>
      </c>
      <c r="Q381" s="3" t="str">
        <f>_xlfn.IFNA(INDEX(ConformanceSubstrates!C2:C999, MATCH(D381,ConformanceSubstrates!A2:A999, 0)), "")</f>
        <v>OWL / SHACL</v>
      </c>
      <c r="R381" s="3" t="str">
        <f>_xlfn.IFNA(INDEX(RulebookTables!F2:F999, MATCH(E381,RulebookTables!A2:A999, 0)), "")</f>
        <v>communication</v>
      </c>
      <c r="S381" s="2" t="s">
        <v>1898</v>
      </c>
    </row>
    <row r="382">
      <c r="A382" s="2" t="s">
        <v>14389</v>
      </c>
      <c r="B382" s="3" t="str">
        <f>_xlfn.CONCAT(D382, " / ", E382)</f>
        <v>effortless-owl / SemanticMappings</v>
      </c>
      <c r="C382" s="2" t="s">
        <v>13999</v>
      </c>
      <c r="D382" s="2" t="s">
        <v>13993</v>
      </c>
      <c r="E382" s="2" t="s">
        <v>4064</v>
      </c>
      <c r="F382" s="2">
        <v>47</v>
      </c>
      <c r="G382" s="2">
        <v>1</v>
      </c>
      <c r="H382" s="2">
        <v>47</v>
      </c>
      <c r="I382" s="2">
        <v>47</v>
      </c>
      <c r="J382" s="2" t="b">
        <v>0</v>
      </c>
      <c r="K382" s="3">
        <f>H382 - I382</f>
        <v>0</v>
      </c>
      <c r="L382" s="3">
        <f>IF(H382 = 0, 0, ROUND(100 * I382 / H382, 2))</f>
        <v>100</v>
      </c>
      <c r="M382" s="3" t="b">
        <f>K382 = 0</f>
        <v>1</v>
      </c>
      <c r="N382" s="3" t="str">
        <f>IF(M382, "", D382)</f>
      </c>
      <c r="O382" s="3" t="str">
        <f>IF(M382, "", E382)</f>
      </c>
      <c r="P382" s="3">
        <f>COUNTIFS(FieldDisagreements!E2:E999, A382)</f>
        <v>0</v>
      </c>
      <c r="Q382" s="3" t="str">
        <f>_xlfn.IFNA(INDEX(ConformanceSubstrates!C2:C999, MATCH(D382,ConformanceSubstrates!A2:A999, 0)), "")</f>
        <v>OWL / SHACL</v>
      </c>
      <c r="R382" s="3" t="str">
        <f>_xlfn.IFNA(INDEX(RulebookTables!F2:F999, MATCH(E382,RulebookTables!A2:A999, 0)), "")</f>
        <v>meta</v>
      </c>
      <c r="S382" s="2" t="s">
        <v>1898</v>
      </c>
    </row>
    <row r="383">
      <c r="A383" s="2" t="s">
        <v>14390</v>
      </c>
      <c r="B383" s="3" t="str">
        <f>_xlfn.CONCAT(D383, " / ", E383)</f>
        <v>effortless-owl / WitnessLoops</v>
      </c>
      <c r="C383" s="2" t="s">
        <v>13999</v>
      </c>
      <c r="D383" s="2" t="s">
        <v>13993</v>
      </c>
      <c r="E383" s="2" t="s">
        <v>4074</v>
      </c>
      <c r="F383" s="2">
        <v>3</v>
      </c>
      <c r="G383" s="2">
        <v>3</v>
      </c>
      <c r="H383" s="2">
        <v>9</v>
      </c>
      <c r="I383" s="2">
        <v>9</v>
      </c>
      <c r="J383" s="2" t="b">
        <v>0</v>
      </c>
      <c r="K383" s="3">
        <f>H383 - I383</f>
        <v>0</v>
      </c>
      <c r="L383" s="3">
        <f>IF(H383 = 0, 0, ROUND(100 * I383 / H383, 2))</f>
        <v>100</v>
      </c>
      <c r="M383" s="3" t="b">
        <f>K383 = 0</f>
        <v>1</v>
      </c>
      <c r="N383" s="3" t="str">
        <f>IF(M383, "", D383)</f>
      </c>
      <c r="O383" s="3" t="str">
        <f>IF(M383, "", E383)</f>
      </c>
      <c r="P383" s="3">
        <f>COUNTIFS(FieldDisagreements!E2:E999, A383)</f>
        <v>0</v>
      </c>
      <c r="Q383" s="3" t="str">
        <f>_xlfn.IFNA(INDEX(ConformanceSubstrates!C2:C999, MATCH(D383,ConformanceSubstrates!A2:A999, 0)), "")</f>
        <v>OWL / SHACL</v>
      </c>
      <c r="R383" s="3" t="str">
        <f>_xlfn.IFNA(INDEX(RulebookTables!F2:F999, MATCH(E383,RulebookTables!A2:A999, 0)), "")</f>
        <v>meta</v>
      </c>
      <c r="S383" s="2" t="s">
        <v>1898</v>
      </c>
    </row>
    <row r="384">
      <c r="A384" s="2" t="s">
        <v>14391</v>
      </c>
      <c r="B384" s="3" t="str">
        <f>_xlfn.CONCAT(D384, " / ", E384)</f>
        <v>effortless-owl / RoleQuestions</v>
      </c>
      <c r="C384" s="2" t="s">
        <v>13999</v>
      </c>
      <c r="D384" s="2" t="s">
        <v>13993</v>
      </c>
      <c r="E384" s="2" t="s">
        <v>4091</v>
      </c>
      <c r="F384" s="2">
        <v>109</v>
      </c>
      <c r="G384" s="2">
        <v>3</v>
      </c>
      <c r="H384" s="2">
        <v>327</v>
      </c>
      <c r="I384" s="2">
        <v>327</v>
      </c>
      <c r="J384" s="2" t="b">
        <v>0</v>
      </c>
      <c r="K384" s="3">
        <f>H384 - I384</f>
        <v>0</v>
      </c>
      <c r="L384" s="3">
        <f>IF(H384 = 0, 0, ROUND(100 * I384 / H384, 2))</f>
        <v>100</v>
      </c>
      <c r="M384" s="3" t="b">
        <f>K384 = 0</f>
        <v>1</v>
      </c>
      <c r="N384" s="3" t="str">
        <f>IF(M384, "", D384)</f>
      </c>
      <c r="O384" s="3" t="str">
        <f>IF(M384, "", E384)</f>
      </c>
      <c r="P384" s="3">
        <f>COUNTIFS(FieldDisagreements!E2:E999, A384)</f>
        <v>0</v>
      </c>
      <c r="Q384" s="3" t="str">
        <f>_xlfn.IFNA(INDEX(ConformanceSubstrates!C2:C999, MATCH(D384,ConformanceSubstrates!A2:A999, 0)), "")</f>
        <v>OWL / SHACL</v>
      </c>
      <c r="R384" s="3" t="str">
        <f>_xlfn.IFNA(INDEX(RulebookTables!F2:F999, MATCH(E384,RulebookTables!A2:A999, 0)), "")</f>
        <v>org</v>
      </c>
      <c r="S384" s="2" t="s">
        <v>1898</v>
      </c>
    </row>
    <row r="385">
      <c r="A385" s="2" t="s">
        <v>14392</v>
      </c>
      <c r="B385" s="3" t="str">
        <f>_xlfn.CONCAT(D385, " / ", E385)</f>
        <v>effortless-owl / RulebookFields</v>
      </c>
      <c r="C385" s="2" t="s">
        <v>13999</v>
      </c>
      <c r="D385" s="2" t="s">
        <v>13993</v>
      </c>
      <c r="E385" s="2" t="s">
        <v>4106</v>
      </c>
      <c r="F385" s="2">
        <v>1879</v>
      </c>
      <c r="G385" s="2">
        <v>5</v>
      </c>
      <c r="H385" s="2">
        <v>9395</v>
      </c>
      <c r="I385" s="2">
        <v>9395</v>
      </c>
      <c r="J385" s="2" t="b">
        <v>0</v>
      </c>
      <c r="K385" s="3">
        <f>H385 - I385</f>
        <v>0</v>
      </c>
      <c r="L385" s="3">
        <f>IF(H385 = 0, 0, ROUND(100 * I385 / H385, 2))</f>
        <v>100</v>
      </c>
      <c r="M385" s="3" t="b">
        <f>K385 = 0</f>
        <v>1</v>
      </c>
      <c r="N385" s="3" t="str">
        <f>IF(M385, "", D385)</f>
      </c>
      <c r="O385" s="3" t="str">
        <f>IF(M385, "", E385)</f>
      </c>
      <c r="P385" s="3">
        <f>COUNTIFS(FieldDisagreements!E2:E999, A385)</f>
        <v>0</v>
      </c>
      <c r="Q385" s="3" t="str">
        <f>_xlfn.IFNA(INDEX(ConformanceSubstrates!C2:C999, MATCH(D385,ConformanceSubstrates!A2:A999, 0)), "")</f>
        <v>OWL / SHACL</v>
      </c>
      <c r="R385" s="3" t="str">
        <f>_xlfn.IFNA(INDEX(RulebookTables!F2:F999, MATCH(E385,RulebookTables!A2:A999, 0)), "")</f>
        <v>access-control</v>
      </c>
      <c r="S385" s="2" t="s">
        <v>1898</v>
      </c>
    </row>
    <row r="386">
      <c r="A386" s="2" t="s">
        <v>14393</v>
      </c>
      <c r="B386" s="3" t="str">
        <f>_xlfn.CONCAT(D386, " / ", E386)</f>
        <v>effortless-owl / TestSuites</v>
      </c>
      <c r="C386" s="2" t="s">
        <v>13999</v>
      </c>
      <c r="D386" s="2" t="s">
        <v>13993</v>
      </c>
      <c r="E386" s="2" t="s">
        <v>4125</v>
      </c>
      <c r="F386" s="2">
        <v>6</v>
      </c>
      <c r="G386" s="2">
        <v>5</v>
      </c>
      <c r="H386" s="2">
        <v>30</v>
      </c>
      <c r="I386" s="2">
        <v>30</v>
      </c>
      <c r="J386" s="2" t="b">
        <v>0</v>
      </c>
      <c r="K386" s="3">
        <f>H386 - I386</f>
        <v>0</v>
      </c>
      <c r="L386" s="3">
        <f>IF(H386 = 0, 0, ROUND(100 * I386 / H386, 2))</f>
        <v>100</v>
      </c>
      <c r="M386" s="3" t="b">
        <f>K386 = 0</f>
        <v>1</v>
      </c>
      <c r="N386" s="3" t="str">
        <f>IF(M386, "", D386)</f>
      </c>
      <c r="O386" s="3" t="str">
        <f>IF(M386, "", E386)</f>
      </c>
      <c r="P386" s="3">
        <f>COUNTIFS(FieldDisagreements!E2:E999, A386)</f>
        <v>0</v>
      </c>
      <c r="Q386" s="3" t="str">
        <f>_xlfn.IFNA(INDEX(ConformanceSubstrates!C2:C999, MATCH(D386,ConformanceSubstrates!A2:A999, 0)), "")</f>
        <v>OWL / SHACL</v>
      </c>
      <c r="R386" s="3" t="str">
        <f>_xlfn.IFNA(INDEX(RulebookTables!F2:F999, MATCH(E386,RulebookTables!A2:A999, 0)), "")</f>
        <v>meta</v>
      </c>
      <c r="S386" s="2" t="s">
        <v>1898</v>
      </c>
    </row>
    <row r="387">
      <c r="A387" s="2" t="s">
        <v>14394</v>
      </c>
      <c r="B387" s="3" t="str">
        <f>_xlfn.CONCAT(D387, " / ", E387)</f>
        <v>effortless-owl / TestCases</v>
      </c>
      <c r="C387" s="2" t="s">
        <v>13999</v>
      </c>
      <c r="D387" s="2" t="s">
        <v>13993</v>
      </c>
      <c r="E387" s="2" t="s">
        <v>4143</v>
      </c>
      <c r="F387" s="2">
        <v>1794</v>
      </c>
      <c r="G387" s="2">
        <v>7</v>
      </c>
      <c r="H387" s="2">
        <v>12558</v>
      </c>
      <c r="I387" s="2">
        <v>12558</v>
      </c>
      <c r="J387" s="2" t="b">
        <v>0</v>
      </c>
      <c r="K387" s="3">
        <f>H387 - I387</f>
        <v>0</v>
      </c>
      <c r="L387" s="3">
        <f>IF(H387 = 0, 0, ROUND(100 * I387 / H387, 2))</f>
        <v>100</v>
      </c>
      <c r="M387" s="3" t="b">
        <f>K387 = 0</f>
        <v>1</v>
      </c>
      <c r="N387" s="3" t="str">
        <f>IF(M387, "", D387)</f>
      </c>
      <c r="O387" s="3" t="str">
        <f>IF(M387, "", E387)</f>
      </c>
      <c r="P387" s="3">
        <f>COUNTIFS(FieldDisagreements!E2:E999, A387)</f>
        <v>0</v>
      </c>
      <c r="Q387" s="3" t="str">
        <f>_xlfn.IFNA(INDEX(ConformanceSubstrates!C2:C999, MATCH(D387,ConformanceSubstrates!A2:A999, 0)), "")</f>
        <v>OWL / SHACL</v>
      </c>
      <c r="R387" s="3" t="str">
        <f>_xlfn.IFNA(INDEX(RulebookTables!F2:F999, MATCH(E387,RulebookTables!A2:A999, 0)), "")</f>
        <v>meta</v>
      </c>
      <c r="S387" s="2" t="s">
        <v>1898</v>
      </c>
    </row>
    <row r="388">
      <c r="A388" s="2" t="s">
        <v>14395</v>
      </c>
      <c r="B388" s="3" t="str">
        <f>_xlfn.CONCAT(D388, " / ", E388)</f>
        <v>effortless-owl / ExceptionInvocations</v>
      </c>
      <c r="C388" s="2" t="s">
        <v>13999</v>
      </c>
      <c r="D388" s="2" t="s">
        <v>13993</v>
      </c>
      <c r="E388" s="2" t="s">
        <v>4221</v>
      </c>
      <c r="F388" s="2">
        <v>1</v>
      </c>
      <c r="G388" s="2">
        <v>13</v>
      </c>
      <c r="H388" s="2">
        <v>13</v>
      </c>
      <c r="I388" s="2">
        <v>13</v>
      </c>
      <c r="J388" s="2" t="b">
        <v>0</v>
      </c>
      <c r="K388" s="3">
        <f>H388 - I388</f>
        <v>0</v>
      </c>
      <c r="L388" s="3">
        <f>IF(H388 = 0, 0, ROUND(100 * I388 / H388, 2))</f>
        <v>100</v>
      </c>
      <c r="M388" s="3" t="b">
        <f>K388 = 0</f>
        <v>1</v>
      </c>
      <c r="N388" s="3" t="str">
        <f>IF(M388, "", D388)</f>
      </c>
      <c r="O388" s="3" t="str">
        <f>IF(M388, "", E388)</f>
      </c>
      <c r="P388" s="3">
        <f>COUNTIFS(FieldDisagreements!E2:E999, A388)</f>
        <v>0</v>
      </c>
      <c r="Q388" s="3" t="str">
        <f>_xlfn.IFNA(INDEX(ConformanceSubstrates!C2:C999, MATCH(D388,ConformanceSubstrates!A2:A999, 0)), "")</f>
        <v>OWL / SHACL</v>
      </c>
      <c r="R388" s="3" t="str">
        <f>_xlfn.IFNA(INDEX(RulebookTables!F2:F999, MATCH(E388,RulebookTables!A2:A999, 0)), "")</f>
        <v>governance</v>
      </c>
      <c r="S388" s="2" t="s">
        <v>1898</v>
      </c>
    </row>
    <row r="389">
      <c r="A389" s="2" t="s">
        <v>14396</v>
      </c>
      <c r="B389" s="3" t="str">
        <f>_xlfn.CONCAT(D389, " / ", E389)</f>
        <v>effortless-owl / VerificationOutcomes</v>
      </c>
      <c r="C389" s="2" t="s">
        <v>13999</v>
      </c>
      <c r="D389" s="2" t="s">
        <v>13993</v>
      </c>
      <c r="E389" s="2" t="s">
        <v>4271</v>
      </c>
      <c r="F389" s="2">
        <v>4</v>
      </c>
      <c r="G389" s="2">
        <v>18</v>
      </c>
      <c r="H389" s="2">
        <v>72</v>
      </c>
      <c r="I389" s="2">
        <v>72</v>
      </c>
      <c r="J389" s="2" t="b">
        <v>0</v>
      </c>
      <c r="K389" s="3">
        <f>H389 - I389</f>
        <v>0</v>
      </c>
      <c r="L389" s="3">
        <f>IF(H389 = 0, 0, ROUND(100 * I389 / H389, 2))</f>
        <v>100</v>
      </c>
      <c r="M389" s="3" t="b">
        <f>K389 = 0</f>
        <v>1</v>
      </c>
      <c r="N389" s="3" t="str">
        <f>IF(M389, "", D389)</f>
      </c>
      <c r="O389" s="3" t="str">
        <f>IF(M389, "", E389)</f>
      </c>
      <c r="P389" s="3">
        <f>COUNTIFS(FieldDisagreements!E2:E999, A389)</f>
        <v>0</v>
      </c>
      <c r="Q389" s="3" t="str">
        <f>_xlfn.IFNA(INDEX(ConformanceSubstrates!C2:C999, MATCH(D389,ConformanceSubstrates!A2:A999, 0)), "")</f>
        <v>OWL / SHACL</v>
      </c>
      <c r="R389" s="3" t="str">
        <f>_xlfn.IFNA(INDEX(RulebookTables!F2:F999, MATCH(E389,RulebookTables!A2:A999, 0)), "")</f>
        <v>execution</v>
      </c>
      <c r="S389" s="2" t="s">
        <v>1898</v>
      </c>
    </row>
    <row r="390">
      <c r="A390" s="2" t="s">
        <v>14397</v>
      </c>
      <c r="B390" s="3" t="str">
        <f>_xlfn.CONCAT(D390, " / ", E390)</f>
        <v>effortless-owl / ObservedTransitions</v>
      </c>
      <c r="C390" s="2" t="s">
        <v>13999</v>
      </c>
      <c r="D390" s="2" t="s">
        <v>13993</v>
      </c>
      <c r="E390" s="2" t="s">
        <v>4332</v>
      </c>
      <c r="F390" s="2">
        <v>10</v>
      </c>
      <c r="G390" s="2">
        <v>1</v>
      </c>
      <c r="H390" s="2">
        <v>10</v>
      </c>
      <c r="I390" s="2">
        <v>10</v>
      </c>
      <c r="J390" s="2" t="b">
        <v>0</v>
      </c>
      <c r="K390" s="3">
        <f>H390 - I390</f>
        <v>0</v>
      </c>
      <c r="L390" s="3">
        <f>IF(H390 = 0, 0, ROUND(100 * I390 / H390, 2))</f>
        <v>100</v>
      </c>
      <c r="M390" s="3" t="b">
        <f>K390 = 0</f>
        <v>1</v>
      </c>
      <c r="N390" s="3" t="str">
        <f>IF(M390, "", D390)</f>
      </c>
      <c r="O390" s="3" t="str">
        <f>IF(M390, "", E390)</f>
      </c>
      <c r="P390" s="3">
        <f>COUNTIFS(FieldDisagreements!E2:E999, A390)</f>
        <v>0</v>
      </c>
      <c r="Q390" s="3" t="str">
        <f>_xlfn.IFNA(INDEX(ConformanceSubstrates!C2:C999, MATCH(D390,ConformanceSubstrates!A2:A999, 0)), "")</f>
        <v>OWL / SHACL</v>
      </c>
      <c r="R390" s="3" t="str">
        <f>_xlfn.IFNA(INDEX(RulebookTables!F2:F999, MATCH(E390,RulebookTables!A2:A999, 0)), "")</f>
        <v>specification</v>
      </c>
      <c r="S390" s="2" t="s">
        <v>1898</v>
      </c>
    </row>
    <row r="391">
      <c r="A391" s="2" t="s">
        <v>14398</v>
      </c>
      <c r="B391" s="3" t="str">
        <f>_xlfn.CONCAT(D391, " / ", E391)</f>
        <v>effortless-owl / Recipients</v>
      </c>
      <c r="C391" s="2" t="s">
        <v>13999</v>
      </c>
      <c r="D391" s="2" t="s">
        <v>13993</v>
      </c>
      <c r="E391" s="2" t="s">
        <v>4346</v>
      </c>
      <c r="F391" s="2">
        <v>5</v>
      </c>
      <c r="G391" s="2">
        <v>6</v>
      </c>
      <c r="H391" s="2">
        <v>30</v>
      </c>
      <c r="I391" s="2">
        <v>30</v>
      </c>
      <c r="J391" s="2" t="b">
        <v>0</v>
      </c>
      <c r="K391" s="3">
        <f>H391 - I391</f>
        <v>0</v>
      </c>
      <c r="L391" s="3">
        <f>IF(H391 = 0, 0, ROUND(100 * I391 / H391, 2))</f>
        <v>100</v>
      </c>
      <c r="M391" s="3" t="b">
        <f>K391 = 0</f>
        <v>1</v>
      </c>
      <c r="N391" s="3" t="str">
        <f>IF(M391, "", D391)</f>
      </c>
      <c r="O391" s="3" t="str">
        <f>IF(M391, "", E391)</f>
      </c>
      <c r="P391" s="3">
        <f>COUNTIFS(FieldDisagreements!E2:E999, A391)</f>
        <v>0</v>
      </c>
      <c r="Q391" s="3" t="str">
        <f>_xlfn.IFNA(INDEX(ConformanceSubstrates!C2:C999, MATCH(D391,ConformanceSubstrates!A2:A999, 0)), "")</f>
        <v>OWL / SHACL</v>
      </c>
      <c r="R391" s="3" t="str">
        <f>_xlfn.IFNA(INDEX(RulebookTables!F2:F999, MATCH(E391,RulebookTables!A2:A999, 0)), "")</f>
        <v>communication</v>
      </c>
      <c r="S391" s="2" t="s">
        <v>1898</v>
      </c>
    </row>
    <row r="392">
      <c r="A392" s="2" t="s">
        <v>14399</v>
      </c>
      <c r="B392" s="3" t="str">
        <f>_xlfn.CONCAT(D392, " / ", E392)</f>
        <v>effortless-owl / MessageDeliveries</v>
      </c>
      <c r="C392" s="2" t="s">
        <v>13999</v>
      </c>
      <c r="D392" s="2" t="s">
        <v>13993</v>
      </c>
      <c r="E392" s="2" t="s">
        <v>4378</v>
      </c>
      <c r="F392" s="2">
        <v>6</v>
      </c>
      <c r="G392" s="2">
        <v>74</v>
      </c>
      <c r="H392" s="2">
        <v>444</v>
      </c>
      <c r="I392" s="2">
        <v>428</v>
      </c>
      <c r="J392" s="2" t="b">
        <v>0</v>
      </c>
      <c r="K392" s="3">
        <f>H392 - I392</f>
        <v>16</v>
      </c>
      <c r="L392" s="3">
        <f>IF(H392 = 0, 0, ROUND(100 * I392 / H392, 2))</f>
        <v>96.4</v>
      </c>
      <c r="M392" s="3" t="b">
        <f>K392 = 0</f>
        <v>0</v>
      </c>
      <c r="N392" s="3" t="str">
        <f>IF(M392, "", D392)</f>
        <v>effortless-owl</v>
      </c>
      <c r="O392" s="3" t="str">
        <f>IF(M392, "", E392)</f>
        <v>MessageDeliveries</v>
      </c>
      <c r="P392" s="3">
        <f>COUNTIFS(FieldDisagreements!E2:E999, A392)</f>
        <v>5</v>
      </c>
      <c r="Q392" s="3" t="str">
        <f>_xlfn.IFNA(INDEX(ConformanceSubstrates!C2:C999, MATCH(D392,ConformanceSubstrates!A2:A999, 0)), "")</f>
        <v>OWL / SHACL</v>
      </c>
      <c r="R392" s="3" t="str">
        <f>_xlfn.IFNA(INDEX(RulebookTables!F2:F999, MATCH(E392,RulebookTables!A2:A999, 0)), "")</f>
        <v>communication</v>
      </c>
      <c r="S392" s="2" t="s">
        <v>1898</v>
      </c>
    </row>
    <row r="393">
      <c r="A393" s="2" t="s">
        <v>14400</v>
      </c>
      <c r="B393" s="3" t="str">
        <f>_xlfn.CONCAT(D393, " / ", E393)</f>
        <v>effortless-owl / TemplateApprovals</v>
      </c>
      <c r="C393" s="2" t="s">
        <v>13999</v>
      </c>
      <c r="D393" s="2" t="s">
        <v>13993</v>
      </c>
      <c r="E393" s="2" t="s">
        <v>4632</v>
      </c>
      <c r="F393" s="2">
        <v>2</v>
      </c>
      <c r="G393" s="2">
        <v>6</v>
      </c>
      <c r="H393" s="2">
        <v>12</v>
      </c>
      <c r="I393" s="2">
        <v>12</v>
      </c>
      <c r="J393" s="2" t="b">
        <v>0</v>
      </c>
      <c r="K393" s="3">
        <f>H393 - I393</f>
        <v>0</v>
      </c>
      <c r="L393" s="3">
        <f>IF(H393 = 0, 0, ROUND(100 * I393 / H393, 2))</f>
        <v>100</v>
      </c>
      <c r="M393" s="3" t="b">
        <f>K393 = 0</f>
        <v>1</v>
      </c>
      <c r="N393" s="3" t="str">
        <f>IF(M393, "", D393)</f>
      </c>
      <c r="O393" s="3" t="str">
        <f>IF(M393, "", E393)</f>
      </c>
      <c r="P393" s="3">
        <f>COUNTIFS(FieldDisagreements!E2:E999, A393)</f>
        <v>0</v>
      </c>
      <c r="Q393" s="3" t="str">
        <f>_xlfn.IFNA(INDEX(ConformanceSubstrates!C2:C999, MATCH(D393,ConformanceSubstrates!A2:A999, 0)), "")</f>
        <v>OWL / SHACL</v>
      </c>
      <c r="R393" s="3" t="str">
        <f>_xlfn.IFNA(INDEX(RulebookTables!F2:F999, MATCH(E393,RulebookTables!A2:A999, 0)), "")</f>
        <v>communication</v>
      </c>
      <c r="S393" s="2" t="s">
        <v>1898</v>
      </c>
    </row>
    <row r="394">
      <c r="A394" s="2" t="s">
        <v>14401</v>
      </c>
      <c r="B394" s="3" t="str">
        <f>_xlfn.CONCAT(D394, " / ", E394)</f>
        <v>effortless-owl / SendIntents</v>
      </c>
      <c r="C394" s="2" t="s">
        <v>13999</v>
      </c>
      <c r="D394" s="2" t="s">
        <v>13993</v>
      </c>
      <c r="E394" s="2" t="s">
        <v>4662</v>
      </c>
      <c r="F394" s="2">
        <v>7</v>
      </c>
      <c r="G394" s="2">
        <v>79</v>
      </c>
      <c r="H394" s="2">
        <v>553</v>
      </c>
      <c r="I394" s="2">
        <v>532</v>
      </c>
      <c r="J394" s="2" t="b">
        <v>0</v>
      </c>
      <c r="K394" s="3">
        <f>H394 - I394</f>
        <v>21</v>
      </c>
      <c r="L394" s="3">
        <f>IF(H394 = 0, 0, ROUND(100 * I394 / H394, 2))</f>
        <v>96.2</v>
      </c>
      <c r="M394" s="3" t="b">
        <f>K394 = 0</f>
        <v>0</v>
      </c>
      <c r="N394" s="3" t="str">
        <f>IF(M394, "", D394)</f>
        <v>effortless-owl</v>
      </c>
      <c r="O394" s="3" t="str">
        <f>IF(M394, "", E394)</f>
        <v>SendIntents</v>
      </c>
      <c r="P394" s="3">
        <f>COUNTIFS(FieldDisagreements!E2:E999, A394)</f>
        <v>6</v>
      </c>
      <c r="Q394" s="3" t="str">
        <f>_xlfn.IFNA(INDEX(ConformanceSubstrates!C2:C999, MATCH(D394,ConformanceSubstrates!A2:A999, 0)), "")</f>
        <v>OWL / SHACL</v>
      </c>
      <c r="R394" s="3" t="str">
        <f>_xlfn.IFNA(INDEX(RulebookTables!F2:F999, MATCH(E394,RulebookTables!A2:A999, 0)), "")</f>
        <v>communication</v>
      </c>
      <c r="S394" s="2" t="s">
        <v>1898</v>
      </c>
    </row>
    <row r="395">
      <c r="A395" s="2" t="s">
        <v>14402</v>
      </c>
      <c r="B395" s="3" t="str">
        <f>_xlfn.CONCAT(D395, " / ", E395)</f>
        <v>effortless-owl / AgentDecisionRecords</v>
      </c>
      <c r="C395" s="2" t="s">
        <v>13999</v>
      </c>
      <c r="D395" s="2" t="s">
        <v>13993</v>
      </c>
      <c r="E395" s="2" t="s">
        <v>4928</v>
      </c>
      <c r="F395" s="2">
        <v>3</v>
      </c>
      <c r="G395" s="2">
        <v>27</v>
      </c>
      <c r="H395" s="2">
        <v>81</v>
      </c>
      <c r="I395" s="2">
        <v>78</v>
      </c>
      <c r="J395" s="2" t="b">
        <v>0</v>
      </c>
      <c r="K395" s="3">
        <f>H395 - I395</f>
        <v>3</v>
      </c>
      <c r="L395" s="3">
        <f>IF(H395 = 0, 0, ROUND(100 * I395 / H395, 2))</f>
        <v>96.3</v>
      </c>
      <c r="M395" s="3" t="b">
        <f>K395 = 0</f>
        <v>0</v>
      </c>
      <c r="N395" s="3" t="str">
        <f>IF(M395, "", D395)</f>
        <v>effortless-owl</v>
      </c>
      <c r="O395" s="3" t="str">
        <f>IF(M395, "", E395)</f>
        <v>AgentDecisionRecords</v>
      </c>
      <c r="P395" s="3">
        <f>COUNTIFS(FieldDisagreements!E2:E999, A395)</f>
        <v>1</v>
      </c>
      <c r="Q395" s="3" t="str">
        <f>_xlfn.IFNA(INDEX(ConformanceSubstrates!C2:C999, MATCH(D395,ConformanceSubstrates!A2:A999, 0)), "")</f>
        <v>OWL / SHACL</v>
      </c>
      <c r="R395" s="3" t="str">
        <f>_xlfn.IFNA(INDEX(RulebookTables!F2:F999, MATCH(E395,RulebookTables!A2:A999, 0)), "")</f>
        <v>org</v>
      </c>
      <c r="S395" s="2" t="s">
        <v>1898</v>
      </c>
    </row>
    <row r="396">
      <c r="A396" s="2" t="s">
        <v>14403</v>
      </c>
      <c r="B396" s="3" t="str">
        <f>_xlfn.CONCAT(D396, " / ", E396)</f>
        <v>effortless-owl / DeliveredCommunications</v>
      </c>
      <c r="C396" s="2" t="s">
        <v>13999</v>
      </c>
      <c r="D396" s="2" t="s">
        <v>13993</v>
      </c>
      <c r="E396" s="2" t="s">
        <v>5029</v>
      </c>
      <c r="F396" s="2">
        <v>1</v>
      </c>
      <c r="G396" s="2">
        <v>6</v>
      </c>
      <c r="H396" s="2">
        <v>6</v>
      </c>
      <c r="I396" s="2">
        <v>4</v>
      </c>
      <c r="J396" s="2" t="b">
        <v>0</v>
      </c>
      <c r="K396" s="3">
        <f>H396 - I396</f>
        <v>2</v>
      </c>
      <c r="L396" s="3">
        <f>IF(H396 = 0, 0, ROUND(100 * I396 / H396, 2))</f>
        <v>66.67</v>
      </c>
      <c r="M396" s="3" t="b">
        <f>K396 = 0</f>
        <v>0</v>
      </c>
      <c r="N396" s="3" t="str">
        <f>IF(M396, "", D396)</f>
        <v>effortless-owl</v>
      </c>
      <c r="O396" s="3" t="str">
        <f>IF(M396, "", E396)</f>
        <v>DeliveredCommunications</v>
      </c>
      <c r="P396" s="3">
        <f>COUNTIFS(FieldDisagreements!E2:E999, A396)</f>
        <v>2</v>
      </c>
      <c r="Q396" s="3" t="str">
        <f>_xlfn.IFNA(INDEX(ConformanceSubstrates!C2:C999, MATCH(D396,ConformanceSubstrates!A2:A999, 0)), "")</f>
        <v>OWL / SHACL</v>
      </c>
      <c r="R396" s="3" t="str">
        <f>_xlfn.IFNA(INDEX(RulebookTables!F2:F999, MATCH(E396,RulebookTables!A2:A999, 0)), "")</f>
        <v>communication</v>
      </c>
      <c r="S396" s="2" t="s">
        <v>1898</v>
      </c>
    </row>
    <row r="397">
      <c r="A397" s="2" t="s">
        <v>14404</v>
      </c>
      <c r="B397" s="3" t="str">
        <f>_xlfn.CONCAT(D397, " / ", E397)</f>
        <v>effortless-owl / AuthorityBoundaries</v>
      </c>
      <c r="C397" s="2" t="s">
        <v>13999</v>
      </c>
      <c r="D397" s="2" t="s">
        <v>13993</v>
      </c>
      <c r="E397" s="2" t="s">
        <v>5065</v>
      </c>
      <c r="F397" s="2">
        <v>3</v>
      </c>
      <c r="G397" s="2">
        <v>21</v>
      </c>
      <c r="H397" s="2">
        <v>63</v>
      </c>
      <c r="I397" s="2">
        <v>63</v>
      </c>
      <c r="J397" s="2" t="b">
        <v>0</v>
      </c>
      <c r="K397" s="3">
        <f>H397 - I397</f>
        <v>0</v>
      </c>
      <c r="L397" s="3">
        <f>IF(H397 = 0, 0, ROUND(100 * I397 / H397, 2))</f>
        <v>100</v>
      </c>
      <c r="M397" s="3" t="b">
        <f>K397 = 0</f>
        <v>1</v>
      </c>
      <c r="N397" s="3" t="str">
        <f>IF(M397, "", D397)</f>
      </c>
      <c r="O397" s="3" t="str">
        <f>IF(M397, "", E397)</f>
      </c>
      <c r="P397" s="3">
        <f>COUNTIFS(FieldDisagreements!E2:E999, A397)</f>
        <v>0</v>
      </c>
      <c r="Q397" s="3" t="str">
        <f>_xlfn.IFNA(INDEX(ConformanceSubstrates!C2:C999, MATCH(D397,ConformanceSubstrates!A2:A999, 0)), "")</f>
        <v>OWL / SHACL</v>
      </c>
      <c r="R397" s="3" t="str">
        <f>_xlfn.IFNA(INDEX(RulebookTables!F2:F999, MATCH(E397,RulebookTables!A2:A999, 0)), "")</f>
        <v>governance</v>
      </c>
      <c r="S397" s="2" t="s">
        <v>1898</v>
      </c>
    </row>
    <row r="398">
      <c r="A398" s="2" t="s">
        <v>14405</v>
      </c>
      <c r="B398" s="3" t="str">
        <f>_xlfn.CONCAT(D398, " / ", E398)</f>
        <v>effortless-owl / AppRoleProfiles</v>
      </c>
      <c r="C398" s="2" t="s">
        <v>13999</v>
      </c>
      <c r="D398" s="2" t="s">
        <v>13993</v>
      </c>
      <c r="E398" s="2" t="s">
        <v>1849</v>
      </c>
      <c r="F398" s="2">
        <v>12</v>
      </c>
      <c r="G398" s="2">
        <v>2</v>
      </c>
      <c r="H398" s="2">
        <v>24</v>
      </c>
      <c r="I398" s="2">
        <v>12</v>
      </c>
      <c r="J398" s="2" t="b">
        <v>0</v>
      </c>
      <c r="K398" s="3">
        <f>H398 - I398</f>
        <v>12</v>
      </c>
      <c r="L398" s="3">
        <f>IF(H398 = 0, 0, ROUND(100 * I398 / H398, 2))</f>
        <v>50</v>
      </c>
      <c r="M398" s="3" t="b">
        <f>K398 = 0</f>
        <v>0</v>
      </c>
      <c r="N398" s="3" t="str">
        <f>IF(M398, "", D398)</f>
        <v>effortless-owl</v>
      </c>
      <c r="O398" s="3" t="str">
        <f>IF(M398, "", E398)</f>
        <v>AppRoleProfiles</v>
      </c>
      <c r="P398" s="3">
        <f>COUNTIFS(FieldDisagreements!E2:E999, A398)</f>
        <v>1</v>
      </c>
      <c r="Q398" s="3" t="str">
        <f>_xlfn.IFNA(INDEX(ConformanceSubstrates!C2:C999, MATCH(D398,ConformanceSubstrates!A2:A999, 0)), "")</f>
        <v>OWL / SHACL</v>
      </c>
      <c r="R398" s="3" t="str">
        <f>_xlfn.IFNA(INDEX(RulebookTables!F2:F999, MATCH(E398,RulebookTables!A2:A999, 0)), "")</f>
        <v>org</v>
      </c>
      <c r="S398" s="2" t="s">
        <v>1898</v>
      </c>
    </row>
    <row r="399">
      <c r="A399" s="2" t="s">
        <v>14406</v>
      </c>
      <c r="B399" s="3" t="str">
        <f>_xlfn.CONCAT(D399, " / ", E399)</f>
        <v>effortless-owl / AppNavGroups</v>
      </c>
      <c r="C399" s="2" t="s">
        <v>13999</v>
      </c>
      <c r="D399" s="2" t="s">
        <v>13993</v>
      </c>
      <c r="E399" s="2" t="s">
        <v>1853</v>
      </c>
      <c r="F399" s="2">
        <v>23</v>
      </c>
      <c r="G399" s="2">
        <v>2</v>
      </c>
      <c r="H399" s="2">
        <v>46</v>
      </c>
      <c r="I399" s="2">
        <v>46</v>
      </c>
      <c r="J399" s="2" t="b">
        <v>0</v>
      </c>
      <c r="K399" s="3">
        <f>H399 - I399</f>
        <v>0</v>
      </c>
      <c r="L399" s="3">
        <f>IF(H399 = 0, 0, ROUND(100 * I399 / H399, 2))</f>
        <v>100</v>
      </c>
      <c r="M399" s="3" t="b">
        <f>K399 = 0</f>
        <v>1</v>
      </c>
      <c r="N399" s="3" t="str">
        <f>IF(M399, "", D399)</f>
      </c>
      <c r="O399" s="3" t="str">
        <f>IF(M399, "", E399)</f>
      </c>
      <c r="P399" s="3">
        <f>COUNTIFS(FieldDisagreements!E2:E999, A399)</f>
        <v>0</v>
      </c>
      <c r="Q399" s="3" t="str">
        <f>_xlfn.IFNA(INDEX(ConformanceSubstrates!C2:C999, MATCH(D399,ConformanceSubstrates!A2:A999, 0)), "")</f>
        <v>OWL / SHACL</v>
      </c>
      <c r="R399" s="3" t="str">
        <f>_xlfn.IFNA(INDEX(RulebookTables!F2:F999, MATCH(E399,RulebookTables!A2:A999, 0)), "")</f>
        <v>application</v>
      </c>
      <c r="S399" s="2" t="s">
        <v>1898</v>
      </c>
    </row>
    <row r="400">
      <c r="A400" s="2" t="s">
        <v>14407</v>
      </c>
      <c r="B400" s="3" t="str">
        <f>_xlfn.CONCAT(D400, " / ", E400)</f>
        <v>effortless-owl / AppRoutes</v>
      </c>
      <c r="C400" s="2" t="s">
        <v>13999</v>
      </c>
      <c r="D400" s="2" t="s">
        <v>13993</v>
      </c>
      <c r="E400" s="2" t="s">
        <v>1857</v>
      </c>
      <c r="F400" s="2">
        <v>149</v>
      </c>
      <c r="G400" s="2">
        <v>7</v>
      </c>
      <c r="H400" s="2">
        <v>1043</v>
      </c>
      <c r="I400" s="2">
        <v>1043</v>
      </c>
      <c r="J400" s="2" t="b">
        <v>0</v>
      </c>
      <c r="K400" s="3">
        <f>H400 - I400</f>
        <v>0</v>
      </c>
      <c r="L400" s="3">
        <f>IF(H400 = 0, 0, ROUND(100 * I400 / H400, 2))</f>
        <v>100</v>
      </c>
      <c r="M400" s="3" t="b">
        <f>K400 = 0</f>
        <v>1</v>
      </c>
      <c r="N400" s="3" t="str">
        <f>IF(M400, "", D400)</f>
      </c>
      <c r="O400" s="3" t="str">
        <f>IF(M400, "", E400)</f>
      </c>
      <c r="P400" s="3">
        <f>COUNTIFS(FieldDisagreements!E2:E999, A400)</f>
        <v>0</v>
      </c>
      <c r="Q400" s="3" t="str">
        <f>_xlfn.IFNA(INDEX(ConformanceSubstrates!C2:C999, MATCH(D400,ConformanceSubstrates!A2:A999, 0)), "")</f>
        <v>OWL / SHACL</v>
      </c>
      <c r="R400" s="3" t="str">
        <f>_xlfn.IFNA(INDEX(RulebookTables!F2:F999, MATCH(E400,RulebookTables!A2:A999, 0)), "")</f>
        <v>application</v>
      </c>
      <c r="S400" s="2" t="s">
        <v>1898</v>
      </c>
    </row>
    <row r="401">
      <c r="A401" s="2" t="s">
        <v>14408</v>
      </c>
      <c r="B401" s="3" t="str">
        <f>_xlfn.CONCAT(D401, " / ", E401)</f>
        <v>effortless-owl / AppRouteQuestions</v>
      </c>
      <c r="C401" s="2" t="s">
        <v>13999</v>
      </c>
      <c r="D401" s="2" t="s">
        <v>13993</v>
      </c>
      <c r="E401" s="2" t="s">
        <v>1861</v>
      </c>
      <c r="F401" s="2">
        <v>151</v>
      </c>
      <c r="G401" s="2">
        <v>1</v>
      </c>
      <c r="H401" s="2">
        <v>151</v>
      </c>
      <c r="I401" s="2">
        <v>151</v>
      </c>
      <c r="J401" s="2" t="b">
        <v>0</v>
      </c>
      <c r="K401" s="3">
        <f>H401 - I401</f>
        <v>0</v>
      </c>
      <c r="L401" s="3">
        <f>IF(H401 = 0, 0, ROUND(100 * I401 / H401, 2))</f>
        <v>100</v>
      </c>
      <c r="M401" s="3" t="b">
        <f>K401 = 0</f>
        <v>1</v>
      </c>
      <c r="N401" s="3" t="str">
        <f>IF(M401, "", D401)</f>
      </c>
      <c r="O401" s="3" t="str">
        <f>IF(M401, "", E401)</f>
      </c>
      <c r="P401" s="3">
        <f>COUNTIFS(FieldDisagreements!E2:E999, A401)</f>
        <v>0</v>
      </c>
      <c r="Q401" s="3" t="str">
        <f>_xlfn.IFNA(INDEX(ConformanceSubstrates!C2:C999, MATCH(D401,ConformanceSubstrates!A2:A999, 0)), "")</f>
        <v>OWL / SHACL</v>
      </c>
      <c r="R401" s="3" t="str">
        <f>_xlfn.IFNA(INDEX(RulebookTables!F2:F999, MATCH(E401,RulebookTables!A2:A999, 0)), "")</f>
        <v>application</v>
      </c>
      <c r="S401" s="2" t="s">
        <v>1898</v>
      </c>
    </row>
    <row r="402">
      <c r="A402" s="2" t="s">
        <v>14409</v>
      </c>
      <c r="B402" s="3" t="str">
        <f>_xlfn.CONCAT(D402, " / ", E402)</f>
        <v>effortless-owl / AppRouteReferences</v>
      </c>
      <c r="C402" s="2" t="s">
        <v>13999</v>
      </c>
      <c r="D402" s="2" t="s">
        <v>13993</v>
      </c>
      <c r="E402" s="2" t="s">
        <v>1865</v>
      </c>
      <c r="F402" s="2">
        <v>315</v>
      </c>
      <c r="G402" s="2">
        <v>1</v>
      </c>
      <c r="H402" s="2">
        <v>315</v>
      </c>
      <c r="I402" s="2">
        <v>315</v>
      </c>
      <c r="J402" s="2" t="b">
        <v>0</v>
      </c>
      <c r="K402" s="3">
        <f>H402 - I402</f>
        <v>0</v>
      </c>
      <c r="L402" s="3">
        <f>IF(H402 = 0, 0, ROUND(100 * I402 / H402, 2))</f>
        <v>100</v>
      </c>
      <c r="M402" s="3" t="b">
        <f>K402 = 0</f>
        <v>1</v>
      </c>
      <c r="N402" s="3" t="str">
        <f>IF(M402, "", D402)</f>
      </c>
      <c r="O402" s="3" t="str">
        <f>IF(M402, "", E402)</f>
      </c>
      <c r="P402" s="3">
        <f>COUNTIFS(FieldDisagreements!E2:E999, A402)</f>
        <v>0</v>
      </c>
      <c r="Q402" s="3" t="str">
        <f>_xlfn.IFNA(INDEX(ConformanceSubstrates!C2:C999, MATCH(D402,ConformanceSubstrates!A2:A999, 0)), "")</f>
        <v>OWL / SHACL</v>
      </c>
      <c r="R402" s="3" t="str">
        <f>_xlfn.IFNA(INDEX(RulebookTables!F2:F999, MATCH(E402,RulebookTables!A2:A999, 0)), "")</f>
        <v>application</v>
      </c>
      <c r="S402" s="2" t="s">
        <v>1898</v>
      </c>
    </row>
    <row r="403">
      <c r="A403" s="2" t="s">
        <v>14410</v>
      </c>
      <c r="B403" s="3" t="str">
        <f>_xlfn.CONCAT(D403, " / ", E403)</f>
        <v>effortless-owl / RulebookTables</v>
      </c>
      <c r="C403" s="2" t="s">
        <v>13999</v>
      </c>
      <c r="D403" s="2" t="s">
        <v>13993</v>
      </c>
      <c r="E403" s="2" t="s">
        <v>5286</v>
      </c>
      <c r="F403" s="2">
        <v>92</v>
      </c>
      <c r="G403" s="2">
        <v>5</v>
      </c>
      <c r="H403" s="2">
        <v>460</v>
      </c>
      <c r="I403" s="2">
        <v>460</v>
      </c>
      <c r="J403" s="2" t="b">
        <v>0</v>
      </c>
      <c r="K403" s="3">
        <f>H403 - I403</f>
        <v>0</v>
      </c>
      <c r="L403" s="3">
        <f>IF(H403 = 0, 0, ROUND(100 * I403 / H403, 2))</f>
        <v>100</v>
      </c>
      <c r="M403" s="3" t="b">
        <f>K403 = 0</f>
        <v>1</v>
      </c>
      <c r="N403" s="3" t="str">
        <f>IF(M403, "", D403)</f>
      </c>
      <c r="O403" s="3" t="str">
        <f>IF(M403, "", E403)</f>
      </c>
      <c r="P403" s="3">
        <f>COUNTIFS(FieldDisagreements!E2:E999, A403)</f>
        <v>0</v>
      </c>
      <c r="Q403" s="3" t="str">
        <f>_xlfn.IFNA(INDEX(ConformanceSubstrates!C2:C999, MATCH(D403,ConformanceSubstrates!A2:A999, 0)), "")</f>
        <v>OWL / SHACL</v>
      </c>
      <c r="R403" s="3" t="str">
        <f>_xlfn.IFNA(INDEX(RulebookTables!F2:F999, MATCH(E403,RulebookTables!A2:A999, 0)), "")</f>
        <v>meta</v>
      </c>
      <c r="S403" s="2" t="s">
        <v>1898</v>
      </c>
    </row>
    <row r="404">
      <c r="A404" s="2" t="s">
        <v>14411</v>
      </c>
      <c r="B404" s="3" t="str">
        <f>_xlfn.CONCAT(D404, " / ", E404)</f>
        <v>effortless-owl / AccessPrincipals</v>
      </c>
      <c r="C404" s="2" t="s">
        <v>13999</v>
      </c>
      <c r="D404" s="2" t="s">
        <v>13993</v>
      </c>
      <c r="E404" s="2" t="s">
        <v>5313</v>
      </c>
      <c r="F404" s="2">
        <v>12</v>
      </c>
      <c r="G404" s="2">
        <v>8</v>
      </c>
      <c r="H404" s="2">
        <v>96</v>
      </c>
      <c r="I404" s="2">
        <v>96</v>
      </c>
      <c r="J404" s="2" t="b">
        <v>0</v>
      </c>
      <c r="K404" s="3">
        <f>H404 - I404</f>
        <v>0</v>
      </c>
      <c r="L404" s="3">
        <f>IF(H404 = 0, 0, ROUND(100 * I404 / H404, 2))</f>
        <v>100</v>
      </c>
      <c r="M404" s="3" t="b">
        <f>K404 = 0</f>
        <v>1</v>
      </c>
      <c r="N404" s="3" t="str">
        <f>IF(M404, "", D404)</f>
      </c>
      <c r="O404" s="3" t="str">
        <f>IF(M404, "", E404)</f>
      </c>
      <c r="P404" s="3">
        <f>COUNTIFS(FieldDisagreements!E2:E999, A404)</f>
        <v>0</v>
      </c>
      <c r="Q404" s="3" t="str">
        <f>_xlfn.IFNA(INDEX(ConformanceSubstrates!C2:C999, MATCH(D404,ConformanceSubstrates!A2:A999, 0)), "")</f>
        <v>OWL / SHACL</v>
      </c>
      <c r="R404" s="3" t="str">
        <f>_xlfn.IFNA(INDEX(RulebookTables!F2:F999, MATCH(E404,RulebookTables!A2:A999, 0)), "")</f>
        <v>access-control</v>
      </c>
      <c r="S404" s="2" t="s">
        <v>1898</v>
      </c>
    </row>
    <row r="405">
      <c r="A405" s="2" t="s">
        <v>14412</v>
      </c>
      <c r="B405" s="3" t="str">
        <f>_xlfn.CONCAT(D405, " / ", E405)</f>
        <v>effortless-owl / AccessPolicies</v>
      </c>
      <c r="C405" s="2" t="s">
        <v>13999</v>
      </c>
      <c r="D405" s="2" t="s">
        <v>13993</v>
      </c>
      <c r="E405" s="2" t="s">
        <v>5346</v>
      </c>
      <c r="F405" s="2">
        <v>202</v>
      </c>
      <c r="G405" s="2">
        <v>7</v>
      </c>
      <c r="H405" s="2">
        <v>1414</v>
      </c>
      <c r="I405" s="2">
        <v>1414</v>
      </c>
      <c r="J405" s="2" t="b">
        <v>0</v>
      </c>
      <c r="K405" s="3">
        <f>H405 - I405</f>
        <v>0</v>
      </c>
      <c r="L405" s="3">
        <f>IF(H405 = 0, 0, ROUND(100 * I405 / H405, 2))</f>
        <v>100</v>
      </c>
      <c r="M405" s="3" t="b">
        <f>K405 = 0</f>
        <v>1</v>
      </c>
      <c r="N405" s="3" t="str">
        <f>IF(M405, "", D405)</f>
      </c>
      <c r="O405" s="3" t="str">
        <f>IF(M405, "", E405)</f>
      </c>
      <c r="P405" s="3">
        <f>COUNTIFS(FieldDisagreements!E2:E999, A405)</f>
        <v>0</v>
      </c>
      <c r="Q405" s="3" t="str">
        <f>_xlfn.IFNA(INDEX(ConformanceSubstrates!C2:C999, MATCH(D405,ConformanceSubstrates!A2:A999, 0)), "")</f>
        <v>OWL / SHACL</v>
      </c>
      <c r="R405" s="3" t="str">
        <f>_xlfn.IFNA(INDEX(RulebookTables!F2:F999, MATCH(E405,RulebookTables!A2:A999, 0)), "")</f>
        <v>access-control</v>
      </c>
      <c r="S405" s="2" t="s">
        <v>1898</v>
      </c>
    </row>
    <row r="406">
      <c r="A406" s="2" t="s">
        <v>14413</v>
      </c>
      <c r="B406" s="3" t="str">
        <f>_xlfn.CONCAT(D406, " / ", E406)</f>
        <v>effortless-owl / FieldGrants</v>
      </c>
      <c r="C406" s="2" t="s">
        <v>13999</v>
      </c>
      <c r="D406" s="2" t="s">
        <v>13993</v>
      </c>
      <c r="E406" s="2" t="s">
        <v>5382</v>
      </c>
      <c r="F406" s="2">
        <v>3639</v>
      </c>
      <c r="G406" s="2">
        <v>7</v>
      </c>
      <c r="H406" s="2">
        <v>25473</v>
      </c>
      <c r="I406" s="2">
        <v>25473</v>
      </c>
      <c r="J406" s="2" t="b">
        <v>0</v>
      </c>
      <c r="K406" s="3">
        <f>H406 - I406</f>
        <v>0</v>
      </c>
      <c r="L406" s="3">
        <f>IF(H406 = 0, 0, ROUND(100 * I406 / H406, 2))</f>
        <v>100</v>
      </c>
      <c r="M406" s="3" t="b">
        <f>K406 = 0</f>
        <v>1</v>
      </c>
      <c r="N406" s="3" t="str">
        <f>IF(M406, "", D406)</f>
      </c>
      <c r="O406" s="3" t="str">
        <f>IF(M406, "", E406)</f>
      </c>
      <c r="P406" s="3">
        <f>COUNTIFS(FieldDisagreements!E2:E999, A406)</f>
        <v>0</v>
      </c>
      <c r="Q406" s="3" t="str">
        <f>_xlfn.IFNA(INDEX(ConformanceSubstrates!C2:C999, MATCH(D406,ConformanceSubstrates!A2:A999, 0)), "")</f>
        <v>OWL / SHACL</v>
      </c>
      <c r="R406" s="3" t="str">
        <f>_xlfn.IFNA(INDEX(RulebookTables!F2:F999, MATCH(E406,RulebookTables!A2:A999, 0)), "")</f>
        <v>access-control</v>
      </c>
      <c r="S406" s="2" t="s">
        <v>1898</v>
      </c>
    </row>
    <row r="407">
      <c r="A407" s="2" t="s">
        <v>14414</v>
      </c>
      <c r="B407" s="3" t="str">
        <f>_xlfn.CONCAT(D407, " / ", E407)</f>
        <v>effortless-owl / RoleSchemas</v>
      </c>
      <c r="C407" s="2" t="s">
        <v>13999</v>
      </c>
      <c r="D407" s="2" t="s">
        <v>13993</v>
      </c>
      <c r="E407" s="2" t="s">
        <v>5413</v>
      </c>
      <c r="F407" s="2">
        <v>12</v>
      </c>
      <c r="G407" s="2">
        <v>4</v>
      </c>
      <c r="H407" s="2">
        <v>48</v>
      </c>
      <c r="I407" s="2">
        <v>48</v>
      </c>
      <c r="J407" s="2" t="b">
        <v>0</v>
      </c>
      <c r="K407" s="3">
        <f>H407 - I407</f>
        <v>0</v>
      </c>
      <c r="L407" s="3">
        <f>IF(H407 = 0, 0, ROUND(100 * I407 / H407, 2))</f>
        <v>100</v>
      </c>
      <c r="M407" s="3" t="b">
        <f>K407 = 0</f>
        <v>1</v>
      </c>
      <c r="N407" s="3" t="str">
        <f>IF(M407, "", D407)</f>
      </c>
      <c r="O407" s="3" t="str">
        <f>IF(M407, "", E407)</f>
      </c>
      <c r="P407" s="3">
        <f>COUNTIFS(FieldDisagreements!E2:E999, A407)</f>
        <v>0</v>
      </c>
      <c r="Q407" s="3" t="str">
        <f>_xlfn.IFNA(INDEX(ConformanceSubstrates!C2:C999, MATCH(D407,ConformanceSubstrates!A2:A999, 0)), "")</f>
        <v>OWL / SHACL</v>
      </c>
      <c r="R407" s="3" t="str">
        <f>_xlfn.IFNA(INDEX(RulebookTables!F2:F999, MATCH(E407,RulebookTables!A2:A999, 0)), "")</f>
        <v>org</v>
      </c>
      <c r="S407" s="2" t="s">
        <v>1898</v>
      </c>
    </row>
    <row r="408">
      <c r="A408" s="2" t="s">
        <v>14415</v>
      </c>
      <c r="B408" s="3" t="str">
        <f>_xlfn.CONCAT(D408, " / ", E408)</f>
        <v>effortless-owl / RoleSchemaViews</v>
      </c>
      <c r="C408" s="2" t="s">
        <v>13999</v>
      </c>
      <c r="D408" s="2" t="s">
        <v>13993</v>
      </c>
      <c r="E408" s="2" t="s">
        <v>5431</v>
      </c>
      <c r="F408" s="2">
        <v>202</v>
      </c>
      <c r="G408" s="2">
        <v>8</v>
      </c>
      <c r="H408" s="2">
        <v>1616</v>
      </c>
      <c r="I408" s="2">
        <v>1616</v>
      </c>
      <c r="J408" s="2" t="b">
        <v>0</v>
      </c>
      <c r="K408" s="3">
        <f>H408 - I408</f>
        <v>0</v>
      </c>
      <c r="L408" s="3">
        <f>IF(H408 = 0, 0, ROUND(100 * I408 / H408, 2))</f>
        <v>100</v>
      </c>
      <c r="M408" s="3" t="b">
        <f>K408 = 0</f>
        <v>1</v>
      </c>
      <c r="N408" s="3" t="str">
        <f>IF(M408, "", D408)</f>
      </c>
      <c r="O408" s="3" t="str">
        <f>IF(M408, "", E408)</f>
      </c>
      <c r="P408" s="3">
        <f>COUNTIFS(FieldDisagreements!E2:E999, A408)</f>
        <v>0</v>
      </c>
      <c r="Q408" s="3" t="str">
        <f>_xlfn.IFNA(INDEX(ConformanceSubstrates!C2:C999, MATCH(D408,ConformanceSubstrates!A2:A999, 0)), "")</f>
        <v>OWL / SHACL</v>
      </c>
      <c r="R408" s="3" t="str">
        <f>_xlfn.IFNA(INDEX(RulebookTables!F2:F999, MATCH(E408,RulebookTables!A2:A999, 0)), "")</f>
        <v>org</v>
      </c>
      <c r="S408" s="2" t="s">
        <v>1898</v>
      </c>
    </row>
    <row r="409">
      <c r="A409" s="2" t="s">
        <v>14416</v>
      </c>
      <c r="B409" s="3" t="str">
        <f>_xlfn.CONCAT(D409, " / ", E409)</f>
        <v>effortless-owl / JwtClaimMappings</v>
      </c>
      <c r="C409" s="2" t="s">
        <v>13999</v>
      </c>
      <c r="D409" s="2" t="s">
        <v>13993</v>
      </c>
      <c r="E409" s="2" t="s">
        <v>5463</v>
      </c>
      <c r="F409" s="2">
        <v>4</v>
      </c>
      <c r="G409" s="2">
        <v>2</v>
      </c>
      <c r="H409" s="2">
        <v>8</v>
      </c>
      <c r="I409" s="2">
        <v>8</v>
      </c>
      <c r="J409" s="2" t="b">
        <v>0</v>
      </c>
      <c r="K409" s="3">
        <f>H409 - I409</f>
        <v>0</v>
      </c>
      <c r="L409" s="3">
        <f>IF(H409 = 0, 0, ROUND(100 * I409 / H409, 2))</f>
        <v>100</v>
      </c>
      <c r="M409" s="3" t="b">
        <f>K409 = 0</f>
        <v>1</v>
      </c>
      <c r="N409" s="3" t="str">
        <f>IF(M409, "", D409)</f>
      </c>
      <c r="O409" s="3" t="str">
        <f>IF(M409, "", E409)</f>
      </c>
      <c r="P409" s="3">
        <f>COUNTIFS(FieldDisagreements!E2:E999, A409)</f>
        <v>0</v>
      </c>
      <c r="Q409" s="3" t="str">
        <f>_xlfn.IFNA(INDEX(ConformanceSubstrates!C2:C999, MATCH(D409,ConformanceSubstrates!A2:A999, 0)), "")</f>
        <v>OWL / SHACL</v>
      </c>
      <c r="R409" s="3" t="str">
        <f>_xlfn.IFNA(INDEX(RulebookTables!F2:F999, MATCH(E409,RulebookTables!A2:A999, 0)), "")</f>
        <v>access-control</v>
      </c>
      <c r="S409" s="2" t="s">
        <v>1898</v>
      </c>
    </row>
    <row r="410">
      <c r="A410" s="2" t="s">
        <v>14417</v>
      </c>
      <c r="B410" s="3" t="str">
        <f>_xlfn.CONCAT(D410, " / ", E410)</f>
        <v>effortless-owl / AccessDenialTests</v>
      </c>
      <c r="C410" s="2" t="s">
        <v>13999</v>
      </c>
      <c r="D410" s="2" t="s">
        <v>13993</v>
      </c>
      <c r="E410" s="2" t="s">
        <v>5482</v>
      </c>
      <c r="F410" s="2">
        <v>17</v>
      </c>
      <c r="G410" s="2">
        <v>6</v>
      </c>
      <c r="H410" s="2">
        <v>102</v>
      </c>
      <c r="I410" s="2">
        <v>94</v>
      </c>
      <c r="J410" s="2" t="b">
        <v>0</v>
      </c>
      <c r="K410" s="3">
        <f>H410 - I410</f>
        <v>8</v>
      </c>
      <c r="L410" s="3">
        <f>IF(H410 = 0, 0, ROUND(100 * I410 / H410, 2))</f>
        <v>92.16</v>
      </c>
      <c r="M410" s="3" t="b">
        <f>K410 = 0</f>
        <v>0</v>
      </c>
      <c r="N410" s="3" t="str">
        <f>IF(M410, "", D410)</f>
        <v>effortless-owl</v>
      </c>
      <c r="O410" s="3" t="str">
        <f>IF(M410, "", E410)</f>
        <v>AccessDenialTests</v>
      </c>
      <c r="P410" s="3">
        <f>COUNTIFS(FieldDisagreements!E2:E999, A410)</f>
        <v>1</v>
      </c>
      <c r="Q410" s="3" t="str">
        <f>_xlfn.IFNA(INDEX(ConformanceSubstrates!C2:C999, MATCH(D410,ConformanceSubstrates!A2:A999, 0)), "")</f>
        <v>OWL / SHACL</v>
      </c>
      <c r="R410" s="3" t="str">
        <f>_xlfn.IFNA(INDEX(RulebookTables!F2:F999, MATCH(E410,RulebookTables!A2:A999, 0)), "")</f>
        <v>access-control</v>
      </c>
      <c r="S410" s="2" t="s">
        <v>1898</v>
      </c>
    </row>
    <row r="411">
      <c r="A411" s="2" t="s">
        <v>14418</v>
      </c>
      <c r="B411" s="3" t="str">
        <f>_xlfn.CONCAT(D411, " / ", E411)</f>
        <v>effortless-owl / AppUsers</v>
      </c>
      <c r="C411" s="2" t="s">
        <v>13999</v>
      </c>
      <c r="D411" s="2" t="s">
        <v>13993</v>
      </c>
      <c r="E411" s="2" t="s">
        <v>5518</v>
      </c>
      <c r="F411" s="2">
        <v>10</v>
      </c>
      <c r="G411" s="2">
        <v>7</v>
      </c>
      <c r="H411" s="2">
        <v>70</v>
      </c>
      <c r="I411" s="2">
        <v>70</v>
      </c>
      <c r="J411" s="2" t="b">
        <v>0</v>
      </c>
      <c r="K411" s="3">
        <f>H411 - I411</f>
        <v>0</v>
      </c>
      <c r="L411" s="3">
        <f>IF(H411 = 0, 0, ROUND(100 * I411 / H411, 2))</f>
        <v>100</v>
      </c>
      <c r="M411" s="3" t="b">
        <f>K411 = 0</f>
        <v>1</v>
      </c>
      <c r="N411" s="3" t="str">
        <f>IF(M411, "", D411)</f>
      </c>
      <c r="O411" s="3" t="str">
        <f>IF(M411, "", E411)</f>
      </c>
      <c r="P411" s="3">
        <f>COUNTIFS(FieldDisagreements!E2:E999, A411)</f>
        <v>0</v>
      </c>
      <c r="Q411" s="3" t="str">
        <f>_xlfn.IFNA(INDEX(ConformanceSubstrates!C2:C999, MATCH(D411,ConformanceSubstrates!A2:A999, 0)), "")</f>
        <v>OWL / SHACL</v>
      </c>
      <c r="R411" s="3" t="str">
        <f>_xlfn.IFNA(INDEX(RulebookTables!F2:F999, MATCH(E411,RulebookTables!A2:A999, 0)), "")</f>
      </c>
      <c r="S411" s="2" t="s">
        <v>1898</v>
      </c>
    </row>
    <row r="412">
      <c r="A412" s="2" t="s">
        <v>14419</v>
      </c>
      <c r="B412" s="3" t="str">
        <f>_xlfn.CONCAT(D412, " / ", E412)</f>
        <v>effortless-owl / PrincipalAssignments</v>
      </c>
      <c r="C412" s="2" t="s">
        <v>13999</v>
      </c>
      <c r="D412" s="2" t="s">
        <v>13993</v>
      </c>
      <c r="E412" s="2" t="s">
        <v>5545</v>
      </c>
      <c r="F412" s="2">
        <v>12</v>
      </c>
      <c r="G412" s="2">
        <v>5</v>
      </c>
      <c r="H412" s="2">
        <v>60</v>
      </c>
      <c r="I412" s="2">
        <v>60</v>
      </c>
      <c r="J412" s="2" t="b">
        <v>0</v>
      </c>
      <c r="K412" s="3">
        <f>H412 - I412</f>
        <v>0</v>
      </c>
      <c r="L412" s="3">
        <f>IF(H412 = 0, 0, ROUND(100 * I412 / H412, 2))</f>
        <v>100</v>
      </c>
      <c r="M412" s="3" t="b">
        <f>K412 = 0</f>
        <v>1</v>
      </c>
      <c r="N412" s="3" t="str">
        <f>IF(M412, "", D412)</f>
      </c>
      <c r="O412" s="3" t="str">
        <f>IF(M412, "", E412)</f>
      </c>
      <c r="P412" s="3">
        <f>COUNTIFS(FieldDisagreements!E2:E999, A412)</f>
        <v>0</v>
      </c>
      <c r="Q412" s="3" t="str">
        <f>_xlfn.IFNA(INDEX(ConformanceSubstrates!C2:C999, MATCH(D412,ConformanceSubstrates!A2:A999, 0)), "")</f>
        <v>OWL / SHACL</v>
      </c>
      <c r="R412" s="3" t="str">
        <f>_xlfn.IFNA(INDEX(RulebookTables!F2:F999, MATCH(E412,RulebookTables!A2:A999, 0)), "")</f>
      </c>
      <c r="S412" s="2" t="s">
        <v>1898</v>
      </c>
    </row>
    <row r="413">
      <c r="A413" s="2" t="s">
        <v>14420</v>
      </c>
      <c r="B413" s="3" t="str">
        <f>_xlfn.CONCAT(D413, " / ", E413)</f>
        <v>effortless-owl / ProcessMiningRuns</v>
      </c>
      <c r="C413" s="2" t="s">
        <v>13999</v>
      </c>
      <c r="D413" s="2" t="s">
        <v>13993</v>
      </c>
      <c r="E413" s="2" t="s">
        <v>1869</v>
      </c>
      <c r="F413" s="2">
        <v>4</v>
      </c>
      <c r="G413" s="2">
        <v>10</v>
      </c>
      <c r="H413" s="2">
        <v>40</v>
      </c>
      <c r="I413" s="2">
        <v>40</v>
      </c>
      <c r="J413" s="2" t="b">
        <v>0</v>
      </c>
      <c r="K413" s="3">
        <f>H413 - I413</f>
        <v>0</v>
      </c>
      <c r="L413" s="3">
        <f>IF(H413 = 0, 0, ROUND(100 * I413 / H413, 2))</f>
        <v>100</v>
      </c>
      <c r="M413" s="3" t="b">
        <f>K413 = 0</f>
        <v>1</v>
      </c>
      <c r="N413" s="3" t="str">
        <f>IF(M413, "", D413)</f>
      </c>
      <c r="O413" s="3" t="str">
        <f>IF(M413, "", E413)</f>
      </c>
      <c r="P413" s="3">
        <f>COUNTIFS(FieldDisagreements!E2:E999, A413)</f>
        <v>0</v>
      </c>
      <c r="Q413" s="3" t="str">
        <f>_xlfn.IFNA(INDEX(ConformanceSubstrates!C2:C999, MATCH(D413,ConformanceSubstrates!A2:A999, 0)), "")</f>
        <v>OWL / SHACL</v>
      </c>
      <c r="R413" s="3" t="str">
        <f>_xlfn.IFNA(INDEX(RulebookTables!F2:F999, MATCH(E413,RulebookTables!A2:A999, 0)), "")</f>
        <v>knowledge</v>
      </c>
      <c r="S413" s="2" t="s">
        <v>1898</v>
      </c>
    </row>
    <row r="414">
      <c r="A414" s="2" t="s">
        <v>14421</v>
      </c>
      <c r="B414" s="3" t="str">
        <f>_xlfn.CONCAT(D414, " / ", E414)</f>
        <v>effortless-owl / Vocabularies</v>
      </c>
      <c r="C414" s="2" t="s">
        <v>13999</v>
      </c>
      <c r="D414" s="2" t="s">
        <v>13993</v>
      </c>
      <c r="E414" s="2" t="s">
        <v>1873</v>
      </c>
      <c r="F414" s="2">
        <v>2</v>
      </c>
      <c r="G414" s="2">
        <v>4</v>
      </c>
      <c r="H414" s="2">
        <v>8</v>
      </c>
      <c r="I414" s="2">
        <v>8</v>
      </c>
      <c r="J414" s="2" t="b">
        <v>0</v>
      </c>
      <c r="K414" s="3">
        <f>H414 - I414</f>
        <v>0</v>
      </c>
      <c r="L414" s="3">
        <f>IF(H414 = 0, 0, ROUND(100 * I414 / H414, 2))</f>
        <v>100</v>
      </c>
      <c r="M414" s="3" t="b">
        <f>K414 = 0</f>
        <v>1</v>
      </c>
      <c r="N414" s="3" t="str">
        <f>IF(M414, "", D414)</f>
      </c>
      <c r="O414" s="3" t="str">
        <f>IF(M414, "", E414)</f>
      </c>
      <c r="P414" s="3">
        <f>COUNTIFS(FieldDisagreements!E2:E999, A414)</f>
        <v>0</v>
      </c>
      <c r="Q414" s="3" t="str">
        <f>_xlfn.IFNA(INDEX(ConformanceSubstrates!C2:C999, MATCH(D414,ConformanceSubstrates!A2:A999, 0)), "")</f>
        <v>OWL / SHACL</v>
      </c>
      <c r="R414" s="3" t="str">
        <f>_xlfn.IFNA(INDEX(RulebookTables!F2:F999, MATCH(E414,RulebookTables!A2:A999, 0)), "")</f>
        <v>knowledge</v>
      </c>
      <c r="S414" s="2" t="s">
        <v>1898</v>
      </c>
    </row>
    <row r="415">
      <c r="A415" s="2" t="s">
        <v>14422</v>
      </c>
      <c r="B415" s="3" t="str">
        <f>_xlfn.CONCAT(D415, " / ", E415)</f>
        <v>effortless-owl / VocabularyTerms</v>
      </c>
      <c r="C415" s="2" t="s">
        <v>13999</v>
      </c>
      <c r="D415" s="2" t="s">
        <v>13993</v>
      </c>
      <c r="E415" s="2" t="s">
        <v>1877</v>
      </c>
      <c r="F415" s="2">
        <v>12</v>
      </c>
      <c r="G415" s="2">
        <v>5</v>
      </c>
      <c r="H415" s="2">
        <v>60</v>
      </c>
      <c r="I415" s="2">
        <v>60</v>
      </c>
      <c r="J415" s="2" t="b">
        <v>0</v>
      </c>
      <c r="K415" s="3">
        <f>H415 - I415</f>
        <v>0</v>
      </c>
      <c r="L415" s="3">
        <f>IF(H415 = 0, 0, ROUND(100 * I415 / H415, 2))</f>
        <v>100</v>
      </c>
      <c r="M415" s="3" t="b">
        <f>K415 = 0</f>
        <v>1</v>
      </c>
      <c r="N415" s="3" t="str">
        <f>IF(M415, "", D415)</f>
      </c>
      <c r="O415" s="3" t="str">
        <f>IF(M415, "", E415)</f>
      </c>
      <c r="P415" s="3">
        <f>COUNTIFS(FieldDisagreements!E2:E999, A415)</f>
        <v>0</v>
      </c>
      <c r="Q415" s="3" t="str">
        <f>_xlfn.IFNA(INDEX(ConformanceSubstrates!C2:C999, MATCH(D415,ConformanceSubstrates!A2:A999, 0)), "")</f>
        <v>OWL / SHACL</v>
      </c>
      <c r="R415" s="3" t="str">
        <f>_xlfn.IFNA(INDEX(RulebookTables!F2:F999, MATCH(E415,RulebookTables!A2:A999, 0)), "")</f>
        <v>knowledge</v>
      </c>
      <c r="S415" s="2" t="s">
        <v>1898</v>
      </c>
    </row>
    <row r="416">
      <c r="A416" s="2" t="s">
        <v>14423</v>
      </c>
      <c r="B416" s="3" t="str">
        <f>_xlfn.CONCAT(D416, " / ", E416)</f>
        <v>effortless-owl / KnowledgeBrokerLinks</v>
      </c>
      <c r="C416" s="2" t="s">
        <v>13999</v>
      </c>
      <c r="D416" s="2" t="s">
        <v>13993</v>
      </c>
      <c r="E416" s="2" t="s">
        <v>1881</v>
      </c>
      <c r="F416" s="2">
        <v>5</v>
      </c>
      <c r="G416" s="2">
        <v>8</v>
      </c>
      <c r="H416" s="2">
        <v>40</v>
      </c>
      <c r="I416" s="2">
        <v>40</v>
      </c>
      <c r="J416" s="2" t="b">
        <v>0</v>
      </c>
      <c r="K416" s="3">
        <f>H416 - I416</f>
        <v>0</v>
      </c>
      <c r="L416" s="3">
        <f>IF(H416 = 0, 0, ROUND(100 * I416 / H416, 2))</f>
        <v>100</v>
      </c>
      <c r="M416" s="3" t="b">
        <f>K416 = 0</f>
        <v>1</v>
      </c>
      <c r="N416" s="3" t="str">
        <f>IF(M416, "", D416)</f>
      </c>
      <c r="O416" s="3" t="str">
        <f>IF(M416, "", E416)</f>
      </c>
      <c r="P416" s="3">
        <f>COUNTIFS(FieldDisagreements!E2:E999, A416)</f>
        <v>0</v>
      </c>
      <c r="Q416" s="3" t="str">
        <f>_xlfn.IFNA(INDEX(ConformanceSubstrates!C2:C999, MATCH(D416,ConformanceSubstrates!A2:A999, 0)), "")</f>
        <v>OWL / SHACL</v>
      </c>
      <c r="R416" s="3" t="str">
        <f>_xlfn.IFNA(INDEX(RulebookTables!F2:F999, MATCH(E416,RulebookTables!A2:A999, 0)), "")</f>
        <v>knowledge</v>
      </c>
      <c r="S416" s="2" t="s">
        <v>1898</v>
      </c>
    </row>
    <row r="417">
      <c r="A417" s="2" t="s">
        <v>14424</v>
      </c>
      <c r="B417" s="3" t="str">
        <f>_xlfn.CONCAT(D417, " / ", E417)</f>
        <v>effortless-python / RulebookReleases</v>
      </c>
      <c r="C417" s="2" t="s">
        <v>13999</v>
      </c>
      <c r="D417" s="2" t="s">
        <v>13963</v>
      </c>
      <c r="E417" s="2" t="s">
        <v>2384</v>
      </c>
      <c r="F417" s="2">
        <v>1</v>
      </c>
      <c r="G417" s="2">
        <v>1</v>
      </c>
      <c r="H417" s="2">
        <v>1</v>
      </c>
      <c r="I417" s="2">
        <v>1</v>
      </c>
      <c r="J417" s="2" t="b">
        <v>0</v>
      </c>
      <c r="K417" s="3">
        <f>H417 - I417</f>
        <v>0</v>
      </c>
      <c r="L417" s="3">
        <f>IF(H417 = 0, 0, ROUND(100 * I417 / H417, 2))</f>
        <v>100</v>
      </c>
      <c r="M417" s="3" t="b">
        <f>K417 = 0</f>
        <v>1</v>
      </c>
      <c r="N417" s="3" t="str">
        <f>IF(M417, "", D417)</f>
      </c>
      <c r="O417" s="3" t="str">
        <f>IF(M417, "", E417)</f>
      </c>
      <c r="P417" s="3">
        <f>COUNTIFS(FieldDisagreements!E2:E999, A417)</f>
        <v>0</v>
      </c>
      <c r="Q417" s="3" t="str">
        <f>_xlfn.IFNA(INDEX(ConformanceSubstrates!C2:C999, MATCH(D417,ConformanceSubstrates!A2:A999, 0)), "")</f>
        <v>Python</v>
      </c>
      <c r="R417" s="3" t="str">
        <f>_xlfn.IFNA(INDEX(RulebookTables!F2:F999, MATCH(E417,RulebookTables!A2:A999, 0)), "")</f>
        <v>meta</v>
      </c>
      <c r="S417" s="2" t="s">
        <v>1898</v>
      </c>
    </row>
    <row r="418">
      <c r="A418" s="2" t="s">
        <v>14425</v>
      </c>
      <c r="B418" s="3" t="str">
        <f>_xlfn.CONCAT(D418, " / ", E418)</f>
        <v>effortless-python / OntologyProfiles</v>
      </c>
      <c r="C418" s="2" t="s">
        <v>13999</v>
      </c>
      <c r="D418" s="2" t="s">
        <v>13963</v>
      </c>
      <c r="E418" s="2" t="s">
        <v>2403</v>
      </c>
      <c r="F418" s="2">
        <v>11</v>
      </c>
      <c r="G418" s="2">
        <v>1</v>
      </c>
      <c r="H418" s="2">
        <v>11</v>
      </c>
      <c r="I418" s="2">
        <v>11</v>
      </c>
      <c r="J418" s="2" t="b">
        <v>0</v>
      </c>
      <c r="K418" s="3">
        <f>H418 - I418</f>
        <v>0</v>
      </c>
      <c r="L418" s="3">
        <f>IF(H418 = 0, 0, ROUND(100 * I418 / H418, 2))</f>
        <v>100</v>
      </c>
      <c r="M418" s="3" t="b">
        <f>K418 = 0</f>
        <v>1</v>
      </c>
      <c r="N418" s="3" t="str">
        <f>IF(M418, "", D418)</f>
      </c>
      <c r="O418" s="3" t="str">
        <f>IF(M418, "", E418)</f>
      </c>
      <c r="P418" s="3">
        <f>COUNTIFS(FieldDisagreements!E2:E999, A418)</f>
        <v>0</v>
      </c>
      <c r="Q418" s="3" t="str">
        <f>_xlfn.IFNA(INDEX(ConformanceSubstrates!C2:C999, MATCH(D418,ConformanceSubstrates!A2:A999, 0)), "")</f>
        <v>Python</v>
      </c>
      <c r="R418" s="3" t="str">
        <f>_xlfn.IFNA(INDEX(RulebookTables!F2:F999, MATCH(E418,RulebookTables!A2:A999, 0)), "")</f>
        <v>domain</v>
      </c>
      <c r="S418" s="2" t="s">
        <v>1898</v>
      </c>
    </row>
    <row r="419">
      <c r="A419" s="2" t="s">
        <v>14426</v>
      </c>
      <c r="B419" s="3" t="str">
        <f>_xlfn.CONCAT(D419, " / ", E419)</f>
        <v>effortless-python / EvaluationContexts</v>
      </c>
      <c r="C419" s="2" t="s">
        <v>13999</v>
      </c>
      <c r="D419" s="2" t="s">
        <v>13963</v>
      </c>
      <c r="E419" s="2" t="s">
        <v>2413</v>
      </c>
      <c r="F419" s="2">
        <v>1</v>
      </c>
      <c r="G419" s="2">
        <v>1</v>
      </c>
      <c r="H419" s="2">
        <v>1</v>
      </c>
      <c r="I419" s="2">
        <v>0</v>
      </c>
      <c r="J419" s="2" t="b">
        <v>0</v>
      </c>
      <c r="K419" s="3">
        <f>H419 - I419</f>
        <v>1</v>
      </c>
      <c r="L419" s="3">
        <f>IF(H419 = 0, 0, ROUND(100 * I419 / H419, 2))</f>
        <v>0</v>
      </c>
      <c r="M419" s="3" t="b">
        <f>K419 = 0</f>
        <v>0</v>
      </c>
      <c r="N419" s="3" t="str">
        <f>IF(M419, "", D419)</f>
        <v>effortless-python</v>
      </c>
      <c r="O419" s="3" t="str">
        <f>IF(M419, "", E419)</f>
        <v>EvaluationContexts</v>
      </c>
      <c r="P419" s="3">
        <f>COUNTIFS(FieldDisagreements!E2:E999, A419)</f>
        <v>1</v>
      </c>
      <c r="Q419" s="3" t="str">
        <f>_xlfn.IFNA(INDEX(ConformanceSubstrates!C2:C999, MATCH(D419,ConformanceSubstrates!A2:A999, 0)), "")</f>
        <v>Python</v>
      </c>
      <c r="R419" s="3" t="str">
        <f>_xlfn.IFNA(INDEX(RulebookTables!F2:F999, MATCH(E419,RulebookTables!A2:A999, 0)), "")</f>
        <v>meta</v>
      </c>
      <c r="S419" s="2" t="s">
        <v>1898</v>
      </c>
    </row>
    <row r="420">
      <c r="A420" s="2" t="s">
        <v>14427</v>
      </c>
      <c r="B420" s="3" t="str">
        <f>_xlfn.CONCAT(D420, " / ", E420)</f>
        <v>effortless-python / Organizations</v>
      </c>
      <c r="C420" s="2" t="s">
        <v>13999</v>
      </c>
      <c r="D420" s="2" t="s">
        <v>13963</v>
      </c>
      <c r="E420" s="2" t="s">
        <v>2422</v>
      </c>
      <c r="F420" s="2">
        <v>4</v>
      </c>
      <c r="G420" s="2">
        <v>1</v>
      </c>
      <c r="H420" s="2">
        <v>4</v>
      </c>
      <c r="I420" s="2">
        <v>4</v>
      </c>
      <c r="J420" s="2" t="b">
        <v>0</v>
      </c>
      <c r="K420" s="3">
        <f>H420 - I420</f>
        <v>0</v>
      </c>
      <c r="L420" s="3">
        <f>IF(H420 = 0, 0, ROUND(100 * I420 / H420, 2))</f>
        <v>100</v>
      </c>
      <c r="M420" s="3" t="b">
        <f>K420 = 0</f>
        <v>1</v>
      </c>
      <c r="N420" s="3" t="str">
        <f>IF(M420, "", D420)</f>
      </c>
      <c r="O420" s="3" t="str">
        <f>IF(M420, "", E420)</f>
      </c>
      <c r="P420" s="3">
        <f>COUNTIFS(FieldDisagreements!E2:E999, A420)</f>
        <v>0</v>
      </c>
      <c r="Q420" s="3" t="str">
        <f>_xlfn.IFNA(INDEX(ConformanceSubstrates!C2:C999, MATCH(D420,ConformanceSubstrates!A2:A999, 0)), "")</f>
        <v>Python</v>
      </c>
      <c r="R420" s="3" t="str">
        <f>_xlfn.IFNA(INDEX(RulebookTables!F2:F999, MATCH(E420,RulebookTables!A2:A999, 0)), "")</f>
        <v>org</v>
      </c>
      <c r="S420" s="2" t="s">
        <v>1898</v>
      </c>
    </row>
    <row r="421">
      <c r="A421" s="2" t="s">
        <v>14428</v>
      </c>
      <c r="B421" s="3" t="str">
        <f>_xlfn.CONCAT(D421, " / ", E421)</f>
        <v>effortless-python / Agents</v>
      </c>
      <c r="C421" s="2" t="s">
        <v>13999</v>
      </c>
      <c r="D421" s="2" t="s">
        <v>13963</v>
      </c>
      <c r="E421" s="2" t="s">
        <v>1794</v>
      </c>
      <c r="F421" s="2">
        <v>11</v>
      </c>
      <c r="G421" s="2">
        <v>16</v>
      </c>
      <c r="H421" s="2">
        <v>176</v>
      </c>
      <c r="I421" s="2">
        <v>176</v>
      </c>
      <c r="J421" s="2" t="b">
        <v>0</v>
      </c>
      <c r="K421" s="3">
        <f>H421 - I421</f>
        <v>0</v>
      </c>
      <c r="L421" s="3">
        <f>IF(H421 = 0, 0, ROUND(100 * I421 / H421, 2))</f>
        <v>100</v>
      </c>
      <c r="M421" s="3" t="b">
        <f>K421 = 0</f>
        <v>1</v>
      </c>
      <c r="N421" s="3" t="str">
        <f>IF(M421, "", D421)</f>
      </c>
      <c r="O421" s="3" t="str">
        <f>IF(M421, "", E421)</f>
      </c>
      <c r="P421" s="3">
        <f>COUNTIFS(FieldDisagreements!E2:E999, A421)</f>
        <v>0</v>
      </c>
      <c r="Q421" s="3" t="str">
        <f>_xlfn.IFNA(INDEX(ConformanceSubstrates!C2:C999, MATCH(D421,ConformanceSubstrates!A2:A999, 0)), "")</f>
        <v>Python</v>
      </c>
      <c r="R421" s="3" t="str">
        <f>_xlfn.IFNA(INDEX(RulebookTables!F2:F999, MATCH(E421,RulebookTables!A2:A999, 0)), "")</f>
        <v>org</v>
      </c>
      <c r="S421" s="2" t="s">
        <v>1898</v>
      </c>
    </row>
    <row r="422">
      <c r="A422" s="2" t="s">
        <v>14429</v>
      </c>
      <c r="B422" s="3" t="str">
        <f>_xlfn.CONCAT(D422, " / ", E422)</f>
        <v>effortless-python / Roles</v>
      </c>
      <c r="C422" s="2" t="s">
        <v>13999</v>
      </c>
      <c r="D422" s="2" t="s">
        <v>13963</v>
      </c>
      <c r="E422" s="2" t="s">
        <v>1798</v>
      </c>
      <c r="F422" s="2">
        <v>12</v>
      </c>
      <c r="G422" s="2">
        <v>17</v>
      </c>
      <c r="H422" s="2">
        <v>204</v>
      </c>
      <c r="I422" s="2">
        <v>204</v>
      </c>
      <c r="J422" s="2" t="b">
        <v>0</v>
      </c>
      <c r="K422" s="3">
        <f>H422 - I422</f>
        <v>0</v>
      </c>
      <c r="L422" s="3">
        <f>IF(H422 = 0, 0, ROUND(100 * I422 / H422, 2))</f>
        <v>100</v>
      </c>
      <c r="M422" s="3" t="b">
        <f>K422 = 0</f>
        <v>1</v>
      </c>
      <c r="N422" s="3" t="str">
        <f>IF(M422, "", D422)</f>
      </c>
      <c r="O422" s="3" t="str">
        <f>IF(M422, "", E422)</f>
      </c>
      <c r="P422" s="3">
        <f>COUNTIFS(FieldDisagreements!E2:E999, A422)</f>
        <v>0</v>
      </c>
      <c r="Q422" s="3" t="str">
        <f>_xlfn.IFNA(INDEX(ConformanceSubstrates!C2:C999, MATCH(D422,ConformanceSubstrates!A2:A999, 0)), "")</f>
        <v>Python</v>
      </c>
      <c r="R422" s="3" t="str">
        <f>_xlfn.IFNA(INDEX(RulebookTables!F2:F999, MATCH(E422,RulebookTables!A2:A999, 0)), "")</f>
        <v>org</v>
      </c>
      <c r="S422" s="2" t="s">
        <v>1898</v>
      </c>
    </row>
    <row r="423">
      <c r="A423" s="2" t="s">
        <v>14430</v>
      </c>
      <c r="B423" s="3" t="str">
        <f>_xlfn.CONCAT(D423, " / ", E423)</f>
        <v>effortless-python / RoleAssignments</v>
      </c>
      <c r="C423" s="2" t="s">
        <v>13999</v>
      </c>
      <c r="D423" s="2" t="s">
        <v>13963</v>
      </c>
      <c r="E423" s="2" t="s">
        <v>1801</v>
      </c>
      <c r="F423" s="2">
        <v>13</v>
      </c>
      <c r="G423" s="2">
        <v>47</v>
      </c>
      <c r="H423" s="2">
        <v>611</v>
      </c>
      <c r="I423" s="2">
        <v>584</v>
      </c>
      <c r="J423" s="2" t="b">
        <v>0</v>
      </c>
      <c r="K423" s="3">
        <f>H423 - I423</f>
        <v>27</v>
      </c>
      <c r="L423" s="3">
        <f>IF(H423 = 0, 0, ROUND(100 * I423 / H423, 2))</f>
        <v>95.58</v>
      </c>
      <c r="M423" s="3" t="b">
        <f>K423 = 0</f>
        <v>0</v>
      </c>
      <c r="N423" s="3" t="str">
        <f>IF(M423, "", D423)</f>
        <v>effortless-python</v>
      </c>
      <c r="O423" s="3" t="str">
        <f>IF(M423, "", E423)</f>
        <v>RoleAssignments</v>
      </c>
      <c r="P423" s="3">
        <f>COUNTIFS(FieldDisagreements!E2:E999, A423)</f>
        <v>3</v>
      </c>
      <c r="Q423" s="3" t="str">
        <f>_xlfn.IFNA(INDEX(ConformanceSubstrates!C2:C999, MATCH(D423,ConformanceSubstrates!A2:A999, 0)), "")</f>
        <v>Python</v>
      </c>
      <c r="R423" s="3" t="str">
        <f>_xlfn.IFNA(INDEX(RulebookTables!F2:F999, MATCH(E423,RulebookTables!A2:A999, 0)), "")</f>
        <v>org</v>
      </c>
      <c r="S423" s="2" t="s">
        <v>1898</v>
      </c>
    </row>
    <row r="424">
      <c r="A424" s="2" t="s">
        <v>14431</v>
      </c>
      <c r="B424" s="3" t="str">
        <f>_xlfn.CONCAT(D424, " / ", E424)</f>
        <v>effortless-python / CommunitiesOfPractice</v>
      </c>
      <c r="C424" s="2" t="s">
        <v>13999</v>
      </c>
      <c r="D424" s="2" t="s">
        <v>13963</v>
      </c>
      <c r="E424" s="2" t="s">
        <v>2624</v>
      </c>
      <c r="F424" s="2">
        <v>2</v>
      </c>
      <c r="G424" s="2">
        <v>1</v>
      </c>
      <c r="H424" s="2">
        <v>2</v>
      </c>
      <c r="I424" s="2">
        <v>2</v>
      </c>
      <c r="J424" s="2" t="b">
        <v>0</v>
      </c>
      <c r="K424" s="3">
        <f>H424 - I424</f>
        <v>0</v>
      </c>
      <c r="L424" s="3">
        <f>IF(H424 = 0, 0, ROUND(100 * I424 / H424, 2))</f>
        <v>100</v>
      </c>
      <c r="M424" s="3" t="b">
        <f>K424 = 0</f>
        <v>1</v>
      </c>
      <c r="N424" s="3" t="str">
        <f>IF(M424, "", D424)</f>
      </c>
      <c r="O424" s="3" t="str">
        <f>IF(M424, "", E424)</f>
      </c>
      <c r="P424" s="3">
        <f>COUNTIFS(FieldDisagreements!E2:E999, A424)</f>
        <v>0</v>
      </c>
      <c r="Q424" s="3" t="str">
        <f>_xlfn.IFNA(INDEX(ConformanceSubstrates!C2:C999, MATCH(D424,ConformanceSubstrates!A2:A999, 0)), "")</f>
        <v>Python</v>
      </c>
      <c r="R424" s="3" t="str">
        <f>_xlfn.IFNA(INDEX(RulebookTables!F2:F999, MATCH(E424,RulebookTables!A2:A999, 0)), "")</f>
        <v>org</v>
      </c>
      <c r="S424" s="2" t="s">
        <v>1898</v>
      </c>
    </row>
    <row r="425">
      <c r="A425" s="2" t="s">
        <v>14432</v>
      </c>
      <c r="B425" s="3" t="str">
        <f>_xlfn.CONCAT(D425, " / ", E425)</f>
        <v>effortless-python / Mentorships</v>
      </c>
      <c r="C425" s="2" t="s">
        <v>13999</v>
      </c>
      <c r="D425" s="2" t="s">
        <v>13963</v>
      </c>
      <c r="E425" s="2" t="s">
        <v>2633</v>
      </c>
      <c r="F425" s="2">
        <v>1</v>
      </c>
      <c r="G425" s="2">
        <v>1</v>
      </c>
      <c r="H425" s="2">
        <v>1</v>
      </c>
      <c r="I425" s="2">
        <v>1</v>
      </c>
      <c r="J425" s="2" t="b">
        <v>0</v>
      </c>
      <c r="K425" s="3">
        <f>H425 - I425</f>
        <v>0</v>
      </c>
      <c r="L425" s="3">
        <f>IF(H425 = 0, 0, ROUND(100 * I425 / H425, 2))</f>
        <v>100</v>
      </c>
      <c r="M425" s="3" t="b">
        <f>K425 = 0</f>
        <v>1</v>
      </c>
      <c r="N425" s="3" t="str">
        <f>IF(M425, "", D425)</f>
      </c>
      <c r="O425" s="3" t="str">
        <f>IF(M425, "", E425)</f>
      </c>
      <c r="P425" s="3">
        <f>COUNTIFS(FieldDisagreements!E2:E999, A425)</f>
        <v>0</v>
      </c>
      <c r="Q425" s="3" t="str">
        <f>_xlfn.IFNA(INDEX(ConformanceSubstrates!C2:C999, MATCH(D425,ConformanceSubstrates!A2:A999, 0)), "")</f>
        <v>Python</v>
      </c>
      <c r="R425" s="3" t="str">
        <f>_xlfn.IFNA(INDEX(RulebookTables!F2:F999, MATCH(E425,RulebookTables!A2:A999, 0)), "")</f>
        <v>org</v>
      </c>
      <c r="S425" s="2" t="s">
        <v>1898</v>
      </c>
    </row>
    <row r="426">
      <c r="A426" s="2" t="s">
        <v>14433</v>
      </c>
      <c r="B426" s="3" t="str">
        <f>_xlfn.CONCAT(D426, " / ", E426)</f>
        <v>effortless-python / ProcedureTypes</v>
      </c>
      <c r="C426" s="2" t="s">
        <v>13999</v>
      </c>
      <c r="D426" s="2" t="s">
        <v>13963</v>
      </c>
      <c r="E426" s="2" t="s">
        <v>2645</v>
      </c>
      <c r="F426" s="2">
        <v>2</v>
      </c>
      <c r="G426" s="2">
        <v>1</v>
      </c>
      <c r="H426" s="2">
        <v>2</v>
      </c>
      <c r="I426" s="2">
        <v>2</v>
      </c>
      <c r="J426" s="2" t="b">
        <v>0</v>
      </c>
      <c r="K426" s="3">
        <f>H426 - I426</f>
        <v>0</v>
      </c>
      <c r="L426" s="3">
        <f>IF(H426 = 0, 0, ROUND(100 * I426 / H426, 2))</f>
        <v>100</v>
      </c>
      <c r="M426" s="3" t="b">
        <f>K426 = 0</f>
        <v>1</v>
      </c>
      <c r="N426" s="3" t="str">
        <f>IF(M426, "", D426)</f>
      </c>
      <c r="O426" s="3" t="str">
        <f>IF(M426, "", E426)</f>
      </c>
      <c r="P426" s="3">
        <f>COUNTIFS(FieldDisagreements!E2:E999, A426)</f>
        <v>0</v>
      </c>
      <c r="Q426" s="3" t="str">
        <f>_xlfn.IFNA(INDEX(ConformanceSubstrates!C2:C999, MATCH(D426,ConformanceSubstrates!A2:A999, 0)), "")</f>
        <v>Python</v>
      </c>
      <c r="R426" s="3" t="str">
        <f>_xlfn.IFNA(INDEX(RulebookTables!F2:F999, MATCH(E426,RulebookTables!A2:A999, 0)), "")</f>
        <v>specification</v>
      </c>
      <c r="S426" s="2" t="s">
        <v>1898</v>
      </c>
    </row>
    <row r="427">
      <c r="A427" s="2" t="s">
        <v>14434</v>
      </c>
      <c r="B427" s="3" t="str">
        <f>_xlfn.CONCAT(D427, " / ", E427)</f>
        <v>effortless-python / Procedures</v>
      </c>
      <c r="C427" s="2" t="s">
        <v>13999</v>
      </c>
      <c r="D427" s="2" t="s">
        <v>13963</v>
      </c>
      <c r="E427" s="2" t="s">
        <v>1742</v>
      </c>
      <c r="F427" s="2">
        <v>2</v>
      </c>
      <c r="G427" s="2">
        <v>1</v>
      </c>
      <c r="H427" s="2">
        <v>2</v>
      </c>
      <c r="I427" s="2">
        <v>2</v>
      </c>
      <c r="J427" s="2" t="b">
        <v>0</v>
      </c>
      <c r="K427" s="3">
        <f>H427 - I427</f>
        <v>0</v>
      </c>
      <c r="L427" s="3">
        <f>IF(H427 = 0, 0, ROUND(100 * I427 / H427, 2))</f>
        <v>100</v>
      </c>
      <c r="M427" s="3" t="b">
        <f>K427 = 0</f>
        <v>1</v>
      </c>
      <c r="N427" s="3" t="str">
        <f>IF(M427, "", D427)</f>
      </c>
      <c r="O427" s="3" t="str">
        <f>IF(M427, "", E427)</f>
      </c>
      <c r="P427" s="3">
        <f>COUNTIFS(FieldDisagreements!E2:E999, A427)</f>
        <v>0</v>
      </c>
      <c r="Q427" s="3" t="str">
        <f>_xlfn.IFNA(INDEX(ConformanceSubstrates!C2:C999, MATCH(D427,ConformanceSubstrates!A2:A999, 0)), "")</f>
        <v>Python</v>
      </c>
      <c r="R427" s="3" t="str">
        <f>_xlfn.IFNA(INDEX(RulebookTables!F2:F999, MATCH(E427,RulebookTables!A2:A999, 0)), "")</f>
        <v>specification</v>
      </c>
      <c r="S427" s="2" t="s">
        <v>1898</v>
      </c>
    </row>
    <row r="428">
      <c r="A428" s="2" t="s">
        <v>14435</v>
      </c>
      <c r="B428" s="3" t="str">
        <f>_xlfn.CONCAT(D428, " / ", E428)</f>
        <v>effortless-python / ProcedureVersions</v>
      </c>
      <c r="C428" s="2" t="s">
        <v>13999</v>
      </c>
      <c r="D428" s="2" t="s">
        <v>13963</v>
      </c>
      <c r="E428" s="2" t="s">
        <v>1747</v>
      </c>
      <c r="F428" s="2">
        <v>3</v>
      </c>
      <c r="G428" s="2">
        <v>72</v>
      </c>
      <c r="H428" s="2">
        <v>216</v>
      </c>
      <c r="I428" s="2">
        <v>209</v>
      </c>
      <c r="J428" s="2" t="b">
        <v>0</v>
      </c>
      <c r="K428" s="3">
        <f>H428 - I428</f>
        <v>7</v>
      </c>
      <c r="L428" s="3">
        <f>IF(H428 = 0, 0, ROUND(100 * I428 / H428, 2))</f>
        <v>96.76</v>
      </c>
      <c r="M428" s="3" t="b">
        <f>K428 = 0</f>
        <v>0</v>
      </c>
      <c r="N428" s="3" t="str">
        <f>IF(M428, "", D428)</f>
        <v>effortless-python</v>
      </c>
      <c r="O428" s="3" t="str">
        <f>IF(M428, "", E428)</f>
        <v>ProcedureVersions</v>
      </c>
      <c r="P428" s="3">
        <f>COUNTIFS(FieldDisagreements!E2:E999, A428)</f>
        <v>3</v>
      </c>
      <c r="Q428" s="3" t="str">
        <f>_xlfn.IFNA(INDEX(ConformanceSubstrates!C2:C999, MATCH(D428,ConformanceSubstrates!A2:A999, 0)), "")</f>
        <v>Python</v>
      </c>
      <c r="R428" s="3" t="str">
        <f>_xlfn.IFNA(INDEX(RulebookTables!F2:F999, MATCH(E428,RulebookTables!A2:A999, 0)), "")</f>
        <v>specification</v>
      </c>
      <c r="S428" s="2" t="s">
        <v>1898</v>
      </c>
    </row>
    <row r="429">
      <c r="A429" s="2" t="s">
        <v>14436</v>
      </c>
      <c r="B429" s="3" t="str">
        <f>_xlfn.CONCAT(D429, " / ", E429)</f>
        <v>effortless-python / ProcedureVersionLinks</v>
      </c>
      <c r="C429" s="2" t="s">
        <v>13999</v>
      </c>
      <c r="D429" s="2" t="s">
        <v>13963</v>
      </c>
      <c r="E429" s="2" t="s">
        <v>2818</v>
      </c>
      <c r="F429" s="2">
        <v>1</v>
      </c>
      <c r="G429" s="2">
        <v>2</v>
      </c>
      <c r="H429" s="2">
        <v>2</v>
      </c>
      <c r="I429" s="2">
        <v>2</v>
      </c>
      <c r="J429" s="2" t="b">
        <v>0</v>
      </c>
      <c r="K429" s="3">
        <f>H429 - I429</f>
        <v>0</v>
      </c>
      <c r="L429" s="3">
        <f>IF(H429 = 0, 0, ROUND(100 * I429 / H429, 2))</f>
        <v>100</v>
      </c>
      <c r="M429" s="3" t="b">
        <f>K429 = 0</f>
        <v>1</v>
      </c>
      <c r="N429" s="3" t="str">
        <f>IF(M429, "", D429)</f>
      </c>
      <c r="O429" s="3" t="str">
        <f>IF(M429, "", E429)</f>
      </c>
      <c r="P429" s="3">
        <f>COUNTIFS(FieldDisagreements!E2:E999, A429)</f>
        <v>0</v>
      </c>
      <c r="Q429" s="3" t="str">
        <f>_xlfn.IFNA(INDEX(ConformanceSubstrates!C2:C999, MATCH(D429,ConformanceSubstrates!A2:A999, 0)), "")</f>
        <v>Python</v>
      </c>
      <c r="R429" s="3" t="str">
        <f>_xlfn.IFNA(INDEX(RulebookTables!F2:F999, MATCH(E429,RulebookTables!A2:A999, 0)), "")</f>
        <v>specification</v>
      </c>
      <c r="S429" s="2" t="s">
        <v>1898</v>
      </c>
    </row>
    <row r="430">
      <c r="A430" s="2" t="s">
        <v>14437</v>
      </c>
      <c r="B430" s="3" t="str">
        <f>_xlfn.CONCAT(D430, " / ", E430)</f>
        <v>effortless-python / ProcedureStatusChanges</v>
      </c>
      <c r="C430" s="2" t="s">
        <v>13999</v>
      </c>
      <c r="D430" s="2" t="s">
        <v>13963</v>
      </c>
      <c r="E430" s="2" t="s">
        <v>1755</v>
      </c>
      <c r="F430" s="2">
        <v>5</v>
      </c>
      <c r="G430" s="2">
        <v>1</v>
      </c>
      <c r="H430" s="2">
        <v>5</v>
      </c>
      <c r="I430" s="2">
        <v>5</v>
      </c>
      <c r="J430" s="2" t="b">
        <v>0</v>
      </c>
      <c r="K430" s="3">
        <f>H430 - I430</f>
        <v>0</v>
      </c>
      <c r="L430" s="3">
        <f>IF(H430 = 0, 0, ROUND(100 * I430 / H430, 2))</f>
        <v>100</v>
      </c>
      <c r="M430" s="3" t="b">
        <f>K430 = 0</f>
        <v>1</v>
      </c>
      <c r="N430" s="3" t="str">
        <f>IF(M430, "", D430)</f>
      </c>
      <c r="O430" s="3" t="str">
        <f>IF(M430, "", E430)</f>
      </c>
      <c r="P430" s="3">
        <f>COUNTIFS(FieldDisagreements!E2:E999, A430)</f>
        <v>0</v>
      </c>
      <c r="Q430" s="3" t="str">
        <f>_xlfn.IFNA(INDEX(ConformanceSubstrates!C2:C999, MATCH(D430,ConformanceSubstrates!A2:A999, 0)), "")</f>
        <v>Python</v>
      </c>
      <c r="R430" s="3" t="str">
        <f>_xlfn.IFNA(INDEX(RulebookTables!F2:F999, MATCH(E430,RulebookTables!A2:A999, 0)), "")</f>
        <v>specification</v>
      </c>
      <c r="S430" s="2" t="s">
        <v>1898</v>
      </c>
    </row>
    <row r="431">
      <c r="A431" s="2" t="s">
        <v>14438</v>
      </c>
      <c r="B431" s="3" t="str">
        <f>_xlfn.CONCAT(D431, " / ", E431)</f>
        <v>effortless-python / Steps</v>
      </c>
      <c r="C431" s="2" t="s">
        <v>13999</v>
      </c>
      <c r="D431" s="2" t="s">
        <v>13963</v>
      </c>
      <c r="E431" s="2" t="s">
        <v>1758</v>
      </c>
      <c r="F431" s="2">
        <v>17</v>
      </c>
      <c r="G431" s="2">
        <v>30</v>
      </c>
      <c r="H431" s="2">
        <v>510</v>
      </c>
      <c r="I431" s="2">
        <v>510</v>
      </c>
      <c r="J431" s="2" t="b">
        <v>0</v>
      </c>
      <c r="K431" s="3">
        <f>H431 - I431</f>
        <v>0</v>
      </c>
      <c r="L431" s="3">
        <f>IF(H431 = 0, 0, ROUND(100 * I431 / H431, 2))</f>
        <v>100</v>
      </c>
      <c r="M431" s="3" t="b">
        <f>K431 = 0</f>
        <v>1</v>
      </c>
      <c r="N431" s="3" t="str">
        <f>IF(M431, "", D431)</f>
      </c>
      <c r="O431" s="3" t="str">
        <f>IF(M431, "", E431)</f>
      </c>
      <c r="P431" s="3">
        <f>COUNTIFS(FieldDisagreements!E2:E999, A431)</f>
        <v>0</v>
      </c>
      <c r="Q431" s="3" t="str">
        <f>_xlfn.IFNA(INDEX(ConformanceSubstrates!C2:C999, MATCH(D431,ConformanceSubstrates!A2:A999, 0)), "")</f>
        <v>Python</v>
      </c>
      <c r="R431" s="3" t="str">
        <f>_xlfn.IFNA(INDEX(RulebookTables!F2:F999, MATCH(E431,RulebookTables!A2:A999, 0)), "")</f>
        <v>specification</v>
      </c>
      <c r="S431" s="2" t="s">
        <v>1898</v>
      </c>
    </row>
    <row r="432">
      <c r="A432" s="2" t="s">
        <v>14439</v>
      </c>
      <c r="B432" s="3" t="str">
        <f>_xlfn.CONCAT(D432, " / ", E432)</f>
        <v>effortless-python / StepTransitions</v>
      </c>
      <c r="C432" s="2" t="s">
        <v>13999</v>
      </c>
      <c r="D432" s="2" t="s">
        <v>13963</v>
      </c>
      <c r="E432" s="2" t="s">
        <v>1764</v>
      </c>
      <c r="F432" s="2">
        <v>19</v>
      </c>
      <c r="G432" s="2">
        <v>15</v>
      </c>
      <c r="H432" s="2">
        <v>285</v>
      </c>
      <c r="I432" s="2">
        <v>285</v>
      </c>
      <c r="J432" s="2" t="b">
        <v>0</v>
      </c>
      <c r="K432" s="3">
        <f>H432 - I432</f>
        <v>0</v>
      </c>
      <c r="L432" s="3">
        <f>IF(H432 = 0, 0, ROUND(100 * I432 / H432, 2))</f>
        <v>100</v>
      </c>
      <c r="M432" s="3" t="b">
        <f>K432 = 0</f>
        <v>1</v>
      </c>
      <c r="N432" s="3" t="str">
        <f>IF(M432, "", D432)</f>
      </c>
      <c r="O432" s="3" t="str">
        <f>IF(M432, "", E432)</f>
      </c>
      <c r="P432" s="3">
        <f>COUNTIFS(FieldDisagreements!E2:E999, A432)</f>
        <v>0</v>
      </c>
      <c r="Q432" s="3" t="str">
        <f>_xlfn.IFNA(INDEX(ConformanceSubstrates!C2:C999, MATCH(D432,ConformanceSubstrates!A2:A999, 0)), "")</f>
        <v>Python</v>
      </c>
      <c r="R432" s="3" t="str">
        <f>_xlfn.IFNA(INDEX(RulebookTables!F2:F999, MATCH(E432,RulebookTables!A2:A999, 0)), "")</f>
        <v>specification</v>
      </c>
      <c r="S432" s="2" t="s">
        <v>1898</v>
      </c>
    </row>
    <row r="433">
      <c r="A433" s="2" t="s">
        <v>14440</v>
      </c>
      <c r="B433" s="3" t="str">
        <f>_xlfn.CONCAT(D433, " / ", E433)</f>
        <v>effortless-python / Actions</v>
      </c>
      <c r="C433" s="2" t="s">
        <v>13999</v>
      </c>
      <c r="D433" s="2" t="s">
        <v>13963</v>
      </c>
      <c r="E433" s="2" t="s">
        <v>1776</v>
      </c>
      <c r="F433" s="2">
        <v>9</v>
      </c>
      <c r="G433" s="2">
        <v>1</v>
      </c>
      <c r="H433" s="2">
        <v>9</v>
      </c>
      <c r="I433" s="2">
        <v>9</v>
      </c>
      <c r="J433" s="2" t="b">
        <v>0</v>
      </c>
      <c r="K433" s="3">
        <f>H433 - I433</f>
        <v>0</v>
      </c>
      <c r="L433" s="3">
        <f>IF(H433 = 0, 0, ROUND(100 * I433 / H433, 2))</f>
        <v>100</v>
      </c>
      <c r="M433" s="3" t="b">
        <f>K433 = 0</f>
        <v>1</v>
      </c>
      <c r="N433" s="3" t="str">
        <f>IF(M433, "", D433)</f>
      </c>
      <c r="O433" s="3" t="str">
        <f>IF(M433, "", E433)</f>
      </c>
      <c r="P433" s="3">
        <f>COUNTIFS(FieldDisagreements!E2:E999, A433)</f>
        <v>0</v>
      </c>
      <c r="Q433" s="3" t="str">
        <f>_xlfn.IFNA(INDEX(ConformanceSubstrates!C2:C999, MATCH(D433,ConformanceSubstrates!A2:A999, 0)), "")</f>
        <v>Python</v>
      </c>
      <c r="R433" s="3" t="str">
        <f>_xlfn.IFNA(INDEX(RulebookTables!F2:F999, MATCH(E433,RulebookTables!A2:A999, 0)), "")</f>
        <v>specification</v>
      </c>
      <c r="S433" s="2" t="s">
        <v>1898</v>
      </c>
    </row>
    <row r="434">
      <c r="A434" s="2" t="s">
        <v>14441</v>
      </c>
      <c r="B434" s="3" t="str">
        <f>_xlfn.CONCAT(D434, " / ", E434)</f>
        <v>effortless-python / Functions</v>
      </c>
      <c r="C434" s="2" t="s">
        <v>13999</v>
      </c>
      <c r="D434" s="2" t="s">
        <v>13963</v>
      </c>
      <c r="E434" s="2" t="s">
        <v>1779</v>
      </c>
      <c r="F434" s="2">
        <v>8</v>
      </c>
      <c r="G434" s="2">
        <v>1</v>
      </c>
      <c r="H434" s="2">
        <v>8</v>
      </c>
      <c r="I434" s="2">
        <v>8</v>
      </c>
      <c r="J434" s="2" t="b">
        <v>0</v>
      </c>
      <c r="K434" s="3">
        <f>H434 - I434</f>
        <v>0</v>
      </c>
      <c r="L434" s="3">
        <f>IF(H434 = 0, 0, ROUND(100 * I434 / H434, 2))</f>
        <v>100</v>
      </c>
      <c r="M434" s="3" t="b">
        <f>K434 = 0</f>
        <v>1</v>
      </c>
      <c r="N434" s="3" t="str">
        <f>IF(M434, "", D434)</f>
      </c>
      <c r="O434" s="3" t="str">
        <f>IF(M434, "", E434)</f>
      </c>
      <c r="P434" s="3">
        <f>COUNTIFS(FieldDisagreements!E2:E999, A434)</f>
        <v>0</v>
      </c>
      <c r="Q434" s="3" t="str">
        <f>_xlfn.IFNA(INDEX(ConformanceSubstrates!C2:C999, MATCH(D434,ConformanceSubstrates!A2:A999, 0)), "")</f>
        <v>Python</v>
      </c>
      <c r="R434" s="3" t="str">
        <f>_xlfn.IFNA(INDEX(RulebookTables!F2:F999, MATCH(E434,RulebookTables!A2:A999, 0)), "")</f>
        <v>specification</v>
      </c>
      <c r="S434" s="2" t="s">
        <v>1898</v>
      </c>
    </row>
    <row r="435">
      <c r="A435" s="2" t="s">
        <v>14442</v>
      </c>
      <c r="B435" s="3" t="str">
        <f>_xlfn.CONCAT(D435, " / ", E435)</f>
        <v>effortless-python / Tools</v>
      </c>
      <c r="C435" s="2" t="s">
        <v>13999</v>
      </c>
      <c r="D435" s="2" t="s">
        <v>13963</v>
      </c>
      <c r="E435" s="2" t="s">
        <v>1782</v>
      </c>
      <c r="F435" s="2">
        <v>8</v>
      </c>
      <c r="G435" s="2">
        <v>1</v>
      </c>
      <c r="H435" s="2">
        <v>8</v>
      </c>
      <c r="I435" s="2">
        <v>8</v>
      </c>
      <c r="J435" s="2" t="b">
        <v>0</v>
      </c>
      <c r="K435" s="3">
        <f>H435 - I435</f>
        <v>0</v>
      </c>
      <c r="L435" s="3">
        <f>IF(H435 = 0, 0, ROUND(100 * I435 / H435, 2))</f>
        <v>100</v>
      </c>
      <c r="M435" s="3" t="b">
        <f>K435 = 0</f>
        <v>1</v>
      </c>
      <c r="N435" s="3" t="str">
        <f>IF(M435, "", D435)</f>
      </c>
      <c r="O435" s="3" t="str">
        <f>IF(M435, "", E435)</f>
      </c>
      <c r="P435" s="3">
        <f>COUNTIFS(FieldDisagreements!E2:E999, A435)</f>
        <v>0</v>
      </c>
      <c r="Q435" s="3" t="str">
        <f>_xlfn.IFNA(INDEX(ConformanceSubstrates!C2:C999, MATCH(D435,ConformanceSubstrates!A2:A999, 0)), "")</f>
        <v>Python</v>
      </c>
      <c r="R435" s="3" t="str">
        <f>_xlfn.IFNA(INDEX(RulebookTables!F2:F999, MATCH(E435,RulebookTables!A2:A999, 0)), "")</f>
        <v>specification</v>
      </c>
      <c r="S435" s="2" t="s">
        <v>1898</v>
      </c>
    </row>
    <row r="436">
      <c r="A436" s="2" t="s">
        <v>14443</v>
      </c>
      <c r="B436" s="3" t="str">
        <f>_xlfn.CONCAT(D436, " / ", E436)</f>
        <v>effortless-python / StepActions</v>
      </c>
      <c r="C436" s="2" t="s">
        <v>13999</v>
      </c>
      <c r="D436" s="2" t="s">
        <v>13963</v>
      </c>
      <c r="E436" s="2" t="s">
        <v>2962</v>
      </c>
      <c r="F436" s="2">
        <v>9</v>
      </c>
      <c r="G436" s="2">
        <v>1</v>
      </c>
      <c r="H436" s="2">
        <v>9</v>
      </c>
      <c r="I436" s="2">
        <v>9</v>
      </c>
      <c r="J436" s="2" t="b">
        <v>0</v>
      </c>
      <c r="K436" s="3">
        <f>H436 - I436</f>
        <v>0</v>
      </c>
      <c r="L436" s="3">
        <f>IF(H436 = 0, 0, ROUND(100 * I436 / H436, 2))</f>
        <v>100</v>
      </c>
      <c r="M436" s="3" t="b">
        <f>K436 = 0</f>
        <v>1</v>
      </c>
      <c r="N436" s="3" t="str">
        <f>IF(M436, "", D436)</f>
      </c>
      <c r="O436" s="3" t="str">
        <f>IF(M436, "", E436)</f>
      </c>
      <c r="P436" s="3">
        <f>COUNTIFS(FieldDisagreements!E2:E999, A436)</f>
        <v>0</v>
      </c>
      <c r="Q436" s="3" t="str">
        <f>_xlfn.IFNA(INDEX(ConformanceSubstrates!C2:C999, MATCH(D436,ConformanceSubstrates!A2:A999, 0)), "")</f>
        <v>Python</v>
      </c>
      <c r="R436" s="3" t="str">
        <f>_xlfn.IFNA(INDEX(RulebookTables!F2:F999, MATCH(E436,RulebookTables!A2:A999, 0)), "")</f>
        <v>specification</v>
      </c>
      <c r="S436" s="2" t="s">
        <v>1898</v>
      </c>
    </row>
    <row r="437">
      <c r="A437" s="2" t="s">
        <v>14444</v>
      </c>
      <c r="B437" s="3" t="str">
        <f>_xlfn.CONCAT(D437, " / ", E437)</f>
        <v>effortless-python / StepFunctions</v>
      </c>
      <c r="C437" s="2" t="s">
        <v>13999</v>
      </c>
      <c r="D437" s="2" t="s">
        <v>13963</v>
      </c>
      <c r="E437" s="2" t="s">
        <v>2968</v>
      </c>
      <c r="F437" s="2">
        <v>8</v>
      </c>
      <c r="G437" s="2">
        <v>1</v>
      </c>
      <c r="H437" s="2">
        <v>8</v>
      </c>
      <c r="I437" s="2">
        <v>8</v>
      </c>
      <c r="J437" s="2" t="b">
        <v>0</v>
      </c>
      <c r="K437" s="3">
        <f>H437 - I437</f>
        <v>0</v>
      </c>
      <c r="L437" s="3">
        <f>IF(H437 = 0, 0, ROUND(100 * I437 / H437, 2))</f>
        <v>100</v>
      </c>
      <c r="M437" s="3" t="b">
        <f>K437 = 0</f>
        <v>1</v>
      </c>
      <c r="N437" s="3" t="str">
        <f>IF(M437, "", D437)</f>
      </c>
      <c r="O437" s="3" t="str">
        <f>IF(M437, "", E437)</f>
      </c>
      <c r="P437" s="3">
        <f>COUNTIFS(FieldDisagreements!E2:E999, A437)</f>
        <v>0</v>
      </c>
      <c r="Q437" s="3" t="str">
        <f>_xlfn.IFNA(INDEX(ConformanceSubstrates!C2:C999, MATCH(D437,ConformanceSubstrates!A2:A999, 0)), "")</f>
        <v>Python</v>
      </c>
      <c r="R437" s="3" t="str">
        <f>_xlfn.IFNA(INDEX(RulebookTables!F2:F999, MATCH(E437,RulebookTables!A2:A999, 0)), "")</f>
        <v>specification</v>
      </c>
      <c r="S437" s="2" t="s">
        <v>1898</v>
      </c>
    </row>
    <row r="438">
      <c r="A438" s="2" t="s">
        <v>14445</v>
      </c>
      <c r="B438" s="3" t="str">
        <f>_xlfn.CONCAT(D438, " / ", E438)</f>
        <v>effortless-python / StepTools</v>
      </c>
      <c r="C438" s="2" t="s">
        <v>13999</v>
      </c>
      <c r="D438" s="2" t="s">
        <v>13963</v>
      </c>
      <c r="E438" s="2" t="s">
        <v>2974</v>
      </c>
      <c r="F438" s="2">
        <v>10</v>
      </c>
      <c r="G438" s="2">
        <v>1</v>
      </c>
      <c r="H438" s="2">
        <v>10</v>
      </c>
      <c r="I438" s="2">
        <v>10</v>
      </c>
      <c r="J438" s="2" t="b">
        <v>0</v>
      </c>
      <c r="K438" s="3">
        <f>H438 - I438</f>
        <v>0</v>
      </c>
      <c r="L438" s="3">
        <f>IF(H438 = 0, 0, ROUND(100 * I438 / H438, 2))</f>
        <v>100</v>
      </c>
      <c r="M438" s="3" t="b">
        <f>K438 = 0</f>
        <v>1</v>
      </c>
      <c r="N438" s="3" t="str">
        <f>IF(M438, "", D438)</f>
      </c>
      <c r="O438" s="3" t="str">
        <f>IF(M438, "", E438)</f>
      </c>
      <c r="P438" s="3">
        <f>COUNTIFS(FieldDisagreements!E2:E999, A438)</f>
        <v>0</v>
      </c>
      <c r="Q438" s="3" t="str">
        <f>_xlfn.IFNA(INDEX(ConformanceSubstrates!C2:C999, MATCH(D438,ConformanceSubstrates!A2:A999, 0)), "")</f>
        <v>Python</v>
      </c>
      <c r="R438" s="3" t="str">
        <f>_xlfn.IFNA(INDEX(RulebookTables!F2:F999, MATCH(E438,RulebookTables!A2:A999, 0)), "")</f>
        <v>specification</v>
      </c>
      <c r="S438" s="2" t="s">
        <v>1898</v>
      </c>
    </row>
    <row r="439">
      <c r="A439" s="2" t="s">
        <v>14446</v>
      </c>
      <c r="B439" s="3" t="str">
        <f>_xlfn.CONCAT(D439, " / ", E439)</f>
        <v>effortless-python / Requirements</v>
      </c>
      <c r="C439" s="2" t="s">
        <v>13999</v>
      </c>
      <c r="D439" s="2" t="s">
        <v>13963</v>
      </c>
      <c r="E439" s="2" t="s">
        <v>1785</v>
      </c>
      <c r="F439" s="2">
        <v>13</v>
      </c>
      <c r="G439" s="2">
        <v>31</v>
      </c>
      <c r="H439" s="2">
        <v>403</v>
      </c>
      <c r="I439" s="2">
        <v>400</v>
      </c>
      <c r="J439" s="2" t="b">
        <v>0</v>
      </c>
      <c r="K439" s="3">
        <f>H439 - I439</f>
        <v>3</v>
      </c>
      <c r="L439" s="3">
        <f>IF(H439 = 0, 0, ROUND(100 * I439 / H439, 2))</f>
        <v>99.26</v>
      </c>
      <c r="M439" s="3" t="b">
        <f>K439 = 0</f>
        <v>0</v>
      </c>
      <c r="N439" s="3" t="str">
        <f>IF(M439, "", D439)</f>
        <v>effortless-python</v>
      </c>
      <c r="O439" s="3" t="str">
        <f>IF(M439, "", E439)</f>
        <v>Requirements</v>
      </c>
      <c r="P439" s="3">
        <f>COUNTIFS(FieldDisagreements!E2:E999, A439)</f>
        <v>1</v>
      </c>
      <c r="Q439" s="3" t="str">
        <f>_xlfn.IFNA(INDEX(ConformanceSubstrates!C2:C999, MATCH(D439,ConformanceSubstrates!A2:A999, 0)), "")</f>
        <v>Python</v>
      </c>
      <c r="R439" s="3" t="str">
        <f>_xlfn.IFNA(INDEX(RulebookTables!F2:F999, MATCH(E439,RulebookTables!A2:A999, 0)), "")</f>
        <v>governance</v>
      </c>
      <c r="S439" s="2" t="s">
        <v>1898</v>
      </c>
    </row>
    <row r="440">
      <c r="A440" s="2" t="s">
        <v>14447</v>
      </c>
      <c r="B440" s="3" t="str">
        <f>_xlfn.CONCAT(D440, " / ", E440)</f>
        <v>effortless-python / StepRequirements</v>
      </c>
      <c r="C440" s="2" t="s">
        <v>13999</v>
      </c>
      <c r="D440" s="2" t="s">
        <v>13963</v>
      </c>
      <c r="E440" s="2" t="s">
        <v>3053</v>
      </c>
      <c r="F440" s="2">
        <v>15</v>
      </c>
      <c r="G440" s="2">
        <v>10</v>
      </c>
      <c r="H440" s="2">
        <v>150</v>
      </c>
      <c r="I440" s="2">
        <v>150</v>
      </c>
      <c r="J440" s="2" t="b">
        <v>0</v>
      </c>
      <c r="K440" s="3">
        <f>H440 - I440</f>
        <v>0</v>
      </c>
      <c r="L440" s="3">
        <f>IF(H440 = 0, 0, ROUND(100 * I440 / H440, 2))</f>
        <v>100</v>
      </c>
      <c r="M440" s="3" t="b">
        <f>K440 = 0</f>
        <v>1</v>
      </c>
      <c r="N440" s="3" t="str">
        <f>IF(M440, "", D440)</f>
      </c>
      <c r="O440" s="3" t="str">
        <f>IF(M440, "", E440)</f>
      </c>
      <c r="P440" s="3">
        <f>COUNTIFS(FieldDisagreements!E2:E999, A440)</f>
        <v>0</v>
      </c>
      <c r="Q440" s="3" t="str">
        <f>_xlfn.IFNA(INDEX(ConformanceSubstrates!C2:C999, MATCH(D440,ConformanceSubstrates!A2:A999, 0)), "")</f>
        <v>Python</v>
      </c>
      <c r="R440" s="3" t="str">
        <f>_xlfn.IFNA(INDEX(RulebookTables!F2:F999, MATCH(E440,RulebookTables!A2:A999, 0)), "")</f>
        <v>specification</v>
      </c>
      <c r="S440" s="2" t="s">
        <v>1898</v>
      </c>
    </row>
    <row r="441">
      <c r="A441" s="2" t="s">
        <v>14448</v>
      </c>
      <c r="B441" s="3" t="str">
        <f>_xlfn.CONCAT(D441, " / ", E441)</f>
        <v>effortless-python / StepVerifications</v>
      </c>
      <c r="C441" s="2" t="s">
        <v>13999</v>
      </c>
      <c r="D441" s="2" t="s">
        <v>13963</v>
      </c>
      <c r="E441" s="2" t="s">
        <v>1788</v>
      </c>
      <c r="F441" s="2">
        <v>11</v>
      </c>
      <c r="G441" s="2">
        <v>1</v>
      </c>
      <c r="H441" s="2">
        <v>11</v>
      </c>
      <c r="I441" s="2">
        <v>11</v>
      </c>
      <c r="J441" s="2" t="b">
        <v>0</v>
      </c>
      <c r="K441" s="3">
        <f>H441 - I441</f>
        <v>0</v>
      </c>
      <c r="L441" s="3">
        <f>IF(H441 = 0, 0, ROUND(100 * I441 / H441, 2))</f>
        <v>100</v>
      </c>
      <c r="M441" s="3" t="b">
        <f>K441 = 0</f>
        <v>1</v>
      </c>
      <c r="N441" s="3" t="str">
        <f>IF(M441, "", D441)</f>
      </c>
      <c r="O441" s="3" t="str">
        <f>IF(M441, "", E441)</f>
      </c>
      <c r="P441" s="3">
        <f>COUNTIFS(FieldDisagreements!E2:E999, A441)</f>
        <v>0</v>
      </c>
      <c r="Q441" s="3" t="str">
        <f>_xlfn.IFNA(INDEX(ConformanceSubstrates!C2:C999, MATCH(D441,ConformanceSubstrates!A2:A999, 0)), "")</f>
        <v>Python</v>
      </c>
      <c r="R441" s="3" t="str">
        <f>_xlfn.IFNA(INDEX(RulebookTables!F2:F999, MATCH(E441,RulebookTables!A2:A999, 0)), "")</f>
        <v>specification</v>
      </c>
      <c r="S441" s="2" t="s">
        <v>1898</v>
      </c>
    </row>
    <row r="442">
      <c r="A442" s="2" t="s">
        <v>14449</v>
      </c>
      <c r="B442" s="3" t="str">
        <f>_xlfn.CONCAT(D442, " / ", E442)</f>
        <v>effortless-python / Rationales</v>
      </c>
      <c r="C442" s="2" t="s">
        <v>13999</v>
      </c>
      <c r="D442" s="2" t="s">
        <v>13963</v>
      </c>
      <c r="E442" s="2" t="s">
        <v>3085</v>
      </c>
      <c r="F442" s="2">
        <v>4</v>
      </c>
      <c r="G442" s="2">
        <v>1</v>
      </c>
      <c r="H442" s="2">
        <v>4</v>
      </c>
      <c r="I442" s="2">
        <v>4</v>
      </c>
      <c r="J442" s="2" t="b">
        <v>0</v>
      </c>
      <c r="K442" s="3">
        <f>H442 - I442</f>
        <v>0</v>
      </c>
      <c r="L442" s="3">
        <f>IF(H442 = 0, 0, ROUND(100 * I442 / H442, 2))</f>
        <v>100</v>
      </c>
      <c r="M442" s="3" t="b">
        <f>K442 = 0</f>
        <v>1</v>
      </c>
      <c r="N442" s="3" t="str">
        <f>IF(M442, "", D442)</f>
      </c>
      <c r="O442" s="3" t="str">
        <f>IF(M442, "", E442)</f>
      </c>
      <c r="P442" s="3">
        <f>COUNTIFS(FieldDisagreements!E2:E999, A442)</f>
        <v>0</v>
      </c>
      <c r="Q442" s="3" t="str">
        <f>_xlfn.IFNA(INDEX(ConformanceSubstrates!C2:C999, MATCH(D442,ConformanceSubstrates!A2:A999, 0)), "")</f>
        <v>Python</v>
      </c>
      <c r="R442" s="3" t="str">
        <f>_xlfn.IFNA(INDEX(RulebookTables!F2:F999, MATCH(E442,RulebookTables!A2:A999, 0)), "")</f>
        <v>governance</v>
      </c>
      <c r="S442" s="2" t="s">
        <v>1898</v>
      </c>
    </row>
    <row r="443">
      <c r="A443" s="2" t="s">
        <v>14450</v>
      </c>
      <c r="B443" s="3" t="str">
        <f>_xlfn.CONCAT(D443, " / ", E443)</f>
        <v>effortless-python / Exceptions</v>
      </c>
      <c r="C443" s="2" t="s">
        <v>13999</v>
      </c>
      <c r="D443" s="2" t="s">
        <v>13963</v>
      </c>
      <c r="E443" s="2" t="s">
        <v>3095</v>
      </c>
      <c r="F443" s="2">
        <v>4</v>
      </c>
      <c r="G443" s="2">
        <v>2</v>
      </c>
      <c r="H443" s="2">
        <v>8</v>
      </c>
      <c r="I443" s="2">
        <v>8</v>
      </c>
      <c r="J443" s="2" t="b">
        <v>0</v>
      </c>
      <c r="K443" s="3">
        <f>H443 - I443</f>
        <v>0</v>
      </c>
      <c r="L443" s="3">
        <f>IF(H443 = 0, 0, ROUND(100 * I443 / H443, 2))</f>
        <v>100</v>
      </c>
      <c r="M443" s="3" t="b">
        <f>K443 = 0</f>
        <v>1</v>
      </c>
      <c r="N443" s="3" t="str">
        <f>IF(M443, "", D443)</f>
      </c>
      <c r="O443" s="3" t="str">
        <f>IF(M443, "", E443)</f>
      </c>
      <c r="P443" s="3">
        <f>COUNTIFS(FieldDisagreements!E2:E999, A443)</f>
        <v>0</v>
      </c>
      <c r="Q443" s="3" t="str">
        <f>_xlfn.IFNA(INDEX(ConformanceSubstrates!C2:C999, MATCH(D443,ConformanceSubstrates!A2:A999, 0)), "")</f>
        <v>Python</v>
      </c>
      <c r="R443" s="3" t="str">
        <f>_xlfn.IFNA(INDEX(RulebookTables!F2:F999, MATCH(E443,RulebookTables!A2:A999, 0)), "")</f>
        <v>governance</v>
      </c>
      <c r="S443" s="2" t="s">
        <v>1898</v>
      </c>
    </row>
    <row r="444">
      <c r="A444" s="2" t="s">
        <v>14451</v>
      </c>
      <c r="B444" s="3" t="str">
        <f>_xlfn.CONCAT(D444, " / ", E444)</f>
        <v>effortless-python / Resources</v>
      </c>
      <c r="C444" s="2" t="s">
        <v>13999</v>
      </c>
      <c r="D444" s="2" t="s">
        <v>13963</v>
      </c>
      <c r="E444" s="2" t="s">
        <v>1791</v>
      </c>
      <c r="F444" s="2">
        <v>8</v>
      </c>
      <c r="G444" s="2">
        <v>2</v>
      </c>
      <c r="H444" s="2">
        <v>16</v>
      </c>
      <c r="I444" s="2">
        <v>16</v>
      </c>
      <c r="J444" s="2" t="b">
        <v>0</v>
      </c>
      <c r="K444" s="3">
        <f>H444 - I444</f>
        <v>0</v>
      </c>
      <c r="L444" s="3">
        <f>IF(H444 = 0, 0, ROUND(100 * I444 / H444, 2))</f>
        <v>100</v>
      </c>
      <c r="M444" s="3" t="b">
        <f>K444 = 0</f>
        <v>1</v>
      </c>
      <c r="N444" s="3" t="str">
        <f>IF(M444, "", D444)</f>
      </c>
      <c r="O444" s="3" t="str">
        <f>IF(M444, "", E444)</f>
      </c>
      <c r="P444" s="3">
        <f>COUNTIFS(FieldDisagreements!E2:E999, A444)</f>
        <v>0</v>
      </c>
      <c r="Q444" s="3" t="str">
        <f>_xlfn.IFNA(INDEX(ConformanceSubstrates!C2:C999, MATCH(D444,ConformanceSubstrates!A2:A999, 0)), "")</f>
        <v>Python</v>
      </c>
      <c r="R444" s="3" t="str">
        <f>_xlfn.IFNA(INDEX(RulebookTables!F2:F999, MATCH(E444,RulebookTables!A2:A999, 0)), "")</f>
        <v>domain</v>
      </c>
      <c r="S444" s="2" t="s">
        <v>1898</v>
      </c>
    </row>
    <row r="445">
      <c r="A445" s="2" t="s">
        <v>14452</v>
      </c>
      <c r="B445" s="3" t="str">
        <f>_xlfn.CONCAT(D445, " / ", E445)</f>
        <v>effortless-python / ProcedureResources</v>
      </c>
      <c r="C445" s="2" t="s">
        <v>13999</v>
      </c>
      <c r="D445" s="2" t="s">
        <v>13963</v>
      </c>
      <c r="E445" s="2" t="s">
        <v>3121</v>
      </c>
      <c r="F445" s="2">
        <v>8</v>
      </c>
      <c r="G445" s="2">
        <v>2</v>
      </c>
      <c r="H445" s="2">
        <v>16</v>
      </c>
      <c r="I445" s="2">
        <v>16</v>
      </c>
      <c r="J445" s="2" t="b">
        <v>0</v>
      </c>
      <c r="K445" s="3">
        <f>H445 - I445</f>
        <v>0</v>
      </c>
      <c r="L445" s="3">
        <f>IF(H445 = 0, 0, ROUND(100 * I445 / H445, 2))</f>
        <v>100</v>
      </c>
      <c r="M445" s="3" t="b">
        <f>K445 = 0</f>
        <v>1</v>
      </c>
      <c r="N445" s="3" t="str">
        <f>IF(M445, "", D445)</f>
      </c>
      <c r="O445" s="3" t="str">
        <f>IF(M445, "", E445)</f>
      </c>
      <c r="P445" s="3">
        <f>COUNTIFS(FieldDisagreements!E2:E999, A445)</f>
        <v>0</v>
      </c>
      <c r="Q445" s="3" t="str">
        <f>_xlfn.IFNA(INDEX(ConformanceSubstrates!C2:C999, MATCH(D445,ConformanceSubstrates!A2:A999, 0)), "")</f>
        <v>Python</v>
      </c>
      <c r="R445" s="3" t="str">
        <f>_xlfn.IFNA(INDEX(RulebookTables!F2:F999, MATCH(E445,RulebookTables!A2:A999, 0)), "")</f>
        <v>specification</v>
      </c>
      <c r="S445" s="2" t="s">
        <v>1898</v>
      </c>
    </row>
    <row r="446">
      <c r="A446" s="2" t="s">
        <v>14453</v>
      </c>
      <c r="B446" s="3" t="str">
        <f>_xlfn.CONCAT(D446, " / ", E446)</f>
        <v>effortless-python / ElicitationSessions</v>
      </c>
      <c r="C446" s="2" t="s">
        <v>13999</v>
      </c>
      <c r="D446" s="2" t="s">
        <v>13963</v>
      </c>
      <c r="E446" s="2" t="s">
        <v>1835</v>
      </c>
      <c r="F446" s="2">
        <v>3</v>
      </c>
      <c r="G446" s="2">
        <v>10</v>
      </c>
      <c r="H446" s="2">
        <v>30</v>
      </c>
      <c r="I446" s="2">
        <v>25</v>
      </c>
      <c r="J446" s="2" t="b">
        <v>0</v>
      </c>
      <c r="K446" s="3">
        <f>H446 - I446</f>
        <v>5</v>
      </c>
      <c r="L446" s="3">
        <f>IF(H446 = 0, 0, ROUND(100 * I446 / H446, 2))</f>
        <v>83.33</v>
      </c>
      <c r="M446" s="3" t="b">
        <f>K446 = 0</f>
        <v>0</v>
      </c>
      <c r="N446" s="3" t="str">
        <f>IF(M446, "", D446)</f>
        <v>effortless-python</v>
      </c>
      <c r="O446" s="3" t="str">
        <f>IF(M446, "", E446)</f>
        <v>ElicitationSessions</v>
      </c>
      <c r="P446" s="3">
        <f>COUNTIFS(FieldDisagreements!E2:E999, A446)</f>
        <v>2</v>
      </c>
      <c r="Q446" s="3" t="str">
        <f>_xlfn.IFNA(INDEX(ConformanceSubstrates!C2:C999, MATCH(D446,ConformanceSubstrates!A2:A999, 0)), "")</f>
        <v>Python</v>
      </c>
      <c r="R446" s="3" t="str">
        <f>_xlfn.IFNA(INDEX(RulebookTables!F2:F999, MATCH(E446,RulebookTables!A2:A999, 0)), "")</f>
        <v>knowledge</v>
      </c>
      <c r="S446" s="2" t="s">
        <v>1898</v>
      </c>
    </row>
    <row r="447">
      <c r="A447" s="2" t="s">
        <v>14454</v>
      </c>
      <c r="B447" s="3" t="str">
        <f>_xlfn.CONCAT(D447, " / ", E447)</f>
        <v>effortless-python / KnowledgeFragments</v>
      </c>
      <c r="C447" s="2" t="s">
        <v>13999</v>
      </c>
      <c r="D447" s="2" t="s">
        <v>13963</v>
      </c>
      <c r="E447" s="2" t="s">
        <v>1831</v>
      </c>
      <c r="F447" s="2">
        <v>7</v>
      </c>
      <c r="G447" s="2">
        <v>65</v>
      </c>
      <c r="H447" s="2">
        <v>455</v>
      </c>
      <c r="I447" s="2">
        <v>445</v>
      </c>
      <c r="J447" s="2" t="b">
        <v>0</v>
      </c>
      <c r="K447" s="3">
        <f>H447 - I447</f>
        <v>10</v>
      </c>
      <c r="L447" s="3">
        <f>IF(H447 = 0, 0, ROUND(100 * I447 / H447, 2))</f>
        <v>97.8</v>
      </c>
      <c r="M447" s="3" t="b">
        <f>K447 = 0</f>
        <v>0</v>
      </c>
      <c r="N447" s="3" t="str">
        <f>IF(M447, "", D447)</f>
        <v>effortless-python</v>
      </c>
      <c r="O447" s="3" t="str">
        <f>IF(M447, "", E447)</f>
        <v>KnowledgeFragments</v>
      </c>
      <c r="P447" s="3">
        <f>COUNTIFS(FieldDisagreements!E2:E999, A447)</f>
        <v>4</v>
      </c>
      <c r="Q447" s="3" t="str">
        <f>_xlfn.IFNA(INDEX(ConformanceSubstrates!C2:C999, MATCH(D447,ConformanceSubstrates!A2:A999, 0)), "")</f>
        <v>Python</v>
      </c>
      <c r="R447" s="3" t="str">
        <f>_xlfn.IFNA(INDEX(RulebookTables!F2:F999, MATCH(E447,RulebookTables!A2:A999, 0)), "")</f>
        <v>knowledge</v>
      </c>
      <c r="S447" s="2" t="s">
        <v>1898</v>
      </c>
    </row>
    <row r="448">
      <c r="A448" s="2" t="s">
        <v>14455</v>
      </c>
      <c r="B448" s="3" t="str">
        <f>_xlfn.CONCAT(D448, " / ", E448)</f>
        <v>effortless-python / KnowledgeGaps</v>
      </c>
      <c r="C448" s="2" t="s">
        <v>13999</v>
      </c>
      <c r="D448" s="2" t="s">
        <v>13963</v>
      </c>
      <c r="E448" s="2" t="s">
        <v>3302</v>
      </c>
      <c r="F448" s="2">
        <v>8</v>
      </c>
      <c r="G448" s="2">
        <v>16</v>
      </c>
      <c r="H448" s="2">
        <v>128</v>
      </c>
      <c r="I448" s="2">
        <v>127</v>
      </c>
      <c r="J448" s="2" t="b">
        <v>0</v>
      </c>
      <c r="K448" s="3">
        <f>H448 - I448</f>
        <v>1</v>
      </c>
      <c r="L448" s="3">
        <f>IF(H448 = 0, 0, ROUND(100 * I448 / H448, 2))</f>
        <v>99.22</v>
      </c>
      <c r="M448" s="3" t="b">
        <f>K448 = 0</f>
        <v>0</v>
      </c>
      <c r="N448" s="3" t="str">
        <f>IF(M448, "", D448)</f>
        <v>effortless-python</v>
      </c>
      <c r="O448" s="3" t="str">
        <f>IF(M448, "", E448)</f>
        <v>KnowledgeGaps</v>
      </c>
      <c r="P448" s="3">
        <f>COUNTIFS(FieldDisagreements!E2:E999, A448)</f>
        <v>1</v>
      </c>
      <c r="Q448" s="3" t="str">
        <f>_xlfn.IFNA(INDEX(ConformanceSubstrates!C2:C999, MATCH(D448,ConformanceSubstrates!A2:A999, 0)), "")</f>
        <v>Python</v>
      </c>
      <c r="R448" s="3" t="str">
        <f>_xlfn.IFNA(INDEX(RulebookTables!F2:F999, MATCH(E448,RulebookTables!A2:A999, 0)), "")</f>
        <v>knowledge</v>
      </c>
      <c r="S448" s="2" t="s">
        <v>1898</v>
      </c>
    </row>
    <row r="449">
      <c r="A449" s="2" t="s">
        <v>14456</v>
      </c>
      <c r="B449" s="3" t="str">
        <f>_xlfn.CONCAT(D449, " / ", E449)</f>
        <v>effortless-python / FAQs</v>
      </c>
      <c r="C449" s="2" t="s">
        <v>13999</v>
      </c>
      <c r="D449" s="2" t="s">
        <v>13963</v>
      </c>
      <c r="E449" s="2" t="s">
        <v>1825</v>
      </c>
      <c r="F449" s="2">
        <v>3</v>
      </c>
      <c r="G449" s="2">
        <v>1</v>
      </c>
      <c r="H449" s="2">
        <v>3</v>
      </c>
      <c r="I449" s="2">
        <v>3</v>
      </c>
      <c r="J449" s="2" t="b">
        <v>0</v>
      </c>
      <c r="K449" s="3">
        <f>H449 - I449</f>
        <v>0</v>
      </c>
      <c r="L449" s="3">
        <f>IF(H449 = 0, 0, ROUND(100 * I449 / H449, 2))</f>
        <v>100</v>
      </c>
      <c r="M449" s="3" t="b">
        <f>K449 = 0</f>
        <v>1</v>
      </c>
      <c r="N449" s="3" t="str">
        <f>IF(M449, "", D449)</f>
      </c>
      <c r="O449" s="3" t="str">
        <f>IF(M449, "", E449)</f>
      </c>
      <c r="P449" s="3">
        <f>COUNTIFS(FieldDisagreements!E2:E999, A449)</f>
        <v>0</v>
      </c>
      <c r="Q449" s="3" t="str">
        <f>_xlfn.IFNA(INDEX(ConformanceSubstrates!C2:C999, MATCH(D449,ConformanceSubstrates!A2:A999, 0)), "")</f>
        <v>Python</v>
      </c>
      <c r="R449" s="3" t="str">
        <f>_xlfn.IFNA(INDEX(RulebookTables!F2:F999, MATCH(E449,RulebookTables!A2:A999, 0)), "")</f>
        <v>knowledge</v>
      </c>
      <c r="S449" s="2" t="s">
        <v>1898</v>
      </c>
    </row>
    <row r="450">
      <c r="A450" s="2" t="s">
        <v>14457</v>
      </c>
      <c r="B450" s="3" t="str">
        <f>_xlfn.CONCAT(D450, " / ", E450)</f>
        <v>effortless-python / Explanations</v>
      </c>
      <c r="C450" s="2" t="s">
        <v>13999</v>
      </c>
      <c r="D450" s="2" t="s">
        <v>13963</v>
      </c>
      <c r="E450" s="2" t="s">
        <v>1828</v>
      </c>
      <c r="F450" s="2">
        <v>2</v>
      </c>
      <c r="G450" s="2">
        <v>1</v>
      </c>
      <c r="H450" s="2">
        <v>2</v>
      </c>
      <c r="I450" s="2">
        <v>2</v>
      </c>
      <c r="J450" s="2" t="b">
        <v>0</v>
      </c>
      <c r="K450" s="3">
        <f>H450 - I450</f>
        <v>0</v>
      </c>
      <c r="L450" s="3">
        <f>IF(H450 = 0, 0, ROUND(100 * I450 / H450, 2))</f>
        <v>100</v>
      </c>
      <c r="M450" s="3" t="b">
        <f>K450 = 0</f>
        <v>1</v>
      </c>
      <c r="N450" s="3" t="str">
        <f>IF(M450, "", D450)</f>
      </c>
      <c r="O450" s="3" t="str">
        <f>IF(M450, "", E450)</f>
      </c>
      <c r="P450" s="3">
        <f>COUNTIFS(FieldDisagreements!E2:E999, A450)</f>
        <v>0</v>
      </c>
      <c r="Q450" s="3" t="str">
        <f>_xlfn.IFNA(INDEX(ConformanceSubstrates!C2:C999, MATCH(D450,ConformanceSubstrates!A2:A999, 0)), "")</f>
        <v>Python</v>
      </c>
      <c r="R450" s="3" t="str">
        <f>_xlfn.IFNA(INDEX(RulebookTables!F2:F999, MATCH(E450,RulebookTables!A2:A999, 0)), "")</f>
        <v>knowledge</v>
      </c>
      <c r="S450" s="2" t="s">
        <v>1898</v>
      </c>
    </row>
    <row r="451">
      <c r="A451" s="2" t="s">
        <v>14458</v>
      </c>
      <c r="B451" s="3" t="str">
        <f>_xlfn.CONCAT(D451, " / ", E451)</f>
        <v>effortless-python / ProcedureExecutions</v>
      </c>
      <c r="C451" s="2" t="s">
        <v>13999</v>
      </c>
      <c r="D451" s="2" t="s">
        <v>13963</v>
      </c>
      <c r="E451" s="2" t="s">
        <v>1804</v>
      </c>
      <c r="F451" s="2">
        <v>2</v>
      </c>
      <c r="G451" s="2">
        <v>69</v>
      </c>
      <c r="H451" s="2">
        <v>138</v>
      </c>
      <c r="I451" s="2">
        <v>138</v>
      </c>
      <c r="J451" s="2" t="b">
        <v>0</v>
      </c>
      <c r="K451" s="3">
        <f>H451 - I451</f>
        <v>0</v>
      </c>
      <c r="L451" s="3">
        <f>IF(H451 = 0, 0, ROUND(100 * I451 / H451, 2))</f>
        <v>100</v>
      </c>
      <c r="M451" s="3" t="b">
        <f>K451 = 0</f>
        <v>1</v>
      </c>
      <c r="N451" s="3" t="str">
        <f>IF(M451, "", D451)</f>
      </c>
      <c r="O451" s="3" t="str">
        <f>IF(M451, "", E451)</f>
      </c>
      <c r="P451" s="3">
        <f>COUNTIFS(FieldDisagreements!E2:E999, A451)</f>
        <v>0</v>
      </c>
      <c r="Q451" s="3" t="str">
        <f>_xlfn.IFNA(INDEX(ConformanceSubstrates!C2:C999, MATCH(D451,ConformanceSubstrates!A2:A999, 0)), "")</f>
        <v>Python</v>
      </c>
      <c r="R451" s="3" t="str">
        <f>_xlfn.IFNA(INDEX(RulebookTables!F2:F999, MATCH(E451,RulebookTables!A2:A999, 0)), "")</f>
        <v>specification</v>
      </c>
      <c r="S451" s="2" t="s">
        <v>1898</v>
      </c>
    </row>
    <row r="452">
      <c r="A452" s="2" t="s">
        <v>14459</v>
      </c>
      <c r="B452" s="3" t="str">
        <f>_xlfn.CONCAT(D452, " / ", E452)</f>
        <v>effortless-python / StepExecutions</v>
      </c>
      <c r="C452" s="2" t="s">
        <v>13999</v>
      </c>
      <c r="D452" s="2" t="s">
        <v>13963</v>
      </c>
      <c r="E452" s="2" t="s">
        <v>1807</v>
      </c>
      <c r="F452" s="2">
        <v>12</v>
      </c>
      <c r="G452" s="2">
        <v>99</v>
      </c>
      <c r="H452" s="2">
        <v>1188</v>
      </c>
      <c r="I452" s="2">
        <v>1188</v>
      </c>
      <c r="J452" s="2" t="b">
        <v>0</v>
      </c>
      <c r="K452" s="3">
        <f>H452 - I452</f>
        <v>0</v>
      </c>
      <c r="L452" s="3">
        <f>IF(H452 = 0, 0, ROUND(100 * I452 / H452, 2))</f>
        <v>100</v>
      </c>
      <c r="M452" s="3" t="b">
        <f>K452 = 0</f>
        <v>1</v>
      </c>
      <c r="N452" s="3" t="str">
        <f>IF(M452, "", D452)</f>
      </c>
      <c r="O452" s="3" t="str">
        <f>IF(M452, "", E452)</f>
      </c>
      <c r="P452" s="3">
        <f>COUNTIFS(FieldDisagreements!E2:E999, A452)</f>
        <v>0</v>
      </c>
      <c r="Q452" s="3" t="str">
        <f>_xlfn.IFNA(INDEX(ConformanceSubstrates!C2:C999, MATCH(D452,ConformanceSubstrates!A2:A999, 0)), "")</f>
        <v>Python</v>
      </c>
      <c r="R452" s="3" t="str">
        <f>_xlfn.IFNA(INDEX(RulebookTables!F2:F999, MATCH(E452,RulebookTables!A2:A999, 0)), "")</f>
        <v>specification</v>
      </c>
      <c r="S452" s="2" t="s">
        <v>1898</v>
      </c>
    </row>
    <row r="453">
      <c r="A453" s="2" t="s">
        <v>14460</v>
      </c>
      <c r="B453" s="3" t="str">
        <f>_xlfn.CONCAT(D453, " / ", E453)</f>
        <v>effortless-python / RequirementSatisfactions</v>
      </c>
      <c r="C453" s="2" t="s">
        <v>13999</v>
      </c>
      <c r="D453" s="2" t="s">
        <v>13963</v>
      </c>
      <c r="E453" s="2" t="s">
        <v>1810</v>
      </c>
      <c r="F453" s="2">
        <v>8</v>
      </c>
      <c r="G453" s="2">
        <v>38</v>
      </c>
      <c r="H453" s="2">
        <v>304</v>
      </c>
      <c r="I453" s="2">
        <v>304</v>
      </c>
      <c r="J453" s="2" t="b">
        <v>0</v>
      </c>
      <c r="K453" s="3">
        <f>H453 - I453</f>
        <v>0</v>
      </c>
      <c r="L453" s="3">
        <f>IF(H453 = 0, 0, ROUND(100 * I453 / H453, 2))</f>
        <v>100</v>
      </c>
      <c r="M453" s="3" t="b">
        <f>K453 = 0</f>
        <v>1</v>
      </c>
      <c r="N453" s="3" t="str">
        <f>IF(M453, "", D453)</f>
      </c>
      <c r="O453" s="3" t="str">
        <f>IF(M453, "", E453)</f>
      </c>
      <c r="P453" s="3">
        <f>COUNTIFS(FieldDisagreements!E2:E999, A453)</f>
        <v>0</v>
      </c>
      <c r="Q453" s="3" t="str">
        <f>_xlfn.IFNA(INDEX(ConformanceSubstrates!C2:C999, MATCH(D453,ConformanceSubstrates!A2:A999, 0)), "")</f>
        <v>Python</v>
      </c>
      <c r="R453" s="3" t="str">
        <f>_xlfn.IFNA(INDEX(RulebookTables!F2:F999, MATCH(E453,RulebookTables!A2:A999, 0)), "")</f>
        <v>execution</v>
      </c>
      <c r="S453" s="2" t="s">
        <v>1898</v>
      </c>
    </row>
    <row r="454">
      <c r="A454" s="2" t="s">
        <v>14461</v>
      </c>
      <c r="B454" s="3" t="str">
        <f>_xlfn.CONCAT(D454, " / ", E454)</f>
        <v>effortless-python / Errors</v>
      </c>
      <c r="C454" s="2" t="s">
        <v>13999</v>
      </c>
      <c r="D454" s="2" t="s">
        <v>13963</v>
      </c>
      <c r="E454" s="2" t="s">
        <v>1813</v>
      </c>
      <c r="F454" s="2">
        <v>2</v>
      </c>
      <c r="G454" s="2">
        <v>1</v>
      </c>
      <c r="H454" s="2">
        <v>2</v>
      </c>
      <c r="I454" s="2">
        <v>2</v>
      </c>
      <c r="J454" s="2" t="b">
        <v>0</v>
      </c>
      <c r="K454" s="3">
        <f>H454 - I454</f>
        <v>0</v>
      </c>
      <c r="L454" s="3">
        <f>IF(H454 = 0, 0, ROUND(100 * I454 / H454, 2))</f>
        <v>100</v>
      </c>
      <c r="M454" s="3" t="b">
        <f>K454 = 0</f>
        <v>1</v>
      </c>
      <c r="N454" s="3" t="str">
        <f>IF(M454, "", D454)</f>
      </c>
      <c r="O454" s="3" t="str">
        <f>IF(M454, "", E454)</f>
      </c>
      <c r="P454" s="3">
        <f>COUNTIFS(FieldDisagreements!E2:E999, A454)</f>
        <v>0</v>
      </c>
      <c r="Q454" s="3" t="str">
        <f>_xlfn.IFNA(INDEX(ConformanceSubstrates!C2:C999, MATCH(D454,ConformanceSubstrates!A2:A999, 0)), "")</f>
        <v>Python</v>
      </c>
      <c r="R454" s="3" t="str">
        <f>_xlfn.IFNA(INDEX(RulebookTables!F2:F999, MATCH(E454,RulebookTables!A2:A999, 0)), "")</f>
        <v>execution</v>
      </c>
      <c r="S454" s="2" t="s">
        <v>1898</v>
      </c>
    </row>
    <row r="455">
      <c r="A455" s="2" t="s">
        <v>14462</v>
      </c>
      <c r="B455" s="3" t="str">
        <f>_xlfn.CONCAT(D455, " / ", E455)</f>
        <v>effortless-python / IssueOccurrences</v>
      </c>
      <c r="C455" s="2" t="s">
        <v>13999</v>
      </c>
      <c r="D455" s="2" t="s">
        <v>13963</v>
      </c>
      <c r="E455" s="2" t="s">
        <v>1816</v>
      </c>
      <c r="F455" s="2">
        <v>2</v>
      </c>
      <c r="G455" s="2">
        <v>3</v>
      </c>
      <c r="H455" s="2">
        <v>6</v>
      </c>
      <c r="I455" s="2">
        <v>4</v>
      </c>
      <c r="J455" s="2" t="b">
        <v>0</v>
      </c>
      <c r="K455" s="3">
        <f>H455 - I455</f>
        <v>2</v>
      </c>
      <c r="L455" s="3">
        <f>IF(H455 = 0, 0, ROUND(100 * I455 / H455, 2))</f>
        <v>66.67</v>
      </c>
      <c r="M455" s="3" t="b">
        <f>K455 = 0</f>
        <v>0</v>
      </c>
      <c r="N455" s="3" t="str">
        <f>IF(M455, "", D455)</f>
        <v>effortless-python</v>
      </c>
      <c r="O455" s="3" t="str">
        <f>IF(M455, "", E455)</f>
        <v>IssueOccurrences</v>
      </c>
      <c r="P455" s="3">
        <f>COUNTIFS(FieldDisagreements!E2:E999, A455)</f>
        <v>1</v>
      </c>
      <c r="Q455" s="3" t="str">
        <f>_xlfn.IFNA(INDEX(ConformanceSubstrates!C2:C999, MATCH(D455,ConformanceSubstrates!A2:A999, 0)), "")</f>
        <v>Python</v>
      </c>
      <c r="R455" s="3" t="str">
        <f>_xlfn.IFNA(INDEX(RulebookTables!F2:F999, MATCH(E455,RulebookTables!A2:A999, 0)), "")</f>
        <v>execution</v>
      </c>
      <c r="S455" s="2" t="s">
        <v>1898</v>
      </c>
    </row>
    <row r="456">
      <c r="A456" s="2" t="s">
        <v>14463</v>
      </c>
      <c r="B456" s="3" t="str">
        <f>_xlfn.CONCAT(D456, " / ", E456)</f>
        <v>effortless-python / UserQuestions</v>
      </c>
      <c r="C456" s="2" t="s">
        <v>13999</v>
      </c>
      <c r="D456" s="2" t="s">
        <v>13963</v>
      </c>
      <c r="E456" s="2" t="s">
        <v>1819</v>
      </c>
      <c r="F456" s="2">
        <v>2</v>
      </c>
      <c r="G456" s="2">
        <v>1</v>
      </c>
      <c r="H456" s="2">
        <v>2</v>
      </c>
      <c r="I456" s="2">
        <v>2</v>
      </c>
      <c r="J456" s="2" t="b">
        <v>0</v>
      </c>
      <c r="K456" s="3">
        <f>H456 - I456</f>
        <v>0</v>
      </c>
      <c r="L456" s="3">
        <f>IF(H456 = 0, 0, ROUND(100 * I456 / H456, 2))</f>
        <v>100</v>
      </c>
      <c r="M456" s="3" t="b">
        <f>K456 = 0</f>
        <v>1</v>
      </c>
      <c r="N456" s="3" t="str">
        <f>IF(M456, "", D456)</f>
      </c>
      <c r="O456" s="3" t="str">
        <f>IF(M456, "", E456)</f>
      </c>
      <c r="P456" s="3">
        <f>COUNTIFS(FieldDisagreements!E2:E999, A456)</f>
        <v>0</v>
      </c>
      <c r="Q456" s="3" t="str">
        <f>_xlfn.IFNA(INDEX(ConformanceSubstrates!C2:C999, MATCH(D456,ConformanceSubstrates!A2:A999, 0)), "")</f>
        <v>Python</v>
      </c>
      <c r="R456" s="3" t="str">
        <f>_xlfn.IFNA(INDEX(RulebookTables!F2:F999, MATCH(E456,RulebookTables!A2:A999, 0)), "")</f>
        <v>domain</v>
      </c>
      <c r="S456" s="2" t="s">
        <v>1898</v>
      </c>
    </row>
    <row r="457">
      <c r="A457" s="2" t="s">
        <v>14464</v>
      </c>
      <c r="B457" s="3" t="str">
        <f>_xlfn.CONCAT(D457, " / ", E457)</f>
        <v>effortless-python / UserFeedback</v>
      </c>
      <c r="C457" s="2" t="s">
        <v>13999</v>
      </c>
      <c r="D457" s="2" t="s">
        <v>13963</v>
      </c>
      <c r="E457" s="2" t="s">
        <v>1822</v>
      </c>
      <c r="F457" s="2">
        <v>2</v>
      </c>
      <c r="G457" s="2">
        <v>1</v>
      </c>
      <c r="H457" s="2">
        <v>2</v>
      </c>
      <c r="I457" s="2">
        <v>2</v>
      </c>
      <c r="J457" s="2" t="b">
        <v>0</v>
      </c>
      <c r="K457" s="3">
        <f>H457 - I457</f>
        <v>0</v>
      </c>
      <c r="L457" s="3">
        <f>IF(H457 = 0, 0, ROUND(100 * I457 / H457, 2))</f>
        <v>100</v>
      </c>
      <c r="M457" s="3" t="b">
        <f>K457 = 0</f>
        <v>1</v>
      </c>
      <c r="N457" s="3" t="str">
        <f>IF(M457, "", D457)</f>
      </c>
      <c r="O457" s="3" t="str">
        <f>IF(M457, "", E457)</f>
      </c>
      <c r="P457" s="3">
        <f>COUNTIFS(FieldDisagreements!E2:E999, A457)</f>
        <v>0</v>
      </c>
      <c r="Q457" s="3" t="str">
        <f>_xlfn.IFNA(INDEX(ConformanceSubstrates!C2:C999, MATCH(D457,ConformanceSubstrates!A2:A999, 0)), "")</f>
        <v>Python</v>
      </c>
      <c r="R457" s="3" t="str">
        <f>_xlfn.IFNA(INDEX(RulebookTables!F2:F999, MATCH(E457,RulebookTables!A2:A999, 0)), "")</f>
        <v>domain</v>
      </c>
      <c r="S457" s="2" t="s">
        <v>1898</v>
      </c>
    </row>
    <row r="458">
      <c r="A458" s="2" t="s">
        <v>14465</v>
      </c>
      <c r="B458" s="3" t="str">
        <f>_xlfn.CONCAT(D458, " / ", E458)</f>
        <v>effortless-python / StewardshipAssignments</v>
      </c>
      <c r="C458" s="2" t="s">
        <v>13999</v>
      </c>
      <c r="D458" s="2" t="s">
        <v>13963</v>
      </c>
      <c r="E458" s="2" t="s">
        <v>1839</v>
      </c>
      <c r="F458" s="2">
        <v>2</v>
      </c>
      <c r="G458" s="2">
        <v>5</v>
      </c>
      <c r="H458" s="2">
        <v>10</v>
      </c>
      <c r="I458" s="2">
        <v>10</v>
      </c>
      <c r="J458" s="2" t="b">
        <v>0</v>
      </c>
      <c r="K458" s="3">
        <f>H458 - I458</f>
        <v>0</v>
      </c>
      <c r="L458" s="3">
        <f>IF(H458 = 0, 0, ROUND(100 * I458 / H458, 2))</f>
        <v>100</v>
      </c>
      <c r="M458" s="3" t="b">
        <f>K458 = 0</f>
        <v>1</v>
      </c>
      <c r="N458" s="3" t="str">
        <f>IF(M458, "", D458)</f>
      </c>
      <c r="O458" s="3" t="str">
        <f>IF(M458, "", E458)</f>
      </c>
      <c r="P458" s="3">
        <f>COUNTIFS(FieldDisagreements!E2:E999, A458)</f>
        <v>0</v>
      </c>
      <c r="Q458" s="3" t="str">
        <f>_xlfn.IFNA(INDEX(ConformanceSubstrates!C2:C999, MATCH(D458,ConformanceSubstrates!A2:A999, 0)), "")</f>
        <v>Python</v>
      </c>
      <c r="R458" s="3" t="str">
        <f>_xlfn.IFNA(INDEX(RulebookTables!F2:F999, MATCH(E458,RulebookTables!A2:A999, 0)), "")</f>
        <v>org</v>
      </c>
      <c r="S458" s="2" t="s">
        <v>1898</v>
      </c>
    </row>
    <row r="459">
      <c r="A459" s="2" t="s">
        <v>14466</v>
      </c>
      <c r="B459" s="3" t="str">
        <f>_xlfn.CONCAT(D459, " / ", E459)</f>
        <v>effortless-python / ChangeRequests</v>
      </c>
      <c r="C459" s="2" t="s">
        <v>13999</v>
      </c>
      <c r="D459" s="2" t="s">
        <v>13963</v>
      </c>
      <c r="E459" s="2" t="s">
        <v>3848</v>
      </c>
      <c r="F459" s="2">
        <v>2</v>
      </c>
      <c r="G459" s="2">
        <v>32</v>
      </c>
      <c r="H459" s="2">
        <v>64</v>
      </c>
      <c r="I459" s="2">
        <v>62</v>
      </c>
      <c r="J459" s="2" t="b">
        <v>0</v>
      </c>
      <c r="K459" s="3">
        <f>H459 - I459</f>
        <v>2</v>
      </c>
      <c r="L459" s="3">
        <f>IF(H459 = 0, 0, ROUND(100 * I459 / H459, 2))</f>
        <v>96.88</v>
      </c>
      <c r="M459" s="3" t="b">
        <f>K459 = 0</f>
        <v>0</v>
      </c>
      <c r="N459" s="3" t="str">
        <f>IF(M459, "", D459)</f>
        <v>effortless-python</v>
      </c>
      <c r="O459" s="3" t="str">
        <f>IF(M459, "", E459)</f>
        <v>ChangeRequests</v>
      </c>
      <c r="P459" s="3">
        <f>COUNTIFS(FieldDisagreements!E2:E999, A459)</f>
        <v>2</v>
      </c>
      <c r="Q459" s="3" t="str">
        <f>_xlfn.IFNA(INDEX(ConformanceSubstrates!C2:C999, MATCH(D459,ConformanceSubstrates!A2:A999, 0)), "")</f>
        <v>Python</v>
      </c>
      <c r="R459" s="3" t="str">
        <f>_xlfn.IFNA(INDEX(RulebookTables!F2:F999, MATCH(E459,RulebookTables!A2:A999, 0)), "")</f>
        <v>domain</v>
      </c>
      <c r="S459" s="2" t="s">
        <v>1898</v>
      </c>
    </row>
    <row r="460">
      <c r="A460" s="2" t="s">
        <v>14467</v>
      </c>
      <c r="B460" s="3" t="str">
        <f>_xlfn.CONCAT(D460, " / ", E460)</f>
        <v>effortless-python / ReviewEvents</v>
      </c>
      <c r="C460" s="2" t="s">
        <v>13999</v>
      </c>
      <c r="D460" s="2" t="s">
        <v>13963</v>
      </c>
      <c r="E460" s="2" t="s">
        <v>3922</v>
      </c>
      <c r="F460" s="2">
        <v>3</v>
      </c>
      <c r="G460" s="2">
        <v>10</v>
      </c>
      <c r="H460" s="2">
        <v>30</v>
      </c>
      <c r="I460" s="2">
        <v>24</v>
      </c>
      <c r="J460" s="2" t="b">
        <v>0</v>
      </c>
      <c r="K460" s="3">
        <f>H460 - I460</f>
        <v>6</v>
      </c>
      <c r="L460" s="3">
        <f>IF(H460 = 0, 0, ROUND(100 * I460 / H460, 2))</f>
        <v>80</v>
      </c>
      <c r="M460" s="3" t="b">
        <f>K460 = 0</f>
        <v>0</v>
      </c>
      <c r="N460" s="3" t="str">
        <f>IF(M460, "", D460)</f>
        <v>effortless-python</v>
      </c>
      <c r="O460" s="3" t="str">
        <f>IF(M460, "", E460)</f>
        <v>ReviewEvents</v>
      </c>
      <c r="P460" s="3">
        <f>COUNTIFS(FieldDisagreements!E2:E999, A460)</f>
        <v>2</v>
      </c>
      <c r="Q460" s="3" t="str">
        <f>_xlfn.IFNA(INDEX(ConformanceSubstrates!C2:C999, MATCH(D460,ConformanceSubstrates!A2:A999, 0)), "")</f>
        <v>Python</v>
      </c>
      <c r="R460" s="3" t="str">
        <f>_xlfn.IFNA(INDEX(RulebookTables!F2:F999, MATCH(E460,RulebookTables!A2:A999, 0)), "")</f>
        <v>domain</v>
      </c>
      <c r="S460" s="2" t="s">
        <v>1898</v>
      </c>
    </row>
    <row r="461">
      <c r="A461" s="2" t="s">
        <v>14468</v>
      </c>
      <c r="B461" s="3" t="str">
        <f>_xlfn.CONCAT(D461, " / ", E461)</f>
        <v>effortless-python / LearningActivities</v>
      </c>
      <c r="C461" s="2" t="s">
        <v>13999</v>
      </c>
      <c r="D461" s="2" t="s">
        <v>13963</v>
      </c>
      <c r="E461" s="2" t="s">
        <v>3951</v>
      </c>
      <c r="F461" s="2">
        <v>2</v>
      </c>
      <c r="G461" s="2">
        <v>1</v>
      </c>
      <c r="H461" s="2">
        <v>2</v>
      </c>
      <c r="I461" s="2">
        <v>0</v>
      </c>
      <c r="J461" s="2" t="b">
        <v>0</v>
      </c>
      <c r="K461" s="3">
        <f>H461 - I461</f>
        <v>2</v>
      </c>
      <c r="L461" s="3">
        <f>IF(H461 = 0, 0, ROUND(100 * I461 / H461, 2))</f>
        <v>0</v>
      </c>
      <c r="M461" s="3" t="b">
        <f>K461 = 0</f>
        <v>0</v>
      </c>
      <c r="N461" s="3" t="str">
        <f>IF(M461, "", D461)</f>
        <v>effortless-python</v>
      </c>
      <c r="O461" s="3" t="str">
        <f>IF(M461, "", E461)</f>
        <v>LearningActivities</v>
      </c>
      <c r="P461" s="3">
        <f>COUNTIFS(FieldDisagreements!E2:E999, A461)</f>
        <v>1</v>
      </c>
      <c r="Q461" s="3" t="str">
        <f>_xlfn.IFNA(INDEX(ConformanceSubstrates!C2:C999, MATCH(D461,ConformanceSubstrates!A2:A999, 0)), "")</f>
        <v>Python</v>
      </c>
      <c r="R461" s="3" t="str">
        <f>_xlfn.IFNA(INDEX(RulebookTables!F2:F999, MATCH(E461,RulebookTables!A2:A999, 0)), "")</f>
        <v>domain</v>
      </c>
      <c r="S461" s="2" t="s">
        <v>1898</v>
      </c>
    </row>
    <row r="462">
      <c r="A462" s="2" t="s">
        <v>14469</v>
      </c>
      <c r="B462" s="3" t="str">
        <f>_xlfn.CONCAT(D462, " / ", E462)</f>
        <v>effortless-python / OperationalBindings</v>
      </c>
      <c r="C462" s="2" t="s">
        <v>13999</v>
      </c>
      <c r="D462" s="2" t="s">
        <v>13963</v>
      </c>
      <c r="E462" s="2" t="s">
        <v>1842</v>
      </c>
      <c r="F462" s="2">
        <v>5</v>
      </c>
      <c r="G462" s="2">
        <v>11</v>
      </c>
      <c r="H462" s="2">
        <v>55</v>
      </c>
      <c r="I462" s="2">
        <v>55</v>
      </c>
      <c r="J462" s="2" t="b">
        <v>0</v>
      </c>
      <c r="K462" s="3">
        <f>H462 - I462</f>
        <v>0</v>
      </c>
      <c r="L462" s="3">
        <f>IF(H462 = 0, 0, ROUND(100 * I462 / H462, 2))</f>
        <v>100</v>
      </c>
      <c r="M462" s="3" t="b">
        <f>K462 = 0</f>
        <v>1</v>
      </c>
      <c r="N462" s="3" t="str">
        <f>IF(M462, "", D462)</f>
      </c>
      <c r="O462" s="3" t="str">
        <f>IF(M462, "", E462)</f>
      </c>
      <c r="P462" s="3">
        <f>COUNTIFS(FieldDisagreements!E2:E999, A462)</f>
        <v>0</v>
      </c>
      <c r="Q462" s="3" t="str">
        <f>_xlfn.IFNA(INDEX(ConformanceSubstrates!C2:C999, MATCH(D462,ConformanceSubstrates!A2:A999, 0)), "")</f>
        <v>Python</v>
      </c>
      <c r="R462" s="3" t="str">
        <f>_xlfn.IFNA(INDEX(RulebookTables!F2:F999, MATCH(E462,RulebookTables!A2:A999, 0)), "")</f>
        <v>domain</v>
      </c>
      <c r="S462" s="2" t="s">
        <v>1898</v>
      </c>
    </row>
    <row r="463">
      <c r="A463" s="2" t="s">
        <v>14470</v>
      </c>
      <c r="B463" s="3" t="str">
        <f>_xlfn.CONCAT(D463, " / ", E463)</f>
        <v>effortless-python / CommunicationPolicies</v>
      </c>
      <c r="C463" s="2" t="s">
        <v>13999</v>
      </c>
      <c r="D463" s="2" t="s">
        <v>13963</v>
      </c>
      <c r="E463" s="2" t="s">
        <v>1845</v>
      </c>
      <c r="F463" s="2">
        <v>2</v>
      </c>
      <c r="G463" s="2">
        <v>4</v>
      </c>
      <c r="H463" s="2">
        <v>8</v>
      </c>
      <c r="I463" s="2">
        <v>8</v>
      </c>
      <c r="J463" s="2" t="b">
        <v>0</v>
      </c>
      <c r="K463" s="3">
        <f>H463 - I463</f>
        <v>0</v>
      </c>
      <c r="L463" s="3">
        <f>IF(H463 = 0, 0, ROUND(100 * I463 / H463, 2))</f>
        <v>100</v>
      </c>
      <c r="M463" s="3" t="b">
        <f>K463 = 0</f>
        <v>1</v>
      </c>
      <c r="N463" s="3" t="str">
        <f>IF(M463, "", D463)</f>
      </c>
      <c r="O463" s="3" t="str">
        <f>IF(M463, "", E463)</f>
      </c>
      <c r="P463" s="3">
        <f>COUNTIFS(FieldDisagreements!E2:E999, A463)</f>
        <v>0</v>
      </c>
      <c r="Q463" s="3" t="str">
        <f>_xlfn.IFNA(INDEX(ConformanceSubstrates!C2:C999, MATCH(D463,ConformanceSubstrates!A2:A999, 0)), "")</f>
        <v>Python</v>
      </c>
      <c r="R463" s="3" t="str">
        <f>_xlfn.IFNA(INDEX(RulebookTables!F2:F999, MATCH(E463,RulebookTables!A2:A999, 0)), "")</f>
        <v>communication</v>
      </c>
      <c r="S463" s="2" t="s">
        <v>1898</v>
      </c>
    </row>
    <row r="464">
      <c r="A464" s="2" t="s">
        <v>14471</v>
      </c>
      <c r="B464" s="3" t="str">
        <f>_xlfn.CONCAT(D464, " / ", E464)</f>
        <v>effortless-python / MessageTemplates</v>
      </c>
      <c r="C464" s="2" t="s">
        <v>13999</v>
      </c>
      <c r="D464" s="2" t="s">
        <v>13963</v>
      </c>
      <c r="E464" s="2" t="s">
        <v>4021</v>
      </c>
      <c r="F464" s="2">
        <v>2</v>
      </c>
      <c r="G464" s="2">
        <v>16</v>
      </c>
      <c r="H464" s="2">
        <v>32</v>
      </c>
      <c r="I464" s="2">
        <v>32</v>
      </c>
      <c r="J464" s="2" t="b">
        <v>0</v>
      </c>
      <c r="K464" s="3">
        <f>H464 - I464</f>
        <v>0</v>
      </c>
      <c r="L464" s="3">
        <f>IF(H464 = 0, 0, ROUND(100 * I464 / H464, 2))</f>
        <v>100</v>
      </c>
      <c r="M464" s="3" t="b">
        <f>K464 = 0</f>
        <v>1</v>
      </c>
      <c r="N464" s="3" t="str">
        <f>IF(M464, "", D464)</f>
      </c>
      <c r="O464" s="3" t="str">
        <f>IF(M464, "", E464)</f>
      </c>
      <c r="P464" s="3">
        <f>COUNTIFS(FieldDisagreements!E2:E999, A464)</f>
        <v>0</v>
      </c>
      <c r="Q464" s="3" t="str">
        <f>_xlfn.IFNA(INDEX(ConformanceSubstrates!C2:C999, MATCH(D464,ConformanceSubstrates!A2:A999, 0)), "")</f>
        <v>Python</v>
      </c>
      <c r="R464" s="3" t="str">
        <f>_xlfn.IFNA(INDEX(RulebookTables!F2:F999, MATCH(E464,RulebookTables!A2:A999, 0)), "")</f>
        <v>communication</v>
      </c>
      <c r="S464" s="2" t="s">
        <v>1898</v>
      </c>
    </row>
    <row r="465">
      <c r="A465" s="2" t="s">
        <v>14472</v>
      </c>
      <c r="B465" s="3" t="str">
        <f>_xlfn.CONCAT(D465, " / ", E465)</f>
        <v>effortless-python / SemanticMappings</v>
      </c>
      <c r="C465" s="2" t="s">
        <v>13999</v>
      </c>
      <c r="D465" s="2" t="s">
        <v>13963</v>
      </c>
      <c r="E465" s="2" t="s">
        <v>4064</v>
      </c>
      <c r="F465" s="2">
        <v>47</v>
      </c>
      <c r="G465" s="2">
        <v>1</v>
      </c>
      <c r="H465" s="2">
        <v>47</v>
      </c>
      <c r="I465" s="2">
        <v>47</v>
      </c>
      <c r="J465" s="2" t="b">
        <v>0</v>
      </c>
      <c r="K465" s="3">
        <f>H465 - I465</f>
        <v>0</v>
      </c>
      <c r="L465" s="3">
        <f>IF(H465 = 0, 0, ROUND(100 * I465 / H465, 2))</f>
        <v>100</v>
      </c>
      <c r="M465" s="3" t="b">
        <f>K465 = 0</f>
        <v>1</v>
      </c>
      <c r="N465" s="3" t="str">
        <f>IF(M465, "", D465)</f>
      </c>
      <c r="O465" s="3" t="str">
        <f>IF(M465, "", E465)</f>
      </c>
      <c r="P465" s="3">
        <f>COUNTIFS(FieldDisagreements!E2:E999, A465)</f>
        <v>0</v>
      </c>
      <c r="Q465" s="3" t="str">
        <f>_xlfn.IFNA(INDEX(ConformanceSubstrates!C2:C999, MATCH(D465,ConformanceSubstrates!A2:A999, 0)), "")</f>
        <v>Python</v>
      </c>
      <c r="R465" s="3" t="str">
        <f>_xlfn.IFNA(INDEX(RulebookTables!F2:F999, MATCH(E465,RulebookTables!A2:A999, 0)), "")</f>
        <v>meta</v>
      </c>
      <c r="S465" s="2" t="s">
        <v>1898</v>
      </c>
    </row>
    <row r="466">
      <c r="A466" s="2" t="s">
        <v>14473</v>
      </c>
      <c r="B466" s="3" t="str">
        <f>_xlfn.CONCAT(D466, " / ", E466)</f>
        <v>effortless-python / WitnessLoops</v>
      </c>
      <c r="C466" s="2" t="s">
        <v>13999</v>
      </c>
      <c r="D466" s="2" t="s">
        <v>13963</v>
      </c>
      <c r="E466" s="2" t="s">
        <v>4074</v>
      </c>
      <c r="F466" s="2">
        <v>3</v>
      </c>
      <c r="G466" s="2">
        <v>3</v>
      </c>
      <c r="H466" s="2">
        <v>9</v>
      </c>
      <c r="I466" s="2">
        <v>9</v>
      </c>
      <c r="J466" s="2" t="b">
        <v>0</v>
      </c>
      <c r="K466" s="3">
        <f>H466 - I466</f>
        <v>0</v>
      </c>
      <c r="L466" s="3">
        <f>IF(H466 = 0, 0, ROUND(100 * I466 / H466, 2))</f>
        <v>100</v>
      </c>
      <c r="M466" s="3" t="b">
        <f>K466 = 0</f>
        <v>1</v>
      </c>
      <c r="N466" s="3" t="str">
        <f>IF(M466, "", D466)</f>
      </c>
      <c r="O466" s="3" t="str">
        <f>IF(M466, "", E466)</f>
      </c>
      <c r="P466" s="3">
        <f>COUNTIFS(FieldDisagreements!E2:E999, A466)</f>
        <v>0</v>
      </c>
      <c r="Q466" s="3" t="str">
        <f>_xlfn.IFNA(INDEX(ConformanceSubstrates!C2:C999, MATCH(D466,ConformanceSubstrates!A2:A999, 0)), "")</f>
        <v>Python</v>
      </c>
      <c r="R466" s="3" t="str">
        <f>_xlfn.IFNA(INDEX(RulebookTables!F2:F999, MATCH(E466,RulebookTables!A2:A999, 0)), "")</f>
        <v>meta</v>
      </c>
      <c r="S466" s="2" t="s">
        <v>1898</v>
      </c>
    </row>
    <row r="467">
      <c r="A467" s="2" t="s">
        <v>14474</v>
      </c>
      <c r="B467" s="3" t="str">
        <f>_xlfn.CONCAT(D467, " / ", E467)</f>
        <v>effortless-python / RoleQuestions</v>
      </c>
      <c r="C467" s="2" t="s">
        <v>13999</v>
      </c>
      <c r="D467" s="2" t="s">
        <v>13963</v>
      </c>
      <c r="E467" s="2" t="s">
        <v>4091</v>
      </c>
      <c r="F467" s="2">
        <v>109</v>
      </c>
      <c r="G467" s="2">
        <v>3</v>
      </c>
      <c r="H467" s="2">
        <v>327</v>
      </c>
      <c r="I467" s="2">
        <v>327</v>
      </c>
      <c r="J467" s="2" t="b">
        <v>0</v>
      </c>
      <c r="K467" s="3">
        <f>H467 - I467</f>
        <v>0</v>
      </c>
      <c r="L467" s="3">
        <f>IF(H467 = 0, 0, ROUND(100 * I467 / H467, 2))</f>
        <v>100</v>
      </c>
      <c r="M467" s="3" t="b">
        <f>K467 = 0</f>
        <v>1</v>
      </c>
      <c r="N467" s="3" t="str">
        <f>IF(M467, "", D467)</f>
      </c>
      <c r="O467" s="3" t="str">
        <f>IF(M467, "", E467)</f>
      </c>
      <c r="P467" s="3">
        <f>COUNTIFS(FieldDisagreements!E2:E999, A467)</f>
        <v>0</v>
      </c>
      <c r="Q467" s="3" t="str">
        <f>_xlfn.IFNA(INDEX(ConformanceSubstrates!C2:C999, MATCH(D467,ConformanceSubstrates!A2:A999, 0)), "")</f>
        <v>Python</v>
      </c>
      <c r="R467" s="3" t="str">
        <f>_xlfn.IFNA(INDEX(RulebookTables!F2:F999, MATCH(E467,RulebookTables!A2:A999, 0)), "")</f>
        <v>org</v>
      </c>
      <c r="S467" s="2" t="s">
        <v>1898</v>
      </c>
    </row>
    <row r="468">
      <c r="A468" s="2" t="s">
        <v>14475</v>
      </c>
      <c r="B468" s="3" t="str">
        <f>_xlfn.CONCAT(D468, " / ", E468)</f>
        <v>effortless-python / RulebookFields</v>
      </c>
      <c r="C468" s="2" t="s">
        <v>13999</v>
      </c>
      <c r="D468" s="2" t="s">
        <v>13963</v>
      </c>
      <c r="E468" s="2" t="s">
        <v>4106</v>
      </c>
      <c r="F468" s="2">
        <v>1879</v>
      </c>
      <c r="G468" s="2">
        <v>5</v>
      </c>
      <c r="H468" s="2">
        <v>9395</v>
      </c>
      <c r="I468" s="2">
        <v>9395</v>
      </c>
      <c r="J468" s="2" t="b">
        <v>0</v>
      </c>
      <c r="K468" s="3">
        <f>H468 - I468</f>
        <v>0</v>
      </c>
      <c r="L468" s="3">
        <f>IF(H468 = 0, 0, ROUND(100 * I468 / H468, 2))</f>
        <v>100</v>
      </c>
      <c r="M468" s="3" t="b">
        <f>K468 = 0</f>
        <v>1</v>
      </c>
      <c r="N468" s="3" t="str">
        <f>IF(M468, "", D468)</f>
      </c>
      <c r="O468" s="3" t="str">
        <f>IF(M468, "", E468)</f>
      </c>
      <c r="P468" s="3">
        <f>COUNTIFS(FieldDisagreements!E2:E999, A468)</f>
        <v>0</v>
      </c>
      <c r="Q468" s="3" t="str">
        <f>_xlfn.IFNA(INDEX(ConformanceSubstrates!C2:C999, MATCH(D468,ConformanceSubstrates!A2:A999, 0)), "")</f>
        <v>Python</v>
      </c>
      <c r="R468" s="3" t="str">
        <f>_xlfn.IFNA(INDEX(RulebookTables!F2:F999, MATCH(E468,RulebookTables!A2:A999, 0)), "")</f>
        <v>access-control</v>
      </c>
      <c r="S468" s="2" t="s">
        <v>1898</v>
      </c>
    </row>
    <row r="469">
      <c r="A469" s="2" t="s">
        <v>14476</v>
      </c>
      <c r="B469" s="3" t="str">
        <f>_xlfn.CONCAT(D469, " / ", E469)</f>
        <v>effortless-python / TestSuites</v>
      </c>
      <c r="C469" s="2" t="s">
        <v>13999</v>
      </c>
      <c r="D469" s="2" t="s">
        <v>13963</v>
      </c>
      <c r="E469" s="2" t="s">
        <v>4125</v>
      </c>
      <c r="F469" s="2">
        <v>6</v>
      </c>
      <c r="G469" s="2">
        <v>5</v>
      </c>
      <c r="H469" s="2">
        <v>30</v>
      </c>
      <c r="I469" s="2">
        <v>30</v>
      </c>
      <c r="J469" s="2" t="b">
        <v>0</v>
      </c>
      <c r="K469" s="3">
        <f>H469 - I469</f>
        <v>0</v>
      </c>
      <c r="L469" s="3">
        <f>IF(H469 = 0, 0, ROUND(100 * I469 / H469, 2))</f>
        <v>100</v>
      </c>
      <c r="M469" s="3" t="b">
        <f>K469 = 0</f>
        <v>1</v>
      </c>
      <c r="N469" s="3" t="str">
        <f>IF(M469, "", D469)</f>
      </c>
      <c r="O469" s="3" t="str">
        <f>IF(M469, "", E469)</f>
      </c>
      <c r="P469" s="3">
        <f>COUNTIFS(FieldDisagreements!E2:E999, A469)</f>
        <v>0</v>
      </c>
      <c r="Q469" s="3" t="str">
        <f>_xlfn.IFNA(INDEX(ConformanceSubstrates!C2:C999, MATCH(D469,ConformanceSubstrates!A2:A999, 0)), "")</f>
        <v>Python</v>
      </c>
      <c r="R469" s="3" t="str">
        <f>_xlfn.IFNA(INDEX(RulebookTables!F2:F999, MATCH(E469,RulebookTables!A2:A999, 0)), "")</f>
        <v>meta</v>
      </c>
      <c r="S469" s="2" t="s">
        <v>1898</v>
      </c>
    </row>
    <row r="470">
      <c r="A470" s="2" t="s">
        <v>14477</v>
      </c>
      <c r="B470" s="3" t="str">
        <f>_xlfn.CONCAT(D470, " / ", E470)</f>
        <v>effortless-python / TestCases</v>
      </c>
      <c r="C470" s="2" t="s">
        <v>13999</v>
      </c>
      <c r="D470" s="2" t="s">
        <v>13963</v>
      </c>
      <c r="E470" s="2" t="s">
        <v>4143</v>
      </c>
      <c r="F470" s="2">
        <v>1794</v>
      </c>
      <c r="G470" s="2">
        <v>7</v>
      </c>
      <c r="H470" s="2">
        <v>12558</v>
      </c>
      <c r="I470" s="2">
        <v>12558</v>
      </c>
      <c r="J470" s="2" t="b">
        <v>0</v>
      </c>
      <c r="K470" s="3">
        <f>H470 - I470</f>
        <v>0</v>
      </c>
      <c r="L470" s="3">
        <f>IF(H470 = 0, 0, ROUND(100 * I470 / H470, 2))</f>
        <v>100</v>
      </c>
      <c r="M470" s="3" t="b">
        <f>K470 = 0</f>
        <v>1</v>
      </c>
      <c r="N470" s="3" t="str">
        <f>IF(M470, "", D470)</f>
      </c>
      <c r="O470" s="3" t="str">
        <f>IF(M470, "", E470)</f>
      </c>
      <c r="P470" s="3">
        <f>COUNTIFS(FieldDisagreements!E2:E999, A470)</f>
        <v>0</v>
      </c>
      <c r="Q470" s="3" t="str">
        <f>_xlfn.IFNA(INDEX(ConformanceSubstrates!C2:C999, MATCH(D470,ConformanceSubstrates!A2:A999, 0)), "")</f>
        <v>Python</v>
      </c>
      <c r="R470" s="3" t="str">
        <f>_xlfn.IFNA(INDEX(RulebookTables!F2:F999, MATCH(E470,RulebookTables!A2:A999, 0)), "")</f>
        <v>meta</v>
      </c>
      <c r="S470" s="2" t="s">
        <v>1898</v>
      </c>
    </row>
    <row r="471">
      <c r="A471" s="2" t="s">
        <v>14478</v>
      </c>
      <c r="B471" s="3" t="str">
        <f>_xlfn.CONCAT(D471, " / ", E471)</f>
        <v>effortless-python / ExceptionInvocations</v>
      </c>
      <c r="C471" s="2" t="s">
        <v>13999</v>
      </c>
      <c r="D471" s="2" t="s">
        <v>13963</v>
      </c>
      <c r="E471" s="2" t="s">
        <v>4221</v>
      </c>
      <c r="F471" s="2">
        <v>1</v>
      </c>
      <c r="G471" s="2">
        <v>13</v>
      </c>
      <c r="H471" s="2">
        <v>13</v>
      </c>
      <c r="I471" s="2">
        <v>13</v>
      </c>
      <c r="J471" s="2" t="b">
        <v>0</v>
      </c>
      <c r="K471" s="3">
        <f>H471 - I471</f>
        <v>0</v>
      </c>
      <c r="L471" s="3">
        <f>IF(H471 = 0, 0, ROUND(100 * I471 / H471, 2))</f>
        <v>100</v>
      </c>
      <c r="M471" s="3" t="b">
        <f>K471 = 0</f>
        <v>1</v>
      </c>
      <c r="N471" s="3" t="str">
        <f>IF(M471, "", D471)</f>
      </c>
      <c r="O471" s="3" t="str">
        <f>IF(M471, "", E471)</f>
      </c>
      <c r="P471" s="3">
        <f>COUNTIFS(FieldDisagreements!E2:E999, A471)</f>
        <v>0</v>
      </c>
      <c r="Q471" s="3" t="str">
        <f>_xlfn.IFNA(INDEX(ConformanceSubstrates!C2:C999, MATCH(D471,ConformanceSubstrates!A2:A999, 0)), "")</f>
        <v>Python</v>
      </c>
      <c r="R471" s="3" t="str">
        <f>_xlfn.IFNA(INDEX(RulebookTables!F2:F999, MATCH(E471,RulebookTables!A2:A999, 0)), "")</f>
        <v>governance</v>
      </c>
      <c r="S471" s="2" t="s">
        <v>1898</v>
      </c>
    </row>
    <row r="472">
      <c r="A472" s="2" t="s">
        <v>14479</v>
      </c>
      <c r="B472" s="3" t="str">
        <f>_xlfn.CONCAT(D472, " / ", E472)</f>
        <v>effortless-python / VerificationOutcomes</v>
      </c>
      <c r="C472" s="2" t="s">
        <v>13999</v>
      </c>
      <c r="D472" s="2" t="s">
        <v>13963</v>
      </c>
      <c r="E472" s="2" t="s">
        <v>4271</v>
      </c>
      <c r="F472" s="2">
        <v>4</v>
      </c>
      <c r="G472" s="2">
        <v>18</v>
      </c>
      <c r="H472" s="2">
        <v>72</v>
      </c>
      <c r="I472" s="2">
        <v>72</v>
      </c>
      <c r="J472" s="2" t="b">
        <v>0</v>
      </c>
      <c r="K472" s="3">
        <f>H472 - I472</f>
        <v>0</v>
      </c>
      <c r="L472" s="3">
        <f>IF(H472 = 0, 0, ROUND(100 * I472 / H472, 2))</f>
        <v>100</v>
      </c>
      <c r="M472" s="3" t="b">
        <f>K472 = 0</f>
        <v>1</v>
      </c>
      <c r="N472" s="3" t="str">
        <f>IF(M472, "", D472)</f>
      </c>
      <c r="O472" s="3" t="str">
        <f>IF(M472, "", E472)</f>
      </c>
      <c r="P472" s="3">
        <f>COUNTIFS(FieldDisagreements!E2:E999, A472)</f>
        <v>0</v>
      </c>
      <c r="Q472" s="3" t="str">
        <f>_xlfn.IFNA(INDEX(ConformanceSubstrates!C2:C999, MATCH(D472,ConformanceSubstrates!A2:A999, 0)), "")</f>
        <v>Python</v>
      </c>
      <c r="R472" s="3" t="str">
        <f>_xlfn.IFNA(INDEX(RulebookTables!F2:F999, MATCH(E472,RulebookTables!A2:A999, 0)), "")</f>
        <v>execution</v>
      </c>
      <c r="S472" s="2" t="s">
        <v>1898</v>
      </c>
    </row>
    <row r="473">
      <c r="A473" s="2" t="s">
        <v>14480</v>
      </c>
      <c r="B473" s="3" t="str">
        <f>_xlfn.CONCAT(D473, " / ", E473)</f>
        <v>effortless-python / ObservedTransitions</v>
      </c>
      <c r="C473" s="2" t="s">
        <v>13999</v>
      </c>
      <c r="D473" s="2" t="s">
        <v>13963</v>
      </c>
      <c r="E473" s="2" t="s">
        <v>4332</v>
      </c>
      <c r="F473" s="2">
        <v>10</v>
      </c>
      <c r="G473" s="2">
        <v>1</v>
      </c>
      <c r="H473" s="2">
        <v>10</v>
      </c>
      <c r="I473" s="2">
        <v>0</v>
      </c>
      <c r="J473" s="2" t="b">
        <v>0</v>
      </c>
      <c r="K473" s="3">
        <f>H473 - I473</f>
        <v>10</v>
      </c>
      <c r="L473" s="3">
        <f>IF(H473 = 0, 0, ROUND(100 * I473 / H473, 2))</f>
        <v>0</v>
      </c>
      <c r="M473" s="3" t="b">
        <f>K473 = 0</f>
        <v>0</v>
      </c>
      <c r="N473" s="3" t="str">
        <f>IF(M473, "", D473)</f>
        <v>effortless-python</v>
      </c>
      <c r="O473" s="3" t="str">
        <f>IF(M473, "", E473)</f>
        <v>ObservedTransitions</v>
      </c>
      <c r="P473" s="3">
        <f>COUNTIFS(FieldDisagreements!E2:E999, A473)</f>
        <v>1</v>
      </c>
      <c r="Q473" s="3" t="str">
        <f>_xlfn.IFNA(INDEX(ConformanceSubstrates!C2:C999, MATCH(D473,ConformanceSubstrates!A2:A999, 0)), "")</f>
        <v>Python</v>
      </c>
      <c r="R473" s="3" t="str">
        <f>_xlfn.IFNA(INDEX(RulebookTables!F2:F999, MATCH(E473,RulebookTables!A2:A999, 0)), "")</f>
        <v>specification</v>
      </c>
      <c r="S473" s="2" t="s">
        <v>1898</v>
      </c>
    </row>
    <row r="474">
      <c r="A474" s="2" t="s">
        <v>14481</v>
      </c>
      <c r="B474" s="3" t="str">
        <f>_xlfn.CONCAT(D474, " / ", E474)</f>
        <v>effortless-python / Recipients</v>
      </c>
      <c r="C474" s="2" t="s">
        <v>13999</v>
      </c>
      <c r="D474" s="2" t="s">
        <v>13963</v>
      </c>
      <c r="E474" s="2" t="s">
        <v>4346</v>
      </c>
      <c r="F474" s="2">
        <v>5</v>
      </c>
      <c r="G474" s="2">
        <v>6</v>
      </c>
      <c r="H474" s="2">
        <v>30</v>
      </c>
      <c r="I474" s="2">
        <v>30</v>
      </c>
      <c r="J474" s="2" t="b">
        <v>0</v>
      </c>
      <c r="K474" s="3">
        <f>H474 - I474</f>
        <v>0</v>
      </c>
      <c r="L474" s="3">
        <f>IF(H474 = 0, 0, ROUND(100 * I474 / H474, 2))</f>
        <v>100</v>
      </c>
      <c r="M474" s="3" t="b">
        <f>K474 = 0</f>
        <v>1</v>
      </c>
      <c r="N474" s="3" t="str">
        <f>IF(M474, "", D474)</f>
      </c>
      <c r="O474" s="3" t="str">
        <f>IF(M474, "", E474)</f>
      </c>
      <c r="P474" s="3">
        <f>COUNTIFS(FieldDisagreements!E2:E999, A474)</f>
        <v>0</v>
      </c>
      <c r="Q474" s="3" t="str">
        <f>_xlfn.IFNA(INDEX(ConformanceSubstrates!C2:C999, MATCH(D474,ConformanceSubstrates!A2:A999, 0)), "")</f>
        <v>Python</v>
      </c>
      <c r="R474" s="3" t="str">
        <f>_xlfn.IFNA(INDEX(RulebookTables!F2:F999, MATCH(E474,RulebookTables!A2:A999, 0)), "")</f>
        <v>communication</v>
      </c>
      <c r="S474" s="2" t="s">
        <v>1898</v>
      </c>
    </row>
    <row r="475">
      <c r="A475" s="2" t="s">
        <v>14482</v>
      </c>
      <c r="B475" s="3" t="str">
        <f>_xlfn.CONCAT(D475, " / ", E475)</f>
        <v>effortless-python / MessageDeliveries</v>
      </c>
      <c r="C475" s="2" t="s">
        <v>13999</v>
      </c>
      <c r="D475" s="2" t="s">
        <v>13963</v>
      </c>
      <c r="E475" s="2" t="s">
        <v>4378</v>
      </c>
      <c r="F475" s="2">
        <v>6</v>
      </c>
      <c r="G475" s="2">
        <v>74</v>
      </c>
      <c r="H475" s="2">
        <v>444</v>
      </c>
      <c r="I475" s="2">
        <v>420</v>
      </c>
      <c r="J475" s="2" t="b">
        <v>0</v>
      </c>
      <c r="K475" s="3">
        <f>H475 - I475</f>
        <v>24</v>
      </c>
      <c r="L475" s="3">
        <f>IF(H475 = 0, 0, ROUND(100 * I475 / H475, 2))</f>
        <v>94.59</v>
      </c>
      <c r="M475" s="3" t="b">
        <f>K475 = 0</f>
        <v>0</v>
      </c>
      <c r="N475" s="3" t="str">
        <f>IF(M475, "", D475)</f>
        <v>effortless-python</v>
      </c>
      <c r="O475" s="3" t="str">
        <f>IF(M475, "", E475)</f>
        <v>MessageDeliveries</v>
      </c>
      <c r="P475" s="3">
        <f>COUNTIFS(FieldDisagreements!E2:E999, A475)</f>
        <v>5</v>
      </c>
      <c r="Q475" s="3" t="str">
        <f>_xlfn.IFNA(INDEX(ConformanceSubstrates!C2:C999, MATCH(D475,ConformanceSubstrates!A2:A999, 0)), "")</f>
        <v>Python</v>
      </c>
      <c r="R475" s="3" t="str">
        <f>_xlfn.IFNA(INDEX(RulebookTables!F2:F999, MATCH(E475,RulebookTables!A2:A999, 0)), "")</f>
        <v>communication</v>
      </c>
      <c r="S475" s="2" t="s">
        <v>1898</v>
      </c>
    </row>
    <row r="476">
      <c r="A476" s="2" t="s">
        <v>14483</v>
      </c>
      <c r="B476" s="3" t="str">
        <f>_xlfn.CONCAT(D476, " / ", E476)</f>
        <v>effortless-python / TemplateApprovals</v>
      </c>
      <c r="C476" s="2" t="s">
        <v>13999</v>
      </c>
      <c r="D476" s="2" t="s">
        <v>13963</v>
      </c>
      <c r="E476" s="2" t="s">
        <v>4632</v>
      </c>
      <c r="F476" s="2">
        <v>2</v>
      </c>
      <c r="G476" s="2">
        <v>6</v>
      </c>
      <c r="H476" s="2">
        <v>12</v>
      </c>
      <c r="I476" s="2">
        <v>10</v>
      </c>
      <c r="J476" s="2" t="b">
        <v>0</v>
      </c>
      <c r="K476" s="3">
        <f>H476 - I476</f>
        <v>2</v>
      </c>
      <c r="L476" s="3">
        <f>IF(H476 = 0, 0, ROUND(100 * I476 / H476, 2))</f>
        <v>83.33</v>
      </c>
      <c r="M476" s="3" t="b">
        <f>K476 = 0</f>
        <v>0</v>
      </c>
      <c r="N476" s="3" t="str">
        <f>IF(M476, "", D476)</f>
        <v>effortless-python</v>
      </c>
      <c r="O476" s="3" t="str">
        <f>IF(M476, "", E476)</f>
        <v>TemplateApprovals</v>
      </c>
      <c r="P476" s="3">
        <f>COUNTIFS(FieldDisagreements!E2:E999, A476)</f>
        <v>1</v>
      </c>
      <c r="Q476" s="3" t="str">
        <f>_xlfn.IFNA(INDEX(ConformanceSubstrates!C2:C999, MATCH(D476,ConformanceSubstrates!A2:A999, 0)), "")</f>
        <v>Python</v>
      </c>
      <c r="R476" s="3" t="str">
        <f>_xlfn.IFNA(INDEX(RulebookTables!F2:F999, MATCH(E476,RulebookTables!A2:A999, 0)), "")</f>
        <v>communication</v>
      </c>
      <c r="S476" s="2" t="s">
        <v>1898</v>
      </c>
    </row>
    <row r="477">
      <c r="A477" s="2" t="s">
        <v>14484</v>
      </c>
      <c r="B477" s="3" t="str">
        <f>_xlfn.CONCAT(D477, " / ", E477)</f>
        <v>effortless-python / SendIntents</v>
      </c>
      <c r="C477" s="2" t="s">
        <v>13999</v>
      </c>
      <c r="D477" s="2" t="s">
        <v>13963</v>
      </c>
      <c r="E477" s="2" t="s">
        <v>4662</v>
      </c>
      <c r="F477" s="2">
        <v>7</v>
      </c>
      <c r="G477" s="2">
        <v>79</v>
      </c>
      <c r="H477" s="2">
        <v>553</v>
      </c>
      <c r="I477" s="2">
        <v>546</v>
      </c>
      <c r="J477" s="2" t="b">
        <v>0</v>
      </c>
      <c r="K477" s="3">
        <f>H477 - I477</f>
        <v>7</v>
      </c>
      <c r="L477" s="3">
        <f>IF(H477 = 0, 0, ROUND(100 * I477 / H477, 2))</f>
        <v>98.73</v>
      </c>
      <c r="M477" s="3" t="b">
        <f>K477 = 0</f>
        <v>0</v>
      </c>
      <c r="N477" s="3" t="str">
        <f>IF(M477, "", D477)</f>
        <v>effortless-python</v>
      </c>
      <c r="O477" s="3" t="str">
        <f>IF(M477, "", E477)</f>
        <v>SendIntents</v>
      </c>
      <c r="P477" s="3">
        <f>COUNTIFS(FieldDisagreements!E2:E999, A477)</f>
        <v>1</v>
      </c>
      <c r="Q477" s="3" t="str">
        <f>_xlfn.IFNA(INDEX(ConformanceSubstrates!C2:C999, MATCH(D477,ConformanceSubstrates!A2:A999, 0)), "")</f>
        <v>Python</v>
      </c>
      <c r="R477" s="3" t="str">
        <f>_xlfn.IFNA(INDEX(RulebookTables!F2:F999, MATCH(E477,RulebookTables!A2:A999, 0)), "")</f>
        <v>communication</v>
      </c>
      <c r="S477" s="2" t="s">
        <v>1898</v>
      </c>
    </row>
    <row r="478">
      <c r="A478" s="2" t="s">
        <v>14485</v>
      </c>
      <c r="B478" s="3" t="str">
        <f>_xlfn.CONCAT(D478, " / ", E478)</f>
        <v>effortless-python / AgentDecisionRecords</v>
      </c>
      <c r="C478" s="2" t="s">
        <v>13999</v>
      </c>
      <c r="D478" s="2" t="s">
        <v>13963</v>
      </c>
      <c r="E478" s="2" t="s">
        <v>4928</v>
      </c>
      <c r="F478" s="2">
        <v>3</v>
      </c>
      <c r="G478" s="2">
        <v>27</v>
      </c>
      <c r="H478" s="2">
        <v>81</v>
      </c>
      <c r="I478" s="2">
        <v>81</v>
      </c>
      <c r="J478" s="2" t="b">
        <v>0</v>
      </c>
      <c r="K478" s="3">
        <f>H478 - I478</f>
        <v>0</v>
      </c>
      <c r="L478" s="3">
        <f>IF(H478 = 0, 0, ROUND(100 * I478 / H478, 2))</f>
        <v>100</v>
      </c>
      <c r="M478" s="3" t="b">
        <f>K478 = 0</f>
        <v>1</v>
      </c>
      <c r="N478" s="3" t="str">
        <f>IF(M478, "", D478)</f>
      </c>
      <c r="O478" s="3" t="str">
        <f>IF(M478, "", E478)</f>
      </c>
      <c r="P478" s="3">
        <f>COUNTIFS(FieldDisagreements!E2:E999, A478)</f>
        <v>0</v>
      </c>
      <c r="Q478" s="3" t="str">
        <f>_xlfn.IFNA(INDEX(ConformanceSubstrates!C2:C999, MATCH(D478,ConformanceSubstrates!A2:A999, 0)), "")</f>
        <v>Python</v>
      </c>
      <c r="R478" s="3" t="str">
        <f>_xlfn.IFNA(INDEX(RulebookTables!F2:F999, MATCH(E478,RulebookTables!A2:A999, 0)), "")</f>
        <v>org</v>
      </c>
      <c r="S478" s="2" t="s">
        <v>1898</v>
      </c>
    </row>
    <row r="479">
      <c r="A479" s="2" t="s">
        <v>14486</v>
      </c>
      <c r="B479" s="3" t="str">
        <f>_xlfn.CONCAT(D479, " / ", E479)</f>
        <v>effortless-python / DeliveredCommunications</v>
      </c>
      <c r="C479" s="2" t="s">
        <v>13999</v>
      </c>
      <c r="D479" s="2" t="s">
        <v>13963</v>
      </c>
      <c r="E479" s="2" t="s">
        <v>5029</v>
      </c>
      <c r="F479" s="2">
        <v>1</v>
      </c>
      <c r="G479" s="2">
        <v>6</v>
      </c>
      <c r="H479" s="2">
        <v>6</v>
      </c>
      <c r="I479" s="2">
        <v>5</v>
      </c>
      <c r="J479" s="2" t="b">
        <v>0</v>
      </c>
      <c r="K479" s="3">
        <f>H479 - I479</f>
        <v>1</v>
      </c>
      <c r="L479" s="3">
        <f>IF(H479 = 0, 0, ROUND(100 * I479 / H479, 2))</f>
        <v>83.33</v>
      </c>
      <c r="M479" s="3" t="b">
        <f>K479 = 0</f>
        <v>0</v>
      </c>
      <c r="N479" s="3" t="str">
        <f>IF(M479, "", D479)</f>
        <v>effortless-python</v>
      </c>
      <c r="O479" s="3" t="str">
        <f>IF(M479, "", E479)</f>
        <v>DeliveredCommunications</v>
      </c>
      <c r="P479" s="3">
        <f>COUNTIFS(FieldDisagreements!E2:E999, A479)</f>
        <v>1</v>
      </c>
      <c r="Q479" s="3" t="str">
        <f>_xlfn.IFNA(INDEX(ConformanceSubstrates!C2:C999, MATCH(D479,ConformanceSubstrates!A2:A999, 0)), "")</f>
        <v>Python</v>
      </c>
      <c r="R479" s="3" t="str">
        <f>_xlfn.IFNA(INDEX(RulebookTables!F2:F999, MATCH(E479,RulebookTables!A2:A999, 0)), "")</f>
        <v>communication</v>
      </c>
      <c r="S479" s="2" t="s">
        <v>1898</v>
      </c>
    </row>
    <row r="480">
      <c r="A480" s="2" t="s">
        <v>14487</v>
      </c>
      <c r="B480" s="3" t="str">
        <f>_xlfn.CONCAT(D480, " / ", E480)</f>
        <v>effortless-python / AuthorityBoundaries</v>
      </c>
      <c r="C480" s="2" t="s">
        <v>13999</v>
      </c>
      <c r="D480" s="2" t="s">
        <v>13963</v>
      </c>
      <c r="E480" s="2" t="s">
        <v>5065</v>
      </c>
      <c r="F480" s="2">
        <v>3</v>
      </c>
      <c r="G480" s="2">
        <v>21</v>
      </c>
      <c r="H480" s="2">
        <v>63</v>
      </c>
      <c r="I480" s="2">
        <v>63</v>
      </c>
      <c r="J480" s="2" t="b">
        <v>0</v>
      </c>
      <c r="K480" s="3">
        <f>H480 - I480</f>
        <v>0</v>
      </c>
      <c r="L480" s="3">
        <f>IF(H480 = 0, 0, ROUND(100 * I480 / H480, 2))</f>
        <v>100</v>
      </c>
      <c r="M480" s="3" t="b">
        <f>K480 = 0</f>
        <v>1</v>
      </c>
      <c r="N480" s="3" t="str">
        <f>IF(M480, "", D480)</f>
      </c>
      <c r="O480" s="3" t="str">
        <f>IF(M480, "", E480)</f>
      </c>
      <c r="P480" s="3">
        <f>COUNTIFS(FieldDisagreements!E2:E999, A480)</f>
        <v>0</v>
      </c>
      <c r="Q480" s="3" t="str">
        <f>_xlfn.IFNA(INDEX(ConformanceSubstrates!C2:C999, MATCH(D480,ConformanceSubstrates!A2:A999, 0)), "")</f>
        <v>Python</v>
      </c>
      <c r="R480" s="3" t="str">
        <f>_xlfn.IFNA(INDEX(RulebookTables!F2:F999, MATCH(E480,RulebookTables!A2:A999, 0)), "")</f>
        <v>governance</v>
      </c>
      <c r="S480" s="2" t="s">
        <v>1898</v>
      </c>
    </row>
    <row r="481">
      <c r="A481" s="2" t="s">
        <v>14488</v>
      </c>
      <c r="B481" s="3" t="str">
        <f>_xlfn.CONCAT(D481, " / ", E481)</f>
        <v>effortless-python / AppRoleProfiles</v>
      </c>
      <c r="C481" s="2" t="s">
        <v>13999</v>
      </c>
      <c r="D481" s="2" t="s">
        <v>13963</v>
      </c>
      <c r="E481" s="2" t="s">
        <v>1849</v>
      </c>
      <c r="F481" s="2">
        <v>12</v>
      </c>
      <c r="G481" s="2">
        <v>2</v>
      </c>
      <c r="H481" s="2">
        <v>24</v>
      </c>
      <c r="I481" s="2">
        <v>24</v>
      </c>
      <c r="J481" s="2" t="b">
        <v>0</v>
      </c>
      <c r="K481" s="3">
        <f>H481 - I481</f>
        <v>0</v>
      </c>
      <c r="L481" s="3">
        <f>IF(H481 = 0, 0, ROUND(100 * I481 / H481, 2))</f>
        <v>100</v>
      </c>
      <c r="M481" s="3" t="b">
        <f>K481 = 0</f>
        <v>1</v>
      </c>
      <c r="N481" s="3" t="str">
        <f>IF(M481, "", D481)</f>
      </c>
      <c r="O481" s="3" t="str">
        <f>IF(M481, "", E481)</f>
      </c>
      <c r="P481" s="3">
        <f>COUNTIFS(FieldDisagreements!E2:E999, A481)</f>
        <v>0</v>
      </c>
      <c r="Q481" s="3" t="str">
        <f>_xlfn.IFNA(INDEX(ConformanceSubstrates!C2:C999, MATCH(D481,ConformanceSubstrates!A2:A999, 0)), "")</f>
        <v>Python</v>
      </c>
      <c r="R481" s="3" t="str">
        <f>_xlfn.IFNA(INDEX(RulebookTables!F2:F999, MATCH(E481,RulebookTables!A2:A999, 0)), "")</f>
        <v>org</v>
      </c>
      <c r="S481" s="2" t="s">
        <v>1898</v>
      </c>
    </row>
    <row r="482">
      <c r="A482" s="2" t="s">
        <v>14489</v>
      </c>
      <c r="B482" s="3" t="str">
        <f>_xlfn.CONCAT(D482, " / ", E482)</f>
        <v>effortless-python / AppNavGroups</v>
      </c>
      <c r="C482" s="2" t="s">
        <v>13999</v>
      </c>
      <c r="D482" s="2" t="s">
        <v>13963</v>
      </c>
      <c r="E482" s="2" t="s">
        <v>1853</v>
      </c>
      <c r="F482" s="2">
        <v>23</v>
      </c>
      <c r="G482" s="2">
        <v>2</v>
      </c>
      <c r="H482" s="2">
        <v>46</v>
      </c>
      <c r="I482" s="2">
        <v>46</v>
      </c>
      <c r="J482" s="2" t="b">
        <v>0</v>
      </c>
      <c r="K482" s="3">
        <f>H482 - I482</f>
        <v>0</v>
      </c>
      <c r="L482" s="3">
        <f>IF(H482 = 0, 0, ROUND(100 * I482 / H482, 2))</f>
        <v>100</v>
      </c>
      <c r="M482" s="3" t="b">
        <f>K482 = 0</f>
        <v>1</v>
      </c>
      <c r="N482" s="3" t="str">
        <f>IF(M482, "", D482)</f>
      </c>
      <c r="O482" s="3" t="str">
        <f>IF(M482, "", E482)</f>
      </c>
      <c r="P482" s="3">
        <f>COUNTIFS(FieldDisagreements!E2:E999, A482)</f>
        <v>0</v>
      </c>
      <c r="Q482" s="3" t="str">
        <f>_xlfn.IFNA(INDEX(ConformanceSubstrates!C2:C999, MATCH(D482,ConformanceSubstrates!A2:A999, 0)), "")</f>
        <v>Python</v>
      </c>
      <c r="R482" s="3" t="str">
        <f>_xlfn.IFNA(INDEX(RulebookTables!F2:F999, MATCH(E482,RulebookTables!A2:A999, 0)), "")</f>
        <v>application</v>
      </c>
      <c r="S482" s="2" t="s">
        <v>1898</v>
      </c>
    </row>
    <row r="483">
      <c r="A483" s="2" t="s">
        <v>14490</v>
      </c>
      <c r="B483" s="3" t="str">
        <f>_xlfn.CONCAT(D483, " / ", E483)</f>
        <v>effortless-python / AppRoutes</v>
      </c>
      <c r="C483" s="2" t="s">
        <v>13999</v>
      </c>
      <c r="D483" s="2" t="s">
        <v>13963</v>
      </c>
      <c r="E483" s="2" t="s">
        <v>1857</v>
      </c>
      <c r="F483" s="2">
        <v>149</v>
      </c>
      <c r="G483" s="2">
        <v>7</v>
      </c>
      <c r="H483" s="2">
        <v>1043</v>
      </c>
      <c r="I483" s="2">
        <v>1043</v>
      </c>
      <c r="J483" s="2" t="b">
        <v>0</v>
      </c>
      <c r="K483" s="3">
        <f>H483 - I483</f>
        <v>0</v>
      </c>
      <c r="L483" s="3">
        <f>IF(H483 = 0, 0, ROUND(100 * I483 / H483, 2))</f>
        <v>100</v>
      </c>
      <c r="M483" s="3" t="b">
        <f>K483 = 0</f>
        <v>1</v>
      </c>
      <c r="N483" s="3" t="str">
        <f>IF(M483, "", D483)</f>
      </c>
      <c r="O483" s="3" t="str">
        <f>IF(M483, "", E483)</f>
      </c>
      <c r="P483" s="3">
        <f>COUNTIFS(FieldDisagreements!E2:E999, A483)</f>
        <v>0</v>
      </c>
      <c r="Q483" s="3" t="str">
        <f>_xlfn.IFNA(INDEX(ConformanceSubstrates!C2:C999, MATCH(D483,ConformanceSubstrates!A2:A999, 0)), "")</f>
        <v>Python</v>
      </c>
      <c r="R483" s="3" t="str">
        <f>_xlfn.IFNA(INDEX(RulebookTables!F2:F999, MATCH(E483,RulebookTables!A2:A999, 0)), "")</f>
        <v>application</v>
      </c>
      <c r="S483" s="2" t="s">
        <v>1898</v>
      </c>
    </row>
    <row r="484">
      <c r="A484" s="2" t="s">
        <v>14491</v>
      </c>
      <c r="B484" s="3" t="str">
        <f>_xlfn.CONCAT(D484, " / ", E484)</f>
        <v>effortless-python / AppRouteQuestions</v>
      </c>
      <c r="C484" s="2" t="s">
        <v>13999</v>
      </c>
      <c r="D484" s="2" t="s">
        <v>13963</v>
      </c>
      <c r="E484" s="2" t="s">
        <v>1861</v>
      </c>
      <c r="F484" s="2">
        <v>151</v>
      </c>
      <c r="G484" s="2">
        <v>1</v>
      </c>
      <c r="H484" s="2">
        <v>151</v>
      </c>
      <c r="I484" s="2">
        <v>151</v>
      </c>
      <c r="J484" s="2" t="b">
        <v>0</v>
      </c>
      <c r="K484" s="3">
        <f>H484 - I484</f>
        <v>0</v>
      </c>
      <c r="L484" s="3">
        <f>IF(H484 = 0, 0, ROUND(100 * I484 / H484, 2))</f>
        <v>100</v>
      </c>
      <c r="M484" s="3" t="b">
        <f>K484 = 0</f>
        <v>1</v>
      </c>
      <c r="N484" s="3" t="str">
        <f>IF(M484, "", D484)</f>
      </c>
      <c r="O484" s="3" t="str">
        <f>IF(M484, "", E484)</f>
      </c>
      <c r="P484" s="3">
        <f>COUNTIFS(FieldDisagreements!E2:E999, A484)</f>
        <v>0</v>
      </c>
      <c r="Q484" s="3" t="str">
        <f>_xlfn.IFNA(INDEX(ConformanceSubstrates!C2:C999, MATCH(D484,ConformanceSubstrates!A2:A999, 0)), "")</f>
        <v>Python</v>
      </c>
      <c r="R484" s="3" t="str">
        <f>_xlfn.IFNA(INDEX(RulebookTables!F2:F999, MATCH(E484,RulebookTables!A2:A999, 0)), "")</f>
        <v>application</v>
      </c>
      <c r="S484" s="2" t="s">
        <v>1898</v>
      </c>
    </row>
    <row r="485">
      <c r="A485" s="2" t="s">
        <v>14492</v>
      </c>
      <c r="B485" s="3" t="str">
        <f>_xlfn.CONCAT(D485, " / ", E485)</f>
        <v>effortless-python / AppRouteReferences</v>
      </c>
      <c r="C485" s="2" t="s">
        <v>13999</v>
      </c>
      <c r="D485" s="2" t="s">
        <v>13963</v>
      </c>
      <c r="E485" s="2" t="s">
        <v>1865</v>
      </c>
      <c r="F485" s="2">
        <v>315</v>
      </c>
      <c r="G485" s="2">
        <v>1</v>
      </c>
      <c r="H485" s="2">
        <v>315</v>
      </c>
      <c r="I485" s="2">
        <v>315</v>
      </c>
      <c r="J485" s="2" t="b">
        <v>0</v>
      </c>
      <c r="K485" s="3">
        <f>H485 - I485</f>
        <v>0</v>
      </c>
      <c r="L485" s="3">
        <f>IF(H485 = 0, 0, ROUND(100 * I485 / H485, 2))</f>
        <v>100</v>
      </c>
      <c r="M485" s="3" t="b">
        <f>K485 = 0</f>
        <v>1</v>
      </c>
      <c r="N485" s="3" t="str">
        <f>IF(M485, "", D485)</f>
      </c>
      <c r="O485" s="3" t="str">
        <f>IF(M485, "", E485)</f>
      </c>
      <c r="P485" s="3">
        <f>COUNTIFS(FieldDisagreements!E2:E999, A485)</f>
        <v>0</v>
      </c>
      <c r="Q485" s="3" t="str">
        <f>_xlfn.IFNA(INDEX(ConformanceSubstrates!C2:C999, MATCH(D485,ConformanceSubstrates!A2:A999, 0)), "")</f>
        <v>Python</v>
      </c>
      <c r="R485" s="3" t="str">
        <f>_xlfn.IFNA(INDEX(RulebookTables!F2:F999, MATCH(E485,RulebookTables!A2:A999, 0)), "")</f>
        <v>application</v>
      </c>
      <c r="S485" s="2" t="s">
        <v>1898</v>
      </c>
    </row>
    <row r="486">
      <c r="A486" s="2" t="s">
        <v>14493</v>
      </c>
      <c r="B486" s="3" t="str">
        <f>_xlfn.CONCAT(D486, " / ", E486)</f>
        <v>effortless-python / RulebookTables</v>
      </c>
      <c r="C486" s="2" t="s">
        <v>13999</v>
      </c>
      <c r="D486" s="2" t="s">
        <v>13963</v>
      </c>
      <c r="E486" s="2" t="s">
        <v>5286</v>
      </c>
      <c r="F486" s="2">
        <v>92</v>
      </c>
      <c r="G486" s="2">
        <v>5</v>
      </c>
      <c r="H486" s="2">
        <v>460</v>
      </c>
      <c r="I486" s="2">
        <v>460</v>
      </c>
      <c r="J486" s="2" t="b">
        <v>0</v>
      </c>
      <c r="K486" s="3">
        <f>H486 - I486</f>
        <v>0</v>
      </c>
      <c r="L486" s="3">
        <f>IF(H486 = 0, 0, ROUND(100 * I486 / H486, 2))</f>
        <v>100</v>
      </c>
      <c r="M486" s="3" t="b">
        <f>K486 = 0</f>
        <v>1</v>
      </c>
      <c r="N486" s="3" t="str">
        <f>IF(M486, "", D486)</f>
      </c>
      <c r="O486" s="3" t="str">
        <f>IF(M486, "", E486)</f>
      </c>
      <c r="P486" s="3">
        <f>COUNTIFS(FieldDisagreements!E2:E999, A486)</f>
        <v>0</v>
      </c>
      <c r="Q486" s="3" t="str">
        <f>_xlfn.IFNA(INDEX(ConformanceSubstrates!C2:C999, MATCH(D486,ConformanceSubstrates!A2:A999, 0)), "")</f>
        <v>Python</v>
      </c>
      <c r="R486" s="3" t="str">
        <f>_xlfn.IFNA(INDEX(RulebookTables!F2:F999, MATCH(E486,RulebookTables!A2:A999, 0)), "")</f>
        <v>meta</v>
      </c>
      <c r="S486" s="2" t="s">
        <v>1898</v>
      </c>
    </row>
    <row r="487">
      <c r="A487" s="2" t="s">
        <v>14494</v>
      </c>
      <c r="B487" s="3" t="str">
        <f>_xlfn.CONCAT(D487, " / ", E487)</f>
        <v>effortless-python / AccessPrincipals</v>
      </c>
      <c r="C487" s="2" t="s">
        <v>13999</v>
      </c>
      <c r="D487" s="2" t="s">
        <v>13963</v>
      </c>
      <c r="E487" s="2" t="s">
        <v>5313</v>
      </c>
      <c r="F487" s="2">
        <v>12</v>
      </c>
      <c r="G487" s="2">
        <v>8</v>
      </c>
      <c r="H487" s="2">
        <v>96</v>
      </c>
      <c r="I487" s="2">
        <v>96</v>
      </c>
      <c r="J487" s="2" t="b">
        <v>0</v>
      </c>
      <c r="K487" s="3">
        <f>H487 - I487</f>
        <v>0</v>
      </c>
      <c r="L487" s="3">
        <f>IF(H487 = 0, 0, ROUND(100 * I487 / H487, 2))</f>
        <v>100</v>
      </c>
      <c r="M487" s="3" t="b">
        <f>K487 = 0</f>
        <v>1</v>
      </c>
      <c r="N487" s="3" t="str">
        <f>IF(M487, "", D487)</f>
      </c>
      <c r="O487" s="3" t="str">
        <f>IF(M487, "", E487)</f>
      </c>
      <c r="P487" s="3">
        <f>COUNTIFS(FieldDisagreements!E2:E999, A487)</f>
        <v>0</v>
      </c>
      <c r="Q487" s="3" t="str">
        <f>_xlfn.IFNA(INDEX(ConformanceSubstrates!C2:C999, MATCH(D487,ConformanceSubstrates!A2:A999, 0)), "")</f>
        <v>Python</v>
      </c>
      <c r="R487" s="3" t="str">
        <f>_xlfn.IFNA(INDEX(RulebookTables!F2:F999, MATCH(E487,RulebookTables!A2:A999, 0)), "")</f>
        <v>access-control</v>
      </c>
      <c r="S487" s="2" t="s">
        <v>1898</v>
      </c>
    </row>
    <row r="488">
      <c r="A488" s="2" t="s">
        <v>14495</v>
      </c>
      <c r="B488" s="3" t="str">
        <f>_xlfn.CONCAT(D488, " / ", E488)</f>
        <v>effortless-python / AccessPolicies</v>
      </c>
      <c r="C488" s="2" t="s">
        <v>13999</v>
      </c>
      <c r="D488" s="2" t="s">
        <v>13963</v>
      </c>
      <c r="E488" s="2" t="s">
        <v>5346</v>
      </c>
      <c r="F488" s="2">
        <v>202</v>
      </c>
      <c r="G488" s="2">
        <v>7</v>
      </c>
      <c r="H488" s="2">
        <v>1414</v>
      </c>
      <c r="I488" s="2">
        <v>1414</v>
      </c>
      <c r="J488" s="2" t="b">
        <v>0</v>
      </c>
      <c r="K488" s="3">
        <f>H488 - I488</f>
        <v>0</v>
      </c>
      <c r="L488" s="3">
        <f>IF(H488 = 0, 0, ROUND(100 * I488 / H488, 2))</f>
        <v>100</v>
      </c>
      <c r="M488" s="3" t="b">
        <f>K488 = 0</f>
        <v>1</v>
      </c>
      <c r="N488" s="3" t="str">
        <f>IF(M488, "", D488)</f>
      </c>
      <c r="O488" s="3" t="str">
        <f>IF(M488, "", E488)</f>
      </c>
      <c r="P488" s="3">
        <f>COUNTIFS(FieldDisagreements!E2:E999, A488)</f>
        <v>0</v>
      </c>
      <c r="Q488" s="3" t="str">
        <f>_xlfn.IFNA(INDEX(ConformanceSubstrates!C2:C999, MATCH(D488,ConformanceSubstrates!A2:A999, 0)), "")</f>
        <v>Python</v>
      </c>
      <c r="R488" s="3" t="str">
        <f>_xlfn.IFNA(INDEX(RulebookTables!F2:F999, MATCH(E488,RulebookTables!A2:A999, 0)), "")</f>
        <v>access-control</v>
      </c>
      <c r="S488" s="2" t="s">
        <v>1898</v>
      </c>
    </row>
    <row r="489">
      <c r="A489" s="2" t="s">
        <v>14496</v>
      </c>
      <c r="B489" s="3" t="str">
        <f>_xlfn.CONCAT(D489, " / ", E489)</f>
        <v>effortless-python / FieldGrants</v>
      </c>
      <c r="C489" s="2" t="s">
        <v>13999</v>
      </c>
      <c r="D489" s="2" t="s">
        <v>13963</v>
      </c>
      <c r="E489" s="2" t="s">
        <v>5382</v>
      </c>
      <c r="F489" s="2">
        <v>3639</v>
      </c>
      <c r="G489" s="2">
        <v>7</v>
      </c>
      <c r="H489" s="2">
        <v>25473</v>
      </c>
      <c r="I489" s="2">
        <v>25473</v>
      </c>
      <c r="J489" s="2" t="b">
        <v>0</v>
      </c>
      <c r="K489" s="3">
        <f>H489 - I489</f>
        <v>0</v>
      </c>
      <c r="L489" s="3">
        <f>IF(H489 = 0, 0, ROUND(100 * I489 / H489, 2))</f>
        <v>100</v>
      </c>
      <c r="M489" s="3" t="b">
        <f>K489 = 0</f>
        <v>1</v>
      </c>
      <c r="N489" s="3" t="str">
        <f>IF(M489, "", D489)</f>
      </c>
      <c r="O489" s="3" t="str">
        <f>IF(M489, "", E489)</f>
      </c>
      <c r="P489" s="3">
        <f>COUNTIFS(FieldDisagreements!E2:E999, A489)</f>
        <v>0</v>
      </c>
      <c r="Q489" s="3" t="str">
        <f>_xlfn.IFNA(INDEX(ConformanceSubstrates!C2:C999, MATCH(D489,ConformanceSubstrates!A2:A999, 0)), "")</f>
        <v>Python</v>
      </c>
      <c r="R489" s="3" t="str">
        <f>_xlfn.IFNA(INDEX(RulebookTables!F2:F999, MATCH(E489,RulebookTables!A2:A999, 0)), "")</f>
        <v>access-control</v>
      </c>
      <c r="S489" s="2" t="s">
        <v>1898</v>
      </c>
    </row>
    <row r="490">
      <c r="A490" s="2" t="s">
        <v>14497</v>
      </c>
      <c r="B490" s="3" t="str">
        <f>_xlfn.CONCAT(D490, " / ", E490)</f>
        <v>effortless-python / RoleSchemas</v>
      </c>
      <c r="C490" s="2" t="s">
        <v>13999</v>
      </c>
      <c r="D490" s="2" t="s">
        <v>13963</v>
      </c>
      <c r="E490" s="2" t="s">
        <v>5413</v>
      </c>
      <c r="F490" s="2">
        <v>12</v>
      </c>
      <c r="G490" s="2">
        <v>4</v>
      </c>
      <c r="H490" s="2">
        <v>48</v>
      </c>
      <c r="I490" s="2">
        <v>48</v>
      </c>
      <c r="J490" s="2" t="b">
        <v>0</v>
      </c>
      <c r="K490" s="3">
        <f>H490 - I490</f>
        <v>0</v>
      </c>
      <c r="L490" s="3">
        <f>IF(H490 = 0, 0, ROUND(100 * I490 / H490, 2))</f>
        <v>100</v>
      </c>
      <c r="M490" s="3" t="b">
        <f>K490 = 0</f>
        <v>1</v>
      </c>
      <c r="N490" s="3" t="str">
        <f>IF(M490, "", D490)</f>
      </c>
      <c r="O490" s="3" t="str">
        <f>IF(M490, "", E490)</f>
      </c>
      <c r="P490" s="3">
        <f>COUNTIFS(FieldDisagreements!E2:E999, A490)</f>
        <v>0</v>
      </c>
      <c r="Q490" s="3" t="str">
        <f>_xlfn.IFNA(INDEX(ConformanceSubstrates!C2:C999, MATCH(D490,ConformanceSubstrates!A2:A999, 0)), "")</f>
        <v>Python</v>
      </c>
      <c r="R490" s="3" t="str">
        <f>_xlfn.IFNA(INDEX(RulebookTables!F2:F999, MATCH(E490,RulebookTables!A2:A999, 0)), "")</f>
        <v>org</v>
      </c>
      <c r="S490" s="2" t="s">
        <v>1898</v>
      </c>
    </row>
    <row r="491">
      <c r="A491" s="2" t="s">
        <v>14498</v>
      </c>
      <c r="B491" s="3" t="str">
        <f>_xlfn.CONCAT(D491, " / ", E491)</f>
        <v>effortless-python / RoleSchemaViews</v>
      </c>
      <c r="C491" s="2" t="s">
        <v>13999</v>
      </c>
      <c r="D491" s="2" t="s">
        <v>13963</v>
      </c>
      <c r="E491" s="2" t="s">
        <v>5431</v>
      </c>
      <c r="F491" s="2">
        <v>202</v>
      </c>
      <c r="G491" s="2">
        <v>8</v>
      </c>
      <c r="H491" s="2">
        <v>1616</v>
      </c>
      <c r="I491" s="2">
        <v>1616</v>
      </c>
      <c r="J491" s="2" t="b">
        <v>0</v>
      </c>
      <c r="K491" s="3">
        <f>H491 - I491</f>
        <v>0</v>
      </c>
      <c r="L491" s="3">
        <f>IF(H491 = 0, 0, ROUND(100 * I491 / H491, 2))</f>
        <v>100</v>
      </c>
      <c r="M491" s="3" t="b">
        <f>K491 = 0</f>
        <v>1</v>
      </c>
      <c r="N491" s="3" t="str">
        <f>IF(M491, "", D491)</f>
      </c>
      <c r="O491" s="3" t="str">
        <f>IF(M491, "", E491)</f>
      </c>
      <c r="P491" s="3">
        <f>COUNTIFS(FieldDisagreements!E2:E999, A491)</f>
        <v>0</v>
      </c>
      <c r="Q491" s="3" t="str">
        <f>_xlfn.IFNA(INDEX(ConformanceSubstrates!C2:C999, MATCH(D491,ConformanceSubstrates!A2:A999, 0)), "")</f>
        <v>Python</v>
      </c>
      <c r="R491" s="3" t="str">
        <f>_xlfn.IFNA(INDEX(RulebookTables!F2:F999, MATCH(E491,RulebookTables!A2:A999, 0)), "")</f>
        <v>org</v>
      </c>
      <c r="S491" s="2" t="s">
        <v>1898</v>
      </c>
    </row>
    <row r="492">
      <c r="A492" s="2" t="s">
        <v>14499</v>
      </c>
      <c r="B492" s="3" t="str">
        <f>_xlfn.CONCAT(D492, " / ", E492)</f>
        <v>effortless-python / JwtClaimMappings</v>
      </c>
      <c r="C492" s="2" t="s">
        <v>13999</v>
      </c>
      <c r="D492" s="2" t="s">
        <v>13963</v>
      </c>
      <c r="E492" s="2" t="s">
        <v>5463</v>
      </c>
      <c r="F492" s="2">
        <v>4</v>
      </c>
      <c r="G492" s="2">
        <v>2</v>
      </c>
      <c r="H492" s="2">
        <v>8</v>
      </c>
      <c r="I492" s="2">
        <v>8</v>
      </c>
      <c r="J492" s="2" t="b">
        <v>0</v>
      </c>
      <c r="K492" s="3">
        <f>H492 - I492</f>
        <v>0</v>
      </c>
      <c r="L492" s="3">
        <f>IF(H492 = 0, 0, ROUND(100 * I492 / H492, 2))</f>
        <v>100</v>
      </c>
      <c r="M492" s="3" t="b">
        <f>K492 = 0</f>
        <v>1</v>
      </c>
      <c r="N492" s="3" t="str">
        <f>IF(M492, "", D492)</f>
      </c>
      <c r="O492" s="3" t="str">
        <f>IF(M492, "", E492)</f>
      </c>
      <c r="P492" s="3">
        <f>COUNTIFS(FieldDisagreements!E2:E999, A492)</f>
        <v>0</v>
      </c>
      <c r="Q492" s="3" t="str">
        <f>_xlfn.IFNA(INDEX(ConformanceSubstrates!C2:C999, MATCH(D492,ConformanceSubstrates!A2:A999, 0)), "")</f>
        <v>Python</v>
      </c>
      <c r="R492" s="3" t="str">
        <f>_xlfn.IFNA(INDEX(RulebookTables!F2:F999, MATCH(E492,RulebookTables!A2:A999, 0)), "")</f>
        <v>access-control</v>
      </c>
      <c r="S492" s="2" t="s">
        <v>1898</v>
      </c>
    </row>
    <row r="493">
      <c r="A493" s="2" t="s">
        <v>14500</v>
      </c>
      <c r="B493" s="3" t="str">
        <f>_xlfn.CONCAT(D493, " / ", E493)</f>
        <v>effortless-python / AccessDenialTests</v>
      </c>
      <c r="C493" s="2" t="s">
        <v>13999</v>
      </c>
      <c r="D493" s="2" t="s">
        <v>13963</v>
      </c>
      <c r="E493" s="2" t="s">
        <v>5482</v>
      </c>
      <c r="F493" s="2">
        <v>17</v>
      </c>
      <c r="G493" s="2">
        <v>6</v>
      </c>
      <c r="H493" s="2">
        <v>102</v>
      </c>
      <c r="I493" s="2">
        <v>102</v>
      </c>
      <c r="J493" s="2" t="b">
        <v>0</v>
      </c>
      <c r="K493" s="3">
        <f>H493 - I493</f>
        <v>0</v>
      </c>
      <c r="L493" s="3">
        <f>IF(H493 = 0, 0, ROUND(100 * I493 / H493, 2))</f>
        <v>100</v>
      </c>
      <c r="M493" s="3" t="b">
        <f>K493 = 0</f>
        <v>1</v>
      </c>
      <c r="N493" s="3" t="str">
        <f>IF(M493, "", D493)</f>
      </c>
      <c r="O493" s="3" t="str">
        <f>IF(M493, "", E493)</f>
      </c>
      <c r="P493" s="3">
        <f>COUNTIFS(FieldDisagreements!E2:E999, A493)</f>
        <v>0</v>
      </c>
      <c r="Q493" s="3" t="str">
        <f>_xlfn.IFNA(INDEX(ConformanceSubstrates!C2:C999, MATCH(D493,ConformanceSubstrates!A2:A999, 0)), "")</f>
        <v>Python</v>
      </c>
      <c r="R493" s="3" t="str">
        <f>_xlfn.IFNA(INDEX(RulebookTables!F2:F999, MATCH(E493,RulebookTables!A2:A999, 0)), "")</f>
        <v>access-control</v>
      </c>
      <c r="S493" s="2" t="s">
        <v>1898</v>
      </c>
    </row>
    <row r="494">
      <c r="A494" s="2" t="s">
        <v>14501</v>
      </c>
      <c r="B494" s="3" t="str">
        <f>_xlfn.CONCAT(D494, " / ", E494)</f>
        <v>effortless-python / AppUsers</v>
      </c>
      <c r="C494" s="2" t="s">
        <v>13999</v>
      </c>
      <c r="D494" s="2" t="s">
        <v>13963</v>
      </c>
      <c r="E494" s="2" t="s">
        <v>5518</v>
      </c>
      <c r="F494" s="2">
        <v>10</v>
      </c>
      <c r="G494" s="2">
        <v>7</v>
      </c>
      <c r="H494" s="2">
        <v>70</v>
      </c>
      <c r="I494" s="2">
        <v>70</v>
      </c>
      <c r="J494" s="2" t="b">
        <v>0</v>
      </c>
      <c r="K494" s="3">
        <f>H494 - I494</f>
        <v>0</v>
      </c>
      <c r="L494" s="3">
        <f>IF(H494 = 0, 0, ROUND(100 * I494 / H494, 2))</f>
        <v>100</v>
      </c>
      <c r="M494" s="3" t="b">
        <f>K494 = 0</f>
        <v>1</v>
      </c>
      <c r="N494" s="3" t="str">
        <f>IF(M494, "", D494)</f>
      </c>
      <c r="O494" s="3" t="str">
        <f>IF(M494, "", E494)</f>
      </c>
      <c r="P494" s="3">
        <f>COUNTIFS(FieldDisagreements!E2:E999, A494)</f>
        <v>0</v>
      </c>
      <c r="Q494" s="3" t="str">
        <f>_xlfn.IFNA(INDEX(ConformanceSubstrates!C2:C999, MATCH(D494,ConformanceSubstrates!A2:A999, 0)), "")</f>
        <v>Python</v>
      </c>
      <c r="R494" s="3" t="str">
        <f>_xlfn.IFNA(INDEX(RulebookTables!F2:F999, MATCH(E494,RulebookTables!A2:A999, 0)), "")</f>
      </c>
      <c r="S494" s="2" t="s">
        <v>1898</v>
      </c>
    </row>
    <row r="495">
      <c r="A495" s="2" t="s">
        <v>14502</v>
      </c>
      <c r="B495" s="3" t="str">
        <f>_xlfn.CONCAT(D495, " / ", E495)</f>
        <v>effortless-python / PrincipalAssignments</v>
      </c>
      <c r="C495" s="2" t="s">
        <v>13999</v>
      </c>
      <c r="D495" s="2" t="s">
        <v>13963</v>
      </c>
      <c r="E495" s="2" t="s">
        <v>5545</v>
      </c>
      <c r="F495" s="2">
        <v>12</v>
      </c>
      <c r="G495" s="2">
        <v>5</v>
      </c>
      <c r="H495" s="2">
        <v>60</v>
      </c>
      <c r="I495" s="2">
        <v>60</v>
      </c>
      <c r="J495" s="2" t="b">
        <v>0</v>
      </c>
      <c r="K495" s="3">
        <f>H495 - I495</f>
        <v>0</v>
      </c>
      <c r="L495" s="3">
        <f>IF(H495 = 0, 0, ROUND(100 * I495 / H495, 2))</f>
        <v>100</v>
      </c>
      <c r="M495" s="3" t="b">
        <f>K495 = 0</f>
        <v>1</v>
      </c>
      <c r="N495" s="3" t="str">
        <f>IF(M495, "", D495)</f>
      </c>
      <c r="O495" s="3" t="str">
        <f>IF(M495, "", E495)</f>
      </c>
      <c r="P495" s="3">
        <f>COUNTIFS(FieldDisagreements!E2:E999, A495)</f>
        <v>0</v>
      </c>
      <c r="Q495" s="3" t="str">
        <f>_xlfn.IFNA(INDEX(ConformanceSubstrates!C2:C999, MATCH(D495,ConformanceSubstrates!A2:A999, 0)), "")</f>
        <v>Python</v>
      </c>
      <c r="R495" s="3" t="str">
        <f>_xlfn.IFNA(INDEX(RulebookTables!F2:F999, MATCH(E495,RulebookTables!A2:A999, 0)), "")</f>
      </c>
      <c r="S495" s="2" t="s">
        <v>1898</v>
      </c>
    </row>
    <row r="496">
      <c r="A496" s="2" t="s">
        <v>14503</v>
      </c>
      <c r="B496" s="3" t="str">
        <f>_xlfn.CONCAT(D496, " / ", E496)</f>
        <v>effortless-python / ProcessMiningRuns</v>
      </c>
      <c r="C496" s="2" t="s">
        <v>13999</v>
      </c>
      <c r="D496" s="2" t="s">
        <v>13963</v>
      </c>
      <c r="E496" s="2" t="s">
        <v>1869</v>
      </c>
      <c r="F496" s="2">
        <v>4</v>
      </c>
      <c r="G496" s="2">
        <v>10</v>
      </c>
      <c r="H496" s="2">
        <v>40</v>
      </c>
      <c r="I496" s="2">
        <v>36</v>
      </c>
      <c r="J496" s="2" t="b">
        <v>0</v>
      </c>
      <c r="K496" s="3">
        <f>H496 - I496</f>
        <v>4</v>
      </c>
      <c r="L496" s="3">
        <f>IF(H496 = 0, 0, ROUND(100 * I496 / H496, 2))</f>
        <v>90</v>
      </c>
      <c r="M496" s="3" t="b">
        <f>K496 = 0</f>
        <v>0</v>
      </c>
      <c r="N496" s="3" t="str">
        <f>IF(M496, "", D496)</f>
        <v>effortless-python</v>
      </c>
      <c r="O496" s="3" t="str">
        <f>IF(M496, "", E496)</f>
        <v>ProcessMiningRuns</v>
      </c>
      <c r="P496" s="3">
        <f>COUNTIFS(FieldDisagreements!E2:E999, A496)</f>
        <v>1</v>
      </c>
      <c r="Q496" s="3" t="str">
        <f>_xlfn.IFNA(INDEX(ConformanceSubstrates!C2:C999, MATCH(D496,ConformanceSubstrates!A2:A999, 0)), "")</f>
        <v>Python</v>
      </c>
      <c r="R496" s="3" t="str">
        <f>_xlfn.IFNA(INDEX(RulebookTables!F2:F999, MATCH(E496,RulebookTables!A2:A999, 0)), "")</f>
        <v>knowledge</v>
      </c>
      <c r="S496" s="2" t="s">
        <v>1898</v>
      </c>
    </row>
    <row r="497">
      <c r="A497" s="2" t="s">
        <v>14504</v>
      </c>
      <c r="B497" s="3" t="str">
        <f>_xlfn.CONCAT(D497, " / ", E497)</f>
        <v>effortless-python / Vocabularies</v>
      </c>
      <c r="C497" s="2" t="s">
        <v>13999</v>
      </c>
      <c r="D497" s="2" t="s">
        <v>13963</v>
      </c>
      <c r="E497" s="2" t="s">
        <v>1873</v>
      </c>
      <c r="F497" s="2">
        <v>2</v>
      </c>
      <c r="G497" s="2">
        <v>4</v>
      </c>
      <c r="H497" s="2">
        <v>8</v>
      </c>
      <c r="I497" s="2">
        <v>8</v>
      </c>
      <c r="J497" s="2" t="b">
        <v>0</v>
      </c>
      <c r="K497" s="3">
        <f>H497 - I497</f>
        <v>0</v>
      </c>
      <c r="L497" s="3">
        <f>IF(H497 = 0, 0, ROUND(100 * I497 / H497, 2))</f>
        <v>100</v>
      </c>
      <c r="M497" s="3" t="b">
        <f>K497 = 0</f>
        <v>1</v>
      </c>
      <c r="N497" s="3" t="str">
        <f>IF(M497, "", D497)</f>
      </c>
      <c r="O497" s="3" t="str">
        <f>IF(M497, "", E497)</f>
      </c>
      <c r="P497" s="3">
        <f>COUNTIFS(FieldDisagreements!E2:E999, A497)</f>
        <v>0</v>
      </c>
      <c r="Q497" s="3" t="str">
        <f>_xlfn.IFNA(INDEX(ConformanceSubstrates!C2:C999, MATCH(D497,ConformanceSubstrates!A2:A999, 0)), "")</f>
        <v>Python</v>
      </c>
      <c r="R497" s="3" t="str">
        <f>_xlfn.IFNA(INDEX(RulebookTables!F2:F999, MATCH(E497,RulebookTables!A2:A999, 0)), "")</f>
        <v>knowledge</v>
      </c>
      <c r="S497" s="2" t="s">
        <v>1898</v>
      </c>
    </row>
    <row r="498">
      <c r="A498" s="2" t="s">
        <v>14505</v>
      </c>
      <c r="B498" s="3" t="str">
        <f>_xlfn.CONCAT(D498, " / ", E498)</f>
        <v>effortless-python / VocabularyTerms</v>
      </c>
      <c r="C498" s="2" t="s">
        <v>13999</v>
      </c>
      <c r="D498" s="2" t="s">
        <v>13963</v>
      </c>
      <c r="E498" s="2" t="s">
        <v>1877</v>
      </c>
      <c r="F498" s="2">
        <v>12</v>
      </c>
      <c r="G498" s="2">
        <v>5</v>
      </c>
      <c r="H498" s="2">
        <v>60</v>
      </c>
      <c r="I498" s="2">
        <v>60</v>
      </c>
      <c r="J498" s="2" t="b">
        <v>0</v>
      </c>
      <c r="K498" s="3">
        <f>H498 - I498</f>
        <v>0</v>
      </c>
      <c r="L498" s="3">
        <f>IF(H498 = 0, 0, ROUND(100 * I498 / H498, 2))</f>
        <v>100</v>
      </c>
      <c r="M498" s="3" t="b">
        <f>K498 = 0</f>
        <v>1</v>
      </c>
      <c r="N498" s="3" t="str">
        <f>IF(M498, "", D498)</f>
      </c>
      <c r="O498" s="3" t="str">
        <f>IF(M498, "", E498)</f>
      </c>
      <c r="P498" s="3">
        <f>COUNTIFS(FieldDisagreements!E2:E999, A498)</f>
        <v>0</v>
      </c>
      <c r="Q498" s="3" t="str">
        <f>_xlfn.IFNA(INDEX(ConformanceSubstrates!C2:C999, MATCH(D498,ConformanceSubstrates!A2:A999, 0)), "")</f>
        <v>Python</v>
      </c>
      <c r="R498" s="3" t="str">
        <f>_xlfn.IFNA(INDEX(RulebookTables!F2:F999, MATCH(E498,RulebookTables!A2:A999, 0)), "")</f>
        <v>knowledge</v>
      </c>
      <c r="S498" s="2" t="s">
        <v>1898</v>
      </c>
    </row>
    <row r="499">
      <c r="A499" s="2" t="s">
        <v>14506</v>
      </c>
      <c r="B499" s="3" t="str">
        <f>_xlfn.CONCAT(D499, " / ", E499)</f>
        <v>effortless-python / KnowledgeBrokerLinks</v>
      </c>
      <c r="C499" s="2" t="s">
        <v>13999</v>
      </c>
      <c r="D499" s="2" t="s">
        <v>13963</v>
      </c>
      <c r="E499" s="2" t="s">
        <v>1881</v>
      </c>
      <c r="F499" s="2">
        <v>5</v>
      </c>
      <c r="G499" s="2">
        <v>8</v>
      </c>
      <c r="H499" s="2">
        <v>40</v>
      </c>
      <c r="I499" s="2">
        <v>40</v>
      </c>
      <c r="J499" s="2" t="b">
        <v>0</v>
      </c>
      <c r="K499" s="3">
        <f>H499 - I499</f>
        <v>0</v>
      </c>
      <c r="L499" s="3">
        <f>IF(H499 = 0, 0, ROUND(100 * I499 / H499, 2))</f>
        <v>100</v>
      </c>
      <c r="M499" s="3" t="b">
        <f>K499 = 0</f>
        <v>1</v>
      </c>
      <c r="N499" s="3" t="str">
        <f>IF(M499, "", D499)</f>
      </c>
      <c r="O499" s="3" t="str">
        <f>IF(M499, "", E499)</f>
      </c>
      <c r="P499" s="3">
        <f>COUNTIFS(FieldDisagreements!E2:E999, A499)</f>
        <v>0</v>
      </c>
      <c r="Q499" s="3" t="str">
        <f>_xlfn.IFNA(INDEX(ConformanceSubstrates!C2:C999, MATCH(D499,ConformanceSubstrates!A2:A999, 0)), "")</f>
        <v>Python</v>
      </c>
      <c r="R499" s="3" t="str">
        <f>_xlfn.IFNA(INDEX(RulebookTables!F2:F999, MATCH(E499,RulebookTables!A2:A999, 0)), "")</f>
        <v>knowledge</v>
      </c>
      <c r="S499" s="2" t="s">
        <v>1898</v>
      </c>
    </row>
    <row r="500">
      <c r="A500" s="2" t="s">
        <v>14507</v>
      </c>
      <c r="B500" s="3" t="str">
        <f>_xlfn.CONCAT(D500, " / ", E500)</f>
        <v>effortless-typescript / RulebookReleases</v>
      </c>
      <c r="C500" s="2" t="s">
        <v>13999</v>
      </c>
      <c r="D500" s="2" t="s">
        <v>13975</v>
      </c>
      <c r="E500" s="2" t="s">
        <v>2384</v>
      </c>
      <c r="F500" s="2">
        <v>1</v>
      </c>
      <c r="G500" s="2">
        <v>1</v>
      </c>
      <c r="H500" s="2">
        <v>1</v>
      </c>
      <c r="I500" s="2">
        <v>1</v>
      </c>
      <c r="J500" s="2" t="b">
        <v>0</v>
      </c>
      <c r="K500" s="3">
        <f>H500 - I500</f>
        <v>0</v>
      </c>
      <c r="L500" s="3">
        <f>IF(H500 = 0, 0, ROUND(100 * I500 / H500, 2))</f>
        <v>100</v>
      </c>
      <c r="M500" s="3" t="b">
        <f>K500 = 0</f>
        <v>1</v>
      </c>
      <c r="N500" s="3" t="str">
        <f>IF(M500, "", D500)</f>
      </c>
      <c r="O500" s="3" t="str">
        <f>IF(M500, "", E500)</f>
      </c>
      <c r="P500" s="3">
        <f>COUNTIFS(FieldDisagreements!E2:E999, A500)</f>
        <v>0</v>
      </c>
      <c r="Q500" s="3" t="str">
        <f>_xlfn.IFNA(INDEX(ConformanceSubstrates!C2:C999, MATCH(D500,ConformanceSubstrates!A2:A999, 0)), "")</f>
        <v>TypeScript</v>
      </c>
      <c r="R500" s="3" t="str">
        <f>_xlfn.IFNA(INDEX(RulebookTables!F2:F999, MATCH(E500,RulebookTables!A2:A999, 0)), "")</f>
        <v>meta</v>
      </c>
      <c r="S500" s="2" t="s">
        <v>1898</v>
      </c>
    </row>
    <row r="501">
      <c r="A501" s="2" t="s">
        <v>14508</v>
      </c>
      <c r="B501" s="3" t="str">
        <f>_xlfn.CONCAT(D501, " / ", E501)</f>
        <v>effortless-typescript / OntologyProfiles</v>
      </c>
      <c r="C501" s="2" t="s">
        <v>13999</v>
      </c>
      <c r="D501" s="2" t="s">
        <v>13975</v>
      </c>
      <c r="E501" s="2" t="s">
        <v>2403</v>
      </c>
      <c r="F501" s="2">
        <v>11</v>
      </c>
      <c r="G501" s="2">
        <v>1</v>
      </c>
      <c r="H501" s="2">
        <v>11</v>
      </c>
      <c r="I501" s="2">
        <v>11</v>
      </c>
      <c r="J501" s="2" t="b">
        <v>0</v>
      </c>
      <c r="K501" s="3">
        <f>H501 - I501</f>
        <v>0</v>
      </c>
      <c r="L501" s="3">
        <f>IF(H501 = 0, 0, ROUND(100 * I501 / H501, 2))</f>
        <v>100</v>
      </c>
      <c r="M501" s="3" t="b">
        <f>K501 = 0</f>
        <v>1</v>
      </c>
      <c r="N501" s="3" t="str">
        <f>IF(M501, "", D501)</f>
      </c>
      <c r="O501" s="3" t="str">
        <f>IF(M501, "", E501)</f>
      </c>
      <c r="P501" s="3">
        <f>COUNTIFS(FieldDisagreements!E2:E999, A501)</f>
        <v>0</v>
      </c>
      <c r="Q501" s="3" t="str">
        <f>_xlfn.IFNA(INDEX(ConformanceSubstrates!C2:C999, MATCH(D501,ConformanceSubstrates!A2:A999, 0)), "")</f>
        <v>TypeScript</v>
      </c>
      <c r="R501" s="3" t="str">
        <f>_xlfn.IFNA(INDEX(RulebookTables!F2:F999, MATCH(E501,RulebookTables!A2:A999, 0)), "")</f>
        <v>domain</v>
      </c>
      <c r="S501" s="2" t="s">
        <v>1898</v>
      </c>
    </row>
    <row r="502">
      <c r="A502" s="2" t="s">
        <v>14509</v>
      </c>
      <c r="B502" s="3" t="str">
        <f>_xlfn.CONCAT(D502, " / ", E502)</f>
        <v>effortless-typescript / EvaluationContexts</v>
      </c>
      <c r="C502" s="2" t="s">
        <v>13999</v>
      </c>
      <c r="D502" s="2" t="s">
        <v>13975</v>
      </c>
      <c r="E502" s="2" t="s">
        <v>2413</v>
      </c>
      <c r="F502" s="2">
        <v>1</v>
      </c>
      <c r="G502" s="2">
        <v>1</v>
      </c>
      <c r="H502" s="2">
        <v>1</v>
      </c>
      <c r="I502" s="2">
        <v>0</v>
      </c>
      <c r="J502" s="2" t="b">
        <v>0</v>
      </c>
      <c r="K502" s="3">
        <f>H502 - I502</f>
        <v>1</v>
      </c>
      <c r="L502" s="3">
        <f>IF(H502 = 0, 0, ROUND(100 * I502 / H502, 2))</f>
        <v>0</v>
      </c>
      <c r="M502" s="3" t="b">
        <f>K502 = 0</f>
        <v>0</v>
      </c>
      <c r="N502" s="3" t="str">
        <f>IF(M502, "", D502)</f>
        <v>effortless-typescript</v>
      </c>
      <c r="O502" s="3" t="str">
        <f>IF(M502, "", E502)</f>
        <v>EvaluationContexts</v>
      </c>
      <c r="P502" s="3">
        <f>COUNTIFS(FieldDisagreements!E2:E999, A502)</f>
        <v>1</v>
      </c>
      <c r="Q502" s="3" t="str">
        <f>_xlfn.IFNA(INDEX(ConformanceSubstrates!C2:C999, MATCH(D502,ConformanceSubstrates!A2:A999, 0)), "")</f>
        <v>TypeScript</v>
      </c>
      <c r="R502" s="3" t="str">
        <f>_xlfn.IFNA(INDEX(RulebookTables!F2:F999, MATCH(E502,RulebookTables!A2:A999, 0)), "")</f>
        <v>meta</v>
      </c>
      <c r="S502" s="2" t="s">
        <v>1898</v>
      </c>
    </row>
    <row r="503">
      <c r="A503" s="2" t="s">
        <v>14510</v>
      </c>
      <c r="B503" s="3" t="str">
        <f>_xlfn.CONCAT(D503, " / ", E503)</f>
        <v>effortless-typescript / Organizations</v>
      </c>
      <c r="C503" s="2" t="s">
        <v>13999</v>
      </c>
      <c r="D503" s="2" t="s">
        <v>13975</v>
      </c>
      <c r="E503" s="2" t="s">
        <v>2422</v>
      </c>
      <c r="F503" s="2">
        <v>4</v>
      </c>
      <c r="G503" s="2">
        <v>1</v>
      </c>
      <c r="H503" s="2">
        <v>4</v>
      </c>
      <c r="I503" s="2">
        <v>4</v>
      </c>
      <c r="J503" s="2" t="b">
        <v>0</v>
      </c>
      <c r="K503" s="3">
        <f>H503 - I503</f>
        <v>0</v>
      </c>
      <c r="L503" s="3">
        <f>IF(H503 = 0, 0, ROUND(100 * I503 / H503, 2))</f>
        <v>100</v>
      </c>
      <c r="M503" s="3" t="b">
        <f>K503 = 0</f>
        <v>1</v>
      </c>
      <c r="N503" s="3" t="str">
        <f>IF(M503, "", D503)</f>
      </c>
      <c r="O503" s="3" t="str">
        <f>IF(M503, "", E503)</f>
      </c>
      <c r="P503" s="3">
        <f>COUNTIFS(FieldDisagreements!E2:E999, A503)</f>
        <v>0</v>
      </c>
      <c r="Q503" s="3" t="str">
        <f>_xlfn.IFNA(INDEX(ConformanceSubstrates!C2:C999, MATCH(D503,ConformanceSubstrates!A2:A999, 0)), "")</f>
        <v>TypeScript</v>
      </c>
      <c r="R503" s="3" t="str">
        <f>_xlfn.IFNA(INDEX(RulebookTables!F2:F999, MATCH(E503,RulebookTables!A2:A999, 0)), "")</f>
        <v>org</v>
      </c>
      <c r="S503" s="2" t="s">
        <v>1898</v>
      </c>
    </row>
    <row r="504">
      <c r="A504" s="2" t="s">
        <v>14511</v>
      </c>
      <c r="B504" s="3" t="str">
        <f>_xlfn.CONCAT(D504, " / ", E504)</f>
        <v>effortless-typescript / Agents</v>
      </c>
      <c r="C504" s="2" t="s">
        <v>13999</v>
      </c>
      <c r="D504" s="2" t="s">
        <v>13975</v>
      </c>
      <c r="E504" s="2" t="s">
        <v>1794</v>
      </c>
      <c r="F504" s="2">
        <v>11</v>
      </c>
      <c r="G504" s="2">
        <v>16</v>
      </c>
      <c r="H504" s="2">
        <v>176</v>
      </c>
      <c r="I504" s="2">
        <v>176</v>
      </c>
      <c r="J504" s="2" t="b">
        <v>0</v>
      </c>
      <c r="K504" s="3">
        <f>H504 - I504</f>
        <v>0</v>
      </c>
      <c r="L504" s="3">
        <f>IF(H504 = 0, 0, ROUND(100 * I504 / H504, 2))</f>
        <v>100</v>
      </c>
      <c r="M504" s="3" t="b">
        <f>K504 = 0</f>
        <v>1</v>
      </c>
      <c r="N504" s="3" t="str">
        <f>IF(M504, "", D504)</f>
      </c>
      <c r="O504" s="3" t="str">
        <f>IF(M504, "", E504)</f>
      </c>
      <c r="P504" s="3">
        <f>COUNTIFS(FieldDisagreements!E2:E999, A504)</f>
        <v>0</v>
      </c>
      <c r="Q504" s="3" t="str">
        <f>_xlfn.IFNA(INDEX(ConformanceSubstrates!C2:C999, MATCH(D504,ConformanceSubstrates!A2:A999, 0)), "")</f>
        <v>TypeScript</v>
      </c>
      <c r="R504" s="3" t="str">
        <f>_xlfn.IFNA(INDEX(RulebookTables!F2:F999, MATCH(E504,RulebookTables!A2:A999, 0)), "")</f>
        <v>org</v>
      </c>
      <c r="S504" s="2" t="s">
        <v>1898</v>
      </c>
    </row>
    <row r="505">
      <c r="A505" s="2" t="s">
        <v>14512</v>
      </c>
      <c r="B505" s="3" t="str">
        <f>_xlfn.CONCAT(D505, " / ", E505)</f>
        <v>effortless-typescript / Roles</v>
      </c>
      <c r="C505" s="2" t="s">
        <v>13999</v>
      </c>
      <c r="D505" s="2" t="s">
        <v>13975</v>
      </c>
      <c r="E505" s="2" t="s">
        <v>1798</v>
      </c>
      <c r="F505" s="2">
        <v>12</v>
      </c>
      <c r="G505" s="2">
        <v>17</v>
      </c>
      <c r="H505" s="2">
        <v>204</v>
      </c>
      <c r="I505" s="2">
        <v>204</v>
      </c>
      <c r="J505" s="2" t="b">
        <v>0</v>
      </c>
      <c r="K505" s="3">
        <f>H505 - I505</f>
        <v>0</v>
      </c>
      <c r="L505" s="3">
        <f>IF(H505 = 0, 0, ROUND(100 * I505 / H505, 2))</f>
        <v>100</v>
      </c>
      <c r="M505" s="3" t="b">
        <f>K505 = 0</f>
        <v>1</v>
      </c>
      <c r="N505" s="3" t="str">
        <f>IF(M505, "", D505)</f>
      </c>
      <c r="O505" s="3" t="str">
        <f>IF(M505, "", E505)</f>
      </c>
      <c r="P505" s="3">
        <f>COUNTIFS(FieldDisagreements!E2:E999, A505)</f>
        <v>0</v>
      </c>
      <c r="Q505" s="3" t="str">
        <f>_xlfn.IFNA(INDEX(ConformanceSubstrates!C2:C999, MATCH(D505,ConformanceSubstrates!A2:A999, 0)), "")</f>
        <v>TypeScript</v>
      </c>
      <c r="R505" s="3" t="str">
        <f>_xlfn.IFNA(INDEX(RulebookTables!F2:F999, MATCH(E505,RulebookTables!A2:A999, 0)), "")</f>
        <v>org</v>
      </c>
      <c r="S505" s="2" t="s">
        <v>1898</v>
      </c>
    </row>
    <row r="506">
      <c r="A506" s="2" t="s">
        <v>14513</v>
      </c>
      <c r="B506" s="3" t="str">
        <f>_xlfn.CONCAT(D506, " / ", E506)</f>
        <v>effortless-typescript / RoleAssignments</v>
      </c>
      <c r="C506" s="2" t="s">
        <v>13999</v>
      </c>
      <c r="D506" s="2" t="s">
        <v>13975</v>
      </c>
      <c r="E506" s="2" t="s">
        <v>1801</v>
      </c>
      <c r="F506" s="2">
        <v>13</v>
      </c>
      <c r="G506" s="2">
        <v>47</v>
      </c>
      <c r="H506" s="2">
        <v>611</v>
      </c>
      <c r="I506" s="2">
        <v>584</v>
      </c>
      <c r="J506" s="2" t="b">
        <v>0</v>
      </c>
      <c r="K506" s="3">
        <f>H506 - I506</f>
        <v>27</v>
      </c>
      <c r="L506" s="3">
        <f>IF(H506 = 0, 0, ROUND(100 * I506 / H506, 2))</f>
        <v>95.58</v>
      </c>
      <c r="M506" s="3" t="b">
        <f>K506 = 0</f>
        <v>0</v>
      </c>
      <c r="N506" s="3" t="str">
        <f>IF(M506, "", D506)</f>
        <v>effortless-typescript</v>
      </c>
      <c r="O506" s="3" t="str">
        <f>IF(M506, "", E506)</f>
        <v>RoleAssignments</v>
      </c>
      <c r="P506" s="3">
        <f>COUNTIFS(FieldDisagreements!E2:E999, A506)</f>
        <v>3</v>
      </c>
      <c r="Q506" s="3" t="str">
        <f>_xlfn.IFNA(INDEX(ConformanceSubstrates!C2:C999, MATCH(D506,ConformanceSubstrates!A2:A999, 0)), "")</f>
        <v>TypeScript</v>
      </c>
      <c r="R506" s="3" t="str">
        <f>_xlfn.IFNA(INDEX(RulebookTables!F2:F999, MATCH(E506,RulebookTables!A2:A999, 0)), "")</f>
        <v>org</v>
      </c>
      <c r="S506" s="2" t="s">
        <v>1898</v>
      </c>
    </row>
    <row r="507">
      <c r="A507" s="2" t="s">
        <v>14514</v>
      </c>
      <c r="B507" s="3" t="str">
        <f>_xlfn.CONCAT(D507, " / ", E507)</f>
        <v>effortless-typescript / CommunitiesOfPractice</v>
      </c>
      <c r="C507" s="2" t="s">
        <v>13999</v>
      </c>
      <c r="D507" s="2" t="s">
        <v>13975</v>
      </c>
      <c r="E507" s="2" t="s">
        <v>2624</v>
      </c>
      <c r="F507" s="2">
        <v>2</v>
      </c>
      <c r="G507" s="2">
        <v>1</v>
      </c>
      <c r="H507" s="2">
        <v>2</v>
      </c>
      <c r="I507" s="2">
        <v>2</v>
      </c>
      <c r="J507" s="2" t="b">
        <v>0</v>
      </c>
      <c r="K507" s="3">
        <f>H507 - I507</f>
        <v>0</v>
      </c>
      <c r="L507" s="3">
        <f>IF(H507 = 0, 0, ROUND(100 * I507 / H507, 2))</f>
        <v>100</v>
      </c>
      <c r="M507" s="3" t="b">
        <f>K507 = 0</f>
        <v>1</v>
      </c>
      <c r="N507" s="3" t="str">
        <f>IF(M507, "", D507)</f>
      </c>
      <c r="O507" s="3" t="str">
        <f>IF(M507, "", E507)</f>
      </c>
      <c r="P507" s="3">
        <f>COUNTIFS(FieldDisagreements!E2:E999, A507)</f>
        <v>0</v>
      </c>
      <c r="Q507" s="3" t="str">
        <f>_xlfn.IFNA(INDEX(ConformanceSubstrates!C2:C999, MATCH(D507,ConformanceSubstrates!A2:A999, 0)), "")</f>
        <v>TypeScript</v>
      </c>
      <c r="R507" s="3" t="str">
        <f>_xlfn.IFNA(INDEX(RulebookTables!F2:F999, MATCH(E507,RulebookTables!A2:A999, 0)), "")</f>
        <v>org</v>
      </c>
      <c r="S507" s="2" t="s">
        <v>1898</v>
      </c>
    </row>
    <row r="508">
      <c r="A508" s="2" t="s">
        <v>14515</v>
      </c>
      <c r="B508" s="3" t="str">
        <f>_xlfn.CONCAT(D508, " / ", E508)</f>
        <v>effortless-typescript / Mentorships</v>
      </c>
      <c r="C508" s="2" t="s">
        <v>13999</v>
      </c>
      <c r="D508" s="2" t="s">
        <v>13975</v>
      </c>
      <c r="E508" s="2" t="s">
        <v>2633</v>
      </c>
      <c r="F508" s="2">
        <v>1</v>
      </c>
      <c r="G508" s="2">
        <v>1</v>
      </c>
      <c r="H508" s="2">
        <v>1</v>
      </c>
      <c r="I508" s="2">
        <v>1</v>
      </c>
      <c r="J508" s="2" t="b">
        <v>0</v>
      </c>
      <c r="K508" s="3">
        <f>H508 - I508</f>
        <v>0</v>
      </c>
      <c r="L508" s="3">
        <f>IF(H508 = 0, 0, ROUND(100 * I508 / H508, 2))</f>
        <v>100</v>
      </c>
      <c r="M508" s="3" t="b">
        <f>K508 = 0</f>
        <v>1</v>
      </c>
      <c r="N508" s="3" t="str">
        <f>IF(M508, "", D508)</f>
      </c>
      <c r="O508" s="3" t="str">
        <f>IF(M508, "", E508)</f>
      </c>
      <c r="P508" s="3">
        <f>COUNTIFS(FieldDisagreements!E2:E999, A508)</f>
        <v>0</v>
      </c>
      <c r="Q508" s="3" t="str">
        <f>_xlfn.IFNA(INDEX(ConformanceSubstrates!C2:C999, MATCH(D508,ConformanceSubstrates!A2:A999, 0)), "")</f>
        <v>TypeScript</v>
      </c>
      <c r="R508" s="3" t="str">
        <f>_xlfn.IFNA(INDEX(RulebookTables!F2:F999, MATCH(E508,RulebookTables!A2:A999, 0)), "")</f>
        <v>org</v>
      </c>
      <c r="S508" s="2" t="s">
        <v>1898</v>
      </c>
    </row>
    <row r="509">
      <c r="A509" s="2" t="s">
        <v>14516</v>
      </c>
      <c r="B509" s="3" t="str">
        <f>_xlfn.CONCAT(D509, " / ", E509)</f>
        <v>effortless-typescript / ProcedureTypes</v>
      </c>
      <c r="C509" s="2" t="s">
        <v>13999</v>
      </c>
      <c r="D509" s="2" t="s">
        <v>13975</v>
      </c>
      <c r="E509" s="2" t="s">
        <v>2645</v>
      </c>
      <c r="F509" s="2">
        <v>2</v>
      </c>
      <c r="G509" s="2">
        <v>1</v>
      </c>
      <c r="H509" s="2">
        <v>2</v>
      </c>
      <c r="I509" s="2">
        <v>2</v>
      </c>
      <c r="J509" s="2" t="b">
        <v>0</v>
      </c>
      <c r="K509" s="3">
        <f>H509 - I509</f>
        <v>0</v>
      </c>
      <c r="L509" s="3">
        <f>IF(H509 = 0, 0, ROUND(100 * I509 / H509, 2))</f>
        <v>100</v>
      </c>
      <c r="M509" s="3" t="b">
        <f>K509 = 0</f>
        <v>1</v>
      </c>
      <c r="N509" s="3" t="str">
        <f>IF(M509, "", D509)</f>
      </c>
      <c r="O509" s="3" t="str">
        <f>IF(M509, "", E509)</f>
      </c>
      <c r="P509" s="3">
        <f>COUNTIFS(FieldDisagreements!E2:E999, A509)</f>
        <v>0</v>
      </c>
      <c r="Q509" s="3" t="str">
        <f>_xlfn.IFNA(INDEX(ConformanceSubstrates!C2:C999, MATCH(D509,ConformanceSubstrates!A2:A999, 0)), "")</f>
        <v>TypeScript</v>
      </c>
      <c r="R509" s="3" t="str">
        <f>_xlfn.IFNA(INDEX(RulebookTables!F2:F999, MATCH(E509,RulebookTables!A2:A999, 0)), "")</f>
        <v>specification</v>
      </c>
      <c r="S509" s="2" t="s">
        <v>1898</v>
      </c>
    </row>
    <row r="510">
      <c r="A510" s="2" t="s">
        <v>14517</v>
      </c>
      <c r="B510" s="3" t="str">
        <f>_xlfn.CONCAT(D510, " / ", E510)</f>
        <v>effortless-typescript / Procedures</v>
      </c>
      <c r="C510" s="2" t="s">
        <v>13999</v>
      </c>
      <c r="D510" s="2" t="s">
        <v>13975</v>
      </c>
      <c r="E510" s="2" t="s">
        <v>1742</v>
      </c>
      <c r="F510" s="2">
        <v>2</v>
      </c>
      <c r="G510" s="2">
        <v>1</v>
      </c>
      <c r="H510" s="2">
        <v>2</v>
      </c>
      <c r="I510" s="2">
        <v>2</v>
      </c>
      <c r="J510" s="2" t="b">
        <v>0</v>
      </c>
      <c r="K510" s="3">
        <f>H510 - I510</f>
        <v>0</v>
      </c>
      <c r="L510" s="3">
        <f>IF(H510 = 0, 0, ROUND(100 * I510 / H510, 2))</f>
        <v>100</v>
      </c>
      <c r="M510" s="3" t="b">
        <f>K510 = 0</f>
        <v>1</v>
      </c>
      <c r="N510" s="3" t="str">
        <f>IF(M510, "", D510)</f>
      </c>
      <c r="O510" s="3" t="str">
        <f>IF(M510, "", E510)</f>
      </c>
      <c r="P510" s="3">
        <f>COUNTIFS(FieldDisagreements!E2:E999, A510)</f>
        <v>0</v>
      </c>
      <c r="Q510" s="3" t="str">
        <f>_xlfn.IFNA(INDEX(ConformanceSubstrates!C2:C999, MATCH(D510,ConformanceSubstrates!A2:A999, 0)), "")</f>
        <v>TypeScript</v>
      </c>
      <c r="R510" s="3" t="str">
        <f>_xlfn.IFNA(INDEX(RulebookTables!F2:F999, MATCH(E510,RulebookTables!A2:A999, 0)), "")</f>
        <v>specification</v>
      </c>
      <c r="S510" s="2" t="s">
        <v>1898</v>
      </c>
    </row>
    <row r="511">
      <c r="A511" s="2" t="s">
        <v>14518</v>
      </c>
      <c r="B511" s="3" t="str">
        <f>_xlfn.CONCAT(D511, " / ", E511)</f>
        <v>effortless-typescript / ProcedureVersions</v>
      </c>
      <c r="C511" s="2" t="s">
        <v>13999</v>
      </c>
      <c r="D511" s="2" t="s">
        <v>13975</v>
      </c>
      <c r="E511" s="2" t="s">
        <v>1747</v>
      </c>
      <c r="F511" s="2">
        <v>3</v>
      </c>
      <c r="G511" s="2">
        <v>72</v>
      </c>
      <c r="H511" s="2">
        <v>216</v>
      </c>
      <c r="I511" s="2">
        <v>209</v>
      </c>
      <c r="J511" s="2" t="b">
        <v>0</v>
      </c>
      <c r="K511" s="3">
        <f>H511 - I511</f>
        <v>7</v>
      </c>
      <c r="L511" s="3">
        <f>IF(H511 = 0, 0, ROUND(100 * I511 / H511, 2))</f>
        <v>96.76</v>
      </c>
      <c r="M511" s="3" t="b">
        <f>K511 = 0</f>
        <v>0</v>
      </c>
      <c r="N511" s="3" t="str">
        <f>IF(M511, "", D511)</f>
        <v>effortless-typescript</v>
      </c>
      <c r="O511" s="3" t="str">
        <f>IF(M511, "", E511)</f>
        <v>ProcedureVersions</v>
      </c>
      <c r="P511" s="3">
        <f>COUNTIFS(FieldDisagreements!E2:E999, A511)</f>
        <v>3</v>
      </c>
      <c r="Q511" s="3" t="str">
        <f>_xlfn.IFNA(INDEX(ConformanceSubstrates!C2:C999, MATCH(D511,ConformanceSubstrates!A2:A999, 0)), "")</f>
        <v>TypeScript</v>
      </c>
      <c r="R511" s="3" t="str">
        <f>_xlfn.IFNA(INDEX(RulebookTables!F2:F999, MATCH(E511,RulebookTables!A2:A999, 0)), "")</f>
        <v>specification</v>
      </c>
      <c r="S511" s="2" t="s">
        <v>1898</v>
      </c>
    </row>
    <row r="512">
      <c r="A512" s="2" t="s">
        <v>14519</v>
      </c>
      <c r="B512" s="3" t="str">
        <f>_xlfn.CONCAT(D512, " / ", E512)</f>
        <v>effortless-typescript / ProcedureVersionLinks</v>
      </c>
      <c r="C512" s="2" t="s">
        <v>13999</v>
      </c>
      <c r="D512" s="2" t="s">
        <v>13975</v>
      </c>
      <c r="E512" s="2" t="s">
        <v>2818</v>
      </c>
      <c r="F512" s="2">
        <v>1</v>
      </c>
      <c r="G512" s="2">
        <v>2</v>
      </c>
      <c r="H512" s="2">
        <v>2</v>
      </c>
      <c r="I512" s="2">
        <v>2</v>
      </c>
      <c r="J512" s="2" t="b">
        <v>0</v>
      </c>
      <c r="K512" s="3">
        <f>H512 - I512</f>
        <v>0</v>
      </c>
      <c r="L512" s="3">
        <f>IF(H512 = 0, 0, ROUND(100 * I512 / H512, 2))</f>
        <v>100</v>
      </c>
      <c r="M512" s="3" t="b">
        <f>K512 = 0</f>
        <v>1</v>
      </c>
      <c r="N512" s="3" t="str">
        <f>IF(M512, "", D512)</f>
      </c>
      <c r="O512" s="3" t="str">
        <f>IF(M512, "", E512)</f>
      </c>
      <c r="P512" s="3">
        <f>COUNTIFS(FieldDisagreements!E2:E999, A512)</f>
        <v>0</v>
      </c>
      <c r="Q512" s="3" t="str">
        <f>_xlfn.IFNA(INDEX(ConformanceSubstrates!C2:C999, MATCH(D512,ConformanceSubstrates!A2:A999, 0)), "")</f>
        <v>TypeScript</v>
      </c>
      <c r="R512" s="3" t="str">
        <f>_xlfn.IFNA(INDEX(RulebookTables!F2:F999, MATCH(E512,RulebookTables!A2:A999, 0)), "")</f>
        <v>specification</v>
      </c>
      <c r="S512" s="2" t="s">
        <v>1898</v>
      </c>
    </row>
    <row r="513">
      <c r="A513" s="2" t="s">
        <v>14520</v>
      </c>
      <c r="B513" s="3" t="str">
        <f>_xlfn.CONCAT(D513, " / ", E513)</f>
        <v>effortless-typescript / ProcedureStatusChanges</v>
      </c>
      <c r="C513" s="2" t="s">
        <v>13999</v>
      </c>
      <c r="D513" s="2" t="s">
        <v>13975</v>
      </c>
      <c r="E513" s="2" t="s">
        <v>1755</v>
      </c>
      <c r="F513" s="2">
        <v>5</v>
      </c>
      <c r="G513" s="2">
        <v>1</v>
      </c>
      <c r="H513" s="2">
        <v>5</v>
      </c>
      <c r="I513" s="2">
        <v>5</v>
      </c>
      <c r="J513" s="2" t="b">
        <v>0</v>
      </c>
      <c r="K513" s="3">
        <f>H513 - I513</f>
        <v>0</v>
      </c>
      <c r="L513" s="3">
        <f>IF(H513 = 0, 0, ROUND(100 * I513 / H513, 2))</f>
        <v>100</v>
      </c>
      <c r="M513" s="3" t="b">
        <f>K513 = 0</f>
        <v>1</v>
      </c>
      <c r="N513" s="3" t="str">
        <f>IF(M513, "", D513)</f>
      </c>
      <c r="O513" s="3" t="str">
        <f>IF(M513, "", E513)</f>
      </c>
      <c r="P513" s="3">
        <f>COUNTIFS(FieldDisagreements!E2:E999, A513)</f>
        <v>0</v>
      </c>
      <c r="Q513" s="3" t="str">
        <f>_xlfn.IFNA(INDEX(ConformanceSubstrates!C2:C999, MATCH(D513,ConformanceSubstrates!A2:A999, 0)), "")</f>
        <v>TypeScript</v>
      </c>
      <c r="R513" s="3" t="str">
        <f>_xlfn.IFNA(INDEX(RulebookTables!F2:F999, MATCH(E513,RulebookTables!A2:A999, 0)), "")</f>
        <v>specification</v>
      </c>
      <c r="S513" s="2" t="s">
        <v>1898</v>
      </c>
    </row>
    <row r="514">
      <c r="A514" s="2" t="s">
        <v>14521</v>
      </c>
      <c r="B514" s="3" t="str">
        <f>_xlfn.CONCAT(D514, " / ", E514)</f>
        <v>effortless-typescript / Steps</v>
      </c>
      <c r="C514" s="2" t="s">
        <v>13999</v>
      </c>
      <c r="D514" s="2" t="s">
        <v>13975</v>
      </c>
      <c r="E514" s="2" t="s">
        <v>1758</v>
      </c>
      <c r="F514" s="2">
        <v>17</v>
      </c>
      <c r="G514" s="2">
        <v>30</v>
      </c>
      <c r="H514" s="2">
        <v>510</v>
      </c>
      <c r="I514" s="2">
        <v>510</v>
      </c>
      <c r="J514" s="2" t="b">
        <v>0</v>
      </c>
      <c r="K514" s="3">
        <f>H514 - I514</f>
        <v>0</v>
      </c>
      <c r="L514" s="3">
        <f>IF(H514 = 0, 0, ROUND(100 * I514 / H514, 2))</f>
        <v>100</v>
      </c>
      <c r="M514" s="3" t="b">
        <f>K514 = 0</f>
        <v>1</v>
      </c>
      <c r="N514" s="3" t="str">
        <f>IF(M514, "", D514)</f>
      </c>
      <c r="O514" s="3" t="str">
        <f>IF(M514, "", E514)</f>
      </c>
      <c r="P514" s="3">
        <f>COUNTIFS(FieldDisagreements!E2:E999, A514)</f>
        <v>0</v>
      </c>
      <c r="Q514" s="3" t="str">
        <f>_xlfn.IFNA(INDEX(ConformanceSubstrates!C2:C999, MATCH(D514,ConformanceSubstrates!A2:A999, 0)), "")</f>
        <v>TypeScript</v>
      </c>
      <c r="R514" s="3" t="str">
        <f>_xlfn.IFNA(INDEX(RulebookTables!F2:F999, MATCH(E514,RulebookTables!A2:A999, 0)), "")</f>
        <v>specification</v>
      </c>
      <c r="S514" s="2" t="s">
        <v>1898</v>
      </c>
    </row>
    <row r="515">
      <c r="A515" s="2" t="s">
        <v>14522</v>
      </c>
      <c r="B515" s="3" t="str">
        <f>_xlfn.CONCAT(D515, " / ", E515)</f>
        <v>effortless-typescript / StepTransitions</v>
      </c>
      <c r="C515" s="2" t="s">
        <v>13999</v>
      </c>
      <c r="D515" s="2" t="s">
        <v>13975</v>
      </c>
      <c r="E515" s="2" t="s">
        <v>1764</v>
      </c>
      <c r="F515" s="2">
        <v>19</v>
      </c>
      <c r="G515" s="2">
        <v>15</v>
      </c>
      <c r="H515" s="2">
        <v>285</v>
      </c>
      <c r="I515" s="2">
        <v>285</v>
      </c>
      <c r="J515" s="2" t="b">
        <v>0</v>
      </c>
      <c r="K515" s="3">
        <f>H515 - I515</f>
        <v>0</v>
      </c>
      <c r="L515" s="3">
        <f>IF(H515 = 0, 0, ROUND(100 * I515 / H515, 2))</f>
        <v>100</v>
      </c>
      <c r="M515" s="3" t="b">
        <f>K515 = 0</f>
        <v>1</v>
      </c>
      <c r="N515" s="3" t="str">
        <f>IF(M515, "", D515)</f>
      </c>
      <c r="O515" s="3" t="str">
        <f>IF(M515, "", E515)</f>
      </c>
      <c r="P515" s="3">
        <f>COUNTIFS(FieldDisagreements!E2:E999, A515)</f>
        <v>0</v>
      </c>
      <c r="Q515" s="3" t="str">
        <f>_xlfn.IFNA(INDEX(ConformanceSubstrates!C2:C999, MATCH(D515,ConformanceSubstrates!A2:A999, 0)), "")</f>
        <v>TypeScript</v>
      </c>
      <c r="R515" s="3" t="str">
        <f>_xlfn.IFNA(INDEX(RulebookTables!F2:F999, MATCH(E515,RulebookTables!A2:A999, 0)), "")</f>
        <v>specification</v>
      </c>
      <c r="S515" s="2" t="s">
        <v>1898</v>
      </c>
    </row>
    <row r="516">
      <c r="A516" s="2" t="s">
        <v>14523</v>
      </c>
      <c r="B516" s="3" t="str">
        <f>_xlfn.CONCAT(D516, " / ", E516)</f>
        <v>effortless-typescript / Actions</v>
      </c>
      <c r="C516" s="2" t="s">
        <v>13999</v>
      </c>
      <c r="D516" s="2" t="s">
        <v>13975</v>
      </c>
      <c r="E516" s="2" t="s">
        <v>1776</v>
      </c>
      <c r="F516" s="2">
        <v>9</v>
      </c>
      <c r="G516" s="2">
        <v>1</v>
      </c>
      <c r="H516" s="2">
        <v>9</v>
      </c>
      <c r="I516" s="2">
        <v>9</v>
      </c>
      <c r="J516" s="2" t="b">
        <v>0</v>
      </c>
      <c r="K516" s="3">
        <f>H516 - I516</f>
        <v>0</v>
      </c>
      <c r="L516" s="3">
        <f>IF(H516 = 0, 0, ROUND(100 * I516 / H516, 2))</f>
        <v>100</v>
      </c>
      <c r="M516" s="3" t="b">
        <f>K516 = 0</f>
        <v>1</v>
      </c>
      <c r="N516" s="3" t="str">
        <f>IF(M516, "", D516)</f>
      </c>
      <c r="O516" s="3" t="str">
        <f>IF(M516, "", E516)</f>
      </c>
      <c r="P516" s="3">
        <f>COUNTIFS(FieldDisagreements!E2:E999, A516)</f>
        <v>0</v>
      </c>
      <c r="Q516" s="3" t="str">
        <f>_xlfn.IFNA(INDEX(ConformanceSubstrates!C2:C999, MATCH(D516,ConformanceSubstrates!A2:A999, 0)), "")</f>
        <v>TypeScript</v>
      </c>
      <c r="R516" s="3" t="str">
        <f>_xlfn.IFNA(INDEX(RulebookTables!F2:F999, MATCH(E516,RulebookTables!A2:A999, 0)), "")</f>
        <v>specification</v>
      </c>
      <c r="S516" s="2" t="s">
        <v>1898</v>
      </c>
    </row>
    <row r="517">
      <c r="A517" s="2" t="s">
        <v>14524</v>
      </c>
      <c r="B517" s="3" t="str">
        <f>_xlfn.CONCAT(D517, " / ", E517)</f>
        <v>effortless-typescript / Functions</v>
      </c>
      <c r="C517" s="2" t="s">
        <v>13999</v>
      </c>
      <c r="D517" s="2" t="s">
        <v>13975</v>
      </c>
      <c r="E517" s="2" t="s">
        <v>1779</v>
      </c>
      <c r="F517" s="2">
        <v>8</v>
      </c>
      <c r="G517" s="2">
        <v>1</v>
      </c>
      <c r="H517" s="2">
        <v>8</v>
      </c>
      <c r="I517" s="2">
        <v>8</v>
      </c>
      <c r="J517" s="2" t="b">
        <v>0</v>
      </c>
      <c r="K517" s="3">
        <f>H517 - I517</f>
        <v>0</v>
      </c>
      <c r="L517" s="3">
        <f>IF(H517 = 0, 0, ROUND(100 * I517 / H517, 2))</f>
        <v>100</v>
      </c>
      <c r="M517" s="3" t="b">
        <f>K517 = 0</f>
        <v>1</v>
      </c>
      <c r="N517" s="3" t="str">
        <f>IF(M517, "", D517)</f>
      </c>
      <c r="O517" s="3" t="str">
        <f>IF(M517, "", E517)</f>
      </c>
      <c r="P517" s="3">
        <f>COUNTIFS(FieldDisagreements!E2:E999, A517)</f>
        <v>0</v>
      </c>
      <c r="Q517" s="3" t="str">
        <f>_xlfn.IFNA(INDEX(ConformanceSubstrates!C2:C999, MATCH(D517,ConformanceSubstrates!A2:A999, 0)), "")</f>
        <v>TypeScript</v>
      </c>
      <c r="R517" s="3" t="str">
        <f>_xlfn.IFNA(INDEX(RulebookTables!F2:F999, MATCH(E517,RulebookTables!A2:A999, 0)), "")</f>
        <v>specification</v>
      </c>
      <c r="S517" s="2" t="s">
        <v>1898</v>
      </c>
    </row>
    <row r="518">
      <c r="A518" s="2" t="s">
        <v>14525</v>
      </c>
      <c r="B518" s="3" t="str">
        <f>_xlfn.CONCAT(D518, " / ", E518)</f>
        <v>effortless-typescript / Tools</v>
      </c>
      <c r="C518" s="2" t="s">
        <v>13999</v>
      </c>
      <c r="D518" s="2" t="s">
        <v>13975</v>
      </c>
      <c r="E518" s="2" t="s">
        <v>1782</v>
      </c>
      <c r="F518" s="2">
        <v>8</v>
      </c>
      <c r="G518" s="2">
        <v>1</v>
      </c>
      <c r="H518" s="2">
        <v>8</v>
      </c>
      <c r="I518" s="2">
        <v>8</v>
      </c>
      <c r="J518" s="2" t="b">
        <v>0</v>
      </c>
      <c r="K518" s="3">
        <f>H518 - I518</f>
        <v>0</v>
      </c>
      <c r="L518" s="3">
        <f>IF(H518 = 0, 0, ROUND(100 * I518 / H518, 2))</f>
        <v>100</v>
      </c>
      <c r="M518" s="3" t="b">
        <f>K518 = 0</f>
        <v>1</v>
      </c>
      <c r="N518" s="3" t="str">
        <f>IF(M518, "", D518)</f>
      </c>
      <c r="O518" s="3" t="str">
        <f>IF(M518, "", E518)</f>
      </c>
      <c r="P518" s="3">
        <f>COUNTIFS(FieldDisagreements!E2:E999, A518)</f>
        <v>0</v>
      </c>
      <c r="Q518" s="3" t="str">
        <f>_xlfn.IFNA(INDEX(ConformanceSubstrates!C2:C999, MATCH(D518,ConformanceSubstrates!A2:A999, 0)), "")</f>
        <v>TypeScript</v>
      </c>
      <c r="R518" s="3" t="str">
        <f>_xlfn.IFNA(INDEX(RulebookTables!F2:F999, MATCH(E518,RulebookTables!A2:A999, 0)), "")</f>
        <v>specification</v>
      </c>
      <c r="S518" s="2" t="s">
        <v>1898</v>
      </c>
    </row>
    <row r="519">
      <c r="A519" s="2" t="s">
        <v>14526</v>
      </c>
      <c r="B519" s="3" t="str">
        <f>_xlfn.CONCAT(D519, " / ", E519)</f>
        <v>effortless-typescript / StepActions</v>
      </c>
      <c r="C519" s="2" t="s">
        <v>13999</v>
      </c>
      <c r="D519" s="2" t="s">
        <v>13975</v>
      </c>
      <c r="E519" s="2" t="s">
        <v>2962</v>
      </c>
      <c r="F519" s="2">
        <v>9</v>
      </c>
      <c r="G519" s="2">
        <v>1</v>
      </c>
      <c r="H519" s="2">
        <v>9</v>
      </c>
      <c r="I519" s="2">
        <v>9</v>
      </c>
      <c r="J519" s="2" t="b">
        <v>0</v>
      </c>
      <c r="K519" s="3">
        <f>H519 - I519</f>
        <v>0</v>
      </c>
      <c r="L519" s="3">
        <f>IF(H519 = 0, 0, ROUND(100 * I519 / H519, 2))</f>
        <v>100</v>
      </c>
      <c r="M519" s="3" t="b">
        <f>K519 = 0</f>
        <v>1</v>
      </c>
      <c r="N519" s="3" t="str">
        <f>IF(M519, "", D519)</f>
      </c>
      <c r="O519" s="3" t="str">
        <f>IF(M519, "", E519)</f>
      </c>
      <c r="P519" s="3">
        <f>COUNTIFS(FieldDisagreements!E2:E999, A519)</f>
        <v>0</v>
      </c>
      <c r="Q519" s="3" t="str">
        <f>_xlfn.IFNA(INDEX(ConformanceSubstrates!C2:C999, MATCH(D519,ConformanceSubstrates!A2:A999, 0)), "")</f>
        <v>TypeScript</v>
      </c>
      <c r="R519" s="3" t="str">
        <f>_xlfn.IFNA(INDEX(RulebookTables!F2:F999, MATCH(E519,RulebookTables!A2:A999, 0)), "")</f>
        <v>specification</v>
      </c>
      <c r="S519" s="2" t="s">
        <v>1898</v>
      </c>
    </row>
    <row r="520">
      <c r="A520" s="2" t="s">
        <v>14527</v>
      </c>
      <c r="B520" s="3" t="str">
        <f>_xlfn.CONCAT(D520, " / ", E520)</f>
        <v>effortless-typescript / StepFunctions</v>
      </c>
      <c r="C520" s="2" t="s">
        <v>13999</v>
      </c>
      <c r="D520" s="2" t="s">
        <v>13975</v>
      </c>
      <c r="E520" s="2" t="s">
        <v>2968</v>
      </c>
      <c r="F520" s="2">
        <v>8</v>
      </c>
      <c r="G520" s="2">
        <v>1</v>
      </c>
      <c r="H520" s="2">
        <v>8</v>
      </c>
      <c r="I520" s="2">
        <v>8</v>
      </c>
      <c r="J520" s="2" t="b">
        <v>0</v>
      </c>
      <c r="K520" s="3">
        <f>H520 - I520</f>
        <v>0</v>
      </c>
      <c r="L520" s="3">
        <f>IF(H520 = 0, 0, ROUND(100 * I520 / H520, 2))</f>
        <v>100</v>
      </c>
      <c r="M520" s="3" t="b">
        <f>K520 = 0</f>
        <v>1</v>
      </c>
      <c r="N520" s="3" t="str">
        <f>IF(M520, "", D520)</f>
      </c>
      <c r="O520" s="3" t="str">
        <f>IF(M520, "", E520)</f>
      </c>
      <c r="P520" s="3">
        <f>COUNTIFS(FieldDisagreements!E2:E999, A520)</f>
        <v>0</v>
      </c>
      <c r="Q520" s="3" t="str">
        <f>_xlfn.IFNA(INDEX(ConformanceSubstrates!C2:C999, MATCH(D520,ConformanceSubstrates!A2:A999, 0)), "")</f>
        <v>TypeScript</v>
      </c>
      <c r="R520" s="3" t="str">
        <f>_xlfn.IFNA(INDEX(RulebookTables!F2:F999, MATCH(E520,RulebookTables!A2:A999, 0)), "")</f>
        <v>specification</v>
      </c>
      <c r="S520" s="2" t="s">
        <v>1898</v>
      </c>
    </row>
    <row r="521">
      <c r="A521" s="2" t="s">
        <v>14528</v>
      </c>
      <c r="B521" s="3" t="str">
        <f>_xlfn.CONCAT(D521, " / ", E521)</f>
        <v>effortless-typescript / StepTools</v>
      </c>
      <c r="C521" s="2" t="s">
        <v>13999</v>
      </c>
      <c r="D521" s="2" t="s">
        <v>13975</v>
      </c>
      <c r="E521" s="2" t="s">
        <v>2974</v>
      </c>
      <c r="F521" s="2">
        <v>10</v>
      </c>
      <c r="G521" s="2">
        <v>1</v>
      </c>
      <c r="H521" s="2">
        <v>10</v>
      </c>
      <c r="I521" s="2">
        <v>10</v>
      </c>
      <c r="J521" s="2" t="b">
        <v>0</v>
      </c>
      <c r="K521" s="3">
        <f>H521 - I521</f>
        <v>0</v>
      </c>
      <c r="L521" s="3">
        <f>IF(H521 = 0, 0, ROUND(100 * I521 / H521, 2))</f>
        <v>100</v>
      </c>
      <c r="M521" s="3" t="b">
        <f>K521 = 0</f>
        <v>1</v>
      </c>
      <c r="N521" s="3" t="str">
        <f>IF(M521, "", D521)</f>
      </c>
      <c r="O521" s="3" t="str">
        <f>IF(M521, "", E521)</f>
      </c>
      <c r="P521" s="3">
        <f>COUNTIFS(FieldDisagreements!E2:E999, A521)</f>
        <v>0</v>
      </c>
      <c r="Q521" s="3" t="str">
        <f>_xlfn.IFNA(INDEX(ConformanceSubstrates!C2:C999, MATCH(D521,ConformanceSubstrates!A2:A999, 0)), "")</f>
        <v>TypeScript</v>
      </c>
      <c r="R521" s="3" t="str">
        <f>_xlfn.IFNA(INDEX(RulebookTables!F2:F999, MATCH(E521,RulebookTables!A2:A999, 0)), "")</f>
        <v>specification</v>
      </c>
      <c r="S521" s="2" t="s">
        <v>1898</v>
      </c>
    </row>
    <row r="522">
      <c r="A522" s="2" t="s">
        <v>14529</v>
      </c>
      <c r="B522" s="3" t="str">
        <f>_xlfn.CONCAT(D522, " / ", E522)</f>
        <v>effortless-typescript / Requirements</v>
      </c>
      <c r="C522" s="2" t="s">
        <v>13999</v>
      </c>
      <c r="D522" s="2" t="s">
        <v>13975</v>
      </c>
      <c r="E522" s="2" t="s">
        <v>1785</v>
      </c>
      <c r="F522" s="2">
        <v>13</v>
      </c>
      <c r="G522" s="2">
        <v>31</v>
      </c>
      <c r="H522" s="2">
        <v>403</v>
      </c>
      <c r="I522" s="2">
        <v>400</v>
      </c>
      <c r="J522" s="2" t="b">
        <v>0</v>
      </c>
      <c r="K522" s="3">
        <f>H522 - I522</f>
        <v>3</v>
      </c>
      <c r="L522" s="3">
        <f>IF(H522 = 0, 0, ROUND(100 * I522 / H522, 2))</f>
        <v>99.26</v>
      </c>
      <c r="M522" s="3" t="b">
        <f>K522 = 0</f>
        <v>0</v>
      </c>
      <c r="N522" s="3" t="str">
        <f>IF(M522, "", D522)</f>
        <v>effortless-typescript</v>
      </c>
      <c r="O522" s="3" t="str">
        <f>IF(M522, "", E522)</f>
        <v>Requirements</v>
      </c>
      <c r="P522" s="3">
        <f>COUNTIFS(FieldDisagreements!E2:E999, A522)</f>
        <v>1</v>
      </c>
      <c r="Q522" s="3" t="str">
        <f>_xlfn.IFNA(INDEX(ConformanceSubstrates!C2:C999, MATCH(D522,ConformanceSubstrates!A2:A999, 0)), "")</f>
        <v>TypeScript</v>
      </c>
      <c r="R522" s="3" t="str">
        <f>_xlfn.IFNA(INDEX(RulebookTables!F2:F999, MATCH(E522,RulebookTables!A2:A999, 0)), "")</f>
        <v>governance</v>
      </c>
      <c r="S522" s="2" t="s">
        <v>1898</v>
      </c>
    </row>
    <row r="523">
      <c r="A523" s="2" t="s">
        <v>14530</v>
      </c>
      <c r="B523" s="3" t="str">
        <f>_xlfn.CONCAT(D523, " / ", E523)</f>
        <v>effortless-typescript / StepRequirements</v>
      </c>
      <c r="C523" s="2" t="s">
        <v>13999</v>
      </c>
      <c r="D523" s="2" t="s">
        <v>13975</v>
      </c>
      <c r="E523" s="2" t="s">
        <v>3053</v>
      </c>
      <c r="F523" s="2">
        <v>15</v>
      </c>
      <c r="G523" s="2">
        <v>10</v>
      </c>
      <c r="H523" s="2">
        <v>150</v>
      </c>
      <c r="I523" s="2">
        <v>150</v>
      </c>
      <c r="J523" s="2" t="b">
        <v>0</v>
      </c>
      <c r="K523" s="3">
        <f>H523 - I523</f>
        <v>0</v>
      </c>
      <c r="L523" s="3">
        <f>IF(H523 = 0, 0, ROUND(100 * I523 / H523, 2))</f>
        <v>100</v>
      </c>
      <c r="M523" s="3" t="b">
        <f>K523 = 0</f>
        <v>1</v>
      </c>
      <c r="N523" s="3" t="str">
        <f>IF(M523, "", D523)</f>
      </c>
      <c r="O523" s="3" t="str">
        <f>IF(M523, "", E523)</f>
      </c>
      <c r="P523" s="3">
        <f>COUNTIFS(FieldDisagreements!E2:E999, A523)</f>
        <v>0</v>
      </c>
      <c r="Q523" s="3" t="str">
        <f>_xlfn.IFNA(INDEX(ConformanceSubstrates!C2:C999, MATCH(D523,ConformanceSubstrates!A2:A999, 0)), "")</f>
        <v>TypeScript</v>
      </c>
      <c r="R523" s="3" t="str">
        <f>_xlfn.IFNA(INDEX(RulebookTables!F2:F999, MATCH(E523,RulebookTables!A2:A999, 0)), "")</f>
        <v>specification</v>
      </c>
      <c r="S523" s="2" t="s">
        <v>1898</v>
      </c>
    </row>
    <row r="524">
      <c r="A524" s="2" t="s">
        <v>14531</v>
      </c>
      <c r="B524" s="3" t="str">
        <f>_xlfn.CONCAT(D524, " / ", E524)</f>
        <v>effortless-typescript / StepVerifications</v>
      </c>
      <c r="C524" s="2" t="s">
        <v>13999</v>
      </c>
      <c r="D524" s="2" t="s">
        <v>13975</v>
      </c>
      <c r="E524" s="2" t="s">
        <v>1788</v>
      </c>
      <c r="F524" s="2">
        <v>11</v>
      </c>
      <c r="G524" s="2">
        <v>1</v>
      </c>
      <c r="H524" s="2">
        <v>11</v>
      </c>
      <c r="I524" s="2">
        <v>11</v>
      </c>
      <c r="J524" s="2" t="b">
        <v>0</v>
      </c>
      <c r="K524" s="3">
        <f>H524 - I524</f>
        <v>0</v>
      </c>
      <c r="L524" s="3">
        <f>IF(H524 = 0, 0, ROUND(100 * I524 / H524, 2))</f>
        <v>100</v>
      </c>
      <c r="M524" s="3" t="b">
        <f>K524 = 0</f>
        <v>1</v>
      </c>
      <c r="N524" s="3" t="str">
        <f>IF(M524, "", D524)</f>
      </c>
      <c r="O524" s="3" t="str">
        <f>IF(M524, "", E524)</f>
      </c>
      <c r="P524" s="3">
        <f>COUNTIFS(FieldDisagreements!E2:E999, A524)</f>
        <v>0</v>
      </c>
      <c r="Q524" s="3" t="str">
        <f>_xlfn.IFNA(INDEX(ConformanceSubstrates!C2:C999, MATCH(D524,ConformanceSubstrates!A2:A999, 0)), "")</f>
        <v>TypeScript</v>
      </c>
      <c r="R524" s="3" t="str">
        <f>_xlfn.IFNA(INDEX(RulebookTables!F2:F999, MATCH(E524,RulebookTables!A2:A999, 0)), "")</f>
        <v>specification</v>
      </c>
      <c r="S524" s="2" t="s">
        <v>1898</v>
      </c>
    </row>
    <row r="525">
      <c r="A525" s="2" t="s">
        <v>14532</v>
      </c>
      <c r="B525" s="3" t="str">
        <f>_xlfn.CONCAT(D525, " / ", E525)</f>
        <v>effortless-typescript / Rationales</v>
      </c>
      <c r="C525" s="2" t="s">
        <v>13999</v>
      </c>
      <c r="D525" s="2" t="s">
        <v>13975</v>
      </c>
      <c r="E525" s="2" t="s">
        <v>3085</v>
      </c>
      <c r="F525" s="2">
        <v>4</v>
      </c>
      <c r="G525" s="2">
        <v>1</v>
      </c>
      <c r="H525" s="2">
        <v>4</v>
      </c>
      <c r="I525" s="2">
        <v>4</v>
      </c>
      <c r="J525" s="2" t="b">
        <v>0</v>
      </c>
      <c r="K525" s="3">
        <f>H525 - I525</f>
        <v>0</v>
      </c>
      <c r="L525" s="3">
        <f>IF(H525 = 0, 0, ROUND(100 * I525 / H525, 2))</f>
        <v>100</v>
      </c>
      <c r="M525" s="3" t="b">
        <f>K525 = 0</f>
        <v>1</v>
      </c>
      <c r="N525" s="3" t="str">
        <f>IF(M525, "", D525)</f>
      </c>
      <c r="O525" s="3" t="str">
        <f>IF(M525, "", E525)</f>
      </c>
      <c r="P525" s="3">
        <f>COUNTIFS(FieldDisagreements!E2:E999, A525)</f>
        <v>0</v>
      </c>
      <c r="Q525" s="3" t="str">
        <f>_xlfn.IFNA(INDEX(ConformanceSubstrates!C2:C999, MATCH(D525,ConformanceSubstrates!A2:A999, 0)), "")</f>
        <v>TypeScript</v>
      </c>
      <c r="R525" s="3" t="str">
        <f>_xlfn.IFNA(INDEX(RulebookTables!F2:F999, MATCH(E525,RulebookTables!A2:A999, 0)), "")</f>
        <v>governance</v>
      </c>
      <c r="S525" s="2" t="s">
        <v>1898</v>
      </c>
    </row>
    <row r="526">
      <c r="A526" s="2" t="s">
        <v>14533</v>
      </c>
      <c r="B526" s="3" t="str">
        <f>_xlfn.CONCAT(D526, " / ", E526)</f>
        <v>effortless-typescript / Exceptions</v>
      </c>
      <c r="C526" s="2" t="s">
        <v>13999</v>
      </c>
      <c r="D526" s="2" t="s">
        <v>13975</v>
      </c>
      <c r="E526" s="2" t="s">
        <v>3095</v>
      </c>
      <c r="F526" s="2">
        <v>4</v>
      </c>
      <c r="G526" s="2">
        <v>2</v>
      </c>
      <c r="H526" s="2">
        <v>8</v>
      </c>
      <c r="I526" s="2">
        <v>8</v>
      </c>
      <c r="J526" s="2" t="b">
        <v>0</v>
      </c>
      <c r="K526" s="3">
        <f>H526 - I526</f>
        <v>0</v>
      </c>
      <c r="L526" s="3">
        <f>IF(H526 = 0, 0, ROUND(100 * I526 / H526, 2))</f>
        <v>100</v>
      </c>
      <c r="M526" s="3" t="b">
        <f>K526 = 0</f>
        <v>1</v>
      </c>
      <c r="N526" s="3" t="str">
        <f>IF(M526, "", D526)</f>
      </c>
      <c r="O526" s="3" t="str">
        <f>IF(M526, "", E526)</f>
      </c>
      <c r="P526" s="3">
        <f>COUNTIFS(FieldDisagreements!E2:E999, A526)</f>
        <v>0</v>
      </c>
      <c r="Q526" s="3" t="str">
        <f>_xlfn.IFNA(INDEX(ConformanceSubstrates!C2:C999, MATCH(D526,ConformanceSubstrates!A2:A999, 0)), "")</f>
        <v>TypeScript</v>
      </c>
      <c r="R526" s="3" t="str">
        <f>_xlfn.IFNA(INDEX(RulebookTables!F2:F999, MATCH(E526,RulebookTables!A2:A999, 0)), "")</f>
        <v>governance</v>
      </c>
      <c r="S526" s="2" t="s">
        <v>1898</v>
      </c>
    </row>
    <row r="527">
      <c r="A527" s="2" t="s">
        <v>14534</v>
      </c>
      <c r="B527" s="3" t="str">
        <f>_xlfn.CONCAT(D527, " / ", E527)</f>
        <v>effortless-typescript / Resources</v>
      </c>
      <c r="C527" s="2" t="s">
        <v>13999</v>
      </c>
      <c r="D527" s="2" t="s">
        <v>13975</v>
      </c>
      <c r="E527" s="2" t="s">
        <v>1791</v>
      </c>
      <c r="F527" s="2">
        <v>8</v>
      </c>
      <c r="G527" s="2">
        <v>2</v>
      </c>
      <c r="H527" s="2">
        <v>16</v>
      </c>
      <c r="I527" s="2">
        <v>16</v>
      </c>
      <c r="J527" s="2" t="b">
        <v>0</v>
      </c>
      <c r="K527" s="3">
        <f>H527 - I527</f>
        <v>0</v>
      </c>
      <c r="L527" s="3">
        <f>IF(H527 = 0, 0, ROUND(100 * I527 / H527, 2))</f>
        <v>100</v>
      </c>
      <c r="M527" s="3" t="b">
        <f>K527 = 0</f>
        <v>1</v>
      </c>
      <c r="N527" s="3" t="str">
        <f>IF(M527, "", D527)</f>
      </c>
      <c r="O527" s="3" t="str">
        <f>IF(M527, "", E527)</f>
      </c>
      <c r="P527" s="3">
        <f>COUNTIFS(FieldDisagreements!E2:E999, A527)</f>
        <v>0</v>
      </c>
      <c r="Q527" s="3" t="str">
        <f>_xlfn.IFNA(INDEX(ConformanceSubstrates!C2:C999, MATCH(D527,ConformanceSubstrates!A2:A999, 0)), "")</f>
        <v>TypeScript</v>
      </c>
      <c r="R527" s="3" t="str">
        <f>_xlfn.IFNA(INDEX(RulebookTables!F2:F999, MATCH(E527,RulebookTables!A2:A999, 0)), "")</f>
        <v>domain</v>
      </c>
      <c r="S527" s="2" t="s">
        <v>1898</v>
      </c>
    </row>
    <row r="528">
      <c r="A528" s="2" t="s">
        <v>14535</v>
      </c>
      <c r="B528" s="3" t="str">
        <f>_xlfn.CONCAT(D528, " / ", E528)</f>
        <v>effortless-typescript / ProcedureResources</v>
      </c>
      <c r="C528" s="2" t="s">
        <v>13999</v>
      </c>
      <c r="D528" s="2" t="s">
        <v>13975</v>
      </c>
      <c r="E528" s="2" t="s">
        <v>3121</v>
      </c>
      <c r="F528" s="2">
        <v>8</v>
      </c>
      <c r="G528" s="2">
        <v>2</v>
      </c>
      <c r="H528" s="2">
        <v>16</v>
      </c>
      <c r="I528" s="2">
        <v>16</v>
      </c>
      <c r="J528" s="2" t="b">
        <v>0</v>
      </c>
      <c r="K528" s="3">
        <f>H528 - I528</f>
        <v>0</v>
      </c>
      <c r="L528" s="3">
        <f>IF(H528 = 0, 0, ROUND(100 * I528 / H528, 2))</f>
        <v>100</v>
      </c>
      <c r="M528" s="3" t="b">
        <f>K528 = 0</f>
        <v>1</v>
      </c>
      <c r="N528" s="3" t="str">
        <f>IF(M528, "", D528)</f>
      </c>
      <c r="O528" s="3" t="str">
        <f>IF(M528, "", E528)</f>
      </c>
      <c r="P528" s="3">
        <f>COUNTIFS(FieldDisagreements!E2:E999, A528)</f>
        <v>0</v>
      </c>
      <c r="Q528" s="3" t="str">
        <f>_xlfn.IFNA(INDEX(ConformanceSubstrates!C2:C999, MATCH(D528,ConformanceSubstrates!A2:A999, 0)), "")</f>
        <v>TypeScript</v>
      </c>
      <c r="R528" s="3" t="str">
        <f>_xlfn.IFNA(INDEX(RulebookTables!F2:F999, MATCH(E528,RulebookTables!A2:A999, 0)), "")</f>
        <v>specification</v>
      </c>
      <c r="S528" s="2" t="s">
        <v>1898</v>
      </c>
    </row>
    <row r="529">
      <c r="A529" s="2" t="s">
        <v>14536</v>
      </c>
      <c r="B529" s="3" t="str">
        <f>_xlfn.CONCAT(D529, " / ", E529)</f>
        <v>effortless-typescript / ElicitationSessions</v>
      </c>
      <c r="C529" s="2" t="s">
        <v>13999</v>
      </c>
      <c r="D529" s="2" t="s">
        <v>13975</v>
      </c>
      <c r="E529" s="2" t="s">
        <v>1835</v>
      </c>
      <c r="F529" s="2">
        <v>3</v>
      </c>
      <c r="G529" s="2">
        <v>10</v>
      </c>
      <c r="H529" s="2">
        <v>30</v>
      </c>
      <c r="I529" s="2">
        <v>25</v>
      </c>
      <c r="J529" s="2" t="b">
        <v>0</v>
      </c>
      <c r="K529" s="3">
        <f>H529 - I529</f>
        <v>5</v>
      </c>
      <c r="L529" s="3">
        <f>IF(H529 = 0, 0, ROUND(100 * I529 / H529, 2))</f>
        <v>83.33</v>
      </c>
      <c r="M529" s="3" t="b">
        <f>K529 = 0</f>
        <v>0</v>
      </c>
      <c r="N529" s="3" t="str">
        <f>IF(M529, "", D529)</f>
        <v>effortless-typescript</v>
      </c>
      <c r="O529" s="3" t="str">
        <f>IF(M529, "", E529)</f>
        <v>ElicitationSessions</v>
      </c>
      <c r="P529" s="3">
        <f>COUNTIFS(FieldDisagreements!E2:E999, A529)</f>
        <v>2</v>
      </c>
      <c r="Q529" s="3" t="str">
        <f>_xlfn.IFNA(INDEX(ConformanceSubstrates!C2:C999, MATCH(D529,ConformanceSubstrates!A2:A999, 0)), "")</f>
        <v>TypeScript</v>
      </c>
      <c r="R529" s="3" t="str">
        <f>_xlfn.IFNA(INDEX(RulebookTables!F2:F999, MATCH(E529,RulebookTables!A2:A999, 0)), "")</f>
        <v>knowledge</v>
      </c>
      <c r="S529" s="2" t="s">
        <v>1898</v>
      </c>
    </row>
    <row r="530">
      <c r="A530" s="2" t="s">
        <v>14537</v>
      </c>
      <c r="B530" s="3" t="str">
        <f>_xlfn.CONCAT(D530, " / ", E530)</f>
        <v>effortless-typescript / KnowledgeFragments</v>
      </c>
      <c r="C530" s="2" t="s">
        <v>13999</v>
      </c>
      <c r="D530" s="2" t="s">
        <v>13975</v>
      </c>
      <c r="E530" s="2" t="s">
        <v>1831</v>
      </c>
      <c r="F530" s="2">
        <v>7</v>
      </c>
      <c r="G530" s="2">
        <v>65</v>
      </c>
      <c r="H530" s="2">
        <v>455</v>
      </c>
      <c r="I530" s="2">
        <v>445</v>
      </c>
      <c r="J530" s="2" t="b">
        <v>0</v>
      </c>
      <c r="K530" s="3">
        <f>H530 - I530</f>
        <v>10</v>
      </c>
      <c r="L530" s="3">
        <f>IF(H530 = 0, 0, ROUND(100 * I530 / H530, 2))</f>
        <v>97.8</v>
      </c>
      <c r="M530" s="3" t="b">
        <f>K530 = 0</f>
        <v>0</v>
      </c>
      <c r="N530" s="3" t="str">
        <f>IF(M530, "", D530)</f>
        <v>effortless-typescript</v>
      </c>
      <c r="O530" s="3" t="str">
        <f>IF(M530, "", E530)</f>
        <v>KnowledgeFragments</v>
      </c>
      <c r="P530" s="3">
        <f>COUNTIFS(FieldDisagreements!E2:E999, A530)</f>
        <v>4</v>
      </c>
      <c r="Q530" s="3" t="str">
        <f>_xlfn.IFNA(INDEX(ConformanceSubstrates!C2:C999, MATCH(D530,ConformanceSubstrates!A2:A999, 0)), "")</f>
        <v>TypeScript</v>
      </c>
      <c r="R530" s="3" t="str">
        <f>_xlfn.IFNA(INDEX(RulebookTables!F2:F999, MATCH(E530,RulebookTables!A2:A999, 0)), "")</f>
        <v>knowledge</v>
      </c>
      <c r="S530" s="2" t="s">
        <v>1898</v>
      </c>
    </row>
    <row r="531">
      <c r="A531" s="2" t="s">
        <v>14538</v>
      </c>
      <c r="B531" s="3" t="str">
        <f>_xlfn.CONCAT(D531, " / ", E531)</f>
        <v>effortless-typescript / KnowledgeGaps</v>
      </c>
      <c r="C531" s="2" t="s">
        <v>13999</v>
      </c>
      <c r="D531" s="2" t="s">
        <v>13975</v>
      </c>
      <c r="E531" s="2" t="s">
        <v>3302</v>
      </c>
      <c r="F531" s="2">
        <v>8</v>
      </c>
      <c r="G531" s="2">
        <v>16</v>
      </c>
      <c r="H531" s="2">
        <v>128</v>
      </c>
      <c r="I531" s="2">
        <v>127</v>
      </c>
      <c r="J531" s="2" t="b">
        <v>0</v>
      </c>
      <c r="K531" s="3">
        <f>H531 - I531</f>
        <v>1</v>
      </c>
      <c r="L531" s="3">
        <f>IF(H531 = 0, 0, ROUND(100 * I531 / H531, 2))</f>
        <v>99.22</v>
      </c>
      <c r="M531" s="3" t="b">
        <f>K531 = 0</f>
        <v>0</v>
      </c>
      <c r="N531" s="3" t="str">
        <f>IF(M531, "", D531)</f>
        <v>effortless-typescript</v>
      </c>
      <c r="O531" s="3" t="str">
        <f>IF(M531, "", E531)</f>
        <v>KnowledgeGaps</v>
      </c>
      <c r="P531" s="3">
        <f>COUNTIFS(FieldDisagreements!E2:E999, A531)</f>
        <v>1</v>
      </c>
      <c r="Q531" s="3" t="str">
        <f>_xlfn.IFNA(INDEX(ConformanceSubstrates!C2:C999, MATCH(D531,ConformanceSubstrates!A2:A999, 0)), "")</f>
        <v>TypeScript</v>
      </c>
      <c r="R531" s="3" t="str">
        <f>_xlfn.IFNA(INDEX(RulebookTables!F2:F999, MATCH(E531,RulebookTables!A2:A999, 0)), "")</f>
        <v>knowledge</v>
      </c>
      <c r="S531" s="2" t="s">
        <v>1898</v>
      </c>
    </row>
    <row r="532">
      <c r="A532" s="2" t="s">
        <v>14539</v>
      </c>
      <c r="B532" s="3" t="str">
        <f>_xlfn.CONCAT(D532, " / ", E532)</f>
        <v>effortless-typescript / FAQs</v>
      </c>
      <c r="C532" s="2" t="s">
        <v>13999</v>
      </c>
      <c r="D532" s="2" t="s">
        <v>13975</v>
      </c>
      <c r="E532" s="2" t="s">
        <v>1825</v>
      </c>
      <c r="F532" s="2">
        <v>3</v>
      </c>
      <c r="G532" s="2">
        <v>1</v>
      </c>
      <c r="H532" s="2">
        <v>3</v>
      </c>
      <c r="I532" s="2">
        <v>3</v>
      </c>
      <c r="J532" s="2" t="b">
        <v>0</v>
      </c>
      <c r="K532" s="3">
        <f>H532 - I532</f>
        <v>0</v>
      </c>
      <c r="L532" s="3">
        <f>IF(H532 = 0, 0, ROUND(100 * I532 / H532, 2))</f>
        <v>100</v>
      </c>
      <c r="M532" s="3" t="b">
        <f>K532 = 0</f>
        <v>1</v>
      </c>
      <c r="N532" s="3" t="str">
        <f>IF(M532, "", D532)</f>
      </c>
      <c r="O532" s="3" t="str">
        <f>IF(M532, "", E532)</f>
      </c>
      <c r="P532" s="3">
        <f>COUNTIFS(FieldDisagreements!E2:E999, A532)</f>
        <v>0</v>
      </c>
      <c r="Q532" s="3" t="str">
        <f>_xlfn.IFNA(INDEX(ConformanceSubstrates!C2:C999, MATCH(D532,ConformanceSubstrates!A2:A999, 0)), "")</f>
        <v>TypeScript</v>
      </c>
      <c r="R532" s="3" t="str">
        <f>_xlfn.IFNA(INDEX(RulebookTables!F2:F999, MATCH(E532,RulebookTables!A2:A999, 0)), "")</f>
        <v>knowledge</v>
      </c>
      <c r="S532" s="2" t="s">
        <v>1898</v>
      </c>
    </row>
    <row r="533">
      <c r="A533" s="2" t="s">
        <v>14540</v>
      </c>
      <c r="B533" s="3" t="str">
        <f>_xlfn.CONCAT(D533, " / ", E533)</f>
        <v>effortless-typescript / Explanations</v>
      </c>
      <c r="C533" s="2" t="s">
        <v>13999</v>
      </c>
      <c r="D533" s="2" t="s">
        <v>13975</v>
      </c>
      <c r="E533" s="2" t="s">
        <v>1828</v>
      </c>
      <c r="F533" s="2">
        <v>2</v>
      </c>
      <c r="G533" s="2">
        <v>1</v>
      </c>
      <c r="H533" s="2">
        <v>2</v>
      </c>
      <c r="I533" s="2">
        <v>2</v>
      </c>
      <c r="J533" s="2" t="b">
        <v>0</v>
      </c>
      <c r="K533" s="3">
        <f>H533 - I533</f>
        <v>0</v>
      </c>
      <c r="L533" s="3">
        <f>IF(H533 = 0, 0, ROUND(100 * I533 / H533, 2))</f>
        <v>100</v>
      </c>
      <c r="M533" s="3" t="b">
        <f>K533 = 0</f>
        <v>1</v>
      </c>
      <c r="N533" s="3" t="str">
        <f>IF(M533, "", D533)</f>
      </c>
      <c r="O533" s="3" t="str">
        <f>IF(M533, "", E533)</f>
      </c>
      <c r="P533" s="3">
        <f>COUNTIFS(FieldDisagreements!E2:E999, A533)</f>
        <v>0</v>
      </c>
      <c r="Q533" s="3" t="str">
        <f>_xlfn.IFNA(INDEX(ConformanceSubstrates!C2:C999, MATCH(D533,ConformanceSubstrates!A2:A999, 0)), "")</f>
        <v>TypeScript</v>
      </c>
      <c r="R533" s="3" t="str">
        <f>_xlfn.IFNA(INDEX(RulebookTables!F2:F999, MATCH(E533,RulebookTables!A2:A999, 0)), "")</f>
        <v>knowledge</v>
      </c>
      <c r="S533" s="2" t="s">
        <v>1898</v>
      </c>
    </row>
    <row r="534">
      <c r="A534" s="2" t="s">
        <v>14541</v>
      </c>
      <c r="B534" s="3" t="str">
        <f>_xlfn.CONCAT(D534, " / ", E534)</f>
        <v>effortless-typescript / ProcedureExecutions</v>
      </c>
      <c r="C534" s="2" t="s">
        <v>13999</v>
      </c>
      <c r="D534" s="2" t="s">
        <v>13975</v>
      </c>
      <c r="E534" s="2" t="s">
        <v>1804</v>
      </c>
      <c r="F534" s="2">
        <v>2</v>
      </c>
      <c r="G534" s="2">
        <v>69</v>
      </c>
      <c r="H534" s="2">
        <v>138</v>
      </c>
      <c r="I534" s="2">
        <v>138</v>
      </c>
      <c r="J534" s="2" t="b">
        <v>0</v>
      </c>
      <c r="K534" s="3">
        <f>H534 - I534</f>
        <v>0</v>
      </c>
      <c r="L534" s="3">
        <f>IF(H534 = 0, 0, ROUND(100 * I534 / H534, 2))</f>
        <v>100</v>
      </c>
      <c r="M534" s="3" t="b">
        <f>K534 = 0</f>
        <v>1</v>
      </c>
      <c r="N534" s="3" t="str">
        <f>IF(M534, "", D534)</f>
      </c>
      <c r="O534" s="3" t="str">
        <f>IF(M534, "", E534)</f>
      </c>
      <c r="P534" s="3">
        <f>COUNTIFS(FieldDisagreements!E2:E999, A534)</f>
        <v>0</v>
      </c>
      <c r="Q534" s="3" t="str">
        <f>_xlfn.IFNA(INDEX(ConformanceSubstrates!C2:C999, MATCH(D534,ConformanceSubstrates!A2:A999, 0)), "")</f>
        <v>TypeScript</v>
      </c>
      <c r="R534" s="3" t="str">
        <f>_xlfn.IFNA(INDEX(RulebookTables!F2:F999, MATCH(E534,RulebookTables!A2:A999, 0)), "")</f>
        <v>specification</v>
      </c>
      <c r="S534" s="2" t="s">
        <v>1898</v>
      </c>
    </row>
    <row r="535">
      <c r="A535" s="2" t="s">
        <v>14542</v>
      </c>
      <c r="B535" s="3" t="str">
        <f>_xlfn.CONCAT(D535, " / ", E535)</f>
        <v>effortless-typescript / StepExecutions</v>
      </c>
      <c r="C535" s="2" t="s">
        <v>13999</v>
      </c>
      <c r="D535" s="2" t="s">
        <v>13975</v>
      </c>
      <c r="E535" s="2" t="s">
        <v>1807</v>
      </c>
      <c r="F535" s="2">
        <v>12</v>
      </c>
      <c r="G535" s="2">
        <v>99</v>
      </c>
      <c r="H535" s="2">
        <v>1188</v>
      </c>
      <c r="I535" s="2">
        <v>1188</v>
      </c>
      <c r="J535" s="2" t="b">
        <v>0</v>
      </c>
      <c r="K535" s="3">
        <f>H535 - I535</f>
        <v>0</v>
      </c>
      <c r="L535" s="3">
        <f>IF(H535 = 0, 0, ROUND(100 * I535 / H535, 2))</f>
        <v>100</v>
      </c>
      <c r="M535" s="3" t="b">
        <f>K535 = 0</f>
        <v>1</v>
      </c>
      <c r="N535" s="3" t="str">
        <f>IF(M535, "", D535)</f>
      </c>
      <c r="O535" s="3" t="str">
        <f>IF(M535, "", E535)</f>
      </c>
      <c r="P535" s="3">
        <f>COUNTIFS(FieldDisagreements!E2:E999, A535)</f>
        <v>0</v>
      </c>
      <c r="Q535" s="3" t="str">
        <f>_xlfn.IFNA(INDEX(ConformanceSubstrates!C2:C999, MATCH(D535,ConformanceSubstrates!A2:A999, 0)), "")</f>
        <v>TypeScript</v>
      </c>
      <c r="R535" s="3" t="str">
        <f>_xlfn.IFNA(INDEX(RulebookTables!F2:F999, MATCH(E535,RulebookTables!A2:A999, 0)), "")</f>
        <v>specification</v>
      </c>
      <c r="S535" s="2" t="s">
        <v>1898</v>
      </c>
    </row>
    <row r="536">
      <c r="A536" s="2" t="s">
        <v>14543</v>
      </c>
      <c r="B536" s="3" t="str">
        <f>_xlfn.CONCAT(D536, " / ", E536)</f>
        <v>effortless-typescript / RequirementSatisfactions</v>
      </c>
      <c r="C536" s="2" t="s">
        <v>13999</v>
      </c>
      <c r="D536" s="2" t="s">
        <v>13975</v>
      </c>
      <c r="E536" s="2" t="s">
        <v>1810</v>
      </c>
      <c r="F536" s="2">
        <v>8</v>
      </c>
      <c r="G536" s="2">
        <v>38</v>
      </c>
      <c r="H536" s="2">
        <v>304</v>
      </c>
      <c r="I536" s="2">
        <v>304</v>
      </c>
      <c r="J536" s="2" t="b">
        <v>0</v>
      </c>
      <c r="K536" s="3">
        <f>H536 - I536</f>
        <v>0</v>
      </c>
      <c r="L536" s="3">
        <f>IF(H536 = 0, 0, ROUND(100 * I536 / H536, 2))</f>
        <v>100</v>
      </c>
      <c r="M536" s="3" t="b">
        <f>K536 = 0</f>
        <v>1</v>
      </c>
      <c r="N536" s="3" t="str">
        <f>IF(M536, "", D536)</f>
      </c>
      <c r="O536" s="3" t="str">
        <f>IF(M536, "", E536)</f>
      </c>
      <c r="P536" s="3">
        <f>COUNTIFS(FieldDisagreements!E2:E999, A536)</f>
        <v>0</v>
      </c>
      <c r="Q536" s="3" t="str">
        <f>_xlfn.IFNA(INDEX(ConformanceSubstrates!C2:C999, MATCH(D536,ConformanceSubstrates!A2:A999, 0)), "")</f>
        <v>TypeScript</v>
      </c>
      <c r="R536" s="3" t="str">
        <f>_xlfn.IFNA(INDEX(RulebookTables!F2:F999, MATCH(E536,RulebookTables!A2:A999, 0)), "")</f>
        <v>execution</v>
      </c>
      <c r="S536" s="2" t="s">
        <v>1898</v>
      </c>
    </row>
    <row r="537">
      <c r="A537" s="2" t="s">
        <v>14544</v>
      </c>
      <c r="B537" s="3" t="str">
        <f>_xlfn.CONCAT(D537, " / ", E537)</f>
        <v>effortless-typescript / Errors</v>
      </c>
      <c r="C537" s="2" t="s">
        <v>13999</v>
      </c>
      <c r="D537" s="2" t="s">
        <v>13975</v>
      </c>
      <c r="E537" s="2" t="s">
        <v>1813</v>
      </c>
      <c r="F537" s="2">
        <v>2</v>
      </c>
      <c r="G537" s="2">
        <v>1</v>
      </c>
      <c r="H537" s="2">
        <v>2</v>
      </c>
      <c r="I537" s="2">
        <v>2</v>
      </c>
      <c r="J537" s="2" t="b">
        <v>0</v>
      </c>
      <c r="K537" s="3">
        <f>H537 - I537</f>
        <v>0</v>
      </c>
      <c r="L537" s="3">
        <f>IF(H537 = 0, 0, ROUND(100 * I537 / H537, 2))</f>
        <v>100</v>
      </c>
      <c r="M537" s="3" t="b">
        <f>K537 = 0</f>
        <v>1</v>
      </c>
      <c r="N537" s="3" t="str">
        <f>IF(M537, "", D537)</f>
      </c>
      <c r="O537" s="3" t="str">
        <f>IF(M537, "", E537)</f>
      </c>
      <c r="P537" s="3">
        <f>COUNTIFS(FieldDisagreements!E2:E999, A537)</f>
        <v>0</v>
      </c>
      <c r="Q537" s="3" t="str">
        <f>_xlfn.IFNA(INDEX(ConformanceSubstrates!C2:C999, MATCH(D537,ConformanceSubstrates!A2:A999, 0)), "")</f>
        <v>TypeScript</v>
      </c>
      <c r="R537" s="3" t="str">
        <f>_xlfn.IFNA(INDEX(RulebookTables!F2:F999, MATCH(E537,RulebookTables!A2:A999, 0)), "")</f>
        <v>execution</v>
      </c>
      <c r="S537" s="2" t="s">
        <v>1898</v>
      </c>
    </row>
    <row r="538">
      <c r="A538" s="2" t="s">
        <v>14545</v>
      </c>
      <c r="B538" s="3" t="str">
        <f>_xlfn.CONCAT(D538, " / ", E538)</f>
        <v>effortless-typescript / IssueOccurrences</v>
      </c>
      <c r="C538" s="2" t="s">
        <v>13999</v>
      </c>
      <c r="D538" s="2" t="s">
        <v>13975</v>
      </c>
      <c r="E538" s="2" t="s">
        <v>1816</v>
      </c>
      <c r="F538" s="2">
        <v>2</v>
      </c>
      <c r="G538" s="2">
        <v>3</v>
      </c>
      <c r="H538" s="2">
        <v>6</v>
      </c>
      <c r="I538" s="2">
        <v>4</v>
      </c>
      <c r="J538" s="2" t="b">
        <v>0</v>
      </c>
      <c r="K538" s="3">
        <f>H538 - I538</f>
        <v>2</v>
      </c>
      <c r="L538" s="3">
        <f>IF(H538 = 0, 0, ROUND(100 * I538 / H538, 2))</f>
        <v>66.67</v>
      </c>
      <c r="M538" s="3" t="b">
        <f>K538 = 0</f>
        <v>0</v>
      </c>
      <c r="N538" s="3" t="str">
        <f>IF(M538, "", D538)</f>
        <v>effortless-typescript</v>
      </c>
      <c r="O538" s="3" t="str">
        <f>IF(M538, "", E538)</f>
        <v>IssueOccurrences</v>
      </c>
      <c r="P538" s="3">
        <f>COUNTIFS(FieldDisagreements!E2:E999, A538)</f>
        <v>1</v>
      </c>
      <c r="Q538" s="3" t="str">
        <f>_xlfn.IFNA(INDEX(ConformanceSubstrates!C2:C999, MATCH(D538,ConformanceSubstrates!A2:A999, 0)), "")</f>
        <v>TypeScript</v>
      </c>
      <c r="R538" s="3" t="str">
        <f>_xlfn.IFNA(INDEX(RulebookTables!F2:F999, MATCH(E538,RulebookTables!A2:A999, 0)), "")</f>
        <v>execution</v>
      </c>
      <c r="S538" s="2" t="s">
        <v>1898</v>
      </c>
    </row>
    <row r="539">
      <c r="A539" s="2" t="s">
        <v>14546</v>
      </c>
      <c r="B539" s="3" t="str">
        <f>_xlfn.CONCAT(D539, " / ", E539)</f>
        <v>effortless-typescript / UserQuestions</v>
      </c>
      <c r="C539" s="2" t="s">
        <v>13999</v>
      </c>
      <c r="D539" s="2" t="s">
        <v>13975</v>
      </c>
      <c r="E539" s="2" t="s">
        <v>1819</v>
      </c>
      <c r="F539" s="2">
        <v>2</v>
      </c>
      <c r="G539" s="2">
        <v>1</v>
      </c>
      <c r="H539" s="2">
        <v>2</v>
      </c>
      <c r="I539" s="2">
        <v>2</v>
      </c>
      <c r="J539" s="2" t="b">
        <v>0</v>
      </c>
      <c r="K539" s="3">
        <f>H539 - I539</f>
        <v>0</v>
      </c>
      <c r="L539" s="3">
        <f>IF(H539 = 0, 0, ROUND(100 * I539 / H539, 2))</f>
        <v>100</v>
      </c>
      <c r="M539" s="3" t="b">
        <f>K539 = 0</f>
        <v>1</v>
      </c>
      <c r="N539" s="3" t="str">
        <f>IF(M539, "", D539)</f>
      </c>
      <c r="O539" s="3" t="str">
        <f>IF(M539, "", E539)</f>
      </c>
      <c r="P539" s="3">
        <f>COUNTIFS(FieldDisagreements!E2:E999, A539)</f>
        <v>0</v>
      </c>
      <c r="Q539" s="3" t="str">
        <f>_xlfn.IFNA(INDEX(ConformanceSubstrates!C2:C999, MATCH(D539,ConformanceSubstrates!A2:A999, 0)), "")</f>
        <v>TypeScript</v>
      </c>
      <c r="R539" s="3" t="str">
        <f>_xlfn.IFNA(INDEX(RulebookTables!F2:F999, MATCH(E539,RulebookTables!A2:A999, 0)), "")</f>
        <v>domain</v>
      </c>
      <c r="S539" s="2" t="s">
        <v>1898</v>
      </c>
    </row>
    <row r="540">
      <c r="A540" s="2" t="s">
        <v>14547</v>
      </c>
      <c r="B540" s="3" t="str">
        <f>_xlfn.CONCAT(D540, " / ", E540)</f>
        <v>effortless-typescript / UserFeedback</v>
      </c>
      <c r="C540" s="2" t="s">
        <v>13999</v>
      </c>
      <c r="D540" s="2" t="s">
        <v>13975</v>
      </c>
      <c r="E540" s="2" t="s">
        <v>1822</v>
      </c>
      <c r="F540" s="2">
        <v>2</v>
      </c>
      <c r="G540" s="2">
        <v>1</v>
      </c>
      <c r="H540" s="2">
        <v>2</v>
      </c>
      <c r="I540" s="2">
        <v>2</v>
      </c>
      <c r="J540" s="2" t="b">
        <v>0</v>
      </c>
      <c r="K540" s="3">
        <f>H540 - I540</f>
        <v>0</v>
      </c>
      <c r="L540" s="3">
        <f>IF(H540 = 0, 0, ROUND(100 * I540 / H540, 2))</f>
        <v>100</v>
      </c>
      <c r="M540" s="3" t="b">
        <f>K540 = 0</f>
        <v>1</v>
      </c>
      <c r="N540" s="3" t="str">
        <f>IF(M540, "", D540)</f>
      </c>
      <c r="O540" s="3" t="str">
        <f>IF(M540, "", E540)</f>
      </c>
      <c r="P540" s="3">
        <f>COUNTIFS(FieldDisagreements!E2:E999, A540)</f>
        <v>0</v>
      </c>
      <c r="Q540" s="3" t="str">
        <f>_xlfn.IFNA(INDEX(ConformanceSubstrates!C2:C999, MATCH(D540,ConformanceSubstrates!A2:A999, 0)), "")</f>
        <v>TypeScript</v>
      </c>
      <c r="R540" s="3" t="str">
        <f>_xlfn.IFNA(INDEX(RulebookTables!F2:F999, MATCH(E540,RulebookTables!A2:A999, 0)), "")</f>
        <v>domain</v>
      </c>
      <c r="S540" s="2" t="s">
        <v>1898</v>
      </c>
    </row>
    <row r="541">
      <c r="A541" s="2" t="s">
        <v>14548</v>
      </c>
      <c r="B541" s="3" t="str">
        <f>_xlfn.CONCAT(D541, " / ", E541)</f>
        <v>effortless-typescript / StewardshipAssignments</v>
      </c>
      <c r="C541" s="2" t="s">
        <v>13999</v>
      </c>
      <c r="D541" s="2" t="s">
        <v>13975</v>
      </c>
      <c r="E541" s="2" t="s">
        <v>1839</v>
      </c>
      <c r="F541" s="2">
        <v>2</v>
      </c>
      <c r="G541" s="2">
        <v>5</v>
      </c>
      <c r="H541" s="2">
        <v>10</v>
      </c>
      <c r="I541" s="2">
        <v>10</v>
      </c>
      <c r="J541" s="2" t="b">
        <v>0</v>
      </c>
      <c r="K541" s="3">
        <f>H541 - I541</f>
        <v>0</v>
      </c>
      <c r="L541" s="3">
        <f>IF(H541 = 0, 0, ROUND(100 * I541 / H541, 2))</f>
        <v>100</v>
      </c>
      <c r="M541" s="3" t="b">
        <f>K541 = 0</f>
        <v>1</v>
      </c>
      <c r="N541" s="3" t="str">
        <f>IF(M541, "", D541)</f>
      </c>
      <c r="O541" s="3" t="str">
        <f>IF(M541, "", E541)</f>
      </c>
      <c r="P541" s="3">
        <f>COUNTIFS(FieldDisagreements!E2:E999, A541)</f>
        <v>0</v>
      </c>
      <c r="Q541" s="3" t="str">
        <f>_xlfn.IFNA(INDEX(ConformanceSubstrates!C2:C999, MATCH(D541,ConformanceSubstrates!A2:A999, 0)), "")</f>
        <v>TypeScript</v>
      </c>
      <c r="R541" s="3" t="str">
        <f>_xlfn.IFNA(INDEX(RulebookTables!F2:F999, MATCH(E541,RulebookTables!A2:A999, 0)), "")</f>
        <v>org</v>
      </c>
      <c r="S541" s="2" t="s">
        <v>1898</v>
      </c>
    </row>
    <row r="542">
      <c r="A542" s="2" t="s">
        <v>14549</v>
      </c>
      <c r="B542" s="3" t="str">
        <f>_xlfn.CONCAT(D542, " / ", E542)</f>
        <v>effortless-typescript / ChangeRequests</v>
      </c>
      <c r="C542" s="2" t="s">
        <v>13999</v>
      </c>
      <c r="D542" s="2" t="s">
        <v>13975</v>
      </c>
      <c r="E542" s="2" t="s">
        <v>3848</v>
      </c>
      <c r="F542" s="2">
        <v>2</v>
      </c>
      <c r="G542" s="2">
        <v>32</v>
      </c>
      <c r="H542" s="2">
        <v>64</v>
      </c>
      <c r="I542" s="2">
        <v>62</v>
      </c>
      <c r="J542" s="2" t="b">
        <v>0</v>
      </c>
      <c r="K542" s="3">
        <f>H542 - I542</f>
        <v>2</v>
      </c>
      <c r="L542" s="3">
        <f>IF(H542 = 0, 0, ROUND(100 * I542 / H542, 2))</f>
        <v>96.88</v>
      </c>
      <c r="M542" s="3" t="b">
        <f>K542 = 0</f>
        <v>0</v>
      </c>
      <c r="N542" s="3" t="str">
        <f>IF(M542, "", D542)</f>
        <v>effortless-typescript</v>
      </c>
      <c r="O542" s="3" t="str">
        <f>IF(M542, "", E542)</f>
        <v>ChangeRequests</v>
      </c>
      <c r="P542" s="3">
        <f>COUNTIFS(FieldDisagreements!E2:E999, A542)</f>
        <v>2</v>
      </c>
      <c r="Q542" s="3" t="str">
        <f>_xlfn.IFNA(INDEX(ConformanceSubstrates!C2:C999, MATCH(D542,ConformanceSubstrates!A2:A999, 0)), "")</f>
        <v>TypeScript</v>
      </c>
      <c r="R542" s="3" t="str">
        <f>_xlfn.IFNA(INDEX(RulebookTables!F2:F999, MATCH(E542,RulebookTables!A2:A999, 0)), "")</f>
        <v>domain</v>
      </c>
      <c r="S542" s="2" t="s">
        <v>1898</v>
      </c>
    </row>
    <row r="543">
      <c r="A543" s="2" t="s">
        <v>14550</v>
      </c>
      <c r="B543" s="3" t="str">
        <f>_xlfn.CONCAT(D543, " / ", E543)</f>
        <v>effortless-typescript / ReviewEvents</v>
      </c>
      <c r="C543" s="2" t="s">
        <v>13999</v>
      </c>
      <c r="D543" s="2" t="s">
        <v>13975</v>
      </c>
      <c r="E543" s="2" t="s">
        <v>3922</v>
      </c>
      <c r="F543" s="2">
        <v>3</v>
      </c>
      <c r="G543" s="2">
        <v>10</v>
      </c>
      <c r="H543" s="2">
        <v>30</v>
      </c>
      <c r="I543" s="2">
        <v>24</v>
      </c>
      <c r="J543" s="2" t="b">
        <v>0</v>
      </c>
      <c r="K543" s="3">
        <f>H543 - I543</f>
        <v>6</v>
      </c>
      <c r="L543" s="3">
        <f>IF(H543 = 0, 0, ROUND(100 * I543 / H543, 2))</f>
        <v>80</v>
      </c>
      <c r="M543" s="3" t="b">
        <f>K543 = 0</f>
        <v>0</v>
      </c>
      <c r="N543" s="3" t="str">
        <f>IF(M543, "", D543)</f>
        <v>effortless-typescript</v>
      </c>
      <c r="O543" s="3" t="str">
        <f>IF(M543, "", E543)</f>
        <v>ReviewEvents</v>
      </c>
      <c r="P543" s="3">
        <f>COUNTIFS(FieldDisagreements!E2:E999, A543)</f>
        <v>2</v>
      </c>
      <c r="Q543" s="3" t="str">
        <f>_xlfn.IFNA(INDEX(ConformanceSubstrates!C2:C999, MATCH(D543,ConformanceSubstrates!A2:A999, 0)), "")</f>
        <v>TypeScript</v>
      </c>
      <c r="R543" s="3" t="str">
        <f>_xlfn.IFNA(INDEX(RulebookTables!F2:F999, MATCH(E543,RulebookTables!A2:A999, 0)), "")</f>
        <v>domain</v>
      </c>
      <c r="S543" s="2" t="s">
        <v>1898</v>
      </c>
    </row>
    <row r="544">
      <c r="A544" s="2" t="s">
        <v>14551</v>
      </c>
      <c r="B544" s="3" t="str">
        <f>_xlfn.CONCAT(D544, " / ", E544)</f>
        <v>effortless-typescript / LearningActivities</v>
      </c>
      <c r="C544" s="2" t="s">
        <v>13999</v>
      </c>
      <c r="D544" s="2" t="s">
        <v>13975</v>
      </c>
      <c r="E544" s="2" t="s">
        <v>3951</v>
      </c>
      <c r="F544" s="2">
        <v>2</v>
      </c>
      <c r="G544" s="2">
        <v>1</v>
      </c>
      <c r="H544" s="2">
        <v>2</v>
      </c>
      <c r="I544" s="2">
        <v>0</v>
      </c>
      <c r="J544" s="2" t="b">
        <v>0</v>
      </c>
      <c r="K544" s="3">
        <f>H544 - I544</f>
        <v>2</v>
      </c>
      <c r="L544" s="3">
        <f>IF(H544 = 0, 0, ROUND(100 * I544 / H544, 2))</f>
        <v>0</v>
      </c>
      <c r="M544" s="3" t="b">
        <f>K544 = 0</f>
        <v>0</v>
      </c>
      <c r="N544" s="3" t="str">
        <f>IF(M544, "", D544)</f>
        <v>effortless-typescript</v>
      </c>
      <c r="O544" s="3" t="str">
        <f>IF(M544, "", E544)</f>
        <v>LearningActivities</v>
      </c>
      <c r="P544" s="3">
        <f>COUNTIFS(FieldDisagreements!E2:E999, A544)</f>
        <v>1</v>
      </c>
      <c r="Q544" s="3" t="str">
        <f>_xlfn.IFNA(INDEX(ConformanceSubstrates!C2:C999, MATCH(D544,ConformanceSubstrates!A2:A999, 0)), "")</f>
        <v>TypeScript</v>
      </c>
      <c r="R544" s="3" t="str">
        <f>_xlfn.IFNA(INDEX(RulebookTables!F2:F999, MATCH(E544,RulebookTables!A2:A999, 0)), "")</f>
        <v>domain</v>
      </c>
      <c r="S544" s="2" t="s">
        <v>1898</v>
      </c>
    </row>
    <row r="545">
      <c r="A545" s="2" t="s">
        <v>14552</v>
      </c>
      <c r="B545" s="3" t="str">
        <f>_xlfn.CONCAT(D545, " / ", E545)</f>
        <v>effortless-typescript / OperationalBindings</v>
      </c>
      <c r="C545" s="2" t="s">
        <v>13999</v>
      </c>
      <c r="D545" s="2" t="s">
        <v>13975</v>
      </c>
      <c r="E545" s="2" t="s">
        <v>1842</v>
      </c>
      <c r="F545" s="2">
        <v>5</v>
      </c>
      <c r="G545" s="2">
        <v>11</v>
      </c>
      <c r="H545" s="2">
        <v>55</v>
      </c>
      <c r="I545" s="2">
        <v>55</v>
      </c>
      <c r="J545" s="2" t="b">
        <v>0</v>
      </c>
      <c r="K545" s="3">
        <f>H545 - I545</f>
        <v>0</v>
      </c>
      <c r="L545" s="3">
        <f>IF(H545 = 0, 0, ROUND(100 * I545 / H545, 2))</f>
        <v>100</v>
      </c>
      <c r="M545" s="3" t="b">
        <f>K545 = 0</f>
        <v>1</v>
      </c>
      <c r="N545" s="3" t="str">
        <f>IF(M545, "", D545)</f>
      </c>
      <c r="O545" s="3" t="str">
        <f>IF(M545, "", E545)</f>
      </c>
      <c r="P545" s="3">
        <f>COUNTIFS(FieldDisagreements!E2:E999, A545)</f>
        <v>0</v>
      </c>
      <c r="Q545" s="3" t="str">
        <f>_xlfn.IFNA(INDEX(ConformanceSubstrates!C2:C999, MATCH(D545,ConformanceSubstrates!A2:A999, 0)), "")</f>
        <v>TypeScript</v>
      </c>
      <c r="R545" s="3" t="str">
        <f>_xlfn.IFNA(INDEX(RulebookTables!F2:F999, MATCH(E545,RulebookTables!A2:A999, 0)), "")</f>
        <v>domain</v>
      </c>
      <c r="S545" s="2" t="s">
        <v>1898</v>
      </c>
    </row>
    <row r="546">
      <c r="A546" s="2" t="s">
        <v>14553</v>
      </c>
      <c r="B546" s="3" t="str">
        <f>_xlfn.CONCAT(D546, " / ", E546)</f>
        <v>effortless-typescript / CommunicationPolicies</v>
      </c>
      <c r="C546" s="2" t="s">
        <v>13999</v>
      </c>
      <c r="D546" s="2" t="s">
        <v>13975</v>
      </c>
      <c r="E546" s="2" t="s">
        <v>1845</v>
      </c>
      <c r="F546" s="2">
        <v>2</v>
      </c>
      <c r="G546" s="2">
        <v>4</v>
      </c>
      <c r="H546" s="2">
        <v>8</v>
      </c>
      <c r="I546" s="2">
        <v>8</v>
      </c>
      <c r="J546" s="2" t="b">
        <v>0</v>
      </c>
      <c r="K546" s="3">
        <f>H546 - I546</f>
        <v>0</v>
      </c>
      <c r="L546" s="3">
        <f>IF(H546 = 0, 0, ROUND(100 * I546 / H546, 2))</f>
        <v>100</v>
      </c>
      <c r="M546" s="3" t="b">
        <f>K546 = 0</f>
        <v>1</v>
      </c>
      <c r="N546" s="3" t="str">
        <f>IF(M546, "", D546)</f>
      </c>
      <c r="O546" s="3" t="str">
        <f>IF(M546, "", E546)</f>
      </c>
      <c r="P546" s="3">
        <f>COUNTIFS(FieldDisagreements!E2:E999, A546)</f>
        <v>0</v>
      </c>
      <c r="Q546" s="3" t="str">
        <f>_xlfn.IFNA(INDEX(ConformanceSubstrates!C2:C999, MATCH(D546,ConformanceSubstrates!A2:A999, 0)), "")</f>
        <v>TypeScript</v>
      </c>
      <c r="R546" s="3" t="str">
        <f>_xlfn.IFNA(INDEX(RulebookTables!F2:F999, MATCH(E546,RulebookTables!A2:A999, 0)), "")</f>
        <v>communication</v>
      </c>
      <c r="S546" s="2" t="s">
        <v>1898</v>
      </c>
    </row>
    <row r="547">
      <c r="A547" s="2" t="s">
        <v>14554</v>
      </c>
      <c r="B547" s="3" t="str">
        <f>_xlfn.CONCAT(D547, " / ", E547)</f>
        <v>effortless-typescript / MessageTemplates</v>
      </c>
      <c r="C547" s="2" t="s">
        <v>13999</v>
      </c>
      <c r="D547" s="2" t="s">
        <v>13975</v>
      </c>
      <c r="E547" s="2" t="s">
        <v>4021</v>
      </c>
      <c r="F547" s="2">
        <v>2</v>
      </c>
      <c r="G547" s="2">
        <v>16</v>
      </c>
      <c r="H547" s="2">
        <v>32</v>
      </c>
      <c r="I547" s="2">
        <v>32</v>
      </c>
      <c r="J547" s="2" t="b">
        <v>0</v>
      </c>
      <c r="K547" s="3">
        <f>H547 - I547</f>
        <v>0</v>
      </c>
      <c r="L547" s="3">
        <f>IF(H547 = 0, 0, ROUND(100 * I547 / H547, 2))</f>
        <v>100</v>
      </c>
      <c r="M547" s="3" t="b">
        <f>K547 = 0</f>
        <v>1</v>
      </c>
      <c r="N547" s="3" t="str">
        <f>IF(M547, "", D547)</f>
      </c>
      <c r="O547" s="3" t="str">
        <f>IF(M547, "", E547)</f>
      </c>
      <c r="P547" s="3">
        <f>COUNTIFS(FieldDisagreements!E2:E999, A547)</f>
        <v>0</v>
      </c>
      <c r="Q547" s="3" t="str">
        <f>_xlfn.IFNA(INDEX(ConformanceSubstrates!C2:C999, MATCH(D547,ConformanceSubstrates!A2:A999, 0)), "")</f>
        <v>TypeScript</v>
      </c>
      <c r="R547" s="3" t="str">
        <f>_xlfn.IFNA(INDEX(RulebookTables!F2:F999, MATCH(E547,RulebookTables!A2:A999, 0)), "")</f>
        <v>communication</v>
      </c>
      <c r="S547" s="2" t="s">
        <v>1898</v>
      </c>
    </row>
    <row r="548">
      <c r="A548" s="2" t="s">
        <v>14555</v>
      </c>
      <c r="B548" s="3" t="str">
        <f>_xlfn.CONCAT(D548, " / ", E548)</f>
        <v>effortless-typescript / SemanticMappings</v>
      </c>
      <c r="C548" s="2" t="s">
        <v>13999</v>
      </c>
      <c r="D548" s="2" t="s">
        <v>13975</v>
      </c>
      <c r="E548" s="2" t="s">
        <v>4064</v>
      </c>
      <c r="F548" s="2">
        <v>47</v>
      </c>
      <c r="G548" s="2">
        <v>1</v>
      </c>
      <c r="H548" s="2">
        <v>47</v>
      </c>
      <c r="I548" s="2">
        <v>47</v>
      </c>
      <c r="J548" s="2" t="b">
        <v>0</v>
      </c>
      <c r="K548" s="3">
        <f>H548 - I548</f>
        <v>0</v>
      </c>
      <c r="L548" s="3">
        <f>IF(H548 = 0, 0, ROUND(100 * I548 / H548, 2))</f>
        <v>100</v>
      </c>
      <c r="M548" s="3" t="b">
        <f>K548 = 0</f>
        <v>1</v>
      </c>
      <c r="N548" s="3" t="str">
        <f>IF(M548, "", D548)</f>
      </c>
      <c r="O548" s="3" t="str">
        <f>IF(M548, "", E548)</f>
      </c>
      <c r="P548" s="3">
        <f>COUNTIFS(FieldDisagreements!E2:E999, A548)</f>
        <v>0</v>
      </c>
      <c r="Q548" s="3" t="str">
        <f>_xlfn.IFNA(INDEX(ConformanceSubstrates!C2:C999, MATCH(D548,ConformanceSubstrates!A2:A999, 0)), "")</f>
        <v>TypeScript</v>
      </c>
      <c r="R548" s="3" t="str">
        <f>_xlfn.IFNA(INDEX(RulebookTables!F2:F999, MATCH(E548,RulebookTables!A2:A999, 0)), "")</f>
        <v>meta</v>
      </c>
      <c r="S548" s="2" t="s">
        <v>1898</v>
      </c>
    </row>
    <row r="549">
      <c r="A549" s="2" t="s">
        <v>14556</v>
      </c>
      <c r="B549" s="3" t="str">
        <f>_xlfn.CONCAT(D549, " / ", E549)</f>
        <v>effortless-typescript / WitnessLoops</v>
      </c>
      <c r="C549" s="2" t="s">
        <v>13999</v>
      </c>
      <c r="D549" s="2" t="s">
        <v>13975</v>
      </c>
      <c r="E549" s="2" t="s">
        <v>4074</v>
      </c>
      <c r="F549" s="2">
        <v>3</v>
      </c>
      <c r="G549" s="2">
        <v>3</v>
      </c>
      <c r="H549" s="2">
        <v>9</v>
      </c>
      <c r="I549" s="2">
        <v>9</v>
      </c>
      <c r="J549" s="2" t="b">
        <v>0</v>
      </c>
      <c r="K549" s="3">
        <f>H549 - I549</f>
        <v>0</v>
      </c>
      <c r="L549" s="3">
        <f>IF(H549 = 0, 0, ROUND(100 * I549 / H549, 2))</f>
        <v>100</v>
      </c>
      <c r="M549" s="3" t="b">
        <f>K549 = 0</f>
        <v>1</v>
      </c>
      <c r="N549" s="3" t="str">
        <f>IF(M549, "", D549)</f>
      </c>
      <c r="O549" s="3" t="str">
        <f>IF(M549, "", E549)</f>
      </c>
      <c r="P549" s="3">
        <f>COUNTIFS(FieldDisagreements!E2:E999, A549)</f>
        <v>0</v>
      </c>
      <c r="Q549" s="3" t="str">
        <f>_xlfn.IFNA(INDEX(ConformanceSubstrates!C2:C999, MATCH(D549,ConformanceSubstrates!A2:A999, 0)), "")</f>
        <v>TypeScript</v>
      </c>
      <c r="R549" s="3" t="str">
        <f>_xlfn.IFNA(INDEX(RulebookTables!F2:F999, MATCH(E549,RulebookTables!A2:A999, 0)), "")</f>
        <v>meta</v>
      </c>
      <c r="S549" s="2" t="s">
        <v>1898</v>
      </c>
    </row>
    <row r="550">
      <c r="A550" s="2" t="s">
        <v>14557</v>
      </c>
      <c r="B550" s="3" t="str">
        <f>_xlfn.CONCAT(D550, " / ", E550)</f>
        <v>effortless-typescript / RoleQuestions</v>
      </c>
      <c r="C550" s="2" t="s">
        <v>13999</v>
      </c>
      <c r="D550" s="2" t="s">
        <v>13975</v>
      </c>
      <c r="E550" s="2" t="s">
        <v>4091</v>
      </c>
      <c r="F550" s="2">
        <v>109</v>
      </c>
      <c r="G550" s="2">
        <v>3</v>
      </c>
      <c r="H550" s="2">
        <v>327</v>
      </c>
      <c r="I550" s="2">
        <v>327</v>
      </c>
      <c r="J550" s="2" t="b">
        <v>0</v>
      </c>
      <c r="K550" s="3">
        <f>H550 - I550</f>
        <v>0</v>
      </c>
      <c r="L550" s="3">
        <f>IF(H550 = 0, 0, ROUND(100 * I550 / H550, 2))</f>
        <v>100</v>
      </c>
      <c r="M550" s="3" t="b">
        <f>K550 = 0</f>
        <v>1</v>
      </c>
      <c r="N550" s="3" t="str">
        <f>IF(M550, "", D550)</f>
      </c>
      <c r="O550" s="3" t="str">
        <f>IF(M550, "", E550)</f>
      </c>
      <c r="P550" s="3">
        <f>COUNTIFS(FieldDisagreements!E2:E999, A550)</f>
        <v>0</v>
      </c>
      <c r="Q550" s="3" t="str">
        <f>_xlfn.IFNA(INDEX(ConformanceSubstrates!C2:C999, MATCH(D550,ConformanceSubstrates!A2:A999, 0)), "")</f>
        <v>TypeScript</v>
      </c>
      <c r="R550" s="3" t="str">
        <f>_xlfn.IFNA(INDEX(RulebookTables!F2:F999, MATCH(E550,RulebookTables!A2:A999, 0)), "")</f>
        <v>org</v>
      </c>
      <c r="S550" s="2" t="s">
        <v>1898</v>
      </c>
    </row>
    <row r="551">
      <c r="A551" s="2" t="s">
        <v>14558</v>
      </c>
      <c r="B551" s="3" t="str">
        <f>_xlfn.CONCAT(D551, " / ", E551)</f>
        <v>effortless-typescript / RulebookFields</v>
      </c>
      <c r="C551" s="2" t="s">
        <v>13999</v>
      </c>
      <c r="D551" s="2" t="s">
        <v>13975</v>
      </c>
      <c r="E551" s="2" t="s">
        <v>4106</v>
      </c>
      <c r="F551" s="2">
        <v>1879</v>
      </c>
      <c r="G551" s="2">
        <v>5</v>
      </c>
      <c r="H551" s="2">
        <v>9395</v>
      </c>
      <c r="I551" s="2">
        <v>9395</v>
      </c>
      <c r="J551" s="2" t="b">
        <v>0</v>
      </c>
      <c r="K551" s="3">
        <f>H551 - I551</f>
        <v>0</v>
      </c>
      <c r="L551" s="3">
        <f>IF(H551 = 0, 0, ROUND(100 * I551 / H551, 2))</f>
        <v>100</v>
      </c>
      <c r="M551" s="3" t="b">
        <f>K551 = 0</f>
        <v>1</v>
      </c>
      <c r="N551" s="3" t="str">
        <f>IF(M551, "", D551)</f>
      </c>
      <c r="O551" s="3" t="str">
        <f>IF(M551, "", E551)</f>
      </c>
      <c r="P551" s="3">
        <f>COUNTIFS(FieldDisagreements!E2:E999, A551)</f>
        <v>0</v>
      </c>
      <c r="Q551" s="3" t="str">
        <f>_xlfn.IFNA(INDEX(ConformanceSubstrates!C2:C999, MATCH(D551,ConformanceSubstrates!A2:A999, 0)), "")</f>
        <v>TypeScript</v>
      </c>
      <c r="R551" s="3" t="str">
        <f>_xlfn.IFNA(INDEX(RulebookTables!F2:F999, MATCH(E551,RulebookTables!A2:A999, 0)), "")</f>
        <v>access-control</v>
      </c>
      <c r="S551" s="2" t="s">
        <v>1898</v>
      </c>
    </row>
    <row r="552">
      <c r="A552" s="2" t="s">
        <v>14559</v>
      </c>
      <c r="B552" s="3" t="str">
        <f>_xlfn.CONCAT(D552, " / ", E552)</f>
        <v>effortless-typescript / TestSuites</v>
      </c>
      <c r="C552" s="2" t="s">
        <v>13999</v>
      </c>
      <c r="D552" s="2" t="s">
        <v>13975</v>
      </c>
      <c r="E552" s="2" t="s">
        <v>4125</v>
      </c>
      <c r="F552" s="2">
        <v>6</v>
      </c>
      <c r="G552" s="2">
        <v>5</v>
      </c>
      <c r="H552" s="2">
        <v>30</v>
      </c>
      <c r="I552" s="2">
        <v>30</v>
      </c>
      <c r="J552" s="2" t="b">
        <v>0</v>
      </c>
      <c r="K552" s="3">
        <f>H552 - I552</f>
        <v>0</v>
      </c>
      <c r="L552" s="3">
        <f>IF(H552 = 0, 0, ROUND(100 * I552 / H552, 2))</f>
        <v>100</v>
      </c>
      <c r="M552" s="3" t="b">
        <f>K552 = 0</f>
        <v>1</v>
      </c>
      <c r="N552" s="3" t="str">
        <f>IF(M552, "", D552)</f>
      </c>
      <c r="O552" s="3" t="str">
        <f>IF(M552, "", E552)</f>
      </c>
      <c r="P552" s="3">
        <f>COUNTIFS(FieldDisagreements!E2:E999, A552)</f>
        <v>0</v>
      </c>
      <c r="Q552" s="3" t="str">
        <f>_xlfn.IFNA(INDEX(ConformanceSubstrates!C2:C999, MATCH(D552,ConformanceSubstrates!A2:A999, 0)), "")</f>
        <v>TypeScript</v>
      </c>
      <c r="R552" s="3" t="str">
        <f>_xlfn.IFNA(INDEX(RulebookTables!F2:F999, MATCH(E552,RulebookTables!A2:A999, 0)), "")</f>
        <v>meta</v>
      </c>
      <c r="S552" s="2" t="s">
        <v>1898</v>
      </c>
    </row>
    <row r="553">
      <c r="A553" s="2" t="s">
        <v>14560</v>
      </c>
      <c r="B553" s="3" t="str">
        <f>_xlfn.CONCAT(D553, " / ", E553)</f>
        <v>effortless-typescript / TestCases</v>
      </c>
      <c r="C553" s="2" t="s">
        <v>13999</v>
      </c>
      <c r="D553" s="2" t="s">
        <v>13975</v>
      </c>
      <c r="E553" s="2" t="s">
        <v>4143</v>
      </c>
      <c r="F553" s="2">
        <v>1794</v>
      </c>
      <c r="G553" s="2">
        <v>7</v>
      </c>
      <c r="H553" s="2">
        <v>12558</v>
      </c>
      <c r="I553" s="2">
        <v>12558</v>
      </c>
      <c r="J553" s="2" t="b">
        <v>0</v>
      </c>
      <c r="K553" s="3">
        <f>H553 - I553</f>
        <v>0</v>
      </c>
      <c r="L553" s="3">
        <f>IF(H553 = 0, 0, ROUND(100 * I553 / H553, 2))</f>
        <v>100</v>
      </c>
      <c r="M553" s="3" t="b">
        <f>K553 = 0</f>
        <v>1</v>
      </c>
      <c r="N553" s="3" t="str">
        <f>IF(M553, "", D553)</f>
      </c>
      <c r="O553" s="3" t="str">
        <f>IF(M553, "", E553)</f>
      </c>
      <c r="P553" s="3">
        <f>COUNTIFS(FieldDisagreements!E2:E999, A553)</f>
        <v>0</v>
      </c>
      <c r="Q553" s="3" t="str">
        <f>_xlfn.IFNA(INDEX(ConformanceSubstrates!C2:C999, MATCH(D553,ConformanceSubstrates!A2:A999, 0)), "")</f>
        <v>TypeScript</v>
      </c>
      <c r="R553" s="3" t="str">
        <f>_xlfn.IFNA(INDEX(RulebookTables!F2:F999, MATCH(E553,RulebookTables!A2:A999, 0)), "")</f>
        <v>meta</v>
      </c>
      <c r="S553" s="2" t="s">
        <v>1898</v>
      </c>
    </row>
    <row r="554">
      <c r="A554" s="2" t="s">
        <v>14561</v>
      </c>
      <c r="B554" s="3" t="str">
        <f>_xlfn.CONCAT(D554, " / ", E554)</f>
        <v>effortless-typescript / ExceptionInvocations</v>
      </c>
      <c r="C554" s="2" t="s">
        <v>13999</v>
      </c>
      <c r="D554" s="2" t="s">
        <v>13975</v>
      </c>
      <c r="E554" s="2" t="s">
        <v>4221</v>
      </c>
      <c r="F554" s="2">
        <v>1</v>
      </c>
      <c r="G554" s="2">
        <v>13</v>
      </c>
      <c r="H554" s="2">
        <v>13</v>
      </c>
      <c r="I554" s="2">
        <v>13</v>
      </c>
      <c r="J554" s="2" t="b">
        <v>0</v>
      </c>
      <c r="K554" s="3">
        <f>H554 - I554</f>
        <v>0</v>
      </c>
      <c r="L554" s="3">
        <f>IF(H554 = 0, 0, ROUND(100 * I554 / H554, 2))</f>
        <v>100</v>
      </c>
      <c r="M554" s="3" t="b">
        <f>K554 = 0</f>
        <v>1</v>
      </c>
      <c r="N554" s="3" t="str">
        <f>IF(M554, "", D554)</f>
      </c>
      <c r="O554" s="3" t="str">
        <f>IF(M554, "", E554)</f>
      </c>
      <c r="P554" s="3">
        <f>COUNTIFS(FieldDisagreements!E2:E999, A554)</f>
        <v>0</v>
      </c>
      <c r="Q554" s="3" t="str">
        <f>_xlfn.IFNA(INDEX(ConformanceSubstrates!C2:C999, MATCH(D554,ConformanceSubstrates!A2:A999, 0)), "")</f>
        <v>TypeScript</v>
      </c>
      <c r="R554" s="3" t="str">
        <f>_xlfn.IFNA(INDEX(RulebookTables!F2:F999, MATCH(E554,RulebookTables!A2:A999, 0)), "")</f>
        <v>governance</v>
      </c>
      <c r="S554" s="2" t="s">
        <v>1898</v>
      </c>
    </row>
    <row r="555">
      <c r="A555" s="2" t="s">
        <v>14562</v>
      </c>
      <c r="B555" s="3" t="str">
        <f>_xlfn.CONCAT(D555, " / ", E555)</f>
        <v>effortless-typescript / VerificationOutcomes</v>
      </c>
      <c r="C555" s="2" t="s">
        <v>13999</v>
      </c>
      <c r="D555" s="2" t="s">
        <v>13975</v>
      </c>
      <c r="E555" s="2" t="s">
        <v>4271</v>
      </c>
      <c r="F555" s="2">
        <v>4</v>
      </c>
      <c r="G555" s="2">
        <v>18</v>
      </c>
      <c r="H555" s="2">
        <v>72</v>
      </c>
      <c r="I555" s="2">
        <v>72</v>
      </c>
      <c r="J555" s="2" t="b">
        <v>0</v>
      </c>
      <c r="K555" s="3">
        <f>H555 - I555</f>
        <v>0</v>
      </c>
      <c r="L555" s="3">
        <f>IF(H555 = 0, 0, ROUND(100 * I555 / H555, 2))</f>
        <v>100</v>
      </c>
      <c r="M555" s="3" t="b">
        <f>K555 = 0</f>
        <v>1</v>
      </c>
      <c r="N555" s="3" t="str">
        <f>IF(M555, "", D555)</f>
      </c>
      <c r="O555" s="3" t="str">
        <f>IF(M555, "", E555)</f>
      </c>
      <c r="P555" s="3">
        <f>COUNTIFS(FieldDisagreements!E2:E999, A555)</f>
        <v>0</v>
      </c>
      <c r="Q555" s="3" t="str">
        <f>_xlfn.IFNA(INDEX(ConformanceSubstrates!C2:C999, MATCH(D555,ConformanceSubstrates!A2:A999, 0)), "")</f>
        <v>TypeScript</v>
      </c>
      <c r="R555" s="3" t="str">
        <f>_xlfn.IFNA(INDEX(RulebookTables!F2:F999, MATCH(E555,RulebookTables!A2:A999, 0)), "")</f>
        <v>execution</v>
      </c>
      <c r="S555" s="2" t="s">
        <v>1898</v>
      </c>
    </row>
    <row r="556">
      <c r="A556" s="2" t="s">
        <v>14563</v>
      </c>
      <c r="B556" s="3" t="str">
        <f>_xlfn.CONCAT(D556, " / ", E556)</f>
        <v>effortless-typescript / ObservedTransitions</v>
      </c>
      <c r="C556" s="2" t="s">
        <v>13999</v>
      </c>
      <c r="D556" s="2" t="s">
        <v>13975</v>
      </c>
      <c r="E556" s="2" t="s">
        <v>4332</v>
      </c>
      <c r="F556" s="2">
        <v>10</v>
      </c>
      <c r="G556" s="2">
        <v>1</v>
      </c>
      <c r="H556" s="2">
        <v>10</v>
      </c>
      <c r="I556" s="2">
        <v>0</v>
      </c>
      <c r="J556" s="2" t="b">
        <v>0</v>
      </c>
      <c r="K556" s="3">
        <f>H556 - I556</f>
        <v>10</v>
      </c>
      <c r="L556" s="3">
        <f>IF(H556 = 0, 0, ROUND(100 * I556 / H556, 2))</f>
        <v>0</v>
      </c>
      <c r="M556" s="3" t="b">
        <f>K556 = 0</f>
        <v>0</v>
      </c>
      <c r="N556" s="3" t="str">
        <f>IF(M556, "", D556)</f>
        <v>effortless-typescript</v>
      </c>
      <c r="O556" s="3" t="str">
        <f>IF(M556, "", E556)</f>
        <v>ObservedTransitions</v>
      </c>
      <c r="P556" s="3">
        <f>COUNTIFS(FieldDisagreements!E2:E999, A556)</f>
        <v>1</v>
      </c>
      <c r="Q556" s="3" t="str">
        <f>_xlfn.IFNA(INDEX(ConformanceSubstrates!C2:C999, MATCH(D556,ConformanceSubstrates!A2:A999, 0)), "")</f>
        <v>TypeScript</v>
      </c>
      <c r="R556" s="3" t="str">
        <f>_xlfn.IFNA(INDEX(RulebookTables!F2:F999, MATCH(E556,RulebookTables!A2:A999, 0)), "")</f>
        <v>specification</v>
      </c>
      <c r="S556" s="2" t="s">
        <v>1898</v>
      </c>
    </row>
    <row r="557">
      <c r="A557" s="2" t="s">
        <v>14564</v>
      </c>
      <c r="B557" s="3" t="str">
        <f>_xlfn.CONCAT(D557, " / ", E557)</f>
        <v>effortless-typescript / Recipients</v>
      </c>
      <c r="C557" s="2" t="s">
        <v>13999</v>
      </c>
      <c r="D557" s="2" t="s">
        <v>13975</v>
      </c>
      <c r="E557" s="2" t="s">
        <v>4346</v>
      </c>
      <c r="F557" s="2">
        <v>5</v>
      </c>
      <c r="G557" s="2">
        <v>6</v>
      </c>
      <c r="H557" s="2">
        <v>30</v>
      </c>
      <c r="I557" s="2">
        <v>30</v>
      </c>
      <c r="J557" s="2" t="b">
        <v>0</v>
      </c>
      <c r="K557" s="3">
        <f>H557 - I557</f>
        <v>0</v>
      </c>
      <c r="L557" s="3">
        <f>IF(H557 = 0, 0, ROUND(100 * I557 / H557, 2))</f>
        <v>100</v>
      </c>
      <c r="M557" s="3" t="b">
        <f>K557 = 0</f>
        <v>1</v>
      </c>
      <c r="N557" s="3" t="str">
        <f>IF(M557, "", D557)</f>
      </c>
      <c r="O557" s="3" t="str">
        <f>IF(M557, "", E557)</f>
      </c>
      <c r="P557" s="3">
        <f>COUNTIFS(FieldDisagreements!E2:E999, A557)</f>
        <v>0</v>
      </c>
      <c r="Q557" s="3" t="str">
        <f>_xlfn.IFNA(INDEX(ConformanceSubstrates!C2:C999, MATCH(D557,ConformanceSubstrates!A2:A999, 0)), "")</f>
        <v>TypeScript</v>
      </c>
      <c r="R557" s="3" t="str">
        <f>_xlfn.IFNA(INDEX(RulebookTables!F2:F999, MATCH(E557,RulebookTables!A2:A999, 0)), "")</f>
        <v>communication</v>
      </c>
      <c r="S557" s="2" t="s">
        <v>1898</v>
      </c>
    </row>
    <row r="558">
      <c r="A558" s="2" t="s">
        <v>14565</v>
      </c>
      <c r="B558" s="3" t="str">
        <f>_xlfn.CONCAT(D558, " / ", E558)</f>
        <v>effortless-typescript / MessageDeliveries</v>
      </c>
      <c r="C558" s="2" t="s">
        <v>13999</v>
      </c>
      <c r="D558" s="2" t="s">
        <v>13975</v>
      </c>
      <c r="E558" s="2" t="s">
        <v>4378</v>
      </c>
      <c r="F558" s="2">
        <v>6</v>
      </c>
      <c r="G558" s="2">
        <v>74</v>
      </c>
      <c r="H558" s="2">
        <v>444</v>
      </c>
      <c r="I558" s="2">
        <v>420</v>
      </c>
      <c r="J558" s="2" t="b">
        <v>0</v>
      </c>
      <c r="K558" s="3">
        <f>H558 - I558</f>
        <v>24</v>
      </c>
      <c r="L558" s="3">
        <f>IF(H558 = 0, 0, ROUND(100 * I558 / H558, 2))</f>
        <v>94.59</v>
      </c>
      <c r="M558" s="3" t="b">
        <f>K558 = 0</f>
        <v>0</v>
      </c>
      <c r="N558" s="3" t="str">
        <f>IF(M558, "", D558)</f>
        <v>effortless-typescript</v>
      </c>
      <c r="O558" s="3" t="str">
        <f>IF(M558, "", E558)</f>
        <v>MessageDeliveries</v>
      </c>
      <c r="P558" s="3">
        <f>COUNTIFS(FieldDisagreements!E2:E999, A558)</f>
        <v>5</v>
      </c>
      <c r="Q558" s="3" t="str">
        <f>_xlfn.IFNA(INDEX(ConformanceSubstrates!C2:C999, MATCH(D558,ConformanceSubstrates!A2:A999, 0)), "")</f>
        <v>TypeScript</v>
      </c>
      <c r="R558" s="3" t="str">
        <f>_xlfn.IFNA(INDEX(RulebookTables!F2:F999, MATCH(E558,RulebookTables!A2:A999, 0)), "")</f>
        <v>communication</v>
      </c>
      <c r="S558" s="2" t="s">
        <v>1898</v>
      </c>
    </row>
    <row r="559">
      <c r="A559" s="2" t="s">
        <v>14566</v>
      </c>
      <c r="B559" s="3" t="str">
        <f>_xlfn.CONCAT(D559, " / ", E559)</f>
        <v>effortless-typescript / TemplateApprovals</v>
      </c>
      <c r="C559" s="2" t="s">
        <v>13999</v>
      </c>
      <c r="D559" s="2" t="s">
        <v>13975</v>
      </c>
      <c r="E559" s="2" t="s">
        <v>4632</v>
      </c>
      <c r="F559" s="2">
        <v>2</v>
      </c>
      <c r="G559" s="2">
        <v>6</v>
      </c>
      <c r="H559" s="2">
        <v>12</v>
      </c>
      <c r="I559" s="2">
        <v>10</v>
      </c>
      <c r="J559" s="2" t="b">
        <v>0</v>
      </c>
      <c r="K559" s="3">
        <f>H559 - I559</f>
        <v>2</v>
      </c>
      <c r="L559" s="3">
        <f>IF(H559 = 0, 0, ROUND(100 * I559 / H559, 2))</f>
        <v>83.33</v>
      </c>
      <c r="M559" s="3" t="b">
        <f>K559 = 0</f>
        <v>0</v>
      </c>
      <c r="N559" s="3" t="str">
        <f>IF(M559, "", D559)</f>
        <v>effortless-typescript</v>
      </c>
      <c r="O559" s="3" t="str">
        <f>IF(M559, "", E559)</f>
        <v>TemplateApprovals</v>
      </c>
      <c r="P559" s="3">
        <f>COUNTIFS(FieldDisagreements!E2:E999, A559)</f>
        <v>1</v>
      </c>
      <c r="Q559" s="3" t="str">
        <f>_xlfn.IFNA(INDEX(ConformanceSubstrates!C2:C999, MATCH(D559,ConformanceSubstrates!A2:A999, 0)), "")</f>
        <v>TypeScript</v>
      </c>
      <c r="R559" s="3" t="str">
        <f>_xlfn.IFNA(INDEX(RulebookTables!F2:F999, MATCH(E559,RulebookTables!A2:A999, 0)), "")</f>
        <v>communication</v>
      </c>
      <c r="S559" s="2" t="s">
        <v>1898</v>
      </c>
    </row>
    <row r="560">
      <c r="A560" s="2" t="s">
        <v>14567</v>
      </c>
      <c r="B560" s="3" t="str">
        <f>_xlfn.CONCAT(D560, " / ", E560)</f>
        <v>effortless-typescript / SendIntents</v>
      </c>
      <c r="C560" s="2" t="s">
        <v>13999</v>
      </c>
      <c r="D560" s="2" t="s">
        <v>13975</v>
      </c>
      <c r="E560" s="2" t="s">
        <v>4662</v>
      </c>
      <c r="F560" s="2">
        <v>7</v>
      </c>
      <c r="G560" s="2">
        <v>79</v>
      </c>
      <c r="H560" s="2">
        <v>553</v>
      </c>
      <c r="I560" s="2">
        <v>546</v>
      </c>
      <c r="J560" s="2" t="b">
        <v>0</v>
      </c>
      <c r="K560" s="3">
        <f>H560 - I560</f>
        <v>7</v>
      </c>
      <c r="L560" s="3">
        <f>IF(H560 = 0, 0, ROUND(100 * I560 / H560, 2))</f>
        <v>98.73</v>
      </c>
      <c r="M560" s="3" t="b">
        <f>K560 = 0</f>
        <v>0</v>
      </c>
      <c r="N560" s="3" t="str">
        <f>IF(M560, "", D560)</f>
        <v>effortless-typescript</v>
      </c>
      <c r="O560" s="3" t="str">
        <f>IF(M560, "", E560)</f>
        <v>SendIntents</v>
      </c>
      <c r="P560" s="3">
        <f>COUNTIFS(FieldDisagreements!E2:E999, A560)</f>
        <v>1</v>
      </c>
      <c r="Q560" s="3" t="str">
        <f>_xlfn.IFNA(INDEX(ConformanceSubstrates!C2:C999, MATCH(D560,ConformanceSubstrates!A2:A999, 0)), "")</f>
        <v>TypeScript</v>
      </c>
      <c r="R560" s="3" t="str">
        <f>_xlfn.IFNA(INDEX(RulebookTables!F2:F999, MATCH(E560,RulebookTables!A2:A999, 0)), "")</f>
        <v>communication</v>
      </c>
      <c r="S560" s="2" t="s">
        <v>1898</v>
      </c>
    </row>
    <row r="561">
      <c r="A561" s="2" t="s">
        <v>14568</v>
      </c>
      <c r="B561" s="3" t="str">
        <f>_xlfn.CONCAT(D561, " / ", E561)</f>
        <v>effortless-typescript / AgentDecisionRecords</v>
      </c>
      <c r="C561" s="2" t="s">
        <v>13999</v>
      </c>
      <c r="D561" s="2" t="s">
        <v>13975</v>
      </c>
      <c r="E561" s="2" t="s">
        <v>4928</v>
      </c>
      <c r="F561" s="2">
        <v>3</v>
      </c>
      <c r="G561" s="2">
        <v>27</v>
      </c>
      <c r="H561" s="2">
        <v>81</v>
      </c>
      <c r="I561" s="2">
        <v>81</v>
      </c>
      <c r="J561" s="2" t="b">
        <v>0</v>
      </c>
      <c r="K561" s="3">
        <f>H561 - I561</f>
        <v>0</v>
      </c>
      <c r="L561" s="3">
        <f>IF(H561 = 0, 0, ROUND(100 * I561 / H561, 2))</f>
        <v>100</v>
      </c>
      <c r="M561" s="3" t="b">
        <f>K561 = 0</f>
        <v>1</v>
      </c>
      <c r="N561" s="3" t="str">
        <f>IF(M561, "", D561)</f>
      </c>
      <c r="O561" s="3" t="str">
        <f>IF(M561, "", E561)</f>
      </c>
      <c r="P561" s="3">
        <f>COUNTIFS(FieldDisagreements!E2:E999, A561)</f>
        <v>0</v>
      </c>
      <c r="Q561" s="3" t="str">
        <f>_xlfn.IFNA(INDEX(ConformanceSubstrates!C2:C999, MATCH(D561,ConformanceSubstrates!A2:A999, 0)), "")</f>
        <v>TypeScript</v>
      </c>
      <c r="R561" s="3" t="str">
        <f>_xlfn.IFNA(INDEX(RulebookTables!F2:F999, MATCH(E561,RulebookTables!A2:A999, 0)), "")</f>
        <v>org</v>
      </c>
      <c r="S561" s="2" t="s">
        <v>1898</v>
      </c>
    </row>
    <row r="562">
      <c r="A562" s="2" t="s">
        <v>14569</v>
      </c>
      <c r="B562" s="3" t="str">
        <f>_xlfn.CONCAT(D562, " / ", E562)</f>
        <v>effortless-typescript / DeliveredCommunications</v>
      </c>
      <c r="C562" s="2" t="s">
        <v>13999</v>
      </c>
      <c r="D562" s="2" t="s">
        <v>13975</v>
      </c>
      <c r="E562" s="2" t="s">
        <v>5029</v>
      </c>
      <c r="F562" s="2">
        <v>1</v>
      </c>
      <c r="G562" s="2">
        <v>6</v>
      </c>
      <c r="H562" s="2">
        <v>6</v>
      </c>
      <c r="I562" s="2">
        <v>5</v>
      </c>
      <c r="J562" s="2" t="b">
        <v>0</v>
      </c>
      <c r="K562" s="3">
        <f>H562 - I562</f>
        <v>1</v>
      </c>
      <c r="L562" s="3">
        <f>IF(H562 = 0, 0, ROUND(100 * I562 / H562, 2))</f>
        <v>83.33</v>
      </c>
      <c r="M562" s="3" t="b">
        <f>K562 = 0</f>
        <v>0</v>
      </c>
      <c r="N562" s="3" t="str">
        <f>IF(M562, "", D562)</f>
        <v>effortless-typescript</v>
      </c>
      <c r="O562" s="3" t="str">
        <f>IF(M562, "", E562)</f>
        <v>DeliveredCommunications</v>
      </c>
      <c r="P562" s="3">
        <f>COUNTIFS(FieldDisagreements!E2:E999, A562)</f>
        <v>1</v>
      </c>
      <c r="Q562" s="3" t="str">
        <f>_xlfn.IFNA(INDEX(ConformanceSubstrates!C2:C999, MATCH(D562,ConformanceSubstrates!A2:A999, 0)), "")</f>
        <v>TypeScript</v>
      </c>
      <c r="R562" s="3" t="str">
        <f>_xlfn.IFNA(INDEX(RulebookTables!F2:F999, MATCH(E562,RulebookTables!A2:A999, 0)), "")</f>
        <v>communication</v>
      </c>
      <c r="S562" s="2" t="s">
        <v>1898</v>
      </c>
    </row>
    <row r="563">
      <c r="A563" s="2" t="s">
        <v>14570</v>
      </c>
      <c r="B563" s="3" t="str">
        <f>_xlfn.CONCAT(D563, " / ", E563)</f>
        <v>effortless-typescript / AuthorityBoundaries</v>
      </c>
      <c r="C563" s="2" t="s">
        <v>13999</v>
      </c>
      <c r="D563" s="2" t="s">
        <v>13975</v>
      </c>
      <c r="E563" s="2" t="s">
        <v>5065</v>
      </c>
      <c r="F563" s="2">
        <v>3</v>
      </c>
      <c r="G563" s="2">
        <v>21</v>
      </c>
      <c r="H563" s="2">
        <v>63</v>
      </c>
      <c r="I563" s="2">
        <v>63</v>
      </c>
      <c r="J563" s="2" t="b">
        <v>0</v>
      </c>
      <c r="K563" s="3">
        <f>H563 - I563</f>
        <v>0</v>
      </c>
      <c r="L563" s="3">
        <f>IF(H563 = 0, 0, ROUND(100 * I563 / H563, 2))</f>
        <v>100</v>
      </c>
      <c r="M563" s="3" t="b">
        <f>K563 = 0</f>
        <v>1</v>
      </c>
      <c r="N563" s="3" t="str">
        <f>IF(M563, "", D563)</f>
      </c>
      <c r="O563" s="3" t="str">
        <f>IF(M563, "", E563)</f>
      </c>
      <c r="P563" s="3">
        <f>COUNTIFS(FieldDisagreements!E2:E999, A563)</f>
        <v>0</v>
      </c>
      <c r="Q563" s="3" t="str">
        <f>_xlfn.IFNA(INDEX(ConformanceSubstrates!C2:C999, MATCH(D563,ConformanceSubstrates!A2:A999, 0)), "")</f>
        <v>TypeScript</v>
      </c>
      <c r="R563" s="3" t="str">
        <f>_xlfn.IFNA(INDEX(RulebookTables!F2:F999, MATCH(E563,RulebookTables!A2:A999, 0)), "")</f>
        <v>governance</v>
      </c>
      <c r="S563" s="2" t="s">
        <v>1898</v>
      </c>
    </row>
    <row r="564">
      <c r="A564" s="2" t="s">
        <v>14571</v>
      </c>
      <c r="B564" s="3" t="str">
        <f>_xlfn.CONCAT(D564, " / ", E564)</f>
        <v>effortless-typescript / AppRoleProfiles</v>
      </c>
      <c r="C564" s="2" t="s">
        <v>13999</v>
      </c>
      <c r="D564" s="2" t="s">
        <v>13975</v>
      </c>
      <c r="E564" s="2" t="s">
        <v>1849</v>
      </c>
      <c r="F564" s="2">
        <v>12</v>
      </c>
      <c r="G564" s="2">
        <v>2</v>
      </c>
      <c r="H564" s="2">
        <v>24</v>
      </c>
      <c r="I564" s="2">
        <v>24</v>
      </c>
      <c r="J564" s="2" t="b">
        <v>0</v>
      </c>
      <c r="K564" s="3">
        <f>H564 - I564</f>
        <v>0</v>
      </c>
      <c r="L564" s="3">
        <f>IF(H564 = 0, 0, ROUND(100 * I564 / H564, 2))</f>
        <v>100</v>
      </c>
      <c r="M564" s="3" t="b">
        <f>K564 = 0</f>
        <v>1</v>
      </c>
      <c r="N564" s="3" t="str">
        <f>IF(M564, "", D564)</f>
      </c>
      <c r="O564" s="3" t="str">
        <f>IF(M564, "", E564)</f>
      </c>
      <c r="P564" s="3">
        <f>COUNTIFS(FieldDisagreements!E2:E999, A564)</f>
        <v>0</v>
      </c>
      <c r="Q564" s="3" t="str">
        <f>_xlfn.IFNA(INDEX(ConformanceSubstrates!C2:C999, MATCH(D564,ConformanceSubstrates!A2:A999, 0)), "")</f>
        <v>TypeScript</v>
      </c>
      <c r="R564" s="3" t="str">
        <f>_xlfn.IFNA(INDEX(RulebookTables!F2:F999, MATCH(E564,RulebookTables!A2:A999, 0)), "")</f>
        <v>org</v>
      </c>
      <c r="S564" s="2" t="s">
        <v>1898</v>
      </c>
    </row>
    <row r="565">
      <c r="A565" s="2" t="s">
        <v>14572</v>
      </c>
      <c r="B565" s="3" t="str">
        <f>_xlfn.CONCAT(D565, " / ", E565)</f>
        <v>effortless-typescript / AppNavGroups</v>
      </c>
      <c r="C565" s="2" t="s">
        <v>13999</v>
      </c>
      <c r="D565" s="2" t="s">
        <v>13975</v>
      </c>
      <c r="E565" s="2" t="s">
        <v>1853</v>
      </c>
      <c r="F565" s="2">
        <v>23</v>
      </c>
      <c r="G565" s="2">
        <v>2</v>
      </c>
      <c r="H565" s="2">
        <v>46</v>
      </c>
      <c r="I565" s="2">
        <v>46</v>
      </c>
      <c r="J565" s="2" t="b">
        <v>0</v>
      </c>
      <c r="K565" s="3">
        <f>H565 - I565</f>
        <v>0</v>
      </c>
      <c r="L565" s="3">
        <f>IF(H565 = 0, 0, ROUND(100 * I565 / H565, 2))</f>
        <v>100</v>
      </c>
      <c r="M565" s="3" t="b">
        <f>K565 = 0</f>
        <v>1</v>
      </c>
      <c r="N565" s="3" t="str">
        <f>IF(M565, "", D565)</f>
      </c>
      <c r="O565" s="3" t="str">
        <f>IF(M565, "", E565)</f>
      </c>
      <c r="P565" s="3">
        <f>COUNTIFS(FieldDisagreements!E2:E999, A565)</f>
        <v>0</v>
      </c>
      <c r="Q565" s="3" t="str">
        <f>_xlfn.IFNA(INDEX(ConformanceSubstrates!C2:C999, MATCH(D565,ConformanceSubstrates!A2:A999, 0)), "")</f>
        <v>TypeScript</v>
      </c>
      <c r="R565" s="3" t="str">
        <f>_xlfn.IFNA(INDEX(RulebookTables!F2:F999, MATCH(E565,RulebookTables!A2:A999, 0)), "")</f>
        <v>application</v>
      </c>
      <c r="S565" s="2" t="s">
        <v>1898</v>
      </c>
    </row>
    <row r="566">
      <c r="A566" s="2" t="s">
        <v>14573</v>
      </c>
      <c r="B566" s="3" t="str">
        <f>_xlfn.CONCAT(D566, " / ", E566)</f>
        <v>effortless-typescript / AppRoutes</v>
      </c>
      <c r="C566" s="2" t="s">
        <v>13999</v>
      </c>
      <c r="D566" s="2" t="s">
        <v>13975</v>
      </c>
      <c r="E566" s="2" t="s">
        <v>1857</v>
      </c>
      <c r="F566" s="2">
        <v>149</v>
      </c>
      <c r="G566" s="2">
        <v>7</v>
      </c>
      <c r="H566" s="2">
        <v>1043</v>
      </c>
      <c r="I566" s="2">
        <v>1043</v>
      </c>
      <c r="J566" s="2" t="b">
        <v>0</v>
      </c>
      <c r="K566" s="3">
        <f>H566 - I566</f>
        <v>0</v>
      </c>
      <c r="L566" s="3">
        <f>IF(H566 = 0, 0, ROUND(100 * I566 / H566, 2))</f>
        <v>100</v>
      </c>
      <c r="M566" s="3" t="b">
        <f>K566 = 0</f>
        <v>1</v>
      </c>
      <c r="N566" s="3" t="str">
        <f>IF(M566, "", D566)</f>
      </c>
      <c r="O566" s="3" t="str">
        <f>IF(M566, "", E566)</f>
      </c>
      <c r="P566" s="3">
        <f>COUNTIFS(FieldDisagreements!E2:E999, A566)</f>
        <v>0</v>
      </c>
      <c r="Q566" s="3" t="str">
        <f>_xlfn.IFNA(INDEX(ConformanceSubstrates!C2:C999, MATCH(D566,ConformanceSubstrates!A2:A999, 0)), "")</f>
        <v>TypeScript</v>
      </c>
      <c r="R566" s="3" t="str">
        <f>_xlfn.IFNA(INDEX(RulebookTables!F2:F999, MATCH(E566,RulebookTables!A2:A999, 0)), "")</f>
        <v>application</v>
      </c>
      <c r="S566" s="2" t="s">
        <v>1898</v>
      </c>
    </row>
    <row r="567">
      <c r="A567" s="2" t="s">
        <v>14574</v>
      </c>
      <c r="B567" s="3" t="str">
        <f>_xlfn.CONCAT(D567, " / ", E567)</f>
        <v>effortless-typescript / AppRouteQuestions</v>
      </c>
      <c r="C567" s="2" t="s">
        <v>13999</v>
      </c>
      <c r="D567" s="2" t="s">
        <v>13975</v>
      </c>
      <c r="E567" s="2" t="s">
        <v>1861</v>
      </c>
      <c r="F567" s="2">
        <v>151</v>
      </c>
      <c r="G567" s="2">
        <v>1</v>
      </c>
      <c r="H567" s="2">
        <v>151</v>
      </c>
      <c r="I567" s="2">
        <v>151</v>
      </c>
      <c r="J567" s="2" t="b">
        <v>0</v>
      </c>
      <c r="K567" s="3">
        <f>H567 - I567</f>
        <v>0</v>
      </c>
      <c r="L567" s="3">
        <f>IF(H567 = 0, 0, ROUND(100 * I567 / H567, 2))</f>
        <v>100</v>
      </c>
      <c r="M567" s="3" t="b">
        <f>K567 = 0</f>
        <v>1</v>
      </c>
      <c r="N567" s="3" t="str">
        <f>IF(M567, "", D567)</f>
      </c>
      <c r="O567" s="3" t="str">
        <f>IF(M567, "", E567)</f>
      </c>
      <c r="P567" s="3">
        <f>COUNTIFS(FieldDisagreements!E2:E999, A567)</f>
        <v>0</v>
      </c>
      <c r="Q567" s="3" t="str">
        <f>_xlfn.IFNA(INDEX(ConformanceSubstrates!C2:C999, MATCH(D567,ConformanceSubstrates!A2:A999, 0)), "")</f>
        <v>TypeScript</v>
      </c>
      <c r="R567" s="3" t="str">
        <f>_xlfn.IFNA(INDEX(RulebookTables!F2:F999, MATCH(E567,RulebookTables!A2:A999, 0)), "")</f>
        <v>application</v>
      </c>
      <c r="S567" s="2" t="s">
        <v>1898</v>
      </c>
    </row>
    <row r="568">
      <c r="A568" s="2" t="s">
        <v>14575</v>
      </c>
      <c r="B568" s="3" t="str">
        <f>_xlfn.CONCAT(D568, " / ", E568)</f>
        <v>effortless-typescript / AppRouteReferences</v>
      </c>
      <c r="C568" s="2" t="s">
        <v>13999</v>
      </c>
      <c r="D568" s="2" t="s">
        <v>13975</v>
      </c>
      <c r="E568" s="2" t="s">
        <v>1865</v>
      </c>
      <c r="F568" s="2">
        <v>315</v>
      </c>
      <c r="G568" s="2">
        <v>1</v>
      </c>
      <c r="H568" s="2">
        <v>315</v>
      </c>
      <c r="I568" s="2">
        <v>315</v>
      </c>
      <c r="J568" s="2" t="b">
        <v>0</v>
      </c>
      <c r="K568" s="3">
        <f>H568 - I568</f>
        <v>0</v>
      </c>
      <c r="L568" s="3">
        <f>IF(H568 = 0, 0, ROUND(100 * I568 / H568, 2))</f>
        <v>100</v>
      </c>
      <c r="M568" s="3" t="b">
        <f>K568 = 0</f>
        <v>1</v>
      </c>
      <c r="N568" s="3" t="str">
        <f>IF(M568, "", D568)</f>
      </c>
      <c r="O568" s="3" t="str">
        <f>IF(M568, "", E568)</f>
      </c>
      <c r="P568" s="3">
        <f>COUNTIFS(FieldDisagreements!E2:E999, A568)</f>
        <v>0</v>
      </c>
      <c r="Q568" s="3" t="str">
        <f>_xlfn.IFNA(INDEX(ConformanceSubstrates!C2:C999, MATCH(D568,ConformanceSubstrates!A2:A999, 0)), "")</f>
        <v>TypeScript</v>
      </c>
      <c r="R568" s="3" t="str">
        <f>_xlfn.IFNA(INDEX(RulebookTables!F2:F999, MATCH(E568,RulebookTables!A2:A999, 0)), "")</f>
        <v>application</v>
      </c>
      <c r="S568" s="2" t="s">
        <v>1898</v>
      </c>
    </row>
    <row r="569">
      <c r="A569" s="2" t="s">
        <v>14576</v>
      </c>
      <c r="B569" s="3" t="str">
        <f>_xlfn.CONCAT(D569, " / ", E569)</f>
        <v>effortless-typescript / RulebookTables</v>
      </c>
      <c r="C569" s="2" t="s">
        <v>13999</v>
      </c>
      <c r="D569" s="2" t="s">
        <v>13975</v>
      </c>
      <c r="E569" s="2" t="s">
        <v>5286</v>
      </c>
      <c r="F569" s="2">
        <v>92</v>
      </c>
      <c r="G569" s="2">
        <v>5</v>
      </c>
      <c r="H569" s="2">
        <v>460</v>
      </c>
      <c r="I569" s="2">
        <v>460</v>
      </c>
      <c r="J569" s="2" t="b">
        <v>0</v>
      </c>
      <c r="K569" s="3">
        <f>H569 - I569</f>
        <v>0</v>
      </c>
      <c r="L569" s="3">
        <f>IF(H569 = 0, 0, ROUND(100 * I569 / H569, 2))</f>
        <v>100</v>
      </c>
      <c r="M569" s="3" t="b">
        <f>K569 = 0</f>
        <v>1</v>
      </c>
      <c r="N569" s="3" t="str">
        <f>IF(M569, "", D569)</f>
      </c>
      <c r="O569" s="3" t="str">
        <f>IF(M569, "", E569)</f>
      </c>
      <c r="P569" s="3">
        <f>COUNTIFS(FieldDisagreements!E2:E999, A569)</f>
        <v>0</v>
      </c>
      <c r="Q569" s="3" t="str">
        <f>_xlfn.IFNA(INDEX(ConformanceSubstrates!C2:C999, MATCH(D569,ConformanceSubstrates!A2:A999, 0)), "")</f>
        <v>TypeScript</v>
      </c>
      <c r="R569" s="3" t="str">
        <f>_xlfn.IFNA(INDEX(RulebookTables!F2:F999, MATCH(E569,RulebookTables!A2:A999, 0)), "")</f>
        <v>meta</v>
      </c>
      <c r="S569" s="2" t="s">
        <v>1898</v>
      </c>
    </row>
    <row r="570">
      <c r="A570" s="2" t="s">
        <v>14577</v>
      </c>
      <c r="B570" s="3" t="str">
        <f>_xlfn.CONCAT(D570, " / ", E570)</f>
        <v>effortless-typescript / AccessPrincipals</v>
      </c>
      <c r="C570" s="2" t="s">
        <v>13999</v>
      </c>
      <c r="D570" s="2" t="s">
        <v>13975</v>
      </c>
      <c r="E570" s="2" t="s">
        <v>5313</v>
      </c>
      <c r="F570" s="2">
        <v>12</v>
      </c>
      <c r="G570" s="2">
        <v>8</v>
      </c>
      <c r="H570" s="2">
        <v>96</v>
      </c>
      <c r="I570" s="2">
        <v>96</v>
      </c>
      <c r="J570" s="2" t="b">
        <v>0</v>
      </c>
      <c r="K570" s="3">
        <f>H570 - I570</f>
        <v>0</v>
      </c>
      <c r="L570" s="3">
        <f>IF(H570 = 0, 0, ROUND(100 * I570 / H570, 2))</f>
        <v>100</v>
      </c>
      <c r="M570" s="3" t="b">
        <f>K570 = 0</f>
        <v>1</v>
      </c>
      <c r="N570" s="3" t="str">
        <f>IF(M570, "", D570)</f>
      </c>
      <c r="O570" s="3" t="str">
        <f>IF(M570, "", E570)</f>
      </c>
      <c r="P570" s="3">
        <f>COUNTIFS(FieldDisagreements!E2:E999, A570)</f>
        <v>0</v>
      </c>
      <c r="Q570" s="3" t="str">
        <f>_xlfn.IFNA(INDEX(ConformanceSubstrates!C2:C999, MATCH(D570,ConformanceSubstrates!A2:A999, 0)), "")</f>
        <v>TypeScript</v>
      </c>
      <c r="R570" s="3" t="str">
        <f>_xlfn.IFNA(INDEX(RulebookTables!F2:F999, MATCH(E570,RulebookTables!A2:A999, 0)), "")</f>
        <v>access-control</v>
      </c>
      <c r="S570" s="2" t="s">
        <v>1898</v>
      </c>
    </row>
    <row r="571">
      <c r="A571" s="2" t="s">
        <v>14578</v>
      </c>
      <c r="B571" s="3" t="str">
        <f>_xlfn.CONCAT(D571, " / ", E571)</f>
        <v>effortless-typescript / AccessPolicies</v>
      </c>
      <c r="C571" s="2" t="s">
        <v>13999</v>
      </c>
      <c r="D571" s="2" t="s">
        <v>13975</v>
      </c>
      <c r="E571" s="2" t="s">
        <v>5346</v>
      </c>
      <c r="F571" s="2">
        <v>202</v>
      </c>
      <c r="G571" s="2">
        <v>7</v>
      </c>
      <c r="H571" s="2">
        <v>1414</v>
      </c>
      <c r="I571" s="2">
        <v>1414</v>
      </c>
      <c r="J571" s="2" t="b">
        <v>0</v>
      </c>
      <c r="K571" s="3">
        <f>H571 - I571</f>
        <v>0</v>
      </c>
      <c r="L571" s="3">
        <f>IF(H571 = 0, 0, ROUND(100 * I571 / H571, 2))</f>
        <v>100</v>
      </c>
      <c r="M571" s="3" t="b">
        <f>K571 = 0</f>
        <v>1</v>
      </c>
      <c r="N571" s="3" t="str">
        <f>IF(M571, "", D571)</f>
      </c>
      <c r="O571" s="3" t="str">
        <f>IF(M571, "", E571)</f>
      </c>
      <c r="P571" s="3">
        <f>COUNTIFS(FieldDisagreements!E2:E999, A571)</f>
        <v>0</v>
      </c>
      <c r="Q571" s="3" t="str">
        <f>_xlfn.IFNA(INDEX(ConformanceSubstrates!C2:C999, MATCH(D571,ConformanceSubstrates!A2:A999, 0)), "")</f>
        <v>TypeScript</v>
      </c>
      <c r="R571" s="3" t="str">
        <f>_xlfn.IFNA(INDEX(RulebookTables!F2:F999, MATCH(E571,RulebookTables!A2:A999, 0)), "")</f>
        <v>access-control</v>
      </c>
      <c r="S571" s="2" t="s">
        <v>1898</v>
      </c>
    </row>
    <row r="572">
      <c r="A572" s="2" t="s">
        <v>14579</v>
      </c>
      <c r="B572" s="3" t="str">
        <f>_xlfn.CONCAT(D572, " / ", E572)</f>
        <v>effortless-typescript / FieldGrants</v>
      </c>
      <c r="C572" s="2" t="s">
        <v>13999</v>
      </c>
      <c r="D572" s="2" t="s">
        <v>13975</v>
      </c>
      <c r="E572" s="2" t="s">
        <v>5382</v>
      </c>
      <c r="F572" s="2">
        <v>3639</v>
      </c>
      <c r="G572" s="2">
        <v>7</v>
      </c>
      <c r="H572" s="2">
        <v>25473</v>
      </c>
      <c r="I572" s="2">
        <v>25473</v>
      </c>
      <c r="J572" s="2" t="b">
        <v>0</v>
      </c>
      <c r="K572" s="3">
        <f>H572 - I572</f>
        <v>0</v>
      </c>
      <c r="L572" s="3">
        <f>IF(H572 = 0, 0, ROUND(100 * I572 / H572, 2))</f>
        <v>100</v>
      </c>
      <c r="M572" s="3" t="b">
        <f>K572 = 0</f>
        <v>1</v>
      </c>
      <c r="N572" s="3" t="str">
        <f>IF(M572, "", D572)</f>
      </c>
      <c r="O572" s="3" t="str">
        <f>IF(M572, "", E572)</f>
      </c>
      <c r="P572" s="3">
        <f>COUNTIFS(FieldDisagreements!E2:E999, A572)</f>
        <v>0</v>
      </c>
      <c r="Q572" s="3" t="str">
        <f>_xlfn.IFNA(INDEX(ConformanceSubstrates!C2:C999, MATCH(D572,ConformanceSubstrates!A2:A999, 0)), "")</f>
        <v>TypeScript</v>
      </c>
      <c r="R572" s="3" t="str">
        <f>_xlfn.IFNA(INDEX(RulebookTables!F2:F999, MATCH(E572,RulebookTables!A2:A999, 0)), "")</f>
        <v>access-control</v>
      </c>
      <c r="S572" s="2" t="s">
        <v>1898</v>
      </c>
    </row>
    <row r="573">
      <c r="A573" s="2" t="s">
        <v>14580</v>
      </c>
      <c r="B573" s="3" t="str">
        <f>_xlfn.CONCAT(D573, " / ", E573)</f>
        <v>effortless-typescript / RoleSchemas</v>
      </c>
      <c r="C573" s="2" t="s">
        <v>13999</v>
      </c>
      <c r="D573" s="2" t="s">
        <v>13975</v>
      </c>
      <c r="E573" s="2" t="s">
        <v>5413</v>
      </c>
      <c r="F573" s="2">
        <v>12</v>
      </c>
      <c r="G573" s="2">
        <v>4</v>
      </c>
      <c r="H573" s="2">
        <v>48</v>
      </c>
      <c r="I573" s="2">
        <v>48</v>
      </c>
      <c r="J573" s="2" t="b">
        <v>0</v>
      </c>
      <c r="K573" s="3">
        <f>H573 - I573</f>
        <v>0</v>
      </c>
      <c r="L573" s="3">
        <f>IF(H573 = 0, 0, ROUND(100 * I573 / H573, 2))</f>
        <v>100</v>
      </c>
      <c r="M573" s="3" t="b">
        <f>K573 = 0</f>
        <v>1</v>
      </c>
      <c r="N573" s="3" t="str">
        <f>IF(M573, "", D573)</f>
      </c>
      <c r="O573" s="3" t="str">
        <f>IF(M573, "", E573)</f>
      </c>
      <c r="P573" s="3">
        <f>COUNTIFS(FieldDisagreements!E2:E999, A573)</f>
        <v>0</v>
      </c>
      <c r="Q573" s="3" t="str">
        <f>_xlfn.IFNA(INDEX(ConformanceSubstrates!C2:C999, MATCH(D573,ConformanceSubstrates!A2:A999, 0)), "")</f>
        <v>TypeScript</v>
      </c>
      <c r="R573" s="3" t="str">
        <f>_xlfn.IFNA(INDEX(RulebookTables!F2:F999, MATCH(E573,RulebookTables!A2:A999, 0)), "")</f>
        <v>org</v>
      </c>
      <c r="S573" s="2" t="s">
        <v>1898</v>
      </c>
    </row>
    <row r="574">
      <c r="A574" s="2" t="s">
        <v>14581</v>
      </c>
      <c r="B574" s="3" t="str">
        <f>_xlfn.CONCAT(D574, " / ", E574)</f>
        <v>effortless-typescript / RoleSchemaViews</v>
      </c>
      <c r="C574" s="2" t="s">
        <v>13999</v>
      </c>
      <c r="D574" s="2" t="s">
        <v>13975</v>
      </c>
      <c r="E574" s="2" t="s">
        <v>5431</v>
      </c>
      <c r="F574" s="2">
        <v>202</v>
      </c>
      <c r="G574" s="2">
        <v>8</v>
      </c>
      <c r="H574" s="2">
        <v>1616</v>
      </c>
      <c r="I574" s="2">
        <v>1616</v>
      </c>
      <c r="J574" s="2" t="b">
        <v>0</v>
      </c>
      <c r="K574" s="3">
        <f>H574 - I574</f>
        <v>0</v>
      </c>
      <c r="L574" s="3">
        <f>IF(H574 = 0, 0, ROUND(100 * I574 / H574, 2))</f>
        <v>100</v>
      </c>
      <c r="M574" s="3" t="b">
        <f>K574 = 0</f>
        <v>1</v>
      </c>
      <c r="N574" s="3" t="str">
        <f>IF(M574, "", D574)</f>
      </c>
      <c r="O574" s="3" t="str">
        <f>IF(M574, "", E574)</f>
      </c>
      <c r="P574" s="3">
        <f>COUNTIFS(FieldDisagreements!E2:E999, A574)</f>
        <v>0</v>
      </c>
      <c r="Q574" s="3" t="str">
        <f>_xlfn.IFNA(INDEX(ConformanceSubstrates!C2:C999, MATCH(D574,ConformanceSubstrates!A2:A999, 0)), "")</f>
        <v>TypeScript</v>
      </c>
      <c r="R574" s="3" t="str">
        <f>_xlfn.IFNA(INDEX(RulebookTables!F2:F999, MATCH(E574,RulebookTables!A2:A999, 0)), "")</f>
        <v>org</v>
      </c>
      <c r="S574" s="2" t="s">
        <v>1898</v>
      </c>
    </row>
    <row r="575">
      <c r="A575" s="2" t="s">
        <v>14582</v>
      </c>
      <c r="B575" s="3" t="str">
        <f>_xlfn.CONCAT(D575, " / ", E575)</f>
        <v>effortless-typescript / JwtClaimMappings</v>
      </c>
      <c r="C575" s="2" t="s">
        <v>13999</v>
      </c>
      <c r="D575" s="2" t="s">
        <v>13975</v>
      </c>
      <c r="E575" s="2" t="s">
        <v>5463</v>
      </c>
      <c r="F575" s="2">
        <v>4</v>
      </c>
      <c r="G575" s="2">
        <v>2</v>
      </c>
      <c r="H575" s="2">
        <v>8</v>
      </c>
      <c r="I575" s="2">
        <v>8</v>
      </c>
      <c r="J575" s="2" t="b">
        <v>0</v>
      </c>
      <c r="K575" s="3">
        <f>H575 - I575</f>
        <v>0</v>
      </c>
      <c r="L575" s="3">
        <f>IF(H575 = 0, 0, ROUND(100 * I575 / H575, 2))</f>
        <v>100</v>
      </c>
      <c r="M575" s="3" t="b">
        <f>K575 = 0</f>
        <v>1</v>
      </c>
      <c r="N575" s="3" t="str">
        <f>IF(M575, "", D575)</f>
      </c>
      <c r="O575" s="3" t="str">
        <f>IF(M575, "", E575)</f>
      </c>
      <c r="P575" s="3">
        <f>COUNTIFS(FieldDisagreements!E2:E999, A575)</f>
        <v>0</v>
      </c>
      <c r="Q575" s="3" t="str">
        <f>_xlfn.IFNA(INDEX(ConformanceSubstrates!C2:C999, MATCH(D575,ConformanceSubstrates!A2:A999, 0)), "")</f>
        <v>TypeScript</v>
      </c>
      <c r="R575" s="3" t="str">
        <f>_xlfn.IFNA(INDEX(RulebookTables!F2:F999, MATCH(E575,RulebookTables!A2:A999, 0)), "")</f>
        <v>access-control</v>
      </c>
      <c r="S575" s="2" t="s">
        <v>1898</v>
      </c>
    </row>
    <row r="576">
      <c r="A576" s="2" t="s">
        <v>14583</v>
      </c>
      <c r="B576" s="3" t="str">
        <f>_xlfn.CONCAT(D576, " / ", E576)</f>
        <v>effortless-typescript / AccessDenialTests</v>
      </c>
      <c r="C576" s="2" t="s">
        <v>13999</v>
      </c>
      <c r="D576" s="2" t="s">
        <v>13975</v>
      </c>
      <c r="E576" s="2" t="s">
        <v>5482</v>
      </c>
      <c r="F576" s="2">
        <v>17</v>
      </c>
      <c r="G576" s="2">
        <v>6</v>
      </c>
      <c r="H576" s="2">
        <v>102</v>
      </c>
      <c r="I576" s="2">
        <v>102</v>
      </c>
      <c r="J576" s="2" t="b">
        <v>0</v>
      </c>
      <c r="K576" s="3">
        <f>H576 - I576</f>
        <v>0</v>
      </c>
      <c r="L576" s="3">
        <f>IF(H576 = 0, 0, ROUND(100 * I576 / H576, 2))</f>
        <v>100</v>
      </c>
      <c r="M576" s="3" t="b">
        <f>K576 = 0</f>
        <v>1</v>
      </c>
      <c r="N576" s="3" t="str">
        <f>IF(M576, "", D576)</f>
      </c>
      <c r="O576" s="3" t="str">
        <f>IF(M576, "", E576)</f>
      </c>
      <c r="P576" s="3">
        <f>COUNTIFS(FieldDisagreements!E2:E999, A576)</f>
        <v>0</v>
      </c>
      <c r="Q576" s="3" t="str">
        <f>_xlfn.IFNA(INDEX(ConformanceSubstrates!C2:C999, MATCH(D576,ConformanceSubstrates!A2:A999, 0)), "")</f>
        <v>TypeScript</v>
      </c>
      <c r="R576" s="3" t="str">
        <f>_xlfn.IFNA(INDEX(RulebookTables!F2:F999, MATCH(E576,RulebookTables!A2:A999, 0)), "")</f>
        <v>access-control</v>
      </c>
      <c r="S576" s="2" t="s">
        <v>1898</v>
      </c>
    </row>
    <row r="577">
      <c r="A577" s="2" t="s">
        <v>14584</v>
      </c>
      <c r="B577" s="3" t="str">
        <f>_xlfn.CONCAT(D577, " / ", E577)</f>
        <v>effortless-typescript / AppUsers</v>
      </c>
      <c r="C577" s="2" t="s">
        <v>13999</v>
      </c>
      <c r="D577" s="2" t="s">
        <v>13975</v>
      </c>
      <c r="E577" s="2" t="s">
        <v>5518</v>
      </c>
      <c r="F577" s="2">
        <v>10</v>
      </c>
      <c r="G577" s="2">
        <v>7</v>
      </c>
      <c r="H577" s="2">
        <v>70</v>
      </c>
      <c r="I577" s="2">
        <v>70</v>
      </c>
      <c r="J577" s="2" t="b">
        <v>0</v>
      </c>
      <c r="K577" s="3">
        <f>H577 - I577</f>
        <v>0</v>
      </c>
      <c r="L577" s="3">
        <f>IF(H577 = 0, 0, ROUND(100 * I577 / H577, 2))</f>
        <v>100</v>
      </c>
      <c r="M577" s="3" t="b">
        <f>K577 = 0</f>
        <v>1</v>
      </c>
      <c r="N577" s="3" t="str">
        <f>IF(M577, "", D577)</f>
      </c>
      <c r="O577" s="3" t="str">
        <f>IF(M577, "", E577)</f>
      </c>
      <c r="P577" s="3">
        <f>COUNTIFS(FieldDisagreements!E2:E999, A577)</f>
        <v>0</v>
      </c>
      <c r="Q577" s="3" t="str">
        <f>_xlfn.IFNA(INDEX(ConformanceSubstrates!C2:C999, MATCH(D577,ConformanceSubstrates!A2:A999, 0)), "")</f>
        <v>TypeScript</v>
      </c>
      <c r="R577" s="3" t="str">
        <f>_xlfn.IFNA(INDEX(RulebookTables!F2:F999, MATCH(E577,RulebookTables!A2:A999, 0)), "")</f>
      </c>
      <c r="S577" s="2" t="s">
        <v>1898</v>
      </c>
    </row>
    <row r="578">
      <c r="A578" s="2" t="s">
        <v>14585</v>
      </c>
      <c r="B578" s="3" t="str">
        <f>_xlfn.CONCAT(D578, " / ", E578)</f>
        <v>effortless-typescript / PrincipalAssignments</v>
      </c>
      <c r="C578" s="2" t="s">
        <v>13999</v>
      </c>
      <c r="D578" s="2" t="s">
        <v>13975</v>
      </c>
      <c r="E578" s="2" t="s">
        <v>5545</v>
      </c>
      <c r="F578" s="2">
        <v>12</v>
      </c>
      <c r="G578" s="2">
        <v>5</v>
      </c>
      <c r="H578" s="2">
        <v>60</v>
      </c>
      <c r="I578" s="2">
        <v>60</v>
      </c>
      <c r="J578" s="2" t="b">
        <v>0</v>
      </c>
      <c r="K578" s="3">
        <f>H578 - I578</f>
        <v>0</v>
      </c>
      <c r="L578" s="3">
        <f>IF(H578 = 0, 0, ROUND(100 * I578 / H578, 2))</f>
        <v>100</v>
      </c>
      <c r="M578" s="3" t="b">
        <f>K578 = 0</f>
        <v>1</v>
      </c>
      <c r="N578" s="3" t="str">
        <f>IF(M578, "", D578)</f>
      </c>
      <c r="O578" s="3" t="str">
        <f>IF(M578, "", E578)</f>
      </c>
      <c r="P578" s="3">
        <f>COUNTIFS(FieldDisagreements!E2:E999, A578)</f>
        <v>0</v>
      </c>
      <c r="Q578" s="3" t="str">
        <f>_xlfn.IFNA(INDEX(ConformanceSubstrates!C2:C999, MATCH(D578,ConformanceSubstrates!A2:A999, 0)), "")</f>
        <v>TypeScript</v>
      </c>
      <c r="R578" s="3" t="str">
        <f>_xlfn.IFNA(INDEX(RulebookTables!F2:F999, MATCH(E578,RulebookTables!A2:A999, 0)), "")</f>
      </c>
      <c r="S578" s="2" t="s">
        <v>1898</v>
      </c>
    </row>
    <row r="579">
      <c r="A579" s="2" t="s">
        <v>14586</v>
      </c>
      <c r="B579" s="3" t="str">
        <f>_xlfn.CONCAT(D579, " / ", E579)</f>
        <v>effortless-typescript / ProcessMiningRuns</v>
      </c>
      <c r="C579" s="2" t="s">
        <v>13999</v>
      </c>
      <c r="D579" s="2" t="s">
        <v>13975</v>
      </c>
      <c r="E579" s="2" t="s">
        <v>1869</v>
      </c>
      <c r="F579" s="2">
        <v>4</v>
      </c>
      <c r="G579" s="2">
        <v>10</v>
      </c>
      <c r="H579" s="2">
        <v>40</v>
      </c>
      <c r="I579" s="2">
        <v>36</v>
      </c>
      <c r="J579" s="2" t="b">
        <v>0</v>
      </c>
      <c r="K579" s="3">
        <f>H579 - I579</f>
        <v>4</v>
      </c>
      <c r="L579" s="3">
        <f>IF(H579 = 0, 0, ROUND(100 * I579 / H579, 2))</f>
        <v>90</v>
      </c>
      <c r="M579" s="3" t="b">
        <f>K579 = 0</f>
        <v>0</v>
      </c>
      <c r="N579" s="3" t="str">
        <f>IF(M579, "", D579)</f>
        <v>effortless-typescript</v>
      </c>
      <c r="O579" s="3" t="str">
        <f>IF(M579, "", E579)</f>
        <v>ProcessMiningRuns</v>
      </c>
      <c r="P579" s="3">
        <f>COUNTIFS(FieldDisagreements!E2:E999, A579)</f>
        <v>1</v>
      </c>
      <c r="Q579" s="3" t="str">
        <f>_xlfn.IFNA(INDEX(ConformanceSubstrates!C2:C999, MATCH(D579,ConformanceSubstrates!A2:A999, 0)), "")</f>
        <v>TypeScript</v>
      </c>
      <c r="R579" s="3" t="str">
        <f>_xlfn.IFNA(INDEX(RulebookTables!F2:F999, MATCH(E579,RulebookTables!A2:A999, 0)), "")</f>
        <v>knowledge</v>
      </c>
      <c r="S579" s="2" t="s">
        <v>1898</v>
      </c>
    </row>
    <row r="580">
      <c r="A580" s="2" t="s">
        <v>14587</v>
      </c>
      <c r="B580" s="3" t="str">
        <f>_xlfn.CONCAT(D580, " / ", E580)</f>
        <v>effortless-typescript / Vocabularies</v>
      </c>
      <c r="C580" s="2" t="s">
        <v>13999</v>
      </c>
      <c r="D580" s="2" t="s">
        <v>13975</v>
      </c>
      <c r="E580" s="2" t="s">
        <v>1873</v>
      </c>
      <c r="F580" s="2">
        <v>2</v>
      </c>
      <c r="G580" s="2">
        <v>4</v>
      </c>
      <c r="H580" s="2">
        <v>8</v>
      </c>
      <c r="I580" s="2">
        <v>8</v>
      </c>
      <c r="J580" s="2" t="b">
        <v>0</v>
      </c>
      <c r="K580" s="3">
        <f>H580 - I580</f>
        <v>0</v>
      </c>
      <c r="L580" s="3">
        <f>IF(H580 = 0, 0, ROUND(100 * I580 / H580, 2))</f>
        <v>100</v>
      </c>
      <c r="M580" s="3" t="b">
        <f>K580 = 0</f>
        <v>1</v>
      </c>
      <c r="N580" s="3" t="str">
        <f>IF(M580, "", D580)</f>
      </c>
      <c r="O580" s="3" t="str">
        <f>IF(M580, "", E580)</f>
      </c>
      <c r="P580" s="3">
        <f>COUNTIFS(FieldDisagreements!E2:E999, A580)</f>
        <v>0</v>
      </c>
      <c r="Q580" s="3" t="str">
        <f>_xlfn.IFNA(INDEX(ConformanceSubstrates!C2:C999, MATCH(D580,ConformanceSubstrates!A2:A999, 0)), "")</f>
        <v>TypeScript</v>
      </c>
      <c r="R580" s="3" t="str">
        <f>_xlfn.IFNA(INDEX(RulebookTables!F2:F999, MATCH(E580,RulebookTables!A2:A999, 0)), "")</f>
        <v>knowledge</v>
      </c>
      <c r="S580" s="2" t="s">
        <v>1898</v>
      </c>
    </row>
    <row r="581">
      <c r="A581" s="2" t="s">
        <v>14588</v>
      </c>
      <c r="B581" s="3" t="str">
        <f>_xlfn.CONCAT(D581, " / ", E581)</f>
        <v>effortless-typescript / VocabularyTerms</v>
      </c>
      <c r="C581" s="2" t="s">
        <v>13999</v>
      </c>
      <c r="D581" s="2" t="s">
        <v>13975</v>
      </c>
      <c r="E581" s="2" t="s">
        <v>1877</v>
      </c>
      <c r="F581" s="2">
        <v>12</v>
      </c>
      <c r="G581" s="2">
        <v>5</v>
      </c>
      <c r="H581" s="2">
        <v>60</v>
      </c>
      <c r="I581" s="2">
        <v>60</v>
      </c>
      <c r="J581" s="2" t="b">
        <v>0</v>
      </c>
      <c r="K581" s="3">
        <f>H581 - I581</f>
        <v>0</v>
      </c>
      <c r="L581" s="3">
        <f>IF(H581 = 0, 0, ROUND(100 * I581 / H581, 2))</f>
        <v>100</v>
      </c>
      <c r="M581" s="3" t="b">
        <f>K581 = 0</f>
        <v>1</v>
      </c>
      <c r="N581" s="3" t="str">
        <f>IF(M581, "", D581)</f>
      </c>
      <c r="O581" s="3" t="str">
        <f>IF(M581, "", E581)</f>
      </c>
      <c r="P581" s="3">
        <f>COUNTIFS(FieldDisagreements!E2:E999, A581)</f>
        <v>0</v>
      </c>
      <c r="Q581" s="3" t="str">
        <f>_xlfn.IFNA(INDEX(ConformanceSubstrates!C2:C999, MATCH(D581,ConformanceSubstrates!A2:A999, 0)), "")</f>
        <v>TypeScript</v>
      </c>
      <c r="R581" s="3" t="str">
        <f>_xlfn.IFNA(INDEX(RulebookTables!F2:F999, MATCH(E581,RulebookTables!A2:A999, 0)), "")</f>
        <v>knowledge</v>
      </c>
      <c r="S581" s="2" t="s">
        <v>1898</v>
      </c>
    </row>
    <row r="582">
      <c r="A582" s="2" t="s">
        <v>14589</v>
      </c>
      <c r="B582" s="3" t="str">
        <f>_xlfn.CONCAT(D582, " / ", E582)</f>
        <v>effortless-typescript / KnowledgeBrokerLinks</v>
      </c>
      <c r="C582" s="2" t="s">
        <v>13999</v>
      </c>
      <c r="D582" s="2" t="s">
        <v>13975</v>
      </c>
      <c r="E582" s="2" t="s">
        <v>1881</v>
      </c>
      <c r="F582" s="2">
        <v>5</v>
      </c>
      <c r="G582" s="2">
        <v>8</v>
      </c>
      <c r="H582" s="2">
        <v>40</v>
      </c>
      <c r="I582" s="2">
        <v>40</v>
      </c>
      <c r="J582" s="2" t="b">
        <v>0</v>
      </c>
      <c r="K582" s="3">
        <f>H582 - I582</f>
        <v>0</v>
      </c>
      <c r="L582" s="3">
        <f>IF(H582 = 0, 0, ROUND(100 * I582 / H582, 2))</f>
        <v>100</v>
      </c>
      <c r="M582" s="3" t="b">
        <f>K582 = 0</f>
        <v>1</v>
      </c>
      <c r="N582" s="3" t="str">
        <f>IF(M582, "", D582)</f>
      </c>
      <c r="O582" s="3" t="str">
        <f>IF(M582, "", E582)</f>
      </c>
      <c r="P582" s="3">
        <f>COUNTIFS(FieldDisagreements!E2:E999, A582)</f>
        <v>0</v>
      </c>
      <c r="Q582" s="3" t="str">
        <f>_xlfn.IFNA(INDEX(ConformanceSubstrates!C2:C999, MATCH(D582,ConformanceSubstrates!A2:A999, 0)), "")</f>
        <v>TypeScript</v>
      </c>
      <c r="R582" s="3" t="str">
        <f>_xlfn.IFNA(INDEX(RulebookTables!F2:F999, MATCH(E582,RulebookTables!A2:A999, 0)), "")</f>
        <v>knowledge</v>
      </c>
      <c r="S582" s="2" t="s">
        <v>1898</v>
      </c>
    </row>
  </sheetData>
  <autoFilter ref="A1:S1"/>
  <headerFooter/>
  <legacyDrawing r:id="rId1"/>
</worksheet>
</file>

<file path=xl/worksheets/sheet9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01"/>
  <sheetViews>
    <sheetView workbookViewId="0">
      <pane ySplit="1" topLeftCell="A2" state="frozen" activePane="bottomLeft"/>
      <selection pane="bottomLeft" activeCell="A1" sqref="A1"/>
    </sheetView>
  </sheetViews>
  <sheetFormatPr defaultRowHeight="15"/>
  <cols>
    <col min="1" max="1" width="77.70783996582031" customWidth="1"/>
    <col min="2" max="2" width="79.06056213378906" customWidth="1"/>
    <col min="3" max="3" width="26.533050537109375" customWidth="1"/>
    <col min="4" max="4" width="57.197689056396484" customWidth="1"/>
    <col min="5" max="5" width="51.90706253051758" customWidth="1"/>
    <col min="6" max="6" width="17.443378448486328" customWidth="1"/>
    <col min="7" max="7" width="17.443378448486328" customWidth="1"/>
    <col min="8" max="8" width="17.86225700378418" customWidth="1"/>
    <col min="9" max="9" width="18.367671966552734" customWidth="1"/>
    <col min="10" max="10" width="17.443378448486328" customWidth="1"/>
    <col min="11" max="11" width="244.23106384277344" customWidth="1"/>
    <col min="12" max="12" width="22.93600082397461" customWidth="1"/>
    <col min="13" max="13" width="46.42580032348633" customWidth="1"/>
  </cols>
  <sheetData>
    <row r="1">
      <c r="A1" s="1" t="s">
        <v>5877</v>
      </c>
      <c r="B1" s="1" t="s">
        <v>1</v>
      </c>
      <c r="C1" s="1" t="s">
        <v>5793</v>
      </c>
      <c r="D1" s="1" t="s">
        <v>5882</v>
      </c>
      <c r="E1" s="1" t="s">
        <v>1897</v>
      </c>
      <c r="F1" s="1" t="s">
        <v>5885</v>
      </c>
      <c r="G1" s="1" t="s">
        <v>5775</v>
      </c>
      <c r="H1" s="1" t="s">
        <v>5888</v>
      </c>
      <c r="I1" s="1" t="s">
        <v>5890</v>
      </c>
      <c r="J1" s="1" t="s">
        <v>5893</v>
      </c>
      <c r="K1" s="1" t="s">
        <v>2377</v>
      </c>
      <c r="L1" s="1" t="s">
        <v>5841</v>
      </c>
      <c r="M1" s="1" t="s">
        <v>94</v>
      </c>
    </row>
    <row r="2">
      <c r="A2" s="2" t="s">
        <v>14590</v>
      </c>
      <c r="B2" s="3" t="str">
        <f>_xlfn.CONCAT(C2, " / ", D2)</f>
        <v>effortless-postgres / EvaluationContexts.Name</v>
      </c>
      <c r="C2" s="2" t="s">
        <v>13956</v>
      </c>
      <c r="D2" s="2" t="s">
        <v>2414</v>
      </c>
      <c r="E2" s="2" t="s">
        <v>14011</v>
      </c>
      <c r="F2" s="2" t="s">
        <v>2389</v>
      </c>
      <c r="G2" s="2">
        <v>1</v>
      </c>
      <c r="H2" s="2" t="s">
        <v>14591</v>
      </c>
      <c r="I2" s="3">
        <f>COUNTIFS(CellDisagreements!C2:C999, A2)</f>
        <v>1</v>
      </c>
      <c r="J2" s="3" t="b">
        <f>I2 = G2</f>
        <v>1</v>
      </c>
      <c r="K2" s="3" t="str">
        <f>_xlfn.IFNA(INDEX(RulebookFields!G2:G999, MATCH(D2,RulebookFields!A2:A999, 0)), "")</f>
        <v>={{Label}} &amp; " @ " &amp; {{AsOfInstant}}</v>
      </c>
      <c r="L2" s="3" t="str">
        <f>_xlfn.IFNA(INDEX(ConformanceSubstrates!C2:C999, MATCH(C2,ConformanceSubstrates!A2:A999, 0)), "")</f>
        <v>PostgreSQL</v>
      </c>
      <c r="M2" s="2" t="s">
        <v>1902</v>
      </c>
    </row>
    <row r="3">
      <c r="A3" s="2" t="s">
        <v>14592</v>
      </c>
      <c r="B3" s="3" t="str">
        <f>_xlfn.CONCAT(C3, " / ", D3)</f>
        <v>effortless-postgres / RoleAssignments.Name</v>
      </c>
      <c r="C3" s="2" t="s">
        <v>13956</v>
      </c>
      <c r="D3" s="2" t="s">
        <v>2514</v>
      </c>
      <c r="E3" s="2" t="s">
        <v>14015</v>
      </c>
      <c r="F3" s="2" t="s">
        <v>2389</v>
      </c>
      <c r="G3" s="2">
        <v>13</v>
      </c>
      <c r="H3" s="2" t="s">
        <v>14591</v>
      </c>
      <c r="I3" s="3">
        <f>COUNTIFS(CellDisagreements!C2:C999, A3)</f>
        <v>13</v>
      </c>
      <c r="J3" s="3" t="b">
        <f>I3 = G3</f>
        <v>1</v>
      </c>
      <c r="K3" s="3" t="str">
        <f>_xlfn.IFNA(INDEX(RulebookFields!G2:G999, MATCH(D3,RulebookFields!A2:A999, 0)), "")</f>
        <v>={{Role}} &amp; " @ " &amp; {{ValidFrom}}</v>
      </c>
      <c r="L3" s="3" t="str">
        <f>_xlfn.IFNA(INDEX(ConformanceSubstrates!C2:C999, MATCH(C3,ConformanceSubstrates!A2:A999, 0)), "")</f>
        <v>PostgreSQL</v>
      </c>
      <c r="M3" s="2" t="s">
        <v>1902</v>
      </c>
    </row>
    <row r="4">
      <c r="A4" s="2" t="s">
        <v>14593</v>
      </c>
      <c r="B4" s="3" t="str">
        <f>_xlfn.CONCAT(C4, " / ", D4)</f>
        <v>effortless-postgres / RoleAssignments.QualityVerdictIsUnsupported</v>
      </c>
      <c r="C4" s="2" t="s">
        <v>13956</v>
      </c>
      <c r="D4" s="2" t="s">
        <v>2575</v>
      </c>
      <c r="E4" s="2" t="s">
        <v>14015</v>
      </c>
      <c r="F4" s="2" t="s">
        <v>2389</v>
      </c>
      <c r="G4" s="2">
        <v>13</v>
      </c>
      <c r="H4" s="2" t="s">
        <v>14591</v>
      </c>
      <c r="I4" s="3">
        <f>COUNTIFS(CellDisagreements!C2:C999, A4)</f>
        <v>13</v>
      </c>
      <c r="J4" s="3" t="b">
        <f>I4 = G4</f>
        <v>1</v>
      </c>
      <c r="K4" s="3" t="str">
        <f>_xlfn.IFNA(INDEX(RulebookFields!G2:G999, MATCH(D4,RulebookFields!A2:A999, 0)), "")</f>
        <v>=AND(NOT({{ComparisonIsEvidentiallySound}}), NOT({{QualityRegressedVsPredecessor}}))</v>
      </c>
      <c r="L4" s="3" t="str">
        <f>_xlfn.IFNA(INDEX(ConformanceSubstrates!C2:C999, MATCH(C4,ConformanceSubstrates!A2:A999, 0)), "")</f>
        <v>PostgreSQL</v>
      </c>
      <c r="M4" s="2" t="s">
        <v>1902</v>
      </c>
    </row>
    <row r="5">
      <c r="A5" s="2" t="s">
        <v>14594</v>
      </c>
      <c r="B5" s="3" t="str">
        <f>_xlfn.CONCAT(C5, " / ", D5)</f>
        <v>effortless-postgres / RoleAssignments.IsUnmeasuredAutomationHandover</v>
      </c>
      <c r="C5" s="2" t="s">
        <v>13956</v>
      </c>
      <c r="D5" s="2" t="s">
        <v>2577</v>
      </c>
      <c r="E5" s="2" t="s">
        <v>14015</v>
      </c>
      <c r="F5" s="2" t="s">
        <v>2389</v>
      </c>
      <c r="G5" s="2">
        <v>1</v>
      </c>
      <c r="H5" s="2" t="s">
        <v>14591</v>
      </c>
      <c r="I5" s="3">
        <f>COUNTIFS(CellDisagreements!C2:C999, A5)</f>
        <v>1</v>
      </c>
      <c r="J5" s="3" t="b">
        <f>I5 = G5</f>
        <v>1</v>
      </c>
      <c r="K5" s="3" t="str">
        <f>_xlfn.IFNA(INDEX(RulebookFields!G2:G999, MATCH(D5,RulebookFields!A2:A999, 0)), "")</f>
        <v>=AND({{IsHumanToNonHumanHandover}}, NOT({{ComparisonIsEvidentiallySound}}))</v>
      </c>
      <c r="L5" s="3" t="str">
        <f>_xlfn.IFNA(INDEX(ConformanceSubstrates!C2:C999, MATCH(C5,ConformanceSubstrates!A2:A999, 0)), "")</f>
        <v>PostgreSQL</v>
      </c>
      <c r="M5" s="2" t="s">
        <v>1902</v>
      </c>
    </row>
    <row r="6">
      <c r="A6" s="2" t="s">
        <v>14595</v>
      </c>
      <c r="B6" s="3" t="str">
        <f>_xlfn.CONCAT(C6, " / ", D6)</f>
        <v>effortless-postgres / ProcedureVersions.DaysSinceModified</v>
      </c>
      <c r="C6" s="2" t="s">
        <v>13956</v>
      </c>
      <c r="D6" s="2" t="s">
        <v>2724</v>
      </c>
      <c r="E6" s="2" t="s">
        <v>14020</v>
      </c>
      <c r="F6" s="2" t="s">
        <v>2389</v>
      </c>
      <c r="G6" s="2">
        <v>3</v>
      </c>
      <c r="H6" s="2" t="s">
        <v>14591</v>
      </c>
      <c r="I6" s="3">
        <f>COUNTIFS(CellDisagreements!C2:C999, A6)</f>
        <v>3</v>
      </c>
      <c r="J6" s="3" t="b">
        <f>I6 = G6</f>
        <v>1</v>
      </c>
      <c r="K6" s="3" t="str">
        <f>_xlfn.IFNA(INDEX(RulebookFields!G2:G999, MATCH(D6,RulebookFields!A2:A999, 0)), "")</f>
        <v>=DATETIME_DIFF({{AsOfInstant}}, {{ModifiedAt}}, "days")</v>
      </c>
      <c r="L6" s="3" t="str">
        <f>_xlfn.IFNA(INDEX(ConformanceSubstrates!C2:C999, MATCH(C6,ConformanceSubstrates!A2:A999, 0)), "")</f>
        <v>PostgreSQL</v>
      </c>
      <c r="M6" s="2" t="s">
        <v>1902</v>
      </c>
    </row>
    <row r="7">
      <c r="A7" s="2" t="s">
        <v>14596</v>
      </c>
      <c r="B7" s="3" t="str">
        <f>_xlfn.CONCAT(C7, " / ", D7)</f>
        <v>effortless-postgres / ProcedureVersions.WasModifiedSinceLastReview</v>
      </c>
      <c r="C7" s="2" t="s">
        <v>13956</v>
      </c>
      <c r="D7" s="2" t="s">
        <v>2728</v>
      </c>
      <c r="E7" s="2" t="s">
        <v>14020</v>
      </c>
      <c r="F7" s="2" t="s">
        <v>2389</v>
      </c>
      <c r="G7" s="2">
        <v>2</v>
      </c>
      <c r="H7" s="2" t="s">
        <v>14591</v>
      </c>
      <c r="I7" s="3">
        <f>COUNTIFS(CellDisagreements!C2:C999, A7)</f>
        <v>2</v>
      </c>
      <c r="J7" s="3" t="b">
        <f>I7 = G7</f>
        <v>1</v>
      </c>
      <c r="K7" s="3" t="str">
        <f>_xlfn.IFNA(INDEX(RulebookFields!G2:G999, MATCH(D7,RulebookFields!A2:A999, 0)), "")</f>
        <v>={{DaysSinceModified}} &lt; {{DaysSinceLastReview}}</v>
      </c>
      <c r="L7" s="3" t="str">
        <f>_xlfn.IFNA(INDEX(ConformanceSubstrates!C2:C999, MATCH(C7,ConformanceSubstrates!A2:A999, 0)), "")</f>
        <v>PostgreSQL</v>
      </c>
      <c r="M7" s="2" t="s">
        <v>1902</v>
      </c>
    </row>
    <row r="8">
      <c r="A8" s="2" t="s">
        <v>14597</v>
      </c>
      <c r="B8" s="3" t="str">
        <f>_xlfn.CONCAT(C8, " / ", D8)</f>
        <v>effortless-postgres / ProcedureVersions.HasUnwitnessedChange</v>
      </c>
      <c r="C8" s="2" t="s">
        <v>13956</v>
      </c>
      <c r="D8" s="2" t="s">
        <v>2732</v>
      </c>
      <c r="E8" s="2" t="s">
        <v>14020</v>
      </c>
      <c r="F8" s="2" t="s">
        <v>2389</v>
      </c>
      <c r="G8" s="2">
        <v>2</v>
      </c>
      <c r="H8" s="2" t="s">
        <v>14591</v>
      </c>
      <c r="I8" s="3">
        <f>COUNTIFS(CellDisagreements!C2:C999, A8)</f>
        <v>2</v>
      </c>
      <c r="J8" s="3" t="b">
        <f>I8 = G8</f>
        <v>1</v>
      </c>
      <c r="K8" s="3" t="str">
        <f>_xlfn.IFNA(INDEX(RulebookFields!G2:G999, MATCH(D8,RulebookFields!A2:A999, 0)), "")</f>
        <v>=AND({{IsLive}}, {{WasModifiedSinceLastReview}})</v>
      </c>
      <c r="L8" s="3" t="str">
        <f>_xlfn.IFNA(INDEX(ConformanceSubstrates!C2:C999, MATCH(C8,ConformanceSubstrates!A2:A999, 0)), "")</f>
        <v>PostgreSQL</v>
      </c>
      <c r="M8" s="2" t="s">
        <v>1902</v>
      </c>
    </row>
    <row r="9">
      <c r="A9" s="2" t="s">
        <v>14598</v>
      </c>
      <c r="B9" s="3" t="str">
        <f>_xlfn.CONCAT(C9, " / ", D9)</f>
        <v>effortless-postgres / Requirements.IsUntestedWitness</v>
      </c>
      <c r="C9" s="2" t="s">
        <v>13956</v>
      </c>
      <c r="D9" s="2" t="s">
        <v>3025</v>
      </c>
      <c r="E9" s="2" t="s">
        <v>14031</v>
      </c>
      <c r="F9" s="2" t="s">
        <v>2389</v>
      </c>
      <c r="G9" s="2">
        <v>3</v>
      </c>
      <c r="H9" s="2" t="s">
        <v>14591</v>
      </c>
      <c r="I9" s="3">
        <f>COUNTIFS(CellDisagreements!C2:C999, A9)</f>
        <v>3</v>
      </c>
      <c r="J9" s="3" t="b">
        <f>I9 = G9</f>
        <v>1</v>
      </c>
      <c r="K9" s="3" t="str">
        <f>_xlfn.IFNA(INDEX(RulebookFields!G2:G999, MATCH(D9,RulebookFields!A2:A999, 0)), "")</f>
        <v>=AND({{WitnessHasNeverFired}}, NOT({{HasMeaningfulSample}}))</v>
      </c>
      <c r="L9" s="3" t="str">
        <f>_xlfn.IFNA(INDEX(ConformanceSubstrates!C2:C999, MATCH(C9,ConformanceSubstrates!A2:A999, 0)), "")</f>
        <v>PostgreSQL</v>
      </c>
      <c r="M9" s="2" t="s">
        <v>1902</v>
      </c>
    </row>
    <row r="10">
      <c r="A10" s="2" t="s">
        <v>14599</v>
      </c>
      <c r="B10" s="3" t="str">
        <f>_xlfn.CONCAT(C10, " / ", D10)</f>
        <v>effortless-postgres / ElicitationSessions.Name</v>
      </c>
      <c r="C10" s="2" t="s">
        <v>13956</v>
      </c>
      <c r="D10" s="2" t="s">
        <v>3130</v>
      </c>
      <c r="E10" s="2" t="s">
        <v>14038</v>
      </c>
      <c r="F10" s="2" t="s">
        <v>2389</v>
      </c>
      <c r="G10" s="2">
        <v>3</v>
      </c>
      <c r="H10" s="2" t="s">
        <v>14591</v>
      </c>
      <c r="I10" s="3">
        <f>COUNTIFS(CellDisagreements!C2:C999, A10)</f>
        <v>3</v>
      </c>
      <c r="J10" s="3" t="b">
        <f>I10 = G10</f>
        <v>1</v>
      </c>
      <c r="K10" s="3" t="str">
        <f>_xlfn.IFNA(INDEX(RulebookFields!G2:G999, MATCH(D10,RulebookFields!A2:A999, 0)), "")</f>
        <v>={{Method}} &amp; " / " &amp; {{StartedAt}}</v>
      </c>
      <c r="L10" s="3" t="str">
        <f>_xlfn.IFNA(INDEX(ConformanceSubstrates!C2:C999, MATCH(C10,ConformanceSubstrates!A2:A999, 0)), "")</f>
        <v>PostgreSQL</v>
      </c>
      <c r="M10" s="2" t="s">
        <v>1902</v>
      </c>
    </row>
    <row r="11">
      <c r="A11" s="2" t="s">
        <v>14600</v>
      </c>
      <c r="B11" s="3" t="str">
        <f>_xlfn.CONCAT(C11, " / ", D11)</f>
        <v>effortless-postgres / ElicitationSessions.DaysSinceElicited</v>
      </c>
      <c r="C11" s="2" t="s">
        <v>13956</v>
      </c>
      <c r="D11" s="2" t="s">
        <v>3142</v>
      </c>
      <c r="E11" s="2" t="s">
        <v>14038</v>
      </c>
      <c r="F11" s="2" t="s">
        <v>2389</v>
      </c>
      <c r="G11" s="2">
        <v>2</v>
      </c>
      <c r="H11" s="2" t="s">
        <v>14591</v>
      </c>
      <c r="I11" s="3">
        <f>COUNTIFS(CellDisagreements!C2:C999, A11)</f>
        <v>2</v>
      </c>
      <c r="J11" s="3" t="b">
        <f>I11 = G11</f>
        <v>1</v>
      </c>
      <c r="K11" s="3" t="str">
        <f>_xlfn.IFNA(INDEX(RulebookFields!G2:G999, MATCH(D11,RulebookFields!A2:A999, 0)), "")</f>
        <v>=DATETIME_DIFF({{AsOfInstant}}, {{EndedAt}}, "days")</v>
      </c>
      <c r="L11" s="3" t="str">
        <f>_xlfn.IFNA(INDEX(ConformanceSubstrates!C2:C999, MATCH(C11,ConformanceSubstrates!A2:A999, 0)), "")</f>
        <v>PostgreSQL</v>
      </c>
      <c r="M11" s="2" t="s">
        <v>1902</v>
      </c>
    </row>
    <row r="12">
      <c r="A12" s="2" t="s">
        <v>14601</v>
      </c>
      <c r="B12" s="3" t="str">
        <f>_xlfn.CONCAT(C12, " / ", D12)</f>
        <v>effortless-postgres / KnowledgeFragments.DaysSinceActualReview</v>
      </c>
      <c r="C12" s="2" t="s">
        <v>13956</v>
      </c>
      <c r="D12" s="2" t="s">
        <v>3270</v>
      </c>
      <c r="E12" s="2" t="s">
        <v>14039</v>
      </c>
      <c r="F12" s="2" t="s">
        <v>2389</v>
      </c>
      <c r="G12" s="2">
        <v>3</v>
      </c>
      <c r="H12" s="2" t="s">
        <v>14591</v>
      </c>
      <c r="I12" s="3">
        <f>COUNTIFS(CellDisagreements!C2:C999, A12)</f>
        <v>3</v>
      </c>
      <c r="J12" s="3" t="b">
        <f>I12 = G12</f>
        <v>1</v>
      </c>
      <c r="K12" s="3" t="str">
        <f>_xlfn.IFNA(INDEX(RulebookFields!G2:G999, MATCH(D12,RulebookFields!A2:A999, 0)), "")</f>
        <v>=IF({{HasReviewRecord}}, DATETIME_DIFF({{AsOfInstant}}, {{LastReviewedAt}}, "days"), 0)</v>
      </c>
      <c r="L12" s="3" t="str">
        <f>_xlfn.IFNA(INDEX(ConformanceSubstrates!C2:C999, MATCH(C12,ConformanceSubstrates!A2:A999, 0)), "")</f>
        <v>PostgreSQL</v>
      </c>
      <c r="M12" s="2" t="s">
        <v>1902</v>
      </c>
    </row>
    <row r="13">
      <c r="A13" s="2" t="s">
        <v>14602</v>
      </c>
      <c r="B13" s="3" t="str">
        <f>_xlfn.CONCAT(C13, " / ", D13)</f>
        <v>effortless-postgres / KnowledgeFragments.EvidenceAgeDays</v>
      </c>
      <c r="C13" s="2" t="s">
        <v>13956</v>
      </c>
      <c r="D13" s="2" t="s">
        <v>3198</v>
      </c>
      <c r="E13" s="2" t="s">
        <v>14039</v>
      </c>
      <c r="F13" s="2" t="s">
        <v>2478</v>
      </c>
      <c r="G13" s="2">
        <v>3</v>
      </c>
      <c r="H13" s="2" t="s">
        <v>14591</v>
      </c>
      <c r="I13" s="3">
        <f>COUNTIFS(CellDisagreements!C2:C999, A13)</f>
        <v>3</v>
      </c>
      <c r="J13" s="3" t="b">
        <f>I13 = G13</f>
        <v>1</v>
      </c>
      <c r="K13" s="3" t="str">
        <f>_xlfn.IFNA(INDEX(RulebookFields!G2:G999, MATCH(D13,RulebookFields!A2:A999, 0)), "")</f>
        <v>=INDEX(ElicitationSessions!{{DaysSinceElicited}}, MATCH({{ElicitationSession}}, ElicitationSessions!{{ElicitationSessionId}}, 0))</v>
      </c>
      <c r="L13" s="3" t="str">
        <f>_xlfn.IFNA(INDEX(ConformanceSubstrates!C2:C999, MATCH(C13,ConformanceSubstrates!A2:A999, 0)), "")</f>
        <v>PostgreSQL</v>
      </c>
      <c r="M13" s="2" t="s">
        <v>1902</v>
      </c>
    </row>
    <row r="14">
      <c r="A14" s="2" t="s">
        <v>14603</v>
      </c>
      <c r="B14" s="3" t="str">
        <f>_xlfn.CONCAT(C14, " / ", D14)</f>
        <v>effortless-postgres / KnowledgeFragments.AgeDays</v>
      </c>
      <c r="C14" s="2" t="s">
        <v>13956</v>
      </c>
      <c r="D14" s="2" t="s">
        <v>3222</v>
      </c>
      <c r="E14" s="2" t="s">
        <v>14039</v>
      </c>
      <c r="F14" s="2" t="s">
        <v>2389</v>
      </c>
      <c r="G14" s="2">
        <v>3</v>
      </c>
      <c r="H14" s="2" t="s">
        <v>14591</v>
      </c>
      <c r="I14" s="3">
        <f>COUNTIFS(CellDisagreements!C2:C999, A14)</f>
        <v>3</v>
      </c>
      <c r="J14" s="3" t="b">
        <f>I14 = G14</f>
        <v>1</v>
      </c>
      <c r="K14" s="3" t="str">
        <f>_xlfn.IFNA(INDEX(RulebookFields!G2:G999, MATCH(D14,RulebookFields!A2:A999, 0)), "")</f>
        <v>=DATETIME_DIFF({{AsOfInstant}}, {{ValidFrom}}, "days")</v>
      </c>
      <c r="L14" s="3" t="str">
        <f>_xlfn.IFNA(INDEX(ConformanceSubstrates!C2:C999, MATCH(C14,ConformanceSubstrates!A2:A999, 0)), "")</f>
        <v>PostgreSQL</v>
      </c>
      <c r="M14" s="2" t="s">
        <v>1902</v>
      </c>
    </row>
    <row r="15">
      <c r="A15" s="2" t="s">
        <v>14604</v>
      </c>
      <c r="B15" s="3" t="str">
        <f>_xlfn.CONCAT(C15, " / ", D15)</f>
        <v>effortless-postgres / KnowledgeFragments.DaysAwaitingMyApproval</v>
      </c>
      <c r="C15" s="2" t="s">
        <v>13956</v>
      </c>
      <c r="D15" s="2" t="s">
        <v>3286</v>
      </c>
      <c r="E15" s="2" t="s">
        <v>14039</v>
      </c>
      <c r="F15" s="2" t="s">
        <v>2389</v>
      </c>
      <c r="G15" s="2">
        <v>1</v>
      </c>
      <c r="H15" s="2" t="s">
        <v>14591</v>
      </c>
      <c r="I15" s="3">
        <f>COUNTIFS(CellDisagreements!C2:C999, A15)</f>
        <v>1</v>
      </c>
      <c r="J15" s="3" t="b">
        <f>I15 = G15</f>
        <v>1</v>
      </c>
      <c r="K15" s="3" t="str">
        <f>_xlfn.IFNA(INDEX(RulebookFields!G2:G999, MATCH(D15,RulebookFields!A2:A999, 0)), "")</f>
        <v>=IF({{IsMyUnfinishedApproval}}, DATETIME_DIFF({{AsOfInstant}}, {{ValidFrom}}, "days"), 0)</v>
      </c>
      <c r="L15" s="3" t="str">
        <f>_xlfn.IFNA(INDEX(ConformanceSubstrates!C2:C999, MATCH(C15,ConformanceSubstrates!A2:A999, 0)), "")</f>
        <v>PostgreSQL</v>
      </c>
      <c r="M15" s="2" t="s">
        <v>1902</v>
      </c>
    </row>
    <row r="16">
      <c r="A16" s="2" t="s">
        <v>14605</v>
      </c>
      <c r="B16" s="3" t="str">
        <f>_xlfn.CONCAT(C16, " / ", D16)</f>
        <v>effortless-postgres / KnowledgeGaps.DaysOpen</v>
      </c>
      <c r="C16" s="2" t="s">
        <v>13956</v>
      </c>
      <c r="D16" s="2" t="s">
        <v>3324</v>
      </c>
      <c r="E16" s="2" t="s">
        <v>14040</v>
      </c>
      <c r="F16" s="2" t="s">
        <v>2389</v>
      </c>
      <c r="G16" s="2">
        <v>1</v>
      </c>
      <c r="H16" s="2" t="s">
        <v>14591</v>
      </c>
      <c r="I16" s="3">
        <f>COUNTIFS(CellDisagreements!C2:C999, A16)</f>
        <v>1</v>
      </c>
      <c r="J16" s="3" t="b">
        <f>I16 = G16</f>
        <v>1</v>
      </c>
      <c r="K16" s="3" t="str">
        <f>_xlfn.IFNA(INDEX(RulebookFields!G2:G999, MATCH(D16,RulebookFields!A2:A999, 0)), "")</f>
        <v>=IF({{IsOpen}}, DATETIME_DIFF({{AsOfInstant}}, {{IdentifiedAt}}, "days"), 0)</v>
      </c>
      <c r="L16" s="3" t="str">
        <f>_xlfn.IFNA(INDEX(ConformanceSubstrates!C2:C999, MATCH(C16,ConformanceSubstrates!A2:A999, 0)), "")</f>
        <v>PostgreSQL</v>
      </c>
      <c r="M16" s="2" t="s">
        <v>1902</v>
      </c>
    </row>
    <row r="17">
      <c r="A17" s="2" t="s">
        <v>14606</v>
      </c>
      <c r="B17" s="3" t="str">
        <f>_xlfn.CONCAT(C17, " / ", D17)</f>
        <v>effortless-postgres / ProcedureExecutions.ComputedAssuranceRatio</v>
      </c>
      <c r="C17" s="2" t="s">
        <v>13956</v>
      </c>
      <c r="D17" s="2" t="s">
        <v>3460</v>
      </c>
      <c r="E17" s="2" t="s">
        <v>14043</v>
      </c>
      <c r="F17" s="2" t="s">
        <v>2389</v>
      </c>
      <c r="G17" s="2">
        <v>1</v>
      </c>
      <c r="H17" s="2" t="s">
        <v>14591</v>
      </c>
      <c r="I17" s="3">
        <f>COUNTIFS(CellDisagreements!C2:C999, A17)</f>
        <v>1</v>
      </c>
      <c r="J17" s="3" t="b">
        <f>I17 = G17</f>
        <v>1</v>
      </c>
      <c r="K17" s="3" t="str">
        <f>_xlfn.IFNA(INDEX(RulebookFields!G2:G999, MATCH(D17,RulebookFields!A2:A999, 0)), "")</f>
        <v>=IF({{EvaluatedControlCount}} = 0, 0, {{ComputedlyWitnessedControlCount}} / {{EvaluatedControlCount}})</v>
      </c>
      <c r="L17" s="3" t="str">
        <f>_xlfn.IFNA(INDEX(ConformanceSubstrates!C2:C999, MATCH(C17,ConformanceSubstrates!A2:A999, 0)), "")</f>
        <v>PostgreSQL</v>
      </c>
      <c r="M17" s="2" t="s">
        <v>1902</v>
      </c>
    </row>
    <row r="18">
      <c r="A18" s="2" t="s">
        <v>14607</v>
      </c>
      <c r="B18" s="3" t="str">
        <f>_xlfn.CONCAT(C18, " / ", D18)</f>
        <v>effortless-postgres / IssueOccurrences.Name</v>
      </c>
      <c r="C18" s="2" t="s">
        <v>13956</v>
      </c>
      <c r="D18" s="2" t="s">
        <v>3795</v>
      </c>
      <c r="E18" s="2" t="s">
        <v>14047</v>
      </c>
      <c r="F18" s="2" t="s">
        <v>2389</v>
      </c>
      <c r="G18" s="2">
        <v>2</v>
      </c>
      <c r="H18" s="2" t="s">
        <v>14591</v>
      </c>
      <c r="I18" s="3">
        <f>COUNTIFS(CellDisagreements!C2:C999, A18)</f>
        <v>2</v>
      </c>
      <c r="J18" s="3" t="b">
        <f>I18 = G18</f>
        <v>1</v>
      </c>
      <c r="K18" s="3" t="str">
        <f>_xlfn.IFNA(INDEX(RulebookFields!G2:G999, MATCH(D18,RulebookFields!A2:A999, 0)), "")</f>
        <v>={{Error}} &amp; " @ " &amp; {{OccurredAt}}</v>
      </c>
      <c r="L18" s="3" t="str">
        <f>_xlfn.IFNA(INDEX(ConformanceSubstrates!C2:C999, MATCH(C18,ConformanceSubstrates!A2:A999, 0)), "")</f>
        <v>PostgreSQL</v>
      </c>
      <c r="M18" s="2" t="s">
        <v>1902</v>
      </c>
    </row>
    <row r="19">
      <c r="A19" s="2" t="s">
        <v>14608</v>
      </c>
      <c r="B19" s="3" t="str">
        <f>_xlfn.CONCAT(C19, " / ", D19)</f>
        <v>effortless-postgres / ChangeRequests.DaysPending</v>
      </c>
      <c r="C19" s="2" t="s">
        <v>13956</v>
      </c>
      <c r="D19" s="2" t="s">
        <v>3867</v>
      </c>
      <c r="E19" s="2" t="s">
        <v>14051</v>
      </c>
      <c r="F19" s="2" t="s">
        <v>2389</v>
      </c>
      <c r="G19" s="2">
        <v>1</v>
      </c>
      <c r="H19" s="2" t="s">
        <v>14591</v>
      </c>
      <c r="I19" s="3">
        <f>COUNTIFS(CellDisagreements!C2:C999, A19)</f>
        <v>1</v>
      </c>
      <c r="J19" s="3" t="b">
        <f>I19 = G19</f>
        <v>1</v>
      </c>
      <c r="K19" s="3" t="str">
        <f>_xlfn.IFNA(INDEX(RulebookFields!G2:G999, MATCH(D19,RulebookFields!A2:A999, 0)), "")</f>
        <v>=IF({{IsDecided}}, DATETIME_DIFF({{DecidedAt}}, {{RequestedAt}}, "days"), DATETIME_DIFF({{AsOfInstant}}, {{RequestedAt}}, "days"))</v>
      </c>
      <c r="L19" s="3" t="str">
        <f>_xlfn.IFNA(INDEX(ConformanceSubstrates!C2:C999, MATCH(C19,ConformanceSubstrates!A2:A999, 0)), "")</f>
        <v>PostgreSQL</v>
      </c>
      <c r="M19" s="2" t="s">
        <v>1902</v>
      </c>
    </row>
    <row r="20">
      <c r="A20" s="2" t="s">
        <v>14609</v>
      </c>
      <c r="B20" s="3" t="str">
        <f>_xlfn.CONCAT(C20, " / ", D20)</f>
        <v>effortless-postgres / ChangeRequests.DecisionLatencyDays</v>
      </c>
      <c r="C20" s="2" t="s">
        <v>13956</v>
      </c>
      <c r="D20" s="2" t="s">
        <v>3901</v>
      </c>
      <c r="E20" s="2" t="s">
        <v>14051</v>
      </c>
      <c r="F20" s="2" t="s">
        <v>2389</v>
      </c>
      <c r="G20" s="2">
        <v>1</v>
      </c>
      <c r="H20" s="2" t="s">
        <v>14591</v>
      </c>
      <c r="I20" s="3">
        <f>COUNTIFS(CellDisagreements!C2:C999, A20)</f>
        <v>1</v>
      </c>
      <c r="J20" s="3" t="b">
        <f>I20 = G20</f>
        <v>1</v>
      </c>
      <c r="K20" s="3" t="str">
        <f>_xlfn.IFNA(INDEX(RulebookFields!G2:G999, MATCH(D20,RulebookFields!A2:A999, 0)), "")</f>
        <v>=IF({{IsDecided}}, DATETIME_DIFF({{DecidedAt}}, {{RequestedAt}}, "days"), 0)</v>
      </c>
      <c r="L20" s="3" t="str">
        <f>_xlfn.IFNA(INDEX(ConformanceSubstrates!C2:C999, MATCH(C20,ConformanceSubstrates!A2:A999, 0)), "")</f>
        <v>PostgreSQL</v>
      </c>
      <c r="M20" s="2" t="s">
        <v>1902</v>
      </c>
    </row>
    <row r="21">
      <c r="A21" s="2" t="s">
        <v>14610</v>
      </c>
      <c r="B21" s="3" t="str">
        <f>_xlfn.CONCAT(C21, " / ", D21)</f>
        <v>effortless-postgres / ReviewEvents.DaysSinceReviewed</v>
      </c>
      <c r="C21" s="2" t="s">
        <v>13956</v>
      </c>
      <c r="D21" s="2" t="s">
        <v>3939</v>
      </c>
      <c r="E21" s="2" t="s">
        <v>14052</v>
      </c>
      <c r="F21" s="2" t="s">
        <v>2389</v>
      </c>
      <c r="G21" s="2">
        <v>3</v>
      </c>
      <c r="H21" s="2" t="s">
        <v>14591</v>
      </c>
      <c r="I21" s="3">
        <f>COUNTIFS(CellDisagreements!C2:C999, A21)</f>
        <v>3</v>
      </c>
      <c r="J21" s="3" t="b">
        <f>I21 = G21</f>
        <v>1</v>
      </c>
      <c r="K21" s="3" t="str">
        <f>_xlfn.IFNA(INDEX(RulebookFields!G2:G999, MATCH(D21,RulebookFields!A2:A999, 0)), "")</f>
        <v>=DATETIME_DIFF({{AsOfInstant}}, {{ReviewedAt}}, "days")</v>
      </c>
      <c r="L21" s="3" t="str">
        <f>_xlfn.IFNA(INDEX(ConformanceSubstrates!C2:C999, MATCH(C21,ConformanceSubstrates!A2:A999, 0)), "")</f>
        <v>PostgreSQL</v>
      </c>
      <c r="M21" s="2" t="s">
        <v>1902</v>
      </c>
    </row>
    <row r="22">
      <c r="A22" s="2" t="s">
        <v>14611</v>
      </c>
      <c r="B22" s="3" t="str">
        <f>_xlfn.CONCAT(C22, " / ", D22)</f>
        <v>effortless-postgres / ReviewEvents.CadenceDriftDays</v>
      </c>
      <c r="C22" s="2" t="s">
        <v>13956</v>
      </c>
      <c r="D22" s="2" t="s">
        <v>3943</v>
      </c>
      <c r="E22" s="2" t="s">
        <v>14052</v>
      </c>
      <c r="F22" s="2" t="s">
        <v>2389</v>
      </c>
      <c r="G22" s="2">
        <v>3</v>
      </c>
      <c r="H22" s="2" t="s">
        <v>14591</v>
      </c>
      <c r="I22" s="3">
        <f>COUNTIFS(CellDisagreements!C2:C999, A22)</f>
        <v>3</v>
      </c>
      <c r="J22" s="3" t="b">
        <f>I22 = G22</f>
        <v>1</v>
      </c>
      <c r="K22" s="3" t="str">
        <f>_xlfn.IFNA(INDEX(RulebookFields!G2:G999, MATCH(D22,RulebookFields!A2:A999, 0)), "")</f>
        <v>={{DaysSinceReviewed}} - {{PromisedCadenceDays}}</v>
      </c>
      <c r="L22" s="3" t="str">
        <f>_xlfn.IFNA(INDEX(ConformanceSubstrates!C2:C999, MATCH(C22,ConformanceSubstrates!A2:A999, 0)), "")</f>
        <v>PostgreSQL</v>
      </c>
      <c r="M22" s="2" t="s">
        <v>1902</v>
      </c>
    </row>
    <row r="23">
      <c r="A23" s="2" t="s">
        <v>14612</v>
      </c>
      <c r="B23" s="3" t="str">
        <f>_xlfn.CONCAT(C23, " / ", D23)</f>
        <v>effortless-postgres / LearningActivities.Name</v>
      </c>
      <c r="C23" s="2" t="s">
        <v>13956</v>
      </c>
      <c r="D23" s="2" t="s">
        <v>3952</v>
      </c>
      <c r="E23" s="2" t="s">
        <v>14053</v>
      </c>
      <c r="F23" s="2" t="s">
        <v>2389</v>
      </c>
      <c r="G23" s="2">
        <v>2</v>
      </c>
      <c r="H23" s="2" t="s">
        <v>14591</v>
      </c>
      <c r="I23" s="3">
        <f>COUNTIFS(CellDisagreements!C2:C999, A23)</f>
        <v>2</v>
      </c>
      <c r="J23" s="3" t="b">
        <f>I23 = G23</f>
        <v>1</v>
      </c>
      <c r="K23" s="3" t="str">
        <f>_xlfn.IFNA(INDEX(RulebookFields!G2:G999, MATCH(D23,RulebookFields!A2:A999, 0)), "")</f>
        <v>={{ActivityKind}} &amp; " / " &amp; {{OccurredAt}}</v>
      </c>
      <c r="L23" s="3" t="str">
        <f>_xlfn.IFNA(INDEX(ConformanceSubstrates!C2:C999, MATCH(C23,ConformanceSubstrates!A2:A999, 0)), "")</f>
        <v>PostgreSQL</v>
      </c>
      <c r="M23" s="2" t="s">
        <v>1902</v>
      </c>
    </row>
    <row r="24">
      <c r="A24" s="2" t="s">
        <v>14613</v>
      </c>
      <c r="B24" s="3" t="str">
        <f>_xlfn.CONCAT(C24, " / ", D24)</f>
        <v>effortless-postgres / ObservedTransitions.Name</v>
      </c>
      <c r="C24" s="2" t="s">
        <v>13956</v>
      </c>
      <c r="D24" s="2" t="s">
        <v>4334</v>
      </c>
      <c r="E24" s="2" t="s">
        <v>14065</v>
      </c>
      <c r="F24" s="2" t="s">
        <v>2389</v>
      </c>
      <c r="G24" s="2">
        <v>10</v>
      </c>
      <c r="H24" s="2" t="s">
        <v>14591</v>
      </c>
      <c r="I24" s="3">
        <f>COUNTIFS(CellDisagreements!C2:C999, A24)</f>
        <v>10</v>
      </c>
      <c r="J24" s="3" t="b">
        <f>I24 = G24</f>
        <v>1</v>
      </c>
      <c r="K24" s="3" t="str">
        <f>_xlfn.IFNA(INDEX(RulebookFields!G2:G999, MATCH(D24,RulebookFields!A2:A999, 0)), "")</f>
      </c>
      <c r="L24" s="3" t="str">
        <f>_xlfn.IFNA(INDEX(ConformanceSubstrates!C2:C999, MATCH(C24,ConformanceSubstrates!A2:A999, 0)), "")</f>
        <v>PostgreSQL</v>
      </c>
      <c r="M24" s="2" t="s">
        <v>1902</v>
      </c>
    </row>
    <row r="25">
      <c r="A25" s="2" t="s">
        <v>14614</v>
      </c>
      <c r="B25" s="3" t="str">
        <f>_xlfn.CONCAT(C25, " / ", D25)</f>
        <v>effortless-postgres / MessageDeliveries.Name</v>
      </c>
      <c r="C25" s="2" t="s">
        <v>13956</v>
      </c>
      <c r="D25" s="2" t="s">
        <v>4380</v>
      </c>
      <c r="E25" s="2" t="s">
        <v>14067</v>
      </c>
      <c r="F25" s="2" t="s">
        <v>2389</v>
      </c>
      <c r="G25" s="2">
        <v>6</v>
      </c>
      <c r="H25" s="2" t="s">
        <v>14591</v>
      </c>
      <c r="I25" s="3">
        <f>COUNTIFS(CellDisagreements!C2:C999, A25)</f>
        <v>6</v>
      </c>
      <c r="J25" s="3" t="b">
        <f>I25 = G25</f>
        <v>1</v>
      </c>
      <c r="K25" s="3" t="str">
        <f>_xlfn.IFNA(INDEX(RulebookFields!G2:G999, MATCH(D25,RulebookFields!A2:A999, 0)), "")</f>
      </c>
      <c r="L25" s="3" t="str">
        <f>_xlfn.IFNA(INDEX(ConformanceSubstrates!C2:C999, MATCH(C25,ConformanceSubstrates!A2:A999, 0)), "")</f>
        <v>PostgreSQL</v>
      </c>
      <c r="M25" s="2" t="s">
        <v>1902</v>
      </c>
    </row>
    <row r="26">
      <c r="A26" s="2" t="s">
        <v>14615</v>
      </c>
      <c r="B26" s="3" t="str">
        <f>_xlfn.CONCAT(C26, " / ", D26)</f>
        <v>effortless-postgres / MessageDeliveries.AgeDays</v>
      </c>
      <c r="C26" s="2" t="s">
        <v>13956</v>
      </c>
      <c r="D26" s="2" t="s">
        <v>4472</v>
      </c>
      <c r="E26" s="2" t="s">
        <v>14067</v>
      </c>
      <c r="F26" s="2" t="s">
        <v>2389</v>
      </c>
      <c r="G26" s="2">
        <v>6</v>
      </c>
      <c r="H26" s="2" t="s">
        <v>14591</v>
      </c>
      <c r="I26" s="3">
        <f>COUNTIFS(CellDisagreements!C2:C999, A26)</f>
        <v>6</v>
      </c>
      <c r="J26" s="3" t="b">
        <f>I26 = G26</f>
        <v>1</v>
      </c>
      <c r="K26" s="3" t="str">
        <f>_xlfn.IFNA(INDEX(RulebookFields!G2:G999, MATCH(D26,RulebookFields!A2:A999, 0)), "")</f>
      </c>
      <c r="L26" s="3" t="str">
        <f>_xlfn.IFNA(INDEX(ConformanceSubstrates!C2:C999, MATCH(C26,ConformanceSubstrates!A2:A999, 0)), "")</f>
        <v>PostgreSQL</v>
      </c>
      <c r="M26" s="2" t="s">
        <v>1902</v>
      </c>
    </row>
    <row r="27">
      <c r="A27" s="2" t="s">
        <v>14616</v>
      </c>
      <c r="B27" s="3" t="str">
        <f>_xlfn.CONCAT(C27, " / ", D27)</f>
        <v>effortless-postgres / MessageDeliveries.SegmentCount</v>
      </c>
      <c r="C27" s="2" t="s">
        <v>13956</v>
      </c>
      <c r="D27" s="2" t="s">
        <v>4503</v>
      </c>
      <c r="E27" s="2" t="s">
        <v>14067</v>
      </c>
      <c r="F27" s="2" t="s">
        <v>2389</v>
      </c>
      <c r="G27" s="2">
        <v>6</v>
      </c>
      <c r="H27" s="2" t="s">
        <v>14591</v>
      </c>
      <c r="I27" s="3">
        <f>COUNTIFS(CellDisagreements!C2:C999, A27)</f>
        <v>6</v>
      </c>
      <c r="J27" s="3" t="b">
        <f>I27 = G27</f>
        <v>1</v>
      </c>
      <c r="K27" s="3" t="str">
        <f>_xlfn.IFNA(INDEX(RulebookFields!G2:G999, MATCH(D27,RulebookFields!A2:A999, 0)), "")</f>
      </c>
      <c r="L27" s="3" t="str">
        <f>_xlfn.IFNA(INDEX(ConformanceSubstrates!C2:C999, MATCH(C27,ConformanceSubstrates!A2:A999, 0)), "")</f>
        <v>PostgreSQL</v>
      </c>
      <c r="M27" s="2" t="s">
        <v>1902</v>
      </c>
    </row>
    <row r="28">
      <c r="A28" s="2" t="s">
        <v>14617</v>
      </c>
      <c r="B28" s="3" t="str">
        <f>_xlfn.CONCAT(C28, " / ", D28)</f>
        <v>effortless-postgres / MessageDeliveries.OutstandingAgeDays</v>
      </c>
      <c r="C28" s="2" t="s">
        <v>13956</v>
      </c>
      <c r="D28" s="2" t="s">
        <v>4618</v>
      </c>
      <c r="E28" s="2" t="s">
        <v>14067</v>
      </c>
      <c r="F28" s="2" t="s">
        <v>2389</v>
      </c>
      <c r="G28" s="2">
        <v>3</v>
      </c>
      <c r="H28" s="2" t="s">
        <v>14591</v>
      </c>
      <c r="I28" s="3">
        <f>COUNTIFS(CellDisagreements!C2:C999, A28)</f>
        <v>3</v>
      </c>
      <c r="J28" s="3" t="b">
        <f>I28 = G28</f>
        <v>1</v>
      </c>
      <c r="K28" s="3" t="str">
        <f>_xlfn.IFNA(INDEX(RulebookFields!G2:G999, MATCH(D28,RulebookFields!A2:A999, 0)), "")</f>
      </c>
      <c r="L28" s="3" t="str">
        <f>_xlfn.IFNA(INDEX(ConformanceSubstrates!C2:C999, MATCH(C28,ConformanceSubstrates!A2:A999, 0)), "")</f>
        <v>PostgreSQL</v>
      </c>
      <c r="M28" s="2" t="s">
        <v>1902</v>
      </c>
    </row>
    <row r="29">
      <c r="A29" s="2" t="s">
        <v>14618</v>
      </c>
      <c r="B29" s="3" t="str">
        <f>_xlfn.CONCAT(C29, " / ", D29)</f>
        <v>effortless-postgres / MessageDeliveries.OptOutPhrasePosition</v>
      </c>
      <c r="C29" s="2" t="s">
        <v>13956</v>
      </c>
      <c r="D29" s="2" t="s">
        <v>4524</v>
      </c>
      <c r="E29" s="2" t="s">
        <v>14067</v>
      </c>
      <c r="F29" s="2" t="s">
        <v>2389</v>
      </c>
      <c r="G29" s="2">
        <v>3</v>
      </c>
      <c r="H29" s="2" t="s">
        <v>14591</v>
      </c>
      <c r="I29" s="3">
        <f>COUNTIFS(CellDisagreements!C2:C999, A29)</f>
        <v>3</v>
      </c>
      <c r="J29" s="3" t="b">
        <f>I29 = G29</f>
        <v>1</v>
      </c>
      <c r="K29" s="3" t="str">
        <f>_xlfn.IFNA(INDEX(RulebookFields!G2:G999, MATCH(D29,RulebookFields!A2:A999, 0)), "")</f>
      </c>
      <c r="L29" s="3" t="str">
        <f>_xlfn.IFNA(INDEX(ConformanceSubstrates!C2:C999, MATCH(C29,ConformanceSubstrates!A2:A999, 0)), "")</f>
        <v>PostgreSQL</v>
      </c>
      <c r="M29" s="2" t="s">
        <v>1902</v>
      </c>
    </row>
    <row r="30">
      <c r="A30" s="2" t="s">
        <v>14619</v>
      </c>
      <c r="B30" s="3" t="str">
        <f>_xlfn.CONCAT(C30, " / ", D30)</f>
        <v>effortless-postgres / TemplateApprovals.Name</v>
      </c>
      <c r="C30" s="2" t="s">
        <v>13956</v>
      </c>
      <c r="D30" s="2" t="s">
        <v>4634</v>
      </c>
      <c r="E30" s="2" t="s">
        <v>14068</v>
      </c>
      <c r="F30" s="2" t="s">
        <v>2389</v>
      </c>
      <c r="G30" s="2">
        <v>2</v>
      </c>
      <c r="H30" s="2" t="s">
        <v>14591</v>
      </c>
      <c r="I30" s="3">
        <f>COUNTIFS(CellDisagreements!C2:C999, A30)</f>
        <v>2</v>
      </c>
      <c r="J30" s="3" t="b">
        <f>I30 = G30</f>
        <v>1</v>
      </c>
      <c r="K30" s="3" t="str">
        <f>_xlfn.IFNA(INDEX(RulebookFields!G2:G999, MATCH(D30,RulebookFields!A2:A999, 0)), "")</f>
      </c>
      <c r="L30" s="3" t="str">
        <f>_xlfn.IFNA(INDEX(ConformanceSubstrates!C2:C999, MATCH(C30,ConformanceSubstrates!A2:A999, 0)), "")</f>
        <v>PostgreSQL</v>
      </c>
      <c r="M30" s="2" t="s">
        <v>1902</v>
      </c>
    </row>
    <row r="31">
      <c r="A31" s="2" t="s">
        <v>14620</v>
      </c>
      <c r="B31" s="3" t="str">
        <f>_xlfn.CONCAT(C31, " / ", D31)</f>
        <v>effortless-postgres / SendIntents.DeferralAgeHours</v>
      </c>
      <c r="C31" s="2" t="s">
        <v>13956</v>
      </c>
      <c r="D31" s="2" t="s">
        <v>4889</v>
      </c>
      <c r="E31" s="2" t="s">
        <v>14069</v>
      </c>
      <c r="F31" s="2" t="s">
        <v>2389</v>
      </c>
      <c r="G31" s="2">
        <v>7</v>
      </c>
      <c r="H31" s="2" t="s">
        <v>14591</v>
      </c>
      <c r="I31" s="3">
        <f>COUNTIFS(CellDisagreements!C2:C999, A31)</f>
        <v>7</v>
      </c>
      <c r="J31" s="3" t="b">
        <f>I31 = G31</f>
        <v>1</v>
      </c>
      <c r="K31" s="3" t="str">
        <f>_xlfn.IFNA(INDEX(RulebookFields!G2:G999, MATCH(D31,RulebookFields!A2:A999, 0)), "")</f>
      </c>
      <c r="L31" s="3" t="str">
        <f>_xlfn.IFNA(INDEX(ConformanceSubstrates!C2:C999, MATCH(C31,ConformanceSubstrates!A2:A999, 0)), "")</f>
        <v>PostgreSQL</v>
      </c>
      <c r="M31" s="2" t="s">
        <v>1902</v>
      </c>
    </row>
    <row r="32">
      <c r="A32" s="2" t="s">
        <v>14621</v>
      </c>
      <c r="B32" s="3" t="str">
        <f>_xlfn.CONCAT(C32, " / ", D32)</f>
        <v>effortless-postgres / DeliveredCommunications.ContentMatchesApproval</v>
      </c>
      <c r="C32" s="2" t="s">
        <v>13956</v>
      </c>
      <c r="D32" s="2" t="s">
        <v>5052</v>
      </c>
      <c r="E32" s="2" t="s">
        <v>14071</v>
      </c>
      <c r="F32" s="2" t="s">
        <v>2389</v>
      </c>
      <c r="G32" s="2">
        <v>1</v>
      </c>
      <c r="H32" s="2" t="s">
        <v>14591</v>
      </c>
      <c r="I32" s="3">
        <f>COUNTIFS(CellDisagreements!C2:C999, A32)</f>
        <v>1</v>
      </c>
      <c r="J32" s="3" t="b">
        <f>I32 = G32</f>
        <v>1</v>
      </c>
      <c r="K32" s="3" t="str">
        <f>_xlfn.IFNA(INDEX(RulebookFields!G2:G999, MATCH(D32,RulebookFields!A2:A999, 0)), "")</f>
      </c>
      <c r="L32" s="3" t="str">
        <f>_xlfn.IFNA(INDEX(ConformanceSubstrates!C2:C999, MATCH(C32,ConformanceSubstrates!A2:A999, 0)), "")</f>
        <v>PostgreSQL</v>
      </c>
      <c r="M32" s="2" t="s">
        <v>1902</v>
      </c>
    </row>
    <row r="33">
      <c r="A33" s="2" t="s">
        <v>14622</v>
      </c>
      <c r="B33" s="3" t="str">
        <f>_xlfn.CONCAT(C33, " / ", D33)</f>
        <v>effortless-postgres / ProcessMiningRuns.Name</v>
      </c>
      <c r="C33" s="2" t="s">
        <v>13956</v>
      </c>
      <c r="D33" s="2" t="s">
        <v>5589</v>
      </c>
      <c r="E33" s="2" t="s">
        <v>14088</v>
      </c>
      <c r="F33" s="2" t="s">
        <v>2389</v>
      </c>
      <c r="G33" s="2">
        <v>4</v>
      </c>
      <c r="H33" s="2" t="s">
        <v>14591</v>
      </c>
      <c r="I33" s="3">
        <f>COUNTIFS(CellDisagreements!C2:C999, A33)</f>
        <v>4</v>
      </c>
      <c r="J33" s="3" t="b">
        <f>I33 = G33</f>
        <v>1</v>
      </c>
      <c r="K33" s="3" t="str">
        <f>_xlfn.IFNA(INDEX(RulebookFields!G2:G999, MATCH(D33,RulebookFields!A2:A999, 0)), "")</f>
      </c>
      <c r="L33" s="3" t="str">
        <f>_xlfn.IFNA(INDEX(ConformanceSubstrates!C2:C999, MATCH(C33,ConformanceSubstrates!A2:A999, 0)), "")</f>
        <v>PostgreSQL</v>
      </c>
      <c r="M33" s="2" t="s">
        <v>1902</v>
      </c>
    </row>
    <row r="34">
      <c r="A34" s="2" t="s">
        <v>14623</v>
      </c>
      <c r="B34" s="3" t="str">
        <f>_xlfn.CONCAT(C34, " / ", D34)</f>
        <v>effortless-xlsx / EvaluationContexts.Name</v>
      </c>
      <c r="C34" s="2" t="s">
        <v>13987</v>
      </c>
      <c r="D34" s="2" t="s">
        <v>2414</v>
      </c>
      <c r="E34" s="2" t="s">
        <v>14094</v>
      </c>
      <c r="F34" s="2" t="s">
        <v>2389</v>
      </c>
      <c r="G34" s="2">
        <v>1</v>
      </c>
      <c r="H34" s="2" t="s">
        <v>14591</v>
      </c>
      <c r="I34" s="3">
        <f>COUNTIFS(CellDisagreements!C2:C999, A34)</f>
        <v>1</v>
      </c>
      <c r="J34" s="3" t="b">
        <f>I34 = G34</f>
        <v>1</v>
      </c>
      <c r="K34" s="3" t="str">
        <f>_xlfn.IFNA(INDEX(RulebookFields!G2:G999, MATCH(D34,RulebookFields!A2:A999, 0)), "")</f>
        <v>={{Label}} &amp; " @ " &amp; {{AsOfInstant}}</v>
      </c>
      <c r="L34" s="3" t="str">
        <f>_xlfn.IFNA(INDEX(ConformanceSubstrates!C2:C999, MATCH(C34,ConformanceSubstrates!A2:A999, 0)), "")</f>
        <v>Excel</v>
      </c>
      <c r="M34" s="2" t="s">
        <v>1902</v>
      </c>
    </row>
    <row r="35">
      <c r="A35" s="2" t="s">
        <v>14624</v>
      </c>
      <c r="B35" s="3" t="str">
        <f>_xlfn.CONCAT(C35, " / ", D35)</f>
        <v>effortless-xlsx / Roles.CurrentAssignmentValidFrom</v>
      </c>
      <c r="C35" s="2" t="s">
        <v>13987</v>
      </c>
      <c r="D35" s="2" t="s">
        <v>2490</v>
      </c>
      <c r="E35" s="2" t="s">
        <v>14097</v>
      </c>
      <c r="F35" s="2" t="s">
        <v>2478</v>
      </c>
      <c r="G35" s="2">
        <v>12</v>
      </c>
      <c r="H35" s="2" t="s">
        <v>14591</v>
      </c>
      <c r="I35" s="3">
        <f>COUNTIFS(CellDisagreements!C2:C999, A35)</f>
        <v>12</v>
      </c>
      <c r="J35" s="3" t="b">
        <f>I35 = G35</f>
        <v>1</v>
      </c>
      <c r="K35" s="3" t="str">
        <f>_xlfn.IFNA(INDEX(RulebookFields!G2:G999, MATCH(D35,RulebookFields!A2:A999, 0)), "")</f>
        <v>=INDEX(RoleAssignments!{{ValidFrom}}, MATCH({{CurrentAssignment}}, RoleAssignments!{{RoleAssignmentId}}, 0))</v>
      </c>
      <c r="L35" s="3" t="str">
        <f>_xlfn.IFNA(INDEX(ConformanceSubstrates!C2:C999, MATCH(C35,ConformanceSubstrates!A2:A999, 0)), "")</f>
        <v>Excel</v>
      </c>
      <c r="M35" s="2" t="s">
        <v>1902</v>
      </c>
    </row>
    <row r="36">
      <c r="A36" s="2" t="s">
        <v>14625</v>
      </c>
      <c r="B36" s="3" t="str">
        <f>_xlfn.CONCAT(C36, " / ", D36)</f>
        <v>effortless-xlsx / RoleAssignments.Name</v>
      </c>
      <c r="C36" s="2" t="s">
        <v>13987</v>
      </c>
      <c r="D36" s="2" t="s">
        <v>2514</v>
      </c>
      <c r="E36" s="2" t="s">
        <v>14098</v>
      </c>
      <c r="F36" s="2" t="s">
        <v>2389</v>
      </c>
      <c r="G36" s="2">
        <v>13</v>
      </c>
      <c r="H36" s="2" t="s">
        <v>14591</v>
      </c>
      <c r="I36" s="3">
        <f>COUNTIFS(CellDisagreements!C2:C999, A36)</f>
        <v>13</v>
      </c>
      <c r="J36" s="3" t="b">
        <f>I36 = G36</f>
        <v>1</v>
      </c>
      <c r="K36" s="3" t="str">
        <f>_xlfn.IFNA(INDEX(RulebookFields!G2:G999, MATCH(D36,RulebookFields!A2:A999, 0)), "")</f>
        <v>={{Role}} &amp; " @ " &amp; {{ValidFrom}}</v>
      </c>
      <c r="L36" s="3" t="str">
        <f>_xlfn.IFNA(INDEX(ConformanceSubstrates!C2:C999, MATCH(C36,ConformanceSubstrates!A2:A999, 0)), "")</f>
        <v>Excel</v>
      </c>
      <c r="M36" s="2" t="s">
        <v>1902</v>
      </c>
    </row>
    <row r="37">
      <c r="A37" s="2" t="s">
        <v>14626</v>
      </c>
      <c r="B37" s="3" t="str">
        <f>_xlfn.CONCAT(C37, " / ", D37)</f>
        <v>effortless-xlsx / RoleAssignments.AsOfInstant</v>
      </c>
      <c r="C37" s="2" t="s">
        <v>13987</v>
      </c>
      <c r="D37" s="2" t="s">
        <v>2523</v>
      </c>
      <c r="E37" s="2" t="s">
        <v>14098</v>
      </c>
      <c r="F37" s="2" t="s">
        <v>2478</v>
      </c>
      <c r="G37" s="2">
        <v>13</v>
      </c>
      <c r="H37" s="2" t="s">
        <v>14591</v>
      </c>
      <c r="I37" s="3">
        <f>COUNTIFS(CellDisagreements!C2:C999, A37)</f>
        <v>13</v>
      </c>
      <c r="J37" s="3" t="b">
        <f>I37 = G37</f>
        <v>1</v>
      </c>
      <c r="K37" s="3" t="str">
        <f>_xlfn.IFNA(INDEX(RulebookFields!G2:G999, MATCH(D37,RulebookFields!A2:A999, 0)), "")</f>
        <v>=INDEX(EvaluationContexts!{{AsOfInstant}}, MATCH({{EvaluationContext}}, EvaluationContexts!{{EvaluationContextId}}, 0))</v>
      </c>
      <c r="L37" s="3" t="str">
        <f>_xlfn.IFNA(INDEX(ConformanceSubstrates!C2:C999, MATCH(C37,ConformanceSubstrates!A2:A999, 0)), "")</f>
        <v>Excel</v>
      </c>
      <c r="M37" s="2" t="s">
        <v>1902</v>
      </c>
    </row>
    <row r="38">
      <c r="A38" s="2" t="s">
        <v>14627</v>
      </c>
      <c r="B38" s="3" t="str">
        <f>_xlfn.CONCAT(C38, " / ", D38)</f>
        <v>effortless-xlsx / RoleAssignments.HasSufficientSample</v>
      </c>
      <c r="C38" s="2" t="s">
        <v>13987</v>
      </c>
      <c r="D38" s="2" t="s">
        <v>2567</v>
      </c>
      <c r="E38" s="2" t="s">
        <v>14098</v>
      </c>
      <c r="F38" s="2" t="s">
        <v>2389</v>
      </c>
      <c r="G38" s="2">
        <v>13</v>
      </c>
      <c r="H38" s="2" t="s">
        <v>14591</v>
      </c>
      <c r="I38" s="3">
        <f>COUNTIFS(CellDisagreements!C2:C999, A38)</f>
        <v>13</v>
      </c>
      <c r="J38" s="3" t="b">
        <f>I38 = G38</f>
        <v>1</v>
      </c>
      <c r="K38" s="3" t="str">
        <f>_xlfn.IFNA(INDEX(RulebookFields!G2:G999, MATCH(D38,RulebookFields!A2:A999, 0)), "")</f>
        <v>={{DecisionCount}} &gt;= {{MinimumDecisionsForComparison}}</v>
      </c>
      <c r="L38" s="3" t="str">
        <f>_xlfn.IFNA(INDEX(ConformanceSubstrates!C2:C999, MATCH(C38,ConformanceSubstrates!A2:A999, 0)), "")</f>
        <v>Excel</v>
      </c>
      <c r="M38" s="2" t="s">
        <v>1902</v>
      </c>
    </row>
    <row r="39">
      <c r="A39" s="2" t="s">
        <v>14628</v>
      </c>
      <c r="B39" s="3" t="str">
        <f>_xlfn.CONCAT(C39, " / ", D39)</f>
        <v>effortless-xlsx / RoleAssignments.PredecessorHasSufficientSample</v>
      </c>
      <c r="C39" s="2" t="s">
        <v>13987</v>
      </c>
      <c r="D39" s="2" t="s">
        <v>2569</v>
      </c>
      <c r="E39" s="2" t="s">
        <v>14098</v>
      </c>
      <c r="F39" s="2" t="s">
        <v>2389</v>
      </c>
      <c r="G39" s="2">
        <v>13</v>
      </c>
      <c r="H39" s="2" t="s">
        <v>14591</v>
      </c>
      <c r="I39" s="3">
        <f>COUNTIFS(CellDisagreements!C2:C999, A39)</f>
        <v>13</v>
      </c>
      <c r="J39" s="3" t="b">
        <f>I39 = G39</f>
        <v>1</v>
      </c>
      <c r="K39" s="3" t="str">
        <f>_xlfn.IFNA(INDEX(RulebookFields!G2:G999, MATCH(D39,RulebookFields!A2:A999, 0)), "")</f>
        <v>={{PredecessorDecisionCount}} &gt;= {{MinimumDecisionsForComparison}}</v>
      </c>
      <c r="L39" s="3" t="str">
        <f>_xlfn.IFNA(INDEX(ConformanceSubstrates!C2:C999, MATCH(C39,ConformanceSubstrates!A2:A999, 0)), "")</f>
        <v>Excel</v>
      </c>
      <c r="M39" s="2" t="s">
        <v>1902</v>
      </c>
    </row>
    <row r="40">
      <c r="A40" s="2" t="s">
        <v>14629</v>
      </c>
      <c r="B40" s="3" t="str">
        <f>_xlfn.CONCAT(C40, " / ", D40)</f>
        <v>effortless-xlsx / RoleAssignments.ComparisonIsEvidentiallySound</v>
      </c>
      <c r="C40" s="2" t="s">
        <v>13987</v>
      </c>
      <c r="D40" s="2" t="s">
        <v>2571</v>
      </c>
      <c r="E40" s="2" t="s">
        <v>14098</v>
      </c>
      <c r="F40" s="2" t="s">
        <v>2389</v>
      </c>
      <c r="G40" s="2">
        <v>13</v>
      </c>
      <c r="H40" s="2" t="s">
        <v>14591</v>
      </c>
      <c r="I40" s="3">
        <f>COUNTIFS(CellDisagreements!C2:C999, A40)</f>
        <v>13</v>
      </c>
      <c r="J40" s="3" t="b">
        <f>I40 = G40</f>
        <v>1</v>
      </c>
      <c r="K40" s="3" t="str">
        <f>_xlfn.IFNA(INDEX(RulebookFields!G2:G999, MATCH(D40,RulebookFields!A2:A999, 0)), "")</f>
        <v>=AND({{HasSufficientSample}}, {{PredecessorHasSufficientSample}})</v>
      </c>
      <c r="L40" s="3" t="str">
        <f>_xlfn.IFNA(INDEX(ConformanceSubstrates!C2:C999, MATCH(C40,ConformanceSubstrates!A2:A999, 0)), "")</f>
        <v>Excel</v>
      </c>
      <c r="M40" s="2" t="s">
        <v>1902</v>
      </c>
    </row>
    <row r="41">
      <c r="A41" s="2" t="s">
        <v>14630</v>
      </c>
      <c r="B41" s="3" t="str">
        <f>_xlfn.CONCAT(C41, " / ", D41)</f>
        <v>effortless-xlsx / RoleAssignments.QualityVerdictIsUnsupported</v>
      </c>
      <c r="C41" s="2" t="s">
        <v>13987</v>
      </c>
      <c r="D41" s="2" t="s">
        <v>2575</v>
      </c>
      <c r="E41" s="2" t="s">
        <v>14098</v>
      </c>
      <c r="F41" s="2" t="s">
        <v>2389</v>
      </c>
      <c r="G41" s="2">
        <v>13</v>
      </c>
      <c r="H41" s="2" t="s">
        <v>14591</v>
      </c>
      <c r="I41" s="3">
        <f>COUNTIFS(CellDisagreements!C2:C999, A41)</f>
        <v>13</v>
      </c>
      <c r="J41" s="3" t="b">
        <f>I41 = G41</f>
        <v>1</v>
      </c>
      <c r="K41" s="3" t="str">
        <f>_xlfn.IFNA(INDEX(RulebookFields!G2:G999, MATCH(D41,RulebookFields!A2:A999, 0)), "")</f>
        <v>=AND(NOT({{ComparisonIsEvidentiallySound}}), NOT({{QualityRegressedVsPredecessor}}))</v>
      </c>
      <c r="L41" s="3" t="str">
        <f>_xlfn.IFNA(INDEX(ConformanceSubstrates!C2:C999, MATCH(C41,ConformanceSubstrates!A2:A999, 0)), "")</f>
        <v>Excel</v>
      </c>
      <c r="M41" s="2" t="s">
        <v>1902</v>
      </c>
    </row>
    <row r="42">
      <c r="A42" s="2" t="s">
        <v>14631</v>
      </c>
      <c r="B42" s="3" t="str">
        <f>_xlfn.CONCAT(C42, " / ", D42)</f>
        <v>effortless-xlsx / RoleAssignments.IsUnauthorizedEnforcementAgent</v>
      </c>
      <c r="C42" s="2" t="s">
        <v>13987</v>
      </c>
      <c r="D42" s="2" t="s">
        <v>2616</v>
      </c>
      <c r="E42" s="2" t="s">
        <v>14098</v>
      </c>
      <c r="F42" s="2" t="s">
        <v>2389</v>
      </c>
      <c r="G42" s="2">
        <v>3</v>
      </c>
      <c r="H42" s="2" t="s">
        <v>14591</v>
      </c>
      <c r="I42" s="3">
        <f>COUNTIFS(CellDisagreements!C2:C999, A42)</f>
        <v>3</v>
      </c>
      <c r="J42" s="3" t="b">
        <f>I42 = G42</f>
        <v>1</v>
      </c>
      <c r="K42" s="3" t="str">
        <f>_xlfn.IFNA(INDEX(RulebookFields!G2:G999, MATCH(D42,RulebookFields!A2:A999, 0)), "")</f>
        <v>=AND({{IsEnforcementRole}}, {{IsUnauthorizedNonHumanAssignment}})</v>
      </c>
      <c r="L42" s="3" t="str">
        <f>_xlfn.IFNA(INDEX(ConformanceSubstrates!C2:C999, MATCH(C42,ConformanceSubstrates!A2:A999, 0)), "")</f>
        <v>Excel</v>
      </c>
      <c r="M42" s="2" t="s">
        <v>1902</v>
      </c>
    </row>
    <row r="43">
      <c r="A43" s="2" t="s">
        <v>14632</v>
      </c>
      <c r="B43" s="3" t="str">
        <f>_xlfn.CONCAT(C43, " / ", D43)</f>
        <v>effortless-xlsx / RoleAssignments.PredecessorAgentKind</v>
      </c>
      <c r="C43" s="2" t="s">
        <v>13987</v>
      </c>
      <c r="D43" s="2" t="s">
        <v>2543</v>
      </c>
      <c r="E43" s="2" t="s">
        <v>14098</v>
      </c>
      <c r="F43" s="2" t="s">
        <v>2478</v>
      </c>
      <c r="G43" s="2">
        <v>1</v>
      </c>
      <c r="H43" s="2" t="s">
        <v>14591</v>
      </c>
      <c r="I43" s="3">
        <f>COUNTIFS(CellDisagreements!C2:C999, A43)</f>
        <v>1</v>
      </c>
      <c r="J43" s="3" t="b">
        <f>I43 = G43</f>
        <v>1</v>
      </c>
      <c r="K43" s="3" t="str">
        <f>_xlfn.IFNA(INDEX(RulebookFields!G2:G999, MATCH(D43,RulebookFields!A2:A999, 0)), "")</f>
        <v>=INDEX(RoleAssignments!{{AgentKind}}, MATCH({{SupersedesAssignment}}, RoleAssignments!{{RoleAssignmentId}}, 0))</v>
      </c>
      <c r="L43" s="3" t="str">
        <f>_xlfn.IFNA(INDEX(ConformanceSubstrates!C2:C999, MATCH(C43,ConformanceSubstrates!A2:A999, 0)), "")</f>
        <v>Excel</v>
      </c>
      <c r="M43" s="2" t="s">
        <v>1902</v>
      </c>
    </row>
    <row r="44">
      <c r="A44" s="2" t="s">
        <v>14633</v>
      </c>
      <c r="B44" s="3" t="str">
        <f>_xlfn.CONCAT(C44, " / ", D44)</f>
        <v>effortless-xlsx / RoleAssignments.IsHumanToNonHumanHandover</v>
      </c>
      <c r="C44" s="2" t="s">
        <v>13987</v>
      </c>
      <c r="D44" s="2" t="s">
        <v>2545</v>
      </c>
      <c r="E44" s="2" t="s">
        <v>14098</v>
      </c>
      <c r="F44" s="2" t="s">
        <v>2389</v>
      </c>
      <c r="G44" s="2">
        <v>1</v>
      </c>
      <c r="H44" s="2" t="s">
        <v>14591</v>
      </c>
      <c r="I44" s="3">
        <f>COUNTIFS(CellDisagreements!C2:C999, A44)</f>
        <v>1</v>
      </c>
      <c r="J44" s="3" t="b">
        <f>I44 = G44</f>
        <v>1</v>
      </c>
      <c r="K44" s="3" t="str">
        <f>_xlfn.IFNA(INDEX(RulebookFields!G2:G999, MATCH(D44,RulebookFields!A2:A999, 0)), "")</f>
        <v>=AND({{PredecessorAgentKind}} = "Human", {{IsNonHumanAssignment}})</v>
      </c>
      <c r="L44" s="3" t="str">
        <f>_xlfn.IFNA(INDEX(ConformanceSubstrates!C2:C999, MATCH(C44,ConformanceSubstrates!A2:A999, 0)), "")</f>
        <v>Excel</v>
      </c>
      <c r="M44" s="2" t="s">
        <v>1902</v>
      </c>
    </row>
    <row r="45">
      <c r="A45" s="2" t="s">
        <v>14634</v>
      </c>
      <c r="B45" s="3" t="str">
        <f>_xlfn.CONCAT(C45, " / ", D45)</f>
        <v>effortless-xlsx / RoleAssignments.IsUnmeasuredAutomationHandover</v>
      </c>
      <c r="C45" s="2" t="s">
        <v>13987</v>
      </c>
      <c r="D45" s="2" t="s">
        <v>2577</v>
      </c>
      <c r="E45" s="2" t="s">
        <v>14098</v>
      </c>
      <c r="F45" s="2" t="s">
        <v>2389</v>
      </c>
      <c r="G45" s="2">
        <v>1</v>
      </c>
      <c r="H45" s="2" t="s">
        <v>14591</v>
      </c>
      <c r="I45" s="3">
        <f>COUNTIFS(CellDisagreements!C2:C999, A45)</f>
        <v>1</v>
      </c>
      <c r="J45" s="3" t="b">
        <f>I45 = G45</f>
        <v>1</v>
      </c>
      <c r="K45" s="3" t="str">
        <f>_xlfn.IFNA(INDEX(RulebookFields!G2:G999, MATCH(D45,RulebookFields!A2:A999, 0)), "")</f>
        <v>=AND({{IsHumanToNonHumanHandover}}, NOT({{ComparisonIsEvidentiallySound}}))</v>
      </c>
      <c r="L45" s="3" t="str">
        <f>_xlfn.IFNA(INDEX(ConformanceSubstrates!C2:C999, MATCH(C45,ConformanceSubstrates!A2:A999, 0)), "")</f>
        <v>Excel</v>
      </c>
      <c r="M45" s="2" t="s">
        <v>1902</v>
      </c>
    </row>
    <row r="46">
      <c r="A46" s="2" t="s">
        <v>14635</v>
      </c>
      <c r="B46" s="3" t="str">
        <f>_xlfn.CONCAT(C46, " / ", D46)</f>
        <v>effortless-xlsx / ProcedureVersions.AsOfInstant</v>
      </c>
      <c r="C46" s="2" t="s">
        <v>13987</v>
      </c>
      <c r="D46" s="2" t="s">
        <v>2723</v>
      </c>
      <c r="E46" s="2" t="s">
        <v>14103</v>
      </c>
      <c r="F46" s="2" t="s">
        <v>2478</v>
      </c>
      <c r="G46" s="2">
        <v>3</v>
      </c>
      <c r="H46" s="2" t="s">
        <v>14591</v>
      </c>
      <c r="I46" s="3">
        <f>COUNTIFS(CellDisagreements!C2:C999, A46)</f>
        <v>3</v>
      </c>
      <c r="J46" s="3" t="b">
        <f>I46 = G46</f>
        <v>1</v>
      </c>
      <c r="K46" s="3" t="str">
        <f>_xlfn.IFNA(INDEX(RulebookFields!G2:G999, MATCH(D46,RulebookFields!A2:A999, 0)), "")</f>
        <v>=INDEX(EvaluationContexts!{{AsOfInstant}}, MATCH({{EvaluationContext}}, EvaluationContexts!{{EvaluationContextId}}, 0))</v>
      </c>
      <c r="L46" s="3" t="str">
        <f>_xlfn.IFNA(INDEX(ConformanceSubstrates!C2:C999, MATCH(C46,ConformanceSubstrates!A2:A999, 0)), "")</f>
        <v>Excel</v>
      </c>
      <c r="M46" s="2" t="s">
        <v>1902</v>
      </c>
    </row>
    <row r="47">
      <c r="A47" s="2" t="s">
        <v>14636</v>
      </c>
      <c r="B47" s="3" t="str">
        <f>_xlfn.CONCAT(C47, " / ", D47)</f>
        <v>effortless-xlsx / ProcedureVersions.DaysSinceModified</v>
      </c>
      <c r="C47" s="2" t="s">
        <v>13987</v>
      </c>
      <c r="D47" s="2" t="s">
        <v>2724</v>
      </c>
      <c r="E47" s="2" t="s">
        <v>14103</v>
      </c>
      <c r="F47" s="2" t="s">
        <v>2389</v>
      </c>
      <c r="G47" s="2">
        <v>3</v>
      </c>
      <c r="H47" s="2" t="s">
        <v>14591</v>
      </c>
      <c r="I47" s="3">
        <f>COUNTIFS(CellDisagreements!C2:C999, A47)</f>
        <v>3</v>
      </c>
      <c r="J47" s="3" t="b">
        <f>I47 = G47</f>
        <v>1</v>
      </c>
      <c r="K47" s="3" t="str">
        <f>_xlfn.IFNA(INDEX(RulebookFields!G2:G999, MATCH(D47,RulebookFields!A2:A999, 0)), "")</f>
        <v>=DATETIME_DIFF({{AsOfInstant}}, {{ModifiedAt}}, "days")</v>
      </c>
      <c r="L47" s="3" t="str">
        <f>_xlfn.IFNA(INDEX(ConformanceSubstrates!C2:C999, MATCH(C47,ConformanceSubstrates!A2:A999, 0)), "")</f>
        <v>Excel</v>
      </c>
      <c r="M47" s="2" t="s">
        <v>1902</v>
      </c>
    </row>
    <row r="48">
      <c r="A48" s="2" t="s">
        <v>14637</v>
      </c>
      <c r="B48" s="3" t="str">
        <f>_xlfn.CONCAT(C48, " / ", D48)</f>
        <v>effortless-xlsx / ProcedureVersions.DaysSinceLastReview</v>
      </c>
      <c r="C48" s="2" t="s">
        <v>13987</v>
      </c>
      <c r="D48" s="2" t="s">
        <v>2726</v>
      </c>
      <c r="E48" s="2" t="s">
        <v>14103</v>
      </c>
      <c r="F48" s="2" t="s">
        <v>2438</v>
      </c>
      <c r="G48" s="2">
        <v>1</v>
      </c>
      <c r="H48" s="2" t="s">
        <v>14591</v>
      </c>
      <c r="I48" s="3">
        <f>COUNTIFS(CellDisagreements!C2:C999, A48)</f>
        <v>1</v>
      </c>
      <c r="J48" s="3" t="b">
        <f>I48 = G48</f>
        <v>1</v>
      </c>
      <c r="K48" s="3" t="str">
        <f>_xlfn.IFNA(INDEX(RulebookFields!G2:G999, MATCH(D48,RulebookFields!A2:A999, 0)), "")</f>
        <v>=DATETIME_DIFF({{AsOfInstant}}, MAXIFS(ReviewEvents!{{ReviewedAt}}, ReviewEvents!{{ProcedureVersion}}, ProcedureVersions!{{ProcedureVersionId}}), "days")</v>
      </c>
      <c r="L48" s="3" t="str">
        <f>_xlfn.IFNA(INDEX(ConformanceSubstrates!C2:C999, MATCH(C48,ConformanceSubstrates!A2:A999, 0)), "")</f>
        <v>Excel</v>
      </c>
      <c r="M48" s="2" t="s">
        <v>1902</v>
      </c>
    </row>
    <row r="49">
      <c r="A49" s="2" t="s">
        <v>14638</v>
      </c>
      <c r="B49" s="3" t="str">
        <f>_xlfn.CONCAT(C49, " / ", D49)</f>
        <v>effortless-xlsx / ProcedureVersions.WasModifiedSinceLastReview</v>
      </c>
      <c r="C49" s="2" t="s">
        <v>13987</v>
      </c>
      <c r="D49" s="2" t="s">
        <v>2728</v>
      </c>
      <c r="E49" s="2" t="s">
        <v>14103</v>
      </c>
      <c r="F49" s="2" t="s">
        <v>2389</v>
      </c>
      <c r="G49" s="2">
        <v>3</v>
      </c>
      <c r="H49" s="2" t="s">
        <v>14591</v>
      </c>
      <c r="I49" s="3">
        <f>COUNTIFS(CellDisagreements!C2:C999, A49)</f>
        <v>3</v>
      </c>
      <c r="J49" s="3" t="b">
        <f>I49 = G49</f>
        <v>1</v>
      </c>
      <c r="K49" s="3" t="str">
        <f>_xlfn.IFNA(INDEX(RulebookFields!G2:G999, MATCH(D49,RulebookFields!A2:A999, 0)), "")</f>
        <v>={{DaysSinceModified}} &lt; {{DaysSinceLastReview}}</v>
      </c>
      <c r="L49" s="3" t="str">
        <f>_xlfn.IFNA(INDEX(ConformanceSubstrates!C2:C999, MATCH(C49,ConformanceSubstrates!A2:A999, 0)), "")</f>
        <v>Excel</v>
      </c>
      <c r="M49" s="2" t="s">
        <v>1902</v>
      </c>
    </row>
    <row r="50">
      <c r="A50" s="2" t="s">
        <v>14639</v>
      </c>
      <c r="B50" s="3" t="str">
        <f>_xlfn.CONCAT(C50, " / ", D50)</f>
        <v>effortless-xlsx / ProcedureVersions.HasUnwitnessedChange</v>
      </c>
      <c r="C50" s="2" t="s">
        <v>13987</v>
      </c>
      <c r="D50" s="2" t="s">
        <v>2732</v>
      </c>
      <c r="E50" s="2" t="s">
        <v>14103</v>
      </c>
      <c r="F50" s="2" t="s">
        <v>2389</v>
      </c>
      <c r="G50" s="2">
        <v>2</v>
      </c>
      <c r="H50" s="2" t="s">
        <v>14591</v>
      </c>
      <c r="I50" s="3">
        <f>COUNTIFS(CellDisagreements!C2:C999, A50)</f>
        <v>2</v>
      </c>
      <c r="J50" s="3" t="b">
        <f>I50 = G50</f>
        <v>1</v>
      </c>
      <c r="K50" s="3" t="str">
        <f>_xlfn.IFNA(INDEX(RulebookFields!G2:G999, MATCH(D50,RulebookFields!A2:A999, 0)), "")</f>
        <v>=AND({{IsLive}}, {{WasModifiedSinceLastReview}})</v>
      </c>
      <c r="L50" s="3" t="str">
        <f>_xlfn.IFNA(INDEX(ConformanceSubstrates!C2:C999, MATCH(C50,ConformanceSubstrates!A2:A999, 0)), "")</f>
        <v>Excel</v>
      </c>
      <c r="M50" s="2" t="s">
        <v>1902</v>
      </c>
    </row>
    <row r="51">
      <c r="A51" s="2" t="s">
        <v>14640</v>
      </c>
      <c r="B51" s="3" t="str">
        <f>_xlfn.CONCAT(C51, " / ", D51)</f>
        <v>effortless-xlsx / Steps.StaleBindingCount</v>
      </c>
      <c r="C51" s="2" t="s">
        <v>13987</v>
      </c>
      <c r="D51" s="2" t="s">
        <v>2855</v>
      </c>
      <c r="E51" s="2" t="s">
        <v>14106</v>
      </c>
      <c r="F51" s="2" t="s">
        <v>2438</v>
      </c>
      <c r="G51" s="2">
        <v>3</v>
      </c>
      <c r="H51" s="2" t="s">
        <v>14591</v>
      </c>
      <c r="I51" s="3">
        <f>COUNTIFS(CellDisagreements!C2:C999, A51)</f>
        <v>3</v>
      </c>
      <c r="J51" s="3" t="b">
        <f>I51 = G51</f>
        <v>1</v>
      </c>
      <c r="K51" s="3" t="str">
        <f>_xlfn.IFNA(INDEX(RulebookFields!G2:G999, MATCH(D51,RulebookFields!A2:A999, 0)), "")</f>
        <v>=COUNTIFS(OperationalBindings!{{StaleBindingStepKey}}, {{StepId}})</v>
      </c>
      <c r="L51" s="3" t="str">
        <f>_xlfn.IFNA(INDEX(ConformanceSubstrates!C2:C999, MATCH(C51,ConformanceSubstrates!A2:A999, 0)), "")</f>
        <v>Excel</v>
      </c>
      <c r="M51" s="2" t="s">
        <v>1902</v>
      </c>
    </row>
    <row r="52">
      <c r="A52" s="2" t="s">
        <v>14641</v>
      </c>
      <c r="B52" s="3" t="str">
        <f>_xlfn.CONCAT(C52, " / ", D52)</f>
        <v>effortless-xlsx / Steps.AuthoritativeStaleCount</v>
      </c>
      <c r="C52" s="2" t="s">
        <v>13987</v>
      </c>
      <c r="D52" s="2" t="s">
        <v>2857</v>
      </c>
      <c r="E52" s="2" t="s">
        <v>14106</v>
      </c>
      <c r="F52" s="2" t="s">
        <v>2438</v>
      </c>
      <c r="G52" s="2">
        <v>3</v>
      </c>
      <c r="H52" s="2" t="s">
        <v>14591</v>
      </c>
      <c r="I52" s="3">
        <f>COUNTIFS(CellDisagreements!C2:C999, A52)</f>
        <v>3</v>
      </c>
      <c r="J52" s="3" t="b">
        <f>I52 = G52</f>
        <v>1</v>
      </c>
      <c r="K52" s="3" t="str">
        <f>_xlfn.IFNA(INDEX(RulebookFields!G2:G999, MATCH(D52,RulebookFields!A2:A999, 0)), "")</f>
        <v>=COUNTIFS(OperationalBindings!{{AuthoritativeStaleStepKey}}, {{StepId}})</v>
      </c>
      <c r="L52" s="3" t="str">
        <f>_xlfn.IFNA(INDEX(ConformanceSubstrates!C2:C999, MATCH(C52,ConformanceSubstrates!A2:A999, 0)), "")</f>
        <v>Excel</v>
      </c>
      <c r="M52" s="2" t="s">
        <v>1902</v>
      </c>
    </row>
    <row r="53">
      <c r="A53" s="2" t="s">
        <v>14642</v>
      </c>
      <c r="B53" s="3" t="str">
        <f>_xlfn.CONCAT(C53, " / ", D53)</f>
        <v>effortless-xlsx / Steps.StaleAuthoritativeBindingCount</v>
      </c>
      <c r="C53" s="2" t="s">
        <v>13987</v>
      </c>
      <c r="D53" s="2" t="s">
        <v>2867</v>
      </c>
      <c r="E53" s="2" t="s">
        <v>14106</v>
      </c>
      <c r="F53" s="2" t="s">
        <v>2438</v>
      </c>
      <c r="G53" s="2">
        <v>3</v>
      </c>
      <c r="H53" s="2" t="s">
        <v>14591</v>
      </c>
      <c r="I53" s="3">
        <f>COUNTIFS(CellDisagreements!C2:C999, A53)</f>
        <v>3</v>
      </c>
      <c r="J53" s="3" t="b">
        <f>I53 = G53</f>
        <v>1</v>
      </c>
      <c r="K53" s="3" t="str">
        <f>_xlfn.IFNA(INDEX(RulebookFields!G2:G999, MATCH(D53,RulebookFields!A2:A999, 0)), "")</f>
        <v>=COUNTIFS(OperationalBindings!{{StepWhenStale}}, {{StepId}})</v>
      </c>
      <c r="L53" s="3" t="str">
        <f>_xlfn.IFNA(INDEX(ConformanceSubstrates!C2:C999, MATCH(C53,ConformanceSubstrates!A2:A999, 0)), "")</f>
        <v>Excel</v>
      </c>
      <c r="M53" s="2" t="s">
        <v>1902</v>
      </c>
    </row>
    <row r="54">
      <c r="A54" s="2" t="s">
        <v>14643</v>
      </c>
      <c r="B54" s="3" t="str">
        <f>_xlfn.CONCAT(C54, " / ", D54)</f>
        <v>effortless-xlsx / Steps.InputsAreFresh</v>
      </c>
      <c r="C54" s="2" t="s">
        <v>13987</v>
      </c>
      <c r="D54" s="2" t="s">
        <v>2869</v>
      </c>
      <c r="E54" s="2" t="s">
        <v>14106</v>
      </c>
      <c r="F54" s="2" t="s">
        <v>2389</v>
      </c>
      <c r="G54" s="2">
        <v>3</v>
      </c>
      <c r="H54" s="2" t="s">
        <v>14591</v>
      </c>
      <c r="I54" s="3">
        <f>COUNTIFS(CellDisagreements!C2:C999, A54)</f>
        <v>3</v>
      </c>
      <c r="J54" s="3" t="b">
        <f>I54 = G54</f>
        <v>1</v>
      </c>
      <c r="K54" s="3" t="str">
        <f>_xlfn.IFNA(INDEX(RulebookFields!G2:G999, MATCH(D54,RulebookFields!A2:A999, 0)), "")</f>
        <v>={{StaleAuthoritativeBindingCount}} = 0</v>
      </c>
      <c r="L54" s="3" t="str">
        <f>_xlfn.IFNA(INDEX(ConformanceSubstrates!C2:C999, MATCH(C54,ConformanceSubstrates!A2:A999, 0)), "")</f>
        <v>Excel</v>
      </c>
      <c r="M54" s="2" t="s">
        <v>1902</v>
      </c>
    </row>
    <row r="55">
      <c r="A55" s="2" t="s">
        <v>14644</v>
      </c>
      <c r="B55" s="3" t="str">
        <f>_xlfn.CONCAT(C55, " / ", D55)</f>
        <v>effortless-xlsx / Steps.UnusableBindingCount</v>
      </c>
      <c r="C55" s="2" t="s">
        <v>13987</v>
      </c>
      <c r="D55" s="2" t="s">
        <v>2881</v>
      </c>
      <c r="E55" s="2" t="s">
        <v>14106</v>
      </c>
      <c r="F55" s="2" t="s">
        <v>2438</v>
      </c>
      <c r="G55" s="2">
        <v>3</v>
      </c>
      <c r="H55" s="2" t="s">
        <v>14591</v>
      </c>
      <c r="I55" s="3">
        <f>COUNTIFS(CellDisagreements!C2:C999, A55)</f>
        <v>3</v>
      </c>
      <c r="J55" s="3" t="b">
        <f>I55 = G55</f>
        <v>1</v>
      </c>
      <c r="K55" s="3" t="str">
        <f>_xlfn.IFNA(INDEX(RulebookFields!G2:G999, MATCH(D55,RulebookFields!A2:A999, 0)), "")</f>
        <v>=COUNTIFS(OperationalBindings!{{StepWhenUnusable}}, {{StepId}})</v>
      </c>
      <c r="L55" s="3" t="str">
        <f>_xlfn.IFNA(INDEX(ConformanceSubstrates!C2:C999, MATCH(C55,ConformanceSubstrates!A2:A999, 0)), "")</f>
        <v>Excel</v>
      </c>
      <c r="M55" s="2" t="s">
        <v>1902</v>
      </c>
    </row>
    <row r="56">
      <c r="A56" s="2" t="s">
        <v>14645</v>
      </c>
      <c r="B56" s="3" t="str">
        <f>_xlfn.CONCAT(C56, " / ", D56)</f>
        <v>effortless-xlsx / Steps.AllSourcesUsable</v>
      </c>
      <c r="C56" s="2" t="s">
        <v>13987</v>
      </c>
      <c r="D56" s="2" t="s">
        <v>2883</v>
      </c>
      <c r="E56" s="2" t="s">
        <v>14106</v>
      </c>
      <c r="F56" s="2" t="s">
        <v>2389</v>
      </c>
      <c r="G56" s="2">
        <v>3</v>
      </c>
      <c r="H56" s="2" t="s">
        <v>14591</v>
      </c>
      <c r="I56" s="3">
        <f>COUNTIFS(CellDisagreements!C2:C999, A56)</f>
        <v>3</v>
      </c>
      <c r="J56" s="3" t="b">
        <f>I56 = G56</f>
        <v>1</v>
      </c>
      <c r="K56" s="3" t="str">
        <f>_xlfn.IFNA(INDEX(RulebookFields!G2:G999, MATCH(D56,RulebookFields!A2:A999, 0)), "")</f>
        <v>={{UnusableBindingCount}} = 0</v>
      </c>
      <c r="L56" s="3" t="str">
        <f>_xlfn.IFNA(INDEX(ConformanceSubstrates!C2:C999, MATCH(C56,ConformanceSubstrates!A2:A999, 0)), "")</f>
        <v>Excel</v>
      </c>
      <c r="M56" s="2" t="s">
        <v>1902</v>
      </c>
    </row>
    <row r="57">
      <c r="A57" s="2" t="s">
        <v>14646</v>
      </c>
      <c r="B57" s="3" t="str">
        <f>_xlfn.CONCAT(C57, " / ", D57)</f>
        <v>effortless-xlsx / Steps.UnwarrantedBoundaryCount</v>
      </c>
      <c r="C57" s="2" t="s">
        <v>13987</v>
      </c>
      <c r="D57" s="2" t="s">
        <v>2886</v>
      </c>
      <c r="E57" s="2" t="s">
        <v>14106</v>
      </c>
      <c r="F57" s="2" t="s">
        <v>2438</v>
      </c>
      <c r="G57" s="2">
        <v>1</v>
      </c>
      <c r="H57" s="2" t="s">
        <v>14591</v>
      </c>
      <c r="I57" s="3">
        <f>COUNTIFS(CellDisagreements!C2:C999, A57)</f>
        <v>1</v>
      </c>
      <c r="J57" s="3" t="b">
        <f>I57 = G57</f>
        <v>1</v>
      </c>
      <c r="K57" s="3" t="str">
        <f>_xlfn.IFNA(INDEX(RulebookFields!G2:G999, MATCH(D57,RulebookFields!A2:A999, 0)), "")</f>
        <v>=COUNTIFS(AuthorityBoundaries!{{UnwarrantedBoundaryStepKey}}, {{StepId}})</v>
      </c>
      <c r="L57" s="3" t="str">
        <f>_xlfn.IFNA(INDEX(ConformanceSubstrates!C2:C999, MATCH(C57,ConformanceSubstrates!A2:A999, 0)), "")</f>
        <v>Excel</v>
      </c>
      <c r="M57" s="2" t="s">
        <v>1902</v>
      </c>
    </row>
    <row r="58">
      <c r="A58" s="2" t="s">
        <v>14647</v>
      </c>
      <c r="B58" s="3" t="str">
        <f>_xlfn.CONCAT(C58, " / ", D58)</f>
        <v>effortless-xlsx / Steps.IsGovernedByUnwarrantedBoundary</v>
      </c>
      <c r="C58" s="2" t="s">
        <v>13987</v>
      </c>
      <c r="D58" s="2" t="s">
        <v>2888</v>
      </c>
      <c r="E58" s="2" t="s">
        <v>14106</v>
      </c>
      <c r="F58" s="2" t="s">
        <v>2389</v>
      </c>
      <c r="G58" s="2">
        <v>1</v>
      </c>
      <c r="H58" s="2" t="s">
        <v>14591</v>
      </c>
      <c r="I58" s="3">
        <f>COUNTIFS(CellDisagreements!C2:C999, A58)</f>
        <v>1</v>
      </c>
      <c r="J58" s="3" t="b">
        <f>I58 = G58</f>
        <v>1</v>
      </c>
      <c r="K58" s="3" t="str">
        <f>_xlfn.IFNA(INDEX(RulebookFields!G2:G999, MATCH(D58,RulebookFields!A2:A999, 0)), "")</f>
        <v>={{UnwarrantedBoundaryCount}} &gt; 0</v>
      </c>
      <c r="L58" s="3" t="str">
        <f>_xlfn.IFNA(INDEX(ConformanceSubstrates!C2:C999, MATCH(C58,ConformanceSubstrates!A2:A999, 0)), "")</f>
        <v>Excel</v>
      </c>
      <c r="M58" s="2" t="s">
        <v>1902</v>
      </c>
    </row>
    <row r="59">
      <c r="A59" s="2" t="s">
        <v>14648</v>
      </c>
      <c r="B59" s="3" t="str">
        <f>_xlfn.CONCAT(C59, " / ", D59)</f>
        <v>effortless-xlsx / Requirements.NamedWitnessFieldExists</v>
      </c>
      <c r="C59" s="2" t="s">
        <v>13987</v>
      </c>
      <c r="D59" s="2" t="s">
        <v>3008</v>
      </c>
      <c r="E59" s="2" t="s">
        <v>14114</v>
      </c>
      <c r="F59" s="2" t="s">
        <v>2478</v>
      </c>
      <c r="G59" s="2">
        <v>2</v>
      </c>
      <c r="H59" s="2" t="s">
        <v>14591</v>
      </c>
      <c r="I59" s="3">
        <f>COUNTIFS(CellDisagreements!C2:C999, A59)</f>
        <v>2</v>
      </c>
      <c r="J59" s="3" t="b">
        <f>I59 = G59</f>
        <v>1</v>
      </c>
      <c r="K59" s="3" t="str">
        <f>_xlfn.IFNA(INDEX(RulebookFields!G2:G999, MATCH(D59,RulebookFields!A2:A999, 0)), "")</f>
        <v>=INDEX(RulebookFields!{{IsDerived}}, MATCH({{WitnessFieldName}}, RulebookFields!{{RulebookFieldId}}, 0))</v>
      </c>
      <c r="L59" s="3" t="str">
        <f>_xlfn.IFNA(INDEX(ConformanceSubstrates!C2:C999, MATCH(C59,ConformanceSubstrates!A2:A999, 0)), "")</f>
        <v>Excel</v>
      </c>
      <c r="M59" s="2" t="s">
        <v>1902</v>
      </c>
    </row>
    <row r="60">
      <c r="A60" s="2" t="s">
        <v>14649</v>
      </c>
      <c r="B60" s="3" t="str">
        <f>_xlfn.CONCAT(C60, " / ", D60)</f>
        <v>effortless-xlsx / Requirements.HasMeaningfulSample</v>
      </c>
      <c r="C60" s="2" t="s">
        <v>13987</v>
      </c>
      <c r="D60" s="2" t="s">
        <v>3022</v>
      </c>
      <c r="E60" s="2" t="s">
        <v>14114</v>
      </c>
      <c r="F60" s="2" t="s">
        <v>2389</v>
      </c>
      <c r="G60" s="2">
        <v>13</v>
      </c>
      <c r="H60" s="2" t="s">
        <v>14591</v>
      </c>
      <c r="I60" s="3">
        <f>COUNTIFS(CellDisagreements!C2:C999, A60)</f>
        <v>13</v>
      </c>
      <c r="J60" s="3" t="b">
        <f>I60 = G60</f>
        <v>1</v>
      </c>
      <c r="K60" s="3" t="str">
        <f>_xlfn.IFNA(INDEX(RulebookFields!G2:G999, MATCH(D60,RulebookFields!A2:A999, 0)), "")</f>
        <v>={{EvaluationSampleSize}} &gt;= {{MinimumSampleForAssurance}}</v>
      </c>
      <c r="L60" s="3" t="str">
        <f>_xlfn.IFNA(INDEX(ConformanceSubstrates!C2:C999, MATCH(C60,ConformanceSubstrates!A2:A999, 0)), "")</f>
        <v>Excel</v>
      </c>
      <c r="M60" s="2" t="s">
        <v>1902</v>
      </c>
    </row>
    <row r="61">
      <c r="A61" s="2" t="s">
        <v>14650</v>
      </c>
      <c r="B61" s="3" t="str">
        <f>_xlfn.CONCAT(C61, " / ", D61)</f>
        <v>effortless-xlsx / Requirements.IsUntestedWitness</v>
      </c>
      <c r="C61" s="2" t="s">
        <v>13987</v>
      </c>
      <c r="D61" s="2" t="s">
        <v>3025</v>
      </c>
      <c r="E61" s="2" t="s">
        <v>14114</v>
      </c>
      <c r="F61" s="2" t="s">
        <v>2389</v>
      </c>
      <c r="G61" s="2">
        <v>3</v>
      </c>
      <c r="H61" s="2" t="s">
        <v>14591</v>
      </c>
      <c r="I61" s="3">
        <f>COUNTIFS(CellDisagreements!C2:C999, A61)</f>
        <v>3</v>
      </c>
      <c r="J61" s="3" t="b">
        <f>I61 = G61</f>
        <v>1</v>
      </c>
      <c r="K61" s="3" t="str">
        <f>_xlfn.IFNA(INDEX(RulebookFields!G2:G999, MATCH(D61,RulebookFields!A2:A999, 0)), "")</f>
        <v>=AND({{WitnessHasNeverFired}}, NOT({{HasMeaningfulSample}}))</v>
      </c>
      <c r="L61" s="3" t="str">
        <f>_xlfn.IFNA(INDEX(ConformanceSubstrates!C2:C999, MATCH(C61,ConformanceSubstrates!A2:A999, 0)), "")</f>
        <v>Excel</v>
      </c>
      <c r="M61" s="2" t="s">
        <v>1902</v>
      </c>
    </row>
    <row r="62">
      <c r="A62" s="2" t="s">
        <v>14651</v>
      </c>
      <c r="B62" s="3" t="str">
        <f>_xlfn.CONCAT(C62, " / ", D62)</f>
        <v>effortless-xlsx / Requirements.IsEvidencedHoldingControl</v>
      </c>
      <c r="C62" s="2" t="s">
        <v>13987</v>
      </c>
      <c r="D62" s="2" t="s">
        <v>3027</v>
      </c>
      <c r="E62" s="2" t="s">
        <v>14114</v>
      </c>
      <c r="F62" s="2" t="s">
        <v>2389</v>
      </c>
      <c r="G62" s="2">
        <v>3</v>
      </c>
      <c r="H62" s="2" t="s">
        <v>14591</v>
      </c>
      <c r="I62" s="3">
        <f>COUNTIFS(CellDisagreements!C2:C999, A62)</f>
        <v>3</v>
      </c>
      <c r="J62" s="3" t="b">
        <f>I62 = G62</f>
        <v>1</v>
      </c>
      <c r="K62" s="3" t="str">
        <f>_xlfn.IFNA(INDEX(RulebookFields!G2:G999, MATCH(D62,RulebookFields!A2:A999, 0)), "")</f>
        <v>=AND({{WitnessHasNeverFired}}, {{HasMeaningfulSample}})</v>
      </c>
      <c r="L62" s="3" t="str">
        <f>_xlfn.IFNA(INDEX(ConformanceSubstrates!C2:C999, MATCH(C62,ConformanceSubstrates!A2:A999, 0)), "")</f>
        <v>Excel</v>
      </c>
      <c r="M62" s="2" t="s">
        <v>1902</v>
      </c>
    </row>
    <row r="63">
      <c r="A63" s="2" t="s">
        <v>14652</v>
      </c>
      <c r="B63" s="3" t="str">
        <f>_xlfn.CONCAT(C63, " / ", D63)</f>
        <v>effortless-xlsx / Requirements.ControlAssuranceState</v>
      </c>
      <c r="C63" s="2" t="s">
        <v>13987</v>
      </c>
      <c r="D63" s="2" t="s">
        <v>3029</v>
      </c>
      <c r="E63" s="2" t="s">
        <v>14114</v>
      </c>
      <c r="F63" s="2" t="s">
        <v>2389</v>
      </c>
      <c r="G63" s="2">
        <v>3</v>
      </c>
      <c r="H63" s="2" t="s">
        <v>14591</v>
      </c>
      <c r="I63" s="3">
        <f>COUNTIFS(CellDisagreements!C2:C999, A63)</f>
        <v>3</v>
      </c>
      <c r="J63" s="3" t="b">
        <f>I63 = G63</f>
        <v>1</v>
      </c>
      <c r="K63" s="3" t="str">
        <f>_xlfn.IFNA(INDEX(RulebookFields!G2:G999, MATCH(D63,RulebookFields!A2:A999, 0)), "")</f>
        <v>=IF(NOT({{IsBoundToAnyStep}}), "Decorative", IF(NOT({{HasEverBeenEvaluated}}), "Inoperative", IF(NOT({{HasComputedWitness}}), "Asserted", IF({{WitnessFireCount}} &gt; 0, "Demonstrated", IF({{HasMeaningfulSample}}, "Holding", "Untested")))))</v>
      </c>
      <c r="L63" s="3" t="str">
        <f>_xlfn.IFNA(INDEX(ConformanceSubstrates!C2:C999, MATCH(C63,ConformanceSubstrates!A2:A999, 0)), "")</f>
        <v>Excel</v>
      </c>
      <c r="M63" s="2" t="s">
        <v>1902</v>
      </c>
    </row>
    <row r="64">
      <c r="A64" s="2" t="s">
        <v>14653</v>
      </c>
      <c r="B64" s="3" t="str">
        <f>_xlfn.CONCAT(C64, " / ", D64)</f>
        <v>effortless-xlsx / ElicitationSessions.Name</v>
      </c>
      <c r="C64" s="2" t="s">
        <v>13987</v>
      </c>
      <c r="D64" s="2" t="s">
        <v>3130</v>
      </c>
      <c r="E64" s="2" t="s">
        <v>14121</v>
      </c>
      <c r="F64" s="2" t="s">
        <v>2389</v>
      </c>
      <c r="G64" s="2">
        <v>3</v>
      </c>
      <c r="H64" s="2" t="s">
        <v>14591</v>
      </c>
      <c r="I64" s="3">
        <f>COUNTIFS(CellDisagreements!C2:C999, A64)</f>
        <v>3</v>
      </c>
      <c r="J64" s="3" t="b">
        <f>I64 = G64</f>
        <v>1</v>
      </c>
      <c r="K64" s="3" t="str">
        <f>_xlfn.IFNA(INDEX(RulebookFields!G2:G999, MATCH(D64,RulebookFields!A2:A999, 0)), "")</f>
        <v>={{Method}} &amp; " / " &amp; {{StartedAt}}</v>
      </c>
      <c r="L64" s="3" t="str">
        <f>_xlfn.IFNA(INDEX(ConformanceSubstrates!C2:C999, MATCH(C64,ConformanceSubstrates!A2:A999, 0)), "")</f>
        <v>Excel</v>
      </c>
      <c r="M64" s="2" t="s">
        <v>1902</v>
      </c>
    </row>
    <row r="65">
      <c r="A65" s="2" t="s">
        <v>14654</v>
      </c>
      <c r="B65" s="3" t="str">
        <f>_xlfn.CONCAT(C65, " / ", D65)</f>
        <v>effortless-xlsx / ElicitationSessions.AsOfInstant</v>
      </c>
      <c r="C65" s="2" t="s">
        <v>13987</v>
      </c>
      <c r="D65" s="2" t="s">
        <v>3141</v>
      </c>
      <c r="E65" s="2" t="s">
        <v>14121</v>
      </c>
      <c r="F65" s="2" t="s">
        <v>2478</v>
      </c>
      <c r="G65" s="2">
        <v>3</v>
      </c>
      <c r="H65" s="2" t="s">
        <v>14591</v>
      </c>
      <c r="I65" s="3">
        <f>COUNTIFS(CellDisagreements!C2:C999, A65)</f>
        <v>3</v>
      </c>
      <c r="J65" s="3" t="b">
        <f>I65 = G65</f>
        <v>1</v>
      </c>
      <c r="K65" s="3" t="str">
        <f>_xlfn.IFNA(INDEX(RulebookFields!G2:G999, MATCH(D65,RulebookFields!A2:A999, 0)), "")</f>
        <v>=INDEX(EvaluationContexts!{{AsOfInstant}}, MATCH({{EvaluationContext}}, EvaluationContexts!{{EvaluationContextId}}, 0))</v>
      </c>
      <c r="L65" s="3" t="str">
        <f>_xlfn.IFNA(INDEX(ConformanceSubstrates!C2:C999, MATCH(C65,ConformanceSubstrates!A2:A999, 0)), "")</f>
        <v>Excel</v>
      </c>
      <c r="M65" s="2" t="s">
        <v>1902</v>
      </c>
    </row>
    <row r="66">
      <c r="A66" s="2" t="s">
        <v>14655</v>
      </c>
      <c r="B66" s="3" t="str">
        <f>_xlfn.CONCAT(C66, " / ", D66)</f>
        <v>effortless-xlsx / ElicitationSessions.DaysSinceElicited</v>
      </c>
      <c r="C66" s="2" t="s">
        <v>13987</v>
      </c>
      <c r="D66" s="2" t="s">
        <v>3142</v>
      </c>
      <c r="E66" s="2" t="s">
        <v>14121</v>
      </c>
      <c r="F66" s="2" t="s">
        <v>2389</v>
      </c>
      <c r="G66" s="2">
        <v>2</v>
      </c>
      <c r="H66" s="2" t="s">
        <v>14591</v>
      </c>
      <c r="I66" s="3">
        <f>COUNTIFS(CellDisagreements!C2:C999, A66)</f>
        <v>2</v>
      </c>
      <c r="J66" s="3" t="b">
        <f>I66 = G66</f>
        <v>1</v>
      </c>
      <c r="K66" s="3" t="str">
        <f>_xlfn.IFNA(INDEX(RulebookFields!G2:G999, MATCH(D66,RulebookFields!A2:A999, 0)), "")</f>
        <v>=DATETIME_DIFF({{AsOfInstant}}, {{EndedAt}}, "days")</v>
      </c>
      <c r="L66" s="3" t="str">
        <f>_xlfn.IFNA(INDEX(ConformanceSubstrates!C2:C999, MATCH(C66,ConformanceSubstrates!A2:A999, 0)), "")</f>
        <v>Excel</v>
      </c>
      <c r="M66" s="2" t="s">
        <v>1902</v>
      </c>
    </row>
    <row r="67">
      <c r="A67" s="2" t="s">
        <v>14656</v>
      </c>
      <c r="B67" s="3" t="str">
        <f>_xlfn.CONCAT(C67, " / ", D67)</f>
        <v>effortless-xlsx / KnowledgeFragments.AsOfInstant</v>
      </c>
      <c r="C67" s="2" t="s">
        <v>13987</v>
      </c>
      <c r="D67" s="2" t="s">
        <v>3174</v>
      </c>
      <c r="E67" s="2" t="s">
        <v>14122</v>
      </c>
      <c r="F67" s="2" t="s">
        <v>2478</v>
      </c>
      <c r="G67" s="2">
        <v>7</v>
      </c>
      <c r="H67" s="2" t="s">
        <v>14591</v>
      </c>
      <c r="I67" s="3">
        <f>COUNTIFS(CellDisagreements!C2:C999, A67)</f>
        <v>7</v>
      </c>
      <c r="J67" s="3" t="b">
        <f>I67 = G67</f>
        <v>1</v>
      </c>
      <c r="K67" s="3" t="str">
        <f>_xlfn.IFNA(INDEX(RulebookFields!G2:G999, MATCH(D67,RulebookFields!A2:A999, 0)), "")</f>
        <v>=INDEX(EvaluationContexts!{{AsOfInstant}}, MATCH({{EvaluationContext}}, EvaluationContexts!{{EvaluationContextId}}, 0))</v>
      </c>
      <c r="L67" s="3" t="str">
        <f>_xlfn.IFNA(INDEX(ConformanceSubstrates!C2:C999, MATCH(C67,ConformanceSubstrates!A2:A999, 0)), "")</f>
        <v>Excel</v>
      </c>
      <c r="M67" s="2" t="s">
        <v>1902</v>
      </c>
    </row>
    <row r="68">
      <c r="A68" s="2" t="s">
        <v>14657</v>
      </c>
      <c r="B68" s="3" t="str">
        <f>_xlfn.CONCAT(C68, " / ", D68)</f>
        <v>effortless-xlsx / KnowledgeFragments.OwnerRoleAssignmentValidFrom</v>
      </c>
      <c r="C68" s="2" t="s">
        <v>13987</v>
      </c>
      <c r="D68" s="2" t="s">
        <v>3243</v>
      </c>
      <c r="E68" s="2" t="s">
        <v>14122</v>
      </c>
      <c r="F68" s="2" t="s">
        <v>2478</v>
      </c>
      <c r="G68" s="2">
        <v>7</v>
      </c>
      <c r="H68" s="2" t="s">
        <v>14591</v>
      </c>
      <c r="I68" s="3">
        <f>COUNTIFS(CellDisagreements!C2:C999, A68)</f>
        <v>7</v>
      </c>
      <c r="J68" s="3" t="b">
        <f>I68 = G68</f>
        <v>1</v>
      </c>
      <c r="K68" s="3" t="str">
        <f>_xlfn.IFNA(INDEX(RulebookFields!G2:G999, MATCH(D68,RulebookFields!A2:A999, 0)), "")</f>
        <v>=INDEX(Roles!{{CurrentAssignmentValidFrom}}, MATCH({{OwnerRole}}, Roles!{{RoleId}}, 0))</v>
      </c>
      <c r="L68" s="3" t="str">
        <f>_xlfn.IFNA(INDEX(ConformanceSubstrates!C2:C999, MATCH(C68,ConformanceSubstrates!A2:A999, 0)), "")</f>
        <v>Excel</v>
      </c>
      <c r="M68" s="2" t="s">
        <v>1902</v>
      </c>
    </row>
    <row r="69">
      <c r="A69" s="2" t="s">
        <v>14658</v>
      </c>
      <c r="B69" s="3" t="str">
        <f>_xlfn.CONCAT(C69, " / ", D69)</f>
        <v>effortless-xlsx / KnowledgeFragments.DaysSinceActualReview</v>
      </c>
      <c r="C69" s="2" t="s">
        <v>13987</v>
      </c>
      <c r="D69" s="2" t="s">
        <v>3270</v>
      </c>
      <c r="E69" s="2" t="s">
        <v>14122</v>
      </c>
      <c r="F69" s="2" t="s">
        <v>2389</v>
      </c>
      <c r="G69" s="2">
        <v>3</v>
      </c>
      <c r="H69" s="2" t="s">
        <v>14591</v>
      </c>
      <c r="I69" s="3">
        <f>COUNTIFS(CellDisagreements!C2:C999, A69)</f>
        <v>3</v>
      </c>
      <c r="J69" s="3" t="b">
        <f>I69 = G69</f>
        <v>1</v>
      </c>
      <c r="K69" s="3" t="str">
        <f>_xlfn.IFNA(INDEX(RulebookFields!G2:G999, MATCH(D69,RulebookFields!A2:A999, 0)), "")</f>
        <v>=IF({{HasReviewRecord}}, DATETIME_DIFF({{AsOfInstant}}, {{LastReviewedAt}}, "days"), 0)</v>
      </c>
      <c r="L69" s="3" t="str">
        <f>_xlfn.IFNA(INDEX(ConformanceSubstrates!C2:C999, MATCH(C69,ConformanceSubstrates!A2:A999, 0)), "")</f>
        <v>Excel</v>
      </c>
      <c r="M69" s="2" t="s">
        <v>1902</v>
      </c>
    </row>
    <row r="70">
      <c r="A70" s="2" t="s">
        <v>14659</v>
      </c>
      <c r="B70" s="3" t="str">
        <f>_xlfn.CONCAT(C70, " / ", D70)</f>
        <v>effortless-xlsx / KnowledgeFragments.EvidenceExpiryDays</v>
      </c>
      <c r="C70" s="2" t="s">
        <v>13987</v>
      </c>
      <c r="D70" s="2" t="s">
        <v>3204</v>
      </c>
      <c r="E70" s="2" t="s">
        <v>14122</v>
      </c>
      <c r="F70" s="2" t="s">
        <v>2389</v>
      </c>
      <c r="G70" s="2">
        <v>1</v>
      </c>
      <c r="H70" s="2" t="s">
        <v>14591</v>
      </c>
      <c r="I70" s="3">
        <f>COUNTIFS(CellDisagreements!C2:C999, A70)</f>
        <v>1</v>
      </c>
      <c r="J70" s="3" t="b">
        <f>I70 = G70</f>
        <v>1</v>
      </c>
      <c r="K70" s="3" t="str">
        <f>_xlfn.IFNA(INDEX(RulebookFields!G2:G999, MATCH(D70,RulebookFields!A2:A999, 0)), "")</f>
        <v>=IF({{IsFromSingleWitness}}, 180, 365)</v>
      </c>
      <c r="L70" s="3" t="str">
        <f>_xlfn.IFNA(INDEX(ConformanceSubstrates!C2:C999, MATCH(C70,ConformanceSubstrates!A2:A999, 0)), "")</f>
        <v>Excel</v>
      </c>
      <c r="M70" s="2" t="s">
        <v>1902</v>
      </c>
    </row>
    <row r="71">
      <c r="A71" s="2" t="s">
        <v>14660</v>
      </c>
      <c r="B71" s="3" t="str">
        <f>_xlfn.CONCAT(C71, " / ", D71)</f>
        <v>effortless-xlsx / KnowledgeFragments.EvidenceHasExpired</v>
      </c>
      <c r="C71" s="2" t="s">
        <v>13987</v>
      </c>
      <c r="D71" s="2" t="s">
        <v>3206</v>
      </c>
      <c r="E71" s="2" t="s">
        <v>14122</v>
      </c>
      <c r="F71" s="2" t="s">
        <v>2389</v>
      </c>
      <c r="G71" s="2">
        <v>1</v>
      </c>
      <c r="H71" s="2" t="s">
        <v>14591</v>
      </c>
      <c r="I71" s="3">
        <f>COUNTIFS(CellDisagreements!C2:C999, A71)</f>
        <v>1</v>
      </c>
      <c r="J71" s="3" t="b">
        <f>I71 = G71</f>
        <v>1</v>
      </c>
      <c r="K71" s="3" t="str">
        <f>_xlfn.IFNA(INDEX(RulebookFields!G2:G999, MATCH(D71,RulebookFields!A2:A999, 0)), "")</f>
        <v>=AND({{HasRecordedElicitation}}, {{EvidenceAgeDays}} &gt; {{EvidenceExpiryDays}})</v>
      </c>
      <c r="L71" s="3" t="str">
        <f>_xlfn.IFNA(INDEX(ConformanceSubstrates!C2:C999, MATCH(C71,ConformanceSubstrates!A2:A999, 0)), "")</f>
        <v>Excel</v>
      </c>
      <c r="M71" s="2" t="s">
        <v>1902</v>
      </c>
    </row>
    <row r="72">
      <c r="A72" s="2" t="s">
        <v>14661</v>
      </c>
      <c r="B72" s="3" t="str">
        <f>_xlfn.CONCAT(C72, " / ", D72)</f>
        <v>effortless-xlsx / KnowledgeFragments.FragilitySignalCount</v>
      </c>
      <c r="C72" s="2" t="s">
        <v>13987</v>
      </c>
      <c r="D72" s="2" t="s">
        <v>3246</v>
      </c>
      <c r="E72" s="2" t="s">
        <v>14122</v>
      </c>
      <c r="F72" s="2" t="s">
        <v>2389</v>
      </c>
      <c r="G72" s="2">
        <v>1</v>
      </c>
      <c r="H72" s="2" t="s">
        <v>14591</v>
      </c>
      <c r="I72" s="3">
        <f>COUNTIFS(CellDisagreements!C2:C999, A72)</f>
        <v>1</v>
      </c>
      <c r="J72" s="3" t="b">
        <f>I72 = G72</f>
        <v>1</v>
      </c>
      <c r="K72" s="3" t="str">
        <f>_xlfn.IFNA(INDEX(RulebookFields!G2:G999, MATCH(D72,RulebookFields!A2:A999, 0)), "")</f>
        <v>=IF({{IsFromSingleWitness}}, 1, 0) + IF({{IsOverdueForReview}}, 1, 0) + IF({{IsLowConfidence}}, 1, 0) + IF({{HasOperationalReliance}}, 1, 0)</v>
      </c>
      <c r="L72" s="3" t="str">
        <f>_xlfn.IFNA(INDEX(ConformanceSubstrates!C2:C999, MATCH(C72,ConformanceSubstrates!A2:A999, 0)), "")</f>
        <v>Excel</v>
      </c>
      <c r="M72" s="2" t="s">
        <v>1902</v>
      </c>
    </row>
    <row r="73">
      <c r="A73" s="2" t="s">
        <v>14662</v>
      </c>
      <c r="B73" s="3" t="str">
        <f>_xlfn.CONCAT(C73, " / ", D73)</f>
        <v>effortless-xlsx / KnowledgeFragments.IsCompoundFragile</v>
      </c>
      <c r="C73" s="2" t="s">
        <v>13987</v>
      </c>
      <c r="D73" s="2" t="s">
        <v>3248</v>
      </c>
      <c r="E73" s="2" t="s">
        <v>14122</v>
      </c>
      <c r="F73" s="2" t="s">
        <v>2389</v>
      </c>
      <c r="G73" s="2">
        <v>1</v>
      </c>
      <c r="H73" s="2" t="s">
        <v>14591</v>
      </c>
      <c r="I73" s="3">
        <f>COUNTIFS(CellDisagreements!C2:C999, A73)</f>
        <v>1</v>
      </c>
      <c r="J73" s="3" t="b">
        <f>I73 = G73</f>
        <v>1</v>
      </c>
      <c r="K73" s="3" t="str">
        <f>_xlfn.IFNA(INDEX(RulebookFields!G2:G999, MATCH(D73,RulebookFields!A2:A999, 0)), "")</f>
        <v>={{FragilitySignalCount}} &gt;= 3</v>
      </c>
      <c r="L73" s="3" t="str">
        <f>_xlfn.IFNA(INDEX(ConformanceSubstrates!C2:C999, MATCH(C73,ConformanceSubstrates!A2:A999, 0)), "")</f>
        <v>Excel</v>
      </c>
      <c r="M73" s="2" t="s">
        <v>1902</v>
      </c>
    </row>
    <row r="74">
      <c r="A74" s="2" t="s">
        <v>14663</v>
      </c>
      <c r="B74" s="3" t="str">
        <f>_xlfn.CONCAT(C74, " / ", D74)</f>
        <v>effortless-xlsx / KnowledgeFragments.CompoundFragileVersionKey</v>
      </c>
      <c r="C74" s="2" t="s">
        <v>13987</v>
      </c>
      <c r="D74" s="2" t="s">
        <v>3254</v>
      </c>
      <c r="E74" s="2" t="s">
        <v>14122</v>
      </c>
      <c r="F74" s="2" t="s">
        <v>2389</v>
      </c>
      <c r="G74" s="2">
        <v>1</v>
      </c>
      <c r="H74" s="2" t="s">
        <v>14591</v>
      </c>
      <c r="I74" s="3">
        <f>COUNTIFS(CellDisagreements!C2:C999, A74)</f>
        <v>1</v>
      </c>
      <c r="J74" s="3" t="b">
        <f>I74 = G74</f>
        <v>1</v>
      </c>
      <c r="K74" s="3" t="str">
        <f>_xlfn.IFNA(INDEX(RulebookFields!G2:G999, MATCH(D74,RulebookFields!A2:A999, 0)), "")</f>
        <v>=IF({{IsCompoundFragile}}, {{ProcedureVersion}}, "")</v>
      </c>
      <c r="L74" s="3" t="str">
        <f>_xlfn.IFNA(INDEX(ConformanceSubstrates!C2:C999, MATCH(C74,ConformanceSubstrates!A2:A999, 0)), "")</f>
        <v>Excel</v>
      </c>
      <c r="M74" s="2" t="s">
        <v>1902</v>
      </c>
    </row>
    <row r="75">
      <c r="A75" s="2" t="s">
        <v>14664</v>
      </c>
      <c r="B75" s="3" t="str">
        <f>_xlfn.CONCAT(C75, " / ", D75)</f>
        <v>effortless-xlsx / KnowledgeFragments.EvidenceAgeDays</v>
      </c>
      <c r="C75" s="2" t="s">
        <v>13987</v>
      </c>
      <c r="D75" s="2" t="s">
        <v>3198</v>
      </c>
      <c r="E75" s="2" t="s">
        <v>14122</v>
      </c>
      <c r="F75" s="2" t="s">
        <v>2478</v>
      </c>
      <c r="G75" s="2">
        <v>3</v>
      </c>
      <c r="H75" s="2" t="s">
        <v>14591</v>
      </c>
      <c r="I75" s="3">
        <f>COUNTIFS(CellDisagreements!C2:C999, A75)</f>
        <v>3</v>
      </c>
      <c r="J75" s="3" t="b">
        <f>I75 = G75</f>
        <v>1</v>
      </c>
      <c r="K75" s="3" t="str">
        <f>_xlfn.IFNA(INDEX(RulebookFields!G2:G999, MATCH(D75,RulebookFields!A2:A999, 0)), "")</f>
        <v>=INDEX(ElicitationSessions!{{DaysSinceElicited}}, MATCH({{ElicitationSession}}, ElicitationSessions!{{ElicitationSessionId}}, 0))</v>
      </c>
      <c r="L75" s="3" t="str">
        <f>_xlfn.IFNA(INDEX(ConformanceSubstrates!C2:C999, MATCH(C75,ConformanceSubstrates!A2:A999, 0)), "")</f>
        <v>Excel</v>
      </c>
      <c r="M75" s="2" t="s">
        <v>1902</v>
      </c>
    </row>
    <row r="76">
      <c r="A76" s="2" t="s">
        <v>14665</v>
      </c>
      <c r="B76" s="3" t="str">
        <f>_xlfn.CONCAT(C76, " / ", D76)</f>
        <v>effortless-xlsx / KnowledgeFragments.AgeDays</v>
      </c>
      <c r="C76" s="2" t="s">
        <v>13987</v>
      </c>
      <c r="D76" s="2" t="s">
        <v>3222</v>
      </c>
      <c r="E76" s="2" t="s">
        <v>14122</v>
      </c>
      <c r="F76" s="2" t="s">
        <v>2389</v>
      </c>
      <c r="G76" s="2">
        <v>3</v>
      </c>
      <c r="H76" s="2" t="s">
        <v>14591</v>
      </c>
      <c r="I76" s="3">
        <f>COUNTIFS(CellDisagreements!C2:C999, A76)</f>
        <v>3</v>
      </c>
      <c r="J76" s="3" t="b">
        <f>I76 = G76</f>
        <v>1</v>
      </c>
      <c r="K76" s="3" t="str">
        <f>_xlfn.IFNA(INDEX(RulebookFields!G2:G999, MATCH(D76,RulebookFields!A2:A999, 0)), "")</f>
        <v>=DATETIME_DIFF({{AsOfInstant}}, {{ValidFrom}}, "days")</v>
      </c>
      <c r="L76" s="3" t="str">
        <f>_xlfn.IFNA(INDEX(ConformanceSubstrates!C2:C999, MATCH(C76,ConformanceSubstrates!A2:A999, 0)), "")</f>
        <v>Excel</v>
      </c>
      <c r="M76" s="2" t="s">
        <v>1902</v>
      </c>
    </row>
    <row r="77">
      <c r="A77" s="2" t="s">
        <v>14666</v>
      </c>
      <c r="B77" s="3" t="str">
        <f>_xlfn.CONCAT(C77, " / ", D77)</f>
        <v>effortless-xlsx / KnowledgeFragments.DaysAwaitingMyApproval</v>
      </c>
      <c r="C77" s="2" t="s">
        <v>13987</v>
      </c>
      <c r="D77" s="2" t="s">
        <v>3286</v>
      </c>
      <c r="E77" s="2" t="s">
        <v>14122</v>
      </c>
      <c r="F77" s="2" t="s">
        <v>2389</v>
      </c>
      <c r="G77" s="2">
        <v>1</v>
      </c>
      <c r="H77" s="2" t="s">
        <v>14591</v>
      </c>
      <c r="I77" s="3">
        <f>COUNTIFS(CellDisagreements!C2:C999, A77)</f>
        <v>1</v>
      </c>
      <c r="J77" s="3" t="b">
        <f>I77 = G77</f>
        <v>1</v>
      </c>
      <c r="K77" s="3" t="str">
        <f>_xlfn.IFNA(INDEX(RulebookFields!G2:G999, MATCH(D77,RulebookFields!A2:A999, 0)), "")</f>
        <v>=IF({{IsMyUnfinishedApproval}}, DATETIME_DIFF({{AsOfInstant}}, {{ValidFrom}}, "days"), 0)</v>
      </c>
      <c r="L77" s="3" t="str">
        <f>_xlfn.IFNA(INDEX(ConformanceSubstrates!C2:C999, MATCH(C77,ConformanceSubstrates!A2:A999, 0)), "")</f>
        <v>Excel</v>
      </c>
      <c r="M77" s="2" t="s">
        <v>1902</v>
      </c>
    </row>
    <row r="78">
      <c r="A78" s="2" t="s">
        <v>14667</v>
      </c>
      <c r="B78" s="3" t="str">
        <f>_xlfn.CONCAT(C78, " / ", D78)</f>
        <v>effortless-xlsx / KnowledgeGaps.AsOfInstant</v>
      </c>
      <c r="C78" s="2" t="s">
        <v>13987</v>
      </c>
      <c r="D78" s="2" t="s">
        <v>3323</v>
      </c>
      <c r="E78" s="2" t="s">
        <v>14123</v>
      </c>
      <c r="F78" s="2" t="s">
        <v>2478</v>
      </c>
      <c r="G78" s="2">
        <v>8</v>
      </c>
      <c r="H78" s="2" t="s">
        <v>14591</v>
      </c>
      <c r="I78" s="3">
        <f>COUNTIFS(CellDisagreements!C2:C999, A78)</f>
        <v>8</v>
      </c>
      <c r="J78" s="3" t="b">
        <f>I78 = G78</f>
        <v>1</v>
      </c>
      <c r="K78" s="3" t="str">
        <f>_xlfn.IFNA(INDEX(RulebookFields!G2:G999, MATCH(D78,RulebookFields!A2:A999, 0)), "")</f>
        <v>=INDEX(EvaluationContexts!{{AsOfInstant}}, MATCH({{EvaluationContext}}, EvaluationContexts!{{EvaluationContextId}}, 0))</v>
      </c>
      <c r="L78" s="3" t="str">
        <f>_xlfn.IFNA(INDEX(ConformanceSubstrates!C2:C999, MATCH(C78,ConformanceSubstrates!A2:A999, 0)), "")</f>
        <v>Excel</v>
      </c>
      <c r="M78" s="2" t="s">
        <v>1902</v>
      </c>
    </row>
    <row r="79">
      <c r="A79" s="2" t="s">
        <v>14668</v>
      </c>
      <c r="B79" s="3" t="str">
        <f>_xlfn.CONCAT(C79, " / ", D79)</f>
        <v>effortless-xlsx / KnowledgeGaps.DaysOpen</v>
      </c>
      <c r="C79" s="2" t="s">
        <v>13987</v>
      </c>
      <c r="D79" s="2" t="s">
        <v>3324</v>
      </c>
      <c r="E79" s="2" t="s">
        <v>14123</v>
      </c>
      <c r="F79" s="2" t="s">
        <v>2389</v>
      </c>
      <c r="G79" s="2">
        <v>1</v>
      </c>
      <c r="H79" s="2" t="s">
        <v>14591</v>
      </c>
      <c r="I79" s="3">
        <f>COUNTIFS(CellDisagreements!C2:C999, A79)</f>
        <v>1</v>
      </c>
      <c r="J79" s="3" t="b">
        <f>I79 = G79</f>
        <v>1</v>
      </c>
      <c r="K79" s="3" t="str">
        <f>_xlfn.IFNA(INDEX(RulebookFields!G2:G999, MATCH(D79,RulebookFields!A2:A999, 0)), "")</f>
        <v>=IF({{IsOpen}}, DATETIME_DIFF({{AsOfInstant}}, {{IdentifiedAt}}, "days"), 0)</v>
      </c>
      <c r="L79" s="3" t="str">
        <f>_xlfn.IFNA(INDEX(ConformanceSubstrates!C2:C999, MATCH(C79,ConformanceSubstrates!A2:A999, 0)), "")</f>
        <v>Excel</v>
      </c>
      <c r="M79" s="2" t="s">
        <v>1902</v>
      </c>
    </row>
    <row r="80">
      <c r="A80" s="2" t="s">
        <v>14669</v>
      </c>
      <c r="B80" s="3" t="str">
        <f>_xlfn.CONCAT(C80, " / ", D80)</f>
        <v>effortless-xlsx / FAQs.Name</v>
      </c>
      <c r="C80" s="2" t="s">
        <v>13987</v>
      </c>
      <c r="D80" s="2" t="s">
        <v>3344</v>
      </c>
      <c r="E80" s="2" t="s">
        <v>14124</v>
      </c>
      <c r="F80" s="2" t="s">
        <v>2389</v>
      </c>
      <c r="G80" s="2">
        <v>3</v>
      </c>
      <c r="H80" s="2" t="s">
        <v>14670</v>
      </c>
      <c r="I80" s="3">
        <f>COUNTIFS(CellDisagreements!C2:C999, A80)</f>
        <v>3</v>
      </c>
      <c r="J80" s="3" t="b">
        <f>I80 = G80</f>
        <v>1</v>
      </c>
      <c r="K80" s="3" t="str">
        <f>_xlfn.IFNA(INDEX(RulebookFields!G2:G999, MATCH(D80,RulebookFields!A2:A999, 0)), "")</f>
        <v>={{Question}}</v>
      </c>
      <c r="L80" s="3" t="str">
        <f>_xlfn.IFNA(INDEX(ConformanceSubstrates!C2:C999, MATCH(C80,ConformanceSubstrates!A2:A999, 0)), "")</f>
        <v>Excel</v>
      </c>
      <c r="M80" s="2" t="s">
        <v>1902</v>
      </c>
    </row>
    <row r="81">
      <c r="A81" s="2" t="s">
        <v>14671</v>
      </c>
      <c r="B81" s="3" t="str">
        <f>_xlfn.CONCAT(C81, " / ", D81)</f>
        <v>effortless-xlsx / ProcedureExecutions.LateStepCount</v>
      </c>
      <c r="C81" s="2" t="s">
        <v>13987</v>
      </c>
      <c r="D81" s="2" t="s">
        <v>3376</v>
      </c>
      <c r="E81" s="2" t="s">
        <v>14126</v>
      </c>
      <c r="F81" s="2" t="s">
        <v>2438</v>
      </c>
      <c r="G81" s="2">
        <v>2</v>
      </c>
      <c r="H81" s="2" t="s">
        <v>14591</v>
      </c>
      <c r="I81" s="3">
        <f>COUNTIFS(CellDisagreements!C2:C999, A81)</f>
        <v>2</v>
      </c>
      <c r="J81" s="3" t="b">
        <f>I81 = G81</f>
        <v>1</v>
      </c>
      <c r="K81" s="3" t="str">
        <f>_xlfn.IFNA(INDEX(RulebookFields!G2:G999, MATCH(D81,RulebookFields!A2:A999, 0)), "")</f>
        <v>=COUNTIFS(StepExecutions!{{LateExecutionKey}}, {{ProcedureExecutionId}})</v>
      </c>
      <c r="L81" s="3" t="str">
        <f>_xlfn.IFNA(INDEX(ConformanceSubstrates!C2:C999, MATCH(C81,ConformanceSubstrates!A2:A999, 0)), "")</f>
        <v>Excel</v>
      </c>
      <c r="M81" s="2" t="s">
        <v>1902</v>
      </c>
    </row>
    <row r="82">
      <c r="A82" s="2" t="s">
        <v>14672</v>
      </c>
      <c r="B82" s="3" t="str">
        <f>_xlfn.CONCAT(C82, " / ", D82)</f>
        <v>effortless-xlsx / ProcedureExecutions.UncleanStepCount</v>
      </c>
      <c r="C82" s="2" t="s">
        <v>13987</v>
      </c>
      <c r="D82" s="2" t="s">
        <v>3420</v>
      </c>
      <c r="E82" s="2" t="s">
        <v>14126</v>
      </c>
      <c r="F82" s="2" t="s">
        <v>2438</v>
      </c>
      <c r="G82" s="2">
        <v>2</v>
      </c>
      <c r="H82" s="2" t="s">
        <v>14591</v>
      </c>
      <c r="I82" s="3">
        <f>COUNTIFS(CellDisagreements!C2:C999, A82)</f>
        <v>2</v>
      </c>
      <c r="J82" s="3" t="b">
        <f>I82 = G82</f>
        <v>1</v>
      </c>
      <c r="K82" s="3" t="str">
        <f>_xlfn.IFNA(INDEX(RulebookFields!G2:G999, MATCH(D82,RulebookFields!A2:A999, 0)), "")</f>
        <v>=COUNTIFS(StepExecutions!{{ProcedureExecutionWhenUnclean}}, {{ProcedureExecutionId}})</v>
      </c>
      <c r="L82" s="3" t="str">
        <f>_xlfn.IFNA(INDEX(ConformanceSubstrates!C2:C999, MATCH(C82,ConformanceSubstrates!A2:A999, 0)), "")</f>
        <v>Excel</v>
      </c>
      <c r="M82" s="2" t="s">
        <v>1902</v>
      </c>
    </row>
    <row r="83">
      <c r="A83" s="2" t="s">
        <v>14673</v>
      </c>
      <c r="B83" s="3" t="str">
        <f>_xlfn.CONCAT(C83, " / ", D83)</f>
        <v>effortless-xlsx / ProcedureExecutions.RanClean</v>
      </c>
      <c r="C83" s="2" t="s">
        <v>13987</v>
      </c>
      <c r="D83" s="2" t="s">
        <v>3422</v>
      </c>
      <c r="E83" s="2" t="s">
        <v>14126</v>
      </c>
      <c r="F83" s="2" t="s">
        <v>2389</v>
      </c>
      <c r="G83" s="2">
        <v>2</v>
      </c>
      <c r="H83" s="2" t="s">
        <v>14591</v>
      </c>
      <c r="I83" s="3">
        <f>COUNTIFS(CellDisagreements!C2:C999, A83)</f>
        <v>2</v>
      </c>
      <c r="J83" s="3" t="b">
        <f>I83 = G83</f>
        <v>1</v>
      </c>
      <c r="K83" s="3" t="str">
        <f>_xlfn.IFNA(INDEX(RulebookFields!G2:G999, MATCH(D83,RulebookFields!A2:A999, 0)), "")</f>
        <v>={{UncleanStepCount}} = 0</v>
      </c>
      <c r="L83" s="3" t="str">
        <f>_xlfn.IFNA(INDEX(ConformanceSubstrates!C2:C999, MATCH(C83,ConformanceSubstrates!A2:A999, 0)), "")</f>
        <v>Excel</v>
      </c>
      <c r="M83" s="2" t="s">
        <v>1902</v>
      </c>
    </row>
    <row r="84">
      <c r="A84" s="2" t="s">
        <v>14674</v>
      </c>
      <c r="B84" s="3" t="str">
        <f>_xlfn.CONCAT(C84, " / ", D84)</f>
        <v>effortless-xlsx / ProcedureExecutions.VacuouslyCleanStepCount</v>
      </c>
      <c r="C84" s="2" t="s">
        <v>13987</v>
      </c>
      <c r="D84" s="2" t="s">
        <v>3438</v>
      </c>
      <c r="E84" s="2" t="s">
        <v>14126</v>
      </c>
      <c r="F84" s="2" t="s">
        <v>2438</v>
      </c>
      <c r="G84" s="2">
        <v>2</v>
      </c>
      <c r="H84" s="2" t="s">
        <v>14591</v>
      </c>
      <c r="I84" s="3">
        <f>COUNTIFS(CellDisagreements!C2:C999, A84)</f>
        <v>2</v>
      </c>
      <c r="J84" s="3" t="b">
        <f>I84 = G84</f>
        <v>1</v>
      </c>
      <c r="K84" s="3" t="str">
        <f>_xlfn.IFNA(INDEX(RulebookFields!G2:G999, MATCH(D84,RulebookFields!A2:A999, 0)), "")</f>
        <v>=COUNTIFS(StepExecutions!{{VacuouslyCleanExecutionKey}}, {{ProcedureExecutionId}})</v>
      </c>
      <c r="L84" s="3" t="str">
        <f>_xlfn.IFNA(INDEX(ConformanceSubstrates!C2:C999, MATCH(C84,ConformanceSubstrates!A2:A999, 0)), "")</f>
        <v>Excel</v>
      </c>
      <c r="M84" s="2" t="s">
        <v>1902</v>
      </c>
    </row>
    <row r="85">
      <c r="A85" s="2" t="s">
        <v>14675</v>
      </c>
      <c r="B85" s="3" t="str">
        <f>_xlfn.CONCAT(C85, " / ", D85)</f>
        <v>effortless-xlsx / ProcedureExecutions.LatestAttestationInstant</v>
      </c>
      <c r="C85" s="2" t="s">
        <v>13987</v>
      </c>
      <c r="D85" s="2" t="s">
        <v>3476</v>
      </c>
      <c r="E85" s="2" t="s">
        <v>14126</v>
      </c>
      <c r="F85" s="2" t="s">
        <v>2438</v>
      </c>
      <c r="G85" s="2">
        <v>2</v>
      </c>
      <c r="H85" s="2" t="s">
        <v>14591</v>
      </c>
      <c r="I85" s="3">
        <f>COUNTIFS(CellDisagreements!C2:C999, A85)</f>
        <v>2</v>
      </c>
      <c r="J85" s="3" t="b">
        <f>I85 = G85</f>
        <v>1</v>
      </c>
      <c r="K85" s="3" t="str">
        <f>_xlfn.IFNA(INDEX(RulebookFields!G2:G999, MATCH(D85,RulebookFields!A2:A999, 0)), "")</f>
        <v>=MAXIFS(Attestations!{{SignedAt}}, Attestations!{{ProcedureExecution}}, {{ProcedureExecutionId}})</v>
      </c>
      <c r="L85" s="3" t="str">
        <f>_xlfn.IFNA(INDEX(ConformanceSubstrates!C2:C999, MATCH(C85,ConformanceSubstrates!A2:A999, 0)), "")</f>
        <v>Excel</v>
      </c>
      <c r="M85" s="2" t="s">
        <v>1902</v>
      </c>
    </row>
    <row r="86">
      <c r="A86" s="2" t="s">
        <v>14676</v>
      </c>
      <c r="B86" s="3" t="str">
        <f>_xlfn.CONCAT(C86, " / ", D86)</f>
        <v>effortless-xlsx / ProcedureExecutions.MishandledRefusalCount</v>
      </c>
      <c r="C86" s="2" t="s">
        <v>13987</v>
      </c>
      <c r="D86" s="2" t="s">
        <v>3418</v>
      </c>
      <c r="E86" s="2" t="s">
        <v>14126</v>
      </c>
      <c r="F86" s="2" t="s">
        <v>2438</v>
      </c>
      <c r="G86" s="2">
        <v>1</v>
      </c>
      <c r="H86" s="2" t="s">
        <v>14591</v>
      </c>
      <c r="I86" s="3">
        <f>COUNTIFS(CellDisagreements!C2:C999, A86)</f>
        <v>1</v>
      </c>
      <c r="J86" s="3" t="b">
        <f>I86 = G86</f>
        <v>1</v>
      </c>
      <c r="K86" s="3" t="str">
        <f>_xlfn.IFNA(INDEX(RulebookFields!G2:G999, MATCH(D86,RulebookFields!A2:A999, 0)), "")</f>
        <v>=COUNTIFS(SendIntents!{{RefusalFailureExecutionKey}}, {{ProcedureExecutionId}})</v>
      </c>
      <c r="L86" s="3" t="str">
        <f>_xlfn.IFNA(INDEX(ConformanceSubstrates!C2:C999, MATCH(C86,ConformanceSubstrates!A2:A999, 0)), "")</f>
        <v>Excel</v>
      </c>
      <c r="M86" s="2" t="s">
        <v>1902</v>
      </c>
    </row>
    <row r="87">
      <c r="A87" s="2" t="s">
        <v>14677</v>
      </c>
      <c r="B87" s="3" t="str">
        <f>_xlfn.CONCAT(C87, " / ", D87)</f>
        <v>effortless-xlsx / ProcedureExecutions.UngovernedDivergenceCount</v>
      </c>
      <c r="C87" s="2" t="s">
        <v>13987</v>
      </c>
      <c r="D87" s="2" t="s">
        <v>3452</v>
      </c>
      <c r="E87" s="2" t="s">
        <v>14126</v>
      </c>
      <c r="F87" s="2" t="s">
        <v>2438</v>
      </c>
      <c r="G87" s="2">
        <v>1</v>
      </c>
      <c r="H87" s="2" t="s">
        <v>14591</v>
      </c>
      <c r="I87" s="3">
        <f>COUNTIFS(CellDisagreements!C2:C999, A87)</f>
        <v>1</v>
      </c>
      <c r="J87" s="3" t="b">
        <f>I87 = G87</f>
        <v>1</v>
      </c>
      <c r="K87" s="3" t="str">
        <f>_xlfn.IFNA(INDEX(RulebookFields!G2:G999, MATCH(D87,RulebookFields!A2:A999, 0)), "")</f>
        <v>=COUNTIFS(StepExecutions!{{UngovernedDivergenceExecutionKey}}, {{ProcedureExecutionId}})</v>
      </c>
      <c r="L87" s="3" t="str">
        <f>_xlfn.IFNA(INDEX(ConformanceSubstrates!C2:C999, MATCH(C87,ConformanceSubstrates!A2:A999, 0)), "")</f>
        <v>Excel</v>
      </c>
      <c r="M87" s="2" t="s">
        <v>1902</v>
      </c>
    </row>
    <row r="88">
      <c r="A88" s="2" t="s">
        <v>14678</v>
      </c>
      <c r="B88" s="3" t="str">
        <f>_xlfn.CONCAT(C88, " / ", D88)</f>
        <v>effortless-xlsx / ProcedureExecutions.DivergenceWasFullyGoverned</v>
      </c>
      <c r="C88" s="2" t="s">
        <v>13987</v>
      </c>
      <c r="D88" s="2" t="s">
        <v>3454</v>
      </c>
      <c r="E88" s="2" t="s">
        <v>14126</v>
      </c>
      <c r="F88" s="2" t="s">
        <v>2389</v>
      </c>
      <c r="G88" s="2">
        <v>1</v>
      </c>
      <c r="H88" s="2" t="s">
        <v>14591</v>
      </c>
      <c r="I88" s="3">
        <f>COUNTIFS(CellDisagreements!C2:C999, A88)</f>
        <v>1</v>
      </c>
      <c r="J88" s="3" t="b">
        <f>I88 = G88</f>
        <v>1</v>
      </c>
      <c r="K88" s="3" t="str">
        <f>_xlfn.IFNA(INDEX(RulebookFields!G2:G999, MATCH(D88,RulebookFields!A2:A999, 0)), "")</f>
        <v>=AND({{DivergedFromSpecification}}, {{UngovernedDivergenceCount}} = 0)</v>
      </c>
      <c r="L88" s="3" t="str">
        <f>_xlfn.IFNA(INDEX(ConformanceSubstrates!C2:C999, MATCH(C88,ConformanceSubstrates!A2:A999, 0)), "")</f>
        <v>Excel</v>
      </c>
      <c r="M88" s="2" t="s">
        <v>1902</v>
      </c>
    </row>
    <row r="89">
      <c r="A89" s="2" t="s">
        <v>14679</v>
      </c>
      <c r="B89" s="3" t="str">
        <f>_xlfn.CONCAT(C89, " / ", D89)</f>
        <v>effortless-xlsx / StepExecutions.ActualDurationMinutes</v>
      </c>
      <c r="C89" s="2" t="s">
        <v>13987</v>
      </c>
      <c r="D89" s="2" t="s">
        <v>3518</v>
      </c>
      <c r="E89" s="2" t="s">
        <v>14127</v>
      </c>
      <c r="F89" s="2" t="s">
        <v>2389</v>
      </c>
      <c r="G89" s="2">
        <v>12</v>
      </c>
      <c r="H89" s="2" t="s">
        <v>14591</v>
      </c>
      <c r="I89" s="3">
        <f>COUNTIFS(CellDisagreements!C2:C999, A89)</f>
        <v>12</v>
      </c>
      <c r="J89" s="3" t="b">
        <f>I89 = G89</f>
        <v>1</v>
      </c>
      <c r="K89" s="3" t="str">
        <f>_xlfn.IFNA(INDEX(RulebookFields!G2:G999, MATCH(D89,RulebookFields!A2:A999, 0)), "")</f>
        <v>=IF({{EndedAt}} = "", 0, DATETIME_DIFF({{EndedAt}}, {{StartedAt}}, "minutes"))</v>
      </c>
      <c r="L89" s="3" t="str">
        <f>_xlfn.IFNA(INDEX(ConformanceSubstrates!C2:C999, MATCH(C89,ConformanceSubstrates!A2:A999, 0)), "")</f>
        <v>Excel</v>
      </c>
      <c r="M89" s="2" t="s">
        <v>1902</v>
      </c>
    </row>
    <row r="90">
      <c r="A90" s="2" t="s">
        <v>14680</v>
      </c>
      <c r="B90" s="3" t="str">
        <f>_xlfn.CONCAT(C90, " / ", D90)</f>
        <v>effortless-xlsx / StepExecutions.IsLate</v>
      </c>
      <c r="C90" s="2" t="s">
        <v>13987</v>
      </c>
      <c r="D90" s="2" t="s">
        <v>3522</v>
      </c>
      <c r="E90" s="2" t="s">
        <v>14127</v>
      </c>
      <c r="F90" s="2" t="s">
        <v>2389</v>
      </c>
      <c r="G90" s="2">
        <v>12</v>
      </c>
      <c r="H90" s="2" t="s">
        <v>14591</v>
      </c>
      <c r="I90" s="3">
        <f>COUNTIFS(CellDisagreements!C2:C999, A90)</f>
        <v>12</v>
      </c>
      <c r="J90" s="3" t="b">
        <f>I90 = G90</f>
        <v>1</v>
      </c>
      <c r="K90" s="3" t="str">
        <f>_xlfn.IFNA(INDEX(RulebookFields!G2:G999, MATCH(D90,RulebookFields!A2:A999, 0)), "")</f>
        <v>={{ActualDurationMinutes}} &gt; {{ExpectedDurationMinutes}}</v>
      </c>
      <c r="L90" s="3" t="str">
        <f>_xlfn.IFNA(INDEX(ConformanceSubstrates!C2:C999, MATCH(C90,ConformanceSubstrates!A2:A999, 0)), "")</f>
        <v>Excel</v>
      </c>
      <c r="M90" s="2" t="s">
        <v>1902</v>
      </c>
    </row>
    <row r="91">
      <c r="A91" s="2" t="s">
        <v>14681</v>
      </c>
      <c r="B91" s="3" t="str">
        <f>_xlfn.CONCAT(C91, " / ", D91)</f>
        <v>effortless-xlsx / StepExecutions.IsLateAndUnexplained</v>
      </c>
      <c r="C91" s="2" t="s">
        <v>13987</v>
      </c>
      <c r="D91" s="2" t="s">
        <v>3544</v>
      </c>
      <c r="E91" s="2" t="s">
        <v>14127</v>
      </c>
      <c r="F91" s="2" t="s">
        <v>2389</v>
      </c>
      <c r="G91" s="2">
        <v>12</v>
      </c>
      <c r="H91" s="2" t="s">
        <v>14591</v>
      </c>
      <c r="I91" s="3">
        <f>COUNTIFS(CellDisagreements!C2:C999, A91)</f>
        <v>12</v>
      </c>
      <c r="J91" s="3" t="b">
        <f>I91 = G91</f>
        <v>1</v>
      </c>
      <c r="K91" s="3" t="str">
        <f>_xlfn.IFNA(INDEX(RulebookFields!G2:G999, MATCH(D91,RulebookFields!A2:A999, 0)), "")</f>
        <v>=AND({{IsLate}}, NOT({{HasDeviationNote}}))</v>
      </c>
      <c r="L91" s="3" t="str">
        <f>_xlfn.IFNA(INDEX(ConformanceSubstrates!C2:C999, MATCH(C91,ConformanceSubstrates!A2:A999, 0)), "")</f>
        <v>Excel</v>
      </c>
      <c r="M91" s="2" t="s">
        <v>1902</v>
      </c>
    </row>
    <row r="92">
      <c r="A92" s="2" t="s">
        <v>14682</v>
      </c>
      <c r="B92" s="3" t="str">
        <f>_xlfn.CONCAT(C92, " / ", D92)</f>
        <v>effortless-xlsx / StepExecutions.HadUninvokedExceptionAvailable</v>
      </c>
      <c r="C92" s="2" t="s">
        <v>13987</v>
      </c>
      <c r="D92" s="2" t="s">
        <v>3548</v>
      </c>
      <c r="E92" s="2" t="s">
        <v>14127</v>
      </c>
      <c r="F92" s="2" t="s">
        <v>2389</v>
      </c>
      <c r="G92" s="2">
        <v>12</v>
      </c>
      <c r="H92" s="2" t="s">
        <v>14591</v>
      </c>
      <c r="I92" s="3">
        <f>COUNTIFS(CellDisagreements!C2:C999, A92)</f>
        <v>12</v>
      </c>
      <c r="J92" s="3" t="b">
        <f>I92 = G92</f>
        <v>1</v>
      </c>
      <c r="K92" s="3" t="str">
        <f>_xlfn.IFNA(INDEX(RulebookFields!G2:G999, MATCH(D92,RulebookFields!A2:A999, 0)), "")</f>
        <v>=AND({{IsLateAndUnexplained}}, {{AvailableExceptionCountForStep}} &gt; 0)</v>
      </c>
      <c r="L92" s="3" t="str">
        <f>_xlfn.IFNA(INDEX(ConformanceSubstrates!C2:C999, MATCH(C92,ConformanceSubstrates!A2:A999, 0)), "")</f>
        <v>Excel</v>
      </c>
      <c r="M92" s="2" t="s">
        <v>1902</v>
      </c>
    </row>
    <row r="93">
      <c r="A93" s="2" t="s">
        <v>14683</v>
      </c>
      <c r="B93" s="3" t="str">
        <f>_xlfn.CONCAT(C93, " / ", D93)</f>
        <v>effortless-xlsx / StepExecutions.LateExecutionKey</v>
      </c>
      <c r="C93" s="2" t="s">
        <v>13987</v>
      </c>
      <c r="D93" s="2" t="s">
        <v>3585</v>
      </c>
      <c r="E93" s="2" t="s">
        <v>14127</v>
      </c>
      <c r="F93" s="2" t="s">
        <v>2389</v>
      </c>
      <c r="G93" s="2">
        <v>12</v>
      </c>
      <c r="H93" s="2" t="s">
        <v>14591</v>
      </c>
      <c r="I93" s="3">
        <f>COUNTIFS(CellDisagreements!C2:C999, A93)</f>
        <v>12</v>
      </c>
      <c r="J93" s="3" t="b">
        <f>I93 = G93</f>
        <v>1</v>
      </c>
      <c r="K93" s="3" t="str">
        <f>_xlfn.IFNA(INDEX(RulebookFields!G2:G999, MATCH(D93,RulebookFields!A2:A999, 0)), "")</f>
        <v>=IF({{IsLate}}, {{ProcedureExecution}}, "")</v>
      </c>
      <c r="L93" s="3" t="str">
        <f>_xlfn.IFNA(INDEX(ConformanceSubstrates!C2:C999, MATCH(C93,ConformanceSubstrates!A2:A999, 0)), "")</f>
        <v>Excel</v>
      </c>
      <c r="M93" s="2" t="s">
        <v>1902</v>
      </c>
    </row>
    <row r="94">
      <c r="A94" s="2" t="s">
        <v>14684</v>
      </c>
      <c r="B94" s="3" t="str">
        <f>_xlfn.CONCAT(C94, " / ", D94)</f>
        <v>effortless-xlsx / StepExecutions.IsClean</v>
      </c>
      <c r="C94" s="2" t="s">
        <v>13987</v>
      </c>
      <c r="D94" s="2" t="s">
        <v>3631</v>
      </c>
      <c r="E94" s="2" t="s">
        <v>14127</v>
      </c>
      <c r="F94" s="2" t="s">
        <v>2389</v>
      </c>
      <c r="G94" s="2">
        <v>12</v>
      </c>
      <c r="H94" s="2" t="s">
        <v>14591</v>
      </c>
      <c r="I94" s="3">
        <f>COUNTIFS(CellDisagreements!C2:C999, A94)</f>
        <v>12</v>
      </c>
      <c r="J94" s="3" t="b">
        <f>I94 = G94</f>
        <v>1</v>
      </c>
      <c r="K94" s="3" t="str">
        <f>_xlfn.IFNA(INDEX(RulebookFields!G2:G999, MATCH(D94,RulebookFields!A2:A999, 0)), "")</f>
        <v>=AND({{VerificationResult}} = "PASS", NOT({{HasDeviation}}), {{UnresolvedIssueCount}} = 0, NOT({{IsLate}}))</v>
      </c>
      <c r="L94" s="3" t="str">
        <f>_xlfn.IFNA(INDEX(ConformanceSubstrates!C2:C999, MATCH(C94,ConformanceSubstrates!A2:A999, 0)), "")</f>
        <v>Excel</v>
      </c>
      <c r="M94" s="2" t="s">
        <v>1902</v>
      </c>
    </row>
    <row r="95">
      <c r="A95" s="2" t="s">
        <v>14685</v>
      </c>
      <c r="B95" s="3" t="str">
        <f>_xlfn.CONCAT(C95, " / ", D95)</f>
        <v>effortless-xlsx / StepExecutions.ProcedureExecutionWhenUnclean</v>
      </c>
      <c r="C95" s="2" t="s">
        <v>13987</v>
      </c>
      <c r="D95" s="2" t="s">
        <v>3633</v>
      </c>
      <c r="E95" s="2" t="s">
        <v>14127</v>
      </c>
      <c r="F95" s="2" t="s">
        <v>2389</v>
      </c>
      <c r="G95" s="2">
        <v>12</v>
      </c>
      <c r="H95" s="2" t="s">
        <v>14591</v>
      </c>
      <c r="I95" s="3">
        <f>COUNTIFS(CellDisagreements!C2:C999, A95)</f>
        <v>12</v>
      </c>
      <c r="J95" s="3" t="b">
        <f>I95 = G95</f>
        <v>1</v>
      </c>
      <c r="K95" s="3" t="str">
        <f>_xlfn.IFNA(INDEX(RulebookFields!G2:G999, MATCH(D95,RulebookFields!A2:A999, 0)), "")</f>
        <v>=IF({{IsClean}}, "", {{ProcedureExecution}})</v>
      </c>
      <c r="L95" s="3" t="str">
        <f>_xlfn.IFNA(INDEX(ConformanceSubstrates!C2:C999, MATCH(C95,ConformanceSubstrates!A2:A999, 0)), "")</f>
        <v>Excel</v>
      </c>
      <c r="M95" s="2" t="s">
        <v>1902</v>
      </c>
    </row>
    <row r="96">
      <c r="A96" s="2" t="s">
        <v>14686</v>
      </c>
      <c r="B96" s="3" t="str">
        <f>_xlfn.CONCAT(C96, " / ", D96)</f>
        <v>effortless-xlsx / StepExecutions.IsVacuouslyClean</v>
      </c>
      <c r="C96" s="2" t="s">
        <v>13987</v>
      </c>
      <c r="D96" s="2" t="s">
        <v>3681</v>
      </c>
      <c r="E96" s="2" t="s">
        <v>14127</v>
      </c>
      <c r="F96" s="2" t="s">
        <v>2389</v>
      </c>
      <c r="G96" s="2">
        <v>12</v>
      </c>
      <c r="H96" s="2" t="s">
        <v>14591</v>
      </c>
      <c r="I96" s="3">
        <f>COUNTIFS(CellDisagreements!C2:C999, A96)</f>
        <v>12</v>
      </c>
      <c r="J96" s="3" t="b">
        <f>I96 = G96</f>
        <v>1</v>
      </c>
      <c r="K96" s="3" t="str">
        <f>_xlfn.IFNA(INDEX(RulebookFields!G2:G999, MATCH(D96,RulebookFields!A2:A999, 0)), "")</f>
        <v>=AND({{IsClean}}, {{IsUncheckedByDesign}})</v>
      </c>
      <c r="L96" s="3" t="str">
        <f>_xlfn.IFNA(INDEX(ConformanceSubstrates!C2:C999, MATCH(C96,ConformanceSubstrates!A2:A999, 0)), "")</f>
        <v>Excel</v>
      </c>
      <c r="M96" s="2" t="s">
        <v>1902</v>
      </c>
    </row>
    <row r="97">
      <c r="A97" s="2" t="s">
        <v>14687</v>
      </c>
      <c r="B97" s="3" t="str">
        <f>_xlfn.CONCAT(C97, " / ", D97)</f>
        <v>effortless-xlsx / StepExecutions.IsSubstantivelyClean</v>
      </c>
      <c r="C97" s="2" t="s">
        <v>13987</v>
      </c>
      <c r="D97" s="2" t="s">
        <v>3683</v>
      </c>
      <c r="E97" s="2" t="s">
        <v>14127</v>
      </c>
      <c r="F97" s="2" t="s">
        <v>2389</v>
      </c>
      <c r="G97" s="2">
        <v>12</v>
      </c>
      <c r="H97" s="2" t="s">
        <v>14591</v>
      </c>
      <c r="I97" s="3">
        <f>COUNTIFS(CellDisagreements!C2:C999, A97)</f>
        <v>12</v>
      </c>
      <c r="J97" s="3" t="b">
        <f>I97 = G97</f>
        <v>1</v>
      </c>
      <c r="K97" s="3" t="str">
        <f>_xlfn.IFNA(INDEX(RulebookFields!G2:G999, MATCH(D97,RulebookFields!A2:A999, 0)), "")</f>
        <v>=AND({{IsClean}}, {{PerformedCheckCount}} &gt;= {{DeclaredCheckCount}}, {{DeclaredCheckCount}} &gt; 0)</v>
      </c>
      <c r="L97" s="3" t="str">
        <f>_xlfn.IFNA(INDEX(ConformanceSubstrates!C2:C999, MATCH(C97,ConformanceSubstrates!A2:A999, 0)), "")</f>
        <v>Excel</v>
      </c>
      <c r="M97" s="2" t="s">
        <v>1902</v>
      </c>
    </row>
    <row r="98">
      <c r="A98" s="2" t="s">
        <v>14688</v>
      </c>
      <c r="B98" s="3" t="str">
        <f>_xlfn.CONCAT(C98, " / ", D98)</f>
        <v>effortless-xlsx / StepExecutions.VacuouslyCleanExecutionKey</v>
      </c>
      <c r="C98" s="2" t="s">
        <v>13987</v>
      </c>
      <c r="D98" s="2" t="s">
        <v>3685</v>
      </c>
      <c r="E98" s="2" t="s">
        <v>14127</v>
      </c>
      <c r="F98" s="2" t="s">
        <v>2389</v>
      </c>
      <c r="G98" s="2">
        <v>12</v>
      </c>
      <c r="H98" s="2" t="s">
        <v>14591</v>
      </c>
      <c r="I98" s="3">
        <f>COUNTIFS(CellDisagreements!C2:C999, A98)</f>
        <v>12</v>
      </c>
      <c r="J98" s="3" t="b">
        <f>I98 = G98</f>
        <v>1</v>
      </c>
      <c r="K98" s="3" t="str">
        <f>_xlfn.IFNA(INDEX(RulebookFields!G2:G999, MATCH(D98,RulebookFields!A2:A999, 0)), "")</f>
        <v>=IF({{IsVacuouslyClean}}, {{ProcedureExecution}}, "")</v>
      </c>
      <c r="L98" s="3" t="str">
        <f>_xlfn.IFNA(INDEX(ConformanceSubstrates!C2:C999, MATCH(C98,ConformanceSubstrates!A2:A999, 0)), "")</f>
        <v>Excel</v>
      </c>
      <c r="M98" s="2" t="s">
        <v>1902</v>
      </c>
    </row>
    <row r="99">
      <c r="A99" s="2" t="s">
        <v>14689</v>
      </c>
      <c r="B99" s="3" t="str">
        <f>_xlfn.CONCAT(C99, " / ", D99)</f>
        <v>effortless-xlsx / StepExecutions.IsUngovernedDivergence</v>
      </c>
      <c r="C99" s="2" t="s">
        <v>13987</v>
      </c>
      <c r="D99" s="2" t="s">
        <v>3700</v>
      </c>
      <c r="E99" s="2" t="s">
        <v>14127</v>
      </c>
      <c r="F99" s="2" t="s">
        <v>2389</v>
      </c>
      <c r="G99" s="2">
        <v>12</v>
      </c>
      <c r="H99" s="2" t="s">
        <v>14591</v>
      </c>
      <c r="I99" s="3">
        <f>COUNTIFS(CellDisagreements!C2:C999, A99)</f>
        <v>12</v>
      </c>
      <c r="J99" s="3" t="b">
        <f>I99 = G99</f>
        <v>1</v>
      </c>
      <c r="K99" s="3" t="str">
        <f>_xlfn.IFNA(INDEX(RulebookFields!G2:G999, MATCH(D99,RulebookFields!A2:A999, 0)), "")</f>
        <v>=AND(OR({{HasDeviation}}, {{IsLate}}, {{ProceededPastBlockingControl}}), NOT({{HasGoverningInstrument}}))</v>
      </c>
      <c r="L99" s="3" t="str">
        <f>_xlfn.IFNA(INDEX(ConformanceSubstrates!C2:C999, MATCH(C99,ConformanceSubstrates!A2:A999, 0)), "")</f>
        <v>Excel</v>
      </c>
      <c r="M99" s="2" t="s">
        <v>1902</v>
      </c>
    </row>
    <row r="100">
      <c r="A100" s="2" t="s">
        <v>14690</v>
      </c>
      <c r="B100" s="3" t="str">
        <f>_xlfn.CONCAT(C100, " / ", D100)</f>
        <v>effortless-xlsx / StepExecutions.UngovernedDivergenceExecutionKey</v>
      </c>
      <c r="C100" s="2" t="s">
        <v>13987</v>
      </c>
      <c r="D100" s="2" t="s">
        <v>3702</v>
      </c>
      <c r="E100" s="2" t="s">
        <v>14127</v>
      </c>
      <c r="F100" s="2" t="s">
        <v>2389</v>
      </c>
      <c r="G100" s="2">
        <v>12</v>
      </c>
      <c r="H100" s="2" t="s">
        <v>14591</v>
      </c>
      <c r="I100" s="3">
        <f>COUNTIFS(CellDisagreements!C2:C999, A100)</f>
        <v>12</v>
      </c>
      <c r="J100" s="3" t="b">
        <f>I100 = G100</f>
        <v>1</v>
      </c>
      <c r="K100" s="3" t="str">
        <f>_xlfn.IFNA(INDEX(RulebookFields!G2:G999, MATCH(D100,RulebookFields!A2:A999, 0)), "")</f>
        <v>=IF({{IsUngovernedDivergence}}, {{ProcedureExecution}}, "")</v>
      </c>
      <c r="L100" s="3" t="str">
        <f>_xlfn.IFNA(INDEX(ConformanceSubstrates!C2:C999, MATCH(C100,ConformanceSubstrates!A2:A999, 0)), "")</f>
        <v>Excel</v>
      </c>
      <c r="M100" s="2" t="s">
        <v>1902</v>
      </c>
    </row>
    <row r="101">
      <c r="A101" s="2" t="s">
        <v>14691</v>
      </c>
      <c r="B101" s="3" t="str">
        <f>_xlfn.CONCAT(C101, " / ", D101)</f>
        <v>effortless-xlsx / StepExecutions.StaleAuthoritativeSourceCount</v>
      </c>
      <c r="C101" s="2" t="s">
        <v>13987</v>
      </c>
      <c r="D101" s="2" t="s">
        <v>3538</v>
      </c>
      <c r="E101" s="2" t="s">
        <v>14127</v>
      </c>
      <c r="F101" s="2" t="s">
        <v>2478</v>
      </c>
      <c r="G101" s="2">
        <v>2</v>
      </c>
      <c r="H101" s="2" t="s">
        <v>14591</v>
      </c>
      <c r="I101" s="3">
        <f>COUNTIFS(CellDisagreements!C2:C999, A101)</f>
        <v>2</v>
      </c>
      <c r="J101" s="3" t="b">
        <f>I101 = G101</f>
        <v>1</v>
      </c>
      <c r="K101" s="3" t="str">
        <f>_xlfn.IFNA(INDEX(RulebookFields!G2:G999, MATCH(D101,RulebookFields!A2:A999, 0)), "")</f>
        <v>=INDEX(Steps!{{AuthoritativeStaleCount}}, MATCH({{Step}}, Steps!{{StepId}}, 0))</v>
      </c>
      <c r="L101" s="3" t="str">
        <f>_xlfn.IFNA(INDEX(ConformanceSubstrates!C2:C999, MATCH(C101,ConformanceSubstrates!A2:A999, 0)), "")</f>
        <v>Excel</v>
      </c>
      <c r="M101" s="2" t="s">
        <v>1902</v>
      </c>
    </row>
    <row r="102">
      <c r="A102" s="2" t="s">
        <v>14692</v>
      </c>
      <c r="B102" s="3" t="str">
        <f>_xlfn.CONCAT(C102, " / ", D102)</f>
        <v>effortless-xlsx / StepExecutions.RanOnStaleAuthoritativeSource</v>
      </c>
      <c r="C102" s="2" t="s">
        <v>13987</v>
      </c>
      <c r="D102" s="2" t="s">
        <v>3540</v>
      </c>
      <c r="E102" s="2" t="s">
        <v>14127</v>
      </c>
      <c r="F102" s="2" t="s">
        <v>2389</v>
      </c>
      <c r="G102" s="2">
        <v>2</v>
      </c>
      <c r="H102" s="2" t="s">
        <v>14591</v>
      </c>
      <c r="I102" s="3">
        <f>COUNTIFS(CellDisagreements!C2:C999, A102)</f>
        <v>2</v>
      </c>
      <c r="J102" s="3" t="b">
        <f>I102 = G102</f>
        <v>1</v>
      </c>
      <c r="K102" s="3" t="str">
        <f>_xlfn.IFNA(INDEX(RulebookFields!G2:G999, MATCH(D102,RulebookFields!A2:A999, 0)), "")</f>
        <v>={{StaleAuthoritativeSourceCount}} &gt; 0</v>
      </c>
      <c r="L102" s="3" t="str">
        <f>_xlfn.IFNA(INDEX(ConformanceSubstrates!C2:C999, MATCH(C102,ConformanceSubstrates!A2:A999, 0)), "")</f>
        <v>Excel</v>
      </c>
      <c r="M102" s="2" t="s">
        <v>1902</v>
      </c>
    </row>
    <row r="103">
      <c r="A103" s="2" t="s">
        <v>14693</v>
      </c>
      <c r="B103" s="3" t="str">
        <f>_xlfn.CONCAT(C103, " / ", D103)</f>
        <v>effortless-xlsx / StepExecutions.InputsWereFreshAtRun</v>
      </c>
      <c r="C103" s="2" t="s">
        <v>13987</v>
      </c>
      <c r="D103" s="2" t="s">
        <v>3624</v>
      </c>
      <c r="E103" s="2" t="s">
        <v>14127</v>
      </c>
      <c r="F103" s="2" t="s">
        <v>2478</v>
      </c>
      <c r="G103" s="2">
        <v>2</v>
      </c>
      <c r="H103" s="2" t="s">
        <v>14591</v>
      </c>
      <c r="I103" s="3">
        <f>COUNTIFS(CellDisagreements!C2:C999, A103)</f>
        <v>2</v>
      </c>
      <c r="J103" s="3" t="b">
        <f>I103 = G103</f>
        <v>1</v>
      </c>
      <c r="K103" s="3" t="str">
        <f>_xlfn.IFNA(INDEX(RulebookFields!G2:G999, MATCH(D103,RulebookFields!A2:A999, 0)), "")</f>
        <v>=INDEX(Steps!{{InputsAreFresh}}, MATCH({{Step}}, Steps!{{StepId}}, 0))</v>
      </c>
      <c r="L103" s="3" t="str">
        <f>_xlfn.IFNA(INDEX(ConformanceSubstrates!C2:C999, MATCH(C103,ConformanceSubstrates!A2:A999, 0)), "")</f>
        <v>Excel</v>
      </c>
      <c r="M103" s="2" t="s">
        <v>1902</v>
      </c>
    </row>
    <row r="104">
      <c r="A104" s="2" t="s">
        <v>14694</v>
      </c>
      <c r="B104" s="3" t="str">
        <f>_xlfn.CONCAT(C104, " / ", D104)</f>
        <v>effortless-xlsx / StepExecutions.RanOnStaleInputs</v>
      </c>
      <c r="C104" s="2" t="s">
        <v>13987</v>
      </c>
      <c r="D104" s="2" t="s">
        <v>3626</v>
      </c>
      <c r="E104" s="2" t="s">
        <v>14127</v>
      </c>
      <c r="F104" s="2" t="s">
        <v>2389</v>
      </c>
      <c r="G104" s="2">
        <v>2</v>
      </c>
      <c r="H104" s="2" t="s">
        <v>14591</v>
      </c>
      <c r="I104" s="3">
        <f>COUNTIFS(CellDisagreements!C2:C999, A104)</f>
        <v>2</v>
      </c>
      <c r="J104" s="3" t="b">
        <f>I104 = G104</f>
        <v>1</v>
      </c>
      <c r="K104" s="3" t="str">
        <f>_xlfn.IFNA(INDEX(RulebookFields!G2:G999, MATCH(D104,RulebookFields!A2:A999, 0)), "")</f>
        <v>=AND({{ExecutionStatus}} = "Completed", NOT({{InputsWereFreshAtRun}}))</v>
      </c>
      <c r="L104" s="3" t="str">
        <f>_xlfn.IFNA(INDEX(ConformanceSubstrates!C2:C999, MATCH(C104,ConformanceSubstrates!A2:A999, 0)), "")</f>
        <v>Excel</v>
      </c>
      <c r="M104" s="2" t="s">
        <v>1902</v>
      </c>
    </row>
    <row r="105">
      <c r="A105" s="2" t="s">
        <v>14695</v>
      </c>
      <c r="B105" s="3" t="str">
        <f>_xlfn.CONCAT(C105, " / ", D105)</f>
        <v>effortless-xlsx / StepExecutions.DraftedFromUnusableSource</v>
      </c>
      <c r="C105" s="2" t="s">
        <v>13987</v>
      </c>
      <c r="D105" s="2" t="s">
        <v>3655</v>
      </c>
      <c r="E105" s="2" t="s">
        <v>14127</v>
      </c>
      <c r="F105" s="2" t="s">
        <v>2389</v>
      </c>
      <c r="G105" s="2">
        <v>2</v>
      </c>
      <c r="H105" s="2" t="s">
        <v>14591</v>
      </c>
      <c r="I105" s="3">
        <f>COUNTIFS(CellDisagreements!C2:C999, A105)</f>
        <v>2</v>
      </c>
      <c r="J105" s="3" t="b">
        <f>I105 = G105</f>
        <v>1</v>
      </c>
      <c r="K105" s="3" t="str">
        <f>_xlfn.IFNA(INDEX(RulebookFields!G2:G999, MATCH(D105,RulebookFields!A2:A999, 0)), "")</f>
        <v>=AND({{ExecutionStatus}} = "Completed", NOT({{InputsWereUsable}}))</v>
      </c>
      <c r="L105" s="3" t="str">
        <f>_xlfn.IFNA(INDEX(ConformanceSubstrates!C2:C999, MATCH(C105,ConformanceSubstrates!A2:A999, 0)), "")</f>
        <v>Excel</v>
      </c>
      <c r="M105" s="2" t="s">
        <v>1902</v>
      </c>
    </row>
    <row r="106">
      <c r="A106" s="2" t="s">
        <v>14696</v>
      </c>
      <c r="B106" s="3" t="str">
        <f>_xlfn.CONCAT(C106, " / ", D106)</f>
        <v>effortless-xlsx / StepExecutions.InputsWereUsable</v>
      </c>
      <c r="C106" s="2" t="s">
        <v>13987</v>
      </c>
      <c r="D106" s="2" t="s">
        <v>3657</v>
      </c>
      <c r="E106" s="2" t="s">
        <v>14127</v>
      </c>
      <c r="F106" s="2" t="s">
        <v>2478</v>
      </c>
      <c r="G106" s="2">
        <v>2</v>
      </c>
      <c r="H106" s="2" t="s">
        <v>14591</v>
      </c>
      <c r="I106" s="3">
        <f>COUNTIFS(CellDisagreements!C2:C999, A106)</f>
        <v>2</v>
      </c>
      <c r="J106" s="3" t="b">
        <f>I106 = G106</f>
        <v>1</v>
      </c>
      <c r="K106" s="3" t="str">
        <f>_xlfn.IFNA(INDEX(RulebookFields!G2:G999, MATCH(D106,RulebookFields!A2:A999, 0)), "")</f>
        <v>=INDEX(Steps!{{AllSourcesUsable}}, MATCH({{Step}}, Steps!{{StepId}}, 0))</v>
      </c>
      <c r="L106" s="3" t="str">
        <f>_xlfn.IFNA(INDEX(ConformanceSubstrates!C2:C999, MATCH(C106,ConformanceSubstrates!A2:A999, 0)), "")</f>
        <v>Excel</v>
      </c>
      <c r="M106" s="2" t="s">
        <v>1902</v>
      </c>
    </row>
    <row r="107">
      <c r="A107" s="2" t="s">
        <v>14697</v>
      </c>
      <c r="B107" s="3" t="str">
        <f>_xlfn.CONCAT(C107, " / ", D107)</f>
        <v>effortless-xlsx / StepExecutions.StalenessAnswerIsTenseDependent</v>
      </c>
      <c r="C107" s="2" t="s">
        <v>13987</v>
      </c>
      <c r="D107" s="2" t="s">
        <v>3671</v>
      </c>
      <c r="E107" s="2" t="s">
        <v>14127</v>
      </c>
      <c r="F107" s="2" t="s">
        <v>2389</v>
      </c>
      <c r="G107" s="2">
        <v>2</v>
      </c>
      <c r="H107" s="2" t="s">
        <v>14591</v>
      </c>
      <c r="I107" s="3">
        <f>COUNTIFS(CellDisagreements!C2:C999, A107)</f>
        <v>2</v>
      </c>
      <c r="J107" s="3" t="b">
        <f>I107 = G107</f>
        <v>1</v>
      </c>
      <c r="K107" s="3" t="str">
        <f>_xlfn.IFNA(INDEX(RulebookFields!G2:G999, MATCH(D107,RulebookFields!A2:A999, 0)), "")</f>
        <v>=NOT({{WasStaleWhenIRanIt}} = {{RanOnStaleAuthoritativeSource}})</v>
      </c>
      <c r="L107" s="3" t="str">
        <f>_xlfn.IFNA(INDEX(ConformanceSubstrates!C2:C999, MATCH(C107,ConformanceSubstrates!A2:A999, 0)), "")</f>
        <v>Excel</v>
      </c>
      <c r="M107" s="2" t="s">
        <v>1902</v>
      </c>
    </row>
    <row r="108">
      <c r="A108" s="2" t="s">
        <v>14698</v>
      </c>
      <c r="B108" s="3" t="str">
        <f>_xlfn.CONCAT(C108, " / ", D108)</f>
        <v>effortless-xlsx / RequirementSatisfactions.WasScoredAfterAttestation</v>
      </c>
      <c r="C108" s="2" t="s">
        <v>13987</v>
      </c>
      <c r="D108" s="2" t="s">
        <v>3780</v>
      </c>
      <c r="E108" s="2" t="s">
        <v>14128</v>
      </c>
      <c r="F108" s="2" t="s">
        <v>2389</v>
      </c>
      <c r="G108" s="2">
        <v>8</v>
      </c>
      <c r="H108" s="2" t="s">
        <v>14591</v>
      </c>
      <c r="I108" s="3">
        <f>COUNTIFS(CellDisagreements!C2:C999, A108)</f>
        <v>8</v>
      </c>
      <c r="J108" s="3" t="b">
        <f>I108 = G108</f>
        <v>1</v>
      </c>
      <c r="K108" s="3" t="str">
        <f>_xlfn.IFNA(INDEX(RulebookFields!G2:G999, MATCH(D108,RulebookFields!A2:A999, 0)), "")</f>
        <v>=DATETIME_DIFF({{EvaluatedAt}}, {{AttestationInstantForRun}}, "minutes") &gt; 0</v>
      </c>
      <c r="L108" s="3" t="str">
        <f>_xlfn.IFNA(INDEX(ConformanceSubstrates!C2:C999, MATCH(C108,ConformanceSubstrates!A2:A999, 0)), "")</f>
        <v>Excel</v>
      </c>
      <c r="M108" s="2" t="s">
        <v>1902</v>
      </c>
    </row>
    <row r="109">
      <c r="A109" s="2" t="s">
        <v>14699</v>
      </c>
      <c r="B109" s="3" t="str">
        <f>_xlfn.CONCAT(C109, " / ", D109)</f>
        <v>effortless-xlsx / RequirementSatisfactions.AttestationInstantForRun</v>
      </c>
      <c r="C109" s="2" t="s">
        <v>13987</v>
      </c>
      <c r="D109" s="2" t="s">
        <v>3782</v>
      </c>
      <c r="E109" s="2" t="s">
        <v>14128</v>
      </c>
      <c r="F109" s="2" t="s">
        <v>2478</v>
      </c>
      <c r="G109" s="2">
        <v>8</v>
      </c>
      <c r="H109" s="2" t="s">
        <v>14591</v>
      </c>
      <c r="I109" s="3">
        <f>COUNTIFS(CellDisagreements!C2:C999, A109)</f>
        <v>8</v>
      </c>
      <c r="J109" s="3" t="b">
        <f>I109 = G109</f>
        <v>1</v>
      </c>
      <c r="K109" s="3" t="str">
        <f>_xlfn.IFNA(INDEX(RulebookFields!G2:G999, MATCH(D109,RulebookFields!A2:A999, 0)), "")</f>
        <v>=INDEX(ProcedureExecutions!{{LatestAttestationInstant}}, MATCH({{ParentProcedureExecution}}, ProcedureExecutions!{{ProcedureExecutionId}}, 0))</v>
      </c>
      <c r="L109" s="3" t="str">
        <f>_xlfn.IFNA(INDEX(ConformanceSubstrates!C2:C999, MATCH(C109,ConformanceSubstrates!A2:A999, 0)), "")</f>
        <v>Excel</v>
      </c>
      <c r="M109" s="2" t="s">
        <v>1902</v>
      </c>
    </row>
    <row r="110">
      <c r="A110" s="2" t="s">
        <v>14700</v>
      </c>
      <c r="B110" s="3" t="str">
        <f>_xlfn.CONCAT(C110, " / ", D110)</f>
        <v>effortless-xlsx / RequirementSatisfactions.PostAttestationScoreExecutionKey</v>
      </c>
      <c r="C110" s="2" t="s">
        <v>13987</v>
      </c>
      <c r="D110" s="2" t="s">
        <v>3784</v>
      </c>
      <c r="E110" s="2" t="s">
        <v>14128</v>
      </c>
      <c r="F110" s="2" t="s">
        <v>2389</v>
      </c>
      <c r="G110" s="2">
        <v>8</v>
      </c>
      <c r="H110" s="2" t="s">
        <v>14591</v>
      </c>
      <c r="I110" s="3">
        <f>COUNTIFS(CellDisagreements!C2:C999, A110)</f>
        <v>8</v>
      </c>
      <c r="J110" s="3" t="b">
        <f>I110 = G110</f>
        <v>1</v>
      </c>
      <c r="K110" s="3" t="str">
        <f>_xlfn.IFNA(INDEX(RulebookFields!G2:G999, MATCH(D110,RulebookFields!A2:A999, 0)), "")</f>
        <v>=IF({{WasScoredAfterAttestation}}, {{ParentProcedureExecution}}, "")</v>
      </c>
      <c r="L110" s="3" t="str">
        <f>_xlfn.IFNA(INDEX(ConformanceSubstrates!C2:C999, MATCH(C110,ConformanceSubstrates!A2:A999, 0)), "")</f>
        <v>Excel</v>
      </c>
      <c r="M110" s="2" t="s">
        <v>1902</v>
      </c>
    </row>
    <row r="111">
      <c r="A111" s="2" t="s">
        <v>14701</v>
      </c>
      <c r="B111" s="3" t="str">
        <f>_xlfn.CONCAT(C111, " / ", D111)</f>
        <v>effortless-xlsx / IssueOccurrences.Name</v>
      </c>
      <c r="C111" s="2" t="s">
        <v>13987</v>
      </c>
      <c r="D111" s="2" t="s">
        <v>3795</v>
      </c>
      <c r="E111" s="2" t="s">
        <v>14130</v>
      </c>
      <c r="F111" s="2" t="s">
        <v>2389</v>
      </c>
      <c r="G111" s="2">
        <v>2</v>
      </c>
      <c r="H111" s="2" t="s">
        <v>14591</v>
      </c>
      <c r="I111" s="3">
        <f>COUNTIFS(CellDisagreements!C2:C999, A111)</f>
        <v>2</v>
      </c>
      <c r="J111" s="3" t="b">
        <f>I111 = G111</f>
        <v>1</v>
      </c>
      <c r="K111" s="3" t="str">
        <f>_xlfn.IFNA(INDEX(RulebookFields!G2:G999, MATCH(D111,RulebookFields!A2:A999, 0)), "")</f>
        <v>={{Error}} &amp; " @ " &amp; {{OccurredAt}}</v>
      </c>
      <c r="L111" s="3" t="str">
        <f>_xlfn.IFNA(INDEX(ConformanceSubstrates!C2:C999, MATCH(C111,ConformanceSubstrates!A2:A999, 0)), "")</f>
        <v>Excel</v>
      </c>
      <c r="M111" s="2" t="s">
        <v>1902</v>
      </c>
    </row>
    <row r="112">
      <c r="A112" s="2" t="s">
        <v>14702</v>
      </c>
      <c r="B112" s="3" t="str">
        <f>_xlfn.CONCAT(C112, " / ", D112)</f>
        <v>effortless-xlsx / StewardshipAssignments.AsOfInstant</v>
      </c>
      <c r="C112" s="2" t="s">
        <v>13987</v>
      </c>
      <c r="D112" s="2" t="s">
        <v>3844</v>
      </c>
      <c r="E112" s="2" t="s">
        <v>14133</v>
      </c>
      <c r="F112" s="2" t="s">
        <v>2478</v>
      </c>
      <c r="G112" s="2">
        <v>2</v>
      </c>
      <c r="H112" s="2" t="s">
        <v>14591</v>
      </c>
      <c r="I112" s="3">
        <f>COUNTIFS(CellDisagreements!C2:C999, A112)</f>
        <v>2</v>
      </c>
      <c r="J112" s="3" t="b">
        <f>I112 = G112</f>
        <v>1</v>
      </c>
      <c r="K112" s="3" t="str">
        <f>_xlfn.IFNA(INDEX(RulebookFields!G2:G999, MATCH(D112,RulebookFields!A2:A999, 0)), "")</f>
        <v>=INDEX(EvaluationContexts!{{AsOfInstant}}, MATCH({{EvaluationContext}}, EvaluationContexts!{{EvaluationContextId}}, 0))</v>
      </c>
      <c r="L112" s="3" t="str">
        <f>_xlfn.IFNA(INDEX(ConformanceSubstrates!C2:C999, MATCH(C112,ConformanceSubstrates!A2:A999, 0)), "")</f>
        <v>Excel</v>
      </c>
      <c r="M112" s="2" t="s">
        <v>1902</v>
      </c>
    </row>
    <row r="113">
      <c r="A113" s="2" t="s">
        <v>14703</v>
      </c>
      <c r="B113" s="3" t="str">
        <f>_xlfn.CONCAT(C113, " / ", D113)</f>
        <v>effortless-xlsx / ChangeRequests.AsOfInstant</v>
      </c>
      <c r="C113" s="2" t="s">
        <v>13987</v>
      </c>
      <c r="D113" s="2" t="s">
        <v>3866</v>
      </c>
      <c r="E113" s="2" t="s">
        <v>14134</v>
      </c>
      <c r="F113" s="2" t="s">
        <v>2478</v>
      </c>
      <c r="G113" s="2">
        <v>2</v>
      </c>
      <c r="H113" s="2" t="s">
        <v>14591</v>
      </c>
      <c r="I113" s="3">
        <f>COUNTIFS(CellDisagreements!C2:C999, A113)</f>
        <v>2</v>
      </c>
      <c r="J113" s="3" t="b">
        <f>I113 = G113</f>
        <v>1</v>
      </c>
      <c r="K113" s="3" t="str">
        <f>_xlfn.IFNA(INDEX(RulebookFields!G2:G999, MATCH(D113,RulebookFields!A2:A999, 0)), "")</f>
        <v>=INDEX(EvaluationContexts!{{AsOfInstant}}, MATCH({{EvaluationContext}}, EvaluationContexts!{{EvaluationContextId}}, 0))</v>
      </c>
      <c r="L113" s="3" t="str">
        <f>_xlfn.IFNA(INDEX(ConformanceSubstrates!C2:C999, MATCH(C113,ConformanceSubstrates!A2:A999, 0)), "")</f>
        <v>Excel</v>
      </c>
      <c r="M113" s="2" t="s">
        <v>1902</v>
      </c>
    </row>
    <row r="114">
      <c r="A114" s="2" t="s">
        <v>14704</v>
      </c>
      <c r="B114" s="3" t="str">
        <f>_xlfn.CONCAT(C114, " / ", D114)</f>
        <v>effortless-xlsx / ChangeRequests.DaysPending</v>
      </c>
      <c r="C114" s="2" t="s">
        <v>13987</v>
      </c>
      <c r="D114" s="2" t="s">
        <v>3867</v>
      </c>
      <c r="E114" s="2" t="s">
        <v>14134</v>
      </c>
      <c r="F114" s="2" t="s">
        <v>2389</v>
      </c>
      <c r="G114" s="2">
        <v>1</v>
      </c>
      <c r="H114" s="2" t="s">
        <v>14591</v>
      </c>
      <c r="I114" s="3">
        <f>COUNTIFS(CellDisagreements!C2:C999, A114)</f>
        <v>1</v>
      </c>
      <c r="J114" s="3" t="b">
        <f>I114 = G114</f>
        <v>1</v>
      </c>
      <c r="K114" s="3" t="str">
        <f>_xlfn.IFNA(INDEX(RulebookFields!G2:G999, MATCH(D114,RulebookFields!A2:A999, 0)), "")</f>
        <v>=IF({{IsDecided}}, DATETIME_DIFF({{DecidedAt}}, {{RequestedAt}}, "days"), DATETIME_DIFF({{AsOfInstant}}, {{RequestedAt}}, "days"))</v>
      </c>
      <c r="L114" s="3" t="str">
        <f>_xlfn.IFNA(INDEX(ConformanceSubstrates!C2:C999, MATCH(C114,ConformanceSubstrates!A2:A999, 0)), "")</f>
        <v>Excel</v>
      </c>
      <c r="M114" s="2" t="s">
        <v>1902</v>
      </c>
    </row>
    <row r="115">
      <c r="A115" s="2" t="s">
        <v>14705</v>
      </c>
      <c r="B115" s="3" t="str">
        <f>_xlfn.CONCAT(C115, " / ", D115)</f>
        <v>effortless-xlsx / ChangeRequests.DecisionLatencyDays</v>
      </c>
      <c r="C115" s="2" t="s">
        <v>13987</v>
      </c>
      <c r="D115" s="2" t="s">
        <v>3901</v>
      </c>
      <c r="E115" s="2" t="s">
        <v>14134</v>
      </c>
      <c r="F115" s="2" t="s">
        <v>2389</v>
      </c>
      <c r="G115" s="2">
        <v>1</v>
      </c>
      <c r="H115" s="2" t="s">
        <v>14591</v>
      </c>
      <c r="I115" s="3">
        <f>COUNTIFS(CellDisagreements!C2:C999, A115)</f>
        <v>1</v>
      </c>
      <c r="J115" s="3" t="b">
        <f>I115 = G115</f>
        <v>1</v>
      </c>
      <c r="K115" s="3" t="str">
        <f>_xlfn.IFNA(INDEX(RulebookFields!G2:G999, MATCH(D115,RulebookFields!A2:A999, 0)), "")</f>
        <v>=IF({{IsDecided}}, DATETIME_DIFF({{DecidedAt}}, {{RequestedAt}}, "days"), 0)</v>
      </c>
      <c r="L115" s="3" t="str">
        <f>_xlfn.IFNA(INDEX(ConformanceSubstrates!C2:C999, MATCH(C115,ConformanceSubstrates!A2:A999, 0)), "")</f>
        <v>Excel</v>
      </c>
      <c r="M115" s="2" t="s">
        <v>1902</v>
      </c>
    </row>
    <row r="116">
      <c r="A116" s="2" t="s">
        <v>14706</v>
      </c>
      <c r="B116" s="3" t="str">
        <f>_xlfn.CONCAT(C116, " / ", D116)</f>
        <v>effortless-xlsx / ReviewEvents.AsOfInstant</v>
      </c>
      <c r="C116" s="2" t="s">
        <v>13987</v>
      </c>
      <c r="D116" s="2" t="s">
        <v>3933</v>
      </c>
      <c r="E116" s="2" t="s">
        <v>14135</v>
      </c>
      <c r="F116" s="2" t="s">
        <v>2478</v>
      </c>
      <c r="G116" s="2">
        <v>3</v>
      </c>
      <c r="H116" s="2" t="s">
        <v>14591</v>
      </c>
      <c r="I116" s="3">
        <f>COUNTIFS(CellDisagreements!C2:C999, A116)</f>
        <v>3</v>
      </c>
      <c r="J116" s="3" t="b">
        <f>I116 = G116</f>
        <v>1</v>
      </c>
      <c r="K116" s="3" t="str">
        <f>_xlfn.IFNA(INDEX(RulebookFields!G2:G999, MATCH(D116,RulebookFields!A2:A999, 0)), "")</f>
        <v>=INDEX(EvaluationContexts!{{AsOfInstant}}, MATCH({{EvaluationContext}}, EvaluationContexts!{{EvaluationContextId}}, 0))</v>
      </c>
      <c r="L116" s="3" t="str">
        <f>_xlfn.IFNA(INDEX(ConformanceSubstrates!C2:C999, MATCH(C116,ConformanceSubstrates!A2:A999, 0)), "")</f>
        <v>Excel</v>
      </c>
      <c r="M116" s="2" t="s">
        <v>1902</v>
      </c>
    </row>
    <row r="117">
      <c r="A117" s="2" t="s">
        <v>14707</v>
      </c>
      <c r="B117" s="3" t="str">
        <f>_xlfn.CONCAT(C117, " / ", D117)</f>
        <v>effortless-xlsx / ReviewEvents.DaysSinceReviewed</v>
      </c>
      <c r="C117" s="2" t="s">
        <v>13987</v>
      </c>
      <c r="D117" s="2" t="s">
        <v>3939</v>
      </c>
      <c r="E117" s="2" t="s">
        <v>14135</v>
      </c>
      <c r="F117" s="2" t="s">
        <v>2389</v>
      </c>
      <c r="G117" s="2">
        <v>3</v>
      </c>
      <c r="H117" s="2" t="s">
        <v>14591</v>
      </c>
      <c r="I117" s="3">
        <f>COUNTIFS(CellDisagreements!C2:C999, A117)</f>
        <v>3</v>
      </c>
      <c r="J117" s="3" t="b">
        <f>I117 = G117</f>
        <v>1</v>
      </c>
      <c r="K117" s="3" t="str">
        <f>_xlfn.IFNA(INDEX(RulebookFields!G2:G999, MATCH(D117,RulebookFields!A2:A999, 0)), "")</f>
        <v>=DATETIME_DIFF({{AsOfInstant}}, {{ReviewedAt}}, "days")</v>
      </c>
      <c r="L117" s="3" t="str">
        <f>_xlfn.IFNA(INDEX(ConformanceSubstrates!C2:C999, MATCH(C117,ConformanceSubstrates!A2:A999, 0)), "")</f>
        <v>Excel</v>
      </c>
      <c r="M117" s="2" t="s">
        <v>1902</v>
      </c>
    </row>
    <row r="118">
      <c r="A118" s="2" t="s">
        <v>14708</v>
      </c>
      <c r="B118" s="3" t="str">
        <f>_xlfn.CONCAT(C118, " / ", D118)</f>
        <v>effortless-xlsx / ReviewEvents.CadenceDriftDays</v>
      </c>
      <c r="C118" s="2" t="s">
        <v>13987</v>
      </c>
      <c r="D118" s="2" t="s">
        <v>3943</v>
      </c>
      <c r="E118" s="2" t="s">
        <v>14135</v>
      </c>
      <c r="F118" s="2" t="s">
        <v>2389</v>
      </c>
      <c r="G118" s="2">
        <v>3</v>
      </c>
      <c r="H118" s="2" t="s">
        <v>14591</v>
      </c>
      <c r="I118" s="3">
        <f>COUNTIFS(CellDisagreements!C2:C999, A118)</f>
        <v>3</v>
      </c>
      <c r="J118" s="3" t="b">
        <f>I118 = G118</f>
        <v>1</v>
      </c>
      <c r="K118" s="3" t="str">
        <f>_xlfn.IFNA(INDEX(RulebookFields!G2:G999, MATCH(D118,RulebookFields!A2:A999, 0)), "")</f>
        <v>={{DaysSinceReviewed}} - {{PromisedCadenceDays}}</v>
      </c>
      <c r="L118" s="3" t="str">
        <f>_xlfn.IFNA(INDEX(ConformanceSubstrates!C2:C999, MATCH(C118,ConformanceSubstrates!A2:A999, 0)), "")</f>
        <v>Excel</v>
      </c>
      <c r="M118" s="2" t="s">
        <v>1902</v>
      </c>
    </row>
    <row r="119">
      <c r="A119" s="2" t="s">
        <v>14709</v>
      </c>
      <c r="B119" s="3" t="str">
        <f>_xlfn.CONCAT(C119, " / ", D119)</f>
        <v>effortless-xlsx / LearningActivities.Name</v>
      </c>
      <c r="C119" s="2" t="s">
        <v>13987</v>
      </c>
      <c r="D119" s="2" t="s">
        <v>3952</v>
      </c>
      <c r="E119" s="2" t="s">
        <v>14136</v>
      </c>
      <c r="F119" s="2" t="s">
        <v>2389</v>
      </c>
      <c r="G119" s="2">
        <v>2</v>
      </c>
      <c r="H119" s="2" t="s">
        <v>14591</v>
      </c>
      <c r="I119" s="3">
        <f>COUNTIFS(CellDisagreements!C2:C999, A119)</f>
        <v>2</v>
      </c>
      <c r="J119" s="3" t="b">
        <f>I119 = G119</f>
        <v>1</v>
      </c>
      <c r="K119" s="3" t="str">
        <f>_xlfn.IFNA(INDEX(RulebookFields!G2:G999, MATCH(D119,RulebookFields!A2:A999, 0)), "")</f>
        <v>={{ActivityKind}} &amp; " / " &amp; {{OccurredAt}}</v>
      </c>
      <c r="L119" s="3" t="str">
        <f>_xlfn.IFNA(INDEX(ConformanceSubstrates!C2:C999, MATCH(C119,ConformanceSubstrates!A2:A999, 0)), "")</f>
        <v>Excel</v>
      </c>
      <c r="M119" s="2" t="s">
        <v>1902</v>
      </c>
    </row>
    <row r="120">
      <c r="A120" s="2" t="s">
        <v>14710</v>
      </c>
      <c r="B120" s="3" t="str">
        <f>_xlfn.CONCAT(C120, " / ", D120)</f>
        <v>effortless-xlsx / OperationalBindings.AsOfInstant</v>
      </c>
      <c r="C120" s="2" t="s">
        <v>13987</v>
      </c>
      <c r="D120" s="2" t="s">
        <v>3974</v>
      </c>
      <c r="E120" s="2" t="s">
        <v>14137</v>
      </c>
      <c r="F120" s="2" t="s">
        <v>2478</v>
      </c>
      <c r="G120" s="2">
        <v>5</v>
      </c>
      <c r="H120" s="2" t="s">
        <v>14591</v>
      </c>
      <c r="I120" s="3">
        <f>COUNTIFS(CellDisagreements!C2:C999, A120)</f>
        <v>5</v>
      </c>
      <c r="J120" s="3" t="b">
        <f>I120 = G120</f>
        <v>1</v>
      </c>
      <c r="K120" s="3" t="str">
        <f>_xlfn.IFNA(INDEX(RulebookFields!G2:G999, MATCH(D120,RulebookFields!A2:A999, 0)), "")</f>
        <v>=INDEX(EvaluationContexts!{{AsOfInstant}}, MATCH({{EvaluationContext}}, EvaluationContexts!{{EvaluationContextId}}, 0))</v>
      </c>
      <c r="L120" s="3" t="str">
        <f>_xlfn.IFNA(INDEX(ConformanceSubstrates!C2:C999, MATCH(C120,ConformanceSubstrates!A2:A999, 0)), "")</f>
        <v>Excel</v>
      </c>
      <c r="M120" s="2" t="s">
        <v>1902</v>
      </c>
    </row>
    <row r="121">
      <c r="A121" s="2" t="s">
        <v>14711</v>
      </c>
      <c r="B121" s="3" t="str">
        <f>_xlfn.CONCAT(C121, " / ", D121)</f>
        <v>effortless-xlsx / OperationalBindings.AgeMinutes</v>
      </c>
      <c r="C121" s="2" t="s">
        <v>13987</v>
      </c>
      <c r="D121" s="2" t="s">
        <v>3975</v>
      </c>
      <c r="E121" s="2" t="s">
        <v>14137</v>
      </c>
      <c r="F121" s="2" t="s">
        <v>2389</v>
      </c>
      <c r="G121" s="2">
        <v>5</v>
      </c>
      <c r="H121" s="2" t="s">
        <v>14591</v>
      </c>
      <c r="I121" s="3">
        <f>COUNTIFS(CellDisagreements!C2:C999, A121)</f>
        <v>5</v>
      </c>
      <c r="J121" s="3" t="b">
        <f>I121 = G121</f>
        <v>1</v>
      </c>
      <c r="K121" s="3" t="str">
        <f>_xlfn.IFNA(INDEX(RulebookFields!G2:G999, MATCH(D121,RulebookFields!A2:A999, 0)), "")</f>
        <v>=DATETIME_DIFF({{AsOfInstant}}, {{LastObservedAt}}, "minutes")</v>
      </c>
      <c r="L121" s="3" t="str">
        <f>_xlfn.IFNA(INDEX(ConformanceSubstrates!C2:C999, MATCH(C121,ConformanceSubstrates!A2:A999, 0)), "")</f>
        <v>Excel</v>
      </c>
      <c r="M121" s="2" t="s">
        <v>1902</v>
      </c>
    </row>
    <row r="122">
      <c r="A122" s="2" t="s">
        <v>14712</v>
      </c>
      <c r="B122" s="3" t="str">
        <f>_xlfn.CONCAT(C122, " / ", D122)</f>
        <v>effortless-xlsx / OperationalBindings.IsFresh</v>
      </c>
      <c r="C122" s="2" t="s">
        <v>13987</v>
      </c>
      <c r="D122" s="2" t="s">
        <v>3977</v>
      </c>
      <c r="E122" s="2" t="s">
        <v>14137</v>
      </c>
      <c r="F122" s="2" t="s">
        <v>2389</v>
      </c>
      <c r="G122" s="2">
        <v>5</v>
      </c>
      <c r="H122" s="2" t="s">
        <v>14591</v>
      </c>
      <c r="I122" s="3">
        <f>COUNTIFS(CellDisagreements!C2:C999, A122)</f>
        <v>5</v>
      </c>
      <c r="J122" s="3" t="b">
        <f>I122 = G122</f>
        <v>1</v>
      </c>
      <c r="K122" s="3" t="str">
        <f>_xlfn.IFNA(INDEX(RulebookFields!G2:G999, MATCH(D122,RulebookFields!A2:A999, 0)), "")</f>
        <v>={{AgeMinutes}} &lt;= {{FreshnessSlaMinutes}}</v>
      </c>
      <c r="L122" s="3" t="str">
        <f>_xlfn.IFNA(INDEX(ConformanceSubstrates!C2:C999, MATCH(C122,ConformanceSubstrates!A2:A999, 0)), "")</f>
        <v>Excel</v>
      </c>
      <c r="M122" s="2" t="s">
        <v>1902</v>
      </c>
    </row>
    <row r="123">
      <c r="A123" s="2" t="s">
        <v>14713</v>
      </c>
      <c r="B123" s="3" t="str">
        <f>_xlfn.CONCAT(C123, " / ", D123)</f>
        <v>effortless-xlsx / OperationalBindings.StaleBindingStepKey</v>
      </c>
      <c r="C123" s="2" t="s">
        <v>13987</v>
      </c>
      <c r="D123" s="2" t="s">
        <v>3979</v>
      </c>
      <c r="E123" s="2" t="s">
        <v>14137</v>
      </c>
      <c r="F123" s="2" t="s">
        <v>2389</v>
      </c>
      <c r="G123" s="2">
        <v>5</v>
      </c>
      <c r="H123" s="2" t="s">
        <v>14591</v>
      </c>
      <c r="I123" s="3">
        <f>COUNTIFS(CellDisagreements!C2:C999, A123)</f>
        <v>5</v>
      </c>
      <c r="J123" s="3" t="b">
        <f>I123 = G123</f>
        <v>1</v>
      </c>
      <c r="K123" s="3" t="str">
        <f>_xlfn.IFNA(INDEX(RulebookFields!G2:G999, MATCH(D123,RulebookFields!A2:A999, 0)), "")</f>
        <v>=IF(NOT({{IsFresh}}), {{Step}}, "")</v>
      </c>
      <c r="L123" s="3" t="str">
        <f>_xlfn.IFNA(INDEX(ConformanceSubstrates!C2:C999, MATCH(C123,ConformanceSubstrates!A2:A999, 0)), "")</f>
        <v>Excel</v>
      </c>
      <c r="M123" s="2" t="s">
        <v>1902</v>
      </c>
    </row>
    <row r="124">
      <c r="A124" s="2" t="s">
        <v>14714</v>
      </c>
      <c r="B124" s="3" t="str">
        <f>_xlfn.CONCAT(C124, " / ", D124)</f>
        <v>effortless-xlsx / OperationalBindings.AuthoritativeStaleStepKey</v>
      </c>
      <c r="C124" s="2" t="s">
        <v>13987</v>
      </c>
      <c r="D124" s="2" t="s">
        <v>3981</v>
      </c>
      <c r="E124" s="2" t="s">
        <v>14137</v>
      </c>
      <c r="F124" s="2" t="s">
        <v>2389</v>
      </c>
      <c r="G124" s="2">
        <v>5</v>
      </c>
      <c r="H124" s="2" t="s">
        <v>14591</v>
      </c>
      <c r="I124" s="3">
        <f>COUNTIFS(CellDisagreements!C2:C999, A124)</f>
        <v>5</v>
      </c>
      <c r="J124" s="3" t="b">
        <f>I124 = G124</f>
        <v>1</v>
      </c>
      <c r="K124" s="3" t="str">
        <f>_xlfn.IFNA(INDEX(RulebookFields!G2:G999, MATCH(D124,RulebookFields!A2:A999, 0)), "")</f>
        <v>=IF(AND(NOT({{IsFresh}}), {{IsAuthoritative}}), {{Step}}, "")</v>
      </c>
      <c r="L124" s="3" t="str">
        <f>_xlfn.IFNA(INDEX(ConformanceSubstrates!C2:C999, MATCH(C124,ConformanceSubstrates!A2:A999, 0)), "")</f>
        <v>Excel</v>
      </c>
      <c r="M124" s="2" t="s">
        <v>1902</v>
      </c>
    </row>
    <row r="125">
      <c r="A125" s="2" t="s">
        <v>14715</v>
      </c>
      <c r="B125" s="3" t="str">
        <f>_xlfn.CONCAT(C125, " / ", D125)</f>
        <v>effortless-xlsx / OperationalBindings.IsStaleAndAuthoritative</v>
      </c>
      <c r="C125" s="2" t="s">
        <v>13987</v>
      </c>
      <c r="D125" s="2" t="s">
        <v>3983</v>
      </c>
      <c r="E125" s="2" t="s">
        <v>14137</v>
      </c>
      <c r="F125" s="2" t="s">
        <v>2389</v>
      </c>
      <c r="G125" s="2">
        <v>5</v>
      </c>
      <c r="H125" s="2" t="s">
        <v>14591</v>
      </c>
      <c r="I125" s="3">
        <f>COUNTIFS(CellDisagreements!C2:C999, A125)</f>
        <v>5</v>
      </c>
      <c r="J125" s="3" t="b">
        <f>I125 = G125</f>
        <v>1</v>
      </c>
      <c r="K125" s="3" t="str">
        <f>_xlfn.IFNA(INDEX(RulebookFields!G2:G999, MATCH(D125,RulebookFields!A2:A999, 0)), "")</f>
        <v>=AND({{IsAuthoritative}}, NOT({{IsFresh}}))</v>
      </c>
      <c r="L125" s="3" t="str">
        <f>_xlfn.IFNA(INDEX(ConformanceSubstrates!C2:C999, MATCH(C125,ConformanceSubstrates!A2:A999, 0)), "")</f>
        <v>Excel</v>
      </c>
      <c r="M125" s="2" t="s">
        <v>1902</v>
      </c>
    </row>
    <row r="126">
      <c r="A126" s="2" t="s">
        <v>14716</v>
      </c>
      <c r="B126" s="3" t="str">
        <f>_xlfn.CONCAT(C126, " / ", D126)</f>
        <v>effortless-xlsx / OperationalBindings.StepWhenStale</v>
      </c>
      <c r="C126" s="2" t="s">
        <v>13987</v>
      </c>
      <c r="D126" s="2" t="s">
        <v>3985</v>
      </c>
      <c r="E126" s="2" t="s">
        <v>14137</v>
      </c>
      <c r="F126" s="2" t="s">
        <v>2389</v>
      </c>
      <c r="G126" s="2">
        <v>5</v>
      </c>
      <c r="H126" s="2" t="s">
        <v>14591</v>
      </c>
      <c r="I126" s="3">
        <f>COUNTIFS(CellDisagreements!C2:C999, A126)</f>
        <v>5</v>
      </c>
      <c r="J126" s="3" t="b">
        <f>I126 = G126</f>
        <v>1</v>
      </c>
      <c r="K126" s="3" t="str">
        <f>_xlfn.IFNA(INDEX(RulebookFields!G2:G999, MATCH(D126,RulebookFields!A2:A999, 0)), "")</f>
        <v>=IF({{IsStaleAndAuthoritative}}, {{Step}}, "")</v>
      </c>
      <c r="L126" s="3" t="str">
        <f>_xlfn.IFNA(INDEX(ConformanceSubstrates!C2:C999, MATCH(C126,ConformanceSubstrates!A2:A999, 0)), "")</f>
        <v>Excel</v>
      </c>
      <c r="M126" s="2" t="s">
        <v>1902</v>
      </c>
    </row>
    <row r="127">
      <c r="A127" s="2" t="s">
        <v>14717</v>
      </c>
      <c r="B127" s="3" t="str">
        <f>_xlfn.CONCAT(C127, " / ", D127)</f>
        <v>effortless-xlsx / OperationalBindings.IsUsableForDrafting</v>
      </c>
      <c r="C127" s="2" t="s">
        <v>13987</v>
      </c>
      <c r="D127" s="2" t="s">
        <v>3989</v>
      </c>
      <c r="E127" s="2" t="s">
        <v>14137</v>
      </c>
      <c r="F127" s="2" t="s">
        <v>2389</v>
      </c>
      <c r="G127" s="2">
        <v>5</v>
      </c>
      <c r="H127" s="2" t="s">
        <v>14591</v>
      </c>
      <c r="I127" s="3">
        <f>COUNTIFS(CellDisagreements!C2:C999, A127)</f>
        <v>5</v>
      </c>
      <c r="J127" s="3" t="b">
        <f>I127 = G127</f>
        <v>1</v>
      </c>
      <c r="K127" s="3" t="str">
        <f>_xlfn.IFNA(INDEX(RulebookFields!G2:G999, MATCH(D127,RulebookFields!A2:A999, 0)), "")</f>
        <v>=AND({{ResourceIsApproved}}, {{IsFresh}})</v>
      </c>
      <c r="L127" s="3" t="str">
        <f>_xlfn.IFNA(INDEX(ConformanceSubstrates!C2:C999, MATCH(C127,ConformanceSubstrates!A2:A999, 0)), "")</f>
        <v>Excel</v>
      </c>
      <c r="M127" s="2" t="s">
        <v>1902</v>
      </c>
    </row>
    <row r="128">
      <c r="A128" s="2" t="s">
        <v>14718</v>
      </c>
      <c r="B128" s="3" t="str">
        <f>_xlfn.CONCAT(C128, " / ", D128)</f>
        <v>effortless-xlsx / OperationalBindings.StepWhenUnusable</v>
      </c>
      <c r="C128" s="2" t="s">
        <v>13987</v>
      </c>
      <c r="D128" s="2" t="s">
        <v>3991</v>
      </c>
      <c r="E128" s="2" t="s">
        <v>14137</v>
      </c>
      <c r="F128" s="2" t="s">
        <v>2389</v>
      </c>
      <c r="G128" s="2">
        <v>5</v>
      </c>
      <c r="H128" s="2" t="s">
        <v>14591</v>
      </c>
      <c r="I128" s="3">
        <f>COUNTIFS(CellDisagreements!C2:C999, A128)</f>
        <v>5</v>
      </c>
      <c r="J128" s="3" t="b">
        <f>I128 = G128</f>
        <v>1</v>
      </c>
      <c r="K128" s="3" t="str">
        <f>_xlfn.IFNA(INDEX(RulebookFields!G2:G999, MATCH(D128,RulebookFields!A2:A999, 0)), "")</f>
      </c>
      <c r="L128" s="3" t="str">
        <f>_xlfn.IFNA(INDEX(ConformanceSubstrates!C2:C999, MATCH(C128,ConformanceSubstrates!A2:A999, 0)), "")</f>
        <v>Excel</v>
      </c>
      <c r="M128" s="2" t="s">
        <v>1902</v>
      </c>
    </row>
    <row r="129">
      <c r="A129" s="2" t="s">
        <v>14719</v>
      </c>
      <c r="B129" s="3" t="str">
        <f>_xlfn.CONCAT(C129, " / ", D129)</f>
        <v>effortless-xlsx / MessageTemplates.LastApprovalAt</v>
      </c>
      <c r="C129" s="2" t="s">
        <v>13987</v>
      </c>
      <c r="D129" s="2" t="s">
        <v>4060</v>
      </c>
      <c r="E129" s="2" t="s">
        <v>14139</v>
      </c>
      <c r="F129" s="2" t="s">
        <v>2478</v>
      </c>
      <c r="G129" s="2">
        <v>2</v>
      </c>
      <c r="H129" s="2" t="s">
        <v>14591</v>
      </c>
      <c r="I129" s="3">
        <f>COUNTIFS(CellDisagreements!C2:C999, A129)</f>
        <v>2</v>
      </c>
      <c r="J129" s="3" t="b">
        <f>I129 = G129</f>
        <v>1</v>
      </c>
      <c r="K129" s="3" t="str">
        <f>_xlfn.IFNA(INDEX(RulebookFields!G2:G999, MATCH(D129,RulebookFields!A2:A999, 0)), "")</f>
      </c>
      <c r="L129" s="3" t="str">
        <f>_xlfn.IFNA(INDEX(ConformanceSubstrates!C2:C999, MATCH(C129,ConformanceSubstrates!A2:A999, 0)), "")</f>
        <v>Excel</v>
      </c>
      <c r="M129" s="2" t="s">
        <v>1902</v>
      </c>
    </row>
    <row r="130">
      <c r="A130" s="2" t="s">
        <v>14720</v>
      </c>
      <c r="B130" s="3" t="str">
        <f>_xlfn.CONCAT(C130, " / ", D130)</f>
        <v>effortless-xlsx / RoleQuestions.PredicateCount</v>
      </c>
      <c r="C130" s="2" t="s">
        <v>13987</v>
      </c>
      <c r="D130" s="2" t="s">
        <v>4099</v>
      </c>
      <c r="E130" s="2" t="s">
        <v>14142</v>
      </c>
      <c r="F130" s="2" t="s">
        <v>2438</v>
      </c>
      <c r="G130" s="2">
        <v>47</v>
      </c>
      <c r="H130" s="2" t="s">
        <v>14591</v>
      </c>
      <c r="I130" s="3">
        <f>COUNTIFS(CellDisagreements!C2:C999, A130)</f>
        <v>20</v>
      </c>
      <c r="J130" s="3" t="b">
        <f>I130 = G130</f>
        <v>0</v>
      </c>
      <c r="K130" s="3" t="str">
        <f>_xlfn.IFNA(INDEX(RulebookFields!G2:G999, MATCH(D130,RulebookFields!A2:A999, 0)), "")</f>
      </c>
      <c r="L130" s="3" t="str">
        <f>_xlfn.IFNA(INDEX(ConformanceSubstrates!C2:C999, MATCH(C130,ConformanceSubstrates!A2:A999, 0)), "")</f>
        <v>Excel</v>
      </c>
      <c r="M130" s="2" t="s">
        <v>1902</v>
      </c>
    </row>
    <row r="131">
      <c r="A131" s="2" t="s">
        <v>14721</v>
      </c>
      <c r="B131" s="3" t="str">
        <f>_xlfn.CONCAT(C131, " / ", D131)</f>
        <v>effortless-xlsx / RoleQuestions.IsAnswered</v>
      </c>
      <c r="C131" s="2" t="s">
        <v>13987</v>
      </c>
      <c r="D131" s="2" t="s">
        <v>4101</v>
      </c>
      <c r="E131" s="2" t="s">
        <v>14142</v>
      </c>
      <c r="F131" s="2" t="s">
        <v>2389</v>
      </c>
      <c r="G131" s="2">
        <v>18</v>
      </c>
      <c r="H131" s="2" t="s">
        <v>14591</v>
      </c>
      <c r="I131" s="3">
        <f>COUNTIFS(CellDisagreements!C2:C999, A131)</f>
        <v>18</v>
      </c>
      <c r="J131" s="3" t="b">
        <f>I131 = G131</f>
        <v>1</v>
      </c>
      <c r="K131" s="3" t="str">
        <f>_xlfn.IFNA(INDEX(RulebookFields!G2:G999, MATCH(D131,RulebookFields!A2:A999, 0)), "")</f>
      </c>
      <c r="L131" s="3" t="str">
        <f>_xlfn.IFNA(INDEX(ConformanceSubstrates!C2:C999, MATCH(C131,ConformanceSubstrates!A2:A999, 0)), "")</f>
        <v>Excel</v>
      </c>
      <c r="M131" s="2" t="s">
        <v>1902</v>
      </c>
    </row>
    <row r="132">
      <c r="A132" s="2" t="s">
        <v>14722</v>
      </c>
      <c r="B132" s="3" t="str">
        <f>_xlfn.CONCAT(C132, " / ", D132)</f>
        <v>effortless-xlsx / TestSuites.TestCount</v>
      </c>
      <c r="C132" s="2" t="s">
        <v>13987</v>
      </c>
      <c r="D132" s="2" t="s">
        <v>4129</v>
      </c>
      <c r="E132" s="2" t="s">
        <v>14144</v>
      </c>
      <c r="F132" s="2" t="s">
        <v>2438</v>
      </c>
      <c r="G132" s="2">
        <v>5</v>
      </c>
      <c r="H132" s="2" t="s">
        <v>14591</v>
      </c>
      <c r="I132" s="3">
        <f>COUNTIFS(CellDisagreements!C2:C999, A132)</f>
        <v>5</v>
      </c>
      <c r="J132" s="3" t="b">
        <f>I132 = G132</f>
        <v>1</v>
      </c>
      <c r="K132" s="3" t="str">
        <f>_xlfn.IFNA(INDEX(RulebookFields!G2:G999, MATCH(D132,RulebookFields!A2:A999, 0)), "")</f>
      </c>
      <c r="L132" s="3" t="str">
        <f>_xlfn.IFNA(INDEX(ConformanceSubstrates!C2:C999, MATCH(C132,ConformanceSubstrates!A2:A999, 0)), "")</f>
        <v>Excel</v>
      </c>
      <c r="M132" s="2" t="s">
        <v>1902</v>
      </c>
    </row>
    <row r="133">
      <c r="A133" s="2" t="s">
        <v>14723</v>
      </c>
      <c r="B133" s="3" t="str">
        <f>_xlfn.CONCAT(C133, " / ", D133)</f>
        <v>effortless-xlsx / TestSuites.PassCount</v>
      </c>
      <c r="C133" s="2" t="s">
        <v>13987</v>
      </c>
      <c r="D133" s="2" t="s">
        <v>4132</v>
      </c>
      <c r="E133" s="2" t="s">
        <v>14144</v>
      </c>
      <c r="F133" s="2" t="s">
        <v>2438</v>
      </c>
      <c r="G133" s="2">
        <v>5</v>
      </c>
      <c r="H133" s="2" t="s">
        <v>14591</v>
      </c>
      <c r="I133" s="3">
        <f>COUNTIFS(CellDisagreements!C2:C999, A133)</f>
        <v>5</v>
      </c>
      <c r="J133" s="3" t="b">
        <f>I133 = G133</f>
        <v>1</v>
      </c>
      <c r="K133" s="3" t="str">
        <f>_xlfn.IFNA(INDEX(RulebookFields!G2:G999, MATCH(D133,RulebookFields!A2:A999, 0)), "")</f>
      </c>
      <c r="L133" s="3" t="str">
        <f>_xlfn.IFNA(INDEX(ConformanceSubstrates!C2:C999, MATCH(C133,ConformanceSubstrates!A2:A999, 0)), "")</f>
        <v>Excel</v>
      </c>
      <c r="M133" s="2" t="s">
        <v>1902</v>
      </c>
    </row>
    <row r="134">
      <c r="A134" s="2" t="s">
        <v>14724</v>
      </c>
      <c r="B134" s="3" t="str">
        <f>_xlfn.CONCAT(C134, " / ", D134)</f>
        <v>effortless-xlsx / ObservedTransitions.Name</v>
      </c>
      <c r="C134" s="2" t="s">
        <v>13987</v>
      </c>
      <c r="D134" s="2" t="s">
        <v>4334</v>
      </c>
      <c r="E134" s="2" t="s">
        <v>14148</v>
      </c>
      <c r="F134" s="2" t="s">
        <v>2389</v>
      </c>
      <c r="G134" s="2">
        <v>10</v>
      </c>
      <c r="H134" s="2" t="s">
        <v>14591</v>
      </c>
      <c r="I134" s="3">
        <f>COUNTIFS(CellDisagreements!C2:C999, A134)</f>
        <v>10</v>
      </c>
      <c r="J134" s="3" t="b">
        <f>I134 = G134</f>
        <v>1</v>
      </c>
      <c r="K134" s="3" t="str">
        <f>_xlfn.IFNA(INDEX(RulebookFields!G2:G999, MATCH(D134,RulebookFields!A2:A999, 0)), "")</f>
      </c>
      <c r="L134" s="3" t="str">
        <f>_xlfn.IFNA(INDEX(ConformanceSubstrates!C2:C999, MATCH(C134,ConformanceSubstrates!A2:A999, 0)), "")</f>
        <v>Excel</v>
      </c>
      <c r="M134" s="2" t="s">
        <v>1902</v>
      </c>
    </row>
    <row r="135">
      <c r="A135" s="2" t="s">
        <v>14725</v>
      </c>
      <c r="B135" s="3" t="str">
        <f>_xlfn.CONCAT(C135, " / ", D135)</f>
        <v>effortless-xlsx / MessageDeliveries.Name</v>
      </c>
      <c r="C135" s="2" t="s">
        <v>13987</v>
      </c>
      <c r="D135" s="2" t="s">
        <v>4380</v>
      </c>
      <c r="E135" s="2" t="s">
        <v>14150</v>
      </c>
      <c r="F135" s="2" t="s">
        <v>2389</v>
      </c>
      <c r="G135" s="2">
        <v>6</v>
      </c>
      <c r="H135" s="2" t="s">
        <v>14591</v>
      </c>
      <c r="I135" s="3">
        <f>COUNTIFS(CellDisagreements!C2:C999, A135)</f>
        <v>6</v>
      </c>
      <c r="J135" s="3" t="b">
        <f>I135 = G135</f>
        <v>1</v>
      </c>
      <c r="K135" s="3" t="str">
        <f>_xlfn.IFNA(INDEX(RulebookFields!G2:G999, MATCH(D135,RulebookFields!A2:A999, 0)), "")</f>
      </c>
      <c r="L135" s="3" t="str">
        <f>_xlfn.IFNA(INDEX(ConformanceSubstrates!C2:C999, MATCH(C135,ConformanceSubstrates!A2:A999, 0)), "")</f>
        <v>Excel</v>
      </c>
      <c r="M135" s="2" t="s">
        <v>1902</v>
      </c>
    </row>
    <row r="136">
      <c r="A136" s="2" t="s">
        <v>14726</v>
      </c>
      <c r="B136" s="3" t="str">
        <f>_xlfn.CONCAT(C136, " / ", D136)</f>
        <v>effortless-xlsx / MessageDeliveries.AsOfInstant</v>
      </c>
      <c r="C136" s="2" t="s">
        <v>13987</v>
      </c>
      <c r="D136" s="2" t="s">
        <v>4471</v>
      </c>
      <c r="E136" s="2" t="s">
        <v>14150</v>
      </c>
      <c r="F136" s="2" t="s">
        <v>2478</v>
      </c>
      <c r="G136" s="2">
        <v>6</v>
      </c>
      <c r="H136" s="2" t="s">
        <v>14591</v>
      </c>
      <c r="I136" s="3">
        <f>COUNTIFS(CellDisagreements!C2:C999, A136)</f>
        <v>6</v>
      </c>
      <c r="J136" s="3" t="b">
        <f>I136 = G136</f>
        <v>1</v>
      </c>
      <c r="K136" s="3" t="str">
        <f>_xlfn.IFNA(INDEX(RulebookFields!G2:G999, MATCH(D136,RulebookFields!A2:A999, 0)), "")</f>
      </c>
      <c r="L136" s="3" t="str">
        <f>_xlfn.IFNA(INDEX(ConformanceSubstrates!C2:C999, MATCH(C136,ConformanceSubstrates!A2:A999, 0)), "")</f>
        <v>Excel</v>
      </c>
      <c r="M136" s="2" t="s">
        <v>1902</v>
      </c>
    </row>
    <row r="137">
      <c r="A137" s="2" t="s">
        <v>14727</v>
      </c>
      <c r="B137" s="3" t="str">
        <f>_xlfn.CONCAT(C137, " / ", D137)</f>
        <v>effortless-xlsx / MessageDeliveries.AgeDays</v>
      </c>
      <c r="C137" s="2" t="s">
        <v>13987</v>
      </c>
      <c r="D137" s="2" t="s">
        <v>4472</v>
      </c>
      <c r="E137" s="2" t="s">
        <v>14150</v>
      </c>
      <c r="F137" s="2" t="s">
        <v>2389</v>
      </c>
      <c r="G137" s="2">
        <v>5</v>
      </c>
      <c r="H137" s="2" t="s">
        <v>14591</v>
      </c>
      <c r="I137" s="3">
        <f>COUNTIFS(CellDisagreements!C2:C999, A137)</f>
        <v>5</v>
      </c>
      <c r="J137" s="3" t="b">
        <f>I137 = G137</f>
        <v>1</v>
      </c>
      <c r="K137" s="3" t="str">
        <f>_xlfn.IFNA(INDEX(RulebookFields!G2:G999, MATCH(D137,RulebookFields!A2:A999, 0)), "")</f>
      </c>
      <c r="L137" s="3" t="str">
        <f>_xlfn.IFNA(INDEX(ConformanceSubstrates!C2:C999, MATCH(C137,ConformanceSubstrates!A2:A999, 0)), "")</f>
        <v>Excel</v>
      </c>
      <c r="M137" s="2" t="s">
        <v>1902</v>
      </c>
    </row>
    <row r="138">
      <c r="A138" s="2" t="s">
        <v>14728</v>
      </c>
      <c r="B138" s="3" t="str">
        <f>_xlfn.CONCAT(C138, " / ", D138)</f>
        <v>effortless-xlsx / MessageDeliveries.SegmentCount</v>
      </c>
      <c r="C138" s="2" t="s">
        <v>13987</v>
      </c>
      <c r="D138" s="2" t="s">
        <v>4503</v>
      </c>
      <c r="E138" s="2" t="s">
        <v>14150</v>
      </c>
      <c r="F138" s="2" t="s">
        <v>2389</v>
      </c>
      <c r="G138" s="2">
        <v>6</v>
      </c>
      <c r="H138" s="2" t="s">
        <v>14591</v>
      </c>
      <c r="I138" s="3">
        <f>COUNTIFS(CellDisagreements!C2:C999, A138)</f>
        <v>6</v>
      </c>
      <c r="J138" s="3" t="b">
        <f>I138 = G138</f>
        <v>1</v>
      </c>
      <c r="K138" s="3" t="str">
        <f>_xlfn.IFNA(INDEX(RulebookFields!G2:G999, MATCH(D138,RulebookFields!A2:A999, 0)), "")</f>
      </c>
      <c r="L138" s="3" t="str">
        <f>_xlfn.IFNA(INDEX(ConformanceSubstrates!C2:C999, MATCH(C138,ConformanceSubstrates!A2:A999, 0)), "")</f>
        <v>Excel</v>
      </c>
      <c r="M138" s="2" t="s">
        <v>1902</v>
      </c>
    </row>
    <row r="139">
      <c r="A139" s="2" t="s">
        <v>14729</v>
      </c>
      <c r="B139" s="3" t="str">
        <f>_xlfn.CONCAT(C139, " / ", D139)</f>
        <v>effortless-xlsx / MessageDeliveries.PolicyRequiresOptOut</v>
      </c>
      <c r="C139" s="2" t="s">
        <v>13987</v>
      </c>
      <c r="D139" s="2" t="s">
        <v>4521</v>
      </c>
      <c r="E139" s="2" t="s">
        <v>14150</v>
      </c>
      <c r="F139" s="2" t="s">
        <v>2389</v>
      </c>
      <c r="G139" s="2">
        <v>2</v>
      </c>
      <c r="H139" s="2" t="s">
        <v>14591</v>
      </c>
      <c r="I139" s="3">
        <f>COUNTIFS(CellDisagreements!C2:C999, A139)</f>
        <v>2</v>
      </c>
      <c r="J139" s="3" t="b">
        <f>I139 = G139</f>
        <v>1</v>
      </c>
      <c r="K139" s="3" t="str">
        <f>_xlfn.IFNA(INDEX(RulebookFields!G2:G999, MATCH(D139,RulebookFields!A2:A999, 0)), "")</f>
      </c>
      <c r="L139" s="3" t="str">
        <f>_xlfn.IFNA(INDEX(ConformanceSubstrates!C2:C999, MATCH(C139,ConformanceSubstrates!A2:A999, 0)), "")</f>
        <v>Excel</v>
      </c>
      <c r="M139" s="2" t="s">
        <v>1902</v>
      </c>
    </row>
    <row r="140">
      <c r="A140" s="2" t="s">
        <v>14730</v>
      </c>
      <c r="B140" s="3" t="str">
        <f>_xlfn.CONCAT(C140, " / ", D140)</f>
        <v>effortless-xlsx / MessageDeliveries.OptOutPhrasePosition</v>
      </c>
      <c r="C140" s="2" t="s">
        <v>13987</v>
      </c>
      <c r="D140" s="2" t="s">
        <v>4524</v>
      </c>
      <c r="E140" s="2" t="s">
        <v>14150</v>
      </c>
      <c r="F140" s="2" t="s">
        <v>2389</v>
      </c>
      <c r="G140" s="2">
        <v>6</v>
      </c>
      <c r="H140" s="2" t="s">
        <v>14591</v>
      </c>
      <c r="I140" s="3">
        <f>COUNTIFS(CellDisagreements!C2:C999, A140)</f>
        <v>6</v>
      </c>
      <c r="J140" s="3" t="b">
        <f>I140 = G140</f>
        <v>1</v>
      </c>
      <c r="K140" s="3" t="str">
        <f>_xlfn.IFNA(INDEX(RulebookFields!G2:G999, MATCH(D140,RulebookFields!A2:A999, 0)), "")</f>
      </c>
      <c r="L140" s="3" t="str">
        <f>_xlfn.IFNA(INDEX(ConformanceSubstrates!C2:C999, MATCH(C140,ConformanceSubstrates!A2:A999, 0)), "")</f>
        <v>Excel</v>
      </c>
      <c r="M140" s="2" t="s">
        <v>1902</v>
      </c>
    </row>
    <row r="141">
      <c r="A141" s="2" t="s">
        <v>14731</v>
      </c>
      <c r="B141" s="3" t="str">
        <f>_xlfn.CONCAT(C141, " / ", D141)</f>
        <v>effortless-xlsx / MessageDeliveries.HasOptOutPhrase</v>
      </c>
      <c r="C141" s="2" t="s">
        <v>13987</v>
      </c>
      <c r="D141" s="2" t="s">
        <v>4527</v>
      </c>
      <c r="E141" s="2" t="s">
        <v>14150</v>
      </c>
      <c r="F141" s="2" t="s">
        <v>2389</v>
      </c>
      <c r="G141" s="2">
        <v>3</v>
      </c>
      <c r="H141" s="2" t="s">
        <v>14591</v>
      </c>
      <c r="I141" s="3">
        <f>COUNTIFS(CellDisagreements!C2:C999, A141)</f>
        <v>3</v>
      </c>
      <c r="J141" s="3" t="b">
        <f>I141 = G141</f>
        <v>1</v>
      </c>
      <c r="K141" s="3" t="str">
        <f>_xlfn.IFNA(INDEX(RulebookFields!G2:G999, MATCH(D141,RulebookFields!A2:A999, 0)), "")</f>
      </c>
      <c r="L141" s="3" t="str">
        <f>_xlfn.IFNA(INDEX(ConformanceSubstrates!C2:C999, MATCH(C141,ConformanceSubstrates!A2:A999, 0)), "")</f>
        <v>Excel</v>
      </c>
      <c r="M141" s="2" t="s">
        <v>1902</v>
      </c>
    </row>
    <row r="142">
      <c r="A142" s="2" t="s">
        <v>14732</v>
      </c>
      <c r="B142" s="3" t="str">
        <f>_xlfn.CONCAT(C142, " / ", D142)</f>
        <v>effortless-xlsx / MessageDeliveries.IsOptOutInFirstSegment</v>
      </c>
      <c r="C142" s="2" t="s">
        <v>13987</v>
      </c>
      <c r="D142" s="2" t="s">
        <v>4530</v>
      </c>
      <c r="E142" s="2" t="s">
        <v>14150</v>
      </c>
      <c r="F142" s="2" t="s">
        <v>2389</v>
      </c>
      <c r="G142" s="2">
        <v>3</v>
      </c>
      <c r="H142" s="2" t="s">
        <v>14591</v>
      </c>
      <c r="I142" s="3">
        <f>COUNTIFS(CellDisagreements!C2:C999, A142)</f>
        <v>3</v>
      </c>
      <c r="J142" s="3" t="b">
        <f>I142 = G142</f>
        <v>1</v>
      </c>
      <c r="K142" s="3" t="str">
        <f>_xlfn.IFNA(INDEX(RulebookFields!G2:G999, MATCH(D142,RulebookFields!A2:A999, 0)), "")</f>
      </c>
      <c r="L142" s="3" t="str">
        <f>_xlfn.IFNA(INDEX(ConformanceSubstrates!C2:C999, MATCH(C142,ConformanceSubstrates!A2:A999, 0)), "")</f>
        <v>Excel</v>
      </c>
      <c r="M142" s="2" t="s">
        <v>1902</v>
      </c>
    </row>
    <row r="143">
      <c r="A143" s="2" t="s">
        <v>14733</v>
      </c>
      <c r="B143" s="3" t="str">
        <f>_xlfn.CONCAT(C143, " / ", D143)</f>
        <v>effortless-xlsx / MessageDeliveries.IsMissingRequiredOptOut</v>
      </c>
      <c r="C143" s="2" t="s">
        <v>13987</v>
      </c>
      <c r="D143" s="2" t="s">
        <v>4533</v>
      </c>
      <c r="E143" s="2" t="s">
        <v>14150</v>
      </c>
      <c r="F143" s="2" t="s">
        <v>2389</v>
      </c>
      <c r="G143" s="2">
        <v>3</v>
      </c>
      <c r="H143" s="2" t="s">
        <v>14591</v>
      </c>
      <c r="I143" s="3">
        <f>COUNTIFS(CellDisagreements!C2:C999, A143)</f>
        <v>3</v>
      </c>
      <c r="J143" s="3" t="b">
        <f>I143 = G143</f>
        <v>1</v>
      </c>
      <c r="K143" s="3" t="str">
        <f>_xlfn.IFNA(INDEX(RulebookFields!G2:G999, MATCH(D143,RulebookFields!A2:A999, 0)), "")</f>
      </c>
      <c r="L143" s="3" t="str">
        <f>_xlfn.IFNA(INDEX(ConformanceSubstrates!C2:C999, MATCH(C143,ConformanceSubstrates!A2:A999, 0)), "")</f>
        <v>Excel</v>
      </c>
      <c r="M143" s="2" t="s">
        <v>1902</v>
      </c>
    </row>
    <row r="144">
      <c r="A144" s="2" t="s">
        <v>14734</v>
      </c>
      <c r="B144" s="3" t="str">
        <f>_xlfn.CONCAT(C144, " / ", D144)</f>
        <v>effortless-xlsx / MessageDeliveries.IsOptOutAtRiskOfTruncation</v>
      </c>
      <c r="C144" s="2" t="s">
        <v>13987</v>
      </c>
      <c r="D144" s="2" t="s">
        <v>4536</v>
      </c>
      <c r="E144" s="2" t="s">
        <v>14150</v>
      </c>
      <c r="F144" s="2" t="s">
        <v>2389</v>
      </c>
      <c r="G144" s="2">
        <v>3</v>
      </c>
      <c r="H144" s="2" t="s">
        <v>14591</v>
      </c>
      <c r="I144" s="3">
        <f>COUNTIFS(CellDisagreements!C2:C999, A144)</f>
        <v>3</v>
      </c>
      <c r="J144" s="3" t="b">
        <f>I144 = G144</f>
        <v>1</v>
      </c>
      <c r="K144" s="3" t="str">
        <f>_xlfn.IFNA(INDEX(RulebookFields!G2:G999, MATCH(D144,RulebookFields!A2:A999, 0)), "")</f>
      </c>
      <c r="L144" s="3" t="str">
        <f>_xlfn.IFNA(INDEX(ConformanceSubstrates!C2:C999, MATCH(C144,ConformanceSubstrates!A2:A999, 0)), "")</f>
        <v>Excel</v>
      </c>
      <c r="M144" s="2" t="s">
        <v>1902</v>
      </c>
    </row>
    <row r="145">
      <c r="A145" s="2" t="s">
        <v>14735</v>
      </c>
      <c r="B145" s="3" t="str">
        <f>_xlfn.CONCAT(C145, " / ", D145)</f>
        <v>effortless-xlsx / MessageDeliveries.CurrentLastApprovalAt</v>
      </c>
      <c r="C145" s="2" t="s">
        <v>13987</v>
      </c>
      <c r="D145" s="2" t="s">
        <v>4599</v>
      </c>
      <c r="E145" s="2" t="s">
        <v>14150</v>
      </c>
      <c r="F145" s="2" t="s">
        <v>2478</v>
      </c>
      <c r="G145" s="2">
        <v>6</v>
      </c>
      <c r="H145" s="2" t="s">
        <v>14591</v>
      </c>
      <c r="I145" s="3">
        <f>COUNTIFS(CellDisagreements!C2:C999, A145)</f>
        <v>6</v>
      </c>
      <c r="J145" s="3" t="b">
        <f>I145 = G145</f>
        <v>1</v>
      </c>
      <c r="K145" s="3" t="str">
        <f>_xlfn.IFNA(INDEX(RulebookFields!G2:G999, MATCH(D145,RulebookFields!A2:A999, 0)), "")</f>
      </c>
      <c r="L145" s="3" t="str">
        <f>_xlfn.IFNA(INDEX(ConformanceSubstrates!C2:C999, MATCH(C145,ConformanceSubstrates!A2:A999, 0)), "")</f>
        <v>Excel</v>
      </c>
      <c r="M145" s="2" t="s">
        <v>1902</v>
      </c>
    </row>
    <row r="146">
      <c r="A146" s="2" t="s">
        <v>14736</v>
      </c>
      <c r="B146" s="3" t="str">
        <f>_xlfn.CONCAT(C146, " / ", D146)</f>
        <v>effortless-xlsx / MessageDeliveries.OutstandingAgeDays</v>
      </c>
      <c r="C146" s="2" t="s">
        <v>13987</v>
      </c>
      <c r="D146" s="2" t="s">
        <v>4618</v>
      </c>
      <c r="E146" s="2" t="s">
        <v>14150</v>
      </c>
      <c r="F146" s="2" t="s">
        <v>2389</v>
      </c>
      <c r="G146" s="2">
        <v>2</v>
      </c>
      <c r="H146" s="2" t="s">
        <v>14591</v>
      </c>
      <c r="I146" s="3">
        <f>COUNTIFS(CellDisagreements!C2:C999, A146)</f>
        <v>2</v>
      </c>
      <c r="J146" s="3" t="b">
        <f>I146 = G146</f>
        <v>1</v>
      </c>
      <c r="K146" s="3" t="str">
        <f>_xlfn.IFNA(INDEX(RulebookFields!G2:G999, MATCH(D146,RulebookFields!A2:A999, 0)), "")</f>
      </c>
      <c r="L146" s="3" t="str">
        <f>_xlfn.IFNA(INDEX(ConformanceSubstrates!C2:C999, MATCH(C146,ConformanceSubstrates!A2:A999, 0)), "")</f>
        <v>Excel</v>
      </c>
      <c r="M146" s="2" t="s">
        <v>1902</v>
      </c>
    </row>
    <row r="147">
      <c r="A147" s="2" t="s">
        <v>14737</v>
      </c>
      <c r="B147" s="3" t="str">
        <f>_xlfn.CONCAT(C147, " / ", D147)</f>
        <v>effortless-xlsx / TemplateApprovals.Name</v>
      </c>
      <c r="C147" s="2" t="s">
        <v>13987</v>
      </c>
      <c r="D147" s="2" t="s">
        <v>4634</v>
      </c>
      <c r="E147" s="2" t="s">
        <v>14151</v>
      </c>
      <c r="F147" s="2" t="s">
        <v>2389</v>
      </c>
      <c r="G147" s="2">
        <v>2</v>
      </c>
      <c r="H147" s="2" t="s">
        <v>14591</v>
      </c>
      <c r="I147" s="3">
        <f>COUNTIFS(CellDisagreements!C2:C999, A147)</f>
        <v>2</v>
      </c>
      <c r="J147" s="3" t="b">
        <f>I147 = G147</f>
        <v>1</v>
      </c>
      <c r="K147" s="3" t="str">
        <f>_xlfn.IFNA(INDEX(RulebookFields!G2:G999, MATCH(D147,RulebookFields!A2:A999, 0)), "")</f>
      </c>
      <c r="L147" s="3" t="str">
        <f>_xlfn.IFNA(INDEX(ConformanceSubstrates!C2:C999, MATCH(C147,ConformanceSubstrates!A2:A999, 0)), "")</f>
        <v>Excel</v>
      </c>
      <c r="M147" s="2" t="s">
        <v>1902</v>
      </c>
    </row>
    <row r="148">
      <c r="A148" s="2" t="s">
        <v>14738</v>
      </c>
      <c r="B148" s="3" t="str">
        <f>_xlfn.CONCAT(C148, " / ", D148)</f>
        <v>effortless-xlsx / SendIntents.RefusalCitedAnException</v>
      </c>
      <c r="C148" s="2" t="s">
        <v>13987</v>
      </c>
      <c r="D148" s="2" t="s">
        <v>4787</v>
      </c>
      <c r="E148" s="2" t="s">
        <v>14152</v>
      </c>
      <c r="F148" s="2" t="s">
        <v>2389</v>
      </c>
      <c r="G148" s="2">
        <v>2</v>
      </c>
      <c r="H148" s="2" t="s">
        <v>14591</v>
      </c>
      <c r="I148" s="3">
        <f>COUNTIFS(CellDisagreements!C2:C999, A148)</f>
        <v>2</v>
      </c>
      <c r="J148" s="3" t="b">
        <f>I148 = G148</f>
        <v>1</v>
      </c>
      <c r="K148" s="3" t="str">
        <f>_xlfn.IFNA(INDEX(RulebookFields!G2:G999, MATCH(D148,RulebookFields!A2:A999, 0)), "")</f>
      </c>
      <c r="L148" s="3" t="str">
        <f>_xlfn.IFNA(INDEX(ConformanceSubstrates!C2:C999, MATCH(C148,ConformanceSubstrates!A2:A999, 0)), "")</f>
        <v>Excel</v>
      </c>
      <c r="M148" s="2" t="s">
        <v>1902</v>
      </c>
    </row>
    <row r="149">
      <c r="A149" s="2" t="s">
        <v>14739</v>
      </c>
      <c r="B149" s="3" t="str">
        <f>_xlfn.CONCAT(C149, " / ", D149)</f>
        <v>effortless-xlsx / SendIntents.IsUnreportedRefusalOnMyRules</v>
      </c>
      <c r="C149" s="2" t="s">
        <v>13987</v>
      </c>
      <c r="D149" s="2" t="s">
        <v>4822</v>
      </c>
      <c r="E149" s="2" t="s">
        <v>14152</v>
      </c>
      <c r="F149" s="2" t="s">
        <v>2389</v>
      </c>
      <c r="G149" s="2">
        <v>7</v>
      </c>
      <c r="H149" s="2" t="s">
        <v>14591</v>
      </c>
      <c r="I149" s="3">
        <f>COUNTIFS(CellDisagreements!C2:C999, A149)</f>
        <v>7</v>
      </c>
      <c r="J149" s="3" t="b">
        <f>I149 = G149</f>
        <v>1</v>
      </c>
      <c r="K149" s="3" t="str">
        <f>_xlfn.IFNA(INDEX(RulebookFields!G2:G999, MATCH(D149,RulebookFields!A2:A999, 0)), "")</f>
      </c>
      <c r="L149" s="3" t="str">
        <f>_xlfn.IFNA(INDEX(ConformanceSubstrates!C2:C999, MATCH(C149,ConformanceSubstrates!A2:A999, 0)), "")</f>
        <v>Excel</v>
      </c>
      <c r="M149" s="2" t="s">
        <v>1902</v>
      </c>
    </row>
    <row r="150">
      <c r="A150" s="2" t="s">
        <v>14740</v>
      </c>
      <c r="B150" s="3" t="str">
        <f>_xlfn.CONCAT(C150, " / ", D150)</f>
        <v>effortless-xlsx / SendIntents.IsApprovalOverriddenSilently</v>
      </c>
      <c r="C150" s="2" t="s">
        <v>13987</v>
      </c>
      <c r="D150" s="2" t="s">
        <v>4825</v>
      </c>
      <c r="E150" s="2" t="s">
        <v>14152</v>
      </c>
      <c r="F150" s="2" t="s">
        <v>2389</v>
      </c>
      <c r="G150" s="2">
        <v>7</v>
      </c>
      <c r="H150" s="2" t="s">
        <v>14591</v>
      </c>
      <c r="I150" s="3">
        <f>COUNTIFS(CellDisagreements!C2:C999, A150)</f>
        <v>7</v>
      </c>
      <c r="J150" s="3" t="b">
        <f>I150 = G150</f>
        <v>1</v>
      </c>
      <c r="K150" s="3" t="str">
        <f>_xlfn.IFNA(INDEX(RulebookFields!G2:G999, MATCH(D150,RulebookFields!A2:A999, 0)), "")</f>
      </c>
      <c r="L150" s="3" t="str">
        <f>_xlfn.IFNA(INDEX(ConformanceSubstrates!C2:C999, MATCH(C150,ConformanceSubstrates!A2:A999, 0)), "")</f>
        <v>Excel</v>
      </c>
      <c r="M150" s="2" t="s">
        <v>1902</v>
      </c>
    </row>
    <row r="151">
      <c r="A151" s="2" t="s">
        <v>14741</v>
      </c>
      <c r="B151" s="3" t="str">
        <f>_xlfn.CONCAT(C151, " / ", D151)</f>
        <v>effortless-xlsx / SendIntents.ExceptionPrescribedAnAlternative</v>
      </c>
      <c r="C151" s="2" t="s">
        <v>13987</v>
      </c>
      <c r="D151" s="2" t="s">
        <v>4839</v>
      </c>
      <c r="E151" s="2" t="s">
        <v>14152</v>
      </c>
      <c r="F151" s="2" t="s">
        <v>2389</v>
      </c>
      <c r="G151" s="2">
        <v>2</v>
      </c>
      <c r="H151" s="2" t="s">
        <v>14591</v>
      </c>
      <c r="I151" s="3">
        <f>COUNTIFS(CellDisagreements!C2:C999, A151)</f>
        <v>2</v>
      </c>
      <c r="J151" s="3" t="b">
        <f>I151 = G151</f>
        <v>1</v>
      </c>
      <c r="K151" s="3" t="str">
        <f>_xlfn.IFNA(INDEX(RulebookFields!G2:G999, MATCH(D151,RulebookFields!A2:A999, 0)), "")</f>
      </c>
      <c r="L151" s="3" t="str">
        <f>_xlfn.IFNA(INDEX(ConformanceSubstrates!C2:C999, MATCH(C151,ConformanceSubstrates!A2:A999, 0)), "")</f>
        <v>Excel</v>
      </c>
      <c r="M151" s="2" t="s">
        <v>1902</v>
      </c>
    </row>
    <row r="152">
      <c r="A152" s="2" t="s">
        <v>14742</v>
      </c>
      <c r="B152" s="3" t="str">
        <f>_xlfn.CONCAT(C152, " / ", D152)</f>
        <v>effortless-xlsx / SendIntents.IsSuppressionWithoutRemedy</v>
      </c>
      <c r="C152" s="2" t="s">
        <v>13987</v>
      </c>
      <c r="D152" s="2" t="s">
        <v>4845</v>
      </c>
      <c r="E152" s="2" t="s">
        <v>14152</v>
      </c>
      <c r="F152" s="2" t="s">
        <v>2389</v>
      </c>
      <c r="G152" s="2">
        <v>2</v>
      </c>
      <c r="H152" s="2" t="s">
        <v>14591</v>
      </c>
      <c r="I152" s="3">
        <f>COUNTIFS(CellDisagreements!C2:C999, A152)</f>
        <v>2</v>
      </c>
      <c r="J152" s="3" t="b">
        <f>I152 = G152</f>
        <v>1</v>
      </c>
      <c r="K152" s="3" t="str">
        <f>_xlfn.IFNA(INDEX(RulebookFields!G2:G999, MATCH(D152,RulebookFields!A2:A999, 0)), "")</f>
      </c>
      <c r="L152" s="3" t="str">
        <f>_xlfn.IFNA(INDEX(ConformanceSubstrates!C2:C999, MATCH(C152,ConformanceSubstrates!A2:A999, 0)), "")</f>
        <v>Excel</v>
      </c>
      <c r="M152" s="2" t="s">
        <v>1902</v>
      </c>
    </row>
    <row r="153">
      <c r="A153" s="2" t="s">
        <v>14743</v>
      </c>
      <c r="B153" s="3" t="str">
        <f>_xlfn.CONCAT(C153, " / ", D153)</f>
        <v>effortless-xlsx / SendIntents.AsOfInstant</v>
      </c>
      <c r="C153" s="2" t="s">
        <v>13987</v>
      </c>
      <c r="D153" s="2" t="s">
        <v>4876</v>
      </c>
      <c r="E153" s="2" t="s">
        <v>14152</v>
      </c>
      <c r="F153" s="2" t="s">
        <v>2478</v>
      </c>
      <c r="G153" s="2">
        <v>7</v>
      </c>
      <c r="H153" s="2" t="s">
        <v>14591</v>
      </c>
      <c r="I153" s="3">
        <f>COUNTIFS(CellDisagreements!C2:C999, A153)</f>
        <v>7</v>
      </c>
      <c r="J153" s="3" t="b">
        <f>I153 = G153</f>
        <v>1</v>
      </c>
      <c r="K153" s="3" t="str">
        <f>_xlfn.IFNA(INDEX(RulebookFields!G2:G999, MATCH(D153,RulebookFields!A2:A999, 0)), "")</f>
      </c>
      <c r="L153" s="3" t="str">
        <f>_xlfn.IFNA(INDEX(ConformanceSubstrates!C2:C999, MATCH(C153,ConformanceSubstrates!A2:A999, 0)), "")</f>
        <v>Excel</v>
      </c>
      <c r="M153" s="2" t="s">
        <v>1902</v>
      </c>
    </row>
    <row r="154">
      <c r="A154" s="2" t="s">
        <v>14744</v>
      </c>
      <c r="B154" s="3" t="str">
        <f>_xlfn.CONCAT(C154, " / ", D154)</f>
        <v>effortless-xlsx / SendIntents.WindowHasSinceReopened</v>
      </c>
      <c r="C154" s="2" t="s">
        <v>13987</v>
      </c>
      <c r="D154" s="2" t="s">
        <v>4877</v>
      </c>
      <c r="E154" s="2" t="s">
        <v>14152</v>
      </c>
      <c r="F154" s="2" t="s">
        <v>2389</v>
      </c>
      <c r="G154" s="2">
        <v>7</v>
      </c>
      <c r="H154" s="2" t="s">
        <v>14591</v>
      </c>
      <c r="I154" s="3">
        <f>COUNTIFS(CellDisagreements!C2:C999, A154)</f>
        <v>7</v>
      </c>
      <c r="J154" s="3" t="b">
        <f>I154 = G154</f>
        <v>1</v>
      </c>
      <c r="K154" s="3" t="str">
        <f>_xlfn.IFNA(INDEX(RulebookFields!G2:G999, MATCH(D154,RulebookFields!A2:A999, 0)), "")</f>
      </c>
      <c r="L154" s="3" t="str">
        <f>_xlfn.IFNA(INDEX(ConformanceSubstrates!C2:C999, MATCH(C154,ConformanceSubstrates!A2:A999, 0)), "")</f>
        <v>Excel</v>
      </c>
      <c r="M154" s="2" t="s">
        <v>1902</v>
      </c>
    </row>
    <row r="155">
      <c r="A155" s="2" t="s">
        <v>14745</v>
      </c>
      <c r="B155" s="3" t="str">
        <f>_xlfn.CONCAT(C155, " / ", D155)</f>
        <v>effortless-xlsx / SendIntents.IsAbandonedDeferral</v>
      </c>
      <c r="C155" s="2" t="s">
        <v>13987</v>
      </c>
      <c r="D155" s="2" t="s">
        <v>4886</v>
      </c>
      <c r="E155" s="2" t="s">
        <v>14152</v>
      </c>
      <c r="F155" s="2" t="s">
        <v>2389</v>
      </c>
      <c r="G155" s="2">
        <v>7</v>
      </c>
      <c r="H155" s="2" t="s">
        <v>14591</v>
      </c>
      <c r="I155" s="3">
        <f>COUNTIFS(CellDisagreements!C2:C999, A155)</f>
        <v>7</v>
      </c>
      <c r="J155" s="3" t="b">
        <f>I155 = G155</f>
        <v>1</v>
      </c>
      <c r="K155" s="3" t="str">
        <f>_xlfn.IFNA(INDEX(RulebookFields!G2:G999, MATCH(D155,RulebookFields!A2:A999, 0)), "")</f>
      </c>
      <c r="L155" s="3" t="str">
        <f>_xlfn.IFNA(INDEX(ConformanceSubstrates!C2:C999, MATCH(C155,ConformanceSubstrates!A2:A999, 0)), "")</f>
        <v>Excel</v>
      </c>
      <c r="M155" s="2" t="s">
        <v>1902</v>
      </c>
    </row>
    <row r="156">
      <c r="A156" s="2" t="s">
        <v>14746</v>
      </c>
      <c r="B156" s="3" t="str">
        <f>_xlfn.CONCAT(C156, " / ", D156)</f>
        <v>effortless-xlsx / SendIntents.DeferralAgeHours</v>
      </c>
      <c r="C156" s="2" t="s">
        <v>13987</v>
      </c>
      <c r="D156" s="2" t="s">
        <v>4889</v>
      </c>
      <c r="E156" s="2" t="s">
        <v>14152</v>
      </c>
      <c r="F156" s="2" t="s">
        <v>2389</v>
      </c>
      <c r="G156" s="2">
        <v>7</v>
      </c>
      <c r="H156" s="2" t="s">
        <v>14591</v>
      </c>
      <c r="I156" s="3">
        <f>COUNTIFS(CellDisagreements!C2:C999, A156)</f>
        <v>7</v>
      </c>
      <c r="J156" s="3" t="b">
        <f>I156 = G156</f>
        <v>1</v>
      </c>
      <c r="K156" s="3" t="str">
        <f>_xlfn.IFNA(INDEX(RulebookFields!G2:G999, MATCH(D156,RulebookFields!A2:A999, 0)), "")</f>
      </c>
      <c r="L156" s="3" t="str">
        <f>_xlfn.IFNA(INDEX(ConformanceSubstrates!C2:C999, MATCH(C156,ConformanceSubstrates!A2:A999, 0)), "")</f>
        <v>Excel</v>
      </c>
      <c r="M156" s="2" t="s">
        <v>1902</v>
      </c>
    </row>
    <row r="157">
      <c r="A157" s="2" t="s">
        <v>14747</v>
      </c>
      <c r="B157" s="3" t="str">
        <f>_xlfn.CONCAT(C157, " / ", D157)</f>
        <v>effortless-xlsx / SendIntents.IsStaleDeferral</v>
      </c>
      <c r="C157" s="2" t="s">
        <v>13987</v>
      </c>
      <c r="D157" s="2" t="s">
        <v>4892</v>
      </c>
      <c r="E157" s="2" t="s">
        <v>14152</v>
      </c>
      <c r="F157" s="2" t="s">
        <v>2389</v>
      </c>
      <c r="G157" s="2">
        <v>7</v>
      </c>
      <c r="H157" s="2" t="s">
        <v>14591</v>
      </c>
      <c r="I157" s="3">
        <f>COUNTIFS(CellDisagreements!C2:C999, A157)</f>
        <v>7</v>
      </c>
      <c r="J157" s="3" t="b">
        <f>I157 = G157</f>
        <v>1</v>
      </c>
      <c r="K157" s="3" t="str">
        <f>_xlfn.IFNA(INDEX(RulebookFields!G2:G999, MATCH(D157,RulebookFields!A2:A999, 0)), "")</f>
      </c>
      <c r="L157" s="3" t="str">
        <f>_xlfn.IFNA(INDEX(ConformanceSubstrates!C2:C999, MATCH(C157,ConformanceSubstrates!A2:A999, 0)), "")</f>
        <v>Excel</v>
      </c>
      <c r="M157" s="2" t="s">
        <v>1902</v>
      </c>
    </row>
    <row r="158">
      <c r="A158" s="2" t="s">
        <v>14748</v>
      </c>
      <c r="B158" s="3" t="str">
        <f>_xlfn.CONCAT(C158, " / ", D158)</f>
        <v>effortless-xlsx / SendIntents.IsSelfWitnessedDecision</v>
      </c>
      <c r="C158" s="2" t="s">
        <v>13987</v>
      </c>
      <c r="D158" s="2" t="s">
        <v>4917</v>
      </c>
      <c r="E158" s="2" t="s">
        <v>14152</v>
      </c>
      <c r="F158" s="2" t="s">
        <v>2389</v>
      </c>
      <c r="G158" s="2">
        <v>7</v>
      </c>
      <c r="H158" s="2" t="s">
        <v>14591</v>
      </c>
      <c r="I158" s="3">
        <f>COUNTIFS(CellDisagreements!C2:C999, A158)</f>
        <v>7</v>
      </c>
      <c r="J158" s="3" t="b">
        <f>I158 = G158</f>
        <v>1</v>
      </c>
      <c r="K158" s="3" t="str">
        <f>_xlfn.IFNA(INDEX(RulebookFields!G2:G999, MATCH(D158,RulebookFields!A2:A999, 0)), "")</f>
      </c>
      <c r="L158" s="3" t="str">
        <f>_xlfn.IFNA(INDEX(ConformanceSubstrates!C2:C999, MATCH(C158,ConformanceSubstrates!A2:A999, 0)), "")</f>
        <v>Excel</v>
      </c>
      <c r="M158" s="2" t="s">
        <v>1902</v>
      </c>
    </row>
    <row r="159">
      <c r="A159" s="2" t="s">
        <v>14749</v>
      </c>
      <c r="B159" s="3" t="str">
        <f>_xlfn.CONCAT(C159, " / ", D159)</f>
        <v>effortless-xlsx / SendIntents.IsProperlyHandledRefusal</v>
      </c>
      <c r="C159" s="2" t="s">
        <v>13987</v>
      </c>
      <c r="D159" s="2" t="s">
        <v>4790</v>
      </c>
      <c r="E159" s="2" t="s">
        <v>14152</v>
      </c>
      <c r="F159" s="2" t="s">
        <v>2389</v>
      </c>
      <c r="G159" s="2">
        <v>5</v>
      </c>
      <c r="H159" s="2" t="s">
        <v>14591</v>
      </c>
      <c r="I159" s="3">
        <f>COUNTIFS(CellDisagreements!C2:C999, A159)</f>
        <v>5</v>
      </c>
      <c r="J159" s="3" t="b">
        <f>I159 = G159</f>
        <v>1</v>
      </c>
      <c r="K159" s="3" t="str">
        <f>_xlfn.IFNA(INDEX(RulebookFields!G2:G999, MATCH(D159,RulebookFields!A2:A999, 0)), "")</f>
      </c>
      <c r="L159" s="3" t="str">
        <f>_xlfn.IFNA(INDEX(ConformanceSubstrates!C2:C999, MATCH(C159,ConformanceSubstrates!A2:A999, 0)), "")</f>
        <v>Excel</v>
      </c>
      <c r="M159" s="2" t="s">
        <v>1902</v>
      </c>
    </row>
    <row r="160">
      <c r="A160" s="2" t="s">
        <v>14750</v>
      </c>
      <c r="B160" s="3" t="str">
        <f>_xlfn.CONCAT(C160, " / ", D160)</f>
        <v>effortless-xlsx / SendIntents.OptOutGatePassed</v>
      </c>
      <c r="C160" s="2" t="s">
        <v>13987</v>
      </c>
      <c r="D160" s="2" t="s">
        <v>4744</v>
      </c>
      <c r="E160" s="2" t="s">
        <v>14152</v>
      </c>
      <c r="F160" s="2" t="s">
        <v>2389</v>
      </c>
      <c r="G160" s="2">
        <v>1</v>
      </c>
      <c r="H160" s="2" t="s">
        <v>14591</v>
      </c>
      <c r="I160" s="3">
        <f>COUNTIFS(CellDisagreements!C2:C999, A160)</f>
        <v>1</v>
      </c>
      <c r="J160" s="3" t="b">
        <f>I160 = G160</f>
        <v>1</v>
      </c>
      <c r="K160" s="3" t="str">
        <f>_xlfn.IFNA(INDEX(RulebookFields!G2:G999, MATCH(D160,RulebookFields!A2:A999, 0)), "")</f>
      </c>
      <c r="L160" s="3" t="str">
        <f>_xlfn.IFNA(INDEX(ConformanceSubstrates!C2:C999, MATCH(C160,ConformanceSubstrates!A2:A999, 0)), "")</f>
        <v>Excel</v>
      </c>
      <c r="M160" s="2" t="s">
        <v>1902</v>
      </c>
    </row>
    <row r="161">
      <c r="A161" s="2" t="s">
        <v>14751</v>
      </c>
      <c r="B161" s="3" t="str">
        <f>_xlfn.CONCAT(C161, " / ", D161)</f>
        <v>effortless-xlsx / SendIntents.ContentGatePassed</v>
      </c>
      <c r="C161" s="2" t="s">
        <v>13987</v>
      </c>
      <c r="D161" s="2" t="s">
        <v>4747</v>
      </c>
      <c r="E161" s="2" t="s">
        <v>14152</v>
      </c>
      <c r="F161" s="2" t="s">
        <v>2389</v>
      </c>
      <c r="G161" s="2">
        <v>1</v>
      </c>
      <c r="H161" s="2" t="s">
        <v>14591</v>
      </c>
      <c r="I161" s="3">
        <f>COUNTIFS(CellDisagreements!C2:C999, A161)</f>
        <v>1</v>
      </c>
      <c r="J161" s="3" t="b">
        <f>I161 = G161</f>
        <v>1</v>
      </c>
      <c r="K161" s="3" t="str">
        <f>_xlfn.IFNA(INDEX(RulebookFields!G2:G999, MATCH(D161,RulebookFields!A2:A999, 0)), "")</f>
      </c>
      <c r="L161" s="3" t="str">
        <f>_xlfn.IFNA(INDEX(ConformanceSubstrates!C2:C999, MATCH(C161,ConformanceSubstrates!A2:A999, 0)), "")</f>
        <v>Excel</v>
      </c>
      <c r="M161" s="2" t="s">
        <v>1902</v>
      </c>
    </row>
    <row r="162">
      <c r="A162" s="2" t="s">
        <v>14752</v>
      </c>
      <c r="B162" s="3" t="str">
        <f>_xlfn.CONCAT(C162, " / ", D162)</f>
        <v>effortless-xlsx / SendIntents.IsClearedToSend</v>
      </c>
      <c r="C162" s="2" t="s">
        <v>13987</v>
      </c>
      <c r="D162" s="2" t="s">
        <v>4766</v>
      </c>
      <c r="E162" s="2" t="s">
        <v>14152</v>
      </c>
      <c r="F162" s="2" t="s">
        <v>2389</v>
      </c>
      <c r="G162" s="2">
        <v>1</v>
      </c>
      <c r="H162" s="2" t="s">
        <v>14591</v>
      </c>
      <c r="I162" s="3">
        <f>COUNTIFS(CellDisagreements!C2:C999, A162)</f>
        <v>1</v>
      </c>
      <c r="J162" s="3" t="b">
        <f>I162 = G162</f>
        <v>1</v>
      </c>
      <c r="K162" s="3" t="str">
        <f>_xlfn.IFNA(INDEX(RulebookFields!G2:G999, MATCH(D162,RulebookFields!A2:A999, 0)), "")</f>
      </c>
      <c r="L162" s="3" t="str">
        <f>_xlfn.IFNA(INDEX(ConformanceSubstrates!C2:C999, MATCH(C162,ConformanceSubstrates!A2:A999, 0)), "")</f>
        <v>Excel</v>
      </c>
      <c r="M162" s="2" t="s">
        <v>1902</v>
      </c>
    </row>
    <row r="163">
      <c r="A163" s="2" t="s">
        <v>14753</v>
      </c>
      <c r="B163" s="3" t="str">
        <f>_xlfn.CONCAT(C163, " / ", D163)</f>
        <v>effortless-xlsx / SendIntents.BlockingGateName</v>
      </c>
      <c r="C163" s="2" t="s">
        <v>13987</v>
      </c>
      <c r="D163" s="2" t="s">
        <v>4769</v>
      </c>
      <c r="E163" s="2" t="s">
        <v>14152</v>
      </c>
      <c r="F163" s="2" t="s">
        <v>2389</v>
      </c>
      <c r="G163" s="2">
        <v>1</v>
      </c>
      <c r="H163" s="2" t="s">
        <v>14591</v>
      </c>
      <c r="I163" s="3">
        <f>COUNTIFS(CellDisagreements!C2:C999, A163)</f>
        <v>1</v>
      </c>
      <c r="J163" s="3" t="b">
        <f>I163 = G163</f>
        <v>1</v>
      </c>
      <c r="K163" s="3" t="str">
        <f>_xlfn.IFNA(INDEX(RulebookFields!G2:G999, MATCH(D163,RulebookFields!A2:A999, 0)), "")</f>
      </c>
      <c r="L163" s="3" t="str">
        <f>_xlfn.IFNA(INDEX(ConformanceSubstrates!C2:C999, MATCH(C163,ConformanceSubstrates!A2:A999, 0)), "")</f>
        <v>Excel</v>
      </c>
      <c r="M163" s="2" t="s">
        <v>1902</v>
      </c>
    </row>
    <row r="164">
      <c r="A164" s="2" t="s">
        <v>14754</v>
      </c>
      <c r="B164" s="3" t="str">
        <f>_xlfn.CONCAT(C164, " / ", D164)</f>
        <v>effortless-xlsx / SendIntents.IsOverriddenRefusal</v>
      </c>
      <c r="C164" s="2" t="s">
        <v>13987</v>
      </c>
      <c r="D164" s="2" t="s">
        <v>4778</v>
      </c>
      <c r="E164" s="2" t="s">
        <v>14152</v>
      </c>
      <c r="F164" s="2" t="s">
        <v>2389</v>
      </c>
      <c r="G164" s="2">
        <v>1</v>
      </c>
      <c r="H164" s="2" t="s">
        <v>14591</v>
      </c>
      <c r="I164" s="3">
        <f>COUNTIFS(CellDisagreements!C2:C999, A164)</f>
        <v>1</v>
      </c>
      <c r="J164" s="3" t="b">
        <f>I164 = G164</f>
        <v>1</v>
      </c>
      <c r="K164" s="3" t="str">
        <f>_xlfn.IFNA(INDEX(RulebookFields!G2:G999, MATCH(D164,RulebookFields!A2:A999, 0)), "")</f>
      </c>
      <c r="L164" s="3" t="str">
        <f>_xlfn.IFNA(INDEX(ConformanceSubstrates!C2:C999, MATCH(C164,ConformanceSubstrates!A2:A999, 0)), "")</f>
        <v>Excel</v>
      </c>
      <c r="M164" s="2" t="s">
        <v>1902</v>
      </c>
    </row>
    <row r="165">
      <c r="A165" s="2" t="s">
        <v>14755</v>
      </c>
      <c r="B165" s="3" t="str">
        <f>_xlfn.CONCAT(C165, " / ", D165)</f>
        <v>effortless-xlsx / SendIntents.RefusalFailureExecutionKey</v>
      </c>
      <c r="C165" s="2" t="s">
        <v>13987</v>
      </c>
      <c r="D165" s="2" t="s">
        <v>4793</v>
      </c>
      <c r="E165" s="2" t="s">
        <v>14152</v>
      </c>
      <c r="F165" s="2" t="s">
        <v>2389</v>
      </c>
      <c r="G165" s="2">
        <v>1</v>
      </c>
      <c r="H165" s="2" t="s">
        <v>14591</v>
      </c>
      <c r="I165" s="3">
        <f>COUNTIFS(CellDisagreements!C2:C999, A165)</f>
        <v>1</v>
      </c>
      <c r="J165" s="3" t="b">
        <f>I165 = G165</f>
        <v>1</v>
      </c>
      <c r="K165" s="3" t="str">
        <f>_xlfn.IFNA(INDEX(RulebookFields!G2:G999, MATCH(D165,RulebookFields!A2:A999, 0)), "")</f>
      </c>
      <c r="L165" s="3" t="str">
        <f>_xlfn.IFNA(INDEX(ConformanceSubstrates!C2:C999, MATCH(C165,ConformanceSubstrates!A2:A999, 0)), "")</f>
        <v>Excel</v>
      </c>
      <c r="M165" s="2" t="s">
        <v>1902</v>
      </c>
    </row>
    <row r="166">
      <c r="A166" s="2" t="s">
        <v>14756</v>
      </c>
      <c r="B166" s="3" t="str">
        <f>_xlfn.CONCAT(C166, " / ", D166)</f>
        <v>effortless-xlsx / SendIntents.RefusedOnApprovedContent</v>
      </c>
      <c r="C166" s="2" t="s">
        <v>13987</v>
      </c>
      <c r="D166" s="2" t="s">
        <v>4808</v>
      </c>
      <c r="E166" s="2" t="s">
        <v>14152</v>
      </c>
      <c r="F166" s="2" t="s">
        <v>2389</v>
      </c>
      <c r="G166" s="2">
        <v>1</v>
      </c>
      <c r="H166" s="2" t="s">
        <v>14591</v>
      </c>
      <c r="I166" s="3">
        <f>COUNTIFS(CellDisagreements!C2:C999, A166)</f>
        <v>1</v>
      </c>
      <c r="J166" s="3" t="b">
        <f>I166 = G166</f>
        <v>1</v>
      </c>
      <c r="K166" s="3" t="str">
        <f>_xlfn.IFNA(INDEX(RulebookFields!G2:G999, MATCH(D166,RulebookFields!A2:A999, 0)), "")</f>
      </c>
      <c r="L166" s="3" t="str">
        <f>_xlfn.IFNA(INDEX(ConformanceSubstrates!C2:C999, MATCH(C166,ConformanceSubstrates!A2:A999, 0)), "")</f>
        <v>Excel</v>
      </c>
      <c r="M166" s="2" t="s">
        <v>1902</v>
      </c>
    </row>
    <row r="167">
      <c r="A167" s="2" t="s">
        <v>14757</v>
      </c>
      <c r="B167" s="3" t="str">
        <f>_xlfn.CONCAT(C167, " / ", D167)</f>
        <v>effortless-xlsx / SendIntents.RefusedOnOptOutOnly</v>
      </c>
      <c r="C167" s="2" t="s">
        <v>13987</v>
      </c>
      <c r="D167" s="2" t="s">
        <v>4811</v>
      </c>
      <c r="E167" s="2" t="s">
        <v>14152</v>
      </c>
      <c r="F167" s="2" t="s">
        <v>2389</v>
      </c>
      <c r="G167" s="2">
        <v>1</v>
      </c>
      <c r="H167" s="2" t="s">
        <v>14591</v>
      </c>
      <c r="I167" s="3">
        <f>COUNTIFS(CellDisagreements!C2:C999, A167)</f>
        <v>1</v>
      </c>
      <c r="J167" s="3" t="b">
        <f>I167 = G167</f>
        <v>1</v>
      </c>
      <c r="K167" s="3" t="str">
        <f>_xlfn.IFNA(INDEX(RulebookFields!G2:G999, MATCH(D167,RulebookFields!A2:A999, 0)), "")</f>
      </c>
      <c r="L167" s="3" t="str">
        <f>_xlfn.IFNA(INDEX(ConformanceSubstrates!C2:C999, MATCH(C167,ConformanceSubstrates!A2:A999, 0)), "")</f>
        <v>Excel</v>
      </c>
      <c r="M167" s="2" t="s">
        <v>1902</v>
      </c>
    </row>
    <row r="168">
      <c r="A168" s="2" t="s">
        <v>14758</v>
      </c>
      <c r="B168" s="3" t="str">
        <f>_xlfn.CONCAT(C168, " / ", D168)</f>
        <v>effortless-xlsx / SendIntents.RefusalWasOnMyRules</v>
      </c>
      <c r="C168" s="2" t="s">
        <v>13987</v>
      </c>
      <c r="D168" s="2" t="s">
        <v>4814</v>
      </c>
      <c r="E168" s="2" t="s">
        <v>14152</v>
      </c>
      <c r="F168" s="2" t="s">
        <v>2389</v>
      </c>
      <c r="G168" s="2">
        <v>1</v>
      </c>
      <c r="H168" s="2" t="s">
        <v>14591</v>
      </c>
      <c r="I168" s="3">
        <f>COUNTIFS(CellDisagreements!C2:C999, A168)</f>
        <v>1</v>
      </c>
      <c r="J168" s="3" t="b">
        <f>I168 = G168</f>
        <v>1</v>
      </c>
      <c r="K168" s="3" t="str">
        <f>_xlfn.IFNA(INDEX(RulebookFields!G2:G999, MATCH(D168,RulebookFields!A2:A999, 0)), "")</f>
      </c>
      <c r="L168" s="3" t="str">
        <f>_xlfn.IFNA(INDEX(ConformanceSubstrates!C2:C999, MATCH(C168,ConformanceSubstrates!A2:A999, 0)), "")</f>
        <v>Excel</v>
      </c>
      <c r="M168" s="2" t="s">
        <v>1902</v>
      </c>
    </row>
    <row r="169">
      <c r="A169" s="2" t="s">
        <v>14759</v>
      </c>
      <c r="B169" s="3" t="str">
        <f>_xlfn.CONCAT(C169, " / ", D169)</f>
        <v>effortless-xlsx / SendIntents.IsRefusedWithNoAlternative</v>
      </c>
      <c r="C169" s="2" t="s">
        <v>13987</v>
      </c>
      <c r="D169" s="2" t="s">
        <v>4836</v>
      </c>
      <c r="E169" s="2" t="s">
        <v>14152</v>
      </c>
      <c r="F169" s="2" t="s">
        <v>2389</v>
      </c>
      <c r="G169" s="2">
        <v>1</v>
      </c>
      <c r="H169" s="2" t="s">
        <v>14591</v>
      </c>
      <c r="I169" s="3">
        <f>COUNTIFS(CellDisagreements!C2:C999, A169)</f>
        <v>1</v>
      </c>
      <c r="J169" s="3" t="b">
        <f>I169 = G169</f>
        <v>1</v>
      </c>
      <c r="K169" s="3" t="str">
        <f>_xlfn.IFNA(INDEX(RulebookFields!G2:G999, MATCH(D169,RulebookFields!A2:A999, 0)), "")</f>
      </c>
      <c r="L169" s="3" t="str">
        <f>_xlfn.IFNA(INDEX(ConformanceSubstrates!C2:C999, MATCH(C169,ConformanceSubstrates!A2:A999, 0)), "")</f>
        <v>Excel</v>
      </c>
      <c r="M169" s="2" t="s">
        <v>1902</v>
      </c>
    </row>
    <row r="170">
      <c r="A170" s="2" t="s">
        <v>14760</v>
      </c>
      <c r="B170" s="3" t="str">
        <f>_xlfn.CONCAT(C170, " / ", D170)</f>
        <v>effortless-xlsx / SendIntents.IsUnescalatedRefusal</v>
      </c>
      <c r="C170" s="2" t="s">
        <v>13987</v>
      </c>
      <c r="D170" s="2" t="s">
        <v>4861</v>
      </c>
      <c r="E170" s="2" t="s">
        <v>14152</v>
      </c>
      <c r="F170" s="2" t="s">
        <v>2389</v>
      </c>
      <c r="G170" s="2">
        <v>1</v>
      </c>
      <c r="H170" s="2" t="s">
        <v>14591</v>
      </c>
      <c r="I170" s="3">
        <f>COUNTIFS(CellDisagreements!C2:C999, A170)</f>
        <v>1</v>
      </c>
      <c r="J170" s="3" t="b">
        <f>I170 = G170</f>
        <v>1</v>
      </c>
      <c r="K170" s="3" t="str">
        <f>_xlfn.IFNA(INDEX(RulebookFields!G2:G999, MATCH(D170,RulebookFields!A2:A999, 0)), "")</f>
      </c>
      <c r="L170" s="3" t="str">
        <f>_xlfn.IFNA(INDEX(ConformanceSubstrates!C2:C999, MATCH(C170,ConformanceSubstrates!A2:A999, 0)), "")</f>
        <v>Excel</v>
      </c>
      <c r="M170" s="2" t="s">
        <v>1902</v>
      </c>
    </row>
    <row r="171">
      <c r="A171" s="2" t="s">
        <v>14761</v>
      </c>
      <c r="B171" s="3" t="str">
        <f>_xlfn.CONCAT(C171, " / ", D171)</f>
        <v>effortless-xlsx / AgentDecisionRecords.ReviewLatencyMinutes</v>
      </c>
      <c r="C171" s="2" t="s">
        <v>13987</v>
      </c>
      <c r="D171" s="2" t="s">
        <v>4995</v>
      </c>
      <c r="E171" s="2" t="s">
        <v>14153</v>
      </c>
      <c r="F171" s="2" t="s">
        <v>2389</v>
      </c>
      <c r="G171" s="2">
        <v>3</v>
      </c>
      <c r="H171" s="2" t="s">
        <v>14591</v>
      </c>
      <c r="I171" s="3">
        <f>COUNTIFS(CellDisagreements!C2:C999, A171)</f>
        <v>3</v>
      </c>
      <c r="J171" s="3" t="b">
        <f>I171 = G171</f>
        <v>1</v>
      </c>
      <c r="K171" s="3" t="str">
        <f>_xlfn.IFNA(INDEX(RulebookFields!G2:G999, MATCH(D171,RulebookFields!A2:A999, 0)), "")</f>
      </c>
      <c r="L171" s="3" t="str">
        <f>_xlfn.IFNA(INDEX(ConformanceSubstrates!C2:C999, MATCH(C171,ConformanceSubstrates!A2:A999, 0)), "")</f>
        <v>Excel</v>
      </c>
      <c r="M171" s="2" t="s">
        <v>1902</v>
      </c>
    </row>
    <row r="172">
      <c r="A172" s="2" t="s">
        <v>14762</v>
      </c>
      <c r="B172" s="3" t="str">
        <f>_xlfn.CONCAT(C172, " / ", D172)</f>
        <v>effortless-xlsx / DeliveredCommunications.Name</v>
      </c>
      <c r="C172" s="2" t="s">
        <v>13987</v>
      </c>
      <c r="D172" s="2" t="s">
        <v>5031</v>
      </c>
      <c r="E172" s="2" t="s">
        <v>14154</v>
      </c>
      <c r="F172" s="2" t="s">
        <v>2389</v>
      </c>
      <c r="G172" s="2">
        <v>1</v>
      </c>
      <c r="H172" s="2" t="s">
        <v>14591</v>
      </c>
      <c r="I172" s="3">
        <f>COUNTIFS(CellDisagreements!C2:C999, A172)</f>
        <v>1</v>
      </c>
      <c r="J172" s="3" t="b">
        <f>I172 = G172</f>
        <v>1</v>
      </c>
      <c r="K172" s="3" t="str">
        <f>_xlfn.IFNA(INDEX(RulebookFields!G2:G999, MATCH(D172,RulebookFields!A2:A999, 0)), "")</f>
      </c>
      <c r="L172" s="3" t="str">
        <f>_xlfn.IFNA(INDEX(ConformanceSubstrates!C2:C999, MATCH(C172,ConformanceSubstrates!A2:A999, 0)), "")</f>
        <v>Excel</v>
      </c>
      <c r="M172" s="2" t="s">
        <v>1902</v>
      </c>
    </row>
    <row r="173">
      <c r="A173" s="2" t="s">
        <v>14763</v>
      </c>
      <c r="B173" s="3" t="str">
        <f>_xlfn.CONCAT(C173, " / ", D173)</f>
        <v>effortless-xlsx / DeliveredCommunications.WasApprovedBeforeSending</v>
      </c>
      <c r="C173" s="2" t="s">
        <v>13987</v>
      </c>
      <c r="D173" s="2" t="s">
        <v>5058</v>
      </c>
      <c r="E173" s="2" t="s">
        <v>14154</v>
      </c>
      <c r="F173" s="2" t="s">
        <v>2389</v>
      </c>
      <c r="G173" s="2">
        <v>1</v>
      </c>
      <c r="H173" s="2" t="s">
        <v>14591</v>
      </c>
      <c r="I173" s="3">
        <f>COUNTIFS(CellDisagreements!C2:C999, A173)</f>
        <v>1</v>
      </c>
      <c r="J173" s="3" t="b">
        <f>I173 = G173</f>
        <v>1</v>
      </c>
      <c r="K173" s="3" t="str">
        <f>_xlfn.IFNA(INDEX(RulebookFields!G2:G999, MATCH(D173,RulebookFields!A2:A999, 0)), "")</f>
      </c>
      <c r="L173" s="3" t="str">
        <f>_xlfn.IFNA(INDEX(ConformanceSubstrates!C2:C999, MATCH(C173,ConformanceSubstrates!A2:A999, 0)), "")</f>
        <v>Excel</v>
      </c>
      <c r="M173" s="2" t="s">
        <v>1902</v>
      </c>
    </row>
    <row r="174">
      <c r="A174" s="2" t="s">
        <v>14764</v>
      </c>
      <c r="B174" s="3" t="str">
        <f>_xlfn.CONCAT(C174, " / ", D174)</f>
        <v>effortless-xlsx / AuthorityBoundaries.AsOfInstant</v>
      </c>
      <c r="C174" s="2" t="s">
        <v>13987</v>
      </c>
      <c r="D174" s="2" t="s">
        <v>5083</v>
      </c>
      <c r="E174" s="2" t="s">
        <v>14155</v>
      </c>
      <c r="F174" s="2" t="s">
        <v>2478</v>
      </c>
      <c r="G174" s="2">
        <v>3</v>
      </c>
      <c r="H174" s="2" t="s">
        <v>14591</v>
      </c>
      <c r="I174" s="3">
        <f>COUNTIFS(CellDisagreements!C2:C999, A174)</f>
        <v>3</v>
      </c>
      <c r="J174" s="3" t="b">
        <f>I174 = G174</f>
        <v>1</v>
      </c>
      <c r="K174" s="3" t="str">
        <f>_xlfn.IFNA(INDEX(RulebookFields!G2:G999, MATCH(D174,RulebookFields!A2:A999, 0)), "")</f>
      </c>
      <c r="L174" s="3" t="str">
        <f>_xlfn.IFNA(INDEX(ConformanceSubstrates!C2:C999, MATCH(C174,ConformanceSubstrates!A2:A999, 0)), "")</f>
        <v>Excel</v>
      </c>
      <c r="M174" s="2" t="s">
        <v>1902</v>
      </c>
    </row>
    <row r="175">
      <c r="A175" s="2" t="s">
        <v>14765</v>
      </c>
      <c r="B175" s="3" t="str">
        <f>_xlfn.CONCAT(C175, " / ", D175)</f>
        <v>effortless-xlsx / AuthorityBoundaries.IsUnwarranted</v>
      </c>
      <c r="C175" s="2" t="s">
        <v>13987</v>
      </c>
      <c r="D175" s="2" t="s">
        <v>5104</v>
      </c>
      <c r="E175" s="2" t="s">
        <v>14155</v>
      </c>
      <c r="F175" s="2" t="s">
        <v>2389</v>
      </c>
      <c r="G175" s="2">
        <v>1</v>
      </c>
      <c r="H175" s="2" t="s">
        <v>14591</v>
      </c>
      <c r="I175" s="3">
        <f>COUNTIFS(CellDisagreements!C2:C999, A175)</f>
        <v>1</v>
      </c>
      <c r="J175" s="3" t="b">
        <f>I175 = G175</f>
        <v>1</v>
      </c>
      <c r="K175" s="3" t="str">
        <f>_xlfn.IFNA(INDEX(RulebookFields!G2:G999, MATCH(D175,RulebookFields!A2:A999, 0)), "")</f>
      </c>
      <c r="L175" s="3" t="str">
        <f>_xlfn.IFNA(INDEX(ConformanceSubstrates!C2:C999, MATCH(C175,ConformanceSubstrates!A2:A999, 0)), "")</f>
        <v>Excel</v>
      </c>
      <c r="M175" s="2" t="s">
        <v>1902</v>
      </c>
    </row>
    <row r="176">
      <c r="A176" s="2" t="s">
        <v>14766</v>
      </c>
      <c r="B176" s="3" t="str">
        <f>_xlfn.CONCAT(C176, " / ", D176)</f>
        <v>effortless-xlsx / AuthorityBoundaries.WarrantIsThin</v>
      </c>
      <c r="C176" s="2" t="s">
        <v>13987</v>
      </c>
      <c r="D176" s="2" t="s">
        <v>5113</v>
      </c>
      <c r="E176" s="2" t="s">
        <v>14155</v>
      </c>
      <c r="F176" s="2" t="s">
        <v>2389</v>
      </c>
      <c r="G176" s="2">
        <v>1</v>
      </c>
      <c r="H176" s="2" t="s">
        <v>14591</v>
      </c>
      <c r="I176" s="3">
        <f>COUNTIFS(CellDisagreements!C2:C999, A176)</f>
        <v>1</v>
      </c>
      <c r="J176" s="3" t="b">
        <f>I176 = G176</f>
        <v>1</v>
      </c>
      <c r="K176" s="3" t="str">
        <f>_xlfn.IFNA(INDEX(RulebookFields!G2:G999, MATCH(D176,RulebookFields!A2:A999, 0)), "")</f>
      </c>
      <c r="L176" s="3" t="str">
        <f>_xlfn.IFNA(INDEX(ConformanceSubstrates!C2:C999, MATCH(C176,ConformanceSubstrates!A2:A999, 0)), "")</f>
        <v>Excel</v>
      </c>
      <c r="M176" s="2" t="s">
        <v>1902</v>
      </c>
    </row>
    <row r="177">
      <c r="A177" s="2" t="s">
        <v>14767</v>
      </c>
      <c r="B177" s="3" t="str">
        <f>_xlfn.CONCAT(C177, " / ", D177)</f>
        <v>effortless-xlsx / AuthorityBoundaries.IsUnwarrantedAndUntested</v>
      </c>
      <c r="C177" s="2" t="s">
        <v>13987</v>
      </c>
      <c r="D177" s="2" t="s">
        <v>5116</v>
      </c>
      <c r="E177" s="2" t="s">
        <v>14155</v>
      </c>
      <c r="F177" s="2" t="s">
        <v>2389</v>
      </c>
      <c r="G177" s="2">
        <v>1</v>
      </c>
      <c r="H177" s="2" t="s">
        <v>14591</v>
      </c>
      <c r="I177" s="3">
        <f>COUNTIFS(CellDisagreements!C2:C999, A177)</f>
        <v>1</v>
      </c>
      <c r="J177" s="3" t="b">
        <f>I177 = G177</f>
        <v>1</v>
      </c>
      <c r="K177" s="3" t="str">
        <f>_xlfn.IFNA(INDEX(RulebookFields!G2:G999, MATCH(D177,RulebookFields!A2:A999, 0)), "")</f>
      </c>
      <c r="L177" s="3" t="str">
        <f>_xlfn.IFNA(INDEX(ConformanceSubstrates!C2:C999, MATCH(C177,ConformanceSubstrates!A2:A999, 0)), "")</f>
        <v>Excel</v>
      </c>
      <c r="M177" s="2" t="s">
        <v>1902</v>
      </c>
    </row>
    <row r="178">
      <c r="A178" s="2" t="s">
        <v>14768</v>
      </c>
      <c r="B178" s="3" t="str">
        <f>_xlfn.CONCAT(C178, " / ", D178)</f>
        <v>effortless-xlsx / AuthorityBoundaries.UnwarrantedBoundaryStepKey</v>
      </c>
      <c r="C178" s="2" t="s">
        <v>13987</v>
      </c>
      <c r="D178" s="2" t="s">
        <v>5119</v>
      </c>
      <c r="E178" s="2" t="s">
        <v>14155</v>
      </c>
      <c r="F178" s="2" t="s">
        <v>2389</v>
      </c>
      <c r="G178" s="2">
        <v>1</v>
      </c>
      <c r="H178" s="2" t="s">
        <v>14591</v>
      </c>
      <c r="I178" s="3">
        <f>COUNTIFS(CellDisagreements!C2:C999, A178)</f>
        <v>1</v>
      </c>
      <c r="J178" s="3" t="b">
        <f>I178 = G178</f>
        <v>1</v>
      </c>
      <c r="K178" s="3" t="str">
        <f>_xlfn.IFNA(INDEX(RulebookFields!G2:G999, MATCH(D178,RulebookFields!A2:A999, 0)), "")</f>
      </c>
      <c r="L178" s="3" t="str">
        <f>_xlfn.IFNA(INDEX(ConformanceSubstrates!C2:C999, MATCH(C178,ConformanceSubstrates!A2:A999, 0)), "")</f>
        <v>Excel</v>
      </c>
      <c r="M178" s="2" t="s">
        <v>1902</v>
      </c>
    </row>
    <row r="179">
      <c r="A179" s="2" t="s">
        <v>14769</v>
      </c>
      <c r="B179" s="3" t="str">
        <f>_xlfn.CONCAT(C179, " / ", D179)</f>
        <v>effortless-xlsx / AuthorityBoundaries.RatificationLapsed</v>
      </c>
      <c r="C179" s="2" t="s">
        <v>13987</v>
      </c>
      <c r="D179" s="2" t="s">
        <v>5128</v>
      </c>
      <c r="E179" s="2" t="s">
        <v>14155</v>
      </c>
      <c r="F179" s="2" t="s">
        <v>2389</v>
      </c>
      <c r="G179" s="2">
        <v>1</v>
      </c>
      <c r="H179" s="2" t="s">
        <v>14591</v>
      </c>
      <c r="I179" s="3">
        <f>COUNTIFS(CellDisagreements!C2:C999, A179)</f>
        <v>1</v>
      </c>
      <c r="J179" s="3" t="b">
        <f>I179 = G179</f>
        <v>1</v>
      </c>
      <c r="K179" s="3" t="str">
        <f>_xlfn.IFNA(INDEX(RulebookFields!G2:G999, MATCH(D179,RulebookFields!A2:A999, 0)), "")</f>
      </c>
      <c r="L179" s="3" t="str">
        <f>_xlfn.IFNA(INDEX(ConformanceSubstrates!C2:C999, MATCH(C179,ConformanceSubstrates!A2:A999, 0)), "")</f>
        <v>Excel</v>
      </c>
      <c r="M179" s="2" t="s">
        <v>1902</v>
      </c>
    </row>
    <row r="180">
      <c r="A180" s="2" t="s">
        <v>14770</v>
      </c>
      <c r="B180" s="3" t="str">
        <f>_xlfn.CONCAT(C180, " / ", D180)</f>
        <v>effortless-xlsx / AuthorityBoundaries.BindsDespiteLapsedRatification</v>
      </c>
      <c r="C180" s="2" t="s">
        <v>13987</v>
      </c>
      <c r="D180" s="2" t="s">
        <v>5131</v>
      </c>
      <c r="E180" s="2" t="s">
        <v>14155</v>
      </c>
      <c r="F180" s="2" t="s">
        <v>2389</v>
      </c>
      <c r="G180" s="2">
        <v>1</v>
      </c>
      <c r="H180" s="2" t="s">
        <v>14591</v>
      </c>
      <c r="I180" s="3">
        <f>COUNTIFS(CellDisagreements!C2:C999, A180)</f>
        <v>1</v>
      </c>
      <c r="J180" s="3" t="b">
        <f>I180 = G180</f>
        <v>1</v>
      </c>
      <c r="K180" s="3" t="str">
        <f>_xlfn.IFNA(INDEX(RulebookFields!G2:G999, MATCH(D180,RulebookFields!A2:A999, 0)), "")</f>
      </c>
      <c r="L180" s="3" t="str">
        <f>_xlfn.IFNA(INDEX(ConformanceSubstrates!C2:C999, MATCH(C180,ConformanceSubstrates!A2:A999, 0)), "")</f>
        <v>Excel</v>
      </c>
      <c r="M180" s="2" t="s">
        <v>1902</v>
      </c>
    </row>
    <row r="181">
      <c r="A181" s="2" t="s">
        <v>14771</v>
      </c>
      <c r="B181" s="3" t="str">
        <f>_xlfn.CONCAT(C181, " / ", D181)</f>
        <v>effortless-xlsx / AuthorityBoundaries.IsUngroundedAndUntested</v>
      </c>
      <c r="C181" s="2" t="s">
        <v>13987</v>
      </c>
      <c r="D181" s="2" t="s">
        <v>5134</v>
      </c>
      <c r="E181" s="2" t="s">
        <v>14155</v>
      </c>
      <c r="F181" s="2" t="s">
        <v>2389</v>
      </c>
      <c r="G181" s="2">
        <v>1</v>
      </c>
      <c r="H181" s="2" t="s">
        <v>14591</v>
      </c>
      <c r="I181" s="3">
        <f>COUNTIFS(CellDisagreements!C2:C999, A181)</f>
        <v>1</v>
      </c>
      <c r="J181" s="3" t="b">
        <f>I181 = G181</f>
        <v>1</v>
      </c>
      <c r="K181" s="3" t="str">
        <f>_xlfn.IFNA(INDEX(RulebookFields!G2:G999, MATCH(D181,RulebookFields!A2:A999, 0)), "")</f>
      </c>
      <c r="L181" s="3" t="str">
        <f>_xlfn.IFNA(INDEX(ConformanceSubstrates!C2:C999, MATCH(C181,ConformanceSubstrates!A2:A999, 0)), "")</f>
        <v>Excel</v>
      </c>
      <c r="M181" s="2" t="s">
        <v>1902</v>
      </c>
    </row>
    <row r="182">
      <c r="A182" s="2" t="s">
        <v>14772</v>
      </c>
      <c r="B182" s="3" t="str">
        <f>_xlfn.CONCAT(C182, " / ", D182)</f>
        <v>effortless-xlsx / AuthorityBoundaries.ConstrainedRoleAssignmentKey</v>
      </c>
      <c r="C182" s="2" t="s">
        <v>13987</v>
      </c>
      <c r="D182" s="2" t="s">
        <v>5137</v>
      </c>
      <c r="E182" s="2" t="s">
        <v>14155</v>
      </c>
      <c r="F182" s="2" t="s">
        <v>2389</v>
      </c>
      <c r="G182" s="2">
        <v>1</v>
      </c>
      <c r="H182" s="2" t="s">
        <v>14591</v>
      </c>
      <c r="I182" s="3">
        <f>COUNTIFS(CellDisagreements!C2:C999, A182)</f>
        <v>1</v>
      </c>
      <c r="J182" s="3" t="b">
        <f>I182 = G182</f>
        <v>1</v>
      </c>
      <c r="K182" s="3" t="str">
        <f>_xlfn.IFNA(INDEX(RulebookFields!G2:G999, MATCH(D182,RulebookFields!A2:A999, 0)), "")</f>
      </c>
      <c r="L182" s="3" t="str">
        <f>_xlfn.IFNA(INDEX(ConformanceSubstrates!C2:C999, MATCH(C182,ConformanceSubstrates!A2:A999, 0)), "")</f>
        <v>Excel</v>
      </c>
      <c r="M182" s="2" t="s">
        <v>1902</v>
      </c>
    </row>
    <row r="183">
      <c r="A183" s="2" t="s">
        <v>14773</v>
      </c>
      <c r="B183" s="3" t="str">
        <f>_xlfn.CONCAT(C183, " / ", D183)</f>
        <v>effortless-xlsx / RulebookTables.FieldCount</v>
      </c>
      <c r="C183" s="2" t="s">
        <v>13987</v>
      </c>
      <c r="D183" s="2" t="s">
        <v>5300</v>
      </c>
      <c r="E183" s="2" t="s">
        <v>14161</v>
      </c>
      <c r="F183" s="2" t="s">
        <v>2438</v>
      </c>
      <c r="G183" s="2">
        <v>47</v>
      </c>
      <c r="H183" s="2" t="s">
        <v>14591</v>
      </c>
      <c r="I183" s="3">
        <f>COUNTIFS(CellDisagreements!C2:C999, A183)</f>
        <v>20</v>
      </c>
      <c r="J183" s="3" t="b">
        <f>I183 = G183</f>
        <v>0</v>
      </c>
      <c r="K183" s="3" t="str">
        <f>_xlfn.IFNA(INDEX(RulebookFields!G2:G999, MATCH(D183,RulebookFields!A2:A999, 0)), "")</f>
      </c>
      <c r="L183" s="3" t="str">
        <f>_xlfn.IFNA(INDEX(ConformanceSubstrates!C2:C999, MATCH(C183,ConformanceSubstrates!A2:A999, 0)), "")</f>
        <v>Excel</v>
      </c>
      <c r="M183" s="2" t="s">
        <v>1902</v>
      </c>
    </row>
    <row r="184">
      <c r="A184" s="2" t="s">
        <v>14774</v>
      </c>
      <c r="B184" s="3" t="str">
        <f>_xlfn.CONCAT(C184, " / ", D184)</f>
        <v>effortless-xlsx / AccessPrincipals.GrantCount</v>
      </c>
      <c r="C184" s="2" t="s">
        <v>13987</v>
      </c>
      <c r="D184" s="2" t="s">
        <v>5333</v>
      </c>
      <c r="E184" s="2" t="s">
        <v>14162</v>
      </c>
      <c r="F184" s="2" t="s">
        <v>2438</v>
      </c>
      <c r="G184" s="2">
        <v>2</v>
      </c>
      <c r="H184" s="2" t="s">
        <v>14591</v>
      </c>
      <c r="I184" s="3">
        <f>COUNTIFS(CellDisagreements!C2:C999, A184)</f>
        <v>2</v>
      </c>
      <c r="J184" s="3" t="b">
        <f>I184 = G184</f>
        <v>1</v>
      </c>
      <c r="K184" s="3" t="str">
        <f>_xlfn.IFNA(INDEX(RulebookFields!G2:G999, MATCH(D184,RulebookFields!A2:A999, 0)), "")</f>
      </c>
      <c r="L184" s="3" t="str">
        <f>_xlfn.IFNA(INDEX(ConformanceSubstrates!C2:C999, MATCH(C184,ConformanceSubstrates!A2:A999, 0)), "")</f>
        <v>Excel</v>
      </c>
      <c r="M184" s="2" t="s">
        <v>1902</v>
      </c>
    </row>
    <row r="185">
      <c r="A185" s="2" t="s">
        <v>14775</v>
      </c>
      <c r="B185" s="3" t="str">
        <f>_xlfn.CONCAT(C185, " / ", D185)</f>
        <v>effortless-xlsx / FieldGrants.FieldTable</v>
      </c>
      <c r="C185" s="2" t="s">
        <v>13987</v>
      </c>
      <c r="D185" s="2" t="s">
        <v>5394</v>
      </c>
      <c r="E185" s="2" t="s">
        <v>14164</v>
      </c>
      <c r="F185" s="2" t="s">
        <v>2478</v>
      </c>
      <c r="G185" s="2">
        <v>1346</v>
      </c>
      <c r="H185" s="2" t="s">
        <v>14591</v>
      </c>
      <c r="I185" s="3">
        <f>COUNTIFS(CellDisagreements!C2:C999, A185)</f>
        <v>20</v>
      </c>
      <c r="J185" s="3" t="b">
        <f>I185 = G185</f>
        <v>0</v>
      </c>
      <c r="K185" s="3" t="str">
        <f>_xlfn.IFNA(INDEX(RulebookFields!G2:G999, MATCH(D185,RulebookFields!A2:A999, 0)), "")</f>
      </c>
      <c r="L185" s="3" t="str">
        <f>_xlfn.IFNA(INDEX(ConformanceSubstrates!C2:C999, MATCH(C185,ConformanceSubstrates!A2:A999, 0)), "")</f>
        <v>Excel</v>
      </c>
      <c r="M185" s="2" t="s">
        <v>1902</v>
      </c>
    </row>
    <row r="186">
      <c r="A186" s="2" t="s">
        <v>14776</v>
      </c>
      <c r="B186" s="3" t="str">
        <f>_xlfn.CONCAT(C186, " / ", D186)</f>
        <v>effortless-xlsx / FieldGrants.FieldName</v>
      </c>
      <c r="C186" s="2" t="s">
        <v>13987</v>
      </c>
      <c r="D186" s="2" t="s">
        <v>5397</v>
      </c>
      <c r="E186" s="2" t="s">
        <v>14164</v>
      </c>
      <c r="F186" s="2" t="s">
        <v>2478</v>
      </c>
      <c r="G186" s="2">
        <v>1346</v>
      </c>
      <c r="H186" s="2" t="s">
        <v>14591</v>
      </c>
      <c r="I186" s="3">
        <f>COUNTIFS(CellDisagreements!C2:C999, A186)</f>
        <v>20</v>
      </c>
      <c r="J186" s="3" t="b">
        <f>I186 = G186</f>
        <v>0</v>
      </c>
      <c r="K186" s="3" t="str">
        <f>_xlfn.IFNA(INDEX(RulebookFields!G2:G999, MATCH(D186,RulebookFields!A2:A999, 0)), "")</f>
      </c>
      <c r="L186" s="3" t="str">
        <f>_xlfn.IFNA(INDEX(ConformanceSubstrates!C2:C999, MATCH(C186,ConformanceSubstrates!A2:A999, 0)), "")</f>
        <v>Excel</v>
      </c>
      <c r="M186" s="2" t="s">
        <v>1902</v>
      </c>
    </row>
    <row r="187">
      <c r="A187" s="2" t="s">
        <v>14777</v>
      </c>
      <c r="B187" s="3" t="str">
        <f>_xlfn.CONCAT(C187, " / ", D187)</f>
        <v>effortless-xlsx / FieldGrants.GrantKeyWhenReadable</v>
      </c>
      <c r="C187" s="2" t="s">
        <v>13987</v>
      </c>
      <c r="D187" s="2" t="s">
        <v>5408</v>
      </c>
      <c r="E187" s="2" t="s">
        <v>14164</v>
      </c>
      <c r="F187" s="2" t="s">
        <v>2389</v>
      </c>
      <c r="G187" s="2">
        <v>1346</v>
      </c>
      <c r="H187" s="2" t="s">
        <v>14591</v>
      </c>
      <c r="I187" s="3">
        <f>COUNTIFS(CellDisagreements!C2:C999, A187)</f>
        <v>20</v>
      </c>
      <c r="J187" s="3" t="b">
        <f>I187 = G187</f>
        <v>0</v>
      </c>
      <c r="K187" s="3" t="str">
        <f>_xlfn.IFNA(INDEX(RulebookFields!G2:G999, MATCH(D187,RulebookFields!A2:A999, 0)), "")</f>
      </c>
      <c r="L187" s="3" t="str">
        <f>_xlfn.IFNA(INDEX(ConformanceSubstrates!C2:C999, MATCH(C187,ConformanceSubstrates!A2:A999, 0)), "")</f>
        <v>Excel</v>
      </c>
      <c r="M187" s="2" t="s">
        <v>1902</v>
      </c>
    </row>
    <row r="188">
      <c r="A188" s="2" t="s">
        <v>14778</v>
      </c>
      <c r="B188" s="3" t="str">
        <f>_xlfn.CONCAT(C188, " / ", D188)</f>
        <v>effortless-xlsx / FieldGrants.FieldIsDerived</v>
      </c>
      <c r="C188" s="2" t="s">
        <v>13987</v>
      </c>
      <c r="D188" s="2" t="s">
        <v>5399</v>
      </c>
      <c r="E188" s="2" t="s">
        <v>14164</v>
      </c>
      <c r="F188" s="2" t="s">
        <v>2478</v>
      </c>
      <c r="G188" s="2">
        <v>710</v>
      </c>
      <c r="H188" s="2" t="s">
        <v>14591</v>
      </c>
      <c r="I188" s="3">
        <f>COUNTIFS(CellDisagreements!C2:C999, A188)</f>
        <v>20</v>
      </c>
      <c r="J188" s="3" t="b">
        <f>I188 = G188</f>
        <v>0</v>
      </c>
      <c r="K188" s="3" t="str">
        <f>_xlfn.IFNA(INDEX(RulebookFields!G2:G999, MATCH(D188,RulebookFields!A2:A999, 0)), "")</f>
      </c>
      <c r="L188" s="3" t="str">
        <f>_xlfn.IFNA(INDEX(ConformanceSubstrates!C2:C999, MATCH(C188,ConformanceSubstrates!A2:A999, 0)), "")</f>
        <v>Excel</v>
      </c>
      <c r="M188" s="2" t="s">
        <v>1902</v>
      </c>
    </row>
    <row r="189">
      <c r="A189" s="2" t="s">
        <v>14779</v>
      </c>
      <c r="B189" s="3" t="str">
        <f>_xlfn.CONCAT(C189, " / ", D189)</f>
        <v>effortless-xlsx / RoleSchemaViews.ColumnCount</v>
      </c>
      <c r="C189" s="2" t="s">
        <v>13987</v>
      </c>
      <c r="D189" s="2" t="s">
        <v>5449</v>
      </c>
      <c r="E189" s="2" t="s">
        <v>14166</v>
      </c>
      <c r="F189" s="2" t="s">
        <v>2438</v>
      </c>
      <c r="G189" s="2">
        <v>149</v>
      </c>
      <c r="H189" s="2" t="s">
        <v>14591</v>
      </c>
      <c r="I189" s="3">
        <f>COUNTIFS(CellDisagreements!C2:C999, A189)</f>
        <v>20</v>
      </c>
      <c r="J189" s="3" t="b">
        <f>I189 = G189</f>
        <v>0</v>
      </c>
      <c r="K189" s="3" t="str">
        <f>_xlfn.IFNA(INDEX(RulebookFields!G2:G999, MATCH(D189,RulebookFields!A2:A999, 0)), "")</f>
      </c>
      <c r="L189" s="3" t="str">
        <f>_xlfn.IFNA(INDEX(ConformanceSubstrates!C2:C999, MATCH(C189,ConformanceSubstrates!A2:A999, 0)), "")</f>
        <v>Excel</v>
      </c>
      <c r="M189" s="2" t="s">
        <v>1902</v>
      </c>
    </row>
    <row r="190">
      <c r="A190" s="2" t="s">
        <v>14780</v>
      </c>
      <c r="B190" s="3" t="str">
        <f>_xlfn.CONCAT(C190, " / ", D190)</f>
        <v>effortless-xlsx / RoleSchemaViews.TableFieldCount</v>
      </c>
      <c r="C190" s="2" t="s">
        <v>13987</v>
      </c>
      <c r="D190" s="2" t="s">
        <v>5452</v>
      </c>
      <c r="E190" s="2" t="s">
        <v>14166</v>
      </c>
      <c r="F190" s="2" t="s">
        <v>2478</v>
      </c>
      <c r="G190" s="2">
        <v>75</v>
      </c>
      <c r="H190" s="2" t="s">
        <v>14591</v>
      </c>
      <c r="I190" s="3">
        <f>COUNTIFS(CellDisagreements!C2:C999, A190)</f>
        <v>20</v>
      </c>
      <c r="J190" s="3" t="b">
        <f>I190 = G190</f>
        <v>0</v>
      </c>
      <c r="K190" s="3" t="str">
        <f>_xlfn.IFNA(INDEX(RulebookFields!G2:G999, MATCH(D190,RulebookFields!A2:A999, 0)), "")</f>
      </c>
      <c r="L190" s="3" t="str">
        <f>_xlfn.IFNA(INDEX(ConformanceSubstrates!C2:C999, MATCH(C190,ConformanceSubstrates!A2:A999, 0)), "")</f>
        <v>Excel</v>
      </c>
      <c r="M190" s="2" t="s">
        <v>1902</v>
      </c>
    </row>
    <row r="191">
      <c r="A191" s="2" t="s">
        <v>14781</v>
      </c>
      <c r="B191" s="3" t="str">
        <f>_xlfn.CONCAT(C191, " / ", D191)</f>
        <v>effortless-xlsx / RoleSchemaViews.IsDegenerateView</v>
      </c>
      <c r="C191" s="2" t="s">
        <v>13987</v>
      </c>
      <c r="D191" s="2" t="s">
        <v>5458</v>
      </c>
      <c r="E191" s="2" t="s">
        <v>14166</v>
      </c>
      <c r="F191" s="2" t="s">
        <v>2389</v>
      </c>
      <c r="G191" s="2">
        <v>148</v>
      </c>
      <c r="H191" s="2" t="s">
        <v>14591</v>
      </c>
      <c r="I191" s="3">
        <f>COUNTIFS(CellDisagreements!C2:C999, A191)</f>
        <v>20</v>
      </c>
      <c r="J191" s="3" t="b">
        <f>I191 = G191</f>
        <v>0</v>
      </c>
      <c r="K191" s="3" t="str">
        <f>_xlfn.IFNA(INDEX(RulebookFields!G2:G999, MATCH(D191,RulebookFields!A2:A999, 0)), "")</f>
      </c>
      <c r="L191" s="3" t="str">
        <f>_xlfn.IFNA(INDEX(ConformanceSubstrates!C2:C999, MATCH(C191,ConformanceSubstrates!A2:A999, 0)), "")</f>
        <v>Excel</v>
      </c>
      <c r="M191" s="2" t="s">
        <v>1902</v>
      </c>
    </row>
    <row r="192">
      <c r="A192" s="2" t="s">
        <v>14782</v>
      </c>
      <c r="B192" s="3" t="str">
        <f>_xlfn.CONCAT(C192, " / ", D192)</f>
        <v>effortless-xlsx / RoleSchemaViews.IsFullWidth</v>
      </c>
      <c r="C192" s="2" t="s">
        <v>13987</v>
      </c>
      <c r="D192" s="2" t="s">
        <v>5455</v>
      </c>
      <c r="E192" s="2" t="s">
        <v>14166</v>
      </c>
      <c r="F192" s="2" t="s">
        <v>2389</v>
      </c>
      <c r="G192" s="2">
        <v>133</v>
      </c>
      <c r="H192" s="2" t="s">
        <v>14591</v>
      </c>
      <c r="I192" s="3">
        <f>COUNTIFS(CellDisagreements!C2:C999, A192)</f>
        <v>20</v>
      </c>
      <c r="J192" s="3" t="b">
        <f>I192 = G192</f>
        <v>0</v>
      </c>
      <c r="K192" s="3" t="str">
        <f>_xlfn.IFNA(INDEX(RulebookFields!G2:G999, MATCH(D192,RulebookFields!A2:A999, 0)), "")</f>
      </c>
      <c r="L192" s="3" t="str">
        <f>_xlfn.IFNA(INDEX(ConformanceSubstrates!C2:C999, MATCH(C192,ConformanceSubstrates!A2:A999, 0)), "")</f>
        <v>Excel</v>
      </c>
      <c r="M192" s="2" t="s">
        <v>1902</v>
      </c>
    </row>
    <row r="193">
      <c r="A193" s="2" t="s">
        <v>14783</v>
      </c>
      <c r="B193" s="3" t="str">
        <f>_xlfn.CONCAT(C193, " / ", D193)</f>
        <v>effortless-xlsx / ProcessMiningRuns.Name</v>
      </c>
      <c r="C193" s="2" t="s">
        <v>13987</v>
      </c>
      <c r="D193" s="2" t="s">
        <v>5589</v>
      </c>
      <c r="E193" s="2" t="s">
        <v>14171</v>
      </c>
      <c r="F193" s="2" t="s">
        <v>2389</v>
      </c>
      <c r="G193" s="2">
        <v>4</v>
      </c>
      <c r="H193" s="2" t="s">
        <v>14591</v>
      </c>
      <c r="I193" s="3">
        <f>COUNTIFS(CellDisagreements!C2:C999, A193)</f>
        <v>4</v>
      </c>
      <c r="J193" s="3" t="b">
        <f>I193 = G193</f>
        <v>1</v>
      </c>
      <c r="K193" s="3" t="str">
        <f>_xlfn.IFNA(INDEX(RulebookFields!G2:G999, MATCH(D193,RulebookFields!A2:A999, 0)), "")</f>
      </c>
      <c r="L193" s="3" t="str">
        <f>_xlfn.IFNA(INDEX(ConformanceSubstrates!C2:C999, MATCH(C193,ConformanceSubstrates!A2:A999, 0)), "")</f>
        <v>Excel</v>
      </c>
      <c r="M193" s="2" t="s">
        <v>1902</v>
      </c>
    </row>
    <row r="194">
      <c r="A194" s="2" t="s">
        <v>14784</v>
      </c>
      <c r="B194" s="3" t="str">
        <f>_xlfn.CONCAT(C194, " / ", D194)</f>
        <v>effortless-xlsx / ProcessMiningRuns.AsOfInstant</v>
      </c>
      <c r="C194" s="2" t="s">
        <v>13987</v>
      </c>
      <c r="D194" s="2" t="s">
        <v>5603</v>
      </c>
      <c r="E194" s="2" t="s">
        <v>14171</v>
      </c>
      <c r="F194" s="2" t="s">
        <v>2478</v>
      </c>
      <c r="G194" s="2">
        <v>4</v>
      </c>
      <c r="H194" s="2" t="s">
        <v>14591</v>
      </c>
      <c r="I194" s="3">
        <f>COUNTIFS(CellDisagreements!C2:C999, A194)</f>
        <v>4</v>
      </c>
      <c r="J194" s="3" t="b">
        <f>I194 = G194</f>
        <v>1</v>
      </c>
      <c r="K194" s="3" t="str">
        <f>_xlfn.IFNA(INDEX(RulebookFields!G2:G999, MATCH(D194,RulebookFields!A2:A999, 0)), "")</f>
      </c>
      <c r="L194" s="3" t="str">
        <f>_xlfn.IFNA(INDEX(ConformanceSubstrates!C2:C999, MATCH(C194,ConformanceSubstrates!A2:A999, 0)), "")</f>
        <v>Excel</v>
      </c>
      <c r="M194" s="2" t="s">
        <v>1902</v>
      </c>
    </row>
    <row r="195">
      <c r="A195" s="2" t="s">
        <v>14785</v>
      </c>
      <c r="B195" s="3" t="str">
        <f>_xlfn.CONCAT(C195, " / ", D195)</f>
        <v>effortless-xlsx / KnowledgeBrokerLinks.AsOfInstant</v>
      </c>
      <c r="C195" s="2" t="s">
        <v>13987</v>
      </c>
      <c r="D195" s="2" t="s">
        <v>5684</v>
      </c>
      <c r="E195" s="2" t="s">
        <v>14174</v>
      </c>
      <c r="F195" s="2" t="s">
        <v>2478</v>
      </c>
      <c r="G195" s="2">
        <v>5</v>
      </c>
      <c r="H195" s="2" t="s">
        <v>14591</v>
      </c>
      <c r="I195" s="3">
        <f>COUNTIFS(CellDisagreements!C2:C999, A195)</f>
        <v>5</v>
      </c>
      <c r="J195" s="3" t="b">
        <f>I195 = G195</f>
        <v>1</v>
      </c>
      <c r="K195" s="3" t="str">
        <f>_xlfn.IFNA(INDEX(RulebookFields!G2:G999, MATCH(D195,RulebookFields!A2:A999, 0)), "")</f>
      </c>
      <c r="L195" s="3" t="str">
        <f>_xlfn.IFNA(INDEX(ConformanceSubstrates!C2:C999, MATCH(C195,ConformanceSubstrates!A2:A999, 0)), "")</f>
        <v>Excel</v>
      </c>
      <c r="M195" s="2" t="s">
        <v>1902</v>
      </c>
    </row>
    <row r="196">
      <c r="A196" s="2" t="s">
        <v>14786</v>
      </c>
      <c r="B196" s="3" t="str">
        <f>_xlfn.CONCAT(C196, " / ", D196)</f>
        <v>effortless-entity-framework / EvaluationContexts.Name</v>
      </c>
      <c r="C196" s="2" t="s">
        <v>13981</v>
      </c>
      <c r="D196" s="2" t="s">
        <v>2414</v>
      </c>
      <c r="E196" s="2" t="s">
        <v>14177</v>
      </c>
      <c r="F196" s="2" t="s">
        <v>2389</v>
      </c>
      <c r="G196" s="2">
        <v>1</v>
      </c>
      <c r="H196" s="2" t="s">
        <v>14591</v>
      </c>
      <c r="I196" s="3">
        <f>COUNTIFS(CellDisagreements!C2:C999, A196)</f>
        <v>1</v>
      </c>
      <c r="J196" s="3" t="b">
        <f>I196 = G196</f>
        <v>1</v>
      </c>
      <c r="K196" s="3" t="str">
        <f>_xlfn.IFNA(INDEX(RulebookFields!G2:G999, MATCH(D196,RulebookFields!A2:A999, 0)), "")</f>
        <v>={{Label}} &amp; " @ " &amp; {{AsOfInstant}}</v>
      </c>
      <c r="L196" s="3" t="str">
        <f>_xlfn.IFNA(INDEX(ConformanceSubstrates!C2:C999, MATCH(C196,ConformanceSubstrates!A2:A999, 0)), "")</f>
        <v>C# / Entity Framework</v>
      </c>
      <c r="M196" s="2" t="s">
        <v>1902</v>
      </c>
    </row>
    <row r="197">
      <c r="A197" s="2" t="s">
        <v>14787</v>
      </c>
      <c r="B197" s="3" t="str">
        <f>_xlfn.CONCAT(C197, " / ", D197)</f>
        <v>effortless-entity-framework / RoleAssignments.Name</v>
      </c>
      <c r="C197" s="2" t="s">
        <v>13981</v>
      </c>
      <c r="D197" s="2" t="s">
        <v>2514</v>
      </c>
      <c r="E197" s="2" t="s">
        <v>14181</v>
      </c>
      <c r="F197" s="2" t="s">
        <v>2389</v>
      </c>
      <c r="G197" s="2">
        <v>13</v>
      </c>
      <c r="H197" s="2" t="s">
        <v>14591</v>
      </c>
      <c r="I197" s="3">
        <f>COUNTIFS(CellDisagreements!C2:C999, A197)</f>
        <v>13</v>
      </c>
      <c r="J197" s="3" t="b">
        <f>I197 = G197</f>
        <v>1</v>
      </c>
      <c r="K197" s="3" t="str">
        <f>_xlfn.IFNA(INDEX(RulebookFields!G2:G999, MATCH(D197,RulebookFields!A2:A999, 0)), "")</f>
        <v>={{Role}} &amp; " @ " &amp; {{ValidFrom}}</v>
      </c>
      <c r="L197" s="3" t="str">
        <f>_xlfn.IFNA(INDEX(ConformanceSubstrates!C2:C999, MATCH(C197,ConformanceSubstrates!A2:A999, 0)), "")</f>
        <v>C# / Entity Framework</v>
      </c>
      <c r="M197" s="2" t="s">
        <v>1902</v>
      </c>
    </row>
    <row r="198">
      <c r="A198" s="2" t="s">
        <v>14788</v>
      </c>
      <c r="B198" s="3" t="str">
        <f>_xlfn.CONCAT(C198, " / ", D198)</f>
        <v>effortless-entity-framework / RoleAssignments.QualityVerdictIsUnsupported</v>
      </c>
      <c r="C198" s="2" t="s">
        <v>13981</v>
      </c>
      <c r="D198" s="2" t="s">
        <v>2575</v>
      </c>
      <c r="E198" s="2" t="s">
        <v>14181</v>
      </c>
      <c r="F198" s="2" t="s">
        <v>2389</v>
      </c>
      <c r="G198" s="2">
        <v>13</v>
      </c>
      <c r="H198" s="2" t="s">
        <v>14591</v>
      </c>
      <c r="I198" s="3">
        <f>COUNTIFS(CellDisagreements!C2:C999, A198)</f>
        <v>6</v>
      </c>
      <c r="J198" s="3" t="b">
        <f>I198 = G198</f>
        <v>0</v>
      </c>
      <c r="K198" s="3" t="str">
        <f>_xlfn.IFNA(INDEX(RulebookFields!G2:G999, MATCH(D198,RulebookFields!A2:A999, 0)), "")</f>
        <v>=AND(NOT({{ComparisonIsEvidentiallySound}}), NOT({{QualityRegressedVsPredecessor}}))</v>
      </c>
      <c r="L198" s="3" t="str">
        <f>_xlfn.IFNA(INDEX(ConformanceSubstrates!C2:C999, MATCH(C198,ConformanceSubstrates!A2:A999, 0)), "")</f>
        <v>C# / Entity Framework</v>
      </c>
      <c r="M198" s="2" t="s">
        <v>1902</v>
      </c>
    </row>
    <row r="199">
      <c r="A199" s="2" t="s">
        <v>14789</v>
      </c>
      <c r="B199" s="3" t="str">
        <f>_xlfn.CONCAT(C199, " / ", D199)</f>
        <v>effortless-entity-framework / RoleAssignments.IsUnmeasuredAutomationHandover</v>
      </c>
      <c r="C199" s="2" t="s">
        <v>13981</v>
      </c>
      <c r="D199" s="2" t="s">
        <v>2577</v>
      </c>
      <c r="E199" s="2" t="s">
        <v>14181</v>
      </c>
      <c r="F199" s="2" t="s">
        <v>2389</v>
      </c>
      <c r="G199" s="2">
        <v>1</v>
      </c>
      <c r="H199" s="2" t="s">
        <v>14591</v>
      </c>
      <c r="I199" s="3">
        <f>COUNTIFS(CellDisagreements!C2:C999, A199)</f>
        <v>0</v>
      </c>
      <c r="J199" s="3" t="b">
        <f>I199 = G199</f>
        <v>0</v>
      </c>
      <c r="K199" s="3" t="str">
        <f>_xlfn.IFNA(INDEX(RulebookFields!G2:G999, MATCH(D199,RulebookFields!A2:A999, 0)), "")</f>
        <v>=AND({{IsHumanToNonHumanHandover}}, NOT({{ComparisonIsEvidentiallySound}}))</v>
      </c>
      <c r="L199" s="3" t="str">
        <f>_xlfn.IFNA(INDEX(ConformanceSubstrates!C2:C999, MATCH(C199,ConformanceSubstrates!A2:A999, 0)), "")</f>
        <v>C# / Entity Framework</v>
      </c>
      <c r="M199" s="2" t="s">
        <v>1902</v>
      </c>
    </row>
    <row r="200">
      <c r="A200" s="2" t="s">
        <v>14790</v>
      </c>
      <c r="B200" s="3" t="str">
        <f>_xlfn.CONCAT(C200, " / ", D200)</f>
        <v>effortless-entity-framework / ProcedureVersions.DaysSinceModified</v>
      </c>
      <c r="C200" s="2" t="s">
        <v>13981</v>
      </c>
      <c r="D200" s="2" t="s">
        <v>2724</v>
      </c>
      <c r="E200" s="2" t="s">
        <v>14186</v>
      </c>
      <c r="F200" s="2" t="s">
        <v>2389</v>
      </c>
      <c r="G200" s="2">
        <v>3</v>
      </c>
      <c r="H200" s="2" t="s">
        <v>14591</v>
      </c>
      <c r="I200" s="3">
        <f>COUNTIFS(CellDisagreements!C2:C999, A200)</f>
        <v>0</v>
      </c>
      <c r="J200" s="3" t="b">
        <f>I200 = G200</f>
        <v>0</v>
      </c>
      <c r="K200" s="3" t="str">
        <f>_xlfn.IFNA(INDEX(RulebookFields!G2:G999, MATCH(D200,RulebookFields!A2:A999, 0)), "")</f>
        <v>=DATETIME_DIFF({{AsOfInstant}}, {{ModifiedAt}}, "days")</v>
      </c>
      <c r="L200" s="3" t="str">
        <f>_xlfn.IFNA(INDEX(ConformanceSubstrates!C2:C999, MATCH(C200,ConformanceSubstrates!A2:A999, 0)), "")</f>
        <v>C# / Entity Framework</v>
      </c>
      <c r="M200" s="2" t="s">
        <v>1902</v>
      </c>
    </row>
    <row r="201">
      <c r="A201" s="2" t="s">
        <v>14791</v>
      </c>
      <c r="B201" s="3" t="str">
        <f>_xlfn.CONCAT(C201, " / ", D201)</f>
        <v>effortless-entity-framework / ProcedureVersions.WasModifiedSinceLastReview</v>
      </c>
      <c r="C201" s="2" t="s">
        <v>13981</v>
      </c>
      <c r="D201" s="2" t="s">
        <v>2728</v>
      </c>
      <c r="E201" s="2" t="s">
        <v>14186</v>
      </c>
      <c r="F201" s="2" t="s">
        <v>2389</v>
      </c>
      <c r="G201" s="2">
        <v>2</v>
      </c>
      <c r="H201" s="2" t="s">
        <v>14591</v>
      </c>
      <c r="I201" s="3">
        <f>COUNTIFS(CellDisagreements!C2:C999, A201)</f>
        <v>0</v>
      </c>
      <c r="J201" s="3" t="b">
        <f>I201 = G201</f>
        <v>0</v>
      </c>
      <c r="K201" s="3" t="str">
        <f>_xlfn.IFNA(INDEX(RulebookFields!G2:G999, MATCH(D201,RulebookFields!A2:A999, 0)), "")</f>
        <v>={{DaysSinceModified}} &lt; {{DaysSinceLastReview}}</v>
      </c>
      <c r="L201" s="3" t="str">
        <f>_xlfn.IFNA(INDEX(ConformanceSubstrates!C2:C999, MATCH(C201,ConformanceSubstrates!A2:A999, 0)), "")</f>
        <v>C# / Entity Framework</v>
      </c>
      <c r="M201" s="2" t="s">
        <v>1902</v>
      </c>
    </row>
    <row r="202">
      <c r="A202" s="2" t="s">
        <v>14792</v>
      </c>
      <c r="B202" s="3" t="str">
        <f>_xlfn.CONCAT(C202, " / ", D202)</f>
        <v>effortless-entity-framework / ProcedureVersions.HasUnwitnessedChange</v>
      </c>
      <c r="C202" s="2" t="s">
        <v>13981</v>
      </c>
      <c r="D202" s="2" t="s">
        <v>2732</v>
      </c>
      <c r="E202" s="2" t="s">
        <v>14186</v>
      </c>
      <c r="F202" s="2" t="s">
        <v>2389</v>
      </c>
      <c r="G202" s="2">
        <v>2</v>
      </c>
      <c r="H202" s="2" t="s">
        <v>14591</v>
      </c>
      <c r="I202" s="3">
        <f>COUNTIFS(CellDisagreements!C2:C999, A202)</f>
        <v>0</v>
      </c>
      <c r="J202" s="3" t="b">
        <f>I202 = G202</f>
        <v>0</v>
      </c>
      <c r="K202" s="3" t="str">
        <f>_xlfn.IFNA(INDEX(RulebookFields!G2:G999, MATCH(D202,RulebookFields!A2:A999, 0)), "")</f>
        <v>=AND({{IsLive}}, {{WasModifiedSinceLastReview}})</v>
      </c>
      <c r="L202" s="3" t="str">
        <f>_xlfn.IFNA(INDEX(ConformanceSubstrates!C2:C999, MATCH(C202,ConformanceSubstrates!A2:A999, 0)), "")</f>
        <v>C# / Entity Framework</v>
      </c>
      <c r="M202" s="2" t="s">
        <v>1902</v>
      </c>
    </row>
    <row r="203">
      <c r="A203" s="2" t="s">
        <v>14793</v>
      </c>
      <c r="B203" s="3" t="str">
        <f>_xlfn.CONCAT(C203, " / ", D203)</f>
        <v>effortless-entity-framework / Requirements.IsUntestedWitness</v>
      </c>
      <c r="C203" s="2" t="s">
        <v>13981</v>
      </c>
      <c r="D203" s="2" t="s">
        <v>3025</v>
      </c>
      <c r="E203" s="2" t="s">
        <v>14197</v>
      </c>
      <c r="F203" s="2" t="s">
        <v>2389</v>
      </c>
      <c r="G203" s="2">
        <v>3</v>
      </c>
      <c r="H203" s="2" t="s">
        <v>14591</v>
      </c>
      <c r="I203" s="3">
        <f>COUNTIFS(CellDisagreements!C2:C999, A203)</f>
        <v>0</v>
      </c>
      <c r="J203" s="3" t="b">
        <f>I203 = G203</f>
        <v>0</v>
      </c>
      <c r="K203" s="3" t="str">
        <f>_xlfn.IFNA(INDEX(RulebookFields!G2:G999, MATCH(D203,RulebookFields!A2:A999, 0)), "")</f>
        <v>=AND({{WitnessHasNeverFired}}, NOT({{HasMeaningfulSample}}))</v>
      </c>
      <c r="L203" s="3" t="str">
        <f>_xlfn.IFNA(INDEX(ConformanceSubstrates!C2:C999, MATCH(C203,ConformanceSubstrates!A2:A999, 0)), "")</f>
        <v>C# / Entity Framework</v>
      </c>
      <c r="M203" s="2" t="s">
        <v>1902</v>
      </c>
    </row>
    <row r="204">
      <c r="A204" s="2" t="s">
        <v>14794</v>
      </c>
      <c r="B204" s="3" t="str">
        <f>_xlfn.CONCAT(C204, " / ", D204)</f>
        <v>effortless-entity-framework / ElicitationSessions.Name</v>
      </c>
      <c r="C204" s="2" t="s">
        <v>13981</v>
      </c>
      <c r="D204" s="2" t="s">
        <v>3130</v>
      </c>
      <c r="E204" s="2" t="s">
        <v>14204</v>
      </c>
      <c r="F204" s="2" t="s">
        <v>2389</v>
      </c>
      <c r="G204" s="2">
        <v>3</v>
      </c>
      <c r="H204" s="2" t="s">
        <v>14591</v>
      </c>
      <c r="I204" s="3">
        <f>COUNTIFS(CellDisagreements!C2:C999, A204)</f>
        <v>0</v>
      </c>
      <c r="J204" s="3" t="b">
        <f>I204 = G204</f>
        <v>0</v>
      </c>
      <c r="K204" s="3" t="str">
        <f>_xlfn.IFNA(INDEX(RulebookFields!G2:G999, MATCH(D204,RulebookFields!A2:A999, 0)), "")</f>
        <v>={{Method}} &amp; " / " &amp; {{StartedAt}}</v>
      </c>
      <c r="L204" s="3" t="str">
        <f>_xlfn.IFNA(INDEX(ConformanceSubstrates!C2:C999, MATCH(C204,ConformanceSubstrates!A2:A999, 0)), "")</f>
        <v>C# / Entity Framework</v>
      </c>
      <c r="M204" s="2" t="s">
        <v>1902</v>
      </c>
    </row>
    <row r="205">
      <c r="A205" s="2" t="s">
        <v>14795</v>
      </c>
      <c r="B205" s="3" t="str">
        <f>_xlfn.CONCAT(C205, " / ", D205)</f>
        <v>effortless-entity-framework / ElicitationSessions.DaysSinceElicited</v>
      </c>
      <c r="C205" s="2" t="s">
        <v>13981</v>
      </c>
      <c r="D205" s="2" t="s">
        <v>3142</v>
      </c>
      <c r="E205" s="2" t="s">
        <v>14204</v>
      </c>
      <c r="F205" s="2" t="s">
        <v>2389</v>
      </c>
      <c r="G205" s="2">
        <v>2</v>
      </c>
      <c r="H205" s="2" t="s">
        <v>14591</v>
      </c>
      <c r="I205" s="3">
        <f>COUNTIFS(CellDisagreements!C2:C999, A205)</f>
        <v>0</v>
      </c>
      <c r="J205" s="3" t="b">
        <f>I205 = G205</f>
        <v>0</v>
      </c>
      <c r="K205" s="3" t="str">
        <f>_xlfn.IFNA(INDEX(RulebookFields!G2:G999, MATCH(D205,RulebookFields!A2:A999, 0)), "")</f>
        <v>=DATETIME_DIFF({{AsOfInstant}}, {{EndedAt}}, "days")</v>
      </c>
      <c r="L205" s="3" t="str">
        <f>_xlfn.IFNA(INDEX(ConformanceSubstrates!C2:C999, MATCH(C205,ConformanceSubstrates!A2:A999, 0)), "")</f>
        <v>C# / Entity Framework</v>
      </c>
      <c r="M205" s="2" t="s">
        <v>1902</v>
      </c>
    </row>
    <row r="206">
      <c r="A206" s="2" t="s">
        <v>14796</v>
      </c>
      <c r="B206" s="3" t="str">
        <f>_xlfn.CONCAT(C206, " / ", D206)</f>
        <v>effortless-entity-framework / KnowledgeFragments.DaysSinceActualReview</v>
      </c>
      <c r="C206" s="2" t="s">
        <v>13981</v>
      </c>
      <c r="D206" s="2" t="s">
        <v>3270</v>
      </c>
      <c r="E206" s="2" t="s">
        <v>14205</v>
      </c>
      <c r="F206" s="2" t="s">
        <v>2389</v>
      </c>
      <c r="G206" s="2">
        <v>3</v>
      </c>
      <c r="H206" s="2" t="s">
        <v>14591</v>
      </c>
      <c r="I206" s="3">
        <f>COUNTIFS(CellDisagreements!C2:C999, A206)</f>
        <v>0</v>
      </c>
      <c r="J206" s="3" t="b">
        <f>I206 = G206</f>
        <v>0</v>
      </c>
      <c r="K206" s="3" t="str">
        <f>_xlfn.IFNA(INDEX(RulebookFields!G2:G999, MATCH(D206,RulebookFields!A2:A999, 0)), "")</f>
        <v>=IF({{HasReviewRecord}}, DATETIME_DIFF({{AsOfInstant}}, {{LastReviewedAt}}, "days"), 0)</v>
      </c>
      <c r="L206" s="3" t="str">
        <f>_xlfn.IFNA(INDEX(ConformanceSubstrates!C2:C999, MATCH(C206,ConformanceSubstrates!A2:A999, 0)), "")</f>
        <v>C# / Entity Framework</v>
      </c>
      <c r="M206" s="2" t="s">
        <v>1902</v>
      </c>
    </row>
    <row r="207">
      <c r="A207" s="2" t="s">
        <v>14797</v>
      </c>
      <c r="B207" s="3" t="str">
        <f>_xlfn.CONCAT(C207, " / ", D207)</f>
        <v>effortless-entity-framework / KnowledgeFragments.EvidenceAgeDays</v>
      </c>
      <c r="C207" s="2" t="s">
        <v>13981</v>
      </c>
      <c r="D207" s="2" t="s">
        <v>3198</v>
      </c>
      <c r="E207" s="2" t="s">
        <v>14205</v>
      </c>
      <c r="F207" s="2" t="s">
        <v>2478</v>
      </c>
      <c r="G207" s="2">
        <v>3</v>
      </c>
      <c r="H207" s="2" t="s">
        <v>14591</v>
      </c>
      <c r="I207" s="3">
        <f>COUNTIFS(CellDisagreements!C2:C999, A207)</f>
        <v>0</v>
      </c>
      <c r="J207" s="3" t="b">
        <f>I207 = G207</f>
        <v>0</v>
      </c>
      <c r="K207" s="3" t="str">
        <f>_xlfn.IFNA(INDEX(RulebookFields!G2:G999, MATCH(D207,RulebookFields!A2:A999, 0)), "")</f>
        <v>=INDEX(ElicitationSessions!{{DaysSinceElicited}}, MATCH({{ElicitationSession}}, ElicitationSessions!{{ElicitationSessionId}}, 0))</v>
      </c>
      <c r="L207" s="3" t="str">
        <f>_xlfn.IFNA(INDEX(ConformanceSubstrates!C2:C999, MATCH(C207,ConformanceSubstrates!A2:A999, 0)), "")</f>
        <v>C# / Entity Framework</v>
      </c>
      <c r="M207" s="2" t="s">
        <v>1902</v>
      </c>
    </row>
    <row r="208">
      <c r="A208" s="2" t="s">
        <v>14798</v>
      </c>
      <c r="B208" s="3" t="str">
        <f>_xlfn.CONCAT(C208, " / ", D208)</f>
        <v>effortless-entity-framework / KnowledgeFragments.AgeDays</v>
      </c>
      <c r="C208" s="2" t="s">
        <v>13981</v>
      </c>
      <c r="D208" s="2" t="s">
        <v>3222</v>
      </c>
      <c r="E208" s="2" t="s">
        <v>14205</v>
      </c>
      <c r="F208" s="2" t="s">
        <v>2389</v>
      </c>
      <c r="G208" s="2">
        <v>3</v>
      </c>
      <c r="H208" s="2" t="s">
        <v>14591</v>
      </c>
      <c r="I208" s="3">
        <f>COUNTIFS(CellDisagreements!C2:C999, A208)</f>
        <v>0</v>
      </c>
      <c r="J208" s="3" t="b">
        <f>I208 = G208</f>
        <v>0</v>
      </c>
      <c r="K208" s="3" t="str">
        <f>_xlfn.IFNA(INDEX(RulebookFields!G2:G999, MATCH(D208,RulebookFields!A2:A999, 0)), "")</f>
        <v>=DATETIME_DIFF({{AsOfInstant}}, {{ValidFrom}}, "days")</v>
      </c>
      <c r="L208" s="3" t="str">
        <f>_xlfn.IFNA(INDEX(ConformanceSubstrates!C2:C999, MATCH(C208,ConformanceSubstrates!A2:A999, 0)), "")</f>
        <v>C# / Entity Framework</v>
      </c>
      <c r="M208" s="2" t="s">
        <v>1902</v>
      </c>
    </row>
    <row r="209">
      <c r="A209" s="2" t="s">
        <v>14799</v>
      </c>
      <c r="B209" s="3" t="str">
        <f>_xlfn.CONCAT(C209, " / ", D209)</f>
        <v>effortless-entity-framework / KnowledgeFragments.DaysAwaitingMyApproval</v>
      </c>
      <c r="C209" s="2" t="s">
        <v>13981</v>
      </c>
      <c r="D209" s="2" t="s">
        <v>3286</v>
      </c>
      <c r="E209" s="2" t="s">
        <v>14205</v>
      </c>
      <c r="F209" s="2" t="s">
        <v>2389</v>
      </c>
      <c r="G209" s="2">
        <v>1</v>
      </c>
      <c r="H209" s="2" t="s">
        <v>14591</v>
      </c>
      <c r="I209" s="3">
        <f>COUNTIFS(CellDisagreements!C2:C999, A209)</f>
        <v>0</v>
      </c>
      <c r="J209" s="3" t="b">
        <f>I209 = G209</f>
        <v>0</v>
      </c>
      <c r="K209" s="3" t="str">
        <f>_xlfn.IFNA(INDEX(RulebookFields!G2:G999, MATCH(D209,RulebookFields!A2:A999, 0)), "")</f>
        <v>=IF({{IsMyUnfinishedApproval}}, DATETIME_DIFF({{AsOfInstant}}, {{ValidFrom}}, "days"), 0)</v>
      </c>
      <c r="L209" s="3" t="str">
        <f>_xlfn.IFNA(INDEX(ConformanceSubstrates!C2:C999, MATCH(C209,ConformanceSubstrates!A2:A999, 0)), "")</f>
        <v>C# / Entity Framework</v>
      </c>
      <c r="M209" s="2" t="s">
        <v>1902</v>
      </c>
    </row>
    <row r="210">
      <c r="A210" s="2" t="s">
        <v>14800</v>
      </c>
      <c r="B210" s="3" t="str">
        <f>_xlfn.CONCAT(C210, " / ", D210)</f>
        <v>effortless-entity-framework / KnowledgeGaps.DaysOpen</v>
      </c>
      <c r="C210" s="2" t="s">
        <v>13981</v>
      </c>
      <c r="D210" s="2" t="s">
        <v>3324</v>
      </c>
      <c r="E210" s="2" t="s">
        <v>14206</v>
      </c>
      <c r="F210" s="2" t="s">
        <v>2389</v>
      </c>
      <c r="G210" s="2">
        <v>1</v>
      </c>
      <c r="H210" s="2" t="s">
        <v>14591</v>
      </c>
      <c r="I210" s="3">
        <f>COUNTIFS(CellDisagreements!C2:C999, A210)</f>
        <v>0</v>
      </c>
      <c r="J210" s="3" t="b">
        <f>I210 = G210</f>
        <v>0</v>
      </c>
      <c r="K210" s="3" t="str">
        <f>_xlfn.IFNA(INDEX(RulebookFields!G2:G999, MATCH(D210,RulebookFields!A2:A999, 0)), "")</f>
        <v>=IF({{IsOpen}}, DATETIME_DIFF({{AsOfInstant}}, {{IdentifiedAt}}, "days"), 0)</v>
      </c>
      <c r="L210" s="3" t="str">
        <f>_xlfn.IFNA(INDEX(ConformanceSubstrates!C2:C999, MATCH(C210,ConformanceSubstrates!A2:A999, 0)), "")</f>
        <v>C# / Entity Framework</v>
      </c>
      <c r="M210" s="2" t="s">
        <v>1902</v>
      </c>
    </row>
    <row r="211">
      <c r="A211" s="2" t="s">
        <v>14801</v>
      </c>
      <c r="B211" s="3" t="str">
        <f>_xlfn.CONCAT(C211, " / ", D211)</f>
        <v>effortless-entity-framework / IssueOccurrences.Name</v>
      </c>
      <c r="C211" s="2" t="s">
        <v>13981</v>
      </c>
      <c r="D211" s="2" t="s">
        <v>3795</v>
      </c>
      <c r="E211" s="2" t="s">
        <v>14213</v>
      </c>
      <c r="F211" s="2" t="s">
        <v>2389</v>
      </c>
      <c r="G211" s="2">
        <v>2</v>
      </c>
      <c r="H211" s="2" t="s">
        <v>14591</v>
      </c>
      <c r="I211" s="3">
        <f>COUNTIFS(CellDisagreements!C2:C999, A211)</f>
        <v>0</v>
      </c>
      <c r="J211" s="3" t="b">
        <f>I211 = G211</f>
        <v>0</v>
      </c>
      <c r="K211" s="3" t="str">
        <f>_xlfn.IFNA(INDEX(RulebookFields!G2:G999, MATCH(D211,RulebookFields!A2:A999, 0)), "")</f>
        <v>={{Error}} &amp; " @ " &amp; {{OccurredAt}}</v>
      </c>
      <c r="L211" s="3" t="str">
        <f>_xlfn.IFNA(INDEX(ConformanceSubstrates!C2:C999, MATCH(C211,ConformanceSubstrates!A2:A999, 0)), "")</f>
        <v>C# / Entity Framework</v>
      </c>
      <c r="M211" s="2" t="s">
        <v>1902</v>
      </c>
    </row>
    <row r="212">
      <c r="A212" s="2" t="s">
        <v>14802</v>
      </c>
      <c r="B212" s="3" t="str">
        <f>_xlfn.CONCAT(C212, " / ", D212)</f>
        <v>effortless-entity-framework / ChangeRequests.DaysPending</v>
      </c>
      <c r="C212" s="2" t="s">
        <v>13981</v>
      </c>
      <c r="D212" s="2" t="s">
        <v>3867</v>
      </c>
      <c r="E212" s="2" t="s">
        <v>14217</v>
      </c>
      <c r="F212" s="2" t="s">
        <v>2389</v>
      </c>
      <c r="G212" s="2">
        <v>1</v>
      </c>
      <c r="H212" s="2" t="s">
        <v>14591</v>
      </c>
      <c r="I212" s="3">
        <f>COUNTIFS(CellDisagreements!C2:C999, A212)</f>
        <v>0</v>
      </c>
      <c r="J212" s="3" t="b">
        <f>I212 = G212</f>
        <v>0</v>
      </c>
      <c r="K212" s="3" t="str">
        <f>_xlfn.IFNA(INDEX(RulebookFields!G2:G999, MATCH(D212,RulebookFields!A2:A999, 0)), "")</f>
        <v>=IF({{IsDecided}}, DATETIME_DIFF({{DecidedAt}}, {{RequestedAt}}, "days"), DATETIME_DIFF({{AsOfInstant}}, {{RequestedAt}}, "days"))</v>
      </c>
      <c r="L212" s="3" t="str">
        <f>_xlfn.IFNA(INDEX(ConformanceSubstrates!C2:C999, MATCH(C212,ConformanceSubstrates!A2:A999, 0)), "")</f>
        <v>C# / Entity Framework</v>
      </c>
      <c r="M212" s="2" t="s">
        <v>1902</v>
      </c>
    </row>
    <row r="213">
      <c r="A213" s="2" t="s">
        <v>14803</v>
      </c>
      <c r="B213" s="3" t="str">
        <f>_xlfn.CONCAT(C213, " / ", D213)</f>
        <v>effortless-entity-framework / ChangeRequests.DecisionLatencyDays</v>
      </c>
      <c r="C213" s="2" t="s">
        <v>13981</v>
      </c>
      <c r="D213" s="2" t="s">
        <v>3901</v>
      </c>
      <c r="E213" s="2" t="s">
        <v>14217</v>
      </c>
      <c r="F213" s="2" t="s">
        <v>2389</v>
      </c>
      <c r="G213" s="2">
        <v>1</v>
      </c>
      <c r="H213" s="2" t="s">
        <v>14591</v>
      </c>
      <c r="I213" s="3">
        <f>COUNTIFS(CellDisagreements!C2:C999, A213)</f>
        <v>0</v>
      </c>
      <c r="J213" s="3" t="b">
        <f>I213 = G213</f>
        <v>0</v>
      </c>
      <c r="K213" s="3" t="str">
        <f>_xlfn.IFNA(INDEX(RulebookFields!G2:G999, MATCH(D213,RulebookFields!A2:A999, 0)), "")</f>
        <v>=IF({{IsDecided}}, DATETIME_DIFF({{DecidedAt}}, {{RequestedAt}}, "days"), 0)</v>
      </c>
      <c r="L213" s="3" t="str">
        <f>_xlfn.IFNA(INDEX(ConformanceSubstrates!C2:C999, MATCH(C213,ConformanceSubstrates!A2:A999, 0)), "")</f>
        <v>C# / Entity Framework</v>
      </c>
      <c r="M213" s="2" t="s">
        <v>1902</v>
      </c>
    </row>
    <row r="214">
      <c r="A214" s="2" t="s">
        <v>14804</v>
      </c>
      <c r="B214" s="3" t="str">
        <f>_xlfn.CONCAT(C214, " / ", D214)</f>
        <v>effortless-entity-framework / ReviewEvents.DaysSinceReviewed</v>
      </c>
      <c r="C214" s="2" t="s">
        <v>13981</v>
      </c>
      <c r="D214" s="2" t="s">
        <v>3939</v>
      </c>
      <c r="E214" s="2" t="s">
        <v>14218</v>
      </c>
      <c r="F214" s="2" t="s">
        <v>2389</v>
      </c>
      <c r="G214" s="2">
        <v>3</v>
      </c>
      <c r="H214" s="2" t="s">
        <v>14591</v>
      </c>
      <c r="I214" s="3">
        <f>COUNTIFS(CellDisagreements!C2:C999, A214)</f>
        <v>0</v>
      </c>
      <c r="J214" s="3" t="b">
        <f>I214 = G214</f>
        <v>0</v>
      </c>
      <c r="K214" s="3" t="str">
        <f>_xlfn.IFNA(INDEX(RulebookFields!G2:G999, MATCH(D214,RulebookFields!A2:A999, 0)), "")</f>
        <v>=DATETIME_DIFF({{AsOfInstant}}, {{ReviewedAt}}, "days")</v>
      </c>
      <c r="L214" s="3" t="str">
        <f>_xlfn.IFNA(INDEX(ConformanceSubstrates!C2:C999, MATCH(C214,ConformanceSubstrates!A2:A999, 0)), "")</f>
        <v>C# / Entity Framework</v>
      </c>
      <c r="M214" s="2" t="s">
        <v>1902</v>
      </c>
    </row>
    <row r="215">
      <c r="A215" s="2" t="s">
        <v>14805</v>
      </c>
      <c r="B215" s="3" t="str">
        <f>_xlfn.CONCAT(C215, " / ", D215)</f>
        <v>effortless-entity-framework / ReviewEvents.CadenceDriftDays</v>
      </c>
      <c r="C215" s="2" t="s">
        <v>13981</v>
      </c>
      <c r="D215" s="2" t="s">
        <v>3943</v>
      </c>
      <c r="E215" s="2" t="s">
        <v>14218</v>
      </c>
      <c r="F215" s="2" t="s">
        <v>2389</v>
      </c>
      <c r="G215" s="2">
        <v>3</v>
      </c>
      <c r="H215" s="2" t="s">
        <v>14591</v>
      </c>
      <c r="I215" s="3">
        <f>COUNTIFS(CellDisagreements!C2:C999, A215)</f>
        <v>0</v>
      </c>
      <c r="J215" s="3" t="b">
        <f>I215 = G215</f>
        <v>0</v>
      </c>
      <c r="K215" s="3" t="str">
        <f>_xlfn.IFNA(INDEX(RulebookFields!G2:G999, MATCH(D215,RulebookFields!A2:A999, 0)), "")</f>
        <v>={{DaysSinceReviewed}} - {{PromisedCadenceDays}}</v>
      </c>
      <c r="L215" s="3" t="str">
        <f>_xlfn.IFNA(INDEX(ConformanceSubstrates!C2:C999, MATCH(C215,ConformanceSubstrates!A2:A999, 0)), "")</f>
        <v>C# / Entity Framework</v>
      </c>
      <c r="M215" s="2" t="s">
        <v>1902</v>
      </c>
    </row>
    <row r="216">
      <c r="A216" s="2" t="s">
        <v>14806</v>
      </c>
      <c r="B216" s="3" t="str">
        <f>_xlfn.CONCAT(C216, " / ", D216)</f>
        <v>effortless-entity-framework / LearningActivities.Name</v>
      </c>
      <c r="C216" s="2" t="s">
        <v>13981</v>
      </c>
      <c r="D216" s="2" t="s">
        <v>3952</v>
      </c>
      <c r="E216" s="2" t="s">
        <v>14219</v>
      </c>
      <c r="F216" s="2" t="s">
        <v>2389</v>
      </c>
      <c r="G216" s="2">
        <v>2</v>
      </c>
      <c r="H216" s="2" t="s">
        <v>14591</v>
      </c>
      <c r="I216" s="3">
        <f>COUNTIFS(CellDisagreements!C2:C999, A216)</f>
        <v>0</v>
      </c>
      <c r="J216" s="3" t="b">
        <f>I216 = G216</f>
        <v>0</v>
      </c>
      <c r="K216" s="3" t="str">
        <f>_xlfn.IFNA(INDEX(RulebookFields!G2:G999, MATCH(D216,RulebookFields!A2:A999, 0)), "")</f>
        <v>={{ActivityKind}} &amp; " / " &amp; {{OccurredAt}}</v>
      </c>
      <c r="L216" s="3" t="str">
        <f>_xlfn.IFNA(INDEX(ConformanceSubstrates!C2:C999, MATCH(C216,ConformanceSubstrates!A2:A999, 0)), "")</f>
        <v>C# / Entity Framework</v>
      </c>
      <c r="M216" s="2" t="s">
        <v>1902</v>
      </c>
    </row>
    <row r="217">
      <c r="A217" s="2" t="s">
        <v>14807</v>
      </c>
      <c r="B217" s="3" t="str">
        <f>_xlfn.CONCAT(C217, " / ", D217)</f>
        <v>effortless-entity-framework / ObservedTransitions.Name</v>
      </c>
      <c r="C217" s="2" t="s">
        <v>13981</v>
      </c>
      <c r="D217" s="2" t="s">
        <v>4334</v>
      </c>
      <c r="E217" s="2" t="s">
        <v>14231</v>
      </c>
      <c r="F217" s="2" t="s">
        <v>2389</v>
      </c>
      <c r="G217" s="2">
        <v>10</v>
      </c>
      <c r="H217" s="2" t="s">
        <v>14591</v>
      </c>
      <c r="I217" s="3">
        <f>COUNTIFS(CellDisagreements!C2:C999, A217)</f>
        <v>0</v>
      </c>
      <c r="J217" s="3" t="b">
        <f>I217 = G217</f>
        <v>0</v>
      </c>
      <c r="K217" s="3" t="str">
        <f>_xlfn.IFNA(INDEX(RulebookFields!G2:G999, MATCH(D217,RulebookFields!A2:A999, 0)), "")</f>
      </c>
      <c r="L217" s="3" t="str">
        <f>_xlfn.IFNA(INDEX(ConformanceSubstrates!C2:C999, MATCH(C217,ConformanceSubstrates!A2:A999, 0)), "")</f>
        <v>C# / Entity Framework</v>
      </c>
      <c r="M217" s="2" t="s">
        <v>1902</v>
      </c>
    </row>
    <row r="218">
      <c r="A218" s="2" t="s">
        <v>14808</v>
      </c>
      <c r="B218" s="3" t="str">
        <f>_xlfn.CONCAT(C218, " / ", D218)</f>
        <v>effortless-entity-framework / MessageDeliveries.Name</v>
      </c>
      <c r="C218" s="2" t="s">
        <v>13981</v>
      </c>
      <c r="D218" s="2" t="s">
        <v>4380</v>
      </c>
      <c r="E218" s="2" t="s">
        <v>14233</v>
      </c>
      <c r="F218" s="2" t="s">
        <v>2389</v>
      </c>
      <c r="G218" s="2">
        <v>6</v>
      </c>
      <c r="H218" s="2" t="s">
        <v>14591</v>
      </c>
      <c r="I218" s="3">
        <f>COUNTIFS(CellDisagreements!C2:C999, A218)</f>
        <v>0</v>
      </c>
      <c r="J218" s="3" t="b">
        <f>I218 = G218</f>
        <v>0</v>
      </c>
      <c r="K218" s="3" t="str">
        <f>_xlfn.IFNA(INDEX(RulebookFields!G2:G999, MATCH(D218,RulebookFields!A2:A999, 0)), "")</f>
      </c>
      <c r="L218" s="3" t="str">
        <f>_xlfn.IFNA(INDEX(ConformanceSubstrates!C2:C999, MATCH(C218,ConformanceSubstrates!A2:A999, 0)), "")</f>
        <v>C# / Entity Framework</v>
      </c>
      <c r="M218" s="2" t="s">
        <v>1902</v>
      </c>
    </row>
    <row r="219">
      <c r="A219" s="2" t="s">
        <v>14809</v>
      </c>
      <c r="B219" s="3" t="str">
        <f>_xlfn.CONCAT(C219, " / ", D219)</f>
        <v>effortless-entity-framework / MessageDeliveries.AgeDays</v>
      </c>
      <c r="C219" s="2" t="s">
        <v>13981</v>
      </c>
      <c r="D219" s="2" t="s">
        <v>4472</v>
      </c>
      <c r="E219" s="2" t="s">
        <v>14233</v>
      </c>
      <c r="F219" s="2" t="s">
        <v>2389</v>
      </c>
      <c r="G219" s="2">
        <v>6</v>
      </c>
      <c r="H219" s="2" t="s">
        <v>14591</v>
      </c>
      <c r="I219" s="3">
        <f>COUNTIFS(CellDisagreements!C2:C999, A219)</f>
        <v>0</v>
      </c>
      <c r="J219" s="3" t="b">
        <f>I219 = G219</f>
        <v>0</v>
      </c>
      <c r="K219" s="3" t="str">
        <f>_xlfn.IFNA(INDEX(RulebookFields!G2:G999, MATCH(D219,RulebookFields!A2:A999, 0)), "")</f>
      </c>
      <c r="L219" s="3" t="str">
        <f>_xlfn.IFNA(INDEX(ConformanceSubstrates!C2:C999, MATCH(C219,ConformanceSubstrates!A2:A999, 0)), "")</f>
        <v>C# / Entity Framework</v>
      </c>
      <c r="M219" s="2" t="s">
        <v>1902</v>
      </c>
    </row>
    <row r="220">
      <c r="A220" s="2" t="s">
        <v>14810</v>
      </c>
      <c r="B220" s="3" t="str">
        <f>_xlfn.CONCAT(C220, " / ", D220)</f>
        <v>effortless-entity-framework / MessageDeliveries.SegmentCount</v>
      </c>
      <c r="C220" s="2" t="s">
        <v>13981</v>
      </c>
      <c r="D220" s="2" t="s">
        <v>4503</v>
      </c>
      <c r="E220" s="2" t="s">
        <v>14233</v>
      </c>
      <c r="F220" s="2" t="s">
        <v>2389</v>
      </c>
      <c r="G220" s="2">
        <v>6</v>
      </c>
      <c r="H220" s="2" t="s">
        <v>14591</v>
      </c>
      <c r="I220" s="3">
        <f>COUNTIFS(CellDisagreements!C2:C999, A220)</f>
        <v>0</v>
      </c>
      <c r="J220" s="3" t="b">
        <f>I220 = G220</f>
        <v>0</v>
      </c>
      <c r="K220" s="3" t="str">
        <f>_xlfn.IFNA(INDEX(RulebookFields!G2:G999, MATCH(D220,RulebookFields!A2:A999, 0)), "")</f>
      </c>
      <c r="L220" s="3" t="str">
        <f>_xlfn.IFNA(INDEX(ConformanceSubstrates!C2:C999, MATCH(C220,ConformanceSubstrates!A2:A999, 0)), "")</f>
        <v>C# / Entity Framework</v>
      </c>
      <c r="M220" s="2" t="s">
        <v>1902</v>
      </c>
    </row>
    <row r="221">
      <c r="A221" s="2" t="s">
        <v>14811</v>
      </c>
      <c r="B221" s="3" t="str">
        <f>_xlfn.CONCAT(C221, " / ", D221)</f>
        <v>effortless-entity-framework / MessageDeliveries.OutstandingAgeDays</v>
      </c>
      <c r="C221" s="2" t="s">
        <v>13981</v>
      </c>
      <c r="D221" s="2" t="s">
        <v>4618</v>
      </c>
      <c r="E221" s="2" t="s">
        <v>14233</v>
      </c>
      <c r="F221" s="2" t="s">
        <v>2389</v>
      </c>
      <c r="G221" s="2">
        <v>3</v>
      </c>
      <c r="H221" s="2" t="s">
        <v>14591</v>
      </c>
      <c r="I221" s="3">
        <f>COUNTIFS(CellDisagreements!C2:C999, A221)</f>
        <v>0</v>
      </c>
      <c r="J221" s="3" t="b">
        <f>I221 = G221</f>
        <v>0</v>
      </c>
      <c r="K221" s="3" t="str">
        <f>_xlfn.IFNA(INDEX(RulebookFields!G2:G999, MATCH(D221,RulebookFields!A2:A999, 0)), "")</f>
      </c>
      <c r="L221" s="3" t="str">
        <f>_xlfn.IFNA(INDEX(ConformanceSubstrates!C2:C999, MATCH(C221,ConformanceSubstrates!A2:A999, 0)), "")</f>
        <v>C# / Entity Framework</v>
      </c>
      <c r="M221" s="2" t="s">
        <v>1902</v>
      </c>
    </row>
    <row r="222">
      <c r="A222" s="2" t="s">
        <v>14812</v>
      </c>
      <c r="B222" s="3" t="str">
        <f>_xlfn.CONCAT(C222, " / ", D222)</f>
        <v>effortless-entity-framework / MessageDeliveries.OptOutPhrasePosition</v>
      </c>
      <c r="C222" s="2" t="s">
        <v>13981</v>
      </c>
      <c r="D222" s="2" t="s">
        <v>4524</v>
      </c>
      <c r="E222" s="2" t="s">
        <v>14233</v>
      </c>
      <c r="F222" s="2" t="s">
        <v>2389</v>
      </c>
      <c r="G222" s="2">
        <v>3</v>
      </c>
      <c r="H222" s="2" t="s">
        <v>14591</v>
      </c>
      <c r="I222" s="3">
        <f>COUNTIFS(CellDisagreements!C2:C999, A222)</f>
        <v>0</v>
      </c>
      <c r="J222" s="3" t="b">
        <f>I222 = G222</f>
        <v>0</v>
      </c>
      <c r="K222" s="3" t="str">
        <f>_xlfn.IFNA(INDEX(RulebookFields!G2:G999, MATCH(D222,RulebookFields!A2:A999, 0)), "")</f>
      </c>
      <c r="L222" s="3" t="str">
        <f>_xlfn.IFNA(INDEX(ConformanceSubstrates!C2:C999, MATCH(C222,ConformanceSubstrates!A2:A999, 0)), "")</f>
        <v>C# / Entity Framework</v>
      </c>
      <c r="M222" s="2" t="s">
        <v>1902</v>
      </c>
    </row>
    <row r="223">
      <c r="A223" s="2" t="s">
        <v>14813</v>
      </c>
      <c r="B223" s="3" t="str">
        <f>_xlfn.CONCAT(C223, " / ", D223)</f>
        <v>effortless-entity-framework / TemplateApprovals.Name</v>
      </c>
      <c r="C223" s="2" t="s">
        <v>13981</v>
      </c>
      <c r="D223" s="2" t="s">
        <v>4634</v>
      </c>
      <c r="E223" s="2" t="s">
        <v>14234</v>
      </c>
      <c r="F223" s="2" t="s">
        <v>2389</v>
      </c>
      <c r="G223" s="2">
        <v>2</v>
      </c>
      <c r="H223" s="2" t="s">
        <v>14591</v>
      </c>
      <c r="I223" s="3">
        <f>COUNTIFS(CellDisagreements!C2:C999, A223)</f>
        <v>0</v>
      </c>
      <c r="J223" s="3" t="b">
        <f>I223 = G223</f>
        <v>0</v>
      </c>
      <c r="K223" s="3" t="str">
        <f>_xlfn.IFNA(INDEX(RulebookFields!G2:G999, MATCH(D223,RulebookFields!A2:A999, 0)), "")</f>
      </c>
      <c r="L223" s="3" t="str">
        <f>_xlfn.IFNA(INDEX(ConformanceSubstrates!C2:C999, MATCH(C223,ConformanceSubstrates!A2:A999, 0)), "")</f>
        <v>C# / Entity Framework</v>
      </c>
      <c r="M223" s="2" t="s">
        <v>1902</v>
      </c>
    </row>
    <row r="224">
      <c r="A224" s="2" t="s">
        <v>14814</v>
      </c>
      <c r="B224" s="3" t="str">
        <f>_xlfn.CONCAT(C224, " / ", D224)</f>
        <v>effortless-entity-framework / SendIntents.DeferralAgeHours</v>
      </c>
      <c r="C224" s="2" t="s">
        <v>13981</v>
      </c>
      <c r="D224" s="2" t="s">
        <v>4889</v>
      </c>
      <c r="E224" s="2" t="s">
        <v>14235</v>
      </c>
      <c r="F224" s="2" t="s">
        <v>2389</v>
      </c>
      <c r="G224" s="2">
        <v>7</v>
      </c>
      <c r="H224" s="2" t="s">
        <v>14591</v>
      </c>
      <c r="I224" s="3">
        <f>COUNTIFS(CellDisagreements!C2:C999, A224)</f>
        <v>0</v>
      </c>
      <c r="J224" s="3" t="b">
        <f>I224 = G224</f>
        <v>0</v>
      </c>
      <c r="K224" s="3" t="str">
        <f>_xlfn.IFNA(INDEX(RulebookFields!G2:G999, MATCH(D224,RulebookFields!A2:A999, 0)), "")</f>
      </c>
      <c r="L224" s="3" t="str">
        <f>_xlfn.IFNA(INDEX(ConformanceSubstrates!C2:C999, MATCH(C224,ConformanceSubstrates!A2:A999, 0)), "")</f>
        <v>C# / Entity Framework</v>
      </c>
      <c r="M224" s="2" t="s">
        <v>1902</v>
      </c>
    </row>
    <row r="225">
      <c r="A225" s="2" t="s">
        <v>14815</v>
      </c>
      <c r="B225" s="3" t="str">
        <f>_xlfn.CONCAT(C225, " / ", D225)</f>
        <v>effortless-entity-framework / DeliveredCommunications.ContentMatchesApproval</v>
      </c>
      <c r="C225" s="2" t="s">
        <v>13981</v>
      </c>
      <c r="D225" s="2" t="s">
        <v>5052</v>
      </c>
      <c r="E225" s="2" t="s">
        <v>14237</v>
      </c>
      <c r="F225" s="2" t="s">
        <v>2389</v>
      </c>
      <c r="G225" s="2">
        <v>1</v>
      </c>
      <c r="H225" s="2" t="s">
        <v>14591</v>
      </c>
      <c r="I225" s="3">
        <f>COUNTIFS(CellDisagreements!C2:C999, A225)</f>
        <v>0</v>
      </c>
      <c r="J225" s="3" t="b">
        <f>I225 = G225</f>
        <v>0</v>
      </c>
      <c r="K225" s="3" t="str">
        <f>_xlfn.IFNA(INDEX(RulebookFields!G2:G999, MATCH(D225,RulebookFields!A2:A999, 0)), "")</f>
      </c>
      <c r="L225" s="3" t="str">
        <f>_xlfn.IFNA(INDEX(ConformanceSubstrates!C2:C999, MATCH(C225,ConformanceSubstrates!A2:A999, 0)), "")</f>
        <v>C# / Entity Framework</v>
      </c>
      <c r="M225" s="2" t="s">
        <v>1902</v>
      </c>
    </row>
    <row r="226">
      <c r="A226" s="2" t="s">
        <v>14816</v>
      </c>
      <c r="B226" s="3" t="str">
        <f>_xlfn.CONCAT(C226, " / ", D226)</f>
        <v>effortless-entity-framework / ProcessMiningRuns.Name</v>
      </c>
      <c r="C226" s="2" t="s">
        <v>13981</v>
      </c>
      <c r="D226" s="2" t="s">
        <v>5589</v>
      </c>
      <c r="E226" s="2" t="s">
        <v>14254</v>
      </c>
      <c r="F226" s="2" t="s">
        <v>2389</v>
      </c>
      <c r="G226" s="2">
        <v>4</v>
      </c>
      <c r="H226" s="2" t="s">
        <v>14591</v>
      </c>
      <c r="I226" s="3">
        <f>COUNTIFS(CellDisagreements!C2:C999, A226)</f>
        <v>0</v>
      </c>
      <c r="J226" s="3" t="b">
        <f>I226 = G226</f>
        <v>0</v>
      </c>
      <c r="K226" s="3" t="str">
        <f>_xlfn.IFNA(INDEX(RulebookFields!G2:G999, MATCH(D226,RulebookFields!A2:A999, 0)), "")</f>
      </c>
      <c r="L226" s="3" t="str">
        <f>_xlfn.IFNA(INDEX(ConformanceSubstrates!C2:C999, MATCH(C226,ConformanceSubstrates!A2:A999, 0)), "")</f>
        <v>C# / Entity Framework</v>
      </c>
      <c r="M226" s="2" t="s">
        <v>1902</v>
      </c>
    </row>
    <row r="227">
      <c r="A227" s="2" t="s">
        <v>14817</v>
      </c>
      <c r="B227" s="3" t="str">
        <f>_xlfn.CONCAT(C227, " / ", D227)</f>
        <v>effortless-golang / EvaluationContexts.Name</v>
      </c>
      <c r="C227" s="2" t="s">
        <v>13969</v>
      </c>
      <c r="D227" s="2" t="s">
        <v>2414</v>
      </c>
      <c r="E227" s="2" t="s">
        <v>14260</v>
      </c>
      <c r="F227" s="2" t="s">
        <v>2389</v>
      </c>
      <c r="G227" s="2">
        <v>1</v>
      </c>
      <c r="H227" s="2" t="s">
        <v>14591</v>
      </c>
      <c r="I227" s="3">
        <f>COUNTIFS(CellDisagreements!C2:C999, A227)</f>
        <v>0</v>
      </c>
      <c r="J227" s="3" t="b">
        <f>I227 = G227</f>
        <v>0</v>
      </c>
      <c r="K227" s="3" t="str">
        <f>_xlfn.IFNA(INDEX(RulebookFields!G2:G999, MATCH(D227,RulebookFields!A2:A999, 0)), "")</f>
        <v>={{Label}} &amp; " @ " &amp; {{AsOfInstant}}</v>
      </c>
      <c r="L227" s="3" t="str">
        <f>_xlfn.IFNA(INDEX(ConformanceSubstrates!C2:C999, MATCH(C227,ConformanceSubstrates!A2:A999, 0)), "")</f>
        <v>Go</v>
      </c>
      <c r="M227" s="2" t="s">
        <v>1902</v>
      </c>
    </row>
    <row r="228">
      <c r="A228" s="2" t="s">
        <v>14818</v>
      </c>
      <c r="B228" s="3" t="str">
        <f>_xlfn.CONCAT(C228, " / ", D228)</f>
        <v>effortless-golang / RoleAssignments.Name</v>
      </c>
      <c r="C228" s="2" t="s">
        <v>13969</v>
      </c>
      <c r="D228" s="2" t="s">
        <v>2514</v>
      </c>
      <c r="E228" s="2" t="s">
        <v>14264</v>
      </c>
      <c r="F228" s="2" t="s">
        <v>2389</v>
      </c>
      <c r="G228" s="2">
        <v>13</v>
      </c>
      <c r="H228" s="2" t="s">
        <v>14591</v>
      </c>
      <c r="I228" s="3">
        <f>COUNTIFS(CellDisagreements!C2:C999, A228)</f>
        <v>0</v>
      </c>
      <c r="J228" s="3" t="b">
        <f>I228 = G228</f>
        <v>0</v>
      </c>
      <c r="K228" s="3" t="str">
        <f>_xlfn.IFNA(INDEX(RulebookFields!G2:G999, MATCH(D228,RulebookFields!A2:A999, 0)), "")</f>
        <v>={{Role}} &amp; " @ " &amp; {{ValidFrom}}</v>
      </c>
      <c r="L228" s="3" t="str">
        <f>_xlfn.IFNA(INDEX(ConformanceSubstrates!C2:C999, MATCH(C228,ConformanceSubstrates!A2:A999, 0)), "")</f>
        <v>Go</v>
      </c>
      <c r="M228" s="2" t="s">
        <v>1902</v>
      </c>
    </row>
    <row r="229">
      <c r="A229" s="2" t="s">
        <v>14819</v>
      </c>
      <c r="B229" s="3" t="str">
        <f>_xlfn.CONCAT(C229, " / ", D229)</f>
        <v>effortless-golang / RoleAssignments.QualityVerdictIsUnsupported</v>
      </c>
      <c r="C229" s="2" t="s">
        <v>13969</v>
      </c>
      <c r="D229" s="2" t="s">
        <v>2575</v>
      </c>
      <c r="E229" s="2" t="s">
        <v>14264</v>
      </c>
      <c r="F229" s="2" t="s">
        <v>2389</v>
      </c>
      <c r="G229" s="2">
        <v>13</v>
      </c>
      <c r="H229" s="2" t="s">
        <v>14591</v>
      </c>
      <c r="I229" s="3">
        <f>COUNTIFS(CellDisagreements!C2:C999, A229)</f>
        <v>0</v>
      </c>
      <c r="J229" s="3" t="b">
        <f>I229 = G229</f>
        <v>0</v>
      </c>
      <c r="K229" s="3" t="str">
        <f>_xlfn.IFNA(INDEX(RulebookFields!G2:G999, MATCH(D229,RulebookFields!A2:A999, 0)), "")</f>
        <v>=AND(NOT({{ComparisonIsEvidentiallySound}}), NOT({{QualityRegressedVsPredecessor}}))</v>
      </c>
      <c r="L229" s="3" t="str">
        <f>_xlfn.IFNA(INDEX(ConformanceSubstrates!C2:C999, MATCH(C229,ConformanceSubstrates!A2:A999, 0)), "")</f>
        <v>Go</v>
      </c>
      <c r="M229" s="2" t="s">
        <v>1902</v>
      </c>
    </row>
    <row r="230">
      <c r="A230" s="2" t="s">
        <v>14820</v>
      </c>
      <c r="B230" s="3" t="str">
        <f>_xlfn.CONCAT(C230, " / ", D230)</f>
        <v>effortless-golang / RoleAssignments.IsUnmeasuredAutomationHandover</v>
      </c>
      <c r="C230" s="2" t="s">
        <v>13969</v>
      </c>
      <c r="D230" s="2" t="s">
        <v>2577</v>
      </c>
      <c r="E230" s="2" t="s">
        <v>14264</v>
      </c>
      <c r="F230" s="2" t="s">
        <v>2389</v>
      </c>
      <c r="G230" s="2">
        <v>1</v>
      </c>
      <c r="H230" s="2" t="s">
        <v>14591</v>
      </c>
      <c r="I230" s="3">
        <f>COUNTIFS(CellDisagreements!C2:C999, A230)</f>
        <v>0</v>
      </c>
      <c r="J230" s="3" t="b">
        <f>I230 = G230</f>
        <v>0</v>
      </c>
      <c r="K230" s="3" t="str">
        <f>_xlfn.IFNA(INDEX(RulebookFields!G2:G999, MATCH(D230,RulebookFields!A2:A999, 0)), "")</f>
        <v>=AND({{IsHumanToNonHumanHandover}}, NOT({{ComparisonIsEvidentiallySound}}))</v>
      </c>
      <c r="L230" s="3" t="str">
        <f>_xlfn.IFNA(INDEX(ConformanceSubstrates!C2:C999, MATCH(C230,ConformanceSubstrates!A2:A999, 0)), "")</f>
        <v>Go</v>
      </c>
      <c r="M230" s="2" t="s">
        <v>1902</v>
      </c>
    </row>
    <row r="231">
      <c r="A231" s="2" t="s">
        <v>14821</v>
      </c>
      <c r="B231" s="3" t="str">
        <f>_xlfn.CONCAT(C231, " / ", D231)</f>
        <v>effortless-golang / ProcedureVersions.DaysSinceModified</v>
      </c>
      <c r="C231" s="2" t="s">
        <v>13969</v>
      </c>
      <c r="D231" s="2" t="s">
        <v>2724</v>
      </c>
      <c r="E231" s="2" t="s">
        <v>14269</v>
      </c>
      <c r="F231" s="2" t="s">
        <v>2389</v>
      </c>
      <c r="G231" s="2">
        <v>3</v>
      </c>
      <c r="H231" s="2" t="s">
        <v>14591</v>
      </c>
      <c r="I231" s="3">
        <f>COUNTIFS(CellDisagreements!C2:C999, A231)</f>
        <v>0</v>
      </c>
      <c r="J231" s="3" t="b">
        <f>I231 = G231</f>
        <v>0</v>
      </c>
      <c r="K231" s="3" t="str">
        <f>_xlfn.IFNA(INDEX(RulebookFields!G2:G999, MATCH(D231,RulebookFields!A2:A999, 0)), "")</f>
        <v>=DATETIME_DIFF({{AsOfInstant}}, {{ModifiedAt}}, "days")</v>
      </c>
      <c r="L231" s="3" t="str">
        <f>_xlfn.IFNA(INDEX(ConformanceSubstrates!C2:C999, MATCH(C231,ConformanceSubstrates!A2:A999, 0)), "")</f>
        <v>Go</v>
      </c>
      <c r="M231" s="2" t="s">
        <v>1902</v>
      </c>
    </row>
    <row r="232">
      <c r="A232" s="2" t="s">
        <v>14822</v>
      </c>
      <c r="B232" s="3" t="str">
        <f>_xlfn.CONCAT(C232, " / ", D232)</f>
        <v>effortless-golang / ProcedureVersions.WasModifiedSinceLastReview</v>
      </c>
      <c r="C232" s="2" t="s">
        <v>13969</v>
      </c>
      <c r="D232" s="2" t="s">
        <v>2728</v>
      </c>
      <c r="E232" s="2" t="s">
        <v>14269</v>
      </c>
      <c r="F232" s="2" t="s">
        <v>2389</v>
      </c>
      <c r="G232" s="2">
        <v>2</v>
      </c>
      <c r="H232" s="2" t="s">
        <v>14591</v>
      </c>
      <c r="I232" s="3">
        <f>COUNTIFS(CellDisagreements!C2:C999, A232)</f>
        <v>0</v>
      </c>
      <c r="J232" s="3" t="b">
        <f>I232 = G232</f>
        <v>0</v>
      </c>
      <c r="K232" s="3" t="str">
        <f>_xlfn.IFNA(INDEX(RulebookFields!G2:G999, MATCH(D232,RulebookFields!A2:A999, 0)), "")</f>
        <v>={{DaysSinceModified}} &lt; {{DaysSinceLastReview}}</v>
      </c>
      <c r="L232" s="3" t="str">
        <f>_xlfn.IFNA(INDEX(ConformanceSubstrates!C2:C999, MATCH(C232,ConformanceSubstrates!A2:A999, 0)), "")</f>
        <v>Go</v>
      </c>
      <c r="M232" s="2" t="s">
        <v>1902</v>
      </c>
    </row>
    <row r="233">
      <c r="A233" s="2" t="s">
        <v>14823</v>
      </c>
      <c r="B233" s="3" t="str">
        <f>_xlfn.CONCAT(C233, " / ", D233)</f>
        <v>effortless-golang / ProcedureVersions.HasUnwitnessedChange</v>
      </c>
      <c r="C233" s="2" t="s">
        <v>13969</v>
      </c>
      <c r="D233" s="2" t="s">
        <v>2732</v>
      </c>
      <c r="E233" s="2" t="s">
        <v>14269</v>
      </c>
      <c r="F233" s="2" t="s">
        <v>2389</v>
      </c>
      <c r="G233" s="2">
        <v>2</v>
      </c>
      <c r="H233" s="2" t="s">
        <v>14591</v>
      </c>
      <c r="I233" s="3">
        <f>COUNTIFS(CellDisagreements!C2:C999, A233)</f>
        <v>0</v>
      </c>
      <c r="J233" s="3" t="b">
        <f>I233 = G233</f>
        <v>0</v>
      </c>
      <c r="K233" s="3" t="str">
        <f>_xlfn.IFNA(INDEX(RulebookFields!G2:G999, MATCH(D233,RulebookFields!A2:A999, 0)), "")</f>
        <v>=AND({{IsLive}}, {{WasModifiedSinceLastReview}})</v>
      </c>
      <c r="L233" s="3" t="str">
        <f>_xlfn.IFNA(INDEX(ConformanceSubstrates!C2:C999, MATCH(C233,ConformanceSubstrates!A2:A999, 0)), "")</f>
        <v>Go</v>
      </c>
      <c r="M233" s="2" t="s">
        <v>1902</v>
      </c>
    </row>
    <row r="234">
      <c r="A234" s="2" t="s">
        <v>14824</v>
      </c>
      <c r="B234" s="3" t="str">
        <f>_xlfn.CONCAT(C234, " / ", D234)</f>
        <v>effortless-golang / Requirements.IsUntestedWitness</v>
      </c>
      <c r="C234" s="2" t="s">
        <v>13969</v>
      </c>
      <c r="D234" s="2" t="s">
        <v>3025</v>
      </c>
      <c r="E234" s="2" t="s">
        <v>14280</v>
      </c>
      <c r="F234" s="2" t="s">
        <v>2389</v>
      </c>
      <c r="G234" s="2">
        <v>3</v>
      </c>
      <c r="H234" s="2" t="s">
        <v>14591</v>
      </c>
      <c r="I234" s="3">
        <f>COUNTIFS(CellDisagreements!C2:C999, A234)</f>
        <v>0</v>
      </c>
      <c r="J234" s="3" t="b">
        <f>I234 = G234</f>
        <v>0</v>
      </c>
      <c r="K234" s="3" t="str">
        <f>_xlfn.IFNA(INDEX(RulebookFields!G2:G999, MATCH(D234,RulebookFields!A2:A999, 0)), "")</f>
        <v>=AND({{WitnessHasNeverFired}}, NOT({{HasMeaningfulSample}}))</v>
      </c>
      <c r="L234" s="3" t="str">
        <f>_xlfn.IFNA(INDEX(ConformanceSubstrates!C2:C999, MATCH(C234,ConformanceSubstrates!A2:A999, 0)), "")</f>
        <v>Go</v>
      </c>
      <c r="M234" s="2" t="s">
        <v>1902</v>
      </c>
    </row>
    <row r="235">
      <c r="A235" s="2" t="s">
        <v>14825</v>
      </c>
      <c r="B235" s="3" t="str">
        <f>_xlfn.CONCAT(C235, " / ", D235)</f>
        <v>effortless-golang / ElicitationSessions.Name</v>
      </c>
      <c r="C235" s="2" t="s">
        <v>13969</v>
      </c>
      <c r="D235" s="2" t="s">
        <v>3130</v>
      </c>
      <c r="E235" s="2" t="s">
        <v>14287</v>
      </c>
      <c r="F235" s="2" t="s">
        <v>2389</v>
      </c>
      <c r="G235" s="2">
        <v>3</v>
      </c>
      <c r="H235" s="2" t="s">
        <v>14591</v>
      </c>
      <c r="I235" s="3">
        <f>COUNTIFS(CellDisagreements!C2:C999, A235)</f>
        <v>0</v>
      </c>
      <c r="J235" s="3" t="b">
        <f>I235 = G235</f>
        <v>0</v>
      </c>
      <c r="K235" s="3" t="str">
        <f>_xlfn.IFNA(INDEX(RulebookFields!G2:G999, MATCH(D235,RulebookFields!A2:A999, 0)), "")</f>
        <v>={{Method}} &amp; " / " &amp; {{StartedAt}}</v>
      </c>
      <c r="L235" s="3" t="str">
        <f>_xlfn.IFNA(INDEX(ConformanceSubstrates!C2:C999, MATCH(C235,ConformanceSubstrates!A2:A999, 0)), "")</f>
        <v>Go</v>
      </c>
      <c r="M235" s="2" t="s">
        <v>1902</v>
      </c>
    </row>
    <row r="236">
      <c r="A236" s="2" t="s">
        <v>14826</v>
      </c>
      <c r="B236" s="3" t="str">
        <f>_xlfn.CONCAT(C236, " / ", D236)</f>
        <v>effortless-golang / ElicitationSessions.DaysSinceElicited</v>
      </c>
      <c r="C236" s="2" t="s">
        <v>13969</v>
      </c>
      <c r="D236" s="2" t="s">
        <v>3142</v>
      </c>
      <c r="E236" s="2" t="s">
        <v>14287</v>
      </c>
      <c r="F236" s="2" t="s">
        <v>2389</v>
      </c>
      <c r="G236" s="2">
        <v>2</v>
      </c>
      <c r="H236" s="2" t="s">
        <v>14591</v>
      </c>
      <c r="I236" s="3">
        <f>COUNTIFS(CellDisagreements!C2:C999, A236)</f>
        <v>0</v>
      </c>
      <c r="J236" s="3" t="b">
        <f>I236 = G236</f>
        <v>0</v>
      </c>
      <c r="K236" s="3" t="str">
        <f>_xlfn.IFNA(INDEX(RulebookFields!G2:G999, MATCH(D236,RulebookFields!A2:A999, 0)), "")</f>
        <v>=DATETIME_DIFF({{AsOfInstant}}, {{EndedAt}}, "days")</v>
      </c>
      <c r="L236" s="3" t="str">
        <f>_xlfn.IFNA(INDEX(ConformanceSubstrates!C2:C999, MATCH(C236,ConformanceSubstrates!A2:A999, 0)), "")</f>
        <v>Go</v>
      </c>
      <c r="M236" s="2" t="s">
        <v>1902</v>
      </c>
    </row>
    <row r="237">
      <c r="A237" s="2" t="s">
        <v>14827</v>
      </c>
      <c r="B237" s="3" t="str">
        <f>_xlfn.CONCAT(C237, " / ", D237)</f>
        <v>effortless-golang / KnowledgeFragments.DaysSinceActualReview</v>
      </c>
      <c r="C237" s="2" t="s">
        <v>13969</v>
      </c>
      <c r="D237" s="2" t="s">
        <v>3270</v>
      </c>
      <c r="E237" s="2" t="s">
        <v>14288</v>
      </c>
      <c r="F237" s="2" t="s">
        <v>2389</v>
      </c>
      <c r="G237" s="2">
        <v>3</v>
      </c>
      <c r="H237" s="2" t="s">
        <v>14591</v>
      </c>
      <c r="I237" s="3">
        <f>COUNTIFS(CellDisagreements!C2:C999, A237)</f>
        <v>0</v>
      </c>
      <c r="J237" s="3" t="b">
        <f>I237 = G237</f>
        <v>0</v>
      </c>
      <c r="K237" s="3" t="str">
        <f>_xlfn.IFNA(INDEX(RulebookFields!G2:G999, MATCH(D237,RulebookFields!A2:A999, 0)), "")</f>
        <v>=IF({{HasReviewRecord}}, DATETIME_DIFF({{AsOfInstant}}, {{LastReviewedAt}}, "days"), 0)</v>
      </c>
      <c r="L237" s="3" t="str">
        <f>_xlfn.IFNA(INDEX(ConformanceSubstrates!C2:C999, MATCH(C237,ConformanceSubstrates!A2:A999, 0)), "")</f>
        <v>Go</v>
      </c>
      <c r="M237" s="2" t="s">
        <v>1902</v>
      </c>
    </row>
    <row r="238">
      <c r="A238" s="2" t="s">
        <v>14828</v>
      </c>
      <c r="B238" s="3" t="str">
        <f>_xlfn.CONCAT(C238, " / ", D238)</f>
        <v>effortless-golang / KnowledgeFragments.EvidenceAgeDays</v>
      </c>
      <c r="C238" s="2" t="s">
        <v>13969</v>
      </c>
      <c r="D238" s="2" t="s">
        <v>3198</v>
      </c>
      <c r="E238" s="2" t="s">
        <v>14288</v>
      </c>
      <c r="F238" s="2" t="s">
        <v>2478</v>
      </c>
      <c r="G238" s="2">
        <v>3</v>
      </c>
      <c r="H238" s="2" t="s">
        <v>14591</v>
      </c>
      <c r="I238" s="3">
        <f>COUNTIFS(CellDisagreements!C2:C999, A238)</f>
        <v>0</v>
      </c>
      <c r="J238" s="3" t="b">
        <f>I238 = G238</f>
        <v>0</v>
      </c>
      <c r="K238" s="3" t="str">
        <f>_xlfn.IFNA(INDEX(RulebookFields!G2:G999, MATCH(D238,RulebookFields!A2:A999, 0)), "")</f>
        <v>=INDEX(ElicitationSessions!{{DaysSinceElicited}}, MATCH({{ElicitationSession}}, ElicitationSessions!{{ElicitationSessionId}}, 0))</v>
      </c>
      <c r="L238" s="3" t="str">
        <f>_xlfn.IFNA(INDEX(ConformanceSubstrates!C2:C999, MATCH(C238,ConformanceSubstrates!A2:A999, 0)), "")</f>
        <v>Go</v>
      </c>
      <c r="M238" s="2" t="s">
        <v>1902</v>
      </c>
    </row>
    <row r="239">
      <c r="A239" s="2" t="s">
        <v>14829</v>
      </c>
      <c r="B239" s="3" t="str">
        <f>_xlfn.CONCAT(C239, " / ", D239)</f>
        <v>effortless-golang / KnowledgeFragments.AgeDays</v>
      </c>
      <c r="C239" s="2" t="s">
        <v>13969</v>
      </c>
      <c r="D239" s="2" t="s">
        <v>3222</v>
      </c>
      <c r="E239" s="2" t="s">
        <v>14288</v>
      </c>
      <c r="F239" s="2" t="s">
        <v>2389</v>
      </c>
      <c r="G239" s="2">
        <v>3</v>
      </c>
      <c r="H239" s="2" t="s">
        <v>14591</v>
      </c>
      <c r="I239" s="3">
        <f>COUNTIFS(CellDisagreements!C2:C999, A239)</f>
        <v>0</v>
      </c>
      <c r="J239" s="3" t="b">
        <f>I239 = G239</f>
        <v>0</v>
      </c>
      <c r="K239" s="3" t="str">
        <f>_xlfn.IFNA(INDEX(RulebookFields!G2:G999, MATCH(D239,RulebookFields!A2:A999, 0)), "")</f>
        <v>=DATETIME_DIFF({{AsOfInstant}}, {{ValidFrom}}, "days")</v>
      </c>
      <c r="L239" s="3" t="str">
        <f>_xlfn.IFNA(INDEX(ConformanceSubstrates!C2:C999, MATCH(C239,ConformanceSubstrates!A2:A999, 0)), "")</f>
        <v>Go</v>
      </c>
      <c r="M239" s="2" t="s">
        <v>1902</v>
      </c>
    </row>
    <row r="240">
      <c r="A240" s="2" t="s">
        <v>14830</v>
      </c>
      <c r="B240" s="3" t="str">
        <f>_xlfn.CONCAT(C240, " / ", D240)</f>
        <v>effortless-golang / KnowledgeFragments.DaysAwaitingMyApproval</v>
      </c>
      <c r="C240" s="2" t="s">
        <v>13969</v>
      </c>
      <c r="D240" s="2" t="s">
        <v>3286</v>
      </c>
      <c r="E240" s="2" t="s">
        <v>14288</v>
      </c>
      <c r="F240" s="2" t="s">
        <v>2389</v>
      </c>
      <c r="G240" s="2">
        <v>1</v>
      </c>
      <c r="H240" s="2" t="s">
        <v>14591</v>
      </c>
      <c r="I240" s="3">
        <f>COUNTIFS(CellDisagreements!C2:C999, A240)</f>
        <v>0</v>
      </c>
      <c r="J240" s="3" t="b">
        <f>I240 = G240</f>
        <v>0</v>
      </c>
      <c r="K240" s="3" t="str">
        <f>_xlfn.IFNA(INDEX(RulebookFields!G2:G999, MATCH(D240,RulebookFields!A2:A999, 0)), "")</f>
        <v>=IF({{IsMyUnfinishedApproval}}, DATETIME_DIFF({{AsOfInstant}}, {{ValidFrom}}, "days"), 0)</v>
      </c>
      <c r="L240" s="3" t="str">
        <f>_xlfn.IFNA(INDEX(ConformanceSubstrates!C2:C999, MATCH(C240,ConformanceSubstrates!A2:A999, 0)), "")</f>
        <v>Go</v>
      </c>
      <c r="M240" s="2" t="s">
        <v>1902</v>
      </c>
    </row>
    <row r="241">
      <c r="A241" s="2" t="s">
        <v>14831</v>
      </c>
      <c r="B241" s="3" t="str">
        <f>_xlfn.CONCAT(C241, " / ", D241)</f>
        <v>effortless-golang / KnowledgeGaps.DaysOpen</v>
      </c>
      <c r="C241" s="2" t="s">
        <v>13969</v>
      </c>
      <c r="D241" s="2" t="s">
        <v>3324</v>
      </c>
      <c r="E241" s="2" t="s">
        <v>14289</v>
      </c>
      <c r="F241" s="2" t="s">
        <v>2389</v>
      </c>
      <c r="G241" s="2">
        <v>1</v>
      </c>
      <c r="H241" s="2" t="s">
        <v>14591</v>
      </c>
      <c r="I241" s="3">
        <f>COUNTIFS(CellDisagreements!C2:C999, A241)</f>
        <v>0</v>
      </c>
      <c r="J241" s="3" t="b">
        <f>I241 = G241</f>
        <v>0</v>
      </c>
      <c r="K241" s="3" t="str">
        <f>_xlfn.IFNA(INDEX(RulebookFields!G2:G999, MATCH(D241,RulebookFields!A2:A999, 0)), "")</f>
        <v>=IF({{IsOpen}}, DATETIME_DIFF({{AsOfInstant}}, {{IdentifiedAt}}, "days"), 0)</v>
      </c>
      <c r="L241" s="3" t="str">
        <f>_xlfn.IFNA(INDEX(ConformanceSubstrates!C2:C999, MATCH(C241,ConformanceSubstrates!A2:A999, 0)), "")</f>
        <v>Go</v>
      </c>
      <c r="M241" s="2" t="s">
        <v>1902</v>
      </c>
    </row>
    <row r="242">
      <c r="A242" s="2" t="s">
        <v>14832</v>
      </c>
      <c r="B242" s="3" t="str">
        <f>_xlfn.CONCAT(C242, " / ", D242)</f>
        <v>effortless-golang / IssueOccurrences.Name</v>
      </c>
      <c r="C242" s="2" t="s">
        <v>13969</v>
      </c>
      <c r="D242" s="2" t="s">
        <v>3795</v>
      </c>
      <c r="E242" s="2" t="s">
        <v>14296</v>
      </c>
      <c r="F242" s="2" t="s">
        <v>2389</v>
      </c>
      <c r="G242" s="2">
        <v>2</v>
      </c>
      <c r="H242" s="2" t="s">
        <v>14591</v>
      </c>
      <c r="I242" s="3">
        <f>COUNTIFS(CellDisagreements!C2:C999, A242)</f>
        <v>0</v>
      </c>
      <c r="J242" s="3" t="b">
        <f>I242 = G242</f>
        <v>0</v>
      </c>
      <c r="K242" s="3" t="str">
        <f>_xlfn.IFNA(INDEX(RulebookFields!G2:G999, MATCH(D242,RulebookFields!A2:A999, 0)), "")</f>
        <v>={{Error}} &amp; " @ " &amp; {{OccurredAt}}</v>
      </c>
      <c r="L242" s="3" t="str">
        <f>_xlfn.IFNA(INDEX(ConformanceSubstrates!C2:C999, MATCH(C242,ConformanceSubstrates!A2:A999, 0)), "")</f>
        <v>Go</v>
      </c>
      <c r="M242" s="2" t="s">
        <v>1902</v>
      </c>
    </row>
    <row r="243">
      <c r="A243" s="2" t="s">
        <v>14833</v>
      </c>
      <c r="B243" s="3" t="str">
        <f>_xlfn.CONCAT(C243, " / ", D243)</f>
        <v>effortless-golang / ChangeRequests.DaysPending</v>
      </c>
      <c r="C243" s="2" t="s">
        <v>13969</v>
      </c>
      <c r="D243" s="2" t="s">
        <v>3867</v>
      </c>
      <c r="E243" s="2" t="s">
        <v>14300</v>
      </c>
      <c r="F243" s="2" t="s">
        <v>2389</v>
      </c>
      <c r="G243" s="2">
        <v>1</v>
      </c>
      <c r="H243" s="2" t="s">
        <v>14591</v>
      </c>
      <c r="I243" s="3">
        <f>COUNTIFS(CellDisagreements!C2:C999, A243)</f>
        <v>0</v>
      </c>
      <c r="J243" s="3" t="b">
        <f>I243 = G243</f>
        <v>0</v>
      </c>
      <c r="K243" s="3" t="str">
        <f>_xlfn.IFNA(INDEX(RulebookFields!G2:G999, MATCH(D243,RulebookFields!A2:A999, 0)), "")</f>
        <v>=IF({{IsDecided}}, DATETIME_DIFF({{DecidedAt}}, {{RequestedAt}}, "days"), DATETIME_DIFF({{AsOfInstant}}, {{RequestedAt}}, "days"))</v>
      </c>
      <c r="L243" s="3" t="str">
        <f>_xlfn.IFNA(INDEX(ConformanceSubstrates!C2:C999, MATCH(C243,ConformanceSubstrates!A2:A999, 0)), "")</f>
        <v>Go</v>
      </c>
      <c r="M243" s="2" t="s">
        <v>1902</v>
      </c>
    </row>
    <row r="244">
      <c r="A244" s="2" t="s">
        <v>14834</v>
      </c>
      <c r="B244" s="3" t="str">
        <f>_xlfn.CONCAT(C244, " / ", D244)</f>
        <v>effortless-golang / ChangeRequests.DecisionLatencyDays</v>
      </c>
      <c r="C244" s="2" t="s">
        <v>13969</v>
      </c>
      <c r="D244" s="2" t="s">
        <v>3901</v>
      </c>
      <c r="E244" s="2" t="s">
        <v>14300</v>
      </c>
      <c r="F244" s="2" t="s">
        <v>2389</v>
      </c>
      <c r="G244" s="2">
        <v>1</v>
      </c>
      <c r="H244" s="2" t="s">
        <v>14591</v>
      </c>
      <c r="I244" s="3">
        <f>COUNTIFS(CellDisagreements!C2:C999, A244)</f>
        <v>0</v>
      </c>
      <c r="J244" s="3" t="b">
        <f>I244 = G244</f>
        <v>0</v>
      </c>
      <c r="K244" s="3" t="str">
        <f>_xlfn.IFNA(INDEX(RulebookFields!G2:G999, MATCH(D244,RulebookFields!A2:A999, 0)), "")</f>
        <v>=IF({{IsDecided}}, DATETIME_DIFF({{DecidedAt}}, {{RequestedAt}}, "days"), 0)</v>
      </c>
      <c r="L244" s="3" t="str">
        <f>_xlfn.IFNA(INDEX(ConformanceSubstrates!C2:C999, MATCH(C244,ConformanceSubstrates!A2:A999, 0)), "")</f>
        <v>Go</v>
      </c>
      <c r="M244" s="2" t="s">
        <v>1902</v>
      </c>
    </row>
    <row r="245">
      <c r="A245" s="2" t="s">
        <v>14835</v>
      </c>
      <c r="B245" s="3" t="str">
        <f>_xlfn.CONCAT(C245, " / ", D245)</f>
        <v>effortless-golang / ReviewEvents.DaysSinceReviewed</v>
      </c>
      <c r="C245" s="2" t="s">
        <v>13969</v>
      </c>
      <c r="D245" s="2" t="s">
        <v>3939</v>
      </c>
      <c r="E245" s="2" t="s">
        <v>14301</v>
      </c>
      <c r="F245" s="2" t="s">
        <v>2389</v>
      </c>
      <c r="G245" s="2">
        <v>3</v>
      </c>
      <c r="H245" s="2" t="s">
        <v>14591</v>
      </c>
      <c r="I245" s="3">
        <f>COUNTIFS(CellDisagreements!C2:C999, A245)</f>
        <v>0</v>
      </c>
      <c r="J245" s="3" t="b">
        <f>I245 = G245</f>
        <v>0</v>
      </c>
      <c r="K245" s="3" t="str">
        <f>_xlfn.IFNA(INDEX(RulebookFields!G2:G999, MATCH(D245,RulebookFields!A2:A999, 0)), "")</f>
        <v>=DATETIME_DIFF({{AsOfInstant}}, {{ReviewedAt}}, "days")</v>
      </c>
      <c r="L245" s="3" t="str">
        <f>_xlfn.IFNA(INDEX(ConformanceSubstrates!C2:C999, MATCH(C245,ConformanceSubstrates!A2:A999, 0)), "")</f>
        <v>Go</v>
      </c>
      <c r="M245" s="2" t="s">
        <v>1902</v>
      </c>
    </row>
    <row r="246">
      <c r="A246" s="2" t="s">
        <v>14836</v>
      </c>
      <c r="B246" s="3" t="str">
        <f>_xlfn.CONCAT(C246, " / ", D246)</f>
        <v>effortless-golang / ReviewEvents.CadenceDriftDays</v>
      </c>
      <c r="C246" s="2" t="s">
        <v>13969</v>
      </c>
      <c r="D246" s="2" t="s">
        <v>3943</v>
      </c>
      <c r="E246" s="2" t="s">
        <v>14301</v>
      </c>
      <c r="F246" s="2" t="s">
        <v>2389</v>
      </c>
      <c r="G246" s="2">
        <v>3</v>
      </c>
      <c r="H246" s="2" t="s">
        <v>14591</v>
      </c>
      <c r="I246" s="3">
        <f>COUNTIFS(CellDisagreements!C2:C999, A246)</f>
        <v>0</v>
      </c>
      <c r="J246" s="3" t="b">
        <f>I246 = G246</f>
        <v>0</v>
      </c>
      <c r="K246" s="3" t="str">
        <f>_xlfn.IFNA(INDEX(RulebookFields!G2:G999, MATCH(D246,RulebookFields!A2:A999, 0)), "")</f>
        <v>={{DaysSinceReviewed}} - {{PromisedCadenceDays}}</v>
      </c>
      <c r="L246" s="3" t="str">
        <f>_xlfn.IFNA(INDEX(ConformanceSubstrates!C2:C999, MATCH(C246,ConformanceSubstrates!A2:A999, 0)), "")</f>
        <v>Go</v>
      </c>
      <c r="M246" s="2" t="s">
        <v>1902</v>
      </c>
    </row>
    <row r="247">
      <c r="A247" s="2" t="s">
        <v>14837</v>
      </c>
      <c r="B247" s="3" t="str">
        <f>_xlfn.CONCAT(C247, " / ", D247)</f>
        <v>effortless-golang / LearningActivities.Name</v>
      </c>
      <c r="C247" s="2" t="s">
        <v>13969</v>
      </c>
      <c r="D247" s="2" t="s">
        <v>3952</v>
      </c>
      <c r="E247" s="2" t="s">
        <v>14302</v>
      </c>
      <c r="F247" s="2" t="s">
        <v>2389</v>
      </c>
      <c r="G247" s="2">
        <v>2</v>
      </c>
      <c r="H247" s="2" t="s">
        <v>14591</v>
      </c>
      <c r="I247" s="3">
        <f>COUNTIFS(CellDisagreements!C2:C999, A247)</f>
        <v>0</v>
      </c>
      <c r="J247" s="3" t="b">
        <f>I247 = G247</f>
        <v>0</v>
      </c>
      <c r="K247" s="3" t="str">
        <f>_xlfn.IFNA(INDEX(RulebookFields!G2:G999, MATCH(D247,RulebookFields!A2:A999, 0)), "")</f>
        <v>={{ActivityKind}} &amp; " / " &amp; {{OccurredAt}}</v>
      </c>
      <c r="L247" s="3" t="str">
        <f>_xlfn.IFNA(INDEX(ConformanceSubstrates!C2:C999, MATCH(C247,ConformanceSubstrates!A2:A999, 0)), "")</f>
        <v>Go</v>
      </c>
      <c r="M247" s="2" t="s">
        <v>1902</v>
      </c>
    </row>
    <row r="248">
      <c r="A248" s="2" t="s">
        <v>14838</v>
      </c>
      <c r="B248" s="3" t="str">
        <f>_xlfn.CONCAT(C248, " / ", D248)</f>
        <v>effortless-golang / ObservedTransitions.Name</v>
      </c>
      <c r="C248" s="2" t="s">
        <v>13969</v>
      </c>
      <c r="D248" s="2" t="s">
        <v>4334</v>
      </c>
      <c r="E248" s="2" t="s">
        <v>14314</v>
      </c>
      <c r="F248" s="2" t="s">
        <v>2389</v>
      </c>
      <c r="G248" s="2">
        <v>10</v>
      </c>
      <c r="H248" s="2" t="s">
        <v>14591</v>
      </c>
      <c r="I248" s="3">
        <f>COUNTIFS(CellDisagreements!C2:C999, A248)</f>
        <v>0</v>
      </c>
      <c r="J248" s="3" t="b">
        <f>I248 = G248</f>
        <v>0</v>
      </c>
      <c r="K248" s="3" t="str">
        <f>_xlfn.IFNA(INDEX(RulebookFields!G2:G999, MATCH(D248,RulebookFields!A2:A999, 0)), "")</f>
      </c>
      <c r="L248" s="3" t="str">
        <f>_xlfn.IFNA(INDEX(ConformanceSubstrates!C2:C999, MATCH(C248,ConformanceSubstrates!A2:A999, 0)), "")</f>
        <v>Go</v>
      </c>
      <c r="M248" s="2" t="s">
        <v>1902</v>
      </c>
    </row>
    <row r="249">
      <c r="A249" s="2" t="s">
        <v>14839</v>
      </c>
      <c r="B249" s="3" t="str">
        <f>_xlfn.CONCAT(C249, " / ", D249)</f>
        <v>effortless-golang / MessageDeliveries.Name</v>
      </c>
      <c r="C249" s="2" t="s">
        <v>13969</v>
      </c>
      <c r="D249" s="2" t="s">
        <v>4380</v>
      </c>
      <c r="E249" s="2" t="s">
        <v>14316</v>
      </c>
      <c r="F249" s="2" t="s">
        <v>2389</v>
      </c>
      <c r="G249" s="2">
        <v>6</v>
      </c>
      <c r="H249" s="2" t="s">
        <v>14591</v>
      </c>
      <c r="I249" s="3">
        <f>COUNTIFS(CellDisagreements!C2:C999, A249)</f>
        <v>0</v>
      </c>
      <c r="J249" s="3" t="b">
        <f>I249 = G249</f>
        <v>0</v>
      </c>
      <c r="K249" s="3" t="str">
        <f>_xlfn.IFNA(INDEX(RulebookFields!G2:G999, MATCH(D249,RulebookFields!A2:A999, 0)), "")</f>
      </c>
      <c r="L249" s="3" t="str">
        <f>_xlfn.IFNA(INDEX(ConformanceSubstrates!C2:C999, MATCH(C249,ConformanceSubstrates!A2:A999, 0)), "")</f>
        <v>Go</v>
      </c>
      <c r="M249" s="2" t="s">
        <v>1902</v>
      </c>
    </row>
    <row r="250">
      <c r="A250" s="2" t="s">
        <v>14840</v>
      </c>
      <c r="B250" s="3" t="str">
        <f>_xlfn.CONCAT(C250, " / ", D250)</f>
        <v>effortless-golang / MessageDeliveries.AgeDays</v>
      </c>
      <c r="C250" s="2" t="s">
        <v>13969</v>
      </c>
      <c r="D250" s="2" t="s">
        <v>4472</v>
      </c>
      <c r="E250" s="2" t="s">
        <v>14316</v>
      </c>
      <c r="F250" s="2" t="s">
        <v>2389</v>
      </c>
      <c r="G250" s="2">
        <v>6</v>
      </c>
      <c r="H250" s="2" t="s">
        <v>14591</v>
      </c>
      <c r="I250" s="3">
        <f>COUNTIFS(CellDisagreements!C2:C999, A250)</f>
        <v>0</v>
      </c>
      <c r="J250" s="3" t="b">
        <f>I250 = G250</f>
        <v>0</v>
      </c>
      <c r="K250" s="3" t="str">
        <f>_xlfn.IFNA(INDEX(RulebookFields!G2:G999, MATCH(D250,RulebookFields!A2:A999, 0)), "")</f>
      </c>
      <c r="L250" s="3" t="str">
        <f>_xlfn.IFNA(INDEX(ConformanceSubstrates!C2:C999, MATCH(C250,ConformanceSubstrates!A2:A999, 0)), "")</f>
        <v>Go</v>
      </c>
      <c r="M250" s="2" t="s">
        <v>1902</v>
      </c>
    </row>
    <row r="251">
      <c r="A251" s="2" t="s">
        <v>14841</v>
      </c>
      <c r="B251" s="3" t="str">
        <f>_xlfn.CONCAT(C251, " / ", D251)</f>
        <v>effortless-golang / MessageDeliveries.SegmentCount</v>
      </c>
      <c r="C251" s="2" t="s">
        <v>13969</v>
      </c>
      <c r="D251" s="2" t="s">
        <v>4503</v>
      </c>
      <c r="E251" s="2" t="s">
        <v>14316</v>
      </c>
      <c r="F251" s="2" t="s">
        <v>2389</v>
      </c>
      <c r="G251" s="2">
        <v>6</v>
      </c>
      <c r="H251" s="2" t="s">
        <v>14591</v>
      </c>
      <c r="I251" s="3">
        <f>COUNTIFS(CellDisagreements!C2:C999, A251)</f>
        <v>0</v>
      </c>
      <c r="J251" s="3" t="b">
        <f>I251 = G251</f>
        <v>0</v>
      </c>
      <c r="K251" s="3" t="str">
        <f>_xlfn.IFNA(INDEX(RulebookFields!G2:G999, MATCH(D251,RulebookFields!A2:A999, 0)), "")</f>
      </c>
      <c r="L251" s="3" t="str">
        <f>_xlfn.IFNA(INDEX(ConformanceSubstrates!C2:C999, MATCH(C251,ConformanceSubstrates!A2:A999, 0)), "")</f>
        <v>Go</v>
      </c>
      <c r="M251" s="2" t="s">
        <v>1902</v>
      </c>
    </row>
    <row r="252">
      <c r="A252" s="2" t="s">
        <v>14842</v>
      </c>
      <c r="B252" s="3" t="str">
        <f>_xlfn.CONCAT(C252, " / ", D252)</f>
        <v>effortless-golang / MessageDeliveries.OutstandingAgeDays</v>
      </c>
      <c r="C252" s="2" t="s">
        <v>13969</v>
      </c>
      <c r="D252" s="2" t="s">
        <v>4618</v>
      </c>
      <c r="E252" s="2" t="s">
        <v>14316</v>
      </c>
      <c r="F252" s="2" t="s">
        <v>2389</v>
      </c>
      <c r="G252" s="2">
        <v>3</v>
      </c>
      <c r="H252" s="2" t="s">
        <v>14591</v>
      </c>
      <c r="I252" s="3">
        <f>COUNTIFS(CellDisagreements!C2:C999, A252)</f>
        <v>0</v>
      </c>
      <c r="J252" s="3" t="b">
        <f>I252 = G252</f>
        <v>0</v>
      </c>
      <c r="K252" s="3" t="str">
        <f>_xlfn.IFNA(INDEX(RulebookFields!G2:G999, MATCH(D252,RulebookFields!A2:A999, 0)), "")</f>
      </c>
      <c r="L252" s="3" t="str">
        <f>_xlfn.IFNA(INDEX(ConformanceSubstrates!C2:C999, MATCH(C252,ConformanceSubstrates!A2:A999, 0)), "")</f>
        <v>Go</v>
      </c>
      <c r="M252" s="2" t="s">
        <v>1902</v>
      </c>
    </row>
    <row r="253">
      <c r="A253" s="2" t="s">
        <v>14843</v>
      </c>
      <c r="B253" s="3" t="str">
        <f>_xlfn.CONCAT(C253, " / ", D253)</f>
        <v>effortless-golang / MessageDeliveries.OptOutPhrasePosition</v>
      </c>
      <c r="C253" s="2" t="s">
        <v>13969</v>
      </c>
      <c r="D253" s="2" t="s">
        <v>4524</v>
      </c>
      <c r="E253" s="2" t="s">
        <v>14316</v>
      </c>
      <c r="F253" s="2" t="s">
        <v>2389</v>
      </c>
      <c r="G253" s="2">
        <v>3</v>
      </c>
      <c r="H253" s="2" t="s">
        <v>14591</v>
      </c>
      <c r="I253" s="3">
        <f>COUNTIFS(CellDisagreements!C2:C999, A253)</f>
        <v>0</v>
      </c>
      <c r="J253" s="3" t="b">
        <f>I253 = G253</f>
        <v>0</v>
      </c>
      <c r="K253" s="3" t="str">
        <f>_xlfn.IFNA(INDEX(RulebookFields!G2:G999, MATCH(D253,RulebookFields!A2:A999, 0)), "")</f>
      </c>
      <c r="L253" s="3" t="str">
        <f>_xlfn.IFNA(INDEX(ConformanceSubstrates!C2:C999, MATCH(C253,ConformanceSubstrates!A2:A999, 0)), "")</f>
        <v>Go</v>
      </c>
      <c r="M253" s="2" t="s">
        <v>1902</v>
      </c>
    </row>
    <row r="254">
      <c r="A254" s="2" t="s">
        <v>14844</v>
      </c>
      <c r="B254" s="3" t="str">
        <f>_xlfn.CONCAT(C254, " / ", D254)</f>
        <v>effortless-golang / TemplateApprovals.Name</v>
      </c>
      <c r="C254" s="2" t="s">
        <v>13969</v>
      </c>
      <c r="D254" s="2" t="s">
        <v>4634</v>
      </c>
      <c r="E254" s="2" t="s">
        <v>14317</v>
      </c>
      <c r="F254" s="2" t="s">
        <v>2389</v>
      </c>
      <c r="G254" s="2">
        <v>2</v>
      </c>
      <c r="H254" s="2" t="s">
        <v>14591</v>
      </c>
      <c r="I254" s="3">
        <f>COUNTIFS(CellDisagreements!C2:C999, A254)</f>
        <v>0</v>
      </c>
      <c r="J254" s="3" t="b">
        <f>I254 = G254</f>
        <v>0</v>
      </c>
      <c r="K254" s="3" t="str">
        <f>_xlfn.IFNA(INDEX(RulebookFields!G2:G999, MATCH(D254,RulebookFields!A2:A999, 0)), "")</f>
      </c>
      <c r="L254" s="3" t="str">
        <f>_xlfn.IFNA(INDEX(ConformanceSubstrates!C2:C999, MATCH(C254,ConformanceSubstrates!A2:A999, 0)), "")</f>
        <v>Go</v>
      </c>
      <c r="M254" s="2" t="s">
        <v>1902</v>
      </c>
    </row>
    <row r="255">
      <c r="A255" s="2" t="s">
        <v>14845</v>
      </c>
      <c r="B255" s="3" t="str">
        <f>_xlfn.CONCAT(C255, " / ", D255)</f>
        <v>effortless-golang / SendIntents.DeferralAgeHours</v>
      </c>
      <c r="C255" s="2" t="s">
        <v>13969</v>
      </c>
      <c r="D255" s="2" t="s">
        <v>4889</v>
      </c>
      <c r="E255" s="2" t="s">
        <v>14318</v>
      </c>
      <c r="F255" s="2" t="s">
        <v>2389</v>
      </c>
      <c r="G255" s="2">
        <v>7</v>
      </c>
      <c r="H255" s="2" t="s">
        <v>14591</v>
      </c>
      <c r="I255" s="3">
        <f>COUNTIFS(CellDisagreements!C2:C999, A255)</f>
        <v>0</v>
      </c>
      <c r="J255" s="3" t="b">
        <f>I255 = G255</f>
        <v>0</v>
      </c>
      <c r="K255" s="3" t="str">
        <f>_xlfn.IFNA(INDEX(RulebookFields!G2:G999, MATCH(D255,RulebookFields!A2:A999, 0)), "")</f>
      </c>
      <c r="L255" s="3" t="str">
        <f>_xlfn.IFNA(INDEX(ConformanceSubstrates!C2:C999, MATCH(C255,ConformanceSubstrates!A2:A999, 0)), "")</f>
        <v>Go</v>
      </c>
      <c r="M255" s="2" t="s">
        <v>1902</v>
      </c>
    </row>
    <row r="256">
      <c r="A256" s="2" t="s">
        <v>14846</v>
      </c>
      <c r="B256" s="3" t="str">
        <f>_xlfn.CONCAT(C256, " / ", D256)</f>
        <v>effortless-golang / DeliveredCommunications.ContentMatchesApproval</v>
      </c>
      <c r="C256" s="2" t="s">
        <v>13969</v>
      </c>
      <c r="D256" s="2" t="s">
        <v>5052</v>
      </c>
      <c r="E256" s="2" t="s">
        <v>14320</v>
      </c>
      <c r="F256" s="2" t="s">
        <v>2389</v>
      </c>
      <c r="G256" s="2">
        <v>1</v>
      </c>
      <c r="H256" s="2" t="s">
        <v>14591</v>
      </c>
      <c r="I256" s="3">
        <f>COUNTIFS(CellDisagreements!C2:C999, A256)</f>
        <v>0</v>
      </c>
      <c r="J256" s="3" t="b">
        <f>I256 = G256</f>
        <v>0</v>
      </c>
      <c r="K256" s="3" t="str">
        <f>_xlfn.IFNA(INDEX(RulebookFields!G2:G999, MATCH(D256,RulebookFields!A2:A999, 0)), "")</f>
      </c>
      <c r="L256" s="3" t="str">
        <f>_xlfn.IFNA(INDEX(ConformanceSubstrates!C2:C999, MATCH(C256,ConformanceSubstrates!A2:A999, 0)), "")</f>
        <v>Go</v>
      </c>
      <c r="M256" s="2" t="s">
        <v>1902</v>
      </c>
    </row>
    <row r="257">
      <c r="A257" s="2" t="s">
        <v>14847</v>
      </c>
      <c r="B257" s="3" t="str">
        <f>_xlfn.CONCAT(C257, " / ", D257)</f>
        <v>effortless-golang / ProcessMiningRuns.Name</v>
      </c>
      <c r="C257" s="2" t="s">
        <v>13969</v>
      </c>
      <c r="D257" s="2" t="s">
        <v>5589</v>
      </c>
      <c r="E257" s="2" t="s">
        <v>14337</v>
      </c>
      <c r="F257" s="2" t="s">
        <v>2389</v>
      </c>
      <c r="G257" s="2">
        <v>4</v>
      </c>
      <c r="H257" s="2" t="s">
        <v>14591</v>
      </c>
      <c r="I257" s="3">
        <f>COUNTIFS(CellDisagreements!C2:C999, A257)</f>
        <v>0</v>
      </c>
      <c r="J257" s="3" t="b">
        <f>I257 = G257</f>
        <v>0</v>
      </c>
      <c r="K257" s="3" t="str">
        <f>_xlfn.IFNA(INDEX(RulebookFields!G2:G999, MATCH(D257,RulebookFields!A2:A999, 0)), "")</f>
      </c>
      <c r="L257" s="3" t="str">
        <f>_xlfn.IFNA(INDEX(ConformanceSubstrates!C2:C999, MATCH(C257,ConformanceSubstrates!A2:A999, 0)), "")</f>
        <v>Go</v>
      </c>
      <c r="M257" s="2" t="s">
        <v>1902</v>
      </c>
    </row>
    <row r="258">
      <c r="A258" s="2" t="s">
        <v>14848</v>
      </c>
      <c r="B258" s="3" t="str">
        <f>_xlfn.CONCAT(C258, " / ", D258)</f>
        <v>effortless-owl / RulebookReleases.Name</v>
      </c>
      <c r="C258" s="2" t="s">
        <v>13993</v>
      </c>
      <c r="D258" s="2" t="s">
        <v>2388</v>
      </c>
      <c r="E258" s="2" t="s">
        <v>14341</v>
      </c>
      <c r="F258" s="2" t="s">
        <v>2389</v>
      </c>
      <c r="G258" s="2">
        <v>1</v>
      </c>
      <c r="H258" s="2" t="s">
        <v>14591</v>
      </c>
      <c r="I258" s="3">
        <f>COUNTIFS(CellDisagreements!C2:C999, A258)</f>
        <v>0</v>
      </c>
      <c r="J258" s="3" t="b">
        <f>I258 = G258</f>
        <v>0</v>
      </c>
      <c r="K258" s="3" t="str">
        <f>_xlfn.IFNA(INDEX(RulebookFields!G2:G999, MATCH(D258,RulebookFields!A2:A999, 0)), "")</f>
        <v>={{RulebookVersion}} &amp; " / PKO " &amp; {{PkoCoreVersionIri}}</v>
      </c>
      <c r="L258" s="3" t="str">
        <f>_xlfn.IFNA(INDEX(ConformanceSubstrates!C2:C999, MATCH(C258,ConformanceSubstrates!A2:A999, 0)), "")</f>
        <v>OWL / SHACL</v>
      </c>
      <c r="M258" s="2" t="s">
        <v>1902</v>
      </c>
    </row>
    <row r="259">
      <c r="A259" s="2" t="s">
        <v>14849</v>
      </c>
      <c r="B259" s="3" t="str">
        <f>_xlfn.CONCAT(C259, " / ", D259)</f>
        <v>effortless-owl / RoleAssignments.QualityVerdictIsUnsupported</v>
      </c>
      <c r="C259" s="2" t="s">
        <v>13993</v>
      </c>
      <c r="D259" s="2" t="s">
        <v>2575</v>
      </c>
      <c r="E259" s="2" t="s">
        <v>14347</v>
      </c>
      <c r="F259" s="2" t="s">
        <v>2389</v>
      </c>
      <c r="G259" s="2">
        <v>13</v>
      </c>
      <c r="H259" s="2" t="s">
        <v>14591</v>
      </c>
      <c r="I259" s="3">
        <f>COUNTIFS(CellDisagreements!C2:C999, A259)</f>
        <v>0</v>
      </c>
      <c r="J259" s="3" t="b">
        <f>I259 = G259</f>
        <v>0</v>
      </c>
      <c r="K259" s="3" t="str">
        <f>_xlfn.IFNA(INDEX(RulebookFields!G2:G999, MATCH(D259,RulebookFields!A2:A999, 0)), "")</f>
        <v>=AND(NOT({{ComparisonIsEvidentiallySound}}), NOT({{QualityRegressedVsPredecessor}}))</v>
      </c>
      <c r="L259" s="3" t="str">
        <f>_xlfn.IFNA(INDEX(ConformanceSubstrates!C2:C999, MATCH(C259,ConformanceSubstrates!A2:A999, 0)), "")</f>
        <v>OWL / SHACL</v>
      </c>
      <c r="M259" s="2" t="s">
        <v>1902</v>
      </c>
    </row>
    <row r="260">
      <c r="A260" s="2" t="s">
        <v>14850</v>
      </c>
      <c r="B260" s="3" t="str">
        <f>_xlfn.CONCAT(C260, " / ", D260)</f>
        <v>effortless-owl / RoleAssignments.IsUnmeasuredAutomationHandover</v>
      </c>
      <c r="C260" s="2" t="s">
        <v>13993</v>
      </c>
      <c r="D260" s="2" t="s">
        <v>2577</v>
      </c>
      <c r="E260" s="2" t="s">
        <v>14347</v>
      </c>
      <c r="F260" s="2" t="s">
        <v>2389</v>
      </c>
      <c r="G260" s="2">
        <v>1</v>
      </c>
      <c r="H260" s="2" t="s">
        <v>14591</v>
      </c>
      <c r="I260" s="3">
        <f>COUNTIFS(CellDisagreements!C2:C999, A260)</f>
        <v>0</v>
      </c>
      <c r="J260" s="3" t="b">
        <f>I260 = G260</f>
        <v>0</v>
      </c>
      <c r="K260" s="3" t="str">
        <f>_xlfn.IFNA(INDEX(RulebookFields!G2:G999, MATCH(D260,RulebookFields!A2:A999, 0)), "")</f>
        <v>=AND({{IsHumanToNonHumanHandover}}, NOT({{ComparisonIsEvidentiallySound}}))</v>
      </c>
      <c r="L260" s="3" t="str">
        <f>_xlfn.IFNA(INDEX(ConformanceSubstrates!C2:C999, MATCH(C260,ConformanceSubstrates!A2:A999, 0)), "")</f>
        <v>OWL / SHACL</v>
      </c>
      <c r="M260" s="2" t="s">
        <v>1902</v>
      </c>
    </row>
    <row r="261">
      <c r="A261" s="2" t="s">
        <v>14851</v>
      </c>
      <c r="B261" s="3" t="str">
        <f>_xlfn.CONCAT(C261, " / ", D261)</f>
        <v>effortless-owl / ProcedureVersions.DaysSinceModified</v>
      </c>
      <c r="C261" s="2" t="s">
        <v>13993</v>
      </c>
      <c r="D261" s="2" t="s">
        <v>2724</v>
      </c>
      <c r="E261" s="2" t="s">
        <v>14352</v>
      </c>
      <c r="F261" s="2" t="s">
        <v>2389</v>
      </c>
      <c r="G261" s="2">
        <v>3</v>
      </c>
      <c r="H261" s="2" t="s">
        <v>14591</v>
      </c>
      <c r="I261" s="3">
        <f>COUNTIFS(CellDisagreements!C2:C999, A261)</f>
        <v>0</v>
      </c>
      <c r="J261" s="3" t="b">
        <f>I261 = G261</f>
        <v>0</v>
      </c>
      <c r="K261" s="3" t="str">
        <f>_xlfn.IFNA(INDEX(RulebookFields!G2:G999, MATCH(D261,RulebookFields!A2:A999, 0)), "")</f>
        <v>=DATETIME_DIFF({{AsOfInstant}}, {{ModifiedAt}}, "days")</v>
      </c>
      <c r="L261" s="3" t="str">
        <f>_xlfn.IFNA(INDEX(ConformanceSubstrates!C2:C999, MATCH(C261,ConformanceSubstrates!A2:A999, 0)), "")</f>
        <v>OWL / SHACL</v>
      </c>
      <c r="M261" s="2" t="s">
        <v>1902</v>
      </c>
    </row>
    <row r="262">
      <c r="A262" s="2" t="s">
        <v>14852</v>
      </c>
      <c r="B262" s="3" t="str">
        <f>_xlfn.CONCAT(C262, " / ", D262)</f>
        <v>effortless-owl / ProcedureVersions.IncomingSupersessionCount</v>
      </c>
      <c r="C262" s="2" t="s">
        <v>13993</v>
      </c>
      <c r="D262" s="2" t="s">
        <v>2788</v>
      </c>
      <c r="E262" s="2" t="s">
        <v>14352</v>
      </c>
      <c r="F262" s="2" t="s">
        <v>2438</v>
      </c>
      <c r="G262" s="2">
        <v>1</v>
      </c>
      <c r="H262" s="2" t="s">
        <v>14591</v>
      </c>
      <c r="I262" s="3">
        <f>COUNTIFS(CellDisagreements!C2:C999, A262)</f>
        <v>0</v>
      </c>
      <c r="J262" s="3" t="b">
        <f>I262 = G262</f>
        <v>0</v>
      </c>
      <c r="K262" s="3" t="str">
        <f>_xlfn.IFNA(INDEX(RulebookFields!G2:G999, MATCH(D262,RulebookFields!A2:A999, 0)), "")</f>
        <v>=COUNTIFS(ProcedureVersionLinks!{{SupersededVersionKey}}, {{ProcedureVersionId}})</v>
      </c>
      <c r="L262" s="3" t="str">
        <f>_xlfn.IFNA(INDEX(ConformanceSubstrates!C2:C999, MATCH(C262,ConformanceSubstrates!A2:A999, 0)), "")</f>
        <v>OWL / SHACL</v>
      </c>
      <c r="M262" s="2" t="s">
        <v>1902</v>
      </c>
    </row>
    <row r="263">
      <c r="A263" s="2" t="s">
        <v>14853</v>
      </c>
      <c r="B263" s="3" t="str">
        <f>_xlfn.CONCAT(C263, " / ", D263)</f>
        <v>effortless-owl / ProcedureVersions.IsStillReferenced</v>
      </c>
      <c r="C263" s="2" t="s">
        <v>13993</v>
      </c>
      <c r="D263" s="2" t="s">
        <v>2790</v>
      </c>
      <c r="E263" s="2" t="s">
        <v>14352</v>
      </c>
      <c r="F263" s="2" t="s">
        <v>2389</v>
      </c>
      <c r="G263" s="2">
        <v>1</v>
      </c>
      <c r="H263" s="2" t="s">
        <v>14591</v>
      </c>
      <c r="I263" s="3">
        <f>COUNTIFS(CellDisagreements!C2:C999, A263)</f>
        <v>0</v>
      </c>
      <c r="J263" s="3" t="b">
        <f>I263 = G263</f>
        <v>0</v>
      </c>
      <c r="K263" s="3" t="str">
        <f>_xlfn.IFNA(INDEX(RulebookFields!G2:G999, MATCH(D263,RulebookFields!A2:A999, 0)), "")</f>
        <v>={{IncomingSupersessionCount}} &gt; 0</v>
      </c>
      <c r="L263" s="3" t="str">
        <f>_xlfn.IFNA(INDEX(ConformanceSubstrates!C2:C999, MATCH(C263,ConformanceSubstrates!A2:A999, 0)), "")</f>
        <v>OWL / SHACL</v>
      </c>
      <c r="M263" s="2" t="s">
        <v>1902</v>
      </c>
    </row>
    <row r="264">
      <c r="A264" s="2" t="s">
        <v>14854</v>
      </c>
      <c r="B264" s="3" t="str">
        <f>_xlfn.CONCAT(C264, " / ", D264)</f>
        <v>effortless-owl / ProcedureVersions.IsLoadBearingOrphan</v>
      </c>
      <c r="C264" s="2" t="s">
        <v>13993</v>
      </c>
      <c r="D264" s="2" t="s">
        <v>2792</v>
      </c>
      <c r="E264" s="2" t="s">
        <v>14352</v>
      </c>
      <c r="F264" s="2" t="s">
        <v>2389</v>
      </c>
      <c r="G264" s="2">
        <v>1</v>
      </c>
      <c r="H264" s="2" t="s">
        <v>14591</v>
      </c>
      <c r="I264" s="3">
        <f>COUNTIFS(CellDisagreements!C2:C999, A264)</f>
        <v>0</v>
      </c>
      <c r="J264" s="3" t="b">
        <f>I264 = G264</f>
        <v>0</v>
      </c>
      <c r="K264" s="3" t="str">
        <f>_xlfn.IFNA(INDEX(RulebookFields!G2:G999, MATCH(D264,RulebookFields!A2:A999, 0)), "")</f>
        <v>=AND({{IsUnstewarded}}, OR({{StillOwnsValidKnowledge}}, {{IsStillReferenced}}))</v>
      </c>
      <c r="L264" s="3" t="str">
        <f>_xlfn.IFNA(INDEX(ConformanceSubstrates!C2:C999, MATCH(C264,ConformanceSubstrates!A2:A999, 0)), "")</f>
        <v>OWL / SHACL</v>
      </c>
      <c r="M264" s="2" t="s">
        <v>1902</v>
      </c>
    </row>
    <row r="265">
      <c r="A265" s="2" t="s">
        <v>14855</v>
      </c>
      <c r="B265" s="3" t="str">
        <f>_xlfn.CONCAT(C265, " / ", D265)</f>
        <v>effortless-owl / ProcedureVersions.IsCleanlyRetired</v>
      </c>
      <c r="C265" s="2" t="s">
        <v>13993</v>
      </c>
      <c r="D265" s="2" t="s">
        <v>2794</v>
      </c>
      <c r="E265" s="2" t="s">
        <v>14352</v>
      </c>
      <c r="F265" s="2" t="s">
        <v>2389</v>
      </c>
      <c r="G265" s="2">
        <v>1</v>
      </c>
      <c r="H265" s="2" t="s">
        <v>14591</v>
      </c>
      <c r="I265" s="3">
        <f>COUNTIFS(CellDisagreements!C2:C999, A265)</f>
        <v>0</v>
      </c>
      <c r="J265" s="3" t="b">
        <f>I265 = G265</f>
        <v>0</v>
      </c>
      <c r="K265" s="3" t="str">
        <f>_xlfn.IFNA(INDEX(RulebookFields!G2:G999, MATCH(D265,RulebookFields!A2:A999, 0)), "")</f>
        <v>=AND({{IsUnstewarded}}, NOT({{StillOwnsValidKnowledge}}), NOT({{IsStillReferenced}}))</v>
      </c>
      <c r="L265" s="3" t="str">
        <f>_xlfn.IFNA(INDEX(ConformanceSubstrates!C2:C999, MATCH(C265,ConformanceSubstrates!A2:A999, 0)), "")</f>
        <v>OWL / SHACL</v>
      </c>
      <c r="M265" s="2" t="s">
        <v>1902</v>
      </c>
    </row>
    <row r="266">
      <c r="A266" s="2" t="s">
        <v>14856</v>
      </c>
      <c r="B266" s="3" t="str">
        <f>_xlfn.CONCAT(C266, " / ", D266)</f>
        <v>effortless-owl / ProcedureVersions.DaysSinceLastReview</v>
      </c>
      <c r="C266" s="2" t="s">
        <v>13993</v>
      </c>
      <c r="D266" s="2" t="s">
        <v>2726</v>
      </c>
      <c r="E266" s="2" t="s">
        <v>14352</v>
      </c>
      <c r="F266" s="2" t="s">
        <v>2438</v>
      </c>
      <c r="G266" s="2">
        <v>2</v>
      </c>
      <c r="H266" s="2" t="s">
        <v>14591</v>
      </c>
      <c r="I266" s="3">
        <f>COUNTIFS(CellDisagreements!C2:C999, A266)</f>
        <v>0</v>
      </c>
      <c r="J266" s="3" t="b">
        <f>I266 = G266</f>
        <v>0</v>
      </c>
      <c r="K266" s="3" t="str">
        <f>_xlfn.IFNA(INDEX(RulebookFields!G2:G999, MATCH(D266,RulebookFields!A2:A999, 0)), "")</f>
        <v>=DATETIME_DIFF({{AsOfInstant}}, MAXIFS(ReviewEvents!{{ReviewedAt}}, ReviewEvents!{{ProcedureVersion}}, ProcedureVersions!{{ProcedureVersionId}}), "days")</v>
      </c>
      <c r="L266" s="3" t="str">
        <f>_xlfn.IFNA(INDEX(ConformanceSubstrates!C2:C999, MATCH(C266,ConformanceSubstrates!A2:A999, 0)), "")</f>
        <v>OWL / SHACL</v>
      </c>
      <c r="M266" s="2" t="s">
        <v>1902</v>
      </c>
    </row>
    <row r="267">
      <c r="A267" s="2" t="s">
        <v>14857</v>
      </c>
      <c r="B267" s="3" t="str">
        <f>_xlfn.CONCAT(C267, " / ", D267)</f>
        <v>effortless-owl / ProcedureVersions.WasModifiedSinceLastReview</v>
      </c>
      <c r="C267" s="2" t="s">
        <v>13993</v>
      </c>
      <c r="D267" s="2" t="s">
        <v>2728</v>
      </c>
      <c r="E267" s="2" t="s">
        <v>14352</v>
      </c>
      <c r="F267" s="2" t="s">
        <v>2389</v>
      </c>
      <c r="G267" s="2">
        <v>2</v>
      </c>
      <c r="H267" s="2" t="s">
        <v>14591</v>
      </c>
      <c r="I267" s="3">
        <f>COUNTIFS(CellDisagreements!C2:C999, A267)</f>
        <v>0</v>
      </c>
      <c r="J267" s="3" t="b">
        <f>I267 = G267</f>
        <v>0</v>
      </c>
      <c r="K267" s="3" t="str">
        <f>_xlfn.IFNA(INDEX(RulebookFields!G2:G999, MATCH(D267,RulebookFields!A2:A999, 0)), "")</f>
        <v>={{DaysSinceModified}} &lt; {{DaysSinceLastReview}}</v>
      </c>
      <c r="L267" s="3" t="str">
        <f>_xlfn.IFNA(INDEX(ConformanceSubstrates!C2:C999, MATCH(C267,ConformanceSubstrates!A2:A999, 0)), "")</f>
        <v>OWL / SHACL</v>
      </c>
      <c r="M267" s="2" t="s">
        <v>1902</v>
      </c>
    </row>
    <row r="268">
      <c r="A268" s="2" t="s">
        <v>14858</v>
      </c>
      <c r="B268" s="3" t="str">
        <f>_xlfn.CONCAT(C268, " / ", D268)</f>
        <v>effortless-owl / ProcedureVersions.HasUnwitnessedChange</v>
      </c>
      <c r="C268" s="2" t="s">
        <v>13993</v>
      </c>
      <c r="D268" s="2" t="s">
        <v>2732</v>
      </c>
      <c r="E268" s="2" t="s">
        <v>14352</v>
      </c>
      <c r="F268" s="2" t="s">
        <v>2389</v>
      </c>
      <c r="G268" s="2">
        <v>2</v>
      </c>
      <c r="H268" s="2" t="s">
        <v>14591</v>
      </c>
      <c r="I268" s="3">
        <f>COUNTIFS(CellDisagreements!C2:C999, A268)</f>
        <v>0</v>
      </c>
      <c r="J268" s="3" t="b">
        <f>I268 = G268</f>
        <v>0</v>
      </c>
      <c r="K268" s="3" t="str">
        <f>_xlfn.IFNA(INDEX(RulebookFields!G2:G999, MATCH(D268,RulebookFields!A2:A999, 0)), "")</f>
        <v>=AND({{IsLive}}, {{WasModifiedSinceLastReview}})</v>
      </c>
      <c r="L268" s="3" t="str">
        <f>_xlfn.IFNA(INDEX(ConformanceSubstrates!C2:C999, MATCH(C268,ConformanceSubstrates!A2:A999, 0)), "")</f>
        <v>OWL / SHACL</v>
      </c>
      <c r="M268" s="2" t="s">
        <v>1902</v>
      </c>
    </row>
    <row r="269">
      <c r="A269" s="2" t="s">
        <v>14859</v>
      </c>
      <c r="B269" s="3" t="str">
        <f>_xlfn.CONCAT(C269, " / ", D269)</f>
        <v>effortless-owl / ProcedureVersionLinks.SupersededVersionKey</v>
      </c>
      <c r="C269" s="2" t="s">
        <v>13993</v>
      </c>
      <c r="D269" s="2" t="s">
        <v>2825</v>
      </c>
      <c r="E269" s="2" t="s">
        <v>14353</v>
      </c>
      <c r="F269" s="2" t="s">
        <v>2389</v>
      </c>
      <c r="G269" s="2">
        <v>1</v>
      </c>
      <c r="H269" s="2" t="s">
        <v>14591</v>
      </c>
      <c r="I269" s="3">
        <f>COUNTIFS(CellDisagreements!C2:C999, A269)</f>
        <v>0</v>
      </c>
      <c r="J269" s="3" t="b">
        <f>I269 = G269</f>
        <v>0</v>
      </c>
      <c r="K269" s="3" t="str">
        <f>_xlfn.IFNA(INDEX(RulebookFields!G2:G999, MATCH(D269,RulebookFields!A2:A999, 0)), "")</f>
        <v>=IF({{RelationIri}} = "https://w3id.org/pko#nextVersion", {{PreviousProcedureVersion}}, "")</v>
      </c>
      <c r="L269" s="3" t="str">
        <f>_xlfn.IFNA(INDEX(ConformanceSubstrates!C2:C999, MATCH(C269,ConformanceSubstrates!A2:A999, 0)), "")</f>
        <v>OWL / SHACL</v>
      </c>
      <c r="M269" s="2" t="s">
        <v>1902</v>
      </c>
    </row>
    <row r="270">
      <c r="A270" s="2" t="s">
        <v>14860</v>
      </c>
      <c r="B270" s="3" t="str">
        <f>_xlfn.CONCAT(C270, " / ", D270)</f>
        <v>effortless-owl / Steps.StaleBindingCount</v>
      </c>
      <c r="C270" s="2" t="s">
        <v>13993</v>
      </c>
      <c r="D270" s="2" t="s">
        <v>2855</v>
      </c>
      <c r="E270" s="2" t="s">
        <v>14355</v>
      </c>
      <c r="F270" s="2" t="s">
        <v>2438</v>
      </c>
      <c r="G270" s="2">
        <v>3</v>
      </c>
      <c r="H270" s="2" t="s">
        <v>14591</v>
      </c>
      <c r="I270" s="3">
        <f>COUNTIFS(CellDisagreements!C2:C999, A270)</f>
        <v>0</v>
      </c>
      <c r="J270" s="3" t="b">
        <f>I270 = G270</f>
        <v>0</v>
      </c>
      <c r="K270" s="3" t="str">
        <f>_xlfn.IFNA(INDEX(RulebookFields!G2:G999, MATCH(D270,RulebookFields!A2:A999, 0)), "")</f>
        <v>=COUNTIFS(OperationalBindings!{{StaleBindingStepKey}}, {{StepId}})</v>
      </c>
      <c r="L270" s="3" t="str">
        <f>_xlfn.IFNA(INDEX(ConformanceSubstrates!C2:C999, MATCH(C270,ConformanceSubstrates!A2:A999, 0)), "")</f>
        <v>OWL / SHACL</v>
      </c>
      <c r="M270" s="2" t="s">
        <v>1902</v>
      </c>
    </row>
    <row r="271">
      <c r="A271" s="2" t="s">
        <v>14861</v>
      </c>
      <c r="B271" s="3" t="str">
        <f>_xlfn.CONCAT(C271, " / ", D271)</f>
        <v>effortless-owl / Steps.AuthoritativeStaleCount</v>
      </c>
      <c r="C271" s="2" t="s">
        <v>13993</v>
      </c>
      <c r="D271" s="2" t="s">
        <v>2857</v>
      </c>
      <c r="E271" s="2" t="s">
        <v>14355</v>
      </c>
      <c r="F271" s="2" t="s">
        <v>2438</v>
      </c>
      <c r="G271" s="2">
        <v>3</v>
      </c>
      <c r="H271" s="2" t="s">
        <v>14591</v>
      </c>
      <c r="I271" s="3">
        <f>COUNTIFS(CellDisagreements!C2:C999, A271)</f>
        <v>0</v>
      </c>
      <c r="J271" s="3" t="b">
        <f>I271 = G271</f>
        <v>0</v>
      </c>
      <c r="K271" s="3" t="str">
        <f>_xlfn.IFNA(INDEX(RulebookFields!G2:G999, MATCH(D271,RulebookFields!A2:A999, 0)), "")</f>
        <v>=COUNTIFS(OperationalBindings!{{AuthoritativeStaleStepKey}}, {{StepId}})</v>
      </c>
      <c r="L271" s="3" t="str">
        <f>_xlfn.IFNA(INDEX(ConformanceSubstrates!C2:C999, MATCH(C271,ConformanceSubstrates!A2:A999, 0)), "")</f>
        <v>OWL / SHACL</v>
      </c>
      <c r="M271" s="2" t="s">
        <v>1902</v>
      </c>
    </row>
    <row r="272">
      <c r="A272" s="2" t="s">
        <v>14862</v>
      </c>
      <c r="B272" s="3" t="str">
        <f>_xlfn.CONCAT(C272, " / ", D272)</f>
        <v>effortless-owl / Steps.StaleAuthoritativeBindingCount</v>
      </c>
      <c r="C272" s="2" t="s">
        <v>13993</v>
      </c>
      <c r="D272" s="2" t="s">
        <v>2867</v>
      </c>
      <c r="E272" s="2" t="s">
        <v>14355</v>
      </c>
      <c r="F272" s="2" t="s">
        <v>2438</v>
      </c>
      <c r="G272" s="2">
        <v>3</v>
      </c>
      <c r="H272" s="2" t="s">
        <v>14591</v>
      </c>
      <c r="I272" s="3">
        <f>COUNTIFS(CellDisagreements!C2:C999, A272)</f>
        <v>0</v>
      </c>
      <c r="J272" s="3" t="b">
        <f>I272 = G272</f>
        <v>0</v>
      </c>
      <c r="K272" s="3" t="str">
        <f>_xlfn.IFNA(INDEX(RulebookFields!G2:G999, MATCH(D272,RulebookFields!A2:A999, 0)), "")</f>
        <v>=COUNTIFS(OperationalBindings!{{StepWhenStale}}, {{StepId}})</v>
      </c>
      <c r="L272" s="3" t="str">
        <f>_xlfn.IFNA(INDEX(ConformanceSubstrates!C2:C999, MATCH(C272,ConformanceSubstrates!A2:A999, 0)), "")</f>
        <v>OWL / SHACL</v>
      </c>
      <c r="M272" s="2" t="s">
        <v>1902</v>
      </c>
    </row>
    <row r="273">
      <c r="A273" s="2" t="s">
        <v>14863</v>
      </c>
      <c r="B273" s="3" t="str">
        <f>_xlfn.CONCAT(C273, " / ", D273)</f>
        <v>effortless-owl / Steps.InputsAreFresh</v>
      </c>
      <c r="C273" s="2" t="s">
        <v>13993</v>
      </c>
      <c r="D273" s="2" t="s">
        <v>2869</v>
      </c>
      <c r="E273" s="2" t="s">
        <v>14355</v>
      </c>
      <c r="F273" s="2" t="s">
        <v>2389</v>
      </c>
      <c r="G273" s="2">
        <v>3</v>
      </c>
      <c r="H273" s="2" t="s">
        <v>14591</v>
      </c>
      <c r="I273" s="3">
        <f>COUNTIFS(CellDisagreements!C2:C999, A273)</f>
        <v>0</v>
      </c>
      <c r="J273" s="3" t="b">
        <f>I273 = G273</f>
        <v>0</v>
      </c>
      <c r="K273" s="3" t="str">
        <f>_xlfn.IFNA(INDEX(RulebookFields!G2:G999, MATCH(D273,RulebookFields!A2:A999, 0)), "")</f>
        <v>={{StaleAuthoritativeBindingCount}} = 0</v>
      </c>
      <c r="L273" s="3" t="str">
        <f>_xlfn.IFNA(INDEX(ConformanceSubstrates!C2:C999, MATCH(C273,ConformanceSubstrates!A2:A999, 0)), "")</f>
        <v>OWL / SHACL</v>
      </c>
      <c r="M273" s="2" t="s">
        <v>1902</v>
      </c>
    </row>
    <row r="274">
      <c r="A274" s="2" t="s">
        <v>14864</v>
      </c>
      <c r="B274" s="3" t="str">
        <f>_xlfn.CONCAT(C274, " / ", D274)</f>
        <v>effortless-owl / StepTransitions.CountOfFromStepExecutions</v>
      </c>
      <c r="C274" s="2" t="s">
        <v>13993</v>
      </c>
      <c r="D274" s="2" t="s">
        <v>2918</v>
      </c>
      <c r="E274" s="2" t="s">
        <v>14356</v>
      </c>
      <c r="F274" s="2" t="s">
        <v>2438</v>
      </c>
      <c r="G274" s="2">
        <v>14</v>
      </c>
      <c r="H274" s="2" t="s">
        <v>14591</v>
      </c>
      <c r="I274" s="3">
        <f>COUNTIFS(CellDisagreements!C2:C999, A274)</f>
        <v>0</v>
      </c>
      <c r="J274" s="3" t="b">
        <f>I274 = G274</f>
        <v>0</v>
      </c>
      <c r="K274" s="3" t="str">
        <f>_xlfn.IFNA(INDEX(RulebookFields!G2:G999, MATCH(D274,RulebookFields!A2:A999, 0)), "")</f>
        <v>=COUNTIFS(StepExecutions!{{Step}}, StepTransitions!{{FromStep}})</v>
      </c>
      <c r="L274" s="3" t="str">
        <f>_xlfn.IFNA(INDEX(ConformanceSubstrates!C2:C999, MATCH(C274,ConformanceSubstrates!A2:A999, 0)), "")</f>
        <v>OWL / SHACL</v>
      </c>
      <c r="M274" s="2" t="s">
        <v>1902</v>
      </c>
    </row>
    <row r="275">
      <c r="A275" s="2" t="s">
        <v>14865</v>
      </c>
      <c r="B275" s="3" t="str">
        <f>_xlfn.CONCAT(C275, " / ", D275)</f>
        <v>effortless-owl / StepTransitions.CountOfToStepExecutions</v>
      </c>
      <c r="C275" s="2" t="s">
        <v>13993</v>
      </c>
      <c r="D275" s="2" t="s">
        <v>2920</v>
      </c>
      <c r="E275" s="2" t="s">
        <v>14356</v>
      </c>
      <c r="F275" s="2" t="s">
        <v>2438</v>
      </c>
      <c r="G275" s="2">
        <v>13</v>
      </c>
      <c r="H275" s="2" t="s">
        <v>14591</v>
      </c>
      <c r="I275" s="3">
        <f>COUNTIFS(CellDisagreements!C2:C999, A275)</f>
        <v>0</v>
      </c>
      <c r="J275" s="3" t="b">
        <f>I275 = G275</f>
        <v>0</v>
      </c>
      <c r="K275" s="3" t="str">
        <f>_xlfn.IFNA(INDEX(RulebookFields!G2:G999, MATCH(D275,RulebookFields!A2:A999, 0)), "")</f>
        <v>=COUNTIFS(StepExecutions!{{Step}}, StepTransitions!{{ToStep}})</v>
      </c>
      <c r="L275" s="3" t="str">
        <f>_xlfn.IFNA(INDEX(ConformanceSubstrates!C2:C999, MATCH(C275,ConformanceSubstrates!A2:A999, 0)), "")</f>
        <v>OWL / SHACL</v>
      </c>
      <c r="M275" s="2" t="s">
        <v>1902</v>
      </c>
    </row>
    <row r="276">
      <c r="A276" s="2" t="s">
        <v>14866</v>
      </c>
      <c r="B276" s="3" t="str">
        <f>_xlfn.CONCAT(C276, " / ", D276)</f>
        <v>effortless-owl / StepTransitions.HasReachableOrigin</v>
      </c>
      <c r="C276" s="2" t="s">
        <v>13993</v>
      </c>
      <c r="D276" s="2" t="s">
        <v>2922</v>
      </c>
      <c r="E276" s="2" t="s">
        <v>14356</v>
      </c>
      <c r="F276" s="2" t="s">
        <v>2389</v>
      </c>
      <c r="G276" s="2">
        <v>14</v>
      </c>
      <c r="H276" s="2" t="s">
        <v>14591</v>
      </c>
      <c r="I276" s="3">
        <f>COUNTIFS(CellDisagreements!C2:C999, A276)</f>
        <v>0</v>
      </c>
      <c r="J276" s="3" t="b">
        <f>I276 = G276</f>
        <v>0</v>
      </c>
      <c r="K276" s="3" t="str">
        <f>_xlfn.IFNA(INDEX(RulebookFields!G2:G999, MATCH(D276,RulebookFields!A2:A999, 0)), "")</f>
        <v>={{CountOfFromStepExecutions}} &gt; 0</v>
      </c>
      <c r="L276" s="3" t="str">
        <f>_xlfn.IFNA(INDEX(ConformanceSubstrates!C2:C999, MATCH(C276,ConformanceSubstrates!A2:A999, 0)), "")</f>
        <v>OWL / SHACL</v>
      </c>
      <c r="M276" s="2" t="s">
        <v>1902</v>
      </c>
    </row>
    <row r="277">
      <c r="A277" s="2" t="s">
        <v>14867</v>
      </c>
      <c r="B277" s="3" t="str">
        <f>_xlfn.CONCAT(C277, " / ", D277)</f>
        <v>effortless-owl / StepTransitions.HasReachableTarget</v>
      </c>
      <c r="C277" s="2" t="s">
        <v>13993</v>
      </c>
      <c r="D277" s="2" t="s">
        <v>2924</v>
      </c>
      <c r="E277" s="2" t="s">
        <v>14356</v>
      </c>
      <c r="F277" s="2" t="s">
        <v>2389</v>
      </c>
      <c r="G277" s="2">
        <v>13</v>
      </c>
      <c r="H277" s="2" t="s">
        <v>14591</v>
      </c>
      <c r="I277" s="3">
        <f>COUNTIFS(CellDisagreements!C2:C999, A277)</f>
        <v>0</v>
      </c>
      <c r="J277" s="3" t="b">
        <f>I277 = G277</f>
        <v>0</v>
      </c>
      <c r="K277" s="3" t="str">
        <f>_xlfn.IFNA(INDEX(RulebookFields!G2:G999, MATCH(D277,RulebookFields!A2:A999, 0)), "")</f>
        <v>={{CountOfToStepExecutions}} &gt; 0</v>
      </c>
      <c r="L277" s="3" t="str">
        <f>_xlfn.IFNA(INDEX(ConformanceSubstrates!C2:C999, MATCH(C277,ConformanceSubstrates!A2:A999, 0)), "")</f>
        <v>OWL / SHACL</v>
      </c>
      <c r="M277" s="2" t="s">
        <v>1902</v>
      </c>
    </row>
    <row r="278">
      <c r="A278" s="2" t="s">
        <v>14868</v>
      </c>
      <c r="B278" s="3" t="str">
        <f>_xlfn.CONCAT(C278, " / ", D278)</f>
        <v>effortless-owl / StepTransitions.IsNeverExercised</v>
      </c>
      <c r="C278" s="2" t="s">
        <v>13993</v>
      </c>
      <c r="D278" s="2" t="s">
        <v>2926</v>
      </c>
      <c r="E278" s="2" t="s">
        <v>14356</v>
      </c>
      <c r="F278" s="2" t="s">
        <v>2389</v>
      </c>
      <c r="G278" s="2">
        <v>13</v>
      </c>
      <c r="H278" s="2" t="s">
        <v>14591</v>
      </c>
      <c r="I278" s="3">
        <f>COUNTIFS(CellDisagreements!C2:C999, A278)</f>
        <v>0</v>
      </c>
      <c r="J278" s="3" t="b">
        <f>I278 = G278</f>
        <v>0</v>
      </c>
      <c r="K278" s="3" t="str">
        <f>_xlfn.IFNA(INDEX(RulebookFields!G2:G999, MATCH(D278,RulebookFields!A2:A999, 0)), "")</f>
        <v>=NOT(AND({{HasReachableOrigin}}, {{HasReachableTarget}}))</v>
      </c>
      <c r="L278" s="3" t="str">
        <f>_xlfn.IFNA(INDEX(ConformanceSubstrates!C2:C999, MATCH(C278,ConformanceSubstrates!A2:A999, 0)), "")</f>
        <v>OWL / SHACL</v>
      </c>
      <c r="M278" s="2" t="s">
        <v>1902</v>
      </c>
    </row>
    <row r="279">
      <c r="A279" s="2" t="s">
        <v>14869</v>
      </c>
      <c r="B279" s="3" t="str">
        <f>_xlfn.CONCAT(C279, " / ", D279)</f>
        <v>effortless-owl / StepTransitions.IsUntestedRecoveryPath</v>
      </c>
      <c r="C279" s="2" t="s">
        <v>13993</v>
      </c>
      <c r="D279" s="2" t="s">
        <v>2928</v>
      </c>
      <c r="E279" s="2" t="s">
        <v>14356</v>
      </c>
      <c r="F279" s="2" t="s">
        <v>2389</v>
      </c>
      <c r="G279" s="2">
        <v>3</v>
      </c>
      <c r="H279" s="2" t="s">
        <v>14591</v>
      </c>
      <c r="I279" s="3">
        <f>COUNTIFS(CellDisagreements!C2:C999, A279)</f>
        <v>0</v>
      </c>
      <c r="J279" s="3" t="b">
        <f>I279 = G279</f>
        <v>0</v>
      </c>
      <c r="K279" s="3" t="str">
        <f>_xlfn.IFNA(INDEX(RulebookFields!G2:G999, MATCH(D279,RulebookFields!A2:A999, 0)), "")</f>
        <v>=AND({{IsRecoveryPath}}, {{IsNeverExercised}})</v>
      </c>
      <c r="L279" s="3" t="str">
        <f>_xlfn.IFNA(INDEX(ConformanceSubstrates!C2:C999, MATCH(C279,ConformanceSubstrates!A2:A999, 0)), "")</f>
        <v>OWL / SHACL</v>
      </c>
      <c r="M279" s="2" t="s">
        <v>1902</v>
      </c>
    </row>
    <row r="280">
      <c r="A280" s="2" t="s">
        <v>14870</v>
      </c>
      <c r="B280" s="3" t="str">
        <f>_xlfn.CONCAT(C280, " / ", D280)</f>
        <v>effortless-owl / Requirements.IsUntestedWitness</v>
      </c>
      <c r="C280" s="2" t="s">
        <v>13993</v>
      </c>
      <c r="D280" s="2" t="s">
        <v>3025</v>
      </c>
      <c r="E280" s="2" t="s">
        <v>14363</v>
      </c>
      <c r="F280" s="2" t="s">
        <v>2389</v>
      </c>
      <c r="G280" s="2">
        <v>3</v>
      </c>
      <c r="H280" s="2" t="s">
        <v>14591</v>
      </c>
      <c r="I280" s="3">
        <f>COUNTIFS(CellDisagreements!C2:C999, A280)</f>
        <v>0</v>
      </c>
      <c r="J280" s="3" t="b">
        <f>I280 = G280</f>
        <v>0</v>
      </c>
      <c r="K280" s="3" t="str">
        <f>_xlfn.IFNA(INDEX(RulebookFields!G2:G999, MATCH(D280,RulebookFields!A2:A999, 0)), "")</f>
        <v>=AND({{WitnessHasNeverFired}}, NOT({{HasMeaningfulSample}}))</v>
      </c>
      <c r="L280" s="3" t="str">
        <f>_xlfn.IFNA(INDEX(ConformanceSubstrates!C2:C999, MATCH(C280,ConformanceSubstrates!A2:A999, 0)), "")</f>
        <v>OWL / SHACL</v>
      </c>
      <c r="M280" s="2" t="s">
        <v>1902</v>
      </c>
    </row>
    <row r="281">
      <c r="A281" s="2" t="s">
        <v>14871</v>
      </c>
      <c r="B281" s="3" t="str">
        <f>_xlfn.CONCAT(C281, " / ", D281)</f>
        <v>effortless-owl / Requirements.ControlAssuranceState</v>
      </c>
      <c r="C281" s="2" t="s">
        <v>13993</v>
      </c>
      <c r="D281" s="2" t="s">
        <v>3029</v>
      </c>
      <c r="E281" s="2" t="s">
        <v>14363</v>
      </c>
      <c r="F281" s="2" t="s">
        <v>2389</v>
      </c>
      <c r="G281" s="2">
        <v>3</v>
      </c>
      <c r="H281" s="2" t="s">
        <v>14591</v>
      </c>
      <c r="I281" s="3">
        <f>COUNTIFS(CellDisagreements!C2:C999, A281)</f>
        <v>0</v>
      </c>
      <c r="J281" s="3" t="b">
        <f>I281 = G281</f>
        <v>0</v>
      </c>
      <c r="K281" s="3" t="str">
        <f>_xlfn.IFNA(INDEX(RulebookFields!G2:G999, MATCH(D281,RulebookFields!A2:A999, 0)), "")</f>
        <v>=IF(NOT({{IsBoundToAnyStep}}), "Decorative", IF(NOT({{HasEverBeenEvaluated}}), "Inoperative", IF(NOT({{HasComputedWitness}}), "Asserted", IF({{WitnessFireCount}} &gt; 0, "Demonstrated", IF({{HasMeaningfulSample}}, "Holding", "Untested")))))</v>
      </c>
      <c r="L281" s="3" t="str">
        <f>_xlfn.IFNA(INDEX(ConformanceSubstrates!C2:C999, MATCH(C281,ConformanceSubstrates!A2:A999, 0)), "")</f>
        <v>OWL / SHACL</v>
      </c>
      <c r="M281" s="2" t="s">
        <v>1902</v>
      </c>
    </row>
    <row r="282">
      <c r="A282" s="2" t="s">
        <v>14872</v>
      </c>
      <c r="B282" s="3" t="str">
        <f>_xlfn.CONCAT(C282, " / ", D282)</f>
        <v>effortless-owl / ElicitationSessions.DaysSinceElicited</v>
      </c>
      <c r="C282" s="2" t="s">
        <v>13993</v>
      </c>
      <c r="D282" s="2" t="s">
        <v>3142</v>
      </c>
      <c r="E282" s="2" t="s">
        <v>14370</v>
      </c>
      <c r="F282" s="2" t="s">
        <v>2389</v>
      </c>
      <c r="G282" s="2">
        <v>2</v>
      </c>
      <c r="H282" s="2" t="s">
        <v>14591</v>
      </c>
      <c r="I282" s="3">
        <f>COUNTIFS(CellDisagreements!C2:C999, A282)</f>
        <v>0</v>
      </c>
      <c r="J282" s="3" t="b">
        <f>I282 = G282</f>
        <v>0</v>
      </c>
      <c r="K282" s="3" t="str">
        <f>_xlfn.IFNA(INDEX(RulebookFields!G2:G999, MATCH(D282,RulebookFields!A2:A999, 0)), "")</f>
        <v>=DATETIME_DIFF({{AsOfInstant}}, {{EndedAt}}, "days")</v>
      </c>
      <c r="L282" s="3" t="str">
        <f>_xlfn.IFNA(INDEX(ConformanceSubstrates!C2:C999, MATCH(C282,ConformanceSubstrates!A2:A999, 0)), "")</f>
        <v>OWL / SHACL</v>
      </c>
      <c r="M282" s="2" t="s">
        <v>1902</v>
      </c>
    </row>
    <row r="283">
      <c r="A283" s="2" t="s">
        <v>14873</v>
      </c>
      <c r="B283" s="3" t="str">
        <f>_xlfn.CONCAT(C283, " / ", D283)</f>
        <v>effortless-owl / KnowledgeFragments.DaysSinceActualReview</v>
      </c>
      <c r="C283" s="2" t="s">
        <v>13993</v>
      </c>
      <c r="D283" s="2" t="s">
        <v>3270</v>
      </c>
      <c r="E283" s="2" t="s">
        <v>14371</v>
      </c>
      <c r="F283" s="2" t="s">
        <v>2389</v>
      </c>
      <c r="G283" s="2">
        <v>3</v>
      </c>
      <c r="H283" s="2" t="s">
        <v>14591</v>
      </c>
      <c r="I283" s="3">
        <f>COUNTIFS(CellDisagreements!C2:C999, A283)</f>
        <v>0</v>
      </c>
      <c r="J283" s="3" t="b">
        <f>I283 = G283</f>
        <v>0</v>
      </c>
      <c r="K283" s="3" t="str">
        <f>_xlfn.IFNA(INDEX(RulebookFields!G2:G999, MATCH(D283,RulebookFields!A2:A999, 0)), "")</f>
        <v>=IF({{HasReviewRecord}}, DATETIME_DIFF({{AsOfInstant}}, {{LastReviewedAt}}, "days"), 0)</v>
      </c>
      <c r="L283" s="3" t="str">
        <f>_xlfn.IFNA(INDEX(ConformanceSubstrates!C2:C999, MATCH(C283,ConformanceSubstrates!A2:A999, 0)), "")</f>
        <v>OWL / SHACL</v>
      </c>
      <c r="M283" s="2" t="s">
        <v>1902</v>
      </c>
    </row>
    <row r="284">
      <c r="A284" s="2" t="s">
        <v>14874</v>
      </c>
      <c r="B284" s="3" t="str">
        <f>_xlfn.CONCAT(C284, " / ", D284)</f>
        <v>effortless-owl / KnowledgeFragments.EvidenceExpiryDays</v>
      </c>
      <c r="C284" s="2" t="s">
        <v>13993</v>
      </c>
      <c r="D284" s="2" t="s">
        <v>3204</v>
      </c>
      <c r="E284" s="2" t="s">
        <v>14371</v>
      </c>
      <c r="F284" s="2" t="s">
        <v>2389</v>
      </c>
      <c r="G284" s="2">
        <v>1</v>
      </c>
      <c r="H284" s="2" t="s">
        <v>14591</v>
      </c>
      <c r="I284" s="3">
        <f>COUNTIFS(CellDisagreements!C2:C999, A284)</f>
        <v>0</v>
      </c>
      <c r="J284" s="3" t="b">
        <f>I284 = G284</f>
        <v>0</v>
      </c>
      <c r="K284" s="3" t="str">
        <f>_xlfn.IFNA(INDEX(RulebookFields!G2:G999, MATCH(D284,RulebookFields!A2:A999, 0)), "")</f>
        <v>=IF({{IsFromSingleWitness}}, 180, 365)</v>
      </c>
      <c r="L284" s="3" t="str">
        <f>_xlfn.IFNA(INDEX(ConformanceSubstrates!C2:C999, MATCH(C284,ConformanceSubstrates!A2:A999, 0)), "")</f>
        <v>OWL / SHACL</v>
      </c>
      <c r="M284" s="2" t="s">
        <v>1902</v>
      </c>
    </row>
    <row r="285">
      <c r="A285" s="2" t="s">
        <v>14875</v>
      </c>
      <c r="B285" s="3" t="str">
        <f>_xlfn.CONCAT(C285, " / ", D285)</f>
        <v>effortless-owl / KnowledgeFragments.FragilitySignalCount</v>
      </c>
      <c r="C285" s="2" t="s">
        <v>13993</v>
      </c>
      <c r="D285" s="2" t="s">
        <v>3246</v>
      </c>
      <c r="E285" s="2" t="s">
        <v>14371</v>
      </c>
      <c r="F285" s="2" t="s">
        <v>2389</v>
      </c>
      <c r="G285" s="2">
        <v>3</v>
      </c>
      <c r="H285" s="2" t="s">
        <v>14591</v>
      </c>
      <c r="I285" s="3">
        <f>COUNTIFS(CellDisagreements!C2:C999, A285)</f>
        <v>0</v>
      </c>
      <c r="J285" s="3" t="b">
        <f>I285 = G285</f>
        <v>0</v>
      </c>
      <c r="K285" s="3" t="str">
        <f>_xlfn.IFNA(INDEX(RulebookFields!G2:G999, MATCH(D285,RulebookFields!A2:A999, 0)), "")</f>
        <v>=IF({{IsFromSingleWitness}}, 1, 0) + IF({{IsOverdueForReview}}, 1, 0) + IF({{IsLowConfidence}}, 1, 0) + IF({{HasOperationalReliance}}, 1, 0)</v>
      </c>
      <c r="L285" s="3" t="str">
        <f>_xlfn.IFNA(INDEX(ConformanceSubstrates!C2:C999, MATCH(C285,ConformanceSubstrates!A2:A999, 0)), "")</f>
        <v>OWL / SHACL</v>
      </c>
      <c r="M285" s="2" t="s">
        <v>1902</v>
      </c>
    </row>
    <row r="286">
      <c r="A286" s="2" t="s">
        <v>14876</v>
      </c>
      <c r="B286" s="3" t="str">
        <f>_xlfn.CONCAT(C286, " / ", D286)</f>
        <v>effortless-owl / KnowledgeFragments.EvidenceAgeDays</v>
      </c>
      <c r="C286" s="2" t="s">
        <v>13993</v>
      </c>
      <c r="D286" s="2" t="s">
        <v>3198</v>
      </c>
      <c r="E286" s="2" t="s">
        <v>14371</v>
      </c>
      <c r="F286" s="2" t="s">
        <v>2478</v>
      </c>
      <c r="G286" s="2">
        <v>3</v>
      </c>
      <c r="H286" s="2" t="s">
        <v>14591</v>
      </c>
      <c r="I286" s="3">
        <f>COUNTIFS(CellDisagreements!C2:C999, A286)</f>
        <v>0</v>
      </c>
      <c r="J286" s="3" t="b">
        <f>I286 = G286</f>
        <v>0</v>
      </c>
      <c r="K286" s="3" t="str">
        <f>_xlfn.IFNA(INDEX(RulebookFields!G2:G999, MATCH(D286,RulebookFields!A2:A999, 0)), "")</f>
        <v>=INDEX(ElicitationSessions!{{DaysSinceElicited}}, MATCH({{ElicitationSession}}, ElicitationSessions!{{ElicitationSessionId}}, 0))</v>
      </c>
      <c r="L286" s="3" t="str">
        <f>_xlfn.IFNA(INDEX(ConformanceSubstrates!C2:C999, MATCH(C286,ConformanceSubstrates!A2:A999, 0)), "")</f>
        <v>OWL / SHACL</v>
      </c>
      <c r="M286" s="2" t="s">
        <v>1902</v>
      </c>
    </row>
    <row r="287">
      <c r="A287" s="2" t="s">
        <v>14877</v>
      </c>
      <c r="B287" s="3" t="str">
        <f>_xlfn.CONCAT(C287, " / ", D287)</f>
        <v>effortless-owl / KnowledgeFragments.AgeDays</v>
      </c>
      <c r="C287" s="2" t="s">
        <v>13993</v>
      </c>
      <c r="D287" s="2" t="s">
        <v>3222</v>
      </c>
      <c r="E287" s="2" t="s">
        <v>14371</v>
      </c>
      <c r="F287" s="2" t="s">
        <v>2389</v>
      </c>
      <c r="G287" s="2">
        <v>3</v>
      </c>
      <c r="H287" s="2" t="s">
        <v>14591</v>
      </c>
      <c r="I287" s="3">
        <f>COUNTIFS(CellDisagreements!C2:C999, A287)</f>
        <v>0</v>
      </c>
      <c r="J287" s="3" t="b">
        <f>I287 = G287</f>
        <v>0</v>
      </c>
      <c r="K287" s="3" t="str">
        <f>_xlfn.IFNA(INDEX(RulebookFields!G2:G999, MATCH(D287,RulebookFields!A2:A999, 0)), "")</f>
        <v>=DATETIME_DIFF({{AsOfInstant}}, {{ValidFrom}}, "days")</v>
      </c>
      <c r="L287" s="3" t="str">
        <f>_xlfn.IFNA(INDEX(ConformanceSubstrates!C2:C999, MATCH(C287,ConformanceSubstrates!A2:A999, 0)), "")</f>
        <v>OWL / SHACL</v>
      </c>
      <c r="M287" s="2" t="s">
        <v>1902</v>
      </c>
    </row>
    <row r="288">
      <c r="A288" s="2" t="s">
        <v>14878</v>
      </c>
      <c r="B288" s="3" t="str">
        <f>_xlfn.CONCAT(C288, " / ", D288)</f>
        <v>effortless-owl / KnowledgeFragments.IsInvokedByAnException</v>
      </c>
      <c r="C288" s="2" t="s">
        <v>13993</v>
      </c>
      <c r="D288" s="2" t="s">
        <v>3216</v>
      </c>
      <c r="E288" s="2" t="s">
        <v>14371</v>
      </c>
      <c r="F288" s="2" t="s">
        <v>2438</v>
      </c>
      <c r="G288" s="2">
        <v>2</v>
      </c>
      <c r="H288" s="2" t="s">
        <v>14591</v>
      </c>
      <c r="I288" s="3">
        <f>COUNTIFS(CellDisagreements!C2:C999, A288)</f>
        <v>0</v>
      </c>
      <c r="J288" s="3" t="b">
        <f>I288 = G288</f>
        <v>0</v>
      </c>
      <c r="K288" s="3" t="str">
        <f>_xlfn.IFNA(INDEX(RulebookFields!G2:G999, MATCH(D288,RulebookFields!A2:A999, 0)), "")</f>
        <v>=COUNTIFS(Exceptions!{{TriggerStep}}, KnowledgeFragments!{{Step}})</v>
      </c>
      <c r="L288" s="3" t="str">
        <f>_xlfn.IFNA(INDEX(ConformanceSubstrates!C2:C999, MATCH(C288,ConformanceSubstrates!A2:A999, 0)), "")</f>
        <v>OWL / SHACL</v>
      </c>
      <c r="M288" s="2" t="s">
        <v>1902</v>
      </c>
    </row>
    <row r="289">
      <c r="A289" s="2" t="s">
        <v>14879</v>
      </c>
      <c r="B289" s="3" t="str">
        <f>_xlfn.CONCAT(C289, " / ", D289)</f>
        <v>effortless-owl / KnowledgeFragments.HasOperationalReliance</v>
      </c>
      <c r="C289" s="2" t="s">
        <v>13993</v>
      </c>
      <c r="D289" s="2" t="s">
        <v>3218</v>
      </c>
      <c r="E289" s="2" t="s">
        <v>14371</v>
      </c>
      <c r="F289" s="2" t="s">
        <v>2389</v>
      </c>
      <c r="G289" s="2">
        <v>2</v>
      </c>
      <c r="H289" s="2" t="s">
        <v>14591</v>
      </c>
      <c r="I289" s="3">
        <f>COUNTIFS(CellDisagreements!C2:C999, A289)</f>
        <v>0</v>
      </c>
      <c r="J289" s="3" t="b">
        <f>I289 = G289</f>
        <v>0</v>
      </c>
      <c r="K289" s="3" t="str">
        <f>_xlfn.IFNA(INDEX(RulebookFields!G2:G999, MATCH(D289,RulebookFields!A2:A999, 0)), "")</f>
        <v>={{IsInvokedByAnException}} &gt; 0</v>
      </c>
      <c r="L289" s="3" t="str">
        <f>_xlfn.IFNA(INDEX(ConformanceSubstrates!C2:C999, MATCH(C289,ConformanceSubstrates!A2:A999, 0)), "")</f>
        <v>OWL / SHACL</v>
      </c>
      <c r="M289" s="2" t="s">
        <v>1902</v>
      </c>
    </row>
    <row r="290">
      <c r="A290" s="2" t="s">
        <v>14880</v>
      </c>
      <c r="B290" s="3" t="str">
        <f>_xlfn.CONCAT(C290, " / ", D290)</f>
        <v>effortless-owl / KnowledgeFragments.RelianceSurfaceCount</v>
      </c>
      <c r="C290" s="2" t="s">
        <v>13993</v>
      </c>
      <c r="D290" s="2" t="s">
        <v>3284</v>
      </c>
      <c r="E290" s="2" t="s">
        <v>14371</v>
      </c>
      <c r="F290" s="2" t="s">
        <v>2389</v>
      </c>
      <c r="G290" s="2">
        <v>2</v>
      </c>
      <c r="H290" s="2" t="s">
        <v>14591</v>
      </c>
      <c r="I290" s="3">
        <f>COUNTIFS(CellDisagreements!C2:C999, A290)</f>
        <v>0</v>
      </c>
      <c r="J290" s="3" t="b">
        <f>I290 = G290</f>
        <v>0</v>
      </c>
      <c r="K290" s="3" t="str">
        <f>_xlfn.IFNA(INDEX(RulebookFields!G2:G999, MATCH(D290,RulebookFields!A2:A999, 0)), "")</f>
        <v>={{IsInvokedByAnException}} + {{RatifiedBoundaryCount}}</v>
      </c>
      <c r="L290" s="3" t="str">
        <f>_xlfn.IFNA(INDEX(ConformanceSubstrates!C2:C999, MATCH(C290,ConformanceSubstrates!A2:A999, 0)), "")</f>
        <v>OWL / SHACL</v>
      </c>
      <c r="M290" s="2" t="s">
        <v>1902</v>
      </c>
    </row>
    <row r="291">
      <c r="A291" s="2" t="s">
        <v>14881</v>
      </c>
      <c r="B291" s="3" t="str">
        <f>_xlfn.CONCAT(C291, " / ", D291)</f>
        <v>effortless-owl / KnowledgeFragments.IsUnapprovedAndOperationallyLive</v>
      </c>
      <c r="C291" s="2" t="s">
        <v>13993</v>
      </c>
      <c r="D291" s="2" t="s">
        <v>3220</v>
      </c>
      <c r="E291" s="2" t="s">
        <v>14371</v>
      </c>
      <c r="F291" s="2" t="s">
        <v>2389</v>
      </c>
      <c r="G291" s="2">
        <v>1</v>
      </c>
      <c r="H291" s="2" t="s">
        <v>14591</v>
      </c>
      <c r="I291" s="3">
        <f>COUNTIFS(CellDisagreements!C2:C999, A291)</f>
        <v>0</v>
      </c>
      <c r="J291" s="3" t="b">
        <f>I291 = G291</f>
        <v>0</v>
      </c>
      <c r="K291" s="3" t="str">
        <f>_xlfn.IFNA(INDEX(RulebookFields!G2:G999, MATCH(D291,RulebookFields!A2:A999, 0)), "")</f>
        <v>=AND({{IsMyUnfinishedApproval}}, {{HasOperationalReliance}})</v>
      </c>
      <c r="L291" s="3" t="str">
        <f>_xlfn.IFNA(INDEX(ConformanceSubstrates!C2:C999, MATCH(C291,ConformanceSubstrates!A2:A999, 0)), "")</f>
        <v>OWL / SHACL</v>
      </c>
      <c r="M291" s="2" t="s">
        <v>1902</v>
      </c>
    </row>
    <row r="292">
      <c r="A292" s="2" t="s">
        <v>14882</v>
      </c>
      <c r="B292" s="3" t="str">
        <f>_xlfn.CONCAT(C292, " / ", D292)</f>
        <v>effortless-owl / KnowledgeFragments.DaysAwaitingMyApproval</v>
      </c>
      <c r="C292" s="2" t="s">
        <v>13993</v>
      </c>
      <c r="D292" s="2" t="s">
        <v>3286</v>
      </c>
      <c r="E292" s="2" t="s">
        <v>14371</v>
      </c>
      <c r="F292" s="2" t="s">
        <v>2389</v>
      </c>
      <c r="G292" s="2">
        <v>1</v>
      </c>
      <c r="H292" s="2" t="s">
        <v>14591</v>
      </c>
      <c r="I292" s="3">
        <f>COUNTIFS(CellDisagreements!C2:C999, A292)</f>
        <v>0</v>
      </c>
      <c r="J292" s="3" t="b">
        <f>I292 = G292</f>
        <v>0</v>
      </c>
      <c r="K292" s="3" t="str">
        <f>_xlfn.IFNA(INDEX(RulebookFields!G2:G999, MATCH(D292,RulebookFields!A2:A999, 0)), "")</f>
        <v>=IF({{IsMyUnfinishedApproval}}, DATETIME_DIFF({{AsOfInstant}}, {{ValidFrom}}, "days"), 0)</v>
      </c>
      <c r="L292" s="3" t="str">
        <f>_xlfn.IFNA(INDEX(ConformanceSubstrates!C2:C999, MATCH(C292,ConformanceSubstrates!A2:A999, 0)), "")</f>
        <v>OWL / SHACL</v>
      </c>
      <c r="M292" s="2" t="s">
        <v>1902</v>
      </c>
    </row>
    <row r="293">
      <c r="A293" s="2" t="s">
        <v>14883</v>
      </c>
      <c r="B293" s="3" t="str">
        <f>_xlfn.CONCAT(C293, " / ", D293)</f>
        <v>effortless-owl / KnowledgeGaps.DaysOpen</v>
      </c>
      <c r="C293" s="2" t="s">
        <v>13993</v>
      </c>
      <c r="D293" s="2" t="s">
        <v>3324</v>
      </c>
      <c r="E293" s="2" t="s">
        <v>14372</v>
      </c>
      <c r="F293" s="2" t="s">
        <v>2389</v>
      </c>
      <c r="G293" s="2">
        <v>1</v>
      </c>
      <c r="H293" s="2" t="s">
        <v>14591</v>
      </c>
      <c r="I293" s="3">
        <f>COUNTIFS(CellDisagreements!C2:C999, A293)</f>
        <v>0</v>
      </c>
      <c r="J293" s="3" t="b">
        <f>I293 = G293</f>
        <v>0</v>
      </c>
      <c r="K293" s="3" t="str">
        <f>_xlfn.IFNA(INDEX(RulebookFields!G2:G999, MATCH(D293,RulebookFields!A2:A999, 0)), "")</f>
        <v>=IF({{IsOpen}}, DATETIME_DIFF({{AsOfInstant}}, {{IdentifiedAt}}, "days"), 0)</v>
      </c>
      <c r="L293" s="3" t="str">
        <f>_xlfn.IFNA(INDEX(ConformanceSubstrates!C2:C999, MATCH(C293,ConformanceSubstrates!A2:A999, 0)), "")</f>
        <v>OWL / SHACL</v>
      </c>
      <c r="M293" s="2" t="s">
        <v>1902</v>
      </c>
    </row>
    <row r="294">
      <c r="A294" s="2" t="s">
        <v>14884</v>
      </c>
      <c r="B294" s="3" t="str">
        <f>_xlfn.CONCAT(C294, " / ", D294)</f>
        <v>effortless-owl / ProcedureExecutions.LateStepCount</v>
      </c>
      <c r="C294" s="2" t="s">
        <v>13993</v>
      </c>
      <c r="D294" s="2" t="s">
        <v>3376</v>
      </c>
      <c r="E294" s="2" t="s">
        <v>14375</v>
      </c>
      <c r="F294" s="2" t="s">
        <v>2438</v>
      </c>
      <c r="G294" s="2">
        <v>2</v>
      </c>
      <c r="H294" s="2" t="s">
        <v>14591</v>
      </c>
      <c r="I294" s="3">
        <f>COUNTIFS(CellDisagreements!C2:C999, A294)</f>
        <v>0</v>
      </c>
      <c r="J294" s="3" t="b">
        <f>I294 = G294</f>
        <v>0</v>
      </c>
      <c r="K294" s="3" t="str">
        <f>_xlfn.IFNA(INDEX(RulebookFields!G2:G999, MATCH(D294,RulebookFields!A2:A999, 0)), "")</f>
        <v>=COUNTIFS(StepExecutions!{{LateExecutionKey}}, {{ProcedureExecutionId}})</v>
      </c>
      <c r="L294" s="3" t="str">
        <f>_xlfn.IFNA(INDEX(ConformanceSubstrates!C2:C999, MATCH(C294,ConformanceSubstrates!A2:A999, 0)), "")</f>
        <v>OWL / SHACL</v>
      </c>
      <c r="M294" s="2" t="s">
        <v>1902</v>
      </c>
    </row>
    <row r="295">
      <c r="A295" s="2" t="s">
        <v>14885</v>
      </c>
      <c r="B295" s="3" t="str">
        <f>_xlfn.CONCAT(C295, " / ", D295)</f>
        <v>effortless-owl / ProcedureExecutions.UncleanStepCount</v>
      </c>
      <c r="C295" s="2" t="s">
        <v>13993</v>
      </c>
      <c r="D295" s="2" t="s">
        <v>3420</v>
      </c>
      <c r="E295" s="2" t="s">
        <v>14375</v>
      </c>
      <c r="F295" s="2" t="s">
        <v>2438</v>
      </c>
      <c r="G295" s="2">
        <v>2</v>
      </c>
      <c r="H295" s="2" t="s">
        <v>14591</v>
      </c>
      <c r="I295" s="3">
        <f>COUNTIFS(CellDisagreements!C2:C999, A295)</f>
        <v>0</v>
      </c>
      <c r="J295" s="3" t="b">
        <f>I295 = G295</f>
        <v>0</v>
      </c>
      <c r="K295" s="3" t="str">
        <f>_xlfn.IFNA(INDEX(RulebookFields!G2:G999, MATCH(D295,RulebookFields!A2:A999, 0)), "")</f>
        <v>=COUNTIFS(StepExecutions!{{ProcedureExecutionWhenUnclean}}, {{ProcedureExecutionId}})</v>
      </c>
      <c r="L295" s="3" t="str">
        <f>_xlfn.IFNA(INDEX(ConformanceSubstrates!C2:C999, MATCH(C295,ConformanceSubstrates!A2:A999, 0)), "")</f>
        <v>OWL / SHACL</v>
      </c>
      <c r="M295" s="2" t="s">
        <v>1902</v>
      </c>
    </row>
    <row r="296">
      <c r="A296" s="2" t="s">
        <v>14886</v>
      </c>
      <c r="B296" s="3" t="str">
        <f>_xlfn.CONCAT(C296, " / ", D296)</f>
        <v>effortless-owl / ProcedureExecutions.VacuouslyCleanStepCount</v>
      </c>
      <c r="C296" s="2" t="s">
        <v>13993</v>
      </c>
      <c r="D296" s="2" t="s">
        <v>3438</v>
      </c>
      <c r="E296" s="2" t="s">
        <v>14375</v>
      </c>
      <c r="F296" s="2" t="s">
        <v>2438</v>
      </c>
      <c r="G296" s="2">
        <v>2</v>
      </c>
      <c r="H296" s="2" t="s">
        <v>14591</v>
      </c>
      <c r="I296" s="3">
        <f>COUNTIFS(CellDisagreements!C2:C999, A296)</f>
        <v>0</v>
      </c>
      <c r="J296" s="3" t="b">
        <f>I296 = G296</f>
        <v>0</v>
      </c>
      <c r="K296" s="3" t="str">
        <f>_xlfn.IFNA(INDEX(RulebookFields!G2:G999, MATCH(D296,RulebookFields!A2:A999, 0)), "")</f>
        <v>=COUNTIFS(StepExecutions!{{VacuouslyCleanExecutionKey}}, {{ProcedureExecutionId}})</v>
      </c>
      <c r="L296" s="3" t="str">
        <f>_xlfn.IFNA(INDEX(ConformanceSubstrates!C2:C999, MATCH(C296,ConformanceSubstrates!A2:A999, 0)), "")</f>
        <v>OWL / SHACL</v>
      </c>
      <c r="M296" s="2" t="s">
        <v>1902</v>
      </c>
    </row>
    <row r="297">
      <c r="A297" s="2" t="s">
        <v>14887</v>
      </c>
      <c r="B297" s="3" t="str">
        <f>_xlfn.CONCAT(C297, " / ", D297)</f>
        <v>effortless-owl / ProcedureExecutions.UngovernedDivergenceCount</v>
      </c>
      <c r="C297" s="2" t="s">
        <v>13993</v>
      </c>
      <c r="D297" s="2" t="s">
        <v>3452</v>
      </c>
      <c r="E297" s="2" t="s">
        <v>14375</v>
      </c>
      <c r="F297" s="2" t="s">
        <v>2438</v>
      </c>
      <c r="G297" s="2">
        <v>1</v>
      </c>
      <c r="H297" s="2" t="s">
        <v>14591</v>
      </c>
      <c r="I297" s="3">
        <f>COUNTIFS(CellDisagreements!C2:C999, A297)</f>
        <v>0</v>
      </c>
      <c r="J297" s="3" t="b">
        <f>I297 = G297</f>
        <v>0</v>
      </c>
      <c r="K297" s="3" t="str">
        <f>_xlfn.IFNA(INDEX(RulebookFields!G2:G999, MATCH(D297,RulebookFields!A2:A999, 0)), "")</f>
        <v>=COUNTIFS(StepExecutions!{{UngovernedDivergenceExecutionKey}}, {{ProcedureExecutionId}})</v>
      </c>
      <c r="L297" s="3" t="str">
        <f>_xlfn.IFNA(INDEX(ConformanceSubstrates!C2:C999, MATCH(C297,ConformanceSubstrates!A2:A999, 0)), "")</f>
        <v>OWL / SHACL</v>
      </c>
      <c r="M297" s="2" t="s">
        <v>1902</v>
      </c>
    </row>
    <row r="298">
      <c r="A298" s="2" t="s">
        <v>14888</v>
      </c>
      <c r="B298" s="3" t="str">
        <f>_xlfn.CONCAT(C298, " / ", D298)</f>
        <v>effortless-owl / StepExecutions.ActualDurationMinutes</v>
      </c>
      <c r="C298" s="2" t="s">
        <v>13993</v>
      </c>
      <c r="D298" s="2" t="s">
        <v>3518</v>
      </c>
      <c r="E298" s="2" t="s">
        <v>14376</v>
      </c>
      <c r="F298" s="2" t="s">
        <v>2389</v>
      </c>
      <c r="G298" s="2">
        <v>12</v>
      </c>
      <c r="H298" s="2" t="s">
        <v>14591</v>
      </c>
      <c r="I298" s="3">
        <f>COUNTIFS(CellDisagreements!C2:C999, A298)</f>
        <v>0</v>
      </c>
      <c r="J298" s="3" t="b">
        <f>I298 = G298</f>
        <v>0</v>
      </c>
      <c r="K298" s="3" t="str">
        <f>_xlfn.IFNA(INDEX(RulebookFields!G2:G999, MATCH(D298,RulebookFields!A2:A999, 0)), "")</f>
        <v>=IF({{EndedAt}} = "", 0, DATETIME_DIFF({{EndedAt}}, {{StartedAt}}, "minutes"))</v>
      </c>
      <c r="L298" s="3" t="str">
        <f>_xlfn.IFNA(INDEX(ConformanceSubstrates!C2:C999, MATCH(C298,ConformanceSubstrates!A2:A999, 0)), "")</f>
        <v>OWL / SHACL</v>
      </c>
      <c r="M298" s="2" t="s">
        <v>1902</v>
      </c>
    </row>
    <row r="299">
      <c r="A299" s="2" t="s">
        <v>14889</v>
      </c>
      <c r="B299" s="3" t="str">
        <f>_xlfn.CONCAT(C299, " / ", D299)</f>
        <v>effortless-owl / StepExecutions.IsClean</v>
      </c>
      <c r="C299" s="2" t="s">
        <v>13993</v>
      </c>
      <c r="D299" s="2" t="s">
        <v>3631</v>
      </c>
      <c r="E299" s="2" t="s">
        <v>14376</v>
      </c>
      <c r="F299" s="2" t="s">
        <v>2389</v>
      </c>
      <c r="G299" s="2">
        <v>5</v>
      </c>
      <c r="H299" s="2" t="s">
        <v>14591</v>
      </c>
      <c r="I299" s="3">
        <f>COUNTIFS(CellDisagreements!C2:C999, A299)</f>
        <v>0</v>
      </c>
      <c r="J299" s="3" t="b">
        <f>I299 = G299</f>
        <v>0</v>
      </c>
      <c r="K299" s="3" t="str">
        <f>_xlfn.IFNA(INDEX(RulebookFields!G2:G999, MATCH(D299,RulebookFields!A2:A999, 0)), "")</f>
        <v>=AND({{VerificationResult}} = "PASS", NOT({{HasDeviation}}), {{UnresolvedIssueCount}} = 0, NOT({{IsLate}}))</v>
      </c>
      <c r="L299" s="3" t="str">
        <f>_xlfn.IFNA(INDEX(ConformanceSubstrates!C2:C999, MATCH(C299,ConformanceSubstrates!A2:A999, 0)), "")</f>
        <v>OWL / SHACL</v>
      </c>
      <c r="M299" s="2" t="s">
        <v>1902</v>
      </c>
    </row>
    <row r="300">
      <c r="A300" s="2" t="s">
        <v>14890</v>
      </c>
      <c r="B300" s="3" t="str">
        <f>_xlfn.CONCAT(C300, " / ", D300)</f>
        <v>effortless-owl / StepExecutions.IsSubstantivelyClean</v>
      </c>
      <c r="C300" s="2" t="s">
        <v>13993</v>
      </c>
      <c r="D300" s="2" t="s">
        <v>3683</v>
      </c>
      <c r="E300" s="2" t="s">
        <v>14376</v>
      </c>
      <c r="F300" s="2" t="s">
        <v>2389</v>
      </c>
      <c r="G300" s="2">
        <v>1</v>
      </c>
      <c r="H300" s="2" t="s">
        <v>14591</v>
      </c>
      <c r="I300" s="3">
        <f>COUNTIFS(CellDisagreements!C2:C999, A300)</f>
        <v>0</v>
      </c>
      <c r="J300" s="3" t="b">
        <f>I300 = G300</f>
        <v>0</v>
      </c>
      <c r="K300" s="3" t="str">
        <f>_xlfn.IFNA(INDEX(RulebookFields!G2:G999, MATCH(D300,RulebookFields!A2:A999, 0)), "")</f>
        <v>=AND({{IsClean}}, {{PerformedCheckCount}} &gt;= {{DeclaredCheckCount}}, {{DeclaredCheckCount}} &gt; 0)</v>
      </c>
      <c r="L300" s="3" t="str">
        <f>_xlfn.IFNA(INDEX(ConformanceSubstrates!C2:C999, MATCH(C300,ConformanceSubstrates!A2:A999, 0)), "")</f>
        <v>OWL / SHACL</v>
      </c>
      <c r="M300" s="2" t="s">
        <v>1902</v>
      </c>
    </row>
    <row r="301">
      <c r="A301" s="2" t="s">
        <v>14891</v>
      </c>
      <c r="B301" s="3" t="str">
        <f>_xlfn.CONCAT(C301, " / ", D301)</f>
        <v>effortless-owl / StepExecutions.IsLate</v>
      </c>
      <c r="C301" s="2" t="s">
        <v>13993</v>
      </c>
      <c r="D301" s="2" t="s">
        <v>3522</v>
      </c>
      <c r="E301" s="2" t="s">
        <v>14376</v>
      </c>
      <c r="F301" s="2" t="s">
        <v>2389</v>
      </c>
      <c r="G301" s="2">
        <v>7</v>
      </c>
      <c r="H301" s="2" t="s">
        <v>14591</v>
      </c>
      <c r="I301" s="3">
        <f>COUNTIFS(CellDisagreements!C2:C999, A301)</f>
        <v>0</v>
      </c>
      <c r="J301" s="3" t="b">
        <f>I301 = G301</f>
        <v>0</v>
      </c>
      <c r="K301" s="3" t="str">
        <f>_xlfn.IFNA(INDEX(RulebookFields!G2:G999, MATCH(D301,RulebookFields!A2:A999, 0)), "")</f>
        <v>={{ActualDurationMinutes}} &gt; {{ExpectedDurationMinutes}}</v>
      </c>
      <c r="L301" s="3" t="str">
        <f>_xlfn.IFNA(INDEX(ConformanceSubstrates!C2:C999, MATCH(C301,ConformanceSubstrates!A2:A999, 0)), "")</f>
        <v>OWL / SHACL</v>
      </c>
      <c r="M301" s="2" t="s">
        <v>1902</v>
      </c>
    </row>
    <row r="302">
      <c r="A302" s="2" t="s">
        <v>14892</v>
      </c>
      <c r="B302" s="3" t="str">
        <f>_xlfn.CONCAT(C302, " / ", D302)</f>
        <v>effortless-owl / StepExecutions.StaleAuthoritativeSourceCount</v>
      </c>
      <c r="C302" s="2" t="s">
        <v>13993</v>
      </c>
      <c r="D302" s="2" t="s">
        <v>3538</v>
      </c>
      <c r="E302" s="2" t="s">
        <v>14376</v>
      </c>
      <c r="F302" s="2" t="s">
        <v>2478</v>
      </c>
      <c r="G302" s="2">
        <v>2</v>
      </c>
      <c r="H302" s="2" t="s">
        <v>14591</v>
      </c>
      <c r="I302" s="3">
        <f>COUNTIFS(CellDisagreements!C2:C999, A302)</f>
        <v>0</v>
      </c>
      <c r="J302" s="3" t="b">
        <f>I302 = G302</f>
        <v>0</v>
      </c>
      <c r="K302" s="3" t="str">
        <f>_xlfn.IFNA(INDEX(RulebookFields!G2:G999, MATCH(D302,RulebookFields!A2:A999, 0)), "")</f>
        <v>=INDEX(Steps!{{AuthoritativeStaleCount}}, MATCH({{Step}}, Steps!{{StepId}}, 0))</v>
      </c>
      <c r="L302" s="3" t="str">
        <f>_xlfn.IFNA(INDEX(ConformanceSubstrates!C2:C999, MATCH(C302,ConformanceSubstrates!A2:A999, 0)), "")</f>
        <v>OWL / SHACL</v>
      </c>
      <c r="M302" s="2" t="s">
        <v>1902</v>
      </c>
    </row>
    <row r="303">
      <c r="A303" s="2" t="s">
        <v>14893</v>
      </c>
      <c r="B303" s="3" t="str">
        <f>_xlfn.CONCAT(C303, " / ", D303)</f>
        <v>effortless-owl / StepExecutions.RanOnStaleAuthoritativeSource</v>
      </c>
      <c r="C303" s="2" t="s">
        <v>13993</v>
      </c>
      <c r="D303" s="2" t="s">
        <v>3540</v>
      </c>
      <c r="E303" s="2" t="s">
        <v>14376</v>
      </c>
      <c r="F303" s="2" t="s">
        <v>2389</v>
      </c>
      <c r="G303" s="2">
        <v>2</v>
      </c>
      <c r="H303" s="2" t="s">
        <v>14591</v>
      </c>
      <c r="I303" s="3">
        <f>COUNTIFS(CellDisagreements!C2:C999, A303)</f>
        <v>0</v>
      </c>
      <c r="J303" s="3" t="b">
        <f>I303 = G303</f>
        <v>0</v>
      </c>
      <c r="K303" s="3" t="str">
        <f>_xlfn.IFNA(INDEX(RulebookFields!G2:G999, MATCH(D303,RulebookFields!A2:A999, 0)), "")</f>
        <v>={{StaleAuthoritativeSourceCount}} &gt; 0</v>
      </c>
      <c r="L303" s="3" t="str">
        <f>_xlfn.IFNA(INDEX(ConformanceSubstrates!C2:C999, MATCH(C303,ConformanceSubstrates!A2:A999, 0)), "")</f>
        <v>OWL / SHACL</v>
      </c>
      <c r="M303" s="2" t="s">
        <v>1902</v>
      </c>
    </row>
    <row r="304">
      <c r="A304" s="2" t="s">
        <v>14894</v>
      </c>
      <c r="B304" s="3" t="str">
        <f>_xlfn.CONCAT(C304, " / ", D304)</f>
        <v>effortless-owl / StepExecutions.LateExecutionKey</v>
      </c>
      <c r="C304" s="2" t="s">
        <v>13993</v>
      </c>
      <c r="D304" s="2" t="s">
        <v>3585</v>
      </c>
      <c r="E304" s="2" t="s">
        <v>14376</v>
      </c>
      <c r="F304" s="2" t="s">
        <v>2389</v>
      </c>
      <c r="G304" s="2">
        <v>7</v>
      </c>
      <c r="H304" s="2" t="s">
        <v>14591</v>
      </c>
      <c r="I304" s="3">
        <f>COUNTIFS(CellDisagreements!C2:C999, A304)</f>
        <v>0</v>
      </c>
      <c r="J304" s="3" t="b">
        <f>I304 = G304</f>
        <v>0</v>
      </c>
      <c r="K304" s="3" t="str">
        <f>_xlfn.IFNA(INDEX(RulebookFields!G2:G999, MATCH(D304,RulebookFields!A2:A999, 0)), "")</f>
        <v>=IF({{IsLate}}, {{ProcedureExecution}}, "")</v>
      </c>
      <c r="L304" s="3" t="str">
        <f>_xlfn.IFNA(INDEX(ConformanceSubstrates!C2:C999, MATCH(C304,ConformanceSubstrates!A2:A999, 0)), "")</f>
        <v>OWL / SHACL</v>
      </c>
      <c r="M304" s="2" t="s">
        <v>1902</v>
      </c>
    </row>
    <row r="305">
      <c r="A305" s="2" t="s">
        <v>14895</v>
      </c>
      <c r="B305" s="3" t="str">
        <f>_xlfn.CONCAT(C305, " / ", D305)</f>
        <v>effortless-owl / StepExecutions.InputsWereFreshAtRun</v>
      </c>
      <c r="C305" s="2" t="s">
        <v>13993</v>
      </c>
      <c r="D305" s="2" t="s">
        <v>3624</v>
      </c>
      <c r="E305" s="2" t="s">
        <v>14376</v>
      </c>
      <c r="F305" s="2" t="s">
        <v>2478</v>
      </c>
      <c r="G305" s="2">
        <v>2</v>
      </c>
      <c r="H305" s="2" t="s">
        <v>14591</v>
      </c>
      <c r="I305" s="3">
        <f>COUNTIFS(CellDisagreements!C2:C999, A305)</f>
        <v>0</v>
      </c>
      <c r="J305" s="3" t="b">
        <f>I305 = G305</f>
        <v>0</v>
      </c>
      <c r="K305" s="3" t="str">
        <f>_xlfn.IFNA(INDEX(RulebookFields!G2:G999, MATCH(D305,RulebookFields!A2:A999, 0)), "")</f>
        <v>=INDEX(Steps!{{InputsAreFresh}}, MATCH({{Step}}, Steps!{{StepId}}, 0))</v>
      </c>
      <c r="L305" s="3" t="str">
        <f>_xlfn.IFNA(INDEX(ConformanceSubstrates!C2:C999, MATCH(C305,ConformanceSubstrates!A2:A999, 0)), "")</f>
        <v>OWL / SHACL</v>
      </c>
      <c r="M305" s="2" t="s">
        <v>1902</v>
      </c>
    </row>
    <row r="306">
      <c r="A306" s="2" t="s">
        <v>14896</v>
      </c>
      <c r="B306" s="3" t="str">
        <f>_xlfn.CONCAT(C306, " / ", D306)</f>
        <v>effortless-owl / StepExecutions.RanOnStaleInputs</v>
      </c>
      <c r="C306" s="2" t="s">
        <v>13993</v>
      </c>
      <c r="D306" s="2" t="s">
        <v>3626</v>
      </c>
      <c r="E306" s="2" t="s">
        <v>14376</v>
      </c>
      <c r="F306" s="2" t="s">
        <v>2389</v>
      </c>
      <c r="G306" s="2">
        <v>2</v>
      </c>
      <c r="H306" s="2" t="s">
        <v>14591</v>
      </c>
      <c r="I306" s="3">
        <f>COUNTIFS(CellDisagreements!C2:C999, A306)</f>
        <v>0</v>
      </c>
      <c r="J306" s="3" t="b">
        <f>I306 = G306</f>
        <v>0</v>
      </c>
      <c r="K306" s="3" t="str">
        <f>_xlfn.IFNA(INDEX(RulebookFields!G2:G999, MATCH(D306,RulebookFields!A2:A999, 0)), "")</f>
        <v>=AND({{ExecutionStatus}} = "Completed", NOT({{InputsWereFreshAtRun}}))</v>
      </c>
      <c r="L306" s="3" t="str">
        <f>_xlfn.IFNA(INDEX(ConformanceSubstrates!C2:C999, MATCH(C306,ConformanceSubstrates!A2:A999, 0)), "")</f>
        <v>OWL / SHACL</v>
      </c>
      <c r="M306" s="2" t="s">
        <v>1902</v>
      </c>
    </row>
    <row r="307">
      <c r="A307" s="2" t="s">
        <v>14897</v>
      </c>
      <c r="B307" s="3" t="str">
        <f>_xlfn.CONCAT(C307, " / ", D307)</f>
        <v>effortless-owl / StepExecutions.StalenessAnswerIsTenseDependent</v>
      </c>
      <c r="C307" s="2" t="s">
        <v>13993</v>
      </c>
      <c r="D307" s="2" t="s">
        <v>3671</v>
      </c>
      <c r="E307" s="2" t="s">
        <v>14376</v>
      </c>
      <c r="F307" s="2" t="s">
        <v>2389</v>
      </c>
      <c r="G307" s="2">
        <v>2</v>
      </c>
      <c r="H307" s="2" t="s">
        <v>14591</v>
      </c>
      <c r="I307" s="3">
        <f>COUNTIFS(CellDisagreements!C2:C999, A307)</f>
        <v>0</v>
      </c>
      <c r="J307" s="3" t="b">
        <f>I307 = G307</f>
        <v>0</v>
      </c>
      <c r="K307" s="3" t="str">
        <f>_xlfn.IFNA(INDEX(RulebookFields!G2:G999, MATCH(D307,RulebookFields!A2:A999, 0)), "")</f>
        <v>=NOT({{WasStaleWhenIRanIt}} = {{RanOnStaleAuthoritativeSource}})</v>
      </c>
      <c r="L307" s="3" t="str">
        <f>_xlfn.IFNA(INDEX(ConformanceSubstrates!C2:C999, MATCH(C307,ConformanceSubstrates!A2:A999, 0)), "")</f>
        <v>OWL / SHACL</v>
      </c>
      <c r="M307" s="2" t="s">
        <v>1902</v>
      </c>
    </row>
    <row r="308">
      <c r="A308" s="2" t="s">
        <v>14898</v>
      </c>
      <c r="B308" s="3" t="str">
        <f>_xlfn.CONCAT(C308, " / ", D308)</f>
        <v>effortless-owl / StepExecutions.IsLateAndUnexplained</v>
      </c>
      <c r="C308" s="2" t="s">
        <v>13993</v>
      </c>
      <c r="D308" s="2" t="s">
        <v>3544</v>
      </c>
      <c r="E308" s="2" t="s">
        <v>14376</v>
      </c>
      <c r="F308" s="2" t="s">
        <v>2389</v>
      </c>
      <c r="G308" s="2">
        <v>3</v>
      </c>
      <c r="H308" s="2" t="s">
        <v>14591</v>
      </c>
      <c r="I308" s="3">
        <f>COUNTIFS(CellDisagreements!C2:C999, A308)</f>
        <v>0</v>
      </c>
      <c r="J308" s="3" t="b">
        <f>I308 = G308</f>
        <v>0</v>
      </c>
      <c r="K308" s="3" t="str">
        <f>_xlfn.IFNA(INDEX(RulebookFields!G2:G999, MATCH(D308,RulebookFields!A2:A999, 0)), "")</f>
        <v>=AND({{IsLate}}, NOT({{HasDeviationNote}}))</v>
      </c>
      <c r="L308" s="3" t="str">
        <f>_xlfn.IFNA(INDEX(ConformanceSubstrates!C2:C999, MATCH(C308,ConformanceSubstrates!A2:A999, 0)), "")</f>
        <v>OWL / SHACL</v>
      </c>
      <c r="M308" s="2" t="s">
        <v>1902</v>
      </c>
    </row>
    <row r="309">
      <c r="A309" s="2" t="s">
        <v>14899</v>
      </c>
      <c r="B309" s="3" t="str">
        <f>_xlfn.CONCAT(C309, " / ", D309)</f>
        <v>effortless-owl / StepExecutions.ProcedureExecutionWhenUnclean</v>
      </c>
      <c r="C309" s="2" t="s">
        <v>13993</v>
      </c>
      <c r="D309" s="2" t="s">
        <v>3633</v>
      </c>
      <c r="E309" s="2" t="s">
        <v>14376</v>
      </c>
      <c r="F309" s="2" t="s">
        <v>2389</v>
      </c>
      <c r="G309" s="2">
        <v>3</v>
      </c>
      <c r="H309" s="2" t="s">
        <v>14591</v>
      </c>
      <c r="I309" s="3">
        <f>COUNTIFS(CellDisagreements!C2:C999, A309)</f>
        <v>0</v>
      </c>
      <c r="J309" s="3" t="b">
        <f>I309 = G309</f>
        <v>0</v>
      </c>
      <c r="K309" s="3" t="str">
        <f>_xlfn.IFNA(INDEX(RulebookFields!G2:G999, MATCH(D309,RulebookFields!A2:A999, 0)), "")</f>
        <v>=IF({{IsClean}}, "", {{ProcedureExecution}})</v>
      </c>
      <c r="L309" s="3" t="str">
        <f>_xlfn.IFNA(INDEX(ConformanceSubstrates!C2:C999, MATCH(C309,ConformanceSubstrates!A2:A999, 0)), "")</f>
        <v>OWL / SHACL</v>
      </c>
      <c r="M309" s="2" t="s">
        <v>1902</v>
      </c>
    </row>
    <row r="310">
      <c r="A310" s="2" t="s">
        <v>14900</v>
      </c>
      <c r="B310" s="3" t="str">
        <f>_xlfn.CONCAT(C310, " / ", D310)</f>
        <v>effortless-owl / StepExecutions.IsVacuouslyClean</v>
      </c>
      <c r="C310" s="2" t="s">
        <v>13993</v>
      </c>
      <c r="D310" s="2" t="s">
        <v>3681</v>
      </c>
      <c r="E310" s="2" t="s">
        <v>14376</v>
      </c>
      <c r="F310" s="2" t="s">
        <v>2389</v>
      </c>
      <c r="G310" s="2">
        <v>2</v>
      </c>
      <c r="H310" s="2" t="s">
        <v>14591</v>
      </c>
      <c r="I310" s="3">
        <f>COUNTIFS(CellDisagreements!C2:C999, A310)</f>
        <v>0</v>
      </c>
      <c r="J310" s="3" t="b">
        <f>I310 = G310</f>
        <v>0</v>
      </c>
      <c r="K310" s="3" t="str">
        <f>_xlfn.IFNA(INDEX(RulebookFields!G2:G999, MATCH(D310,RulebookFields!A2:A999, 0)), "")</f>
        <v>=AND({{IsClean}}, {{IsUncheckedByDesign}})</v>
      </c>
      <c r="L310" s="3" t="str">
        <f>_xlfn.IFNA(INDEX(ConformanceSubstrates!C2:C999, MATCH(C310,ConformanceSubstrates!A2:A999, 0)), "")</f>
        <v>OWL / SHACL</v>
      </c>
      <c r="M310" s="2" t="s">
        <v>1902</v>
      </c>
    </row>
    <row r="311">
      <c r="A311" s="2" t="s">
        <v>14901</v>
      </c>
      <c r="B311" s="3" t="str">
        <f>_xlfn.CONCAT(C311, " / ", D311)</f>
        <v>effortless-owl / StepExecutions.VacuouslyCleanExecutionKey</v>
      </c>
      <c r="C311" s="2" t="s">
        <v>13993</v>
      </c>
      <c r="D311" s="2" t="s">
        <v>3685</v>
      </c>
      <c r="E311" s="2" t="s">
        <v>14376</v>
      </c>
      <c r="F311" s="2" t="s">
        <v>2389</v>
      </c>
      <c r="G311" s="2">
        <v>2</v>
      </c>
      <c r="H311" s="2" t="s">
        <v>14591</v>
      </c>
      <c r="I311" s="3">
        <f>COUNTIFS(CellDisagreements!C2:C999, A311)</f>
        <v>0</v>
      </c>
      <c r="J311" s="3" t="b">
        <f>I311 = G311</f>
        <v>0</v>
      </c>
      <c r="K311" s="3" t="str">
        <f>_xlfn.IFNA(INDEX(RulebookFields!G2:G999, MATCH(D311,RulebookFields!A2:A999, 0)), "")</f>
        <v>=IF({{IsVacuouslyClean}}, {{ProcedureExecution}}, "")</v>
      </c>
      <c r="L311" s="3" t="str">
        <f>_xlfn.IFNA(INDEX(ConformanceSubstrates!C2:C999, MATCH(C311,ConformanceSubstrates!A2:A999, 0)), "")</f>
        <v>OWL / SHACL</v>
      </c>
      <c r="M311" s="2" t="s">
        <v>1902</v>
      </c>
    </row>
    <row r="312">
      <c r="A312" s="2" t="s">
        <v>14902</v>
      </c>
      <c r="B312" s="3" t="str">
        <f>_xlfn.CONCAT(C312, " / ", D312)</f>
        <v>effortless-owl / StepExecutions.IsUngovernedDivergence</v>
      </c>
      <c r="C312" s="2" t="s">
        <v>13993</v>
      </c>
      <c r="D312" s="2" t="s">
        <v>3700</v>
      </c>
      <c r="E312" s="2" t="s">
        <v>14376</v>
      </c>
      <c r="F312" s="2" t="s">
        <v>2389</v>
      </c>
      <c r="G312" s="2">
        <v>1</v>
      </c>
      <c r="H312" s="2" t="s">
        <v>14591</v>
      </c>
      <c r="I312" s="3">
        <f>COUNTIFS(CellDisagreements!C2:C999, A312)</f>
        <v>0</v>
      </c>
      <c r="J312" s="3" t="b">
        <f>I312 = G312</f>
        <v>0</v>
      </c>
      <c r="K312" s="3" t="str">
        <f>_xlfn.IFNA(INDEX(RulebookFields!G2:G999, MATCH(D312,RulebookFields!A2:A999, 0)), "")</f>
        <v>=AND(OR({{HasDeviation}}, {{IsLate}}, {{ProceededPastBlockingControl}}), NOT({{HasGoverningInstrument}}))</v>
      </c>
      <c r="L312" s="3" t="str">
        <f>_xlfn.IFNA(INDEX(ConformanceSubstrates!C2:C999, MATCH(C312,ConformanceSubstrates!A2:A999, 0)), "")</f>
        <v>OWL / SHACL</v>
      </c>
      <c r="M312" s="2" t="s">
        <v>1902</v>
      </c>
    </row>
    <row r="313">
      <c r="A313" s="2" t="s">
        <v>14903</v>
      </c>
      <c r="B313" s="3" t="str">
        <f>_xlfn.CONCAT(C313, " / ", D313)</f>
        <v>effortless-owl / StepExecutions.UngovernedDivergenceExecutionKey</v>
      </c>
      <c r="C313" s="2" t="s">
        <v>13993</v>
      </c>
      <c r="D313" s="2" t="s">
        <v>3702</v>
      </c>
      <c r="E313" s="2" t="s">
        <v>14376</v>
      </c>
      <c r="F313" s="2" t="s">
        <v>2389</v>
      </c>
      <c r="G313" s="2">
        <v>1</v>
      </c>
      <c r="H313" s="2" t="s">
        <v>14591</v>
      </c>
      <c r="I313" s="3">
        <f>COUNTIFS(CellDisagreements!C2:C999, A313)</f>
        <v>0</v>
      </c>
      <c r="J313" s="3" t="b">
        <f>I313 = G313</f>
        <v>0</v>
      </c>
      <c r="K313" s="3" t="str">
        <f>_xlfn.IFNA(INDEX(RulebookFields!G2:G999, MATCH(D313,RulebookFields!A2:A999, 0)), "")</f>
        <v>=IF({{IsUngovernedDivergence}}, {{ProcedureExecution}}, "")</v>
      </c>
      <c r="L313" s="3" t="str">
        <f>_xlfn.IFNA(INDEX(ConformanceSubstrates!C2:C999, MATCH(C313,ConformanceSubstrates!A2:A999, 0)), "")</f>
        <v>OWL / SHACL</v>
      </c>
      <c r="M313" s="2" t="s">
        <v>1902</v>
      </c>
    </row>
    <row r="314">
      <c r="A314" s="2" t="s">
        <v>14904</v>
      </c>
      <c r="B314" s="3" t="str">
        <f>_xlfn.CONCAT(C314, " / ", D314)</f>
        <v>effortless-owl / ChangeRequests.DaysPending</v>
      </c>
      <c r="C314" s="2" t="s">
        <v>13993</v>
      </c>
      <c r="D314" s="2" t="s">
        <v>3867</v>
      </c>
      <c r="E314" s="2" t="s">
        <v>14383</v>
      </c>
      <c r="F314" s="2" t="s">
        <v>2389</v>
      </c>
      <c r="G314" s="2">
        <v>1</v>
      </c>
      <c r="H314" s="2" t="s">
        <v>14591</v>
      </c>
      <c r="I314" s="3">
        <f>COUNTIFS(CellDisagreements!C2:C999, A314)</f>
        <v>0</v>
      </c>
      <c r="J314" s="3" t="b">
        <f>I314 = G314</f>
        <v>0</v>
      </c>
      <c r="K314" s="3" t="str">
        <f>_xlfn.IFNA(INDEX(RulebookFields!G2:G999, MATCH(D314,RulebookFields!A2:A999, 0)), "")</f>
        <v>=IF({{IsDecided}}, DATETIME_DIFF({{DecidedAt}}, {{RequestedAt}}, "days"), DATETIME_DIFF({{AsOfInstant}}, {{RequestedAt}}, "days"))</v>
      </c>
      <c r="L314" s="3" t="str">
        <f>_xlfn.IFNA(INDEX(ConformanceSubstrates!C2:C999, MATCH(C314,ConformanceSubstrates!A2:A999, 0)), "")</f>
        <v>OWL / SHACL</v>
      </c>
      <c r="M314" s="2" t="s">
        <v>1902</v>
      </c>
    </row>
    <row r="315">
      <c r="A315" s="2" t="s">
        <v>14905</v>
      </c>
      <c r="B315" s="3" t="str">
        <f>_xlfn.CONCAT(C315, " / ", D315)</f>
        <v>effortless-owl / ChangeRequests.DecisionLatencyDays</v>
      </c>
      <c r="C315" s="2" t="s">
        <v>13993</v>
      </c>
      <c r="D315" s="2" t="s">
        <v>3901</v>
      </c>
      <c r="E315" s="2" t="s">
        <v>14383</v>
      </c>
      <c r="F315" s="2" t="s">
        <v>2389</v>
      </c>
      <c r="G315" s="2">
        <v>1</v>
      </c>
      <c r="H315" s="2" t="s">
        <v>14591</v>
      </c>
      <c r="I315" s="3">
        <f>COUNTIFS(CellDisagreements!C2:C999, A315)</f>
        <v>0</v>
      </c>
      <c r="J315" s="3" t="b">
        <f>I315 = G315</f>
        <v>0</v>
      </c>
      <c r="K315" s="3" t="str">
        <f>_xlfn.IFNA(INDEX(RulebookFields!G2:G999, MATCH(D315,RulebookFields!A2:A999, 0)), "")</f>
        <v>=IF({{IsDecided}}, DATETIME_DIFF({{DecidedAt}}, {{RequestedAt}}, "days"), 0)</v>
      </c>
      <c r="L315" s="3" t="str">
        <f>_xlfn.IFNA(INDEX(ConformanceSubstrates!C2:C999, MATCH(C315,ConformanceSubstrates!A2:A999, 0)), "")</f>
        <v>OWL / SHACL</v>
      </c>
      <c r="M315" s="2" t="s">
        <v>1902</v>
      </c>
    </row>
    <row r="316">
      <c r="A316" s="2" t="s">
        <v>14906</v>
      </c>
      <c r="B316" s="3" t="str">
        <f>_xlfn.CONCAT(C316, " / ", D316)</f>
        <v>effortless-owl / ReviewEvents.DaysSinceReviewed</v>
      </c>
      <c r="C316" s="2" t="s">
        <v>13993</v>
      </c>
      <c r="D316" s="2" t="s">
        <v>3939</v>
      </c>
      <c r="E316" s="2" t="s">
        <v>14384</v>
      </c>
      <c r="F316" s="2" t="s">
        <v>2389</v>
      </c>
      <c r="G316" s="2">
        <v>3</v>
      </c>
      <c r="H316" s="2" t="s">
        <v>14591</v>
      </c>
      <c r="I316" s="3">
        <f>COUNTIFS(CellDisagreements!C2:C999, A316)</f>
        <v>0</v>
      </c>
      <c r="J316" s="3" t="b">
        <f>I316 = G316</f>
        <v>0</v>
      </c>
      <c r="K316" s="3" t="str">
        <f>_xlfn.IFNA(INDEX(RulebookFields!G2:G999, MATCH(D316,RulebookFields!A2:A999, 0)), "")</f>
        <v>=DATETIME_DIFF({{AsOfInstant}}, {{ReviewedAt}}, "days")</v>
      </c>
      <c r="L316" s="3" t="str">
        <f>_xlfn.IFNA(INDEX(ConformanceSubstrates!C2:C999, MATCH(C316,ConformanceSubstrates!A2:A999, 0)), "")</f>
        <v>OWL / SHACL</v>
      </c>
      <c r="M316" s="2" t="s">
        <v>1902</v>
      </c>
    </row>
    <row r="317">
      <c r="A317" s="2" t="s">
        <v>14907</v>
      </c>
      <c r="B317" s="3" t="str">
        <f>_xlfn.CONCAT(C317, " / ", D317)</f>
        <v>effortless-owl / ReviewEvents.CadenceDriftDays</v>
      </c>
      <c r="C317" s="2" t="s">
        <v>13993</v>
      </c>
      <c r="D317" s="2" t="s">
        <v>3943</v>
      </c>
      <c r="E317" s="2" t="s">
        <v>14384</v>
      </c>
      <c r="F317" s="2" t="s">
        <v>2389</v>
      </c>
      <c r="G317" s="2">
        <v>3</v>
      </c>
      <c r="H317" s="2" t="s">
        <v>14591</v>
      </c>
      <c r="I317" s="3">
        <f>COUNTIFS(CellDisagreements!C2:C999, A317)</f>
        <v>0</v>
      </c>
      <c r="J317" s="3" t="b">
        <f>I317 = G317</f>
        <v>0</v>
      </c>
      <c r="K317" s="3" t="str">
        <f>_xlfn.IFNA(INDEX(RulebookFields!G2:G999, MATCH(D317,RulebookFields!A2:A999, 0)), "")</f>
        <v>={{DaysSinceReviewed}} - {{PromisedCadenceDays}}</v>
      </c>
      <c r="L317" s="3" t="str">
        <f>_xlfn.IFNA(INDEX(ConformanceSubstrates!C2:C999, MATCH(C317,ConformanceSubstrates!A2:A999, 0)), "")</f>
        <v>OWL / SHACL</v>
      </c>
      <c r="M317" s="2" t="s">
        <v>1902</v>
      </c>
    </row>
    <row r="318">
      <c r="A318" s="2" t="s">
        <v>14908</v>
      </c>
      <c r="B318" s="3" t="str">
        <f>_xlfn.CONCAT(C318, " / ", D318)</f>
        <v>effortless-owl / OperationalBindings.AgeMinutes</v>
      </c>
      <c r="C318" s="2" t="s">
        <v>13993</v>
      </c>
      <c r="D318" s="2" t="s">
        <v>3975</v>
      </c>
      <c r="E318" s="2" t="s">
        <v>14386</v>
      </c>
      <c r="F318" s="2" t="s">
        <v>2389</v>
      </c>
      <c r="G318" s="2">
        <v>5</v>
      </c>
      <c r="H318" s="2" t="s">
        <v>14591</v>
      </c>
      <c r="I318" s="3">
        <f>COUNTIFS(CellDisagreements!C2:C999, A318)</f>
        <v>0</v>
      </c>
      <c r="J318" s="3" t="b">
        <f>I318 = G318</f>
        <v>0</v>
      </c>
      <c r="K318" s="3" t="str">
        <f>_xlfn.IFNA(INDEX(RulebookFields!G2:G999, MATCH(D318,RulebookFields!A2:A999, 0)), "")</f>
        <v>=DATETIME_DIFF({{AsOfInstant}}, {{LastObservedAt}}, "minutes")</v>
      </c>
      <c r="L318" s="3" t="str">
        <f>_xlfn.IFNA(INDEX(ConformanceSubstrates!C2:C999, MATCH(C318,ConformanceSubstrates!A2:A999, 0)), "")</f>
        <v>OWL / SHACL</v>
      </c>
      <c r="M318" s="2" t="s">
        <v>1902</v>
      </c>
    </row>
    <row r="319">
      <c r="A319" s="2" t="s">
        <v>14909</v>
      </c>
      <c r="B319" s="3" t="str">
        <f>_xlfn.CONCAT(C319, " / ", D319)</f>
        <v>effortless-owl / OperationalBindings.StaleBindingStepKey</v>
      </c>
      <c r="C319" s="2" t="s">
        <v>13993</v>
      </c>
      <c r="D319" s="2" t="s">
        <v>3979</v>
      </c>
      <c r="E319" s="2" t="s">
        <v>14386</v>
      </c>
      <c r="F319" s="2" t="s">
        <v>2389</v>
      </c>
      <c r="G319" s="2">
        <v>3</v>
      </c>
      <c r="H319" s="2" t="s">
        <v>14591</v>
      </c>
      <c r="I319" s="3">
        <f>COUNTIFS(CellDisagreements!C2:C999, A319)</f>
        <v>0</v>
      </c>
      <c r="J319" s="3" t="b">
        <f>I319 = G319</f>
        <v>0</v>
      </c>
      <c r="K319" s="3" t="str">
        <f>_xlfn.IFNA(INDEX(RulebookFields!G2:G999, MATCH(D319,RulebookFields!A2:A999, 0)), "")</f>
        <v>=IF(NOT({{IsFresh}}), {{Step}}, "")</v>
      </c>
      <c r="L319" s="3" t="str">
        <f>_xlfn.IFNA(INDEX(ConformanceSubstrates!C2:C999, MATCH(C319,ConformanceSubstrates!A2:A999, 0)), "")</f>
        <v>OWL / SHACL</v>
      </c>
      <c r="M319" s="2" t="s">
        <v>1902</v>
      </c>
    </row>
    <row r="320">
      <c r="A320" s="2" t="s">
        <v>14910</v>
      </c>
      <c r="B320" s="3" t="str">
        <f>_xlfn.CONCAT(C320, " / ", D320)</f>
        <v>effortless-owl / OperationalBindings.AuthoritativeStaleStepKey</v>
      </c>
      <c r="C320" s="2" t="s">
        <v>13993</v>
      </c>
      <c r="D320" s="2" t="s">
        <v>3981</v>
      </c>
      <c r="E320" s="2" t="s">
        <v>14386</v>
      </c>
      <c r="F320" s="2" t="s">
        <v>2389</v>
      </c>
      <c r="G320" s="2">
        <v>3</v>
      </c>
      <c r="H320" s="2" t="s">
        <v>14591</v>
      </c>
      <c r="I320" s="3">
        <f>COUNTIFS(CellDisagreements!C2:C999, A320)</f>
        <v>0</v>
      </c>
      <c r="J320" s="3" t="b">
        <f>I320 = G320</f>
        <v>0</v>
      </c>
      <c r="K320" s="3" t="str">
        <f>_xlfn.IFNA(INDEX(RulebookFields!G2:G999, MATCH(D320,RulebookFields!A2:A999, 0)), "")</f>
        <v>=IF(AND(NOT({{IsFresh}}), {{IsAuthoritative}}), {{Step}}, "")</v>
      </c>
      <c r="L320" s="3" t="str">
        <f>_xlfn.IFNA(INDEX(ConformanceSubstrates!C2:C999, MATCH(C320,ConformanceSubstrates!A2:A999, 0)), "")</f>
        <v>OWL / SHACL</v>
      </c>
      <c r="M320" s="2" t="s">
        <v>1902</v>
      </c>
    </row>
    <row r="321">
      <c r="A321" s="2" t="s">
        <v>14911</v>
      </c>
      <c r="B321" s="3" t="str">
        <f>_xlfn.CONCAT(C321, " / ", D321)</f>
        <v>effortless-owl / OperationalBindings.IsStaleAndAuthoritative</v>
      </c>
      <c r="C321" s="2" t="s">
        <v>13993</v>
      </c>
      <c r="D321" s="2" t="s">
        <v>3983</v>
      </c>
      <c r="E321" s="2" t="s">
        <v>14386</v>
      </c>
      <c r="F321" s="2" t="s">
        <v>2389</v>
      </c>
      <c r="G321" s="2">
        <v>3</v>
      </c>
      <c r="H321" s="2" t="s">
        <v>14591</v>
      </c>
      <c r="I321" s="3">
        <f>COUNTIFS(CellDisagreements!C2:C999, A321)</f>
        <v>0</v>
      </c>
      <c r="J321" s="3" t="b">
        <f>I321 = G321</f>
        <v>0</v>
      </c>
      <c r="K321" s="3" t="str">
        <f>_xlfn.IFNA(INDEX(RulebookFields!G2:G999, MATCH(D321,RulebookFields!A2:A999, 0)), "")</f>
        <v>=AND({{IsAuthoritative}}, NOT({{IsFresh}}))</v>
      </c>
      <c r="L321" s="3" t="str">
        <f>_xlfn.IFNA(INDEX(ConformanceSubstrates!C2:C999, MATCH(C321,ConformanceSubstrates!A2:A999, 0)), "")</f>
        <v>OWL / SHACL</v>
      </c>
      <c r="M321" s="2" t="s">
        <v>1902</v>
      </c>
    </row>
    <row r="322">
      <c r="A322" s="2" t="s">
        <v>14912</v>
      </c>
      <c r="B322" s="3" t="str">
        <f>_xlfn.CONCAT(C322, " / ", D322)</f>
        <v>effortless-owl / OperationalBindings.StepWhenStale</v>
      </c>
      <c r="C322" s="2" t="s">
        <v>13993</v>
      </c>
      <c r="D322" s="2" t="s">
        <v>3985</v>
      </c>
      <c r="E322" s="2" t="s">
        <v>14386</v>
      </c>
      <c r="F322" s="2" t="s">
        <v>2389</v>
      </c>
      <c r="G322" s="2">
        <v>3</v>
      </c>
      <c r="H322" s="2" t="s">
        <v>14591</v>
      </c>
      <c r="I322" s="3">
        <f>COUNTIFS(CellDisagreements!C2:C999, A322)</f>
        <v>0</v>
      </c>
      <c r="J322" s="3" t="b">
        <f>I322 = G322</f>
        <v>0</v>
      </c>
      <c r="K322" s="3" t="str">
        <f>_xlfn.IFNA(INDEX(RulebookFields!G2:G999, MATCH(D322,RulebookFields!A2:A999, 0)), "")</f>
        <v>=IF({{IsStaleAndAuthoritative}}, {{Step}}, "")</v>
      </c>
      <c r="L322" s="3" t="str">
        <f>_xlfn.IFNA(INDEX(ConformanceSubstrates!C2:C999, MATCH(C322,ConformanceSubstrates!A2:A999, 0)), "")</f>
        <v>OWL / SHACL</v>
      </c>
      <c r="M322" s="2" t="s">
        <v>1902</v>
      </c>
    </row>
    <row r="323">
      <c r="A323" s="2" t="s">
        <v>14913</v>
      </c>
      <c r="B323" s="3" t="str">
        <f>_xlfn.CONCAT(C323, " / ", D323)</f>
        <v>effortless-owl / OperationalBindings.IsFresh</v>
      </c>
      <c r="C323" s="2" t="s">
        <v>13993</v>
      </c>
      <c r="D323" s="2" t="s">
        <v>3977</v>
      </c>
      <c r="E323" s="2" t="s">
        <v>14386</v>
      </c>
      <c r="F323" s="2" t="s">
        <v>2389</v>
      </c>
      <c r="G323" s="2">
        <v>2</v>
      </c>
      <c r="H323" s="2" t="s">
        <v>14591</v>
      </c>
      <c r="I323" s="3">
        <f>COUNTIFS(CellDisagreements!C2:C999, A323)</f>
        <v>0</v>
      </c>
      <c r="J323" s="3" t="b">
        <f>I323 = G323</f>
        <v>0</v>
      </c>
      <c r="K323" s="3" t="str">
        <f>_xlfn.IFNA(INDEX(RulebookFields!G2:G999, MATCH(D323,RulebookFields!A2:A999, 0)), "")</f>
        <v>={{AgeMinutes}} &lt;= {{FreshnessSlaMinutes}}</v>
      </c>
      <c r="L323" s="3" t="str">
        <f>_xlfn.IFNA(INDEX(ConformanceSubstrates!C2:C999, MATCH(C323,ConformanceSubstrates!A2:A999, 0)), "")</f>
        <v>OWL / SHACL</v>
      </c>
      <c r="M323" s="2" t="s">
        <v>1902</v>
      </c>
    </row>
    <row r="324">
      <c r="A324" s="2" t="s">
        <v>14914</v>
      </c>
      <c r="B324" s="3" t="str">
        <f>_xlfn.CONCAT(C324, " / ", D324)</f>
        <v>effortless-owl / MessageDeliveries.AgeDays</v>
      </c>
      <c r="C324" s="2" t="s">
        <v>13993</v>
      </c>
      <c r="D324" s="2" t="s">
        <v>4472</v>
      </c>
      <c r="E324" s="2" t="s">
        <v>14399</v>
      </c>
      <c r="F324" s="2" t="s">
        <v>2389</v>
      </c>
      <c r="G324" s="2">
        <v>6</v>
      </c>
      <c r="H324" s="2" t="s">
        <v>14591</v>
      </c>
      <c r="I324" s="3">
        <f>COUNTIFS(CellDisagreements!C2:C999, A324)</f>
        <v>0</v>
      </c>
      <c r="J324" s="3" t="b">
        <f>I324 = G324</f>
        <v>0</v>
      </c>
      <c r="K324" s="3" t="str">
        <f>_xlfn.IFNA(INDEX(RulebookFields!G2:G999, MATCH(D324,RulebookFields!A2:A999, 0)), "")</f>
      </c>
      <c r="L324" s="3" t="str">
        <f>_xlfn.IFNA(INDEX(ConformanceSubstrates!C2:C999, MATCH(C324,ConformanceSubstrates!A2:A999, 0)), "")</f>
        <v>OWL / SHACL</v>
      </c>
      <c r="M324" s="2" t="s">
        <v>1902</v>
      </c>
    </row>
    <row r="325">
      <c r="A325" s="2" t="s">
        <v>14915</v>
      </c>
      <c r="B325" s="3" t="str">
        <f>_xlfn.CONCAT(C325, " / ", D325)</f>
        <v>effortless-owl / MessageDeliveries.OutstandingAgeDays</v>
      </c>
      <c r="C325" s="2" t="s">
        <v>13993</v>
      </c>
      <c r="D325" s="2" t="s">
        <v>4618</v>
      </c>
      <c r="E325" s="2" t="s">
        <v>14399</v>
      </c>
      <c r="F325" s="2" t="s">
        <v>2389</v>
      </c>
      <c r="G325" s="2">
        <v>3</v>
      </c>
      <c r="H325" s="2" t="s">
        <v>14591</v>
      </c>
      <c r="I325" s="3">
        <f>COUNTIFS(CellDisagreements!C2:C999, A325)</f>
        <v>0</v>
      </c>
      <c r="J325" s="3" t="b">
        <f>I325 = G325</f>
        <v>0</v>
      </c>
      <c r="K325" s="3" t="str">
        <f>_xlfn.IFNA(INDEX(RulebookFields!G2:G999, MATCH(D325,RulebookFields!A2:A999, 0)), "")</f>
      </c>
      <c r="L325" s="3" t="str">
        <f>_xlfn.IFNA(INDEX(ConformanceSubstrates!C2:C999, MATCH(C325,ConformanceSubstrates!A2:A999, 0)), "")</f>
        <v>OWL / SHACL</v>
      </c>
      <c r="M325" s="2" t="s">
        <v>1902</v>
      </c>
    </row>
    <row r="326">
      <c r="A326" s="2" t="s">
        <v>14916</v>
      </c>
      <c r="B326" s="3" t="str">
        <f>_xlfn.CONCAT(C326, " / ", D326)</f>
        <v>effortless-owl / MessageDeliveries.HasOptOutPhrase</v>
      </c>
      <c r="C326" s="2" t="s">
        <v>13993</v>
      </c>
      <c r="D326" s="2" t="s">
        <v>4527</v>
      </c>
      <c r="E326" s="2" t="s">
        <v>14399</v>
      </c>
      <c r="F326" s="2" t="s">
        <v>2389</v>
      </c>
      <c r="G326" s="2">
        <v>3</v>
      </c>
      <c r="H326" s="2" t="s">
        <v>14591</v>
      </c>
      <c r="I326" s="3">
        <f>COUNTIFS(CellDisagreements!C2:C999, A326)</f>
        <v>0</v>
      </c>
      <c r="J326" s="3" t="b">
        <f>I326 = G326</f>
        <v>0</v>
      </c>
      <c r="K326" s="3" t="str">
        <f>_xlfn.IFNA(INDEX(RulebookFields!G2:G999, MATCH(D326,RulebookFields!A2:A999, 0)), "")</f>
      </c>
      <c r="L326" s="3" t="str">
        <f>_xlfn.IFNA(INDEX(ConformanceSubstrates!C2:C999, MATCH(C326,ConformanceSubstrates!A2:A999, 0)), "")</f>
        <v>OWL / SHACL</v>
      </c>
      <c r="M326" s="2" t="s">
        <v>1902</v>
      </c>
    </row>
    <row r="327">
      <c r="A327" s="2" t="s">
        <v>14917</v>
      </c>
      <c r="B327" s="3" t="str">
        <f>_xlfn.CONCAT(C327, " / ", D327)</f>
        <v>effortless-owl / MessageDeliveries.IsOptOutInFirstSegment</v>
      </c>
      <c r="C327" s="2" t="s">
        <v>13993</v>
      </c>
      <c r="D327" s="2" t="s">
        <v>4530</v>
      </c>
      <c r="E327" s="2" t="s">
        <v>14399</v>
      </c>
      <c r="F327" s="2" t="s">
        <v>2389</v>
      </c>
      <c r="G327" s="2">
        <v>3</v>
      </c>
      <c r="H327" s="2" t="s">
        <v>14591</v>
      </c>
      <c r="I327" s="3">
        <f>COUNTIFS(CellDisagreements!C2:C999, A327)</f>
        <v>0</v>
      </c>
      <c r="J327" s="3" t="b">
        <f>I327 = G327</f>
        <v>0</v>
      </c>
      <c r="K327" s="3" t="str">
        <f>_xlfn.IFNA(INDEX(RulebookFields!G2:G999, MATCH(D327,RulebookFields!A2:A999, 0)), "")</f>
      </c>
      <c r="L327" s="3" t="str">
        <f>_xlfn.IFNA(INDEX(ConformanceSubstrates!C2:C999, MATCH(C327,ConformanceSubstrates!A2:A999, 0)), "")</f>
        <v>OWL / SHACL</v>
      </c>
      <c r="M327" s="2" t="s">
        <v>1902</v>
      </c>
    </row>
    <row r="328">
      <c r="A328" s="2" t="s">
        <v>14918</v>
      </c>
      <c r="B328" s="3" t="str">
        <f>_xlfn.CONCAT(C328, " / ", D328)</f>
        <v>effortless-owl / MessageDeliveries.IsMissingRequiredOptOut</v>
      </c>
      <c r="C328" s="2" t="s">
        <v>13993</v>
      </c>
      <c r="D328" s="2" t="s">
        <v>4533</v>
      </c>
      <c r="E328" s="2" t="s">
        <v>14399</v>
      </c>
      <c r="F328" s="2" t="s">
        <v>2389</v>
      </c>
      <c r="G328" s="2">
        <v>1</v>
      </c>
      <c r="H328" s="2" t="s">
        <v>14591</v>
      </c>
      <c r="I328" s="3">
        <f>COUNTIFS(CellDisagreements!C2:C999, A328)</f>
        <v>0</v>
      </c>
      <c r="J328" s="3" t="b">
        <f>I328 = G328</f>
        <v>0</v>
      </c>
      <c r="K328" s="3" t="str">
        <f>_xlfn.IFNA(INDEX(RulebookFields!G2:G999, MATCH(D328,RulebookFields!A2:A999, 0)), "")</f>
      </c>
      <c r="L328" s="3" t="str">
        <f>_xlfn.IFNA(INDEX(ConformanceSubstrates!C2:C999, MATCH(C328,ConformanceSubstrates!A2:A999, 0)), "")</f>
        <v>OWL / SHACL</v>
      </c>
      <c r="M328" s="2" t="s">
        <v>1902</v>
      </c>
    </row>
    <row r="329">
      <c r="A329" s="2" t="s">
        <v>14919</v>
      </c>
      <c r="B329" s="3" t="str">
        <f>_xlfn.CONCAT(C329, " / ", D329)</f>
        <v>effortless-owl / SendIntents.DeferralAgeHours</v>
      </c>
      <c r="C329" s="2" t="s">
        <v>13993</v>
      </c>
      <c r="D329" s="2" t="s">
        <v>4889</v>
      </c>
      <c r="E329" s="2" t="s">
        <v>14401</v>
      </c>
      <c r="F329" s="2" t="s">
        <v>2389</v>
      </c>
      <c r="G329" s="2">
        <v>7</v>
      </c>
      <c r="H329" s="2" t="s">
        <v>14591</v>
      </c>
      <c r="I329" s="3">
        <f>COUNTIFS(CellDisagreements!C2:C999, A329)</f>
        <v>0</v>
      </c>
      <c r="J329" s="3" t="b">
        <f>I329 = G329</f>
        <v>0</v>
      </c>
      <c r="K329" s="3" t="str">
        <f>_xlfn.IFNA(INDEX(RulebookFields!G2:G999, MATCH(D329,RulebookFields!A2:A999, 0)), "")</f>
      </c>
      <c r="L329" s="3" t="str">
        <f>_xlfn.IFNA(INDEX(ConformanceSubstrates!C2:C999, MATCH(C329,ConformanceSubstrates!A2:A999, 0)), "")</f>
        <v>OWL / SHACL</v>
      </c>
      <c r="M329" s="2" t="s">
        <v>1902</v>
      </c>
    </row>
    <row r="330">
      <c r="A330" s="2" t="s">
        <v>14920</v>
      </c>
      <c r="B330" s="3" t="str">
        <f>_xlfn.CONCAT(C330, " / ", D330)</f>
        <v>effortless-owl / SendIntents.IsSelfWitnessedDecision</v>
      </c>
      <c r="C330" s="2" t="s">
        <v>13993</v>
      </c>
      <c r="D330" s="2" t="s">
        <v>4917</v>
      </c>
      <c r="E330" s="2" t="s">
        <v>14401</v>
      </c>
      <c r="F330" s="2" t="s">
        <v>2389</v>
      </c>
      <c r="G330" s="2">
        <v>7</v>
      </c>
      <c r="H330" s="2" t="s">
        <v>14591</v>
      </c>
      <c r="I330" s="3">
        <f>COUNTIFS(CellDisagreements!C2:C999, A330)</f>
        <v>0</v>
      </c>
      <c r="J330" s="3" t="b">
        <f>I330 = G330</f>
        <v>0</v>
      </c>
      <c r="K330" s="3" t="str">
        <f>_xlfn.IFNA(INDEX(RulebookFields!G2:G999, MATCH(D330,RulebookFields!A2:A999, 0)), "")</f>
      </c>
      <c r="L330" s="3" t="str">
        <f>_xlfn.IFNA(INDEX(ConformanceSubstrates!C2:C999, MATCH(C330,ConformanceSubstrates!A2:A999, 0)), "")</f>
        <v>OWL / SHACL</v>
      </c>
      <c r="M330" s="2" t="s">
        <v>1902</v>
      </c>
    </row>
    <row r="331">
      <c r="A331" s="2" t="s">
        <v>14921</v>
      </c>
      <c r="B331" s="3" t="str">
        <f>_xlfn.CONCAT(C331, " / ", D331)</f>
        <v>effortless-owl / SendIntents.IsUnreportedRefusalOnMyRules</v>
      </c>
      <c r="C331" s="2" t="s">
        <v>13993</v>
      </c>
      <c r="D331" s="2" t="s">
        <v>4822</v>
      </c>
      <c r="E331" s="2" t="s">
        <v>14401</v>
      </c>
      <c r="F331" s="2" t="s">
        <v>2389</v>
      </c>
      <c r="G331" s="2">
        <v>3</v>
      </c>
      <c r="H331" s="2" t="s">
        <v>14591</v>
      </c>
      <c r="I331" s="3">
        <f>COUNTIFS(CellDisagreements!C2:C999, A331)</f>
        <v>0</v>
      </c>
      <c r="J331" s="3" t="b">
        <f>I331 = G331</f>
        <v>0</v>
      </c>
      <c r="K331" s="3" t="str">
        <f>_xlfn.IFNA(INDEX(RulebookFields!G2:G999, MATCH(D331,RulebookFields!A2:A999, 0)), "")</f>
      </c>
      <c r="L331" s="3" t="str">
        <f>_xlfn.IFNA(INDEX(ConformanceSubstrates!C2:C999, MATCH(C331,ConformanceSubstrates!A2:A999, 0)), "")</f>
        <v>OWL / SHACL</v>
      </c>
      <c r="M331" s="2" t="s">
        <v>1902</v>
      </c>
    </row>
    <row r="332">
      <c r="A332" s="2" t="s">
        <v>14922</v>
      </c>
      <c r="B332" s="3" t="str">
        <f>_xlfn.CONCAT(C332, " / ", D332)</f>
        <v>effortless-owl / SendIntents.WindowHasSinceReopened</v>
      </c>
      <c r="C332" s="2" t="s">
        <v>13993</v>
      </c>
      <c r="D332" s="2" t="s">
        <v>4877</v>
      </c>
      <c r="E332" s="2" t="s">
        <v>14401</v>
      </c>
      <c r="F332" s="2" t="s">
        <v>2389</v>
      </c>
      <c r="G332" s="2">
        <v>1</v>
      </c>
      <c r="H332" s="2" t="s">
        <v>14591</v>
      </c>
      <c r="I332" s="3">
        <f>COUNTIFS(CellDisagreements!C2:C999, A332)</f>
        <v>0</v>
      </c>
      <c r="J332" s="3" t="b">
        <f>I332 = G332</f>
        <v>0</v>
      </c>
      <c r="K332" s="3" t="str">
        <f>_xlfn.IFNA(INDEX(RulebookFields!G2:G999, MATCH(D332,RulebookFields!A2:A999, 0)), "")</f>
      </c>
      <c r="L332" s="3" t="str">
        <f>_xlfn.IFNA(INDEX(ConformanceSubstrates!C2:C999, MATCH(C332,ConformanceSubstrates!A2:A999, 0)), "")</f>
        <v>OWL / SHACL</v>
      </c>
      <c r="M332" s="2" t="s">
        <v>1902</v>
      </c>
    </row>
    <row r="333">
      <c r="A333" s="2" t="s">
        <v>14923</v>
      </c>
      <c r="B333" s="3" t="str">
        <f>_xlfn.CONCAT(C333, " / ", D333)</f>
        <v>effortless-owl / SendIntents.IsAbandonedDeferral</v>
      </c>
      <c r="C333" s="2" t="s">
        <v>13993</v>
      </c>
      <c r="D333" s="2" t="s">
        <v>4886</v>
      </c>
      <c r="E333" s="2" t="s">
        <v>14401</v>
      </c>
      <c r="F333" s="2" t="s">
        <v>2389</v>
      </c>
      <c r="G333" s="2">
        <v>1</v>
      </c>
      <c r="H333" s="2" t="s">
        <v>14591</v>
      </c>
      <c r="I333" s="3">
        <f>COUNTIFS(CellDisagreements!C2:C999, A333)</f>
        <v>0</v>
      </c>
      <c r="J333" s="3" t="b">
        <f>I333 = G333</f>
        <v>0</v>
      </c>
      <c r="K333" s="3" t="str">
        <f>_xlfn.IFNA(INDEX(RulebookFields!G2:G999, MATCH(D333,RulebookFields!A2:A999, 0)), "")</f>
      </c>
      <c r="L333" s="3" t="str">
        <f>_xlfn.IFNA(INDEX(ConformanceSubstrates!C2:C999, MATCH(C333,ConformanceSubstrates!A2:A999, 0)), "")</f>
        <v>OWL / SHACL</v>
      </c>
      <c r="M333" s="2" t="s">
        <v>1902</v>
      </c>
    </row>
    <row r="334">
      <c r="A334" s="2" t="s">
        <v>14924</v>
      </c>
      <c r="B334" s="3" t="str">
        <f>_xlfn.CONCAT(C334, " / ", D334)</f>
        <v>effortless-owl / SendIntents.IsApprovalOverriddenSilently</v>
      </c>
      <c r="C334" s="2" t="s">
        <v>13993</v>
      </c>
      <c r="D334" s="2" t="s">
        <v>4825</v>
      </c>
      <c r="E334" s="2" t="s">
        <v>14401</v>
      </c>
      <c r="F334" s="2" t="s">
        <v>2389</v>
      </c>
      <c r="G334" s="2">
        <v>2</v>
      </c>
      <c r="H334" s="2" t="s">
        <v>14591</v>
      </c>
      <c r="I334" s="3">
        <f>COUNTIFS(CellDisagreements!C2:C999, A334)</f>
        <v>0</v>
      </c>
      <c r="J334" s="3" t="b">
        <f>I334 = G334</f>
        <v>0</v>
      </c>
      <c r="K334" s="3" t="str">
        <f>_xlfn.IFNA(INDEX(RulebookFields!G2:G999, MATCH(D334,RulebookFields!A2:A999, 0)), "")</f>
      </c>
      <c r="L334" s="3" t="str">
        <f>_xlfn.IFNA(INDEX(ConformanceSubstrates!C2:C999, MATCH(C334,ConformanceSubstrates!A2:A999, 0)), "")</f>
        <v>OWL / SHACL</v>
      </c>
      <c r="M334" s="2" t="s">
        <v>1902</v>
      </c>
    </row>
    <row r="335">
      <c r="A335" s="2" t="s">
        <v>14925</v>
      </c>
      <c r="B335" s="3" t="str">
        <f>_xlfn.CONCAT(C335, " / ", D335)</f>
        <v>effortless-owl / AgentDecisionRecords.ReviewLatencyMinutes</v>
      </c>
      <c r="C335" s="2" t="s">
        <v>13993</v>
      </c>
      <c r="D335" s="2" t="s">
        <v>4995</v>
      </c>
      <c r="E335" s="2" t="s">
        <v>14402</v>
      </c>
      <c r="F335" s="2" t="s">
        <v>2389</v>
      </c>
      <c r="G335" s="2">
        <v>3</v>
      </c>
      <c r="H335" s="2" t="s">
        <v>14591</v>
      </c>
      <c r="I335" s="3">
        <f>COUNTIFS(CellDisagreements!C2:C999, A335)</f>
        <v>0</v>
      </c>
      <c r="J335" s="3" t="b">
        <f>I335 = G335</f>
        <v>0</v>
      </c>
      <c r="K335" s="3" t="str">
        <f>_xlfn.IFNA(INDEX(RulebookFields!G2:G999, MATCH(D335,RulebookFields!A2:A999, 0)), "")</f>
      </c>
      <c r="L335" s="3" t="str">
        <f>_xlfn.IFNA(INDEX(ConformanceSubstrates!C2:C999, MATCH(C335,ConformanceSubstrates!A2:A999, 0)), "")</f>
        <v>OWL / SHACL</v>
      </c>
      <c r="M335" s="2" t="s">
        <v>1902</v>
      </c>
    </row>
    <row r="336">
      <c r="A336" s="2" t="s">
        <v>14926</v>
      </c>
      <c r="B336" s="3" t="str">
        <f>_xlfn.CONCAT(C336, " / ", D336)</f>
        <v>effortless-owl / DeliveredCommunications.Name</v>
      </c>
      <c r="C336" s="2" t="s">
        <v>13993</v>
      </c>
      <c r="D336" s="2" t="s">
        <v>5031</v>
      </c>
      <c r="E336" s="2" t="s">
        <v>14403</v>
      </c>
      <c r="F336" s="2" t="s">
        <v>2389</v>
      </c>
      <c r="G336" s="2">
        <v>1</v>
      </c>
      <c r="H336" s="2" t="s">
        <v>14591</v>
      </c>
      <c r="I336" s="3">
        <f>COUNTIFS(CellDisagreements!C2:C999, A336)</f>
        <v>0</v>
      </c>
      <c r="J336" s="3" t="b">
        <f>I336 = G336</f>
        <v>0</v>
      </c>
      <c r="K336" s="3" t="str">
        <f>_xlfn.IFNA(INDEX(RulebookFields!G2:G999, MATCH(D336,RulebookFields!A2:A999, 0)), "")</f>
      </c>
      <c r="L336" s="3" t="str">
        <f>_xlfn.IFNA(INDEX(ConformanceSubstrates!C2:C999, MATCH(C336,ConformanceSubstrates!A2:A999, 0)), "")</f>
        <v>OWL / SHACL</v>
      </c>
      <c r="M336" s="2" t="s">
        <v>1902</v>
      </c>
    </row>
    <row r="337">
      <c r="A337" s="2" t="s">
        <v>14927</v>
      </c>
      <c r="B337" s="3" t="str">
        <f>_xlfn.CONCAT(C337, " / ", D337)</f>
        <v>effortless-owl / DeliveredCommunications.ContentMatchesApproval</v>
      </c>
      <c r="C337" s="2" t="s">
        <v>13993</v>
      </c>
      <c r="D337" s="2" t="s">
        <v>5052</v>
      </c>
      <c r="E337" s="2" t="s">
        <v>14403</v>
      </c>
      <c r="F337" s="2" t="s">
        <v>2389</v>
      </c>
      <c r="G337" s="2">
        <v>1</v>
      </c>
      <c r="H337" s="2" t="s">
        <v>14591</v>
      </c>
      <c r="I337" s="3">
        <f>COUNTIFS(CellDisagreements!C2:C999, A337)</f>
        <v>0</v>
      </c>
      <c r="J337" s="3" t="b">
        <f>I337 = G337</f>
        <v>0</v>
      </c>
      <c r="K337" s="3" t="str">
        <f>_xlfn.IFNA(INDEX(RulebookFields!G2:G999, MATCH(D337,RulebookFields!A2:A999, 0)), "")</f>
      </c>
      <c r="L337" s="3" t="str">
        <f>_xlfn.IFNA(INDEX(ConformanceSubstrates!C2:C999, MATCH(C337,ConformanceSubstrates!A2:A999, 0)), "")</f>
        <v>OWL / SHACL</v>
      </c>
      <c r="M337" s="2" t="s">
        <v>1902</v>
      </c>
    </row>
    <row r="338">
      <c r="A338" s="2" t="s">
        <v>14928</v>
      </c>
      <c r="B338" s="3" t="str">
        <f>_xlfn.CONCAT(C338, " / ", D338)</f>
        <v>effortless-owl / AppRoleProfiles.RouteCount</v>
      </c>
      <c r="C338" s="2" t="s">
        <v>13993</v>
      </c>
      <c r="D338" s="2" t="s">
        <v>5216</v>
      </c>
      <c r="E338" s="2" t="s">
        <v>14405</v>
      </c>
      <c r="F338" s="2" t="s">
        <v>2438</v>
      </c>
      <c r="G338" s="2">
        <v>12</v>
      </c>
      <c r="H338" s="2" t="s">
        <v>14591</v>
      </c>
      <c r="I338" s="3">
        <f>COUNTIFS(CellDisagreements!C2:C999, A338)</f>
        <v>0</v>
      </c>
      <c r="J338" s="3" t="b">
        <f>I338 = G338</f>
        <v>0</v>
      </c>
      <c r="K338" s="3" t="str">
        <f>_xlfn.IFNA(INDEX(RulebookFields!G2:G999, MATCH(D338,RulebookFields!A2:A999, 0)), "")</f>
      </c>
      <c r="L338" s="3" t="str">
        <f>_xlfn.IFNA(INDEX(ConformanceSubstrates!C2:C999, MATCH(C338,ConformanceSubstrates!A2:A999, 0)), "")</f>
        <v>OWL / SHACL</v>
      </c>
      <c r="M338" s="2" t="s">
        <v>1902</v>
      </c>
    </row>
    <row r="339">
      <c r="A339" s="2" t="s">
        <v>14929</v>
      </c>
      <c r="B339" s="3" t="str">
        <f>_xlfn.CONCAT(C339, " / ", D339)</f>
        <v>effortless-owl / AccessDenialTests.Name</v>
      </c>
      <c r="C339" s="2" t="s">
        <v>13993</v>
      </c>
      <c r="D339" s="2" t="s">
        <v>5484</v>
      </c>
      <c r="E339" s="2" t="s">
        <v>14417</v>
      </c>
      <c r="F339" s="2" t="s">
        <v>2389</v>
      </c>
      <c r="G339" s="2">
        <v>8</v>
      </c>
      <c r="H339" s="2" t="s">
        <v>14591</v>
      </c>
      <c r="I339" s="3">
        <f>COUNTIFS(CellDisagreements!C2:C999, A339)</f>
        <v>0</v>
      </c>
      <c r="J339" s="3" t="b">
        <f>I339 = G339</f>
        <v>0</v>
      </c>
      <c r="K339" s="3" t="str">
        <f>_xlfn.IFNA(INDEX(RulebookFields!G2:G999, MATCH(D339,RulebookFields!A2:A999, 0)), "")</f>
      </c>
      <c r="L339" s="3" t="str">
        <f>_xlfn.IFNA(INDEX(ConformanceSubstrates!C2:C999, MATCH(C339,ConformanceSubstrates!A2:A999, 0)), "")</f>
        <v>OWL / SHACL</v>
      </c>
      <c r="M339" s="2" t="s">
        <v>1902</v>
      </c>
    </row>
    <row r="340">
      <c r="A340" s="2" t="s">
        <v>14930</v>
      </c>
      <c r="B340" s="3" t="str">
        <f>_xlfn.CONCAT(C340, " / ", D340)</f>
        <v>effortless-python / EvaluationContexts.Name</v>
      </c>
      <c r="C340" s="2" t="s">
        <v>13963</v>
      </c>
      <c r="D340" s="2" t="s">
        <v>2414</v>
      </c>
      <c r="E340" s="2" t="s">
        <v>14426</v>
      </c>
      <c r="F340" s="2" t="s">
        <v>2389</v>
      </c>
      <c r="G340" s="2">
        <v>1</v>
      </c>
      <c r="H340" s="2" t="s">
        <v>14591</v>
      </c>
      <c r="I340" s="3">
        <f>COUNTIFS(CellDisagreements!C2:C999, A340)</f>
        <v>0</v>
      </c>
      <c r="J340" s="3" t="b">
        <f>I340 = G340</f>
        <v>0</v>
      </c>
      <c r="K340" s="3" t="str">
        <f>_xlfn.IFNA(INDEX(RulebookFields!G2:G999, MATCH(D340,RulebookFields!A2:A999, 0)), "")</f>
        <v>={{Label}} &amp; " @ " &amp; {{AsOfInstant}}</v>
      </c>
      <c r="L340" s="3" t="str">
        <f>_xlfn.IFNA(INDEX(ConformanceSubstrates!C2:C999, MATCH(C340,ConformanceSubstrates!A2:A999, 0)), "")</f>
        <v>Python</v>
      </c>
      <c r="M340" s="2" t="s">
        <v>1902</v>
      </c>
    </row>
    <row r="341">
      <c r="A341" s="2" t="s">
        <v>14931</v>
      </c>
      <c r="B341" s="3" t="str">
        <f>_xlfn.CONCAT(C341, " / ", D341)</f>
        <v>effortless-python / RoleAssignments.Name</v>
      </c>
      <c r="C341" s="2" t="s">
        <v>13963</v>
      </c>
      <c r="D341" s="2" t="s">
        <v>2514</v>
      </c>
      <c r="E341" s="2" t="s">
        <v>14430</v>
      </c>
      <c r="F341" s="2" t="s">
        <v>2389</v>
      </c>
      <c r="G341" s="2">
        <v>13</v>
      </c>
      <c r="H341" s="2" t="s">
        <v>14591</v>
      </c>
      <c r="I341" s="3">
        <f>COUNTIFS(CellDisagreements!C2:C999, A341)</f>
        <v>0</v>
      </c>
      <c r="J341" s="3" t="b">
        <f>I341 = G341</f>
        <v>0</v>
      </c>
      <c r="K341" s="3" t="str">
        <f>_xlfn.IFNA(INDEX(RulebookFields!G2:G999, MATCH(D341,RulebookFields!A2:A999, 0)), "")</f>
        <v>={{Role}} &amp; " @ " &amp; {{ValidFrom}}</v>
      </c>
      <c r="L341" s="3" t="str">
        <f>_xlfn.IFNA(INDEX(ConformanceSubstrates!C2:C999, MATCH(C341,ConformanceSubstrates!A2:A999, 0)), "")</f>
        <v>Python</v>
      </c>
      <c r="M341" s="2" t="s">
        <v>1902</v>
      </c>
    </row>
    <row r="342">
      <c r="A342" s="2" t="s">
        <v>14932</v>
      </c>
      <c r="B342" s="3" t="str">
        <f>_xlfn.CONCAT(C342, " / ", D342)</f>
        <v>effortless-python / RoleAssignments.QualityVerdictIsUnsupported</v>
      </c>
      <c r="C342" s="2" t="s">
        <v>13963</v>
      </c>
      <c r="D342" s="2" t="s">
        <v>2575</v>
      </c>
      <c r="E342" s="2" t="s">
        <v>14430</v>
      </c>
      <c r="F342" s="2" t="s">
        <v>2389</v>
      </c>
      <c r="G342" s="2">
        <v>13</v>
      </c>
      <c r="H342" s="2" t="s">
        <v>14591</v>
      </c>
      <c r="I342" s="3">
        <f>COUNTIFS(CellDisagreements!C2:C999, A342)</f>
        <v>0</v>
      </c>
      <c r="J342" s="3" t="b">
        <f>I342 = G342</f>
        <v>0</v>
      </c>
      <c r="K342" s="3" t="str">
        <f>_xlfn.IFNA(INDEX(RulebookFields!G2:G999, MATCH(D342,RulebookFields!A2:A999, 0)), "")</f>
        <v>=AND(NOT({{ComparisonIsEvidentiallySound}}), NOT({{QualityRegressedVsPredecessor}}))</v>
      </c>
      <c r="L342" s="3" t="str">
        <f>_xlfn.IFNA(INDEX(ConformanceSubstrates!C2:C999, MATCH(C342,ConformanceSubstrates!A2:A999, 0)), "")</f>
        <v>Python</v>
      </c>
      <c r="M342" s="2" t="s">
        <v>1902</v>
      </c>
    </row>
    <row r="343">
      <c r="A343" s="2" t="s">
        <v>14933</v>
      </c>
      <c r="B343" s="3" t="str">
        <f>_xlfn.CONCAT(C343, " / ", D343)</f>
        <v>effortless-python / RoleAssignments.IsUnmeasuredAutomationHandover</v>
      </c>
      <c r="C343" s="2" t="s">
        <v>13963</v>
      </c>
      <c r="D343" s="2" t="s">
        <v>2577</v>
      </c>
      <c r="E343" s="2" t="s">
        <v>14430</v>
      </c>
      <c r="F343" s="2" t="s">
        <v>2389</v>
      </c>
      <c r="G343" s="2">
        <v>1</v>
      </c>
      <c r="H343" s="2" t="s">
        <v>14591</v>
      </c>
      <c r="I343" s="3">
        <f>COUNTIFS(CellDisagreements!C2:C999, A343)</f>
        <v>0</v>
      </c>
      <c r="J343" s="3" t="b">
        <f>I343 = G343</f>
        <v>0</v>
      </c>
      <c r="K343" s="3" t="str">
        <f>_xlfn.IFNA(INDEX(RulebookFields!G2:G999, MATCH(D343,RulebookFields!A2:A999, 0)), "")</f>
        <v>=AND({{IsHumanToNonHumanHandover}}, NOT({{ComparisonIsEvidentiallySound}}))</v>
      </c>
      <c r="L343" s="3" t="str">
        <f>_xlfn.IFNA(INDEX(ConformanceSubstrates!C2:C999, MATCH(C343,ConformanceSubstrates!A2:A999, 0)), "")</f>
        <v>Python</v>
      </c>
      <c r="M343" s="2" t="s">
        <v>1902</v>
      </c>
    </row>
    <row r="344">
      <c r="A344" s="2" t="s">
        <v>14934</v>
      </c>
      <c r="B344" s="3" t="str">
        <f>_xlfn.CONCAT(C344, " / ", D344)</f>
        <v>effortless-python / ProcedureVersions.DaysSinceModified</v>
      </c>
      <c r="C344" s="2" t="s">
        <v>13963</v>
      </c>
      <c r="D344" s="2" t="s">
        <v>2724</v>
      </c>
      <c r="E344" s="2" t="s">
        <v>14435</v>
      </c>
      <c r="F344" s="2" t="s">
        <v>2389</v>
      </c>
      <c r="G344" s="2">
        <v>3</v>
      </c>
      <c r="H344" s="2" t="s">
        <v>14591</v>
      </c>
      <c r="I344" s="3">
        <f>COUNTIFS(CellDisagreements!C2:C999, A344)</f>
        <v>0</v>
      </c>
      <c r="J344" s="3" t="b">
        <f>I344 = G344</f>
        <v>0</v>
      </c>
      <c r="K344" s="3" t="str">
        <f>_xlfn.IFNA(INDEX(RulebookFields!G2:G999, MATCH(D344,RulebookFields!A2:A999, 0)), "")</f>
        <v>=DATETIME_DIFF({{AsOfInstant}}, {{ModifiedAt}}, "days")</v>
      </c>
      <c r="L344" s="3" t="str">
        <f>_xlfn.IFNA(INDEX(ConformanceSubstrates!C2:C999, MATCH(C344,ConformanceSubstrates!A2:A999, 0)), "")</f>
        <v>Python</v>
      </c>
      <c r="M344" s="2" t="s">
        <v>1902</v>
      </c>
    </row>
    <row r="345">
      <c r="A345" s="2" t="s">
        <v>14935</v>
      </c>
      <c r="B345" s="3" t="str">
        <f>_xlfn.CONCAT(C345, " / ", D345)</f>
        <v>effortless-python / ProcedureVersions.WasModifiedSinceLastReview</v>
      </c>
      <c r="C345" s="2" t="s">
        <v>13963</v>
      </c>
      <c r="D345" s="2" t="s">
        <v>2728</v>
      </c>
      <c r="E345" s="2" t="s">
        <v>14435</v>
      </c>
      <c r="F345" s="2" t="s">
        <v>2389</v>
      </c>
      <c r="G345" s="2">
        <v>2</v>
      </c>
      <c r="H345" s="2" t="s">
        <v>14591</v>
      </c>
      <c r="I345" s="3">
        <f>COUNTIFS(CellDisagreements!C2:C999, A345)</f>
        <v>0</v>
      </c>
      <c r="J345" s="3" t="b">
        <f>I345 = G345</f>
        <v>0</v>
      </c>
      <c r="K345" s="3" t="str">
        <f>_xlfn.IFNA(INDEX(RulebookFields!G2:G999, MATCH(D345,RulebookFields!A2:A999, 0)), "")</f>
        <v>={{DaysSinceModified}} &lt; {{DaysSinceLastReview}}</v>
      </c>
      <c r="L345" s="3" t="str">
        <f>_xlfn.IFNA(INDEX(ConformanceSubstrates!C2:C999, MATCH(C345,ConformanceSubstrates!A2:A999, 0)), "")</f>
        <v>Python</v>
      </c>
      <c r="M345" s="2" t="s">
        <v>1902</v>
      </c>
    </row>
    <row r="346">
      <c r="A346" s="2" t="s">
        <v>14936</v>
      </c>
      <c r="B346" s="3" t="str">
        <f>_xlfn.CONCAT(C346, " / ", D346)</f>
        <v>effortless-python / ProcedureVersions.HasUnwitnessedChange</v>
      </c>
      <c r="C346" s="2" t="s">
        <v>13963</v>
      </c>
      <c r="D346" s="2" t="s">
        <v>2732</v>
      </c>
      <c r="E346" s="2" t="s">
        <v>14435</v>
      </c>
      <c r="F346" s="2" t="s">
        <v>2389</v>
      </c>
      <c r="G346" s="2">
        <v>2</v>
      </c>
      <c r="H346" s="2" t="s">
        <v>14591</v>
      </c>
      <c r="I346" s="3">
        <f>COUNTIFS(CellDisagreements!C2:C999, A346)</f>
        <v>0</v>
      </c>
      <c r="J346" s="3" t="b">
        <f>I346 = G346</f>
        <v>0</v>
      </c>
      <c r="K346" s="3" t="str">
        <f>_xlfn.IFNA(INDEX(RulebookFields!G2:G999, MATCH(D346,RulebookFields!A2:A999, 0)), "")</f>
        <v>=AND({{IsLive}}, {{WasModifiedSinceLastReview}})</v>
      </c>
      <c r="L346" s="3" t="str">
        <f>_xlfn.IFNA(INDEX(ConformanceSubstrates!C2:C999, MATCH(C346,ConformanceSubstrates!A2:A999, 0)), "")</f>
        <v>Python</v>
      </c>
      <c r="M346" s="2" t="s">
        <v>1902</v>
      </c>
    </row>
    <row r="347">
      <c r="A347" s="2" t="s">
        <v>14937</v>
      </c>
      <c r="B347" s="3" t="str">
        <f>_xlfn.CONCAT(C347, " / ", D347)</f>
        <v>effortless-python / Requirements.IsUntestedWitness</v>
      </c>
      <c r="C347" s="2" t="s">
        <v>13963</v>
      </c>
      <c r="D347" s="2" t="s">
        <v>3025</v>
      </c>
      <c r="E347" s="2" t="s">
        <v>14446</v>
      </c>
      <c r="F347" s="2" t="s">
        <v>2389</v>
      </c>
      <c r="G347" s="2">
        <v>3</v>
      </c>
      <c r="H347" s="2" t="s">
        <v>14591</v>
      </c>
      <c r="I347" s="3">
        <f>COUNTIFS(CellDisagreements!C2:C999, A347)</f>
        <v>0</v>
      </c>
      <c r="J347" s="3" t="b">
        <f>I347 = G347</f>
        <v>0</v>
      </c>
      <c r="K347" s="3" t="str">
        <f>_xlfn.IFNA(INDEX(RulebookFields!G2:G999, MATCH(D347,RulebookFields!A2:A999, 0)), "")</f>
        <v>=AND({{WitnessHasNeverFired}}, NOT({{HasMeaningfulSample}}))</v>
      </c>
      <c r="L347" s="3" t="str">
        <f>_xlfn.IFNA(INDEX(ConformanceSubstrates!C2:C999, MATCH(C347,ConformanceSubstrates!A2:A999, 0)), "")</f>
        <v>Python</v>
      </c>
      <c r="M347" s="2" t="s">
        <v>1902</v>
      </c>
    </row>
    <row r="348">
      <c r="A348" s="2" t="s">
        <v>14938</v>
      </c>
      <c r="B348" s="3" t="str">
        <f>_xlfn.CONCAT(C348, " / ", D348)</f>
        <v>effortless-python / ElicitationSessions.Name</v>
      </c>
      <c r="C348" s="2" t="s">
        <v>13963</v>
      </c>
      <c r="D348" s="2" t="s">
        <v>3130</v>
      </c>
      <c r="E348" s="2" t="s">
        <v>14453</v>
      </c>
      <c r="F348" s="2" t="s">
        <v>2389</v>
      </c>
      <c r="G348" s="2">
        <v>3</v>
      </c>
      <c r="H348" s="2" t="s">
        <v>14591</v>
      </c>
      <c r="I348" s="3">
        <f>COUNTIFS(CellDisagreements!C2:C999, A348)</f>
        <v>0</v>
      </c>
      <c r="J348" s="3" t="b">
        <f>I348 = G348</f>
        <v>0</v>
      </c>
      <c r="K348" s="3" t="str">
        <f>_xlfn.IFNA(INDEX(RulebookFields!G2:G999, MATCH(D348,RulebookFields!A2:A999, 0)), "")</f>
        <v>={{Method}} &amp; " / " &amp; {{StartedAt}}</v>
      </c>
      <c r="L348" s="3" t="str">
        <f>_xlfn.IFNA(INDEX(ConformanceSubstrates!C2:C999, MATCH(C348,ConformanceSubstrates!A2:A999, 0)), "")</f>
        <v>Python</v>
      </c>
      <c r="M348" s="2" t="s">
        <v>1902</v>
      </c>
    </row>
    <row r="349">
      <c r="A349" s="2" t="s">
        <v>14939</v>
      </c>
      <c r="B349" s="3" t="str">
        <f>_xlfn.CONCAT(C349, " / ", D349)</f>
        <v>effortless-python / ElicitationSessions.DaysSinceElicited</v>
      </c>
      <c r="C349" s="2" t="s">
        <v>13963</v>
      </c>
      <c r="D349" s="2" t="s">
        <v>3142</v>
      </c>
      <c r="E349" s="2" t="s">
        <v>14453</v>
      </c>
      <c r="F349" s="2" t="s">
        <v>2389</v>
      </c>
      <c r="G349" s="2">
        <v>2</v>
      </c>
      <c r="H349" s="2" t="s">
        <v>14591</v>
      </c>
      <c r="I349" s="3">
        <f>COUNTIFS(CellDisagreements!C2:C999, A349)</f>
        <v>0</v>
      </c>
      <c r="J349" s="3" t="b">
        <f>I349 = G349</f>
        <v>0</v>
      </c>
      <c r="K349" s="3" t="str">
        <f>_xlfn.IFNA(INDEX(RulebookFields!G2:G999, MATCH(D349,RulebookFields!A2:A999, 0)), "")</f>
        <v>=DATETIME_DIFF({{AsOfInstant}}, {{EndedAt}}, "days")</v>
      </c>
      <c r="L349" s="3" t="str">
        <f>_xlfn.IFNA(INDEX(ConformanceSubstrates!C2:C999, MATCH(C349,ConformanceSubstrates!A2:A999, 0)), "")</f>
        <v>Python</v>
      </c>
      <c r="M349" s="2" t="s">
        <v>1902</v>
      </c>
    </row>
    <row r="350">
      <c r="A350" s="2" t="s">
        <v>14940</v>
      </c>
      <c r="B350" s="3" t="str">
        <f>_xlfn.CONCAT(C350, " / ", D350)</f>
        <v>effortless-python / KnowledgeFragments.DaysSinceActualReview</v>
      </c>
      <c r="C350" s="2" t="s">
        <v>13963</v>
      </c>
      <c r="D350" s="2" t="s">
        <v>3270</v>
      </c>
      <c r="E350" s="2" t="s">
        <v>14454</v>
      </c>
      <c r="F350" s="2" t="s">
        <v>2389</v>
      </c>
      <c r="G350" s="2">
        <v>3</v>
      </c>
      <c r="H350" s="2" t="s">
        <v>14591</v>
      </c>
      <c r="I350" s="3">
        <f>COUNTIFS(CellDisagreements!C2:C999, A350)</f>
        <v>0</v>
      </c>
      <c r="J350" s="3" t="b">
        <f>I350 = G350</f>
        <v>0</v>
      </c>
      <c r="K350" s="3" t="str">
        <f>_xlfn.IFNA(INDEX(RulebookFields!G2:G999, MATCH(D350,RulebookFields!A2:A999, 0)), "")</f>
        <v>=IF({{HasReviewRecord}}, DATETIME_DIFF({{AsOfInstant}}, {{LastReviewedAt}}, "days"), 0)</v>
      </c>
      <c r="L350" s="3" t="str">
        <f>_xlfn.IFNA(INDEX(ConformanceSubstrates!C2:C999, MATCH(C350,ConformanceSubstrates!A2:A999, 0)), "")</f>
        <v>Python</v>
      </c>
      <c r="M350" s="2" t="s">
        <v>1902</v>
      </c>
    </row>
    <row r="351">
      <c r="A351" s="2" t="s">
        <v>14941</v>
      </c>
      <c r="B351" s="3" t="str">
        <f>_xlfn.CONCAT(C351, " / ", D351)</f>
        <v>effortless-python / KnowledgeFragments.EvidenceAgeDays</v>
      </c>
      <c r="C351" s="2" t="s">
        <v>13963</v>
      </c>
      <c r="D351" s="2" t="s">
        <v>3198</v>
      </c>
      <c r="E351" s="2" t="s">
        <v>14454</v>
      </c>
      <c r="F351" s="2" t="s">
        <v>2478</v>
      </c>
      <c r="G351" s="2">
        <v>3</v>
      </c>
      <c r="H351" s="2" t="s">
        <v>14591</v>
      </c>
      <c r="I351" s="3">
        <f>COUNTIFS(CellDisagreements!C2:C999, A351)</f>
        <v>0</v>
      </c>
      <c r="J351" s="3" t="b">
        <f>I351 = G351</f>
        <v>0</v>
      </c>
      <c r="K351" s="3" t="str">
        <f>_xlfn.IFNA(INDEX(RulebookFields!G2:G999, MATCH(D351,RulebookFields!A2:A999, 0)), "")</f>
        <v>=INDEX(ElicitationSessions!{{DaysSinceElicited}}, MATCH({{ElicitationSession}}, ElicitationSessions!{{ElicitationSessionId}}, 0))</v>
      </c>
      <c r="L351" s="3" t="str">
        <f>_xlfn.IFNA(INDEX(ConformanceSubstrates!C2:C999, MATCH(C351,ConformanceSubstrates!A2:A999, 0)), "")</f>
        <v>Python</v>
      </c>
      <c r="M351" s="2" t="s">
        <v>1902</v>
      </c>
    </row>
    <row r="352">
      <c r="A352" s="2" t="s">
        <v>14942</v>
      </c>
      <c r="B352" s="3" t="str">
        <f>_xlfn.CONCAT(C352, " / ", D352)</f>
        <v>effortless-python / KnowledgeFragments.AgeDays</v>
      </c>
      <c r="C352" s="2" t="s">
        <v>13963</v>
      </c>
      <c r="D352" s="2" t="s">
        <v>3222</v>
      </c>
      <c r="E352" s="2" t="s">
        <v>14454</v>
      </c>
      <c r="F352" s="2" t="s">
        <v>2389</v>
      </c>
      <c r="G352" s="2">
        <v>3</v>
      </c>
      <c r="H352" s="2" t="s">
        <v>14591</v>
      </c>
      <c r="I352" s="3">
        <f>COUNTIFS(CellDisagreements!C2:C999, A352)</f>
        <v>0</v>
      </c>
      <c r="J352" s="3" t="b">
        <f>I352 = G352</f>
        <v>0</v>
      </c>
      <c r="K352" s="3" t="str">
        <f>_xlfn.IFNA(INDEX(RulebookFields!G2:G999, MATCH(D352,RulebookFields!A2:A999, 0)), "")</f>
        <v>=DATETIME_DIFF({{AsOfInstant}}, {{ValidFrom}}, "days")</v>
      </c>
      <c r="L352" s="3" t="str">
        <f>_xlfn.IFNA(INDEX(ConformanceSubstrates!C2:C999, MATCH(C352,ConformanceSubstrates!A2:A999, 0)), "")</f>
        <v>Python</v>
      </c>
      <c r="M352" s="2" t="s">
        <v>1902</v>
      </c>
    </row>
    <row r="353">
      <c r="A353" s="2" t="s">
        <v>14943</v>
      </c>
      <c r="B353" s="3" t="str">
        <f>_xlfn.CONCAT(C353, " / ", D353)</f>
        <v>effortless-python / KnowledgeFragments.DaysAwaitingMyApproval</v>
      </c>
      <c r="C353" s="2" t="s">
        <v>13963</v>
      </c>
      <c r="D353" s="2" t="s">
        <v>3286</v>
      </c>
      <c r="E353" s="2" t="s">
        <v>14454</v>
      </c>
      <c r="F353" s="2" t="s">
        <v>2389</v>
      </c>
      <c r="G353" s="2">
        <v>1</v>
      </c>
      <c r="H353" s="2" t="s">
        <v>14591</v>
      </c>
      <c r="I353" s="3">
        <f>COUNTIFS(CellDisagreements!C2:C999, A353)</f>
        <v>0</v>
      </c>
      <c r="J353" s="3" t="b">
        <f>I353 = G353</f>
        <v>0</v>
      </c>
      <c r="K353" s="3" t="str">
        <f>_xlfn.IFNA(INDEX(RulebookFields!G2:G999, MATCH(D353,RulebookFields!A2:A999, 0)), "")</f>
        <v>=IF({{IsMyUnfinishedApproval}}, DATETIME_DIFF({{AsOfInstant}}, {{ValidFrom}}, "days"), 0)</v>
      </c>
      <c r="L353" s="3" t="str">
        <f>_xlfn.IFNA(INDEX(ConformanceSubstrates!C2:C999, MATCH(C353,ConformanceSubstrates!A2:A999, 0)), "")</f>
        <v>Python</v>
      </c>
      <c r="M353" s="2" t="s">
        <v>1902</v>
      </c>
    </row>
    <row r="354">
      <c r="A354" s="2" t="s">
        <v>14944</v>
      </c>
      <c r="B354" s="3" t="str">
        <f>_xlfn.CONCAT(C354, " / ", D354)</f>
        <v>effortless-python / KnowledgeGaps.DaysOpen</v>
      </c>
      <c r="C354" s="2" t="s">
        <v>13963</v>
      </c>
      <c r="D354" s="2" t="s">
        <v>3324</v>
      </c>
      <c r="E354" s="2" t="s">
        <v>14455</v>
      </c>
      <c r="F354" s="2" t="s">
        <v>2389</v>
      </c>
      <c r="G354" s="2">
        <v>1</v>
      </c>
      <c r="H354" s="2" t="s">
        <v>14591</v>
      </c>
      <c r="I354" s="3">
        <f>COUNTIFS(CellDisagreements!C2:C999, A354)</f>
        <v>0</v>
      </c>
      <c r="J354" s="3" t="b">
        <f>I354 = G354</f>
        <v>0</v>
      </c>
      <c r="K354" s="3" t="str">
        <f>_xlfn.IFNA(INDEX(RulebookFields!G2:G999, MATCH(D354,RulebookFields!A2:A999, 0)), "")</f>
        <v>=IF({{IsOpen}}, DATETIME_DIFF({{AsOfInstant}}, {{IdentifiedAt}}, "days"), 0)</v>
      </c>
      <c r="L354" s="3" t="str">
        <f>_xlfn.IFNA(INDEX(ConformanceSubstrates!C2:C999, MATCH(C354,ConformanceSubstrates!A2:A999, 0)), "")</f>
        <v>Python</v>
      </c>
      <c r="M354" s="2" t="s">
        <v>1902</v>
      </c>
    </row>
    <row r="355">
      <c r="A355" s="2" t="s">
        <v>14945</v>
      </c>
      <c r="B355" s="3" t="str">
        <f>_xlfn.CONCAT(C355, " / ", D355)</f>
        <v>effortless-python / IssueOccurrences.Name</v>
      </c>
      <c r="C355" s="2" t="s">
        <v>13963</v>
      </c>
      <c r="D355" s="2" t="s">
        <v>3795</v>
      </c>
      <c r="E355" s="2" t="s">
        <v>14462</v>
      </c>
      <c r="F355" s="2" t="s">
        <v>2389</v>
      </c>
      <c r="G355" s="2">
        <v>2</v>
      </c>
      <c r="H355" s="2" t="s">
        <v>14591</v>
      </c>
      <c r="I355" s="3">
        <f>COUNTIFS(CellDisagreements!C2:C999, A355)</f>
        <v>0</v>
      </c>
      <c r="J355" s="3" t="b">
        <f>I355 = G355</f>
        <v>0</v>
      </c>
      <c r="K355" s="3" t="str">
        <f>_xlfn.IFNA(INDEX(RulebookFields!G2:G999, MATCH(D355,RulebookFields!A2:A999, 0)), "")</f>
        <v>={{Error}} &amp; " @ " &amp; {{OccurredAt}}</v>
      </c>
      <c r="L355" s="3" t="str">
        <f>_xlfn.IFNA(INDEX(ConformanceSubstrates!C2:C999, MATCH(C355,ConformanceSubstrates!A2:A999, 0)), "")</f>
        <v>Python</v>
      </c>
      <c r="M355" s="2" t="s">
        <v>1902</v>
      </c>
    </row>
    <row r="356">
      <c r="A356" s="2" t="s">
        <v>14946</v>
      </c>
      <c r="B356" s="3" t="str">
        <f>_xlfn.CONCAT(C356, " / ", D356)</f>
        <v>effortless-python / ChangeRequests.DaysPending</v>
      </c>
      <c r="C356" s="2" t="s">
        <v>13963</v>
      </c>
      <c r="D356" s="2" t="s">
        <v>3867</v>
      </c>
      <c r="E356" s="2" t="s">
        <v>14466</v>
      </c>
      <c r="F356" s="2" t="s">
        <v>2389</v>
      </c>
      <c r="G356" s="2">
        <v>1</v>
      </c>
      <c r="H356" s="2" t="s">
        <v>14591</v>
      </c>
      <c r="I356" s="3">
        <f>COUNTIFS(CellDisagreements!C2:C999, A356)</f>
        <v>0</v>
      </c>
      <c r="J356" s="3" t="b">
        <f>I356 = G356</f>
        <v>0</v>
      </c>
      <c r="K356" s="3" t="str">
        <f>_xlfn.IFNA(INDEX(RulebookFields!G2:G999, MATCH(D356,RulebookFields!A2:A999, 0)), "")</f>
        <v>=IF({{IsDecided}}, DATETIME_DIFF({{DecidedAt}}, {{RequestedAt}}, "days"), DATETIME_DIFF({{AsOfInstant}}, {{RequestedAt}}, "days"))</v>
      </c>
      <c r="L356" s="3" t="str">
        <f>_xlfn.IFNA(INDEX(ConformanceSubstrates!C2:C999, MATCH(C356,ConformanceSubstrates!A2:A999, 0)), "")</f>
        <v>Python</v>
      </c>
      <c r="M356" s="2" t="s">
        <v>1902</v>
      </c>
    </row>
    <row r="357">
      <c r="A357" s="2" t="s">
        <v>14947</v>
      </c>
      <c r="B357" s="3" t="str">
        <f>_xlfn.CONCAT(C357, " / ", D357)</f>
        <v>effortless-python / ChangeRequests.DecisionLatencyDays</v>
      </c>
      <c r="C357" s="2" t="s">
        <v>13963</v>
      </c>
      <c r="D357" s="2" t="s">
        <v>3901</v>
      </c>
      <c r="E357" s="2" t="s">
        <v>14466</v>
      </c>
      <c r="F357" s="2" t="s">
        <v>2389</v>
      </c>
      <c r="G357" s="2">
        <v>1</v>
      </c>
      <c r="H357" s="2" t="s">
        <v>14591</v>
      </c>
      <c r="I357" s="3">
        <f>COUNTIFS(CellDisagreements!C2:C999, A357)</f>
        <v>0</v>
      </c>
      <c r="J357" s="3" t="b">
        <f>I357 = G357</f>
        <v>0</v>
      </c>
      <c r="K357" s="3" t="str">
        <f>_xlfn.IFNA(INDEX(RulebookFields!G2:G999, MATCH(D357,RulebookFields!A2:A999, 0)), "")</f>
        <v>=IF({{IsDecided}}, DATETIME_DIFF({{DecidedAt}}, {{RequestedAt}}, "days"), 0)</v>
      </c>
      <c r="L357" s="3" t="str">
        <f>_xlfn.IFNA(INDEX(ConformanceSubstrates!C2:C999, MATCH(C357,ConformanceSubstrates!A2:A999, 0)), "")</f>
        <v>Python</v>
      </c>
      <c r="M357" s="2" t="s">
        <v>1902</v>
      </c>
    </row>
    <row r="358">
      <c r="A358" s="2" t="s">
        <v>14948</v>
      </c>
      <c r="B358" s="3" t="str">
        <f>_xlfn.CONCAT(C358, " / ", D358)</f>
        <v>effortless-python / ReviewEvents.DaysSinceReviewed</v>
      </c>
      <c r="C358" s="2" t="s">
        <v>13963</v>
      </c>
      <c r="D358" s="2" t="s">
        <v>3939</v>
      </c>
      <c r="E358" s="2" t="s">
        <v>14467</v>
      </c>
      <c r="F358" s="2" t="s">
        <v>2389</v>
      </c>
      <c r="G358" s="2">
        <v>3</v>
      </c>
      <c r="H358" s="2" t="s">
        <v>14591</v>
      </c>
      <c r="I358" s="3">
        <f>COUNTIFS(CellDisagreements!C2:C999, A358)</f>
        <v>0</v>
      </c>
      <c r="J358" s="3" t="b">
        <f>I358 = G358</f>
        <v>0</v>
      </c>
      <c r="K358" s="3" t="str">
        <f>_xlfn.IFNA(INDEX(RulebookFields!G2:G999, MATCH(D358,RulebookFields!A2:A999, 0)), "")</f>
        <v>=DATETIME_DIFF({{AsOfInstant}}, {{ReviewedAt}}, "days")</v>
      </c>
      <c r="L358" s="3" t="str">
        <f>_xlfn.IFNA(INDEX(ConformanceSubstrates!C2:C999, MATCH(C358,ConformanceSubstrates!A2:A999, 0)), "")</f>
        <v>Python</v>
      </c>
      <c r="M358" s="2" t="s">
        <v>1902</v>
      </c>
    </row>
    <row r="359">
      <c r="A359" s="2" t="s">
        <v>14949</v>
      </c>
      <c r="B359" s="3" t="str">
        <f>_xlfn.CONCAT(C359, " / ", D359)</f>
        <v>effortless-python / ReviewEvents.CadenceDriftDays</v>
      </c>
      <c r="C359" s="2" t="s">
        <v>13963</v>
      </c>
      <c r="D359" s="2" t="s">
        <v>3943</v>
      </c>
      <c r="E359" s="2" t="s">
        <v>14467</v>
      </c>
      <c r="F359" s="2" t="s">
        <v>2389</v>
      </c>
      <c r="G359" s="2">
        <v>3</v>
      </c>
      <c r="H359" s="2" t="s">
        <v>14591</v>
      </c>
      <c r="I359" s="3">
        <f>COUNTIFS(CellDisagreements!C2:C999, A359)</f>
        <v>0</v>
      </c>
      <c r="J359" s="3" t="b">
        <f>I359 = G359</f>
        <v>0</v>
      </c>
      <c r="K359" s="3" t="str">
        <f>_xlfn.IFNA(INDEX(RulebookFields!G2:G999, MATCH(D359,RulebookFields!A2:A999, 0)), "")</f>
        <v>={{DaysSinceReviewed}} - {{PromisedCadenceDays}}</v>
      </c>
      <c r="L359" s="3" t="str">
        <f>_xlfn.IFNA(INDEX(ConformanceSubstrates!C2:C999, MATCH(C359,ConformanceSubstrates!A2:A999, 0)), "")</f>
        <v>Python</v>
      </c>
      <c r="M359" s="2" t="s">
        <v>1902</v>
      </c>
    </row>
    <row r="360">
      <c r="A360" s="2" t="s">
        <v>14950</v>
      </c>
      <c r="B360" s="3" t="str">
        <f>_xlfn.CONCAT(C360, " / ", D360)</f>
        <v>effortless-python / LearningActivities.Name</v>
      </c>
      <c r="C360" s="2" t="s">
        <v>13963</v>
      </c>
      <c r="D360" s="2" t="s">
        <v>3952</v>
      </c>
      <c r="E360" s="2" t="s">
        <v>14468</v>
      </c>
      <c r="F360" s="2" t="s">
        <v>2389</v>
      </c>
      <c r="G360" s="2">
        <v>2</v>
      </c>
      <c r="H360" s="2" t="s">
        <v>14591</v>
      </c>
      <c r="I360" s="3">
        <f>COUNTIFS(CellDisagreements!C2:C999, A360)</f>
        <v>0</v>
      </c>
      <c r="J360" s="3" t="b">
        <f>I360 = G360</f>
        <v>0</v>
      </c>
      <c r="K360" s="3" t="str">
        <f>_xlfn.IFNA(INDEX(RulebookFields!G2:G999, MATCH(D360,RulebookFields!A2:A999, 0)), "")</f>
        <v>={{ActivityKind}} &amp; " / " &amp; {{OccurredAt}}</v>
      </c>
      <c r="L360" s="3" t="str">
        <f>_xlfn.IFNA(INDEX(ConformanceSubstrates!C2:C999, MATCH(C360,ConformanceSubstrates!A2:A999, 0)), "")</f>
        <v>Python</v>
      </c>
      <c r="M360" s="2" t="s">
        <v>1902</v>
      </c>
    </row>
    <row r="361">
      <c r="A361" s="2" t="s">
        <v>14951</v>
      </c>
      <c r="B361" s="3" t="str">
        <f>_xlfn.CONCAT(C361, " / ", D361)</f>
        <v>effortless-python / ObservedTransitions.Name</v>
      </c>
      <c r="C361" s="2" t="s">
        <v>13963</v>
      </c>
      <c r="D361" s="2" t="s">
        <v>4334</v>
      </c>
      <c r="E361" s="2" t="s">
        <v>14480</v>
      </c>
      <c r="F361" s="2" t="s">
        <v>2389</v>
      </c>
      <c r="G361" s="2">
        <v>10</v>
      </c>
      <c r="H361" s="2" t="s">
        <v>14591</v>
      </c>
      <c r="I361" s="3">
        <f>COUNTIFS(CellDisagreements!C2:C999, A361)</f>
        <v>0</v>
      </c>
      <c r="J361" s="3" t="b">
        <f>I361 = G361</f>
        <v>0</v>
      </c>
      <c r="K361" s="3" t="str">
        <f>_xlfn.IFNA(INDEX(RulebookFields!G2:G999, MATCH(D361,RulebookFields!A2:A999, 0)), "")</f>
      </c>
      <c r="L361" s="3" t="str">
        <f>_xlfn.IFNA(INDEX(ConformanceSubstrates!C2:C999, MATCH(C361,ConformanceSubstrates!A2:A999, 0)), "")</f>
        <v>Python</v>
      </c>
      <c r="M361" s="2" t="s">
        <v>1902</v>
      </c>
    </row>
    <row r="362">
      <c r="A362" s="2" t="s">
        <v>14952</v>
      </c>
      <c r="B362" s="3" t="str">
        <f>_xlfn.CONCAT(C362, " / ", D362)</f>
        <v>effortless-python / MessageDeliveries.Name</v>
      </c>
      <c r="C362" s="2" t="s">
        <v>13963</v>
      </c>
      <c r="D362" s="2" t="s">
        <v>4380</v>
      </c>
      <c r="E362" s="2" t="s">
        <v>14482</v>
      </c>
      <c r="F362" s="2" t="s">
        <v>2389</v>
      </c>
      <c r="G362" s="2">
        <v>6</v>
      </c>
      <c r="H362" s="2" t="s">
        <v>14591</v>
      </c>
      <c r="I362" s="3">
        <f>COUNTIFS(CellDisagreements!C2:C999, A362)</f>
        <v>0</v>
      </c>
      <c r="J362" s="3" t="b">
        <f>I362 = G362</f>
        <v>0</v>
      </c>
      <c r="K362" s="3" t="str">
        <f>_xlfn.IFNA(INDEX(RulebookFields!G2:G999, MATCH(D362,RulebookFields!A2:A999, 0)), "")</f>
      </c>
      <c r="L362" s="3" t="str">
        <f>_xlfn.IFNA(INDEX(ConformanceSubstrates!C2:C999, MATCH(C362,ConformanceSubstrates!A2:A999, 0)), "")</f>
        <v>Python</v>
      </c>
      <c r="M362" s="2" t="s">
        <v>1902</v>
      </c>
    </row>
    <row r="363">
      <c r="A363" s="2" t="s">
        <v>14953</v>
      </c>
      <c r="B363" s="3" t="str">
        <f>_xlfn.CONCAT(C363, " / ", D363)</f>
        <v>effortless-python / MessageDeliveries.AgeDays</v>
      </c>
      <c r="C363" s="2" t="s">
        <v>13963</v>
      </c>
      <c r="D363" s="2" t="s">
        <v>4472</v>
      </c>
      <c r="E363" s="2" t="s">
        <v>14482</v>
      </c>
      <c r="F363" s="2" t="s">
        <v>2389</v>
      </c>
      <c r="G363" s="2">
        <v>6</v>
      </c>
      <c r="H363" s="2" t="s">
        <v>14591</v>
      </c>
      <c r="I363" s="3">
        <f>COUNTIFS(CellDisagreements!C2:C999, A363)</f>
        <v>0</v>
      </c>
      <c r="J363" s="3" t="b">
        <f>I363 = G363</f>
        <v>0</v>
      </c>
      <c r="K363" s="3" t="str">
        <f>_xlfn.IFNA(INDEX(RulebookFields!G2:G999, MATCH(D363,RulebookFields!A2:A999, 0)), "")</f>
      </c>
      <c r="L363" s="3" t="str">
        <f>_xlfn.IFNA(INDEX(ConformanceSubstrates!C2:C999, MATCH(C363,ConformanceSubstrates!A2:A999, 0)), "")</f>
        <v>Python</v>
      </c>
      <c r="M363" s="2" t="s">
        <v>1902</v>
      </c>
    </row>
    <row r="364">
      <c r="A364" s="2" t="s">
        <v>14954</v>
      </c>
      <c r="B364" s="3" t="str">
        <f>_xlfn.CONCAT(C364, " / ", D364)</f>
        <v>effortless-python / MessageDeliveries.SegmentCount</v>
      </c>
      <c r="C364" s="2" t="s">
        <v>13963</v>
      </c>
      <c r="D364" s="2" t="s">
        <v>4503</v>
      </c>
      <c r="E364" s="2" t="s">
        <v>14482</v>
      </c>
      <c r="F364" s="2" t="s">
        <v>2389</v>
      </c>
      <c r="G364" s="2">
        <v>6</v>
      </c>
      <c r="H364" s="2" t="s">
        <v>14591</v>
      </c>
      <c r="I364" s="3">
        <f>COUNTIFS(CellDisagreements!C2:C999, A364)</f>
        <v>0</v>
      </c>
      <c r="J364" s="3" t="b">
        <f>I364 = G364</f>
        <v>0</v>
      </c>
      <c r="K364" s="3" t="str">
        <f>_xlfn.IFNA(INDEX(RulebookFields!G2:G999, MATCH(D364,RulebookFields!A2:A999, 0)), "")</f>
      </c>
      <c r="L364" s="3" t="str">
        <f>_xlfn.IFNA(INDEX(ConformanceSubstrates!C2:C999, MATCH(C364,ConformanceSubstrates!A2:A999, 0)), "")</f>
        <v>Python</v>
      </c>
      <c r="M364" s="2" t="s">
        <v>1902</v>
      </c>
    </row>
    <row r="365">
      <c r="A365" s="2" t="s">
        <v>14955</v>
      </c>
      <c r="B365" s="3" t="str">
        <f>_xlfn.CONCAT(C365, " / ", D365)</f>
        <v>effortless-python / MessageDeliveries.OutstandingAgeDays</v>
      </c>
      <c r="C365" s="2" t="s">
        <v>13963</v>
      </c>
      <c r="D365" s="2" t="s">
        <v>4618</v>
      </c>
      <c r="E365" s="2" t="s">
        <v>14482</v>
      </c>
      <c r="F365" s="2" t="s">
        <v>2389</v>
      </c>
      <c r="G365" s="2">
        <v>3</v>
      </c>
      <c r="H365" s="2" t="s">
        <v>14591</v>
      </c>
      <c r="I365" s="3">
        <f>COUNTIFS(CellDisagreements!C2:C999, A365)</f>
        <v>0</v>
      </c>
      <c r="J365" s="3" t="b">
        <f>I365 = G365</f>
        <v>0</v>
      </c>
      <c r="K365" s="3" t="str">
        <f>_xlfn.IFNA(INDEX(RulebookFields!G2:G999, MATCH(D365,RulebookFields!A2:A999, 0)), "")</f>
      </c>
      <c r="L365" s="3" t="str">
        <f>_xlfn.IFNA(INDEX(ConformanceSubstrates!C2:C999, MATCH(C365,ConformanceSubstrates!A2:A999, 0)), "")</f>
        <v>Python</v>
      </c>
      <c r="M365" s="2" t="s">
        <v>1902</v>
      </c>
    </row>
    <row r="366">
      <c r="A366" s="2" t="s">
        <v>14956</v>
      </c>
      <c r="B366" s="3" t="str">
        <f>_xlfn.CONCAT(C366, " / ", D366)</f>
        <v>effortless-python / MessageDeliveries.OptOutPhrasePosition</v>
      </c>
      <c r="C366" s="2" t="s">
        <v>13963</v>
      </c>
      <c r="D366" s="2" t="s">
        <v>4524</v>
      </c>
      <c r="E366" s="2" t="s">
        <v>14482</v>
      </c>
      <c r="F366" s="2" t="s">
        <v>2389</v>
      </c>
      <c r="G366" s="2">
        <v>3</v>
      </c>
      <c r="H366" s="2" t="s">
        <v>14591</v>
      </c>
      <c r="I366" s="3">
        <f>COUNTIFS(CellDisagreements!C2:C999, A366)</f>
        <v>0</v>
      </c>
      <c r="J366" s="3" t="b">
        <f>I366 = G366</f>
        <v>0</v>
      </c>
      <c r="K366" s="3" t="str">
        <f>_xlfn.IFNA(INDEX(RulebookFields!G2:G999, MATCH(D366,RulebookFields!A2:A999, 0)), "")</f>
      </c>
      <c r="L366" s="3" t="str">
        <f>_xlfn.IFNA(INDEX(ConformanceSubstrates!C2:C999, MATCH(C366,ConformanceSubstrates!A2:A999, 0)), "")</f>
        <v>Python</v>
      </c>
      <c r="M366" s="2" t="s">
        <v>1902</v>
      </c>
    </row>
    <row r="367">
      <c r="A367" s="2" t="s">
        <v>14957</v>
      </c>
      <c r="B367" s="3" t="str">
        <f>_xlfn.CONCAT(C367, " / ", D367)</f>
        <v>effortless-python / TemplateApprovals.Name</v>
      </c>
      <c r="C367" s="2" t="s">
        <v>13963</v>
      </c>
      <c r="D367" s="2" t="s">
        <v>4634</v>
      </c>
      <c r="E367" s="2" t="s">
        <v>14483</v>
      </c>
      <c r="F367" s="2" t="s">
        <v>2389</v>
      </c>
      <c r="G367" s="2">
        <v>2</v>
      </c>
      <c r="H367" s="2" t="s">
        <v>14591</v>
      </c>
      <c r="I367" s="3">
        <f>COUNTIFS(CellDisagreements!C2:C999, A367)</f>
        <v>0</v>
      </c>
      <c r="J367" s="3" t="b">
        <f>I367 = G367</f>
        <v>0</v>
      </c>
      <c r="K367" s="3" t="str">
        <f>_xlfn.IFNA(INDEX(RulebookFields!G2:G999, MATCH(D367,RulebookFields!A2:A999, 0)), "")</f>
      </c>
      <c r="L367" s="3" t="str">
        <f>_xlfn.IFNA(INDEX(ConformanceSubstrates!C2:C999, MATCH(C367,ConformanceSubstrates!A2:A999, 0)), "")</f>
        <v>Python</v>
      </c>
      <c r="M367" s="2" t="s">
        <v>1902</v>
      </c>
    </row>
    <row r="368">
      <c r="A368" s="2" t="s">
        <v>14958</v>
      </c>
      <c r="B368" s="3" t="str">
        <f>_xlfn.CONCAT(C368, " / ", D368)</f>
        <v>effortless-python / SendIntents.DeferralAgeHours</v>
      </c>
      <c r="C368" s="2" t="s">
        <v>13963</v>
      </c>
      <c r="D368" s="2" t="s">
        <v>4889</v>
      </c>
      <c r="E368" s="2" t="s">
        <v>14484</v>
      </c>
      <c r="F368" s="2" t="s">
        <v>2389</v>
      </c>
      <c r="G368" s="2">
        <v>7</v>
      </c>
      <c r="H368" s="2" t="s">
        <v>14591</v>
      </c>
      <c r="I368" s="3">
        <f>COUNTIFS(CellDisagreements!C2:C999, A368)</f>
        <v>0</v>
      </c>
      <c r="J368" s="3" t="b">
        <f>I368 = G368</f>
        <v>0</v>
      </c>
      <c r="K368" s="3" t="str">
        <f>_xlfn.IFNA(INDEX(RulebookFields!G2:G999, MATCH(D368,RulebookFields!A2:A999, 0)), "")</f>
      </c>
      <c r="L368" s="3" t="str">
        <f>_xlfn.IFNA(INDEX(ConformanceSubstrates!C2:C999, MATCH(C368,ConformanceSubstrates!A2:A999, 0)), "")</f>
        <v>Python</v>
      </c>
      <c r="M368" s="2" t="s">
        <v>1902</v>
      </c>
    </row>
    <row r="369">
      <c r="A369" s="2" t="s">
        <v>14959</v>
      </c>
      <c r="B369" s="3" t="str">
        <f>_xlfn.CONCAT(C369, " / ", D369)</f>
        <v>effortless-python / DeliveredCommunications.ContentMatchesApproval</v>
      </c>
      <c r="C369" s="2" t="s">
        <v>13963</v>
      </c>
      <c r="D369" s="2" t="s">
        <v>5052</v>
      </c>
      <c r="E369" s="2" t="s">
        <v>14486</v>
      </c>
      <c r="F369" s="2" t="s">
        <v>2389</v>
      </c>
      <c r="G369" s="2">
        <v>1</v>
      </c>
      <c r="H369" s="2" t="s">
        <v>14591</v>
      </c>
      <c r="I369" s="3">
        <f>COUNTIFS(CellDisagreements!C2:C999, A369)</f>
        <v>0</v>
      </c>
      <c r="J369" s="3" t="b">
        <f>I369 = G369</f>
        <v>0</v>
      </c>
      <c r="K369" s="3" t="str">
        <f>_xlfn.IFNA(INDEX(RulebookFields!G2:G999, MATCH(D369,RulebookFields!A2:A999, 0)), "")</f>
      </c>
      <c r="L369" s="3" t="str">
        <f>_xlfn.IFNA(INDEX(ConformanceSubstrates!C2:C999, MATCH(C369,ConformanceSubstrates!A2:A999, 0)), "")</f>
        <v>Python</v>
      </c>
      <c r="M369" s="2" t="s">
        <v>1902</v>
      </c>
    </row>
    <row r="370">
      <c r="A370" s="2" t="s">
        <v>14960</v>
      </c>
      <c r="B370" s="3" t="str">
        <f>_xlfn.CONCAT(C370, " / ", D370)</f>
        <v>effortless-python / ProcessMiningRuns.Name</v>
      </c>
      <c r="C370" s="2" t="s">
        <v>13963</v>
      </c>
      <c r="D370" s="2" t="s">
        <v>5589</v>
      </c>
      <c r="E370" s="2" t="s">
        <v>14503</v>
      </c>
      <c r="F370" s="2" t="s">
        <v>2389</v>
      </c>
      <c r="G370" s="2">
        <v>4</v>
      </c>
      <c r="H370" s="2" t="s">
        <v>14591</v>
      </c>
      <c r="I370" s="3">
        <f>COUNTIFS(CellDisagreements!C2:C999, A370)</f>
        <v>0</v>
      </c>
      <c r="J370" s="3" t="b">
        <f>I370 = G370</f>
        <v>0</v>
      </c>
      <c r="K370" s="3" t="str">
        <f>_xlfn.IFNA(INDEX(RulebookFields!G2:G999, MATCH(D370,RulebookFields!A2:A999, 0)), "")</f>
      </c>
      <c r="L370" s="3" t="str">
        <f>_xlfn.IFNA(INDEX(ConformanceSubstrates!C2:C999, MATCH(C370,ConformanceSubstrates!A2:A999, 0)), "")</f>
        <v>Python</v>
      </c>
      <c r="M370" s="2" t="s">
        <v>1902</v>
      </c>
    </row>
    <row r="371">
      <c r="A371" s="2" t="s">
        <v>14961</v>
      </c>
      <c r="B371" s="3" t="str">
        <f>_xlfn.CONCAT(C371, " / ", D371)</f>
        <v>effortless-typescript / EvaluationContexts.Name</v>
      </c>
      <c r="C371" s="2" t="s">
        <v>13975</v>
      </c>
      <c r="D371" s="2" t="s">
        <v>2414</v>
      </c>
      <c r="E371" s="2" t="s">
        <v>14509</v>
      </c>
      <c r="F371" s="2" t="s">
        <v>2389</v>
      </c>
      <c r="G371" s="2">
        <v>1</v>
      </c>
      <c r="H371" s="2" t="s">
        <v>14591</v>
      </c>
      <c r="I371" s="3">
        <f>COUNTIFS(CellDisagreements!C2:C999, A371)</f>
        <v>0</v>
      </c>
      <c r="J371" s="3" t="b">
        <f>I371 = G371</f>
        <v>0</v>
      </c>
      <c r="K371" s="3" t="str">
        <f>_xlfn.IFNA(INDEX(RulebookFields!G2:G999, MATCH(D371,RulebookFields!A2:A999, 0)), "")</f>
        <v>={{Label}} &amp; " @ " &amp; {{AsOfInstant}}</v>
      </c>
      <c r="L371" s="3" t="str">
        <f>_xlfn.IFNA(INDEX(ConformanceSubstrates!C2:C999, MATCH(C371,ConformanceSubstrates!A2:A999, 0)), "")</f>
        <v>TypeScript</v>
      </c>
      <c r="M371" s="2" t="s">
        <v>1902</v>
      </c>
    </row>
    <row r="372">
      <c r="A372" s="2" t="s">
        <v>14962</v>
      </c>
      <c r="B372" s="3" t="str">
        <f>_xlfn.CONCAT(C372, " / ", D372)</f>
        <v>effortless-typescript / RoleAssignments.Name</v>
      </c>
      <c r="C372" s="2" t="s">
        <v>13975</v>
      </c>
      <c r="D372" s="2" t="s">
        <v>2514</v>
      </c>
      <c r="E372" s="2" t="s">
        <v>14513</v>
      </c>
      <c r="F372" s="2" t="s">
        <v>2389</v>
      </c>
      <c r="G372" s="2">
        <v>13</v>
      </c>
      <c r="H372" s="2" t="s">
        <v>14591</v>
      </c>
      <c r="I372" s="3">
        <f>COUNTIFS(CellDisagreements!C2:C999, A372)</f>
        <v>0</v>
      </c>
      <c r="J372" s="3" t="b">
        <f>I372 = G372</f>
        <v>0</v>
      </c>
      <c r="K372" s="3" t="str">
        <f>_xlfn.IFNA(INDEX(RulebookFields!G2:G999, MATCH(D372,RulebookFields!A2:A999, 0)), "")</f>
        <v>={{Role}} &amp; " @ " &amp; {{ValidFrom}}</v>
      </c>
      <c r="L372" s="3" t="str">
        <f>_xlfn.IFNA(INDEX(ConformanceSubstrates!C2:C999, MATCH(C372,ConformanceSubstrates!A2:A999, 0)), "")</f>
        <v>TypeScript</v>
      </c>
      <c r="M372" s="2" t="s">
        <v>1902</v>
      </c>
    </row>
    <row r="373">
      <c r="A373" s="2" t="s">
        <v>14963</v>
      </c>
      <c r="B373" s="3" t="str">
        <f>_xlfn.CONCAT(C373, " / ", D373)</f>
        <v>effortless-typescript / RoleAssignments.QualityVerdictIsUnsupported</v>
      </c>
      <c r="C373" s="2" t="s">
        <v>13975</v>
      </c>
      <c r="D373" s="2" t="s">
        <v>2575</v>
      </c>
      <c r="E373" s="2" t="s">
        <v>14513</v>
      </c>
      <c r="F373" s="2" t="s">
        <v>2389</v>
      </c>
      <c r="G373" s="2">
        <v>13</v>
      </c>
      <c r="H373" s="2" t="s">
        <v>14591</v>
      </c>
      <c r="I373" s="3">
        <f>COUNTIFS(CellDisagreements!C2:C999, A373)</f>
        <v>0</v>
      </c>
      <c r="J373" s="3" t="b">
        <f>I373 = G373</f>
        <v>0</v>
      </c>
      <c r="K373" s="3" t="str">
        <f>_xlfn.IFNA(INDEX(RulebookFields!G2:G999, MATCH(D373,RulebookFields!A2:A999, 0)), "")</f>
        <v>=AND(NOT({{ComparisonIsEvidentiallySound}}), NOT({{QualityRegressedVsPredecessor}}))</v>
      </c>
      <c r="L373" s="3" t="str">
        <f>_xlfn.IFNA(INDEX(ConformanceSubstrates!C2:C999, MATCH(C373,ConformanceSubstrates!A2:A999, 0)), "")</f>
        <v>TypeScript</v>
      </c>
      <c r="M373" s="2" t="s">
        <v>1902</v>
      </c>
    </row>
    <row r="374">
      <c r="A374" s="2" t="s">
        <v>14964</v>
      </c>
      <c r="B374" s="3" t="str">
        <f>_xlfn.CONCAT(C374, " / ", D374)</f>
        <v>effortless-typescript / RoleAssignments.IsUnmeasuredAutomationHandover</v>
      </c>
      <c r="C374" s="2" t="s">
        <v>13975</v>
      </c>
      <c r="D374" s="2" t="s">
        <v>2577</v>
      </c>
      <c r="E374" s="2" t="s">
        <v>14513</v>
      </c>
      <c r="F374" s="2" t="s">
        <v>2389</v>
      </c>
      <c r="G374" s="2">
        <v>1</v>
      </c>
      <c r="H374" s="2" t="s">
        <v>14591</v>
      </c>
      <c r="I374" s="3">
        <f>COUNTIFS(CellDisagreements!C2:C999, A374)</f>
        <v>0</v>
      </c>
      <c r="J374" s="3" t="b">
        <f>I374 = G374</f>
        <v>0</v>
      </c>
      <c r="K374" s="3" t="str">
        <f>_xlfn.IFNA(INDEX(RulebookFields!G2:G999, MATCH(D374,RulebookFields!A2:A999, 0)), "")</f>
        <v>=AND({{IsHumanToNonHumanHandover}}, NOT({{ComparisonIsEvidentiallySound}}))</v>
      </c>
      <c r="L374" s="3" t="str">
        <f>_xlfn.IFNA(INDEX(ConformanceSubstrates!C2:C999, MATCH(C374,ConformanceSubstrates!A2:A999, 0)), "")</f>
        <v>TypeScript</v>
      </c>
      <c r="M374" s="2" t="s">
        <v>1902</v>
      </c>
    </row>
    <row r="375">
      <c r="A375" s="2" t="s">
        <v>14965</v>
      </c>
      <c r="B375" s="3" t="str">
        <f>_xlfn.CONCAT(C375, " / ", D375)</f>
        <v>effortless-typescript / ProcedureVersions.DaysSinceModified</v>
      </c>
      <c r="C375" s="2" t="s">
        <v>13975</v>
      </c>
      <c r="D375" s="2" t="s">
        <v>2724</v>
      </c>
      <c r="E375" s="2" t="s">
        <v>14518</v>
      </c>
      <c r="F375" s="2" t="s">
        <v>2389</v>
      </c>
      <c r="G375" s="2">
        <v>3</v>
      </c>
      <c r="H375" s="2" t="s">
        <v>14591</v>
      </c>
      <c r="I375" s="3">
        <f>COUNTIFS(CellDisagreements!C2:C999, A375)</f>
        <v>0</v>
      </c>
      <c r="J375" s="3" t="b">
        <f>I375 = G375</f>
        <v>0</v>
      </c>
      <c r="K375" s="3" t="str">
        <f>_xlfn.IFNA(INDEX(RulebookFields!G2:G999, MATCH(D375,RulebookFields!A2:A999, 0)), "")</f>
        <v>=DATETIME_DIFF({{AsOfInstant}}, {{ModifiedAt}}, "days")</v>
      </c>
      <c r="L375" s="3" t="str">
        <f>_xlfn.IFNA(INDEX(ConformanceSubstrates!C2:C999, MATCH(C375,ConformanceSubstrates!A2:A999, 0)), "")</f>
        <v>TypeScript</v>
      </c>
      <c r="M375" s="2" t="s">
        <v>1902</v>
      </c>
    </row>
    <row r="376">
      <c r="A376" s="2" t="s">
        <v>14966</v>
      </c>
      <c r="B376" s="3" t="str">
        <f>_xlfn.CONCAT(C376, " / ", D376)</f>
        <v>effortless-typescript / ProcedureVersions.WasModifiedSinceLastReview</v>
      </c>
      <c r="C376" s="2" t="s">
        <v>13975</v>
      </c>
      <c r="D376" s="2" t="s">
        <v>2728</v>
      </c>
      <c r="E376" s="2" t="s">
        <v>14518</v>
      </c>
      <c r="F376" s="2" t="s">
        <v>2389</v>
      </c>
      <c r="G376" s="2">
        <v>2</v>
      </c>
      <c r="H376" s="2" t="s">
        <v>14591</v>
      </c>
      <c r="I376" s="3">
        <f>COUNTIFS(CellDisagreements!C2:C999, A376)</f>
        <v>0</v>
      </c>
      <c r="J376" s="3" t="b">
        <f>I376 = G376</f>
        <v>0</v>
      </c>
      <c r="K376" s="3" t="str">
        <f>_xlfn.IFNA(INDEX(RulebookFields!G2:G999, MATCH(D376,RulebookFields!A2:A999, 0)), "")</f>
        <v>={{DaysSinceModified}} &lt; {{DaysSinceLastReview}}</v>
      </c>
      <c r="L376" s="3" t="str">
        <f>_xlfn.IFNA(INDEX(ConformanceSubstrates!C2:C999, MATCH(C376,ConformanceSubstrates!A2:A999, 0)), "")</f>
        <v>TypeScript</v>
      </c>
      <c r="M376" s="2" t="s">
        <v>1902</v>
      </c>
    </row>
    <row r="377">
      <c r="A377" s="2" t="s">
        <v>14967</v>
      </c>
      <c r="B377" s="3" t="str">
        <f>_xlfn.CONCAT(C377, " / ", D377)</f>
        <v>effortless-typescript / ProcedureVersions.HasUnwitnessedChange</v>
      </c>
      <c r="C377" s="2" t="s">
        <v>13975</v>
      </c>
      <c r="D377" s="2" t="s">
        <v>2732</v>
      </c>
      <c r="E377" s="2" t="s">
        <v>14518</v>
      </c>
      <c r="F377" s="2" t="s">
        <v>2389</v>
      </c>
      <c r="G377" s="2">
        <v>2</v>
      </c>
      <c r="H377" s="2" t="s">
        <v>14591</v>
      </c>
      <c r="I377" s="3">
        <f>COUNTIFS(CellDisagreements!C2:C999, A377)</f>
        <v>0</v>
      </c>
      <c r="J377" s="3" t="b">
        <f>I377 = G377</f>
        <v>0</v>
      </c>
      <c r="K377" s="3" t="str">
        <f>_xlfn.IFNA(INDEX(RulebookFields!G2:G999, MATCH(D377,RulebookFields!A2:A999, 0)), "")</f>
        <v>=AND({{IsLive}}, {{WasModifiedSinceLastReview}})</v>
      </c>
      <c r="L377" s="3" t="str">
        <f>_xlfn.IFNA(INDEX(ConformanceSubstrates!C2:C999, MATCH(C377,ConformanceSubstrates!A2:A999, 0)), "")</f>
        <v>TypeScript</v>
      </c>
      <c r="M377" s="2" t="s">
        <v>1902</v>
      </c>
    </row>
    <row r="378">
      <c r="A378" s="2" t="s">
        <v>14968</v>
      </c>
      <c r="B378" s="3" t="str">
        <f>_xlfn.CONCAT(C378, " / ", D378)</f>
        <v>effortless-typescript / Requirements.IsUntestedWitness</v>
      </c>
      <c r="C378" s="2" t="s">
        <v>13975</v>
      </c>
      <c r="D378" s="2" t="s">
        <v>3025</v>
      </c>
      <c r="E378" s="2" t="s">
        <v>14529</v>
      </c>
      <c r="F378" s="2" t="s">
        <v>2389</v>
      </c>
      <c r="G378" s="2">
        <v>3</v>
      </c>
      <c r="H378" s="2" t="s">
        <v>14591</v>
      </c>
      <c r="I378" s="3">
        <f>COUNTIFS(CellDisagreements!C2:C999, A378)</f>
        <v>0</v>
      </c>
      <c r="J378" s="3" t="b">
        <f>I378 = G378</f>
        <v>0</v>
      </c>
      <c r="K378" s="3" t="str">
        <f>_xlfn.IFNA(INDEX(RulebookFields!G2:G999, MATCH(D378,RulebookFields!A2:A999, 0)), "")</f>
        <v>=AND({{WitnessHasNeverFired}}, NOT({{HasMeaningfulSample}}))</v>
      </c>
      <c r="L378" s="3" t="str">
        <f>_xlfn.IFNA(INDEX(ConformanceSubstrates!C2:C999, MATCH(C378,ConformanceSubstrates!A2:A999, 0)), "")</f>
        <v>TypeScript</v>
      </c>
      <c r="M378" s="2" t="s">
        <v>1902</v>
      </c>
    </row>
    <row r="379">
      <c r="A379" s="2" t="s">
        <v>14969</v>
      </c>
      <c r="B379" s="3" t="str">
        <f>_xlfn.CONCAT(C379, " / ", D379)</f>
        <v>effortless-typescript / ElicitationSessions.Name</v>
      </c>
      <c r="C379" s="2" t="s">
        <v>13975</v>
      </c>
      <c r="D379" s="2" t="s">
        <v>3130</v>
      </c>
      <c r="E379" s="2" t="s">
        <v>14536</v>
      </c>
      <c r="F379" s="2" t="s">
        <v>2389</v>
      </c>
      <c r="G379" s="2">
        <v>3</v>
      </c>
      <c r="H379" s="2" t="s">
        <v>14591</v>
      </c>
      <c r="I379" s="3">
        <f>COUNTIFS(CellDisagreements!C2:C999, A379)</f>
        <v>0</v>
      </c>
      <c r="J379" s="3" t="b">
        <f>I379 = G379</f>
        <v>0</v>
      </c>
      <c r="K379" s="3" t="str">
        <f>_xlfn.IFNA(INDEX(RulebookFields!G2:G999, MATCH(D379,RulebookFields!A2:A999, 0)), "")</f>
        <v>={{Method}} &amp; " / " &amp; {{StartedAt}}</v>
      </c>
      <c r="L379" s="3" t="str">
        <f>_xlfn.IFNA(INDEX(ConformanceSubstrates!C2:C999, MATCH(C379,ConformanceSubstrates!A2:A999, 0)), "")</f>
        <v>TypeScript</v>
      </c>
      <c r="M379" s="2" t="s">
        <v>1902</v>
      </c>
    </row>
    <row r="380">
      <c r="A380" s="2" t="s">
        <v>14970</v>
      </c>
      <c r="B380" s="3" t="str">
        <f>_xlfn.CONCAT(C380, " / ", D380)</f>
        <v>effortless-typescript / ElicitationSessions.DaysSinceElicited</v>
      </c>
      <c r="C380" s="2" t="s">
        <v>13975</v>
      </c>
      <c r="D380" s="2" t="s">
        <v>3142</v>
      </c>
      <c r="E380" s="2" t="s">
        <v>14536</v>
      </c>
      <c r="F380" s="2" t="s">
        <v>2389</v>
      </c>
      <c r="G380" s="2">
        <v>2</v>
      </c>
      <c r="H380" s="2" t="s">
        <v>14591</v>
      </c>
      <c r="I380" s="3">
        <f>COUNTIFS(CellDisagreements!C2:C999, A380)</f>
        <v>0</v>
      </c>
      <c r="J380" s="3" t="b">
        <f>I380 = G380</f>
        <v>0</v>
      </c>
      <c r="K380" s="3" t="str">
        <f>_xlfn.IFNA(INDEX(RulebookFields!G2:G999, MATCH(D380,RulebookFields!A2:A999, 0)), "")</f>
        <v>=DATETIME_DIFF({{AsOfInstant}}, {{EndedAt}}, "days")</v>
      </c>
      <c r="L380" s="3" t="str">
        <f>_xlfn.IFNA(INDEX(ConformanceSubstrates!C2:C999, MATCH(C380,ConformanceSubstrates!A2:A999, 0)), "")</f>
        <v>TypeScript</v>
      </c>
      <c r="M380" s="2" t="s">
        <v>1902</v>
      </c>
    </row>
    <row r="381">
      <c r="A381" s="2" t="s">
        <v>14971</v>
      </c>
      <c r="B381" s="3" t="str">
        <f>_xlfn.CONCAT(C381, " / ", D381)</f>
        <v>effortless-typescript / KnowledgeFragments.DaysSinceActualReview</v>
      </c>
      <c r="C381" s="2" t="s">
        <v>13975</v>
      </c>
      <c r="D381" s="2" t="s">
        <v>3270</v>
      </c>
      <c r="E381" s="2" t="s">
        <v>14537</v>
      </c>
      <c r="F381" s="2" t="s">
        <v>2389</v>
      </c>
      <c r="G381" s="2">
        <v>3</v>
      </c>
      <c r="H381" s="2" t="s">
        <v>14591</v>
      </c>
      <c r="I381" s="3">
        <f>COUNTIFS(CellDisagreements!C2:C999, A381)</f>
        <v>0</v>
      </c>
      <c r="J381" s="3" t="b">
        <f>I381 = G381</f>
        <v>0</v>
      </c>
      <c r="K381" s="3" t="str">
        <f>_xlfn.IFNA(INDEX(RulebookFields!G2:G999, MATCH(D381,RulebookFields!A2:A999, 0)), "")</f>
        <v>=IF({{HasReviewRecord}}, DATETIME_DIFF({{AsOfInstant}}, {{LastReviewedAt}}, "days"), 0)</v>
      </c>
      <c r="L381" s="3" t="str">
        <f>_xlfn.IFNA(INDEX(ConformanceSubstrates!C2:C999, MATCH(C381,ConformanceSubstrates!A2:A999, 0)), "")</f>
        <v>TypeScript</v>
      </c>
      <c r="M381" s="2" t="s">
        <v>1902</v>
      </c>
    </row>
    <row r="382">
      <c r="A382" s="2" t="s">
        <v>14972</v>
      </c>
      <c r="B382" s="3" t="str">
        <f>_xlfn.CONCAT(C382, " / ", D382)</f>
        <v>effortless-typescript / KnowledgeFragments.EvidenceAgeDays</v>
      </c>
      <c r="C382" s="2" t="s">
        <v>13975</v>
      </c>
      <c r="D382" s="2" t="s">
        <v>3198</v>
      </c>
      <c r="E382" s="2" t="s">
        <v>14537</v>
      </c>
      <c r="F382" s="2" t="s">
        <v>2478</v>
      </c>
      <c r="G382" s="2">
        <v>3</v>
      </c>
      <c r="H382" s="2" t="s">
        <v>14591</v>
      </c>
      <c r="I382" s="3">
        <f>COUNTIFS(CellDisagreements!C2:C999, A382)</f>
        <v>0</v>
      </c>
      <c r="J382" s="3" t="b">
        <f>I382 = G382</f>
        <v>0</v>
      </c>
      <c r="K382" s="3" t="str">
        <f>_xlfn.IFNA(INDEX(RulebookFields!G2:G999, MATCH(D382,RulebookFields!A2:A999, 0)), "")</f>
        <v>=INDEX(ElicitationSessions!{{DaysSinceElicited}}, MATCH({{ElicitationSession}}, ElicitationSessions!{{ElicitationSessionId}}, 0))</v>
      </c>
      <c r="L382" s="3" t="str">
        <f>_xlfn.IFNA(INDEX(ConformanceSubstrates!C2:C999, MATCH(C382,ConformanceSubstrates!A2:A999, 0)), "")</f>
        <v>TypeScript</v>
      </c>
      <c r="M382" s="2" t="s">
        <v>1902</v>
      </c>
    </row>
    <row r="383">
      <c r="A383" s="2" t="s">
        <v>14973</v>
      </c>
      <c r="B383" s="3" t="str">
        <f>_xlfn.CONCAT(C383, " / ", D383)</f>
        <v>effortless-typescript / KnowledgeFragments.AgeDays</v>
      </c>
      <c r="C383" s="2" t="s">
        <v>13975</v>
      </c>
      <c r="D383" s="2" t="s">
        <v>3222</v>
      </c>
      <c r="E383" s="2" t="s">
        <v>14537</v>
      </c>
      <c r="F383" s="2" t="s">
        <v>2389</v>
      </c>
      <c r="G383" s="2">
        <v>3</v>
      </c>
      <c r="H383" s="2" t="s">
        <v>14591</v>
      </c>
      <c r="I383" s="3">
        <f>COUNTIFS(CellDisagreements!C2:C999, A383)</f>
        <v>0</v>
      </c>
      <c r="J383" s="3" t="b">
        <f>I383 = G383</f>
        <v>0</v>
      </c>
      <c r="K383" s="3" t="str">
        <f>_xlfn.IFNA(INDEX(RulebookFields!G2:G999, MATCH(D383,RulebookFields!A2:A999, 0)), "")</f>
        <v>=DATETIME_DIFF({{AsOfInstant}}, {{ValidFrom}}, "days")</v>
      </c>
      <c r="L383" s="3" t="str">
        <f>_xlfn.IFNA(INDEX(ConformanceSubstrates!C2:C999, MATCH(C383,ConformanceSubstrates!A2:A999, 0)), "")</f>
        <v>TypeScript</v>
      </c>
      <c r="M383" s="2" t="s">
        <v>1902</v>
      </c>
    </row>
    <row r="384">
      <c r="A384" s="2" t="s">
        <v>14974</v>
      </c>
      <c r="B384" s="3" t="str">
        <f>_xlfn.CONCAT(C384, " / ", D384)</f>
        <v>effortless-typescript / KnowledgeFragments.DaysAwaitingMyApproval</v>
      </c>
      <c r="C384" s="2" t="s">
        <v>13975</v>
      </c>
      <c r="D384" s="2" t="s">
        <v>3286</v>
      </c>
      <c r="E384" s="2" t="s">
        <v>14537</v>
      </c>
      <c r="F384" s="2" t="s">
        <v>2389</v>
      </c>
      <c r="G384" s="2">
        <v>1</v>
      </c>
      <c r="H384" s="2" t="s">
        <v>14591</v>
      </c>
      <c r="I384" s="3">
        <f>COUNTIFS(CellDisagreements!C2:C999, A384)</f>
        <v>0</v>
      </c>
      <c r="J384" s="3" t="b">
        <f>I384 = G384</f>
        <v>0</v>
      </c>
      <c r="K384" s="3" t="str">
        <f>_xlfn.IFNA(INDEX(RulebookFields!G2:G999, MATCH(D384,RulebookFields!A2:A999, 0)), "")</f>
        <v>=IF({{IsMyUnfinishedApproval}}, DATETIME_DIFF({{AsOfInstant}}, {{ValidFrom}}, "days"), 0)</v>
      </c>
      <c r="L384" s="3" t="str">
        <f>_xlfn.IFNA(INDEX(ConformanceSubstrates!C2:C999, MATCH(C384,ConformanceSubstrates!A2:A999, 0)), "")</f>
        <v>TypeScript</v>
      </c>
      <c r="M384" s="2" t="s">
        <v>1902</v>
      </c>
    </row>
    <row r="385">
      <c r="A385" s="2" t="s">
        <v>14975</v>
      </c>
      <c r="B385" s="3" t="str">
        <f>_xlfn.CONCAT(C385, " / ", D385)</f>
        <v>effortless-typescript / KnowledgeGaps.DaysOpen</v>
      </c>
      <c r="C385" s="2" t="s">
        <v>13975</v>
      </c>
      <c r="D385" s="2" t="s">
        <v>3324</v>
      </c>
      <c r="E385" s="2" t="s">
        <v>14538</v>
      </c>
      <c r="F385" s="2" t="s">
        <v>2389</v>
      </c>
      <c r="G385" s="2">
        <v>1</v>
      </c>
      <c r="H385" s="2" t="s">
        <v>14591</v>
      </c>
      <c r="I385" s="3">
        <f>COUNTIFS(CellDisagreements!C2:C999, A385)</f>
        <v>0</v>
      </c>
      <c r="J385" s="3" t="b">
        <f>I385 = G385</f>
        <v>0</v>
      </c>
      <c r="K385" s="3" t="str">
        <f>_xlfn.IFNA(INDEX(RulebookFields!G2:G999, MATCH(D385,RulebookFields!A2:A999, 0)), "")</f>
        <v>=IF({{IsOpen}}, DATETIME_DIFF({{AsOfInstant}}, {{IdentifiedAt}}, "days"), 0)</v>
      </c>
      <c r="L385" s="3" t="str">
        <f>_xlfn.IFNA(INDEX(ConformanceSubstrates!C2:C999, MATCH(C385,ConformanceSubstrates!A2:A999, 0)), "")</f>
        <v>TypeScript</v>
      </c>
      <c r="M385" s="2" t="s">
        <v>1902</v>
      </c>
    </row>
    <row r="386">
      <c r="A386" s="2" t="s">
        <v>14976</v>
      </c>
      <c r="B386" s="3" t="str">
        <f>_xlfn.CONCAT(C386, " / ", D386)</f>
        <v>effortless-typescript / IssueOccurrences.Name</v>
      </c>
      <c r="C386" s="2" t="s">
        <v>13975</v>
      </c>
      <c r="D386" s="2" t="s">
        <v>3795</v>
      </c>
      <c r="E386" s="2" t="s">
        <v>14545</v>
      </c>
      <c r="F386" s="2" t="s">
        <v>2389</v>
      </c>
      <c r="G386" s="2">
        <v>2</v>
      </c>
      <c r="H386" s="2" t="s">
        <v>14591</v>
      </c>
      <c r="I386" s="3">
        <f>COUNTIFS(CellDisagreements!C2:C999, A386)</f>
        <v>0</v>
      </c>
      <c r="J386" s="3" t="b">
        <f>I386 = G386</f>
        <v>0</v>
      </c>
      <c r="K386" s="3" t="str">
        <f>_xlfn.IFNA(INDEX(RulebookFields!G2:G999, MATCH(D386,RulebookFields!A2:A999, 0)), "")</f>
        <v>={{Error}} &amp; " @ " &amp; {{OccurredAt}}</v>
      </c>
      <c r="L386" s="3" t="str">
        <f>_xlfn.IFNA(INDEX(ConformanceSubstrates!C2:C999, MATCH(C386,ConformanceSubstrates!A2:A999, 0)), "")</f>
        <v>TypeScript</v>
      </c>
      <c r="M386" s="2" t="s">
        <v>1902</v>
      </c>
    </row>
    <row r="387">
      <c r="A387" s="2" t="s">
        <v>14977</v>
      </c>
      <c r="B387" s="3" t="str">
        <f>_xlfn.CONCAT(C387, " / ", D387)</f>
        <v>effortless-typescript / ChangeRequests.DaysPending</v>
      </c>
      <c r="C387" s="2" t="s">
        <v>13975</v>
      </c>
      <c r="D387" s="2" t="s">
        <v>3867</v>
      </c>
      <c r="E387" s="2" t="s">
        <v>14549</v>
      </c>
      <c r="F387" s="2" t="s">
        <v>2389</v>
      </c>
      <c r="G387" s="2">
        <v>1</v>
      </c>
      <c r="H387" s="2" t="s">
        <v>14591</v>
      </c>
      <c r="I387" s="3">
        <f>COUNTIFS(CellDisagreements!C2:C999, A387)</f>
        <v>0</v>
      </c>
      <c r="J387" s="3" t="b">
        <f>I387 = G387</f>
        <v>0</v>
      </c>
      <c r="K387" s="3" t="str">
        <f>_xlfn.IFNA(INDEX(RulebookFields!G2:G999, MATCH(D387,RulebookFields!A2:A999, 0)), "")</f>
        <v>=IF({{IsDecided}}, DATETIME_DIFF({{DecidedAt}}, {{RequestedAt}}, "days"), DATETIME_DIFF({{AsOfInstant}}, {{RequestedAt}}, "days"))</v>
      </c>
      <c r="L387" s="3" t="str">
        <f>_xlfn.IFNA(INDEX(ConformanceSubstrates!C2:C999, MATCH(C387,ConformanceSubstrates!A2:A999, 0)), "")</f>
        <v>TypeScript</v>
      </c>
      <c r="M387" s="2" t="s">
        <v>1902</v>
      </c>
    </row>
    <row r="388">
      <c r="A388" s="2" t="s">
        <v>14978</v>
      </c>
      <c r="B388" s="3" t="str">
        <f>_xlfn.CONCAT(C388, " / ", D388)</f>
        <v>effortless-typescript / ChangeRequests.DecisionLatencyDays</v>
      </c>
      <c r="C388" s="2" t="s">
        <v>13975</v>
      </c>
      <c r="D388" s="2" t="s">
        <v>3901</v>
      </c>
      <c r="E388" s="2" t="s">
        <v>14549</v>
      </c>
      <c r="F388" s="2" t="s">
        <v>2389</v>
      </c>
      <c r="G388" s="2">
        <v>1</v>
      </c>
      <c r="H388" s="2" t="s">
        <v>14591</v>
      </c>
      <c r="I388" s="3">
        <f>COUNTIFS(CellDisagreements!C2:C999, A388)</f>
        <v>0</v>
      </c>
      <c r="J388" s="3" t="b">
        <f>I388 = G388</f>
        <v>0</v>
      </c>
      <c r="K388" s="3" t="str">
        <f>_xlfn.IFNA(INDEX(RulebookFields!G2:G999, MATCH(D388,RulebookFields!A2:A999, 0)), "")</f>
        <v>=IF({{IsDecided}}, DATETIME_DIFF({{DecidedAt}}, {{RequestedAt}}, "days"), 0)</v>
      </c>
      <c r="L388" s="3" t="str">
        <f>_xlfn.IFNA(INDEX(ConformanceSubstrates!C2:C999, MATCH(C388,ConformanceSubstrates!A2:A999, 0)), "")</f>
        <v>TypeScript</v>
      </c>
      <c r="M388" s="2" t="s">
        <v>1902</v>
      </c>
    </row>
    <row r="389">
      <c r="A389" s="2" t="s">
        <v>14979</v>
      </c>
      <c r="B389" s="3" t="str">
        <f>_xlfn.CONCAT(C389, " / ", D389)</f>
        <v>effortless-typescript / ReviewEvents.DaysSinceReviewed</v>
      </c>
      <c r="C389" s="2" t="s">
        <v>13975</v>
      </c>
      <c r="D389" s="2" t="s">
        <v>3939</v>
      </c>
      <c r="E389" s="2" t="s">
        <v>14550</v>
      </c>
      <c r="F389" s="2" t="s">
        <v>2389</v>
      </c>
      <c r="G389" s="2">
        <v>3</v>
      </c>
      <c r="H389" s="2" t="s">
        <v>14591</v>
      </c>
      <c r="I389" s="3">
        <f>COUNTIFS(CellDisagreements!C2:C999, A389)</f>
        <v>0</v>
      </c>
      <c r="J389" s="3" t="b">
        <f>I389 = G389</f>
        <v>0</v>
      </c>
      <c r="K389" s="3" t="str">
        <f>_xlfn.IFNA(INDEX(RulebookFields!G2:G999, MATCH(D389,RulebookFields!A2:A999, 0)), "")</f>
        <v>=DATETIME_DIFF({{AsOfInstant}}, {{ReviewedAt}}, "days")</v>
      </c>
      <c r="L389" s="3" t="str">
        <f>_xlfn.IFNA(INDEX(ConformanceSubstrates!C2:C999, MATCH(C389,ConformanceSubstrates!A2:A999, 0)), "")</f>
        <v>TypeScript</v>
      </c>
      <c r="M389" s="2" t="s">
        <v>1902</v>
      </c>
    </row>
    <row r="390">
      <c r="A390" s="2" t="s">
        <v>14980</v>
      </c>
      <c r="B390" s="3" t="str">
        <f>_xlfn.CONCAT(C390, " / ", D390)</f>
        <v>effortless-typescript / ReviewEvents.CadenceDriftDays</v>
      </c>
      <c r="C390" s="2" t="s">
        <v>13975</v>
      </c>
      <c r="D390" s="2" t="s">
        <v>3943</v>
      </c>
      <c r="E390" s="2" t="s">
        <v>14550</v>
      </c>
      <c r="F390" s="2" t="s">
        <v>2389</v>
      </c>
      <c r="G390" s="2">
        <v>3</v>
      </c>
      <c r="H390" s="2" t="s">
        <v>14591</v>
      </c>
      <c r="I390" s="3">
        <f>COUNTIFS(CellDisagreements!C2:C999, A390)</f>
        <v>0</v>
      </c>
      <c r="J390" s="3" t="b">
        <f>I390 = G390</f>
        <v>0</v>
      </c>
      <c r="K390" s="3" t="str">
        <f>_xlfn.IFNA(INDEX(RulebookFields!G2:G999, MATCH(D390,RulebookFields!A2:A999, 0)), "")</f>
        <v>={{DaysSinceReviewed}} - {{PromisedCadenceDays}}</v>
      </c>
      <c r="L390" s="3" t="str">
        <f>_xlfn.IFNA(INDEX(ConformanceSubstrates!C2:C999, MATCH(C390,ConformanceSubstrates!A2:A999, 0)), "")</f>
        <v>TypeScript</v>
      </c>
      <c r="M390" s="2" t="s">
        <v>1902</v>
      </c>
    </row>
    <row r="391">
      <c r="A391" s="2" t="s">
        <v>14981</v>
      </c>
      <c r="B391" s="3" t="str">
        <f>_xlfn.CONCAT(C391, " / ", D391)</f>
        <v>effortless-typescript / LearningActivities.Name</v>
      </c>
      <c r="C391" s="2" t="s">
        <v>13975</v>
      </c>
      <c r="D391" s="2" t="s">
        <v>3952</v>
      </c>
      <c r="E391" s="2" t="s">
        <v>14551</v>
      </c>
      <c r="F391" s="2" t="s">
        <v>2389</v>
      </c>
      <c r="G391" s="2">
        <v>2</v>
      </c>
      <c r="H391" s="2" t="s">
        <v>14591</v>
      </c>
      <c r="I391" s="3">
        <f>COUNTIFS(CellDisagreements!C2:C999, A391)</f>
        <v>0</v>
      </c>
      <c r="J391" s="3" t="b">
        <f>I391 = G391</f>
        <v>0</v>
      </c>
      <c r="K391" s="3" t="str">
        <f>_xlfn.IFNA(INDEX(RulebookFields!G2:G999, MATCH(D391,RulebookFields!A2:A999, 0)), "")</f>
        <v>={{ActivityKind}} &amp; " / " &amp; {{OccurredAt}}</v>
      </c>
      <c r="L391" s="3" t="str">
        <f>_xlfn.IFNA(INDEX(ConformanceSubstrates!C2:C999, MATCH(C391,ConformanceSubstrates!A2:A999, 0)), "")</f>
        <v>TypeScript</v>
      </c>
      <c r="M391" s="2" t="s">
        <v>1902</v>
      </c>
    </row>
    <row r="392">
      <c r="A392" s="2" t="s">
        <v>14982</v>
      </c>
      <c r="B392" s="3" t="str">
        <f>_xlfn.CONCAT(C392, " / ", D392)</f>
        <v>effortless-typescript / ObservedTransitions.Name</v>
      </c>
      <c r="C392" s="2" t="s">
        <v>13975</v>
      </c>
      <c r="D392" s="2" t="s">
        <v>4334</v>
      </c>
      <c r="E392" s="2" t="s">
        <v>14563</v>
      </c>
      <c r="F392" s="2" t="s">
        <v>2389</v>
      </c>
      <c r="G392" s="2">
        <v>10</v>
      </c>
      <c r="H392" s="2" t="s">
        <v>14591</v>
      </c>
      <c r="I392" s="3">
        <f>COUNTIFS(CellDisagreements!C2:C999, A392)</f>
        <v>0</v>
      </c>
      <c r="J392" s="3" t="b">
        <f>I392 = G392</f>
        <v>0</v>
      </c>
      <c r="K392" s="3" t="str">
        <f>_xlfn.IFNA(INDEX(RulebookFields!G2:G999, MATCH(D392,RulebookFields!A2:A999, 0)), "")</f>
      </c>
      <c r="L392" s="3" t="str">
        <f>_xlfn.IFNA(INDEX(ConformanceSubstrates!C2:C999, MATCH(C392,ConformanceSubstrates!A2:A999, 0)), "")</f>
        <v>TypeScript</v>
      </c>
      <c r="M392" s="2" t="s">
        <v>1902</v>
      </c>
    </row>
    <row r="393">
      <c r="A393" s="2" t="s">
        <v>14983</v>
      </c>
      <c r="B393" s="3" t="str">
        <f>_xlfn.CONCAT(C393, " / ", D393)</f>
        <v>effortless-typescript / MessageDeliveries.Name</v>
      </c>
      <c r="C393" s="2" t="s">
        <v>13975</v>
      </c>
      <c r="D393" s="2" t="s">
        <v>4380</v>
      </c>
      <c r="E393" s="2" t="s">
        <v>14565</v>
      </c>
      <c r="F393" s="2" t="s">
        <v>2389</v>
      </c>
      <c r="G393" s="2">
        <v>6</v>
      </c>
      <c r="H393" s="2" t="s">
        <v>14591</v>
      </c>
      <c r="I393" s="3">
        <f>COUNTIFS(CellDisagreements!C2:C999, A393)</f>
        <v>0</v>
      </c>
      <c r="J393" s="3" t="b">
        <f>I393 = G393</f>
        <v>0</v>
      </c>
      <c r="K393" s="3" t="str">
        <f>_xlfn.IFNA(INDEX(RulebookFields!G2:G999, MATCH(D393,RulebookFields!A2:A999, 0)), "")</f>
      </c>
      <c r="L393" s="3" t="str">
        <f>_xlfn.IFNA(INDEX(ConformanceSubstrates!C2:C999, MATCH(C393,ConformanceSubstrates!A2:A999, 0)), "")</f>
        <v>TypeScript</v>
      </c>
      <c r="M393" s="2" t="s">
        <v>1902</v>
      </c>
    </row>
    <row r="394">
      <c r="A394" s="2" t="s">
        <v>14984</v>
      </c>
      <c r="B394" s="3" t="str">
        <f>_xlfn.CONCAT(C394, " / ", D394)</f>
        <v>effortless-typescript / MessageDeliveries.AgeDays</v>
      </c>
      <c r="C394" s="2" t="s">
        <v>13975</v>
      </c>
      <c r="D394" s="2" t="s">
        <v>4472</v>
      </c>
      <c r="E394" s="2" t="s">
        <v>14565</v>
      </c>
      <c r="F394" s="2" t="s">
        <v>2389</v>
      </c>
      <c r="G394" s="2">
        <v>6</v>
      </c>
      <c r="H394" s="2" t="s">
        <v>14591</v>
      </c>
      <c r="I394" s="3">
        <f>COUNTIFS(CellDisagreements!C2:C999, A394)</f>
        <v>0</v>
      </c>
      <c r="J394" s="3" t="b">
        <f>I394 = G394</f>
        <v>0</v>
      </c>
      <c r="K394" s="3" t="str">
        <f>_xlfn.IFNA(INDEX(RulebookFields!G2:G999, MATCH(D394,RulebookFields!A2:A999, 0)), "")</f>
      </c>
      <c r="L394" s="3" t="str">
        <f>_xlfn.IFNA(INDEX(ConformanceSubstrates!C2:C999, MATCH(C394,ConformanceSubstrates!A2:A999, 0)), "")</f>
        <v>TypeScript</v>
      </c>
      <c r="M394" s="2" t="s">
        <v>1902</v>
      </c>
    </row>
    <row r="395">
      <c r="A395" s="2" t="s">
        <v>14985</v>
      </c>
      <c r="B395" s="3" t="str">
        <f>_xlfn.CONCAT(C395, " / ", D395)</f>
        <v>effortless-typescript / MessageDeliveries.SegmentCount</v>
      </c>
      <c r="C395" s="2" t="s">
        <v>13975</v>
      </c>
      <c r="D395" s="2" t="s">
        <v>4503</v>
      </c>
      <c r="E395" s="2" t="s">
        <v>14565</v>
      </c>
      <c r="F395" s="2" t="s">
        <v>2389</v>
      </c>
      <c r="G395" s="2">
        <v>6</v>
      </c>
      <c r="H395" s="2" t="s">
        <v>14591</v>
      </c>
      <c r="I395" s="3">
        <f>COUNTIFS(CellDisagreements!C2:C999, A395)</f>
        <v>0</v>
      </c>
      <c r="J395" s="3" t="b">
        <f>I395 = G395</f>
        <v>0</v>
      </c>
      <c r="K395" s="3" t="str">
        <f>_xlfn.IFNA(INDEX(RulebookFields!G2:G999, MATCH(D395,RulebookFields!A2:A999, 0)), "")</f>
      </c>
      <c r="L395" s="3" t="str">
        <f>_xlfn.IFNA(INDEX(ConformanceSubstrates!C2:C999, MATCH(C395,ConformanceSubstrates!A2:A999, 0)), "")</f>
        <v>TypeScript</v>
      </c>
      <c r="M395" s="2" t="s">
        <v>1902</v>
      </c>
    </row>
    <row r="396">
      <c r="A396" s="2" t="s">
        <v>14986</v>
      </c>
      <c r="B396" s="3" t="str">
        <f>_xlfn.CONCAT(C396, " / ", D396)</f>
        <v>effortless-typescript / MessageDeliveries.OutstandingAgeDays</v>
      </c>
      <c r="C396" s="2" t="s">
        <v>13975</v>
      </c>
      <c r="D396" s="2" t="s">
        <v>4618</v>
      </c>
      <c r="E396" s="2" t="s">
        <v>14565</v>
      </c>
      <c r="F396" s="2" t="s">
        <v>2389</v>
      </c>
      <c r="G396" s="2">
        <v>3</v>
      </c>
      <c r="H396" s="2" t="s">
        <v>14591</v>
      </c>
      <c r="I396" s="3">
        <f>COUNTIFS(CellDisagreements!C2:C999, A396)</f>
        <v>0</v>
      </c>
      <c r="J396" s="3" t="b">
        <f>I396 = G396</f>
        <v>0</v>
      </c>
      <c r="K396" s="3" t="str">
        <f>_xlfn.IFNA(INDEX(RulebookFields!G2:G999, MATCH(D396,RulebookFields!A2:A999, 0)), "")</f>
      </c>
      <c r="L396" s="3" t="str">
        <f>_xlfn.IFNA(INDEX(ConformanceSubstrates!C2:C999, MATCH(C396,ConformanceSubstrates!A2:A999, 0)), "")</f>
        <v>TypeScript</v>
      </c>
      <c r="M396" s="2" t="s">
        <v>1902</v>
      </c>
    </row>
    <row r="397">
      <c r="A397" s="2" t="s">
        <v>14987</v>
      </c>
      <c r="B397" s="3" t="str">
        <f>_xlfn.CONCAT(C397, " / ", D397)</f>
        <v>effortless-typescript / MessageDeliveries.OptOutPhrasePosition</v>
      </c>
      <c r="C397" s="2" t="s">
        <v>13975</v>
      </c>
      <c r="D397" s="2" t="s">
        <v>4524</v>
      </c>
      <c r="E397" s="2" t="s">
        <v>14565</v>
      </c>
      <c r="F397" s="2" t="s">
        <v>2389</v>
      </c>
      <c r="G397" s="2">
        <v>3</v>
      </c>
      <c r="H397" s="2" t="s">
        <v>14591</v>
      </c>
      <c r="I397" s="3">
        <f>COUNTIFS(CellDisagreements!C2:C999, A397)</f>
        <v>0</v>
      </c>
      <c r="J397" s="3" t="b">
        <f>I397 = G397</f>
        <v>0</v>
      </c>
      <c r="K397" s="3" t="str">
        <f>_xlfn.IFNA(INDEX(RulebookFields!G2:G999, MATCH(D397,RulebookFields!A2:A999, 0)), "")</f>
      </c>
      <c r="L397" s="3" t="str">
        <f>_xlfn.IFNA(INDEX(ConformanceSubstrates!C2:C999, MATCH(C397,ConformanceSubstrates!A2:A999, 0)), "")</f>
        <v>TypeScript</v>
      </c>
      <c r="M397" s="2" t="s">
        <v>1902</v>
      </c>
    </row>
    <row r="398">
      <c r="A398" s="2" t="s">
        <v>14988</v>
      </c>
      <c r="B398" s="3" t="str">
        <f>_xlfn.CONCAT(C398, " / ", D398)</f>
        <v>effortless-typescript / TemplateApprovals.Name</v>
      </c>
      <c r="C398" s="2" t="s">
        <v>13975</v>
      </c>
      <c r="D398" s="2" t="s">
        <v>4634</v>
      </c>
      <c r="E398" s="2" t="s">
        <v>14566</v>
      </c>
      <c r="F398" s="2" t="s">
        <v>2389</v>
      </c>
      <c r="G398" s="2">
        <v>2</v>
      </c>
      <c r="H398" s="2" t="s">
        <v>14591</v>
      </c>
      <c r="I398" s="3">
        <f>COUNTIFS(CellDisagreements!C2:C999, A398)</f>
        <v>0</v>
      </c>
      <c r="J398" s="3" t="b">
        <f>I398 = G398</f>
        <v>0</v>
      </c>
      <c r="K398" s="3" t="str">
        <f>_xlfn.IFNA(INDEX(RulebookFields!G2:G999, MATCH(D398,RulebookFields!A2:A999, 0)), "")</f>
      </c>
      <c r="L398" s="3" t="str">
        <f>_xlfn.IFNA(INDEX(ConformanceSubstrates!C2:C999, MATCH(C398,ConformanceSubstrates!A2:A999, 0)), "")</f>
        <v>TypeScript</v>
      </c>
      <c r="M398" s="2" t="s">
        <v>1902</v>
      </c>
    </row>
    <row r="399">
      <c r="A399" s="2" t="s">
        <v>14989</v>
      </c>
      <c r="B399" s="3" t="str">
        <f>_xlfn.CONCAT(C399, " / ", D399)</f>
        <v>effortless-typescript / SendIntents.DeferralAgeHours</v>
      </c>
      <c r="C399" s="2" t="s">
        <v>13975</v>
      </c>
      <c r="D399" s="2" t="s">
        <v>4889</v>
      </c>
      <c r="E399" s="2" t="s">
        <v>14567</v>
      </c>
      <c r="F399" s="2" t="s">
        <v>2389</v>
      </c>
      <c r="G399" s="2">
        <v>7</v>
      </c>
      <c r="H399" s="2" t="s">
        <v>14591</v>
      </c>
      <c r="I399" s="3">
        <f>COUNTIFS(CellDisagreements!C2:C999, A399)</f>
        <v>0</v>
      </c>
      <c r="J399" s="3" t="b">
        <f>I399 = G399</f>
        <v>0</v>
      </c>
      <c r="K399" s="3" t="str">
        <f>_xlfn.IFNA(INDEX(RulebookFields!G2:G999, MATCH(D399,RulebookFields!A2:A999, 0)), "")</f>
      </c>
      <c r="L399" s="3" t="str">
        <f>_xlfn.IFNA(INDEX(ConformanceSubstrates!C2:C999, MATCH(C399,ConformanceSubstrates!A2:A999, 0)), "")</f>
        <v>TypeScript</v>
      </c>
      <c r="M399" s="2" t="s">
        <v>1902</v>
      </c>
    </row>
    <row r="400">
      <c r="A400" s="2" t="s">
        <v>14990</v>
      </c>
      <c r="B400" s="3" t="str">
        <f>_xlfn.CONCAT(C400, " / ", D400)</f>
        <v>effortless-typescript / DeliveredCommunications.ContentMatchesApproval</v>
      </c>
      <c r="C400" s="2" t="s">
        <v>13975</v>
      </c>
      <c r="D400" s="2" t="s">
        <v>5052</v>
      </c>
      <c r="E400" s="2" t="s">
        <v>14569</v>
      </c>
      <c r="F400" s="2" t="s">
        <v>2389</v>
      </c>
      <c r="G400" s="2">
        <v>1</v>
      </c>
      <c r="H400" s="2" t="s">
        <v>14591</v>
      </c>
      <c r="I400" s="3">
        <f>COUNTIFS(CellDisagreements!C2:C999, A400)</f>
        <v>0</v>
      </c>
      <c r="J400" s="3" t="b">
        <f>I400 = G400</f>
        <v>0</v>
      </c>
      <c r="K400" s="3" t="str">
        <f>_xlfn.IFNA(INDEX(RulebookFields!G2:G999, MATCH(D400,RulebookFields!A2:A999, 0)), "")</f>
      </c>
      <c r="L400" s="3" t="str">
        <f>_xlfn.IFNA(INDEX(ConformanceSubstrates!C2:C999, MATCH(C400,ConformanceSubstrates!A2:A999, 0)), "")</f>
        <v>TypeScript</v>
      </c>
      <c r="M400" s="2" t="s">
        <v>1902</v>
      </c>
    </row>
    <row r="401">
      <c r="A401" s="2" t="s">
        <v>14991</v>
      </c>
      <c r="B401" s="3" t="str">
        <f>_xlfn.CONCAT(C401, " / ", D401)</f>
        <v>effortless-typescript / ProcessMiningRuns.Name</v>
      </c>
      <c r="C401" s="2" t="s">
        <v>13975</v>
      </c>
      <c r="D401" s="2" t="s">
        <v>5589</v>
      </c>
      <c r="E401" s="2" t="s">
        <v>14586</v>
      </c>
      <c r="F401" s="2" t="s">
        <v>2389</v>
      </c>
      <c r="G401" s="2">
        <v>4</v>
      </c>
      <c r="H401" s="2" t="s">
        <v>14591</v>
      </c>
      <c r="I401" s="3">
        <f>COUNTIFS(CellDisagreements!C2:C999, A401)</f>
        <v>0</v>
      </c>
      <c r="J401" s="3" t="b">
        <f>I401 = G401</f>
        <v>0</v>
      </c>
      <c r="K401" s="3" t="str">
        <f>_xlfn.IFNA(INDEX(RulebookFields!G2:G999, MATCH(D401,RulebookFields!A2:A999, 0)), "")</f>
      </c>
      <c r="L401" s="3" t="str">
        <f>_xlfn.IFNA(INDEX(ConformanceSubstrates!C2:C999, MATCH(C401,ConformanceSubstrates!A2:A999, 0)), "")</f>
        <v>TypeScript</v>
      </c>
      <c r="M401" s="2" t="s">
        <v>1902</v>
      </c>
    </row>
  </sheetData>
  <autoFilter ref="A1:M1"/>
  <headerFooter/>
  <legacyDrawing r:id="rId1"/>
</worksheet>
</file>

<file path=xl/worksheets/sheet9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1726"/>
  <sheetViews>
    <sheetView workbookViewId="0">
      <pane ySplit="1" topLeftCell="A2" state="frozen" activePane="bottomLeft"/>
      <selection pane="bottomLeft" activeCell="A1" sqref="A1"/>
    </sheetView>
  </sheetViews>
  <sheetFormatPr defaultRowHeight="15"/>
  <cols>
    <col min="1" max="1" width="123.15229034423828" customWidth="1"/>
    <col min="2" max="2" width="125.73650360107422" customWidth="1"/>
    <col min="3" max="3" width="77.70783996582031" customWidth="1"/>
    <col min="4" max="4" width="81.03633117675781" customWidth="1"/>
    <col min="5" max="5" width="64.48743438720703" customWidth="1"/>
    <col min="6" max="6" width="61.402671813964844" customWidth="1"/>
    <col min="7" max="7" width="17.86225700378418" customWidth="1"/>
    <col min="8" max="8" width="26.533050537109375" customWidth="1"/>
    <col min="9" max="9" width="57.197689056396484" customWidth="1"/>
    <col min="10" max="10" width="45.38083267211914" customWidth="1"/>
  </cols>
  <sheetData>
    <row r="1">
      <c r="A1" s="1" t="s">
        <v>5900</v>
      </c>
      <c r="B1" s="1" t="s">
        <v>1</v>
      </c>
      <c r="C1" s="1" t="s">
        <v>5904</v>
      </c>
      <c r="D1" s="1" t="s">
        <v>5906</v>
      </c>
      <c r="E1" s="1" t="s">
        <v>5908</v>
      </c>
      <c r="F1" s="1" t="s">
        <v>5910</v>
      </c>
      <c r="G1" s="1" t="s">
        <v>257</v>
      </c>
      <c r="H1" s="1" t="s">
        <v>5793</v>
      </c>
      <c r="I1" s="1" t="s">
        <v>5882</v>
      </c>
      <c r="J1" s="1" t="s">
        <v>94</v>
      </c>
    </row>
    <row r="2">
      <c r="A2" s="2" t="s">
        <v>14992</v>
      </c>
      <c r="B2" s="3" t="str">
        <f>_xlfn.CONCAT(C2, " @ ", D2)</f>
        <v>effortless-postgres|EvaluationContexts.Name @ eval-current</v>
      </c>
      <c r="C2" s="2" t="s">
        <v>14590</v>
      </c>
      <c r="D2" s="2" t="s">
        <v>95</v>
      </c>
      <c r="E2" s="2" t="s">
        <v>14993</v>
      </c>
      <c r="F2" s="2" t="s">
        <v>14994</v>
      </c>
      <c r="G2" s="2" t="s">
        <v>14591</v>
      </c>
      <c r="H2" s="3" t="str">
        <f>_xlfn.IFNA(INDEX(FieldDisagreements!C2:C999, MATCH(C2,FieldDisagreements!A2:A999, 0)), "")</f>
        <v>effortless-postgres</v>
      </c>
      <c r="I2" s="3" t="str">
        <f>_xlfn.IFNA(INDEX(FieldDisagreements!D2:D999, MATCH(C2,FieldDisagreements!A2:A999, 0)), "")</f>
        <v>EvaluationContexts.Name</v>
      </c>
      <c r="J2" s="2" t="s">
        <v>1906</v>
      </c>
    </row>
    <row r="3">
      <c r="A3" s="2" t="s">
        <v>14995</v>
      </c>
      <c r="B3" s="3" t="str">
        <f>_xlfn.CONCAT(C3, " @ ", D3)</f>
        <v>effortless-postgres|RoleAssignments.Name @ ra-authority-2026</v>
      </c>
      <c r="C3" s="2" t="s">
        <v>14592</v>
      </c>
      <c r="D3" s="2" t="s">
        <v>251</v>
      </c>
      <c r="E3" s="2" t="s">
        <v>14996</v>
      </c>
      <c r="F3" s="2" t="s">
        <v>14997</v>
      </c>
      <c r="G3" s="2" t="s">
        <v>14591</v>
      </c>
      <c r="H3" s="3" t="str">
        <f>_xlfn.IFNA(INDEX(FieldDisagreements!C2:C999, MATCH(C3,FieldDisagreements!A2:A999, 0)), "")</f>
        <v>effortless-postgres</v>
      </c>
      <c r="I3" s="3" t="str">
        <f>_xlfn.IFNA(INDEX(FieldDisagreements!D2:D999, MATCH(C3,FieldDisagreements!A2:A999, 0)), "")</f>
        <v>RoleAssignments.Name</v>
      </c>
      <c r="J3" s="2" t="s">
        <v>1906</v>
      </c>
    </row>
    <row r="4">
      <c r="A4" s="2" t="s">
        <v>14998</v>
      </c>
      <c r="B4" s="3" t="str">
        <f>_xlfn.CONCAT(C4, " @ ", D4)</f>
        <v>effortless-postgres|RoleAssignments.Name @ ra-cfo-2026</v>
      </c>
      <c r="C4" s="2" t="s">
        <v>14592</v>
      </c>
      <c r="D4" s="2" t="s">
        <v>215</v>
      </c>
      <c r="E4" s="2" t="s">
        <v>14999</v>
      </c>
      <c r="F4" s="2" t="s">
        <v>15000</v>
      </c>
      <c r="G4" s="2" t="s">
        <v>14591</v>
      </c>
      <c r="H4" s="3" t="str">
        <f>_xlfn.IFNA(INDEX(FieldDisagreements!C2:C999, MATCH(C4,FieldDisagreements!A2:A999, 0)), "")</f>
        <v>effortless-postgres</v>
      </c>
      <c r="I4" s="3" t="str">
        <f>_xlfn.IFNA(INDEX(FieldDisagreements!D2:D999, MATCH(C4,FieldDisagreements!A2:A999, 0)), "")</f>
        <v>RoleAssignments.Name</v>
      </c>
      <c r="J4" s="2" t="s">
        <v>1906</v>
      </c>
    </row>
    <row r="5">
      <c r="A5" s="2" t="s">
        <v>15001</v>
      </c>
      <c r="B5" s="3" t="str">
        <f>_xlfn.CONCAT(C5, " @ ", D5)</f>
        <v>effortless-postgres|RoleAssignments.Name @ ra-close-pipeline-2026</v>
      </c>
      <c r="C5" s="2" t="s">
        <v>14592</v>
      </c>
      <c r="D5" s="2" t="s">
        <v>231</v>
      </c>
      <c r="E5" s="2" t="s">
        <v>15002</v>
      </c>
      <c r="F5" s="2" t="s">
        <v>15003</v>
      </c>
      <c r="G5" s="2" t="s">
        <v>14591</v>
      </c>
      <c r="H5" s="3" t="str">
        <f>_xlfn.IFNA(INDEX(FieldDisagreements!C2:C999, MATCH(C5,FieldDisagreements!A2:A999, 0)), "")</f>
        <v>effortless-postgres</v>
      </c>
      <c r="I5" s="3" t="str">
        <f>_xlfn.IFNA(INDEX(FieldDisagreements!D2:D999, MATCH(C5,FieldDisagreements!A2:A999, 0)), "")</f>
        <v>RoleAssignments.Name</v>
      </c>
      <c r="J5" s="2" t="s">
        <v>1906</v>
      </c>
    </row>
    <row r="6">
      <c r="A6" s="2" t="s">
        <v>15004</v>
      </c>
      <c r="B6" s="3" t="str">
        <f>_xlfn.CONCAT(C6, " @ ", D6)</f>
        <v>effortless-postgres|RoleAssignments.Name @ ra-comms-2026</v>
      </c>
      <c r="C6" s="2" t="s">
        <v>14592</v>
      </c>
      <c r="D6" s="2" t="s">
        <v>227</v>
      </c>
      <c r="E6" s="2" t="s">
        <v>15005</v>
      </c>
      <c r="F6" s="2" t="s">
        <v>15006</v>
      </c>
      <c r="G6" s="2" t="s">
        <v>14591</v>
      </c>
      <c r="H6" s="3" t="str">
        <f>_xlfn.IFNA(INDEX(FieldDisagreements!C2:C999, MATCH(C6,FieldDisagreements!A2:A999, 0)), "")</f>
        <v>effortless-postgres</v>
      </c>
      <c r="I6" s="3" t="str">
        <f>_xlfn.IFNA(INDEX(FieldDisagreements!D2:D999, MATCH(C6,FieldDisagreements!A2:A999, 0)), "")</f>
        <v>RoleAssignments.Name</v>
      </c>
      <c r="J6" s="2" t="s">
        <v>1906</v>
      </c>
    </row>
    <row r="7">
      <c r="A7" s="2" t="s">
        <v>15007</v>
      </c>
      <c r="B7" s="3" t="str">
        <f>_xlfn.CONCAT(C7, " @ ", D7)</f>
        <v>effortless-postgres|RoleAssignments.Name @ ra-controller-2026</v>
      </c>
      <c r="C7" s="2" t="s">
        <v>14592</v>
      </c>
      <c r="D7" s="2" t="s">
        <v>211</v>
      </c>
      <c r="E7" s="2" t="s">
        <v>15008</v>
      </c>
      <c r="F7" s="2" t="s">
        <v>15009</v>
      </c>
      <c r="G7" s="2" t="s">
        <v>14591</v>
      </c>
      <c r="H7" s="3" t="str">
        <f>_xlfn.IFNA(INDEX(FieldDisagreements!C2:C999, MATCH(C7,FieldDisagreements!A2:A999, 0)), "")</f>
        <v>effortless-postgres</v>
      </c>
      <c r="I7" s="3" t="str">
        <f>_xlfn.IFNA(INDEX(FieldDisagreements!D2:D999, MATCH(C7,FieldDisagreements!A2:A999, 0)), "")</f>
        <v>RoleAssignments.Name</v>
      </c>
      <c r="J7" s="2" t="s">
        <v>1906</v>
      </c>
    </row>
    <row r="8">
      <c r="A8" s="2" t="s">
        <v>15010</v>
      </c>
      <c r="B8" s="3" t="str">
        <f>_xlfn.CONCAT(C8, " @ ", D8)</f>
        <v>effortless-postgres|RoleAssignments.Name @ ra-counsel-2026</v>
      </c>
      <c r="C8" s="2" t="s">
        <v>14592</v>
      </c>
      <c r="D8" s="2" t="s">
        <v>223</v>
      </c>
      <c r="E8" s="2" t="s">
        <v>15011</v>
      </c>
      <c r="F8" s="2" t="s">
        <v>15012</v>
      </c>
      <c r="G8" s="2" t="s">
        <v>14591</v>
      </c>
      <c r="H8" s="3" t="str">
        <f>_xlfn.IFNA(INDEX(FieldDisagreements!C2:C999, MATCH(C8,FieldDisagreements!A2:A999, 0)), "")</f>
        <v>effortless-postgres</v>
      </c>
      <c r="I8" s="3" t="str">
        <f>_xlfn.IFNA(INDEX(FieldDisagreements!D2:D999, MATCH(C8,FieldDisagreements!A2:A999, 0)), "")</f>
        <v>RoleAssignments.Name</v>
      </c>
      <c r="J8" s="2" t="s">
        <v>1906</v>
      </c>
    </row>
    <row r="9">
      <c r="A9" s="2" t="s">
        <v>15013</v>
      </c>
      <c r="B9" s="3" t="str">
        <f>_xlfn.CONCAT(C9, " @ ", D9)</f>
        <v>effortless-postgres|RoleAssignments.Name @ ra-finance-2026</v>
      </c>
      <c r="C9" s="2" t="s">
        <v>14592</v>
      </c>
      <c r="D9" s="2" t="s">
        <v>206</v>
      </c>
      <c r="E9" s="2" t="s">
        <v>15014</v>
      </c>
      <c r="F9" s="2" t="s">
        <v>15015</v>
      </c>
      <c r="G9" s="2" t="s">
        <v>14591</v>
      </c>
      <c r="H9" s="3" t="str">
        <f>_xlfn.IFNA(INDEX(FieldDisagreements!C2:C999, MATCH(C9,FieldDisagreements!A2:A999, 0)), "")</f>
        <v>effortless-postgres</v>
      </c>
      <c r="I9" s="3" t="str">
        <f>_xlfn.IFNA(INDEX(FieldDisagreements!D2:D999, MATCH(C9,FieldDisagreements!A2:A999, 0)), "")</f>
        <v>RoleAssignments.Name</v>
      </c>
      <c r="J9" s="2" t="s">
        <v>1906</v>
      </c>
    </row>
    <row r="10">
      <c r="A10" s="2" t="s">
        <v>15016</v>
      </c>
      <c r="B10" s="3" t="str">
        <f>_xlfn.CONCAT(C10, " @ ", D10)</f>
        <v>effortless-postgres|RoleAssignments.Name @ ra-new-variance</v>
      </c>
      <c r="C10" s="2" t="s">
        <v>14592</v>
      </c>
      <c r="D10" s="2" t="s">
        <v>235</v>
      </c>
      <c r="E10" s="2" t="s">
        <v>15017</v>
      </c>
      <c r="F10" s="2" t="s">
        <v>15018</v>
      </c>
      <c r="G10" s="2" t="s">
        <v>14591</v>
      </c>
      <c r="H10" s="3" t="str">
        <f>_xlfn.IFNA(INDEX(FieldDisagreements!C2:C999, MATCH(C10,FieldDisagreements!A2:A999, 0)), "")</f>
        <v>effortless-postgres</v>
      </c>
      <c r="I10" s="3" t="str">
        <f>_xlfn.IFNA(INDEX(FieldDisagreements!D2:D999, MATCH(C10,FieldDisagreements!A2:A999, 0)), "")</f>
        <v>RoleAssignments.Name</v>
      </c>
      <c r="J10" s="2" t="s">
        <v>1906</v>
      </c>
    </row>
    <row r="11">
      <c r="A11" s="2" t="s">
        <v>15019</v>
      </c>
      <c r="B11" s="3" t="str">
        <f>_xlfn.CONCAT(C11, " @ ", D11)</f>
        <v>effortless-postgres|RoleAssignments.Name @ ra-notify-pipeline-2026</v>
      </c>
      <c r="C11" s="2" t="s">
        <v>14592</v>
      </c>
      <c r="D11" s="2" t="s">
        <v>243</v>
      </c>
      <c r="E11" s="2" t="s">
        <v>15020</v>
      </c>
      <c r="F11" s="2" t="s">
        <v>15021</v>
      </c>
      <c r="G11" s="2" t="s">
        <v>14591</v>
      </c>
      <c r="H11" s="3" t="str">
        <f>_xlfn.IFNA(INDEX(FieldDisagreements!C2:C999, MATCH(C11,FieldDisagreements!A2:A999, 0)), "")</f>
        <v>effortless-postgres</v>
      </c>
      <c r="I11" s="3" t="str">
        <f>_xlfn.IFNA(INDEX(FieldDisagreements!D2:D999, MATCH(C11,FieldDisagreements!A2:A999, 0)), "")</f>
        <v>RoleAssignments.Name</v>
      </c>
      <c r="J11" s="2" t="s">
        <v>1906</v>
      </c>
    </row>
    <row r="12">
      <c r="A12" s="2" t="s">
        <v>15022</v>
      </c>
      <c r="B12" s="3" t="str">
        <f>_xlfn.CONCAT(C12, " @ ", D12)</f>
        <v>effortless-postgres|RoleAssignments.Name @ ra-old-variance</v>
      </c>
      <c r="C12" s="2" t="s">
        <v>14592</v>
      </c>
      <c r="D12" s="2" t="s">
        <v>316</v>
      </c>
      <c r="E12" s="2" t="s">
        <v>15023</v>
      </c>
      <c r="F12" s="2" t="s">
        <v>15024</v>
      </c>
      <c r="G12" s="2" t="s">
        <v>14591</v>
      </c>
      <c r="H12" s="3" t="str">
        <f>_xlfn.IFNA(INDEX(FieldDisagreements!C2:C999, MATCH(C12,FieldDisagreements!A2:A999, 0)), "")</f>
        <v>effortless-postgres</v>
      </c>
      <c r="I12" s="3" t="str">
        <f>_xlfn.IFNA(INDEX(FieldDisagreements!D2:D999, MATCH(C12,FieldDisagreements!A2:A999, 0)), "")</f>
        <v>RoleAssignments.Name</v>
      </c>
      <c r="J12" s="2" t="s">
        <v>1906</v>
      </c>
    </row>
    <row r="13">
      <c r="A13" s="2" t="s">
        <v>15025</v>
      </c>
      <c r="B13" s="3" t="str">
        <f>_xlfn.CONCAT(C13, " @ ", D13)</f>
        <v>effortless-postgres|RoleAssignments.Name @ ra-policy-ai-2026</v>
      </c>
      <c r="C13" s="2" t="s">
        <v>14592</v>
      </c>
      <c r="D13" s="2" t="s">
        <v>239</v>
      </c>
      <c r="E13" s="2" t="s">
        <v>15026</v>
      </c>
      <c r="F13" s="2" t="s">
        <v>15027</v>
      </c>
      <c r="G13" s="2" t="s">
        <v>14591</v>
      </c>
      <c r="H13" s="3" t="str">
        <f>_xlfn.IFNA(INDEX(FieldDisagreements!C2:C999, MATCH(C13,FieldDisagreements!A2:A999, 0)), "")</f>
        <v>effortless-postgres</v>
      </c>
      <c r="I13" s="3" t="str">
        <f>_xlfn.IFNA(INDEX(FieldDisagreements!D2:D999, MATCH(C13,FieldDisagreements!A2:A999, 0)), "")</f>
        <v>RoleAssignments.Name</v>
      </c>
      <c r="J13" s="2" t="s">
        <v>1906</v>
      </c>
    </row>
    <row r="14">
      <c r="A14" s="2" t="s">
        <v>15028</v>
      </c>
      <c r="B14" s="3" t="str">
        <f>_xlfn.CONCAT(C14, " @ ", D14)</f>
        <v>effortless-postgres|RoleAssignments.Name @ ra-policy-owner-2026</v>
      </c>
      <c r="C14" s="2" t="s">
        <v>14592</v>
      </c>
      <c r="D14" s="2" t="s">
        <v>219</v>
      </c>
      <c r="E14" s="2" t="s">
        <v>15029</v>
      </c>
      <c r="F14" s="2" t="s">
        <v>15030</v>
      </c>
      <c r="G14" s="2" t="s">
        <v>14591</v>
      </c>
      <c r="H14" s="3" t="str">
        <f>_xlfn.IFNA(INDEX(FieldDisagreements!C2:C999, MATCH(C14,FieldDisagreements!A2:A999, 0)), "")</f>
        <v>effortless-postgres</v>
      </c>
      <c r="I14" s="3" t="str">
        <f>_xlfn.IFNA(INDEX(FieldDisagreements!D2:D999, MATCH(C14,FieldDisagreements!A2:A999, 0)), "")</f>
        <v>RoleAssignments.Name</v>
      </c>
      <c r="J14" s="2" t="s">
        <v>1906</v>
      </c>
    </row>
    <row r="15">
      <c r="A15" s="2" t="s">
        <v>15031</v>
      </c>
      <c r="B15" s="3" t="str">
        <f>_xlfn.CONCAT(C15, " @ ", D15)</f>
        <v>effortless-postgres|RoleAssignments.Name @ ra-steward-2026</v>
      </c>
      <c r="C15" s="2" t="s">
        <v>14592</v>
      </c>
      <c r="D15" s="2" t="s">
        <v>247</v>
      </c>
      <c r="E15" s="2" t="s">
        <v>15032</v>
      </c>
      <c r="F15" s="2" t="s">
        <v>15033</v>
      </c>
      <c r="G15" s="2" t="s">
        <v>14591</v>
      </c>
      <c r="H15" s="3" t="str">
        <f>_xlfn.IFNA(INDEX(FieldDisagreements!C2:C999, MATCH(C15,FieldDisagreements!A2:A999, 0)), "")</f>
        <v>effortless-postgres</v>
      </c>
      <c r="I15" s="3" t="str">
        <f>_xlfn.IFNA(INDEX(FieldDisagreements!D2:D999, MATCH(C15,FieldDisagreements!A2:A999, 0)), "")</f>
        <v>RoleAssignments.Name</v>
      </c>
      <c r="J15" s="2" t="s">
        <v>1906</v>
      </c>
    </row>
    <row r="16">
      <c r="A16" s="2" t="s">
        <v>15034</v>
      </c>
      <c r="B16" s="3" t="str">
        <f>_xlfn.CONCAT(C16, " @ ", D16)</f>
        <v>effortless-postgres|RoleAssignments.QualityVerdictIsUnsupported @ ra-authority-2026</v>
      </c>
      <c r="C16" s="2" t="s">
        <v>14593</v>
      </c>
      <c r="D16" s="2" t="s">
        <v>251</v>
      </c>
      <c r="E16" s="2" t="s">
        <v>15035</v>
      </c>
      <c r="F16" s="2" t="s">
        <v>15036</v>
      </c>
      <c r="G16" s="2" t="s">
        <v>14591</v>
      </c>
      <c r="H16" s="3" t="str">
        <f>_xlfn.IFNA(INDEX(FieldDisagreements!C2:C999, MATCH(C16,FieldDisagreements!A2:A999, 0)), "")</f>
        <v>effortless-postgres</v>
      </c>
      <c r="I16" s="3" t="str">
        <f>_xlfn.IFNA(INDEX(FieldDisagreements!D2:D999, MATCH(C16,FieldDisagreements!A2:A999, 0)), "")</f>
        <v>RoleAssignments.QualityVerdictIsUnsupported</v>
      </c>
      <c r="J16" s="2" t="s">
        <v>1906</v>
      </c>
    </row>
    <row r="17">
      <c r="A17" s="2" t="s">
        <v>15037</v>
      </c>
      <c r="B17" s="3" t="str">
        <f>_xlfn.CONCAT(C17, " @ ", D17)</f>
        <v>effortless-postgres|RoleAssignments.QualityVerdictIsUnsupported @ ra-cfo-2026</v>
      </c>
      <c r="C17" s="2" t="s">
        <v>14593</v>
      </c>
      <c r="D17" s="2" t="s">
        <v>215</v>
      </c>
      <c r="E17" s="2" t="s">
        <v>15035</v>
      </c>
      <c r="F17" s="2" t="s">
        <v>15036</v>
      </c>
      <c r="G17" s="2" t="s">
        <v>14591</v>
      </c>
      <c r="H17" s="3" t="str">
        <f>_xlfn.IFNA(INDEX(FieldDisagreements!C2:C999, MATCH(C17,FieldDisagreements!A2:A999, 0)), "")</f>
        <v>effortless-postgres</v>
      </c>
      <c r="I17" s="3" t="str">
        <f>_xlfn.IFNA(INDEX(FieldDisagreements!D2:D999, MATCH(C17,FieldDisagreements!A2:A999, 0)), "")</f>
        <v>RoleAssignments.QualityVerdictIsUnsupported</v>
      </c>
      <c r="J17" s="2" t="s">
        <v>1906</v>
      </c>
    </row>
    <row r="18">
      <c r="A18" s="2" t="s">
        <v>15038</v>
      </c>
      <c r="B18" s="3" t="str">
        <f>_xlfn.CONCAT(C18, " @ ", D18)</f>
        <v>effortless-postgres|RoleAssignments.QualityVerdictIsUnsupported @ ra-close-pipeline-2026</v>
      </c>
      <c r="C18" s="2" t="s">
        <v>14593</v>
      </c>
      <c r="D18" s="2" t="s">
        <v>231</v>
      </c>
      <c r="E18" s="2" t="s">
        <v>15035</v>
      </c>
      <c r="F18" s="2" t="s">
        <v>15036</v>
      </c>
      <c r="G18" s="2" t="s">
        <v>14591</v>
      </c>
      <c r="H18" s="3" t="str">
        <f>_xlfn.IFNA(INDEX(FieldDisagreements!C2:C999, MATCH(C18,FieldDisagreements!A2:A999, 0)), "")</f>
        <v>effortless-postgres</v>
      </c>
      <c r="I18" s="3" t="str">
        <f>_xlfn.IFNA(INDEX(FieldDisagreements!D2:D999, MATCH(C18,FieldDisagreements!A2:A999, 0)), "")</f>
        <v>RoleAssignments.QualityVerdictIsUnsupported</v>
      </c>
      <c r="J18" s="2" t="s">
        <v>1906</v>
      </c>
    </row>
    <row r="19">
      <c r="A19" s="2" t="s">
        <v>15039</v>
      </c>
      <c r="B19" s="3" t="str">
        <f>_xlfn.CONCAT(C19, " @ ", D19)</f>
        <v>effortless-postgres|RoleAssignments.QualityVerdictIsUnsupported @ ra-comms-2026</v>
      </c>
      <c r="C19" s="2" t="s">
        <v>14593</v>
      </c>
      <c r="D19" s="2" t="s">
        <v>227</v>
      </c>
      <c r="E19" s="2" t="s">
        <v>15035</v>
      </c>
      <c r="F19" s="2" t="s">
        <v>15036</v>
      </c>
      <c r="G19" s="2" t="s">
        <v>14591</v>
      </c>
      <c r="H19" s="3" t="str">
        <f>_xlfn.IFNA(INDEX(FieldDisagreements!C2:C999, MATCH(C19,FieldDisagreements!A2:A999, 0)), "")</f>
        <v>effortless-postgres</v>
      </c>
      <c r="I19" s="3" t="str">
        <f>_xlfn.IFNA(INDEX(FieldDisagreements!D2:D999, MATCH(C19,FieldDisagreements!A2:A999, 0)), "")</f>
        <v>RoleAssignments.QualityVerdictIsUnsupported</v>
      </c>
      <c r="J19" s="2" t="s">
        <v>1906</v>
      </c>
    </row>
    <row r="20">
      <c r="A20" s="2" t="s">
        <v>15040</v>
      </c>
      <c r="B20" s="3" t="str">
        <f>_xlfn.CONCAT(C20, " @ ", D20)</f>
        <v>effortless-postgres|RoleAssignments.QualityVerdictIsUnsupported @ ra-controller-2026</v>
      </c>
      <c r="C20" s="2" t="s">
        <v>14593</v>
      </c>
      <c r="D20" s="2" t="s">
        <v>211</v>
      </c>
      <c r="E20" s="2" t="s">
        <v>15035</v>
      </c>
      <c r="F20" s="2" t="s">
        <v>15036</v>
      </c>
      <c r="G20" s="2" t="s">
        <v>14591</v>
      </c>
      <c r="H20" s="3" t="str">
        <f>_xlfn.IFNA(INDEX(FieldDisagreements!C2:C999, MATCH(C20,FieldDisagreements!A2:A999, 0)), "")</f>
        <v>effortless-postgres</v>
      </c>
      <c r="I20" s="3" t="str">
        <f>_xlfn.IFNA(INDEX(FieldDisagreements!D2:D999, MATCH(C20,FieldDisagreements!A2:A999, 0)), "")</f>
        <v>RoleAssignments.QualityVerdictIsUnsupported</v>
      </c>
      <c r="J20" s="2" t="s">
        <v>1906</v>
      </c>
    </row>
    <row r="21">
      <c r="A21" s="2" t="s">
        <v>15041</v>
      </c>
      <c r="B21" s="3" t="str">
        <f>_xlfn.CONCAT(C21, " @ ", D21)</f>
        <v>effortless-postgres|RoleAssignments.QualityVerdictIsUnsupported @ ra-counsel-2026</v>
      </c>
      <c r="C21" s="2" t="s">
        <v>14593</v>
      </c>
      <c r="D21" s="2" t="s">
        <v>223</v>
      </c>
      <c r="E21" s="2" t="s">
        <v>15035</v>
      </c>
      <c r="F21" s="2" t="s">
        <v>15036</v>
      </c>
      <c r="G21" s="2" t="s">
        <v>14591</v>
      </c>
      <c r="H21" s="3" t="str">
        <f>_xlfn.IFNA(INDEX(FieldDisagreements!C2:C999, MATCH(C21,FieldDisagreements!A2:A999, 0)), "")</f>
        <v>effortless-postgres</v>
      </c>
      <c r="I21" s="3" t="str">
        <f>_xlfn.IFNA(INDEX(FieldDisagreements!D2:D999, MATCH(C21,FieldDisagreements!A2:A999, 0)), "")</f>
        <v>RoleAssignments.QualityVerdictIsUnsupported</v>
      </c>
      <c r="J21" s="2" t="s">
        <v>1906</v>
      </c>
    </row>
    <row r="22">
      <c r="A22" s="2" t="s">
        <v>15042</v>
      </c>
      <c r="B22" s="3" t="str">
        <f>_xlfn.CONCAT(C22, " @ ", D22)</f>
        <v>effortless-postgres|RoleAssignments.QualityVerdictIsUnsupported @ ra-finance-2026</v>
      </c>
      <c r="C22" s="2" t="s">
        <v>14593</v>
      </c>
      <c r="D22" s="2" t="s">
        <v>206</v>
      </c>
      <c r="E22" s="2" t="s">
        <v>15035</v>
      </c>
      <c r="F22" s="2" t="s">
        <v>15036</v>
      </c>
      <c r="G22" s="2" t="s">
        <v>14591</v>
      </c>
      <c r="H22" s="3" t="str">
        <f>_xlfn.IFNA(INDEX(FieldDisagreements!C2:C999, MATCH(C22,FieldDisagreements!A2:A999, 0)), "")</f>
        <v>effortless-postgres</v>
      </c>
      <c r="I22" s="3" t="str">
        <f>_xlfn.IFNA(INDEX(FieldDisagreements!D2:D999, MATCH(C22,FieldDisagreements!A2:A999, 0)), "")</f>
        <v>RoleAssignments.QualityVerdictIsUnsupported</v>
      </c>
      <c r="J22" s="2" t="s">
        <v>1906</v>
      </c>
    </row>
    <row r="23">
      <c r="A23" s="2" t="s">
        <v>15043</v>
      </c>
      <c r="B23" s="3" t="str">
        <f>_xlfn.CONCAT(C23, " @ ", D23)</f>
        <v>effortless-postgres|RoleAssignments.QualityVerdictIsUnsupported @ ra-new-variance</v>
      </c>
      <c r="C23" s="2" t="s">
        <v>14593</v>
      </c>
      <c r="D23" s="2" t="s">
        <v>235</v>
      </c>
      <c r="E23" s="2" t="s">
        <v>15035</v>
      </c>
      <c r="F23" s="2" t="s">
        <v>15036</v>
      </c>
      <c r="G23" s="2" t="s">
        <v>14591</v>
      </c>
      <c r="H23" s="3" t="str">
        <f>_xlfn.IFNA(INDEX(FieldDisagreements!C2:C999, MATCH(C23,FieldDisagreements!A2:A999, 0)), "")</f>
        <v>effortless-postgres</v>
      </c>
      <c r="I23" s="3" t="str">
        <f>_xlfn.IFNA(INDEX(FieldDisagreements!D2:D999, MATCH(C23,FieldDisagreements!A2:A999, 0)), "")</f>
        <v>RoleAssignments.QualityVerdictIsUnsupported</v>
      </c>
      <c r="J23" s="2" t="s">
        <v>1906</v>
      </c>
    </row>
    <row r="24">
      <c r="A24" s="2" t="s">
        <v>15044</v>
      </c>
      <c r="B24" s="3" t="str">
        <f>_xlfn.CONCAT(C24, " @ ", D24)</f>
        <v>effortless-postgres|RoleAssignments.QualityVerdictIsUnsupported @ ra-notify-pipeline-2026</v>
      </c>
      <c r="C24" s="2" t="s">
        <v>14593</v>
      </c>
      <c r="D24" s="2" t="s">
        <v>243</v>
      </c>
      <c r="E24" s="2" t="s">
        <v>15035</v>
      </c>
      <c r="F24" s="2" t="s">
        <v>15036</v>
      </c>
      <c r="G24" s="2" t="s">
        <v>14591</v>
      </c>
      <c r="H24" s="3" t="str">
        <f>_xlfn.IFNA(INDEX(FieldDisagreements!C2:C999, MATCH(C24,FieldDisagreements!A2:A999, 0)), "")</f>
        <v>effortless-postgres</v>
      </c>
      <c r="I24" s="3" t="str">
        <f>_xlfn.IFNA(INDEX(FieldDisagreements!D2:D999, MATCH(C24,FieldDisagreements!A2:A999, 0)), "")</f>
        <v>RoleAssignments.QualityVerdictIsUnsupported</v>
      </c>
      <c r="J24" s="2" t="s">
        <v>1906</v>
      </c>
    </row>
    <row r="25">
      <c r="A25" s="2" t="s">
        <v>15045</v>
      </c>
      <c r="B25" s="3" t="str">
        <f>_xlfn.CONCAT(C25, " @ ", D25)</f>
        <v>effortless-postgres|RoleAssignments.QualityVerdictIsUnsupported @ ra-old-variance</v>
      </c>
      <c r="C25" s="2" t="s">
        <v>14593</v>
      </c>
      <c r="D25" s="2" t="s">
        <v>316</v>
      </c>
      <c r="E25" s="2" t="s">
        <v>15035</v>
      </c>
      <c r="F25" s="2" t="s">
        <v>15036</v>
      </c>
      <c r="G25" s="2" t="s">
        <v>14591</v>
      </c>
      <c r="H25" s="3" t="str">
        <f>_xlfn.IFNA(INDEX(FieldDisagreements!C2:C999, MATCH(C25,FieldDisagreements!A2:A999, 0)), "")</f>
        <v>effortless-postgres</v>
      </c>
      <c r="I25" s="3" t="str">
        <f>_xlfn.IFNA(INDEX(FieldDisagreements!D2:D999, MATCH(C25,FieldDisagreements!A2:A999, 0)), "")</f>
        <v>RoleAssignments.QualityVerdictIsUnsupported</v>
      </c>
      <c r="J25" s="2" t="s">
        <v>1906</v>
      </c>
    </row>
    <row r="26">
      <c r="A26" s="2" t="s">
        <v>15046</v>
      </c>
      <c r="B26" s="3" t="str">
        <f>_xlfn.CONCAT(C26, " @ ", D26)</f>
        <v>effortless-postgres|RoleAssignments.QualityVerdictIsUnsupported @ ra-policy-ai-2026</v>
      </c>
      <c r="C26" s="2" t="s">
        <v>14593</v>
      </c>
      <c r="D26" s="2" t="s">
        <v>239</v>
      </c>
      <c r="E26" s="2" t="s">
        <v>15035</v>
      </c>
      <c r="F26" s="2" t="s">
        <v>15036</v>
      </c>
      <c r="G26" s="2" t="s">
        <v>14591</v>
      </c>
      <c r="H26" s="3" t="str">
        <f>_xlfn.IFNA(INDEX(FieldDisagreements!C2:C999, MATCH(C26,FieldDisagreements!A2:A999, 0)), "")</f>
        <v>effortless-postgres</v>
      </c>
      <c r="I26" s="3" t="str">
        <f>_xlfn.IFNA(INDEX(FieldDisagreements!D2:D999, MATCH(C26,FieldDisagreements!A2:A999, 0)), "")</f>
        <v>RoleAssignments.QualityVerdictIsUnsupported</v>
      </c>
      <c r="J26" s="2" t="s">
        <v>1906</v>
      </c>
    </row>
    <row r="27">
      <c r="A27" s="2" t="s">
        <v>15047</v>
      </c>
      <c r="B27" s="3" t="str">
        <f>_xlfn.CONCAT(C27, " @ ", D27)</f>
        <v>effortless-postgres|RoleAssignments.QualityVerdictIsUnsupported @ ra-policy-owner-2026</v>
      </c>
      <c r="C27" s="2" t="s">
        <v>14593</v>
      </c>
      <c r="D27" s="2" t="s">
        <v>219</v>
      </c>
      <c r="E27" s="2" t="s">
        <v>15035</v>
      </c>
      <c r="F27" s="2" t="s">
        <v>15036</v>
      </c>
      <c r="G27" s="2" t="s">
        <v>14591</v>
      </c>
      <c r="H27" s="3" t="str">
        <f>_xlfn.IFNA(INDEX(FieldDisagreements!C2:C999, MATCH(C27,FieldDisagreements!A2:A999, 0)), "")</f>
        <v>effortless-postgres</v>
      </c>
      <c r="I27" s="3" t="str">
        <f>_xlfn.IFNA(INDEX(FieldDisagreements!D2:D999, MATCH(C27,FieldDisagreements!A2:A999, 0)), "")</f>
        <v>RoleAssignments.QualityVerdictIsUnsupported</v>
      </c>
      <c r="J27" s="2" t="s">
        <v>1906</v>
      </c>
    </row>
    <row r="28">
      <c r="A28" s="2" t="s">
        <v>15048</v>
      </c>
      <c r="B28" s="3" t="str">
        <f>_xlfn.CONCAT(C28, " @ ", D28)</f>
        <v>effortless-postgres|RoleAssignments.QualityVerdictIsUnsupported @ ra-steward-2026</v>
      </c>
      <c r="C28" s="2" t="s">
        <v>14593</v>
      </c>
      <c r="D28" s="2" t="s">
        <v>247</v>
      </c>
      <c r="E28" s="2" t="s">
        <v>15035</v>
      </c>
      <c r="F28" s="2" t="s">
        <v>15036</v>
      </c>
      <c r="G28" s="2" t="s">
        <v>14591</v>
      </c>
      <c r="H28" s="3" t="str">
        <f>_xlfn.IFNA(INDEX(FieldDisagreements!C2:C999, MATCH(C28,FieldDisagreements!A2:A999, 0)), "")</f>
        <v>effortless-postgres</v>
      </c>
      <c r="I28" s="3" t="str">
        <f>_xlfn.IFNA(INDEX(FieldDisagreements!D2:D999, MATCH(C28,FieldDisagreements!A2:A999, 0)), "")</f>
        <v>RoleAssignments.QualityVerdictIsUnsupported</v>
      </c>
      <c r="J28" s="2" t="s">
        <v>1906</v>
      </c>
    </row>
    <row r="29">
      <c r="A29" s="2" t="s">
        <v>15049</v>
      </c>
      <c r="B29" s="3" t="str">
        <f>_xlfn.CONCAT(C29, " @ ", D29)</f>
        <v>effortless-postgres|RoleAssignments.IsUnmeasuredAutomationHandover @ ra-new-variance</v>
      </c>
      <c r="C29" s="2" t="s">
        <v>14594</v>
      </c>
      <c r="D29" s="2" t="s">
        <v>235</v>
      </c>
      <c r="E29" s="2" t="s">
        <v>15035</v>
      </c>
      <c r="F29" s="2" t="s">
        <v>15036</v>
      </c>
      <c r="G29" s="2" t="s">
        <v>14591</v>
      </c>
      <c r="H29" s="3" t="str">
        <f>_xlfn.IFNA(INDEX(FieldDisagreements!C2:C999, MATCH(C29,FieldDisagreements!A2:A999, 0)), "")</f>
        <v>effortless-postgres</v>
      </c>
      <c r="I29" s="3" t="str">
        <f>_xlfn.IFNA(INDEX(FieldDisagreements!D2:D999, MATCH(C29,FieldDisagreements!A2:A999, 0)), "")</f>
        <v>RoleAssignments.IsUnmeasuredAutomationHandover</v>
      </c>
      <c r="J29" s="2" t="s">
        <v>1906</v>
      </c>
    </row>
    <row r="30">
      <c r="A30" s="2" t="s">
        <v>15050</v>
      </c>
      <c r="B30" s="3" t="str">
        <f>_xlfn.CONCAT(C30, " @ ", D30)</f>
        <v>effortless-postgres|ProcedureVersions.DaysSinceModified @ close-v1.0.0</v>
      </c>
      <c r="C30" s="2" t="s">
        <v>14595</v>
      </c>
      <c r="D30" s="2" t="s">
        <v>454</v>
      </c>
      <c r="E30" s="2" t="s">
        <v>15051</v>
      </c>
      <c r="F30" s="2" t="s">
        <v>15052</v>
      </c>
      <c r="G30" s="2" t="s">
        <v>14591</v>
      </c>
      <c r="H30" s="3" t="str">
        <f>_xlfn.IFNA(INDEX(FieldDisagreements!C2:C999, MATCH(C30,FieldDisagreements!A2:A999, 0)), "")</f>
        <v>effortless-postgres</v>
      </c>
      <c r="I30" s="3" t="str">
        <f>_xlfn.IFNA(INDEX(FieldDisagreements!D2:D999, MATCH(C30,FieldDisagreements!A2:A999, 0)), "")</f>
        <v>ProcedureVersions.DaysSinceModified</v>
      </c>
      <c r="J30" s="2" t="s">
        <v>1906</v>
      </c>
    </row>
    <row r="31">
      <c r="A31" s="2" t="s">
        <v>15053</v>
      </c>
      <c r="B31" s="3" t="str">
        <f>_xlfn.CONCAT(C31, " @ ", D31)</f>
        <v>effortless-postgres|ProcedureVersions.DaysSinceModified @ close-v1.1.0</v>
      </c>
      <c r="C31" s="2" t="s">
        <v>14595</v>
      </c>
      <c r="D31" s="2" t="s">
        <v>369</v>
      </c>
      <c r="E31" s="2" t="s">
        <v>15054</v>
      </c>
      <c r="F31" s="2" t="s">
        <v>8195</v>
      </c>
      <c r="G31" s="2" t="s">
        <v>14591</v>
      </c>
      <c r="H31" s="3" t="str">
        <f>_xlfn.IFNA(INDEX(FieldDisagreements!C2:C999, MATCH(C31,FieldDisagreements!A2:A999, 0)), "")</f>
        <v>effortless-postgres</v>
      </c>
      <c r="I31" s="3" t="str">
        <f>_xlfn.IFNA(INDEX(FieldDisagreements!D2:D999, MATCH(C31,FieldDisagreements!A2:A999, 0)), "")</f>
        <v>ProcedureVersions.DaysSinceModified</v>
      </c>
      <c r="J31" s="2" t="s">
        <v>1906</v>
      </c>
    </row>
    <row r="32">
      <c r="A32" s="2" t="s">
        <v>15055</v>
      </c>
      <c r="B32" s="3" t="str">
        <f>_xlfn.CONCAT(C32, " @ ", D32)</f>
        <v>effortless-postgres|ProcedureVersions.DaysSinceModified @ policy-v1.0.0</v>
      </c>
      <c r="C32" s="2" t="s">
        <v>14595</v>
      </c>
      <c r="D32" s="2" t="s">
        <v>375</v>
      </c>
      <c r="E32" s="2" t="s">
        <v>935</v>
      </c>
      <c r="F32" s="2" t="s">
        <v>37</v>
      </c>
      <c r="G32" s="2" t="s">
        <v>14591</v>
      </c>
      <c r="H32" s="3" t="str">
        <f>_xlfn.IFNA(INDEX(FieldDisagreements!C2:C999, MATCH(C32,FieldDisagreements!A2:A999, 0)), "")</f>
        <v>effortless-postgres</v>
      </c>
      <c r="I32" s="3" t="str">
        <f>_xlfn.IFNA(INDEX(FieldDisagreements!D2:D999, MATCH(C32,FieldDisagreements!A2:A999, 0)), "")</f>
        <v>ProcedureVersions.DaysSinceModified</v>
      </c>
      <c r="J32" s="2" t="s">
        <v>1906</v>
      </c>
    </row>
    <row r="33">
      <c r="A33" s="2" t="s">
        <v>15056</v>
      </c>
      <c r="B33" s="3" t="str">
        <f>_xlfn.CONCAT(C33, " @ ", D33)</f>
        <v>effortless-postgres|ProcedureVersions.WasModifiedSinceLastReview @ close-v1.1.0</v>
      </c>
      <c r="C33" s="2" t="s">
        <v>14596</v>
      </c>
      <c r="D33" s="2" t="s">
        <v>369</v>
      </c>
      <c r="E33" s="2" t="s">
        <v>15035</v>
      </c>
      <c r="F33" s="2" t="s">
        <v>15057</v>
      </c>
      <c r="G33" s="2" t="s">
        <v>14591</v>
      </c>
      <c r="H33" s="3" t="str">
        <f>_xlfn.IFNA(INDEX(FieldDisagreements!C2:C999, MATCH(C33,FieldDisagreements!A2:A999, 0)), "")</f>
        <v>effortless-postgres</v>
      </c>
      <c r="I33" s="3" t="str">
        <f>_xlfn.IFNA(INDEX(FieldDisagreements!D2:D999, MATCH(C33,FieldDisagreements!A2:A999, 0)), "")</f>
        <v>ProcedureVersions.WasModifiedSinceLastReview</v>
      </c>
      <c r="J33" s="2" t="s">
        <v>1906</v>
      </c>
    </row>
    <row r="34">
      <c r="A34" s="2" t="s">
        <v>15058</v>
      </c>
      <c r="B34" s="3" t="str">
        <f>_xlfn.CONCAT(C34, " @ ", D34)</f>
        <v>effortless-postgres|ProcedureVersions.WasModifiedSinceLastReview @ policy-v1.0.0</v>
      </c>
      <c r="C34" s="2" t="s">
        <v>14596</v>
      </c>
      <c r="D34" s="2" t="s">
        <v>375</v>
      </c>
      <c r="E34" s="2" t="s">
        <v>15035</v>
      </c>
      <c r="F34" s="2" t="s">
        <v>15057</v>
      </c>
      <c r="G34" s="2" t="s">
        <v>14591</v>
      </c>
      <c r="H34" s="3" t="str">
        <f>_xlfn.IFNA(INDEX(FieldDisagreements!C2:C999, MATCH(C34,FieldDisagreements!A2:A999, 0)), "")</f>
        <v>effortless-postgres</v>
      </c>
      <c r="I34" s="3" t="str">
        <f>_xlfn.IFNA(INDEX(FieldDisagreements!D2:D999, MATCH(C34,FieldDisagreements!A2:A999, 0)), "")</f>
        <v>ProcedureVersions.WasModifiedSinceLastReview</v>
      </c>
      <c r="J34" s="2" t="s">
        <v>1906</v>
      </c>
    </row>
    <row r="35">
      <c r="A35" s="2" t="s">
        <v>15059</v>
      </c>
      <c r="B35" s="3" t="str">
        <f>_xlfn.CONCAT(C35, " @ ", D35)</f>
        <v>effortless-postgres|ProcedureVersions.HasUnwitnessedChange @ close-v1.1.0</v>
      </c>
      <c r="C35" s="2" t="s">
        <v>14597</v>
      </c>
      <c r="D35" s="2" t="s">
        <v>369</v>
      </c>
      <c r="E35" s="2" t="s">
        <v>15035</v>
      </c>
      <c r="F35" s="2" t="s">
        <v>15057</v>
      </c>
      <c r="G35" s="2" t="s">
        <v>14591</v>
      </c>
      <c r="H35" s="3" t="str">
        <f>_xlfn.IFNA(INDEX(FieldDisagreements!C2:C999, MATCH(C35,FieldDisagreements!A2:A999, 0)), "")</f>
        <v>effortless-postgres</v>
      </c>
      <c r="I35" s="3" t="str">
        <f>_xlfn.IFNA(INDEX(FieldDisagreements!D2:D999, MATCH(C35,FieldDisagreements!A2:A999, 0)), "")</f>
        <v>ProcedureVersions.HasUnwitnessedChange</v>
      </c>
      <c r="J35" s="2" t="s">
        <v>1906</v>
      </c>
    </row>
    <row r="36">
      <c r="A36" s="2" t="s">
        <v>15060</v>
      </c>
      <c r="B36" s="3" t="str">
        <f>_xlfn.CONCAT(C36, " @ ", D36)</f>
        <v>effortless-postgres|ProcedureVersions.HasUnwitnessedChange @ policy-v1.0.0</v>
      </c>
      <c r="C36" s="2" t="s">
        <v>14597</v>
      </c>
      <c r="D36" s="2" t="s">
        <v>375</v>
      </c>
      <c r="E36" s="2" t="s">
        <v>15035</v>
      </c>
      <c r="F36" s="2" t="s">
        <v>15057</v>
      </c>
      <c r="G36" s="2" t="s">
        <v>14591</v>
      </c>
      <c r="H36" s="3" t="str">
        <f>_xlfn.IFNA(INDEX(FieldDisagreements!C2:C999, MATCH(C36,FieldDisagreements!A2:A999, 0)), "")</f>
        <v>effortless-postgres</v>
      </c>
      <c r="I36" s="3" t="str">
        <f>_xlfn.IFNA(INDEX(FieldDisagreements!D2:D999, MATCH(C36,FieldDisagreements!A2:A999, 0)), "")</f>
        <v>ProcedureVersions.HasUnwitnessedChange</v>
      </c>
      <c r="J36" s="2" t="s">
        <v>1906</v>
      </c>
    </row>
    <row r="37">
      <c r="A37" s="2" t="s">
        <v>15061</v>
      </c>
      <c r="B37" s="3" t="str">
        <f>_xlfn.CONCAT(C37, " @ ", D37)</f>
        <v>effortless-postgres|Requirements.IsUntestedWitness @ req-close-balance</v>
      </c>
      <c r="C37" s="2" t="s">
        <v>14598</v>
      </c>
      <c r="D37" s="2" t="s">
        <v>827</v>
      </c>
      <c r="E37" s="2" t="s">
        <v>15035</v>
      </c>
      <c r="F37" s="2" t="s">
        <v>15036</v>
      </c>
      <c r="G37" s="2" t="s">
        <v>14591</v>
      </c>
      <c r="H37" s="3" t="str">
        <f>_xlfn.IFNA(INDEX(FieldDisagreements!C2:C999, MATCH(C37,FieldDisagreements!A2:A999, 0)), "")</f>
        <v>effortless-postgres</v>
      </c>
      <c r="I37" s="3" t="str">
        <f>_xlfn.IFNA(INDEX(FieldDisagreements!D2:D999, MATCH(C37,FieldDisagreements!A2:A999, 0)), "")</f>
        <v>Requirements.IsUntestedWitness</v>
      </c>
      <c r="J37" s="2" t="s">
        <v>1906</v>
      </c>
    </row>
    <row r="38">
      <c r="A38" s="2" t="s">
        <v>15062</v>
      </c>
      <c r="B38" s="3" t="str">
        <f>_xlfn.CONCAT(C38, " @ ", D38)</f>
        <v>effortless-postgres|Requirements.IsUntestedWitness @ req-close-cutoff</v>
      </c>
      <c r="C38" s="2" t="s">
        <v>14598</v>
      </c>
      <c r="D38" s="2" t="s">
        <v>819</v>
      </c>
      <c r="E38" s="2" t="s">
        <v>15035</v>
      </c>
      <c r="F38" s="2" t="s">
        <v>15036</v>
      </c>
      <c r="G38" s="2" t="s">
        <v>14591</v>
      </c>
      <c r="H38" s="3" t="str">
        <f>_xlfn.IFNA(INDEX(FieldDisagreements!C2:C999, MATCH(C38,FieldDisagreements!A2:A999, 0)), "")</f>
        <v>effortless-postgres</v>
      </c>
      <c r="I38" s="3" t="str">
        <f>_xlfn.IFNA(INDEX(FieldDisagreements!D2:D999, MATCH(C38,FieldDisagreements!A2:A999, 0)), "")</f>
        <v>Requirements.IsUntestedWitness</v>
      </c>
      <c r="J38" s="2" t="s">
        <v>1906</v>
      </c>
    </row>
    <row r="39">
      <c r="A39" s="2" t="s">
        <v>15063</v>
      </c>
      <c r="B39" s="3" t="str">
        <f>_xlfn.CONCAT(C39, " @ ", D39)</f>
        <v>effortless-postgres|Requirements.IsUntestedWitness @ req-close-separation</v>
      </c>
      <c r="C39" s="2" t="s">
        <v>14598</v>
      </c>
      <c r="D39" s="2" t="s">
        <v>833</v>
      </c>
      <c r="E39" s="2" t="s">
        <v>15035</v>
      </c>
      <c r="F39" s="2" t="s">
        <v>15036</v>
      </c>
      <c r="G39" s="2" t="s">
        <v>14591</v>
      </c>
      <c r="H39" s="3" t="str">
        <f>_xlfn.IFNA(INDEX(FieldDisagreements!C2:C999, MATCH(C39,FieldDisagreements!A2:A999, 0)), "")</f>
        <v>effortless-postgres</v>
      </c>
      <c r="I39" s="3" t="str">
        <f>_xlfn.IFNA(INDEX(FieldDisagreements!D2:D999, MATCH(C39,FieldDisagreements!A2:A999, 0)), "")</f>
        <v>Requirements.IsUntestedWitness</v>
      </c>
      <c r="J39" s="2" t="s">
        <v>1906</v>
      </c>
    </row>
    <row r="40">
      <c r="A40" s="2" t="s">
        <v>15064</v>
      </c>
      <c r="B40" s="3" t="str">
        <f>_xlfn.CONCAT(C40, " @ ", D40)</f>
        <v>effortless-postgres|ElicitationSessions.Name @ elicit-close-shadow</v>
      </c>
      <c r="C40" s="2" t="s">
        <v>14599</v>
      </c>
      <c r="D40" s="2" t="s">
        <v>1073</v>
      </c>
      <c r="E40" s="2" t="s">
        <v>15065</v>
      </c>
      <c r="F40" s="2" t="s">
        <v>15066</v>
      </c>
      <c r="G40" s="2" t="s">
        <v>14591</v>
      </c>
      <c r="H40" s="3" t="str">
        <f>_xlfn.IFNA(INDEX(FieldDisagreements!C2:C999, MATCH(C40,FieldDisagreements!A2:A999, 0)), "")</f>
        <v>effortless-postgres</v>
      </c>
      <c r="I40" s="3" t="str">
        <f>_xlfn.IFNA(INDEX(FieldDisagreements!D2:D999, MATCH(C40,FieldDisagreements!A2:A999, 0)), "")</f>
        <v>ElicitationSessions.Name</v>
      </c>
      <c r="J40" s="2" t="s">
        <v>1906</v>
      </c>
    </row>
    <row r="41">
      <c r="A41" s="2" t="s">
        <v>15067</v>
      </c>
      <c r="B41" s="3" t="str">
        <f>_xlfn.CONCAT(C41, " @ ", D41)</f>
        <v>effortless-postgres|ElicitationSessions.Name @ elicit-policy-interview</v>
      </c>
      <c r="C41" s="2" t="s">
        <v>14599</v>
      </c>
      <c r="D41" s="2" t="s">
        <v>1080</v>
      </c>
      <c r="E41" s="2" t="s">
        <v>15068</v>
      </c>
      <c r="F41" s="2" t="s">
        <v>15069</v>
      </c>
      <c r="G41" s="2" t="s">
        <v>14591</v>
      </c>
      <c r="H41" s="3" t="str">
        <f>_xlfn.IFNA(INDEX(FieldDisagreements!C2:C999, MATCH(C41,FieldDisagreements!A2:A999, 0)), "")</f>
        <v>effortless-postgres</v>
      </c>
      <c r="I41" s="3" t="str">
        <f>_xlfn.IFNA(INDEX(FieldDisagreements!D2:D999, MATCH(C41,FieldDisagreements!A2:A999, 0)), "")</f>
        <v>ElicitationSessions.Name</v>
      </c>
      <c r="J41" s="2" t="s">
        <v>1906</v>
      </c>
    </row>
    <row r="42">
      <c r="A42" s="2" t="s">
        <v>15070</v>
      </c>
      <c r="B42" s="3" t="str">
        <f>_xlfn.CONCAT(C42, " @ ", D42)</f>
        <v>effortless-postgres|ElicitationSessions.Name @ elicit-policy-workshop</v>
      </c>
      <c r="C42" s="2" t="s">
        <v>14599</v>
      </c>
      <c r="D42" s="2" t="s">
        <v>1077</v>
      </c>
      <c r="E42" s="2" t="s">
        <v>15071</v>
      </c>
      <c r="F42" s="2" t="s">
        <v>15072</v>
      </c>
      <c r="G42" s="2" t="s">
        <v>14591</v>
      </c>
      <c r="H42" s="3" t="str">
        <f>_xlfn.IFNA(INDEX(FieldDisagreements!C2:C999, MATCH(C42,FieldDisagreements!A2:A999, 0)), "")</f>
        <v>effortless-postgres</v>
      </c>
      <c r="I42" s="3" t="str">
        <f>_xlfn.IFNA(INDEX(FieldDisagreements!D2:D999, MATCH(C42,FieldDisagreements!A2:A999, 0)), "")</f>
        <v>ElicitationSessions.Name</v>
      </c>
      <c r="J42" s="2" t="s">
        <v>1906</v>
      </c>
    </row>
    <row r="43">
      <c r="A43" s="2" t="s">
        <v>15073</v>
      </c>
      <c r="B43" s="3" t="str">
        <f>_xlfn.CONCAT(C43, " @ ", D43)</f>
        <v>effortless-postgres|ElicitationSessions.DaysSinceElicited @ elicit-policy-interview</v>
      </c>
      <c r="C43" s="2" t="s">
        <v>14600</v>
      </c>
      <c r="D43" s="2" t="s">
        <v>1080</v>
      </c>
      <c r="E43" s="2" t="s">
        <v>15074</v>
      </c>
      <c r="F43" s="2" t="s">
        <v>15075</v>
      </c>
      <c r="G43" s="2" t="s">
        <v>14591</v>
      </c>
      <c r="H43" s="3" t="str">
        <f>_xlfn.IFNA(INDEX(FieldDisagreements!C2:C999, MATCH(C43,FieldDisagreements!A2:A999, 0)), "")</f>
        <v>effortless-postgres</v>
      </c>
      <c r="I43" s="3" t="str">
        <f>_xlfn.IFNA(INDEX(FieldDisagreements!D2:D999, MATCH(C43,FieldDisagreements!A2:A999, 0)), "")</f>
        <v>ElicitationSessions.DaysSinceElicited</v>
      </c>
      <c r="J43" s="2" t="s">
        <v>1906</v>
      </c>
    </row>
    <row r="44">
      <c r="A44" s="2" t="s">
        <v>15076</v>
      </c>
      <c r="B44" s="3" t="str">
        <f>_xlfn.CONCAT(C44, " @ ", D44)</f>
        <v>effortless-postgres|ElicitationSessions.DaysSinceElicited @ elicit-policy-workshop</v>
      </c>
      <c r="C44" s="2" t="s">
        <v>14600</v>
      </c>
      <c r="D44" s="2" t="s">
        <v>1077</v>
      </c>
      <c r="E44" s="2" t="s">
        <v>15077</v>
      </c>
      <c r="F44" s="2" t="s">
        <v>15078</v>
      </c>
      <c r="G44" s="2" t="s">
        <v>14591</v>
      </c>
      <c r="H44" s="3" t="str">
        <f>_xlfn.IFNA(INDEX(FieldDisagreements!C2:C999, MATCH(C44,FieldDisagreements!A2:A999, 0)), "")</f>
        <v>effortless-postgres</v>
      </c>
      <c r="I44" s="3" t="str">
        <f>_xlfn.IFNA(INDEX(FieldDisagreements!D2:D999, MATCH(C44,FieldDisagreements!A2:A999, 0)), "")</f>
        <v>ElicitationSessions.DaysSinceElicited</v>
      </c>
      <c r="J44" s="2" t="s">
        <v>1906</v>
      </c>
    </row>
    <row r="45">
      <c r="A45" s="2" t="s">
        <v>15079</v>
      </c>
      <c r="B45" s="3" t="str">
        <f>_xlfn.CONCAT(C45, " @ ", D45)</f>
        <v>effortless-postgres|KnowledgeFragments.DaysSinceActualReview @ kf-close-fx-time</v>
      </c>
      <c r="C45" s="2" t="s">
        <v>14601</v>
      </c>
      <c r="D45" s="2" t="s">
        <v>1152</v>
      </c>
      <c r="E45" s="2" t="s">
        <v>15054</v>
      </c>
      <c r="F45" s="2" t="s">
        <v>8195</v>
      </c>
      <c r="G45" s="2" t="s">
        <v>14591</v>
      </c>
      <c r="H45" s="3" t="str">
        <f>_xlfn.IFNA(INDEX(FieldDisagreements!C2:C999, MATCH(C45,FieldDisagreements!A2:A999, 0)), "")</f>
        <v>effortless-postgres</v>
      </c>
      <c r="I45" s="3" t="str">
        <f>_xlfn.IFNA(INDEX(FieldDisagreements!D2:D999, MATCH(C45,FieldDisagreements!A2:A999, 0)), "")</f>
        <v>KnowledgeFragments.DaysSinceActualReview</v>
      </c>
      <c r="J45" s="2" t="s">
        <v>1906</v>
      </c>
    </row>
    <row r="46">
      <c r="A46" s="2" t="s">
        <v>15080</v>
      </c>
      <c r="B46" s="3" t="str">
        <f>_xlfn.CONCAT(C46, " @ ", D46)</f>
        <v>effortless-postgres|KnowledgeFragments.DaysSinceActualReview @ kf-close-top-ten</v>
      </c>
      <c r="C46" s="2" t="s">
        <v>14601</v>
      </c>
      <c r="D46" s="2" t="s">
        <v>1157</v>
      </c>
      <c r="E46" s="2" t="s">
        <v>15054</v>
      </c>
      <c r="F46" s="2" t="s">
        <v>8195</v>
      </c>
      <c r="G46" s="2" t="s">
        <v>14591</v>
      </c>
      <c r="H46" s="3" t="str">
        <f>_xlfn.IFNA(INDEX(FieldDisagreements!C2:C999, MATCH(C46,FieldDisagreements!A2:A999, 0)), "")</f>
        <v>effortless-postgres</v>
      </c>
      <c r="I46" s="3" t="str">
        <f>_xlfn.IFNA(INDEX(FieldDisagreements!D2:D999, MATCH(C46,FieldDisagreements!A2:A999, 0)), "")</f>
        <v>KnowledgeFragments.DaysSinceActualReview</v>
      </c>
      <c r="J46" s="2" t="s">
        <v>1906</v>
      </c>
    </row>
    <row r="47">
      <c r="A47" s="2" t="s">
        <v>15081</v>
      </c>
      <c r="B47" s="3" t="str">
        <f>_xlfn.CONCAT(C47, " @ ", D47)</f>
        <v>effortless-postgres|KnowledgeFragments.DaysSinceActualReview @ kf-policy-channel</v>
      </c>
      <c r="C47" s="2" t="s">
        <v>14601</v>
      </c>
      <c r="D47" s="2" t="s">
        <v>1169</v>
      </c>
      <c r="E47" s="2" t="s">
        <v>935</v>
      </c>
      <c r="F47" s="2" t="s">
        <v>37</v>
      </c>
      <c r="G47" s="2" t="s">
        <v>14591</v>
      </c>
      <c r="H47" s="3" t="str">
        <f>_xlfn.IFNA(INDEX(FieldDisagreements!C2:C999, MATCH(C47,FieldDisagreements!A2:A999, 0)), "")</f>
        <v>effortless-postgres</v>
      </c>
      <c r="I47" s="3" t="str">
        <f>_xlfn.IFNA(INDEX(FieldDisagreements!D2:D999, MATCH(C47,FieldDisagreements!A2:A999, 0)), "")</f>
        <v>KnowledgeFragments.DaysSinceActualReview</v>
      </c>
      <c r="J47" s="2" t="s">
        <v>1906</v>
      </c>
    </row>
    <row r="48">
      <c r="A48" s="2" t="s">
        <v>15082</v>
      </c>
      <c r="B48" s="3" t="str">
        <f>_xlfn.CONCAT(C48, " @ ", D48)</f>
        <v>effortless-postgres|KnowledgeFragments.EvidenceAgeDays @ kf-policy-ai-boundary</v>
      </c>
      <c r="C48" s="2" t="s">
        <v>14602</v>
      </c>
      <c r="D48" s="2" t="s">
        <v>1167</v>
      </c>
      <c r="E48" s="2" t="s">
        <v>15074</v>
      </c>
      <c r="F48" s="2" t="s">
        <v>15075</v>
      </c>
      <c r="G48" s="2" t="s">
        <v>14591</v>
      </c>
      <c r="H48" s="3" t="str">
        <f>_xlfn.IFNA(INDEX(FieldDisagreements!C2:C999, MATCH(C48,FieldDisagreements!A2:A999, 0)), "")</f>
        <v>effortless-postgres</v>
      </c>
      <c r="I48" s="3" t="str">
        <f>_xlfn.IFNA(INDEX(FieldDisagreements!D2:D999, MATCH(C48,FieldDisagreements!A2:A999, 0)), "")</f>
        <v>KnowledgeFragments.EvidenceAgeDays</v>
      </c>
      <c r="J48" s="2" t="s">
        <v>1906</v>
      </c>
    </row>
    <row r="49">
      <c r="A49" s="2" t="s">
        <v>15083</v>
      </c>
      <c r="B49" s="3" t="str">
        <f>_xlfn.CONCAT(C49, " @ ", D49)</f>
        <v>effortless-postgres|KnowledgeFragments.EvidenceAgeDays @ kf-policy-channel</v>
      </c>
      <c r="C49" s="2" t="s">
        <v>14602</v>
      </c>
      <c r="D49" s="2" t="s">
        <v>1169</v>
      </c>
      <c r="E49" s="2" t="s">
        <v>15077</v>
      </c>
      <c r="F49" s="2" t="s">
        <v>15078</v>
      </c>
      <c r="G49" s="2" t="s">
        <v>14591</v>
      </c>
      <c r="H49" s="3" t="str">
        <f>_xlfn.IFNA(INDEX(FieldDisagreements!C2:C999, MATCH(C49,FieldDisagreements!A2:A999, 0)), "")</f>
        <v>effortless-postgres</v>
      </c>
      <c r="I49" s="3" t="str">
        <f>_xlfn.IFNA(INDEX(FieldDisagreements!D2:D999, MATCH(C49,FieldDisagreements!A2:A999, 0)), "")</f>
        <v>KnowledgeFragments.EvidenceAgeDays</v>
      </c>
      <c r="J49" s="2" t="s">
        <v>1906</v>
      </c>
    </row>
    <row r="50">
      <c r="A50" s="2" t="s">
        <v>15084</v>
      </c>
      <c r="B50" s="3" t="str">
        <f>_xlfn.CONCAT(C50, " @ ", D50)</f>
        <v>effortless-postgres|KnowledgeFragments.EvidenceAgeDays @ kf-policy-manager-route</v>
      </c>
      <c r="C50" s="2" t="s">
        <v>14602</v>
      </c>
      <c r="D50" s="2" t="s">
        <v>1171</v>
      </c>
      <c r="E50" s="2" t="s">
        <v>15077</v>
      </c>
      <c r="F50" s="2" t="s">
        <v>15078</v>
      </c>
      <c r="G50" s="2" t="s">
        <v>14591</v>
      </c>
      <c r="H50" s="3" t="str">
        <f>_xlfn.IFNA(INDEX(FieldDisagreements!C2:C999, MATCH(C50,FieldDisagreements!A2:A999, 0)), "")</f>
        <v>effortless-postgres</v>
      </c>
      <c r="I50" s="3" t="str">
        <f>_xlfn.IFNA(INDEX(FieldDisagreements!D2:D999, MATCH(C50,FieldDisagreements!A2:A999, 0)), "")</f>
        <v>KnowledgeFragments.EvidenceAgeDays</v>
      </c>
      <c r="J50" s="2" t="s">
        <v>1906</v>
      </c>
    </row>
    <row r="51">
      <c r="A51" s="2" t="s">
        <v>15085</v>
      </c>
      <c r="B51" s="3" t="str">
        <f>_xlfn.CONCAT(C51, " @ ", D51)</f>
        <v>effortless-postgres|KnowledgeFragments.AgeDays @ kf-policy-ai-boundary</v>
      </c>
      <c r="C51" s="2" t="s">
        <v>14603</v>
      </c>
      <c r="D51" s="2" t="s">
        <v>1167</v>
      </c>
      <c r="E51" s="2" t="s">
        <v>15074</v>
      </c>
      <c r="F51" s="2" t="s">
        <v>15075</v>
      </c>
      <c r="G51" s="2" t="s">
        <v>14591</v>
      </c>
      <c r="H51" s="3" t="str">
        <f>_xlfn.IFNA(INDEX(FieldDisagreements!C2:C999, MATCH(C51,FieldDisagreements!A2:A999, 0)), "")</f>
        <v>effortless-postgres</v>
      </c>
      <c r="I51" s="3" t="str">
        <f>_xlfn.IFNA(INDEX(FieldDisagreements!D2:D999, MATCH(C51,FieldDisagreements!A2:A999, 0)), "")</f>
        <v>KnowledgeFragments.AgeDays</v>
      </c>
      <c r="J51" s="2" t="s">
        <v>1906</v>
      </c>
    </row>
    <row r="52">
      <c r="A52" s="2" t="s">
        <v>15086</v>
      </c>
      <c r="B52" s="3" t="str">
        <f>_xlfn.CONCAT(C52, " @ ", D52)</f>
        <v>effortless-postgres|KnowledgeFragments.AgeDays @ kf-policy-channel</v>
      </c>
      <c r="C52" s="2" t="s">
        <v>14603</v>
      </c>
      <c r="D52" s="2" t="s">
        <v>1169</v>
      </c>
      <c r="E52" s="2" t="s">
        <v>15077</v>
      </c>
      <c r="F52" s="2" t="s">
        <v>15078</v>
      </c>
      <c r="G52" s="2" t="s">
        <v>14591</v>
      </c>
      <c r="H52" s="3" t="str">
        <f>_xlfn.IFNA(INDEX(FieldDisagreements!C2:C999, MATCH(C52,FieldDisagreements!A2:A999, 0)), "")</f>
        <v>effortless-postgres</v>
      </c>
      <c r="I52" s="3" t="str">
        <f>_xlfn.IFNA(INDEX(FieldDisagreements!D2:D999, MATCH(C52,FieldDisagreements!A2:A999, 0)), "")</f>
        <v>KnowledgeFragments.AgeDays</v>
      </c>
      <c r="J52" s="2" t="s">
        <v>1906</v>
      </c>
    </row>
    <row r="53">
      <c r="A53" s="2" t="s">
        <v>15087</v>
      </c>
      <c r="B53" s="3" t="str">
        <f>_xlfn.CONCAT(C53, " @ ", D53)</f>
        <v>effortless-postgres|KnowledgeFragments.AgeDays @ kf-policy-manager-route</v>
      </c>
      <c r="C53" s="2" t="s">
        <v>14603</v>
      </c>
      <c r="D53" s="2" t="s">
        <v>1171</v>
      </c>
      <c r="E53" s="2" t="s">
        <v>15077</v>
      </c>
      <c r="F53" s="2" t="s">
        <v>15078</v>
      </c>
      <c r="G53" s="2" t="s">
        <v>14591</v>
      </c>
      <c r="H53" s="3" t="str">
        <f>_xlfn.IFNA(INDEX(FieldDisagreements!C2:C999, MATCH(C53,FieldDisagreements!A2:A999, 0)), "")</f>
        <v>effortless-postgres</v>
      </c>
      <c r="I53" s="3" t="str">
        <f>_xlfn.IFNA(INDEX(FieldDisagreements!D2:D999, MATCH(C53,FieldDisagreements!A2:A999, 0)), "")</f>
        <v>KnowledgeFragments.AgeDays</v>
      </c>
      <c r="J53" s="2" t="s">
        <v>1906</v>
      </c>
    </row>
    <row r="54">
      <c r="A54" s="2" t="s">
        <v>15088</v>
      </c>
      <c r="B54" s="3" t="str">
        <f>_xlfn.CONCAT(C54, " @ ", D54)</f>
        <v>effortless-postgres|KnowledgeFragments.DaysAwaitingMyApproval @ kf-policy-manager-route</v>
      </c>
      <c r="C54" s="2" t="s">
        <v>14604</v>
      </c>
      <c r="D54" s="2" t="s">
        <v>1171</v>
      </c>
      <c r="E54" s="2" t="s">
        <v>15077</v>
      </c>
      <c r="F54" s="2" t="s">
        <v>15078</v>
      </c>
      <c r="G54" s="2" t="s">
        <v>14591</v>
      </c>
      <c r="H54" s="3" t="str">
        <f>_xlfn.IFNA(INDEX(FieldDisagreements!C2:C999, MATCH(C54,FieldDisagreements!A2:A999, 0)), "")</f>
        <v>effortless-postgres</v>
      </c>
      <c r="I54" s="3" t="str">
        <f>_xlfn.IFNA(INDEX(FieldDisagreements!D2:D999, MATCH(C54,FieldDisagreements!A2:A999, 0)), "")</f>
        <v>KnowledgeFragments.DaysAwaitingMyApproval</v>
      </c>
      <c r="J54" s="2" t="s">
        <v>1906</v>
      </c>
    </row>
    <row r="55">
      <c r="A55" s="2" t="s">
        <v>15089</v>
      </c>
      <c r="B55" s="3" t="str">
        <f>_xlfn.CONCAT(C55, " @ ", D55)</f>
        <v>effortless-postgres|KnowledgeGaps.DaysOpen @ gap-policy-delivery-receipts</v>
      </c>
      <c r="C55" s="2" t="s">
        <v>14605</v>
      </c>
      <c r="D55" s="2" t="s">
        <v>1196</v>
      </c>
      <c r="E55" s="2" t="s">
        <v>935</v>
      </c>
      <c r="F55" s="2" t="s">
        <v>37</v>
      </c>
      <c r="G55" s="2" t="s">
        <v>14591</v>
      </c>
      <c r="H55" s="3" t="str">
        <f>_xlfn.IFNA(INDEX(FieldDisagreements!C2:C999, MATCH(C55,FieldDisagreements!A2:A999, 0)), "")</f>
        <v>effortless-postgres</v>
      </c>
      <c r="I55" s="3" t="str">
        <f>_xlfn.IFNA(INDEX(FieldDisagreements!D2:D999, MATCH(C55,FieldDisagreements!A2:A999, 0)), "")</f>
        <v>KnowledgeGaps.DaysOpen</v>
      </c>
      <c r="J55" s="2" t="s">
        <v>1906</v>
      </c>
    </row>
    <row r="56">
      <c r="A56" s="2" t="s">
        <v>15090</v>
      </c>
      <c r="B56" s="3" t="str">
        <f>_xlfn.CONCAT(C56, " @ ", D56)</f>
        <v>effortless-postgres|ProcedureExecutions.ComputedAssuranceRatio @ exec-policy-hr4821</v>
      </c>
      <c r="C56" s="2" t="s">
        <v>14606</v>
      </c>
      <c r="D56" s="2" t="s">
        <v>1324</v>
      </c>
      <c r="E56" s="2" t="s">
        <v>15091</v>
      </c>
      <c r="F56" s="2" t="s">
        <v>15092</v>
      </c>
      <c r="G56" s="2" t="s">
        <v>14591</v>
      </c>
      <c r="H56" s="3" t="str">
        <f>_xlfn.IFNA(INDEX(FieldDisagreements!C2:C999, MATCH(C56,FieldDisagreements!A2:A999, 0)), "")</f>
        <v>effortless-postgres</v>
      </c>
      <c r="I56" s="3" t="str">
        <f>_xlfn.IFNA(INDEX(FieldDisagreements!D2:D999, MATCH(C56,FieldDisagreements!A2:A999, 0)), "")</f>
        <v>ProcedureExecutions.ComputedAssuranceRatio</v>
      </c>
      <c r="J56" s="2" t="s">
        <v>1906</v>
      </c>
    </row>
    <row r="57">
      <c r="A57" s="2" t="s">
        <v>15093</v>
      </c>
      <c r="B57" s="3" t="str">
        <f>_xlfn.CONCAT(C57, " @ ", D57)</f>
        <v>effortless-postgres|IssueOccurrences.Name @ issue-close-feed</v>
      </c>
      <c r="C57" s="2" t="s">
        <v>14607</v>
      </c>
      <c r="D57" s="2" t="s">
        <v>1527</v>
      </c>
      <c r="E57" s="2" t="s">
        <v>15094</v>
      </c>
      <c r="F57" s="2" t="s">
        <v>15095</v>
      </c>
      <c r="G57" s="2" t="s">
        <v>14591</v>
      </c>
      <c r="H57" s="3" t="str">
        <f>_xlfn.IFNA(INDEX(FieldDisagreements!C2:C999, MATCH(C57,FieldDisagreements!A2:A999, 0)), "")</f>
        <v>effortless-postgres</v>
      </c>
      <c r="I57" s="3" t="str">
        <f>_xlfn.IFNA(INDEX(FieldDisagreements!D2:D999, MATCH(C57,FieldDisagreements!A2:A999, 0)), "")</f>
        <v>IssueOccurrences.Name</v>
      </c>
      <c r="J57" s="2" t="s">
        <v>1906</v>
      </c>
    </row>
    <row r="58">
      <c r="A58" s="2" t="s">
        <v>15096</v>
      </c>
      <c r="B58" s="3" t="str">
        <f>_xlfn.CONCAT(C58, " @ ", D58)</f>
        <v>effortless-postgres|IssueOccurrences.Name @ issue-policy-sms</v>
      </c>
      <c r="C58" s="2" t="s">
        <v>14607</v>
      </c>
      <c r="D58" s="2" t="s">
        <v>1531</v>
      </c>
      <c r="E58" s="2" t="s">
        <v>15097</v>
      </c>
      <c r="F58" s="2" t="s">
        <v>15098</v>
      </c>
      <c r="G58" s="2" t="s">
        <v>14591</v>
      </c>
      <c r="H58" s="3" t="str">
        <f>_xlfn.IFNA(INDEX(FieldDisagreements!C2:C999, MATCH(C58,FieldDisagreements!A2:A999, 0)), "")</f>
        <v>effortless-postgres</v>
      </c>
      <c r="I58" s="3" t="str">
        <f>_xlfn.IFNA(INDEX(FieldDisagreements!D2:D999, MATCH(C58,FieldDisagreements!A2:A999, 0)), "")</f>
        <v>IssueOccurrences.Name</v>
      </c>
      <c r="J58" s="2" t="s">
        <v>1906</v>
      </c>
    </row>
    <row r="59">
      <c r="A59" s="2" t="s">
        <v>15099</v>
      </c>
      <c r="B59" s="3" t="str">
        <f>_xlfn.CONCAT(C59, " @ ", D59)</f>
        <v>effortless-postgres|ChangeRequests.DaysPending @ cr-close-timestamp</v>
      </c>
      <c r="C59" s="2" t="s">
        <v>14608</v>
      </c>
      <c r="D59" s="2" t="s">
        <v>1556</v>
      </c>
      <c r="E59" s="2" t="s">
        <v>935</v>
      </c>
      <c r="F59" s="2" t="s">
        <v>37</v>
      </c>
      <c r="G59" s="2" t="s">
        <v>14591</v>
      </c>
      <c r="H59" s="3" t="str">
        <f>_xlfn.IFNA(INDEX(FieldDisagreements!C2:C999, MATCH(C59,FieldDisagreements!A2:A999, 0)), "")</f>
        <v>effortless-postgres</v>
      </c>
      <c r="I59" s="3" t="str">
        <f>_xlfn.IFNA(INDEX(FieldDisagreements!D2:D999, MATCH(C59,FieldDisagreements!A2:A999, 0)), "")</f>
        <v>ChangeRequests.DaysPending</v>
      </c>
      <c r="J59" s="2" t="s">
        <v>1906</v>
      </c>
    </row>
    <row r="60">
      <c r="A60" s="2" t="s">
        <v>15100</v>
      </c>
      <c r="B60" s="3" t="str">
        <f>_xlfn.CONCAT(C60, " @ ", D60)</f>
        <v>effortless-postgres|ChangeRequests.DecisionLatencyDays @ cr-close-timestamp</v>
      </c>
      <c r="C60" s="2" t="s">
        <v>14609</v>
      </c>
      <c r="D60" s="2" t="s">
        <v>1556</v>
      </c>
      <c r="E60" s="2" t="s">
        <v>935</v>
      </c>
      <c r="F60" s="2" t="s">
        <v>37</v>
      </c>
      <c r="G60" s="2" t="s">
        <v>14591</v>
      </c>
      <c r="H60" s="3" t="str">
        <f>_xlfn.IFNA(INDEX(FieldDisagreements!C2:C999, MATCH(C60,FieldDisagreements!A2:A999, 0)), "")</f>
        <v>effortless-postgres</v>
      </c>
      <c r="I60" s="3" t="str">
        <f>_xlfn.IFNA(INDEX(FieldDisagreements!D2:D999, MATCH(C60,FieldDisagreements!A2:A999, 0)), "")</f>
        <v>ChangeRequests.DecisionLatencyDays</v>
      </c>
      <c r="J60" s="2" t="s">
        <v>1906</v>
      </c>
    </row>
    <row r="61">
      <c r="A61" s="2" t="s">
        <v>15101</v>
      </c>
      <c r="B61" s="3" t="str">
        <f>_xlfn.CONCAT(C61, " @ ", D61)</f>
        <v>effortless-postgres|ReviewEvents.DaysSinceReviewed @ review-close-q1</v>
      </c>
      <c r="C61" s="2" t="s">
        <v>14610</v>
      </c>
      <c r="D61" s="2" t="s">
        <v>1626</v>
      </c>
      <c r="E61" s="2" t="s">
        <v>15102</v>
      </c>
      <c r="F61" s="2" t="s">
        <v>15103</v>
      </c>
      <c r="G61" s="2" t="s">
        <v>14591</v>
      </c>
      <c r="H61" s="3" t="str">
        <f>_xlfn.IFNA(INDEX(FieldDisagreements!C2:C999, MATCH(C61,FieldDisagreements!A2:A999, 0)), "")</f>
        <v>effortless-postgres</v>
      </c>
      <c r="I61" s="3" t="str">
        <f>_xlfn.IFNA(INDEX(FieldDisagreements!D2:D999, MATCH(C61,FieldDisagreements!A2:A999, 0)), "")</f>
        <v>ReviewEvents.DaysSinceReviewed</v>
      </c>
      <c r="J61" s="2" t="s">
        <v>1906</v>
      </c>
    </row>
    <row r="62">
      <c r="A62" s="2" t="s">
        <v>15104</v>
      </c>
      <c r="B62" s="3" t="str">
        <f>_xlfn.CONCAT(C62, " @ ", D62)</f>
        <v>effortless-postgres|ReviewEvents.DaysSinceReviewed @ review-close-q2</v>
      </c>
      <c r="C62" s="2" t="s">
        <v>14610</v>
      </c>
      <c r="D62" s="2" t="s">
        <v>1630</v>
      </c>
      <c r="E62" s="2" t="s">
        <v>15054</v>
      </c>
      <c r="F62" s="2" t="s">
        <v>8195</v>
      </c>
      <c r="G62" s="2" t="s">
        <v>14591</v>
      </c>
      <c r="H62" s="3" t="str">
        <f>_xlfn.IFNA(INDEX(FieldDisagreements!C2:C999, MATCH(C62,FieldDisagreements!A2:A999, 0)), "")</f>
        <v>effortless-postgres</v>
      </c>
      <c r="I62" s="3" t="str">
        <f>_xlfn.IFNA(INDEX(FieldDisagreements!D2:D999, MATCH(C62,FieldDisagreements!A2:A999, 0)), "")</f>
        <v>ReviewEvents.DaysSinceReviewed</v>
      </c>
      <c r="J62" s="2" t="s">
        <v>1906</v>
      </c>
    </row>
    <row r="63">
      <c r="A63" s="2" t="s">
        <v>15105</v>
      </c>
      <c r="B63" s="3" t="str">
        <f>_xlfn.CONCAT(C63, " @ ", D63)</f>
        <v>effortless-postgres|ReviewEvents.DaysSinceReviewed @ review-policy-prelaunch</v>
      </c>
      <c r="C63" s="2" t="s">
        <v>14610</v>
      </c>
      <c r="D63" s="2" t="s">
        <v>1632</v>
      </c>
      <c r="E63" s="2" t="s">
        <v>935</v>
      </c>
      <c r="F63" s="2" t="s">
        <v>37</v>
      </c>
      <c r="G63" s="2" t="s">
        <v>14591</v>
      </c>
      <c r="H63" s="3" t="str">
        <f>_xlfn.IFNA(INDEX(FieldDisagreements!C2:C999, MATCH(C63,FieldDisagreements!A2:A999, 0)), "")</f>
        <v>effortless-postgres</v>
      </c>
      <c r="I63" s="3" t="str">
        <f>_xlfn.IFNA(INDEX(FieldDisagreements!D2:D999, MATCH(C63,FieldDisagreements!A2:A999, 0)), "")</f>
        <v>ReviewEvents.DaysSinceReviewed</v>
      </c>
      <c r="J63" s="2" t="s">
        <v>1906</v>
      </c>
    </row>
    <row r="64">
      <c r="A64" s="2" t="s">
        <v>15106</v>
      </c>
      <c r="B64" s="3" t="str">
        <f>_xlfn.CONCAT(C64, " @ ", D64)</f>
        <v>effortless-postgres|ReviewEvents.CadenceDriftDays @ review-close-q1</v>
      </c>
      <c r="C64" s="2" t="s">
        <v>14611</v>
      </c>
      <c r="D64" s="2" t="s">
        <v>1626</v>
      </c>
      <c r="E64" s="2" t="s">
        <v>15107</v>
      </c>
      <c r="F64" s="2" t="s">
        <v>15108</v>
      </c>
      <c r="G64" s="2" t="s">
        <v>14591</v>
      </c>
      <c r="H64" s="3" t="str">
        <f>_xlfn.IFNA(INDEX(FieldDisagreements!C2:C999, MATCH(C64,FieldDisagreements!A2:A999, 0)), "")</f>
        <v>effortless-postgres</v>
      </c>
      <c r="I64" s="3" t="str">
        <f>_xlfn.IFNA(INDEX(FieldDisagreements!D2:D999, MATCH(C64,FieldDisagreements!A2:A999, 0)), "")</f>
        <v>ReviewEvents.CadenceDriftDays</v>
      </c>
      <c r="J64" s="2" t="s">
        <v>1906</v>
      </c>
    </row>
    <row r="65">
      <c r="A65" s="2" t="s">
        <v>15109</v>
      </c>
      <c r="B65" s="3" t="str">
        <f>_xlfn.CONCAT(C65, " @ ", D65)</f>
        <v>effortless-postgres|ReviewEvents.CadenceDriftDays @ review-close-q2</v>
      </c>
      <c r="C65" s="2" t="s">
        <v>14611</v>
      </c>
      <c r="D65" s="2" t="s">
        <v>1630</v>
      </c>
      <c r="E65" s="2" t="s">
        <v>15110</v>
      </c>
      <c r="F65" s="2" t="s">
        <v>15111</v>
      </c>
      <c r="G65" s="2" t="s">
        <v>14591</v>
      </c>
      <c r="H65" s="3" t="str">
        <f>_xlfn.IFNA(INDEX(FieldDisagreements!C2:C999, MATCH(C65,FieldDisagreements!A2:A999, 0)), "")</f>
        <v>effortless-postgres</v>
      </c>
      <c r="I65" s="3" t="str">
        <f>_xlfn.IFNA(INDEX(FieldDisagreements!D2:D999, MATCH(C65,FieldDisagreements!A2:A999, 0)), "")</f>
        <v>ReviewEvents.CadenceDriftDays</v>
      </c>
      <c r="J65" s="2" t="s">
        <v>1906</v>
      </c>
    </row>
    <row r="66">
      <c r="A66" s="2" t="s">
        <v>15112</v>
      </c>
      <c r="B66" s="3" t="str">
        <f>_xlfn.CONCAT(C66, " @ ", D66)</f>
        <v>effortless-postgres|ReviewEvents.CadenceDriftDays @ review-policy-prelaunch</v>
      </c>
      <c r="C66" s="2" t="s">
        <v>14611</v>
      </c>
      <c r="D66" s="2" t="s">
        <v>1632</v>
      </c>
      <c r="E66" s="2" t="s">
        <v>15113</v>
      </c>
      <c r="F66" s="2" t="s">
        <v>15114</v>
      </c>
      <c r="G66" s="2" t="s">
        <v>14591</v>
      </c>
      <c r="H66" s="3" t="str">
        <f>_xlfn.IFNA(INDEX(FieldDisagreements!C2:C999, MATCH(C66,FieldDisagreements!A2:A999, 0)), "")</f>
        <v>effortless-postgres</v>
      </c>
      <c r="I66" s="3" t="str">
        <f>_xlfn.IFNA(INDEX(FieldDisagreements!D2:D999, MATCH(C66,FieldDisagreements!A2:A999, 0)), "")</f>
        <v>ReviewEvents.CadenceDriftDays</v>
      </c>
      <c r="J66" s="2" t="s">
        <v>1906</v>
      </c>
    </row>
    <row r="67">
      <c r="A67" s="2" t="s">
        <v>15115</v>
      </c>
      <c r="B67" s="3" t="str">
        <f>_xlfn.CONCAT(C67, " @ ", D67)</f>
        <v>effortless-postgres|LearningActivities.Name @ learn-close-retro</v>
      </c>
      <c r="C67" s="2" t="s">
        <v>14612</v>
      </c>
      <c r="D67" s="2" t="s">
        <v>1637</v>
      </c>
      <c r="E67" s="2" t="s">
        <v>15116</v>
      </c>
      <c r="F67" s="2" t="s">
        <v>15117</v>
      </c>
      <c r="G67" s="2" t="s">
        <v>14591</v>
      </c>
      <c r="H67" s="3" t="str">
        <f>_xlfn.IFNA(INDEX(FieldDisagreements!C2:C999, MATCH(C67,FieldDisagreements!A2:A999, 0)), "")</f>
        <v>effortless-postgres</v>
      </c>
      <c r="I67" s="3" t="str">
        <f>_xlfn.IFNA(INDEX(FieldDisagreements!D2:D999, MATCH(C67,FieldDisagreements!A2:A999, 0)), "")</f>
        <v>LearningActivities.Name</v>
      </c>
      <c r="J67" s="2" t="s">
        <v>1906</v>
      </c>
    </row>
    <row r="68">
      <c r="A68" s="2" t="s">
        <v>15118</v>
      </c>
      <c r="B68" s="3" t="str">
        <f>_xlfn.CONCAT(C68, " @ ", D68)</f>
        <v>effortless-postgres|LearningActivities.Name @ learn-policy-tabletop</v>
      </c>
      <c r="C68" s="2" t="s">
        <v>14612</v>
      </c>
      <c r="D68" s="2" t="s">
        <v>1639</v>
      </c>
      <c r="E68" s="2" t="s">
        <v>15119</v>
      </c>
      <c r="F68" s="2" t="s">
        <v>15120</v>
      </c>
      <c r="G68" s="2" t="s">
        <v>14591</v>
      </c>
      <c r="H68" s="3" t="str">
        <f>_xlfn.IFNA(INDEX(FieldDisagreements!C2:C999, MATCH(C68,FieldDisagreements!A2:A999, 0)), "")</f>
        <v>effortless-postgres</v>
      </c>
      <c r="I68" s="3" t="str">
        <f>_xlfn.IFNA(INDEX(FieldDisagreements!D2:D999, MATCH(C68,FieldDisagreements!A2:A999, 0)), "")</f>
        <v>LearningActivities.Name</v>
      </c>
      <c r="J68" s="2" t="s">
        <v>1906</v>
      </c>
    </row>
    <row r="69">
      <c r="A69" s="2" t="s">
        <v>15121</v>
      </c>
      <c r="B69" s="3" t="str">
        <f>_xlfn.CONCAT(C69, " @ ", D69)</f>
        <v>effortless-postgres|ObservedTransitions.Name @ obs-close-01-02-q2</v>
      </c>
      <c r="C69" s="2" t="s">
        <v>14613</v>
      </c>
      <c r="D69" s="2" t="s">
        <v>8200</v>
      </c>
      <c r="E69" s="2" t="s">
        <v>15122</v>
      </c>
      <c r="F69" s="2" t="s">
        <v>15123</v>
      </c>
      <c r="G69" s="2" t="s">
        <v>14591</v>
      </c>
      <c r="H69" s="3" t="str">
        <f>_xlfn.IFNA(INDEX(FieldDisagreements!C2:C999, MATCH(C69,FieldDisagreements!A2:A999, 0)), "")</f>
        <v>effortless-postgres</v>
      </c>
      <c r="I69" s="3" t="str">
        <f>_xlfn.IFNA(INDEX(FieldDisagreements!D2:D999, MATCH(C69,FieldDisagreements!A2:A999, 0)), "")</f>
        <v>ObservedTransitions.Name</v>
      </c>
      <c r="J69" s="2" t="s">
        <v>1906</v>
      </c>
    </row>
    <row r="70">
      <c r="A70" s="2" t="s">
        <v>15124</v>
      </c>
      <c r="B70" s="3" t="str">
        <f>_xlfn.CONCAT(C70, " @ ", D70)</f>
        <v>effortless-postgres|ObservedTransitions.Name @ obs-close-02-03-q2</v>
      </c>
      <c r="C70" s="2" t="s">
        <v>14613</v>
      </c>
      <c r="D70" s="2" t="s">
        <v>8202</v>
      </c>
      <c r="E70" s="2" t="s">
        <v>15125</v>
      </c>
      <c r="F70" s="2" t="s">
        <v>15126</v>
      </c>
      <c r="G70" s="2" t="s">
        <v>14591</v>
      </c>
      <c r="H70" s="3" t="str">
        <f>_xlfn.IFNA(INDEX(FieldDisagreements!C2:C999, MATCH(C70,FieldDisagreements!A2:A999, 0)), "")</f>
        <v>effortless-postgres</v>
      </c>
      <c r="I70" s="3" t="str">
        <f>_xlfn.IFNA(INDEX(FieldDisagreements!D2:D999, MATCH(C70,FieldDisagreements!A2:A999, 0)), "")</f>
        <v>ObservedTransitions.Name</v>
      </c>
      <c r="J70" s="2" t="s">
        <v>1906</v>
      </c>
    </row>
    <row r="71">
      <c r="A71" s="2" t="s">
        <v>15127</v>
      </c>
      <c r="B71" s="3" t="str">
        <f>_xlfn.CONCAT(C71, " @ ", D71)</f>
        <v>effortless-postgres|ObservedTransitions.Name @ obs-close-03-04-q2</v>
      </c>
      <c r="C71" s="2" t="s">
        <v>14613</v>
      </c>
      <c r="D71" s="2" t="s">
        <v>8203</v>
      </c>
      <c r="E71" s="2" t="s">
        <v>15128</v>
      </c>
      <c r="F71" s="2" t="s">
        <v>15129</v>
      </c>
      <c r="G71" s="2" t="s">
        <v>14591</v>
      </c>
      <c r="H71" s="3" t="str">
        <f>_xlfn.IFNA(INDEX(FieldDisagreements!C2:C999, MATCH(C71,FieldDisagreements!A2:A999, 0)), "")</f>
        <v>effortless-postgres</v>
      </c>
      <c r="I71" s="3" t="str">
        <f>_xlfn.IFNA(INDEX(FieldDisagreements!D2:D999, MATCH(C71,FieldDisagreements!A2:A999, 0)), "")</f>
        <v>ObservedTransitions.Name</v>
      </c>
      <c r="J71" s="2" t="s">
        <v>1906</v>
      </c>
    </row>
    <row r="72">
      <c r="A72" s="2" t="s">
        <v>15130</v>
      </c>
      <c r="B72" s="3" t="str">
        <f>_xlfn.CONCAT(C72, " @ ", D72)</f>
        <v>effortless-postgres|ObservedTransitions.Name @ obs-close-04-05-q2</v>
      </c>
      <c r="C72" s="2" t="s">
        <v>14613</v>
      </c>
      <c r="D72" s="2" t="s">
        <v>8204</v>
      </c>
      <c r="E72" s="2" t="s">
        <v>15131</v>
      </c>
      <c r="F72" s="2" t="s">
        <v>15132</v>
      </c>
      <c r="G72" s="2" t="s">
        <v>14591</v>
      </c>
      <c r="H72" s="3" t="str">
        <f>_xlfn.IFNA(INDEX(FieldDisagreements!C2:C999, MATCH(C72,FieldDisagreements!A2:A999, 0)), "")</f>
        <v>effortless-postgres</v>
      </c>
      <c r="I72" s="3" t="str">
        <f>_xlfn.IFNA(INDEX(FieldDisagreements!D2:D999, MATCH(C72,FieldDisagreements!A2:A999, 0)), "")</f>
        <v>ObservedTransitions.Name</v>
      </c>
      <c r="J72" s="2" t="s">
        <v>1906</v>
      </c>
    </row>
    <row r="73">
      <c r="A73" s="2" t="s">
        <v>15133</v>
      </c>
      <c r="B73" s="3" t="str">
        <f>_xlfn.CONCAT(C73, " @ ", D73)</f>
        <v>effortless-postgres|ObservedTransitions.Name @ obs-close-05-06-q2</v>
      </c>
      <c r="C73" s="2" t="s">
        <v>14613</v>
      </c>
      <c r="D73" s="2" t="s">
        <v>8205</v>
      </c>
      <c r="E73" s="2" t="s">
        <v>15134</v>
      </c>
      <c r="F73" s="2" t="s">
        <v>15135</v>
      </c>
      <c r="G73" s="2" t="s">
        <v>14591</v>
      </c>
      <c r="H73" s="3" t="str">
        <f>_xlfn.IFNA(INDEX(FieldDisagreements!C2:C999, MATCH(C73,FieldDisagreements!A2:A999, 0)), "")</f>
        <v>effortless-postgres</v>
      </c>
      <c r="I73" s="3" t="str">
        <f>_xlfn.IFNA(INDEX(FieldDisagreements!D2:D999, MATCH(C73,FieldDisagreements!A2:A999, 0)), "")</f>
        <v>ObservedTransitions.Name</v>
      </c>
      <c r="J73" s="2" t="s">
        <v>1906</v>
      </c>
    </row>
    <row r="74">
      <c r="A74" s="2" t="s">
        <v>15136</v>
      </c>
      <c r="B74" s="3" t="str">
        <f>_xlfn.CONCAT(C74, " @ ", D74)</f>
        <v>effortless-postgres|ObservedTransitions.Name @ obs-close-06-07-q2</v>
      </c>
      <c r="C74" s="2" t="s">
        <v>14613</v>
      </c>
      <c r="D74" s="2" t="s">
        <v>8206</v>
      </c>
      <c r="E74" s="2" t="s">
        <v>15137</v>
      </c>
      <c r="F74" s="2" t="s">
        <v>15138</v>
      </c>
      <c r="G74" s="2" t="s">
        <v>14591</v>
      </c>
      <c r="H74" s="3" t="str">
        <f>_xlfn.IFNA(INDEX(FieldDisagreements!C2:C999, MATCH(C74,FieldDisagreements!A2:A999, 0)), "")</f>
        <v>effortless-postgres</v>
      </c>
      <c r="I74" s="3" t="str">
        <f>_xlfn.IFNA(INDEX(FieldDisagreements!D2:D999, MATCH(C74,FieldDisagreements!A2:A999, 0)), "")</f>
        <v>ObservedTransitions.Name</v>
      </c>
      <c r="J74" s="2" t="s">
        <v>1906</v>
      </c>
    </row>
    <row r="75">
      <c r="A75" s="2" t="s">
        <v>15139</v>
      </c>
      <c r="B75" s="3" t="str">
        <f>_xlfn.CONCAT(C75, " @ ", D75)</f>
        <v>effortless-postgres|ObservedTransitions.Name @ obs-close-07-08-q2</v>
      </c>
      <c r="C75" s="2" t="s">
        <v>14613</v>
      </c>
      <c r="D75" s="2" t="s">
        <v>8207</v>
      </c>
      <c r="E75" s="2" t="s">
        <v>15140</v>
      </c>
      <c r="F75" s="2" t="s">
        <v>15141</v>
      </c>
      <c r="G75" s="2" t="s">
        <v>14591</v>
      </c>
      <c r="H75" s="3" t="str">
        <f>_xlfn.IFNA(INDEX(FieldDisagreements!C2:C999, MATCH(C75,FieldDisagreements!A2:A999, 0)), "")</f>
        <v>effortless-postgres</v>
      </c>
      <c r="I75" s="3" t="str">
        <f>_xlfn.IFNA(INDEX(FieldDisagreements!D2:D999, MATCH(C75,FieldDisagreements!A2:A999, 0)), "")</f>
        <v>ObservedTransitions.Name</v>
      </c>
      <c r="J75" s="2" t="s">
        <v>1906</v>
      </c>
    </row>
    <row r="76">
      <c r="A76" s="2" t="s">
        <v>15142</v>
      </c>
      <c r="B76" s="3" t="str">
        <f>_xlfn.CONCAT(C76, " @ ", D76)</f>
        <v>effortless-postgres|ObservedTransitions.Name @ obs-policy-01-02-hr4821</v>
      </c>
      <c r="C76" s="2" t="s">
        <v>14613</v>
      </c>
      <c r="D76" s="2" t="s">
        <v>8208</v>
      </c>
      <c r="E76" s="2" t="s">
        <v>15143</v>
      </c>
      <c r="F76" s="2" t="s">
        <v>15144</v>
      </c>
      <c r="G76" s="2" t="s">
        <v>14591</v>
      </c>
      <c r="H76" s="3" t="str">
        <f>_xlfn.IFNA(INDEX(FieldDisagreements!C2:C999, MATCH(C76,FieldDisagreements!A2:A999, 0)), "")</f>
        <v>effortless-postgres</v>
      </c>
      <c r="I76" s="3" t="str">
        <f>_xlfn.IFNA(INDEX(FieldDisagreements!D2:D999, MATCH(C76,FieldDisagreements!A2:A999, 0)), "")</f>
        <v>ObservedTransitions.Name</v>
      </c>
      <c r="J76" s="2" t="s">
        <v>1906</v>
      </c>
    </row>
    <row r="77">
      <c r="A77" s="2" t="s">
        <v>15145</v>
      </c>
      <c r="B77" s="3" t="str">
        <f>_xlfn.CONCAT(C77, " @ ", D77)</f>
        <v>effortless-postgres|ObservedTransitions.Name @ obs-policy-02-03-hr4821</v>
      </c>
      <c r="C77" s="2" t="s">
        <v>14613</v>
      </c>
      <c r="D77" s="2" t="s">
        <v>8209</v>
      </c>
      <c r="E77" s="2" t="s">
        <v>15146</v>
      </c>
      <c r="F77" s="2" t="s">
        <v>15147</v>
      </c>
      <c r="G77" s="2" t="s">
        <v>14591</v>
      </c>
      <c r="H77" s="3" t="str">
        <f>_xlfn.IFNA(INDEX(FieldDisagreements!C2:C999, MATCH(C77,FieldDisagreements!A2:A999, 0)), "")</f>
        <v>effortless-postgres</v>
      </c>
      <c r="I77" s="3" t="str">
        <f>_xlfn.IFNA(INDEX(FieldDisagreements!D2:D999, MATCH(C77,FieldDisagreements!A2:A999, 0)), "")</f>
        <v>ObservedTransitions.Name</v>
      </c>
      <c r="J77" s="2" t="s">
        <v>1906</v>
      </c>
    </row>
    <row r="78">
      <c r="A78" s="2" t="s">
        <v>15148</v>
      </c>
      <c r="B78" s="3" t="str">
        <f>_xlfn.CONCAT(C78, " @ ", D78)</f>
        <v>effortless-postgres|ObservedTransitions.Name @ obs-policy-03-04-hr4821</v>
      </c>
      <c r="C78" s="2" t="s">
        <v>14613</v>
      </c>
      <c r="D78" s="2" t="s">
        <v>8210</v>
      </c>
      <c r="E78" s="2" t="s">
        <v>15149</v>
      </c>
      <c r="F78" s="2" t="s">
        <v>15150</v>
      </c>
      <c r="G78" s="2" t="s">
        <v>14591</v>
      </c>
      <c r="H78" s="3" t="str">
        <f>_xlfn.IFNA(INDEX(FieldDisagreements!C2:C999, MATCH(C78,FieldDisagreements!A2:A999, 0)), "")</f>
        <v>effortless-postgres</v>
      </c>
      <c r="I78" s="3" t="str">
        <f>_xlfn.IFNA(INDEX(FieldDisagreements!D2:D999, MATCH(C78,FieldDisagreements!A2:A999, 0)), "")</f>
        <v>ObservedTransitions.Name</v>
      </c>
      <c r="J78" s="2" t="s">
        <v>1906</v>
      </c>
    </row>
    <row r="79">
      <c r="A79" s="2" t="s">
        <v>15151</v>
      </c>
      <c r="B79" s="3" t="str">
        <f>_xlfn.CONCAT(C79, " @ ", D79)</f>
        <v>effortless-postgres|MessageDeliveries.Name @ md-001</v>
      </c>
      <c r="C79" s="2" t="s">
        <v>14614</v>
      </c>
      <c r="D79" s="2" t="s">
        <v>8234</v>
      </c>
      <c r="E79" s="2" t="s">
        <v>15152</v>
      </c>
      <c r="F79" s="2" t="s">
        <v>15153</v>
      </c>
      <c r="G79" s="2" t="s">
        <v>14591</v>
      </c>
      <c r="H79" s="3" t="str">
        <f>_xlfn.IFNA(INDEX(FieldDisagreements!C2:C999, MATCH(C79,FieldDisagreements!A2:A999, 0)), "")</f>
        <v>effortless-postgres</v>
      </c>
      <c r="I79" s="3" t="str">
        <f>_xlfn.IFNA(INDEX(FieldDisagreements!D2:D999, MATCH(C79,FieldDisagreements!A2:A999, 0)), "")</f>
        <v>MessageDeliveries.Name</v>
      </c>
      <c r="J79" s="2" t="s">
        <v>1906</v>
      </c>
    </row>
    <row r="80">
      <c r="A80" s="2" t="s">
        <v>15154</v>
      </c>
      <c r="B80" s="3" t="str">
        <f>_xlfn.CONCAT(C80, " @ ", D80)</f>
        <v>effortless-postgres|MessageDeliveries.Name @ md-002</v>
      </c>
      <c r="C80" s="2" t="s">
        <v>14614</v>
      </c>
      <c r="D80" s="2" t="s">
        <v>8238</v>
      </c>
      <c r="E80" s="2" t="s">
        <v>15155</v>
      </c>
      <c r="F80" s="2" t="s">
        <v>15156</v>
      </c>
      <c r="G80" s="2" t="s">
        <v>14591</v>
      </c>
      <c r="H80" s="3" t="str">
        <f>_xlfn.IFNA(INDEX(FieldDisagreements!C2:C999, MATCH(C80,FieldDisagreements!A2:A999, 0)), "")</f>
        <v>effortless-postgres</v>
      </c>
      <c r="I80" s="3" t="str">
        <f>_xlfn.IFNA(INDEX(FieldDisagreements!D2:D999, MATCH(C80,FieldDisagreements!A2:A999, 0)), "")</f>
        <v>MessageDeliveries.Name</v>
      </c>
      <c r="J80" s="2" t="s">
        <v>1906</v>
      </c>
    </row>
    <row r="81">
      <c r="A81" s="2" t="s">
        <v>15157</v>
      </c>
      <c r="B81" s="3" t="str">
        <f>_xlfn.CONCAT(C81, " @ ", D81)</f>
        <v>effortless-postgres|MessageDeliveries.Name @ md-003</v>
      </c>
      <c r="C81" s="2" t="s">
        <v>14614</v>
      </c>
      <c r="D81" s="2" t="s">
        <v>8239</v>
      </c>
      <c r="E81" s="2" t="s">
        <v>15158</v>
      </c>
      <c r="F81" s="2" t="s">
        <v>15159</v>
      </c>
      <c r="G81" s="2" t="s">
        <v>14591</v>
      </c>
      <c r="H81" s="3" t="str">
        <f>_xlfn.IFNA(INDEX(FieldDisagreements!C2:C999, MATCH(C81,FieldDisagreements!A2:A999, 0)), "")</f>
        <v>effortless-postgres</v>
      </c>
      <c r="I81" s="3" t="str">
        <f>_xlfn.IFNA(INDEX(FieldDisagreements!D2:D999, MATCH(C81,FieldDisagreements!A2:A999, 0)), "")</f>
        <v>MessageDeliveries.Name</v>
      </c>
      <c r="J81" s="2" t="s">
        <v>1906</v>
      </c>
    </row>
    <row r="82">
      <c r="A82" s="2" t="s">
        <v>15160</v>
      </c>
      <c r="B82" s="3" t="str">
        <f>_xlfn.CONCAT(C82, " @ ", D82)</f>
        <v>effortless-postgres|MessageDeliveries.Name @ md-004</v>
      </c>
      <c r="C82" s="2" t="s">
        <v>14614</v>
      </c>
      <c r="D82" s="2" t="s">
        <v>8241</v>
      </c>
      <c r="E82" s="2" t="s">
        <v>15161</v>
      </c>
      <c r="F82" s="2" t="s">
        <v>15162</v>
      </c>
      <c r="G82" s="2" t="s">
        <v>14591</v>
      </c>
      <c r="H82" s="3" t="str">
        <f>_xlfn.IFNA(INDEX(FieldDisagreements!C2:C999, MATCH(C82,FieldDisagreements!A2:A999, 0)), "")</f>
        <v>effortless-postgres</v>
      </c>
      <c r="I82" s="3" t="str">
        <f>_xlfn.IFNA(INDEX(FieldDisagreements!D2:D999, MATCH(C82,FieldDisagreements!A2:A999, 0)), "")</f>
        <v>MessageDeliveries.Name</v>
      </c>
      <c r="J82" s="2" t="s">
        <v>1906</v>
      </c>
    </row>
    <row r="83">
      <c r="A83" s="2" t="s">
        <v>15163</v>
      </c>
      <c r="B83" s="3" t="str">
        <f>_xlfn.CONCAT(C83, " @ ", D83)</f>
        <v>effortless-postgres|MessageDeliveries.Name @ md-005</v>
      </c>
      <c r="C83" s="2" t="s">
        <v>14614</v>
      </c>
      <c r="D83" s="2" t="s">
        <v>8244</v>
      </c>
      <c r="E83" s="2" t="s">
        <v>15164</v>
      </c>
      <c r="F83" s="2" t="s">
        <v>15165</v>
      </c>
      <c r="G83" s="2" t="s">
        <v>14591</v>
      </c>
      <c r="H83" s="3" t="str">
        <f>_xlfn.IFNA(INDEX(FieldDisagreements!C2:C999, MATCH(C83,FieldDisagreements!A2:A999, 0)), "")</f>
        <v>effortless-postgres</v>
      </c>
      <c r="I83" s="3" t="str">
        <f>_xlfn.IFNA(INDEX(FieldDisagreements!D2:D999, MATCH(C83,FieldDisagreements!A2:A999, 0)), "")</f>
        <v>MessageDeliveries.Name</v>
      </c>
      <c r="J83" s="2" t="s">
        <v>1906</v>
      </c>
    </row>
    <row r="84">
      <c r="A84" s="2" t="s">
        <v>15166</v>
      </c>
      <c r="B84" s="3" t="str">
        <f>_xlfn.CONCAT(C84, " @ ", D84)</f>
        <v>effortless-postgres|MessageDeliveries.Name @ md-006</v>
      </c>
      <c r="C84" s="2" t="s">
        <v>14614</v>
      </c>
      <c r="D84" s="2" t="s">
        <v>8247</v>
      </c>
      <c r="E84" s="2" t="s">
        <v>15167</v>
      </c>
      <c r="F84" s="2" t="s">
        <v>15168</v>
      </c>
      <c r="G84" s="2" t="s">
        <v>14591</v>
      </c>
      <c r="H84" s="3" t="str">
        <f>_xlfn.IFNA(INDEX(FieldDisagreements!C2:C999, MATCH(C84,FieldDisagreements!A2:A999, 0)), "")</f>
        <v>effortless-postgres</v>
      </c>
      <c r="I84" s="3" t="str">
        <f>_xlfn.IFNA(INDEX(FieldDisagreements!D2:D999, MATCH(C84,FieldDisagreements!A2:A999, 0)), "")</f>
        <v>MessageDeliveries.Name</v>
      </c>
      <c r="J84" s="2" t="s">
        <v>1906</v>
      </c>
    </row>
    <row r="85">
      <c r="A85" s="2" t="s">
        <v>15169</v>
      </c>
      <c r="B85" s="3" t="str">
        <f>_xlfn.CONCAT(C85, " @ ", D85)</f>
        <v>effortless-postgres|MessageDeliveries.AgeDays @ md-001</v>
      </c>
      <c r="C85" s="2" t="s">
        <v>14615</v>
      </c>
      <c r="D85" s="2" t="s">
        <v>8234</v>
      </c>
      <c r="E85" s="2" t="s">
        <v>935</v>
      </c>
      <c r="F85" s="2" t="s">
        <v>37</v>
      </c>
      <c r="G85" s="2" t="s">
        <v>14591</v>
      </c>
      <c r="H85" s="3" t="str">
        <f>_xlfn.IFNA(INDEX(FieldDisagreements!C2:C999, MATCH(C85,FieldDisagreements!A2:A999, 0)), "")</f>
        <v>effortless-postgres</v>
      </c>
      <c r="I85" s="3" t="str">
        <f>_xlfn.IFNA(INDEX(FieldDisagreements!D2:D999, MATCH(C85,FieldDisagreements!A2:A999, 0)), "")</f>
        <v>MessageDeliveries.AgeDays</v>
      </c>
      <c r="J85" s="2" t="s">
        <v>1906</v>
      </c>
    </row>
    <row r="86">
      <c r="A86" s="2" t="s">
        <v>15170</v>
      </c>
      <c r="B86" s="3" t="str">
        <f>_xlfn.CONCAT(C86, " @ ", D86)</f>
        <v>effortless-postgres|MessageDeliveries.AgeDays @ md-002</v>
      </c>
      <c r="C86" s="2" t="s">
        <v>14615</v>
      </c>
      <c r="D86" s="2" t="s">
        <v>8238</v>
      </c>
      <c r="E86" s="2" t="s">
        <v>935</v>
      </c>
      <c r="F86" s="2" t="s">
        <v>37</v>
      </c>
      <c r="G86" s="2" t="s">
        <v>14591</v>
      </c>
      <c r="H86" s="3" t="str">
        <f>_xlfn.IFNA(INDEX(FieldDisagreements!C2:C999, MATCH(C86,FieldDisagreements!A2:A999, 0)), "")</f>
        <v>effortless-postgres</v>
      </c>
      <c r="I86" s="3" t="str">
        <f>_xlfn.IFNA(INDEX(FieldDisagreements!D2:D999, MATCH(C86,FieldDisagreements!A2:A999, 0)), "")</f>
        <v>MessageDeliveries.AgeDays</v>
      </c>
      <c r="J86" s="2" t="s">
        <v>1906</v>
      </c>
    </row>
    <row r="87">
      <c r="A87" s="2" t="s">
        <v>15171</v>
      </c>
      <c r="B87" s="3" t="str">
        <f>_xlfn.CONCAT(C87, " @ ", D87)</f>
        <v>effortless-postgres|MessageDeliveries.AgeDays @ md-003</v>
      </c>
      <c r="C87" s="2" t="s">
        <v>14615</v>
      </c>
      <c r="D87" s="2" t="s">
        <v>8239</v>
      </c>
      <c r="E87" s="2" t="s">
        <v>935</v>
      </c>
      <c r="F87" s="2" t="s">
        <v>37</v>
      </c>
      <c r="G87" s="2" t="s">
        <v>14591</v>
      </c>
      <c r="H87" s="3" t="str">
        <f>_xlfn.IFNA(INDEX(FieldDisagreements!C2:C999, MATCH(C87,FieldDisagreements!A2:A999, 0)), "")</f>
        <v>effortless-postgres</v>
      </c>
      <c r="I87" s="3" t="str">
        <f>_xlfn.IFNA(INDEX(FieldDisagreements!D2:D999, MATCH(C87,FieldDisagreements!A2:A999, 0)), "")</f>
        <v>MessageDeliveries.AgeDays</v>
      </c>
      <c r="J87" s="2" t="s">
        <v>1906</v>
      </c>
    </row>
    <row r="88">
      <c r="A88" s="2" t="s">
        <v>15172</v>
      </c>
      <c r="B88" s="3" t="str">
        <f>_xlfn.CONCAT(C88, " @ ", D88)</f>
        <v>effortless-postgres|MessageDeliveries.AgeDays @ md-004</v>
      </c>
      <c r="C88" s="2" t="s">
        <v>14615</v>
      </c>
      <c r="D88" s="2" t="s">
        <v>8241</v>
      </c>
      <c r="E88" s="2" t="s">
        <v>935</v>
      </c>
      <c r="F88" s="2" t="s">
        <v>37</v>
      </c>
      <c r="G88" s="2" t="s">
        <v>14591</v>
      </c>
      <c r="H88" s="3" t="str">
        <f>_xlfn.IFNA(INDEX(FieldDisagreements!C2:C999, MATCH(C88,FieldDisagreements!A2:A999, 0)), "")</f>
        <v>effortless-postgres</v>
      </c>
      <c r="I88" s="3" t="str">
        <f>_xlfn.IFNA(INDEX(FieldDisagreements!D2:D999, MATCH(C88,FieldDisagreements!A2:A999, 0)), "")</f>
        <v>MessageDeliveries.AgeDays</v>
      </c>
      <c r="J88" s="2" t="s">
        <v>1906</v>
      </c>
    </row>
    <row r="89">
      <c r="A89" s="2" t="s">
        <v>15173</v>
      </c>
      <c r="B89" s="3" t="str">
        <f>_xlfn.CONCAT(C89, " @ ", D89)</f>
        <v>effortless-postgres|MessageDeliveries.AgeDays @ md-005</v>
      </c>
      <c r="C89" s="2" t="s">
        <v>14615</v>
      </c>
      <c r="D89" s="2" t="s">
        <v>8244</v>
      </c>
      <c r="E89" s="2" t="s">
        <v>935</v>
      </c>
      <c r="F89" s="2" t="s">
        <v>37</v>
      </c>
      <c r="G89" s="2" t="s">
        <v>14591</v>
      </c>
      <c r="H89" s="3" t="str">
        <f>_xlfn.IFNA(INDEX(FieldDisagreements!C2:C999, MATCH(C89,FieldDisagreements!A2:A999, 0)), "")</f>
        <v>effortless-postgres</v>
      </c>
      <c r="I89" s="3" t="str">
        <f>_xlfn.IFNA(INDEX(FieldDisagreements!D2:D999, MATCH(C89,FieldDisagreements!A2:A999, 0)), "")</f>
        <v>MessageDeliveries.AgeDays</v>
      </c>
      <c r="J89" s="2" t="s">
        <v>1906</v>
      </c>
    </row>
    <row r="90">
      <c r="A90" s="2" t="s">
        <v>15174</v>
      </c>
      <c r="B90" s="3" t="str">
        <f>_xlfn.CONCAT(C90, " @ ", D90)</f>
        <v>effortless-postgres|MessageDeliveries.AgeDays @ md-006</v>
      </c>
      <c r="C90" s="2" t="s">
        <v>14615</v>
      </c>
      <c r="D90" s="2" t="s">
        <v>8247</v>
      </c>
      <c r="E90" s="2" t="s">
        <v>935</v>
      </c>
      <c r="F90" s="2" t="s">
        <v>37</v>
      </c>
      <c r="G90" s="2" t="s">
        <v>14591</v>
      </c>
      <c r="H90" s="3" t="str">
        <f>_xlfn.IFNA(INDEX(FieldDisagreements!C2:C999, MATCH(C90,FieldDisagreements!A2:A999, 0)), "")</f>
        <v>effortless-postgres</v>
      </c>
      <c r="I90" s="3" t="str">
        <f>_xlfn.IFNA(INDEX(FieldDisagreements!D2:D999, MATCH(C90,FieldDisagreements!A2:A999, 0)), "")</f>
        <v>MessageDeliveries.AgeDays</v>
      </c>
      <c r="J90" s="2" t="s">
        <v>1906</v>
      </c>
    </row>
    <row r="91">
      <c r="A91" s="2" t="s">
        <v>15175</v>
      </c>
      <c r="B91" s="3" t="str">
        <f>_xlfn.CONCAT(C91, " @ ", D91)</f>
        <v>effortless-postgres|MessageDeliveries.SegmentCount @ md-001</v>
      </c>
      <c r="C91" s="2" t="s">
        <v>14616</v>
      </c>
      <c r="D91" s="2" t="s">
        <v>8234</v>
      </c>
      <c r="E91" s="2" t="s">
        <v>15036</v>
      </c>
      <c r="F91" s="2" t="s">
        <v>37</v>
      </c>
      <c r="G91" s="2" t="s">
        <v>14591</v>
      </c>
      <c r="H91" s="3" t="str">
        <f>_xlfn.IFNA(INDEX(FieldDisagreements!C2:C999, MATCH(C91,FieldDisagreements!A2:A999, 0)), "")</f>
        <v>effortless-postgres</v>
      </c>
      <c r="I91" s="3" t="str">
        <f>_xlfn.IFNA(INDEX(FieldDisagreements!D2:D999, MATCH(C91,FieldDisagreements!A2:A999, 0)), "")</f>
        <v>MessageDeliveries.SegmentCount</v>
      </c>
      <c r="J91" s="2" t="s">
        <v>1906</v>
      </c>
    </row>
    <row r="92">
      <c r="A92" s="2" t="s">
        <v>15176</v>
      </c>
      <c r="B92" s="3" t="str">
        <f>_xlfn.CONCAT(C92, " @ ", D92)</f>
        <v>effortless-postgres|MessageDeliveries.SegmentCount @ md-002</v>
      </c>
      <c r="C92" s="2" t="s">
        <v>14616</v>
      </c>
      <c r="D92" s="2" t="s">
        <v>8238</v>
      </c>
      <c r="E92" s="2" t="s">
        <v>15036</v>
      </c>
      <c r="F92" s="2" t="s">
        <v>37</v>
      </c>
      <c r="G92" s="2" t="s">
        <v>14591</v>
      </c>
      <c r="H92" s="3" t="str">
        <f>_xlfn.IFNA(INDEX(FieldDisagreements!C2:C999, MATCH(C92,FieldDisagreements!A2:A999, 0)), "")</f>
        <v>effortless-postgres</v>
      </c>
      <c r="I92" s="3" t="str">
        <f>_xlfn.IFNA(INDEX(FieldDisagreements!D2:D999, MATCH(C92,FieldDisagreements!A2:A999, 0)), "")</f>
        <v>MessageDeliveries.SegmentCount</v>
      </c>
      <c r="J92" s="2" t="s">
        <v>1906</v>
      </c>
    </row>
    <row r="93">
      <c r="A93" s="2" t="s">
        <v>15177</v>
      </c>
      <c r="B93" s="3" t="str">
        <f>_xlfn.CONCAT(C93, " @ ", D93)</f>
        <v>effortless-postgres|MessageDeliveries.SegmentCount @ md-003</v>
      </c>
      <c r="C93" s="2" t="s">
        <v>14616</v>
      </c>
      <c r="D93" s="2" t="s">
        <v>8239</v>
      </c>
      <c r="E93" s="2" t="s">
        <v>15036</v>
      </c>
      <c r="F93" s="2" t="s">
        <v>37</v>
      </c>
      <c r="G93" s="2" t="s">
        <v>14591</v>
      </c>
      <c r="H93" s="3" t="str">
        <f>_xlfn.IFNA(INDEX(FieldDisagreements!C2:C999, MATCH(C93,FieldDisagreements!A2:A999, 0)), "")</f>
        <v>effortless-postgres</v>
      </c>
      <c r="I93" s="3" t="str">
        <f>_xlfn.IFNA(INDEX(FieldDisagreements!D2:D999, MATCH(C93,FieldDisagreements!A2:A999, 0)), "")</f>
        <v>MessageDeliveries.SegmentCount</v>
      </c>
      <c r="J93" s="2" t="s">
        <v>1906</v>
      </c>
    </row>
    <row r="94">
      <c r="A94" s="2" t="s">
        <v>15178</v>
      </c>
      <c r="B94" s="3" t="str">
        <f>_xlfn.CONCAT(C94, " @ ", D94)</f>
        <v>effortless-postgres|MessageDeliveries.SegmentCount @ md-004</v>
      </c>
      <c r="C94" s="2" t="s">
        <v>14616</v>
      </c>
      <c r="D94" s="2" t="s">
        <v>8241</v>
      </c>
      <c r="E94" s="2" t="s">
        <v>15036</v>
      </c>
      <c r="F94" s="2" t="s">
        <v>37</v>
      </c>
      <c r="G94" s="2" t="s">
        <v>14591</v>
      </c>
      <c r="H94" s="3" t="str">
        <f>_xlfn.IFNA(INDEX(FieldDisagreements!C2:C999, MATCH(C94,FieldDisagreements!A2:A999, 0)), "")</f>
        <v>effortless-postgres</v>
      </c>
      <c r="I94" s="3" t="str">
        <f>_xlfn.IFNA(INDEX(FieldDisagreements!D2:D999, MATCH(C94,FieldDisagreements!A2:A999, 0)), "")</f>
        <v>MessageDeliveries.SegmentCount</v>
      </c>
      <c r="J94" s="2" t="s">
        <v>1906</v>
      </c>
    </row>
    <row r="95">
      <c r="A95" s="2" t="s">
        <v>15179</v>
      </c>
      <c r="B95" s="3" t="str">
        <f>_xlfn.CONCAT(C95, " @ ", D95)</f>
        <v>effortless-postgres|MessageDeliveries.SegmentCount @ md-005</v>
      </c>
      <c r="C95" s="2" t="s">
        <v>14616</v>
      </c>
      <c r="D95" s="2" t="s">
        <v>8244</v>
      </c>
      <c r="E95" s="2" t="s">
        <v>15036</v>
      </c>
      <c r="F95" s="2" t="s">
        <v>37</v>
      </c>
      <c r="G95" s="2" t="s">
        <v>14591</v>
      </c>
      <c r="H95" s="3" t="str">
        <f>_xlfn.IFNA(INDEX(FieldDisagreements!C2:C999, MATCH(C95,FieldDisagreements!A2:A999, 0)), "")</f>
        <v>effortless-postgres</v>
      </c>
      <c r="I95" s="3" t="str">
        <f>_xlfn.IFNA(INDEX(FieldDisagreements!D2:D999, MATCH(C95,FieldDisagreements!A2:A999, 0)), "")</f>
        <v>MessageDeliveries.SegmentCount</v>
      </c>
      <c r="J95" s="2" t="s">
        <v>1906</v>
      </c>
    </row>
    <row r="96">
      <c r="A96" s="2" t="s">
        <v>15180</v>
      </c>
      <c r="B96" s="3" t="str">
        <f>_xlfn.CONCAT(C96, " @ ", D96)</f>
        <v>effortless-postgres|MessageDeliveries.SegmentCount @ md-006</v>
      </c>
      <c r="C96" s="2" t="s">
        <v>14616</v>
      </c>
      <c r="D96" s="2" t="s">
        <v>8247</v>
      </c>
      <c r="E96" s="2" t="s">
        <v>15036</v>
      </c>
      <c r="F96" s="2" t="s">
        <v>37</v>
      </c>
      <c r="G96" s="2" t="s">
        <v>14591</v>
      </c>
      <c r="H96" s="3" t="str">
        <f>_xlfn.IFNA(INDEX(FieldDisagreements!C2:C999, MATCH(C96,FieldDisagreements!A2:A999, 0)), "")</f>
        <v>effortless-postgres</v>
      </c>
      <c r="I96" s="3" t="str">
        <f>_xlfn.IFNA(INDEX(FieldDisagreements!D2:D999, MATCH(C96,FieldDisagreements!A2:A999, 0)), "")</f>
        <v>MessageDeliveries.SegmentCount</v>
      </c>
      <c r="J96" s="2" t="s">
        <v>1906</v>
      </c>
    </row>
    <row r="97">
      <c r="A97" s="2" t="s">
        <v>15181</v>
      </c>
      <c r="B97" s="3" t="str">
        <f>_xlfn.CONCAT(C97, " @ ", D97)</f>
        <v>effortless-postgres|MessageDeliveries.OutstandingAgeDays @ md-002</v>
      </c>
      <c r="C97" s="2" t="s">
        <v>14617</v>
      </c>
      <c r="D97" s="2" t="s">
        <v>8238</v>
      </c>
      <c r="E97" s="2" t="s">
        <v>935</v>
      </c>
      <c r="F97" s="2" t="s">
        <v>37</v>
      </c>
      <c r="G97" s="2" t="s">
        <v>14591</v>
      </c>
      <c r="H97" s="3" t="str">
        <f>_xlfn.IFNA(INDEX(FieldDisagreements!C2:C999, MATCH(C97,FieldDisagreements!A2:A999, 0)), "")</f>
        <v>effortless-postgres</v>
      </c>
      <c r="I97" s="3" t="str">
        <f>_xlfn.IFNA(INDEX(FieldDisagreements!D2:D999, MATCH(C97,FieldDisagreements!A2:A999, 0)), "")</f>
        <v>MessageDeliveries.OutstandingAgeDays</v>
      </c>
      <c r="J97" s="2" t="s">
        <v>1906</v>
      </c>
    </row>
    <row r="98">
      <c r="A98" s="2" t="s">
        <v>15182</v>
      </c>
      <c r="B98" s="3" t="str">
        <f>_xlfn.CONCAT(C98, " @ ", D98)</f>
        <v>effortless-postgres|MessageDeliveries.OutstandingAgeDays @ md-003</v>
      </c>
      <c r="C98" s="2" t="s">
        <v>14617</v>
      </c>
      <c r="D98" s="2" t="s">
        <v>8239</v>
      </c>
      <c r="E98" s="2" t="s">
        <v>935</v>
      </c>
      <c r="F98" s="2" t="s">
        <v>37</v>
      </c>
      <c r="G98" s="2" t="s">
        <v>14591</v>
      </c>
      <c r="H98" s="3" t="str">
        <f>_xlfn.IFNA(INDEX(FieldDisagreements!C2:C999, MATCH(C98,FieldDisagreements!A2:A999, 0)), "")</f>
        <v>effortless-postgres</v>
      </c>
      <c r="I98" s="3" t="str">
        <f>_xlfn.IFNA(INDEX(FieldDisagreements!D2:D999, MATCH(C98,FieldDisagreements!A2:A999, 0)), "")</f>
        <v>MessageDeliveries.OutstandingAgeDays</v>
      </c>
      <c r="J98" s="2" t="s">
        <v>1906</v>
      </c>
    </row>
    <row r="99">
      <c r="A99" s="2" t="s">
        <v>15183</v>
      </c>
      <c r="B99" s="3" t="str">
        <f>_xlfn.CONCAT(C99, " @ ", D99)</f>
        <v>effortless-postgres|MessageDeliveries.OutstandingAgeDays @ md-005</v>
      </c>
      <c r="C99" s="2" t="s">
        <v>14617</v>
      </c>
      <c r="D99" s="2" t="s">
        <v>8244</v>
      </c>
      <c r="E99" s="2" t="s">
        <v>935</v>
      </c>
      <c r="F99" s="2" t="s">
        <v>37</v>
      </c>
      <c r="G99" s="2" t="s">
        <v>14591</v>
      </c>
      <c r="H99" s="3" t="str">
        <f>_xlfn.IFNA(INDEX(FieldDisagreements!C2:C999, MATCH(C99,FieldDisagreements!A2:A999, 0)), "")</f>
        <v>effortless-postgres</v>
      </c>
      <c r="I99" s="3" t="str">
        <f>_xlfn.IFNA(INDEX(FieldDisagreements!D2:D999, MATCH(C99,FieldDisagreements!A2:A999, 0)), "")</f>
        <v>MessageDeliveries.OutstandingAgeDays</v>
      </c>
      <c r="J99" s="2" t="s">
        <v>1906</v>
      </c>
    </row>
    <row r="100">
      <c r="A100" s="2" t="s">
        <v>15184</v>
      </c>
      <c r="B100" s="3" t="str">
        <f>_xlfn.CONCAT(C100, " @ ", D100)</f>
        <v>effortless-postgres|MessageDeliveries.OptOutPhrasePosition @ md-003</v>
      </c>
      <c r="C100" s="2" t="s">
        <v>14618</v>
      </c>
      <c r="D100" s="2" t="s">
        <v>8239</v>
      </c>
      <c r="E100" s="2" t="s">
        <v>15035</v>
      </c>
      <c r="F100" s="2" t="s">
        <v>15185</v>
      </c>
      <c r="G100" s="2" t="s">
        <v>14591</v>
      </c>
      <c r="H100" s="3" t="str">
        <f>_xlfn.IFNA(INDEX(FieldDisagreements!C2:C999, MATCH(C100,FieldDisagreements!A2:A999, 0)), "")</f>
        <v>effortless-postgres</v>
      </c>
      <c r="I100" s="3" t="str">
        <f>_xlfn.IFNA(INDEX(FieldDisagreements!D2:D999, MATCH(C100,FieldDisagreements!A2:A999, 0)), "")</f>
        <v>MessageDeliveries.OptOutPhrasePosition</v>
      </c>
      <c r="J100" s="2" t="s">
        <v>1906</v>
      </c>
    </row>
    <row r="101">
      <c r="A101" s="2" t="s">
        <v>15186</v>
      </c>
      <c r="B101" s="3" t="str">
        <f>_xlfn.CONCAT(C101, " @ ", D101)</f>
        <v>effortless-postgres|MessageDeliveries.OptOutPhrasePosition @ md-004</v>
      </c>
      <c r="C101" s="2" t="s">
        <v>14618</v>
      </c>
      <c r="D101" s="2" t="s">
        <v>8241</v>
      </c>
      <c r="E101" s="2" t="s">
        <v>15035</v>
      </c>
      <c r="F101" s="2" t="s">
        <v>15185</v>
      </c>
      <c r="G101" s="2" t="s">
        <v>14591</v>
      </c>
      <c r="H101" s="3" t="str">
        <f>_xlfn.IFNA(INDEX(FieldDisagreements!C2:C999, MATCH(C101,FieldDisagreements!A2:A999, 0)), "")</f>
        <v>effortless-postgres</v>
      </c>
      <c r="I101" s="3" t="str">
        <f>_xlfn.IFNA(INDEX(FieldDisagreements!D2:D999, MATCH(C101,FieldDisagreements!A2:A999, 0)), "")</f>
        <v>MessageDeliveries.OptOutPhrasePosition</v>
      </c>
      <c r="J101" s="2" t="s">
        <v>1906</v>
      </c>
    </row>
    <row r="102">
      <c r="A102" s="2" t="s">
        <v>15187</v>
      </c>
      <c r="B102" s="3" t="str">
        <f>_xlfn.CONCAT(C102, " @ ", D102)</f>
        <v>effortless-postgres|MessageDeliveries.OptOutPhrasePosition @ md-006</v>
      </c>
      <c r="C102" s="2" t="s">
        <v>14618</v>
      </c>
      <c r="D102" s="2" t="s">
        <v>8247</v>
      </c>
      <c r="E102" s="2" t="s">
        <v>15035</v>
      </c>
      <c r="F102" s="2" t="s">
        <v>15185</v>
      </c>
      <c r="G102" s="2" t="s">
        <v>14591</v>
      </c>
      <c r="H102" s="3" t="str">
        <f>_xlfn.IFNA(INDEX(FieldDisagreements!C2:C999, MATCH(C102,FieldDisagreements!A2:A999, 0)), "")</f>
        <v>effortless-postgres</v>
      </c>
      <c r="I102" s="3" t="str">
        <f>_xlfn.IFNA(INDEX(FieldDisagreements!D2:D999, MATCH(C102,FieldDisagreements!A2:A999, 0)), "")</f>
        <v>MessageDeliveries.OptOutPhrasePosition</v>
      </c>
      <c r="J102" s="2" t="s">
        <v>1906</v>
      </c>
    </row>
    <row r="103">
      <c r="A103" s="2" t="s">
        <v>15188</v>
      </c>
      <c r="B103" s="3" t="str">
        <f>_xlfn.CONCAT(C103, " @ ", D103)</f>
        <v>effortless-postgres|TemplateApprovals.Name @ tap-email-001</v>
      </c>
      <c r="C103" s="2" t="s">
        <v>14619</v>
      </c>
      <c r="D103" s="2" t="s">
        <v>1729</v>
      </c>
      <c r="E103" s="2" t="s">
        <v>15189</v>
      </c>
      <c r="F103" s="2" t="s">
        <v>15190</v>
      </c>
      <c r="G103" s="2" t="s">
        <v>14591</v>
      </c>
      <c r="H103" s="3" t="str">
        <f>_xlfn.IFNA(INDEX(FieldDisagreements!C2:C999, MATCH(C103,FieldDisagreements!A2:A999, 0)), "")</f>
        <v>effortless-postgres</v>
      </c>
      <c r="I103" s="3" t="str">
        <f>_xlfn.IFNA(INDEX(FieldDisagreements!D2:D999, MATCH(C103,FieldDisagreements!A2:A999, 0)), "")</f>
        <v>TemplateApprovals.Name</v>
      </c>
      <c r="J103" s="2" t="s">
        <v>1906</v>
      </c>
    </row>
    <row r="104">
      <c r="A104" s="2" t="s">
        <v>15191</v>
      </c>
      <c r="B104" s="3" t="str">
        <f>_xlfn.CONCAT(C104, " @ ", D104)</f>
        <v>effortless-postgres|TemplateApprovals.Name @ tap-sms-001</v>
      </c>
      <c r="C104" s="2" t="s">
        <v>14619</v>
      </c>
      <c r="D104" s="2" t="s">
        <v>1733</v>
      </c>
      <c r="E104" s="2" t="s">
        <v>15192</v>
      </c>
      <c r="F104" s="2" t="s">
        <v>15193</v>
      </c>
      <c r="G104" s="2" t="s">
        <v>14591</v>
      </c>
      <c r="H104" s="3" t="str">
        <f>_xlfn.IFNA(INDEX(FieldDisagreements!C2:C999, MATCH(C104,FieldDisagreements!A2:A999, 0)), "")</f>
        <v>effortless-postgres</v>
      </c>
      <c r="I104" s="3" t="str">
        <f>_xlfn.IFNA(INDEX(FieldDisagreements!D2:D999, MATCH(C104,FieldDisagreements!A2:A999, 0)), "")</f>
        <v>TemplateApprovals.Name</v>
      </c>
      <c r="J104" s="2" t="s">
        <v>1906</v>
      </c>
    </row>
    <row r="105">
      <c r="A105" s="2" t="s">
        <v>15194</v>
      </c>
      <c r="B105" s="3" t="str">
        <f>_xlfn.CONCAT(C105, " @ ", D105)</f>
        <v>effortless-postgres|SendIntents.DeferralAgeHours @ si-001</v>
      </c>
      <c r="C105" s="2" t="s">
        <v>14620</v>
      </c>
      <c r="D105" s="2" t="s">
        <v>8253</v>
      </c>
      <c r="E105" s="2" t="s">
        <v>15195</v>
      </c>
      <c r="F105" s="2" t="s">
        <v>15196</v>
      </c>
      <c r="G105" s="2" t="s">
        <v>14591</v>
      </c>
      <c r="H105" s="3" t="str">
        <f>_xlfn.IFNA(INDEX(FieldDisagreements!C2:C999, MATCH(C105,FieldDisagreements!A2:A999, 0)), "")</f>
        <v>effortless-postgres</v>
      </c>
      <c r="I105" s="3" t="str">
        <f>_xlfn.IFNA(INDEX(FieldDisagreements!D2:D999, MATCH(C105,FieldDisagreements!A2:A999, 0)), "")</f>
        <v>SendIntents.DeferralAgeHours</v>
      </c>
      <c r="J105" s="2" t="s">
        <v>1906</v>
      </c>
    </row>
    <row r="106">
      <c r="A106" s="2" t="s">
        <v>15197</v>
      </c>
      <c r="B106" s="3" t="str">
        <f>_xlfn.CONCAT(C106, " @ ", D106)</f>
        <v>effortless-postgres|SendIntents.DeferralAgeHours @ si-002</v>
      </c>
      <c r="C106" s="2" t="s">
        <v>14620</v>
      </c>
      <c r="D106" s="2" t="s">
        <v>8256</v>
      </c>
      <c r="E106" s="2" t="s">
        <v>15195</v>
      </c>
      <c r="F106" s="2" t="s">
        <v>15196</v>
      </c>
      <c r="G106" s="2" t="s">
        <v>14591</v>
      </c>
      <c r="H106" s="3" t="str">
        <f>_xlfn.IFNA(INDEX(FieldDisagreements!C2:C999, MATCH(C106,FieldDisagreements!A2:A999, 0)), "")</f>
        <v>effortless-postgres</v>
      </c>
      <c r="I106" s="3" t="str">
        <f>_xlfn.IFNA(INDEX(FieldDisagreements!D2:D999, MATCH(C106,FieldDisagreements!A2:A999, 0)), "")</f>
        <v>SendIntents.DeferralAgeHours</v>
      </c>
      <c r="J106" s="2" t="s">
        <v>1906</v>
      </c>
    </row>
    <row r="107">
      <c r="A107" s="2" t="s">
        <v>15198</v>
      </c>
      <c r="B107" s="3" t="str">
        <f>_xlfn.CONCAT(C107, " @ ", D107)</f>
        <v>effortless-postgres|SendIntents.DeferralAgeHours @ si-003</v>
      </c>
      <c r="C107" s="2" t="s">
        <v>14620</v>
      </c>
      <c r="D107" s="2" t="s">
        <v>8257</v>
      </c>
      <c r="E107" s="2" t="s">
        <v>15195</v>
      </c>
      <c r="F107" s="2" t="s">
        <v>15196</v>
      </c>
      <c r="G107" s="2" t="s">
        <v>14591</v>
      </c>
      <c r="H107" s="3" t="str">
        <f>_xlfn.IFNA(INDEX(FieldDisagreements!C2:C999, MATCH(C107,FieldDisagreements!A2:A999, 0)), "")</f>
        <v>effortless-postgres</v>
      </c>
      <c r="I107" s="3" t="str">
        <f>_xlfn.IFNA(INDEX(FieldDisagreements!D2:D999, MATCH(C107,FieldDisagreements!A2:A999, 0)), "")</f>
        <v>SendIntents.DeferralAgeHours</v>
      </c>
      <c r="J107" s="2" t="s">
        <v>1906</v>
      </c>
    </row>
    <row r="108">
      <c r="A108" s="2" t="s">
        <v>15199</v>
      </c>
      <c r="B108" s="3" t="str">
        <f>_xlfn.CONCAT(C108, " @ ", D108)</f>
        <v>effortless-postgres|SendIntents.DeferralAgeHours @ si-004</v>
      </c>
      <c r="C108" s="2" t="s">
        <v>14620</v>
      </c>
      <c r="D108" s="2" t="s">
        <v>8258</v>
      </c>
      <c r="E108" s="2" t="s">
        <v>15195</v>
      </c>
      <c r="F108" s="2" t="s">
        <v>15196</v>
      </c>
      <c r="G108" s="2" t="s">
        <v>14591</v>
      </c>
      <c r="H108" s="3" t="str">
        <f>_xlfn.IFNA(INDEX(FieldDisagreements!C2:C999, MATCH(C108,FieldDisagreements!A2:A999, 0)), "")</f>
        <v>effortless-postgres</v>
      </c>
      <c r="I108" s="3" t="str">
        <f>_xlfn.IFNA(INDEX(FieldDisagreements!D2:D999, MATCH(C108,FieldDisagreements!A2:A999, 0)), "")</f>
        <v>SendIntents.DeferralAgeHours</v>
      </c>
      <c r="J108" s="2" t="s">
        <v>1906</v>
      </c>
    </row>
    <row r="109">
      <c r="A109" s="2" t="s">
        <v>15200</v>
      </c>
      <c r="B109" s="3" t="str">
        <f>_xlfn.CONCAT(C109, " @ ", D109)</f>
        <v>effortless-postgres|SendIntents.DeferralAgeHours @ si-005</v>
      </c>
      <c r="C109" s="2" t="s">
        <v>14620</v>
      </c>
      <c r="D109" s="2" t="s">
        <v>8260</v>
      </c>
      <c r="E109" s="2" t="s">
        <v>15195</v>
      </c>
      <c r="F109" s="2" t="s">
        <v>15196</v>
      </c>
      <c r="G109" s="2" t="s">
        <v>14591</v>
      </c>
      <c r="H109" s="3" t="str">
        <f>_xlfn.IFNA(INDEX(FieldDisagreements!C2:C999, MATCH(C109,FieldDisagreements!A2:A999, 0)), "")</f>
        <v>effortless-postgres</v>
      </c>
      <c r="I109" s="3" t="str">
        <f>_xlfn.IFNA(INDEX(FieldDisagreements!D2:D999, MATCH(C109,FieldDisagreements!A2:A999, 0)), "")</f>
        <v>SendIntents.DeferralAgeHours</v>
      </c>
      <c r="J109" s="2" t="s">
        <v>1906</v>
      </c>
    </row>
    <row r="110">
      <c r="A110" s="2" t="s">
        <v>15201</v>
      </c>
      <c r="B110" s="3" t="str">
        <f>_xlfn.CONCAT(C110, " @ ", D110)</f>
        <v>effortless-postgres|SendIntents.DeferralAgeHours @ si-006</v>
      </c>
      <c r="C110" s="2" t="s">
        <v>14620</v>
      </c>
      <c r="D110" s="2" t="s">
        <v>8262</v>
      </c>
      <c r="E110" s="2" t="s">
        <v>15195</v>
      </c>
      <c r="F110" s="2" t="s">
        <v>15196</v>
      </c>
      <c r="G110" s="2" t="s">
        <v>14591</v>
      </c>
      <c r="H110" s="3" t="str">
        <f>_xlfn.IFNA(INDEX(FieldDisagreements!C2:C999, MATCH(C110,FieldDisagreements!A2:A999, 0)), "")</f>
        <v>effortless-postgres</v>
      </c>
      <c r="I110" s="3" t="str">
        <f>_xlfn.IFNA(INDEX(FieldDisagreements!D2:D999, MATCH(C110,FieldDisagreements!A2:A999, 0)), "")</f>
        <v>SendIntents.DeferralAgeHours</v>
      </c>
      <c r="J110" s="2" t="s">
        <v>1906</v>
      </c>
    </row>
    <row r="111">
      <c r="A111" s="2" t="s">
        <v>15202</v>
      </c>
      <c r="B111" s="3" t="str">
        <f>_xlfn.CONCAT(C111, " @ ", D111)</f>
        <v>effortless-postgres|SendIntents.DeferralAgeHours @ si-007</v>
      </c>
      <c r="C111" s="2" t="s">
        <v>14620</v>
      </c>
      <c r="D111" s="2" t="s">
        <v>8263</v>
      </c>
      <c r="E111" s="2" t="s">
        <v>15195</v>
      </c>
      <c r="F111" s="2" t="s">
        <v>15196</v>
      </c>
      <c r="G111" s="2" t="s">
        <v>14591</v>
      </c>
      <c r="H111" s="3" t="str">
        <f>_xlfn.IFNA(INDEX(FieldDisagreements!C2:C999, MATCH(C111,FieldDisagreements!A2:A999, 0)), "")</f>
        <v>effortless-postgres</v>
      </c>
      <c r="I111" s="3" t="str">
        <f>_xlfn.IFNA(INDEX(FieldDisagreements!D2:D999, MATCH(C111,FieldDisagreements!A2:A999, 0)), "")</f>
        <v>SendIntents.DeferralAgeHours</v>
      </c>
      <c r="J111" s="2" t="s">
        <v>1906</v>
      </c>
    </row>
    <row r="112">
      <c r="A112" s="2" t="s">
        <v>15203</v>
      </c>
      <c r="B112" s="3" t="str">
        <f>_xlfn.CONCAT(C112, " @ ", D112)</f>
        <v>effortless-postgres|DeliveredCommunications.ContentMatchesApproval @ dc-hr4821-email-001</v>
      </c>
      <c r="C112" s="2" t="s">
        <v>14621</v>
      </c>
      <c r="D112" s="2" t="s">
        <v>8274</v>
      </c>
      <c r="E112" s="2" t="s">
        <v>15035</v>
      </c>
      <c r="F112" s="2" t="s">
        <v>15036</v>
      </c>
      <c r="G112" s="2" t="s">
        <v>14591</v>
      </c>
      <c r="H112" s="3" t="str">
        <f>_xlfn.IFNA(INDEX(FieldDisagreements!C2:C999, MATCH(C112,FieldDisagreements!A2:A999, 0)), "")</f>
        <v>effortless-postgres</v>
      </c>
      <c r="I112" s="3" t="str">
        <f>_xlfn.IFNA(INDEX(FieldDisagreements!D2:D999, MATCH(C112,FieldDisagreements!A2:A999, 0)), "")</f>
        <v>DeliveredCommunications.ContentMatchesApproval</v>
      </c>
      <c r="J112" s="2" t="s">
        <v>1906</v>
      </c>
    </row>
    <row r="113">
      <c r="A113" s="2" t="s">
        <v>15204</v>
      </c>
      <c r="B113" s="3" t="str">
        <f>_xlfn.CONCAT(C113, " @ ", D113)</f>
        <v>effortless-postgres|ProcessMiningRuns.Name @ pmr-close-v10-archived</v>
      </c>
      <c r="C113" s="2" t="s">
        <v>14622</v>
      </c>
      <c r="D113" s="2" t="s">
        <v>13897</v>
      </c>
      <c r="E113" s="2" t="s">
        <v>15205</v>
      </c>
      <c r="F113" s="2" t="s">
        <v>15206</v>
      </c>
      <c r="G113" s="2" t="s">
        <v>14591</v>
      </c>
      <c r="H113" s="3" t="str">
        <f>_xlfn.IFNA(INDEX(FieldDisagreements!C2:C999, MATCH(C113,FieldDisagreements!A2:A999, 0)), "")</f>
        <v>effortless-postgres</v>
      </c>
      <c r="I113" s="3" t="str">
        <f>_xlfn.IFNA(INDEX(FieldDisagreements!D2:D999, MATCH(C113,FieldDisagreements!A2:A999, 0)), "")</f>
        <v>ProcessMiningRuns.Name</v>
      </c>
      <c r="J113" s="2" t="s">
        <v>1906</v>
      </c>
    </row>
    <row r="114">
      <c r="A114" s="2" t="s">
        <v>15207</v>
      </c>
      <c r="B114" s="3" t="str">
        <f>_xlfn.CONCAT(C114, " @ ", D114)</f>
        <v>effortless-postgres|ProcessMiningRuns.Name @ pmr-close-v11-cutoff-bypass</v>
      </c>
      <c r="C114" s="2" t="s">
        <v>14622</v>
      </c>
      <c r="D114" s="2" t="s">
        <v>13893</v>
      </c>
      <c r="E114" s="2" t="s">
        <v>15208</v>
      </c>
      <c r="F114" s="2" t="s">
        <v>15209</v>
      </c>
      <c r="G114" s="2" t="s">
        <v>14591</v>
      </c>
      <c r="H114" s="3" t="str">
        <f>_xlfn.IFNA(INDEX(FieldDisagreements!C2:C999, MATCH(C114,FieldDisagreements!A2:A999, 0)), "")</f>
        <v>effortless-postgres</v>
      </c>
      <c r="I114" s="3" t="str">
        <f>_xlfn.IFNA(INDEX(FieldDisagreements!D2:D999, MATCH(C114,FieldDisagreements!A2:A999, 0)), "")</f>
        <v>ProcessMiningRuns.Name</v>
      </c>
      <c r="J114" s="2" t="s">
        <v>1906</v>
      </c>
    </row>
    <row r="115">
      <c r="A115" s="2" t="s">
        <v>15210</v>
      </c>
      <c r="B115" s="3" t="str">
        <f>_xlfn.CONCAT(C115, " @ ", D115)</f>
        <v>effortless-postgres|ProcessMiningRuns.Name @ pmr-close-v11-q3</v>
      </c>
      <c r="C115" s="2" t="s">
        <v>14622</v>
      </c>
      <c r="D115" s="2" t="s">
        <v>13890</v>
      </c>
      <c r="E115" s="2" t="s">
        <v>15211</v>
      </c>
      <c r="F115" s="2" t="s">
        <v>15212</v>
      </c>
      <c r="G115" s="2" t="s">
        <v>14591</v>
      </c>
      <c r="H115" s="3" t="str">
        <f>_xlfn.IFNA(INDEX(FieldDisagreements!C2:C999, MATCH(C115,FieldDisagreements!A2:A999, 0)), "")</f>
        <v>effortless-postgres</v>
      </c>
      <c r="I115" s="3" t="str">
        <f>_xlfn.IFNA(INDEX(FieldDisagreements!D2:D999, MATCH(C115,FieldDisagreements!A2:A999, 0)), "")</f>
        <v>ProcessMiningRuns.Name</v>
      </c>
      <c r="J115" s="2" t="s">
        <v>1906</v>
      </c>
    </row>
    <row r="116">
      <c r="A116" s="2" t="s">
        <v>15213</v>
      </c>
      <c r="B116" s="3" t="str">
        <f>_xlfn.CONCAT(C116, " @ ", D116)</f>
        <v>effortless-postgres|ProcessMiningRuns.Name @ pmr-policy-v1-notify</v>
      </c>
      <c r="C116" s="2" t="s">
        <v>14622</v>
      </c>
      <c r="D116" s="2" t="s">
        <v>13895</v>
      </c>
      <c r="E116" s="2" t="s">
        <v>15214</v>
      </c>
      <c r="F116" s="2" t="s">
        <v>15215</v>
      </c>
      <c r="G116" s="2" t="s">
        <v>14591</v>
      </c>
      <c r="H116" s="3" t="str">
        <f>_xlfn.IFNA(INDEX(FieldDisagreements!C2:C999, MATCH(C116,FieldDisagreements!A2:A999, 0)), "")</f>
        <v>effortless-postgres</v>
      </c>
      <c r="I116" s="3" t="str">
        <f>_xlfn.IFNA(INDEX(FieldDisagreements!D2:D999, MATCH(C116,FieldDisagreements!A2:A999, 0)), "")</f>
        <v>ProcessMiningRuns.Name</v>
      </c>
      <c r="J116" s="2" t="s">
        <v>1906</v>
      </c>
    </row>
    <row r="117">
      <c r="A117" s="2" t="s">
        <v>15216</v>
      </c>
      <c r="B117" s="3" t="str">
        <f>_xlfn.CONCAT(C117, " @ ", D117)</f>
        <v>effortless-xlsx|EvaluationContexts.Name @ eval-current</v>
      </c>
      <c r="C117" s="2" t="s">
        <v>14623</v>
      </c>
      <c r="D117" s="2" t="s">
        <v>95</v>
      </c>
      <c r="E117" s="2" t="s">
        <v>14993</v>
      </c>
      <c r="F117" s="2" t="s">
        <v>15217</v>
      </c>
      <c r="G117" s="2" t="s">
        <v>14591</v>
      </c>
      <c r="H117" s="3" t="str">
        <f>_xlfn.IFNA(INDEX(FieldDisagreements!C2:C999, MATCH(C117,FieldDisagreements!A2:A999, 0)), "")</f>
        <v>effortless-xlsx</v>
      </c>
      <c r="I117" s="3" t="str">
        <f>_xlfn.IFNA(INDEX(FieldDisagreements!D2:D999, MATCH(C117,FieldDisagreements!A2:A999, 0)), "")</f>
        <v>EvaluationContexts.Name</v>
      </c>
      <c r="J117" s="2" t="s">
        <v>1906</v>
      </c>
    </row>
    <row r="118">
      <c r="A118" s="2" t="s">
        <v>15218</v>
      </c>
      <c r="B118" s="3" t="str">
        <f>_xlfn.CONCAT(C118, " @ ", D118)</f>
        <v>effortless-xlsx|Roles.CurrentAssignmentValidFrom @ cfo</v>
      </c>
      <c r="C118" s="2" t="s">
        <v>14624</v>
      </c>
      <c r="D118" s="2" t="s">
        <v>212</v>
      </c>
      <c r="E118" s="2" t="s">
        <v>15219</v>
      </c>
      <c r="F118" s="2" t="s">
        <v>15220</v>
      </c>
      <c r="G118" s="2" t="s">
        <v>14591</v>
      </c>
      <c r="H118" s="3" t="str">
        <f>_xlfn.IFNA(INDEX(FieldDisagreements!C2:C999, MATCH(C118,FieldDisagreements!A2:A999, 0)), "")</f>
        <v>effortless-xlsx</v>
      </c>
      <c r="I118" s="3" t="str">
        <f>_xlfn.IFNA(INDEX(FieldDisagreements!D2:D999, MATCH(C118,FieldDisagreements!A2:A999, 0)), "")</f>
        <v>Roles.CurrentAssignmentValidFrom</v>
      </c>
      <c r="J118" s="2" t="s">
        <v>1906</v>
      </c>
    </row>
    <row r="119">
      <c r="A119" s="2" t="s">
        <v>15221</v>
      </c>
      <c r="B119" s="3" t="str">
        <f>_xlfn.CONCAT(C119, " @ ", D119)</f>
        <v>effortless-xlsx|Roles.CurrentAssignmentValidFrom @ close-automation</v>
      </c>
      <c r="C119" s="2" t="s">
        <v>14624</v>
      </c>
      <c r="D119" s="2" t="s">
        <v>228</v>
      </c>
      <c r="E119" s="2" t="s">
        <v>15219</v>
      </c>
      <c r="F119" s="2" t="s">
        <v>15220</v>
      </c>
      <c r="G119" s="2" t="s">
        <v>14591</v>
      </c>
      <c r="H119" s="3" t="str">
        <f>_xlfn.IFNA(INDEX(FieldDisagreements!C2:C999, MATCH(C119,FieldDisagreements!A2:A999, 0)), "")</f>
        <v>effortless-xlsx</v>
      </c>
      <c r="I119" s="3" t="str">
        <f>_xlfn.IFNA(INDEX(FieldDisagreements!D2:D999, MATCH(C119,FieldDisagreements!A2:A999, 0)), "")</f>
        <v>Roles.CurrentAssignmentValidFrom</v>
      </c>
      <c r="J119" s="2" t="s">
        <v>1906</v>
      </c>
    </row>
    <row r="120">
      <c r="A120" s="2" t="s">
        <v>15222</v>
      </c>
      <c r="B120" s="3" t="str">
        <f>_xlfn.CONCAT(C120, " @ ", D120)</f>
        <v>effortless-xlsx|Roles.CurrentAssignmentValidFrom @ communications-manager</v>
      </c>
      <c r="C120" s="2" t="s">
        <v>14624</v>
      </c>
      <c r="D120" s="2" t="s">
        <v>224</v>
      </c>
      <c r="E120" s="2" t="s">
        <v>15223</v>
      </c>
      <c r="F120" s="2" t="s">
        <v>15224</v>
      </c>
      <c r="G120" s="2" t="s">
        <v>14591</v>
      </c>
      <c r="H120" s="3" t="str">
        <f>_xlfn.IFNA(INDEX(FieldDisagreements!C2:C999, MATCH(C120,FieldDisagreements!A2:A999, 0)), "")</f>
        <v>effortless-xlsx</v>
      </c>
      <c r="I120" s="3" t="str">
        <f>_xlfn.IFNA(INDEX(FieldDisagreements!D2:D999, MATCH(C120,FieldDisagreements!A2:A999, 0)), "")</f>
        <v>Roles.CurrentAssignmentValidFrom</v>
      </c>
      <c r="J120" s="2" t="s">
        <v>1906</v>
      </c>
    </row>
    <row r="121">
      <c r="A121" s="2" t="s">
        <v>15225</v>
      </c>
      <c r="B121" s="3" t="str">
        <f>_xlfn.CONCAT(C121, " @ ", D121)</f>
        <v>effortless-xlsx|Roles.CurrentAssignmentValidFrom @ controller</v>
      </c>
      <c r="C121" s="2" t="s">
        <v>14624</v>
      </c>
      <c r="D121" s="2" t="s">
        <v>208</v>
      </c>
      <c r="E121" s="2" t="s">
        <v>15219</v>
      </c>
      <c r="F121" s="2" t="s">
        <v>15220</v>
      </c>
      <c r="G121" s="2" t="s">
        <v>14591</v>
      </c>
      <c r="H121" s="3" t="str">
        <f>_xlfn.IFNA(INDEX(FieldDisagreements!C2:C999, MATCH(C121,FieldDisagreements!A2:A999, 0)), "")</f>
        <v>effortless-xlsx</v>
      </c>
      <c r="I121" s="3" t="str">
        <f>_xlfn.IFNA(INDEX(FieldDisagreements!D2:D999, MATCH(C121,FieldDisagreements!A2:A999, 0)), "")</f>
        <v>Roles.CurrentAssignmentValidFrom</v>
      </c>
      <c r="J121" s="2" t="s">
        <v>1906</v>
      </c>
    </row>
    <row r="122">
      <c r="A122" s="2" t="s">
        <v>15226</v>
      </c>
      <c r="B122" s="3" t="str">
        <f>_xlfn.CONCAT(C122, " @ ", D122)</f>
        <v>effortless-xlsx|Roles.CurrentAssignmentValidFrom @ employment-counsel</v>
      </c>
      <c r="C122" s="2" t="s">
        <v>14624</v>
      </c>
      <c r="D122" s="2" t="s">
        <v>220</v>
      </c>
      <c r="E122" s="2" t="s">
        <v>15227</v>
      </c>
      <c r="F122" s="2" t="s">
        <v>15228</v>
      </c>
      <c r="G122" s="2" t="s">
        <v>14591</v>
      </c>
      <c r="H122" s="3" t="str">
        <f>_xlfn.IFNA(INDEX(FieldDisagreements!C2:C999, MATCH(C122,FieldDisagreements!A2:A999, 0)), "")</f>
        <v>effortless-xlsx</v>
      </c>
      <c r="I122" s="3" t="str">
        <f>_xlfn.IFNA(INDEX(FieldDisagreements!D2:D999, MATCH(C122,FieldDisagreements!A2:A999, 0)), "")</f>
        <v>Roles.CurrentAssignmentValidFrom</v>
      </c>
      <c r="J122" s="2" t="s">
        <v>1906</v>
      </c>
    </row>
    <row r="123">
      <c r="A123" s="2" t="s">
        <v>15229</v>
      </c>
      <c r="B123" s="3" t="str">
        <f>_xlfn.CONCAT(C123, " @ ", D123)</f>
        <v>effortless-xlsx|Roles.CurrentAssignmentValidFrom @ finance-analyst</v>
      </c>
      <c r="C123" s="2" t="s">
        <v>14624</v>
      </c>
      <c r="D123" s="2" t="s">
        <v>203</v>
      </c>
      <c r="E123" s="2" t="s">
        <v>15219</v>
      </c>
      <c r="F123" s="2" t="s">
        <v>15220</v>
      </c>
      <c r="G123" s="2" t="s">
        <v>14591</v>
      </c>
      <c r="H123" s="3" t="str">
        <f>_xlfn.IFNA(INDEX(FieldDisagreements!C2:C999, MATCH(C123,FieldDisagreements!A2:A999, 0)), "")</f>
        <v>effortless-xlsx</v>
      </c>
      <c r="I123" s="3" t="str">
        <f>_xlfn.IFNA(INDEX(FieldDisagreements!D2:D999, MATCH(C123,FieldDisagreements!A2:A999, 0)), "")</f>
        <v>Roles.CurrentAssignmentValidFrom</v>
      </c>
      <c r="J123" s="2" t="s">
        <v>1906</v>
      </c>
    </row>
    <row r="124">
      <c r="A124" s="2" t="s">
        <v>15230</v>
      </c>
      <c r="B124" s="3" t="str">
        <f>_xlfn.CONCAT(C124, " @ ", D124)</f>
        <v>effortless-xlsx|Roles.CurrentAssignmentValidFrom @ hr-policy-owner</v>
      </c>
      <c r="C124" s="2" t="s">
        <v>14624</v>
      </c>
      <c r="D124" s="2" t="s">
        <v>216</v>
      </c>
      <c r="E124" s="2" t="s">
        <v>15223</v>
      </c>
      <c r="F124" s="2" t="s">
        <v>15224</v>
      </c>
      <c r="G124" s="2" t="s">
        <v>14591</v>
      </c>
      <c r="H124" s="3" t="str">
        <f>_xlfn.IFNA(INDEX(FieldDisagreements!C2:C999, MATCH(C124,FieldDisagreements!A2:A999, 0)), "")</f>
        <v>effortless-xlsx</v>
      </c>
      <c r="I124" s="3" t="str">
        <f>_xlfn.IFNA(INDEX(FieldDisagreements!D2:D999, MATCH(C124,FieldDisagreements!A2:A999, 0)), "")</f>
        <v>Roles.CurrentAssignmentValidFrom</v>
      </c>
      <c r="J124" s="2" t="s">
        <v>1906</v>
      </c>
    </row>
    <row r="125">
      <c r="A125" s="2" t="s">
        <v>15231</v>
      </c>
      <c r="B125" s="3" t="str">
        <f>_xlfn.CONCAT(C125, " @ ", D125)</f>
        <v>effortless-xlsx|Roles.CurrentAssignmentValidFrom @ knowledge-authority</v>
      </c>
      <c r="C125" s="2" t="s">
        <v>14624</v>
      </c>
      <c r="D125" s="2" t="s">
        <v>248</v>
      </c>
      <c r="E125" s="2" t="s">
        <v>15219</v>
      </c>
      <c r="F125" s="2" t="s">
        <v>15220</v>
      </c>
      <c r="G125" s="2" t="s">
        <v>14591</v>
      </c>
      <c r="H125" s="3" t="str">
        <f>_xlfn.IFNA(INDEX(FieldDisagreements!C2:C999, MATCH(C125,FieldDisagreements!A2:A999, 0)), "")</f>
        <v>effortless-xlsx</v>
      </c>
      <c r="I125" s="3" t="str">
        <f>_xlfn.IFNA(INDEX(FieldDisagreements!D2:D999, MATCH(C125,FieldDisagreements!A2:A999, 0)), "")</f>
        <v>Roles.CurrentAssignmentValidFrom</v>
      </c>
      <c r="J125" s="2" t="s">
        <v>1906</v>
      </c>
    </row>
    <row r="126">
      <c r="A126" s="2" t="s">
        <v>15232</v>
      </c>
      <c r="B126" s="3" t="str">
        <f>_xlfn.CONCAT(C126, " @ ", D126)</f>
        <v>effortless-xlsx|Roles.CurrentAssignmentValidFrom @ notification-publisher</v>
      </c>
      <c r="C126" s="2" t="s">
        <v>14624</v>
      </c>
      <c r="D126" s="2" t="s">
        <v>240</v>
      </c>
      <c r="E126" s="2" t="s">
        <v>15233</v>
      </c>
      <c r="F126" s="2" t="s">
        <v>15234</v>
      </c>
      <c r="G126" s="2" t="s">
        <v>14591</v>
      </c>
      <c r="H126" s="3" t="str">
        <f>_xlfn.IFNA(INDEX(FieldDisagreements!C2:C999, MATCH(C126,FieldDisagreements!A2:A999, 0)), "")</f>
        <v>effortless-xlsx</v>
      </c>
      <c r="I126" s="3" t="str">
        <f>_xlfn.IFNA(INDEX(FieldDisagreements!D2:D999, MATCH(C126,FieldDisagreements!A2:A999, 0)), "")</f>
        <v>Roles.CurrentAssignmentValidFrom</v>
      </c>
      <c r="J126" s="2" t="s">
        <v>1906</v>
      </c>
    </row>
    <row r="127">
      <c r="A127" s="2" t="s">
        <v>15235</v>
      </c>
      <c r="B127" s="3" t="str">
        <f>_xlfn.CONCAT(C127, " @ ", D127)</f>
        <v>effortless-xlsx|Roles.CurrentAssignmentValidFrom @ policy-drafting-agent</v>
      </c>
      <c r="C127" s="2" t="s">
        <v>14624</v>
      </c>
      <c r="D127" s="2" t="s">
        <v>236</v>
      </c>
      <c r="E127" s="2" t="s">
        <v>15236</v>
      </c>
      <c r="F127" s="2" t="s">
        <v>15237</v>
      </c>
      <c r="G127" s="2" t="s">
        <v>14591</v>
      </c>
      <c r="H127" s="3" t="str">
        <f>_xlfn.IFNA(INDEX(FieldDisagreements!C2:C999, MATCH(C127,FieldDisagreements!A2:A999, 0)), "")</f>
        <v>effortless-xlsx</v>
      </c>
      <c r="I127" s="3" t="str">
        <f>_xlfn.IFNA(INDEX(FieldDisagreements!D2:D999, MATCH(C127,FieldDisagreements!A2:A999, 0)), "")</f>
        <v>Roles.CurrentAssignmentValidFrom</v>
      </c>
      <c r="J127" s="2" t="s">
        <v>1906</v>
      </c>
    </row>
    <row r="128">
      <c r="A128" s="2" t="s">
        <v>15238</v>
      </c>
      <c r="B128" s="3" t="str">
        <f>_xlfn.CONCAT(C128, " @ ", D128)</f>
        <v>effortless-xlsx|Roles.CurrentAssignmentValidFrom @ process-steward</v>
      </c>
      <c r="C128" s="2" t="s">
        <v>14624</v>
      </c>
      <c r="D128" s="2" t="s">
        <v>244</v>
      </c>
      <c r="E128" s="2" t="s">
        <v>15239</v>
      </c>
      <c r="F128" s="2" t="s">
        <v>15240</v>
      </c>
      <c r="G128" s="2" t="s">
        <v>14591</v>
      </c>
      <c r="H128" s="3" t="str">
        <f>_xlfn.IFNA(INDEX(FieldDisagreements!C2:C999, MATCH(C128,FieldDisagreements!A2:A999, 0)), "")</f>
        <v>effortless-xlsx</v>
      </c>
      <c r="I128" s="3" t="str">
        <f>_xlfn.IFNA(INDEX(FieldDisagreements!D2:D999, MATCH(C128,FieldDisagreements!A2:A999, 0)), "")</f>
        <v>Roles.CurrentAssignmentValidFrom</v>
      </c>
      <c r="J128" s="2" t="s">
        <v>1906</v>
      </c>
    </row>
    <row r="129">
      <c r="A129" s="2" t="s">
        <v>15241</v>
      </c>
      <c r="B129" s="3" t="str">
        <f>_xlfn.CONCAT(C129, " @ ", D129)</f>
        <v>effortless-xlsx|Roles.CurrentAssignmentValidFrom @ variance-review-agent</v>
      </c>
      <c r="C129" s="2" t="s">
        <v>14624</v>
      </c>
      <c r="D129" s="2" t="s">
        <v>232</v>
      </c>
      <c r="E129" s="2" t="s">
        <v>15242</v>
      </c>
      <c r="F129" s="2" t="s">
        <v>15243</v>
      </c>
      <c r="G129" s="2" t="s">
        <v>14591</v>
      </c>
      <c r="H129" s="3" t="str">
        <f>_xlfn.IFNA(INDEX(FieldDisagreements!C2:C999, MATCH(C129,FieldDisagreements!A2:A999, 0)), "")</f>
        <v>effortless-xlsx</v>
      </c>
      <c r="I129" s="3" t="str">
        <f>_xlfn.IFNA(INDEX(FieldDisagreements!D2:D999, MATCH(C129,FieldDisagreements!A2:A999, 0)), "")</f>
        <v>Roles.CurrentAssignmentValidFrom</v>
      </c>
      <c r="J129" s="2" t="s">
        <v>1906</v>
      </c>
    </row>
    <row r="130">
      <c r="A130" s="2" t="s">
        <v>15244</v>
      </c>
      <c r="B130" s="3" t="str">
        <f>_xlfn.CONCAT(C130, " @ ", D130)</f>
        <v>effortless-xlsx|RoleAssignments.Name @ ra-authority-2026</v>
      </c>
      <c r="C130" s="2" t="s">
        <v>14625</v>
      </c>
      <c r="D130" s="2" t="s">
        <v>251</v>
      </c>
      <c r="E130" s="2" t="s">
        <v>14996</v>
      </c>
      <c r="F130" s="2" t="s">
        <v>15245</v>
      </c>
      <c r="G130" s="2" t="s">
        <v>14591</v>
      </c>
      <c r="H130" s="3" t="str">
        <f>_xlfn.IFNA(INDEX(FieldDisagreements!C2:C999, MATCH(C130,FieldDisagreements!A2:A999, 0)), "")</f>
        <v>effortless-xlsx</v>
      </c>
      <c r="I130" s="3" t="str">
        <f>_xlfn.IFNA(INDEX(FieldDisagreements!D2:D999, MATCH(C130,FieldDisagreements!A2:A999, 0)), "")</f>
        <v>RoleAssignments.Name</v>
      </c>
      <c r="J130" s="2" t="s">
        <v>1906</v>
      </c>
    </row>
    <row r="131">
      <c r="A131" s="2" t="s">
        <v>15246</v>
      </c>
      <c r="B131" s="3" t="str">
        <f>_xlfn.CONCAT(C131, " @ ", D131)</f>
        <v>effortless-xlsx|RoleAssignments.Name @ ra-cfo-2026</v>
      </c>
      <c r="C131" s="2" t="s">
        <v>14625</v>
      </c>
      <c r="D131" s="2" t="s">
        <v>215</v>
      </c>
      <c r="E131" s="2" t="s">
        <v>14999</v>
      </c>
      <c r="F131" s="2" t="s">
        <v>15247</v>
      </c>
      <c r="G131" s="2" t="s">
        <v>14591</v>
      </c>
      <c r="H131" s="3" t="str">
        <f>_xlfn.IFNA(INDEX(FieldDisagreements!C2:C999, MATCH(C131,FieldDisagreements!A2:A999, 0)), "")</f>
        <v>effortless-xlsx</v>
      </c>
      <c r="I131" s="3" t="str">
        <f>_xlfn.IFNA(INDEX(FieldDisagreements!D2:D999, MATCH(C131,FieldDisagreements!A2:A999, 0)), "")</f>
        <v>RoleAssignments.Name</v>
      </c>
      <c r="J131" s="2" t="s">
        <v>1906</v>
      </c>
    </row>
    <row r="132">
      <c r="A132" s="2" t="s">
        <v>15248</v>
      </c>
      <c r="B132" s="3" t="str">
        <f>_xlfn.CONCAT(C132, " @ ", D132)</f>
        <v>effortless-xlsx|RoleAssignments.Name @ ra-close-pipeline-2026</v>
      </c>
      <c r="C132" s="2" t="s">
        <v>14625</v>
      </c>
      <c r="D132" s="2" t="s">
        <v>231</v>
      </c>
      <c r="E132" s="2" t="s">
        <v>15002</v>
      </c>
      <c r="F132" s="2" t="s">
        <v>15249</v>
      </c>
      <c r="G132" s="2" t="s">
        <v>14591</v>
      </c>
      <c r="H132" s="3" t="str">
        <f>_xlfn.IFNA(INDEX(FieldDisagreements!C2:C999, MATCH(C132,FieldDisagreements!A2:A999, 0)), "")</f>
        <v>effortless-xlsx</v>
      </c>
      <c r="I132" s="3" t="str">
        <f>_xlfn.IFNA(INDEX(FieldDisagreements!D2:D999, MATCH(C132,FieldDisagreements!A2:A999, 0)), "")</f>
        <v>RoleAssignments.Name</v>
      </c>
      <c r="J132" s="2" t="s">
        <v>1906</v>
      </c>
    </row>
    <row r="133">
      <c r="A133" s="2" t="s">
        <v>15250</v>
      </c>
      <c r="B133" s="3" t="str">
        <f>_xlfn.CONCAT(C133, " @ ", D133)</f>
        <v>effortless-xlsx|RoleAssignments.Name @ ra-comms-2026</v>
      </c>
      <c r="C133" s="2" t="s">
        <v>14625</v>
      </c>
      <c r="D133" s="2" t="s">
        <v>227</v>
      </c>
      <c r="E133" s="2" t="s">
        <v>15005</v>
      </c>
      <c r="F133" s="2" t="s">
        <v>15251</v>
      </c>
      <c r="G133" s="2" t="s">
        <v>14591</v>
      </c>
      <c r="H133" s="3" t="str">
        <f>_xlfn.IFNA(INDEX(FieldDisagreements!C2:C999, MATCH(C133,FieldDisagreements!A2:A999, 0)), "")</f>
        <v>effortless-xlsx</v>
      </c>
      <c r="I133" s="3" t="str">
        <f>_xlfn.IFNA(INDEX(FieldDisagreements!D2:D999, MATCH(C133,FieldDisagreements!A2:A999, 0)), "")</f>
        <v>RoleAssignments.Name</v>
      </c>
      <c r="J133" s="2" t="s">
        <v>1906</v>
      </c>
    </row>
    <row r="134">
      <c r="A134" s="2" t="s">
        <v>15252</v>
      </c>
      <c r="B134" s="3" t="str">
        <f>_xlfn.CONCAT(C134, " @ ", D134)</f>
        <v>effortless-xlsx|RoleAssignments.Name @ ra-controller-2026</v>
      </c>
      <c r="C134" s="2" t="s">
        <v>14625</v>
      </c>
      <c r="D134" s="2" t="s">
        <v>211</v>
      </c>
      <c r="E134" s="2" t="s">
        <v>15008</v>
      </c>
      <c r="F134" s="2" t="s">
        <v>15253</v>
      </c>
      <c r="G134" s="2" t="s">
        <v>14591</v>
      </c>
      <c r="H134" s="3" t="str">
        <f>_xlfn.IFNA(INDEX(FieldDisagreements!C2:C999, MATCH(C134,FieldDisagreements!A2:A999, 0)), "")</f>
        <v>effortless-xlsx</v>
      </c>
      <c r="I134" s="3" t="str">
        <f>_xlfn.IFNA(INDEX(FieldDisagreements!D2:D999, MATCH(C134,FieldDisagreements!A2:A999, 0)), "")</f>
        <v>RoleAssignments.Name</v>
      </c>
      <c r="J134" s="2" t="s">
        <v>1906</v>
      </c>
    </row>
    <row r="135">
      <c r="A135" s="2" t="s">
        <v>15254</v>
      </c>
      <c r="B135" s="3" t="str">
        <f>_xlfn.CONCAT(C135, " @ ", D135)</f>
        <v>effortless-xlsx|RoleAssignments.Name @ ra-counsel-2026</v>
      </c>
      <c r="C135" s="2" t="s">
        <v>14625</v>
      </c>
      <c r="D135" s="2" t="s">
        <v>223</v>
      </c>
      <c r="E135" s="2" t="s">
        <v>15011</v>
      </c>
      <c r="F135" s="2" t="s">
        <v>15255</v>
      </c>
      <c r="G135" s="2" t="s">
        <v>14591</v>
      </c>
      <c r="H135" s="3" t="str">
        <f>_xlfn.IFNA(INDEX(FieldDisagreements!C2:C999, MATCH(C135,FieldDisagreements!A2:A999, 0)), "")</f>
        <v>effortless-xlsx</v>
      </c>
      <c r="I135" s="3" t="str">
        <f>_xlfn.IFNA(INDEX(FieldDisagreements!D2:D999, MATCH(C135,FieldDisagreements!A2:A999, 0)), "")</f>
        <v>RoleAssignments.Name</v>
      </c>
      <c r="J135" s="2" t="s">
        <v>1906</v>
      </c>
    </row>
    <row r="136">
      <c r="A136" s="2" t="s">
        <v>15256</v>
      </c>
      <c r="B136" s="3" t="str">
        <f>_xlfn.CONCAT(C136, " @ ", D136)</f>
        <v>effortless-xlsx|RoleAssignments.Name @ ra-finance-2026</v>
      </c>
      <c r="C136" s="2" t="s">
        <v>14625</v>
      </c>
      <c r="D136" s="2" t="s">
        <v>206</v>
      </c>
      <c r="E136" s="2" t="s">
        <v>15014</v>
      </c>
      <c r="F136" s="2" t="s">
        <v>15257</v>
      </c>
      <c r="G136" s="2" t="s">
        <v>14591</v>
      </c>
      <c r="H136" s="3" t="str">
        <f>_xlfn.IFNA(INDEX(FieldDisagreements!C2:C999, MATCH(C136,FieldDisagreements!A2:A999, 0)), "")</f>
        <v>effortless-xlsx</v>
      </c>
      <c r="I136" s="3" t="str">
        <f>_xlfn.IFNA(INDEX(FieldDisagreements!D2:D999, MATCH(C136,FieldDisagreements!A2:A999, 0)), "")</f>
        <v>RoleAssignments.Name</v>
      </c>
      <c r="J136" s="2" t="s">
        <v>1906</v>
      </c>
    </row>
    <row r="137">
      <c r="A137" s="2" t="s">
        <v>15258</v>
      </c>
      <c r="B137" s="3" t="str">
        <f>_xlfn.CONCAT(C137, " @ ", D137)</f>
        <v>effortless-xlsx|RoleAssignments.Name @ ra-new-variance</v>
      </c>
      <c r="C137" s="2" t="s">
        <v>14625</v>
      </c>
      <c r="D137" s="2" t="s">
        <v>235</v>
      </c>
      <c r="E137" s="2" t="s">
        <v>15017</v>
      </c>
      <c r="F137" s="2" t="s">
        <v>15259</v>
      </c>
      <c r="G137" s="2" t="s">
        <v>14591</v>
      </c>
      <c r="H137" s="3" t="str">
        <f>_xlfn.IFNA(INDEX(FieldDisagreements!C2:C999, MATCH(C137,FieldDisagreements!A2:A999, 0)), "")</f>
        <v>effortless-xlsx</v>
      </c>
      <c r="I137" s="3" t="str">
        <f>_xlfn.IFNA(INDEX(FieldDisagreements!D2:D999, MATCH(C137,FieldDisagreements!A2:A999, 0)), "")</f>
        <v>RoleAssignments.Name</v>
      </c>
      <c r="J137" s="2" t="s">
        <v>1906</v>
      </c>
    </row>
    <row r="138">
      <c r="A138" s="2" t="s">
        <v>15260</v>
      </c>
      <c r="B138" s="3" t="str">
        <f>_xlfn.CONCAT(C138, " @ ", D138)</f>
        <v>effortless-xlsx|RoleAssignments.Name @ ra-notify-pipeline-2026</v>
      </c>
      <c r="C138" s="2" t="s">
        <v>14625</v>
      </c>
      <c r="D138" s="2" t="s">
        <v>243</v>
      </c>
      <c r="E138" s="2" t="s">
        <v>15020</v>
      </c>
      <c r="F138" s="2" t="s">
        <v>15261</v>
      </c>
      <c r="G138" s="2" t="s">
        <v>14591</v>
      </c>
      <c r="H138" s="3" t="str">
        <f>_xlfn.IFNA(INDEX(FieldDisagreements!C2:C999, MATCH(C138,FieldDisagreements!A2:A999, 0)), "")</f>
        <v>effortless-xlsx</v>
      </c>
      <c r="I138" s="3" t="str">
        <f>_xlfn.IFNA(INDEX(FieldDisagreements!D2:D999, MATCH(C138,FieldDisagreements!A2:A999, 0)), "")</f>
        <v>RoleAssignments.Name</v>
      </c>
      <c r="J138" s="2" t="s">
        <v>1906</v>
      </c>
    </row>
    <row r="139">
      <c r="A139" s="2" t="s">
        <v>15262</v>
      </c>
      <c r="B139" s="3" t="str">
        <f>_xlfn.CONCAT(C139, " @ ", D139)</f>
        <v>effortless-xlsx|RoleAssignments.Name @ ra-old-variance</v>
      </c>
      <c r="C139" s="2" t="s">
        <v>14625</v>
      </c>
      <c r="D139" s="2" t="s">
        <v>316</v>
      </c>
      <c r="E139" s="2" t="s">
        <v>15023</v>
      </c>
      <c r="F139" s="2" t="s">
        <v>15263</v>
      </c>
      <c r="G139" s="2" t="s">
        <v>14591</v>
      </c>
      <c r="H139" s="3" t="str">
        <f>_xlfn.IFNA(INDEX(FieldDisagreements!C2:C999, MATCH(C139,FieldDisagreements!A2:A999, 0)), "")</f>
        <v>effortless-xlsx</v>
      </c>
      <c r="I139" s="3" t="str">
        <f>_xlfn.IFNA(INDEX(FieldDisagreements!D2:D999, MATCH(C139,FieldDisagreements!A2:A999, 0)), "")</f>
        <v>RoleAssignments.Name</v>
      </c>
      <c r="J139" s="2" t="s">
        <v>1906</v>
      </c>
    </row>
    <row r="140">
      <c r="A140" s="2" t="s">
        <v>15264</v>
      </c>
      <c r="B140" s="3" t="str">
        <f>_xlfn.CONCAT(C140, " @ ", D140)</f>
        <v>effortless-xlsx|RoleAssignments.Name @ ra-policy-ai-2026</v>
      </c>
      <c r="C140" s="2" t="s">
        <v>14625</v>
      </c>
      <c r="D140" s="2" t="s">
        <v>239</v>
      </c>
      <c r="E140" s="2" t="s">
        <v>15026</v>
      </c>
      <c r="F140" s="2" t="s">
        <v>15265</v>
      </c>
      <c r="G140" s="2" t="s">
        <v>14591</v>
      </c>
      <c r="H140" s="3" t="str">
        <f>_xlfn.IFNA(INDEX(FieldDisagreements!C2:C999, MATCH(C140,FieldDisagreements!A2:A999, 0)), "")</f>
        <v>effortless-xlsx</v>
      </c>
      <c r="I140" s="3" t="str">
        <f>_xlfn.IFNA(INDEX(FieldDisagreements!D2:D999, MATCH(C140,FieldDisagreements!A2:A999, 0)), "")</f>
        <v>RoleAssignments.Name</v>
      </c>
      <c r="J140" s="2" t="s">
        <v>1906</v>
      </c>
    </row>
    <row r="141">
      <c r="A141" s="2" t="s">
        <v>15266</v>
      </c>
      <c r="B141" s="3" t="str">
        <f>_xlfn.CONCAT(C141, " @ ", D141)</f>
        <v>effortless-xlsx|RoleAssignments.Name @ ra-policy-owner-2026</v>
      </c>
      <c r="C141" s="2" t="s">
        <v>14625</v>
      </c>
      <c r="D141" s="2" t="s">
        <v>219</v>
      </c>
      <c r="E141" s="2" t="s">
        <v>15029</v>
      </c>
      <c r="F141" s="2" t="s">
        <v>15267</v>
      </c>
      <c r="G141" s="2" t="s">
        <v>14591</v>
      </c>
      <c r="H141" s="3" t="str">
        <f>_xlfn.IFNA(INDEX(FieldDisagreements!C2:C999, MATCH(C141,FieldDisagreements!A2:A999, 0)), "")</f>
        <v>effortless-xlsx</v>
      </c>
      <c r="I141" s="3" t="str">
        <f>_xlfn.IFNA(INDEX(FieldDisagreements!D2:D999, MATCH(C141,FieldDisagreements!A2:A999, 0)), "")</f>
        <v>RoleAssignments.Name</v>
      </c>
      <c r="J141" s="2" t="s">
        <v>1906</v>
      </c>
    </row>
    <row r="142">
      <c r="A142" s="2" t="s">
        <v>15268</v>
      </c>
      <c r="B142" s="3" t="str">
        <f>_xlfn.CONCAT(C142, " @ ", D142)</f>
        <v>effortless-xlsx|RoleAssignments.Name @ ra-steward-2026</v>
      </c>
      <c r="C142" s="2" t="s">
        <v>14625</v>
      </c>
      <c r="D142" s="2" t="s">
        <v>247</v>
      </c>
      <c r="E142" s="2" t="s">
        <v>15032</v>
      </c>
      <c r="F142" s="2" t="s">
        <v>15269</v>
      </c>
      <c r="G142" s="2" t="s">
        <v>14591</v>
      </c>
      <c r="H142" s="3" t="str">
        <f>_xlfn.IFNA(INDEX(FieldDisagreements!C2:C999, MATCH(C142,FieldDisagreements!A2:A999, 0)), "")</f>
        <v>effortless-xlsx</v>
      </c>
      <c r="I142" s="3" t="str">
        <f>_xlfn.IFNA(INDEX(FieldDisagreements!D2:D999, MATCH(C142,FieldDisagreements!A2:A999, 0)), "")</f>
        <v>RoleAssignments.Name</v>
      </c>
      <c r="J142" s="2" t="s">
        <v>1906</v>
      </c>
    </row>
    <row r="143">
      <c r="A143" s="2" t="s">
        <v>15270</v>
      </c>
      <c r="B143" s="3" t="str">
        <f>_xlfn.CONCAT(C143, " @ ", D143)</f>
        <v>effortless-xlsx|RoleAssignments.AsOfInstant @ ra-authority-2026</v>
      </c>
      <c r="C143" s="2" t="s">
        <v>14626</v>
      </c>
      <c r="D143" s="2" t="s">
        <v>251</v>
      </c>
      <c r="E143" s="2" t="s">
        <v>15271</v>
      </c>
      <c r="F143" s="2" t="s">
        <v>15272</v>
      </c>
      <c r="G143" s="2" t="s">
        <v>14591</v>
      </c>
      <c r="H143" s="3" t="str">
        <f>_xlfn.IFNA(INDEX(FieldDisagreements!C2:C999, MATCH(C143,FieldDisagreements!A2:A999, 0)), "")</f>
        <v>effortless-xlsx</v>
      </c>
      <c r="I143" s="3" t="str">
        <f>_xlfn.IFNA(INDEX(FieldDisagreements!D2:D999, MATCH(C143,FieldDisagreements!A2:A999, 0)), "")</f>
        <v>RoleAssignments.AsOfInstant</v>
      </c>
      <c r="J143" s="2" t="s">
        <v>1906</v>
      </c>
    </row>
    <row r="144">
      <c r="A144" s="2" t="s">
        <v>15273</v>
      </c>
      <c r="B144" s="3" t="str">
        <f>_xlfn.CONCAT(C144, " @ ", D144)</f>
        <v>effortless-xlsx|RoleAssignments.AsOfInstant @ ra-cfo-2026</v>
      </c>
      <c r="C144" s="2" t="s">
        <v>14626</v>
      </c>
      <c r="D144" s="2" t="s">
        <v>215</v>
      </c>
      <c r="E144" s="2" t="s">
        <v>15271</v>
      </c>
      <c r="F144" s="2" t="s">
        <v>15272</v>
      </c>
      <c r="G144" s="2" t="s">
        <v>14591</v>
      </c>
      <c r="H144" s="3" t="str">
        <f>_xlfn.IFNA(INDEX(FieldDisagreements!C2:C999, MATCH(C144,FieldDisagreements!A2:A999, 0)), "")</f>
        <v>effortless-xlsx</v>
      </c>
      <c r="I144" s="3" t="str">
        <f>_xlfn.IFNA(INDEX(FieldDisagreements!D2:D999, MATCH(C144,FieldDisagreements!A2:A999, 0)), "")</f>
        <v>RoleAssignments.AsOfInstant</v>
      </c>
      <c r="J144" s="2" t="s">
        <v>1906</v>
      </c>
    </row>
    <row r="145">
      <c r="A145" s="2" t="s">
        <v>15274</v>
      </c>
      <c r="B145" s="3" t="str">
        <f>_xlfn.CONCAT(C145, " @ ", D145)</f>
        <v>effortless-xlsx|RoleAssignments.AsOfInstant @ ra-close-pipeline-2026</v>
      </c>
      <c r="C145" s="2" t="s">
        <v>14626</v>
      </c>
      <c r="D145" s="2" t="s">
        <v>231</v>
      </c>
      <c r="E145" s="2" t="s">
        <v>15271</v>
      </c>
      <c r="F145" s="2" t="s">
        <v>15272</v>
      </c>
      <c r="G145" s="2" t="s">
        <v>14591</v>
      </c>
      <c r="H145" s="3" t="str">
        <f>_xlfn.IFNA(INDEX(FieldDisagreements!C2:C999, MATCH(C145,FieldDisagreements!A2:A999, 0)), "")</f>
        <v>effortless-xlsx</v>
      </c>
      <c r="I145" s="3" t="str">
        <f>_xlfn.IFNA(INDEX(FieldDisagreements!D2:D999, MATCH(C145,FieldDisagreements!A2:A999, 0)), "")</f>
        <v>RoleAssignments.AsOfInstant</v>
      </c>
      <c r="J145" s="2" t="s">
        <v>1906</v>
      </c>
    </row>
    <row r="146">
      <c r="A146" s="2" t="s">
        <v>15275</v>
      </c>
      <c r="B146" s="3" t="str">
        <f>_xlfn.CONCAT(C146, " @ ", D146)</f>
        <v>effortless-xlsx|RoleAssignments.AsOfInstant @ ra-comms-2026</v>
      </c>
      <c r="C146" s="2" t="s">
        <v>14626</v>
      </c>
      <c r="D146" s="2" t="s">
        <v>227</v>
      </c>
      <c r="E146" s="2" t="s">
        <v>15271</v>
      </c>
      <c r="F146" s="2" t="s">
        <v>15272</v>
      </c>
      <c r="G146" s="2" t="s">
        <v>14591</v>
      </c>
      <c r="H146" s="3" t="str">
        <f>_xlfn.IFNA(INDEX(FieldDisagreements!C2:C999, MATCH(C146,FieldDisagreements!A2:A999, 0)), "")</f>
        <v>effortless-xlsx</v>
      </c>
      <c r="I146" s="3" t="str">
        <f>_xlfn.IFNA(INDEX(FieldDisagreements!D2:D999, MATCH(C146,FieldDisagreements!A2:A999, 0)), "")</f>
        <v>RoleAssignments.AsOfInstant</v>
      </c>
      <c r="J146" s="2" t="s">
        <v>1906</v>
      </c>
    </row>
    <row r="147">
      <c r="A147" s="2" t="s">
        <v>15276</v>
      </c>
      <c r="B147" s="3" t="str">
        <f>_xlfn.CONCAT(C147, " @ ", D147)</f>
        <v>effortless-xlsx|RoleAssignments.AsOfInstant @ ra-controller-2026</v>
      </c>
      <c r="C147" s="2" t="s">
        <v>14626</v>
      </c>
      <c r="D147" s="2" t="s">
        <v>211</v>
      </c>
      <c r="E147" s="2" t="s">
        <v>15271</v>
      </c>
      <c r="F147" s="2" t="s">
        <v>15272</v>
      </c>
      <c r="G147" s="2" t="s">
        <v>14591</v>
      </c>
      <c r="H147" s="3" t="str">
        <f>_xlfn.IFNA(INDEX(FieldDisagreements!C2:C999, MATCH(C147,FieldDisagreements!A2:A999, 0)), "")</f>
        <v>effortless-xlsx</v>
      </c>
      <c r="I147" s="3" t="str">
        <f>_xlfn.IFNA(INDEX(FieldDisagreements!D2:D999, MATCH(C147,FieldDisagreements!A2:A999, 0)), "")</f>
        <v>RoleAssignments.AsOfInstant</v>
      </c>
      <c r="J147" s="2" t="s">
        <v>1906</v>
      </c>
    </row>
    <row r="148">
      <c r="A148" s="2" t="s">
        <v>15277</v>
      </c>
      <c r="B148" s="3" t="str">
        <f>_xlfn.CONCAT(C148, " @ ", D148)</f>
        <v>effortless-xlsx|RoleAssignments.AsOfInstant @ ra-counsel-2026</v>
      </c>
      <c r="C148" s="2" t="s">
        <v>14626</v>
      </c>
      <c r="D148" s="2" t="s">
        <v>223</v>
      </c>
      <c r="E148" s="2" t="s">
        <v>15271</v>
      </c>
      <c r="F148" s="2" t="s">
        <v>15272</v>
      </c>
      <c r="G148" s="2" t="s">
        <v>14591</v>
      </c>
      <c r="H148" s="3" t="str">
        <f>_xlfn.IFNA(INDEX(FieldDisagreements!C2:C999, MATCH(C148,FieldDisagreements!A2:A999, 0)), "")</f>
        <v>effortless-xlsx</v>
      </c>
      <c r="I148" s="3" t="str">
        <f>_xlfn.IFNA(INDEX(FieldDisagreements!D2:D999, MATCH(C148,FieldDisagreements!A2:A999, 0)), "")</f>
        <v>RoleAssignments.AsOfInstant</v>
      </c>
      <c r="J148" s="2" t="s">
        <v>1906</v>
      </c>
    </row>
    <row r="149">
      <c r="A149" s="2" t="s">
        <v>15278</v>
      </c>
      <c r="B149" s="3" t="str">
        <f>_xlfn.CONCAT(C149, " @ ", D149)</f>
        <v>effortless-xlsx|RoleAssignments.AsOfInstant @ ra-finance-2026</v>
      </c>
      <c r="C149" s="2" t="s">
        <v>14626</v>
      </c>
      <c r="D149" s="2" t="s">
        <v>206</v>
      </c>
      <c r="E149" s="2" t="s">
        <v>15271</v>
      </c>
      <c r="F149" s="2" t="s">
        <v>15272</v>
      </c>
      <c r="G149" s="2" t="s">
        <v>14591</v>
      </c>
      <c r="H149" s="3" t="str">
        <f>_xlfn.IFNA(INDEX(FieldDisagreements!C2:C999, MATCH(C149,FieldDisagreements!A2:A999, 0)), "")</f>
        <v>effortless-xlsx</v>
      </c>
      <c r="I149" s="3" t="str">
        <f>_xlfn.IFNA(INDEX(FieldDisagreements!D2:D999, MATCH(C149,FieldDisagreements!A2:A999, 0)), "")</f>
        <v>RoleAssignments.AsOfInstant</v>
      </c>
      <c r="J149" s="2" t="s">
        <v>1906</v>
      </c>
    </row>
    <row r="150">
      <c r="A150" s="2" t="s">
        <v>15279</v>
      </c>
      <c r="B150" s="3" t="str">
        <f>_xlfn.CONCAT(C150, " @ ", D150)</f>
        <v>effortless-xlsx|RoleAssignments.AsOfInstant @ ra-new-variance</v>
      </c>
      <c r="C150" s="2" t="s">
        <v>14626</v>
      </c>
      <c r="D150" s="2" t="s">
        <v>235</v>
      </c>
      <c r="E150" s="2" t="s">
        <v>15271</v>
      </c>
      <c r="F150" s="2" t="s">
        <v>15272</v>
      </c>
      <c r="G150" s="2" t="s">
        <v>14591</v>
      </c>
      <c r="H150" s="3" t="str">
        <f>_xlfn.IFNA(INDEX(FieldDisagreements!C2:C999, MATCH(C150,FieldDisagreements!A2:A999, 0)), "")</f>
        <v>effortless-xlsx</v>
      </c>
      <c r="I150" s="3" t="str">
        <f>_xlfn.IFNA(INDEX(FieldDisagreements!D2:D999, MATCH(C150,FieldDisagreements!A2:A999, 0)), "")</f>
        <v>RoleAssignments.AsOfInstant</v>
      </c>
      <c r="J150" s="2" t="s">
        <v>1906</v>
      </c>
    </row>
    <row r="151">
      <c r="A151" s="2" t="s">
        <v>15280</v>
      </c>
      <c r="B151" s="3" t="str">
        <f>_xlfn.CONCAT(C151, " @ ", D151)</f>
        <v>effortless-xlsx|RoleAssignments.AsOfInstant @ ra-notify-pipeline-2026</v>
      </c>
      <c r="C151" s="2" t="s">
        <v>14626</v>
      </c>
      <c r="D151" s="2" t="s">
        <v>243</v>
      </c>
      <c r="E151" s="2" t="s">
        <v>15271</v>
      </c>
      <c r="F151" s="2" t="s">
        <v>15272</v>
      </c>
      <c r="G151" s="2" t="s">
        <v>14591</v>
      </c>
      <c r="H151" s="3" t="str">
        <f>_xlfn.IFNA(INDEX(FieldDisagreements!C2:C999, MATCH(C151,FieldDisagreements!A2:A999, 0)), "")</f>
        <v>effortless-xlsx</v>
      </c>
      <c r="I151" s="3" t="str">
        <f>_xlfn.IFNA(INDEX(FieldDisagreements!D2:D999, MATCH(C151,FieldDisagreements!A2:A999, 0)), "")</f>
        <v>RoleAssignments.AsOfInstant</v>
      </c>
      <c r="J151" s="2" t="s">
        <v>1906</v>
      </c>
    </row>
    <row r="152">
      <c r="A152" s="2" t="s">
        <v>15281</v>
      </c>
      <c r="B152" s="3" t="str">
        <f>_xlfn.CONCAT(C152, " @ ", D152)</f>
        <v>effortless-xlsx|RoleAssignments.AsOfInstant @ ra-old-variance</v>
      </c>
      <c r="C152" s="2" t="s">
        <v>14626</v>
      </c>
      <c r="D152" s="2" t="s">
        <v>316</v>
      </c>
      <c r="E152" s="2" t="s">
        <v>15271</v>
      </c>
      <c r="F152" s="2" t="s">
        <v>15272</v>
      </c>
      <c r="G152" s="2" t="s">
        <v>14591</v>
      </c>
      <c r="H152" s="3" t="str">
        <f>_xlfn.IFNA(INDEX(FieldDisagreements!C2:C999, MATCH(C152,FieldDisagreements!A2:A999, 0)), "")</f>
        <v>effortless-xlsx</v>
      </c>
      <c r="I152" s="3" t="str">
        <f>_xlfn.IFNA(INDEX(FieldDisagreements!D2:D999, MATCH(C152,FieldDisagreements!A2:A999, 0)), "")</f>
        <v>RoleAssignments.AsOfInstant</v>
      </c>
      <c r="J152" s="2" t="s">
        <v>1906</v>
      </c>
    </row>
    <row r="153">
      <c r="A153" s="2" t="s">
        <v>15282</v>
      </c>
      <c r="B153" s="3" t="str">
        <f>_xlfn.CONCAT(C153, " @ ", D153)</f>
        <v>effortless-xlsx|RoleAssignments.AsOfInstant @ ra-policy-ai-2026</v>
      </c>
      <c r="C153" s="2" t="s">
        <v>14626</v>
      </c>
      <c r="D153" s="2" t="s">
        <v>239</v>
      </c>
      <c r="E153" s="2" t="s">
        <v>15271</v>
      </c>
      <c r="F153" s="2" t="s">
        <v>15272</v>
      </c>
      <c r="G153" s="2" t="s">
        <v>14591</v>
      </c>
      <c r="H153" s="3" t="str">
        <f>_xlfn.IFNA(INDEX(FieldDisagreements!C2:C999, MATCH(C153,FieldDisagreements!A2:A999, 0)), "")</f>
        <v>effortless-xlsx</v>
      </c>
      <c r="I153" s="3" t="str">
        <f>_xlfn.IFNA(INDEX(FieldDisagreements!D2:D999, MATCH(C153,FieldDisagreements!A2:A999, 0)), "")</f>
        <v>RoleAssignments.AsOfInstant</v>
      </c>
      <c r="J153" s="2" t="s">
        <v>1906</v>
      </c>
    </row>
    <row r="154">
      <c r="A154" s="2" t="s">
        <v>15283</v>
      </c>
      <c r="B154" s="3" t="str">
        <f>_xlfn.CONCAT(C154, " @ ", D154)</f>
        <v>effortless-xlsx|RoleAssignments.AsOfInstant @ ra-policy-owner-2026</v>
      </c>
      <c r="C154" s="2" t="s">
        <v>14626</v>
      </c>
      <c r="D154" s="2" t="s">
        <v>219</v>
      </c>
      <c r="E154" s="2" t="s">
        <v>15271</v>
      </c>
      <c r="F154" s="2" t="s">
        <v>15272</v>
      </c>
      <c r="G154" s="2" t="s">
        <v>14591</v>
      </c>
      <c r="H154" s="3" t="str">
        <f>_xlfn.IFNA(INDEX(FieldDisagreements!C2:C999, MATCH(C154,FieldDisagreements!A2:A999, 0)), "")</f>
        <v>effortless-xlsx</v>
      </c>
      <c r="I154" s="3" t="str">
        <f>_xlfn.IFNA(INDEX(FieldDisagreements!D2:D999, MATCH(C154,FieldDisagreements!A2:A999, 0)), "")</f>
        <v>RoleAssignments.AsOfInstant</v>
      </c>
      <c r="J154" s="2" t="s">
        <v>1906</v>
      </c>
    </row>
    <row r="155">
      <c r="A155" s="2" t="s">
        <v>15284</v>
      </c>
      <c r="B155" s="3" t="str">
        <f>_xlfn.CONCAT(C155, " @ ", D155)</f>
        <v>effortless-xlsx|RoleAssignments.AsOfInstant @ ra-steward-2026</v>
      </c>
      <c r="C155" s="2" t="s">
        <v>14626</v>
      </c>
      <c r="D155" s="2" t="s">
        <v>247</v>
      </c>
      <c r="E155" s="2" t="s">
        <v>15271</v>
      </c>
      <c r="F155" s="2" t="s">
        <v>15272</v>
      </c>
      <c r="G155" s="2" t="s">
        <v>14591</v>
      </c>
      <c r="H155" s="3" t="str">
        <f>_xlfn.IFNA(INDEX(FieldDisagreements!C2:C999, MATCH(C155,FieldDisagreements!A2:A999, 0)), "")</f>
        <v>effortless-xlsx</v>
      </c>
      <c r="I155" s="3" t="str">
        <f>_xlfn.IFNA(INDEX(FieldDisagreements!D2:D999, MATCH(C155,FieldDisagreements!A2:A999, 0)), "")</f>
        <v>RoleAssignments.AsOfInstant</v>
      </c>
      <c r="J155" s="2" t="s">
        <v>1906</v>
      </c>
    </row>
    <row r="156">
      <c r="A156" s="2" t="s">
        <v>15285</v>
      </c>
      <c r="B156" s="3" t="str">
        <f>_xlfn.CONCAT(C156, " @ ", D156)</f>
        <v>effortless-xlsx|RoleAssignments.HasSufficientSample @ ra-authority-2026</v>
      </c>
      <c r="C156" s="2" t="s">
        <v>14627</v>
      </c>
      <c r="D156" s="2" t="s">
        <v>251</v>
      </c>
      <c r="E156" s="2" t="s">
        <v>15057</v>
      </c>
      <c r="F156" s="2" t="s">
        <v>15035</v>
      </c>
      <c r="G156" s="2" t="s">
        <v>14591</v>
      </c>
      <c r="H156" s="3" t="str">
        <f>_xlfn.IFNA(INDEX(FieldDisagreements!C2:C999, MATCH(C156,FieldDisagreements!A2:A999, 0)), "")</f>
        <v>effortless-xlsx</v>
      </c>
      <c r="I156" s="3" t="str">
        <f>_xlfn.IFNA(INDEX(FieldDisagreements!D2:D999, MATCH(C156,FieldDisagreements!A2:A999, 0)), "")</f>
        <v>RoleAssignments.HasSufficientSample</v>
      </c>
      <c r="J156" s="2" t="s">
        <v>1906</v>
      </c>
    </row>
    <row r="157">
      <c r="A157" s="2" t="s">
        <v>15286</v>
      </c>
      <c r="B157" s="3" t="str">
        <f>_xlfn.CONCAT(C157, " @ ", D157)</f>
        <v>effortless-xlsx|RoleAssignments.HasSufficientSample @ ra-cfo-2026</v>
      </c>
      <c r="C157" s="2" t="s">
        <v>14627</v>
      </c>
      <c r="D157" s="2" t="s">
        <v>215</v>
      </c>
      <c r="E157" s="2" t="s">
        <v>15057</v>
      </c>
      <c r="F157" s="2" t="s">
        <v>15035</v>
      </c>
      <c r="G157" s="2" t="s">
        <v>14591</v>
      </c>
      <c r="H157" s="3" t="str">
        <f>_xlfn.IFNA(INDEX(FieldDisagreements!C2:C999, MATCH(C157,FieldDisagreements!A2:A999, 0)), "")</f>
        <v>effortless-xlsx</v>
      </c>
      <c r="I157" s="3" t="str">
        <f>_xlfn.IFNA(INDEX(FieldDisagreements!D2:D999, MATCH(C157,FieldDisagreements!A2:A999, 0)), "")</f>
        <v>RoleAssignments.HasSufficientSample</v>
      </c>
      <c r="J157" s="2" t="s">
        <v>1906</v>
      </c>
    </row>
    <row r="158">
      <c r="A158" s="2" t="s">
        <v>15287</v>
      </c>
      <c r="B158" s="3" t="str">
        <f>_xlfn.CONCAT(C158, " @ ", D158)</f>
        <v>effortless-xlsx|RoleAssignments.HasSufficientSample @ ra-close-pipeline-2026</v>
      </c>
      <c r="C158" s="2" t="s">
        <v>14627</v>
      </c>
      <c r="D158" s="2" t="s">
        <v>231</v>
      </c>
      <c r="E158" s="2" t="s">
        <v>15057</v>
      </c>
      <c r="F158" s="2" t="s">
        <v>15035</v>
      </c>
      <c r="G158" s="2" t="s">
        <v>14591</v>
      </c>
      <c r="H158" s="3" t="str">
        <f>_xlfn.IFNA(INDEX(FieldDisagreements!C2:C999, MATCH(C158,FieldDisagreements!A2:A999, 0)), "")</f>
        <v>effortless-xlsx</v>
      </c>
      <c r="I158" s="3" t="str">
        <f>_xlfn.IFNA(INDEX(FieldDisagreements!D2:D999, MATCH(C158,FieldDisagreements!A2:A999, 0)), "")</f>
        <v>RoleAssignments.HasSufficientSample</v>
      </c>
      <c r="J158" s="2" t="s">
        <v>1906</v>
      </c>
    </row>
    <row r="159">
      <c r="A159" s="2" t="s">
        <v>15288</v>
      </c>
      <c r="B159" s="3" t="str">
        <f>_xlfn.CONCAT(C159, " @ ", D159)</f>
        <v>effortless-xlsx|RoleAssignments.HasSufficientSample @ ra-comms-2026</v>
      </c>
      <c r="C159" s="2" t="s">
        <v>14627</v>
      </c>
      <c r="D159" s="2" t="s">
        <v>227</v>
      </c>
      <c r="E159" s="2" t="s">
        <v>15057</v>
      </c>
      <c r="F159" s="2" t="s">
        <v>15035</v>
      </c>
      <c r="G159" s="2" t="s">
        <v>14591</v>
      </c>
      <c r="H159" s="3" t="str">
        <f>_xlfn.IFNA(INDEX(FieldDisagreements!C2:C999, MATCH(C159,FieldDisagreements!A2:A999, 0)), "")</f>
        <v>effortless-xlsx</v>
      </c>
      <c r="I159" s="3" t="str">
        <f>_xlfn.IFNA(INDEX(FieldDisagreements!D2:D999, MATCH(C159,FieldDisagreements!A2:A999, 0)), "")</f>
        <v>RoleAssignments.HasSufficientSample</v>
      </c>
      <c r="J159" s="2" t="s">
        <v>1906</v>
      </c>
    </row>
    <row r="160">
      <c r="A160" s="2" t="s">
        <v>15289</v>
      </c>
      <c r="B160" s="3" t="str">
        <f>_xlfn.CONCAT(C160, " @ ", D160)</f>
        <v>effortless-xlsx|RoleAssignments.HasSufficientSample @ ra-controller-2026</v>
      </c>
      <c r="C160" s="2" t="s">
        <v>14627</v>
      </c>
      <c r="D160" s="2" t="s">
        <v>211</v>
      </c>
      <c r="E160" s="2" t="s">
        <v>15057</v>
      </c>
      <c r="F160" s="2" t="s">
        <v>15035</v>
      </c>
      <c r="G160" s="2" t="s">
        <v>14591</v>
      </c>
      <c r="H160" s="3" t="str">
        <f>_xlfn.IFNA(INDEX(FieldDisagreements!C2:C999, MATCH(C160,FieldDisagreements!A2:A999, 0)), "")</f>
        <v>effortless-xlsx</v>
      </c>
      <c r="I160" s="3" t="str">
        <f>_xlfn.IFNA(INDEX(FieldDisagreements!D2:D999, MATCH(C160,FieldDisagreements!A2:A999, 0)), "")</f>
        <v>RoleAssignments.HasSufficientSample</v>
      </c>
      <c r="J160" s="2" t="s">
        <v>1906</v>
      </c>
    </row>
    <row r="161">
      <c r="A161" s="2" t="s">
        <v>15290</v>
      </c>
      <c r="B161" s="3" t="str">
        <f>_xlfn.CONCAT(C161, " @ ", D161)</f>
        <v>effortless-xlsx|RoleAssignments.HasSufficientSample @ ra-counsel-2026</v>
      </c>
      <c r="C161" s="2" t="s">
        <v>14627</v>
      </c>
      <c r="D161" s="2" t="s">
        <v>223</v>
      </c>
      <c r="E161" s="2" t="s">
        <v>15057</v>
      </c>
      <c r="F161" s="2" t="s">
        <v>15035</v>
      </c>
      <c r="G161" s="2" t="s">
        <v>14591</v>
      </c>
      <c r="H161" s="3" t="str">
        <f>_xlfn.IFNA(INDEX(FieldDisagreements!C2:C999, MATCH(C161,FieldDisagreements!A2:A999, 0)), "")</f>
        <v>effortless-xlsx</v>
      </c>
      <c r="I161" s="3" t="str">
        <f>_xlfn.IFNA(INDEX(FieldDisagreements!D2:D999, MATCH(C161,FieldDisagreements!A2:A999, 0)), "")</f>
        <v>RoleAssignments.HasSufficientSample</v>
      </c>
      <c r="J161" s="2" t="s">
        <v>1906</v>
      </c>
    </row>
    <row r="162">
      <c r="A162" s="2" t="s">
        <v>15291</v>
      </c>
      <c r="B162" s="3" t="str">
        <f>_xlfn.CONCAT(C162, " @ ", D162)</f>
        <v>effortless-xlsx|RoleAssignments.HasSufficientSample @ ra-finance-2026</v>
      </c>
      <c r="C162" s="2" t="s">
        <v>14627</v>
      </c>
      <c r="D162" s="2" t="s">
        <v>206</v>
      </c>
      <c r="E162" s="2" t="s">
        <v>15057</v>
      </c>
      <c r="F162" s="2" t="s">
        <v>15035</v>
      </c>
      <c r="G162" s="2" t="s">
        <v>14591</v>
      </c>
      <c r="H162" s="3" t="str">
        <f>_xlfn.IFNA(INDEX(FieldDisagreements!C2:C999, MATCH(C162,FieldDisagreements!A2:A999, 0)), "")</f>
        <v>effortless-xlsx</v>
      </c>
      <c r="I162" s="3" t="str">
        <f>_xlfn.IFNA(INDEX(FieldDisagreements!D2:D999, MATCH(C162,FieldDisagreements!A2:A999, 0)), "")</f>
        <v>RoleAssignments.HasSufficientSample</v>
      </c>
      <c r="J162" s="2" t="s">
        <v>1906</v>
      </c>
    </row>
    <row r="163">
      <c r="A163" s="2" t="s">
        <v>15292</v>
      </c>
      <c r="B163" s="3" t="str">
        <f>_xlfn.CONCAT(C163, " @ ", D163)</f>
        <v>effortless-xlsx|RoleAssignments.HasSufficientSample @ ra-new-variance</v>
      </c>
      <c r="C163" s="2" t="s">
        <v>14627</v>
      </c>
      <c r="D163" s="2" t="s">
        <v>235</v>
      </c>
      <c r="E163" s="2" t="s">
        <v>15057</v>
      </c>
      <c r="F163" s="2" t="s">
        <v>15035</v>
      </c>
      <c r="G163" s="2" t="s">
        <v>14591</v>
      </c>
      <c r="H163" s="3" t="str">
        <f>_xlfn.IFNA(INDEX(FieldDisagreements!C2:C999, MATCH(C163,FieldDisagreements!A2:A999, 0)), "")</f>
        <v>effortless-xlsx</v>
      </c>
      <c r="I163" s="3" t="str">
        <f>_xlfn.IFNA(INDEX(FieldDisagreements!D2:D999, MATCH(C163,FieldDisagreements!A2:A999, 0)), "")</f>
        <v>RoleAssignments.HasSufficientSample</v>
      </c>
      <c r="J163" s="2" t="s">
        <v>1906</v>
      </c>
    </row>
    <row r="164">
      <c r="A164" s="2" t="s">
        <v>15293</v>
      </c>
      <c r="B164" s="3" t="str">
        <f>_xlfn.CONCAT(C164, " @ ", D164)</f>
        <v>effortless-xlsx|RoleAssignments.HasSufficientSample @ ra-notify-pipeline-2026</v>
      </c>
      <c r="C164" s="2" t="s">
        <v>14627</v>
      </c>
      <c r="D164" s="2" t="s">
        <v>243</v>
      </c>
      <c r="E164" s="2" t="s">
        <v>15057</v>
      </c>
      <c r="F164" s="2" t="s">
        <v>15035</v>
      </c>
      <c r="G164" s="2" t="s">
        <v>14591</v>
      </c>
      <c r="H164" s="3" t="str">
        <f>_xlfn.IFNA(INDEX(FieldDisagreements!C2:C999, MATCH(C164,FieldDisagreements!A2:A999, 0)), "")</f>
        <v>effortless-xlsx</v>
      </c>
      <c r="I164" s="3" t="str">
        <f>_xlfn.IFNA(INDEX(FieldDisagreements!D2:D999, MATCH(C164,FieldDisagreements!A2:A999, 0)), "")</f>
        <v>RoleAssignments.HasSufficientSample</v>
      </c>
      <c r="J164" s="2" t="s">
        <v>1906</v>
      </c>
    </row>
    <row r="165">
      <c r="A165" s="2" t="s">
        <v>15294</v>
      </c>
      <c r="B165" s="3" t="str">
        <f>_xlfn.CONCAT(C165, " @ ", D165)</f>
        <v>effortless-xlsx|RoleAssignments.HasSufficientSample @ ra-old-variance</v>
      </c>
      <c r="C165" s="2" t="s">
        <v>14627</v>
      </c>
      <c r="D165" s="2" t="s">
        <v>316</v>
      </c>
      <c r="E165" s="2" t="s">
        <v>15057</v>
      </c>
      <c r="F165" s="2" t="s">
        <v>15035</v>
      </c>
      <c r="G165" s="2" t="s">
        <v>14591</v>
      </c>
      <c r="H165" s="3" t="str">
        <f>_xlfn.IFNA(INDEX(FieldDisagreements!C2:C999, MATCH(C165,FieldDisagreements!A2:A999, 0)), "")</f>
        <v>effortless-xlsx</v>
      </c>
      <c r="I165" s="3" t="str">
        <f>_xlfn.IFNA(INDEX(FieldDisagreements!D2:D999, MATCH(C165,FieldDisagreements!A2:A999, 0)), "")</f>
        <v>RoleAssignments.HasSufficientSample</v>
      </c>
      <c r="J165" s="2" t="s">
        <v>1906</v>
      </c>
    </row>
    <row r="166">
      <c r="A166" s="2" t="s">
        <v>15295</v>
      </c>
      <c r="B166" s="3" t="str">
        <f>_xlfn.CONCAT(C166, " @ ", D166)</f>
        <v>effortless-xlsx|RoleAssignments.HasSufficientSample @ ra-policy-ai-2026</v>
      </c>
      <c r="C166" s="2" t="s">
        <v>14627</v>
      </c>
      <c r="D166" s="2" t="s">
        <v>239</v>
      </c>
      <c r="E166" s="2" t="s">
        <v>15057</v>
      </c>
      <c r="F166" s="2" t="s">
        <v>15035</v>
      </c>
      <c r="G166" s="2" t="s">
        <v>14591</v>
      </c>
      <c r="H166" s="3" t="str">
        <f>_xlfn.IFNA(INDEX(FieldDisagreements!C2:C999, MATCH(C166,FieldDisagreements!A2:A999, 0)), "")</f>
        <v>effortless-xlsx</v>
      </c>
      <c r="I166" s="3" t="str">
        <f>_xlfn.IFNA(INDEX(FieldDisagreements!D2:D999, MATCH(C166,FieldDisagreements!A2:A999, 0)), "")</f>
        <v>RoleAssignments.HasSufficientSample</v>
      </c>
      <c r="J166" s="2" t="s">
        <v>1906</v>
      </c>
    </row>
    <row r="167">
      <c r="A167" s="2" t="s">
        <v>15296</v>
      </c>
      <c r="B167" s="3" t="str">
        <f>_xlfn.CONCAT(C167, " @ ", D167)</f>
        <v>effortless-xlsx|RoleAssignments.HasSufficientSample @ ra-policy-owner-2026</v>
      </c>
      <c r="C167" s="2" t="s">
        <v>14627</v>
      </c>
      <c r="D167" s="2" t="s">
        <v>219</v>
      </c>
      <c r="E167" s="2" t="s">
        <v>15057</v>
      </c>
      <c r="F167" s="2" t="s">
        <v>15035</v>
      </c>
      <c r="G167" s="2" t="s">
        <v>14591</v>
      </c>
      <c r="H167" s="3" t="str">
        <f>_xlfn.IFNA(INDEX(FieldDisagreements!C2:C999, MATCH(C167,FieldDisagreements!A2:A999, 0)), "")</f>
        <v>effortless-xlsx</v>
      </c>
      <c r="I167" s="3" t="str">
        <f>_xlfn.IFNA(INDEX(FieldDisagreements!D2:D999, MATCH(C167,FieldDisagreements!A2:A999, 0)), "")</f>
        <v>RoleAssignments.HasSufficientSample</v>
      </c>
      <c r="J167" s="2" t="s">
        <v>1906</v>
      </c>
    </row>
    <row r="168">
      <c r="A168" s="2" t="s">
        <v>15297</v>
      </c>
      <c r="B168" s="3" t="str">
        <f>_xlfn.CONCAT(C168, " @ ", D168)</f>
        <v>effortless-xlsx|RoleAssignments.HasSufficientSample @ ra-steward-2026</v>
      </c>
      <c r="C168" s="2" t="s">
        <v>14627</v>
      </c>
      <c r="D168" s="2" t="s">
        <v>247</v>
      </c>
      <c r="E168" s="2" t="s">
        <v>15057</v>
      </c>
      <c r="F168" s="2" t="s">
        <v>15035</v>
      </c>
      <c r="G168" s="2" t="s">
        <v>14591</v>
      </c>
      <c r="H168" s="3" t="str">
        <f>_xlfn.IFNA(INDEX(FieldDisagreements!C2:C999, MATCH(C168,FieldDisagreements!A2:A999, 0)), "")</f>
        <v>effortless-xlsx</v>
      </c>
      <c r="I168" s="3" t="str">
        <f>_xlfn.IFNA(INDEX(FieldDisagreements!D2:D999, MATCH(C168,FieldDisagreements!A2:A999, 0)), "")</f>
        <v>RoleAssignments.HasSufficientSample</v>
      </c>
      <c r="J168" s="2" t="s">
        <v>1906</v>
      </c>
    </row>
    <row r="169">
      <c r="A169" s="2" t="s">
        <v>15298</v>
      </c>
      <c r="B169" s="3" t="str">
        <f>_xlfn.CONCAT(C169, " @ ", D169)</f>
        <v>effortless-xlsx|RoleAssignments.PredecessorHasSufficientSample @ ra-authority-2026</v>
      </c>
      <c r="C169" s="2" t="s">
        <v>14628</v>
      </c>
      <c r="D169" s="2" t="s">
        <v>251</v>
      </c>
      <c r="E169" s="2" t="s">
        <v>15057</v>
      </c>
      <c r="F169" s="2" t="s">
        <v>15035</v>
      </c>
      <c r="G169" s="2" t="s">
        <v>14591</v>
      </c>
      <c r="H169" s="3" t="str">
        <f>_xlfn.IFNA(INDEX(FieldDisagreements!C2:C999, MATCH(C169,FieldDisagreements!A2:A999, 0)), "")</f>
        <v>effortless-xlsx</v>
      </c>
      <c r="I169" s="3" t="str">
        <f>_xlfn.IFNA(INDEX(FieldDisagreements!D2:D999, MATCH(C169,FieldDisagreements!A2:A999, 0)), "")</f>
        <v>RoleAssignments.PredecessorHasSufficientSample</v>
      </c>
      <c r="J169" s="2" t="s">
        <v>1906</v>
      </c>
    </row>
    <row r="170">
      <c r="A170" s="2" t="s">
        <v>15299</v>
      </c>
      <c r="B170" s="3" t="str">
        <f>_xlfn.CONCAT(C170, " @ ", D170)</f>
        <v>effortless-xlsx|RoleAssignments.PredecessorHasSufficientSample @ ra-cfo-2026</v>
      </c>
      <c r="C170" s="2" t="s">
        <v>14628</v>
      </c>
      <c r="D170" s="2" t="s">
        <v>215</v>
      </c>
      <c r="E170" s="2" t="s">
        <v>15057</v>
      </c>
      <c r="F170" s="2" t="s">
        <v>15035</v>
      </c>
      <c r="G170" s="2" t="s">
        <v>14591</v>
      </c>
      <c r="H170" s="3" t="str">
        <f>_xlfn.IFNA(INDEX(FieldDisagreements!C2:C999, MATCH(C170,FieldDisagreements!A2:A999, 0)), "")</f>
        <v>effortless-xlsx</v>
      </c>
      <c r="I170" s="3" t="str">
        <f>_xlfn.IFNA(INDEX(FieldDisagreements!D2:D999, MATCH(C170,FieldDisagreements!A2:A999, 0)), "")</f>
        <v>RoleAssignments.PredecessorHasSufficientSample</v>
      </c>
      <c r="J170" s="2" t="s">
        <v>1906</v>
      </c>
    </row>
    <row r="171">
      <c r="A171" s="2" t="s">
        <v>15300</v>
      </c>
      <c r="B171" s="3" t="str">
        <f>_xlfn.CONCAT(C171, " @ ", D171)</f>
        <v>effortless-xlsx|RoleAssignments.PredecessorHasSufficientSample @ ra-close-pipeline-2026</v>
      </c>
      <c r="C171" s="2" t="s">
        <v>14628</v>
      </c>
      <c r="D171" s="2" t="s">
        <v>231</v>
      </c>
      <c r="E171" s="2" t="s">
        <v>15057</v>
      </c>
      <c r="F171" s="2" t="s">
        <v>15035</v>
      </c>
      <c r="G171" s="2" t="s">
        <v>14591</v>
      </c>
      <c r="H171" s="3" t="str">
        <f>_xlfn.IFNA(INDEX(FieldDisagreements!C2:C999, MATCH(C171,FieldDisagreements!A2:A999, 0)), "")</f>
        <v>effortless-xlsx</v>
      </c>
      <c r="I171" s="3" t="str">
        <f>_xlfn.IFNA(INDEX(FieldDisagreements!D2:D999, MATCH(C171,FieldDisagreements!A2:A999, 0)), "")</f>
        <v>RoleAssignments.PredecessorHasSufficientSample</v>
      </c>
      <c r="J171" s="2" t="s">
        <v>1906</v>
      </c>
    </row>
    <row r="172">
      <c r="A172" s="2" t="s">
        <v>15301</v>
      </c>
      <c r="B172" s="3" t="str">
        <f>_xlfn.CONCAT(C172, " @ ", D172)</f>
        <v>effortless-xlsx|RoleAssignments.PredecessorHasSufficientSample @ ra-comms-2026</v>
      </c>
      <c r="C172" s="2" t="s">
        <v>14628</v>
      </c>
      <c r="D172" s="2" t="s">
        <v>227</v>
      </c>
      <c r="E172" s="2" t="s">
        <v>15057</v>
      </c>
      <c r="F172" s="2" t="s">
        <v>15035</v>
      </c>
      <c r="G172" s="2" t="s">
        <v>14591</v>
      </c>
      <c r="H172" s="3" t="str">
        <f>_xlfn.IFNA(INDEX(FieldDisagreements!C2:C999, MATCH(C172,FieldDisagreements!A2:A999, 0)), "")</f>
        <v>effortless-xlsx</v>
      </c>
      <c r="I172" s="3" t="str">
        <f>_xlfn.IFNA(INDEX(FieldDisagreements!D2:D999, MATCH(C172,FieldDisagreements!A2:A999, 0)), "")</f>
        <v>RoleAssignments.PredecessorHasSufficientSample</v>
      </c>
      <c r="J172" s="2" t="s">
        <v>1906</v>
      </c>
    </row>
    <row r="173">
      <c r="A173" s="2" t="s">
        <v>15302</v>
      </c>
      <c r="B173" s="3" t="str">
        <f>_xlfn.CONCAT(C173, " @ ", D173)</f>
        <v>effortless-xlsx|RoleAssignments.PredecessorHasSufficientSample @ ra-controller-2026</v>
      </c>
      <c r="C173" s="2" t="s">
        <v>14628</v>
      </c>
      <c r="D173" s="2" t="s">
        <v>211</v>
      </c>
      <c r="E173" s="2" t="s">
        <v>15057</v>
      </c>
      <c r="F173" s="2" t="s">
        <v>15035</v>
      </c>
      <c r="G173" s="2" t="s">
        <v>14591</v>
      </c>
      <c r="H173" s="3" t="str">
        <f>_xlfn.IFNA(INDEX(FieldDisagreements!C2:C999, MATCH(C173,FieldDisagreements!A2:A999, 0)), "")</f>
        <v>effortless-xlsx</v>
      </c>
      <c r="I173" s="3" t="str">
        <f>_xlfn.IFNA(INDEX(FieldDisagreements!D2:D999, MATCH(C173,FieldDisagreements!A2:A999, 0)), "")</f>
        <v>RoleAssignments.PredecessorHasSufficientSample</v>
      </c>
      <c r="J173" s="2" t="s">
        <v>1906</v>
      </c>
    </row>
    <row r="174">
      <c r="A174" s="2" t="s">
        <v>15303</v>
      </c>
      <c r="B174" s="3" t="str">
        <f>_xlfn.CONCAT(C174, " @ ", D174)</f>
        <v>effortless-xlsx|RoleAssignments.PredecessorHasSufficientSample @ ra-counsel-2026</v>
      </c>
      <c r="C174" s="2" t="s">
        <v>14628</v>
      </c>
      <c r="D174" s="2" t="s">
        <v>223</v>
      </c>
      <c r="E174" s="2" t="s">
        <v>15057</v>
      </c>
      <c r="F174" s="2" t="s">
        <v>15035</v>
      </c>
      <c r="G174" s="2" t="s">
        <v>14591</v>
      </c>
      <c r="H174" s="3" t="str">
        <f>_xlfn.IFNA(INDEX(FieldDisagreements!C2:C999, MATCH(C174,FieldDisagreements!A2:A999, 0)), "")</f>
        <v>effortless-xlsx</v>
      </c>
      <c r="I174" s="3" t="str">
        <f>_xlfn.IFNA(INDEX(FieldDisagreements!D2:D999, MATCH(C174,FieldDisagreements!A2:A999, 0)), "")</f>
        <v>RoleAssignments.PredecessorHasSufficientSample</v>
      </c>
      <c r="J174" s="2" t="s">
        <v>1906</v>
      </c>
    </row>
    <row r="175">
      <c r="A175" s="2" t="s">
        <v>15304</v>
      </c>
      <c r="B175" s="3" t="str">
        <f>_xlfn.CONCAT(C175, " @ ", D175)</f>
        <v>effortless-xlsx|RoleAssignments.PredecessorHasSufficientSample @ ra-finance-2026</v>
      </c>
      <c r="C175" s="2" t="s">
        <v>14628</v>
      </c>
      <c r="D175" s="2" t="s">
        <v>206</v>
      </c>
      <c r="E175" s="2" t="s">
        <v>15057</v>
      </c>
      <c r="F175" s="2" t="s">
        <v>15035</v>
      </c>
      <c r="G175" s="2" t="s">
        <v>14591</v>
      </c>
      <c r="H175" s="3" t="str">
        <f>_xlfn.IFNA(INDEX(FieldDisagreements!C2:C999, MATCH(C175,FieldDisagreements!A2:A999, 0)), "")</f>
        <v>effortless-xlsx</v>
      </c>
      <c r="I175" s="3" t="str">
        <f>_xlfn.IFNA(INDEX(FieldDisagreements!D2:D999, MATCH(C175,FieldDisagreements!A2:A999, 0)), "")</f>
        <v>RoleAssignments.PredecessorHasSufficientSample</v>
      </c>
      <c r="J175" s="2" t="s">
        <v>1906</v>
      </c>
    </row>
    <row r="176">
      <c r="A176" s="2" t="s">
        <v>15305</v>
      </c>
      <c r="B176" s="3" t="str">
        <f>_xlfn.CONCAT(C176, " @ ", D176)</f>
        <v>effortless-xlsx|RoleAssignments.PredecessorHasSufficientSample @ ra-new-variance</v>
      </c>
      <c r="C176" s="2" t="s">
        <v>14628</v>
      </c>
      <c r="D176" s="2" t="s">
        <v>235</v>
      </c>
      <c r="E176" s="2" t="s">
        <v>15057</v>
      </c>
      <c r="F176" s="2" t="s">
        <v>15035</v>
      </c>
      <c r="G176" s="2" t="s">
        <v>14591</v>
      </c>
      <c r="H176" s="3" t="str">
        <f>_xlfn.IFNA(INDEX(FieldDisagreements!C2:C999, MATCH(C176,FieldDisagreements!A2:A999, 0)), "")</f>
        <v>effortless-xlsx</v>
      </c>
      <c r="I176" s="3" t="str">
        <f>_xlfn.IFNA(INDEX(FieldDisagreements!D2:D999, MATCH(C176,FieldDisagreements!A2:A999, 0)), "")</f>
        <v>RoleAssignments.PredecessorHasSufficientSample</v>
      </c>
      <c r="J176" s="2" t="s">
        <v>1906</v>
      </c>
    </row>
    <row r="177">
      <c r="A177" s="2" t="s">
        <v>15306</v>
      </c>
      <c r="B177" s="3" t="str">
        <f>_xlfn.CONCAT(C177, " @ ", D177)</f>
        <v>effortless-xlsx|RoleAssignments.PredecessorHasSufficientSample @ ra-notify-pipeline-2026</v>
      </c>
      <c r="C177" s="2" t="s">
        <v>14628</v>
      </c>
      <c r="D177" s="2" t="s">
        <v>243</v>
      </c>
      <c r="E177" s="2" t="s">
        <v>15057</v>
      </c>
      <c r="F177" s="2" t="s">
        <v>15035</v>
      </c>
      <c r="G177" s="2" t="s">
        <v>14591</v>
      </c>
      <c r="H177" s="3" t="str">
        <f>_xlfn.IFNA(INDEX(FieldDisagreements!C2:C999, MATCH(C177,FieldDisagreements!A2:A999, 0)), "")</f>
        <v>effortless-xlsx</v>
      </c>
      <c r="I177" s="3" t="str">
        <f>_xlfn.IFNA(INDEX(FieldDisagreements!D2:D999, MATCH(C177,FieldDisagreements!A2:A999, 0)), "")</f>
        <v>RoleAssignments.PredecessorHasSufficientSample</v>
      </c>
      <c r="J177" s="2" t="s">
        <v>1906</v>
      </c>
    </row>
    <row r="178">
      <c r="A178" s="2" t="s">
        <v>15307</v>
      </c>
      <c r="B178" s="3" t="str">
        <f>_xlfn.CONCAT(C178, " @ ", D178)</f>
        <v>effortless-xlsx|RoleAssignments.PredecessorHasSufficientSample @ ra-old-variance</v>
      </c>
      <c r="C178" s="2" t="s">
        <v>14628</v>
      </c>
      <c r="D178" s="2" t="s">
        <v>316</v>
      </c>
      <c r="E178" s="2" t="s">
        <v>15057</v>
      </c>
      <c r="F178" s="2" t="s">
        <v>15035</v>
      </c>
      <c r="G178" s="2" t="s">
        <v>14591</v>
      </c>
      <c r="H178" s="3" t="str">
        <f>_xlfn.IFNA(INDEX(FieldDisagreements!C2:C999, MATCH(C178,FieldDisagreements!A2:A999, 0)), "")</f>
        <v>effortless-xlsx</v>
      </c>
      <c r="I178" s="3" t="str">
        <f>_xlfn.IFNA(INDEX(FieldDisagreements!D2:D999, MATCH(C178,FieldDisagreements!A2:A999, 0)), "")</f>
        <v>RoleAssignments.PredecessorHasSufficientSample</v>
      </c>
      <c r="J178" s="2" t="s">
        <v>1906</v>
      </c>
    </row>
    <row r="179">
      <c r="A179" s="2" t="s">
        <v>15308</v>
      </c>
      <c r="B179" s="3" t="str">
        <f>_xlfn.CONCAT(C179, " @ ", D179)</f>
        <v>effortless-xlsx|RoleAssignments.PredecessorHasSufficientSample @ ra-policy-ai-2026</v>
      </c>
      <c r="C179" s="2" t="s">
        <v>14628</v>
      </c>
      <c r="D179" s="2" t="s">
        <v>239</v>
      </c>
      <c r="E179" s="2" t="s">
        <v>15057</v>
      </c>
      <c r="F179" s="2" t="s">
        <v>15035</v>
      </c>
      <c r="G179" s="2" t="s">
        <v>14591</v>
      </c>
      <c r="H179" s="3" t="str">
        <f>_xlfn.IFNA(INDEX(FieldDisagreements!C2:C999, MATCH(C179,FieldDisagreements!A2:A999, 0)), "")</f>
        <v>effortless-xlsx</v>
      </c>
      <c r="I179" s="3" t="str">
        <f>_xlfn.IFNA(INDEX(FieldDisagreements!D2:D999, MATCH(C179,FieldDisagreements!A2:A999, 0)), "")</f>
        <v>RoleAssignments.PredecessorHasSufficientSample</v>
      </c>
      <c r="J179" s="2" t="s">
        <v>1906</v>
      </c>
    </row>
    <row r="180">
      <c r="A180" s="2" t="s">
        <v>15309</v>
      </c>
      <c r="B180" s="3" t="str">
        <f>_xlfn.CONCAT(C180, " @ ", D180)</f>
        <v>effortless-xlsx|RoleAssignments.PredecessorHasSufficientSample @ ra-policy-owner-2026</v>
      </c>
      <c r="C180" s="2" t="s">
        <v>14628</v>
      </c>
      <c r="D180" s="2" t="s">
        <v>219</v>
      </c>
      <c r="E180" s="2" t="s">
        <v>15057</v>
      </c>
      <c r="F180" s="2" t="s">
        <v>15035</v>
      </c>
      <c r="G180" s="2" t="s">
        <v>14591</v>
      </c>
      <c r="H180" s="3" t="str">
        <f>_xlfn.IFNA(INDEX(FieldDisagreements!C2:C999, MATCH(C180,FieldDisagreements!A2:A999, 0)), "")</f>
        <v>effortless-xlsx</v>
      </c>
      <c r="I180" s="3" t="str">
        <f>_xlfn.IFNA(INDEX(FieldDisagreements!D2:D999, MATCH(C180,FieldDisagreements!A2:A999, 0)), "")</f>
        <v>RoleAssignments.PredecessorHasSufficientSample</v>
      </c>
      <c r="J180" s="2" t="s">
        <v>1906</v>
      </c>
    </row>
    <row r="181">
      <c r="A181" s="2" t="s">
        <v>15310</v>
      </c>
      <c r="B181" s="3" t="str">
        <f>_xlfn.CONCAT(C181, " @ ", D181)</f>
        <v>effortless-xlsx|RoleAssignments.PredecessorHasSufficientSample @ ra-steward-2026</v>
      </c>
      <c r="C181" s="2" t="s">
        <v>14628</v>
      </c>
      <c r="D181" s="2" t="s">
        <v>247</v>
      </c>
      <c r="E181" s="2" t="s">
        <v>15057</v>
      </c>
      <c r="F181" s="2" t="s">
        <v>15035</v>
      </c>
      <c r="G181" s="2" t="s">
        <v>14591</v>
      </c>
      <c r="H181" s="3" t="str">
        <f>_xlfn.IFNA(INDEX(FieldDisagreements!C2:C999, MATCH(C181,FieldDisagreements!A2:A999, 0)), "")</f>
        <v>effortless-xlsx</v>
      </c>
      <c r="I181" s="3" t="str">
        <f>_xlfn.IFNA(INDEX(FieldDisagreements!D2:D999, MATCH(C181,FieldDisagreements!A2:A999, 0)), "")</f>
        <v>RoleAssignments.PredecessorHasSufficientSample</v>
      </c>
      <c r="J181" s="2" t="s">
        <v>1906</v>
      </c>
    </row>
    <row r="182">
      <c r="A182" s="2" t="s">
        <v>15311</v>
      </c>
      <c r="B182" s="3" t="str">
        <f>_xlfn.CONCAT(C182, " @ ", D182)</f>
        <v>effortless-xlsx|RoleAssignments.ComparisonIsEvidentiallySound @ ra-authority-2026</v>
      </c>
      <c r="C182" s="2" t="s">
        <v>14629</v>
      </c>
      <c r="D182" s="2" t="s">
        <v>251</v>
      </c>
      <c r="E182" s="2" t="s">
        <v>15057</v>
      </c>
      <c r="F182" s="2" t="s">
        <v>15035</v>
      </c>
      <c r="G182" s="2" t="s">
        <v>14591</v>
      </c>
      <c r="H182" s="3" t="str">
        <f>_xlfn.IFNA(INDEX(FieldDisagreements!C2:C999, MATCH(C182,FieldDisagreements!A2:A999, 0)), "")</f>
        <v>effortless-xlsx</v>
      </c>
      <c r="I182" s="3" t="str">
        <f>_xlfn.IFNA(INDEX(FieldDisagreements!D2:D999, MATCH(C182,FieldDisagreements!A2:A999, 0)), "")</f>
        <v>RoleAssignments.ComparisonIsEvidentiallySound</v>
      </c>
      <c r="J182" s="2" t="s">
        <v>1906</v>
      </c>
    </row>
    <row r="183">
      <c r="A183" s="2" t="s">
        <v>15312</v>
      </c>
      <c r="B183" s="3" t="str">
        <f>_xlfn.CONCAT(C183, " @ ", D183)</f>
        <v>effortless-xlsx|RoleAssignments.ComparisonIsEvidentiallySound @ ra-cfo-2026</v>
      </c>
      <c r="C183" s="2" t="s">
        <v>14629</v>
      </c>
      <c r="D183" s="2" t="s">
        <v>215</v>
      </c>
      <c r="E183" s="2" t="s">
        <v>15057</v>
      </c>
      <c r="F183" s="2" t="s">
        <v>15035</v>
      </c>
      <c r="G183" s="2" t="s">
        <v>14591</v>
      </c>
      <c r="H183" s="3" t="str">
        <f>_xlfn.IFNA(INDEX(FieldDisagreements!C2:C999, MATCH(C183,FieldDisagreements!A2:A999, 0)), "")</f>
        <v>effortless-xlsx</v>
      </c>
      <c r="I183" s="3" t="str">
        <f>_xlfn.IFNA(INDEX(FieldDisagreements!D2:D999, MATCH(C183,FieldDisagreements!A2:A999, 0)), "")</f>
        <v>RoleAssignments.ComparisonIsEvidentiallySound</v>
      </c>
      <c r="J183" s="2" t="s">
        <v>1906</v>
      </c>
    </row>
    <row r="184">
      <c r="A184" s="2" t="s">
        <v>15313</v>
      </c>
      <c r="B184" s="3" t="str">
        <f>_xlfn.CONCAT(C184, " @ ", D184)</f>
        <v>effortless-xlsx|RoleAssignments.ComparisonIsEvidentiallySound @ ra-close-pipeline-2026</v>
      </c>
      <c r="C184" s="2" t="s">
        <v>14629</v>
      </c>
      <c r="D184" s="2" t="s">
        <v>231</v>
      </c>
      <c r="E184" s="2" t="s">
        <v>15057</v>
      </c>
      <c r="F184" s="2" t="s">
        <v>15035</v>
      </c>
      <c r="G184" s="2" t="s">
        <v>14591</v>
      </c>
      <c r="H184" s="3" t="str">
        <f>_xlfn.IFNA(INDEX(FieldDisagreements!C2:C999, MATCH(C184,FieldDisagreements!A2:A999, 0)), "")</f>
        <v>effortless-xlsx</v>
      </c>
      <c r="I184" s="3" t="str">
        <f>_xlfn.IFNA(INDEX(FieldDisagreements!D2:D999, MATCH(C184,FieldDisagreements!A2:A999, 0)), "")</f>
        <v>RoleAssignments.ComparisonIsEvidentiallySound</v>
      </c>
      <c r="J184" s="2" t="s">
        <v>1906</v>
      </c>
    </row>
    <row r="185">
      <c r="A185" s="2" t="s">
        <v>15314</v>
      </c>
      <c r="B185" s="3" t="str">
        <f>_xlfn.CONCAT(C185, " @ ", D185)</f>
        <v>effortless-xlsx|RoleAssignments.ComparisonIsEvidentiallySound @ ra-comms-2026</v>
      </c>
      <c r="C185" s="2" t="s">
        <v>14629</v>
      </c>
      <c r="D185" s="2" t="s">
        <v>227</v>
      </c>
      <c r="E185" s="2" t="s">
        <v>15057</v>
      </c>
      <c r="F185" s="2" t="s">
        <v>15035</v>
      </c>
      <c r="G185" s="2" t="s">
        <v>14591</v>
      </c>
      <c r="H185" s="3" t="str">
        <f>_xlfn.IFNA(INDEX(FieldDisagreements!C2:C999, MATCH(C185,FieldDisagreements!A2:A999, 0)), "")</f>
        <v>effortless-xlsx</v>
      </c>
      <c r="I185" s="3" t="str">
        <f>_xlfn.IFNA(INDEX(FieldDisagreements!D2:D999, MATCH(C185,FieldDisagreements!A2:A999, 0)), "")</f>
        <v>RoleAssignments.ComparisonIsEvidentiallySound</v>
      </c>
      <c r="J185" s="2" t="s">
        <v>1906</v>
      </c>
    </row>
    <row r="186">
      <c r="A186" s="2" t="s">
        <v>15315</v>
      </c>
      <c r="B186" s="3" t="str">
        <f>_xlfn.CONCAT(C186, " @ ", D186)</f>
        <v>effortless-xlsx|RoleAssignments.ComparisonIsEvidentiallySound @ ra-controller-2026</v>
      </c>
      <c r="C186" s="2" t="s">
        <v>14629</v>
      </c>
      <c r="D186" s="2" t="s">
        <v>211</v>
      </c>
      <c r="E186" s="2" t="s">
        <v>15057</v>
      </c>
      <c r="F186" s="2" t="s">
        <v>15035</v>
      </c>
      <c r="G186" s="2" t="s">
        <v>14591</v>
      </c>
      <c r="H186" s="3" t="str">
        <f>_xlfn.IFNA(INDEX(FieldDisagreements!C2:C999, MATCH(C186,FieldDisagreements!A2:A999, 0)), "")</f>
        <v>effortless-xlsx</v>
      </c>
      <c r="I186" s="3" t="str">
        <f>_xlfn.IFNA(INDEX(FieldDisagreements!D2:D999, MATCH(C186,FieldDisagreements!A2:A999, 0)), "")</f>
        <v>RoleAssignments.ComparisonIsEvidentiallySound</v>
      </c>
      <c r="J186" s="2" t="s">
        <v>1906</v>
      </c>
    </row>
    <row r="187">
      <c r="A187" s="2" t="s">
        <v>15316</v>
      </c>
      <c r="B187" s="3" t="str">
        <f>_xlfn.CONCAT(C187, " @ ", D187)</f>
        <v>effortless-xlsx|RoleAssignments.ComparisonIsEvidentiallySound @ ra-counsel-2026</v>
      </c>
      <c r="C187" s="2" t="s">
        <v>14629</v>
      </c>
      <c r="D187" s="2" t="s">
        <v>223</v>
      </c>
      <c r="E187" s="2" t="s">
        <v>15057</v>
      </c>
      <c r="F187" s="2" t="s">
        <v>15035</v>
      </c>
      <c r="G187" s="2" t="s">
        <v>14591</v>
      </c>
      <c r="H187" s="3" t="str">
        <f>_xlfn.IFNA(INDEX(FieldDisagreements!C2:C999, MATCH(C187,FieldDisagreements!A2:A999, 0)), "")</f>
        <v>effortless-xlsx</v>
      </c>
      <c r="I187" s="3" t="str">
        <f>_xlfn.IFNA(INDEX(FieldDisagreements!D2:D999, MATCH(C187,FieldDisagreements!A2:A999, 0)), "")</f>
        <v>RoleAssignments.ComparisonIsEvidentiallySound</v>
      </c>
      <c r="J187" s="2" t="s">
        <v>1906</v>
      </c>
    </row>
    <row r="188">
      <c r="A188" s="2" t="s">
        <v>15317</v>
      </c>
      <c r="B188" s="3" t="str">
        <f>_xlfn.CONCAT(C188, " @ ", D188)</f>
        <v>effortless-xlsx|RoleAssignments.ComparisonIsEvidentiallySound @ ra-finance-2026</v>
      </c>
      <c r="C188" s="2" t="s">
        <v>14629</v>
      </c>
      <c r="D188" s="2" t="s">
        <v>206</v>
      </c>
      <c r="E188" s="2" t="s">
        <v>15057</v>
      </c>
      <c r="F188" s="2" t="s">
        <v>15035</v>
      </c>
      <c r="G188" s="2" t="s">
        <v>14591</v>
      </c>
      <c r="H188" s="3" t="str">
        <f>_xlfn.IFNA(INDEX(FieldDisagreements!C2:C999, MATCH(C188,FieldDisagreements!A2:A999, 0)), "")</f>
        <v>effortless-xlsx</v>
      </c>
      <c r="I188" s="3" t="str">
        <f>_xlfn.IFNA(INDEX(FieldDisagreements!D2:D999, MATCH(C188,FieldDisagreements!A2:A999, 0)), "")</f>
        <v>RoleAssignments.ComparisonIsEvidentiallySound</v>
      </c>
      <c r="J188" s="2" t="s">
        <v>1906</v>
      </c>
    </row>
    <row r="189">
      <c r="A189" s="2" t="s">
        <v>15318</v>
      </c>
      <c r="B189" s="3" t="str">
        <f>_xlfn.CONCAT(C189, " @ ", D189)</f>
        <v>effortless-xlsx|RoleAssignments.ComparisonIsEvidentiallySound @ ra-new-variance</v>
      </c>
      <c r="C189" s="2" t="s">
        <v>14629</v>
      </c>
      <c r="D189" s="2" t="s">
        <v>235</v>
      </c>
      <c r="E189" s="2" t="s">
        <v>15057</v>
      </c>
      <c r="F189" s="2" t="s">
        <v>15035</v>
      </c>
      <c r="G189" s="2" t="s">
        <v>14591</v>
      </c>
      <c r="H189" s="3" t="str">
        <f>_xlfn.IFNA(INDEX(FieldDisagreements!C2:C999, MATCH(C189,FieldDisagreements!A2:A999, 0)), "")</f>
        <v>effortless-xlsx</v>
      </c>
      <c r="I189" s="3" t="str">
        <f>_xlfn.IFNA(INDEX(FieldDisagreements!D2:D999, MATCH(C189,FieldDisagreements!A2:A999, 0)), "")</f>
        <v>RoleAssignments.ComparisonIsEvidentiallySound</v>
      </c>
      <c r="J189" s="2" t="s">
        <v>1906</v>
      </c>
    </row>
    <row r="190">
      <c r="A190" s="2" t="s">
        <v>15319</v>
      </c>
      <c r="B190" s="3" t="str">
        <f>_xlfn.CONCAT(C190, " @ ", D190)</f>
        <v>effortless-xlsx|RoleAssignments.ComparisonIsEvidentiallySound @ ra-notify-pipeline-2026</v>
      </c>
      <c r="C190" s="2" t="s">
        <v>14629</v>
      </c>
      <c r="D190" s="2" t="s">
        <v>243</v>
      </c>
      <c r="E190" s="2" t="s">
        <v>15057</v>
      </c>
      <c r="F190" s="2" t="s">
        <v>15035</v>
      </c>
      <c r="G190" s="2" t="s">
        <v>14591</v>
      </c>
      <c r="H190" s="3" t="str">
        <f>_xlfn.IFNA(INDEX(FieldDisagreements!C2:C999, MATCH(C190,FieldDisagreements!A2:A999, 0)), "")</f>
        <v>effortless-xlsx</v>
      </c>
      <c r="I190" s="3" t="str">
        <f>_xlfn.IFNA(INDEX(FieldDisagreements!D2:D999, MATCH(C190,FieldDisagreements!A2:A999, 0)), "")</f>
        <v>RoleAssignments.ComparisonIsEvidentiallySound</v>
      </c>
      <c r="J190" s="2" t="s">
        <v>1906</v>
      </c>
    </row>
    <row r="191">
      <c r="A191" s="2" t="s">
        <v>15320</v>
      </c>
      <c r="B191" s="3" t="str">
        <f>_xlfn.CONCAT(C191, " @ ", D191)</f>
        <v>effortless-xlsx|RoleAssignments.ComparisonIsEvidentiallySound @ ra-old-variance</v>
      </c>
      <c r="C191" s="2" t="s">
        <v>14629</v>
      </c>
      <c r="D191" s="2" t="s">
        <v>316</v>
      </c>
      <c r="E191" s="2" t="s">
        <v>15057</v>
      </c>
      <c r="F191" s="2" t="s">
        <v>15035</v>
      </c>
      <c r="G191" s="2" t="s">
        <v>14591</v>
      </c>
      <c r="H191" s="3" t="str">
        <f>_xlfn.IFNA(INDEX(FieldDisagreements!C2:C999, MATCH(C191,FieldDisagreements!A2:A999, 0)), "")</f>
        <v>effortless-xlsx</v>
      </c>
      <c r="I191" s="3" t="str">
        <f>_xlfn.IFNA(INDEX(FieldDisagreements!D2:D999, MATCH(C191,FieldDisagreements!A2:A999, 0)), "")</f>
        <v>RoleAssignments.ComparisonIsEvidentiallySound</v>
      </c>
      <c r="J191" s="2" t="s">
        <v>1906</v>
      </c>
    </row>
    <row r="192">
      <c r="A192" s="2" t="s">
        <v>15321</v>
      </c>
      <c r="B192" s="3" t="str">
        <f>_xlfn.CONCAT(C192, " @ ", D192)</f>
        <v>effortless-xlsx|RoleAssignments.ComparisonIsEvidentiallySound @ ra-policy-ai-2026</v>
      </c>
      <c r="C192" s="2" t="s">
        <v>14629</v>
      </c>
      <c r="D192" s="2" t="s">
        <v>239</v>
      </c>
      <c r="E192" s="2" t="s">
        <v>15057</v>
      </c>
      <c r="F192" s="2" t="s">
        <v>15035</v>
      </c>
      <c r="G192" s="2" t="s">
        <v>14591</v>
      </c>
      <c r="H192" s="3" t="str">
        <f>_xlfn.IFNA(INDEX(FieldDisagreements!C2:C999, MATCH(C192,FieldDisagreements!A2:A999, 0)), "")</f>
        <v>effortless-xlsx</v>
      </c>
      <c r="I192" s="3" t="str">
        <f>_xlfn.IFNA(INDEX(FieldDisagreements!D2:D999, MATCH(C192,FieldDisagreements!A2:A999, 0)), "")</f>
        <v>RoleAssignments.ComparisonIsEvidentiallySound</v>
      </c>
      <c r="J192" s="2" t="s">
        <v>1906</v>
      </c>
    </row>
    <row r="193">
      <c r="A193" s="2" t="s">
        <v>15322</v>
      </c>
      <c r="B193" s="3" t="str">
        <f>_xlfn.CONCAT(C193, " @ ", D193)</f>
        <v>effortless-xlsx|RoleAssignments.ComparisonIsEvidentiallySound @ ra-policy-owner-2026</v>
      </c>
      <c r="C193" s="2" t="s">
        <v>14629</v>
      </c>
      <c r="D193" s="2" t="s">
        <v>219</v>
      </c>
      <c r="E193" s="2" t="s">
        <v>15057</v>
      </c>
      <c r="F193" s="2" t="s">
        <v>15035</v>
      </c>
      <c r="G193" s="2" t="s">
        <v>14591</v>
      </c>
      <c r="H193" s="3" t="str">
        <f>_xlfn.IFNA(INDEX(FieldDisagreements!C2:C999, MATCH(C193,FieldDisagreements!A2:A999, 0)), "")</f>
        <v>effortless-xlsx</v>
      </c>
      <c r="I193" s="3" t="str">
        <f>_xlfn.IFNA(INDEX(FieldDisagreements!D2:D999, MATCH(C193,FieldDisagreements!A2:A999, 0)), "")</f>
        <v>RoleAssignments.ComparisonIsEvidentiallySound</v>
      </c>
      <c r="J193" s="2" t="s">
        <v>1906</v>
      </c>
    </row>
    <row r="194">
      <c r="A194" s="2" t="s">
        <v>15323</v>
      </c>
      <c r="B194" s="3" t="str">
        <f>_xlfn.CONCAT(C194, " @ ", D194)</f>
        <v>effortless-xlsx|RoleAssignments.ComparisonIsEvidentiallySound @ ra-steward-2026</v>
      </c>
      <c r="C194" s="2" t="s">
        <v>14629</v>
      </c>
      <c r="D194" s="2" t="s">
        <v>247</v>
      </c>
      <c r="E194" s="2" t="s">
        <v>15057</v>
      </c>
      <c r="F194" s="2" t="s">
        <v>15035</v>
      </c>
      <c r="G194" s="2" t="s">
        <v>14591</v>
      </c>
      <c r="H194" s="3" t="str">
        <f>_xlfn.IFNA(INDEX(FieldDisagreements!C2:C999, MATCH(C194,FieldDisagreements!A2:A999, 0)), "")</f>
        <v>effortless-xlsx</v>
      </c>
      <c r="I194" s="3" t="str">
        <f>_xlfn.IFNA(INDEX(FieldDisagreements!D2:D999, MATCH(C194,FieldDisagreements!A2:A999, 0)), "")</f>
        <v>RoleAssignments.ComparisonIsEvidentiallySound</v>
      </c>
      <c r="J194" s="2" t="s">
        <v>1906</v>
      </c>
    </row>
    <row r="195">
      <c r="A195" s="2" t="s">
        <v>15324</v>
      </c>
      <c r="B195" s="3" t="str">
        <f>_xlfn.CONCAT(C195, " @ ", D195)</f>
        <v>effortless-xlsx|RoleAssignments.QualityVerdictIsUnsupported @ ra-authority-2026</v>
      </c>
      <c r="C195" s="2" t="s">
        <v>14630</v>
      </c>
      <c r="D195" s="2" t="s">
        <v>251</v>
      </c>
      <c r="E195" s="2" t="s">
        <v>15035</v>
      </c>
      <c r="F195" s="2" t="s">
        <v>15057</v>
      </c>
      <c r="G195" s="2" t="s">
        <v>14591</v>
      </c>
      <c r="H195" s="3" t="str">
        <f>_xlfn.IFNA(INDEX(FieldDisagreements!C2:C999, MATCH(C195,FieldDisagreements!A2:A999, 0)), "")</f>
        <v>effortless-xlsx</v>
      </c>
      <c r="I195" s="3" t="str">
        <f>_xlfn.IFNA(INDEX(FieldDisagreements!D2:D999, MATCH(C195,FieldDisagreements!A2:A999, 0)), "")</f>
        <v>RoleAssignments.QualityVerdictIsUnsupported</v>
      </c>
      <c r="J195" s="2" t="s">
        <v>1906</v>
      </c>
    </row>
    <row r="196">
      <c r="A196" s="2" t="s">
        <v>15325</v>
      </c>
      <c r="B196" s="3" t="str">
        <f>_xlfn.CONCAT(C196, " @ ", D196)</f>
        <v>effortless-xlsx|RoleAssignments.QualityVerdictIsUnsupported @ ra-cfo-2026</v>
      </c>
      <c r="C196" s="2" t="s">
        <v>14630</v>
      </c>
      <c r="D196" s="2" t="s">
        <v>215</v>
      </c>
      <c r="E196" s="2" t="s">
        <v>15035</v>
      </c>
      <c r="F196" s="2" t="s">
        <v>15057</v>
      </c>
      <c r="G196" s="2" t="s">
        <v>14591</v>
      </c>
      <c r="H196" s="3" t="str">
        <f>_xlfn.IFNA(INDEX(FieldDisagreements!C2:C999, MATCH(C196,FieldDisagreements!A2:A999, 0)), "")</f>
        <v>effortless-xlsx</v>
      </c>
      <c r="I196" s="3" t="str">
        <f>_xlfn.IFNA(INDEX(FieldDisagreements!D2:D999, MATCH(C196,FieldDisagreements!A2:A999, 0)), "")</f>
        <v>RoleAssignments.QualityVerdictIsUnsupported</v>
      </c>
      <c r="J196" s="2" t="s">
        <v>1906</v>
      </c>
    </row>
    <row r="197">
      <c r="A197" s="2" t="s">
        <v>15326</v>
      </c>
      <c r="B197" s="3" t="str">
        <f>_xlfn.CONCAT(C197, " @ ", D197)</f>
        <v>effortless-xlsx|RoleAssignments.QualityVerdictIsUnsupported @ ra-close-pipeline-2026</v>
      </c>
      <c r="C197" s="2" t="s">
        <v>14630</v>
      </c>
      <c r="D197" s="2" t="s">
        <v>231</v>
      </c>
      <c r="E197" s="2" t="s">
        <v>15035</v>
      </c>
      <c r="F197" s="2" t="s">
        <v>15057</v>
      </c>
      <c r="G197" s="2" t="s">
        <v>14591</v>
      </c>
      <c r="H197" s="3" t="str">
        <f>_xlfn.IFNA(INDEX(FieldDisagreements!C2:C999, MATCH(C197,FieldDisagreements!A2:A999, 0)), "")</f>
        <v>effortless-xlsx</v>
      </c>
      <c r="I197" s="3" t="str">
        <f>_xlfn.IFNA(INDEX(FieldDisagreements!D2:D999, MATCH(C197,FieldDisagreements!A2:A999, 0)), "")</f>
        <v>RoleAssignments.QualityVerdictIsUnsupported</v>
      </c>
      <c r="J197" s="2" t="s">
        <v>1906</v>
      </c>
    </row>
    <row r="198">
      <c r="A198" s="2" t="s">
        <v>15327</v>
      </c>
      <c r="B198" s="3" t="str">
        <f>_xlfn.CONCAT(C198, " @ ", D198)</f>
        <v>effortless-xlsx|RoleAssignments.QualityVerdictIsUnsupported @ ra-comms-2026</v>
      </c>
      <c r="C198" s="2" t="s">
        <v>14630</v>
      </c>
      <c r="D198" s="2" t="s">
        <v>227</v>
      </c>
      <c r="E198" s="2" t="s">
        <v>15035</v>
      </c>
      <c r="F198" s="2" t="s">
        <v>15057</v>
      </c>
      <c r="G198" s="2" t="s">
        <v>14591</v>
      </c>
      <c r="H198" s="3" t="str">
        <f>_xlfn.IFNA(INDEX(FieldDisagreements!C2:C999, MATCH(C198,FieldDisagreements!A2:A999, 0)), "")</f>
        <v>effortless-xlsx</v>
      </c>
      <c r="I198" s="3" t="str">
        <f>_xlfn.IFNA(INDEX(FieldDisagreements!D2:D999, MATCH(C198,FieldDisagreements!A2:A999, 0)), "")</f>
        <v>RoleAssignments.QualityVerdictIsUnsupported</v>
      </c>
      <c r="J198" s="2" t="s">
        <v>1906</v>
      </c>
    </row>
    <row r="199">
      <c r="A199" s="2" t="s">
        <v>15328</v>
      </c>
      <c r="B199" s="3" t="str">
        <f>_xlfn.CONCAT(C199, " @ ", D199)</f>
        <v>effortless-xlsx|RoleAssignments.QualityVerdictIsUnsupported @ ra-controller-2026</v>
      </c>
      <c r="C199" s="2" t="s">
        <v>14630</v>
      </c>
      <c r="D199" s="2" t="s">
        <v>211</v>
      </c>
      <c r="E199" s="2" t="s">
        <v>15035</v>
      </c>
      <c r="F199" s="2" t="s">
        <v>15057</v>
      </c>
      <c r="G199" s="2" t="s">
        <v>14591</v>
      </c>
      <c r="H199" s="3" t="str">
        <f>_xlfn.IFNA(INDEX(FieldDisagreements!C2:C999, MATCH(C199,FieldDisagreements!A2:A999, 0)), "")</f>
        <v>effortless-xlsx</v>
      </c>
      <c r="I199" s="3" t="str">
        <f>_xlfn.IFNA(INDEX(FieldDisagreements!D2:D999, MATCH(C199,FieldDisagreements!A2:A999, 0)), "")</f>
        <v>RoleAssignments.QualityVerdictIsUnsupported</v>
      </c>
      <c r="J199" s="2" t="s">
        <v>1906</v>
      </c>
    </row>
    <row r="200">
      <c r="A200" s="2" t="s">
        <v>15329</v>
      </c>
      <c r="B200" s="3" t="str">
        <f>_xlfn.CONCAT(C200, " @ ", D200)</f>
        <v>effortless-xlsx|RoleAssignments.QualityVerdictIsUnsupported @ ra-counsel-2026</v>
      </c>
      <c r="C200" s="2" t="s">
        <v>14630</v>
      </c>
      <c r="D200" s="2" t="s">
        <v>223</v>
      </c>
      <c r="E200" s="2" t="s">
        <v>15035</v>
      </c>
      <c r="F200" s="2" t="s">
        <v>15057</v>
      </c>
      <c r="G200" s="2" t="s">
        <v>14591</v>
      </c>
      <c r="H200" s="3" t="str">
        <f>_xlfn.IFNA(INDEX(FieldDisagreements!C2:C999, MATCH(C200,FieldDisagreements!A2:A999, 0)), "")</f>
        <v>effortless-xlsx</v>
      </c>
      <c r="I200" s="3" t="str">
        <f>_xlfn.IFNA(INDEX(FieldDisagreements!D2:D999, MATCH(C200,FieldDisagreements!A2:A999, 0)), "")</f>
        <v>RoleAssignments.QualityVerdictIsUnsupported</v>
      </c>
      <c r="J200" s="2" t="s">
        <v>1906</v>
      </c>
    </row>
    <row r="201">
      <c r="A201" s="2" t="s">
        <v>15330</v>
      </c>
      <c r="B201" s="3" t="str">
        <f>_xlfn.CONCAT(C201, " @ ", D201)</f>
        <v>effortless-xlsx|RoleAssignments.QualityVerdictIsUnsupported @ ra-finance-2026</v>
      </c>
      <c r="C201" s="2" t="s">
        <v>14630</v>
      </c>
      <c r="D201" s="2" t="s">
        <v>206</v>
      </c>
      <c r="E201" s="2" t="s">
        <v>15035</v>
      </c>
      <c r="F201" s="2" t="s">
        <v>15057</v>
      </c>
      <c r="G201" s="2" t="s">
        <v>14591</v>
      </c>
      <c r="H201" s="3" t="str">
        <f>_xlfn.IFNA(INDEX(FieldDisagreements!C2:C999, MATCH(C201,FieldDisagreements!A2:A999, 0)), "")</f>
        <v>effortless-xlsx</v>
      </c>
      <c r="I201" s="3" t="str">
        <f>_xlfn.IFNA(INDEX(FieldDisagreements!D2:D999, MATCH(C201,FieldDisagreements!A2:A999, 0)), "")</f>
        <v>RoleAssignments.QualityVerdictIsUnsupported</v>
      </c>
      <c r="J201" s="2" t="s">
        <v>1906</v>
      </c>
    </row>
    <row r="202">
      <c r="A202" s="2" t="s">
        <v>15331</v>
      </c>
      <c r="B202" s="3" t="str">
        <f>_xlfn.CONCAT(C202, " @ ", D202)</f>
        <v>effortless-xlsx|RoleAssignments.QualityVerdictIsUnsupported @ ra-new-variance</v>
      </c>
      <c r="C202" s="2" t="s">
        <v>14630</v>
      </c>
      <c r="D202" s="2" t="s">
        <v>235</v>
      </c>
      <c r="E202" s="2" t="s">
        <v>15035</v>
      </c>
      <c r="F202" s="2" t="s">
        <v>15057</v>
      </c>
      <c r="G202" s="2" t="s">
        <v>14591</v>
      </c>
      <c r="H202" s="3" t="str">
        <f>_xlfn.IFNA(INDEX(FieldDisagreements!C2:C999, MATCH(C202,FieldDisagreements!A2:A999, 0)), "")</f>
        <v>effortless-xlsx</v>
      </c>
      <c r="I202" s="3" t="str">
        <f>_xlfn.IFNA(INDEX(FieldDisagreements!D2:D999, MATCH(C202,FieldDisagreements!A2:A999, 0)), "")</f>
        <v>RoleAssignments.QualityVerdictIsUnsupported</v>
      </c>
      <c r="J202" s="2" t="s">
        <v>1906</v>
      </c>
    </row>
    <row r="203">
      <c r="A203" s="2" t="s">
        <v>15332</v>
      </c>
      <c r="B203" s="3" t="str">
        <f>_xlfn.CONCAT(C203, " @ ", D203)</f>
        <v>effortless-xlsx|RoleAssignments.QualityVerdictIsUnsupported @ ra-notify-pipeline-2026</v>
      </c>
      <c r="C203" s="2" t="s">
        <v>14630</v>
      </c>
      <c r="D203" s="2" t="s">
        <v>243</v>
      </c>
      <c r="E203" s="2" t="s">
        <v>15035</v>
      </c>
      <c r="F203" s="2" t="s">
        <v>15057</v>
      </c>
      <c r="G203" s="2" t="s">
        <v>14591</v>
      </c>
      <c r="H203" s="3" t="str">
        <f>_xlfn.IFNA(INDEX(FieldDisagreements!C2:C999, MATCH(C203,FieldDisagreements!A2:A999, 0)), "")</f>
        <v>effortless-xlsx</v>
      </c>
      <c r="I203" s="3" t="str">
        <f>_xlfn.IFNA(INDEX(FieldDisagreements!D2:D999, MATCH(C203,FieldDisagreements!A2:A999, 0)), "")</f>
        <v>RoleAssignments.QualityVerdictIsUnsupported</v>
      </c>
      <c r="J203" s="2" t="s">
        <v>1906</v>
      </c>
    </row>
    <row r="204">
      <c r="A204" s="2" t="s">
        <v>15333</v>
      </c>
      <c r="B204" s="3" t="str">
        <f>_xlfn.CONCAT(C204, " @ ", D204)</f>
        <v>effortless-xlsx|RoleAssignments.QualityVerdictIsUnsupported @ ra-old-variance</v>
      </c>
      <c r="C204" s="2" t="s">
        <v>14630</v>
      </c>
      <c r="D204" s="2" t="s">
        <v>316</v>
      </c>
      <c r="E204" s="2" t="s">
        <v>15035</v>
      </c>
      <c r="F204" s="2" t="s">
        <v>15057</v>
      </c>
      <c r="G204" s="2" t="s">
        <v>14591</v>
      </c>
      <c r="H204" s="3" t="str">
        <f>_xlfn.IFNA(INDEX(FieldDisagreements!C2:C999, MATCH(C204,FieldDisagreements!A2:A999, 0)), "")</f>
        <v>effortless-xlsx</v>
      </c>
      <c r="I204" s="3" t="str">
        <f>_xlfn.IFNA(INDEX(FieldDisagreements!D2:D999, MATCH(C204,FieldDisagreements!A2:A999, 0)), "")</f>
        <v>RoleAssignments.QualityVerdictIsUnsupported</v>
      </c>
      <c r="J204" s="2" t="s">
        <v>1906</v>
      </c>
    </row>
    <row r="205">
      <c r="A205" s="2" t="s">
        <v>15334</v>
      </c>
      <c r="B205" s="3" t="str">
        <f>_xlfn.CONCAT(C205, " @ ", D205)</f>
        <v>effortless-xlsx|RoleAssignments.QualityVerdictIsUnsupported @ ra-policy-ai-2026</v>
      </c>
      <c r="C205" s="2" t="s">
        <v>14630</v>
      </c>
      <c r="D205" s="2" t="s">
        <v>239</v>
      </c>
      <c r="E205" s="2" t="s">
        <v>15035</v>
      </c>
      <c r="F205" s="2" t="s">
        <v>15057</v>
      </c>
      <c r="G205" s="2" t="s">
        <v>14591</v>
      </c>
      <c r="H205" s="3" t="str">
        <f>_xlfn.IFNA(INDEX(FieldDisagreements!C2:C999, MATCH(C205,FieldDisagreements!A2:A999, 0)), "")</f>
        <v>effortless-xlsx</v>
      </c>
      <c r="I205" s="3" t="str">
        <f>_xlfn.IFNA(INDEX(FieldDisagreements!D2:D999, MATCH(C205,FieldDisagreements!A2:A999, 0)), "")</f>
        <v>RoleAssignments.QualityVerdictIsUnsupported</v>
      </c>
      <c r="J205" s="2" t="s">
        <v>1906</v>
      </c>
    </row>
    <row r="206">
      <c r="A206" s="2" t="s">
        <v>15335</v>
      </c>
      <c r="B206" s="3" t="str">
        <f>_xlfn.CONCAT(C206, " @ ", D206)</f>
        <v>effortless-xlsx|RoleAssignments.QualityVerdictIsUnsupported @ ra-policy-owner-2026</v>
      </c>
      <c r="C206" s="2" t="s">
        <v>14630</v>
      </c>
      <c r="D206" s="2" t="s">
        <v>219</v>
      </c>
      <c r="E206" s="2" t="s">
        <v>15035</v>
      </c>
      <c r="F206" s="2" t="s">
        <v>15057</v>
      </c>
      <c r="G206" s="2" t="s">
        <v>14591</v>
      </c>
      <c r="H206" s="3" t="str">
        <f>_xlfn.IFNA(INDEX(FieldDisagreements!C2:C999, MATCH(C206,FieldDisagreements!A2:A999, 0)), "")</f>
        <v>effortless-xlsx</v>
      </c>
      <c r="I206" s="3" t="str">
        <f>_xlfn.IFNA(INDEX(FieldDisagreements!D2:D999, MATCH(C206,FieldDisagreements!A2:A999, 0)), "")</f>
        <v>RoleAssignments.QualityVerdictIsUnsupported</v>
      </c>
      <c r="J206" s="2" t="s">
        <v>1906</v>
      </c>
    </row>
    <row r="207">
      <c r="A207" s="2" t="s">
        <v>15336</v>
      </c>
      <c r="B207" s="3" t="str">
        <f>_xlfn.CONCAT(C207, " @ ", D207)</f>
        <v>effortless-xlsx|RoleAssignments.QualityVerdictIsUnsupported @ ra-steward-2026</v>
      </c>
      <c r="C207" s="2" t="s">
        <v>14630</v>
      </c>
      <c r="D207" s="2" t="s">
        <v>247</v>
      </c>
      <c r="E207" s="2" t="s">
        <v>15035</v>
      </c>
      <c r="F207" s="2" t="s">
        <v>15057</v>
      </c>
      <c r="G207" s="2" t="s">
        <v>14591</v>
      </c>
      <c r="H207" s="3" t="str">
        <f>_xlfn.IFNA(INDEX(FieldDisagreements!C2:C999, MATCH(C207,FieldDisagreements!A2:A999, 0)), "")</f>
        <v>effortless-xlsx</v>
      </c>
      <c r="I207" s="3" t="str">
        <f>_xlfn.IFNA(INDEX(FieldDisagreements!D2:D999, MATCH(C207,FieldDisagreements!A2:A999, 0)), "")</f>
        <v>RoleAssignments.QualityVerdictIsUnsupported</v>
      </c>
      <c r="J207" s="2" t="s">
        <v>1906</v>
      </c>
    </row>
    <row r="208">
      <c r="A208" s="2" t="s">
        <v>15337</v>
      </c>
      <c r="B208" s="3" t="str">
        <f>_xlfn.CONCAT(C208, " @ ", D208)</f>
        <v>effortless-xlsx|RoleAssignments.IsUnauthorizedEnforcementAgent @ ra-close-pipeline-2026</v>
      </c>
      <c r="C208" s="2" t="s">
        <v>14631</v>
      </c>
      <c r="D208" s="2" t="s">
        <v>231</v>
      </c>
      <c r="E208" s="2" t="s">
        <v>15057</v>
      </c>
      <c r="F208" s="2" t="s">
        <v>15035</v>
      </c>
      <c r="G208" s="2" t="s">
        <v>14591</v>
      </c>
      <c r="H208" s="3" t="str">
        <f>_xlfn.IFNA(INDEX(FieldDisagreements!C2:C999, MATCH(C208,FieldDisagreements!A2:A999, 0)), "")</f>
        <v>effortless-xlsx</v>
      </c>
      <c r="I208" s="3" t="str">
        <f>_xlfn.IFNA(INDEX(FieldDisagreements!D2:D999, MATCH(C208,FieldDisagreements!A2:A999, 0)), "")</f>
        <v>RoleAssignments.IsUnauthorizedEnforcementAgent</v>
      </c>
      <c r="J208" s="2" t="s">
        <v>1906</v>
      </c>
    </row>
    <row r="209">
      <c r="A209" s="2" t="s">
        <v>15338</v>
      </c>
      <c r="B209" s="3" t="str">
        <f>_xlfn.CONCAT(C209, " @ ", D209)</f>
        <v>effortless-xlsx|RoleAssignments.IsUnauthorizedEnforcementAgent @ ra-notify-pipeline-2026</v>
      </c>
      <c r="C209" s="2" t="s">
        <v>14631</v>
      </c>
      <c r="D209" s="2" t="s">
        <v>243</v>
      </c>
      <c r="E209" s="2" t="s">
        <v>15057</v>
      </c>
      <c r="F209" s="2" t="s">
        <v>15035</v>
      </c>
      <c r="G209" s="2" t="s">
        <v>14591</v>
      </c>
      <c r="H209" s="3" t="str">
        <f>_xlfn.IFNA(INDEX(FieldDisagreements!C2:C999, MATCH(C209,FieldDisagreements!A2:A999, 0)), "")</f>
        <v>effortless-xlsx</v>
      </c>
      <c r="I209" s="3" t="str">
        <f>_xlfn.IFNA(INDEX(FieldDisagreements!D2:D999, MATCH(C209,FieldDisagreements!A2:A999, 0)), "")</f>
        <v>RoleAssignments.IsUnauthorizedEnforcementAgent</v>
      </c>
      <c r="J209" s="2" t="s">
        <v>1906</v>
      </c>
    </row>
    <row r="210">
      <c r="A210" s="2" t="s">
        <v>15339</v>
      </c>
      <c r="B210" s="3" t="str">
        <f>_xlfn.CONCAT(C210, " @ ", D210)</f>
        <v>effortless-xlsx|RoleAssignments.IsUnauthorizedEnforcementAgent @ ra-policy-ai-2026</v>
      </c>
      <c r="C210" s="2" t="s">
        <v>14631</v>
      </c>
      <c r="D210" s="2" t="s">
        <v>239</v>
      </c>
      <c r="E210" s="2" t="s">
        <v>15057</v>
      </c>
      <c r="F210" s="2" t="s">
        <v>15035</v>
      </c>
      <c r="G210" s="2" t="s">
        <v>14591</v>
      </c>
      <c r="H210" s="3" t="str">
        <f>_xlfn.IFNA(INDEX(FieldDisagreements!C2:C999, MATCH(C210,FieldDisagreements!A2:A999, 0)), "")</f>
        <v>effortless-xlsx</v>
      </c>
      <c r="I210" s="3" t="str">
        <f>_xlfn.IFNA(INDEX(FieldDisagreements!D2:D999, MATCH(C210,FieldDisagreements!A2:A999, 0)), "")</f>
        <v>RoleAssignments.IsUnauthorizedEnforcementAgent</v>
      </c>
      <c r="J210" s="2" t="s">
        <v>1906</v>
      </c>
    </row>
    <row r="211">
      <c r="A211" s="2" t="s">
        <v>15340</v>
      </c>
      <c r="B211" s="3" t="str">
        <f>_xlfn.CONCAT(C211, " @ ", D211)</f>
        <v>effortless-xlsx|RoleAssignments.PredecessorAgentKind @ ra-new-variance</v>
      </c>
      <c r="C211" s="2" t="s">
        <v>14632</v>
      </c>
      <c r="D211" s="2" t="s">
        <v>235</v>
      </c>
      <c r="E211" s="2" t="s">
        <v>15341</v>
      </c>
      <c r="F211" s="2" t="s">
        <v>15036</v>
      </c>
      <c r="G211" s="2" t="s">
        <v>14591</v>
      </c>
      <c r="H211" s="3" t="str">
        <f>_xlfn.IFNA(INDEX(FieldDisagreements!C2:C999, MATCH(C211,FieldDisagreements!A2:A999, 0)), "")</f>
        <v>effortless-xlsx</v>
      </c>
      <c r="I211" s="3" t="str">
        <f>_xlfn.IFNA(INDEX(FieldDisagreements!D2:D999, MATCH(C211,FieldDisagreements!A2:A999, 0)), "")</f>
        <v>RoleAssignments.PredecessorAgentKind</v>
      </c>
      <c r="J211" s="2" t="s">
        <v>1906</v>
      </c>
    </row>
    <row r="212">
      <c r="A212" s="2" t="s">
        <v>15342</v>
      </c>
      <c r="B212" s="3" t="str">
        <f>_xlfn.CONCAT(C212, " @ ", D212)</f>
        <v>effortless-xlsx|RoleAssignments.IsHumanToNonHumanHandover @ ra-new-variance</v>
      </c>
      <c r="C212" s="2" t="s">
        <v>14633</v>
      </c>
      <c r="D212" s="2" t="s">
        <v>235</v>
      </c>
      <c r="E212" s="2" t="s">
        <v>15035</v>
      </c>
      <c r="F212" s="2" t="s">
        <v>15057</v>
      </c>
      <c r="G212" s="2" t="s">
        <v>14591</v>
      </c>
      <c r="H212" s="3" t="str">
        <f>_xlfn.IFNA(INDEX(FieldDisagreements!C2:C999, MATCH(C212,FieldDisagreements!A2:A999, 0)), "")</f>
        <v>effortless-xlsx</v>
      </c>
      <c r="I212" s="3" t="str">
        <f>_xlfn.IFNA(INDEX(FieldDisagreements!D2:D999, MATCH(C212,FieldDisagreements!A2:A999, 0)), "")</f>
        <v>RoleAssignments.IsHumanToNonHumanHandover</v>
      </c>
      <c r="J212" s="2" t="s">
        <v>1906</v>
      </c>
    </row>
    <row r="213">
      <c r="A213" s="2" t="s">
        <v>15343</v>
      </c>
      <c r="B213" s="3" t="str">
        <f>_xlfn.CONCAT(C213, " @ ", D213)</f>
        <v>effortless-xlsx|RoleAssignments.IsUnmeasuredAutomationHandover @ ra-new-variance</v>
      </c>
      <c r="C213" s="2" t="s">
        <v>14634</v>
      </c>
      <c r="D213" s="2" t="s">
        <v>235</v>
      </c>
      <c r="E213" s="2" t="s">
        <v>15035</v>
      </c>
      <c r="F213" s="2" t="s">
        <v>15057</v>
      </c>
      <c r="G213" s="2" t="s">
        <v>14591</v>
      </c>
      <c r="H213" s="3" t="str">
        <f>_xlfn.IFNA(INDEX(FieldDisagreements!C2:C999, MATCH(C213,FieldDisagreements!A2:A999, 0)), "")</f>
        <v>effortless-xlsx</v>
      </c>
      <c r="I213" s="3" t="str">
        <f>_xlfn.IFNA(INDEX(FieldDisagreements!D2:D999, MATCH(C213,FieldDisagreements!A2:A999, 0)), "")</f>
        <v>RoleAssignments.IsUnmeasuredAutomationHandover</v>
      </c>
      <c r="J213" s="2" t="s">
        <v>1906</v>
      </c>
    </row>
    <row r="214">
      <c r="A214" s="2" t="s">
        <v>15344</v>
      </c>
      <c r="B214" s="3" t="str">
        <f>_xlfn.CONCAT(C214, " @ ", D214)</f>
        <v>effortless-xlsx|ProcedureVersions.AsOfInstant @ close-v1.0.0</v>
      </c>
      <c r="C214" s="2" t="s">
        <v>14635</v>
      </c>
      <c r="D214" s="2" t="s">
        <v>454</v>
      </c>
      <c r="E214" s="2" t="s">
        <v>15271</v>
      </c>
      <c r="F214" s="2" t="s">
        <v>15272</v>
      </c>
      <c r="G214" s="2" t="s">
        <v>14591</v>
      </c>
      <c r="H214" s="3" t="str">
        <f>_xlfn.IFNA(INDEX(FieldDisagreements!C2:C999, MATCH(C214,FieldDisagreements!A2:A999, 0)), "")</f>
        <v>effortless-xlsx</v>
      </c>
      <c r="I214" s="3" t="str">
        <f>_xlfn.IFNA(INDEX(FieldDisagreements!D2:D999, MATCH(C214,FieldDisagreements!A2:A999, 0)), "")</f>
        <v>ProcedureVersions.AsOfInstant</v>
      </c>
      <c r="J214" s="2" t="s">
        <v>1906</v>
      </c>
    </row>
    <row r="215">
      <c r="A215" s="2" t="s">
        <v>15345</v>
      </c>
      <c r="B215" s="3" t="str">
        <f>_xlfn.CONCAT(C215, " @ ", D215)</f>
        <v>effortless-xlsx|ProcedureVersions.AsOfInstant @ close-v1.1.0</v>
      </c>
      <c r="C215" s="2" t="s">
        <v>14635</v>
      </c>
      <c r="D215" s="2" t="s">
        <v>369</v>
      </c>
      <c r="E215" s="2" t="s">
        <v>15271</v>
      </c>
      <c r="F215" s="2" t="s">
        <v>15272</v>
      </c>
      <c r="G215" s="2" t="s">
        <v>14591</v>
      </c>
      <c r="H215" s="3" t="str">
        <f>_xlfn.IFNA(INDEX(FieldDisagreements!C2:C999, MATCH(C215,FieldDisagreements!A2:A999, 0)), "")</f>
        <v>effortless-xlsx</v>
      </c>
      <c r="I215" s="3" t="str">
        <f>_xlfn.IFNA(INDEX(FieldDisagreements!D2:D999, MATCH(C215,FieldDisagreements!A2:A999, 0)), "")</f>
        <v>ProcedureVersions.AsOfInstant</v>
      </c>
      <c r="J215" s="2" t="s">
        <v>1906</v>
      </c>
    </row>
    <row r="216">
      <c r="A216" s="2" t="s">
        <v>15346</v>
      </c>
      <c r="B216" s="3" t="str">
        <f>_xlfn.CONCAT(C216, " @ ", D216)</f>
        <v>effortless-xlsx|ProcedureVersions.AsOfInstant @ policy-v1.0.0</v>
      </c>
      <c r="C216" s="2" t="s">
        <v>14635</v>
      </c>
      <c r="D216" s="2" t="s">
        <v>375</v>
      </c>
      <c r="E216" s="2" t="s">
        <v>15271</v>
      </c>
      <c r="F216" s="2" t="s">
        <v>15272</v>
      </c>
      <c r="G216" s="2" t="s">
        <v>14591</v>
      </c>
      <c r="H216" s="3" t="str">
        <f>_xlfn.IFNA(INDEX(FieldDisagreements!C2:C999, MATCH(C216,FieldDisagreements!A2:A999, 0)), "")</f>
        <v>effortless-xlsx</v>
      </c>
      <c r="I216" s="3" t="str">
        <f>_xlfn.IFNA(INDEX(FieldDisagreements!D2:D999, MATCH(C216,FieldDisagreements!A2:A999, 0)), "")</f>
        <v>ProcedureVersions.AsOfInstant</v>
      </c>
      <c r="J216" s="2" t="s">
        <v>1906</v>
      </c>
    </row>
    <row r="217">
      <c r="A217" s="2" t="s">
        <v>15347</v>
      </c>
      <c r="B217" s="3" t="str">
        <f>_xlfn.CONCAT(C217, " @ ", D217)</f>
        <v>effortless-xlsx|ProcedureVersions.DaysSinceModified @ close-v1.0.0</v>
      </c>
      <c r="C217" s="2" t="s">
        <v>14636</v>
      </c>
      <c r="D217" s="2" t="s">
        <v>454</v>
      </c>
      <c r="E217" s="2" t="s">
        <v>15051</v>
      </c>
      <c r="F217" s="2" t="s">
        <v>15052</v>
      </c>
      <c r="G217" s="2" t="s">
        <v>14591</v>
      </c>
      <c r="H217" s="3" t="str">
        <f>_xlfn.IFNA(INDEX(FieldDisagreements!C2:C999, MATCH(C217,FieldDisagreements!A2:A999, 0)), "")</f>
        <v>effortless-xlsx</v>
      </c>
      <c r="I217" s="3" t="str">
        <f>_xlfn.IFNA(INDEX(FieldDisagreements!D2:D999, MATCH(C217,FieldDisagreements!A2:A999, 0)), "")</f>
        <v>ProcedureVersions.DaysSinceModified</v>
      </c>
      <c r="J217" s="2" t="s">
        <v>1906</v>
      </c>
    </row>
    <row r="218">
      <c r="A218" s="2" t="s">
        <v>15348</v>
      </c>
      <c r="B218" s="3" t="str">
        <f>_xlfn.CONCAT(C218, " @ ", D218)</f>
        <v>effortless-xlsx|ProcedureVersions.DaysSinceModified @ close-v1.1.0</v>
      </c>
      <c r="C218" s="2" t="s">
        <v>14636</v>
      </c>
      <c r="D218" s="2" t="s">
        <v>369</v>
      </c>
      <c r="E218" s="2" t="s">
        <v>15054</v>
      </c>
      <c r="F218" s="2" t="s">
        <v>8195</v>
      </c>
      <c r="G218" s="2" t="s">
        <v>14591</v>
      </c>
      <c r="H218" s="3" t="str">
        <f>_xlfn.IFNA(INDEX(FieldDisagreements!C2:C999, MATCH(C218,FieldDisagreements!A2:A999, 0)), "")</f>
        <v>effortless-xlsx</v>
      </c>
      <c r="I218" s="3" t="str">
        <f>_xlfn.IFNA(INDEX(FieldDisagreements!D2:D999, MATCH(C218,FieldDisagreements!A2:A999, 0)), "")</f>
        <v>ProcedureVersions.DaysSinceModified</v>
      </c>
      <c r="J218" s="2" t="s">
        <v>1906</v>
      </c>
    </row>
    <row r="219">
      <c r="A219" s="2" t="s">
        <v>15349</v>
      </c>
      <c r="B219" s="3" t="str">
        <f>_xlfn.CONCAT(C219, " @ ", D219)</f>
        <v>effortless-xlsx|ProcedureVersions.DaysSinceModified @ policy-v1.0.0</v>
      </c>
      <c r="C219" s="2" t="s">
        <v>14636</v>
      </c>
      <c r="D219" s="2" t="s">
        <v>375</v>
      </c>
      <c r="E219" s="2" t="s">
        <v>935</v>
      </c>
      <c r="F219" s="2" t="s">
        <v>37</v>
      </c>
      <c r="G219" s="2" t="s">
        <v>14591</v>
      </c>
      <c r="H219" s="3" t="str">
        <f>_xlfn.IFNA(INDEX(FieldDisagreements!C2:C999, MATCH(C219,FieldDisagreements!A2:A999, 0)), "")</f>
        <v>effortless-xlsx</v>
      </c>
      <c r="I219" s="3" t="str">
        <f>_xlfn.IFNA(INDEX(FieldDisagreements!D2:D999, MATCH(C219,FieldDisagreements!A2:A999, 0)), "")</f>
        <v>ProcedureVersions.DaysSinceModified</v>
      </c>
      <c r="J219" s="2" t="s">
        <v>1906</v>
      </c>
    </row>
    <row r="220">
      <c r="A220" s="2" t="s">
        <v>15350</v>
      </c>
      <c r="B220" s="3" t="str">
        <f>_xlfn.CONCAT(C220, " @ ", D220)</f>
        <v>effortless-xlsx|ProcedureVersions.DaysSinceLastReview @ close-v1.0.0</v>
      </c>
      <c r="C220" s="2" t="s">
        <v>14637</v>
      </c>
      <c r="D220" s="2" t="s">
        <v>454</v>
      </c>
      <c r="E220" s="2" t="s">
        <v>15036</v>
      </c>
      <c r="F220" s="2" t="s">
        <v>15351</v>
      </c>
      <c r="G220" s="2" t="s">
        <v>14591</v>
      </c>
      <c r="H220" s="3" t="str">
        <f>_xlfn.IFNA(INDEX(FieldDisagreements!C2:C999, MATCH(C220,FieldDisagreements!A2:A999, 0)), "")</f>
        <v>effortless-xlsx</v>
      </c>
      <c r="I220" s="3" t="str">
        <f>_xlfn.IFNA(INDEX(FieldDisagreements!D2:D999, MATCH(C220,FieldDisagreements!A2:A999, 0)), "")</f>
        <v>ProcedureVersions.DaysSinceLastReview</v>
      </c>
      <c r="J220" s="2" t="s">
        <v>1906</v>
      </c>
    </row>
    <row r="221">
      <c r="A221" s="2" t="s">
        <v>15352</v>
      </c>
      <c r="B221" s="3" t="str">
        <f>_xlfn.CONCAT(C221, " @ ", D221)</f>
        <v>effortless-xlsx|ProcedureVersions.WasModifiedSinceLastReview @ close-v1.0.0</v>
      </c>
      <c r="C221" s="2" t="s">
        <v>14638</v>
      </c>
      <c r="D221" s="2" t="s">
        <v>454</v>
      </c>
      <c r="E221" s="2" t="s">
        <v>15057</v>
      </c>
      <c r="F221" s="2" t="s">
        <v>15035</v>
      </c>
      <c r="G221" s="2" t="s">
        <v>14591</v>
      </c>
      <c r="H221" s="3" t="str">
        <f>_xlfn.IFNA(INDEX(FieldDisagreements!C2:C999, MATCH(C221,FieldDisagreements!A2:A999, 0)), "")</f>
        <v>effortless-xlsx</v>
      </c>
      <c r="I221" s="3" t="str">
        <f>_xlfn.IFNA(INDEX(FieldDisagreements!D2:D999, MATCH(C221,FieldDisagreements!A2:A999, 0)), "")</f>
        <v>ProcedureVersions.WasModifiedSinceLastReview</v>
      </c>
      <c r="J221" s="2" t="s">
        <v>1906</v>
      </c>
    </row>
    <row r="222">
      <c r="A222" s="2" t="s">
        <v>15353</v>
      </c>
      <c r="B222" s="3" t="str">
        <f>_xlfn.CONCAT(C222, " @ ", D222)</f>
        <v>effortless-xlsx|ProcedureVersions.WasModifiedSinceLastReview @ close-v1.1.0</v>
      </c>
      <c r="C222" s="2" t="s">
        <v>14638</v>
      </c>
      <c r="D222" s="2" t="s">
        <v>369</v>
      </c>
      <c r="E222" s="2" t="s">
        <v>15035</v>
      </c>
      <c r="F222" s="2" t="s">
        <v>15057</v>
      </c>
      <c r="G222" s="2" t="s">
        <v>14591</v>
      </c>
      <c r="H222" s="3" t="str">
        <f>_xlfn.IFNA(INDEX(FieldDisagreements!C2:C999, MATCH(C222,FieldDisagreements!A2:A999, 0)), "")</f>
        <v>effortless-xlsx</v>
      </c>
      <c r="I222" s="3" t="str">
        <f>_xlfn.IFNA(INDEX(FieldDisagreements!D2:D999, MATCH(C222,FieldDisagreements!A2:A999, 0)), "")</f>
        <v>ProcedureVersions.WasModifiedSinceLastReview</v>
      </c>
      <c r="J222" s="2" t="s">
        <v>1906</v>
      </c>
    </row>
    <row r="223">
      <c r="A223" s="2" t="s">
        <v>15354</v>
      </c>
      <c r="B223" s="3" t="str">
        <f>_xlfn.CONCAT(C223, " @ ", D223)</f>
        <v>effortless-xlsx|ProcedureVersions.WasModifiedSinceLastReview @ policy-v1.0.0</v>
      </c>
      <c r="C223" s="2" t="s">
        <v>14638</v>
      </c>
      <c r="D223" s="2" t="s">
        <v>375</v>
      </c>
      <c r="E223" s="2" t="s">
        <v>15035</v>
      </c>
      <c r="F223" s="2" t="s">
        <v>15057</v>
      </c>
      <c r="G223" s="2" t="s">
        <v>14591</v>
      </c>
      <c r="H223" s="3" t="str">
        <f>_xlfn.IFNA(INDEX(FieldDisagreements!C2:C999, MATCH(C223,FieldDisagreements!A2:A999, 0)), "")</f>
        <v>effortless-xlsx</v>
      </c>
      <c r="I223" s="3" t="str">
        <f>_xlfn.IFNA(INDEX(FieldDisagreements!D2:D999, MATCH(C223,FieldDisagreements!A2:A999, 0)), "")</f>
        <v>ProcedureVersions.WasModifiedSinceLastReview</v>
      </c>
      <c r="J223" s="2" t="s">
        <v>1906</v>
      </c>
    </row>
    <row r="224">
      <c r="A224" s="2" t="s">
        <v>15355</v>
      </c>
      <c r="B224" s="3" t="str">
        <f>_xlfn.CONCAT(C224, " @ ", D224)</f>
        <v>effortless-xlsx|ProcedureVersions.HasUnwitnessedChange @ close-v1.1.0</v>
      </c>
      <c r="C224" s="2" t="s">
        <v>14639</v>
      </c>
      <c r="D224" s="2" t="s">
        <v>369</v>
      </c>
      <c r="E224" s="2" t="s">
        <v>15035</v>
      </c>
      <c r="F224" s="2" t="s">
        <v>15057</v>
      </c>
      <c r="G224" s="2" t="s">
        <v>14591</v>
      </c>
      <c r="H224" s="3" t="str">
        <f>_xlfn.IFNA(INDEX(FieldDisagreements!C2:C999, MATCH(C224,FieldDisagreements!A2:A999, 0)), "")</f>
        <v>effortless-xlsx</v>
      </c>
      <c r="I224" s="3" t="str">
        <f>_xlfn.IFNA(INDEX(FieldDisagreements!D2:D999, MATCH(C224,FieldDisagreements!A2:A999, 0)), "")</f>
        <v>ProcedureVersions.HasUnwitnessedChange</v>
      </c>
      <c r="J224" s="2" t="s">
        <v>1906</v>
      </c>
    </row>
    <row r="225">
      <c r="A225" s="2" t="s">
        <v>15356</v>
      </c>
      <c r="B225" s="3" t="str">
        <f>_xlfn.CONCAT(C225, " @ ", D225)</f>
        <v>effortless-xlsx|ProcedureVersions.HasUnwitnessedChange @ policy-v1.0.0</v>
      </c>
      <c r="C225" s="2" t="s">
        <v>14639</v>
      </c>
      <c r="D225" s="2" t="s">
        <v>375</v>
      </c>
      <c r="E225" s="2" t="s">
        <v>15035</v>
      </c>
      <c r="F225" s="2" t="s">
        <v>15057</v>
      </c>
      <c r="G225" s="2" t="s">
        <v>14591</v>
      </c>
      <c r="H225" s="3" t="str">
        <f>_xlfn.IFNA(INDEX(FieldDisagreements!C2:C999, MATCH(C225,FieldDisagreements!A2:A999, 0)), "")</f>
        <v>effortless-xlsx</v>
      </c>
      <c r="I225" s="3" t="str">
        <f>_xlfn.IFNA(INDEX(FieldDisagreements!D2:D999, MATCH(C225,FieldDisagreements!A2:A999, 0)), "")</f>
        <v>ProcedureVersions.HasUnwitnessedChange</v>
      </c>
      <c r="J225" s="2" t="s">
        <v>1906</v>
      </c>
    </row>
    <row r="226">
      <c r="A226" s="2" t="s">
        <v>15357</v>
      </c>
      <c r="B226" s="3" t="str">
        <f>_xlfn.CONCAT(C226, " @ ", D226)</f>
        <v>effortless-xlsx|Steps.StaleBindingCount @ close-02</v>
      </c>
      <c r="C226" s="2" t="s">
        <v>14640</v>
      </c>
      <c r="D226" s="2" t="s">
        <v>543</v>
      </c>
      <c r="E226" s="2" t="s">
        <v>37</v>
      </c>
      <c r="F226" s="2" t="s">
        <v>935</v>
      </c>
      <c r="G226" s="2" t="s">
        <v>14591</v>
      </c>
      <c r="H226" s="3" t="str">
        <f>_xlfn.IFNA(INDEX(FieldDisagreements!C2:C999, MATCH(C226,FieldDisagreements!A2:A999, 0)), "")</f>
        <v>effortless-xlsx</v>
      </c>
      <c r="I226" s="3" t="str">
        <f>_xlfn.IFNA(INDEX(FieldDisagreements!D2:D999, MATCH(C226,FieldDisagreements!A2:A999, 0)), "")</f>
        <v>Steps.StaleBindingCount</v>
      </c>
      <c r="J226" s="2" t="s">
        <v>1906</v>
      </c>
    </row>
    <row r="227">
      <c r="A227" s="2" t="s">
        <v>15358</v>
      </c>
      <c r="B227" s="3" t="str">
        <f>_xlfn.CONCAT(C227, " @ ", D227)</f>
        <v>effortless-xlsx|Steps.StaleBindingCount @ policy-01</v>
      </c>
      <c r="C227" s="2" t="s">
        <v>14640</v>
      </c>
      <c r="D227" s="2" t="s">
        <v>578</v>
      </c>
      <c r="E227" s="2" t="s">
        <v>37</v>
      </c>
      <c r="F227" s="2" t="s">
        <v>935</v>
      </c>
      <c r="G227" s="2" t="s">
        <v>14591</v>
      </c>
      <c r="H227" s="3" t="str">
        <f>_xlfn.IFNA(INDEX(FieldDisagreements!C2:C999, MATCH(C227,FieldDisagreements!A2:A999, 0)), "")</f>
        <v>effortless-xlsx</v>
      </c>
      <c r="I227" s="3" t="str">
        <f>_xlfn.IFNA(INDEX(FieldDisagreements!D2:D999, MATCH(C227,FieldDisagreements!A2:A999, 0)), "")</f>
        <v>Steps.StaleBindingCount</v>
      </c>
      <c r="J227" s="2" t="s">
        <v>1906</v>
      </c>
    </row>
    <row r="228">
      <c r="A228" s="2" t="s">
        <v>15359</v>
      </c>
      <c r="B228" s="3" t="str">
        <f>_xlfn.CONCAT(C228, " @ ", D228)</f>
        <v>effortless-xlsx|Steps.StaleBindingCount @ policy-07</v>
      </c>
      <c r="C228" s="2" t="s">
        <v>14640</v>
      </c>
      <c r="D228" s="2" t="s">
        <v>597</v>
      </c>
      <c r="E228" s="2" t="s">
        <v>37</v>
      </c>
      <c r="F228" s="2" t="s">
        <v>935</v>
      </c>
      <c r="G228" s="2" t="s">
        <v>14591</v>
      </c>
      <c r="H228" s="3" t="str">
        <f>_xlfn.IFNA(INDEX(FieldDisagreements!C2:C999, MATCH(C228,FieldDisagreements!A2:A999, 0)), "")</f>
        <v>effortless-xlsx</v>
      </c>
      <c r="I228" s="3" t="str">
        <f>_xlfn.IFNA(INDEX(FieldDisagreements!D2:D999, MATCH(C228,FieldDisagreements!A2:A999, 0)), "")</f>
        <v>Steps.StaleBindingCount</v>
      </c>
      <c r="J228" s="2" t="s">
        <v>1906</v>
      </c>
    </row>
    <row r="229">
      <c r="A229" s="2" t="s">
        <v>15360</v>
      </c>
      <c r="B229" s="3" t="str">
        <f>_xlfn.CONCAT(C229, " @ ", D229)</f>
        <v>effortless-xlsx|Steps.AuthoritativeStaleCount @ close-02</v>
      </c>
      <c r="C229" s="2" t="s">
        <v>14641</v>
      </c>
      <c r="D229" s="2" t="s">
        <v>543</v>
      </c>
      <c r="E229" s="2" t="s">
        <v>37</v>
      </c>
      <c r="F229" s="2" t="s">
        <v>935</v>
      </c>
      <c r="G229" s="2" t="s">
        <v>14591</v>
      </c>
      <c r="H229" s="3" t="str">
        <f>_xlfn.IFNA(INDEX(FieldDisagreements!C2:C999, MATCH(C229,FieldDisagreements!A2:A999, 0)), "")</f>
        <v>effortless-xlsx</v>
      </c>
      <c r="I229" s="3" t="str">
        <f>_xlfn.IFNA(INDEX(FieldDisagreements!D2:D999, MATCH(C229,FieldDisagreements!A2:A999, 0)), "")</f>
        <v>Steps.AuthoritativeStaleCount</v>
      </c>
      <c r="J229" s="2" t="s">
        <v>1906</v>
      </c>
    </row>
    <row r="230">
      <c r="A230" s="2" t="s">
        <v>15361</v>
      </c>
      <c r="B230" s="3" t="str">
        <f>_xlfn.CONCAT(C230, " @ ", D230)</f>
        <v>effortless-xlsx|Steps.AuthoritativeStaleCount @ policy-01</v>
      </c>
      <c r="C230" s="2" t="s">
        <v>14641</v>
      </c>
      <c r="D230" s="2" t="s">
        <v>578</v>
      </c>
      <c r="E230" s="2" t="s">
        <v>37</v>
      </c>
      <c r="F230" s="2" t="s">
        <v>935</v>
      </c>
      <c r="G230" s="2" t="s">
        <v>14591</v>
      </c>
      <c r="H230" s="3" t="str">
        <f>_xlfn.IFNA(INDEX(FieldDisagreements!C2:C999, MATCH(C230,FieldDisagreements!A2:A999, 0)), "")</f>
        <v>effortless-xlsx</v>
      </c>
      <c r="I230" s="3" t="str">
        <f>_xlfn.IFNA(INDEX(FieldDisagreements!D2:D999, MATCH(C230,FieldDisagreements!A2:A999, 0)), "")</f>
        <v>Steps.AuthoritativeStaleCount</v>
      </c>
      <c r="J230" s="2" t="s">
        <v>1906</v>
      </c>
    </row>
    <row r="231">
      <c r="A231" s="2" t="s">
        <v>15362</v>
      </c>
      <c r="B231" s="3" t="str">
        <f>_xlfn.CONCAT(C231, " @ ", D231)</f>
        <v>effortless-xlsx|Steps.AuthoritativeStaleCount @ policy-07</v>
      </c>
      <c r="C231" s="2" t="s">
        <v>14641</v>
      </c>
      <c r="D231" s="2" t="s">
        <v>597</v>
      </c>
      <c r="E231" s="2" t="s">
        <v>37</v>
      </c>
      <c r="F231" s="2" t="s">
        <v>935</v>
      </c>
      <c r="G231" s="2" t="s">
        <v>14591</v>
      </c>
      <c r="H231" s="3" t="str">
        <f>_xlfn.IFNA(INDEX(FieldDisagreements!C2:C999, MATCH(C231,FieldDisagreements!A2:A999, 0)), "")</f>
        <v>effortless-xlsx</v>
      </c>
      <c r="I231" s="3" t="str">
        <f>_xlfn.IFNA(INDEX(FieldDisagreements!D2:D999, MATCH(C231,FieldDisagreements!A2:A999, 0)), "")</f>
        <v>Steps.AuthoritativeStaleCount</v>
      </c>
      <c r="J231" s="2" t="s">
        <v>1906</v>
      </c>
    </row>
    <row r="232">
      <c r="A232" s="2" t="s">
        <v>15363</v>
      </c>
      <c r="B232" s="3" t="str">
        <f>_xlfn.CONCAT(C232, " @ ", D232)</f>
        <v>effortless-xlsx|Steps.StaleAuthoritativeBindingCount @ close-02</v>
      </c>
      <c r="C232" s="2" t="s">
        <v>14642</v>
      </c>
      <c r="D232" s="2" t="s">
        <v>543</v>
      </c>
      <c r="E232" s="2" t="s">
        <v>37</v>
      </c>
      <c r="F232" s="2" t="s">
        <v>935</v>
      </c>
      <c r="G232" s="2" t="s">
        <v>14591</v>
      </c>
      <c r="H232" s="3" t="str">
        <f>_xlfn.IFNA(INDEX(FieldDisagreements!C2:C999, MATCH(C232,FieldDisagreements!A2:A999, 0)), "")</f>
        <v>effortless-xlsx</v>
      </c>
      <c r="I232" s="3" t="str">
        <f>_xlfn.IFNA(INDEX(FieldDisagreements!D2:D999, MATCH(C232,FieldDisagreements!A2:A999, 0)), "")</f>
        <v>Steps.StaleAuthoritativeBindingCount</v>
      </c>
      <c r="J232" s="2" t="s">
        <v>1906</v>
      </c>
    </row>
    <row r="233">
      <c r="A233" s="2" t="s">
        <v>15364</v>
      </c>
      <c r="B233" s="3" t="str">
        <f>_xlfn.CONCAT(C233, " @ ", D233)</f>
        <v>effortless-xlsx|Steps.StaleAuthoritativeBindingCount @ policy-01</v>
      </c>
      <c r="C233" s="2" t="s">
        <v>14642</v>
      </c>
      <c r="D233" s="2" t="s">
        <v>578</v>
      </c>
      <c r="E233" s="2" t="s">
        <v>37</v>
      </c>
      <c r="F233" s="2" t="s">
        <v>935</v>
      </c>
      <c r="G233" s="2" t="s">
        <v>14591</v>
      </c>
      <c r="H233" s="3" t="str">
        <f>_xlfn.IFNA(INDEX(FieldDisagreements!C2:C999, MATCH(C233,FieldDisagreements!A2:A999, 0)), "")</f>
        <v>effortless-xlsx</v>
      </c>
      <c r="I233" s="3" t="str">
        <f>_xlfn.IFNA(INDEX(FieldDisagreements!D2:D999, MATCH(C233,FieldDisagreements!A2:A999, 0)), "")</f>
        <v>Steps.StaleAuthoritativeBindingCount</v>
      </c>
      <c r="J233" s="2" t="s">
        <v>1906</v>
      </c>
    </row>
    <row r="234">
      <c r="A234" s="2" t="s">
        <v>15365</v>
      </c>
      <c r="B234" s="3" t="str">
        <f>_xlfn.CONCAT(C234, " @ ", D234)</f>
        <v>effortless-xlsx|Steps.StaleAuthoritativeBindingCount @ policy-07</v>
      </c>
      <c r="C234" s="2" t="s">
        <v>14642</v>
      </c>
      <c r="D234" s="2" t="s">
        <v>597</v>
      </c>
      <c r="E234" s="2" t="s">
        <v>37</v>
      </c>
      <c r="F234" s="2" t="s">
        <v>935</v>
      </c>
      <c r="G234" s="2" t="s">
        <v>14591</v>
      </c>
      <c r="H234" s="3" t="str">
        <f>_xlfn.IFNA(INDEX(FieldDisagreements!C2:C999, MATCH(C234,FieldDisagreements!A2:A999, 0)), "")</f>
        <v>effortless-xlsx</v>
      </c>
      <c r="I234" s="3" t="str">
        <f>_xlfn.IFNA(INDEX(FieldDisagreements!D2:D999, MATCH(C234,FieldDisagreements!A2:A999, 0)), "")</f>
        <v>Steps.StaleAuthoritativeBindingCount</v>
      </c>
      <c r="J234" s="2" t="s">
        <v>1906</v>
      </c>
    </row>
    <row r="235">
      <c r="A235" s="2" t="s">
        <v>15366</v>
      </c>
      <c r="B235" s="3" t="str">
        <f>_xlfn.CONCAT(C235, " @ ", D235)</f>
        <v>effortless-xlsx|Steps.InputsAreFresh @ close-02</v>
      </c>
      <c r="C235" s="2" t="s">
        <v>14643</v>
      </c>
      <c r="D235" s="2" t="s">
        <v>543</v>
      </c>
      <c r="E235" s="2" t="s">
        <v>15057</v>
      </c>
      <c r="F235" s="2" t="s">
        <v>15035</v>
      </c>
      <c r="G235" s="2" t="s">
        <v>14591</v>
      </c>
      <c r="H235" s="3" t="str">
        <f>_xlfn.IFNA(INDEX(FieldDisagreements!C2:C999, MATCH(C235,FieldDisagreements!A2:A999, 0)), "")</f>
        <v>effortless-xlsx</v>
      </c>
      <c r="I235" s="3" t="str">
        <f>_xlfn.IFNA(INDEX(FieldDisagreements!D2:D999, MATCH(C235,FieldDisagreements!A2:A999, 0)), "")</f>
        <v>Steps.InputsAreFresh</v>
      </c>
      <c r="J235" s="2" t="s">
        <v>1906</v>
      </c>
    </row>
    <row r="236">
      <c r="A236" s="2" t="s">
        <v>15367</v>
      </c>
      <c r="B236" s="3" t="str">
        <f>_xlfn.CONCAT(C236, " @ ", D236)</f>
        <v>effortless-xlsx|Steps.InputsAreFresh @ policy-01</v>
      </c>
      <c r="C236" s="2" t="s">
        <v>14643</v>
      </c>
      <c r="D236" s="2" t="s">
        <v>578</v>
      </c>
      <c r="E236" s="2" t="s">
        <v>15057</v>
      </c>
      <c r="F236" s="2" t="s">
        <v>15035</v>
      </c>
      <c r="G236" s="2" t="s">
        <v>14591</v>
      </c>
      <c r="H236" s="3" t="str">
        <f>_xlfn.IFNA(INDEX(FieldDisagreements!C2:C999, MATCH(C236,FieldDisagreements!A2:A999, 0)), "")</f>
        <v>effortless-xlsx</v>
      </c>
      <c r="I236" s="3" t="str">
        <f>_xlfn.IFNA(INDEX(FieldDisagreements!D2:D999, MATCH(C236,FieldDisagreements!A2:A999, 0)), "")</f>
        <v>Steps.InputsAreFresh</v>
      </c>
      <c r="J236" s="2" t="s">
        <v>1906</v>
      </c>
    </row>
    <row r="237">
      <c r="A237" s="2" t="s">
        <v>15368</v>
      </c>
      <c r="B237" s="3" t="str">
        <f>_xlfn.CONCAT(C237, " @ ", D237)</f>
        <v>effortless-xlsx|Steps.InputsAreFresh @ policy-07</v>
      </c>
      <c r="C237" s="2" t="s">
        <v>14643</v>
      </c>
      <c r="D237" s="2" t="s">
        <v>597</v>
      </c>
      <c r="E237" s="2" t="s">
        <v>15057</v>
      </c>
      <c r="F237" s="2" t="s">
        <v>15035</v>
      </c>
      <c r="G237" s="2" t="s">
        <v>14591</v>
      </c>
      <c r="H237" s="3" t="str">
        <f>_xlfn.IFNA(INDEX(FieldDisagreements!C2:C999, MATCH(C237,FieldDisagreements!A2:A999, 0)), "")</f>
        <v>effortless-xlsx</v>
      </c>
      <c r="I237" s="3" t="str">
        <f>_xlfn.IFNA(INDEX(FieldDisagreements!D2:D999, MATCH(C237,FieldDisagreements!A2:A999, 0)), "")</f>
        <v>Steps.InputsAreFresh</v>
      </c>
      <c r="J237" s="2" t="s">
        <v>1906</v>
      </c>
    </row>
    <row r="238">
      <c r="A238" s="2" t="s">
        <v>15369</v>
      </c>
      <c r="B238" s="3" t="str">
        <f>_xlfn.CONCAT(C238, " @ ", D238)</f>
        <v>effortless-xlsx|Steps.UnusableBindingCount @ close-02</v>
      </c>
      <c r="C238" s="2" t="s">
        <v>14644</v>
      </c>
      <c r="D238" s="2" t="s">
        <v>543</v>
      </c>
      <c r="E238" s="2" t="s">
        <v>37</v>
      </c>
      <c r="F238" s="2" t="s">
        <v>935</v>
      </c>
      <c r="G238" s="2" t="s">
        <v>14591</v>
      </c>
      <c r="H238" s="3" t="str">
        <f>_xlfn.IFNA(INDEX(FieldDisagreements!C2:C999, MATCH(C238,FieldDisagreements!A2:A999, 0)), "")</f>
        <v>effortless-xlsx</v>
      </c>
      <c r="I238" s="3" t="str">
        <f>_xlfn.IFNA(INDEX(FieldDisagreements!D2:D999, MATCH(C238,FieldDisagreements!A2:A999, 0)), "")</f>
        <v>Steps.UnusableBindingCount</v>
      </c>
      <c r="J238" s="2" t="s">
        <v>1906</v>
      </c>
    </row>
    <row r="239">
      <c r="A239" s="2" t="s">
        <v>15370</v>
      </c>
      <c r="B239" s="3" t="str">
        <f>_xlfn.CONCAT(C239, " @ ", D239)</f>
        <v>effortless-xlsx|Steps.UnusableBindingCount @ policy-01</v>
      </c>
      <c r="C239" s="2" t="s">
        <v>14644</v>
      </c>
      <c r="D239" s="2" t="s">
        <v>578</v>
      </c>
      <c r="E239" s="2" t="s">
        <v>37</v>
      </c>
      <c r="F239" s="2" t="s">
        <v>935</v>
      </c>
      <c r="G239" s="2" t="s">
        <v>14591</v>
      </c>
      <c r="H239" s="3" t="str">
        <f>_xlfn.IFNA(INDEX(FieldDisagreements!C2:C999, MATCH(C239,FieldDisagreements!A2:A999, 0)), "")</f>
        <v>effortless-xlsx</v>
      </c>
      <c r="I239" s="3" t="str">
        <f>_xlfn.IFNA(INDEX(FieldDisagreements!D2:D999, MATCH(C239,FieldDisagreements!A2:A999, 0)), "")</f>
        <v>Steps.UnusableBindingCount</v>
      </c>
      <c r="J239" s="2" t="s">
        <v>1906</v>
      </c>
    </row>
    <row r="240">
      <c r="A240" s="2" t="s">
        <v>15371</v>
      </c>
      <c r="B240" s="3" t="str">
        <f>_xlfn.CONCAT(C240, " @ ", D240)</f>
        <v>effortless-xlsx|Steps.UnusableBindingCount @ policy-07</v>
      </c>
      <c r="C240" s="2" t="s">
        <v>14644</v>
      </c>
      <c r="D240" s="2" t="s">
        <v>597</v>
      </c>
      <c r="E240" s="2" t="s">
        <v>51</v>
      </c>
      <c r="F240" s="2" t="s">
        <v>935</v>
      </c>
      <c r="G240" s="2" t="s">
        <v>14591</v>
      </c>
      <c r="H240" s="3" t="str">
        <f>_xlfn.IFNA(INDEX(FieldDisagreements!C2:C999, MATCH(C240,FieldDisagreements!A2:A999, 0)), "")</f>
        <v>effortless-xlsx</v>
      </c>
      <c r="I240" s="3" t="str">
        <f>_xlfn.IFNA(INDEX(FieldDisagreements!D2:D999, MATCH(C240,FieldDisagreements!A2:A999, 0)), "")</f>
        <v>Steps.UnusableBindingCount</v>
      </c>
      <c r="J240" s="2" t="s">
        <v>1906</v>
      </c>
    </row>
    <row r="241">
      <c r="A241" s="2" t="s">
        <v>15372</v>
      </c>
      <c r="B241" s="3" t="str">
        <f>_xlfn.CONCAT(C241, " @ ", D241)</f>
        <v>effortless-xlsx|Steps.AllSourcesUsable @ close-02</v>
      </c>
      <c r="C241" s="2" t="s">
        <v>14645</v>
      </c>
      <c r="D241" s="2" t="s">
        <v>543</v>
      </c>
      <c r="E241" s="2" t="s">
        <v>15057</v>
      </c>
      <c r="F241" s="2" t="s">
        <v>15035</v>
      </c>
      <c r="G241" s="2" t="s">
        <v>14591</v>
      </c>
      <c r="H241" s="3" t="str">
        <f>_xlfn.IFNA(INDEX(FieldDisagreements!C2:C999, MATCH(C241,FieldDisagreements!A2:A999, 0)), "")</f>
        <v>effortless-xlsx</v>
      </c>
      <c r="I241" s="3" t="str">
        <f>_xlfn.IFNA(INDEX(FieldDisagreements!D2:D999, MATCH(C241,FieldDisagreements!A2:A999, 0)), "")</f>
        <v>Steps.AllSourcesUsable</v>
      </c>
      <c r="J241" s="2" t="s">
        <v>1906</v>
      </c>
    </row>
    <row r="242">
      <c r="A242" s="2" t="s">
        <v>15373</v>
      </c>
      <c r="B242" s="3" t="str">
        <f>_xlfn.CONCAT(C242, " @ ", D242)</f>
        <v>effortless-xlsx|Steps.AllSourcesUsable @ policy-01</v>
      </c>
      <c r="C242" s="2" t="s">
        <v>14645</v>
      </c>
      <c r="D242" s="2" t="s">
        <v>578</v>
      </c>
      <c r="E242" s="2" t="s">
        <v>15057</v>
      </c>
      <c r="F242" s="2" t="s">
        <v>15035</v>
      </c>
      <c r="G242" s="2" t="s">
        <v>14591</v>
      </c>
      <c r="H242" s="3" t="str">
        <f>_xlfn.IFNA(INDEX(FieldDisagreements!C2:C999, MATCH(C242,FieldDisagreements!A2:A999, 0)), "")</f>
        <v>effortless-xlsx</v>
      </c>
      <c r="I242" s="3" t="str">
        <f>_xlfn.IFNA(INDEX(FieldDisagreements!D2:D999, MATCH(C242,FieldDisagreements!A2:A999, 0)), "")</f>
        <v>Steps.AllSourcesUsable</v>
      </c>
      <c r="J242" s="2" t="s">
        <v>1906</v>
      </c>
    </row>
    <row r="243">
      <c r="A243" s="2" t="s">
        <v>15374</v>
      </c>
      <c r="B243" s="3" t="str">
        <f>_xlfn.CONCAT(C243, " @ ", D243)</f>
        <v>effortless-xlsx|Steps.AllSourcesUsable @ policy-07</v>
      </c>
      <c r="C243" s="2" t="s">
        <v>14645</v>
      </c>
      <c r="D243" s="2" t="s">
        <v>597</v>
      </c>
      <c r="E243" s="2" t="s">
        <v>15057</v>
      </c>
      <c r="F243" s="2" t="s">
        <v>15035</v>
      </c>
      <c r="G243" s="2" t="s">
        <v>14591</v>
      </c>
      <c r="H243" s="3" t="str">
        <f>_xlfn.IFNA(INDEX(FieldDisagreements!C2:C999, MATCH(C243,FieldDisagreements!A2:A999, 0)), "")</f>
        <v>effortless-xlsx</v>
      </c>
      <c r="I243" s="3" t="str">
        <f>_xlfn.IFNA(INDEX(FieldDisagreements!D2:D999, MATCH(C243,FieldDisagreements!A2:A999, 0)), "")</f>
        <v>Steps.AllSourcesUsable</v>
      </c>
      <c r="J243" s="2" t="s">
        <v>1906</v>
      </c>
    </row>
    <row r="244">
      <c r="A244" s="2" t="s">
        <v>15375</v>
      </c>
      <c r="B244" s="3" t="str">
        <f>_xlfn.CONCAT(C244, " @ ", D244)</f>
        <v>effortless-xlsx|Steps.UnwarrantedBoundaryCount @ close-06</v>
      </c>
      <c r="C244" s="2" t="s">
        <v>14646</v>
      </c>
      <c r="D244" s="2" t="s">
        <v>563</v>
      </c>
      <c r="E244" s="2" t="s">
        <v>37</v>
      </c>
      <c r="F244" s="2" t="s">
        <v>935</v>
      </c>
      <c r="G244" s="2" t="s">
        <v>14591</v>
      </c>
      <c r="H244" s="3" t="str">
        <f>_xlfn.IFNA(INDEX(FieldDisagreements!C2:C999, MATCH(C244,FieldDisagreements!A2:A999, 0)), "")</f>
        <v>effortless-xlsx</v>
      </c>
      <c r="I244" s="3" t="str">
        <f>_xlfn.IFNA(INDEX(FieldDisagreements!D2:D999, MATCH(C244,FieldDisagreements!A2:A999, 0)), "")</f>
        <v>Steps.UnwarrantedBoundaryCount</v>
      </c>
      <c r="J244" s="2" t="s">
        <v>1906</v>
      </c>
    </row>
    <row r="245">
      <c r="A245" s="2" t="s">
        <v>15376</v>
      </c>
      <c r="B245" s="3" t="str">
        <f>_xlfn.CONCAT(C245, " @ ", D245)</f>
        <v>effortless-xlsx|Steps.IsGovernedByUnwarrantedBoundary @ close-06</v>
      </c>
      <c r="C245" s="2" t="s">
        <v>14647</v>
      </c>
      <c r="D245" s="2" t="s">
        <v>563</v>
      </c>
      <c r="E245" s="2" t="s">
        <v>15035</v>
      </c>
      <c r="F245" s="2" t="s">
        <v>15057</v>
      </c>
      <c r="G245" s="2" t="s">
        <v>14591</v>
      </c>
      <c r="H245" s="3" t="str">
        <f>_xlfn.IFNA(INDEX(FieldDisagreements!C2:C999, MATCH(C245,FieldDisagreements!A2:A999, 0)), "")</f>
        <v>effortless-xlsx</v>
      </c>
      <c r="I245" s="3" t="str">
        <f>_xlfn.IFNA(INDEX(FieldDisagreements!D2:D999, MATCH(C245,FieldDisagreements!A2:A999, 0)), "")</f>
        <v>Steps.IsGovernedByUnwarrantedBoundary</v>
      </c>
      <c r="J245" s="2" t="s">
        <v>1906</v>
      </c>
    </row>
    <row r="246">
      <c r="A246" s="2" t="s">
        <v>15377</v>
      </c>
      <c r="B246" s="3" t="str">
        <f>_xlfn.CONCAT(C246, " @ ", D246)</f>
        <v>effortless-xlsx|Requirements.NamedWitnessFieldExists @ req-close-balance</v>
      </c>
      <c r="C246" s="2" t="s">
        <v>14648</v>
      </c>
      <c r="D246" s="2" t="s">
        <v>827</v>
      </c>
      <c r="E246" s="2" t="s">
        <v>15035</v>
      </c>
      <c r="F246" s="2" t="s">
        <v>15036</v>
      </c>
      <c r="G246" s="2" t="s">
        <v>14591</v>
      </c>
      <c r="H246" s="3" t="str">
        <f>_xlfn.IFNA(INDEX(FieldDisagreements!C2:C999, MATCH(C246,FieldDisagreements!A2:A999, 0)), "")</f>
        <v>effortless-xlsx</v>
      </c>
      <c r="I246" s="3" t="str">
        <f>_xlfn.IFNA(INDEX(FieldDisagreements!D2:D999, MATCH(C246,FieldDisagreements!A2:A999, 0)), "")</f>
        <v>Requirements.NamedWitnessFieldExists</v>
      </c>
      <c r="J246" s="2" t="s">
        <v>1906</v>
      </c>
    </row>
    <row r="247">
      <c r="A247" s="2" t="s">
        <v>15378</v>
      </c>
      <c r="B247" s="3" t="str">
        <f>_xlfn.CONCAT(C247, " @ ", D247)</f>
        <v>effortless-xlsx|Requirements.NamedWitnessFieldExists @ req-close-cutoff</v>
      </c>
      <c r="C247" s="2" t="s">
        <v>14648</v>
      </c>
      <c r="D247" s="2" t="s">
        <v>819</v>
      </c>
      <c r="E247" s="2" t="s">
        <v>15035</v>
      </c>
      <c r="F247" s="2" t="s">
        <v>15036</v>
      </c>
      <c r="G247" s="2" t="s">
        <v>14591</v>
      </c>
      <c r="H247" s="3" t="str">
        <f>_xlfn.IFNA(INDEX(FieldDisagreements!C2:C999, MATCH(C247,FieldDisagreements!A2:A999, 0)), "")</f>
        <v>effortless-xlsx</v>
      </c>
      <c r="I247" s="3" t="str">
        <f>_xlfn.IFNA(INDEX(FieldDisagreements!D2:D999, MATCH(C247,FieldDisagreements!A2:A999, 0)), "")</f>
        <v>Requirements.NamedWitnessFieldExists</v>
      </c>
      <c r="J247" s="2" t="s">
        <v>1906</v>
      </c>
    </row>
    <row r="248">
      <c r="A248" s="2" t="s">
        <v>15379</v>
      </c>
      <c r="B248" s="3" t="str">
        <f>_xlfn.CONCAT(C248, " @ ", D248)</f>
        <v>effortless-xlsx|Requirements.HasMeaningfulSample @ req-close-balance</v>
      </c>
      <c r="C248" s="2" t="s">
        <v>14649</v>
      </c>
      <c r="D248" s="2" t="s">
        <v>827</v>
      </c>
      <c r="E248" s="2" t="s">
        <v>15057</v>
      </c>
      <c r="F248" s="2" t="s">
        <v>15035</v>
      </c>
      <c r="G248" s="2" t="s">
        <v>14591</v>
      </c>
      <c r="H248" s="3" t="str">
        <f>_xlfn.IFNA(INDEX(FieldDisagreements!C2:C999, MATCH(C248,FieldDisagreements!A2:A999, 0)), "")</f>
        <v>effortless-xlsx</v>
      </c>
      <c r="I248" s="3" t="str">
        <f>_xlfn.IFNA(INDEX(FieldDisagreements!D2:D999, MATCH(C248,FieldDisagreements!A2:A999, 0)), "")</f>
        <v>Requirements.HasMeaningfulSample</v>
      </c>
      <c r="J248" s="2" t="s">
        <v>1906</v>
      </c>
    </row>
    <row r="249">
      <c r="A249" s="2" t="s">
        <v>15380</v>
      </c>
      <c r="B249" s="3" t="str">
        <f>_xlfn.CONCAT(C249, " @ ", D249)</f>
        <v>effortless-xlsx|Requirements.HasMeaningfulSample @ req-close-cutoff</v>
      </c>
      <c r="C249" s="2" t="s">
        <v>14649</v>
      </c>
      <c r="D249" s="2" t="s">
        <v>819</v>
      </c>
      <c r="E249" s="2" t="s">
        <v>15057</v>
      </c>
      <c r="F249" s="2" t="s">
        <v>15035</v>
      </c>
      <c r="G249" s="2" t="s">
        <v>14591</v>
      </c>
      <c r="H249" s="3" t="str">
        <f>_xlfn.IFNA(INDEX(FieldDisagreements!C2:C999, MATCH(C249,FieldDisagreements!A2:A999, 0)), "")</f>
        <v>effortless-xlsx</v>
      </c>
      <c r="I249" s="3" t="str">
        <f>_xlfn.IFNA(INDEX(FieldDisagreements!D2:D999, MATCH(C249,FieldDisagreements!A2:A999, 0)), "")</f>
        <v>Requirements.HasMeaningfulSample</v>
      </c>
      <c r="J249" s="2" t="s">
        <v>1906</v>
      </c>
    </row>
    <row r="250">
      <c r="A250" s="2" t="s">
        <v>15381</v>
      </c>
      <c r="B250" s="3" t="str">
        <f>_xlfn.CONCAT(C250, " @ ", D250)</f>
        <v>effortless-xlsx|Requirements.HasMeaningfulSample @ req-close-evidence</v>
      </c>
      <c r="C250" s="2" t="s">
        <v>14649</v>
      </c>
      <c r="D250" s="2" t="s">
        <v>840</v>
      </c>
      <c r="E250" s="2" t="s">
        <v>15057</v>
      </c>
      <c r="F250" s="2" t="s">
        <v>15035</v>
      </c>
      <c r="G250" s="2" t="s">
        <v>14591</v>
      </c>
      <c r="H250" s="3" t="str">
        <f>_xlfn.IFNA(INDEX(FieldDisagreements!C2:C999, MATCH(C250,FieldDisagreements!A2:A999, 0)), "")</f>
        <v>effortless-xlsx</v>
      </c>
      <c r="I250" s="3" t="str">
        <f>_xlfn.IFNA(INDEX(FieldDisagreements!D2:D999, MATCH(C250,FieldDisagreements!A2:A999, 0)), "")</f>
        <v>Requirements.HasMeaningfulSample</v>
      </c>
      <c r="J250" s="2" t="s">
        <v>1906</v>
      </c>
    </row>
    <row r="251">
      <c r="A251" s="2" t="s">
        <v>15382</v>
      </c>
      <c r="B251" s="3" t="str">
        <f>_xlfn.CONCAT(C251, " @ ", D251)</f>
        <v>effortless-xlsx|Requirements.HasMeaningfulSample @ req-close-human-approval</v>
      </c>
      <c r="C251" s="2" t="s">
        <v>14649</v>
      </c>
      <c r="D251" s="2" t="s">
        <v>847</v>
      </c>
      <c r="E251" s="2" t="s">
        <v>15057</v>
      </c>
      <c r="F251" s="2" t="s">
        <v>15035</v>
      </c>
      <c r="G251" s="2" t="s">
        <v>14591</v>
      </c>
      <c r="H251" s="3" t="str">
        <f>_xlfn.IFNA(INDEX(FieldDisagreements!C2:C999, MATCH(C251,FieldDisagreements!A2:A999, 0)), "")</f>
        <v>effortless-xlsx</v>
      </c>
      <c r="I251" s="3" t="str">
        <f>_xlfn.IFNA(INDEX(FieldDisagreements!D2:D999, MATCH(C251,FieldDisagreements!A2:A999, 0)), "")</f>
        <v>Requirements.HasMeaningfulSample</v>
      </c>
      <c r="J251" s="2" t="s">
        <v>1906</v>
      </c>
    </row>
    <row r="252">
      <c r="A252" s="2" t="s">
        <v>15383</v>
      </c>
      <c r="B252" s="3" t="str">
        <f>_xlfn.CONCAT(C252, " @ ", D252)</f>
        <v>effortless-xlsx|Requirements.HasMeaningfulSample @ req-close-separation</v>
      </c>
      <c r="C252" s="2" t="s">
        <v>14649</v>
      </c>
      <c r="D252" s="2" t="s">
        <v>833</v>
      </c>
      <c r="E252" s="2" t="s">
        <v>15057</v>
      </c>
      <c r="F252" s="2" t="s">
        <v>15035</v>
      </c>
      <c r="G252" s="2" t="s">
        <v>14591</v>
      </c>
      <c r="H252" s="3" t="str">
        <f>_xlfn.IFNA(INDEX(FieldDisagreements!C2:C999, MATCH(C252,FieldDisagreements!A2:A999, 0)), "")</f>
        <v>effortless-xlsx</v>
      </c>
      <c r="I252" s="3" t="str">
        <f>_xlfn.IFNA(INDEX(FieldDisagreements!D2:D999, MATCH(C252,FieldDisagreements!A2:A999, 0)), "")</f>
        <v>Requirements.HasMeaningfulSample</v>
      </c>
      <c r="J252" s="2" t="s">
        <v>1906</v>
      </c>
    </row>
    <row r="253">
      <c r="A253" s="2" t="s">
        <v>15384</v>
      </c>
      <c r="B253" s="3" t="str">
        <f>_xlfn.CONCAT(C253, " @ ", D253)</f>
        <v>effortless-xlsx|Requirements.HasMeaningfulSample @ req-policy-accessibility</v>
      </c>
      <c r="C253" s="2" t="s">
        <v>14649</v>
      </c>
      <c r="D253" s="2" t="s">
        <v>887</v>
      </c>
      <c r="E253" s="2" t="s">
        <v>15057</v>
      </c>
      <c r="F253" s="2" t="s">
        <v>15035</v>
      </c>
      <c r="G253" s="2" t="s">
        <v>14591</v>
      </c>
      <c r="H253" s="3" t="str">
        <f>_xlfn.IFNA(INDEX(FieldDisagreements!C2:C999, MATCH(C253,FieldDisagreements!A2:A999, 0)), "")</f>
        <v>effortless-xlsx</v>
      </c>
      <c r="I253" s="3" t="str">
        <f>_xlfn.IFNA(INDEX(FieldDisagreements!D2:D999, MATCH(C253,FieldDisagreements!A2:A999, 0)), "")</f>
        <v>Requirements.HasMeaningfulSample</v>
      </c>
      <c r="J253" s="2" t="s">
        <v>1906</v>
      </c>
    </row>
    <row r="254">
      <c r="A254" s="2" t="s">
        <v>15385</v>
      </c>
      <c r="B254" s="3" t="str">
        <f>_xlfn.CONCAT(C254, " @ ", D254)</f>
        <v>effortless-xlsx|Requirements.HasMeaningfulSample @ req-policy-consent</v>
      </c>
      <c r="C254" s="2" t="s">
        <v>14649</v>
      </c>
      <c r="D254" s="2" t="s">
        <v>866</v>
      </c>
      <c r="E254" s="2" t="s">
        <v>15057</v>
      </c>
      <c r="F254" s="2" t="s">
        <v>15035</v>
      </c>
      <c r="G254" s="2" t="s">
        <v>14591</v>
      </c>
      <c r="H254" s="3" t="str">
        <f>_xlfn.IFNA(INDEX(FieldDisagreements!C2:C999, MATCH(C254,FieldDisagreements!A2:A999, 0)), "")</f>
        <v>effortless-xlsx</v>
      </c>
      <c r="I254" s="3" t="str">
        <f>_xlfn.IFNA(INDEX(FieldDisagreements!D2:D999, MATCH(C254,FieldDisagreements!A2:A999, 0)), "")</f>
        <v>Requirements.HasMeaningfulSample</v>
      </c>
      <c r="J254" s="2" t="s">
        <v>1906</v>
      </c>
    </row>
    <row r="255">
      <c r="A255" s="2" t="s">
        <v>15386</v>
      </c>
      <c r="B255" s="3" t="str">
        <f>_xlfn.CONCAT(C255, " @ ", D255)</f>
        <v>effortless-xlsx|Requirements.HasMeaningfulSample @ req-policy-human-approval</v>
      </c>
      <c r="C255" s="2" t="s">
        <v>14649</v>
      </c>
      <c r="D255" s="2" t="s">
        <v>862</v>
      </c>
      <c r="E255" s="2" t="s">
        <v>15057</v>
      </c>
      <c r="F255" s="2" t="s">
        <v>15035</v>
      </c>
      <c r="G255" s="2" t="s">
        <v>14591</v>
      </c>
      <c r="H255" s="3" t="str">
        <f>_xlfn.IFNA(INDEX(FieldDisagreements!C2:C999, MATCH(C255,FieldDisagreements!A2:A999, 0)), "")</f>
        <v>effortless-xlsx</v>
      </c>
      <c r="I255" s="3" t="str">
        <f>_xlfn.IFNA(INDEX(FieldDisagreements!D2:D999, MATCH(C255,FieldDisagreements!A2:A999, 0)), "")</f>
        <v>Requirements.HasMeaningfulSample</v>
      </c>
      <c r="J255" s="2" t="s">
        <v>1906</v>
      </c>
    </row>
    <row r="256">
      <c r="A256" s="2" t="s">
        <v>15387</v>
      </c>
      <c r="B256" s="3" t="str">
        <f>_xlfn.CONCAT(C256, " @ ", D256)</f>
        <v>effortless-xlsx|Requirements.HasMeaningfulSample @ req-policy-legal</v>
      </c>
      <c r="C256" s="2" t="s">
        <v>14649</v>
      </c>
      <c r="D256" s="2" t="s">
        <v>857</v>
      </c>
      <c r="E256" s="2" t="s">
        <v>15057</v>
      </c>
      <c r="F256" s="2" t="s">
        <v>15035</v>
      </c>
      <c r="G256" s="2" t="s">
        <v>14591</v>
      </c>
      <c r="H256" s="3" t="str">
        <f>_xlfn.IFNA(INDEX(FieldDisagreements!C2:C999, MATCH(C256,FieldDisagreements!A2:A999, 0)), "")</f>
        <v>effortless-xlsx</v>
      </c>
      <c r="I256" s="3" t="str">
        <f>_xlfn.IFNA(INDEX(FieldDisagreements!D2:D999, MATCH(C256,FieldDisagreements!A2:A999, 0)), "")</f>
        <v>Requirements.HasMeaningfulSample</v>
      </c>
      <c r="J256" s="2" t="s">
        <v>1906</v>
      </c>
    </row>
    <row r="257">
      <c r="A257" s="2" t="s">
        <v>15388</v>
      </c>
      <c r="B257" s="3" t="str">
        <f>_xlfn.CONCAT(C257, " @ ", D257)</f>
        <v>effortless-xlsx|Requirements.HasMeaningfulSample @ req-policy-optout</v>
      </c>
      <c r="C257" s="2" t="s">
        <v>14649</v>
      </c>
      <c r="D257" s="2" t="s">
        <v>878</v>
      </c>
      <c r="E257" s="2" t="s">
        <v>15057</v>
      </c>
      <c r="F257" s="2" t="s">
        <v>15035</v>
      </c>
      <c r="G257" s="2" t="s">
        <v>14591</v>
      </c>
      <c r="H257" s="3" t="str">
        <f>_xlfn.IFNA(INDEX(FieldDisagreements!C2:C999, MATCH(C257,FieldDisagreements!A2:A999, 0)), "")</f>
        <v>effortless-xlsx</v>
      </c>
      <c r="I257" s="3" t="str">
        <f>_xlfn.IFNA(INDEX(FieldDisagreements!D2:D999, MATCH(C257,FieldDisagreements!A2:A999, 0)), "")</f>
        <v>Requirements.HasMeaningfulSample</v>
      </c>
      <c r="J257" s="2" t="s">
        <v>1906</v>
      </c>
    </row>
    <row r="258">
      <c r="A258" s="2" t="s">
        <v>15389</v>
      </c>
      <c r="B258" s="3" t="str">
        <f>_xlfn.CONCAT(C258, " @ ", D258)</f>
        <v>effortless-xlsx|Requirements.HasMeaningfulSample @ req-policy-quiet-hours</v>
      </c>
      <c r="C258" s="2" t="s">
        <v>14649</v>
      </c>
      <c r="D258" s="2" t="s">
        <v>872</v>
      </c>
      <c r="E258" s="2" t="s">
        <v>15057</v>
      </c>
      <c r="F258" s="2" t="s">
        <v>15035</v>
      </c>
      <c r="G258" s="2" t="s">
        <v>14591</v>
      </c>
      <c r="H258" s="3" t="str">
        <f>_xlfn.IFNA(INDEX(FieldDisagreements!C2:C999, MATCH(C258,FieldDisagreements!A2:A999, 0)), "")</f>
        <v>effortless-xlsx</v>
      </c>
      <c r="I258" s="3" t="str">
        <f>_xlfn.IFNA(INDEX(FieldDisagreements!D2:D999, MATCH(C258,FieldDisagreements!A2:A999, 0)), "")</f>
        <v>Requirements.HasMeaningfulSample</v>
      </c>
      <c r="J258" s="2" t="s">
        <v>1906</v>
      </c>
    </row>
    <row r="259">
      <c r="A259" s="2" t="s">
        <v>15390</v>
      </c>
      <c r="B259" s="3" t="str">
        <f>_xlfn.CONCAT(C259, " @ ", D259)</f>
        <v>effortless-xlsx|Requirements.HasMeaningfulSample @ req-policy-retention</v>
      </c>
      <c r="C259" s="2" t="s">
        <v>14649</v>
      </c>
      <c r="D259" s="2" t="s">
        <v>883</v>
      </c>
      <c r="E259" s="2" t="s">
        <v>15057</v>
      </c>
      <c r="F259" s="2" t="s">
        <v>15035</v>
      </c>
      <c r="G259" s="2" t="s">
        <v>14591</v>
      </c>
      <c r="H259" s="3" t="str">
        <f>_xlfn.IFNA(INDEX(FieldDisagreements!C2:C999, MATCH(C259,FieldDisagreements!A2:A999, 0)), "")</f>
        <v>effortless-xlsx</v>
      </c>
      <c r="I259" s="3" t="str">
        <f>_xlfn.IFNA(INDEX(FieldDisagreements!D2:D999, MATCH(C259,FieldDisagreements!A2:A999, 0)), "")</f>
        <v>Requirements.HasMeaningfulSample</v>
      </c>
      <c r="J259" s="2" t="s">
        <v>1906</v>
      </c>
    </row>
    <row r="260">
      <c r="A260" s="2" t="s">
        <v>15391</v>
      </c>
      <c r="B260" s="3" t="str">
        <f>_xlfn.CONCAT(C260, " @ ", D260)</f>
        <v>effortless-xlsx|Requirements.HasMeaningfulSample @ req-policy-source</v>
      </c>
      <c r="C260" s="2" t="s">
        <v>14649</v>
      </c>
      <c r="D260" s="2" t="s">
        <v>852</v>
      </c>
      <c r="E260" s="2" t="s">
        <v>15057</v>
      </c>
      <c r="F260" s="2" t="s">
        <v>15035</v>
      </c>
      <c r="G260" s="2" t="s">
        <v>14591</v>
      </c>
      <c r="H260" s="3" t="str">
        <f>_xlfn.IFNA(INDEX(FieldDisagreements!C2:C999, MATCH(C260,FieldDisagreements!A2:A999, 0)), "")</f>
        <v>effortless-xlsx</v>
      </c>
      <c r="I260" s="3" t="str">
        <f>_xlfn.IFNA(INDEX(FieldDisagreements!D2:D999, MATCH(C260,FieldDisagreements!A2:A999, 0)), "")</f>
        <v>Requirements.HasMeaningfulSample</v>
      </c>
      <c r="J260" s="2" t="s">
        <v>1906</v>
      </c>
    </row>
    <row r="261">
      <c r="A261" s="2" t="s">
        <v>15392</v>
      </c>
      <c r="B261" s="3" t="str">
        <f>_xlfn.CONCAT(C261, " @ ", D261)</f>
        <v>effortless-xlsx|Requirements.IsUntestedWitness @ req-close-balance</v>
      </c>
      <c r="C261" s="2" t="s">
        <v>14650</v>
      </c>
      <c r="D261" s="2" t="s">
        <v>827</v>
      </c>
      <c r="E261" s="2" t="s">
        <v>15035</v>
      </c>
      <c r="F261" s="2" t="s">
        <v>15057</v>
      </c>
      <c r="G261" s="2" t="s">
        <v>14591</v>
      </c>
      <c r="H261" s="3" t="str">
        <f>_xlfn.IFNA(INDEX(FieldDisagreements!C2:C999, MATCH(C261,FieldDisagreements!A2:A999, 0)), "")</f>
        <v>effortless-xlsx</v>
      </c>
      <c r="I261" s="3" t="str">
        <f>_xlfn.IFNA(INDEX(FieldDisagreements!D2:D999, MATCH(C261,FieldDisagreements!A2:A999, 0)), "")</f>
        <v>Requirements.IsUntestedWitness</v>
      </c>
      <c r="J261" s="2" t="s">
        <v>1906</v>
      </c>
    </row>
    <row r="262">
      <c r="A262" s="2" t="s">
        <v>15393</v>
      </c>
      <c r="B262" s="3" t="str">
        <f>_xlfn.CONCAT(C262, " @ ", D262)</f>
        <v>effortless-xlsx|Requirements.IsUntestedWitness @ req-close-cutoff</v>
      </c>
      <c r="C262" s="2" t="s">
        <v>14650</v>
      </c>
      <c r="D262" s="2" t="s">
        <v>819</v>
      </c>
      <c r="E262" s="2" t="s">
        <v>15035</v>
      </c>
      <c r="F262" s="2" t="s">
        <v>15057</v>
      </c>
      <c r="G262" s="2" t="s">
        <v>14591</v>
      </c>
      <c r="H262" s="3" t="str">
        <f>_xlfn.IFNA(INDEX(FieldDisagreements!C2:C999, MATCH(C262,FieldDisagreements!A2:A999, 0)), "")</f>
        <v>effortless-xlsx</v>
      </c>
      <c r="I262" s="3" t="str">
        <f>_xlfn.IFNA(INDEX(FieldDisagreements!D2:D999, MATCH(C262,FieldDisagreements!A2:A999, 0)), "")</f>
        <v>Requirements.IsUntestedWitness</v>
      </c>
      <c r="J262" s="2" t="s">
        <v>1906</v>
      </c>
    </row>
    <row r="263">
      <c r="A263" s="2" t="s">
        <v>15394</v>
      </c>
      <c r="B263" s="3" t="str">
        <f>_xlfn.CONCAT(C263, " @ ", D263)</f>
        <v>effortless-xlsx|Requirements.IsUntestedWitness @ req-close-separation</v>
      </c>
      <c r="C263" s="2" t="s">
        <v>14650</v>
      </c>
      <c r="D263" s="2" t="s">
        <v>833</v>
      </c>
      <c r="E263" s="2" t="s">
        <v>15035</v>
      </c>
      <c r="F263" s="2" t="s">
        <v>15057</v>
      </c>
      <c r="G263" s="2" t="s">
        <v>14591</v>
      </c>
      <c r="H263" s="3" t="str">
        <f>_xlfn.IFNA(INDEX(FieldDisagreements!C2:C999, MATCH(C263,FieldDisagreements!A2:A999, 0)), "")</f>
        <v>effortless-xlsx</v>
      </c>
      <c r="I263" s="3" t="str">
        <f>_xlfn.IFNA(INDEX(FieldDisagreements!D2:D999, MATCH(C263,FieldDisagreements!A2:A999, 0)), "")</f>
        <v>Requirements.IsUntestedWitness</v>
      </c>
      <c r="J263" s="2" t="s">
        <v>1906</v>
      </c>
    </row>
    <row r="264">
      <c r="A264" s="2" t="s">
        <v>15395</v>
      </c>
      <c r="B264" s="3" t="str">
        <f>_xlfn.CONCAT(C264, " @ ", D264)</f>
        <v>effortless-xlsx|Requirements.IsEvidencedHoldingControl @ req-close-balance</v>
      </c>
      <c r="C264" s="2" t="s">
        <v>14651</v>
      </c>
      <c r="D264" s="2" t="s">
        <v>827</v>
      </c>
      <c r="E264" s="2" t="s">
        <v>15057</v>
      </c>
      <c r="F264" s="2" t="s">
        <v>15035</v>
      </c>
      <c r="G264" s="2" t="s">
        <v>14591</v>
      </c>
      <c r="H264" s="3" t="str">
        <f>_xlfn.IFNA(INDEX(FieldDisagreements!C2:C999, MATCH(C264,FieldDisagreements!A2:A999, 0)), "")</f>
        <v>effortless-xlsx</v>
      </c>
      <c r="I264" s="3" t="str">
        <f>_xlfn.IFNA(INDEX(FieldDisagreements!D2:D999, MATCH(C264,FieldDisagreements!A2:A999, 0)), "")</f>
        <v>Requirements.IsEvidencedHoldingControl</v>
      </c>
      <c r="J264" s="2" t="s">
        <v>1906</v>
      </c>
    </row>
    <row r="265">
      <c r="A265" s="2" t="s">
        <v>15396</v>
      </c>
      <c r="B265" s="3" t="str">
        <f>_xlfn.CONCAT(C265, " @ ", D265)</f>
        <v>effortless-xlsx|Requirements.IsEvidencedHoldingControl @ req-close-cutoff</v>
      </c>
      <c r="C265" s="2" t="s">
        <v>14651</v>
      </c>
      <c r="D265" s="2" t="s">
        <v>819</v>
      </c>
      <c r="E265" s="2" t="s">
        <v>15057</v>
      </c>
      <c r="F265" s="2" t="s">
        <v>15035</v>
      </c>
      <c r="G265" s="2" t="s">
        <v>14591</v>
      </c>
      <c r="H265" s="3" t="str">
        <f>_xlfn.IFNA(INDEX(FieldDisagreements!C2:C999, MATCH(C265,FieldDisagreements!A2:A999, 0)), "")</f>
        <v>effortless-xlsx</v>
      </c>
      <c r="I265" s="3" t="str">
        <f>_xlfn.IFNA(INDEX(FieldDisagreements!D2:D999, MATCH(C265,FieldDisagreements!A2:A999, 0)), "")</f>
        <v>Requirements.IsEvidencedHoldingControl</v>
      </c>
      <c r="J265" s="2" t="s">
        <v>1906</v>
      </c>
    </row>
    <row r="266">
      <c r="A266" s="2" t="s">
        <v>15397</v>
      </c>
      <c r="B266" s="3" t="str">
        <f>_xlfn.CONCAT(C266, " @ ", D266)</f>
        <v>effortless-xlsx|Requirements.IsEvidencedHoldingControl @ req-close-separation</v>
      </c>
      <c r="C266" s="2" t="s">
        <v>14651</v>
      </c>
      <c r="D266" s="2" t="s">
        <v>833</v>
      </c>
      <c r="E266" s="2" t="s">
        <v>15057</v>
      </c>
      <c r="F266" s="2" t="s">
        <v>15035</v>
      </c>
      <c r="G266" s="2" t="s">
        <v>14591</v>
      </c>
      <c r="H266" s="3" t="str">
        <f>_xlfn.IFNA(INDEX(FieldDisagreements!C2:C999, MATCH(C266,FieldDisagreements!A2:A999, 0)), "")</f>
        <v>effortless-xlsx</v>
      </c>
      <c r="I266" s="3" t="str">
        <f>_xlfn.IFNA(INDEX(FieldDisagreements!D2:D999, MATCH(C266,FieldDisagreements!A2:A999, 0)), "")</f>
        <v>Requirements.IsEvidencedHoldingControl</v>
      </c>
      <c r="J266" s="2" t="s">
        <v>1906</v>
      </c>
    </row>
    <row r="267">
      <c r="A267" s="2" t="s">
        <v>15398</v>
      </c>
      <c r="B267" s="3" t="str">
        <f>_xlfn.CONCAT(C267, " @ ", D267)</f>
        <v>effortless-xlsx|Requirements.ControlAssuranceState @ req-close-balance</v>
      </c>
      <c r="C267" s="2" t="s">
        <v>14652</v>
      </c>
      <c r="D267" s="2" t="s">
        <v>827</v>
      </c>
      <c r="E267" s="2" t="s">
        <v>15399</v>
      </c>
      <c r="F267" s="2" t="s">
        <v>15400</v>
      </c>
      <c r="G267" s="2" t="s">
        <v>14591</v>
      </c>
      <c r="H267" s="3" t="str">
        <f>_xlfn.IFNA(INDEX(FieldDisagreements!C2:C999, MATCH(C267,FieldDisagreements!A2:A999, 0)), "")</f>
        <v>effortless-xlsx</v>
      </c>
      <c r="I267" s="3" t="str">
        <f>_xlfn.IFNA(INDEX(FieldDisagreements!D2:D999, MATCH(C267,FieldDisagreements!A2:A999, 0)), "")</f>
        <v>Requirements.ControlAssuranceState</v>
      </c>
      <c r="J267" s="2" t="s">
        <v>1906</v>
      </c>
    </row>
    <row r="268">
      <c r="A268" s="2" t="s">
        <v>15401</v>
      </c>
      <c r="B268" s="3" t="str">
        <f>_xlfn.CONCAT(C268, " @ ", D268)</f>
        <v>effortless-xlsx|Requirements.ControlAssuranceState @ req-close-cutoff</v>
      </c>
      <c r="C268" s="2" t="s">
        <v>14652</v>
      </c>
      <c r="D268" s="2" t="s">
        <v>819</v>
      </c>
      <c r="E268" s="2" t="s">
        <v>15399</v>
      </c>
      <c r="F268" s="2" t="s">
        <v>15400</v>
      </c>
      <c r="G268" s="2" t="s">
        <v>14591</v>
      </c>
      <c r="H268" s="3" t="str">
        <f>_xlfn.IFNA(INDEX(FieldDisagreements!C2:C999, MATCH(C268,FieldDisagreements!A2:A999, 0)), "")</f>
        <v>effortless-xlsx</v>
      </c>
      <c r="I268" s="3" t="str">
        <f>_xlfn.IFNA(INDEX(FieldDisagreements!D2:D999, MATCH(C268,FieldDisagreements!A2:A999, 0)), "")</f>
        <v>Requirements.ControlAssuranceState</v>
      </c>
      <c r="J268" s="2" t="s">
        <v>1906</v>
      </c>
    </row>
    <row r="269">
      <c r="A269" s="2" t="s">
        <v>15402</v>
      </c>
      <c r="B269" s="3" t="str">
        <f>_xlfn.CONCAT(C269, " @ ", D269)</f>
        <v>effortless-xlsx|Requirements.ControlAssuranceState @ req-close-separation</v>
      </c>
      <c r="C269" s="2" t="s">
        <v>14652</v>
      </c>
      <c r="D269" s="2" t="s">
        <v>833</v>
      </c>
      <c r="E269" s="2" t="s">
        <v>15399</v>
      </c>
      <c r="F269" s="2" t="s">
        <v>15400</v>
      </c>
      <c r="G269" s="2" t="s">
        <v>14591</v>
      </c>
      <c r="H269" s="3" t="str">
        <f>_xlfn.IFNA(INDEX(FieldDisagreements!C2:C999, MATCH(C269,FieldDisagreements!A2:A999, 0)), "")</f>
        <v>effortless-xlsx</v>
      </c>
      <c r="I269" s="3" t="str">
        <f>_xlfn.IFNA(INDEX(FieldDisagreements!D2:D999, MATCH(C269,FieldDisagreements!A2:A999, 0)), "")</f>
        <v>Requirements.ControlAssuranceState</v>
      </c>
      <c r="J269" s="2" t="s">
        <v>1906</v>
      </c>
    </row>
    <row r="270">
      <c r="A270" s="2" t="s">
        <v>15403</v>
      </c>
      <c r="B270" s="3" t="str">
        <f>_xlfn.CONCAT(C270, " @ ", D270)</f>
        <v>effortless-xlsx|ElicitationSessions.Name @ elicit-close-shadow</v>
      </c>
      <c r="C270" s="2" t="s">
        <v>14653</v>
      </c>
      <c r="D270" s="2" t="s">
        <v>1073</v>
      </c>
      <c r="E270" s="2" t="s">
        <v>15065</v>
      </c>
      <c r="F270" s="2" t="s">
        <v>15404</v>
      </c>
      <c r="G270" s="2" t="s">
        <v>14591</v>
      </c>
      <c r="H270" s="3" t="str">
        <f>_xlfn.IFNA(INDEX(FieldDisagreements!C2:C999, MATCH(C270,FieldDisagreements!A2:A999, 0)), "")</f>
        <v>effortless-xlsx</v>
      </c>
      <c r="I270" s="3" t="str">
        <f>_xlfn.IFNA(INDEX(FieldDisagreements!D2:D999, MATCH(C270,FieldDisagreements!A2:A999, 0)), "")</f>
        <v>ElicitationSessions.Name</v>
      </c>
      <c r="J270" s="2" t="s">
        <v>1906</v>
      </c>
    </row>
    <row r="271">
      <c r="A271" s="2" t="s">
        <v>15405</v>
      </c>
      <c r="B271" s="3" t="str">
        <f>_xlfn.CONCAT(C271, " @ ", D271)</f>
        <v>effortless-xlsx|ElicitationSessions.Name @ elicit-policy-interview</v>
      </c>
      <c r="C271" s="2" t="s">
        <v>14653</v>
      </c>
      <c r="D271" s="2" t="s">
        <v>1080</v>
      </c>
      <c r="E271" s="2" t="s">
        <v>15068</v>
      </c>
      <c r="F271" s="2" t="s">
        <v>15406</v>
      </c>
      <c r="G271" s="2" t="s">
        <v>14591</v>
      </c>
      <c r="H271" s="3" t="str">
        <f>_xlfn.IFNA(INDEX(FieldDisagreements!C2:C999, MATCH(C271,FieldDisagreements!A2:A999, 0)), "")</f>
        <v>effortless-xlsx</v>
      </c>
      <c r="I271" s="3" t="str">
        <f>_xlfn.IFNA(INDEX(FieldDisagreements!D2:D999, MATCH(C271,FieldDisagreements!A2:A999, 0)), "")</f>
        <v>ElicitationSessions.Name</v>
      </c>
      <c r="J271" s="2" t="s">
        <v>1906</v>
      </c>
    </row>
    <row r="272">
      <c r="A272" s="2" t="s">
        <v>15407</v>
      </c>
      <c r="B272" s="3" t="str">
        <f>_xlfn.CONCAT(C272, " @ ", D272)</f>
        <v>effortless-xlsx|ElicitationSessions.Name @ elicit-policy-workshop</v>
      </c>
      <c r="C272" s="2" t="s">
        <v>14653</v>
      </c>
      <c r="D272" s="2" t="s">
        <v>1077</v>
      </c>
      <c r="E272" s="2" t="s">
        <v>15071</v>
      </c>
      <c r="F272" s="2" t="s">
        <v>15408</v>
      </c>
      <c r="G272" s="2" t="s">
        <v>14591</v>
      </c>
      <c r="H272" s="3" t="str">
        <f>_xlfn.IFNA(INDEX(FieldDisagreements!C2:C999, MATCH(C272,FieldDisagreements!A2:A999, 0)), "")</f>
        <v>effortless-xlsx</v>
      </c>
      <c r="I272" s="3" t="str">
        <f>_xlfn.IFNA(INDEX(FieldDisagreements!D2:D999, MATCH(C272,FieldDisagreements!A2:A999, 0)), "")</f>
        <v>ElicitationSessions.Name</v>
      </c>
      <c r="J272" s="2" t="s">
        <v>1906</v>
      </c>
    </row>
    <row r="273">
      <c r="A273" s="2" t="s">
        <v>15409</v>
      </c>
      <c r="B273" s="3" t="str">
        <f>_xlfn.CONCAT(C273, " @ ", D273)</f>
        <v>effortless-xlsx|ElicitationSessions.AsOfInstant @ elicit-close-shadow</v>
      </c>
      <c r="C273" s="2" t="s">
        <v>14654</v>
      </c>
      <c r="D273" s="2" t="s">
        <v>1073</v>
      </c>
      <c r="E273" s="2" t="s">
        <v>15271</v>
      </c>
      <c r="F273" s="2" t="s">
        <v>15272</v>
      </c>
      <c r="G273" s="2" t="s">
        <v>14591</v>
      </c>
      <c r="H273" s="3" t="str">
        <f>_xlfn.IFNA(INDEX(FieldDisagreements!C2:C999, MATCH(C273,FieldDisagreements!A2:A999, 0)), "")</f>
        <v>effortless-xlsx</v>
      </c>
      <c r="I273" s="3" t="str">
        <f>_xlfn.IFNA(INDEX(FieldDisagreements!D2:D999, MATCH(C273,FieldDisagreements!A2:A999, 0)), "")</f>
        <v>ElicitationSessions.AsOfInstant</v>
      </c>
      <c r="J273" s="2" t="s">
        <v>1906</v>
      </c>
    </row>
    <row r="274">
      <c r="A274" s="2" t="s">
        <v>15410</v>
      </c>
      <c r="B274" s="3" t="str">
        <f>_xlfn.CONCAT(C274, " @ ", D274)</f>
        <v>effortless-xlsx|ElicitationSessions.AsOfInstant @ elicit-policy-interview</v>
      </c>
      <c r="C274" s="2" t="s">
        <v>14654</v>
      </c>
      <c r="D274" s="2" t="s">
        <v>1080</v>
      </c>
      <c r="E274" s="2" t="s">
        <v>15271</v>
      </c>
      <c r="F274" s="2" t="s">
        <v>15272</v>
      </c>
      <c r="G274" s="2" t="s">
        <v>14591</v>
      </c>
      <c r="H274" s="3" t="str">
        <f>_xlfn.IFNA(INDEX(FieldDisagreements!C2:C999, MATCH(C274,FieldDisagreements!A2:A999, 0)), "")</f>
        <v>effortless-xlsx</v>
      </c>
      <c r="I274" s="3" t="str">
        <f>_xlfn.IFNA(INDEX(FieldDisagreements!D2:D999, MATCH(C274,FieldDisagreements!A2:A999, 0)), "")</f>
        <v>ElicitationSessions.AsOfInstant</v>
      </c>
      <c r="J274" s="2" t="s">
        <v>1906</v>
      </c>
    </row>
    <row r="275">
      <c r="A275" s="2" t="s">
        <v>15411</v>
      </c>
      <c r="B275" s="3" t="str">
        <f>_xlfn.CONCAT(C275, " @ ", D275)</f>
        <v>effortless-xlsx|ElicitationSessions.AsOfInstant @ elicit-policy-workshop</v>
      </c>
      <c r="C275" s="2" t="s">
        <v>14654</v>
      </c>
      <c r="D275" s="2" t="s">
        <v>1077</v>
      </c>
      <c r="E275" s="2" t="s">
        <v>15271</v>
      </c>
      <c r="F275" s="2" t="s">
        <v>15272</v>
      </c>
      <c r="G275" s="2" t="s">
        <v>14591</v>
      </c>
      <c r="H275" s="3" t="str">
        <f>_xlfn.IFNA(INDEX(FieldDisagreements!C2:C999, MATCH(C275,FieldDisagreements!A2:A999, 0)), "")</f>
        <v>effortless-xlsx</v>
      </c>
      <c r="I275" s="3" t="str">
        <f>_xlfn.IFNA(INDEX(FieldDisagreements!D2:D999, MATCH(C275,FieldDisagreements!A2:A999, 0)), "")</f>
        <v>ElicitationSessions.AsOfInstant</v>
      </c>
      <c r="J275" s="2" t="s">
        <v>1906</v>
      </c>
    </row>
    <row r="276">
      <c r="A276" s="2" t="s">
        <v>15412</v>
      </c>
      <c r="B276" s="3" t="str">
        <f>_xlfn.CONCAT(C276, " @ ", D276)</f>
        <v>effortless-xlsx|ElicitationSessions.DaysSinceElicited @ elicit-policy-interview</v>
      </c>
      <c r="C276" s="2" t="s">
        <v>14655</v>
      </c>
      <c r="D276" s="2" t="s">
        <v>1080</v>
      </c>
      <c r="E276" s="2" t="s">
        <v>15074</v>
      </c>
      <c r="F276" s="2" t="s">
        <v>15075</v>
      </c>
      <c r="G276" s="2" t="s">
        <v>14591</v>
      </c>
      <c r="H276" s="3" t="str">
        <f>_xlfn.IFNA(INDEX(FieldDisagreements!C2:C999, MATCH(C276,FieldDisagreements!A2:A999, 0)), "")</f>
        <v>effortless-xlsx</v>
      </c>
      <c r="I276" s="3" t="str">
        <f>_xlfn.IFNA(INDEX(FieldDisagreements!D2:D999, MATCH(C276,FieldDisagreements!A2:A999, 0)), "")</f>
        <v>ElicitationSessions.DaysSinceElicited</v>
      </c>
      <c r="J276" s="2" t="s">
        <v>1906</v>
      </c>
    </row>
    <row r="277">
      <c r="A277" s="2" t="s">
        <v>15413</v>
      </c>
      <c r="B277" s="3" t="str">
        <f>_xlfn.CONCAT(C277, " @ ", D277)</f>
        <v>effortless-xlsx|ElicitationSessions.DaysSinceElicited @ elicit-policy-workshop</v>
      </c>
      <c r="C277" s="2" t="s">
        <v>14655</v>
      </c>
      <c r="D277" s="2" t="s">
        <v>1077</v>
      </c>
      <c r="E277" s="2" t="s">
        <v>15077</v>
      </c>
      <c r="F277" s="2" t="s">
        <v>15078</v>
      </c>
      <c r="G277" s="2" t="s">
        <v>14591</v>
      </c>
      <c r="H277" s="3" t="str">
        <f>_xlfn.IFNA(INDEX(FieldDisagreements!C2:C999, MATCH(C277,FieldDisagreements!A2:A999, 0)), "")</f>
        <v>effortless-xlsx</v>
      </c>
      <c r="I277" s="3" t="str">
        <f>_xlfn.IFNA(INDEX(FieldDisagreements!D2:D999, MATCH(C277,FieldDisagreements!A2:A999, 0)), "")</f>
        <v>ElicitationSessions.DaysSinceElicited</v>
      </c>
      <c r="J277" s="2" t="s">
        <v>1906</v>
      </c>
    </row>
    <row r="278">
      <c r="A278" s="2" t="s">
        <v>15414</v>
      </c>
      <c r="B278" s="3" t="str">
        <f>_xlfn.CONCAT(C278, " @ ", D278)</f>
        <v>effortless-xlsx|KnowledgeFragments.AsOfInstant @ kf-close-fx-time</v>
      </c>
      <c r="C278" s="2" t="s">
        <v>14656</v>
      </c>
      <c r="D278" s="2" t="s">
        <v>1152</v>
      </c>
      <c r="E278" s="2" t="s">
        <v>15271</v>
      </c>
      <c r="F278" s="2" t="s">
        <v>15272</v>
      </c>
      <c r="G278" s="2" t="s">
        <v>14591</v>
      </c>
      <c r="H278" s="3" t="str">
        <f>_xlfn.IFNA(INDEX(FieldDisagreements!C2:C999, MATCH(C278,FieldDisagreements!A2:A999, 0)), "")</f>
        <v>effortless-xlsx</v>
      </c>
      <c r="I278" s="3" t="str">
        <f>_xlfn.IFNA(INDEX(FieldDisagreements!D2:D999, MATCH(C278,FieldDisagreements!A2:A999, 0)), "")</f>
        <v>KnowledgeFragments.AsOfInstant</v>
      </c>
      <c r="J278" s="2" t="s">
        <v>1906</v>
      </c>
    </row>
    <row r="279">
      <c r="A279" s="2" t="s">
        <v>15415</v>
      </c>
      <c r="B279" s="3" t="str">
        <f>_xlfn.CONCAT(C279, " @ ", D279)</f>
        <v>effortless-xlsx|KnowledgeFragments.AsOfInstant @ kf-close-judgment</v>
      </c>
      <c r="C279" s="2" t="s">
        <v>14656</v>
      </c>
      <c r="D279" s="2" t="s">
        <v>1164</v>
      </c>
      <c r="E279" s="2" t="s">
        <v>15271</v>
      </c>
      <c r="F279" s="2" t="s">
        <v>15272</v>
      </c>
      <c r="G279" s="2" t="s">
        <v>14591</v>
      </c>
      <c r="H279" s="3" t="str">
        <f>_xlfn.IFNA(INDEX(FieldDisagreements!C2:C999, MATCH(C279,FieldDisagreements!A2:A999, 0)), "")</f>
        <v>effortless-xlsx</v>
      </c>
      <c r="I279" s="3" t="str">
        <f>_xlfn.IFNA(INDEX(FieldDisagreements!D2:D999, MATCH(C279,FieldDisagreements!A2:A999, 0)), "")</f>
        <v>KnowledgeFragments.AsOfInstant</v>
      </c>
      <c r="J279" s="2" t="s">
        <v>1906</v>
      </c>
    </row>
    <row r="280">
      <c r="A280" s="2" t="s">
        <v>15416</v>
      </c>
      <c r="B280" s="3" t="str">
        <f>_xlfn.CONCAT(C280, " @ ", D280)</f>
        <v>effortless-xlsx|KnowledgeFragments.AsOfInstant @ kf-close-retention</v>
      </c>
      <c r="C280" s="2" t="s">
        <v>14656</v>
      </c>
      <c r="D280" s="2" t="s">
        <v>1161</v>
      </c>
      <c r="E280" s="2" t="s">
        <v>15271</v>
      </c>
      <c r="F280" s="2" t="s">
        <v>15272</v>
      </c>
      <c r="G280" s="2" t="s">
        <v>14591</v>
      </c>
      <c r="H280" s="3" t="str">
        <f>_xlfn.IFNA(INDEX(FieldDisagreements!C2:C999, MATCH(C280,FieldDisagreements!A2:A999, 0)), "")</f>
        <v>effortless-xlsx</v>
      </c>
      <c r="I280" s="3" t="str">
        <f>_xlfn.IFNA(INDEX(FieldDisagreements!D2:D999, MATCH(C280,FieldDisagreements!A2:A999, 0)), "")</f>
        <v>KnowledgeFragments.AsOfInstant</v>
      </c>
      <c r="J280" s="2" t="s">
        <v>1906</v>
      </c>
    </row>
    <row r="281">
      <c r="A281" s="2" t="s">
        <v>15417</v>
      </c>
      <c r="B281" s="3" t="str">
        <f>_xlfn.CONCAT(C281, " @ ", D281)</f>
        <v>effortless-xlsx|KnowledgeFragments.AsOfInstant @ kf-close-top-ten</v>
      </c>
      <c r="C281" s="2" t="s">
        <v>14656</v>
      </c>
      <c r="D281" s="2" t="s">
        <v>1157</v>
      </c>
      <c r="E281" s="2" t="s">
        <v>15271</v>
      </c>
      <c r="F281" s="2" t="s">
        <v>15272</v>
      </c>
      <c r="G281" s="2" t="s">
        <v>14591</v>
      </c>
      <c r="H281" s="3" t="str">
        <f>_xlfn.IFNA(INDEX(FieldDisagreements!C2:C999, MATCH(C281,FieldDisagreements!A2:A999, 0)), "")</f>
        <v>effortless-xlsx</v>
      </c>
      <c r="I281" s="3" t="str">
        <f>_xlfn.IFNA(INDEX(FieldDisagreements!D2:D999, MATCH(C281,FieldDisagreements!A2:A999, 0)), "")</f>
        <v>KnowledgeFragments.AsOfInstant</v>
      </c>
      <c r="J281" s="2" t="s">
        <v>1906</v>
      </c>
    </row>
    <row r="282">
      <c r="A282" s="2" t="s">
        <v>15418</v>
      </c>
      <c r="B282" s="3" t="str">
        <f>_xlfn.CONCAT(C282, " @ ", D282)</f>
        <v>effortless-xlsx|KnowledgeFragments.AsOfInstant @ kf-policy-ai-boundary</v>
      </c>
      <c r="C282" s="2" t="s">
        <v>14656</v>
      </c>
      <c r="D282" s="2" t="s">
        <v>1167</v>
      </c>
      <c r="E282" s="2" t="s">
        <v>15271</v>
      </c>
      <c r="F282" s="2" t="s">
        <v>15272</v>
      </c>
      <c r="G282" s="2" t="s">
        <v>14591</v>
      </c>
      <c r="H282" s="3" t="str">
        <f>_xlfn.IFNA(INDEX(FieldDisagreements!C2:C999, MATCH(C282,FieldDisagreements!A2:A999, 0)), "")</f>
        <v>effortless-xlsx</v>
      </c>
      <c r="I282" s="3" t="str">
        <f>_xlfn.IFNA(INDEX(FieldDisagreements!D2:D999, MATCH(C282,FieldDisagreements!A2:A999, 0)), "")</f>
        <v>KnowledgeFragments.AsOfInstant</v>
      </c>
      <c r="J282" s="2" t="s">
        <v>1906</v>
      </c>
    </row>
    <row r="283">
      <c r="A283" s="2" t="s">
        <v>15419</v>
      </c>
      <c r="B283" s="3" t="str">
        <f>_xlfn.CONCAT(C283, " @ ", D283)</f>
        <v>effortless-xlsx|KnowledgeFragments.AsOfInstant @ kf-policy-channel</v>
      </c>
      <c r="C283" s="2" t="s">
        <v>14656</v>
      </c>
      <c r="D283" s="2" t="s">
        <v>1169</v>
      </c>
      <c r="E283" s="2" t="s">
        <v>15271</v>
      </c>
      <c r="F283" s="2" t="s">
        <v>15272</v>
      </c>
      <c r="G283" s="2" t="s">
        <v>14591</v>
      </c>
      <c r="H283" s="3" t="str">
        <f>_xlfn.IFNA(INDEX(FieldDisagreements!C2:C999, MATCH(C283,FieldDisagreements!A2:A999, 0)), "")</f>
        <v>effortless-xlsx</v>
      </c>
      <c r="I283" s="3" t="str">
        <f>_xlfn.IFNA(INDEX(FieldDisagreements!D2:D999, MATCH(C283,FieldDisagreements!A2:A999, 0)), "")</f>
        <v>KnowledgeFragments.AsOfInstant</v>
      </c>
      <c r="J283" s="2" t="s">
        <v>1906</v>
      </c>
    </row>
    <row r="284">
      <c r="A284" s="2" t="s">
        <v>15420</v>
      </c>
      <c r="B284" s="3" t="str">
        <f>_xlfn.CONCAT(C284, " @ ", D284)</f>
        <v>effortless-xlsx|KnowledgeFragments.AsOfInstant @ kf-policy-manager-route</v>
      </c>
      <c r="C284" s="2" t="s">
        <v>14656</v>
      </c>
      <c r="D284" s="2" t="s">
        <v>1171</v>
      </c>
      <c r="E284" s="2" t="s">
        <v>15271</v>
      </c>
      <c r="F284" s="2" t="s">
        <v>15272</v>
      </c>
      <c r="G284" s="2" t="s">
        <v>14591</v>
      </c>
      <c r="H284" s="3" t="str">
        <f>_xlfn.IFNA(INDEX(FieldDisagreements!C2:C999, MATCH(C284,FieldDisagreements!A2:A999, 0)), "")</f>
        <v>effortless-xlsx</v>
      </c>
      <c r="I284" s="3" t="str">
        <f>_xlfn.IFNA(INDEX(FieldDisagreements!D2:D999, MATCH(C284,FieldDisagreements!A2:A999, 0)), "")</f>
        <v>KnowledgeFragments.AsOfInstant</v>
      </c>
      <c r="J284" s="2" t="s">
        <v>1906</v>
      </c>
    </row>
    <row r="285">
      <c r="A285" s="2" t="s">
        <v>15421</v>
      </c>
      <c r="B285" s="3" t="str">
        <f>_xlfn.CONCAT(C285, " @ ", D285)</f>
        <v>effortless-xlsx|KnowledgeFragments.OwnerRoleAssignmentValidFrom @ kf-close-fx-time</v>
      </c>
      <c r="C285" s="2" t="s">
        <v>14657</v>
      </c>
      <c r="D285" s="2" t="s">
        <v>1152</v>
      </c>
      <c r="E285" s="2" t="s">
        <v>15219</v>
      </c>
      <c r="F285" s="2" t="s">
        <v>15220</v>
      </c>
      <c r="G285" s="2" t="s">
        <v>14591</v>
      </c>
      <c r="H285" s="3" t="str">
        <f>_xlfn.IFNA(INDEX(FieldDisagreements!C2:C999, MATCH(C285,FieldDisagreements!A2:A999, 0)), "")</f>
        <v>effortless-xlsx</v>
      </c>
      <c r="I285" s="3" t="str">
        <f>_xlfn.IFNA(INDEX(FieldDisagreements!D2:D999, MATCH(C285,FieldDisagreements!A2:A999, 0)), "")</f>
        <v>KnowledgeFragments.OwnerRoleAssignmentValidFrom</v>
      </c>
      <c r="J285" s="2" t="s">
        <v>1906</v>
      </c>
    </row>
    <row r="286">
      <c r="A286" s="2" t="s">
        <v>15422</v>
      </c>
      <c r="B286" s="3" t="str">
        <f>_xlfn.CONCAT(C286, " @ ", D286)</f>
        <v>effortless-xlsx|KnowledgeFragments.OwnerRoleAssignmentValidFrom @ kf-close-judgment</v>
      </c>
      <c r="C286" s="2" t="s">
        <v>14657</v>
      </c>
      <c r="D286" s="2" t="s">
        <v>1164</v>
      </c>
      <c r="E286" s="2" t="s">
        <v>15219</v>
      </c>
      <c r="F286" s="2" t="s">
        <v>15220</v>
      </c>
      <c r="G286" s="2" t="s">
        <v>14591</v>
      </c>
      <c r="H286" s="3" t="str">
        <f>_xlfn.IFNA(INDEX(FieldDisagreements!C2:C999, MATCH(C286,FieldDisagreements!A2:A999, 0)), "")</f>
        <v>effortless-xlsx</v>
      </c>
      <c r="I286" s="3" t="str">
        <f>_xlfn.IFNA(INDEX(FieldDisagreements!D2:D999, MATCH(C286,FieldDisagreements!A2:A999, 0)), "")</f>
        <v>KnowledgeFragments.OwnerRoleAssignmentValidFrom</v>
      </c>
      <c r="J286" s="2" t="s">
        <v>1906</v>
      </c>
    </row>
    <row r="287">
      <c r="A287" s="2" t="s">
        <v>15423</v>
      </c>
      <c r="B287" s="3" t="str">
        <f>_xlfn.CONCAT(C287, " @ ", D287)</f>
        <v>effortless-xlsx|KnowledgeFragments.OwnerRoleAssignmentValidFrom @ kf-close-retention</v>
      </c>
      <c r="C287" s="2" t="s">
        <v>14657</v>
      </c>
      <c r="D287" s="2" t="s">
        <v>1161</v>
      </c>
      <c r="E287" s="2" t="s">
        <v>15219</v>
      </c>
      <c r="F287" s="2" t="s">
        <v>15220</v>
      </c>
      <c r="G287" s="2" t="s">
        <v>14591</v>
      </c>
      <c r="H287" s="3" t="str">
        <f>_xlfn.IFNA(INDEX(FieldDisagreements!C2:C999, MATCH(C287,FieldDisagreements!A2:A999, 0)), "")</f>
        <v>effortless-xlsx</v>
      </c>
      <c r="I287" s="3" t="str">
        <f>_xlfn.IFNA(INDEX(FieldDisagreements!D2:D999, MATCH(C287,FieldDisagreements!A2:A999, 0)), "")</f>
        <v>KnowledgeFragments.OwnerRoleAssignmentValidFrom</v>
      </c>
      <c r="J287" s="2" t="s">
        <v>1906</v>
      </c>
    </row>
    <row r="288">
      <c r="A288" s="2" t="s">
        <v>15424</v>
      </c>
      <c r="B288" s="3" t="str">
        <f>_xlfn.CONCAT(C288, " @ ", D288)</f>
        <v>effortless-xlsx|KnowledgeFragments.OwnerRoleAssignmentValidFrom @ kf-close-top-ten</v>
      </c>
      <c r="C288" s="2" t="s">
        <v>14657</v>
      </c>
      <c r="D288" s="2" t="s">
        <v>1157</v>
      </c>
      <c r="E288" s="2" t="s">
        <v>15219</v>
      </c>
      <c r="F288" s="2" t="s">
        <v>15220</v>
      </c>
      <c r="G288" s="2" t="s">
        <v>14591</v>
      </c>
      <c r="H288" s="3" t="str">
        <f>_xlfn.IFNA(INDEX(FieldDisagreements!C2:C999, MATCH(C288,FieldDisagreements!A2:A999, 0)), "")</f>
        <v>effortless-xlsx</v>
      </c>
      <c r="I288" s="3" t="str">
        <f>_xlfn.IFNA(INDEX(FieldDisagreements!D2:D999, MATCH(C288,FieldDisagreements!A2:A999, 0)), "")</f>
        <v>KnowledgeFragments.OwnerRoleAssignmentValidFrom</v>
      </c>
      <c r="J288" s="2" t="s">
        <v>1906</v>
      </c>
    </row>
    <row r="289">
      <c r="A289" s="2" t="s">
        <v>15425</v>
      </c>
      <c r="B289" s="3" t="str">
        <f>_xlfn.CONCAT(C289, " @ ", D289)</f>
        <v>effortless-xlsx|KnowledgeFragments.OwnerRoleAssignmentValidFrom @ kf-policy-ai-boundary</v>
      </c>
      <c r="C289" s="2" t="s">
        <v>14657</v>
      </c>
      <c r="D289" s="2" t="s">
        <v>1167</v>
      </c>
      <c r="E289" s="2" t="s">
        <v>15227</v>
      </c>
      <c r="F289" s="2" t="s">
        <v>15228</v>
      </c>
      <c r="G289" s="2" t="s">
        <v>14591</v>
      </c>
      <c r="H289" s="3" t="str">
        <f>_xlfn.IFNA(INDEX(FieldDisagreements!C2:C999, MATCH(C289,FieldDisagreements!A2:A999, 0)), "")</f>
        <v>effortless-xlsx</v>
      </c>
      <c r="I289" s="3" t="str">
        <f>_xlfn.IFNA(INDEX(FieldDisagreements!D2:D999, MATCH(C289,FieldDisagreements!A2:A999, 0)), "")</f>
        <v>KnowledgeFragments.OwnerRoleAssignmentValidFrom</v>
      </c>
      <c r="J289" s="2" t="s">
        <v>1906</v>
      </c>
    </row>
    <row r="290">
      <c r="A290" s="2" t="s">
        <v>15426</v>
      </c>
      <c r="B290" s="3" t="str">
        <f>_xlfn.CONCAT(C290, " @ ", D290)</f>
        <v>effortless-xlsx|KnowledgeFragments.OwnerRoleAssignmentValidFrom @ kf-policy-channel</v>
      </c>
      <c r="C290" s="2" t="s">
        <v>14657</v>
      </c>
      <c r="D290" s="2" t="s">
        <v>1169</v>
      </c>
      <c r="E290" s="2" t="s">
        <v>15223</v>
      </c>
      <c r="F290" s="2" t="s">
        <v>15224</v>
      </c>
      <c r="G290" s="2" t="s">
        <v>14591</v>
      </c>
      <c r="H290" s="3" t="str">
        <f>_xlfn.IFNA(INDEX(FieldDisagreements!C2:C999, MATCH(C290,FieldDisagreements!A2:A999, 0)), "")</f>
        <v>effortless-xlsx</v>
      </c>
      <c r="I290" s="3" t="str">
        <f>_xlfn.IFNA(INDEX(FieldDisagreements!D2:D999, MATCH(C290,FieldDisagreements!A2:A999, 0)), "")</f>
        <v>KnowledgeFragments.OwnerRoleAssignmentValidFrom</v>
      </c>
      <c r="J290" s="2" t="s">
        <v>1906</v>
      </c>
    </row>
    <row r="291">
      <c r="A291" s="2" t="s">
        <v>15427</v>
      </c>
      <c r="B291" s="3" t="str">
        <f>_xlfn.CONCAT(C291, " @ ", D291)</f>
        <v>effortless-xlsx|KnowledgeFragments.OwnerRoleAssignmentValidFrom @ kf-policy-manager-route</v>
      </c>
      <c r="C291" s="2" t="s">
        <v>14657</v>
      </c>
      <c r="D291" s="2" t="s">
        <v>1171</v>
      </c>
      <c r="E291" s="2" t="s">
        <v>15223</v>
      </c>
      <c r="F291" s="2" t="s">
        <v>15224</v>
      </c>
      <c r="G291" s="2" t="s">
        <v>14591</v>
      </c>
      <c r="H291" s="3" t="str">
        <f>_xlfn.IFNA(INDEX(FieldDisagreements!C2:C999, MATCH(C291,FieldDisagreements!A2:A999, 0)), "")</f>
        <v>effortless-xlsx</v>
      </c>
      <c r="I291" s="3" t="str">
        <f>_xlfn.IFNA(INDEX(FieldDisagreements!D2:D999, MATCH(C291,FieldDisagreements!A2:A999, 0)), "")</f>
        <v>KnowledgeFragments.OwnerRoleAssignmentValidFrom</v>
      </c>
      <c r="J291" s="2" t="s">
        <v>1906</v>
      </c>
    </row>
    <row r="292">
      <c r="A292" s="2" t="s">
        <v>15428</v>
      </c>
      <c r="B292" s="3" t="str">
        <f>_xlfn.CONCAT(C292, " @ ", D292)</f>
        <v>effortless-xlsx|KnowledgeFragments.DaysSinceActualReview @ kf-close-fx-time</v>
      </c>
      <c r="C292" s="2" t="s">
        <v>14658</v>
      </c>
      <c r="D292" s="2" t="s">
        <v>1152</v>
      </c>
      <c r="E292" s="2" t="s">
        <v>15054</v>
      </c>
      <c r="F292" s="2" t="s">
        <v>8195</v>
      </c>
      <c r="G292" s="2" t="s">
        <v>14591</v>
      </c>
      <c r="H292" s="3" t="str">
        <f>_xlfn.IFNA(INDEX(FieldDisagreements!C2:C999, MATCH(C292,FieldDisagreements!A2:A999, 0)), "")</f>
        <v>effortless-xlsx</v>
      </c>
      <c r="I292" s="3" t="str">
        <f>_xlfn.IFNA(INDEX(FieldDisagreements!D2:D999, MATCH(C292,FieldDisagreements!A2:A999, 0)), "")</f>
        <v>KnowledgeFragments.DaysSinceActualReview</v>
      </c>
      <c r="J292" s="2" t="s">
        <v>1906</v>
      </c>
    </row>
    <row r="293">
      <c r="A293" s="2" t="s">
        <v>15429</v>
      </c>
      <c r="B293" s="3" t="str">
        <f>_xlfn.CONCAT(C293, " @ ", D293)</f>
        <v>effortless-xlsx|KnowledgeFragments.DaysSinceActualReview @ kf-close-top-ten</v>
      </c>
      <c r="C293" s="2" t="s">
        <v>14658</v>
      </c>
      <c r="D293" s="2" t="s">
        <v>1157</v>
      </c>
      <c r="E293" s="2" t="s">
        <v>15054</v>
      </c>
      <c r="F293" s="2" t="s">
        <v>8195</v>
      </c>
      <c r="G293" s="2" t="s">
        <v>14591</v>
      </c>
      <c r="H293" s="3" t="str">
        <f>_xlfn.IFNA(INDEX(FieldDisagreements!C2:C999, MATCH(C293,FieldDisagreements!A2:A999, 0)), "")</f>
        <v>effortless-xlsx</v>
      </c>
      <c r="I293" s="3" t="str">
        <f>_xlfn.IFNA(INDEX(FieldDisagreements!D2:D999, MATCH(C293,FieldDisagreements!A2:A999, 0)), "")</f>
        <v>KnowledgeFragments.DaysSinceActualReview</v>
      </c>
      <c r="J293" s="2" t="s">
        <v>1906</v>
      </c>
    </row>
    <row r="294">
      <c r="A294" s="2" t="s">
        <v>15430</v>
      </c>
      <c r="B294" s="3" t="str">
        <f>_xlfn.CONCAT(C294, " @ ", D294)</f>
        <v>effortless-xlsx|KnowledgeFragments.DaysSinceActualReview @ kf-policy-channel</v>
      </c>
      <c r="C294" s="2" t="s">
        <v>14658</v>
      </c>
      <c r="D294" s="2" t="s">
        <v>1169</v>
      </c>
      <c r="E294" s="2" t="s">
        <v>935</v>
      </c>
      <c r="F294" s="2" t="s">
        <v>37</v>
      </c>
      <c r="G294" s="2" t="s">
        <v>14591</v>
      </c>
      <c r="H294" s="3" t="str">
        <f>_xlfn.IFNA(INDEX(FieldDisagreements!C2:C999, MATCH(C294,FieldDisagreements!A2:A999, 0)), "")</f>
        <v>effortless-xlsx</v>
      </c>
      <c r="I294" s="3" t="str">
        <f>_xlfn.IFNA(INDEX(FieldDisagreements!D2:D999, MATCH(C294,FieldDisagreements!A2:A999, 0)), "")</f>
        <v>KnowledgeFragments.DaysSinceActualReview</v>
      </c>
      <c r="J294" s="2" t="s">
        <v>1906</v>
      </c>
    </row>
    <row r="295">
      <c r="A295" s="2" t="s">
        <v>15431</v>
      </c>
      <c r="B295" s="3" t="str">
        <f>_xlfn.CONCAT(C295, " @ ", D295)</f>
        <v>effortless-xlsx|KnowledgeFragments.EvidenceExpiryDays @ kf-close-retention</v>
      </c>
      <c r="C295" s="2" t="s">
        <v>14659</v>
      </c>
      <c r="D295" s="2" t="s">
        <v>1161</v>
      </c>
      <c r="E295" s="2" t="s">
        <v>15432</v>
      </c>
      <c r="F295" s="2" t="s">
        <v>15433</v>
      </c>
      <c r="G295" s="2" t="s">
        <v>14591</v>
      </c>
      <c r="H295" s="3" t="str">
        <f>_xlfn.IFNA(INDEX(FieldDisagreements!C2:C999, MATCH(C295,FieldDisagreements!A2:A999, 0)), "")</f>
        <v>effortless-xlsx</v>
      </c>
      <c r="I295" s="3" t="str">
        <f>_xlfn.IFNA(INDEX(FieldDisagreements!D2:D999, MATCH(C295,FieldDisagreements!A2:A999, 0)), "")</f>
        <v>KnowledgeFragments.EvidenceExpiryDays</v>
      </c>
      <c r="J295" s="2" t="s">
        <v>1906</v>
      </c>
    </row>
    <row r="296">
      <c r="A296" s="2" t="s">
        <v>15434</v>
      </c>
      <c r="B296" s="3" t="str">
        <f>_xlfn.CONCAT(C296, " @ ", D296)</f>
        <v>effortless-xlsx|KnowledgeFragments.EvidenceHasExpired @ kf-close-retention</v>
      </c>
      <c r="C296" s="2" t="s">
        <v>14660</v>
      </c>
      <c r="D296" s="2" t="s">
        <v>1161</v>
      </c>
      <c r="E296" s="2" t="s">
        <v>15057</v>
      </c>
      <c r="F296" s="2" t="s">
        <v>15433</v>
      </c>
      <c r="G296" s="2" t="s">
        <v>14591</v>
      </c>
      <c r="H296" s="3" t="str">
        <f>_xlfn.IFNA(INDEX(FieldDisagreements!C2:C999, MATCH(C296,FieldDisagreements!A2:A999, 0)), "")</f>
        <v>effortless-xlsx</v>
      </c>
      <c r="I296" s="3" t="str">
        <f>_xlfn.IFNA(INDEX(FieldDisagreements!D2:D999, MATCH(C296,FieldDisagreements!A2:A999, 0)), "")</f>
        <v>KnowledgeFragments.EvidenceHasExpired</v>
      </c>
      <c r="J296" s="2" t="s">
        <v>1906</v>
      </c>
    </row>
    <row r="297">
      <c r="A297" s="2" t="s">
        <v>15435</v>
      </c>
      <c r="B297" s="3" t="str">
        <f>_xlfn.CONCAT(C297, " @ ", D297)</f>
        <v>effortless-xlsx|KnowledgeFragments.FragilitySignalCount @ kf-close-retention</v>
      </c>
      <c r="C297" s="2" t="s">
        <v>14661</v>
      </c>
      <c r="D297" s="2" t="s">
        <v>1161</v>
      </c>
      <c r="E297" s="2" t="s">
        <v>37</v>
      </c>
      <c r="F297" s="2" t="s">
        <v>15433</v>
      </c>
      <c r="G297" s="2" t="s">
        <v>14591</v>
      </c>
      <c r="H297" s="3" t="str">
        <f>_xlfn.IFNA(INDEX(FieldDisagreements!C2:C999, MATCH(C297,FieldDisagreements!A2:A999, 0)), "")</f>
        <v>effortless-xlsx</v>
      </c>
      <c r="I297" s="3" t="str">
        <f>_xlfn.IFNA(INDEX(FieldDisagreements!D2:D999, MATCH(C297,FieldDisagreements!A2:A999, 0)), "")</f>
        <v>KnowledgeFragments.FragilitySignalCount</v>
      </c>
      <c r="J297" s="2" t="s">
        <v>1906</v>
      </c>
    </row>
    <row r="298">
      <c r="A298" s="2" t="s">
        <v>15436</v>
      </c>
      <c r="B298" s="3" t="str">
        <f>_xlfn.CONCAT(C298, " @ ", D298)</f>
        <v>effortless-xlsx|KnowledgeFragments.IsCompoundFragile @ kf-close-retention</v>
      </c>
      <c r="C298" s="2" t="s">
        <v>14662</v>
      </c>
      <c r="D298" s="2" t="s">
        <v>1161</v>
      </c>
      <c r="E298" s="2" t="s">
        <v>15057</v>
      </c>
      <c r="F298" s="2" t="s">
        <v>15433</v>
      </c>
      <c r="G298" s="2" t="s">
        <v>14591</v>
      </c>
      <c r="H298" s="3" t="str">
        <f>_xlfn.IFNA(INDEX(FieldDisagreements!C2:C999, MATCH(C298,FieldDisagreements!A2:A999, 0)), "")</f>
        <v>effortless-xlsx</v>
      </c>
      <c r="I298" s="3" t="str">
        <f>_xlfn.IFNA(INDEX(FieldDisagreements!D2:D999, MATCH(C298,FieldDisagreements!A2:A999, 0)), "")</f>
        <v>KnowledgeFragments.IsCompoundFragile</v>
      </c>
      <c r="J298" s="2" t="s">
        <v>1906</v>
      </c>
    </row>
    <row r="299">
      <c r="A299" s="2" t="s">
        <v>15437</v>
      </c>
      <c r="B299" s="3" t="str">
        <f>_xlfn.CONCAT(C299, " @ ", D299)</f>
        <v>effortless-xlsx|KnowledgeFragments.CompoundFragileVersionKey @ kf-close-retention</v>
      </c>
      <c r="C299" s="2" t="s">
        <v>14663</v>
      </c>
      <c r="D299" s="2" t="s">
        <v>1161</v>
      </c>
      <c r="E299" s="2" t="s">
        <v>15036</v>
      </c>
      <c r="F299" s="2" t="s">
        <v>15433</v>
      </c>
      <c r="G299" s="2" t="s">
        <v>14591</v>
      </c>
      <c r="H299" s="3" t="str">
        <f>_xlfn.IFNA(INDEX(FieldDisagreements!C2:C999, MATCH(C299,FieldDisagreements!A2:A999, 0)), "")</f>
        <v>effortless-xlsx</v>
      </c>
      <c r="I299" s="3" t="str">
        <f>_xlfn.IFNA(INDEX(FieldDisagreements!D2:D999, MATCH(C299,FieldDisagreements!A2:A999, 0)), "")</f>
        <v>KnowledgeFragments.CompoundFragileVersionKey</v>
      </c>
      <c r="J299" s="2" t="s">
        <v>1906</v>
      </c>
    </row>
    <row r="300">
      <c r="A300" s="2" t="s">
        <v>15438</v>
      </c>
      <c r="B300" s="3" t="str">
        <f>_xlfn.CONCAT(C300, " @ ", D300)</f>
        <v>effortless-xlsx|KnowledgeFragments.EvidenceAgeDays @ kf-policy-ai-boundary</v>
      </c>
      <c r="C300" s="2" t="s">
        <v>14664</v>
      </c>
      <c r="D300" s="2" t="s">
        <v>1167</v>
      </c>
      <c r="E300" s="2" t="s">
        <v>15074</v>
      </c>
      <c r="F300" s="2" t="s">
        <v>15075</v>
      </c>
      <c r="G300" s="2" t="s">
        <v>14591</v>
      </c>
      <c r="H300" s="3" t="str">
        <f>_xlfn.IFNA(INDEX(FieldDisagreements!C2:C999, MATCH(C300,FieldDisagreements!A2:A999, 0)), "")</f>
        <v>effortless-xlsx</v>
      </c>
      <c r="I300" s="3" t="str">
        <f>_xlfn.IFNA(INDEX(FieldDisagreements!D2:D999, MATCH(C300,FieldDisagreements!A2:A999, 0)), "")</f>
        <v>KnowledgeFragments.EvidenceAgeDays</v>
      </c>
      <c r="J300" s="2" t="s">
        <v>1906</v>
      </c>
    </row>
    <row r="301">
      <c r="A301" s="2" t="s">
        <v>15439</v>
      </c>
      <c r="B301" s="3" t="str">
        <f>_xlfn.CONCAT(C301, " @ ", D301)</f>
        <v>effortless-xlsx|KnowledgeFragments.EvidenceAgeDays @ kf-policy-channel</v>
      </c>
      <c r="C301" s="2" t="s">
        <v>14664</v>
      </c>
      <c r="D301" s="2" t="s">
        <v>1169</v>
      </c>
      <c r="E301" s="2" t="s">
        <v>15077</v>
      </c>
      <c r="F301" s="2" t="s">
        <v>15078</v>
      </c>
      <c r="G301" s="2" t="s">
        <v>14591</v>
      </c>
      <c r="H301" s="3" t="str">
        <f>_xlfn.IFNA(INDEX(FieldDisagreements!C2:C999, MATCH(C301,FieldDisagreements!A2:A999, 0)), "")</f>
        <v>effortless-xlsx</v>
      </c>
      <c r="I301" s="3" t="str">
        <f>_xlfn.IFNA(INDEX(FieldDisagreements!D2:D999, MATCH(C301,FieldDisagreements!A2:A999, 0)), "")</f>
        <v>KnowledgeFragments.EvidenceAgeDays</v>
      </c>
      <c r="J301" s="2" t="s">
        <v>1906</v>
      </c>
    </row>
    <row r="302">
      <c r="A302" s="2" t="s">
        <v>15440</v>
      </c>
      <c r="B302" s="3" t="str">
        <f>_xlfn.CONCAT(C302, " @ ", D302)</f>
        <v>effortless-xlsx|KnowledgeFragments.EvidenceAgeDays @ kf-policy-manager-route</v>
      </c>
      <c r="C302" s="2" t="s">
        <v>14664</v>
      </c>
      <c r="D302" s="2" t="s">
        <v>1171</v>
      </c>
      <c r="E302" s="2" t="s">
        <v>15077</v>
      </c>
      <c r="F302" s="2" t="s">
        <v>15078</v>
      </c>
      <c r="G302" s="2" t="s">
        <v>14591</v>
      </c>
      <c r="H302" s="3" t="str">
        <f>_xlfn.IFNA(INDEX(FieldDisagreements!C2:C999, MATCH(C302,FieldDisagreements!A2:A999, 0)), "")</f>
        <v>effortless-xlsx</v>
      </c>
      <c r="I302" s="3" t="str">
        <f>_xlfn.IFNA(INDEX(FieldDisagreements!D2:D999, MATCH(C302,FieldDisagreements!A2:A999, 0)), "")</f>
        <v>KnowledgeFragments.EvidenceAgeDays</v>
      </c>
      <c r="J302" s="2" t="s">
        <v>1906</v>
      </c>
    </row>
    <row r="303">
      <c r="A303" s="2" t="s">
        <v>15441</v>
      </c>
      <c r="B303" s="3" t="str">
        <f>_xlfn.CONCAT(C303, " @ ", D303)</f>
        <v>effortless-xlsx|KnowledgeFragments.AgeDays @ kf-policy-ai-boundary</v>
      </c>
      <c r="C303" s="2" t="s">
        <v>14665</v>
      </c>
      <c r="D303" s="2" t="s">
        <v>1167</v>
      </c>
      <c r="E303" s="2" t="s">
        <v>15074</v>
      </c>
      <c r="F303" s="2" t="s">
        <v>15075</v>
      </c>
      <c r="G303" s="2" t="s">
        <v>14591</v>
      </c>
      <c r="H303" s="3" t="str">
        <f>_xlfn.IFNA(INDEX(FieldDisagreements!C2:C999, MATCH(C303,FieldDisagreements!A2:A999, 0)), "")</f>
        <v>effortless-xlsx</v>
      </c>
      <c r="I303" s="3" t="str">
        <f>_xlfn.IFNA(INDEX(FieldDisagreements!D2:D999, MATCH(C303,FieldDisagreements!A2:A999, 0)), "")</f>
        <v>KnowledgeFragments.AgeDays</v>
      </c>
      <c r="J303" s="2" t="s">
        <v>1906</v>
      </c>
    </row>
    <row r="304">
      <c r="A304" s="2" t="s">
        <v>15442</v>
      </c>
      <c r="B304" s="3" t="str">
        <f>_xlfn.CONCAT(C304, " @ ", D304)</f>
        <v>effortless-xlsx|KnowledgeFragments.AgeDays @ kf-policy-channel</v>
      </c>
      <c r="C304" s="2" t="s">
        <v>14665</v>
      </c>
      <c r="D304" s="2" t="s">
        <v>1169</v>
      </c>
      <c r="E304" s="2" t="s">
        <v>15077</v>
      </c>
      <c r="F304" s="2" t="s">
        <v>15078</v>
      </c>
      <c r="G304" s="2" t="s">
        <v>14591</v>
      </c>
      <c r="H304" s="3" t="str">
        <f>_xlfn.IFNA(INDEX(FieldDisagreements!C2:C999, MATCH(C304,FieldDisagreements!A2:A999, 0)), "")</f>
        <v>effortless-xlsx</v>
      </c>
      <c r="I304" s="3" t="str">
        <f>_xlfn.IFNA(INDEX(FieldDisagreements!D2:D999, MATCH(C304,FieldDisagreements!A2:A999, 0)), "")</f>
        <v>KnowledgeFragments.AgeDays</v>
      </c>
      <c r="J304" s="2" t="s">
        <v>1906</v>
      </c>
    </row>
    <row r="305">
      <c r="A305" s="2" t="s">
        <v>15443</v>
      </c>
      <c r="B305" s="3" t="str">
        <f>_xlfn.CONCAT(C305, " @ ", D305)</f>
        <v>effortless-xlsx|KnowledgeFragments.AgeDays @ kf-policy-manager-route</v>
      </c>
      <c r="C305" s="2" t="s">
        <v>14665</v>
      </c>
      <c r="D305" s="2" t="s">
        <v>1171</v>
      </c>
      <c r="E305" s="2" t="s">
        <v>15077</v>
      </c>
      <c r="F305" s="2" t="s">
        <v>15078</v>
      </c>
      <c r="G305" s="2" t="s">
        <v>14591</v>
      </c>
      <c r="H305" s="3" t="str">
        <f>_xlfn.IFNA(INDEX(FieldDisagreements!C2:C999, MATCH(C305,FieldDisagreements!A2:A999, 0)), "")</f>
        <v>effortless-xlsx</v>
      </c>
      <c r="I305" s="3" t="str">
        <f>_xlfn.IFNA(INDEX(FieldDisagreements!D2:D999, MATCH(C305,FieldDisagreements!A2:A999, 0)), "")</f>
        <v>KnowledgeFragments.AgeDays</v>
      </c>
      <c r="J305" s="2" t="s">
        <v>1906</v>
      </c>
    </row>
    <row r="306">
      <c r="A306" s="2" t="s">
        <v>15444</v>
      </c>
      <c r="B306" s="3" t="str">
        <f>_xlfn.CONCAT(C306, " @ ", D306)</f>
        <v>effortless-xlsx|KnowledgeFragments.DaysAwaitingMyApproval @ kf-policy-manager-route</v>
      </c>
      <c r="C306" s="2" t="s">
        <v>14666</v>
      </c>
      <c r="D306" s="2" t="s">
        <v>1171</v>
      </c>
      <c r="E306" s="2" t="s">
        <v>15077</v>
      </c>
      <c r="F306" s="2" t="s">
        <v>15078</v>
      </c>
      <c r="G306" s="2" t="s">
        <v>14591</v>
      </c>
      <c r="H306" s="3" t="str">
        <f>_xlfn.IFNA(INDEX(FieldDisagreements!C2:C999, MATCH(C306,FieldDisagreements!A2:A999, 0)), "")</f>
        <v>effortless-xlsx</v>
      </c>
      <c r="I306" s="3" t="str">
        <f>_xlfn.IFNA(INDEX(FieldDisagreements!D2:D999, MATCH(C306,FieldDisagreements!A2:A999, 0)), "")</f>
        <v>KnowledgeFragments.DaysAwaitingMyApproval</v>
      </c>
      <c r="J306" s="2" t="s">
        <v>1906</v>
      </c>
    </row>
    <row r="307">
      <c r="A307" s="2" t="s">
        <v>15445</v>
      </c>
      <c r="B307" s="3" t="str">
        <f>_xlfn.CONCAT(C307, " @ ", D307)</f>
        <v>effortless-xlsx|KnowledgeGaps.AsOfInstant @ gap-close-cadence-unmeasured</v>
      </c>
      <c r="C307" s="2" t="s">
        <v>14667</v>
      </c>
      <c r="D307" s="2" t="s">
        <v>1204</v>
      </c>
      <c r="E307" s="2" t="s">
        <v>15271</v>
      </c>
      <c r="F307" s="2" t="s">
        <v>15272</v>
      </c>
      <c r="G307" s="2" t="s">
        <v>14591</v>
      </c>
      <c r="H307" s="3" t="str">
        <f>_xlfn.IFNA(INDEX(FieldDisagreements!C2:C999, MATCH(C307,FieldDisagreements!A2:A999, 0)), "")</f>
        <v>effortless-xlsx</v>
      </c>
      <c r="I307" s="3" t="str">
        <f>_xlfn.IFNA(INDEX(FieldDisagreements!D2:D999, MATCH(C307,FieldDisagreements!A2:A999, 0)), "")</f>
        <v>KnowledgeGaps.AsOfInstant</v>
      </c>
      <c r="J307" s="2" t="s">
        <v>1906</v>
      </c>
    </row>
    <row r="308">
      <c r="A308" s="2" t="s">
        <v>15446</v>
      </c>
      <c r="B308" s="3" t="str">
        <f>_xlfn.CONCAT(C308, " @ ", D308)</f>
        <v>effortless-xlsx|KnowledgeGaps.AsOfInstant @ gap-close-dual-outage</v>
      </c>
      <c r="C308" s="2" t="s">
        <v>14667</v>
      </c>
      <c r="D308" s="2" t="s">
        <v>1190</v>
      </c>
      <c r="E308" s="2" t="s">
        <v>15271</v>
      </c>
      <c r="F308" s="2" t="s">
        <v>15272</v>
      </c>
      <c r="G308" s="2" t="s">
        <v>14591</v>
      </c>
      <c r="H308" s="3" t="str">
        <f>_xlfn.IFNA(INDEX(FieldDisagreements!C2:C999, MATCH(C308,FieldDisagreements!A2:A999, 0)), "")</f>
        <v>effortless-xlsx</v>
      </c>
      <c r="I308" s="3" t="str">
        <f>_xlfn.IFNA(INDEX(FieldDisagreements!D2:D999, MATCH(C308,FieldDisagreements!A2:A999, 0)), "")</f>
        <v>KnowledgeGaps.AsOfInstant</v>
      </c>
      <c r="J308" s="2" t="s">
        <v>1906</v>
      </c>
    </row>
    <row r="309">
      <c r="A309" s="2" t="s">
        <v>15447</v>
      </c>
      <c r="B309" s="3" t="str">
        <f>_xlfn.CONCAT(C309, " @ ", D309)</f>
        <v>effortless-xlsx|KnowledgeGaps.AsOfInstant @ gap-close-sod-unwitnessed</v>
      </c>
      <c r="C309" s="2" t="s">
        <v>14667</v>
      </c>
      <c r="D309" s="2" t="s">
        <v>1201</v>
      </c>
      <c r="E309" s="2" t="s">
        <v>15271</v>
      </c>
      <c r="F309" s="2" t="s">
        <v>15272</v>
      </c>
      <c r="G309" s="2" t="s">
        <v>14591</v>
      </c>
      <c r="H309" s="3" t="str">
        <f>_xlfn.IFNA(INDEX(FieldDisagreements!C2:C999, MATCH(C309,FieldDisagreements!A2:A999, 0)), "")</f>
        <v>effortless-xlsx</v>
      </c>
      <c r="I309" s="3" t="str">
        <f>_xlfn.IFNA(INDEX(FieldDisagreements!D2:D999, MATCH(C309,FieldDisagreements!A2:A999, 0)), "")</f>
        <v>KnowledgeGaps.AsOfInstant</v>
      </c>
      <c r="J309" s="2" t="s">
        <v>1906</v>
      </c>
    </row>
    <row r="310">
      <c r="A310" s="2" t="s">
        <v>15448</v>
      </c>
      <c r="B310" s="3" t="str">
        <f>_xlfn.CONCAT(C310, " @ ", D310)</f>
        <v>effortless-xlsx|KnowledgeGaps.AsOfInstant @ gap-policy-consent-unenforced</v>
      </c>
      <c r="C310" s="2" t="s">
        <v>14667</v>
      </c>
      <c r="D310" s="2" t="s">
        <v>1210</v>
      </c>
      <c r="E310" s="2" t="s">
        <v>15271</v>
      </c>
      <c r="F310" s="2" t="s">
        <v>15272</v>
      </c>
      <c r="G310" s="2" t="s">
        <v>14591</v>
      </c>
      <c r="H310" s="3" t="str">
        <f>_xlfn.IFNA(INDEX(FieldDisagreements!C2:C999, MATCH(C310,FieldDisagreements!A2:A999, 0)), "")</f>
        <v>effortless-xlsx</v>
      </c>
      <c r="I310" s="3" t="str">
        <f>_xlfn.IFNA(INDEX(FieldDisagreements!D2:D999, MATCH(C310,FieldDisagreements!A2:A999, 0)), "")</f>
        <v>KnowledgeGaps.AsOfInstant</v>
      </c>
      <c r="J310" s="2" t="s">
        <v>1906</v>
      </c>
    </row>
    <row r="311">
      <c r="A311" s="2" t="s">
        <v>15449</v>
      </c>
      <c r="B311" s="3" t="str">
        <f>_xlfn.CONCAT(C311, " @ ", D311)</f>
        <v>effortless-xlsx|KnowledgeGaps.AsOfInstant @ gap-policy-delivery-receipts</v>
      </c>
      <c r="C311" s="2" t="s">
        <v>14667</v>
      </c>
      <c r="D311" s="2" t="s">
        <v>1196</v>
      </c>
      <c r="E311" s="2" t="s">
        <v>15271</v>
      </c>
      <c r="F311" s="2" t="s">
        <v>15272</v>
      </c>
      <c r="G311" s="2" t="s">
        <v>14591</v>
      </c>
      <c r="H311" s="3" t="str">
        <f>_xlfn.IFNA(INDEX(FieldDisagreements!C2:C999, MATCH(C311,FieldDisagreements!A2:A999, 0)), "")</f>
        <v>effortless-xlsx</v>
      </c>
      <c r="I311" s="3" t="str">
        <f>_xlfn.IFNA(INDEX(FieldDisagreements!D2:D999, MATCH(C311,FieldDisagreements!A2:A999, 0)), "")</f>
        <v>KnowledgeGaps.AsOfInstant</v>
      </c>
      <c r="J311" s="2" t="s">
        <v>1906</v>
      </c>
    </row>
    <row r="312">
      <c r="A312" s="2" t="s">
        <v>15450</v>
      </c>
      <c r="B312" s="3" t="str">
        <f>_xlfn.CONCAT(C312, " @ ", D312)</f>
        <v>effortless-xlsx|KnowledgeGaps.AsOfInstant @ gap-policy-quiet-hours-unenforced</v>
      </c>
      <c r="C312" s="2" t="s">
        <v>14667</v>
      </c>
      <c r="D312" s="2" t="s">
        <v>1214</v>
      </c>
      <c r="E312" s="2" t="s">
        <v>15271</v>
      </c>
      <c r="F312" s="2" t="s">
        <v>15272</v>
      </c>
      <c r="G312" s="2" t="s">
        <v>14591</v>
      </c>
      <c r="H312" s="3" t="str">
        <f>_xlfn.IFNA(INDEX(FieldDisagreements!C2:C999, MATCH(C312,FieldDisagreements!A2:A999, 0)), "")</f>
        <v>effortless-xlsx</v>
      </c>
      <c r="I312" s="3" t="str">
        <f>_xlfn.IFNA(INDEX(FieldDisagreements!D2:D999, MATCH(C312,FieldDisagreements!A2:A999, 0)), "")</f>
        <v>KnowledgeGaps.AsOfInstant</v>
      </c>
      <c r="J312" s="2" t="s">
        <v>1906</v>
      </c>
    </row>
    <row r="313">
      <c r="A313" s="2" t="s">
        <v>15451</v>
      </c>
      <c r="B313" s="3" t="str">
        <f>_xlfn.CONCAT(C313, " @ ", D313)</f>
        <v>effortless-xlsx|KnowledgeGaps.AsOfInstant @ gap-policy-unauthorized-sends</v>
      </c>
      <c r="C313" s="2" t="s">
        <v>14667</v>
      </c>
      <c r="D313" s="2" t="s">
        <v>1217</v>
      </c>
      <c r="E313" s="2" t="s">
        <v>15271</v>
      </c>
      <c r="F313" s="2" t="s">
        <v>15272</v>
      </c>
      <c r="G313" s="2" t="s">
        <v>14591</v>
      </c>
      <c r="H313" s="3" t="str">
        <f>_xlfn.IFNA(INDEX(FieldDisagreements!C2:C999, MATCH(C313,FieldDisagreements!A2:A999, 0)), "")</f>
        <v>effortless-xlsx</v>
      </c>
      <c r="I313" s="3" t="str">
        <f>_xlfn.IFNA(INDEX(FieldDisagreements!D2:D999, MATCH(C313,FieldDisagreements!A2:A999, 0)), "")</f>
        <v>KnowledgeGaps.AsOfInstant</v>
      </c>
      <c r="J313" s="2" t="s">
        <v>1906</v>
      </c>
    </row>
    <row r="314">
      <c r="A314" s="2" t="s">
        <v>15452</v>
      </c>
      <c r="B314" s="3" t="str">
        <f>_xlfn.CONCAT(C314, " @ ", D314)</f>
        <v>effortless-xlsx|KnowledgeGaps.AsOfInstant @ gap-roles-unauditable-holders</v>
      </c>
      <c r="C314" s="2" t="s">
        <v>14667</v>
      </c>
      <c r="D314" s="2" t="s">
        <v>1207</v>
      </c>
      <c r="E314" s="2" t="s">
        <v>15271</v>
      </c>
      <c r="F314" s="2" t="s">
        <v>15272</v>
      </c>
      <c r="G314" s="2" t="s">
        <v>14591</v>
      </c>
      <c r="H314" s="3" t="str">
        <f>_xlfn.IFNA(INDEX(FieldDisagreements!C2:C999, MATCH(C314,FieldDisagreements!A2:A999, 0)), "")</f>
        <v>effortless-xlsx</v>
      </c>
      <c r="I314" s="3" t="str">
        <f>_xlfn.IFNA(INDEX(FieldDisagreements!D2:D999, MATCH(C314,FieldDisagreements!A2:A999, 0)), "")</f>
        <v>KnowledgeGaps.AsOfInstant</v>
      </c>
      <c r="J314" s="2" t="s">
        <v>1906</v>
      </c>
    </row>
    <row r="315">
      <c r="A315" s="2" t="s">
        <v>15453</v>
      </c>
      <c r="B315" s="3" t="str">
        <f>_xlfn.CONCAT(C315, " @ ", D315)</f>
        <v>effortless-xlsx|KnowledgeGaps.DaysOpen @ gap-policy-delivery-receipts</v>
      </c>
      <c r="C315" s="2" t="s">
        <v>14668</v>
      </c>
      <c r="D315" s="2" t="s">
        <v>1196</v>
      </c>
      <c r="E315" s="2" t="s">
        <v>935</v>
      </c>
      <c r="F315" s="2" t="s">
        <v>37</v>
      </c>
      <c r="G315" s="2" t="s">
        <v>14591</v>
      </c>
      <c r="H315" s="3" t="str">
        <f>_xlfn.IFNA(INDEX(FieldDisagreements!C2:C999, MATCH(C315,FieldDisagreements!A2:A999, 0)), "")</f>
        <v>effortless-xlsx</v>
      </c>
      <c r="I315" s="3" t="str">
        <f>_xlfn.IFNA(INDEX(FieldDisagreements!D2:D999, MATCH(C315,FieldDisagreements!A2:A999, 0)), "")</f>
        <v>KnowledgeGaps.DaysOpen</v>
      </c>
      <c r="J315" s="2" t="s">
        <v>1906</v>
      </c>
    </row>
    <row r="316">
      <c r="A316" s="2" t="s">
        <v>15454</v>
      </c>
      <c r="B316" s="3" t="str">
        <f>_xlfn.CONCAT(C316, " @ ", D316)</f>
        <v>effortless-xlsx|FAQs.Name @ faq-close-workpapers</v>
      </c>
      <c r="C316" s="2" t="s">
        <v>14669</v>
      </c>
      <c r="D316" s="2" t="s">
        <v>1225</v>
      </c>
      <c r="E316" s="2" t="s">
        <v>15455</v>
      </c>
      <c r="F316" s="2" t="s">
        <v>15036</v>
      </c>
      <c r="G316" s="2" t="s">
        <v>14670</v>
      </c>
      <c r="H316" s="3" t="str">
        <f>_xlfn.IFNA(INDEX(FieldDisagreements!C2:C999, MATCH(C316,FieldDisagreements!A2:A999, 0)), "")</f>
        <v>effortless-xlsx</v>
      </c>
      <c r="I316" s="3" t="str">
        <f>_xlfn.IFNA(INDEX(FieldDisagreements!D2:D999, MATCH(C316,FieldDisagreements!A2:A999, 0)), "")</f>
        <v>FAQs.Name</v>
      </c>
      <c r="J316" s="2" t="s">
        <v>1906</v>
      </c>
    </row>
    <row r="317">
      <c r="A317" s="2" t="s">
        <v>15456</v>
      </c>
      <c r="B317" s="3" t="str">
        <f>_xlfn.CONCAT(C317, " @ ", D317)</f>
        <v>effortless-xlsx|FAQs.Name @ faq-policy-ai</v>
      </c>
      <c r="C317" s="2" t="s">
        <v>14669</v>
      </c>
      <c r="D317" s="2" t="s">
        <v>1230</v>
      </c>
      <c r="E317" s="2" t="s">
        <v>15457</v>
      </c>
      <c r="F317" s="2" t="s">
        <v>15036</v>
      </c>
      <c r="G317" s="2" t="s">
        <v>14670</v>
      </c>
      <c r="H317" s="3" t="str">
        <f>_xlfn.IFNA(INDEX(FieldDisagreements!C2:C999, MATCH(C317,FieldDisagreements!A2:A999, 0)), "")</f>
        <v>effortless-xlsx</v>
      </c>
      <c r="I317" s="3" t="str">
        <f>_xlfn.IFNA(INDEX(FieldDisagreements!D2:D999, MATCH(C317,FieldDisagreements!A2:A999, 0)), "")</f>
        <v>FAQs.Name</v>
      </c>
      <c r="J317" s="2" t="s">
        <v>1906</v>
      </c>
    </row>
    <row r="318">
      <c r="A318" s="2" t="s">
        <v>15458</v>
      </c>
      <c r="B318" s="3" t="str">
        <f>_xlfn.CONCAT(C318, " @ ", D318)</f>
        <v>effortless-xlsx|FAQs.Name @ faq-policy-optout</v>
      </c>
      <c r="C318" s="2" t="s">
        <v>14669</v>
      </c>
      <c r="D318" s="2" t="s">
        <v>1234</v>
      </c>
      <c r="E318" s="2" t="s">
        <v>15459</v>
      </c>
      <c r="F318" s="2" t="s">
        <v>15036</v>
      </c>
      <c r="G318" s="2" t="s">
        <v>14670</v>
      </c>
      <c r="H318" s="3" t="str">
        <f>_xlfn.IFNA(INDEX(FieldDisagreements!C2:C999, MATCH(C318,FieldDisagreements!A2:A999, 0)), "")</f>
        <v>effortless-xlsx</v>
      </c>
      <c r="I318" s="3" t="str">
        <f>_xlfn.IFNA(INDEX(FieldDisagreements!D2:D999, MATCH(C318,FieldDisagreements!A2:A999, 0)), "")</f>
        <v>FAQs.Name</v>
      </c>
      <c r="J318" s="2" t="s">
        <v>1906</v>
      </c>
    </row>
    <row r="319">
      <c r="A319" s="2" t="s">
        <v>15460</v>
      </c>
      <c r="B319" s="3" t="str">
        <f>_xlfn.CONCAT(C319, " @ ", D319)</f>
        <v>effortless-xlsx|ProcedureExecutions.LateStepCount @ exec-close-2026-q2</v>
      </c>
      <c r="C319" s="2" t="s">
        <v>14671</v>
      </c>
      <c r="D319" s="2" t="s">
        <v>1319</v>
      </c>
      <c r="E319" s="2" t="s">
        <v>15461</v>
      </c>
      <c r="F319" s="2" t="s">
        <v>935</v>
      </c>
      <c r="G319" s="2" t="s">
        <v>14591</v>
      </c>
      <c r="H319" s="3" t="str">
        <f>_xlfn.IFNA(INDEX(FieldDisagreements!C2:C999, MATCH(C319,FieldDisagreements!A2:A999, 0)), "")</f>
        <v>effortless-xlsx</v>
      </c>
      <c r="I319" s="3" t="str">
        <f>_xlfn.IFNA(INDEX(FieldDisagreements!D2:D999, MATCH(C319,FieldDisagreements!A2:A999, 0)), "")</f>
        <v>ProcedureExecutions.LateStepCount</v>
      </c>
      <c r="J319" s="2" t="s">
        <v>1906</v>
      </c>
    </row>
    <row r="320">
      <c r="A320" s="2" t="s">
        <v>15462</v>
      </c>
      <c r="B320" s="3" t="str">
        <f>_xlfn.CONCAT(C320, " @ ", D320)</f>
        <v>effortless-xlsx|ProcedureExecutions.LateStepCount @ exec-policy-hr4821</v>
      </c>
      <c r="C320" s="2" t="s">
        <v>14671</v>
      </c>
      <c r="D320" s="2" t="s">
        <v>1324</v>
      </c>
      <c r="E320" s="2" t="s">
        <v>15463</v>
      </c>
      <c r="F320" s="2" t="s">
        <v>935</v>
      </c>
      <c r="G320" s="2" t="s">
        <v>14591</v>
      </c>
      <c r="H320" s="3" t="str">
        <f>_xlfn.IFNA(INDEX(FieldDisagreements!C2:C999, MATCH(C320,FieldDisagreements!A2:A999, 0)), "")</f>
        <v>effortless-xlsx</v>
      </c>
      <c r="I320" s="3" t="str">
        <f>_xlfn.IFNA(INDEX(FieldDisagreements!D2:D999, MATCH(C320,FieldDisagreements!A2:A999, 0)), "")</f>
        <v>ProcedureExecutions.LateStepCount</v>
      </c>
      <c r="J320" s="2" t="s">
        <v>1906</v>
      </c>
    </row>
    <row r="321">
      <c r="A321" s="2" t="s">
        <v>15464</v>
      </c>
      <c r="B321" s="3" t="str">
        <f>_xlfn.CONCAT(C321, " @ ", D321)</f>
        <v>effortless-xlsx|ProcedureExecutions.UncleanStepCount @ exec-close-2026-q2</v>
      </c>
      <c r="C321" s="2" t="s">
        <v>14672</v>
      </c>
      <c r="D321" s="2" t="s">
        <v>1319</v>
      </c>
      <c r="E321" s="2" t="s">
        <v>15461</v>
      </c>
      <c r="F321" s="2" t="s">
        <v>935</v>
      </c>
      <c r="G321" s="2" t="s">
        <v>14591</v>
      </c>
      <c r="H321" s="3" t="str">
        <f>_xlfn.IFNA(INDEX(FieldDisagreements!C2:C999, MATCH(C321,FieldDisagreements!A2:A999, 0)), "")</f>
        <v>effortless-xlsx</v>
      </c>
      <c r="I321" s="3" t="str">
        <f>_xlfn.IFNA(INDEX(FieldDisagreements!D2:D999, MATCH(C321,FieldDisagreements!A2:A999, 0)), "")</f>
        <v>ProcedureExecutions.UncleanStepCount</v>
      </c>
      <c r="J321" s="2" t="s">
        <v>1906</v>
      </c>
    </row>
    <row r="322">
      <c r="A322" s="2" t="s">
        <v>15465</v>
      </c>
      <c r="B322" s="3" t="str">
        <f>_xlfn.CONCAT(C322, " @ ", D322)</f>
        <v>effortless-xlsx|ProcedureExecutions.UncleanStepCount @ exec-policy-hr4821</v>
      </c>
      <c r="C322" s="2" t="s">
        <v>14672</v>
      </c>
      <c r="D322" s="2" t="s">
        <v>1324</v>
      </c>
      <c r="E322" s="2" t="s">
        <v>15463</v>
      </c>
      <c r="F322" s="2" t="s">
        <v>935</v>
      </c>
      <c r="G322" s="2" t="s">
        <v>14591</v>
      </c>
      <c r="H322" s="3" t="str">
        <f>_xlfn.IFNA(INDEX(FieldDisagreements!C2:C999, MATCH(C322,FieldDisagreements!A2:A999, 0)), "")</f>
        <v>effortless-xlsx</v>
      </c>
      <c r="I322" s="3" t="str">
        <f>_xlfn.IFNA(INDEX(FieldDisagreements!D2:D999, MATCH(C322,FieldDisagreements!A2:A999, 0)), "")</f>
        <v>ProcedureExecutions.UncleanStepCount</v>
      </c>
      <c r="J322" s="2" t="s">
        <v>1906</v>
      </c>
    </row>
    <row r="323">
      <c r="A323" s="2" t="s">
        <v>15466</v>
      </c>
      <c r="B323" s="3" t="str">
        <f>_xlfn.CONCAT(C323, " @ ", D323)</f>
        <v>effortless-xlsx|ProcedureExecutions.RanClean @ exec-close-2026-q2</v>
      </c>
      <c r="C323" s="2" t="s">
        <v>14673</v>
      </c>
      <c r="D323" s="2" t="s">
        <v>1319</v>
      </c>
      <c r="E323" s="2" t="s">
        <v>15057</v>
      </c>
      <c r="F323" s="2" t="s">
        <v>15035</v>
      </c>
      <c r="G323" s="2" t="s">
        <v>14591</v>
      </c>
      <c r="H323" s="3" t="str">
        <f>_xlfn.IFNA(INDEX(FieldDisagreements!C2:C999, MATCH(C323,FieldDisagreements!A2:A999, 0)), "")</f>
        <v>effortless-xlsx</v>
      </c>
      <c r="I323" s="3" t="str">
        <f>_xlfn.IFNA(INDEX(FieldDisagreements!D2:D999, MATCH(C323,FieldDisagreements!A2:A999, 0)), "")</f>
        <v>ProcedureExecutions.RanClean</v>
      </c>
      <c r="J323" s="2" t="s">
        <v>1906</v>
      </c>
    </row>
    <row r="324">
      <c r="A324" s="2" t="s">
        <v>15467</v>
      </c>
      <c r="B324" s="3" t="str">
        <f>_xlfn.CONCAT(C324, " @ ", D324)</f>
        <v>effortless-xlsx|ProcedureExecutions.RanClean @ exec-policy-hr4821</v>
      </c>
      <c r="C324" s="2" t="s">
        <v>14673</v>
      </c>
      <c r="D324" s="2" t="s">
        <v>1324</v>
      </c>
      <c r="E324" s="2" t="s">
        <v>15057</v>
      </c>
      <c r="F324" s="2" t="s">
        <v>15035</v>
      </c>
      <c r="G324" s="2" t="s">
        <v>14591</v>
      </c>
      <c r="H324" s="3" t="str">
        <f>_xlfn.IFNA(INDEX(FieldDisagreements!C2:C999, MATCH(C324,FieldDisagreements!A2:A999, 0)), "")</f>
        <v>effortless-xlsx</v>
      </c>
      <c r="I324" s="3" t="str">
        <f>_xlfn.IFNA(INDEX(FieldDisagreements!D2:D999, MATCH(C324,FieldDisagreements!A2:A999, 0)), "")</f>
        <v>ProcedureExecutions.RanClean</v>
      </c>
      <c r="J324" s="2" t="s">
        <v>1906</v>
      </c>
    </row>
    <row r="325">
      <c r="A325" s="2" t="s">
        <v>15468</v>
      </c>
      <c r="B325" s="3" t="str">
        <f>_xlfn.CONCAT(C325, " @ ", D325)</f>
        <v>effortless-xlsx|ProcedureExecutions.VacuouslyCleanStepCount @ exec-close-2026-q2</v>
      </c>
      <c r="C325" s="2" t="s">
        <v>14674</v>
      </c>
      <c r="D325" s="2" t="s">
        <v>1319</v>
      </c>
      <c r="E325" s="2" t="s">
        <v>37</v>
      </c>
      <c r="F325" s="2" t="s">
        <v>935</v>
      </c>
      <c r="G325" s="2" t="s">
        <v>14591</v>
      </c>
      <c r="H325" s="3" t="str">
        <f>_xlfn.IFNA(INDEX(FieldDisagreements!C2:C999, MATCH(C325,FieldDisagreements!A2:A999, 0)), "")</f>
        <v>effortless-xlsx</v>
      </c>
      <c r="I325" s="3" t="str">
        <f>_xlfn.IFNA(INDEX(FieldDisagreements!D2:D999, MATCH(C325,FieldDisagreements!A2:A999, 0)), "")</f>
        <v>ProcedureExecutions.VacuouslyCleanStepCount</v>
      </c>
      <c r="J325" s="2" t="s">
        <v>1906</v>
      </c>
    </row>
    <row r="326">
      <c r="A326" s="2" t="s">
        <v>15469</v>
      </c>
      <c r="B326" s="3" t="str">
        <f>_xlfn.CONCAT(C326, " @ ", D326)</f>
        <v>effortless-xlsx|ProcedureExecutions.VacuouslyCleanStepCount @ exec-policy-hr4821</v>
      </c>
      <c r="C326" s="2" t="s">
        <v>14674</v>
      </c>
      <c r="D326" s="2" t="s">
        <v>1324</v>
      </c>
      <c r="E326" s="2" t="s">
        <v>37</v>
      </c>
      <c r="F326" s="2" t="s">
        <v>935</v>
      </c>
      <c r="G326" s="2" t="s">
        <v>14591</v>
      </c>
      <c r="H326" s="3" t="str">
        <f>_xlfn.IFNA(INDEX(FieldDisagreements!C2:C999, MATCH(C326,FieldDisagreements!A2:A999, 0)), "")</f>
        <v>effortless-xlsx</v>
      </c>
      <c r="I326" s="3" t="str">
        <f>_xlfn.IFNA(INDEX(FieldDisagreements!D2:D999, MATCH(C326,FieldDisagreements!A2:A999, 0)), "")</f>
        <v>ProcedureExecutions.VacuouslyCleanStepCount</v>
      </c>
      <c r="J326" s="2" t="s">
        <v>1906</v>
      </c>
    </row>
    <row r="327">
      <c r="A327" s="2" t="s">
        <v>15470</v>
      </c>
      <c r="B327" s="3" t="str">
        <f>_xlfn.CONCAT(C327, " @ ", D327)</f>
        <v>effortless-xlsx|ProcedureExecutions.LatestAttestationInstant @ exec-close-2026-q2</v>
      </c>
      <c r="C327" s="2" t="s">
        <v>14675</v>
      </c>
      <c r="D327" s="2" t="s">
        <v>1319</v>
      </c>
      <c r="E327" s="2" t="s">
        <v>15036</v>
      </c>
      <c r="F327" s="2" t="s">
        <v>15471</v>
      </c>
      <c r="G327" s="2" t="s">
        <v>14591</v>
      </c>
      <c r="H327" s="3" t="str">
        <f>_xlfn.IFNA(INDEX(FieldDisagreements!C2:C999, MATCH(C327,FieldDisagreements!A2:A999, 0)), "")</f>
        <v>effortless-xlsx</v>
      </c>
      <c r="I327" s="3" t="str">
        <f>_xlfn.IFNA(INDEX(FieldDisagreements!D2:D999, MATCH(C327,FieldDisagreements!A2:A999, 0)), "")</f>
        <v>ProcedureExecutions.LatestAttestationInstant</v>
      </c>
      <c r="J327" s="2" t="s">
        <v>1906</v>
      </c>
    </row>
    <row r="328">
      <c r="A328" s="2" t="s">
        <v>15472</v>
      </c>
      <c r="B328" s="3" t="str">
        <f>_xlfn.CONCAT(C328, " @ ", D328)</f>
        <v>effortless-xlsx|ProcedureExecutions.LatestAttestationInstant @ exec-policy-hr4821</v>
      </c>
      <c r="C328" s="2" t="s">
        <v>14675</v>
      </c>
      <c r="D328" s="2" t="s">
        <v>1324</v>
      </c>
      <c r="E328" s="2" t="s">
        <v>15036</v>
      </c>
      <c r="F328" s="2" t="s">
        <v>15471</v>
      </c>
      <c r="G328" s="2" t="s">
        <v>14591</v>
      </c>
      <c r="H328" s="3" t="str">
        <f>_xlfn.IFNA(INDEX(FieldDisagreements!C2:C999, MATCH(C328,FieldDisagreements!A2:A999, 0)), "")</f>
        <v>effortless-xlsx</v>
      </c>
      <c r="I328" s="3" t="str">
        <f>_xlfn.IFNA(INDEX(FieldDisagreements!D2:D999, MATCH(C328,FieldDisagreements!A2:A999, 0)), "")</f>
        <v>ProcedureExecutions.LatestAttestationInstant</v>
      </c>
      <c r="J328" s="2" t="s">
        <v>1906</v>
      </c>
    </row>
    <row r="329">
      <c r="A329" s="2" t="s">
        <v>15473</v>
      </c>
      <c r="B329" s="3" t="str">
        <f>_xlfn.CONCAT(C329, " @ ", D329)</f>
        <v>effortless-xlsx|ProcedureExecutions.MishandledRefusalCount @ exec-policy-hr4821</v>
      </c>
      <c r="C329" s="2" t="s">
        <v>14676</v>
      </c>
      <c r="D329" s="2" t="s">
        <v>1324</v>
      </c>
      <c r="E329" s="2" t="s">
        <v>15474</v>
      </c>
      <c r="F329" s="2" t="s">
        <v>15461</v>
      </c>
      <c r="G329" s="2" t="s">
        <v>14591</v>
      </c>
      <c r="H329" s="3" t="str">
        <f>_xlfn.IFNA(INDEX(FieldDisagreements!C2:C999, MATCH(C329,FieldDisagreements!A2:A999, 0)), "")</f>
        <v>effortless-xlsx</v>
      </c>
      <c r="I329" s="3" t="str">
        <f>_xlfn.IFNA(INDEX(FieldDisagreements!D2:D999, MATCH(C329,FieldDisagreements!A2:A999, 0)), "")</f>
        <v>ProcedureExecutions.MishandledRefusalCount</v>
      </c>
      <c r="J329" s="2" t="s">
        <v>1906</v>
      </c>
    </row>
    <row r="330">
      <c r="A330" s="2" t="s">
        <v>15475</v>
      </c>
      <c r="B330" s="3" t="str">
        <f>_xlfn.CONCAT(C330, " @ ", D330)</f>
        <v>effortless-xlsx|ProcedureExecutions.UngovernedDivergenceCount @ exec-policy-hr4821</v>
      </c>
      <c r="C330" s="2" t="s">
        <v>14677</v>
      </c>
      <c r="D330" s="2" t="s">
        <v>1324</v>
      </c>
      <c r="E330" s="2" t="s">
        <v>15463</v>
      </c>
      <c r="F330" s="2" t="s">
        <v>935</v>
      </c>
      <c r="G330" s="2" t="s">
        <v>14591</v>
      </c>
      <c r="H330" s="3" t="str">
        <f>_xlfn.IFNA(INDEX(FieldDisagreements!C2:C999, MATCH(C330,FieldDisagreements!A2:A999, 0)), "")</f>
        <v>effortless-xlsx</v>
      </c>
      <c r="I330" s="3" t="str">
        <f>_xlfn.IFNA(INDEX(FieldDisagreements!D2:D999, MATCH(C330,FieldDisagreements!A2:A999, 0)), "")</f>
        <v>ProcedureExecutions.UngovernedDivergenceCount</v>
      </c>
      <c r="J330" s="2" t="s">
        <v>1906</v>
      </c>
    </row>
    <row r="331">
      <c r="A331" s="2" t="s">
        <v>15476</v>
      </c>
      <c r="B331" s="3" t="str">
        <f>_xlfn.CONCAT(C331, " @ ", D331)</f>
        <v>effortless-xlsx|ProcedureExecutions.DivergenceWasFullyGoverned @ exec-policy-hr4821</v>
      </c>
      <c r="C331" s="2" t="s">
        <v>14678</v>
      </c>
      <c r="D331" s="2" t="s">
        <v>1324</v>
      </c>
      <c r="E331" s="2" t="s">
        <v>15057</v>
      </c>
      <c r="F331" s="2" t="s">
        <v>15035</v>
      </c>
      <c r="G331" s="2" t="s">
        <v>14591</v>
      </c>
      <c r="H331" s="3" t="str">
        <f>_xlfn.IFNA(INDEX(FieldDisagreements!C2:C999, MATCH(C331,FieldDisagreements!A2:A999, 0)), "")</f>
        <v>effortless-xlsx</v>
      </c>
      <c r="I331" s="3" t="str">
        <f>_xlfn.IFNA(INDEX(FieldDisagreements!D2:D999, MATCH(C331,FieldDisagreements!A2:A999, 0)), "")</f>
        <v>ProcedureExecutions.DivergenceWasFullyGoverned</v>
      </c>
      <c r="J331" s="2" t="s">
        <v>1906</v>
      </c>
    </row>
    <row r="332">
      <c r="A332" s="2" t="s">
        <v>15477</v>
      </c>
      <c r="B332" s="3" t="str">
        <f>_xlfn.CONCAT(C332, " @ ", D332)</f>
        <v>effortless-xlsx|StepExecutions.ActualDurationMinutes @ se-close01</v>
      </c>
      <c r="C332" s="2" t="s">
        <v>14679</v>
      </c>
      <c r="D332" s="2" t="s">
        <v>1427</v>
      </c>
      <c r="E332" s="2" t="s">
        <v>15474</v>
      </c>
      <c r="F332" s="2" t="s">
        <v>15478</v>
      </c>
      <c r="G332" s="2" t="s">
        <v>14591</v>
      </c>
      <c r="H332" s="3" t="str">
        <f>_xlfn.IFNA(INDEX(FieldDisagreements!C2:C999, MATCH(C332,FieldDisagreements!A2:A999, 0)), "")</f>
        <v>effortless-xlsx</v>
      </c>
      <c r="I332" s="3" t="str">
        <f>_xlfn.IFNA(INDEX(FieldDisagreements!D2:D999, MATCH(C332,FieldDisagreements!A2:A999, 0)), "")</f>
        <v>StepExecutions.ActualDurationMinutes</v>
      </c>
      <c r="J332" s="2" t="s">
        <v>1906</v>
      </c>
    </row>
    <row r="333">
      <c r="A333" s="2" t="s">
        <v>15479</v>
      </c>
      <c r="B333" s="3" t="str">
        <f>_xlfn.CONCAT(C333, " @ ", D333)</f>
        <v>effortless-xlsx|StepExecutions.ActualDurationMinutes @ se-close02</v>
      </c>
      <c r="C333" s="2" t="s">
        <v>14679</v>
      </c>
      <c r="D333" s="2" t="s">
        <v>1430</v>
      </c>
      <c r="E333" s="2" t="s">
        <v>15480</v>
      </c>
      <c r="F333" s="2" t="s">
        <v>15478</v>
      </c>
      <c r="G333" s="2" t="s">
        <v>14591</v>
      </c>
      <c r="H333" s="3" t="str">
        <f>_xlfn.IFNA(INDEX(FieldDisagreements!C2:C999, MATCH(C333,FieldDisagreements!A2:A999, 0)), "")</f>
        <v>effortless-xlsx</v>
      </c>
      <c r="I333" s="3" t="str">
        <f>_xlfn.IFNA(INDEX(FieldDisagreements!D2:D999, MATCH(C333,FieldDisagreements!A2:A999, 0)), "")</f>
        <v>StepExecutions.ActualDurationMinutes</v>
      </c>
      <c r="J333" s="2" t="s">
        <v>1906</v>
      </c>
    </row>
    <row r="334">
      <c r="A334" s="2" t="s">
        <v>15481</v>
      </c>
      <c r="B334" s="3" t="str">
        <f>_xlfn.CONCAT(C334, " @ ", D334)</f>
        <v>effortless-xlsx|StepExecutions.ActualDurationMinutes @ se-close03</v>
      </c>
      <c r="C334" s="2" t="s">
        <v>14679</v>
      </c>
      <c r="D334" s="2" t="s">
        <v>1433</v>
      </c>
      <c r="E334" s="2" t="s">
        <v>15482</v>
      </c>
      <c r="F334" s="2" t="s">
        <v>15478</v>
      </c>
      <c r="G334" s="2" t="s">
        <v>14591</v>
      </c>
      <c r="H334" s="3" t="str">
        <f>_xlfn.IFNA(INDEX(FieldDisagreements!C2:C999, MATCH(C334,FieldDisagreements!A2:A999, 0)), "")</f>
        <v>effortless-xlsx</v>
      </c>
      <c r="I334" s="3" t="str">
        <f>_xlfn.IFNA(INDEX(FieldDisagreements!D2:D999, MATCH(C334,FieldDisagreements!A2:A999, 0)), "")</f>
        <v>StepExecutions.ActualDurationMinutes</v>
      </c>
      <c r="J334" s="2" t="s">
        <v>1906</v>
      </c>
    </row>
    <row r="335">
      <c r="A335" s="2" t="s">
        <v>15483</v>
      </c>
      <c r="B335" s="3" t="str">
        <f>_xlfn.CONCAT(C335, " @ ", D335)</f>
        <v>effortless-xlsx|StepExecutions.ActualDurationMinutes @ se-close04</v>
      </c>
      <c r="C335" s="2" t="s">
        <v>14679</v>
      </c>
      <c r="D335" s="2" t="s">
        <v>1434</v>
      </c>
      <c r="E335" s="2" t="s">
        <v>15484</v>
      </c>
      <c r="F335" s="2" t="s">
        <v>15478</v>
      </c>
      <c r="G335" s="2" t="s">
        <v>14591</v>
      </c>
      <c r="H335" s="3" t="str">
        <f>_xlfn.IFNA(INDEX(FieldDisagreements!C2:C999, MATCH(C335,FieldDisagreements!A2:A999, 0)), "")</f>
        <v>effortless-xlsx</v>
      </c>
      <c r="I335" s="3" t="str">
        <f>_xlfn.IFNA(INDEX(FieldDisagreements!D2:D999, MATCH(C335,FieldDisagreements!A2:A999, 0)), "")</f>
        <v>StepExecutions.ActualDurationMinutes</v>
      </c>
      <c r="J335" s="2" t="s">
        <v>1906</v>
      </c>
    </row>
    <row r="336">
      <c r="A336" s="2" t="s">
        <v>15485</v>
      </c>
      <c r="B336" s="3" t="str">
        <f>_xlfn.CONCAT(C336, " @ ", D336)</f>
        <v>effortless-xlsx|StepExecutions.ActualDurationMinutes @ se-close05</v>
      </c>
      <c r="C336" s="2" t="s">
        <v>14679</v>
      </c>
      <c r="D336" s="2" t="s">
        <v>1436</v>
      </c>
      <c r="E336" s="2" t="s">
        <v>15486</v>
      </c>
      <c r="F336" s="2" t="s">
        <v>15478</v>
      </c>
      <c r="G336" s="2" t="s">
        <v>14591</v>
      </c>
      <c r="H336" s="3" t="str">
        <f>_xlfn.IFNA(INDEX(FieldDisagreements!C2:C999, MATCH(C336,FieldDisagreements!A2:A999, 0)), "")</f>
        <v>effortless-xlsx</v>
      </c>
      <c r="I336" s="3" t="str">
        <f>_xlfn.IFNA(INDEX(FieldDisagreements!D2:D999, MATCH(C336,FieldDisagreements!A2:A999, 0)), "")</f>
        <v>StepExecutions.ActualDurationMinutes</v>
      </c>
      <c r="J336" s="2" t="s">
        <v>1906</v>
      </c>
    </row>
    <row r="337">
      <c r="A337" s="2" t="s">
        <v>15487</v>
      </c>
      <c r="B337" s="3" t="str">
        <f>_xlfn.CONCAT(C337, " @ ", D337)</f>
        <v>effortless-xlsx|StepExecutions.ActualDurationMinutes @ se-close06</v>
      </c>
      <c r="C337" s="2" t="s">
        <v>14679</v>
      </c>
      <c r="D337" s="2" t="s">
        <v>1437</v>
      </c>
      <c r="E337" s="2" t="s">
        <v>15195</v>
      </c>
      <c r="F337" s="2" t="s">
        <v>15478</v>
      </c>
      <c r="G337" s="2" t="s">
        <v>14591</v>
      </c>
      <c r="H337" s="3" t="str">
        <f>_xlfn.IFNA(INDEX(FieldDisagreements!C2:C999, MATCH(C337,FieldDisagreements!A2:A999, 0)), "")</f>
        <v>effortless-xlsx</v>
      </c>
      <c r="I337" s="3" t="str">
        <f>_xlfn.IFNA(INDEX(FieldDisagreements!D2:D999, MATCH(C337,FieldDisagreements!A2:A999, 0)), "")</f>
        <v>StepExecutions.ActualDurationMinutes</v>
      </c>
      <c r="J337" s="2" t="s">
        <v>1906</v>
      </c>
    </row>
    <row r="338">
      <c r="A338" s="2" t="s">
        <v>15488</v>
      </c>
      <c r="B338" s="3" t="str">
        <f>_xlfn.CONCAT(C338, " @ ", D338)</f>
        <v>effortless-xlsx|StepExecutions.ActualDurationMinutes @ se-close07</v>
      </c>
      <c r="C338" s="2" t="s">
        <v>14679</v>
      </c>
      <c r="D338" s="2" t="s">
        <v>1438</v>
      </c>
      <c r="E338" s="2" t="s">
        <v>8195</v>
      </c>
      <c r="F338" s="2" t="s">
        <v>15478</v>
      </c>
      <c r="G338" s="2" t="s">
        <v>14591</v>
      </c>
      <c r="H338" s="3" t="str">
        <f>_xlfn.IFNA(INDEX(FieldDisagreements!C2:C999, MATCH(C338,FieldDisagreements!A2:A999, 0)), "")</f>
        <v>effortless-xlsx</v>
      </c>
      <c r="I338" s="3" t="str">
        <f>_xlfn.IFNA(INDEX(FieldDisagreements!D2:D999, MATCH(C338,FieldDisagreements!A2:A999, 0)), "")</f>
        <v>StepExecutions.ActualDurationMinutes</v>
      </c>
      <c r="J338" s="2" t="s">
        <v>1906</v>
      </c>
    </row>
    <row r="339">
      <c r="A339" s="2" t="s">
        <v>15489</v>
      </c>
      <c r="B339" s="3" t="str">
        <f>_xlfn.CONCAT(C339, " @ ", D339)</f>
        <v>effortless-xlsx|StepExecutions.ActualDurationMinutes @ se-close08</v>
      </c>
      <c r="C339" s="2" t="s">
        <v>14679</v>
      </c>
      <c r="D339" s="2" t="s">
        <v>1439</v>
      </c>
      <c r="E339" s="2" t="s">
        <v>15490</v>
      </c>
      <c r="F339" s="2" t="s">
        <v>15478</v>
      </c>
      <c r="G339" s="2" t="s">
        <v>14591</v>
      </c>
      <c r="H339" s="3" t="str">
        <f>_xlfn.IFNA(INDEX(FieldDisagreements!C2:C999, MATCH(C339,FieldDisagreements!A2:A999, 0)), "")</f>
        <v>effortless-xlsx</v>
      </c>
      <c r="I339" s="3" t="str">
        <f>_xlfn.IFNA(INDEX(FieldDisagreements!D2:D999, MATCH(C339,FieldDisagreements!A2:A999, 0)), "")</f>
        <v>StepExecutions.ActualDurationMinutes</v>
      </c>
      <c r="J339" s="2" t="s">
        <v>1906</v>
      </c>
    </row>
    <row r="340">
      <c r="A340" s="2" t="s">
        <v>15491</v>
      </c>
      <c r="B340" s="3" t="str">
        <f>_xlfn.CONCAT(C340, " @ ", D340)</f>
        <v>effortless-xlsx|StepExecutions.ActualDurationMinutes @ se-policy01</v>
      </c>
      <c r="C340" s="2" t="s">
        <v>14679</v>
      </c>
      <c r="D340" s="2" t="s">
        <v>1441</v>
      </c>
      <c r="E340" s="2" t="s">
        <v>15492</v>
      </c>
      <c r="F340" s="2" t="s">
        <v>15478</v>
      </c>
      <c r="G340" s="2" t="s">
        <v>14591</v>
      </c>
      <c r="H340" s="3" t="str">
        <f>_xlfn.IFNA(INDEX(FieldDisagreements!C2:C999, MATCH(C340,FieldDisagreements!A2:A999, 0)), "")</f>
        <v>effortless-xlsx</v>
      </c>
      <c r="I340" s="3" t="str">
        <f>_xlfn.IFNA(INDEX(FieldDisagreements!D2:D999, MATCH(C340,FieldDisagreements!A2:A999, 0)), "")</f>
        <v>StepExecutions.ActualDurationMinutes</v>
      </c>
      <c r="J340" s="2" t="s">
        <v>1906</v>
      </c>
    </row>
    <row r="341">
      <c r="A341" s="2" t="s">
        <v>15493</v>
      </c>
      <c r="B341" s="3" t="str">
        <f>_xlfn.CONCAT(C341, " @ ", D341)</f>
        <v>effortless-xlsx|StepExecutions.ActualDurationMinutes @ se-policy02</v>
      </c>
      <c r="C341" s="2" t="s">
        <v>14679</v>
      </c>
      <c r="D341" s="2" t="s">
        <v>1442</v>
      </c>
      <c r="E341" s="2" t="s">
        <v>15494</v>
      </c>
      <c r="F341" s="2" t="s">
        <v>15478</v>
      </c>
      <c r="G341" s="2" t="s">
        <v>14591</v>
      </c>
      <c r="H341" s="3" t="str">
        <f>_xlfn.IFNA(INDEX(FieldDisagreements!C2:C999, MATCH(C341,FieldDisagreements!A2:A999, 0)), "")</f>
        <v>effortless-xlsx</v>
      </c>
      <c r="I341" s="3" t="str">
        <f>_xlfn.IFNA(INDEX(FieldDisagreements!D2:D999, MATCH(C341,FieldDisagreements!A2:A999, 0)), "")</f>
        <v>StepExecutions.ActualDurationMinutes</v>
      </c>
      <c r="J341" s="2" t="s">
        <v>1906</v>
      </c>
    </row>
    <row r="342">
      <c r="A342" s="2" t="s">
        <v>15495</v>
      </c>
      <c r="B342" s="3" t="str">
        <f>_xlfn.CONCAT(C342, " @ ", D342)</f>
        <v>effortless-xlsx|StepExecutions.ActualDurationMinutes @ se-policy03</v>
      </c>
      <c r="C342" s="2" t="s">
        <v>14679</v>
      </c>
      <c r="D342" s="2" t="s">
        <v>1443</v>
      </c>
      <c r="E342" s="2" t="s">
        <v>15496</v>
      </c>
      <c r="F342" s="2" t="s">
        <v>15478</v>
      </c>
      <c r="G342" s="2" t="s">
        <v>14591</v>
      </c>
      <c r="H342" s="3" t="str">
        <f>_xlfn.IFNA(INDEX(FieldDisagreements!C2:C999, MATCH(C342,FieldDisagreements!A2:A999, 0)), "")</f>
        <v>effortless-xlsx</v>
      </c>
      <c r="I342" s="3" t="str">
        <f>_xlfn.IFNA(INDEX(FieldDisagreements!D2:D999, MATCH(C342,FieldDisagreements!A2:A999, 0)), "")</f>
        <v>StepExecutions.ActualDurationMinutes</v>
      </c>
      <c r="J342" s="2" t="s">
        <v>1906</v>
      </c>
    </row>
    <row r="343">
      <c r="A343" s="2" t="s">
        <v>15497</v>
      </c>
      <c r="B343" s="3" t="str">
        <f>_xlfn.CONCAT(C343, " @ ", D343)</f>
        <v>effortless-xlsx|StepExecutions.ActualDurationMinutes @ se-policy04</v>
      </c>
      <c r="C343" s="2" t="s">
        <v>14679</v>
      </c>
      <c r="D343" s="2" t="s">
        <v>1444</v>
      </c>
      <c r="E343" s="2" t="s">
        <v>15498</v>
      </c>
      <c r="F343" s="2" t="s">
        <v>15478</v>
      </c>
      <c r="G343" s="2" t="s">
        <v>14591</v>
      </c>
      <c r="H343" s="3" t="str">
        <f>_xlfn.IFNA(INDEX(FieldDisagreements!C2:C999, MATCH(C343,FieldDisagreements!A2:A999, 0)), "")</f>
        <v>effortless-xlsx</v>
      </c>
      <c r="I343" s="3" t="str">
        <f>_xlfn.IFNA(INDEX(FieldDisagreements!D2:D999, MATCH(C343,FieldDisagreements!A2:A999, 0)), "")</f>
        <v>StepExecutions.ActualDurationMinutes</v>
      </c>
      <c r="J343" s="2" t="s">
        <v>1906</v>
      </c>
    </row>
    <row r="344">
      <c r="A344" s="2" t="s">
        <v>15499</v>
      </c>
      <c r="B344" s="3" t="str">
        <f>_xlfn.CONCAT(C344, " @ ", D344)</f>
        <v>effortless-xlsx|StepExecutions.IsLate @ se-close01</v>
      </c>
      <c r="C344" s="2" t="s">
        <v>14680</v>
      </c>
      <c r="D344" s="2" t="s">
        <v>1427</v>
      </c>
      <c r="E344" s="2" t="s">
        <v>15057</v>
      </c>
      <c r="F344" s="2" t="s">
        <v>15478</v>
      </c>
      <c r="G344" s="2" t="s">
        <v>14591</v>
      </c>
      <c r="H344" s="3" t="str">
        <f>_xlfn.IFNA(INDEX(FieldDisagreements!C2:C999, MATCH(C344,FieldDisagreements!A2:A999, 0)), "")</f>
        <v>effortless-xlsx</v>
      </c>
      <c r="I344" s="3" t="str">
        <f>_xlfn.IFNA(INDEX(FieldDisagreements!D2:D999, MATCH(C344,FieldDisagreements!A2:A999, 0)), "")</f>
        <v>StepExecutions.IsLate</v>
      </c>
      <c r="J344" s="2" t="s">
        <v>1906</v>
      </c>
    </row>
    <row r="345">
      <c r="A345" s="2" t="s">
        <v>15500</v>
      </c>
      <c r="B345" s="3" t="str">
        <f>_xlfn.CONCAT(C345, " @ ", D345)</f>
        <v>effortless-xlsx|StepExecutions.IsLate @ se-close02</v>
      </c>
      <c r="C345" s="2" t="s">
        <v>14680</v>
      </c>
      <c r="D345" s="2" t="s">
        <v>1430</v>
      </c>
      <c r="E345" s="2" t="s">
        <v>15035</v>
      </c>
      <c r="F345" s="2" t="s">
        <v>15478</v>
      </c>
      <c r="G345" s="2" t="s">
        <v>14591</v>
      </c>
      <c r="H345" s="3" t="str">
        <f>_xlfn.IFNA(INDEX(FieldDisagreements!C2:C999, MATCH(C345,FieldDisagreements!A2:A999, 0)), "")</f>
        <v>effortless-xlsx</v>
      </c>
      <c r="I345" s="3" t="str">
        <f>_xlfn.IFNA(INDEX(FieldDisagreements!D2:D999, MATCH(C345,FieldDisagreements!A2:A999, 0)), "")</f>
        <v>StepExecutions.IsLate</v>
      </c>
      <c r="J345" s="2" t="s">
        <v>1906</v>
      </c>
    </row>
    <row r="346">
      <c r="A346" s="2" t="s">
        <v>15501</v>
      </c>
      <c r="B346" s="3" t="str">
        <f>_xlfn.CONCAT(C346, " @ ", D346)</f>
        <v>effortless-xlsx|StepExecutions.IsLate @ se-close03</v>
      </c>
      <c r="C346" s="2" t="s">
        <v>14680</v>
      </c>
      <c r="D346" s="2" t="s">
        <v>1433</v>
      </c>
      <c r="E346" s="2" t="s">
        <v>15035</v>
      </c>
      <c r="F346" s="2" t="s">
        <v>15478</v>
      </c>
      <c r="G346" s="2" t="s">
        <v>14591</v>
      </c>
      <c r="H346" s="3" t="str">
        <f>_xlfn.IFNA(INDEX(FieldDisagreements!C2:C999, MATCH(C346,FieldDisagreements!A2:A999, 0)), "")</f>
        <v>effortless-xlsx</v>
      </c>
      <c r="I346" s="3" t="str">
        <f>_xlfn.IFNA(INDEX(FieldDisagreements!D2:D999, MATCH(C346,FieldDisagreements!A2:A999, 0)), "")</f>
        <v>StepExecutions.IsLate</v>
      </c>
      <c r="J346" s="2" t="s">
        <v>1906</v>
      </c>
    </row>
    <row r="347">
      <c r="A347" s="2" t="s">
        <v>15502</v>
      </c>
      <c r="B347" s="3" t="str">
        <f>_xlfn.CONCAT(C347, " @ ", D347)</f>
        <v>effortless-xlsx|StepExecutions.IsLate @ se-close04</v>
      </c>
      <c r="C347" s="2" t="s">
        <v>14680</v>
      </c>
      <c r="D347" s="2" t="s">
        <v>1434</v>
      </c>
      <c r="E347" s="2" t="s">
        <v>15035</v>
      </c>
      <c r="F347" s="2" t="s">
        <v>15478</v>
      </c>
      <c r="G347" s="2" t="s">
        <v>14591</v>
      </c>
      <c r="H347" s="3" t="str">
        <f>_xlfn.IFNA(INDEX(FieldDisagreements!C2:C999, MATCH(C347,FieldDisagreements!A2:A999, 0)), "")</f>
        <v>effortless-xlsx</v>
      </c>
      <c r="I347" s="3" t="str">
        <f>_xlfn.IFNA(INDEX(FieldDisagreements!D2:D999, MATCH(C347,FieldDisagreements!A2:A999, 0)), "")</f>
        <v>StepExecutions.IsLate</v>
      </c>
      <c r="J347" s="2" t="s">
        <v>1906</v>
      </c>
    </row>
    <row r="348">
      <c r="A348" s="2" t="s">
        <v>15503</v>
      </c>
      <c r="B348" s="3" t="str">
        <f>_xlfn.CONCAT(C348, " @ ", D348)</f>
        <v>effortless-xlsx|StepExecutions.IsLate @ se-close05</v>
      </c>
      <c r="C348" s="2" t="s">
        <v>14680</v>
      </c>
      <c r="D348" s="2" t="s">
        <v>1436</v>
      </c>
      <c r="E348" s="2" t="s">
        <v>15035</v>
      </c>
      <c r="F348" s="2" t="s">
        <v>15478</v>
      </c>
      <c r="G348" s="2" t="s">
        <v>14591</v>
      </c>
      <c r="H348" s="3" t="str">
        <f>_xlfn.IFNA(INDEX(FieldDisagreements!C2:C999, MATCH(C348,FieldDisagreements!A2:A999, 0)), "")</f>
        <v>effortless-xlsx</v>
      </c>
      <c r="I348" s="3" t="str">
        <f>_xlfn.IFNA(INDEX(FieldDisagreements!D2:D999, MATCH(C348,FieldDisagreements!A2:A999, 0)), "")</f>
        <v>StepExecutions.IsLate</v>
      </c>
      <c r="J348" s="2" t="s">
        <v>1906</v>
      </c>
    </row>
    <row r="349">
      <c r="A349" s="2" t="s">
        <v>15504</v>
      </c>
      <c r="B349" s="3" t="str">
        <f>_xlfn.CONCAT(C349, " @ ", D349)</f>
        <v>effortless-xlsx|StepExecutions.IsLate @ se-close06</v>
      </c>
      <c r="C349" s="2" t="s">
        <v>14680</v>
      </c>
      <c r="D349" s="2" t="s">
        <v>1437</v>
      </c>
      <c r="E349" s="2" t="s">
        <v>15057</v>
      </c>
      <c r="F349" s="2" t="s">
        <v>15478</v>
      </c>
      <c r="G349" s="2" t="s">
        <v>14591</v>
      </c>
      <c r="H349" s="3" t="str">
        <f>_xlfn.IFNA(INDEX(FieldDisagreements!C2:C999, MATCH(C349,FieldDisagreements!A2:A999, 0)), "")</f>
        <v>effortless-xlsx</v>
      </c>
      <c r="I349" s="3" t="str">
        <f>_xlfn.IFNA(INDEX(FieldDisagreements!D2:D999, MATCH(C349,FieldDisagreements!A2:A999, 0)), "")</f>
        <v>StepExecutions.IsLate</v>
      </c>
      <c r="J349" s="2" t="s">
        <v>1906</v>
      </c>
    </row>
    <row r="350">
      <c r="A350" s="2" t="s">
        <v>15505</v>
      </c>
      <c r="B350" s="3" t="str">
        <f>_xlfn.CONCAT(C350, " @ ", D350)</f>
        <v>effortless-xlsx|StepExecutions.IsLate @ se-close07</v>
      </c>
      <c r="C350" s="2" t="s">
        <v>14680</v>
      </c>
      <c r="D350" s="2" t="s">
        <v>1438</v>
      </c>
      <c r="E350" s="2" t="s">
        <v>15057</v>
      </c>
      <c r="F350" s="2" t="s">
        <v>15478</v>
      </c>
      <c r="G350" s="2" t="s">
        <v>14591</v>
      </c>
      <c r="H350" s="3" t="str">
        <f>_xlfn.IFNA(INDEX(FieldDisagreements!C2:C999, MATCH(C350,FieldDisagreements!A2:A999, 0)), "")</f>
        <v>effortless-xlsx</v>
      </c>
      <c r="I350" s="3" t="str">
        <f>_xlfn.IFNA(INDEX(FieldDisagreements!D2:D999, MATCH(C350,FieldDisagreements!A2:A999, 0)), "")</f>
        <v>StepExecutions.IsLate</v>
      </c>
      <c r="J350" s="2" t="s">
        <v>1906</v>
      </c>
    </row>
    <row r="351">
      <c r="A351" s="2" t="s">
        <v>15506</v>
      </c>
      <c r="B351" s="3" t="str">
        <f>_xlfn.CONCAT(C351, " @ ", D351)</f>
        <v>effortless-xlsx|StepExecutions.IsLate @ se-close08</v>
      </c>
      <c r="C351" s="2" t="s">
        <v>14680</v>
      </c>
      <c r="D351" s="2" t="s">
        <v>1439</v>
      </c>
      <c r="E351" s="2" t="s">
        <v>15035</v>
      </c>
      <c r="F351" s="2" t="s">
        <v>15478</v>
      </c>
      <c r="G351" s="2" t="s">
        <v>14591</v>
      </c>
      <c r="H351" s="3" t="str">
        <f>_xlfn.IFNA(INDEX(FieldDisagreements!C2:C999, MATCH(C351,FieldDisagreements!A2:A999, 0)), "")</f>
        <v>effortless-xlsx</v>
      </c>
      <c r="I351" s="3" t="str">
        <f>_xlfn.IFNA(INDEX(FieldDisagreements!D2:D999, MATCH(C351,FieldDisagreements!A2:A999, 0)), "")</f>
        <v>StepExecutions.IsLate</v>
      </c>
      <c r="J351" s="2" t="s">
        <v>1906</v>
      </c>
    </row>
    <row r="352">
      <c r="A352" s="2" t="s">
        <v>15507</v>
      </c>
      <c r="B352" s="3" t="str">
        <f>_xlfn.CONCAT(C352, " @ ", D352)</f>
        <v>effortless-xlsx|StepExecutions.IsLate @ se-policy01</v>
      </c>
      <c r="C352" s="2" t="s">
        <v>14680</v>
      </c>
      <c r="D352" s="2" t="s">
        <v>1441</v>
      </c>
      <c r="E352" s="2" t="s">
        <v>15057</v>
      </c>
      <c r="F352" s="2" t="s">
        <v>15478</v>
      </c>
      <c r="G352" s="2" t="s">
        <v>14591</v>
      </c>
      <c r="H352" s="3" t="str">
        <f>_xlfn.IFNA(INDEX(FieldDisagreements!C2:C999, MATCH(C352,FieldDisagreements!A2:A999, 0)), "")</f>
        <v>effortless-xlsx</v>
      </c>
      <c r="I352" s="3" t="str">
        <f>_xlfn.IFNA(INDEX(FieldDisagreements!D2:D999, MATCH(C352,FieldDisagreements!A2:A999, 0)), "")</f>
        <v>StepExecutions.IsLate</v>
      </c>
      <c r="J352" s="2" t="s">
        <v>1906</v>
      </c>
    </row>
    <row r="353">
      <c r="A353" s="2" t="s">
        <v>15508</v>
      </c>
      <c r="B353" s="3" t="str">
        <f>_xlfn.CONCAT(C353, " @ ", D353)</f>
        <v>effortless-xlsx|StepExecutions.IsLate @ se-policy02</v>
      </c>
      <c r="C353" s="2" t="s">
        <v>14680</v>
      </c>
      <c r="D353" s="2" t="s">
        <v>1442</v>
      </c>
      <c r="E353" s="2" t="s">
        <v>15035</v>
      </c>
      <c r="F353" s="2" t="s">
        <v>15478</v>
      </c>
      <c r="G353" s="2" t="s">
        <v>14591</v>
      </c>
      <c r="H353" s="3" t="str">
        <f>_xlfn.IFNA(INDEX(FieldDisagreements!C2:C999, MATCH(C353,FieldDisagreements!A2:A999, 0)), "")</f>
        <v>effortless-xlsx</v>
      </c>
      <c r="I353" s="3" t="str">
        <f>_xlfn.IFNA(INDEX(FieldDisagreements!D2:D999, MATCH(C353,FieldDisagreements!A2:A999, 0)), "")</f>
        <v>StepExecutions.IsLate</v>
      </c>
      <c r="J353" s="2" t="s">
        <v>1906</v>
      </c>
    </row>
    <row r="354">
      <c r="A354" s="2" t="s">
        <v>15509</v>
      </c>
      <c r="B354" s="3" t="str">
        <f>_xlfn.CONCAT(C354, " @ ", D354)</f>
        <v>effortless-xlsx|StepExecutions.IsLate @ se-policy03</v>
      </c>
      <c r="C354" s="2" t="s">
        <v>14680</v>
      </c>
      <c r="D354" s="2" t="s">
        <v>1443</v>
      </c>
      <c r="E354" s="2" t="s">
        <v>15057</v>
      </c>
      <c r="F354" s="2" t="s">
        <v>15478</v>
      </c>
      <c r="G354" s="2" t="s">
        <v>14591</v>
      </c>
      <c r="H354" s="3" t="str">
        <f>_xlfn.IFNA(INDEX(FieldDisagreements!C2:C999, MATCH(C354,FieldDisagreements!A2:A999, 0)), "")</f>
        <v>effortless-xlsx</v>
      </c>
      <c r="I354" s="3" t="str">
        <f>_xlfn.IFNA(INDEX(FieldDisagreements!D2:D999, MATCH(C354,FieldDisagreements!A2:A999, 0)), "")</f>
        <v>StepExecutions.IsLate</v>
      </c>
      <c r="J354" s="2" t="s">
        <v>1906</v>
      </c>
    </row>
    <row r="355">
      <c r="A355" s="2" t="s">
        <v>15510</v>
      </c>
      <c r="B355" s="3" t="str">
        <f>_xlfn.CONCAT(C355, " @ ", D355)</f>
        <v>effortless-xlsx|StepExecutions.IsLate @ se-policy04</v>
      </c>
      <c r="C355" s="2" t="s">
        <v>14680</v>
      </c>
      <c r="D355" s="2" t="s">
        <v>1444</v>
      </c>
      <c r="E355" s="2" t="s">
        <v>15035</v>
      </c>
      <c r="F355" s="2" t="s">
        <v>15478</v>
      </c>
      <c r="G355" s="2" t="s">
        <v>14591</v>
      </c>
      <c r="H355" s="3" t="str">
        <f>_xlfn.IFNA(INDEX(FieldDisagreements!C2:C999, MATCH(C355,FieldDisagreements!A2:A999, 0)), "")</f>
        <v>effortless-xlsx</v>
      </c>
      <c r="I355" s="3" t="str">
        <f>_xlfn.IFNA(INDEX(FieldDisagreements!D2:D999, MATCH(C355,FieldDisagreements!A2:A999, 0)), "")</f>
        <v>StepExecutions.IsLate</v>
      </c>
      <c r="J355" s="2" t="s">
        <v>1906</v>
      </c>
    </row>
    <row r="356">
      <c r="A356" s="2" t="s">
        <v>15511</v>
      </c>
      <c r="B356" s="3" t="str">
        <f>_xlfn.CONCAT(C356, " @ ", D356)</f>
        <v>effortless-xlsx|StepExecutions.IsLateAndUnexplained @ se-close01</v>
      </c>
      <c r="C356" s="2" t="s">
        <v>14681</v>
      </c>
      <c r="D356" s="2" t="s">
        <v>1427</v>
      </c>
      <c r="E356" s="2" t="s">
        <v>15057</v>
      </c>
      <c r="F356" s="2" t="s">
        <v>15478</v>
      </c>
      <c r="G356" s="2" t="s">
        <v>14591</v>
      </c>
      <c r="H356" s="3" t="str">
        <f>_xlfn.IFNA(INDEX(FieldDisagreements!C2:C999, MATCH(C356,FieldDisagreements!A2:A999, 0)), "")</f>
        <v>effortless-xlsx</v>
      </c>
      <c r="I356" s="3" t="str">
        <f>_xlfn.IFNA(INDEX(FieldDisagreements!D2:D999, MATCH(C356,FieldDisagreements!A2:A999, 0)), "")</f>
        <v>StepExecutions.IsLateAndUnexplained</v>
      </c>
      <c r="J356" s="2" t="s">
        <v>1906</v>
      </c>
    </row>
    <row r="357">
      <c r="A357" s="2" t="s">
        <v>15512</v>
      </c>
      <c r="B357" s="3" t="str">
        <f>_xlfn.CONCAT(C357, " @ ", D357)</f>
        <v>effortless-xlsx|StepExecutions.IsLateAndUnexplained @ se-close02</v>
      </c>
      <c r="C357" s="2" t="s">
        <v>14681</v>
      </c>
      <c r="D357" s="2" t="s">
        <v>1430</v>
      </c>
      <c r="E357" s="2" t="s">
        <v>15057</v>
      </c>
      <c r="F357" s="2" t="s">
        <v>15478</v>
      </c>
      <c r="G357" s="2" t="s">
        <v>14591</v>
      </c>
      <c r="H357" s="3" t="str">
        <f>_xlfn.IFNA(INDEX(FieldDisagreements!C2:C999, MATCH(C357,FieldDisagreements!A2:A999, 0)), "")</f>
        <v>effortless-xlsx</v>
      </c>
      <c r="I357" s="3" t="str">
        <f>_xlfn.IFNA(INDEX(FieldDisagreements!D2:D999, MATCH(C357,FieldDisagreements!A2:A999, 0)), "")</f>
        <v>StepExecutions.IsLateAndUnexplained</v>
      </c>
      <c r="J357" s="2" t="s">
        <v>1906</v>
      </c>
    </row>
    <row r="358">
      <c r="A358" s="2" t="s">
        <v>15513</v>
      </c>
      <c r="B358" s="3" t="str">
        <f>_xlfn.CONCAT(C358, " @ ", D358)</f>
        <v>effortless-xlsx|StepExecutions.IsLateAndUnexplained @ se-close03</v>
      </c>
      <c r="C358" s="2" t="s">
        <v>14681</v>
      </c>
      <c r="D358" s="2" t="s">
        <v>1433</v>
      </c>
      <c r="E358" s="2" t="s">
        <v>15035</v>
      </c>
      <c r="F358" s="2" t="s">
        <v>15478</v>
      </c>
      <c r="G358" s="2" t="s">
        <v>14591</v>
      </c>
      <c r="H358" s="3" t="str">
        <f>_xlfn.IFNA(INDEX(FieldDisagreements!C2:C999, MATCH(C358,FieldDisagreements!A2:A999, 0)), "")</f>
        <v>effortless-xlsx</v>
      </c>
      <c r="I358" s="3" t="str">
        <f>_xlfn.IFNA(INDEX(FieldDisagreements!D2:D999, MATCH(C358,FieldDisagreements!A2:A999, 0)), "")</f>
        <v>StepExecutions.IsLateAndUnexplained</v>
      </c>
      <c r="J358" s="2" t="s">
        <v>1906</v>
      </c>
    </row>
    <row r="359">
      <c r="A359" s="2" t="s">
        <v>15514</v>
      </c>
      <c r="B359" s="3" t="str">
        <f>_xlfn.CONCAT(C359, " @ ", D359)</f>
        <v>effortless-xlsx|StepExecutions.IsLateAndUnexplained @ se-close04</v>
      </c>
      <c r="C359" s="2" t="s">
        <v>14681</v>
      </c>
      <c r="D359" s="2" t="s">
        <v>1434</v>
      </c>
      <c r="E359" s="2" t="s">
        <v>15057</v>
      </c>
      <c r="F359" s="2" t="s">
        <v>15478</v>
      </c>
      <c r="G359" s="2" t="s">
        <v>14591</v>
      </c>
      <c r="H359" s="3" t="str">
        <f>_xlfn.IFNA(INDEX(FieldDisagreements!C2:C999, MATCH(C359,FieldDisagreements!A2:A999, 0)), "")</f>
        <v>effortless-xlsx</v>
      </c>
      <c r="I359" s="3" t="str">
        <f>_xlfn.IFNA(INDEX(FieldDisagreements!D2:D999, MATCH(C359,FieldDisagreements!A2:A999, 0)), "")</f>
        <v>StepExecutions.IsLateAndUnexplained</v>
      </c>
      <c r="J359" s="2" t="s">
        <v>1906</v>
      </c>
    </row>
    <row r="360">
      <c r="A360" s="2" t="s">
        <v>15515</v>
      </c>
      <c r="B360" s="3" t="str">
        <f>_xlfn.CONCAT(C360, " @ ", D360)</f>
        <v>effortless-xlsx|StepExecutions.IsLateAndUnexplained @ se-close05</v>
      </c>
      <c r="C360" s="2" t="s">
        <v>14681</v>
      </c>
      <c r="D360" s="2" t="s">
        <v>1436</v>
      </c>
      <c r="E360" s="2" t="s">
        <v>15035</v>
      </c>
      <c r="F360" s="2" t="s">
        <v>15478</v>
      </c>
      <c r="G360" s="2" t="s">
        <v>14591</v>
      </c>
      <c r="H360" s="3" t="str">
        <f>_xlfn.IFNA(INDEX(FieldDisagreements!C2:C999, MATCH(C360,FieldDisagreements!A2:A999, 0)), "")</f>
        <v>effortless-xlsx</v>
      </c>
      <c r="I360" s="3" t="str">
        <f>_xlfn.IFNA(INDEX(FieldDisagreements!D2:D999, MATCH(C360,FieldDisagreements!A2:A999, 0)), "")</f>
        <v>StepExecutions.IsLateAndUnexplained</v>
      </c>
      <c r="J360" s="2" t="s">
        <v>1906</v>
      </c>
    </row>
    <row r="361">
      <c r="A361" s="2" t="s">
        <v>15516</v>
      </c>
      <c r="B361" s="3" t="str">
        <f>_xlfn.CONCAT(C361, " @ ", D361)</f>
        <v>effortless-xlsx|StepExecutions.IsLateAndUnexplained @ se-close06</v>
      </c>
      <c r="C361" s="2" t="s">
        <v>14681</v>
      </c>
      <c r="D361" s="2" t="s">
        <v>1437</v>
      </c>
      <c r="E361" s="2" t="s">
        <v>15057</v>
      </c>
      <c r="F361" s="2" t="s">
        <v>15478</v>
      </c>
      <c r="G361" s="2" t="s">
        <v>14591</v>
      </c>
      <c r="H361" s="3" t="str">
        <f>_xlfn.IFNA(INDEX(FieldDisagreements!C2:C999, MATCH(C361,FieldDisagreements!A2:A999, 0)), "")</f>
        <v>effortless-xlsx</v>
      </c>
      <c r="I361" s="3" t="str">
        <f>_xlfn.IFNA(INDEX(FieldDisagreements!D2:D999, MATCH(C361,FieldDisagreements!A2:A999, 0)), "")</f>
        <v>StepExecutions.IsLateAndUnexplained</v>
      </c>
      <c r="J361" s="2" t="s">
        <v>1906</v>
      </c>
    </row>
    <row r="362">
      <c r="A362" s="2" t="s">
        <v>15517</v>
      </c>
      <c r="B362" s="3" t="str">
        <f>_xlfn.CONCAT(C362, " @ ", D362)</f>
        <v>effortless-xlsx|StepExecutions.IsLateAndUnexplained @ se-close07</v>
      </c>
      <c r="C362" s="2" t="s">
        <v>14681</v>
      </c>
      <c r="D362" s="2" t="s">
        <v>1438</v>
      </c>
      <c r="E362" s="2" t="s">
        <v>15057</v>
      </c>
      <c r="F362" s="2" t="s">
        <v>15478</v>
      </c>
      <c r="G362" s="2" t="s">
        <v>14591</v>
      </c>
      <c r="H362" s="3" t="str">
        <f>_xlfn.IFNA(INDEX(FieldDisagreements!C2:C999, MATCH(C362,FieldDisagreements!A2:A999, 0)), "")</f>
        <v>effortless-xlsx</v>
      </c>
      <c r="I362" s="3" t="str">
        <f>_xlfn.IFNA(INDEX(FieldDisagreements!D2:D999, MATCH(C362,FieldDisagreements!A2:A999, 0)), "")</f>
        <v>StepExecutions.IsLateAndUnexplained</v>
      </c>
      <c r="J362" s="2" t="s">
        <v>1906</v>
      </c>
    </row>
    <row r="363">
      <c r="A363" s="2" t="s">
        <v>15518</v>
      </c>
      <c r="B363" s="3" t="str">
        <f>_xlfn.CONCAT(C363, " @ ", D363)</f>
        <v>effortless-xlsx|StepExecutions.IsLateAndUnexplained @ se-close08</v>
      </c>
      <c r="C363" s="2" t="s">
        <v>14681</v>
      </c>
      <c r="D363" s="2" t="s">
        <v>1439</v>
      </c>
      <c r="E363" s="2" t="s">
        <v>15057</v>
      </c>
      <c r="F363" s="2" t="s">
        <v>15478</v>
      </c>
      <c r="G363" s="2" t="s">
        <v>14591</v>
      </c>
      <c r="H363" s="3" t="str">
        <f>_xlfn.IFNA(INDEX(FieldDisagreements!C2:C999, MATCH(C363,FieldDisagreements!A2:A999, 0)), "")</f>
        <v>effortless-xlsx</v>
      </c>
      <c r="I363" s="3" t="str">
        <f>_xlfn.IFNA(INDEX(FieldDisagreements!D2:D999, MATCH(C363,FieldDisagreements!A2:A999, 0)), "")</f>
        <v>StepExecutions.IsLateAndUnexplained</v>
      </c>
      <c r="J363" s="2" t="s">
        <v>1906</v>
      </c>
    </row>
    <row r="364">
      <c r="A364" s="2" t="s">
        <v>15519</v>
      </c>
      <c r="B364" s="3" t="str">
        <f>_xlfn.CONCAT(C364, " @ ", D364)</f>
        <v>effortless-xlsx|StepExecutions.IsLateAndUnexplained @ se-policy01</v>
      </c>
      <c r="C364" s="2" t="s">
        <v>14681</v>
      </c>
      <c r="D364" s="2" t="s">
        <v>1441</v>
      </c>
      <c r="E364" s="2" t="s">
        <v>15057</v>
      </c>
      <c r="F364" s="2" t="s">
        <v>15478</v>
      </c>
      <c r="G364" s="2" t="s">
        <v>14591</v>
      </c>
      <c r="H364" s="3" t="str">
        <f>_xlfn.IFNA(INDEX(FieldDisagreements!C2:C999, MATCH(C364,FieldDisagreements!A2:A999, 0)), "")</f>
        <v>effortless-xlsx</v>
      </c>
      <c r="I364" s="3" t="str">
        <f>_xlfn.IFNA(INDEX(FieldDisagreements!D2:D999, MATCH(C364,FieldDisagreements!A2:A999, 0)), "")</f>
        <v>StepExecutions.IsLateAndUnexplained</v>
      </c>
      <c r="J364" s="2" t="s">
        <v>1906</v>
      </c>
    </row>
    <row r="365">
      <c r="A365" s="2" t="s">
        <v>15520</v>
      </c>
      <c r="B365" s="3" t="str">
        <f>_xlfn.CONCAT(C365, " @ ", D365)</f>
        <v>effortless-xlsx|StepExecutions.IsLateAndUnexplained @ se-policy02</v>
      </c>
      <c r="C365" s="2" t="s">
        <v>14681</v>
      </c>
      <c r="D365" s="2" t="s">
        <v>1442</v>
      </c>
      <c r="E365" s="2" t="s">
        <v>15035</v>
      </c>
      <c r="F365" s="2" t="s">
        <v>15478</v>
      </c>
      <c r="G365" s="2" t="s">
        <v>14591</v>
      </c>
      <c r="H365" s="3" t="str">
        <f>_xlfn.IFNA(INDEX(FieldDisagreements!C2:C999, MATCH(C365,FieldDisagreements!A2:A999, 0)), "")</f>
        <v>effortless-xlsx</v>
      </c>
      <c r="I365" s="3" t="str">
        <f>_xlfn.IFNA(INDEX(FieldDisagreements!D2:D999, MATCH(C365,FieldDisagreements!A2:A999, 0)), "")</f>
        <v>StepExecutions.IsLateAndUnexplained</v>
      </c>
      <c r="J365" s="2" t="s">
        <v>1906</v>
      </c>
    </row>
    <row r="366">
      <c r="A366" s="2" t="s">
        <v>15521</v>
      </c>
      <c r="B366" s="3" t="str">
        <f>_xlfn.CONCAT(C366, " @ ", D366)</f>
        <v>effortless-xlsx|StepExecutions.IsLateAndUnexplained @ se-policy03</v>
      </c>
      <c r="C366" s="2" t="s">
        <v>14681</v>
      </c>
      <c r="D366" s="2" t="s">
        <v>1443</v>
      </c>
      <c r="E366" s="2" t="s">
        <v>15057</v>
      </c>
      <c r="F366" s="2" t="s">
        <v>15478</v>
      </c>
      <c r="G366" s="2" t="s">
        <v>14591</v>
      </c>
      <c r="H366" s="3" t="str">
        <f>_xlfn.IFNA(INDEX(FieldDisagreements!C2:C999, MATCH(C366,FieldDisagreements!A2:A999, 0)), "")</f>
        <v>effortless-xlsx</v>
      </c>
      <c r="I366" s="3" t="str">
        <f>_xlfn.IFNA(INDEX(FieldDisagreements!D2:D999, MATCH(C366,FieldDisagreements!A2:A999, 0)), "")</f>
        <v>StepExecutions.IsLateAndUnexplained</v>
      </c>
      <c r="J366" s="2" t="s">
        <v>1906</v>
      </c>
    </row>
    <row r="367">
      <c r="A367" s="2" t="s">
        <v>15522</v>
      </c>
      <c r="B367" s="3" t="str">
        <f>_xlfn.CONCAT(C367, " @ ", D367)</f>
        <v>effortless-xlsx|StepExecutions.IsLateAndUnexplained @ se-policy04</v>
      </c>
      <c r="C367" s="2" t="s">
        <v>14681</v>
      </c>
      <c r="D367" s="2" t="s">
        <v>1444</v>
      </c>
      <c r="E367" s="2" t="s">
        <v>15057</v>
      </c>
      <c r="F367" s="2" t="s">
        <v>15478</v>
      </c>
      <c r="G367" s="2" t="s">
        <v>14591</v>
      </c>
      <c r="H367" s="3" t="str">
        <f>_xlfn.IFNA(INDEX(FieldDisagreements!C2:C999, MATCH(C367,FieldDisagreements!A2:A999, 0)), "")</f>
        <v>effortless-xlsx</v>
      </c>
      <c r="I367" s="3" t="str">
        <f>_xlfn.IFNA(INDEX(FieldDisagreements!D2:D999, MATCH(C367,FieldDisagreements!A2:A999, 0)), "")</f>
        <v>StepExecutions.IsLateAndUnexplained</v>
      </c>
      <c r="J367" s="2" t="s">
        <v>1906</v>
      </c>
    </row>
    <row r="368">
      <c r="A368" s="2" t="s">
        <v>15523</v>
      </c>
      <c r="B368" s="3" t="str">
        <f>_xlfn.CONCAT(C368, " @ ", D368)</f>
        <v>effortless-xlsx|StepExecutions.HadUninvokedExceptionAvailable @ se-close01</v>
      </c>
      <c r="C368" s="2" t="s">
        <v>14682</v>
      </c>
      <c r="D368" s="2" t="s">
        <v>1427</v>
      </c>
      <c r="E368" s="2" t="s">
        <v>15057</v>
      </c>
      <c r="F368" s="2" t="s">
        <v>15478</v>
      </c>
      <c r="G368" s="2" t="s">
        <v>14591</v>
      </c>
      <c r="H368" s="3" t="str">
        <f>_xlfn.IFNA(INDEX(FieldDisagreements!C2:C999, MATCH(C368,FieldDisagreements!A2:A999, 0)), "")</f>
        <v>effortless-xlsx</v>
      </c>
      <c r="I368" s="3" t="str">
        <f>_xlfn.IFNA(INDEX(FieldDisagreements!D2:D999, MATCH(C368,FieldDisagreements!A2:A999, 0)), "")</f>
        <v>StepExecutions.HadUninvokedExceptionAvailable</v>
      </c>
      <c r="J368" s="2" t="s">
        <v>1906</v>
      </c>
    </row>
    <row r="369">
      <c r="A369" s="2" t="s">
        <v>15524</v>
      </c>
      <c r="B369" s="3" t="str">
        <f>_xlfn.CONCAT(C369, " @ ", D369)</f>
        <v>effortless-xlsx|StepExecutions.HadUninvokedExceptionAvailable @ se-close02</v>
      </c>
      <c r="C369" s="2" t="s">
        <v>14682</v>
      </c>
      <c r="D369" s="2" t="s">
        <v>1430</v>
      </c>
      <c r="E369" s="2" t="s">
        <v>15057</v>
      </c>
      <c r="F369" s="2" t="s">
        <v>15478</v>
      </c>
      <c r="G369" s="2" t="s">
        <v>14591</v>
      </c>
      <c r="H369" s="3" t="str">
        <f>_xlfn.IFNA(INDEX(FieldDisagreements!C2:C999, MATCH(C369,FieldDisagreements!A2:A999, 0)), "")</f>
        <v>effortless-xlsx</v>
      </c>
      <c r="I369" s="3" t="str">
        <f>_xlfn.IFNA(INDEX(FieldDisagreements!D2:D999, MATCH(C369,FieldDisagreements!A2:A999, 0)), "")</f>
        <v>StepExecutions.HadUninvokedExceptionAvailable</v>
      </c>
      <c r="J369" s="2" t="s">
        <v>1906</v>
      </c>
    </row>
    <row r="370">
      <c r="A370" s="2" t="s">
        <v>15525</v>
      </c>
      <c r="B370" s="3" t="str">
        <f>_xlfn.CONCAT(C370, " @ ", D370)</f>
        <v>effortless-xlsx|StepExecutions.HadUninvokedExceptionAvailable @ se-close03</v>
      </c>
      <c r="C370" s="2" t="s">
        <v>14682</v>
      </c>
      <c r="D370" s="2" t="s">
        <v>1433</v>
      </c>
      <c r="E370" s="2" t="s">
        <v>15057</v>
      </c>
      <c r="F370" s="2" t="s">
        <v>15478</v>
      </c>
      <c r="G370" s="2" t="s">
        <v>14591</v>
      </c>
      <c r="H370" s="3" t="str">
        <f>_xlfn.IFNA(INDEX(FieldDisagreements!C2:C999, MATCH(C370,FieldDisagreements!A2:A999, 0)), "")</f>
        <v>effortless-xlsx</v>
      </c>
      <c r="I370" s="3" t="str">
        <f>_xlfn.IFNA(INDEX(FieldDisagreements!D2:D999, MATCH(C370,FieldDisagreements!A2:A999, 0)), "")</f>
        <v>StepExecutions.HadUninvokedExceptionAvailable</v>
      </c>
      <c r="J370" s="2" t="s">
        <v>1906</v>
      </c>
    </row>
    <row r="371">
      <c r="A371" s="2" t="s">
        <v>15526</v>
      </c>
      <c r="B371" s="3" t="str">
        <f>_xlfn.CONCAT(C371, " @ ", D371)</f>
        <v>effortless-xlsx|StepExecutions.HadUninvokedExceptionAvailable @ se-close04</v>
      </c>
      <c r="C371" s="2" t="s">
        <v>14682</v>
      </c>
      <c r="D371" s="2" t="s">
        <v>1434</v>
      </c>
      <c r="E371" s="2" t="s">
        <v>15057</v>
      </c>
      <c r="F371" s="2" t="s">
        <v>15478</v>
      </c>
      <c r="G371" s="2" t="s">
        <v>14591</v>
      </c>
      <c r="H371" s="3" t="str">
        <f>_xlfn.IFNA(INDEX(FieldDisagreements!C2:C999, MATCH(C371,FieldDisagreements!A2:A999, 0)), "")</f>
        <v>effortless-xlsx</v>
      </c>
      <c r="I371" s="3" t="str">
        <f>_xlfn.IFNA(INDEX(FieldDisagreements!D2:D999, MATCH(C371,FieldDisagreements!A2:A999, 0)), "")</f>
        <v>StepExecutions.HadUninvokedExceptionAvailable</v>
      </c>
      <c r="J371" s="2" t="s">
        <v>1906</v>
      </c>
    </row>
    <row r="372">
      <c r="A372" s="2" t="s">
        <v>15527</v>
      </c>
      <c r="B372" s="3" t="str">
        <f>_xlfn.CONCAT(C372, " @ ", D372)</f>
        <v>effortless-xlsx|StepExecutions.HadUninvokedExceptionAvailable @ se-close05</v>
      </c>
      <c r="C372" s="2" t="s">
        <v>14682</v>
      </c>
      <c r="D372" s="2" t="s">
        <v>1436</v>
      </c>
      <c r="E372" s="2" t="s">
        <v>15057</v>
      </c>
      <c r="F372" s="2" t="s">
        <v>15478</v>
      </c>
      <c r="G372" s="2" t="s">
        <v>14591</v>
      </c>
      <c r="H372" s="3" t="str">
        <f>_xlfn.IFNA(INDEX(FieldDisagreements!C2:C999, MATCH(C372,FieldDisagreements!A2:A999, 0)), "")</f>
        <v>effortless-xlsx</v>
      </c>
      <c r="I372" s="3" t="str">
        <f>_xlfn.IFNA(INDEX(FieldDisagreements!D2:D999, MATCH(C372,FieldDisagreements!A2:A999, 0)), "")</f>
        <v>StepExecutions.HadUninvokedExceptionAvailable</v>
      </c>
      <c r="J372" s="2" t="s">
        <v>1906</v>
      </c>
    </row>
    <row r="373">
      <c r="A373" s="2" t="s">
        <v>15528</v>
      </c>
      <c r="B373" s="3" t="str">
        <f>_xlfn.CONCAT(C373, " @ ", D373)</f>
        <v>effortless-xlsx|StepExecutions.HadUninvokedExceptionAvailable @ se-close06</v>
      </c>
      <c r="C373" s="2" t="s">
        <v>14682</v>
      </c>
      <c r="D373" s="2" t="s">
        <v>1437</v>
      </c>
      <c r="E373" s="2" t="s">
        <v>15057</v>
      </c>
      <c r="F373" s="2" t="s">
        <v>15478</v>
      </c>
      <c r="G373" s="2" t="s">
        <v>14591</v>
      </c>
      <c r="H373" s="3" t="str">
        <f>_xlfn.IFNA(INDEX(FieldDisagreements!C2:C999, MATCH(C373,FieldDisagreements!A2:A999, 0)), "")</f>
        <v>effortless-xlsx</v>
      </c>
      <c r="I373" s="3" t="str">
        <f>_xlfn.IFNA(INDEX(FieldDisagreements!D2:D999, MATCH(C373,FieldDisagreements!A2:A999, 0)), "")</f>
        <v>StepExecutions.HadUninvokedExceptionAvailable</v>
      </c>
      <c r="J373" s="2" t="s">
        <v>1906</v>
      </c>
    </row>
    <row r="374">
      <c r="A374" s="2" t="s">
        <v>15529</v>
      </c>
      <c r="B374" s="3" t="str">
        <f>_xlfn.CONCAT(C374, " @ ", D374)</f>
        <v>effortless-xlsx|StepExecutions.HadUninvokedExceptionAvailable @ se-close07</v>
      </c>
      <c r="C374" s="2" t="s">
        <v>14682</v>
      </c>
      <c r="D374" s="2" t="s">
        <v>1438</v>
      </c>
      <c r="E374" s="2" t="s">
        <v>15057</v>
      </c>
      <c r="F374" s="2" t="s">
        <v>15478</v>
      </c>
      <c r="G374" s="2" t="s">
        <v>14591</v>
      </c>
      <c r="H374" s="3" t="str">
        <f>_xlfn.IFNA(INDEX(FieldDisagreements!C2:C999, MATCH(C374,FieldDisagreements!A2:A999, 0)), "")</f>
        <v>effortless-xlsx</v>
      </c>
      <c r="I374" s="3" t="str">
        <f>_xlfn.IFNA(INDEX(FieldDisagreements!D2:D999, MATCH(C374,FieldDisagreements!A2:A999, 0)), "")</f>
        <v>StepExecutions.HadUninvokedExceptionAvailable</v>
      </c>
      <c r="J374" s="2" t="s">
        <v>1906</v>
      </c>
    </row>
    <row r="375">
      <c r="A375" s="2" t="s">
        <v>15530</v>
      </c>
      <c r="B375" s="3" t="str">
        <f>_xlfn.CONCAT(C375, " @ ", D375)</f>
        <v>effortless-xlsx|StepExecutions.HadUninvokedExceptionAvailable @ se-close08</v>
      </c>
      <c r="C375" s="2" t="s">
        <v>14682</v>
      </c>
      <c r="D375" s="2" t="s">
        <v>1439</v>
      </c>
      <c r="E375" s="2" t="s">
        <v>15057</v>
      </c>
      <c r="F375" s="2" t="s">
        <v>15478</v>
      </c>
      <c r="G375" s="2" t="s">
        <v>14591</v>
      </c>
      <c r="H375" s="3" t="str">
        <f>_xlfn.IFNA(INDEX(FieldDisagreements!C2:C999, MATCH(C375,FieldDisagreements!A2:A999, 0)), "")</f>
        <v>effortless-xlsx</v>
      </c>
      <c r="I375" s="3" t="str">
        <f>_xlfn.IFNA(INDEX(FieldDisagreements!D2:D999, MATCH(C375,FieldDisagreements!A2:A999, 0)), "")</f>
        <v>StepExecutions.HadUninvokedExceptionAvailable</v>
      </c>
      <c r="J375" s="2" t="s">
        <v>1906</v>
      </c>
    </row>
    <row r="376">
      <c r="A376" s="2" t="s">
        <v>15531</v>
      </c>
      <c r="B376" s="3" t="str">
        <f>_xlfn.CONCAT(C376, " @ ", D376)</f>
        <v>effortless-xlsx|StepExecutions.HadUninvokedExceptionAvailable @ se-policy01</v>
      </c>
      <c r="C376" s="2" t="s">
        <v>14682</v>
      </c>
      <c r="D376" s="2" t="s">
        <v>1441</v>
      </c>
      <c r="E376" s="2" t="s">
        <v>15057</v>
      </c>
      <c r="F376" s="2" t="s">
        <v>15478</v>
      </c>
      <c r="G376" s="2" t="s">
        <v>14591</v>
      </c>
      <c r="H376" s="3" t="str">
        <f>_xlfn.IFNA(INDEX(FieldDisagreements!C2:C999, MATCH(C376,FieldDisagreements!A2:A999, 0)), "")</f>
        <v>effortless-xlsx</v>
      </c>
      <c r="I376" s="3" t="str">
        <f>_xlfn.IFNA(INDEX(FieldDisagreements!D2:D999, MATCH(C376,FieldDisagreements!A2:A999, 0)), "")</f>
        <v>StepExecutions.HadUninvokedExceptionAvailable</v>
      </c>
      <c r="J376" s="2" t="s">
        <v>1906</v>
      </c>
    </row>
    <row r="377">
      <c r="A377" s="2" t="s">
        <v>15532</v>
      </c>
      <c r="B377" s="3" t="str">
        <f>_xlfn.CONCAT(C377, " @ ", D377)</f>
        <v>effortless-xlsx|StepExecutions.HadUninvokedExceptionAvailable @ se-policy02</v>
      </c>
      <c r="C377" s="2" t="s">
        <v>14682</v>
      </c>
      <c r="D377" s="2" t="s">
        <v>1442</v>
      </c>
      <c r="E377" s="2" t="s">
        <v>15057</v>
      </c>
      <c r="F377" s="2" t="s">
        <v>15478</v>
      </c>
      <c r="G377" s="2" t="s">
        <v>14591</v>
      </c>
      <c r="H377" s="3" t="str">
        <f>_xlfn.IFNA(INDEX(FieldDisagreements!C2:C999, MATCH(C377,FieldDisagreements!A2:A999, 0)), "")</f>
        <v>effortless-xlsx</v>
      </c>
      <c r="I377" s="3" t="str">
        <f>_xlfn.IFNA(INDEX(FieldDisagreements!D2:D999, MATCH(C377,FieldDisagreements!A2:A999, 0)), "")</f>
        <v>StepExecutions.HadUninvokedExceptionAvailable</v>
      </c>
      <c r="J377" s="2" t="s">
        <v>1906</v>
      </c>
    </row>
    <row r="378">
      <c r="A378" s="2" t="s">
        <v>15533</v>
      </c>
      <c r="B378" s="3" t="str">
        <f>_xlfn.CONCAT(C378, " @ ", D378)</f>
        <v>effortless-xlsx|StepExecutions.HadUninvokedExceptionAvailable @ se-policy03</v>
      </c>
      <c r="C378" s="2" t="s">
        <v>14682</v>
      </c>
      <c r="D378" s="2" t="s">
        <v>1443</v>
      </c>
      <c r="E378" s="2" t="s">
        <v>15057</v>
      </c>
      <c r="F378" s="2" t="s">
        <v>15478</v>
      </c>
      <c r="G378" s="2" t="s">
        <v>14591</v>
      </c>
      <c r="H378" s="3" t="str">
        <f>_xlfn.IFNA(INDEX(FieldDisagreements!C2:C999, MATCH(C378,FieldDisagreements!A2:A999, 0)), "")</f>
        <v>effortless-xlsx</v>
      </c>
      <c r="I378" s="3" t="str">
        <f>_xlfn.IFNA(INDEX(FieldDisagreements!D2:D999, MATCH(C378,FieldDisagreements!A2:A999, 0)), "")</f>
        <v>StepExecutions.HadUninvokedExceptionAvailable</v>
      </c>
      <c r="J378" s="2" t="s">
        <v>1906</v>
      </c>
    </row>
    <row r="379">
      <c r="A379" s="2" t="s">
        <v>15534</v>
      </c>
      <c r="B379" s="3" t="str">
        <f>_xlfn.CONCAT(C379, " @ ", D379)</f>
        <v>effortless-xlsx|StepExecutions.HadUninvokedExceptionAvailable @ se-policy04</v>
      </c>
      <c r="C379" s="2" t="s">
        <v>14682</v>
      </c>
      <c r="D379" s="2" t="s">
        <v>1444</v>
      </c>
      <c r="E379" s="2" t="s">
        <v>15057</v>
      </c>
      <c r="F379" s="2" t="s">
        <v>15478</v>
      </c>
      <c r="G379" s="2" t="s">
        <v>14591</v>
      </c>
      <c r="H379" s="3" t="str">
        <f>_xlfn.IFNA(INDEX(FieldDisagreements!C2:C999, MATCH(C379,FieldDisagreements!A2:A999, 0)), "")</f>
        <v>effortless-xlsx</v>
      </c>
      <c r="I379" s="3" t="str">
        <f>_xlfn.IFNA(INDEX(FieldDisagreements!D2:D999, MATCH(C379,FieldDisagreements!A2:A999, 0)), "")</f>
        <v>StepExecutions.HadUninvokedExceptionAvailable</v>
      </c>
      <c r="J379" s="2" t="s">
        <v>1906</v>
      </c>
    </row>
    <row r="380">
      <c r="A380" s="2" t="s">
        <v>15535</v>
      </c>
      <c r="B380" s="3" t="str">
        <f>_xlfn.CONCAT(C380, " @ ", D380)</f>
        <v>effortless-xlsx|StepExecutions.LateExecutionKey @ se-close01</v>
      </c>
      <c r="C380" s="2" t="s">
        <v>14683</v>
      </c>
      <c r="D380" s="2" t="s">
        <v>1427</v>
      </c>
      <c r="E380" s="2" t="s">
        <v>15036</v>
      </c>
      <c r="F380" s="2" t="s">
        <v>15478</v>
      </c>
      <c r="G380" s="2" t="s">
        <v>14591</v>
      </c>
      <c r="H380" s="3" t="str">
        <f>_xlfn.IFNA(INDEX(FieldDisagreements!C2:C999, MATCH(C380,FieldDisagreements!A2:A999, 0)), "")</f>
        <v>effortless-xlsx</v>
      </c>
      <c r="I380" s="3" t="str">
        <f>_xlfn.IFNA(INDEX(FieldDisagreements!D2:D999, MATCH(C380,FieldDisagreements!A2:A999, 0)), "")</f>
        <v>StepExecutions.LateExecutionKey</v>
      </c>
      <c r="J380" s="2" t="s">
        <v>1906</v>
      </c>
    </row>
    <row r="381">
      <c r="A381" s="2" t="s">
        <v>15536</v>
      </c>
      <c r="B381" s="3" t="str">
        <f>_xlfn.CONCAT(C381, " @ ", D381)</f>
        <v>effortless-xlsx|StepExecutions.LateExecutionKey @ se-close02</v>
      </c>
      <c r="C381" s="2" t="s">
        <v>14683</v>
      </c>
      <c r="D381" s="2" t="s">
        <v>1430</v>
      </c>
      <c r="E381" s="2" t="s">
        <v>15537</v>
      </c>
      <c r="F381" s="2" t="s">
        <v>15478</v>
      </c>
      <c r="G381" s="2" t="s">
        <v>14591</v>
      </c>
      <c r="H381" s="3" t="str">
        <f>_xlfn.IFNA(INDEX(FieldDisagreements!C2:C999, MATCH(C381,FieldDisagreements!A2:A999, 0)), "")</f>
        <v>effortless-xlsx</v>
      </c>
      <c r="I381" s="3" t="str">
        <f>_xlfn.IFNA(INDEX(FieldDisagreements!D2:D999, MATCH(C381,FieldDisagreements!A2:A999, 0)), "")</f>
        <v>StepExecutions.LateExecutionKey</v>
      </c>
      <c r="J381" s="2" t="s">
        <v>1906</v>
      </c>
    </row>
    <row r="382">
      <c r="A382" s="2" t="s">
        <v>15538</v>
      </c>
      <c r="B382" s="3" t="str">
        <f>_xlfn.CONCAT(C382, " @ ", D382)</f>
        <v>effortless-xlsx|StepExecutions.LateExecutionKey @ se-close03</v>
      </c>
      <c r="C382" s="2" t="s">
        <v>14683</v>
      </c>
      <c r="D382" s="2" t="s">
        <v>1433</v>
      </c>
      <c r="E382" s="2" t="s">
        <v>15537</v>
      </c>
      <c r="F382" s="2" t="s">
        <v>15478</v>
      </c>
      <c r="G382" s="2" t="s">
        <v>14591</v>
      </c>
      <c r="H382" s="3" t="str">
        <f>_xlfn.IFNA(INDEX(FieldDisagreements!C2:C999, MATCH(C382,FieldDisagreements!A2:A999, 0)), "")</f>
        <v>effortless-xlsx</v>
      </c>
      <c r="I382" s="3" t="str">
        <f>_xlfn.IFNA(INDEX(FieldDisagreements!D2:D999, MATCH(C382,FieldDisagreements!A2:A999, 0)), "")</f>
        <v>StepExecutions.LateExecutionKey</v>
      </c>
      <c r="J382" s="2" t="s">
        <v>1906</v>
      </c>
    </row>
    <row r="383">
      <c r="A383" s="2" t="s">
        <v>15539</v>
      </c>
      <c r="B383" s="3" t="str">
        <f>_xlfn.CONCAT(C383, " @ ", D383)</f>
        <v>effortless-xlsx|StepExecutions.LateExecutionKey @ se-close04</v>
      </c>
      <c r="C383" s="2" t="s">
        <v>14683</v>
      </c>
      <c r="D383" s="2" t="s">
        <v>1434</v>
      </c>
      <c r="E383" s="2" t="s">
        <v>15537</v>
      </c>
      <c r="F383" s="2" t="s">
        <v>15478</v>
      </c>
      <c r="G383" s="2" t="s">
        <v>14591</v>
      </c>
      <c r="H383" s="3" t="str">
        <f>_xlfn.IFNA(INDEX(FieldDisagreements!C2:C999, MATCH(C383,FieldDisagreements!A2:A999, 0)), "")</f>
        <v>effortless-xlsx</v>
      </c>
      <c r="I383" s="3" t="str">
        <f>_xlfn.IFNA(INDEX(FieldDisagreements!D2:D999, MATCH(C383,FieldDisagreements!A2:A999, 0)), "")</f>
        <v>StepExecutions.LateExecutionKey</v>
      </c>
      <c r="J383" s="2" t="s">
        <v>1906</v>
      </c>
    </row>
    <row r="384">
      <c r="A384" s="2" t="s">
        <v>15540</v>
      </c>
      <c r="B384" s="3" t="str">
        <f>_xlfn.CONCAT(C384, " @ ", D384)</f>
        <v>effortless-xlsx|StepExecutions.LateExecutionKey @ se-close05</v>
      </c>
      <c r="C384" s="2" t="s">
        <v>14683</v>
      </c>
      <c r="D384" s="2" t="s">
        <v>1436</v>
      </c>
      <c r="E384" s="2" t="s">
        <v>15537</v>
      </c>
      <c r="F384" s="2" t="s">
        <v>15478</v>
      </c>
      <c r="G384" s="2" t="s">
        <v>14591</v>
      </c>
      <c r="H384" s="3" t="str">
        <f>_xlfn.IFNA(INDEX(FieldDisagreements!C2:C999, MATCH(C384,FieldDisagreements!A2:A999, 0)), "")</f>
        <v>effortless-xlsx</v>
      </c>
      <c r="I384" s="3" t="str">
        <f>_xlfn.IFNA(INDEX(FieldDisagreements!D2:D999, MATCH(C384,FieldDisagreements!A2:A999, 0)), "")</f>
        <v>StepExecutions.LateExecutionKey</v>
      </c>
      <c r="J384" s="2" t="s">
        <v>1906</v>
      </c>
    </row>
    <row r="385">
      <c r="A385" s="2" t="s">
        <v>15541</v>
      </c>
      <c r="B385" s="3" t="str">
        <f>_xlfn.CONCAT(C385, " @ ", D385)</f>
        <v>effortless-xlsx|StepExecutions.LateExecutionKey @ se-close06</v>
      </c>
      <c r="C385" s="2" t="s">
        <v>14683</v>
      </c>
      <c r="D385" s="2" t="s">
        <v>1437</v>
      </c>
      <c r="E385" s="2" t="s">
        <v>15036</v>
      </c>
      <c r="F385" s="2" t="s">
        <v>15478</v>
      </c>
      <c r="G385" s="2" t="s">
        <v>14591</v>
      </c>
      <c r="H385" s="3" t="str">
        <f>_xlfn.IFNA(INDEX(FieldDisagreements!C2:C999, MATCH(C385,FieldDisagreements!A2:A999, 0)), "")</f>
        <v>effortless-xlsx</v>
      </c>
      <c r="I385" s="3" t="str">
        <f>_xlfn.IFNA(INDEX(FieldDisagreements!D2:D999, MATCH(C385,FieldDisagreements!A2:A999, 0)), "")</f>
        <v>StepExecutions.LateExecutionKey</v>
      </c>
      <c r="J385" s="2" t="s">
        <v>1906</v>
      </c>
    </row>
    <row r="386">
      <c r="A386" s="2" t="s">
        <v>15542</v>
      </c>
      <c r="B386" s="3" t="str">
        <f>_xlfn.CONCAT(C386, " @ ", D386)</f>
        <v>effortless-xlsx|StepExecutions.LateExecutionKey @ se-close07</v>
      </c>
      <c r="C386" s="2" t="s">
        <v>14683</v>
      </c>
      <c r="D386" s="2" t="s">
        <v>1438</v>
      </c>
      <c r="E386" s="2" t="s">
        <v>15036</v>
      </c>
      <c r="F386" s="2" t="s">
        <v>15478</v>
      </c>
      <c r="G386" s="2" t="s">
        <v>14591</v>
      </c>
      <c r="H386" s="3" t="str">
        <f>_xlfn.IFNA(INDEX(FieldDisagreements!C2:C999, MATCH(C386,FieldDisagreements!A2:A999, 0)), "")</f>
        <v>effortless-xlsx</v>
      </c>
      <c r="I386" s="3" t="str">
        <f>_xlfn.IFNA(INDEX(FieldDisagreements!D2:D999, MATCH(C386,FieldDisagreements!A2:A999, 0)), "")</f>
        <v>StepExecutions.LateExecutionKey</v>
      </c>
      <c r="J386" s="2" t="s">
        <v>1906</v>
      </c>
    </row>
    <row r="387">
      <c r="A387" s="2" t="s">
        <v>15543</v>
      </c>
      <c r="B387" s="3" t="str">
        <f>_xlfn.CONCAT(C387, " @ ", D387)</f>
        <v>effortless-xlsx|StepExecutions.LateExecutionKey @ se-close08</v>
      </c>
      <c r="C387" s="2" t="s">
        <v>14683</v>
      </c>
      <c r="D387" s="2" t="s">
        <v>1439</v>
      </c>
      <c r="E387" s="2" t="s">
        <v>15537</v>
      </c>
      <c r="F387" s="2" t="s">
        <v>15478</v>
      </c>
      <c r="G387" s="2" t="s">
        <v>14591</v>
      </c>
      <c r="H387" s="3" t="str">
        <f>_xlfn.IFNA(INDEX(FieldDisagreements!C2:C999, MATCH(C387,FieldDisagreements!A2:A999, 0)), "")</f>
        <v>effortless-xlsx</v>
      </c>
      <c r="I387" s="3" t="str">
        <f>_xlfn.IFNA(INDEX(FieldDisagreements!D2:D999, MATCH(C387,FieldDisagreements!A2:A999, 0)), "")</f>
        <v>StepExecutions.LateExecutionKey</v>
      </c>
      <c r="J387" s="2" t="s">
        <v>1906</v>
      </c>
    </row>
    <row r="388">
      <c r="A388" s="2" t="s">
        <v>15544</v>
      </c>
      <c r="B388" s="3" t="str">
        <f>_xlfn.CONCAT(C388, " @ ", D388)</f>
        <v>effortless-xlsx|StepExecutions.LateExecutionKey @ se-policy01</v>
      </c>
      <c r="C388" s="2" t="s">
        <v>14683</v>
      </c>
      <c r="D388" s="2" t="s">
        <v>1441</v>
      </c>
      <c r="E388" s="2" t="s">
        <v>15036</v>
      </c>
      <c r="F388" s="2" t="s">
        <v>15478</v>
      </c>
      <c r="G388" s="2" t="s">
        <v>14591</v>
      </c>
      <c r="H388" s="3" t="str">
        <f>_xlfn.IFNA(INDEX(FieldDisagreements!C2:C999, MATCH(C388,FieldDisagreements!A2:A999, 0)), "")</f>
        <v>effortless-xlsx</v>
      </c>
      <c r="I388" s="3" t="str">
        <f>_xlfn.IFNA(INDEX(FieldDisagreements!D2:D999, MATCH(C388,FieldDisagreements!A2:A999, 0)), "")</f>
        <v>StepExecutions.LateExecutionKey</v>
      </c>
      <c r="J388" s="2" t="s">
        <v>1906</v>
      </c>
    </row>
    <row r="389">
      <c r="A389" s="2" t="s">
        <v>15545</v>
      </c>
      <c r="B389" s="3" t="str">
        <f>_xlfn.CONCAT(C389, " @ ", D389)</f>
        <v>effortless-xlsx|StepExecutions.LateExecutionKey @ se-policy02</v>
      </c>
      <c r="C389" s="2" t="s">
        <v>14683</v>
      </c>
      <c r="D389" s="2" t="s">
        <v>1442</v>
      </c>
      <c r="E389" s="2" t="s">
        <v>15546</v>
      </c>
      <c r="F389" s="2" t="s">
        <v>15478</v>
      </c>
      <c r="G389" s="2" t="s">
        <v>14591</v>
      </c>
      <c r="H389" s="3" t="str">
        <f>_xlfn.IFNA(INDEX(FieldDisagreements!C2:C999, MATCH(C389,FieldDisagreements!A2:A999, 0)), "")</f>
        <v>effortless-xlsx</v>
      </c>
      <c r="I389" s="3" t="str">
        <f>_xlfn.IFNA(INDEX(FieldDisagreements!D2:D999, MATCH(C389,FieldDisagreements!A2:A999, 0)), "")</f>
        <v>StepExecutions.LateExecutionKey</v>
      </c>
      <c r="J389" s="2" t="s">
        <v>1906</v>
      </c>
    </row>
    <row r="390">
      <c r="A390" s="2" t="s">
        <v>15547</v>
      </c>
      <c r="B390" s="3" t="str">
        <f>_xlfn.CONCAT(C390, " @ ", D390)</f>
        <v>effortless-xlsx|StepExecutions.LateExecutionKey @ se-policy03</v>
      </c>
      <c r="C390" s="2" t="s">
        <v>14683</v>
      </c>
      <c r="D390" s="2" t="s">
        <v>1443</v>
      </c>
      <c r="E390" s="2" t="s">
        <v>15036</v>
      </c>
      <c r="F390" s="2" t="s">
        <v>15478</v>
      </c>
      <c r="G390" s="2" t="s">
        <v>14591</v>
      </c>
      <c r="H390" s="3" t="str">
        <f>_xlfn.IFNA(INDEX(FieldDisagreements!C2:C999, MATCH(C390,FieldDisagreements!A2:A999, 0)), "")</f>
        <v>effortless-xlsx</v>
      </c>
      <c r="I390" s="3" t="str">
        <f>_xlfn.IFNA(INDEX(FieldDisagreements!D2:D999, MATCH(C390,FieldDisagreements!A2:A999, 0)), "")</f>
        <v>StepExecutions.LateExecutionKey</v>
      </c>
      <c r="J390" s="2" t="s">
        <v>1906</v>
      </c>
    </row>
    <row r="391">
      <c r="A391" s="2" t="s">
        <v>15548</v>
      </c>
      <c r="B391" s="3" t="str">
        <f>_xlfn.CONCAT(C391, " @ ", D391)</f>
        <v>effortless-xlsx|StepExecutions.LateExecutionKey @ se-policy04</v>
      </c>
      <c r="C391" s="2" t="s">
        <v>14683</v>
      </c>
      <c r="D391" s="2" t="s">
        <v>1444</v>
      </c>
      <c r="E391" s="2" t="s">
        <v>15546</v>
      </c>
      <c r="F391" s="2" t="s">
        <v>15478</v>
      </c>
      <c r="G391" s="2" t="s">
        <v>14591</v>
      </c>
      <c r="H391" s="3" t="str">
        <f>_xlfn.IFNA(INDEX(FieldDisagreements!C2:C999, MATCH(C391,FieldDisagreements!A2:A999, 0)), "")</f>
        <v>effortless-xlsx</v>
      </c>
      <c r="I391" s="3" t="str">
        <f>_xlfn.IFNA(INDEX(FieldDisagreements!D2:D999, MATCH(C391,FieldDisagreements!A2:A999, 0)), "")</f>
        <v>StepExecutions.LateExecutionKey</v>
      </c>
      <c r="J391" s="2" t="s">
        <v>1906</v>
      </c>
    </row>
    <row r="392">
      <c r="A392" s="2" t="s">
        <v>15549</v>
      </c>
      <c r="B392" s="3" t="str">
        <f>_xlfn.CONCAT(C392, " @ ", D392)</f>
        <v>effortless-xlsx|StepExecutions.IsClean @ se-close01</v>
      </c>
      <c r="C392" s="2" t="s">
        <v>14684</v>
      </c>
      <c r="D392" s="2" t="s">
        <v>1427</v>
      </c>
      <c r="E392" s="2" t="s">
        <v>15035</v>
      </c>
      <c r="F392" s="2" t="s">
        <v>15478</v>
      </c>
      <c r="G392" s="2" t="s">
        <v>14591</v>
      </c>
      <c r="H392" s="3" t="str">
        <f>_xlfn.IFNA(INDEX(FieldDisagreements!C2:C999, MATCH(C392,FieldDisagreements!A2:A999, 0)), "")</f>
        <v>effortless-xlsx</v>
      </c>
      <c r="I392" s="3" t="str">
        <f>_xlfn.IFNA(INDEX(FieldDisagreements!D2:D999, MATCH(C392,FieldDisagreements!A2:A999, 0)), "")</f>
        <v>StepExecutions.IsClean</v>
      </c>
      <c r="J392" s="2" t="s">
        <v>1906</v>
      </c>
    </row>
    <row r="393">
      <c r="A393" s="2" t="s">
        <v>15550</v>
      </c>
      <c r="B393" s="3" t="str">
        <f>_xlfn.CONCAT(C393, " @ ", D393)</f>
        <v>effortless-xlsx|StepExecutions.IsClean @ se-close02</v>
      </c>
      <c r="C393" s="2" t="s">
        <v>14684</v>
      </c>
      <c r="D393" s="2" t="s">
        <v>1430</v>
      </c>
      <c r="E393" s="2" t="s">
        <v>15057</v>
      </c>
      <c r="F393" s="2" t="s">
        <v>15478</v>
      </c>
      <c r="G393" s="2" t="s">
        <v>14591</v>
      </c>
      <c r="H393" s="3" t="str">
        <f>_xlfn.IFNA(INDEX(FieldDisagreements!C2:C999, MATCH(C393,FieldDisagreements!A2:A999, 0)), "")</f>
        <v>effortless-xlsx</v>
      </c>
      <c r="I393" s="3" t="str">
        <f>_xlfn.IFNA(INDEX(FieldDisagreements!D2:D999, MATCH(C393,FieldDisagreements!A2:A999, 0)), "")</f>
        <v>StepExecutions.IsClean</v>
      </c>
      <c r="J393" s="2" t="s">
        <v>1906</v>
      </c>
    </row>
    <row r="394">
      <c r="A394" s="2" t="s">
        <v>15551</v>
      </c>
      <c r="B394" s="3" t="str">
        <f>_xlfn.CONCAT(C394, " @ ", D394)</f>
        <v>effortless-xlsx|StepExecutions.IsClean @ se-close03</v>
      </c>
      <c r="C394" s="2" t="s">
        <v>14684</v>
      </c>
      <c r="D394" s="2" t="s">
        <v>1433</v>
      </c>
      <c r="E394" s="2" t="s">
        <v>15057</v>
      </c>
      <c r="F394" s="2" t="s">
        <v>15478</v>
      </c>
      <c r="G394" s="2" t="s">
        <v>14591</v>
      </c>
      <c r="H394" s="3" t="str">
        <f>_xlfn.IFNA(INDEX(FieldDisagreements!C2:C999, MATCH(C394,FieldDisagreements!A2:A999, 0)), "")</f>
        <v>effortless-xlsx</v>
      </c>
      <c r="I394" s="3" t="str">
        <f>_xlfn.IFNA(INDEX(FieldDisagreements!D2:D999, MATCH(C394,FieldDisagreements!A2:A999, 0)), "")</f>
        <v>StepExecutions.IsClean</v>
      </c>
      <c r="J394" s="2" t="s">
        <v>1906</v>
      </c>
    </row>
    <row r="395">
      <c r="A395" s="2" t="s">
        <v>15552</v>
      </c>
      <c r="B395" s="3" t="str">
        <f>_xlfn.CONCAT(C395, " @ ", D395)</f>
        <v>effortless-xlsx|StepExecutions.IsClean @ se-close04</v>
      </c>
      <c r="C395" s="2" t="s">
        <v>14684</v>
      </c>
      <c r="D395" s="2" t="s">
        <v>1434</v>
      </c>
      <c r="E395" s="2" t="s">
        <v>15057</v>
      </c>
      <c r="F395" s="2" t="s">
        <v>15478</v>
      </c>
      <c r="G395" s="2" t="s">
        <v>14591</v>
      </c>
      <c r="H395" s="3" t="str">
        <f>_xlfn.IFNA(INDEX(FieldDisagreements!C2:C999, MATCH(C395,FieldDisagreements!A2:A999, 0)), "")</f>
        <v>effortless-xlsx</v>
      </c>
      <c r="I395" s="3" t="str">
        <f>_xlfn.IFNA(INDEX(FieldDisagreements!D2:D999, MATCH(C395,FieldDisagreements!A2:A999, 0)), "")</f>
        <v>StepExecutions.IsClean</v>
      </c>
      <c r="J395" s="2" t="s">
        <v>1906</v>
      </c>
    </row>
    <row r="396">
      <c r="A396" s="2" t="s">
        <v>15553</v>
      </c>
      <c r="B396" s="3" t="str">
        <f>_xlfn.CONCAT(C396, " @ ", D396)</f>
        <v>effortless-xlsx|StepExecutions.IsClean @ se-close05</v>
      </c>
      <c r="C396" s="2" t="s">
        <v>14684</v>
      </c>
      <c r="D396" s="2" t="s">
        <v>1436</v>
      </c>
      <c r="E396" s="2" t="s">
        <v>15057</v>
      </c>
      <c r="F396" s="2" t="s">
        <v>15478</v>
      </c>
      <c r="G396" s="2" t="s">
        <v>14591</v>
      </c>
      <c r="H396" s="3" t="str">
        <f>_xlfn.IFNA(INDEX(FieldDisagreements!C2:C999, MATCH(C396,FieldDisagreements!A2:A999, 0)), "")</f>
        <v>effortless-xlsx</v>
      </c>
      <c r="I396" s="3" t="str">
        <f>_xlfn.IFNA(INDEX(FieldDisagreements!D2:D999, MATCH(C396,FieldDisagreements!A2:A999, 0)), "")</f>
        <v>StepExecutions.IsClean</v>
      </c>
      <c r="J396" s="2" t="s">
        <v>1906</v>
      </c>
    </row>
    <row r="397">
      <c r="A397" s="2" t="s">
        <v>15554</v>
      </c>
      <c r="B397" s="3" t="str">
        <f>_xlfn.CONCAT(C397, " @ ", D397)</f>
        <v>effortless-xlsx|StepExecutions.IsClean @ se-close06</v>
      </c>
      <c r="C397" s="2" t="s">
        <v>14684</v>
      </c>
      <c r="D397" s="2" t="s">
        <v>1437</v>
      </c>
      <c r="E397" s="2" t="s">
        <v>15035</v>
      </c>
      <c r="F397" s="2" t="s">
        <v>15478</v>
      </c>
      <c r="G397" s="2" t="s">
        <v>14591</v>
      </c>
      <c r="H397" s="3" t="str">
        <f>_xlfn.IFNA(INDEX(FieldDisagreements!C2:C999, MATCH(C397,FieldDisagreements!A2:A999, 0)), "")</f>
        <v>effortless-xlsx</v>
      </c>
      <c r="I397" s="3" t="str">
        <f>_xlfn.IFNA(INDEX(FieldDisagreements!D2:D999, MATCH(C397,FieldDisagreements!A2:A999, 0)), "")</f>
        <v>StepExecutions.IsClean</v>
      </c>
      <c r="J397" s="2" t="s">
        <v>1906</v>
      </c>
    </row>
    <row r="398">
      <c r="A398" s="2" t="s">
        <v>15555</v>
      </c>
      <c r="B398" s="3" t="str">
        <f>_xlfn.CONCAT(C398, " @ ", D398)</f>
        <v>effortless-xlsx|StepExecutions.IsClean @ se-close07</v>
      </c>
      <c r="C398" s="2" t="s">
        <v>14684</v>
      </c>
      <c r="D398" s="2" t="s">
        <v>1438</v>
      </c>
      <c r="E398" s="2" t="s">
        <v>15035</v>
      </c>
      <c r="F398" s="2" t="s">
        <v>15478</v>
      </c>
      <c r="G398" s="2" t="s">
        <v>14591</v>
      </c>
      <c r="H398" s="3" t="str">
        <f>_xlfn.IFNA(INDEX(FieldDisagreements!C2:C999, MATCH(C398,FieldDisagreements!A2:A999, 0)), "")</f>
        <v>effortless-xlsx</v>
      </c>
      <c r="I398" s="3" t="str">
        <f>_xlfn.IFNA(INDEX(FieldDisagreements!D2:D999, MATCH(C398,FieldDisagreements!A2:A999, 0)), "")</f>
        <v>StepExecutions.IsClean</v>
      </c>
      <c r="J398" s="2" t="s">
        <v>1906</v>
      </c>
    </row>
    <row r="399">
      <c r="A399" s="2" t="s">
        <v>15556</v>
      </c>
      <c r="B399" s="3" t="str">
        <f>_xlfn.CONCAT(C399, " @ ", D399)</f>
        <v>effortless-xlsx|StepExecutions.IsClean @ se-close08</v>
      </c>
      <c r="C399" s="2" t="s">
        <v>14684</v>
      </c>
      <c r="D399" s="2" t="s">
        <v>1439</v>
      </c>
      <c r="E399" s="2" t="s">
        <v>15057</v>
      </c>
      <c r="F399" s="2" t="s">
        <v>15478</v>
      </c>
      <c r="G399" s="2" t="s">
        <v>14591</v>
      </c>
      <c r="H399" s="3" t="str">
        <f>_xlfn.IFNA(INDEX(FieldDisagreements!C2:C999, MATCH(C399,FieldDisagreements!A2:A999, 0)), "")</f>
        <v>effortless-xlsx</v>
      </c>
      <c r="I399" s="3" t="str">
        <f>_xlfn.IFNA(INDEX(FieldDisagreements!D2:D999, MATCH(C399,FieldDisagreements!A2:A999, 0)), "")</f>
        <v>StepExecutions.IsClean</v>
      </c>
      <c r="J399" s="2" t="s">
        <v>1906</v>
      </c>
    </row>
    <row r="400">
      <c r="A400" s="2" t="s">
        <v>15557</v>
      </c>
      <c r="B400" s="3" t="str">
        <f>_xlfn.CONCAT(C400, " @ ", D400)</f>
        <v>effortless-xlsx|StepExecutions.IsClean @ se-policy01</v>
      </c>
      <c r="C400" s="2" t="s">
        <v>14684</v>
      </c>
      <c r="D400" s="2" t="s">
        <v>1441</v>
      </c>
      <c r="E400" s="2" t="s">
        <v>15035</v>
      </c>
      <c r="F400" s="2" t="s">
        <v>15478</v>
      </c>
      <c r="G400" s="2" t="s">
        <v>14591</v>
      </c>
      <c r="H400" s="3" t="str">
        <f>_xlfn.IFNA(INDEX(FieldDisagreements!C2:C999, MATCH(C400,FieldDisagreements!A2:A999, 0)), "")</f>
        <v>effortless-xlsx</v>
      </c>
      <c r="I400" s="3" t="str">
        <f>_xlfn.IFNA(INDEX(FieldDisagreements!D2:D999, MATCH(C400,FieldDisagreements!A2:A999, 0)), "")</f>
        <v>StepExecutions.IsClean</v>
      </c>
      <c r="J400" s="2" t="s">
        <v>1906</v>
      </c>
    </row>
    <row r="401">
      <c r="A401" s="2" t="s">
        <v>15558</v>
      </c>
      <c r="B401" s="3" t="str">
        <f>_xlfn.CONCAT(C401, " @ ", D401)</f>
        <v>effortless-xlsx|StepExecutions.IsClean @ se-policy02</v>
      </c>
      <c r="C401" s="2" t="s">
        <v>14684</v>
      </c>
      <c r="D401" s="2" t="s">
        <v>1442</v>
      </c>
      <c r="E401" s="2" t="s">
        <v>15057</v>
      </c>
      <c r="F401" s="2" t="s">
        <v>15478</v>
      </c>
      <c r="G401" s="2" t="s">
        <v>14591</v>
      </c>
      <c r="H401" s="3" t="str">
        <f>_xlfn.IFNA(INDEX(FieldDisagreements!C2:C999, MATCH(C401,FieldDisagreements!A2:A999, 0)), "")</f>
        <v>effortless-xlsx</v>
      </c>
      <c r="I401" s="3" t="str">
        <f>_xlfn.IFNA(INDEX(FieldDisagreements!D2:D999, MATCH(C401,FieldDisagreements!A2:A999, 0)), "")</f>
        <v>StepExecutions.IsClean</v>
      </c>
      <c r="J401" s="2" t="s">
        <v>1906</v>
      </c>
    </row>
    <row r="402">
      <c r="A402" s="2" t="s">
        <v>15559</v>
      </c>
      <c r="B402" s="3" t="str">
        <f>_xlfn.CONCAT(C402, " @ ", D402)</f>
        <v>effortless-xlsx|StepExecutions.IsClean @ se-policy03</v>
      </c>
      <c r="C402" s="2" t="s">
        <v>14684</v>
      </c>
      <c r="D402" s="2" t="s">
        <v>1443</v>
      </c>
      <c r="E402" s="2" t="s">
        <v>15035</v>
      </c>
      <c r="F402" s="2" t="s">
        <v>15478</v>
      </c>
      <c r="G402" s="2" t="s">
        <v>14591</v>
      </c>
      <c r="H402" s="3" t="str">
        <f>_xlfn.IFNA(INDEX(FieldDisagreements!C2:C999, MATCH(C402,FieldDisagreements!A2:A999, 0)), "")</f>
        <v>effortless-xlsx</v>
      </c>
      <c r="I402" s="3" t="str">
        <f>_xlfn.IFNA(INDEX(FieldDisagreements!D2:D999, MATCH(C402,FieldDisagreements!A2:A999, 0)), "")</f>
        <v>StepExecutions.IsClean</v>
      </c>
      <c r="J402" s="2" t="s">
        <v>1906</v>
      </c>
    </row>
    <row r="403">
      <c r="A403" s="2" t="s">
        <v>15560</v>
      </c>
      <c r="B403" s="3" t="str">
        <f>_xlfn.CONCAT(C403, " @ ", D403)</f>
        <v>effortless-xlsx|StepExecutions.IsClean @ se-policy04</v>
      </c>
      <c r="C403" s="2" t="s">
        <v>14684</v>
      </c>
      <c r="D403" s="2" t="s">
        <v>1444</v>
      </c>
      <c r="E403" s="2" t="s">
        <v>15057</v>
      </c>
      <c r="F403" s="2" t="s">
        <v>15478</v>
      </c>
      <c r="G403" s="2" t="s">
        <v>14591</v>
      </c>
      <c r="H403" s="3" t="str">
        <f>_xlfn.IFNA(INDEX(FieldDisagreements!C2:C999, MATCH(C403,FieldDisagreements!A2:A999, 0)), "")</f>
        <v>effortless-xlsx</v>
      </c>
      <c r="I403" s="3" t="str">
        <f>_xlfn.IFNA(INDEX(FieldDisagreements!D2:D999, MATCH(C403,FieldDisagreements!A2:A999, 0)), "")</f>
        <v>StepExecutions.IsClean</v>
      </c>
      <c r="J403" s="2" t="s">
        <v>1906</v>
      </c>
    </row>
    <row r="404">
      <c r="A404" s="2" t="s">
        <v>15561</v>
      </c>
      <c r="B404" s="3" t="str">
        <f>_xlfn.CONCAT(C404, " @ ", D404)</f>
        <v>effortless-xlsx|StepExecutions.ProcedureExecutionWhenUnclean @ se-close01</v>
      </c>
      <c r="C404" s="2" t="s">
        <v>14685</v>
      </c>
      <c r="D404" s="2" t="s">
        <v>1427</v>
      </c>
      <c r="E404" s="2" t="s">
        <v>15036</v>
      </c>
      <c r="F404" s="2" t="s">
        <v>15478</v>
      </c>
      <c r="G404" s="2" t="s">
        <v>14591</v>
      </c>
      <c r="H404" s="3" t="str">
        <f>_xlfn.IFNA(INDEX(FieldDisagreements!C2:C999, MATCH(C404,FieldDisagreements!A2:A999, 0)), "")</f>
        <v>effortless-xlsx</v>
      </c>
      <c r="I404" s="3" t="str">
        <f>_xlfn.IFNA(INDEX(FieldDisagreements!D2:D999, MATCH(C404,FieldDisagreements!A2:A999, 0)), "")</f>
        <v>StepExecutions.ProcedureExecutionWhenUnclean</v>
      </c>
      <c r="J404" s="2" t="s">
        <v>1906</v>
      </c>
    </row>
    <row r="405">
      <c r="A405" s="2" t="s">
        <v>15562</v>
      </c>
      <c r="B405" s="3" t="str">
        <f>_xlfn.CONCAT(C405, " @ ", D405)</f>
        <v>effortless-xlsx|StepExecutions.ProcedureExecutionWhenUnclean @ se-close02</v>
      </c>
      <c r="C405" s="2" t="s">
        <v>14685</v>
      </c>
      <c r="D405" s="2" t="s">
        <v>1430</v>
      </c>
      <c r="E405" s="2" t="s">
        <v>15537</v>
      </c>
      <c r="F405" s="2" t="s">
        <v>15478</v>
      </c>
      <c r="G405" s="2" t="s">
        <v>14591</v>
      </c>
      <c r="H405" s="3" t="str">
        <f>_xlfn.IFNA(INDEX(FieldDisagreements!C2:C999, MATCH(C405,FieldDisagreements!A2:A999, 0)), "")</f>
        <v>effortless-xlsx</v>
      </c>
      <c r="I405" s="3" t="str">
        <f>_xlfn.IFNA(INDEX(FieldDisagreements!D2:D999, MATCH(C405,FieldDisagreements!A2:A999, 0)), "")</f>
        <v>StepExecutions.ProcedureExecutionWhenUnclean</v>
      </c>
      <c r="J405" s="2" t="s">
        <v>1906</v>
      </c>
    </row>
    <row r="406">
      <c r="A406" s="2" t="s">
        <v>15563</v>
      </c>
      <c r="B406" s="3" t="str">
        <f>_xlfn.CONCAT(C406, " @ ", D406)</f>
        <v>effortless-xlsx|StepExecutions.ProcedureExecutionWhenUnclean @ se-close03</v>
      </c>
      <c r="C406" s="2" t="s">
        <v>14685</v>
      </c>
      <c r="D406" s="2" t="s">
        <v>1433</v>
      </c>
      <c r="E406" s="2" t="s">
        <v>15537</v>
      </c>
      <c r="F406" s="2" t="s">
        <v>15478</v>
      </c>
      <c r="G406" s="2" t="s">
        <v>14591</v>
      </c>
      <c r="H406" s="3" t="str">
        <f>_xlfn.IFNA(INDEX(FieldDisagreements!C2:C999, MATCH(C406,FieldDisagreements!A2:A999, 0)), "")</f>
        <v>effortless-xlsx</v>
      </c>
      <c r="I406" s="3" t="str">
        <f>_xlfn.IFNA(INDEX(FieldDisagreements!D2:D999, MATCH(C406,FieldDisagreements!A2:A999, 0)), "")</f>
        <v>StepExecutions.ProcedureExecutionWhenUnclean</v>
      </c>
      <c r="J406" s="2" t="s">
        <v>1906</v>
      </c>
    </row>
    <row r="407">
      <c r="A407" s="2" t="s">
        <v>15564</v>
      </c>
      <c r="B407" s="3" t="str">
        <f>_xlfn.CONCAT(C407, " @ ", D407)</f>
        <v>effortless-xlsx|StepExecutions.ProcedureExecutionWhenUnclean @ se-close04</v>
      </c>
      <c r="C407" s="2" t="s">
        <v>14685</v>
      </c>
      <c r="D407" s="2" t="s">
        <v>1434</v>
      </c>
      <c r="E407" s="2" t="s">
        <v>15537</v>
      </c>
      <c r="F407" s="2" t="s">
        <v>15478</v>
      </c>
      <c r="G407" s="2" t="s">
        <v>14591</v>
      </c>
      <c r="H407" s="3" t="str">
        <f>_xlfn.IFNA(INDEX(FieldDisagreements!C2:C999, MATCH(C407,FieldDisagreements!A2:A999, 0)), "")</f>
        <v>effortless-xlsx</v>
      </c>
      <c r="I407" s="3" t="str">
        <f>_xlfn.IFNA(INDEX(FieldDisagreements!D2:D999, MATCH(C407,FieldDisagreements!A2:A999, 0)), "")</f>
        <v>StepExecutions.ProcedureExecutionWhenUnclean</v>
      </c>
      <c r="J407" s="2" t="s">
        <v>1906</v>
      </c>
    </row>
    <row r="408">
      <c r="A408" s="2" t="s">
        <v>15565</v>
      </c>
      <c r="B408" s="3" t="str">
        <f>_xlfn.CONCAT(C408, " @ ", D408)</f>
        <v>effortless-xlsx|StepExecutions.ProcedureExecutionWhenUnclean @ se-close05</v>
      </c>
      <c r="C408" s="2" t="s">
        <v>14685</v>
      </c>
      <c r="D408" s="2" t="s">
        <v>1436</v>
      </c>
      <c r="E408" s="2" t="s">
        <v>15537</v>
      </c>
      <c r="F408" s="2" t="s">
        <v>15478</v>
      </c>
      <c r="G408" s="2" t="s">
        <v>14591</v>
      </c>
      <c r="H408" s="3" t="str">
        <f>_xlfn.IFNA(INDEX(FieldDisagreements!C2:C999, MATCH(C408,FieldDisagreements!A2:A999, 0)), "")</f>
        <v>effortless-xlsx</v>
      </c>
      <c r="I408" s="3" t="str">
        <f>_xlfn.IFNA(INDEX(FieldDisagreements!D2:D999, MATCH(C408,FieldDisagreements!A2:A999, 0)), "")</f>
        <v>StepExecutions.ProcedureExecutionWhenUnclean</v>
      </c>
      <c r="J408" s="2" t="s">
        <v>1906</v>
      </c>
    </row>
    <row r="409">
      <c r="A409" s="2" t="s">
        <v>15566</v>
      </c>
      <c r="B409" s="3" t="str">
        <f>_xlfn.CONCAT(C409, " @ ", D409)</f>
        <v>effortless-xlsx|StepExecutions.ProcedureExecutionWhenUnclean @ se-close06</v>
      </c>
      <c r="C409" s="2" t="s">
        <v>14685</v>
      </c>
      <c r="D409" s="2" t="s">
        <v>1437</v>
      </c>
      <c r="E409" s="2" t="s">
        <v>15036</v>
      </c>
      <c r="F409" s="2" t="s">
        <v>15478</v>
      </c>
      <c r="G409" s="2" t="s">
        <v>14591</v>
      </c>
      <c r="H409" s="3" t="str">
        <f>_xlfn.IFNA(INDEX(FieldDisagreements!C2:C999, MATCH(C409,FieldDisagreements!A2:A999, 0)), "")</f>
        <v>effortless-xlsx</v>
      </c>
      <c r="I409" s="3" t="str">
        <f>_xlfn.IFNA(INDEX(FieldDisagreements!D2:D999, MATCH(C409,FieldDisagreements!A2:A999, 0)), "")</f>
        <v>StepExecutions.ProcedureExecutionWhenUnclean</v>
      </c>
      <c r="J409" s="2" t="s">
        <v>1906</v>
      </c>
    </row>
    <row r="410">
      <c r="A410" s="2" t="s">
        <v>15567</v>
      </c>
      <c r="B410" s="3" t="str">
        <f>_xlfn.CONCAT(C410, " @ ", D410)</f>
        <v>effortless-xlsx|StepExecutions.ProcedureExecutionWhenUnclean @ se-close07</v>
      </c>
      <c r="C410" s="2" t="s">
        <v>14685</v>
      </c>
      <c r="D410" s="2" t="s">
        <v>1438</v>
      </c>
      <c r="E410" s="2" t="s">
        <v>15036</v>
      </c>
      <c r="F410" s="2" t="s">
        <v>15478</v>
      </c>
      <c r="G410" s="2" t="s">
        <v>14591</v>
      </c>
      <c r="H410" s="3" t="str">
        <f>_xlfn.IFNA(INDEX(FieldDisagreements!C2:C999, MATCH(C410,FieldDisagreements!A2:A999, 0)), "")</f>
        <v>effortless-xlsx</v>
      </c>
      <c r="I410" s="3" t="str">
        <f>_xlfn.IFNA(INDEX(FieldDisagreements!D2:D999, MATCH(C410,FieldDisagreements!A2:A999, 0)), "")</f>
        <v>StepExecutions.ProcedureExecutionWhenUnclean</v>
      </c>
      <c r="J410" s="2" t="s">
        <v>1906</v>
      </c>
    </row>
    <row r="411">
      <c r="A411" s="2" t="s">
        <v>15568</v>
      </c>
      <c r="B411" s="3" t="str">
        <f>_xlfn.CONCAT(C411, " @ ", D411)</f>
        <v>effortless-xlsx|StepExecutions.ProcedureExecutionWhenUnclean @ se-close08</v>
      </c>
      <c r="C411" s="2" t="s">
        <v>14685</v>
      </c>
      <c r="D411" s="2" t="s">
        <v>1439</v>
      </c>
      <c r="E411" s="2" t="s">
        <v>15537</v>
      </c>
      <c r="F411" s="2" t="s">
        <v>15478</v>
      </c>
      <c r="G411" s="2" t="s">
        <v>14591</v>
      </c>
      <c r="H411" s="3" t="str">
        <f>_xlfn.IFNA(INDEX(FieldDisagreements!C2:C999, MATCH(C411,FieldDisagreements!A2:A999, 0)), "")</f>
        <v>effortless-xlsx</v>
      </c>
      <c r="I411" s="3" t="str">
        <f>_xlfn.IFNA(INDEX(FieldDisagreements!D2:D999, MATCH(C411,FieldDisagreements!A2:A999, 0)), "")</f>
        <v>StepExecutions.ProcedureExecutionWhenUnclean</v>
      </c>
      <c r="J411" s="2" t="s">
        <v>1906</v>
      </c>
    </row>
    <row r="412">
      <c r="A412" s="2" t="s">
        <v>15569</v>
      </c>
      <c r="B412" s="3" t="str">
        <f>_xlfn.CONCAT(C412, " @ ", D412)</f>
        <v>effortless-xlsx|StepExecutions.ProcedureExecutionWhenUnclean @ se-policy01</v>
      </c>
      <c r="C412" s="2" t="s">
        <v>14685</v>
      </c>
      <c r="D412" s="2" t="s">
        <v>1441</v>
      </c>
      <c r="E412" s="2" t="s">
        <v>15036</v>
      </c>
      <c r="F412" s="2" t="s">
        <v>15478</v>
      </c>
      <c r="G412" s="2" t="s">
        <v>14591</v>
      </c>
      <c r="H412" s="3" t="str">
        <f>_xlfn.IFNA(INDEX(FieldDisagreements!C2:C999, MATCH(C412,FieldDisagreements!A2:A999, 0)), "")</f>
        <v>effortless-xlsx</v>
      </c>
      <c r="I412" s="3" t="str">
        <f>_xlfn.IFNA(INDEX(FieldDisagreements!D2:D999, MATCH(C412,FieldDisagreements!A2:A999, 0)), "")</f>
        <v>StepExecutions.ProcedureExecutionWhenUnclean</v>
      </c>
      <c r="J412" s="2" t="s">
        <v>1906</v>
      </c>
    </row>
    <row r="413">
      <c r="A413" s="2" t="s">
        <v>15570</v>
      </c>
      <c r="B413" s="3" t="str">
        <f>_xlfn.CONCAT(C413, " @ ", D413)</f>
        <v>effortless-xlsx|StepExecutions.ProcedureExecutionWhenUnclean @ se-policy02</v>
      </c>
      <c r="C413" s="2" t="s">
        <v>14685</v>
      </c>
      <c r="D413" s="2" t="s">
        <v>1442</v>
      </c>
      <c r="E413" s="2" t="s">
        <v>15546</v>
      </c>
      <c r="F413" s="2" t="s">
        <v>15478</v>
      </c>
      <c r="G413" s="2" t="s">
        <v>14591</v>
      </c>
      <c r="H413" s="3" t="str">
        <f>_xlfn.IFNA(INDEX(FieldDisagreements!C2:C999, MATCH(C413,FieldDisagreements!A2:A999, 0)), "")</f>
        <v>effortless-xlsx</v>
      </c>
      <c r="I413" s="3" t="str">
        <f>_xlfn.IFNA(INDEX(FieldDisagreements!D2:D999, MATCH(C413,FieldDisagreements!A2:A999, 0)), "")</f>
        <v>StepExecutions.ProcedureExecutionWhenUnclean</v>
      </c>
      <c r="J413" s="2" t="s">
        <v>1906</v>
      </c>
    </row>
    <row r="414">
      <c r="A414" s="2" t="s">
        <v>15571</v>
      </c>
      <c r="B414" s="3" t="str">
        <f>_xlfn.CONCAT(C414, " @ ", D414)</f>
        <v>effortless-xlsx|StepExecutions.ProcedureExecutionWhenUnclean @ se-policy03</v>
      </c>
      <c r="C414" s="2" t="s">
        <v>14685</v>
      </c>
      <c r="D414" s="2" t="s">
        <v>1443</v>
      </c>
      <c r="E414" s="2" t="s">
        <v>15036</v>
      </c>
      <c r="F414" s="2" t="s">
        <v>15478</v>
      </c>
      <c r="G414" s="2" t="s">
        <v>14591</v>
      </c>
      <c r="H414" s="3" t="str">
        <f>_xlfn.IFNA(INDEX(FieldDisagreements!C2:C999, MATCH(C414,FieldDisagreements!A2:A999, 0)), "")</f>
        <v>effortless-xlsx</v>
      </c>
      <c r="I414" s="3" t="str">
        <f>_xlfn.IFNA(INDEX(FieldDisagreements!D2:D999, MATCH(C414,FieldDisagreements!A2:A999, 0)), "")</f>
        <v>StepExecutions.ProcedureExecutionWhenUnclean</v>
      </c>
      <c r="J414" s="2" t="s">
        <v>1906</v>
      </c>
    </row>
    <row r="415">
      <c r="A415" s="2" t="s">
        <v>15572</v>
      </c>
      <c r="B415" s="3" t="str">
        <f>_xlfn.CONCAT(C415, " @ ", D415)</f>
        <v>effortless-xlsx|StepExecutions.ProcedureExecutionWhenUnclean @ se-policy04</v>
      </c>
      <c r="C415" s="2" t="s">
        <v>14685</v>
      </c>
      <c r="D415" s="2" t="s">
        <v>1444</v>
      </c>
      <c r="E415" s="2" t="s">
        <v>15546</v>
      </c>
      <c r="F415" s="2" t="s">
        <v>15478</v>
      </c>
      <c r="G415" s="2" t="s">
        <v>14591</v>
      </c>
      <c r="H415" s="3" t="str">
        <f>_xlfn.IFNA(INDEX(FieldDisagreements!C2:C999, MATCH(C415,FieldDisagreements!A2:A999, 0)), "")</f>
        <v>effortless-xlsx</v>
      </c>
      <c r="I415" s="3" t="str">
        <f>_xlfn.IFNA(INDEX(FieldDisagreements!D2:D999, MATCH(C415,FieldDisagreements!A2:A999, 0)), "")</f>
        <v>StepExecutions.ProcedureExecutionWhenUnclean</v>
      </c>
      <c r="J415" s="2" t="s">
        <v>1906</v>
      </c>
    </row>
    <row r="416">
      <c r="A416" s="2" t="s">
        <v>15573</v>
      </c>
      <c r="B416" s="3" t="str">
        <f>_xlfn.CONCAT(C416, " @ ", D416)</f>
        <v>effortless-xlsx|StepExecutions.IsVacuouslyClean @ se-close01</v>
      </c>
      <c r="C416" s="2" t="s">
        <v>14686</v>
      </c>
      <c r="D416" s="2" t="s">
        <v>1427</v>
      </c>
      <c r="E416" s="2" t="s">
        <v>15057</v>
      </c>
      <c r="F416" s="2" t="s">
        <v>15478</v>
      </c>
      <c r="G416" s="2" t="s">
        <v>14591</v>
      </c>
      <c r="H416" s="3" t="str">
        <f>_xlfn.IFNA(INDEX(FieldDisagreements!C2:C999, MATCH(C416,FieldDisagreements!A2:A999, 0)), "")</f>
        <v>effortless-xlsx</v>
      </c>
      <c r="I416" s="3" t="str">
        <f>_xlfn.IFNA(INDEX(FieldDisagreements!D2:D999, MATCH(C416,FieldDisagreements!A2:A999, 0)), "")</f>
        <v>StepExecutions.IsVacuouslyClean</v>
      </c>
      <c r="J416" s="2" t="s">
        <v>1906</v>
      </c>
    </row>
    <row r="417">
      <c r="A417" s="2" t="s">
        <v>15574</v>
      </c>
      <c r="B417" s="3" t="str">
        <f>_xlfn.CONCAT(C417, " @ ", D417)</f>
        <v>effortless-xlsx|StepExecutions.IsVacuouslyClean @ se-close02</v>
      </c>
      <c r="C417" s="2" t="s">
        <v>14686</v>
      </c>
      <c r="D417" s="2" t="s">
        <v>1430</v>
      </c>
      <c r="E417" s="2" t="s">
        <v>15057</v>
      </c>
      <c r="F417" s="2" t="s">
        <v>15478</v>
      </c>
      <c r="G417" s="2" t="s">
        <v>14591</v>
      </c>
      <c r="H417" s="3" t="str">
        <f>_xlfn.IFNA(INDEX(FieldDisagreements!C2:C999, MATCH(C417,FieldDisagreements!A2:A999, 0)), "")</f>
        <v>effortless-xlsx</v>
      </c>
      <c r="I417" s="3" t="str">
        <f>_xlfn.IFNA(INDEX(FieldDisagreements!D2:D999, MATCH(C417,FieldDisagreements!A2:A999, 0)), "")</f>
        <v>StepExecutions.IsVacuouslyClean</v>
      </c>
      <c r="J417" s="2" t="s">
        <v>1906</v>
      </c>
    </row>
    <row r="418">
      <c r="A418" s="2" t="s">
        <v>15575</v>
      </c>
      <c r="B418" s="3" t="str">
        <f>_xlfn.CONCAT(C418, " @ ", D418)</f>
        <v>effortless-xlsx|StepExecutions.IsVacuouslyClean @ se-close03</v>
      </c>
      <c r="C418" s="2" t="s">
        <v>14686</v>
      </c>
      <c r="D418" s="2" t="s">
        <v>1433</v>
      </c>
      <c r="E418" s="2" t="s">
        <v>15057</v>
      </c>
      <c r="F418" s="2" t="s">
        <v>15478</v>
      </c>
      <c r="G418" s="2" t="s">
        <v>14591</v>
      </c>
      <c r="H418" s="3" t="str">
        <f>_xlfn.IFNA(INDEX(FieldDisagreements!C2:C999, MATCH(C418,FieldDisagreements!A2:A999, 0)), "")</f>
        <v>effortless-xlsx</v>
      </c>
      <c r="I418" s="3" t="str">
        <f>_xlfn.IFNA(INDEX(FieldDisagreements!D2:D999, MATCH(C418,FieldDisagreements!A2:A999, 0)), "")</f>
        <v>StepExecutions.IsVacuouslyClean</v>
      </c>
      <c r="J418" s="2" t="s">
        <v>1906</v>
      </c>
    </row>
    <row r="419">
      <c r="A419" s="2" t="s">
        <v>15576</v>
      </c>
      <c r="B419" s="3" t="str">
        <f>_xlfn.CONCAT(C419, " @ ", D419)</f>
        <v>effortless-xlsx|StepExecutions.IsVacuouslyClean @ se-close04</v>
      </c>
      <c r="C419" s="2" t="s">
        <v>14686</v>
      </c>
      <c r="D419" s="2" t="s">
        <v>1434</v>
      </c>
      <c r="E419" s="2" t="s">
        <v>15057</v>
      </c>
      <c r="F419" s="2" t="s">
        <v>15478</v>
      </c>
      <c r="G419" s="2" t="s">
        <v>14591</v>
      </c>
      <c r="H419" s="3" t="str">
        <f>_xlfn.IFNA(INDEX(FieldDisagreements!C2:C999, MATCH(C419,FieldDisagreements!A2:A999, 0)), "")</f>
        <v>effortless-xlsx</v>
      </c>
      <c r="I419" s="3" t="str">
        <f>_xlfn.IFNA(INDEX(FieldDisagreements!D2:D999, MATCH(C419,FieldDisagreements!A2:A999, 0)), "")</f>
        <v>StepExecutions.IsVacuouslyClean</v>
      </c>
      <c r="J419" s="2" t="s">
        <v>1906</v>
      </c>
    </row>
    <row r="420">
      <c r="A420" s="2" t="s">
        <v>15577</v>
      </c>
      <c r="B420" s="3" t="str">
        <f>_xlfn.CONCAT(C420, " @ ", D420)</f>
        <v>effortless-xlsx|StepExecutions.IsVacuouslyClean @ se-close05</v>
      </c>
      <c r="C420" s="2" t="s">
        <v>14686</v>
      </c>
      <c r="D420" s="2" t="s">
        <v>1436</v>
      </c>
      <c r="E420" s="2" t="s">
        <v>15057</v>
      </c>
      <c r="F420" s="2" t="s">
        <v>15478</v>
      </c>
      <c r="G420" s="2" t="s">
        <v>14591</v>
      </c>
      <c r="H420" s="3" t="str">
        <f>_xlfn.IFNA(INDEX(FieldDisagreements!C2:C999, MATCH(C420,FieldDisagreements!A2:A999, 0)), "")</f>
        <v>effortless-xlsx</v>
      </c>
      <c r="I420" s="3" t="str">
        <f>_xlfn.IFNA(INDEX(FieldDisagreements!D2:D999, MATCH(C420,FieldDisagreements!A2:A999, 0)), "")</f>
        <v>StepExecutions.IsVacuouslyClean</v>
      </c>
      <c r="J420" s="2" t="s">
        <v>1906</v>
      </c>
    </row>
    <row r="421">
      <c r="A421" s="2" t="s">
        <v>15578</v>
      </c>
      <c r="B421" s="3" t="str">
        <f>_xlfn.CONCAT(C421, " @ ", D421)</f>
        <v>effortless-xlsx|StepExecutions.IsVacuouslyClean @ se-close06</v>
      </c>
      <c r="C421" s="2" t="s">
        <v>14686</v>
      </c>
      <c r="D421" s="2" t="s">
        <v>1437</v>
      </c>
      <c r="E421" s="2" t="s">
        <v>15057</v>
      </c>
      <c r="F421" s="2" t="s">
        <v>15478</v>
      </c>
      <c r="G421" s="2" t="s">
        <v>14591</v>
      </c>
      <c r="H421" s="3" t="str">
        <f>_xlfn.IFNA(INDEX(FieldDisagreements!C2:C999, MATCH(C421,FieldDisagreements!A2:A999, 0)), "")</f>
        <v>effortless-xlsx</v>
      </c>
      <c r="I421" s="3" t="str">
        <f>_xlfn.IFNA(INDEX(FieldDisagreements!D2:D999, MATCH(C421,FieldDisagreements!A2:A999, 0)), "")</f>
        <v>StepExecutions.IsVacuouslyClean</v>
      </c>
      <c r="J421" s="2" t="s">
        <v>1906</v>
      </c>
    </row>
    <row r="422">
      <c r="A422" s="2" t="s">
        <v>15579</v>
      </c>
      <c r="B422" s="3" t="str">
        <f>_xlfn.CONCAT(C422, " @ ", D422)</f>
        <v>effortless-xlsx|StepExecutions.IsVacuouslyClean @ se-close07</v>
      </c>
      <c r="C422" s="2" t="s">
        <v>14686</v>
      </c>
      <c r="D422" s="2" t="s">
        <v>1438</v>
      </c>
      <c r="E422" s="2" t="s">
        <v>15035</v>
      </c>
      <c r="F422" s="2" t="s">
        <v>15478</v>
      </c>
      <c r="G422" s="2" t="s">
        <v>14591</v>
      </c>
      <c r="H422" s="3" t="str">
        <f>_xlfn.IFNA(INDEX(FieldDisagreements!C2:C999, MATCH(C422,FieldDisagreements!A2:A999, 0)), "")</f>
        <v>effortless-xlsx</v>
      </c>
      <c r="I422" s="3" t="str">
        <f>_xlfn.IFNA(INDEX(FieldDisagreements!D2:D999, MATCH(C422,FieldDisagreements!A2:A999, 0)), "")</f>
        <v>StepExecutions.IsVacuouslyClean</v>
      </c>
      <c r="J422" s="2" t="s">
        <v>1906</v>
      </c>
    </row>
    <row r="423">
      <c r="A423" s="2" t="s">
        <v>15580</v>
      </c>
      <c r="B423" s="3" t="str">
        <f>_xlfn.CONCAT(C423, " @ ", D423)</f>
        <v>effortless-xlsx|StepExecutions.IsVacuouslyClean @ se-close08</v>
      </c>
      <c r="C423" s="2" t="s">
        <v>14686</v>
      </c>
      <c r="D423" s="2" t="s">
        <v>1439</v>
      </c>
      <c r="E423" s="2" t="s">
        <v>15057</v>
      </c>
      <c r="F423" s="2" t="s">
        <v>15478</v>
      </c>
      <c r="G423" s="2" t="s">
        <v>14591</v>
      </c>
      <c r="H423" s="3" t="str">
        <f>_xlfn.IFNA(INDEX(FieldDisagreements!C2:C999, MATCH(C423,FieldDisagreements!A2:A999, 0)), "")</f>
        <v>effortless-xlsx</v>
      </c>
      <c r="I423" s="3" t="str">
        <f>_xlfn.IFNA(INDEX(FieldDisagreements!D2:D999, MATCH(C423,FieldDisagreements!A2:A999, 0)), "")</f>
        <v>StepExecutions.IsVacuouslyClean</v>
      </c>
      <c r="J423" s="2" t="s">
        <v>1906</v>
      </c>
    </row>
    <row r="424">
      <c r="A424" s="2" t="s">
        <v>15581</v>
      </c>
      <c r="B424" s="3" t="str">
        <f>_xlfn.CONCAT(C424, " @ ", D424)</f>
        <v>effortless-xlsx|StepExecutions.IsVacuouslyClean @ se-policy01</v>
      </c>
      <c r="C424" s="2" t="s">
        <v>14686</v>
      </c>
      <c r="D424" s="2" t="s">
        <v>1441</v>
      </c>
      <c r="E424" s="2" t="s">
        <v>15035</v>
      </c>
      <c r="F424" s="2" t="s">
        <v>15478</v>
      </c>
      <c r="G424" s="2" t="s">
        <v>14591</v>
      </c>
      <c r="H424" s="3" t="str">
        <f>_xlfn.IFNA(INDEX(FieldDisagreements!C2:C999, MATCH(C424,FieldDisagreements!A2:A999, 0)), "")</f>
        <v>effortless-xlsx</v>
      </c>
      <c r="I424" s="3" t="str">
        <f>_xlfn.IFNA(INDEX(FieldDisagreements!D2:D999, MATCH(C424,FieldDisagreements!A2:A999, 0)), "")</f>
        <v>StepExecutions.IsVacuouslyClean</v>
      </c>
      <c r="J424" s="2" t="s">
        <v>1906</v>
      </c>
    </row>
    <row r="425">
      <c r="A425" s="2" t="s">
        <v>15582</v>
      </c>
      <c r="B425" s="3" t="str">
        <f>_xlfn.CONCAT(C425, " @ ", D425)</f>
        <v>effortless-xlsx|StepExecutions.IsVacuouslyClean @ se-policy02</v>
      </c>
      <c r="C425" s="2" t="s">
        <v>14686</v>
      </c>
      <c r="D425" s="2" t="s">
        <v>1442</v>
      </c>
      <c r="E425" s="2" t="s">
        <v>15057</v>
      </c>
      <c r="F425" s="2" t="s">
        <v>15478</v>
      </c>
      <c r="G425" s="2" t="s">
        <v>14591</v>
      </c>
      <c r="H425" s="3" t="str">
        <f>_xlfn.IFNA(INDEX(FieldDisagreements!C2:C999, MATCH(C425,FieldDisagreements!A2:A999, 0)), "")</f>
        <v>effortless-xlsx</v>
      </c>
      <c r="I425" s="3" t="str">
        <f>_xlfn.IFNA(INDEX(FieldDisagreements!D2:D999, MATCH(C425,FieldDisagreements!A2:A999, 0)), "")</f>
        <v>StepExecutions.IsVacuouslyClean</v>
      </c>
      <c r="J425" s="2" t="s">
        <v>1906</v>
      </c>
    </row>
    <row r="426">
      <c r="A426" s="2" t="s">
        <v>15583</v>
      </c>
      <c r="B426" s="3" t="str">
        <f>_xlfn.CONCAT(C426, " @ ", D426)</f>
        <v>effortless-xlsx|StepExecutions.IsVacuouslyClean @ se-policy03</v>
      </c>
      <c r="C426" s="2" t="s">
        <v>14686</v>
      </c>
      <c r="D426" s="2" t="s">
        <v>1443</v>
      </c>
      <c r="E426" s="2" t="s">
        <v>15057</v>
      </c>
      <c r="F426" s="2" t="s">
        <v>15478</v>
      </c>
      <c r="G426" s="2" t="s">
        <v>14591</v>
      </c>
      <c r="H426" s="3" t="str">
        <f>_xlfn.IFNA(INDEX(FieldDisagreements!C2:C999, MATCH(C426,FieldDisagreements!A2:A999, 0)), "")</f>
        <v>effortless-xlsx</v>
      </c>
      <c r="I426" s="3" t="str">
        <f>_xlfn.IFNA(INDEX(FieldDisagreements!D2:D999, MATCH(C426,FieldDisagreements!A2:A999, 0)), "")</f>
        <v>StepExecutions.IsVacuouslyClean</v>
      </c>
      <c r="J426" s="2" t="s">
        <v>1906</v>
      </c>
    </row>
    <row r="427">
      <c r="A427" s="2" t="s">
        <v>15584</v>
      </c>
      <c r="B427" s="3" t="str">
        <f>_xlfn.CONCAT(C427, " @ ", D427)</f>
        <v>effortless-xlsx|StepExecutions.IsVacuouslyClean @ se-policy04</v>
      </c>
      <c r="C427" s="2" t="s">
        <v>14686</v>
      </c>
      <c r="D427" s="2" t="s">
        <v>1444</v>
      </c>
      <c r="E427" s="2" t="s">
        <v>15057</v>
      </c>
      <c r="F427" s="2" t="s">
        <v>15478</v>
      </c>
      <c r="G427" s="2" t="s">
        <v>14591</v>
      </c>
      <c r="H427" s="3" t="str">
        <f>_xlfn.IFNA(INDEX(FieldDisagreements!C2:C999, MATCH(C427,FieldDisagreements!A2:A999, 0)), "")</f>
        <v>effortless-xlsx</v>
      </c>
      <c r="I427" s="3" t="str">
        <f>_xlfn.IFNA(INDEX(FieldDisagreements!D2:D999, MATCH(C427,FieldDisagreements!A2:A999, 0)), "")</f>
        <v>StepExecutions.IsVacuouslyClean</v>
      </c>
      <c r="J427" s="2" t="s">
        <v>1906</v>
      </c>
    </row>
    <row r="428">
      <c r="A428" s="2" t="s">
        <v>15585</v>
      </c>
      <c r="B428" s="3" t="str">
        <f>_xlfn.CONCAT(C428, " @ ", D428)</f>
        <v>effortless-xlsx|StepExecutions.IsSubstantivelyClean @ se-close01</v>
      </c>
      <c r="C428" s="2" t="s">
        <v>14687</v>
      </c>
      <c r="D428" s="2" t="s">
        <v>1427</v>
      </c>
      <c r="E428" s="2" t="s">
        <v>15035</v>
      </c>
      <c r="F428" s="2" t="s">
        <v>15478</v>
      </c>
      <c r="G428" s="2" t="s">
        <v>14591</v>
      </c>
      <c r="H428" s="3" t="str">
        <f>_xlfn.IFNA(INDEX(FieldDisagreements!C2:C999, MATCH(C428,FieldDisagreements!A2:A999, 0)), "")</f>
        <v>effortless-xlsx</v>
      </c>
      <c r="I428" s="3" t="str">
        <f>_xlfn.IFNA(INDEX(FieldDisagreements!D2:D999, MATCH(C428,FieldDisagreements!A2:A999, 0)), "")</f>
        <v>StepExecutions.IsSubstantivelyClean</v>
      </c>
      <c r="J428" s="2" t="s">
        <v>1906</v>
      </c>
    </row>
    <row r="429">
      <c r="A429" s="2" t="s">
        <v>15586</v>
      </c>
      <c r="B429" s="3" t="str">
        <f>_xlfn.CONCAT(C429, " @ ", D429)</f>
        <v>effortless-xlsx|StepExecutions.IsSubstantivelyClean @ se-close02</v>
      </c>
      <c r="C429" s="2" t="s">
        <v>14687</v>
      </c>
      <c r="D429" s="2" t="s">
        <v>1430</v>
      </c>
      <c r="E429" s="2" t="s">
        <v>15057</v>
      </c>
      <c r="F429" s="2" t="s">
        <v>15478</v>
      </c>
      <c r="G429" s="2" t="s">
        <v>14591</v>
      </c>
      <c r="H429" s="3" t="str">
        <f>_xlfn.IFNA(INDEX(FieldDisagreements!C2:C999, MATCH(C429,FieldDisagreements!A2:A999, 0)), "")</f>
        <v>effortless-xlsx</v>
      </c>
      <c r="I429" s="3" t="str">
        <f>_xlfn.IFNA(INDEX(FieldDisagreements!D2:D999, MATCH(C429,FieldDisagreements!A2:A999, 0)), "")</f>
        <v>StepExecutions.IsSubstantivelyClean</v>
      </c>
      <c r="J429" s="2" t="s">
        <v>1906</v>
      </c>
    </row>
    <row r="430">
      <c r="A430" s="2" t="s">
        <v>15587</v>
      </c>
      <c r="B430" s="3" t="str">
        <f>_xlfn.CONCAT(C430, " @ ", D430)</f>
        <v>effortless-xlsx|StepExecutions.IsSubstantivelyClean @ se-close03</v>
      </c>
      <c r="C430" s="2" t="s">
        <v>14687</v>
      </c>
      <c r="D430" s="2" t="s">
        <v>1433</v>
      </c>
      <c r="E430" s="2" t="s">
        <v>15057</v>
      </c>
      <c r="F430" s="2" t="s">
        <v>15478</v>
      </c>
      <c r="G430" s="2" t="s">
        <v>14591</v>
      </c>
      <c r="H430" s="3" t="str">
        <f>_xlfn.IFNA(INDEX(FieldDisagreements!C2:C999, MATCH(C430,FieldDisagreements!A2:A999, 0)), "")</f>
        <v>effortless-xlsx</v>
      </c>
      <c r="I430" s="3" t="str">
        <f>_xlfn.IFNA(INDEX(FieldDisagreements!D2:D999, MATCH(C430,FieldDisagreements!A2:A999, 0)), "")</f>
        <v>StepExecutions.IsSubstantivelyClean</v>
      </c>
      <c r="J430" s="2" t="s">
        <v>1906</v>
      </c>
    </row>
    <row r="431">
      <c r="A431" s="2" t="s">
        <v>15588</v>
      </c>
      <c r="B431" s="3" t="str">
        <f>_xlfn.CONCAT(C431, " @ ", D431)</f>
        <v>effortless-xlsx|StepExecutions.IsSubstantivelyClean @ se-close04</v>
      </c>
      <c r="C431" s="2" t="s">
        <v>14687</v>
      </c>
      <c r="D431" s="2" t="s">
        <v>1434</v>
      </c>
      <c r="E431" s="2" t="s">
        <v>15057</v>
      </c>
      <c r="F431" s="2" t="s">
        <v>15478</v>
      </c>
      <c r="G431" s="2" t="s">
        <v>14591</v>
      </c>
      <c r="H431" s="3" t="str">
        <f>_xlfn.IFNA(INDEX(FieldDisagreements!C2:C999, MATCH(C431,FieldDisagreements!A2:A999, 0)), "")</f>
        <v>effortless-xlsx</v>
      </c>
      <c r="I431" s="3" t="str">
        <f>_xlfn.IFNA(INDEX(FieldDisagreements!D2:D999, MATCH(C431,FieldDisagreements!A2:A999, 0)), "")</f>
        <v>StepExecutions.IsSubstantivelyClean</v>
      </c>
      <c r="J431" s="2" t="s">
        <v>1906</v>
      </c>
    </row>
    <row r="432">
      <c r="A432" s="2" t="s">
        <v>15589</v>
      </c>
      <c r="B432" s="3" t="str">
        <f>_xlfn.CONCAT(C432, " @ ", D432)</f>
        <v>effortless-xlsx|StepExecutions.IsSubstantivelyClean @ se-close05</v>
      </c>
      <c r="C432" s="2" t="s">
        <v>14687</v>
      </c>
      <c r="D432" s="2" t="s">
        <v>1436</v>
      </c>
      <c r="E432" s="2" t="s">
        <v>15057</v>
      </c>
      <c r="F432" s="2" t="s">
        <v>15478</v>
      </c>
      <c r="G432" s="2" t="s">
        <v>14591</v>
      </c>
      <c r="H432" s="3" t="str">
        <f>_xlfn.IFNA(INDEX(FieldDisagreements!C2:C999, MATCH(C432,FieldDisagreements!A2:A999, 0)), "")</f>
        <v>effortless-xlsx</v>
      </c>
      <c r="I432" s="3" t="str">
        <f>_xlfn.IFNA(INDEX(FieldDisagreements!D2:D999, MATCH(C432,FieldDisagreements!A2:A999, 0)), "")</f>
        <v>StepExecutions.IsSubstantivelyClean</v>
      </c>
      <c r="J432" s="2" t="s">
        <v>1906</v>
      </c>
    </row>
    <row r="433">
      <c r="A433" s="2" t="s">
        <v>15590</v>
      </c>
      <c r="B433" s="3" t="str">
        <f>_xlfn.CONCAT(C433, " @ ", D433)</f>
        <v>effortless-xlsx|StepExecutions.IsSubstantivelyClean @ se-close06</v>
      </c>
      <c r="C433" s="2" t="s">
        <v>14687</v>
      </c>
      <c r="D433" s="2" t="s">
        <v>1437</v>
      </c>
      <c r="E433" s="2" t="s">
        <v>15057</v>
      </c>
      <c r="F433" s="2" t="s">
        <v>15478</v>
      </c>
      <c r="G433" s="2" t="s">
        <v>14591</v>
      </c>
      <c r="H433" s="3" t="str">
        <f>_xlfn.IFNA(INDEX(FieldDisagreements!C2:C999, MATCH(C433,FieldDisagreements!A2:A999, 0)), "")</f>
        <v>effortless-xlsx</v>
      </c>
      <c r="I433" s="3" t="str">
        <f>_xlfn.IFNA(INDEX(FieldDisagreements!D2:D999, MATCH(C433,FieldDisagreements!A2:A999, 0)), "")</f>
        <v>StepExecutions.IsSubstantivelyClean</v>
      </c>
      <c r="J433" s="2" t="s">
        <v>1906</v>
      </c>
    </row>
    <row r="434">
      <c r="A434" s="2" t="s">
        <v>15591</v>
      </c>
      <c r="B434" s="3" t="str">
        <f>_xlfn.CONCAT(C434, " @ ", D434)</f>
        <v>effortless-xlsx|StepExecutions.IsSubstantivelyClean @ se-close07</v>
      </c>
      <c r="C434" s="2" t="s">
        <v>14687</v>
      </c>
      <c r="D434" s="2" t="s">
        <v>1438</v>
      </c>
      <c r="E434" s="2" t="s">
        <v>15057</v>
      </c>
      <c r="F434" s="2" t="s">
        <v>15478</v>
      </c>
      <c r="G434" s="2" t="s">
        <v>14591</v>
      </c>
      <c r="H434" s="3" t="str">
        <f>_xlfn.IFNA(INDEX(FieldDisagreements!C2:C999, MATCH(C434,FieldDisagreements!A2:A999, 0)), "")</f>
        <v>effortless-xlsx</v>
      </c>
      <c r="I434" s="3" t="str">
        <f>_xlfn.IFNA(INDEX(FieldDisagreements!D2:D999, MATCH(C434,FieldDisagreements!A2:A999, 0)), "")</f>
        <v>StepExecutions.IsSubstantivelyClean</v>
      </c>
      <c r="J434" s="2" t="s">
        <v>1906</v>
      </c>
    </row>
    <row r="435">
      <c r="A435" s="2" t="s">
        <v>15592</v>
      </c>
      <c r="B435" s="3" t="str">
        <f>_xlfn.CONCAT(C435, " @ ", D435)</f>
        <v>effortless-xlsx|StepExecutions.IsSubstantivelyClean @ se-close08</v>
      </c>
      <c r="C435" s="2" t="s">
        <v>14687</v>
      </c>
      <c r="D435" s="2" t="s">
        <v>1439</v>
      </c>
      <c r="E435" s="2" t="s">
        <v>15057</v>
      </c>
      <c r="F435" s="2" t="s">
        <v>15478</v>
      </c>
      <c r="G435" s="2" t="s">
        <v>14591</v>
      </c>
      <c r="H435" s="3" t="str">
        <f>_xlfn.IFNA(INDEX(FieldDisagreements!C2:C999, MATCH(C435,FieldDisagreements!A2:A999, 0)), "")</f>
        <v>effortless-xlsx</v>
      </c>
      <c r="I435" s="3" t="str">
        <f>_xlfn.IFNA(INDEX(FieldDisagreements!D2:D999, MATCH(C435,FieldDisagreements!A2:A999, 0)), "")</f>
        <v>StepExecutions.IsSubstantivelyClean</v>
      </c>
      <c r="J435" s="2" t="s">
        <v>1906</v>
      </c>
    </row>
    <row r="436">
      <c r="A436" s="2" t="s">
        <v>15593</v>
      </c>
      <c r="B436" s="3" t="str">
        <f>_xlfn.CONCAT(C436, " @ ", D436)</f>
        <v>effortless-xlsx|StepExecutions.IsSubstantivelyClean @ se-policy01</v>
      </c>
      <c r="C436" s="2" t="s">
        <v>14687</v>
      </c>
      <c r="D436" s="2" t="s">
        <v>1441</v>
      </c>
      <c r="E436" s="2" t="s">
        <v>15057</v>
      </c>
      <c r="F436" s="2" t="s">
        <v>15478</v>
      </c>
      <c r="G436" s="2" t="s">
        <v>14591</v>
      </c>
      <c r="H436" s="3" t="str">
        <f>_xlfn.IFNA(INDEX(FieldDisagreements!C2:C999, MATCH(C436,FieldDisagreements!A2:A999, 0)), "")</f>
        <v>effortless-xlsx</v>
      </c>
      <c r="I436" s="3" t="str">
        <f>_xlfn.IFNA(INDEX(FieldDisagreements!D2:D999, MATCH(C436,FieldDisagreements!A2:A999, 0)), "")</f>
        <v>StepExecutions.IsSubstantivelyClean</v>
      </c>
      <c r="J436" s="2" t="s">
        <v>1906</v>
      </c>
    </row>
    <row r="437">
      <c r="A437" s="2" t="s">
        <v>15594</v>
      </c>
      <c r="B437" s="3" t="str">
        <f>_xlfn.CONCAT(C437, " @ ", D437)</f>
        <v>effortless-xlsx|StepExecutions.IsSubstantivelyClean @ se-policy02</v>
      </c>
      <c r="C437" s="2" t="s">
        <v>14687</v>
      </c>
      <c r="D437" s="2" t="s">
        <v>1442</v>
      </c>
      <c r="E437" s="2" t="s">
        <v>15057</v>
      </c>
      <c r="F437" s="2" t="s">
        <v>15478</v>
      </c>
      <c r="G437" s="2" t="s">
        <v>14591</v>
      </c>
      <c r="H437" s="3" t="str">
        <f>_xlfn.IFNA(INDEX(FieldDisagreements!C2:C999, MATCH(C437,FieldDisagreements!A2:A999, 0)), "")</f>
        <v>effortless-xlsx</v>
      </c>
      <c r="I437" s="3" t="str">
        <f>_xlfn.IFNA(INDEX(FieldDisagreements!D2:D999, MATCH(C437,FieldDisagreements!A2:A999, 0)), "")</f>
        <v>StepExecutions.IsSubstantivelyClean</v>
      </c>
      <c r="J437" s="2" t="s">
        <v>1906</v>
      </c>
    </row>
    <row r="438">
      <c r="A438" s="2" t="s">
        <v>15595</v>
      </c>
      <c r="B438" s="3" t="str">
        <f>_xlfn.CONCAT(C438, " @ ", D438)</f>
        <v>effortless-xlsx|StepExecutions.IsSubstantivelyClean @ se-policy03</v>
      </c>
      <c r="C438" s="2" t="s">
        <v>14687</v>
      </c>
      <c r="D438" s="2" t="s">
        <v>1443</v>
      </c>
      <c r="E438" s="2" t="s">
        <v>15057</v>
      </c>
      <c r="F438" s="2" t="s">
        <v>15478</v>
      </c>
      <c r="G438" s="2" t="s">
        <v>14591</v>
      </c>
      <c r="H438" s="3" t="str">
        <f>_xlfn.IFNA(INDEX(FieldDisagreements!C2:C999, MATCH(C438,FieldDisagreements!A2:A999, 0)), "")</f>
        <v>effortless-xlsx</v>
      </c>
      <c r="I438" s="3" t="str">
        <f>_xlfn.IFNA(INDEX(FieldDisagreements!D2:D999, MATCH(C438,FieldDisagreements!A2:A999, 0)), "")</f>
        <v>StepExecutions.IsSubstantivelyClean</v>
      </c>
      <c r="J438" s="2" t="s">
        <v>1906</v>
      </c>
    </row>
    <row r="439">
      <c r="A439" s="2" t="s">
        <v>15596</v>
      </c>
      <c r="B439" s="3" t="str">
        <f>_xlfn.CONCAT(C439, " @ ", D439)</f>
        <v>effortless-xlsx|StepExecutions.IsSubstantivelyClean @ se-policy04</v>
      </c>
      <c r="C439" s="2" t="s">
        <v>14687</v>
      </c>
      <c r="D439" s="2" t="s">
        <v>1444</v>
      </c>
      <c r="E439" s="2" t="s">
        <v>15057</v>
      </c>
      <c r="F439" s="2" t="s">
        <v>15478</v>
      </c>
      <c r="G439" s="2" t="s">
        <v>14591</v>
      </c>
      <c r="H439" s="3" t="str">
        <f>_xlfn.IFNA(INDEX(FieldDisagreements!C2:C999, MATCH(C439,FieldDisagreements!A2:A999, 0)), "")</f>
        <v>effortless-xlsx</v>
      </c>
      <c r="I439" s="3" t="str">
        <f>_xlfn.IFNA(INDEX(FieldDisagreements!D2:D999, MATCH(C439,FieldDisagreements!A2:A999, 0)), "")</f>
        <v>StepExecutions.IsSubstantivelyClean</v>
      </c>
      <c r="J439" s="2" t="s">
        <v>1906</v>
      </c>
    </row>
    <row r="440">
      <c r="A440" s="2" t="s">
        <v>15597</v>
      </c>
      <c r="B440" s="3" t="str">
        <f>_xlfn.CONCAT(C440, " @ ", D440)</f>
        <v>effortless-xlsx|StepExecutions.VacuouslyCleanExecutionKey @ se-close01</v>
      </c>
      <c r="C440" s="2" t="s">
        <v>14688</v>
      </c>
      <c r="D440" s="2" t="s">
        <v>1427</v>
      </c>
      <c r="E440" s="2" t="s">
        <v>15036</v>
      </c>
      <c r="F440" s="2" t="s">
        <v>15478</v>
      </c>
      <c r="G440" s="2" t="s">
        <v>14591</v>
      </c>
      <c r="H440" s="3" t="str">
        <f>_xlfn.IFNA(INDEX(FieldDisagreements!C2:C999, MATCH(C440,FieldDisagreements!A2:A999, 0)), "")</f>
        <v>effortless-xlsx</v>
      </c>
      <c r="I440" s="3" t="str">
        <f>_xlfn.IFNA(INDEX(FieldDisagreements!D2:D999, MATCH(C440,FieldDisagreements!A2:A999, 0)), "")</f>
        <v>StepExecutions.VacuouslyCleanExecutionKey</v>
      </c>
      <c r="J440" s="2" t="s">
        <v>1906</v>
      </c>
    </row>
    <row r="441">
      <c r="A441" s="2" t="s">
        <v>15598</v>
      </c>
      <c r="B441" s="3" t="str">
        <f>_xlfn.CONCAT(C441, " @ ", D441)</f>
        <v>effortless-xlsx|StepExecutions.VacuouslyCleanExecutionKey @ se-close02</v>
      </c>
      <c r="C441" s="2" t="s">
        <v>14688</v>
      </c>
      <c r="D441" s="2" t="s">
        <v>1430</v>
      </c>
      <c r="E441" s="2" t="s">
        <v>15036</v>
      </c>
      <c r="F441" s="2" t="s">
        <v>15478</v>
      </c>
      <c r="G441" s="2" t="s">
        <v>14591</v>
      </c>
      <c r="H441" s="3" t="str">
        <f>_xlfn.IFNA(INDEX(FieldDisagreements!C2:C999, MATCH(C441,FieldDisagreements!A2:A999, 0)), "")</f>
        <v>effortless-xlsx</v>
      </c>
      <c r="I441" s="3" t="str">
        <f>_xlfn.IFNA(INDEX(FieldDisagreements!D2:D999, MATCH(C441,FieldDisagreements!A2:A999, 0)), "")</f>
        <v>StepExecutions.VacuouslyCleanExecutionKey</v>
      </c>
      <c r="J441" s="2" t="s">
        <v>1906</v>
      </c>
    </row>
    <row r="442">
      <c r="A442" s="2" t="s">
        <v>15599</v>
      </c>
      <c r="B442" s="3" t="str">
        <f>_xlfn.CONCAT(C442, " @ ", D442)</f>
        <v>effortless-xlsx|StepExecutions.VacuouslyCleanExecutionKey @ se-close03</v>
      </c>
      <c r="C442" s="2" t="s">
        <v>14688</v>
      </c>
      <c r="D442" s="2" t="s">
        <v>1433</v>
      </c>
      <c r="E442" s="2" t="s">
        <v>15036</v>
      </c>
      <c r="F442" s="2" t="s">
        <v>15478</v>
      </c>
      <c r="G442" s="2" t="s">
        <v>14591</v>
      </c>
      <c r="H442" s="3" t="str">
        <f>_xlfn.IFNA(INDEX(FieldDisagreements!C2:C999, MATCH(C442,FieldDisagreements!A2:A999, 0)), "")</f>
        <v>effortless-xlsx</v>
      </c>
      <c r="I442" s="3" t="str">
        <f>_xlfn.IFNA(INDEX(FieldDisagreements!D2:D999, MATCH(C442,FieldDisagreements!A2:A999, 0)), "")</f>
        <v>StepExecutions.VacuouslyCleanExecutionKey</v>
      </c>
      <c r="J442" s="2" t="s">
        <v>1906</v>
      </c>
    </row>
    <row r="443">
      <c r="A443" s="2" t="s">
        <v>15600</v>
      </c>
      <c r="B443" s="3" t="str">
        <f>_xlfn.CONCAT(C443, " @ ", D443)</f>
        <v>effortless-xlsx|StepExecutions.VacuouslyCleanExecutionKey @ se-close04</v>
      </c>
      <c r="C443" s="2" t="s">
        <v>14688</v>
      </c>
      <c r="D443" s="2" t="s">
        <v>1434</v>
      </c>
      <c r="E443" s="2" t="s">
        <v>15036</v>
      </c>
      <c r="F443" s="2" t="s">
        <v>15478</v>
      </c>
      <c r="G443" s="2" t="s">
        <v>14591</v>
      </c>
      <c r="H443" s="3" t="str">
        <f>_xlfn.IFNA(INDEX(FieldDisagreements!C2:C999, MATCH(C443,FieldDisagreements!A2:A999, 0)), "")</f>
        <v>effortless-xlsx</v>
      </c>
      <c r="I443" s="3" t="str">
        <f>_xlfn.IFNA(INDEX(FieldDisagreements!D2:D999, MATCH(C443,FieldDisagreements!A2:A999, 0)), "")</f>
        <v>StepExecutions.VacuouslyCleanExecutionKey</v>
      </c>
      <c r="J443" s="2" t="s">
        <v>1906</v>
      </c>
    </row>
    <row r="444">
      <c r="A444" s="2" t="s">
        <v>15601</v>
      </c>
      <c r="B444" s="3" t="str">
        <f>_xlfn.CONCAT(C444, " @ ", D444)</f>
        <v>effortless-xlsx|StepExecutions.VacuouslyCleanExecutionKey @ se-close05</v>
      </c>
      <c r="C444" s="2" t="s">
        <v>14688</v>
      </c>
      <c r="D444" s="2" t="s">
        <v>1436</v>
      </c>
      <c r="E444" s="2" t="s">
        <v>15036</v>
      </c>
      <c r="F444" s="2" t="s">
        <v>15478</v>
      </c>
      <c r="G444" s="2" t="s">
        <v>14591</v>
      </c>
      <c r="H444" s="3" t="str">
        <f>_xlfn.IFNA(INDEX(FieldDisagreements!C2:C999, MATCH(C444,FieldDisagreements!A2:A999, 0)), "")</f>
        <v>effortless-xlsx</v>
      </c>
      <c r="I444" s="3" t="str">
        <f>_xlfn.IFNA(INDEX(FieldDisagreements!D2:D999, MATCH(C444,FieldDisagreements!A2:A999, 0)), "")</f>
        <v>StepExecutions.VacuouslyCleanExecutionKey</v>
      </c>
      <c r="J444" s="2" t="s">
        <v>1906</v>
      </c>
    </row>
    <row r="445">
      <c r="A445" s="2" t="s">
        <v>15602</v>
      </c>
      <c r="B445" s="3" t="str">
        <f>_xlfn.CONCAT(C445, " @ ", D445)</f>
        <v>effortless-xlsx|StepExecutions.VacuouslyCleanExecutionKey @ se-close06</v>
      </c>
      <c r="C445" s="2" t="s">
        <v>14688</v>
      </c>
      <c r="D445" s="2" t="s">
        <v>1437</v>
      </c>
      <c r="E445" s="2" t="s">
        <v>15036</v>
      </c>
      <c r="F445" s="2" t="s">
        <v>15478</v>
      </c>
      <c r="G445" s="2" t="s">
        <v>14591</v>
      </c>
      <c r="H445" s="3" t="str">
        <f>_xlfn.IFNA(INDEX(FieldDisagreements!C2:C999, MATCH(C445,FieldDisagreements!A2:A999, 0)), "")</f>
        <v>effortless-xlsx</v>
      </c>
      <c r="I445" s="3" t="str">
        <f>_xlfn.IFNA(INDEX(FieldDisagreements!D2:D999, MATCH(C445,FieldDisagreements!A2:A999, 0)), "")</f>
        <v>StepExecutions.VacuouslyCleanExecutionKey</v>
      </c>
      <c r="J445" s="2" t="s">
        <v>1906</v>
      </c>
    </row>
    <row r="446">
      <c r="A446" s="2" t="s">
        <v>15603</v>
      </c>
      <c r="B446" s="3" t="str">
        <f>_xlfn.CONCAT(C446, " @ ", D446)</f>
        <v>effortless-xlsx|StepExecutions.VacuouslyCleanExecutionKey @ se-close07</v>
      </c>
      <c r="C446" s="2" t="s">
        <v>14688</v>
      </c>
      <c r="D446" s="2" t="s">
        <v>1438</v>
      </c>
      <c r="E446" s="2" t="s">
        <v>15537</v>
      </c>
      <c r="F446" s="2" t="s">
        <v>15478</v>
      </c>
      <c r="G446" s="2" t="s">
        <v>14591</v>
      </c>
      <c r="H446" s="3" t="str">
        <f>_xlfn.IFNA(INDEX(FieldDisagreements!C2:C999, MATCH(C446,FieldDisagreements!A2:A999, 0)), "")</f>
        <v>effortless-xlsx</v>
      </c>
      <c r="I446" s="3" t="str">
        <f>_xlfn.IFNA(INDEX(FieldDisagreements!D2:D999, MATCH(C446,FieldDisagreements!A2:A999, 0)), "")</f>
        <v>StepExecutions.VacuouslyCleanExecutionKey</v>
      </c>
      <c r="J446" s="2" t="s">
        <v>1906</v>
      </c>
    </row>
    <row r="447">
      <c r="A447" s="2" t="s">
        <v>15604</v>
      </c>
      <c r="B447" s="3" t="str">
        <f>_xlfn.CONCAT(C447, " @ ", D447)</f>
        <v>effortless-xlsx|StepExecutions.VacuouslyCleanExecutionKey @ se-close08</v>
      </c>
      <c r="C447" s="2" t="s">
        <v>14688</v>
      </c>
      <c r="D447" s="2" t="s">
        <v>1439</v>
      </c>
      <c r="E447" s="2" t="s">
        <v>15036</v>
      </c>
      <c r="F447" s="2" t="s">
        <v>15478</v>
      </c>
      <c r="G447" s="2" t="s">
        <v>14591</v>
      </c>
      <c r="H447" s="3" t="str">
        <f>_xlfn.IFNA(INDEX(FieldDisagreements!C2:C999, MATCH(C447,FieldDisagreements!A2:A999, 0)), "")</f>
        <v>effortless-xlsx</v>
      </c>
      <c r="I447" s="3" t="str">
        <f>_xlfn.IFNA(INDEX(FieldDisagreements!D2:D999, MATCH(C447,FieldDisagreements!A2:A999, 0)), "")</f>
        <v>StepExecutions.VacuouslyCleanExecutionKey</v>
      </c>
      <c r="J447" s="2" t="s">
        <v>1906</v>
      </c>
    </row>
    <row r="448">
      <c r="A448" s="2" t="s">
        <v>15605</v>
      </c>
      <c r="B448" s="3" t="str">
        <f>_xlfn.CONCAT(C448, " @ ", D448)</f>
        <v>effortless-xlsx|StepExecutions.VacuouslyCleanExecutionKey @ se-policy01</v>
      </c>
      <c r="C448" s="2" t="s">
        <v>14688</v>
      </c>
      <c r="D448" s="2" t="s">
        <v>1441</v>
      </c>
      <c r="E448" s="2" t="s">
        <v>15546</v>
      </c>
      <c r="F448" s="2" t="s">
        <v>15478</v>
      </c>
      <c r="G448" s="2" t="s">
        <v>14591</v>
      </c>
      <c r="H448" s="3" t="str">
        <f>_xlfn.IFNA(INDEX(FieldDisagreements!C2:C999, MATCH(C448,FieldDisagreements!A2:A999, 0)), "")</f>
        <v>effortless-xlsx</v>
      </c>
      <c r="I448" s="3" t="str">
        <f>_xlfn.IFNA(INDEX(FieldDisagreements!D2:D999, MATCH(C448,FieldDisagreements!A2:A999, 0)), "")</f>
        <v>StepExecutions.VacuouslyCleanExecutionKey</v>
      </c>
      <c r="J448" s="2" t="s">
        <v>1906</v>
      </c>
    </row>
    <row r="449">
      <c r="A449" s="2" t="s">
        <v>15606</v>
      </c>
      <c r="B449" s="3" t="str">
        <f>_xlfn.CONCAT(C449, " @ ", D449)</f>
        <v>effortless-xlsx|StepExecutions.VacuouslyCleanExecutionKey @ se-policy02</v>
      </c>
      <c r="C449" s="2" t="s">
        <v>14688</v>
      </c>
      <c r="D449" s="2" t="s">
        <v>1442</v>
      </c>
      <c r="E449" s="2" t="s">
        <v>15036</v>
      </c>
      <c r="F449" s="2" t="s">
        <v>15478</v>
      </c>
      <c r="G449" s="2" t="s">
        <v>14591</v>
      </c>
      <c r="H449" s="3" t="str">
        <f>_xlfn.IFNA(INDEX(FieldDisagreements!C2:C999, MATCH(C449,FieldDisagreements!A2:A999, 0)), "")</f>
        <v>effortless-xlsx</v>
      </c>
      <c r="I449" s="3" t="str">
        <f>_xlfn.IFNA(INDEX(FieldDisagreements!D2:D999, MATCH(C449,FieldDisagreements!A2:A999, 0)), "")</f>
        <v>StepExecutions.VacuouslyCleanExecutionKey</v>
      </c>
      <c r="J449" s="2" t="s">
        <v>1906</v>
      </c>
    </row>
    <row r="450">
      <c r="A450" s="2" t="s">
        <v>15607</v>
      </c>
      <c r="B450" s="3" t="str">
        <f>_xlfn.CONCAT(C450, " @ ", D450)</f>
        <v>effortless-xlsx|StepExecutions.VacuouslyCleanExecutionKey @ se-policy03</v>
      </c>
      <c r="C450" s="2" t="s">
        <v>14688</v>
      </c>
      <c r="D450" s="2" t="s">
        <v>1443</v>
      </c>
      <c r="E450" s="2" t="s">
        <v>15036</v>
      </c>
      <c r="F450" s="2" t="s">
        <v>15478</v>
      </c>
      <c r="G450" s="2" t="s">
        <v>14591</v>
      </c>
      <c r="H450" s="3" t="str">
        <f>_xlfn.IFNA(INDEX(FieldDisagreements!C2:C999, MATCH(C450,FieldDisagreements!A2:A999, 0)), "")</f>
        <v>effortless-xlsx</v>
      </c>
      <c r="I450" s="3" t="str">
        <f>_xlfn.IFNA(INDEX(FieldDisagreements!D2:D999, MATCH(C450,FieldDisagreements!A2:A999, 0)), "")</f>
        <v>StepExecutions.VacuouslyCleanExecutionKey</v>
      </c>
      <c r="J450" s="2" t="s">
        <v>1906</v>
      </c>
    </row>
    <row r="451">
      <c r="A451" s="2" t="s">
        <v>15608</v>
      </c>
      <c r="B451" s="3" t="str">
        <f>_xlfn.CONCAT(C451, " @ ", D451)</f>
        <v>effortless-xlsx|StepExecutions.VacuouslyCleanExecutionKey @ se-policy04</v>
      </c>
      <c r="C451" s="2" t="s">
        <v>14688</v>
      </c>
      <c r="D451" s="2" t="s">
        <v>1444</v>
      </c>
      <c r="E451" s="2" t="s">
        <v>15036</v>
      </c>
      <c r="F451" s="2" t="s">
        <v>15478</v>
      </c>
      <c r="G451" s="2" t="s">
        <v>14591</v>
      </c>
      <c r="H451" s="3" t="str">
        <f>_xlfn.IFNA(INDEX(FieldDisagreements!C2:C999, MATCH(C451,FieldDisagreements!A2:A999, 0)), "")</f>
        <v>effortless-xlsx</v>
      </c>
      <c r="I451" s="3" t="str">
        <f>_xlfn.IFNA(INDEX(FieldDisagreements!D2:D999, MATCH(C451,FieldDisagreements!A2:A999, 0)), "")</f>
        <v>StepExecutions.VacuouslyCleanExecutionKey</v>
      </c>
      <c r="J451" s="2" t="s">
        <v>1906</v>
      </c>
    </row>
    <row r="452">
      <c r="A452" s="2" t="s">
        <v>15609</v>
      </c>
      <c r="B452" s="3" t="str">
        <f>_xlfn.CONCAT(C452, " @ ", D452)</f>
        <v>effortless-xlsx|StepExecutions.IsUngovernedDivergence @ se-close01</v>
      </c>
      <c r="C452" s="2" t="s">
        <v>14689</v>
      </c>
      <c r="D452" s="2" t="s">
        <v>1427</v>
      </c>
      <c r="E452" s="2" t="s">
        <v>15057</v>
      </c>
      <c r="F452" s="2" t="s">
        <v>15478</v>
      </c>
      <c r="G452" s="2" t="s">
        <v>14591</v>
      </c>
      <c r="H452" s="3" t="str">
        <f>_xlfn.IFNA(INDEX(FieldDisagreements!C2:C999, MATCH(C452,FieldDisagreements!A2:A999, 0)), "")</f>
        <v>effortless-xlsx</v>
      </c>
      <c r="I452" s="3" t="str">
        <f>_xlfn.IFNA(INDEX(FieldDisagreements!D2:D999, MATCH(C452,FieldDisagreements!A2:A999, 0)), "")</f>
        <v>StepExecutions.IsUngovernedDivergence</v>
      </c>
      <c r="J452" s="2" t="s">
        <v>1906</v>
      </c>
    </row>
    <row r="453">
      <c r="A453" s="2" t="s">
        <v>15610</v>
      </c>
      <c r="B453" s="3" t="str">
        <f>_xlfn.CONCAT(C453, " @ ", D453)</f>
        <v>effortless-xlsx|StepExecutions.IsUngovernedDivergence @ se-close02</v>
      </c>
      <c r="C453" s="2" t="s">
        <v>14689</v>
      </c>
      <c r="D453" s="2" t="s">
        <v>1430</v>
      </c>
      <c r="E453" s="2" t="s">
        <v>15057</v>
      </c>
      <c r="F453" s="2" t="s">
        <v>15478</v>
      </c>
      <c r="G453" s="2" t="s">
        <v>14591</v>
      </c>
      <c r="H453" s="3" t="str">
        <f>_xlfn.IFNA(INDEX(FieldDisagreements!C2:C999, MATCH(C453,FieldDisagreements!A2:A999, 0)), "")</f>
        <v>effortless-xlsx</v>
      </c>
      <c r="I453" s="3" t="str">
        <f>_xlfn.IFNA(INDEX(FieldDisagreements!D2:D999, MATCH(C453,FieldDisagreements!A2:A999, 0)), "")</f>
        <v>StepExecutions.IsUngovernedDivergence</v>
      </c>
      <c r="J453" s="2" t="s">
        <v>1906</v>
      </c>
    </row>
    <row r="454">
      <c r="A454" s="2" t="s">
        <v>15611</v>
      </c>
      <c r="B454" s="3" t="str">
        <f>_xlfn.CONCAT(C454, " @ ", D454)</f>
        <v>effortless-xlsx|StepExecutions.IsUngovernedDivergence @ se-close03</v>
      </c>
      <c r="C454" s="2" t="s">
        <v>14689</v>
      </c>
      <c r="D454" s="2" t="s">
        <v>1433</v>
      </c>
      <c r="E454" s="2" t="s">
        <v>15057</v>
      </c>
      <c r="F454" s="2" t="s">
        <v>15478</v>
      </c>
      <c r="G454" s="2" t="s">
        <v>14591</v>
      </c>
      <c r="H454" s="3" t="str">
        <f>_xlfn.IFNA(INDEX(FieldDisagreements!C2:C999, MATCH(C454,FieldDisagreements!A2:A999, 0)), "")</f>
        <v>effortless-xlsx</v>
      </c>
      <c r="I454" s="3" t="str">
        <f>_xlfn.IFNA(INDEX(FieldDisagreements!D2:D999, MATCH(C454,FieldDisagreements!A2:A999, 0)), "")</f>
        <v>StepExecutions.IsUngovernedDivergence</v>
      </c>
      <c r="J454" s="2" t="s">
        <v>1906</v>
      </c>
    </row>
    <row r="455">
      <c r="A455" s="2" t="s">
        <v>15612</v>
      </c>
      <c r="B455" s="3" t="str">
        <f>_xlfn.CONCAT(C455, " @ ", D455)</f>
        <v>effortless-xlsx|StepExecutions.IsUngovernedDivergence @ se-close04</v>
      </c>
      <c r="C455" s="2" t="s">
        <v>14689</v>
      </c>
      <c r="D455" s="2" t="s">
        <v>1434</v>
      </c>
      <c r="E455" s="2" t="s">
        <v>15057</v>
      </c>
      <c r="F455" s="2" t="s">
        <v>15478</v>
      </c>
      <c r="G455" s="2" t="s">
        <v>14591</v>
      </c>
      <c r="H455" s="3" t="str">
        <f>_xlfn.IFNA(INDEX(FieldDisagreements!C2:C999, MATCH(C455,FieldDisagreements!A2:A999, 0)), "")</f>
        <v>effortless-xlsx</v>
      </c>
      <c r="I455" s="3" t="str">
        <f>_xlfn.IFNA(INDEX(FieldDisagreements!D2:D999, MATCH(C455,FieldDisagreements!A2:A999, 0)), "")</f>
        <v>StepExecutions.IsUngovernedDivergence</v>
      </c>
      <c r="J455" s="2" t="s">
        <v>1906</v>
      </c>
    </row>
    <row r="456">
      <c r="A456" s="2" t="s">
        <v>15613</v>
      </c>
      <c r="B456" s="3" t="str">
        <f>_xlfn.CONCAT(C456, " @ ", D456)</f>
        <v>effortless-xlsx|StepExecutions.IsUngovernedDivergence @ se-close05</v>
      </c>
      <c r="C456" s="2" t="s">
        <v>14689</v>
      </c>
      <c r="D456" s="2" t="s">
        <v>1436</v>
      </c>
      <c r="E456" s="2" t="s">
        <v>15057</v>
      </c>
      <c r="F456" s="2" t="s">
        <v>15478</v>
      </c>
      <c r="G456" s="2" t="s">
        <v>14591</v>
      </c>
      <c r="H456" s="3" t="str">
        <f>_xlfn.IFNA(INDEX(FieldDisagreements!C2:C999, MATCH(C456,FieldDisagreements!A2:A999, 0)), "")</f>
        <v>effortless-xlsx</v>
      </c>
      <c r="I456" s="3" t="str">
        <f>_xlfn.IFNA(INDEX(FieldDisagreements!D2:D999, MATCH(C456,FieldDisagreements!A2:A999, 0)), "")</f>
        <v>StepExecutions.IsUngovernedDivergence</v>
      </c>
      <c r="J456" s="2" t="s">
        <v>1906</v>
      </c>
    </row>
    <row r="457">
      <c r="A457" s="2" t="s">
        <v>15614</v>
      </c>
      <c r="B457" s="3" t="str">
        <f>_xlfn.CONCAT(C457, " @ ", D457)</f>
        <v>effortless-xlsx|StepExecutions.IsUngovernedDivergence @ se-close06</v>
      </c>
      <c r="C457" s="2" t="s">
        <v>14689</v>
      </c>
      <c r="D457" s="2" t="s">
        <v>1437</v>
      </c>
      <c r="E457" s="2" t="s">
        <v>15057</v>
      </c>
      <c r="F457" s="2" t="s">
        <v>15478</v>
      </c>
      <c r="G457" s="2" t="s">
        <v>14591</v>
      </c>
      <c r="H457" s="3" t="str">
        <f>_xlfn.IFNA(INDEX(FieldDisagreements!C2:C999, MATCH(C457,FieldDisagreements!A2:A999, 0)), "")</f>
        <v>effortless-xlsx</v>
      </c>
      <c r="I457" s="3" t="str">
        <f>_xlfn.IFNA(INDEX(FieldDisagreements!D2:D999, MATCH(C457,FieldDisagreements!A2:A999, 0)), "")</f>
        <v>StepExecutions.IsUngovernedDivergence</v>
      </c>
      <c r="J457" s="2" t="s">
        <v>1906</v>
      </c>
    </row>
    <row r="458">
      <c r="A458" s="2" t="s">
        <v>15615</v>
      </c>
      <c r="B458" s="3" t="str">
        <f>_xlfn.CONCAT(C458, " @ ", D458)</f>
        <v>effortless-xlsx|StepExecutions.IsUngovernedDivergence @ se-close07</v>
      </c>
      <c r="C458" s="2" t="s">
        <v>14689</v>
      </c>
      <c r="D458" s="2" t="s">
        <v>1438</v>
      </c>
      <c r="E458" s="2" t="s">
        <v>15057</v>
      </c>
      <c r="F458" s="2" t="s">
        <v>15478</v>
      </c>
      <c r="G458" s="2" t="s">
        <v>14591</v>
      </c>
      <c r="H458" s="3" t="str">
        <f>_xlfn.IFNA(INDEX(FieldDisagreements!C2:C999, MATCH(C458,FieldDisagreements!A2:A999, 0)), "")</f>
        <v>effortless-xlsx</v>
      </c>
      <c r="I458" s="3" t="str">
        <f>_xlfn.IFNA(INDEX(FieldDisagreements!D2:D999, MATCH(C458,FieldDisagreements!A2:A999, 0)), "")</f>
        <v>StepExecutions.IsUngovernedDivergence</v>
      </c>
      <c r="J458" s="2" t="s">
        <v>1906</v>
      </c>
    </row>
    <row r="459">
      <c r="A459" s="2" t="s">
        <v>15616</v>
      </c>
      <c r="B459" s="3" t="str">
        <f>_xlfn.CONCAT(C459, " @ ", D459)</f>
        <v>effortless-xlsx|StepExecutions.IsUngovernedDivergence @ se-close08</v>
      </c>
      <c r="C459" s="2" t="s">
        <v>14689</v>
      </c>
      <c r="D459" s="2" t="s">
        <v>1439</v>
      </c>
      <c r="E459" s="2" t="s">
        <v>15057</v>
      </c>
      <c r="F459" s="2" t="s">
        <v>15478</v>
      </c>
      <c r="G459" s="2" t="s">
        <v>14591</v>
      </c>
      <c r="H459" s="3" t="str">
        <f>_xlfn.IFNA(INDEX(FieldDisagreements!C2:C999, MATCH(C459,FieldDisagreements!A2:A999, 0)), "")</f>
        <v>effortless-xlsx</v>
      </c>
      <c r="I459" s="3" t="str">
        <f>_xlfn.IFNA(INDEX(FieldDisagreements!D2:D999, MATCH(C459,FieldDisagreements!A2:A999, 0)), "")</f>
        <v>StepExecutions.IsUngovernedDivergence</v>
      </c>
      <c r="J459" s="2" t="s">
        <v>1906</v>
      </c>
    </row>
    <row r="460">
      <c r="A460" s="2" t="s">
        <v>15617</v>
      </c>
      <c r="B460" s="3" t="str">
        <f>_xlfn.CONCAT(C460, " @ ", D460)</f>
        <v>effortless-xlsx|StepExecutions.IsUngovernedDivergence @ se-policy01</v>
      </c>
      <c r="C460" s="2" t="s">
        <v>14689</v>
      </c>
      <c r="D460" s="2" t="s">
        <v>1441</v>
      </c>
      <c r="E460" s="2" t="s">
        <v>15057</v>
      </c>
      <c r="F460" s="2" t="s">
        <v>15478</v>
      </c>
      <c r="G460" s="2" t="s">
        <v>14591</v>
      </c>
      <c r="H460" s="3" t="str">
        <f>_xlfn.IFNA(INDEX(FieldDisagreements!C2:C999, MATCH(C460,FieldDisagreements!A2:A999, 0)), "")</f>
        <v>effortless-xlsx</v>
      </c>
      <c r="I460" s="3" t="str">
        <f>_xlfn.IFNA(INDEX(FieldDisagreements!D2:D999, MATCH(C460,FieldDisagreements!A2:A999, 0)), "")</f>
        <v>StepExecutions.IsUngovernedDivergence</v>
      </c>
      <c r="J460" s="2" t="s">
        <v>1906</v>
      </c>
    </row>
    <row r="461">
      <c r="A461" s="2" t="s">
        <v>15618</v>
      </c>
      <c r="B461" s="3" t="str">
        <f>_xlfn.CONCAT(C461, " @ ", D461)</f>
        <v>effortless-xlsx|StepExecutions.IsUngovernedDivergence @ se-policy02</v>
      </c>
      <c r="C461" s="2" t="s">
        <v>14689</v>
      </c>
      <c r="D461" s="2" t="s">
        <v>1442</v>
      </c>
      <c r="E461" s="2" t="s">
        <v>15035</v>
      </c>
      <c r="F461" s="2" t="s">
        <v>15478</v>
      </c>
      <c r="G461" s="2" t="s">
        <v>14591</v>
      </c>
      <c r="H461" s="3" t="str">
        <f>_xlfn.IFNA(INDEX(FieldDisagreements!C2:C999, MATCH(C461,FieldDisagreements!A2:A999, 0)), "")</f>
        <v>effortless-xlsx</v>
      </c>
      <c r="I461" s="3" t="str">
        <f>_xlfn.IFNA(INDEX(FieldDisagreements!D2:D999, MATCH(C461,FieldDisagreements!A2:A999, 0)), "")</f>
        <v>StepExecutions.IsUngovernedDivergence</v>
      </c>
      <c r="J461" s="2" t="s">
        <v>1906</v>
      </c>
    </row>
    <row r="462">
      <c r="A462" s="2" t="s">
        <v>15619</v>
      </c>
      <c r="B462" s="3" t="str">
        <f>_xlfn.CONCAT(C462, " @ ", D462)</f>
        <v>effortless-xlsx|StepExecutions.IsUngovernedDivergence @ se-policy03</v>
      </c>
      <c r="C462" s="2" t="s">
        <v>14689</v>
      </c>
      <c r="D462" s="2" t="s">
        <v>1443</v>
      </c>
      <c r="E462" s="2" t="s">
        <v>15057</v>
      </c>
      <c r="F462" s="2" t="s">
        <v>15478</v>
      </c>
      <c r="G462" s="2" t="s">
        <v>14591</v>
      </c>
      <c r="H462" s="3" t="str">
        <f>_xlfn.IFNA(INDEX(FieldDisagreements!C2:C999, MATCH(C462,FieldDisagreements!A2:A999, 0)), "")</f>
        <v>effortless-xlsx</v>
      </c>
      <c r="I462" s="3" t="str">
        <f>_xlfn.IFNA(INDEX(FieldDisagreements!D2:D999, MATCH(C462,FieldDisagreements!A2:A999, 0)), "")</f>
        <v>StepExecutions.IsUngovernedDivergence</v>
      </c>
      <c r="J462" s="2" t="s">
        <v>1906</v>
      </c>
    </row>
    <row r="463">
      <c r="A463" s="2" t="s">
        <v>15620</v>
      </c>
      <c r="B463" s="3" t="str">
        <f>_xlfn.CONCAT(C463, " @ ", D463)</f>
        <v>effortless-xlsx|StepExecutions.IsUngovernedDivergence @ se-policy04</v>
      </c>
      <c r="C463" s="2" t="s">
        <v>14689</v>
      </c>
      <c r="D463" s="2" t="s">
        <v>1444</v>
      </c>
      <c r="E463" s="2" t="s">
        <v>15035</v>
      </c>
      <c r="F463" s="2" t="s">
        <v>15478</v>
      </c>
      <c r="G463" s="2" t="s">
        <v>14591</v>
      </c>
      <c r="H463" s="3" t="str">
        <f>_xlfn.IFNA(INDEX(FieldDisagreements!C2:C999, MATCH(C463,FieldDisagreements!A2:A999, 0)), "")</f>
        <v>effortless-xlsx</v>
      </c>
      <c r="I463" s="3" t="str">
        <f>_xlfn.IFNA(INDEX(FieldDisagreements!D2:D999, MATCH(C463,FieldDisagreements!A2:A999, 0)), "")</f>
        <v>StepExecutions.IsUngovernedDivergence</v>
      </c>
      <c r="J463" s="2" t="s">
        <v>1906</v>
      </c>
    </row>
    <row r="464">
      <c r="A464" s="2" t="s">
        <v>15621</v>
      </c>
      <c r="B464" s="3" t="str">
        <f>_xlfn.CONCAT(C464, " @ ", D464)</f>
        <v>effortless-xlsx|StepExecutions.UngovernedDivergenceExecutionKey @ se-close01</v>
      </c>
      <c r="C464" s="2" t="s">
        <v>14690</v>
      </c>
      <c r="D464" s="2" t="s">
        <v>1427</v>
      </c>
      <c r="E464" s="2" t="s">
        <v>15036</v>
      </c>
      <c r="F464" s="2" t="s">
        <v>15478</v>
      </c>
      <c r="G464" s="2" t="s">
        <v>14591</v>
      </c>
      <c r="H464" s="3" t="str">
        <f>_xlfn.IFNA(INDEX(FieldDisagreements!C2:C999, MATCH(C464,FieldDisagreements!A2:A999, 0)), "")</f>
        <v>effortless-xlsx</v>
      </c>
      <c r="I464" s="3" t="str">
        <f>_xlfn.IFNA(INDEX(FieldDisagreements!D2:D999, MATCH(C464,FieldDisagreements!A2:A999, 0)), "")</f>
        <v>StepExecutions.UngovernedDivergenceExecutionKey</v>
      </c>
      <c r="J464" s="2" t="s">
        <v>1906</v>
      </c>
    </row>
    <row r="465">
      <c r="A465" s="2" t="s">
        <v>15622</v>
      </c>
      <c r="B465" s="3" t="str">
        <f>_xlfn.CONCAT(C465, " @ ", D465)</f>
        <v>effortless-xlsx|StepExecutions.UngovernedDivergenceExecutionKey @ se-close02</v>
      </c>
      <c r="C465" s="2" t="s">
        <v>14690</v>
      </c>
      <c r="D465" s="2" t="s">
        <v>1430</v>
      </c>
      <c r="E465" s="2" t="s">
        <v>15036</v>
      </c>
      <c r="F465" s="2" t="s">
        <v>15478</v>
      </c>
      <c r="G465" s="2" t="s">
        <v>14591</v>
      </c>
      <c r="H465" s="3" t="str">
        <f>_xlfn.IFNA(INDEX(FieldDisagreements!C2:C999, MATCH(C465,FieldDisagreements!A2:A999, 0)), "")</f>
        <v>effortless-xlsx</v>
      </c>
      <c r="I465" s="3" t="str">
        <f>_xlfn.IFNA(INDEX(FieldDisagreements!D2:D999, MATCH(C465,FieldDisagreements!A2:A999, 0)), "")</f>
        <v>StepExecutions.UngovernedDivergenceExecutionKey</v>
      </c>
      <c r="J465" s="2" t="s">
        <v>1906</v>
      </c>
    </row>
    <row r="466">
      <c r="A466" s="2" t="s">
        <v>15623</v>
      </c>
      <c r="B466" s="3" t="str">
        <f>_xlfn.CONCAT(C466, " @ ", D466)</f>
        <v>effortless-xlsx|StepExecutions.UngovernedDivergenceExecutionKey @ se-close03</v>
      </c>
      <c r="C466" s="2" t="s">
        <v>14690</v>
      </c>
      <c r="D466" s="2" t="s">
        <v>1433</v>
      </c>
      <c r="E466" s="2" t="s">
        <v>15036</v>
      </c>
      <c r="F466" s="2" t="s">
        <v>15478</v>
      </c>
      <c r="G466" s="2" t="s">
        <v>14591</v>
      </c>
      <c r="H466" s="3" t="str">
        <f>_xlfn.IFNA(INDEX(FieldDisagreements!C2:C999, MATCH(C466,FieldDisagreements!A2:A999, 0)), "")</f>
        <v>effortless-xlsx</v>
      </c>
      <c r="I466" s="3" t="str">
        <f>_xlfn.IFNA(INDEX(FieldDisagreements!D2:D999, MATCH(C466,FieldDisagreements!A2:A999, 0)), "")</f>
        <v>StepExecutions.UngovernedDivergenceExecutionKey</v>
      </c>
      <c r="J466" s="2" t="s">
        <v>1906</v>
      </c>
    </row>
    <row r="467">
      <c r="A467" s="2" t="s">
        <v>15624</v>
      </c>
      <c r="B467" s="3" t="str">
        <f>_xlfn.CONCAT(C467, " @ ", D467)</f>
        <v>effortless-xlsx|StepExecutions.UngovernedDivergenceExecutionKey @ se-close04</v>
      </c>
      <c r="C467" s="2" t="s">
        <v>14690</v>
      </c>
      <c r="D467" s="2" t="s">
        <v>1434</v>
      </c>
      <c r="E467" s="2" t="s">
        <v>15036</v>
      </c>
      <c r="F467" s="2" t="s">
        <v>15478</v>
      </c>
      <c r="G467" s="2" t="s">
        <v>14591</v>
      </c>
      <c r="H467" s="3" t="str">
        <f>_xlfn.IFNA(INDEX(FieldDisagreements!C2:C999, MATCH(C467,FieldDisagreements!A2:A999, 0)), "")</f>
        <v>effortless-xlsx</v>
      </c>
      <c r="I467" s="3" t="str">
        <f>_xlfn.IFNA(INDEX(FieldDisagreements!D2:D999, MATCH(C467,FieldDisagreements!A2:A999, 0)), "")</f>
        <v>StepExecutions.UngovernedDivergenceExecutionKey</v>
      </c>
      <c r="J467" s="2" t="s">
        <v>1906</v>
      </c>
    </row>
    <row r="468">
      <c r="A468" s="2" t="s">
        <v>15625</v>
      </c>
      <c r="B468" s="3" t="str">
        <f>_xlfn.CONCAT(C468, " @ ", D468)</f>
        <v>effortless-xlsx|StepExecutions.UngovernedDivergenceExecutionKey @ se-close05</v>
      </c>
      <c r="C468" s="2" t="s">
        <v>14690</v>
      </c>
      <c r="D468" s="2" t="s">
        <v>1436</v>
      </c>
      <c r="E468" s="2" t="s">
        <v>15036</v>
      </c>
      <c r="F468" s="2" t="s">
        <v>15478</v>
      </c>
      <c r="G468" s="2" t="s">
        <v>14591</v>
      </c>
      <c r="H468" s="3" t="str">
        <f>_xlfn.IFNA(INDEX(FieldDisagreements!C2:C999, MATCH(C468,FieldDisagreements!A2:A999, 0)), "")</f>
        <v>effortless-xlsx</v>
      </c>
      <c r="I468" s="3" t="str">
        <f>_xlfn.IFNA(INDEX(FieldDisagreements!D2:D999, MATCH(C468,FieldDisagreements!A2:A999, 0)), "")</f>
        <v>StepExecutions.UngovernedDivergenceExecutionKey</v>
      </c>
      <c r="J468" s="2" t="s">
        <v>1906</v>
      </c>
    </row>
    <row r="469">
      <c r="A469" s="2" t="s">
        <v>15626</v>
      </c>
      <c r="B469" s="3" t="str">
        <f>_xlfn.CONCAT(C469, " @ ", D469)</f>
        <v>effortless-xlsx|StepExecutions.UngovernedDivergenceExecutionKey @ se-close06</v>
      </c>
      <c r="C469" s="2" t="s">
        <v>14690</v>
      </c>
      <c r="D469" s="2" t="s">
        <v>1437</v>
      </c>
      <c r="E469" s="2" t="s">
        <v>15036</v>
      </c>
      <c r="F469" s="2" t="s">
        <v>15478</v>
      </c>
      <c r="G469" s="2" t="s">
        <v>14591</v>
      </c>
      <c r="H469" s="3" t="str">
        <f>_xlfn.IFNA(INDEX(FieldDisagreements!C2:C999, MATCH(C469,FieldDisagreements!A2:A999, 0)), "")</f>
        <v>effortless-xlsx</v>
      </c>
      <c r="I469" s="3" t="str">
        <f>_xlfn.IFNA(INDEX(FieldDisagreements!D2:D999, MATCH(C469,FieldDisagreements!A2:A999, 0)), "")</f>
        <v>StepExecutions.UngovernedDivergenceExecutionKey</v>
      </c>
      <c r="J469" s="2" t="s">
        <v>1906</v>
      </c>
    </row>
    <row r="470">
      <c r="A470" s="2" t="s">
        <v>15627</v>
      </c>
      <c r="B470" s="3" t="str">
        <f>_xlfn.CONCAT(C470, " @ ", D470)</f>
        <v>effortless-xlsx|StepExecutions.UngovernedDivergenceExecutionKey @ se-close07</v>
      </c>
      <c r="C470" s="2" t="s">
        <v>14690</v>
      </c>
      <c r="D470" s="2" t="s">
        <v>1438</v>
      </c>
      <c r="E470" s="2" t="s">
        <v>15036</v>
      </c>
      <c r="F470" s="2" t="s">
        <v>15478</v>
      </c>
      <c r="G470" s="2" t="s">
        <v>14591</v>
      </c>
      <c r="H470" s="3" t="str">
        <f>_xlfn.IFNA(INDEX(FieldDisagreements!C2:C999, MATCH(C470,FieldDisagreements!A2:A999, 0)), "")</f>
        <v>effortless-xlsx</v>
      </c>
      <c r="I470" s="3" t="str">
        <f>_xlfn.IFNA(INDEX(FieldDisagreements!D2:D999, MATCH(C470,FieldDisagreements!A2:A999, 0)), "")</f>
        <v>StepExecutions.UngovernedDivergenceExecutionKey</v>
      </c>
      <c r="J470" s="2" t="s">
        <v>1906</v>
      </c>
    </row>
    <row r="471">
      <c r="A471" s="2" t="s">
        <v>15628</v>
      </c>
      <c r="B471" s="3" t="str">
        <f>_xlfn.CONCAT(C471, " @ ", D471)</f>
        <v>effortless-xlsx|StepExecutions.UngovernedDivergenceExecutionKey @ se-close08</v>
      </c>
      <c r="C471" s="2" t="s">
        <v>14690</v>
      </c>
      <c r="D471" s="2" t="s">
        <v>1439</v>
      </c>
      <c r="E471" s="2" t="s">
        <v>15036</v>
      </c>
      <c r="F471" s="2" t="s">
        <v>15478</v>
      </c>
      <c r="G471" s="2" t="s">
        <v>14591</v>
      </c>
      <c r="H471" s="3" t="str">
        <f>_xlfn.IFNA(INDEX(FieldDisagreements!C2:C999, MATCH(C471,FieldDisagreements!A2:A999, 0)), "")</f>
        <v>effortless-xlsx</v>
      </c>
      <c r="I471" s="3" t="str">
        <f>_xlfn.IFNA(INDEX(FieldDisagreements!D2:D999, MATCH(C471,FieldDisagreements!A2:A999, 0)), "")</f>
        <v>StepExecutions.UngovernedDivergenceExecutionKey</v>
      </c>
      <c r="J471" s="2" t="s">
        <v>1906</v>
      </c>
    </row>
    <row r="472">
      <c r="A472" s="2" t="s">
        <v>15629</v>
      </c>
      <c r="B472" s="3" t="str">
        <f>_xlfn.CONCAT(C472, " @ ", D472)</f>
        <v>effortless-xlsx|StepExecutions.UngovernedDivergenceExecutionKey @ se-policy01</v>
      </c>
      <c r="C472" s="2" t="s">
        <v>14690</v>
      </c>
      <c r="D472" s="2" t="s">
        <v>1441</v>
      </c>
      <c r="E472" s="2" t="s">
        <v>15036</v>
      </c>
      <c r="F472" s="2" t="s">
        <v>15478</v>
      </c>
      <c r="G472" s="2" t="s">
        <v>14591</v>
      </c>
      <c r="H472" s="3" t="str">
        <f>_xlfn.IFNA(INDEX(FieldDisagreements!C2:C999, MATCH(C472,FieldDisagreements!A2:A999, 0)), "")</f>
        <v>effortless-xlsx</v>
      </c>
      <c r="I472" s="3" t="str">
        <f>_xlfn.IFNA(INDEX(FieldDisagreements!D2:D999, MATCH(C472,FieldDisagreements!A2:A999, 0)), "")</f>
        <v>StepExecutions.UngovernedDivergenceExecutionKey</v>
      </c>
      <c r="J472" s="2" t="s">
        <v>1906</v>
      </c>
    </row>
    <row r="473">
      <c r="A473" s="2" t="s">
        <v>15630</v>
      </c>
      <c r="B473" s="3" t="str">
        <f>_xlfn.CONCAT(C473, " @ ", D473)</f>
        <v>effortless-xlsx|StepExecutions.UngovernedDivergenceExecutionKey @ se-policy02</v>
      </c>
      <c r="C473" s="2" t="s">
        <v>14690</v>
      </c>
      <c r="D473" s="2" t="s">
        <v>1442</v>
      </c>
      <c r="E473" s="2" t="s">
        <v>15546</v>
      </c>
      <c r="F473" s="2" t="s">
        <v>15478</v>
      </c>
      <c r="G473" s="2" t="s">
        <v>14591</v>
      </c>
      <c r="H473" s="3" t="str">
        <f>_xlfn.IFNA(INDEX(FieldDisagreements!C2:C999, MATCH(C473,FieldDisagreements!A2:A999, 0)), "")</f>
        <v>effortless-xlsx</v>
      </c>
      <c r="I473" s="3" t="str">
        <f>_xlfn.IFNA(INDEX(FieldDisagreements!D2:D999, MATCH(C473,FieldDisagreements!A2:A999, 0)), "")</f>
        <v>StepExecutions.UngovernedDivergenceExecutionKey</v>
      </c>
      <c r="J473" s="2" t="s">
        <v>1906</v>
      </c>
    </row>
    <row r="474">
      <c r="A474" s="2" t="s">
        <v>15631</v>
      </c>
      <c r="B474" s="3" t="str">
        <f>_xlfn.CONCAT(C474, " @ ", D474)</f>
        <v>effortless-xlsx|StepExecutions.UngovernedDivergenceExecutionKey @ se-policy03</v>
      </c>
      <c r="C474" s="2" t="s">
        <v>14690</v>
      </c>
      <c r="D474" s="2" t="s">
        <v>1443</v>
      </c>
      <c r="E474" s="2" t="s">
        <v>15036</v>
      </c>
      <c r="F474" s="2" t="s">
        <v>15478</v>
      </c>
      <c r="G474" s="2" t="s">
        <v>14591</v>
      </c>
      <c r="H474" s="3" t="str">
        <f>_xlfn.IFNA(INDEX(FieldDisagreements!C2:C999, MATCH(C474,FieldDisagreements!A2:A999, 0)), "")</f>
        <v>effortless-xlsx</v>
      </c>
      <c r="I474" s="3" t="str">
        <f>_xlfn.IFNA(INDEX(FieldDisagreements!D2:D999, MATCH(C474,FieldDisagreements!A2:A999, 0)), "")</f>
        <v>StepExecutions.UngovernedDivergenceExecutionKey</v>
      </c>
      <c r="J474" s="2" t="s">
        <v>1906</v>
      </c>
    </row>
    <row r="475">
      <c r="A475" s="2" t="s">
        <v>15632</v>
      </c>
      <c r="B475" s="3" t="str">
        <f>_xlfn.CONCAT(C475, " @ ", D475)</f>
        <v>effortless-xlsx|StepExecutions.UngovernedDivergenceExecutionKey @ se-policy04</v>
      </c>
      <c r="C475" s="2" t="s">
        <v>14690</v>
      </c>
      <c r="D475" s="2" t="s">
        <v>1444</v>
      </c>
      <c r="E475" s="2" t="s">
        <v>15546</v>
      </c>
      <c r="F475" s="2" t="s">
        <v>15478</v>
      </c>
      <c r="G475" s="2" t="s">
        <v>14591</v>
      </c>
      <c r="H475" s="3" t="str">
        <f>_xlfn.IFNA(INDEX(FieldDisagreements!C2:C999, MATCH(C475,FieldDisagreements!A2:A999, 0)), "")</f>
        <v>effortless-xlsx</v>
      </c>
      <c r="I475" s="3" t="str">
        <f>_xlfn.IFNA(INDEX(FieldDisagreements!D2:D999, MATCH(C475,FieldDisagreements!A2:A999, 0)), "")</f>
        <v>StepExecutions.UngovernedDivergenceExecutionKey</v>
      </c>
      <c r="J475" s="2" t="s">
        <v>1906</v>
      </c>
    </row>
    <row r="476">
      <c r="A476" s="2" t="s">
        <v>15633</v>
      </c>
      <c r="B476" s="3" t="str">
        <f>_xlfn.CONCAT(C476, " @ ", D476)</f>
        <v>effortless-xlsx|StepExecutions.StaleAuthoritativeSourceCount @ se-close02</v>
      </c>
      <c r="C476" s="2" t="s">
        <v>14691</v>
      </c>
      <c r="D476" s="2" t="s">
        <v>1430</v>
      </c>
      <c r="E476" s="2" t="s">
        <v>37</v>
      </c>
      <c r="F476" s="2" t="s">
        <v>935</v>
      </c>
      <c r="G476" s="2" t="s">
        <v>14591</v>
      </c>
      <c r="H476" s="3" t="str">
        <f>_xlfn.IFNA(INDEX(FieldDisagreements!C2:C999, MATCH(C476,FieldDisagreements!A2:A999, 0)), "")</f>
        <v>effortless-xlsx</v>
      </c>
      <c r="I476" s="3" t="str">
        <f>_xlfn.IFNA(INDEX(FieldDisagreements!D2:D999, MATCH(C476,FieldDisagreements!A2:A999, 0)), "")</f>
        <v>StepExecutions.StaleAuthoritativeSourceCount</v>
      </c>
      <c r="J476" s="2" t="s">
        <v>1906</v>
      </c>
    </row>
    <row r="477">
      <c r="A477" s="2" t="s">
        <v>15634</v>
      </c>
      <c r="B477" s="3" t="str">
        <f>_xlfn.CONCAT(C477, " @ ", D477)</f>
        <v>effortless-xlsx|StepExecutions.StaleAuthoritativeSourceCount @ se-policy01</v>
      </c>
      <c r="C477" s="2" t="s">
        <v>14691</v>
      </c>
      <c r="D477" s="2" t="s">
        <v>1441</v>
      </c>
      <c r="E477" s="2" t="s">
        <v>37</v>
      </c>
      <c r="F477" s="2" t="s">
        <v>935</v>
      </c>
      <c r="G477" s="2" t="s">
        <v>14591</v>
      </c>
      <c r="H477" s="3" t="str">
        <f>_xlfn.IFNA(INDEX(FieldDisagreements!C2:C999, MATCH(C477,FieldDisagreements!A2:A999, 0)), "")</f>
        <v>effortless-xlsx</v>
      </c>
      <c r="I477" s="3" t="str">
        <f>_xlfn.IFNA(INDEX(FieldDisagreements!D2:D999, MATCH(C477,FieldDisagreements!A2:A999, 0)), "")</f>
        <v>StepExecutions.StaleAuthoritativeSourceCount</v>
      </c>
      <c r="J477" s="2" t="s">
        <v>1906</v>
      </c>
    </row>
    <row r="478">
      <c r="A478" s="2" t="s">
        <v>15635</v>
      </c>
      <c r="B478" s="3" t="str">
        <f>_xlfn.CONCAT(C478, " @ ", D478)</f>
        <v>effortless-xlsx|StepExecutions.RanOnStaleAuthoritativeSource @ se-close02</v>
      </c>
      <c r="C478" s="2" t="s">
        <v>14692</v>
      </c>
      <c r="D478" s="2" t="s">
        <v>1430</v>
      </c>
      <c r="E478" s="2" t="s">
        <v>15035</v>
      </c>
      <c r="F478" s="2" t="s">
        <v>15057</v>
      </c>
      <c r="G478" s="2" t="s">
        <v>14591</v>
      </c>
      <c r="H478" s="3" t="str">
        <f>_xlfn.IFNA(INDEX(FieldDisagreements!C2:C999, MATCH(C478,FieldDisagreements!A2:A999, 0)), "")</f>
        <v>effortless-xlsx</v>
      </c>
      <c r="I478" s="3" t="str">
        <f>_xlfn.IFNA(INDEX(FieldDisagreements!D2:D999, MATCH(C478,FieldDisagreements!A2:A999, 0)), "")</f>
        <v>StepExecutions.RanOnStaleAuthoritativeSource</v>
      </c>
      <c r="J478" s="2" t="s">
        <v>1906</v>
      </c>
    </row>
    <row r="479">
      <c r="A479" s="2" t="s">
        <v>15636</v>
      </c>
      <c r="B479" s="3" t="str">
        <f>_xlfn.CONCAT(C479, " @ ", D479)</f>
        <v>effortless-xlsx|StepExecutions.RanOnStaleAuthoritativeSource @ se-policy01</v>
      </c>
      <c r="C479" s="2" t="s">
        <v>14692</v>
      </c>
      <c r="D479" s="2" t="s">
        <v>1441</v>
      </c>
      <c r="E479" s="2" t="s">
        <v>15035</v>
      </c>
      <c r="F479" s="2" t="s">
        <v>15057</v>
      </c>
      <c r="G479" s="2" t="s">
        <v>14591</v>
      </c>
      <c r="H479" s="3" t="str">
        <f>_xlfn.IFNA(INDEX(FieldDisagreements!C2:C999, MATCH(C479,FieldDisagreements!A2:A999, 0)), "")</f>
        <v>effortless-xlsx</v>
      </c>
      <c r="I479" s="3" t="str">
        <f>_xlfn.IFNA(INDEX(FieldDisagreements!D2:D999, MATCH(C479,FieldDisagreements!A2:A999, 0)), "")</f>
        <v>StepExecutions.RanOnStaleAuthoritativeSource</v>
      </c>
      <c r="J479" s="2" t="s">
        <v>1906</v>
      </c>
    </row>
    <row r="480">
      <c r="A480" s="2" t="s">
        <v>15637</v>
      </c>
      <c r="B480" s="3" t="str">
        <f>_xlfn.CONCAT(C480, " @ ", D480)</f>
        <v>effortless-xlsx|StepExecutions.InputsWereFreshAtRun @ se-close02</v>
      </c>
      <c r="C480" s="2" t="s">
        <v>14693</v>
      </c>
      <c r="D480" s="2" t="s">
        <v>1430</v>
      </c>
      <c r="E480" s="2" t="s">
        <v>15057</v>
      </c>
      <c r="F480" s="2" t="s">
        <v>15035</v>
      </c>
      <c r="G480" s="2" t="s">
        <v>14591</v>
      </c>
      <c r="H480" s="3" t="str">
        <f>_xlfn.IFNA(INDEX(FieldDisagreements!C2:C999, MATCH(C480,FieldDisagreements!A2:A999, 0)), "")</f>
        <v>effortless-xlsx</v>
      </c>
      <c r="I480" s="3" t="str">
        <f>_xlfn.IFNA(INDEX(FieldDisagreements!D2:D999, MATCH(C480,FieldDisagreements!A2:A999, 0)), "")</f>
        <v>StepExecutions.InputsWereFreshAtRun</v>
      </c>
      <c r="J480" s="2" t="s">
        <v>1906</v>
      </c>
    </row>
    <row r="481">
      <c r="A481" s="2" t="s">
        <v>15638</v>
      </c>
      <c r="B481" s="3" t="str">
        <f>_xlfn.CONCAT(C481, " @ ", D481)</f>
        <v>effortless-xlsx|StepExecutions.InputsWereFreshAtRun @ se-policy01</v>
      </c>
      <c r="C481" s="2" t="s">
        <v>14693</v>
      </c>
      <c r="D481" s="2" t="s">
        <v>1441</v>
      </c>
      <c r="E481" s="2" t="s">
        <v>15057</v>
      </c>
      <c r="F481" s="2" t="s">
        <v>15035</v>
      </c>
      <c r="G481" s="2" t="s">
        <v>14591</v>
      </c>
      <c r="H481" s="3" t="str">
        <f>_xlfn.IFNA(INDEX(FieldDisagreements!C2:C999, MATCH(C481,FieldDisagreements!A2:A999, 0)), "")</f>
        <v>effortless-xlsx</v>
      </c>
      <c r="I481" s="3" t="str">
        <f>_xlfn.IFNA(INDEX(FieldDisagreements!D2:D999, MATCH(C481,FieldDisagreements!A2:A999, 0)), "")</f>
        <v>StepExecutions.InputsWereFreshAtRun</v>
      </c>
      <c r="J481" s="2" t="s">
        <v>1906</v>
      </c>
    </row>
    <row r="482">
      <c r="A482" s="2" t="s">
        <v>15639</v>
      </c>
      <c r="B482" s="3" t="str">
        <f>_xlfn.CONCAT(C482, " @ ", D482)</f>
        <v>effortless-xlsx|StepExecutions.RanOnStaleInputs @ se-close02</v>
      </c>
      <c r="C482" s="2" t="s">
        <v>14694</v>
      </c>
      <c r="D482" s="2" t="s">
        <v>1430</v>
      </c>
      <c r="E482" s="2" t="s">
        <v>15035</v>
      </c>
      <c r="F482" s="2" t="s">
        <v>15057</v>
      </c>
      <c r="G482" s="2" t="s">
        <v>14591</v>
      </c>
      <c r="H482" s="3" t="str">
        <f>_xlfn.IFNA(INDEX(FieldDisagreements!C2:C999, MATCH(C482,FieldDisagreements!A2:A999, 0)), "")</f>
        <v>effortless-xlsx</v>
      </c>
      <c r="I482" s="3" t="str">
        <f>_xlfn.IFNA(INDEX(FieldDisagreements!D2:D999, MATCH(C482,FieldDisagreements!A2:A999, 0)), "")</f>
        <v>StepExecutions.RanOnStaleInputs</v>
      </c>
      <c r="J482" s="2" t="s">
        <v>1906</v>
      </c>
    </row>
    <row r="483">
      <c r="A483" s="2" t="s">
        <v>15640</v>
      </c>
      <c r="B483" s="3" t="str">
        <f>_xlfn.CONCAT(C483, " @ ", D483)</f>
        <v>effortless-xlsx|StepExecutions.RanOnStaleInputs @ se-policy01</v>
      </c>
      <c r="C483" s="2" t="s">
        <v>14694</v>
      </c>
      <c r="D483" s="2" t="s">
        <v>1441</v>
      </c>
      <c r="E483" s="2" t="s">
        <v>15035</v>
      </c>
      <c r="F483" s="2" t="s">
        <v>15057</v>
      </c>
      <c r="G483" s="2" t="s">
        <v>14591</v>
      </c>
      <c r="H483" s="3" t="str">
        <f>_xlfn.IFNA(INDEX(FieldDisagreements!C2:C999, MATCH(C483,FieldDisagreements!A2:A999, 0)), "")</f>
        <v>effortless-xlsx</v>
      </c>
      <c r="I483" s="3" t="str">
        <f>_xlfn.IFNA(INDEX(FieldDisagreements!D2:D999, MATCH(C483,FieldDisagreements!A2:A999, 0)), "")</f>
        <v>StepExecutions.RanOnStaleInputs</v>
      </c>
      <c r="J483" s="2" t="s">
        <v>1906</v>
      </c>
    </row>
    <row r="484">
      <c r="A484" s="2" t="s">
        <v>15641</v>
      </c>
      <c r="B484" s="3" t="str">
        <f>_xlfn.CONCAT(C484, " @ ", D484)</f>
        <v>effortless-xlsx|StepExecutions.DraftedFromUnusableSource @ se-close02</v>
      </c>
      <c r="C484" s="2" t="s">
        <v>14695</v>
      </c>
      <c r="D484" s="2" t="s">
        <v>1430</v>
      </c>
      <c r="E484" s="2" t="s">
        <v>15035</v>
      </c>
      <c r="F484" s="2" t="s">
        <v>15057</v>
      </c>
      <c r="G484" s="2" t="s">
        <v>14591</v>
      </c>
      <c r="H484" s="3" t="str">
        <f>_xlfn.IFNA(INDEX(FieldDisagreements!C2:C999, MATCH(C484,FieldDisagreements!A2:A999, 0)), "")</f>
        <v>effortless-xlsx</v>
      </c>
      <c r="I484" s="3" t="str">
        <f>_xlfn.IFNA(INDEX(FieldDisagreements!D2:D999, MATCH(C484,FieldDisagreements!A2:A999, 0)), "")</f>
        <v>StepExecutions.DraftedFromUnusableSource</v>
      </c>
      <c r="J484" s="2" t="s">
        <v>1906</v>
      </c>
    </row>
    <row r="485">
      <c r="A485" s="2" t="s">
        <v>15642</v>
      </c>
      <c r="B485" s="3" t="str">
        <f>_xlfn.CONCAT(C485, " @ ", D485)</f>
        <v>effortless-xlsx|StepExecutions.DraftedFromUnusableSource @ se-policy01</v>
      </c>
      <c r="C485" s="2" t="s">
        <v>14695</v>
      </c>
      <c r="D485" s="2" t="s">
        <v>1441</v>
      </c>
      <c r="E485" s="2" t="s">
        <v>15035</v>
      </c>
      <c r="F485" s="2" t="s">
        <v>15057</v>
      </c>
      <c r="G485" s="2" t="s">
        <v>14591</v>
      </c>
      <c r="H485" s="3" t="str">
        <f>_xlfn.IFNA(INDEX(FieldDisagreements!C2:C999, MATCH(C485,FieldDisagreements!A2:A999, 0)), "")</f>
        <v>effortless-xlsx</v>
      </c>
      <c r="I485" s="3" t="str">
        <f>_xlfn.IFNA(INDEX(FieldDisagreements!D2:D999, MATCH(C485,FieldDisagreements!A2:A999, 0)), "")</f>
        <v>StepExecutions.DraftedFromUnusableSource</v>
      </c>
      <c r="J485" s="2" t="s">
        <v>1906</v>
      </c>
    </row>
    <row r="486">
      <c r="A486" s="2" t="s">
        <v>15643</v>
      </c>
      <c r="B486" s="3" t="str">
        <f>_xlfn.CONCAT(C486, " @ ", D486)</f>
        <v>effortless-xlsx|StepExecutions.InputsWereUsable @ se-close02</v>
      </c>
      <c r="C486" s="2" t="s">
        <v>14696</v>
      </c>
      <c r="D486" s="2" t="s">
        <v>1430</v>
      </c>
      <c r="E486" s="2" t="s">
        <v>15057</v>
      </c>
      <c r="F486" s="2" t="s">
        <v>15035</v>
      </c>
      <c r="G486" s="2" t="s">
        <v>14591</v>
      </c>
      <c r="H486" s="3" t="str">
        <f>_xlfn.IFNA(INDEX(FieldDisagreements!C2:C999, MATCH(C486,FieldDisagreements!A2:A999, 0)), "")</f>
        <v>effortless-xlsx</v>
      </c>
      <c r="I486" s="3" t="str">
        <f>_xlfn.IFNA(INDEX(FieldDisagreements!D2:D999, MATCH(C486,FieldDisagreements!A2:A999, 0)), "")</f>
        <v>StepExecutions.InputsWereUsable</v>
      </c>
      <c r="J486" s="2" t="s">
        <v>1906</v>
      </c>
    </row>
    <row r="487">
      <c r="A487" s="2" t="s">
        <v>15644</v>
      </c>
      <c r="B487" s="3" t="str">
        <f>_xlfn.CONCAT(C487, " @ ", D487)</f>
        <v>effortless-xlsx|StepExecutions.InputsWereUsable @ se-policy01</v>
      </c>
      <c r="C487" s="2" t="s">
        <v>14696</v>
      </c>
      <c r="D487" s="2" t="s">
        <v>1441</v>
      </c>
      <c r="E487" s="2" t="s">
        <v>15057</v>
      </c>
      <c r="F487" s="2" t="s">
        <v>15035</v>
      </c>
      <c r="G487" s="2" t="s">
        <v>14591</v>
      </c>
      <c r="H487" s="3" t="str">
        <f>_xlfn.IFNA(INDEX(FieldDisagreements!C2:C999, MATCH(C487,FieldDisagreements!A2:A999, 0)), "")</f>
        <v>effortless-xlsx</v>
      </c>
      <c r="I487" s="3" t="str">
        <f>_xlfn.IFNA(INDEX(FieldDisagreements!D2:D999, MATCH(C487,FieldDisagreements!A2:A999, 0)), "")</f>
        <v>StepExecutions.InputsWereUsable</v>
      </c>
      <c r="J487" s="2" t="s">
        <v>1906</v>
      </c>
    </row>
    <row r="488">
      <c r="A488" s="2" t="s">
        <v>15645</v>
      </c>
      <c r="B488" s="3" t="str">
        <f>_xlfn.CONCAT(C488, " @ ", D488)</f>
        <v>effortless-xlsx|StepExecutions.StalenessAnswerIsTenseDependent @ se-close02</v>
      </c>
      <c r="C488" s="2" t="s">
        <v>14697</v>
      </c>
      <c r="D488" s="2" t="s">
        <v>1430</v>
      </c>
      <c r="E488" s="2" t="s">
        <v>15035</v>
      </c>
      <c r="F488" s="2" t="s">
        <v>15057</v>
      </c>
      <c r="G488" s="2" t="s">
        <v>14591</v>
      </c>
      <c r="H488" s="3" t="str">
        <f>_xlfn.IFNA(INDEX(FieldDisagreements!C2:C999, MATCH(C488,FieldDisagreements!A2:A999, 0)), "")</f>
        <v>effortless-xlsx</v>
      </c>
      <c r="I488" s="3" t="str">
        <f>_xlfn.IFNA(INDEX(FieldDisagreements!D2:D999, MATCH(C488,FieldDisagreements!A2:A999, 0)), "")</f>
        <v>StepExecutions.StalenessAnswerIsTenseDependent</v>
      </c>
      <c r="J488" s="2" t="s">
        <v>1906</v>
      </c>
    </row>
    <row r="489">
      <c r="A489" s="2" t="s">
        <v>15646</v>
      </c>
      <c r="B489" s="3" t="str">
        <f>_xlfn.CONCAT(C489, " @ ", D489)</f>
        <v>effortless-xlsx|StepExecutions.StalenessAnswerIsTenseDependent @ se-policy01</v>
      </c>
      <c r="C489" s="2" t="s">
        <v>14697</v>
      </c>
      <c r="D489" s="2" t="s">
        <v>1441</v>
      </c>
      <c r="E489" s="2" t="s">
        <v>15035</v>
      </c>
      <c r="F489" s="2" t="s">
        <v>15057</v>
      </c>
      <c r="G489" s="2" t="s">
        <v>14591</v>
      </c>
      <c r="H489" s="3" t="str">
        <f>_xlfn.IFNA(INDEX(FieldDisagreements!C2:C999, MATCH(C489,FieldDisagreements!A2:A999, 0)), "")</f>
        <v>effortless-xlsx</v>
      </c>
      <c r="I489" s="3" t="str">
        <f>_xlfn.IFNA(INDEX(FieldDisagreements!D2:D999, MATCH(C489,FieldDisagreements!A2:A999, 0)), "")</f>
        <v>StepExecutions.StalenessAnswerIsTenseDependent</v>
      </c>
      <c r="J489" s="2" t="s">
        <v>1906</v>
      </c>
    </row>
    <row r="490">
      <c r="A490" s="2" t="s">
        <v>15647</v>
      </c>
      <c r="B490" s="3" t="str">
        <f>_xlfn.CONCAT(C490, " @ ", D490)</f>
        <v>effortless-xlsx|RequirementSatisfactions.WasScoredAfterAttestation @ sat-close-balance</v>
      </c>
      <c r="C490" s="2" t="s">
        <v>14698</v>
      </c>
      <c r="D490" s="2" t="s">
        <v>1492</v>
      </c>
      <c r="E490" s="2" t="s">
        <v>15057</v>
      </c>
      <c r="F490" s="2" t="s">
        <v>15478</v>
      </c>
      <c r="G490" s="2" t="s">
        <v>14591</v>
      </c>
      <c r="H490" s="3" t="str">
        <f>_xlfn.IFNA(INDEX(FieldDisagreements!C2:C999, MATCH(C490,FieldDisagreements!A2:A999, 0)), "")</f>
        <v>effortless-xlsx</v>
      </c>
      <c r="I490" s="3" t="str">
        <f>_xlfn.IFNA(INDEX(FieldDisagreements!D2:D999, MATCH(C490,FieldDisagreements!A2:A999, 0)), "")</f>
        <v>RequirementSatisfactions.WasScoredAfterAttestation</v>
      </c>
      <c r="J490" s="2" t="s">
        <v>1906</v>
      </c>
    </row>
    <row r="491">
      <c r="A491" s="2" t="s">
        <v>15648</v>
      </c>
      <c r="B491" s="3" t="str">
        <f>_xlfn.CONCAT(C491, " @ ", D491)</f>
        <v>effortless-xlsx|RequirementSatisfactions.WasScoredAfterAttestation @ sat-close-cutoff</v>
      </c>
      <c r="C491" s="2" t="s">
        <v>14698</v>
      </c>
      <c r="D491" s="2" t="s">
        <v>1488</v>
      </c>
      <c r="E491" s="2" t="s">
        <v>15057</v>
      </c>
      <c r="F491" s="2" t="s">
        <v>15478</v>
      </c>
      <c r="G491" s="2" t="s">
        <v>14591</v>
      </c>
      <c r="H491" s="3" t="str">
        <f>_xlfn.IFNA(INDEX(FieldDisagreements!C2:C999, MATCH(C491,FieldDisagreements!A2:A999, 0)), "")</f>
        <v>effortless-xlsx</v>
      </c>
      <c r="I491" s="3" t="str">
        <f>_xlfn.IFNA(INDEX(FieldDisagreements!D2:D999, MATCH(C491,FieldDisagreements!A2:A999, 0)), "")</f>
        <v>RequirementSatisfactions.WasScoredAfterAttestation</v>
      </c>
      <c r="J491" s="2" t="s">
        <v>1906</v>
      </c>
    </row>
    <row r="492">
      <c r="A492" s="2" t="s">
        <v>15649</v>
      </c>
      <c r="B492" s="3" t="str">
        <f>_xlfn.CONCAT(C492, " @ ", D492)</f>
        <v>effortless-xlsx|RequirementSatisfactions.WasScoredAfterAttestation @ sat-close-evidence</v>
      </c>
      <c r="C492" s="2" t="s">
        <v>14698</v>
      </c>
      <c r="D492" s="2" t="s">
        <v>1502</v>
      </c>
      <c r="E492" s="2" t="s">
        <v>15057</v>
      </c>
      <c r="F492" s="2" t="s">
        <v>15478</v>
      </c>
      <c r="G492" s="2" t="s">
        <v>14591</v>
      </c>
      <c r="H492" s="3" t="str">
        <f>_xlfn.IFNA(INDEX(FieldDisagreements!C2:C999, MATCH(C492,FieldDisagreements!A2:A999, 0)), "")</f>
        <v>effortless-xlsx</v>
      </c>
      <c r="I492" s="3" t="str">
        <f>_xlfn.IFNA(INDEX(FieldDisagreements!D2:D999, MATCH(C492,FieldDisagreements!A2:A999, 0)), "")</f>
        <v>RequirementSatisfactions.WasScoredAfterAttestation</v>
      </c>
      <c r="J492" s="2" t="s">
        <v>1906</v>
      </c>
    </row>
    <row r="493">
      <c r="A493" s="2" t="s">
        <v>15650</v>
      </c>
      <c r="B493" s="3" t="str">
        <f>_xlfn.CONCAT(C493, " @ ", D493)</f>
        <v>effortless-xlsx|RequirementSatisfactions.WasScoredAfterAttestation @ sat-close-human</v>
      </c>
      <c r="C493" s="2" t="s">
        <v>14698</v>
      </c>
      <c r="D493" s="2" t="s">
        <v>1496</v>
      </c>
      <c r="E493" s="2" t="s">
        <v>15057</v>
      </c>
      <c r="F493" s="2" t="s">
        <v>15478</v>
      </c>
      <c r="G493" s="2" t="s">
        <v>14591</v>
      </c>
      <c r="H493" s="3" t="str">
        <f>_xlfn.IFNA(INDEX(FieldDisagreements!C2:C999, MATCH(C493,FieldDisagreements!A2:A999, 0)), "")</f>
        <v>effortless-xlsx</v>
      </c>
      <c r="I493" s="3" t="str">
        <f>_xlfn.IFNA(INDEX(FieldDisagreements!D2:D999, MATCH(C493,FieldDisagreements!A2:A999, 0)), "")</f>
        <v>RequirementSatisfactions.WasScoredAfterAttestation</v>
      </c>
      <c r="J493" s="2" t="s">
        <v>1906</v>
      </c>
    </row>
    <row r="494">
      <c r="A494" s="2" t="s">
        <v>15651</v>
      </c>
      <c r="B494" s="3" t="str">
        <f>_xlfn.CONCAT(C494, " @ ", D494)</f>
        <v>effortless-xlsx|RequirementSatisfactions.WasScoredAfterAttestation @ sat-close-separation</v>
      </c>
      <c r="C494" s="2" t="s">
        <v>14698</v>
      </c>
      <c r="D494" s="2" t="s">
        <v>1494</v>
      </c>
      <c r="E494" s="2" t="s">
        <v>15057</v>
      </c>
      <c r="F494" s="2" t="s">
        <v>15478</v>
      </c>
      <c r="G494" s="2" t="s">
        <v>14591</v>
      </c>
      <c r="H494" s="3" t="str">
        <f>_xlfn.IFNA(INDEX(FieldDisagreements!C2:C999, MATCH(C494,FieldDisagreements!A2:A999, 0)), "")</f>
        <v>effortless-xlsx</v>
      </c>
      <c r="I494" s="3" t="str">
        <f>_xlfn.IFNA(INDEX(FieldDisagreements!D2:D999, MATCH(C494,FieldDisagreements!A2:A999, 0)), "")</f>
        <v>RequirementSatisfactions.WasScoredAfterAttestation</v>
      </c>
      <c r="J494" s="2" t="s">
        <v>1906</v>
      </c>
    </row>
    <row r="495">
      <c r="A495" s="2" t="s">
        <v>15652</v>
      </c>
      <c r="B495" s="3" t="str">
        <f>_xlfn.CONCAT(C495, " @ ", D495)</f>
        <v>effortless-xlsx|RequirementSatisfactions.WasScoredAfterAttestation @ sat-close08-evidence</v>
      </c>
      <c r="C495" s="2" t="s">
        <v>14698</v>
      </c>
      <c r="D495" s="2" t="s">
        <v>1505</v>
      </c>
      <c r="E495" s="2" t="s">
        <v>15057</v>
      </c>
      <c r="F495" s="2" t="s">
        <v>15478</v>
      </c>
      <c r="G495" s="2" t="s">
        <v>14591</v>
      </c>
      <c r="H495" s="3" t="str">
        <f>_xlfn.IFNA(INDEX(FieldDisagreements!C2:C999, MATCH(C495,FieldDisagreements!A2:A999, 0)), "")</f>
        <v>effortless-xlsx</v>
      </c>
      <c r="I495" s="3" t="str">
        <f>_xlfn.IFNA(INDEX(FieldDisagreements!D2:D999, MATCH(C495,FieldDisagreements!A2:A999, 0)), "")</f>
        <v>RequirementSatisfactions.WasScoredAfterAttestation</v>
      </c>
      <c r="J495" s="2" t="s">
        <v>1906</v>
      </c>
    </row>
    <row r="496">
      <c r="A496" s="2" t="s">
        <v>15653</v>
      </c>
      <c r="B496" s="3" t="str">
        <f>_xlfn.CONCAT(C496, " @ ", D496)</f>
        <v>effortless-xlsx|RequirementSatisfactions.WasScoredAfterAttestation @ sat-policy-legal</v>
      </c>
      <c r="C496" s="2" t="s">
        <v>14698</v>
      </c>
      <c r="D496" s="2" t="s">
        <v>1500</v>
      </c>
      <c r="E496" s="2" t="s">
        <v>15057</v>
      </c>
      <c r="F496" s="2" t="s">
        <v>15478</v>
      </c>
      <c r="G496" s="2" t="s">
        <v>14591</v>
      </c>
      <c r="H496" s="3" t="str">
        <f>_xlfn.IFNA(INDEX(FieldDisagreements!C2:C999, MATCH(C496,FieldDisagreements!A2:A999, 0)), "")</f>
        <v>effortless-xlsx</v>
      </c>
      <c r="I496" s="3" t="str">
        <f>_xlfn.IFNA(INDEX(FieldDisagreements!D2:D999, MATCH(C496,FieldDisagreements!A2:A999, 0)), "")</f>
        <v>RequirementSatisfactions.WasScoredAfterAttestation</v>
      </c>
      <c r="J496" s="2" t="s">
        <v>1906</v>
      </c>
    </row>
    <row r="497">
      <c r="A497" s="2" t="s">
        <v>15654</v>
      </c>
      <c r="B497" s="3" t="str">
        <f>_xlfn.CONCAT(C497, " @ ", D497)</f>
        <v>effortless-xlsx|RequirementSatisfactions.WasScoredAfterAttestation @ sat-policy-source</v>
      </c>
      <c r="C497" s="2" t="s">
        <v>14698</v>
      </c>
      <c r="D497" s="2" t="s">
        <v>1498</v>
      </c>
      <c r="E497" s="2" t="s">
        <v>15057</v>
      </c>
      <c r="F497" s="2" t="s">
        <v>15478</v>
      </c>
      <c r="G497" s="2" t="s">
        <v>14591</v>
      </c>
      <c r="H497" s="3" t="str">
        <f>_xlfn.IFNA(INDEX(FieldDisagreements!C2:C999, MATCH(C497,FieldDisagreements!A2:A999, 0)), "")</f>
        <v>effortless-xlsx</v>
      </c>
      <c r="I497" s="3" t="str">
        <f>_xlfn.IFNA(INDEX(FieldDisagreements!D2:D999, MATCH(C497,FieldDisagreements!A2:A999, 0)), "")</f>
        <v>RequirementSatisfactions.WasScoredAfterAttestation</v>
      </c>
      <c r="J497" s="2" t="s">
        <v>1906</v>
      </c>
    </row>
    <row r="498">
      <c r="A498" s="2" t="s">
        <v>15655</v>
      </c>
      <c r="B498" s="3" t="str">
        <f>_xlfn.CONCAT(C498, " @ ", D498)</f>
        <v>effortless-xlsx|RequirementSatisfactions.AttestationInstantForRun @ sat-close-balance</v>
      </c>
      <c r="C498" s="2" t="s">
        <v>14699</v>
      </c>
      <c r="D498" s="2" t="s">
        <v>1492</v>
      </c>
      <c r="E498" s="2" t="s">
        <v>15036</v>
      </c>
      <c r="F498" s="2" t="s">
        <v>15471</v>
      </c>
      <c r="G498" s="2" t="s">
        <v>14591</v>
      </c>
      <c r="H498" s="3" t="str">
        <f>_xlfn.IFNA(INDEX(FieldDisagreements!C2:C999, MATCH(C498,FieldDisagreements!A2:A999, 0)), "")</f>
        <v>effortless-xlsx</v>
      </c>
      <c r="I498" s="3" t="str">
        <f>_xlfn.IFNA(INDEX(FieldDisagreements!D2:D999, MATCH(C498,FieldDisagreements!A2:A999, 0)), "")</f>
        <v>RequirementSatisfactions.AttestationInstantForRun</v>
      </c>
      <c r="J498" s="2" t="s">
        <v>1906</v>
      </c>
    </row>
    <row r="499">
      <c r="A499" s="2" t="s">
        <v>15656</v>
      </c>
      <c r="B499" s="3" t="str">
        <f>_xlfn.CONCAT(C499, " @ ", D499)</f>
        <v>effortless-xlsx|RequirementSatisfactions.AttestationInstantForRun @ sat-close-cutoff</v>
      </c>
      <c r="C499" s="2" t="s">
        <v>14699</v>
      </c>
      <c r="D499" s="2" t="s">
        <v>1488</v>
      </c>
      <c r="E499" s="2" t="s">
        <v>15036</v>
      </c>
      <c r="F499" s="2" t="s">
        <v>15471</v>
      </c>
      <c r="G499" s="2" t="s">
        <v>14591</v>
      </c>
      <c r="H499" s="3" t="str">
        <f>_xlfn.IFNA(INDEX(FieldDisagreements!C2:C999, MATCH(C499,FieldDisagreements!A2:A999, 0)), "")</f>
        <v>effortless-xlsx</v>
      </c>
      <c r="I499" s="3" t="str">
        <f>_xlfn.IFNA(INDEX(FieldDisagreements!D2:D999, MATCH(C499,FieldDisagreements!A2:A999, 0)), "")</f>
        <v>RequirementSatisfactions.AttestationInstantForRun</v>
      </c>
      <c r="J499" s="2" t="s">
        <v>1906</v>
      </c>
    </row>
    <row r="500">
      <c r="A500" s="2" t="s">
        <v>15657</v>
      </c>
      <c r="B500" s="3" t="str">
        <f>_xlfn.CONCAT(C500, " @ ", D500)</f>
        <v>effortless-xlsx|RequirementSatisfactions.AttestationInstantForRun @ sat-close-evidence</v>
      </c>
      <c r="C500" s="2" t="s">
        <v>14699</v>
      </c>
      <c r="D500" s="2" t="s">
        <v>1502</v>
      </c>
      <c r="E500" s="2" t="s">
        <v>15036</v>
      </c>
      <c r="F500" s="2" t="s">
        <v>15471</v>
      </c>
      <c r="G500" s="2" t="s">
        <v>14591</v>
      </c>
      <c r="H500" s="3" t="str">
        <f>_xlfn.IFNA(INDEX(FieldDisagreements!C2:C999, MATCH(C500,FieldDisagreements!A2:A999, 0)), "")</f>
        <v>effortless-xlsx</v>
      </c>
      <c r="I500" s="3" t="str">
        <f>_xlfn.IFNA(INDEX(FieldDisagreements!D2:D999, MATCH(C500,FieldDisagreements!A2:A999, 0)), "")</f>
        <v>RequirementSatisfactions.AttestationInstantForRun</v>
      </c>
      <c r="J500" s="2" t="s">
        <v>1906</v>
      </c>
    </row>
    <row r="501">
      <c r="A501" s="2" t="s">
        <v>15658</v>
      </c>
      <c r="B501" s="3" t="str">
        <f>_xlfn.CONCAT(C501, " @ ", D501)</f>
        <v>effortless-xlsx|RequirementSatisfactions.AttestationInstantForRun @ sat-close-human</v>
      </c>
      <c r="C501" s="2" t="s">
        <v>14699</v>
      </c>
      <c r="D501" s="2" t="s">
        <v>1496</v>
      </c>
      <c r="E501" s="2" t="s">
        <v>15036</v>
      </c>
      <c r="F501" s="2" t="s">
        <v>15471</v>
      </c>
      <c r="G501" s="2" t="s">
        <v>14591</v>
      </c>
      <c r="H501" s="3" t="str">
        <f>_xlfn.IFNA(INDEX(FieldDisagreements!C2:C999, MATCH(C501,FieldDisagreements!A2:A999, 0)), "")</f>
        <v>effortless-xlsx</v>
      </c>
      <c r="I501" s="3" t="str">
        <f>_xlfn.IFNA(INDEX(FieldDisagreements!D2:D999, MATCH(C501,FieldDisagreements!A2:A999, 0)), "")</f>
        <v>RequirementSatisfactions.AttestationInstantForRun</v>
      </c>
      <c r="J501" s="2" t="s">
        <v>1906</v>
      </c>
    </row>
    <row r="502">
      <c r="A502" s="2" t="s">
        <v>15659</v>
      </c>
      <c r="B502" s="3" t="str">
        <f>_xlfn.CONCAT(C502, " @ ", D502)</f>
        <v>effortless-xlsx|RequirementSatisfactions.AttestationInstantForRun @ sat-close-separation</v>
      </c>
      <c r="C502" s="2" t="s">
        <v>14699</v>
      </c>
      <c r="D502" s="2" t="s">
        <v>1494</v>
      </c>
      <c r="E502" s="2" t="s">
        <v>15036</v>
      </c>
      <c r="F502" s="2" t="s">
        <v>15471</v>
      </c>
      <c r="G502" s="2" t="s">
        <v>14591</v>
      </c>
      <c r="H502" s="3" t="str">
        <f>_xlfn.IFNA(INDEX(FieldDisagreements!C2:C999, MATCH(C502,FieldDisagreements!A2:A999, 0)), "")</f>
        <v>effortless-xlsx</v>
      </c>
      <c r="I502" s="3" t="str">
        <f>_xlfn.IFNA(INDEX(FieldDisagreements!D2:D999, MATCH(C502,FieldDisagreements!A2:A999, 0)), "")</f>
        <v>RequirementSatisfactions.AttestationInstantForRun</v>
      </c>
      <c r="J502" s="2" t="s">
        <v>1906</v>
      </c>
    </row>
    <row r="503">
      <c r="A503" s="2" t="s">
        <v>15660</v>
      </c>
      <c r="B503" s="3" t="str">
        <f>_xlfn.CONCAT(C503, " @ ", D503)</f>
        <v>effortless-xlsx|RequirementSatisfactions.AttestationInstantForRun @ sat-close08-evidence</v>
      </c>
      <c r="C503" s="2" t="s">
        <v>14699</v>
      </c>
      <c r="D503" s="2" t="s">
        <v>1505</v>
      </c>
      <c r="E503" s="2" t="s">
        <v>15036</v>
      </c>
      <c r="F503" s="2" t="s">
        <v>15471</v>
      </c>
      <c r="G503" s="2" t="s">
        <v>14591</v>
      </c>
      <c r="H503" s="3" t="str">
        <f>_xlfn.IFNA(INDEX(FieldDisagreements!C2:C999, MATCH(C503,FieldDisagreements!A2:A999, 0)), "")</f>
        <v>effortless-xlsx</v>
      </c>
      <c r="I503" s="3" t="str">
        <f>_xlfn.IFNA(INDEX(FieldDisagreements!D2:D999, MATCH(C503,FieldDisagreements!A2:A999, 0)), "")</f>
        <v>RequirementSatisfactions.AttestationInstantForRun</v>
      </c>
      <c r="J503" s="2" t="s">
        <v>1906</v>
      </c>
    </row>
    <row r="504">
      <c r="A504" s="2" t="s">
        <v>15661</v>
      </c>
      <c r="B504" s="3" t="str">
        <f>_xlfn.CONCAT(C504, " @ ", D504)</f>
        <v>effortless-xlsx|RequirementSatisfactions.AttestationInstantForRun @ sat-policy-legal</v>
      </c>
      <c r="C504" s="2" t="s">
        <v>14699</v>
      </c>
      <c r="D504" s="2" t="s">
        <v>1500</v>
      </c>
      <c r="E504" s="2" t="s">
        <v>15036</v>
      </c>
      <c r="F504" s="2" t="s">
        <v>15471</v>
      </c>
      <c r="G504" s="2" t="s">
        <v>14591</v>
      </c>
      <c r="H504" s="3" t="str">
        <f>_xlfn.IFNA(INDEX(FieldDisagreements!C2:C999, MATCH(C504,FieldDisagreements!A2:A999, 0)), "")</f>
        <v>effortless-xlsx</v>
      </c>
      <c r="I504" s="3" t="str">
        <f>_xlfn.IFNA(INDEX(FieldDisagreements!D2:D999, MATCH(C504,FieldDisagreements!A2:A999, 0)), "")</f>
        <v>RequirementSatisfactions.AttestationInstantForRun</v>
      </c>
      <c r="J504" s="2" t="s">
        <v>1906</v>
      </c>
    </row>
    <row r="505">
      <c r="A505" s="2" t="s">
        <v>15662</v>
      </c>
      <c r="B505" s="3" t="str">
        <f>_xlfn.CONCAT(C505, " @ ", D505)</f>
        <v>effortless-xlsx|RequirementSatisfactions.AttestationInstantForRun @ sat-policy-source</v>
      </c>
      <c r="C505" s="2" t="s">
        <v>14699</v>
      </c>
      <c r="D505" s="2" t="s">
        <v>1498</v>
      </c>
      <c r="E505" s="2" t="s">
        <v>15036</v>
      </c>
      <c r="F505" s="2" t="s">
        <v>15471</v>
      </c>
      <c r="G505" s="2" t="s">
        <v>14591</v>
      </c>
      <c r="H505" s="3" t="str">
        <f>_xlfn.IFNA(INDEX(FieldDisagreements!C2:C999, MATCH(C505,FieldDisagreements!A2:A999, 0)), "")</f>
        <v>effortless-xlsx</v>
      </c>
      <c r="I505" s="3" t="str">
        <f>_xlfn.IFNA(INDEX(FieldDisagreements!D2:D999, MATCH(C505,FieldDisagreements!A2:A999, 0)), "")</f>
        <v>RequirementSatisfactions.AttestationInstantForRun</v>
      </c>
      <c r="J505" s="2" t="s">
        <v>1906</v>
      </c>
    </row>
    <row r="506">
      <c r="A506" s="2" t="s">
        <v>15663</v>
      </c>
      <c r="B506" s="3" t="str">
        <f>_xlfn.CONCAT(C506, " @ ", D506)</f>
        <v>effortless-xlsx|RequirementSatisfactions.PostAttestationScoreExecutionKey @ sat-close-balance</v>
      </c>
      <c r="C506" s="2" t="s">
        <v>14700</v>
      </c>
      <c r="D506" s="2" t="s">
        <v>1492</v>
      </c>
      <c r="E506" s="2" t="s">
        <v>15036</v>
      </c>
      <c r="F506" s="2" t="s">
        <v>15478</v>
      </c>
      <c r="G506" s="2" t="s">
        <v>14591</v>
      </c>
      <c r="H506" s="3" t="str">
        <f>_xlfn.IFNA(INDEX(FieldDisagreements!C2:C999, MATCH(C506,FieldDisagreements!A2:A999, 0)), "")</f>
        <v>effortless-xlsx</v>
      </c>
      <c r="I506" s="3" t="str">
        <f>_xlfn.IFNA(INDEX(FieldDisagreements!D2:D999, MATCH(C506,FieldDisagreements!A2:A999, 0)), "")</f>
        <v>RequirementSatisfactions.PostAttestationScoreExecutionKey</v>
      </c>
      <c r="J506" s="2" t="s">
        <v>1906</v>
      </c>
    </row>
    <row r="507">
      <c r="A507" s="2" t="s">
        <v>15664</v>
      </c>
      <c r="B507" s="3" t="str">
        <f>_xlfn.CONCAT(C507, " @ ", D507)</f>
        <v>effortless-xlsx|RequirementSatisfactions.PostAttestationScoreExecutionKey @ sat-close-cutoff</v>
      </c>
      <c r="C507" s="2" t="s">
        <v>14700</v>
      </c>
      <c r="D507" s="2" t="s">
        <v>1488</v>
      </c>
      <c r="E507" s="2" t="s">
        <v>15036</v>
      </c>
      <c r="F507" s="2" t="s">
        <v>15478</v>
      </c>
      <c r="G507" s="2" t="s">
        <v>14591</v>
      </c>
      <c r="H507" s="3" t="str">
        <f>_xlfn.IFNA(INDEX(FieldDisagreements!C2:C999, MATCH(C507,FieldDisagreements!A2:A999, 0)), "")</f>
        <v>effortless-xlsx</v>
      </c>
      <c r="I507" s="3" t="str">
        <f>_xlfn.IFNA(INDEX(FieldDisagreements!D2:D999, MATCH(C507,FieldDisagreements!A2:A999, 0)), "")</f>
        <v>RequirementSatisfactions.PostAttestationScoreExecutionKey</v>
      </c>
      <c r="J507" s="2" t="s">
        <v>1906</v>
      </c>
    </row>
    <row r="508">
      <c r="A508" s="2" t="s">
        <v>15665</v>
      </c>
      <c r="B508" s="3" t="str">
        <f>_xlfn.CONCAT(C508, " @ ", D508)</f>
        <v>effortless-xlsx|RequirementSatisfactions.PostAttestationScoreExecutionKey @ sat-close-evidence</v>
      </c>
      <c r="C508" s="2" t="s">
        <v>14700</v>
      </c>
      <c r="D508" s="2" t="s">
        <v>1502</v>
      </c>
      <c r="E508" s="2" t="s">
        <v>15036</v>
      </c>
      <c r="F508" s="2" t="s">
        <v>15478</v>
      </c>
      <c r="G508" s="2" t="s">
        <v>14591</v>
      </c>
      <c r="H508" s="3" t="str">
        <f>_xlfn.IFNA(INDEX(FieldDisagreements!C2:C999, MATCH(C508,FieldDisagreements!A2:A999, 0)), "")</f>
        <v>effortless-xlsx</v>
      </c>
      <c r="I508" s="3" t="str">
        <f>_xlfn.IFNA(INDEX(FieldDisagreements!D2:D999, MATCH(C508,FieldDisagreements!A2:A999, 0)), "")</f>
        <v>RequirementSatisfactions.PostAttestationScoreExecutionKey</v>
      </c>
      <c r="J508" s="2" t="s">
        <v>1906</v>
      </c>
    </row>
    <row r="509">
      <c r="A509" s="2" t="s">
        <v>15666</v>
      </c>
      <c r="B509" s="3" t="str">
        <f>_xlfn.CONCAT(C509, " @ ", D509)</f>
        <v>effortless-xlsx|RequirementSatisfactions.PostAttestationScoreExecutionKey @ sat-close-human</v>
      </c>
      <c r="C509" s="2" t="s">
        <v>14700</v>
      </c>
      <c r="D509" s="2" t="s">
        <v>1496</v>
      </c>
      <c r="E509" s="2" t="s">
        <v>15036</v>
      </c>
      <c r="F509" s="2" t="s">
        <v>15478</v>
      </c>
      <c r="G509" s="2" t="s">
        <v>14591</v>
      </c>
      <c r="H509" s="3" t="str">
        <f>_xlfn.IFNA(INDEX(FieldDisagreements!C2:C999, MATCH(C509,FieldDisagreements!A2:A999, 0)), "")</f>
        <v>effortless-xlsx</v>
      </c>
      <c r="I509" s="3" t="str">
        <f>_xlfn.IFNA(INDEX(FieldDisagreements!D2:D999, MATCH(C509,FieldDisagreements!A2:A999, 0)), "")</f>
        <v>RequirementSatisfactions.PostAttestationScoreExecutionKey</v>
      </c>
      <c r="J509" s="2" t="s">
        <v>1906</v>
      </c>
    </row>
    <row r="510">
      <c r="A510" s="2" t="s">
        <v>15667</v>
      </c>
      <c r="B510" s="3" t="str">
        <f>_xlfn.CONCAT(C510, " @ ", D510)</f>
        <v>effortless-xlsx|RequirementSatisfactions.PostAttestationScoreExecutionKey @ sat-close-separation</v>
      </c>
      <c r="C510" s="2" t="s">
        <v>14700</v>
      </c>
      <c r="D510" s="2" t="s">
        <v>1494</v>
      </c>
      <c r="E510" s="2" t="s">
        <v>15036</v>
      </c>
      <c r="F510" s="2" t="s">
        <v>15478</v>
      </c>
      <c r="G510" s="2" t="s">
        <v>14591</v>
      </c>
      <c r="H510" s="3" t="str">
        <f>_xlfn.IFNA(INDEX(FieldDisagreements!C2:C999, MATCH(C510,FieldDisagreements!A2:A999, 0)), "")</f>
        <v>effortless-xlsx</v>
      </c>
      <c r="I510" s="3" t="str">
        <f>_xlfn.IFNA(INDEX(FieldDisagreements!D2:D999, MATCH(C510,FieldDisagreements!A2:A999, 0)), "")</f>
        <v>RequirementSatisfactions.PostAttestationScoreExecutionKey</v>
      </c>
      <c r="J510" s="2" t="s">
        <v>1906</v>
      </c>
    </row>
    <row r="511">
      <c r="A511" s="2" t="s">
        <v>15668</v>
      </c>
      <c r="B511" s="3" t="str">
        <f>_xlfn.CONCAT(C511, " @ ", D511)</f>
        <v>effortless-xlsx|RequirementSatisfactions.PostAttestationScoreExecutionKey @ sat-close08-evidence</v>
      </c>
      <c r="C511" s="2" t="s">
        <v>14700</v>
      </c>
      <c r="D511" s="2" t="s">
        <v>1505</v>
      </c>
      <c r="E511" s="2" t="s">
        <v>15036</v>
      </c>
      <c r="F511" s="2" t="s">
        <v>15478</v>
      </c>
      <c r="G511" s="2" t="s">
        <v>14591</v>
      </c>
      <c r="H511" s="3" t="str">
        <f>_xlfn.IFNA(INDEX(FieldDisagreements!C2:C999, MATCH(C511,FieldDisagreements!A2:A999, 0)), "")</f>
        <v>effortless-xlsx</v>
      </c>
      <c r="I511" s="3" t="str">
        <f>_xlfn.IFNA(INDEX(FieldDisagreements!D2:D999, MATCH(C511,FieldDisagreements!A2:A999, 0)), "")</f>
        <v>RequirementSatisfactions.PostAttestationScoreExecutionKey</v>
      </c>
      <c r="J511" s="2" t="s">
        <v>1906</v>
      </c>
    </row>
    <row r="512">
      <c r="A512" s="2" t="s">
        <v>15669</v>
      </c>
      <c r="B512" s="3" t="str">
        <f>_xlfn.CONCAT(C512, " @ ", D512)</f>
        <v>effortless-xlsx|RequirementSatisfactions.PostAttestationScoreExecutionKey @ sat-policy-legal</v>
      </c>
      <c r="C512" s="2" t="s">
        <v>14700</v>
      </c>
      <c r="D512" s="2" t="s">
        <v>1500</v>
      </c>
      <c r="E512" s="2" t="s">
        <v>15036</v>
      </c>
      <c r="F512" s="2" t="s">
        <v>15478</v>
      </c>
      <c r="G512" s="2" t="s">
        <v>14591</v>
      </c>
      <c r="H512" s="3" t="str">
        <f>_xlfn.IFNA(INDEX(FieldDisagreements!C2:C999, MATCH(C512,FieldDisagreements!A2:A999, 0)), "")</f>
        <v>effortless-xlsx</v>
      </c>
      <c r="I512" s="3" t="str">
        <f>_xlfn.IFNA(INDEX(FieldDisagreements!D2:D999, MATCH(C512,FieldDisagreements!A2:A999, 0)), "")</f>
        <v>RequirementSatisfactions.PostAttestationScoreExecutionKey</v>
      </c>
      <c r="J512" s="2" t="s">
        <v>1906</v>
      </c>
    </row>
    <row r="513">
      <c r="A513" s="2" t="s">
        <v>15670</v>
      </c>
      <c r="B513" s="3" t="str">
        <f>_xlfn.CONCAT(C513, " @ ", D513)</f>
        <v>effortless-xlsx|RequirementSatisfactions.PostAttestationScoreExecutionKey @ sat-policy-source</v>
      </c>
      <c r="C513" s="2" t="s">
        <v>14700</v>
      </c>
      <c r="D513" s="2" t="s">
        <v>1498</v>
      </c>
      <c r="E513" s="2" t="s">
        <v>15036</v>
      </c>
      <c r="F513" s="2" t="s">
        <v>15478</v>
      </c>
      <c r="G513" s="2" t="s">
        <v>14591</v>
      </c>
      <c r="H513" s="3" t="str">
        <f>_xlfn.IFNA(INDEX(FieldDisagreements!C2:C999, MATCH(C513,FieldDisagreements!A2:A999, 0)), "")</f>
        <v>effortless-xlsx</v>
      </c>
      <c r="I513" s="3" t="str">
        <f>_xlfn.IFNA(INDEX(FieldDisagreements!D2:D999, MATCH(C513,FieldDisagreements!A2:A999, 0)), "")</f>
        <v>RequirementSatisfactions.PostAttestationScoreExecutionKey</v>
      </c>
      <c r="J513" s="2" t="s">
        <v>1906</v>
      </c>
    </row>
    <row r="514">
      <c r="A514" s="2" t="s">
        <v>15671</v>
      </c>
      <c r="B514" s="3" t="str">
        <f>_xlfn.CONCAT(C514, " @ ", D514)</f>
        <v>effortless-xlsx|IssueOccurrences.Name @ issue-close-feed</v>
      </c>
      <c r="C514" s="2" t="s">
        <v>14701</v>
      </c>
      <c r="D514" s="2" t="s">
        <v>1527</v>
      </c>
      <c r="E514" s="2" t="s">
        <v>15094</v>
      </c>
      <c r="F514" s="2" t="s">
        <v>15672</v>
      </c>
      <c r="G514" s="2" t="s">
        <v>14591</v>
      </c>
      <c r="H514" s="3" t="str">
        <f>_xlfn.IFNA(INDEX(FieldDisagreements!C2:C999, MATCH(C514,FieldDisagreements!A2:A999, 0)), "")</f>
        <v>effortless-xlsx</v>
      </c>
      <c r="I514" s="3" t="str">
        <f>_xlfn.IFNA(INDEX(FieldDisagreements!D2:D999, MATCH(C514,FieldDisagreements!A2:A999, 0)), "")</f>
        <v>IssueOccurrences.Name</v>
      </c>
      <c r="J514" s="2" t="s">
        <v>1906</v>
      </c>
    </row>
    <row r="515">
      <c r="A515" s="2" t="s">
        <v>15673</v>
      </c>
      <c r="B515" s="3" t="str">
        <f>_xlfn.CONCAT(C515, " @ ", D515)</f>
        <v>effortless-xlsx|IssueOccurrences.Name @ issue-policy-sms</v>
      </c>
      <c r="C515" s="2" t="s">
        <v>14701</v>
      </c>
      <c r="D515" s="2" t="s">
        <v>1531</v>
      </c>
      <c r="E515" s="2" t="s">
        <v>15097</v>
      </c>
      <c r="F515" s="2" t="s">
        <v>15674</v>
      </c>
      <c r="G515" s="2" t="s">
        <v>14591</v>
      </c>
      <c r="H515" s="3" t="str">
        <f>_xlfn.IFNA(INDEX(FieldDisagreements!C2:C999, MATCH(C515,FieldDisagreements!A2:A999, 0)), "")</f>
        <v>effortless-xlsx</v>
      </c>
      <c r="I515" s="3" t="str">
        <f>_xlfn.IFNA(INDEX(FieldDisagreements!D2:D999, MATCH(C515,FieldDisagreements!A2:A999, 0)), "")</f>
        <v>IssueOccurrences.Name</v>
      </c>
      <c r="J515" s="2" t="s">
        <v>1906</v>
      </c>
    </row>
    <row r="516">
      <c r="A516" s="2" t="s">
        <v>15675</v>
      </c>
      <c r="B516" s="3" t="str">
        <f>_xlfn.CONCAT(C516, " @ ", D516)</f>
        <v>effortless-xlsx|StewardshipAssignments.AsOfInstant @ stew-close</v>
      </c>
      <c r="C516" s="2" t="s">
        <v>14702</v>
      </c>
      <c r="D516" s="2" t="s">
        <v>1565</v>
      </c>
      <c r="E516" s="2" t="s">
        <v>15271</v>
      </c>
      <c r="F516" s="2" t="s">
        <v>15272</v>
      </c>
      <c r="G516" s="2" t="s">
        <v>14591</v>
      </c>
      <c r="H516" s="3" t="str">
        <f>_xlfn.IFNA(INDEX(FieldDisagreements!C2:C999, MATCH(C516,FieldDisagreements!A2:A999, 0)), "")</f>
        <v>effortless-xlsx</v>
      </c>
      <c r="I516" s="3" t="str">
        <f>_xlfn.IFNA(INDEX(FieldDisagreements!D2:D999, MATCH(C516,FieldDisagreements!A2:A999, 0)), "")</f>
        <v>StewardshipAssignments.AsOfInstant</v>
      </c>
      <c r="J516" s="2" t="s">
        <v>1906</v>
      </c>
    </row>
    <row r="517">
      <c r="A517" s="2" t="s">
        <v>15676</v>
      </c>
      <c r="B517" s="3" t="str">
        <f>_xlfn.CONCAT(C517, " @ ", D517)</f>
        <v>effortless-xlsx|StewardshipAssignments.AsOfInstant @ stew-policy</v>
      </c>
      <c r="C517" s="2" t="s">
        <v>14702</v>
      </c>
      <c r="D517" s="2" t="s">
        <v>1567</v>
      </c>
      <c r="E517" s="2" t="s">
        <v>15271</v>
      </c>
      <c r="F517" s="2" t="s">
        <v>15272</v>
      </c>
      <c r="G517" s="2" t="s">
        <v>14591</v>
      </c>
      <c r="H517" s="3" t="str">
        <f>_xlfn.IFNA(INDEX(FieldDisagreements!C2:C999, MATCH(C517,FieldDisagreements!A2:A999, 0)), "")</f>
        <v>effortless-xlsx</v>
      </c>
      <c r="I517" s="3" t="str">
        <f>_xlfn.IFNA(INDEX(FieldDisagreements!D2:D999, MATCH(C517,FieldDisagreements!A2:A999, 0)), "")</f>
        <v>StewardshipAssignments.AsOfInstant</v>
      </c>
      <c r="J517" s="2" t="s">
        <v>1906</v>
      </c>
    </row>
    <row r="518">
      <c r="A518" s="2" t="s">
        <v>15677</v>
      </c>
      <c r="B518" s="3" t="str">
        <f>_xlfn.CONCAT(C518, " @ ", D518)</f>
        <v>effortless-xlsx|ChangeRequests.AsOfInstant @ cr-close-timestamp</v>
      </c>
      <c r="C518" s="2" t="s">
        <v>14703</v>
      </c>
      <c r="D518" s="2" t="s">
        <v>1556</v>
      </c>
      <c r="E518" s="2" t="s">
        <v>15271</v>
      </c>
      <c r="F518" s="2" t="s">
        <v>15272</v>
      </c>
      <c r="G518" s="2" t="s">
        <v>14591</v>
      </c>
      <c r="H518" s="3" t="str">
        <f>_xlfn.IFNA(INDEX(FieldDisagreements!C2:C999, MATCH(C518,FieldDisagreements!A2:A999, 0)), "")</f>
        <v>effortless-xlsx</v>
      </c>
      <c r="I518" s="3" t="str">
        <f>_xlfn.IFNA(INDEX(FieldDisagreements!D2:D999, MATCH(C518,FieldDisagreements!A2:A999, 0)), "")</f>
        <v>ChangeRequests.AsOfInstant</v>
      </c>
      <c r="J518" s="2" t="s">
        <v>1906</v>
      </c>
    </row>
    <row r="519">
      <c r="A519" s="2" t="s">
        <v>15678</v>
      </c>
      <c r="B519" s="3" t="str">
        <f>_xlfn.CONCAT(C519, " @ ", D519)</f>
        <v>effortless-xlsx|ChangeRequests.AsOfInstant @ cr-policy-delivery</v>
      </c>
      <c r="C519" s="2" t="s">
        <v>14703</v>
      </c>
      <c r="D519" s="2" t="s">
        <v>1561</v>
      </c>
      <c r="E519" s="2" t="s">
        <v>15271</v>
      </c>
      <c r="F519" s="2" t="s">
        <v>15272</v>
      </c>
      <c r="G519" s="2" t="s">
        <v>14591</v>
      </c>
      <c r="H519" s="3" t="str">
        <f>_xlfn.IFNA(INDEX(FieldDisagreements!C2:C999, MATCH(C519,FieldDisagreements!A2:A999, 0)), "")</f>
        <v>effortless-xlsx</v>
      </c>
      <c r="I519" s="3" t="str">
        <f>_xlfn.IFNA(INDEX(FieldDisagreements!D2:D999, MATCH(C519,FieldDisagreements!A2:A999, 0)), "")</f>
        <v>ChangeRequests.AsOfInstant</v>
      </c>
      <c r="J519" s="2" t="s">
        <v>1906</v>
      </c>
    </row>
    <row r="520">
      <c r="A520" s="2" t="s">
        <v>15679</v>
      </c>
      <c r="B520" s="3" t="str">
        <f>_xlfn.CONCAT(C520, " @ ", D520)</f>
        <v>effortless-xlsx|ChangeRequests.DaysPending @ cr-close-timestamp</v>
      </c>
      <c r="C520" s="2" t="s">
        <v>14704</v>
      </c>
      <c r="D520" s="2" t="s">
        <v>1556</v>
      </c>
      <c r="E520" s="2" t="s">
        <v>935</v>
      </c>
      <c r="F520" s="2" t="s">
        <v>37</v>
      </c>
      <c r="G520" s="2" t="s">
        <v>14591</v>
      </c>
      <c r="H520" s="3" t="str">
        <f>_xlfn.IFNA(INDEX(FieldDisagreements!C2:C999, MATCH(C520,FieldDisagreements!A2:A999, 0)), "")</f>
        <v>effortless-xlsx</v>
      </c>
      <c r="I520" s="3" t="str">
        <f>_xlfn.IFNA(INDEX(FieldDisagreements!D2:D999, MATCH(C520,FieldDisagreements!A2:A999, 0)), "")</f>
        <v>ChangeRequests.DaysPending</v>
      </c>
      <c r="J520" s="2" t="s">
        <v>1906</v>
      </c>
    </row>
    <row r="521">
      <c r="A521" s="2" t="s">
        <v>15680</v>
      </c>
      <c r="B521" s="3" t="str">
        <f>_xlfn.CONCAT(C521, " @ ", D521)</f>
        <v>effortless-xlsx|ChangeRequests.DecisionLatencyDays @ cr-close-timestamp</v>
      </c>
      <c r="C521" s="2" t="s">
        <v>14705</v>
      </c>
      <c r="D521" s="2" t="s">
        <v>1556</v>
      </c>
      <c r="E521" s="2" t="s">
        <v>935</v>
      </c>
      <c r="F521" s="2" t="s">
        <v>37</v>
      </c>
      <c r="G521" s="2" t="s">
        <v>14591</v>
      </c>
      <c r="H521" s="3" t="str">
        <f>_xlfn.IFNA(INDEX(FieldDisagreements!C2:C999, MATCH(C521,FieldDisagreements!A2:A999, 0)), "")</f>
        <v>effortless-xlsx</v>
      </c>
      <c r="I521" s="3" t="str">
        <f>_xlfn.IFNA(INDEX(FieldDisagreements!D2:D999, MATCH(C521,FieldDisagreements!A2:A999, 0)), "")</f>
        <v>ChangeRequests.DecisionLatencyDays</v>
      </c>
      <c r="J521" s="2" t="s">
        <v>1906</v>
      </c>
    </row>
    <row r="522">
      <c r="A522" s="2" t="s">
        <v>15681</v>
      </c>
      <c r="B522" s="3" t="str">
        <f>_xlfn.CONCAT(C522, " @ ", D522)</f>
        <v>effortless-xlsx|ReviewEvents.AsOfInstant @ review-close-q1</v>
      </c>
      <c r="C522" s="2" t="s">
        <v>14706</v>
      </c>
      <c r="D522" s="2" t="s">
        <v>1626</v>
      </c>
      <c r="E522" s="2" t="s">
        <v>15271</v>
      </c>
      <c r="F522" s="2" t="s">
        <v>15272</v>
      </c>
      <c r="G522" s="2" t="s">
        <v>14591</v>
      </c>
      <c r="H522" s="3" t="str">
        <f>_xlfn.IFNA(INDEX(FieldDisagreements!C2:C999, MATCH(C522,FieldDisagreements!A2:A999, 0)), "")</f>
        <v>effortless-xlsx</v>
      </c>
      <c r="I522" s="3" t="str">
        <f>_xlfn.IFNA(INDEX(FieldDisagreements!D2:D999, MATCH(C522,FieldDisagreements!A2:A999, 0)), "")</f>
        <v>ReviewEvents.AsOfInstant</v>
      </c>
      <c r="J522" s="2" t="s">
        <v>1906</v>
      </c>
    </row>
    <row r="523">
      <c r="A523" s="2" t="s">
        <v>15682</v>
      </c>
      <c r="B523" s="3" t="str">
        <f>_xlfn.CONCAT(C523, " @ ", D523)</f>
        <v>effortless-xlsx|ReviewEvents.AsOfInstant @ review-close-q2</v>
      </c>
      <c r="C523" s="2" t="s">
        <v>14706</v>
      </c>
      <c r="D523" s="2" t="s">
        <v>1630</v>
      </c>
      <c r="E523" s="2" t="s">
        <v>15271</v>
      </c>
      <c r="F523" s="2" t="s">
        <v>15272</v>
      </c>
      <c r="G523" s="2" t="s">
        <v>14591</v>
      </c>
      <c r="H523" s="3" t="str">
        <f>_xlfn.IFNA(INDEX(FieldDisagreements!C2:C999, MATCH(C523,FieldDisagreements!A2:A999, 0)), "")</f>
        <v>effortless-xlsx</v>
      </c>
      <c r="I523" s="3" t="str">
        <f>_xlfn.IFNA(INDEX(FieldDisagreements!D2:D999, MATCH(C523,FieldDisagreements!A2:A999, 0)), "")</f>
        <v>ReviewEvents.AsOfInstant</v>
      </c>
      <c r="J523" s="2" t="s">
        <v>1906</v>
      </c>
    </row>
    <row r="524">
      <c r="A524" s="2" t="s">
        <v>15683</v>
      </c>
      <c r="B524" s="3" t="str">
        <f>_xlfn.CONCAT(C524, " @ ", D524)</f>
        <v>effortless-xlsx|ReviewEvents.AsOfInstant @ review-policy-prelaunch</v>
      </c>
      <c r="C524" s="2" t="s">
        <v>14706</v>
      </c>
      <c r="D524" s="2" t="s">
        <v>1632</v>
      </c>
      <c r="E524" s="2" t="s">
        <v>15271</v>
      </c>
      <c r="F524" s="2" t="s">
        <v>15272</v>
      </c>
      <c r="G524" s="2" t="s">
        <v>14591</v>
      </c>
      <c r="H524" s="3" t="str">
        <f>_xlfn.IFNA(INDEX(FieldDisagreements!C2:C999, MATCH(C524,FieldDisagreements!A2:A999, 0)), "")</f>
        <v>effortless-xlsx</v>
      </c>
      <c r="I524" s="3" t="str">
        <f>_xlfn.IFNA(INDEX(FieldDisagreements!D2:D999, MATCH(C524,FieldDisagreements!A2:A999, 0)), "")</f>
        <v>ReviewEvents.AsOfInstant</v>
      </c>
      <c r="J524" s="2" t="s">
        <v>1906</v>
      </c>
    </row>
    <row r="525">
      <c r="A525" s="2" t="s">
        <v>15684</v>
      </c>
      <c r="B525" s="3" t="str">
        <f>_xlfn.CONCAT(C525, " @ ", D525)</f>
        <v>effortless-xlsx|ReviewEvents.DaysSinceReviewed @ review-close-q1</v>
      </c>
      <c r="C525" s="2" t="s">
        <v>14707</v>
      </c>
      <c r="D525" s="2" t="s">
        <v>1626</v>
      </c>
      <c r="E525" s="2" t="s">
        <v>15102</v>
      </c>
      <c r="F525" s="2" t="s">
        <v>15103</v>
      </c>
      <c r="G525" s="2" t="s">
        <v>14591</v>
      </c>
      <c r="H525" s="3" t="str">
        <f>_xlfn.IFNA(INDEX(FieldDisagreements!C2:C999, MATCH(C525,FieldDisagreements!A2:A999, 0)), "")</f>
        <v>effortless-xlsx</v>
      </c>
      <c r="I525" s="3" t="str">
        <f>_xlfn.IFNA(INDEX(FieldDisagreements!D2:D999, MATCH(C525,FieldDisagreements!A2:A999, 0)), "")</f>
        <v>ReviewEvents.DaysSinceReviewed</v>
      </c>
      <c r="J525" s="2" t="s">
        <v>1906</v>
      </c>
    </row>
    <row r="526">
      <c r="A526" s="2" t="s">
        <v>15685</v>
      </c>
      <c r="B526" s="3" t="str">
        <f>_xlfn.CONCAT(C526, " @ ", D526)</f>
        <v>effortless-xlsx|ReviewEvents.DaysSinceReviewed @ review-close-q2</v>
      </c>
      <c r="C526" s="2" t="s">
        <v>14707</v>
      </c>
      <c r="D526" s="2" t="s">
        <v>1630</v>
      </c>
      <c r="E526" s="2" t="s">
        <v>15054</v>
      </c>
      <c r="F526" s="2" t="s">
        <v>8195</v>
      </c>
      <c r="G526" s="2" t="s">
        <v>14591</v>
      </c>
      <c r="H526" s="3" t="str">
        <f>_xlfn.IFNA(INDEX(FieldDisagreements!C2:C999, MATCH(C526,FieldDisagreements!A2:A999, 0)), "")</f>
        <v>effortless-xlsx</v>
      </c>
      <c r="I526" s="3" t="str">
        <f>_xlfn.IFNA(INDEX(FieldDisagreements!D2:D999, MATCH(C526,FieldDisagreements!A2:A999, 0)), "")</f>
        <v>ReviewEvents.DaysSinceReviewed</v>
      </c>
      <c r="J526" s="2" t="s">
        <v>1906</v>
      </c>
    </row>
    <row r="527">
      <c r="A527" s="2" t="s">
        <v>15686</v>
      </c>
      <c r="B527" s="3" t="str">
        <f>_xlfn.CONCAT(C527, " @ ", D527)</f>
        <v>effortless-xlsx|ReviewEvents.DaysSinceReviewed @ review-policy-prelaunch</v>
      </c>
      <c r="C527" s="2" t="s">
        <v>14707</v>
      </c>
      <c r="D527" s="2" t="s">
        <v>1632</v>
      </c>
      <c r="E527" s="2" t="s">
        <v>935</v>
      </c>
      <c r="F527" s="2" t="s">
        <v>37</v>
      </c>
      <c r="G527" s="2" t="s">
        <v>14591</v>
      </c>
      <c r="H527" s="3" t="str">
        <f>_xlfn.IFNA(INDEX(FieldDisagreements!C2:C999, MATCH(C527,FieldDisagreements!A2:A999, 0)), "")</f>
        <v>effortless-xlsx</v>
      </c>
      <c r="I527" s="3" t="str">
        <f>_xlfn.IFNA(INDEX(FieldDisagreements!D2:D999, MATCH(C527,FieldDisagreements!A2:A999, 0)), "")</f>
        <v>ReviewEvents.DaysSinceReviewed</v>
      </c>
      <c r="J527" s="2" t="s">
        <v>1906</v>
      </c>
    </row>
    <row r="528">
      <c r="A528" s="2" t="s">
        <v>15687</v>
      </c>
      <c r="B528" s="3" t="str">
        <f>_xlfn.CONCAT(C528, " @ ", D528)</f>
        <v>effortless-xlsx|ReviewEvents.CadenceDriftDays @ review-close-q1</v>
      </c>
      <c r="C528" s="2" t="s">
        <v>14708</v>
      </c>
      <c r="D528" s="2" t="s">
        <v>1626</v>
      </c>
      <c r="E528" s="2" t="s">
        <v>15107</v>
      </c>
      <c r="F528" s="2" t="s">
        <v>15108</v>
      </c>
      <c r="G528" s="2" t="s">
        <v>14591</v>
      </c>
      <c r="H528" s="3" t="str">
        <f>_xlfn.IFNA(INDEX(FieldDisagreements!C2:C999, MATCH(C528,FieldDisagreements!A2:A999, 0)), "")</f>
        <v>effortless-xlsx</v>
      </c>
      <c r="I528" s="3" t="str">
        <f>_xlfn.IFNA(INDEX(FieldDisagreements!D2:D999, MATCH(C528,FieldDisagreements!A2:A999, 0)), "")</f>
        <v>ReviewEvents.CadenceDriftDays</v>
      </c>
      <c r="J528" s="2" t="s">
        <v>1906</v>
      </c>
    </row>
    <row r="529">
      <c r="A529" s="2" t="s">
        <v>15688</v>
      </c>
      <c r="B529" s="3" t="str">
        <f>_xlfn.CONCAT(C529, " @ ", D529)</f>
        <v>effortless-xlsx|ReviewEvents.CadenceDriftDays @ review-close-q2</v>
      </c>
      <c r="C529" s="2" t="s">
        <v>14708</v>
      </c>
      <c r="D529" s="2" t="s">
        <v>1630</v>
      </c>
      <c r="E529" s="2" t="s">
        <v>15110</v>
      </c>
      <c r="F529" s="2" t="s">
        <v>15111</v>
      </c>
      <c r="G529" s="2" t="s">
        <v>14591</v>
      </c>
      <c r="H529" s="3" t="str">
        <f>_xlfn.IFNA(INDEX(FieldDisagreements!C2:C999, MATCH(C529,FieldDisagreements!A2:A999, 0)), "")</f>
        <v>effortless-xlsx</v>
      </c>
      <c r="I529" s="3" t="str">
        <f>_xlfn.IFNA(INDEX(FieldDisagreements!D2:D999, MATCH(C529,FieldDisagreements!A2:A999, 0)), "")</f>
        <v>ReviewEvents.CadenceDriftDays</v>
      </c>
      <c r="J529" s="2" t="s">
        <v>1906</v>
      </c>
    </row>
    <row r="530">
      <c r="A530" s="2" t="s">
        <v>15689</v>
      </c>
      <c r="B530" s="3" t="str">
        <f>_xlfn.CONCAT(C530, " @ ", D530)</f>
        <v>effortless-xlsx|ReviewEvents.CadenceDriftDays @ review-policy-prelaunch</v>
      </c>
      <c r="C530" s="2" t="s">
        <v>14708</v>
      </c>
      <c r="D530" s="2" t="s">
        <v>1632</v>
      </c>
      <c r="E530" s="2" t="s">
        <v>15113</v>
      </c>
      <c r="F530" s="2" t="s">
        <v>15114</v>
      </c>
      <c r="G530" s="2" t="s">
        <v>14591</v>
      </c>
      <c r="H530" s="3" t="str">
        <f>_xlfn.IFNA(INDEX(FieldDisagreements!C2:C999, MATCH(C530,FieldDisagreements!A2:A999, 0)), "")</f>
        <v>effortless-xlsx</v>
      </c>
      <c r="I530" s="3" t="str">
        <f>_xlfn.IFNA(INDEX(FieldDisagreements!D2:D999, MATCH(C530,FieldDisagreements!A2:A999, 0)), "")</f>
        <v>ReviewEvents.CadenceDriftDays</v>
      </c>
      <c r="J530" s="2" t="s">
        <v>1906</v>
      </c>
    </row>
    <row r="531">
      <c r="A531" s="2" t="s">
        <v>15690</v>
      </c>
      <c r="B531" s="3" t="str">
        <f>_xlfn.CONCAT(C531, " @ ", D531)</f>
        <v>effortless-xlsx|LearningActivities.Name @ learn-close-retro</v>
      </c>
      <c r="C531" s="2" t="s">
        <v>14709</v>
      </c>
      <c r="D531" s="2" t="s">
        <v>1637</v>
      </c>
      <c r="E531" s="2" t="s">
        <v>15116</v>
      </c>
      <c r="F531" s="2" t="s">
        <v>15691</v>
      </c>
      <c r="G531" s="2" t="s">
        <v>14591</v>
      </c>
      <c r="H531" s="3" t="str">
        <f>_xlfn.IFNA(INDEX(FieldDisagreements!C2:C999, MATCH(C531,FieldDisagreements!A2:A999, 0)), "")</f>
        <v>effortless-xlsx</v>
      </c>
      <c r="I531" s="3" t="str">
        <f>_xlfn.IFNA(INDEX(FieldDisagreements!D2:D999, MATCH(C531,FieldDisagreements!A2:A999, 0)), "")</f>
        <v>LearningActivities.Name</v>
      </c>
      <c r="J531" s="2" t="s">
        <v>1906</v>
      </c>
    </row>
    <row r="532">
      <c r="A532" s="2" t="s">
        <v>15692</v>
      </c>
      <c r="B532" s="3" t="str">
        <f>_xlfn.CONCAT(C532, " @ ", D532)</f>
        <v>effortless-xlsx|LearningActivities.Name @ learn-policy-tabletop</v>
      </c>
      <c r="C532" s="2" t="s">
        <v>14709</v>
      </c>
      <c r="D532" s="2" t="s">
        <v>1639</v>
      </c>
      <c r="E532" s="2" t="s">
        <v>15119</v>
      </c>
      <c r="F532" s="2" t="s">
        <v>15693</v>
      </c>
      <c r="G532" s="2" t="s">
        <v>14591</v>
      </c>
      <c r="H532" s="3" t="str">
        <f>_xlfn.IFNA(INDEX(FieldDisagreements!C2:C999, MATCH(C532,FieldDisagreements!A2:A999, 0)), "")</f>
        <v>effortless-xlsx</v>
      </c>
      <c r="I532" s="3" t="str">
        <f>_xlfn.IFNA(INDEX(FieldDisagreements!D2:D999, MATCH(C532,FieldDisagreements!A2:A999, 0)), "")</f>
        <v>LearningActivities.Name</v>
      </c>
      <c r="J532" s="2" t="s">
        <v>1906</v>
      </c>
    </row>
    <row r="533">
      <c r="A533" s="2" t="s">
        <v>15694</v>
      </c>
      <c r="B533" s="3" t="str">
        <f>_xlfn.CONCAT(C533, " @ ", D533)</f>
        <v>effortless-xlsx|OperationalBindings.AsOfInstant @ bind-close-erp</v>
      </c>
      <c r="C533" s="2" t="s">
        <v>14710</v>
      </c>
      <c r="D533" s="2" t="s">
        <v>1657</v>
      </c>
      <c r="E533" s="2" t="s">
        <v>15271</v>
      </c>
      <c r="F533" s="2" t="s">
        <v>15272</v>
      </c>
      <c r="G533" s="2" t="s">
        <v>14591</v>
      </c>
      <c r="H533" s="3" t="str">
        <f>_xlfn.IFNA(INDEX(FieldDisagreements!C2:C999, MATCH(C533,FieldDisagreements!A2:A999, 0)), "")</f>
        <v>effortless-xlsx</v>
      </c>
      <c r="I533" s="3" t="str">
        <f>_xlfn.IFNA(INDEX(FieldDisagreements!D2:D999, MATCH(C533,FieldDisagreements!A2:A999, 0)), "")</f>
        <v>OperationalBindings.AsOfInstant</v>
      </c>
      <c r="J533" s="2" t="s">
        <v>1906</v>
      </c>
    </row>
    <row r="534">
      <c r="A534" s="2" t="s">
        <v>15695</v>
      </c>
      <c r="B534" s="3" t="str">
        <f>_xlfn.CONCAT(C534, " @ ", D534)</f>
        <v>effortless-xlsx|OperationalBindings.AsOfInstant @ bind-policy-consent</v>
      </c>
      <c r="C534" s="2" t="s">
        <v>14710</v>
      </c>
      <c r="D534" s="2" t="s">
        <v>1664</v>
      </c>
      <c r="E534" s="2" t="s">
        <v>15271</v>
      </c>
      <c r="F534" s="2" t="s">
        <v>15272</v>
      </c>
      <c r="G534" s="2" t="s">
        <v>14591</v>
      </c>
      <c r="H534" s="3" t="str">
        <f>_xlfn.IFNA(INDEX(FieldDisagreements!C2:C999, MATCH(C534,FieldDisagreements!A2:A999, 0)), "")</f>
        <v>effortless-xlsx</v>
      </c>
      <c r="I534" s="3" t="str">
        <f>_xlfn.IFNA(INDEX(FieldDisagreements!D2:D999, MATCH(C534,FieldDisagreements!A2:A999, 0)), "")</f>
        <v>OperationalBindings.AsOfInstant</v>
      </c>
      <c r="J534" s="2" t="s">
        <v>1906</v>
      </c>
    </row>
    <row r="535">
      <c r="A535" s="2" t="s">
        <v>15696</v>
      </c>
      <c r="B535" s="3" t="str">
        <f>_xlfn.CONCAT(C535, " @ ", D535)</f>
        <v>effortless-xlsx|OperationalBindings.AsOfInstant @ bind-policy-email</v>
      </c>
      <c r="C535" s="2" t="s">
        <v>14710</v>
      </c>
      <c r="D535" s="2" t="s">
        <v>1666</v>
      </c>
      <c r="E535" s="2" t="s">
        <v>15271</v>
      </c>
      <c r="F535" s="2" t="s">
        <v>15272</v>
      </c>
      <c r="G535" s="2" t="s">
        <v>14591</v>
      </c>
      <c r="H535" s="3" t="str">
        <f>_xlfn.IFNA(INDEX(FieldDisagreements!C2:C999, MATCH(C535,FieldDisagreements!A2:A999, 0)), "")</f>
        <v>effortless-xlsx</v>
      </c>
      <c r="I535" s="3" t="str">
        <f>_xlfn.IFNA(INDEX(FieldDisagreements!D2:D999, MATCH(C535,FieldDisagreements!A2:A999, 0)), "")</f>
        <v>OperationalBindings.AsOfInstant</v>
      </c>
      <c r="J535" s="2" t="s">
        <v>1906</v>
      </c>
    </row>
    <row r="536">
      <c r="A536" s="2" t="s">
        <v>15697</v>
      </c>
      <c r="B536" s="3" t="str">
        <f>_xlfn.CONCAT(C536, " @ ", D536)</f>
        <v>effortless-xlsx|OperationalBindings.AsOfInstant @ bind-policy-sms</v>
      </c>
      <c r="C536" s="2" t="s">
        <v>14710</v>
      </c>
      <c r="D536" s="2" t="s">
        <v>1668</v>
      </c>
      <c r="E536" s="2" t="s">
        <v>15271</v>
      </c>
      <c r="F536" s="2" t="s">
        <v>15272</v>
      </c>
      <c r="G536" s="2" t="s">
        <v>14591</v>
      </c>
      <c r="H536" s="3" t="str">
        <f>_xlfn.IFNA(INDEX(FieldDisagreements!C2:C999, MATCH(C536,FieldDisagreements!A2:A999, 0)), "")</f>
        <v>effortless-xlsx</v>
      </c>
      <c r="I536" s="3" t="str">
        <f>_xlfn.IFNA(INDEX(FieldDisagreements!D2:D999, MATCH(C536,FieldDisagreements!A2:A999, 0)), "")</f>
        <v>OperationalBindings.AsOfInstant</v>
      </c>
      <c r="J536" s="2" t="s">
        <v>1906</v>
      </c>
    </row>
    <row r="537">
      <c r="A537" s="2" t="s">
        <v>15698</v>
      </c>
      <c r="B537" s="3" t="str">
        <f>_xlfn.CONCAT(C537, " @ ", D537)</f>
        <v>effortless-xlsx|OperationalBindings.AsOfInstant @ bind-policy-ticket</v>
      </c>
      <c r="C537" s="2" t="s">
        <v>14710</v>
      </c>
      <c r="D537" s="2" t="s">
        <v>1661</v>
      </c>
      <c r="E537" s="2" t="s">
        <v>15271</v>
      </c>
      <c r="F537" s="2" t="s">
        <v>15272</v>
      </c>
      <c r="G537" s="2" t="s">
        <v>14591</v>
      </c>
      <c r="H537" s="3" t="str">
        <f>_xlfn.IFNA(INDEX(FieldDisagreements!C2:C999, MATCH(C537,FieldDisagreements!A2:A999, 0)), "")</f>
        <v>effortless-xlsx</v>
      </c>
      <c r="I537" s="3" t="str">
        <f>_xlfn.IFNA(INDEX(FieldDisagreements!D2:D999, MATCH(C537,FieldDisagreements!A2:A999, 0)), "")</f>
        <v>OperationalBindings.AsOfInstant</v>
      </c>
      <c r="J537" s="2" t="s">
        <v>1906</v>
      </c>
    </row>
    <row r="538">
      <c r="A538" s="2" t="s">
        <v>15699</v>
      </c>
      <c r="B538" s="3" t="str">
        <f>_xlfn.CONCAT(C538, " @ ", D538)</f>
        <v>effortless-xlsx|OperationalBindings.AgeMinutes @ bind-close-erp</v>
      </c>
      <c r="C538" s="2" t="s">
        <v>14711</v>
      </c>
      <c r="D538" s="2" t="s">
        <v>1657</v>
      </c>
      <c r="E538" s="2" t="s">
        <v>8195</v>
      </c>
      <c r="F538" s="2" t="s">
        <v>15478</v>
      </c>
      <c r="G538" s="2" t="s">
        <v>14591</v>
      </c>
      <c r="H538" s="3" t="str">
        <f>_xlfn.IFNA(INDEX(FieldDisagreements!C2:C999, MATCH(C538,FieldDisagreements!A2:A999, 0)), "")</f>
        <v>effortless-xlsx</v>
      </c>
      <c r="I538" s="3" t="str">
        <f>_xlfn.IFNA(INDEX(FieldDisagreements!D2:D999, MATCH(C538,FieldDisagreements!A2:A999, 0)), "")</f>
        <v>OperationalBindings.AgeMinutes</v>
      </c>
      <c r="J538" s="2" t="s">
        <v>1906</v>
      </c>
    </row>
    <row r="539">
      <c r="A539" s="2" t="s">
        <v>15700</v>
      </c>
      <c r="B539" s="3" t="str">
        <f>_xlfn.CONCAT(C539, " @ ", D539)</f>
        <v>effortless-xlsx|OperationalBindings.AgeMinutes @ bind-policy-consent</v>
      </c>
      <c r="C539" s="2" t="s">
        <v>14711</v>
      </c>
      <c r="D539" s="2" t="s">
        <v>1664</v>
      </c>
      <c r="E539" s="2" t="s">
        <v>15701</v>
      </c>
      <c r="F539" s="2" t="s">
        <v>15478</v>
      </c>
      <c r="G539" s="2" t="s">
        <v>14591</v>
      </c>
      <c r="H539" s="3" t="str">
        <f>_xlfn.IFNA(INDEX(FieldDisagreements!C2:C999, MATCH(C539,FieldDisagreements!A2:A999, 0)), "")</f>
        <v>effortless-xlsx</v>
      </c>
      <c r="I539" s="3" t="str">
        <f>_xlfn.IFNA(INDEX(FieldDisagreements!D2:D999, MATCH(C539,FieldDisagreements!A2:A999, 0)), "")</f>
        <v>OperationalBindings.AgeMinutes</v>
      </c>
      <c r="J539" s="2" t="s">
        <v>1906</v>
      </c>
    </row>
    <row r="540">
      <c r="A540" s="2" t="s">
        <v>15702</v>
      </c>
      <c r="B540" s="3" t="str">
        <f>_xlfn.CONCAT(C540, " @ ", D540)</f>
        <v>effortless-xlsx|OperationalBindings.AgeMinutes @ bind-policy-email</v>
      </c>
      <c r="C540" s="2" t="s">
        <v>14711</v>
      </c>
      <c r="D540" s="2" t="s">
        <v>1666</v>
      </c>
      <c r="E540" s="2" t="s">
        <v>15703</v>
      </c>
      <c r="F540" s="2" t="s">
        <v>15478</v>
      </c>
      <c r="G540" s="2" t="s">
        <v>14591</v>
      </c>
      <c r="H540" s="3" t="str">
        <f>_xlfn.IFNA(INDEX(FieldDisagreements!C2:C999, MATCH(C540,FieldDisagreements!A2:A999, 0)), "")</f>
        <v>effortless-xlsx</v>
      </c>
      <c r="I540" s="3" t="str">
        <f>_xlfn.IFNA(INDEX(FieldDisagreements!D2:D999, MATCH(C540,FieldDisagreements!A2:A999, 0)), "")</f>
        <v>OperationalBindings.AgeMinutes</v>
      </c>
      <c r="J540" s="2" t="s">
        <v>1906</v>
      </c>
    </row>
    <row r="541">
      <c r="A541" s="2" t="s">
        <v>15704</v>
      </c>
      <c r="B541" s="3" t="str">
        <f>_xlfn.CONCAT(C541, " @ ", D541)</f>
        <v>effortless-xlsx|OperationalBindings.AgeMinutes @ bind-policy-sms</v>
      </c>
      <c r="C541" s="2" t="s">
        <v>14711</v>
      </c>
      <c r="D541" s="2" t="s">
        <v>1668</v>
      </c>
      <c r="E541" s="2" t="s">
        <v>15703</v>
      </c>
      <c r="F541" s="2" t="s">
        <v>15478</v>
      </c>
      <c r="G541" s="2" t="s">
        <v>14591</v>
      </c>
      <c r="H541" s="3" t="str">
        <f>_xlfn.IFNA(INDEX(FieldDisagreements!C2:C999, MATCH(C541,FieldDisagreements!A2:A999, 0)), "")</f>
        <v>effortless-xlsx</v>
      </c>
      <c r="I541" s="3" t="str">
        <f>_xlfn.IFNA(INDEX(FieldDisagreements!D2:D999, MATCH(C541,FieldDisagreements!A2:A999, 0)), "")</f>
        <v>OperationalBindings.AgeMinutes</v>
      </c>
      <c r="J541" s="2" t="s">
        <v>1906</v>
      </c>
    </row>
    <row r="542">
      <c r="A542" s="2" t="s">
        <v>15705</v>
      </c>
      <c r="B542" s="3" t="str">
        <f>_xlfn.CONCAT(C542, " @ ", D542)</f>
        <v>effortless-xlsx|OperationalBindings.AgeMinutes @ bind-policy-ticket</v>
      </c>
      <c r="C542" s="2" t="s">
        <v>14711</v>
      </c>
      <c r="D542" s="2" t="s">
        <v>1661</v>
      </c>
      <c r="E542" s="2" t="s">
        <v>15078</v>
      </c>
      <c r="F542" s="2" t="s">
        <v>15478</v>
      </c>
      <c r="G542" s="2" t="s">
        <v>14591</v>
      </c>
      <c r="H542" s="3" t="str">
        <f>_xlfn.IFNA(INDEX(FieldDisagreements!C2:C999, MATCH(C542,FieldDisagreements!A2:A999, 0)), "")</f>
        <v>effortless-xlsx</v>
      </c>
      <c r="I542" s="3" t="str">
        <f>_xlfn.IFNA(INDEX(FieldDisagreements!D2:D999, MATCH(C542,FieldDisagreements!A2:A999, 0)), "")</f>
        <v>OperationalBindings.AgeMinutes</v>
      </c>
      <c r="J542" s="2" t="s">
        <v>1906</v>
      </c>
    </row>
    <row r="543">
      <c r="A543" s="2" t="s">
        <v>15706</v>
      </c>
      <c r="B543" s="3" t="str">
        <f>_xlfn.CONCAT(C543, " @ ", D543)</f>
        <v>effortless-xlsx|OperationalBindings.IsFresh @ bind-close-erp</v>
      </c>
      <c r="C543" s="2" t="s">
        <v>14712</v>
      </c>
      <c r="D543" s="2" t="s">
        <v>1657</v>
      </c>
      <c r="E543" s="2" t="s">
        <v>15057</v>
      </c>
      <c r="F543" s="2" t="s">
        <v>15478</v>
      </c>
      <c r="G543" s="2" t="s">
        <v>14591</v>
      </c>
      <c r="H543" s="3" t="str">
        <f>_xlfn.IFNA(INDEX(FieldDisagreements!C2:C999, MATCH(C543,FieldDisagreements!A2:A999, 0)), "")</f>
        <v>effortless-xlsx</v>
      </c>
      <c r="I543" s="3" t="str">
        <f>_xlfn.IFNA(INDEX(FieldDisagreements!D2:D999, MATCH(C543,FieldDisagreements!A2:A999, 0)), "")</f>
        <v>OperationalBindings.IsFresh</v>
      </c>
      <c r="J543" s="2" t="s">
        <v>1906</v>
      </c>
    </row>
    <row r="544">
      <c r="A544" s="2" t="s">
        <v>15707</v>
      </c>
      <c r="B544" s="3" t="str">
        <f>_xlfn.CONCAT(C544, " @ ", D544)</f>
        <v>effortless-xlsx|OperationalBindings.IsFresh @ bind-policy-consent</v>
      </c>
      <c r="C544" s="2" t="s">
        <v>14712</v>
      </c>
      <c r="D544" s="2" t="s">
        <v>1664</v>
      </c>
      <c r="E544" s="2" t="s">
        <v>15057</v>
      </c>
      <c r="F544" s="2" t="s">
        <v>15478</v>
      </c>
      <c r="G544" s="2" t="s">
        <v>14591</v>
      </c>
      <c r="H544" s="3" t="str">
        <f>_xlfn.IFNA(INDEX(FieldDisagreements!C2:C999, MATCH(C544,FieldDisagreements!A2:A999, 0)), "")</f>
        <v>effortless-xlsx</v>
      </c>
      <c r="I544" s="3" t="str">
        <f>_xlfn.IFNA(INDEX(FieldDisagreements!D2:D999, MATCH(C544,FieldDisagreements!A2:A999, 0)), "")</f>
        <v>OperationalBindings.IsFresh</v>
      </c>
      <c r="J544" s="2" t="s">
        <v>1906</v>
      </c>
    </row>
    <row r="545">
      <c r="A545" s="2" t="s">
        <v>15708</v>
      </c>
      <c r="B545" s="3" t="str">
        <f>_xlfn.CONCAT(C545, " @ ", D545)</f>
        <v>effortless-xlsx|OperationalBindings.IsFresh @ bind-policy-email</v>
      </c>
      <c r="C545" s="2" t="s">
        <v>14712</v>
      </c>
      <c r="D545" s="2" t="s">
        <v>1666</v>
      </c>
      <c r="E545" s="2" t="s">
        <v>15035</v>
      </c>
      <c r="F545" s="2" t="s">
        <v>15478</v>
      </c>
      <c r="G545" s="2" t="s">
        <v>14591</v>
      </c>
      <c r="H545" s="3" t="str">
        <f>_xlfn.IFNA(INDEX(FieldDisagreements!C2:C999, MATCH(C545,FieldDisagreements!A2:A999, 0)), "")</f>
        <v>effortless-xlsx</v>
      </c>
      <c r="I545" s="3" t="str">
        <f>_xlfn.IFNA(INDEX(FieldDisagreements!D2:D999, MATCH(C545,FieldDisagreements!A2:A999, 0)), "")</f>
        <v>OperationalBindings.IsFresh</v>
      </c>
      <c r="J545" s="2" t="s">
        <v>1906</v>
      </c>
    </row>
    <row r="546">
      <c r="A546" s="2" t="s">
        <v>15709</v>
      </c>
      <c r="B546" s="3" t="str">
        <f>_xlfn.CONCAT(C546, " @ ", D546)</f>
        <v>effortless-xlsx|OperationalBindings.IsFresh @ bind-policy-sms</v>
      </c>
      <c r="C546" s="2" t="s">
        <v>14712</v>
      </c>
      <c r="D546" s="2" t="s">
        <v>1668</v>
      </c>
      <c r="E546" s="2" t="s">
        <v>15035</v>
      </c>
      <c r="F546" s="2" t="s">
        <v>15478</v>
      </c>
      <c r="G546" s="2" t="s">
        <v>14591</v>
      </c>
      <c r="H546" s="3" t="str">
        <f>_xlfn.IFNA(INDEX(FieldDisagreements!C2:C999, MATCH(C546,FieldDisagreements!A2:A999, 0)), "")</f>
        <v>effortless-xlsx</v>
      </c>
      <c r="I546" s="3" t="str">
        <f>_xlfn.IFNA(INDEX(FieldDisagreements!D2:D999, MATCH(C546,FieldDisagreements!A2:A999, 0)), "")</f>
        <v>OperationalBindings.IsFresh</v>
      </c>
      <c r="J546" s="2" t="s">
        <v>1906</v>
      </c>
    </row>
    <row r="547">
      <c r="A547" s="2" t="s">
        <v>15710</v>
      </c>
      <c r="B547" s="3" t="str">
        <f>_xlfn.CONCAT(C547, " @ ", D547)</f>
        <v>effortless-xlsx|OperationalBindings.IsFresh @ bind-policy-ticket</v>
      </c>
      <c r="C547" s="2" t="s">
        <v>14712</v>
      </c>
      <c r="D547" s="2" t="s">
        <v>1661</v>
      </c>
      <c r="E547" s="2" t="s">
        <v>15057</v>
      </c>
      <c r="F547" s="2" t="s">
        <v>15478</v>
      </c>
      <c r="G547" s="2" t="s">
        <v>14591</v>
      </c>
      <c r="H547" s="3" t="str">
        <f>_xlfn.IFNA(INDEX(FieldDisagreements!C2:C999, MATCH(C547,FieldDisagreements!A2:A999, 0)), "")</f>
        <v>effortless-xlsx</v>
      </c>
      <c r="I547" s="3" t="str">
        <f>_xlfn.IFNA(INDEX(FieldDisagreements!D2:D999, MATCH(C547,FieldDisagreements!A2:A999, 0)), "")</f>
        <v>OperationalBindings.IsFresh</v>
      </c>
      <c r="J547" s="2" t="s">
        <v>1906</v>
      </c>
    </row>
    <row r="548">
      <c r="A548" s="2" t="s">
        <v>15711</v>
      </c>
      <c r="B548" s="3" t="str">
        <f>_xlfn.CONCAT(C548, " @ ", D548)</f>
        <v>effortless-xlsx|OperationalBindings.StaleBindingStepKey @ bind-close-erp</v>
      </c>
      <c r="C548" s="2" t="s">
        <v>14713</v>
      </c>
      <c r="D548" s="2" t="s">
        <v>1657</v>
      </c>
      <c r="E548" s="2" t="s">
        <v>15712</v>
      </c>
      <c r="F548" s="2" t="s">
        <v>15478</v>
      </c>
      <c r="G548" s="2" t="s">
        <v>14591</v>
      </c>
      <c r="H548" s="3" t="str">
        <f>_xlfn.IFNA(INDEX(FieldDisagreements!C2:C999, MATCH(C548,FieldDisagreements!A2:A999, 0)), "")</f>
        <v>effortless-xlsx</v>
      </c>
      <c r="I548" s="3" t="str">
        <f>_xlfn.IFNA(INDEX(FieldDisagreements!D2:D999, MATCH(C548,FieldDisagreements!A2:A999, 0)), "")</f>
        <v>OperationalBindings.StaleBindingStepKey</v>
      </c>
      <c r="J548" s="2" t="s">
        <v>1906</v>
      </c>
    </row>
    <row r="549">
      <c r="A549" s="2" t="s">
        <v>15713</v>
      </c>
      <c r="B549" s="3" t="str">
        <f>_xlfn.CONCAT(C549, " @ ", D549)</f>
        <v>effortless-xlsx|OperationalBindings.StaleBindingStepKey @ bind-policy-consent</v>
      </c>
      <c r="C549" s="2" t="s">
        <v>14713</v>
      </c>
      <c r="D549" s="2" t="s">
        <v>1664</v>
      </c>
      <c r="E549" s="2" t="s">
        <v>15714</v>
      </c>
      <c r="F549" s="2" t="s">
        <v>15478</v>
      </c>
      <c r="G549" s="2" t="s">
        <v>14591</v>
      </c>
      <c r="H549" s="3" t="str">
        <f>_xlfn.IFNA(INDEX(FieldDisagreements!C2:C999, MATCH(C549,FieldDisagreements!A2:A999, 0)), "")</f>
        <v>effortless-xlsx</v>
      </c>
      <c r="I549" s="3" t="str">
        <f>_xlfn.IFNA(INDEX(FieldDisagreements!D2:D999, MATCH(C549,FieldDisagreements!A2:A999, 0)), "")</f>
        <v>OperationalBindings.StaleBindingStepKey</v>
      </c>
      <c r="J549" s="2" t="s">
        <v>1906</v>
      </c>
    </row>
    <row r="550">
      <c r="A550" s="2" t="s">
        <v>15715</v>
      </c>
      <c r="B550" s="3" t="str">
        <f>_xlfn.CONCAT(C550, " @ ", D550)</f>
        <v>effortless-xlsx|OperationalBindings.StaleBindingStepKey @ bind-policy-email</v>
      </c>
      <c r="C550" s="2" t="s">
        <v>14713</v>
      </c>
      <c r="D550" s="2" t="s">
        <v>1666</v>
      </c>
      <c r="E550" s="2" t="s">
        <v>15036</v>
      </c>
      <c r="F550" s="2" t="s">
        <v>15478</v>
      </c>
      <c r="G550" s="2" t="s">
        <v>14591</v>
      </c>
      <c r="H550" s="3" t="str">
        <f>_xlfn.IFNA(INDEX(FieldDisagreements!C2:C999, MATCH(C550,FieldDisagreements!A2:A999, 0)), "")</f>
        <v>effortless-xlsx</v>
      </c>
      <c r="I550" s="3" t="str">
        <f>_xlfn.IFNA(INDEX(FieldDisagreements!D2:D999, MATCH(C550,FieldDisagreements!A2:A999, 0)), "")</f>
        <v>OperationalBindings.StaleBindingStepKey</v>
      </c>
      <c r="J550" s="2" t="s">
        <v>1906</v>
      </c>
    </row>
    <row r="551">
      <c r="A551" s="2" t="s">
        <v>15716</v>
      </c>
      <c r="B551" s="3" t="str">
        <f>_xlfn.CONCAT(C551, " @ ", D551)</f>
        <v>effortless-xlsx|OperationalBindings.StaleBindingStepKey @ bind-policy-sms</v>
      </c>
      <c r="C551" s="2" t="s">
        <v>14713</v>
      </c>
      <c r="D551" s="2" t="s">
        <v>1668</v>
      </c>
      <c r="E551" s="2" t="s">
        <v>15036</v>
      </c>
      <c r="F551" s="2" t="s">
        <v>15478</v>
      </c>
      <c r="G551" s="2" t="s">
        <v>14591</v>
      </c>
      <c r="H551" s="3" t="str">
        <f>_xlfn.IFNA(INDEX(FieldDisagreements!C2:C999, MATCH(C551,FieldDisagreements!A2:A999, 0)), "")</f>
        <v>effortless-xlsx</v>
      </c>
      <c r="I551" s="3" t="str">
        <f>_xlfn.IFNA(INDEX(FieldDisagreements!D2:D999, MATCH(C551,FieldDisagreements!A2:A999, 0)), "")</f>
        <v>OperationalBindings.StaleBindingStepKey</v>
      </c>
      <c r="J551" s="2" t="s">
        <v>1906</v>
      </c>
    </row>
    <row r="552">
      <c r="A552" s="2" t="s">
        <v>15717</v>
      </c>
      <c r="B552" s="3" t="str">
        <f>_xlfn.CONCAT(C552, " @ ", D552)</f>
        <v>effortless-xlsx|OperationalBindings.StaleBindingStepKey @ bind-policy-ticket</v>
      </c>
      <c r="C552" s="2" t="s">
        <v>14713</v>
      </c>
      <c r="D552" s="2" t="s">
        <v>1661</v>
      </c>
      <c r="E552" s="2" t="s">
        <v>15718</v>
      </c>
      <c r="F552" s="2" t="s">
        <v>15478</v>
      </c>
      <c r="G552" s="2" t="s">
        <v>14591</v>
      </c>
      <c r="H552" s="3" t="str">
        <f>_xlfn.IFNA(INDEX(FieldDisagreements!C2:C999, MATCH(C552,FieldDisagreements!A2:A999, 0)), "")</f>
        <v>effortless-xlsx</v>
      </c>
      <c r="I552" s="3" t="str">
        <f>_xlfn.IFNA(INDEX(FieldDisagreements!D2:D999, MATCH(C552,FieldDisagreements!A2:A999, 0)), "")</f>
        <v>OperationalBindings.StaleBindingStepKey</v>
      </c>
      <c r="J552" s="2" t="s">
        <v>1906</v>
      </c>
    </row>
    <row r="553">
      <c r="A553" s="2" t="s">
        <v>15719</v>
      </c>
      <c r="B553" s="3" t="str">
        <f>_xlfn.CONCAT(C553, " @ ", D553)</f>
        <v>effortless-xlsx|OperationalBindings.AuthoritativeStaleStepKey @ bind-close-erp</v>
      </c>
      <c r="C553" s="2" t="s">
        <v>14714</v>
      </c>
      <c r="D553" s="2" t="s">
        <v>1657</v>
      </c>
      <c r="E553" s="2" t="s">
        <v>15712</v>
      </c>
      <c r="F553" s="2" t="s">
        <v>15478</v>
      </c>
      <c r="G553" s="2" t="s">
        <v>14591</v>
      </c>
      <c r="H553" s="3" t="str">
        <f>_xlfn.IFNA(INDEX(FieldDisagreements!C2:C999, MATCH(C553,FieldDisagreements!A2:A999, 0)), "")</f>
        <v>effortless-xlsx</v>
      </c>
      <c r="I553" s="3" t="str">
        <f>_xlfn.IFNA(INDEX(FieldDisagreements!D2:D999, MATCH(C553,FieldDisagreements!A2:A999, 0)), "")</f>
        <v>OperationalBindings.AuthoritativeStaleStepKey</v>
      </c>
      <c r="J553" s="2" t="s">
        <v>1906</v>
      </c>
    </row>
    <row r="554">
      <c r="A554" s="2" t="s">
        <v>15720</v>
      </c>
      <c r="B554" s="3" t="str">
        <f>_xlfn.CONCAT(C554, " @ ", D554)</f>
        <v>effortless-xlsx|OperationalBindings.AuthoritativeStaleStepKey @ bind-policy-consent</v>
      </c>
      <c r="C554" s="2" t="s">
        <v>14714</v>
      </c>
      <c r="D554" s="2" t="s">
        <v>1664</v>
      </c>
      <c r="E554" s="2" t="s">
        <v>15714</v>
      </c>
      <c r="F554" s="2" t="s">
        <v>15478</v>
      </c>
      <c r="G554" s="2" t="s">
        <v>14591</v>
      </c>
      <c r="H554" s="3" t="str">
        <f>_xlfn.IFNA(INDEX(FieldDisagreements!C2:C999, MATCH(C554,FieldDisagreements!A2:A999, 0)), "")</f>
        <v>effortless-xlsx</v>
      </c>
      <c r="I554" s="3" t="str">
        <f>_xlfn.IFNA(INDEX(FieldDisagreements!D2:D999, MATCH(C554,FieldDisagreements!A2:A999, 0)), "")</f>
        <v>OperationalBindings.AuthoritativeStaleStepKey</v>
      </c>
      <c r="J554" s="2" t="s">
        <v>1906</v>
      </c>
    </row>
    <row r="555">
      <c r="A555" s="2" t="s">
        <v>15721</v>
      </c>
      <c r="B555" s="3" t="str">
        <f>_xlfn.CONCAT(C555, " @ ", D555)</f>
        <v>effortless-xlsx|OperationalBindings.AuthoritativeStaleStepKey @ bind-policy-email</v>
      </c>
      <c r="C555" s="2" t="s">
        <v>14714</v>
      </c>
      <c r="D555" s="2" t="s">
        <v>1666</v>
      </c>
      <c r="E555" s="2" t="s">
        <v>15036</v>
      </c>
      <c r="F555" s="2" t="s">
        <v>15478</v>
      </c>
      <c r="G555" s="2" t="s">
        <v>14591</v>
      </c>
      <c r="H555" s="3" t="str">
        <f>_xlfn.IFNA(INDEX(FieldDisagreements!C2:C999, MATCH(C555,FieldDisagreements!A2:A999, 0)), "")</f>
        <v>effortless-xlsx</v>
      </c>
      <c r="I555" s="3" t="str">
        <f>_xlfn.IFNA(INDEX(FieldDisagreements!D2:D999, MATCH(C555,FieldDisagreements!A2:A999, 0)), "")</f>
        <v>OperationalBindings.AuthoritativeStaleStepKey</v>
      </c>
      <c r="J555" s="2" t="s">
        <v>1906</v>
      </c>
    </row>
    <row r="556">
      <c r="A556" s="2" t="s">
        <v>15722</v>
      </c>
      <c r="B556" s="3" t="str">
        <f>_xlfn.CONCAT(C556, " @ ", D556)</f>
        <v>effortless-xlsx|OperationalBindings.AuthoritativeStaleStepKey @ bind-policy-sms</v>
      </c>
      <c r="C556" s="2" t="s">
        <v>14714</v>
      </c>
      <c r="D556" s="2" t="s">
        <v>1668</v>
      </c>
      <c r="E556" s="2" t="s">
        <v>15036</v>
      </c>
      <c r="F556" s="2" t="s">
        <v>15478</v>
      </c>
      <c r="G556" s="2" t="s">
        <v>14591</v>
      </c>
      <c r="H556" s="3" t="str">
        <f>_xlfn.IFNA(INDEX(FieldDisagreements!C2:C999, MATCH(C556,FieldDisagreements!A2:A999, 0)), "")</f>
        <v>effortless-xlsx</v>
      </c>
      <c r="I556" s="3" t="str">
        <f>_xlfn.IFNA(INDEX(FieldDisagreements!D2:D999, MATCH(C556,FieldDisagreements!A2:A999, 0)), "")</f>
        <v>OperationalBindings.AuthoritativeStaleStepKey</v>
      </c>
      <c r="J556" s="2" t="s">
        <v>1906</v>
      </c>
    </row>
    <row r="557">
      <c r="A557" s="2" t="s">
        <v>15723</v>
      </c>
      <c r="B557" s="3" t="str">
        <f>_xlfn.CONCAT(C557, " @ ", D557)</f>
        <v>effortless-xlsx|OperationalBindings.AuthoritativeStaleStepKey @ bind-policy-ticket</v>
      </c>
      <c r="C557" s="2" t="s">
        <v>14714</v>
      </c>
      <c r="D557" s="2" t="s">
        <v>1661</v>
      </c>
      <c r="E557" s="2" t="s">
        <v>15718</v>
      </c>
      <c r="F557" s="2" t="s">
        <v>15478</v>
      </c>
      <c r="G557" s="2" t="s">
        <v>14591</v>
      </c>
      <c r="H557" s="3" t="str">
        <f>_xlfn.IFNA(INDEX(FieldDisagreements!C2:C999, MATCH(C557,FieldDisagreements!A2:A999, 0)), "")</f>
        <v>effortless-xlsx</v>
      </c>
      <c r="I557" s="3" t="str">
        <f>_xlfn.IFNA(INDEX(FieldDisagreements!D2:D999, MATCH(C557,FieldDisagreements!A2:A999, 0)), "")</f>
        <v>OperationalBindings.AuthoritativeStaleStepKey</v>
      </c>
      <c r="J557" s="2" t="s">
        <v>1906</v>
      </c>
    </row>
    <row r="558">
      <c r="A558" s="2" t="s">
        <v>15724</v>
      </c>
      <c r="B558" s="3" t="str">
        <f>_xlfn.CONCAT(C558, " @ ", D558)</f>
        <v>effortless-xlsx|OperationalBindings.IsStaleAndAuthoritative @ bind-close-erp</v>
      </c>
      <c r="C558" s="2" t="s">
        <v>14715</v>
      </c>
      <c r="D558" s="2" t="s">
        <v>1657</v>
      </c>
      <c r="E558" s="2" t="s">
        <v>15035</v>
      </c>
      <c r="F558" s="2" t="s">
        <v>15478</v>
      </c>
      <c r="G558" s="2" t="s">
        <v>14591</v>
      </c>
      <c r="H558" s="3" t="str">
        <f>_xlfn.IFNA(INDEX(FieldDisagreements!C2:C999, MATCH(C558,FieldDisagreements!A2:A999, 0)), "")</f>
        <v>effortless-xlsx</v>
      </c>
      <c r="I558" s="3" t="str">
        <f>_xlfn.IFNA(INDEX(FieldDisagreements!D2:D999, MATCH(C558,FieldDisagreements!A2:A999, 0)), "")</f>
        <v>OperationalBindings.IsStaleAndAuthoritative</v>
      </c>
      <c r="J558" s="2" t="s">
        <v>1906</v>
      </c>
    </row>
    <row r="559">
      <c r="A559" s="2" t="s">
        <v>15725</v>
      </c>
      <c r="B559" s="3" t="str">
        <f>_xlfn.CONCAT(C559, " @ ", D559)</f>
        <v>effortless-xlsx|OperationalBindings.IsStaleAndAuthoritative @ bind-policy-consent</v>
      </c>
      <c r="C559" s="2" t="s">
        <v>14715</v>
      </c>
      <c r="D559" s="2" t="s">
        <v>1664</v>
      </c>
      <c r="E559" s="2" t="s">
        <v>15035</v>
      </c>
      <c r="F559" s="2" t="s">
        <v>15478</v>
      </c>
      <c r="G559" s="2" t="s">
        <v>14591</v>
      </c>
      <c r="H559" s="3" t="str">
        <f>_xlfn.IFNA(INDEX(FieldDisagreements!C2:C999, MATCH(C559,FieldDisagreements!A2:A999, 0)), "")</f>
        <v>effortless-xlsx</v>
      </c>
      <c r="I559" s="3" t="str">
        <f>_xlfn.IFNA(INDEX(FieldDisagreements!D2:D999, MATCH(C559,FieldDisagreements!A2:A999, 0)), "")</f>
        <v>OperationalBindings.IsStaleAndAuthoritative</v>
      </c>
      <c r="J559" s="2" t="s">
        <v>1906</v>
      </c>
    </row>
    <row r="560">
      <c r="A560" s="2" t="s">
        <v>15726</v>
      </c>
      <c r="B560" s="3" t="str">
        <f>_xlfn.CONCAT(C560, " @ ", D560)</f>
        <v>effortless-xlsx|OperationalBindings.IsStaleAndAuthoritative @ bind-policy-email</v>
      </c>
      <c r="C560" s="2" t="s">
        <v>14715</v>
      </c>
      <c r="D560" s="2" t="s">
        <v>1666</v>
      </c>
      <c r="E560" s="2" t="s">
        <v>15057</v>
      </c>
      <c r="F560" s="2" t="s">
        <v>15478</v>
      </c>
      <c r="G560" s="2" t="s">
        <v>14591</v>
      </c>
      <c r="H560" s="3" t="str">
        <f>_xlfn.IFNA(INDEX(FieldDisagreements!C2:C999, MATCH(C560,FieldDisagreements!A2:A999, 0)), "")</f>
        <v>effortless-xlsx</v>
      </c>
      <c r="I560" s="3" t="str">
        <f>_xlfn.IFNA(INDEX(FieldDisagreements!D2:D999, MATCH(C560,FieldDisagreements!A2:A999, 0)), "")</f>
        <v>OperationalBindings.IsStaleAndAuthoritative</v>
      </c>
      <c r="J560" s="2" t="s">
        <v>1906</v>
      </c>
    </row>
    <row r="561">
      <c r="A561" s="2" t="s">
        <v>15727</v>
      </c>
      <c r="B561" s="3" t="str">
        <f>_xlfn.CONCAT(C561, " @ ", D561)</f>
        <v>effortless-xlsx|OperationalBindings.IsStaleAndAuthoritative @ bind-policy-sms</v>
      </c>
      <c r="C561" s="2" t="s">
        <v>14715</v>
      </c>
      <c r="D561" s="2" t="s">
        <v>1668</v>
      </c>
      <c r="E561" s="2" t="s">
        <v>15057</v>
      </c>
      <c r="F561" s="2" t="s">
        <v>15478</v>
      </c>
      <c r="G561" s="2" t="s">
        <v>14591</v>
      </c>
      <c r="H561" s="3" t="str">
        <f>_xlfn.IFNA(INDEX(FieldDisagreements!C2:C999, MATCH(C561,FieldDisagreements!A2:A999, 0)), "")</f>
        <v>effortless-xlsx</v>
      </c>
      <c r="I561" s="3" t="str">
        <f>_xlfn.IFNA(INDEX(FieldDisagreements!D2:D999, MATCH(C561,FieldDisagreements!A2:A999, 0)), "")</f>
        <v>OperationalBindings.IsStaleAndAuthoritative</v>
      </c>
      <c r="J561" s="2" t="s">
        <v>1906</v>
      </c>
    </row>
    <row r="562">
      <c r="A562" s="2" t="s">
        <v>15728</v>
      </c>
      <c r="B562" s="3" t="str">
        <f>_xlfn.CONCAT(C562, " @ ", D562)</f>
        <v>effortless-xlsx|OperationalBindings.IsStaleAndAuthoritative @ bind-policy-ticket</v>
      </c>
      <c r="C562" s="2" t="s">
        <v>14715</v>
      </c>
      <c r="D562" s="2" t="s">
        <v>1661</v>
      </c>
      <c r="E562" s="2" t="s">
        <v>15035</v>
      </c>
      <c r="F562" s="2" t="s">
        <v>15478</v>
      </c>
      <c r="G562" s="2" t="s">
        <v>14591</v>
      </c>
      <c r="H562" s="3" t="str">
        <f>_xlfn.IFNA(INDEX(FieldDisagreements!C2:C999, MATCH(C562,FieldDisagreements!A2:A999, 0)), "")</f>
        <v>effortless-xlsx</v>
      </c>
      <c r="I562" s="3" t="str">
        <f>_xlfn.IFNA(INDEX(FieldDisagreements!D2:D999, MATCH(C562,FieldDisagreements!A2:A999, 0)), "")</f>
        <v>OperationalBindings.IsStaleAndAuthoritative</v>
      </c>
      <c r="J562" s="2" t="s">
        <v>1906</v>
      </c>
    </row>
    <row r="563">
      <c r="A563" s="2" t="s">
        <v>15729</v>
      </c>
      <c r="B563" s="3" t="str">
        <f>_xlfn.CONCAT(C563, " @ ", D563)</f>
        <v>effortless-xlsx|OperationalBindings.StepWhenStale @ bind-close-erp</v>
      </c>
      <c r="C563" s="2" t="s">
        <v>14716</v>
      </c>
      <c r="D563" s="2" t="s">
        <v>1657</v>
      </c>
      <c r="E563" s="2" t="s">
        <v>15712</v>
      </c>
      <c r="F563" s="2" t="s">
        <v>15478</v>
      </c>
      <c r="G563" s="2" t="s">
        <v>14591</v>
      </c>
      <c r="H563" s="3" t="str">
        <f>_xlfn.IFNA(INDEX(FieldDisagreements!C2:C999, MATCH(C563,FieldDisagreements!A2:A999, 0)), "")</f>
        <v>effortless-xlsx</v>
      </c>
      <c r="I563" s="3" t="str">
        <f>_xlfn.IFNA(INDEX(FieldDisagreements!D2:D999, MATCH(C563,FieldDisagreements!A2:A999, 0)), "")</f>
        <v>OperationalBindings.StepWhenStale</v>
      </c>
      <c r="J563" s="2" t="s">
        <v>1906</v>
      </c>
    </row>
    <row r="564">
      <c r="A564" s="2" t="s">
        <v>15730</v>
      </c>
      <c r="B564" s="3" t="str">
        <f>_xlfn.CONCAT(C564, " @ ", D564)</f>
        <v>effortless-xlsx|OperationalBindings.StepWhenStale @ bind-policy-consent</v>
      </c>
      <c r="C564" s="2" t="s">
        <v>14716</v>
      </c>
      <c r="D564" s="2" t="s">
        <v>1664</v>
      </c>
      <c r="E564" s="2" t="s">
        <v>15714</v>
      </c>
      <c r="F564" s="2" t="s">
        <v>15478</v>
      </c>
      <c r="G564" s="2" t="s">
        <v>14591</v>
      </c>
      <c r="H564" s="3" t="str">
        <f>_xlfn.IFNA(INDEX(FieldDisagreements!C2:C999, MATCH(C564,FieldDisagreements!A2:A999, 0)), "")</f>
        <v>effortless-xlsx</v>
      </c>
      <c r="I564" s="3" t="str">
        <f>_xlfn.IFNA(INDEX(FieldDisagreements!D2:D999, MATCH(C564,FieldDisagreements!A2:A999, 0)), "")</f>
        <v>OperationalBindings.StepWhenStale</v>
      </c>
      <c r="J564" s="2" t="s">
        <v>1906</v>
      </c>
    </row>
    <row r="565">
      <c r="A565" s="2" t="s">
        <v>15731</v>
      </c>
      <c r="B565" s="3" t="str">
        <f>_xlfn.CONCAT(C565, " @ ", D565)</f>
        <v>effortless-xlsx|OperationalBindings.StepWhenStale @ bind-policy-email</v>
      </c>
      <c r="C565" s="2" t="s">
        <v>14716</v>
      </c>
      <c r="D565" s="2" t="s">
        <v>1666</v>
      </c>
      <c r="E565" s="2" t="s">
        <v>15036</v>
      </c>
      <c r="F565" s="2" t="s">
        <v>15478</v>
      </c>
      <c r="G565" s="2" t="s">
        <v>14591</v>
      </c>
      <c r="H565" s="3" t="str">
        <f>_xlfn.IFNA(INDEX(FieldDisagreements!C2:C999, MATCH(C565,FieldDisagreements!A2:A999, 0)), "")</f>
        <v>effortless-xlsx</v>
      </c>
      <c r="I565" s="3" t="str">
        <f>_xlfn.IFNA(INDEX(FieldDisagreements!D2:D999, MATCH(C565,FieldDisagreements!A2:A999, 0)), "")</f>
        <v>OperationalBindings.StepWhenStale</v>
      </c>
      <c r="J565" s="2" t="s">
        <v>1906</v>
      </c>
    </row>
    <row r="566">
      <c r="A566" s="2" t="s">
        <v>15732</v>
      </c>
      <c r="B566" s="3" t="str">
        <f>_xlfn.CONCAT(C566, " @ ", D566)</f>
        <v>effortless-xlsx|OperationalBindings.StepWhenStale @ bind-policy-sms</v>
      </c>
      <c r="C566" s="2" t="s">
        <v>14716</v>
      </c>
      <c r="D566" s="2" t="s">
        <v>1668</v>
      </c>
      <c r="E566" s="2" t="s">
        <v>15036</v>
      </c>
      <c r="F566" s="2" t="s">
        <v>15478</v>
      </c>
      <c r="G566" s="2" t="s">
        <v>14591</v>
      </c>
      <c r="H566" s="3" t="str">
        <f>_xlfn.IFNA(INDEX(FieldDisagreements!C2:C999, MATCH(C566,FieldDisagreements!A2:A999, 0)), "")</f>
        <v>effortless-xlsx</v>
      </c>
      <c r="I566" s="3" t="str">
        <f>_xlfn.IFNA(INDEX(FieldDisagreements!D2:D999, MATCH(C566,FieldDisagreements!A2:A999, 0)), "")</f>
        <v>OperationalBindings.StepWhenStale</v>
      </c>
      <c r="J566" s="2" t="s">
        <v>1906</v>
      </c>
    </row>
    <row r="567">
      <c r="A567" s="2" t="s">
        <v>15733</v>
      </c>
      <c r="B567" s="3" t="str">
        <f>_xlfn.CONCAT(C567, " @ ", D567)</f>
        <v>effortless-xlsx|OperationalBindings.StepWhenStale @ bind-policy-ticket</v>
      </c>
      <c r="C567" s="2" t="s">
        <v>14716</v>
      </c>
      <c r="D567" s="2" t="s">
        <v>1661</v>
      </c>
      <c r="E567" s="2" t="s">
        <v>15718</v>
      </c>
      <c r="F567" s="2" t="s">
        <v>15478</v>
      </c>
      <c r="G567" s="2" t="s">
        <v>14591</v>
      </c>
      <c r="H567" s="3" t="str">
        <f>_xlfn.IFNA(INDEX(FieldDisagreements!C2:C999, MATCH(C567,FieldDisagreements!A2:A999, 0)), "")</f>
        <v>effortless-xlsx</v>
      </c>
      <c r="I567" s="3" t="str">
        <f>_xlfn.IFNA(INDEX(FieldDisagreements!D2:D999, MATCH(C567,FieldDisagreements!A2:A999, 0)), "")</f>
        <v>OperationalBindings.StepWhenStale</v>
      </c>
      <c r="J567" s="2" t="s">
        <v>1906</v>
      </c>
    </row>
    <row r="568">
      <c r="A568" s="2" t="s">
        <v>15734</v>
      </c>
      <c r="B568" s="3" t="str">
        <f>_xlfn.CONCAT(C568, " @ ", D568)</f>
        <v>effortless-xlsx|OperationalBindings.IsUsableForDrafting @ bind-close-erp</v>
      </c>
      <c r="C568" s="2" t="s">
        <v>14717</v>
      </c>
      <c r="D568" s="2" t="s">
        <v>1657</v>
      </c>
      <c r="E568" s="2" t="s">
        <v>15057</v>
      </c>
      <c r="F568" s="2" t="s">
        <v>15478</v>
      </c>
      <c r="G568" s="2" t="s">
        <v>14591</v>
      </c>
      <c r="H568" s="3" t="str">
        <f>_xlfn.IFNA(INDEX(FieldDisagreements!C2:C999, MATCH(C568,FieldDisagreements!A2:A999, 0)), "")</f>
        <v>effortless-xlsx</v>
      </c>
      <c r="I568" s="3" t="str">
        <f>_xlfn.IFNA(INDEX(FieldDisagreements!D2:D999, MATCH(C568,FieldDisagreements!A2:A999, 0)), "")</f>
        <v>OperationalBindings.IsUsableForDrafting</v>
      </c>
      <c r="J568" s="2" t="s">
        <v>1906</v>
      </c>
    </row>
    <row r="569">
      <c r="A569" s="2" t="s">
        <v>15735</v>
      </c>
      <c r="B569" s="3" t="str">
        <f>_xlfn.CONCAT(C569, " @ ", D569)</f>
        <v>effortless-xlsx|OperationalBindings.IsUsableForDrafting @ bind-policy-consent</v>
      </c>
      <c r="C569" s="2" t="s">
        <v>14717</v>
      </c>
      <c r="D569" s="2" t="s">
        <v>1664</v>
      </c>
      <c r="E569" s="2" t="s">
        <v>15057</v>
      </c>
      <c r="F569" s="2" t="s">
        <v>15478</v>
      </c>
      <c r="G569" s="2" t="s">
        <v>14591</v>
      </c>
      <c r="H569" s="3" t="str">
        <f>_xlfn.IFNA(INDEX(FieldDisagreements!C2:C999, MATCH(C569,FieldDisagreements!A2:A999, 0)), "")</f>
        <v>effortless-xlsx</v>
      </c>
      <c r="I569" s="3" t="str">
        <f>_xlfn.IFNA(INDEX(FieldDisagreements!D2:D999, MATCH(C569,FieldDisagreements!A2:A999, 0)), "")</f>
        <v>OperationalBindings.IsUsableForDrafting</v>
      </c>
      <c r="J569" s="2" t="s">
        <v>1906</v>
      </c>
    </row>
    <row r="570">
      <c r="A570" s="2" t="s">
        <v>15736</v>
      </c>
      <c r="B570" s="3" t="str">
        <f>_xlfn.CONCAT(C570, " @ ", D570)</f>
        <v>effortless-xlsx|OperationalBindings.IsUsableForDrafting @ bind-policy-email</v>
      </c>
      <c r="C570" s="2" t="s">
        <v>14717</v>
      </c>
      <c r="D570" s="2" t="s">
        <v>1666</v>
      </c>
      <c r="E570" s="2" t="s">
        <v>15057</v>
      </c>
      <c r="F570" s="2" t="s">
        <v>15478</v>
      </c>
      <c r="G570" s="2" t="s">
        <v>14591</v>
      </c>
      <c r="H570" s="3" t="str">
        <f>_xlfn.IFNA(INDEX(FieldDisagreements!C2:C999, MATCH(C570,FieldDisagreements!A2:A999, 0)), "")</f>
        <v>effortless-xlsx</v>
      </c>
      <c r="I570" s="3" t="str">
        <f>_xlfn.IFNA(INDEX(FieldDisagreements!D2:D999, MATCH(C570,FieldDisagreements!A2:A999, 0)), "")</f>
        <v>OperationalBindings.IsUsableForDrafting</v>
      </c>
      <c r="J570" s="2" t="s">
        <v>1906</v>
      </c>
    </row>
    <row r="571">
      <c r="A571" s="2" t="s">
        <v>15737</v>
      </c>
      <c r="B571" s="3" t="str">
        <f>_xlfn.CONCAT(C571, " @ ", D571)</f>
        <v>effortless-xlsx|OperationalBindings.IsUsableForDrafting @ bind-policy-sms</v>
      </c>
      <c r="C571" s="2" t="s">
        <v>14717</v>
      </c>
      <c r="D571" s="2" t="s">
        <v>1668</v>
      </c>
      <c r="E571" s="2" t="s">
        <v>15057</v>
      </c>
      <c r="F571" s="2" t="s">
        <v>15478</v>
      </c>
      <c r="G571" s="2" t="s">
        <v>14591</v>
      </c>
      <c r="H571" s="3" t="str">
        <f>_xlfn.IFNA(INDEX(FieldDisagreements!C2:C999, MATCH(C571,FieldDisagreements!A2:A999, 0)), "")</f>
        <v>effortless-xlsx</v>
      </c>
      <c r="I571" s="3" t="str">
        <f>_xlfn.IFNA(INDEX(FieldDisagreements!D2:D999, MATCH(C571,FieldDisagreements!A2:A999, 0)), "")</f>
        <v>OperationalBindings.IsUsableForDrafting</v>
      </c>
      <c r="J571" s="2" t="s">
        <v>1906</v>
      </c>
    </row>
    <row r="572">
      <c r="A572" s="2" t="s">
        <v>15738</v>
      </c>
      <c r="B572" s="3" t="str">
        <f>_xlfn.CONCAT(C572, " @ ", D572)</f>
        <v>effortless-xlsx|OperationalBindings.IsUsableForDrafting @ bind-policy-ticket</v>
      </c>
      <c r="C572" s="2" t="s">
        <v>14717</v>
      </c>
      <c r="D572" s="2" t="s">
        <v>1661</v>
      </c>
      <c r="E572" s="2" t="s">
        <v>15057</v>
      </c>
      <c r="F572" s="2" t="s">
        <v>15478</v>
      </c>
      <c r="G572" s="2" t="s">
        <v>14591</v>
      </c>
      <c r="H572" s="3" t="str">
        <f>_xlfn.IFNA(INDEX(FieldDisagreements!C2:C999, MATCH(C572,FieldDisagreements!A2:A999, 0)), "")</f>
        <v>effortless-xlsx</v>
      </c>
      <c r="I572" s="3" t="str">
        <f>_xlfn.IFNA(INDEX(FieldDisagreements!D2:D999, MATCH(C572,FieldDisagreements!A2:A999, 0)), "")</f>
        <v>OperationalBindings.IsUsableForDrafting</v>
      </c>
      <c r="J572" s="2" t="s">
        <v>1906</v>
      </c>
    </row>
    <row r="573">
      <c r="A573" s="2" t="s">
        <v>15739</v>
      </c>
      <c r="B573" s="3" t="str">
        <f>_xlfn.CONCAT(C573, " @ ", D573)</f>
        <v>effortless-xlsx|OperationalBindings.StepWhenUnusable @ bind-close-erp</v>
      </c>
      <c r="C573" s="2" t="s">
        <v>14718</v>
      </c>
      <c r="D573" s="2" t="s">
        <v>1657</v>
      </c>
      <c r="E573" s="2" t="s">
        <v>15712</v>
      </c>
      <c r="F573" s="2" t="s">
        <v>15478</v>
      </c>
      <c r="G573" s="2" t="s">
        <v>14591</v>
      </c>
      <c r="H573" s="3" t="str">
        <f>_xlfn.IFNA(INDEX(FieldDisagreements!C2:C999, MATCH(C573,FieldDisagreements!A2:A999, 0)), "")</f>
        <v>effortless-xlsx</v>
      </c>
      <c r="I573" s="3" t="str">
        <f>_xlfn.IFNA(INDEX(FieldDisagreements!D2:D999, MATCH(C573,FieldDisagreements!A2:A999, 0)), "")</f>
        <v>OperationalBindings.StepWhenUnusable</v>
      </c>
      <c r="J573" s="2" t="s">
        <v>1906</v>
      </c>
    </row>
    <row r="574">
      <c r="A574" s="2" t="s">
        <v>15740</v>
      </c>
      <c r="B574" s="3" t="str">
        <f>_xlfn.CONCAT(C574, " @ ", D574)</f>
        <v>effortless-xlsx|OperationalBindings.StepWhenUnusable @ bind-policy-consent</v>
      </c>
      <c r="C574" s="2" t="s">
        <v>14718</v>
      </c>
      <c r="D574" s="2" t="s">
        <v>1664</v>
      </c>
      <c r="E574" s="2" t="s">
        <v>15714</v>
      </c>
      <c r="F574" s="2" t="s">
        <v>15478</v>
      </c>
      <c r="G574" s="2" t="s">
        <v>14591</v>
      </c>
      <c r="H574" s="3" t="str">
        <f>_xlfn.IFNA(INDEX(FieldDisagreements!C2:C999, MATCH(C574,FieldDisagreements!A2:A999, 0)), "")</f>
        <v>effortless-xlsx</v>
      </c>
      <c r="I574" s="3" t="str">
        <f>_xlfn.IFNA(INDEX(FieldDisagreements!D2:D999, MATCH(C574,FieldDisagreements!A2:A999, 0)), "")</f>
        <v>OperationalBindings.StepWhenUnusable</v>
      </c>
      <c r="J574" s="2" t="s">
        <v>1906</v>
      </c>
    </row>
    <row r="575">
      <c r="A575" s="2" t="s">
        <v>15741</v>
      </c>
      <c r="B575" s="3" t="str">
        <f>_xlfn.CONCAT(C575, " @ ", D575)</f>
        <v>effortless-xlsx|OperationalBindings.StepWhenUnusable @ bind-policy-email</v>
      </c>
      <c r="C575" s="2" t="s">
        <v>14718</v>
      </c>
      <c r="D575" s="2" t="s">
        <v>1666</v>
      </c>
      <c r="E575" s="2" t="s">
        <v>15714</v>
      </c>
      <c r="F575" s="2" t="s">
        <v>15478</v>
      </c>
      <c r="G575" s="2" t="s">
        <v>14591</v>
      </c>
      <c r="H575" s="3" t="str">
        <f>_xlfn.IFNA(INDEX(FieldDisagreements!C2:C999, MATCH(C575,FieldDisagreements!A2:A999, 0)), "")</f>
        <v>effortless-xlsx</v>
      </c>
      <c r="I575" s="3" t="str">
        <f>_xlfn.IFNA(INDEX(FieldDisagreements!D2:D999, MATCH(C575,FieldDisagreements!A2:A999, 0)), "")</f>
        <v>OperationalBindings.StepWhenUnusable</v>
      </c>
      <c r="J575" s="2" t="s">
        <v>1906</v>
      </c>
    </row>
    <row r="576">
      <c r="A576" s="2" t="s">
        <v>15742</v>
      </c>
      <c r="B576" s="3" t="str">
        <f>_xlfn.CONCAT(C576, " @ ", D576)</f>
        <v>effortless-xlsx|OperationalBindings.StepWhenUnusable @ bind-policy-sms</v>
      </c>
      <c r="C576" s="2" t="s">
        <v>14718</v>
      </c>
      <c r="D576" s="2" t="s">
        <v>1668</v>
      </c>
      <c r="E576" s="2" t="s">
        <v>15714</v>
      </c>
      <c r="F576" s="2" t="s">
        <v>15478</v>
      </c>
      <c r="G576" s="2" t="s">
        <v>14591</v>
      </c>
      <c r="H576" s="3" t="str">
        <f>_xlfn.IFNA(INDEX(FieldDisagreements!C2:C999, MATCH(C576,FieldDisagreements!A2:A999, 0)), "")</f>
        <v>effortless-xlsx</v>
      </c>
      <c r="I576" s="3" t="str">
        <f>_xlfn.IFNA(INDEX(FieldDisagreements!D2:D999, MATCH(C576,FieldDisagreements!A2:A999, 0)), "")</f>
        <v>OperationalBindings.StepWhenUnusable</v>
      </c>
      <c r="J576" s="2" t="s">
        <v>1906</v>
      </c>
    </row>
    <row r="577">
      <c r="A577" s="2" t="s">
        <v>15743</v>
      </c>
      <c r="B577" s="3" t="str">
        <f>_xlfn.CONCAT(C577, " @ ", D577)</f>
        <v>effortless-xlsx|OperationalBindings.StepWhenUnusable @ bind-policy-ticket</v>
      </c>
      <c r="C577" s="2" t="s">
        <v>14718</v>
      </c>
      <c r="D577" s="2" t="s">
        <v>1661</v>
      </c>
      <c r="E577" s="2" t="s">
        <v>15718</v>
      </c>
      <c r="F577" s="2" t="s">
        <v>15478</v>
      </c>
      <c r="G577" s="2" t="s">
        <v>14591</v>
      </c>
      <c r="H577" s="3" t="str">
        <f>_xlfn.IFNA(INDEX(FieldDisagreements!C2:C999, MATCH(C577,FieldDisagreements!A2:A999, 0)), "")</f>
        <v>effortless-xlsx</v>
      </c>
      <c r="I577" s="3" t="str">
        <f>_xlfn.IFNA(INDEX(FieldDisagreements!D2:D999, MATCH(C577,FieldDisagreements!A2:A999, 0)), "")</f>
        <v>OperationalBindings.StepWhenUnusable</v>
      </c>
      <c r="J577" s="2" t="s">
        <v>1906</v>
      </c>
    </row>
    <row r="578">
      <c r="A578" s="2" t="s">
        <v>15744</v>
      </c>
      <c r="B578" s="3" t="str">
        <f>_xlfn.CONCAT(C578, " @ ", D578)</f>
        <v>effortless-xlsx|MessageTemplates.LastApprovalAt @ tmpl-policy-email</v>
      </c>
      <c r="C578" s="2" t="s">
        <v>14719</v>
      </c>
      <c r="D578" s="2" t="s">
        <v>1724</v>
      </c>
      <c r="E578" s="2" t="s">
        <v>15745</v>
      </c>
      <c r="F578" s="2" t="s">
        <v>15746</v>
      </c>
      <c r="G578" s="2" t="s">
        <v>14591</v>
      </c>
      <c r="H578" s="3" t="str">
        <f>_xlfn.IFNA(INDEX(FieldDisagreements!C2:C999, MATCH(C578,FieldDisagreements!A2:A999, 0)), "")</f>
        <v>effortless-xlsx</v>
      </c>
      <c r="I578" s="3" t="str">
        <f>_xlfn.IFNA(INDEX(FieldDisagreements!D2:D999, MATCH(C578,FieldDisagreements!A2:A999, 0)), "")</f>
        <v>MessageTemplates.LastApprovalAt</v>
      </c>
      <c r="J578" s="2" t="s">
        <v>1906</v>
      </c>
    </row>
    <row r="579">
      <c r="A579" s="2" t="s">
        <v>15747</v>
      </c>
      <c r="B579" s="3" t="str">
        <f>_xlfn.CONCAT(C579, " @ ", D579)</f>
        <v>effortless-xlsx|MessageTemplates.LastApprovalAt @ tmpl-policy-sms</v>
      </c>
      <c r="C579" s="2" t="s">
        <v>14719</v>
      </c>
      <c r="D579" s="2" t="s">
        <v>1730</v>
      </c>
      <c r="E579" s="2" t="s">
        <v>15748</v>
      </c>
      <c r="F579" s="2" t="s">
        <v>15749</v>
      </c>
      <c r="G579" s="2" t="s">
        <v>14591</v>
      </c>
      <c r="H579" s="3" t="str">
        <f>_xlfn.IFNA(INDEX(FieldDisagreements!C2:C999, MATCH(C579,FieldDisagreements!A2:A999, 0)), "")</f>
        <v>effortless-xlsx</v>
      </c>
      <c r="I579" s="3" t="str">
        <f>_xlfn.IFNA(INDEX(FieldDisagreements!D2:D999, MATCH(C579,FieldDisagreements!A2:A999, 0)), "")</f>
        <v>MessageTemplates.LastApprovalAt</v>
      </c>
      <c r="J579" s="2" t="s">
        <v>1906</v>
      </c>
    </row>
    <row r="580">
      <c r="A580" s="2" t="s">
        <v>15750</v>
      </c>
      <c r="B580" s="3" t="str">
        <f>_xlfn.CONCAT(C580, " @ ", D580)</f>
        <v>effortless-xlsx|RoleQuestions.PredicateCount @ q-auditor-substrate-agreement</v>
      </c>
      <c r="C580" s="2" t="s">
        <v>14720</v>
      </c>
      <c r="D580" s="2" t="s">
        <v>2368</v>
      </c>
      <c r="E580" s="2" t="s">
        <v>15751</v>
      </c>
      <c r="F580" s="2" t="s">
        <v>935</v>
      </c>
      <c r="G580" s="2" t="s">
        <v>14591</v>
      </c>
      <c r="H580" s="3" t="str">
        <f>_xlfn.IFNA(INDEX(FieldDisagreements!C2:C999, MATCH(C580,FieldDisagreements!A2:A999, 0)), "")</f>
        <v>effortless-xlsx</v>
      </c>
      <c r="I580" s="3" t="str">
        <f>_xlfn.IFNA(INDEX(FieldDisagreements!D2:D999, MATCH(C580,FieldDisagreements!A2:A999, 0)), "")</f>
        <v>RoleQuestions.PredicateCount</v>
      </c>
      <c r="J580" s="2" t="s">
        <v>1906</v>
      </c>
    </row>
    <row r="581">
      <c r="A581" s="2" t="s">
        <v>15752</v>
      </c>
      <c r="B581" s="3" t="str">
        <f>_xlfn.CONCAT(C581, " @ ", D581)</f>
        <v>effortless-xlsx|RoleQuestions.PredicateCount @ q-authority-controlled-vocabulary</v>
      </c>
      <c r="C581" s="2" t="s">
        <v>14720</v>
      </c>
      <c r="D581" s="2" t="s">
        <v>2360</v>
      </c>
      <c r="E581" s="2" t="s">
        <v>15195</v>
      </c>
      <c r="F581" s="2" t="s">
        <v>15463</v>
      </c>
      <c r="G581" s="2" t="s">
        <v>14591</v>
      </c>
      <c r="H581" s="3" t="str">
        <f>_xlfn.IFNA(INDEX(FieldDisagreements!C2:C999, MATCH(C581,FieldDisagreements!A2:A999, 0)), "")</f>
        <v>effortless-xlsx</v>
      </c>
      <c r="I581" s="3" t="str">
        <f>_xlfn.IFNA(INDEX(FieldDisagreements!D2:D999, MATCH(C581,FieldDisagreements!A2:A999, 0)), "")</f>
        <v>RoleQuestions.PredicateCount</v>
      </c>
      <c r="J581" s="2" t="s">
        <v>1906</v>
      </c>
    </row>
    <row r="582">
      <c r="A582" s="2" t="s">
        <v>15753</v>
      </c>
      <c r="B582" s="3" t="str">
        <f>_xlfn.CONCAT(C582, " @ ", D582)</f>
        <v>effortless-xlsx|RoleQuestions.PredicateCount @ q-authority-knowledge-broker</v>
      </c>
      <c r="C582" s="2" t="s">
        <v>14720</v>
      </c>
      <c r="D582" s="2" t="s">
        <v>2364</v>
      </c>
      <c r="E582" s="2" t="s">
        <v>15754</v>
      </c>
      <c r="F582" s="2" t="s">
        <v>15474</v>
      </c>
      <c r="G582" s="2" t="s">
        <v>14591</v>
      </c>
      <c r="H582" s="3" t="str">
        <f>_xlfn.IFNA(INDEX(FieldDisagreements!C2:C999, MATCH(C582,FieldDisagreements!A2:A999, 0)), "")</f>
        <v>effortless-xlsx</v>
      </c>
      <c r="I582" s="3" t="str">
        <f>_xlfn.IFNA(INDEX(FieldDisagreements!D2:D999, MATCH(C582,FieldDisagreements!A2:A999, 0)), "")</f>
        <v>RoleQuestions.PredicateCount</v>
      </c>
      <c r="J582" s="2" t="s">
        <v>1906</v>
      </c>
    </row>
    <row r="583">
      <c r="A583" s="2" t="s">
        <v>15755</v>
      </c>
      <c r="B583" s="3" t="str">
        <f>_xlfn.CONCAT(C583, " @ ", D583)</f>
        <v>effortless-xlsx|RoleQuestions.PredicateCount @ q-cfo-approval-was-actually-verified</v>
      </c>
      <c r="C583" s="2" t="s">
        <v>14720</v>
      </c>
      <c r="D583" s="2" t="s">
        <v>1984</v>
      </c>
      <c r="E583" s="2" t="s">
        <v>15756</v>
      </c>
      <c r="F583" s="2" t="s">
        <v>51</v>
      </c>
      <c r="G583" s="2" t="s">
        <v>14591</v>
      </c>
      <c r="H583" s="3" t="str">
        <f>_xlfn.IFNA(INDEX(FieldDisagreements!C2:C999, MATCH(C583,FieldDisagreements!A2:A999, 0)), "")</f>
        <v>effortless-xlsx</v>
      </c>
      <c r="I583" s="3" t="str">
        <f>_xlfn.IFNA(INDEX(FieldDisagreements!D2:D999, MATCH(C583,FieldDisagreements!A2:A999, 0)), "")</f>
        <v>RoleQuestions.PredicateCount</v>
      </c>
      <c r="J583" s="2" t="s">
        <v>1906</v>
      </c>
    </row>
    <row r="584">
      <c r="A584" s="2" t="s">
        <v>15757</v>
      </c>
      <c r="B584" s="3" t="str">
        <f>_xlfn.CONCAT(C584, " @ ", D584)</f>
        <v>effortless-xlsx|RoleQuestions.PredicateCount @ q-cfo-who-actually-held-authority</v>
      </c>
      <c r="C584" s="2" t="s">
        <v>14720</v>
      </c>
      <c r="D584" s="2" t="s">
        <v>1988</v>
      </c>
      <c r="E584" s="2" t="s">
        <v>15758</v>
      </c>
      <c r="F584" s="2" t="s">
        <v>15463</v>
      </c>
      <c r="G584" s="2" t="s">
        <v>14591</v>
      </c>
      <c r="H584" s="3" t="str">
        <f>_xlfn.IFNA(INDEX(FieldDisagreements!C2:C999, MATCH(C584,FieldDisagreements!A2:A999, 0)), "")</f>
        <v>effortless-xlsx</v>
      </c>
      <c r="I584" s="3" t="str">
        <f>_xlfn.IFNA(INDEX(FieldDisagreements!D2:D999, MATCH(C584,FieldDisagreements!A2:A999, 0)), "")</f>
        <v>RoleQuestions.PredicateCount</v>
      </c>
      <c r="J584" s="2" t="s">
        <v>1906</v>
      </c>
    </row>
    <row r="585">
      <c r="A585" s="2" t="s">
        <v>15759</v>
      </c>
      <c r="B585" s="3" t="str">
        <f>_xlfn.CONCAT(C585, " @ ", D585)</f>
        <v>effortless-xlsx|RoleQuestions.PredicateCount @ q-close-auto-human-override-drift</v>
      </c>
      <c r="C585" s="2" t="s">
        <v>14720</v>
      </c>
      <c r="D585" s="2" t="s">
        <v>2112</v>
      </c>
      <c r="E585" s="2" t="s">
        <v>15758</v>
      </c>
      <c r="F585" s="2" t="s">
        <v>15474</v>
      </c>
      <c r="G585" s="2" t="s">
        <v>14591</v>
      </c>
      <c r="H585" s="3" t="str">
        <f>_xlfn.IFNA(INDEX(FieldDisagreements!C2:C999, MATCH(C585,FieldDisagreements!A2:A999, 0)), "")</f>
        <v>effortless-xlsx</v>
      </c>
      <c r="I585" s="3" t="str">
        <f>_xlfn.IFNA(INDEX(FieldDisagreements!D2:D999, MATCH(C585,FieldDisagreements!A2:A999, 0)), "")</f>
        <v>RoleQuestions.PredicateCount</v>
      </c>
      <c r="J585" s="2" t="s">
        <v>1906</v>
      </c>
    </row>
    <row r="586">
      <c r="A586" s="2" t="s">
        <v>15760</v>
      </c>
      <c r="B586" s="3" t="str">
        <f>_xlfn.CONCAT(C586, " @ ", D586)</f>
        <v>effortless-xlsx|RoleQuestions.PredicateCount @ q-comms-approval-authority</v>
      </c>
      <c r="C586" s="2" t="s">
        <v>14720</v>
      </c>
      <c r="D586" s="2" t="s">
        <v>2060</v>
      </c>
      <c r="E586" s="2" t="s">
        <v>15761</v>
      </c>
      <c r="F586" s="2" t="s">
        <v>935</v>
      </c>
      <c r="G586" s="2" t="s">
        <v>14591</v>
      </c>
      <c r="H586" s="3" t="str">
        <f>_xlfn.IFNA(INDEX(FieldDisagreements!C2:C999, MATCH(C586,FieldDisagreements!A2:A999, 0)), "")</f>
        <v>effortless-xlsx</v>
      </c>
      <c r="I586" s="3" t="str">
        <f>_xlfn.IFNA(INDEX(FieldDisagreements!D2:D999, MATCH(C586,FieldDisagreements!A2:A999, 0)), "")</f>
        <v>RoleQuestions.PredicateCount</v>
      </c>
      <c r="J586" s="2" t="s">
        <v>1906</v>
      </c>
    </row>
    <row r="587">
      <c r="A587" s="2" t="s">
        <v>15762</v>
      </c>
      <c r="B587" s="3" t="str">
        <f>_xlfn.CONCAT(C587, " @ ", D587)</f>
        <v>effortless-xlsx|RoleQuestions.PredicateCount @ q-comms-deliverability</v>
      </c>
      <c r="C587" s="2" t="s">
        <v>14720</v>
      </c>
      <c r="D587" s="2" t="s">
        <v>2068</v>
      </c>
      <c r="E587" s="2" t="s">
        <v>15761</v>
      </c>
      <c r="F587" s="2" t="s">
        <v>15474</v>
      </c>
      <c r="G587" s="2" t="s">
        <v>14591</v>
      </c>
      <c r="H587" s="3" t="str">
        <f>_xlfn.IFNA(INDEX(FieldDisagreements!C2:C999, MATCH(C587,FieldDisagreements!A2:A999, 0)), "")</f>
        <v>effortless-xlsx</v>
      </c>
      <c r="I587" s="3" t="str">
        <f>_xlfn.IFNA(INDEX(FieldDisagreements!D2:D999, MATCH(C587,FieldDisagreements!A2:A999, 0)), "")</f>
        <v>RoleQuestions.PredicateCount</v>
      </c>
      <c r="J587" s="2" t="s">
        <v>1906</v>
      </c>
    </row>
    <row r="588">
      <c r="A588" s="2" t="s">
        <v>15763</v>
      </c>
      <c r="B588" s="3" t="str">
        <f>_xlfn.CONCAT(C588, " @ ", D588)</f>
        <v>effortless-xlsx|RoleQuestions.PredicateCount @ q-comms-optout-present</v>
      </c>
      <c r="C588" s="2" t="s">
        <v>14720</v>
      </c>
      <c r="D588" s="2" t="s">
        <v>2064</v>
      </c>
      <c r="E588" s="2" t="s">
        <v>15758</v>
      </c>
      <c r="F588" s="2" t="s">
        <v>935</v>
      </c>
      <c r="G588" s="2" t="s">
        <v>14591</v>
      </c>
      <c r="H588" s="3" t="str">
        <f>_xlfn.IFNA(INDEX(FieldDisagreements!C2:C999, MATCH(C588,FieldDisagreements!A2:A999, 0)), "")</f>
        <v>effortless-xlsx</v>
      </c>
      <c r="I588" s="3" t="str">
        <f>_xlfn.IFNA(INDEX(FieldDisagreements!D2:D999, MATCH(C588,FieldDisagreements!A2:A999, 0)), "")</f>
        <v>RoleQuestions.PredicateCount</v>
      </c>
      <c r="J588" s="2" t="s">
        <v>1906</v>
      </c>
    </row>
    <row r="589">
      <c r="A589" s="2" t="s">
        <v>15764</v>
      </c>
      <c r="B589" s="3" t="str">
        <f>_xlfn.CONCAT(C589, " @ ", D589)</f>
        <v>effortless-xlsx|RoleQuestions.PredicateCount @ q-comms-oversized-sms</v>
      </c>
      <c r="C589" s="2" t="s">
        <v>14720</v>
      </c>
      <c r="D589" s="2" t="s">
        <v>2056</v>
      </c>
      <c r="E589" s="2" t="s">
        <v>15765</v>
      </c>
      <c r="F589" s="2" t="s">
        <v>935</v>
      </c>
      <c r="G589" s="2" t="s">
        <v>14591</v>
      </c>
      <c r="H589" s="3" t="str">
        <f>_xlfn.IFNA(INDEX(FieldDisagreements!C2:C999, MATCH(C589,FieldDisagreements!A2:A999, 0)), "")</f>
        <v>effortless-xlsx</v>
      </c>
      <c r="I589" s="3" t="str">
        <f>_xlfn.IFNA(INDEX(FieldDisagreements!D2:D999, MATCH(C589,FieldDisagreements!A2:A999, 0)), "")</f>
        <v>RoleQuestions.PredicateCount</v>
      </c>
      <c r="J589" s="2" t="s">
        <v>1906</v>
      </c>
    </row>
    <row r="590">
      <c r="A590" s="2" t="s">
        <v>15766</v>
      </c>
      <c r="B590" s="3" t="str">
        <f>_xlfn.CONCAT(C590, " @ ", D590)</f>
        <v>effortless-xlsx|RoleQuestions.PredicateCount @ q-comms-template-drift</v>
      </c>
      <c r="C590" s="2" t="s">
        <v>14720</v>
      </c>
      <c r="D590" s="2" t="s">
        <v>2072</v>
      </c>
      <c r="E590" s="2" t="s">
        <v>15765</v>
      </c>
      <c r="F590" s="2" t="s">
        <v>935</v>
      </c>
      <c r="G590" s="2" t="s">
        <v>14591</v>
      </c>
      <c r="H590" s="3" t="str">
        <f>_xlfn.IFNA(INDEX(FieldDisagreements!C2:C999, MATCH(C590,FieldDisagreements!A2:A999, 0)), "")</f>
        <v>effortless-xlsx</v>
      </c>
      <c r="I590" s="3" t="str">
        <f>_xlfn.IFNA(INDEX(FieldDisagreements!D2:D999, MATCH(C590,FieldDisagreements!A2:A999, 0)), "")</f>
        <v>RoleQuestions.PredicateCount</v>
      </c>
      <c r="J590" s="2" t="s">
        <v>1906</v>
      </c>
    </row>
    <row r="591">
      <c r="A591" s="2" t="s">
        <v>15767</v>
      </c>
      <c r="B591" s="3" t="str">
        <f>_xlfn.CONCAT(C591, " @ ", D591)</f>
        <v>effortless-xlsx|RoleQuestions.PredicateCount @ q-counsel-legal-review-gated-send</v>
      </c>
      <c r="C591" s="2" t="s">
        <v>14720</v>
      </c>
      <c r="D591" s="2" t="s">
        <v>2052</v>
      </c>
      <c r="E591" s="2" t="s">
        <v>15758</v>
      </c>
      <c r="F591" s="2" t="s">
        <v>15461</v>
      </c>
      <c r="G591" s="2" t="s">
        <v>14591</v>
      </c>
      <c r="H591" s="3" t="str">
        <f>_xlfn.IFNA(INDEX(FieldDisagreements!C2:C999, MATCH(C591,FieldDisagreements!A2:A999, 0)), "")</f>
        <v>effortless-xlsx</v>
      </c>
      <c r="I591" s="3" t="str">
        <f>_xlfn.IFNA(INDEX(FieldDisagreements!D2:D999, MATCH(C591,FieldDisagreements!A2:A999, 0)), "")</f>
        <v>RoleQuestions.PredicateCount</v>
      </c>
      <c r="J591" s="2" t="s">
        <v>1906</v>
      </c>
    </row>
    <row r="592">
      <c r="A592" s="2" t="s">
        <v>15768</v>
      </c>
      <c r="B592" s="3" t="str">
        <f>_xlfn.CONCAT(C592, " @ ", D592)</f>
        <v>effortless-xlsx|RoleQuestions.PredicateCount @ q-counsel-quiet-hours-breach</v>
      </c>
      <c r="C592" s="2" t="s">
        <v>14720</v>
      </c>
      <c r="D592" s="2" t="s">
        <v>2040</v>
      </c>
      <c r="E592" s="2" t="s">
        <v>15761</v>
      </c>
      <c r="F592" s="2" t="s">
        <v>935</v>
      </c>
      <c r="G592" s="2" t="s">
        <v>14591</v>
      </c>
      <c r="H592" s="3" t="str">
        <f>_xlfn.IFNA(INDEX(FieldDisagreements!C2:C999, MATCH(C592,FieldDisagreements!A2:A999, 0)), "")</f>
        <v>effortless-xlsx</v>
      </c>
      <c r="I592" s="3" t="str">
        <f>_xlfn.IFNA(INDEX(FieldDisagreements!D2:D999, MATCH(C592,FieldDisagreements!A2:A999, 0)), "")</f>
        <v>RoleQuestions.PredicateCount</v>
      </c>
      <c r="J592" s="2" t="s">
        <v>1906</v>
      </c>
    </row>
    <row r="593">
      <c r="A593" s="2" t="s">
        <v>15769</v>
      </c>
      <c r="B593" s="3" t="str">
        <f>_xlfn.CONCAT(C593, " @ ", D593)</f>
        <v>effortless-xlsx|RoleQuestions.PredicateCount @ q-counsel-retention-evidence</v>
      </c>
      <c r="C593" s="2" t="s">
        <v>14720</v>
      </c>
      <c r="D593" s="2" t="s">
        <v>2048</v>
      </c>
      <c r="E593" s="2" t="s">
        <v>15758</v>
      </c>
      <c r="F593" s="2" t="s">
        <v>37</v>
      </c>
      <c r="G593" s="2" t="s">
        <v>14591</v>
      </c>
      <c r="H593" s="3" t="str">
        <f>_xlfn.IFNA(INDEX(FieldDisagreements!C2:C999, MATCH(C593,FieldDisagreements!A2:A999, 0)), "")</f>
        <v>effortless-xlsx</v>
      </c>
      <c r="I593" s="3" t="str">
        <f>_xlfn.IFNA(INDEX(FieldDisagreements!D2:D999, MATCH(C593,FieldDisagreements!A2:A999, 0)), "")</f>
        <v>RoleQuestions.PredicateCount</v>
      </c>
      <c r="J593" s="2" t="s">
        <v>1906</v>
      </c>
    </row>
    <row r="594">
      <c r="A594" s="2" t="s">
        <v>15770</v>
      </c>
      <c r="B594" s="3" t="str">
        <f>_xlfn.CONCAT(C594, " @ ", D594)</f>
        <v>effortless-xlsx|RoleQuestions.PredicateCount @ q-counsel-sms-without-consent</v>
      </c>
      <c r="C594" s="2" t="s">
        <v>14720</v>
      </c>
      <c r="D594" s="2" t="s">
        <v>2036</v>
      </c>
      <c r="E594" s="2" t="s">
        <v>15758</v>
      </c>
      <c r="F594" s="2" t="s">
        <v>935</v>
      </c>
      <c r="G594" s="2" t="s">
        <v>14591</v>
      </c>
      <c r="H594" s="3" t="str">
        <f>_xlfn.IFNA(INDEX(FieldDisagreements!C2:C999, MATCH(C594,FieldDisagreements!A2:A999, 0)), "")</f>
        <v>effortless-xlsx</v>
      </c>
      <c r="I594" s="3" t="str">
        <f>_xlfn.IFNA(INDEX(FieldDisagreements!D2:D999, MATCH(C594,FieldDisagreements!A2:A999, 0)), "")</f>
        <v>RoleQuestions.PredicateCount</v>
      </c>
      <c r="J594" s="2" t="s">
        <v>1906</v>
      </c>
    </row>
    <row r="595">
      <c r="A595" s="2" t="s">
        <v>15771</v>
      </c>
      <c r="B595" s="3" t="str">
        <f>_xlfn.CONCAT(C595, " @ ", D595)</f>
        <v>effortless-xlsx|RoleQuestions.PredicateCount @ q-counsel-unreachable-not-acknowledged</v>
      </c>
      <c r="C595" s="2" t="s">
        <v>14720</v>
      </c>
      <c r="D595" s="2" t="s">
        <v>2044</v>
      </c>
      <c r="E595" s="2" t="s">
        <v>15758</v>
      </c>
      <c r="F595" s="2" t="s">
        <v>37</v>
      </c>
      <c r="G595" s="2" t="s">
        <v>14591</v>
      </c>
      <c r="H595" s="3" t="str">
        <f>_xlfn.IFNA(INDEX(FieldDisagreements!C2:C999, MATCH(C595,FieldDisagreements!A2:A999, 0)), "")</f>
        <v>effortless-xlsx</v>
      </c>
      <c r="I595" s="3" t="str">
        <f>_xlfn.IFNA(INDEX(FieldDisagreements!D2:D999, MATCH(C595,FieldDisagreements!A2:A999, 0)), "")</f>
        <v>RoleQuestions.PredicateCount</v>
      </c>
      <c r="J595" s="2" t="s">
        <v>1906</v>
      </c>
    </row>
    <row r="596">
      <c r="A596" s="2" t="s">
        <v>15772</v>
      </c>
      <c r="B596" s="3" t="str">
        <f>_xlfn.CONCAT(C596, " @ ", D596)</f>
        <v>effortless-xlsx|RoleQuestions.PredicateCount @ q-policy-ai-commitment-boundary</v>
      </c>
      <c r="C596" s="2" t="s">
        <v>14720</v>
      </c>
      <c r="D596" s="2" t="s">
        <v>2164</v>
      </c>
      <c r="E596" s="2" t="s">
        <v>15461</v>
      </c>
      <c r="F596" s="2" t="s">
        <v>15463</v>
      </c>
      <c r="G596" s="2" t="s">
        <v>14591</v>
      </c>
      <c r="H596" s="3" t="str">
        <f>_xlfn.IFNA(INDEX(FieldDisagreements!C2:C999, MATCH(C596,FieldDisagreements!A2:A999, 0)), "")</f>
        <v>effortless-xlsx</v>
      </c>
      <c r="I596" s="3" t="str">
        <f>_xlfn.IFNA(INDEX(FieldDisagreements!D2:D999, MATCH(C596,FieldDisagreements!A2:A999, 0)), "")</f>
        <v>RoleQuestions.PredicateCount</v>
      </c>
      <c r="J596" s="2" t="s">
        <v>1906</v>
      </c>
    </row>
    <row r="597">
      <c r="A597" s="2" t="s">
        <v>15773</v>
      </c>
      <c r="B597" s="3" t="str">
        <f>_xlfn.CONCAT(C597, " @ ", D597)</f>
        <v>effortless-xlsx|RoleQuestions.PredicateCount @ q-policy-ai-downstream-rewrite</v>
      </c>
      <c r="C597" s="2" t="s">
        <v>14720</v>
      </c>
      <c r="D597" s="2" t="s">
        <v>2168</v>
      </c>
      <c r="E597" s="2" t="s">
        <v>15756</v>
      </c>
      <c r="F597" s="2" t="s">
        <v>51</v>
      </c>
      <c r="G597" s="2" t="s">
        <v>14591</v>
      </c>
      <c r="H597" s="3" t="str">
        <f>_xlfn.IFNA(INDEX(FieldDisagreements!C2:C999, MATCH(C597,FieldDisagreements!A2:A999, 0)), "")</f>
        <v>effortless-xlsx</v>
      </c>
      <c r="I597" s="3" t="str">
        <f>_xlfn.IFNA(INDEX(FieldDisagreements!D2:D999, MATCH(C597,FieldDisagreements!A2:A999, 0)), "")</f>
        <v>RoleQuestions.PredicateCount</v>
      </c>
      <c r="J597" s="2" t="s">
        <v>1906</v>
      </c>
    </row>
    <row r="598">
      <c r="A598" s="2" t="s">
        <v>15774</v>
      </c>
      <c r="B598" s="3" t="str">
        <f>_xlfn.CONCAT(C598, " @ ", D598)</f>
        <v>effortless-xlsx|RoleQuestions.PredicateCount @ q-policy-ai-source-approval</v>
      </c>
      <c r="C598" s="2" t="s">
        <v>14720</v>
      </c>
      <c r="D598" s="2" t="s">
        <v>2160</v>
      </c>
      <c r="E598" s="2" t="s">
        <v>15765</v>
      </c>
      <c r="F598" s="2" t="s">
        <v>15758</v>
      </c>
      <c r="G598" s="2" t="s">
        <v>14591</v>
      </c>
      <c r="H598" s="3" t="str">
        <f>_xlfn.IFNA(INDEX(FieldDisagreements!C2:C999, MATCH(C598,FieldDisagreements!A2:A999, 0)), "")</f>
        <v>effortless-xlsx</v>
      </c>
      <c r="I598" s="3" t="str">
        <f>_xlfn.IFNA(INDEX(FieldDisagreements!D2:D999, MATCH(C598,FieldDisagreements!A2:A999, 0)), "")</f>
        <v>RoleQuestions.PredicateCount</v>
      </c>
      <c r="J598" s="2" t="s">
        <v>1906</v>
      </c>
    </row>
    <row r="599">
      <c r="A599" s="2" t="s">
        <v>15775</v>
      </c>
      <c r="B599" s="3" t="str">
        <f>_xlfn.CONCAT(C599, " @ ", D599)</f>
        <v>effortless-xlsx|RoleQuestions.PredicateCount @ q-publisher-am-i-authorized-to-act</v>
      </c>
      <c r="C599" s="2" t="s">
        <v>14720</v>
      </c>
      <c r="D599" s="2" t="s">
        <v>2088</v>
      </c>
      <c r="E599" s="2" t="s">
        <v>15758</v>
      </c>
      <c r="F599" s="2" t="s">
        <v>935</v>
      </c>
      <c r="G599" s="2" t="s">
        <v>14591</v>
      </c>
      <c r="H599" s="3" t="str">
        <f>_xlfn.IFNA(INDEX(FieldDisagreements!C2:C999, MATCH(C599,FieldDisagreements!A2:A999, 0)), "")</f>
        <v>effortless-xlsx</v>
      </c>
      <c r="I599" s="3" t="str">
        <f>_xlfn.IFNA(INDEX(FieldDisagreements!D2:D999, MATCH(C599,FieldDisagreements!A2:A999, 0)), "")</f>
        <v>RoleQuestions.PredicateCount</v>
      </c>
      <c r="J599" s="2" t="s">
        <v>1906</v>
      </c>
    </row>
    <row r="600">
      <c r="A600" s="2" t="s">
        <v>15776</v>
      </c>
      <c r="B600" s="3" t="str">
        <f>_xlfn.CONCAT(C600, " @ ", D600)</f>
        <v>effortless-xlsx|RoleQuestions.IsAnswered @ q-auditor-substrate-agreement</v>
      </c>
      <c r="C600" s="2" t="s">
        <v>14721</v>
      </c>
      <c r="D600" s="2" t="s">
        <v>2368</v>
      </c>
      <c r="E600" s="2" t="s">
        <v>15035</v>
      </c>
      <c r="F600" s="2" t="s">
        <v>15057</v>
      </c>
      <c r="G600" s="2" t="s">
        <v>14591</v>
      </c>
      <c r="H600" s="3" t="str">
        <f>_xlfn.IFNA(INDEX(FieldDisagreements!C2:C999, MATCH(C600,FieldDisagreements!A2:A999, 0)), "")</f>
        <v>effortless-xlsx</v>
      </c>
      <c r="I600" s="3" t="str">
        <f>_xlfn.IFNA(INDEX(FieldDisagreements!D2:D999, MATCH(C600,FieldDisagreements!A2:A999, 0)), "")</f>
        <v>RoleQuestions.IsAnswered</v>
      </c>
      <c r="J600" s="2" t="s">
        <v>1906</v>
      </c>
    </row>
    <row r="601">
      <c r="A601" s="2" t="s">
        <v>15777</v>
      </c>
      <c r="B601" s="3" t="str">
        <f>_xlfn.CONCAT(C601, " @ ", D601)</f>
        <v>effortless-xlsx|RoleQuestions.IsAnswered @ q-comms-approval-authority</v>
      </c>
      <c r="C601" s="2" t="s">
        <v>14721</v>
      </c>
      <c r="D601" s="2" t="s">
        <v>2060</v>
      </c>
      <c r="E601" s="2" t="s">
        <v>15035</v>
      </c>
      <c r="F601" s="2" t="s">
        <v>15057</v>
      </c>
      <c r="G601" s="2" t="s">
        <v>14591</v>
      </c>
      <c r="H601" s="3" t="str">
        <f>_xlfn.IFNA(INDEX(FieldDisagreements!C2:C999, MATCH(C601,FieldDisagreements!A2:A999, 0)), "")</f>
        <v>effortless-xlsx</v>
      </c>
      <c r="I601" s="3" t="str">
        <f>_xlfn.IFNA(INDEX(FieldDisagreements!D2:D999, MATCH(C601,FieldDisagreements!A2:A999, 0)), "")</f>
        <v>RoleQuestions.IsAnswered</v>
      </c>
      <c r="J601" s="2" t="s">
        <v>1906</v>
      </c>
    </row>
    <row r="602">
      <c r="A602" s="2" t="s">
        <v>15778</v>
      </c>
      <c r="B602" s="3" t="str">
        <f>_xlfn.CONCAT(C602, " @ ", D602)</f>
        <v>effortless-xlsx|RoleQuestions.IsAnswered @ q-comms-optout-present</v>
      </c>
      <c r="C602" s="2" t="s">
        <v>14721</v>
      </c>
      <c r="D602" s="2" t="s">
        <v>2064</v>
      </c>
      <c r="E602" s="2" t="s">
        <v>15035</v>
      </c>
      <c r="F602" s="2" t="s">
        <v>15057</v>
      </c>
      <c r="G602" s="2" t="s">
        <v>14591</v>
      </c>
      <c r="H602" s="3" t="str">
        <f>_xlfn.IFNA(INDEX(FieldDisagreements!C2:C999, MATCH(C602,FieldDisagreements!A2:A999, 0)), "")</f>
        <v>effortless-xlsx</v>
      </c>
      <c r="I602" s="3" t="str">
        <f>_xlfn.IFNA(INDEX(FieldDisagreements!D2:D999, MATCH(C602,FieldDisagreements!A2:A999, 0)), "")</f>
        <v>RoleQuestions.IsAnswered</v>
      </c>
      <c r="J602" s="2" t="s">
        <v>1906</v>
      </c>
    </row>
    <row r="603">
      <c r="A603" s="2" t="s">
        <v>15779</v>
      </c>
      <c r="B603" s="3" t="str">
        <f>_xlfn.CONCAT(C603, " @ ", D603)</f>
        <v>effortless-xlsx|RoleQuestions.IsAnswered @ q-comms-oversized-sms</v>
      </c>
      <c r="C603" s="2" t="s">
        <v>14721</v>
      </c>
      <c r="D603" s="2" t="s">
        <v>2056</v>
      </c>
      <c r="E603" s="2" t="s">
        <v>15035</v>
      </c>
      <c r="F603" s="2" t="s">
        <v>15057</v>
      </c>
      <c r="G603" s="2" t="s">
        <v>14591</v>
      </c>
      <c r="H603" s="3" t="str">
        <f>_xlfn.IFNA(INDEX(FieldDisagreements!C2:C999, MATCH(C603,FieldDisagreements!A2:A999, 0)), "")</f>
        <v>effortless-xlsx</v>
      </c>
      <c r="I603" s="3" t="str">
        <f>_xlfn.IFNA(INDEX(FieldDisagreements!D2:D999, MATCH(C603,FieldDisagreements!A2:A999, 0)), "")</f>
        <v>RoleQuestions.IsAnswered</v>
      </c>
      <c r="J603" s="2" t="s">
        <v>1906</v>
      </c>
    </row>
    <row r="604">
      <c r="A604" s="2" t="s">
        <v>15780</v>
      </c>
      <c r="B604" s="3" t="str">
        <f>_xlfn.CONCAT(C604, " @ ", D604)</f>
        <v>effortless-xlsx|RoleQuestions.IsAnswered @ q-comms-template-drift</v>
      </c>
      <c r="C604" s="2" t="s">
        <v>14721</v>
      </c>
      <c r="D604" s="2" t="s">
        <v>2072</v>
      </c>
      <c r="E604" s="2" t="s">
        <v>15035</v>
      </c>
      <c r="F604" s="2" t="s">
        <v>15057</v>
      </c>
      <c r="G604" s="2" t="s">
        <v>14591</v>
      </c>
      <c r="H604" s="3" t="str">
        <f>_xlfn.IFNA(INDEX(FieldDisagreements!C2:C999, MATCH(C604,FieldDisagreements!A2:A999, 0)), "")</f>
        <v>effortless-xlsx</v>
      </c>
      <c r="I604" s="3" t="str">
        <f>_xlfn.IFNA(INDEX(FieldDisagreements!D2:D999, MATCH(C604,FieldDisagreements!A2:A999, 0)), "")</f>
        <v>RoleQuestions.IsAnswered</v>
      </c>
      <c r="J604" s="2" t="s">
        <v>1906</v>
      </c>
    </row>
    <row r="605">
      <c r="A605" s="2" t="s">
        <v>15781</v>
      </c>
      <c r="B605" s="3" t="str">
        <f>_xlfn.CONCAT(C605, " @ ", D605)</f>
        <v>effortless-xlsx|RoleQuestions.IsAnswered @ q-counsel-quiet-hours-breach</v>
      </c>
      <c r="C605" s="2" t="s">
        <v>14721</v>
      </c>
      <c r="D605" s="2" t="s">
        <v>2040</v>
      </c>
      <c r="E605" s="2" t="s">
        <v>15035</v>
      </c>
      <c r="F605" s="2" t="s">
        <v>15057</v>
      </c>
      <c r="G605" s="2" t="s">
        <v>14591</v>
      </c>
      <c r="H605" s="3" t="str">
        <f>_xlfn.IFNA(INDEX(FieldDisagreements!C2:C999, MATCH(C605,FieldDisagreements!A2:A999, 0)), "")</f>
        <v>effortless-xlsx</v>
      </c>
      <c r="I605" s="3" t="str">
        <f>_xlfn.IFNA(INDEX(FieldDisagreements!D2:D999, MATCH(C605,FieldDisagreements!A2:A999, 0)), "")</f>
        <v>RoleQuestions.IsAnswered</v>
      </c>
      <c r="J605" s="2" t="s">
        <v>1906</v>
      </c>
    </row>
    <row r="606">
      <c r="A606" s="2" t="s">
        <v>15782</v>
      </c>
      <c r="B606" s="3" t="str">
        <f>_xlfn.CONCAT(C606, " @ ", D606)</f>
        <v>effortless-xlsx|RoleQuestions.IsAnswered @ q-counsel-sms-without-consent</v>
      </c>
      <c r="C606" s="2" t="s">
        <v>14721</v>
      </c>
      <c r="D606" s="2" t="s">
        <v>2036</v>
      </c>
      <c r="E606" s="2" t="s">
        <v>15035</v>
      </c>
      <c r="F606" s="2" t="s">
        <v>15057</v>
      </c>
      <c r="G606" s="2" t="s">
        <v>14591</v>
      </c>
      <c r="H606" s="3" t="str">
        <f>_xlfn.IFNA(INDEX(FieldDisagreements!C2:C999, MATCH(C606,FieldDisagreements!A2:A999, 0)), "")</f>
        <v>effortless-xlsx</v>
      </c>
      <c r="I606" s="3" t="str">
        <f>_xlfn.IFNA(INDEX(FieldDisagreements!D2:D999, MATCH(C606,FieldDisagreements!A2:A999, 0)), "")</f>
        <v>RoleQuestions.IsAnswered</v>
      </c>
      <c r="J606" s="2" t="s">
        <v>1906</v>
      </c>
    </row>
    <row r="607">
      <c r="A607" s="2" t="s">
        <v>15783</v>
      </c>
      <c r="B607" s="3" t="str">
        <f>_xlfn.CONCAT(C607, " @ ", D607)</f>
        <v>effortless-xlsx|RoleQuestions.IsAnswered @ q-publisher-am-i-authorized-to-act</v>
      </c>
      <c r="C607" s="2" t="s">
        <v>14721</v>
      </c>
      <c r="D607" s="2" t="s">
        <v>2088</v>
      </c>
      <c r="E607" s="2" t="s">
        <v>15035</v>
      </c>
      <c r="F607" s="2" t="s">
        <v>15057</v>
      </c>
      <c r="G607" s="2" t="s">
        <v>14591</v>
      </c>
      <c r="H607" s="3" t="str">
        <f>_xlfn.IFNA(INDEX(FieldDisagreements!C2:C999, MATCH(C607,FieldDisagreements!A2:A999, 0)), "")</f>
        <v>effortless-xlsx</v>
      </c>
      <c r="I607" s="3" t="str">
        <f>_xlfn.IFNA(INDEX(FieldDisagreements!D2:D999, MATCH(C607,FieldDisagreements!A2:A999, 0)), "")</f>
        <v>RoleQuestions.IsAnswered</v>
      </c>
      <c r="J607" s="2" t="s">
        <v>1906</v>
      </c>
    </row>
    <row r="608">
      <c r="A608" s="2" t="s">
        <v>15784</v>
      </c>
      <c r="B608" s="3" t="str">
        <f>_xlfn.CONCAT(C608, " @ ", D608)</f>
        <v>effortless-xlsx|RoleQuestions.IsAnswered @ q-publisher-is-this-content-permitted</v>
      </c>
      <c r="C608" s="2" t="s">
        <v>14721</v>
      </c>
      <c r="D608" s="2" t="s">
        <v>2084</v>
      </c>
      <c r="E608" s="2" t="s">
        <v>15035</v>
      </c>
      <c r="F608" s="2" t="s">
        <v>15057</v>
      </c>
      <c r="G608" s="2" t="s">
        <v>14591</v>
      </c>
      <c r="H608" s="3" t="str">
        <f>_xlfn.IFNA(INDEX(FieldDisagreements!C2:C999, MATCH(C608,FieldDisagreements!A2:A999, 0)), "")</f>
        <v>effortless-xlsx</v>
      </c>
      <c r="I608" s="3" t="str">
        <f>_xlfn.IFNA(INDEX(FieldDisagreements!D2:D999, MATCH(C608,FieldDisagreements!A2:A999, 0)), "")</f>
        <v>RoleQuestions.IsAnswered</v>
      </c>
      <c r="J608" s="2" t="s">
        <v>1906</v>
      </c>
    </row>
    <row r="609">
      <c r="A609" s="2" t="s">
        <v>15785</v>
      </c>
      <c r="B609" s="3" t="str">
        <f>_xlfn.CONCAT(C609, " @ ", D609)</f>
        <v>effortless-xlsx|RoleQuestions.IsAnswered @ q-publisher-may-i-transmit</v>
      </c>
      <c r="C609" s="2" t="s">
        <v>14721</v>
      </c>
      <c r="D609" s="2" t="s">
        <v>2076</v>
      </c>
      <c r="E609" s="2" t="s">
        <v>15035</v>
      </c>
      <c r="F609" s="2" t="s">
        <v>15057</v>
      </c>
      <c r="G609" s="2" t="s">
        <v>14591</v>
      </c>
      <c r="H609" s="3" t="str">
        <f>_xlfn.IFNA(INDEX(FieldDisagreements!C2:C999, MATCH(C609,FieldDisagreements!A2:A999, 0)), "")</f>
        <v>effortless-xlsx</v>
      </c>
      <c r="I609" s="3" t="str">
        <f>_xlfn.IFNA(INDEX(FieldDisagreements!D2:D999, MATCH(C609,FieldDisagreements!A2:A999, 0)), "")</f>
        <v>RoleQuestions.IsAnswered</v>
      </c>
      <c r="J609" s="2" t="s">
        <v>1906</v>
      </c>
    </row>
    <row r="610">
      <c r="A610" s="2" t="s">
        <v>15786</v>
      </c>
      <c r="B610" s="3" t="str">
        <f>_xlfn.CONCAT(C610, " @ ", D610)</f>
        <v>effortless-xlsx|RoleQuestions.IsAnswered @ q-publisher-may-i-transmit-now</v>
      </c>
      <c r="C610" s="2" t="s">
        <v>14721</v>
      </c>
      <c r="D610" s="2" t="s">
        <v>2080</v>
      </c>
      <c r="E610" s="2" t="s">
        <v>15035</v>
      </c>
      <c r="F610" s="2" t="s">
        <v>15057</v>
      </c>
      <c r="G610" s="2" t="s">
        <v>14591</v>
      </c>
      <c r="H610" s="3" t="str">
        <f>_xlfn.IFNA(INDEX(FieldDisagreements!C2:C999, MATCH(C610,FieldDisagreements!A2:A999, 0)), "")</f>
        <v>effortless-xlsx</v>
      </c>
      <c r="I610" s="3" t="str">
        <f>_xlfn.IFNA(INDEX(FieldDisagreements!D2:D999, MATCH(C610,FieldDisagreements!A2:A999, 0)), "")</f>
        <v>RoleQuestions.IsAnswered</v>
      </c>
      <c r="J610" s="2" t="s">
        <v>1906</v>
      </c>
    </row>
    <row r="611">
      <c r="A611" s="2" t="s">
        <v>15787</v>
      </c>
      <c r="B611" s="3" t="str">
        <f>_xlfn.CONCAT(C611, " @ ", D611)</f>
        <v>effortless-xlsx|RoleQuestions.IsAnswered @ q2-cfo-would-it-survive-restatement</v>
      </c>
      <c r="C611" s="2" t="s">
        <v>14721</v>
      </c>
      <c r="D611" s="2" t="s">
        <v>2280</v>
      </c>
      <c r="E611" s="2" t="s">
        <v>15035</v>
      </c>
      <c r="F611" s="2" t="s">
        <v>15057</v>
      </c>
      <c r="G611" s="2" t="s">
        <v>14591</v>
      </c>
      <c r="H611" s="3" t="str">
        <f>_xlfn.IFNA(INDEX(FieldDisagreements!C2:C999, MATCH(C611,FieldDisagreements!A2:A999, 0)), "")</f>
        <v>effortless-xlsx</v>
      </c>
      <c r="I611" s="3" t="str">
        <f>_xlfn.IFNA(INDEX(FieldDisagreements!D2:D999, MATCH(C611,FieldDisagreements!A2:A999, 0)), "")</f>
        <v>RoleQuestions.IsAnswered</v>
      </c>
      <c r="J611" s="2" t="s">
        <v>1906</v>
      </c>
    </row>
    <row r="612">
      <c r="A612" s="2" t="s">
        <v>15788</v>
      </c>
      <c r="B612" s="3" t="str">
        <f>_xlfn.CONCAT(C612, " @ ", D612)</f>
        <v>effortless-xlsx|RoleQuestions.IsAnswered @ q2-comms-freeze-what-i-approved</v>
      </c>
      <c r="C612" s="2" t="s">
        <v>14721</v>
      </c>
      <c r="D612" s="2" t="s">
        <v>2308</v>
      </c>
      <c r="E612" s="2" t="s">
        <v>15035</v>
      </c>
      <c r="F612" s="2" t="s">
        <v>15057</v>
      </c>
      <c r="G612" s="2" t="s">
        <v>14591</v>
      </c>
      <c r="H612" s="3" t="str">
        <f>_xlfn.IFNA(INDEX(FieldDisagreements!C2:C999, MATCH(C612,FieldDisagreements!A2:A999, 0)), "")</f>
        <v>effortless-xlsx</v>
      </c>
      <c r="I612" s="3" t="str">
        <f>_xlfn.IFNA(INDEX(FieldDisagreements!D2:D999, MATCH(C612,FieldDisagreements!A2:A999, 0)), "")</f>
        <v>RoleQuestions.IsAnswered</v>
      </c>
      <c r="J612" s="2" t="s">
        <v>1906</v>
      </c>
    </row>
    <row r="613">
      <c r="A613" s="2" t="s">
        <v>15789</v>
      </c>
      <c r="B613" s="3" t="str">
        <f>_xlfn.CONCAT(C613, " @ ", D613)</f>
        <v>effortless-xlsx|RoleQuestions.IsAnswered @ q2-comms-message-nobody-answered</v>
      </c>
      <c r="C613" s="2" t="s">
        <v>14721</v>
      </c>
      <c r="D613" s="2" t="s">
        <v>2300</v>
      </c>
      <c r="E613" s="2" t="s">
        <v>15035</v>
      </c>
      <c r="F613" s="2" t="s">
        <v>15057</v>
      </c>
      <c r="G613" s="2" t="s">
        <v>14591</v>
      </c>
      <c r="H613" s="3" t="str">
        <f>_xlfn.IFNA(INDEX(FieldDisagreements!C2:C999, MATCH(C613,FieldDisagreements!A2:A999, 0)), "")</f>
        <v>effortless-xlsx</v>
      </c>
      <c r="I613" s="3" t="str">
        <f>_xlfn.IFNA(INDEX(FieldDisagreements!D2:D999, MATCH(C613,FieldDisagreements!A2:A999, 0)), "")</f>
        <v>RoleQuestions.IsAnswered</v>
      </c>
      <c r="J613" s="2" t="s">
        <v>1906</v>
      </c>
    </row>
    <row r="614">
      <c r="A614" s="2" t="s">
        <v>15790</v>
      </c>
      <c r="B614" s="3" t="str">
        <f>_xlfn.CONCAT(C614, " @ ", D614)</f>
        <v>effortless-xlsx|RoleQuestions.IsAnswered @ q2-comms-my-approval-was-consumed-correctly</v>
      </c>
      <c r="C614" s="2" t="s">
        <v>14721</v>
      </c>
      <c r="D614" s="2" t="s">
        <v>2304</v>
      </c>
      <c r="E614" s="2" t="s">
        <v>15035</v>
      </c>
      <c r="F614" s="2" t="s">
        <v>15057</v>
      </c>
      <c r="G614" s="2" t="s">
        <v>14591</v>
      </c>
      <c r="H614" s="3" t="str">
        <f>_xlfn.IFNA(INDEX(FieldDisagreements!C2:C999, MATCH(C614,FieldDisagreements!A2:A999, 0)), "")</f>
        <v>effortless-xlsx</v>
      </c>
      <c r="I614" s="3" t="str">
        <f>_xlfn.IFNA(INDEX(FieldDisagreements!D2:D999, MATCH(C614,FieldDisagreements!A2:A999, 0)), "")</f>
        <v>RoleQuestions.IsAnswered</v>
      </c>
      <c r="J614" s="2" t="s">
        <v>1906</v>
      </c>
    </row>
    <row r="615">
      <c r="A615" s="2" t="s">
        <v>15791</v>
      </c>
      <c r="B615" s="3" t="str">
        <f>_xlfn.CONCAT(C615, " @ ", D615)</f>
        <v>effortless-xlsx|RoleQuestions.IsAnswered @ q2-comms-suppression-is-a-communication</v>
      </c>
      <c r="C615" s="2" t="s">
        <v>14721</v>
      </c>
      <c r="D615" s="2" t="s">
        <v>2312</v>
      </c>
      <c r="E615" s="2" t="s">
        <v>15035</v>
      </c>
      <c r="F615" s="2" t="s">
        <v>15057</v>
      </c>
      <c r="G615" s="2" t="s">
        <v>14591</v>
      </c>
      <c r="H615" s="3" t="str">
        <f>_xlfn.IFNA(INDEX(FieldDisagreements!C2:C999, MATCH(C615,FieldDisagreements!A2:A999, 0)), "")</f>
        <v>effortless-xlsx</v>
      </c>
      <c r="I615" s="3" t="str">
        <f>_xlfn.IFNA(INDEX(FieldDisagreements!D2:D999, MATCH(C615,FieldDisagreements!A2:A999, 0)), "")</f>
        <v>RoleQuestions.IsAnswered</v>
      </c>
      <c r="J615" s="2" t="s">
        <v>1906</v>
      </c>
    </row>
    <row r="616">
      <c r="A616" s="2" t="s">
        <v>15792</v>
      </c>
      <c r="B616" s="3" t="str">
        <f>_xlfn.CONCAT(C616, " @ ", D616)</f>
        <v>effortless-xlsx|RoleQuestions.IsAnswered @ q2-publisher-deferred-not-cancelled</v>
      </c>
      <c r="C616" s="2" t="s">
        <v>14721</v>
      </c>
      <c r="D616" s="2" t="s">
        <v>2340</v>
      </c>
      <c r="E616" s="2" t="s">
        <v>15035</v>
      </c>
      <c r="F616" s="2" t="s">
        <v>15057</v>
      </c>
      <c r="G616" s="2" t="s">
        <v>14591</v>
      </c>
      <c r="H616" s="3" t="str">
        <f>_xlfn.IFNA(INDEX(FieldDisagreements!C2:C999, MATCH(C616,FieldDisagreements!A2:A999, 0)), "")</f>
        <v>effortless-xlsx</v>
      </c>
      <c r="I616" s="3" t="str">
        <f>_xlfn.IFNA(INDEX(FieldDisagreements!D2:D999, MATCH(C616,FieldDisagreements!A2:A999, 0)), "")</f>
        <v>RoleQuestions.IsAnswered</v>
      </c>
      <c r="J616" s="2" t="s">
        <v>1906</v>
      </c>
    </row>
    <row r="617">
      <c r="A617" s="2" t="s">
        <v>15793</v>
      </c>
      <c r="B617" s="3" t="str">
        <f>_xlfn.CONCAT(C617, " @ ", D617)</f>
        <v>effortless-xlsx|RoleQuestions.IsAnswered @ q2-publisher-obligation-after-send</v>
      </c>
      <c r="C617" s="2" t="s">
        <v>14721</v>
      </c>
      <c r="D617" s="2" t="s">
        <v>2352</v>
      </c>
      <c r="E617" s="2" t="s">
        <v>15035</v>
      </c>
      <c r="F617" s="2" t="s">
        <v>15057</v>
      </c>
      <c r="G617" s="2" t="s">
        <v>14591</v>
      </c>
      <c r="H617" s="3" t="str">
        <f>_xlfn.IFNA(INDEX(FieldDisagreements!C2:C999, MATCH(C617,FieldDisagreements!A2:A999, 0)), "")</f>
        <v>effortless-xlsx</v>
      </c>
      <c r="I617" s="3" t="str">
        <f>_xlfn.IFNA(INDEX(FieldDisagreements!D2:D999, MATCH(C617,FieldDisagreements!A2:A999, 0)), "")</f>
        <v>RoleQuestions.IsAnswered</v>
      </c>
      <c r="J617" s="2" t="s">
        <v>1906</v>
      </c>
    </row>
    <row r="618">
      <c r="A618" s="2" t="s">
        <v>15794</v>
      </c>
      <c r="B618" s="3" t="str">
        <f>_xlfn.CONCAT(C618, " @ ", D618)</f>
        <v>effortless-xlsx|TestSuites.TestCount @ suite-integrity</v>
      </c>
      <c r="C618" s="2" t="s">
        <v>14722</v>
      </c>
      <c r="D618" s="2" t="s">
        <v>5922</v>
      </c>
      <c r="E618" s="2" t="s">
        <v>15795</v>
      </c>
      <c r="F618" s="2" t="s">
        <v>935</v>
      </c>
      <c r="G618" s="2" t="s">
        <v>14591</v>
      </c>
      <c r="H618" s="3" t="str">
        <f>_xlfn.IFNA(INDEX(FieldDisagreements!C2:C999, MATCH(C618,FieldDisagreements!A2:A999, 0)), "")</f>
        <v>effortless-xlsx</v>
      </c>
      <c r="I618" s="3" t="str">
        <f>_xlfn.IFNA(INDEX(FieldDisagreements!D2:D999, MATCH(C618,FieldDisagreements!A2:A999, 0)), "")</f>
        <v>TestSuites.TestCount</v>
      </c>
      <c r="J618" s="2" t="s">
        <v>1906</v>
      </c>
    </row>
    <row r="619">
      <c r="A619" s="2" t="s">
        <v>15796</v>
      </c>
      <c r="B619" s="3" t="str">
        <f>_xlfn.CONCAT(C619, " @ ", D619)</f>
        <v>effortless-xlsx|TestSuites.TestCount @ suite-invariant</v>
      </c>
      <c r="C619" s="2" t="s">
        <v>14722</v>
      </c>
      <c r="D619" s="2" t="s">
        <v>5928</v>
      </c>
      <c r="E619" s="2" t="s">
        <v>15756</v>
      </c>
      <c r="F619" s="2" t="s">
        <v>935</v>
      </c>
      <c r="G619" s="2" t="s">
        <v>14591</v>
      </c>
      <c r="H619" s="3" t="str">
        <f>_xlfn.IFNA(INDEX(FieldDisagreements!C2:C999, MATCH(C619,FieldDisagreements!A2:A999, 0)), "")</f>
        <v>effortless-xlsx</v>
      </c>
      <c r="I619" s="3" t="str">
        <f>_xlfn.IFNA(INDEX(FieldDisagreements!D2:D999, MATCH(C619,FieldDisagreements!A2:A999, 0)), "")</f>
        <v>TestSuites.TestCount</v>
      </c>
      <c r="J619" s="2" t="s">
        <v>1906</v>
      </c>
    </row>
    <row r="620">
      <c r="A620" s="2" t="s">
        <v>15797</v>
      </c>
      <c r="B620" s="3" t="str">
        <f>_xlfn.CONCAT(C620, " @ ", D620)</f>
        <v>effortless-xlsx|TestSuites.TestCount @ suite-provenance</v>
      </c>
      <c r="C620" s="2" t="s">
        <v>14722</v>
      </c>
      <c r="D620" s="2" t="s">
        <v>5926</v>
      </c>
      <c r="E620" s="2" t="s">
        <v>15798</v>
      </c>
      <c r="F620" s="2" t="s">
        <v>935</v>
      </c>
      <c r="G620" s="2" t="s">
        <v>14591</v>
      </c>
      <c r="H620" s="3" t="str">
        <f>_xlfn.IFNA(INDEX(FieldDisagreements!C2:C999, MATCH(C620,FieldDisagreements!A2:A999, 0)), "")</f>
        <v>effortless-xlsx</v>
      </c>
      <c r="I620" s="3" t="str">
        <f>_xlfn.IFNA(INDEX(FieldDisagreements!D2:D999, MATCH(C620,FieldDisagreements!A2:A999, 0)), "")</f>
        <v>TestSuites.TestCount</v>
      </c>
      <c r="J620" s="2" t="s">
        <v>1906</v>
      </c>
    </row>
    <row r="621">
      <c r="A621" s="2" t="s">
        <v>15799</v>
      </c>
      <c r="B621" s="3" t="str">
        <f>_xlfn.CONCAT(C621, " @ ", D621)</f>
        <v>effortless-xlsx|TestSuites.TestCount @ suite-substrate</v>
      </c>
      <c r="C621" s="2" t="s">
        <v>14722</v>
      </c>
      <c r="D621" s="2" t="s">
        <v>5920</v>
      </c>
      <c r="E621" s="2" t="s">
        <v>15800</v>
      </c>
      <c r="F621" s="2" t="s">
        <v>15801</v>
      </c>
      <c r="G621" s="2" t="s">
        <v>14591</v>
      </c>
      <c r="H621" s="3" t="str">
        <f>_xlfn.IFNA(INDEX(FieldDisagreements!C2:C999, MATCH(C621,FieldDisagreements!A2:A999, 0)), "")</f>
        <v>effortless-xlsx</v>
      </c>
      <c r="I621" s="3" t="str">
        <f>_xlfn.IFNA(INDEX(FieldDisagreements!D2:D999, MATCH(C621,FieldDisagreements!A2:A999, 0)), "")</f>
        <v>TestSuites.TestCount</v>
      </c>
      <c r="J621" s="2" t="s">
        <v>1906</v>
      </c>
    </row>
    <row r="622">
      <c r="A622" s="2" t="s">
        <v>15802</v>
      </c>
      <c r="B622" s="3" t="str">
        <f>_xlfn.CONCAT(C622, " @ ", D622)</f>
        <v>effortless-xlsx|TestSuites.TestCount @ suite-witness</v>
      </c>
      <c r="C622" s="2" t="s">
        <v>14722</v>
      </c>
      <c r="D622" s="2" t="s">
        <v>5924</v>
      </c>
      <c r="E622" s="2" t="s">
        <v>15803</v>
      </c>
      <c r="F622" s="2" t="s">
        <v>935</v>
      </c>
      <c r="G622" s="2" t="s">
        <v>14591</v>
      </c>
      <c r="H622" s="3" t="str">
        <f>_xlfn.IFNA(INDEX(FieldDisagreements!C2:C999, MATCH(C622,FieldDisagreements!A2:A999, 0)), "")</f>
        <v>effortless-xlsx</v>
      </c>
      <c r="I622" s="3" t="str">
        <f>_xlfn.IFNA(INDEX(FieldDisagreements!D2:D999, MATCH(C622,FieldDisagreements!A2:A999, 0)), "")</f>
        <v>TestSuites.TestCount</v>
      </c>
      <c r="J622" s="2" t="s">
        <v>1906</v>
      </c>
    </row>
    <row r="623">
      <c r="A623" s="2" t="s">
        <v>15804</v>
      </c>
      <c r="B623" s="3" t="str">
        <f>_xlfn.CONCAT(C623, " @ ", D623)</f>
        <v>effortless-xlsx|TestSuites.PassCount @ suite-integrity</v>
      </c>
      <c r="C623" s="2" t="s">
        <v>14723</v>
      </c>
      <c r="D623" s="2" t="s">
        <v>5922</v>
      </c>
      <c r="E623" s="2" t="s">
        <v>15795</v>
      </c>
      <c r="F623" s="2" t="s">
        <v>935</v>
      </c>
      <c r="G623" s="2" t="s">
        <v>14591</v>
      </c>
      <c r="H623" s="3" t="str">
        <f>_xlfn.IFNA(INDEX(FieldDisagreements!C2:C999, MATCH(C623,FieldDisagreements!A2:A999, 0)), "")</f>
        <v>effortless-xlsx</v>
      </c>
      <c r="I623" s="3" t="str">
        <f>_xlfn.IFNA(INDEX(FieldDisagreements!D2:D999, MATCH(C623,FieldDisagreements!A2:A999, 0)), "")</f>
        <v>TestSuites.PassCount</v>
      </c>
      <c r="J623" s="2" t="s">
        <v>1906</v>
      </c>
    </row>
    <row r="624">
      <c r="A624" s="2" t="s">
        <v>15805</v>
      </c>
      <c r="B624" s="3" t="str">
        <f>_xlfn.CONCAT(C624, " @ ", D624)</f>
        <v>effortless-xlsx|TestSuites.PassCount @ suite-invariant</v>
      </c>
      <c r="C624" s="2" t="s">
        <v>14723</v>
      </c>
      <c r="D624" s="2" t="s">
        <v>5928</v>
      </c>
      <c r="E624" s="2" t="s">
        <v>15756</v>
      </c>
      <c r="F624" s="2" t="s">
        <v>935</v>
      </c>
      <c r="G624" s="2" t="s">
        <v>14591</v>
      </c>
      <c r="H624" s="3" t="str">
        <f>_xlfn.IFNA(INDEX(FieldDisagreements!C2:C999, MATCH(C624,FieldDisagreements!A2:A999, 0)), "")</f>
        <v>effortless-xlsx</v>
      </c>
      <c r="I624" s="3" t="str">
        <f>_xlfn.IFNA(INDEX(FieldDisagreements!D2:D999, MATCH(C624,FieldDisagreements!A2:A999, 0)), "")</f>
        <v>TestSuites.PassCount</v>
      </c>
      <c r="J624" s="2" t="s">
        <v>1906</v>
      </c>
    </row>
    <row r="625">
      <c r="A625" s="2" t="s">
        <v>15806</v>
      </c>
      <c r="B625" s="3" t="str">
        <f>_xlfn.CONCAT(C625, " @ ", D625)</f>
        <v>effortless-xlsx|TestSuites.PassCount @ suite-provenance</v>
      </c>
      <c r="C625" s="2" t="s">
        <v>14723</v>
      </c>
      <c r="D625" s="2" t="s">
        <v>5926</v>
      </c>
      <c r="E625" s="2" t="s">
        <v>15798</v>
      </c>
      <c r="F625" s="2" t="s">
        <v>935</v>
      </c>
      <c r="G625" s="2" t="s">
        <v>14591</v>
      </c>
      <c r="H625" s="3" t="str">
        <f>_xlfn.IFNA(INDEX(FieldDisagreements!C2:C999, MATCH(C625,FieldDisagreements!A2:A999, 0)), "")</f>
        <v>effortless-xlsx</v>
      </c>
      <c r="I625" s="3" t="str">
        <f>_xlfn.IFNA(INDEX(FieldDisagreements!D2:D999, MATCH(C625,FieldDisagreements!A2:A999, 0)), "")</f>
        <v>TestSuites.PassCount</v>
      </c>
      <c r="J625" s="2" t="s">
        <v>1906</v>
      </c>
    </row>
    <row r="626">
      <c r="A626" s="2" t="s">
        <v>15807</v>
      </c>
      <c r="B626" s="3" t="str">
        <f>_xlfn.CONCAT(C626, " @ ", D626)</f>
        <v>effortless-xlsx|TestSuites.PassCount @ suite-substrate</v>
      </c>
      <c r="C626" s="2" t="s">
        <v>14723</v>
      </c>
      <c r="D626" s="2" t="s">
        <v>5920</v>
      </c>
      <c r="E626" s="2" t="s">
        <v>15808</v>
      </c>
      <c r="F626" s="2" t="s">
        <v>15801</v>
      </c>
      <c r="G626" s="2" t="s">
        <v>14591</v>
      </c>
      <c r="H626" s="3" t="str">
        <f>_xlfn.IFNA(INDEX(FieldDisagreements!C2:C999, MATCH(C626,FieldDisagreements!A2:A999, 0)), "")</f>
        <v>effortless-xlsx</v>
      </c>
      <c r="I626" s="3" t="str">
        <f>_xlfn.IFNA(INDEX(FieldDisagreements!D2:D999, MATCH(C626,FieldDisagreements!A2:A999, 0)), "")</f>
        <v>TestSuites.PassCount</v>
      </c>
      <c r="J626" s="2" t="s">
        <v>1906</v>
      </c>
    </row>
    <row r="627">
      <c r="A627" s="2" t="s">
        <v>15809</v>
      </c>
      <c r="B627" s="3" t="str">
        <f>_xlfn.CONCAT(C627, " @ ", D627)</f>
        <v>effortless-xlsx|TestSuites.PassCount @ suite-witness</v>
      </c>
      <c r="C627" s="2" t="s">
        <v>14723</v>
      </c>
      <c r="D627" s="2" t="s">
        <v>5924</v>
      </c>
      <c r="E627" s="2" t="s">
        <v>15810</v>
      </c>
      <c r="F627" s="2" t="s">
        <v>935</v>
      </c>
      <c r="G627" s="2" t="s">
        <v>14591</v>
      </c>
      <c r="H627" s="3" t="str">
        <f>_xlfn.IFNA(INDEX(FieldDisagreements!C2:C999, MATCH(C627,FieldDisagreements!A2:A999, 0)), "")</f>
        <v>effortless-xlsx</v>
      </c>
      <c r="I627" s="3" t="str">
        <f>_xlfn.IFNA(INDEX(FieldDisagreements!D2:D999, MATCH(C627,FieldDisagreements!A2:A999, 0)), "")</f>
        <v>TestSuites.PassCount</v>
      </c>
      <c r="J627" s="2" t="s">
        <v>1906</v>
      </c>
    </row>
    <row r="628">
      <c r="A628" s="2" t="s">
        <v>15811</v>
      </c>
      <c r="B628" s="3" t="str">
        <f>_xlfn.CONCAT(C628, " @ ", D628)</f>
        <v>effortless-xlsx|ObservedTransitions.Name @ obs-close-01-02-q2</v>
      </c>
      <c r="C628" s="2" t="s">
        <v>14724</v>
      </c>
      <c r="D628" s="2" t="s">
        <v>8200</v>
      </c>
      <c r="E628" s="2" t="s">
        <v>15122</v>
      </c>
      <c r="F628" s="2" t="s">
        <v>15812</v>
      </c>
      <c r="G628" s="2" t="s">
        <v>14591</v>
      </c>
      <c r="H628" s="3" t="str">
        <f>_xlfn.IFNA(INDEX(FieldDisagreements!C2:C999, MATCH(C628,FieldDisagreements!A2:A999, 0)), "")</f>
        <v>effortless-xlsx</v>
      </c>
      <c r="I628" s="3" t="str">
        <f>_xlfn.IFNA(INDEX(FieldDisagreements!D2:D999, MATCH(C628,FieldDisagreements!A2:A999, 0)), "")</f>
        <v>ObservedTransitions.Name</v>
      </c>
      <c r="J628" s="2" t="s">
        <v>1906</v>
      </c>
    </row>
    <row r="629">
      <c r="A629" s="2" t="s">
        <v>15813</v>
      </c>
      <c r="B629" s="3" t="str">
        <f>_xlfn.CONCAT(C629, " @ ", D629)</f>
        <v>effortless-xlsx|ObservedTransitions.Name @ obs-close-02-03-q2</v>
      </c>
      <c r="C629" s="2" t="s">
        <v>14724</v>
      </c>
      <c r="D629" s="2" t="s">
        <v>8202</v>
      </c>
      <c r="E629" s="2" t="s">
        <v>15125</v>
      </c>
      <c r="F629" s="2" t="s">
        <v>15814</v>
      </c>
      <c r="G629" s="2" t="s">
        <v>14591</v>
      </c>
      <c r="H629" s="3" t="str">
        <f>_xlfn.IFNA(INDEX(FieldDisagreements!C2:C999, MATCH(C629,FieldDisagreements!A2:A999, 0)), "")</f>
        <v>effortless-xlsx</v>
      </c>
      <c r="I629" s="3" t="str">
        <f>_xlfn.IFNA(INDEX(FieldDisagreements!D2:D999, MATCH(C629,FieldDisagreements!A2:A999, 0)), "")</f>
        <v>ObservedTransitions.Name</v>
      </c>
      <c r="J629" s="2" t="s">
        <v>1906</v>
      </c>
    </row>
    <row r="630">
      <c r="A630" s="2" t="s">
        <v>15815</v>
      </c>
      <c r="B630" s="3" t="str">
        <f>_xlfn.CONCAT(C630, " @ ", D630)</f>
        <v>effortless-xlsx|ObservedTransitions.Name @ obs-close-03-04-q2</v>
      </c>
      <c r="C630" s="2" t="s">
        <v>14724</v>
      </c>
      <c r="D630" s="2" t="s">
        <v>8203</v>
      </c>
      <c r="E630" s="2" t="s">
        <v>15128</v>
      </c>
      <c r="F630" s="2" t="s">
        <v>15816</v>
      </c>
      <c r="G630" s="2" t="s">
        <v>14591</v>
      </c>
      <c r="H630" s="3" t="str">
        <f>_xlfn.IFNA(INDEX(FieldDisagreements!C2:C999, MATCH(C630,FieldDisagreements!A2:A999, 0)), "")</f>
        <v>effortless-xlsx</v>
      </c>
      <c r="I630" s="3" t="str">
        <f>_xlfn.IFNA(INDEX(FieldDisagreements!D2:D999, MATCH(C630,FieldDisagreements!A2:A999, 0)), "")</f>
        <v>ObservedTransitions.Name</v>
      </c>
      <c r="J630" s="2" t="s">
        <v>1906</v>
      </c>
    </row>
    <row r="631">
      <c r="A631" s="2" t="s">
        <v>15817</v>
      </c>
      <c r="B631" s="3" t="str">
        <f>_xlfn.CONCAT(C631, " @ ", D631)</f>
        <v>effortless-xlsx|ObservedTransitions.Name @ obs-close-04-05-q2</v>
      </c>
      <c r="C631" s="2" t="s">
        <v>14724</v>
      </c>
      <c r="D631" s="2" t="s">
        <v>8204</v>
      </c>
      <c r="E631" s="2" t="s">
        <v>15131</v>
      </c>
      <c r="F631" s="2" t="s">
        <v>15818</v>
      </c>
      <c r="G631" s="2" t="s">
        <v>14591</v>
      </c>
      <c r="H631" s="3" t="str">
        <f>_xlfn.IFNA(INDEX(FieldDisagreements!C2:C999, MATCH(C631,FieldDisagreements!A2:A999, 0)), "")</f>
        <v>effortless-xlsx</v>
      </c>
      <c r="I631" s="3" t="str">
        <f>_xlfn.IFNA(INDEX(FieldDisagreements!D2:D999, MATCH(C631,FieldDisagreements!A2:A999, 0)), "")</f>
        <v>ObservedTransitions.Name</v>
      </c>
      <c r="J631" s="2" t="s">
        <v>1906</v>
      </c>
    </row>
    <row r="632">
      <c r="A632" s="2" t="s">
        <v>15819</v>
      </c>
      <c r="B632" s="3" t="str">
        <f>_xlfn.CONCAT(C632, " @ ", D632)</f>
        <v>effortless-xlsx|ObservedTransitions.Name @ obs-close-05-06-q2</v>
      </c>
      <c r="C632" s="2" t="s">
        <v>14724</v>
      </c>
      <c r="D632" s="2" t="s">
        <v>8205</v>
      </c>
      <c r="E632" s="2" t="s">
        <v>15134</v>
      </c>
      <c r="F632" s="2" t="s">
        <v>15820</v>
      </c>
      <c r="G632" s="2" t="s">
        <v>14591</v>
      </c>
      <c r="H632" s="3" t="str">
        <f>_xlfn.IFNA(INDEX(FieldDisagreements!C2:C999, MATCH(C632,FieldDisagreements!A2:A999, 0)), "")</f>
        <v>effortless-xlsx</v>
      </c>
      <c r="I632" s="3" t="str">
        <f>_xlfn.IFNA(INDEX(FieldDisagreements!D2:D999, MATCH(C632,FieldDisagreements!A2:A999, 0)), "")</f>
        <v>ObservedTransitions.Name</v>
      </c>
      <c r="J632" s="2" t="s">
        <v>1906</v>
      </c>
    </row>
    <row r="633">
      <c r="A633" s="2" t="s">
        <v>15821</v>
      </c>
      <c r="B633" s="3" t="str">
        <f>_xlfn.CONCAT(C633, " @ ", D633)</f>
        <v>effortless-xlsx|ObservedTransitions.Name @ obs-close-06-07-q2</v>
      </c>
      <c r="C633" s="2" t="s">
        <v>14724</v>
      </c>
      <c r="D633" s="2" t="s">
        <v>8206</v>
      </c>
      <c r="E633" s="2" t="s">
        <v>15137</v>
      </c>
      <c r="F633" s="2" t="s">
        <v>15822</v>
      </c>
      <c r="G633" s="2" t="s">
        <v>14591</v>
      </c>
      <c r="H633" s="3" t="str">
        <f>_xlfn.IFNA(INDEX(FieldDisagreements!C2:C999, MATCH(C633,FieldDisagreements!A2:A999, 0)), "")</f>
        <v>effortless-xlsx</v>
      </c>
      <c r="I633" s="3" t="str">
        <f>_xlfn.IFNA(INDEX(FieldDisagreements!D2:D999, MATCH(C633,FieldDisagreements!A2:A999, 0)), "")</f>
        <v>ObservedTransitions.Name</v>
      </c>
      <c r="J633" s="2" t="s">
        <v>1906</v>
      </c>
    </row>
    <row r="634">
      <c r="A634" s="2" t="s">
        <v>15823</v>
      </c>
      <c r="B634" s="3" t="str">
        <f>_xlfn.CONCAT(C634, " @ ", D634)</f>
        <v>effortless-xlsx|ObservedTransitions.Name @ obs-close-07-08-q2</v>
      </c>
      <c r="C634" s="2" t="s">
        <v>14724</v>
      </c>
      <c r="D634" s="2" t="s">
        <v>8207</v>
      </c>
      <c r="E634" s="2" t="s">
        <v>15140</v>
      </c>
      <c r="F634" s="2" t="s">
        <v>15824</v>
      </c>
      <c r="G634" s="2" t="s">
        <v>14591</v>
      </c>
      <c r="H634" s="3" t="str">
        <f>_xlfn.IFNA(INDEX(FieldDisagreements!C2:C999, MATCH(C634,FieldDisagreements!A2:A999, 0)), "")</f>
        <v>effortless-xlsx</v>
      </c>
      <c r="I634" s="3" t="str">
        <f>_xlfn.IFNA(INDEX(FieldDisagreements!D2:D999, MATCH(C634,FieldDisagreements!A2:A999, 0)), "")</f>
        <v>ObservedTransitions.Name</v>
      </c>
      <c r="J634" s="2" t="s">
        <v>1906</v>
      </c>
    </row>
    <row r="635">
      <c r="A635" s="2" t="s">
        <v>15825</v>
      </c>
      <c r="B635" s="3" t="str">
        <f>_xlfn.CONCAT(C635, " @ ", D635)</f>
        <v>effortless-xlsx|ObservedTransitions.Name @ obs-policy-01-02-hr4821</v>
      </c>
      <c r="C635" s="2" t="s">
        <v>14724</v>
      </c>
      <c r="D635" s="2" t="s">
        <v>8208</v>
      </c>
      <c r="E635" s="2" t="s">
        <v>15143</v>
      </c>
      <c r="F635" s="2" t="s">
        <v>15826</v>
      </c>
      <c r="G635" s="2" t="s">
        <v>14591</v>
      </c>
      <c r="H635" s="3" t="str">
        <f>_xlfn.IFNA(INDEX(FieldDisagreements!C2:C999, MATCH(C635,FieldDisagreements!A2:A999, 0)), "")</f>
        <v>effortless-xlsx</v>
      </c>
      <c r="I635" s="3" t="str">
        <f>_xlfn.IFNA(INDEX(FieldDisagreements!D2:D999, MATCH(C635,FieldDisagreements!A2:A999, 0)), "")</f>
        <v>ObservedTransitions.Name</v>
      </c>
      <c r="J635" s="2" t="s">
        <v>1906</v>
      </c>
    </row>
    <row r="636">
      <c r="A636" s="2" t="s">
        <v>15827</v>
      </c>
      <c r="B636" s="3" t="str">
        <f>_xlfn.CONCAT(C636, " @ ", D636)</f>
        <v>effortless-xlsx|ObservedTransitions.Name @ obs-policy-02-03-hr4821</v>
      </c>
      <c r="C636" s="2" t="s">
        <v>14724</v>
      </c>
      <c r="D636" s="2" t="s">
        <v>8209</v>
      </c>
      <c r="E636" s="2" t="s">
        <v>15146</v>
      </c>
      <c r="F636" s="2" t="s">
        <v>15828</v>
      </c>
      <c r="G636" s="2" t="s">
        <v>14591</v>
      </c>
      <c r="H636" s="3" t="str">
        <f>_xlfn.IFNA(INDEX(FieldDisagreements!C2:C999, MATCH(C636,FieldDisagreements!A2:A999, 0)), "")</f>
        <v>effortless-xlsx</v>
      </c>
      <c r="I636" s="3" t="str">
        <f>_xlfn.IFNA(INDEX(FieldDisagreements!D2:D999, MATCH(C636,FieldDisagreements!A2:A999, 0)), "")</f>
        <v>ObservedTransitions.Name</v>
      </c>
      <c r="J636" s="2" t="s">
        <v>1906</v>
      </c>
    </row>
    <row r="637">
      <c r="A637" s="2" t="s">
        <v>15829</v>
      </c>
      <c r="B637" s="3" t="str">
        <f>_xlfn.CONCAT(C637, " @ ", D637)</f>
        <v>effortless-xlsx|ObservedTransitions.Name @ obs-policy-03-04-hr4821</v>
      </c>
      <c r="C637" s="2" t="s">
        <v>14724</v>
      </c>
      <c r="D637" s="2" t="s">
        <v>8210</v>
      </c>
      <c r="E637" s="2" t="s">
        <v>15149</v>
      </c>
      <c r="F637" s="2" t="s">
        <v>15830</v>
      </c>
      <c r="G637" s="2" t="s">
        <v>14591</v>
      </c>
      <c r="H637" s="3" t="str">
        <f>_xlfn.IFNA(INDEX(FieldDisagreements!C2:C999, MATCH(C637,FieldDisagreements!A2:A999, 0)), "")</f>
        <v>effortless-xlsx</v>
      </c>
      <c r="I637" s="3" t="str">
        <f>_xlfn.IFNA(INDEX(FieldDisagreements!D2:D999, MATCH(C637,FieldDisagreements!A2:A999, 0)), "")</f>
        <v>ObservedTransitions.Name</v>
      </c>
      <c r="J637" s="2" t="s">
        <v>1906</v>
      </c>
    </row>
    <row r="638">
      <c r="A638" s="2" t="s">
        <v>15831</v>
      </c>
      <c r="B638" s="3" t="str">
        <f>_xlfn.CONCAT(C638, " @ ", D638)</f>
        <v>effortless-xlsx|MessageDeliveries.Name @ md-001</v>
      </c>
      <c r="C638" s="2" t="s">
        <v>14725</v>
      </c>
      <c r="D638" s="2" t="s">
        <v>8234</v>
      </c>
      <c r="E638" s="2" t="s">
        <v>15152</v>
      </c>
      <c r="F638" s="2" t="s">
        <v>15832</v>
      </c>
      <c r="G638" s="2" t="s">
        <v>14591</v>
      </c>
      <c r="H638" s="3" t="str">
        <f>_xlfn.IFNA(INDEX(FieldDisagreements!C2:C999, MATCH(C638,FieldDisagreements!A2:A999, 0)), "")</f>
        <v>effortless-xlsx</v>
      </c>
      <c r="I638" s="3" t="str">
        <f>_xlfn.IFNA(INDEX(FieldDisagreements!D2:D999, MATCH(C638,FieldDisagreements!A2:A999, 0)), "")</f>
        <v>MessageDeliveries.Name</v>
      </c>
      <c r="J638" s="2" t="s">
        <v>1906</v>
      </c>
    </row>
    <row r="639">
      <c r="A639" s="2" t="s">
        <v>15833</v>
      </c>
      <c r="B639" s="3" t="str">
        <f>_xlfn.CONCAT(C639, " @ ", D639)</f>
        <v>effortless-xlsx|MessageDeliveries.Name @ md-002</v>
      </c>
      <c r="C639" s="2" t="s">
        <v>14725</v>
      </c>
      <c r="D639" s="2" t="s">
        <v>8238</v>
      </c>
      <c r="E639" s="2" t="s">
        <v>15155</v>
      </c>
      <c r="F639" s="2" t="s">
        <v>15834</v>
      </c>
      <c r="G639" s="2" t="s">
        <v>14591</v>
      </c>
      <c r="H639" s="3" t="str">
        <f>_xlfn.IFNA(INDEX(FieldDisagreements!C2:C999, MATCH(C639,FieldDisagreements!A2:A999, 0)), "")</f>
        <v>effortless-xlsx</v>
      </c>
      <c r="I639" s="3" t="str">
        <f>_xlfn.IFNA(INDEX(FieldDisagreements!D2:D999, MATCH(C639,FieldDisagreements!A2:A999, 0)), "")</f>
        <v>MessageDeliveries.Name</v>
      </c>
      <c r="J639" s="2" t="s">
        <v>1906</v>
      </c>
    </row>
    <row r="640">
      <c r="A640" s="2" t="s">
        <v>15835</v>
      </c>
      <c r="B640" s="3" t="str">
        <f>_xlfn.CONCAT(C640, " @ ", D640)</f>
        <v>effortless-xlsx|MessageDeliveries.Name @ md-003</v>
      </c>
      <c r="C640" s="2" t="s">
        <v>14725</v>
      </c>
      <c r="D640" s="2" t="s">
        <v>8239</v>
      </c>
      <c r="E640" s="2" t="s">
        <v>15158</v>
      </c>
      <c r="F640" s="2" t="s">
        <v>15836</v>
      </c>
      <c r="G640" s="2" t="s">
        <v>14591</v>
      </c>
      <c r="H640" s="3" t="str">
        <f>_xlfn.IFNA(INDEX(FieldDisagreements!C2:C999, MATCH(C640,FieldDisagreements!A2:A999, 0)), "")</f>
        <v>effortless-xlsx</v>
      </c>
      <c r="I640" s="3" t="str">
        <f>_xlfn.IFNA(INDEX(FieldDisagreements!D2:D999, MATCH(C640,FieldDisagreements!A2:A999, 0)), "")</f>
        <v>MessageDeliveries.Name</v>
      </c>
      <c r="J640" s="2" t="s">
        <v>1906</v>
      </c>
    </row>
    <row r="641">
      <c r="A641" s="2" t="s">
        <v>15837</v>
      </c>
      <c r="B641" s="3" t="str">
        <f>_xlfn.CONCAT(C641, " @ ", D641)</f>
        <v>effortless-xlsx|MessageDeliveries.Name @ md-004</v>
      </c>
      <c r="C641" s="2" t="s">
        <v>14725</v>
      </c>
      <c r="D641" s="2" t="s">
        <v>8241</v>
      </c>
      <c r="E641" s="2" t="s">
        <v>15161</v>
      </c>
      <c r="F641" s="2" t="s">
        <v>15838</v>
      </c>
      <c r="G641" s="2" t="s">
        <v>14591</v>
      </c>
      <c r="H641" s="3" t="str">
        <f>_xlfn.IFNA(INDEX(FieldDisagreements!C2:C999, MATCH(C641,FieldDisagreements!A2:A999, 0)), "")</f>
        <v>effortless-xlsx</v>
      </c>
      <c r="I641" s="3" t="str">
        <f>_xlfn.IFNA(INDEX(FieldDisagreements!D2:D999, MATCH(C641,FieldDisagreements!A2:A999, 0)), "")</f>
        <v>MessageDeliveries.Name</v>
      </c>
      <c r="J641" s="2" t="s">
        <v>1906</v>
      </c>
    </row>
    <row r="642">
      <c r="A642" s="2" t="s">
        <v>15839</v>
      </c>
      <c r="B642" s="3" t="str">
        <f>_xlfn.CONCAT(C642, " @ ", D642)</f>
        <v>effortless-xlsx|MessageDeliveries.Name @ md-005</v>
      </c>
      <c r="C642" s="2" t="s">
        <v>14725</v>
      </c>
      <c r="D642" s="2" t="s">
        <v>8244</v>
      </c>
      <c r="E642" s="2" t="s">
        <v>15164</v>
      </c>
      <c r="F642" s="2" t="s">
        <v>15840</v>
      </c>
      <c r="G642" s="2" t="s">
        <v>14591</v>
      </c>
      <c r="H642" s="3" t="str">
        <f>_xlfn.IFNA(INDEX(FieldDisagreements!C2:C999, MATCH(C642,FieldDisagreements!A2:A999, 0)), "")</f>
        <v>effortless-xlsx</v>
      </c>
      <c r="I642" s="3" t="str">
        <f>_xlfn.IFNA(INDEX(FieldDisagreements!D2:D999, MATCH(C642,FieldDisagreements!A2:A999, 0)), "")</f>
        <v>MessageDeliveries.Name</v>
      </c>
      <c r="J642" s="2" t="s">
        <v>1906</v>
      </c>
    </row>
    <row r="643">
      <c r="A643" s="2" t="s">
        <v>15841</v>
      </c>
      <c r="B643" s="3" t="str">
        <f>_xlfn.CONCAT(C643, " @ ", D643)</f>
        <v>effortless-xlsx|MessageDeliveries.Name @ md-006</v>
      </c>
      <c r="C643" s="2" t="s">
        <v>14725</v>
      </c>
      <c r="D643" s="2" t="s">
        <v>8247</v>
      </c>
      <c r="E643" s="2" t="s">
        <v>15167</v>
      </c>
      <c r="F643" s="2" t="s">
        <v>15842</v>
      </c>
      <c r="G643" s="2" t="s">
        <v>14591</v>
      </c>
      <c r="H643" s="3" t="str">
        <f>_xlfn.IFNA(INDEX(FieldDisagreements!C2:C999, MATCH(C643,FieldDisagreements!A2:A999, 0)), "")</f>
        <v>effortless-xlsx</v>
      </c>
      <c r="I643" s="3" t="str">
        <f>_xlfn.IFNA(INDEX(FieldDisagreements!D2:D999, MATCH(C643,FieldDisagreements!A2:A999, 0)), "")</f>
        <v>MessageDeliveries.Name</v>
      </c>
      <c r="J643" s="2" t="s">
        <v>1906</v>
      </c>
    </row>
    <row r="644">
      <c r="A644" s="2" t="s">
        <v>15843</v>
      </c>
      <c r="B644" s="3" t="str">
        <f>_xlfn.CONCAT(C644, " @ ", D644)</f>
        <v>effortless-xlsx|MessageDeliveries.AsOfInstant @ md-001</v>
      </c>
      <c r="C644" s="2" t="s">
        <v>14726</v>
      </c>
      <c r="D644" s="2" t="s">
        <v>8234</v>
      </c>
      <c r="E644" s="2" t="s">
        <v>15271</v>
      </c>
      <c r="F644" s="2" t="s">
        <v>15272</v>
      </c>
      <c r="G644" s="2" t="s">
        <v>14591</v>
      </c>
      <c r="H644" s="3" t="str">
        <f>_xlfn.IFNA(INDEX(FieldDisagreements!C2:C999, MATCH(C644,FieldDisagreements!A2:A999, 0)), "")</f>
        <v>effortless-xlsx</v>
      </c>
      <c r="I644" s="3" t="str">
        <f>_xlfn.IFNA(INDEX(FieldDisagreements!D2:D999, MATCH(C644,FieldDisagreements!A2:A999, 0)), "")</f>
        <v>MessageDeliveries.AsOfInstant</v>
      </c>
      <c r="J644" s="2" t="s">
        <v>1906</v>
      </c>
    </row>
    <row r="645">
      <c r="A645" s="2" t="s">
        <v>15844</v>
      </c>
      <c r="B645" s="3" t="str">
        <f>_xlfn.CONCAT(C645, " @ ", D645)</f>
        <v>effortless-xlsx|MessageDeliveries.AsOfInstant @ md-002</v>
      </c>
      <c r="C645" s="2" t="s">
        <v>14726</v>
      </c>
      <c r="D645" s="2" t="s">
        <v>8238</v>
      </c>
      <c r="E645" s="2" t="s">
        <v>15271</v>
      </c>
      <c r="F645" s="2" t="s">
        <v>15272</v>
      </c>
      <c r="G645" s="2" t="s">
        <v>14591</v>
      </c>
      <c r="H645" s="3" t="str">
        <f>_xlfn.IFNA(INDEX(FieldDisagreements!C2:C999, MATCH(C645,FieldDisagreements!A2:A999, 0)), "")</f>
        <v>effortless-xlsx</v>
      </c>
      <c r="I645" s="3" t="str">
        <f>_xlfn.IFNA(INDEX(FieldDisagreements!D2:D999, MATCH(C645,FieldDisagreements!A2:A999, 0)), "")</f>
        <v>MessageDeliveries.AsOfInstant</v>
      </c>
      <c r="J645" s="2" t="s">
        <v>1906</v>
      </c>
    </row>
    <row r="646">
      <c r="A646" s="2" t="s">
        <v>15845</v>
      </c>
      <c r="B646" s="3" t="str">
        <f>_xlfn.CONCAT(C646, " @ ", D646)</f>
        <v>effortless-xlsx|MessageDeliveries.AsOfInstant @ md-003</v>
      </c>
      <c r="C646" s="2" t="s">
        <v>14726</v>
      </c>
      <c r="D646" s="2" t="s">
        <v>8239</v>
      </c>
      <c r="E646" s="2" t="s">
        <v>15271</v>
      </c>
      <c r="F646" s="2" t="s">
        <v>15272</v>
      </c>
      <c r="G646" s="2" t="s">
        <v>14591</v>
      </c>
      <c r="H646" s="3" t="str">
        <f>_xlfn.IFNA(INDEX(FieldDisagreements!C2:C999, MATCH(C646,FieldDisagreements!A2:A999, 0)), "")</f>
        <v>effortless-xlsx</v>
      </c>
      <c r="I646" s="3" t="str">
        <f>_xlfn.IFNA(INDEX(FieldDisagreements!D2:D999, MATCH(C646,FieldDisagreements!A2:A999, 0)), "")</f>
        <v>MessageDeliveries.AsOfInstant</v>
      </c>
      <c r="J646" s="2" t="s">
        <v>1906</v>
      </c>
    </row>
    <row r="647">
      <c r="A647" s="2" t="s">
        <v>15846</v>
      </c>
      <c r="B647" s="3" t="str">
        <f>_xlfn.CONCAT(C647, " @ ", D647)</f>
        <v>effortless-xlsx|MessageDeliveries.AsOfInstant @ md-004</v>
      </c>
      <c r="C647" s="2" t="s">
        <v>14726</v>
      </c>
      <c r="D647" s="2" t="s">
        <v>8241</v>
      </c>
      <c r="E647" s="2" t="s">
        <v>15271</v>
      </c>
      <c r="F647" s="2" t="s">
        <v>15272</v>
      </c>
      <c r="G647" s="2" t="s">
        <v>14591</v>
      </c>
      <c r="H647" s="3" t="str">
        <f>_xlfn.IFNA(INDEX(FieldDisagreements!C2:C999, MATCH(C647,FieldDisagreements!A2:A999, 0)), "")</f>
        <v>effortless-xlsx</v>
      </c>
      <c r="I647" s="3" t="str">
        <f>_xlfn.IFNA(INDEX(FieldDisagreements!D2:D999, MATCH(C647,FieldDisagreements!A2:A999, 0)), "")</f>
        <v>MessageDeliveries.AsOfInstant</v>
      </c>
      <c r="J647" s="2" t="s">
        <v>1906</v>
      </c>
    </row>
    <row r="648">
      <c r="A648" s="2" t="s">
        <v>15847</v>
      </c>
      <c r="B648" s="3" t="str">
        <f>_xlfn.CONCAT(C648, " @ ", D648)</f>
        <v>effortless-xlsx|MessageDeliveries.AsOfInstant @ md-005</v>
      </c>
      <c r="C648" s="2" t="s">
        <v>14726</v>
      </c>
      <c r="D648" s="2" t="s">
        <v>8244</v>
      </c>
      <c r="E648" s="2" t="s">
        <v>15271</v>
      </c>
      <c r="F648" s="2" t="s">
        <v>15272</v>
      </c>
      <c r="G648" s="2" t="s">
        <v>14591</v>
      </c>
      <c r="H648" s="3" t="str">
        <f>_xlfn.IFNA(INDEX(FieldDisagreements!C2:C999, MATCH(C648,FieldDisagreements!A2:A999, 0)), "")</f>
        <v>effortless-xlsx</v>
      </c>
      <c r="I648" s="3" t="str">
        <f>_xlfn.IFNA(INDEX(FieldDisagreements!D2:D999, MATCH(C648,FieldDisagreements!A2:A999, 0)), "")</f>
        <v>MessageDeliveries.AsOfInstant</v>
      </c>
      <c r="J648" s="2" t="s">
        <v>1906</v>
      </c>
    </row>
    <row r="649">
      <c r="A649" s="2" t="s">
        <v>15848</v>
      </c>
      <c r="B649" s="3" t="str">
        <f>_xlfn.CONCAT(C649, " @ ", D649)</f>
        <v>effortless-xlsx|MessageDeliveries.AsOfInstant @ md-006</v>
      </c>
      <c r="C649" s="2" t="s">
        <v>14726</v>
      </c>
      <c r="D649" s="2" t="s">
        <v>8247</v>
      </c>
      <c r="E649" s="2" t="s">
        <v>15271</v>
      </c>
      <c r="F649" s="2" t="s">
        <v>15272</v>
      </c>
      <c r="G649" s="2" t="s">
        <v>14591</v>
      </c>
      <c r="H649" s="3" t="str">
        <f>_xlfn.IFNA(INDEX(FieldDisagreements!C2:C999, MATCH(C649,FieldDisagreements!A2:A999, 0)), "")</f>
        <v>effortless-xlsx</v>
      </c>
      <c r="I649" s="3" t="str">
        <f>_xlfn.IFNA(INDEX(FieldDisagreements!D2:D999, MATCH(C649,FieldDisagreements!A2:A999, 0)), "")</f>
        <v>MessageDeliveries.AsOfInstant</v>
      </c>
      <c r="J649" s="2" t="s">
        <v>1906</v>
      </c>
    </row>
    <row r="650">
      <c r="A650" s="2" t="s">
        <v>15849</v>
      </c>
      <c r="B650" s="3" t="str">
        <f>_xlfn.CONCAT(C650, " @ ", D650)</f>
        <v>effortless-xlsx|MessageDeliveries.AgeDays @ md-001</v>
      </c>
      <c r="C650" s="2" t="s">
        <v>14727</v>
      </c>
      <c r="D650" s="2" t="s">
        <v>8234</v>
      </c>
      <c r="E650" s="2" t="s">
        <v>935</v>
      </c>
      <c r="F650" s="2" t="s">
        <v>37</v>
      </c>
      <c r="G650" s="2" t="s">
        <v>14591</v>
      </c>
      <c r="H650" s="3" t="str">
        <f>_xlfn.IFNA(INDEX(FieldDisagreements!C2:C999, MATCH(C650,FieldDisagreements!A2:A999, 0)), "")</f>
        <v>effortless-xlsx</v>
      </c>
      <c r="I650" s="3" t="str">
        <f>_xlfn.IFNA(INDEX(FieldDisagreements!D2:D999, MATCH(C650,FieldDisagreements!A2:A999, 0)), "")</f>
        <v>MessageDeliveries.AgeDays</v>
      </c>
      <c r="J650" s="2" t="s">
        <v>1906</v>
      </c>
    </row>
    <row r="651">
      <c r="A651" s="2" t="s">
        <v>15850</v>
      </c>
      <c r="B651" s="3" t="str">
        <f>_xlfn.CONCAT(C651, " @ ", D651)</f>
        <v>effortless-xlsx|MessageDeliveries.AgeDays @ md-002</v>
      </c>
      <c r="C651" s="2" t="s">
        <v>14727</v>
      </c>
      <c r="D651" s="2" t="s">
        <v>8238</v>
      </c>
      <c r="E651" s="2" t="s">
        <v>935</v>
      </c>
      <c r="F651" s="2" t="s">
        <v>37</v>
      </c>
      <c r="G651" s="2" t="s">
        <v>14591</v>
      </c>
      <c r="H651" s="3" t="str">
        <f>_xlfn.IFNA(INDEX(FieldDisagreements!C2:C999, MATCH(C651,FieldDisagreements!A2:A999, 0)), "")</f>
        <v>effortless-xlsx</v>
      </c>
      <c r="I651" s="3" t="str">
        <f>_xlfn.IFNA(INDEX(FieldDisagreements!D2:D999, MATCH(C651,FieldDisagreements!A2:A999, 0)), "")</f>
        <v>MessageDeliveries.AgeDays</v>
      </c>
      <c r="J651" s="2" t="s">
        <v>1906</v>
      </c>
    </row>
    <row r="652">
      <c r="A652" s="2" t="s">
        <v>15851</v>
      </c>
      <c r="B652" s="3" t="str">
        <f>_xlfn.CONCAT(C652, " @ ", D652)</f>
        <v>effortless-xlsx|MessageDeliveries.AgeDays @ md-003</v>
      </c>
      <c r="C652" s="2" t="s">
        <v>14727</v>
      </c>
      <c r="D652" s="2" t="s">
        <v>8239</v>
      </c>
      <c r="E652" s="2" t="s">
        <v>935</v>
      </c>
      <c r="F652" s="2" t="s">
        <v>37</v>
      </c>
      <c r="G652" s="2" t="s">
        <v>14591</v>
      </c>
      <c r="H652" s="3" t="str">
        <f>_xlfn.IFNA(INDEX(FieldDisagreements!C2:C999, MATCH(C652,FieldDisagreements!A2:A999, 0)), "")</f>
        <v>effortless-xlsx</v>
      </c>
      <c r="I652" s="3" t="str">
        <f>_xlfn.IFNA(INDEX(FieldDisagreements!D2:D999, MATCH(C652,FieldDisagreements!A2:A999, 0)), "")</f>
        <v>MessageDeliveries.AgeDays</v>
      </c>
      <c r="J652" s="2" t="s">
        <v>1906</v>
      </c>
    </row>
    <row r="653">
      <c r="A653" s="2" t="s">
        <v>15852</v>
      </c>
      <c r="B653" s="3" t="str">
        <f>_xlfn.CONCAT(C653, " @ ", D653)</f>
        <v>effortless-xlsx|MessageDeliveries.AgeDays @ md-004</v>
      </c>
      <c r="C653" s="2" t="s">
        <v>14727</v>
      </c>
      <c r="D653" s="2" t="s">
        <v>8241</v>
      </c>
      <c r="E653" s="2" t="s">
        <v>935</v>
      </c>
      <c r="F653" s="2" t="s">
        <v>37</v>
      </c>
      <c r="G653" s="2" t="s">
        <v>14591</v>
      </c>
      <c r="H653" s="3" t="str">
        <f>_xlfn.IFNA(INDEX(FieldDisagreements!C2:C999, MATCH(C653,FieldDisagreements!A2:A999, 0)), "")</f>
        <v>effortless-xlsx</v>
      </c>
      <c r="I653" s="3" t="str">
        <f>_xlfn.IFNA(INDEX(FieldDisagreements!D2:D999, MATCH(C653,FieldDisagreements!A2:A999, 0)), "")</f>
        <v>MessageDeliveries.AgeDays</v>
      </c>
      <c r="J653" s="2" t="s">
        <v>1906</v>
      </c>
    </row>
    <row r="654">
      <c r="A654" s="2" t="s">
        <v>15853</v>
      </c>
      <c r="B654" s="3" t="str">
        <f>_xlfn.CONCAT(C654, " @ ", D654)</f>
        <v>effortless-xlsx|MessageDeliveries.AgeDays @ md-006</v>
      </c>
      <c r="C654" s="2" t="s">
        <v>14727</v>
      </c>
      <c r="D654" s="2" t="s">
        <v>8247</v>
      </c>
      <c r="E654" s="2" t="s">
        <v>935</v>
      </c>
      <c r="F654" s="2" t="s">
        <v>37</v>
      </c>
      <c r="G654" s="2" t="s">
        <v>14591</v>
      </c>
      <c r="H654" s="3" t="str">
        <f>_xlfn.IFNA(INDEX(FieldDisagreements!C2:C999, MATCH(C654,FieldDisagreements!A2:A999, 0)), "")</f>
        <v>effortless-xlsx</v>
      </c>
      <c r="I654" s="3" t="str">
        <f>_xlfn.IFNA(INDEX(FieldDisagreements!D2:D999, MATCH(C654,FieldDisagreements!A2:A999, 0)), "")</f>
        <v>MessageDeliveries.AgeDays</v>
      </c>
      <c r="J654" s="2" t="s">
        <v>1906</v>
      </c>
    </row>
    <row r="655">
      <c r="A655" s="2" t="s">
        <v>15854</v>
      </c>
      <c r="B655" s="3" t="str">
        <f>_xlfn.CONCAT(C655, " @ ", D655)</f>
        <v>effortless-xlsx|MessageDeliveries.SegmentCount @ md-001</v>
      </c>
      <c r="C655" s="2" t="s">
        <v>14728</v>
      </c>
      <c r="D655" s="2" t="s">
        <v>8234</v>
      </c>
      <c r="E655" s="2" t="s">
        <v>15036</v>
      </c>
      <c r="F655" s="2" t="s">
        <v>37</v>
      </c>
      <c r="G655" s="2" t="s">
        <v>14591</v>
      </c>
      <c r="H655" s="3" t="str">
        <f>_xlfn.IFNA(INDEX(FieldDisagreements!C2:C999, MATCH(C655,FieldDisagreements!A2:A999, 0)), "")</f>
        <v>effortless-xlsx</v>
      </c>
      <c r="I655" s="3" t="str">
        <f>_xlfn.IFNA(INDEX(FieldDisagreements!D2:D999, MATCH(C655,FieldDisagreements!A2:A999, 0)), "")</f>
        <v>MessageDeliveries.SegmentCount</v>
      </c>
      <c r="J655" s="2" t="s">
        <v>1906</v>
      </c>
    </row>
    <row r="656">
      <c r="A656" s="2" t="s">
        <v>15855</v>
      </c>
      <c r="B656" s="3" t="str">
        <f>_xlfn.CONCAT(C656, " @ ", D656)</f>
        <v>effortless-xlsx|MessageDeliveries.SegmentCount @ md-002</v>
      </c>
      <c r="C656" s="2" t="s">
        <v>14728</v>
      </c>
      <c r="D656" s="2" t="s">
        <v>8238</v>
      </c>
      <c r="E656" s="2" t="s">
        <v>15036</v>
      </c>
      <c r="F656" s="2" t="s">
        <v>37</v>
      </c>
      <c r="G656" s="2" t="s">
        <v>14591</v>
      </c>
      <c r="H656" s="3" t="str">
        <f>_xlfn.IFNA(INDEX(FieldDisagreements!C2:C999, MATCH(C656,FieldDisagreements!A2:A999, 0)), "")</f>
        <v>effortless-xlsx</v>
      </c>
      <c r="I656" s="3" t="str">
        <f>_xlfn.IFNA(INDEX(FieldDisagreements!D2:D999, MATCH(C656,FieldDisagreements!A2:A999, 0)), "")</f>
        <v>MessageDeliveries.SegmentCount</v>
      </c>
      <c r="J656" s="2" t="s">
        <v>1906</v>
      </c>
    </row>
    <row r="657">
      <c r="A657" s="2" t="s">
        <v>15856</v>
      </c>
      <c r="B657" s="3" t="str">
        <f>_xlfn.CONCAT(C657, " @ ", D657)</f>
        <v>effortless-xlsx|MessageDeliveries.SegmentCount @ md-003</v>
      </c>
      <c r="C657" s="2" t="s">
        <v>14728</v>
      </c>
      <c r="D657" s="2" t="s">
        <v>8239</v>
      </c>
      <c r="E657" s="2" t="s">
        <v>15036</v>
      </c>
      <c r="F657" s="2" t="s">
        <v>37</v>
      </c>
      <c r="G657" s="2" t="s">
        <v>14591</v>
      </c>
      <c r="H657" s="3" t="str">
        <f>_xlfn.IFNA(INDEX(FieldDisagreements!C2:C999, MATCH(C657,FieldDisagreements!A2:A999, 0)), "")</f>
        <v>effortless-xlsx</v>
      </c>
      <c r="I657" s="3" t="str">
        <f>_xlfn.IFNA(INDEX(FieldDisagreements!D2:D999, MATCH(C657,FieldDisagreements!A2:A999, 0)), "")</f>
        <v>MessageDeliveries.SegmentCount</v>
      </c>
      <c r="J657" s="2" t="s">
        <v>1906</v>
      </c>
    </row>
    <row r="658">
      <c r="A658" s="2" t="s">
        <v>15857</v>
      </c>
      <c r="B658" s="3" t="str">
        <f>_xlfn.CONCAT(C658, " @ ", D658)</f>
        <v>effortless-xlsx|MessageDeliveries.SegmentCount @ md-004</v>
      </c>
      <c r="C658" s="2" t="s">
        <v>14728</v>
      </c>
      <c r="D658" s="2" t="s">
        <v>8241</v>
      </c>
      <c r="E658" s="2" t="s">
        <v>15036</v>
      </c>
      <c r="F658" s="2" t="s">
        <v>37</v>
      </c>
      <c r="G658" s="2" t="s">
        <v>14591</v>
      </c>
      <c r="H658" s="3" t="str">
        <f>_xlfn.IFNA(INDEX(FieldDisagreements!C2:C999, MATCH(C658,FieldDisagreements!A2:A999, 0)), "")</f>
        <v>effortless-xlsx</v>
      </c>
      <c r="I658" s="3" t="str">
        <f>_xlfn.IFNA(INDEX(FieldDisagreements!D2:D999, MATCH(C658,FieldDisagreements!A2:A999, 0)), "")</f>
        <v>MessageDeliveries.SegmentCount</v>
      </c>
      <c r="J658" s="2" t="s">
        <v>1906</v>
      </c>
    </row>
    <row r="659">
      <c r="A659" s="2" t="s">
        <v>15858</v>
      </c>
      <c r="B659" s="3" t="str">
        <f>_xlfn.CONCAT(C659, " @ ", D659)</f>
        <v>effortless-xlsx|MessageDeliveries.SegmentCount @ md-005</v>
      </c>
      <c r="C659" s="2" t="s">
        <v>14728</v>
      </c>
      <c r="D659" s="2" t="s">
        <v>8244</v>
      </c>
      <c r="E659" s="2" t="s">
        <v>15036</v>
      </c>
      <c r="F659" s="2" t="s">
        <v>37</v>
      </c>
      <c r="G659" s="2" t="s">
        <v>14591</v>
      </c>
      <c r="H659" s="3" t="str">
        <f>_xlfn.IFNA(INDEX(FieldDisagreements!C2:C999, MATCH(C659,FieldDisagreements!A2:A999, 0)), "")</f>
        <v>effortless-xlsx</v>
      </c>
      <c r="I659" s="3" t="str">
        <f>_xlfn.IFNA(INDEX(FieldDisagreements!D2:D999, MATCH(C659,FieldDisagreements!A2:A999, 0)), "")</f>
        <v>MessageDeliveries.SegmentCount</v>
      </c>
      <c r="J659" s="2" t="s">
        <v>1906</v>
      </c>
    </row>
    <row r="660">
      <c r="A660" s="2" t="s">
        <v>15859</v>
      </c>
      <c r="B660" s="3" t="str">
        <f>_xlfn.CONCAT(C660, " @ ", D660)</f>
        <v>effortless-xlsx|MessageDeliveries.SegmentCount @ md-006</v>
      </c>
      <c r="C660" s="2" t="s">
        <v>14728</v>
      </c>
      <c r="D660" s="2" t="s">
        <v>8247</v>
      </c>
      <c r="E660" s="2" t="s">
        <v>15036</v>
      </c>
      <c r="F660" s="2" t="s">
        <v>37</v>
      </c>
      <c r="G660" s="2" t="s">
        <v>14591</v>
      </c>
      <c r="H660" s="3" t="str">
        <f>_xlfn.IFNA(INDEX(FieldDisagreements!C2:C999, MATCH(C660,FieldDisagreements!A2:A999, 0)), "")</f>
        <v>effortless-xlsx</v>
      </c>
      <c r="I660" s="3" t="str">
        <f>_xlfn.IFNA(INDEX(FieldDisagreements!D2:D999, MATCH(C660,FieldDisagreements!A2:A999, 0)), "")</f>
        <v>MessageDeliveries.SegmentCount</v>
      </c>
      <c r="J660" s="2" t="s">
        <v>1906</v>
      </c>
    </row>
    <row r="661">
      <c r="A661" s="2" t="s">
        <v>15860</v>
      </c>
      <c r="B661" s="3" t="str">
        <f>_xlfn.CONCAT(C661, " @ ", D661)</f>
        <v>effortless-xlsx|MessageDeliveries.PolicyRequiresOptOut @ md-001</v>
      </c>
      <c r="C661" s="2" t="s">
        <v>14729</v>
      </c>
      <c r="D661" s="2" t="s">
        <v>8234</v>
      </c>
      <c r="E661" s="2" t="s">
        <v>15057</v>
      </c>
      <c r="F661" s="2" t="s">
        <v>15035</v>
      </c>
      <c r="G661" s="2" t="s">
        <v>14591</v>
      </c>
      <c r="H661" s="3" t="str">
        <f>_xlfn.IFNA(INDEX(FieldDisagreements!C2:C999, MATCH(C661,FieldDisagreements!A2:A999, 0)), "")</f>
        <v>effortless-xlsx</v>
      </c>
      <c r="I661" s="3" t="str">
        <f>_xlfn.IFNA(INDEX(FieldDisagreements!D2:D999, MATCH(C661,FieldDisagreements!A2:A999, 0)), "")</f>
        <v>MessageDeliveries.PolicyRequiresOptOut</v>
      </c>
      <c r="J661" s="2" t="s">
        <v>1906</v>
      </c>
    </row>
    <row r="662">
      <c r="A662" s="2" t="s">
        <v>15861</v>
      </c>
      <c r="B662" s="3" t="str">
        <f>_xlfn.CONCAT(C662, " @ ", D662)</f>
        <v>effortless-xlsx|MessageDeliveries.PolicyRequiresOptOut @ md-002</v>
      </c>
      <c r="C662" s="2" t="s">
        <v>14729</v>
      </c>
      <c r="D662" s="2" t="s">
        <v>8238</v>
      </c>
      <c r="E662" s="2" t="s">
        <v>15057</v>
      </c>
      <c r="F662" s="2" t="s">
        <v>15035</v>
      </c>
      <c r="G662" s="2" t="s">
        <v>14591</v>
      </c>
      <c r="H662" s="3" t="str">
        <f>_xlfn.IFNA(INDEX(FieldDisagreements!C2:C999, MATCH(C662,FieldDisagreements!A2:A999, 0)), "")</f>
        <v>effortless-xlsx</v>
      </c>
      <c r="I662" s="3" t="str">
        <f>_xlfn.IFNA(INDEX(FieldDisagreements!D2:D999, MATCH(C662,FieldDisagreements!A2:A999, 0)), "")</f>
        <v>MessageDeliveries.PolicyRequiresOptOut</v>
      </c>
      <c r="J662" s="2" t="s">
        <v>1906</v>
      </c>
    </row>
    <row r="663">
      <c r="A663" s="2" t="s">
        <v>15862</v>
      </c>
      <c r="B663" s="3" t="str">
        <f>_xlfn.CONCAT(C663, " @ ", D663)</f>
        <v>effortless-xlsx|MessageDeliveries.OptOutPhrasePosition @ md-001</v>
      </c>
      <c r="C663" s="2" t="s">
        <v>14730</v>
      </c>
      <c r="D663" s="2" t="s">
        <v>8234</v>
      </c>
      <c r="E663" s="2" t="s">
        <v>15036</v>
      </c>
      <c r="F663" s="2" t="s">
        <v>15433</v>
      </c>
      <c r="G663" s="2" t="s">
        <v>14591</v>
      </c>
      <c r="H663" s="3" t="str">
        <f>_xlfn.IFNA(INDEX(FieldDisagreements!C2:C999, MATCH(C663,FieldDisagreements!A2:A999, 0)), "")</f>
        <v>effortless-xlsx</v>
      </c>
      <c r="I663" s="3" t="str">
        <f>_xlfn.IFNA(INDEX(FieldDisagreements!D2:D999, MATCH(C663,FieldDisagreements!A2:A999, 0)), "")</f>
        <v>MessageDeliveries.OptOutPhrasePosition</v>
      </c>
      <c r="J663" s="2" t="s">
        <v>1906</v>
      </c>
    </row>
    <row r="664">
      <c r="A664" s="2" t="s">
        <v>15863</v>
      </c>
      <c r="B664" s="3" t="str">
        <f>_xlfn.CONCAT(C664, " @ ", D664)</f>
        <v>effortless-xlsx|MessageDeliveries.OptOutPhrasePosition @ md-002</v>
      </c>
      <c r="C664" s="2" t="s">
        <v>14730</v>
      </c>
      <c r="D664" s="2" t="s">
        <v>8238</v>
      </c>
      <c r="E664" s="2" t="s">
        <v>15036</v>
      </c>
      <c r="F664" s="2" t="s">
        <v>15433</v>
      </c>
      <c r="G664" s="2" t="s">
        <v>14591</v>
      </c>
      <c r="H664" s="3" t="str">
        <f>_xlfn.IFNA(INDEX(FieldDisagreements!C2:C999, MATCH(C664,FieldDisagreements!A2:A999, 0)), "")</f>
        <v>effortless-xlsx</v>
      </c>
      <c r="I664" s="3" t="str">
        <f>_xlfn.IFNA(INDEX(FieldDisagreements!D2:D999, MATCH(C664,FieldDisagreements!A2:A999, 0)), "")</f>
        <v>MessageDeliveries.OptOutPhrasePosition</v>
      </c>
      <c r="J664" s="2" t="s">
        <v>1906</v>
      </c>
    </row>
    <row r="665">
      <c r="A665" s="2" t="s">
        <v>15864</v>
      </c>
      <c r="B665" s="3" t="str">
        <f>_xlfn.CONCAT(C665, " @ ", D665)</f>
        <v>effortless-xlsx|MessageDeliveries.OptOutPhrasePosition @ md-003</v>
      </c>
      <c r="C665" s="2" t="s">
        <v>14730</v>
      </c>
      <c r="D665" s="2" t="s">
        <v>8239</v>
      </c>
      <c r="E665" s="2" t="s">
        <v>15035</v>
      </c>
      <c r="F665" s="2" t="s">
        <v>15185</v>
      </c>
      <c r="G665" s="2" t="s">
        <v>14591</v>
      </c>
      <c r="H665" s="3" t="str">
        <f>_xlfn.IFNA(INDEX(FieldDisagreements!C2:C999, MATCH(C665,FieldDisagreements!A2:A999, 0)), "")</f>
        <v>effortless-xlsx</v>
      </c>
      <c r="I665" s="3" t="str">
        <f>_xlfn.IFNA(INDEX(FieldDisagreements!D2:D999, MATCH(C665,FieldDisagreements!A2:A999, 0)), "")</f>
        <v>MessageDeliveries.OptOutPhrasePosition</v>
      </c>
      <c r="J665" s="2" t="s">
        <v>1906</v>
      </c>
    </row>
    <row r="666">
      <c r="A666" s="2" t="s">
        <v>15865</v>
      </c>
      <c r="B666" s="3" t="str">
        <f>_xlfn.CONCAT(C666, " @ ", D666)</f>
        <v>effortless-xlsx|MessageDeliveries.OptOutPhrasePosition @ md-004</v>
      </c>
      <c r="C666" s="2" t="s">
        <v>14730</v>
      </c>
      <c r="D666" s="2" t="s">
        <v>8241</v>
      </c>
      <c r="E666" s="2" t="s">
        <v>15035</v>
      </c>
      <c r="F666" s="2" t="s">
        <v>15185</v>
      </c>
      <c r="G666" s="2" t="s">
        <v>14591</v>
      </c>
      <c r="H666" s="3" t="str">
        <f>_xlfn.IFNA(INDEX(FieldDisagreements!C2:C999, MATCH(C666,FieldDisagreements!A2:A999, 0)), "")</f>
        <v>effortless-xlsx</v>
      </c>
      <c r="I666" s="3" t="str">
        <f>_xlfn.IFNA(INDEX(FieldDisagreements!D2:D999, MATCH(C666,FieldDisagreements!A2:A999, 0)), "")</f>
        <v>MessageDeliveries.OptOutPhrasePosition</v>
      </c>
      <c r="J666" s="2" t="s">
        <v>1906</v>
      </c>
    </row>
    <row r="667">
      <c r="A667" s="2" t="s">
        <v>15866</v>
      </c>
      <c r="B667" s="3" t="str">
        <f>_xlfn.CONCAT(C667, " @ ", D667)</f>
        <v>effortless-xlsx|MessageDeliveries.OptOutPhrasePosition @ md-005</v>
      </c>
      <c r="C667" s="2" t="s">
        <v>14730</v>
      </c>
      <c r="D667" s="2" t="s">
        <v>8244</v>
      </c>
      <c r="E667" s="2" t="s">
        <v>935</v>
      </c>
      <c r="F667" s="2" t="s">
        <v>15433</v>
      </c>
      <c r="G667" s="2" t="s">
        <v>14591</v>
      </c>
      <c r="H667" s="3" t="str">
        <f>_xlfn.IFNA(INDEX(FieldDisagreements!C2:C999, MATCH(C667,FieldDisagreements!A2:A999, 0)), "")</f>
        <v>effortless-xlsx</v>
      </c>
      <c r="I667" s="3" t="str">
        <f>_xlfn.IFNA(INDEX(FieldDisagreements!D2:D999, MATCH(C667,FieldDisagreements!A2:A999, 0)), "")</f>
        <v>MessageDeliveries.OptOutPhrasePosition</v>
      </c>
      <c r="J667" s="2" t="s">
        <v>1906</v>
      </c>
    </row>
    <row r="668">
      <c r="A668" s="2" t="s">
        <v>15867</v>
      </c>
      <c r="B668" s="3" t="str">
        <f>_xlfn.CONCAT(C668, " @ ", D668)</f>
        <v>effortless-xlsx|MessageDeliveries.OptOutPhrasePosition @ md-006</v>
      </c>
      <c r="C668" s="2" t="s">
        <v>14730</v>
      </c>
      <c r="D668" s="2" t="s">
        <v>8247</v>
      </c>
      <c r="E668" s="2" t="s">
        <v>15035</v>
      </c>
      <c r="F668" s="2" t="s">
        <v>15185</v>
      </c>
      <c r="G668" s="2" t="s">
        <v>14591</v>
      </c>
      <c r="H668" s="3" t="str">
        <f>_xlfn.IFNA(INDEX(FieldDisagreements!C2:C999, MATCH(C668,FieldDisagreements!A2:A999, 0)), "")</f>
        <v>effortless-xlsx</v>
      </c>
      <c r="I668" s="3" t="str">
        <f>_xlfn.IFNA(INDEX(FieldDisagreements!D2:D999, MATCH(C668,FieldDisagreements!A2:A999, 0)), "")</f>
        <v>MessageDeliveries.OptOutPhrasePosition</v>
      </c>
      <c r="J668" s="2" t="s">
        <v>1906</v>
      </c>
    </row>
    <row r="669">
      <c r="A669" s="2" t="s">
        <v>15868</v>
      </c>
      <c r="B669" s="3" t="str">
        <f>_xlfn.CONCAT(C669, " @ ", D669)</f>
        <v>effortless-xlsx|MessageDeliveries.HasOptOutPhrase @ md-001</v>
      </c>
      <c r="C669" s="2" t="s">
        <v>14731</v>
      </c>
      <c r="D669" s="2" t="s">
        <v>8234</v>
      </c>
      <c r="E669" s="2" t="s">
        <v>15057</v>
      </c>
      <c r="F669" s="2" t="s">
        <v>15433</v>
      </c>
      <c r="G669" s="2" t="s">
        <v>14591</v>
      </c>
      <c r="H669" s="3" t="str">
        <f>_xlfn.IFNA(INDEX(FieldDisagreements!C2:C999, MATCH(C669,FieldDisagreements!A2:A999, 0)), "")</f>
        <v>effortless-xlsx</v>
      </c>
      <c r="I669" s="3" t="str">
        <f>_xlfn.IFNA(INDEX(FieldDisagreements!D2:D999, MATCH(C669,FieldDisagreements!A2:A999, 0)), "")</f>
        <v>MessageDeliveries.HasOptOutPhrase</v>
      </c>
      <c r="J669" s="2" t="s">
        <v>1906</v>
      </c>
    </row>
    <row r="670">
      <c r="A670" s="2" t="s">
        <v>15869</v>
      </c>
      <c r="B670" s="3" t="str">
        <f>_xlfn.CONCAT(C670, " @ ", D670)</f>
        <v>effortless-xlsx|MessageDeliveries.HasOptOutPhrase @ md-002</v>
      </c>
      <c r="C670" s="2" t="s">
        <v>14731</v>
      </c>
      <c r="D670" s="2" t="s">
        <v>8238</v>
      </c>
      <c r="E670" s="2" t="s">
        <v>15057</v>
      </c>
      <c r="F670" s="2" t="s">
        <v>15433</v>
      </c>
      <c r="G670" s="2" t="s">
        <v>14591</v>
      </c>
      <c r="H670" s="3" t="str">
        <f>_xlfn.IFNA(INDEX(FieldDisagreements!C2:C999, MATCH(C670,FieldDisagreements!A2:A999, 0)), "")</f>
        <v>effortless-xlsx</v>
      </c>
      <c r="I670" s="3" t="str">
        <f>_xlfn.IFNA(INDEX(FieldDisagreements!D2:D999, MATCH(C670,FieldDisagreements!A2:A999, 0)), "")</f>
        <v>MessageDeliveries.HasOptOutPhrase</v>
      </c>
      <c r="J670" s="2" t="s">
        <v>1906</v>
      </c>
    </row>
    <row r="671">
      <c r="A671" s="2" t="s">
        <v>15870</v>
      </c>
      <c r="B671" s="3" t="str">
        <f>_xlfn.CONCAT(C671, " @ ", D671)</f>
        <v>effortless-xlsx|MessageDeliveries.HasOptOutPhrase @ md-005</v>
      </c>
      <c r="C671" s="2" t="s">
        <v>14731</v>
      </c>
      <c r="D671" s="2" t="s">
        <v>8244</v>
      </c>
      <c r="E671" s="2" t="s">
        <v>15057</v>
      </c>
      <c r="F671" s="2" t="s">
        <v>15433</v>
      </c>
      <c r="G671" s="2" t="s">
        <v>14591</v>
      </c>
      <c r="H671" s="3" t="str">
        <f>_xlfn.IFNA(INDEX(FieldDisagreements!C2:C999, MATCH(C671,FieldDisagreements!A2:A999, 0)), "")</f>
        <v>effortless-xlsx</v>
      </c>
      <c r="I671" s="3" t="str">
        <f>_xlfn.IFNA(INDEX(FieldDisagreements!D2:D999, MATCH(C671,FieldDisagreements!A2:A999, 0)), "")</f>
        <v>MessageDeliveries.HasOptOutPhrase</v>
      </c>
      <c r="J671" s="2" t="s">
        <v>1906</v>
      </c>
    </row>
    <row r="672">
      <c r="A672" s="2" t="s">
        <v>15871</v>
      </c>
      <c r="B672" s="3" t="str">
        <f>_xlfn.CONCAT(C672, " @ ", D672)</f>
        <v>effortless-xlsx|MessageDeliveries.IsOptOutInFirstSegment @ md-001</v>
      </c>
      <c r="C672" s="2" t="s">
        <v>14732</v>
      </c>
      <c r="D672" s="2" t="s">
        <v>8234</v>
      </c>
      <c r="E672" s="2" t="s">
        <v>15057</v>
      </c>
      <c r="F672" s="2" t="s">
        <v>15433</v>
      </c>
      <c r="G672" s="2" t="s">
        <v>14591</v>
      </c>
      <c r="H672" s="3" t="str">
        <f>_xlfn.IFNA(INDEX(FieldDisagreements!C2:C999, MATCH(C672,FieldDisagreements!A2:A999, 0)), "")</f>
        <v>effortless-xlsx</v>
      </c>
      <c r="I672" s="3" t="str">
        <f>_xlfn.IFNA(INDEX(FieldDisagreements!D2:D999, MATCH(C672,FieldDisagreements!A2:A999, 0)), "")</f>
        <v>MessageDeliveries.IsOptOutInFirstSegment</v>
      </c>
      <c r="J672" s="2" t="s">
        <v>1906</v>
      </c>
    </row>
    <row r="673">
      <c r="A673" s="2" t="s">
        <v>15872</v>
      </c>
      <c r="B673" s="3" t="str">
        <f>_xlfn.CONCAT(C673, " @ ", D673)</f>
        <v>effortless-xlsx|MessageDeliveries.IsOptOutInFirstSegment @ md-002</v>
      </c>
      <c r="C673" s="2" t="s">
        <v>14732</v>
      </c>
      <c r="D673" s="2" t="s">
        <v>8238</v>
      </c>
      <c r="E673" s="2" t="s">
        <v>15057</v>
      </c>
      <c r="F673" s="2" t="s">
        <v>15433</v>
      </c>
      <c r="G673" s="2" t="s">
        <v>14591</v>
      </c>
      <c r="H673" s="3" t="str">
        <f>_xlfn.IFNA(INDEX(FieldDisagreements!C2:C999, MATCH(C673,FieldDisagreements!A2:A999, 0)), "")</f>
        <v>effortless-xlsx</v>
      </c>
      <c r="I673" s="3" t="str">
        <f>_xlfn.IFNA(INDEX(FieldDisagreements!D2:D999, MATCH(C673,FieldDisagreements!A2:A999, 0)), "")</f>
        <v>MessageDeliveries.IsOptOutInFirstSegment</v>
      </c>
      <c r="J673" s="2" t="s">
        <v>1906</v>
      </c>
    </row>
    <row r="674">
      <c r="A674" s="2" t="s">
        <v>15873</v>
      </c>
      <c r="B674" s="3" t="str">
        <f>_xlfn.CONCAT(C674, " @ ", D674)</f>
        <v>effortless-xlsx|MessageDeliveries.IsOptOutInFirstSegment @ md-005</v>
      </c>
      <c r="C674" s="2" t="s">
        <v>14732</v>
      </c>
      <c r="D674" s="2" t="s">
        <v>8244</v>
      </c>
      <c r="E674" s="2" t="s">
        <v>15057</v>
      </c>
      <c r="F674" s="2" t="s">
        <v>15433</v>
      </c>
      <c r="G674" s="2" t="s">
        <v>14591</v>
      </c>
      <c r="H674" s="3" t="str">
        <f>_xlfn.IFNA(INDEX(FieldDisagreements!C2:C999, MATCH(C674,FieldDisagreements!A2:A999, 0)), "")</f>
        <v>effortless-xlsx</v>
      </c>
      <c r="I674" s="3" t="str">
        <f>_xlfn.IFNA(INDEX(FieldDisagreements!D2:D999, MATCH(C674,FieldDisagreements!A2:A999, 0)), "")</f>
        <v>MessageDeliveries.IsOptOutInFirstSegment</v>
      </c>
      <c r="J674" s="2" t="s">
        <v>1906</v>
      </c>
    </row>
    <row r="675">
      <c r="A675" s="2" t="s">
        <v>15874</v>
      </c>
      <c r="B675" s="3" t="str">
        <f>_xlfn.CONCAT(C675, " @ ", D675)</f>
        <v>effortless-xlsx|MessageDeliveries.IsMissingRequiredOptOut @ md-001</v>
      </c>
      <c r="C675" s="2" t="s">
        <v>14733</v>
      </c>
      <c r="D675" s="2" t="s">
        <v>8234</v>
      </c>
      <c r="E675" s="2" t="s">
        <v>15057</v>
      </c>
      <c r="F675" s="2" t="s">
        <v>15433</v>
      </c>
      <c r="G675" s="2" t="s">
        <v>14591</v>
      </c>
      <c r="H675" s="3" t="str">
        <f>_xlfn.IFNA(INDEX(FieldDisagreements!C2:C999, MATCH(C675,FieldDisagreements!A2:A999, 0)), "")</f>
        <v>effortless-xlsx</v>
      </c>
      <c r="I675" s="3" t="str">
        <f>_xlfn.IFNA(INDEX(FieldDisagreements!D2:D999, MATCH(C675,FieldDisagreements!A2:A999, 0)), "")</f>
        <v>MessageDeliveries.IsMissingRequiredOptOut</v>
      </c>
      <c r="J675" s="2" t="s">
        <v>1906</v>
      </c>
    </row>
    <row r="676">
      <c r="A676" s="2" t="s">
        <v>15875</v>
      </c>
      <c r="B676" s="3" t="str">
        <f>_xlfn.CONCAT(C676, " @ ", D676)</f>
        <v>effortless-xlsx|MessageDeliveries.IsMissingRequiredOptOut @ md-002</v>
      </c>
      <c r="C676" s="2" t="s">
        <v>14733</v>
      </c>
      <c r="D676" s="2" t="s">
        <v>8238</v>
      </c>
      <c r="E676" s="2" t="s">
        <v>15057</v>
      </c>
      <c r="F676" s="2" t="s">
        <v>15433</v>
      </c>
      <c r="G676" s="2" t="s">
        <v>14591</v>
      </c>
      <c r="H676" s="3" t="str">
        <f>_xlfn.IFNA(INDEX(FieldDisagreements!C2:C999, MATCH(C676,FieldDisagreements!A2:A999, 0)), "")</f>
        <v>effortless-xlsx</v>
      </c>
      <c r="I676" s="3" t="str">
        <f>_xlfn.IFNA(INDEX(FieldDisagreements!D2:D999, MATCH(C676,FieldDisagreements!A2:A999, 0)), "")</f>
        <v>MessageDeliveries.IsMissingRequiredOptOut</v>
      </c>
      <c r="J676" s="2" t="s">
        <v>1906</v>
      </c>
    </row>
    <row r="677">
      <c r="A677" s="2" t="s">
        <v>15876</v>
      </c>
      <c r="B677" s="3" t="str">
        <f>_xlfn.CONCAT(C677, " @ ", D677)</f>
        <v>effortless-xlsx|MessageDeliveries.IsMissingRequiredOptOut @ md-005</v>
      </c>
      <c r="C677" s="2" t="s">
        <v>14733</v>
      </c>
      <c r="D677" s="2" t="s">
        <v>8244</v>
      </c>
      <c r="E677" s="2" t="s">
        <v>15035</v>
      </c>
      <c r="F677" s="2" t="s">
        <v>15433</v>
      </c>
      <c r="G677" s="2" t="s">
        <v>14591</v>
      </c>
      <c r="H677" s="3" t="str">
        <f>_xlfn.IFNA(INDEX(FieldDisagreements!C2:C999, MATCH(C677,FieldDisagreements!A2:A999, 0)), "")</f>
        <v>effortless-xlsx</v>
      </c>
      <c r="I677" s="3" t="str">
        <f>_xlfn.IFNA(INDEX(FieldDisagreements!D2:D999, MATCH(C677,FieldDisagreements!A2:A999, 0)), "")</f>
        <v>MessageDeliveries.IsMissingRequiredOptOut</v>
      </c>
      <c r="J677" s="2" t="s">
        <v>1906</v>
      </c>
    </row>
    <row r="678">
      <c r="A678" s="2" t="s">
        <v>15877</v>
      </c>
      <c r="B678" s="3" t="str">
        <f>_xlfn.CONCAT(C678, " @ ", D678)</f>
        <v>effortless-xlsx|MessageDeliveries.IsOptOutAtRiskOfTruncation @ md-001</v>
      </c>
      <c r="C678" s="2" t="s">
        <v>14734</v>
      </c>
      <c r="D678" s="2" t="s">
        <v>8234</v>
      </c>
      <c r="E678" s="2" t="s">
        <v>15057</v>
      </c>
      <c r="F678" s="2" t="s">
        <v>15433</v>
      </c>
      <c r="G678" s="2" t="s">
        <v>14591</v>
      </c>
      <c r="H678" s="3" t="str">
        <f>_xlfn.IFNA(INDEX(FieldDisagreements!C2:C999, MATCH(C678,FieldDisagreements!A2:A999, 0)), "")</f>
        <v>effortless-xlsx</v>
      </c>
      <c r="I678" s="3" t="str">
        <f>_xlfn.IFNA(INDEX(FieldDisagreements!D2:D999, MATCH(C678,FieldDisagreements!A2:A999, 0)), "")</f>
        <v>MessageDeliveries.IsOptOutAtRiskOfTruncation</v>
      </c>
      <c r="J678" s="2" t="s">
        <v>1906</v>
      </c>
    </row>
    <row r="679">
      <c r="A679" s="2" t="s">
        <v>15878</v>
      </c>
      <c r="B679" s="3" t="str">
        <f>_xlfn.CONCAT(C679, " @ ", D679)</f>
        <v>effortless-xlsx|MessageDeliveries.IsOptOutAtRiskOfTruncation @ md-002</v>
      </c>
      <c r="C679" s="2" t="s">
        <v>14734</v>
      </c>
      <c r="D679" s="2" t="s">
        <v>8238</v>
      </c>
      <c r="E679" s="2" t="s">
        <v>15057</v>
      </c>
      <c r="F679" s="2" t="s">
        <v>15433</v>
      </c>
      <c r="G679" s="2" t="s">
        <v>14591</v>
      </c>
      <c r="H679" s="3" t="str">
        <f>_xlfn.IFNA(INDEX(FieldDisagreements!C2:C999, MATCH(C679,FieldDisagreements!A2:A999, 0)), "")</f>
        <v>effortless-xlsx</v>
      </c>
      <c r="I679" s="3" t="str">
        <f>_xlfn.IFNA(INDEX(FieldDisagreements!D2:D999, MATCH(C679,FieldDisagreements!A2:A999, 0)), "")</f>
        <v>MessageDeliveries.IsOptOutAtRiskOfTruncation</v>
      </c>
      <c r="J679" s="2" t="s">
        <v>1906</v>
      </c>
    </row>
    <row r="680">
      <c r="A680" s="2" t="s">
        <v>15879</v>
      </c>
      <c r="B680" s="3" t="str">
        <f>_xlfn.CONCAT(C680, " @ ", D680)</f>
        <v>effortless-xlsx|MessageDeliveries.IsOptOutAtRiskOfTruncation @ md-005</v>
      </c>
      <c r="C680" s="2" t="s">
        <v>14734</v>
      </c>
      <c r="D680" s="2" t="s">
        <v>8244</v>
      </c>
      <c r="E680" s="2" t="s">
        <v>15057</v>
      </c>
      <c r="F680" s="2" t="s">
        <v>15433</v>
      </c>
      <c r="G680" s="2" t="s">
        <v>14591</v>
      </c>
      <c r="H680" s="3" t="str">
        <f>_xlfn.IFNA(INDEX(FieldDisagreements!C2:C999, MATCH(C680,FieldDisagreements!A2:A999, 0)), "")</f>
        <v>effortless-xlsx</v>
      </c>
      <c r="I680" s="3" t="str">
        <f>_xlfn.IFNA(INDEX(FieldDisagreements!D2:D999, MATCH(C680,FieldDisagreements!A2:A999, 0)), "")</f>
        <v>MessageDeliveries.IsOptOutAtRiskOfTruncation</v>
      </c>
      <c r="J680" s="2" t="s">
        <v>1906</v>
      </c>
    </row>
    <row r="681">
      <c r="A681" s="2" t="s">
        <v>15880</v>
      </c>
      <c r="B681" s="3" t="str">
        <f>_xlfn.CONCAT(C681, " @ ", D681)</f>
        <v>effortless-xlsx|MessageDeliveries.CurrentLastApprovalAt @ md-001</v>
      </c>
      <c r="C681" s="2" t="s">
        <v>14735</v>
      </c>
      <c r="D681" s="2" t="s">
        <v>8234</v>
      </c>
      <c r="E681" s="2" t="s">
        <v>15745</v>
      </c>
      <c r="F681" s="2" t="s">
        <v>15746</v>
      </c>
      <c r="G681" s="2" t="s">
        <v>14591</v>
      </c>
      <c r="H681" s="3" t="str">
        <f>_xlfn.IFNA(INDEX(FieldDisagreements!C2:C999, MATCH(C681,FieldDisagreements!A2:A999, 0)), "")</f>
        <v>effortless-xlsx</v>
      </c>
      <c r="I681" s="3" t="str">
        <f>_xlfn.IFNA(INDEX(FieldDisagreements!D2:D999, MATCH(C681,FieldDisagreements!A2:A999, 0)), "")</f>
        <v>MessageDeliveries.CurrentLastApprovalAt</v>
      </c>
      <c r="J681" s="2" t="s">
        <v>1906</v>
      </c>
    </row>
    <row r="682">
      <c r="A682" s="2" t="s">
        <v>15881</v>
      </c>
      <c r="B682" s="3" t="str">
        <f>_xlfn.CONCAT(C682, " @ ", D682)</f>
        <v>effortless-xlsx|MessageDeliveries.CurrentLastApprovalAt @ md-002</v>
      </c>
      <c r="C682" s="2" t="s">
        <v>14735</v>
      </c>
      <c r="D682" s="2" t="s">
        <v>8238</v>
      </c>
      <c r="E682" s="2" t="s">
        <v>15745</v>
      </c>
      <c r="F682" s="2" t="s">
        <v>15746</v>
      </c>
      <c r="G682" s="2" t="s">
        <v>14591</v>
      </c>
      <c r="H682" s="3" t="str">
        <f>_xlfn.IFNA(INDEX(FieldDisagreements!C2:C999, MATCH(C682,FieldDisagreements!A2:A999, 0)), "")</f>
        <v>effortless-xlsx</v>
      </c>
      <c r="I682" s="3" t="str">
        <f>_xlfn.IFNA(INDEX(FieldDisagreements!D2:D999, MATCH(C682,FieldDisagreements!A2:A999, 0)), "")</f>
        <v>MessageDeliveries.CurrentLastApprovalAt</v>
      </c>
      <c r="J682" s="2" t="s">
        <v>1906</v>
      </c>
    </row>
    <row r="683">
      <c r="A683" s="2" t="s">
        <v>15882</v>
      </c>
      <c r="B683" s="3" t="str">
        <f>_xlfn.CONCAT(C683, " @ ", D683)</f>
        <v>effortless-xlsx|MessageDeliveries.CurrentLastApprovalAt @ md-003</v>
      </c>
      <c r="C683" s="2" t="s">
        <v>14735</v>
      </c>
      <c r="D683" s="2" t="s">
        <v>8239</v>
      </c>
      <c r="E683" s="2" t="s">
        <v>15748</v>
      </c>
      <c r="F683" s="2" t="s">
        <v>15749</v>
      </c>
      <c r="G683" s="2" t="s">
        <v>14591</v>
      </c>
      <c r="H683" s="3" t="str">
        <f>_xlfn.IFNA(INDEX(FieldDisagreements!C2:C999, MATCH(C683,FieldDisagreements!A2:A999, 0)), "")</f>
        <v>effortless-xlsx</v>
      </c>
      <c r="I683" s="3" t="str">
        <f>_xlfn.IFNA(INDEX(FieldDisagreements!D2:D999, MATCH(C683,FieldDisagreements!A2:A999, 0)), "")</f>
        <v>MessageDeliveries.CurrentLastApprovalAt</v>
      </c>
      <c r="J683" s="2" t="s">
        <v>1906</v>
      </c>
    </row>
    <row r="684">
      <c r="A684" s="2" t="s">
        <v>15883</v>
      </c>
      <c r="B684" s="3" t="str">
        <f>_xlfn.CONCAT(C684, " @ ", D684)</f>
        <v>effortless-xlsx|MessageDeliveries.CurrentLastApprovalAt @ md-004</v>
      </c>
      <c r="C684" s="2" t="s">
        <v>14735</v>
      </c>
      <c r="D684" s="2" t="s">
        <v>8241</v>
      </c>
      <c r="E684" s="2" t="s">
        <v>15748</v>
      </c>
      <c r="F684" s="2" t="s">
        <v>15749</v>
      </c>
      <c r="G684" s="2" t="s">
        <v>14591</v>
      </c>
      <c r="H684" s="3" t="str">
        <f>_xlfn.IFNA(INDEX(FieldDisagreements!C2:C999, MATCH(C684,FieldDisagreements!A2:A999, 0)), "")</f>
        <v>effortless-xlsx</v>
      </c>
      <c r="I684" s="3" t="str">
        <f>_xlfn.IFNA(INDEX(FieldDisagreements!D2:D999, MATCH(C684,FieldDisagreements!A2:A999, 0)), "")</f>
        <v>MessageDeliveries.CurrentLastApprovalAt</v>
      </c>
      <c r="J684" s="2" t="s">
        <v>1906</v>
      </c>
    </row>
    <row r="685">
      <c r="A685" s="2" t="s">
        <v>15884</v>
      </c>
      <c r="B685" s="3" t="str">
        <f>_xlfn.CONCAT(C685, " @ ", D685)</f>
        <v>effortless-xlsx|MessageDeliveries.CurrentLastApprovalAt @ md-005</v>
      </c>
      <c r="C685" s="2" t="s">
        <v>14735</v>
      </c>
      <c r="D685" s="2" t="s">
        <v>8244</v>
      </c>
      <c r="E685" s="2" t="s">
        <v>15748</v>
      </c>
      <c r="F685" s="2" t="s">
        <v>15749</v>
      </c>
      <c r="G685" s="2" t="s">
        <v>14591</v>
      </c>
      <c r="H685" s="3" t="str">
        <f>_xlfn.IFNA(INDEX(FieldDisagreements!C2:C999, MATCH(C685,FieldDisagreements!A2:A999, 0)), "")</f>
        <v>effortless-xlsx</v>
      </c>
      <c r="I685" s="3" t="str">
        <f>_xlfn.IFNA(INDEX(FieldDisagreements!D2:D999, MATCH(C685,FieldDisagreements!A2:A999, 0)), "")</f>
        <v>MessageDeliveries.CurrentLastApprovalAt</v>
      </c>
      <c r="J685" s="2" t="s">
        <v>1906</v>
      </c>
    </row>
    <row r="686">
      <c r="A686" s="2" t="s">
        <v>15885</v>
      </c>
      <c r="B686" s="3" t="str">
        <f>_xlfn.CONCAT(C686, " @ ", D686)</f>
        <v>effortless-xlsx|MessageDeliveries.CurrentLastApprovalAt @ md-006</v>
      </c>
      <c r="C686" s="2" t="s">
        <v>14735</v>
      </c>
      <c r="D686" s="2" t="s">
        <v>8247</v>
      </c>
      <c r="E686" s="2" t="s">
        <v>15748</v>
      </c>
      <c r="F686" s="2" t="s">
        <v>15749</v>
      </c>
      <c r="G686" s="2" t="s">
        <v>14591</v>
      </c>
      <c r="H686" s="3" t="str">
        <f>_xlfn.IFNA(INDEX(FieldDisagreements!C2:C999, MATCH(C686,FieldDisagreements!A2:A999, 0)), "")</f>
        <v>effortless-xlsx</v>
      </c>
      <c r="I686" s="3" t="str">
        <f>_xlfn.IFNA(INDEX(FieldDisagreements!D2:D999, MATCH(C686,FieldDisagreements!A2:A999, 0)), "")</f>
        <v>MessageDeliveries.CurrentLastApprovalAt</v>
      </c>
      <c r="J686" s="2" t="s">
        <v>1906</v>
      </c>
    </row>
    <row r="687">
      <c r="A687" s="2" t="s">
        <v>15886</v>
      </c>
      <c r="B687" s="3" t="str">
        <f>_xlfn.CONCAT(C687, " @ ", D687)</f>
        <v>effortless-xlsx|MessageDeliveries.OutstandingAgeDays @ md-002</v>
      </c>
      <c r="C687" s="2" t="s">
        <v>14736</v>
      </c>
      <c r="D687" s="2" t="s">
        <v>8238</v>
      </c>
      <c r="E687" s="2" t="s">
        <v>935</v>
      </c>
      <c r="F687" s="2" t="s">
        <v>37</v>
      </c>
      <c r="G687" s="2" t="s">
        <v>14591</v>
      </c>
      <c r="H687" s="3" t="str">
        <f>_xlfn.IFNA(INDEX(FieldDisagreements!C2:C999, MATCH(C687,FieldDisagreements!A2:A999, 0)), "")</f>
        <v>effortless-xlsx</v>
      </c>
      <c r="I687" s="3" t="str">
        <f>_xlfn.IFNA(INDEX(FieldDisagreements!D2:D999, MATCH(C687,FieldDisagreements!A2:A999, 0)), "")</f>
        <v>MessageDeliveries.OutstandingAgeDays</v>
      </c>
      <c r="J687" s="2" t="s">
        <v>1906</v>
      </c>
    </row>
    <row r="688">
      <c r="A688" s="2" t="s">
        <v>15887</v>
      </c>
      <c r="B688" s="3" t="str">
        <f>_xlfn.CONCAT(C688, " @ ", D688)</f>
        <v>effortless-xlsx|MessageDeliveries.OutstandingAgeDays @ md-003</v>
      </c>
      <c r="C688" s="2" t="s">
        <v>14736</v>
      </c>
      <c r="D688" s="2" t="s">
        <v>8239</v>
      </c>
      <c r="E688" s="2" t="s">
        <v>935</v>
      </c>
      <c r="F688" s="2" t="s">
        <v>37</v>
      </c>
      <c r="G688" s="2" t="s">
        <v>14591</v>
      </c>
      <c r="H688" s="3" t="str">
        <f>_xlfn.IFNA(INDEX(FieldDisagreements!C2:C999, MATCH(C688,FieldDisagreements!A2:A999, 0)), "")</f>
        <v>effortless-xlsx</v>
      </c>
      <c r="I688" s="3" t="str">
        <f>_xlfn.IFNA(INDEX(FieldDisagreements!D2:D999, MATCH(C688,FieldDisagreements!A2:A999, 0)), "")</f>
        <v>MessageDeliveries.OutstandingAgeDays</v>
      </c>
      <c r="J688" s="2" t="s">
        <v>1906</v>
      </c>
    </row>
    <row r="689">
      <c r="A689" s="2" t="s">
        <v>15888</v>
      </c>
      <c r="B689" s="3" t="str">
        <f>_xlfn.CONCAT(C689, " @ ", D689)</f>
        <v>effortless-xlsx|TemplateApprovals.Name @ tap-email-001</v>
      </c>
      <c r="C689" s="2" t="s">
        <v>14737</v>
      </c>
      <c r="D689" s="2" t="s">
        <v>1729</v>
      </c>
      <c r="E689" s="2" t="s">
        <v>15189</v>
      </c>
      <c r="F689" s="2" t="s">
        <v>15889</v>
      </c>
      <c r="G689" s="2" t="s">
        <v>14591</v>
      </c>
      <c r="H689" s="3" t="str">
        <f>_xlfn.IFNA(INDEX(FieldDisagreements!C2:C999, MATCH(C689,FieldDisagreements!A2:A999, 0)), "")</f>
        <v>effortless-xlsx</v>
      </c>
      <c r="I689" s="3" t="str">
        <f>_xlfn.IFNA(INDEX(FieldDisagreements!D2:D999, MATCH(C689,FieldDisagreements!A2:A999, 0)), "")</f>
        <v>TemplateApprovals.Name</v>
      </c>
      <c r="J689" s="2" t="s">
        <v>1906</v>
      </c>
    </row>
    <row r="690">
      <c r="A690" s="2" t="s">
        <v>15890</v>
      </c>
      <c r="B690" s="3" t="str">
        <f>_xlfn.CONCAT(C690, " @ ", D690)</f>
        <v>effortless-xlsx|TemplateApprovals.Name @ tap-sms-001</v>
      </c>
      <c r="C690" s="2" t="s">
        <v>14737</v>
      </c>
      <c r="D690" s="2" t="s">
        <v>1733</v>
      </c>
      <c r="E690" s="2" t="s">
        <v>15192</v>
      </c>
      <c r="F690" s="2" t="s">
        <v>15891</v>
      </c>
      <c r="G690" s="2" t="s">
        <v>14591</v>
      </c>
      <c r="H690" s="3" t="str">
        <f>_xlfn.IFNA(INDEX(FieldDisagreements!C2:C999, MATCH(C690,FieldDisagreements!A2:A999, 0)), "")</f>
        <v>effortless-xlsx</v>
      </c>
      <c r="I690" s="3" t="str">
        <f>_xlfn.IFNA(INDEX(FieldDisagreements!D2:D999, MATCH(C690,FieldDisagreements!A2:A999, 0)), "")</f>
        <v>TemplateApprovals.Name</v>
      </c>
      <c r="J690" s="2" t="s">
        <v>1906</v>
      </c>
    </row>
    <row r="691">
      <c r="A691" s="2" t="s">
        <v>15892</v>
      </c>
      <c r="B691" s="3" t="str">
        <f>_xlfn.CONCAT(C691, " @ ", D691)</f>
        <v>effortless-xlsx|SendIntents.RefusalCitedAnException @ si-001</v>
      </c>
      <c r="C691" s="2" t="s">
        <v>14738</v>
      </c>
      <c r="D691" s="2" t="s">
        <v>8253</v>
      </c>
      <c r="E691" s="2" t="s">
        <v>15057</v>
      </c>
      <c r="F691" s="2" t="s">
        <v>15035</v>
      </c>
      <c r="G691" s="2" t="s">
        <v>14591</v>
      </c>
      <c r="H691" s="3" t="str">
        <f>_xlfn.IFNA(INDEX(FieldDisagreements!C2:C999, MATCH(C691,FieldDisagreements!A2:A999, 0)), "")</f>
        <v>effortless-xlsx</v>
      </c>
      <c r="I691" s="3" t="str">
        <f>_xlfn.IFNA(INDEX(FieldDisagreements!D2:D999, MATCH(C691,FieldDisagreements!A2:A999, 0)), "")</f>
        <v>SendIntents.RefusalCitedAnException</v>
      </c>
      <c r="J691" s="2" t="s">
        <v>1906</v>
      </c>
    </row>
    <row r="692">
      <c r="A692" s="2" t="s">
        <v>15893</v>
      </c>
      <c r="B692" s="3" t="str">
        <f>_xlfn.CONCAT(C692, " @ ", D692)</f>
        <v>effortless-xlsx|SendIntents.RefusalCitedAnException @ si-007</v>
      </c>
      <c r="C692" s="2" t="s">
        <v>14738</v>
      </c>
      <c r="D692" s="2" t="s">
        <v>8263</v>
      </c>
      <c r="E692" s="2" t="s">
        <v>15057</v>
      </c>
      <c r="F692" s="2" t="s">
        <v>15035</v>
      </c>
      <c r="G692" s="2" t="s">
        <v>14591</v>
      </c>
      <c r="H692" s="3" t="str">
        <f>_xlfn.IFNA(INDEX(FieldDisagreements!C2:C999, MATCH(C692,FieldDisagreements!A2:A999, 0)), "")</f>
        <v>effortless-xlsx</v>
      </c>
      <c r="I692" s="3" t="str">
        <f>_xlfn.IFNA(INDEX(FieldDisagreements!D2:D999, MATCH(C692,FieldDisagreements!A2:A999, 0)), "")</f>
        <v>SendIntents.RefusalCitedAnException</v>
      </c>
      <c r="J692" s="2" t="s">
        <v>1906</v>
      </c>
    </row>
    <row r="693">
      <c r="A693" s="2" t="s">
        <v>15894</v>
      </c>
      <c r="B693" s="3" t="str">
        <f>_xlfn.CONCAT(C693, " @ ", D693)</f>
        <v>effortless-xlsx|SendIntents.IsUnreportedRefusalOnMyRules @ si-001</v>
      </c>
      <c r="C693" s="2" t="s">
        <v>14739</v>
      </c>
      <c r="D693" s="2" t="s">
        <v>8253</v>
      </c>
      <c r="E693" s="2" t="s">
        <v>15057</v>
      </c>
      <c r="F693" s="2" t="s">
        <v>15433</v>
      </c>
      <c r="G693" s="2" t="s">
        <v>14591</v>
      </c>
      <c r="H693" s="3" t="str">
        <f>_xlfn.IFNA(INDEX(FieldDisagreements!C2:C999, MATCH(C693,FieldDisagreements!A2:A999, 0)), "")</f>
        <v>effortless-xlsx</v>
      </c>
      <c r="I693" s="3" t="str">
        <f>_xlfn.IFNA(INDEX(FieldDisagreements!D2:D999, MATCH(C693,FieldDisagreements!A2:A999, 0)), "")</f>
        <v>SendIntents.IsUnreportedRefusalOnMyRules</v>
      </c>
      <c r="J693" s="2" t="s">
        <v>1906</v>
      </c>
    </row>
    <row r="694">
      <c r="A694" s="2" t="s">
        <v>15895</v>
      </c>
      <c r="B694" s="3" t="str">
        <f>_xlfn.CONCAT(C694, " @ ", D694)</f>
        <v>effortless-xlsx|SendIntents.IsUnreportedRefusalOnMyRules @ si-002</v>
      </c>
      <c r="C694" s="2" t="s">
        <v>14739</v>
      </c>
      <c r="D694" s="2" t="s">
        <v>8256</v>
      </c>
      <c r="E694" s="2" t="s">
        <v>15057</v>
      </c>
      <c r="F694" s="2" t="s">
        <v>15433</v>
      </c>
      <c r="G694" s="2" t="s">
        <v>14591</v>
      </c>
      <c r="H694" s="3" t="str">
        <f>_xlfn.IFNA(INDEX(FieldDisagreements!C2:C999, MATCH(C694,FieldDisagreements!A2:A999, 0)), "")</f>
        <v>effortless-xlsx</v>
      </c>
      <c r="I694" s="3" t="str">
        <f>_xlfn.IFNA(INDEX(FieldDisagreements!D2:D999, MATCH(C694,FieldDisagreements!A2:A999, 0)), "")</f>
        <v>SendIntents.IsUnreportedRefusalOnMyRules</v>
      </c>
      <c r="J694" s="2" t="s">
        <v>1906</v>
      </c>
    </row>
    <row r="695">
      <c r="A695" s="2" t="s">
        <v>15896</v>
      </c>
      <c r="B695" s="3" t="str">
        <f>_xlfn.CONCAT(C695, " @ ", D695)</f>
        <v>effortless-xlsx|SendIntents.IsUnreportedRefusalOnMyRules @ si-003</v>
      </c>
      <c r="C695" s="2" t="s">
        <v>14739</v>
      </c>
      <c r="D695" s="2" t="s">
        <v>8257</v>
      </c>
      <c r="E695" s="2" t="s">
        <v>15035</v>
      </c>
      <c r="F695" s="2" t="s">
        <v>15433</v>
      </c>
      <c r="G695" s="2" t="s">
        <v>14591</v>
      </c>
      <c r="H695" s="3" t="str">
        <f>_xlfn.IFNA(INDEX(FieldDisagreements!C2:C999, MATCH(C695,FieldDisagreements!A2:A999, 0)), "")</f>
        <v>effortless-xlsx</v>
      </c>
      <c r="I695" s="3" t="str">
        <f>_xlfn.IFNA(INDEX(FieldDisagreements!D2:D999, MATCH(C695,FieldDisagreements!A2:A999, 0)), "")</f>
        <v>SendIntents.IsUnreportedRefusalOnMyRules</v>
      </c>
      <c r="J695" s="2" t="s">
        <v>1906</v>
      </c>
    </row>
    <row r="696">
      <c r="A696" s="2" t="s">
        <v>15897</v>
      </c>
      <c r="B696" s="3" t="str">
        <f>_xlfn.CONCAT(C696, " @ ", D696)</f>
        <v>effortless-xlsx|SendIntents.IsUnreportedRefusalOnMyRules @ si-004</v>
      </c>
      <c r="C696" s="2" t="s">
        <v>14739</v>
      </c>
      <c r="D696" s="2" t="s">
        <v>8258</v>
      </c>
      <c r="E696" s="2" t="s">
        <v>15035</v>
      </c>
      <c r="F696" s="2" t="s">
        <v>15433</v>
      </c>
      <c r="G696" s="2" t="s">
        <v>14591</v>
      </c>
      <c r="H696" s="3" t="str">
        <f>_xlfn.IFNA(INDEX(FieldDisagreements!C2:C999, MATCH(C696,FieldDisagreements!A2:A999, 0)), "")</f>
        <v>effortless-xlsx</v>
      </c>
      <c r="I696" s="3" t="str">
        <f>_xlfn.IFNA(INDEX(FieldDisagreements!D2:D999, MATCH(C696,FieldDisagreements!A2:A999, 0)), "")</f>
        <v>SendIntents.IsUnreportedRefusalOnMyRules</v>
      </c>
      <c r="J696" s="2" t="s">
        <v>1906</v>
      </c>
    </row>
    <row r="697">
      <c r="A697" s="2" t="s">
        <v>15898</v>
      </c>
      <c r="B697" s="3" t="str">
        <f>_xlfn.CONCAT(C697, " @ ", D697)</f>
        <v>effortless-xlsx|SendIntents.IsUnreportedRefusalOnMyRules @ si-005</v>
      </c>
      <c r="C697" s="2" t="s">
        <v>14739</v>
      </c>
      <c r="D697" s="2" t="s">
        <v>8260</v>
      </c>
      <c r="E697" s="2" t="s">
        <v>15035</v>
      </c>
      <c r="F697" s="2" t="s">
        <v>15433</v>
      </c>
      <c r="G697" s="2" t="s">
        <v>14591</v>
      </c>
      <c r="H697" s="3" t="str">
        <f>_xlfn.IFNA(INDEX(FieldDisagreements!C2:C999, MATCH(C697,FieldDisagreements!A2:A999, 0)), "")</f>
        <v>effortless-xlsx</v>
      </c>
      <c r="I697" s="3" t="str">
        <f>_xlfn.IFNA(INDEX(FieldDisagreements!D2:D999, MATCH(C697,FieldDisagreements!A2:A999, 0)), "")</f>
        <v>SendIntents.IsUnreportedRefusalOnMyRules</v>
      </c>
      <c r="J697" s="2" t="s">
        <v>1906</v>
      </c>
    </row>
    <row r="698">
      <c r="A698" s="2" t="s">
        <v>15899</v>
      </c>
      <c r="B698" s="3" t="str">
        <f>_xlfn.CONCAT(C698, " @ ", D698)</f>
        <v>effortless-xlsx|SendIntents.IsUnreportedRefusalOnMyRules @ si-006</v>
      </c>
      <c r="C698" s="2" t="s">
        <v>14739</v>
      </c>
      <c r="D698" s="2" t="s">
        <v>8262</v>
      </c>
      <c r="E698" s="2" t="s">
        <v>15057</v>
      </c>
      <c r="F698" s="2" t="s">
        <v>15433</v>
      </c>
      <c r="G698" s="2" t="s">
        <v>14591</v>
      </c>
      <c r="H698" s="3" t="str">
        <f>_xlfn.IFNA(INDEX(FieldDisagreements!C2:C999, MATCH(C698,FieldDisagreements!A2:A999, 0)), "")</f>
        <v>effortless-xlsx</v>
      </c>
      <c r="I698" s="3" t="str">
        <f>_xlfn.IFNA(INDEX(FieldDisagreements!D2:D999, MATCH(C698,FieldDisagreements!A2:A999, 0)), "")</f>
        <v>SendIntents.IsUnreportedRefusalOnMyRules</v>
      </c>
      <c r="J698" s="2" t="s">
        <v>1906</v>
      </c>
    </row>
    <row r="699">
      <c r="A699" s="2" t="s">
        <v>15900</v>
      </c>
      <c r="B699" s="3" t="str">
        <f>_xlfn.CONCAT(C699, " @ ", D699)</f>
        <v>effortless-xlsx|SendIntents.IsUnreportedRefusalOnMyRules @ si-007</v>
      </c>
      <c r="C699" s="2" t="s">
        <v>14739</v>
      </c>
      <c r="D699" s="2" t="s">
        <v>8263</v>
      </c>
      <c r="E699" s="2" t="s">
        <v>15057</v>
      </c>
      <c r="F699" s="2" t="s">
        <v>15433</v>
      </c>
      <c r="G699" s="2" t="s">
        <v>14591</v>
      </c>
      <c r="H699" s="3" t="str">
        <f>_xlfn.IFNA(INDEX(FieldDisagreements!C2:C999, MATCH(C699,FieldDisagreements!A2:A999, 0)), "")</f>
        <v>effortless-xlsx</v>
      </c>
      <c r="I699" s="3" t="str">
        <f>_xlfn.IFNA(INDEX(FieldDisagreements!D2:D999, MATCH(C699,FieldDisagreements!A2:A999, 0)), "")</f>
        <v>SendIntents.IsUnreportedRefusalOnMyRules</v>
      </c>
      <c r="J699" s="2" t="s">
        <v>1906</v>
      </c>
    </row>
    <row r="700">
      <c r="A700" s="2" t="s">
        <v>15901</v>
      </c>
      <c r="B700" s="3" t="str">
        <f>_xlfn.CONCAT(C700, " @ ", D700)</f>
        <v>effortless-xlsx|SendIntents.IsApprovalOverriddenSilently @ si-001</v>
      </c>
      <c r="C700" s="2" t="s">
        <v>14740</v>
      </c>
      <c r="D700" s="2" t="s">
        <v>8253</v>
      </c>
      <c r="E700" s="2" t="s">
        <v>15057</v>
      </c>
      <c r="F700" s="2" t="s">
        <v>15433</v>
      </c>
      <c r="G700" s="2" t="s">
        <v>14591</v>
      </c>
      <c r="H700" s="3" t="str">
        <f>_xlfn.IFNA(INDEX(FieldDisagreements!C2:C999, MATCH(C700,FieldDisagreements!A2:A999, 0)), "")</f>
        <v>effortless-xlsx</v>
      </c>
      <c r="I700" s="3" t="str">
        <f>_xlfn.IFNA(INDEX(FieldDisagreements!D2:D999, MATCH(C700,FieldDisagreements!A2:A999, 0)), "")</f>
        <v>SendIntents.IsApprovalOverriddenSilently</v>
      </c>
      <c r="J700" s="2" t="s">
        <v>1906</v>
      </c>
    </row>
    <row r="701">
      <c r="A701" s="2" t="s">
        <v>15902</v>
      </c>
      <c r="B701" s="3" t="str">
        <f>_xlfn.CONCAT(C701, " @ ", D701)</f>
        <v>effortless-xlsx|SendIntents.IsApprovalOverriddenSilently @ si-002</v>
      </c>
      <c r="C701" s="2" t="s">
        <v>14740</v>
      </c>
      <c r="D701" s="2" t="s">
        <v>8256</v>
      </c>
      <c r="E701" s="2" t="s">
        <v>15057</v>
      </c>
      <c r="F701" s="2" t="s">
        <v>15433</v>
      </c>
      <c r="G701" s="2" t="s">
        <v>14591</v>
      </c>
      <c r="H701" s="3" t="str">
        <f>_xlfn.IFNA(INDEX(FieldDisagreements!C2:C999, MATCH(C701,FieldDisagreements!A2:A999, 0)), "")</f>
        <v>effortless-xlsx</v>
      </c>
      <c r="I701" s="3" t="str">
        <f>_xlfn.IFNA(INDEX(FieldDisagreements!D2:D999, MATCH(C701,FieldDisagreements!A2:A999, 0)), "")</f>
        <v>SendIntents.IsApprovalOverriddenSilently</v>
      </c>
      <c r="J701" s="2" t="s">
        <v>1906</v>
      </c>
    </row>
    <row r="702">
      <c r="A702" s="2" t="s">
        <v>15903</v>
      </c>
      <c r="B702" s="3" t="str">
        <f>_xlfn.CONCAT(C702, " @ ", D702)</f>
        <v>effortless-xlsx|SendIntents.IsApprovalOverriddenSilently @ si-003</v>
      </c>
      <c r="C702" s="2" t="s">
        <v>14740</v>
      </c>
      <c r="D702" s="2" t="s">
        <v>8257</v>
      </c>
      <c r="E702" s="2" t="s">
        <v>15057</v>
      </c>
      <c r="F702" s="2" t="s">
        <v>15433</v>
      </c>
      <c r="G702" s="2" t="s">
        <v>14591</v>
      </c>
      <c r="H702" s="3" t="str">
        <f>_xlfn.IFNA(INDEX(FieldDisagreements!C2:C999, MATCH(C702,FieldDisagreements!A2:A999, 0)), "")</f>
        <v>effortless-xlsx</v>
      </c>
      <c r="I702" s="3" t="str">
        <f>_xlfn.IFNA(INDEX(FieldDisagreements!D2:D999, MATCH(C702,FieldDisagreements!A2:A999, 0)), "")</f>
        <v>SendIntents.IsApprovalOverriddenSilently</v>
      </c>
      <c r="J702" s="2" t="s">
        <v>1906</v>
      </c>
    </row>
    <row r="703">
      <c r="A703" s="2" t="s">
        <v>15904</v>
      </c>
      <c r="B703" s="3" t="str">
        <f>_xlfn.CONCAT(C703, " @ ", D703)</f>
        <v>effortless-xlsx|SendIntents.IsApprovalOverriddenSilently @ si-004</v>
      </c>
      <c r="C703" s="2" t="s">
        <v>14740</v>
      </c>
      <c r="D703" s="2" t="s">
        <v>8258</v>
      </c>
      <c r="E703" s="2" t="s">
        <v>15035</v>
      </c>
      <c r="F703" s="2" t="s">
        <v>15433</v>
      </c>
      <c r="G703" s="2" t="s">
        <v>14591</v>
      </c>
      <c r="H703" s="3" t="str">
        <f>_xlfn.IFNA(INDEX(FieldDisagreements!C2:C999, MATCH(C703,FieldDisagreements!A2:A999, 0)), "")</f>
        <v>effortless-xlsx</v>
      </c>
      <c r="I703" s="3" t="str">
        <f>_xlfn.IFNA(INDEX(FieldDisagreements!D2:D999, MATCH(C703,FieldDisagreements!A2:A999, 0)), "")</f>
        <v>SendIntents.IsApprovalOverriddenSilently</v>
      </c>
      <c r="J703" s="2" t="s">
        <v>1906</v>
      </c>
    </row>
    <row r="704">
      <c r="A704" s="2" t="s">
        <v>15905</v>
      </c>
      <c r="B704" s="3" t="str">
        <f>_xlfn.CONCAT(C704, " @ ", D704)</f>
        <v>effortless-xlsx|SendIntents.IsApprovalOverriddenSilently @ si-005</v>
      </c>
      <c r="C704" s="2" t="s">
        <v>14740</v>
      </c>
      <c r="D704" s="2" t="s">
        <v>8260</v>
      </c>
      <c r="E704" s="2" t="s">
        <v>15035</v>
      </c>
      <c r="F704" s="2" t="s">
        <v>15433</v>
      </c>
      <c r="G704" s="2" t="s">
        <v>14591</v>
      </c>
      <c r="H704" s="3" t="str">
        <f>_xlfn.IFNA(INDEX(FieldDisagreements!C2:C999, MATCH(C704,FieldDisagreements!A2:A999, 0)), "")</f>
        <v>effortless-xlsx</v>
      </c>
      <c r="I704" s="3" t="str">
        <f>_xlfn.IFNA(INDEX(FieldDisagreements!D2:D999, MATCH(C704,FieldDisagreements!A2:A999, 0)), "")</f>
        <v>SendIntents.IsApprovalOverriddenSilently</v>
      </c>
      <c r="J704" s="2" t="s">
        <v>1906</v>
      </c>
    </row>
    <row r="705">
      <c r="A705" s="2" t="s">
        <v>15906</v>
      </c>
      <c r="B705" s="3" t="str">
        <f>_xlfn.CONCAT(C705, " @ ", D705)</f>
        <v>effortless-xlsx|SendIntents.IsApprovalOverriddenSilently @ si-006</v>
      </c>
      <c r="C705" s="2" t="s">
        <v>14740</v>
      </c>
      <c r="D705" s="2" t="s">
        <v>8262</v>
      </c>
      <c r="E705" s="2" t="s">
        <v>15057</v>
      </c>
      <c r="F705" s="2" t="s">
        <v>15433</v>
      </c>
      <c r="G705" s="2" t="s">
        <v>14591</v>
      </c>
      <c r="H705" s="3" t="str">
        <f>_xlfn.IFNA(INDEX(FieldDisagreements!C2:C999, MATCH(C705,FieldDisagreements!A2:A999, 0)), "")</f>
        <v>effortless-xlsx</v>
      </c>
      <c r="I705" s="3" t="str">
        <f>_xlfn.IFNA(INDEX(FieldDisagreements!D2:D999, MATCH(C705,FieldDisagreements!A2:A999, 0)), "")</f>
        <v>SendIntents.IsApprovalOverriddenSilently</v>
      </c>
      <c r="J705" s="2" t="s">
        <v>1906</v>
      </c>
    </row>
    <row r="706">
      <c r="A706" s="2" t="s">
        <v>15907</v>
      </c>
      <c r="B706" s="3" t="str">
        <f>_xlfn.CONCAT(C706, " @ ", D706)</f>
        <v>effortless-xlsx|SendIntents.IsApprovalOverriddenSilently @ si-007</v>
      </c>
      <c r="C706" s="2" t="s">
        <v>14740</v>
      </c>
      <c r="D706" s="2" t="s">
        <v>8263</v>
      </c>
      <c r="E706" s="2" t="s">
        <v>15057</v>
      </c>
      <c r="F706" s="2" t="s">
        <v>15433</v>
      </c>
      <c r="G706" s="2" t="s">
        <v>14591</v>
      </c>
      <c r="H706" s="3" t="str">
        <f>_xlfn.IFNA(INDEX(FieldDisagreements!C2:C999, MATCH(C706,FieldDisagreements!A2:A999, 0)), "")</f>
        <v>effortless-xlsx</v>
      </c>
      <c r="I706" s="3" t="str">
        <f>_xlfn.IFNA(INDEX(FieldDisagreements!D2:D999, MATCH(C706,FieldDisagreements!A2:A999, 0)), "")</f>
        <v>SendIntents.IsApprovalOverriddenSilently</v>
      </c>
      <c r="J706" s="2" t="s">
        <v>1906</v>
      </c>
    </row>
    <row r="707">
      <c r="A707" s="2" t="s">
        <v>15908</v>
      </c>
      <c r="B707" s="3" t="str">
        <f>_xlfn.CONCAT(C707, " @ ", D707)</f>
        <v>effortless-xlsx|SendIntents.ExceptionPrescribedAnAlternative @ si-001</v>
      </c>
      <c r="C707" s="2" t="s">
        <v>14741</v>
      </c>
      <c r="D707" s="2" t="s">
        <v>8253</v>
      </c>
      <c r="E707" s="2" t="s">
        <v>15057</v>
      </c>
      <c r="F707" s="2" t="s">
        <v>15035</v>
      </c>
      <c r="G707" s="2" t="s">
        <v>14591</v>
      </c>
      <c r="H707" s="3" t="str">
        <f>_xlfn.IFNA(INDEX(FieldDisagreements!C2:C999, MATCH(C707,FieldDisagreements!A2:A999, 0)), "")</f>
        <v>effortless-xlsx</v>
      </c>
      <c r="I707" s="3" t="str">
        <f>_xlfn.IFNA(INDEX(FieldDisagreements!D2:D999, MATCH(C707,FieldDisagreements!A2:A999, 0)), "")</f>
        <v>SendIntents.ExceptionPrescribedAnAlternative</v>
      </c>
      <c r="J707" s="2" t="s">
        <v>1906</v>
      </c>
    </row>
    <row r="708">
      <c r="A708" s="2" t="s">
        <v>15909</v>
      </c>
      <c r="B708" s="3" t="str">
        <f>_xlfn.CONCAT(C708, " @ ", D708)</f>
        <v>effortless-xlsx|SendIntents.ExceptionPrescribedAnAlternative @ si-007</v>
      </c>
      <c r="C708" s="2" t="s">
        <v>14741</v>
      </c>
      <c r="D708" s="2" t="s">
        <v>8263</v>
      </c>
      <c r="E708" s="2" t="s">
        <v>15057</v>
      </c>
      <c r="F708" s="2" t="s">
        <v>15035</v>
      </c>
      <c r="G708" s="2" t="s">
        <v>14591</v>
      </c>
      <c r="H708" s="3" t="str">
        <f>_xlfn.IFNA(INDEX(FieldDisagreements!C2:C999, MATCH(C708,FieldDisagreements!A2:A999, 0)), "")</f>
        <v>effortless-xlsx</v>
      </c>
      <c r="I708" s="3" t="str">
        <f>_xlfn.IFNA(INDEX(FieldDisagreements!D2:D999, MATCH(C708,FieldDisagreements!A2:A999, 0)), "")</f>
        <v>SendIntents.ExceptionPrescribedAnAlternative</v>
      </c>
      <c r="J708" s="2" t="s">
        <v>1906</v>
      </c>
    </row>
    <row r="709">
      <c r="A709" s="2" t="s">
        <v>15910</v>
      </c>
      <c r="B709" s="3" t="str">
        <f>_xlfn.CONCAT(C709, " @ ", D709)</f>
        <v>effortless-xlsx|SendIntents.IsSuppressionWithoutRemedy @ si-001</v>
      </c>
      <c r="C709" s="2" t="s">
        <v>14742</v>
      </c>
      <c r="D709" s="2" t="s">
        <v>8253</v>
      </c>
      <c r="E709" s="2" t="s">
        <v>15057</v>
      </c>
      <c r="F709" s="2" t="s">
        <v>15035</v>
      </c>
      <c r="G709" s="2" t="s">
        <v>14591</v>
      </c>
      <c r="H709" s="3" t="str">
        <f>_xlfn.IFNA(INDEX(FieldDisagreements!C2:C999, MATCH(C709,FieldDisagreements!A2:A999, 0)), "")</f>
        <v>effortless-xlsx</v>
      </c>
      <c r="I709" s="3" t="str">
        <f>_xlfn.IFNA(INDEX(FieldDisagreements!D2:D999, MATCH(C709,FieldDisagreements!A2:A999, 0)), "")</f>
        <v>SendIntents.IsSuppressionWithoutRemedy</v>
      </c>
      <c r="J709" s="2" t="s">
        <v>1906</v>
      </c>
    </row>
    <row r="710">
      <c r="A710" s="2" t="s">
        <v>15911</v>
      </c>
      <c r="B710" s="3" t="str">
        <f>_xlfn.CONCAT(C710, " @ ", D710)</f>
        <v>effortless-xlsx|SendIntents.IsSuppressionWithoutRemedy @ si-007</v>
      </c>
      <c r="C710" s="2" t="s">
        <v>14742</v>
      </c>
      <c r="D710" s="2" t="s">
        <v>8263</v>
      </c>
      <c r="E710" s="2" t="s">
        <v>15057</v>
      </c>
      <c r="F710" s="2" t="s">
        <v>15035</v>
      </c>
      <c r="G710" s="2" t="s">
        <v>14591</v>
      </c>
      <c r="H710" s="3" t="str">
        <f>_xlfn.IFNA(INDEX(FieldDisagreements!C2:C999, MATCH(C710,FieldDisagreements!A2:A999, 0)), "")</f>
        <v>effortless-xlsx</v>
      </c>
      <c r="I710" s="3" t="str">
        <f>_xlfn.IFNA(INDEX(FieldDisagreements!D2:D999, MATCH(C710,FieldDisagreements!A2:A999, 0)), "")</f>
        <v>SendIntents.IsSuppressionWithoutRemedy</v>
      </c>
      <c r="J710" s="2" t="s">
        <v>1906</v>
      </c>
    </row>
    <row r="711">
      <c r="A711" s="2" t="s">
        <v>15912</v>
      </c>
      <c r="B711" s="3" t="str">
        <f>_xlfn.CONCAT(C711, " @ ", D711)</f>
        <v>effortless-xlsx|SendIntents.AsOfInstant @ si-001</v>
      </c>
      <c r="C711" s="2" t="s">
        <v>14743</v>
      </c>
      <c r="D711" s="2" t="s">
        <v>8253</v>
      </c>
      <c r="E711" s="2" t="s">
        <v>15271</v>
      </c>
      <c r="F711" s="2" t="s">
        <v>15272</v>
      </c>
      <c r="G711" s="2" t="s">
        <v>14591</v>
      </c>
      <c r="H711" s="3" t="str">
        <f>_xlfn.IFNA(INDEX(FieldDisagreements!C2:C999, MATCH(C711,FieldDisagreements!A2:A999, 0)), "")</f>
        <v>effortless-xlsx</v>
      </c>
      <c r="I711" s="3" t="str">
        <f>_xlfn.IFNA(INDEX(FieldDisagreements!D2:D999, MATCH(C711,FieldDisagreements!A2:A999, 0)), "")</f>
        <v>SendIntents.AsOfInstant</v>
      </c>
      <c r="J711" s="2" t="s">
        <v>1906</v>
      </c>
    </row>
    <row r="712">
      <c r="A712" s="2" t="s">
        <v>15913</v>
      </c>
      <c r="B712" s="3" t="str">
        <f>_xlfn.CONCAT(C712, " @ ", D712)</f>
        <v>effortless-xlsx|SendIntents.AsOfInstant @ si-002</v>
      </c>
      <c r="C712" s="2" t="s">
        <v>14743</v>
      </c>
      <c r="D712" s="2" t="s">
        <v>8256</v>
      </c>
      <c r="E712" s="2" t="s">
        <v>15271</v>
      </c>
      <c r="F712" s="2" t="s">
        <v>15272</v>
      </c>
      <c r="G712" s="2" t="s">
        <v>14591</v>
      </c>
      <c r="H712" s="3" t="str">
        <f>_xlfn.IFNA(INDEX(FieldDisagreements!C2:C999, MATCH(C712,FieldDisagreements!A2:A999, 0)), "")</f>
        <v>effortless-xlsx</v>
      </c>
      <c r="I712" s="3" t="str">
        <f>_xlfn.IFNA(INDEX(FieldDisagreements!D2:D999, MATCH(C712,FieldDisagreements!A2:A999, 0)), "")</f>
        <v>SendIntents.AsOfInstant</v>
      </c>
      <c r="J712" s="2" t="s">
        <v>1906</v>
      </c>
    </row>
    <row r="713">
      <c r="A713" s="2" t="s">
        <v>15914</v>
      </c>
      <c r="B713" s="3" t="str">
        <f>_xlfn.CONCAT(C713, " @ ", D713)</f>
        <v>effortless-xlsx|SendIntents.AsOfInstant @ si-003</v>
      </c>
      <c r="C713" s="2" t="s">
        <v>14743</v>
      </c>
      <c r="D713" s="2" t="s">
        <v>8257</v>
      </c>
      <c r="E713" s="2" t="s">
        <v>15271</v>
      </c>
      <c r="F713" s="2" t="s">
        <v>15272</v>
      </c>
      <c r="G713" s="2" t="s">
        <v>14591</v>
      </c>
      <c r="H713" s="3" t="str">
        <f>_xlfn.IFNA(INDEX(FieldDisagreements!C2:C999, MATCH(C713,FieldDisagreements!A2:A999, 0)), "")</f>
        <v>effortless-xlsx</v>
      </c>
      <c r="I713" s="3" t="str">
        <f>_xlfn.IFNA(INDEX(FieldDisagreements!D2:D999, MATCH(C713,FieldDisagreements!A2:A999, 0)), "")</f>
        <v>SendIntents.AsOfInstant</v>
      </c>
      <c r="J713" s="2" t="s">
        <v>1906</v>
      </c>
    </row>
    <row r="714">
      <c r="A714" s="2" t="s">
        <v>15915</v>
      </c>
      <c r="B714" s="3" t="str">
        <f>_xlfn.CONCAT(C714, " @ ", D714)</f>
        <v>effortless-xlsx|SendIntents.AsOfInstant @ si-004</v>
      </c>
      <c r="C714" s="2" t="s">
        <v>14743</v>
      </c>
      <c r="D714" s="2" t="s">
        <v>8258</v>
      </c>
      <c r="E714" s="2" t="s">
        <v>15271</v>
      </c>
      <c r="F714" s="2" t="s">
        <v>15272</v>
      </c>
      <c r="G714" s="2" t="s">
        <v>14591</v>
      </c>
      <c r="H714" s="3" t="str">
        <f>_xlfn.IFNA(INDEX(FieldDisagreements!C2:C999, MATCH(C714,FieldDisagreements!A2:A999, 0)), "")</f>
        <v>effortless-xlsx</v>
      </c>
      <c r="I714" s="3" t="str">
        <f>_xlfn.IFNA(INDEX(FieldDisagreements!D2:D999, MATCH(C714,FieldDisagreements!A2:A999, 0)), "")</f>
        <v>SendIntents.AsOfInstant</v>
      </c>
      <c r="J714" s="2" t="s">
        <v>1906</v>
      </c>
    </row>
    <row r="715">
      <c r="A715" s="2" t="s">
        <v>15916</v>
      </c>
      <c r="B715" s="3" t="str">
        <f>_xlfn.CONCAT(C715, " @ ", D715)</f>
        <v>effortless-xlsx|SendIntents.AsOfInstant @ si-005</v>
      </c>
      <c r="C715" s="2" t="s">
        <v>14743</v>
      </c>
      <c r="D715" s="2" t="s">
        <v>8260</v>
      </c>
      <c r="E715" s="2" t="s">
        <v>15271</v>
      </c>
      <c r="F715" s="2" t="s">
        <v>15272</v>
      </c>
      <c r="G715" s="2" t="s">
        <v>14591</v>
      </c>
      <c r="H715" s="3" t="str">
        <f>_xlfn.IFNA(INDEX(FieldDisagreements!C2:C999, MATCH(C715,FieldDisagreements!A2:A999, 0)), "")</f>
        <v>effortless-xlsx</v>
      </c>
      <c r="I715" s="3" t="str">
        <f>_xlfn.IFNA(INDEX(FieldDisagreements!D2:D999, MATCH(C715,FieldDisagreements!A2:A999, 0)), "")</f>
        <v>SendIntents.AsOfInstant</v>
      </c>
      <c r="J715" s="2" t="s">
        <v>1906</v>
      </c>
    </row>
    <row r="716">
      <c r="A716" s="2" t="s">
        <v>15917</v>
      </c>
      <c r="B716" s="3" t="str">
        <f>_xlfn.CONCAT(C716, " @ ", D716)</f>
        <v>effortless-xlsx|SendIntents.AsOfInstant @ si-006</v>
      </c>
      <c r="C716" s="2" t="s">
        <v>14743</v>
      </c>
      <c r="D716" s="2" t="s">
        <v>8262</v>
      </c>
      <c r="E716" s="2" t="s">
        <v>15271</v>
      </c>
      <c r="F716" s="2" t="s">
        <v>15272</v>
      </c>
      <c r="G716" s="2" t="s">
        <v>14591</v>
      </c>
      <c r="H716" s="3" t="str">
        <f>_xlfn.IFNA(INDEX(FieldDisagreements!C2:C999, MATCH(C716,FieldDisagreements!A2:A999, 0)), "")</f>
        <v>effortless-xlsx</v>
      </c>
      <c r="I716" s="3" t="str">
        <f>_xlfn.IFNA(INDEX(FieldDisagreements!D2:D999, MATCH(C716,FieldDisagreements!A2:A999, 0)), "")</f>
        <v>SendIntents.AsOfInstant</v>
      </c>
      <c r="J716" s="2" t="s">
        <v>1906</v>
      </c>
    </row>
    <row r="717">
      <c r="A717" s="2" t="s">
        <v>15918</v>
      </c>
      <c r="B717" s="3" t="str">
        <f>_xlfn.CONCAT(C717, " @ ", D717)</f>
        <v>effortless-xlsx|SendIntents.AsOfInstant @ si-007</v>
      </c>
      <c r="C717" s="2" t="s">
        <v>14743</v>
      </c>
      <c r="D717" s="2" t="s">
        <v>8263</v>
      </c>
      <c r="E717" s="2" t="s">
        <v>15271</v>
      </c>
      <c r="F717" s="2" t="s">
        <v>15272</v>
      </c>
      <c r="G717" s="2" t="s">
        <v>14591</v>
      </c>
      <c r="H717" s="3" t="str">
        <f>_xlfn.IFNA(INDEX(FieldDisagreements!C2:C999, MATCH(C717,FieldDisagreements!A2:A999, 0)), "")</f>
        <v>effortless-xlsx</v>
      </c>
      <c r="I717" s="3" t="str">
        <f>_xlfn.IFNA(INDEX(FieldDisagreements!D2:D999, MATCH(C717,FieldDisagreements!A2:A999, 0)), "")</f>
        <v>SendIntents.AsOfInstant</v>
      </c>
      <c r="J717" s="2" t="s">
        <v>1906</v>
      </c>
    </row>
    <row r="718">
      <c r="A718" s="2" t="s">
        <v>15919</v>
      </c>
      <c r="B718" s="3" t="str">
        <f>_xlfn.CONCAT(C718, " @ ", D718)</f>
        <v>effortless-xlsx|SendIntents.WindowHasSinceReopened @ si-001</v>
      </c>
      <c r="C718" s="2" t="s">
        <v>14744</v>
      </c>
      <c r="D718" s="2" t="s">
        <v>8253</v>
      </c>
      <c r="E718" s="2" t="s">
        <v>15057</v>
      </c>
      <c r="F718" s="2" t="s">
        <v>15478</v>
      </c>
      <c r="G718" s="2" t="s">
        <v>14591</v>
      </c>
      <c r="H718" s="3" t="str">
        <f>_xlfn.IFNA(INDEX(FieldDisagreements!C2:C999, MATCH(C718,FieldDisagreements!A2:A999, 0)), "")</f>
        <v>effortless-xlsx</v>
      </c>
      <c r="I718" s="3" t="str">
        <f>_xlfn.IFNA(INDEX(FieldDisagreements!D2:D999, MATCH(C718,FieldDisagreements!A2:A999, 0)), "")</f>
        <v>SendIntents.WindowHasSinceReopened</v>
      </c>
      <c r="J718" s="2" t="s">
        <v>1906</v>
      </c>
    </row>
    <row r="719">
      <c r="A719" s="2" t="s">
        <v>15920</v>
      </c>
      <c r="B719" s="3" t="str">
        <f>_xlfn.CONCAT(C719, " @ ", D719)</f>
        <v>effortless-xlsx|SendIntents.WindowHasSinceReopened @ si-002</v>
      </c>
      <c r="C719" s="2" t="s">
        <v>14744</v>
      </c>
      <c r="D719" s="2" t="s">
        <v>8256</v>
      </c>
      <c r="E719" s="2" t="s">
        <v>15057</v>
      </c>
      <c r="F719" s="2" t="s">
        <v>15478</v>
      </c>
      <c r="G719" s="2" t="s">
        <v>14591</v>
      </c>
      <c r="H719" s="3" t="str">
        <f>_xlfn.IFNA(INDEX(FieldDisagreements!C2:C999, MATCH(C719,FieldDisagreements!A2:A999, 0)), "")</f>
        <v>effortless-xlsx</v>
      </c>
      <c r="I719" s="3" t="str">
        <f>_xlfn.IFNA(INDEX(FieldDisagreements!D2:D999, MATCH(C719,FieldDisagreements!A2:A999, 0)), "")</f>
        <v>SendIntents.WindowHasSinceReopened</v>
      </c>
      <c r="J719" s="2" t="s">
        <v>1906</v>
      </c>
    </row>
    <row r="720">
      <c r="A720" s="2" t="s">
        <v>15921</v>
      </c>
      <c r="B720" s="3" t="str">
        <f>_xlfn.CONCAT(C720, " @ ", D720)</f>
        <v>effortless-xlsx|SendIntents.WindowHasSinceReopened @ si-003</v>
      </c>
      <c r="C720" s="2" t="s">
        <v>14744</v>
      </c>
      <c r="D720" s="2" t="s">
        <v>8257</v>
      </c>
      <c r="E720" s="2" t="s">
        <v>15035</v>
      </c>
      <c r="F720" s="2" t="s">
        <v>15478</v>
      </c>
      <c r="G720" s="2" t="s">
        <v>14591</v>
      </c>
      <c r="H720" s="3" t="str">
        <f>_xlfn.IFNA(INDEX(FieldDisagreements!C2:C999, MATCH(C720,FieldDisagreements!A2:A999, 0)), "")</f>
        <v>effortless-xlsx</v>
      </c>
      <c r="I720" s="3" t="str">
        <f>_xlfn.IFNA(INDEX(FieldDisagreements!D2:D999, MATCH(C720,FieldDisagreements!A2:A999, 0)), "")</f>
        <v>SendIntents.WindowHasSinceReopened</v>
      </c>
      <c r="J720" s="2" t="s">
        <v>1906</v>
      </c>
    </row>
    <row r="721">
      <c r="A721" s="2" t="s">
        <v>15922</v>
      </c>
      <c r="B721" s="3" t="str">
        <f>_xlfn.CONCAT(C721, " @ ", D721)</f>
        <v>effortless-xlsx|SendIntents.WindowHasSinceReopened @ si-004</v>
      </c>
      <c r="C721" s="2" t="s">
        <v>14744</v>
      </c>
      <c r="D721" s="2" t="s">
        <v>8258</v>
      </c>
      <c r="E721" s="2" t="s">
        <v>15057</v>
      </c>
      <c r="F721" s="2" t="s">
        <v>15478</v>
      </c>
      <c r="G721" s="2" t="s">
        <v>14591</v>
      </c>
      <c r="H721" s="3" t="str">
        <f>_xlfn.IFNA(INDEX(FieldDisagreements!C2:C999, MATCH(C721,FieldDisagreements!A2:A999, 0)), "")</f>
        <v>effortless-xlsx</v>
      </c>
      <c r="I721" s="3" t="str">
        <f>_xlfn.IFNA(INDEX(FieldDisagreements!D2:D999, MATCH(C721,FieldDisagreements!A2:A999, 0)), "")</f>
        <v>SendIntents.WindowHasSinceReopened</v>
      </c>
      <c r="J721" s="2" t="s">
        <v>1906</v>
      </c>
    </row>
    <row r="722">
      <c r="A722" s="2" t="s">
        <v>15923</v>
      </c>
      <c r="B722" s="3" t="str">
        <f>_xlfn.CONCAT(C722, " @ ", D722)</f>
        <v>effortless-xlsx|SendIntents.WindowHasSinceReopened @ si-005</v>
      </c>
      <c r="C722" s="2" t="s">
        <v>14744</v>
      </c>
      <c r="D722" s="2" t="s">
        <v>8260</v>
      </c>
      <c r="E722" s="2" t="s">
        <v>15057</v>
      </c>
      <c r="F722" s="2" t="s">
        <v>15478</v>
      </c>
      <c r="G722" s="2" t="s">
        <v>14591</v>
      </c>
      <c r="H722" s="3" t="str">
        <f>_xlfn.IFNA(INDEX(FieldDisagreements!C2:C999, MATCH(C722,FieldDisagreements!A2:A999, 0)), "")</f>
        <v>effortless-xlsx</v>
      </c>
      <c r="I722" s="3" t="str">
        <f>_xlfn.IFNA(INDEX(FieldDisagreements!D2:D999, MATCH(C722,FieldDisagreements!A2:A999, 0)), "")</f>
        <v>SendIntents.WindowHasSinceReopened</v>
      </c>
      <c r="J722" s="2" t="s">
        <v>1906</v>
      </c>
    </row>
    <row r="723">
      <c r="A723" s="2" t="s">
        <v>15924</v>
      </c>
      <c r="B723" s="3" t="str">
        <f>_xlfn.CONCAT(C723, " @ ", D723)</f>
        <v>effortless-xlsx|SendIntents.WindowHasSinceReopened @ si-006</v>
      </c>
      <c r="C723" s="2" t="s">
        <v>14744</v>
      </c>
      <c r="D723" s="2" t="s">
        <v>8262</v>
      </c>
      <c r="E723" s="2" t="s">
        <v>15057</v>
      </c>
      <c r="F723" s="2" t="s">
        <v>15478</v>
      </c>
      <c r="G723" s="2" t="s">
        <v>14591</v>
      </c>
      <c r="H723" s="3" t="str">
        <f>_xlfn.IFNA(INDEX(FieldDisagreements!C2:C999, MATCH(C723,FieldDisagreements!A2:A999, 0)), "")</f>
        <v>effortless-xlsx</v>
      </c>
      <c r="I723" s="3" t="str">
        <f>_xlfn.IFNA(INDEX(FieldDisagreements!D2:D999, MATCH(C723,FieldDisagreements!A2:A999, 0)), "")</f>
        <v>SendIntents.WindowHasSinceReopened</v>
      </c>
      <c r="J723" s="2" t="s">
        <v>1906</v>
      </c>
    </row>
    <row r="724">
      <c r="A724" s="2" t="s">
        <v>15925</v>
      </c>
      <c r="B724" s="3" t="str">
        <f>_xlfn.CONCAT(C724, " @ ", D724)</f>
        <v>effortless-xlsx|SendIntents.WindowHasSinceReopened @ si-007</v>
      </c>
      <c r="C724" s="2" t="s">
        <v>14744</v>
      </c>
      <c r="D724" s="2" t="s">
        <v>8263</v>
      </c>
      <c r="E724" s="2" t="s">
        <v>15057</v>
      </c>
      <c r="F724" s="2" t="s">
        <v>15478</v>
      </c>
      <c r="G724" s="2" t="s">
        <v>14591</v>
      </c>
      <c r="H724" s="3" t="str">
        <f>_xlfn.IFNA(INDEX(FieldDisagreements!C2:C999, MATCH(C724,FieldDisagreements!A2:A999, 0)), "")</f>
        <v>effortless-xlsx</v>
      </c>
      <c r="I724" s="3" t="str">
        <f>_xlfn.IFNA(INDEX(FieldDisagreements!D2:D999, MATCH(C724,FieldDisagreements!A2:A999, 0)), "")</f>
        <v>SendIntents.WindowHasSinceReopened</v>
      </c>
      <c r="J724" s="2" t="s">
        <v>1906</v>
      </c>
    </row>
    <row r="725">
      <c r="A725" s="2" t="s">
        <v>15926</v>
      </c>
      <c r="B725" s="3" t="str">
        <f>_xlfn.CONCAT(C725, " @ ", D725)</f>
        <v>effortless-xlsx|SendIntents.IsAbandonedDeferral @ si-001</v>
      </c>
      <c r="C725" s="2" t="s">
        <v>14745</v>
      </c>
      <c r="D725" s="2" t="s">
        <v>8253</v>
      </c>
      <c r="E725" s="2" t="s">
        <v>15057</v>
      </c>
      <c r="F725" s="2" t="s">
        <v>15478</v>
      </c>
      <c r="G725" s="2" t="s">
        <v>14591</v>
      </c>
      <c r="H725" s="3" t="str">
        <f>_xlfn.IFNA(INDEX(FieldDisagreements!C2:C999, MATCH(C725,FieldDisagreements!A2:A999, 0)), "")</f>
        <v>effortless-xlsx</v>
      </c>
      <c r="I725" s="3" t="str">
        <f>_xlfn.IFNA(INDEX(FieldDisagreements!D2:D999, MATCH(C725,FieldDisagreements!A2:A999, 0)), "")</f>
        <v>SendIntents.IsAbandonedDeferral</v>
      </c>
      <c r="J725" s="2" t="s">
        <v>1906</v>
      </c>
    </row>
    <row r="726">
      <c r="A726" s="2" t="s">
        <v>15927</v>
      </c>
      <c r="B726" s="3" t="str">
        <f>_xlfn.CONCAT(C726, " @ ", D726)</f>
        <v>effortless-xlsx|SendIntents.IsAbandonedDeferral @ si-002</v>
      </c>
      <c r="C726" s="2" t="s">
        <v>14745</v>
      </c>
      <c r="D726" s="2" t="s">
        <v>8256</v>
      </c>
      <c r="E726" s="2" t="s">
        <v>15057</v>
      </c>
      <c r="F726" s="2" t="s">
        <v>15478</v>
      </c>
      <c r="G726" s="2" t="s">
        <v>14591</v>
      </c>
      <c r="H726" s="3" t="str">
        <f>_xlfn.IFNA(INDEX(FieldDisagreements!C2:C999, MATCH(C726,FieldDisagreements!A2:A999, 0)), "")</f>
        <v>effortless-xlsx</v>
      </c>
      <c r="I726" s="3" t="str">
        <f>_xlfn.IFNA(INDEX(FieldDisagreements!D2:D999, MATCH(C726,FieldDisagreements!A2:A999, 0)), "")</f>
        <v>SendIntents.IsAbandonedDeferral</v>
      </c>
      <c r="J726" s="2" t="s">
        <v>1906</v>
      </c>
    </row>
    <row r="727">
      <c r="A727" s="2" t="s">
        <v>15928</v>
      </c>
      <c r="B727" s="3" t="str">
        <f>_xlfn.CONCAT(C727, " @ ", D727)</f>
        <v>effortless-xlsx|SendIntents.IsAbandonedDeferral @ si-003</v>
      </c>
      <c r="C727" s="2" t="s">
        <v>14745</v>
      </c>
      <c r="D727" s="2" t="s">
        <v>8257</v>
      </c>
      <c r="E727" s="2" t="s">
        <v>15035</v>
      </c>
      <c r="F727" s="2" t="s">
        <v>15478</v>
      </c>
      <c r="G727" s="2" t="s">
        <v>14591</v>
      </c>
      <c r="H727" s="3" t="str">
        <f>_xlfn.IFNA(INDEX(FieldDisagreements!C2:C999, MATCH(C727,FieldDisagreements!A2:A999, 0)), "")</f>
        <v>effortless-xlsx</v>
      </c>
      <c r="I727" s="3" t="str">
        <f>_xlfn.IFNA(INDEX(FieldDisagreements!D2:D999, MATCH(C727,FieldDisagreements!A2:A999, 0)), "")</f>
        <v>SendIntents.IsAbandonedDeferral</v>
      </c>
      <c r="J727" s="2" t="s">
        <v>1906</v>
      </c>
    </row>
    <row r="728">
      <c r="A728" s="2" t="s">
        <v>15929</v>
      </c>
      <c r="B728" s="3" t="str">
        <f>_xlfn.CONCAT(C728, " @ ", D728)</f>
        <v>effortless-xlsx|SendIntents.IsAbandonedDeferral @ si-004</v>
      </c>
      <c r="C728" s="2" t="s">
        <v>14745</v>
      </c>
      <c r="D728" s="2" t="s">
        <v>8258</v>
      </c>
      <c r="E728" s="2" t="s">
        <v>15057</v>
      </c>
      <c r="F728" s="2" t="s">
        <v>15478</v>
      </c>
      <c r="G728" s="2" t="s">
        <v>14591</v>
      </c>
      <c r="H728" s="3" t="str">
        <f>_xlfn.IFNA(INDEX(FieldDisagreements!C2:C999, MATCH(C728,FieldDisagreements!A2:A999, 0)), "")</f>
        <v>effortless-xlsx</v>
      </c>
      <c r="I728" s="3" t="str">
        <f>_xlfn.IFNA(INDEX(FieldDisagreements!D2:D999, MATCH(C728,FieldDisagreements!A2:A999, 0)), "")</f>
        <v>SendIntents.IsAbandonedDeferral</v>
      </c>
      <c r="J728" s="2" t="s">
        <v>1906</v>
      </c>
    </row>
    <row r="729">
      <c r="A729" s="2" t="s">
        <v>15930</v>
      </c>
      <c r="B729" s="3" t="str">
        <f>_xlfn.CONCAT(C729, " @ ", D729)</f>
        <v>effortless-xlsx|SendIntents.IsAbandonedDeferral @ si-005</v>
      </c>
      <c r="C729" s="2" t="s">
        <v>14745</v>
      </c>
      <c r="D729" s="2" t="s">
        <v>8260</v>
      </c>
      <c r="E729" s="2" t="s">
        <v>15057</v>
      </c>
      <c r="F729" s="2" t="s">
        <v>15478</v>
      </c>
      <c r="G729" s="2" t="s">
        <v>14591</v>
      </c>
      <c r="H729" s="3" t="str">
        <f>_xlfn.IFNA(INDEX(FieldDisagreements!C2:C999, MATCH(C729,FieldDisagreements!A2:A999, 0)), "")</f>
        <v>effortless-xlsx</v>
      </c>
      <c r="I729" s="3" t="str">
        <f>_xlfn.IFNA(INDEX(FieldDisagreements!D2:D999, MATCH(C729,FieldDisagreements!A2:A999, 0)), "")</f>
        <v>SendIntents.IsAbandonedDeferral</v>
      </c>
      <c r="J729" s="2" t="s">
        <v>1906</v>
      </c>
    </row>
    <row r="730">
      <c r="A730" s="2" t="s">
        <v>15931</v>
      </c>
      <c r="B730" s="3" t="str">
        <f>_xlfn.CONCAT(C730, " @ ", D730)</f>
        <v>effortless-xlsx|SendIntents.IsAbandonedDeferral @ si-006</v>
      </c>
      <c r="C730" s="2" t="s">
        <v>14745</v>
      </c>
      <c r="D730" s="2" t="s">
        <v>8262</v>
      </c>
      <c r="E730" s="2" t="s">
        <v>15057</v>
      </c>
      <c r="F730" s="2" t="s">
        <v>15478</v>
      </c>
      <c r="G730" s="2" t="s">
        <v>14591</v>
      </c>
      <c r="H730" s="3" t="str">
        <f>_xlfn.IFNA(INDEX(FieldDisagreements!C2:C999, MATCH(C730,FieldDisagreements!A2:A999, 0)), "")</f>
        <v>effortless-xlsx</v>
      </c>
      <c r="I730" s="3" t="str">
        <f>_xlfn.IFNA(INDEX(FieldDisagreements!D2:D999, MATCH(C730,FieldDisagreements!A2:A999, 0)), "")</f>
        <v>SendIntents.IsAbandonedDeferral</v>
      </c>
      <c r="J730" s="2" t="s">
        <v>1906</v>
      </c>
    </row>
    <row r="731">
      <c r="A731" s="2" t="s">
        <v>15932</v>
      </c>
      <c r="B731" s="3" t="str">
        <f>_xlfn.CONCAT(C731, " @ ", D731)</f>
        <v>effortless-xlsx|SendIntents.IsAbandonedDeferral @ si-007</v>
      </c>
      <c r="C731" s="2" t="s">
        <v>14745</v>
      </c>
      <c r="D731" s="2" t="s">
        <v>8263</v>
      </c>
      <c r="E731" s="2" t="s">
        <v>15057</v>
      </c>
      <c r="F731" s="2" t="s">
        <v>15478</v>
      </c>
      <c r="G731" s="2" t="s">
        <v>14591</v>
      </c>
      <c r="H731" s="3" t="str">
        <f>_xlfn.IFNA(INDEX(FieldDisagreements!C2:C999, MATCH(C731,FieldDisagreements!A2:A999, 0)), "")</f>
        <v>effortless-xlsx</v>
      </c>
      <c r="I731" s="3" t="str">
        <f>_xlfn.IFNA(INDEX(FieldDisagreements!D2:D999, MATCH(C731,FieldDisagreements!A2:A999, 0)), "")</f>
        <v>SendIntents.IsAbandonedDeferral</v>
      </c>
      <c r="J731" s="2" t="s">
        <v>1906</v>
      </c>
    </row>
    <row r="732">
      <c r="A732" s="2" t="s">
        <v>15933</v>
      </c>
      <c r="B732" s="3" t="str">
        <f>_xlfn.CONCAT(C732, " @ ", D732)</f>
        <v>effortless-xlsx|SendIntents.DeferralAgeHours @ si-001</v>
      </c>
      <c r="C732" s="2" t="s">
        <v>14746</v>
      </c>
      <c r="D732" s="2" t="s">
        <v>8253</v>
      </c>
      <c r="E732" s="2" t="s">
        <v>15195</v>
      </c>
      <c r="F732" s="2" t="s">
        <v>15478</v>
      </c>
      <c r="G732" s="2" t="s">
        <v>14591</v>
      </c>
      <c r="H732" s="3" t="str">
        <f>_xlfn.IFNA(INDEX(FieldDisagreements!C2:C999, MATCH(C732,FieldDisagreements!A2:A999, 0)), "")</f>
        <v>effortless-xlsx</v>
      </c>
      <c r="I732" s="3" t="str">
        <f>_xlfn.IFNA(INDEX(FieldDisagreements!D2:D999, MATCH(C732,FieldDisagreements!A2:A999, 0)), "")</f>
        <v>SendIntents.DeferralAgeHours</v>
      </c>
      <c r="J732" s="2" t="s">
        <v>1906</v>
      </c>
    </row>
    <row r="733">
      <c r="A733" s="2" t="s">
        <v>15934</v>
      </c>
      <c r="B733" s="3" t="str">
        <f>_xlfn.CONCAT(C733, " @ ", D733)</f>
        <v>effortless-xlsx|SendIntents.DeferralAgeHours @ si-002</v>
      </c>
      <c r="C733" s="2" t="s">
        <v>14746</v>
      </c>
      <c r="D733" s="2" t="s">
        <v>8256</v>
      </c>
      <c r="E733" s="2" t="s">
        <v>15195</v>
      </c>
      <c r="F733" s="2" t="s">
        <v>15478</v>
      </c>
      <c r="G733" s="2" t="s">
        <v>14591</v>
      </c>
      <c r="H733" s="3" t="str">
        <f>_xlfn.IFNA(INDEX(FieldDisagreements!C2:C999, MATCH(C733,FieldDisagreements!A2:A999, 0)), "")</f>
        <v>effortless-xlsx</v>
      </c>
      <c r="I733" s="3" t="str">
        <f>_xlfn.IFNA(INDEX(FieldDisagreements!D2:D999, MATCH(C733,FieldDisagreements!A2:A999, 0)), "")</f>
        <v>SendIntents.DeferralAgeHours</v>
      </c>
      <c r="J733" s="2" t="s">
        <v>1906</v>
      </c>
    </row>
    <row r="734">
      <c r="A734" s="2" t="s">
        <v>15935</v>
      </c>
      <c r="B734" s="3" t="str">
        <f>_xlfn.CONCAT(C734, " @ ", D734)</f>
        <v>effortless-xlsx|SendIntents.DeferralAgeHours @ si-003</v>
      </c>
      <c r="C734" s="2" t="s">
        <v>14746</v>
      </c>
      <c r="D734" s="2" t="s">
        <v>8257</v>
      </c>
      <c r="E734" s="2" t="s">
        <v>15195</v>
      </c>
      <c r="F734" s="2" t="s">
        <v>15478</v>
      </c>
      <c r="G734" s="2" t="s">
        <v>14591</v>
      </c>
      <c r="H734" s="3" t="str">
        <f>_xlfn.IFNA(INDEX(FieldDisagreements!C2:C999, MATCH(C734,FieldDisagreements!A2:A999, 0)), "")</f>
        <v>effortless-xlsx</v>
      </c>
      <c r="I734" s="3" t="str">
        <f>_xlfn.IFNA(INDEX(FieldDisagreements!D2:D999, MATCH(C734,FieldDisagreements!A2:A999, 0)), "")</f>
        <v>SendIntents.DeferralAgeHours</v>
      </c>
      <c r="J734" s="2" t="s">
        <v>1906</v>
      </c>
    </row>
    <row r="735">
      <c r="A735" s="2" t="s">
        <v>15936</v>
      </c>
      <c r="B735" s="3" t="str">
        <f>_xlfn.CONCAT(C735, " @ ", D735)</f>
        <v>effortless-xlsx|SendIntents.DeferralAgeHours @ si-004</v>
      </c>
      <c r="C735" s="2" t="s">
        <v>14746</v>
      </c>
      <c r="D735" s="2" t="s">
        <v>8258</v>
      </c>
      <c r="E735" s="2" t="s">
        <v>15195</v>
      </c>
      <c r="F735" s="2" t="s">
        <v>15478</v>
      </c>
      <c r="G735" s="2" t="s">
        <v>14591</v>
      </c>
      <c r="H735" s="3" t="str">
        <f>_xlfn.IFNA(INDEX(FieldDisagreements!C2:C999, MATCH(C735,FieldDisagreements!A2:A999, 0)), "")</f>
        <v>effortless-xlsx</v>
      </c>
      <c r="I735" s="3" t="str">
        <f>_xlfn.IFNA(INDEX(FieldDisagreements!D2:D999, MATCH(C735,FieldDisagreements!A2:A999, 0)), "")</f>
        <v>SendIntents.DeferralAgeHours</v>
      </c>
      <c r="J735" s="2" t="s">
        <v>1906</v>
      </c>
    </row>
    <row r="736">
      <c r="A736" s="2" t="s">
        <v>15937</v>
      </c>
      <c r="B736" s="3" t="str">
        <f>_xlfn.CONCAT(C736, " @ ", D736)</f>
        <v>effortless-xlsx|SendIntents.DeferralAgeHours @ si-005</v>
      </c>
      <c r="C736" s="2" t="s">
        <v>14746</v>
      </c>
      <c r="D736" s="2" t="s">
        <v>8260</v>
      </c>
      <c r="E736" s="2" t="s">
        <v>15195</v>
      </c>
      <c r="F736" s="2" t="s">
        <v>15478</v>
      </c>
      <c r="G736" s="2" t="s">
        <v>14591</v>
      </c>
      <c r="H736" s="3" t="str">
        <f>_xlfn.IFNA(INDEX(FieldDisagreements!C2:C999, MATCH(C736,FieldDisagreements!A2:A999, 0)), "")</f>
        <v>effortless-xlsx</v>
      </c>
      <c r="I736" s="3" t="str">
        <f>_xlfn.IFNA(INDEX(FieldDisagreements!D2:D999, MATCH(C736,FieldDisagreements!A2:A999, 0)), "")</f>
        <v>SendIntents.DeferralAgeHours</v>
      </c>
      <c r="J736" s="2" t="s">
        <v>1906</v>
      </c>
    </row>
    <row r="737">
      <c r="A737" s="2" t="s">
        <v>15938</v>
      </c>
      <c r="B737" s="3" t="str">
        <f>_xlfn.CONCAT(C737, " @ ", D737)</f>
        <v>effortless-xlsx|SendIntents.DeferralAgeHours @ si-006</v>
      </c>
      <c r="C737" s="2" t="s">
        <v>14746</v>
      </c>
      <c r="D737" s="2" t="s">
        <v>8262</v>
      </c>
      <c r="E737" s="2" t="s">
        <v>15195</v>
      </c>
      <c r="F737" s="2" t="s">
        <v>15478</v>
      </c>
      <c r="G737" s="2" t="s">
        <v>14591</v>
      </c>
      <c r="H737" s="3" t="str">
        <f>_xlfn.IFNA(INDEX(FieldDisagreements!C2:C999, MATCH(C737,FieldDisagreements!A2:A999, 0)), "")</f>
        <v>effortless-xlsx</v>
      </c>
      <c r="I737" s="3" t="str">
        <f>_xlfn.IFNA(INDEX(FieldDisagreements!D2:D999, MATCH(C737,FieldDisagreements!A2:A999, 0)), "")</f>
        <v>SendIntents.DeferralAgeHours</v>
      </c>
      <c r="J737" s="2" t="s">
        <v>1906</v>
      </c>
    </row>
    <row r="738">
      <c r="A738" s="2" t="s">
        <v>15939</v>
      </c>
      <c r="B738" s="3" t="str">
        <f>_xlfn.CONCAT(C738, " @ ", D738)</f>
        <v>effortless-xlsx|SendIntents.DeferralAgeHours @ si-007</v>
      </c>
      <c r="C738" s="2" t="s">
        <v>14746</v>
      </c>
      <c r="D738" s="2" t="s">
        <v>8263</v>
      </c>
      <c r="E738" s="2" t="s">
        <v>15195</v>
      </c>
      <c r="F738" s="2" t="s">
        <v>15478</v>
      </c>
      <c r="G738" s="2" t="s">
        <v>14591</v>
      </c>
      <c r="H738" s="3" t="str">
        <f>_xlfn.IFNA(INDEX(FieldDisagreements!C2:C999, MATCH(C738,FieldDisagreements!A2:A999, 0)), "")</f>
        <v>effortless-xlsx</v>
      </c>
      <c r="I738" s="3" t="str">
        <f>_xlfn.IFNA(INDEX(FieldDisagreements!D2:D999, MATCH(C738,FieldDisagreements!A2:A999, 0)), "")</f>
        <v>SendIntents.DeferralAgeHours</v>
      </c>
      <c r="J738" s="2" t="s">
        <v>1906</v>
      </c>
    </row>
    <row r="739">
      <c r="A739" s="2" t="s">
        <v>15940</v>
      </c>
      <c r="B739" s="3" t="str">
        <f>_xlfn.CONCAT(C739, " @ ", D739)</f>
        <v>effortless-xlsx|SendIntents.IsStaleDeferral @ si-001</v>
      </c>
      <c r="C739" s="2" t="s">
        <v>14747</v>
      </c>
      <c r="D739" s="2" t="s">
        <v>8253</v>
      </c>
      <c r="E739" s="2" t="s">
        <v>15057</v>
      </c>
      <c r="F739" s="2" t="s">
        <v>15478</v>
      </c>
      <c r="G739" s="2" t="s">
        <v>14591</v>
      </c>
      <c r="H739" s="3" t="str">
        <f>_xlfn.IFNA(INDEX(FieldDisagreements!C2:C999, MATCH(C739,FieldDisagreements!A2:A999, 0)), "")</f>
        <v>effortless-xlsx</v>
      </c>
      <c r="I739" s="3" t="str">
        <f>_xlfn.IFNA(INDEX(FieldDisagreements!D2:D999, MATCH(C739,FieldDisagreements!A2:A999, 0)), "")</f>
        <v>SendIntents.IsStaleDeferral</v>
      </c>
      <c r="J739" s="2" t="s">
        <v>1906</v>
      </c>
    </row>
    <row r="740">
      <c r="A740" s="2" t="s">
        <v>15941</v>
      </c>
      <c r="B740" s="3" t="str">
        <f>_xlfn.CONCAT(C740, " @ ", D740)</f>
        <v>effortless-xlsx|SendIntents.IsStaleDeferral @ si-002</v>
      </c>
      <c r="C740" s="2" t="s">
        <v>14747</v>
      </c>
      <c r="D740" s="2" t="s">
        <v>8256</v>
      </c>
      <c r="E740" s="2" t="s">
        <v>15057</v>
      </c>
      <c r="F740" s="2" t="s">
        <v>15478</v>
      </c>
      <c r="G740" s="2" t="s">
        <v>14591</v>
      </c>
      <c r="H740" s="3" t="str">
        <f>_xlfn.IFNA(INDEX(FieldDisagreements!C2:C999, MATCH(C740,FieldDisagreements!A2:A999, 0)), "")</f>
        <v>effortless-xlsx</v>
      </c>
      <c r="I740" s="3" t="str">
        <f>_xlfn.IFNA(INDEX(FieldDisagreements!D2:D999, MATCH(C740,FieldDisagreements!A2:A999, 0)), "")</f>
        <v>SendIntents.IsStaleDeferral</v>
      </c>
      <c r="J740" s="2" t="s">
        <v>1906</v>
      </c>
    </row>
    <row r="741">
      <c r="A741" s="2" t="s">
        <v>15942</v>
      </c>
      <c r="B741" s="3" t="str">
        <f>_xlfn.CONCAT(C741, " @ ", D741)</f>
        <v>effortless-xlsx|SendIntents.IsStaleDeferral @ si-003</v>
      </c>
      <c r="C741" s="2" t="s">
        <v>14747</v>
      </c>
      <c r="D741" s="2" t="s">
        <v>8257</v>
      </c>
      <c r="E741" s="2" t="s">
        <v>15057</v>
      </c>
      <c r="F741" s="2" t="s">
        <v>15478</v>
      </c>
      <c r="G741" s="2" t="s">
        <v>14591</v>
      </c>
      <c r="H741" s="3" t="str">
        <f>_xlfn.IFNA(INDEX(FieldDisagreements!C2:C999, MATCH(C741,FieldDisagreements!A2:A999, 0)), "")</f>
        <v>effortless-xlsx</v>
      </c>
      <c r="I741" s="3" t="str">
        <f>_xlfn.IFNA(INDEX(FieldDisagreements!D2:D999, MATCH(C741,FieldDisagreements!A2:A999, 0)), "")</f>
        <v>SendIntents.IsStaleDeferral</v>
      </c>
      <c r="J741" s="2" t="s">
        <v>1906</v>
      </c>
    </row>
    <row r="742">
      <c r="A742" s="2" t="s">
        <v>15943</v>
      </c>
      <c r="B742" s="3" t="str">
        <f>_xlfn.CONCAT(C742, " @ ", D742)</f>
        <v>effortless-xlsx|SendIntents.IsStaleDeferral @ si-004</v>
      </c>
      <c r="C742" s="2" t="s">
        <v>14747</v>
      </c>
      <c r="D742" s="2" t="s">
        <v>8258</v>
      </c>
      <c r="E742" s="2" t="s">
        <v>15057</v>
      </c>
      <c r="F742" s="2" t="s">
        <v>15478</v>
      </c>
      <c r="G742" s="2" t="s">
        <v>14591</v>
      </c>
      <c r="H742" s="3" t="str">
        <f>_xlfn.IFNA(INDEX(FieldDisagreements!C2:C999, MATCH(C742,FieldDisagreements!A2:A999, 0)), "")</f>
        <v>effortless-xlsx</v>
      </c>
      <c r="I742" s="3" t="str">
        <f>_xlfn.IFNA(INDEX(FieldDisagreements!D2:D999, MATCH(C742,FieldDisagreements!A2:A999, 0)), "")</f>
        <v>SendIntents.IsStaleDeferral</v>
      </c>
      <c r="J742" s="2" t="s">
        <v>1906</v>
      </c>
    </row>
    <row r="743">
      <c r="A743" s="2" t="s">
        <v>15944</v>
      </c>
      <c r="B743" s="3" t="str">
        <f>_xlfn.CONCAT(C743, " @ ", D743)</f>
        <v>effortless-xlsx|SendIntents.IsStaleDeferral @ si-005</v>
      </c>
      <c r="C743" s="2" t="s">
        <v>14747</v>
      </c>
      <c r="D743" s="2" t="s">
        <v>8260</v>
      </c>
      <c r="E743" s="2" t="s">
        <v>15057</v>
      </c>
      <c r="F743" s="2" t="s">
        <v>15478</v>
      </c>
      <c r="G743" s="2" t="s">
        <v>14591</v>
      </c>
      <c r="H743" s="3" t="str">
        <f>_xlfn.IFNA(INDEX(FieldDisagreements!C2:C999, MATCH(C743,FieldDisagreements!A2:A999, 0)), "")</f>
        <v>effortless-xlsx</v>
      </c>
      <c r="I743" s="3" t="str">
        <f>_xlfn.IFNA(INDEX(FieldDisagreements!D2:D999, MATCH(C743,FieldDisagreements!A2:A999, 0)), "")</f>
        <v>SendIntents.IsStaleDeferral</v>
      </c>
      <c r="J743" s="2" t="s">
        <v>1906</v>
      </c>
    </row>
    <row r="744">
      <c r="A744" s="2" t="s">
        <v>15945</v>
      </c>
      <c r="B744" s="3" t="str">
        <f>_xlfn.CONCAT(C744, " @ ", D744)</f>
        <v>effortless-xlsx|SendIntents.IsStaleDeferral @ si-006</v>
      </c>
      <c r="C744" s="2" t="s">
        <v>14747</v>
      </c>
      <c r="D744" s="2" t="s">
        <v>8262</v>
      </c>
      <c r="E744" s="2" t="s">
        <v>15057</v>
      </c>
      <c r="F744" s="2" t="s">
        <v>15478</v>
      </c>
      <c r="G744" s="2" t="s">
        <v>14591</v>
      </c>
      <c r="H744" s="3" t="str">
        <f>_xlfn.IFNA(INDEX(FieldDisagreements!C2:C999, MATCH(C744,FieldDisagreements!A2:A999, 0)), "")</f>
        <v>effortless-xlsx</v>
      </c>
      <c r="I744" s="3" t="str">
        <f>_xlfn.IFNA(INDEX(FieldDisagreements!D2:D999, MATCH(C744,FieldDisagreements!A2:A999, 0)), "")</f>
        <v>SendIntents.IsStaleDeferral</v>
      </c>
      <c r="J744" s="2" t="s">
        <v>1906</v>
      </c>
    </row>
    <row r="745">
      <c r="A745" s="2" t="s">
        <v>15946</v>
      </c>
      <c r="B745" s="3" t="str">
        <f>_xlfn.CONCAT(C745, " @ ", D745)</f>
        <v>effortless-xlsx|SendIntents.IsStaleDeferral @ si-007</v>
      </c>
      <c r="C745" s="2" t="s">
        <v>14747</v>
      </c>
      <c r="D745" s="2" t="s">
        <v>8263</v>
      </c>
      <c r="E745" s="2" t="s">
        <v>15057</v>
      </c>
      <c r="F745" s="2" t="s">
        <v>15478</v>
      </c>
      <c r="G745" s="2" t="s">
        <v>14591</v>
      </c>
      <c r="H745" s="3" t="str">
        <f>_xlfn.IFNA(INDEX(FieldDisagreements!C2:C999, MATCH(C745,FieldDisagreements!A2:A999, 0)), "")</f>
        <v>effortless-xlsx</v>
      </c>
      <c r="I745" s="3" t="str">
        <f>_xlfn.IFNA(INDEX(FieldDisagreements!D2:D999, MATCH(C745,FieldDisagreements!A2:A999, 0)), "")</f>
        <v>SendIntents.IsStaleDeferral</v>
      </c>
      <c r="J745" s="2" t="s">
        <v>1906</v>
      </c>
    </row>
    <row r="746">
      <c r="A746" s="2" t="s">
        <v>15947</v>
      </c>
      <c r="B746" s="3" t="str">
        <f>_xlfn.CONCAT(C746, " @ ", D746)</f>
        <v>effortless-xlsx|SendIntents.IsSelfWitnessedDecision @ si-001</v>
      </c>
      <c r="C746" s="2" t="s">
        <v>14748</v>
      </c>
      <c r="D746" s="2" t="s">
        <v>8253</v>
      </c>
      <c r="E746" s="2" t="s">
        <v>15035</v>
      </c>
      <c r="F746" s="2" t="s">
        <v>15433</v>
      </c>
      <c r="G746" s="2" t="s">
        <v>14591</v>
      </c>
      <c r="H746" s="3" t="str">
        <f>_xlfn.IFNA(INDEX(FieldDisagreements!C2:C999, MATCH(C746,FieldDisagreements!A2:A999, 0)), "")</f>
        <v>effortless-xlsx</v>
      </c>
      <c r="I746" s="3" t="str">
        <f>_xlfn.IFNA(INDEX(FieldDisagreements!D2:D999, MATCH(C746,FieldDisagreements!A2:A999, 0)), "")</f>
        <v>SendIntents.IsSelfWitnessedDecision</v>
      </c>
      <c r="J746" s="2" t="s">
        <v>1906</v>
      </c>
    </row>
    <row r="747">
      <c r="A747" s="2" t="s">
        <v>15948</v>
      </c>
      <c r="B747" s="3" t="str">
        <f>_xlfn.CONCAT(C747, " @ ", D747)</f>
        <v>effortless-xlsx|SendIntents.IsSelfWitnessedDecision @ si-002</v>
      </c>
      <c r="C747" s="2" t="s">
        <v>14748</v>
      </c>
      <c r="D747" s="2" t="s">
        <v>8256</v>
      </c>
      <c r="E747" s="2" t="s">
        <v>15035</v>
      </c>
      <c r="F747" s="2" t="s">
        <v>15433</v>
      </c>
      <c r="G747" s="2" t="s">
        <v>14591</v>
      </c>
      <c r="H747" s="3" t="str">
        <f>_xlfn.IFNA(INDEX(FieldDisagreements!C2:C999, MATCH(C747,FieldDisagreements!A2:A999, 0)), "")</f>
        <v>effortless-xlsx</v>
      </c>
      <c r="I747" s="3" t="str">
        <f>_xlfn.IFNA(INDEX(FieldDisagreements!D2:D999, MATCH(C747,FieldDisagreements!A2:A999, 0)), "")</f>
        <v>SendIntents.IsSelfWitnessedDecision</v>
      </c>
      <c r="J747" s="2" t="s">
        <v>1906</v>
      </c>
    </row>
    <row r="748">
      <c r="A748" s="2" t="s">
        <v>15949</v>
      </c>
      <c r="B748" s="3" t="str">
        <f>_xlfn.CONCAT(C748, " @ ", D748)</f>
        <v>effortless-xlsx|SendIntents.IsSelfWitnessedDecision @ si-003</v>
      </c>
      <c r="C748" s="2" t="s">
        <v>14748</v>
      </c>
      <c r="D748" s="2" t="s">
        <v>8257</v>
      </c>
      <c r="E748" s="2" t="s">
        <v>15035</v>
      </c>
      <c r="F748" s="2" t="s">
        <v>15433</v>
      </c>
      <c r="G748" s="2" t="s">
        <v>14591</v>
      </c>
      <c r="H748" s="3" t="str">
        <f>_xlfn.IFNA(INDEX(FieldDisagreements!C2:C999, MATCH(C748,FieldDisagreements!A2:A999, 0)), "")</f>
        <v>effortless-xlsx</v>
      </c>
      <c r="I748" s="3" t="str">
        <f>_xlfn.IFNA(INDEX(FieldDisagreements!D2:D999, MATCH(C748,FieldDisagreements!A2:A999, 0)), "")</f>
        <v>SendIntents.IsSelfWitnessedDecision</v>
      </c>
      <c r="J748" s="2" t="s">
        <v>1906</v>
      </c>
    </row>
    <row r="749">
      <c r="A749" s="2" t="s">
        <v>15950</v>
      </c>
      <c r="B749" s="3" t="str">
        <f>_xlfn.CONCAT(C749, " @ ", D749)</f>
        <v>effortless-xlsx|SendIntents.IsSelfWitnessedDecision @ si-004</v>
      </c>
      <c r="C749" s="2" t="s">
        <v>14748</v>
      </c>
      <c r="D749" s="2" t="s">
        <v>8258</v>
      </c>
      <c r="E749" s="2" t="s">
        <v>15035</v>
      </c>
      <c r="F749" s="2" t="s">
        <v>15433</v>
      </c>
      <c r="G749" s="2" t="s">
        <v>14591</v>
      </c>
      <c r="H749" s="3" t="str">
        <f>_xlfn.IFNA(INDEX(FieldDisagreements!C2:C999, MATCH(C749,FieldDisagreements!A2:A999, 0)), "")</f>
        <v>effortless-xlsx</v>
      </c>
      <c r="I749" s="3" t="str">
        <f>_xlfn.IFNA(INDEX(FieldDisagreements!D2:D999, MATCH(C749,FieldDisagreements!A2:A999, 0)), "")</f>
        <v>SendIntents.IsSelfWitnessedDecision</v>
      </c>
      <c r="J749" s="2" t="s">
        <v>1906</v>
      </c>
    </row>
    <row r="750">
      <c r="A750" s="2" t="s">
        <v>15951</v>
      </c>
      <c r="B750" s="3" t="str">
        <f>_xlfn.CONCAT(C750, " @ ", D750)</f>
        <v>effortless-xlsx|SendIntents.IsSelfWitnessedDecision @ si-005</v>
      </c>
      <c r="C750" s="2" t="s">
        <v>14748</v>
      </c>
      <c r="D750" s="2" t="s">
        <v>8260</v>
      </c>
      <c r="E750" s="2" t="s">
        <v>15035</v>
      </c>
      <c r="F750" s="2" t="s">
        <v>15433</v>
      </c>
      <c r="G750" s="2" t="s">
        <v>14591</v>
      </c>
      <c r="H750" s="3" t="str">
        <f>_xlfn.IFNA(INDEX(FieldDisagreements!C2:C999, MATCH(C750,FieldDisagreements!A2:A999, 0)), "")</f>
        <v>effortless-xlsx</v>
      </c>
      <c r="I750" s="3" t="str">
        <f>_xlfn.IFNA(INDEX(FieldDisagreements!D2:D999, MATCH(C750,FieldDisagreements!A2:A999, 0)), "")</f>
        <v>SendIntents.IsSelfWitnessedDecision</v>
      </c>
      <c r="J750" s="2" t="s">
        <v>1906</v>
      </c>
    </row>
    <row r="751">
      <c r="A751" s="2" t="s">
        <v>15952</v>
      </c>
      <c r="B751" s="3" t="str">
        <f>_xlfn.CONCAT(C751, " @ ", D751)</f>
        <v>effortless-xlsx|SendIntents.IsSelfWitnessedDecision @ si-006</v>
      </c>
      <c r="C751" s="2" t="s">
        <v>14748</v>
      </c>
      <c r="D751" s="2" t="s">
        <v>8262</v>
      </c>
      <c r="E751" s="2" t="s">
        <v>15035</v>
      </c>
      <c r="F751" s="2" t="s">
        <v>15433</v>
      </c>
      <c r="G751" s="2" t="s">
        <v>14591</v>
      </c>
      <c r="H751" s="3" t="str">
        <f>_xlfn.IFNA(INDEX(FieldDisagreements!C2:C999, MATCH(C751,FieldDisagreements!A2:A999, 0)), "")</f>
        <v>effortless-xlsx</v>
      </c>
      <c r="I751" s="3" t="str">
        <f>_xlfn.IFNA(INDEX(FieldDisagreements!D2:D999, MATCH(C751,FieldDisagreements!A2:A999, 0)), "")</f>
        <v>SendIntents.IsSelfWitnessedDecision</v>
      </c>
      <c r="J751" s="2" t="s">
        <v>1906</v>
      </c>
    </row>
    <row r="752">
      <c r="A752" s="2" t="s">
        <v>15953</v>
      </c>
      <c r="B752" s="3" t="str">
        <f>_xlfn.CONCAT(C752, " @ ", D752)</f>
        <v>effortless-xlsx|SendIntents.IsSelfWitnessedDecision @ si-007</v>
      </c>
      <c r="C752" s="2" t="s">
        <v>14748</v>
      </c>
      <c r="D752" s="2" t="s">
        <v>8263</v>
      </c>
      <c r="E752" s="2" t="s">
        <v>15035</v>
      </c>
      <c r="F752" s="2" t="s">
        <v>15433</v>
      </c>
      <c r="G752" s="2" t="s">
        <v>14591</v>
      </c>
      <c r="H752" s="3" t="str">
        <f>_xlfn.IFNA(INDEX(FieldDisagreements!C2:C999, MATCH(C752,FieldDisagreements!A2:A999, 0)), "")</f>
        <v>effortless-xlsx</v>
      </c>
      <c r="I752" s="3" t="str">
        <f>_xlfn.IFNA(INDEX(FieldDisagreements!D2:D999, MATCH(C752,FieldDisagreements!A2:A999, 0)), "")</f>
        <v>SendIntents.IsSelfWitnessedDecision</v>
      </c>
      <c r="J752" s="2" t="s">
        <v>1906</v>
      </c>
    </row>
    <row r="753">
      <c r="A753" s="2" t="s">
        <v>15954</v>
      </c>
      <c r="B753" s="3" t="str">
        <f>_xlfn.CONCAT(C753, " @ ", D753)</f>
        <v>effortless-xlsx|SendIntents.IsProperlyHandledRefusal @ si-002</v>
      </c>
      <c r="C753" s="2" t="s">
        <v>14749</v>
      </c>
      <c r="D753" s="2" t="s">
        <v>8256</v>
      </c>
      <c r="E753" s="2" t="s">
        <v>15057</v>
      </c>
      <c r="F753" s="2" t="s">
        <v>15433</v>
      </c>
      <c r="G753" s="2" t="s">
        <v>14591</v>
      </c>
      <c r="H753" s="3" t="str">
        <f>_xlfn.IFNA(INDEX(FieldDisagreements!C2:C999, MATCH(C753,FieldDisagreements!A2:A999, 0)), "")</f>
        <v>effortless-xlsx</v>
      </c>
      <c r="I753" s="3" t="str">
        <f>_xlfn.IFNA(INDEX(FieldDisagreements!D2:D999, MATCH(C753,FieldDisagreements!A2:A999, 0)), "")</f>
        <v>SendIntents.IsProperlyHandledRefusal</v>
      </c>
      <c r="J753" s="2" t="s">
        <v>1906</v>
      </c>
    </row>
    <row r="754">
      <c r="A754" s="2" t="s">
        <v>15955</v>
      </c>
      <c r="B754" s="3" t="str">
        <f>_xlfn.CONCAT(C754, " @ ", D754)</f>
        <v>effortless-xlsx|SendIntents.IsProperlyHandledRefusal @ si-003</v>
      </c>
      <c r="C754" s="2" t="s">
        <v>14749</v>
      </c>
      <c r="D754" s="2" t="s">
        <v>8257</v>
      </c>
      <c r="E754" s="2" t="s">
        <v>15057</v>
      </c>
      <c r="F754" s="2" t="s">
        <v>15433</v>
      </c>
      <c r="G754" s="2" t="s">
        <v>14591</v>
      </c>
      <c r="H754" s="3" t="str">
        <f>_xlfn.IFNA(INDEX(FieldDisagreements!C2:C999, MATCH(C754,FieldDisagreements!A2:A999, 0)), "")</f>
        <v>effortless-xlsx</v>
      </c>
      <c r="I754" s="3" t="str">
        <f>_xlfn.IFNA(INDEX(FieldDisagreements!D2:D999, MATCH(C754,FieldDisagreements!A2:A999, 0)), "")</f>
        <v>SendIntents.IsProperlyHandledRefusal</v>
      </c>
      <c r="J754" s="2" t="s">
        <v>1906</v>
      </c>
    </row>
    <row r="755">
      <c r="A755" s="2" t="s">
        <v>15956</v>
      </c>
      <c r="B755" s="3" t="str">
        <f>_xlfn.CONCAT(C755, " @ ", D755)</f>
        <v>effortless-xlsx|SendIntents.IsProperlyHandledRefusal @ si-004</v>
      </c>
      <c r="C755" s="2" t="s">
        <v>14749</v>
      </c>
      <c r="D755" s="2" t="s">
        <v>8258</v>
      </c>
      <c r="E755" s="2" t="s">
        <v>15057</v>
      </c>
      <c r="F755" s="2" t="s">
        <v>15433</v>
      </c>
      <c r="G755" s="2" t="s">
        <v>14591</v>
      </c>
      <c r="H755" s="3" t="str">
        <f>_xlfn.IFNA(INDEX(FieldDisagreements!C2:C999, MATCH(C755,FieldDisagreements!A2:A999, 0)), "")</f>
        <v>effortless-xlsx</v>
      </c>
      <c r="I755" s="3" t="str">
        <f>_xlfn.IFNA(INDEX(FieldDisagreements!D2:D999, MATCH(C755,FieldDisagreements!A2:A999, 0)), "")</f>
        <v>SendIntents.IsProperlyHandledRefusal</v>
      </c>
      <c r="J755" s="2" t="s">
        <v>1906</v>
      </c>
    </row>
    <row r="756">
      <c r="A756" s="2" t="s">
        <v>15957</v>
      </c>
      <c r="B756" s="3" t="str">
        <f>_xlfn.CONCAT(C756, " @ ", D756)</f>
        <v>effortless-xlsx|SendIntents.IsProperlyHandledRefusal @ si-005</v>
      </c>
      <c r="C756" s="2" t="s">
        <v>14749</v>
      </c>
      <c r="D756" s="2" t="s">
        <v>8260</v>
      </c>
      <c r="E756" s="2" t="s">
        <v>15057</v>
      </c>
      <c r="F756" s="2" t="s">
        <v>15433</v>
      </c>
      <c r="G756" s="2" t="s">
        <v>14591</v>
      </c>
      <c r="H756" s="3" t="str">
        <f>_xlfn.IFNA(INDEX(FieldDisagreements!C2:C999, MATCH(C756,FieldDisagreements!A2:A999, 0)), "")</f>
        <v>effortless-xlsx</v>
      </c>
      <c r="I756" s="3" t="str">
        <f>_xlfn.IFNA(INDEX(FieldDisagreements!D2:D999, MATCH(C756,FieldDisagreements!A2:A999, 0)), "")</f>
        <v>SendIntents.IsProperlyHandledRefusal</v>
      </c>
      <c r="J756" s="2" t="s">
        <v>1906</v>
      </c>
    </row>
    <row r="757">
      <c r="A757" s="2" t="s">
        <v>15958</v>
      </c>
      <c r="B757" s="3" t="str">
        <f>_xlfn.CONCAT(C757, " @ ", D757)</f>
        <v>effortless-xlsx|SendIntents.IsProperlyHandledRefusal @ si-006</v>
      </c>
      <c r="C757" s="2" t="s">
        <v>14749</v>
      </c>
      <c r="D757" s="2" t="s">
        <v>8262</v>
      </c>
      <c r="E757" s="2" t="s">
        <v>15057</v>
      </c>
      <c r="F757" s="2" t="s">
        <v>15433</v>
      </c>
      <c r="G757" s="2" t="s">
        <v>14591</v>
      </c>
      <c r="H757" s="3" t="str">
        <f>_xlfn.IFNA(INDEX(FieldDisagreements!C2:C999, MATCH(C757,FieldDisagreements!A2:A999, 0)), "")</f>
        <v>effortless-xlsx</v>
      </c>
      <c r="I757" s="3" t="str">
        <f>_xlfn.IFNA(INDEX(FieldDisagreements!D2:D999, MATCH(C757,FieldDisagreements!A2:A999, 0)), "")</f>
        <v>SendIntents.IsProperlyHandledRefusal</v>
      </c>
      <c r="J757" s="2" t="s">
        <v>1906</v>
      </c>
    </row>
    <row r="758">
      <c r="A758" s="2" t="s">
        <v>15959</v>
      </c>
      <c r="B758" s="3" t="str">
        <f>_xlfn.CONCAT(C758, " @ ", D758)</f>
        <v>effortless-xlsx|SendIntents.OptOutGatePassed @ si-007</v>
      </c>
      <c r="C758" s="2" t="s">
        <v>14750</v>
      </c>
      <c r="D758" s="2" t="s">
        <v>8263</v>
      </c>
      <c r="E758" s="2" t="s">
        <v>15035</v>
      </c>
      <c r="F758" s="2" t="s">
        <v>15057</v>
      </c>
      <c r="G758" s="2" t="s">
        <v>14591</v>
      </c>
      <c r="H758" s="3" t="str">
        <f>_xlfn.IFNA(INDEX(FieldDisagreements!C2:C999, MATCH(C758,FieldDisagreements!A2:A999, 0)), "")</f>
        <v>effortless-xlsx</v>
      </c>
      <c r="I758" s="3" t="str">
        <f>_xlfn.IFNA(INDEX(FieldDisagreements!D2:D999, MATCH(C758,FieldDisagreements!A2:A999, 0)), "")</f>
        <v>SendIntents.OptOutGatePassed</v>
      </c>
      <c r="J758" s="2" t="s">
        <v>1906</v>
      </c>
    </row>
    <row r="759">
      <c r="A759" s="2" t="s">
        <v>15960</v>
      </c>
      <c r="B759" s="3" t="str">
        <f>_xlfn.CONCAT(C759, " @ ", D759)</f>
        <v>effortless-xlsx|SendIntents.ContentGatePassed @ si-007</v>
      </c>
      <c r="C759" s="2" t="s">
        <v>14751</v>
      </c>
      <c r="D759" s="2" t="s">
        <v>8263</v>
      </c>
      <c r="E759" s="2" t="s">
        <v>15035</v>
      </c>
      <c r="F759" s="2" t="s">
        <v>15057</v>
      </c>
      <c r="G759" s="2" t="s">
        <v>14591</v>
      </c>
      <c r="H759" s="3" t="str">
        <f>_xlfn.IFNA(INDEX(FieldDisagreements!C2:C999, MATCH(C759,FieldDisagreements!A2:A999, 0)), "")</f>
        <v>effortless-xlsx</v>
      </c>
      <c r="I759" s="3" t="str">
        <f>_xlfn.IFNA(INDEX(FieldDisagreements!D2:D999, MATCH(C759,FieldDisagreements!A2:A999, 0)), "")</f>
        <v>SendIntents.ContentGatePassed</v>
      </c>
      <c r="J759" s="2" t="s">
        <v>1906</v>
      </c>
    </row>
    <row r="760">
      <c r="A760" s="2" t="s">
        <v>15961</v>
      </c>
      <c r="B760" s="3" t="str">
        <f>_xlfn.CONCAT(C760, " @ ", D760)</f>
        <v>effortless-xlsx|SendIntents.IsClearedToSend @ si-007</v>
      </c>
      <c r="C760" s="2" t="s">
        <v>14752</v>
      </c>
      <c r="D760" s="2" t="s">
        <v>8263</v>
      </c>
      <c r="E760" s="2" t="s">
        <v>15035</v>
      </c>
      <c r="F760" s="2" t="s">
        <v>15057</v>
      </c>
      <c r="G760" s="2" t="s">
        <v>14591</v>
      </c>
      <c r="H760" s="3" t="str">
        <f>_xlfn.IFNA(INDEX(FieldDisagreements!C2:C999, MATCH(C760,FieldDisagreements!A2:A999, 0)), "")</f>
        <v>effortless-xlsx</v>
      </c>
      <c r="I760" s="3" t="str">
        <f>_xlfn.IFNA(INDEX(FieldDisagreements!D2:D999, MATCH(C760,FieldDisagreements!A2:A999, 0)), "")</f>
        <v>SendIntents.IsClearedToSend</v>
      </c>
      <c r="J760" s="2" t="s">
        <v>1906</v>
      </c>
    </row>
    <row r="761">
      <c r="A761" s="2" t="s">
        <v>15962</v>
      </c>
      <c r="B761" s="3" t="str">
        <f>_xlfn.CONCAT(C761, " @ ", D761)</f>
        <v>effortless-xlsx|SendIntents.BlockingGateName @ si-007</v>
      </c>
      <c r="C761" s="2" t="s">
        <v>14753</v>
      </c>
      <c r="D761" s="2" t="s">
        <v>8263</v>
      </c>
      <c r="E761" s="2" t="s">
        <v>15036</v>
      </c>
      <c r="F761" s="2" t="s">
        <v>15963</v>
      </c>
      <c r="G761" s="2" t="s">
        <v>14591</v>
      </c>
      <c r="H761" s="3" t="str">
        <f>_xlfn.IFNA(INDEX(FieldDisagreements!C2:C999, MATCH(C761,FieldDisagreements!A2:A999, 0)), "")</f>
        <v>effortless-xlsx</v>
      </c>
      <c r="I761" s="3" t="str">
        <f>_xlfn.IFNA(INDEX(FieldDisagreements!D2:D999, MATCH(C761,FieldDisagreements!A2:A999, 0)), "")</f>
        <v>SendIntents.BlockingGateName</v>
      </c>
      <c r="J761" s="2" t="s">
        <v>1906</v>
      </c>
    </row>
    <row r="762">
      <c r="A762" s="2" t="s">
        <v>15964</v>
      </c>
      <c r="B762" s="3" t="str">
        <f>_xlfn.CONCAT(C762, " @ ", D762)</f>
        <v>effortless-xlsx|SendIntents.IsOverriddenRefusal @ si-007</v>
      </c>
      <c r="C762" s="2" t="s">
        <v>14754</v>
      </c>
      <c r="D762" s="2" t="s">
        <v>8263</v>
      </c>
      <c r="E762" s="2" t="s">
        <v>15057</v>
      </c>
      <c r="F762" s="2" t="s">
        <v>15035</v>
      </c>
      <c r="G762" s="2" t="s">
        <v>14591</v>
      </c>
      <c r="H762" s="3" t="str">
        <f>_xlfn.IFNA(INDEX(FieldDisagreements!C2:C999, MATCH(C762,FieldDisagreements!A2:A999, 0)), "")</f>
        <v>effortless-xlsx</v>
      </c>
      <c r="I762" s="3" t="str">
        <f>_xlfn.IFNA(INDEX(FieldDisagreements!D2:D999, MATCH(C762,FieldDisagreements!A2:A999, 0)), "")</f>
        <v>SendIntents.IsOverriddenRefusal</v>
      </c>
      <c r="J762" s="2" t="s">
        <v>1906</v>
      </c>
    </row>
    <row r="763">
      <c r="A763" s="2" t="s">
        <v>15965</v>
      </c>
      <c r="B763" s="3" t="str">
        <f>_xlfn.CONCAT(C763, " @ ", D763)</f>
        <v>effortless-xlsx|SendIntents.RefusalFailureExecutionKey @ si-007</v>
      </c>
      <c r="C763" s="2" t="s">
        <v>14755</v>
      </c>
      <c r="D763" s="2" t="s">
        <v>8263</v>
      </c>
      <c r="E763" s="2" t="s">
        <v>15036</v>
      </c>
      <c r="F763" s="2" t="s">
        <v>15546</v>
      </c>
      <c r="G763" s="2" t="s">
        <v>14591</v>
      </c>
      <c r="H763" s="3" t="str">
        <f>_xlfn.IFNA(INDEX(FieldDisagreements!C2:C999, MATCH(C763,FieldDisagreements!A2:A999, 0)), "")</f>
        <v>effortless-xlsx</v>
      </c>
      <c r="I763" s="3" t="str">
        <f>_xlfn.IFNA(INDEX(FieldDisagreements!D2:D999, MATCH(C763,FieldDisagreements!A2:A999, 0)), "")</f>
        <v>SendIntents.RefusalFailureExecutionKey</v>
      </c>
      <c r="J763" s="2" t="s">
        <v>1906</v>
      </c>
    </row>
    <row r="764">
      <c r="A764" s="2" t="s">
        <v>15966</v>
      </c>
      <c r="B764" s="3" t="str">
        <f>_xlfn.CONCAT(C764, " @ ", D764)</f>
        <v>effortless-xlsx|SendIntents.RefusedOnApprovedContent @ si-007</v>
      </c>
      <c r="C764" s="2" t="s">
        <v>14756</v>
      </c>
      <c r="D764" s="2" t="s">
        <v>8263</v>
      </c>
      <c r="E764" s="2" t="s">
        <v>15057</v>
      </c>
      <c r="F764" s="2" t="s">
        <v>15035</v>
      </c>
      <c r="G764" s="2" t="s">
        <v>14591</v>
      </c>
      <c r="H764" s="3" t="str">
        <f>_xlfn.IFNA(INDEX(FieldDisagreements!C2:C999, MATCH(C764,FieldDisagreements!A2:A999, 0)), "")</f>
        <v>effortless-xlsx</v>
      </c>
      <c r="I764" s="3" t="str">
        <f>_xlfn.IFNA(INDEX(FieldDisagreements!D2:D999, MATCH(C764,FieldDisagreements!A2:A999, 0)), "")</f>
        <v>SendIntents.RefusedOnApprovedContent</v>
      </c>
      <c r="J764" s="2" t="s">
        <v>1906</v>
      </c>
    </row>
    <row r="765">
      <c r="A765" s="2" t="s">
        <v>15967</v>
      </c>
      <c r="B765" s="3" t="str">
        <f>_xlfn.CONCAT(C765, " @ ", D765)</f>
        <v>effortless-xlsx|SendIntents.RefusedOnOptOutOnly @ si-007</v>
      </c>
      <c r="C765" s="2" t="s">
        <v>14757</v>
      </c>
      <c r="D765" s="2" t="s">
        <v>8263</v>
      </c>
      <c r="E765" s="2" t="s">
        <v>15057</v>
      </c>
      <c r="F765" s="2" t="s">
        <v>15035</v>
      </c>
      <c r="G765" s="2" t="s">
        <v>14591</v>
      </c>
      <c r="H765" s="3" t="str">
        <f>_xlfn.IFNA(INDEX(FieldDisagreements!C2:C999, MATCH(C765,FieldDisagreements!A2:A999, 0)), "")</f>
        <v>effortless-xlsx</v>
      </c>
      <c r="I765" s="3" t="str">
        <f>_xlfn.IFNA(INDEX(FieldDisagreements!D2:D999, MATCH(C765,FieldDisagreements!A2:A999, 0)), "")</f>
        <v>SendIntents.RefusedOnOptOutOnly</v>
      </c>
      <c r="J765" s="2" t="s">
        <v>1906</v>
      </c>
    </row>
    <row r="766">
      <c r="A766" s="2" t="s">
        <v>15968</v>
      </c>
      <c r="B766" s="3" t="str">
        <f>_xlfn.CONCAT(C766, " @ ", D766)</f>
        <v>effortless-xlsx|SendIntents.RefusalWasOnMyRules @ si-007</v>
      </c>
      <c r="C766" s="2" t="s">
        <v>14758</v>
      </c>
      <c r="D766" s="2" t="s">
        <v>8263</v>
      </c>
      <c r="E766" s="2" t="s">
        <v>15057</v>
      </c>
      <c r="F766" s="2" t="s">
        <v>15035</v>
      </c>
      <c r="G766" s="2" t="s">
        <v>14591</v>
      </c>
      <c r="H766" s="3" t="str">
        <f>_xlfn.IFNA(INDEX(FieldDisagreements!C2:C999, MATCH(C766,FieldDisagreements!A2:A999, 0)), "")</f>
        <v>effortless-xlsx</v>
      </c>
      <c r="I766" s="3" t="str">
        <f>_xlfn.IFNA(INDEX(FieldDisagreements!D2:D999, MATCH(C766,FieldDisagreements!A2:A999, 0)), "")</f>
        <v>SendIntents.RefusalWasOnMyRules</v>
      </c>
      <c r="J766" s="2" t="s">
        <v>1906</v>
      </c>
    </row>
    <row r="767">
      <c r="A767" s="2" t="s">
        <v>15969</v>
      </c>
      <c r="B767" s="3" t="str">
        <f>_xlfn.CONCAT(C767, " @ ", D767)</f>
        <v>effortless-xlsx|SendIntents.IsRefusedWithNoAlternative @ si-007</v>
      </c>
      <c r="C767" s="2" t="s">
        <v>14759</v>
      </c>
      <c r="D767" s="2" t="s">
        <v>8263</v>
      </c>
      <c r="E767" s="2" t="s">
        <v>15057</v>
      </c>
      <c r="F767" s="2" t="s">
        <v>15035</v>
      </c>
      <c r="G767" s="2" t="s">
        <v>14591</v>
      </c>
      <c r="H767" s="3" t="str">
        <f>_xlfn.IFNA(INDEX(FieldDisagreements!C2:C999, MATCH(C767,FieldDisagreements!A2:A999, 0)), "")</f>
        <v>effortless-xlsx</v>
      </c>
      <c r="I767" s="3" t="str">
        <f>_xlfn.IFNA(INDEX(FieldDisagreements!D2:D999, MATCH(C767,FieldDisagreements!A2:A999, 0)), "")</f>
        <v>SendIntents.IsRefusedWithNoAlternative</v>
      </c>
      <c r="J767" s="2" t="s">
        <v>1906</v>
      </c>
    </row>
    <row r="768">
      <c r="A768" s="2" t="s">
        <v>15970</v>
      </c>
      <c r="B768" s="3" t="str">
        <f>_xlfn.CONCAT(C768, " @ ", D768)</f>
        <v>effortless-xlsx|SendIntents.IsUnescalatedRefusal @ si-007</v>
      </c>
      <c r="C768" s="2" t="s">
        <v>14760</v>
      </c>
      <c r="D768" s="2" t="s">
        <v>8263</v>
      </c>
      <c r="E768" s="2" t="s">
        <v>15057</v>
      </c>
      <c r="F768" s="2" t="s">
        <v>15035</v>
      </c>
      <c r="G768" s="2" t="s">
        <v>14591</v>
      </c>
      <c r="H768" s="3" t="str">
        <f>_xlfn.IFNA(INDEX(FieldDisagreements!C2:C999, MATCH(C768,FieldDisagreements!A2:A999, 0)), "")</f>
        <v>effortless-xlsx</v>
      </c>
      <c r="I768" s="3" t="str">
        <f>_xlfn.IFNA(INDEX(FieldDisagreements!D2:D999, MATCH(C768,FieldDisagreements!A2:A999, 0)), "")</f>
        <v>SendIntents.IsUnescalatedRefusal</v>
      </c>
      <c r="J768" s="2" t="s">
        <v>1906</v>
      </c>
    </row>
    <row r="769">
      <c r="A769" s="2" t="s">
        <v>15971</v>
      </c>
      <c r="B769" s="3" t="str">
        <f>_xlfn.CONCAT(C769, " @ ", D769)</f>
        <v>effortless-xlsx|AgentDecisionRecords.ReviewLatencyMinutes @ adr-close-extract-q2</v>
      </c>
      <c r="C769" s="2" t="s">
        <v>14761</v>
      </c>
      <c r="D769" s="2" t="s">
        <v>8269</v>
      </c>
      <c r="E769" s="2" t="s">
        <v>15972</v>
      </c>
      <c r="F769" s="2" t="s">
        <v>15478</v>
      </c>
      <c r="G769" s="2" t="s">
        <v>14591</v>
      </c>
      <c r="H769" s="3" t="str">
        <f>_xlfn.IFNA(INDEX(FieldDisagreements!C2:C999, MATCH(C769,FieldDisagreements!A2:A999, 0)), "")</f>
        <v>effortless-xlsx</v>
      </c>
      <c r="I769" s="3" t="str">
        <f>_xlfn.IFNA(INDEX(FieldDisagreements!D2:D999, MATCH(C769,FieldDisagreements!A2:A999, 0)), "")</f>
        <v>AgentDecisionRecords.ReviewLatencyMinutes</v>
      </c>
      <c r="J769" s="2" t="s">
        <v>1906</v>
      </c>
    </row>
    <row r="770">
      <c r="A770" s="2" t="s">
        <v>15973</v>
      </c>
      <c r="B770" s="3" t="str">
        <f>_xlfn.CONCAT(C770, " @ ", D770)</f>
        <v>effortless-xlsx|AgentDecisionRecords.ReviewLatencyMinutes @ adr-close-freeze-q2</v>
      </c>
      <c r="C770" s="2" t="s">
        <v>14761</v>
      </c>
      <c r="D770" s="2" t="s">
        <v>8272</v>
      </c>
      <c r="E770" s="2" t="s">
        <v>15974</v>
      </c>
      <c r="F770" s="2" t="s">
        <v>15478</v>
      </c>
      <c r="G770" s="2" t="s">
        <v>14591</v>
      </c>
      <c r="H770" s="3" t="str">
        <f>_xlfn.IFNA(INDEX(FieldDisagreements!C2:C999, MATCH(C770,FieldDisagreements!A2:A999, 0)), "")</f>
        <v>effortless-xlsx</v>
      </c>
      <c r="I770" s="3" t="str">
        <f>_xlfn.IFNA(INDEX(FieldDisagreements!D2:D999, MATCH(C770,FieldDisagreements!A2:A999, 0)), "")</f>
        <v>AgentDecisionRecords.ReviewLatencyMinutes</v>
      </c>
      <c r="J770" s="2" t="s">
        <v>1906</v>
      </c>
    </row>
    <row r="771">
      <c r="A771" s="2" t="s">
        <v>15975</v>
      </c>
      <c r="B771" s="3" t="str">
        <f>_xlfn.CONCAT(C771, " @ ", D771)</f>
        <v>effortless-xlsx|AgentDecisionRecords.ReviewLatencyMinutes @ adr-close-post-q2</v>
      </c>
      <c r="C771" s="2" t="s">
        <v>14761</v>
      </c>
      <c r="D771" s="2" t="s">
        <v>8264</v>
      </c>
      <c r="E771" s="2" t="s">
        <v>15107</v>
      </c>
      <c r="F771" s="2" t="s">
        <v>15478</v>
      </c>
      <c r="G771" s="2" t="s">
        <v>14591</v>
      </c>
      <c r="H771" s="3" t="str">
        <f>_xlfn.IFNA(INDEX(FieldDisagreements!C2:C999, MATCH(C771,FieldDisagreements!A2:A999, 0)), "")</f>
        <v>effortless-xlsx</v>
      </c>
      <c r="I771" s="3" t="str">
        <f>_xlfn.IFNA(INDEX(FieldDisagreements!D2:D999, MATCH(C771,FieldDisagreements!A2:A999, 0)), "")</f>
        <v>AgentDecisionRecords.ReviewLatencyMinutes</v>
      </c>
      <c r="J771" s="2" t="s">
        <v>1906</v>
      </c>
    </row>
    <row r="772">
      <c r="A772" s="2" t="s">
        <v>15976</v>
      </c>
      <c r="B772" s="3" t="str">
        <f>_xlfn.CONCAT(C772, " @ ", D772)</f>
        <v>effortless-xlsx|DeliveredCommunications.Name @ dc-hr4821-email-001</v>
      </c>
      <c r="C772" s="2" t="s">
        <v>14762</v>
      </c>
      <c r="D772" s="2" t="s">
        <v>8274</v>
      </c>
      <c r="E772" s="2" t="s">
        <v>15977</v>
      </c>
      <c r="F772" s="2" t="s">
        <v>15978</v>
      </c>
      <c r="G772" s="2" t="s">
        <v>14591</v>
      </c>
      <c r="H772" s="3" t="str">
        <f>_xlfn.IFNA(INDEX(FieldDisagreements!C2:C999, MATCH(C772,FieldDisagreements!A2:A999, 0)), "")</f>
        <v>effortless-xlsx</v>
      </c>
      <c r="I772" s="3" t="str">
        <f>_xlfn.IFNA(INDEX(FieldDisagreements!D2:D999, MATCH(C772,FieldDisagreements!A2:A999, 0)), "")</f>
        <v>DeliveredCommunications.Name</v>
      </c>
      <c r="J772" s="2" t="s">
        <v>1906</v>
      </c>
    </row>
    <row r="773">
      <c r="A773" s="2" t="s">
        <v>15979</v>
      </c>
      <c r="B773" s="3" t="str">
        <f>_xlfn.CONCAT(C773, " @ ", D773)</f>
        <v>effortless-xlsx|DeliveredCommunications.WasApprovedBeforeSending @ dc-hr4821-email-001</v>
      </c>
      <c r="C773" s="2" t="s">
        <v>14763</v>
      </c>
      <c r="D773" s="2" t="s">
        <v>8274</v>
      </c>
      <c r="E773" s="2" t="s">
        <v>15057</v>
      </c>
      <c r="F773" s="2" t="s">
        <v>15035</v>
      </c>
      <c r="G773" s="2" t="s">
        <v>14591</v>
      </c>
      <c r="H773" s="3" t="str">
        <f>_xlfn.IFNA(INDEX(FieldDisagreements!C2:C999, MATCH(C773,FieldDisagreements!A2:A999, 0)), "")</f>
        <v>effortless-xlsx</v>
      </c>
      <c r="I773" s="3" t="str">
        <f>_xlfn.IFNA(INDEX(FieldDisagreements!D2:D999, MATCH(C773,FieldDisagreements!A2:A999, 0)), "")</f>
        <v>DeliveredCommunications.WasApprovedBeforeSending</v>
      </c>
      <c r="J773" s="2" t="s">
        <v>1906</v>
      </c>
    </row>
    <row r="774">
      <c r="A774" s="2" t="s">
        <v>15980</v>
      </c>
      <c r="B774" s="3" t="str">
        <f>_xlfn.CONCAT(C774, " @ ", D774)</f>
        <v>effortless-xlsx|AuthorityBoundaries.AsOfInstant @ bnd-close-04-no-ai-escalation-waiver</v>
      </c>
      <c r="C774" s="2" t="s">
        <v>14764</v>
      </c>
      <c r="D774" s="2" t="s">
        <v>8278</v>
      </c>
      <c r="E774" s="2" t="s">
        <v>15271</v>
      </c>
      <c r="F774" s="2" t="s">
        <v>15272</v>
      </c>
      <c r="G774" s="2" t="s">
        <v>14591</v>
      </c>
      <c r="H774" s="3" t="str">
        <f>_xlfn.IFNA(INDEX(FieldDisagreements!C2:C999, MATCH(C774,FieldDisagreements!A2:A999, 0)), "")</f>
        <v>effortless-xlsx</v>
      </c>
      <c r="I774" s="3" t="str">
        <f>_xlfn.IFNA(INDEX(FieldDisagreements!D2:D999, MATCH(C774,FieldDisagreements!A2:A999, 0)), "")</f>
        <v>AuthorityBoundaries.AsOfInstant</v>
      </c>
      <c r="J774" s="2" t="s">
        <v>1906</v>
      </c>
    </row>
    <row r="775">
      <c r="A775" s="2" t="s">
        <v>15981</v>
      </c>
      <c r="B775" s="3" t="str">
        <f>_xlfn.CONCAT(C775, " @ ", D775)</f>
        <v>effortless-xlsx|AuthorityBoundaries.AsOfInstant @ bnd-close-06-no-nonhuman-approval</v>
      </c>
      <c r="C775" s="2" t="s">
        <v>14764</v>
      </c>
      <c r="D775" s="2" t="s">
        <v>8281</v>
      </c>
      <c r="E775" s="2" t="s">
        <v>15271</v>
      </c>
      <c r="F775" s="2" t="s">
        <v>15272</v>
      </c>
      <c r="G775" s="2" t="s">
        <v>14591</v>
      </c>
      <c r="H775" s="3" t="str">
        <f>_xlfn.IFNA(INDEX(FieldDisagreements!C2:C999, MATCH(C775,FieldDisagreements!A2:A999, 0)), "")</f>
        <v>effortless-xlsx</v>
      </c>
      <c r="I775" s="3" t="str">
        <f>_xlfn.IFNA(INDEX(FieldDisagreements!D2:D999, MATCH(C775,FieldDisagreements!A2:A999, 0)), "")</f>
        <v>AuthorityBoundaries.AsOfInstant</v>
      </c>
      <c r="J775" s="2" t="s">
        <v>1906</v>
      </c>
    </row>
    <row r="776">
      <c r="A776" s="2" t="s">
        <v>15982</v>
      </c>
      <c r="B776" s="3" t="str">
        <f>_xlfn.CONCAT(C776, " @ ", D776)</f>
        <v>effortless-xlsx|AuthorityBoundaries.AsOfInstant @ bnd-policy-03-no-ai-commitment</v>
      </c>
      <c r="C776" s="2" t="s">
        <v>14764</v>
      </c>
      <c r="D776" s="2" t="s">
        <v>8282</v>
      </c>
      <c r="E776" s="2" t="s">
        <v>15271</v>
      </c>
      <c r="F776" s="2" t="s">
        <v>15272</v>
      </c>
      <c r="G776" s="2" t="s">
        <v>14591</v>
      </c>
      <c r="H776" s="3" t="str">
        <f>_xlfn.IFNA(INDEX(FieldDisagreements!C2:C999, MATCH(C776,FieldDisagreements!A2:A999, 0)), "")</f>
        <v>effortless-xlsx</v>
      </c>
      <c r="I776" s="3" t="str">
        <f>_xlfn.IFNA(INDEX(FieldDisagreements!D2:D999, MATCH(C776,FieldDisagreements!A2:A999, 0)), "")</f>
        <v>AuthorityBoundaries.AsOfInstant</v>
      </c>
      <c r="J776" s="2" t="s">
        <v>1906</v>
      </c>
    </row>
    <row r="777">
      <c r="A777" s="2" t="s">
        <v>15983</v>
      </c>
      <c r="B777" s="3" t="str">
        <f>_xlfn.CONCAT(C777, " @ ", D777)</f>
        <v>effortless-xlsx|AuthorityBoundaries.IsUnwarranted @ bnd-close-06-no-nonhuman-approval</v>
      </c>
      <c r="C777" s="2" t="s">
        <v>14765</v>
      </c>
      <c r="D777" s="2" t="s">
        <v>8281</v>
      </c>
      <c r="E777" s="2" t="s">
        <v>15035</v>
      </c>
      <c r="F777" s="2" t="s">
        <v>15433</v>
      </c>
      <c r="G777" s="2" t="s">
        <v>14591</v>
      </c>
      <c r="H777" s="3" t="str">
        <f>_xlfn.IFNA(INDEX(FieldDisagreements!C2:C999, MATCH(C777,FieldDisagreements!A2:A999, 0)), "")</f>
        <v>effortless-xlsx</v>
      </c>
      <c r="I777" s="3" t="str">
        <f>_xlfn.IFNA(INDEX(FieldDisagreements!D2:D999, MATCH(C777,FieldDisagreements!A2:A999, 0)), "")</f>
        <v>AuthorityBoundaries.IsUnwarranted</v>
      </c>
      <c r="J777" s="2" t="s">
        <v>1906</v>
      </c>
    </row>
    <row r="778">
      <c r="A778" s="2" t="s">
        <v>15984</v>
      </c>
      <c r="B778" s="3" t="str">
        <f>_xlfn.CONCAT(C778, " @ ", D778)</f>
        <v>effortless-xlsx|AuthorityBoundaries.WarrantIsThin @ bnd-close-06-no-nonhuman-approval</v>
      </c>
      <c r="C778" s="2" t="s">
        <v>14766</v>
      </c>
      <c r="D778" s="2" t="s">
        <v>8281</v>
      </c>
      <c r="E778" s="2" t="s">
        <v>15057</v>
      </c>
      <c r="F778" s="2" t="s">
        <v>15433</v>
      </c>
      <c r="G778" s="2" t="s">
        <v>14591</v>
      </c>
      <c r="H778" s="3" t="str">
        <f>_xlfn.IFNA(INDEX(FieldDisagreements!C2:C999, MATCH(C778,FieldDisagreements!A2:A999, 0)), "")</f>
        <v>effortless-xlsx</v>
      </c>
      <c r="I778" s="3" t="str">
        <f>_xlfn.IFNA(INDEX(FieldDisagreements!D2:D999, MATCH(C778,FieldDisagreements!A2:A999, 0)), "")</f>
        <v>AuthorityBoundaries.WarrantIsThin</v>
      </c>
      <c r="J778" s="2" t="s">
        <v>1906</v>
      </c>
    </row>
    <row r="779">
      <c r="A779" s="2" t="s">
        <v>15985</v>
      </c>
      <c r="B779" s="3" t="str">
        <f>_xlfn.CONCAT(C779, " @ ", D779)</f>
        <v>effortless-xlsx|AuthorityBoundaries.IsUnwarrantedAndUntested @ bnd-close-06-no-nonhuman-approval</v>
      </c>
      <c r="C779" s="2" t="s">
        <v>14767</v>
      </c>
      <c r="D779" s="2" t="s">
        <v>8281</v>
      </c>
      <c r="E779" s="2" t="s">
        <v>15035</v>
      </c>
      <c r="F779" s="2" t="s">
        <v>15433</v>
      </c>
      <c r="G779" s="2" t="s">
        <v>14591</v>
      </c>
      <c r="H779" s="3" t="str">
        <f>_xlfn.IFNA(INDEX(FieldDisagreements!C2:C999, MATCH(C779,FieldDisagreements!A2:A999, 0)), "")</f>
        <v>effortless-xlsx</v>
      </c>
      <c r="I779" s="3" t="str">
        <f>_xlfn.IFNA(INDEX(FieldDisagreements!D2:D999, MATCH(C779,FieldDisagreements!A2:A999, 0)), "")</f>
        <v>AuthorityBoundaries.IsUnwarrantedAndUntested</v>
      </c>
      <c r="J779" s="2" t="s">
        <v>1906</v>
      </c>
    </row>
    <row r="780">
      <c r="A780" s="2" t="s">
        <v>15986</v>
      </c>
      <c r="B780" s="3" t="str">
        <f>_xlfn.CONCAT(C780, " @ ", D780)</f>
        <v>effortless-xlsx|AuthorityBoundaries.UnwarrantedBoundaryStepKey @ bnd-close-06-no-nonhuman-approval</v>
      </c>
      <c r="C780" s="2" t="s">
        <v>14768</v>
      </c>
      <c r="D780" s="2" t="s">
        <v>8281</v>
      </c>
      <c r="E780" s="2" t="s">
        <v>15987</v>
      </c>
      <c r="F780" s="2" t="s">
        <v>15433</v>
      </c>
      <c r="G780" s="2" t="s">
        <v>14591</v>
      </c>
      <c r="H780" s="3" t="str">
        <f>_xlfn.IFNA(INDEX(FieldDisagreements!C2:C999, MATCH(C780,FieldDisagreements!A2:A999, 0)), "")</f>
        <v>effortless-xlsx</v>
      </c>
      <c r="I780" s="3" t="str">
        <f>_xlfn.IFNA(INDEX(FieldDisagreements!D2:D999, MATCH(C780,FieldDisagreements!A2:A999, 0)), "")</f>
        <v>AuthorityBoundaries.UnwarrantedBoundaryStepKey</v>
      </c>
      <c r="J780" s="2" t="s">
        <v>1906</v>
      </c>
    </row>
    <row r="781">
      <c r="A781" s="2" t="s">
        <v>15988</v>
      </c>
      <c r="B781" s="3" t="str">
        <f>_xlfn.CONCAT(C781, " @ ", D781)</f>
        <v>effortless-xlsx|AuthorityBoundaries.RatificationLapsed @ bnd-close-06-no-nonhuman-approval</v>
      </c>
      <c r="C781" s="2" t="s">
        <v>14769</v>
      </c>
      <c r="D781" s="2" t="s">
        <v>8281</v>
      </c>
      <c r="E781" s="2" t="s">
        <v>15057</v>
      </c>
      <c r="F781" s="2" t="s">
        <v>15433</v>
      </c>
      <c r="G781" s="2" t="s">
        <v>14591</v>
      </c>
      <c r="H781" s="3" t="str">
        <f>_xlfn.IFNA(INDEX(FieldDisagreements!C2:C999, MATCH(C781,FieldDisagreements!A2:A999, 0)), "")</f>
        <v>effortless-xlsx</v>
      </c>
      <c r="I781" s="3" t="str">
        <f>_xlfn.IFNA(INDEX(FieldDisagreements!D2:D999, MATCH(C781,FieldDisagreements!A2:A999, 0)), "")</f>
        <v>AuthorityBoundaries.RatificationLapsed</v>
      </c>
      <c r="J781" s="2" t="s">
        <v>1906</v>
      </c>
    </row>
    <row r="782">
      <c r="A782" s="2" t="s">
        <v>15989</v>
      </c>
      <c r="B782" s="3" t="str">
        <f>_xlfn.CONCAT(C782, " @ ", D782)</f>
        <v>effortless-xlsx|AuthorityBoundaries.BindsDespiteLapsedRatification @ bnd-close-06-no-nonhuman-approval</v>
      </c>
      <c r="C782" s="2" t="s">
        <v>14770</v>
      </c>
      <c r="D782" s="2" t="s">
        <v>8281</v>
      </c>
      <c r="E782" s="2" t="s">
        <v>15057</v>
      </c>
      <c r="F782" s="2" t="s">
        <v>15433</v>
      </c>
      <c r="G782" s="2" t="s">
        <v>14591</v>
      </c>
      <c r="H782" s="3" t="str">
        <f>_xlfn.IFNA(INDEX(FieldDisagreements!C2:C999, MATCH(C782,FieldDisagreements!A2:A999, 0)), "")</f>
        <v>effortless-xlsx</v>
      </c>
      <c r="I782" s="3" t="str">
        <f>_xlfn.IFNA(INDEX(FieldDisagreements!D2:D999, MATCH(C782,FieldDisagreements!A2:A999, 0)), "")</f>
        <v>AuthorityBoundaries.BindsDespiteLapsedRatification</v>
      </c>
      <c r="J782" s="2" t="s">
        <v>1906</v>
      </c>
    </row>
    <row r="783">
      <c r="A783" s="2" t="s">
        <v>15990</v>
      </c>
      <c r="B783" s="3" t="str">
        <f>_xlfn.CONCAT(C783, " @ ", D783)</f>
        <v>effortless-xlsx|AuthorityBoundaries.IsUngroundedAndUntested @ bnd-close-06-no-nonhuman-approval</v>
      </c>
      <c r="C783" s="2" t="s">
        <v>14771</v>
      </c>
      <c r="D783" s="2" t="s">
        <v>8281</v>
      </c>
      <c r="E783" s="2" t="s">
        <v>15057</v>
      </c>
      <c r="F783" s="2" t="s">
        <v>15433</v>
      </c>
      <c r="G783" s="2" t="s">
        <v>14591</v>
      </c>
      <c r="H783" s="3" t="str">
        <f>_xlfn.IFNA(INDEX(FieldDisagreements!C2:C999, MATCH(C783,FieldDisagreements!A2:A999, 0)), "")</f>
        <v>effortless-xlsx</v>
      </c>
      <c r="I783" s="3" t="str">
        <f>_xlfn.IFNA(INDEX(FieldDisagreements!D2:D999, MATCH(C783,FieldDisagreements!A2:A999, 0)), "")</f>
        <v>AuthorityBoundaries.IsUngroundedAndUntested</v>
      </c>
      <c r="J783" s="2" t="s">
        <v>1906</v>
      </c>
    </row>
    <row r="784">
      <c r="A784" s="2" t="s">
        <v>15991</v>
      </c>
      <c r="B784" s="3" t="str">
        <f>_xlfn.CONCAT(C784, " @ ", D784)</f>
        <v>effortless-xlsx|AuthorityBoundaries.ConstrainedRoleAssignmentKey @ bnd-close-06-no-nonhuman-approval</v>
      </c>
      <c r="C784" s="2" t="s">
        <v>14772</v>
      </c>
      <c r="D784" s="2" t="s">
        <v>8281</v>
      </c>
      <c r="E784" s="2" t="s">
        <v>15036</v>
      </c>
      <c r="F784" s="2" t="s">
        <v>15433</v>
      </c>
      <c r="G784" s="2" t="s">
        <v>14591</v>
      </c>
      <c r="H784" s="3" t="str">
        <f>_xlfn.IFNA(INDEX(FieldDisagreements!C2:C999, MATCH(C784,FieldDisagreements!A2:A999, 0)), "")</f>
        <v>effortless-xlsx</v>
      </c>
      <c r="I784" s="3" t="str">
        <f>_xlfn.IFNA(INDEX(FieldDisagreements!D2:D999, MATCH(C784,FieldDisagreements!A2:A999, 0)), "")</f>
        <v>AuthorityBoundaries.ConstrainedRoleAssignmentKey</v>
      </c>
      <c r="J784" s="2" t="s">
        <v>1906</v>
      </c>
    </row>
    <row r="785">
      <c r="A785" s="2" t="s">
        <v>15992</v>
      </c>
      <c r="B785" s="3" t="str">
        <f>_xlfn.CONCAT(C785, " @ ", D785)</f>
        <v>effortless-xlsx|RulebookTables.FieldCount @ AccessDenialTests</v>
      </c>
      <c r="C785" s="2" t="s">
        <v>14773</v>
      </c>
      <c r="D785" s="2" t="s">
        <v>5482</v>
      </c>
      <c r="E785" s="2" t="s">
        <v>15993</v>
      </c>
      <c r="F785" s="2" t="s">
        <v>935</v>
      </c>
      <c r="G785" s="2" t="s">
        <v>14591</v>
      </c>
      <c r="H785" s="3" t="str">
        <f>_xlfn.IFNA(INDEX(FieldDisagreements!C2:C999, MATCH(C785,FieldDisagreements!A2:A999, 0)), "")</f>
        <v>effortless-xlsx</v>
      </c>
      <c r="I785" s="3" t="str">
        <f>_xlfn.IFNA(INDEX(FieldDisagreements!D2:D999, MATCH(C785,FieldDisagreements!A2:A999, 0)), "")</f>
        <v>RulebookTables.FieldCount</v>
      </c>
      <c r="J785" s="2" t="s">
        <v>1906</v>
      </c>
    </row>
    <row r="786">
      <c r="A786" s="2" t="s">
        <v>15994</v>
      </c>
      <c r="B786" s="3" t="str">
        <f>_xlfn.CONCAT(C786, " @ ", D786)</f>
        <v>effortless-xlsx|RulebookTables.FieldCount @ AccessPolicies</v>
      </c>
      <c r="C786" s="2" t="s">
        <v>14773</v>
      </c>
      <c r="D786" s="2" t="s">
        <v>5346</v>
      </c>
      <c r="E786" s="2" t="s">
        <v>15054</v>
      </c>
      <c r="F786" s="2" t="s">
        <v>935</v>
      </c>
      <c r="G786" s="2" t="s">
        <v>14591</v>
      </c>
      <c r="H786" s="3" t="str">
        <f>_xlfn.IFNA(INDEX(FieldDisagreements!C2:C999, MATCH(C786,FieldDisagreements!A2:A999, 0)), "")</f>
        <v>effortless-xlsx</v>
      </c>
      <c r="I786" s="3" t="str">
        <f>_xlfn.IFNA(INDEX(FieldDisagreements!D2:D999, MATCH(C786,FieldDisagreements!A2:A999, 0)), "")</f>
        <v>RulebookTables.FieldCount</v>
      </c>
      <c r="J786" s="2" t="s">
        <v>1906</v>
      </c>
    </row>
    <row r="787">
      <c r="A787" s="2" t="s">
        <v>15995</v>
      </c>
      <c r="B787" s="3" t="str">
        <f>_xlfn.CONCAT(C787, " @ ", D787)</f>
        <v>effortless-xlsx|RulebookTables.FieldCount @ AccessPrincipals</v>
      </c>
      <c r="C787" s="2" t="s">
        <v>14773</v>
      </c>
      <c r="D787" s="2" t="s">
        <v>5313</v>
      </c>
      <c r="E787" s="2" t="s">
        <v>931</v>
      </c>
      <c r="F787" s="2" t="s">
        <v>935</v>
      </c>
      <c r="G787" s="2" t="s">
        <v>14591</v>
      </c>
      <c r="H787" s="3" t="str">
        <f>_xlfn.IFNA(INDEX(FieldDisagreements!C2:C999, MATCH(C787,FieldDisagreements!A2:A999, 0)), "")</f>
        <v>effortless-xlsx</v>
      </c>
      <c r="I787" s="3" t="str">
        <f>_xlfn.IFNA(INDEX(FieldDisagreements!D2:D999, MATCH(C787,FieldDisagreements!A2:A999, 0)), "")</f>
        <v>RulebookTables.FieldCount</v>
      </c>
      <c r="J787" s="2" t="s">
        <v>1906</v>
      </c>
    </row>
    <row r="788">
      <c r="A788" s="2" t="s">
        <v>15996</v>
      </c>
      <c r="B788" s="3" t="str">
        <f>_xlfn.CONCAT(C788, " @ ", D788)</f>
        <v>effortless-xlsx|RulebookTables.FieldCount @ AgentDecisionRecords</v>
      </c>
      <c r="C788" s="2" t="s">
        <v>14773</v>
      </c>
      <c r="D788" s="2" t="s">
        <v>4928</v>
      </c>
      <c r="E788" s="2" t="s">
        <v>15997</v>
      </c>
      <c r="F788" s="2" t="s">
        <v>935</v>
      </c>
      <c r="G788" s="2" t="s">
        <v>14591</v>
      </c>
      <c r="H788" s="3" t="str">
        <f>_xlfn.IFNA(INDEX(FieldDisagreements!C2:C999, MATCH(C788,FieldDisagreements!A2:A999, 0)), "")</f>
        <v>effortless-xlsx</v>
      </c>
      <c r="I788" s="3" t="str">
        <f>_xlfn.IFNA(INDEX(FieldDisagreements!D2:D999, MATCH(C788,FieldDisagreements!A2:A999, 0)), "")</f>
        <v>RulebookTables.FieldCount</v>
      </c>
      <c r="J788" s="2" t="s">
        <v>1906</v>
      </c>
    </row>
    <row r="789">
      <c r="A789" s="2" t="s">
        <v>15998</v>
      </c>
      <c r="B789" s="3" t="str">
        <f>_xlfn.CONCAT(C789, " @ ", D789)</f>
        <v>effortless-xlsx|RulebookTables.FieldCount @ AppNavGroups</v>
      </c>
      <c r="C789" s="2" t="s">
        <v>14773</v>
      </c>
      <c r="D789" s="2" t="s">
        <v>1853</v>
      </c>
      <c r="E789" s="2" t="s">
        <v>15461</v>
      </c>
      <c r="F789" s="2" t="s">
        <v>935</v>
      </c>
      <c r="G789" s="2" t="s">
        <v>14591</v>
      </c>
      <c r="H789" s="3" t="str">
        <f>_xlfn.IFNA(INDEX(FieldDisagreements!C2:C999, MATCH(C789,FieldDisagreements!A2:A999, 0)), "")</f>
        <v>effortless-xlsx</v>
      </c>
      <c r="I789" s="3" t="str">
        <f>_xlfn.IFNA(INDEX(FieldDisagreements!D2:D999, MATCH(C789,FieldDisagreements!A2:A999, 0)), "")</f>
        <v>RulebookTables.FieldCount</v>
      </c>
      <c r="J789" s="2" t="s">
        <v>1906</v>
      </c>
    </row>
    <row r="790">
      <c r="A790" s="2" t="s">
        <v>15999</v>
      </c>
      <c r="B790" s="3" t="str">
        <f>_xlfn.CONCAT(C790, " @ ", D790)</f>
        <v>effortless-xlsx|RulebookTables.FieldCount @ AppRoleProfiles</v>
      </c>
      <c r="C790" s="2" t="s">
        <v>14773</v>
      </c>
      <c r="D790" s="2" t="s">
        <v>1849</v>
      </c>
      <c r="E790" s="2" t="s">
        <v>16000</v>
      </c>
      <c r="F790" s="2" t="s">
        <v>935</v>
      </c>
      <c r="G790" s="2" t="s">
        <v>14591</v>
      </c>
      <c r="H790" s="3" t="str">
        <f>_xlfn.IFNA(INDEX(FieldDisagreements!C2:C999, MATCH(C790,FieldDisagreements!A2:A999, 0)), "")</f>
        <v>effortless-xlsx</v>
      </c>
      <c r="I790" s="3" t="str">
        <f>_xlfn.IFNA(INDEX(FieldDisagreements!D2:D999, MATCH(C790,FieldDisagreements!A2:A999, 0)), "")</f>
        <v>RulebookTables.FieldCount</v>
      </c>
      <c r="J790" s="2" t="s">
        <v>1906</v>
      </c>
    </row>
    <row r="791">
      <c r="A791" s="2" t="s">
        <v>16001</v>
      </c>
      <c r="B791" s="3" t="str">
        <f>_xlfn.CONCAT(C791, " @ ", D791)</f>
        <v>effortless-xlsx|RulebookTables.FieldCount @ AppRouteQuestions</v>
      </c>
      <c r="C791" s="2" t="s">
        <v>14773</v>
      </c>
      <c r="D791" s="2" t="s">
        <v>1861</v>
      </c>
      <c r="E791" s="2" t="s">
        <v>15461</v>
      </c>
      <c r="F791" s="2" t="s">
        <v>935</v>
      </c>
      <c r="G791" s="2" t="s">
        <v>14591</v>
      </c>
      <c r="H791" s="3" t="str">
        <f>_xlfn.IFNA(INDEX(FieldDisagreements!C2:C999, MATCH(C791,FieldDisagreements!A2:A999, 0)), "")</f>
        <v>effortless-xlsx</v>
      </c>
      <c r="I791" s="3" t="str">
        <f>_xlfn.IFNA(INDEX(FieldDisagreements!D2:D999, MATCH(C791,FieldDisagreements!A2:A999, 0)), "")</f>
        <v>RulebookTables.FieldCount</v>
      </c>
      <c r="J791" s="2" t="s">
        <v>1906</v>
      </c>
    </row>
    <row r="792">
      <c r="A792" s="2" t="s">
        <v>16002</v>
      </c>
      <c r="B792" s="3" t="str">
        <f>_xlfn.CONCAT(C792, " @ ", D792)</f>
        <v>effortless-xlsx|RulebookTables.FieldCount @ AppRouteReferences</v>
      </c>
      <c r="C792" s="2" t="s">
        <v>14773</v>
      </c>
      <c r="D792" s="2" t="s">
        <v>1865</v>
      </c>
      <c r="E792" s="2" t="s">
        <v>15461</v>
      </c>
      <c r="F792" s="2" t="s">
        <v>935</v>
      </c>
      <c r="G792" s="2" t="s">
        <v>14591</v>
      </c>
      <c r="H792" s="3" t="str">
        <f>_xlfn.IFNA(INDEX(FieldDisagreements!C2:C999, MATCH(C792,FieldDisagreements!A2:A999, 0)), "")</f>
        <v>effortless-xlsx</v>
      </c>
      <c r="I792" s="3" t="str">
        <f>_xlfn.IFNA(INDEX(FieldDisagreements!D2:D999, MATCH(C792,FieldDisagreements!A2:A999, 0)), "")</f>
        <v>RulebookTables.FieldCount</v>
      </c>
      <c r="J792" s="2" t="s">
        <v>1906</v>
      </c>
    </row>
    <row r="793">
      <c r="A793" s="2" t="s">
        <v>16003</v>
      </c>
      <c r="B793" s="3" t="str">
        <f>_xlfn.CONCAT(C793, " @ ", D793)</f>
        <v>effortless-xlsx|RulebookTables.FieldCount @ AppRoutes</v>
      </c>
      <c r="C793" s="2" t="s">
        <v>14773</v>
      </c>
      <c r="D793" s="2" t="s">
        <v>1857</v>
      </c>
      <c r="E793" s="2" t="s">
        <v>15993</v>
      </c>
      <c r="F793" s="2" t="s">
        <v>935</v>
      </c>
      <c r="G793" s="2" t="s">
        <v>14591</v>
      </c>
      <c r="H793" s="3" t="str">
        <f>_xlfn.IFNA(INDEX(FieldDisagreements!C2:C999, MATCH(C793,FieldDisagreements!A2:A999, 0)), "")</f>
        <v>effortless-xlsx</v>
      </c>
      <c r="I793" s="3" t="str">
        <f>_xlfn.IFNA(INDEX(FieldDisagreements!D2:D999, MATCH(C793,FieldDisagreements!A2:A999, 0)), "")</f>
        <v>RulebookTables.FieldCount</v>
      </c>
      <c r="J793" s="2" t="s">
        <v>1906</v>
      </c>
    </row>
    <row r="794">
      <c r="A794" s="2" t="s">
        <v>16004</v>
      </c>
      <c r="B794" s="3" t="str">
        <f>_xlfn.CONCAT(C794, " @ ", D794)</f>
        <v>effortless-xlsx|RulebookTables.FieldCount @ Attestations</v>
      </c>
      <c r="C794" s="2" t="s">
        <v>14773</v>
      </c>
      <c r="D794" s="2" t="s">
        <v>5169</v>
      </c>
      <c r="E794" s="2" t="s">
        <v>16000</v>
      </c>
      <c r="F794" s="2" t="s">
        <v>935</v>
      </c>
      <c r="G794" s="2" t="s">
        <v>14591</v>
      </c>
      <c r="H794" s="3" t="str">
        <f>_xlfn.IFNA(INDEX(FieldDisagreements!C2:C999, MATCH(C794,FieldDisagreements!A2:A999, 0)), "")</f>
        <v>effortless-xlsx</v>
      </c>
      <c r="I794" s="3" t="str">
        <f>_xlfn.IFNA(INDEX(FieldDisagreements!D2:D999, MATCH(C794,FieldDisagreements!A2:A999, 0)), "")</f>
        <v>RulebookTables.FieldCount</v>
      </c>
      <c r="J794" s="2" t="s">
        <v>1906</v>
      </c>
    </row>
    <row r="795">
      <c r="A795" s="2" t="s">
        <v>16005</v>
      </c>
      <c r="B795" s="3" t="str">
        <f>_xlfn.CONCAT(C795, " @ ", D795)</f>
        <v>effortless-xlsx|RulebookTables.FieldCount @ AuthorityBoundaries</v>
      </c>
      <c r="C795" s="2" t="s">
        <v>14773</v>
      </c>
      <c r="D795" s="2" t="s">
        <v>5065</v>
      </c>
      <c r="E795" s="2" t="s">
        <v>16006</v>
      </c>
      <c r="F795" s="2" t="s">
        <v>935</v>
      </c>
      <c r="G795" s="2" t="s">
        <v>14591</v>
      </c>
      <c r="H795" s="3" t="str">
        <f>_xlfn.IFNA(INDEX(FieldDisagreements!C2:C999, MATCH(C795,FieldDisagreements!A2:A999, 0)), "")</f>
        <v>effortless-xlsx</v>
      </c>
      <c r="I795" s="3" t="str">
        <f>_xlfn.IFNA(INDEX(FieldDisagreements!D2:D999, MATCH(C795,FieldDisagreements!A2:A999, 0)), "")</f>
        <v>RulebookTables.FieldCount</v>
      </c>
      <c r="J795" s="2" t="s">
        <v>1906</v>
      </c>
    </row>
    <row r="796">
      <c r="A796" s="2" t="s">
        <v>16007</v>
      </c>
      <c r="B796" s="3" t="str">
        <f>_xlfn.CONCAT(C796, " @ ", D796)</f>
        <v>effortless-xlsx|RulebookTables.FieldCount @ BindingObservations</v>
      </c>
      <c r="C796" s="2" t="s">
        <v>14773</v>
      </c>
      <c r="D796" s="2" t="s">
        <v>5142</v>
      </c>
      <c r="E796" s="2" t="s">
        <v>16008</v>
      </c>
      <c r="F796" s="2" t="s">
        <v>935</v>
      </c>
      <c r="G796" s="2" t="s">
        <v>14591</v>
      </c>
      <c r="H796" s="3" t="str">
        <f>_xlfn.IFNA(INDEX(FieldDisagreements!C2:C999, MATCH(C796,FieldDisagreements!A2:A999, 0)), "")</f>
        <v>effortless-xlsx</v>
      </c>
      <c r="I796" s="3" t="str">
        <f>_xlfn.IFNA(INDEX(FieldDisagreements!D2:D999, MATCH(C796,FieldDisagreements!A2:A999, 0)), "")</f>
        <v>RulebookTables.FieldCount</v>
      </c>
      <c r="J796" s="2" t="s">
        <v>1906</v>
      </c>
    </row>
    <row r="797">
      <c r="A797" s="2" t="s">
        <v>16009</v>
      </c>
      <c r="B797" s="3" t="str">
        <f>_xlfn.CONCAT(C797, " @ ", D797)</f>
        <v>effortless-xlsx|RulebookTables.FieldCount @ CellDisagreements</v>
      </c>
      <c r="C797" s="2" t="s">
        <v>14773</v>
      </c>
      <c r="D797" s="2" t="s">
        <v>1905</v>
      </c>
      <c r="E797" s="2" t="s">
        <v>15761</v>
      </c>
      <c r="F797" s="2" t="s">
        <v>935</v>
      </c>
      <c r="G797" s="2" t="s">
        <v>14591</v>
      </c>
      <c r="H797" s="3" t="str">
        <f>_xlfn.IFNA(INDEX(FieldDisagreements!C2:C999, MATCH(C797,FieldDisagreements!A2:A999, 0)), "")</f>
        <v>effortless-xlsx</v>
      </c>
      <c r="I797" s="3" t="str">
        <f>_xlfn.IFNA(INDEX(FieldDisagreements!D2:D999, MATCH(C797,FieldDisagreements!A2:A999, 0)), "")</f>
        <v>RulebookTables.FieldCount</v>
      </c>
      <c r="J797" s="2" t="s">
        <v>1906</v>
      </c>
    </row>
    <row r="798">
      <c r="A798" s="2" t="s">
        <v>16010</v>
      </c>
      <c r="B798" s="3" t="str">
        <f>_xlfn.CONCAT(C798, " @ ", D798)</f>
        <v>effortless-xlsx|RulebookTables.FieldCount @ CommunicationPolicies</v>
      </c>
      <c r="C798" s="2" t="s">
        <v>14773</v>
      </c>
      <c r="D798" s="2" t="s">
        <v>1845</v>
      </c>
      <c r="E798" s="2" t="s">
        <v>15195</v>
      </c>
      <c r="F798" s="2" t="s">
        <v>935</v>
      </c>
      <c r="G798" s="2" t="s">
        <v>14591</v>
      </c>
      <c r="H798" s="3" t="str">
        <f>_xlfn.IFNA(INDEX(FieldDisagreements!C2:C999, MATCH(C798,FieldDisagreements!A2:A999, 0)), "")</f>
        <v>effortless-xlsx</v>
      </c>
      <c r="I798" s="3" t="str">
        <f>_xlfn.IFNA(INDEX(FieldDisagreements!D2:D999, MATCH(C798,FieldDisagreements!A2:A999, 0)), "")</f>
        <v>RulebookTables.FieldCount</v>
      </c>
      <c r="J798" s="2" t="s">
        <v>1906</v>
      </c>
    </row>
    <row r="799">
      <c r="A799" s="2" t="s">
        <v>16011</v>
      </c>
      <c r="B799" s="3" t="str">
        <f>_xlfn.CONCAT(C799, " @ ", D799)</f>
        <v>effortless-xlsx|RulebookTables.FieldCount @ ConformanceRuns</v>
      </c>
      <c r="C799" s="2" t="s">
        <v>14773</v>
      </c>
      <c r="D799" s="2" t="s">
        <v>1889</v>
      </c>
      <c r="E799" s="2" t="s">
        <v>15054</v>
      </c>
      <c r="F799" s="2" t="s">
        <v>935</v>
      </c>
      <c r="G799" s="2" t="s">
        <v>14591</v>
      </c>
      <c r="H799" s="3" t="str">
        <f>_xlfn.IFNA(INDEX(FieldDisagreements!C2:C999, MATCH(C799,FieldDisagreements!A2:A999, 0)), "")</f>
        <v>effortless-xlsx</v>
      </c>
      <c r="I799" s="3" t="str">
        <f>_xlfn.IFNA(INDEX(FieldDisagreements!D2:D999, MATCH(C799,FieldDisagreements!A2:A999, 0)), "")</f>
        <v>RulebookTables.FieldCount</v>
      </c>
      <c r="J799" s="2" t="s">
        <v>1906</v>
      </c>
    </row>
    <row r="800">
      <c r="A800" s="2" t="s">
        <v>16012</v>
      </c>
      <c r="B800" s="3" t="str">
        <f>_xlfn.CONCAT(C800, " @ ", D800)</f>
        <v>effortless-xlsx|RulebookTables.FieldCount @ ConformanceSubstrates</v>
      </c>
      <c r="C800" s="2" t="s">
        <v>14773</v>
      </c>
      <c r="D800" s="2" t="s">
        <v>1885</v>
      </c>
      <c r="E800" s="2" t="s">
        <v>15754</v>
      </c>
      <c r="F800" s="2" t="s">
        <v>935</v>
      </c>
      <c r="G800" s="2" t="s">
        <v>14591</v>
      </c>
      <c r="H800" s="3" t="str">
        <f>_xlfn.IFNA(INDEX(FieldDisagreements!C2:C999, MATCH(C800,FieldDisagreements!A2:A999, 0)), "")</f>
        <v>effortless-xlsx</v>
      </c>
      <c r="I800" s="3" t="str">
        <f>_xlfn.IFNA(INDEX(FieldDisagreements!D2:D999, MATCH(C800,FieldDisagreements!A2:A999, 0)), "")</f>
        <v>RulebookTables.FieldCount</v>
      </c>
      <c r="J800" s="2" t="s">
        <v>1906</v>
      </c>
    </row>
    <row r="801">
      <c r="A801" s="2" t="s">
        <v>16013</v>
      </c>
      <c r="B801" s="3" t="str">
        <f>_xlfn.CONCAT(C801, " @ ", D801)</f>
        <v>effortless-xlsx|RulebookTables.FieldCount @ DeliveredCommunications</v>
      </c>
      <c r="C801" s="2" t="s">
        <v>14773</v>
      </c>
      <c r="D801" s="2" t="s">
        <v>5029</v>
      </c>
      <c r="E801" s="2" t="s">
        <v>15993</v>
      </c>
      <c r="F801" s="2" t="s">
        <v>935</v>
      </c>
      <c r="G801" s="2" t="s">
        <v>14591</v>
      </c>
      <c r="H801" s="3" t="str">
        <f>_xlfn.IFNA(INDEX(FieldDisagreements!C2:C999, MATCH(C801,FieldDisagreements!A2:A999, 0)), "")</f>
        <v>effortless-xlsx</v>
      </c>
      <c r="I801" s="3" t="str">
        <f>_xlfn.IFNA(INDEX(FieldDisagreements!D2:D999, MATCH(C801,FieldDisagreements!A2:A999, 0)), "")</f>
        <v>RulebookTables.FieldCount</v>
      </c>
      <c r="J801" s="2" t="s">
        <v>1906</v>
      </c>
    </row>
    <row r="802">
      <c r="A802" s="2" t="s">
        <v>16014</v>
      </c>
      <c r="B802" s="3" t="str">
        <f>_xlfn.CONCAT(C802, " @ ", D802)</f>
        <v>effortless-xlsx|RulebookTables.FieldCount @ ERBCustomizations</v>
      </c>
      <c r="C802" s="2" t="s">
        <v>14773</v>
      </c>
      <c r="D802" s="2" t="s">
        <v>4199</v>
      </c>
      <c r="E802" s="2" t="s">
        <v>16015</v>
      </c>
      <c r="F802" s="2" t="s">
        <v>935</v>
      </c>
      <c r="G802" s="2" t="s">
        <v>14591</v>
      </c>
      <c r="H802" s="3" t="str">
        <f>_xlfn.IFNA(INDEX(FieldDisagreements!C2:C999, MATCH(C802,FieldDisagreements!A2:A999, 0)), "")</f>
        <v>effortless-xlsx</v>
      </c>
      <c r="I802" s="3" t="str">
        <f>_xlfn.IFNA(INDEX(FieldDisagreements!D2:D999, MATCH(C802,FieldDisagreements!A2:A999, 0)), "")</f>
        <v>RulebookTables.FieldCount</v>
      </c>
      <c r="J802" s="2" t="s">
        <v>1906</v>
      </c>
    </row>
    <row r="803">
      <c r="A803" s="2" t="s">
        <v>16016</v>
      </c>
      <c r="B803" s="3" t="str">
        <f>_xlfn.CONCAT(C803, " @ ", D803)</f>
        <v>effortless-xlsx|RulebookTables.FieldCount @ ERBVersions</v>
      </c>
      <c r="C803" s="2" t="s">
        <v>14773</v>
      </c>
      <c r="D803" s="2" t="s">
        <v>4186</v>
      </c>
      <c r="E803" s="2" t="s">
        <v>15756</v>
      </c>
      <c r="F803" s="2" t="s">
        <v>935</v>
      </c>
      <c r="G803" s="2" t="s">
        <v>14591</v>
      </c>
      <c r="H803" s="3" t="str">
        <f>_xlfn.IFNA(INDEX(FieldDisagreements!C2:C999, MATCH(C803,FieldDisagreements!A2:A999, 0)), "")</f>
        <v>effortless-xlsx</v>
      </c>
      <c r="I803" s="3" t="str">
        <f>_xlfn.IFNA(INDEX(FieldDisagreements!D2:D999, MATCH(C803,FieldDisagreements!A2:A999, 0)), "")</f>
        <v>RulebookTables.FieldCount</v>
      </c>
      <c r="J803" s="2" t="s">
        <v>1906</v>
      </c>
    </row>
    <row r="804">
      <c r="A804" s="2" t="s">
        <v>16017</v>
      </c>
      <c r="B804" s="3" t="str">
        <f>_xlfn.CONCAT(C804, " @ ", D804)</f>
        <v>effortless-xlsx|RulebookTables.FieldCount @ ExceptionInvocations</v>
      </c>
      <c r="C804" s="2" t="s">
        <v>14773</v>
      </c>
      <c r="D804" s="2" t="s">
        <v>4221</v>
      </c>
      <c r="E804" s="2" t="s">
        <v>16018</v>
      </c>
      <c r="F804" s="2" t="s">
        <v>935</v>
      </c>
      <c r="G804" s="2" t="s">
        <v>14591</v>
      </c>
      <c r="H804" s="3" t="str">
        <f>_xlfn.IFNA(INDEX(FieldDisagreements!C2:C999, MATCH(C804,FieldDisagreements!A2:A999, 0)), "")</f>
        <v>effortless-xlsx</v>
      </c>
      <c r="I804" s="3" t="str">
        <f>_xlfn.IFNA(INDEX(FieldDisagreements!D2:D999, MATCH(C804,FieldDisagreements!A2:A999, 0)), "")</f>
        <v>RulebookTables.FieldCount</v>
      </c>
      <c r="J804" s="2" t="s">
        <v>1906</v>
      </c>
    </row>
    <row r="805">
      <c r="A805" s="2" t="s">
        <v>16019</v>
      </c>
      <c r="B805" s="3" t="str">
        <f>_xlfn.CONCAT(C805, " @ ", D805)</f>
        <v>effortless-xlsx|AccessPrincipals.GrantCount @ principal-knowledge-authority</v>
      </c>
      <c r="C805" s="2" t="s">
        <v>14774</v>
      </c>
      <c r="D805" s="2" t="s">
        <v>9708</v>
      </c>
      <c r="E805" s="2" t="s">
        <v>16020</v>
      </c>
      <c r="F805" s="2" t="s">
        <v>935</v>
      </c>
      <c r="G805" s="2" t="s">
        <v>14591</v>
      </c>
      <c r="H805" s="3" t="str">
        <f>_xlfn.IFNA(INDEX(FieldDisagreements!C2:C999, MATCH(C805,FieldDisagreements!A2:A999, 0)), "")</f>
        <v>effortless-xlsx</v>
      </c>
      <c r="I805" s="3" t="str">
        <f>_xlfn.IFNA(INDEX(FieldDisagreements!D2:D999, MATCH(C805,FieldDisagreements!A2:A999, 0)), "")</f>
        <v>AccessPrincipals.GrantCount</v>
      </c>
      <c r="J805" s="2" t="s">
        <v>1906</v>
      </c>
    </row>
    <row r="806">
      <c r="A806" s="2" t="s">
        <v>16021</v>
      </c>
      <c r="B806" s="3" t="str">
        <f>_xlfn.CONCAT(C806, " @ ", D806)</f>
        <v>effortless-xlsx|AccessPrincipals.GrantCount @ principal-process-steward</v>
      </c>
      <c r="C806" s="2" t="s">
        <v>14774</v>
      </c>
      <c r="D806" s="2" t="s">
        <v>9706</v>
      </c>
      <c r="E806" s="2" t="s">
        <v>16020</v>
      </c>
      <c r="F806" s="2" t="s">
        <v>16022</v>
      </c>
      <c r="G806" s="2" t="s">
        <v>14591</v>
      </c>
      <c r="H806" s="3" t="str">
        <f>_xlfn.IFNA(INDEX(FieldDisagreements!C2:C999, MATCH(C806,FieldDisagreements!A2:A999, 0)), "")</f>
        <v>effortless-xlsx</v>
      </c>
      <c r="I806" s="3" t="str">
        <f>_xlfn.IFNA(INDEX(FieldDisagreements!D2:D999, MATCH(C806,FieldDisagreements!A2:A999, 0)), "")</f>
        <v>AccessPrincipals.GrantCount</v>
      </c>
      <c r="J806" s="2" t="s">
        <v>1906</v>
      </c>
    </row>
    <row r="807">
      <c r="A807" s="2" t="s">
        <v>16023</v>
      </c>
      <c r="B807" s="3" t="str">
        <f>_xlfn.CONCAT(C807, " @ ", D807)</f>
        <v>effortless-xlsx|FieldGrants.FieldTable @ fg-cfo-AuthorityBoundaries.AuthorityBoundaryId</v>
      </c>
      <c r="C807" s="2" t="s">
        <v>14775</v>
      </c>
      <c r="D807" s="2" t="s">
        <v>10084</v>
      </c>
      <c r="E807" s="2" t="s">
        <v>16024</v>
      </c>
      <c r="F807" s="2" t="s">
        <v>15036</v>
      </c>
      <c r="G807" s="2" t="s">
        <v>14591</v>
      </c>
      <c r="H807" s="3" t="str">
        <f>_xlfn.IFNA(INDEX(FieldDisagreements!C2:C999, MATCH(C807,FieldDisagreements!A2:A999, 0)), "")</f>
        <v>effortless-xlsx</v>
      </c>
      <c r="I807" s="3" t="str">
        <f>_xlfn.IFNA(INDEX(FieldDisagreements!D2:D999, MATCH(C807,FieldDisagreements!A2:A999, 0)), "")</f>
        <v>FieldGrants.FieldTable</v>
      </c>
      <c r="J807" s="2" t="s">
        <v>1906</v>
      </c>
    </row>
    <row r="808">
      <c r="A808" s="2" t="s">
        <v>16025</v>
      </c>
      <c r="B808" s="3" t="str">
        <f>_xlfn.CONCAT(C808, " @ ", D808)</f>
        <v>effortless-xlsx|FieldGrants.FieldTable @ fg-cfo-AuthorityBoundaries.AuthorityRole</v>
      </c>
      <c r="C808" s="2" t="s">
        <v>14775</v>
      </c>
      <c r="D808" s="2" t="s">
        <v>10088</v>
      </c>
      <c r="E808" s="2" t="s">
        <v>16024</v>
      </c>
      <c r="F808" s="2" t="s">
        <v>15036</v>
      </c>
      <c r="G808" s="2" t="s">
        <v>14591</v>
      </c>
      <c r="H808" s="3" t="str">
        <f>_xlfn.IFNA(INDEX(FieldDisagreements!C2:C999, MATCH(C808,FieldDisagreements!A2:A999, 0)), "")</f>
        <v>effortless-xlsx</v>
      </c>
      <c r="I808" s="3" t="str">
        <f>_xlfn.IFNA(INDEX(FieldDisagreements!D2:D999, MATCH(C808,FieldDisagreements!A2:A999, 0)), "")</f>
        <v>FieldGrants.FieldTable</v>
      </c>
      <c r="J808" s="2" t="s">
        <v>1906</v>
      </c>
    </row>
    <row r="809">
      <c r="A809" s="2" t="s">
        <v>16026</v>
      </c>
      <c r="B809" s="3" t="str">
        <f>_xlfn.CONCAT(C809, " @ ", D809)</f>
        <v>effortless-xlsx|FieldGrants.FieldTable @ fg-cfo-AuthorityBoundaries.ForbiddenAgentKind</v>
      </c>
      <c r="C809" s="2" t="s">
        <v>14775</v>
      </c>
      <c r="D809" s="2" t="s">
        <v>10085</v>
      </c>
      <c r="E809" s="2" t="s">
        <v>16024</v>
      </c>
      <c r="F809" s="2" t="s">
        <v>15036</v>
      </c>
      <c r="G809" s="2" t="s">
        <v>14591</v>
      </c>
      <c r="H809" s="3" t="str">
        <f>_xlfn.IFNA(INDEX(FieldDisagreements!C2:C999, MATCH(C809,FieldDisagreements!A2:A999, 0)), "")</f>
        <v>effortless-xlsx</v>
      </c>
      <c r="I809" s="3" t="str">
        <f>_xlfn.IFNA(INDEX(FieldDisagreements!D2:D999, MATCH(C809,FieldDisagreements!A2:A999, 0)), "")</f>
        <v>FieldGrants.FieldTable</v>
      </c>
      <c r="J809" s="2" t="s">
        <v>1906</v>
      </c>
    </row>
    <row r="810">
      <c r="A810" s="2" t="s">
        <v>16027</v>
      </c>
      <c r="B810" s="3" t="str">
        <f>_xlfn.CONCAT(C810, " @ ", D810)</f>
        <v>effortless-xlsx|FieldGrants.FieldTable @ fg-cfo-AuthorityBoundaries.ForbiddenDecisionKind</v>
      </c>
      <c r="C810" s="2" t="s">
        <v>14775</v>
      </c>
      <c r="D810" s="2" t="s">
        <v>10086</v>
      </c>
      <c r="E810" s="2" t="s">
        <v>16024</v>
      </c>
      <c r="F810" s="2" t="s">
        <v>15036</v>
      </c>
      <c r="G810" s="2" t="s">
        <v>14591</v>
      </c>
      <c r="H810" s="3" t="str">
        <f>_xlfn.IFNA(INDEX(FieldDisagreements!C2:C999, MATCH(C810,FieldDisagreements!A2:A999, 0)), "")</f>
        <v>effortless-xlsx</v>
      </c>
      <c r="I810" s="3" t="str">
        <f>_xlfn.IFNA(INDEX(FieldDisagreements!D2:D999, MATCH(C810,FieldDisagreements!A2:A999, 0)), "")</f>
        <v>FieldGrants.FieldTable</v>
      </c>
      <c r="J810" s="2" t="s">
        <v>1906</v>
      </c>
    </row>
    <row r="811">
      <c r="A811" s="2" t="s">
        <v>16028</v>
      </c>
      <c r="B811" s="3" t="str">
        <f>_xlfn.CONCAT(C811, " @ ", D811)</f>
        <v>effortless-xlsx|FieldGrants.FieldTable @ fg-cfo-AuthorityBoundaries.Name</v>
      </c>
      <c r="C811" s="2" t="s">
        <v>14775</v>
      </c>
      <c r="D811" s="2" t="s">
        <v>10090</v>
      </c>
      <c r="E811" s="2" t="s">
        <v>16024</v>
      </c>
      <c r="F811" s="2" t="s">
        <v>15036</v>
      </c>
      <c r="G811" s="2" t="s">
        <v>14591</v>
      </c>
      <c r="H811" s="3" t="str">
        <f>_xlfn.IFNA(INDEX(FieldDisagreements!C2:C999, MATCH(C811,FieldDisagreements!A2:A999, 0)), "")</f>
        <v>effortless-xlsx</v>
      </c>
      <c r="I811" s="3" t="str">
        <f>_xlfn.IFNA(INDEX(FieldDisagreements!D2:D999, MATCH(C811,FieldDisagreements!A2:A999, 0)), "")</f>
        <v>FieldGrants.FieldTable</v>
      </c>
      <c r="J811" s="2" t="s">
        <v>1906</v>
      </c>
    </row>
    <row r="812">
      <c r="A812" s="2" t="s">
        <v>16029</v>
      </c>
      <c r="B812" s="3" t="str">
        <f>_xlfn.CONCAT(C812, " @ ", D812)</f>
        <v>effortless-xlsx|FieldGrants.FieldTable @ fg-cfo-AuthorityBoundaries.Status</v>
      </c>
      <c r="C812" s="2" t="s">
        <v>14775</v>
      </c>
      <c r="D812" s="2" t="s">
        <v>10087</v>
      </c>
      <c r="E812" s="2" t="s">
        <v>16024</v>
      </c>
      <c r="F812" s="2" t="s">
        <v>15036</v>
      </c>
      <c r="G812" s="2" t="s">
        <v>14591</v>
      </c>
      <c r="H812" s="3" t="str">
        <f>_xlfn.IFNA(INDEX(FieldDisagreements!C2:C999, MATCH(C812,FieldDisagreements!A2:A999, 0)), "")</f>
        <v>effortless-xlsx</v>
      </c>
      <c r="I812" s="3" t="str">
        <f>_xlfn.IFNA(INDEX(FieldDisagreements!D2:D999, MATCH(C812,FieldDisagreements!A2:A999, 0)), "")</f>
        <v>FieldGrants.FieldTable</v>
      </c>
      <c r="J812" s="2" t="s">
        <v>1906</v>
      </c>
    </row>
    <row r="813">
      <c r="A813" s="2" t="s">
        <v>16030</v>
      </c>
      <c r="B813" s="3" t="str">
        <f>_xlfn.CONCAT(C813, " @ ", D813)</f>
        <v>effortless-xlsx|FieldGrants.FieldTable @ fg-cfo-AuthorityBoundaries.Step</v>
      </c>
      <c r="C813" s="2" t="s">
        <v>14775</v>
      </c>
      <c r="D813" s="2" t="s">
        <v>10089</v>
      </c>
      <c r="E813" s="2" t="s">
        <v>16024</v>
      </c>
      <c r="F813" s="2" t="s">
        <v>15036</v>
      </c>
      <c r="G813" s="2" t="s">
        <v>14591</v>
      </c>
      <c r="H813" s="3" t="str">
        <f>_xlfn.IFNA(INDEX(FieldDisagreements!C2:C999, MATCH(C813,FieldDisagreements!A2:A999, 0)), "")</f>
        <v>effortless-xlsx</v>
      </c>
      <c r="I813" s="3" t="str">
        <f>_xlfn.IFNA(INDEX(FieldDisagreements!D2:D999, MATCH(C813,FieldDisagreements!A2:A999, 0)), "")</f>
        <v>FieldGrants.FieldTable</v>
      </c>
      <c r="J813" s="2" t="s">
        <v>1906</v>
      </c>
    </row>
    <row r="814">
      <c r="A814" s="2" t="s">
        <v>16031</v>
      </c>
      <c r="B814" s="3" t="str">
        <f>_xlfn.CONCAT(C814, " @ ", D814)</f>
        <v>effortless-xlsx|FieldGrants.FieldTable @ fg-communications-manager-CommunicationPolicies.ApprovalRole</v>
      </c>
      <c r="C814" s="2" t="s">
        <v>14775</v>
      </c>
      <c r="D814" s="2" t="s">
        <v>10202</v>
      </c>
      <c r="E814" s="2" t="s">
        <v>16032</v>
      </c>
      <c r="F814" s="2" t="s">
        <v>15036</v>
      </c>
      <c r="G814" s="2" t="s">
        <v>14591</v>
      </c>
      <c r="H814" s="3" t="str">
        <f>_xlfn.IFNA(INDEX(FieldDisagreements!C2:C999, MATCH(C814,FieldDisagreements!A2:A999, 0)), "")</f>
        <v>effortless-xlsx</v>
      </c>
      <c r="I814" s="3" t="str">
        <f>_xlfn.IFNA(INDEX(FieldDisagreements!D2:D999, MATCH(C814,FieldDisagreements!A2:A999, 0)), "")</f>
        <v>FieldGrants.FieldTable</v>
      </c>
      <c r="J814" s="2" t="s">
        <v>1906</v>
      </c>
    </row>
    <row r="815">
      <c r="A815" s="2" t="s">
        <v>16033</v>
      </c>
      <c r="B815" s="3" t="str">
        <f>_xlfn.CONCAT(C815, " @ ", D815)</f>
        <v>effortless-xlsx|FieldGrants.FieldTable @ fg-communications-manager-CommunicationPolicies.AudienceRule</v>
      </c>
      <c r="C815" s="2" t="s">
        <v>14775</v>
      </c>
      <c r="D815" s="2" t="s">
        <v>10195</v>
      </c>
      <c r="E815" s="2" t="s">
        <v>16032</v>
      </c>
      <c r="F815" s="2" t="s">
        <v>15036</v>
      </c>
      <c r="G815" s="2" t="s">
        <v>14591</v>
      </c>
      <c r="H815" s="3" t="str">
        <f>_xlfn.IFNA(INDEX(FieldDisagreements!C2:C999, MATCH(C815,FieldDisagreements!A2:A999, 0)), "")</f>
        <v>effortless-xlsx</v>
      </c>
      <c r="I815" s="3" t="str">
        <f>_xlfn.IFNA(INDEX(FieldDisagreements!D2:D999, MATCH(C815,FieldDisagreements!A2:A999, 0)), "")</f>
        <v>FieldGrants.FieldTable</v>
      </c>
      <c r="J815" s="2" t="s">
        <v>1906</v>
      </c>
    </row>
    <row r="816">
      <c r="A816" s="2" t="s">
        <v>16034</v>
      </c>
      <c r="B816" s="3" t="str">
        <f>_xlfn.CONCAT(C816, " @ ", D816)</f>
        <v>effortless-xlsx|FieldGrants.FieldTable @ fg-communications-manager-CommunicationPolicies.AuthorityStatement</v>
      </c>
      <c r="C816" s="2" t="s">
        <v>14775</v>
      </c>
      <c r="D816" s="2" t="s">
        <v>10204</v>
      </c>
      <c r="E816" s="2" t="s">
        <v>16032</v>
      </c>
      <c r="F816" s="2" t="s">
        <v>15036</v>
      </c>
      <c r="G816" s="2" t="s">
        <v>14591</v>
      </c>
      <c r="H816" s="3" t="str">
        <f>_xlfn.IFNA(INDEX(FieldDisagreements!C2:C999, MATCH(C816,FieldDisagreements!A2:A999, 0)), "")</f>
        <v>effortless-xlsx</v>
      </c>
      <c r="I816" s="3" t="str">
        <f>_xlfn.IFNA(INDEX(FieldDisagreements!D2:D999, MATCH(C816,FieldDisagreements!A2:A999, 0)), "")</f>
        <v>FieldGrants.FieldTable</v>
      </c>
      <c r="J816" s="2" t="s">
        <v>1906</v>
      </c>
    </row>
    <row r="817">
      <c r="A817" s="2" t="s">
        <v>16035</v>
      </c>
      <c r="B817" s="3" t="str">
        <f>_xlfn.CONCAT(C817, " @ ", D817)</f>
        <v>effortless-xlsx|FieldGrants.FieldTable @ fg-communications-manager-CommunicationPolicies.Channel</v>
      </c>
      <c r="C817" s="2" t="s">
        <v>14775</v>
      </c>
      <c r="D817" s="2" t="s">
        <v>10194</v>
      </c>
      <c r="E817" s="2" t="s">
        <v>16032</v>
      </c>
      <c r="F817" s="2" t="s">
        <v>15036</v>
      </c>
      <c r="G817" s="2" t="s">
        <v>14591</v>
      </c>
      <c r="H817" s="3" t="str">
        <f>_xlfn.IFNA(INDEX(FieldDisagreements!C2:C999, MATCH(C817,FieldDisagreements!A2:A999, 0)), "")</f>
        <v>effortless-xlsx</v>
      </c>
      <c r="I817" s="3" t="str">
        <f>_xlfn.IFNA(INDEX(FieldDisagreements!D2:D999, MATCH(C817,FieldDisagreements!A2:A999, 0)), "")</f>
        <v>FieldGrants.FieldTable</v>
      </c>
      <c r="J817" s="2" t="s">
        <v>1906</v>
      </c>
    </row>
    <row r="818">
      <c r="A818" s="2" t="s">
        <v>16036</v>
      </c>
      <c r="B818" s="3" t="str">
        <f>_xlfn.CONCAT(C818, " @ ", D818)</f>
        <v>effortless-xlsx|FieldGrants.FieldTable @ fg-communications-manager-CommunicationPolicies.CommunicationPolicyId</v>
      </c>
      <c r="C818" s="2" t="s">
        <v>14775</v>
      </c>
      <c r="D818" s="2" t="s">
        <v>10191</v>
      </c>
      <c r="E818" s="2" t="s">
        <v>16032</v>
      </c>
      <c r="F818" s="2" t="s">
        <v>15036</v>
      </c>
      <c r="G818" s="2" t="s">
        <v>14591</v>
      </c>
      <c r="H818" s="3" t="str">
        <f>_xlfn.IFNA(INDEX(FieldDisagreements!C2:C999, MATCH(C818,FieldDisagreements!A2:A999, 0)), "")</f>
        <v>effortless-xlsx</v>
      </c>
      <c r="I818" s="3" t="str">
        <f>_xlfn.IFNA(INDEX(FieldDisagreements!D2:D999, MATCH(C818,FieldDisagreements!A2:A999, 0)), "")</f>
        <v>FieldGrants.FieldTable</v>
      </c>
      <c r="J818" s="2" t="s">
        <v>1906</v>
      </c>
    </row>
    <row r="819">
      <c r="A819" s="2" t="s">
        <v>16037</v>
      </c>
      <c r="B819" s="3" t="str">
        <f>_xlfn.CONCAT(C819, " @ ", D819)</f>
        <v>effortless-xlsx|FieldGrants.FieldTable @ fg-communications-manager-CommunicationPolicies.ConsentRequired</v>
      </c>
      <c r="C819" s="2" t="s">
        <v>14775</v>
      </c>
      <c r="D819" s="2" t="s">
        <v>10196</v>
      </c>
      <c r="E819" s="2" t="s">
        <v>16032</v>
      </c>
      <c r="F819" s="2" t="s">
        <v>15036</v>
      </c>
      <c r="G819" s="2" t="s">
        <v>14591</v>
      </c>
      <c r="H819" s="3" t="str">
        <f>_xlfn.IFNA(INDEX(FieldDisagreements!C2:C999, MATCH(C819,FieldDisagreements!A2:A999, 0)), "")</f>
        <v>effortless-xlsx</v>
      </c>
      <c r="I819" s="3" t="str">
        <f>_xlfn.IFNA(INDEX(FieldDisagreements!D2:D999, MATCH(C819,FieldDisagreements!A2:A999, 0)), "")</f>
        <v>FieldGrants.FieldTable</v>
      </c>
      <c r="J819" s="2" t="s">
        <v>1906</v>
      </c>
    </row>
    <row r="820">
      <c r="A820" s="2" t="s">
        <v>16038</v>
      </c>
      <c r="B820" s="3" t="str">
        <f>_xlfn.CONCAT(C820, " @ ", D820)</f>
        <v>effortless-xlsx|FieldGrants.FieldTable @ fg-communications-manager-CommunicationPolicies.ConsentViolationCount</v>
      </c>
      <c r="C820" s="2" t="s">
        <v>14775</v>
      </c>
      <c r="D820" s="2" t="s">
        <v>10206</v>
      </c>
      <c r="E820" s="2" t="s">
        <v>16032</v>
      </c>
      <c r="F820" s="2" t="s">
        <v>15036</v>
      </c>
      <c r="G820" s="2" t="s">
        <v>14591</v>
      </c>
      <c r="H820" s="3" t="str">
        <f>_xlfn.IFNA(INDEX(FieldDisagreements!C2:C999, MATCH(C820,FieldDisagreements!A2:A999, 0)), "")</f>
        <v>effortless-xlsx</v>
      </c>
      <c r="I820" s="3" t="str">
        <f>_xlfn.IFNA(INDEX(FieldDisagreements!D2:D999, MATCH(C820,FieldDisagreements!A2:A999, 0)), "")</f>
        <v>FieldGrants.FieldTable</v>
      </c>
      <c r="J820" s="2" t="s">
        <v>1906</v>
      </c>
    </row>
    <row r="821">
      <c r="A821" s="2" t="s">
        <v>16039</v>
      </c>
      <c r="B821" s="3" t="str">
        <f>_xlfn.CONCAT(C821, " @ ", D821)</f>
        <v>effortless-xlsx|FieldGrants.FieldTable @ fg-communications-manager-CommunicationPolicies.IsActivePolicy</v>
      </c>
      <c r="C821" s="2" t="s">
        <v>14775</v>
      </c>
      <c r="D821" s="2" t="s">
        <v>10211</v>
      </c>
      <c r="E821" s="2" t="s">
        <v>16032</v>
      </c>
      <c r="F821" s="2" t="s">
        <v>15036</v>
      </c>
      <c r="G821" s="2" t="s">
        <v>14591</v>
      </c>
      <c r="H821" s="3" t="str">
        <f>_xlfn.IFNA(INDEX(FieldDisagreements!C2:C999, MATCH(C821,FieldDisagreements!A2:A999, 0)), "")</f>
        <v>effortless-xlsx</v>
      </c>
      <c r="I821" s="3" t="str">
        <f>_xlfn.IFNA(INDEX(FieldDisagreements!D2:D999, MATCH(C821,FieldDisagreements!A2:A999, 0)), "")</f>
        <v>FieldGrants.FieldTable</v>
      </c>
      <c r="J821" s="2" t="s">
        <v>1906</v>
      </c>
    </row>
    <row r="822">
      <c r="A822" s="2" t="s">
        <v>16040</v>
      </c>
      <c r="B822" s="3" t="str">
        <f>_xlfn.CONCAT(C822, " @ ", D822)</f>
        <v>effortless-xlsx|FieldGrants.FieldTable @ fg-communications-manager-CommunicationPolicies.MaxMessageLength</v>
      </c>
      <c r="C822" s="2" t="s">
        <v>14775</v>
      </c>
      <c r="D822" s="2" t="s">
        <v>10199</v>
      </c>
      <c r="E822" s="2" t="s">
        <v>16032</v>
      </c>
      <c r="F822" s="2" t="s">
        <v>15036</v>
      </c>
      <c r="G822" s="2" t="s">
        <v>14591</v>
      </c>
      <c r="H822" s="3" t="str">
        <f>_xlfn.IFNA(INDEX(FieldDisagreements!C2:C999, MATCH(C822,FieldDisagreements!A2:A999, 0)), "")</f>
        <v>effortless-xlsx</v>
      </c>
      <c r="I822" s="3" t="str">
        <f>_xlfn.IFNA(INDEX(FieldDisagreements!D2:D999, MATCH(C822,FieldDisagreements!A2:A999, 0)), "")</f>
        <v>FieldGrants.FieldTable</v>
      </c>
      <c r="J822" s="2" t="s">
        <v>1906</v>
      </c>
    </row>
    <row r="823">
      <c r="A823" s="2" t="s">
        <v>16041</v>
      </c>
      <c r="B823" s="3" t="str">
        <f>_xlfn.CONCAT(C823, " @ ", D823)</f>
        <v>effortless-xlsx|FieldGrants.FieldTable @ fg-communications-manager-CommunicationPolicies.MaxSegments</v>
      </c>
      <c r="C823" s="2" t="s">
        <v>14775</v>
      </c>
      <c r="D823" s="2" t="s">
        <v>10200</v>
      </c>
      <c r="E823" s="2" t="s">
        <v>16032</v>
      </c>
      <c r="F823" s="2" t="s">
        <v>15036</v>
      </c>
      <c r="G823" s="2" t="s">
        <v>14591</v>
      </c>
      <c r="H823" s="3" t="str">
        <f>_xlfn.IFNA(INDEX(FieldDisagreements!C2:C999, MATCH(C823,FieldDisagreements!A2:A999, 0)), "")</f>
        <v>effortless-xlsx</v>
      </c>
      <c r="I823" s="3" t="str">
        <f>_xlfn.IFNA(INDEX(FieldDisagreements!D2:D999, MATCH(C823,FieldDisagreements!A2:A999, 0)), "")</f>
        <v>FieldGrants.FieldTable</v>
      </c>
      <c r="J823" s="2" t="s">
        <v>1906</v>
      </c>
    </row>
    <row r="824">
      <c r="A824" s="2" t="s">
        <v>16042</v>
      </c>
      <c r="B824" s="3" t="str">
        <f>_xlfn.CONCAT(C824, " @ ", D824)</f>
        <v>effortless-xlsx|FieldGrants.FieldTable @ fg-communications-manager-CommunicationPolicies.Name</v>
      </c>
      <c r="C824" s="2" t="s">
        <v>14775</v>
      </c>
      <c r="D824" s="2" t="s">
        <v>10192</v>
      </c>
      <c r="E824" s="2" t="s">
        <v>16032</v>
      </c>
      <c r="F824" s="2" t="s">
        <v>15036</v>
      </c>
      <c r="G824" s="2" t="s">
        <v>14591</v>
      </c>
      <c r="H824" s="3" t="str">
        <f>_xlfn.IFNA(INDEX(FieldDisagreements!C2:C999, MATCH(C824,FieldDisagreements!A2:A999, 0)), "")</f>
        <v>effortless-xlsx</v>
      </c>
      <c r="I824" s="3" t="str">
        <f>_xlfn.IFNA(INDEX(FieldDisagreements!D2:D999, MATCH(C824,FieldDisagreements!A2:A999, 0)), "")</f>
        <v>FieldGrants.FieldTable</v>
      </c>
      <c r="J824" s="2" t="s">
        <v>1906</v>
      </c>
    </row>
    <row r="825">
      <c r="A825" s="2" t="s">
        <v>16043</v>
      </c>
      <c r="B825" s="3" t="str">
        <f>_xlfn.CONCAT(C825, " @ ", D825)</f>
        <v>effortless-xlsx|FieldGrants.FieldTable @ fg-communications-manager-CommunicationPolicies.ProcedureVersion</v>
      </c>
      <c r="C825" s="2" t="s">
        <v>14775</v>
      </c>
      <c r="D825" s="2" t="s">
        <v>10193</v>
      </c>
      <c r="E825" s="2" t="s">
        <v>16032</v>
      </c>
      <c r="F825" s="2" t="s">
        <v>15036</v>
      </c>
      <c r="G825" s="2" t="s">
        <v>14591</v>
      </c>
      <c r="H825" s="3" t="str">
        <f>_xlfn.IFNA(INDEX(FieldDisagreements!C2:C999, MATCH(C825,FieldDisagreements!A2:A999, 0)), "")</f>
        <v>effortless-xlsx</v>
      </c>
      <c r="I825" s="3" t="str">
        <f>_xlfn.IFNA(INDEX(FieldDisagreements!D2:D999, MATCH(C825,FieldDisagreements!A2:A999, 0)), "")</f>
        <v>FieldGrants.FieldTable</v>
      </c>
      <c r="J825" s="2" t="s">
        <v>1906</v>
      </c>
    </row>
    <row r="826">
      <c r="A826" s="2" t="s">
        <v>16044</v>
      </c>
      <c r="B826" s="3" t="str">
        <f>_xlfn.CONCAT(C826, " @ ", D826)</f>
        <v>effortless-xlsx|FieldGrants.FieldTable @ fg-communications-manager-CommunicationPolicies.QuietHoursEnd</v>
      </c>
      <c r="C826" s="2" t="s">
        <v>14775</v>
      </c>
      <c r="D826" s="2" t="s">
        <v>10198</v>
      </c>
      <c r="E826" s="2" t="s">
        <v>16032</v>
      </c>
      <c r="F826" s="2" t="s">
        <v>15036</v>
      </c>
      <c r="G826" s="2" t="s">
        <v>14591</v>
      </c>
      <c r="H826" s="3" t="str">
        <f>_xlfn.IFNA(INDEX(FieldDisagreements!C2:C999, MATCH(C826,FieldDisagreements!A2:A999, 0)), "")</f>
        <v>effortless-xlsx</v>
      </c>
      <c r="I826" s="3" t="str">
        <f>_xlfn.IFNA(INDEX(FieldDisagreements!D2:D999, MATCH(C826,FieldDisagreements!A2:A999, 0)), "")</f>
        <v>FieldGrants.FieldTable</v>
      </c>
      <c r="J826" s="2" t="s">
        <v>1906</v>
      </c>
    </row>
    <row r="827">
      <c r="A827" s="2" t="s">
        <v>16045</v>
      </c>
      <c r="B827" s="3" t="str">
        <f>_xlfn.CONCAT(C827, " @ ", D827)</f>
        <v>effortless-xlsx|FieldGrants.FieldName @ fg-cfo-AuthorityBoundaries.AuthorityBoundaryId</v>
      </c>
      <c r="C827" s="2" t="s">
        <v>14776</v>
      </c>
      <c r="D827" s="2" t="s">
        <v>10084</v>
      </c>
      <c r="E827" s="2" t="s">
        <v>16046</v>
      </c>
      <c r="F827" s="2" t="s">
        <v>15036</v>
      </c>
      <c r="G827" s="2" t="s">
        <v>14591</v>
      </c>
      <c r="H827" s="3" t="str">
        <f>_xlfn.IFNA(INDEX(FieldDisagreements!C2:C999, MATCH(C827,FieldDisagreements!A2:A999, 0)), "")</f>
        <v>effortless-xlsx</v>
      </c>
      <c r="I827" s="3" t="str">
        <f>_xlfn.IFNA(INDEX(FieldDisagreements!D2:D999, MATCH(C827,FieldDisagreements!A2:A999, 0)), "")</f>
        <v>FieldGrants.FieldName</v>
      </c>
      <c r="J827" s="2" t="s">
        <v>1906</v>
      </c>
    </row>
    <row r="828">
      <c r="A828" s="2" t="s">
        <v>16047</v>
      </c>
      <c r="B828" s="3" t="str">
        <f>_xlfn.CONCAT(C828, " @ ", D828)</f>
        <v>effortless-xlsx|FieldGrants.FieldName @ fg-cfo-AuthorityBoundaries.AuthorityRole</v>
      </c>
      <c r="C828" s="2" t="s">
        <v>14776</v>
      </c>
      <c r="D828" s="2" t="s">
        <v>10088</v>
      </c>
      <c r="E828" s="2" t="s">
        <v>16048</v>
      </c>
      <c r="F828" s="2" t="s">
        <v>15036</v>
      </c>
      <c r="G828" s="2" t="s">
        <v>14591</v>
      </c>
      <c r="H828" s="3" t="str">
        <f>_xlfn.IFNA(INDEX(FieldDisagreements!C2:C999, MATCH(C828,FieldDisagreements!A2:A999, 0)), "")</f>
        <v>effortless-xlsx</v>
      </c>
      <c r="I828" s="3" t="str">
        <f>_xlfn.IFNA(INDEX(FieldDisagreements!D2:D999, MATCH(C828,FieldDisagreements!A2:A999, 0)), "")</f>
        <v>FieldGrants.FieldName</v>
      </c>
      <c r="J828" s="2" t="s">
        <v>1906</v>
      </c>
    </row>
    <row r="829">
      <c r="A829" s="2" t="s">
        <v>16049</v>
      </c>
      <c r="B829" s="3" t="str">
        <f>_xlfn.CONCAT(C829, " @ ", D829)</f>
        <v>effortless-xlsx|FieldGrants.FieldName @ fg-cfo-AuthorityBoundaries.ForbiddenAgentKind</v>
      </c>
      <c r="C829" s="2" t="s">
        <v>14776</v>
      </c>
      <c r="D829" s="2" t="s">
        <v>10085</v>
      </c>
      <c r="E829" s="2" t="s">
        <v>16050</v>
      </c>
      <c r="F829" s="2" t="s">
        <v>15036</v>
      </c>
      <c r="G829" s="2" t="s">
        <v>14591</v>
      </c>
      <c r="H829" s="3" t="str">
        <f>_xlfn.IFNA(INDEX(FieldDisagreements!C2:C999, MATCH(C829,FieldDisagreements!A2:A999, 0)), "")</f>
        <v>effortless-xlsx</v>
      </c>
      <c r="I829" s="3" t="str">
        <f>_xlfn.IFNA(INDEX(FieldDisagreements!D2:D999, MATCH(C829,FieldDisagreements!A2:A999, 0)), "")</f>
        <v>FieldGrants.FieldName</v>
      </c>
      <c r="J829" s="2" t="s">
        <v>1906</v>
      </c>
    </row>
    <row r="830">
      <c r="A830" s="2" t="s">
        <v>16051</v>
      </c>
      <c r="B830" s="3" t="str">
        <f>_xlfn.CONCAT(C830, " @ ", D830)</f>
        <v>effortless-xlsx|FieldGrants.FieldName @ fg-cfo-AuthorityBoundaries.ForbiddenDecisionKind</v>
      </c>
      <c r="C830" s="2" t="s">
        <v>14776</v>
      </c>
      <c r="D830" s="2" t="s">
        <v>10086</v>
      </c>
      <c r="E830" s="2" t="s">
        <v>16052</v>
      </c>
      <c r="F830" s="2" t="s">
        <v>15036</v>
      </c>
      <c r="G830" s="2" t="s">
        <v>14591</v>
      </c>
      <c r="H830" s="3" t="str">
        <f>_xlfn.IFNA(INDEX(FieldDisagreements!C2:C999, MATCH(C830,FieldDisagreements!A2:A999, 0)), "")</f>
        <v>effortless-xlsx</v>
      </c>
      <c r="I830" s="3" t="str">
        <f>_xlfn.IFNA(INDEX(FieldDisagreements!D2:D999, MATCH(C830,FieldDisagreements!A2:A999, 0)), "")</f>
        <v>FieldGrants.FieldName</v>
      </c>
      <c r="J830" s="2" t="s">
        <v>1906</v>
      </c>
    </row>
    <row r="831">
      <c r="A831" s="2" t="s">
        <v>16053</v>
      </c>
      <c r="B831" s="3" t="str">
        <f>_xlfn.CONCAT(C831, " @ ", D831)</f>
        <v>effortless-xlsx|FieldGrants.FieldName @ fg-cfo-AuthorityBoundaries.Name</v>
      </c>
      <c r="C831" s="2" t="s">
        <v>14776</v>
      </c>
      <c r="D831" s="2" t="s">
        <v>10090</v>
      </c>
      <c r="E831" s="2" t="s">
        <v>16054</v>
      </c>
      <c r="F831" s="2" t="s">
        <v>15036</v>
      </c>
      <c r="G831" s="2" t="s">
        <v>14591</v>
      </c>
      <c r="H831" s="3" t="str">
        <f>_xlfn.IFNA(INDEX(FieldDisagreements!C2:C999, MATCH(C831,FieldDisagreements!A2:A999, 0)), "")</f>
        <v>effortless-xlsx</v>
      </c>
      <c r="I831" s="3" t="str">
        <f>_xlfn.IFNA(INDEX(FieldDisagreements!D2:D999, MATCH(C831,FieldDisagreements!A2:A999, 0)), "")</f>
        <v>FieldGrants.FieldName</v>
      </c>
      <c r="J831" s="2" t="s">
        <v>1906</v>
      </c>
    </row>
    <row r="832">
      <c r="A832" s="2" t="s">
        <v>16055</v>
      </c>
      <c r="B832" s="3" t="str">
        <f>_xlfn.CONCAT(C832, " @ ", D832)</f>
        <v>effortless-xlsx|FieldGrants.FieldName @ fg-cfo-AuthorityBoundaries.Status</v>
      </c>
      <c r="C832" s="2" t="s">
        <v>14776</v>
      </c>
      <c r="D832" s="2" t="s">
        <v>10087</v>
      </c>
      <c r="E832" s="2" t="s">
        <v>16056</v>
      </c>
      <c r="F832" s="2" t="s">
        <v>15036</v>
      </c>
      <c r="G832" s="2" t="s">
        <v>14591</v>
      </c>
      <c r="H832" s="3" t="str">
        <f>_xlfn.IFNA(INDEX(FieldDisagreements!C2:C999, MATCH(C832,FieldDisagreements!A2:A999, 0)), "")</f>
        <v>effortless-xlsx</v>
      </c>
      <c r="I832" s="3" t="str">
        <f>_xlfn.IFNA(INDEX(FieldDisagreements!D2:D999, MATCH(C832,FieldDisagreements!A2:A999, 0)), "")</f>
        <v>FieldGrants.FieldName</v>
      </c>
      <c r="J832" s="2" t="s">
        <v>1906</v>
      </c>
    </row>
    <row r="833">
      <c r="A833" s="2" t="s">
        <v>16057</v>
      </c>
      <c r="B833" s="3" t="str">
        <f>_xlfn.CONCAT(C833, " @ ", D833)</f>
        <v>effortless-xlsx|FieldGrants.FieldName @ fg-cfo-AuthorityBoundaries.Step</v>
      </c>
      <c r="C833" s="2" t="s">
        <v>14776</v>
      </c>
      <c r="D833" s="2" t="s">
        <v>10089</v>
      </c>
      <c r="E833" s="2" t="s">
        <v>16058</v>
      </c>
      <c r="F833" s="2" t="s">
        <v>15036</v>
      </c>
      <c r="G833" s="2" t="s">
        <v>14591</v>
      </c>
      <c r="H833" s="3" t="str">
        <f>_xlfn.IFNA(INDEX(FieldDisagreements!C2:C999, MATCH(C833,FieldDisagreements!A2:A999, 0)), "")</f>
        <v>effortless-xlsx</v>
      </c>
      <c r="I833" s="3" t="str">
        <f>_xlfn.IFNA(INDEX(FieldDisagreements!D2:D999, MATCH(C833,FieldDisagreements!A2:A999, 0)), "")</f>
        <v>FieldGrants.FieldName</v>
      </c>
      <c r="J833" s="2" t="s">
        <v>1906</v>
      </c>
    </row>
    <row r="834">
      <c r="A834" s="2" t="s">
        <v>16059</v>
      </c>
      <c r="B834" s="3" t="str">
        <f>_xlfn.CONCAT(C834, " @ ", D834)</f>
        <v>effortless-xlsx|FieldGrants.FieldName @ fg-communications-manager-CommunicationPolicies.ApprovalRole</v>
      </c>
      <c r="C834" s="2" t="s">
        <v>14776</v>
      </c>
      <c r="D834" s="2" t="s">
        <v>10202</v>
      </c>
      <c r="E834" s="2" t="s">
        <v>16060</v>
      </c>
      <c r="F834" s="2" t="s">
        <v>15036</v>
      </c>
      <c r="G834" s="2" t="s">
        <v>14591</v>
      </c>
      <c r="H834" s="3" t="str">
        <f>_xlfn.IFNA(INDEX(FieldDisagreements!C2:C999, MATCH(C834,FieldDisagreements!A2:A999, 0)), "")</f>
        <v>effortless-xlsx</v>
      </c>
      <c r="I834" s="3" t="str">
        <f>_xlfn.IFNA(INDEX(FieldDisagreements!D2:D999, MATCH(C834,FieldDisagreements!A2:A999, 0)), "")</f>
        <v>FieldGrants.FieldName</v>
      </c>
      <c r="J834" s="2" t="s">
        <v>1906</v>
      </c>
    </row>
    <row r="835">
      <c r="A835" s="2" t="s">
        <v>16061</v>
      </c>
      <c r="B835" s="3" t="str">
        <f>_xlfn.CONCAT(C835, " @ ", D835)</f>
        <v>effortless-xlsx|FieldGrants.FieldName @ fg-communications-manager-CommunicationPolicies.AudienceRule</v>
      </c>
      <c r="C835" s="2" t="s">
        <v>14776</v>
      </c>
      <c r="D835" s="2" t="s">
        <v>10195</v>
      </c>
      <c r="E835" s="2" t="s">
        <v>16062</v>
      </c>
      <c r="F835" s="2" t="s">
        <v>15036</v>
      </c>
      <c r="G835" s="2" t="s">
        <v>14591</v>
      </c>
      <c r="H835" s="3" t="str">
        <f>_xlfn.IFNA(INDEX(FieldDisagreements!C2:C999, MATCH(C835,FieldDisagreements!A2:A999, 0)), "")</f>
        <v>effortless-xlsx</v>
      </c>
      <c r="I835" s="3" t="str">
        <f>_xlfn.IFNA(INDEX(FieldDisagreements!D2:D999, MATCH(C835,FieldDisagreements!A2:A999, 0)), "")</f>
        <v>FieldGrants.FieldName</v>
      </c>
      <c r="J835" s="2" t="s">
        <v>1906</v>
      </c>
    </row>
    <row r="836">
      <c r="A836" s="2" t="s">
        <v>16063</v>
      </c>
      <c r="B836" s="3" t="str">
        <f>_xlfn.CONCAT(C836, " @ ", D836)</f>
        <v>effortless-xlsx|FieldGrants.FieldName @ fg-communications-manager-CommunicationPolicies.AuthorityStatement</v>
      </c>
      <c r="C836" s="2" t="s">
        <v>14776</v>
      </c>
      <c r="D836" s="2" t="s">
        <v>10204</v>
      </c>
      <c r="E836" s="2" t="s">
        <v>16064</v>
      </c>
      <c r="F836" s="2" t="s">
        <v>15036</v>
      </c>
      <c r="G836" s="2" t="s">
        <v>14591</v>
      </c>
      <c r="H836" s="3" t="str">
        <f>_xlfn.IFNA(INDEX(FieldDisagreements!C2:C999, MATCH(C836,FieldDisagreements!A2:A999, 0)), "")</f>
        <v>effortless-xlsx</v>
      </c>
      <c r="I836" s="3" t="str">
        <f>_xlfn.IFNA(INDEX(FieldDisagreements!D2:D999, MATCH(C836,FieldDisagreements!A2:A999, 0)), "")</f>
        <v>FieldGrants.FieldName</v>
      </c>
      <c r="J836" s="2" t="s">
        <v>1906</v>
      </c>
    </row>
    <row r="837">
      <c r="A837" s="2" t="s">
        <v>16065</v>
      </c>
      <c r="B837" s="3" t="str">
        <f>_xlfn.CONCAT(C837, " @ ", D837)</f>
        <v>effortless-xlsx|FieldGrants.FieldName @ fg-communications-manager-CommunicationPolicies.Channel</v>
      </c>
      <c r="C837" s="2" t="s">
        <v>14776</v>
      </c>
      <c r="D837" s="2" t="s">
        <v>10194</v>
      </c>
      <c r="E837" s="2" t="s">
        <v>16066</v>
      </c>
      <c r="F837" s="2" t="s">
        <v>15036</v>
      </c>
      <c r="G837" s="2" t="s">
        <v>14591</v>
      </c>
      <c r="H837" s="3" t="str">
        <f>_xlfn.IFNA(INDEX(FieldDisagreements!C2:C999, MATCH(C837,FieldDisagreements!A2:A999, 0)), "")</f>
        <v>effortless-xlsx</v>
      </c>
      <c r="I837" s="3" t="str">
        <f>_xlfn.IFNA(INDEX(FieldDisagreements!D2:D999, MATCH(C837,FieldDisagreements!A2:A999, 0)), "")</f>
        <v>FieldGrants.FieldName</v>
      </c>
      <c r="J837" s="2" t="s">
        <v>1906</v>
      </c>
    </row>
    <row r="838">
      <c r="A838" s="2" t="s">
        <v>16067</v>
      </c>
      <c r="B838" s="3" t="str">
        <f>_xlfn.CONCAT(C838, " @ ", D838)</f>
        <v>effortless-xlsx|FieldGrants.FieldName @ fg-communications-manager-CommunicationPolicies.CommunicationPolicyId</v>
      </c>
      <c r="C838" s="2" t="s">
        <v>14776</v>
      </c>
      <c r="D838" s="2" t="s">
        <v>10191</v>
      </c>
      <c r="E838" s="2" t="s">
        <v>16068</v>
      </c>
      <c r="F838" s="2" t="s">
        <v>15036</v>
      </c>
      <c r="G838" s="2" t="s">
        <v>14591</v>
      </c>
      <c r="H838" s="3" t="str">
        <f>_xlfn.IFNA(INDEX(FieldDisagreements!C2:C999, MATCH(C838,FieldDisagreements!A2:A999, 0)), "")</f>
        <v>effortless-xlsx</v>
      </c>
      <c r="I838" s="3" t="str">
        <f>_xlfn.IFNA(INDEX(FieldDisagreements!D2:D999, MATCH(C838,FieldDisagreements!A2:A999, 0)), "")</f>
        <v>FieldGrants.FieldName</v>
      </c>
      <c r="J838" s="2" t="s">
        <v>1906</v>
      </c>
    </row>
    <row r="839">
      <c r="A839" s="2" t="s">
        <v>16069</v>
      </c>
      <c r="B839" s="3" t="str">
        <f>_xlfn.CONCAT(C839, " @ ", D839)</f>
        <v>effortless-xlsx|FieldGrants.FieldName @ fg-communications-manager-CommunicationPolicies.ConsentRequired</v>
      </c>
      <c r="C839" s="2" t="s">
        <v>14776</v>
      </c>
      <c r="D839" s="2" t="s">
        <v>10196</v>
      </c>
      <c r="E839" s="2" t="s">
        <v>16070</v>
      </c>
      <c r="F839" s="2" t="s">
        <v>15036</v>
      </c>
      <c r="G839" s="2" t="s">
        <v>14591</v>
      </c>
      <c r="H839" s="3" t="str">
        <f>_xlfn.IFNA(INDEX(FieldDisagreements!C2:C999, MATCH(C839,FieldDisagreements!A2:A999, 0)), "")</f>
        <v>effortless-xlsx</v>
      </c>
      <c r="I839" s="3" t="str">
        <f>_xlfn.IFNA(INDEX(FieldDisagreements!D2:D999, MATCH(C839,FieldDisagreements!A2:A999, 0)), "")</f>
        <v>FieldGrants.FieldName</v>
      </c>
      <c r="J839" s="2" t="s">
        <v>1906</v>
      </c>
    </row>
    <row r="840">
      <c r="A840" s="2" t="s">
        <v>16071</v>
      </c>
      <c r="B840" s="3" t="str">
        <f>_xlfn.CONCAT(C840, " @ ", D840)</f>
        <v>effortless-xlsx|FieldGrants.FieldName @ fg-communications-manager-CommunicationPolicies.ConsentViolationCount</v>
      </c>
      <c r="C840" s="2" t="s">
        <v>14776</v>
      </c>
      <c r="D840" s="2" t="s">
        <v>10206</v>
      </c>
      <c r="E840" s="2" t="s">
        <v>16072</v>
      </c>
      <c r="F840" s="2" t="s">
        <v>15036</v>
      </c>
      <c r="G840" s="2" t="s">
        <v>14591</v>
      </c>
      <c r="H840" s="3" t="str">
        <f>_xlfn.IFNA(INDEX(FieldDisagreements!C2:C999, MATCH(C840,FieldDisagreements!A2:A999, 0)), "")</f>
        <v>effortless-xlsx</v>
      </c>
      <c r="I840" s="3" t="str">
        <f>_xlfn.IFNA(INDEX(FieldDisagreements!D2:D999, MATCH(C840,FieldDisagreements!A2:A999, 0)), "")</f>
        <v>FieldGrants.FieldName</v>
      </c>
      <c r="J840" s="2" t="s">
        <v>1906</v>
      </c>
    </row>
    <row r="841">
      <c r="A841" s="2" t="s">
        <v>16073</v>
      </c>
      <c r="B841" s="3" t="str">
        <f>_xlfn.CONCAT(C841, " @ ", D841)</f>
        <v>effortless-xlsx|FieldGrants.FieldName @ fg-communications-manager-CommunicationPolicies.IsActivePolicy</v>
      </c>
      <c r="C841" s="2" t="s">
        <v>14776</v>
      </c>
      <c r="D841" s="2" t="s">
        <v>10211</v>
      </c>
      <c r="E841" s="2" t="s">
        <v>16074</v>
      </c>
      <c r="F841" s="2" t="s">
        <v>15036</v>
      </c>
      <c r="G841" s="2" t="s">
        <v>14591</v>
      </c>
      <c r="H841" s="3" t="str">
        <f>_xlfn.IFNA(INDEX(FieldDisagreements!C2:C999, MATCH(C841,FieldDisagreements!A2:A999, 0)), "")</f>
        <v>effortless-xlsx</v>
      </c>
      <c r="I841" s="3" t="str">
        <f>_xlfn.IFNA(INDEX(FieldDisagreements!D2:D999, MATCH(C841,FieldDisagreements!A2:A999, 0)), "")</f>
        <v>FieldGrants.FieldName</v>
      </c>
      <c r="J841" s="2" t="s">
        <v>1906</v>
      </c>
    </row>
    <row r="842">
      <c r="A842" s="2" t="s">
        <v>16075</v>
      </c>
      <c r="B842" s="3" t="str">
        <f>_xlfn.CONCAT(C842, " @ ", D842)</f>
        <v>effortless-xlsx|FieldGrants.FieldName @ fg-communications-manager-CommunicationPolicies.MaxMessageLength</v>
      </c>
      <c r="C842" s="2" t="s">
        <v>14776</v>
      </c>
      <c r="D842" s="2" t="s">
        <v>10199</v>
      </c>
      <c r="E842" s="2" t="s">
        <v>16076</v>
      </c>
      <c r="F842" s="2" t="s">
        <v>15036</v>
      </c>
      <c r="G842" s="2" t="s">
        <v>14591</v>
      </c>
      <c r="H842" s="3" t="str">
        <f>_xlfn.IFNA(INDEX(FieldDisagreements!C2:C999, MATCH(C842,FieldDisagreements!A2:A999, 0)), "")</f>
        <v>effortless-xlsx</v>
      </c>
      <c r="I842" s="3" t="str">
        <f>_xlfn.IFNA(INDEX(FieldDisagreements!D2:D999, MATCH(C842,FieldDisagreements!A2:A999, 0)), "")</f>
        <v>FieldGrants.FieldName</v>
      </c>
      <c r="J842" s="2" t="s">
        <v>1906</v>
      </c>
    </row>
    <row r="843">
      <c r="A843" s="2" t="s">
        <v>16077</v>
      </c>
      <c r="B843" s="3" t="str">
        <f>_xlfn.CONCAT(C843, " @ ", D843)</f>
        <v>effortless-xlsx|FieldGrants.FieldName @ fg-communications-manager-CommunicationPolicies.MaxSegments</v>
      </c>
      <c r="C843" s="2" t="s">
        <v>14776</v>
      </c>
      <c r="D843" s="2" t="s">
        <v>10200</v>
      </c>
      <c r="E843" s="2" t="s">
        <v>16078</v>
      </c>
      <c r="F843" s="2" t="s">
        <v>15036</v>
      </c>
      <c r="G843" s="2" t="s">
        <v>14591</v>
      </c>
      <c r="H843" s="3" t="str">
        <f>_xlfn.IFNA(INDEX(FieldDisagreements!C2:C999, MATCH(C843,FieldDisagreements!A2:A999, 0)), "")</f>
        <v>effortless-xlsx</v>
      </c>
      <c r="I843" s="3" t="str">
        <f>_xlfn.IFNA(INDEX(FieldDisagreements!D2:D999, MATCH(C843,FieldDisagreements!A2:A999, 0)), "")</f>
        <v>FieldGrants.FieldName</v>
      </c>
      <c r="J843" s="2" t="s">
        <v>1906</v>
      </c>
    </row>
    <row r="844">
      <c r="A844" s="2" t="s">
        <v>16079</v>
      </c>
      <c r="B844" s="3" t="str">
        <f>_xlfn.CONCAT(C844, " @ ", D844)</f>
        <v>effortless-xlsx|FieldGrants.FieldName @ fg-communications-manager-CommunicationPolicies.Name</v>
      </c>
      <c r="C844" s="2" t="s">
        <v>14776</v>
      </c>
      <c r="D844" s="2" t="s">
        <v>10192</v>
      </c>
      <c r="E844" s="2" t="s">
        <v>16054</v>
      </c>
      <c r="F844" s="2" t="s">
        <v>15036</v>
      </c>
      <c r="G844" s="2" t="s">
        <v>14591</v>
      </c>
      <c r="H844" s="3" t="str">
        <f>_xlfn.IFNA(INDEX(FieldDisagreements!C2:C999, MATCH(C844,FieldDisagreements!A2:A999, 0)), "")</f>
        <v>effortless-xlsx</v>
      </c>
      <c r="I844" s="3" t="str">
        <f>_xlfn.IFNA(INDEX(FieldDisagreements!D2:D999, MATCH(C844,FieldDisagreements!A2:A999, 0)), "")</f>
        <v>FieldGrants.FieldName</v>
      </c>
      <c r="J844" s="2" t="s">
        <v>1906</v>
      </c>
    </row>
    <row r="845">
      <c r="A845" s="2" t="s">
        <v>16080</v>
      </c>
      <c r="B845" s="3" t="str">
        <f>_xlfn.CONCAT(C845, " @ ", D845)</f>
        <v>effortless-xlsx|FieldGrants.FieldName @ fg-communications-manager-CommunicationPolicies.ProcedureVersion</v>
      </c>
      <c r="C845" s="2" t="s">
        <v>14776</v>
      </c>
      <c r="D845" s="2" t="s">
        <v>10193</v>
      </c>
      <c r="E845" s="2" t="s">
        <v>16081</v>
      </c>
      <c r="F845" s="2" t="s">
        <v>15036</v>
      </c>
      <c r="G845" s="2" t="s">
        <v>14591</v>
      </c>
      <c r="H845" s="3" t="str">
        <f>_xlfn.IFNA(INDEX(FieldDisagreements!C2:C999, MATCH(C845,FieldDisagreements!A2:A999, 0)), "")</f>
        <v>effortless-xlsx</v>
      </c>
      <c r="I845" s="3" t="str">
        <f>_xlfn.IFNA(INDEX(FieldDisagreements!D2:D999, MATCH(C845,FieldDisagreements!A2:A999, 0)), "")</f>
        <v>FieldGrants.FieldName</v>
      </c>
      <c r="J845" s="2" t="s">
        <v>1906</v>
      </c>
    </row>
    <row r="846">
      <c r="A846" s="2" t="s">
        <v>16082</v>
      </c>
      <c r="B846" s="3" t="str">
        <f>_xlfn.CONCAT(C846, " @ ", D846)</f>
        <v>effortless-xlsx|FieldGrants.FieldName @ fg-communications-manager-CommunicationPolicies.QuietHoursEnd</v>
      </c>
      <c r="C846" s="2" t="s">
        <v>14776</v>
      </c>
      <c r="D846" s="2" t="s">
        <v>10198</v>
      </c>
      <c r="E846" s="2" t="s">
        <v>16083</v>
      </c>
      <c r="F846" s="2" t="s">
        <v>15036</v>
      </c>
      <c r="G846" s="2" t="s">
        <v>14591</v>
      </c>
      <c r="H846" s="3" t="str">
        <f>_xlfn.IFNA(INDEX(FieldDisagreements!C2:C999, MATCH(C846,FieldDisagreements!A2:A999, 0)), "")</f>
        <v>effortless-xlsx</v>
      </c>
      <c r="I846" s="3" t="str">
        <f>_xlfn.IFNA(INDEX(FieldDisagreements!D2:D999, MATCH(C846,FieldDisagreements!A2:A999, 0)), "")</f>
        <v>FieldGrants.FieldName</v>
      </c>
      <c r="J846" s="2" t="s">
        <v>1906</v>
      </c>
    </row>
    <row r="847">
      <c r="A847" s="2" t="s">
        <v>16084</v>
      </c>
      <c r="B847" s="3" t="str">
        <f>_xlfn.CONCAT(C847, " @ ", D847)</f>
        <v>effortless-xlsx|FieldGrants.GrantKeyWhenReadable @ fg-cfo-AuthorityBoundaries.AuthorityBoundaryId</v>
      </c>
      <c r="C847" s="2" t="s">
        <v>14777</v>
      </c>
      <c r="D847" s="2" t="s">
        <v>10084</v>
      </c>
      <c r="E847" s="2" t="s">
        <v>16085</v>
      </c>
      <c r="F847" s="2" t="s">
        <v>16086</v>
      </c>
      <c r="G847" s="2" t="s">
        <v>14591</v>
      </c>
      <c r="H847" s="3" t="str">
        <f>_xlfn.IFNA(INDEX(FieldDisagreements!C2:C999, MATCH(C847,FieldDisagreements!A2:A999, 0)), "")</f>
        <v>effortless-xlsx</v>
      </c>
      <c r="I847" s="3" t="str">
        <f>_xlfn.IFNA(INDEX(FieldDisagreements!D2:D999, MATCH(C847,FieldDisagreements!A2:A999, 0)), "")</f>
        <v>FieldGrants.GrantKeyWhenReadable</v>
      </c>
      <c r="J847" s="2" t="s">
        <v>1906</v>
      </c>
    </row>
    <row r="848">
      <c r="A848" s="2" t="s">
        <v>16087</v>
      </c>
      <c r="B848" s="3" t="str">
        <f>_xlfn.CONCAT(C848, " @ ", D848)</f>
        <v>effortless-xlsx|FieldGrants.GrantKeyWhenReadable @ fg-cfo-AuthorityBoundaries.AuthorityRole</v>
      </c>
      <c r="C848" s="2" t="s">
        <v>14777</v>
      </c>
      <c r="D848" s="2" t="s">
        <v>10088</v>
      </c>
      <c r="E848" s="2" t="s">
        <v>16085</v>
      </c>
      <c r="F848" s="2" t="s">
        <v>16086</v>
      </c>
      <c r="G848" s="2" t="s">
        <v>14591</v>
      </c>
      <c r="H848" s="3" t="str">
        <f>_xlfn.IFNA(INDEX(FieldDisagreements!C2:C999, MATCH(C848,FieldDisagreements!A2:A999, 0)), "")</f>
        <v>effortless-xlsx</v>
      </c>
      <c r="I848" s="3" t="str">
        <f>_xlfn.IFNA(INDEX(FieldDisagreements!D2:D999, MATCH(C848,FieldDisagreements!A2:A999, 0)), "")</f>
        <v>FieldGrants.GrantKeyWhenReadable</v>
      </c>
      <c r="J848" s="2" t="s">
        <v>1906</v>
      </c>
    </row>
    <row r="849">
      <c r="A849" s="2" t="s">
        <v>16088</v>
      </c>
      <c r="B849" s="3" t="str">
        <f>_xlfn.CONCAT(C849, " @ ", D849)</f>
        <v>effortless-xlsx|FieldGrants.GrantKeyWhenReadable @ fg-cfo-AuthorityBoundaries.ForbiddenAgentKind</v>
      </c>
      <c r="C849" s="2" t="s">
        <v>14777</v>
      </c>
      <c r="D849" s="2" t="s">
        <v>10085</v>
      </c>
      <c r="E849" s="2" t="s">
        <v>16085</v>
      </c>
      <c r="F849" s="2" t="s">
        <v>16086</v>
      </c>
      <c r="G849" s="2" t="s">
        <v>14591</v>
      </c>
      <c r="H849" s="3" t="str">
        <f>_xlfn.IFNA(INDEX(FieldDisagreements!C2:C999, MATCH(C849,FieldDisagreements!A2:A999, 0)), "")</f>
        <v>effortless-xlsx</v>
      </c>
      <c r="I849" s="3" t="str">
        <f>_xlfn.IFNA(INDEX(FieldDisagreements!D2:D999, MATCH(C849,FieldDisagreements!A2:A999, 0)), "")</f>
        <v>FieldGrants.GrantKeyWhenReadable</v>
      </c>
      <c r="J849" s="2" t="s">
        <v>1906</v>
      </c>
    </row>
    <row r="850">
      <c r="A850" s="2" t="s">
        <v>16089</v>
      </c>
      <c r="B850" s="3" t="str">
        <f>_xlfn.CONCAT(C850, " @ ", D850)</f>
        <v>effortless-xlsx|FieldGrants.GrantKeyWhenReadable @ fg-cfo-AuthorityBoundaries.ForbiddenDecisionKind</v>
      </c>
      <c r="C850" s="2" t="s">
        <v>14777</v>
      </c>
      <c r="D850" s="2" t="s">
        <v>10086</v>
      </c>
      <c r="E850" s="2" t="s">
        <v>16085</v>
      </c>
      <c r="F850" s="2" t="s">
        <v>16086</v>
      </c>
      <c r="G850" s="2" t="s">
        <v>14591</v>
      </c>
      <c r="H850" s="3" t="str">
        <f>_xlfn.IFNA(INDEX(FieldDisagreements!C2:C999, MATCH(C850,FieldDisagreements!A2:A999, 0)), "")</f>
        <v>effortless-xlsx</v>
      </c>
      <c r="I850" s="3" t="str">
        <f>_xlfn.IFNA(INDEX(FieldDisagreements!D2:D999, MATCH(C850,FieldDisagreements!A2:A999, 0)), "")</f>
        <v>FieldGrants.GrantKeyWhenReadable</v>
      </c>
      <c r="J850" s="2" t="s">
        <v>1906</v>
      </c>
    </row>
    <row r="851">
      <c r="A851" s="2" t="s">
        <v>16090</v>
      </c>
      <c r="B851" s="3" t="str">
        <f>_xlfn.CONCAT(C851, " @ ", D851)</f>
        <v>effortless-xlsx|FieldGrants.GrantKeyWhenReadable @ fg-cfo-AuthorityBoundaries.Name</v>
      </c>
      <c r="C851" s="2" t="s">
        <v>14777</v>
      </c>
      <c r="D851" s="2" t="s">
        <v>10090</v>
      </c>
      <c r="E851" s="2" t="s">
        <v>16085</v>
      </c>
      <c r="F851" s="2" t="s">
        <v>16086</v>
      </c>
      <c r="G851" s="2" t="s">
        <v>14591</v>
      </c>
      <c r="H851" s="3" t="str">
        <f>_xlfn.IFNA(INDEX(FieldDisagreements!C2:C999, MATCH(C851,FieldDisagreements!A2:A999, 0)), "")</f>
        <v>effortless-xlsx</v>
      </c>
      <c r="I851" s="3" t="str">
        <f>_xlfn.IFNA(INDEX(FieldDisagreements!D2:D999, MATCH(C851,FieldDisagreements!A2:A999, 0)), "")</f>
        <v>FieldGrants.GrantKeyWhenReadable</v>
      </c>
      <c r="J851" s="2" t="s">
        <v>1906</v>
      </c>
    </row>
    <row r="852">
      <c r="A852" s="2" t="s">
        <v>16091</v>
      </c>
      <c r="B852" s="3" t="str">
        <f>_xlfn.CONCAT(C852, " @ ", D852)</f>
        <v>effortless-xlsx|FieldGrants.GrantKeyWhenReadable @ fg-cfo-AuthorityBoundaries.Status</v>
      </c>
      <c r="C852" s="2" t="s">
        <v>14777</v>
      </c>
      <c r="D852" s="2" t="s">
        <v>10087</v>
      </c>
      <c r="E852" s="2" t="s">
        <v>16085</v>
      </c>
      <c r="F852" s="2" t="s">
        <v>16086</v>
      </c>
      <c r="G852" s="2" t="s">
        <v>14591</v>
      </c>
      <c r="H852" s="3" t="str">
        <f>_xlfn.IFNA(INDEX(FieldDisagreements!C2:C999, MATCH(C852,FieldDisagreements!A2:A999, 0)), "")</f>
        <v>effortless-xlsx</v>
      </c>
      <c r="I852" s="3" t="str">
        <f>_xlfn.IFNA(INDEX(FieldDisagreements!D2:D999, MATCH(C852,FieldDisagreements!A2:A999, 0)), "")</f>
        <v>FieldGrants.GrantKeyWhenReadable</v>
      </c>
      <c r="J852" s="2" t="s">
        <v>1906</v>
      </c>
    </row>
    <row r="853">
      <c r="A853" s="2" t="s">
        <v>16092</v>
      </c>
      <c r="B853" s="3" t="str">
        <f>_xlfn.CONCAT(C853, " @ ", D853)</f>
        <v>effortless-xlsx|FieldGrants.GrantKeyWhenReadable @ fg-cfo-AuthorityBoundaries.Step</v>
      </c>
      <c r="C853" s="2" t="s">
        <v>14777</v>
      </c>
      <c r="D853" s="2" t="s">
        <v>10089</v>
      </c>
      <c r="E853" s="2" t="s">
        <v>16085</v>
      </c>
      <c r="F853" s="2" t="s">
        <v>16086</v>
      </c>
      <c r="G853" s="2" t="s">
        <v>14591</v>
      </c>
      <c r="H853" s="3" t="str">
        <f>_xlfn.IFNA(INDEX(FieldDisagreements!C2:C999, MATCH(C853,FieldDisagreements!A2:A999, 0)), "")</f>
        <v>effortless-xlsx</v>
      </c>
      <c r="I853" s="3" t="str">
        <f>_xlfn.IFNA(INDEX(FieldDisagreements!D2:D999, MATCH(C853,FieldDisagreements!A2:A999, 0)), "")</f>
        <v>FieldGrants.GrantKeyWhenReadable</v>
      </c>
      <c r="J853" s="2" t="s">
        <v>1906</v>
      </c>
    </row>
    <row r="854">
      <c r="A854" s="2" t="s">
        <v>16093</v>
      </c>
      <c r="B854" s="3" t="str">
        <f>_xlfn.CONCAT(C854, " @ ", D854)</f>
        <v>effortless-xlsx|FieldGrants.GrantKeyWhenReadable @ fg-communications-manager-CommunicationPolicies.ApprovalRole</v>
      </c>
      <c r="C854" s="2" t="s">
        <v>14777</v>
      </c>
      <c r="D854" s="2" t="s">
        <v>10202</v>
      </c>
      <c r="E854" s="2" t="s">
        <v>16094</v>
      </c>
      <c r="F854" s="2" t="s">
        <v>16095</v>
      </c>
      <c r="G854" s="2" t="s">
        <v>14591</v>
      </c>
      <c r="H854" s="3" t="str">
        <f>_xlfn.IFNA(INDEX(FieldDisagreements!C2:C999, MATCH(C854,FieldDisagreements!A2:A999, 0)), "")</f>
        <v>effortless-xlsx</v>
      </c>
      <c r="I854" s="3" t="str">
        <f>_xlfn.IFNA(INDEX(FieldDisagreements!D2:D999, MATCH(C854,FieldDisagreements!A2:A999, 0)), "")</f>
        <v>FieldGrants.GrantKeyWhenReadable</v>
      </c>
      <c r="J854" s="2" t="s">
        <v>1906</v>
      </c>
    </row>
    <row r="855">
      <c r="A855" s="2" t="s">
        <v>16096</v>
      </c>
      <c r="B855" s="3" t="str">
        <f>_xlfn.CONCAT(C855, " @ ", D855)</f>
        <v>effortless-xlsx|FieldGrants.GrantKeyWhenReadable @ fg-communications-manager-CommunicationPolicies.AudienceRule</v>
      </c>
      <c r="C855" s="2" t="s">
        <v>14777</v>
      </c>
      <c r="D855" s="2" t="s">
        <v>10195</v>
      </c>
      <c r="E855" s="2" t="s">
        <v>16094</v>
      </c>
      <c r="F855" s="2" t="s">
        <v>16095</v>
      </c>
      <c r="G855" s="2" t="s">
        <v>14591</v>
      </c>
      <c r="H855" s="3" t="str">
        <f>_xlfn.IFNA(INDEX(FieldDisagreements!C2:C999, MATCH(C855,FieldDisagreements!A2:A999, 0)), "")</f>
        <v>effortless-xlsx</v>
      </c>
      <c r="I855" s="3" t="str">
        <f>_xlfn.IFNA(INDEX(FieldDisagreements!D2:D999, MATCH(C855,FieldDisagreements!A2:A999, 0)), "")</f>
        <v>FieldGrants.GrantKeyWhenReadable</v>
      </c>
      <c r="J855" s="2" t="s">
        <v>1906</v>
      </c>
    </row>
    <row r="856">
      <c r="A856" s="2" t="s">
        <v>16097</v>
      </c>
      <c r="B856" s="3" t="str">
        <f>_xlfn.CONCAT(C856, " @ ", D856)</f>
        <v>effortless-xlsx|FieldGrants.GrantKeyWhenReadable @ fg-communications-manager-CommunicationPolicies.AuthorityStatement</v>
      </c>
      <c r="C856" s="2" t="s">
        <v>14777</v>
      </c>
      <c r="D856" s="2" t="s">
        <v>10204</v>
      </c>
      <c r="E856" s="2" t="s">
        <v>16094</v>
      </c>
      <c r="F856" s="2" t="s">
        <v>16095</v>
      </c>
      <c r="G856" s="2" t="s">
        <v>14591</v>
      </c>
      <c r="H856" s="3" t="str">
        <f>_xlfn.IFNA(INDEX(FieldDisagreements!C2:C999, MATCH(C856,FieldDisagreements!A2:A999, 0)), "")</f>
        <v>effortless-xlsx</v>
      </c>
      <c r="I856" s="3" t="str">
        <f>_xlfn.IFNA(INDEX(FieldDisagreements!D2:D999, MATCH(C856,FieldDisagreements!A2:A999, 0)), "")</f>
        <v>FieldGrants.GrantKeyWhenReadable</v>
      </c>
      <c r="J856" s="2" t="s">
        <v>1906</v>
      </c>
    </row>
    <row r="857">
      <c r="A857" s="2" t="s">
        <v>16098</v>
      </c>
      <c r="B857" s="3" t="str">
        <f>_xlfn.CONCAT(C857, " @ ", D857)</f>
        <v>effortless-xlsx|FieldGrants.GrantKeyWhenReadable @ fg-communications-manager-CommunicationPolicies.Channel</v>
      </c>
      <c r="C857" s="2" t="s">
        <v>14777</v>
      </c>
      <c r="D857" s="2" t="s">
        <v>10194</v>
      </c>
      <c r="E857" s="2" t="s">
        <v>16094</v>
      </c>
      <c r="F857" s="2" t="s">
        <v>16095</v>
      </c>
      <c r="G857" s="2" t="s">
        <v>14591</v>
      </c>
      <c r="H857" s="3" t="str">
        <f>_xlfn.IFNA(INDEX(FieldDisagreements!C2:C999, MATCH(C857,FieldDisagreements!A2:A999, 0)), "")</f>
        <v>effortless-xlsx</v>
      </c>
      <c r="I857" s="3" t="str">
        <f>_xlfn.IFNA(INDEX(FieldDisagreements!D2:D999, MATCH(C857,FieldDisagreements!A2:A999, 0)), "")</f>
        <v>FieldGrants.GrantKeyWhenReadable</v>
      </c>
      <c r="J857" s="2" t="s">
        <v>1906</v>
      </c>
    </row>
    <row r="858">
      <c r="A858" s="2" t="s">
        <v>16099</v>
      </c>
      <c r="B858" s="3" t="str">
        <f>_xlfn.CONCAT(C858, " @ ", D858)</f>
        <v>effortless-xlsx|FieldGrants.GrantKeyWhenReadable @ fg-communications-manager-CommunicationPolicies.CommunicationPolicyId</v>
      </c>
      <c r="C858" s="2" t="s">
        <v>14777</v>
      </c>
      <c r="D858" s="2" t="s">
        <v>10191</v>
      </c>
      <c r="E858" s="2" t="s">
        <v>16094</v>
      </c>
      <c r="F858" s="2" t="s">
        <v>16095</v>
      </c>
      <c r="G858" s="2" t="s">
        <v>14591</v>
      </c>
      <c r="H858" s="3" t="str">
        <f>_xlfn.IFNA(INDEX(FieldDisagreements!C2:C999, MATCH(C858,FieldDisagreements!A2:A999, 0)), "")</f>
        <v>effortless-xlsx</v>
      </c>
      <c r="I858" s="3" t="str">
        <f>_xlfn.IFNA(INDEX(FieldDisagreements!D2:D999, MATCH(C858,FieldDisagreements!A2:A999, 0)), "")</f>
        <v>FieldGrants.GrantKeyWhenReadable</v>
      </c>
      <c r="J858" s="2" t="s">
        <v>1906</v>
      </c>
    </row>
    <row r="859">
      <c r="A859" s="2" t="s">
        <v>16100</v>
      </c>
      <c r="B859" s="3" t="str">
        <f>_xlfn.CONCAT(C859, " @ ", D859)</f>
        <v>effortless-xlsx|FieldGrants.GrantKeyWhenReadable @ fg-communications-manager-CommunicationPolicies.ConsentRequired</v>
      </c>
      <c r="C859" s="2" t="s">
        <v>14777</v>
      </c>
      <c r="D859" s="2" t="s">
        <v>10196</v>
      </c>
      <c r="E859" s="2" t="s">
        <v>16094</v>
      </c>
      <c r="F859" s="2" t="s">
        <v>16095</v>
      </c>
      <c r="G859" s="2" t="s">
        <v>14591</v>
      </c>
      <c r="H859" s="3" t="str">
        <f>_xlfn.IFNA(INDEX(FieldDisagreements!C2:C999, MATCH(C859,FieldDisagreements!A2:A999, 0)), "")</f>
        <v>effortless-xlsx</v>
      </c>
      <c r="I859" s="3" t="str">
        <f>_xlfn.IFNA(INDEX(FieldDisagreements!D2:D999, MATCH(C859,FieldDisagreements!A2:A999, 0)), "")</f>
        <v>FieldGrants.GrantKeyWhenReadable</v>
      </c>
      <c r="J859" s="2" t="s">
        <v>1906</v>
      </c>
    </row>
    <row r="860">
      <c r="A860" s="2" t="s">
        <v>16101</v>
      </c>
      <c r="B860" s="3" t="str">
        <f>_xlfn.CONCAT(C860, " @ ", D860)</f>
        <v>effortless-xlsx|FieldGrants.GrantKeyWhenReadable @ fg-communications-manager-CommunicationPolicies.ConsentViolationCount</v>
      </c>
      <c r="C860" s="2" t="s">
        <v>14777</v>
      </c>
      <c r="D860" s="2" t="s">
        <v>10206</v>
      </c>
      <c r="E860" s="2" t="s">
        <v>16094</v>
      </c>
      <c r="F860" s="2" t="s">
        <v>16095</v>
      </c>
      <c r="G860" s="2" t="s">
        <v>14591</v>
      </c>
      <c r="H860" s="3" t="str">
        <f>_xlfn.IFNA(INDEX(FieldDisagreements!C2:C999, MATCH(C860,FieldDisagreements!A2:A999, 0)), "")</f>
        <v>effortless-xlsx</v>
      </c>
      <c r="I860" s="3" t="str">
        <f>_xlfn.IFNA(INDEX(FieldDisagreements!D2:D999, MATCH(C860,FieldDisagreements!A2:A999, 0)), "")</f>
        <v>FieldGrants.GrantKeyWhenReadable</v>
      </c>
      <c r="J860" s="2" t="s">
        <v>1906</v>
      </c>
    </row>
    <row r="861">
      <c r="A861" s="2" t="s">
        <v>16102</v>
      </c>
      <c r="B861" s="3" t="str">
        <f>_xlfn.CONCAT(C861, " @ ", D861)</f>
        <v>effortless-xlsx|FieldGrants.GrantKeyWhenReadable @ fg-communications-manager-CommunicationPolicies.IsActivePolicy</v>
      </c>
      <c r="C861" s="2" t="s">
        <v>14777</v>
      </c>
      <c r="D861" s="2" t="s">
        <v>10211</v>
      </c>
      <c r="E861" s="2" t="s">
        <v>16094</v>
      </c>
      <c r="F861" s="2" t="s">
        <v>16095</v>
      </c>
      <c r="G861" s="2" t="s">
        <v>14591</v>
      </c>
      <c r="H861" s="3" t="str">
        <f>_xlfn.IFNA(INDEX(FieldDisagreements!C2:C999, MATCH(C861,FieldDisagreements!A2:A999, 0)), "")</f>
        <v>effortless-xlsx</v>
      </c>
      <c r="I861" s="3" t="str">
        <f>_xlfn.IFNA(INDEX(FieldDisagreements!D2:D999, MATCH(C861,FieldDisagreements!A2:A999, 0)), "")</f>
        <v>FieldGrants.GrantKeyWhenReadable</v>
      </c>
      <c r="J861" s="2" t="s">
        <v>1906</v>
      </c>
    </row>
    <row r="862">
      <c r="A862" s="2" t="s">
        <v>16103</v>
      </c>
      <c r="B862" s="3" t="str">
        <f>_xlfn.CONCAT(C862, " @ ", D862)</f>
        <v>effortless-xlsx|FieldGrants.GrantKeyWhenReadable @ fg-communications-manager-CommunicationPolicies.MaxMessageLength</v>
      </c>
      <c r="C862" s="2" t="s">
        <v>14777</v>
      </c>
      <c r="D862" s="2" t="s">
        <v>10199</v>
      </c>
      <c r="E862" s="2" t="s">
        <v>16094</v>
      </c>
      <c r="F862" s="2" t="s">
        <v>16095</v>
      </c>
      <c r="G862" s="2" t="s">
        <v>14591</v>
      </c>
      <c r="H862" s="3" t="str">
        <f>_xlfn.IFNA(INDEX(FieldDisagreements!C2:C999, MATCH(C862,FieldDisagreements!A2:A999, 0)), "")</f>
        <v>effortless-xlsx</v>
      </c>
      <c r="I862" s="3" t="str">
        <f>_xlfn.IFNA(INDEX(FieldDisagreements!D2:D999, MATCH(C862,FieldDisagreements!A2:A999, 0)), "")</f>
        <v>FieldGrants.GrantKeyWhenReadable</v>
      </c>
      <c r="J862" s="2" t="s">
        <v>1906</v>
      </c>
    </row>
    <row r="863">
      <c r="A863" s="2" t="s">
        <v>16104</v>
      </c>
      <c r="B863" s="3" t="str">
        <f>_xlfn.CONCAT(C863, " @ ", D863)</f>
        <v>effortless-xlsx|FieldGrants.GrantKeyWhenReadable @ fg-communications-manager-CommunicationPolicies.MaxSegments</v>
      </c>
      <c r="C863" s="2" t="s">
        <v>14777</v>
      </c>
      <c r="D863" s="2" t="s">
        <v>10200</v>
      </c>
      <c r="E863" s="2" t="s">
        <v>16094</v>
      </c>
      <c r="F863" s="2" t="s">
        <v>16095</v>
      </c>
      <c r="G863" s="2" t="s">
        <v>14591</v>
      </c>
      <c r="H863" s="3" t="str">
        <f>_xlfn.IFNA(INDEX(FieldDisagreements!C2:C999, MATCH(C863,FieldDisagreements!A2:A999, 0)), "")</f>
        <v>effortless-xlsx</v>
      </c>
      <c r="I863" s="3" t="str">
        <f>_xlfn.IFNA(INDEX(FieldDisagreements!D2:D999, MATCH(C863,FieldDisagreements!A2:A999, 0)), "")</f>
        <v>FieldGrants.GrantKeyWhenReadable</v>
      </c>
      <c r="J863" s="2" t="s">
        <v>1906</v>
      </c>
    </row>
    <row r="864">
      <c r="A864" s="2" t="s">
        <v>16105</v>
      </c>
      <c r="B864" s="3" t="str">
        <f>_xlfn.CONCAT(C864, " @ ", D864)</f>
        <v>effortless-xlsx|FieldGrants.GrantKeyWhenReadable @ fg-communications-manager-CommunicationPolicies.Name</v>
      </c>
      <c r="C864" s="2" t="s">
        <v>14777</v>
      </c>
      <c r="D864" s="2" t="s">
        <v>10192</v>
      </c>
      <c r="E864" s="2" t="s">
        <v>16094</v>
      </c>
      <c r="F864" s="2" t="s">
        <v>16095</v>
      </c>
      <c r="G864" s="2" t="s">
        <v>14591</v>
      </c>
      <c r="H864" s="3" t="str">
        <f>_xlfn.IFNA(INDEX(FieldDisagreements!C2:C999, MATCH(C864,FieldDisagreements!A2:A999, 0)), "")</f>
        <v>effortless-xlsx</v>
      </c>
      <c r="I864" s="3" t="str">
        <f>_xlfn.IFNA(INDEX(FieldDisagreements!D2:D999, MATCH(C864,FieldDisagreements!A2:A999, 0)), "")</f>
        <v>FieldGrants.GrantKeyWhenReadable</v>
      </c>
      <c r="J864" s="2" t="s">
        <v>1906</v>
      </c>
    </row>
    <row r="865">
      <c r="A865" s="2" t="s">
        <v>16106</v>
      </c>
      <c r="B865" s="3" t="str">
        <f>_xlfn.CONCAT(C865, " @ ", D865)</f>
        <v>effortless-xlsx|FieldGrants.GrantKeyWhenReadable @ fg-communications-manager-CommunicationPolicies.ProcedureVersion</v>
      </c>
      <c r="C865" s="2" t="s">
        <v>14777</v>
      </c>
      <c r="D865" s="2" t="s">
        <v>10193</v>
      </c>
      <c r="E865" s="2" t="s">
        <v>16094</v>
      </c>
      <c r="F865" s="2" t="s">
        <v>16095</v>
      </c>
      <c r="G865" s="2" t="s">
        <v>14591</v>
      </c>
      <c r="H865" s="3" t="str">
        <f>_xlfn.IFNA(INDEX(FieldDisagreements!C2:C999, MATCH(C865,FieldDisagreements!A2:A999, 0)), "")</f>
        <v>effortless-xlsx</v>
      </c>
      <c r="I865" s="3" t="str">
        <f>_xlfn.IFNA(INDEX(FieldDisagreements!D2:D999, MATCH(C865,FieldDisagreements!A2:A999, 0)), "")</f>
        <v>FieldGrants.GrantKeyWhenReadable</v>
      </c>
      <c r="J865" s="2" t="s">
        <v>1906</v>
      </c>
    </row>
    <row r="866">
      <c r="A866" s="2" t="s">
        <v>16107</v>
      </c>
      <c r="B866" s="3" t="str">
        <f>_xlfn.CONCAT(C866, " @ ", D866)</f>
        <v>effortless-xlsx|FieldGrants.GrantKeyWhenReadable @ fg-communications-manager-CommunicationPolicies.QuietHoursEnd</v>
      </c>
      <c r="C866" s="2" t="s">
        <v>14777</v>
      </c>
      <c r="D866" s="2" t="s">
        <v>10198</v>
      </c>
      <c r="E866" s="2" t="s">
        <v>16094</v>
      </c>
      <c r="F866" s="2" t="s">
        <v>16095</v>
      </c>
      <c r="G866" s="2" t="s">
        <v>14591</v>
      </c>
      <c r="H866" s="3" t="str">
        <f>_xlfn.IFNA(INDEX(FieldDisagreements!C2:C999, MATCH(C866,FieldDisagreements!A2:A999, 0)), "")</f>
        <v>effortless-xlsx</v>
      </c>
      <c r="I866" s="3" t="str">
        <f>_xlfn.IFNA(INDEX(FieldDisagreements!D2:D999, MATCH(C866,FieldDisagreements!A2:A999, 0)), "")</f>
        <v>FieldGrants.GrantKeyWhenReadable</v>
      </c>
      <c r="J866" s="2" t="s">
        <v>1906</v>
      </c>
    </row>
    <row r="867">
      <c r="A867" s="2" t="s">
        <v>16108</v>
      </c>
      <c r="B867" s="3" t="str">
        <f>_xlfn.CONCAT(C867, " @ ", D867)</f>
        <v>effortless-xlsx|FieldGrants.FieldIsDerived @ fg-cfo-AuthorityBoundaries.Name</v>
      </c>
      <c r="C867" s="2" t="s">
        <v>14778</v>
      </c>
      <c r="D867" s="2" t="s">
        <v>10090</v>
      </c>
      <c r="E867" s="2" t="s">
        <v>15035</v>
      </c>
      <c r="F867" s="2" t="s">
        <v>15036</v>
      </c>
      <c r="G867" s="2" t="s">
        <v>14591</v>
      </c>
      <c r="H867" s="3" t="str">
        <f>_xlfn.IFNA(INDEX(FieldDisagreements!C2:C999, MATCH(C867,FieldDisagreements!A2:A999, 0)), "")</f>
        <v>effortless-xlsx</v>
      </c>
      <c r="I867" s="3" t="str">
        <f>_xlfn.IFNA(INDEX(FieldDisagreements!D2:D999, MATCH(C867,FieldDisagreements!A2:A999, 0)), "")</f>
        <v>FieldGrants.FieldIsDerived</v>
      </c>
      <c r="J867" s="2" t="s">
        <v>1906</v>
      </c>
    </row>
    <row r="868">
      <c r="A868" s="2" t="s">
        <v>16109</v>
      </c>
      <c r="B868" s="3" t="str">
        <f>_xlfn.CONCAT(C868, " @ ", D868)</f>
        <v>effortless-xlsx|FieldGrants.FieldIsDerived @ fg-communications-manager-CommunicationPolicies.ConsentViolationCount</v>
      </c>
      <c r="C868" s="2" t="s">
        <v>14778</v>
      </c>
      <c r="D868" s="2" t="s">
        <v>10206</v>
      </c>
      <c r="E868" s="2" t="s">
        <v>15035</v>
      </c>
      <c r="F868" s="2" t="s">
        <v>15036</v>
      </c>
      <c r="G868" s="2" t="s">
        <v>14591</v>
      </c>
      <c r="H868" s="3" t="str">
        <f>_xlfn.IFNA(INDEX(FieldDisagreements!C2:C999, MATCH(C868,FieldDisagreements!A2:A999, 0)), "")</f>
        <v>effortless-xlsx</v>
      </c>
      <c r="I868" s="3" t="str">
        <f>_xlfn.IFNA(INDEX(FieldDisagreements!D2:D999, MATCH(C868,FieldDisagreements!A2:A999, 0)), "")</f>
        <v>FieldGrants.FieldIsDerived</v>
      </c>
      <c r="J868" s="2" t="s">
        <v>1906</v>
      </c>
    </row>
    <row r="869">
      <c r="A869" s="2" t="s">
        <v>16110</v>
      </c>
      <c r="B869" s="3" t="str">
        <f>_xlfn.CONCAT(C869, " @ ", D869)</f>
        <v>effortless-xlsx|FieldGrants.FieldIsDerived @ fg-communications-manager-CommunicationPolicies.IsActivePolicy</v>
      </c>
      <c r="C869" s="2" t="s">
        <v>14778</v>
      </c>
      <c r="D869" s="2" t="s">
        <v>10211</v>
      </c>
      <c r="E869" s="2" t="s">
        <v>15035</v>
      </c>
      <c r="F869" s="2" t="s">
        <v>15036</v>
      </c>
      <c r="G869" s="2" t="s">
        <v>14591</v>
      </c>
      <c r="H869" s="3" t="str">
        <f>_xlfn.IFNA(INDEX(FieldDisagreements!C2:C999, MATCH(C869,FieldDisagreements!A2:A999, 0)), "")</f>
        <v>effortless-xlsx</v>
      </c>
      <c r="I869" s="3" t="str">
        <f>_xlfn.IFNA(INDEX(FieldDisagreements!D2:D999, MATCH(C869,FieldDisagreements!A2:A999, 0)), "")</f>
        <v>FieldGrants.FieldIsDerived</v>
      </c>
      <c r="J869" s="2" t="s">
        <v>1906</v>
      </c>
    </row>
    <row r="870">
      <c r="A870" s="2" t="s">
        <v>16111</v>
      </c>
      <c r="B870" s="3" t="str">
        <f>_xlfn.CONCAT(C870, " @ ", D870)</f>
        <v>effortless-xlsx|FieldGrants.FieldIsDerived @ fg-communications-manager-CommunicationPolicies.Name</v>
      </c>
      <c r="C870" s="2" t="s">
        <v>14778</v>
      </c>
      <c r="D870" s="2" t="s">
        <v>10192</v>
      </c>
      <c r="E870" s="2" t="s">
        <v>15035</v>
      </c>
      <c r="F870" s="2" t="s">
        <v>15036</v>
      </c>
      <c r="G870" s="2" t="s">
        <v>14591</v>
      </c>
      <c r="H870" s="3" t="str">
        <f>_xlfn.IFNA(INDEX(FieldDisagreements!C2:C999, MATCH(C870,FieldDisagreements!A2:A999, 0)), "")</f>
        <v>effortless-xlsx</v>
      </c>
      <c r="I870" s="3" t="str">
        <f>_xlfn.IFNA(INDEX(FieldDisagreements!D2:D999, MATCH(C870,FieldDisagreements!A2:A999, 0)), "")</f>
        <v>FieldGrants.FieldIsDerived</v>
      </c>
      <c r="J870" s="2" t="s">
        <v>1906</v>
      </c>
    </row>
    <row r="871">
      <c r="A871" s="2" t="s">
        <v>16112</v>
      </c>
      <c r="B871" s="3" t="str">
        <f>_xlfn.CONCAT(C871, " @ ", D871)</f>
        <v>effortless-xlsx|FieldGrants.FieldIsDerived @ fg-communications-manager-CommunicationPolicies.QuietHoursViolationCount</v>
      </c>
      <c r="C871" s="2" t="s">
        <v>14778</v>
      </c>
      <c r="D871" s="2" t="s">
        <v>10209</v>
      </c>
      <c r="E871" s="2" t="s">
        <v>15035</v>
      </c>
      <c r="F871" s="2" t="s">
        <v>15036</v>
      </c>
      <c r="G871" s="2" t="s">
        <v>14591</v>
      </c>
      <c r="H871" s="3" t="str">
        <f>_xlfn.IFNA(INDEX(FieldDisagreements!C2:C999, MATCH(C871,FieldDisagreements!A2:A999, 0)), "")</f>
        <v>effortless-xlsx</v>
      </c>
      <c r="I871" s="3" t="str">
        <f>_xlfn.IFNA(INDEX(FieldDisagreements!D2:D999, MATCH(C871,FieldDisagreements!A2:A999, 0)), "")</f>
        <v>FieldGrants.FieldIsDerived</v>
      </c>
      <c r="J871" s="2" t="s">
        <v>1906</v>
      </c>
    </row>
    <row r="872">
      <c r="A872" s="2" t="s">
        <v>16113</v>
      </c>
      <c r="B872" s="3" t="str">
        <f>_xlfn.CONCAT(C872, " @ ", D872)</f>
        <v>effortless-xlsx|FieldGrants.FieldIsDerived @ fg-communications-manager-MessageDeliveries.Name</v>
      </c>
      <c r="C872" s="2" t="s">
        <v>14778</v>
      </c>
      <c r="D872" s="2" t="s">
        <v>10234</v>
      </c>
      <c r="E872" s="2" t="s">
        <v>15035</v>
      </c>
      <c r="F872" s="2" t="s">
        <v>15036</v>
      </c>
      <c r="G872" s="2" t="s">
        <v>14591</v>
      </c>
      <c r="H872" s="3" t="str">
        <f>_xlfn.IFNA(INDEX(FieldDisagreements!C2:C999, MATCH(C872,FieldDisagreements!A2:A999, 0)), "")</f>
        <v>effortless-xlsx</v>
      </c>
      <c r="I872" s="3" t="str">
        <f>_xlfn.IFNA(INDEX(FieldDisagreements!D2:D999, MATCH(C872,FieldDisagreements!A2:A999, 0)), "")</f>
        <v>FieldGrants.FieldIsDerived</v>
      </c>
      <c r="J872" s="2" t="s">
        <v>1906</v>
      </c>
    </row>
    <row r="873">
      <c r="A873" s="2" t="s">
        <v>16114</v>
      </c>
      <c r="B873" s="3" t="str">
        <f>_xlfn.CONCAT(C873, " @ ", D873)</f>
        <v>effortless-xlsx|FieldGrants.FieldIsDerived @ fg-communications-manager-MessageTemplates.Name</v>
      </c>
      <c r="C873" s="2" t="s">
        <v>14778</v>
      </c>
      <c r="D873" s="2" t="s">
        <v>10219</v>
      </c>
      <c r="E873" s="2" t="s">
        <v>15035</v>
      </c>
      <c r="F873" s="2" t="s">
        <v>15036</v>
      </c>
      <c r="G873" s="2" t="s">
        <v>14591</v>
      </c>
      <c r="H873" s="3" t="str">
        <f>_xlfn.IFNA(INDEX(FieldDisagreements!C2:C999, MATCH(C873,FieldDisagreements!A2:A999, 0)), "")</f>
        <v>effortless-xlsx</v>
      </c>
      <c r="I873" s="3" t="str">
        <f>_xlfn.IFNA(INDEX(FieldDisagreements!D2:D999, MATCH(C873,FieldDisagreements!A2:A999, 0)), "")</f>
        <v>FieldGrants.FieldIsDerived</v>
      </c>
      <c r="J873" s="2" t="s">
        <v>1906</v>
      </c>
    </row>
    <row r="874">
      <c r="A874" s="2" t="s">
        <v>16115</v>
      </c>
      <c r="B874" s="3" t="str">
        <f>_xlfn.CONCAT(C874, " @ ", D874)</f>
        <v>effortless-xlsx|FieldGrants.FieldIsDerived @ fg-communications-manager-Recipients.Name</v>
      </c>
      <c r="C874" s="2" t="s">
        <v>14778</v>
      </c>
      <c r="D874" s="2" t="s">
        <v>10240</v>
      </c>
      <c r="E874" s="2" t="s">
        <v>15035</v>
      </c>
      <c r="F874" s="2" t="s">
        <v>15036</v>
      </c>
      <c r="G874" s="2" t="s">
        <v>14591</v>
      </c>
      <c r="H874" s="3" t="str">
        <f>_xlfn.IFNA(INDEX(FieldDisagreements!C2:C999, MATCH(C874,FieldDisagreements!A2:A999, 0)), "")</f>
        <v>effortless-xlsx</v>
      </c>
      <c r="I874" s="3" t="str">
        <f>_xlfn.IFNA(INDEX(FieldDisagreements!D2:D999, MATCH(C874,FieldDisagreements!A2:A999, 0)), "")</f>
        <v>FieldGrants.FieldIsDerived</v>
      </c>
      <c r="J874" s="2" t="s">
        <v>1906</v>
      </c>
    </row>
    <row r="875">
      <c r="A875" s="2" t="s">
        <v>16116</v>
      </c>
      <c r="B875" s="3" t="str">
        <f>_xlfn.CONCAT(C875, " @ ", D875)</f>
        <v>effortless-xlsx|FieldGrants.FieldIsDerived @ fg-communications-manager-SendIntents.Name</v>
      </c>
      <c r="C875" s="2" t="s">
        <v>14778</v>
      </c>
      <c r="D875" s="2" t="s">
        <v>10226</v>
      </c>
      <c r="E875" s="2" t="s">
        <v>15035</v>
      </c>
      <c r="F875" s="2" t="s">
        <v>15036</v>
      </c>
      <c r="G875" s="2" t="s">
        <v>14591</v>
      </c>
      <c r="H875" s="3" t="str">
        <f>_xlfn.IFNA(INDEX(FieldDisagreements!C2:C999, MATCH(C875,FieldDisagreements!A2:A999, 0)), "")</f>
        <v>effortless-xlsx</v>
      </c>
      <c r="I875" s="3" t="str">
        <f>_xlfn.IFNA(INDEX(FieldDisagreements!D2:D999, MATCH(C875,FieldDisagreements!A2:A999, 0)), "")</f>
        <v>FieldGrants.FieldIsDerived</v>
      </c>
      <c r="J875" s="2" t="s">
        <v>1906</v>
      </c>
    </row>
    <row r="876">
      <c r="A876" s="2" t="s">
        <v>16117</v>
      </c>
      <c r="B876" s="3" t="str">
        <f>_xlfn.CONCAT(C876, " @ ", D876)</f>
        <v>effortless-xlsx|FieldGrants.FieldIsDerived @ fg-employment-counsel-AuthorityBoundaries.Name</v>
      </c>
      <c r="C876" s="2" t="s">
        <v>14778</v>
      </c>
      <c r="D876" s="2" t="s">
        <v>10173</v>
      </c>
      <c r="E876" s="2" t="s">
        <v>15035</v>
      </c>
      <c r="F876" s="2" t="s">
        <v>15036</v>
      </c>
      <c r="G876" s="2" t="s">
        <v>14591</v>
      </c>
      <c r="H876" s="3" t="str">
        <f>_xlfn.IFNA(INDEX(FieldDisagreements!C2:C999, MATCH(C876,FieldDisagreements!A2:A999, 0)), "")</f>
        <v>effortless-xlsx</v>
      </c>
      <c r="I876" s="3" t="str">
        <f>_xlfn.IFNA(INDEX(FieldDisagreements!D2:D999, MATCH(C876,FieldDisagreements!A2:A999, 0)), "")</f>
        <v>FieldGrants.FieldIsDerived</v>
      </c>
      <c r="J876" s="2" t="s">
        <v>1906</v>
      </c>
    </row>
    <row r="877">
      <c r="A877" s="2" t="s">
        <v>16118</v>
      </c>
      <c r="B877" s="3" t="str">
        <f>_xlfn.CONCAT(C877, " @ ", D877)</f>
        <v>effortless-xlsx|FieldGrants.FieldIsDerived @ fg-employment-counsel-CommunicationPolicies.Name</v>
      </c>
      <c r="C877" s="2" t="s">
        <v>14778</v>
      </c>
      <c r="D877" s="2" t="s">
        <v>10181</v>
      </c>
      <c r="E877" s="2" t="s">
        <v>15035</v>
      </c>
      <c r="F877" s="2" t="s">
        <v>15036</v>
      </c>
      <c r="G877" s="2" t="s">
        <v>14591</v>
      </c>
      <c r="H877" s="3" t="str">
        <f>_xlfn.IFNA(INDEX(FieldDisagreements!C2:C999, MATCH(C877,FieldDisagreements!A2:A999, 0)), "")</f>
        <v>effortless-xlsx</v>
      </c>
      <c r="I877" s="3" t="str">
        <f>_xlfn.IFNA(INDEX(FieldDisagreements!D2:D999, MATCH(C877,FieldDisagreements!A2:A999, 0)), "")</f>
        <v>FieldGrants.FieldIsDerived</v>
      </c>
      <c r="J877" s="2" t="s">
        <v>1906</v>
      </c>
    </row>
    <row r="878">
      <c r="A878" s="2" t="s">
        <v>16119</v>
      </c>
      <c r="B878" s="3" t="str">
        <f>_xlfn.CONCAT(C878, " @ ", D878)</f>
        <v>effortless-xlsx|FieldGrants.FieldIsDerived @ fg-hr-policy-owner-MessageTemplates.Name</v>
      </c>
      <c r="C878" s="2" t="s">
        <v>14778</v>
      </c>
      <c r="D878" s="2" t="s">
        <v>10150</v>
      </c>
      <c r="E878" s="2" t="s">
        <v>15035</v>
      </c>
      <c r="F878" s="2" t="s">
        <v>15036</v>
      </c>
      <c r="G878" s="2" t="s">
        <v>14591</v>
      </c>
      <c r="H878" s="3" t="str">
        <f>_xlfn.IFNA(INDEX(FieldDisagreements!C2:C999, MATCH(C878,FieldDisagreements!A2:A999, 0)), "")</f>
        <v>effortless-xlsx</v>
      </c>
      <c r="I878" s="3" t="str">
        <f>_xlfn.IFNA(INDEX(FieldDisagreements!D2:D999, MATCH(C878,FieldDisagreements!A2:A999, 0)), "")</f>
        <v>FieldGrants.FieldIsDerived</v>
      </c>
      <c r="J878" s="2" t="s">
        <v>1906</v>
      </c>
    </row>
    <row r="879">
      <c r="A879" s="2" t="s">
        <v>16120</v>
      </c>
      <c r="B879" s="3" t="str">
        <f>_xlfn.CONCAT(C879, " @ ", D879)</f>
        <v>effortless-xlsx|FieldGrants.FieldIsDerived @ fg-knowledge-authority-AgentDecisionRecords.AgentWhenBoundaryViolated</v>
      </c>
      <c r="C879" s="2" t="s">
        <v>14778</v>
      </c>
      <c r="D879" s="2" t="s">
        <v>11942</v>
      </c>
      <c r="E879" s="2" t="s">
        <v>15035</v>
      </c>
      <c r="F879" s="2" t="s">
        <v>15036</v>
      </c>
      <c r="G879" s="2" t="s">
        <v>14591</v>
      </c>
      <c r="H879" s="3" t="str">
        <f>_xlfn.IFNA(INDEX(FieldDisagreements!C2:C999, MATCH(C879,FieldDisagreements!A2:A999, 0)), "")</f>
        <v>effortless-xlsx</v>
      </c>
      <c r="I879" s="3" t="str">
        <f>_xlfn.IFNA(INDEX(FieldDisagreements!D2:D999, MATCH(C879,FieldDisagreements!A2:A999, 0)), "")</f>
        <v>FieldGrants.FieldIsDerived</v>
      </c>
      <c r="J879" s="2" t="s">
        <v>1906</v>
      </c>
    </row>
    <row r="880">
      <c r="A880" s="2" t="s">
        <v>16121</v>
      </c>
      <c r="B880" s="3" t="str">
        <f>_xlfn.CONCAT(C880, " @ ", D880)</f>
        <v>effortless-xlsx|FieldGrants.FieldIsDerived @ fg-knowledge-authority-AgentDecisionRecords.AgentWhenDraft</v>
      </c>
      <c r="C880" s="2" t="s">
        <v>14778</v>
      </c>
      <c r="D880" s="2" t="s">
        <v>11946</v>
      </c>
      <c r="E880" s="2" t="s">
        <v>15035</v>
      </c>
      <c r="F880" s="2" t="s">
        <v>15036</v>
      </c>
      <c r="G880" s="2" t="s">
        <v>14591</v>
      </c>
      <c r="H880" s="3" t="str">
        <f>_xlfn.IFNA(INDEX(FieldDisagreements!C2:C999, MATCH(C880,FieldDisagreements!A2:A999, 0)), "")</f>
        <v>effortless-xlsx</v>
      </c>
      <c r="I880" s="3" t="str">
        <f>_xlfn.IFNA(INDEX(FieldDisagreements!D2:D999, MATCH(C880,FieldDisagreements!A2:A999, 0)), "")</f>
        <v>FieldGrants.FieldIsDerived</v>
      </c>
      <c r="J880" s="2" t="s">
        <v>1906</v>
      </c>
    </row>
    <row r="881">
      <c r="A881" s="2" t="s">
        <v>16122</v>
      </c>
      <c r="B881" s="3" t="str">
        <f>_xlfn.CONCAT(C881, " @ ", D881)</f>
        <v>effortless-xlsx|FieldGrants.FieldIsDerived @ fg-knowledge-authority-AgentDecisionRecords.AgentWhenDraftOverridden</v>
      </c>
      <c r="C881" s="2" t="s">
        <v>14778</v>
      </c>
      <c r="D881" s="2" t="s">
        <v>11945</v>
      </c>
      <c r="E881" s="2" t="s">
        <v>15035</v>
      </c>
      <c r="F881" s="2" t="s">
        <v>15036</v>
      </c>
      <c r="G881" s="2" t="s">
        <v>14591</v>
      </c>
      <c r="H881" s="3" t="str">
        <f>_xlfn.IFNA(INDEX(FieldDisagreements!C2:C999, MATCH(C881,FieldDisagreements!A2:A999, 0)), "")</f>
        <v>effortless-xlsx</v>
      </c>
      <c r="I881" s="3" t="str">
        <f>_xlfn.IFNA(INDEX(FieldDisagreements!D2:D999, MATCH(C881,FieldDisagreements!A2:A999, 0)), "")</f>
        <v>FieldGrants.FieldIsDerived</v>
      </c>
      <c r="J881" s="2" t="s">
        <v>1906</v>
      </c>
    </row>
    <row r="882">
      <c r="A882" s="2" t="s">
        <v>16123</v>
      </c>
      <c r="B882" s="3" t="str">
        <f>_xlfn.CONCAT(C882, " @ ", D882)</f>
        <v>effortless-xlsx|FieldGrants.FieldIsDerived @ fg-knowledge-authority-AgentDecisionRecords.BoundaryMatchKey</v>
      </c>
      <c r="C882" s="2" t="s">
        <v>14778</v>
      </c>
      <c r="D882" s="2" t="s">
        <v>11934</v>
      </c>
      <c r="E882" s="2" t="s">
        <v>15035</v>
      </c>
      <c r="F882" s="2" t="s">
        <v>15036</v>
      </c>
      <c r="G882" s="2" t="s">
        <v>14591</v>
      </c>
      <c r="H882" s="3" t="str">
        <f>_xlfn.IFNA(INDEX(FieldDisagreements!C2:C999, MATCH(C882,FieldDisagreements!A2:A999, 0)), "")</f>
        <v>effortless-xlsx</v>
      </c>
      <c r="I882" s="3" t="str">
        <f>_xlfn.IFNA(INDEX(FieldDisagreements!D2:D999, MATCH(C882,FieldDisagreements!A2:A999, 0)), "")</f>
        <v>FieldGrants.FieldIsDerived</v>
      </c>
      <c r="J882" s="2" t="s">
        <v>1906</v>
      </c>
    </row>
    <row r="883">
      <c r="A883" s="2" t="s">
        <v>16124</v>
      </c>
      <c r="B883" s="3" t="str">
        <f>_xlfn.CONCAT(C883, " @ ", D883)</f>
        <v>effortless-xlsx|FieldGrants.FieldIsDerived @ fg-knowledge-authority-AgentDecisionRecords.BoundaryViolationRoleAssignmentKey</v>
      </c>
      <c r="C883" s="2" t="s">
        <v>14778</v>
      </c>
      <c r="D883" s="2" t="s">
        <v>11953</v>
      </c>
      <c r="E883" s="2" t="s">
        <v>15035</v>
      </c>
      <c r="F883" s="2" t="s">
        <v>15036</v>
      </c>
      <c r="G883" s="2" t="s">
        <v>14591</v>
      </c>
      <c r="H883" s="3" t="str">
        <f>_xlfn.IFNA(INDEX(FieldDisagreements!C2:C999, MATCH(C883,FieldDisagreements!A2:A999, 0)), "")</f>
        <v>effortless-xlsx</v>
      </c>
      <c r="I883" s="3" t="str">
        <f>_xlfn.IFNA(INDEX(FieldDisagreements!D2:D999, MATCH(C883,FieldDisagreements!A2:A999, 0)), "")</f>
        <v>FieldGrants.FieldIsDerived</v>
      </c>
      <c r="J883" s="2" t="s">
        <v>1906</v>
      </c>
    </row>
    <row r="884">
      <c r="A884" s="2" t="s">
        <v>16125</v>
      </c>
      <c r="B884" s="3" t="str">
        <f>_xlfn.CONCAT(C884, " @ ", D884)</f>
        <v>effortless-xlsx|FieldGrants.FieldIsDerived @ fg-knowledge-authority-AgentDecisionRecords.DecidingAgentKind</v>
      </c>
      <c r="C884" s="2" t="s">
        <v>14778</v>
      </c>
      <c r="D884" s="2" t="s">
        <v>11928</v>
      </c>
      <c r="E884" s="2" t="s">
        <v>15035</v>
      </c>
      <c r="F884" s="2" t="s">
        <v>15036</v>
      </c>
      <c r="G884" s="2" t="s">
        <v>14591</v>
      </c>
      <c r="H884" s="3" t="str">
        <f>_xlfn.IFNA(INDEX(FieldDisagreements!C2:C999, MATCH(C884,FieldDisagreements!A2:A999, 0)), "")</f>
        <v>effortless-xlsx</v>
      </c>
      <c r="I884" s="3" t="str">
        <f>_xlfn.IFNA(INDEX(FieldDisagreements!D2:D999, MATCH(C884,FieldDisagreements!A2:A999, 0)), "")</f>
        <v>FieldGrants.FieldIsDerived</v>
      </c>
      <c r="J884" s="2" t="s">
        <v>1906</v>
      </c>
    </row>
    <row r="885">
      <c r="A885" s="2" t="s">
        <v>16126</v>
      </c>
      <c r="B885" s="3" t="str">
        <f>_xlfn.CONCAT(C885, " @ ", D885)</f>
        <v>effortless-xlsx|FieldGrants.FieldIsDerived @ fg-knowledge-authority-AgentDecisionRecords.DecidingAgentWhenOverridden</v>
      </c>
      <c r="C885" s="2" t="s">
        <v>14778</v>
      </c>
      <c r="D885" s="2" t="s">
        <v>11929</v>
      </c>
      <c r="E885" s="2" t="s">
        <v>15035</v>
      </c>
      <c r="F885" s="2" t="s">
        <v>15036</v>
      </c>
      <c r="G885" s="2" t="s">
        <v>14591</v>
      </c>
      <c r="H885" s="3" t="str">
        <f>_xlfn.IFNA(INDEX(FieldDisagreements!C2:C999, MATCH(C885,FieldDisagreements!A2:A999, 0)), "")</f>
        <v>effortless-xlsx</v>
      </c>
      <c r="I885" s="3" t="str">
        <f>_xlfn.IFNA(INDEX(FieldDisagreements!D2:D999, MATCH(C885,FieldDisagreements!A2:A999, 0)), "")</f>
        <v>FieldGrants.FieldIsDerived</v>
      </c>
      <c r="J885" s="2" t="s">
        <v>1906</v>
      </c>
    </row>
    <row r="886">
      <c r="A886" s="2" t="s">
        <v>16127</v>
      </c>
      <c r="B886" s="3" t="str">
        <f>_xlfn.CONCAT(C886, " @ ", D886)</f>
        <v>effortless-xlsx|FieldGrants.FieldIsDerived @ fg-knowledge-authority-AgentDecisionRecords.ErrorCorrectionRoleAssignmentKey</v>
      </c>
      <c r="C886" s="2" t="s">
        <v>14778</v>
      </c>
      <c r="D886" s="2" t="s">
        <v>11952</v>
      </c>
      <c r="E886" s="2" t="s">
        <v>15035</v>
      </c>
      <c r="F886" s="2" t="s">
        <v>15036</v>
      </c>
      <c r="G886" s="2" t="s">
        <v>14591</v>
      </c>
      <c r="H886" s="3" t="str">
        <f>_xlfn.IFNA(INDEX(FieldDisagreements!C2:C999, MATCH(C886,FieldDisagreements!A2:A999, 0)), "")</f>
        <v>effortless-xlsx</v>
      </c>
      <c r="I886" s="3" t="str">
        <f>_xlfn.IFNA(INDEX(FieldDisagreements!D2:D999, MATCH(C886,FieldDisagreements!A2:A999, 0)), "")</f>
        <v>FieldGrants.FieldIsDerived</v>
      </c>
      <c r="J886" s="2" t="s">
        <v>1906</v>
      </c>
    </row>
    <row r="887">
      <c r="A887" s="2" t="s">
        <v>16128</v>
      </c>
      <c r="B887" s="3" t="str">
        <f>_xlfn.CONCAT(C887, " @ ", D887)</f>
        <v>effortless-xlsx|RoleSchemaViews.ColumnCount @ rsv-cfo-authority_boundaries</v>
      </c>
      <c r="C887" s="2" t="s">
        <v>14779</v>
      </c>
      <c r="D887" s="2" t="s">
        <v>13609</v>
      </c>
      <c r="E887" s="2" t="s">
        <v>15756</v>
      </c>
      <c r="F887" s="2" t="s">
        <v>935</v>
      </c>
      <c r="G887" s="2" t="s">
        <v>14591</v>
      </c>
      <c r="H887" s="3" t="str">
        <f>_xlfn.IFNA(INDEX(FieldDisagreements!C2:C999, MATCH(C887,FieldDisagreements!A2:A999, 0)), "")</f>
        <v>effortless-xlsx</v>
      </c>
      <c r="I887" s="3" t="str">
        <f>_xlfn.IFNA(INDEX(FieldDisagreements!D2:D999, MATCH(C887,FieldDisagreements!A2:A999, 0)), "")</f>
        <v>RoleSchemaViews.ColumnCount</v>
      </c>
      <c r="J887" s="2" t="s">
        <v>1906</v>
      </c>
    </row>
    <row r="888">
      <c r="A888" s="2" t="s">
        <v>16129</v>
      </c>
      <c r="B888" s="3" t="str">
        <f>_xlfn.CONCAT(C888, " @ ", D888)</f>
        <v>effortless-xlsx|RoleSchemaViews.ColumnCount @ rsv-communications-manager-communication_policies</v>
      </c>
      <c r="C888" s="2" t="s">
        <v>14779</v>
      </c>
      <c r="D888" s="2" t="s">
        <v>13622</v>
      </c>
      <c r="E888" s="2" t="s">
        <v>15195</v>
      </c>
      <c r="F888" s="2" t="s">
        <v>935</v>
      </c>
      <c r="G888" s="2" t="s">
        <v>14591</v>
      </c>
      <c r="H888" s="3" t="str">
        <f>_xlfn.IFNA(INDEX(FieldDisagreements!C2:C999, MATCH(C888,FieldDisagreements!A2:A999, 0)), "")</f>
        <v>effortless-xlsx</v>
      </c>
      <c r="I888" s="3" t="str">
        <f>_xlfn.IFNA(INDEX(FieldDisagreements!D2:D999, MATCH(C888,FieldDisagreements!A2:A999, 0)), "")</f>
        <v>RoleSchemaViews.ColumnCount</v>
      </c>
      <c r="J888" s="2" t="s">
        <v>1906</v>
      </c>
    </row>
    <row r="889">
      <c r="A889" s="2" t="s">
        <v>16130</v>
      </c>
      <c r="B889" s="3" t="str">
        <f>_xlfn.CONCAT(C889, " @ ", D889)</f>
        <v>effortless-xlsx|RoleSchemaViews.ColumnCount @ rsv-communications-manager-message_deliveries</v>
      </c>
      <c r="C889" s="2" t="s">
        <v>14779</v>
      </c>
      <c r="D889" s="2" t="s">
        <v>13625</v>
      </c>
      <c r="E889" s="2" t="s">
        <v>15758</v>
      </c>
      <c r="F889" s="2" t="s">
        <v>935</v>
      </c>
      <c r="G889" s="2" t="s">
        <v>14591</v>
      </c>
      <c r="H889" s="3" t="str">
        <f>_xlfn.IFNA(INDEX(FieldDisagreements!C2:C999, MATCH(C889,FieldDisagreements!A2:A999, 0)), "")</f>
        <v>effortless-xlsx</v>
      </c>
      <c r="I889" s="3" t="str">
        <f>_xlfn.IFNA(INDEX(FieldDisagreements!D2:D999, MATCH(C889,FieldDisagreements!A2:A999, 0)), "")</f>
        <v>RoleSchemaViews.ColumnCount</v>
      </c>
      <c r="J889" s="2" t="s">
        <v>1906</v>
      </c>
    </row>
    <row r="890">
      <c r="A890" s="2" t="s">
        <v>16131</v>
      </c>
      <c r="B890" s="3" t="str">
        <f>_xlfn.CONCAT(C890, " @ ", D890)</f>
        <v>effortless-xlsx|RoleSchemaViews.ColumnCount @ rsv-communications-manager-message_templates</v>
      </c>
      <c r="C890" s="2" t="s">
        <v>14779</v>
      </c>
      <c r="D890" s="2" t="s">
        <v>13623</v>
      </c>
      <c r="E890" s="2" t="s">
        <v>15756</v>
      </c>
      <c r="F890" s="2" t="s">
        <v>935</v>
      </c>
      <c r="G890" s="2" t="s">
        <v>14591</v>
      </c>
      <c r="H890" s="3" t="str">
        <f>_xlfn.IFNA(INDEX(FieldDisagreements!C2:C999, MATCH(C890,FieldDisagreements!A2:A999, 0)), "")</f>
        <v>effortless-xlsx</v>
      </c>
      <c r="I890" s="3" t="str">
        <f>_xlfn.IFNA(INDEX(FieldDisagreements!D2:D999, MATCH(C890,FieldDisagreements!A2:A999, 0)), "")</f>
        <v>RoleSchemaViews.ColumnCount</v>
      </c>
      <c r="J890" s="2" t="s">
        <v>1906</v>
      </c>
    </row>
    <row r="891">
      <c r="A891" s="2" t="s">
        <v>16132</v>
      </c>
      <c r="B891" s="3" t="str">
        <f>_xlfn.CONCAT(C891, " @ ", D891)</f>
        <v>effortless-xlsx|RoleSchemaViews.ColumnCount @ rsv-communications-manager-recipients</v>
      </c>
      <c r="C891" s="2" t="s">
        <v>14779</v>
      </c>
      <c r="D891" s="2" t="s">
        <v>13626</v>
      </c>
      <c r="E891" s="2" t="s">
        <v>16015</v>
      </c>
      <c r="F891" s="2" t="s">
        <v>935</v>
      </c>
      <c r="G891" s="2" t="s">
        <v>14591</v>
      </c>
      <c r="H891" s="3" t="str">
        <f>_xlfn.IFNA(INDEX(FieldDisagreements!C2:C999, MATCH(C891,FieldDisagreements!A2:A999, 0)), "")</f>
        <v>effortless-xlsx</v>
      </c>
      <c r="I891" s="3" t="str">
        <f>_xlfn.IFNA(INDEX(FieldDisagreements!D2:D999, MATCH(C891,FieldDisagreements!A2:A999, 0)), "")</f>
        <v>RoleSchemaViews.ColumnCount</v>
      </c>
      <c r="J891" s="2" t="s">
        <v>1906</v>
      </c>
    </row>
    <row r="892">
      <c r="A892" s="2" t="s">
        <v>16133</v>
      </c>
      <c r="B892" s="3" t="str">
        <f>_xlfn.CONCAT(C892, " @ ", D892)</f>
        <v>effortless-xlsx|RoleSchemaViews.ColumnCount @ rsv-communications-manager-send_intents</v>
      </c>
      <c r="C892" s="2" t="s">
        <v>14779</v>
      </c>
      <c r="D892" s="2" t="s">
        <v>13624</v>
      </c>
      <c r="E892" s="2" t="s">
        <v>15756</v>
      </c>
      <c r="F892" s="2" t="s">
        <v>935</v>
      </c>
      <c r="G892" s="2" t="s">
        <v>14591</v>
      </c>
      <c r="H892" s="3" t="str">
        <f>_xlfn.IFNA(INDEX(FieldDisagreements!C2:C999, MATCH(C892,FieldDisagreements!A2:A999, 0)), "")</f>
        <v>effortless-xlsx</v>
      </c>
      <c r="I892" s="3" t="str">
        <f>_xlfn.IFNA(INDEX(FieldDisagreements!D2:D999, MATCH(C892,FieldDisagreements!A2:A999, 0)), "")</f>
        <v>RoleSchemaViews.ColumnCount</v>
      </c>
      <c r="J892" s="2" t="s">
        <v>1906</v>
      </c>
    </row>
    <row r="893">
      <c r="A893" s="2" t="s">
        <v>16134</v>
      </c>
      <c r="B893" s="3" t="str">
        <f>_xlfn.CONCAT(C893, " @ ", D893)</f>
        <v>effortless-xlsx|RoleSchemaViews.ColumnCount @ rsv-employment-counsel-authority_boundaries</v>
      </c>
      <c r="C893" s="2" t="s">
        <v>14779</v>
      </c>
      <c r="D893" s="2" t="s">
        <v>13619</v>
      </c>
      <c r="E893" s="2" t="s">
        <v>16015</v>
      </c>
      <c r="F893" s="2" t="s">
        <v>935</v>
      </c>
      <c r="G893" s="2" t="s">
        <v>14591</v>
      </c>
      <c r="H893" s="3" t="str">
        <f>_xlfn.IFNA(INDEX(FieldDisagreements!C2:C999, MATCH(C893,FieldDisagreements!A2:A999, 0)), "")</f>
        <v>effortless-xlsx</v>
      </c>
      <c r="I893" s="3" t="str">
        <f>_xlfn.IFNA(INDEX(FieldDisagreements!D2:D999, MATCH(C893,FieldDisagreements!A2:A999, 0)), "")</f>
        <v>RoleSchemaViews.ColumnCount</v>
      </c>
      <c r="J893" s="2" t="s">
        <v>1906</v>
      </c>
    </row>
    <row r="894">
      <c r="A894" s="2" t="s">
        <v>16135</v>
      </c>
      <c r="B894" s="3" t="str">
        <f>_xlfn.CONCAT(C894, " @ ", D894)</f>
        <v>effortless-xlsx|RoleSchemaViews.ColumnCount @ rsv-employment-counsel-communication_policies</v>
      </c>
      <c r="C894" s="2" t="s">
        <v>14779</v>
      </c>
      <c r="D894" s="2" t="s">
        <v>13620</v>
      </c>
      <c r="E894" s="2" t="s">
        <v>15758</v>
      </c>
      <c r="F894" s="2" t="s">
        <v>935</v>
      </c>
      <c r="G894" s="2" t="s">
        <v>14591</v>
      </c>
      <c r="H894" s="3" t="str">
        <f>_xlfn.IFNA(INDEX(FieldDisagreements!C2:C999, MATCH(C894,FieldDisagreements!A2:A999, 0)), "")</f>
        <v>effortless-xlsx</v>
      </c>
      <c r="I894" s="3" t="str">
        <f>_xlfn.IFNA(INDEX(FieldDisagreements!D2:D999, MATCH(C894,FieldDisagreements!A2:A999, 0)), "")</f>
        <v>RoleSchemaViews.ColumnCount</v>
      </c>
      <c r="J894" s="2" t="s">
        <v>1906</v>
      </c>
    </row>
    <row r="895">
      <c r="A895" s="2" t="s">
        <v>16136</v>
      </c>
      <c r="B895" s="3" t="str">
        <f>_xlfn.CONCAT(C895, " @ ", D895)</f>
        <v>effortless-xlsx|RoleSchemaViews.ColumnCount @ rsv-hr-policy-owner-message_templates</v>
      </c>
      <c r="C895" s="2" t="s">
        <v>14779</v>
      </c>
      <c r="D895" s="2" t="s">
        <v>13616</v>
      </c>
      <c r="E895" s="2" t="s">
        <v>15461</v>
      </c>
      <c r="F895" s="2" t="s">
        <v>935</v>
      </c>
      <c r="G895" s="2" t="s">
        <v>14591</v>
      </c>
      <c r="H895" s="3" t="str">
        <f>_xlfn.IFNA(INDEX(FieldDisagreements!C2:C999, MATCH(C895,FieldDisagreements!A2:A999, 0)), "")</f>
        <v>effortless-xlsx</v>
      </c>
      <c r="I895" s="3" t="str">
        <f>_xlfn.IFNA(INDEX(FieldDisagreements!D2:D999, MATCH(C895,FieldDisagreements!A2:A999, 0)), "")</f>
        <v>RoleSchemaViews.ColumnCount</v>
      </c>
      <c r="J895" s="2" t="s">
        <v>1906</v>
      </c>
    </row>
    <row r="896">
      <c r="A896" s="2" t="s">
        <v>16137</v>
      </c>
      <c r="B896" s="3" t="str">
        <f>_xlfn.CONCAT(C896, " @ ", D896)</f>
        <v>effortless-xlsx|RoleSchemaViews.ColumnCount @ rsv-knowledge-authority-actions</v>
      </c>
      <c r="C896" s="2" t="s">
        <v>14779</v>
      </c>
      <c r="D896" s="2" t="s">
        <v>13715</v>
      </c>
      <c r="E896" s="2" t="s">
        <v>15461</v>
      </c>
      <c r="F896" s="2" t="s">
        <v>935</v>
      </c>
      <c r="G896" s="2" t="s">
        <v>14591</v>
      </c>
      <c r="H896" s="3" t="str">
        <f>_xlfn.IFNA(INDEX(FieldDisagreements!C2:C999, MATCH(C896,FieldDisagreements!A2:A999, 0)), "")</f>
        <v>effortless-xlsx</v>
      </c>
      <c r="I896" s="3" t="str">
        <f>_xlfn.IFNA(INDEX(FieldDisagreements!D2:D999, MATCH(C896,FieldDisagreements!A2:A999, 0)), "")</f>
        <v>RoleSchemaViews.ColumnCount</v>
      </c>
      <c r="J896" s="2" t="s">
        <v>1906</v>
      </c>
    </row>
    <row r="897">
      <c r="A897" s="2" t="s">
        <v>16138</v>
      </c>
      <c r="B897" s="3" t="str">
        <f>_xlfn.CONCAT(C897, " @ ", D897)</f>
        <v>effortless-xlsx|RoleSchemaViews.ColumnCount @ rsv-knowledge-authority-agent_decision_records</v>
      </c>
      <c r="C897" s="2" t="s">
        <v>14779</v>
      </c>
      <c r="D897" s="2" t="s">
        <v>13716</v>
      </c>
      <c r="E897" s="2" t="s">
        <v>15997</v>
      </c>
      <c r="F897" s="2" t="s">
        <v>935</v>
      </c>
      <c r="G897" s="2" t="s">
        <v>14591</v>
      </c>
      <c r="H897" s="3" t="str">
        <f>_xlfn.IFNA(INDEX(FieldDisagreements!C2:C999, MATCH(C897,FieldDisagreements!A2:A999, 0)), "")</f>
        <v>effortless-xlsx</v>
      </c>
      <c r="I897" s="3" t="str">
        <f>_xlfn.IFNA(INDEX(FieldDisagreements!D2:D999, MATCH(C897,FieldDisagreements!A2:A999, 0)), "")</f>
        <v>RoleSchemaViews.ColumnCount</v>
      </c>
      <c r="J897" s="2" t="s">
        <v>1906</v>
      </c>
    </row>
    <row r="898">
      <c r="A898" s="2" t="s">
        <v>16139</v>
      </c>
      <c r="B898" s="3" t="str">
        <f>_xlfn.CONCAT(C898, " @ ", D898)</f>
        <v>effortless-xlsx|RoleSchemaViews.ColumnCount @ rsv-knowledge-authority-agents</v>
      </c>
      <c r="C898" s="2" t="s">
        <v>14779</v>
      </c>
      <c r="D898" s="2" t="s">
        <v>13717</v>
      </c>
      <c r="E898" s="2" t="s">
        <v>15196</v>
      </c>
      <c r="F898" s="2" t="s">
        <v>935</v>
      </c>
      <c r="G898" s="2" t="s">
        <v>14591</v>
      </c>
      <c r="H898" s="3" t="str">
        <f>_xlfn.IFNA(INDEX(FieldDisagreements!C2:C999, MATCH(C898,FieldDisagreements!A2:A999, 0)), "")</f>
        <v>effortless-xlsx</v>
      </c>
      <c r="I898" s="3" t="str">
        <f>_xlfn.IFNA(INDEX(FieldDisagreements!D2:D999, MATCH(C898,FieldDisagreements!A2:A999, 0)), "")</f>
        <v>RoleSchemaViews.ColumnCount</v>
      </c>
      <c r="J898" s="2" t="s">
        <v>1906</v>
      </c>
    </row>
    <row r="899">
      <c r="A899" s="2" t="s">
        <v>16140</v>
      </c>
      <c r="B899" s="3" t="str">
        <f>_xlfn.CONCAT(C899, " @ ", D899)</f>
        <v>effortless-xlsx|RoleSchemaViews.ColumnCount @ rsv-knowledge-authority-app_nav_groups</v>
      </c>
      <c r="C899" s="2" t="s">
        <v>14779</v>
      </c>
      <c r="D899" s="2" t="s">
        <v>13718</v>
      </c>
      <c r="E899" s="2" t="s">
        <v>15461</v>
      </c>
      <c r="F899" s="2" t="s">
        <v>935</v>
      </c>
      <c r="G899" s="2" t="s">
        <v>14591</v>
      </c>
      <c r="H899" s="3" t="str">
        <f>_xlfn.IFNA(INDEX(FieldDisagreements!C2:C999, MATCH(C899,FieldDisagreements!A2:A999, 0)), "")</f>
        <v>effortless-xlsx</v>
      </c>
      <c r="I899" s="3" t="str">
        <f>_xlfn.IFNA(INDEX(FieldDisagreements!D2:D999, MATCH(C899,FieldDisagreements!A2:A999, 0)), "")</f>
        <v>RoleSchemaViews.ColumnCount</v>
      </c>
      <c r="J899" s="2" t="s">
        <v>1906</v>
      </c>
    </row>
    <row r="900">
      <c r="A900" s="2" t="s">
        <v>16141</v>
      </c>
      <c r="B900" s="3" t="str">
        <f>_xlfn.CONCAT(C900, " @ ", D900)</f>
        <v>effortless-xlsx|RoleSchemaViews.ColumnCount @ rsv-knowledge-authority-app_role_profiles</v>
      </c>
      <c r="C900" s="2" t="s">
        <v>14779</v>
      </c>
      <c r="D900" s="2" t="s">
        <v>13719</v>
      </c>
      <c r="E900" s="2" t="s">
        <v>16000</v>
      </c>
      <c r="F900" s="2" t="s">
        <v>935</v>
      </c>
      <c r="G900" s="2" t="s">
        <v>14591</v>
      </c>
      <c r="H900" s="3" t="str">
        <f>_xlfn.IFNA(INDEX(FieldDisagreements!C2:C999, MATCH(C900,FieldDisagreements!A2:A999, 0)), "")</f>
        <v>effortless-xlsx</v>
      </c>
      <c r="I900" s="3" t="str">
        <f>_xlfn.IFNA(INDEX(FieldDisagreements!D2:D999, MATCH(C900,FieldDisagreements!A2:A999, 0)), "")</f>
        <v>RoleSchemaViews.ColumnCount</v>
      </c>
      <c r="J900" s="2" t="s">
        <v>1906</v>
      </c>
    </row>
    <row r="901">
      <c r="A901" s="2" t="s">
        <v>16142</v>
      </c>
      <c r="B901" s="3" t="str">
        <f>_xlfn.CONCAT(C901, " @ ", D901)</f>
        <v>effortless-xlsx|RoleSchemaViews.ColumnCount @ rsv-knowledge-authority-app_route_questions</v>
      </c>
      <c r="C901" s="2" t="s">
        <v>14779</v>
      </c>
      <c r="D901" s="2" t="s">
        <v>13720</v>
      </c>
      <c r="E901" s="2" t="s">
        <v>15461</v>
      </c>
      <c r="F901" s="2" t="s">
        <v>935</v>
      </c>
      <c r="G901" s="2" t="s">
        <v>14591</v>
      </c>
      <c r="H901" s="3" t="str">
        <f>_xlfn.IFNA(INDEX(FieldDisagreements!C2:C999, MATCH(C901,FieldDisagreements!A2:A999, 0)), "")</f>
        <v>effortless-xlsx</v>
      </c>
      <c r="I901" s="3" t="str">
        <f>_xlfn.IFNA(INDEX(FieldDisagreements!D2:D999, MATCH(C901,FieldDisagreements!A2:A999, 0)), "")</f>
        <v>RoleSchemaViews.ColumnCount</v>
      </c>
      <c r="J901" s="2" t="s">
        <v>1906</v>
      </c>
    </row>
    <row r="902">
      <c r="A902" s="2" t="s">
        <v>16143</v>
      </c>
      <c r="B902" s="3" t="str">
        <f>_xlfn.CONCAT(C902, " @ ", D902)</f>
        <v>effortless-xlsx|RoleSchemaViews.ColumnCount @ rsv-knowledge-authority-app_route_references</v>
      </c>
      <c r="C902" s="2" t="s">
        <v>14779</v>
      </c>
      <c r="D902" s="2" t="s">
        <v>13721</v>
      </c>
      <c r="E902" s="2" t="s">
        <v>15461</v>
      </c>
      <c r="F902" s="2" t="s">
        <v>935</v>
      </c>
      <c r="G902" s="2" t="s">
        <v>14591</v>
      </c>
      <c r="H902" s="3" t="str">
        <f>_xlfn.IFNA(INDEX(FieldDisagreements!C2:C999, MATCH(C902,FieldDisagreements!A2:A999, 0)), "")</f>
        <v>effortless-xlsx</v>
      </c>
      <c r="I902" s="3" t="str">
        <f>_xlfn.IFNA(INDEX(FieldDisagreements!D2:D999, MATCH(C902,FieldDisagreements!A2:A999, 0)), "")</f>
        <v>RoleSchemaViews.ColumnCount</v>
      </c>
      <c r="J902" s="2" t="s">
        <v>1906</v>
      </c>
    </row>
    <row r="903">
      <c r="A903" s="2" t="s">
        <v>16144</v>
      </c>
      <c r="B903" s="3" t="str">
        <f>_xlfn.CONCAT(C903, " @ ", D903)</f>
        <v>effortless-xlsx|RoleSchemaViews.ColumnCount @ rsv-knowledge-authority-app_routes</v>
      </c>
      <c r="C903" s="2" t="s">
        <v>14779</v>
      </c>
      <c r="D903" s="2" t="s">
        <v>13722</v>
      </c>
      <c r="E903" s="2" t="s">
        <v>15993</v>
      </c>
      <c r="F903" s="2" t="s">
        <v>935</v>
      </c>
      <c r="G903" s="2" t="s">
        <v>14591</v>
      </c>
      <c r="H903" s="3" t="str">
        <f>_xlfn.IFNA(INDEX(FieldDisagreements!C2:C999, MATCH(C903,FieldDisagreements!A2:A999, 0)), "")</f>
        <v>effortless-xlsx</v>
      </c>
      <c r="I903" s="3" t="str">
        <f>_xlfn.IFNA(INDEX(FieldDisagreements!D2:D999, MATCH(C903,FieldDisagreements!A2:A999, 0)), "")</f>
        <v>RoleSchemaViews.ColumnCount</v>
      </c>
      <c r="J903" s="2" t="s">
        <v>1906</v>
      </c>
    </row>
    <row r="904">
      <c r="A904" s="2" t="s">
        <v>16145</v>
      </c>
      <c r="B904" s="3" t="str">
        <f>_xlfn.CONCAT(C904, " @ ", D904)</f>
        <v>effortless-xlsx|RoleSchemaViews.ColumnCount @ rsv-knowledge-authority-attestations</v>
      </c>
      <c r="C904" s="2" t="s">
        <v>14779</v>
      </c>
      <c r="D904" s="2" t="s">
        <v>13723</v>
      </c>
      <c r="E904" s="2" t="s">
        <v>16000</v>
      </c>
      <c r="F904" s="2" t="s">
        <v>935</v>
      </c>
      <c r="G904" s="2" t="s">
        <v>14591</v>
      </c>
      <c r="H904" s="3" t="str">
        <f>_xlfn.IFNA(INDEX(FieldDisagreements!C2:C999, MATCH(C904,FieldDisagreements!A2:A999, 0)), "")</f>
        <v>effortless-xlsx</v>
      </c>
      <c r="I904" s="3" t="str">
        <f>_xlfn.IFNA(INDEX(FieldDisagreements!D2:D999, MATCH(C904,FieldDisagreements!A2:A999, 0)), "")</f>
        <v>RoleSchemaViews.ColumnCount</v>
      </c>
      <c r="J904" s="2" t="s">
        <v>1906</v>
      </c>
    </row>
    <row r="905">
      <c r="A905" s="2" t="s">
        <v>16146</v>
      </c>
      <c r="B905" s="3" t="str">
        <f>_xlfn.CONCAT(C905, " @ ", D905)</f>
        <v>effortless-xlsx|RoleSchemaViews.ColumnCount @ rsv-knowledge-authority-authority_boundaries</v>
      </c>
      <c r="C905" s="2" t="s">
        <v>14779</v>
      </c>
      <c r="D905" s="2" t="s">
        <v>13724</v>
      </c>
      <c r="E905" s="2" t="s">
        <v>16006</v>
      </c>
      <c r="F905" s="2" t="s">
        <v>935</v>
      </c>
      <c r="G905" s="2" t="s">
        <v>14591</v>
      </c>
      <c r="H905" s="3" t="str">
        <f>_xlfn.IFNA(INDEX(FieldDisagreements!C2:C999, MATCH(C905,FieldDisagreements!A2:A999, 0)), "")</f>
        <v>effortless-xlsx</v>
      </c>
      <c r="I905" s="3" t="str">
        <f>_xlfn.IFNA(INDEX(FieldDisagreements!D2:D999, MATCH(C905,FieldDisagreements!A2:A999, 0)), "")</f>
        <v>RoleSchemaViews.ColumnCount</v>
      </c>
      <c r="J905" s="2" t="s">
        <v>1906</v>
      </c>
    </row>
    <row r="906">
      <c r="A906" s="2" t="s">
        <v>16147</v>
      </c>
      <c r="B906" s="3" t="str">
        <f>_xlfn.CONCAT(C906, " @ ", D906)</f>
        <v>effortless-xlsx|RoleSchemaViews.ColumnCount @ rsv-knowledge-authority-binding_observations</v>
      </c>
      <c r="C906" s="2" t="s">
        <v>14779</v>
      </c>
      <c r="D906" s="2" t="s">
        <v>13725</v>
      </c>
      <c r="E906" s="2" t="s">
        <v>16008</v>
      </c>
      <c r="F906" s="2" t="s">
        <v>935</v>
      </c>
      <c r="G906" s="2" t="s">
        <v>14591</v>
      </c>
      <c r="H906" s="3" t="str">
        <f>_xlfn.IFNA(INDEX(FieldDisagreements!C2:C999, MATCH(C906,FieldDisagreements!A2:A999, 0)), "")</f>
        <v>effortless-xlsx</v>
      </c>
      <c r="I906" s="3" t="str">
        <f>_xlfn.IFNA(INDEX(FieldDisagreements!D2:D999, MATCH(C906,FieldDisagreements!A2:A999, 0)), "")</f>
        <v>RoleSchemaViews.ColumnCount</v>
      </c>
      <c r="J906" s="2" t="s">
        <v>1906</v>
      </c>
    </row>
    <row r="907">
      <c r="A907" s="2" t="s">
        <v>16148</v>
      </c>
      <c r="B907" s="3" t="str">
        <f>_xlfn.CONCAT(C907, " @ ", D907)</f>
        <v>effortless-xlsx|RoleSchemaViews.TableFieldCount @ rsv-cfo-authority_boundaries</v>
      </c>
      <c r="C907" s="2" t="s">
        <v>14780</v>
      </c>
      <c r="D907" s="2" t="s">
        <v>13609</v>
      </c>
      <c r="E907" s="2" t="s">
        <v>16006</v>
      </c>
      <c r="F907" s="2" t="s">
        <v>935</v>
      </c>
      <c r="G907" s="2" t="s">
        <v>14591</v>
      </c>
      <c r="H907" s="3" t="str">
        <f>_xlfn.IFNA(INDEX(FieldDisagreements!C2:C999, MATCH(C907,FieldDisagreements!A2:A999, 0)), "")</f>
        <v>effortless-xlsx</v>
      </c>
      <c r="I907" s="3" t="str">
        <f>_xlfn.IFNA(INDEX(FieldDisagreements!D2:D999, MATCH(C907,FieldDisagreements!A2:A999, 0)), "")</f>
        <v>RoleSchemaViews.TableFieldCount</v>
      </c>
      <c r="J907" s="2" t="s">
        <v>1906</v>
      </c>
    </row>
    <row r="908">
      <c r="A908" s="2" t="s">
        <v>16149</v>
      </c>
      <c r="B908" s="3" t="str">
        <f>_xlfn.CONCAT(C908, " @ ", D908)</f>
        <v>effortless-xlsx|RoleSchemaViews.TableFieldCount @ rsv-communications-manager-communication_policies</v>
      </c>
      <c r="C908" s="2" t="s">
        <v>14780</v>
      </c>
      <c r="D908" s="2" t="s">
        <v>13622</v>
      </c>
      <c r="E908" s="2" t="s">
        <v>15195</v>
      </c>
      <c r="F908" s="2" t="s">
        <v>935</v>
      </c>
      <c r="G908" s="2" t="s">
        <v>14591</v>
      </c>
      <c r="H908" s="3" t="str">
        <f>_xlfn.IFNA(INDEX(FieldDisagreements!C2:C999, MATCH(C908,FieldDisagreements!A2:A999, 0)), "")</f>
        <v>effortless-xlsx</v>
      </c>
      <c r="I908" s="3" t="str">
        <f>_xlfn.IFNA(INDEX(FieldDisagreements!D2:D999, MATCH(C908,FieldDisagreements!A2:A999, 0)), "")</f>
        <v>RoleSchemaViews.TableFieldCount</v>
      </c>
      <c r="J908" s="2" t="s">
        <v>1906</v>
      </c>
    </row>
    <row r="909">
      <c r="A909" s="2" t="s">
        <v>16150</v>
      </c>
      <c r="B909" s="3" t="str">
        <f>_xlfn.CONCAT(C909, " @ ", D909)</f>
        <v>effortless-xlsx|RoleSchemaViews.TableFieldCount @ rsv-communications-manager-message_deliveries</v>
      </c>
      <c r="C909" s="2" t="s">
        <v>14780</v>
      </c>
      <c r="D909" s="2" t="s">
        <v>13625</v>
      </c>
      <c r="E909" s="2" t="s">
        <v>16151</v>
      </c>
      <c r="F909" s="2" t="s">
        <v>935</v>
      </c>
      <c r="G909" s="2" t="s">
        <v>14591</v>
      </c>
      <c r="H909" s="3" t="str">
        <f>_xlfn.IFNA(INDEX(FieldDisagreements!C2:C999, MATCH(C909,FieldDisagreements!A2:A999, 0)), "")</f>
        <v>effortless-xlsx</v>
      </c>
      <c r="I909" s="3" t="str">
        <f>_xlfn.IFNA(INDEX(FieldDisagreements!D2:D999, MATCH(C909,FieldDisagreements!A2:A999, 0)), "")</f>
        <v>RoleSchemaViews.TableFieldCount</v>
      </c>
      <c r="J909" s="2" t="s">
        <v>1906</v>
      </c>
    </row>
    <row r="910">
      <c r="A910" s="2" t="s">
        <v>16152</v>
      </c>
      <c r="B910" s="3" t="str">
        <f>_xlfn.CONCAT(C910, " @ ", D910)</f>
        <v>effortless-xlsx|RoleSchemaViews.TableFieldCount @ rsv-communications-manager-message_templates</v>
      </c>
      <c r="C910" s="2" t="s">
        <v>14780</v>
      </c>
      <c r="D910" s="2" t="s">
        <v>13623</v>
      </c>
      <c r="E910" s="2" t="s">
        <v>16153</v>
      </c>
      <c r="F910" s="2" t="s">
        <v>935</v>
      </c>
      <c r="G910" s="2" t="s">
        <v>14591</v>
      </c>
      <c r="H910" s="3" t="str">
        <f>_xlfn.IFNA(INDEX(FieldDisagreements!C2:C999, MATCH(C910,FieldDisagreements!A2:A999, 0)), "")</f>
        <v>effortless-xlsx</v>
      </c>
      <c r="I910" s="3" t="str">
        <f>_xlfn.IFNA(INDEX(FieldDisagreements!D2:D999, MATCH(C910,FieldDisagreements!A2:A999, 0)), "")</f>
        <v>RoleSchemaViews.TableFieldCount</v>
      </c>
      <c r="J910" s="2" t="s">
        <v>1906</v>
      </c>
    </row>
    <row r="911">
      <c r="A911" s="2" t="s">
        <v>16154</v>
      </c>
      <c r="B911" s="3" t="str">
        <f>_xlfn.CONCAT(C911, " @ ", D911)</f>
        <v>effortless-xlsx|RoleSchemaViews.TableFieldCount @ rsv-communications-manager-recipients</v>
      </c>
      <c r="C911" s="2" t="s">
        <v>14780</v>
      </c>
      <c r="D911" s="2" t="s">
        <v>13626</v>
      </c>
      <c r="E911" s="2" t="s">
        <v>931</v>
      </c>
      <c r="F911" s="2" t="s">
        <v>935</v>
      </c>
      <c r="G911" s="2" t="s">
        <v>14591</v>
      </c>
      <c r="H911" s="3" t="str">
        <f>_xlfn.IFNA(INDEX(FieldDisagreements!C2:C999, MATCH(C911,FieldDisagreements!A2:A999, 0)), "")</f>
        <v>effortless-xlsx</v>
      </c>
      <c r="I911" s="3" t="str">
        <f>_xlfn.IFNA(INDEX(FieldDisagreements!D2:D999, MATCH(C911,FieldDisagreements!A2:A999, 0)), "")</f>
        <v>RoleSchemaViews.TableFieldCount</v>
      </c>
      <c r="J911" s="2" t="s">
        <v>1906</v>
      </c>
    </row>
    <row r="912">
      <c r="A912" s="2" t="s">
        <v>16155</v>
      </c>
      <c r="B912" s="3" t="str">
        <f>_xlfn.CONCAT(C912, " @ ", D912)</f>
        <v>effortless-xlsx|RoleSchemaViews.TableFieldCount @ rsv-communications-manager-send_intents</v>
      </c>
      <c r="C912" s="2" t="s">
        <v>14780</v>
      </c>
      <c r="D912" s="2" t="s">
        <v>13624</v>
      </c>
      <c r="E912" s="2" t="s">
        <v>16156</v>
      </c>
      <c r="F912" s="2" t="s">
        <v>935</v>
      </c>
      <c r="G912" s="2" t="s">
        <v>14591</v>
      </c>
      <c r="H912" s="3" t="str">
        <f>_xlfn.IFNA(INDEX(FieldDisagreements!C2:C999, MATCH(C912,FieldDisagreements!A2:A999, 0)), "")</f>
        <v>effortless-xlsx</v>
      </c>
      <c r="I912" s="3" t="str">
        <f>_xlfn.IFNA(INDEX(FieldDisagreements!D2:D999, MATCH(C912,FieldDisagreements!A2:A999, 0)), "")</f>
        <v>RoleSchemaViews.TableFieldCount</v>
      </c>
      <c r="J912" s="2" t="s">
        <v>1906</v>
      </c>
    </row>
    <row r="913">
      <c r="A913" s="2" t="s">
        <v>16157</v>
      </c>
      <c r="B913" s="3" t="str">
        <f>_xlfn.CONCAT(C913, " @ ", D913)</f>
        <v>effortless-xlsx|RoleSchemaViews.TableFieldCount @ rsv-employment-counsel-authority_boundaries</v>
      </c>
      <c r="C913" s="2" t="s">
        <v>14780</v>
      </c>
      <c r="D913" s="2" t="s">
        <v>13619</v>
      </c>
      <c r="E913" s="2" t="s">
        <v>16006</v>
      </c>
      <c r="F913" s="2" t="s">
        <v>935</v>
      </c>
      <c r="G913" s="2" t="s">
        <v>14591</v>
      </c>
      <c r="H913" s="3" t="str">
        <f>_xlfn.IFNA(INDEX(FieldDisagreements!C2:C999, MATCH(C913,FieldDisagreements!A2:A999, 0)), "")</f>
        <v>effortless-xlsx</v>
      </c>
      <c r="I913" s="3" t="str">
        <f>_xlfn.IFNA(INDEX(FieldDisagreements!D2:D999, MATCH(C913,FieldDisagreements!A2:A999, 0)), "")</f>
        <v>RoleSchemaViews.TableFieldCount</v>
      </c>
      <c r="J913" s="2" t="s">
        <v>1906</v>
      </c>
    </row>
    <row r="914">
      <c r="A914" s="2" t="s">
        <v>16158</v>
      </c>
      <c r="B914" s="3" t="str">
        <f>_xlfn.CONCAT(C914, " @ ", D914)</f>
        <v>effortless-xlsx|RoleSchemaViews.TableFieldCount @ rsv-employment-counsel-communication_policies</v>
      </c>
      <c r="C914" s="2" t="s">
        <v>14780</v>
      </c>
      <c r="D914" s="2" t="s">
        <v>13620</v>
      </c>
      <c r="E914" s="2" t="s">
        <v>15195</v>
      </c>
      <c r="F914" s="2" t="s">
        <v>935</v>
      </c>
      <c r="G914" s="2" t="s">
        <v>14591</v>
      </c>
      <c r="H914" s="3" t="str">
        <f>_xlfn.IFNA(INDEX(FieldDisagreements!C2:C999, MATCH(C914,FieldDisagreements!A2:A999, 0)), "")</f>
        <v>effortless-xlsx</v>
      </c>
      <c r="I914" s="3" t="str">
        <f>_xlfn.IFNA(INDEX(FieldDisagreements!D2:D999, MATCH(C914,FieldDisagreements!A2:A999, 0)), "")</f>
        <v>RoleSchemaViews.TableFieldCount</v>
      </c>
      <c r="J914" s="2" t="s">
        <v>1906</v>
      </c>
    </row>
    <row r="915">
      <c r="A915" s="2" t="s">
        <v>16159</v>
      </c>
      <c r="B915" s="3" t="str">
        <f>_xlfn.CONCAT(C915, " @ ", D915)</f>
        <v>effortless-xlsx|RoleSchemaViews.TableFieldCount @ rsv-hr-policy-owner-message_templates</v>
      </c>
      <c r="C915" s="2" t="s">
        <v>14780</v>
      </c>
      <c r="D915" s="2" t="s">
        <v>13616</v>
      </c>
      <c r="E915" s="2" t="s">
        <v>16153</v>
      </c>
      <c r="F915" s="2" t="s">
        <v>935</v>
      </c>
      <c r="G915" s="2" t="s">
        <v>14591</v>
      </c>
      <c r="H915" s="3" t="str">
        <f>_xlfn.IFNA(INDEX(FieldDisagreements!C2:C999, MATCH(C915,FieldDisagreements!A2:A999, 0)), "")</f>
        <v>effortless-xlsx</v>
      </c>
      <c r="I915" s="3" t="str">
        <f>_xlfn.IFNA(INDEX(FieldDisagreements!D2:D999, MATCH(C915,FieldDisagreements!A2:A999, 0)), "")</f>
        <v>RoleSchemaViews.TableFieldCount</v>
      </c>
      <c r="J915" s="2" t="s">
        <v>1906</v>
      </c>
    </row>
    <row r="916">
      <c r="A916" s="2" t="s">
        <v>16160</v>
      </c>
      <c r="B916" s="3" t="str">
        <f>_xlfn.CONCAT(C916, " @ ", D916)</f>
        <v>effortless-xlsx|RoleSchemaViews.TableFieldCount @ rsv-knowledge-authority-agent_decision_records</v>
      </c>
      <c r="C916" s="2" t="s">
        <v>14780</v>
      </c>
      <c r="D916" s="2" t="s">
        <v>13716</v>
      </c>
      <c r="E916" s="2" t="s">
        <v>15997</v>
      </c>
      <c r="F916" s="2" t="s">
        <v>935</v>
      </c>
      <c r="G916" s="2" t="s">
        <v>14591</v>
      </c>
      <c r="H916" s="3" t="str">
        <f>_xlfn.IFNA(INDEX(FieldDisagreements!C2:C999, MATCH(C916,FieldDisagreements!A2:A999, 0)), "")</f>
        <v>effortless-xlsx</v>
      </c>
      <c r="I916" s="3" t="str">
        <f>_xlfn.IFNA(INDEX(FieldDisagreements!D2:D999, MATCH(C916,FieldDisagreements!A2:A999, 0)), "")</f>
        <v>RoleSchemaViews.TableFieldCount</v>
      </c>
      <c r="J916" s="2" t="s">
        <v>1906</v>
      </c>
    </row>
    <row r="917">
      <c r="A917" s="2" t="s">
        <v>16161</v>
      </c>
      <c r="B917" s="3" t="str">
        <f>_xlfn.CONCAT(C917, " @ ", D917)</f>
        <v>effortless-xlsx|RoleSchemaViews.TableFieldCount @ rsv-knowledge-authority-app_nav_groups</v>
      </c>
      <c r="C917" s="2" t="s">
        <v>14780</v>
      </c>
      <c r="D917" s="2" t="s">
        <v>13718</v>
      </c>
      <c r="E917" s="2" t="s">
        <v>15461</v>
      </c>
      <c r="F917" s="2" t="s">
        <v>935</v>
      </c>
      <c r="G917" s="2" t="s">
        <v>14591</v>
      </c>
      <c r="H917" s="3" t="str">
        <f>_xlfn.IFNA(INDEX(FieldDisagreements!C2:C999, MATCH(C917,FieldDisagreements!A2:A999, 0)), "")</f>
        <v>effortless-xlsx</v>
      </c>
      <c r="I917" s="3" t="str">
        <f>_xlfn.IFNA(INDEX(FieldDisagreements!D2:D999, MATCH(C917,FieldDisagreements!A2:A999, 0)), "")</f>
        <v>RoleSchemaViews.TableFieldCount</v>
      </c>
      <c r="J917" s="2" t="s">
        <v>1906</v>
      </c>
    </row>
    <row r="918">
      <c r="A918" s="2" t="s">
        <v>16162</v>
      </c>
      <c r="B918" s="3" t="str">
        <f>_xlfn.CONCAT(C918, " @ ", D918)</f>
        <v>effortless-xlsx|RoleSchemaViews.TableFieldCount @ rsv-knowledge-authority-app_role_profiles</v>
      </c>
      <c r="C918" s="2" t="s">
        <v>14780</v>
      </c>
      <c r="D918" s="2" t="s">
        <v>13719</v>
      </c>
      <c r="E918" s="2" t="s">
        <v>16000</v>
      </c>
      <c r="F918" s="2" t="s">
        <v>935</v>
      </c>
      <c r="G918" s="2" t="s">
        <v>14591</v>
      </c>
      <c r="H918" s="3" t="str">
        <f>_xlfn.IFNA(INDEX(FieldDisagreements!C2:C999, MATCH(C918,FieldDisagreements!A2:A999, 0)), "")</f>
        <v>effortless-xlsx</v>
      </c>
      <c r="I918" s="3" t="str">
        <f>_xlfn.IFNA(INDEX(FieldDisagreements!D2:D999, MATCH(C918,FieldDisagreements!A2:A999, 0)), "")</f>
        <v>RoleSchemaViews.TableFieldCount</v>
      </c>
      <c r="J918" s="2" t="s">
        <v>1906</v>
      </c>
    </row>
    <row r="919">
      <c r="A919" s="2" t="s">
        <v>16163</v>
      </c>
      <c r="B919" s="3" t="str">
        <f>_xlfn.CONCAT(C919, " @ ", D919)</f>
        <v>effortless-xlsx|RoleSchemaViews.TableFieldCount @ rsv-knowledge-authority-app_route_questions</v>
      </c>
      <c r="C919" s="2" t="s">
        <v>14780</v>
      </c>
      <c r="D919" s="2" t="s">
        <v>13720</v>
      </c>
      <c r="E919" s="2" t="s">
        <v>15461</v>
      </c>
      <c r="F919" s="2" t="s">
        <v>935</v>
      </c>
      <c r="G919" s="2" t="s">
        <v>14591</v>
      </c>
      <c r="H919" s="3" t="str">
        <f>_xlfn.IFNA(INDEX(FieldDisagreements!C2:C999, MATCH(C919,FieldDisagreements!A2:A999, 0)), "")</f>
        <v>effortless-xlsx</v>
      </c>
      <c r="I919" s="3" t="str">
        <f>_xlfn.IFNA(INDEX(FieldDisagreements!D2:D999, MATCH(C919,FieldDisagreements!A2:A999, 0)), "")</f>
        <v>RoleSchemaViews.TableFieldCount</v>
      </c>
      <c r="J919" s="2" t="s">
        <v>1906</v>
      </c>
    </row>
    <row r="920">
      <c r="A920" s="2" t="s">
        <v>16164</v>
      </c>
      <c r="B920" s="3" t="str">
        <f>_xlfn.CONCAT(C920, " @ ", D920)</f>
        <v>effortless-xlsx|RoleSchemaViews.TableFieldCount @ rsv-knowledge-authority-app_route_references</v>
      </c>
      <c r="C920" s="2" t="s">
        <v>14780</v>
      </c>
      <c r="D920" s="2" t="s">
        <v>13721</v>
      </c>
      <c r="E920" s="2" t="s">
        <v>15461</v>
      </c>
      <c r="F920" s="2" t="s">
        <v>935</v>
      </c>
      <c r="G920" s="2" t="s">
        <v>14591</v>
      </c>
      <c r="H920" s="3" t="str">
        <f>_xlfn.IFNA(INDEX(FieldDisagreements!C2:C999, MATCH(C920,FieldDisagreements!A2:A999, 0)), "")</f>
        <v>effortless-xlsx</v>
      </c>
      <c r="I920" s="3" t="str">
        <f>_xlfn.IFNA(INDEX(FieldDisagreements!D2:D999, MATCH(C920,FieldDisagreements!A2:A999, 0)), "")</f>
        <v>RoleSchemaViews.TableFieldCount</v>
      </c>
      <c r="J920" s="2" t="s">
        <v>1906</v>
      </c>
    </row>
    <row r="921">
      <c r="A921" s="2" t="s">
        <v>16165</v>
      </c>
      <c r="B921" s="3" t="str">
        <f>_xlfn.CONCAT(C921, " @ ", D921)</f>
        <v>effortless-xlsx|RoleSchemaViews.TableFieldCount @ rsv-knowledge-authority-app_routes</v>
      </c>
      <c r="C921" s="2" t="s">
        <v>14780</v>
      </c>
      <c r="D921" s="2" t="s">
        <v>13722</v>
      </c>
      <c r="E921" s="2" t="s">
        <v>15993</v>
      </c>
      <c r="F921" s="2" t="s">
        <v>935</v>
      </c>
      <c r="G921" s="2" t="s">
        <v>14591</v>
      </c>
      <c r="H921" s="3" t="str">
        <f>_xlfn.IFNA(INDEX(FieldDisagreements!C2:C999, MATCH(C921,FieldDisagreements!A2:A999, 0)), "")</f>
        <v>effortless-xlsx</v>
      </c>
      <c r="I921" s="3" t="str">
        <f>_xlfn.IFNA(INDEX(FieldDisagreements!D2:D999, MATCH(C921,FieldDisagreements!A2:A999, 0)), "")</f>
        <v>RoleSchemaViews.TableFieldCount</v>
      </c>
      <c r="J921" s="2" t="s">
        <v>1906</v>
      </c>
    </row>
    <row r="922">
      <c r="A922" s="2" t="s">
        <v>16166</v>
      </c>
      <c r="B922" s="3" t="str">
        <f>_xlfn.CONCAT(C922, " @ ", D922)</f>
        <v>effortless-xlsx|RoleSchemaViews.TableFieldCount @ rsv-knowledge-authority-attestations</v>
      </c>
      <c r="C922" s="2" t="s">
        <v>14780</v>
      </c>
      <c r="D922" s="2" t="s">
        <v>13723</v>
      </c>
      <c r="E922" s="2" t="s">
        <v>16000</v>
      </c>
      <c r="F922" s="2" t="s">
        <v>935</v>
      </c>
      <c r="G922" s="2" t="s">
        <v>14591</v>
      </c>
      <c r="H922" s="3" t="str">
        <f>_xlfn.IFNA(INDEX(FieldDisagreements!C2:C999, MATCH(C922,FieldDisagreements!A2:A999, 0)), "")</f>
        <v>effortless-xlsx</v>
      </c>
      <c r="I922" s="3" t="str">
        <f>_xlfn.IFNA(INDEX(FieldDisagreements!D2:D999, MATCH(C922,FieldDisagreements!A2:A999, 0)), "")</f>
        <v>RoleSchemaViews.TableFieldCount</v>
      </c>
      <c r="J922" s="2" t="s">
        <v>1906</v>
      </c>
    </row>
    <row r="923">
      <c r="A923" s="2" t="s">
        <v>16167</v>
      </c>
      <c r="B923" s="3" t="str">
        <f>_xlfn.CONCAT(C923, " @ ", D923)</f>
        <v>effortless-xlsx|RoleSchemaViews.TableFieldCount @ rsv-knowledge-authority-authority_boundaries</v>
      </c>
      <c r="C923" s="2" t="s">
        <v>14780</v>
      </c>
      <c r="D923" s="2" t="s">
        <v>13724</v>
      </c>
      <c r="E923" s="2" t="s">
        <v>16006</v>
      </c>
      <c r="F923" s="2" t="s">
        <v>935</v>
      </c>
      <c r="G923" s="2" t="s">
        <v>14591</v>
      </c>
      <c r="H923" s="3" t="str">
        <f>_xlfn.IFNA(INDEX(FieldDisagreements!C2:C999, MATCH(C923,FieldDisagreements!A2:A999, 0)), "")</f>
        <v>effortless-xlsx</v>
      </c>
      <c r="I923" s="3" t="str">
        <f>_xlfn.IFNA(INDEX(FieldDisagreements!D2:D999, MATCH(C923,FieldDisagreements!A2:A999, 0)), "")</f>
        <v>RoleSchemaViews.TableFieldCount</v>
      </c>
      <c r="J923" s="2" t="s">
        <v>1906</v>
      </c>
    </row>
    <row r="924">
      <c r="A924" s="2" t="s">
        <v>16168</v>
      </c>
      <c r="B924" s="3" t="str">
        <f>_xlfn.CONCAT(C924, " @ ", D924)</f>
        <v>effortless-xlsx|RoleSchemaViews.TableFieldCount @ rsv-knowledge-authority-binding_observations</v>
      </c>
      <c r="C924" s="2" t="s">
        <v>14780</v>
      </c>
      <c r="D924" s="2" t="s">
        <v>13725</v>
      </c>
      <c r="E924" s="2" t="s">
        <v>16008</v>
      </c>
      <c r="F924" s="2" t="s">
        <v>935</v>
      </c>
      <c r="G924" s="2" t="s">
        <v>14591</v>
      </c>
      <c r="H924" s="3" t="str">
        <f>_xlfn.IFNA(INDEX(FieldDisagreements!C2:C999, MATCH(C924,FieldDisagreements!A2:A999, 0)), "")</f>
        <v>effortless-xlsx</v>
      </c>
      <c r="I924" s="3" t="str">
        <f>_xlfn.IFNA(INDEX(FieldDisagreements!D2:D999, MATCH(C924,FieldDisagreements!A2:A999, 0)), "")</f>
        <v>RoleSchemaViews.TableFieldCount</v>
      </c>
      <c r="J924" s="2" t="s">
        <v>1906</v>
      </c>
    </row>
    <row r="925">
      <c r="A925" s="2" t="s">
        <v>16169</v>
      </c>
      <c r="B925" s="3" t="str">
        <f>_xlfn.CONCAT(C925, " @ ", D925)</f>
        <v>effortless-xlsx|RoleSchemaViews.TableFieldCount @ rsv-knowledge-authority-communication_policies</v>
      </c>
      <c r="C925" s="2" t="s">
        <v>14780</v>
      </c>
      <c r="D925" s="2" t="s">
        <v>13727</v>
      </c>
      <c r="E925" s="2" t="s">
        <v>15195</v>
      </c>
      <c r="F925" s="2" t="s">
        <v>935</v>
      </c>
      <c r="G925" s="2" t="s">
        <v>14591</v>
      </c>
      <c r="H925" s="3" t="str">
        <f>_xlfn.IFNA(INDEX(FieldDisagreements!C2:C999, MATCH(C925,FieldDisagreements!A2:A999, 0)), "")</f>
        <v>effortless-xlsx</v>
      </c>
      <c r="I925" s="3" t="str">
        <f>_xlfn.IFNA(INDEX(FieldDisagreements!D2:D999, MATCH(C925,FieldDisagreements!A2:A999, 0)), "")</f>
        <v>RoleSchemaViews.TableFieldCount</v>
      </c>
      <c r="J925" s="2" t="s">
        <v>1906</v>
      </c>
    </row>
    <row r="926">
      <c r="A926" s="2" t="s">
        <v>16170</v>
      </c>
      <c r="B926" s="3" t="str">
        <f>_xlfn.CONCAT(C926, " @ ", D926)</f>
        <v>effortless-xlsx|RoleSchemaViews.TableFieldCount @ rsv-knowledge-authority-delivered_communications</v>
      </c>
      <c r="C926" s="2" t="s">
        <v>14780</v>
      </c>
      <c r="D926" s="2" t="s">
        <v>13729</v>
      </c>
      <c r="E926" s="2" t="s">
        <v>15993</v>
      </c>
      <c r="F926" s="2" t="s">
        <v>935</v>
      </c>
      <c r="G926" s="2" t="s">
        <v>14591</v>
      </c>
      <c r="H926" s="3" t="str">
        <f>_xlfn.IFNA(INDEX(FieldDisagreements!C2:C999, MATCH(C926,FieldDisagreements!A2:A999, 0)), "")</f>
        <v>effortless-xlsx</v>
      </c>
      <c r="I926" s="3" t="str">
        <f>_xlfn.IFNA(INDEX(FieldDisagreements!D2:D999, MATCH(C926,FieldDisagreements!A2:A999, 0)), "")</f>
        <v>RoleSchemaViews.TableFieldCount</v>
      </c>
      <c r="J926" s="2" t="s">
        <v>1906</v>
      </c>
    </row>
    <row r="927">
      <c r="A927" s="2" t="s">
        <v>16171</v>
      </c>
      <c r="B927" s="3" t="str">
        <f>_xlfn.CONCAT(C927, " @ ", D927)</f>
        <v>effortless-xlsx|RoleSchemaViews.IsDegenerateView @ rsv-cfo-authority_boundaries</v>
      </c>
      <c r="C927" s="2" t="s">
        <v>14781</v>
      </c>
      <c r="D927" s="2" t="s">
        <v>13609</v>
      </c>
      <c r="E927" s="2" t="s">
        <v>15057</v>
      </c>
      <c r="F927" s="2" t="s">
        <v>15035</v>
      </c>
      <c r="G927" s="2" t="s">
        <v>14591</v>
      </c>
      <c r="H927" s="3" t="str">
        <f>_xlfn.IFNA(INDEX(FieldDisagreements!C2:C999, MATCH(C927,FieldDisagreements!A2:A999, 0)), "")</f>
        <v>effortless-xlsx</v>
      </c>
      <c r="I927" s="3" t="str">
        <f>_xlfn.IFNA(INDEX(FieldDisagreements!D2:D999, MATCH(C927,FieldDisagreements!A2:A999, 0)), "")</f>
        <v>RoleSchemaViews.IsDegenerateView</v>
      </c>
      <c r="J927" s="2" t="s">
        <v>1906</v>
      </c>
    </row>
    <row r="928">
      <c r="A928" s="2" t="s">
        <v>16172</v>
      </c>
      <c r="B928" s="3" t="str">
        <f>_xlfn.CONCAT(C928, " @ ", D928)</f>
        <v>effortless-xlsx|RoleSchemaViews.IsDegenerateView @ rsv-communications-manager-communication_policies</v>
      </c>
      <c r="C928" s="2" t="s">
        <v>14781</v>
      </c>
      <c r="D928" s="2" t="s">
        <v>13622</v>
      </c>
      <c r="E928" s="2" t="s">
        <v>15057</v>
      </c>
      <c r="F928" s="2" t="s">
        <v>15035</v>
      </c>
      <c r="G928" s="2" t="s">
        <v>14591</v>
      </c>
      <c r="H928" s="3" t="str">
        <f>_xlfn.IFNA(INDEX(FieldDisagreements!C2:C999, MATCH(C928,FieldDisagreements!A2:A999, 0)), "")</f>
        <v>effortless-xlsx</v>
      </c>
      <c r="I928" s="3" t="str">
        <f>_xlfn.IFNA(INDEX(FieldDisagreements!D2:D999, MATCH(C928,FieldDisagreements!A2:A999, 0)), "")</f>
        <v>RoleSchemaViews.IsDegenerateView</v>
      </c>
      <c r="J928" s="2" t="s">
        <v>1906</v>
      </c>
    </row>
    <row r="929">
      <c r="A929" s="2" t="s">
        <v>16173</v>
      </c>
      <c r="B929" s="3" t="str">
        <f>_xlfn.CONCAT(C929, " @ ", D929)</f>
        <v>effortless-xlsx|RoleSchemaViews.IsDegenerateView @ rsv-communications-manager-message_deliveries</v>
      </c>
      <c r="C929" s="2" t="s">
        <v>14781</v>
      </c>
      <c r="D929" s="2" t="s">
        <v>13625</v>
      </c>
      <c r="E929" s="2" t="s">
        <v>15057</v>
      </c>
      <c r="F929" s="2" t="s">
        <v>15035</v>
      </c>
      <c r="G929" s="2" t="s">
        <v>14591</v>
      </c>
      <c r="H929" s="3" t="str">
        <f>_xlfn.IFNA(INDEX(FieldDisagreements!C2:C999, MATCH(C929,FieldDisagreements!A2:A999, 0)), "")</f>
        <v>effortless-xlsx</v>
      </c>
      <c r="I929" s="3" t="str">
        <f>_xlfn.IFNA(INDEX(FieldDisagreements!D2:D999, MATCH(C929,FieldDisagreements!A2:A999, 0)), "")</f>
        <v>RoleSchemaViews.IsDegenerateView</v>
      </c>
      <c r="J929" s="2" t="s">
        <v>1906</v>
      </c>
    </row>
    <row r="930">
      <c r="A930" s="2" t="s">
        <v>16174</v>
      </c>
      <c r="B930" s="3" t="str">
        <f>_xlfn.CONCAT(C930, " @ ", D930)</f>
        <v>effortless-xlsx|RoleSchemaViews.IsDegenerateView @ rsv-communications-manager-message_templates</v>
      </c>
      <c r="C930" s="2" t="s">
        <v>14781</v>
      </c>
      <c r="D930" s="2" t="s">
        <v>13623</v>
      </c>
      <c r="E930" s="2" t="s">
        <v>15057</v>
      </c>
      <c r="F930" s="2" t="s">
        <v>15035</v>
      </c>
      <c r="G930" s="2" t="s">
        <v>14591</v>
      </c>
      <c r="H930" s="3" t="str">
        <f>_xlfn.IFNA(INDEX(FieldDisagreements!C2:C999, MATCH(C930,FieldDisagreements!A2:A999, 0)), "")</f>
        <v>effortless-xlsx</v>
      </c>
      <c r="I930" s="3" t="str">
        <f>_xlfn.IFNA(INDEX(FieldDisagreements!D2:D999, MATCH(C930,FieldDisagreements!A2:A999, 0)), "")</f>
        <v>RoleSchemaViews.IsDegenerateView</v>
      </c>
      <c r="J930" s="2" t="s">
        <v>1906</v>
      </c>
    </row>
    <row r="931">
      <c r="A931" s="2" t="s">
        <v>16175</v>
      </c>
      <c r="B931" s="3" t="str">
        <f>_xlfn.CONCAT(C931, " @ ", D931)</f>
        <v>effortless-xlsx|RoleSchemaViews.IsDegenerateView @ rsv-communications-manager-recipients</v>
      </c>
      <c r="C931" s="2" t="s">
        <v>14781</v>
      </c>
      <c r="D931" s="2" t="s">
        <v>13626</v>
      </c>
      <c r="E931" s="2" t="s">
        <v>15057</v>
      </c>
      <c r="F931" s="2" t="s">
        <v>15035</v>
      </c>
      <c r="G931" s="2" t="s">
        <v>14591</v>
      </c>
      <c r="H931" s="3" t="str">
        <f>_xlfn.IFNA(INDEX(FieldDisagreements!C2:C999, MATCH(C931,FieldDisagreements!A2:A999, 0)), "")</f>
        <v>effortless-xlsx</v>
      </c>
      <c r="I931" s="3" t="str">
        <f>_xlfn.IFNA(INDEX(FieldDisagreements!D2:D999, MATCH(C931,FieldDisagreements!A2:A999, 0)), "")</f>
        <v>RoleSchemaViews.IsDegenerateView</v>
      </c>
      <c r="J931" s="2" t="s">
        <v>1906</v>
      </c>
    </row>
    <row r="932">
      <c r="A932" s="2" t="s">
        <v>16176</v>
      </c>
      <c r="B932" s="3" t="str">
        <f>_xlfn.CONCAT(C932, " @ ", D932)</f>
        <v>effortless-xlsx|RoleSchemaViews.IsDegenerateView @ rsv-communications-manager-send_intents</v>
      </c>
      <c r="C932" s="2" t="s">
        <v>14781</v>
      </c>
      <c r="D932" s="2" t="s">
        <v>13624</v>
      </c>
      <c r="E932" s="2" t="s">
        <v>15057</v>
      </c>
      <c r="F932" s="2" t="s">
        <v>15035</v>
      </c>
      <c r="G932" s="2" t="s">
        <v>14591</v>
      </c>
      <c r="H932" s="3" t="str">
        <f>_xlfn.IFNA(INDEX(FieldDisagreements!C2:C999, MATCH(C932,FieldDisagreements!A2:A999, 0)), "")</f>
        <v>effortless-xlsx</v>
      </c>
      <c r="I932" s="3" t="str">
        <f>_xlfn.IFNA(INDEX(FieldDisagreements!D2:D999, MATCH(C932,FieldDisagreements!A2:A999, 0)), "")</f>
        <v>RoleSchemaViews.IsDegenerateView</v>
      </c>
      <c r="J932" s="2" t="s">
        <v>1906</v>
      </c>
    </row>
    <row r="933">
      <c r="A933" s="2" t="s">
        <v>16177</v>
      </c>
      <c r="B933" s="3" t="str">
        <f>_xlfn.CONCAT(C933, " @ ", D933)</f>
        <v>effortless-xlsx|RoleSchemaViews.IsDegenerateView @ rsv-employment-counsel-authority_boundaries</v>
      </c>
      <c r="C933" s="2" t="s">
        <v>14781</v>
      </c>
      <c r="D933" s="2" t="s">
        <v>13619</v>
      </c>
      <c r="E933" s="2" t="s">
        <v>15057</v>
      </c>
      <c r="F933" s="2" t="s">
        <v>15035</v>
      </c>
      <c r="G933" s="2" t="s">
        <v>14591</v>
      </c>
      <c r="H933" s="3" t="str">
        <f>_xlfn.IFNA(INDEX(FieldDisagreements!C2:C999, MATCH(C933,FieldDisagreements!A2:A999, 0)), "")</f>
        <v>effortless-xlsx</v>
      </c>
      <c r="I933" s="3" t="str">
        <f>_xlfn.IFNA(INDEX(FieldDisagreements!D2:D999, MATCH(C933,FieldDisagreements!A2:A999, 0)), "")</f>
        <v>RoleSchemaViews.IsDegenerateView</v>
      </c>
      <c r="J933" s="2" t="s">
        <v>1906</v>
      </c>
    </row>
    <row r="934">
      <c r="A934" s="2" t="s">
        <v>16178</v>
      </c>
      <c r="B934" s="3" t="str">
        <f>_xlfn.CONCAT(C934, " @ ", D934)</f>
        <v>effortless-xlsx|RoleSchemaViews.IsDegenerateView @ rsv-employment-counsel-communication_policies</v>
      </c>
      <c r="C934" s="2" t="s">
        <v>14781</v>
      </c>
      <c r="D934" s="2" t="s">
        <v>13620</v>
      </c>
      <c r="E934" s="2" t="s">
        <v>15057</v>
      </c>
      <c r="F934" s="2" t="s">
        <v>15035</v>
      </c>
      <c r="G934" s="2" t="s">
        <v>14591</v>
      </c>
      <c r="H934" s="3" t="str">
        <f>_xlfn.IFNA(INDEX(FieldDisagreements!C2:C999, MATCH(C934,FieldDisagreements!A2:A999, 0)), "")</f>
        <v>effortless-xlsx</v>
      </c>
      <c r="I934" s="3" t="str">
        <f>_xlfn.IFNA(INDEX(FieldDisagreements!D2:D999, MATCH(C934,FieldDisagreements!A2:A999, 0)), "")</f>
        <v>RoleSchemaViews.IsDegenerateView</v>
      </c>
      <c r="J934" s="2" t="s">
        <v>1906</v>
      </c>
    </row>
    <row r="935">
      <c r="A935" s="2" t="s">
        <v>16179</v>
      </c>
      <c r="B935" s="3" t="str">
        <f>_xlfn.CONCAT(C935, " @ ", D935)</f>
        <v>effortless-xlsx|RoleSchemaViews.IsDegenerateView @ rsv-hr-policy-owner-message_templates</v>
      </c>
      <c r="C935" s="2" t="s">
        <v>14781</v>
      </c>
      <c r="D935" s="2" t="s">
        <v>13616</v>
      </c>
      <c r="E935" s="2" t="s">
        <v>15057</v>
      </c>
      <c r="F935" s="2" t="s">
        <v>15035</v>
      </c>
      <c r="G935" s="2" t="s">
        <v>14591</v>
      </c>
      <c r="H935" s="3" t="str">
        <f>_xlfn.IFNA(INDEX(FieldDisagreements!C2:C999, MATCH(C935,FieldDisagreements!A2:A999, 0)), "")</f>
        <v>effortless-xlsx</v>
      </c>
      <c r="I935" s="3" t="str">
        <f>_xlfn.IFNA(INDEX(FieldDisagreements!D2:D999, MATCH(C935,FieldDisagreements!A2:A999, 0)), "")</f>
        <v>RoleSchemaViews.IsDegenerateView</v>
      </c>
      <c r="J935" s="2" t="s">
        <v>1906</v>
      </c>
    </row>
    <row r="936">
      <c r="A936" s="2" t="s">
        <v>16180</v>
      </c>
      <c r="B936" s="3" t="str">
        <f>_xlfn.CONCAT(C936, " @ ", D936)</f>
        <v>effortless-xlsx|RoleSchemaViews.IsDegenerateView @ rsv-knowledge-authority-actions</v>
      </c>
      <c r="C936" s="2" t="s">
        <v>14781</v>
      </c>
      <c r="D936" s="2" t="s">
        <v>13715</v>
      </c>
      <c r="E936" s="2" t="s">
        <v>15057</v>
      </c>
      <c r="F936" s="2" t="s">
        <v>15035</v>
      </c>
      <c r="G936" s="2" t="s">
        <v>14591</v>
      </c>
      <c r="H936" s="3" t="str">
        <f>_xlfn.IFNA(INDEX(FieldDisagreements!C2:C999, MATCH(C936,FieldDisagreements!A2:A999, 0)), "")</f>
        <v>effortless-xlsx</v>
      </c>
      <c r="I936" s="3" t="str">
        <f>_xlfn.IFNA(INDEX(FieldDisagreements!D2:D999, MATCH(C936,FieldDisagreements!A2:A999, 0)), "")</f>
        <v>RoleSchemaViews.IsDegenerateView</v>
      </c>
      <c r="J936" s="2" t="s">
        <v>1906</v>
      </c>
    </row>
    <row r="937">
      <c r="A937" s="2" t="s">
        <v>16181</v>
      </c>
      <c r="B937" s="3" t="str">
        <f>_xlfn.CONCAT(C937, " @ ", D937)</f>
        <v>effortless-xlsx|RoleSchemaViews.IsDegenerateView @ rsv-knowledge-authority-agent_decision_records</v>
      </c>
      <c r="C937" s="2" t="s">
        <v>14781</v>
      </c>
      <c r="D937" s="2" t="s">
        <v>13716</v>
      </c>
      <c r="E937" s="2" t="s">
        <v>15057</v>
      </c>
      <c r="F937" s="2" t="s">
        <v>15035</v>
      </c>
      <c r="G937" s="2" t="s">
        <v>14591</v>
      </c>
      <c r="H937" s="3" t="str">
        <f>_xlfn.IFNA(INDEX(FieldDisagreements!C2:C999, MATCH(C937,FieldDisagreements!A2:A999, 0)), "")</f>
        <v>effortless-xlsx</v>
      </c>
      <c r="I937" s="3" t="str">
        <f>_xlfn.IFNA(INDEX(FieldDisagreements!D2:D999, MATCH(C937,FieldDisagreements!A2:A999, 0)), "")</f>
        <v>RoleSchemaViews.IsDegenerateView</v>
      </c>
      <c r="J937" s="2" t="s">
        <v>1906</v>
      </c>
    </row>
    <row r="938">
      <c r="A938" s="2" t="s">
        <v>16182</v>
      </c>
      <c r="B938" s="3" t="str">
        <f>_xlfn.CONCAT(C938, " @ ", D938)</f>
        <v>effortless-xlsx|RoleSchemaViews.IsDegenerateView @ rsv-knowledge-authority-agents</v>
      </c>
      <c r="C938" s="2" t="s">
        <v>14781</v>
      </c>
      <c r="D938" s="2" t="s">
        <v>13717</v>
      </c>
      <c r="E938" s="2" t="s">
        <v>15057</v>
      </c>
      <c r="F938" s="2" t="s">
        <v>15035</v>
      </c>
      <c r="G938" s="2" t="s">
        <v>14591</v>
      </c>
      <c r="H938" s="3" t="str">
        <f>_xlfn.IFNA(INDEX(FieldDisagreements!C2:C999, MATCH(C938,FieldDisagreements!A2:A999, 0)), "")</f>
        <v>effortless-xlsx</v>
      </c>
      <c r="I938" s="3" t="str">
        <f>_xlfn.IFNA(INDEX(FieldDisagreements!D2:D999, MATCH(C938,FieldDisagreements!A2:A999, 0)), "")</f>
        <v>RoleSchemaViews.IsDegenerateView</v>
      </c>
      <c r="J938" s="2" t="s">
        <v>1906</v>
      </c>
    </row>
    <row r="939">
      <c r="A939" s="2" t="s">
        <v>16183</v>
      </c>
      <c r="B939" s="3" t="str">
        <f>_xlfn.CONCAT(C939, " @ ", D939)</f>
        <v>effortless-xlsx|RoleSchemaViews.IsDegenerateView @ rsv-knowledge-authority-app_nav_groups</v>
      </c>
      <c r="C939" s="2" t="s">
        <v>14781</v>
      </c>
      <c r="D939" s="2" t="s">
        <v>13718</v>
      </c>
      <c r="E939" s="2" t="s">
        <v>15057</v>
      </c>
      <c r="F939" s="2" t="s">
        <v>15035</v>
      </c>
      <c r="G939" s="2" t="s">
        <v>14591</v>
      </c>
      <c r="H939" s="3" t="str">
        <f>_xlfn.IFNA(INDEX(FieldDisagreements!C2:C999, MATCH(C939,FieldDisagreements!A2:A999, 0)), "")</f>
        <v>effortless-xlsx</v>
      </c>
      <c r="I939" s="3" t="str">
        <f>_xlfn.IFNA(INDEX(FieldDisagreements!D2:D999, MATCH(C939,FieldDisagreements!A2:A999, 0)), "")</f>
        <v>RoleSchemaViews.IsDegenerateView</v>
      </c>
      <c r="J939" s="2" t="s">
        <v>1906</v>
      </c>
    </row>
    <row r="940">
      <c r="A940" s="2" t="s">
        <v>16184</v>
      </c>
      <c r="B940" s="3" t="str">
        <f>_xlfn.CONCAT(C940, " @ ", D940)</f>
        <v>effortless-xlsx|RoleSchemaViews.IsDegenerateView @ rsv-knowledge-authority-app_role_profiles</v>
      </c>
      <c r="C940" s="2" t="s">
        <v>14781</v>
      </c>
      <c r="D940" s="2" t="s">
        <v>13719</v>
      </c>
      <c r="E940" s="2" t="s">
        <v>15057</v>
      </c>
      <c r="F940" s="2" t="s">
        <v>15035</v>
      </c>
      <c r="G940" s="2" t="s">
        <v>14591</v>
      </c>
      <c r="H940" s="3" t="str">
        <f>_xlfn.IFNA(INDEX(FieldDisagreements!C2:C999, MATCH(C940,FieldDisagreements!A2:A999, 0)), "")</f>
        <v>effortless-xlsx</v>
      </c>
      <c r="I940" s="3" t="str">
        <f>_xlfn.IFNA(INDEX(FieldDisagreements!D2:D999, MATCH(C940,FieldDisagreements!A2:A999, 0)), "")</f>
        <v>RoleSchemaViews.IsDegenerateView</v>
      </c>
      <c r="J940" s="2" t="s">
        <v>1906</v>
      </c>
    </row>
    <row r="941">
      <c r="A941" s="2" t="s">
        <v>16185</v>
      </c>
      <c r="B941" s="3" t="str">
        <f>_xlfn.CONCAT(C941, " @ ", D941)</f>
        <v>effortless-xlsx|RoleSchemaViews.IsDegenerateView @ rsv-knowledge-authority-app_route_questions</v>
      </c>
      <c r="C941" s="2" t="s">
        <v>14781</v>
      </c>
      <c r="D941" s="2" t="s">
        <v>13720</v>
      </c>
      <c r="E941" s="2" t="s">
        <v>15057</v>
      </c>
      <c r="F941" s="2" t="s">
        <v>15035</v>
      </c>
      <c r="G941" s="2" t="s">
        <v>14591</v>
      </c>
      <c r="H941" s="3" t="str">
        <f>_xlfn.IFNA(INDEX(FieldDisagreements!C2:C999, MATCH(C941,FieldDisagreements!A2:A999, 0)), "")</f>
        <v>effortless-xlsx</v>
      </c>
      <c r="I941" s="3" t="str">
        <f>_xlfn.IFNA(INDEX(FieldDisagreements!D2:D999, MATCH(C941,FieldDisagreements!A2:A999, 0)), "")</f>
        <v>RoleSchemaViews.IsDegenerateView</v>
      </c>
      <c r="J941" s="2" t="s">
        <v>1906</v>
      </c>
    </row>
    <row r="942">
      <c r="A942" s="2" t="s">
        <v>16186</v>
      </c>
      <c r="B942" s="3" t="str">
        <f>_xlfn.CONCAT(C942, " @ ", D942)</f>
        <v>effortless-xlsx|RoleSchemaViews.IsDegenerateView @ rsv-knowledge-authority-app_route_references</v>
      </c>
      <c r="C942" s="2" t="s">
        <v>14781</v>
      </c>
      <c r="D942" s="2" t="s">
        <v>13721</v>
      </c>
      <c r="E942" s="2" t="s">
        <v>15057</v>
      </c>
      <c r="F942" s="2" t="s">
        <v>15035</v>
      </c>
      <c r="G942" s="2" t="s">
        <v>14591</v>
      </c>
      <c r="H942" s="3" t="str">
        <f>_xlfn.IFNA(INDEX(FieldDisagreements!C2:C999, MATCH(C942,FieldDisagreements!A2:A999, 0)), "")</f>
        <v>effortless-xlsx</v>
      </c>
      <c r="I942" s="3" t="str">
        <f>_xlfn.IFNA(INDEX(FieldDisagreements!D2:D999, MATCH(C942,FieldDisagreements!A2:A999, 0)), "")</f>
        <v>RoleSchemaViews.IsDegenerateView</v>
      </c>
      <c r="J942" s="2" t="s">
        <v>1906</v>
      </c>
    </row>
    <row r="943">
      <c r="A943" s="2" t="s">
        <v>16187</v>
      </c>
      <c r="B943" s="3" t="str">
        <f>_xlfn.CONCAT(C943, " @ ", D943)</f>
        <v>effortless-xlsx|RoleSchemaViews.IsDegenerateView @ rsv-knowledge-authority-app_routes</v>
      </c>
      <c r="C943" s="2" t="s">
        <v>14781</v>
      </c>
      <c r="D943" s="2" t="s">
        <v>13722</v>
      </c>
      <c r="E943" s="2" t="s">
        <v>15057</v>
      </c>
      <c r="F943" s="2" t="s">
        <v>15035</v>
      </c>
      <c r="G943" s="2" t="s">
        <v>14591</v>
      </c>
      <c r="H943" s="3" t="str">
        <f>_xlfn.IFNA(INDEX(FieldDisagreements!C2:C999, MATCH(C943,FieldDisagreements!A2:A999, 0)), "")</f>
        <v>effortless-xlsx</v>
      </c>
      <c r="I943" s="3" t="str">
        <f>_xlfn.IFNA(INDEX(FieldDisagreements!D2:D999, MATCH(C943,FieldDisagreements!A2:A999, 0)), "")</f>
        <v>RoleSchemaViews.IsDegenerateView</v>
      </c>
      <c r="J943" s="2" t="s">
        <v>1906</v>
      </c>
    </row>
    <row r="944">
      <c r="A944" s="2" t="s">
        <v>16188</v>
      </c>
      <c r="B944" s="3" t="str">
        <f>_xlfn.CONCAT(C944, " @ ", D944)</f>
        <v>effortless-xlsx|RoleSchemaViews.IsDegenerateView @ rsv-knowledge-authority-attestations</v>
      </c>
      <c r="C944" s="2" t="s">
        <v>14781</v>
      </c>
      <c r="D944" s="2" t="s">
        <v>13723</v>
      </c>
      <c r="E944" s="2" t="s">
        <v>15057</v>
      </c>
      <c r="F944" s="2" t="s">
        <v>15035</v>
      </c>
      <c r="G944" s="2" t="s">
        <v>14591</v>
      </c>
      <c r="H944" s="3" t="str">
        <f>_xlfn.IFNA(INDEX(FieldDisagreements!C2:C999, MATCH(C944,FieldDisagreements!A2:A999, 0)), "")</f>
        <v>effortless-xlsx</v>
      </c>
      <c r="I944" s="3" t="str">
        <f>_xlfn.IFNA(INDEX(FieldDisagreements!D2:D999, MATCH(C944,FieldDisagreements!A2:A999, 0)), "")</f>
        <v>RoleSchemaViews.IsDegenerateView</v>
      </c>
      <c r="J944" s="2" t="s">
        <v>1906</v>
      </c>
    </row>
    <row r="945">
      <c r="A945" s="2" t="s">
        <v>16189</v>
      </c>
      <c r="B945" s="3" t="str">
        <f>_xlfn.CONCAT(C945, " @ ", D945)</f>
        <v>effortless-xlsx|RoleSchemaViews.IsDegenerateView @ rsv-knowledge-authority-authority_boundaries</v>
      </c>
      <c r="C945" s="2" t="s">
        <v>14781</v>
      </c>
      <c r="D945" s="2" t="s">
        <v>13724</v>
      </c>
      <c r="E945" s="2" t="s">
        <v>15057</v>
      </c>
      <c r="F945" s="2" t="s">
        <v>15035</v>
      </c>
      <c r="G945" s="2" t="s">
        <v>14591</v>
      </c>
      <c r="H945" s="3" t="str">
        <f>_xlfn.IFNA(INDEX(FieldDisagreements!C2:C999, MATCH(C945,FieldDisagreements!A2:A999, 0)), "")</f>
        <v>effortless-xlsx</v>
      </c>
      <c r="I945" s="3" t="str">
        <f>_xlfn.IFNA(INDEX(FieldDisagreements!D2:D999, MATCH(C945,FieldDisagreements!A2:A999, 0)), "")</f>
        <v>RoleSchemaViews.IsDegenerateView</v>
      </c>
      <c r="J945" s="2" t="s">
        <v>1906</v>
      </c>
    </row>
    <row r="946">
      <c r="A946" s="2" t="s">
        <v>16190</v>
      </c>
      <c r="B946" s="3" t="str">
        <f>_xlfn.CONCAT(C946, " @ ", D946)</f>
        <v>effortless-xlsx|RoleSchemaViews.IsDegenerateView @ rsv-knowledge-authority-binding_observations</v>
      </c>
      <c r="C946" s="2" t="s">
        <v>14781</v>
      </c>
      <c r="D946" s="2" t="s">
        <v>13725</v>
      </c>
      <c r="E946" s="2" t="s">
        <v>15057</v>
      </c>
      <c r="F946" s="2" t="s">
        <v>15035</v>
      </c>
      <c r="G946" s="2" t="s">
        <v>14591</v>
      </c>
      <c r="H946" s="3" t="str">
        <f>_xlfn.IFNA(INDEX(FieldDisagreements!C2:C999, MATCH(C946,FieldDisagreements!A2:A999, 0)), "")</f>
        <v>effortless-xlsx</v>
      </c>
      <c r="I946" s="3" t="str">
        <f>_xlfn.IFNA(INDEX(FieldDisagreements!D2:D999, MATCH(C946,FieldDisagreements!A2:A999, 0)), "")</f>
        <v>RoleSchemaViews.IsDegenerateView</v>
      </c>
      <c r="J946" s="2" t="s">
        <v>1906</v>
      </c>
    </row>
    <row r="947">
      <c r="A947" s="2" t="s">
        <v>16191</v>
      </c>
      <c r="B947" s="3" t="str">
        <f>_xlfn.CONCAT(C947, " @ ", D947)</f>
        <v>effortless-xlsx|RoleSchemaViews.IsFullWidth @ rsv-communications-manager-communication_policies</v>
      </c>
      <c r="C947" s="2" t="s">
        <v>14782</v>
      </c>
      <c r="D947" s="2" t="s">
        <v>13622</v>
      </c>
      <c r="E947" s="2" t="s">
        <v>15035</v>
      </c>
      <c r="F947" s="2" t="s">
        <v>15057</v>
      </c>
      <c r="G947" s="2" t="s">
        <v>14591</v>
      </c>
      <c r="H947" s="3" t="str">
        <f>_xlfn.IFNA(INDEX(FieldDisagreements!C2:C999, MATCH(C947,FieldDisagreements!A2:A999, 0)), "")</f>
        <v>effortless-xlsx</v>
      </c>
      <c r="I947" s="3" t="str">
        <f>_xlfn.IFNA(INDEX(FieldDisagreements!D2:D999, MATCH(C947,FieldDisagreements!A2:A999, 0)), "")</f>
        <v>RoleSchemaViews.IsFullWidth</v>
      </c>
      <c r="J947" s="2" t="s">
        <v>1906</v>
      </c>
    </row>
    <row r="948">
      <c r="A948" s="2" t="s">
        <v>16192</v>
      </c>
      <c r="B948" s="3" t="str">
        <f>_xlfn.CONCAT(C948, " @ ", D948)</f>
        <v>effortless-xlsx|RoleSchemaViews.IsFullWidth @ rsv-knowledge-authority-actions</v>
      </c>
      <c r="C948" s="2" t="s">
        <v>14782</v>
      </c>
      <c r="D948" s="2" t="s">
        <v>13715</v>
      </c>
      <c r="E948" s="2" t="s">
        <v>15035</v>
      </c>
      <c r="F948" s="2" t="s">
        <v>15057</v>
      </c>
      <c r="G948" s="2" t="s">
        <v>14591</v>
      </c>
      <c r="H948" s="3" t="str">
        <f>_xlfn.IFNA(INDEX(FieldDisagreements!C2:C999, MATCH(C948,FieldDisagreements!A2:A999, 0)), "")</f>
        <v>effortless-xlsx</v>
      </c>
      <c r="I948" s="3" t="str">
        <f>_xlfn.IFNA(INDEX(FieldDisagreements!D2:D999, MATCH(C948,FieldDisagreements!A2:A999, 0)), "")</f>
        <v>RoleSchemaViews.IsFullWidth</v>
      </c>
      <c r="J948" s="2" t="s">
        <v>1906</v>
      </c>
    </row>
    <row r="949">
      <c r="A949" s="2" t="s">
        <v>16193</v>
      </c>
      <c r="B949" s="3" t="str">
        <f>_xlfn.CONCAT(C949, " @ ", D949)</f>
        <v>effortless-xlsx|RoleSchemaViews.IsFullWidth @ rsv-knowledge-authority-agent_decision_records</v>
      </c>
      <c r="C949" s="2" t="s">
        <v>14782</v>
      </c>
      <c r="D949" s="2" t="s">
        <v>13716</v>
      </c>
      <c r="E949" s="2" t="s">
        <v>15035</v>
      </c>
      <c r="F949" s="2" t="s">
        <v>15057</v>
      </c>
      <c r="G949" s="2" t="s">
        <v>14591</v>
      </c>
      <c r="H949" s="3" t="str">
        <f>_xlfn.IFNA(INDEX(FieldDisagreements!C2:C999, MATCH(C949,FieldDisagreements!A2:A999, 0)), "")</f>
        <v>effortless-xlsx</v>
      </c>
      <c r="I949" s="3" t="str">
        <f>_xlfn.IFNA(INDEX(FieldDisagreements!D2:D999, MATCH(C949,FieldDisagreements!A2:A999, 0)), "")</f>
        <v>RoleSchemaViews.IsFullWidth</v>
      </c>
      <c r="J949" s="2" t="s">
        <v>1906</v>
      </c>
    </row>
    <row r="950">
      <c r="A950" s="2" t="s">
        <v>16194</v>
      </c>
      <c r="B950" s="3" t="str">
        <f>_xlfn.CONCAT(C950, " @ ", D950)</f>
        <v>effortless-xlsx|RoleSchemaViews.IsFullWidth @ rsv-knowledge-authority-agents</v>
      </c>
      <c r="C950" s="2" t="s">
        <v>14782</v>
      </c>
      <c r="D950" s="2" t="s">
        <v>13717</v>
      </c>
      <c r="E950" s="2" t="s">
        <v>15035</v>
      </c>
      <c r="F950" s="2" t="s">
        <v>15057</v>
      </c>
      <c r="G950" s="2" t="s">
        <v>14591</v>
      </c>
      <c r="H950" s="3" t="str">
        <f>_xlfn.IFNA(INDEX(FieldDisagreements!C2:C999, MATCH(C950,FieldDisagreements!A2:A999, 0)), "")</f>
        <v>effortless-xlsx</v>
      </c>
      <c r="I950" s="3" t="str">
        <f>_xlfn.IFNA(INDEX(FieldDisagreements!D2:D999, MATCH(C950,FieldDisagreements!A2:A999, 0)), "")</f>
        <v>RoleSchemaViews.IsFullWidth</v>
      </c>
      <c r="J950" s="2" t="s">
        <v>1906</v>
      </c>
    </row>
    <row r="951">
      <c r="A951" s="2" t="s">
        <v>16195</v>
      </c>
      <c r="B951" s="3" t="str">
        <f>_xlfn.CONCAT(C951, " @ ", D951)</f>
        <v>effortless-xlsx|RoleSchemaViews.IsFullWidth @ rsv-knowledge-authority-app_nav_groups</v>
      </c>
      <c r="C951" s="2" t="s">
        <v>14782</v>
      </c>
      <c r="D951" s="2" t="s">
        <v>13718</v>
      </c>
      <c r="E951" s="2" t="s">
        <v>15035</v>
      </c>
      <c r="F951" s="2" t="s">
        <v>15057</v>
      </c>
      <c r="G951" s="2" t="s">
        <v>14591</v>
      </c>
      <c r="H951" s="3" t="str">
        <f>_xlfn.IFNA(INDEX(FieldDisagreements!C2:C999, MATCH(C951,FieldDisagreements!A2:A999, 0)), "")</f>
        <v>effortless-xlsx</v>
      </c>
      <c r="I951" s="3" t="str">
        <f>_xlfn.IFNA(INDEX(FieldDisagreements!D2:D999, MATCH(C951,FieldDisagreements!A2:A999, 0)), "")</f>
        <v>RoleSchemaViews.IsFullWidth</v>
      </c>
      <c r="J951" s="2" t="s">
        <v>1906</v>
      </c>
    </row>
    <row r="952">
      <c r="A952" s="2" t="s">
        <v>16196</v>
      </c>
      <c r="B952" s="3" t="str">
        <f>_xlfn.CONCAT(C952, " @ ", D952)</f>
        <v>effortless-xlsx|RoleSchemaViews.IsFullWidth @ rsv-knowledge-authority-app_role_profiles</v>
      </c>
      <c r="C952" s="2" t="s">
        <v>14782</v>
      </c>
      <c r="D952" s="2" t="s">
        <v>13719</v>
      </c>
      <c r="E952" s="2" t="s">
        <v>15035</v>
      </c>
      <c r="F952" s="2" t="s">
        <v>15057</v>
      </c>
      <c r="G952" s="2" t="s">
        <v>14591</v>
      </c>
      <c r="H952" s="3" t="str">
        <f>_xlfn.IFNA(INDEX(FieldDisagreements!C2:C999, MATCH(C952,FieldDisagreements!A2:A999, 0)), "")</f>
        <v>effortless-xlsx</v>
      </c>
      <c r="I952" s="3" t="str">
        <f>_xlfn.IFNA(INDEX(FieldDisagreements!D2:D999, MATCH(C952,FieldDisagreements!A2:A999, 0)), "")</f>
        <v>RoleSchemaViews.IsFullWidth</v>
      </c>
      <c r="J952" s="2" t="s">
        <v>1906</v>
      </c>
    </row>
    <row r="953">
      <c r="A953" s="2" t="s">
        <v>16197</v>
      </c>
      <c r="B953" s="3" t="str">
        <f>_xlfn.CONCAT(C953, " @ ", D953)</f>
        <v>effortless-xlsx|RoleSchemaViews.IsFullWidth @ rsv-knowledge-authority-app_route_questions</v>
      </c>
      <c r="C953" s="2" t="s">
        <v>14782</v>
      </c>
      <c r="D953" s="2" t="s">
        <v>13720</v>
      </c>
      <c r="E953" s="2" t="s">
        <v>15035</v>
      </c>
      <c r="F953" s="2" t="s">
        <v>15057</v>
      </c>
      <c r="G953" s="2" t="s">
        <v>14591</v>
      </c>
      <c r="H953" s="3" t="str">
        <f>_xlfn.IFNA(INDEX(FieldDisagreements!C2:C999, MATCH(C953,FieldDisagreements!A2:A999, 0)), "")</f>
        <v>effortless-xlsx</v>
      </c>
      <c r="I953" s="3" t="str">
        <f>_xlfn.IFNA(INDEX(FieldDisagreements!D2:D999, MATCH(C953,FieldDisagreements!A2:A999, 0)), "")</f>
        <v>RoleSchemaViews.IsFullWidth</v>
      </c>
      <c r="J953" s="2" t="s">
        <v>1906</v>
      </c>
    </row>
    <row r="954">
      <c r="A954" s="2" t="s">
        <v>16198</v>
      </c>
      <c r="B954" s="3" t="str">
        <f>_xlfn.CONCAT(C954, " @ ", D954)</f>
        <v>effortless-xlsx|RoleSchemaViews.IsFullWidth @ rsv-knowledge-authority-app_route_references</v>
      </c>
      <c r="C954" s="2" t="s">
        <v>14782</v>
      </c>
      <c r="D954" s="2" t="s">
        <v>13721</v>
      </c>
      <c r="E954" s="2" t="s">
        <v>15035</v>
      </c>
      <c r="F954" s="2" t="s">
        <v>15057</v>
      </c>
      <c r="G954" s="2" t="s">
        <v>14591</v>
      </c>
      <c r="H954" s="3" t="str">
        <f>_xlfn.IFNA(INDEX(FieldDisagreements!C2:C999, MATCH(C954,FieldDisagreements!A2:A999, 0)), "")</f>
        <v>effortless-xlsx</v>
      </c>
      <c r="I954" s="3" t="str">
        <f>_xlfn.IFNA(INDEX(FieldDisagreements!D2:D999, MATCH(C954,FieldDisagreements!A2:A999, 0)), "")</f>
        <v>RoleSchemaViews.IsFullWidth</v>
      </c>
      <c r="J954" s="2" t="s">
        <v>1906</v>
      </c>
    </row>
    <row r="955">
      <c r="A955" s="2" t="s">
        <v>16199</v>
      </c>
      <c r="B955" s="3" t="str">
        <f>_xlfn.CONCAT(C955, " @ ", D955)</f>
        <v>effortless-xlsx|RoleSchemaViews.IsFullWidth @ rsv-knowledge-authority-app_routes</v>
      </c>
      <c r="C955" s="2" t="s">
        <v>14782</v>
      </c>
      <c r="D955" s="2" t="s">
        <v>13722</v>
      </c>
      <c r="E955" s="2" t="s">
        <v>15035</v>
      </c>
      <c r="F955" s="2" t="s">
        <v>15057</v>
      </c>
      <c r="G955" s="2" t="s">
        <v>14591</v>
      </c>
      <c r="H955" s="3" t="str">
        <f>_xlfn.IFNA(INDEX(FieldDisagreements!C2:C999, MATCH(C955,FieldDisagreements!A2:A999, 0)), "")</f>
        <v>effortless-xlsx</v>
      </c>
      <c r="I955" s="3" t="str">
        <f>_xlfn.IFNA(INDEX(FieldDisagreements!D2:D999, MATCH(C955,FieldDisagreements!A2:A999, 0)), "")</f>
        <v>RoleSchemaViews.IsFullWidth</v>
      </c>
      <c r="J955" s="2" t="s">
        <v>1906</v>
      </c>
    </row>
    <row r="956">
      <c r="A956" s="2" t="s">
        <v>16200</v>
      </c>
      <c r="B956" s="3" t="str">
        <f>_xlfn.CONCAT(C956, " @ ", D956)</f>
        <v>effortless-xlsx|RoleSchemaViews.IsFullWidth @ rsv-knowledge-authority-attestations</v>
      </c>
      <c r="C956" s="2" t="s">
        <v>14782</v>
      </c>
      <c r="D956" s="2" t="s">
        <v>13723</v>
      </c>
      <c r="E956" s="2" t="s">
        <v>15035</v>
      </c>
      <c r="F956" s="2" t="s">
        <v>15057</v>
      </c>
      <c r="G956" s="2" t="s">
        <v>14591</v>
      </c>
      <c r="H956" s="3" t="str">
        <f>_xlfn.IFNA(INDEX(FieldDisagreements!C2:C999, MATCH(C956,FieldDisagreements!A2:A999, 0)), "")</f>
        <v>effortless-xlsx</v>
      </c>
      <c r="I956" s="3" t="str">
        <f>_xlfn.IFNA(INDEX(FieldDisagreements!D2:D999, MATCH(C956,FieldDisagreements!A2:A999, 0)), "")</f>
        <v>RoleSchemaViews.IsFullWidth</v>
      </c>
      <c r="J956" s="2" t="s">
        <v>1906</v>
      </c>
    </row>
    <row r="957">
      <c r="A957" s="2" t="s">
        <v>16201</v>
      </c>
      <c r="B957" s="3" t="str">
        <f>_xlfn.CONCAT(C957, " @ ", D957)</f>
        <v>effortless-xlsx|RoleSchemaViews.IsFullWidth @ rsv-knowledge-authority-authority_boundaries</v>
      </c>
      <c r="C957" s="2" t="s">
        <v>14782</v>
      </c>
      <c r="D957" s="2" t="s">
        <v>13724</v>
      </c>
      <c r="E957" s="2" t="s">
        <v>15035</v>
      </c>
      <c r="F957" s="2" t="s">
        <v>15057</v>
      </c>
      <c r="G957" s="2" t="s">
        <v>14591</v>
      </c>
      <c r="H957" s="3" t="str">
        <f>_xlfn.IFNA(INDEX(FieldDisagreements!C2:C999, MATCH(C957,FieldDisagreements!A2:A999, 0)), "")</f>
        <v>effortless-xlsx</v>
      </c>
      <c r="I957" s="3" t="str">
        <f>_xlfn.IFNA(INDEX(FieldDisagreements!D2:D999, MATCH(C957,FieldDisagreements!A2:A999, 0)), "")</f>
        <v>RoleSchemaViews.IsFullWidth</v>
      </c>
      <c r="J957" s="2" t="s">
        <v>1906</v>
      </c>
    </row>
    <row r="958">
      <c r="A958" s="2" t="s">
        <v>16202</v>
      </c>
      <c r="B958" s="3" t="str">
        <f>_xlfn.CONCAT(C958, " @ ", D958)</f>
        <v>effortless-xlsx|RoleSchemaViews.IsFullWidth @ rsv-knowledge-authority-binding_observations</v>
      </c>
      <c r="C958" s="2" t="s">
        <v>14782</v>
      </c>
      <c r="D958" s="2" t="s">
        <v>13725</v>
      </c>
      <c r="E958" s="2" t="s">
        <v>15035</v>
      </c>
      <c r="F958" s="2" t="s">
        <v>15057</v>
      </c>
      <c r="G958" s="2" t="s">
        <v>14591</v>
      </c>
      <c r="H958" s="3" t="str">
        <f>_xlfn.IFNA(INDEX(FieldDisagreements!C2:C999, MATCH(C958,FieldDisagreements!A2:A999, 0)), "")</f>
        <v>effortless-xlsx</v>
      </c>
      <c r="I958" s="3" t="str">
        <f>_xlfn.IFNA(INDEX(FieldDisagreements!D2:D999, MATCH(C958,FieldDisagreements!A2:A999, 0)), "")</f>
        <v>RoleSchemaViews.IsFullWidth</v>
      </c>
      <c r="J958" s="2" t="s">
        <v>1906</v>
      </c>
    </row>
    <row r="959">
      <c r="A959" s="2" t="s">
        <v>16203</v>
      </c>
      <c r="B959" s="3" t="str">
        <f>_xlfn.CONCAT(C959, " @ ", D959)</f>
        <v>effortless-xlsx|RoleSchemaViews.IsFullWidth @ rsv-knowledge-authority-change_requests</v>
      </c>
      <c r="C959" s="2" t="s">
        <v>14782</v>
      </c>
      <c r="D959" s="2" t="s">
        <v>13726</v>
      </c>
      <c r="E959" s="2" t="s">
        <v>15035</v>
      </c>
      <c r="F959" s="2" t="s">
        <v>15057</v>
      </c>
      <c r="G959" s="2" t="s">
        <v>14591</v>
      </c>
      <c r="H959" s="3" t="str">
        <f>_xlfn.IFNA(INDEX(FieldDisagreements!C2:C999, MATCH(C959,FieldDisagreements!A2:A999, 0)), "")</f>
        <v>effortless-xlsx</v>
      </c>
      <c r="I959" s="3" t="str">
        <f>_xlfn.IFNA(INDEX(FieldDisagreements!D2:D999, MATCH(C959,FieldDisagreements!A2:A999, 0)), "")</f>
        <v>RoleSchemaViews.IsFullWidth</v>
      </c>
      <c r="J959" s="2" t="s">
        <v>1906</v>
      </c>
    </row>
    <row r="960">
      <c r="A960" s="2" t="s">
        <v>16204</v>
      </c>
      <c r="B960" s="3" t="str">
        <f>_xlfn.CONCAT(C960, " @ ", D960)</f>
        <v>effortless-xlsx|RoleSchemaViews.IsFullWidth @ rsv-knowledge-authority-communication_policies</v>
      </c>
      <c r="C960" s="2" t="s">
        <v>14782</v>
      </c>
      <c r="D960" s="2" t="s">
        <v>13727</v>
      </c>
      <c r="E960" s="2" t="s">
        <v>15035</v>
      </c>
      <c r="F960" s="2" t="s">
        <v>15057</v>
      </c>
      <c r="G960" s="2" t="s">
        <v>14591</v>
      </c>
      <c r="H960" s="3" t="str">
        <f>_xlfn.IFNA(INDEX(FieldDisagreements!C2:C999, MATCH(C960,FieldDisagreements!A2:A999, 0)), "")</f>
        <v>effortless-xlsx</v>
      </c>
      <c r="I960" s="3" t="str">
        <f>_xlfn.IFNA(INDEX(FieldDisagreements!D2:D999, MATCH(C960,FieldDisagreements!A2:A999, 0)), "")</f>
        <v>RoleSchemaViews.IsFullWidth</v>
      </c>
      <c r="J960" s="2" t="s">
        <v>1906</v>
      </c>
    </row>
    <row r="961">
      <c r="A961" s="2" t="s">
        <v>16205</v>
      </c>
      <c r="B961" s="3" t="str">
        <f>_xlfn.CONCAT(C961, " @ ", D961)</f>
        <v>effortless-xlsx|RoleSchemaViews.IsFullWidth @ rsv-knowledge-authority-communities_of_practice</v>
      </c>
      <c r="C961" s="2" t="s">
        <v>14782</v>
      </c>
      <c r="D961" s="2" t="s">
        <v>13728</v>
      </c>
      <c r="E961" s="2" t="s">
        <v>15035</v>
      </c>
      <c r="F961" s="2" t="s">
        <v>15057</v>
      </c>
      <c r="G961" s="2" t="s">
        <v>14591</v>
      </c>
      <c r="H961" s="3" t="str">
        <f>_xlfn.IFNA(INDEX(FieldDisagreements!C2:C999, MATCH(C961,FieldDisagreements!A2:A999, 0)), "")</f>
        <v>effortless-xlsx</v>
      </c>
      <c r="I961" s="3" t="str">
        <f>_xlfn.IFNA(INDEX(FieldDisagreements!D2:D999, MATCH(C961,FieldDisagreements!A2:A999, 0)), "")</f>
        <v>RoleSchemaViews.IsFullWidth</v>
      </c>
      <c r="J961" s="2" t="s">
        <v>1906</v>
      </c>
    </row>
    <row r="962">
      <c r="A962" s="2" t="s">
        <v>16206</v>
      </c>
      <c r="B962" s="3" t="str">
        <f>_xlfn.CONCAT(C962, " @ ", D962)</f>
        <v>effortless-xlsx|RoleSchemaViews.IsFullWidth @ rsv-knowledge-authority-delivered_communications</v>
      </c>
      <c r="C962" s="2" t="s">
        <v>14782</v>
      </c>
      <c r="D962" s="2" t="s">
        <v>13729</v>
      </c>
      <c r="E962" s="2" t="s">
        <v>15035</v>
      </c>
      <c r="F962" s="2" t="s">
        <v>15057</v>
      </c>
      <c r="G962" s="2" t="s">
        <v>14591</v>
      </c>
      <c r="H962" s="3" t="str">
        <f>_xlfn.IFNA(INDEX(FieldDisagreements!C2:C999, MATCH(C962,FieldDisagreements!A2:A999, 0)), "")</f>
        <v>effortless-xlsx</v>
      </c>
      <c r="I962" s="3" t="str">
        <f>_xlfn.IFNA(INDEX(FieldDisagreements!D2:D999, MATCH(C962,FieldDisagreements!A2:A999, 0)), "")</f>
        <v>RoleSchemaViews.IsFullWidth</v>
      </c>
      <c r="J962" s="2" t="s">
        <v>1906</v>
      </c>
    </row>
    <row r="963">
      <c r="A963" s="2" t="s">
        <v>16207</v>
      </c>
      <c r="B963" s="3" t="str">
        <f>_xlfn.CONCAT(C963, " @ ", D963)</f>
        <v>effortless-xlsx|RoleSchemaViews.IsFullWidth @ rsv-knowledge-authority-elicitation_sessions</v>
      </c>
      <c r="C963" s="2" t="s">
        <v>14782</v>
      </c>
      <c r="D963" s="2" t="s">
        <v>13730</v>
      </c>
      <c r="E963" s="2" t="s">
        <v>15035</v>
      </c>
      <c r="F963" s="2" t="s">
        <v>15057</v>
      </c>
      <c r="G963" s="2" t="s">
        <v>14591</v>
      </c>
      <c r="H963" s="3" t="str">
        <f>_xlfn.IFNA(INDEX(FieldDisagreements!C2:C999, MATCH(C963,FieldDisagreements!A2:A999, 0)), "")</f>
        <v>effortless-xlsx</v>
      </c>
      <c r="I963" s="3" t="str">
        <f>_xlfn.IFNA(INDEX(FieldDisagreements!D2:D999, MATCH(C963,FieldDisagreements!A2:A999, 0)), "")</f>
        <v>RoleSchemaViews.IsFullWidth</v>
      </c>
      <c r="J963" s="2" t="s">
        <v>1906</v>
      </c>
    </row>
    <row r="964">
      <c r="A964" s="2" t="s">
        <v>16208</v>
      </c>
      <c r="B964" s="3" t="str">
        <f>_xlfn.CONCAT(C964, " @ ", D964)</f>
        <v>effortless-xlsx|RoleSchemaViews.IsFullWidth @ rsv-knowledge-authority-errors</v>
      </c>
      <c r="C964" s="2" t="s">
        <v>14782</v>
      </c>
      <c r="D964" s="2" t="s">
        <v>13731</v>
      </c>
      <c r="E964" s="2" t="s">
        <v>15035</v>
      </c>
      <c r="F964" s="2" t="s">
        <v>15057</v>
      </c>
      <c r="G964" s="2" t="s">
        <v>14591</v>
      </c>
      <c r="H964" s="3" t="str">
        <f>_xlfn.IFNA(INDEX(FieldDisagreements!C2:C999, MATCH(C964,FieldDisagreements!A2:A999, 0)), "")</f>
        <v>effortless-xlsx</v>
      </c>
      <c r="I964" s="3" t="str">
        <f>_xlfn.IFNA(INDEX(FieldDisagreements!D2:D999, MATCH(C964,FieldDisagreements!A2:A999, 0)), "")</f>
        <v>RoleSchemaViews.IsFullWidth</v>
      </c>
      <c r="J964" s="2" t="s">
        <v>1906</v>
      </c>
    </row>
    <row r="965">
      <c r="A965" s="2" t="s">
        <v>16209</v>
      </c>
      <c r="B965" s="3" t="str">
        <f>_xlfn.CONCAT(C965, " @ ", D965)</f>
        <v>effortless-xlsx|RoleSchemaViews.IsFullWidth @ rsv-knowledge-authority-evaluation_contexts</v>
      </c>
      <c r="C965" s="2" t="s">
        <v>14782</v>
      </c>
      <c r="D965" s="2" t="s">
        <v>13732</v>
      </c>
      <c r="E965" s="2" t="s">
        <v>15035</v>
      </c>
      <c r="F965" s="2" t="s">
        <v>15057</v>
      </c>
      <c r="G965" s="2" t="s">
        <v>14591</v>
      </c>
      <c r="H965" s="3" t="str">
        <f>_xlfn.IFNA(INDEX(FieldDisagreements!C2:C999, MATCH(C965,FieldDisagreements!A2:A999, 0)), "")</f>
        <v>effortless-xlsx</v>
      </c>
      <c r="I965" s="3" t="str">
        <f>_xlfn.IFNA(INDEX(FieldDisagreements!D2:D999, MATCH(C965,FieldDisagreements!A2:A999, 0)), "")</f>
        <v>RoleSchemaViews.IsFullWidth</v>
      </c>
      <c r="J965" s="2" t="s">
        <v>1906</v>
      </c>
    </row>
    <row r="966">
      <c r="A966" s="2" t="s">
        <v>16210</v>
      </c>
      <c r="B966" s="3" t="str">
        <f>_xlfn.CONCAT(C966, " @ ", D966)</f>
        <v>effortless-xlsx|RoleSchemaViews.IsFullWidth @ rsv-knowledge-authority-exception_invocations</v>
      </c>
      <c r="C966" s="2" t="s">
        <v>14782</v>
      </c>
      <c r="D966" s="2" t="s">
        <v>13733</v>
      </c>
      <c r="E966" s="2" t="s">
        <v>15035</v>
      </c>
      <c r="F966" s="2" t="s">
        <v>15057</v>
      </c>
      <c r="G966" s="2" t="s">
        <v>14591</v>
      </c>
      <c r="H966" s="3" t="str">
        <f>_xlfn.IFNA(INDEX(FieldDisagreements!C2:C999, MATCH(C966,FieldDisagreements!A2:A999, 0)), "")</f>
        <v>effortless-xlsx</v>
      </c>
      <c r="I966" s="3" t="str">
        <f>_xlfn.IFNA(INDEX(FieldDisagreements!D2:D999, MATCH(C966,FieldDisagreements!A2:A999, 0)), "")</f>
        <v>RoleSchemaViews.IsFullWidth</v>
      </c>
      <c r="J966" s="2" t="s">
        <v>1906</v>
      </c>
    </row>
    <row r="967">
      <c r="A967" s="2" t="s">
        <v>16211</v>
      </c>
      <c r="B967" s="3" t="str">
        <f>_xlfn.CONCAT(C967, " @ ", D967)</f>
        <v>effortless-xlsx|ProcessMiningRuns.Name @ pmr-close-v10-archived</v>
      </c>
      <c r="C967" s="2" t="s">
        <v>14783</v>
      </c>
      <c r="D967" s="2" t="s">
        <v>13897</v>
      </c>
      <c r="E967" s="2" t="s">
        <v>15205</v>
      </c>
      <c r="F967" s="2" t="s">
        <v>16212</v>
      </c>
      <c r="G967" s="2" t="s">
        <v>14591</v>
      </c>
      <c r="H967" s="3" t="str">
        <f>_xlfn.IFNA(INDEX(FieldDisagreements!C2:C999, MATCH(C967,FieldDisagreements!A2:A999, 0)), "")</f>
        <v>effortless-xlsx</v>
      </c>
      <c r="I967" s="3" t="str">
        <f>_xlfn.IFNA(INDEX(FieldDisagreements!D2:D999, MATCH(C967,FieldDisagreements!A2:A999, 0)), "")</f>
        <v>ProcessMiningRuns.Name</v>
      </c>
      <c r="J967" s="2" t="s">
        <v>1906</v>
      </c>
    </row>
    <row r="968">
      <c r="A968" s="2" t="s">
        <v>16213</v>
      </c>
      <c r="B968" s="3" t="str">
        <f>_xlfn.CONCAT(C968, " @ ", D968)</f>
        <v>effortless-xlsx|ProcessMiningRuns.Name @ pmr-close-v11-cutoff-bypass</v>
      </c>
      <c r="C968" s="2" t="s">
        <v>14783</v>
      </c>
      <c r="D968" s="2" t="s">
        <v>13893</v>
      </c>
      <c r="E968" s="2" t="s">
        <v>15208</v>
      </c>
      <c r="F968" s="2" t="s">
        <v>16214</v>
      </c>
      <c r="G968" s="2" t="s">
        <v>14591</v>
      </c>
      <c r="H968" s="3" t="str">
        <f>_xlfn.IFNA(INDEX(FieldDisagreements!C2:C999, MATCH(C968,FieldDisagreements!A2:A999, 0)), "")</f>
        <v>effortless-xlsx</v>
      </c>
      <c r="I968" s="3" t="str">
        <f>_xlfn.IFNA(INDEX(FieldDisagreements!D2:D999, MATCH(C968,FieldDisagreements!A2:A999, 0)), "")</f>
        <v>ProcessMiningRuns.Name</v>
      </c>
      <c r="J968" s="2" t="s">
        <v>1906</v>
      </c>
    </row>
    <row r="969">
      <c r="A969" s="2" t="s">
        <v>16215</v>
      </c>
      <c r="B969" s="3" t="str">
        <f>_xlfn.CONCAT(C969, " @ ", D969)</f>
        <v>effortless-xlsx|ProcessMiningRuns.Name @ pmr-close-v11-q3</v>
      </c>
      <c r="C969" s="2" t="s">
        <v>14783</v>
      </c>
      <c r="D969" s="2" t="s">
        <v>13890</v>
      </c>
      <c r="E969" s="2" t="s">
        <v>15211</v>
      </c>
      <c r="F969" s="2" t="s">
        <v>16216</v>
      </c>
      <c r="G969" s="2" t="s">
        <v>14591</v>
      </c>
      <c r="H969" s="3" t="str">
        <f>_xlfn.IFNA(INDEX(FieldDisagreements!C2:C999, MATCH(C969,FieldDisagreements!A2:A999, 0)), "")</f>
        <v>effortless-xlsx</v>
      </c>
      <c r="I969" s="3" t="str">
        <f>_xlfn.IFNA(INDEX(FieldDisagreements!D2:D999, MATCH(C969,FieldDisagreements!A2:A999, 0)), "")</f>
        <v>ProcessMiningRuns.Name</v>
      </c>
      <c r="J969" s="2" t="s">
        <v>1906</v>
      </c>
    </row>
    <row r="970">
      <c r="A970" s="2" t="s">
        <v>16217</v>
      </c>
      <c r="B970" s="3" t="str">
        <f>_xlfn.CONCAT(C970, " @ ", D970)</f>
        <v>effortless-xlsx|ProcessMiningRuns.Name @ pmr-policy-v1-notify</v>
      </c>
      <c r="C970" s="2" t="s">
        <v>14783</v>
      </c>
      <c r="D970" s="2" t="s">
        <v>13895</v>
      </c>
      <c r="E970" s="2" t="s">
        <v>15214</v>
      </c>
      <c r="F970" s="2" t="s">
        <v>16218</v>
      </c>
      <c r="G970" s="2" t="s">
        <v>14591</v>
      </c>
      <c r="H970" s="3" t="str">
        <f>_xlfn.IFNA(INDEX(FieldDisagreements!C2:C999, MATCH(C970,FieldDisagreements!A2:A999, 0)), "")</f>
        <v>effortless-xlsx</v>
      </c>
      <c r="I970" s="3" t="str">
        <f>_xlfn.IFNA(INDEX(FieldDisagreements!D2:D999, MATCH(C970,FieldDisagreements!A2:A999, 0)), "")</f>
        <v>ProcessMiningRuns.Name</v>
      </c>
      <c r="J970" s="2" t="s">
        <v>1906</v>
      </c>
    </row>
    <row r="971">
      <c r="A971" s="2" t="s">
        <v>16219</v>
      </c>
      <c r="B971" s="3" t="str">
        <f>_xlfn.CONCAT(C971, " @ ", D971)</f>
        <v>effortless-xlsx|ProcessMiningRuns.AsOfInstant @ pmr-close-v10-archived</v>
      </c>
      <c r="C971" s="2" t="s">
        <v>14784</v>
      </c>
      <c r="D971" s="2" t="s">
        <v>13897</v>
      </c>
      <c r="E971" s="2" t="s">
        <v>15271</v>
      </c>
      <c r="F971" s="2" t="s">
        <v>15272</v>
      </c>
      <c r="G971" s="2" t="s">
        <v>14591</v>
      </c>
      <c r="H971" s="3" t="str">
        <f>_xlfn.IFNA(INDEX(FieldDisagreements!C2:C999, MATCH(C971,FieldDisagreements!A2:A999, 0)), "")</f>
        <v>effortless-xlsx</v>
      </c>
      <c r="I971" s="3" t="str">
        <f>_xlfn.IFNA(INDEX(FieldDisagreements!D2:D999, MATCH(C971,FieldDisagreements!A2:A999, 0)), "")</f>
        <v>ProcessMiningRuns.AsOfInstant</v>
      </c>
      <c r="J971" s="2" t="s">
        <v>1906</v>
      </c>
    </row>
    <row r="972">
      <c r="A972" s="2" t="s">
        <v>16220</v>
      </c>
      <c r="B972" s="3" t="str">
        <f>_xlfn.CONCAT(C972, " @ ", D972)</f>
        <v>effortless-xlsx|ProcessMiningRuns.AsOfInstant @ pmr-close-v11-cutoff-bypass</v>
      </c>
      <c r="C972" s="2" t="s">
        <v>14784</v>
      </c>
      <c r="D972" s="2" t="s">
        <v>13893</v>
      </c>
      <c r="E972" s="2" t="s">
        <v>15271</v>
      </c>
      <c r="F972" s="2" t="s">
        <v>15272</v>
      </c>
      <c r="G972" s="2" t="s">
        <v>14591</v>
      </c>
      <c r="H972" s="3" t="str">
        <f>_xlfn.IFNA(INDEX(FieldDisagreements!C2:C999, MATCH(C972,FieldDisagreements!A2:A999, 0)), "")</f>
        <v>effortless-xlsx</v>
      </c>
      <c r="I972" s="3" t="str">
        <f>_xlfn.IFNA(INDEX(FieldDisagreements!D2:D999, MATCH(C972,FieldDisagreements!A2:A999, 0)), "")</f>
        <v>ProcessMiningRuns.AsOfInstant</v>
      </c>
      <c r="J972" s="2" t="s">
        <v>1906</v>
      </c>
    </row>
    <row r="973">
      <c r="A973" s="2" t="s">
        <v>16221</v>
      </c>
      <c r="B973" s="3" t="str">
        <f>_xlfn.CONCAT(C973, " @ ", D973)</f>
        <v>effortless-xlsx|ProcessMiningRuns.AsOfInstant @ pmr-close-v11-q3</v>
      </c>
      <c r="C973" s="2" t="s">
        <v>14784</v>
      </c>
      <c r="D973" s="2" t="s">
        <v>13890</v>
      </c>
      <c r="E973" s="2" t="s">
        <v>15271</v>
      </c>
      <c r="F973" s="2" t="s">
        <v>15272</v>
      </c>
      <c r="G973" s="2" t="s">
        <v>14591</v>
      </c>
      <c r="H973" s="3" t="str">
        <f>_xlfn.IFNA(INDEX(FieldDisagreements!C2:C999, MATCH(C973,FieldDisagreements!A2:A999, 0)), "")</f>
        <v>effortless-xlsx</v>
      </c>
      <c r="I973" s="3" t="str">
        <f>_xlfn.IFNA(INDEX(FieldDisagreements!D2:D999, MATCH(C973,FieldDisagreements!A2:A999, 0)), "")</f>
        <v>ProcessMiningRuns.AsOfInstant</v>
      </c>
      <c r="J973" s="2" t="s">
        <v>1906</v>
      </c>
    </row>
    <row r="974">
      <c r="A974" s="2" t="s">
        <v>16222</v>
      </c>
      <c r="B974" s="3" t="str">
        <f>_xlfn.CONCAT(C974, " @ ", D974)</f>
        <v>effortless-xlsx|ProcessMiningRuns.AsOfInstant @ pmr-policy-v1-notify</v>
      </c>
      <c r="C974" s="2" t="s">
        <v>14784</v>
      </c>
      <c r="D974" s="2" t="s">
        <v>13895</v>
      </c>
      <c r="E974" s="2" t="s">
        <v>15271</v>
      </c>
      <c r="F974" s="2" t="s">
        <v>15272</v>
      </c>
      <c r="G974" s="2" t="s">
        <v>14591</v>
      </c>
      <c r="H974" s="3" t="str">
        <f>_xlfn.IFNA(INDEX(FieldDisagreements!C2:C999, MATCH(C974,FieldDisagreements!A2:A999, 0)), "")</f>
        <v>effortless-xlsx</v>
      </c>
      <c r="I974" s="3" t="str">
        <f>_xlfn.IFNA(INDEX(FieldDisagreements!D2:D999, MATCH(C974,FieldDisagreements!A2:A999, 0)), "")</f>
        <v>ProcessMiningRuns.AsOfInstant</v>
      </c>
      <c r="J974" s="2" t="s">
        <v>1906</v>
      </c>
    </row>
    <row r="975">
      <c r="A975" s="2" t="s">
        <v>16223</v>
      </c>
      <c r="B975" s="3" t="str">
        <f>_xlfn.CONCAT(C975, " @ ", D975)</f>
        <v>effortless-xlsx|KnowledgeBrokerLinks.AsOfInstant @ kbl-amina-jordan-sod</v>
      </c>
      <c r="C975" s="2" t="s">
        <v>14785</v>
      </c>
      <c r="D975" s="2" t="s">
        <v>13948</v>
      </c>
      <c r="E975" s="2" t="s">
        <v>15271</v>
      </c>
      <c r="F975" s="2" t="s">
        <v>15272</v>
      </c>
      <c r="G975" s="2" t="s">
        <v>14591</v>
      </c>
      <c r="H975" s="3" t="str">
        <f>_xlfn.IFNA(INDEX(FieldDisagreements!C2:C999, MATCH(C975,FieldDisagreements!A2:A999, 0)), "")</f>
        <v>effortless-xlsx</v>
      </c>
      <c r="I975" s="3" t="str">
        <f>_xlfn.IFNA(INDEX(FieldDisagreements!D2:D999, MATCH(C975,FieldDisagreements!A2:A999, 0)), "")</f>
        <v>KnowledgeBrokerLinks.AsOfInstant</v>
      </c>
      <c r="J975" s="2" t="s">
        <v>1906</v>
      </c>
    </row>
    <row r="976">
      <c r="A976" s="2" t="s">
        <v>16224</v>
      </c>
      <c r="B976" s="3" t="str">
        <f>_xlfn.CONCAT(C976, " @ ", D976)</f>
        <v>effortless-xlsx|KnowledgeBrokerLinks.AsOfInstant @ kbl-devon-priya-recon</v>
      </c>
      <c r="C976" s="2" t="s">
        <v>14785</v>
      </c>
      <c r="D976" s="2" t="s">
        <v>13945</v>
      </c>
      <c r="E976" s="2" t="s">
        <v>15271</v>
      </c>
      <c r="F976" s="2" t="s">
        <v>15272</v>
      </c>
      <c r="G976" s="2" t="s">
        <v>14591</v>
      </c>
      <c r="H976" s="3" t="str">
        <f>_xlfn.IFNA(INDEX(FieldDisagreements!C2:C999, MATCH(C976,FieldDisagreements!A2:A999, 0)), "")</f>
        <v>effortless-xlsx</v>
      </c>
      <c r="I976" s="3" t="str">
        <f>_xlfn.IFNA(INDEX(FieldDisagreements!D2:D999, MATCH(C976,FieldDisagreements!A2:A999, 0)), "")</f>
        <v>KnowledgeBrokerLinks.AsOfInstant</v>
      </c>
      <c r="J976" s="2" t="s">
        <v>1906</v>
      </c>
    </row>
    <row r="977">
      <c r="A977" s="2" t="s">
        <v>16225</v>
      </c>
      <c r="B977" s="3" t="str">
        <f>_xlfn.CONCAT(C977, " @ ", D977)</f>
        <v>effortless-xlsx|KnowledgeBrokerLinks.AsOfInstant @ kbl-elena-priya-sod</v>
      </c>
      <c r="C977" s="2" t="s">
        <v>14785</v>
      </c>
      <c r="D977" s="2" t="s">
        <v>13947</v>
      </c>
      <c r="E977" s="2" t="s">
        <v>15271</v>
      </c>
      <c r="F977" s="2" t="s">
        <v>15272</v>
      </c>
      <c r="G977" s="2" t="s">
        <v>14591</v>
      </c>
      <c r="H977" s="3" t="str">
        <f>_xlfn.IFNA(INDEX(FieldDisagreements!C2:C999, MATCH(C977,FieldDisagreements!A2:A999, 0)), "")</f>
        <v>effortless-xlsx</v>
      </c>
      <c r="I977" s="3" t="str">
        <f>_xlfn.IFNA(INDEX(FieldDisagreements!D2:D999, MATCH(C977,FieldDisagreements!A2:A999, 0)), "")</f>
        <v>KnowledgeBrokerLinks.AsOfInstant</v>
      </c>
      <c r="J977" s="2" t="s">
        <v>1906</v>
      </c>
    </row>
    <row r="978">
      <c r="A978" s="2" t="s">
        <v>16226</v>
      </c>
      <c r="B978" s="3" t="str">
        <f>_xlfn.CONCAT(C978, " @ ", D978)</f>
        <v>effortless-xlsx|KnowledgeBrokerLinks.AsOfInstant @ kbl-maria-priya-recon</v>
      </c>
      <c r="C978" s="2" t="s">
        <v>14785</v>
      </c>
      <c r="D978" s="2" t="s">
        <v>13943</v>
      </c>
      <c r="E978" s="2" t="s">
        <v>15271</v>
      </c>
      <c r="F978" s="2" t="s">
        <v>15272</v>
      </c>
      <c r="G978" s="2" t="s">
        <v>14591</v>
      </c>
      <c r="H978" s="3" t="str">
        <f>_xlfn.IFNA(INDEX(FieldDisagreements!C2:C999, MATCH(C978,FieldDisagreements!A2:A999, 0)), "")</f>
        <v>effortless-xlsx</v>
      </c>
      <c r="I978" s="3" t="str">
        <f>_xlfn.IFNA(INDEX(FieldDisagreements!D2:D999, MATCH(C978,FieldDisagreements!A2:A999, 0)), "")</f>
        <v>KnowledgeBrokerLinks.AsOfInstant</v>
      </c>
      <c r="J978" s="2" t="s">
        <v>1906</v>
      </c>
    </row>
    <row r="979">
      <c r="A979" s="2" t="s">
        <v>16227</v>
      </c>
      <c r="B979" s="3" t="str">
        <f>_xlfn.CONCAT(C979, " @ ", D979)</f>
        <v>effortless-xlsx|KnowledgeBrokerLinks.AsOfInstant @ kbl-noah-elena-quiet</v>
      </c>
      <c r="C979" s="2" t="s">
        <v>14785</v>
      </c>
      <c r="D979" s="2" t="s">
        <v>13949</v>
      </c>
      <c r="E979" s="2" t="s">
        <v>15271</v>
      </c>
      <c r="F979" s="2" t="s">
        <v>15272</v>
      </c>
      <c r="G979" s="2" t="s">
        <v>14591</v>
      </c>
      <c r="H979" s="3" t="str">
        <f>_xlfn.IFNA(INDEX(FieldDisagreements!C2:C999, MATCH(C979,FieldDisagreements!A2:A999, 0)), "")</f>
        <v>effortless-xlsx</v>
      </c>
      <c r="I979" s="3" t="str">
        <f>_xlfn.IFNA(INDEX(FieldDisagreements!D2:D999, MATCH(C979,FieldDisagreements!A2:A999, 0)), "")</f>
        <v>KnowledgeBrokerLinks.AsOfInstant</v>
      </c>
      <c r="J979" s="2" t="s">
        <v>1906</v>
      </c>
    </row>
    <row r="980">
      <c r="A980" s="2" t="s">
        <v>16228</v>
      </c>
      <c r="B980" s="3" t="str">
        <f>_xlfn.CONCAT(C980, " @ ", D980)</f>
        <v>effortless-entity-framework|EvaluationContexts.Name @ eval-current</v>
      </c>
      <c r="C980" s="2" t="s">
        <v>14786</v>
      </c>
      <c r="D980" s="2" t="s">
        <v>95</v>
      </c>
      <c r="E980" s="2" t="s">
        <v>14993</v>
      </c>
      <c r="F980" s="2" t="s">
        <v>14994</v>
      </c>
      <c r="G980" s="2" t="s">
        <v>14591</v>
      </c>
      <c r="H980" s="3" t="str">
        <f>_xlfn.IFNA(INDEX(FieldDisagreements!C2:C999, MATCH(C980,FieldDisagreements!A2:A999, 0)), "")</f>
        <v>effortless-entity-framework</v>
      </c>
      <c r="I980" s="3" t="str">
        <f>_xlfn.IFNA(INDEX(FieldDisagreements!D2:D999, MATCH(C980,FieldDisagreements!A2:A999, 0)), "")</f>
        <v>EvaluationContexts.Name</v>
      </c>
      <c r="J980" s="2" t="s">
        <v>1906</v>
      </c>
    </row>
    <row r="981">
      <c r="A981" s="2" t="s">
        <v>16229</v>
      </c>
      <c r="B981" s="3" t="str">
        <f>_xlfn.CONCAT(C981, " @ ", D981)</f>
        <v>effortless-entity-framework|RoleAssignments.Name @ ra-authority-2026</v>
      </c>
      <c r="C981" s="2" t="s">
        <v>14787</v>
      </c>
      <c r="D981" s="2" t="s">
        <v>251</v>
      </c>
      <c r="E981" s="2" t="s">
        <v>14996</v>
      </c>
      <c r="F981" s="2" t="s">
        <v>14997</v>
      </c>
      <c r="G981" s="2" t="s">
        <v>14591</v>
      </c>
      <c r="H981" s="3" t="str">
        <f>_xlfn.IFNA(INDEX(FieldDisagreements!C2:C999, MATCH(C981,FieldDisagreements!A2:A999, 0)), "")</f>
        <v>effortless-entity-framework</v>
      </c>
      <c r="I981" s="3" t="str">
        <f>_xlfn.IFNA(INDEX(FieldDisagreements!D2:D999, MATCH(C981,FieldDisagreements!A2:A999, 0)), "")</f>
        <v>RoleAssignments.Name</v>
      </c>
      <c r="J981" s="2" t="s">
        <v>1906</v>
      </c>
    </row>
    <row r="982">
      <c r="A982" s="2" t="s">
        <v>16230</v>
      </c>
      <c r="B982" s="3" t="str">
        <f>_xlfn.CONCAT(C982, " @ ", D982)</f>
        <v>effortless-entity-framework|RoleAssignments.Name @ ra-cfo-2026</v>
      </c>
      <c r="C982" s="2" t="s">
        <v>14787</v>
      </c>
      <c r="D982" s="2" t="s">
        <v>215</v>
      </c>
      <c r="E982" s="2" t="s">
        <v>14999</v>
      </c>
      <c r="F982" s="2" t="s">
        <v>15000</v>
      </c>
      <c r="G982" s="2" t="s">
        <v>14591</v>
      </c>
      <c r="H982" s="3" t="str">
        <f>_xlfn.IFNA(INDEX(FieldDisagreements!C2:C999, MATCH(C982,FieldDisagreements!A2:A999, 0)), "")</f>
        <v>effortless-entity-framework</v>
      </c>
      <c r="I982" s="3" t="str">
        <f>_xlfn.IFNA(INDEX(FieldDisagreements!D2:D999, MATCH(C982,FieldDisagreements!A2:A999, 0)), "")</f>
        <v>RoleAssignments.Name</v>
      </c>
      <c r="J982" s="2" t="s">
        <v>1906</v>
      </c>
    </row>
    <row r="983">
      <c r="A983" s="2" t="s">
        <v>16231</v>
      </c>
      <c r="B983" s="3" t="str">
        <f>_xlfn.CONCAT(C983, " @ ", D983)</f>
        <v>effortless-entity-framework|RoleAssignments.Name @ ra-close-pipeline-2026</v>
      </c>
      <c r="C983" s="2" t="s">
        <v>14787</v>
      </c>
      <c r="D983" s="2" t="s">
        <v>231</v>
      </c>
      <c r="E983" s="2" t="s">
        <v>15002</v>
      </c>
      <c r="F983" s="2" t="s">
        <v>15003</v>
      </c>
      <c r="G983" s="2" t="s">
        <v>14591</v>
      </c>
      <c r="H983" s="3" t="str">
        <f>_xlfn.IFNA(INDEX(FieldDisagreements!C2:C999, MATCH(C983,FieldDisagreements!A2:A999, 0)), "")</f>
        <v>effortless-entity-framework</v>
      </c>
      <c r="I983" s="3" t="str">
        <f>_xlfn.IFNA(INDEX(FieldDisagreements!D2:D999, MATCH(C983,FieldDisagreements!A2:A999, 0)), "")</f>
        <v>RoleAssignments.Name</v>
      </c>
      <c r="J983" s="2" t="s">
        <v>1906</v>
      </c>
    </row>
    <row r="984">
      <c r="A984" s="2" t="s">
        <v>16232</v>
      </c>
      <c r="B984" s="3" t="str">
        <f>_xlfn.CONCAT(C984, " @ ", D984)</f>
        <v>effortless-entity-framework|RoleAssignments.Name @ ra-comms-2026</v>
      </c>
      <c r="C984" s="2" t="s">
        <v>14787</v>
      </c>
      <c r="D984" s="2" t="s">
        <v>227</v>
      </c>
      <c r="E984" s="2" t="s">
        <v>15005</v>
      </c>
      <c r="F984" s="2" t="s">
        <v>15006</v>
      </c>
      <c r="G984" s="2" t="s">
        <v>14591</v>
      </c>
      <c r="H984" s="3" t="str">
        <f>_xlfn.IFNA(INDEX(FieldDisagreements!C2:C999, MATCH(C984,FieldDisagreements!A2:A999, 0)), "")</f>
        <v>effortless-entity-framework</v>
      </c>
      <c r="I984" s="3" t="str">
        <f>_xlfn.IFNA(INDEX(FieldDisagreements!D2:D999, MATCH(C984,FieldDisagreements!A2:A999, 0)), "")</f>
        <v>RoleAssignments.Name</v>
      </c>
      <c r="J984" s="2" t="s">
        <v>1906</v>
      </c>
    </row>
    <row r="985">
      <c r="A985" s="2" t="s">
        <v>16233</v>
      </c>
      <c r="B985" s="3" t="str">
        <f>_xlfn.CONCAT(C985, " @ ", D985)</f>
        <v>effortless-entity-framework|RoleAssignments.Name @ ra-controller-2026</v>
      </c>
      <c r="C985" s="2" t="s">
        <v>14787</v>
      </c>
      <c r="D985" s="2" t="s">
        <v>211</v>
      </c>
      <c r="E985" s="2" t="s">
        <v>15008</v>
      </c>
      <c r="F985" s="2" t="s">
        <v>15009</v>
      </c>
      <c r="G985" s="2" t="s">
        <v>14591</v>
      </c>
      <c r="H985" s="3" t="str">
        <f>_xlfn.IFNA(INDEX(FieldDisagreements!C2:C999, MATCH(C985,FieldDisagreements!A2:A999, 0)), "")</f>
        <v>effortless-entity-framework</v>
      </c>
      <c r="I985" s="3" t="str">
        <f>_xlfn.IFNA(INDEX(FieldDisagreements!D2:D999, MATCH(C985,FieldDisagreements!A2:A999, 0)), "")</f>
        <v>RoleAssignments.Name</v>
      </c>
      <c r="J985" s="2" t="s">
        <v>1906</v>
      </c>
    </row>
    <row r="986">
      <c r="A986" s="2" t="s">
        <v>16234</v>
      </c>
      <c r="B986" s="3" t="str">
        <f>_xlfn.CONCAT(C986, " @ ", D986)</f>
        <v>effortless-entity-framework|RoleAssignments.Name @ ra-counsel-2026</v>
      </c>
      <c r="C986" s="2" t="s">
        <v>14787</v>
      </c>
      <c r="D986" s="2" t="s">
        <v>223</v>
      </c>
      <c r="E986" s="2" t="s">
        <v>15011</v>
      </c>
      <c r="F986" s="2" t="s">
        <v>15012</v>
      </c>
      <c r="G986" s="2" t="s">
        <v>14591</v>
      </c>
      <c r="H986" s="3" t="str">
        <f>_xlfn.IFNA(INDEX(FieldDisagreements!C2:C999, MATCH(C986,FieldDisagreements!A2:A999, 0)), "")</f>
        <v>effortless-entity-framework</v>
      </c>
      <c r="I986" s="3" t="str">
        <f>_xlfn.IFNA(INDEX(FieldDisagreements!D2:D999, MATCH(C986,FieldDisagreements!A2:A999, 0)), "")</f>
        <v>RoleAssignments.Name</v>
      </c>
      <c r="J986" s="2" t="s">
        <v>1906</v>
      </c>
    </row>
    <row r="987">
      <c r="A987" s="2" t="s">
        <v>16235</v>
      </c>
      <c r="B987" s="3" t="str">
        <f>_xlfn.CONCAT(C987, " @ ", D987)</f>
        <v>effortless-entity-framework|RoleAssignments.Name @ ra-finance-2026</v>
      </c>
      <c r="C987" s="2" t="s">
        <v>14787</v>
      </c>
      <c r="D987" s="2" t="s">
        <v>206</v>
      </c>
      <c r="E987" s="2" t="s">
        <v>15014</v>
      </c>
      <c r="F987" s="2" t="s">
        <v>15015</v>
      </c>
      <c r="G987" s="2" t="s">
        <v>14591</v>
      </c>
      <c r="H987" s="3" t="str">
        <f>_xlfn.IFNA(INDEX(FieldDisagreements!C2:C999, MATCH(C987,FieldDisagreements!A2:A999, 0)), "")</f>
        <v>effortless-entity-framework</v>
      </c>
      <c r="I987" s="3" t="str">
        <f>_xlfn.IFNA(INDEX(FieldDisagreements!D2:D999, MATCH(C987,FieldDisagreements!A2:A999, 0)), "")</f>
        <v>RoleAssignments.Name</v>
      </c>
      <c r="J987" s="2" t="s">
        <v>1906</v>
      </c>
    </row>
    <row r="988">
      <c r="A988" s="2" t="s">
        <v>16236</v>
      </c>
      <c r="B988" s="3" t="str">
        <f>_xlfn.CONCAT(C988, " @ ", D988)</f>
        <v>effortless-entity-framework|RoleAssignments.Name @ ra-new-variance</v>
      </c>
      <c r="C988" s="2" t="s">
        <v>14787</v>
      </c>
      <c r="D988" s="2" t="s">
        <v>235</v>
      </c>
      <c r="E988" s="2" t="s">
        <v>15017</v>
      </c>
      <c r="F988" s="2" t="s">
        <v>15018</v>
      </c>
      <c r="G988" s="2" t="s">
        <v>14591</v>
      </c>
      <c r="H988" s="3" t="str">
        <f>_xlfn.IFNA(INDEX(FieldDisagreements!C2:C999, MATCH(C988,FieldDisagreements!A2:A999, 0)), "")</f>
        <v>effortless-entity-framework</v>
      </c>
      <c r="I988" s="3" t="str">
        <f>_xlfn.IFNA(INDEX(FieldDisagreements!D2:D999, MATCH(C988,FieldDisagreements!A2:A999, 0)), "")</f>
        <v>RoleAssignments.Name</v>
      </c>
      <c r="J988" s="2" t="s">
        <v>1906</v>
      </c>
    </row>
    <row r="989">
      <c r="A989" s="2" t="s">
        <v>16237</v>
      </c>
      <c r="B989" s="3" t="str">
        <f>_xlfn.CONCAT(C989, " @ ", D989)</f>
        <v>effortless-entity-framework|RoleAssignments.Name @ ra-notify-pipeline-2026</v>
      </c>
      <c r="C989" s="2" t="s">
        <v>14787</v>
      </c>
      <c r="D989" s="2" t="s">
        <v>243</v>
      </c>
      <c r="E989" s="2" t="s">
        <v>15020</v>
      </c>
      <c r="F989" s="2" t="s">
        <v>15021</v>
      </c>
      <c r="G989" s="2" t="s">
        <v>14591</v>
      </c>
      <c r="H989" s="3" t="str">
        <f>_xlfn.IFNA(INDEX(FieldDisagreements!C2:C999, MATCH(C989,FieldDisagreements!A2:A999, 0)), "")</f>
        <v>effortless-entity-framework</v>
      </c>
      <c r="I989" s="3" t="str">
        <f>_xlfn.IFNA(INDEX(FieldDisagreements!D2:D999, MATCH(C989,FieldDisagreements!A2:A999, 0)), "")</f>
        <v>RoleAssignments.Name</v>
      </c>
      <c r="J989" s="2" t="s">
        <v>1906</v>
      </c>
    </row>
    <row r="990">
      <c r="A990" s="2" t="s">
        <v>16238</v>
      </c>
      <c r="B990" s="3" t="str">
        <f>_xlfn.CONCAT(C990, " @ ", D990)</f>
        <v>effortless-entity-framework|RoleAssignments.Name @ ra-old-variance</v>
      </c>
      <c r="C990" s="2" t="s">
        <v>14787</v>
      </c>
      <c r="D990" s="2" t="s">
        <v>316</v>
      </c>
      <c r="E990" s="2" t="s">
        <v>15023</v>
      </c>
      <c r="F990" s="2" t="s">
        <v>15024</v>
      </c>
      <c r="G990" s="2" t="s">
        <v>14591</v>
      </c>
      <c r="H990" s="3" t="str">
        <f>_xlfn.IFNA(INDEX(FieldDisagreements!C2:C999, MATCH(C990,FieldDisagreements!A2:A999, 0)), "")</f>
        <v>effortless-entity-framework</v>
      </c>
      <c r="I990" s="3" t="str">
        <f>_xlfn.IFNA(INDEX(FieldDisagreements!D2:D999, MATCH(C990,FieldDisagreements!A2:A999, 0)), "")</f>
        <v>RoleAssignments.Name</v>
      </c>
      <c r="J990" s="2" t="s">
        <v>1906</v>
      </c>
    </row>
    <row r="991">
      <c r="A991" s="2" t="s">
        <v>16239</v>
      </c>
      <c r="B991" s="3" t="str">
        <f>_xlfn.CONCAT(C991, " @ ", D991)</f>
        <v>effortless-entity-framework|RoleAssignments.Name @ ra-policy-ai-2026</v>
      </c>
      <c r="C991" s="2" t="s">
        <v>14787</v>
      </c>
      <c r="D991" s="2" t="s">
        <v>239</v>
      </c>
      <c r="E991" s="2" t="s">
        <v>15026</v>
      </c>
      <c r="F991" s="2" t="s">
        <v>15027</v>
      </c>
      <c r="G991" s="2" t="s">
        <v>14591</v>
      </c>
      <c r="H991" s="3" t="str">
        <f>_xlfn.IFNA(INDEX(FieldDisagreements!C2:C999, MATCH(C991,FieldDisagreements!A2:A999, 0)), "")</f>
        <v>effortless-entity-framework</v>
      </c>
      <c r="I991" s="3" t="str">
        <f>_xlfn.IFNA(INDEX(FieldDisagreements!D2:D999, MATCH(C991,FieldDisagreements!A2:A999, 0)), "")</f>
        <v>RoleAssignments.Name</v>
      </c>
      <c r="J991" s="2" t="s">
        <v>1906</v>
      </c>
    </row>
    <row r="992">
      <c r="A992" s="2" t="s">
        <v>16240</v>
      </c>
      <c r="B992" s="3" t="str">
        <f>_xlfn.CONCAT(C992, " @ ", D992)</f>
        <v>effortless-entity-framework|RoleAssignments.Name @ ra-policy-owner-2026</v>
      </c>
      <c r="C992" s="2" t="s">
        <v>14787</v>
      </c>
      <c r="D992" s="2" t="s">
        <v>219</v>
      </c>
      <c r="E992" s="2" t="s">
        <v>15029</v>
      </c>
      <c r="F992" s="2" t="s">
        <v>15030</v>
      </c>
      <c r="G992" s="2" t="s">
        <v>14591</v>
      </c>
      <c r="H992" s="3" t="str">
        <f>_xlfn.IFNA(INDEX(FieldDisagreements!C2:C999, MATCH(C992,FieldDisagreements!A2:A999, 0)), "")</f>
        <v>effortless-entity-framework</v>
      </c>
      <c r="I992" s="3" t="str">
        <f>_xlfn.IFNA(INDEX(FieldDisagreements!D2:D999, MATCH(C992,FieldDisagreements!A2:A999, 0)), "")</f>
        <v>RoleAssignments.Name</v>
      </c>
      <c r="J992" s="2" t="s">
        <v>1906</v>
      </c>
    </row>
    <row r="993">
      <c r="A993" s="2" t="s">
        <v>16241</v>
      </c>
      <c r="B993" s="3" t="str">
        <f>_xlfn.CONCAT(C993, " @ ", D993)</f>
        <v>effortless-entity-framework|RoleAssignments.Name @ ra-steward-2026</v>
      </c>
      <c r="C993" s="2" t="s">
        <v>14787</v>
      </c>
      <c r="D993" s="2" t="s">
        <v>247</v>
      </c>
      <c r="E993" s="2" t="s">
        <v>15032</v>
      </c>
      <c r="F993" s="2" t="s">
        <v>15033</v>
      </c>
      <c r="G993" s="2" t="s">
        <v>14591</v>
      </c>
      <c r="H993" s="3" t="str">
        <f>_xlfn.IFNA(INDEX(FieldDisagreements!C2:C999, MATCH(C993,FieldDisagreements!A2:A999, 0)), "")</f>
        <v>effortless-entity-framework</v>
      </c>
      <c r="I993" s="3" t="str">
        <f>_xlfn.IFNA(INDEX(FieldDisagreements!D2:D999, MATCH(C993,FieldDisagreements!A2:A999, 0)), "")</f>
        <v>RoleAssignments.Name</v>
      </c>
      <c r="J993" s="2" t="s">
        <v>1906</v>
      </c>
    </row>
    <row r="994">
      <c r="A994" s="2" t="s">
        <v>16242</v>
      </c>
      <c r="B994" s="3" t="str">
        <f>_xlfn.CONCAT(C994, " @ ", D994)</f>
        <v>effortless-entity-framework|RoleAssignments.QualityVerdictIsUnsupported @ ra-authority-2026</v>
      </c>
      <c r="C994" s="2" t="s">
        <v>14788</v>
      </c>
      <c r="D994" s="2" t="s">
        <v>251</v>
      </c>
      <c r="E994" s="2" t="s">
        <v>15035</v>
      </c>
      <c r="F994" s="2" t="s">
        <v>15036</v>
      </c>
      <c r="G994" s="2" t="s">
        <v>14591</v>
      </c>
      <c r="H994" s="3" t="str">
        <f>_xlfn.IFNA(INDEX(FieldDisagreements!C2:C999, MATCH(C994,FieldDisagreements!A2:A999, 0)), "")</f>
        <v>effortless-entity-framework</v>
      </c>
      <c r="I994" s="3" t="str">
        <f>_xlfn.IFNA(INDEX(FieldDisagreements!D2:D999, MATCH(C994,FieldDisagreements!A2:A999, 0)), "")</f>
        <v>RoleAssignments.QualityVerdictIsUnsupported</v>
      </c>
      <c r="J994" s="2" t="s">
        <v>1906</v>
      </c>
    </row>
    <row r="995">
      <c r="A995" s="2" t="s">
        <v>16243</v>
      </c>
      <c r="B995" s="3" t="str">
        <f>_xlfn.CONCAT(C995, " @ ", D995)</f>
        <v>effortless-entity-framework|RoleAssignments.QualityVerdictIsUnsupported @ ra-cfo-2026</v>
      </c>
      <c r="C995" s="2" t="s">
        <v>14788</v>
      </c>
      <c r="D995" s="2" t="s">
        <v>215</v>
      </c>
      <c r="E995" s="2" t="s">
        <v>15035</v>
      </c>
      <c r="F995" s="2" t="s">
        <v>15036</v>
      </c>
      <c r="G995" s="2" t="s">
        <v>14591</v>
      </c>
      <c r="H995" s="3" t="str">
        <f>_xlfn.IFNA(INDEX(FieldDisagreements!C2:C999, MATCH(C995,FieldDisagreements!A2:A999, 0)), "")</f>
        <v>effortless-entity-framework</v>
      </c>
      <c r="I995" s="3" t="str">
        <f>_xlfn.IFNA(INDEX(FieldDisagreements!D2:D999, MATCH(C995,FieldDisagreements!A2:A999, 0)), "")</f>
        <v>RoleAssignments.QualityVerdictIsUnsupported</v>
      </c>
      <c r="J995" s="2" t="s">
        <v>1906</v>
      </c>
    </row>
    <row r="996">
      <c r="A996" s="2" t="s">
        <v>16244</v>
      </c>
      <c r="B996" s="3" t="str">
        <f>_xlfn.CONCAT(C996, " @ ", D996)</f>
        <v>effortless-entity-framework|RoleAssignments.QualityVerdictIsUnsupported @ ra-close-pipeline-2026</v>
      </c>
      <c r="C996" s="2" t="s">
        <v>14788</v>
      </c>
      <c r="D996" s="2" t="s">
        <v>231</v>
      </c>
      <c r="E996" s="2" t="s">
        <v>15035</v>
      </c>
      <c r="F996" s="2" t="s">
        <v>15036</v>
      </c>
      <c r="G996" s="2" t="s">
        <v>14591</v>
      </c>
      <c r="H996" s="3" t="str">
        <f>_xlfn.IFNA(INDEX(FieldDisagreements!C2:C999, MATCH(C996,FieldDisagreements!A2:A999, 0)), "")</f>
        <v>effortless-entity-framework</v>
      </c>
      <c r="I996" s="3" t="str">
        <f>_xlfn.IFNA(INDEX(FieldDisagreements!D2:D999, MATCH(C996,FieldDisagreements!A2:A999, 0)), "")</f>
        <v>RoleAssignments.QualityVerdictIsUnsupported</v>
      </c>
      <c r="J996" s="2" t="s">
        <v>1906</v>
      </c>
    </row>
    <row r="997">
      <c r="A997" s="2" t="s">
        <v>16245</v>
      </c>
      <c r="B997" s="3" t="str">
        <f>_xlfn.CONCAT(C997, " @ ", D997)</f>
        <v>effortless-entity-framework|RoleAssignments.QualityVerdictIsUnsupported @ ra-comms-2026</v>
      </c>
      <c r="C997" s="2" t="s">
        <v>14788</v>
      </c>
      <c r="D997" s="2" t="s">
        <v>227</v>
      </c>
      <c r="E997" s="2" t="s">
        <v>15035</v>
      </c>
      <c r="F997" s="2" t="s">
        <v>15036</v>
      </c>
      <c r="G997" s="2" t="s">
        <v>14591</v>
      </c>
      <c r="H997" s="3" t="str">
        <f>_xlfn.IFNA(INDEX(FieldDisagreements!C2:C999, MATCH(C997,FieldDisagreements!A2:A999, 0)), "")</f>
        <v>effortless-entity-framework</v>
      </c>
      <c r="I997" s="3" t="str">
        <f>_xlfn.IFNA(INDEX(FieldDisagreements!D2:D999, MATCH(C997,FieldDisagreements!A2:A999, 0)), "")</f>
        <v>RoleAssignments.QualityVerdictIsUnsupported</v>
      </c>
      <c r="J997" s="2" t="s">
        <v>1906</v>
      </c>
    </row>
    <row r="998">
      <c r="A998" s="2" t="s">
        <v>16246</v>
      </c>
      <c r="B998" s="3" t="str">
        <f>_xlfn.CONCAT(C998, " @ ", D998)</f>
        <v>effortless-entity-framework|RoleAssignments.QualityVerdictIsUnsupported @ ra-controller-2026</v>
      </c>
      <c r="C998" s="2" t="s">
        <v>14788</v>
      </c>
      <c r="D998" s="2" t="s">
        <v>211</v>
      </c>
      <c r="E998" s="2" t="s">
        <v>15035</v>
      </c>
      <c r="F998" s="2" t="s">
        <v>15036</v>
      </c>
      <c r="G998" s="2" t="s">
        <v>14591</v>
      </c>
      <c r="H998" s="3" t="str">
        <f>_xlfn.IFNA(INDEX(FieldDisagreements!C2:C999, MATCH(C998,FieldDisagreements!A2:A999, 0)), "")</f>
        <v>effortless-entity-framework</v>
      </c>
      <c r="I998" s="3" t="str">
        <f>_xlfn.IFNA(INDEX(FieldDisagreements!D2:D999, MATCH(C998,FieldDisagreements!A2:A999, 0)), "")</f>
        <v>RoleAssignments.QualityVerdictIsUnsupported</v>
      </c>
      <c r="J998" s="2" t="s">
        <v>1906</v>
      </c>
    </row>
    <row r="999">
      <c r="A999" s="2" t="s">
        <v>16247</v>
      </c>
      <c r="B999" s="3" t="str">
        <f>_xlfn.CONCAT(C999, " @ ", D999)</f>
        <v>effortless-entity-framework|RoleAssignments.QualityVerdictIsUnsupported @ ra-counsel-2026</v>
      </c>
      <c r="C999" s="2" t="s">
        <v>14788</v>
      </c>
      <c r="D999" s="2" t="s">
        <v>223</v>
      </c>
      <c r="E999" s="2" t="s">
        <v>15035</v>
      </c>
      <c r="F999" s="2" t="s">
        <v>15036</v>
      </c>
      <c r="G999" s="2" t="s">
        <v>14591</v>
      </c>
      <c r="H999" s="3" t="str">
        <f>_xlfn.IFNA(INDEX(FieldDisagreements!C2:C999, MATCH(C999,FieldDisagreements!A2:A999, 0)), "")</f>
        <v>effortless-entity-framework</v>
      </c>
      <c r="I999" s="3" t="str">
        <f>_xlfn.IFNA(INDEX(FieldDisagreements!D2:D999, MATCH(C999,FieldDisagreements!A2:A999, 0)), "")</f>
        <v>RoleAssignments.QualityVerdictIsUnsupported</v>
      </c>
      <c r="J999" s="2" t="s">
        <v>1906</v>
      </c>
    </row>
    <row r="1000">
      <c r="A1000" s="2" t="s">
        <v>16248</v>
      </c>
      <c r="B1000" s="3" t="str">
        <f>_xlfn.CONCAT(C1000, " @ ", D1000)</f>
        <v>effortless-entity-framework|RoleAssignments.QualityVerdictIsUnsupported @ ra-finance-2026</v>
      </c>
      <c r="C1000" s="2" t="s">
        <v>14788</v>
      </c>
      <c r="D1000" s="2" t="s">
        <v>206</v>
      </c>
      <c r="E1000" s="2" t="s">
        <v>15035</v>
      </c>
      <c r="F1000" s="2" t="s">
        <v>15036</v>
      </c>
      <c r="G1000" s="2" t="s">
        <v>14591</v>
      </c>
      <c r="H1000" s="3" t="str">
        <f>_xlfn.IFNA(INDEX(FieldDisagreements!C2:C999, MATCH(C1000,FieldDisagreements!A2:A999, 0)), "")</f>
        <v>effortless-entity-framework</v>
      </c>
      <c r="I1000" s="3" t="str">
        <f>_xlfn.IFNA(INDEX(FieldDisagreements!D2:D999, MATCH(C1000,FieldDisagreements!A2:A999, 0)), "")</f>
        <v>RoleAssignments.QualityVerdictIsUnsupported</v>
      </c>
      <c r="J1000" s="2" t="s">
        <v>1906</v>
      </c>
    </row>
    <row r="1001">
      <c r="A1001" s="2" t="s">
        <v>16249</v>
      </c>
      <c r="B1001" s="3" t="str">
        <f>_xlfn.CONCAT(C1001, " @ ", D1001)</f>
        <v>effortless-entity-framework|RoleAssignments.QualityVerdictIsUnsupported @ ra-new-variance</v>
      </c>
      <c r="C1001" s="2" t="s">
        <v>14788</v>
      </c>
      <c r="D1001" s="2" t="s">
        <v>235</v>
      </c>
      <c r="E1001" s="2" t="s">
        <v>15035</v>
      </c>
      <c r="F1001" s="2" t="s">
        <v>15036</v>
      </c>
      <c r="G1001" s="2" t="s">
        <v>14591</v>
      </c>
      <c r="H1001" s="3" t="str">
        <f>_xlfn.IFNA(INDEX(FieldDisagreements!C2:C999, MATCH(C1001,FieldDisagreements!A2:A999, 0)), "")</f>
        <v>effortless-entity-framework</v>
      </c>
      <c r="I1001" s="3" t="str">
        <f>_xlfn.IFNA(INDEX(FieldDisagreements!D2:D999, MATCH(C1001,FieldDisagreements!A2:A999, 0)), "")</f>
        <v>RoleAssignments.QualityVerdictIsUnsupported</v>
      </c>
      <c r="J1001" s="2" t="s">
        <v>1906</v>
      </c>
    </row>
    <row r="1002">
      <c r="A1002" s="2" t="s">
        <v>16250</v>
      </c>
      <c r="B1002" s="3" t="str">
        <f>_xlfn.CONCAT(C1002, " @ ", D1002)</f>
        <v>effortless-entity-framework|RoleAssignments.QualityVerdictIsUnsupported @ ra-notify-pipeline-2026</v>
      </c>
      <c r="C1002" s="2" t="s">
        <v>14788</v>
      </c>
      <c r="D1002" s="2" t="s">
        <v>243</v>
      </c>
      <c r="E1002" s="2" t="s">
        <v>15035</v>
      </c>
      <c r="F1002" s="2" t="s">
        <v>15036</v>
      </c>
      <c r="G1002" s="2" t="s">
        <v>14591</v>
      </c>
      <c r="H1002" s="3" t="str">
        <f>_xlfn.IFNA(INDEX(FieldDisagreements!C2:C999, MATCH(C1002,FieldDisagreements!A2:A999, 0)), "")</f>
        <v>effortless-entity-framework</v>
      </c>
      <c r="I1002" s="3" t="str">
        <f>_xlfn.IFNA(INDEX(FieldDisagreements!D2:D999, MATCH(C1002,FieldDisagreements!A2:A999, 0)), "")</f>
        <v>RoleAssignments.QualityVerdictIsUnsupported</v>
      </c>
      <c r="J1002" s="2" t="s">
        <v>1906</v>
      </c>
    </row>
    <row r="1003">
      <c r="A1003" s="2" t="s">
        <v>16251</v>
      </c>
      <c r="B1003" s="3" t="str">
        <f>_xlfn.CONCAT(C1003, " @ ", D1003)</f>
        <v>effortless-entity-framework|RoleAssignments.QualityVerdictIsUnsupported @ ra-old-variance</v>
      </c>
      <c r="C1003" s="2" t="s">
        <v>14788</v>
      </c>
      <c r="D1003" s="2" t="s">
        <v>316</v>
      </c>
      <c r="E1003" s="2" t="s">
        <v>15035</v>
      </c>
      <c r="F1003" s="2" t="s">
        <v>15036</v>
      </c>
      <c r="G1003" s="2" t="s">
        <v>14591</v>
      </c>
      <c r="H1003" s="3" t="str">
        <f>_xlfn.IFNA(INDEX(FieldDisagreements!C2:C999, MATCH(C1003,FieldDisagreements!A2:A999, 0)), "")</f>
        <v>effortless-entity-framework</v>
      </c>
      <c r="I1003" s="3" t="str">
        <f>_xlfn.IFNA(INDEX(FieldDisagreements!D2:D999, MATCH(C1003,FieldDisagreements!A2:A999, 0)), "")</f>
        <v>RoleAssignments.QualityVerdictIsUnsupported</v>
      </c>
      <c r="J1003" s="2" t="s">
        <v>1906</v>
      </c>
    </row>
    <row r="1004">
      <c r="A1004" s="2" t="s">
        <v>16252</v>
      </c>
      <c r="B1004" s="3" t="str">
        <f>_xlfn.CONCAT(C1004, " @ ", D1004)</f>
        <v>effortless-entity-framework|RoleAssignments.QualityVerdictIsUnsupported @ ra-policy-ai-2026</v>
      </c>
      <c r="C1004" s="2" t="s">
        <v>14788</v>
      </c>
      <c r="D1004" s="2" t="s">
        <v>239</v>
      </c>
      <c r="E1004" s="2" t="s">
        <v>15035</v>
      </c>
      <c r="F1004" s="2" t="s">
        <v>15036</v>
      </c>
      <c r="G1004" s="2" t="s">
        <v>14591</v>
      </c>
      <c r="H1004" s="3" t="str">
        <f>_xlfn.IFNA(INDEX(FieldDisagreements!C2:C999, MATCH(C1004,FieldDisagreements!A2:A999, 0)), "")</f>
        <v>effortless-entity-framework</v>
      </c>
      <c r="I1004" s="3" t="str">
        <f>_xlfn.IFNA(INDEX(FieldDisagreements!D2:D999, MATCH(C1004,FieldDisagreements!A2:A999, 0)), "")</f>
        <v>RoleAssignments.QualityVerdictIsUnsupported</v>
      </c>
      <c r="J1004" s="2" t="s">
        <v>1906</v>
      </c>
    </row>
    <row r="1005">
      <c r="A1005" s="2" t="s">
        <v>16253</v>
      </c>
      <c r="B1005" s="3" t="str">
        <f>_xlfn.CONCAT(C1005, " @ ", D1005)</f>
        <v>effortless-entity-framework|RoleAssignments.QualityVerdictIsUnsupported @ ra-policy-owner-2026</v>
      </c>
      <c r="C1005" s="2" t="s">
        <v>14788</v>
      </c>
      <c r="D1005" s="2" t="s">
        <v>219</v>
      </c>
      <c r="E1005" s="2" t="s">
        <v>15035</v>
      </c>
      <c r="F1005" s="2" t="s">
        <v>15036</v>
      </c>
      <c r="G1005" s="2" t="s">
        <v>14591</v>
      </c>
      <c r="H1005" s="3" t="str">
        <f>_xlfn.IFNA(INDEX(FieldDisagreements!C2:C999, MATCH(C1005,FieldDisagreements!A2:A999, 0)), "")</f>
        <v>effortless-entity-framework</v>
      </c>
      <c r="I1005" s="3" t="str">
        <f>_xlfn.IFNA(INDEX(FieldDisagreements!D2:D999, MATCH(C1005,FieldDisagreements!A2:A999, 0)), "")</f>
        <v>RoleAssignments.QualityVerdictIsUnsupported</v>
      </c>
      <c r="J1005" s="2" t="s">
        <v>1906</v>
      </c>
    </row>
    <row r="1006">
      <c r="A1006" s="2" t="s">
        <v>16254</v>
      </c>
      <c r="B1006" s="3" t="str">
        <f>_xlfn.CONCAT(C1006, " @ ", D1006)</f>
        <v>effortless-entity-framework|RoleAssignments.QualityVerdictIsUnsupported @ ra-steward-2026</v>
      </c>
      <c r="C1006" s="2" t="s">
        <v>14788</v>
      </c>
      <c r="D1006" s="2" t="s">
        <v>247</v>
      </c>
      <c r="E1006" s="2" t="s">
        <v>15035</v>
      </c>
      <c r="F1006" s="2" t="s">
        <v>15036</v>
      </c>
      <c r="G1006" s="2" t="s">
        <v>14591</v>
      </c>
      <c r="H1006" s="3" t="str">
        <f>_xlfn.IFNA(INDEX(FieldDisagreements!C2:C999, MATCH(C1006,FieldDisagreements!A2:A999, 0)), "")</f>
        <v>effortless-entity-framework</v>
      </c>
      <c r="I1006" s="3" t="str">
        <f>_xlfn.IFNA(INDEX(FieldDisagreements!D2:D999, MATCH(C1006,FieldDisagreements!A2:A999, 0)), "")</f>
        <v>RoleAssignments.QualityVerdictIsUnsupported</v>
      </c>
      <c r="J1006" s="2" t="s">
        <v>1906</v>
      </c>
    </row>
    <row r="1007">
      <c r="A1007" s="2" t="s">
        <v>16255</v>
      </c>
      <c r="B1007" s="3" t="str">
        <f>_xlfn.CONCAT(C1007, " @ ", D1007)</f>
        <v>effortless-entity-framework|RoleAssignments.IsUnmeasuredAutomationHandover @ ra-new-variance</v>
      </c>
      <c r="C1007" s="2" t="s">
        <v>14789</v>
      </c>
      <c r="D1007" s="2" t="s">
        <v>235</v>
      </c>
      <c r="E1007" s="2" t="s">
        <v>15035</v>
      </c>
      <c r="F1007" s="2" t="s">
        <v>15036</v>
      </c>
      <c r="G1007" s="2" t="s">
        <v>14591</v>
      </c>
      <c r="H1007" s="3" t="str">
        <f>_xlfn.IFNA(INDEX(FieldDisagreements!C2:C999, MATCH(C1007,FieldDisagreements!A2:A999, 0)), "")</f>
        <v>effortless-entity-framework</v>
      </c>
      <c r="I1007" s="3" t="str">
        <f>_xlfn.IFNA(INDEX(FieldDisagreements!D2:D999, MATCH(C1007,FieldDisagreements!A2:A999, 0)), "")</f>
        <v>RoleAssignments.IsUnmeasuredAutomationHandover</v>
      </c>
      <c r="J1007" s="2" t="s">
        <v>1906</v>
      </c>
    </row>
    <row r="1008">
      <c r="A1008" s="2" t="s">
        <v>16256</v>
      </c>
      <c r="B1008" s="3" t="str">
        <f>_xlfn.CONCAT(C1008, " @ ", D1008)</f>
        <v>effortless-entity-framework|ProcedureVersions.DaysSinceModified @ close-v1.0.0</v>
      </c>
      <c r="C1008" s="2" t="s">
        <v>14790</v>
      </c>
      <c r="D1008" s="2" t="s">
        <v>454</v>
      </c>
      <c r="E1008" s="2" t="s">
        <v>15051</v>
      </c>
      <c r="F1008" s="2" t="s">
        <v>15052</v>
      </c>
      <c r="G1008" s="2" t="s">
        <v>14591</v>
      </c>
      <c r="H1008" s="3" t="str">
        <f>_xlfn.IFNA(INDEX(FieldDisagreements!C2:C999, MATCH(C1008,FieldDisagreements!A2:A999, 0)), "")</f>
        <v>effortless-entity-framework</v>
      </c>
      <c r="I1008" s="3" t="str">
        <f>_xlfn.IFNA(INDEX(FieldDisagreements!D2:D999, MATCH(C1008,FieldDisagreements!A2:A999, 0)), "")</f>
        <v>ProcedureVersions.DaysSinceModified</v>
      </c>
      <c r="J1008" s="2" t="s">
        <v>1906</v>
      </c>
    </row>
    <row r="1009">
      <c r="A1009" s="2" t="s">
        <v>16257</v>
      </c>
      <c r="B1009" s="3" t="str">
        <f>_xlfn.CONCAT(C1009, " @ ", D1009)</f>
        <v>effortless-entity-framework|ProcedureVersions.DaysSinceModified @ close-v1.1.0</v>
      </c>
      <c r="C1009" s="2" t="s">
        <v>14790</v>
      </c>
      <c r="D1009" s="2" t="s">
        <v>369</v>
      </c>
      <c r="E1009" s="2" t="s">
        <v>15054</v>
      </c>
      <c r="F1009" s="2" t="s">
        <v>8195</v>
      </c>
      <c r="G1009" s="2" t="s">
        <v>14591</v>
      </c>
      <c r="H1009" s="3" t="str">
        <f>_xlfn.IFNA(INDEX(FieldDisagreements!C2:C999, MATCH(C1009,FieldDisagreements!A2:A999, 0)), "")</f>
        <v>effortless-entity-framework</v>
      </c>
      <c r="I1009" s="3" t="str">
        <f>_xlfn.IFNA(INDEX(FieldDisagreements!D2:D999, MATCH(C1009,FieldDisagreements!A2:A999, 0)), "")</f>
        <v>ProcedureVersions.DaysSinceModified</v>
      </c>
      <c r="J1009" s="2" t="s">
        <v>1906</v>
      </c>
    </row>
    <row r="1010">
      <c r="A1010" s="2" t="s">
        <v>16258</v>
      </c>
      <c r="B1010" s="3" t="str">
        <f>_xlfn.CONCAT(C1010, " @ ", D1010)</f>
        <v>effortless-entity-framework|ProcedureVersions.DaysSinceModified @ policy-v1.0.0</v>
      </c>
      <c r="C1010" s="2" t="s">
        <v>14790</v>
      </c>
      <c r="D1010" s="2" t="s">
        <v>375</v>
      </c>
      <c r="E1010" s="2" t="s">
        <v>935</v>
      </c>
      <c r="F1010" s="2" t="s">
        <v>37</v>
      </c>
      <c r="G1010" s="2" t="s">
        <v>14591</v>
      </c>
      <c r="H1010" s="3" t="str">
        <f>_xlfn.IFNA(INDEX(FieldDisagreements!C2:C999, MATCH(C1010,FieldDisagreements!A2:A999, 0)), "")</f>
        <v>effortless-entity-framework</v>
      </c>
      <c r="I1010" s="3" t="str">
        <f>_xlfn.IFNA(INDEX(FieldDisagreements!D2:D999, MATCH(C1010,FieldDisagreements!A2:A999, 0)), "")</f>
        <v>ProcedureVersions.DaysSinceModified</v>
      </c>
      <c r="J1010" s="2" t="s">
        <v>1906</v>
      </c>
    </row>
    <row r="1011">
      <c r="A1011" s="2" t="s">
        <v>16259</v>
      </c>
      <c r="B1011" s="3" t="str">
        <f>_xlfn.CONCAT(C1011, " @ ", D1011)</f>
        <v>effortless-entity-framework|ProcedureVersions.WasModifiedSinceLastReview @ close-v1.1.0</v>
      </c>
      <c r="C1011" s="2" t="s">
        <v>14791</v>
      </c>
      <c r="D1011" s="2" t="s">
        <v>369</v>
      </c>
      <c r="E1011" s="2" t="s">
        <v>15035</v>
      </c>
      <c r="F1011" s="2" t="s">
        <v>15057</v>
      </c>
      <c r="G1011" s="2" t="s">
        <v>14591</v>
      </c>
      <c r="H1011" s="3" t="str">
        <f>_xlfn.IFNA(INDEX(FieldDisagreements!C2:C999, MATCH(C1011,FieldDisagreements!A2:A999, 0)), "")</f>
        <v>effortless-entity-framework</v>
      </c>
      <c r="I1011" s="3" t="str">
        <f>_xlfn.IFNA(INDEX(FieldDisagreements!D2:D999, MATCH(C1011,FieldDisagreements!A2:A999, 0)), "")</f>
        <v>ProcedureVersions.WasModifiedSinceLastReview</v>
      </c>
      <c r="J1011" s="2" t="s">
        <v>1906</v>
      </c>
    </row>
    <row r="1012">
      <c r="A1012" s="2" t="s">
        <v>16260</v>
      </c>
      <c r="B1012" s="3" t="str">
        <f>_xlfn.CONCAT(C1012, " @ ", D1012)</f>
        <v>effortless-entity-framework|ProcedureVersions.WasModifiedSinceLastReview @ policy-v1.0.0</v>
      </c>
      <c r="C1012" s="2" t="s">
        <v>14791</v>
      </c>
      <c r="D1012" s="2" t="s">
        <v>375</v>
      </c>
      <c r="E1012" s="2" t="s">
        <v>15035</v>
      </c>
      <c r="F1012" s="2" t="s">
        <v>15057</v>
      </c>
      <c r="G1012" s="2" t="s">
        <v>14591</v>
      </c>
      <c r="H1012" s="3" t="str">
        <f>_xlfn.IFNA(INDEX(FieldDisagreements!C2:C999, MATCH(C1012,FieldDisagreements!A2:A999, 0)), "")</f>
        <v>effortless-entity-framework</v>
      </c>
      <c r="I1012" s="3" t="str">
        <f>_xlfn.IFNA(INDEX(FieldDisagreements!D2:D999, MATCH(C1012,FieldDisagreements!A2:A999, 0)), "")</f>
        <v>ProcedureVersions.WasModifiedSinceLastReview</v>
      </c>
      <c r="J1012" s="2" t="s">
        <v>1906</v>
      </c>
    </row>
    <row r="1013">
      <c r="A1013" s="2" t="s">
        <v>16261</v>
      </c>
      <c r="B1013" s="3" t="str">
        <f>_xlfn.CONCAT(C1013, " @ ", D1013)</f>
        <v>effortless-entity-framework|ProcedureVersions.HasUnwitnessedChange @ close-v1.1.0</v>
      </c>
      <c r="C1013" s="2" t="s">
        <v>14792</v>
      </c>
      <c r="D1013" s="2" t="s">
        <v>369</v>
      </c>
      <c r="E1013" s="2" t="s">
        <v>15035</v>
      </c>
      <c r="F1013" s="2" t="s">
        <v>15057</v>
      </c>
      <c r="G1013" s="2" t="s">
        <v>14591</v>
      </c>
      <c r="H1013" s="3" t="str">
        <f>_xlfn.IFNA(INDEX(FieldDisagreements!C2:C999, MATCH(C1013,FieldDisagreements!A2:A999, 0)), "")</f>
        <v>effortless-entity-framework</v>
      </c>
      <c r="I1013" s="3" t="str">
        <f>_xlfn.IFNA(INDEX(FieldDisagreements!D2:D999, MATCH(C1013,FieldDisagreements!A2:A999, 0)), "")</f>
        <v>ProcedureVersions.HasUnwitnessedChange</v>
      </c>
      <c r="J1013" s="2" t="s">
        <v>1906</v>
      </c>
    </row>
    <row r="1014">
      <c r="A1014" s="2" t="s">
        <v>16262</v>
      </c>
      <c r="B1014" s="3" t="str">
        <f>_xlfn.CONCAT(C1014, " @ ", D1014)</f>
        <v>effortless-entity-framework|ProcedureVersions.HasUnwitnessedChange @ policy-v1.0.0</v>
      </c>
      <c r="C1014" s="2" t="s">
        <v>14792</v>
      </c>
      <c r="D1014" s="2" t="s">
        <v>375</v>
      </c>
      <c r="E1014" s="2" t="s">
        <v>15035</v>
      </c>
      <c r="F1014" s="2" t="s">
        <v>15057</v>
      </c>
      <c r="G1014" s="2" t="s">
        <v>14591</v>
      </c>
      <c r="H1014" s="3" t="str">
        <f>_xlfn.IFNA(INDEX(FieldDisagreements!C2:C999, MATCH(C1014,FieldDisagreements!A2:A999, 0)), "")</f>
        <v>effortless-entity-framework</v>
      </c>
      <c r="I1014" s="3" t="str">
        <f>_xlfn.IFNA(INDEX(FieldDisagreements!D2:D999, MATCH(C1014,FieldDisagreements!A2:A999, 0)), "")</f>
        <v>ProcedureVersions.HasUnwitnessedChange</v>
      </c>
      <c r="J1014" s="2" t="s">
        <v>1906</v>
      </c>
    </row>
    <row r="1015">
      <c r="A1015" s="2" t="s">
        <v>16263</v>
      </c>
      <c r="B1015" s="3" t="str">
        <f>_xlfn.CONCAT(C1015, " @ ", D1015)</f>
        <v>effortless-entity-framework|Requirements.IsUntestedWitness @ req-close-balance</v>
      </c>
      <c r="C1015" s="2" t="s">
        <v>14793</v>
      </c>
      <c r="D1015" s="2" t="s">
        <v>827</v>
      </c>
      <c r="E1015" s="2" t="s">
        <v>15035</v>
      </c>
      <c r="F1015" s="2" t="s">
        <v>15036</v>
      </c>
      <c r="G1015" s="2" t="s">
        <v>14591</v>
      </c>
      <c r="H1015" s="3" t="str">
        <f>_xlfn.IFNA(INDEX(FieldDisagreements!C2:C999, MATCH(C1015,FieldDisagreements!A2:A999, 0)), "")</f>
        <v>effortless-entity-framework</v>
      </c>
      <c r="I1015" s="3" t="str">
        <f>_xlfn.IFNA(INDEX(FieldDisagreements!D2:D999, MATCH(C1015,FieldDisagreements!A2:A999, 0)), "")</f>
        <v>Requirements.IsUntestedWitness</v>
      </c>
      <c r="J1015" s="2" t="s">
        <v>1906</v>
      </c>
    </row>
    <row r="1016">
      <c r="A1016" s="2" t="s">
        <v>16264</v>
      </c>
      <c r="B1016" s="3" t="str">
        <f>_xlfn.CONCAT(C1016, " @ ", D1016)</f>
        <v>effortless-entity-framework|Requirements.IsUntestedWitness @ req-close-cutoff</v>
      </c>
      <c r="C1016" s="2" t="s">
        <v>14793</v>
      </c>
      <c r="D1016" s="2" t="s">
        <v>819</v>
      </c>
      <c r="E1016" s="2" t="s">
        <v>15035</v>
      </c>
      <c r="F1016" s="2" t="s">
        <v>15036</v>
      </c>
      <c r="G1016" s="2" t="s">
        <v>14591</v>
      </c>
      <c r="H1016" s="3" t="str">
        <f>_xlfn.IFNA(INDEX(FieldDisagreements!C2:C999, MATCH(C1016,FieldDisagreements!A2:A999, 0)), "")</f>
        <v>effortless-entity-framework</v>
      </c>
      <c r="I1016" s="3" t="str">
        <f>_xlfn.IFNA(INDEX(FieldDisagreements!D2:D999, MATCH(C1016,FieldDisagreements!A2:A999, 0)), "")</f>
        <v>Requirements.IsUntestedWitness</v>
      </c>
      <c r="J1016" s="2" t="s">
        <v>1906</v>
      </c>
    </row>
    <row r="1017">
      <c r="A1017" s="2" t="s">
        <v>16265</v>
      </c>
      <c r="B1017" s="3" t="str">
        <f>_xlfn.CONCAT(C1017, " @ ", D1017)</f>
        <v>effortless-entity-framework|Requirements.IsUntestedWitness @ req-close-separation</v>
      </c>
      <c r="C1017" s="2" t="s">
        <v>14793</v>
      </c>
      <c r="D1017" s="2" t="s">
        <v>833</v>
      </c>
      <c r="E1017" s="2" t="s">
        <v>15035</v>
      </c>
      <c r="F1017" s="2" t="s">
        <v>15036</v>
      </c>
      <c r="G1017" s="2" t="s">
        <v>14591</v>
      </c>
      <c r="H1017" s="3" t="str">
        <f>_xlfn.IFNA(INDEX(FieldDisagreements!C2:C999, MATCH(C1017,FieldDisagreements!A2:A999, 0)), "")</f>
        <v>effortless-entity-framework</v>
      </c>
      <c r="I1017" s="3" t="str">
        <f>_xlfn.IFNA(INDEX(FieldDisagreements!D2:D999, MATCH(C1017,FieldDisagreements!A2:A999, 0)), "")</f>
        <v>Requirements.IsUntestedWitness</v>
      </c>
      <c r="J1017" s="2" t="s">
        <v>1906</v>
      </c>
    </row>
    <row r="1018">
      <c r="A1018" s="2" t="s">
        <v>16266</v>
      </c>
      <c r="B1018" s="3" t="str">
        <f>_xlfn.CONCAT(C1018, " @ ", D1018)</f>
        <v>effortless-entity-framework|ElicitationSessions.Name @ elicit-close-shadow</v>
      </c>
      <c r="C1018" s="2" t="s">
        <v>14794</v>
      </c>
      <c r="D1018" s="2" t="s">
        <v>1073</v>
      </c>
      <c r="E1018" s="2" t="s">
        <v>15065</v>
      </c>
      <c r="F1018" s="2" t="s">
        <v>15066</v>
      </c>
      <c r="G1018" s="2" t="s">
        <v>14591</v>
      </c>
      <c r="H1018" s="3" t="str">
        <f>_xlfn.IFNA(INDEX(FieldDisagreements!C2:C999, MATCH(C1018,FieldDisagreements!A2:A999, 0)), "")</f>
        <v>effortless-entity-framework</v>
      </c>
      <c r="I1018" s="3" t="str">
        <f>_xlfn.IFNA(INDEX(FieldDisagreements!D2:D999, MATCH(C1018,FieldDisagreements!A2:A999, 0)), "")</f>
        <v>ElicitationSessions.Name</v>
      </c>
      <c r="J1018" s="2" t="s">
        <v>1906</v>
      </c>
    </row>
    <row r="1019">
      <c r="A1019" s="2" t="s">
        <v>16267</v>
      </c>
      <c r="B1019" s="3" t="str">
        <f>_xlfn.CONCAT(C1019, " @ ", D1019)</f>
        <v>effortless-entity-framework|ElicitationSessions.Name @ elicit-policy-interview</v>
      </c>
      <c r="C1019" s="2" t="s">
        <v>14794</v>
      </c>
      <c r="D1019" s="2" t="s">
        <v>1080</v>
      </c>
      <c r="E1019" s="2" t="s">
        <v>15068</v>
      </c>
      <c r="F1019" s="2" t="s">
        <v>15069</v>
      </c>
      <c r="G1019" s="2" t="s">
        <v>14591</v>
      </c>
      <c r="H1019" s="3" t="str">
        <f>_xlfn.IFNA(INDEX(FieldDisagreements!C2:C999, MATCH(C1019,FieldDisagreements!A2:A999, 0)), "")</f>
        <v>effortless-entity-framework</v>
      </c>
      <c r="I1019" s="3" t="str">
        <f>_xlfn.IFNA(INDEX(FieldDisagreements!D2:D999, MATCH(C1019,FieldDisagreements!A2:A999, 0)), "")</f>
        <v>ElicitationSessions.Name</v>
      </c>
      <c r="J1019" s="2" t="s">
        <v>1906</v>
      </c>
    </row>
    <row r="1020">
      <c r="A1020" s="2" t="s">
        <v>16268</v>
      </c>
      <c r="B1020" s="3" t="str">
        <f>_xlfn.CONCAT(C1020, " @ ", D1020)</f>
        <v>effortless-entity-framework|ElicitationSessions.Name @ elicit-policy-workshop</v>
      </c>
      <c r="C1020" s="2" t="s">
        <v>14794</v>
      </c>
      <c r="D1020" s="2" t="s">
        <v>1077</v>
      </c>
      <c r="E1020" s="2" t="s">
        <v>15071</v>
      </c>
      <c r="F1020" s="2" t="s">
        <v>15072</v>
      </c>
      <c r="G1020" s="2" t="s">
        <v>14591</v>
      </c>
      <c r="H1020" s="3" t="str">
        <f>_xlfn.IFNA(INDEX(FieldDisagreements!C2:C999, MATCH(C1020,FieldDisagreements!A2:A999, 0)), "")</f>
        <v>effortless-entity-framework</v>
      </c>
      <c r="I1020" s="3" t="str">
        <f>_xlfn.IFNA(INDEX(FieldDisagreements!D2:D999, MATCH(C1020,FieldDisagreements!A2:A999, 0)), "")</f>
        <v>ElicitationSessions.Name</v>
      </c>
      <c r="J1020" s="2" t="s">
        <v>1906</v>
      </c>
    </row>
    <row r="1021">
      <c r="A1021" s="2" t="s">
        <v>16269</v>
      </c>
      <c r="B1021" s="3" t="str">
        <f>_xlfn.CONCAT(C1021, " @ ", D1021)</f>
        <v>effortless-entity-framework|ElicitationSessions.DaysSinceElicited @ elicit-policy-interview</v>
      </c>
      <c r="C1021" s="2" t="s">
        <v>14795</v>
      </c>
      <c r="D1021" s="2" t="s">
        <v>1080</v>
      </c>
      <c r="E1021" s="2" t="s">
        <v>15074</v>
      </c>
      <c r="F1021" s="2" t="s">
        <v>15075</v>
      </c>
      <c r="G1021" s="2" t="s">
        <v>14591</v>
      </c>
      <c r="H1021" s="3" t="str">
        <f>_xlfn.IFNA(INDEX(FieldDisagreements!C2:C999, MATCH(C1021,FieldDisagreements!A2:A999, 0)), "")</f>
        <v>effortless-entity-framework</v>
      </c>
      <c r="I1021" s="3" t="str">
        <f>_xlfn.IFNA(INDEX(FieldDisagreements!D2:D999, MATCH(C1021,FieldDisagreements!A2:A999, 0)), "")</f>
        <v>ElicitationSessions.DaysSinceElicited</v>
      </c>
      <c r="J1021" s="2" t="s">
        <v>1906</v>
      </c>
    </row>
    <row r="1022">
      <c r="A1022" s="2" t="s">
        <v>16270</v>
      </c>
      <c r="B1022" s="3" t="str">
        <f>_xlfn.CONCAT(C1022, " @ ", D1022)</f>
        <v>effortless-entity-framework|ElicitationSessions.DaysSinceElicited @ elicit-policy-workshop</v>
      </c>
      <c r="C1022" s="2" t="s">
        <v>14795</v>
      </c>
      <c r="D1022" s="2" t="s">
        <v>1077</v>
      </c>
      <c r="E1022" s="2" t="s">
        <v>15077</v>
      </c>
      <c r="F1022" s="2" t="s">
        <v>15078</v>
      </c>
      <c r="G1022" s="2" t="s">
        <v>14591</v>
      </c>
      <c r="H1022" s="3" t="str">
        <f>_xlfn.IFNA(INDEX(FieldDisagreements!C2:C999, MATCH(C1022,FieldDisagreements!A2:A999, 0)), "")</f>
        <v>effortless-entity-framework</v>
      </c>
      <c r="I1022" s="3" t="str">
        <f>_xlfn.IFNA(INDEX(FieldDisagreements!D2:D999, MATCH(C1022,FieldDisagreements!A2:A999, 0)), "")</f>
        <v>ElicitationSessions.DaysSinceElicited</v>
      </c>
      <c r="J1022" s="2" t="s">
        <v>1906</v>
      </c>
    </row>
    <row r="1023">
      <c r="A1023" s="2" t="s">
        <v>16271</v>
      </c>
      <c r="B1023" s="3" t="str">
        <f>_xlfn.CONCAT(C1023, " @ ", D1023)</f>
        <v>effortless-entity-framework|KnowledgeFragments.DaysSinceActualReview @ kf-close-fx-time</v>
      </c>
      <c r="C1023" s="2" t="s">
        <v>14796</v>
      </c>
      <c r="D1023" s="2" t="s">
        <v>1152</v>
      </c>
      <c r="E1023" s="2" t="s">
        <v>15054</v>
      </c>
      <c r="F1023" s="2" t="s">
        <v>8195</v>
      </c>
      <c r="G1023" s="2" t="s">
        <v>14591</v>
      </c>
      <c r="H1023" s="3" t="str">
        <f>_xlfn.IFNA(INDEX(FieldDisagreements!C2:C999, MATCH(C1023,FieldDisagreements!A2:A999, 0)), "")</f>
        <v>effortless-entity-framework</v>
      </c>
      <c r="I1023" s="3" t="str">
        <f>_xlfn.IFNA(INDEX(FieldDisagreements!D2:D999, MATCH(C1023,FieldDisagreements!A2:A999, 0)), "")</f>
        <v>KnowledgeFragments.DaysSinceActualReview</v>
      </c>
      <c r="J1023" s="2" t="s">
        <v>1906</v>
      </c>
    </row>
    <row r="1024">
      <c r="A1024" s="2" t="s">
        <v>16272</v>
      </c>
      <c r="B1024" s="3" t="str">
        <f>_xlfn.CONCAT(C1024, " @ ", D1024)</f>
        <v>effortless-entity-framework|KnowledgeFragments.DaysSinceActualReview @ kf-close-top-ten</v>
      </c>
      <c r="C1024" s="2" t="s">
        <v>14796</v>
      </c>
      <c r="D1024" s="2" t="s">
        <v>1157</v>
      </c>
      <c r="E1024" s="2" t="s">
        <v>15054</v>
      </c>
      <c r="F1024" s="2" t="s">
        <v>8195</v>
      </c>
      <c r="G1024" s="2" t="s">
        <v>14591</v>
      </c>
      <c r="H1024" s="3" t="str">
        <f>_xlfn.IFNA(INDEX(FieldDisagreements!C2:C999, MATCH(C1024,FieldDisagreements!A2:A999, 0)), "")</f>
        <v>effortless-entity-framework</v>
      </c>
      <c r="I1024" s="3" t="str">
        <f>_xlfn.IFNA(INDEX(FieldDisagreements!D2:D999, MATCH(C1024,FieldDisagreements!A2:A999, 0)), "")</f>
        <v>KnowledgeFragments.DaysSinceActualReview</v>
      </c>
      <c r="J1024" s="2" t="s">
        <v>1906</v>
      </c>
    </row>
    <row r="1025">
      <c r="A1025" s="2" t="s">
        <v>16273</v>
      </c>
      <c r="B1025" s="3" t="str">
        <f>_xlfn.CONCAT(C1025, " @ ", D1025)</f>
        <v>effortless-entity-framework|KnowledgeFragments.DaysSinceActualReview @ kf-policy-channel</v>
      </c>
      <c r="C1025" s="2" t="s">
        <v>14796</v>
      </c>
      <c r="D1025" s="2" t="s">
        <v>1169</v>
      </c>
      <c r="E1025" s="2" t="s">
        <v>935</v>
      </c>
      <c r="F1025" s="2" t="s">
        <v>37</v>
      </c>
      <c r="G1025" s="2" t="s">
        <v>14591</v>
      </c>
      <c r="H1025" s="3" t="str">
        <f>_xlfn.IFNA(INDEX(FieldDisagreements!C2:C999, MATCH(C1025,FieldDisagreements!A2:A999, 0)), "")</f>
        <v>effortless-entity-framework</v>
      </c>
      <c r="I1025" s="3" t="str">
        <f>_xlfn.IFNA(INDEX(FieldDisagreements!D2:D999, MATCH(C1025,FieldDisagreements!A2:A999, 0)), "")</f>
        <v>KnowledgeFragments.DaysSinceActualReview</v>
      </c>
      <c r="J1025" s="2" t="s">
        <v>1906</v>
      </c>
    </row>
    <row r="1026">
      <c r="A1026" s="2" t="s">
        <v>16274</v>
      </c>
      <c r="B1026" s="3" t="str">
        <f>_xlfn.CONCAT(C1026, " @ ", D1026)</f>
        <v>effortless-entity-framework|KnowledgeFragments.EvidenceAgeDays @ kf-policy-ai-boundary</v>
      </c>
      <c r="C1026" s="2" t="s">
        <v>14797</v>
      </c>
      <c r="D1026" s="2" t="s">
        <v>1167</v>
      </c>
      <c r="E1026" s="2" t="s">
        <v>15074</v>
      </c>
      <c r="F1026" s="2" t="s">
        <v>15075</v>
      </c>
      <c r="G1026" s="2" t="s">
        <v>14591</v>
      </c>
      <c r="H1026" s="3" t="str">
        <f>_xlfn.IFNA(INDEX(FieldDisagreements!C2:C999, MATCH(C1026,FieldDisagreements!A2:A999, 0)), "")</f>
        <v>effortless-entity-framework</v>
      </c>
      <c r="I1026" s="3" t="str">
        <f>_xlfn.IFNA(INDEX(FieldDisagreements!D2:D999, MATCH(C1026,FieldDisagreements!A2:A999, 0)), "")</f>
        <v>KnowledgeFragments.EvidenceAgeDays</v>
      </c>
      <c r="J1026" s="2" t="s">
        <v>1906</v>
      </c>
    </row>
    <row r="1027">
      <c r="A1027" s="2" t="s">
        <v>16275</v>
      </c>
      <c r="B1027" s="3" t="str">
        <f>_xlfn.CONCAT(C1027, " @ ", D1027)</f>
        <v>effortless-entity-framework|KnowledgeFragments.EvidenceAgeDays @ kf-policy-channel</v>
      </c>
      <c r="C1027" s="2" t="s">
        <v>14797</v>
      </c>
      <c r="D1027" s="2" t="s">
        <v>1169</v>
      </c>
      <c r="E1027" s="2" t="s">
        <v>15077</v>
      </c>
      <c r="F1027" s="2" t="s">
        <v>15078</v>
      </c>
      <c r="G1027" s="2" t="s">
        <v>14591</v>
      </c>
      <c r="H1027" s="3" t="str">
        <f>_xlfn.IFNA(INDEX(FieldDisagreements!C2:C999, MATCH(C1027,FieldDisagreements!A2:A999, 0)), "")</f>
        <v>effortless-entity-framework</v>
      </c>
      <c r="I1027" s="3" t="str">
        <f>_xlfn.IFNA(INDEX(FieldDisagreements!D2:D999, MATCH(C1027,FieldDisagreements!A2:A999, 0)), "")</f>
        <v>KnowledgeFragments.EvidenceAgeDays</v>
      </c>
      <c r="J1027" s="2" t="s">
        <v>1906</v>
      </c>
    </row>
    <row r="1028">
      <c r="A1028" s="2" t="s">
        <v>16276</v>
      </c>
      <c r="B1028" s="3" t="str">
        <f>_xlfn.CONCAT(C1028, " @ ", D1028)</f>
        <v>effortless-entity-framework|KnowledgeFragments.EvidenceAgeDays @ kf-policy-manager-route</v>
      </c>
      <c r="C1028" s="2" t="s">
        <v>14797</v>
      </c>
      <c r="D1028" s="2" t="s">
        <v>1171</v>
      </c>
      <c r="E1028" s="2" t="s">
        <v>15077</v>
      </c>
      <c r="F1028" s="2" t="s">
        <v>15078</v>
      </c>
      <c r="G1028" s="2" t="s">
        <v>14591</v>
      </c>
      <c r="H1028" s="3" t="str">
        <f>_xlfn.IFNA(INDEX(FieldDisagreements!C2:C999, MATCH(C1028,FieldDisagreements!A2:A999, 0)), "")</f>
        <v>effortless-entity-framework</v>
      </c>
      <c r="I1028" s="3" t="str">
        <f>_xlfn.IFNA(INDEX(FieldDisagreements!D2:D999, MATCH(C1028,FieldDisagreements!A2:A999, 0)), "")</f>
        <v>KnowledgeFragments.EvidenceAgeDays</v>
      </c>
      <c r="J1028" s="2" t="s">
        <v>1906</v>
      </c>
    </row>
    <row r="1029">
      <c r="A1029" s="2" t="s">
        <v>16277</v>
      </c>
      <c r="B1029" s="3" t="str">
        <f>_xlfn.CONCAT(C1029, " @ ", D1029)</f>
        <v>effortless-entity-framework|KnowledgeFragments.AgeDays @ kf-policy-ai-boundary</v>
      </c>
      <c r="C1029" s="2" t="s">
        <v>14798</v>
      </c>
      <c r="D1029" s="2" t="s">
        <v>1167</v>
      </c>
      <c r="E1029" s="2" t="s">
        <v>15074</v>
      </c>
      <c r="F1029" s="2" t="s">
        <v>15075</v>
      </c>
      <c r="G1029" s="2" t="s">
        <v>14591</v>
      </c>
      <c r="H1029" s="3" t="str">
        <f>_xlfn.IFNA(INDEX(FieldDisagreements!C2:C999, MATCH(C1029,FieldDisagreements!A2:A999, 0)), "")</f>
        <v>effortless-entity-framework</v>
      </c>
      <c r="I1029" s="3" t="str">
        <f>_xlfn.IFNA(INDEX(FieldDisagreements!D2:D999, MATCH(C1029,FieldDisagreements!A2:A999, 0)), "")</f>
        <v>KnowledgeFragments.AgeDays</v>
      </c>
      <c r="J1029" s="2" t="s">
        <v>1906</v>
      </c>
    </row>
    <row r="1030">
      <c r="A1030" s="2" t="s">
        <v>16278</v>
      </c>
      <c r="B1030" s="3" t="str">
        <f>_xlfn.CONCAT(C1030, " @ ", D1030)</f>
        <v>effortless-entity-framework|KnowledgeFragments.AgeDays @ kf-policy-channel</v>
      </c>
      <c r="C1030" s="2" t="s">
        <v>14798</v>
      </c>
      <c r="D1030" s="2" t="s">
        <v>1169</v>
      </c>
      <c r="E1030" s="2" t="s">
        <v>15077</v>
      </c>
      <c r="F1030" s="2" t="s">
        <v>15078</v>
      </c>
      <c r="G1030" s="2" t="s">
        <v>14591</v>
      </c>
      <c r="H1030" s="3" t="str">
        <f>_xlfn.IFNA(INDEX(FieldDisagreements!C2:C999, MATCH(C1030,FieldDisagreements!A2:A999, 0)), "")</f>
        <v>effortless-entity-framework</v>
      </c>
      <c r="I1030" s="3" t="str">
        <f>_xlfn.IFNA(INDEX(FieldDisagreements!D2:D999, MATCH(C1030,FieldDisagreements!A2:A999, 0)), "")</f>
        <v>KnowledgeFragments.AgeDays</v>
      </c>
      <c r="J1030" s="2" t="s">
        <v>1906</v>
      </c>
    </row>
    <row r="1031">
      <c r="A1031" s="2" t="s">
        <v>16279</v>
      </c>
      <c r="B1031" s="3" t="str">
        <f>_xlfn.CONCAT(C1031, " @ ", D1031)</f>
        <v>effortless-entity-framework|KnowledgeFragments.AgeDays @ kf-policy-manager-route</v>
      </c>
      <c r="C1031" s="2" t="s">
        <v>14798</v>
      </c>
      <c r="D1031" s="2" t="s">
        <v>1171</v>
      </c>
      <c r="E1031" s="2" t="s">
        <v>15077</v>
      </c>
      <c r="F1031" s="2" t="s">
        <v>15078</v>
      </c>
      <c r="G1031" s="2" t="s">
        <v>14591</v>
      </c>
      <c r="H1031" s="3" t="str">
        <f>_xlfn.IFNA(INDEX(FieldDisagreements!C2:C999, MATCH(C1031,FieldDisagreements!A2:A999, 0)), "")</f>
        <v>effortless-entity-framework</v>
      </c>
      <c r="I1031" s="3" t="str">
        <f>_xlfn.IFNA(INDEX(FieldDisagreements!D2:D999, MATCH(C1031,FieldDisagreements!A2:A999, 0)), "")</f>
        <v>KnowledgeFragments.AgeDays</v>
      </c>
      <c r="J1031" s="2" t="s">
        <v>1906</v>
      </c>
    </row>
    <row r="1032">
      <c r="A1032" s="2" t="s">
        <v>16280</v>
      </c>
      <c r="B1032" s="3" t="str">
        <f>_xlfn.CONCAT(C1032, " @ ", D1032)</f>
        <v>effortless-entity-framework|KnowledgeFragments.DaysAwaitingMyApproval @ kf-policy-manager-route</v>
      </c>
      <c r="C1032" s="2" t="s">
        <v>14799</v>
      </c>
      <c r="D1032" s="2" t="s">
        <v>1171</v>
      </c>
      <c r="E1032" s="2" t="s">
        <v>15077</v>
      </c>
      <c r="F1032" s="2" t="s">
        <v>15078</v>
      </c>
      <c r="G1032" s="2" t="s">
        <v>14591</v>
      </c>
      <c r="H1032" s="3" t="str">
        <f>_xlfn.IFNA(INDEX(FieldDisagreements!C2:C999, MATCH(C1032,FieldDisagreements!A2:A999, 0)), "")</f>
        <v>effortless-entity-framework</v>
      </c>
      <c r="I1032" s="3" t="str">
        <f>_xlfn.IFNA(INDEX(FieldDisagreements!D2:D999, MATCH(C1032,FieldDisagreements!A2:A999, 0)), "")</f>
        <v>KnowledgeFragments.DaysAwaitingMyApproval</v>
      </c>
      <c r="J1032" s="2" t="s">
        <v>1906</v>
      </c>
    </row>
    <row r="1033">
      <c r="A1033" s="2" t="s">
        <v>16281</v>
      </c>
      <c r="B1033" s="3" t="str">
        <f>_xlfn.CONCAT(C1033, " @ ", D1033)</f>
        <v>effortless-entity-framework|KnowledgeGaps.DaysOpen @ gap-policy-delivery-receipts</v>
      </c>
      <c r="C1033" s="2" t="s">
        <v>14800</v>
      </c>
      <c r="D1033" s="2" t="s">
        <v>1196</v>
      </c>
      <c r="E1033" s="2" t="s">
        <v>935</v>
      </c>
      <c r="F1033" s="2" t="s">
        <v>37</v>
      </c>
      <c r="G1033" s="2" t="s">
        <v>14591</v>
      </c>
      <c r="H1033" s="3" t="str">
        <f>_xlfn.IFNA(INDEX(FieldDisagreements!C2:C999, MATCH(C1033,FieldDisagreements!A2:A999, 0)), "")</f>
        <v>effortless-entity-framework</v>
      </c>
      <c r="I1033" s="3" t="str">
        <f>_xlfn.IFNA(INDEX(FieldDisagreements!D2:D999, MATCH(C1033,FieldDisagreements!A2:A999, 0)), "")</f>
        <v>KnowledgeGaps.DaysOpen</v>
      </c>
      <c r="J1033" s="2" t="s">
        <v>1906</v>
      </c>
    </row>
    <row r="1034">
      <c r="A1034" s="2" t="s">
        <v>16282</v>
      </c>
      <c r="B1034" s="3" t="str">
        <f>_xlfn.CONCAT(C1034, " @ ", D1034)</f>
        <v>effortless-entity-framework|IssueOccurrences.Name @ issue-close-feed</v>
      </c>
      <c r="C1034" s="2" t="s">
        <v>14801</v>
      </c>
      <c r="D1034" s="2" t="s">
        <v>1527</v>
      </c>
      <c r="E1034" s="2" t="s">
        <v>15094</v>
      </c>
      <c r="F1034" s="2" t="s">
        <v>15095</v>
      </c>
      <c r="G1034" s="2" t="s">
        <v>14591</v>
      </c>
      <c r="H1034" s="3" t="str">
        <f>_xlfn.IFNA(INDEX(FieldDisagreements!C2:C999, MATCH(C1034,FieldDisagreements!A2:A999, 0)), "")</f>
        <v>effortless-entity-framework</v>
      </c>
      <c r="I1034" s="3" t="str">
        <f>_xlfn.IFNA(INDEX(FieldDisagreements!D2:D999, MATCH(C1034,FieldDisagreements!A2:A999, 0)), "")</f>
        <v>IssueOccurrences.Name</v>
      </c>
      <c r="J1034" s="2" t="s">
        <v>1906</v>
      </c>
    </row>
    <row r="1035">
      <c r="A1035" s="2" t="s">
        <v>16283</v>
      </c>
      <c r="B1035" s="3" t="str">
        <f>_xlfn.CONCAT(C1035, " @ ", D1035)</f>
        <v>effortless-entity-framework|IssueOccurrences.Name @ issue-policy-sms</v>
      </c>
      <c r="C1035" s="2" t="s">
        <v>14801</v>
      </c>
      <c r="D1035" s="2" t="s">
        <v>1531</v>
      </c>
      <c r="E1035" s="2" t="s">
        <v>15097</v>
      </c>
      <c r="F1035" s="2" t="s">
        <v>15098</v>
      </c>
      <c r="G1035" s="2" t="s">
        <v>14591</v>
      </c>
      <c r="H1035" s="3" t="str">
        <f>_xlfn.IFNA(INDEX(FieldDisagreements!C2:C999, MATCH(C1035,FieldDisagreements!A2:A999, 0)), "")</f>
        <v>effortless-entity-framework</v>
      </c>
      <c r="I1035" s="3" t="str">
        <f>_xlfn.IFNA(INDEX(FieldDisagreements!D2:D999, MATCH(C1035,FieldDisagreements!A2:A999, 0)), "")</f>
        <v>IssueOccurrences.Name</v>
      </c>
      <c r="J1035" s="2" t="s">
        <v>1906</v>
      </c>
    </row>
    <row r="1036">
      <c r="A1036" s="2" t="s">
        <v>16284</v>
      </c>
      <c r="B1036" s="3" t="str">
        <f>_xlfn.CONCAT(C1036, " @ ", D1036)</f>
        <v>effortless-entity-framework|ChangeRequests.DaysPending @ cr-close-timestamp</v>
      </c>
      <c r="C1036" s="2" t="s">
        <v>14802</v>
      </c>
      <c r="D1036" s="2" t="s">
        <v>1556</v>
      </c>
      <c r="E1036" s="2" t="s">
        <v>935</v>
      </c>
      <c r="F1036" s="2" t="s">
        <v>37</v>
      </c>
      <c r="G1036" s="2" t="s">
        <v>14591</v>
      </c>
      <c r="H1036" s="3" t="str">
        <f>_xlfn.IFNA(INDEX(FieldDisagreements!C2:C999, MATCH(C1036,FieldDisagreements!A2:A999, 0)), "")</f>
        <v>effortless-entity-framework</v>
      </c>
      <c r="I1036" s="3" t="str">
        <f>_xlfn.IFNA(INDEX(FieldDisagreements!D2:D999, MATCH(C1036,FieldDisagreements!A2:A999, 0)), "")</f>
        <v>ChangeRequests.DaysPending</v>
      </c>
      <c r="J1036" s="2" t="s">
        <v>1906</v>
      </c>
    </row>
    <row r="1037">
      <c r="A1037" s="2" t="s">
        <v>16285</v>
      </c>
      <c r="B1037" s="3" t="str">
        <f>_xlfn.CONCAT(C1037, " @ ", D1037)</f>
        <v>effortless-entity-framework|ChangeRequests.DecisionLatencyDays @ cr-close-timestamp</v>
      </c>
      <c r="C1037" s="2" t="s">
        <v>14803</v>
      </c>
      <c r="D1037" s="2" t="s">
        <v>1556</v>
      </c>
      <c r="E1037" s="2" t="s">
        <v>935</v>
      </c>
      <c r="F1037" s="2" t="s">
        <v>37</v>
      </c>
      <c r="G1037" s="2" t="s">
        <v>14591</v>
      </c>
      <c r="H1037" s="3" t="str">
        <f>_xlfn.IFNA(INDEX(FieldDisagreements!C2:C999, MATCH(C1037,FieldDisagreements!A2:A999, 0)), "")</f>
        <v>effortless-entity-framework</v>
      </c>
      <c r="I1037" s="3" t="str">
        <f>_xlfn.IFNA(INDEX(FieldDisagreements!D2:D999, MATCH(C1037,FieldDisagreements!A2:A999, 0)), "")</f>
        <v>ChangeRequests.DecisionLatencyDays</v>
      </c>
      <c r="J1037" s="2" t="s">
        <v>1906</v>
      </c>
    </row>
    <row r="1038">
      <c r="A1038" s="2" t="s">
        <v>16286</v>
      </c>
      <c r="B1038" s="3" t="str">
        <f>_xlfn.CONCAT(C1038, " @ ", D1038)</f>
        <v>effortless-entity-framework|ReviewEvents.DaysSinceReviewed @ review-close-q1</v>
      </c>
      <c r="C1038" s="2" t="s">
        <v>14804</v>
      </c>
      <c r="D1038" s="2" t="s">
        <v>1626</v>
      </c>
      <c r="E1038" s="2" t="s">
        <v>15102</v>
      </c>
      <c r="F1038" s="2" t="s">
        <v>15103</v>
      </c>
      <c r="G1038" s="2" t="s">
        <v>14591</v>
      </c>
      <c r="H1038" s="3" t="str">
        <f>_xlfn.IFNA(INDEX(FieldDisagreements!C2:C999, MATCH(C1038,FieldDisagreements!A2:A999, 0)), "")</f>
        <v>effortless-entity-framework</v>
      </c>
      <c r="I1038" s="3" t="str">
        <f>_xlfn.IFNA(INDEX(FieldDisagreements!D2:D999, MATCH(C1038,FieldDisagreements!A2:A999, 0)), "")</f>
        <v>ReviewEvents.DaysSinceReviewed</v>
      </c>
      <c r="J1038" s="2" t="s">
        <v>1906</v>
      </c>
    </row>
    <row r="1039">
      <c r="A1039" s="2" t="s">
        <v>16287</v>
      </c>
      <c r="B1039" s="3" t="str">
        <f>_xlfn.CONCAT(C1039, " @ ", D1039)</f>
        <v>effortless-entity-framework|ReviewEvents.DaysSinceReviewed @ review-close-q2</v>
      </c>
      <c r="C1039" s="2" t="s">
        <v>14804</v>
      </c>
      <c r="D1039" s="2" t="s">
        <v>1630</v>
      </c>
      <c r="E1039" s="2" t="s">
        <v>15054</v>
      </c>
      <c r="F1039" s="2" t="s">
        <v>8195</v>
      </c>
      <c r="G1039" s="2" t="s">
        <v>14591</v>
      </c>
      <c r="H1039" s="3" t="str">
        <f>_xlfn.IFNA(INDEX(FieldDisagreements!C2:C999, MATCH(C1039,FieldDisagreements!A2:A999, 0)), "")</f>
        <v>effortless-entity-framework</v>
      </c>
      <c r="I1039" s="3" t="str">
        <f>_xlfn.IFNA(INDEX(FieldDisagreements!D2:D999, MATCH(C1039,FieldDisagreements!A2:A999, 0)), "")</f>
        <v>ReviewEvents.DaysSinceReviewed</v>
      </c>
      <c r="J1039" s="2" t="s">
        <v>1906</v>
      </c>
    </row>
    <row r="1040">
      <c r="A1040" s="2" t="s">
        <v>16288</v>
      </c>
      <c r="B1040" s="3" t="str">
        <f>_xlfn.CONCAT(C1040, " @ ", D1040)</f>
        <v>effortless-entity-framework|ReviewEvents.DaysSinceReviewed @ review-policy-prelaunch</v>
      </c>
      <c r="C1040" s="2" t="s">
        <v>14804</v>
      </c>
      <c r="D1040" s="2" t="s">
        <v>1632</v>
      </c>
      <c r="E1040" s="2" t="s">
        <v>935</v>
      </c>
      <c r="F1040" s="2" t="s">
        <v>37</v>
      </c>
      <c r="G1040" s="2" t="s">
        <v>14591</v>
      </c>
      <c r="H1040" s="3" t="str">
        <f>_xlfn.IFNA(INDEX(FieldDisagreements!C2:C999, MATCH(C1040,FieldDisagreements!A2:A999, 0)), "")</f>
        <v>effortless-entity-framework</v>
      </c>
      <c r="I1040" s="3" t="str">
        <f>_xlfn.IFNA(INDEX(FieldDisagreements!D2:D999, MATCH(C1040,FieldDisagreements!A2:A999, 0)), "")</f>
        <v>ReviewEvents.DaysSinceReviewed</v>
      </c>
      <c r="J1040" s="2" t="s">
        <v>1906</v>
      </c>
    </row>
    <row r="1041">
      <c r="A1041" s="2" t="s">
        <v>16289</v>
      </c>
      <c r="B1041" s="3" t="str">
        <f>_xlfn.CONCAT(C1041, " @ ", D1041)</f>
        <v>effortless-entity-framework|ReviewEvents.CadenceDriftDays @ review-close-q1</v>
      </c>
      <c r="C1041" s="2" t="s">
        <v>14805</v>
      </c>
      <c r="D1041" s="2" t="s">
        <v>1626</v>
      </c>
      <c r="E1041" s="2" t="s">
        <v>15107</v>
      </c>
      <c r="F1041" s="2" t="s">
        <v>15108</v>
      </c>
      <c r="G1041" s="2" t="s">
        <v>14591</v>
      </c>
      <c r="H1041" s="3" t="str">
        <f>_xlfn.IFNA(INDEX(FieldDisagreements!C2:C999, MATCH(C1041,FieldDisagreements!A2:A999, 0)), "")</f>
        <v>effortless-entity-framework</v>
      </c>
      <c r="I1041" s="3" t="str">
        <f>_xlfn.IFNA(INDEX(FieldDisagreements!D2:D999, MATCH(C1041,FieldDisagreements!A2:A999, 0)), "")</f>
        <v>ReviewEvents.CadenceDriftDays</v>
      </c>
      <c r="J1041" s="2" t="s">
        <v>1906</v>
      </c>
    </row>
    <row r="1042">
      <c r="A1042" s="2" t="s">
        <v>16290</v>
      </c>
      <c r="B1042" s="3" t="str">
        <f>_xlfn.CONCAT(C1042, " @ ", D1042)</f>
        <v>effortless-entity-framework|ReviewEvents.CadenceDriftDays @ review-close-q2</v>
      </c>
      <c r="C1042" s="2" t="s">
        <v>14805</v>
      </c>
      <c r="D1042" s="2" t="s">
        <v>1630</v>
      </c>
      <c r="E1042" s="2" t="s">
        <v>15110</v>
      </c>
      <c r="F1042" s="2" t="s">
        <v>15111</v>
      </c>
      <c r="G1042" s="2" t="s">
        <v>14591</v>
      </c>
      <c r="H1042" s="3" t="str">
        <f>_xlfn.IFNA(INDEX(FieldDisagreements!C2:C999, MATCH(C1042,FieldDisagreements!A2:A999, 0)), "")</f>
        <v>effortless-entity-framework</v>
      </c>
      <c r="I1042" s="3" t="str">
        <f>_xlfn.IFNA(INDEX(FieldDisagreements!D2:D999, MATCH(C1042,FieldDisagreements!A2:A999, 0)), "")</f>
        <v>ReviewEvents.CadenceDriftDays</v>
      </c>
      <c r="J1042" s="2" t="s">
        <v>1906</v>
      </c>
    </row>
    <row r="1043">
      <c r="A1043" s="2" t="s">
        <v>16291</v>
      </c>
      <c r="B1043" s="3" t="str">
        <f>_xlfn.CONCAT(C1043, " @ ", D1043)</f>
        <v>effortless-entity-framework|ReviewEvents.CadenceDriftDays @ review-policy-prelaunch</v>
      </c>
      <c r="C1043" s="2" t="s">
        <v>14805</v>
      </c>
      <c r="D1043" s="2" t="s">
        <v>1632</v>
      </c>
      <c r="E1043" s="2" t="s">
        <v>15113</v>
      </c>
      <c r="F1043" s="2" t="s">
        <v>15114</v>
      </c>
      <c r="G1043" s="2" t="s">
        <v>14591</v>
      </c>
      <c r="H1043" s="3" t="str">
        <f>_xlfn.IFNA(INDEX(FieldDisagreements!C2:C999, MATCH(C1043,FieldDisagreements!A2:A999, 0)), "")</f>
        <v>effortless-entity-framework</v>
      </c>
      <c r="I1043" s="3" t="str">
        <f>_xlfn.IFNA(INDEX(FieldDisagreements!D2:D999, MATCH(C1043,FieldDisagreements!A2:A999, 0)), "")</f>
        <v>ReviewEvents.CadenceDriftDays</v>
      </c>
      <c r="J1043" s="2" t="s">
        <v>1906</v>
      </c>
    </row>
    <row r="1044">
      <c r="A1044" s="2" t="s">
        <v>16292</v>
      </c>
      <c r="B1044" s="3" t="str">
        <f>_xlfn.CONCAT(C1044, " @ ", D1044)</f>
        <v>effortless-entity-framework|LearningActivities.Name @ learn-close-retro</v>
      </c>
      <c r="C1044" s="2" t="s">
        <v>14806</v>
      </c>
      <c r="D1044" s="2" t="s">
        <v>1637</v>
      </c>
      <c r="E1044" s="2" t="s">
        <v>15116</v>
      </c>
      <c r="F1044" s="2" t="s">
        <v>15117</v>
      </c>
      <c r="G1044" s="2" t="s">
        <v>14591</v>
      </c>
      <c r="H1044" s="3" t="str">
        <f>_xlfn.IFNA(INDEX(FieldDisagreements!C2:C999, MATCH(C1044,FieldDisagreements!A2:A999, 0)), "")</f>
        <v>effortless-entity-framework</v>
      </c>
      <c r="I1044" s="3" t="str">
        <f>_xlfn.IFNA(INDEX(FieldDisagreements!D2:D999, MATCH(C1044,FieldDisagreements!A2:A999, 0)), "")</f>
        <v>LearningActivities.Name</v>
      </c>
      <c r="J1044" s="2" t="s">
        <v>1906</v>
      </c>
    </row>
    <row r="1045">
      <c r="A1045" s="2" t="s">
        <v>16293</v>
      </c>
      <c r="B1045" s="3" t="str">
        <f>_xlfn.CONCAT(C1045, " @ ", D1045)</f>
        <v>effortless-entity-framework|LearningActivities.Name @ learn-policy-tabletop</v>
      </c>
      <c r="C1045" s="2" t="s">
        <v>14806</v>
      </c>
      <c r="D1045" s="2" t="s">
        <v>1639</v>
      </c>
      <c r="E1045" s="2" t="s">
        <v>15119</v>
      </c>
      <c r="F1045" s="2" t="s">
        <v>15120</v>
      </c>
      <c r="G1045" s="2" t="s">
        <v>14591</v>
      </c>
      <c r="H1045" s="3" t="str">
        <f>_xlfn.IFNA(INDEX(FieldDisagreements!C2:C999, MATCH(C1045,FieldDisagreements!A2:A999, 0)), "")</f>
        <v>effortless-entity-framework</v>
      </c>
      <c r="I1045" s="3" t="str">
        <f>_xlfn.IFNA(INDEX(FieldDisagreements!D2:D999, MATCH(C1045,FieldDisagreements!A2:A999, 0)), "")</f>
        <v>LearningActivities.Name</v>
      </c>
      <c r="J1045" s="2" t="s">
        <v>1906</v>
      </c>
    </row>
    <row r="1046">
      <c r="A1046" s="2" t="s">
        <v>16294</v>
      </c>
      <c r="B1046" s="3" t="str">
        <f>_xlfn.CONCAT(C1046, " @ ", D1046)</f>
        <v>effortless-entity-framework|ObservedTransitions.Name @ obs-close-01-02-q2</v>
      </c>
      <c r="C1046" s="2" t="s">
        <v>14807</v>
      </c>
      <c r="D1046" s="2" t="s">
        <v>8200</v>
      </c>
      <c r="E1046" s="2" t="s">
        <v>15122</v>
      </c>
      <c r="F1046" s="2" t="s">
        <v>15123</v>
      </c>
      <c r="G1046" s="2" t="s">
        <v>14591</v>
      </c>
      <c r="H1046" s="3" t="str">
        <f>_xlfn.IFNA(INDEX(FieldDisagreements!C2:C999, MATCH(C1046,FieldDisagreements!A2:A999, 0)), "")</f>
        <v>effortless-entity-framework</v>
      </c>
      <c r="I1046" s="3" t="str">
        <f>_xlfn.IFNA(INDEX(FieldDisagreements!D2:D999, MATCH(C1046,FieldDisagreements!A2:A999, 0)), "")</f>
        <v>ObservedTransitions.Name</v>
      </c>
      <c r="J1046" s="2" t="s">
        <v>1906</v>
      </c>
    </row>
    <row r="1047">
      <c r="A1047" s="2" t="s">
        <v>16295</v>
      </c>
      <c r="B1047" s="3" t="str">
        <f>_xlfn.CONCAT(C1047, " @ ", D1047)</f>
        <v>effortless-entity-framework|ObservedTransitions.Name @ obs-close-02-03-q2</v>
      </c>
      <c r="C1047" s="2" t="s">
        <v>14807</v>
      </c>
      <c r="D1047" s="2" t="s">
        <v>8202</v>
      </c>
      <c r="E1047" s="2" t="s">
        <v>15125</v>
      </c>
      <c r="F1047" s="2" t="s">
        <v>15126</v>
      </c>
      <c r="G1047" s="2" t="s">
        <v>14591</v>
      </c>
      <c r="H1047" s="3" t="str">
        <f>_xlfn.IFNA(INDEX(FieldDisagreements!C2:C999, MATCH(C1047,FieldDisagreements!A2:A999, 0)), "")</f>
        <v>effortless-entity-framework</v>
      </c>
      <c r="I1047" s="3" t="str">
        <f>_xlfn.IFNA(INDEX(FieldDisagreements!D2:D999, MATCH(C1047,FieldDisagreements!A2:A999, 0)), "")</f>
        <v>ObservedTransitions.Name</v>
      </c>
      <c r="J1047" s="2" t="s">
        <v>1906</v>
      </c>
    </row>
    <row r="1048">
      <c r="A1048" s="2" t="s">
        <v>16296</v>
      </c>
      <c r="B1048" s="3" t="str">
        <f>_xlfn.CONCAT(C1048, " @ ", D1048)</f>
        <v>effortless-entity-framework|ObservedTransitions.Name @ obs-close-03-04-q2</v>
      </c>
      <c r="C1048" s="2" t="s">
        <v>14807</v>
      </c>
      <c r="D1048" s="2" t="s">
        <v>8203</v>
      </c>
      <c r="E1048" s="2" t="s">
        <v>15128</v>
      </c>
      <c r="F1048" s="2" t="s">
        <v>15129</v>
      </c>
      <c r="G1048" s="2" t="s">
        <v>14591</v>
      </c>
      <c r="H1048" s="3" t="str">
        <f>_xlfn.IFNA(INDEX(FieldDisagreements!C2:C999, MATCH(C1048,FieldDisagreements!A2:A999, 0)), "")</f>
        <v>effortless-entity-framework</v>
      </c>
      <c r="I1048" s="3" t="str">
        <f>_xlfn.IFNA(INDEX(FieldDisagreements!D2:D999, MATCH(C1048,FieldDisagreements!A2:A999, 0)), "")</f>
        <v>ObservedTransitions.Name</v>
      </c>
      <c r="J1048" s="2" t="s">
        <v>1906</v>
      </c>
    </row>
    <row r="1049">
      <c r="A1049" s="2" t="s">
        <v>16297</v>
      </c>
      <c r="B1049" s="3" t="str">
        <f>_xlfn.CONCAT(C1049, " @ ", D1049)</f>
        <v>effortless-entity-framework|ObservedTransitions.Name @ obs-close-04-05-q2</v>
      </c>
      <c r="C1049" s="2" t="s">
        <v>14807</v>
      </c>
      <c r="D1049" s="2" t="s">
        <v>8204</v>
      </c>
      <c r="E1049" s="2" t="s">
        <v>15131</v>
      </c>
      <c r="F1049" s="2" t="s">
        <v>15132</v>
      </c>
      <c r="G1049" s="2" t="s">
        <v>14591</v>
      </c>
      <c r="H1049" s="3" t="str">
        <f>_xlfn.IFNA(INDEX(FieldDisagreements!C2:C999, MATCH(C1049,FieldDisagreements!A2:A999, 0)), "")</f>
        <v>effortless-entity-framework</v>
      </c>
      <c r="I1049" s="3" t="str">
        <f>_xlfn.IFNA(INDEX(FieldDisagreements!D2:D999, MATCH(C1049,FieldDisagreements!A2:A999, 0)), "")</f>
        <v>ObservedTransitions.Name</v>
      </c>
      <c r="J1049" s="2" t="s">
        <v>1906</v>
      </c>
    </row>
    <row r="1050">
      <c r="A1050" s="2" t="s">
        <v>16298</v>
      </c>
      <c r="B1050" s="3" t="str">
        <f>_xlfn.CONCAT(C1050, " @ ", D1050)</f>
        <v>effortless-entity-framework|ObservedTransitions.Name @ obs-close-05-06-q2</v>
      </c>
      <c r="C1050" s="2" t="s">
        <v>14807</v>
      </c>
      <c r="D1050" s="2" t="s">
        <v>8205</v>
      </c>
      <c r="E1050" s="2" t="s">
        <v>15134</v>
      </c>
      <c r="F1050" s="2" t="s">
        <v>15135</v>
      </c>
      <c r="G1050" s="2" t="s">
        <v>14591</v>
      </c>
      <c r="H1050" s="3" t="str">
        <f>_xlfn.IFNA(INDEX(FieldDisagreements!C2:C999, MATCH(C1050,FieldDisagreements!A2:A999, 0)), "")</f>
        <v>effortless-entity-framework</v>
      </c>
      <c r="I1050" s="3" t="str">
        <f>_xlfn.IFNA(INDEX(FieldDisagreements!D2:D999, MATCH(C1050,FieldDisagreements!A2:A999, 0)), "")</f>
        <v>ObservedTransitions.Name</v>
      </c>
      <c r="J1050" s="2" t="s">
        <v>1906</v>
      </c>
    </row>
    <row r="1051">
      <c r="A1051" s="2" t="s">
        <v>16299</v>
      </c>
      <c r="B1051" s="3" t="str">
        <f>_xlfn.CONCAT(C1051, " @ ", D1051)</f>
        <v>effortless-entity-framework|ObservedTransitions.Name @ obs-close-06-07-q2</v>
      </c>
      <c r="C1051" s="2" t="s">
        <v>14807</v>
      </c>
      <c r="D1051" s="2" t="s">
        <v>8206</v>
      </c>
      <c r="E1051" s="2" t="s">
        <v>15137</v>
      </c>
      <c r="F1051" s="2" t="s">
        <v>15138</v>
      </c>
      <c r="G1051" s="2" t="s">
        <v>14591</v>
      </c>
      <c r="H1051" s="3" t="str">
        <f>_xlfn.IFNA(INDEX(FieldDisagreements!C2:C999, MATCH(C1051,FieldDisagreements!A2:A999, 0)), "")</f>
        <v>effortless-entity-framework</v>
      </c>
      <c r="I1051" s="3" t="str">
        <f>_xlfn.IFNA(INDEX(FieldDisagreements!D2:D999, MATCH(C1051,FieldDisagreements!A2:A999, 0)), "")</f>
        <v>ObservedTransitions.Name</v>
      </c>
      <c r="J1051" s="2" t="s">
        <v>1906</v>
      </c>
    </row>
    <row r="1052">
      <c r="A1052" s="2" t="s">
        <v>16300</v>
      </c>
      <c r="B1052" s="3" t="str">
        <f>_xlfn.CONCAT(C1052, " @ ", D1052)</f>
        <v>effortless-entity-framework|ObservedTransitions.Name @ obs-close-07-08-q2</v>
      </c>
      <c r="C1052" s="2" t="s">
        <v>14807</v>
      </c>
      <c r="D1052" s="2" t="s">
        <v>8207</v>
      </c>
      <c r="E1052" s="2" t="s">
        <v>15140</v>
      </c>
      <c r="F1052" s="2" t="s">
        <v>15141</v>
      </c>
      <c r="G1052" s="2" t="s">
        <v>14591</v>
      </c>
      <c r="H1052" s="3" t="str">
        <f>_xlfn.IFNA(INDEX(FieldDisagreements!C2:C999, MATCH(C1052,FieldDisagreements!A2:A999, 0)), "")</f>
        <v>effortless-entity-framework</v>
      </c>
      <c r="I1052" s="3" t="str">
        <f>_xlfn.IFNA(INDEX(FieldDisagreements!D2:D999, MATCH(C1052,FieldDisagreements!A2:A999, 0)), "")</f>
        <v>ObservedTransitions.Name</v>
      </c>
      <c r="J1052" s="2" t="s">
        <v>1906</v>
      </c>
    </row>
    <row r="1053">
      <c r="A1053" s="2" t="s">
        <v>16301</v>
      </c>
      <c r="B1053" s="3" t="str">
        <f>_xlfn.CONCAT(C1053, " @ ", D1053)</f>
        <v>effortless-entity-framework|ObservedTransitions.Name @ obs-policy-01-02-hr4821</v>
      </c>
      <c r="C1053" s="2" t="s">
        <v>14807</v>
      </c>
      <c r="D1053" s="2" t="s">
        <v>8208</v>
      </c>
      <c r="E1053" s="2" t="s">
        <v>15143</v>
      </c>
      <c r="F1053" s="2" t="s">
        <v>15144</v>
      </c>
      <c r="G1053" s="2" t="s">
        <v>14591</v>
      </c>
      <c r="H1053" s="3" t="str">
        <f>_xlfn.IFNA(INDEX(FieldDisagreements!C2:C999, MATCH(C1053,FieldDisagreements!A2:A999, 0)), "")</f>
        <v>effortless-entity-framework</v>
      </c>
      <c r="I1053" s="3" t="str">
        <f>_xlfn.IFNA(INDEX(FieldDisagreements!D2:D999, MATCH(C1053,FieldDisagreements!A2:A999, 0)), "")</f>
        <v>ObservedTransitions.Name</v>
      </c>
      <c r="J1053" s="2" t="s">
        <v>1906</v>
      </c>
    </row>
    <row r="1054">
      <c r="A1054" s="2" t="s">
        <v>16302</v>
      </c>
      <c r="B1054" s="3" t="str">
        <f>_xlfn.CONCAT(C1054, " @ ", D1054)</f>
        <v>effortless-entity-framework|ObservedTransitions.Name @ obs-policy-02-03-hr4821</v>
      </c>
      <c r="C1054" s="2" t="s">
        <v>14807</v>
      </c>
      <c r="D1054" s="2" t="s">
        <v>8209</v>
      </c>
      <c r="E1054" s="2" t="s">
        <v>15146</v>
      </c>
      <c r="F1054" s="2" t="s">
        <v>15147</v>
      </c>
      <c r="G1054" s="2" t="s">
        <v>14591</v>
      </c>
      <c r="H1054" s="3" t="str">
        <f>_xlfn.IFNA(INDEX(FieldDisagreements!C2:C999, MATCH(C1054,FieldDisagreements!A2:A999, 0)), "")</f>
        <v>effortless-entity-framework</v>
      </c>
      <c r="I1054" s="3" t="str">
        <f>_xlfn.IFNA(INDEX(FieldDisagreements!D2:D999, MATCH(C1054,FieldDisagreements!A2:A999, 0)), "")</f>
        <v>ObservedTransitions.Name</v>
      </c>
      <c r="J1054" s="2" t="s">
        <v>1906</v>
      </c>
    </row>
    <row r="1055">
      <c r="A1055" s="2" t="s">
        <v>16303</v>
      </c>
      <c r="B1055" s="3" t="str">
        <f>_xlfn.CONCAT(C1055, " @ ", D1055)</f>
        <v>effortless-entity-framework|ObservedTransitions.Name @ obs-policy-03-04-hr4821</v>
      </c>
      <c r="C1055" s="2" t="s">
        <v>14807</v>
      </c>
      <c r="D1055" s="2" t="s">
        <v>8210</v>
      </c>
      <c r="E1055" s="2" t="s">
        <v>15149</v>
      </c>
      <c r="F1055" s="2" t="s">
        <v>15150</v>
      </c>
      <c r="G1055" s="2" t="s">
        <v>14591</v>
      </c>
      <c r="H1055" s="3" t="str">
        <f>_xlfn.IFNA(INDEX(FieldDisagreements!C2:C999, MATCH(C1055,FieldDisagreements!A2:A999, 0)), "")</f>
        <v>effortless-entity-framework</v>
      </c>
      <c r="I1055" s="3" t="str">
        <f>_xlfn.IFNA(INDEX(FieldDisagreements!D2:D999, MATCH(C1055,FieldDisagreements!A2:A999, 0)), "")</f>
        <v>ObservedTransitions.Name</v>
      </c>
      <c r="J1055" s="2" t="s">
        <v>1906</v>
      </c>
    </row>
    <row r="1056">
      <c r="A1056" s="2" t="s">
        <v>16304</v>
      </c>
      <c r="B1056" s="3" t="str">
        <f>_xlfn.CONCAT(C1056, " @ ", D1056)</f>
        <v>effortless-entity-framework|MessageDeliveries.Name @ md-001</v>
      </c>
      <c r="C1056" s="2" t="s">
        <v>14808</v>
      </c>
      <c r="D1056" s="2" t="s">
        <v>8234</v>
      </c>
      <c r="E1056" s="2" t="s">
        <v>15152</v>
      </c>
      <c r="F1056" s="2" t="s">
        <v>15153</v>
      </c>
      <c r="G1056" s="2" t="s">
        <v>14591</v>
      </c>
      <c r="H1056" s="3" t="str">
        <f>_xlfn.IFNA(INDEX(FieldDisagreements!C2:C999, MATCH(C1056,FieldDisagreements!A2:A999, 0)), "")</f>
        <v>effortless-entity-framework</v>
      </c>
      <c r="I1056" s="3" t="str">
        <f>_xlfn.IFNA(INDEX(FieldDisagreements!D2:D999, MATCH(C1056,FieldDisagreements!A2:A999, 0)), "")</f>
        <v>MessageDeliveries.Name</v>
      </c>
      <c r="J1056" s="2" t="s">
        <v>1906</v>
      </c>
    </row>
    <row r="1057">
      <c r="A1057" s="2" t="s">
        <v>16305</v>
      </c>
      <c r="B1057" s="3" t="str">
        <f>_xlfn.CONCAT(C1057, " @ ", D1057)</f>
        <v>effortless-entity-framework|MessageDeliveries.Name @ md-002</v>
      </c>
      <c r="C1057" s="2" t="s">
        <v>14808</v>
      </c>
      <c r="D1057" s="2" t="s">
        <v>8238</v>
      </c>
      <c r="E1057" s="2" t="s">
        <v>15155</v>
      </c>
      <c r="F1057" s="2" t="s">
        <v>15156</v>
      </c>
      <c r="G1057" s="2" t="s">
        <v>14591</v>
      </c>
      <c r="H1057" s="3" t="str">
        <f>_xlfn.IFNA(INDEX(FieldDisagreements!C2:C999, MATCH(C1057,FieldDisagreements!A2:A999, 0)), "")</f>
        <v>effortless-entity-framework</v>
      </c>
      <c r="I1057" s="3" t="str">
        <f>_xlfn.IFNA(INDEX(FieldDisagreements!D2:D999, MATCH(C1057,FieldDisagreements!A2:A999, 0)), "")</f>
        <v>MessageDeliveries.Name</v>
      </c>
      <c r="J1057" s="2" t="s">
        <v>1906</v>
      </c>
    </row>
    <row r="1058">
      <c r="A1058" s="2" t="s">
        <v>16306</v>
      </c>
      <c r="B1058" s="3" t="str">
        <f>_xlfn.CONCAT(C1058, " @ ", D1058)</f>
        <v>effortless-entity-framework|MessageDeliveries.Name @ md-003</v>
      </c>
      <c r="C1058" s="2" t="s">
        <v>14808</v>
      </c>
      <c r="D1058" s="2" t="s">
        <v>8239</v>
      </c>
      <c r="E1058" s="2" t="s">
        <v>15158</v>
      </c>
      <c r="F1058" s="2" t="s">
        <v>15159</v>
      </c>
      <c r="G1058" s="2" t="s">
        <v>14591</v>
      </c>
      <c r="H1058" s="3" t="str">
        <f>_xlfn.IFNA(INDEX(FieldDisagreements!C2:C999, MATCH(C1058,FieldDisagreements!A2:A999, 0)), "")</f>
        <v>effortless-entity-framework</v>
      </c>
      <c r="I1058" s="3" t="str">
        <f>_xlfn.IFNA(INDEX(FieldDisagreements!D2:D999, MATCH(C1058,FieldDisagreements!A2:A999, 0)), "")</f>
        <v>MessageDeliveries.Name</v>
      </c>
      <c r="J1058" s="2" t="s">
        <v>1906</v>
      </c>
    </row>
    <row r="1059">
      <c r="A1059" s="2" t="s">
        <v>16307</v>
      </c>
      <c r="B1059" s="3" t="str">
        <f>_xlfn.CONCAT(C1059, " @ ", D1059)</f>
        <v>effortless-entity-framework|MessageDeliveries.Name @ md-004</v>
      </c>
      <c r="C1059" s="2" t="s">
        <v>14808</v>
      </c>
      <c r="D1059" s="2" t="s">
        <v>8241</v>
      </c>
      <c r="E1059" s="2" t="s">
        <v>15161</v>
      </c>
      <c r="F1059" s="2" t="s">
        <v>15162</v>
      </c>
      <c r="G1059" s="2" t="s">
        <v>14591</v>
      </c>
      <c r="H1059" s="3" t="str">
        <f>_xlfn.IFNA(INDEX(FieldDisagreements!C2:C999, MATCH(C1059,FieldDisagreements!A2:A999, 0)), "")</f>
        <v>effortless-entity-framework</v>
      </c>
      <c r="I1059" s="3" t="str">
        <f>_xlfn.IFNA(INDEX(FieldDisagreements!D2:D999, MATCH(C1059,FieldDisagreements!A2:A999, 0)), "")</f>
        <v>MessageDeliveries.Name</v>
      </c>
      <c r="J1059" s="2" t="s">
        <v>1906</v>
      </c>
    </row>
    <row r="1060">
      <c r="A1060" s="2" t="s">
        <v>16308</v>
      </c>
      <c r="B1060" s="3" t="str">
        <f>_xlfn.CONCAT(C1060, " @ ", D1060)</f>
        <v>effortless-entity-framework|MessageDeliveries.Name @ md-005</v>
      </c>
      <c r="C1060" s="2" t="s">
        <v>14808</v>
      </c>
      <c r="D1060" s="2" t="s">
        <v>8244</v>
      </c>
      <c r="E1060" s="2" t="s">
        <v>15164</v>
      </c>
      <c r="F1060" s="2" t="s">
        <v>15165</v>
      </c>
      <c r="G1060" s="2" t="s">
        <v>14591</v>
      </c>
      <c r="H1060" s="3" t="str">
        <f>_xlfn.IFNA(INDEX(FieldDisagreements!C2:C999, MATCH(C1060,FieldDisagreements!A2:A999, 0)), "")</f>
        <v>effortless-entity-framework</v>
      </c>
      <c r="I1060" s="3" t="str">
        <f>_xlfn.IFNA(INDEX(FieldDisagreements!D2:D999, MATCH(C1060,FieldDisagreements!A2:A999, 0)), "")</f>
        <v>MessageDeliveries.Name</v>
      </c>
      <c r="J1060" s="2" t="s">
        <v>1906</v>
      </c>
    </row>
    <row r="1061">
      <c r="A1061" s="2" t="s">
        <v>16309</v>
      </c>
      <c r="B1061" s="3" t="str">
        <f>_xlfn.CONCAT(C1061, " @ ", D1061)</f>
        <v>effortless-entity-framework|MessageDeliveries.Name @ md-006</v>
      </c>
      <c r="C1061" s="2" t="s">
        <v>14808</v>
      </c>
      <c r="D1061" s="2" t="s">
        <v>8247</v>
      </c>
      <c r="E1061" s="2" t="s">
        <v>15167</v>
      </c>
      <c r="F1061" s="2" t="s">
        <v>15168</v>
      </c>
      <c r="G1061" s="2" t="s">
        <v>14591</v>
      </c>
      <c r="H1061" s="3" t="str">
        <f>_xlfn.IFNA(INDEX(FieldDisagreements!C2:C999, MATCH(C1061,FieldDisagreements!A2:A999, 0)), "")</f>
        <v>effortless-entity-framework</v>
      </c>
      <c r="I1061" s="3" t="str">
        <f>_xlfn.IFNA(INDEX(FieldDisagreements!D2:D999, MATCH(C1061,FieldDisagreements!A2:A999, 0)), "")</f>
        <v>MessageDeliveries.Name</v>
      </c>
      <c r="J1061" s="2" t="s">
        <v>1906</v>
      </c>
    </row>
    <row r="1062">
      <c r="A1062" s="2" t="s">
        <v>16310</v>
      </c>
      <c r="B1062" s="3" t="str">
        <f>_xlfn.CONCAT(C1062, " @ ", D1062)</f>
        <v>effortless-entity-framework|MessageDeliveries.AgeDays @ md-001</v>
      </c>
      <c r="C1062" s="2" t="s">
        <v>14809</v>
      </c>
      <c r="D1062" s="2" t="s">
        <v>8234</v>
      </c>
      <c r="E1062" s="2" t="s">
        <v>935</v>
      </c>
      <c r="F1062" s="2" t="s">
        <v>37</v>
      </c>
      <c r="G1062" s="2" t="s">
        <v>14591</v>
      </c>
      <c r="H1062" s="3" t="str">
        <f>_xlfn.IFNA(INDEX(FieldDisagreements!C2:C999, MATCH(C1062,FieldDisagreements!A2:A999, 0)), "")</f>
        <v>effortless-entity-framework</v>
      </c>
      <c r="I1062" s="3" t="str">
        <f>_xlfn.IFNA(INDEX(FieldDisagreements!D2:D999, MATCH(C1062,FieldDisagreements!A2:A999, 0)), "")</f>
        <v>MessageDeliveries.AgeDays</v>
      </c>
      <c r="J1062" s="2" t="s">
        <v>1906</v>
      </c>
    </row>
    <row r="1063">
      <c r="A1063" s="2" t="s">
        <v>16311</v>
      </c>
      <c r="B1063" s="3" t="str">
        <f>_xlfn.CONCAT(C1063, " @ ", D1063)</f>
        <v>effortless-entity-framework|MessageDeliveries.AgeDays @ md-002</v>
      </c>
      <c r="C1063" s="2" t="s">
        <v>14809</v>
      </c>
      <c r="D1063" s="2" t="s">
        <v>8238</v>
      </c>
      <c r="E1063" s="2" t="s">
        <v>935</v>
      </c>
      <c r="F1063" s="2" t="s">
        <v>37</v>
      </c>
      <c r="G1063" s="2" t="s">
        <v>14591</v>
      </c>
      <c r="H1063" s="3" t="str">
        <f>_xlfn.IFNA(INDEX(FieldDisagreements!C2:C999, MATCH(C1063,FieldDisagreements!A2:A999, 0)), "")</f>
        <v>effortless-entity-framework</v>
      </c>
      <c r="I1063" s="3" t="str">
        <f>_xlfn.IFNA(INDEX(FieldDisagreements!D2:D999, MATCH(C1063,FieldDisagreements!A2:A999, 0)), "")</f>
        <v>MessageDeliveries.AgeDays</v>
      </c>
      <c r="J1063" s="2" t="s">
        <v>1906</v>
      </c>
    </row>
    <row r="1064">
      <c r="A1064" s="2" t="s">
        <v>16312</v>
      </c>
      <c r="B1064" s="3" t="str">
        <f>_xlfn.CONCAT(C1064, " @ ", D1064)</f>
        <v>effortless-entity-framework|MessageDeliveries.AgeDays @ md-003</v>
      </c>
      <c r="C1064" s="2" t="s">
        <v>14809</v>
      </c>
      <c r="D1064" s="2" t="s">
        <v>8239</v>
      </c>
      <c r="E1064" s="2" t="s">
        <v>935</v>
      </c>
      <c r="F1064" s="2" t="s">
        <v>37</v>
      </c>
      <c r="G1064" s="2" t="s">
        <v>14591</v>
      </c>
      <c r="H1064" s="3" t="str">
        <f>_xlfn.IFNA(INDEX(FieldDisagreements!C2:C999, MATCH(C1064,FieldDisagreements!A2:A999, 0)), "")</f>
        <v>effortless-entity-framework</v>
      </c>
      <c r="I1064" s="3" t="str">
        <f>_xlfn.IFNA(INDEX(FieldDisagreements!D2:D999, MATCH(C1064,FieldDisagreements!A2:A999, 0)), "")</f>
        <v>MessageDeliveries.AgeDays</v>
      </c>
      <c r="J1064" s="2" t="s">
        <v>1906</v>
      </c>
    </row>
    <row r="1065">
      <c r="A1065" s="2" t="s">
        <v>16313</v>
      </c>
      <c r="B1065" s="3" t="str">
        <f>_xlfn.CONCAT(C1065, " @ ", D1065)</f>
        <v>effortless-entity-framework|MessageDeliveries.AgeDays @ md-004</v>
      </c>
      <c r="C1065" s="2" t="s">
        <v>14809</v>
      </c>
      <c r="D1065" s="2" t="s">
        <v>8241</v>
      </c>
      <c r="E1065" s="2" t="s">
        <v>935</v>
      </c>
      <c r="F1065" s="2" t="s">
        <v>37</v>
      </c>
      <c r="G1065" s="2" t="s">
        <v>14591</v>
      </c>
      <c r="H1065" s="3" t="str">
        <f>_xlfn.IFNA(INDEX(FieldDisagreements!C2:C999, MATCH(C1065,FieldDisagreements!A2:A999, 0)), "")</f>
        <v>effortless-entity-framework</v>
      </c>
      <c r="I1065" s="3" t="str">
        <f>_xlfn.IFNA(INDEX(FieldDisagreements!D2:D999, MATCH(C1065,FieldDisagreements!A2:A999, 0)), "")</f>
        <v>MessageDeliveries.AgeDays</v>
      </c>
      <c r="J1065" s="2" t="s">
        <v>1906</v>
      </c>
    </row>
    <row r="1066">
      <c r="A1066" s="2" t="s">
        <v>16314</v>
      </c>
      <c r="B1066" s="3" t="str">
        <f>_xlfn.CONCAT(C1066, " @ ", D1066)</f>
        <v>effortless-entity-framework|MessageDeliveries.AgeDays @ md-005</v>
      </c>
      <c r="C1066" s="2" t="s">
        <v>14809</v>
      </c>
      <c r="D1066" s="2" t="s">
        <v>8244</v>
      </c>
      <c r="E1066" s="2" t="s">
        <v>935</v>
      </c>
      <c r="F1066" s="2" t="s">
        <v>37</v>
      </c>
      <c r="G1066" s="2" t="s">
        <v>14591</v>
      </c>
      <c r="H1066" s="3" t="str">
        <f>_xlfn.IFNA(INDEX(FieldDisagreements!C2:C999, MATCH(C1066,FieldDisagreements!A2:A999, 0)), "")</f>
        <v>effortless-entity-framework</v>
      </c>
      <c r="I1066" s="3" t="str">
        <f>_xlfn.IFNA(INDEX(FieldDisagreements!D2:D999, MATCH(C1066,FieldDisagreements!A2:A999, 0)), "")</f>
        <v>MessageDeliveries.AgeDays</v>
      </c>
      <c r="J1066" s="2" t="s">
        <v>1906</v>
      </c>
    </row>
    <row r="1067">
      <c r="A1067" s="2" t="s">
        <v>16315</v>
      </c>
      <c r="B1067" s="3" t="str">
        <f>_xlfn.CONCAT(C1067, " @ ", D1067)</f>
        <v>effortless-entity-framework|MessageDeliveries.AgeDays @ md-006</v>
      </c>
      <c r="C1067" s="2" t="s">
        <v>14809</v>
      </c>
      <c r="D1067" s="2" t="s">
        <v>8247</v>
      </c>
      <c r="E1067" s="2" t="s">
        <v>935</v>
      </c>
      <c r="F1067" s="2" t="s">
        <v>37</v>
      </c>
      <c r="G1067" s="2" t="s">
        <v>14591</v>
      </c>
      <c r="H1067" s="3" t="str">
        <f>_xlfn.IFNA(INDEX(FieldDisagreements!C2:C999, MATCH(C1067,FieldDisagreements!A2:A999, 0)), "")</f>
        <v>effortless-entity-framework</v>
      </c>
      <c r="I1067" s="3" t="str">
        <f>_xlfn.IFNA(INDEX(FieldDisagreements!D2:D999, MATCH(C1067,FieldDisagreements!A2:A999, 0)), "")</f>
        <v>MessageDeliveries.AgeDays</v>
      </c>
      <c r="J1067" s="2" t="s">
        <v>1906</v>
      </c>
    </row>
    <row r="1068">
      <c r="A1068" s="2" t="s">
        <v>16316</v>
      </c>
      <c r="B1068" s="3" t="str">
        <f>_xlfn.CONCAT(C1068, " @ ", D1068)</f>
        <v>effortless-entity-framework|MessageDeliveries.SegmentCount @ md-001</v>
      </c>
      <c r="C1068" s="2" t="s">
        <v>14810</v>
      </c>
      <c r="D1068" s="2" t="s">
        <v>8234</v>
      </c>
      <c r="E1068" s="2" t="s">
        <v>15036</v>
      </c>
      <c r="F1068" s="2" t="s">
        <v>37</v>
      </c>
      <c r="G1068" s="2" t="s">
        <v>14591</v>
      </c>
      <c r="H1068" s="3" t="str">
        <f>_xlfn.IFNA(INDEX(FieldDisagreements!C2:C999, MATCH(C1068,FieldDisagreements!A2:A999, 0)), "")</f>
        <v>effortless-entity-framework</v>
      </c>
      <c r="I1068" s="3" t="str">
        <f>_xlfn.IFNA(INDEX(FieldDisagreements!D2:D999, MATCH(C1068,FieldDisagreements!A2:A999, 0)), "")</f>
        <v>MessageDeliveries.SegmentCount</v>
      </c>
      <c r="J1068" s="2" t="s">
        <v>1906</v>
      </c>
    </row>
    <row r="1069">
      <c r="A1069" s="2" t="s">
        <v>16317</v>
      </c>
      <c r="B1069" s="3" t="str">
        <f>_xlfn.CONCAT(C1069, " @ ", D1069)</f>
        <v>effortless-entity-framework|MessageDeliveries.SegmentCount @ md-002</v>
      </c>
      <c r="C1069" s="2" t="s">
        <v>14810</v>
      </c>
      <c r="D1069" s="2" t="s">
        <v>8238</v>
      </c>
      <c r="E1069" s="2" t="s">
        <v>15036</v>
      </c>
      <c r="F1069" s="2" t="s">
        <v>37</v>
      </c>
      <c r="G1069" s="2" t="s">
        <v>14591</v>
      </c>
      <c r="H1069" s="3" t="str">
        <f>_xlfn.IFNA(INDEX(FieldDisagreements!C2:C999, MATCH(C1069,FieldDisagreements!A2:A999, 0)), "")</f>
        <v>effortless-entity-framework</v>
      </c>
      <c r="I1069" s="3" t="str">
        <f>_xlfn.IFNA(INDEX(FieldDisagreements!D2:D999, MATCH(C1069,FieldDisagreements!A2:A999, 0)), "")</f>
        <v>MessageDeliveries.SegmentCount</v>
      </c>
      <c r="J1069" s="2" t="s">
        <v>1906</v>
      </c>
    </row>
    <row r="1070">
      <c r="A1070" s="2" t="s">
        <v>16318</v>
      </c>
      <c r="B1070" s="3" t="str">
        <f>_xlfn.CONCAT(C1070, " @ ", D1070)</f>
        <v>effortless-entity-framework|MessageDeliveries.SegmentCount @ md-003</v>
      </c>
      <c r="C1070" s="2" t="s">
        <v>14810</v>
      </c>
      <c r="D1070" s="2" t="s">
        <v>8239</v>
      </c>
      <c r="E1070" s="2" t="s">
        <v>15036</v>
      </c>
      <c r="F1070" s="2" t="s">
        <v>37</v>
      </c>
      <c r="G1070" s="2" t="s">
        <v>14591</v>
      </c>
      <c r="H1070" s="3" t="str">
        <f>_xlfn.IFNA(INDEX(FieldDisagreements!C2:C999, MATCH(C1070,FieldDisagreements!A2:A999, 0)), "")</f>
        <v>effortless-entity-framework</v>
      </c>
      <c r="I1070" s="3" t="str">
        <f>_xlfn.IFNA(INDEX(FieldDisagreements!D2:D999, MATCH(C1070,FieldDisagreements!A2:A999, 0)), "")</f>
        <v>MessageDeliveries.SegmentCount</v>
      </c>
      <c r="J1070" s="2" t="s">
        <v>1906</v>
      </c>
    </row>
    <row r="1071">
      <c r="A1071" s="2" t="s">
        <v>16319</v>
      </c>
      <c r="B1071" s="3" t="str">
        <f>_xlfn.CONCAT(C1071, " @ ", D1071)</f>
        <v>effortless-entity-framework|MessageDeliveries.SegmentCount @ md-004</v>
      </c>
      <c r="C1071" s="2" t="s">
        <v>14810</v>
      </c>
      <c r="D1071" s="2" t="s">
        <v>8241</v>
      </c>
      <c r="E1071" s="2" t="s">
        <v>15036</v>
      </c>
      <c r="F1071" s="2" t="s">
        <v>37</v>
      </c>
      <c r="G1071" s="2" t="s">
        <v>14591</v>
      </c>
      <c r="H1071" s="3" t="str">
        <f>_xlfn.IFNA(INDEX(FieldDisagreements!C2:C999, MATCH(C1071,FieldDisagreements!A2:A999, 0)), "")</f>
        <v>effortless-entity-framework</v>
      </c>
      <c r="I1071" s="3" t="str">
        <f>_xlfn.IFNA(INDEX(FieldDisagreements!D2:D999, MATCH(C1071,FieldDisagreements!A2:A999, 0)), "")</f>
        <v>MessageDeliveries.SegmentCount</v>
      </c>
      <c r="J1071" s="2" t="s">
        <v>1906</v>
      </c>
    </row>
    <row r="1072">
      <c r="A1072" s="2" t="s">
        <v>16320</v>
      </c>
      <c r="B1072" s="3" t="str">
        <f>_xlfn.CONCAT(C1072, " @ ", D1072)</f>
        <v>effortless-entity-framework|MessageDeliveries.SegmentCount @ md-005</v>
      </c>
      <c r="C1072" s="2" t="s">
        <v>14810</v>
      </c>
      <c r="D1072" s="2" t="s">
        <v>8244</v>
      </c>
      <c r="E1072" s="2" t="s">
        <v>15036</v>
      </c>
      <c r="F1072" s="2" t="s">
        <v>37</v>
      </c>
      <c r="G1072" s="2" t="s">
        <v>14591</v>
      </c>
      <c r="H1072" s="3" t="str">
        <f>_xlfn.IFNA(INDEX(FieldDisagreements!C2:C999, MATCH(C1072,FieldDisagreements!A2:A999, 0)), "")</f>
        <v>effortless-entity-framework</v>
      </c>
      <c r="I1072" s="3" t="str">
        <f>_xlfn.IFNA(INDEX(FieldDisagreements!D2:D999, MATCH(C1072,FieldDisagreements!A2:A999, 0)), "")</f>
        <v>MessageDeliveries.SegmentCount</v>
      </c>
      <c r="J1072" s="2" t="s">
        <v>1906</v>
      </c>
    </row>
    <row r="1073">
      <c r="A1073" s="2" t="s">
        <v>16321</v>
      </c>
      <c r="B1073" s="3" t="str">
        <f>_xlfn.CONCAT(C1073, " @ ", D1073)</f>
        <v>effortless-entity-framework|MessageDeliveries.SegmentCount @ md-006</v>
      </c>
      <c r="C1073" s="2" t="s">
        <v>14810</v>
      </c>
      <c r="D1073" s="2" t="s">
        <v>8247</v>
      </c>
      <c r="E1073" s="2" t="s">
        <v>15036</v>
      </c>
      <c r="F1073" s="2" t="s">
        <v>37</v>
      </c>
      <c r="G1073" s="2" t="s">
        <v>14591</v>
      </c>
      <c r="H1073" s="3" t="str">
        <f>_xlfn.IFNA(INDEX(FieldDisagreements!C2:C999, MATCH(C1073,FieldDisagreements!A2:A999, 0)), "")</f>
        <v>effortless-entity-framework</v>
      </c>
      <c r="I1073" s="3" t="str">
        <f>_xlfn.IFNA(INDEX(FieldDisagreements!D2:D999, MATCH(C1073,FieldDisagreements!A2:A999, 0)), "")</f>
        <v>MessageDeliveries.SegmentCount</v>
      </c>
      <c r="J1073" s="2" t="s">
        <v>1906</v>
      </c>
    </row>
    <row r="1074">
      <c r="A1074" s="2" t="s">
        <v>16322</v>
      </c>
      <c r="B1074" s="3" t="str">
        <f>_xlfn.CONCAT(C1074, " @ ", D1074)</f>
        <v>effortless-entity-framework|MessageDeliveries.OutstandingAgeDays @ md-002</v>
      </c>
      <c r="C1074" s="2" t="s">
        <v>14811</v>
      </c>
      <c r="D1074" s="2" t="s">
        <v>8238</v>
      </c>
      <c r="E1074" s="2" t="s">
        <v>935</v>
      </c>
      <c r="F1074" s="2" t="s">
        <v>37</v>
      </c>
      <c r="G1074" s="2" t="s">
        <v>14591</v>
      </c>
      <c r="H1074" s="3" t="str">
        <f>_xlfn.IFNA(INDEX(FieldDisagreements!C2:C999, MATCH(C1074,FieldDisagreements!A2:A999, 0)), "")</f>
        <v>effortless-entity-framework</v>
      </c>
      <c r="I1074" s="3" t="str">
        <f>_xlfn.IFNA(INDEX(FieldDisagreements!D2:D999, MATCH(C1074,FieldDisagreements!A2:A999, 0)), "")</f>
        <v>MessageDeliveries.OutstandingAgeDays</v>
      </c>
      <c r="J1074" s="2" t="s">
        <v>1906</v>
      </c>
    </row>
    <row r="1075">
      <c r="A1075" s="2" t="s">
        <v>16323</v>
      </c>
      <c r="B1075" s="3" t="str">
        <f>_xlfn.CONCAT(C1075, " @ ", D1075)</f>
        <v>effortless-entity-framework|MessageDeliveries.OutstandingAgeDays @ md-003</v>
      </c>
      <c r="C1075" s="2" t="s">
        <v>14811</v>
      </c>
      <c r="D1075" s="2" t="s">
        <v>8239</v>
      </c>
      <c r="E1075" s="2" t="s">
        <v>935</v>
      </c>
      <c r="F1075" s="2" t="s">
        <v>37</v>
      </c>
      <c r="G1075" s="2" t="s">
        <v>14591</v>
      </c>
      <c r="H1075" s="3" t="str">
        <f>_xlfn.IFNA(INDEX(FieldDisagreements!C2:C999, MATCH(C1075,FieldDisagreements!A2:A999, 0)), "")</f>
        <v>effortless-entity-framework</v>
      </c>
      <c r="I1075" s="3" t="str">
        <f>_xlfn.IFNA(INDEX(FieldDisagreements!D2:D999, MATCH(C1075,FieldDisagreements!A2:A999, 0)), "")</f>
        <v>MessageDeliveries.OutstandingAgeDays</v>
      </c>
      <c r="J1075" s="2" t="s">
        <v>1906</v>
      </c>
    </row>
    <row r="1076">
      <c r="A1076" s="2" t="s">
        <v>16324</v>
      </c>
      <c r="B1076" s="3" t="str">
        <f>_xlfn.CONCAT(C1076, " @ ", D1076)</f>
        <v>effortless-entity-framework|MessageDeliveries.OutstandingAgeDays @ md-005</v>
      </c>
      <c r="C1076" s="2" t="s">
        <v>14811</v>
      </c>
      <c r="D1076" s="2" t="s">
        <v>8244</v>
      </c>
      <c r="E1076" s="2" t="s">
        <v>935</v>
      </c>
      <c r="F1076" s="2" t="s">
        <v>37</v>
      </c>
      <c r="G1076" s="2" t="s">
        <v>14591</v>
      </c>
      <c r="H1076" s="3" t="str">
        <f>_xlfn.IFNA(INDEX(FieldDisagreements!C2:C999, MATCH(C1076,FieldDisagreements!A2:A999, 0)), "")</f>
        <v>effortless-entity-framework</v>
      </c>
      <c r="I1076" s="3" t="str">
        <f>_xlfn.IFNA(INDEX(FieldDisagreements!D2:D999, MATCH(C1076,FieldDisagreements!A2:A999, 0)), "")</f>
        <v>MessageDeliveries.OutstandingAgeDays</v>
      </c>
      <c r="J1076" s="2" t="s">
        <v>1906</v>
      </c>
    </row>
    <row r="1077">
      <c r="A1077" s="2" t="s">
        <v>16325</v>
      </c>
      <c r="B1077" s="3" t="str">
        <f>_xlfn.CONCAT(C1077, " @ ", D1077)</f>
        <v>effortless-entity-framework|MessageDeliveries.OptOutPhrasePosition @ md-003</v>
      </c>
      <c r="C1077" s="2" t="s">
        <v>14812</v>
      </c>
      <c r="D1077" s="2" t="s">
        <v>8239</v>
      </c>
      <c r="E1077" s="2" t="s">
        <v>15035</v>
      </c>
      <c r="F1077" s="2" t="s">
        <v>15185</v>
      </c>
      <c r="G1077" s="2" t="s">
        <v>14591</v>
      </c>
      <c r="H1077" s="3" t="str">
        <f>_xlfn.IFNA(INDEX(FieldDisagreements!C2:C999, MATCH(C1077,FieldDisagreements!A2:A999, 0)), "")</f>
        <v>effortless-entity-framework</v>
      </c>
      <c r="I1077" s="3" t="str">
        <f>_xlfn.IFNA(INDEX(FieldDisagreements!D2:D999, MATCH(C1077,FieldDisagreements!A2:A999, 0)), "")</f>
        <v>MessageDeliveries.OptOutPhrasePosition</v>
      </c>
      <c r="J1077" s="2" t="s">
        <v>1906</v>
      </c>
    </row>
    <row r="1078">
      <c r="A1078" s="2" t="s">
        <v>16326</v>
      </c>
      <c r="B1078" s="3" t="str">
        <f>_xlfn.CONCAT(C1078, " @ ", D1078)</f>
        <v>effortless-entity-framework|MessageDeliveries.OptOutPhrasePosition @ md-004</v>
      </c>
      <c r="C1078" s="2" t="s">
        <v>14812</v>
      </c>
      <c r="D1078" s="2" t="s">
        <v>8241</v>
      </c>
      <c r="E1078" s="2" t="s">
        <v>15035</v>
      </c>
      <c r="F1078" s="2" t="s">
        <v>15185</v>
      </c>
      <c r="G1078" s="2" t="s">
        <v>14591</v>
      </c>
      <c r="H1078" s="3" t="str">
        <f>_xlfn.IFNA(INDEX(FieldDisagreements!C2:C999, MATCH(C1078,FieldDisagreements!A2:A999, 0)), "")</f>
        <v>effortless-entity-framework</v>
      </c>
      <c r="I1078" s="3" t="str">
        <f>_xlfn.IFNA(INDEX(FieldDisagreements!D2:D999, MATCH(C1078,FieldDisagreements!A2:A999, 0)), "")</f>
        <v>MessageDeliveries.OptOutPhrasePosition</v>
      </c>
      <c r="J1078" s="2" t="s">
        <v>1906</v>
      </c>
    </row>
    <row r="1079">
      <c r="A1079" s="2" t="s">
        <v>16327</v>
      </c>
      <c r="B1079" s="3" t="str">
        <f>_xlfn.CONCAT(C1079, " @ ", D1079)</f>
        <v>effortless-entity-framework|MessageDeliveries.OptOutPhrasePosition @ md-006</v>
      </c>
      <c r="C1079" s="2" t="s">
        <v>14812</v>
      </c>
      <c r="D1079" s="2" t="s">
        <v>8247</v>
      </c>
      <c r="E1079" s="2" t="s">
        <v>15035</v>
      </c>
      <c r="F1079" s="2" t="s">
        <v>15185</v>
      </c>
      <c r="G1079" s="2" t="s">
        <v>14591</v>
      </c>
      <c r="H1079" s="3" t="str">
        <f>_xlfn.IFNA(INDEX(FieldDisagreements!C2:C999, MATCH(C1079,FieldDisagreements!A2:A999, 0)), "")</f>
        <v>effortless-entity-framework</v>
      </c>
      <c r="I1079" s="3" t="str">
        <f>_xlfn.IFNA(INDEX(FieldDisagreements!D2:D999, MATCH(C1079,FieldDisagreements!A2:A999, 0)), "")</f>
        <v>MessageDeliveries.OptOutPhrasePosition</v>
      </c>
      <c r="J1079" s="2" t="s">
        <v>1906</v>
      </c>
    </row>
    <row r="1080">
      <c r="A1080" s="2" t="s">
        <v>16328</v>
      </c>
      <c r="B1080" s="3" t="str">
        <f>_xlfn.CONCAT(C1080, " @ ", D1080)</f>
        <v>effortless-entity-framework|TemplateApprovals.Name @ tap-email-001</v>
      </c>
      <c r="C1080" s="2" t="s">
        <v>14813</v>
      </c>
      <c r="D1080" s="2" t="s">
        <v>1729</v>
      </c>
      <c r="E1080" s="2" t="s">
        <v>15189</v>
      </c>
      <c r="F1080" s="2" t="s">
        <v>15190</v>
      </c>
      <c r="G1080" s="2" t="s">
        <v>14591</v>
      </c>
      <c r="H1080" s="3" t="str">
        <f>_xlfn.IFNA(INDEX(FieldDisagreements!C2:C999, MATCH(C1080,FieldDisagreements!A2:A999, 0)), "")</f>
        <v>effortless-entity-framework</v>
      </c>
      <c r="I1080" s="3" t="str">
        <f>_xlfn.IFNA(INDEX(FieldDisagreements!D2:D999, MATCH(C1080,FieldDisagreements!A2:A999, 0)), "")</f>
        <v>TemplateApprovals.Name</v>
      </c>
      <c r="J1080" s="2" t="s">
        <v>1906</v>
      </c>
    </row>
    <row r="1081">
      <c r="A1081" s="2" t="s">
        <v>16329</v>
      </c>
      <c r="B1081" s="3" t="str">
        <f>_xlfn.CONCAT(C1081, " @ ", D1081)</f>
        <v>effortless-entity-framework|TemplateApprovals.Name @ tap-sms-001</v>
      </c>
      <c r="C1081" s="2" t="s">
        <v>14813</v>
      </c>
      <c r="D1081" s="2" t="s">
        <v>1733</v>
      </c>
      <c r="E1081" s="2" t="s">
        <v>15192</v>
      </c>
      <c r="F1081" s="2" t="s">
        <v>15193</v>
      </c>
      <c r="G1081" s="2" t="s">
        <v>14591</v>
      </c>
      <c r="H1081" s="3" t="str">
        <f>_xlfn.IFNA(INDEX(FieldDisagreements!C2:C999, MATCH(C1081,FieldDisagreements!A2:A999, 0)), "")</f>
        <v>effortless-entity-framework</v>
      </c>
      <c r="I1081" s="3" t="str">
        <f>_xlfn.IFNA(INDEX(FieldDisagreements!D2:D999, MATCH(C1081,FieldDisagreements!A2:A999, 0)), "")</f>
        <v>TemplateApprovals.Name</v>
      </c>
      <c r="J1081" s="2" t="s">
        <v>1906</v>
      </c>
    </row>
    <row r="1082">
      <c r="A1082" s="2" t="s">
        <v>16330</v>
      </c>
      <c r="B1082" s="3" t="str">
        <f>_xlfn.CONCAT(C1082, " @ ", D1082)</f>
        <v>effortless-entity-framework|SendIntents.DeferralAgeHours @ si-001</v>
      </c>
      <c r="C1082" s="2" t="s">
        <v>14814</v>
      </c>
      <c r="D1082" s="2" t="s">
        <v>8253</v>
      </c>
      <c r="E1082" s="2" t="s">
        <v>15195</v>
      </c>
      <c r="F1082" s="2" t="s">
        <v>15196</v>
      </c>
      <c r="G1082" s="2" t="s">
        <v>14591</v>
      </c>
      <c r="H1082" s="3" t="str">
        <f>_xlfn.IFNA(INDEX(FieldDisagreements!C2:C999, MATCH(C1082,FieldDisagreements!A2:A999, 0)), "")</f>
        <v>effortless-entity-framework</v>
      </c>
      <c r="I1082" s="3" t="str">
        <f>_xlfn.IFNA(INDEX(FieldDisagreements!D2:D999, MATCH(C1082,FieldDisagreements!A2:A999, 0)), "")</f>
        <v>SendIntents.DeferralAgeHours</v>
      </c>
      <c r="J1082" s="2" t="s">
        <v>1906</v>
      </c>
    </row>
    <row r="1083">
      <c r="A1083" s="2" t="s">
        <v>16331</v>
      </c>
      <c r="B1083" s="3" t="str">
        <f>_xlfn.CONCAT(C1083, " @ ", D1083)</f>
        <v>effortless-entity-framework|SendIntents.DeferralAgeHours @ si-002</v>
      </c>
      <c r="C1083" s="2" t="s">
        <v>14814</v>
      </c>
      <c r="D1083" s="2" t="s">
        <v>8256</v>
      </c>
      <c r="E1083" s="2" t="s">
        <v>15195</v>
      </c>
      <c r="F1083" s="2" t="s">
        <v>15196</v>
      </c>
      <c r="G1083" s="2" t="s">
        <v>14591</v>
      </c>
      <c r="H1083" s="3" t="str">
        <f>_xlfn.IFNA(INDEX(FieldDisagreements!C2:C999, MATCH(C1083,FieldDisagreements!A2:A999, 0)), "")</f>
        <v>effortless-entity-framework</v>
      </c>
      <c r="I1083" s="3" t="str">
        <f>_xlfn.IFNA(INDEX(FieldDisagreements!D2:D999, MATCH(C1083,FieldDisagreements!A2:A999, 0)), "")</f>
        <v>SendIntents.DeferralAgeHours</v>
      </c>
      <c r="J1083" s="2" t="s">
        <v>1906</v>
      </c>
    </row>
    <row r="1084">
      <c r="A1084" s="2" t="s">
        <v>16332</v>
      </c>
      <c r="B1084" s="3" t="str">
        <f>_xlfn.CONCAT(C1084, " @ ", D1084)</f>
        <v>effortless-entity-framework|SendIntents.DeferralAgeHours @ si-003</v>
      </c>
      <c r="C1084" s="2" t="s">
        <v>14814</v>
      </c>
      <c r="D1084" s="2" t="s">
        <v>8257</v>
      </c>
      <c r="E1084" s="2" t="s">
        <v>15195</v>
      </c>
      <c r="F1084" s="2" t="s">
        <v>15196</v>
      </c>
      <c r="G1084" s="2" t="s">
        <v>14591</v>
      </c>
      <c r="H1084" s="3" t="str">
        <f>_xlfn.IFNA(INDEX(FieldDisagreements!C2:C999, MATCH(C1084,FieldDisagreements!A2:A999, 0)), "")</f>
        <v>effortless-entity-framework</v>
      </c>
      <c r="I1084" s="3" t="str">
        <f>_xlfn.IFNA(INDEX(FieldDisagreements!D2:D999, MATCH(C1084,FieldDisagreements!A2:A999, 0)), "")</f>
        <v>SendIntents.DeferralAgeHours</v>
      </c>
      <c r="J1084" s="2" t="s">
        <v>1906</v>
      </c>
    </row>
    <row r="1085">
      <c r="A1085" s="2" t="s">
        <v>16333</v>
      </c>
      <c r="B1085" s="3" t="str">
        <f>_xlfn.CONCAT(C1085, " @ ", D1085)</f>
        <v>effortless-entity-framework|SendIntents.DeferralAgeHours @ si-004</v>
      </c>
      <c r="C1085" s="2" t="s">
        <v>14814</v>
      </c>
      <c r="D1085" s="2" t="s">
        <v>8258</v>
      </c>
      <c r="E1085" s="2" t="s">
        <v>15195</v>
      </c>
      <c r="F1085" s="2" t="s">
        <v>15196</v>
      </c>
      <c r="G1085" s="2" t="s">
        <v>14591</v>
      </c>
      <c r="H1085" s="3" t="str">
        <f>_xlfn.IFNA(INDEX(FieldDisagreements!C2:C999, MATCH(C1085,FieldDisagreements!A2:A999, 0)), "")</f>
        <v>effortless-entity-framework</v>
      </c>
      <c r="I1085" s="3" t="str">
        <f>_xlfn.IFNA(INDEX(FieldDisagreements!D2:D999, MATCH(C1085,FieldDisagreements!A2:A999, 0)), "")</f>
        <v>SendIntents.DeferralAgeHours</v>
      </c>
      <c r="J1085" s="2" t="s">
        <v>1906</v>
      </c>
    </row>
    <row r="1086">
      <c r="A1086" s="2" t="s">
        <v>16334</v>
      </c>
      <c r="B1086" s="3" t="str">
        <f>_xlfn.CONCAT(C1086, " @ ", D1086)</f>
        <v>effortless-entity-framework|SendIntents.DeferralAgeHours @ si-005</v>
      </c>
      <c r="C1086" s="2" t="s">
        <v>14814</v>
      </c>
      <c r="D1086" s="2" t="s">
        <v>8260</v>
      </c>
      <c r="E1086" s="2" t="s">
        <v>15195</v>
      </c>
      <c r="F1086" s="2" t="s">
        <v>15196</v>
      </c>
      <c r="G1086" s="2" t="s">
        <v>14591</v>
      </c>
      <c r="H1086" s="3" t="str">
        <f>_xlfn.IFNA(INDEX(FieldDisagreements!C2:C999, MATCH(C1086,FieldDisagreements!A2:A999, 0)), "")</f>
        <v>effortless-entity-framework</v>
      </c>
      <c r="I1086" s="3" t="str">
        <f>_xlfn.IFNA(INDEX(FieldDisagreements!D2:D999, MATCH(C1086,FieldDisagreements!A2:A999, 0)), "")</f>
        <v>SendIntents.DeferralAgeHours</v>
      </c>
      <c r="J1086" s="2" t="s">
        <v>1906</v>
      </c>
    </row>
    <row r="1087">
      <c r="A1087" s="2" t="s">
        <v>16335</v>
      </c>
      <c r="B1087" s="3" t="str">
        <f>_xlfn.CONCAT(C1087, " @ ", D1087)</f>
        <v>effortless-entity-framework|SendIntents.DeferralAgeHours @ si-006</v>
      </c>
      <c r="C1087" s="2" t="s">
        <v>14814</v>
      </c>
      <c r="D1087" s="2" t="s">
        <v>8262</v>
      </c>
      <c r="E1087" s="2" t="s">
        <v>15195</v>
      </c>
      <c r="F1087" s="2" t="s">
        <v>15196</v>
      </c>
      <c r="G1087" s="2" t="s">
        <v>14591</v>
      </c>
      <c r="H1087" s="3" t="str">
        <f>_xlfn.IFNA(INDEX(FieldDisagreements!C2:C999, MATCH(C1087,FieldDisagreements!A2:A999, 0)), "")</f>
        <v>effortless-entity-framework</v>
      </c>
      <c r="I1087" s="3" t="str">
        <f>_xlfn.IFNA(INDEX(FieldDisagreements!D2:D999, MATCH(C1087,FieldDisagreements!A2:A999, 0)), "")</f>
        <v>SendIntents.DeferralAgeHours</v>
      </c>
      <c r="J1087" s="2" t="s">
        <v>1906</v>
      </c>
    </row>
    <row r="1088">
      <c r="A1088" s="2" t="s">
        <v>16336</v>
      </c>
      <c r="B1088" s="3" t="str">
        <f>_xlfn.CONCAT(C1088, " @ ", D1088)</f>
        <v>effortless-entity-framework|SendIntents.DeferralAgeHours @ si-007</v>
      </c>
      <c r="C1088" s="2" t="s">
        <v>14814</v>
      </c>
      <c r="D1088" s="2" t="s">
        <v>8263</v>
      </c>
      <c r="E1088" s="2" t="s">
        <v>15195</v>
      </c>
      <c r="F1088" s="2" t="s">
        <v>15196</v>
      </c>
      <c r="G1088" s="2" t="s">
        <v>14591</v>
      </c>
      <c r="H1088" s="3" t="str">
        <f>_xlfn.IFNA(INDEX(FieldDisagreements!C2:C999, MATCH(C1088,FieldDisagreements!A2:A999, 0)), "")</f>
        <v>effortless-entity-framework</v>
      </c>
      <c r="I1088" s="3" t="str">
        <f>_xlfn.IFNA(INDEX(FieldDisagreements!D2:D999, MATCH(C1088,FieldDisagreements!A2:A999, 0)), "")</f>
        <v>SendIntents.DeferralAgeHours</v>
      </c>
      <c r="J1088" s="2" t="s">
        <v>1906</v>
      </c>
    </row>
    <row r="1089">
      <c r="A1089" s="2" t="s">
        <v>16337</v>
      </c>
      <c r="B1089" s="3" t="str">
        <f>_xlfn.CONCAT(C1089, " @ ", D1089)</f>
        <v>effortless-entity-framework|DeliveredCommunications.ContentMatchesApproval @ dc-hr4821-email-001</v>
      </c>
      <c r="C1089" s="2" t="s">
        <v>14815</v>
      </c>
      <c r="D1089" s="2" t="s">
        <v>8274</v>
      </c>
      <c r="E1089" s="2" t="s">
        <v>15035</v>
      </c>
      <c r="F1089" s="2" t="s">
        <v>15036</v>
      </c>
      <c r="G1089" s="2" t="s">
        <v>14591</v>
      </c>
      <c r="H1089" s="3" t="str">
        <f>_xlfn.IFNA(INDEX(FieldDisagreements!C2:C999, MATCH(C1089,FieldDisagreements!A2:A999, 0)), "")</f>
        <v>effortless-entity-framework</v>
      </c>
      <c r="I1089" s="3" t="str">
        <f>_xlfn.IFNA(INDEX(FieldDisagreements!D2:D999, MATCH(C1089,FieldDisagreements!A2:A999, 0)), "")</f>
        <v>DeliveredCommunications.ContentMatchesApproval</v>
      </c>
      <c r="J1089" s="2" t="s">
        <v>1906</v>
      </c>
    </row>
    <row r="1090">
      <c r="A1090" s="2" t="s">
        <v>16338</v>
      </c>
      <c r="B1090" s="3" t="str">
        <f>_xlfn.CONCAT(C1090, " @ ", D1090)</f>
        <v>effortless-entity-framework|ProcessMiningRuns.Name @ pmr-close-v10-archived</v>
      </c>
      <c r="C1090" s="2" t="s">
        <v>14816</v>
      </c>
      <c r="D1090" s="2" t="s">
        <v>13897</v>
      </c>
      <c r="E1090" s="2" t="s">
        <v>15205</v>
      </c>
      <c r="F1090" s="2" t="s">
        <v>16339</v>
      </c>
      <c r="G1090" s="2" t="s">
        <v>14591</v>
      </c>
      <c r="H1090" s="3" t="str">
        <f>_xlfn.IFNA(INDEX(FieldDisagreements!C2:C999, MATCH(C1090,FieldDisagreements!A2:A999, 0)), "")</f>
        <v>effortless-entity-framework</v>
      </c>
      <c r="I1090" s="3" t="str">
        <f>_xlfn.IFNA(INDEX(FieldDisagreements!D2:D999, MATCH(C1090,FieldDisagreements!A2:A999, 0)), "")</f>
        <v>ProcessMiningRuns.Name</v>
      </c>
      <c r="J1090" s="2" t="s">
        <v>1906</v>
      </c>
    </row>
    <row r="1091">
      <c r="A1091" s="2" t="s">
        <v>16340</v>
      </c>
      <c r="B1091" s="3" t="str">
        <f>_xlfn.CONCAT(C1091, " @ ", D1091)</f>
        <v>effortless-entity-framework|ProcessMiningRuns.Name @ pmr-close-v11-cutoff-bypass</v>
      </c>
      <c r="C1091" s="2" t="s">
        <v>14816</v>
      </c>
      <c r="D1091" s="2" t="s">
        <v>13893</v>
      </c>
      <c r="E1091" s="2" t="s">
        <v>15208</v>
      </c>
      <c r="F1091" s="2" t="s">
        <v>15209</v>
      </c>
      <c r="G1091" s="2" t="s">
        <v>14591</v>
      </c>
      <c r="H1091" s="3" t="str">
        <f>_xlfn.IFNA(INDEX(FieldDisagreements!C2:C999, MATCH(C1091,FieldDisagreements!A2:A999, 0)), "")</f>
        <v>effortless-entity-framework</v>
      </c>
      <c r="I1091" s="3" t="str">
        <f>_xlfn.IFNA(INDEX(FieldDisagreements!D2:D999, MATCH(C1091,FieldDisagreements!A2:A999, 0)), "")</f>
        <v>ProcessMiningRuns.Name</v>
      </c>
      <c r="J1091" s="2" t="s">
        <v>1906</v>
      </c>
    </row>
    <row r="1092">
      <c r="A1092" s="2" t="s">
        <v>16341</v>
      </c>
      <c r="B1092" s="3" t="str">
        <f>_xlfn.CONCAT(C1092, " @ ", D1092)</f>
        <v>effortless-entity-framework|ProcessMiningRuns.Name @ pmr-close-v11-q3</v>
      </c>
      <c r="C1092" s="2" t="s">
        <v>14816</v>
      </c>
      <c r="D1092" s="2" t="s">
        <v>13890</v>
      </c>
      <c r="E1092" s="2" t="s">
        <v>15211</v>
      </c>
      <c r="F1092" s="2" t="s">
        <v>15212</v>
      </c>
      <c r="G1092" s="2" t="s">
        <v>14591</v>
      </c>
      <c r="H1092" s="3" t="str">
        <f>_xlfn.IFNA(INDEX(FieldDisagreements!C2:C999, MATCH(C1092,FieldDisagreements!A2:A999, 0)), "")</f>
        <v>effortless-entity-framework</v>
      </c>
      <c r="I1092" s="3" t="str">
        <f>_xlfn.IFNA(INDEX(FieldDisagreements!D2:D999, MATCH(C1092,FieldDisagreements!A2:A999, 0)), "")</f>
        <v>ProcessMiningRuns.Name</v>
      </c>
      <c r="J1092" s="2" t="s">
        <v>1906</v>
      </c>
    </row>
    <row r="1093">
      <c r="A1093" s="2" t="s">
        <v>16342</v>
      </c>
      <c r="B1093" s="3" t="str">
        <f>_xlfn.CONCAT(C1093, " @ ", D1093)</f>
        <v>effortless-entity-framework|ProcessMiningRuns.Name @ pmr-policy-v1-notify</v>
      </c>
      <c r="C1093" s="2" t="s">
        <v>14816</v>
      </c>
      <c r="D1093" s="2" t="s">
        <v>13895</v>
      </c>
      <c r="E1093" s="2" t="s">
        <v>15214</v>
      </c>
      <c r="F1093" s="2" t="s">
        <v>16343</v>
      </c>
      <c r="G1093" s="2" t="s">
        <v>14591</v>
      </c>
      <c r="H1093" s="3" t="str">
        <f>_xlfn.IFNA(INDEX(FieldDisagreements!C2:C999, MATCH(C1093,FieldDisagreements!A2:A999, 0)), "")</f>
        <v>effortless-entity-framework</v>
      </c>
      <c r="I1093" s="3" t="str">
        <f>_xlfn.IFNA(INDEX(FieldDisagreements!D2:D999, MATCH(C1093,FieldDisagreements!A2:A999, 0)), "")</f>
        <v>ProcessMiningRuns.Name</v>
      </c>
      <c r="J1093" s="2" t="s">
        <v>1906</v>
      </c>
    </row>
    <row r="1094">
      <c r="A1094" s="2" t="s">
        <v>16344</v>
      </c>
      <c r="B1094" s="3" t="str">
        <f>_xlfn.CONCAT(C1094, " @ ", D1094)</f>
        <v>effortless-golang|EvaluationContexts.Name @ eval-current</v>
      </c>
      <c r="C1094" s="2" t="s">
        <v>14817</v>
      </c>
      <c r="D1094" s="2" t="s">
        <v>95</v>
      </c>
      <c r="E1094" s="2" t="s">
        <v>14993</v>
      </c>
      <c r="F1094" s="2" t="s">
        <v>14994</v>
      </c>
      <c r="G1094" s="2" t="s">
        <v>14591</v>
      </c>
      <c r="H1094" s="3" t="str">
        <f>_xlfn.IFNA(INDEX(FieldDisagreements!C2:C999, MATCH(C1094,FieldDisagreements!A2:A999, 0)), "")</f>
        <v>effortless-golang</v>
      </c>
      <c r="I1094" s="3" t="str">
        <f>_xlfn.IFNA(INDEX(FieldDisagreements!D2:D999, MATCH(C1094,FieldDisagreements!A2:A999, 0)), "")</f>
        <v>EvaluationContexts.Name</v>
      </c>
      <c r="J1094" s="2" t="s">
        <v>1906</v>
      </c>
    </row>
    <row r="1095">
      <c r="A1095" s="2" t="s">
        <v>16345</v>
      </c>
      <c r="B1095" s="3" t="str">
        <f>_xlfn.CONCAT(C1095, " @ ", D1095)</f>
        <v>effortless-golang|RoleAssignments.Name @ ra-authority-2026</v>
      </c>
      <c r="C1095" s="2" t="s">
        <v>14818</v>
      </c>
      <c r="D1095" s="2" t="s">
        <v>251</v>
      </c>
      <c r="E1095" s="2" t="s">
        <v>14996</v>
      </c>
      <c r="F1095" s="2" t="s">
        <v>14997</v>
      </c>
      <c r="G1095" s="2" t="s">
        <v>14591</v>
      </c>
      <c r="H1095" s="3" t="str">
        <f>_xlfn.IFNA(INDEX(FieldDisagreements!C2:C999, MATCH(C1095,FieldDisagreements!A2:A999, 0)), "")</f>
        <v>effortless-golang</v>
      </c>
      <c r="I1095" s="3" t="str">
        <f>_xlfn.IFNA(INDEX(FieldDisagreements!D2:D999, MATCH(C1095,FieldDisagreements!A2:A999, 0)), "")</f>
        <v>RoleAssignments.Name</v>
      </c>
      <c r="J1095" s="2" t="s">
        <v>1906</v>
      </c>
    </row>
    <row r="1096">
      <c r="A1096" s="2" t="s">
        <v>16346</v>
      </c>
      <c r="B1096" s="3" t="str">
        <f>_xlfn.CONCAT(C1096, " @ ", D1096)</f>
        <v>effortless-golang|RoleAssignments.Name @ ra-cfo-2026</v>
      </c>
      <c r="C1096" s="2" t="s">
        <v>14818</v>
      </c>
      <c r="D1096" s="2" t="s">
        <v>215</v>
      </c>
      <c r="E1096" s="2" t="s">
        <v>14999</v>
      </c>
      <c r="F1096" s="2" t="s">
        <v>15000</v>
      </c>
      <c r="G1096" s="2" t="s">
        <v>14591</v>
      </c>
      <c r="H1096" s="3" t="str">
        <f>_xlfn.IFNA(INDEX(FieldDisagreements!C2:C999, MATCH(C1096,FieldDisagreements!A2:A999, 0)), "")</f>
        <v>effortless-golang</v>
      </c>
      <c r="I1096" s="3" t="str">
        <f>_xlfn.IFNA(INDEX(FieldDisagreements!D2:D999, MATCH(C1096,FieldDisagreements!A2:A999, 0)), "")</f>
        <v>RoleAssignments.Name</v>
      </c>
      <c r="J1096" s="2" t="s">
        <v>1906</v>
      </c>
    </row>
    <row r="1097">
      <c r="A1097" s="2" t="s">
        <v>16347</v>
      </c>
      <c r="B1097" s="3" t="str">
        <f>_xlfn.CONCAT(C1097, " @ ", D1097)</f>
        <v>effortless-golang|RoleAssignments.Name @ ra-close-pipeline-2026</v>
      </c>
      <c r="C1097" s="2" t="s">
        <v>14818</v>
      </c>
      <c r="D1097" s="2" t="s">
        <v>231</v>
      </c>
      <c r="E1097" s="2" t="s">
        <v>15002</v>
      </c>
      <c r="F1097" s="2" t="s">
        <v>15003</v>
      </c>
      <c r="G1097" s="2" t="s">
        <v>14591</v>
      </c>
      <c r="H1097" s="3" t="str">
        <f>_xlfn.IFNA(INDEX(FieldDisagreements!C2:C999, MATCH(C1097,FieldDisagreements!A2:A999, 0)), "")</f>
        <v>effortless-golang</v>
      </c>
      <c r="I1097" s="3" t="str">
        <f>_xlfn.IFNA(INDEX(FieldDisagreements!D2:D999, MATCH(C1097,FieldDisagreements!A2:A999, 0)), "")</f>
        <v>RoleAssignments.Name</v>
      </c>
      <c r="J1097" s="2" t="s">
        <v>1906</v>
      </c>
    </row>
    <row r="1098">
      <c r="A1098" s="2" t="s">
        <v>16348</v>
      </c>
      <c r="B1098" s="3" t="str">
        <f>_xlfn.CONCAT(C1098, " @ ", D1098)</f>
        <v>effortless-golang|RoleAssignments.Name @ ra-comms-2026</v>
      </c>
      <c r="C1098" s="2" t="s">
        <v>14818</v>
      </c>
      <c r="D1098" s="2" t="s">
        <v>227</v>
      </c>
      <c r="E1098" s="2" t="s">
        <v>15005</v>
      </c>
      <c r="F1098" s="2" t="s">
        <v>15006</v>
      </c>
      <c r="G1098" s="2" t="s">
        <v>14591</v>
      </c>
      <c r="H1098" s="3" t="str">
        <f>_xlfn.IFNA(INDEX(FieldDisagreements!C2:C999, MATCH(C1098,FieldDisagreements!A2:A999, 0)), "")</f>
        <v>effortless-golang</v>
      </c>
      <c r="I1098" s="3" t="str">
        <f>_xlfn.IFNA(INDEX(FieldDisagreements!D2:D999, MATCH(C1098,FieldDisagreements!A2:A999, 0)), "")</f>
        <v>RoleAssignments.Name</v>
      </c>
      <c r="J1098" s="2" t="s">
        <v>1906</v>
      </c>
    </row>
    <row r="1099">
      <c r="A1099" s="2" t="s">
        <v>16349</v>
      </c>
      <c r="B1099" s="3" t="str">
        <f>_xlfn.CONCAT(C1099, " @ ", D1099)</f>
        <v>effortless-golang|RoleAssignments.Name @ ra-controller-2026</v>
      </c>
      <c r="C1099" s="2" t="s">
        <v>14818</v>
      </c>
      <c r="D1099" s="2" t="s">
        <v>211</v>
      </c>
      <c r="E1099" s="2" t="s">
        <v>15008</v>
      </c>
      <c r="F1099" s="2" t="s">
        <v>15009</v>
      </c>
      <c r="G1099" s="2" t="s">
        <v>14591</v>
      </c>
      <c r="H1099" s="3" t="str">
        <f>_xlfn.IFNA(INDEX(FieldDisagreements!C2:C999, MATCH(C1099,FieldDisagreements!A2:A999, 0)), "")</f>
        <v>effortless-golang</v>
      </c>
      <c r="I1099" s="3" t="str">
        <f>_xlfn.IFNA(INDEX(FieldDisagreements!D2:D999, MATCH(C1099,FieldDisagreements!A2:A999, 0)), "")</f>
        <v>RoleAssignments.Name</v>
      </c>
      <c r="J1099" s="2" t="s">
        <v>1906</v>
      </c>
    </row>
    <row r="1100">
      <c r="A1100" s="2" t="s">
        <v>16350</v>
      </c>
      <c r="B1100" s="3" t="str">
        <f>_xlfn.CONCAT(C1100, " @ ", D1100)</f>
        <v>effortless-golang|RoleAssignments.Name @ ra-counsel-2026</v>
      </c>
      <c r="C1100" s="2" t="s">
        <v>14818</v>
      </c>
      <c r="D1100" s="2" t="s">
        <v>223</v>
      </c>
      <c r="E1100" s="2" t="s">
        <v>15011</v>
      </c>
      <c r="F1100" s="2" t="s">
        <v>15012</v>
      </c>
      <c r="G1100" s="2" t="s">
        <v>14591</v>
      </c>
      <c r="H1100" s="3" t="str">
        <f>_xlfn.IFNA(INDEX(FieldDisagreements!C2:C999, MATCH(C1100,FieldDisagreements!A2:A999, 0)), "")</f>
        <v>effortless-golang</v>
      </c>
      <c r="I1100" s="3" t="str">
        <f>_xlfn.IFNA(INDEX(FieldDisagreements!D2:D999, MATCH(C1100,FieldDisagreements!A2:A999, 0)), "")</f>
        <v>RoleAssignments.Name</v>
      </c>
      <c r="J1100" s="2" t="s">
        <v>1906</v>
      </c>
    </row>
    <row r="1101">
      <c r="A1101" s="2" t="s">
        <v>16351</v>
      </c>
      <c r="B1101" s="3" t="str">
        <f>_xlfn.CONCAT(C1101, " @ ", D1101)</f>
        <v>effortless-golang|RoleAssignments.Name @ ra-finance-2026</v>
      </c>
      <c r="C1101" s="2" t="s">
        <v>14818</v>
      </c>
      <c r="D1101" s="2" t="s">
        <v>206</v>
      </c>
      <c r="E1101" s="2" t="s">
        <v>15014</v>
      </c>
      <c r="F1101" s="2" t="s">
        <v>15015</v>
      </c>
      <c r="G1101" s="2" t="s">
        <v>14591</v>
      </c>
      <c r="H1101" s="3" t="str">
        <f>_xlfn.IFNA(INDEX(FieldDisagreements!C2:C999, MATCH(C1101,FieldDisagreements!A2:A999, 0)), "")</f>
        <v>effortless-golang</v>
      </c>
      <c r="I1101" s="3" t="str">
        <f>_xlfn.IFNA(INDEX(FieldDisagreements!D2:D999, MATCH(C1101,FieldDisagreements!A2:A999, 0)), "")</f>
        <v>RoleAssignments.Name</v>
      </c>
      <c r="J1101" s="2" t="s">
        <v>1906</v>
      </c>
    </row>
    <row r="1102">
      <c r="A1102" s="2" t="s">
        <v>16352</v>
      </c>
      <c r="B1102" s="3" t="str">
        <f>_xlfn.CONCAT(C1102, " @ ", D1102)</f>
        <v>effortless-golang|RoleAssignments.Name @ ra-new-variance</v>
      </c>
      <c r="C1102" s="2" t="s">
        <v>14818</v>
      </c>
      <c r="D1102" s="2" t="s">
        <v>235</v>
      </c>
      <c r="E1102" s="2" t="s">
        <v>15017</v>
      </c>
      <c r="F1102" s="2" t="s">
        <v>15018</v>
      </c>
      <c r="G1102" s="2" t="s">
        <v>14591</v>
      </c>
      <c r="H1102" s="3" t="str">
        <f>_xlfn.IFNA(INDEX(FieldDisagreements!C2:C999, MATCH(C1102,FieldDisagreements!A2:A999, 0)), "")</f>
        <v>effortless-golang</v>
      </c>
      <c r="I1102" s="3" t="str">
        <f>_xlfn.IFNA(INDEX(FieldDisagreements!D2:D999, MATCH(C1102,FieldDisagreements!A2:A999, 0)), "")</f>
        <v>RoleAssignments.Name</v>
      </c>
      <c r="J1102" s="2" t="s">
        <v>1906</v>
      </c>
    </row>
    <row r="1103">
      <c r="A1103" s="2" t="s">
        <v>16353</v>
      </c>
      <c r="B1103" s="3" t="str">
        <f>_xlfn.CONCAT(C1103, " @ ", D1103)</f>
        <v>effortless-golang|RoleAssignments.Name @ ra-notify-pipeline-2026</v>
      </c>
      <c r="C1103" s="2" t="s">
        <v>14818</v>
      </c>
      <c r="D1103" s="2" t="s">
        <v>243</v>
      </c>
      <c r="E1103" s="2" t="s">
        <v>15020</v>
      </c>
      <c r="F1103" s="2" t="s">
        <v>15021</v>
      </c>
      <c r="G1103" s="2" t="s">
        <v>14591</v>
      </c>
      <c r="H1103" s="3" t="str">
        <f>_xlfn.IFNA(INDEX(FieldDisagreements!C2:C999, MATCH(C1103,FieldDisagreements!A2:A999, 0)), "")</f>
        <v>effortless-golang</v>
      </c>
      <c r="I1103" s="3" t="str">
        <f>_xlfn.IFNA(INDEX(FieldDisagreements!D2:D999, MATCH(C1103,FieldDisagreements!A2:A999, 0)), "")</f>
        <v>RoleAssignments.Name</v>
      </c>
      <c r="J1103" s="2" t="s">
        <v>1906</v>
      </c>
    </row>
    <row r="1104">
      <c r="A1104" s="2" t="s">
        <v>16354</v>
      </c>
      <c r="B1104" s="3" t="str">
        <f>_xlfn.CONCAT(C1104, " @ ", D1104)</f>
        <v>effortless-golang|RoleAssignments.Name @ ra-old-variance</v>
      </c>
      <c r="C1104" s="2" t="s">
        <v>14818</v>
      </c>
      <c r="D1104" s="2" t="s">
        <v>316</v>
      </c>
      <c r="E1104" s="2" t="s">
        <v>15023</v>
      </c>
      <c r="F1104" s="2" t="s">
        <v>15024</v>
      </c>
      <c r="G1104" s="2" t="s">
        <v>14591</v>
      </c>
      <c r="H1104" s="3" t="str">
        <f>_xlfn.IFNA(INDEX(FieldDisagreements!C2:C999, MATCH(C1104,FieldDisagreements!A2:A999, 0)), "")</f>
        <v>effortless-golang</v>
      </c>
      <c r="I1104" s="3" t="str">
        <f>_xlfn.IFNA(INDEX(FieldDisagreements!D2:D999, MATCH(C1104,FieldDisagreements!A2:A999, 0)), "")</f>
        <v>RoleAssignments.Name</v>
      </c>
      <c r="J1104" s="2" t="s">
        <v>1906</v>
      </c>
    </row>
    <row r="1105">
      <c r="A1105" s="2" t="s">
        <v>16355</v>
      </c>
      <c r="B1105" s="3" t="str">
        <f>_xlfn.CONCAT(C1105, " @ ", D1105)</f>
        <v>effortless-golang|RoleAssignments.Name @ ra-policy-ai-2026</v>
      </c>
      <c r="C1105" s="2" t="s">
        <v>14818</v>
      </c>
      <c r="D1105" s="2" t="s">
        <v>239</v>
      </c>
      <c r="E1105" s="2" t="s">
        <v>15026</v>
      </c>
      <c r="F1105" s="2" t="s">
        <v>15027</v>
      </c>
      <c r="G1105" s="2" t="s">
        <v>14591</v>
      </c>
      <c r="H1105" s="3" t="str">
        <f>_xlfn.IFNA(INDEX(FieldDisagreements!C2:C999, MATCH(C1105,FieldDisagreements!A2:A999, 0)), "")</f>
        <v>effortless-golang</v>
      </c>
      <c r="I1105" s="3" t="str">
        <f>_xlfn.IFNA(INDEX(FieldDisagreements!D2:D999, MATCH(C1105,FieldDisagreements!A2:A999, 0)), "")</f>
        <v>RoleAssignments.Name</v>
      </c>
      <c r="J1105" s="2" t="s">
        <v>1906</v>
      </c>
    </row>
    <row r="1106">
      <c r="A1106" s="2" t="s">
        <v>16356</v>
      </c>
      <c r="B1106" s="3" t="str">
        <f>_xlfn.CONCAT(C1106, " @ ", D1106)</f>
        <v>effortless-golang|RoleAssignments.Name @ ra-policy-owner-2026</v>
      </c>
      <c r="C1106" s="2" t="s">
        <v>14818</v>
      </c>
      <c r="D1106" s="2" t="s">
        <v>219</v>
      </c>
      <c r="E1106" s="2" t="s">
        <v>15029</v>
      </c>
      <c r="F1106" s="2" t="s">
        <v>15030</v>
      </c>
      <c r="G1106" s="2" t="s">
        <v>14591</v>
      </c>
      <c r="H1106" s="3" t="str">
        <f>_xlfn.IFNA(INDEX(FieldDisagreements!C2:C999, MATCH(C1106,FieldDisagreements!A2:A999, 0)), "")</f>
        <v>effortless-golang</v>
      </c>
      <c r="I1106" s="3" t="str">
        <f>_xlfn.IFNA(INDEX(FieldDisagreements!D2:D999, MATCH(C1106,FieldDisagreements!A2:A999, 0)), "")</f>
        <v>RoleAssignments.Name</v>
      </c>
      <c r="J1106" s="2" t="s">
        <v>1906</v>
      </c>
    </row>
    <row r="1107">
      <c r="A1107" s="2" t="s">
        <v>16357</v>
      </c>
      <c r="B1107" s="3" t="str">
        <f>_xlfn.CONCAT(C1107, " @ ", D1107)</f>
        <v>effortless-golang|RoleAssignments.Name @ ra-steward-2026</v>
      </c>
      <c r="C1107" s="2" t="s">
        <v>14818</v>
      </c>
      <c r="D1107" s="2" t="s">
        <v>247</v>
      </c>
      <c r="E1107" s="2" t="s">
        <v>15032</v>
      </c>
      <c r="F1107" s="2" t="s">
        <v>15033</v>
      </c>
      <c r="G1107" s="2" t="s">
        <v>14591</v>
      </c>
      <c r="H1107" s="3" t="str">
        <f>_xlfn.IFNA(INDEX(FieldDisagreements!C2:C999, MATCH(C1107,FieldDisagreements!A2:A999, 0)), "")</f>
        <v>effortless-golang</v>
      </c>
      <c r="I1107" s="3" t="str">
        <f>_xlfn.IFNA(INDEX(FieldDisagreements!D2:D999, MATCH(C1107,FieldDisagreements!A2:A999, 0)), "")</f>
        <v>RoleAssignments.Name</v>
      </c>
      <c r="J1107" s="2" t="s">
        <v>1906</v>
      </c>
    </row>
    <row r="1108">
      <c r="A1108" s="2" t="s">
        <v>16358</v>
      </c>
      <c r="B1108" s="3" t="str">
        <f>_xlfn.CONCAT(C1108, " @ ", D1108)</f>
        <v>effortless-golang|RoleAssignments.QualityVerdictIsUnsupported @ ra-authority-2026</v>
      </c>
      <c r="C1108" s="2" t="s">
        <v>14819</v>
      </c>
      <c r="D1108" s="2" t="s">
        <v>251</v>
      </c>
      <c r="E1108" s="2" t="s">
        <v>15035</v>
      </c>
      <c r="F1108" s="2" t="s">
        <v>15036</v>
      </c>
      <c r="G1108" s="2" t="s">
        <v>14591</v>
      </c>
      <c r="H1108" s="3" t="str">
        <f>_xlfn.IFNA(INDEX(FieldDisagreements!C2:C999, MATCH(C1108,FieldDisagreements!A2:A999, 0)), "")</f>
        <v>effortless-golang</v>
      </c>
      <c r="I1108" s="3" t="str">
        <f>_xlfn.IFNA(INDEX(FieldDisagreements!D2:D999, MATCH(C1108,FieldDisagreements!A2:A999, 0)), "")</f>
        <v>RoleAssignments.QualityVerdictIsUnsupported</v>
      </c>
      <c r="J1108" s="2" t="s">
        <v>1906</v>
      </c>
    </row>
    <row r="1109">
      <c r="A1109" s="2" t="s">
        <v>16359</v>
      </c>
      <c r="B1109" s="3" t="str">
        <f>_xlfn.CONCAT(C1109, " @ ", D1109)</f>
        <v>effortless-golang|RoleAssignments.QualityVerdictIsUnsupported @ ra-cfo-2026</v>
      </c>
      <c r="C1109" s="2" t="s">
        <v>14819</v>
      </c>
      <c r="D1109" s="2" t="s">
        <v>215</v>
      </c>
      <c r="E1109" s="2" t="s">
        <v>15035</v>
      </c>
      <c r="F1109" s="2" t="s">
        <v>15036</v>
      </c>
      <c r="G1109" s="2" t="s">
        <v>14591</v>
      </c>
      <c r="H1109" s="3" t="str">
        <f>_xlfn.IFNA(INDEX(FieldDisagreements!C2:C999, MATCH(C1109,FieldDisagreements!A2:A999, 0)), "")</f>
        <v>effortless-golang</v>
      </c>
      <c r="I1109" s="3" t="str">
        <f>_xlfn.IFNA(INDEX(FieldDisagreements!D2:D999, MATCH(C1109,FieldDisagreements!A2:A999, 0)), "")</f>
        <v>RoleAssignments.QualityVerdictIsUnsupported</v>
      </c>
      <c r="J1109" s="2" t="s">
        <v>1906</v>
      </c>
    </row>
    <row r="1110">
      <c r="A1110" s="2" t="s">
        <v>16360</v>
      </c>
      <c r="B1110" s="3" t="str">
        <f>_xlfn.CONCAT(C1110, " @ ", D1110)</f>
        <v>effortless-golang|RoleAssignments.QualityVerdictIsUnsupported @ ra-close-pipeline-2026</v>
      </c>
      <c r="C1110" s="2" t="s">
        <v>14819</v>
      </c>
      <c r="D1110" s="2" t="s">
        <v>231</v>
      </c>
      <c r="E1110" s="2" t="s">
        <v>15035</v>
      </c>
      <c r="F1110" s="2" t="s">
        <v>15036</v>
      </c>
      <c r="G1110" s="2" t="s">
        <v>14591</v>
      </c>
      <c r="H1110" s="3" t="str">
        <f>_xlfn.IFNA(INDEX(FieldDisagreements!C2:C999, MATCH(C1110,FieldDisagreements!A2:A999, 0)), "")</f>
        <v>effortless-golang</v>
      </c>
      <c r="I1110" s="3" t="str">
        <f>_xlfn.IFNA(INDEX(FieldDisagreements!D2:D999, MATCH(C1110,FieldDisagreements!A2:A999, 0)), "")</f>
        <v>RoleAssignments.QualityVerdictIsUnsupported</v>
      </c>
      <c r="J1110" s="2" t="s">
        <v>1906</v>
      </c>
    </row>
    <row r="1111">
      <c r="A1111" s="2" t="s">
        <v>16361</v>
      </c>
      <c r="B1111" s="3" t="str">
        <f>_xlfn.CONCAT(C1111, " @ ", D1111)</f>
        <v>effortless-golang|RoleAssignments.QualityVerdictIsUnsupported @ ra-comms-2026</v>
      </c>
      <c r="C1111" s="2" t="s">
        <v>14819</v>
      </c>
      <c r="D1111" s="2" t="s">
        <v>227</v>
      </c>
      <c r="E1111" s="2" t="s">
        <v>15035</v>
      </c>
      <c r="F1111" s="2" t="s">
        <v>15036</v>
      </c>
      <c r="G1111" s="2" t="s">
        <v>14591</v>
      </c>
      <c r="H1111" s="3" t="str">
        <f>_xlfn.IFNA(INDEX(FieldDisagreements!C2:C999, MATCH(C1111,FieldDisagreements!A2:A999, 0)), "")</f>
        <v>effortless-golang</v>
      </c>
      <c r="I1111" s="3" t="str">
        <f>_xlfn.IFNA(INDEX(FieldDisagreements!D2:D999, MATCH(C1111,FieldDisagreements!A2:A999, 0)), "")</f>
        <v>RoleAssignments.QualityVerdictIsUnsupported</v>
      </c>
      <c r="J1111" s="2" t="s">
        <v>1906</v>
      </c>
    </row>
    <row r="1112">
      <c r="A1112" s="2" t="s">
        <v>16362</v>
      </c>
      <c r="B1112" s="3" t="str">
        <f>_xlfn.CONCAT(C1112, " @ ", D1112)</f>
        <v>effortless-golang|RoleAssignments.QualityVerdictIsUnsupported @ ra-controller-2026</v>
      </c>
      <c r="C1112" s="2" t="s">
        <v>14819</v>
      </c>
      <c r="D1112" s="2" t="s">
        <v>211</v>
      </c>
      <c r="E1112" s="2" t="s">
        <v>15035</v>
      </c>
      <c r="F1112" s="2" t="s">
        <v>15036</v>
      </c>
      <c r="G1112" s="2" t="s">
        <v>14591</v>
      </c>
      <c r="H1112" s="3" t="str">
        <f>_xlfn.IFNA(INDEX(FieldDisagreements!C2:C999, MATCH(C1112,FieldDisagreements!A2:A999, 0)), "")</f>
        <v>effortless-golang</v>
      </c>
      <c r="I1112" s="3" t="str">
        <f>_xlfn.IFNA(INDEX(FieldDisagreements!D2:D999, MATCH(C1112,FieldDisagreements!A2:A999, 0)), "")</f>
        <v>RoleAssignments.QualityVerdictIsUnsupported</v>
      </c>
      <c r="J1112" s="2" t="s">
        <v>1906</v>
      </c>
    </row>
    <row r="1113">
      <c r="A1113" s="2" t="s">
        <v>16363</v>
      </c>
      <c r="B1113" s="3" t="str">
        <f>_xlfn.CONCAT(C1113, " @ ", D1113)</f>
        <v>effortless-golang|RoleAssignments.QualityVerdictIsUnsupported @ ra-counsel-2026</v>
      </c>
      <c r="C1113" s="2" t="s">
        <v>14819</v>
      </c>
      <c r="D1113" s="2" t="s">
        <v>223</v>
      </c>
      <c r="E1113" s="2" t="s">
        <v>15035</v>
      </c>
      <c r="F1113" s="2" t="s">
        <v>15036</v>
      </c>
      <c r="G1113" s="2" t="s">
        <v>14591</v>
      </c>
      <c r="H1113" s="3" t="str">
        <f>_xlfn.IFNA(INDEX(FieldDisagreements!C2:C999, MATCH(C1113,FieldDisagreements!A2:A999, 0)), "")</f>
        <v>effortless-golang</v>
      </c>
      <c r="I1113" s="3" t="str">
        <f>_xlfn.IFNA(INDEX(FieldDisagreements!D2:D999, MATCH(C1113,FieldDisagreements!A2:A999, 0)), "")</f>
        <v>RoleAssignments.QualityVerdictIsUnsupported</v>
      </c>
      <c r="J1113" s="2" t="s">
        <v>1906</v>
      </c>
    </row>
    <row r="1114">
      <c r="A1114" s="2" t="s">
        <v>16364</v>
      </c>
      <c r="B1114" s="3" t="str">
        <f>_xlfn.CONCAT(C1114, " @ ", D1114)</f>
        <v>effortless-golang|RoleAssignments.QualityVerdictIsUnsupported @ ra-finance-2026</v>
      </c>
      <c r="C1114" s="2" t="s">
        <v>14819</v>
      </c>
      <c r="D1114" s="2" t="s">
        <v>206</v>
      </c>
      <c r="E1114" s="2" t="s">
        <v>15035</v>
      </c>
      <c r="F1114" s="2" t="s">
        <v>15036</v>
      </c>
      <c r="G1114" s="2" t="s">
        <v>14591</v>
      </c>
      <c r="H1114" s="3" t="str">
        <f>_xlfn.IFNA(INDEX(FieldDisagreements!C2:C999, MATCH(C1114,FieldDisagreements!A2:A999, 0)), "")</f>
        <v>effortless-golang</v>
      </c>
      <c r="I1114" s="3" t="str">
        <f>_xlfn.IFNA(INDEX(FieldDisagreements!D2:D999, MATCH(C1114,FieldDisagreements!A2:A999, 0)), "")</f>
        <v>RoleAssignments.QualityVerdictIsUnsupported</v>
      </c>
      <c r="J1114" s="2" t="s">
        <v>1906</v>
      </c>
    </row>
    <row r="1115">
      <c r="A1115" s="2" t="s">
        <v>16365</v>
      </c>
      <c r="B1115" s="3" t="str">
        <f>_xlfn.CONCAT(C1115, " @ ", D1115)</f>
        <v>effortless-golang|RoleAssignments.QualityVerdictIsUnsupported @ ra-new-variance</v>
      </c>
      <c r="C1115" s="2" t="s">
        <v>14819</v>
      </c>
      <c r="D1115" s="2" t="s">
        <v>235</v>
      </c>
      <c r="E1115" s="2" t="s">
        <v>15035</v>
      </c>
      <c r="F1115" s="2" t="s">
        <v>15036</v>
      </c>
      <c r="G1115" s="2" t="s">
        <v>14591</v>
      </c>
      <c r="H1115" s="3" t="str">
        <f>_xlfn.IFNA(INDEX(FieldDisagreements!C2:C999, MATCH(C1115,FieldDisagreements!A2:A999, 0)), "")</f>
        <v>effortless-golang</v>
      </c>
      <c r="I1115" s="3" t="str">
        <f>_xlfn.IFNA(INDEX(FieldDisagreements!D2:D999, MATCH(C1115,FieldDisagreements!A2:A999, 0)), "")</f>
        <v>RoleAssignments.QualityVerdictIsUnsupported</v>
      </c>
      <c r="J1115" s="2" t="s">
        <v>1906</v>
      </c>
    </row>
    <row r="1116">
      <c r="A1116" s="2" t="s">
        <v>16366</v>
      </c>
      <c r="B1116" s="3" t="str">
        <f>_xlfn.CONCAT(C1116, " @ ", D1116)</f>
        <v>effortless-golang|RoleAssignments.QualityVerdictIsUnsupported @ ra-notify-pipeline-2026</v>
      </c>
      <c r="C1116" s="2" t="s">
        <v>14819</v>
      </c>
      <c r="D1116" s="2" t="s">
        <v>243</v>
      </c>
      <c r="E1116" s="2" t="s">
        <v>15035</v>
      </c>
      <c r="F1116" s="2" t="s">
        <v>15036</v>
      </c>
      <c r="G1116" s="2" t="s">
        <v>14591</v>
      </c>
      <c r="H1116" s="3" t="str">
        <f>_xlfn.IFNA(INDEX(FieldDisagreements!C2:C999, MATCH(C1116,FieldDisagreements!A2:A999, 0)), "")</f>
        <v>effortless-golang</v>
      </c>
      <c r="I1116" s="3" t="str">
        <f>_xlfn.IFNA(INDEX(FieldDisagreements!D2:D999, MATCH(C1116,FieldDisagreements!A2:A999, 0)), "")</f>
        <v>RoleAssignments.QualityVerdictIsUnsupported</v>
      </c>
      <c r="J1116" s="2" t="s">
        <v>1906</v>
      </c>
    </row>
    <row r="1117">
      <c r="A1117" s="2" t="s">
        <v>16367</v>
      </c>
      <c r="B1117" s="3" t="str">
        <f>_xlfn.CONCAT(C1117, " @ ", D1117)</f>
        <v>effortless-golang|RoleAssignments.QualityVerdictIsUnsupported @ ra-old-variance</v>
      </c>
      <c r="C1117" s="2" t="s">
        <v>14819</v>
      </c>
      <c r="D1117" s="2" t="s">
        <v>316</v>
      </c>
      <c r="E1117" s="2" t="s">
        <v>15035</v>
      </c>
      <c r="F1117" s="2" t="s">
        <v>15036</v>
      </c>
      <c r="G1117" s="2" t="s">
        <v>14591</v>
      </c>
      <c r="H1117" s="3" t="str">
        <f>_xlfn.IFNA(INDEX(FieldDisagreements!C2:C999, MATCH(C1117,FieldDisagreements!A2:A999, 0)), "")</f>
        <v>effortless-golang</v>
      </c>
      <c r="I1117" s="3" t="str">
        <f>_xlfn.IFNA(INDEX(FieldDisagreements!D2:D999, MATCH(C1117,FieldDisagreements!A2:A999, 0)), "")</f>
        <v>RoleAssignments.QualityVerdictIsUnsupported</v>
      </c>
      <c r="J1117" s="2" t="s">
        <v>1906</v>
      </c>
    </row>
    <row r="1118">
      <c r="A1118" s="2" t="s">
        <v>16368</v>
      </c>
      <c r="B1118" s="3" t="str">
        <f>_xlfn.CONCAT(C1118, " @ ", D1118)</f>
        <v>effortless-golang|RoleAssignments.QualityVerdictIsUnsupported @ ra-policy-ai-2026</v>
      </c>
      <c r="C1118" s="2" t="s">
        <v>14819</v>
      </c>
      <c r="D1118" s="2" t="s">
        <v>239</v>
      </c>
      <c r="E1118" s="2" t="s">
        <v>15035</v>
      </c>
      <c r="F1118" s="2" t="s">
        <v>15036</v>
      </c>
      <c r="G1118" s="2" t="s">
        <v>14591</v>
      </c>
      <c r="H1118" s="3" t="str">
        <f>_xlfn.IFNA(INDEX(FieldDisagreements!C2:C999, MATCH(C1118,FieldDisagreements!A2:A999, 0)), "")</f>
        <v>effortless-golang</v>
      </c>
      <c r="I1118" s="3" t="str">
        <f>_xlfn.IFNA(INDEX(FieldDisagreements!D2:D999, MATCH(C1118,FieldDisagreements!A2:A999, 0)), "")</f>
        <v>RoleAssignments.QualityVerdictIsUnsupported</v>
      </c>
      <c r="J1118" s="2" t="s">
        <v>1906</v>
      </c>
    </row>
    <row r="1119">
      <c r="A1119" s="2" t="s">
        <v>16369</v>
      </c>
      <c r="B1119" s="3" t="str">
        <f>_xlfn.CONCAT(C1119, " @ ", D1119)</f>
        <v>effortless-golang|RoleAssignments.QualityVerdictIsUnsupported @ ra-policy-owner-2026</v>
      </c>
      <c r="C1119" s="2" t="s">
        <v>14819</v>
      </c>
      <c r="D1119" s="2" t="s">
        <v>219</v>
      </c>
      <c r="E1119" s="2" t="s">
        <v>15035</v>
      </c>
      <c r="F1119" s="2" t="s">
        <v>15036</v>
      </c>
      <c r="G1119" s="2" t="s">
        <v>14591</v>
      </c>
      <c r="H1119" s="3" t="str">
        <f>_xlfn.IFNA(INDEX(FieldDisagreements!C2:C999, MATCH(C1119,FieldDisagreements!A2:A999, 0)), "")</f>
        <v>effortless-golang</v>
      </c>
      <c r="I1119" s="3" t="str">
        <f>_xlfn.IFNA(INDEX(FieldDisagreements!D2:D999, MATCH(C1119,FieldDisagreements!A2:A999, 0)), "")</f>
        <v>RoleAssignments.QualityVerdictIsUnsupported</v>
      </c>
      <c r="J1119" s="2" t="s">
        <v>1906</v>
      </c>
    </row>
    <row r="1120">
      <c r="A1120" s="2" t="s">
        <v>16370</v>
      </c>
      <c r="B1120" s="3" t="str">
        <f>_xlfn.CONCAT(C1120, " @ ", D1120)</f>
        <v>effortless-golang|RoleAssignments.QualityVerdictIsUnsupported @ ra-steward-2026</v>
      </c>
      <c r="C1120" s="2" t="s">
        <v>14819</v>
      </c>
      <c r="D1120" s="2" t="s">
        <v>247</v>
      </c>
      <c r="E1120" s="2" t="s">
        <v>15035</v>
      </c>
      <c r="F1120" s="2" t="s">
        <v>15036</v>
      </c>
      <c r="G1120" s="2" t="s">
        <v>14591</v>
      </c>
      <c r="H1120" s="3" t="str">
        <f>_xlfn.IFNA(INDEX(FieldDisagreements!C2:C999, MATCH(C1120,FieldDisagreements!A2:A999, 0)), "")</f>
        <v>effortless-golang</v>
      </c>
      <c r="I1120" s="3" t="str">
        <f>_xlfn.IFNA(INDEX(FieldDisagreements!D2:D999, MATCH(C1120,FieldDisagreements!A2:A999, 0)), "")</f>
        <v>RoleAssignments.QualityVerdictIsUnsupported</v>
      </c>
      <c r="J1120" s="2" t="s">
        <v>1906</v>
      </c>
    </row>
    <row r="1121">
      <c r="A1121" s="2" t="s">
        <v>16371</v>
      </c>
      <c r="B1121" s="3" t="str">
        <f>_xlfn.CONCAT(C1121, " @ ", D1121)</f>
        <v>effortless-golang|RoleAssignments.IsUnmeasuredAutomationHandover @ ra-new-variance</v>
      </c>
      <c r="C1121" s="2" t="s">
        <v>14820</v>
      </c>
      <c r="D1121" s="2" t="s">
        <v>235</v>
      </c>
      <c r="E1121" s="2" t="s">
        <v>15035</v>
      </c>
      <c r="F1121" s="2" t="s">
        <v>15036</v>
      </c>
      <c r="G1121" s="2" t="s">
        <v>14591</v>
      </c>
      <c r="H1121" s="3" t="str">
        <f>_xlfn.IFNA(INDEX(FieldDisagreements!C2:C999, MATCH(C1121,FieldDisagreements!A2:A999, 0)), "")</f>
        <v>effortless-golang</v>
      </c>
      <c r="I1121" s="3" t="str">
        <f>_xlfn.IFNA(INDEX(FieldDisagreements!D2:D999, MATCH(C1121,FieldDisagreements!A2:A999, 0)), "")</f>
        <v>RoleAssignments.IsUnmeasuredAutomationHandover</v>
      </c>
      <c r="J1121" s="2" t="s">
        <v>1906</v>
      </c>
    </row>
    <row r="1122">
      <c r="A1122" s="2" t="s">
        <v>16372</v>
      </c>
      <c r="B1122" s="3" t="str">
        <f>_xlfn.CONCAT(C1122, " @ ", D1122)</f>
        <v>effortless-golang|ProcedureVersions.DaysSinceModified @ close-v1.0.0</v>
      </c>
      <c r="C1122" s="2" t="s">
        <v>14821</v>
      </c>
      <c r="D1122" s="2" t="s">
        <v>454</v>
      </c>
      <c r="E1122" s="2" t="s">
        <v>15051</v>
      </c>
      <c r="F1122" s="2" t="s">
        <v>15052</v>
      </c>
      <c r="G1122" s="2" t="s">
        <v>14591</v>
      </c>
      <c r="H1122" s="3" t="str">
        <f>_xlfn.IFNA(INDEX(FieldDisagreements!C2:C999, MATCH(C1122,FieldDisagreements!A2:A999, 0)), "")</f>
        <v>effortless-golang</v>
      </c>
      <c r="I1122" s="3" t="str">
        <f>_xlfn.IFNA(INDEX(FieldDisagreements!D2:D999, MATCH(C1122,FieldDisagreements!A2:A999, 0)), "")</f>
        <v>ProcedureVersions.DaysSinceModified</v>
      </c>
      <c r="J1122" s="2" t="s">
        <v>1906</v>
      </c>
    </row>
    <row r="1123">
      <c r="A1123" s="2" t="s">
        <v>16373</v>
      </c>
      <c r="B1123" s="3" t="str">
        <f>_xlfn.CONCAT(C1123, " @ ", D1123)</f>
        <v>effortless-golang|ProcedureVersions.DaysSinceModified @ close-v1.1.0</v>
      </c>
      <c r="C1123" s="2" t="s">
        <v>14821</v>
      </c>
      <c r="D1123" s="2" t="s">
        <v>369</v>
      </c>
      <c r="E1123" s="2" t="s">
        <v>15054</v>
      </c>
      <c r="F1123" s="2" t="s">
        <v>8195</v>
      </c>
      <c r="G1123" s="2" t="s">
        <v>14591</v>
      </c>
      <c r="H1123" s="3" t="str">
        <f>_xlfn.IFNA(INDEX(FieldDisagreements!C2:C999, MATCH(C1123,FieldDisagreements!A2:A999, 0)), "")</f>
        <v>effortless-golang</v>
      </c>
      <c r="I1123" s="3" t="str">
        <f>_xlfn.IFNA(INDEX(FieldDisagreements!D2:D999, MATCH(C1123,FieldDisagreements!A2:A999, 0)), "")</f>
        <v>ProcedureVersions.DaysSinceModified</v>
      </c>
      <c r="J1123" s="2" t="s">
        <v>1906</v>
      </c>
    </row>
    <row r="1124">
      <c r="A1124" s="2" t="s">
        <v>16374</v>
      </c>
      <c r="B1124" s="3" t="str">
        <f>_xlfn.CONCAT(C1124, " @ ", D1124)</f>
        <v>effortless-golang|ProcedureVersions.DaysSinceModified @ policy-v1.0.0</v>
      </c>
      <c r="C1124" s="2" t="s">
        <v>14821</v>
      </c>
      <c r="D1124" s="2" t="s">
        <v>375</v>
      </c>
      <c r="E1124" s="2" t="s">
        <v>935</v>
      </c>
      <c r="F1124" s="2" t="s">
        <v>37</v>
      </c>
      <c r="G1124" s="2" t="s">
        <v>14591</v>
      </c>
      <c r="H1124" s="3" t="str">
        <f>_xlfn.IFNA(INDEX(FieldDisagreements!C2:C999, MATCH(C1124,FieldDisagreements!A2:A999, 0)), "")</f>
        <v>effortless-golang</v>
      </c>
      <c r="I1124" s="3" t="str">
        <f>_xlfn.IFNA(INDEX(FieldDisagreements!D2:D999, MATCH(C1124,FieldDisagreements!A2:A999, 0)), "")</f>
        <v>ProcedureVersions.DaysSinceModified</v>
      </c>
      <c r="J1124" s="2" t="s">
        <v>1906</v>
      </c>
    </row>
    <row r="1125">
      <c r="A1125" s="2" t="s">
        <v>16375</v>
      </c>
      <c r="B1125" s="3" t="str">
        <f>_xlfn.CONCAT(C1125, " @ ", D1125)</f>
        <v>effortless-golang|ProcedureVersions.WasModifiedSinceLastReview @ close-v1.1.0</v>
      </c>
      <c r="C1125" s="2" t="s">
        <v>14822</v>
      </c>
      <c r="D1125" s="2" t="s">
        <v>369</v>
      </c>
      <c r="E1125" s="2" t="s">
        <v>15035</v>
      </c>
      <c r="F1125" s="2" t="s">
        <v>15057</v>
      </c>
      <c r="G1125" s="2" t="s">
        <v>14591</v>
      </c>
      <c r="H1125" s="3" t="str">
        <f>_xlfn.IFNA(INDEX(FieldDisagreements!C2:C999, MATCH(C1125,FieldDisagreements!A2:A999, 0)), "")</f>
        <v>effortless-golang</v>
      </c>
      <c r="I1125" s="3" t="str">
        <f>_xlfn.IFNA(INDEX(FieldDisagreements!D2:D999, MATCH(C1125,FieldDisagreements!A2:A999, 0)), "")</f>
        <v>ProcedureVersions.WasModifiedSinceLastReview</v>
      </c>
      <c r="J1125" s="2" t="s">
        <v>1906</v>
      </c>
    </row>
    <row r="1126">
      <c r="A1126" s="2" t="s">
        <v>16376</v>
      </c>
      <c r="B1126" s="3" t="str">
        <f>_xlfn.CONCAT(C1126, " @ ", D1126)</f>
        <v>effortless-golang|ProcedureVersions.WasModifiedSinceLastReview @ policy-v1.0.0</v>
      </c>
      <c r="C1126" s="2" t="s">
        <v>14822</v>
      </c>
      <c r="D1126" s="2" t="s">
        <v>375</v>
      </c>
      <c r="E1126" s="2" t="s">
        <v>15035</v>
      </c>
      <c r="F1126" s="2" t="s">
        <v>15057</v>
      </c>
      <c r="G1126" s="2" t="s">
        <v>14591</v>
      </c>
      <c r="H1126" s="3" t="str">
        <f>_xlfn.IFNA(INDEX(FieldDisagreements!C2:C999, MATCH(C1126,FieldDisagreements!A2:A999, 0)), "")</f>
        <v>effortless-golang</v>
      </c>
      <c r="I1126" s="3" t="str">
        <f>_xlfn.IFNA(INDEX(FieldDisagreements!D2:D999, MATCH(C1126,FieldDisagreements!A2:A999, 0)), "")</f>
        <v>ProcedureVersions.WasModifiedSinceLastReview</v>
      </c>
      <c r="J1126" s="2" t="s">
        <v>1906</v>
      </c>
    </row>
    <row r="1127">
      <c r="A1127" s="2" t="s">
        <v>16377</v>
      </c>
      <c r="B1127" s="3" t="str">
        <f>_xlfn.CONCAT(C1127, " @ ", D1127)</f>
        <v>effortless-golang|ProcedureVersions.HasUnwitnessedChange @ close-v1.1.0</v>
      </c>
      <c r="C1127" s="2" t="s">
        <v>14823</v>
      </c>
      <c r="D1127" s="2" t="s">
        <v>369</v>
      </c>
      <c r="E1127" s="2" t="s">
        <v>15035</v>
      </c>
      <c r="F1127" s="2" t="s">
        <v>15057</v>
      </c>
      <c r="G1127" s="2" t="s">
        <v>14591</v>
      </c>
      <c r="H1127" s="3" t="str">
        <f>_xlfn.IFNA(INDEX(FieldDisagreements!C2:C999, MATCH(C1127,FieldDisagreements!A2:A999, 0)), "")</f>
        <v>effortless-golang</v>
      </c>
      <c r="I1127" s="3" t="str">
        <f>_xlfn.IFNA(INDEX(FieldDisagreements!D2:D999, MATCH(C1127,FieldDisagreements!A2:A999, 0)), "")</f>
        <v>ProcedureVersions.HasUnwitnessedChange</v>
      </c>
      <c r="J1127" s="2" t="s">
        <v>1906</v>
      </c>
    </row>
    <row r="1128">
      <c r="A1128" s="2" t="s">
        <v>16378</v>
      </c>
      <c r="B1128" s="3" t="str">
        <f>_xlfn.CONCAT(C1128, " @ ", D1128)</f>
        <v>effortless-golang|ProcedureVersions.HasUnwitnessedChange @ policy-v1.0.0</v>
      </c>
      <c r="C1128" s="2" t="s">
        <v>14823</v>
      </c>
      <c r="D1128" s="2" t="s">
        <v>375</v>
      </c>
      <c r="E1128" s="2" t="s">
        <v>15035</v>
      </c>
      <c r="F1128" s="2" t="s">
        <v>15057</v>
      </c>
      <c r="G1128" s="2" t="s">
        <v>14591</v>
      </c>
      <c r="H1128" s="3" t="str">
        <f>_xlfn.IFNA(INDEX(FieldDisagreements!C2:C999, MATCH(C1128,FieldDisagreements!A2:A999, 0)), "")</f>
        <v>effortless-golang</v>
      </c>
      <c r="I1128" s="3" t="str">
        <f>_xlfn.IFNA(INDEX(FieldDisagreements!D2:D999, MATCH(C1128,FieldDisagreements!A2:A999, 0)), "")</f>
        <v>ProcedureVersions.HasUnwitnessedChange</v>
      </c>
      <c r="J1128" s="2" t="s">
        <v>1906</v>
      </c>
    </row>
    <row r="1129">
      <c r="A1129" s="2" t="s">
        <v>16379</v>
      </c>
      <c r="B1129" s="3" t="str">
        <f>_xlfn.CONCAT(C1129, " @ ", D1129)</f>
        <v>effortless-golang|Requirements.IsUntestedWitness @ req-close-balance</v>
      </c>
      <c r="C1129" s="2" t="s">
        <v>14824</v>
      </c>
      <c r="D1129" s="2" t="s">
        <v>827</v>
      </c>
      <c r="E1129" s="2" t="s">
        <v>15035</v>
      </c>
      <c r="F1129" s="2" t="s">
        <v>15036</v>
      </c>
      <c r="G1129" s="2" t="s">
        <v>14591</v>
      </c>
      <c r="H1129" s="3" t="str">
        <f>_xlfn.IFNA(INDEX(FieldDisagreements!C2:C999, MATCH(C1129,FieldDisagreements!A2:A999, 0)), "")</f>
        <v>effortless-golang</v>
      </c>
      <c r="I1129" s="3" t="str">
        <f>_xlfn.IFNA(INDEX(FieldDisagreements!D2:D999, MATCH(C1129,FieldDisagreements!A2:A999, 0)), "")</f>
        <v>Requirements.IsUntestedWitness</v>
      </c>
      <c r="J1129" s="2" t="s">
        <v>1906</v>
      </c>
    </row>
    <row r="1130">
      <c r="A1130" s="2" t="s">
        <v>16380</v>
      </c>
      <c r="B1130" s="3" t="str">
        <f>_xlfn.CONCAT(C1130, " @ ", D1130)</f>
        <v>effortless-golang|Requirements.IsUntestedWitness @ req-close-cutoff</v>
      </c>
      <c r="C1130" s="2" t="s">
        <v>14824</v>
      </c>
      <c r="D1130" s="2" t="s">
        <v>819</v>
      </c>
      <c r="E1130" s="2" t="s">
        <v>15035</v>
      </c>
      <c r="F1130" s="2" t="s">
        <v>15036</v>
      </c>
      <c r="G1130" s="2" t="s">
        <v>14591</v>
      </c>
      <c r="H1130" s="3" t="str">
        <f>_xlfn.IFNA(INDEX(FieldDisagreements!C2:C999, MATCH(C1130,FieldDisagreements!A2:A999, 0)), "")</f>
        <v>effortless-golang</v>
      </c>
      <c r="I1130" s="3" t="str">
        <f>_xlfn.IFNA(INDEX(FieldDisagreements!D2:D999, MATCH(C1130,FieldDisagreements!A2:A999, 0)), "")</f>
        <v>Requirements.IsUntestedWitness</v>
      </c>
      <c r="J1130" s="2" t="s">
        <v>1906</v>
      </c>
    </row>
    <row r="1131">
      <c r="A1131" s="2" t="s">
        <v>16381</v>
      </c>
      <c r="B1131" s="3" t="str">
        <f>_xlfn.CONCAT(C1131, " @ ", D1131)</f>
        <v>effortless-golang|Requirements.IsUntestedWitness @ req-close-separation</v>
      </c>
      <c r="C1131" s="2" t="s">
        <v>14824</v>
      </c>
      <c r="D1131" s="2" t="s">
        <v>833</v>
      </c>
      <c r="E1131" s="2" t="s">
        <v>15035</v>
      </c>
      <c r="F1131" s="2" t="s">
        <v>15036</v>
      </c>
      <c r="G1131" s="2" t="s">
        <v>14591</v>
      </c>
      <c r="H1131" s="3" t="str">
        <f>_xlfn.IFNA(INDEX(FieldDisagreements!C2:C999, MATCH(C1131,FieldDisagreements!A2:A999, 0)), "")</f>
        <v>effortless-golang</v>
      </c>
      <c r="I1131" s="3" t="str">
        <f>_xlfn.IFNA(INDEX(FieldDisagreements!D2:D999, MATCH(C1131,FieldDisagreements!A2:A999, 0)), "")</f>
        <v>Requirements.IsUntestedWitness</v>
      </c>
      <c r="J1131" s="2" t="s">
        <v>1906</v>
      </c>
    </row>
    <row r="1132">
      <c r="A1132" s="2" t="s">
        <v>16382</v>
      </c>
      <c r="B1132" s="3" t="str">
        <f>_xlfn.CONCAT(C1132, " @ ", D1132)</f>
        <v>effortless-golang|ElicitationSessions.Name @ elicit-close-shadow</v>
      </c>
      <c r="C1132" s="2" t="s">
        <v>14825</v>
      </c>
      <c r="D1132" s="2" t="s">
        <v>1073</v>
      </c>
      <c r="E1132" s="2" t="s">
        <v>15065</v>
      </c>
      <c r="F1132" s="2" t="s">
        <v>15066</v>
      </c>
      <c r="G1132" s="2" t="s">
        <v>14591</v>
      </c>
      <c r="H1132" s="3" t="str">
        <f>_xlfn.IFNA(INDEX(FieldDisagreements!C2:C999, MATCH(C1132,FieldDisagreements!A2:A999, 0)), "")</f>
        <v>effortless-golang</v>
      </c>
      <c r="I1132" s="3" t="str">
        <f>_xlfn.IFNA(INDEX(FieldDisagreements!D2:D999, MATCH(C1132,FieldDisagreements!A2:A999, 0)), "")</f>
        <v>ElicitationSessions.Name</v>
      </c>
      <c r="J1132" s="2" t="s">
        <v>1906</v>
      </c>
    </row>
    <row r="1133">
      <c r="A1133" s="2" t="s">
        <v>16383</v>
      </c>
      <c r="B1133" s="3" t="str">
        <f>_xlfn.CONCAT(C1133, " @ ", D1133)</f>
        <v>effortless-golang|ElicitationSessions.Name @ elicit-policy-interview</v>
      </c>
      <c r="C1133" s="2" t="s">
        <v>14825</v>
      </c>
      <c r="D1133" s="2" t="s">
        <v>1080</v>
      </c>
      <c r="E1133" s="2" t="s">
        <v>15068</v>
      </c>
      <c r="F1133" s="2" t="s">
        <v>15069</v>
      </c>
      <c r="G1133" s="2" t="s">
        <v>14591</v>
      </c>
      <c r="H1133" s="3" t="str">
        <f>_xlfn.IFNA(INDEX(FieldDisagreements!C2:C999, MATCH(C1133,FieldDisagreements!A2:A999, 0)), "")</f>
        <v>effortless-golang</v>
      </c>
      <c r="I1133" s="3" t="str">
        <f>_xlfn.IFNA(INDEX(FieldDisagreements!D2:D999, MATCH(C1133,FieldDisagreements!A2:A999, 0)), "")</f>
        <v>ElicitationSessions.Name</v>
      </c>
      <c r="J1133" s="2" t="s">
        <v>1906</v>
      </c>
    </row>
    <row r="1134">
      <c r="A1134" s="2" t="s">
        <v>16384</v>
      </c>
      <c r="B1134" s="3" t="str">
        <f>_xlfn.CONCAT(C1134, " @ ", D1134)</f>
        <v>effortless-golang|ElicitationSessions.Name @ elicit-policy-workshop</v>
      </c>
      <c r="C1134" s="2" t="s">
        <v>14825</v>
      </c>
      <c r="D1134" s="2" t="s">
        <v>1077</v>
      </c>
      <c r="E1134" s="2" t="s">
        <v>15071</v>
      </c>
      <c r="F1134" s="2" t="s">
        <v>15072</v>
      </c>
      <c r="G1134" s="2" t="s">
        <v>14591</v>
      </c>
      <c r="H1134" s="3" t="str">
        <f>_xlfn.IFNA(INDEX(FieldDisagreements!C2:C999, MATCH(C1134,FieldDisagreements!A2:A999, 0)), "")</f>
        <v>effortless-golang</v>
      </c>
      <c r="I1134" s="3" t="str">
        <f>_xlfn.IFNA(INDEX(FieldDisagreements!D2:D999, MATCH(C1134,FieldDisagreements!A2:A999, 0)), "")</f>
        <v>ElicitationSessions.Name</v>
      </c>
      <c r="J1134" s="2" t="s">
        <v>1906</v>
      </c>
    </row>
    <row r="1135">
      <c r="A1135" s="2" t="s">
        <v>16385</v>
      </c>
      <c r="B1135" s="3" t="str">
        <f>_xlfn.CONCAT(C1135, " @ ", D1135)</f>
        <v>effortless-golang|ElicitationSessions.DaysSinceElicited @ elicit-policy-interview</v>
      </c>
      <c r="C1135" s="2" t="s">
        <v>14826</v>
      </c>
      <c r="D1135" s="2" t="s">
        <v>1080</v>
      </c>
      <c r="E1135" s="2" t="s">
        <v>15074</v>
      </c>
      <c r="F1135" s="2" t="s">
        <v>15075</v>
      </c>
      <c r="G1135" s="2" t="s">
        <v>14591</v>
      </c>
      <c r="H1135" s="3" t="str">
        <f>_xlfn.IFNA(INDEX(FieldDisagreements!C2:C999, MATCH(C1135,FieldDisagreements!A2:A999, 0)), "")</f>
        <v>effortless-golang</v>
      </c>
      <c r="I1135" s="3" t="str">
        <f>_xlfn.IFNA(INDEX(FieldDisagreements!D2:D999, MATCH(C1135,FieldDisagreements!A2:A999, 0)), "")</f>
        <v>ElicitationSessions.DaysSinceElicited</v>
      </c>
      <c r="J1135" s="2" t="s">
        <v>1906</v>
      </c>
    </row>
    <row r="1136">
      <c r="A1136" s="2" t="s">
        <v>16386</v>
      </c>
      <c r="B1136" s="3" t="str">
        <f>_xlfn.CONCAT(C1136, " @ ", D1136)</f>
        <v>effortless-golang|ElicitationSessions.DaysSinceElicited @ elicit-policy-workshop</v>
      </c>
      <c r="C1136" s="2" t="s">
        <v>14826</v>
      </c>
      <c r="D1136" s="2" t="s">
        <v>1077</v>
      </c>
      <c r="E1136" s="2" t="s">
        <v>15077</v>
      </c>
      <c r="F1136" s="2" t="s">
        <v>15078</v>
      </c>
      <c r="G1136" s="2" t="s">
        <v>14591</v>
      </c>
      <c r="H1136" s="3" t="str">
        <f>_xlfn.IFNA(INDEX(FieldDisagreements!C2:C999, MATCH(C1136,FieldDisagreements!A2:A999, 0)), "")</f>
        <v>effortless-golang</v>
      </c>
      <c r="I1136" s="3" t="str">
        <f>_xlfn.IFNA(INDEX(FieldDisagreements!D2:D999, MATCH(C1136,FieldDisagreements!A2:A999, 0)), "")</f>
        <v>ElicitationSessions.DaysSinceElicited</v>
      </c>
      <c r="J1136" s="2" t="s">
        <v>1906</v>
      </c>
    </row>
    <row r="1137">
      <c r="A1137" s="2" t="s">
        <v>16387</v>
      </c>
      <c r="B1137" s="3" t="str">
        <f>_xlfn.CONCAT(C1137, " @ ", D1137)</f>
        <v>effortless-golang|KnowledgeFragments.DaysSinceActualReview @ kf-close-fx-time</v>
      </c>
      <c r="C1137" s="2" t="s">
        <v>14827</v>
      </c>
      <c r="D1137" s="2" t="s">
        <v>1152</v>
      </c>
      <c r="E1137" s="2" t="s">
        <v>15054</v>
      </c>
      <c r="F1137" s="2" t="s">
        <v>8195</v>
      </c>
      <c r="G1137" s="2" t="s">
        <v>14591</v>
      </c>
      <c r="H1137" s="3" t="str">
        <f>_xlfn.IFNA(INDEX(FieldDisagreements!C2:C999, MATCH(C1137,FieldDisagreements!A2:A999, 0)), "")</f>
        <v>effortless-golang</v>
      </c>
      <c r="I1137" s="3" t="str">
        <f>_xlfn.IFNA(INDEX(FieldDisagreements!D2:D999, MATCH(C1137,FieldDisagreements!A2:A999, 0)), "")</f>
        <v>KnowledgeFragments.DaysSinceActualReview</v>
      </c>
      <c r="J1137" s="2" t="s">
        <v>1906</v>
      </c>
    </row>
    <row r="1138">
      <c r="A1138" s="2" t="s">
        <v>16388</v>
      </c>
      <c r="B1138" s="3" t="str">
        <f>_xlfn.CONCAT(C1138, " @ ", D1138)</f>
        <v>effortless-golang|KnowledgeFragments.DaysSinceActualReview @ kf-close-top-ten</v>
      </c>
      <c r="C1138" s="2" t="s">
        <v>14827</v>
      </c>
      <c r="D1138" s="2" t="s">
        <v>1157</v>
      </c>
      <c r="E1138" s="2" t="s">
        <v>15054</v>
      </c>
      <c r="F1138" s="2" t="s">
        <v>8195</v>
      </c>
      <c r="G1138" s="2" t="s">
        <v>14591</v>
      </c>
      <c r="H1138" s="3" t="str">
        <f>_xlfn.IFNA(INDEX(FieldDisagreements!C2:C999, MATCH(C1138,FieldDisagreements!A2:A999, 0)), "")</f>
        <v>effortless-golang</v>
      </c>
      <c r="I1138" s="3" t="str">
        <f>_xlfn.IFNA(INDEX(FieldDisagreements!D2:D999, MATCH(C1138,FieldDisagreements!A2:A999, 0)), "")</f>
        <v>KnowledgeFragments.DaysSinceActualReview</v>
      </c>
      <c r="J1138" s="2" t="s">
        <v>1906</v>
      </c>
    </row>
    <row r="1139">
      <c r="A1139" s="2" t="s">
        <v>16389</v>
      </c>
      <c r="B1139" s="3" t="str">
        <f>_xlfn.CONCAT(C1139, " @ ", D1139)</f>
        <v>effortless-golang|KnowledgeFragments.DaysSinceActualReview @ kf-policy-channel</v>
      </c>
      <c r="C1139" s="2" t="s">
        <v>14827</v>
      </c>
      <c r="D1139" s="2" t="s">
        <v>1169</v>
      </c>
      <c r="E1139" s="2" t="s">
        <v>935</v>
      </c>
      <c r="F1139" s="2" t="s">
        <v>37</v>
      </c>
      <c r="G1139" s="2" t="s">
        <v>14591</v>
      </c>
      <c r="H1139" s="3" t="str">
        <f>_xlfn.IFNA(INDEX(FieldDisagreements!C2:C999, MATCH(C1139,FieldDisagreements!A2:A999, 0)), "")</f>
        <v>effortless-golang</v>
      </c>
      <c r="I1139" s="3" t="str">
        <f>_xlfn.IFNA(INDEX(FieldDisagreements!D2:D999, MATCH(C1139,FieldDisagreements!A2:A999, 0)), "")</f>
        <v>KnowledgeFragments.DaysSinceActualReview</v>
      </c>
      <c r="J1139" s="2" t="s">
        <v>1906</v>
      </c>
    </row>
    <row r="1140">
      <c r="A1140" s="2" t="s">
        <v>16390</v>
      </c>
      <c r="B1140" s="3" t="str">
        <f>_xlfn.CONCAT(C1140, " @ ", D1140)</f>
        <v>effortless-golang|KnowledgeFragments.EvidenceAgeDays @ kf-policy-ai-boundary</v>
      </c>
      <c r="C1140" s="2" t="s">
        <v>14828</v>
      </c>
      <c r="D1140" s="2" t="s">
        <v>1167</v>
      </c>
      <c r="E1140" s="2" t="s">
        <v>15074</v>
      </c>
      <c r="F1140" s="2" t="s">
        <v>15075</v>
      </c>
      <c r="G1140" s="2" t="s">
        <v>14591</v>
      </c>
      <c r="H1140" s="3" t="str">
        <f>_xlfn.IFNA(INDEX(FieldDisagreements!C2:C999, MATCH(C1140,FieldDisagreements!A2:A999, 0)), "")</f>
        <v>effortless-golang</v>
      </c>
      <c r="I1140" s="3" t="str">
        <f>_xlfn.IFNA(INDEX(FieldDisagreements!D2:D999, MATCH(C1140,FieldDisagreements!A2:A999, 0)), "")</f>
        <v>KnowledgeFragments.EvidenceAgeDays</v>
      </c>
      <c r="J1140" s="2" t="s">
        <v>1906</v>
      </c>
    </row>
    <row r="1141">
      <c r="A1141" s="2" t="s">
        <v>16391</v>
      </c>
      <c r="B1141" s="3" t="str">
        <f>_xlfn.CONCAT(C1141, " @ ", D1141)</f>
        <v>effortless-golang|KnowledgeFragments.EvidenceAgeDays @ kf-policy-channel</v>
      </c>
      <c r="C1141" s="2" t="s">
        <v>14828</v>
      </c>
      <c r="D1141" s="2" t="s">
        <v>1169</v>
      </c>
      <c r="E1141" s="2" t="s">
        <v>15077</v>
      </c>
      <c r="F1141" s="2" t="s">
        <v>15078</v>
      </c>
      <c r="G1141" s="2" t="s">
        <v>14591</v>
      </c>
      <c r="H1141" s="3" t="str">
        <f>_xlfn.IFNA(INDEX(FieldDisagreements!C2:C999, MATCH(C1141,FieldDisagreements!A2:A999, 0)), "")</f>
        <v>effortless-golang</v>
      </c>
      <c r="I1141" s="3" t="str">
        <f>_xlfn.IFNA(INDEX(FieldDisagreements!D2:D999, MATCH(C1141,FieldDisagreements!A2:A999, 0)), "")</f>
        <v>KnowledgeFragments.EvidenceAgeDays</v>
      </c>
      <c r="J1141" s="2" t="s">
        <v>1906</v>
      </c>
    </row>
    <row r="1142">
      <c r="A1142" s="2" t="s">
        <v>16392</v>
      </c>
      <c r="B1142" s="3" t="str">
        <f>_xlfn.CONCAT(C1142, " @ ", D1142)</f>
        <v>effortless-golang|KnowledgeFragments.EvidenceAgeDays @ kf-policy-manager-route</v>
      </c>
      <c r="C1142" s="2" t="s">
        <v>14828</v>
      </c>
      <c r="D1142" s="2" t="s">
        <v>1171</v>
      </c>
      <c r="E1142" s="2" t="s">
        <v>15077</v>
      </c>
      <c r="F1142" s="2" t="s">
        <v>15078</v>
      </c>
      <c r="G1142" s="2" t="s">
        <v>14591</v>
      </c>
      <c r="H1142" s="3" t="str">
        <f>_xlfn.IFNA(INDEX(FieldDisagreements!C2:C999, MATCH(C1142,FieldDisagreements!A2:A999, 0)), "")</f>
        <v>effortless-golang</v>
      </c>
      <c r="I1142" s="3" t="str">
        <f>_xlfn.IFNA(INDEX(FieldDisagreements!D2:D999, MATCH(C1142,FieldDisagreements!A2:A999, 0)), "")</f>
        <v>KnowledgeFragments.EvidenceAgeDays</v>
      </c>
      <c r="J1142" s="2" t="s">
        <v>1906</v>
      </c>
    </row>
    <row r="1143">
      <c r="A1143" s="2" t="s">
        <v>16393</v>
      </c>
      <c r="B1143" s="3" t="str">
        <f>_xlfn.CONCAT(C1143, " @ ", D1143)</f>
        <v>effortless-golang|KnowledgeFragments.AgeDays @ kf-policy-ai-boundary</v>
      </c>
      <c r="C1143" s="2" t="s">
        <v>14829</v>
      </c>
      <c r="D1143" s="2" t="s">
        <v>1167</v>
      </c>
      <c r="E1143" s="2" t="s">
        <v>15074</v>
      </c>
      <c r="F1143" s="2" t="s">
        <v>15075</v>
      </c>
      <c r="G1143" s="2" t="s">
        <v>14591</v>
      </c>
      <c r="H1143" s="3" t="str">
        <f>_xlfn.IFNA(INDEX(FieldDisagreements!C2:C999, MATCH(C1143,FieldDisagreements!A2:A999, 0)), "")</f>
        <v>effortless-golang</v>
      </c>
      <c r="I1143" s="3" t="str">
        <f>_xlfn.IFNA(INDEX(FieldDisagreements!D2:D999, MATCH(C1143,FieldDisagreements!A2:A999, 0)), "")</f>
        <v>KnowledgeFragments.AgeDays</v>
      </c>
      <c r="J1143" s="2" t="s">
        <v>1906</v>
      </c>
    </row>
    <row r="1144">
      <c r="A1144" s="2" t="s">
        <v>16394</v>
      </c>
      <c r="B1144" s="3" t="str">
        <f>_xlfn.CONCAT(C1144, " @ ", D1144)</f>
        <v>effortless-golang|KnowledgeFragments.AgeDays @ kf-policy-channel</v>
      </c>
      <c r="C1144" s="2" t="s">
        <v>14829</v>
      </c>
      <c r="D1144" s="2" t="s">
        <v>1169</v>
      </c>
      <c r="E1144" s="2" t="s">
        <v>15077</v>
      </c>
      <c r="F1144" s="2" t="s">
        <v>15078</v>
      </c>
      <c r="G1144" s="2" t="s">
        <v>14591</v>
      </c>
      <c r="H1144" s="3" t="str">
        <f>_xlfn.IFNA(INDEX(FieldDisagreements!C2:C999, MATCH(C1144,FieldDisagreements!A2:A999, 0)), "")</f>
        <v>effortless-golang</v>
      </c>
      <c r="I1144" s="3" t="str">
        <f>_xlfn.IFNA(INDEX(FieldDisagreements!D2:D999, MATCH(C1144,FieldDisagreements!A2:A999, 0)), "")</f>
        <v>KnowledgeFragments.AgeDays</v>
      </c>
      <c r="J1144" s="2" t="s">
        <v>1906</v>
      </c>
    </row>
    <row r="1145">
      <c r="A1145" s="2" t="s">
        <v>16395</v>
      </c>
      <c r="B1145" s="3" t="str">
        <f>_xlfn.CONCAT(C1145, " @ ", D1145)</f>
        <v>effortless-golang|KnowledgeFragments.AgeDays @ kf-policy-manager-route</v>
      </c>
      <c r="C1145" s="2" t="s">
        <v>14829</v>
      </c>
      <c r="D1145" s="2" t="s">
        <v>1171</v>
      </c>
      <c r="E1145" s="2" t="s">
        <v>15077</v>
      </c>
      <c r="F1145" s="2" t="s">
        <v>15078</v>
      </c>
      <c r="G1145" s="2" t="s">
        <v>14591</v>
      </c>
      <c r="H1145" s="3" t="str">
        <f>_xlfn.IFNA(INDEX(FieldDisagreements!C2:C999, MATCH(C1145,FieldDisagreements!A2:A999, 0)), "")</f>
        <v>effortless-golang</v>
      </c>
      <c r="I1145" s="3" t="str">
        <f>_xlfn.IFNA(INDEX(FieldDisagreements!D2:D999, MATCH(C1145,FieldDisagreements!A2:A999, 0)), "")</f>
        <v>KnowledgeFragments.AgeDays</v>
      </c>
      <c r="J1145" s="2" t="s">
        <v>1906</v>
      </c>
    </row>
    <row r="1146">
      <c r="A1146" s="2" t="s">
        <v>16396</v>
      </c>
      <c r="B1146" s="3" t="str">
        <f>_xlfn.CONCAT(C1146, " @ ", D1146)</f>
        <v>effortless-golang|KnowledgeFragments.DaysAwaitingMyApproval @ kf-policy-manager-route</v>
      </c>
      <c r="C1146" s="2" t="s">
        <v>14830</v>
      </c>
      <c r="D1146" s="2" t="s">
        <v>1171</v>
      </c>
      <c r="E1146" s="2" t="s">
        <v>15077</v>
      </c>
      <c r="F1146" s="2" t="s">
        <v>15078</v>
      </c>
      <c r="G1146" s="2" t="s">
        <v>14591</v>
      </c>
      <c r="H1146" s="3" t="str">
        <f>_xlfn.IFNA(INDEX(FieldDisagreements!C2:C999, MATCH(C1146,FieldDisagreements!A2:A999, 0)), "")</f>
        <v>effortless-golang</v>
      </c>
      <c r="I1146" s="3" t="str">
        <f>_xlfn.IFNA(INDEX(FieldDisagreements!D2:D999, MATCH(C1146,FieldDisagreements!A2:A999, 0)), "")</f>
        <v>KnowledgeFragments.DaysAwaitingMyApproval</v>
      </c>
      <c r="J1146" s="2" t="s">
        <v>1906</v>
      </c>
    </row>
    <row r="1147">
      <c r="A1147" s="2" t="s">
        <v>16397</v>
      </c>
      <c r="B1147" s="3" t="str">
        <f>_xlfn.CONCAT(C1147, " @ ", D1147)</f>
        <v>effortless-golang|KnowledgeGaps.DaysOpen @ gap-policy-delivery-receipts</v>
      </c>
      <c r="C1147" s="2" t="s">
        <v>14831</v>
      </c>
      <c r="D1147" s="2" t="s">
        <v>1196</v>
      </c>
      <c r="E1147" s="2" t="s">
        <v>935</v>
      </c>
      <c r="F1147" s="2" t="s">
        <v>37</v>
      </c>
      <c r="G1147" s="2" t="s">
        <v>14591</v>
      </c>
      <c r="H1147" s="3" t="str">
        <f>_xlfn.IFNA(INDEX(FieldDisagreements!C2:C999, MATCH(C1147,FieldDisagreements!A2:A999, 0)), "")</f>
        <v>effortless-golang</v>
      </c>
      <c r="I1147" s="3" t="str">
        <f>_xlfn.IFNA(INDEX(FieldDisagreements!D2:D999, MATCH(C1147,FieldDisagreements!A2:A999, 0)), "")</f>
        <v>KnowledgeGaps.DaysOpen</v>
      </c>
      <c r="J1147" s="2" t="s">
        <v>1906</v>
      </c>
    </row>
    <row r="1148">
      <c r="A1148" s="2" t="s">
        <v>16398</v>
      </c>
      <c r="B1148" s="3" t="str">
        <f>_xlfn.CONCAT(C1148, " @ ", D1148)</f>
        <v>effortless-golang|IssueOccurrences.Name @ issue-close-feed</v>
      </c>
      <c r="C1148" s="2" t="s">
        <v>14832</v>
      </c>
      <c r="D1148" s="2" t="s">
        <v>1527</v>
      </c>
      <c r="E1148" s="2" t="s">
        <v>15094</v>
      </c>
      <c r="F1148" s="2" t="s">
        <v>15095</v>
      </c>
      <c r="G1148" s="2" t="s">
        <v>14591</v>
      </c>
      <c r="H1148" s="3" t="str">
        <f>_xlfn.IFNA(INDEX(FieldDisagreements!C2:C999, MATCH(C1148,FieldDisagreements!A2:A999, 0)), "")</f>
        <v>effortless-golang</v>
      </c>
      <c r="I1148" s="3" t="str">
        <f>_xlfn.IFNA(INDEX(FieldDisagreements!D2:D999, MATCH(C1148,FieldDisagreements!A2:A999, 0)), "")</f>
        <v>IssueOccurrences.Name</v>
      </c>
      <c r="J1148" s="2" t="s">
        <v>1906</v>
      </c>
    </row>
    <row r="1149">
      <c r="A1149" s="2" t="s">
        <v>16399</v>
      </c>
      <c r="B1149" s="3" t="str">
        <f>_xlfn.CONCAT(C1149, " @ ", D1149)</f>
        <v>effortless-golang|IssueOccurrences.Name @ issue-policy-sms</v>
      </c>
      <c r="C1149" s="2" t="s">
        <v>14832</v>
      </c>
      <c r="D1149" s="2" t="s">
        <v>1531</v>
      </c>
      <c r="E1149" s="2" t="s">
        <v>15097</v>
      </c>
      <c r="F1149" s="2" t="s">
        <v>15098</v>
      </c>
      <c r="G1149" s="2" t="s">
        <v>14591</v>
      </c>
      <c r="H1149" s="3" t="str">
        <f>_xlfn.IFNA(INDEX(FieldDisagreements!C2:C999, MATCH(C1149,FieldDisagreements!A2:A999, 0)), "")</f>
        <v>effortless-golang</v>
      </c>
      <c r="I1149" s="3" t="str">
        <f>_xlfn.IFNA(INDEX(FieldDisagreements!D2:D999, MATCH(C1149,FieldDisagreements!A2:A999, 0)), "")</f>
        <v>IssueOccurrences.Name</v>
      </c>
      <c r="J1149" s="2" t="s">
        <v>1906</v>
      </c>
    </row>
    <row r="1150">
      <c r="A1150" s="2" t="s">
        <v>16400</v>
      </c>
      <c r="B1150" s="3" t="str">
        <f>_xlfn.CONCAT(C1150, " @ ", D1150)</f>
        <v>effortless-golang|ChangeRequests.DaysPending @ cr-close-timestamp</v>
      </c>
      <c r="C1150" s="2" t="s">
        <v>14833</v>
      </c>
      <c r="D1150" s="2" t="s">
        <v>1556</v>
      </c>
      <c r="E1150" s="2" t="s">
        <v>935</v>
      </c>
      <c r="F1150" s="2" t="s">
        <v>37</v>
      </c>
      <c r="G1150" s="2" t="s">
        <v>14591</v>
      </c>
      <c r="H1150" s="3" t="str">
        <f>_xlfn.IFNA(INDEX(FieldDisagreements!C2:C999, MATCH(C1150,FieldDisagreements!A2:A999, 0)), "")</f>
        <v>effortless-golang</v>
      </c>
      <c r="I1150" s="3" t="str">
        <f>_xlfn.IFNA(INDEX(FieldDisagreements!D2:D999, MATCH(C1150,FieldDisagreements!A2:A999, 0)), "")</f>
        <v>ChangeRequests.DaysPending</v>
      </c>
      <c r="J1150" s="2" t="s">
        <v>1906</v>
      </c>
    </row>
    <row r="1151">
      <c r="A1151" s="2" t="s">
        <v>16401</v>
      </c>
      <c r="B1151" s="3" t="str">
        <f>_xlfn.CONCAT(C1151, " @ ", D1151)</f>
        <v>effortless-golang|ChangeRequests.DecisionLatencyDays @ cr-close-timestamp</v>
      </c>
      <c r="C1151" s="2" t="s">
        <v>14834</v>
      </c>
      <c r="D1151" s="2" t="s">
        <v>1556</v>
      </c>
      <c r="E1151" s="2" t="s">
        <v>935</v>
      </c>
      <c r="F1151" s="2" t="s">
        <v>37</v>
      </c>
      <c r="G1151" s="2" t="s">
        <v>14591</v>
      </c>
      <c r="H1151" s="3" t="str">
        <f>_xlfn.IFNA(INDEX(FieldDisagreements!C2:C999, MATCH(C1151,FieldDisagreements!A2:A999, 0)), "")</f>
        <v>effortless-golang</v>
      </c>
      <c r="I1151" s="3" t="str">
        <f>_xlfn.IFNA(INDEX(FieldDisagreements!D2:D999, MATCH(C1151,FieldDisagreements!A2:A999, 0)), "")</f>
        <v>ChangeRequests.DecisionLatencyDays</v>
      </c>
      <c r="J1151" s="2" t="s">
        <v>1906</v>
      </c>
    </row>
    <row r="1152">
      <c r="A1152" s="2" t="s">
        <v>16402</v>
      </c>
      <c r="B1152" s="3" t="str">
        <f>_xlfn.CONCAT(C1152, " @ ", D1152)</f>
        <v>effortless-golang|ReviewEvents.DaysSinceReviewed @ review-close-q1</v>
      </c>
      <c r="C1152" s="2" t="s">
        <v>14835</v>
      </c>
      <c r="D1152" s="2" t="s">
        <v>1626</v>
      </c>
      <c r="E1152" s="2" t="s">
        <v>15102</v>
      </c>
      <c r="F1152" s="2" t="s">
        <v>15103</v>
      </c>
      <c r="G1152" s="2" t="s">
        <v>14591</v>
      </c>
      <c r="H1152" s="3" t="str">
        <f>_xlfn.IFNA(INDEX(FieldDisagreements!C2:C999, MATCH(C1152,FieldDisagreements!A2:A999, 0)), "")</f>
        <v>effortless-golang</v>
      </c>
      <c r="I1152" s="3" t="str">
        <f>_xlfn.IFNA(INDEX(FieldDisagreements!D2:D999, MATCH(C1152,FieldDisagreements!A2:A999, 0)), "")</f>
        <v>ReviewEvents.DaysSinceReviewed</v>
      </c>
      <c r="J1152" s="2" t="s">
        <v>1906</v>
      </c>
    </row>
    <row r="1153">
      <c r="A1153" s="2" t="s">
        <v>16403</v>
      </c>
      <c r="B1153" s="3" t="str">
        <f>_xlfn.CONCAT(C1153, " @ ", D1153)</f>
        <v>effortless-golang|ReviewEvents.DaysSinceReviewed @ review-close-q2</v>
      </c>
      <c r="C1153" s="2" t="s">
        <v>14835</v>
      </c>
      <c r="D1153" s="2" t="s">
        <v>1630</v>
      </c>
      <c r="E1153" s="2" t="s">
        <v>15054</v>
      </c>
      <c r="F1153" s="2" t="s">
        <v>8195</v>
      </c>
      <c r="G1153" s="2" t="s">
        <v>14591</v>
      </c>
      <c r="H1153" s="3" t="str">
        <f>_xlfn.IFNA(INDEX(FieldDisagreements!C2:C999, MATCH(C1153,FieldDisagreements!A2:A999, 0)), "")</f>
        <v>effortless-golang</v>
      </c>
      <c r="I1153" s="3" t="str">
        <f>_xlfn.IFNA(INDEX(FieldDisagreements!D2:D999, MATCH(C1153,FieldDisagreements!A2:A999, 0)), "")</f>
        <v>ReviewEvents.DaysSinceReviewed</v>
      </c>
      <c r="J1153" s="2" t="s">
        <v>1906</v>
      </c>
    </row>
    <row r="1154">
      <c r="A1154" s="2" t="s">
        <v>16404</v>
      </c>
      <c r="B1154" s="3" t="str">
        <f>_xlfn.CONCAT(C1154, " @ ", D1154)</f>
        <v>effortless-golang|ReviewEvents.DaysSinceReviewed @ review-policy-prelaunch</v>
      </c>
      <c r="C1154" s="2" t="s">
        <v>14835</v>
      </c>
      <c r="D1154" s="2" t="s">
        <v>1632</v>
      </c>
      <c r="E1154" s="2" t="s">
        <v>935</v>
      </c>
      <c r="F1154" s="2" t="s">
        <v>37</v>
      </c>
      <c r="G1154" s="2" t="s">
        <v>14591</v>
      </c>
      <c r="H1154" s="3" t="str">
        <f>_xlfn.IFNA(INDEX(FieldDisagreements!C2:C999, MATCH(C1154,FieldDisagreements!A2:A999, 0)), "")</f>
        <v>effortless-golang</v>
      </c>
      <c r="I1154" s="3" t="str">
        <f>_xlfn.IFNA(INDEX(FieldDisagreements!D2:D999, MATCH(C1154,FieldDisagreements!A2:A999, 0)), "")</f>
        <v>ReviewEvents.DaysSinceReviewed</v>
      </c>
      <c r="J1154" s="2" t="s">
        <v>1906</v>
      </c>
    </row>
    <row r="1155">
      <c r="A1155" s="2" t="s">
        <v>16405</v>
      </c>
      <c r="B1155" s="3" t="str">
        <f>_xlfn.CONCAT(C1155, " @ ", D1155)</f>
        <v>effortless-golang|ReviewEvents.CadenceDriftDays @ review-close-q1</v>
      </c>
      <c r="C1155" s="2" t="s">
        <v>14836</v>
      </c>
      <c r="D1155" s="2" t="s">
        <v>1626</v>
      </c>
      <c r="E1155" s="2" t="s">
        <v>15107</v>
      </c>
      <c r="F1155" s="2" t="s">
        <v>15108</v>
      </c>
      <c r="G1155" s="2" t="s">
        <v>14591</v>
      </c>
      <c r="H1155" s="3" t="str">
        <f>_xlfn.IFNA(INDEX(FieldDisagreements!C2:C999, MATCH(C1155,FieldDisagreements!A2:A999, 0)), "")</f>
        <v>effortless-golang</v>
      </c>
      <c r="I1155" s="3" t="str">
        <f>_xlfn.IFNA(INDEX(FieldDisagreements!D2:D999, MATCH(C1155,FieldDisagreements!A2:A999, 0)), "")</f>
        <v>ReviewEvents.CadenceDriftDays</v>
      </c>
      <c r="J1155" s="2" t="s">
        <v>1906</v>
      </c>
    </row>
    <row r="1156">
      <c r="A1156" s="2" t="s">
        <v>16406</v>
      </c>
      <c r="B1156" s="3" t="str">
        <f>_xlfn.CONCAT(C1156, " @ ", D1156)</f>
        <v>effortless-golang|ReviewEvents.CadenceDriftDays @ review-close-q2</v>
      </c>
      <c r="C1156" s="2" t="s">
        <v>14836</v>
      </c>
      <c r="D1156" s="2" t="s">
        <v>1630</v>
      </c>
      <c r="E1156" s="2" t="s">
        <v>15110</v>
      </c>
      <c r="F1156" s="2" t="s">
        <v>15111</v>
      </c>
      <c r="G1156" s="2" t="s">
        <v>14591</v>
      </c>
      <c r="H1156" s="3" t="str">
        <f>_xlfn.IFNA(INDEX(FieldDisagreements!C2:C999, MATCH(C1156,FieldDisagreements!A2:A999, 0)), "")</f>
        <v>effortless-golang</v>
      </c>
      <c r="I1156" s="3" t="str">
        <f>_xlfn.IFNA(INDEX(FieldDisagreements!D2:D999, MATCH(C1156,FieldDisagreements!A2:A999, 0)), "")</f>
        <v>ReviewEvents.CadenceDriftDays</v>
      </c>
      <c r="J1156" s="2" t="s">
        <v>1906</v>
      </c>
    </row>
    <row r="1157">
      <c r="A1157" s="2" t="s">
        <v>16407</v>
      </c>
      <c r="B1157" s="3" t="str">
        <f>_xlfn.CONCAT(C1157, " @ ", D1157)</f>
        <v>effortless-golang|ReviewEvents.CadenceDriftDays @ review-policy-prelaunch</v>
      </c>
      <c r="C1157" s="2" t="s">
        <v>14836</v>
      </c>
      <c r="D1157" s="2" t="s">
        <v>1632</v>
      </c>
      <c r="E1157" s="2" t="s">
        <v>15113</v>
      </c>
      <c r="F1157" s="2" t="s">
        <v>15114</v>
      </c>
      <c r="G1157" s="2" t="s">
        <v>14591</v>
      </c>
      <c r="H1157" s="3" t="str">
        <f>_xlfn.IFNA(INDEX(FieldDisagreements!C2:C999, MATCH(C1157,FieldDisagreements!A2:A999, 0)), "")</f>
        <v>effortless-golang</v>
      </c>
      <c r="I1157" s="3" t="str">
        <f>_xlfn.IFNA(INDEX(FieldDisagreements!D2:D999, MATCH(C1157,FieldDisagreements!A2:A999, 0)), "")</f>
        <v>ReviewEvents.CadenceDriftDays</v>
      </c>
      <c r="J1157" s="2" t="s">
        <v>1906</v>
      </c>
    </row>
    <row r="1158">
      <c r="A1158" s="2" t="s">
        <v>16408</v>
      </c>
      <c r="B1158" s="3" t="str">
        <f>_xlfn.CONCAT(C1158, " @ ", D1158)</f>
        <v>effortless-golang|LearningActivities.Name @ learn-close-retro</v>
      </c>
      <c r="C1158" s="2" t="s">
        <v>14837</v>
      </c>
      <c r="D1158" s="2" t="s">
        <v>1637</v>
      </c>
      <c r="E1158" s="2" t="s">
        <v>15116</v>
      </c>
      <c r="F1158" s="2" t="s">
        <v>15117</v>
      </c>
      <c r="G1158" s="2" t="s">
        <v>14591</v>
      </c>
      <c r="H1158" s="3" t="str">
        <f>_xlfn.IFNA(INDEX(FieldDisagreements!C2:C999, MATCH(C1158,FieldDisagreements!A2:A999, 0)), "")</f>
        <v>effortless-golang</v>
      </c>
      <c r="I1158" s="3" t="str">
        <f>_xlfn.IFNA(INDEX(FieldDisagreements!D2:D999, MATCH(C1158,FieldDisagreements!A2:A999, 0)), "")</f>
        <v>LearningActivities.Name</v>
      </c>
      <c r="J1158" s="2" t="s">
        <v>1906</v>
      </c>
    </row>
    <row r="1159">
      <c r="A1159" s="2" t="s">
        <v>16409</v>
      </c>
      <c r="B1159" s="3" t="str">
        <f>_xlfn.CONCAT(C1159, " @ ", D1159)</f>
        <v>effortless-golang|LearningActivities.Name @ learn-policy-tabletop</v>
      </c>
      <c r="C1159" s="2" t="s">
        <v>14837</v>
      </c>
      <c r="D1159" s="2" t="s">
        <v>1639</v>
      </c>
      <c r="E1159" s="2" t="s">
        <v>15119</v>
      </c>
      <c r="F1159" s="2" t="s">
        <v>15120</v>
      </c>
      <c r="G1159" s="2" t="s">
        <v>14591</v>
      </c>
      <c r="H1159" s="3" t="str">
        <f>_xlfn.IFNA(INDEX(FieldDisagreements!C2:C999, MATCH(C1159,FieldDisagreements!A2:A999, 0)), "")</f>
        <v>effortless-golang</v>
      </c>
      <c r="I1159" s="3" t="str">
        <f>_xlfn.IFNA(INDEX(FieldDisagreements!D2:D999, MATCH(C1159,FieldDisagreements!A2:A999, 0)), "")</f>
        <v>LearningActivities.Name</v>
      </c>
      <c r="J1159" s="2" t="s">
        <v>1906</v>
      </c>
    </row>
    <row r="1160">
      <c r="A1160" s="2" t="s">
        <v>16410</v>
      </c>
      <c r="B1160" s="3" t="str">
        <f>_xlfn.CONCAT(C1160, " @ ", D1160)</f>
        <v>effortless-golang|ObservedTransitions.Name @ obs-close-01-02-q2</v>
      </c>
      <c r="C1160" s="2" t="s">
        <v>14838</v>
      </c>
      <c r="D1160" s="2" t="s">
        <v>8200</v>
      </c>
      <c r="E1160" s="2" t="s">
        <v>15122</v>
      </c>
      <c r="F1160" s="2" t="s">
        <v>15123</v>
      </c>
      <c r="G1160" s="2" t="s">
        <v>14591</v>
      </c>
      <c r="H1160" s="3" t="str">
        <f>_xlfn.IFNA(INDEX(FieldDisagreements!C2:C999, MATCH(C1160,FieldDisagreements!A2:A999, 0)), "")</f>
        <v>effortless-golang</v>
      </c>
      <c r="I1160" s="3" t="str">
        <f>_xlfn.IFNA(INDEX(FieldDisagreements!D2:D999, MATCH(C1160,FieldDisagreements!A2:A999, 0)), "")</f>
        <v>ObservedTransitions.Name</v>
      </c>
      <c r="J1160" s="2" t="s">
        <v>1906</v>
      </c>
    </row>
    <row r="1161">
      <c r="A1161" s="2" t="s">
        <v>16411</v>
      </c>
      <c r="B1161" s="3" t="str">
        <f>_xlfn.CONCAT(C1161, " @ ", D1161)</f>
        <v>effortless-golang|ObservedTransitions.Name @ obs-close-02-03-q2</v>
      </c>
      <c r="C1161" s="2" t="s">
        <v>14838</v>
      </c>
      <c r="D1161" s="2" t="s">
        <v>8202</v>
      </c>
      <c r="E1161" s="2" t="s">
        <v>15125</v>
      </c>
      <c r="F1161" s="2" t="s">
        <v>15126</v>
      </c>
      <c r="G1161" s="2" t="s">
        <v>14591</v>
      </c>
      <c r="H1161" s="3" t="str">
        <f>_xlfn.IFNA(INDEX(FieldDisagreements!C2:C999, MATCH(C1161,FieldDisagreements!A2:A999, 0)), "")</f>
        <v>effortless-golang</v>
      </c>
      <c r="I1161" s="3" t="str">
        <f>_xlfn.IFNA(INDEX(FieldDisagreements!D2:D999, MATCH(C1161,FieldDisagreements!A2:A999, 0)), "")</f>
        <v>ObservedTransitions.Name</v>
      </c>
      <c r="J1161" s="2" t="s">
        <v>1906</v>
      </c>
    </row>
    <row r="1162">
      <c r="A1162" s="2" t="s">
        <v>16412</v>
      </c>
      <c r="B1162" s="3" t="str">
        <f>_xlfn.CONCAT(C1162, " @ ", D1162)</f>
        <v>effortless-golang|ObservedTransitions.Name @ obs-close-03-04-q2</v>
      </c>
      <c r="C1162" s="2" t="s">
        <v>14838</v>
      </c>
      <c r="D1162" s="2" t="s">
        <v>8203</v>
      </c>
      <c r="E1162" s="2" t="s">
        <v>15128</v>
      </c>
      <c r="F1162" s="2" t="s">
        <v>15129</v>
      </c>
      <c r="G1162" s="2" t="s">
        <v>14591</v>
      </c>
      <c r="H1162" s="3" t="str">
        <f>_xlfn.IFNA(INDEX(FieldDisagreements!C2:C999, MATCH(C1162,FieldDisagreements!A2:A999, 0)), "")</f>
        <v>effortless-golang</v>
      </c>
      <c r="I1162" s="3" t="str">
        <f>_xlfn.IFNA(INDEX(FieldDisagreements!D2:D999, MATCH(C1162,FieldDisagreements!A2:A999, 0)), "")</f>
        <v>ObservedTransitions.Name</v>
      </c>
      <c r="J1162" s="2" t="s">
        <v>1906</v>
      </c>
    </row>
    <row r="1163">
      <c r="A1163" s="2" t="s">
        <v>16413</v>
      </c>
      <c r="B1163" s="3" t="str">
        <f>_xlfn.CONCAT(C1163, " @ ", D1163)</f>
        <v>effortless-golang|ObservedTransitions.Name @ obs-close-04-05-q2</v>
      </c>
      <c r="C1163" s="2" t="s">
        <v>14838</v>
      </c>
      <c r="D1163" s="2" t="s">
        <v>8204</v>
      </c>
      <c r="E1163" s="2" t="s">
        <v>15131</v>
      </c>
      <c r="F1163" s="2" t="s">
        <v>15132</v>
      </c>
      <c r="G1163" s="2" t="s">
        <v>14591</v>
      </c>
      <c r="H1163" s="3" t="str">
        <f>_xlfn.IFNA(INDEX(FieldDisagreements!C2:C999, MATCH(C1163,FieldDisagreements!A2:A999, 0)), "")</f>
        <v>effortless-golang</v>
      </c>
      <c r="I1163" s="3" t="str">
        <f>_xlfn.IFNA(INDEX(FieldDisagreements!D2:D999, MATCH(C1163,FieldDisagreements!A2:A999, 0)), "")</f>
        <v>ObservedTransitions.Name</v>
      </c>
      <c r="J1163" s="2" t="s">
        <v>1906</v>
      </c>
    </row>
    <row r="1164">
      <c r="A1164" s="2" t="s">
        <v>16414</v>
      </c>
      <c r="B1164" s="3" t="str">
        <f>_xlfn.CONCAT(C1164, " @ ", D1164)</f>
        <v>effortless-golang|ObservedTransitions.Name @ obs-close-05-06-q2</v>
      </c>
      <c r="C1164" s="2" t="s">
        <v>14838</v>
      </c>
      <c r="D1164" s="2" t="s">
        <v>8205</v>
      </c>
      <c r="E1164" s="2" t="s">
        <v>15134</v>
      </c>
      <c r="F1164" s="2" t="s">
        <v>15135</v>
      </c>
      <c r="G1164" s="2" t="s">
        <v>14591</v>
      </c>
      <c r="H1164" s="3" t="str">
        <f>_xlfn.IFNA(INDEX(FieldDisagreements!C2:C999, MATCH(C1164,FieldDisagreements!A2:A999, 0)), "")</f>
        <v>effortless-golang</v>
      </c>
      <c r="I1164" s="3" t="str">
        <f>_xlfn.IFNA(INDEX(FieldDisagreements!D2:D999, MATCH(C1164,FieldDisagreements!A2:A999, 0)), "")</f>
        <v>ObservedTransitions.Name</v>
      </c>
      <c r="J1164" s="2" t="s">
        <v>1906</v>
      </c>
    </row>
    <row r="1165">
      <c r="A1165" s="2" t="s">
        <v>16415</v>
      </c>
      <c r="B1165" s="3" t="str">
        <f>_xlfn.CONCAT(C1165, " @ ", D1165)</f>
        <v>effortless-golang|ObservedTransitions.Name @ obs-close-06-07-q2</v>
      </c>
      <c r="C1165" s="2" t="s">
        <v>14838</v>
      </c>
      <c r="D1165" s="2" t="s">
        <v>8206</v>
      </c>
      <c r="E1165" s="2" t="s">
        <v>15137</v>
      </c>
      <c r="F1165" s="2" t="s">
        <v>15138</v>
      </c>
      <c r="G1165" s="2" t="s">
        <v>14591</v>
      </c>
      <c r="H1165" s="3" t="str">
        <f>_xlfn.IFNA(INDEX(FieldDisagreements!C2:C999, MATCH(C1165,FieldDisagreements!A2:A999, 0)), "")</f>
        <v>effortless-golang</v>
      </c>
      <c r="I1165" s="3" t="str">
        <f>_xlfn.IFNA(INDEX(FieldDisagreements!D2:D999, MATCH(C1165,FieldDisagreements!A2:A999, 0)), "")</f>
        <v>ObservedTransitions.Name</v>
      </c>
      <c r="J1165" s="2" t="s">
        <v>1906</v>
      </c>
    </row>
    <row r="1166">
      <c r="A1166" s="2" t="s">
        <v>16416</v>
      </c>
      <c r="B1166" s="3" t="str">
        <f>_xlfn.CONCAT(C1166, " @ ", D1166)</f>
        <v>effortless-golang|ObservedTransitions.Name @ obs-close-07-08-q2</v>
      </c>
      <c r="C1166" s="2" t="s">
        <v>14838</v>
      </c>
      <c r="D1166" s="2" t="s">
        <v>8207</v>
      </c>
      <c r="E1166" s="2" t="s">
        <v>15140</v>
      </c>
      <c r="F1166" s="2" t="s">
        <v>15141</v>
      </c>
      <c r="G1166" s="2" t="s">
        <v>14591</v>
      </c>
      <c r="H1166" s="3" t="str">
        <f>_xlfn.IFNA(INDEX(FieldDisagreements!C2:C999, MATCH(C1166,FieldDisagreements!A2:A999, 0)), "")</f>
        <v>effortless-golang</v>
      </c>
      <c r="I1166" s="3" t="str">
        <f>_xlfn.IFNA(INDEX(FieldDisagreements!D2:D999, MATCH(C1166,FieldDisagreements!A2:A999, 0)), "")</f>
        <v>ObservedTransitions.Name</v>
      </c>
      <c r="J1166" s="2" t="s">
        <v>1906</v>
      </c>
    </row>
    <row r="1167">
      <c r="A1167" s="2" t="s">
        <v>16417</v>
      </c>
      <c r="B1167" s="3" t="str">
        <f>_xlfn.CONCAT(C1167, " @ ", D1167)</f>
        <v>effortless-golang|ObservedTransitions.Name @ obs-policy-01-02-hr4821</v>
      </c>
      <c r="C1167" s="2" t="s">
        <v>14838</v>
      </c>
      <c r="D1167" s="2" t="s">
        <v>8208</v>
      </c>
      <c r="E1167" s="2" t="s">
        <v>15143</v>
      </c>
      <c r="F1167" s="2" t="s">
        <v>15144</v>
      </c>
      <c r="G1167" s="2" t="s">
        <v>14591</v>
      </c>
      <c r="H1167" s="3" t="str">
        <f>_xlfn.IFNA(INDEX(FieldDisagreements!C2:C999, MATCH(C1167,FieldDisagreements!A2:A999, 0)), "")</f>
        <v>effortless-golang</v>
      </c>
      <c r="I1167" s="3" t="str">
        <f>_xlfn.IFNA(INDEX(FieldDisagreements!D2:D999, MATCH(C1167,FieldDisagreements!A2:A999, 0)), "")</f>
        <v>ObservedTransitions.Name</v>
      </c>
      <c r="J1167" s="2" t="s">
        <v>1906</v>
      </c>
    </row>
    <row r="1168">
      <c r="A1168" s="2" t="s">
        <v>16418</v>
      </c>
      <c r="B1168" s="3" t="str">
        <f>_xlfn.CONCAT(C1168, " @ ", D1168)</f>
        <v>effortless-golang|ObservedTransitions.Name @ obs-policy-02-03-hr4821</v>
      </c>
      <c r="C1168" s="2" t="s">
        <v>14838</v>
      </c>
      <c r="D1168" s="2" t="s">
        <v>8209</v>
      </c>
      <c r="E1168" s="2" t="s">
        <v>15146</v>
      </c>
      <c r="F1168" s="2" t="s">
        <v>15147</v>
      </c>
      <c r="G1168" s="2" t="s">
        <v>14591</v>
      </c>
      <c r="H1168" s="3" t="str">
        <f>_xlfn.IFNA(INDEX(FieldDisagreements!C2:C999, MATCH(C1168,FieldDisagreements!A2:A999, 0)), "")</f>
        <v>effortless-golang</v>
      </c>
      <c r="I1168" s="3" t="str">
        <f>_xlfn.IFNA(INDEX(FieldDisagreements!D2:D999, MATCH(C1168,FieldDisagreements!A2:A999, 0)), "")</f>
        <v>ObservedTransitions.Name</v>
      </c>
      <c r="J1168" s="2" t="s">
        <v>1906</v>
      </c>
    </row>
    <row r="1169">
      <c r="A1169" s="2" t="s">
        <v>16419</v>
      </c>
      <c r="B1169" s="3" t="str">
        <f>_xlfn.CONCAT(C1169, " @ ", D1169)</f>
        <v>effortless-golang|ObservedTransitions.Name @ obs-policy-03-04-hr4821</v>
      </c>
      <c r="C1169" s="2" t="s">
        <v>14838</v>
      </c>
      <c r="D1169" s="2" t="s">
        <v>8210</v>
      </c>
      <c r="E1169" s="2" t="s">
        <v>15149</v>
      </c>
      <c r="F1169" s="2" t="s">
        <v>15150</v>
      </c>
      <c r="G1169" s="2" t="s">
        <v>14591</v>
      </c>
      <c r="H1169" s="3" t="str">
        <f>_xlfn.IFNA(INDEX(FieldDisagreements!C2:C999, MATCH(C1169,FieldDisagreements!A2:A999, 0)), "")</f>
        <v>effortless-golang</v>
      </c>
      <c r="I1169" s="3" t="str">
        <f>_xlfn.IFNA(INDEX(FieldDisagreements!D2:D999, MATCH(C1169,FieldDisagreements!A2:A999, 0)), "")</f>
        <v>ObservedTransitions.Name</v>
      </c>
      <c r="J1169" s="2" t="s">
        <v>1906</v>
      </c>
    </row>
    <row r="1170">
      <c r="A1170" s="2" t="s">
        <v>16420</v>
      </c>
      <c r="B1170" s="3" t="str">
        <f>_xlfn.CONCAT(C1170, " @ ", D1170)</f>
        <v>effortless-golang|MessageDeliveries.Name @ md-001</v>
      </c>
      <c r="C1170" s="2" t="s">
        <v>14839</v>
      </c>
      <c r="D1170" s="2" t="s">
        <v>8234</v>
      </c>
      <c r="E1170" s="2" t="s">
        <v>15152</v>
      </c>
      <c r="F1170" s="2" t="s">
        <v>15153</v>
      </c>
      <c r="G1170" s="2" t="s">
        <v>14591</v>
      </c>
      <c r="H1170" s="3" t="str">
        <f>_xlfn.IFNA(INDEX(FieldDisagreements!C2:C999, MATCH(C1170,FieldDisagreements!A2:A999, 0)), "")</f>
        <v>effortless-golang</v>
      </c>
      <c r="I1170" s="3" t="str">
        <f>_xlfn.IFNA(INDEX(FieldDisagreements!D2:D999, MATCH(C1170,FieldDisagreements!A2:A999, 0)), "")</f>
        <v>MessageDeliveries.Name</v>
      </c>
      <c r="J1170" s="2" t="s">
        <v>1906</v>
      </c>
    </row>
    <row r="1171">
      <c r="A1171" s="2" t="s">
        <v>16421</v>
      </c>
      <c r="B1171" s="3" t="str">
        <f>_xlfn.CONCAT(C1171, " @ ", D1171)</f>
        <v>effortless-golang|MessageDeliveries.Name @ md-002</v>
      </c>
      <c r="C1171" s="2" t="s">
        <v>14839</v>
      </c>
      <c r="D1171" s="2" t="s">
        <v>8238</v>
      </c>
      <c r="E1171" s="2" t="s">
        <v>15155</v>
      </c>
      <c r="F1171" s="2" t="s">
        <v>15156</v>
      </c>
      <c r="G1171" s="2" t="s">
        <v>14591</v>
      </c>
      <c r="H1171" s="3" t="str">
        <f>_xlfn.IFNA(INDEX(FieldDisagreements!C2:C999, MATCH(C1171,FieldDisagreements!A2:A999, 0)), "")</f>
        <v>effortless-golang</v>
      </c>
      <c r="I1171" s="3" t="str">
        <f>_xlfn.IFNA(INDEX(FieldDisagreements!D2:D999, MATCH(C1171,FieldDisagreements!A2:A999, 0)), "")</f>
        <v>MessageDeliveries.Name</v>
      </c>
      <c r="J1171" s="2" t="s">
        <v>1906</v>
      </c>
    </row>
    <row r="1172">
      <c r="A1172" s="2" t="s">
        <v>16422</v>
      </c>
      <c r="B1172" s="3" t="str">
        <f>_xlfn.CONCAT(C1172, " @ ", D1172)</f>
        <v>effortless-golang|MessageDeliveries.Name @ md-003</v>
      </c>
      <c r="C1172" s="2" t="s">
        <v>14839</v>
      </c>
      <c r="D1172" s="2" t="s">
        <v>8239</v>
      </c>
      <c r="E1172" s="2" t="s">
        <v>15158</v>
      </c>
      <c r="F1172" s="2" t="s">
        <v>15159</v>
      </c>
      <c r="G1172" s="2" t="s">
        <v>14591</v>
      </c>
      <c r="H1172" s="3" t="str">
        <f>_xlfn.IFNA(INDEX(FieldDisagreements!C2:C999, MATCH(C1172,FieldDisagreements!A2:A999, 0)), "")</f>
        <v>effortless-golang</v>
      </c>
      <c r="I1172" s="3" t="str">
        <f>_xlfn.IFNA(INDEX(FieldDisagreements!D2:D999, MATCH(C1172,FieldDisagreements!A2:A999, 0)), "")</f>
        <v>MessageDeliveries.Name</v>
      </c>
      <c r="J1172" s="2" t="s">
        <v>1906</v>
      </c>
    </row>
    <row r="1173">
      <c r="A1173" s="2" t="s">
        <v>16423</v>
      </c>
      <c r="B1173" s="3" t="str">
        <f>_xlfn.CONCAT(C1173, " @ ", D1173)</f>
        <v>effortless-golang|MessageDeliveries.Name @ md-004</v>
      </c>
      <c r="C1173" s="2" t="s">
        <v>14839</v>
      </c>
      <c r="D1173" s="2" t="s">
        <v>8241</v>
      </c>
      <c r="E1173" s="2" t="s">
        <v>15161</v>
      </c>
      <c r="F1173" s="2" t="s">
        <v>15162</v>
      </c>
      <c r="G1173" s="2" t="s">
        <v>14591</v>
      </c>
      <c r="H1173" s="3" t="str">
        <f>_xlfn.IFNA(INDEX(FieldDisagreements!C2:C999, MATCH(C1173,FieldDisagreements!A2:A999, 0)), "")</f>
        <v>effortless-golang</v>
      </c>
      <c r="I1173" s="3" t="str">
        <f>_xlfn.IFNA(INDEX(FieldDisagreements!D2:D999, MATCH(C1173,FieldDisagreements!A2:A999, 0)), "")</f>
        <v>MessageDeliveries.Name</v>
      </c>
      <c r="J1173" s="2" t="s">
        <v>1906</v>
      </c>
    </row>
    <row r="1174">
      <c r="A1174" s="2" t="s">
        <v>16424</v>
      </c>
      <c r="B1174" s="3" t="str">
        <f>_xlfn.CONCAT(C1174, " @ ", D1174)</f>
        <v>effortless-golang|MessageDeliveries.Name @ md-005</v>
      </c>
      <c r="C1174" s="2" t="s">
        <v>14839</v>
      </c>
      <c r="D1174" s="2" t="s">
        <v>8244</v>
      </c>
      <c r="E1174" s="2" t="s">
        <v>15164</v>
      </c>
      <c r="F1174" s="2" t="s">
        <v>15165</v>
      </c>
      <c r="G1174" s="2" t="s">
        <v>14591</v>
      </c>
      <c r="H1174" s="3" t="str">
        <f>_xlfn.IFNA(INDEX(FieldDisagreements!C2:C999, MATCH(C1174,FieldDisagreements!A2:A999, 0)), "")</f>
        <v>effortless-golang</v>
      </c>
      <c r="I1174" s="3" t="str">
        <f>_xlfn.IFNA(INDEX(FieldDisagreements!D2:D999, MATCH(C1174,FieldDisagreements!A2:A999, 0)), "")</f>
        <v>MessageDeliveries.Name</v>
      </c>
      <c r="J1174" s="2" t="s">
        <v>1906</v>
      </c>
    </row>
    <row r="1175">
      <c r="A1175" s="2" t="s">
        <v>16425</v>
      </c>
      <c r="B1175" s="3" t="str">
        <f>_xlfn.CONCAT(C1175, " @ ", D1175)</f>
        <v>effortless-golang|MessageDeliveries.Name @ md-006</v>
      </c>
      <c r="C1175" s="2" t="s">
        <v>14839</v>
      </c>
      <c r="D1175" s="2" t="s">
        <v>8247</v>
      </c>
      <c r="E1175" s="2" t="s">
        <v>15167</v>
      </c>
      <c r="F1175" s="2" t="s">
        <v>15168</v>
      </c>
      <c r="G1175" s="2" t="s">
        <v>14591</v>
      </c>
      <c r="H1175" s="3" t="str">
        <f>_xlfn.IFNA(INDEX(FieldDisagreements!C2:C999, MATCH(C1175,FieldDisagreements!A2:A999, 0)), "")</f>
        <v>effortless-golang</v>
      </c>
      <c r="I1175" s="3" t="str">
        <f>_xlfn.IFNA(INDEX(FieldDisagreements!D2:D999, MATCH(C1175,FieldDisagreements!A2:A999, 0)), "")</f>
        <v>MessageDeliveries.Name</v>
      </c>
      <c r="J1175" s="2" t="s">
        <v>1906</v>
      </c>
    </row>
    <row r="1176">
      <c r="A1176" s="2" t="s">
        <v>16426</v>
      </c>
      <c r="B1176" s="3" t="str">
        <f>_xlfn.CONCAT(C1176, " @ ", D1176)</f>
        <v>effortless-golang|MessageDeliveries.AgeDays @ md-001</v>
      </c>
      <c r="C1176" s="2" t="s">
        <v>14840</v>
      </c>
      <c r="D1176" s="2" t="s">
        <v>8234</v>
      </c>
      <c r="E1176" s="2" t="s">
        <v>935</v>
      </c>
      <c r="F1176" s="2" t="s">
        <v>37</v>
      </c>
      <c r="G1176" s="2" t="s">
        <v>14591</v>
      </c>
      <c r="H1176" s="3" t="str">
        <f>_xlfn.IFNA(INDEX(FieldDisagreements!C2:C999, MATCH(C1176,FieldDisagreements!A2:A999, 0)), "")</f>
        <v>effortless-golang</v>
      </c>
      <c r="I1176" s="3" t="str">
        <f>_xlfn.IFNA(INDEX(FieldDisagreements!D2:D999, MATCH(C1176,FieldDisagreements!A2:A999, 0)), "")</f>
        <v>MessageDeliveries.AgeDays</v>
      </c>
      <c r="J1176" s="2" t="s">
        <v>1906</v>
      </c>
    </row>
    <row r="1177">
      <c r="A1177" s="2" t="s">
        <v>16427</v>
      </c>
      <c r="B1177" s="3" t="str">
        <f>_xlfn.CONCAT(C1177, " @ ", D1177)</f>
        <v>effortless-golang|MessageDeliveries.AgeDays @ md-002</v>
      </c>
      <c r="C1177" s="2" t="s">
        <v>14840</v>
      </c>
      <c r="D1177" s="2" t="s">
        <v>8238</v>
      </c>
      <c r="E1177" s="2" t="s">
        <v>935</v>
      </c>
      <c r="F1177" s="2" t="s">
        <v>37</v>
      </c>
      <c r="G1177" s="2" t="s">
        <v>14591</v>
      </c>
      <c r="H1177" s="3" t="str">
        <f>_xlfn.IFNA(INDEX(FieldDisagreements!C2:C999, MATCH(C1177,FieldDisagreements!A2:A999, 0)), "")</f>
        <v>effortless-golang</v>
      </c>
      <c r="I1177" s="3" t="str">
        <f>_xlfn.IFNA(INDEX(FieldDisagreements!D2:D999, MATCH(C1177,FieldDisagreements!A2:A999, 0)), "")</f>
        <v>MessageDeliveries.AgeDays</v>
      </c>
      <c r="J1177" s="2" t="s">
        <v>1906</v>
      </c>
    </row>
    <row r="1178">
      <c r="A1178" s="2" t="s">
        <v>16428</v>
      </c>
      <c r="B1178" s="3" t="str">
        <f>_xlfn.CONCAT(C1178, " @ ", D1178)</f>
        <v>effortless-golang|MessageDeliveries.AgeDays @ md-003</v>
      </c>
      <c r="C1178" s="2" t="s">
        <v>14840</v>
      </c>
      <c r="D1178" s="2" t="s">
        <v>8239</v>
      </c>
      <c r="E1178" s="2" t="s">
        <v>935</v>
      </c>
      <c r="F1178" s="2" t="s">
        <v>37</v>
      </c>
      <c r="G1178" s="2" t="s">
        <v>14591</v>
      </c>
      <c r="H1178" s="3" t="str">
        <f>_xlfn.IFNA(INDEX(FieldDisagreements!C2:C999, MATCH(C1178,FieldDisagreements!A2:A999, 0)), "")</f>
        <v>effortless-golang</v>
      </c>
      <c r="I1178" s="3" t="str">
        <f>_xlfn.IFNA(INDEX(FieldDisagreements!D2:D999, MATCH(C1178,FieldDisagreements!A2:A999, 0)), "")</f>
        <v>MessageDeliveries.AgeDays</v>
      </c>
      <c r="J1178" s="2" t="s">
        <v>1906</v>
      </c>
    </row>
    <row r="1179">
      <c r="A1179" s="2" t="s">
        <v>16429</v>
      </c>
      <c r="B1179" s="3" t="str">
        <f>_xlfn.CONCAT(C1179, " @ ", D1179)</f>
        <v>effortless-golang|MessageDeliveries.AgeDays @ md-004</v>
      </c>
      <c r="C1179" s="2" t="s">
        <v>14840</v>
      </c>
      <c r="D1179" s="2" t="s">
        <v>8241</v>
      </c>
      <c r="E1179" s="2" t="s">
        <v>935</v>
      </c>
      <c r="F1179" s="2" t="s">
        <v>37</v>
      </c>
      <c r="G1179" s="2" t="s">
        <v>14591</v>
      </c>
      <c r="H1179" s="3" t="str">
        <f>_xlfn.IFNA(INDEX(FieldDisagreements!C2:C999, MATCH(C1179,FieldDisagreements!A2:A999, 0)), "")</f>
        <v>effortless-golang</v>
      </c>
      <c r="I1179" s="3" t="str">
        <f>_xlfn.IFNA(INDEX(FieldDisagreements!D2:D999, MATCH(C1179,FieldDisagreements!A2:A999, 0)), "")</f>
        <v>MessageDeliveries.AgeDays</v>
      </c>
      <c r="J1179" s="2" t="s">
        <v>1906</v>
      </c>
    </row>
    <row r="1180">
      <c r="A1180" s="2" t="s">
        <v>16430</v>
      </c>
      <c r="B1180" s="3" t="str">
        <f>_xlfn.CONCAT(C1180, " @ ", D1180)</f>
        <v>effortless-golang|MessageDeliveries.AgeDays @ md-005</v>
      </c>
      <c r="C1180" s="2" t="s">
        <v>14840</v>
      </c>
      <c r="D1180" s="2" t="s">
        <v>8244</v>
      </c>
      <c r="E1180" s="2" t="s">
        <v>935</v>
      </c>
      <c r="F1180" s="2" t="s">
        <v>37</v>
      </c>
      <c r="G1180" s="2" t="s">
        <v>14591</v>
      </c>
      <c r="H1180" s="3" t="str">
        <f>_xlfn.IFNA(INDEX(FieldDisagreements!C2:C999, MATCH(C1180,FieldDisagreements!A2:A999, 0)), "")</f>
        <v>effortless-golang</v>
      </c>
      <c r="I1180" s="3" t="str">
        <f>_xlfn.IFNA(INDEX(FieldDisagreements!D2:D999, MATCH(C1180,FieldDisagreements!A2:A999, 0)), "")</f>
        <v>MessageDeliveries.AgeDays</v>
      </c>
      <c r="J1180" s="2" t="s">
        <v>1906</v>
      </c>
    </row>
    <row r="1181">
      <c r="A1181" s="2" t="s">
        <v>16431</v>
      </c>
      <c r="B1181" s="3" t="str">
        <f>_xlfn.CONCAT(C1181, " @ ", D1181)</f>
        <v>effortless-golang|MessageDeliveries.AgeDays @ md-006</v>
      </c>
      <c r="C1181" s="2" t="s">
        <v>14840</v>
      </c>
      <c r="D1181" s="2" t="s">
        <v>8247</v>
      </c>
      <c r="E1181" s="2" t="s">
        <v>935</v>
      </c>
      <c r="F1181" s="2" t="s">
        <v>37</v>
      </c>
      <c r="G1181" s="2" t="s">
        <v>14591</v>
      </c>
      <c r="H1181" s="3" t="str">
        <f>_xlfn.IFNA(INDEX(FieldDisagreements!C2:C999, MATCH(C1181,FieldDisagreements!A2:A999, 0)), "")</f>
        <v>effortless-golang</v>
      </c>
      <c r="I1181" s="3" t="str">
        <f>_xlfn.IFNA(INDEX(FieldDisagreements!D2:D999, MATCH(C1181,FieldDisagreements!A2:A999, 0)), "")</f>
        <v>MessageDeliveries.AgeDays</v>
      </c>
      <c r="J1181" s="2" t="s">
        <v>1906</v>
      </c>
    </row>
    <row r="1182">
      <c r="A1182" s="2" t="s">
        <v>16432</v>
      </c>
      <c r="B1182" s="3" t="str">
        <f>_xlfn.CONCAT(C1182, " @ ", D1182)</f>
        <v>effortless-golang|MessageDeliveries.SegmentCount @ md-001</v>
      </c>
      <c r="C1182" s="2" t="s">
        <v>14841</v>
      </c>
      <c r="D1182" s="2" t="s">
        <v>8234</v>
      </c>
      <c r="E1182" s="2" t="s">
        <v>15036</v>
      </c>
      <c r="F1182" s="2" t="s">
        <v>37</v>
      </c>
      <c r="G1182" s="2" t="s">
        <v>14591</v>
      </c>
      <c r="H1182" s="3" t="str">
        <f>_xlfn.IFNA(INDEX(FieldDisagreements!C2:C999, MATCH(C1182,FieldDisagreements!A2:A999, 0)), "")</f>
        <v>effortless-golang</v>
      </c>
      <c r="I1182" s="3" t="str">
        <f>_xlfn.IFNA(INDEX(FieldDisagreements!D2:D999, MATCH(C1182,FieldDisagreements!A2:A999, 0)), "")</f>
        <v>MessageDeliveries.SegmentCount</v>
      </c>
      <c r="J1182" s="2" t="s">
        <v>1906</v>
      </c>
    </row>
    <row r="1183">
      <c r="A1183" s="2" t="s">
        <v>16433</v>
      </c>
      <c r="B1183" s="3" t="str">
        <f>_xlfn.CONCAT(C1183, " @ ", D1183)</f>
        <v>effortless-golang|MessageDeliveries.SegmentCount @ md-002</v>
      </c>
      <c r="C1183" s="2" t="s">
        <v>14841</v>
      </c>
      <c r="D1183" s="2" t="s">
        <v>8238</v>
      </c>
      <c r="E1183" s="2" t="s">
        <v>15036</v>
      </c>
      <c r="F1183" s="2" t="s">
        <v>37</v>
      </c>
      <c r="G1183" s="2" t="s">
        <v>14591</v>
      </c>
      <c r="H1183" s="3" t="str">
        <f>_xlfn.IFNA(INDEX(FieldDisagreements!C2:C999, MATCH(C1183,FieldDisagreements!A2:A999, 0)), "")</f>
        <v>effortless-golang</v>
      </c>
      <c r="I1183" s="3" t="str">
        <f>_xlfn.IFNA(INDEX(FieldDisagreements!D2:D999, MATCH(C1183,FieldDisagreements!A2:A999, 0)), "")</f>
        <v>MessageDeliveries.SegmentCount</v>
      </c>
      <c r="J1183" s="2" t="s">
        <v>1906</v>
      </c>
    </row>
    <row r="1184">
      <c r="A1184" s="2" t="s">
        <v>16434</v>
      </c>
      <c r="B1184" s="3" t="str">
        <f>_xlfn.CONCAT(C1184, " @ ", D1184)</f>
        <v>effortless-golang|MessageDeliveries.SegmentCount @ md-003</v>
      </c>
      <c r="C1184" s="2" t="s">
        <v>14841</v>
      </c>
      <c r="D1184" s="2" t="s">
        <v>8239</v>
      </c>
      <c r="E1184" s="2" t="s">
        <v>15036</v>
      </c>
      <c r="F1184" s="2" t="s">
        <v>37</v>
      </c>
      <c r="G1184" s="2" t="s">
        <v>14591</v>
      </c>
      <c r="H1184" s="3" t="str">
        <f>_xlfn.IFNA(INDEX(FieldDisagreements!C2:C999, MATCH(C1184,FieldDisagreements!A2:A999, 0)), "")</f>
        <v>effortless-golang</v>
      </c>
      <c r="I1184" s="3" t="str">
        <f>_xlfn.IFNA(INDEX(FieldDisagreements!D2:D999, MATCH(C1184,FieldDisagreements!A2:A999, 0)), "")</f>
        <v>MessageDeliveries.SegmentCount</v>
      </c>
      <c r="J1184" s="2" t="s">
        <v>1906</v>
      </c>
    </row>
    <row r="1185">
      <c r="A1185" s="2" t="s">
        <v>16435</v>
      </c>
      <c r="B1185" s="3" t="str">
        <f>_xlfn.CONCAT(C1185, " @ ", D1185)</f>
        <v>effortless-golang|MessageDeliveries.SegmentCount @ md-004</v>
      </c>
      <c r="C1185" s="2" t="s">
        <v>14841</v>
      </c>
      <c r="D1185" s="2" t="s">
        <v>8241</v>
      </c>
      <c r="E1185" s="2" t="s">
        <v>15036</v>
      </c>
      <c r="F1185" s="2" t="s">
        <v>37</v>
      </c>
      <c r="G1185" s="2" t="s">
        <v>14591</v>
      </c>
      <c r="H1185" s="3" t="str">
        <f>_xlfn.IFNA(INDEX(FieldDisagreements!C2:C999, MATCH(C1185,FieldDisagreements!A2:A999, 0)), "")</f>
        <v>effortless-golang</v>
      </c>
      <c r="I1185" s="3" t="str">
        <f>_xlfn.IFNA(INDEX(FieldDisagreements!D2:D999, MATCH(C1185,FieldDisagreements!A2:A999, 0)), "")</f>
        <v>MessageDeliveries.SegmentCount</v>
      </c>
      <c r="J1185" s="2" t="s">
        <v>1906</v>
      </c>
    </row>
    <row r="1186">
      <c r="A1186" s="2" t="s">
        <v>16436</v>
      </c>
      <c r="B1186" s="3" t="str">
        <f>_xlfn.CONCAT(C1186, " @ ", D1186)</f>
        <v>effortless-golang|MessageDeliveries.SegmentCount @ md-005</v>
      </c>
      <c r="C1186" s="2" t="s">
        <v>14841</v>
      </c>
      <c r="D1186" s="2" t="s">
        <v>8244</v>
      </c>
      <c r="E1186" s="2" t="s">
        <v>15036</v>
      </c>
      <c r="F1186" s="2" t="s">
        <v>37</v>
      </c>
      <c r="G1186" s="2" t="s">
        <v>14591</v>
      </c>
      <c r="H1186" s="3" t="str">
        <f>_xlfn.IFNA(INDEX(FieldDisagreements!C2:C999, MATCH(C1186,FieldDisagreements!A2:A999, 0)), "")</f>
        <v>effortless-golang</v>
      </c>
      <c r="I1186" s="3" t="str">
        <f>_xlfn.IFNA(INDEX(FieldDisagreements!D2:D999, MATCH(C1186,FieldDisagreements!A2:A999, 0)), "")</f>
        <v>MessageDeliveries.SegmentCount</v>
      </c>
      <c r="J1186" s="2" t="s">
        <v>1906</v>
      </c>
    </row>
    <row r="1187">
      <c r="A1187" s="2" t="s">
        <v>16437</v>
      </c>
      <c r="B1187" s="3" t="str">
        <f>_xlfn.CONCAT(C1187, " @ ", D1187)</f>
        <v>effortless-golang|MessageDeliveries.SegmentCount @ md-006</v>
      </c>
      <c r="C1187" s="2" t="s">
        <v>14841</v>
      </c>
      <c r="D1187" s="2" t="s">
        <v>8247</v>
      </c>
      <c r="E1187" s="2" t="s">
        <v>15036</v>
      </c>
      <c r="F1187" s="2" t="s">
        <v>37</v>
      </c>
      <c r="G1187" s="2" t="s">
        <v>14591</v>
      </c>
      <c r="H1187" s="3" t="str">
        <f>_xlfn.IFNA(INDEX(FieldDisagreements!C2:C999, MATCH(C1187,FieldDisagreements!A2:A999, 0)), "")</f>
        <v>effortless-golang</v>
      </c>
      <c r="I1187" s="3" t="str">
        <f>_xlfn.IFNA(INDEX(FieldDisagreements!D2:D999, MATCH(C1187,FieldDisagreements!A2:A999, 0)), "")</f>
        <v>MessageDeliveries.SegmentCount</v>
      </c>
      <c r="J1187" s="2" t="s">
        <v>1906</v>
      </c>
    </row>
    <row r="1188">
      <c r="A1188" s="2" t="s">
        <v>16438</v>
      </c>
      <c r="B1188" s="3" t="str">
        <f>_xlfn.CONCAT(C1188, " @ ", D1188)</f>
        <v>effortless-golang|MessageDeliveries.OutstandingAgeDays @ md-002</v>
      </c>
      <c r="C1188" s="2" t="s">
        <v>14842</v>
      </c>
      <c r="D1188" s="2" t="s">
        <v>8238</v>
      </c>
      <c r="E1188" s="2" t="s">
        <v>935</v>
      </c>
      <c r="F1188" s="2" t="s">
        <v>37</v>
      </c>
      <c r="G1188" s="2" t="s">
        <v>14591</v>
      </c>
      <c r="H1188" s="3" t="str">
        <f>_xlfn.IFNA(INDEX(FieldDisagreements!C2:C999, MATCH(C1188,FieldDisagreements!A2:A999, 0)), "")</f>
        <v>effortless-golang</v>
      </c>
      <c r="I1188" s="3" t="str">
        <f>_xlfn.IFNA(INDEX(FieldDisagreements!D2:D999, MATCH(C1188,FieldDisagreements!A2:A999, 0)), "")</f>
        <v>MessageDeliveries.OutstandingAgeDays</v>
      </c>
      <c r="J1188" s="2" t="s">
        <v>1906</v>
      </c>
    </row>
    <row r="1189">
      <c r="A1189" s="2" t="s">
        <v>16439</v>
      </c>
      <c r="B1189" s="3" t="str">
        <f>_xlfn.CONCAT(C1189, " @ ", D1189)</f>
        <v>effortless-golang|MessageDeliveries.OutstandingAgeDays @ md-003</v>
      </c>
      <c r="C1189" s="2" t="s">
        <v>14842</v>
      </c>
      <c r="D1189" s="2" t="s">
        <v>8239</v>
      </c>
      <c r="E1189" s="2" t="s">
        <v>935</v>
      </c>
      <c r="F1189" s="2" t="s">
        <v>37</v>
      </c>
      <c r="G1189" s="2" t="s">
        <v>14591</v>
      </c>
      <c r="H1189" s="3" t="str">
        <f>_xlfn.IFNA(INDEX(FieldDisagreements!C2:C999, MATCH(C1189,FieldDisagreements!A2:A999, 0)), "")</f>
        <v>effortless-golang</v>
      </c>
      <c r="I1189" s="3" t="str">
        <f>_xlfn.IFNA(INDEX(FieldDisagreements!D2:D999, MATCH(C1189,FieldDisagreements!A2:A999, 0)), "")</f>
        <v>MessageDeliveries.OutstandingAgeDays</v>
      </c>
      <c r="J1189" s="2" t="s">
        <v>1906</v>
      </c>
    </row>
    <row r="1190">
      <c r="A1190" s="2" t="s">
        <v>16440</v>
      </c>
      <c r="B1190" s="3" t="str">
        <f>_xlfn.CONCAT(C1190, " @ ", D1190)</f>
        <v>effortless-golang|MessageDeliveries.OutstandingAgeDays @ md-005</v>
      </c>
      <c r="C1190" s="2" t="s">
        <v>14842</v>
      </c>
      <c r="D1190" s="2" t="s">
        <v>8244</v>
      </c>
      <c r="E1190" s="2" t="s">
        <v>935</v>
      </c>
      <c r="F1190" s="2" t="s">
        <v>37</v>
      </c>
      <c r="G1190" s="2" t="s">
        <v>14591</v>
      </c>
      <c r="H1190" s="3" t="str">
        <f>_xlfn.IFNA(INDEX(FieldDisagreements!C2:C999, MATCH(C1190,FieldDisagreements!A2:A999, 0)), "")</f>
        <v>effortless-golang</v>
      </c>
      <c r="I1190" s="3" t="str">
        <f>_xlfn.IFNA(INDEX(FieldDisagreements!D2:D999, MATCH(C1190,FieldDisagreements!A2:A999, 0)), "")</f>
        <v>MessageDeliveries.OutstandingAgeDays</v>
      </c>
      <c r="J1190" s="2" t="s">
        <v>1906</v>
      </c>
    </row>
    <row r="1191">
      <c r="A1191" s="2" t="s">
        <v>16441</v>
      </c>
      <c r="B1191" s="3" t="str">
        <f>_xlfn.CONCAT(C1191, " @ ", D1191)</f>
        <v>effortless-golang|MessageDeliveries.OptOutPhrasePosition @ md-003</v>
      </c>
      <c r="C1191" s="2" t="s">
        <v>14843</v>
      </c>
      <c r="D1191" s="2" t="s">
        <v>8239</v>
      </c>
      <c r="E1191" s="2" t="s">
        <v>15035</v>
      </c>
      <c r="F1191" s="2" t="s">
        <v>15185</v>
      </c>
      <c r="G1191" s="2" t="s">
        <v>14591</v>
      </c>
      <c r="H1191" s="3" t="str">
        <f>_xlfn.IFNA(INDEX(FieldDisagreements!C2:C999, MATCH(C1191,FieldDisagreements!A2:A999, 0)), "")</f>
        <v>effortless-golang</v>
      </c>
      <c r="I1191" s="3" t="str">
        <f>_xlfn.IFNA(INDEX(FieldDisagreements!D2:D999, MATCH(C1191,FieldDisagreements!A2:A999, 0)), "")</f>
        <v>MessageDeliveries.OptOutPhrasePosition</v>
      </c>
      <c r="J1191" s="2" t="s">
        <v>1906</v>
      </c>
    </row>
    <row r="1192">
      <c r="A1192" s="2" t="s">
        <v>16442</v>
      </c>
      <c r="B1192" s="3" t="str">
        <f>_xlfn.CONCAT(C1192, " @ ", D1192)</f>
        <v>effortless-golang|MessageDeliveries.OptOutPhrasePosition @ md-004</v>
      </c>
      <c r="C1192" s="2" t="s">
        <v>14843</v>
      </c>
      <c r="D1192" s="2" t="s">
        <v>8241</v>
      </c>
      <c r="E1192" s="2" t="s">
        <v>15035</v>
      </c>
      <c r="F1192" s="2" t="s">
        <v>15185</v>
      </c>
      <c r="G1192" s="2" t="s">
        <v>14591</v>
      </c>
      <c r="H1192" s="3" t="str">
        <f>_xlfn.IFNA(INDEX(FieldDisagreements!C2:C999, MATCH(C1192,FieldDisagreements!A2:A999, 0)), "")</f>
        <v>effortless-golang</v>
      </c>
      <c r="I1192" s="3" t="str">
        <f>_xlfn.IFNA(INDEX(FieldDisagreements!D2:D999, MATCH(C1192,FieldDisagreements!A2:A999, 0)), "")</f>
        <v>MessageDeliveries.OptOutPhrasePosition</v>
      </c>
      <c r="J1192" s="2" t="s">
        <v>1906</v>
      </c>
    </row>
    <row r="1193">
      <c r="A1193" s="2" t="s">
        <v>16443</v>
      </c>
      <c r="B1193" s="3" t="str">
        <f>_xlfn.CONCAT(C1193, " @ ", D1193)</f>
        <v>effortless-golang|MessageDeliveries.OptOutPhrasePosition @ md-006</v>
      </c>
      <c r="C1193" s="2" t="s">
        <v>14843</v>
      </c>
      <c r="D1193" s="2" t="s">
        <v>8247</v>
      </c>
      <c r="E1193" s="2" t="s">
        <v>15035</v>
      </c>
      <c r="F1193" s="2" t="s">
        <v>15185</v>
      </c>
      <c r="G1193" s="2" t="s">
        <v>14591</v>
      </c>
      <c r="H1193" s="3" t="str">
        <f>_xlfn.IFNA(INDEX(FieldDisagreements!C2:C999, MATCH(C1193,FieldDisagreements!A2:A999, 0)), "")</f>
        <v>effortless-golang</v>
      </c>
      <c r="I1193" s="3" t="str">
        <f>_xlfn.IFNA(INDEX(FieldDisagreements!D2:D999, MATCH(C1193,FieldDisagreements!A2:A999, 0)), "")</f>
        <v>MessageDeliveries.OptOutPhrasePosition</v>
      </c>
      <c r="J1193" s="2" t="s">
        <v>1906</v>
      </c>
    </row>
    <row r="1194">
      <c r="A1194" s="2" t="s">
        <v>16444</v>
      </c>
      <c r="B1194" s="3" t="str">
        <f>_xlfn.CONCAT(C1194, " @ ", D1194)</f>
        <v>effortless-golang|TemplateApprovals.Name @ tap-email-001</v>
      </c>
      <c r="C1194" s="2" t="s">
        <v>14844</v>
      </c>
      <c r="D1194" s="2" t="s">
        <v>1729</v>
      </c>
      <c r="E1194" s="2" t="s">
        <v>15189</v>
      </c>
      <c r="F1194" s="2" t="s">
        <v>15190</v>
      </c>
      <c r="G1194" s="2" t="s">
        <v>14591</v>
      </c>
      <c r="H1194" s="3" t="str">
        <f>_xlfn.IFNA(INDEX(FieldDisagreements!C2:C999, MATCH(C1194,FieldDisagreements!A2:A999, 0)), "")</f>
        <v>effortless-golang</v>
      </c>
      <c r="I1194" s="3" t="str">
        <f>_xlfn.IFNA(INDEX(FieldDisagreements!D2:D999, MATCH(C1194,FieldDisagreements!A2:A999, 0)), "")</f>
        <v>TemplateApprovals.Name</v>
      </c>
      <c r="J1194" s="2" t="s">
        <v>1906</v>
      </c>
    </row>
    <row r="1195">
      <c r="A1195" s="2" t="s">
        <v>16445</v>
      </c>
      <c r="B1195" s="3" t="str">
        <f>_xlfn.CONCAT(C1195, " @ ", D1195)</f>
        <v>effortless-golang|TemplateApprovals.Name @ tap-sms-001</v>
      </c>
      <c r="C1195" s="2" t="s">
        <v>14844</v>
      </c>
      <c r="D1195" s="2" t="s">
        <v>1733</v>
      </c>
      <c r="E1195" s="2" t="s">
        <v>15192</v>
      </c>
      <c r="F1195" s="2" t="s">
        <v>15193</v>
      </c>
      <c r="G1195" s="2" t="s">
        <v>14591</v>
      </c>
      <c r="H1195" s="3" t="str">
        <f>_xlfn.IFNA(INDEX(FieldDisagreements!C2:C999, MATCH(C1195,FieldDisagreements!A2:A999, 0)), "")</f>
        <v>effortless-golang</v>
      </c>
      <c r="I1195" s="3" t="str">
        <f>_xlfn.IFNA(INDEX(FieldDisagreements!D2:D999, MATCH(C1195,FieldDisagreements!A2:A999, 0)), "")</f>
        <v>TemplateApprovals.Name</v>
      </c>
      <c r="J1195" s="2" t="s">
        <v>1906</v>
      </c>
    </row>
    <row r="1196">
      <c r="A1196" s="2" t="s">
        <v>16446</v>
      </c>
      <c r="B1196" s="3" t="str">
        <f>_xlfn.CONCAT(C1196, " @ ", D1196)</f>
        <v>effortless-golang|SendIntents.DeferralAgeHours @ si-001</v>
      </c>
      <c r="C1196" s="2" t="s">
        <v>14845</v>
      </c>
      <c r="D1196" s="2" t="s">
        <v>8253</v>
      </c>
      <c r="E1196" s="2" t="s">
        <v>15195</v>
      </c>
      <c r="F1196" s="2" t="s">
        <v>15196</v>
      </c>
      <c r="G1196" s="2" t="s">
        <v>14591</v>
      </c>
      <c r="H1196" s="3" t="str">
        <f>_xlfn.IFNA(INDEX(FieldDisagreements!C2:C999, MATCH(C1196,FieldDisagreements!A2:A999, 0)), "")</f>
        <v>effortless-golang</v>
      </c>
      <c r="I1196" s="3" t="str">
        <f>_xlfn.IFNA(INDEX(FieldDisagreements!D2:D999, MATCH(C1196,FieldDisagreements!A2:A999, 0)), "")</f>
        <v>SendIntents.DeferralAgeHours</v>
      </c>
      <c r="J1196" s="2" t="s">
        <v>1906</v>
      </c>
    </row>
    <row r="1197">
      <c r="A1197" s="2" t="s">
        <v>16447</v>
      </c>
      <c r="B1197" s="3" t="str">
        <f>_xlfn.CONCAT(C1197, " @ ", D1197)</f>
        <v>effortless-golang|SendIntents.DeferralAgeHours @ si-002</v>
      </c>
      <c r="C1197" s="2" t="s">
        <v>14845</v>
      </c>
      <c r="D1197" s="2" t="s">
        <v>8256</v>
      </c>
      <c r="E1197" s="2" t="s">
        <v>15195</v>
      </c>
      <c r="F1197" s="2" t="s">
        <v>15196</v>
      </c>
      <c r="G1197" s="2" t="s">
        <v>14591</v>
      </c>
      <c r="H1197" s="3" t="str">
        <f>_xlfn.IFNA(INDEX(FieldDisagreements!C2:C999, MATCH(C1197,FieldDisagreements!A2:A999, 0)), "")</f>
        <v>effortless-golang</v>
      </c>
      <c r="I1197" s="3" t="str">
        <f>_xlfn.IFNA(INDEX(FieldDisagreements!D2:D999, MATCH(C1197,FieldDisagreements!A2:A999, 0)), "")</f>
        <v>SendIntents.DeferralAgeHours</v>
      </c>
      <c r="J1197" s="2" t="s">
        <v>1906</v>
      </c>
    </row>
    <row r="1198">
      <c r="A1198" s="2" t="s">
        <v>16448</v>
      </c>
      <c r="B1198" s="3" t="str">
        <f>_xlfn.CONCAT(C1198, " @ ", D1198)</f>
        <v>effortless-golang|SendIntents.DeferralAgeHours @ si-003</v>
      </c>
      <c r="C1198" s="2" t="s">
        <v>14845</v>
      </c>
      <c r="D1198" s="2" t="s">
        <v>8257</v>
      </c>
      <c r="E1198" s="2" t="s">
        <v>15195</v>
      </c>
      <c r="F1198" s="2" t="s">
        <v>15196</v>
      </c>
      <c r="G1198" s="2" t="s">
        <v>14591</v>
      </c>
      <c r="H1198" s="3" t="str">
        <f>_xlfn.IFNA(INDEX(FieldDisagreements!C2:C999, MATCH(C1198,FieldDisagreements!A2:A999, 0)), "")</f>
        <v>effortless-golang</v>
      </c>
      <c r="I1198" s="3" t="str">
        <f>_xlfn.IFNA(INDEX(FieldDisagreements!D2:D999, MATCH(C1198,FieldDisagreements!A2:A999, 0)), "")</f>
        <v>SendIntents.DeferralAgeHours</v>
      </c>
      <c r="J1198" s="2" t="s">
        <v>1906</v>
      </c>
    </row>
    <row r="1199">
      <c r="A1199" s="2" t="s">
        <v>16449</v>
      </c>
      <c r="B1199" s="3" t="str">
        <f>_xlfn.CONCAT(C1199, " @ ", D1199)</f>
        <v>effortless-golang|SendIntents.DeferralAgeHours @ si-004</v>
      </c>
      <c r="C1199" s="2" t="s">
        <v>14845</v>
      </c>
      <c r="D1199" s="2" t="s">
        <v>8258</v>
      </c>
      <c r="E1199" s="2" t="s">
        <v>15195</v>
      </c>
      <c r="F1199" s="2" t="s">
        <v>15196</v>
      </c>
      <c r="G1199" s="2" t="s">
        <v>14591</v>
      </c>
      <c r="H1199" s="3" t="str">
        <f>_xlfn.IFNA(INDEX(FieldDisagreements!C2:C999, MATCH(C1199,FieldDisagreements!A2:A999, 0)), "")</f>
        <v>effortless-golang</v>
      </c>
      <c r="I1199" s="3" t="str">
        <f>_xlfn.IFNA(INDEX(FieldDisagreements!D2:D999, MATCH(C1199,FieldDisagreements!A2:A999, 0)), "")</f>
        <v>SendIntents.DeferralAgeHours</v>
      </c>
      <c r="J1199" s="2" t="s">
        <v>1906</v>
      </c>
    </row>
    <row r="1200">
      <c r="A1200" s="2" t="s">
        <v>16450</v>
      </c>
      <c r="B1200" s="3" t="str">
        <f>_xlfn.CONCAT(C1200, " @ ", D1200)</f>
        <v>effortless-golang|SendIntents.DeferralAgeHours @ si-005</v>
      </c>
      <c r="C1200" s="2" t="s">
        <v>14845</v>
      </c>
      <c r="D1200" s="2" t="s">
        <v>8260</v>
      </c>
      <c r="E1200" s="2" t="s">
        <v>15195</v>
      </c>
      <c r="F1200" s="2" t="s">
        <v>15196</v>
      </c>
      <c r="G1200" s="2" t="s">
        <v>14591</v>
      </c>
      <c r="H1200" s="3" t="str">
        <f>_xlfn.IFNA(INDEX(FieldDisagreements!C2:C999, MATCH(C1200,FieldDisagreements!A2:A999, 0)), "")</f>
        <v>effortless-golang</v>
      </c>
      <c r="I1200" s="3" t="str">
        <f>_xlfn.IFNA(INDEX(FieldDisagreements!D2:D999, MATCH(C1200,FieldDisagreements!A2:A999, 0)), "")</f>
        <v>SendIntents.DeferralAgeHours</v>
      </c>
      <c r="J1200" s="2" t="s">
        <v>1906</v>
      </c>
    </row>
    <row r="1201">
      <c r="A1201" s="2" t="s">
        <v>16451</v>
      </c>
      <c r="B1201" s="3" t="str">
        <f>_xlfn.CONCAT(C1201, " @ ", D1201)</f>
        <v>effortless-golang|SendIntents.DeferralAgeHours @ si-006</v>
      </c>
      <c r="C1201" s="2" t="s">
        <v>14845</v>
      </c>
      <c r="D1201" s="2" t="s">
        <v>8262</v>
      </c>
      <c r="E1201" s="2" t="s">
        <v>15195</v>
      </c>
      <c r="F1201" s="2" t="s">
        <v>15196</v>
      </c>
      <c r="G1201" s="2" t="s">
        <v>14591</v>
      </c>
      <c r="H1201" s="3" t="str">
        <f>_xlfn.IFNA(INDEX(FieldDisagreements!C2:C999, MATCH(C1201,FieldDisagreements!A2:A999, 0)), "")</f>
        <v>effortless-golang</v>
      </c>
      <c r="I1201" s="3" t="str">
        <f>_xlfn.IFNA(INDEX(FieldDisagreements!D2:D999, MATCH(C1201,FieldDisagreements!A2:A999, 0)), "")</f>
        <v>SendIntents.DeferralAgeHours</v>
      </c>
      <c r="J1201" s="2" t="s">
        <v>1906</v>
      </c>
    </row>
    <row r="1202">
      <c r="A1202" s="2" t="s">
        <v>16452</v>
      </c>
      <c r="B1202" s="3" t="str">
        <f>_xlfn.CONCAT(C1202, " @ ", D1202)</f>
        <v>effortless-golang|SendIntents.DeferralAgeHours @ si-007</v>
      </c>
      <c r="C1202" s="2" t="s">
        <v>14845</v>
      </c>
      <c r="D1202" s="2" t="s">
        <v>8263</v>
      </c>
      <c r="E1202" s="2" t="s">
        <v>15195</v>
      </c>
      <c r="F1202" s="2" t="s">
        <v>15196</v>
      </c>
      <c r="G1202" s="2" t="s">
        <v>14591</v>
      </c>
      <c r="H1202" s="3" t="str">
        <f>_xlfn.IFNA(INDEX(FieldDisagreements!C2:C999, MATCH(C1202,FieldDisagreements!A2:A999, 0)), "")</f>
        <v>effortless-golang</v>
      </c>
      <c r="I1202" s="3" t="str">
        <f>_xlfn.IFNA(INDEX(FieldDisagreements!D2:D999, MATCH(C1202,FieldDisagreements!A2:A999, 0)), "")</f>
        <v>SendIntents.DeferralAgeHours</v>
      </c>
      <c r="J1202" s="2" t="s">
        <v>1906</v>
      </c>
    </row>
    <row r="1203">
      <c r="A1203" s="2" t="s">
        <v>16453</v>
      </c>
      <c r="B1203" s="3" t="str">
        <f>_xlfn.CONCAT(C1203, " @ ", D1203)</f>
        <v>effortless-golang|DeliveredCommunications.ContentMatchesApproval @ dc-hr4821-email-001</v>
      </c>
      <c r="C1203" s="2" t="s">
        <v>14846</v>
      </c>
      <c r="D1203" s="2" t="s">
        <v>8274</v>
      </c>
      <c r="E1203" s="2" t="s">
        <v>15035</v>
      </c>
      <c r="F1203" s="2" t="s">
        <v>15036</v>
      </c>
      <c r="G1203" s="2" t="s">
        <v>14591</v>
      </c>
      <c r="H1203" s="3" t="str">
        <f>_xlfn.IFNA(INDEX(FieldDisagreements!C2:C999, MATCH(C1203,FieldDisagreements!A2:A999, 0)), "")</f>
        <v>effortless-golang</v>
      </c>
      <c r="I1203" s="3" t="str">
        <f>_xlfn.IFNA(INDEX(FieldDisagreements!D2:D999, MATCH(C1203,FieldDisagreements!A2:A999, 0)), "")</f>
        <v>DeliveredCommunications.ContentMatchesApproval</v>
      </c>
      <c r="J1203" s="2" t="s">
        <v>1906</v>
      </c>
    </row>
    <row r="1204">
      <c r="A1204" s="2" t="s">
        <v>16454</v>
      </c>
      <c r="B1204" s="3" t="str">
        <f>_xlfn.CONCAT(C1204, " @ ", D1204)</f>
        <v>effortless-golang|ProcessMiningRuns.Name @ pmr-close-v10-archived</v>
      </c>
      <c r="C1204" s="2" t="s">
        <v>14847</v>
      </c>
      <c r="D1204" s="2" t="s">
        <v>13897</v>
      </c>
      <c r="E1204" s="2" t="s">
        <v>15205</v>
      </c>
      <c r="F1204" s="2" t="s">
        <v>16339</v>
      </c>
      <c r="G1204" s="2" t="s">
        <v>14591</v>
      </c>
      <c r="H1204" s="3" t="str">
        <f>_xlfn.IFNA(INDEX(FieldDisagreements!C2:C999, MATCH(C1204,FieldDisagreements!A2:A999, 0)), "")</f>
        <v>effortless-golang</v>
      </c>
      <c r="I1204" s="3" t="str">
        <f>_xlfn.IFNA(INDEX(FieldDisagreements!D2:D999, MATCH(C1204,FieldDisagreements!A2:A999, 0)), "")</f>
        <v>ProcessMiningRuns.Name</v>
      </c>
      <c r="J1204" s="2" t="s">
        <v>1906</v>
      </c>
    </row>
    <row r="1205">
      <c r="A1205" s="2" t="s">
        <v>16455</v>
      </c>
      <c r="B1205" s="3" t="str">
        <f>_xlfn.CONCAT(C1205, " @ ", D1205)</f>
        <v>effortless-golang|ProcessMiningRuns.Name @ pmr-close-v11-cutoff-bypass</v>
      </c>
      <c r="C1205" s="2" t="s">
        <v>14847</v>
      </c>
      <c r="D1205" s="2" t="s">
        <v>13893</v>
      </c>
      <c r="E1205" s="2" t="s">
        <v>15208</v>
      </c>
      <c r="F1205" s="2" t="s">
        <v>15209</v>
      </c>
      <c r="G1205" s="2" t="s">
        <v>14591</v>
      </c>
      <c r="H1205" s="3" t="str">
        <f>_xlfn.IFNA(INDEX(FieldDisagreements!C2:C999, MATCH(C1205,FieldDisagreements!A2:A999, 0)), "")</f>
        <v>effortless-golang</v>
      </c>
      <c r="I1205" s="3" t="str">
        <f>_xlfn.IFNA(INDEX(FieldDisagreements!D2:D999, MATCH(C1205,FieldDisagreements!A2:A999, 0)), "")</f>
        <v>ProcessMiningRuns.Name</v>
      </c>
      <c r="J1205" s="2" t="s">
        <v>1906</v>
      </c>
    </row>
    <row r="1206">
      <c r="A1206" s="2" t="s">
        <v>16456</v>
      </c>
      <c r="B1206" s="3" t="str">
        <f>_xlfn.CONCAT(C1206, " @ ", D1206)</f>
        <v>effortless-golang|ProcessMiningRuns.Name @ pmr-close-v11-q3</v>
      </c>
      <c r="C1206" s="2" t="s">
        <v>14847</v>
      </c>
      <c r="D1206" s="2" t="s">
        <v>13890</v>
      </c>
      <c r="E1206" s="2" t="s">
        <v>15211</v>
      </c>
      <c r="F1206" s="2" t="s">
        <v>15212</v>
      </c>
      <c r="G1206" s="2" t="s">
        <v>14591</v>
      </c>
      <c r="H1206" s="3" t="str">
        <f>_xlfn.IFNA(INDEX(FieldDisagreements!C2:C999, MATCH(C1206,FieldDisagreements!A2:A999, 0)), "")</f>
        <v>effortless-golang</v>
      </c>
      <c r="I1206" s="3" t="str">
        <f>_xlfn.IFNA(INDEX(FieldDisagreements!D2:D999, MATCH(C1206,FieldDisagreements!A2:A999, 0)), "")</f>
        <v>ProcessMiningRuns.Name</v>
      </c>
      <c r="J1206" s="2" t="s">
        <v>1906</v>
      </c>
    </row>
    <row r="1207">
      <c r="A1207" s="2" t="s">
        <v>16457</v>
      </c>
      <c r="B1207" s="3" t="str">
        <f>_xlfn.CONCAT(C1207, " @ ", D1207)</f>
        <v>effortless-golang|ProcessMiningRuns.Name @ pmr-policy-v1-notify</v>
      </c>
      <c r="C1207" s="2" t="s">
        <v>14847</v>
      </c>
      <c r="D1207" s="2" t="s">
        <v>13895</v>
      </c>
      <c r="E1207" s="2" t="s">
        <v>15214</v>
      </c>
      <c r="F1207" s="2" t="s">
        <v>16343</v>
      </c>
      <c r="G1207" s="2" t="s">
        <v>14591</v>
      </c>
      <c r="H1207" s="3" t="str">
        <f>_xlfn.IFNA(INDEX(FieldDisagreements!C2:C999, MATCH(C1207,FieldDisagreements!A2:A999, 0)), "")</f>
        <v>effortless-golang</v>
      </c>
      <c r="I1207" s="3" t="str">
        <f>_xlfn.IFNA(INDEX(FieldDisagreements!D2:D999, MATCH(C1207,FieldDisagreements!A2:A999, 0)), "")</f>
        <v>ProcessMiningRuns.Name</v>
      </c>
      <c r="J1207" s="2" t="s">
        <v>1906</v>
      </c>
    </row>
    <row r="1208">
      <c r="A1208" s="2" t="s">
        <v>16458</v>
      </c>
      <c r="B1208" s="3" t="str">
        <f>_xlfn.CONCAT(C1208, " @ ", D1208)</f>
        <v>effortless-owl|RulebookReleases.Name @ erb-pko-1.0.0</v>
      </c>
      <c r="C1208" s="2" t="s">
        <v>14848</v>
      </c>
      <c r="D1208" s="2" t="s">
        <v>11</v>
      </c>
      <c r="E1208" s="2" t="s">
        <v>16459</v>
      </c>
      <c r="F1208" s="2" t="s">
        <v>15036</v>
      </c>
      <c r="G1208" s="2" t="s">
        <v>14591</v>
      </c>
      <c r="H1208" s="3" t="str">
        <f>_xlfn.IFNA(INDEX(FieldDisagreements!C2:C999, MATCH(C1208,FieldDisagreements!A2:A999, 0)), "")</f>
        <v>effortless-owl</v>
      </c>
      <c r="I1208" s="3" t="str">
        <f>_xlfn.IFNA(INDEX(FieldDisagreements!D2:D999, MATCH(C1208,FieldDisagreements!A2:A999, 0)), "")</f>
        <v>RulebookReleases.Name</v>
      </c>
      <c r="J1208" s="2" t="s">
        <v>1906</v>
      </c>
    </row>
    <row r="1209">
      <c r="A1209" s="2" t="s">
        <v>16460</v>
      </c>
      <c r="B1209" s="3" t="str">
        <f>_xlfn.CONCAT(C1209, " @ ", D1209)</f>
        <v>effortless-owl|RoleAssignments.QualityVerdictIsUnsupported @ ra-authority-2026</v>
      </c>
      <c r="C1209" s="2" t="s">
        <v>14849</v>
      </c>
      <c r="D1209" s="2" t="s">
        <v>251</v>
      </c>
      <c r="E1209" s="2" t="s">
        <v>15035</v>
      </c>
      <c r="F1209" s="2" t="s">
        <v>15036</v>
      </c>
      <c r="G1209" s="2" t="s">
        <v>14591</v>
      </c>
      <c r="H1209" s="3" t="str">
        <f>_xlfn.IFNA(INDEX(FieldDisagreements!C2:C999, MATCH(C1209,FieldDisagreements!A2:A999, 0)), "")</f>
        <v>effortless-owl</v>
      </c>
      <c r="I1209" s="3" t="str">
        <f>_xlfn.IFNA(INDEX(FieldDisagreements!D2:D999, MATCH(C1209,FieldDisagreements!A2:A999, 0)), "")</f>
        <v>RoleAssignments.QualityVerdictIsUnsupported</v>
      </c>
      <c r="J1209" s="2" t="s">
        <v>1906</v>
      </c>
    </row>
    <row r="1210">
      <c r="A1210" s="2" t="s">
        <v>16461</v>
      </c>
      <c r="B1210" s="3" t="str">
        <f>_xlfn.CONCAT(C1210, " @ ", D1210)</f>
        <v>effortless-owl|RoleAssignments.QualityVerdictIsUnsupported @ ra-cfo-2026</v>
      </c>
      <c r="C1210" s="2" t="s">
        <v>14849</v>
      </c>
      <c r="D1210" s="2" t="s">
        <v>215</v>
      </c>
      <c r="E1210" s="2" t="s">
        <v>15035</v>
      </c>
      <c r="F1210" s="2" t="s">
        <v>15036</v>
      </c>
      <c r="G1210" s="2" t="s">
        <v>14591</v>
      </c>
      <c r="H1210" s="3" t="str">
        <f>_xlfn.IFNA(INDEX(FieldDisagreements!C2:C999, MATCH(C1210,FieldDisagreements!A2:A999, 0)), "")</f>
        <v>effortless-owl</v>
      </c>
      <c r="I1210" s="3" t="str">
        <f>_xlfn.IFNA(INDEX(FieldDisagreements!D2:D999, MATCH(C1210,FieldDisagreements!A2:A999, 0)), "")</f>
        <v>RoleAssignments.QualityVerdictIsUnsupported</v>
      </c>
      <c r="J1210" s="2" t="s">
        <v>1906</v>
      </c>
    </row>
    <row r="1211">
      <c r="A1211" s="2" t="s">
        <v>16462</v>
      </c>
      <c r="B1211" s="3" t="str">
        <f>_xlfn.CONCAT(C1211, " @ ", D1211)</f>
        <v>effortless-owl|RoleAssignments.QualityVerdictIsUnsupported @ ra-close-pipeline-2026</v>
      </c>
      <c r="C1211" s="2" t="s">
        <v>14849</v>
      </c>
      <c r="D1211" s="2" t="s">
        <v>231</v>
      </c>
      <c r="E1211" s="2" t="s">
        <v>15035</v>
      </c>
      <c r="F1211" s="2" t="s">
        <v>15036</v>
      </c>
      <c r="G1211" s="2" t="s">
        <v>14591</v>
      </c>
      <c r="H1211" s="3" t="str">
        <f>_xlfn.IFNA(INDEX(FieldDisagreements!C2:C999, MATCH(C1211,FieldDisagreements!A2:A999, 0)), "")</f>
        <v>effortless-owl</v>
      </c>
      <c r="I1211" s="3" t="str">
        <f>_xlfn.IFNA(INDEX(FieldDisagreements!D2:D999, MATCH(C1211,FieldDisagreements!A2:A999, 0)), "")</f>
        <v>RoleAssignments.QualityVerdictIsUnsupported</v>
      </c>
      <c r="J1211" s="2" t="s">
        <v>1906</v>
      </c>
    </row>
    <row r="1212">
      <c r="A1212" s="2" t="s">
        <v>16463</v>
      </c>
      <c r="B1212" s="3" t="str">
        <f>_xlfn.CONCAT(C1212, " @ ", D1212)</f>
        <v>effortless-owl|RoleAssignments.QualityVerdictIsUnsupported @ ra-comms-2026</v>
      </c>
      <c r="C1212" s="2" t="s">
        <v>14849</v>
      </c>
      <c r="D1212" s="2" t="s">
        <v>227</v>
      </c>
      <c r="E1212" s="2" t="s">
        <v>15035</v>
      </c>
      <c r="F1212" s="2" t="s">
        <v>15036</v>
      </c>
      <c r="G1212" s="2" t="s">
        <v>14591</v>
      </c>
      <c r="H1212" s="3" t="str">
        <f>_xlfn.IFNA(INDEX(FieldDisagreements!C2:C999, MATCH(C1212,FieldDisagreements!A2:A999, 0)), "")</f>
        <v>effortless-owl</v>
      </c>
      <c r="I1212" s="3" t="str">
        <f>_xlfn.IFNA(INDEX(FieldDisagreements!D2:D999, MATCH(C1212,FieldDisagreements!A2:A999, 0)), "")</f>
        <v>RoleAssignments.QualityVerdictIsUnsupported</v>
      </c>
      <c r="J1212" s="2" t="s">
        <v>1906</v>
      </c>
    </row>
    <row r="1213">
      <c r="A1213" s="2" t="s">
        <v>16464</v>
      </c>
      <c r="B1213" s="3" t="str">
        <f>_xlfn.CONCAT(C1213, " @ ", D1213)</f>
        <v>effortless-owl|RoleAssignments.QualityVerdictIsUnsupported @ ra-controller-2026</v>
      </c>
      <c r="C1213" s="2" t="s">
        <v>14849</v>
      </c>
      <c r="D1213" s="2" t="s">
        <v>211</v>
      </c>
      <c r="E1213" s="2" t="s">
        <v>15035</v>
      </c>
      <c r="F1213" s="2" t="s">
        <v>15036</v>
      </c>
      <c r="G1213" s="2" t="s">
        <v>14591</v>
      </c>
      <c r="H1213" s="3" t="str">
        <f>_xlfn.IFNA(INDEX(FieldDisagreements!C2:C999, MATCH(C1213,FieldDisagreements!A2:A999, 0)), "")</f>
        <v>effortless-owl</v>
      </c>
      <c r="I1213" s="3" t="str">
        <f>_xlfn.IFNA(INDEX(FieldDisagreements!D2:D999, MATCH(C1213,FieldDisagreements!A2:A999, 0)), "")</f>
        <v>RoleAssignments.QualityVerdictIsUnsupported</v>
      </c>
      <c r="J1213" s="2" t="s">
        <v>1906</v>
      </c>
    </row>
    <row r="1214">
      <c r="A1214" s="2" t="s">
        <v>16465</v>
      </c>
      <c r="B1214" s="3" t="str">
        <f>_xlfn.CONCAT(C1214, " @ ", D1214)</f>
        <v>effortless-owl|RoleAssignments.QualityVerdictIsUnsupported @ ra-counsel-2026</v>
      </c>
      <c r="C1214" s="2" t="s">
        <v>14849</v>
      </c>
      <c r="D1214" s="2" t="s">
        <v>223</v>
      </c>
      <c r="E1214" s="2" t="s">
        <v>15035</v>
      </c>
      <c r="F1214" s="2" t="s">
        <v>15036</v>
      </c>
      <c r="G1214" s="2" t="s">
        <v>14591</v>
      </c>
      <c r="H1214" s="3" t="str">
        <f>_xlfn.IFNA(INDEX(FieldDisagreements!C2:C999, MATCH(C1214,FieldDisagreements!A2:A999, 0)), "")</f>
        <v>effortless-owl</v>
      </c>
      <c r="I1214" s="3" t="str">
        <f>_xlfn.IFNA(INDEX(FieldDisagreements!D2:D999, MATCH(C1214,FieldDisagreements!A2:A999, 0)), "")</f>
        <v>RoleAssignments.QualityVerdictIsUnsupported</v>
      </c>
      <c r="J1214" s="2" t="s">
        <v>1906</v>
      </c>
    </row>
    <row r="1215">
      <c r="A1215" s="2" t="s">
        <v>16466</v>
      </c>
      <c r="B1215" s="3" t="str">
        <f>_xlfn.CONCAT(C1215, " @ ", D1215)</f>
        <v>effortless-owl|RoleAssignments.QualityVerdictIsUnsupported @ ra-finance-2026</v>
      </c>
      <c r="C1215" s="2" t="s">
        <v>14849</v>
      </c>
      <c r="D1215" s="2" t="s">
        <v>206</v>
      </c>
      <c r="E1215" s="2" t="s">
        <v>15035</v>
      </c>
      <c r="F1215" s="2" t="s">
        <v>15036</v>
      </c>
      <c r="G1215" s="2" t="s">
        <v>14591</v>
      </c>
      <c r="H1215" s="3" t="str">
        <f>_xlfn.IFNA(INDEX(FieldDisagreements!C2:C999, MATCH(C1215,FieldDisagreements!A2:A999, 0)), "")</f>
        <v>effortless-owl</v>
      </c>
      <c r="I1215" s="3" t="str">
        <f>_xlfn.IFNA(INDEX(FieldDisagreements!D2:D999, MATCH(C1215,FieldDisagreements!A2:A999, 0)), "")</f>
        <v>RoleAssignments.QualityVerdictIsUnsupported</v>
      </c>
      <c r="J1215" s="2" t="s">
        <v>1906</v>
      </c>
    </row>
    <row r="1216">
      <c r="A1216" s="2" t="s">
        <v>16467</v>
      </c>
      <c r="B1216" s="3" t="str">
        <f>_xlfn.CONCAT(C1216, " @ ", D1216)</f>
        <v>effortless-owl|RoleAssignments.QualityVerdictIsUnsupported @ ra-new-variance</v>
      </c>
      <c r="C1216" s="2" t="s">
        <v>14849</v>
      </c>
      <c r="D1216" s="2" t="s">
        <v>235</v>
      </c>
      <c r="E1216" s="2" t="s">
        <v>15035</v>
      </c>
      <c r="F1216" s="2" t="s">
        <v>15036</v>
      </c>
      <c r="G1216" s="2" t="s">
        <v>14591</v>
      </c>
      <c r="H1216" s="3" t="str">
        <f>_xlfn.IFNA(INDEX(FieldDisagreements!C2:C999, MATCH(C1216,FieldDisagreements!A2:A999, 0)), "")</f>
        <v>effortless-owl</v>
      </c>
      <c r="I1216" s="3" t="str">
        <f>_xlfn.IFNA(INDEX(FieldDisagreements!D2:D999, MATCH(C1216,FieldDisagreements!A2:A999, 0)), "")</f>
        <v>RoleAssignments.QualityVerdictIsUnsupported</v>
      </c>
      <c r="J1216" s="2" t="s">
        <v>1906</v>
      </c>
    </row>
    <row r="1217">
      <c r="A1217" s="2" t="s">
        <v>16468</v>
      </c>
      <c r="B1217" s="3" t="str">
        <f>_xlfn.CONCAT(C1217, " @ ", D1217)</f>
        <v>effortless-owl|RoleAssignments.QualityVerdictIsUnsupported @ ra-notify-pipeline-2026</v>
      </c>
      <c r="C1217" s="2" t="s">
        <v>14849</v>
      </c>
      <c r="D1217" s="2" t="s">
        <v>243</v>
      </c>
      <c r="E1217" s="2" t="s">
        <v>15035</v>
      </c>
      <c r="F1217" s="2" t="s">
        <v>15036</v>
      </c>
      <c r="G1217" s="2" t="s">
        <v>14591</v>
      </c>
      <c r="H1217" s="3" t="str">
        <f>_xlfn.IFNA(INDEX(FieldDisagreements!C2:C999, MATCH(C1217,FieldDisagreements!A2:A999, 0)), "")</f>
        <v>effortless-owl</v>
      </c>
      <c r="I1217" s="3" t="str">
        <f>_xlfn.IFNA(INDEX(FieldDisagreements!D2:D999, MATCH(C1217,FieldDisagreements!A2:A999, 0)), "")</f>
        <v>RoleAssignments.QualityVerdictIsUnsupported</v>
      </c>
      <c r="J1217" s="2" t="s">
        <v>1906</v>
      </c>
    </row>
    <row r="1218">
      <c r="A1218" s="2" t="s">
        <v>16469</v>
      </c>
      <c r="B1218" s="3" t="str">
        <f>_xlfn.CONCAT(C1218, " @ ", D1218)</f>
        <v>effortless-owl|RoleAssignments.QualityVerdictIsUnsupported @ ra-old-variance</v>
      </c>
      <c r="C1218" s="2" t="s">
        <v>14849</v>
      </c>
      <c r="D1218" s="2" t="s">
        <v>316</v>
      </c>
      <c r="E1218" s="2" t="s">
        <v>15035</v>
      </c>
      <c r="F1218" s="2" t="s">
        <v>15036</v>
      </c>
      <c r="G1218" s="2" t="s">
        <v>14591</v>
      </c>
      <c r="H1218" s="3" t="str">
        <f>_xlfn.IFNA(INDEX(FieldDisagreements!C2:C999, MATCH(C1218,FieldDisagreements!A2:A999, 0)), "")</f>
        <v>effortless-owl</v>
      </c>
      <c r="I1218" s="3" t="str">
        <f>_xlfn.IFNA(INDEX(FieldDisagreements!D2:D999, MATCH(C1218,FieldDisagreements!A2:A999, 0)), "")</f>
        <v>RoleAssignments.QualityVerdictIsUnsupported</v>
      </c>
      <c r="J1218" s="2" t="s">
        <v>1906</v>
      </c>
    </row>
    <row r="1219">
      <c r="A1219" s="2" t="s">
        <v>16470</v>
      </c>
      <c r="B1219" s="3" t="str">
        <f>_xlfn.CONCAT(C1219, " @ ", D1219)</f>
        <v>effortless-owl|RoleAssignments.QualityVerdictIsUnsupported @ ra-policy-ai-2026</v>
      </c>
      <c r="C1219" s="2" t="s">
        <v>14849</v>
      </c>
      <c r="D1219" s="2" t="s">
        <v>239</v>
      </c>
      <c r="E1219" s="2" t="s">
        <v>15035</v>
      </c>
      <c r="F1219" s="2" t="s">
        <v>15036</v>
      </c>
      <c r="G1219" s="2" t="s">
        <v>14591</v>
      </c>
      <c r="H1219" s="3" t="str">
        <f>_xlfn.IFNA(INDEX(FieldDisagreements!C2:C999, MATCH(C1219,FieldDisagreements!A2:A999, 0)), "")</f>
        <v>effortless-owl</v>
      </c>
      <c r="I1219" s="3" t="str">
        <f>_xlfn.IFNA(INDEX(FieldDisagreements!D2:D999, MATCH(C1219,FieldDisagreements!A2:A999, 0)), "")</f>
        <v>RoleAssignments.QualityVerdictIsUnsupported</v>
      </c>
      <c r="J1219" s="2" t="s">
        <v>1906</v>
      </c>
    </row>
    <row r="1220">
      <c r="A1220" s="2" t="s">
        <v>16471</v>
      </c>
      <c r="B1220" s="3" t="str">
        <f>_xlfn.CONCAT(C1220, " @ ", D1220)</f>
        <v>effortless-owl|RoleAssignments.QualityVerdictIsUnsupported @ ra-policy-owner-2026</v>
      </c>
      <c r="C1220" s="2" t="s">
        <v>14849</v>
      </c>
      <c r="D1220" s="2" t="s">
        <v>219</v>
      </c>
      <c r="E1220" s="2" t="s">
        <v>15035</v>
      </c>
      <c r="F1220" s="2" t="s">
        <v>15036</v>
      </c>
      <c r="G1220" s="2" t="s">
        <v>14591</v>
      </c>
      <c r="H1220" s="3" t="str">
        <f>_xlfn.IFNA(INDEX(FieldDisagreements!C2:C999, MATCH(C1220,FieldDisagreements!A2:A999, 0)), "")</f>
        <v>effortless-owl</v>
      </c>
      <c r="I1220" s="3" t="str">
        <f>_xlfn.IFNA(INDEX(FieldDisagreements!D2:D999, MATCH(C1220,FieldDisagreements!A2:A999, 0)), "")</f>
        <v>RoleAssignments.QualityVerdictIsUnsupported</v>
      </c>
      <c r="J1220" s="2" t="s">
        <v>1906</v>
      </c>
    </row>
    <row r="1221">
      <c r="A1221" s="2" t="s">
        <v>16472</v>
      </c>
      <c r="B1221" s="3" t="str">
        <f>_xlfn.CONCAT(C1221, " @ ", D1221)</f>
        <v>effortless-owl|RoleAssignments.QualityVerdictIsUnsupported @ ra-steward-2026</v>
      </c>
      <c r="C1221" s="2" t="s">
        <v>14849</v>
      </c>
      <c r="D1221" s="2" t="s">
        <v>247</v>
      </c>
      <c r="E1221" s="2" t="s">
        <v>15035</v>
      </c>
      <c r="F1221" s="2" t="s">
        <v>15036</v>
      </c>
      <c r="G1221" s="2" t="s">
        <v>14591</v>
      </c>
      <c r="H1221" s="3" t="str">
        <f>_xlfn.IFNA(INDEX(FieldDisagreements!C2:C999, MATCH(C1221,FieldDisagreements!A2:A999, 0)), "")</f>
        <v>effortless-owl</v>
      </c>
      <c r="I1221" s="3" t="str">
        <f>_xlfn.IFNA(INDEX(FieldDisagreements!D2:D999, MATCH(C1221,FieldDisagreements!A2:A999, 0)), "")</f>
        <v>RoleAssignments.QualityVerdictIsUnsupported</v>
      </c>
      <c r="J1221" s="2" t="s">
        <v>1906</v>
      </c>
    </row>
    <row r="1222">
      <c r="A1222" s="2" t="s">
        <v>16473</v>
      </c>
      <c r="B1222" s="3" t="str">
        <f>_xlfn.CONCAT(C1222, " @ ", D1222)</f>
        <v>effortless-owl|RoleAssignments.IsUnmeasuredAutomationHandover @ ra-new-variance</v>
      </c>
      <c r="C1222" s="2" t="s">
        <v>14850</v>
      </c>
      <c r="D1222" s="2" t="s">
        <v>235</v>
      </c>
      <c r="E1222" s="2" t="s">
        <v>15035</v>
      </c>
      <c r="F1222" s="2" t="s">
        <v>15036</v>
      </c>
      <c r="G1222" s="2" t="s">
        <v>14591</v>
      </c>
      <c r="H1222" s="3" t="str">
        <f>_xlfn.IFNA(INDEX(FieldDisagreements!C2:C999, MATCH(C1222,FieldDisagreements!A2:A999, 0)), "")</f>
        <v>effortless-owl</v>
      </c>
      <c r="I1222" s="3" t="str">
        <f>_xlfn.IFNA(INDEX(FieldDisagreements!D2:D999, MATCH(C1222,FieldDisagreements!A2:A999, 0)), "")</f>
        <v>RoleAssignments.IsUnmeasuredAutomationHandover</v>
      </c>
      <c r="J1222" s="2" t="s">
        <v>1906</v>
      </c>
    </row>
    <row r="1223">
      <c r="A1223" s="2" t="s">
        <v>16474</v>
      </c>
      <c r="B1223" s="3" t="str">
        <f>_xlfn.CONCAT(C1223, " @ ", D1223)</f>
        <v>effortless-owl|ProcedureVersions.DaysSinceModified @ close-v1.0.0</v>
      </c>
      <c r="C1223" s="2" t="s">
        <v>14851</v>
      </c>
      <c r="D1223" s="2" t="s">
        <v>454</v>
      </c>
      <c r="E1223" s="2" t="s">
        <v>15051</v>
      </c>
      <c r="F1223" s="2" t="s">
        <v>16475</v>
      </c>
      <c r="G1223" s="2" t="s">
        <v>14591</v>
      </c>
      <c r="H1223" s="3" t="str">
        <f>_xlfn.IFNA(INDEX(FieldDisagreements!C2:C999, MATCH(C1223,FieldDisagreements!A2:A999, 0)), "")</f>
        <v>effortless-owl</v>
      </c>
      <c r="I1223" s="3" t="str">
        <f>_xlfn.IFNA(INDEX(FieldDisagreements!D2:D999, MATCH(C1223,FieldDisagreements!A2:A999, 0)), "")</f>
        <v>ProcedureVersions.DaysSinceModified</v>
      </c>
      <c r="J1223" s="2" t="s">
        <v>1906</v>
      </c>
    </row>
    <row r="1224">
      <c r="A1224" s="2" t="s">
        <v>16476</v>
      </c>
      <c r="B1224" s="3" t="str">
        <f>_xlfn.CONCAT(C1224, " @ ", D1224)</f>
        <v>effortless-owl|ProcedureVersions.DaysSinceModified @ close-v1.1.0</v>
      </c>
      <c r="C1224" s="2" t="s">
        <v>14851</v>
      </c>
      <c r="D1224" s="2" t="s">
        <v>369</v>
      </c>
      <c r="E1224" s="2" t="s">
        <v>15054</v>
      </c>
      <c r="F1224" s="2" t="s">
        <v>16477</v>
      </c>
      <c r="G1224" s="2" t="s">
        <v>14591</v>
      </c>
      <c r="H1224" s="3" t="str">
        <f>_xlfn.IFNA(INDEX(FieldDisagreements!C2:C999, MATCH(C1224,FieldDisagreements!A2:A999, 0)), "")</f>
        <v>effortless-owl</v>
      </c>
      <c r="I1224" s="3" t="str">
        <f>_xlfn.IFNA(INDEX(FieldDisagreements!D2:D999, MATCH(C1224,FieldDisagreements!A2:A999, 0)), "")</f>
        <v>ProcedureVersions.DaysSinceModified</v>
      </c>
      <c r="J1224" s="2" t="s">
        <v>1906</v>
      </c>
    </row>
    <row r="1225">
      <c r="A1225" s="2" t="s">
        <v>16478</v>
      </c>
      <c r="B1225" s="3" t="str">
        <f>_xlfn.CONCAT(C1225, " @ ", D1225)</f>
        <v>effortless-owl|ProcedureVersions.DaysSinceModified @ policy-v1.0.0</v>
      </c>
      <c r="C1225" s="2" t="s">
        <v>14851</v>
      </c>
      <c r="D1225" s="2" t="s">
        <v>375</v>
      </c>
      <c r="E1225" s="2" t="s">
        <v>935</v>
      </c>
      <c r="F1225" s="2" t="s">
        <v>16479</v>
      </c>
      <c r="G1225" s="2" t="s">
        <v>14591</v>
      </c>
      <c r="H1225" s="3" t="str">
        <f>_xlfn.IFNA(INDEX(FieldDisagreements!C2:C999, MATCH(C1225,FieldDisagreements!A2:A999, 0)), "")</f>
        <v>effortless-owl</v>
      </c>
      <c r="I1225" s="3" t="str">
        <f>_xlfn.IFNA(INDEX(FieldDisagreements!D2:D999, MATCH(C1225,FieldDisagreements!A2:A999, 0)), "")</f>
        <v>ProcedureVersions.DaysSinceModified</v>
      </c>
      <c r="J1225" s="2" t="s">
        <v>1906</v>
      </c>
    </row>
    <row r="1226">
      <c r="A1226" s="2" t="s">
        <v>16480</v>
      </c>
      <c r="B1226" s="3" t="str">
        <f>_xlfn.CONCAT(C1226, " @ ", D1226)</f>
        <v>effortless-owl|ProcedureVersions.IncomingSupersessionCount @ close-v1.0.0</v>
      </c>
      <c r="C1226" s="2" t="s">
        <v>14852</v>
      </c>
      <c r="D1226" s="2" t="s">
        <v>454</v>
      </c>
      <c r="E1226" s="2" t="s">
        <v>37</v>
      </c>
      <c r="F1226" s="2" t="s">
        <v>935</v>
      </c>
      <c r="G1226" s="2" t="s">
        <v>14591</v>
      </c>
      <c r="H1226" s="3" t="str">
        <f>_xlfn.IFNA(INDEX(FieldDisagreements!C2:C999, MATCH(C1226,FieldDisagreements!A2:A999, 0)), "")</f>
        <v>effortless-owl</v>
      </c>
      <c r="I1226" s="3" t="str">
        <f>_xlfn.IFNA(INDEX(FieldDisagreements!D2:D999, MATCH(C1226,FieldDisagreements!A2:A999, 0)), "")</f>
        <v>ProcedureVersions.IncomingSupersessionCount</v>
      </c>
      <c r="J1226" s="2" t="s">
        <v>1906</v>
      </c>
    </row>
    <row r="1227">
      <c r="A1227" s="2" t="s">
        <v>16481</v>
      </c>
      <c r="B1227" s="3" t="str">
        <f>_xlfn.CONCAT(C1227, " @ ", D1227)</f>
        <v>effortless-owl|ProcedureVersions.IsStillReferenced @ close-v1.0.0</v>
      </c>
      <c r="C1227" s="2" t="s">
        <v>14853</v>
      </c>
      <c r="D1227" s="2" t="s">
        <v>454</v>
      </c>
      <c r="E1227" s="2" t="s">
        <v>15035</v>
      </c>
      <c r="F1227" s="2" t="s">
        <v>15057</v>
      </c>
      <c r="G1227" s="2" t="s">
        <v>14591</v>
      </c>
      <c r="H1227" s="3" t="str">
        <f>_xlfn.IFNA(INDEX(FieldDisagreements!C2:C999, MATCH(C1227,FieldDisagreements!A2:A999, 0)), "")</f>
        <v>effortless-owl</v>
      </c>
      <c r="I1227" s="3" t="str">
        <f>_xlfn.IFNA(INDEX(FieldDisagreements!D2:D999, MATCH(C1227,FieldDisagreements!A2:A999, 0)), "")</f>
        <v>ProcedureVersions.IsStillReferenced</v>
      </c>
      <c r="J1227" s="2" t="s">
        <v>1906</v>
      </c>
    </row>
    <row r="1228">
      <c r="A1228" s="2" t="s">
        <v>16482</v>
      </c>
      <c r="B1228" s="3" t="str">
        <f>_xlfn.CONCAT(C1228, " @ ", D1228)</f>
        <v>effortless-owl|ProcedureVersions.IsLoadBearingOrphan @ close-v1.0.0</v>
      </c>
      <c r="C1228" s="2" t="s">
        <v>14854</v>
      </c>
      <c r="D1228" s="2" t="s">
        <v>454</v>
      </c>
      <c r="E1228" s="2" t="s">
        <v>15035</v>
      </c>
      <c r="F1228" s="2" t="s">
        <v>15057</v>
      </c>
      <c r="G1228" s="2" t="s">
        <v>14591</v>
      </c>
      <c r="H1228" s="3" t="str">
        <f>_xlfn.IFNA(INDEX(FieldDisagreements!C2:C999, MATCH(C1228,FieldDisagreements!A2:A999, 0)), "")</f>
        <v>effortless-owl</v>
      </c>
      <c r="I1228" s="3" t="str">
        <f>_xlfn.IFNA(INDEX(FieldDisagreements!D2:D999, MATCH(C1228,FieldDisagreements!A2:A999, 0)), "")</f>
        <v>ProcedureVersions.IsLoadBearingOrphan</v>
      </c>
      <c r="J1228" s="2" t="s">
        <v>1906</v>
      </c>
    </row>
    <row r="1229">
      <c r="A1229" s="2" t="s">
        <v>16483</v>
      </c>
      <c r="B1229" s="3" t="str">
        <f>_xlfn.CONCAT(C1229, " @ ", D1229)</f>
        <v>effortless-owl|ProcedureVersions.IsCleanlyRetired @ close-v1.0.0</v>
      </c>
      <c r="C1229" s="2" t="s">
        <v>14855</v>
      </c>
      <c r="D1229" s="2" t="s">
        <v>454</v>
      </c>
      <c r="E1229" s="2" t="s">
        <v>15057</v>
      </c>
      <c r="F1229" s="2" t="s">
        <v>15035</v>
      </c>
      <c r="G1229" s="2" t="s">
        <v>14591</v>
      </c>
      <c r="H1229" s="3" t="str">
        <f>_xlfn.IFNA(INDEX(FieldDisagreements!C2:C999, MATCH(C1229,FieldDisagreements!A2:A999, 0)), "")</f>
        <v>effortless-owl</v>
      </c>
      <c r="I1229" s="3" t="str">
        <f>_xlfn.IFNA(INDEX(FieldDisagreements!D2:D999, MATCH(C1229,FieldDisagreements!A2:A999, 0)), "")</f>
        <v>ProcedureVersions.IsCleanlyRetired</v>
      </c>
      <c r="J1229" s="2" t="s">
        <v>1906</v>
      </c>
    </row>
    <row r="1230">
      <c r="A1230" s="2" t="s">
        <v>16484</v>
      </c>
      <c r="B1230" s="3" t="str">
        <f>_xlfn.CONCAT(C1230, " @ ", D1230)</f>
        <v>effortless-owl|ProcedureVersions.DaysSinceLastReview @ close-v1.1.0</v>
      </c>
      <c r="C1230" s="2" t="s">
        <v>14856</v>
      </c>
      <c r="D1230" s="2" t="s">
        <v>369</v>
      </c>
      <c r="E1230" s="2" t="s">
        <v>8195</v>
      </c>
      <c r="F1230" s="2" t="s">
        <v>15036</v>
      </c>
      <c r="G1230" s="2" t="s">
        <v>14591</v>
      </c>
      <c r="H1230" s="3" t="str">
        <f>_xlfn.IFNA(INDEX(FieldDisagreements!C2:C999, MATCH(C1230,FieldDisagreements!A2:A999, 0)), "")</f>
        <v>effortless-owl</v>
      </c>
      <c r="I1230" s="3" t="str">
        <f>_xlfn.IFNA(INDEX(FieldDisagreements!D2:D999, MATCH(C1230,FieldDisagreements!A2:A999, 0)), "")</f>
        <v>ProcedureVersions.DaysSinceLastReview</v>
      </c>
      <c r="J1230" s="2" t="s">
        <v>1906</v>
      </c>
    </row>
    <row r="1231">
      <c r="A1231" s="2" t="s">
        <v>16485</v>
      </c>
      <c r="B1231" s="3" t="str">
        <f>_xlfn.CONCAT(C1231, " @ ", D1231)</f>
        <v>effortless-owl|ProcedureVersions.DaysSinceLastReview @ policy-v1.0.0</v>
      </c>
      <c r="C1231" s="2" t="s">
        <v>14856</v>
      </c>
      <c r="D1231" s="2" t="s">
        <v>375</v>
      </c>
      <c r="E1231" s="2" t="s">
        <v>37</v>
      </c>
      <c r="F1231" s="2" t="s">
        <v>15036</v>
      </c>
      <c r="G1231" s="2" t="s">
        <v>14591</v>
      </c>
      <c r="H1231" s="3" t="str">
        <f>_xlfn.IFNA(INDEX(FieldDisagreements!C2:C999, MATCH(C1231,FieldDisagreements!A2:A999, 0)), "")</f>
        <v>effortless-owl</v>
      </c>
      <c r="I1231" s="3" t="str">
        <f>_xlfn.IFNA(INDEX(FieldDisagreements!D2:D999, MATCH(C1231,FieldDisagreements!A2:A999, 0)), "")</f>
        <v>ProcedureVersions.DaysSinceLastReview</v>
      </c>
      <c r="J1231" s="2" t="s">
        <v>1906</v>
      </c>
    </row>
    <row r="1232">
      <c r="A1232" s="2" t="s">
        <v>16486</v>
      </c>
      <c r="B1232" s="3" t="str">
        <f>_xlfn.CONCAT(C1232, " @ ", D1232)</f>
        <v>effortless-owl|ProcedureVersions.WasModifiedSinceLastReview @ close-v1.1.0</v>
      </c>
      <c r="C1232" s="2" t="s">
        <v>14857</v>
      </c>
      <c r="D1232" s="2" t="s">
        <v>369</v>
      </c>
      <c r="E1232" s="2" t="s">
        <v>15035</v>
      </c>
      <c r="F1232" s="2" t="s">
        <v>15036</v>
      </c>
      <c r="G1232" s="2" t="s">
        <v>14591</v>
      </c>
      <c r="H1232" s="3" t="str">
        <f>_xlfn.IFNA(INDEX(FieldDisagreements!C2:C999, MATCH(C1232,FieldDisagreements!A2:A999, 0)), "")</f>
        <v>effortless-owl</v>
      </c>
      <c r="I1232" s="3" t="str">
        <f>_xlfn.IFNA(INDEX(FieldDisagreements!D2:D999, MATCH(C1232,FieldDisagreements!A2:A999, 0)), "")</f>
        <v>ProcedureVersions.WasModifiedSinceLastReview</v>
      </c>
      <c r="J1232" s="2" t="s">
        <v>1906</v>
      </c>
    </row>
    <row r="1233">
      <c r="A1233" s="2" t="s">
        <v>16487</v>
      </c>
      <c r="B1233" s="3" t="str">
        <f>_xlfn.CONCAT(C1233, " @ ", D1233)</f>
        <v>effortless-owl|ProcedureVersions.WasModifiedSinceLastReview @ policy-v1.0.0</v>
      </c>
      <c r="C1233" s="2" t="s">
        <v>14857</v>
      </c>
      <c r="D1233" s="2" t="s">
        <v>375</v>
      </c>
      <c r="E1233" s="2" t="s">
        <v>15035</v>
      </c>
      <c r="F1233" s="2" t="s">
        <v>15036</v>
      </c>
      <c r="G1233" s="2" t="s">
        <v>14591</v>
      </c>
      <c r="H1233" s="3" t="str">
        <f>_xlfn.IFNA(INDEX(FieldDisagreements!C2:C999, MATCH(C1233,FieldDisagreements!A2:A999, 0)), "")</f>
        <v>effortless-owl</v>
      </c>
      <c r="I1233" s="3" t="str">
        <f>_xlfn.IFNA(INDEX(FieldDisagreements!D2:D999, MATCH(C1233,FieldDisagreements!A2:A999, 0)), "")</f>
        <v>ProcedureVersions.WasModifiedSinceLastReview</v>
      </c>
      <c r="J1233" s="2" t="s">
        <v>1906</v>
      </c>
    </row>
    <row r="1234">
      <c r="A1234" s="2" t="s">
        <v>16488</v>
      </c>
      <c r="B1234" s="3" t="str">
        <f>_xlfn.CONCAT(C1234, " @ ", D1234)</f>
        <v>effortless-owl|ProcedureVersions.HasUnwitnessedChange @ close-v1.1.0</v>
      </c>
      <c r="C1234" s="2" t="s">
        <v>14858</v>
      </c>
      <c r="D1234" s="2" t="s">
        <v>369</v>
      </c>
      <c r="E1234" s="2" t="s">
        <v>15035</v>
      </c>
      <c r="F1234" s="2" t="s">
        <v>15036</v>
      </c>
      <c r="G1234" s="2" t="s">
        <v>14591</v>
      </c>
      <c r="H1234" s="3" t="str">
        <f>_xlfn.IFNA(INDEX(FieldDisagreements!C2:C999, MATCH(C1234,FieldDisagreements!A2:A999, 0)), "")</f>
        <v>effortless-owl</v>
      </c>
      <c r="I1234" s="3" t="str">
        <f>_xlfn.IFNA(INDEX(FieldDisagreements!D2:D999, MATCH(C1234,FieldDisagreements!A2:A999, 0)), "")</f>
        <v>ProcedureVersions.HasUnwitnessedChange</v>
      </c>
      <c r="J1234" s="2" t="s">
        <v>1906</v>
      </c>
    </row>
    <row r="1235">
      <c r="A1235" s="2" t="s">
        <v>16489</v>
      </c>
      <c r="B1235" s="3" t="str">
        <f>_xlfn.CONCAT(C1235, " @ ", D1235)</f>
        <v>effortless-owl|ProcedureVersions.HasUnwitnessedChange @ policy-v1.0.0</v>
      </c>
      <c r="C1235" s="2" t="s">
        <v>14858</v>
      </c>
      <c r="D1235" s="2" t="s">
        <v>375</v>
      </c>
      <c r="E1235" s="2" t="s">
        <v>15035</v>
      </c>
      <c r="F1235" s="2" t="s">
        <v>15036</v>
      </c>
      <c r="G1235" s="2" t="s">
        <v>14591</v>
      </c>
      <c r="H1235" s="3" t="str">
        <f>_xlfn.IFNA(INDEX(FieldDisagreements!C2:C999, MATCH(C1235,FieldDisagreements!A2:A999, 0)), "")</f>
        <v>effortless-owl</v>
      </c>
      <c r="I1235" s="3" t="str">
        <f>_xlfn.IFNA(INDEX(FieldDisagreements!D2:D999, MATCH(C1235,FieldDisagreements!A2:A999, 0)), "")</f>
        <v>ProcedureVersions.HasUnwitnessedChange</v>
      </c>
      <c r="J1235" s="2" t="s">
        <v>1906</v>
      </c>
    </row>
    <row r="1236">
      <c r="A1236" s="2" t="s">
        <v>16490</v>
      </c>
      <c r="B1236" s="3" t="str">
        <f>_xlfn.CONCAT(C1236, " @ ", D1236)</f>
        <v>effortless-owl|ProcedureVersionLinks.SupersededVersionKey @ close-v1.0.0-to-v1.1.0</v>
      </c>
      <c r="C1236" s="2" t="s">
        <v>14859</v>
      </c>
      <c r="D1236" s="2" t="s">
        <v>473</v>
      </c>
      <c r="E1236" s="2" t="s">
        <v>16491</v>
      </c>
      <c r="F1236" s="2" t="s">
        <v>15036</v>
      </c>
      <c r="G1236" s="2" t="s">
        <v>14591</v>
      </c>
      <c r="H1236" s="3" t="str">
        <f>_xlfn.IFNA(INDEX(FieldDisagreements!C2:C999, MATCH(C1236,FieldDisagreements!A2:A999, 0)), "")</f>
        <v>effortless-owl</v>
      </c>
      <c r="I1236" s="3" t="str">
        <f>_xlfn.IFNA(INDEX(FieldDisagreements!D2:D999, MATCH(C1236,FieldDisagreements!A2:A999, 0)), "")</f>
        <v>ProcedureVersionLinks.SupersededVersionKey</v>
      </c>
      <c r="J1236" s="2" t="s">
        <v>1906</v>
      </c>
    </row>
    <row r="1237">
      <c r="A1237" s="2" t="s">
        <v>16492</v>
      </c>
      <c r="B1237" s="3" t="str">
        <f>_xlfn.CONCAT(C1237, " @ ", D1237)</f>
        <v>effortless-owl|Steps.StaleBindingCount @ close-02</v>
      </c>
      <c r="C1237" s="2" t="s">
        <v>14860</v>
      </c>
      <c r="D1237" s="2" t="s">
        <v>543</v>
      </c>
      <c r="E1237" s="2" t="s">
        <v>37</v>
      </c>
      <c r="F1237" s="2" t="s">
        <v>935</v>
      </c>
      <c r="G1237" s="2" t="s">
        <v>14591</v>
      </c>
      <c r="H1237" s="3" t="str">
        <f>_xlfn.IFNA(INDEX(FieldDisagreements!C2:C999, MATCH(C1237,FieldDisagreements!A2:A999, 0)), "")</f>
        <v>effortless-owl</v>
      </c>
      <c r="I1237" s="3" t="str">
        <f>_xlfn.IFNA(INDEX(FieldDisagreements!D2:D999, MATCH(C1237,FieldDisagreements!A2:A999, 0)), "")</f>
        <v>Steps.StaleBindingCount</v>
      </c>
      <c r="J1237" s="2" t="s">
        <v>1906</v>
      </c>
    </row>
    <row r="1238">
      <c r="A1238" s="2" t="s">
        <v>16493</v>
      </c>
      <c r="B1238" s="3" t="str">
        <f>_xlfn.CONCAT(C1238, " @ ", D1238)</f>
        <v>effortless-owl|Steps.StaleBindingCount @ policy-01</v>
      </c>
      <c r="C1238" s="2" t="s">
        <v>14860</v>
      </c>
      <c r="D1238" s="2" t="s">
        <v>578</v>
      </c>
      <c r="E1238" s="2" t="s">
        <v>37</v>
      </c>
      <c r="F1238" s="2" t="s">
        <v>935</v>
      </c>
      <c r="G1238" s="2" t="s">
        <v>14591</v>
      </c>
      <c r="H1238" s="3" t="str">
        <f>_xlfn.IFNA(INDEX(FieldDisagreements!C2:C999, MATCH(C1238,FieldDisagreements!A2:A999, 0)), "")</f>
        <v>effortless-owl</v>
      </c>
      <c r="I1238" s="3" t="str">
        <f>_xlfn.IFNA(INDEX(FieldDisagreements!D2:D999, MATCH(C1238,FieldDisagreements!A2:A999, 0)), "")</f>
        <v>Steps.StaleBindingCount</v>
      </c>
      <c r="J1238" s="2" t="s">
        <v>1906</v>
      </c>
    </row>
    <row r="1239">
      <c r="A1239" s="2" t="s">
        <v>16494</v>
      </c>
      <c r="B1239" s="3" t="str">
        <f>_xlfn.CONCAT(C1239, " @ ", D1239)</f>
        <v>effortless-owl|Steps.StaleBindingCount @ policy-07</v>
      </c>
      <c r="C1239" s="2" t="s">
        <v>14860</v>
      </c>
      <c r="D1239" s="2" t="s">
        <v>597</v>
      </c>
      <c r="E1239" s="2" t="s">
        <v>37</v>
      </c>
      <c r="F1239" s="2" t="s">
        <v>935</v>
      </c>
      <c r="G1239" s="2" t="s">
        <v>14591</v>
      </c>
      <c r="H1239" s="3" t="str">
        <f>_xlfn.IFNA(INDEX(FieldDisagreements!C2:C999, MATCH(C1239,FieldDisagreements!A2:A999, 0)), "")</f>
        <v>effortless-owl</v>
      </c>
      <c r="I1239" s="3" t="str">
        <f>_xlfn.IFNA(INDEX(FieldDisagreements!D2:D999, MATCH(C1239,FieldDisagreements!A2:A999, 0)), "")</f>
        <v>Steps.StaleBindingCount</v>
      </c>
      <c r="J1239" s="2" t="s">
        <v>1906</v>
      </c>
    </row>
    <row r="1240">
      <c r="A1240" s="2" t="s">
        <v>16495</v>
      </c>
      <c r="B1240" s="3" t="str">
        <f>_xlfn.CONCAT(C1240, " @ ", D1240)</f>
        <v>effortless-owl|Steps.AuthoritativeStaleCount @ close-02</v>
      </c>
      <c r="C1240" s="2" t="s">
        <v>14861</v>
      </c>
      <c r="D1240" s="2" t="s">
        <v>543</v>
      </c>
      <c r="E1240" s="2" t="s">
        <v>37</v>
      </c>
      <c r="F1240" s="2" t="s">
        <v>935</v>
      </c>
      <c r="G1240" s="2" t="s">
        <v>14591</v>
      </c>
      <c r="H1240" s="3" t="str">
        <f>_xlfn.IFNA(INDEX(FieldDisagreements!C2:C999, MATCH(C1240,FieldDisagreements!A2:A999, 0)), "")</f>
        <v>effortless-owl</v>
      </c>
      <c r="I1240" s="3" t="str">
        <f>_xlfn.IFNA(INDEX(FieldDisagreements!D2:D999, MATCH(C1240,FieldDisagreements!A2:A999, 0)), "")</f>
        <v>Steps.AuthoritativeStaleCount</v>
      </c>
      <c r="J1240" s="2" t="s">
        <v>1906</v>
      </c>
    </row>
    <row r="1241">
      <c r="A1241" s="2" t="s">
        <v>16496</v>
      </c>
      <c r="B1241" s="3" t="str">
        <f>_xlfn.CONCAT(C1241, " @ ", D1241)</f>
        <v>effortless-owl|Steps.AuthoritativeStaleCount @ policy-01</v>
      </c>
      <c r="C1241" s="2" t="s">
        <v>14861</v>
      </c>
      <c r="D1241" s="2" t="s">
        <v>578</v>
      </c>
      <c r="E1241" s="2" t="s">
        <v>37</v>
      </c>
      <c r="F1241" s="2" t="s">
        <v>935</v>
      </c>
      <c r="G1241" s="2" t="s">
        <v>14591</v>
      </c>
      <c r="H1241" s="3" t="str">
        <f>_xlfn.IFNA(INDEX(FieldDisagreements!C2:C999, MATCH(C1241,FieldDisagreements!A2:A999, 0)), "")</f>
        <v>effortless-owl</v>
      </c>
      <c r="I1241" s="3" t="str">
        <f>_xlfn.IFNA(INDEX(FieldDisagreements!D2:D999, MATCH(C1241,FieldDisagreements!A2:A999, 0)), "")</f>
        <v>Steps.AuthoritativeStaleCount</v>
      </c>
      <c r="J1241" s="2" t="s">
        <v>1906</v>
      </c>
    </row>
    <row r="1242">
      <c r="A1242" s="2" t="s">
        <v>16497</v>
      </c>
      <c r="B1242" s="3" t="str">
        <f>_xlfn.CONCAT(C1242, " @ ", D1242)</f>
        <v>effortless-owl|Steps.AuthoritativeStaleCount @ policy-07</v>
      </c>
      <c r="C1242" s="2" t="s">
        <v>14861</v>
      </c>
      <c r="D1242" s="2" t="s">
        <v>597</v>
      </c>
      <c r="E1242" s="2" t="s">
        <v>37</v>
      </c>
      <c r="F1242" s="2" t="s">
        <v>935</v>
      </c>
      <c r="G1242" s="2" t="s">
        <v>14591</v>
      </c>
      <c r="H1242" s="3" t="str">
        <f>_xlfn.IFNA(INDEX(FieldDisagreements!C2:C999, MATCH(C1242,FieldDisagreements!A2:A999, 0)), "")</f>
        <v>effortless-owl</v>
      </c>
      <c r="I1242" s="3" t="str">
        <f>_xlfn.IFNA(INDEX(FieldDisagreements!D2:D999, MATCH(C1242,FieldDisagreements!A2:A999, 0)), "")</f>
        <v>Steps.AuthoritativeStaleCount</v>
      </c>
      <c r="J1242" s="2" t="s">
        <v>1906</v>
      </c>
    </row>
    <row r="1243">
      <c r="A1243" s="2" t="s">
        <v>16498</v>
      </c>
      <c r="B1243" s="3" t="str">
        <f>_xlfn.CONCAT(C1243, " @ ", D1243)</f>
        <v>effortless-owl|Steps.StaleAuthoritativeBindingCount @ close-02</v>
      </c>
      <c r="C1243" s="2" t="s">
        <v>14862</v>
      </c>
      <c r="D1243" s="2" t="s">
        <v>543</v>
      </c>
      <c r="E1243" s="2" t="s">
        <v>37</v>
      </c>
      <c r="F1243" s="2" t="s">
        <v>935</v>
      </c>
      <c r="G1243" s="2" t="s">
        <v>14591</v>
      </c>
      <c r="H1243" s="3" t="str">
        <f>_xlfn.IFNA(INDEX(FieldDisagreements!C2:C999, MATCH(C1243,FieldDisagreements!A2:A999, 0)), "")</f>
        <v>effortless-owl</v>
      </c>
      <c r="I1243" s="3" t="str">
        <f>_xlfn.IFNA(INDEX(FieldDisagreements!D2:D999, MATCH(C1243,FieldDisagreements!A2:A999, 0)), "")</f>
        <v>Steps.StaleAuthoritativeBindingCount</v>
      </c>
      <c r="J1243" s="2" t="s">
        <v>1906</v>
      </c>
    </row>
    <row r="1244">
      <c r="A1244" s="2" t="s">
        <v>16499</v>
      </c>
      <c r="B1244" s="3" t="str">
        <f>_xlfn.CONCAT(C1244, " @ ", D1244)</f>
        <v>effortless-owl|Steps.StaleAuthoritativeBindingCount @ policy-01</v>
      </c>
      <c r="C1244" s="2" t="s">
        <v>14862</v>
      </c>
      <c r="D1244" s="2" t="s">
        <v>578</v>
      </c>
      <c r="E1244" s="2" t="s">
        <v>37</v>
      </c>
      <c r="F1244" s="2" t="s">
        <v>935</v>
      </c>
      <c r="G1244" s="2" t="s">
        <v>14591</v>
      </c>
      <c r="H1244" s="3" t="str">
        <f>_xlfn.IFNA(INDEX(FieldDisagreements!C2:C999, MATCH(C1244,FieldDisagreements!A2:A999, 0)), "")</f>
        <v>effortless-owl</v>
      </c>
      <c r="I1244" s="3" t="str">
        <f>_xlfn.IFNA(INDEX(FieldDisagreements!D2:D999, MATCH(C1244,FieldDisagreements!A2:A999, 0)), "")</f>
        <v>Steps.StaleAuthoritativeBindingCount</v>
      </c>
      <c r="J1244" s="2" t="s">
        <v>1906</v>
      </c>
    </row>
    <row r="1245">
      <c r="A1245" s="2" t="s">
        <v>16500</v>
      </c>
      <c r="B1245" s="3" t="str">
        <f>_xlfn.CONCAT(C1245, " @ ", D1245)</f>
        <v>effortless-owl|Steps.StaleAuthoritativeBindingCount @ policy-07</v>
      </c>
      <c r="C1245" s="2" t="s">
        <v>14862</v>
      </c>
      <c r="D1245" s="2" t="s">
        <v>597</v>
      </c>
      <c r="E1245" s="2" t="s">
        <v>37</v>
      </c>
      <c r="F1245" s="2" t="s">
        <v>935</v>
      </c>
      <c r="G1245" s="2" t="s">
        <v>14591</v>
      </c>
      <c r="H1245" s="3" t="str">
        <f>_xlfn.IFNA(INDEX(FieldDisagreements!C2:C999, MATCH(C1245,FieldDisagreements!A2:A999, 0)), "")</f>
        <v>effortless-owl</v>
      </c>
      <c r="I1245" s="3" t="str">
        <f>_xlfn.IFNA(INDEX(FieldDisagreements!D2:D999, MATCH(C1245,FieldDisagreements!A2:A999, 0)), "")</f>
        <v>Steps.StaleAuthoritativeBindingCount</v>
      </c>
      <c r="J1245" s="2" t="s">
        <v>1906</v>
      </c>
    </row>
    <row r="1246">
      <c r="A1246" s="2" t="s">
        <v>16501</v>
      </c>
      <c r="B1246" s="3" t="str">
        <f>_xlfn.CONCAT(C1246, " @ ", D1246)</f>
        <v>effortless-owl|Steps.InputsAreFresh @ close-02</v>
      </c>
      <c r="C1246" s="2" t="s">
        <v>14863</v>
      </c>
      <c r="D1246" s="2" t="s">
        <v>543</v>
      </c>
      <c r="E1246" s="2" t="s">
        <v>15057</v>
      </c>
      <c r="F1246" s="2" t="s">
        <v>15035</v>
      </c>
      <c r="G1246" s="2" t="s">
        <v>14591</v>
      </c>
      <c r="H1246" s="3" t="str">
        <f>_xlfn.IFNA(INDEX(FieldDisagreements!C2:C999, MATCH(C1246,FieldDisagreements!A2:A999, 0)), "")</f>
        <v>effortless-owl</v>
      </c>
      <c r="I1246" s="3" t="str">
        <f>_xlfn.IFNA(INDEX(FieldDisagreements!D2:D999, MATCH(C1246,FieldDisagreements!A2:A999, 0)), "")</f>
        <v>Steps.InputsAreFresh</v>
      </c>
      <c r="J1246" s="2" t="s">
        <v>1906</v>
      </c>
    </row>
    <row r="1247">
      <c r="A1247" s="2" t="s">
        <v>16502</v>
      </c>
      <c r="B1247" s="3" t="str">
        <f>_xlfn.CONCAT(C1247, " @ ", D1247)</f>
        <v>effortless-owl|Steps.InputsAreFresh @ policy-01</v>
      </c>
      <c r="C1247" s="2" t="s">
        <v>14863</v>
      </c>
      <c r="D1247" s="2" t="s">
        <v>578</v>
      </c>
      <c r="E1247" s="2" t="s">
        <v>15057</v>
      </c>
      <c r="F1247" s="2" t="s">
        <v>15035</v>
      </c>
      <c r="G1247" s="2" t="s">
        <v>14591</v>
      </c>
      <c r="H1247" s="3" t="str">
        <f>_xlfn.IFNA(INDEX(FieldDisagreements!C2:C999, MATCH(C1247,FieldDisagreements!A2:A999, 0)), "")</f>
        <v>effortless-owl</v>
      </c>
      <c r="I1247" s="3" t="str">
        <f>_xlfn.IFNA(INDEX(FieldDisagreements!D2:D999, MATCH(C1247,FieldDisagreements!A2:A999, 0)), "")</f>
        <v>Steps.InputsAreFresh</v>
      </c>
      <c r="J1247" s="2" t="s">
        <v>1906</v>
      </c>
    </row>
    <row r="1248">
      <c r="A1248" s="2" t="s">
        <v>16503</v>
      </c>
      <c r="B1248" s="3" t="str">
        <f>_xlfn.CONCAT(C1248, " @ ", D1248)</f>
        <v>effortless-owl|Steps.InputsAreFresh @ policy-07</v>
      </c>
      <c r="C1248" s="2" t="s">
        <v>14863</v>
      </c>
      <c r="D1248" s="2" t="s">
        <v>597</v>
      </c>
      <c r="E1248" s="2" t="s">
        <v>15057</v>
      </c>
      <c r="F1248" s="2" t="s">
        <v>15035</v>
      </c>
      <c r="G1248" s="2" t="s">
        <v>14591</v>
      </c>
      <c r="H1248" s="3" t="str">
        <f>_xlfn.IFNA(INDEX(FieldDisagreements!C2:C999, MATCH(C1248,FieldDisagreements!A2:A999, 0)), "")</f>
        <v>effortless-owl</v>
      </c>
      <c r="I1248" s="3" t="str">
        <f>_xlfn.IFNA(INDEX(FieldDisagreements!D2:D999, MATCH(C1248,FieldDisagreements!A2:A999, 0)), "")</f>
        <v>Steps.InputsAreFresh</v>
      </c>
      <c r="J1248" s="2" t="s">
        <v>1906</v>
      </c>
    </row>
    <row r="1249">
      <c r="A1249" s="2" t="s">
        <v>16504</v>
      </c>
      <c r="B1249" s="3" t="str">
        <f>_xlfn.CONCAT(C1249, " @ ", D1249)</f>
        <v>effortless-owl|StepTransitions.CountOfFromStepExecutions @ close-01-to-close-02</v>
      </c>
      <c r="C1249" s="2" t="s">
        <v>14864</v>
      </c>
      <c r="D1249" s="2" t="s">
        <v>628</v>
      </c>
      <c r="E1249" s="2" t="s">
        <v>37</v>
      </c>
      <c r="F1249" s="2" t="s">
        <v>935</v>
      </c>
      <c r="G1249" s="2" t="s">
        <v>14591</v>
      </c>
      <c r="H1249" s="3" t="str">
        <f>_xlfn.IFNA(INDEX(FieldDisagreements!C2:C999, MATCH(C1249,FieldDisagreements!A2:A999, 0)), "")</f>
        <v>effortless-owl</v>
      </c>
      <c r="I1249" s="3" t="str">
        <f>_xlfn.IFNA(INDEX(FieldDisagreements!D2:D999, MATCH(C1249,FieldDisagreements!A2:A999, 0)), "")</f>
        <v>StepTransitions.CountOfFromStepExecutions</v>
      </c>
      <c r="J1249" s="2" t="s">
        <v>1906</v>
      </c>
    </row>
    <row r="1250">
      <c r="A1250" s="2" t="s">
        <v>16505</v>
      </c>
      <c r="B1250" s="3" t="str">
        <f>_xlfn.CONCAT(C1250, " @ ", D1250)</f>
        <v>effortless-owl|StepTransitions.CountOfFromStepExecutions @ close-02-to-close-03</v>
      </c>
      <c r="C1250" s="2" t="s">
        <v>14864</v>
      </c>
      <c r="D1250" s="2" t="s">
        <v>632</v>
      </c>
      <c r="E1250" s="2" t="s">
        <v>37</v>
      </c>
      <c r="F1250" s="2" t="s">
        <v>935</v>
      </c>
      <c r="G1250" s="2" t="s">
        <v>14591</v>
      </c>
      <c r="H1250" s="3" t="str">
        <f>_xlfn.IFNA(INDEX(FieldDisagreements!C2:C999, MATCH(C1250,FieldDisagreements!A2:A999, 0)), "")</f>
        <v>effortless-owl</v>
      </c>
      <c r="I1250" s="3" t="str">
        <f>_xlfn.IFNA(INDEX(FieldDisagreements!D2:D999, MATCH(C1250,FieldDisagreements!A2:A999, 0)), "")</f>
        <v>StepTransitions.CountOfFromStepExecutions</v>
      </c>
      <c r="J1250" s="2" t="s">
        <v>1906</v>
      </c>
    </row>
    <row r="1251">
      <c r="A1251" s="2" t="s">
        <v>16506</v>
      </c>
      <c r="B1251" s="3" t="str">
        <f>_xlfn.CONCAT(C1251, " @ ", D1251)</f>
        <v>effortless-owl|StepTransitions.CountOfFromStepExecutions @ close-03-to-close-04</v>
      </c>
      <c r="C1251" s="2" t="s">
        <v>14864</v>
      </c>
      <c r="D1251" s="2" t="s">
        <v>633</v>
      </c>
      <c r="E1251" s="2" t="s">
        <v>37</v>
      </c>
      <c r="F1251" s="2" t="s">
        <v>935</v>
      </c>
      <c r="G1251" s="2" t="s">
        <v>14591</v>
      </c>
      <c r="H1251" s="3" t="str">
        <f>_xlfn.IFNA(INDEX(FieldDisagreements!C2:C999, MATCH(C1251,FieldDisagreements!A2:A999, 0)), "")</f>
        <v>effortless-owl</v>
      </c>
      <c r="I1251" s="3" t="str">
        <f>_xlfn.IFNA(INDEX(FieldDisagreements!D2:D999, MATCH(C1251,FieldDisagreements!A2:A999, 0)), "")</f>
        <v>StepTransitions.CountOfFromStepExecutions</v>
      </c>
      <c r="J1251" s="2" t="s">
        <v>1906</v>
      </c>
    </row>
    <row r="1252">
      <c r="A1252" s="2" t="s">
        <v>16507</v>
      </c>
      <c r="B1252" s="3" t="str">
        <f>_xlfn.CONCAT(C1252, " @ ", D1252)</f>
        <v>effortless-owl|StepTransitions.CountOfFromStepExecutions @ close-04-fallback-close-03</v>
      </c>
      <c r="C1252" s="2" t="s">
        <v>14864</v>
      </c>
      <c r="D1252" s="2" t="s">
        <v>646</v>
      </c>
      <c r="E1252" s="2" t="s">
        <v>37</v>
      </c>
      <c r="F1252" s="2" t="s">
        <v>935</v>
      </c>
      <c r="G1252" s="2" t="s">
        <v>14591</v>
      </c>
      <c r="H1252" s="3" t="str">
        <f>_xlfn.IFNA(INDEX(FieldDisagreements!C2:C999, MATCH(C1252,FieldDisagreements!A2:A999, 0)), "")</f>
        <v>effortless-owl</v>
      </c>
      <c r="I1252" s="3" t="str">
        <f>_xlfn.IFNA(INDEX(FieldDisagreements!D2:D999, MATCH(C1252,FieldDisagreements!A2:A999, 0)), "")</f>
        <v>StepTransitions.CountOfFromStepExecutions</v>
      </c>
      <c r="J1252" s="2" t="s">
        <v>1906</v>
      </c>
    </row>
    <row r="1253">
      <c r="A1253" s="2" t="s">
        <v>16508</v>
      </c>
      <c r="B1253" s="3" t="str">
        <f>_xlfn.CONCAT(C1253, " @ ", D1253)</f>
        <v>effortless-owl|StepTransitions.CountOfFromStepExecutions @ close-04-to-close-05</v>
      </c>
      <c r="C1253" s="2" t="s">
        <v>14864</v>
      </c>
      <c r="D1253" s="2" t="s">
        <v>634</v>
      </c>
      <c r="E1253" s="2" t="s">
        <v>37</v>
      </c>
      <c r="F1253" s="2" t="s">
        <v>935</v>
      </c>
      <c r="G1253" s="2" t="s">
        <v>14591</v>
      </c>
      <c r="H1253" s="3" t="str">
        <f>_xlfn.IFNA(INDEX(FieldDisagreements!C2:C999, MATCH(C1253,FieldDisagreements!A2:A999, 0)), "")</f>
        <v>effortless-owl</v>
      </c>
      <c r="I1253" s="3" t="str">
        <f>_xlfn.IFNA(INDEX(FieldDisagreements!D2:D999, MATCH(C1253,FieldDisagreements!A2:A999, 0)), "")</f>
        <v>StepTransitions.CountOfFromStepExecutions</v>
      </c>
      <c r="J1253" s="2" t="s">
        <v>1906</v>
      </c>
    </row>
    <row r="1254">
      <c r="A1254" s="2" t="s">
        <v>16509</v>
      </c>
      <c r="B1254" s="3" t="str">
        <f>_xlfn.CONCAT(C1254, " @ ", D1254)</f>
        <v>effortless-owl|StepTransitions.CountOfFromStepExecutions @ close-05-to-close-06</v>
      </c>
      <c r="C1254" s="2" t="s">
        <v>14864</v>
      </c>
      <c r="D1254" s="2" t="s">
        <v>635</v>
      </c>
      <c r="E1254" s="2" t="s">
        <v>37</v>
      </c>
      <c r="F1254" s="2" t="s">
        <v>935</v>
      </c>
      <c r="G1254" s="2" t="s">
        <v>14591</v>
      </c>
      <c r="H1254" s="3" t="str">
        <f>_xlfn.IFNA(INDEX(FieldDisagreements!C2:C999, MATCH(C1254,FieldDisagreements!A2:A999, 0)), "")</f>
        <v>effortless-owl</v>
      </c>
      <c r="I1254" s="3" t="str">
        <f>_xlfn.IFNA(INDEX(FieldDisagreements!D2:D999, MATCH(C1254,FieldDisagreements!A2:A999, 0)), "")</f>
        <v>StepTransitions.CountOfFromStepExecutions</v>
      </c>
      <c r="J1254" s="2" t="s">
        <v>1906</v>
      </c>
    </row>
    <row r="1255">
      <c r="A1255" s="2" t="s">
        <v>16510</v>
      </c>
      <c r="B1255" s="3" t="str">
        <f>_xlfn.CONCAT(C1255, " @ ", D1255)</f>
        <v>effortless-owl|StepTransitions.CountOfFromStepExecutions @ close-06-return-close-04</v>
      </c>
      <c r="C1255" s="2" t="s">
        <v>14864</v>
      </c>
      <c r="D1255" s="2" t="s">
        <v>649</v>
      </c>
      <c r="E1255" s="2" t="s">
        <v>37</v>
      </c>
      <c r="F1255" s="2" t="s">
        <v>935</v>
      </c>
      <c r="G1255" s="2" t="s">
        <v>14591</v>
      </c>
      <c r="H1255" s="3" t="str">
        <f>_xlfn.IFNA(INDEX(FieldDisagreements!C2:C999, MATCH(C1255,FieldDisagreements!A2:A999, 0)), "")</f>
        <v>effortless-owl</v>
      </c>
      <c r="I1255" s="3" t="str">
        <f>_xlfn.IFNA(INDEX(FieldDisagreements!D2:D999, MATCH(C1255,FieldDisagreements!A2:A999, 0)), "")</f>
        <v>StepTransitions.CountOfFromStepExecutions</v>
      </c>
      <c r="J1255" s="2" t="s">
        <v>1906</v>
      </c>
    </row>
    <row r="1256">
      <c r="A1256" s="2" t="s">
        <v>16511</v>
      </c>
      <c r="B1256" s="3" t="str">
        <f>_xlfn.CONCAT(C1256, " @ ", D1256)</f>
        <v>effortless-owl|StepTransitions.CountOfFromStepExecutions @ close-06-to-close-07</v>
      </c>
      <c r="C1256" s="2" t="s">
        <v>14864</v>
      </c>
      <c r="D1256" s="2" t="s">
        <v>636</v>
      </c>
      <c r="E1256" s="2" t="s">
        <v>37</v>
      </c>
      <c r="F1256" s="2" t="s">
        <v>935</v>
      </c>
      <c r="G1256" s="2" t="s">
        <v>14591</v>
      </c>
      <c r="H1256" s="3" t="str">
        <f>_xlfn.IFNA(INDEX(FieldDisagreements!C2:C999, MATCH(C1256,FieldDisagreements!A2:A999, 0)), "")</f>
        <v>effortless-owl</v>
      </c>
      <c r="I1256" s="3" t="str">
        <f>_xlfn.IFNA(INDEX(FieldDisagreements!D2:D999, MATCH(C1256,FieldDisagreements!A2:A999, 0)), "")</f>
        <v>StepTransitions.CountOfFromStepExecutions</v>
      </c>
      <c r="J1256" s="2" t="s">
        <v>1906</v>
      </c>
    </row>
    <row r="1257">
      <c r="A1257" s="2" t="s">
        <v>16512</v>
      </c>
      <c r="B1257" s="3" t="str">
        <f>_xlfn.CONCAT(C1257, " @ ", D1257)</f>
        <v>effortless-owl|StepTransitions.CountOfFromStepExecutions @ close-07-to-close-08</v>
      </c>
      <c r="C1257" s="2" t="s">
        <v>14864</v>
      </c>
      <c r="D1257" s="2" t="s">
        <v>637</v>
      </c>
      <c r="E1257" s="2" t="s">
        <v>37</v>
      </c>
      <c r="F1257" s="2" t="s">
        <v>935</v>
      </c>
      <c r="G1257" s="2" t="s">
        <v>14591</v>
      </c>
      <c r="H1257" s="3" t="str">
        <f>_xlfn.IFNA(INDEX(FieldDisagreements!C2:C999, MATCH(C1257,FieldDisagreements!A2:A999, 0)), "")</f>
        <v>effortless-owl</v>
      </c>
      <c r="I1257" s="3" t="str">
        <f>_xlfn.IFNA(INDEX(FieldDisagreements!D2:D999, MATCH(C1257,FieldDisagreements!A2:A999, 0)), "")</f>
        <v>StepTransitions.CountOfFromStepExecutions</v>
      </c>
      <c r="J1257" s="2" t="s">
        <v>1906</v>
      </c>
    </row>
    <row r="1258">
      <c r="A1258" s="2" t="s">
        <v>16513</v>
      </c>
      <c r="B1258" s="3" t="str">
        <f>_xlfn.CONCAT(C1258, " @ ", D1258)</f>
        <v>effortless-owl|StepTransitions.CountOfFromStepExecutions @ policy-01-to-policy-02</v>
      </c>
      <c r="C1258" s="2" t="s">
        <v>14864</v>
      </c>
      <c r="D1258" s="2" t="s">
        <v>638</v>
      </c>
      <c r="E1258" s="2" t="s">
        <v>37</v>
      </c>
      <c r="F1258" s="2" t="s">
        <v>935</v>
      </c>
      <c r="G1258" s="2" t="s">
        <v>14591</v>
      </c>
      <c r="H1258" s="3" t="str">
        <f>_xlfn.IFNA(INDEX(FieldDisagreements!C2:C999, MATCH(C1258,FieldDisagreements!A2:A999, 0)), "")</f>
        <v>effortless-owl</v>
      </c>
      <c r="I1258" s="3" t="str">
        <f>_xlfn.IFNA(INDEX(FieldDisagreements!D2:D999, MATCH(C1258,FieldDisagreements!A2:A999, 0)), "")</f>
        <v>StepTransitions.CountOfFromStepExecutions</v>
      </c>
      <c r="J1258" s="2" t="s">
        <v>1906</v>
      </c>
    </row>
    <row r="1259">
      <c r="A1259" s="2" t="s">
        <v>16514</v>
      </c>
      <c r="B1259" s="3" t="str">
        <f>_xlfn.CONCAT(C1259, " @ ", D1259)</f>
        <v>effortless-owl|StepTransitions.CountOfFromStepExecutions @ policy-02-to-policy-03</v>
      </c>
      <c r="C1259" s="2" t="s">
        <v>14864</v>
      </c>
      <c r="D1259" s="2" t="s">
        <v>639</v>
      </c>
      <c r="E1259" s="2" t="s">
        <v>37</v>
      </c>
      <c r="F1259" s="2" t="s">
        <v>935</v>
      </c>
      <c r="G1259" s="2" t="s">
        <v>14591</v>
      </c>
      <c r="H1259" s="3" t="str">
        <f>_xlfn.IFNA(INDEX(FieldDisagreements!C2:C999, MATCH(C1259,FieldDisagreements!A2:A999, 0)), "")</f>
        <v>effortless-owl</v>
      </c>
      <c r="I1259" s="3" t="str">
        <f>_xlfn.IFNA(INDEX(FieldDisagreements!D2:D999, MATCH(C1259,FieldDisagreements!A2:A999, 0)), "")</f>
        <v>StepTransitions.CountOfFromStepExecutions</v>
      </c>
      <c r="J1259" s="2" t="s">
        <v>1906</v>
      </c>
    </row>
    <row r="1260">
      <c r="A1260" s="2" t="s">
        <v>16515</v>
      </c>
      <c r="B1260" s="3" t="str">
        <f>_xlfn.CONCAT(C1260, " @ ", D1260)</f>
        <v>effortless-owl|StepTransitions.CountOfFromStepExecutions @ policy-03-to-policy-04</v>
      </c>
      <c r="C1260" s="2" t="s">
        <v>14864</v>
      </c>
      <c r="D1260" s="2" t="s">
        <v>640</v>
      </c>
      <c r="E1260" s="2" t="s">
        <v>37</v>
      </c>
      <c r="F1260" s="2" t="s">
        <v>935</v>
      </c>
      <c r="G1260" s="2" t="s">
        <v>14591</v>
      </c>
      <c r="H1260" s="3" t="str">
        <f>_xlfn.IFNA(INDEX(FieldDisagreements!C2:C999, MATCH(C1260,FieldDisagreements!A2:A999, 0)), "")</f>
        <v>effortless-owl</v>
      </c>
      <c r="I1260" s="3" t="str">
        <f>_xlfn.IFNA(INDEX(FieldDisagreements!D2:D999, MATCH(C1260,FieldDisagreements!A2:A999, 0)), "")</f>
        <v>StepTransitions.CountOfFromStepExecutions</v>
      </c>
      <c r="J1260" s="2" t="s">
        <v>1906</v>
      </c>
    </row>
    <row r="1261">
      <c r="A1261" s="2" t="s">
        <v>16516</v>
      </c>
      <c r="B1261" s="3" t="str">
        <f>_xlfn.CONCAT(C1261, " @ ", D1261)</f>
        <v>effortless-owl|StepTransitions.CountOfFromStepExecutions @ policy-04-return-policy-03</v>
      </c>
      <c r="C1261" s="2" t="s">
        <v>14864</v>
      </c>
      <c r="D1261" s="2" t="s">
        <v>652</v>
      </c>
      <c r="E1261" s="2" t="s">
        <v>37</v>
      </c>
      <c r="F1261" s="2" t="s">
        <v>935</v>
      </c>
      <c r="G1261" s="2" t="s">
        <v>14591</v>
      </c>
      <c r="H1261" s="3" t="str">
        <f>_xlfn.IFNA(INDEX(FieldDisagreements!C2:C999, MATCH(C1261,FieldDisagreements!A2:A999, 0)), "")</f>
        <v>effortless-owl</v>
      </c>
      <c r="I1261" s="3" t="str">
        <f>_xlfn.IFNA(INDEX(FieldDisagreements!D2:D999, MATCH(C1261,FieldDisagreements!A2:A999, 0)), "")</f>
        <v>StepTransitions.CountOfFromStepExecutions</v>
      </c>
      <c r="J1261" s="2" t="s">
        <v>1906</v>
      </c>
    </row>
    <row r="1262">
      <c r="A1262" s="2" t="s">
        <v>16517</v>
      </c>
      <c r="B1262" s="3" t="str">
        <f>_xlfn.CONCAT(C1262, " @ ", D1262)</f>
        <v>effortless-owl|StepTransitions.CountOfFromStepExecutions @ policy-04-to-policy-05</v>
      </c>
      <c r="C1262" s="2" t="s">
        <v>14864</v>
      </c>
      <c r="D1262" s="2" t="s">
        <v>641</v>
      </c>
      <c r="E1262" s="2" t="s">
        <v>37</v>
      </c>
      <c r="F1262" s="2" t="s">
        <v>935</v>
      </c>
      <c r="G1262" s="2" t="s">
        <v>14591</v>
      </c>
      <c r="H1262" s="3" t="str">
        <f>_xlfn.IFNA(INDEX(FieldDisagreements!C2:C999, MATCH(C1262,FieldDisagreements!A2:A999, 0)), "")</f>
        <v>effortless-owl</v>
      </c>
      <c r="I1262" s="3" t="str">
        <f>_xlfn.IFNA(INDEX(FieldDisagreements!D2:D999, MATCH(C1262,FieldDisagreements!A2:A999, 0)), "")</f>
        <v>StepTransitions.CountOfFromStepExecutions</v>
      </c>
      <c r="J1262" s="2" t="s">
        <v>1906</v>
      </c>
    </row>
    <row r="1263">
      <c r="A1263" s="2" t="s">
        <v>16518</v>
      </c>
      <c r="B1263" s="3" t="str">
        <f>_xlfn.CONCAT(C1263, " @ ", D1263)</f>
        <v>effortless-owl|StepTransitions.CountOfToStepExecutions @ close-01-to-close-02</v>
      </c>
      <c r="C1263" s="2" t="s">
        <v>14865</v>
      </c>
      <c r="D1263" s="2" t="s">
        <v>628</v>
      </c>
      <c r="E1263" s="2" t="s">
        <v>37</v>
      </c>
      <c r="F1263" s="2" t="s">
        <v>935</v>
      </c>
      <c r="G1263" s="2" t="s">
        <v>14591</v>
      </c>
      <c r="H1263" s="3" t="str">
        <f>_xlfn.IFNA(INDEX(FieldDisagreements!C2:C999, MATCH(C1263,FieldDisagreements!A2:A999, 0)), "")</f>
        <v>effortless-owl</v>
      </c>
      <c r="I1263" s="3" t="str">
        <f>_xlfn.IFNA(INDEX(FieldDisagreements!D2:D999, MATCH(C1263,FieldDisagreements!A2:A999, 0)), "")</f>
        <v>StepTransitions.CountOfToStepExecutions</v>
      </c>
      <c r="J1263" s="2" t="s">
        <v>1906</v>
      </c>
    </row>
    <row r="1264">
      <c r="A1264" s="2" t="s">
        <v>16519</v>
      </c>
      <c r="B1264" s="3" t="str">
        <f>_xlfn.CONCAT(C1264, " @ ", D1264)</f>
        <v>effortless-owl|StepTransitions.CountOfToStepExecutions @ close-02-to-close-03</v>
      </c>
      <c r="C1264" s="2" t="s">
        <v>14865</v>
      </c>
      <c r="D1264" s="2" t="s">
        <v>632</v>
      </c>
      <c r="E1264" s="2" t="s">
        <v>37</v>
      </c>
      <c r="F1264" s="2" t="s">
        <v>935</v>
      </c>
      <c r="G1264" s="2" t="s">
        <v>14591</v>
      </c>
      <c r="H1264" s="3" t="str">
        <f>_xlfn.IFNA(INDEX(FieldDisagreements!C2:C999, MATCH(C1264,FieldDisagreements!A2:A999, 0)), "")</f>
        <v>effortless-owl</v>
      </c>
      <c r="I1264" s="3" t="str">
        <f>_xlfn.IFNA(INDEX(FieldDisagreements!D2:D999, MATCH(C1264,FieldDisagreements!A2:A999, 0)), "")</f>
        <v>StepTransitions.CountOfToStepExecutions</v>
      </c>
      <c r="J1264" s="2" t="s">
        <v>1906</v>
      </c>
    </row>
    <row r="1265">
      <c r="A1265" s="2" t="s">
        <v>16520</v>
      </c>
      <c r="B1265" s="3" t="str">
        <f>_xlfn.CONCAT(C1265, " @ ", D1265)</f>
        <v>effortless-owl|StepTransitions.CountOfToStepExecutions @ close-03-to-close-04</v>
      </c>
      <c r="C1265" s="2" t="s">
        <v>14865</v>
      </c>
      <c r="D1265" s="2" t="s">
        <v>633</v>
      </c>
      <c r="E1265" s="2" t="s">
        <v>37</v>
      </c>
      <c r="F1265" s="2" t="s">
        <v>935</v>
      </c>
      <c r="G1265" s="2" t="s">
        <v>14591</v>
      </c>
      <c r="H1265" s="3" t="str">
        <f>_xlfn.IFNA(INDEX(FieldDisagreements!C2:C999, MATCH(C1265,FieldDisagreements!A2:A999, 0)), "")</f>
        <v>effortless-owl</v>
      </c>
      <c r="I1265" s="3" t="str">
        <f>_xlfn.IFNA(INDEX(FieldDisagreements!D2:D999, MATCH(C1265,FieldDisagreements!A2:A999, 0)), "")</f>
        <v>StepTransitions.CountOfToStepExecutions</v>
      </c>
      <c r="J1265" s="2" t="s">
        <v>1906</v>
      </c>
    </row>
    <row r="1266">
      <c r="A1266" s="2" t="s">
        <v>16521</v>
      </c>
      <c r="B1266" s="3" t="str">
        <f>_xlfn.CONCAT(C1266, " @ ", D1266)</f>
        <v>effortless-owl|StepTransitions.CountOfToStepExecutions @ close-04-fallback-close-03</v>
      </c>
      <c r="C1266" s="2" t="s">
        <v>14865</v>
      </c>
      <c r="D1266" s="2" t="s">
        <v>646</v>
      </c>
      <c r="E1266" s="2" t="s">
        <v>37</v>
      </c>
      <c r="F1266" s="2" t="s">
        <v>935</v>
      </c>
      <c r="G1266" s="2" t="s">
        <v>14591</v>
      </c>
      <c r="H1266" s="3" t="str">
        <f>_xlfn.IFNA(INDEX(FieldDisagreements!C2:C999, MATCH(C1266,FieldDisagreements!A2:A999, 0)), "")</f>
        <v>effortless-owl</v>
      </c>
      <c r="I1266" s="3" t="str">
        <f>_xlfn.IFNA(INDEX(FieldDisagreements!D2:D999, MATCH(C1266,FieldDisagreements!A2:A999, 0)), "")</f>
        <v>StepTransitions.CountOfToStepExecutions</v>
      </c>
      <c r="J1266" s="2" t="s">
        <v>1906</v>
      </c>
    </row>
    <row r="1267">
      <c r="A1267" s="2" t="s">
        <v>16522</v>
      </c>
      <c r="B1267" s="3" t="str">
        <f>_xlfn.CONCAT(C1267, " @ ", D1267)</f>
        <v>effortless-owl|StepTransitions.CountOfToStepExecutions @ close-04-to-close-05</v>
      </c>
      <c r="C1267" s="2" t="s">
        <v>14865</v>
      </c>
      <c r="D1267" s="2" t="s">
        <v>634</v>
      </c>
      <c r="E1267" s="2" t="s">
        <v>37</v>
      </c>
      <c r="F1267" s="2" t="s">
        <v>935</v>
      </c>
      <c r="G1267" s="2" t="s">
        <v>14591</v>
      </c>
      <c r="H1267" s="3" t="str">
        <f>_xlfn.IFNA(INDEX(FieldDisagreements!C2:C999, MATCH(C1267,FieldDisagreements!A2:A999, 0)), "")</f>
        <v>effortless-owl</v>
      </c>
      <c r="I1267" s="3" t="str">
        <f>_xlfn.IFNA(INDEX(FieldDisagreements!D2:D999, MATCH(C1267,FieldDisagreements!A2:A999, 0)), "")</f>
        <v>StepTransitions.CountOfToStepExecutions</v>
      </c>
      <c r="J1267" s="2" t="s">
        <v>1906</v>
      </c>
    </row>
    <row r="1268">
      <c r="A1268" s="2" t="s">
        <v>16523</v>
      </c>
      <c r="B1268" s="3" t="str">
        <f>_xlfn.CONCAT(C1268, " @ ", D1268)</f>
        <v>effortless-owl|StepTransitions.CountOfToStepExecutions @ close-05-to-close-06</v>
      </c>
      <c r="C1268" s="2" t="s">
        <v>14865</v>
      </c>
      <c r="D1268" s="2" t="s">
        <v>635</v>
      </c>
      <c r="E1268" s="2" t="s">
        <v>37</v>
      </c>
      <c r="F1268" s="2" t="s">
        <v>935</v>
      </c>
      <c r="G1268" s="2" t="s">
        <v>14591</v>
      </c>
      <c r="H1268" s="3" t="str">
        <f>_xlfn.IFNA(INDEX(FieldDisagreements!C2:C999, MATCH(C1268,FieldDisagreements!A2:A999, 0)), "")</f>
        <v>effortless-owl</v>
      </c>
      <c r="I1268" s="3" t="str">
        <f>_xlfn.IFNA(INDEX(FieldDisagreements!D2:D999, MATCH(C1268,FieldDisagreements!A2:A999, 0)), "")</f>
        <v>StepTransitions.CountOfToStepExecutions</v>
      </c>
      <c r="J1268" s="2" t="s">
        <v>1906</v>
      </c>
    </row>
    <row r="1269">
      <c r="A1269" s="2" t="s">
        <v>16524</v>
      </c>
      <c r="B1269" s="3" t="str">
        <f>_xlfn.CONCAT(C1269, " @ ", D1269)</f>
        <v>effortless-owl|StepTransitions.CountOfToStepExecutions @ close-06-return-close-04</v>
      </c>
      <c r="C1269" s="2" t="s">
        <v>14865</v>
      </c>
      <c r="D1269" s="2" t="s">
        <v>649</v>
      </c>
      <c r="E1269" s="2" t="s">
        <v>37</v>
      </c>
      <c r="F1269" s="2" t="s">
        <v>935</v>
      </c>
      <c r="G1269" s="2" t="s">
        <v>14591</v>
      </c>
      <c r="H1269" s="3" t="str">
        <f>_xlfn.IFNA(INDEX(FieldDisagreements!C2:C999, MATCH(C1269,FieldDisagreements!A2:A999, 0)), "")</f>
        <v>effortless-owl</v>
      </c>
      <c r="I1269" s="3" t="str">
        <f>_xlfn.IFNA(INDEX(FieldDisagreements!D2:D999, MATCH(C1269,FieldDisagreements!A2:A999, 0)), "")</f>
        <v>StepTransitions.CountOfToStepExecutions</v>
      </c>
      <c r="J1269" s="2" t="s">
        <v>1906</v>
      </c>
    </row>
    <row r="1270">
      <c r="A1270" s="2" t="s">
        <v>16525</v>
      </c>
      <c r="B1270" s="3" t="str">
        <f>_xlfn.CONCAT(C1270, " @ ", D1270)</f>
        <v>effortless-owl|StepTransitions.CountOfToStepExecutions @ close-06-to-close-07</v>
      </c>
      <c r="C1270" s="2" t="s">
        <v>14865</v>
      </c>
      <c r="D1270" s="2" t="s">
        <v>636</v>
      </c>
      <c r="E1270" s="2" t="s">
        <v>37</v>
      </c>
      <c r="F1270" s="2" t="s">
        <v>935</v>
      </c>
      <c r="G1270" s="2" t="s">
        <v>14591</v>
      </c>
      <c r="H1270" s="3" t="str">
        <f>_xlfn.IFNA(INDEX(FieldDisagreements!C2:C999, MATCH(C1270,FieldDisagreements!A2:A999, 0)), "")</f>
        <v>effortless-owl</v>
      </c>
      <c r="I1270" s="3" t="str">
        <f>_xlfn.IFNA(INDEX(FieldDisagreements!D2:D999, MATCH(C1270,FieldDisagreements!A2:A999, 0)), "")</f>
        <v>StepTransitions.CountOfToStepExecutions</v>
      </c>
      <c r="J1270" s="2" t="s">
        <v>1906</v>
      </c>
    </row>
    <row r="1271">
      <c r="A1271" s="2" t="s">
        <v>16526</v>
      </c>
      <c r="B1271" s="3" t="str">
        <f>_xlfn.CONCAT(C1271, " @ ", D1271)</f>
        <v>effortless-owl|StepTransitions.CountOfToStepExecutions @ close-07-to-close-08</v>
      </c>
      <c r="C1271" s="2" t="s">
        <v>14865</v>
      </c>
      <c r="D1271" s="2" t="s">
        <v>637</v>
      </c>
      <c r="E1271" s="2" t="s">
        <v>37</v>
      </c>
      <c r="F1271" s="2" t="s">
        <v>935</v>
      </c>
      <c r="G1271" s="2" t="s">
        <v>14591</v>
      </c>
      <c r="H1271" s="3" t="str">
        <f>_xlfn.IFNA(INDEX(FieldDisagreements!C2:C999, MATCH(C1271,FieldDisagreements!A2:A999, 0)), "")</f>
        <v>effortless-owl</v>
      </c>
      <c r="I1271" s="3" t="str">
        <f>_xlfn.IFNA(INDEX(FieldDisagreements!D2:D999, MATCH(C1271,FieldDisagreements!A2:A999, 0)), "")</f>
        <v>StepTransitions.CountOfToStepExecutions</v>
      </c>
      <c r="J1271" s="2" t="s">
        <v>1906</v>
      </c>
    </row>
    <row r="1272">
      <c r="A1272" s="2" t="s">
        <v>16527</v>
      </c>
      <c r="B1272" s="3" t="str">
        <f>_xlfn.CONCAT(C1272, " @ ", D1272)</f>
        <v>effortless-owl|StepTransitions.CountOfToStepExecutions @ policy-01-to-policy-02</v>
      </c>
      <c r="C1272" s="2" t="s">
        <v>14865</v>
      </c>
      <c r="D1272" s="2" t="s">
        <v>638</v>
      </c>
      <c r="E1272" s="2" t="s">
        <v>37</v>
      </c>
      <c r="F1272" s="2" t="s">
        <v>935</v>
      </c>
      <c r="G1272" s="2" t="s">
        <v>14591</v>
      </c>
      <c r="H1272" s="3" t="str">
        <f>_xlfn.IFNA(INDEX(FieldDisagreements!C2:C999, MATCH(C1272,FieldDisagreements!A2:A999, 0)), "")</f>
        <v>effortless-owl</v>
      </c>
      <c r="I1272" s="3" t="str">
        <f>_xlfn.IFNA(INDEX(FieldDisagreements!D2:D999, MATCH(C1272,FieldDisagreements!A2:A999, 0)), "")</f>
        <v>StepTransitions.CountOfToStepExecutions</v>
      </c>
      <c r="J1272" s="2" t="s">
        <v>1906</v>
      </c>
    </row>
    <row r="1273">
      <c r="A1273" s="2" t="s">
        <v>16528</v>
      </c>
      <c r="B1273" s="3" t="str">
        <f>_xlfn.CONCAT(C1273, " @ ", D1273)</f>
        <v>effortless-owl|StepTransitions.CountOfToStepExecutions @ policy-02-to-policy-03</v>
      </c>
      <c r="C1273" s="2" t="s">
        <v>14865</v>
      </c>
      <c r="D1273" s="2" t="s">
        <v>639</v>
      </c>
      <c r="E1273" s="2" t="s">
        <v>37</v>
      </c>
      <c r="F1273" s="2" t="s">
        <v>935</v>
      </c>
      <c r="G1273" s="2" t="s">
        <v>14591</v>
      </c>
      <c r="H1273" s="3" t="str">
        <f>_xlfn.IFNA(INDEX(FieldDisagreements!C2:C999, MATCH(C1273,FieldDisagreements!A2:A999, 0)), "")</f>
        <v>effortless-owl</v>
      </c>
      <c r="I1273" s="3" t="str">
        <f>_xlfn.IFNA(INDEX(FieldDisagreements!D2:D999, MATCH(C1273,FieldDisagreements!A2:A999, 0)), "")</f>
        <v>StepTransitions.CountOfToStepExecutions</v>
      </c>
      <c r="J1273" s="2" t="s">
        <v>1906</v>
      </c>
    </row>
    <row r="1274">
      <c r="A1274" s="2" t="s">
        <v>16529</v>
      </c>
      <c r="B1274" s="3" t="str">
        <f>_xlfn.CONCAT(C1274, " @ ", D1274)</f>
        <v>effortless-owl|StepTransitions.CountOfToStepExecutions @ policy-03-to-policy-04</v>
      </c>
      <c r="C1274" s="2" t="s">
        <v>14865</v>
      </c>
      <c r="D1274" s="2" t="s">
        <v>640</v>
      </c>
      <c r="E1274" s="2" t="s">
        <v>37</v>
      </c>
      <c r="F1274" s="2" t="s">
        <v>935</v>
      </c>
      <c r="G1274" s="2" t="s">
        <v>14591</v>
      </c>
      <c r="H1274" s="3" t="str">
        <f>_xlfn.IFNA(INDEX(FieldDisagreements!C2:C999, MATCH(C1274,FieldDisagreements!A2:A999, 0)), "")</f>
        <v>effortless-owl</v>
      </c>
      <c r="I1274" s="3" t="str">
        <f>_xlfn.IFNA(INDEX(FieldDisagreements!D2:D999, MATCH(C1274,FieldDisagreements!A2:A999, 0)), "")</f>
        <v>StepTransitions.CountOfToStepExecutions</v>
      </c>
      <c r="J1274" s="2" t="s">
        <v>1906</v>
      </c>
    </row>
    <row r="1275">
      <c r="A1275" s="2" t="s">
        <v>16530</v>
      </c>
      <c r="B1275" s="3" t="str">
        <f>_xlfn.CONCAT(C1275, " @ ", D1275)</f>
        <v>effortless-owl|StepTransitions.CountOfToStepExecutions @ policy-04-return-policy-03</v>
      </c>
      <c r="C1275" s="2" t="s">
        <v>14865</v>
      </c>
      <c r="D1275" s="2" t="s">
        <v>652</v>
      </c>
      <c r="E1275" s="2" t="s">
        <v>37</v>
      </c>
      <c r="F1275" s="2" t="s">
        <v>935</v>
      </c>
      <c r="G1275" s="2" t="s">
        <v>14591</v>
      </c>
      <c r="H1275" s="3" t="str">
        <f>_xlfn.IFNA(INDEX(FieldDisagreements!C2:C999, MATCH(C1275,FieldDisagreements!A2:A999, 0)), "")</f>
        <v>effortless-owl</v>
      </c>
      <c r="I1275" s="3" t="str">
        <f>_xlfn.IFNA(INDEX(FieldDisagreements!D2:D999, MATCH(C1275,FieldDisagreements!A2:A999, 0)), "")</f>
        <v>StepTransitions.CountOfToStepExecutions</v>
      </c>
      <c r="J1275" s="2" t="s">
        <v>1906</v>
      </c>
    </row>
    <row r="1276">
      <c r="A1276" s="2" t="s">
        <v>16531</v>
      </c>
      <c r="B1276" s="3" t="str">
        <f>_xlfn.CONCAT(C1276, " @ ", D1276)</f>
        <v>effortless-owl|StepTransitions.HasReachableOrigin @ close-01-to-close-02</v>
      </c>
      <c r="C1276" s="2" t="s">
        <v>14866</v>
      </c>
      <c r="D1276" s="2" t="s">
        <v>628</v>
      </c>
      <c r="E1276" s="2" t="s">
        <v>15035</v>
      </c>
      <c r="F1276" s="2" t="s">
        <v>15057</v>
      </c>
      <c r="G1276" s="2" t="s">
        <v>14591</v>
      </c>
      <c r="H1276" s="3" t="str">
        <f>_xlfn.IFNA(INDEX(FieldDisagreements!C2:C999, MATCH(C1276,FieldDisagreements!A2:A999, 0)), "")</f>
        <v>effortless-owl</v>
      </c>
      <c r="I1276" s="3" t="str">
        <f>_xlfn.IFNA(INDEX(FieldDisagreements!D2:D999, MATCH(C1276,FieldDisagreements!A2:A999, 0)), "")</f>
        <v>StepTransitions.HasReachableOrigin</v>
      </c>
      <c r="J1276" s="2" t="s">
        <v>1906</v>
      </c>
    </row>
    <row r="1277">
      <c r="A1277" s="2" t="s">
        <v>16532</v>
      </c>
      <c r="B1277" s="3" t="str">
        <f>_xlfn.CONCAT(C1277, " @ ", D1277)</f>
        <v>effortless-owl|StepTransitions.HasReachableOrigin @ close-02-to-close-03</v>
      </c>
      <c r="C1277" s="2" t="s">
        <v>14866</v>
      </c>
      <c r="D1277" s="2" t="s">
        <v>632</v>
      </c>
      <c r="E1277" s="2" t="s">
        <v>15035</v>
      </c>
      <c r="F1277" s="2" t="s">
        <v>15057</v>
      </c>
      <c r="G1277" s="2" t="s">
        <v>14591</v>
      </c>
      <c r="H1277" s="3" t="str">
        <f>_xlfn.IFNA(INDEX(FieldDisagreements!C2:C999, MATCH(C1277,FieldDisagreements!A2:A999, 0)), "")</f>
        <v>effortless-owl</v>
      </c>
      <c r="I1277" s="3" t="str">
        <f>_xlfn.IFNA(INDEX(FieldDisagreements!D2:D999, MATCH(C1277,FieldDisagreements!A2:A999, 0)), "")</f>
        <v>StepTransitions.HasReachableOrigin</v>
      </c>
      <c r="J1277" s="2" t="s">
        <v>1906</v>
      </c>
    </row>
    <row r="1278">
      <c r="A1278" s="2" t="s">
        <v>16533</v>
      </c>
      <c r="B1278" s="3" t="str">
        <f>_xlfn.CONCAT(C1278, " @ ", D1278)</f>
        <v>effortless-owl|StepTransitions.HasReachableOrigin @ close-03-to-close-04</v>
      </c>
      <c r="C1278" s="2" t="s">
        <v>14866</v>
      </c>
      <c r="D1278" s="2" t="s">
        <v>633</v>
      </c>
      <c r="E1278" s="2" t="s">
        <v>15035</v>
      </c>
      <c r="F1278" s="2" t="s">
        <v>15057</v>
      </c>
      <c r="G1278" s="2" t="s">
        <v>14591</v>
      </c>
      <c r="H1278" s="3" t="str">
        <f>_xlfn.IFNA(INDEX(FieldDisagreements!C2:C999, MATCH(C1278,FieldDisagreements!A2:A999, 0)), "")</f>
        <v>effortless-owl</v>
      </c>
      <c r="I1278" s="3" t="str">
        <f>_xlfn.IFNA(INDEX(FieldDisagreements!D2:D999, MATCH(C1278,FieldDisagreements!A2:A999, 0)), "")</f>
        <v>StepTransitions.HasReachableOrigin</v>
      </c>
      <c r="J1278" s="2" t="s">
        <v>1906</v>
      </c>
    </row>
    <row r="1279">
      <c r="A1279" s="2" t="s">
        <v>16534</v>
      </c>
      <c r="B1279" s="3" t="str">
        <f>_xlfn.CONCAT(C1279, " @ ", D1279)</f>
        <v>effortless-owl|StepTransitions.HasReachableOrigin @ close-04-fallback-close-03</v>
      </c>
      <c r="C1279" s="2" t="s">
        <v>14866</v>
      </c>
      <c r="D1279" s="2" t="s">
        <v>646</v>
      </c>
      <c r="E1279" s="2" t="s">
        <v>15035</v>
      </c>
      <c r="F1279" s="2" t="s">
        <v>15057</v>
      </c>
      <c r="G1279" s="2" t="s">
        <v>14591</v>
      </c>
      <c r="H1279" s="3" t="str">
        <f>_xlfn.IFNA(INDEX(FieldDisagreements!C2:C999, MATCH(C1279,FieldDisagreements!A2:A999, 0)), "")</f>
        <v>effortless-owl</v>
      </c>
      <c r="I1279" s="3" t="str">
        <f>_xlfn.IFNA(INDEX(FieldDisagreements!D2:D999, MATCH(C1279,FieldDisagreements!A2:A999, 0)), "")</f>
        <v>StepTransitions.HasReachableOrigin</v>
      </c>
      <c r="J1279" s="2" t="s">
        <v>1906</v>
      </c>
    </row>
    <row r="1280">
      <c r="A1280" s="2" t="s">
        <v>16535</v>
      </c>
      <c r="B1280" s="3" t="str">
        <f>_xlfn.CONCAT(C1280, " @ ", D1280)</f>
        <v>effortless-owl|StepTransitions.HasReachableOrigin @ close-04-to-close-05</v>
      </c>
      <c r="C1280" s="2" t="s">
        <v>14866</v>
      </c>
      <c r="D1280" s="2" t="s">
        <v>634</v>
      </c>
      <c r="E1280" s="2" t="s">
        <v>15035</v>
      </c>
      <c r="F1280" s="2" t="s">
        <v>15057</v>
      </c>
      <c r="G1280" s="2" t="s">
        <v>14591</v>
      </c>
      <c r="H1280" s="3" t="str">
        <f>_xlfn.IFNA(INDEX(FieldDisagreements!C2:C999, MATCH(C1280,FieldDisagreements!A2:A999, 0)), "")</f>
        <v>effortless-owl</v>
      </c>
      <c r="I1280" s="3" t="str">
        <f>_xlfn.IFNA(INDEX(FieldDisagreements!D2:D999, MATCH(C1280,FieldDisagreements!A2:A999, 0)), "")</f>
        <v>StepTransitions.HasReachableOrigin</v>
      </c>
      <c r="J1280" s="2" t="s">
        <v>1906</v>
      </c>
    </row>
    <row r="1281">
      <c r="A1281" s="2" t="s">
        <v>16536</v>
      </c>
      <c r="B1281" s="3" t="str">
        <f>_xlfn.CONCAT(C1281, " @ ", D1281)</f>
        <v>effortless-owl|StepTransitions.HasReachableOrigin @ close-05-to-close-06</v>
      </c>
      <c r="C1281" s="2" t="s">
        <v>14866</v>
      </c>
      <c r="D1281" s="2" t="s">
        <v>635</v>
      </c>
      <c r="E1281" s="2" t="s">
        <v>15035</v>
      </c>
      <c r="F1281" s="2" t="s">
        <v>15057</v>
      </c>
      <c r="G1281" s="2" t="s">
        <v>14591</v>
      </c>
      <c r="H1281" s="3" t="str">
        <f>_xlfn.IFNA(INDEX(FieldDisagreements!C2:C999, MATCH(C1281,FieldDisagreements!A2:A999, 0)), "")</f>
        <v>effortless-owl</v>
      </c>
      <c r="I1281" s="3" t="str">
        <f>_xlfn.IFNA(INDEX(FieldDisagreements!D2:D999, MATCH(C1281,FieldDisagreements!A2:A999, 0)), "")</f>
        <v>StepTransitions.HasReachableOrigin</v>
      </c>
      <c r="J1281" s="2" t="s">
        <v>1906</v>
      </c>
    </row>
    <row r="1282">
      <c r="A1282" s="2" t="s">
        <v>16537</v>
      </c>
      <c r="B1282" s="3" t="str">
        <f>_xlfn.CONCAT(C1282, " @ ", D1282)</f>
        <v>effortless-owl|StepTransitions.HasReachableOrigin @ close-06-return-close-04</v>
      </c>
      <c r="C1282" s="2" t="s">
        <v>14866</v>
      </c>
      <c r="D1282" s="2" t="s">
        <v>649</v>
      </c>
      <c r="E1282" s="2" t="s">
        <v>15035</v>
      </c>
      <c r="F1282" s="2" t="s">
        <v>15057</v>
      </c>
      <c r="G1282" s="2" t="s">
        <v>14591</v>
      </c>
      <c r="H1282" s="3" t="str">
        <f>_xlfn.IFNA(INDEX(FieldDisagreements!C2:C999, MATCH(C1282,FieldDisagreements!A2:A999, 0)), "")</f>
        <v>effortless-owl</v>
      </c>
      <c r="I1282" s="3" t="str">
        <f>_xlfn.IFNA(INDEX(FieldDisagreements!D2:D999, MATCH(C1282,FieldDisagreements!A2:A999, 0)), "")</f>
        <v>StepTransitions.HasReachableOrigin</v>
      </c>
      <c r="J1282" s="2" t="s">
        <v>1906</v>
      </c>
    </row>
    <row r="1283">
      <c r="A1283" s="2" t="s">
        <v>16538</v>
      </c>
      <c r="B1283" s="3" t="str">
        <f>_xlfn.CONCAT(C1283, " @ ", D1283)</f>
        <v>effortless-owl|StepTransitions.HasReachableOrigin @ close-06-to-close-07</v>
      </c>
      <c r="C1283" s="2" t="s">
        <v>14866</v>
      </c>
      <c r="D1283" s="2" t="s">
        <v>636</v>
      </c>
      <c r="E1283" s="2" t="s">
        <v>15035</v>
      </c>
      <c r="F1283" s="2" t="s">
        <v>15057</v>
      </c>
      <c r="G1283" s="2" t="s">
        <v>14591</v>
      </c>
      <c r="H1283" s="3" t="str">
        <f>_xlfn.IFNA(INDEX(FieldDisagreements!C2:C999, MATCH(C1283,FieldDisagreements!A2:A999, 0)), "")</f>
        <v>effortless-owl</v>
      </c>
      <c r="I1283" s="3" t="str">
        <f>_xlfn.IFNA(INDEX(FieldDisagreements!D2:D999, MATCH(C1283,FieldDisagreements!A2:A999, 0)), "")</f>
        <v>StepTransitions.HasReachableOrigin</v>
      </c>
      <c r="J1283" s="2" t="s">
        <v>1906</v>
      </c>
    </row>
    <row r="1284">
      <c r="A1284" s="2" t="s">
        <v>16539</v>
      </c>
      <c r="B1284" s="3" t="str">
        <f>_xlfn.CONCAT(C1284, " @ ", D1284)</f>
        <v>effortless-owl|StepTransitions.HasReachableOrigin @ close-07-to-close-08</v>
      </c>
      <c r="C1284" s="2" t="s">
        <v>14866</v>
      </c>
      <c r="D1284" s="2" t="s">
        <v>637</v>
      </c>
      <c r="E1284" s="2" t="s">
        <v>15035</v>
      </c>
      <c r="F1284" s="2" t="s">
        <v>15057</v>
      </c>
      <c r="G1284" s="2" t="s">
        <v>14591</v>
      </c>
      <c r="H1284" s="3" t="str">
        <f>_xlfn.IFNA(INDEX(FieldDisagreements!C2:C999, MATCH(C1284,FieldDisagreements!A2:A999, 0)), "")</f>
        <v>effortless-owl</v>
      </c>
      <c r="I1284" s="3" t="str">
        <f>_xlfn.IFNA(INDEX(FieldDisagreements!D2:D999, MATCH(C1284,FieldDisagreements!A2:A999, 0)), "")</f>
        <v>StepTransitions.HasReachableOrigin</v>
      </c>
      <c r="J1284" s="2" t="s">
        <v>1906</v>
      </c>
    </row>
    <row r="1285">
      <c r="A1285" s="2" t="s">
        <v>16540</v>
      </c>
      <c r="B1285" s="3" t="str">
        <f>_xlfn.CONCAT(C1285, " @ ", D1285)</f>
        <v>effortless-owl|StepTransitions.HasReachableOrigin @ policy-01-to-policy-02</v>
      </c>
      <c r="C1285" s="2" t="s">
        <v>14866</v>
      </c>
      <c r="D1285" s="2" t="s">
        <v>638</v>
      </c>
      <c r="E1285" s="2" t="s">
        <v>15035</v>
      </c>
      <c r="F1285" s="2" t="s">
        <v>15057</v>
      </c>
      <c r="G1285" s="2" t="s">
        <v>14591</v>
      </c>
      <c r="H1285" s="3" t="str">
        <f>_xlfn.IFNA(INDEX(FieldDisagreements!C2:C999, MATCH(C1285,FieldDisagreements!A2:A999, 0)), "")</f>
        <v>effortless-owl</v>
      </c>
      <c r="I1285" s="3" t="str">
        <f>_xlfn.IFNA(INDEX(FieldDisagreements!D2:D999, MATCH(C1285,FieldDisagreements!A2:A999, 0)), "")</f>
        <v>StepTransitions.HasReachableOrigin</v>
      </c>
      <c r="J1285" s="2" t="s">
        <v>1906</v>
      </c>
    </row>
    <row r="1286">
      <c r="A1286" s="2" t="s">
        <v>16541</v>
      </c>
      <c r="B1286" s="3" t="str">
        <f>_xlfn.CONCAT(C1286, " @ ", D1286)</f>
        <v>effortless-owl|StepTransitions.HasReachableOrigin @ policy-02-to-policy-03</v>
      </c>
      <c r="C1286" s="2" t="s">
        <v>14866</v>
      </c>
      <c r="D1286" s="2" t="s">
        <v>639</v>
      </c>
      <c r="E1286" s="2" t="s">
        <v>15035</v>
      </c>
      <c r="F1286" s="2" t="s">
        <v>15057</v>
      </c>
      <c r="G1286" s="2" t="s">
        <v>14591</v>
      </c>
      <c r="H1286" s="3" t="str">
        <f>_xlfn.IFNA(INDEX(FieldDisagreements!C2:C999, MATCH(C1286,FieldDisagreements!A2:A999, 0)), "")</f>
        <v>effortless-owl</v>
      </c>
      <c r="I1286" s="3" t="str">
        <f>_xlfn.IFNA(INDEX(FieldDisagreements!D2:D999, MATCH(C1286,FieldDisagreements!A2:A999, 0)), "")</f>
        <v>StepTransitions.HasReachableOrigin</v>
      </c>
      <c r="J1286" s="2" t="s">
        <v>1906</v>
      </c>
    </row>
    <row r="1287">
      <c r="A1287" s="2" t="s">
        <v>16542</v>
      </c>
      <c r="B1287" s="3" t="str">
        <f>_xlfn.CONCAT(C1287, " @ ", D1287)</f>
        <v>effortless-owl|StepTransitions.HasReachableOrigin @ policy-03-to-policy-04</v>
      </c>
      <c r="C1287" s="2" t="s">
        <v>14866</v>
      </c>
      <c r="D1287" s="2" t="s">
        <v>640</v>
      </c>
      <c r="E1287" s="2" t="s">
        <v>15035</v>
      </c>
      <c r="F1287" s="2" t="s">
        <v>15057</v>
      </c>
      <c r="G1287" s="2" t="s">
        <v>14591</v>
      </c>
      <c r="H1287" s="3" t="str">
        <f>_xlfn.IFNA(INDEX(FieldDisagreements!C2:C999, MATCH(C1287,FieldDisagreements!A2:A999, 0)), "")</f>
        <v>effortless-owl</v>
      </c>
      <c r="I1287" s="3" t="str">
        <f>_xlfn.IFNA(INDEX(FieldDisagreements!D2:D999, MATCH(C1287,FieldDisagreements!A2:A999, 0)), "")</f>
        <v>StepTransitions.HasReachableOrigin</v>
      </c>
      <c r="J1287" s="2" t="s">
        <v>1906</v>
      </c>
    </row>
    <row r="1288">
      <c r="A1288" s="2" t="s">
        <v>16543</v>
      </c>
      <c r="B1288" s="3" t="str">
        <f>_xlfn.CONCAT(C1288, " @ ", D1288)</f>
        <v>effortless-owl|StepTransitions.HasReachableOrigin @ policy-04-return-policy-03</v>
      </c>
      <c r="C1288" s="2" t="s">
        <v>14866</v>
      </c>
      <c r="D1288" s="2" t="s">
        <v>652</v>
      </c>
      <c r="E1288" s="2" t="s">
        <v>15035</v>
      </c>
      <c r="F1288" s="2" t="s">
        <v>15057</v>
      </c>
      <c r="G1288" s="2" t="s">
        <v>14591</v>
      </c>
      <c r="H1288" s="3" t="str">
        <f>_xlfn.IFNA(INDEX(FieldDisagreements!C2:C999, MATCH(C1288,FieldDisagreements!A2:A999, 0)), "")</f>
        <v>effortless-owl</v>
      </c>
      <c r="I1288" s="3" t="str">
        <f>_xlfn.IFNA(INDEX(FieldDisagreements!D2:D999, MATCH(C1288,FieldDisagreements!A2:A999, 0)), "")</f>
        <v>StepTransitions.HasReachableOrigin</v>
      </c>
      <c r="J1288" s="2" t="s">
        <v>1906</v>
      </c>
    </row>
    <row r="1289">
      <c r="A1289" s="2" t="s">
        <v>16544</v>
      </c>
      <c r="B1289" s="3" t="str">
        <f>_xlfn.CONCAT(C1289, " @ ", D1289)</f>
        <v>effortless-owl|StepTransitions.HasReachableOrigin @ policy-04-to-policy-05</v>
      </c>
      <c r="C1289" s="2" t="s">
        <v>14866</v>
      </c>
      <c r="D1289" s="2" t="s">
        <v>641</v>
      </c>
      <c r="E1289" s="2" t="s">
        <v>15035</v>
      </c>
      <c r="F1289" s="2" t="s">
        <v>15057</v>
      </c>
      <c r="G1289" s="2" t="s">
        <v>14591</v>
      </c>
      <c r="H1289" s="3" t="str">
        <f>_xlfn.IFNA(INDEX(FieldDisagreements!C2:C999, MATCH(C1289,FieldDisagreements!A2:A999, 0)), "")</f>
        <v>effortless-owl</v>
      </c>
      <c r="I1289" s="3" t="str">
        <f>_xlfn.IFNA(INDEX(FieldDisagreements!D2:D999, MATCH(C1289,FieldDisagreements!A2:A999, 0)), "")</f>
        <v>StepTransitions.HasReachableOrigin</v>
      </c>
      <c r="J1289" s="2" t="s">
        <v>1906</v>
      </c>
    </row>
    <row r="1290">
      <c r="A1290" s="2" t="s">
        <v>16545</v>
      </c>
      <c r="B1290" s="3" t="str">
        <f>_xlfn.CONCAT(C1290, " @ ", D1290)</f>
        <v>effortless-owl|StepTransitions.HasReachableTarget @ close-01-to-close-02</v>
      </c>
      <c r="C1290" s="2" t="s">
        <v>14867</v>
      </c>
      <c r="D1290" s="2" t="s">
        <v>628</v>
      </c>
      <c r="E1290" s="2" t="s">
        <v>15035</v>
      </c>
      <c r="F1290" s="2" t="s">
        <v>15057</v>
      </c>
      <c r="G1290" s="2" t="s">
        <v>14591</v>
      </c>
      <c r="H1290" s="3" t="str">
        <f>_xlfn.IFNA(INDEX(FieldDisagreements!C2:C999, MATCH(C1290,FieldDisagreements!A2:A999, 0)), "")</f>
        <v>effortless-owl</v>
      </c>
      <c r="I1290" s="3" t="str">
        <f>_xlfn.IFNA(INDEX(FieldDisagreements!D2:D999, MATCH(C1290,FieldDisagreements!A2:A999, 0)), "")</f>
        <v>StepTransitions.HasReachableTarget</v>
      </c>
      <c r="J1290" s="2" t="s">
        <v>1906</v>
      </c>
    </row>
    <row r="1291">
      <c r="A1291" s="2" t="s">
        <v>16546</v>
      </c>
      <c r="B1291" s="3" t="str">
        <f>_xlfn.CONCAT(C1291, " @ ", D1291)</f>
        <v>effortless-owl|StepTransitions.HasReachableTarget @ close-02-to-close-03</v>
      </c>
      <c r="C1291" s="2" t="s">
        <v>14867</v>
      </c>
      <c r="D1291" s="2" t="s">
        <v>632</v>
      </c>
      <c r="E1291" s="2" t="s">
        <v>15035</v>
      </c>
      <c r="F1291" s="2" t="s">
        <v>15057</v>
      </c>
      <c r="G1291" s="2" t="s">
        <v>14591</v>
      </c>
      <c r="H1291" s="3" t="str">
        <f>_xlfn.IFNA(INDEX(FieldDisagreements!C2:C999, MATCH(C1291,FieldDisagreements!A2:A999, 0)), "")</f>
        <v>effortless-owl</v>
      </c>
      <c r="I1291" s="3" t="str">
        <f>_xlfn.IFNA(INDEX(FieldDisagreements!D2:D999, MATCH(C1291,FieldDisagreements!A2:A999, 0)), "")</f>
        <v>StepTransitions.HasReachableTarget</v>
      </c>
      <c r="J1291" s="2" t="s">
        <v>1906</v>
      </c>
    </row>
    <row r="1292">
      <c r="A1292" s="2" t="s">
        <v>16547</v>
      </c>
      <c r="B1292" s="3" t="str">
        <f>_xlfn.CONCAT(C1292, " @ ", D1292)</f>
        <v>effortless-owl|StepTransitions.HasReachableTarget @ close-03-to-close-04</v>
      </c>
      <c r="C1292" s="2" t="s">
        <v>14867</v>
      </c>
      <c r="D1292" s="2" t="s">
        <v>633</v>
      </c>
      <c r="E1292" s="2" t="s">
        <v>15035</v>
      </c>
      <c r="F1292" s="2" t="s">
        <v>15057</v>
      </c>
      <c r="G1292" s="2" t="s">
        <v>14591</v>
      </c>
      <c r="H1292" s="3" t="str">
        <f>_xlfn.IFNA(INDEX(FieldDisagreements!C2:C999, MATCH(C1292,FieldDisagreements!A2:A999, 0)), "")</f>
        <v>effortless-owl</v>
      </c>
      <c r="I1292" s="3" t="str">
        <f>_xlfn.IFNA(INDEX(FieldDisagreements!D2:D999, MATCH(C1292,FieldDisagreements!A2:A999, 0)), "")</f>
        <v>StepTransitions.HasReachableTarget</v>
      </c>
      <c r="J1292" s="2" t="s">
        <v>1906</v>
      </c>
    </row>
    <row r="1293">
      <c r="A1293" s="2" t="s">
        <v>16548</v>
      </c>
      <c r="B1293" s="3" t="str">
        <f>_xlfn.CONCAT(C1293, " @ ", D1293)</f>
        <v>effortless-owl|StepTransitions.HasReachableTarget @ close-04-fallback-close-03</v>
      </c>
      <c r="C1293" s="2" t="s">
        <v>14867</v>
      </c>
      <c r="D1293" s="2" t="s">
        <v>646</v>
      </c>
      <c r="E1293" s="2" t="s">
        <v>15035</v>
      </c>
      <c r="F1293" s="2" t="s">
        <v>15057</v>
      </c>
      <c r="G1293" s="2" t="s">
        <v>14591</v>
      </c>
      <c r="H1293" s="3" t="str">
        <f>_xlfn.IFNA(INDEX(FieldDisagreements!C2:C999, MATCH(C1293,FieldDisagreements!A2:A999, 0)), "")</f>
        <v>effortless-owl</v>
      </c>
      <c r="I1293" s="3" t="str">
        <f>_xlfn.IFNA(INDEX(FieldDisagreements!D2:D999, MATCH(C1293,FieldDisagreements!A2:A999, 0)), "")</f>
        <v>StepTransitions.HasReachableTarget</v>
      </c>
      <c r="J1293" s="2" t="s">
        <v>1906</v>
      </c>
    </row>
    <row r="1294">
      <c r="A1294" s="2" t="s">
        <v>16549</v>
      </c>
      <c r="B1294" s="3" t="str">
        <f>_xlfn.CONCAT(C1294, " @ ", D1294)</f>
        <v>effortless-owl|StepTransitions.HasReachableTarget @ close-04-to-close-05</v>
      </c>
      <c r="C1294" s="2" t="s">
        <v>14867</v>
      </c>
      <c r="D1294" s="2" t="s">
        <v>634</v>
      </c>
      <c r="E1294" s="2" t="s">
        <v>15035</v>
      </c>
      <c r="F1294" s="2" t="s">
        <v>15057</v>
      </c>
      <c r="G1294" s="2" t="s">
        <v>14591</v>
      </c>
      <c r="H1294" s="3" t="str">
        <f>_xlfn.IFNA(INDEX(FieldDisagreements!C2:C999, MATCH(C1294,FieldDisagreements!A2:A999, 0)), "")</f>
        <v>effortless-owl</v>
      </c>
      <c r="I1294" s="3" t="str">
        <f>_xlfn.IFNA(INDEX(FieldDisagreements!D2:D999, MATCH(C1294,FieldDisagreements!A2:A999, 0)), "")</f>
        <v>StepTransitions.HasReachableTarget</v>
      </c>
      <c r="J1294" s="2" t="s">
        <v>1906</v>
      </c>
    </row>
    <row r="1295">
      <c r="A1295" s="2" t="s">
        <v>16550</v>
      </c>
      <c r="B1295" s="3" t="str">
        <f>_xlfn.CONCAT(C1295, " @ ", D1295)</f>
        <v>effortless-owl|StepTransitions.HasReachableTarget @ close-05-to-close-06</v>
      </c>
      <c r="C1295" s="2" t="s">
        <v>14867</v>
      </c>
      <c r="D1295" s="2" t="s">
        <v>635</v>
      </c>
      <c r="E1295" s="2" t="s">
        <v>15035</v>
      </c>
      <c r="F1295" s="2" t="s">
        <v>15057</v>
      </c>
      <c r="G1295" s="2" t="s">
        <v>14591</v>
      </c>
      <c r="H1295" s="3" t="str">
        <f>_xlfn.IFNA(INDEX(FieldDisagreements!C2:C999, MATCH(C1295,FieldDisagreements!A2:A999, 0)), "")</f>
        <v>effortless-owl</v>
      </c>
      <c r="I1295" s="3" t="str">
        <f>_xlfn.IFNA(INDEX(FieldDisagreements!D2:D999, MATCH(C1295,FieldDisagreements!A2:A999, 0)), "")</f>
        <v>StepTransitions.HasReachableTarget</v>
      </c>
      <c r="J1295" s="2" t="s">
        <v>1906</v>
      </c>
    </row>
    <row r="1296">
      <c r="A1296" s="2" t="s">
        <v>16551</v>
      </c>
      <c r="B1296" s="3" t="str">
        <f>_xlfn.CONCAT(C1296, " @ ", D1296)</f>
        <v>effortless-owl|StepTransitions.HasReachableTarget @ close-06-return-close-04</v>
      </c>
      <c r="C1296" s="2" t="s">
        <v>14867</v>
      </c>
      <c r="D1296" s="2" t="s">
        <v>649</v>
      </c>
      <c r="E1296" s="2" t="s">
        <v>15035</v>
      </c>
      <c r="F1296" s="2" t="s">
        <v>15057</v>
      </c>
      <c r="G1296" s="2" t="s">
        <v>14591</v>
      </c>
      <c r="H1296" s="3" t="str">
        <f>_xlfn.IFNA(INDEX(FieldDisagreements!C2:C999, MATCH(C1296,FieldDisagreements!A2:A999, 0)), "")</f>
        <v>effortless-owl</v>
      </c>
      <c r="I1296" s="3" t="str">
        <f>_xlfn.IFNA(INDEX(FieldDisagreements!D2:D999, MATCH(C1296,FieldDisagreements!A2:A999, 0)), "")</f>
        <v>StepTransitions.HasReachableTarget</v>
      </c>
      <c r="J1296" s="2" t="s">
        <v>1906</v>
      </c>
    </row>
    <row r="1297">
      <c r="A1297" s="2" t="s">
        <v>16552</v>
      </c>
      <c r="B1297" s="3" t="str">
        <f>_xlfn.CONCAT(C1297, " @ ", D1297)</f>
        <v>effortless-owl|StepTransitions.HasReachableTarget @ close-06-to-close-07</v>
      </c>
      <c r="C1297" s="2" t="s">
        <v>14867</v>
      </c>
      <c r="D1297" s="2" t="s">
        <v>636</v>
      </c>
      <c r="E1297" s="2" t="s">
        <v>15035</v>
      </c>
      <c r="F1297" s="2" t="s">
        <v>15057</v>
      </c>
      <c r="G1297" s="2" t="s">
        <v>14591</v>
      </c>
      <c r="H1297" s="3" t="str">
        <f>_xlfn.IFNA(INDEX(FieldDisagreements!C2:C999, MATCH(C1297,FieldDisagreements!A2:A999, 0)), "")</f>
        <v>effortless-owl</v>
      </c>
      <c r="I1297" s="3" t="str">
        <f>_xlfn.IFNA(INDEX(FieldDisagreements!D2:D999, MATCH(C1297,FieldDisagreements!A2:A999, 0)), "")</f>
        <v>StepTransitions.HasReachableTarget</v>
      </c>
      <c r="J1297" s="2" t="s">
        <v>1906</v>
      </c>
    </row>
    <row r="1298">
      <c r="A1298" s="2" t="s">
        <v>16553</v>
      </c>
      <c r="B1298" s="3" t="str">
        <f>_xlfn.CONCAT(C1298, " @ ", D1298)</f>
        <v>effortless-owl|StepTransitions.HasReachableTarget @ close-07-to-close-08</v>
      </c>
      <c r="C1298" s="2" t="s">
        <v>14867</v>
      </c>
      <c r="D1298" s="2" t="s">
        <v>637</v>
      </c>
      <c r="E1298" s="2" t="s">
        <v>15035</v>
      </c>
      <c r="F1298" s="2" t="s">
        <v>15057</v>
      </c>
      <c r="G1298" s="2" t="s">
        <v>14591</v>
      </c>
      <c r="H1298" s="3" t="str">
        <f>_xlfn.IFNA(INDEX(FieldDisagreements!C2:C999, MATCH(C1298,FieldDisagreements!A2:A999, 0)), "")</f>
        <v>effortless-owl</v>
      </c>
      <c r="I1298" s="3" t="str">
        <f>_xlfn.IFNA(INDEX(FieldDisagreements!D2:D999, MATCH(C1298,FieldDisagreements!A2:A999, 0)), "")</f>
        <v>StepTransitions.HasReachableTarget</v>
      </c>
      <c r="J1298" s="2" t="s">
        <v>1906</v>
      </c>
    </row>
    <row r="1299">
      <c r="A1299" s="2" t="s">
        <v>16554</v>
      </c>
      <c r="B1299" s="3" t="str">
        <f>_xlfn.CONCAT(C1299, " @ ", D1299)</f>
        <v>effortless-owl|StepTransitions.HasReachableTarget @ policy-01-to-policy-02</v>
      </c>
      <c r="C1299" s="2" t="s">
        <v>14867</v>
      </c>
      <c r="D1299" s="2" t="s">
        <v>638</v>
      </c>
      <c r="E1299" s="2" t="s">
        <v>15035</v>
      </c>
      <c r="F1299" s="2" t="s">
        <v>15057</v>
      </c>
      <c r="G1299" s="2" t="s">
        <v>14591</v>
      </c>
      <c r="H1299" s="3" t="str">
        <f>_xlfn.IFNA(INDEX(FieldDisagreements!C2:C999, MATCH(C1299,FieldDisagreements!A2:A999, 0)), "")</f>
        <v>effortless-owl</v>
      </c>
      <c r="I1299" s="3" t="str">
        <f>_xlfn.IFNA(INDEX(FieldDisagreements!D2:D999, MATCH(C1299,FieldDisagreements!A2:A999, 0)), "")</f>
        <v>StepTransitions.HasReachableTarget</v>
      </c>
      <c r="J1299" s="2" t="s">
        <v>1906</v>
      </c>
    </row>
    <row r="1300">
      <c r="A1300" s="2" t="s">
        <v>16555</v>
      </c>
      <c r="B1300" s="3" t="str">
        <f>_xlfn.CONCAT(C1300, " @ ", D1300)</f>
        <v>effortless-owl|StepTransitions.HasReachableTarget @ policy-02-to-policy-03</v>
      </c>
      <c r="C1300" s="2" t="s">
        <v>14867</v>
      </c>
      <c r="D1300" s="2" t="s">
        <v>639</v>
      </c>
      <c r="E1300" s="2" t="s">
        <v>15035</v>
      </c>
      <c r="F1300" s="2" t="s">
        <v>15057</v>
      </c>
      <c r="G1300" s="2" t="s">
        <v>14591</v>
      </c>
      <c r="H1300" s="3" t="str">
        <f>_xlfn.IFNA(INDEX(FieldDisagreements!C2:C999, MATCH(C1300,FieldDisagreements!A2:A999, 0)), "")</f>
        <v>effortless-owl</v>
      </c>
      <c r="I1300" s="3" t="str">
        <f>_xlfn.IFNA(INDEX(FieldDisagreements!D2:D999, MATCH(C1300,FieldDisagreements!A2:A999, 0)), "")</f>
        <v>StepTransitions.HasReachableTarget</v>
      </c>
      <c r="J1300" s="2" t="s">
        <v>1906</v>
      </c>
    </row>
    <row r="1301">
      <c r="A1301" s="2" t="s">
        <v>16556</v>
      </c>
      <c r="B1301" s="3" t="str">
        <f>_xlfn.CONCAT(C1301, " @ ", D1301)</f>
        <v>effortless-owl|StepTransitions.HasReachableTarget @ policy-03-to-policy-04</v>
      </c>
      <c r="C1301" s="2" t="s">
        <v>14867</v>
      </c>
      <c r="D1301" s="2" t="s">
        <v>640</v>
      </c>
      <c r="E1301" s="2" t="s">
        <v>15035</v>
      </c>
      <c r="F1301" s="2" t="s">
        <v>15057</v>
      </c>
      <c r="G1301" s="2" t="s">
        <v>14591</v>
      </c>
      <c r="H1301" s="3" t="str">
        <f>_xlfn.IFNA(INDEX(FieldDisagreements!C2:C999, MATCH(C1301,FieldDisagreements!A2:A999, 0)), "")</f>
        <v>effortless-owl</v>
      </c>
      <c r="I1301" s="3" t="str">
        <f>_xlfn.IFNA(INDEX(FieldDisagreements!D2:D999, MATCH(C1301,FieldDisagreements!A2:A999, 0)), "")</f>
        <v>StepTransitions.HasReachableTarget</v>
      </c>
      <c r="J1301" s="2" t="s">
        <v>1906</v>
      </c>
    </row>
    <row r="1302">
      <c r="A1302" s="2" t="s">
        <v>16557</v>
      </c>
      <c r="B1302" s="3" t="str">
        <f>_xlfn.CONCAT(C1302, " @ ", D1302)</f>
        <v>effortless-owl|StepTransitions.HasReachableTarget @ policy-04-return-policy-03</v>
      </c>
      <c r="C1302" s="2" t="s">
        <v>14867</v>
      </c>
      <c r="D1302" s="2" t="s">
        <v>652</v>
      </c>
      <c r="E1302" s="2" t="s">
        <v>15035</v>
      </c>
      <c r="F1302" s="2" t="s">
        <v>15057</v>
      </c>
      <c r="G1302" s="2" t="s">
        <v>14591</v>
      </c>
      <c r="H1302" s="3" t="str">
        <f>_xlfn.IFNA(INDEX(FieldDisagreements!C2:C999, MATCH(C1302,FieldDisagreements!A2:A999, 0)), "")</f>
        <v>effortless-owl</v>
      </c>
      <c r="I1302" s="3" t="str">
        <f>_xlfn.IFNA(INDEX(FieldDisagreements!D2:D999, MATCH(C1302,FieldDisagreements!A2:A999, 0)), "")</f>
        <v>StepTransitions.HasReachableTarget</v>
      </c>
      <c r="J1302" s="2" t="s">
        <v>1906</v>
      </c>
    </row>
    <row r="1303">
      <c r="A1303" s="2" t="s">
        <v>16558</v>
      </c>
      <c r="B1303" s="3" t="str">
        <f>_xlfn.CONCAT(C1303, " @ ", D1303)</f>
        <v>effortless-owl|StepTransitions.IsNeverExercised @ close-01-to-close-02</v>
      </c>
      <c r="C1303" s="2" t="s">
        <v>14868</v>
      </c>
      <c r="D1303" s="2" t="s">
        <v>628</v>
      </c>
      <c r="E1303" s="2" t="s">
        <v>15057</v>
      </c>
      <c r="F1303" s="2" t="s">
        <v>15035</v>
      </c>
      <c r="G1303" s="2" t="s">
        <v>14591</v>
      </c>
      <c r="H1303" s="3" t="str">
        <f>_xlfn.IFNA(INDEX(FieldDisagreements!C2:C999, MATCH(C1303,FieldDisagreements!A2:A999, 0)), "")</f>
        <v>effortless-owl</v>
      </c>
      <c r="I1303" s="3" t="str">
        <f>_xlfn.IFNA(INDEX(FieldDisagreements!D2:D999, MATCH(C1303,FieldDisagreements!A2:A999, 0)), "")</f>
        <v>StepTransitions.IsNeverExercised</v>
      </c>
      <c r="J1303" s="2" t="s">
        <v>1906</v>
      </c>
    </row>
    <row r="1304">
      <c r="A1304" s="2" t="s">
        <v>16559</v>
      </c>
      <c r="B1304" s="3" t="str">
        <f>_xlfn.CONCAT(C1304, " @ ", D1304)</f>
        <v>effortless-owl|StepTransitions.IsNeverExercised @ close-02-to-close-03</v>
      </c>
      <c r="C1304" s="2" t="s">
        <v>14868</v>
      </c>
      <c r="D1304" s="2" t="s">
        <v>632</v>
      </c>
      <c r="E1304" s="2" t="s">
        <v>15057</v>
      </c>
      <c r="F1304" s="2" t="s">
        <v>15035</v>
      </c>
      <c r="G1304" s="2" t="s">
        <v>14591</v>
      </c>
      <c r="H1304" s="3" t="str">
        <f>_xlfn.IFNA(INDEX(FieldDisagreements!C2:C999, MATCH(C1304,FieldDisagreements!A2:A999, 0)), "")</f>
        <v>effortless-owl</v>
      </c>
      <c r="I1304" s="3" t="str">
        <f>_xlfn.IFNA(INDEX(FieldDisagreements!D2:D999, MATCH(C1304,FieldDisagreements!A2:A999, 0)), "")</f>
        <v>StepTransitions.IsNeverExercised</v>
      </c>
      <c r="J1304" s="2" t="s">
        <v>1906</v>
      </c>
    </row>
    <row r="1305">
      <c r="A1305" s="2" t="s">
        <v>16560</v>
      </c>
      <c r="B1305" s="3" t="str">
        <f>_xlfn.CONCAT(C1305, " @ ", D1305)</f>
        <v>effortless-owl|StepTransitions.IsNeverExercised @ close-03-to-close-04</v>
      </c>
      <c r="C1305" s="2" t="s">
        <v>14868</v>
      </c>
      <c r="D1305" s="2" t="s">
        <v>633</v>
      </c>
      <c r="E1305" s="2" t="s">
        <v>15057</v>
      </c>
      <c r="F1305" s="2" t="s">
        <v>15035</v>
      </c>
      <c r="G1305" s="2" t="s">
        <v>14591</v>
      </c>
      <c r="H1305" s="3" t="str">
        <f>_xlfn.IFNA(INDEX(FieldDisagreements!C2:C999, MATCH(C1305,FieldDisagreements!A2:A999, 0)), "")</f>
        <v>effortless-owl</v>
      </c>
      <c r="I1305" s="3" t="str">
        <f>_xlfn.IFNA(INDEX(FieldDisagreements!D2:D999, MATCH(C1305,FieldDisagreements!A2:A999, 0)), "")</f>
        <v>StepTransitions.IsNeverExercised</v>
      </c>
      <c r="J1305" s="2" t="s">
        <v>1906</v>
      </c>
    </row>
    <row r="1306">
      <c r="A1306" s="2" t="s">
        <v>16561</v>
      </c>
      <c r="B1306" s="3" t="str">
        <f>_xlfn.CONCAT(C1306, " @ ", D1306)</f>
        <v>effortless-owl|StepTransitions.IsNeverExercised @ close-04-fallback-close-03</v>
      </c>
      <c r="C1306" s="2" t="s">
        <v>14868</v>
      </c>
      <c r="D1306" s="2" t="s">
        <v>646</v>
      </c>
      <c r="E1306" s="2" t="s">
        <v>15057</v>
      </c>
      <c r="F1306" s="2" t="s">
        <v>15035</v>
      </c>
      <c r="G1306" s="2" t="s">
        <v>14591</v>
      </c>
      <c r="H1306" s="3" t="str">
        <f>_xlfn.IFNA(INDEX(FieldDisagreements!C2:C999, MATCH(C1306,FieldDisagreements!A2:A999, 0)), "")</f>
        <v>effortless-owl</v>
      </c>
      <c r="I1306" s="3" t="str">
        <f>_xlfn.IFNA(INDEX(FieldDisagreements!D2:D999, MATCH(C1306,FieldDisagreements!A2:A999, 0)), "")</f>
        <v>StepTransitions.IsNeverExercised</v>
      </c>
      <c r="J1306" s="2" t="s">
        <v>1906</v>
      </c>
    </row>
    <row r="1307">
      <c r="A1307" s="2" t="s">
        <v>16562</v>
      </c>
      <c r="B1307" s="3" t="str">
        <f>_xlfn.CONCAT(C1307, " @ ", D1307)</f>
        <v>effortless-owl|StepTransitions.IsNeverExercised @ close-04-to-close-05</v>
      </c>
      <c r="C1307" s="2" t="s">
        <v>14868</v>
      </c>
      <c r="D1307" s="2" t="s">
        <v>634</v>
      </c>
      <c r="E1307" s="2" t="s">
        <v>15057</v>
      </c>
      <c r="F1307" s="2" t="s">
        <v>15035</v>
      </c>
      <c r="G1307" s="2" t="s">
        <v>14591</v>
      </c>
      <c r="H1307" s="3" t="str">
        <f>_xlfn.IFNA(INDEX(FieldDisagreements!C2:C999, MATCH(C1307,FieldDisagreements!A2:A999, 0)), "")</f>
        <v>effortless-owl</v>
      </c>
      <c r="I1307" s="3" t="str">
        <f>_xlfn.IFNA(INDEX(FieldDisagreements!D2:D999, MATCH(C1307,FieldDisagreements!A2:A999, 0)), "")</f>
        <v>StepTransitions.IsNeverExercised</v>
      </c>
      <c r="J1307" s="2" t="s">
        <v>1906</v>
      </c>
    </row>
    <row r="1308">
      <c r="A1308" s="2" t="s">
        <v>16563</v>
      </c>
      <c r="B1308" s="3" t="str">
        <f>_xlfn.CONCAT(C1308, " @ ", D1308)</f>
        <v>effortless-owl|StepTransitions.IsNeverExercised @ close-05-to-close-06</v>
      </c>
      <c r="C1308" s="2" t="s">
        <v>14868</v>
      </c>
      <c r="D1308" s="2" t="s">
        <v>635</v>
      </c>
      <c r="E1308" s="2" t="s">
        <v>15057</v>
      </c>
      <c r="F1308" s="2" t="s">
        <v>15035</v>
      </c>
      <c r="G1308" s="2" t="s">
        <v>14591</v>
      </c>
      <c r="H1308" s="3" t="str">
        <f>_xlfn.IFNA(INDEX(FieldDisagreements!C2:C999, MATCH(C1308,FieldDisagreements!A2:A999, 0)), "")</f>
        <v>effortless-owl</v>
      </c>
      <c r="I1308" s="3" t="str">
        <f>_xlfn.IFNA(INDEX(FieldDisagreements!D2:D999, MATCH(C1308,FieldDisagreements!A2:A999, 0)), "")</f>
        <v>StepTransitions.IsNeverExercised</v>
      </c>
      <c r="J1308" s="2" t="s">
        <v>1906</v>
      </c>
    </row>
    <row r="1309">
      <c r="A1309" s="2" t="s">
        <v>16564</v>
      </c>
      <c r="B1309" s="3" t="str">
        <f>_xlfn.CONCAT(C1309, " @ ", D1309)</f>
        <v>effortless-owl|StepTransitions.IsNeverExercised @ close-06-return-close-04</v>
      </c>
      <c r="C1309" s="2" t="s">
        <v>14868</v>
      </c>
      <c r="D1309" s="2" t="s">
        <v>649</v>
      </c>
      <c r="E1309" s="2" t="s">
        <v>15057</v>
      </c>
      <c r="F1309" s="2" t="s">
        <v>15035</v>
      </c>
      <c r="G1309" s="2" t="s">
        <v>14591</v>
      </c>
      <c r="H1309" s="3" t="str">
        <f>_xlfn.IFNA(INDEX(FieldDisagreements!C2:C999, MATCH(C1309,FieldDisagreements!A2:A999, 0)), "")</f>
        <v>effortless-owl</v>
      </c>
      <c r="I1309" s="3" t="str">
        <f>_xlfn.IFNA(INDEX(FieldDisagreements!D2:D999, MATCH(C1309,FieldDisagreements!A2:A999, 0)), "")</f>
        <v>StepTransitions.IsNeverExercised</v>
      </c>
      <c r="J1309" s="2" t="s">
        <v>1906</v>
      </c>
    </row>
    <row r="1310">
      <c r="A1310" s="2" t="s">
        <v>16565</v>
      </c>
      <c r="B1310" s="3" t="str">
        <f>_xlfn.CONCAT(C1310, " @ ", D1310)</f>
        <v>effortless-owl|StepTransitions.IsNeverExercised @ close-06-to-close-07</v>
      </c>
      <c r="C1310" s="2" t="s">
        <v>14868</v>
      </c>
      <c r="D1310" s="2" t="s">
        <v>636</v>
      </c>
      <c r="E1310" s="2" t="s">
        <v>15057</v>
      </c>
      <c r="F1310" s="2" t="s">
        <v>15035</v>
      </c>
      <c r="G1310" s="2" t="s">
        <v>14591</v>
      </c>
      <c r="H1310" s="3" t="str">
        <f>_xlfn.IFNA(INDEX(FieldDisagreements!C2:C999, MATCH(C1310,FieldDisagreements!A2:A999, 0)), "")</f>
        <v>effortless-owl</v>
      </c>
      <c r="I1310" s="3" t="str">
        <f>_xlfn.IFNA(INDEX(FieldDisagreements!D2:D999, MATCH(C1310,FieldDisagreements!A2:A999, 0)), "")</f>
        <v>StepTransitions.IsNeverExercised</v>
      </c>
      <c r="J1310" s="2" t="s">
        <v>1906</v>
      </c>
    </row>
    <row r="1311">
      <c r="A1311" s="2" t="s">
        <v>16566</v>
      </c>
      <c r="B1311" s="3" t="str">
        <f>_xlfn.CONCAT(C1311, " @ ", D1311)</f>
        <v>effortless-owl|StepTransitions.IsNeverExercised @ close-07-to-close-08</v>
      </c>
      <c r="C1311" s="2" t="s">
        <v>14868</v>
      </c>
      <c r="D1311" s="2" t="s">
        <v>637</v>
      </c>
      <c r="E1311" s="2" t="s">
        <v>15057</v>
      </c>
      <c r="F1311" s="2" t="s">
        <v>15035</v>
      </c>
      <c r="G1311" s="2" t="s">
        <v>14591</v>
      </c>
      <c r="H1311" s="3" t="str">
        <f>_xlfn.IFNA(INDEX(FieldDisagreements!C2:C999, MATCH(C1311,FieldDisagreements!A2:A999, 0)), "")</f>
        <v>effortless-owl</v>
      </c>
      <c r="I1311" s="3" t="str">
        <f>_xlfn.IFNA(INDEX(FieldDisagreements!D2:D999, MATCH(C1311,FieldDisagreements!A2:A999, 0)), "")</f>
        <v>StepTransitions.IsNeverExercised</v>
      </c>
      <c r="J1311" s="2" t="s">
        <v>1906</v>
      </c>
    </row>
    <row r="1312">
      <c r="A1312" s="2" t="s">
        <v>16567</v>
      </c>
      <c r="B1312" s="3" t="str">
        <f>_xlfn.CONCAT(C1312, " @ ", D1312)</f>
        <v>effortless-owl|StepTransitions.IsNeverExercised @ policy-01-to-policy-02</v>
      </c>
      <c r="C1312" s="2" t="s">
        <v>14868</v>
      </c>
      <c r="D1312" s="2" t="s">
        <v>638</v>
      </c>
      <c r="E1312" s="2" t="s">
        <v>15057</v>
      </c>
      <c r="F1312" s="2" t="s">
        <v>15035</v>
      </c>
      <c r="G1312" s="2" t="s">
        <v>14591</v>
      </c>
      <c r="H1312" s="3" t="str">
        <f>_xlfn.IFNA(INDEX(FieldDisagreements!C2:C999, MATCH(C1312,FieldDisagreements!A2:A999, 0)), "")</f>
        <v>effortless-owl</v>
      </c>
      <c r="I1312" s="3" t="str">
        <f>_xlfn.IFNA(INDEX(FieldDisagreements!D2:D999, MATCH(C1312,FieldDisagreements!A2:A999, 0)), "")</f>
        <v>StepTransitions.IsNeverExercised</v>
      </c>
      <c r="J1312" s="2" t="s">
        <v>1906</v>
      </c>
    </row>
    <row r="1313">
      <c r="A1313" s="2" t="s">
        <v>16568</v>
      </c>
      <c r="B1313" s="3" t="str">
        <f>_xlfn.CONCAT(C1313, " @ ", D1313)</f>
        <v>effortless-owl|StepTransitions.IsNeverExercised @ policy-02-to-policy-03</v>
      </c>
      <c r="C1313" s="2" t="s">
        <v>14868</v>
      </c>
      <c r="D1313" s="2" t="s">
        <v>639</v>
      </c>
      <c r="E1313" s="2" t="s">
        <v>15057</v>
      </c>
      <c r="F1313" s="2" t="s">
        <v>15035</v>
      </c>
      <c r="G1313" s="2" t="s">
        <v>14591</v>
      </c>
      <c r="H1313" s="3" t="str">
        <f>_xlfn.IFNA(INDEX(FieldDisagreements!C2:C999, MATCH(C1313,FieldDisagreements!A2:A999, 0)), "")</f>
        <v>effortless-owl</v>
      </c>
      <c r="I1313" s="3" t="str">
        <f>_xlfn.IFNA(INDEX(FieldDisagreements!D2:D999, MATCH(C1313,FieldDisagreements!A2:A999, 0)), "")</f>
        <v>StepTransitions.IsNeverExercised</v>
      </c>
      <c r="J1313" s="2" t="s">
        <v>1906</v>
      </c>
    </row>
    <row r="1314">
      <c r="A1314" s="2" t="s">
        <v>16569</v>
      </c>
      <c r="B1314" s="3" t="str">
        <f>_xlfn.CONCAT(C1314, " @ ", D1314)</f>
        <v>effortless-owl|StepTransitions.IsNeverExercised @ policy-03-to-policy-04</v>
      </c>
      <c r="C1314" s="2" t="s">
        <v>14868</v>
      </c>
      <c r="D1314" s="2" t="s">
        <v>640</v>
      </c>
      <c r="E1314" s="2" t="s">
        <v>15057</v>
      </c>
      <c r="F1314" s="2" t="s">
        <v>15035</v>
      </c>
      <c r="G1314" s="2" t="s">
        <v>14591</v>
      </c>
      <c r="H1314" s="3" t="str">
        <f>_xlfn.IFNA(INDEX(FieldDisagreements!C2:C999, MATCH(C1314,FieldDisagreements!A2:A999, 0)), "")</f>
        <v>effortless-owl</v>
      </c>
      <c r="I1314" s="3" t="str">
        <f>_xlfn.IFNA(INDEX(FieldDisagreements!D2:D999, MATCH(C1314,FieldDisagreements!A2:A999, 0)), "")</f>
        <v>StepTransitions.IsNeverExercised</v>
      </c>
      <c r="J1314" s="2" t="s">
        <v>1906</v>
      </c>
    </row>
    <row r="1315">
      <c r="A1315" s="2" t="s">
        <v>16570</v>
      </c>
      <c r="B1315" s="3" t="str">
        <f>_xlfn.CONCAT(C1315, " @ ", D1315)</f>
        <v>effortless-owl|StepTransitions.IsNeverExercised @ policy-04-return-policy-03</v>
      </c>
      <c r="C1315" s="2" t="s">
        <v>14868</v>
      </c>
      <c r="D1315" s="2" t="s">
        <v>652</v>
      </c>
      <c r="E1315" s="2" t="s">
        <v>15057</v>
      </c>
      <c r="F1315" s="2" t="s">
        <v>15035</v>
      </c>
      <c r="G1315" s="2" t="s">
        <v>14591</v>
      </c>
      <c r="H1315" s="3" t="str">
        <f>_xlfn.IFNA(INDEX(FieldDisagreements!C2:C999, MATCH(C1315,FieldDisagreements!A2:A999, 0)), "")</f>
        <v>effortless-owl</v>
      </c>
      <c r="I1315" s="3" t="str">
        <f>_xlfn.IFNA(INDEX(FieldDisagreements!D2:D999, MATCH(C1315,FieldDisagreements!A2:A999, 0)), "")</f>
        <v>StepTransitions.IsNeverExercised</v>
      </c>
      <c r="J1315" s="2" t="s">
        <v>1906</v>
      </c>
    </row>
    <row r="1316">
      <c r="A1316" s="2" t="s">
        <v>16571</v>
      </c>
      <c r="B1316" s="3" t="str">
        <f>_xlfn.CONCAT(C1316, " @ ", D1316)</f>
        <v>effortless-owl|StepTransitions.IsUntestedRecoveryPath @ close-04-fallback-close-03</v>
      </c>
      <c r="C1316" s="2" t="s">
        <v>14869</v>
      </c>
      <c r="D1316" s="2" t="s">
        <v>646</v>
      </c>
      <c r="E1316" s="2" t="s">
        <v>15057</v>
      </c>
      <c r="F1316" s="2" t="s">
        <v>15035</v>
      </c>
      <c r="G1316" s="2" t="s">
        <v>14591</v>
      </c>
      <c r="H1316" s="3" t="str">
        <f>_xlfn.IFNA(INDEX(FieldDisagreements!C2:C999, MATCH(C1316,FieldDisagreements!A2:A999, 0)), "")</f>
        <v>effortless-owl</v>
      </c>
      <c r="I1316" s="3" t="str">
        <f>_xlfn.IFNA(INDEX(FieldDisagreements!D2:D999, MATCH(C1316,FieldDisagreements!A2:A999, 0)), "")</f>
        <v>StepTransitions.IsUntestedRecoveryPath</v>
      </c>
      <c r="J1316" s="2" t="s">
        <v>1906</v>
      </c>
    </row>
    <row r="1317">
      <c r="A1317" s="2" t="s">
        <v>16572</v>
      </c>
      <c r="B1317" s="3" t="str">
        <f>_xlfn.CONCAT(C1317, " @ ", D1317)</f>
        <v>effortless-owl|StepTransitions.IsUntestedRecoveryPath @ close-06-return-close-04</v>
      </c>
      <c r="C1317" s="2" t="s">
        <v>14869</v>
      </c>
      <c r="D1317" s="2" t="s">
        <v>649</v>
      </c>
      <c r="E1317" s="2" t="s">
        <v>15057</v>
      </c>
      <c r="F1317" s="2" t="s">
        <v>15035</v>
      </c>
      <c r="G1317" s="2" t="s">
        <v>14591</v>
      </c>
      <c r="H1317" s="3" t="str">
        <f>_xlfn.IFNA(INDEX(FieldDisagreements!C2:C999, MATCH(C1317,FieldDisagreements!A2:A999, 0)), "")</f>
        <v>effortless-owl</v>
      </c>
      <c r="I1317" s="3" t="str">
        <f>_xlfn.IFNA(INDEX(FieldDisagreements!D2:D999, MATCH(C1317,FieldDisagreements!A2:A999, 0)), "")</f>
        <v>StepTransitions.IsUntestedRecoveryPath</v>
      </c>
      <c r="J1317" s="2" t="s">
        <v>1906</v>
      </c>
    </row>
    <row r="1318">
      <c r="A1318" s="2" t="s">
        <v>16573</v>
      </c>
      <c r="B1318" s="3" t="str">
        <f>_xlfn.CONCAT(C1318, " @ ", D1318)</f>
        <v>effortless-owl|StepTransitions.IsUntestedRecoveryPath @ policy-04-return-policy-03</v>
      </c>
      <c r="C1318" s="2" t="s">
        <v>14869</v>
      </c>
      <c r="D1318" s="2" t="s">
        <v>652</v>
      </c>
      <c r="E1318" s="2" t="s">
        <v>15057</v>
      </c>
      <c r="F1318" s="2" t="s">
        <v>15035</v>
      </c>
      <c r="G1318" s="2" t="s">
        <v>14591</v>
      </c>
      <c r="H1318" s="3" t="str">
        <f>_xlfn.IFNA(INDEX(FieldDisagreements!C2:C999, MATCH(C1318,FieldDisagreements!A2:A999, 0)), "")</f>
        <v>effortless-owl</v>
      </c>
      <c r="I1318" s="3" t="str">
        <f>_xlfn.IFNA(INDEX(FieldDisagreements!D2:D999, MATCH(C1318,FieldDisagreements!A2:A999, 0)), "")</f>
        <v>StepTransitions.IsUntestedRecoveryPath</v>
      </c>
      <c r="J1318" s="2" t="s">
        <v>1906</v>
      </c>
    </row>
    <row r="1319">
      <c r="A1319" s="2" t="s">
        <v>16574</v>
      </c>
      <c r="B1319" s="3" t="str">
        <f>_xlfn.CONCAT(C1319, " @ ", D1319)</f>
        <v>effortless-owl|Requirements.IsUntestedWitness @ req-close-balance</v>
      </c>
      <c r="C1319" s="2" t="s">
        <v>14870</v>
      </c>
      <c r="D1319" s="2" t="s">
        <v>827</v>
      </c>
      <c r="E1319" s="2" t="s">
        <v>15035</v>
      </c>
      <c r="F1319" s="2" t="s">
        <v>15036</v>
      </c>
      <c r="G1319" s="2" t="s">
        <v>14591</v>
      </c>
      <c r="H1319" s="3" t="str">
        <f>_xlfn.IFNA(INDEX(FieldDisagreements!C2:C999, MATCH(C1319,FieldDisagreements!A2:A999, 0)), "")</f>
        <v>effortless-owl</v>
      </c>
      <c r="I1319" s="3" t="str">
        <f>_xlfn.IFNA(INDEX(FieldDisagreements!D2:D999, MATCH(C1319,FieldDisagreements!A2:A999, 0)), "")</f>
        <v>Requirements.IsUntestedWitness</v>
      </c>
      <c r="J1319" s="2" t="s">
        <v>1906</v>
      </c>
    </row>
    <row r="1320">
      <c r="A1320" s="2" t="s">
        <v>16575</v>
      </c>
      <c r="B1320" s="3" t="str">
        <f>_xlfn.CONCAT(C1320, " @ ", D1320)</f>
        <v>effortless-owl|Requirements.IsUntestedWitness @ req-close-cutoff</v>
      </c>
      <c r="C1320" s="2" t="s">
        <v>14870</v>
      </c>
      <c r="D1320" s="2" t="s">
        <v>819</v>
      </c>
      <c r="E1320" s="2" t="s">
        <v>15035</v>
      </c>
      <c r="F1320" s="2" t="s">
        <v>15036</v>
      </c>
      <c r="G1320" s="2" t="s">
        <v>14591</v>
      </c>
      <c r="H1320" s="3" t="str">
        <f>_xlfn.IFNA(INDEX(FieldDisagreements!C2:C999, MATCH(C1320,FieldDisagreements!A2:A999, 0)), "")</f>
        <v>effortless-owl</v>
      </c>
      <c r="I1320" s="3" t="str">
        <f>_xlfn.IFNA(INDEX(FieldDisagreements!D2:D999, MATCH(C1320,FieldDisagreements!A2:A999, 0)), "")</f>
        <v>Requirements.IsUntestedWitness</v>
      </c>
      <c r="J1320" s="2" t="s">
        <v>1906</v>
      </c>
    </row>
    <row r="1321">
      <c r="A1321" s="2" t="s">
        <v>16576</v>
      </c>
      <c r="B1321" s="3" t="str">
        <f>_xlfn.CONCAT(C1321, " @ ", D1321)</f>
        <v>effortless-owl|Requirements.IsUntestedWitness @ req-close-separation</v>
      </c>
      <c r="C1321" s="2" t="s">
        <v>14870</v>
      </c>
      <c r="D1321" s="2" t="s">
        <v>833</v>
      </c>
      <c r="E1321" s="2" t="s">
        <v>15035</v>
      </c>
      <c r="F1321" s="2" t="s">
        <v>15036</v>
      </c>
      <c r="G1321" s="2" t="s">
        <v>14591</v>
      </c>
      <c r="H1321" s="3" t="str">
        <f>_xlfn.IFNA(INDEX(FieldDisagreements!C2:C999, MATCH(C1321,FieldDisagreements!A2:A999, 0)), "")</f>
        <v>effortless-owl</v>
      </c>
      <c r="I1321" s="3" t="str">
        <f>_xlfn.IFNA(INDEX(FieldDisagreements!D2:D999, MATCH(C1321,FieldDisagreements!A2:A999, 0)), "")</f>
        <v>Requirements.IsUntestedWitness</v>
      </c>
      <c r="J1321" s="2" t="s">
        <v>1906</v>
      </c>
    </row>
    <row r="1322">
      <c r="A1322" s="2" t="s">
        <v>16577</v>
      </c>
      <c r="B1322" s="3" t="str">
        <f>_xlfn.CONCAT(C1322, " @ ", D1322)</f>
        <v>effortless-owl|Requirements.ControlAssuranceState @ req-close-balance</v>
      </c>
      <c r="C1322" s="2" t="s">
        <v>14871</v>
      </c>
      <c r="D1322" s="2" t="s">
        <v>827</v>
      </c>
      <c r="E1322" s="2" t="s">
        <v>15399</v>
      </c>
      <c r="F1322" s="2" t="s">
        <v>15036</v>
      </c>
      <c r="G1322" s="2" t="s">
        <v>14591</v>
      </c>
      <c r="H1322" s="3" t="str">
        <f>_xlfn.IFNA(INDEX(FieldDisagreements!C2:C999, MATCH(C1322,FieldDisagreements!A2:A999, 0)), "")</f>
        <v>effortless-owl</v>
      </c>
      <c r="I1322" s="3" t="str">
        <f>_xlfn.IFNA(INDEX(FieldDisagreements!D2:D999, MATCH(C1322,FieldDisagreements!A2:A999, 0)), "")</f>
        <v>Requirements.ControlAssuranceState</v>
      </c>
      <c r="J1322" s="2" t="s">
        <v>1906</v>
      </c>
    </row>
    <row r="1323">
      <c r="A1323" s="2" t="s">
        <v>16578</v>
      </c>
      <c r="B1323" s="3" t="str">
        <f>_xlfn.CONCAT(C1323, " @ ", D1323)</f>
        <v>effortless-owl|Requirements.ControlAssuranceState @ req-close-cutoff</v>
      </c>
      <c r="C1323" s="2" t="s">
        <v>14871</v>
      </c>
      <c r="D1323" s="2" t="s">
        <v>819</v>
      </c>
      <c r="E1323" s="2" t="s">
        <v>15399</v>
      </c>
      <c r="F1323" s="2" t="s">
        <v>15036</v>
      </c>
      <c r="G1323" s="2" t="s">
        <v>14591</v>
      </c>
      <c r="H1323" s="3" t="str">
        <f>_xlfn.IFNA(INDEX(FieldDisagreements!C2:C999, MATCH(C1323,FieldDisagreements!A2:A999, 0)), "")</f>
        <v>effortless-owl</v>
      </c>
      <c r="I1323" s="3" t="str">
        <f>_xlfn.IFNA(INDEX(FieldDisagreements!D2:D999, MATCH(C1323,FieldDisagreements!A2:A999, 0)), "")</f>
        <v>Requirements.ControlAssuranceState</v>
      </c>
      <c r="J1323" s="2" t="s">
        <v>1906</v>
      </c>
    </row>
    <row r="1324">
      <c r="A1324" s="2" t="s">
        <v>16579</v>
      </c>
      <c r="B1324" s="3" t="str">
        <f>_xlfn.CONCAT(C1324, " @ ", D1324)</f>
        <v>effortless-owl|Requirements.ControlAssuranceState @ req-close-separation</v>
      </c>
      <c r="C1324" s="2" t="s">
        <v>14871</v>
      </c>
      <c r="D1324" s="2" t="s">
        <v>833</v>
      </c>
      <c r="E1324" s="2" t="s">
        <v>15399</v>
      </c>
      <c r="F1324" s="2" t="s">
        <v>15036</v>
      </c>
      <c r="G1324" s="2" t="s">
        <v>14591</v>
      </c>
      <c r="H1324" s="3" t="str">
        <f>_xlfn.IFNA(INDEX(FieldDisagreements!C2:C999, MATCH(C1324,FieldDisagreements!A2:A999, 0)), "")</f>
        <v>effortless-owl</v>
      </c>
      <c r="I1324" s="3" t="str">
        <f>_xlfn.IFNA(INDEX(FieldDisagreements!D2:D999, MATCH(C1324,FieldDisagreements!A2:A999, 0)), "")</f>
        <v>Requirements.ControlAssuranceState</v>
      </c>
      <c r="J1324" s="2" t="s">
        <v>1906</v>
      </c>
    </row>
    <row r="1325">
      <c r="A1325" s="2" t="s">
        <v>16580</v>
      </c>
      <c r="B1325" s="3" t="str">
        <f>_xlfn.CONCAT(C1325, " @ ", D1325)</f>
        <v>effortless-owl|ElicitationSessions.DaysSinceElicited @ elicit-policy-interview</v>
      </c>
      <c r="C1325" s="2" t="s">
        <v>14872</v>
      </c>
      <c r="D1325" s="2" t="s">
        <v>1080</v>
      </c>
      <c r="E1325" s="2" t="s">
        <v>15074</v>
      </c>
      <c r="F1325" s="2" t="s">
        <v>16581</v>
      </c>
      <c r="G1325" s="2" t="s">
        <v>14591</v>
      </c>
      <c r="H1325" s="3" t="str">
        <f>_xlfn.IFNA(INDEX(FieldDisagreements!C2:C999, MATCH(C1325,FieldDisagreements!A2:A999, 0)), "")</f>
        <v>effortless-owl</v>
      </c>
      <c r="I1325" s="3" t="str">
        <f>_xlfn.IFNA(INDEX(FieldDisagreements!D2:D999, MATCH(C1325,FieldDisagreements!A2:A999, 0)), "")</f>
        <v>ElicitationSessions.DaysSinceElicited</v>
      </c>
      <c r="J1325" s="2" t="s">
        <v>1906</v>
      </c>
    </row>
    <row r="1326">
      <c r="A1326" s="2" t="s">
        <v>16582</v>
      </c>
      <c r="B1326" s="3" t="str">
        <f>_xlfn.CONCAT(C1326, " @ ", D1326)</f>
        <v>effortless-owl|ElicitationSessions.DaysSinceElicited @ elicit-policy-workshop</v>
      </c>
      <c r="C1326" s="2" t="s">
        <v>14872</v>
      </c>
      <c r="D1326" s="2" t="s">
        <v>1077</v>
      </c>
      <c r="E1326" s="2" t="s">
        <v>15077</v>
      </c>
      <c r="F1326" s="2" t="s">
        <v>16583</v>
      </c>
      <c r="G1326" s="2" t="s">
        <v>14591</v>
      </c>
      <c r="H1326" s="3" t="str">
        <f>_xlfn.IFNA(INDEX(FieldDisagreements!C2:C999, MATCH(C1326,FieldDisagreements!A2:A999, 0)), "")</f>
        <v>effortless-owl</v>
      </c>
      <c r="I1326" s="3" t="str">
        <f>_xlfn.IFNA(INDEX(FieldDisagreements!D2:D999, MATCH(C1326,FieldDisagreements!A2:A999, 0)), "")</f>
        <v>ElicitationSessions.DaysSinceElicited</v>
      </c>
      <c r="J1326" s="2" t="s">
        <v>1906</v>
      </c>
    </row>
    <row r="1327">
      <c r="A1327" s="2" t="s">
        <v>16584</v>
      </c>
      <c r="B1327" s="3" t="str">
        <f>_xlfn.CONCAT(C1327, " @ ", D1327)</f>
        <v>effortless-owl|KnowledgeFragments.DaysSinceActualReview @ kf-close-fx-time</v>
      </c>
      <c r="C1327" s="2" t="s">
        <v>14873</v>
      </c>
      <c r="D1327" s="2" t="s">
        <v>1152</v>
      </c>
      <c r="E1327" s="2" t="s">
        <v>15054</v>
      </c>
      <c r="F1327" s="2" t="s">
        <v>16477</v>
      </c>
      <c r="G1327" s="2" t="s">
        <v>14591</v>
      </c>
      <c r="H1327" s="3" t="str">
        <f>_xlfn.IFNA(INDEX(FieldDisagreements!C2:C999, MATCH(C1327,FieldDisagreements!A2:A999, 0)), "")</f>
        <v>effortless-owl</v>
      </c>
      <c r="I1327" s="3" t="str">
        <f>_xlfn.IFNA(INDEX(FieldDisagreements!D2:D999, MATCH(C1327,FieldDisagreements!A2:A999, 0)), "")</f>
        <v>KnowledgeFragments.DaysSinceActualReview</v>
      </c>
      <c r="J1327" s="2" t="s">
        <v>1906</v>
      </c>
    </row>
    <row r="1328">
      <c r="A1328" s="2" t="s">
        <v>16585</v>
      </c>
      <c r="B1328" s="3" t="str">
        <f>_xlfn.CONCAT(C1328, " @ ", D1328)</f>
        <v>effortless-owl|KnowledgeFragments.DaysSinceActualReview @ kf-close-top-ten</v>
      </c>
      <c r="C1328" s="2" t="s">
        <v>14873</v>
      </c>
      <c r="D1328" s="2" t="s">
        <v>1157</v>
      </c>
      <c r="E1328" s="2" t="s">
        <v>15054</v>
      </c>
      <c r="F1328" s="2" t="s">
        <v>16477</v>
      </c>
      <c r="G1328" s="2" t="s">
        <v>14591</v>
      </c>
      <c r="H1328" s="3" t="str">
        <f>_xlfn.IFNA(INDEX(FieldDisagreements!C2:C999, MATCH(C1328,FieldDisagreements!A2:A999, 0)), "")</f>
        <v>effortless-owl</v>
      </c>
      <c r="I1328" s="3" t="str">
        <f>_xlfn.IFNA(INDEX(FieldDisagreements!D2:D999, MATCH(C1328,FieldDisagreements!A2:A999, 0)), "")</f>
        <v>KnowledgeFragments.DaysSinceActualReview</v>
      </c>
      <c r="J1328" s="2" t="s">
        <v>1906</v>
      </c>
    </row>
    <row r="1329">
      <c r="A1329" s="2" t="s">
        <v>16586</v>
      </c>
      <c r="B1329" s="3" t="str">
        <f>_xlfn.CONCAT(C1329, " @ ", D1329)</f>
        <v>effortless-owl|KnowledgeFragments.DaysSinceActualReview @ kf-policy-channel</v>
      </c>
      <c r="C1329" s="2" t="s">
        <v>14873</v>
      </c>
      <c r="D1329" s="2" t="s">
        <v>1169</v>
      </c>
      <c r="E1329" s="2" t="s">
        <v>935</v>
      </c>
      <c r="F1329" s="2" t="s">
        <v>16479</v>
      </c>
      <c r="G1329" s="2" t="s">
        <v>14591</v>
      </c>
      <c r="H1329" s="3" t="str">
        <f>_xlfn.IFNA(INDEX(FieldDisagreements!C2:C999, MATCH(C1329,FieldDisagreements!A2:A999, 0)), "")</f>
        <v>effortless-owl</v>
      </c>
      <c r="I1329" s="3" t="str">
        <f>_xlfn.IFNA(INDEX(FieldDisagreements!D2:D999, MATCH(C1329,FieldDisagreements!A2:A999, 0)), "")</f>
        <v>KnowledgeFragments.DaysSinceActualReview</v>
      </c>
      <c r="J1329" s="2" t="s">
        <v>1906</v>
      </c>
    </row>
    <row r="1330">
      <c r="A1330" s="2" t="s">
        <v>16587</v>
      </c>
      <c r="B1330" s="3" t="str">
        <f>_xlfn.CONCAT(C1330, " @ ", D1330)</f>
        <v>effortless-owl|KnowledgeFragments.EvidenceExpiryDays @ kf-close-retention</v>
      </c>
      <c r="C1330" s="2" t="s">
        <v>14874</v>
      </c>
      <c r="D1330" s="2" t="s">
        <v>1161</v>
      </c>
      <c r="E1330" s="2" t="s">
        <v>15432</v>
      </c>
      <c r="F1330" s="2" t="s">
        <v>15036</v>
      </c>
      <c r="G1330" s="2" t="s">
        <v>14591</v>
      </c>
      <c r="H1330" s="3" t="str">
        <f>_xlfn.IFNA(INDEX(FieldDisagreements!C2:C999, MATCH(C1330,FieldDisagreements!A2:A999, 0)), "")</f>
        <v>effortless-owl</v>
      </c>
      <c r="I1330" s="3" t="str">
        <f>_xlfn.IFNA(INDEX(FieldDisagreements!D2:D999, MATCH(C1330,FieldDisagreements!A2:A999, 0)), "")</f>
        <v>KnowledgeFragments.EvidenceExpiryDays</v>
      </c>
      <c r="J1330" s="2" t="s">
        <v>1906</v>
      </c>
    </row>
    <row r="1331">
      <c r="A1331" s="2" t="s">
        <v>16588</v>
      </c>
      <c r="B1331" s="3" t="str">
        <f>_xlfn.CONCAT(C1331, " @ ", D1331)</f>
        <v>effortless-owl|KnowledgeFragments.FragilitySignalCount @ kf-close-retention</v>
      </c>
      <c r="C1331" s="2" t="s">
        <v>14875</v>
      </c>
      <c r="D1331" s="2" t="s">
        <v>1161</v>
      </c>
      <c r="E1331" s="2" t="s">
        <v>37</v>
      </c>
      <c r="F1331" s="2" t="s">
        <v>15036</v>
      </c>
      <c r="G1331" s="2" t="s">
        <v>14591</v>
      </c>
      <c r="H1331" s="3" t="str">
        <f>_xlfn.IFNA(INDEX(FieldDisagreements!C2:C999, MATCH(C1331,FieldDisagreements!A2:A999, 0)), "")</f>
        <v>effortless-owl</v>
      </c>
      <c r="I1331" s="3" t="str">
        <f>_xlfn.IFNA(INDEX(FieldDisagreements!D2:D999, MATCH(C1331,FieldDisagreements!A2:A999, 0)), "")</f>
        <v>KnowledgeFragments.FragilitySignalCount</v>
      </c>
      <c r="J1331" s="2" t="s">
        <v>1906</v>
      </c>
    </row>
    <row r="1332">
      <c r="A1332" s="2" t="s">
        <v>16589</v>
      </c>
      <c r="B1332" s="3" t="str">
        <f>_xlfn.CONCAT(C1332, " @ ", D1332)</f>
        <v>effortless-owl|KnowledgeFragments.FragilitySignalCount @ kf-policy-channel</v>
      </c>
      <c r="C1332" s="2" t="s">
        <v>14875</v>
      </c>
      <c r="D1332" s="2" t="s">
        <v>1169</v>
      </c>
      <c r="E1332" s="2" t="s">
        <v>15463</v>
      </c>
      <c r="F1332" s="2" t="s">
        <v>37</v>
      </c>
      <c r="G1332" s="2" t="s">
        <v>14591</v>
      </c>
      <c r="H1332" s="3" t="str">
        <f>_xlfn.IFNA(INDEX(FieldDisagreements!C2:C999, MATCH(C1332,FieldDisagreements!A2:A999, 0)), "")</f>
        <v>effortless-owl</v>
      </c>
      <c r="I1332" s="3" t="str">
        <f>_xlfn.IFNA(INDEX(FieldDisagreements!D2:D999, MATCH(C1332,FieldDisagreements!A2:A999, 0)), "")</f>
        <v>KnowledgeFragments.FragilitySignalCount</v>
      </c>
      <c r="J1332" s="2" t="s">
        <v>1906</v>
      </c>
    </row>
    <row r="1333">
      <c r="A1333" s="2" t="s">
        <v>16590</v>
      </c>
      <c r="B1333" s="3" t="str">
        <f>_xlfn.CONCAT(C1333, " @ ", D1333)</f>
        <v>effortless-owl|KnowledgeFragments.FragilitySignalCount @ kf-policy-manager-route</v>
      </c>
      <c r="C1333" s="2" t="s">
        <v>14875</v>
      </c>
      <c r="D1333" s="2" t="s">
        <v>1171</v>
      </c>
      <c r="E1333" s="2" t="s">
        <v>15463</v>
      </c>
      <c r="F1333" s="2" t="s">
        <v>37</v>
      </c>
      <c r="G1333" s="2" t="s">
        <v>14591</v>
      </c>
      <c r="H1333" s="3" t="str">
        <f>_xlfn.IFNA(INDEX(FieldDisagreements!C2:C999, MATCH(C1333,FieldDisagreements!A2:A999, 0)), "")</f>
        <v>effortless-owl</v>
      </c>
      <c r="I1333" s="3" t="str">
        <f>_xlfn.IFNA(INDEX(FieldDisagreements!D2:D999, MATCH(C1333,FieldDisagreements!A2:A999, 0)), "")</f>
        <v>KnowledgeFragments.FragilitySignalCount</v>
      </c>
      <c r="J1333" s="2" t="s">
        <v>1906</v>
      </c>
    </row>
    <row r="1334">
      <c r="A1334" s="2" t="s">
        <v>16591</v>
      </c>
      <c r="B1334" s="3" t="str">
        <f>_xlfn.CONCAT(C1334, " @ ", D1334)</f>
        <v>effortless-owl|KnowledgeFragments.EvidenceAgeDays @ kf-policy-ai-boundary</v>
      </c>
      <c r="C1334" s="2" t="s">
        <v>14876</v>
      </c>
      <c r="D1334" s="2" t="s">
        <v>1167</v>
      </c>
      <c r="E1334" s="2" t="s">
        <v>15074</v>
      </c>
      <c r="F1334" s="2" t="s">
        <v>16581</v>
      </c>
      <c r="G1334" s="2" t="s">
        <v>14591</v>
      </c>
      <c r="H1334" s="3" t="str">
        <f>_xlfn.IFNA(INDEX(FieldDisagreements!C2:C999, MATCH(C1334,FieldDisagreements!A2:A999, 0)), "")</f>
        <v>effortless-owl</v>
      </c>
      <c r="I1334" s="3" t="str">
        <f>_xlfn.IFNA(INDEX(FieldDisagreements!D2:D999, MATCH(C1334,FieldDisagreements!A2:A999, 0)), "")</f>
        <v>KnowledgeFragments.EvidenceAgeDays</v>
      </c>
      <c r="J1334" s="2" t="s">
        <v>1906</v>
      </c>
    </row>
    <row r="1335">
      <c r="A1335" s="2" t="s">
        <v>16592</v>
      </c>
      <c r="B1335" s="3" t="str">
        <f>_xlfn.CONCAT(C1335, " @ ", D1335)</f>
        <v>effortless-owl|KnowledgeFragments.EvidenceAgeDays @ kf-policy-channel</v>
      </c>
      <c r="C1335" s="2" t="s">
        <v>14876</v>
      </c>
      <c r="D1335" s="2" t="s">
        <v>1169</v>
      </c>
      <c r="E1335" s="2" t="s">
        <v>15077</v>
      </c>
      <c r="F1335" s="2" t="s">
        <v>16583</v>
      </c>
      <c r="G1335" s="2" t="s">
        <v>14591</v>
      </c>
      <c r="H1335" s="3" t="str">
        <f>_xlfn.IFNA(INDEX(FieldDisagreements!C2:C999, MATCH(C1335,FieldDisagreements!A2:A999, 0)), "")</f>
        <v>effortless-owl</v>
      </c>
      <c r="I1335" s="3" t="str">
        <f>_xlfn.IFNA(INDEX(FieldDisagreements!D2:D999, MATCH(C1335,FieldDisagreements!A2:A999, 0)), "")</f>
        <v>KnowledgeFragments.EvidenceAgeDays</v>
      </c>
      <c r="J1335" s="2" t="s">
        <v>1906</v>
      </c>
    </row>
    <row r="1336">
      <c r="A1336" s="2" t="s">
        <v>16593</v>
      </c>
      <c r="B1336" s="3" t="str">
        <f>_xlfn.CONCAT(C1336, " @ ", D1336)</f>
        <v>effortless-owl|KnowledgeFragments.EvidenceAgeDays @ kf-policy-manager-route</v>
      </c>
      <c r="C1336" s="2" t="s">
        <v>14876</v>
      </c>
      <c r="D1336" s="2" t="s">
        <v>1171</v>
      </c>
      <c r="E1336" s="2" t="s">
        <v>15077</v>
      </c>
      <c r="F1336" s="2" t="s">
        <v>16583</v>
      </c>
      <c r="G1336" s="2" t="s">
        <v>14591</v>
      </c>
      <c r="H1336" s="3" t="str">
        <f>_xlfn.IFNA(INDEX(FieldDisagreements!C2:C999, MATCH(C1336,FieldDisagreements!A2:A999, 0)), "")</f>
        <v>effortless-owl</v>
      </c>
      <c r="I1336" s="3" t="str">
        <f>_xlfn.IFNA(INDEX(FieldDisagreements!D2:D999, MATCH(C1336,FieldDisagreements!A2:A999, 0)), "")</f>
        <v>KnowledgeFragments.EvidenceAgeDays</v>
      </c>
      <c r="J1336" s="2" t="s">
        <v>1906</v>
      </c>
    </row>
    <row r="1337">
      <c r="A1337" s="2" t="s">
        <v>16594</v>
      </c>
      <c r="B1337" s="3" t="str">
        <f>_xlfn.CONCAT(C1337, " @ ", D1337)</f>
        <v>effortless-owl|KnowledgeFragments.AgeDays @ kf-policy-ai-boundary</v>
      </c>
      <c r="C1337" s="2" t="s">
        <v>14877</v>
      </c>
      <c r="D1337" s="2" t="s">
        <v>1167</v>
      </c>
      <c r="E1337" s="2" t="s">
        <v>15074</v>
      </c>
      <c r="F1337" s="2" t="s">
        <v>16581</v>
      </c>
      <c r="G1337" s="2" t="s">
        <v>14591</v>
      </c>
      <c r="H1337" s="3" t="str">
        <f>_xlfn.IFNA(INDEX(FieldDisagreements!C2:C999, MATCH(C1337,FieldDisagreements!A2:A999, 0)), "")</f>
        <v>effortless-owl</v>
      </c>
      <c r="I1337" s="3" t="str">
        <f>_xlfn.IFNA(INDEX(FieldDisagreements!D2:D999, MATCH(C1337,FieldDisagreements!A2:A999, 0)), "")</f>
        <v>KnowledgeFragments.AgeDays</v>
      </c>
      <c r="J1337" s="2" t="s">
        <v>1906</v>
      </c>
    </row>
    <row r="1338">
      <c r="A1338" s="2" t="s">
        <v>16595</v>
      </c>
      <c r="B1338" s="3" t="str">
        <f>_xlfn.CONCAT(C1338, " @ ", D1338)</f>
        <v>effortless-owl|KnowledgeFragments.AgeDays @ kf-policy-channel</v>
      </c>
      <c r="C1338" s="2" t="s">
        <v>14877</v>
      </c>
      <c r="D1338" s="2" t="s">
        <v>1169</v>
      </c>
      <c r="E1338" s="2" t="s">
        <v>15077</v>
      </c>
      <c r="F1338" s="2" t="s">
        <v>16583</v>
      </c>
      <c r="G1338" s="2" t="s">
        <v>14591</v>
      </c>
      <c r="H1338" s="3" t="str">
        <f>_xlfn.IFNA(INDEX(FieldDisagreements!C2:C999, MATCH(C1338,FieldDisagreements!A2:A999, 0)), "")</f>
        <v>effortless-owl</v>
      </c>
      <c r="I1338" s="3" t="str">
        <f>_xlfn.IFNA(INDEX(FieldDisagreements!D2:D999, MATCH(C1338,FieldDisagreements!A2:A999, 0)), "")</f>
        <v>KnowledgeFragments.AgeDays</v>
      </c>
      <c r="J1338" s="2" t="s">
        <v>1906</v>
      </c>
    </row>
    <row r="1339">
      <c r="A1339" s="2" t="s">
        <v>16596</v>
      </c>
      <c r="B1339" s="3" t="str">
        <f>_xlfn.CONCAT(C1339, " @ ", D1339)</f>
        <v>effortless-owl|KnowledgeFragments.AgeDays @ kf-policy-manager-route</v>
      </c>
      <c r="C1339" s="2" t="s">
        <v>14877</v>
      </c>
      <c r="D1339" s="2" t="s">
        <v>1171</v>
      </c>
      <c r="E1339" s="2" t="s">
        <v>15077</v>
      </c>
      <c r="F1339" s="2" t="s">
        <v>16583</v>
      </c>
      <c r="G1339" s="2" t="s">
        <v>14591</v>
      </c>
      <c r="H1339" s="3" t="str">
        <f>_xlfn.IFNA(INDEX(FieldDisagreements!C2:C999, MATCH(C1339,FieldDisagreements!A2:A999, 0)), "")</f>
        <v>effortless-owl</v>
      </c>
      <c r="I1339" s="3" t="str">
        <f>_xlfn.IFNA(INDEX(FieldDisagreements!D2:D999, MATCH(C1339,FieldDisagreements!A2:A999, 0)), "")</f>
        <v>KnowledgeFragments.AgeDays</v>
      </c>
      <c r="J1339" s="2" t="s">
        <v>1906</v>
      </c>
    </row>
    <row r="1340">
      <c r="A1340" s="2" t="s">
        <v>16597</v>
      </c>
      <c r="B1340" s="3" t="str">
        <f>_xlfn.CONCAT(C1340, " @ ", D1340)</f>
        <v>effortless-owl|KnowledgeFragments.IsInvokedByAnException @ kf-policy-channel</v>
      </c>
      <c r="C1340" s="2" t="s">
        <v>14878</v>
      </c>
      <c r="D1340" s="2" t="s">
        <v>1169</v>
      </c>
      <c r="E1340" s="2" t="s">
        <v>37</v>
      </c>
      <c r="F1340" s="2" t="s">
        <v>935</v>
      </c>
      <c r="G1340" s="2" t="s">
        <v>14591</v>
      </c>
      <c r="H1340" s="3" t="str">
        <f>_xlfn.IFNA(INDEX(FieldDisagreements!C2:C999, MATCH(C1340,FieldDisagreements!A2:A999, 0)), "")</f>
        <v>effortless-owl</v>
      </c>
      <c r="I1340" s="3" t="str">
        <f>_xlfn.IFNA(INDEX(FieldDisagreements!D2:D999, MATCH(C1340,FieldDisagreements!A2:A999, 0)), "")</f>
        <v>KnowledgeFragments.IsInvokedByAnException</v>
      </c>
      <c r="J1340" s="2" t="s">
        <v>1906</v>
      </c>
    </row>
    <row r="1341">
      <c r="A1341" s="2" t="s">
        <v>16598</v>
      </c>
      <c r="B1341" s="3" t="str">
        <f>_xlfn.CONCAT(C1341, " @ ", D1341)</f>
        <v>effortless-owl|KnowledgeFragments.IsInvokedByAnException @ kf-policy-manager-route</v>
      </c>
      <c r="C1341" s="2" t="s">
        <v>14878</v>
      </c>
      <c r="D1341" s="2" t="s">
        <v>1171</v>
      </c>
      <c r="E1341" s="2" t="s">
        <v>37</v>
      </c>
      <c r="F1341" s="2" t="s">
        <v>935</v>
      </c>
      <c r="G1341" s="2" t="s">
        <v>14591</v>
      </c>
      <c r="H1341" s="3" t="str">
        <f>_xlfn.IFNA(INDEX(FieldDisagreements!C2:C999, MATCH(C1341,FieldDisagreements!A2:A999, 0)), "")</f>
        <v>effortless-owl</v>
      </c>
      <c r="I1341" s="3" t="str">
        <f>_xlfn.IFNA(INDEX(FieldDisagreements!D2:D999, MATCH(C1341,FieldDisagreements!A2:A999, 0)), "")</f>
        <v>KnowledgeFragments.IsInvokedByAnException</v>
      </c>
      <c r="J1341" s="2" t="s">
        <v>1906</v>
      </c>
    </row>
    <row r="1342">
      <c r="A1342" s="2" t="s">
        <v>16599</v>
      </c>
      <c r="B1342" s="3" t="str">
        <f>_xlfn.CONCAT(C1342, " @ ", D1342)</f>
        <v>effortless-owl|KnowledgeFragments.HasOperationalReliance @ kf-policy-channel</v>
      </c>
      <c r="C1342" s="2" t="s">
        <v>14879</v>
      </c>
      <c r="D1342" s="2" t="s">
        <v>1169</v>
      </c>
      <c r="E1342" s="2" t="s">
        <v>15035</v>
      </c>
      <c r="F1342" s="2" t="s">
        <v>15057</v>
      </c>
      <c r="G1342" s="2" t="s">
        <v>14591</v>
      </c>
      <c r="H1342" s="3" t="str">
        <f>_xlfn.IFNA(INDEX(FieldDisagreements!C2:C999, MATCH(C1342,FieldDisagreements!A2:A999, 0)), "")</f>
        <v>effortless-owl</v>
      </c>
      <c r="I1342" s="3" t="str">
        <f>_xlfn.IFNA(INDEX(FieldDisagreements!D2:D999, MATCH(C1342,FieldDisagreements!A2:A999, 0)), "")</f>
        <v>KnowledgeFragments.HasOperationalReliance</v>
      </c>
      <c r="J1342" s="2" t="s">
        <v>1906</v>
      </c>
    </row>
    <row r="1343">
      <c r="A1343" s="2" t="s">
        <v>16600</v>
      </c>
      <c r="B1343" s="3" t="str">
        <f>_xlfn.CONCAT(C1343, " @ ", D1343)</f>
        <v>effortless-owl|KnowledgeFragments.HasOperationalReliance @ kf-policy-manager-route</v>
      </c>
      <c r="C1343" s="2" t="s">
        <v>14879</v>
      </c>
      <c r="D1343" s="2" t="s">
        <v>1171</v>
      </c>
      <c r="E1343" s="2" t="s">
        <v>15035</v>
      </c>
      <c r="F1343" s="2" t="s">
        <v>15057</v>
      </c>
      <c r="G1343" s="2" t="s">
        <v>14591</v>
      </c>
      <c r="H1343" s="3" t="str">
        <f>_xlfn.IFNA(INDEX(FieldDisagreements!C2:C999, MATCH(C1343,FieldDisagreements!A2:A999, 0)), "")</f>
        <v>effortless-owl</v>
      </c>
      <c r="I1343" s="3" t="str">
        <f>_xlfn.IFNA(INDEX(FieldDisagreements!D2:D999, MATCH(C1343,FieldDisagreements!A2:A999, 0)), "")</f>
        <v>KnowledgeFragments.HasOperationalReliance</v>
      </c>
      <c r="J1343" s="2" t="s">
        <v>1906</v>
      </c>
    </row>
    <row r="1344">
      <c r="A1344" s="2" t="s">
        <v>16601</v>
      </c>
      <c r="B1344" s="3" t="str">
        <f>_xlfn.CONCAT(C1344, " @ ", D1344)</f>
        <v>effortless-owl|KnowledgeFragments.RelianceSurfaceCount @ kf-policy-channel</v>
      </c>
      <c r="C1344" s="2" t="s">
        <v>14880</v>
      </c>
      <c r="D1344" s="2" t="s">
        <v>1169</v>
      </c>
      <c r="E1344" s="2" t="s">
        <v>37</v>
      </c>
      <c r="F1344" s="2" t="s">
        <v>935</v>
      </c>
      <c r="G1344" s="2" t="s">
        <v>14591</v>
      </c>
      <c r="H1344" s="3" t="str">
        <f>_xlfn.IFNA(INDEX(FieldDisagreements!C2:C999, MATCH(C1344,FieldDisagreements!A2:A999, 0)), "")</f>
        <v>effortless-owl</v>
      </c>
      <c r="I1344" s="3" t="str">
        <f>_xlfn.IFNA(INDEX(FieldDisagreements!D2:D999, MATCH(C1344,FieldDisagreements!A2:A999, 0)), "")</f>
        <v>KnowledgeFragments.RelianceSurfaceCount</v>
      </c>
      <c r="J1344" s="2" t="s">
        <v>1906</v>
      </c>
    </row>
    <row r="1345">
      <c r="A1345" s="2" t="s">
        <v>16602</v>
      </c>
      <c r="B1345" s="3" t="str">
        <f>_xlfn.CONCAT(C1345, " @ ", D1345)</f>
        <v>effortless-owl|KnowledgeFragments.RelianceSurfaceCount @ kf-policy-manager-route</v>
      </c>
      <c r="C1345" s="2" t="s">
        <v>14880</v>
      </c>
      <c r="D1345" s="2" t="s">
        <v>1171</v>
      </c>
      <c r="E1345" s="2" t="s">
        <v>37</v>
      </c>
      <c r="F1345" s="2" t="s">
        <v>935</v>
      </c>
      <c r="G1345" s="2" t="s">
        <v>14591</v>
      </c>
      <c r="H1345" s="3" t="str">
        <f>_xlfn.IFNA(INDEX(FieldDisagreements!C2:C999, MATCH(C1345,FieldDisagreements!A2:A999, 0)), "")</f>
        <v>effortless-owl</v>
      </c>
      <c r="I1345" s="3" t="str">
        <f>_xlfn.IFNA(INDEX(FieldDisagreements!D2:D999, MATCH(C1345,FieldDisagreements!A2:A999, 0)), "")</f>
        <v>KnowledgeFragments.RelianceSurfaceCount</v>
      </c>
      <c r="J1345" s="2" t="s">
        <v>1906</v>
      </c>
    </row>
    <row r="1346">
      <c r="A1346" s="2" t="s">
        <v>16603</v>
      </c>
      <c r="B1346" s="3" t="str">
        <f>_xlfn.CONCAT(C1346, " @ ", D1346)</f>
        <v>effortless-owl|KnowledgeFragments.IsUnapprovedAndOperationallyLive @ kf-policy-manager-route</v>
      </c>
      <c r="C1346" s="2" t="s">
        <v>14881</v>
      </c>
      <c r="D1346" s="2" t="s">
        <v>1171</v>
      </c>
      <c r="E1346" s="2" t="s">
        <v>15035</v>
      </c>
      <c r="F1346" s="2" t="s">
        <v>15057</v>
      </c>
      <c r="G1346" s="2" t="s">
        <v>14591</v>
      </c>
      <c r="H1346" s="3" t="str">
        <f>_xlfn.IFNA(INDEX(FieldDisagreements!C2:C999, MATCH(C1346,FieldDisagreements!A2:A999, 0)), "")</f>
        <v>effortless-owl</v>
      </c>
      <c r="I1346" s="3" t="str">
        <f>_xlfn.IFNA(INDEX(FieldDisagreements!D2:D999, MATCH(C1346,FieldDisagreements!A2:A999, 0)), "")</f>
        <v>KnowledgeFragments.IsUnapprovedAndOperationallyLive</v>
      </c>
      <c r="J1346" s="2" t="s">
        <v>1906</v>
      </c>
    </row>
    <row r="1347">
      <c r="A1347" s="2" t="s">
        <v>16604</v>
      </c>
      <c r="B1347" s="3" t="str">
        <f>_xlfn.CONCAT(C1347, " @ ", D1347)</f>
        <v>effortless-owl|KnowledgeFragments.DaysAwaitingMyApproval @ kf-policy-manager-route</v>
      </c>
      <c r="C1347" s="2" t="s">
        <v>14882</v>
      </c>
      <c r="D1347" s="2" t="s">
        <v>1171</v>
      </c>
      <c r="E1347" s="2" t="s">
        <v>15077</v>
      </c>
      <c r="F1347" s="2" t="s">
        <v>16583</v>
      </c>
      <c r="G1347" s="2" t="s">
        <v>14591</v>
      </c>
      <c r="H1347" s="3" t="str">
        <f>_xlfn.IFNA(INDEX(FieldDisagreements!C2:C999, MATCH(C1347,FieldDisagreements!A2:A999, 0)), "")</f>
        <v>effortless-owl</v>
      </c>
      <c r="I1347" s="3" t="str">
        <f>_xlfn.IFNA(INDEX(FieldDisagreements!D2:D999, MATCH(C1347,FieldDisagreements!A2:A999, 0)), "")</f>
        <v>KnowledgeFragments.DaysAwaitingMyApproval</v>
      </c>
      <c r="J1347" s="2" t="s">
        <v>1906</v>
      </c>
    </row>
    <row r="1348">
      <c r="A1348" s="2" t="s">
        <v>16605</v>
      </c>
      <c r="B1348" s="3" t="str">
        <f>_xlfn.CONCAT(C1348, " @ ", D1348)</f>
        <v>effortless-owl|KnowledgeGaps.DaysOpen @ gap-policy-delivery-receipts</v>
      </c>
      <c r="C1348" s="2" t="s">
        <v>14883</v>
      </c>
      <c r="D1348" s="2" t="s">
        <v>1196</v>
      </c>
      <c r="E1348" s="2" t="s">
        <v>935</v>
      </c>
      <c r="F1348" s="2" t="s">
        <v>16479</v>
      </c>
      <c r="G1348" s="2" t="s">
        <v>14591</v>
      </c>
      <c r="H1348" s="3" t="str">
        <f>_xlfn.IFNA(INDEX(FieldDisagreements!C2:C999, MATCH(C1348,FieldDisagreements!A2:A999, 0)), "")</f>
        <v>effortless-owl</v>
      </c>
      <c r="I1348" s="3" t="str">
        <f>_xlfn.IFNA(INDEX(FieldDisagreements!D2:D999, MATCH(C1348,FieldDisagreements!A2:A999, 0)), "")</f>
        <v>KnowledgeGaps.DaysOpen</v>
      </c>
      <c r="J1348" s="2" t="s">
        <v>1906</v>
      </c>
    </row>
    <row r="1349">
      <c r="A1349" s="2" t="s">
        <v>16606</v>
      </c>
      <c r="B1349" s="3" t="str">
        <f>_xlfn.CONCAT(C1349, " @ ", D1349)</f>
        <v>effortless-owl|ProcedureExecutions.LateStepCount @ exec-close-2026-q2</v>
      </c>
      <c r="C1349" s="2" t="s">
        <v>14884</v>
      </c>
      <c r="D1349" s="2" t="s">
        <v>1319</v>
      </c>
      <c r="E1349" s="2" t="s">
        <v>15461</v>
      </c>
      <c r="F1349" s="2" t="s">
        <v>935</v>
      </c>
      <c r="G1349" s="2" t="s">
        <v>14591</v>
      </c>
      <c r="H1349" s="3" t="str">
        <f>_xlfn.IFNA(INDEX(FieldDisagreements!C2:C999, MATCH(C1349,FieldDisagreements!A2:A999, 0)), "")</f>
        <v>effortless-owl</v>
      </c>
      <c r="I1349" s="3" t="str">
        <f>_xlfn.IFNA(INDEX(FieldDisagreements!D2:D999, MATCH(C1349,FieldDisagreements!A2:A999, 0)), "")</f>
        <v>ProcedureExecutions.LateStepCount</v>
      </c>
      <c r="J1349" s="2" t="s">
        <v>1906</v>
      </c>
    </row>
    <row r="1350">
      <c r="A1350" s="2" t="s">
        <v>16607</v>
      </c>
      <c r="B1350" s="3" t="str">
        <f>_xlfn.CONCAT(C1350, " @ ", D1350)</f>
        <v>effortless-owl|ProcedureExecutions.LateStepCount @ exec-policy-hr4821</v>
      </c>
      <c r="C1350" s="2" t="s">
        <v>14884</v>
      </c>
      <c r="D1350" s="2" t="s">
        <v>1324</v>
      </c>
      <c r="E1350" s="2" t="s">
        <v>15463</v>
      </c>
      <c r="F1350" s="2" t="s">
        <v>935</v>
      </c>
      <c r="G1350" s="2" t="s">
        <v>14591</v>
      </c>
      <c r="H1350" s="3" t="str">
        <f>_xlfn.IFNA(INDEX(FieldDisagreements!C2:C999, MATCH(C1350,FieldDisagreements!A2:A999, 0)), "")</f>
        <v>effortless-owl</v>
      </c>
      <c r="I1350" s="3" t="str">
        <f>_xlfn.IFNA(INDEX(FieldDisagreements!D2:D999, MATCH(C1350,FieldDisagreements!A2:A999, 0)), "")</f>
        <v>ProcedureExecutions.LateStepCount</v>
      </c>
      <c r="J1350" s="2" t="s">
        <v>1906</v>
      </c>
    </row>
    <row r="1351">
      <c r="A1351" s="2" t="s">
        <v>16608</v>
      </c>
      <c r="B1351" s="3" t="str">
        <f>_xlfn.CONCAT(C1351, " @ ", D1351)</f>
        <v>effortless-owl|ProcedureExecutions.UncleanStepCount @ exec-close-2026-q2</v>
      </c>
      <c r="C1351" s="2" t="s">
        <v>14885</v>
      </c>
      <c r="D1351" s="2" t="s">
        <v>1319</v>
      </c>
      <c r="E1351" s="2" t="s">
        <v>15461</v>
      </c>
      <c r="F1351" s="2" t="s">
        <v>51</v>
      </c>
      <c r="G1351" s="2" t="s">
        <v>14591</v>
      </c>
      <c r="H1351" s="3" t="str">
        <f>_xlfn.IFNA(INDEX(FieldDisagreements!C2:C999, MATCH(C1351,FieldDisagreements!A2:A999, 0)), "")</f>
        <v>effortless-owl</v>
      </c>
      <c r="I1351" s="3" t="str">
        <f>_xlfn.IFNA(INDEX(FieldDisagreements!D2:D999, MATCH(C1351,FieldDisagreements!A2:A999, 0)), "")</f>
        <v>ProcedureExecutions.UncleanStepCount</v>
      </c>
      <c r="J1351" s="2" t="s">
        <v>1906</v>
      </c>
    </row>
    <row r="1352">
      <c r="A1352" s="2" t="s">
        <v>16609</v>
      </c>
      <c r="B1352" s="3" t="str">
        <f>_xlfn.CONCAT(C1352, " @ ", D1352)</f>
        <v>effortless-owl|ProcedureExecutions.UncleanStepCount @ exec-policy-hr4821</v>
      </c>
      <c r="C1352" s="2" t="s">
        <v>14885</v>
      </c>
      <c r="D1352" s="2" t="s">
        <v>1324</v>
      </c>
      <c r="E1352" s="2" t="s">
        <v>15463</v>
      </c>
      <c r="F1352" s="2" t="s">
        <v>37</v>
      </c>
      <c r="G1352" s="2" t="s">
        <v>14591</v>
      </c>
      <c r="H1352" s="3" t="str">
        <f>_xlfn.IFNA(INDEX(FieldDisagreements!C2:C999, MATCH(C1352,FieldDisagreements!A2:A999, 0)), "")</f>
        <v>effortless-owl</v>
      </c>
      <c r="I1352" s="3" t="str">
        <f>_xlfn.IFNA(INDEX(FieldDisagreements!D2:D999, MATCH(C1352,FieldDisagreements!A2:A999, 0)), "")</f>
        <v>ProcedureExecutions.UncleanStepCount</v>
      </c>
      <c r="J1352" s="2" t="s">
        <v>1906</v>
      </c>
    </row>
    <row r="1353">
      <c r="A1353" s="2" t="s">
        <v>16610</v>
      </c>
      <c r="B1353" s="3" t="str">
        <f>_xlfn.CONCAT(C1353, " @ ", D1353)</f>
        <v>effortless-owl|ProcedureExecutions.VacuouslyCleanStepCount @ exec-close-2026-q2</v>
      </c>
      <c r="C1353" s="2" t="s">
        <v>14886</v>
      </c>
      <c r="D1353" s="2" t="s">
        <v>1319</v>
      </c>
      <c r="E1353" s="2" t="s">
        <v>37</v>
      </c>
      <c r="F1353" s="2" t="s">
        <v>935</v>
      </c>
      <c r="G1353" s="2" t="s">
        <v>14591</v>
      </c>
      <c r="H1353" s="3" t="str">
        <f>_xlfn.IFNA(INDEX(FieldDisagreements!C2:C999, MATCH(C1353,FieldDisagreements!A2:A999, 0)), "")</f>
        <v>effortless-owl</v>
      </c>
      <c r="I1353" s="3" t="str">
        <f>_xlfn.IFNA(INDEX(FieldDisagreements!D2:D999, MATCH(C1353,FieldDisagreements!A2:A999, 0)), "")</f>
        <v>ProcedureExecutions.VacuouslyCleanStepCount</v>
      </c>
      <c r="J1353" s="2" t="s">
        <v>1906</v>
      </c>
    </row>
    <row r="1354">
      <c r="A1354" s="2" t="s">
        <v>16611</v>
      </c>
      <c r="B1354" s="3" t="str">
        <f>_xlfn.CONCAT(C1354, " @ ", D1354)</f>
        <v>effortless-owl|ProcedureExecutions.VacuouslyCleanStepCount @ exec-policy-hr4821</v>
      </c>
      <c r="C1354" s="2" t="s">
        <v>14886</v>
      </c>
      <c r="D1354" s="2" t="s">
        <v>1324</v>
      </c>
      <c r="E1354" s="2" t="s">
        <v>37</v>
      </c>
      <c r="F1354" s="2" t="s">
        <v>935</v>
      </c>
      <c r="G1354" s="2" t="s">
        <v>14591</v>
      </c>
      <c r="H1354" s="3" t="str">
        <f>_xlfn.IFNA(INDEX(FieldDisagreements!C2:C999, MATCH(C1354,FieldDisagreements!A2:A999, 0)), "")</f>
        <v>effortless-owl</v>
      </c>
      <c r="I1354" s="3" t="str">
        <f>_xlfn.IFNA(INDEX(FieldDisagreements!D2:D999, MATCH(C1354,FieldDisagreements!A2:A999, 0)), "")</f>
        <v>ProcedureExecutions.VacuouslyCleanStepCount</v>
      </c>
      <c r="J1354" s="2" t="s">
        <v>1906</v>
      </c>
    </row>
    <row r="1355">
      <c r="A1355" s="2" t="s">
        <v>16612</v>
      </c>
      <c r="B1355" s="3" t="str">
        <f>_xlfn.CONCAT(C1355, " @ ", D1355)</f>
        <v>effortless-owl|ProcedureExecutions.UngovernedDivergenceCount @ exec-policy-hr4821</v>
      </c>
      <c r="C1355" s="2" t="s">
        <v>14887</v>
      </c>
      <c r="D1355" s="2" t="s">
        <v>1324</v>
      </c>
      <c r="E1355" s="2" t="s">
        <v>15463</v>
      </c>
      <c r="F1355" s="2" t="s">
        <v>37</v>
      </c>
      <c r="G1355" s="2" t="s">
        <v>14591</v>
      </c>
      <c r="H1355" s="3" t="str">
        <f>_xlfn.IFNA(INDEX(FieldDisagreements!C2:C999, MATCH(C1355,FieldDisagreements!A2:A999, 0)), "")</f>
        <v>effortless-owl</v>
      </c>
      <c r="I1355" s="3" t="str">
        <f>_xlfn.IFNA(INDEX(FieldDisagreements!D2:D999, MATCH(C1355,FieldDisagreements!A2:A999, 0)), "")</f>
        <v>ProcedureExecutions.UngovernedDivergenceCount</v>
      </c>
      <c r="J1355" s="2" t="s">
        <v>1906</v>
      </c>
    </row>
    <row r="1356">
      <c r="A1356" s="2" t="s">
        <v>16613</v>
      </c>
      <c r="B1356" s="3" t="str">
        <f>_xlfn.CONCAT(C1356, " @ ", D1356)</f>
        <v>effortless-owl|StepExecutions.ActualDurationMinutes @ se-close01</v>
      </c>
      <c r="C1356" s="2" t="s">
        <v>14888</v>
      </c>
      <c r="D1356" s="2" t="s">
        <v>1427</v>
      </c>
      <c r="E1356" s="2" t="s">
        <v>15474</v>
      </c>
      <c r="F1356" s="2" t="s">
        <v>15036</v>
      </c>
      <c r="G1356" s="2" t="s">
        <v>14591</v>
      </c>
      <c r="H1356" s="3" t="str">
        <f>_xlfn.IFNA(INDEX(FieldDisagreements!C2:C999, MATCH(C1356,FieldDisagreements!A2:A999, 0)), "")</f>
        <v>effortless-owl</v>
      </c>
      <c r="I1356" s="3" t="str">
        <f>_xlfn.IFNA(INDEX(FieldDisagreements!D2:D999, MATCH(C1356,FieldDisagreements!A2:A999, 0)), "")</f>
        <v>StepExecutions.ActualDurationMinutes</v>
      </c>
      <c r="J1356" s="2" t="s">
        <v>1906</v>
      </c>
    </row>
    <row r="1357">
      <c r="A1357" s="2" t="s">
        <v>16614</v>
      </c>
      <c r="B1357" s="3" t="str">
        <f>_xlfn.CONCAT(C1357, " @ ", D1357)</f>
        <v>effortless-owl|StepExecutions.ActualDurationMinutes @ se-close02</v>
      </c>
      <c r="C1357" s="2" t="s">
        <v>14888</v>
      </c>
      <c r="D1357" s="2" t="s">
        <v>1430</v>
      </c>
      <c r="E1357" s="2" t="s">
        <v>15480</v>
      </c>
      <c r="F1357" s="2" t="s">
        <v>15036</v>
      </c>
      <c r="G1357" s="2" t="s">
        <v>14591</v>
      </c>
      <c r="H1357" s="3" t="str">
        <f>_xlfn.IFNA(INDEX(FieldDisagreements!C2:C999, MATCH(C1357,FieldDisagreements!A2:A999, 0)), "")</f>
        <v>effortless-owl</v>
      </c>
      <c r="I1357" s="3" t="str">
        <f>_xlfn.IFNA(INDEX(FieldDisagreements!D2:D999, MATCH(C1357,FieldDisagreements!A2:A999, 0)), "")</f>
        <v>StepExecutions.ActualDurationMinutes</v>
      </c>
      <c r="J1357" s="2" t="s">
        <v>1906</v>
      </c>
    </row>
    <row r="1358">
      <c r="A1358" s="2" t="s">
        <v>16615</v>
      </c>
      <c r="B1358" s="3" t="str">
        <f>_xlfn.CONCAT(C1358, " @ ", D1358)</f>
        <v>effortless-owl|StepExecutions.ActualDurationMinutes @ se-close03</v>
      </c>
      <c r="C1358" s="2" t="s">
        <v>14888</v>
      </c>
      <c r="D1358" s="2" t="s">
        <v>1433</v>
      </c>
      <c r="E1358" s="2" t="s">
        <v>15482</v>
      </c>
      <c r="F1358" s="2" t="s">
        <v>15036</v>
      </c>
      <c r="G1358" s="2" t="s">
        <v>14591</v>
      </c>
      <c r="H1358" s="3" t="str">
        <f>_xlfn.IFNA(INDEX(FieldDisagreements!C2:C999, MATCH(C1358,FieldDisagreements!A2:A999, 0)), "")</f>
        <v>effortless-owl</v>
      </c>
      <c r="I1358" s="3" t="str">
        <f>_xlfn.IFNA(INDEX(FieldDisagreements!D2:D999, MATCH(C1358,FieldDisagreements!A2:A999, 0)), "")</f>
        <v>StepExecutions.ActualDurationMinutes</v>
      </c>
      <c r="J1358" s="2" t="s">
        <v>1906</v>
      </c>
    </row>
    <row r="1359">
      <c r="A1359" s="2" t="s">
        <v>16616</v>
      </c>
      <c r="B1359" s="3" t="str">
        <f>_xlfn.CONCAT(C1359, " @ ", D1359)</f>
        <v>effortless-owl|StepExecutions.ActualDurationMinutes @ se-close04</v>
      </c>
      <c r="C1359" s="2" t="s">
        <v>14888</v>
      </c>
      <c r="D1359" s="2" t="s">
        <v>1434</v>
      </c>
      <c r="E1359" s="2" t="s">
        <v>15484</v>
      </c>
      <c r="F1359" s="2" t="s">
        <v>15036</v>
      </c>
      <c r="G1359" s="2" t="s">
        <v>14591</v>
      </c>
      <c r="H1359" s="3" t="str">
        <f>_xlfn.IFNA(INDEX(FieldDisagreements!C2:C999, MATCH(C1359,FieldDisagreements!A2:A999, 0)), "")</f>
        <v>effortless-owl</v>
      </c>
      <c r="I1359" s="3" t="str">
        <f>_xlfn.IFNA(INDEX(FieldDisagreements!D2:D999, MATCH(C1359,FieldDisagreements!A2:A999, 0)), "")</f>
        <v>StepExecutions.ActualDurationMinutes</v>
      </c>
      <c r="J1359" s="2" t="s">
        <v>1906</v>
      </c>
    </row>
    <row r="1360">
      <c r="A1360" s="2" t="s">
        <v>16617</v>
      </c>
      <c r="B1360" s="3" t="str">
        <f>_xlfn.CONCAT(C1360, " @ ", D1360)</f>
        <v>effortless-owl|StepExecutions.ActualDurationMinutes @ se-close05</v>
      </c>
      <c r="C1360" s="2" t="s">
        <v>14888</v>
      </c>
      <c r="D1360" s="2" t="s">
        <v>1436</v>
      </c>
      <c r="E1360" s="2" t="s">
        <v>15486</v>
      </c>
      <c r="F1360" s="2" t="s">
        <v>15036</v>
      </c>
      <c r="G1360" s="2" t="s">
        <v>14591</v>
      </c>
      <c r="H1360" s="3" t="str">
        <f>_xlfn.IFNA(INDEX(FieldDisagreements!C2:C999, MATCH(C1360,FieldDisagreements!A2:A999, 0)), "")</f>
        <v>effortless-owl</v>
      </c>
      <c r="I1360" s="3" t="str">
        <f>_xlfn.IFNA(INDEX(FieldDisagreements!D2:D999, MATCH(C1360,FieldDisagreements!A2:A999, 0)), "")</f>
        <v>StepExecutions.ActualDurationMinutes</v>
      </c>
      <c r="J1360" s="2" t="s">
        <v>1906</v>
      </c>
    </row>
    <row r="1361">
      <c r="A1361" s="2" t="s">
        <v>16618</v>
      </c>
      <c r="B1361" s="3" t="str">
        <f>_xlfn.CONCAT(C1361, " @ ", D1361)</f>
        <v>effortless-owl|StepExecutions.ActualDurationMinutes @ se-close06</v>
      </c>
      <c r="C1361" s="2" t="s">
        <v>14888</v>
      </c>
      <c r="D1361" s="2" t="s">
        <v>1437</v>
      </c>
      <c r="E1361" s="2" t="s">
        <v>15195</v>
      </c>
      <c r="F1361" s="2" t="s">
        <v>15036</v>
      </c>
      <c r="G1361" s="2" t="s">
        <v>14591</v>
      </c>
      <c r="H1361" s="3" t="str">
        <f>_xlfn.IFNA(INDEX(FieldDisagreements!C2:C999, MATCH(C1361,FieldDisagreements!A2:A999, 0)), "")</f>
        <v>effortless-owl</v>
      </c>
      <c r="I1361" s="3" t="str">
        <f>_xlfn.IFNA(INDEX(FieldDisagreements!D2:D999, MATCH(C1361,FieldDisagreements!A2:A999, 0)), "")</f>
        <v>StepExecutions.ActualDurationMinutes</v>
      </c>
      <c r="J1361" s="2" t="s">
        <v>1906</v>
      </c>
    </row>
    <row r="1362">
      <c r="A1362" s="2" t="s">
        <v>16619</v>
      </c>
      <c r="B1362" s="3" t="str">
        <f>_xlfn.CONCAT(C1362, " @ ", D1362)</f>
        <v>effortless-owl|StepExecutions.ActualDurationMinutes @ se-close07</v>
      </c>
      <c r="C1362" s="2" t="s">
        <v>14888</v>
      </c>
      <c r="D1362" s="2" t="s">
        <v>1438</v>
      </c>
      <c r="E1362" s="2" t="s">
        <v>8195</v>
      </c>
      <c r="F1362" s="2" t="s">
        <v>15036</v>
      </c>
      <c r="G1362" s="2" t="s">
        <v>14591</v>
      </c>
      <c r="H1362" s="3" t="str">
        <f>_xlfn.IFNA(INDEX(FieldDisagreements!C2:C999, MATCH(C1362,FieldDisagreements!A2:A999, 0)), "")</f>
        <v>effortless-owl</v>
      </c>
      <c r="I1362" s="3" t="str">
        <f>_xlfn.IFNA(INDEX(FieldDisagreements!D2:D999, MATCH(C1362,FieldDisagreements!A2:A999, 0)), "")</f>
        <v>StepExecutions.ActualDurationMinutes</v>
      </c>
      <c r="J1362" s="2" t="s">
        <v>1906</v>
      </c>
    </row>
    <row r="1363">
      <c r="A1363" s="2" t="s">
        <v>16620</v>
      </c>
      <c r="B1363" s="3" t="str">
        <f>_xlfn.CONCAT(C1363, " @ ", D1363)</f>
        <v>effortless-owl|StepExecutions.ActualDurationMinutes @ se-close08</v>
      </c>
      <c r="C1363" s="2" t="s">
        <v>14888</v>
      </c>
      <c r="D1363" s="2" t="s">
        <v>1439</v>
      </c>
      <c r="E1363" s="2" t="s">
        <v>15490</v>
      </c>
      <c r="F1363" s="2" t="s">
        <v>15036</v>
      </c>
      <c r="G1363" s="2" t="s">
        <v>14591</v>
      </c>
      <c r="H1363" s="3" t="str">
        <f>_xlfn.IFNA(INDEX(FieldDisagreements!C2:C999, MATCH(C1363,FieldDisagreements!A2:A999, 0)), "")</f>
        <v>effortless-owl</v>
      </c>
      <c r="I1363" s="3" t="str">
        <f>_xlfn.IFNA(INDEX(FieldDisagreements!D2:D999, MATCH(C1363,FieldDisagreements!A2:A999, 0)), "")</f>
        <v>StepExecutions.ActualDurationMinutes</v>
      </c>
      <c r="J1363" s="2" t="s">
        <v>1906</v>
      </c>
    </row>
    <row r="1364">
      <c r="A1364" s="2" t="s">
        <v>16621</v>
      </c>
      <c r="B1364" s="3" t="str">
        <f>_xlfn.CONCAT(C1364, " @ ", D1364)</f>
        <v>effortless-owl|StepExecutions.ActualDurationMinutes @ se-policy01</v>
      </c>
      <c r="C1364" s="2" t="s">
        <v>14888</v>
      </c>
      <c r="D1364" s="2" t="s">
        <v>1441</v>
      </c>
      <c r="E1364" s="2" t="s">
        <v>15492</v>
      </c>
      <c r="F1364" s="2" t="s">
        <v>15036</v>
      </c>
      <c r="G1364" s="2" t="s">
        <v>14591</v>
      </c>
      <c r="H1364" s="3" t="str">
        <f>_xlfn.IFNA(INDEX(FieldDisagreements!C2:C999, MATCH(C1364,FieldDisagreements!A2:A999, 0)), "")</f>
        <v>effortless-owl</v>
      </c>
      <c r="I1364" s="3" t="str">
        <f>_xlfn.IFNA(INDEX(FieldDisagreements!D2:D999, MATCH(C1364,FieldDisagreements!A2:A999, 0)), "")</f>
        <v>StepExecutions.ActualDurationMinutes</v>
      </c>
      <c r="J1364" s="2" t="s">
        <v>1906</v>
      </c>
    </row>
    <row r="1365">
      <c r="A1365" s="2" t="s">
        <v>16622</v>
      </c>
      <c r="B1365" s="3" t="str">
        <f>_xlfn.CONCAT(C1365, " @ ", D1365)</f>
        <v>effortless-owl|StepExecutions.ActualDurationMinutes @ se-policy02</v>
      </c>
      <c r="C1365" s="2" t="s">
        <v>14888</v>
      </c>
      <c r="D1365" s="2" t="s">
        <v>1442</v>
      </c>
      <c r="E1365" s="2" t="s">
        <v>15494</v>
      </c>
      <c r="F1365" s="2" t="s">
        <v>15036</v>
      </c>
      <c r="G1365" s="2" t="s">
        <v>14591</v>
      </c>
      <c r="H1365" s="3" t="str">
        <f>_xlfn.IFNA(INDEX(FieldDisagreements!C2:C999, MATCH(C1365,FieldDisagreements!A2:A999, 0)), "")</f>
        <v>effortless-owl</v>
      </c>
      <c r="I1365" s="3" t="str">
        <f>_xlfn.IFNA(INDEX(FieldDisagreements!D2:D999, MATCH(C1365,FieldDisagreements!A2:A999, 0)), "")</f>
        <v>StepExecutions.ActualDurationMinutes</v>
      </c>
      <c r="J1365" s="2" t="s">
        <v>1906</v>
      </c>
    </row>
    <row r="1366">
      <c r="A1366" s="2" t="s">
        <v>16623</v>
      </c>
      <c r="B1366" s="3" t="str">
        <f>_xlfn.CONCAT(C1366, " @ ", D1366)</f>
        <v>effortless-owl|StepExecutions.ActualDurationMinutes @ se-policy03</v>
      </c>
      <c r="C1366" s="2" t="s">
        <v>14888</v>
      </c>
      <c r="D1366" s="2" t="s">
        <v>1443</v>
      </c>
      <c r="E1366" s="2" t="s">
        <v>15496</v>
      </c>
      <c r="F1366" s="2" t="s">
        <v>15036</v>
      </c>
      <c r="G1366" s="2" t="s">
        <v>14591</v>
      </c>
      <c r="H1366" s="3" t="str">
        <f>_xlfn.IFNA(INDEX(FieldDisagreements!C2:C999, MATCH(C1366,FieldDisagreements!A2:A999, 0)), "")</f>
        <v>effortless-owl</v>
      </c>
      <c r="I1366" s="3" t="str">
        <f>_xlfn.IFNA(INDEX(FieldDisagreements!D2:D999, MATCH(C1366,FieldDisagreements!A2:A999, 0)), "")</f>
        <v>StepExecutions.ActualDurationMinutes</v>
      </c>
      <c r="J1366" s="2" t="s">
        <v>1906</v>
      </c>
    </row>
    <row r="1367">
      <c r="A1367" s="2" t="s">
        <v>16624</v>
      </c>
      <c r="B1367" s="3" t="str">
        <f>_xlfn.CONCAT(C1367, " @ ", D1367)</f>
        <v>effortless-owl|StepExecutions.ActualDurationMinutes @ se-policy04</v>
      </c>
      <c r="C1367" s="2" t="s">
        <v>14888</v>
      </c>
      <c r="D1367" s="2" t="s">
        <v>1444</v>
      </c>
      <c r="E1367" s="2" t="s">
        <v>15498</v>
      </c>
      <c r="F1367" s="2" t="s">
        <v>15036</v>
      </c>
      <c r="G1367" s="2" t="s">
        <v>14591</v>
      </c>
      <c r="H1367" s="3" t="str">
        <f>_xlfn.IFNA(INDEX(FieldDisagreements!C2:C999, MATCH(C1367,FieldDisagreements!A2:A999, 0)), "")</f>
        <v>effortless-owl</v>
      </c>
      <c r="I1367" s="3" t="str">
        <f>_xlfn.IFNA(INDEX(FieldDisagreements!D2:D999, MATCH(C1367,FieldDisagreements!A2:A999, 0)), "")</f>
        <v>StepExecutions.ActualDurationMinutes</v>
      </c>
      <c r="J1367" s="2" t="s">
        <v>1906</v>
      </c>
    </row>
    <row r="1368">
      <c r="A1368" s="2" t="s">
        <v>16625</v>
      </c>
      <c r="B1368" s="3" t="str">
        <f>_xlfn.CONCAT(C1368, " @ ", D1368)</f>
        <v>effortless-owl|StepExecutions.IsClean @ se-close01</v>
      </c>
      <c r="C1368" s="2" t="s">
        <v>14889</v>
      </c>
      <c r="D1368" s="2" t="s">
        <v>1427</v>
      </c>
      <c r="E1368" s="2" t="s">
        <v>15035</v>
      </c>
      <c r="F1368" s="2" t="s">
        <v>15036</v>
      </c>
      <c r="G1368" s="2" t="s">
        <v>14591</v>
      </c>
      <c r="H1368" s="3" t="str">
        <f>_xlfn.IFNA(INDEX(FieldDisagreements!C2:C999, MATCH(C1368,FieldDisagreements!A2:A999, 0)), "")</f>
        <v>effortless-owl</v>
      </c>
      <c r="I1368" s="3" t="str">
        <f>_xlfn.IFNA(INDEX(FieldDisagreements!D2:D999, MATCH(C1368,FieldDisagreements!A2:A999, 0)), "")</f>
        <v>StepExecutions.IsClean</v>
      </c>
      <c r="J1368" s="2" t="s">
        <v>1906</v>
      </c>
    </row>
    <row r="1369">
      <c r="A1369" s="2" t="s">
        <v>16626</v>
      </c>
      <c r="B1369" s="3" t="str">
        <f>_xlfn.CONCAT(C1369, " @ ", D1369)</f>
        <v>effortless-owl|StepExecutions.IsClean @ se-close06</v>
      </c>
      <c r="C1369" s="2" t="s">
        <v>14889</v>
      </c>
      <c r="D1369" s="2" t="s">
        <v>1437</v>
      </c>
      <c r="E1369" s="2" t="s">
        <v>15035</v>
      </c>
      <c r="F1369" s="2" t="s">
        <v>15036</v>
      </c>
      <c r="G1369" s="2" t="s">
        <v>14591</v>
      </c>
      <c r="H1369" s="3" t="str">
        <f>_xlfn.IFNA(INDEX(FieldDisagreements!C2:C999, MATCH(C1369,FieldDisagreements!A2:A999, 0)), "")</f>
        <v>effortless-owl</v>
      </c>
      <c r="I1369" s="3" t="str">
        <f>_xlfn.IFNA(INDEX(FieldDisagreements!D2:D999, MATCH(C1369,FieldDisagreements!A2:A999, 0)), "")</f>
        <v>StepExecutions.IsClean</v>
      </c>
      <c r="J1369" s="2" t="s">
        <v>1906</v>
      </c>
    </row>
    <row r="1370">
      <c r="A1370" s="2" t="s">
        <v>16627</v>
      </c>
      <c r="B1370" s="3" t="str">
        <f>_xlfn.CONCAT(C1370, " @ ", D1370)</f>
        <v>effortless-owl|StepExecutions.IsClean @ se-close07</v>
      </c>
      <c r="C1370" s="2" t="s">
        <v>14889</v>
      </c>
      <c r="D1370" s="2" t="s">
        <v>1438</v>
      </c>
      <c r="E1370" s="2" t="s">
        <v>15035</v>
      </c>
      <c r="F1370" s="2" t="s">
        <v>15036</v>
      </c>
      <c r="G1370" s="2" t="s">
        <v>14591</v>
      </c>
      <c r="H1370" s="3" t="str">
        <f>_xlfn.IFNA(INDEX(FieldDisagreements!C2:C999, MATCH(C1370,FieldDisagreements!A2:A999, 0)), "")</f>
        <v>effortless-owl</v>
      </c>
      <c r="I1370" s="3" t="str">
        <f>_xlfn.IFNA(INDEX(FieldDisagreements!D2:D999, MATCH(C1370,FieldDisagreements!A2:A999, 0)), "")</f>
        <v>StepExecutions.IsClean</v>
      </c>
      <c r="J1370" s="2" t="s">
        <v>1906</v>
      </c>
    </row>
    <row r="1371">
      <c r="A1371" s="2" t="s">
        <v>16628</v>
      </c>
      <c r="B1371" s="3" t="str">
        <f>_xlfn.CONCAT(C1371, " @ ", D1371)</f>
        <v>effortless-owl|StepExecutions.IsClean @ se-policy01</v>
      </c>
      <c r="C1371" s="2" t="s">
        <v>14889</v>
      </c>
      <c r="D1371" s="2" t="s">
        <v>1441</v>
      </c>
      <c r="E1371" s="2" t="s">
        <v>15035</v>
      </c>
      <c r="F1371" s="2" t="s">
        <v>15036</v>
      </c>
      <c r="G1371" s="2" t="s">
        <v>14591</v>
      </c>
      <c r="H1371" s="3" t="str">
        <f>_xlfn.IFNA(INDEX(FieldDisagreements!C2:C999, MATCH(C1371,FieldDisagreements!A2:A999, 0)), "")</f>
        <v>effortless-owl</v>
      </c>
      <c r="I1371" s="3" t="str">
        <f>_xlfn.IFNA(INDEX(FieldDisagreements!D2:D999, MATCH(C1371,FieldDisagreements!A2:A999, 0)), "")</f>
        <v>StepExecutions.IsClean</v>
      </c>
      <c r="J1371" s="2" t="s">
        <v>1906</v>
      </c>
    </row>
    <row r="1372">
      <c r="A1372" s="2" t="s">
        <v>16629</v>
      </c>
      <c r="B1372" s="3" t="str">
        <f>_xlfn.CONCAT(C1372, " @ ", D1372)</f>
        <v>effortless-owl|StepExecutions.IsClean @ se-policy03</v>
      </c>
      <c r="C1372" s="2" t="s">
        <v>14889</v>
      </c>
      <c r="D1372" s="2" t="s">
        <v>1443</v>
      </c>
      <c r="E1372" s="2" t="s">
        <v>15035</v>
      </c>
      <c r="F1372" s="2" t="s">
        <v>15036</v>
      </c>
      <c r="G1372" s="2" t="s">
        <v>14591</v>
      </c>
      <c r="H1372" s="3" t="str">
        <f>_xlfn.IFNA(INDEX(FieldDisagreements!C2:C999, MATCH(C1372,FieldDisagreements!A2:A999, 0)), "")</f>
        <v>effortless-owl</v>
      </c>
      <c r="I1372" s="3" t="str">
        <f>_xlfn.IFNA(INDEX(FieldDisagreements!D2:D999, MATCH(C1372,FieldDisagreements!A2:A999, 0)), "")</f>
        <v>StepExecutions.IsClean</v>
      </c>
      <c r="J1372" s="2" t="s">
        <v>1906</v>
      </c>
    </row>
    <row r="1373">
      <c r="A1373" s="2" t="s">
        <v>16630</v>
      </c>
      <c r="B1373" s="3" t="str">
        <f>_xlfn.CONCAT(C1373, " @ ", D1373)</f>
        <v>effortless-owl|StepExecutions.IsSubstantivelyClean @ se-close01</v>
      </c>
      <c r="C1373" s="2" t="s">
        <v>14890</v>
      </c>
      <c r="D1373" s="2" t="s">
        <v>1427</v>
      </c>
      <c r="E1373" s="2" t="s">
        <v>15035</v>
      </c>
      <c r="F1373" s="2" t="s">
        <v>15036</v>
      </c>
      <c r="G1373" s="2" t="s">
        <v>14591</v>
      </c>
      <c r="H1373" s="3" t="str">
        <f>_xlfn.IFNA(INDEX(FieldDisagreements!C2:C999, MATCH(C1373,FieldDisagreements!A2:A999, 0)), "")</f>
        <v>effortless-owl</v>
      </c>
      <c r="I1373" s="3" t="str">
        <f>_xlfn.IFNA(INDEX(FieldDisagreements!D2:D999, MATCH(C1373,FieldDisagreements!A2:A999, 0)), "")</f>
        <v>StepExecutions.IsSubstantivelyClean</v>
      </c>
      <c r="J1373" s="2" t="s">
        <v>1906</v>
      </c>
    </row>
    <row r="1374">
      <c r="A1374" s="2" t="s">
        <v>16631</v>
      </c>
      <c r="B1374" s="3" t="str">
        <f>_xlfn.CONCAT(C1374, " @ ", D1374)</f>
        <v>effortless-owl|StepExecutions.IsLate @ se-close02</v>
      </c>
      <c r="C1374" s="2" t="s">
        <v>14891</v>
      </c>
      <c r="D1374" s="2" t="s">
        <v>1430</v>
      </c>
      <c r="E1374" s="2" t="s">
        <v>15035</v>
      </c>
      <c r="F1374" s="2" t="s">
        <v>15036</v>
      </c>
      <c r="G1374" s="2" t="s">
        <v>14591</v>
      </c>
      <c r="H1374" s="3" t="str">
        <f>_xlfn.IFNA(INDEX(FieldDisagreements!C2:C999, MATCH(C1374,FieldDisagreements!A2:A999, 0)), "")</f>
        <v>effortless-owl</v>
      </c>
      <c r="I1374" s="3" t="str">
        <f>_xlfn.IFNA(INDEX(FieldDisagreements!D2:D999, MATCH(C1374,FieldDisagreements!A2:A999, 0)), "")</f>
        <v>StepExecutions.IsLate</v>
      </c>
      <c r="J1374" s="2" t="s">
        <v>1906</v>
      </c>
    </row>
    <row r="1375">
      <c r="A1375" s="2" t="s">
        <v>16632</v>
      </c>
      <c r="B1375" s="3" t="str">
        <f>_xlfn.CONCAT(C1375, " @ ", D1375)</f>
        <v>effortless-owl|StepExecutions.IsLate @ se-close03</v>
      </c>
      <c r="C1375" s="2" t="s">
        <v>14891</v>
      </c>
      <c r="D1375" s="2" t="s">
        <v>1433</v>
      </c>
      <c r="E1375" s="2" t="s">
        <v>15035</v>
      </c>
      <c r="F1375" s="2" t="s">
        <v>15036</v>
      </c>
      <c r="G1375" s="2" t="s">
        <v>14591</v>
      </c>
      <c r="H1375" s="3" t="str">
        <f>_xlfn.IFNA(INDEX(FieldDisagreements!C2:C999, MATCH(C1375,FieldDisagreements!A2:A999, 0)), "")</f>
        <v>effortless-owl</v>
      </c>
      <c r="I1375" s="3" t="str">
        <f>_xlfn.IFNA(INDEX(FieldDisagreements!D2:D999, MATCH(C1375,FieldDisagreements!A2:A999, 0)), "")</f>
        <v>StepExecutions.IsLate</v>
      </c>
      <c r="J1375" s="2" t="s">
        <v>1906</v>
      </c>
    </row>
    <row r="1376">
      <c r="A1376" s="2" t="s">
        <v>16633</v>
      </c>
      <c r="B1376" s="3" t="str">
        <f>_xlfn.CONCAT(C1376, " @ ", D1376)</f>
        <v>effortless-owl|StepExecutions.IsLate @ se-close04</v>
      </c>
      <c r="C1376" s="2" t="s">
        <v>14891</v>
      </c>
      <c r="D1376" s="2" t="s">
        <v>1434</v>
      </c>
      <c r="E1376" s="2" t="s">
        <v>15035</v>
      </c>
      <c r="F1376" s="2" t="s">
        <v>15036</v>
      </c>
      <c r="G1376" s="2" t="s">
        <v>14591</v>
      </c>
      <c r="H1376" s="3" t="str">
        <f>_xlfn.IFNA(INDEX(FieldDisagreements!C2:C999, MATCH(C1376,FieldDisagreements!A2:A999, 0)), "")</f>
        <v>effortless-owl</v>
      </c>
      <c r="I1376" s="3" t="str">
        <f>_xlfn.IFNA(INDEX(FieldDisagreements!D2:D999, MATCH(C1376,FieldDisagreements!A2:A999, 0)), "")</f>
        <v>StepExecutions.IsLate</v>
      </c>
      <c r="J1376" s="2" t="s">
        <v>1906</v>
      </c>
    </row>
    <row r="1377">
      <c r="A1377" s="2" t="s">
        <v>16634</v>
      </c>
      <c r="B1377" s="3" t="str">
        <f>_xlfn.CONCAT(C1377, " @ ", D1377)</f>
        <v>effortless-owl|StepExecutions.IsLate @ se-close05</v>
      </c>
      <c r="C1377" s="2" t="s">
        <v>14891</v>
      </c>
      <c r="D1377" s="2" t="s">
        <v>1436</v>
      </c>
      <c r="E1377" s="2" t="s">
        <v>15035</v>
      </c>
      <c r="F1377" s="2" t="s">
        <v>15036</v>
      </c>
      <c r="G1377" s="2" t="s">
        <v>14591</v>
      </c>
      <c r="H1377" s="3" t="str">
        <f>_xlfn.IFNA(INDEX(FieldDisagreements!C2:C999, MATCH(C1377,FieldDisagreements!A2:A999, 0)), "")</f>
        <v>effortless-owl</v>
      </c>
      <c r="I1377" s="3" t="str">
        <f>_xlfn.IFNA(INDEX(FieldDisagreements!D2:D999, MATCH(C1377,FieldDisagreements!A2:A999, 0)), "")</f>
        <v>StepExecutions.IsLate</v>
      </c>
      <c r="J1377" s="2" t="s">
        <v>1906</v>
      </c>
    </row>
    <row r="1378">
      <c r="A1378" s="2" t="s">
        <v>16635</v>
      </c>
      <c r="B1378" s="3" t="str">
        <f>_xlfn.CONCAT(C1378, " @ ", D1378)</f>
        <v>effortless-owl|StepExecutions.IsLate @ se-close08</v>
      </c>
      <c r="C1378" s="2" t="s">
        <v>14891</v>
      </c>
      <c r="D1378" s="2" t="s">
        <v>1439</v>
      </c>
      <c r="E1378" s="2" t="s">
        <v>15035</v>
      </c>
      <c r="F1378" s="2" t="s">
        <v>15036</v>
      </c>
      <c r="G1378" s="2" t="s">
        <v>14591</v>
      </c>
      <c r="H1378" s="3" t="str">
        <f>_xlfn.IFNA(INDEX(FieldDisagreements!C2:C999, MATCH(C1378,FieldDisagreements!A2:A999, 0)), "")</f>
        <v>effortless-owl</v>
      </c>
      <c r="I1378" s="3" t="str">
        <f>_xlfn.IFNA(INDEX(FieldDisagreements!D2:D999, MATCH(C1378,FieldDisagreements!A2:A999, 0)), "")</f>
        <v>StepExecutions.IsLate</v>
      </c>
      <c r="J1378" s="2" t="s">
        <v>1906</v>
      </c>
    </row>
    <row r="1379">
      <c r="A1379" s="2" t="s">
        <v>16636</v>
      </c>
      <c r="B1379" s="3" t="str">
        <f>_xlfn.CONCAT(C1379, " @ ", D1379)</f>
        <v>effortless-owl|StepExecutions.IsLate @ se-policy02</v>
      </c>
      <c r="C1379" s="2" t="s">
        <v>14891</v>
      </c>
      <c r="D1379" s="2" t="s">
        <v>1442</v>
      </c>
      <c r="E1379" s="2" t="s">
        <v>15035</v>
      </c>
      <c r="F1379" s="2" t="s">
        <v>15036</v>
      </c>
      <c r="G1379" s="2" t="s">
        <v>14591</v>
      </c>
      <c r="H1379" s="3" t="str">
        <f>_xlfn.IFNA(INDEX(FieldDisagreements!C2:C999, MATCH(C1379,FieldDisagreements!A2:A999, 0)), "")</f>
        <v>effortless-owl</v>
      </c>
      <c r="I1379" s="3" t="str">
        <f>_xlfn.IFNA(INDEX(FieldDisagreements!D2:D999, MATCH(C1379,FieldDisagreements!A2:A999, 0)), "")</f>
        <v>StepExecutions.IsLate</v>
      </c>
      <c r="J1379" s="2" t="s">
        <v>1906</v>
      </c>
    </row>
    <row r="1380">
      <c r="A1380" s="2" t="s">
        <v>16637</v>
      </c>
      <c r="B1380" s="3" t="str">
        <f>_xlfn.CONCAT(C1380, " @ ", D1380)</f>
        <v>effortless-owl|StepExecutions.IsLate @ se-policy04</v>
      </c>
      <c r="C1380" s="2" t="s">
        <v>14891</v>
      </c>
      <c r="D1380" s="2" t="s">
        <v>1444</v>
      </c>
      <c r="E1380" s="2" t="s">
        <v>15035</v>
      </c>
      <c r="F1380" s="2" t="s">
        <v>15036</v>
      </c>
      <c r="G1380" s="2" t="s">
        <v>14591</v>
      </c>
      <c r="H1380" s="3" t="str">
        <f>_xlfn.IFNA(INDEX(FieldDisagreements!C2:C999, MATCH(C1380,FieldDisagreements!A2:A999, 0)), "")</f>
        <v>effortless-owl</v>
      </c>
      <c r="I1380" s="3" t="str">
        <f>_xlfn.IFNA(INDEX(FieldDisagreements!D2:D999, MATCH(C1380,FieldDisagreements!A2:A999, 0)), "")</f>
        <v>StepExecutions.IsLate</v>
      </c>
      <c r="J1380" s="2" t="s">
        <v>1906</v>
      </c>
    </row>
    <row r="1381">
      <c r="A1381" s="2" t="s">
        <v>16638</v>
      </c>
      <c r="B1381" s="3" t="str">
        <f>_xlfn.CONCAT(C1381, " @ ", D1381)</f>
        <v>effortless-owl|StepExecutions.StaleAuthoritativeSourceCount @ se-close02</v>
      </c>
      <c r="C1381" s="2" t="s">
        <v>14892</v>
      </c>
      <c r="D1381" s="2" t="s">
        <v>1430</v>
      </c>
      <c r="E1381" s="2" t="s">
        <v>37</v>
      </c>
      <c r="F1381" s="2" t="s">
        <v>935</v>
      </c>
      <c r="G1381" s="2" t="s">
        <v>14591</v>
      </c>
      <c r="H1381" s="3" t="str">
        <f>_xlfn.IFNA(INDEX(FieldDisagreements!C2:C999, MATCH(C1381,FieldDisagreements!A2:A999, 0)), "")</f>
        <v>effortless-owl</v>
      </c>
      <c r="I1381" s="3" t="str">
        <f>_xlfn.IFNA(INDEX(FieldDisagreements!D2:D999, MATCH(C1381,FieldDisagreements!A2:A999, 0)), "")</f>
        <v>StepExecutions.StaleAuthoritativeSourceCount</v>
      </c>
      <c r="J1381" s="2" t="s">
        <v>1906</v>
      </c>
    </row>
    <row r="1382">
      <c r="A1382" s="2" t="s">
        <v>16639</v>
      </c>
      <c r="B1382" s="3" t="str">
        <f>_xlfn.CONCAT(C1382, " @ ", D1382)</f>
        <v>effortless-owl|StepExecutions.StaleAuthoritativeSourceCount @ se-policy01</v>
      </c>
      <c r="C1382" s="2" t="s">
        <v>14892</v>
      </c>
      <c r="D1382" s="2" t="s">
        <v>1441</v>
      </c>
      <c r="E1382" s="2" t="s">
        <v>37</v>
      </c>
      <c r="F1382" s="2" t="s">
        <v>935</v>
      </c>
      <c r="G1382" s="2" t="s">
        <v>14591</v>
      </c>
      <c r="H1382" s="3" t="str">
        <f>_xlfn.IFNA(INDEX(FieldDisagreements!C2:C999, MATCH(C1382,FieldDisagreements!A2:A999, 0)), "")</f>
        <v>effortless-owl</v>
      </c>
      <c r="I1382" s="3" t="str">
        <f>_xlfn.IFNA(INDEX(FieldDisagreements!D2:D999, MATCH(C1382,FieldDisagreements!A2:A999, 0)), "")</f>
        <v>StepExecutions.StaleAuthoritativeSourceCount</v>
      </c>
      <c r="J1382" s="2" t="s">
        <v>1906</v>
      </c>
    </row>
    <row r="1383">
      <c r="A1383" s="2" t="s">
        <v>16640</v>
      </c>
      <c r="B1383" s="3" t="str">
        <f>_xlfn.CONCAT(C1383, " @ ", D1383)</f>
        <v>effortless-owl|StepExecutions.RanOnStaleAuthoritativeSource @ se-close02</v>
      </c>
      <c r="C1383" s="2" t="s">
        <v>14893</v>
      </c>
      <c r="D1383" s="2" t="s">
        <v>1430</v>
      </c>
      <c r="E1383" s="2" t="s">
        <v>15035</v>
      </c>
      <c r="F1383" s="2" t="s">
        <v>15057</v>
      </c>
      <c r="G1383" s="2" t="s">
        <v>14591</v>
      </c>
      <c r="H1383" s="3" t="str">
        <f>_xlfn.IFNA(INDEX(FieldDisagreements!C2:C999, MATCH(C1383,FieldDisagreements!A2:A999, 0)), "")</f>
        <v>effortless-owl</v>
      </c>
      <c r="I1383" s="3" t="str">
        <f>_xlfn.IFNA(INDEX(FieldDisagreements!D2:D999, MATCH(C1383,FieldDisagreements!A2:A999, 0)), "")</f>
        <v>StepExecutions.RanOnStaleAuthoritativeSource</v>
      </c>
      <c r="J1383" s="2" t="s">
        <v>1906</v>
      </c>
    </row>
    <row r="1384">
      <c r="A1384" s="2" t="s">
        <v>16641</v>
      </c>
      <c r="B1384" s="3" t="str">
        <f>_xlfn.CONCAT(C1384, " @ ", D1384)</f>
        <v>effortless-owl|StepExecutions.RanOnStaleAuthoritativeSource @ se-policy01</v>
      </c>
      <c r="C1384" s="2" t="s">
        <v>14893</v>
      </c>
      <c r="D1384" s="2" t="s">
        <v>1441</v>
      </c>
      <c r="E1384" s="2" t="s">
        <v>15035</v>
      </c>
      <c r="F1384" s="2" t="s">
        <v>15057</v>
      </c>
      <c r="G1384" s="2" t="s">
        <v>14591</v>
      </c>
      <c r="H1384" s="3" t="str">
        <f>_xlfn.IFNA(INDEX(FieldDisagreements!C2:C999, MATCH(C1384,FieldDisagreements!A2:A999, 0)), "")</f>
        <v>effortless-owl</v>
      </c>
      <c r="I1384" s="3" t="str">
        <f>_xlfn.IFNA(INDEX(FieldDisagreements!D2:D999, MATCH(C1384,FieldDisagreements!A2:A999, 0)), "")</f>
        <v>StepExecutions.RanOnStaleAuthoritativeSource</v>
      </c>
      <c r="J1384" s="2" t="s">
        <v>1906</v>
      </c>
    </row>
    <row r="1385">
      <c r="A1385" s="2" t="s">
        <v>16642</v>
      </c>
      <c r="B1385" s="3" t="str">
        <f>_xlfn.CONCAT(C1385, " @ ", D1385)</f>
        <v>effortless-owl|StepExecutions.LateExecutionKey @ se-close02</v>
      </c>
      <c r="C1385" s="2" t="s">
        <v>14894</v>
      </c>
      <c r="D1385" s="2" t="s">
        <v>1430</v>
      </c>
      <c r="E1385" s="2" t="s">
        <v>15537</v>
      </c>
      <c r="F1385" s="2" t="s">
        <v>15036</v>
      </c>
      <c r="G1385" s="2" t="s">
        <v>14591</v>
      </c>
      <c r="H1385" s="3" t="str">
        <f>_xlfn.IFNA(INDEX(FieldDisagreements!C2:C999, MATCH(C1385,FieldDisagreements!A2:A999, 0)), "")</f>
        <v>effortless-owl</v>
      </c>
      <c r="I1385" s="3" t="str">
        <f>_xlfn.IFNA(INDEX(FieldDisagreements!D2:D999, MATCH(C1385,FieldDisagreements!A2:A999, 0)), "")</f>
        <v>StepExecutions.LateExecutionKey</v>
      </c>
      <c r="J1385" s="2" t="s">
        <v>1906</v>
      </c>
    </row>
    <row r="1386">
      <c r="A1386" s="2" t="s">
        <v>16643</v>
      </c>
      <c r="B1386" s="3" t="str">
        <f>_xlfn.CONCAT(C1386, " @ ", D1386)</f>
        <v>effortless-owl|StepExecutions.LateExecutionKey @ se-close03</v>
      </c>
      <c r="C1386" s="2" t="s">
        <v>14894</v>
      </c>
      <c r="D1386" s="2" t="s">
        <v>1433</v>
      </c>
      <c r="E1386" s="2" t="s">
        <v>15537</v>
      </c>
      <c r="F1386" s="2" t="s">
        <v>15036</v>
      </c>
      <c r="G1386" s="2" t="s">
        <v>14591</v>
      </c>
      <c r="H1386" s="3" t="str">
        <f>_xlfn.IFNA(INDEX(FieldDisagreements!C2:C999, MATCH(C1386,FieldDisagreements!A2:A999, 0)), "")</f>
        <v>effortless-owl</v>
      </c>
      <c r="I1386" s="3" t="str">
        <f>_xlfn.IFNA(INDEX(FieldDisagreements!D2:D999, MATCH(C1386,FieldDisagreements!A2:A999, 0)), "")</f>
        <v>StepExecutions.LateExecutionKey</v>
      </c>
      <c r="J1386" s="2" t="s">
        <v>1906</v>
      </c>
    </row>
    <row r="1387">
      <c r="A1387" s="2" t="s">
        <v>16644</v>
      </c>
      <c r="B1387" s="3" t="str">
        <f>_xlfn.CONCAT(C1387, " @ ", D1387)</f>
        <v>effortless-owl|StepExecutions.LateExecutionKey @ se-close04</v>
      </c>
      <c r="C1387" s="2" t="s">
        <v>14894</v>
      </c>
      <c r="D1387" s="2" t="s">
        <v>1434</v>
      </c>
      <c r="E1387" s="2" t="s">
        <v>15537</v>
      </c>
      <c r="F1387" s="2" t="s">
        <v>15036</v>
      </c>
      <c r="G1387" s="2" t="s">
        <v>14591</v>
      </c>
      <c r="H1387" s="3" t="str">
        <f>_xlfn.IFNA(INDEX(FieldDisagreements!C2:C999, MATCH(C1387,FieldDisagreements!A2:A999, 0)), "")</f>
        <v>effortless-owl</v>
      </c>
      <c r="I1387" s="3" t="str">
        <f>_xlfn.IFNA(INDEX(FieldDisagreements!D2:D999, MATCH(C1387,FieldDisagreements!A2:A999, 0)), "")</f>
        <v>StepExecutions.LateExecutionKey</v>
      </c>
      <c r="J1387" s="2" t="s">
        <v>1906</v>
      </c>
    </row>
    <row r="1388">
      <c r="A1388" s="2" t="s">
        <v>16645</v>
      </c>
      <c r="B1388" s="3" t="str">
        <f>_xlfn.CONCAT(C1388, " @ ", D1388)</f>
        <v>effortless-owl|StepExecutions.LateExecutionKey @ se-close05</v>
      </c>
      <c r="C1388" s="2" t="s">
        <v>14894</v>
      </c>
      <c r="D1388" s="2" t="s">
        <v>1436</v>
      </c>
      <c r="E1388" s="2" t="s">
        <v>15537</v>
      </c>
      <c r="F1388" s="2" t="s">
        <v>15036</v>
      </c>
      <c r="G1388" s="2" t="s">
        <v>14591</v>
      </c>
      <c r="H1388" s="3" t="str">
        <f>_xlfn.IFNA(INDEX(FieldDisagreements!C2:C999, MATCH(C1388,FieldDisagreements!A2:A999, 0)), "")</f>
        <v>effortless-owl</v>
      </c>
      <c r="I1388" s="3" t="str">
        <f>_xlfn.IFNA(INDEX(FieldDisagreements!D2:D999, MATCH(C1388,FieldDisagreements!A2:A999, 0)), "")</f>
        <v>StepExecutions.LateExecutionKey</v>
      </c>
      <c r="J1388" s="2" t="s">
        <v>1906</v>
      </c>
    </row>
    <row r="1389">
      <c r="A1389" s="2" t="s">
        <v>16646</v>
      </c>
      <c r="B1389" s="3" t="str">
        <f>_xlfn.CONCAT(C1389, " @ ", D1389)</f>
        <v>effortless-owl|StepExecutions.LateExecutionKey @ se-close08</v>
      </c>
      <c r="C1389" s="2" t="s">
        <v>14894</v>
      </c>
      <c r="D1389" s="2" t="s">
        <v>1439</v>
      </c>
      <c r="E1389" s="2" t="s">
        <v>15537</v>
      </c>
      <c r="F1389" s="2" t="s">
        <v>15036</v>
      </c>
      <c r="G1389" s="2" t="s">
        <v>14591</v>
      </c>
      <c r="H1389" s="3" t="str">
        <f>_xlfn.IFNA(INDEX(FieldDisagreements!C2:C999, MATCH(C1389,FieldDisagreements!A2:A999, 0)), "")</f>
        <v>effortless-owl</v>
      </c>
      <c r="I1389" s="3" t="str">
        <f>_xlfn.IFNA(INDEX(FieldDisagreements!D2:D999, MATCH(C1389,FieldDisagreements!A2:A999, 0)), "")</f>
        <v>StepExecutions.LateExecutionKey</v>
      </c>
      <c r="J1389" s="2" t="s">
        <v>1906</v>
      </c>
    </row>
    <row r="1390">
      <c r="A1390" s="2" t="s">
        <v>16647</v>
      </c>
      <c r="B1390" s="3" t="str">
        <f>_xlfn.CONCAT(C1390, " @ ", D1390)</f>
        <v>effortless-owl|StepExecutions.LateExecutionKey @ se-policy02</v>
      </c>
      <c r="C1390" s="2" t="s">
        <v>14894</v>
      </c>
      <c r="D1390" s="2" t="s">
        <v>1442</v>
      </c>
      <c r="E1390" s="2" t="s">
        <v>15546</v>
      </c>
      <c r="F1390" s="2" t="s">
        <v>15036</v>
      </c>
      <c r="G1390" s="2" t="s">
        <v>14591</v>
      </c>
      <c r="H1390" s="3" t="str">
        <f>_xlfn.IFNA(INDEX(FieldDisagreements!C2:C999, MATCH(C1390,FieldDisagreements!A2:A999, 0)), "")</f>
        <v>effortless-owl</v>
      </c>
      <c r="I1390" s="3" t="str">
        <f>_xlfn.IFNA(INDEX(FieldDisagreements!D2:D999, MATCH(C1390,FieldDisagreements!A2:A999, 0)), "")</f>
        <v>StepExecutions.LateExecutionKey</v>
      </c>
      <c r="J1390" s="2" t="s">
        <v>1906</v>
      </c>
    </row>
    <row r="1391">
      <c r="A1391" s="2" t="s">
        <v>16648</v>
      </c>
      <c r="B1391" s="3" t="str">
        <f>_xlfn.CONCAT(C1391, " @ ", D1391)</f>
        <v>effortless-owl|StepExecutions.LateExecutionKey @ se-policy04</v>
      </c>
      <c r="C1391" s="2" t="s">
        <v>14894</v>
      </c>
      <c r="D1391" s="2" t="s">
        <v>1444</v>
      </c>
      <c r="E1391" s="2" t="s">
        <v>15546</v>
      </c>
      <c r="F1391" s="2" t="s">
        <v>15036</v>
      </c>
      <c r="G1391" s="2" t="s">
        <v>14591</v>
      </c>
      <c r="H1391" s="3" t="str">
        <f>_xlfn.IFNA(INDEX(FieldDisagreements!C2:C999, MATCH(C1391,FieldDisagreements!A2:A999, 0)), "")</f>
        <v>effortless-owl</v>
      </c>
      <c r="I1391" s="3" t="str">
        <f>_xlfn.IFNA(INDEX(FieldDisagreements!D2:D999, MATCH(C1391,FieldDisagreements!A2:A999, 0)), "")</f>
        <v>StepExecutions.LateExecutionKey</v>
      </c>
      <c r="J1391" s="2" t="s">
        <v>1906</v>
      </c>
    </row>
    <row r="1392">
      <c r="A1392" s="2" t="s">
        <v>16649</v>
      </c>
      <c r="B1392" s="3" t="str">
        <f>_xlfn.CONCAT(C1392, " @ ", D1392)</f>
        <v>effortless-owl|StepExecutions.InputsWereFreshAtRun @ se-close02</v>
      </c>
      <c r="C1392" s="2" t="s">
        <v>14895</v>
      </c>
      <c r="D1392" s="2" t="s">
        <v>1430</v>
      </c>
      <c r="E1392" s="2" t="s">
        <v>15057</v>
      </c>
      <c r="F1392" s="2" t="s">
        <v>15035</v>
      </c>
      <c r="G1392" s="2" t="s">
        <v>14591</v>
      </c>
      <c r="H1392" s="3" t="str">
        <f>_xlfn.IFNA(INDEX(FieldDisagreements!C2:C999, MATCH(C1392,FieldDisagreements!A2:A999, 0)), "")</f>
        <v>effortless-owl</v>
      </c>
      <c r="I1392" s="3" t="str">
        <f>_xlfn.IFNA(INDEX(FieldDisagreements!D2:D999, MATCH(C1392,FieldDisagreements!A2:A999, 0)), "")</f>
        <v>StepExecutions.InputsWereFreshAtRun</v>
      </c>
      <c r="J1392" s="2" t="s">
        <v>1906</v>
      </c>
    </row>
    <row r="1393">
      <c r="A1393" s="2" t="s">
        <v>16650</v>
      </c>
      <c r="B1393" s="3" t="str">
        <f>_xlfn.CONCAT(C1393, " @ ", D1393)</f>
        <v>effortless-owl|StepExecutions.InputsWereFreshAtRun @ se-policy01</v>
      </c>
      <c r="C1393" s="2" t="s">
        <v>14895</v>
      </c>
      <c r="D1393" s="2" t="s">
        <v>1441</v>
      </c>
      <c r="E1393" s="2" t="s">
        <v>15057</v>
      </c>
      <c r="F1393" s="2" t="s">
        <v>15035</v>
      </c>
      <c r="G1393" s="2" t="s">
        <v>14591</v>
      </c>
      <c r="H1393" s="3" t="str">
        <f>_xlfn.IFNA(INDEX(FieldDisagreements!C2:C999, MATCH(C1393,FieldDisagreements!A2:A999, 0)), "")</f>
        <v>effortless-owl</v>
      </c>
      <c r="I1393" s="3" t="str">
        <f>_xlfn.IFNA(INDEX(FieldDisagreements!D2:D999, MATCH(C1393,FieldDisagreements!A2:A999, 0)), "")</f>
        <v>StepExecutions.InputsWereFreshAtRun</v>
      </c>
      <c r="J1393" s="2" t="s">
        <v>1906</v>
      </c>
    </row>
    <row r="1394">
      <c r="A1394" s="2" t="s">
        <v>16651</v>
      </c>
      <c r="B1394" s="3" t="str">
        <f>_xlfn.CONCAT(C1394, " @ ", D1394)</f>
        <v>effortless-owl|StepExecutions.RanOnStaleInputs @ se-close02</v>
      </c>
      <c r="C1394" s="2" t="s">
        <v>14896</v>
      </c>
      <c r="D1394" s="2" t="s">
        <v>1430</v>
      </c>
      <c r="E1394" s="2" t="s">
        <v>15035</v>
      </c>
      <c r="F1394" s="2" t="s">
        <v>15057</v>
      </c>
      <c r="G1394" s="2" t="s">
        <v>14591</v>
      </c>
      <c r="H1394" s="3" t="str">
        <f>_xlfn.IFNA(INDEX(FieldDisagreements!C2:C999, MATCH(C1394,FieldDisagreements!A2:A999, 0)), "")</f>
        <v>effortless-owl</v>
      </c>
      <c r="I1394" s="3" t="str">
        <f>_xlfn.IFNA(INDEX(FieldDisagreements!D2:D999, MATCH(C1394,FieldDisagreements!A2:A999, 0)), "")</f>
        <v>StepExecutions.RanOnStaleInputs</v>
      </c>
      <c r="J1394" s="2" t="s">
        <v>1906</v>
      </c>
    </row>
    <row r="1395">
      <c r="A1395" s="2" t="s">
        <v>16652</v>
      </c>
      <c r="B1395" s="3" t="str">
        <f>_xlfn.CONCAT(C1395, " @ ", D1395)</f>
        <v>effortless-owl|StepExecutions.RanOnStaleInputs @ se-policy01</v>
      </c>
      <c r="C1395" s="2" t="s">
        <v>14896</v>
      </c>
      <c r="D1395" s="2" t="s">
        <v>1441</v>
      </c>
      <c r="E1395" s="2" t="s">
        <v>15035</v>
      </c>
      <c r="F1395" s="2" t="s">
        <v>15057</v>
      </c>
      <c r="G1395" s="2" t="s">
        <v>14591</v>
      </c>
      <c r="H1395" s="3" t="str">
        <f>_xlfn.IFNA(INDEX(FieldDisagreements!C2:C999, MATCH(C1395,FieldDisagreements!A2:A999, 0)), "")</f>
        <v>effortless-owl</v>
      </c>
      <c r="I1395" s="3" t="str">
        <f>_xlfn.IFNA(INDEX(FieldDisagreements!D2:D999, MATCH(C1395,FieldDisagreements!A2:A999, 0)), "")</f>
        <v>StepExecutions.RanOnStaleInputs</v>
      </c>
      <c r="J1395" s="2" t="s">
        <v>1906</v>
      </c>
    </row>
    <row r="1396">
      <c r="A1396" s="2" t="s">
        <v>16653</v>
      </c>
      <c r="B1396" s="3" t="str">
        <f>_xlfn.CONCAT(C1396, " @ ", D1396)</f>
        <v>effortless-owl|StepExecutions.StalenessAnswerIsTenseDependent @ se-close02</v>
      </c>
      <c r="C1396" s="2" t="s">
        <v>14897</v>
      </c>
      <c r="D1396" s="2" t="s">
        <v>1430</v>
      </c>
      <c r="E1396" s="2" t="s">
        <v>15035</v>
      </c>
      <c r="F1396" s="2" t="s">
        <v>15057</v>
      </c>
      <c r="G1396" s="2" t="s">
        <v>14591</v>
      </c>
      <c r="H1396" s="3" t="str">
        <f>_xlfn.IFNA(INDEX(FieldDisagreements!C2:C999, MATCH(C1396,FieldDisagreements!A2:A999, 0)), "")</f>
        <v>effortless-owl</v>
      </c>
      <c r="I1396" s="3" t="str">
        <f>_xlfn.IFNA(INDEX(FieldDisagreements!D2:D999, MATCH(C1396,FieldDisagreements!A2:A999, 0)), "")</f>
        <v>StepExecutions.StalenessAnswerIsTenseDependent</v>
      </c>
      <c r="J1396" s="2" t="s">
        <v>1906</v>
      </c>
    </row>
    <row r="1397">
      <c r="A1397" s="2" t="s">
        <v>16654</v>
      </c>
      <c r="B1397" s="3" t="str">
        <f>_xlfn.CONCAT(C1397, " @ ", D1397)</f>
        <v>effortless-owl|StepExecutions.StalenessAnswerIsTenseDependent @ se-policy01</v>
      </c>
      <c r="C1397" s="2" t="s">
        <v>14897</v>
      </c>
      <c r="D1397" s="2" t="s">
        <v>1441</v>
      </c>
      <c r="E1397" s="2" t="s">
        <v>15035</v>
      </c>
      <c r="F1397" s="2" t="s">
        <v>15057</v>
      </c>
      <c r="G1397" s="2" t="s">
        <v>14591</v>
      </c>
      <c r="H1397" s="3" t="str">
        <f>_xlfn.IFNA(INDEX(FieldDisagreements!C2:C999, MATCH(C1397,FieldDisagreements!A2:A999, 0)), "")</f>
        <v>effortless-owl</v>
      </c>
      <c r="I1397" s="3" t="str">
        <f>_xlfn.IFNA(INDEX(FieldDisagreements!D2:D999, MATCH(C1397,FieldDisagreements!A2:A999, 0)), "")</f>
        <v>StepExecutions.StalenessAnswerIsTenseDependent</v>
      </c>
      <c r="J1397" s="2" t="s">
        <v>1906</v>
      </c>
    </row>
    <row r="1398">
      <c r="A1398" s="2" t="s">
        <v>16655</v>
      </c>
      <c r="B1398" s="3" t="str">
        <f>_xlfn.CONCAT(C1398, " @ ", D1398)</f>
        <v>effortless-owl|StepExecutions.IsLateAndUnexplained @ se-close03</v>
      </c>
      <c r="C1398" s="2" t="s">
        <v>14898</v>
      </c>
      <c r="D1398" s="2" t="s">
        <v>1433</v>
      </c>
      <c r="E1398" s="2" t="s">
        <v>15035</v>
      </c>
      <c r="F1398" s="2" t="s">
        <v>15036</v>
      </c>
      <c r="G1398" s="2" t="s">
        <v>14591</v>
      </c>
      <c r="H1398" s="3" t="str">
        <f>_xlfn.IFNA(INDEX(FieldDisagreements!C2:C999, MATCH(C1398,FieldDisagreements!A2:A999, 0)), "")</f>
        <v>effortless-owl</v>
      </c>
      <c r="I1398" s="3" t="str">
        <f>_xlfn.IFNA(INDEX(FieldDisagreements!D2:D999, MATCH(C1398,FieldDisagreements!A2:A999, 0)), "")</f>
        <v>StepExecutions.IsLateAndUnexplained</v>
      </c>
      <c r="J1398" s="2" t="s">
        <v>1906</v>
      </c>
    </row>
    <row r="1399">
      <c r="A1399" s="2" t="s">
        <v>16656</v>
      </c>
      <c r="B1399" s="3" t="str">
        <f>_xlfn.CONCAT(C1399, " @ ", D1399)</f>
        <v>effortless-owl|StepExecutions.IsLateAndUnexplained @ se-close05</v>
      </c>
      <c r="C1399" s="2" t="s">
        <v>14898</v>
      </c>
      <c r="D1399" s="2" t="s">
        <v>1436</v>
      </c>
      <c r="E1399" s="2" t="s">
        <v>15035</v>
      </c>
      <c r="F1399" s="2" t="s">
        <v>15036</v>
      </c>
      <c r="G1399" s="2" t="s">
        <v>14591</v>
      </c>
      <c r="H1399" s="3" t="str">
        <f>_xlfn.IFNA(INDEX(FieldDisagreements!C2:C999, MATCH(C1399,FieldDisagreements!A2:A999, 0)), "")</f>
        <v>effortless-owl</v>
      </c>
      <c r="I1399" s="3" t="str">
        <f>_xlfn.IFNA(INDEX(FieldDisagreements!D2:D999, MATCH(C1399,FieldDisagreements!A2:A999, 0)), "")</f>
        <v>StepExecutions.IsLateAndUnexplained</v>
      </c>
      <c r="J1399" s="2" t="s">
        <v>1906</v>
      </c>
    </row>
    <row r="1400">
      <c r="A1400" s="2" t="s">
        <v>16657</v>
      </c>
      <c r="B1400" s="3" t="str">
        <f>_xlfn.CONCAT(C1400, " @ ", D1400)</f>
        <v>effortless-owl|StepExecutions.IsLateAndUnexplained @ se-policy02</v>
      </c>
      <c r="C1400" s="2" t="s">
        <v>14898</v>
      </c>
      <c r="D1400" s="2" t="s">
        <v>1442</v>
      </c>
      <c r="E1400" s="2" t="s">
        <v>15035</v>
      </c>
      <c r="F1400" s="2" t="s">
        <v>15036</v>
      </c>
      <c r="G1400" s="2" t="s">
        <v>14591</v>
      </c>
      <c r="H1400" s="3" t="str">
        <f>_xlfn.IFNA(INDEX(FieldDisagreements!C2:C999, MATCH(C1400,FieldDisagreements!A2:A999, 0)), "")</f>
        <v>effortless-owl</v>
      </c>
      <c r="I1400" s="3" t="str">
        <f>_xlfn.IFNA(INDEX(FieldDisagreements!D2:D999, MATCH(C1400,FieldDisagreements!A2:A999, 0)), "")</f>
        <v>StepExecutions.IsLateAndUnexplained</v>
      </c>
      <c r="J1400" s="2" t="s">
        <v>1906</v>
      </c>
    </row>
    <row r="1401">
      <c r="A1401" s="2" t="s">
        <v>16658</v>
      </c>
      <c r="B1401" s="3" t="str">
        <f>_xlfn.CONCAT(C1401, " @ ", D1401)</f>
        <v>effortless-owl|StepExecutions.ProcedureExecutionWhenUnclean @ se-close03</v>
      </c>
      <c r="C1401" s="2" t="s">
        <v>14899</v>
      </c>
      <c r="D1401" s="2" t="s">
        <v>1433</v>
      </c>
      <c r="E1401" s="2" t="s">
        <v>15537</v>
      </c>
      <c r="F1401" s="2" t="s">
        <v>15036</v>
      </c>
      <c r="G1401" s="2" t="s">
        <v>14591</v>
      </c>
      <c r="H1401" s="3" t="str">
        <f>_xlfn.IFNA(INDEX(FieldDisagreements!C2:C999, MATCH(C1401,FieldDisagreements!A2:A999, 0)), "")</f>
        <v>effortless-owl</v>
      </c>
      <c r="I1401" s="3" t="str">
        <f>_xlfn.IFNA(INDEX(FieldDisagreements!D2:D999, MATCH(C1401,FieldDisagreements!A2:A999, 0)), "")</f>
        <v>StepExecutions.ProcedureExecutionWhenUnclean</v>
      </c>
      <c r="J1401" s="2" t="s">
        <v>1906</v>
      </c>
    </row>
    <row r="1402">
      <c r="A1402" s="2" t="s">
        <v>16659</v>
      </c>
      <c r="B1402" s="3" t="str">
        <f>_xlfn.CONCAT(C1402, " @ ", D1402)</f>
        <v>effortless-owl|StepExecutions.ProcedureExecutionWhenUnclean @ se-close05</v>
      </c>
      <c r="C1402" s="2" t="s">
        <v>14899</v>
      </c>
      <c r="D1402" s="2" t="s">
        <v>1436</v>
      </c>
      <c r="E1402" s="2" t="s">
        <v>15537</v>
      </c>
      <c r="F1402" s="2" t="s">
        <v>15036</v>
      </c>
      <c r="G1402" s="2" t="s">
        <v>14591</v>
      </c>
      <c r="H1402" s="3" t="str">
        <f>_xlfn.IFNA(INDEX(FieldDisagreements!C2:C999, MATCH(C1402,FieldDisagreements!A2:A999, 0)), "")</f>
        <v>effortless-owl</v>
      </c>
      <c r="I1402" s="3" t="str">
        <f>_xlfn.IFNA(INDEX(FieldDisagreements!D2:D999, MATCH(C1402,FieldDisagreements!A2:A999, 0)), "")</f>
        <v>StepExecutions.ProcedureExecutionWhenUnclean</v>
      </c>
      <c r="J1402" s="2" t="s">
        <v>1906</v>
      </c>
    </row>
    <row r="1403">
      <c r="A1403" s="2" t="s">
        <v>16660</v>
      </c>
      <c r="B1403" s="3" t="str">
        <f>_xlfn.CONCAT(C1403, " @ ", D1403)</f>
        <v>effortless-owl|StepExecutions.ProcedureExecutionWhenUnclean @ se-policy02</v>
      </c>
      <c r="C1403" s="2" t="s">
        <v>14899</v>
      </c>
      <c r="D1403" s="2" t="s">
        <v>1442</v>
      </c>
      <c r="E1403" s="2" t="s">
        <v>15546</v>
      </c>
      <c r="F1403" s="2" t="s">
        <v>15036</v>
      </c>
      <c r="G1403" s="2" t="s">
        <v>14591</v>
      </c>
      <c r="H1403" s="3" t="str">
        <f>_xlfn.IFNA(INDEX(FieldDisagreements!C2:C999, MATCH(C1403,FieldDisagreements!A2:A999, 0)), "")</f>
        <v>effortless-owl</v>
      </c>
      <c r="I1403" s="3" t="str">
        <f>_xlfn.IFNA(INDEX(FieldDisagreements!D2:D999, MATCH(C1403,FieldDisagreements!A2:A999, 0)), "")</f>
        <v>StepExecutions.ProcedureExecutionWhenUnclean</v>
      </c>
      <c r="J1403" s="2" t="s">
        <v>1906</v>
      </c>
    </row>
    <row r="1404">
      <c r="A1404" s="2" t="s">
        <v>16661</v>
      </c>
      <c r="B1404" s="3" t="str">
        <f>_xlfn.CONCAT(C1404, " @ ", D1404)</f>
        <v>effortless-owl|StepExecutions.IsVacuouslyClean @ se-close07</v>
      </c>
      <c r="C1404" s="2" t="s">
        <v>14900</v>
      </c>
      <c r="D1404" s="2" t="s">
        <v>1438</v>
      </c>
      <c r="E1404" s="2" t="s">
        <v>15035</v>
      </c>
      <c r="F1404" s="2" t="s">
        <v>15036</v>
      </c>
      <c r="G1404" s="2" t="s">
        <v>14591</v>
      </c>
      <c r="H1404" s="3" t="str">
        <f>_xlfn.IFNA(INDEX(FieldDisagreements!C2:C999, MATCH(C1404,FieldDisagreements!A2:A999, 0)), "")</f>
        <v>effortless-owl</v>
      </c>
      <c r="I1404" s="3" t="str">
        <f>_xlfn.IFNA(INDEX(FieldDisagreements!D2:D999, MATCH(C1404,FieldDisagreements!A2:A999, 0)), "")</f>
        <v>StepExecutions.IsVacuouslyClean</v>
      </c>
      <c r="J1404" s="2" t="s">
        <v>1906</v>
      </c>
    </row>
    <row r="1405">
      <c r="A1405" s="2" t="s">
        <v>16662</v>
      </c>
      <c r="B1405" s="3" t="str">
        <f>_xlfn.CONCAT(C1405, " @ ", D1405)</f>
        <v>effortless-owl|StepExecutions.IsVacuouslyClean @ se-policy01</v>
      </c>
      <c r="C1405" s="2" t="s">
        <v>14900</v>
      </c>
      <c r="D1405" s="2" t="s">
        <v>1441</v>
      </c>
      <c r="E1405" s="2" t="s">
        <v>15035</v>
      </c>
      <c r="F1405" s="2" t="s">
        <v>15036</v>
      </c>
      <c r="G1405" s="2" t="s">
        <v>14591</v>
      </c>
      <c r="H1405" s="3" t="str">
        <f>_xlfn.IFNA(INDEX(FieldDisagreements!C2:C999, MATCH(C1405,FieldDisagreements!A2:A999, 0)), "")</f>
        <v>effortless-owl</v>
      </c>
      <c r="I1405" s="3" t="str">
        <f>_xlfn.IFNA(INDEX(FieldDisagreements!D2:D999, MATCH(C1405,FieldDisagreements!A2:A999, 0)), "")</f>
        <v>StepExecutions.IsVacuouslyClean</v>
      </c>
      <c r="J1405" s="2" t="s">
        <v>1906</v>
      </c>
    </row>
    <row r="1406">
      <c r="A1406" s="2" t="s">
        <v>16663</v>
      </c>
      <c r="B1406" s="3" t="str">
        <f>_xlfn.CONCAT(C1406, " @ ", D1406)</f>
        <v>effortless-owl|StepExecutions.VacuouslyCleanExecutionKey @ se-close07</v>
      </c>
      <c r="C1406" s="2" t="s">
        <v>14901</v>
      </c>
      <c r="D1406" s="2" t="s">
        <v>1438</v>
      </c>
      <c r="E1406" s="2" t="s">
        <v>15537</v>
      </c>
      <c r="F1406" s="2" t="s">
        <v>15036</v>
      </c>
      <c r="G1406" s="2" t="s">
        <v>14591</v>
      </c>
      <c r="H1406" s="3" t="str">
        <f>_xlfn.IFNA(INDEX(FieldDisagreements!C2:C999, MATCH(C1406,FieldDisagreements!A2:A999, 0)), "")</f>
        <v>effortless-owl</v>
      </c>
      <c r="I1406" s="3" t="str">
        <f>_xlfn.IFNA(INDEX(FieldDisagreements!D2:D999, MATCH(C1406,FieldDisagreements!A2:A999, 0)), "")</f>
        <v>StepExecutions.VacuouslyCleanExecutionKey</v>
      </c>
      <c r="J1406" s="2" t="s">
        <v>1906</v>
      </c>
    </row>
    <row r="1407">
      <c r="A1407" s="2" t="s">
        <v>16664</v>
      </c>
      <c r="B1407" s="3" t="str">
        <f>_xlfn.CONCAT(C1407, " @ ", D1407)</f>
        <v>effortless-owl|StepExecutions.VacuouslyCleanExecutionKey @ se-policy01</v>
      </c>
      <c r="C1407" s="2" t="s">
        <v>14901</v>
      </c>
      <c r="D1407" s="2" t="s">
        <v>1441</v>
      </c>
      <c r="E1407" s="2" t="s">
        <v>15546</v>
      </c>
      <c r="F1407" s="2" t="s">
        <v>15036</v>
      </c>
      <c r="G1407" s="2" t="s">
        <v>14591</v>
      </c>
      <c r="H1407" s="3" t="str">
        <f>_xlfn.IFNA(INDEX(FieldDisagreements!C2:C999, MATCH(C1407,FieldDisagreements!A2:A999, 0)), "")</f>
        <v>effortless-owl</v>
      </c>
      <c r="I1407" s="3" t="str">
        <f>_xlfn.IFNA(INDEX(FieldDisagreements!D2:D999, MATCH(C1407,FieldDisagreements!A2:A999, 0)), "")</f>
        <v>StepExecutions.VacuouslyCleanExecutionKey</v>
      </c>
      <c r="J1407" s="2" t="s">
        <v>1906</v>
      </c>
    </row>
    <row r="1408">
      <c r="A1408" s="2" t="s">
        <v>16665</v>
      </c>
      <c r="B1408" s="3" t="str">
        <f>_xlfn.CONCAT(C1408, " @ ", D1408)</f>
        <v>effortless-owl|StepExecutions.IsUngovernedDivergence @ se-policy02</v>
      </c>
      <c r="C1408" s="2" t="s">
        <v>14902</v>
      </c>
      <c r="D1408" s="2" t="s">
        <v>1442</v>
      </c>
      <c r="E1408" s="2" t="s">
        <v>15035</v>
      </c>
      <c r="F1408" s="2" t="s">
        <v>15036</v>
      </c>
      <c r="G1408" s="2" t="s">
        <v>14591</v>
      </c>
      <c r="H1408" s="3" t="str">
        <f>_xlfn.IFNA(INDEX(FieldDisagreements!C2:C999, MATCH(C1408,FieldDisagreements!A2:A999, 0)), "")</f>
        <v>effortless-owl</v>
      </c>
      <c r="I1408" s="3" t="str">
        <f>_xlfn.IFNA(INDEX(FieldDisagreements!D2:D999, MATCH(C1408,FieldDisagreements!A2:A999, 0)), "")</f>
        <v>StepExecutions.IsUngovernedDivergence</v>
      </c>
      <c r="J1408" s="2" t="s">
        <v>1906</v>
      </c>
    </row>
    <row r="1409">
      <c r="A1409" s="2" t="s">
        <v>16666</v>
      </c>
      <c r="B1409" s="3" t="str">
        <f>_xlfn.CONCAT(C1409, " @ ", D1409)</f>
        <v>effortless-owl|StepExecutions.UngovernedDivergenceExecutionKey @ se-policy02</v>
      </c>
      <c r="C1409" s="2" t="s">
        <v>14903</v>
      </c>
      <c r="D1409" s="2" t="s">
        <v>1442</v>
      </c>
      <c r="E1409" s="2" t="s">
        <v>15546</v>
      </c>
      <c r="F1409" s="2" t="s">
        <v>15036</v>
      </c>
      <c r="G1409" s="2" t="s">
        <v>14591</v>
      </c>
      <c r="H1409" s="3" t="str">
        <f>_xlfn.IFNA(INDEX(FieldDisagreements!C2:C999, MATCH(C1409,FieldDisagreements!A2:A999, 0)), "")</f>
        <v>effortless-owl</v>
      </c>
      <c r="I1409" s="3" t="str">
        <f>_xlfn.IFNA(INDEX(FieldDisagreements!D2:D999, MATCH(C1409,FieldDisagreements!A2:A999, 0)), "")</f>
        <v>StepExecutions.UngovernedDivergenceExecutionKey</v>
      </c>
      <c r="J1409" s="2" t="s">
        <v>1906</v>
      </c>
    </row>
    <row r="1410">
      <c r="A1410" s="2" t="s">
        <v>16667</v>
      </c>
      <c r="B1410" s="3" t="str">
        <f>_xlfn.CONCAT(C1410, " @ ", D1410)</f>
        <v>effortless-owl|ChangeRequests.DaysPending @ cr-close-timestamp</v>
      </c>
      <c r="C1410" s="2" t="s">
        <v>14904</v>
      </c>
      <c r="D1410" s="2" t="s">
        <v>1556</v>
      </c>
      <c r="E1410" s="2" t="s">
        <v>935</v>
      </c>
      <c r="F1410" s="2" t="s">
        <v>16479</v>
      </c>
      <c r="G1410" s="2" t="s">
        <v>14591</v>
      </c>
      <c r="H1410" s="3" t="str">
        <f>_xlfn.IFNA(INDEX(FieldDisagreements!C2:C999, MATCH(C1410,FieldDisagreements!A2:A999, 0)), "")</f>
        <v>effortless-owl</v>
      </c>
      <c r="I1410" s="3" t="str">
        <f>_xlfn.IFNA(INDEX(FieldDisagreements!D2:D999, MATCH(C1410,FieldDisagreements!A2:A999, 0)), "")</f>
        <v>ChangeRequests.DaysPending</v>
      </c>
      <c r="J1410" s="2" t="s">
        <v>1906</v>
      </c>
    </row>
    <row r="1411">
      <c r="A1411" s="2" t="s">
        <v>16668</v>
      </c>
      <c r="B1411" s="3" t="str">
        <f>_xlfn.CONCAT(C1411, " @ ", D1411)</f>
        <v>effortless-owl|ChangeRequests.DecisionLatencyDays @ cr-close-timestamp</v>
      </c>
      <c r="C1411" s="2" t="s">
        <v>14905</v>
      </c>
      <c r="D1411" s="2" t="s">
        <v>1556</v>
      </c>
      <c r="E1411" s="2" t="s">
        <v>935</v>
      </c>
      <c r="F1411" s="2" t="s">
        <v>16479</v>
      </c>
      <c r="G1411" s="2" t="s">
        <v>14591</v>
      </c>
      <c r="H1411" s="3" t="str">
        <f>_xlfn.IFNA(INDEX(FieldDisagreements!C2:C999, MATCH(C1411,FieldDisagreements!A2:A999, 0)), "")</f>
        <v>effortless-owl</v>
      </c>
      <c r="I1411" s="3" t="str">
        <f>_xlfn.IFNA(INDEX(FieldDisagreements!D2:D999, MATCH(C1411,FieldDisagreements!A2:A999, 0)), "")</f>
        <v>ChangeRequests.DecisionLatencyDays</v>
      </c>
      <c r="J1411" s="2" t="s">
        <v>1906</v>
      </c>
    </row>
    <row r="1412">
      <c r="A1412" s="2" t="s">
        <v>16669</v>
      </c>
      <c r="B1412" s="3" t="str">
        <f>_xlfn.CONCAT(C1412, " @ ", D1412)</f>
        <v>effortless-owl|ReviewEvents.DaysSinceReviewed @ review-close-q1</v>
      </c>
      <c r="C1412" s="2" t="s">
        <v>14906</v>
      </c>
      <c r="D1412" s="2" t="s">
        <v>1626</v>
      </c>
      <c r="E1412" s="2" t="s">
        <v>15102</v>
      </c>
      <c r="F1412" s="2" t="s">
        <v>16670</v>
      </c>
      <c r="G1412" s="2" t="s">
        <v>14591</v>
      </c>
      <c r="H1412" s="3" t="str">
        <f>_xlfn.IFNA(INDEX(FieldDisagreements!C2:C999, MATCH(C1412,FieldDisagreements!A2:A999, 0)), "")</f>
        <v>effortless-owl</v>
      </c>
      <c r="I1412" s="3" t="str">
        <f>_xlfn.IFNA(INDEX(FieldDisagreements!D2:D999, MATCH(C1412,FieldDisagreements!A2:A999, 0)), "")</f>
        <v>ReviewEvents.DaysSinceReviewed</v>
      </c>
      <c r="J1412" s="2" t="s">
        <v>1906</v>
      </c>
    </row>
    <row r="1413">
      <c r="A1413" s="2" t="s">
        <v>16671</v>
      </c>
      <c r="B1413" s="3" t="str">
        <f>_xlfn.CONCAT(C1413, " @ ", D1413)</f>
        <v>effortless-owl|ReviewEvents.DaysSinceReviewed @ review-close-q2</v>
      </c>
      <c r="C1413" s="2" t="s">
        <v>14906</v>
      </c>
      <c r="D1413" s="2" t="s">
        <v>1630</v>
      </c>
      <c r="E1413" s="2" t="s">
        <v>15054</v>
      </c>
      <c r="F1413" s="2" t="s">
        <v>16477</v>
      </c>
      <c r="G1413" s="2" t="s">
        <v>14591</v>
      </c>
      <c r="H1413" s="3" t="str">
        <f>_xlfn.IFNA(INDEX(FieldDisagreements!C2:C999, MATCH(C1413,FieldDisagreements!A2:A999, 0)), "")</f>
        <v>effortless-owl</v>
      </c>
      <c r="I1413" s="3" t="str">
        <f>_xlfn.IFNA(INDEX(FieldDisagreements!D2:D999, MATCH(C1413,FieldDisagreements!A2:A999, 0)), "")</f>
        <v>ReviewEvents.DaysSinceReviewed</v>
      </c>
      <c r="J1413" s="2" t="s">
        <v>1906</v>
      </c>
    </row>
    <row r="1414">
      <c r="A1414" s="2" t="s">
        <v>16672</v>
      </c>
      <c r="B1414" s="3" t="str">
        <f>_xlfn.CONCAT(C1414, " @ ", D1414)</f>
        <v>effortless-owl|ReviewEvents.DaysSinceReviewed @ review-policy-prelaunch</v>
      </c>
      <c r="C1414" s="2" t="s">
        <v>14906</v>
      </c>
      <c r="D1414" s="2" t="s">
        <v>1632</v>
      </c>
      <c r="E1414" s="2" t="s">
        <v>935</v>
      </c>
      <c r="F1414" s="2" t="s">
        <v>16479</v>
      </c>
      <c r="G1414" s="2" t="s">
        <v>14591</v>
      </c>
      <c r="H1414" s="3" t="str">
        <f>_xlfn.IFNA(INDEX(FieldDisagreements!C2:C999, MATCH(C1414,FieldDisagreements!A2:A999, 0)), "")</f>
        <v>effortless-owl</v>
      </c>
      <c r="I1414" s="3" t="str">
        <f>_xlfn.IFNA(INDEX(FieldDisagreements!D2:D999, MATCH(C1414,FieldDisagreements!A2:A999, 0)), "")</f>
        <v>ReviewEvents.DaysSinceReviewed</v>
      </c>
      <c r="J1414" s="2" t="s">
        <v>1906</v>
      </c>
    </row>
    <row r="1415">
      <c r="A1415" s="2" t="s">
        <v>16673</v>
      </c>
      <c r="B1415" s="3" t="str">
        <f>_xlfn.CONCAT(C1415, " @ ", D1415)</f>
        <v>effortless-owl|ReviewEvents.CadenceDriftDays @ review-close-q1</v>
      </c>
      <c r="C1415" s="2" t="s">
        <v>14907</v>
      </c>
      <c r="D1415" s="2" t="s">
        <v>1626</v>
      </c>
      <c r="E1415" s="2" t="s">
        <v>15107</v>
      </c>
      <c r="F1415" s="2" t="s">
        <v>16674</v>
      </c>
      <c r="G1415" s="2" t="s">
        <v>14591</v>
      </c>
      <c r="H1415" s="3" t="str">
        <f>_xlfn.IFNA(INDEX(FieldDisagreements!C2:C999, MATCH(C1415,FieldDisagreements!A2:A999, 0)), "")</f>
        <v>effortless-owl</v>
      </c>
      <c r="I1415" s="3" t="str">
        <f>_xlfn.IFNA(INDEX(FieldDisagreements!D2:D999, MATCH(C1415,FieldDisagreements!A2:A999, 0)), "")</f>
        <v>ReviewEvents.CadenceDriftDays</v>
      </c>
      <c r="J1415" s="2" t="s">
        <v>1906</v>
      </c>
    </row>
    <row r="1416">
      <c r="A1416" s="2" t="s">
        <v>16675</v>
      </c>
      <c r="B1416" s="3" t="str">
        <f>_xlfn.CONCAT(C1416, " @ ", D1416)</f>
        <v>effortless-owl|ReviewEvents.CadenceDriftDays @ review-close-q2</v>
      </c>
      <c r="C1416" s="2" t="s">
        <v>14907</v>
      </c>
      <c r="D1416" s="2" t="s">
        <v>1630</v>
      </c>
      <c r="E1416" s="2" t="s">
        <v>15110</v>
      </c>
      <c r="F1416" s="2" t="s">
        <v>16676</v>
      </c>
      <c r="G1416" s="2" t="s">
        <v>14591</v>
      </c>
      <c r="H1416" s="3" t="str">
        <f>_xlfn.IFNA(INDEX(FieldDisagreements!C2:C999, MATCH(C1416,FieldDisagreements!A2:A999, 0)), "")</f>
        <v>effortless-owl</v>
      </c>
      <c r="I1416" s="3" t="str">
        <f>_xlfn.IFNA(INDEX(FieldDisagreements!D2:D999, MATCH(C1416,FieldDisagreements!A2:A999, 0)), "")</f>
        <v>ReviewEvents.CadenceDriftDays</v>
      </c>
      <c r="J1416" s="2" t="s">
        <v>1906</v>
      </c>
    </row>
    <row r="1417">
      <c r="A1417" s="2" t="s">
        <v>16677</v>
      </c>
      <c r="B1417" s="3" t="str">
        <f>_xlfn.CONCAT(C1417, " @ ", D1417)</f>
        <v>effortless-owl|ReviewEvents.CadenceDriftDays @ review-policy-prelaunch</v>
      </c>
      <c r="C1417" s="2" t="s">
        <v>14907</v>
      </c>
      <c r="D1417" s="2" t="s">
        <v>1632</v>
      </c>
      <c r="E1417" s="2" t="s">
        <v>15113</v>
      </c>
      <c r="F1417" s="2" t="s">
        <v>16678</v>
      </c>
      <c r="G1417" s="2" t="s">
        <v>14591</v>
      </c>
      <c r="H1417" s="3" t="str">
        <f>_xlfn.IFNA(INDEX(FieldDisagreements!C2:C999, MATCH(C1417,FieldDisagreements!A2:A999, 0)), "")</f>
        <v>effortless-owl</v>
      </c>
      <c r="I1417" s="3" t="str">
        <f>_xlfn.IFNA(INDEX(FieldDisagreements!D2:D999, MATCH(C1417,FieldDisagreements!A2:A999, 0)), "")</f>
        <v>ReviewEvents.CadenceDriftDays</v>
      </c>
      <c r="J1417" s="2" t="s">
        <v>1906</v>
      </c>
    </row>
    <row r="1418">
      <c r="A1418" s="2" t="s">
        <v>16679</v>
      </c>
      <c r="B1418" s="3" t="str">
        <f>_xlfn.CONCAT(C1418, " @ ", D1418)</f>
        <v>effortless-owl|OperationalBindings.AgeMinutes @ bind-close-erp</v>
      </c>
      <c r="C1418" s="2" t="s">
        <v>14908</v>
      </c>
      <c r="D1418" s="2" t="s">
        <v>1657</v>
      </c>
      <c r="E1418" s="2" t="s">
        <v>8195</v>
      </c>
      <c r="F1418" s="2" t="s">
        <v>15036</v>
      </c>
      <c r="G1418" s="2" t="s">
        <v>14591</v>
      </c>
      <c r="H1418" s="3" t="str">
        <f>_xlfn.IFNA(INDEX(FieldDisagreements!C2:C999, MATCH(C1418,FieldDisagreements!A2:A999, 0)), "")</f>
        <v>effortless-owl</v>
      </c>
      <c r="I1418" s="3" t="str">
        <f>_xlfn.IFNA(INDEX(FieldDisagreements!D2:D999, MATCH(C1418,FieldDisagreements!A2:A999, 0)), "")</f>
        <v>OperationalBindings.AgeMinutes</v>
      </c>
      <c r="J1418" s="2" t="s">
        <v>1906</v>
      </c>
    </row>
    <row r="1419">
      <c r="A1419" s="2" t="s">
        <v>16680</v>
      </c>
      <c r="B1419" s="3" t="str">
        <f>_xlfn.CONCAT(C1419, " @ ", D1419)</f>
        <v>effortless-owl|OperationalBindings.AgeMinutes @ bind-policy-consent</v>
      </c>
      <c r="C1419" s="2" t="s">
        <v>14908</v>
      </c>
      <c r="D1419" s="2" t="s">
        <v>1664</v>
      </c>
      <c r="E1419" s="2" t="s">
        <v>15701</v>
      </c>
      <c r="F1419" s="2" t="s">
        <v>15036</v>
      </c>
      <c r="G1419" s="2" t="s">
        <v>14591</v>
      </c>
      <c r="H1419" s="3" t="str">
        <f>_xlfn.IFNA(INDEX(FieldDisagreements!C2:C999, MATCH(C1419,FieldDisagreements!A2:A999, 0)), "")</f>
        <v>effortless-owl</v>
      </c>
      <c r="I1419" s="3" t="str">
        <f>_xlfn.IFNA(INDEX(FieldDisagreements!D2:D999, MATCH(C1419,FieldDisagreements!A2:A999, 0)), "")</f>
        <v>OperationalBindings.AgeMinutes</v>
      </c>
      <c r="J1419" s="2" t="s">
        <v>1906</v>
      </c>
    </row>
    <row r="1420">
      <c r="A1420" s="2" t="s">
        <v>16681</v>
      </c>
      <c r="B1420" s="3" t="str">
        <f>_xlfn.CONCAT(C1420, " @ ", D1420)</f>
        <v>effortless-owl|OperationalBindings.AgeMinutes @ bind-policy-email</v>
      </c>
      <c r="C1420" s="2" t="s">
        <v>14908</v>
      </c>
      <c r="D1420" s="2" t="s">
        <v>1666</v>
      </c>
      <c r="E1420" s="2" t="s">
        <v>15703</v>
      </c>
      <c r="F1420" s="2" t="s">
        <v>15036</v>
      </c>
      <c r="G1420" s="2" t="s">
        <v>14591</v>
      </c>
      <c r="H1420" s="3" t="str">
        <f>_xlfn.IFNA(INDEX(FieldDisagreements!C2:C999, MATCH(C1420,FieldDisagreements!A2:A999, 0)), "")</f>
        <v>effortless-owl</v>
      </c>
      <c r="I1420" s="3" t="str">
        <f>_xlfn.IFNA(INDEX(FieldDisagreements!D2:D999, MATCH(C1420,FieldDisagreements!A2:A999, 0)), "")</f>
        <v>OperationalBindings.AgeMinutes</v>
      </c>
      <c r="J1420" s="2" t="s">
        <v>1906</v>
      </c>
    </row>
    <row r="1421">
      <c r="A1421" s="2" t="s">
        <v>16682</v>
      </c>
      <c r="B1421" s="3" t="str">
        <f>_xlfn.CONCAT(C1421, " @ ", D1421)</f>
        <v>effortless-owl|OperationalBindings.AgeMinutes @ bind-policy-sms</v>
      </c>
      <c r="C1421" s="2" t="s">
        <v>14908</v>
      </c>
      <c r="D1421" s="2" t="s">
        <v>1668</v>
      </c>
      <c r="E1421" s="2" t="s">
        <v>15703</v>
      </c>
      <c r="F1421" s="2" t="s">
        <v>15036</v>
      </c>
      <c r="G1421" s="2" t="s">
        <v>14591</v>
      </c>
      <c r="H1421" s="3" t="str">
        <f>_xlfn.IFNA(INDEX(FieldDisagreements!C2:C999, MATCH(C1421,FieldDisagreements!A2:A999, 0)), "")</f>
        <v>effortless-owl</v>
      </c>
      <c r="I1421" s="3" t="str">
        <f>_xlfn.IFNA(INDEX(FieldDisagreements!D2:D999, MATCH(C1421,FieldDisagreements!A2:A999, 0)), "")</f>
        <v>OperationalBindings.AgeMinutes</v>
      </c>
      <c r="J1421" s="2" t="s">
        <v>1906</v>
      </c>
    </row>
    <row r="1422">
      <c r="A1422" s="2" t="s">
        <v>16683</v>
      </c>
      <c r="B1422" s="3" t="str">
        <f>_xlfn.CONCAT(C1422, " @ ", D1422)</f>
        <v>effortless-owl|OperationalBindings.AgeMinutes @ bind-policy-ticket</v>
      </c>
      <c r="C1422" s="2" t="s">
        <v>14908</v>
      </c>
      <c r="D1422" s="2" t="s">
        <v>1661</v>
      </c>
      <c r="E1422" s="2" t="s">
        <v>15078</v>
      </c>
      <c r="F1422" s="2" t="s">
        <v>15036</v>
      </c>
      <c r="G1422" s="2" t="s">
        <v>14591</v>
      </c>
      <c r="H1422" s="3" t="str">
        <f>_xlfn.IFNA(INDEX(FieldDisagreements!C2:C999, MATCH(C1422,FieldDisagreements!A2:A999, 0)), "")</f>
        <v>effortless-owl</v>
      </c>
      <c r="I1422" s="3" t="str">
        <f>_xlfn.IFNA(INDEX(FieldDisagreements!D2:D999, MATCH(C1422,FieldDisagreements!A2:A999, 0)), "")</f>
        <v>OperationalBindings.AgeMinutes</v>
      </c>
      <c r="J1422" s="2" t="s">
        <v>1906</v>
      </c>
    </row>
    <row r="1423">
      <c r="A1423" s="2" t="s">
        <v>16684</v>
      </c>
      <c r="B1423" s="3" t="str">
        <f>_xlfn.CONCAT(C1423, " @ ", D1423)</f>
        <v>effortless-owl|OperationalBindings.StaleBindingStepKey @ bind-close-erp</v>
      </c>
      <c r="C1423" s="2" t="s">
        <v>14909</v>
      </c>
      <c r="D1423" s="2" t="s">
        <v>1657</v>
      </c>
      <c r="E1423" s="2" t="s">
        <v>15712</v>
      </c>
      <c r="F1423" s="2" t="s">
        <v>15036</v>
      </c>
      <c r="G1423" s="2" t="s">
        <v>14591</v>
      </c>
      <c r="H1423" s="3" t="str">
        <f>_xlfn.IFNA(INDEX(FieldDisagreements!C2:C999, MATCH(C1423,FieldDisagreements!A2:A999, 0)), "")</f>
        <v>effortless-owl</v>
      </c>
      <c r="I1423" s="3" t="str">
        <f>_xlfn.IFNA(INDEX(FieldDisagreements!D2:D999, MATCH(C1423,FieldDisagreements!A2:A999, 0)), "")</f>
        <v>OperationalBindings.StaleBindingStepKey</v>
      </c>
      <c r="J1423" s="2" t="s">
        <v>1906</v>
      </c>
    </row>
    <row r="1424">
      <c r="A1424" s="2" t="s">
        <v>16685</v>
      </c>
      <c r="B1424" s="3" t="str">
        <f>_xlfn.CONCAT(C1424, " @ ", D1424)</f>
        <v>effortless-owl|OperationalBindings.StaleBindingStepKey @ bind-policy-consent</v>
      </c>
      <c r="C1424" s="2" t="s">
        <v>14909</v>
      </c>
      <c r="D1424" s="2" t="s">
        <v>1664</v>
      </c>
      <c r="E1424" s="2" t="s">
        <v>15714</v>
      </c>
      <c r="F1424" s="2" t="s">
        <v>15036</v>
      </c>
      <c r="G1424" s="2" t="s">
        <v>14591</v>
      </c>
      <c r="H1424" s="3" t="str">
        <f>_xlfn.IFNA(INDEX(FieldDisagreements!C2:C999, MATCH(C1424,FieldDisagreements!A2:A999, 0)), "")</f>
        <v>effortless-owl</v>
      </c>
      <c r="I1424" s="3" t="str">
        <f>_xlfn.IFNA(INDEX(FieldDisagreements!D2:D999, MATCH(C1424,FieldDisagreements!A2:A999, 0)), "")</f>
        <v>OperationalBindings.StaleBindingStepKey</v>
      </c>
      <c r="J1424" s="2" t="s">
        <v>1906</v>
      </c>
    </row>
    <row r="1425">
      <c r="A1425" s="2" t="s">
        <v>16686</v>
      </c>
      <c r="B1425" s="3" t="str">
        <f>_xlfn.CONCAT(C1425, " @ ", D1425)</f>
        <v>effortless-owl|OperationalBindings.StaleBindingStepKey @ bind-policy-ticket</v>
      </c>
      <c r="C1425" s="2" t="s">
        <v>14909</v>
      </c>
      <c r="D1425" s="2" t="s">
        <v>1661</v>
      </c>
      <c r="E1425" s="2" t="s">
        <v>15718</v>
      </c>
      <c r="F1425" s="2" t="s">
        <v>15036</v>
      </c>
      <c r="G1425" s="2" t="s">
        <v>14591</v>
      </c>
      <c r="H1425" s="3" t="str">
        <f>_xlfn.IFNA(INDEX(FieldDisagreements!C2:C999, MATCH(C1425,FieldDisagreements!A2:A999, 0)), "")</f>
        <v>effortless-owl</v>
      </c>
      <c r="I1425" s="3" t="str">
        <f>_xlfn.IFNA(INDEX(FieldDisagreements!D2:D999, MATCH(C1425,FieldDisagreements!A2:A999, 0)), "")</f>
        <v>OperationalBindings.StaleBindingStepKey</v>
      </c>
      <c r="J1425" s="2" t="s">
        <v>1906</v>
      </c>
    </row>
    <row r="1426">
      <c r="A1426" s="2" t="s">
        <v>16687</v>
      </c>
      <c r="B1426" s="3" t="str">
        <f>_xlfn.CONCAT(C1426, " @ ", D1426)</f>
        <v>effortless-owl|OperationalBindings.AuthoritativeStaleStepKey @ bind-close-erp</v>
      </c>
      <c r="C1426" s="2" t="s">
        <v>14910</v>
      </c>
      <c r="D1426" s="2" t="s">
        <v>1657</v>
      </c>
      <c r="E1426" s="2" t="s">
        <v>15712</v>
      </c>
      <c r="F1426" s="2" t="s">
        <v>15036</v>
      </c>
      <c r="G1426" s="2" t="s">
        <v>14591</v>
      </c>
      <c r="H1426" s="3" t="str">
        <f>_xlfn.IFNA(INDEX(FieldDisagreements!C2:C999, MATCH(C1426,FieldDisagreements!A2:A999, 0)), "")</f>
        <v>effortless-owl</v>
      </c>
      <c r="I1426" s="3" t="str">
        <f>_xlfn.IFNA(INDEX(FieldDisagreements!D2:D999, MATCH(C1426,FieldDisagreements!A2:A999, 0)), "")</f>
        <v>OperationalBindings.AuthoritativeStaleStepKey</v>
      </c>
      <c r="J1426" s="2" t="s">
        <v>1906</v>
      </c>
    </row>
    <row r="1427">
      <c r="A1427" s="2" t="s">
        <v>16688</v>
      </c>
      <c r="B1427" s="3" t="str">
        <f>_xlfn.CONCAT(C1427, " @ ", D1427)</f>
        <v>effortless-owl|OperationalBindings.AuthoritativeStaleStepKey @ bind-policy-consent</v>
      </c>
      <c r="C1427" s="2" t="s">
        <v>14910</v>
      </c>
      <c r="D1427" s="2" t="s">
        <v>1664</v>
      </c>
      <c r="E1427" s="2" t="s">
        <v>15714</v>
      </c>
      <c r="F1427" s="2" t="s">
        <v>15036</v>
      </c>
      <c r="G1427" s="2" t="s">
        <v>14591</v>
      </c>
      <c r="H1427" s="3" t="str">
        <f>_xlfn.IFNA(INDEX(FieldDisagreements!C2:C999, MATCH(C1427,FieldDisagreements!A2:A999, 0)), "")</f>
        <v>effortless-owl</v>
      </c>
      <c r="I1427" s="3" t="str">
        <f>_xlfn.IFNA(INDEX(FieldDisagreements!D2:D999, MATCH(C1427,FieldDisagreements!A2:A999, 0)), "")</f>
        <v>OperationalBindings.AuthoritativeStaleStepKey</v>
      </c>
      <c r="J1427" s="2" t="s">
        <v>1906</v>
      </c>
    </row>
    <row r="1428">
      <c r="A1428" s="2" t="s">
        <v>16689</v>
      </c>
      <c r="B1428" s="3" t="str">
        <f>_xlfn.CONCAT(C1428, " @ ", D1428)</f>
        <v>effortless-owl|OperationalBindings.AuthoritativeStaleStepKey @ bind-policy-ticket</v>
      </c>
      <c r="C1428" s="2" t="s">
        <v>14910</v>
      </c>
      <c r="D1428" s="2" t="s">
        <v>1661</v>
      </c>
      <c r="E1428" s="2" t="s">
        <v>15718</v>
      </c>
      <c r="F1428" s="2" t="s">
        <v>15036</v>
      </c>
      <c r="G1428" s="2" t="s">
        <v>14591</v>
      </c>
      <c r="H1428" s="3" t="str">
        <f>_xlfn.IFNA(INDEX(FieldDisagreements!C2:C999, MATCH(C1428,FieldDisagreements!A2:A999, 0)), "")</f>
        <v>effortless-owl</v>
      </c>
      <c r="I1428" s="3" t="str">
        <f>_xlfn.IFNA(INDEX(FieldDisagreements!D2:D999, MATCH(C1428,FieldDisagreements!A2:A999, 0)), "")</f>
        <v>OperationalBindings.AuthoritativeStaleStepKey</v>
      </c>
      <c r="J1428" s="2" t="s">
        <v>1906</v>
      </c>
    </row>
    <row r="1429">
      <c r="A1429" s="2" t="s">
        <v>16690</v>
      </c>
      <c r="B1429" s="3" t="str">
        <f>_xlfn.CONCAT(C1429, " @ ", D1429)</f>
        <v>effortless-owl|OperationalBindings.IsStaleAndAuthoritative @ bind-close-erp</v>
      </c>
      <c r="C1429" s="2" t="s">
        <v>14911</v>
      </c>
      <c r="D1429" s="2" t="s">
        <v>1657</v>
      </c>
      <c r="E1429" s="2" t="s">
        <v>15035</v>
      </c>
      <c r="F1429" s="2" t="s">
        <v>15036</v>
      </c>
      <c r="G1429" s="2" t="s">
        <v>14591</v>
      </c>
      <c r="H1429" s="3" t="str">
        <f>_xlfn.IFNA(INDEX(FieldDisagreements!C2:C999, MATCH(C1429,FieldDisagreements!A2:A999, 0)), "")</f>
        <v>effortless-owl</v>
      </c>
      <c r="I1429" s="3" t="str">
        <f>_xlfn.IFNA(INDEX(FieldDisagreements!D2:D999, MATCH(C1429,FieldDisagreements!A2:A999, 0)), "")</f>
        <v>OperationalBindings.IsStaleAndAuthoritative</v>
      </c>
      <c r="J1429" s="2" t="s">
        <v>1906</v>
      </c>
    </row>
    <row r="1430">
      <c r="A1430" s="2" t="s">
        <v>16691</v>
      </c>
      <c r="B1430" s="3" t="str">
        <f>_xlfn.CONCAT(C1430, " @ ", D1430)</f>
        <v>effortless-owl|OperationalBindings.IsStaleAndAuthoritative @ bind-policy-consent</v>
      </c>
      <c r="C1430" s="2" t="s">
        <v>14911</v>
      </c>
      <c r="D1430" s="2" t="s">
        <v>1664</v>
      </c>
      <c r="E1430" s="2" t="s">
        <v>15035</v>
      </c>
      <c r="F1430" s="2" t="s">
        <v>15036</v>
      </c>
      <c r="G1430" s="2" t="s">
        <v>14591</v>
      </c>
      <c r="H1430" s="3" t="str">
        <f>_xlfn.IFNA(INDEX(FieldDisagreements!C2:C999, MATCH(C1430,FieldDisagreements!A2:A999, 0)), "")</f>
        <v>effortless-owl</v>
      </c>
      <c r="I1430" s="3" t="str">
        <f>_xlfn.IFNA(INDEX(FieldDisagreements!D2:D999, MATCH(C1430,FieldDisagreements!A2:A999, 0)), "")</f>
        <v>OperationalBindings.IsStaleAndAuthoritative</v>
      </c>
      <c r="J1430" s="2" t="s">
        <v>1906</v>
      </c>
    </row>
    <row r="1431">
      <c r="A1431" s="2" t="s">
        <v>16692</v>
      </c>
      <c r="B1431" s="3" t="str">
        <f>_xlfn.CONCAT(C1431, " @ ", D1431)</f>
        <v>effortless-owl|OperationalBindings.IsStaleAndAuthoritative @ bind-policy-ticket</v>
      </c>
      <c r="C1431" s="2" t="s">
        <v>14911</v>
      </c>
      <c r="D1431" s="2" t="s">
        <v>1661</v>
      </c>
      <c r="E1431" s="2" t="s">
        <v>15035</v>
      </c>
      <c r="F1431" s="2" t="s">
        <v>15036</v>
      </c>
      <c r="G1431" s="2" t="s">
        <v>14591</v>
      </c>
      <c r="H1431" s="3" t="str">
        <f>_xlfn.IFNA(INDEX(FieldDisagreements!C2:C999, MATCH(C1431,FieldDisagreements!A2:A999, 0)), "")</f>
        <v>effortless-owl</v>
      </c>
      <c r="I1431" s="3" t="str">
        <f>_xlfn.IFNA(INDEX(FieldDisagreements!D2:D999, MATCH(C1431,FieldDisagreements!A2:A999, 0)), "")</f>
        <v>OperationalBindings.IsStaleAndAuthoritative</v>
      </c>
      <c r="J1431" s="2" t="s">
        <v>1906</v>
      </c>
    </row>
    <row r="1432">
      <c r="A1432" s="2" t="s">
        <v>16693</v>
      </c>
      <c r="B1432" s="3" t="str">
        <f>_xlfn.CONCAT(C1432, " @ ", D1432)</f>
        <v>effortless-owl|OperationalBindings.StepWhenStale @ bind-close-erp</v>
      </c>
      <c r="C1432" s="2" t="s">
        <v>14912</v>
      </c>
      <c r="D1432" s="2" t="s">
        <v>1657</v>
      </c>
      <c r="E1432" s="2" t="s">
        <v>15712</v>
      </c>
      <c r="F1432" s="2" t="s">
        <v>15036</v>
      </c>
      <c r="G1432" s="2" t="s">
        <v>14591</v>
      </c>
      <c r="H1432" s="3" t="str">
        <f>_xlfn.IFNA(INDEX(FieldDisagreements!C2:C999, MATCH(C1432,FieldDisagreements!A2:A999, 0)), "")</f>
        <v>effortless-owl</v>
      </c>
      <c r="I1432" s="3" t="str">
        <f>_xlfn.IFNA(INDEX(FieldDisagreements!D2:D999, MATCH(C1432,FieldDisagreements!A2:A999, 0)), "")</f>
        <v>OperationalBindings.StepWhenStale</v>
      </c>
      <c r="J1432" s="2" t="s">
        <v>1906</v>
      </c>
    </row>
    <row r="1433">
      <c r="A1433" s="2" t="s">
        <v>16694</v>
      </c>
      <c r="B1433" s="3" t="str">
        <f>_xlfn.CONCAT(C1433, " @ ", D1433)</f>
        <v>effortless-owl|OperationalBindings.StepWhenStale @ bind-policy-consent</v>
      </c>
      <c r="C1433" s="2" t="s">
        <v>14912</v>
      </c>
      <c r="D1433" s="2" t="s">
        <v>1664</v>
      </c>
      <c r="E1433" s="2" t="s">
        <v>15714</v>
      </c>
      <c r="F1433" s="2" t="s">
        <v>15036</v>
      </c>
      <c r="G1433" s="2" t="s">
        <v>14591</v>
      </c>
      <c r="H1433" s="3" t="str">
        <f>_xlfn.IFNA(INDEX(FieldDisagreements!C2:C999, MATCH(C1433,FieldDisagreements!A2:A999, 0)), "")</f>
        <v>effortless-owl</v>
      </c>
      <c r="I1433" s="3" t="str">
        <f>_xlfn.IFNA(INDEX(FieldDisagreements!D2:D999, MATCH(C1433,FieldDisagreements!A2:A999, 0)), "")</f>
        <v>OperationalBindings.StepWhenStale</v>
      </c>
      <c r="J1433" s="2" t="s">
        <v>1906</v>
      </c>
    </row>
    <row r="1434">
      <c r="A1434" s="2" t="s">
        <v>16695</v>
      </c>
      <c r="B1434" s="3" t="str">
        <f>_xlfn.CONCAT(C1434, " @ ", D1434)</f>
        <v>effortless-owl|OperationalBindings.StepWhenStale @ bind-policy-ticket</v>
      </c>
      <c r="C1434" s="2" t="s">
        <v>14912</v>
      </c>
      <c r="D1434" s="2" t="s">
        <v>1661</v>
      </c>
      <c r="E1434" s="2" t="s">
        <v>15718</v>
      </c>
      <c r="F1434" s="2" t="s">
        <v>15036</v>
      </c>
      <c r="G1434" s="2" t="s">
        <v>14591</v>
      </c>
      <c r="H1434" s="3" t="str">
        <f>_xlfn.IFNA(INDEX(FieldDisagreements!C2:C999, MATCH(C1434,FieldDisagreements!A2:A999, 0)), "")</f>
        <v>effortless-owl</v>
      </c>
      <c r="I1434" s="3" t="str">
        <f>_xlfn.IFNA(INDEX(FieldDisagreements!D2:D999, MATCH(C1434,FieldDisagreements!A2:A999, 0)), "")</f>
        <v>OperationalBindings.StepWhenStale</v>
      </c>
      <c r="J1434" s="2" t="s">
        <v>1906</v>
      </c>
    </row>
    <row r="1435">
      <c r="A1435" s="2" t="s">
        <v>16696</v>
      </c>
      <c r="B1435" s="3" t="str">
        <f>_xlfn.CONCAT(C1435, " @ ", D1435)</f>
        <v>effortless-owl|OperationalBindings.IsFresh @ bind-policy-email</v>
      </c>
      <c r="C1435" s="2" t="s">
        <v>14913</v>
      </c>
      <c r="D1435" s="2" t="s">
        <v>1666</v>
      </c>
      <c r="E1435" s="2" t="s">
        <v>15035</v>
      </c>
      <c r="F1435" s="2" t="s">
        <v>15036</v>
      </c>
      <c r="G1435" s="2" t="s">
        <v>14591</v>
      </c>
      <c r="H1435" s="3" t="str">
        <f>_xlfn.IFNA(INDEX(FieldDisagreements!C2:C999, MATCH(C1435,FieldDisagreements!A2:A999, 0)), "")</f>
        <v>effortless-owl</v>
      </c>
      <c r="I1435" s="3" t="str">
        <f>_xlfn.IFNA(INDEX(FieldDisagreements!D2:D999, MATCH(C1435,FieldDisagreements!A2:A999, 0)), "")</f>
        <v>OperationalBindings.IsFresh</v>
      </c>
      <c r="J1435" s="2" t="s">
        <v>1906</v>
      </c>
    </row>
    <row r="1436">
      <c r="A1436" s="2" t="s">
        <v>16697</v>
      </c>
      <c r="B1436" s="3" t="str">
        <f>_xlfn.CONCAT(C1436, " @ ", D1436)</f>
        <v>effortless-owl|OperationalBindings.IsFresh @ bind-policy-sms</v>
      </c>
      <c r="C1436" s="2" t="s">
        <v>14913</v>
      </c>
      <c r="D1436" s="2" t="s">
        <v>1668</v>
      </c>
      <c r="E1436" s="2" t="s">
        <v>15035</v>
      </c>
      <c r="F1436" s="2" t="s">
        <v>15036</v>
      </c>
      <c r="G1436" s="2" t="s">
        <v>14591</v>
      </c>
      <c r="H1436" s="3" t="str">
        <f>_xlfn.IFNA(INDEX(FieldDisagreements!C2:C999, MATCH(C1436,FieldDisagreements!A2:A999, 0)), "")</f>
        <v>effortless-owl</v>
      </c>
      <c r="I1436" s="3" t="str">
        <f>_xlfn.IFNA(INDEX(FieldDisagreements!D2:D999, MATCH(C1436,FieldDisagreements!A2:A999, 0)), "")</f>
        <v>OperationalBindings.IsFresh</v>
      </c>
      <c r="J1436" s="2" t="s">
        <v>1906</v>
      </c>
    </row>
    <row r="1437">
      <c r="A1437" s="2" t="s">
        <v>16698</v>
      </c>
      <c r="B1437" s="3" t="str">
        <f>_xlfn.CONCAT(C1437, " @ ", D1437)</f>
        <v>effortless-owl|MessageDeliveries.AgeDays @ md-001</v>
      </c>
      <c r="C1437" s="2" t="s">
        <v>14914</v>
      </c>
      <c r="D1437" s="2" t="s">
        <v>8234</v>
      </c>
      <c r="E1437" s="2" t="s">
        <v>935</v>
      </c>
      <c r="F1437" s="2" t="s">
        <v>16479</v>
      </c>
      <c r="G1437" s="2" t="s">
        <v>14591</v>
      </c>
      <c r="H1437" s="3" t="str">
        <f>_xlfn.IFNA(INDEX(FieldDisagreements!C2:C999, MATCH(C1437,FieldDisagreements!A2:A999, 0)), "")</f>
        <v>effortless-owl</v>
      </c>
      <c r="I1437" s="3" t="str">
        <f>_xlfn.IFNA(INDEX(FieldDisagreements!D2:D999, MATCH(C1437,FieldDisagreements!A2:A999, 0)), "")</f>
        <v>MessageDeliveries.AgeDays</v>
      </c>
      <c r="J1437" s="2" t="s">
        <v>1906</v>
      </c>
    </row>
    <row r="1438">
      <c r="A1438" s="2" t="s">
        <v>16699</v>
      </c>
      <c r="B1438" s="3" t="str">
        <f>_xlfn.CONCAT(C1438, " @ ", D1438)</f>
        <v>effortless-owl|MessageDeliveries.AgeDays @ md-002</v>
      </c>
      <c r="C1438" s="2" t="s">
        <v>14914</v>
      </c>
      <c r="D1438" s="2" t="s">
        <v>8238</v>
      </c>
      <c r="E1438" s="2" t="s">
        <v>935</v>
      </c>
      <c r="F1438" s="2" t="s">
        <v>16479</v>
      </c>
      <c r="G1438" s="2" t="s">
        <v>14591</v>
      </c>
      <c r="H1438" s="3" t="str">
        <f>_xlfn.IFNA(INDEX(FieldDisagreements!C2:C999, MATCH(C1438,FieldDisagreements!A2:A999, 0)), "")</f>
        <v>effortless-owl</v>
      </c>
      <c r="I1438" s="3" t="str">
        <f>_xlfn.IFNA(INDEX(FieldDisagreements!D2:D999, MATCH(C1438,FieldDisagreements!A2:A999, 0)), "")</f>
        <v>MessageDeliveries.AgeDays</v>
      </c>
      <c r="J1438" s="2" t="s">
        <v>1906</v>
      </c>
    </row>
    <row r="1439">
      <c r="A1439" s="2" t="s">
        <v>16700</v>
      </c>
      <c r="B1439" s="3" t="str">
        <f>_xlfn.CONCAT(C1439, " @ ", D1439)</f>
        <v>effortless-owl|MessageDeliveries.AgeDays @ md-003</v>
      </c>
      <c r="C1439" s="2" t="s">
        <v>14914</v>
      </c>
      <c r="D1439" s="2" t="s">
        <v>8239</v>
      </c>
      <c r="E1439" s="2" t="s">
        <v>935</v>
      </c>
      <c r="F1439" s="2" t="s">
        <v>16479</v>
      </c>
      <c r="G1439" s="2" t="s">
        <v>14591</v>
      </c>
      <c r="H1439" s="3" t="str">
        <f>_xlfn.IFNA(INDEX(FieldDisagreements!C2:C999, MATCH(C1439,FieldDisagreements!A2:A999, 0)), "")</f>
        <v>effortless-owl</v>
      </c>
      <c r="I1439" s="3" t="str">
        <f>_xlfn.IFNA(INDEX(FieldDisagreements!D2:D999, MATCH(C1439,FieldDisagreements!A2:A999, 0)), "")</f>
        <v>MessageDeliveries.AgeDays</v>
      </c>
      <c r="J1439" s="2" t="s">
        <v>1906</v>
      </c>
    </row>
    <row r="1440">
      <c r="A1440" s="2" t="s">
        <v>16701</v>
      </c>
      <c r="B1440" s="3" t="str">
        <f>_xlfn.CONCAT(C1440, " @ ", D1440)</f>
        <v>effortless-owl|MessageDeliveries.AgeDays @ md-004</v>
      </c>
      <c r="C1440" s="2" t="s">
        <v>14914</v>
      </c>
      <c r="D1440" s="2" t="s">
        <v>8241</v>
      </c>
      <c r="E1440" s="2" t="s">
        <v>935</v>
      </c>
      <c r="F1440" s="2" t="s">
        <v>16479</v>
      </c>
      <c r="G1440" s="2" t="s">
        <v>14591</v>
      </c>
      <c r="H1440" s="3" t="str">
        <f>_xlfn.IFNA(INDEX(FieldDisagreements!C2:C999, MATCH(C1440,FieldDisagreements!A2:A999, 0)), "")</f>
        <v>effortless-owl</v>
      </c>
      <c r="I1440" s="3" t="str">
        <f>_xlfn.IFNA(INDEX(FieldDisagreements!D2:D999, MATCH(C1440,FieldDisagreements!A2:A999, 0)), "")</f>
        <v>MessageDeliveries.AgeDays</v>
      </c>
      <c r="J1440" s="2" t="s">
        <v>1906</v>
      </c>
    </row>
    <row r="1441">
      <c r="A1441" s="2" t="s">
        <v>16702</v>
      </c>
      <c r="B1441" s="3" t="str">
        <f>_xlfn.CONCAT(C1441, " @ ", D1441)</f>
        <v>effortless-owl|MessageDeliveries.AgeDays @ md-005</v>
      </c>
      <c r="C1441" s="2" t="s">
        <v>14914</v>
      </c>
      <c r="D1441" s="2" t="s">
        <v>8244</v>
      </c>
      <c r="E1441" s="2" t="s">
        <v>935</v>
      </c>
      <c r="F1441" s="2" t="s">
        <v>16479</v>
      </c>
      <c r="G1441" s="2" t="s">
        <v>14591</v>
      </c>
      <c r="H1441" s="3" t="str">
        <f>_xlfn.IFNA(INDEX(FieldDisagreements!C2:C999, MATCH(C1441,FieldDisagreements!A2:A999, 0)), "")</f>
        <v>effortless-owl</v>
      </c>
      <c r="I1441" s="3" t="str">
        <f>_xlfn.IFNA(INDEX(FieldDisagreements!D2:D999, MATCH(C1441,FieldDisagreements!A2:A999, 0)), "")</f>
        <v>MessageDeliveries.AgeDays</v>
      </c>
      <c r="J1441" s="2" t="s">
        <v>1906</v>
      </c>
    </row>
    <row r="1442">
      <c r="A1442" s="2" t="s">
        <v>16703</v>
      </c>
      <c r="B1442" s="3" t="str">
        <f>_xlfn.CONCAT(C1442, " @ ", D1442)</f>
        <v>effortless-owl|MessageDeliveries.AgeDays @ md-006</v>
      </c>
      <c r="C1442" s="2" t="s">
        <v>14914</v>
      </c>
      <c r="D1442" s="2" t="s">
        <v>8247</v>
      </c>
      <c r="E1442" s="2" t="s">
        <v>935</v>
      </c>
      <c r="F1442" s="2" t="s">
        <v>16479</v>
      </c>
      <c r="G1442" s="2" t="s">
        <v>14591</v>
      </c>
      <c r="H1442" s="3" t="str">
        <f>_xlfn.IFNA(INDEX(FieldDisagreements!C2:C999, MATCH(C1442,FieldDisagreements!A2:A999, 0)), "")</f>
        <v>effortless-owl</v>
      </c>
      <c r="I1442" s="3" t="str">
        <f>_xlfn.IFNA(INDEX(FieldDisagreements!D2:D999, MATCH(C1442,FieldDisagreements!A2:A999, 0)), "")</f>
        <v>MessageDeliveries.AgeDays</v>
      </c>
      <c r="J1442" s="2" t="s">
        <v>1906</v>
      </c>
    </row>
    <row r="1443">
      <c r="A1443" s="2" t="s">
        <v>16704</v>
      </c>
      <c r="B1443" s="3" t="str">
        <f>_xlfn.CONCAT(C1443, " @ ", D1443)</f>
        <v>effortless-owl|MessageDeliveries.OutstandingAgeDays @ md-002</v>
      </c>
      <c r="C1443" s="2" t="s">
        <v>14915</v>
      </c>
      <c r="D1443" s="2" t="s">
        <v>8238</v>
      </c>
      <c r="E1443" s="2" t="s">
        <v>935</v>
      </c>
      <c r="F1443" s="2" t="s">
        <v>16479</v>
      </c>
      <c r="G1443" s="2" t="s">
        <v>14591</v>
      </c>
      <c r="H1443" s="3" t="str">
        <f>_xlfn.IFNA(INDEX(FieldDisagreements!C2:C999, MATCH(C1443,FieldDisagreements!A2:A999, 0)), "")</f>
        <v>effortless-owl</v>
      </c>
      <c r="I1443" s="3" t="str">
        <f>_xlfn.IFNA(INDEX(FieldDisagreements!D2:D999, MATCH(C1443,FieldDisagreements!A2:A999, 0)), "")</f>
        <v>MessageDeliveries.OutstandingAgeDays</v>
      </c>
      <c r="J1443" s="2" t="s">
        <v>1906</v>
      </c>
    </row>
    <row r="1444">
      <c r="A1444" s="2" t="s">
        <v>16705</v>
      </c>
      <c r="B1444" s="3" t="str">
        <f>_xlfn.CONCAT(C1444, " @ ", D1444)</f>
        <v>effortless-owl|MessageDeliveries.OutstandingAgeDays @ md-003</v>
      </c>
      <c r="C1444" s="2" t="s">
        <v>14915</v>
      </c>
      <c r="D1444" s="2" t="s">
        <v>8239</v>
      </c>
      <c r="E1444" s="2" t="s">
        <v>935</v>
      </c>
      <c r="F1444" s="2" t="s">
        <v>16479</v>
      </c>
      <c r="G1444" s="2" t="s">
        <v>14591</v>
      </c>
      <c r="H1444" s="3" t="str">
        <f>_xlfn.IFNA(INDEX(FieldDisagreements!C2:C999, MATCH(C1444,FieldDisagreements!A2:A999, 0)), "")</f>
        <v>effortless-owl</v>
      </c>
      <c r="I1444" s="3" t="str">
        <f>_xlfn.IFNA(INDEX(FieldDisagreements!D2:D999, MATCH(C1444,FieldDisagreements!A2:A999, 0)), "")</f>
        <v>MessageDeliveries.OutstandingAgeDays</v>
      </c>
      <c r="J1444" s="2" t="s">
        <v>1906</v>
      </c>
    </row>
    <row r="1445">
      <c r="A1445" s="2" t="s">
        <v>16706</v>
      </c>
      <c r="B1445" s="3" t="str">
        <f>_xlfn.CONCAT(C1445, " @ ", D1445)</f>
        <v>effortless-owl|MessageDeliveries.OutstandingAgeDays @ md-005</v>
      </c>
      <c r="C1445" s="2" t="s">
        <v>14915</v>
      </c>
      <c r="D1445" s="2" t="s">
        <v>8244</v>
      </c>
      <c r="E1445" s="2" t="s">
        <v>935</v>
      </c>
      <c r="F1445" s="2" t="s">
        <v>16479</v>
      </c>
      <c r="G1445" s="2" t="s">
        <v>14591</v>
      </c>
      <c r="H1445" s="3" t="str">
        <f>_xlfn.IFNA(INDEX(FieldDisagreements!C2:C999, MATCH(C1445,FieldDisagreements!A2:A999, 0)), "")</f>
        <v>effortless-owl</v>
      </c>
      <c r="I1445" s="3" t="str">
        <f>_xlfn.IFNA(INDEX(FieldDisagreements!D2:D999, MATCH(C1445,FieldDisagreements!A2:A999, 0)), "")</f>
        <v>MessageDeliveries.OutstandingAgeDays</v>
      </c>
      <c r="J1445" s="2" t="s">
        <v>1906</v>
      </c>
    </row>
    <row r="1446">
      <c r="A1446" s="2" t="s">
        <v>16707</v>
      </c>
      <c r="B1446" s="3" t="str">
        <f>_xlfn.CONCAT(C1446, " @ ", D1446)</f>
        <v>effortless-owl|MessageDeliveries.HasOptOutPhrase @ md-003</v>
      </c>
      <c r="C1446" s="2" t="s">
        <v>14916</v>
      </c>
      <c r="D1446" s="2" t="s">
        <v>8239</v>
      </c>
      <c r="E1446" s="2" t="s">
        <v>15035</v>
      </c>
      <c r="F1446" s="2" t="s">
        <v>15036</v>
      </c>
      <c r="G1446" s="2" t="s">
        <v>14591</v>
      </c>
      <c r="H1446" s="3" t="str">
        <f>_xlfn.IFNA(INDEX(FieldDisagreements!C2:C999, MATCH(C1446,FieldDisagreements!A2:A999, 0)), "")</f>
        <v>effortless-owl</v>
      </c>
      <c r="I1446" s="3" t="str">
        <f>_xlfn.IFNA(INDEX(FieldDisagreements!D2:D999, MATCH(C1446,FieldDisagreements!A2:A999, 0)), "")</f>
        <v>MessageDeliveries.HasOptOutPhrase</v>
      </c>
      <c r="J1446" s="2" t="s">
        <v>1906</v>
      </c>
    </row>
    <row r="1447">
      <c r="A1447" s="2" t="s">
        <v>16708</v>
      </c>
      <c r="B1447" s="3" t="str">
        <f>_xlfn.CONCAT(C1447, " @ ", D1447)</f>
        <v>effortless-owl|MessageDeliveries.HasOptOutPhrase @ md-004</v>
      </c>
      <c r="C1447" s="2" t="s">
        <v>14916</v>
      </c>
      <c r="D1447" s="2" t="s">
        <v>8241</v>
      </c>
      <c r="E1447" s="2" t="s">
        <v>15035</v>
      </c>
      <c r="F1447" s="2" t="s">
        <v>15036</v>
      </c>
      <c r="G1447" s="2" t="s">
        <v>14591</v>
      </c>
      <c r="H1447" s="3" t="str">
        <f>_xlfn.IFNA(INDEX(FieldDisagreements!C2:C999, MATCH(C1447,FieldDisagreements!A2:A999, 0)), "")</f>
        <v>effortless-owl</v>
      </c>
      <c r="I1447" s="3" t="str">
        <f>_xlfn.IFNA(INDEX(FieldDisagreements!D2:D999, MATCH(C1447,FieldDisagreements!A2:A999, 0)), "")</f>
        <v>MessageDeliveries.HasOptOutPhrase</v>
      </c>
      <c r="J1447" s="2" t="s">
        <v>1906</v>
      </c>
    </row>
    <row r="1448">
      <c r="A1448" s="2" t="s">
        <v>16709</v>
      </c>
      <c r="B1448" s="3" t="str">
        <f>_xlfn.CONCAT(C1448, " @ ", D1448)</f>
        <v>effortless-owl|MessageDeliveries.HasOptOutPhrase @ md-006</v>
      </c>
      <c r="C1448" s="2" t="s">
        <v>14916</v>
      </c>
      <c r="D1448" s="2" t="s">
        <v>8247</v>
      </c>
      <c r="E1448" s="2" t="s">
        <v>15035</v>
      </c>
      <c r="F1448" s="2" t="s">
        <v>15036</v>
      </c>
      <c r="G1448" s="2" t="s">
        <v>14591</v>
      </c>
      <c r="H1448" s="3" t="str">
        <f>_xlfn.IFNA(INDEX(FieldDisagreements!C2:C999, MATCH(C1448,FieldDisagreements!A2:A999, 0)), "")</f>
        <v>effortless-owl</v>
      </c>
      <c r="I1448" s="3" t="str">
        <f>_xlfn.IFNA(INDEX(FieldDisagreements!D2:D999, MATCH(C1448,FieldDisagreements!A2:A999, 0)), "")</f>
        <v>MessageDeliveries.HasOptOutPhrase</v>
      </c>
      <c r="J1448" s="2" t="s">
        <v>1906</v>
      </c>
    </row>
    <row r="1449">
      <c r="A1449" s="2" t="s">
        <v>16710</v>
      </c>
      <c r="B1449" s="3" t="str">
        <f>_xlfn.CONCAT(C1449, " @ ", D1449)</f>
        <v>effortless-owl|MessageDeliveries.IsOptOutInFirstSegment @ md-003</v>
      </c>
      <c r="C1449" s="2" t="s">
        <v>14917</v>
      </c>
      <c r="D1449" s="2" t="s">
        <v>8239</v>
      </c>
      <c r="E1449" s="2" t="s">
        <v>15035</v>
      </c>
      <c r="F1449" s="2" t="s">
        <v>15036</v>
      </c>
      <c r="G1449" s="2" t="s">
        <v>14591</v>
      </c>
      <c r="H1449" s="3" t="str">
        <f>_xlfn.IFNA(INDEX(FieldDisagreements!C2:C999, MATCH(C1449,FieldDisagreements!A2:A999, 0)), "")</f>
        <v>effortless-owl</v>
      </c>
      <c r="I1449" s="3" t="str">
        <f>_xlfn.IFNA(INDEX(FieldDisagreements!D2:D999, MATCH(C1449,FieldDisagreements!A2:A999, 0)), "")</f>
        <v>MessageDeliveries.IsOptOutInFirstSegment</v>
      </c>
      <c r="J1449" s="2" t="s">
        <v>1906</v>
      </c>
    </row>
    <row r="1450">
      <c r="A1450" s="2" t="s">
        <v>16711</v>
      </c>
      <c r="B1450" s="3" t="str">
        <f>_xlfn.CONCAT(C1450, " @ ", D1450)</f>
        <v>effortless-owl|MessageDeliveries.IsOptOutInFirstSegment @ md-004</v>
      </c>
      <c r="C1450" s="2" t="s">
        <v>14917</v>
      </c>
      <c r="D1450" s="2" t="s">
        <v>8241</v>
      </c>
      <c r="E1450" s="2" t="s">
        <v>15035</v>
      </c>
      <c r="F1450" s="2" t="s">
        <v>15036</v>
      </c>
      <c r="G1450" s="2" t="s">
        <v>14591</v>
      </c>
      <c r="H1450" s="3" t="str">
        <f>_xlfn.IFNA(INDEX(FieldDisagreements!C2:C999, MATCH(C1450,FieldDisagreements!A2:A999, 0)), "")</f>
        <v>effortless-owl</v>
      </c>
      <c r="I1450" s="3" t="str">
        <f>_xlfn.IFNA(INDEX(FieldDisagreements!D2:D999, MATCH(C1450,FieldDisagreements!A2:A999, 0)), "")</f>
        <v>MessageDeliveries.IsOptOutInFirstSegment</v>
      </c>
      <c r="J1450" s="2" t="s">
        <v>1906</v>
      </c>
    </row>
    <row r="1451">
      <c r="A1451" s="2" t="s">
        <v>16712</v>
      </c>
      <c r="B1451" s="3" t="str">
        <f>_xlfn.CONCAT(C1451, " @ ", D1451)</f>
        <v>effortless-owl|MessageDeliveries.IsOptOutInFirstSegment @ md-006</v>
      </c>
      <c r="C1451" s="2" t="s">
        <v>14917</v>
      </c>
      <c r="D1451" s="2" t="s">
        <v>8247</v>
      </c>
      <c r="E1451" s="2" t="s">
        <v>15035</v>
      </c>
      <c r="F1451" s="2" t="s">
        <v>15036</v>
      </c>
      <c r="G1451" s="2" t="s">
        <v>14591</v>
      </c>
      <c r="H1451" s="3" t="str">
        <f>_xlfn.IFNA(INDEX(FieldDisagreements!C2:C999, MATCH(C1451,FieldDisagreements!A2:A999, 0)), "")</f>
        <v>effortless-owl</v>
      </c>
      <c r="I1451" s="3" t="str">
        <f>_xlfn.IFNA(INDEX(FieldDisagreements!D2:D999, MATCH(C1451,FieldDisagreements!A2:A999, 0)), "")</f>
        <v>MessageDeliveries.IsOptOutInFirstSegment</v>
      </c>
      <c r="J1451" s="2" t="s">
        <v>1906</v>
      </c>
    </row>
    <row r="1452">
      <c r="A1452" s="2" t="s">
        <v>16713</v>
      </c>
      <c r="B1452" s="3" t="str">
        <f>_xlfn.CONCAT(C1452, " @ ", D1452)</f>
        <v>effortless-owl|MessageDeliveries.IsMissingRequiredOptOut @ md-005</v>
      </c>
      <c r="C1452" s="2" t="s">
        <v>14918</v>
      </c>
      <c r="D1452" s="2" t="s">
        <v>8244</v>
      </c>
      <c r="E1452" s="2" t="s">
        <v>15035</v>
      </c>
      <c r="F1452" s="2" t="s">
        <v>15036</v>
      </c>
      <c r="G1452" s="2" t="s">
        <v>14591</v>
      </c>
      <c r="H1452" s="3" t="str">
        <f>_xlfn.IFNA(INDEX(FieldDisagreements!C2:C999, MATCH(C1452,FieldDisagreements!A2:A999, 0)), "")</f>
        <v>effortless-owl</v>
      </c>
      <c r="I1452" s="3" t="str">
        <f>_xlfn.IFNA(INDEX(FieldDisagreements!D2:D999, MATCH(C1452,FieldDisagreements!A2:A999, 0)), "")</f>
        <v>MessageDeliveries.IsMissingRequiredOptOut</v>
      </c>
      <c r="J1452" s="2" t="s">
        <v>1906</v>
      </c>
    </row>
    <row r="1453">
      <c r="A1453" s="2" t="s">
        <v>16714</v>
      </c>
      <c r="B1453" s="3" t="str">
        <f>_xlfn.CONCAT(C1453, " @ ", D1453)</f>
        <v>effortless-owl|SendIntents.DeferralAgeHours @ si-001</v>
      </c>
      <c r="C1453" s="2" t="s">
        <v>14919</v>
      </c>
      <c r="D1453" s="2" t="s">
        <v>8253</v>
      </c>
      <c r="E1453" s="2" t="s">
        <v>15195</v>
      </c>
      <c r="F1453" s="2" t="s">
        <v>15036</v>
      </c>
      <c r="G1453" s="2" t="s">
        <v>14591</v>
      </c>
      <c r="H1453" s="3" t="str">
        <f>_xlfn.IFNA(INDEX(FieldDisagreements!C2:C999, MATCH(C1453,FieldDisagreements!A2:A999, 0)), "")</f>
        <v>effortless-owl</v>
      </c>
      <c r="I1453" s="3" t="str">
        <f>_xlfn.IFNA(INDEX(FieldDisagreements!D2:D999, MATCH(C1453,FieldDisagreements!A2:A999, 0)), "")</f>
        <v>SendIntents.DeferralAgeHours</v>
      </c>
      <c r="J1453" s="2" t="s">
        <v>1906</v>
      </c>
    </row>
    <row r="1454">
      <c r="A1454" s="2" t="s">
        <v>16715</v>
      </c>
      <c r="B1454" s="3" t="str">
        <f>_xlfn.CONCAT(C1454, " @ ", D1454)</f>
        <v>effortless-owl|SendIntents.DeferralAgeHours @ si-002</v>
      </c>
      <c r="C1454" s="2" t="s">
        <v>14919</v>
      </c>
      <c r="D1454" s="2" t="s">
        <v>8256</v>
      </c>
      <c r="E1454" s="2" t="s">
        <v>15195</v>
      </c>
      <c r="F1454" s="2" t="s">
        <v>15036</v>
      </c>
      <c r="G1454" s="2" t="s">
        <v>14591</v>
      </c>
      <c r="H1454" s="3" t="str">
        <f>_xlfn.IFNA(INDEX(FieldDisagreements!C2:C999, MATCH(C1454,FieldDisagreements!A2:A999, 0)), "")</f>
        <v>effortless-owl</v>
      </c>
      <c r="I1454" s="3" t="str">
        <f>_xlfn.IFNA(INDEX(FieldDisagreements!D2:D999, MATCH(C1454,FieldDisagreements!A2:A999, 0)), "")</f>
        <v>SendIntents.DeferralAgeHours</v>
      </c>
      <c r="J1454" s="2" t="s">
        <v>1906</v>
      </c>
    </row>
    <row r="1455">
      <c r="A1455" s="2" t="s">
        <v>16716</v>
      </c>
      <c r="B1455" s="3" t="str">
        <f>_xlfn.CONCAT(C1455, " @ ", D1455)</f>
        <v>effortless-owl|SendIntents.DeferralAgeHours @ si-003</v>
      </c>
      <c r="C1455" s="2" t="s">
        <v>14919</v>
      </c>
      <c r="D1455" s="2" t="s">
        <v>8257</v>
      </c>
      <c r="E1455" s="2" t="s">
        <v>15195</v>
      </c>
      <c r="F1455" s="2" t="s">
        <v>15036</v>
      </c>
      <c r="G1455" s="2" t="s">
        <v>14591</v>
      </c>
      <c r="H1455" s="3" t="str">
        <f>_xlfn.IFNA(INDEX(FieldDisagreements!C2:C999, MATCH(C1455,FieldDisagreements!A2:A999, 0)), "")</f>
        <v>effortless-owl</v>
      </c>
      <c r="I1455" s="3" t="str">
        <f>_xlfn.IFNA(INDEX(FieldDisagreements!D2:D999, MATCH(C1455,FieldDisagreements!A2:A999, 0)), "")</f>
        <v>SendIntents.DeferralAgeHours</v>
      </c>
      <c r="J1455" s="2" t="s">
        <v>1906</v>
      </c>
    </row>
    <row r="1456">
      <c r="A1456" s="2" t="s">
        <v>16717</v>
      </c>
      <c r="B1456" s="3" t="str">
        <f>_xlfn.CONCAT(C1456, " @ ", D1456)</f>
        <v>effortless-owl|SendIntents.DeferralAgeHours @ si-004</v>
      </c>
      <c r="C1456" s="2" t="s">
        <v>14919</v>
      </c>
      <c r="D1456" s="2" t="s">
        <v>8258</v>
      </c>
      <c r="E1456" s="2" t="s">
        <v>15195</v>
      </c>
      <c r="F1456" s="2" t="s">
        <v>15036</v>
      </c>
      <c r="G1456" s="2" t="s">
        <v>14591</v>
      </c>
      <c r="H1456" s="3" t="str">
        <f>_xlfn.IFNA(INDEX(FieldDisagreements!C2:C999, MATCH(C1456,FieldDisagreements!A2:A999, 0)), "")</f>
        <v>effortless-owl</v>
      </c>
      <c r="I1456" s="3" t="str">
        <f>_xlfn.IFNA(INDEX(FieldDisagreements!D2:D999, MATCH(C1456,FieldDisagreements!A2:A999, 0)), "")</f>
        <v>SendIntents.DeferralAgeHours</v>
      </c>
      <c r="J1456" s="2" t="s">
        <v>1906</v>
      </c>
    </row>
    <row r="1457">
      <c r="A1457" s="2" t="s">
        <v>16718</v>
      </c>
      <c r="B1457" s="3" t="str">
        <f>_xlfn.CONCAT(C1457, " @ ", D1457)</f>
        <v>effortless-owl|SendIntents.DeferralAgeHours @ si-005</v>
      </c>
      <c r="C1457" s="2" t="s">
        <v>14919</v>
      </c>
      <c r="D1457" s="2" t="s">
        <v>8260</v>
      </c>
      <c r="E1457" s="2" t="s">
        <v>15195</v>
      </c>
      <c r="F1457" s="2" t="s">
        <v>15036</v>
      </c>
      <c r="G1457" s="2" t="s">
        <v>14591</v>
      </c>
      <c r="H1457" s="3" t="str">
        <f>_xlfn.IFNA(INDEX(FieldDisagreements!C2:C999, MATCH(C1457,FieldDisagreements!A2:A999, 0)), "")</f>
        <v>effortless-owl</v>
      </c>
      <c r="I1457" s="3" t="str">
        <f>_xlfn.IFNA(INDEX(FieldDisagreements!D2:D999, MATCH(C1457,FieldDisagreements!A2:A999, 0)), "")</f>
        <v>SendIntents.DeferralAgeHours</v>
      </c>
      <c r="J1457" s="2" t="s">
        <v>1906</v>
      </c>
    </row>
    <row r="1458">
      <c r="A1458" s="2" t="s">
        <v>16719</v>
      </c>
      <c r="B1458" s="3" t="str">
        <f>_xlfn.CONCAT(C1458, " @ ", D1458)</f>
        <v>effortless-owl|SendIntents.DeferralAgeHours @ si-006</v>
      </c>
      <c r="C1458" s="2" t="s">
        <v>14919</v>
      </c>
      <c r="D1458" s="2" t="s">
        <v>8262</v>
      </c>
      <c r="E1458" s="2" t="s">
        <v>15195</v>
      </c>
      <c r="F1458" s="2" t="s">
        <v>15036</v>
      </c>
      <c r="G1458" s="2" t="s">
        <v>14591</v>
      </c>
      <c r="H1458" s="3" t="str">
        <f>_xlfn.IFNA(INDEX(FieldDisagreements!C2:C999, MATCH(C1458,FieldDisagreements!A2:A999, 0)), "")</f>
        <v>effortless-owl</v>
      </c>
      <c r="I1458" s="3" t="str">
        <f>_xlfn.IFNA(INDEX(FieldDisagreements!D2:D999, MATCH(C1458,FieldDisagreements!A2:A999, 0)), "")</f>
        <v>SendIntents.DeferralAgeHours</v>
      </c>
      <c r="J1458" s="2" t="s">
        <v>1906</v>
      </c>
    </row>
    <row r="1459">
      <c r="A1459" s="2" t="s">
        <v>16720</v>
      </c>
      <c r="B1459" s="3" t="str">
        <f>_xlfn.CONCAT(C1459, " @ ", D1459)</f>
        <v>effortless-owl|SendIntents.DeferralAgeHours @ si-007</v>
      </c>
      <c r="C1459" s="2" t="s">
        <v>14919</v>
      </c>
      <c r="D1459" s="2" t="s">
        <v>8263</v>
      </c>
      <c r="E1459" s="2" t="s">
        <v>15195</v>
      </c>
      <c r="F1459" s="2" t="s">
        <v>15036</v>
      </c>
      <c r="G1459" s="2" t="s">
        <v>14591</v>
      </c>
      <c r="H1459" s="3" t="str">
        <f>_xlfn.IFNA(INDEX(FieldDisagreements!C2:C999, MATCH(C1459,FieldDisagreements!A2:A999, 0)), "")</f>
        <v>effortless-owl</v>
      </c>
      <c r="I1459" s="3" t="str">
        <f>_xlfn.IFNA(INDEX(FieldDisagreements!D2:D999, MATCH(C1459,FieldDisagreements!A2:A999, 0)), "")</f>
        <v>SendIntents.DeferralAgeHours</v>
      </c>
      <c r="J1459" s="2" t="s">
        <v>1906</v>
      </c>
    </row>
    <row r="1460">
      <c r="A1460" s="2" t="s">
        <v>16721</v>
      </c>
      <c r="B1460" s="3" t="str">
        <f>_xlfn.CONCAT(C1460, " @ ", D1460)</f>
        <v>effortless-owl|SendIntents.IsSelfWitnessedDecision @ si-001</v>
      </c>
      <c r="C1460" s="2" t="s">
        <v>14920</v>
      </c>
      <c r="D1460" s="2" t="s">
        <v>8253</v>
      </c>
      <c r="E1460" s="2" t="s">
        <v>15035</v>
      </c>
      <c r="F1460" s="2" t="s">
        <v>15036</v>
      </c>
      <c r="G1460" s="2" t="s">
        <v>14591</v>
      </c>
      <c r="H1460" s="3" t="str">
        <f>_xlfn.IFNA(INDEX(FieldDisagreements!C2:C999, MATCH(C1460,FieldDisagreements!A2:A999, 0)), "")</f>
        <v>effortless-owl</v>
      </c>
      <c r="I1460" s="3" t="str">
        <f>_xlfn.IFNA(INDEX(FieldDisagreements!D2:D999, MATCH(C1460,FieldDisagreements!A2:A999, 0)), "")</f>
        <v>SendIntents.IsSelfWitnessedDecision</v>
      </c>
      <c r="J1460" s="2" t="s">
        <v>1906</v>
      </c>
    </row>
    <row r="1461">
      <c r="A1461" s="2" t="s">
        <v>16722</v>
      </c>
      <c r="B1461" s="3" t="str">
        <f>_xlfn.CONCAT(C1461, " @ ", D1461)</f>
        <v>effortless-owl|SendIntents.IsSelfWitnessedDecision @ si-002</v>
      </c>
      <c r="C1461" s="2" t="s">
        <v>14920</v>
      </c>
      <c r="D1461" s="2" t="s">
        <v>8256</v>
      </c>
      <c r="E1461" s="2" t="s">
        <v>15035</v>
      </c>
      <c r="F1461" s="2" t="s">
        <v>15036</v>
      </c>
      <c r="G1461" s="2" t="s">
        <v>14591</v>
      </c>
      <c r="H1461" s="3" t="str">
        <f>_xlfn.IFNA(INDEX(FieldDisagreements!C2:C999, MATCH(C1461,FieldDisagreements!A2:A999, 0)), "")</f>
        <v>effortless-owl</v>
      </c>
      <c r="I1461" s="3" t="str">
        <f>_xlfn.IFNA(INDEX(FieldDisagreements!D2:D999, MATCH(C1461,FieldDisagreements!A2:A999, 0)), "")</f>
        <v>SendIntents.IsSelfWitnessedDecision</v>
      </c>
      <c r="J1461" s="2" t="s">
        <v>1906</v>
      </c>
    </row>
    <row r="1462">
      <c r="A1462" s="2" t="s">
        <v>16723</v>
      </c>
      <c r="B1462" s="3" t="str">
        <f>_xlfn.CONCAT(C1462, " @ ", D1462)</f>
        <v>effortless-owl|SendIntents.IsSelfWitnessedDecision @ si-003</v>
      </c>
      <c r="C1462" s="2" t="s">
        <v>14920</v>
      </c>
      <c r="D1462" s="2" t="s">
        <v>8257</v>
      </c>
      <c r="E1462" s="2" t="s">
        <v>15035</v>
      </c>
      <c r="F1462" s="2" t="s">
        <v>15036</v>
      </c>
      <c r="G1462" s="2" t="s">
        <v>14591</v>
      </c>
      <c r="H1462" s="3" t="str">
        <f>_xlfn.IFNA(INDEX(FieldDisagreements!C2:C999, MATCH(C1462,FieldDisagreements!A2:A999, 0)), "")</f>
        <v>effortless-owl</v>
      </c>
      <c r="I1462" s="3" t="str">
        <f>_xlfn.IFNA(INDEX(FieldDisagreements!D2:D999, MATCH(C1462,FieldDisagreements!A2:A999, 0)), "")</f>
        <v>SendIntents.IsSelfWitnessedDecision</v>
      </c>
      <c r="J1462" s="2" t="s">
        <v>1906</v>
      </c>
    </row>
    <row r="1463">
      <c r="A1463" s="2" t="s">
        <v>16724</v>
      </c>
      <c r="B1463" s="3" t="str">
        <f>_xlfn.CONCAT(C1463, " @ ", D1463)</f>
        <v>effortless-owl|SendIntents.IsSelfWitnessedDecision @ si-004</v>
      </c>
      <c r="C1463" s="2" t="s">
        <v>14920</v>
      </c>
      <c r="D1463" s="2" t="s">
        <v>8258</v>
      </c>
      <c r="E1463" s="2" t="s">
        <v>15035</v>
      </c>
      <c r="F1463" s="2" t="s">
        <v>15036</v>
      </c>
      <c r="G1463" s="2" t="s">
        <v>14591</v>
      </c>
      <c r="H1463" s="3" t="str">
        <f>_xlfn.IFNA(INDEX(FieldDisagreements!C2:C999, MATCH(C1463,FieldDisagreements!A2:A999, 0)), "")</f>
        <v>effortless-owl</v>
      </c>
      <c r="I1463" s="3" t="str">
        <f>_xlfn.IFNA(INDEX(FieldDisagreements!D2:D999, MATCH(C1463,FieldDisagreements!A2:A999, 0)), "")</f>
        <v>SendIntents.IsSelfWitnessedDecision</v>
      </c>
      <c r="J1463" s="2" t="s">
        <v>1906</v>
      </c>
    </row>
    <row r="1464">
      <c r="A1464" s="2" t="s">
        <v>16725</v>
      </c>
      <c r="B1464" s="3" t="str">
        <f>_xlfn.CONCAT(C1464, " @ ", D1464)</f>
        <v>effortless-owl|SendIntents.IsSelfWitnessedDecision @ si-005</v>
      </c>
      <c r="C1464" s="2" t="s">
        <v>14920</v>
      </c>
      <c r="D1464" s="2" t="s">
        <v>8260</v>
      </c>
      <c r="E1464" s="2" t="s">
        <v>15035</v>
      </c>
      <c r="F1464" s="2" t="s">
        <v>15036</v>
      </c>
      <c r="G1464" s="2" t="s">
        <v>14591</v>
      </c>
      <c r="H1464" s="3" t="str">
        <f>_xlfn.IFNA(INDEX(FieldDisagreements!C2:C999, MATCH(C1464,FieldDisagreements!A2:A999, 0)), "")</f>
        <v>effortless-owl</v>
      </c>
      <c r="I1464" s="3" t="str">
        <f>_xlfn.IFNA(INDEX(FieldDisagreements!D2:D999, MATCH(C1464,FieldDisagreements!A2:A999, 0)), "")</f>
        <v>SendIntents.IsSelfWitnessedDecision</v>
      </c>
      <c r="J1464" s="2" t="s">
        <v>1906</v>
      </c>
    </row>
    <row r="1465">
      <c r="A1465" s="2" t="s">
        <v>16726</v>
      </c>
      <c r="B1465" s="3" t="str">
        <f>_xlfn.CONCAT(C1465, " @ ", D1465)</f>
        <v>effortless-owl|SendIntents.IsSelfWitnessedDecision @ si-006</v>
      </c>
      <c r="C1465" s="2" t="s">
        <v>14920</v>
      </c>
      <c r="D1465" s="2" t="s">
        <v>8262</v>
      </c>
      <c r="E1465" s="2" t="s">
        <v>15035</v>
      </c>
      <c r="F1465" s="2" t="s">
        <v>15036</v>
      </c>
      <c r="G1465" s="2" t="s">
        <v>14591</v>
      </c>
      <c r="H1465" s="3" t="str">
        <f>_xlfn.IFNA(INDEX(FieldDisagreements!C2:C999, MATCH(C1465,FieldDisagreements!A2:A999, 0)), "")</f>
        <v>effortless-owl</v>
      </c>
      <c r="I1465" s="3" t="str">
        <f>_xlfn.IFNA(INDEX(FieldDisagreements!D2:D999, MATCH(C1465,FieldDisagreements!A2:A999, 0)), "")</f>
        <v>SendIntents.IsSelfWitnessedDecision</v>
      </c>
      <c r="J1465" s="2" t="s">
        <v>1906</v>
      </c>
    </row>
    <row r="1466">
      <c r="A1466" s="2" t="s">
        <v>16727</v>
      </c>
      <c r="B1466" s="3" t="str">
        <f>_xlfn.CONCAT(C1466, " @ ", D1466)</f>
        <v>effortless-owl|SendIntents.IsSelfWitnessedDecision @ si-007</v>
      </c>
      <c r="C1466" s="2" t="s">
        <v>14920</v>
      </c>
      <c r="D1466" s="2" t="s">
        <v>8263</v>
      </c>
      <c r="E1466" s="2" t="s">
        <v>15035</v>
      </c>
      <c r="F1466" s="2" t="s">
        <v>15036</v>
      </c>
      <c r="G1466" s="2" t="s">
        <v>14591</v>
      </c>
      <c r="H1466" s="3" t="str">
        <f>_xlfn.IFNA(INDEX(FieldDisagreements!C2:C999, MATCH(C1466,FieldDisagreements!A2:A999, 0)), "")</f>
        <v>effortless-owl</v>
      </c>
      <c r="I1466" s="3" t="str">
        <f>_xlfn.IFNA(INDEX(FieldDisagreements!D2:D999, MATCH(C1466,FieldDisagreements!A2:A999, 0)), "")</f>
        <v>SendIntents.IsSelfWitnessedDecision</v>
      </c>
      <c r="J1466" s="2" t="s">
        <v>1906</v>
      </c>
    </row>
    <row r="1467">
      <c r="A1467" s="2" t="s">
        <v>16728</v>
      </c>
      <c r="B1467" s="3" t="str">
        <f>_xlfn.CONCAT(C1467, " @ ", D1467)</f>
        <v>effortless-owl|SendIntents.IsUnreportedRefusalOnMyRules @ si-003</v>
      </c>
      <c r="C1467" s="2" t="s">
        <v>14921</v>
      </c>
      <c r="D1467" s="2" t="s">
        <v>8257</v>
      </c>
      <c r="E1467" s="2" t="s">
        <v>15035</v>
      </c>
      <c r="F1467" s="2" t="s">
        <v>15036</v>
      </c>
      <c r="G1467" s="2" t="s">
        <v>14591</v>
      </c>
      <c r="H1467" s="3" t="str">
        <f>_xlfn.IFNA(INDEX(FieldDisagreements!C2:C999, MATCH(C1467,FieldDisagreements!A2:A999, 0)), "")</f>
        <v>effortless-owl</v>
      </c>
      <c r="I1467" s="3" t="str">
        <f>_xlfn.IFNA(INDEX(FieldDisagreements!D2:D999, MATCH(C1467,FieldDisagreements!A2:A999, 0)), "")</f>
        <v>SendIntents.IsUnreportedRefusalOnMyRules</v>
      </c>
      <c r="J1467" s="2" t="s">
        <v>1906</v>
      </c>
    </row>
    <row r="1468">
      <c r="A1468" s="2" t="s">
        <v>16729</v>
      </c>
      <c r="B1468" s="3" t="str">
        <f>_xlfn.CONCAT(C1468, " @ ", D1468)</f>
        <v>effortless-owl|SendIntents.IsUnreportedRefusalOnMyRules @ si-004</v>
      </c>
      <c r="C1468" s="2" t="s">
        <v>14921</v>
      </c>
      <c r="D1468" s="2" t="s">
        <v>8258</v>
      </c>
      <c r="E1468" s="2" t="s">
        <v>15035</v>
      </c>
      <c r="F1468" s="2" t="s">
        <v>15036</v>
      </c>
      <c r="G1468" s="2" t="s">
        <v>14591</v>
      </c>
      <c r="H1468" s="3" t="str">
        <f>_xlfn.IFNA(INDEX(FieldDisagreements!C2:C999, MATCH(C1468,FieldDisagreements!A2:A999, 0)), "")</f>
        <v>effortless-owl</v>
      </c>
      <c r="I1468" s="3" t="str">
        <f>_xlfn.IFNA(INDEX(FieldDisagreements!D2:D999, MATCH(C1468,FieldDisagreements!A2:A999, 0)), "")</f>
        <v>SendIntents.IsUnreportedRefusalOnMyRules</v>
      </c>
      <c r="J1468" s="2" t="s">
        <v>1906</v>
      </c>
    </row>
    <row r="1469">
      <c r="A1469" s="2" t="s">
        <v>16730</v>
      </c>
      <c r="B1469" s="3" t="str">
        <f>_xlfn.CONCAT(C1469, " @ ", D1469)</f>
        <v>effortless-owl|SendIntents.IsUnreportedRefusalOnMyRules @ si-005</v>
      </c>
      <c r="C1469" s="2" t="s">
        <v>14921</v>
      </c>
      <c r="D1469" s="2" t="s">
        <v>8260</v>
      </c>
      <c r="E1469" s="2" t="s">
        <v>15035</v>
      </c>
      <c r="F1469" s="2" t="s">
        <v>15036</v>
      </c>
      <c r="G1469" s="2" t="s">
        <v>14591</v>
      </c>
      <c r="H1469" s="3" t="str">
        <f>_xlfn.IFNA(INDEX(FieldDisagreements!C2:C999, MATCH(C1469,FieldDisagreements!A2:A999, 0)), "")</f>
        <v>effortless-owl</v>
      </c>
      <c r="I1469" s="3" t="str">
        <f>_xlfn.IFNA(INDEX(FieldDisagreements!D2:D999, MATCH(C1469,FieldDisagreements!A2:A999, 0)), "")</f>
        <v>SendIntents.IsUnreportedRefusalOnMyRules</v>
      </c>
      <c r="J1469" s="2" t="s">
        <v>1906</v>
      </c>
    </row>
    <row r="1470">
      <c r="A1470" s="2" t="s">
        <v>16731</v>
      </c>
      <c r="B1470" s="3" t="str">
        <f>_xlfn.CONCAT(C1470, " @ ", D1470)</f>
        <v>effortless-owl|SendIntents.WindowHasSinceReopened @ si-003</v>
      </c>
      <c r="C1470" s="2" t="s">
        <v>14922</v>
      </c>
      <c r="D1470" s="2" t="s">
        <v>8257</v>
      </c>
      <c r="E1470" s="2" t="s">
        <v>15035</v>
      </c>
      <c r="F1470" s="2" t="s">
        <v>15036</v>
      </c>
      <c r="G1470" s="2" t="s">
        <v>14591</v>
      </c>
      <c r="H1470" s="3" t="str">
        <f>_xlfn.IFNA(INDEX(FieldDisagreements!C2:C999, MATCH(C1470,FieldDisagreements!A2:A999, 0)), "")</f>
        <v>effortless-owl</v>
      </c>
      <c r="I1470" s="3" t="str">
        <f>_xlfn.IFNA(INDEX(FieldDisagreements!D2:D999, MATCH(C1470,FieldDisagreements!A2:A999, 0)), "")</f>
        <v>SendIntents.WindowHasSinceReopened</v>
      </c>
      <c r="J1470" s="2" t="s">
        <v>1906</v>
      </c>
    </row>
    <row r="1471">
      <c r="A1471" s="2" t="s">
        <v>16732</v>
      </c>
      <c r="B1471" s="3" t="str">
        <f>_xlfn.CONCAT(C1471, " @ ", D1471)</f>
        <v>effortless-owl|SendIntents.IsAbandonedDeferral @ si-003</v>
      </c>
      <c r="C1471" s="2" t="s">
        <v>14923</v>
      </c>
      <c r="D1471" s="2" t="s">
        <v>8257</v>
      </c>
      <c r="E1471" s="2" t="s">
        <v>15035</v>
      </c>
      <c r="F1471" s="2" t="s">
        <v>15036</v>
      </c>
      <c r="G1471" s="2" t="s">
        <v>14591</v>
      </c>
      <c r="H1471" s="3" t="str">
        <f>_xlfn.IFNA(INDEX(FieldDisagreements!C2:C999, MATCH(C1471,FieldDisagreements!A2:A999, 0)), "")</f>
        <v>effortless-owl</v>
      </c>
      <c r="I1471" s="3" t="str">
        <f>_xlfn.IFNA(INDEX(FieldDisagreements!D2:D999, MATCH(C1471,FieldDisagreements!A2:A999, 0)), "")</f>
        <v>SendIntents.IsAbandonedDeferral</v>
      </c>
      <c r="J1471" s="2" t="s">
        <v>1906</v>
      </c>
    </row>
    <row r="1472">
      <c r="A1472" s="2" t="s">
        <v>16733</v>
      </c>
      <c r="B1472" s="3" t="str">
        <f>_xlfn.CONCAT(C1472, " @ ", D1472)</f>
        <v>effortless-owl|SendIntents.IsApprovalOverriddenSilently @ si-004</v>
      </c>
      <c r="C1472" s="2" t="s">
        <v>14924</v>
      </c>
      <c r="D1472" s="2" t="s">
        <v>8258</v>
      </c>
      <c r="E1472" s="2" t="s">
        <v>15035</v>
      </c>
      <c r="F1472" s="2" t="s">
        <v>15036</v>
      </c>
      <c r="G1472" s="2" t="s">
        <v>14591</v>
      </c>
      <c r="H1472" s="3" t="str">
        <f>_xlfn.IFNA(INDEX(FieldDisagreements!C2:C999, MATCH(C1472,FieldDisagreements!A2:A999, 0)), "")</f>
        <v>effortless-owl</v>
      </c>
      <c r="I1472" s="3" t="str">
        <f>_xlfn.IFNA(INDEX(FieldDisagreements!D2:D999, MATCH(C1472,FieldDisagreements!A2:A999, 0)), "")</f>
        <v>SendIntents.IsApprovalOverriddenSilently</v>
      </c>
      <c r="J1472" s="2" t="s">
        <v>1906</v>
      </c>
    </row>
    <row r="1473">
      <c r="A1473" s="2" t="s">
        <v>16734</v>
      </c>
      <c r="B1473" s="3" t="str">
        <f>_xlfn.CONCAT(C1473, " @ ", D1473)</f>
        <v>effortless-owl|SendIntents.IsApprovalOverriddenSilently @ si-005</v>
      </c>
      <c r="C1473" s="2" t="s">
        <v>14924</v>
      </c>
      <c r="D1473" s="2" t="s">
        <v>8260</v>
      </c>
      <c r="E1473" s="2" t="s">
        <v>15035</v>
      </c>
      <c r="F1473" s="2" t="s">
        <v>15036</v>
      </c>
      <c r="G1473" s="2" t="s">
        <v>14591</v>
      </c>
      <c r="H1473" s="3" t="str">
        <f>_xlfn.IFNA(INDEX(FieldDisagreements!C2:C999, MATCH(C1473,FieldDisagreements!A2:A999, 0)), "")</f>
        <v>effortless-owl</v>
      </c>
      <c r="I1473" s="3" t="str">
        <f>_xlfn.IFNA(INDEX(FieldDisagreements!D2:D999, MATCH(C1473,FieldDisagreements!A2:A999, 0)), "")</f>
        <v>SendIntents.IsApprovalOverriddenSilently</v>
      </c>
      <c r="J1473" s="2" t="s">
        <v>1906</v>
      </c>
    </row>
    <row r="1474">
      <c r="A1474" s="2" t="s">
        <v>16735</v>
      </c>
      <c r="B1474" s="3" t="str">
        <f>_xlfn.CONCAT(C1474, " @ ", D1474)</f>
        <v>effortless-owl|AgentDecisionRecords.ReviewLatencyMinutes @ adr-close-extract-q2</v>
      </c>
      <c r="C1474" s="2" t="s">
        <v>14925</v>
      </c>
      <c r="D1474" s="2" t="s">
        <v>8269</v>
      </c>
      <c r="E1474" s="2" t="s">
        <v>15972</v>
      </c>
      <c r="F1474" s="2" t="s">
        <v>15036</v>
      </c>
      <c r="G1474" s="2" t="s">
        <v>14591</v>
      </c>
      <c r="H1474" s="3" t="str">
        <f>_xlfn.IFNA(INDEX(FieldDisagreements!C2:C999, MATCH(C1474,FieldDisagreements!A2:A999, 0)), "")</f>
        <v>effortless-owl</v>
      </c>
      <c r="I1474" s="3" t="str">
        <f>_xlfn.IFNA(INDEX(FieldDisagreements!D2:D999, MATCH(C1474,FieldDisagreements!A2:A999, 0)), "")</f>
        <v>AgentDecisionRecords.ReviewLatencyMinutes</v>
      </c>
      <c r="J1474" s="2" t="s">
        <v>1906</v>
      </c>
    </row>
    <row r="1475">
      <c r="A1475" s="2" t="s">
        <v>16736</v>
      </c>
      <c r="B1475" s="3" t="str">
        <f>_xlfn.CONCAT(C1475, " @ ", D1475)</f>
        <v>effortless-owl|AgentDecisionRecords.ReviewLatencyMinutes @ adr-close-freeze-q2</v>
      </c>
      <c r="C1475" s="2" t="s">
        <v>14925</v>
      </c>
      <c r="D1475" s="2" t="s">
        <v>8272</v>
      </c>
      <c r="E1475" s="2" t="s">
        <v>15974</v>
      </c>
      <c r="F1475" s="2" t="s">
        <v>15036</v>
      </c>
      <c r="G1475" s="2" t="s">
        <v>14591</v>
      </c>
      <c r="H1475" s="3" t="str">
        <f>_xlfn.IFNA(INDEX(FieldDisagreements!C2:C999, MATCH(C1475,FieldDisagreements!A2:A999, 0)), "")</f>
        <v>effortless-owl</v>
      </c>
      <c r="I1475" s="3" t="str">
        <f>_xlfn.IFNA(INDEX(FieldDisagreements!D2:D999, MATCH(C1475,FieldDisagreements!A2:A999, 0)), "")</f>
        <v>AgentDecisionRecords.ReviewLatencyMinutes</v>
      </c>
      <c r="J1475" s="2" t="s">
        <v>1906</v>
      </c>
    </row>
    <row r="1476">
      <c r="A1476" s="2" t="s">
        <v>16737</v>
      </c>
      <c r="B1476" s="3" t="str">
        <f>_xlfn.CONCAT(C1476, " @ ", D1476)</f>
        <v>effortless-owl|AgentDecisionRecords.ReviewLatencyMinutes @ adr-close-post-q2</v>
      </c>
      <c r="C1476" s="2" t="s">
        <v>14925</v>
      </c>
      <c r="D1476" s="2" t="s">
        <v>8264</v>
      </c>
      <c r="E1476" s="2" t="s">
        <v>15107</v>
      </c>
      <c r="F1476" s="2" t="s">
        <v>15036</v>
      </c>
      <c r="G1476" s="2" t="s">
        <v>14591</v>
      </c>
      <c r="H1476" s="3" t="str">
        <f>_xlfn.IFNA(INDEX(FieldDisagreements!C2:C999, MATCH(C1476,FieldDisagreements!A2:A999, 0)), "")</f>
        <v>effortless-owl</v>
      </c>
      <c r="I1476" s="3" t="str">
        <f>_xlfn.IFNA(INDEX(FieldDisagreements!D2:D999, MATCH(C1476,FieldDisagreements!A2:A999, 0)), "")</f>
        <v>AgentDecisionRecords.ReviewLatencyMinutes</v>
      </c>
      <c r="J1476" s="2" t="s">
        <v>1906</v>
      </c>
    </row>
    <row r="1477">
      <c r="A1477" s="2" t="s">
        <v>16738</v>
      </c>
      <c r="B1477" s="3" t="str">
        <f>_xlfn.CONCAT(C1477, " @ ", D1477)</f>
        <v>effortless-owl|DeliveredCommunications.Name @ dc-hr4821-email-001</v>
      </c>
      <c r="C1477" s="2" t="s">
        <v>14926</v>
      </c>
      <c r="D1477" s="2" t="s">
        <v>8274</v>
      </c>
      <c r="E1477" s="2" t="s">
        <v>15977</v>
      </c>
      <c r="F1477" s="2" t="s">
        <v>15036</v>
      </c>
      <c r="G1477" s="2" t="s">
        <v>14591</v>
      </c>
      <c r="H1477" s="3" t="str">
        <f>_xlfn.IFNA(INDEX(FieldDisagreements!C2:C999, MATCH(C1477,FieldDisagreements!A2:A999, 0)), "")</f>
        <v>effortless-owl</v>
      </c>
      <c r="I1477" s="3" t="str">
        <f>_xlfn.IFNA(INDEX(FieldDisagreements!D2:D999, MATCH(C1477,FieldDisagreements!A2:A999, 0)), "")</f>
        <v>DeliveredCommunications.Name</v>
      </c>
      <c r="J1477" s="2" t="s">
        <v>1906</v>
      </c>
    </row>
    <row r="1478">
      <c r="A1478" s="2" t="s">
        <v>16739</v>
      </c>
      <c r="B1478" s="3" t="str">
        <f>_xlfn.CONCAT(C1478, " @ ", D1478)</f>
        <v>effortless-owl|DeliveredCommunications.ContentMatchesApproval @ dc-hr4821-email-001</v>
      </c>
      <c r="C1478" s="2" t="s">
        <v>14927</v>
      </c>
      <c r="D1478" s="2" t="s">
        <v>8274</v>
      </c>
      <c r="E1478" s="2" t="s">
        <v>15035</v>
      </c>
      <c r="F1478" s="2" t="s">
        <v>15036</v>
      </c>
      <c r="G1478" s="2" t="s">
        <v>14591</v>
      </c>
      <c r="H1478" s="3" t="str">
        <f>_xlfn.IFNA(INDEX(FieldDisagreements!C2:C999, MATCH(C1478,FieldDisagreements!A2:A999, 0)), "")</f>
        <v>effortless-owl</v>
      </c>
      <c r="I1478" s="3" t="str">
        <f>_xlfn.IFNA(INDEX(FieldDisagreements!D2:D999, MATCH(C1478,FieldDisagreements!A2:A999, 0)), "")</f>
        <v>DeliveredCommunications.ContentMatchesApproval</v>
      </c>
      <c r="J1478" s="2" t="s">
        <v>1906</v>
      </c>
    </row>
    <row r="1479">
      <c r="A1479" s="2" t="s">
        <v>16740</v>
      </c>
      <c r="B1479" s="3" t="str">
        <f>_xlfn.CONCAT(C1479, " @ ", D1479)</f>
        <v>effortless-owl|AppRoleProfiles.RouteCount @ profile-cfo</v>
      </c>
      <c r="C1479" s="2" t="s">
        <v>14928</v>
      </c>
      <c r="D1479" s="2" t="s">
        <v>8284</v>
      </c>
      <c r="E1479" s="2" t="s">
        <v>16000</v>
      </c>
      <c r="F1479" s="2" t="s">
        <v>935</v>
      </c>
      <c r="G1479" s="2" t="s">
        <v>14591</v>
      </c>
      <c r="H1479" s="3" t="str">
        <f>_xlfn.IFNA(INDEX(FieldDisagreements!C2:C999, MATCH(C1479,FieldDisagreements!A2:A999, 0)), "")</f>
        <v>effortless-owl</v>
      </c>
      <c r="I1479" s="3" t="str">
        <f>_xlfn.IFNA(INDEX(FieldDisagreements!D2:D999, MATCH(C1479,FieldDisagreements!A2:A999, 0)), "")</f>
        <v>AppRoleProfiles.RouteCount</v>
      </c>
      <c r="J1479" s="2" t="s">
        <v>1906</v>
      </c>
    </row>
    <row r="1480">
      <c r="A1480" s="2" t="s">
        <v>16741</v>
      </c>
      <c r="B1480" s="3" t="str">
        <f>_xlfn.CONCAT(C1480, " @ ", D1480)</f>
        <v>effortless-owl|AppRoleProfiles.RouteCount @ profile-close-automation</v>
      </c>
      <c r="C1480" s="2" t="s">
        <v>14928</v>
      </c>
      <c r="D1480" s="2" t="s">
        <v>8325</v>
      </c>
      <c r="E1480" s="2" t="s">
        <v>16015</v>
      </c>
      <c r="F1480" s="2" t="s">
        <v>935</v>
      </c>
      <c r="G1480" s="2" t="s">
        <v>14591</v>
      </c>
      <c r="H1480" s="3" t="str">
        <f>_xlfn.IFNA(INDEX(FieldDisagreements!C2:C999, MATCH(C1480,FieldDisagreements!A2:A999, 0)), "")</f>
        <v>effortless-owl</v>
      </c>
      <c r="I1480" s="3" t="str">
        <f>_xlfn.IFNA(INDEX(FieldDisagreements!D2:D999, MATCH(C1480,FieldDisagreements!A2:A999, 0)), "")</f>
        <v>AppRoleProfiles.RouteCount</v>
      </c>
      <c r="J1480" s="2" t="s">
        <v>1906</v>
      </c>
    </row>
    <row r="1481">
      <c r="A1481" s="2" t="s">
        <v>16742</v>
      </c>
      <c r="B1481" s="3" t="str">
        <f>_xlfn.CONCAT(C1481, " @ ", D1481)</f>
        <v>effortless-owl|AppRoleProfiles.RouteCount @ profile-communications-manager</v>
      </c>
      <c r="C1481" s="2" t="s">
        <v>14928</v>
      </c>
      <c r="D1481" s="2" t="s">
        <v>8310</v>
      </c>
      <c r="E1481" s="2" t="s">
        <v>16008</v>
      </c>
      <c r="F1481" s="2" t="s">
        <v>935</v>
      </c>
      <c r="G1481" s="2" t="s">
        <v>14591</v>
      </c>
      <c r="H1481" s="3" t="str">
        <f>_xlfn.IFNA(INDEX(FieldDisagreements!C2:C999, MATCH(C1481,FieldDisagreements!A2:A999, 0)), "")</f>
        <v>effortless-owl</v>
      </c>
      <c r="I1481" s="3" t="str">
        <f>_xlfn.IFNA(INDEX(FieldDisagreements!D2:D999, MATCH(C1481,FieldDisagreements!A2:A999, 0)), "")</f>
        <v>AppRoleProfiles.RouteCount</v>
      </c>
      <c r="J1481" s="2" t="s">
        <v>1906</v>
      </c>
    </row>
    <row r="1482">
      <c r="A1482" s="2" t="s">
        <v>16743</v>
      </c>
      <c r="B1482" s="3" t="str">
        <f>_xlfn.CONCAT(C1482, " @ ", D1482)</f>
        <v>effortless-owl|AppRoleProfiles.RouteCount @ profile-controller</v>
      </c>
      <c r="C1482" s="2" t="s">
        <v>14928</v>
      </c>
      <c r="D1482" s="2" t="s">
        <v>8290</v>
      </c>
      <c r="E1482" s="2" t="s">
        <v>15761</v>
      </c>
      <c r="F1482" s="2" t="s">
        <v>935</v>
      </c>
      <c r="G1482" s="2" t="s">
        <v>14591</v>
      </c>
      <c r="H1482" s="3" t="str">
        <f>_xlfn.IFNA(INDEX(FieldDisagreements!C2:C999, MATCH(C1482,FieldDisagreements!A2:A999, 0)), "")</f>
        <v>effortless-owl</v>
      </c>
      <c r="I1482" s="3" t="str">
        <f>_xlfn.IFNA(INDEX(FieldDisagreements!D2:D999, MATCH(C1482,FieldDisagreements!A2:A999, 0)), "")</f>
        <v>AppRoleProfiles.RouteCount</v>
      </c>
      <c r="J1482" s="2" t="s">
        <v>1906</v>
      </c>
    </row>
    <row r="1483">
      <c r="A1483" s="2" t="s">
        <v>16744</v>
      </c>
      <c r="B1483" s="3" t="str">
        <f>_xlfn.CONCAT(C1483, " @ ", D1483)</f>
        <v>effortless-owl|AppRoleProfiles.RouteCount @ profile-employment-counsel</v>
      </c>
      <c r="C1483" s="2" t="s">
        <v>14928</v>
      </c>
      <c r="D1483" s="2" t="s">
        <v>8305</v>
      </c>
      <c r="E1483" s="2" t="s">
        <v>16015</v>
      </c>
      <c r="F1483" s="2" t="s">
        <v>935</v>
      </c>
      <c r="G1483" s="2" t="s">
        <v>14591</v>
      </c>
      <c r="H1483" s="3" t="str">
        <f>_xlfn.IFNA(INDEX(FieldDisagreements!C2:C999, MATCH(C1483,FieldDisagreements!A2:A999, 0)), "")</f>
        <v>effortless-owl</v>
      </c>
      <c r="I1483" s="3" t="str">
        <f>_xlfn.IFNA(INDEX(FieldDisagreements!D2:D999, MATCH(C1483,FieldDisagreements!A2:A999, 0)), "")</f>
        <v>AppRoleProfiles.RouteCount</v>
      </c>
      <c r="J1483" s="2" t="s">
        <v>1906</v>
      </c>
    </row>
    <row r="1484">
      <c r="A1484" s="2" t="s">
        <v>16745</v>
      </c>
      <c r="B1484" s="3" t="str">
        <f>_xlfn.CONCAT(C1484, " @ ", D1484)</f>
        <v>effortless-owl|AppRoleProfiles.RouteCount @ profile-finance-analyst</v>
      </c>
      <c r="C1484" s="2" t="s">
        <v>14928</v>
      </c>
      <c r="D1484" s="2" t="s">
        <v>8295</v>
      </c>
      <c r="E1484" s="2" t="s">
        <v>16008</v>
      </c>
      <c r="F1484" s="2" t="s">
        <v>935</v>
      </c>
      <c r="G1484" s="2" t="s">
        <v>14591</v>
      </c>
      <c r="H1484" s="3" t="str">
        <f>_xlfn.IFNA(INDEX(FieldDisagreements!C2:C999, MATCH(C1484,FieldDisagreements!A2:A999, 0)), "")</f>
        <v>effortless-owl</v>
      </c>
      <c r="I1484" s="3" t="str">
        <f>_xlfn.IFNA(INDEX(FieldDisagreements!D2:D999, MATCH(C1484,FieldDisagreements!A2:A999, 0)), "")</f>
        <v>AppRoleProfiles.RouteCount</v>
      </c>
      <c r="J1484" s="2" t="s">
        <v>1906</v>
      </c>
    </row>
    <row r="1485">
      <c r="A1485" s="2" t="s">
        <v>16746</v>
      </c>
      <c r="B1485" s="3" t="str">
        <f>_xlfn.CONCAT(C1485, " @ ", D1485)</f>
        <v>effortless-owl|AppRoleProfiles.RouteCount @ profile-hr-policy-owner</v>
      </c>
      <c r="C1485" s="2" t="s">
        <v>14928</v>
      </c>
      <c r="D1485" s="2" t="s">
        <v>8300</v>
      </c>
      <c r="E1485" s="2" t="s">
        <v>15761</v>
      </c>
      <c r="F1485" s="2" t="s">
        <v>935</v>
      </c>
      <c r="G1485" s="2" t="s">
        <v>14591</v>
      </c>
      <c r="H1485" s="3" t="str">
        <f>_xlfn.IFNA(INDEX(FieldDisagreements!C2:C999, MATCH(C1485,FieldDisagreements!A2:A999, 0)), "")</f>
        <v>effortless-owl</v>
      </c>
      <c r="I1485" s="3" t="str">
        <f>_xlfn.IFNA(INDEX(FieldDisagreements!D2:D999, MATCH(C1485,FieldDisagreements!A2:A999, 0)), "")</f>
        <v>AppRoleProfiles.RouteCount</v>
      </c>
      <c r="J1485" s="2" t="s">
        <v>1906</v>
      </c>
    </row>
    <row r="1486">
      <c r="A1486" s="2" t="s">
        <v>16747</v>
      </c>
      <c r="B1486" s="3" t="str">
        <f>_xlfn.CONCAT(C1486, " @ ", D1486)</f>
        <v>effortless-owl|AppRoleProfiles.RouteCount @ profile-knowledge-authority</v>
      </c>
      <c r="C1486" s="2" t="s">
        <v>14928</v>
      </c>
      <c r="D1486" s="2" t="s">
        <v>8320</v>
      </c>
      <c r="E1486" s="2" t="s">
        <v>16008</v>
      </c>
      <c r="F1486" s="2" t="s">
        <v>935</v>
      </c>
      <c r="G1486" s="2" t="s">
        <v>14591</v>
      </c>
      <c r="H1486" s="3" t="str">
        <f>_xlfn.IFNA(INDEX(FieldDisagreements!C2:C999, MATCH(C1486,FieldDisagreements!A2:A999, 0)), "")</f>
        <v>effortless-owl</v>
      </c>
      <c r="I1486" s="3" t="str">
        <f>_xlfn.IFNA(INDEX(FieldDisagreements!D2:D999, MATCH(C1486,FieldDisagreements!A2:A999, 0)), "")</f>
        <v>AppRoleProfiles.RouteCount</v>
      </c>
      <c r="J1486" s="2" t="s">
        <v>1906</v>
      </c>
    </row>
    <row r="1487">
      <c r="A1487" s="2" t="s">
        <v>16748</v>
      </c>
      <c r="B1487" s="3" t="str">
        <f>_xlfn.CONCAT(C1487, " @ ", D1487)</f>
        <v>effortless-owl|AppRoleProfiles.RouteCount @ profile-notification-publisher</v>
      </c>
      <c r="C1487" s="2" t="s">
        <v>14928</v>
      </c>
      <c r="D1487" s="2" t="s">
        <v>8341</v>
      </c>
      <c r="E1487" s="2" t="s">
        <v>16008</v>
      </c>
      <c r="F1487" s="2" t="s">
        <v>935</v>
      </c>
      <c r="G1487" s="2" t="s">
        <v>14591</v>
      </c>
      <c r="H1487" s="3" t="str">
        <f>_xlfn.IFNA(INDEX(FieldDisagreements!C2:C999, MATCH(C1487,FieldDisagreements!A2:A999, 0)), "")</f>
        <v>effortless-owl</v>
      </c>
      <c r="I1487" s="3" t="str">
        <f>_xlfn.IFNA(INDEX(FieldDisagreements!D2:D999, MATCH(C1487,FieldDisagreements!A2:A999, 0)), "")</f>
        <v>AppRoleProfiles.RouteCount</v>
      </c>
      <c r="J1487" s="2" t="s">
        <v>1906</v>
      </c>
    </row>
    <row r="1488">
      <c r="A1488" s="2" t="s">
        <v>16749</v>
      </c>
      <c r="B1488" s="3" t="str">
        <f>_xlfn.CONCAT(C1488, " @ ", D1488)</f>
        <v>effortless-owl|AppRoleProfiles.RouteCount @ profile-policy-drafting-agent</v>
      </c>
      <c r="C1488" s="2" t="s">
        <v>14928</v>
      </c>
      <c r="D1488" s="2" t="s">
        <v>8336</v>
      </c>
      <c r="E1488" s="2" t="s">
        <v>16015</v>
      </c>
      <c r="F1488" s="2" t="s">
        <v>935</v>
      </c>
      <c r="G1488" s="2" t="s">
        <v>14591</v>
      </c>
      <c r="H1488" s="3" t="str">
        <f>_xlfn.IFNA(INDEX(FieldDisagreements!C2:C999, MATCH(C1488,FieldDisagreements!A2:A999, 0)), "")</f>
        <v>effortless-owl</v>
      </c>
      <c r="I1488" s="3" t="str">
        <f>_xlfn.IFNA(INDEX(FieldDisagreements!D2:D999, MATCH(C1488,FieldDisagreements!A2:A999, 0)), "")</f>
        <v>AppRoleProfiles.RouteCount</v>
      </c>
      <c r="J1488" s="2" t="s">
        <v>1906</v>
      </c>
    </row>
    <row r="1489">
      <c r="A1489" s="2" t="s">
        <v>16750</v>
      </c>
      <c r="B1489" s="3" t="str">
        <f>_xlfn.CONCAT(C1489, " @ ", D1489)</f>
        <v>effortless-owl|AppRoleProfiles.RouteCount @ profile-process-steward</v>
      </c>
      <c r="C1489" s="2" t="s">
        <v>14928</v>
      </c>
      <c r="D1489" s="2" t="s">
        <v>8315</v>
      </c>
      <c r="E1489" s="2" t="s">
        <v>16008</v>
      </c>
      <c r="F1489" s="2" t="s">
        <v>935</v>
      </c>
      <c r="G1489" s="2" t="s">
        <v>14591</v>
      </c>
      <c r="H1489" s="3" t="str">
        <f>_xlfn.IFNA(INDEX(FieldDisagreements!C2:C999, MATCH(C1489,FieldDisagreements!A2:A999, 0)), "")</f>
        <v>effortless-owl</v>
      </c>
      <c r="I1489" s="3" t="str">
        <f>_xlfn.IFNA(INDEX(FieldDisagreements!D2:D999, MATCH(C1489,FieldDisagreements!A2:A999, 0)), "")</f>
        <v>AppRoleProfiles.RouteCount</v>
      </c>
      <c r="J1489" s="2" t="s">
        <v>1906</v>
      </c>
    </row>
    <row r="1490">
      <c r="A1490" s="2" t="s">
        <v>16751</v>
      </c>
      <c r="B1490" s="3" t="str">
        <f>_xlfn.CONCAT(C1490, " @ ", D1490)</f>
        <v>effortless-owl|AppRoleProfiles.RouteCount @ profile-variance-review-agent</v>
      </c>
      <c r="C1490" s="2" t="s">
        <v>14928</v>
      </c>
      <c r="D1490" s="2" t="s">
        <v>8331</v>
      </c>
      <c r="E1490" s="2" t="s">
        <v>16008</v>
      </c>
      <c r="F1490" s="2" t="s">
        <v>935</v>
      </c>
      <c r="G1490" s="2" t="s">
        <v>14591</v>
      </c>
      <c r="H1490" s="3" t="str">
        <f>_xlfn.IFNA(INDEX(FieldDisagreements!C2:C999, MATCH(C1490,FieldDisagreements!A2:A999, 0)), "")</f>
        <v>effortless-owl</v>
      </c>
      <c r="I1490" s="3" t="str">
        <f>_xlfn.IFNA(INDEX(FieldDisagreements!D2:D999, MATCH(C1490,FieldDisagreements!A2:A999, 0)), "")</f>
        <v>AppRoleProfiles.RouteCount</v>
      </c>
      <c r="J1490" s="2" t="s">
        <v>1906</v>
      </c>
    </row>
    <row r="1491">
      <c r="A1491" s="2" t="s">
        <v>16752</v>
      </c>
      <c r="B1491" s="3" t="str">
        <f>_xlfn.CONCAT(C1491, " @ ", D1491)</f>
        <v>effortless-owl|AccessDenialTests.Name @ deny-cfo-send-intents</v>
      </c>
      <c r="C1491" s="2" t="s">
        <v>14929</v>
      </c>
      <c r="D1491" s="2" t="s">
        <v>13830</v>
      </c>
      <c r="E1491" s="2" t="s">
        <v>16753</v>
      </c>
      <c r="F1491" s="2" t="s">
        <v>15036</v>
      </c>
      <c r="G1491" s="2" t="s">
        <v>14591</v>
      </c>
      <c r="H1491" s="3" t="str">
        <f>_xlfn.IFNA(INDEX(FieldDisagreements!C2:C999, MATCH(C1491,FieldDisagreements!A2:A999, 0)), "")</f>
        <v>effortless-owl</v>
      </c>
      <c r="I1491" s="3" t="str">
        <f>_xlfn.IFNA(INDEX(FieldDisagreements!D2:D999, MATCH(C1491,FieldDisagreements!A2:A999, 0)), "")</f>
        <v>AccessDenialTests.Name</v>
      </c>
      <c r="J1491" s="2" t="s">
        <v>1906</v>
      </c>
    </row>
    <row r="1492">
      <c r="A1492" s="2" t="s">
        <v>16754</v>
      </c>
      <c r="B1492" s="3" t="str">
        <f>_xlfn.CONCAT(C1492, " @ ", D1492)</f>
        <v>effortless-owl|AccessDenialTests.Name @ deny-cfo-step-executions</v>
      </c>
      <c r="C1492" s="2" t="s">
        <v>14929</v>
      </c>
      <c r="D1492" s="2" t="s">
        <v>13832</v>
      </c>
      <c r="E1492" s="2" t="s">
        <v>16753</v>
      </c>
      <c r="F1492" s="2" t="s">
        <v>15036</v>
      </c>
      <c r="G1492" s="2" t="s">
        <v>14591</v>
      </c>
      <c r="H1492" s="3" t="str">
        <f>_xlfn.IFNA(INDEX(FieldDisagreements!C2:C999, MATCH(C1492,FieldDisagreements!A2:A999, 0)), "")</f>
        <v>effortless-owl</v>
      </c>
      <c r="I1492" s="3" t="str">
        <f>_xlfn.IFNA(INDEX(FieldDisagreements!D2:D999, MATCH(C1492,FieldDisagreements!A2:A999, 0)), "")</f>
        <v>AccessDenialTests.Name</v>
      </c>
      <c r="J1492" s="2" t="s">
        <v>1906</v>
      </c>
    </row>
    <row r="1493">
      <c r="A1493" s="2" t="s">
        <v>16755</v>
      </c>
      <c r="B1493" s="3" t="str">
        <f>_xlfn.CONCAT(C1493, " @ ", D1493)</f>
        <v>effortless-owl|AccessDenialTests.Name @ deny-close-automation-change-requests</v>
      </c>
      <c r="C1493" s="2" t="s">
        <v>14929</v>
      </c>
      <c r="D1493" s="2" t="s">
        <v>13836</v>
      </c>
      <c r="E1493" s="2" t="s">
        <v>16756</v>
      </c>
      <c r="F1493" s="2" t="s">
        <v>15036</v>
      </c>
      <c r="G1493" s="2" t="s">
        <v>14591</v>
      </c>
      <c r="H1493" s="3" t="str">
        <f>_xlfn.IFNA(INDEX(FieldDisagreements!C2:C999, MATCH(C1493,FieldDisagreements!A2:A999, 0)), "")</f>
        <v>effortless-owl</v>
      </c>
      <c r="I1493" s="3" t="str">
        <f>_xlfn.IFNA(INDEX(FieldDisagreements!D2:D999, MATCH(C1493,FieldDisagreements!A2:A999, 0)), "")</f>
        <v>AccessDenialTests.Name</v>
      </c>
      <c r="J1493" s="2" t="s">
        <v>1906</v>
      </c>
    </row>
    <row r="1494">
      <c r="A1494" s="2" t="s">
        <v>16757</v>
      </c>
      <c r="B1494" s="3" t="str">
        <f>_xlfn.CONCAT(C1494, " @ ", D1494)</f>
        <v>effortless-owl|AccessDenialTests.Name @ deny-close-automation-recipients</v>
      </c>
      <c r="C1494" s="2" t="s">
        <v>14929</v>
      </c>
      <c r="D1494" s="2" t="s">
        <v>13834</v>
      </c>
      <c r="E1494" s="2" t="s">
        <v>16756</v>
      </c>
      <c r="F1494" s="2" t="s">
        <v>15036</v>
      </c>
      <c r="G1494" s="2" t="s">
        <v>14591</v>
      </c>
      <c r="H1494" s="3" t="str">
        <f>_xlfn.IFNA(INDEX(FieldDisagreements!C2:C999, MATCH(C1494,FieldDisagreements!A2:A999, 0)), "")</f>
        <v>effortless-owl</v>
      </c>
      <c r="I1494" s="3" t="str">
        <f>_xlfn.IFNA(INDEX(FieldDisagreements!D2:D999, MATCH(C1494,FieldDisagreements!A2:A999, 0)), "")</f>
        <v>AccessDenialTests.Name</v>
      </c>
      <c r="J1494" s="2" t="s">
        <v>1906</v>
      </c>
    </row>
    <row r="1495">
      <c r="A1495" s="2" t="s">
        <v>16758</v>
      </c>
      <c r="B1495" s="3" t="str">
        <f>_xlfn.CONCAT(C1495, " @ ", D1495)</f>
        <v>effortless-owl|AccessDenialTests.Name @ deny-employment-counsel-step-executions</v>
      </c>
      <c r="C1495" s="2" t="s">
        <v>14929</v>
      </c>
      <c r="D1495" s="2" t="s">
        <v>13842</v>
      </c>
      <c r="E1495" s="2" t="s">
        <v>16759</v>
      </c>
      <c r="F1495" s="2" t="s">
        <v>15036</v>
      </c>
      <c r="G1495" s="2" t="s">
        <v>14591</v>
      </c>
      <c r="H1495" s="3" t="str">
        <f>_xlfn.IFNA(INDEX(FieldDisagreements!C2:C999, MATCH(C1495,FieldDisagreements!A2:A999, 0)), "")</f>
        <v>effortless-owl</v>
      </c>
      <c r="I1495" s="3" t="str">
        <f>_xlfn.IFNA(INDEX(FieldDisagreements!D2:D999, MATCH(C1495,FieldDisagreements!A2:A999, 0)), "")</f>
        <v>AccessDenialTests.Name</v>
      </c>
      <c r="J1495" s="2" t="s">
        <v>1906</v>
      </c>
    </row>
    <row r="1496">
      <c r="A1496" s="2" t="s">
        <v>16760</v>
      </c>
      <c r="B1496" s="3" t="str">
        <f>_xlfn.CONCAT(C1496, " @ ", D1496)</f>
        <v>effortless-owl|AccessDenialTests.Name @ deny-notification-publisher-knowledge-fragments</v>
      </c>
      <c r="C1496" s="2" t="s">
        <v>14929</v>
      </c>
      <c r="D1496" s="2" t="s">
        <v>13840</v>
      </c>
      <c r="E1496" s="2" t="s">
        <v>16761</v>
      </c>
      <c r="F1496" s="2" t="s">
        <v>15036</v>
      </c>
      <c r="G1496" s="2" t="s">
        <v>14591</v>
      </c>
      <c r="H1496" s="3" t="str">
        <f>_xlfn.IFNA(INDEX(FieldDisagreements!C2:C999, MATCH(C1496,FieldDisagreements!A2:A999, 0)), "")</f>
        <v>effortless-owl</v>
      </c>
      <c r="I1496" s="3" t="str">
        <f>_xlfn.IFNA(INDEX(FieldDisagreements!D2:D999, MATCH(C1496,FieldDisagreements!A2:A999, 0)), "")</f>
        <v>AccessDenialTests.Name</v>
      </c>
      <c r="J1496" s="2" t="s">
        <v>1906</v>
      </c>
    </row>
    <row r="1497">
      <c r="A1497" s="2" t="s">
        <v>16762</v>
      </c>
      <c r="B1497" s="3" t="str">
        <f>_xlfn.CONCAT(C1497, " @ ", D1497)</f>
        <v>effortless-owl|AccessDenialTests.Name @ deny-policy-drafting-agent-recipients</v>
      </c>
      <c r="C1497" s="2" t="s">
        <v>14929</v>
      </c>
      <c r="D1497" s="2" t="s">
        <v>13838</v>
      </c>
      <c r="E1497" s="2" t="s">
        <v>16763</v>
      </c>
      <c r="F1497" s="2" t="s">
        <v>15036</v>
      </c>
      <c r="G1497" s="2" t="s">
        <v>14591</v>
      </c>
      <c r="H1497" s="3" t="str">
        <f>_xlfn.IFNA(INDEX(FieldDisagreements!C2:C999, MATCH(C1497,FieldDisagreements!A2:A999, 0)), "")</f>
        <v>effortless-owl</v>
      </c>
      <c r="I1497" s="3" t="str">
        <f>_xlfn.IFNA(INDEX(FieldDisagreements!D2:D999, MATCH(C1497,FieldDisagreements!A2:A999, 0)), "")</f>
        <v>AccessDenialTests.Name</v>
      </c>
      <c r="J1497" s="2" t="s">
        <v>1906</v>
      </c>
    </row>
    <row r="1498">
      <c r="A1498" s="2" t="s">
        <v>16764</v>
      </c>
      <c r="B1498" s="3" t="str">
        <f>_xlfn.CONCAT(C1498, " @ ", D1498)</f>
        <v>effortless-owl|AccessDenialTests.Name @ deny-variance-review-agent-recipients</v>
      </c>
      <c r="C1498" s="2" t="s">
        <v>14929</v>
      </c>
      <c r="D1498" s="2" t="s">
        <v>13844</v>
      </c>
      <c r="E1498" s="2" t="s">
        <v>16765</v>
      </c>
      <c r="F1498" s="2" t="s">
        <v>15036</v>
      </c>
      <c r="G1498" s="2" t="s">
        <v>14591</v>
      </c>
      <c r="H1498" s="3" t="str">
        <f>_xlfn.IFNA(INDEX(FieldDisagreements!C2:C999, MATCH(C1498,FieldDisagreements!A2:A999, 0)), "")</f>
        <v>effortless-owl</v>
      </c>
      <c r="I1498" s="3" t="str">
        <f>_xlfn.IFNA(INDEX(FieldDisagreements!D2:D999, MATCH(C1498,FieldDisagreements!A2:A999, 0)), "")</f>
        <v>AccessDenialTests.Name</v>
      </c>
      <c r="J1498" s="2" t="s">
        <v>1906</v>
      </c>
    </row>
    <row r="1499">
      <c r="A1499" s="2" t="s">
        <v>16766</v>
      </c>
      <c r="B1499" s="3" t="str">
        <f>_xlfn.CONCAT(C1499, " @ ", D1499)</f>
        <v>effortless-python|EvaluationContexts.Name @ eval-current</v>
      </c>
      <c r="C1499" s="2" t="s">
        <v>14930</v>
      </c>
      <c r="D1499" s="2" t="s">
        <v>95</v>
      </c>
      <c r="E1499" s="2" t="s">
        <v>14993</v>
      </c>
      <c r="F1499" s="2" t="s">
        <v>14994</v>
      </c>
      <c r="G1499" s="2" t="s">
        <v>14591</v>
      </c>
      <c r="H1499" s="3" t="str">
        <f>_xlfn.IFNA(INDEX(FieldDisagreements!C2:C999, MATCH(C1499,FieldDisagreements!A2:A999, 0)), "")</f>
        <v>effortless-python</v>
      </c>
      <c r="I1499" s="3" t="str">
        <f>_xlfn.IFNA(INDEX(FieldDisagreements!D2:D999, MATCH(C1499,FieldDisagreements!A2:A999, 0)), "")</f>
        <v>EvaluationContexts.Name</v>
      </c>
      <c r="J1499" s="2" t="s">
        <v>1906</v>
      </c>
    </row>
    <row r="1500">
      <c r="A1500" s="2" t="s">
        <v>16767</v>
      </c>
      <c r="B1500" s="3" t="str">
        <f>_xlfn.CONCAT(C1500, " @ ", D1500)</f>
        <v>effortless-python|RoleAssignments.Name @ ra-authority-2026</v>
      </c>
      <c r="C1500" s="2" t="s">
        <v>14931</v>
      </c>
      <c r="D1500" s="2" t="s">
        <v>251</v>
      </c>
      <c r="E1500" s="2" t="s">
        <v>14996</v>
      </c>
      <c r="F1500" s="2" t="s">
        <v>14997</v>
      </c>
      <c r="G1500" s="2" t="s">
        <v>14591</v>
      </c>
      <c r="H1500" s="3" t="str">
        <f>_xlfn.IFNA(INDEX(FieldDisagreements!C2:C999, MATCH(C1500,FieldDisagreements!A2:A999, 0)), "")</f>
        <v>effortless-python</v>
      </c>
      <c r="I1500" s="3" t="str">
        <f>_xlfn.IFNA(INDEX(FieldDisagreements!D2:D999, MATCH(C1500,FieldDisagreements!A2:A999, 0)), "")</f>
        <v>RoleAssignments.Name</v>
      </c>
      <c r="J1500" s="2" t="s">
        <v>1906</v>
      </c>
    </row>
    <row r="1501">
      <c r="A1501" s="2" t="s">
        <v>16768</v>
      </c>
      <c r="B1501" s="3" t="str">
        <f>_xlfn.CONCAT(C1501, " @ ", D1501)</f>
        <v>effortless-python|RoleAssignments.Name @ ra-cfo-2026</v>
      </c>
      <c r="C1501" s="2" t="s">
        <v>14931</v>
      </c>
      <c r="D1501" s="2" t="s">
        <v>215</v>
      </c>
      <c r="E1501" s="2" t="s">
        <v>14999</v>
      </c>
      <c r="F1501" s="2" t="s">
        <v>15000</v>
      </c>
      <c r="G1501" s="2" t="s">
        <v>14591</v>
      </c>
      <c r="H1501" s="3" t="str">
        <f>_xlfn.IFNA(INDEX(FieldDisagreements!C2:C999, MATCH(C1501,FieldDisagreements!A2:A999, 0)), "")</f>
        <v>effortless-python</v>
      </c>
      <c r="I1501" s="3" t="str">
        <f>_xlfn.IFNA(INDEX(FieldDisagreements!D2:D999, MATCH(C1501,FieldDisagreements!A2:A999, 0)), "")</f>
        <v>RoleAssignments.Name</v>
      </c>
      <c r="J1501" s="2" t="s">
        <v>1906</v>
      </c>
    </row>
    <row r="1502">
      <c r="A1502" s="2" t="s">
        <v>16769</v>
      </c>
      <c r="B1502" s="3" t="str">
        <f>_xlfn.CONCAT(C1502, " @ ", D1502)</f>
        <v>effortless-python|RoleAssignments.Name @ ra-close-pipeline-2026</v>
      </c>
      <c r="C1502" s="2" t="s">
        <v>14931</v>
      </c>
      <c r="D1502" s="2" t="s">
        <v>231</v>
      </c>
      <c r="E1502" s="2" t="s">
        <v>15002</v>
      </c>
      <c r="F1502" s="2" t="s">
        <v>15003</v>
      </c>
      <c r="G1502" s="2" t="s">
        <v>14591</v>
      </c>
      <c r="H1502" s="3" t="str">
        <f>_xlfn.IFNA(INDEX(FieldDisagreements!C2:C999, MATCH(C1502,FieldDisagreements!A2:A999, 0)), "")</f>
        <v>effortless-python</v>
      </c>
      <c r="I1502" s="3" t="str">
        <f>_xlfn.IFNA(INDEX(FieldDisagreements!D2:D999, MATCH(C1502,FieldDisagreements!A2:A999, 0)), "")</f>
        <v>RoleAssignments.Name</v>
      </c>
      <c r="J1502" s="2" t="s">
        <v>1906</v>
      </c>
    </row>
    <row r="1503">
      <c r="A1503" s="2" t="s">
        <v>16770</v>
      </c>
      <c r="B1503" s="3" t="str">
        <f>_xlfn.CONCAT(C1503, " @ ", D1503)</f>
        <v>effortless-python|RoleAssignments.Name @ ra-comms-2026</v>
      </c>
      <c r="C1503" s="2" t="s">
        <v>14931</v>
      </c>
      <c r="D1503" s="2" t="s">
        <v>227</v>
      </c>
      <c r="E1503" s="2" t="s">
        <v>15005</v>
      </c>
      <c r="F1503" s="2" t="s">
        <v>15006</v>
      </c>
      <c r="G1503" s="2" t="s">
        <v>14591</v>
      </c>
      <c r="H1503" s="3" t="str">
        <f>_xlfn.IFNA(INDEX(FieldDisagreements!C2:C999, MATCH(C1503,FieldDisagreements!A2:A999, 0)), "")</f>
        <v>effortless-python</v>
      </c>
      <c r="I1503" s="3" t="str">
        <f>_xlfn.IFNA(INDEX(FieldDisagreements!D2:D999, MATCH(C1503,FieldDisagreements!A2:A999, 0)), "")</f>
        <v>RoleAssignments.Name</v>
      </c>
      <c r="J1503" s="2" t="s">
        <v>1906</v>
      </c>
    </row>
    <row r="1504">
      <c r="A1504" s="2" t="s">
        <v>16771</v>
      </c>
      <c r="B1504" s="3" t="str">
        <f>_xlfn.CONCAT(C1504, " @ ", D1504)</f>
        <v>effortless-python|RoleAssignments.Name @ ra-controller-2026</v>
      </c>
      <c r="C1504" s="2" t="s">
        <v>14931</v>
      </c>
      <c r="D1504" s="2" t="s">
        <v>211</v>
      </c>
      <c r="E1504" s="2" t="s">
        <v>15008</v>
      </c>
      <c r="F1504" s="2" t="s">
        <v>15009</v>
      </c>
      <c r="G1504" s="2" t="s">
        <v>14591</v>
      </c>
      <c r="H1504" s="3" t="str">
        <f>_xlfn.IFNA(INDEX(FieldDisagreements!C2:C999, MATCH(C1504,FieldDisagreements!A2:A999, 0)), "")</f>
        <v>effortless-python</v>
      </c>
      <c r="I1504" s="3" t="str">
        <f>_xlfn.IFNA(INDEX(FieldDisagreements!D2:D999, MATCH(C1504,FieldDisagreements!A2:A999, 0)), "")</f>
        <v>RoleAssignments.Name</v>
      </c>
      <c r="J1504" s="2" t="s">
        <v>1906</v>
      </c>
    </row>
    <row r="1505">
      <c r="A1505" s="2" t="s">
        <v>16772</v>
      </c>
      <c r="B1505" s="3" t="str">
        <f>_xlfn.CONCAT(C1505, " @ ", D1505)</f>
        <v>effortless-python|RoleAssignments.Name @ ra-counsel-2026</v>
      </c>
      <c r="C1505" s="2" t="s">
        <v>14931</v>
      </c>
      <c r="D1505" s="2" t="s">
        <v>223</v>
      </c>
      <c r="E1505" s="2" t="s">
        <v>15011</v>
      </c>
      <c r="F1505" s="2" t="s">
        <v>15012</v>
      </c>
      <c r="G1505" s="2" t="s">
        <v>14591</v>
      </c>
      <c r="H1505" s="3" t="str">
        <f>_xlfn.IFNA(INDEX(FieldDisagreements!C2:C999, MATCH(C1505,FieldDisagreements!A2:A999, 0)), "")</f>
        <v>effortless-python</v>
      </c>
      <c r="I1505" s="3" t="str">
        <f>_xlfn.IFNA(INDEX(FieldDisagreements!D2:D999, MATCH(C1505,FieldDisagreements!A2:A999, 0)), "")</f>
        <v>RoleAssignments.Name</v>
      </c>
      <c r="J1505" s="2" t="s">
        <v>1906</v>
      </c>
    </row>
    <row r="1506">
      <c r="A1506" s="2" t="s">
        <v>16773</v>
      </c>
      <c r="B1506" s="3" t="str">
        <f>_xlfn.CONCAT(C1506, " @ ", D1506)</f>
        <v>effortless-python|RoleAssignments.Name @ ra-finance-2026</v>
      </c>
      <c r="C1506" s="2" t="s">
        <v>14931</v>
      </c>
      <c r="D1506" s="2" t="s">
        <v>206</v>
      </c>
      <c r="E1506" s="2" t="s">
        <v>15014</v>
      </c>
      <c r="F1506" s="2" t="s">
        <v>15015</v>
      </c>
      <c r="G1506" s="2" t="s">
        <v>14591</v>
      </c>
      <c r="H1506" s="3" t="str">
        <f>_xlfn.IFNA(INDEX(FieldDisagreements!C2:C999, MATCH(C1506,FieldDisagreements!A2:A999, 0)), "")</f>
        <v>effortless-python</v>
      </c>
      <c r="I1506" s="3" t="str">
        <f>_xlfn.IFNA(INDEX(FieldDisagreements!D2:D999, MATCH(C1506,FieldDisagreements!A2:A999, 0)), "")</f>
        <v>RoleAssignments.Name</v>
      </c>
      <c r="J1506" s="2" t="s">
        <v>1906</v>
      </c>
    </row>
    <row r="1507">
      <c r="A1507" s="2" t="s">
        <v>16774</v>
      </c>
      <c r="B1507" s="3" t="str">
        <f>_xlfn.CONCAT(C1507, " @ ", D1507)</f>
        <v>effortless-python|RoleAssignments.Name @ ra-new-variance</v>
      </c>
      <c r="C1507" s="2" t="s">
        <v>14931</v>
      </c>
      <c r="D1507" s="2" t="s">
        <v>235</v>
      </c>
      <c r="E1507" s="2" t="s">
        <v>15017</v>
      </c>
      <c r="F1507" s="2" t="s">
        <v>15018</v>
      </c>
      <c r="G1507" s="2" t="s">
        <v>14591</v>
      </c>
      <c r="H1507" s="3" t="str">
        <f>_xlfn.IFNA(INDEX(FieldDisagreements!C2:C999, MATCH(C1507,FieldDisagreements!A2:A999, 0)), "")</f>
        <v>effortless-python</v>
      </c>
      <c r="I1507" s="3" t="str">
        <f>_xlfn.IFNA(INDEX(FieldDisagreements!D2:D999, MATCH(C1507,FieldDisagreements!A2:A999, 0)), "")</f>
        <v>RoleAssignments.Name</v>
      </c>
      <c r="J1507" s="2" t="s">
        <v>1906</v>
      </c>
    </row>
    <row r="1508">
      <c r="A1508" s="2" t="s">
        <v>16775</v>
      </c>
      <c r="B1508" s="3" t="str">
        <f>_xlfn.CONCAT(C1508, " @ ", D1508)</f>
        <v>effortless-python|RoleAssignments.Name @ ra-notify-pipeline-2026</v>
      </c>
      <c r="C1508" s="2" t="s">
        <v>14931</v>
      </c>
      <c r="D1508" s="2" t="s">
        <v>243</v>
      </c>
      <c r="E1508" s="2" t="s">
        <v>15020</v>
      </c>
      <c r="F1508" s="2" t="s">
        <v>15021</v>
      </c>
      <c r="G1508" s="2" t="s">
        <v>14591</v>
      </c>
      <c r="H1508" s="3" t="str">
        <f>_xlfn.IFNA(INDEX(FieldDisagreements!C2:C999, MATCH(C1508,FieldDisagreements!A2:A999, 0)), "")</f>
        <v>effortless-python</v>
      </c>
      <c r="I1508" s="3" t="str">
        <f>_xlfn.IFNA(INDEX(FieldDisagreements!D2:D999, MATCH(C1508,FieldDisagreements!A2:A999, 0)), "")</f>
        <v>RoleAssignments.Name</v>
      </c>
      <c r="J1508" s="2" t="s">
        <v>1906</v>
      </c>
    </row>
    <row r="1509">
      <c r="A1509" s="2" t="s">
        <v>16776</v>
      </c>
      <c r="B1509" s="3" t="str">
        <f>_xlfn.CONCAT(C1509, " @ ", D1509)</f>
        <v>effortless-python|RoleAssignments.Name @ ra-old-variance</v>
      </c>
      <c r="C1509" s="2" t="s">
        <v>14931</v>
      </c>
      <c r="D1509" s="2" t="s">
        <v>316</v>
      </c>
      <c r="E1509" s="2" t="s">
        <v>15023</v>
      </c>
      <c r="F1509" s="2" t="s">
        <v>15024</v>
      </c>
      <c r="G1509" s="2" t="s">
        <v>14591</v>
      </c>
      <c r="H1509" s="3" t="str">
        <f>_xlfn.IFNA(INDEX(FieldDisagreements!C2:C999, MATCH(C1509,FieldDisagreements!A2:A999, 0)), "")</f>
        <v>effortless-python</v>
      </c>
      <c r="I1509" s="3" t="str">
        <f>_xlfn.IFNA(INDEX(FieldDisagreements!D2:D999, MATCH(C1509,FieldDisagreements!A2:A999, 0)), "")</f>
        <v>RoleAssignments.Name</v>
      </c>
      <c r="J1509" s="2" t="s">
        <v>1906</v>
      </c>
    </row>
    <row r="1510">
      <c r="A1510" s="2" t="s">
        <v>16777</v>
      </c>
      <c r="B1510" s="3" t="str">
        <f>_xlfn.CONCAT(C1510, " @ ", D1510)</f>
        <v>effortless-python|RoleAssignments.Name @ ra-policy-ai-2026</v>
      </c>
      <c r="C1510" s="2" t="s">
        <v>14931</v>
      </c>
      <c r="D1510" s="2" t="s">
        <v>239</v>
      </c>
      <c r="E1510" s="2" t="s">
        <v>15026</v>
      </c>
      <c r="F1510" s="2" t="s">
        <v>15027</v>
      </c>
      <c r="G1510" s="2" t="s">
        <v>14591</v>
      </c>
      <c r="H1510" s="3" t="str">
        <f>_xlfn.IFNA(INDEX(FieldDisagreements!C2:C999, MATCH(C1510,FieldDisagreements!A2:A999, 0)), "")</f>
        <v>effortless-python</v>
      </c>
      <c r="I1510" s="3" t="str">
        <f>_xlfn.IFNA(INDEX(FieldDisagreements!D2:D999, MATCH(C1510,FieldDisagreements!A2:A999, 0)), "")</f>
        <v>RoleAssignments.Name</v>
      </c>
      <c r="J1510" s="2" t="s">
        <v>1906</v>
      </c>
    </row>
    <row r="1511">
      <c r="A1511" s="2" t="s">
        <v>16778</v>
      </c>
      <c r="B1511" s="3" t="str">
        <f>_xlfn.CONCAT(C1511, " @ ", D1511)</f>
        <v>effortless-python|RoleAssignments.Name @ ra-policy-owner-2026</v>
      </c>
      <c r="C1511" s="2" t="s">
        <v>14931</v>
      </c>
      <c r="D1511" s="2" t="s">
        <v>219</v>
      </c>
      <c r="E1511" s="2" t="s">
        <v>15029</v>
      </c>
      <c r="F1511" s="2" t="s">
        <v>15030</v>
      </c>
      <c r="G1511" s="2" t="s">
        <v>14591</v>
      </c>
      <c r="H1511" s="3" t="str">
        <f>_xlfn.IFNA(INDEX(FieldDisagreements!C2:C999, MATCH(C1511,FieldDisagreements!A2:A999, 0)), "")</f>
        <v>effortless-python</v>
      </c>
      <c r="I1511" s="3" t="str">
        <f>_xlfn.IFNA(INDEX(FieldDisagreements!D2:D999, MATCH(C1511,FieldDisagreements!A2:A999, 0)), "")</f>
        <v>RoleAssignments.Name</v>
      </c>
      <c r="J1511" s="2" t="s">
        <v>1906</v>
      </c>
    </row>
    <row r="1512">
      <c r="A1512" s="2" t="s">
        <v>16779</v>
      </c>
      <c r="B1512" s="3" t="str">
        <f>_xlfn.CONCAT(C1512, " @ ", D1512)</f>
        <v>effortless-python|RoleAssignments.Name @ ra-steward-2026</v>
      </c>
      <c r="C1512" s="2" t="s">
        <v>14931</v>
      </c>
      <c r="D1512" s="2" t="s">
        <v>247</v>
      </c>
      <c r="E1512" s="2" t="s">
        <v>15032</v>
      </c>
      <c r="F1512" s="2" t="s">
        <v>15033</v>
      </c>
      <c r="G1512" s="2" t="s">
        <v>14591</v>
      </c>
      <c r="H1512" s="3" t="str">
        <f>_xlfn.IFNA(INDEX(FieldDisagreements!C2:C999, MATCH(C1512,FieldDisagreements!A2:A999, 0)), "")</f>
        <v>effortless-python</v>
      </c>
      <c r="I1512" s="3" t="str">
        <f>_xlfn.IFNA(INDEX(FieldDisagreements!D2:D999, MATCH(C1512,FieldDisagreements!A2:A999, 0)), "")</f>
        <v>RoleAssignments.Name</v>
      </c>
      <c r="J1512" s="2" t="s">
        <v>1906</v>
      </c>
    </row>
    <row r="1513">
      <c r="A1513" s="2" t="s">
        <v>16780</v>
      </c>
      <c r="B1513" s="3" t="str">
        <f>_xlfn.CONCAT(C1513, " @ ", D1513)</f>
        <v>effortless-python|RoleAssignments.QualityVerdictIsUnsupported @ ra-authority-2026</v>
      </c>
      <c r="C1513" s="2" t="s">
        <v>14932</v>
      </c>
      <c r="D1513" s="2" t="s">
        <v>251</v>
      </c>
      <c r="E1513" s="2" t="s">
        <v>15035</v>
      </c>
      <c r="F1513" s="2" t="s">
        <v>15036</v>
      </c>
      <c r="G1513" s="2" t="s">
        <v>14591</v>
      </c>
      <c r="H1513" s="3" t="str">
        <f>_xlfn.IFNA(INDEX(FieldDisagreements!C2:C999, MATCH(C1513,FieldDisagreements!A2:A999, 0)), "")</f>
        <v>effortless-python</v>
      </c>
      <c r="I1513" s="3" t="str">
        <f>_xlfn.IFNA(INDEX(FieldDisagreements!D2:D999, MATCH(C1513,FieldDisagreements!A2:A999, 0)), "")</f>
        <v>RoleAssignments.QualityVerdictIsUnsupported</v>
      </c>
      <c r="J1513" s="2" t="s">
        <v>1906</v>
      </c>
    </row>
    <row r="1514">
      <c r="A1514" s="2" t="s">
        <v>16781</v>
      </c>
      <c r="B1514" s="3" t="str">
        <f>_xlfn.CONCAT(C1514, " @ ", D1514)</f>
        <v>effortless-python|RoleAssignments.QualityVerdictIsUnsupported @ ra-cfo-2026</v>
      </c>
      <c r="C1514" s="2" t="s">
        <v>14932</v>
      </c>
      <c r="D1514" s="2" t="s">
        <v>215</v>
      </c>
      <c r="E1514" s="2" t="s">
        <v>15035</v>
      </c>
      <c r="F1514" s="2" t="s">
        <v>15036</v>
      </c>
      <c r="G1514" s="2" t="s">
        <v>14591</v>
      </c>
      <c r="H1514" s="3" t="str">
        <f>_xlfn.IFNA(INDEX(FieldDisagreements!C2:C999, MATCH(C1514,FieldDisagreements!A2:A999, 0)), "")</f>
        <v>effortless-python</v>
      </c>
      <c r="I1514" s="3" t="str">
        <f>_xlfn.IFNA(INDEX(FieldDisagreements!D2:D999, MATCH(C1514,FieldDisagreements!A2:A999, 0)), "")</f>
        <v>RoleAssignments.QualityVerdictIsUnsupported</v>
      </c>
      <c r="J1514" s="2" t="s">
        <v>1906</v>
      </c>
    </row>
    <row r="1515">
      <c r="A1515" s="2" t="s">
        <v>16782</v>
      </c>
      <c r="B1515" s="3" t="str">
        <f>_xlfn.CONCAT(C1515, " @ ", D1515)</f>
        <v>effortless-python|RoleAssignments.QualityVerdictIsUnsupported @ ra-close-pipeline-2026</v>
      </c>
      <c r="C1515" s="2" t="s">
        <v>14932</v>
      </c>
      <c r="D1515" s="2" t="s">
        <v>231</v>
      </c>
      <c r="E1515" s="2" t="s">
        <v>15035</v>
      </c>
      <c r="F1515" s="2" t="s">
        <v>15036</v>
      </c>
      <c r="G1515" s="2" t="s">
        <v>14591</v>
      </c>
      <c r="H1515" s="3" t="str">
        <f>_xlfn.IFNA(INDEX(FieldDisagreements!C2:C999, MATCH(C1515,FieldDisagreements!A2:A999, 0)), "")</f>
        <v>effortless-python</v>
      </c>
      <c r="I1515" s="3" t="str">
        <f>_xlfn.IFNA(INDEX(FieldDisagreements!D2:D999, MATCH(C1515,FieldDisagreements!A2:A999, 0)), "")</f>
        <v>RoleAssignments.QualityVerdictIsUnsupported</v>
      </c>
      <c r="J1515" s="2" t="s">
        <v>1906</v>
      </c>
    </row>
    <row r="1516">
      <c r="A1516" s="2" t="s">
        <v>16783</v>
      </c>
      <c r="B1516" s="3" t="str">
        <f>_xlfn.CONCAT(C1516, " @ ", D1516)</f>
        <v>effortless-python|RoleAssignments.QualityVerdictIsUnsupported @ ra-comms-2026</v>
      </c>
      <c r="C1516" s="2" t="s">
        <v>14932</v>
      </c>
      <c r="D1516" s="2" t="s">
        <v>227</v>
      </c>
      <c r="E1516" s="2" t="s">
        <v>15035</v>
      </c>
      <c r="F1516" s="2" t="s">
        <v>15036</v>
      </c>
      <c r="G1516" s="2" t="s">
        <v>14591</v>
      </c>
      <c r="H1516" s="3" t="str">
        <f>_xlfn.IFNA(INDEX(FieldDisagreements!C2:C999, MATCH(C1516,FieldDisagreements!A2:A999, 0)), "")</f>
        <v>effortless-python</v>
      </c>
      <c r="I1516" s="3" t="str">
        <f>_xlfn.IFNA(INDEX(FieldDisagreements!D2:D999, MATCH(C1516,FieldDisagreements!A2:A999, 0)), "")</f>
        <v>RoleAssignments.QualityVerdictIsUnsupported</v>
      </c>
      <c r="J1516" s="2" t="s">
        <v>1906</v>
      </c>
    </row>
    <row r="1517">
      <c r="A1517" s="2" t="s">
        <v>16784</v>
      </c>
      <c r="B1517" s="3" t="str">
        <f>_xlfn.CONCAT(C1517, " @ ", D1517)</f>
        <v>effortless-python|RoleAssignments.QualityVerdictIsUnsupported @ ra-controller-2026</v>
      </c>
      <c r="C1517" s="2" t="s">
        <v>14932</v>
      </c>
      <c r="D1517" s="2" t="s">
        <v>211</v>
      </c>
      <c r="E1517" s="2" t="s">
        <v>15035</v>
      </c>
      <c r="F1517" s="2" t="s">
        <v>15036</v>
      </c>
      <c r="G1517" s="2" t="s">
        <v>14591</v>
      </c>
      <c r="H1517" s="3" t="str">
        <f>_xlfn.IFNA(INDEX(FieldDisagreements!C2:C999, MATCH(C1517,FieldDisagreements!A2:A999, 0)), "")</f>
        <v>effortless-python</v>
      </c>
      <c r="I1517" s="3" t="str">
        <f>_xlfn.IFNA(INDEX(FieldDisagreements!D2:D999, MATCH(C1517,FieldDisagreements!A2:A999, 0)), "")</f>
        <v>RoleAssignments.QualityVerdictIsUnsupported</v>
      </c>
      <c r="J1517" s="2" t="s">
        <v>1906</v>
      </c>
    </row>
    <row r="1518">
      <c r="A1518" s="2" t="s">
        <v>16785</v>
      </c>
      <c r="B1518" s="3" t="str">
        <f>_xlfn.CONCAT(C1518, " @ ", D1518)</f>
        <v>effortless-python|RoleAssignments.QualityVerdictIsUnsupported @ ra-counsel-2026</v>
      </c>
      <c r="C1518" s="2" t="s">
        <v>14932</v>
      </c>
      <c r="D1518" s="2" t="s">
        <v>223</v>
      </c>
      <c r="E1518" s="2" t="s">
        <v>15035</v>
      </c>
      <c r="F1518" s="2" t="s">
        <v>15036</v>
      </c>
      <c r="G1518" s="2" t="s">
        <v>14591</v>
      </c>
      <c r="H1518" s="3" t="str">
        <f>_xlfn.IFNA(INDEX(FieldDisagreements!C2:C999, MATCH(C1518,FieldDisagreements!A2:A999, 0)), "")</f>
        <v>effortless-python</v>
      </c>
      <c r="I1518" s="3" t="str">
        <f>_xlfn.IFNA(INDEX(FieldDisagreements!D2:D999, MATCH(C1518,FieldDisagreements!A2:A999, 0)), "")</f>
        <v>RoleAssignments.QualityVerdictIsUnsupported</v>
      </c>
      <c r="J1518" s="2" t="s">
        <v>1906</v>
      </c>
    </row>
    <row r="1519">
      <c r="A1519" s="2" t="s">
        <v>16786</v>
      </c>
      <c r="B1519" s="3" t="str">
        <f>_xlfn.CONCAT(C1519, " @ ", D1519)</f>
        <v>effortless-python|RoleAssignments.QualityVerdictIsUnsupported @ ra-finance-2026</v>
      </c>
      <c r="C1519" s="2" t="s">
        <v>14932</v>
      </c>
      <c r="D1519" s="2" t="s">
        <v>206</v>
      </c>
      <c r="E1519" s="2" t="s">
        <v>15035</v>
      </c>
      <c r="F1519" s="2" t="s">
        <v>15036</v>
      </c>
      <c r="G1519" s="2" t="s">
        <v>14591</v>
      </c>
      <c r="H1519" s="3" t="str">
        <f>_xlfn.IFNA(INDEX(FieldDisagreements!C2:C999, MATCH(C1519,FieldDisagreements!A2:A999, 0)), "")</f>
        <v>effortless-python</v>
      </c>
      <c r="I1519" s="3" t="str">
        <f>_xlfn.IFNA(INDEX(FieldDisagreements!D2:D999, MATCH(C1519,FieldDisagreements!A2:A999, 0)), "")</f>
        <v>RoleAssignments.QualityVerdictIsUnsupported</v>
      </c>
      <c r="J1519" s="2" t="s">
        <v>1906</v>
      </c>
    </row>
    <row r="1520">
      <c r="A1520" s="2" t="s">
        <v>16787</v>
      </c>
      <c r="B1520" s="3" t="str">
        <f>_xlfn.CONCAT(C1520, " @ ", D1520)</f>
        <v>effortless-python|RoleAssignments.QualityVerdictIsUnsupported @ ra-new-variance</v>
      </c>
      <c r="C1520" s="2" t="s">
        <v>14932</v>
      </c>
      <c r="D1520" s="2" t="s">
        <v>235</v>
      </c>
      <c r="E1520" s="2" t="s">
        <v>15035</v>
      </c>
      <c r="F1520" s="2" t="s">
        <v>15036</v>
      </c>
      <c r="G1520" s="2" t="s">
        <v>14591</v>
      </c>
      <c r="H1520" s="3" t="str">
        <f>_xlfn.IFNA(INDEX(FieldDisagreements!C2:C999, MATCH(C1520,FieldDisagreements!A2:A999, 0)), "")</f>
        <v>effortless-python</v>
      </c>
      <c r="I1520" s="3" t="str">
        <f>_xlfn.IFNA(INDEX(FieldDisagreements!D2:D999, MATCH(C1520,FieldDisagreements!A2:A999, 0)), "")</f>
        <v>RoleAssignments.QualityVerdictIsUnsupported</v>
      </c>
      <c r="J1520" s="2" t="s">
        <v>1906</v>
      </c>
    </row>
    <row r="1521">
      <c r="A1521" s="2" t="s">
        <v>16788</v>
      </c>
      <c r="B1521" s="3" t="str">
        <f>_xlfn.CONCAT(C1521, " @ ", D1521)</f>
        <v>effortless-python|RoleAssignments.QualityVerdictIsUnsupported @ ra-notify-pipeline-2026</v>
      </c>
      <c r="C1521" s="2" t="s">
        <v>14932</v>
      </c>
      <c r="D1521" s="2" t="s">
        <v>243</v>
      </c>
      <c r="E1521" s="2" t="s">
        <v>15035</v>
      </c>
      <c r="F1521" s="2" t="s">
        <v>15036</v>
      </c>
      <c r="G1521" s="2" t="s">
        <v>14591</v>
      </c>
      <c r="H1521" s="3" t="str">
        <f>_xlfn.IFNA(INDEX(FieldDisagreements!C2:C999, MATCH(C1521,FieldDisagreements!A2:A999, 0)), "")</f>
        <v>effortless-python</v>
      </c>
      <c r="I1521" s="3" t="str">
        <f>_xlfn.IFNA(INDEX(FieldDisagreements!D2:D999, MATCH(C1521,FieldDisagreements!A2:A999, 0)), "")</f>
        <v>RoleAssignments.QualityVerdictIsUnsupported</v>
      </c>
      <c r="J1521" s="2" t="s">
        <v>1906</v>
      </c>
    </row>
    <row r="1522">
      <c r="A1522" s="2" t="s">
        <v>16789</v>
      </c>
      <c r="B1522" s="3" t="str">
        <f>_xlfn.CONCAT(C1522, " @ ", D1522)</f>
        <v>effortless-python|RoleAssignments.QualityVerdictIsUnsupported @ ra-old-variance</v>
      </c>
      <c r="C1522" s="2" t="s">
        <v>14932</v>
      </c>
      <c r="D1522" s="2" t="s">
        <v>316</v>
      </c>
      <c r="E1522" s="2" t="s">
        <v>15035</v>
      </c>
      <c r="F1522" s="2" t="s">
        <v>15036</v>
      </c>
      <c r="G1522" s="2" t="s">
        <v>14591</v>
      </c>
      <c r="H1522" s="3" t="str">
        <f>_xlfn.IFNA(INDEX(FieldDisagreements!C2:C999, MATCH(C1522,FieldDisagreements!A2:A999, 0)), "")</f>
        <v>effortless-python</v>
      </c>
      <c r="I1522" s="3" t="str">
        <f>_xlfn.IFNA(INDEX(FieldDisagreements!D2:D999, MATCH(C1522,FieldDisagreements!A2:A999, 0)), "")</f>
        <v>RoleAssignments.QualityVerdictIsUnsupported</v>
      </c>
      <c r="J1522" s="2" t="s">
        <v>1906</v>
      </c>
    </row>
    <row r="1523">
      <c r="A1523" s="2" t="s">
        <v>16790</v>
      </c>
      <c r="B1523" s="3" t="str">
        <f>_xlfn.CONCAT(C1523, " @ ", D1523)</f>
        <v>effortless-python|RoleAssignments.QualityVerdictIsUnsupported @ ra-policy-ai-2026</v>
      </c>
      <c r="C1523" s="2" t="s">
        <v>14932</v>
      </c>
      <c r="D1523" s="2" t="s">
        <v>239</v>
      </c>
      <c r="E1523" s="2" t="s">
        <v>15035</v>
      </c>
      <c r="F1523" s="2" t="s">
        <v>15036</v>
      </c>
      <c r="G1523" s="2" t="s">
        <v>14591</v>
      </c>
      <c r="H1523" s="3" t="str">
        <f>_xlfn.IFNA(INDEX(FieldDisagreements!C2:C999, MATCH(C1523,FieldDisagreements!A2:A999, 0)), "")</f>
        <v>effortless-python</v>
      </c>
      <c r="I1523" s="3" t="str">
        <f>_xlfn.IFNA(INDEX(FieldDisagreements!D2:D999, MATCH(C1523,FieldDisagreements!A2:A999, 0)), "")</f>
        <v>RoleAssignments.QualityVerdictIsUnsupported</v>
      </c>
      <c r="J1523" s="2" t="s">
        <v>1906</v>
      </c>
    </row>
    <row r="1524">
      <c r="A1524" s="2" t="s">
        <v>16791</v>
      </c>
      <c r="B1524" s="3" t="str">
        <f>_xlfn.CONCAT(C1524, " @ ", D1524)</f>
        <v>effortless-python|RoleAssignments.QualityVerdictIsUnsupported @ ra-policy-owner-2026</v>
      </c>
      <c r="C1524" s="2" t="s">
        <v>14932</v>
      </c>
      <c r="D1524" s="2" t="s">
        <v>219</v>
      </c>
      <c r="E1524" s="2" t="s">
        <v>15035</v>
      </c>
      <c r="F1524" s="2" t="s">
        <v>15036</v>
      </c>
      <c r="G1524" s="2" t="s">
        <v>14591</v>
      </c>
      <c r="H1524" s="3" t="str">
        <f>_xlfn.IFNA(INDEX(FieldDisagreements!C2:C999, MATCH(C1524,FieldDisagreements!A2:A999, 0)), "")</f>
        <v>effortless-python</v>
      </c>
      <c r="I1524" s="3" t="str">
        <f>_xlfn.IFNA(INDEX(FieldDisagreements!D2:D999, MATCH(C1524,FieldDisagreements!A2:A999, 0)), "")</f>
        <v>RoleAssignments.QualityVerdictIsUnsupported</v>
      </c>
      <c r="J1524" s="2" t="s">
        <v>1906</v>
      </c>
    </row>
    <row r="1525">
      <c r="A1525" s="2" t="s">
        <v>16792</v>
      </c>
      <c r="B1525" s="3" t="str">
        <f>_xlfn.CONCAT(C1525, " @ ", D1525)</f>
        <v>effortless-python|RoleAssignments.QualityVerdictIsUnsupported @ ra-steward-2026</v>
      </c>
      <c r="C1525" s="2" t="s">
        <v>14932</v>
      </c>
      <c r="D1525" s="2" t="s">
        <v>247</v>
      </c>
      <c r="E1525" s="2" t="s">
        <v>15035</v>
      </c>
      <c r="F1525" s="2" t="s">
        <v>15036</v>
      </c>
      <c r="G1525" s="2" t="s">
        <v>14591</v>
      </c>
      <c r="H1525" s="3" t="str">
        <f>_xlfn.IFNA(INDEX(FieldDisagreements!C2:C999, MATCH(C1525,FieldDisagreements!A2:A999, 0)), "")</f>
        <v>effortless-python</v>
      </c>
      <c r="I1525" s="3" t="str">
        <f>_xlfn.IFNA(INDEX(FieldDisagreements!D2:D999, MATCH(C1525,FieldDisagreements!A2:A999, 0)), "")</f>
        <v>RoleAssignments.QualityVerdictIsUnsupported</v>
      </c>
      <c r="J1525" s="2" t="s">
        <v>1906</v>
      </c>
    </row>
    <row r="1526">
      <c r="A1526" s="2" t="s">
        <v>16793</v>
      </c>
      <c r="B1526" s="3" t="str">
        <f>_xlfn.CONCAT(C1526, " @ ", D1526)</f>
        <v>effortless-python|RoleAssignments.IsUnmeasuredAutomationHandover @ ra-new-variance</v>
      </c>
      <c r="C1526" s="2" t="s">
        <v>14933</v>
      </c>
      <c r="D1526" s="2" t="s">
        <v>235</v>
      </c>
      <c r="E1526" s="2" t="s">
        <v>15035</v>
      </c>
      <c r="F1526" s="2" t="s">
        <v>15036</v>
      </c>
      <c r="G1526" s="2" t="s">
        <v>14591</v>
      </c>
      <c r="H1526" s="3" t="str">
        <f>_xlfn.IFNA(INDEX(FieldDisagreements!C2:C999, MATCH(C1526,FieldDisagreements!A2:A999, 0)), "")</f>
        <v>effortless-python</v>
      </c>
      <c r="I1526" s="3" t="str">
        <f>_xlfn.IFNA(INDEX(FieldDisagreements!D2:D999, MATCH(C1526,FieldDisagreements!A2:A999, 0)), "")</f>
        <v>RoleAssignments.IsUnmeasuredAutomationHandover</v>
      </c>
      <c r="J1526" s="2" t="s">
        <v>1906</v>
      </c>
    </row>
    <row r="1527">
      <c r="A1527" s="2" t="s">
        <v>16794</v>
      </c>
      <c r="B1527" s="3" t="str">
        <f>_xlfn.CONCAT(C1527, " @ ", D1527)</f>
        <v>effortless-python|ProcedureVersions.DaysSinceModified @ close-v1.0.0</v>
      </c>
      <c r="C1527" s="2" t="s">
        <v>14934</v>
      </c>
      <c r="D1527" s="2" t="s">
        <v>454</v>
      </c>
      <c r="E1527" s="2" t="s">
        <v>15051</v>
      </c>
      <c r="F1527" s="2" t="s">
        <v>15052</v>
      </c>
      <c r="G1527" s="2" t="s">
        <v>14591</v>
      </c>
      <c r="H1527" s="3" t="str">
        <f>_xlfn.IFNA(INDEX(FieldDisagreements!C2:C999, MATCH(C1527,FieldDisagreements!A2:A999, 0)), "")</f>
        <v>effortless-python</v>
      </c>
      <c r="I1527" s="3" t="str">
        <f>_xlfn.IFNA(INDEX(FieldDisagreements!D2:D999, MATCH(C1527,FieldDisagreements!A2:A999, 0)), "")</f>
        <v>ProcedureVersions.DaysSinceModified</v>
      </c>
      <c r="J1527" s="2" t="s">
        <v>1906</v>
      </c>
    </row>
    <row r="1528">
      <c r="A1528" s="2" t="s">
        <v>16795</v>
      </c>
      <c r="B1528" s="3" t="str">
        <f>_xlfn.CONCAT(C1528, " @ ", D1528)</f>
        <v>effortless-python|ProcedureVersions.DaysSinceModified @ close-v1.1.0</v>
      </c>
      <c r="C1528" s="2" t="s">
        <v>14934</v>
      </c>
      <c r="D1528" s="2" t="s">
        <v>369</v>
      </c>
      <c r="E1528" s="2" t="s">
        <v>15054</v>
      </c>
      <c r="F1528" s="2" t="s">
        <v>8195</v>
      </c>
      <c r="G1528" s="2" t="s">
        <v>14591</v>
      </c>
      <c r="H1528" s="3" t="str">
        <f>_xlfn.IFNA(INDEX(FieldDisagreements!C2:C999, MATCH(C1528,FieldDisagreements!A2:A999, 0)), "")</f>
        <v>effortless-python</v>
      </c>
      <c r="I1528" s="3" t="str">
        <f>_xlfn.IFNA(INDEX(FieldDisagreements!D2:D999, MATCH(C1528,FieldDisagreements!A2:A999, 0)), "")</f>
        <v>ProcedureVersions.DaysSinceModified</v>
      </c>
      <c r="J1528" s="2" t="s">
        <v>1906</v>
      </c>
    </row>
    <row r="1529">
      <c r="A1529" s="2" t="s">
        <v>16796</v>
      </c>
      <c r="B1529" s="3" t="str">
        <f>_xlfn.CONCAT(C1529, " @ ", D1529)</f>
        <v>effortless-python|ProcedureVersions.DaysSinceModified @ policy-v1.0.0</v>
      </c>
      <c r="C1529" s="2" t="s">
        <v>14934</v>
      </c>
      <c r="D1529" s="2" t="s">
        <v>375</v>
      </c>
      <c r="E1529" s="2" t="s">
        <v>935</v>
      </c>
      <c r="F1529" s="2" t="s">
        <v>37</v>
      </c>
      <c r="G1529" s="2" t="s">
        <v>14591</v>
      </c>
      <c r="H1529" s="3" t="str">
        <f>_xlfn.IFNA(INDEX(FieldDisagreements!C2:C999, MATCH(C1529,FieldDisagreements!A2:A999, 0)), "")</f>
        <v>effortless-python</v>
      </c>
      <c r="I1529" s="3" t="str">
        <f>_xlfn.IFNA(INDEX(FieldDisagreements!D2:D999, MATCH(C1529,FieldDisagreements!A2:A999, 0)), "")</f>
        <v>ProcedureVersions.DaysSinceModified</v>
      </c>
      <c r="J1529" s="2" t="s">
        <v>1906</v>
      </c>
    </row>
    <row r="1530">
      <c r="A1530" s="2" t="s">
        <v>16797</v>
      </c>
      <c r="B1530" s="3" t="str">
        <f>_xlfn.CONCAT(C1530, " @ ", D1530)</f>
        <v>effortless-python|ProcedureVersions.WasModifiedSinceLastReview @ close-v1.1.0</v>
      </c>
      <c r="C1530" s="2" t="s">
        <v>14935</v>
      </c>
      <c r="D1530" s="2" t="s">
        <v>369</v>
      </c>
      <c r="E1530" s="2" t="s">
        <v>15035</v>
      </c>
      <c r="F1530" s="2" t="s">
        <v>15057</v>
      </c>
      <c r="G1530" s="2" t="s">
        <v>14591</v>
      </c>
      <c r="H1530" s="3" t="str">
        <f>_xlfn.IFNA(INDEX(FieldDisagreements!C2:C999, MATCH(C1530,FieldDisagreements!A2:A999, 0)), "")</f>
        <v>effortless-python</v>
      </c>
      <c r="I1530" s="3" t="str">
        <f>_xlfn.IFNA(INDEX(FieldDisagreements!D2:D999, MATCH(C1530,FieldDisagreements!A2:A999, 0)), "")</f>
        <v>ProcedureVersions.WasModifiedSinceLastReview</v>
      </c>
      <c r="J1530" s="2" t="s">
        <v>1906</v>
      </c>
    </row>
    <row r="1531">
      <c r="A1531" s="2" t="s">
        <v>16798</v>
      </c>
      <c r="B1531" s="3" t="str">
        <f>_xlfn.CONCAT(C1531, " @ ", D1531)</f>
        <v>effortless-python|ProcedureVersions.WasModifiedSinceLastReview @ policy-v1.0.0</v>
      </c>
      <c r="C1531" s="2" t="s">
        <v>14935</v>
      </c>
      <c r="D1531" s="2" t="s">
        <v>375</v>
      </c>
      <c r="E1531" s="2" t="s">
        <v>15035</v>
      </c>
      <c r="F1531" s="2" t="s">
        <v>15057</v>
      </c>
      <c r="G1531" s="2" t="s">
        <v>14591</v>
      </c>
      <c r="H1531" s="3" t="str">
        <f>_xlfn.IFNA(INDEX(FieldDisagreements!C2:C999, MATCH(C1531,FieldDisagreements!A2:A999, 0)), "")</f>
        <v>effortless-python</v>
      </c>
      <c r="I1531" s="3" t="str">
        <f>_xlfn.IFNA(INDEX(FieldDisagreements!D2:D999, MATCH(C1531,FieldDisagreements!A2:A999, 0)), "")</f>
        <v>ProcedureVersions.WasModifiedSinceLastReview</v>
      </c>
      <c r="J1531" s="2" t="s">
        <v>1906</v>
      </c>
    </row>
    <row r="1532">
      <c r="A1532" s="2" t="s">
        <v>16799</v>
      </c>
      <c r="B1532" s="3" t="str">
        <f>_xlfn.CONCAT(C1532, " @ ", D1532)</f>
        <v>effortless-python|ProcedureVersions.HasUnwitnessedChange @ close-v1.1.0</v>
      </c>
      <c r="C1532" s="2" t="s">
        <v>14936</v>
      </c>
      <c r="D1532" s="2" t="s">
        <v>369</v>
      </c>
      <c r="E1532" s="2" t="s">
        <v>15035</v>
      </c>
      <c r="F1532" s="2" t="s">
        <v>15057</v>
      </c>
      <c r="G1532" s="2" t="s">
        <v>14591</v>
      </c>
      <c r="H1532" s="3" t="str">
        <f>_xlfn.IFNA(INDEX(FieldDisagreements!C2:C999, MATCH(C1532,FieldDisagreements!A2:A999, 0)), "")</f>
        <v>effortless-python</v>
      </c>
      <c r="I1532" s="3" t="str">
        <f>_xlfn.IFNA(INDEX(FieldDisagreements!D2:D999, MATCH(C1532,FieldDisagreements!A2:A999, 0)), "")</f>
        <v>ProcedureVersions.HasUnwitnessedChange</v>
      </c>
      <c r="J1532" s="2" t="s">
        <v>1906</v>
      </c>
    </row>
    <row r="1533">
      <c r="A1533" s="2" t="s">
        <v>16800</v>
      </c>
      <c r="B1533" s="3" t="str">
        <f>_xlfn.CONCAT(C1533, " @ ", D1533)</f>
        <v>effortless-python|ProcedureVersions.HasUnwitnessedChange @ policy-v1.0.0</v>
      </c>
      <c r="C1533" s="2" t="s">
        <v>14936</v>
      </c>
      <c r="D1533" s="2" t="s">
        <v>375</v>
      </c>
      <c r="E1533" s="2" t="s">
        <v>15035</v>
      </c>
      <c r="F1533" s="2" t="s">
        <v>15057</v>
      </c>
      <c r="G1533" s="2" t="s">
        <v>14591</v>
      </c>
      <c r="H1533" s="3" t="str">
        <f>_xlfn.IFNA(INDEX(FieldDisagreements!C2:C999, MATCH(C1533,FieldDisagreements!A2:A999, 0)), "")</f>
        <v>effortless-python</v>
      </c>
      <c r="I1533" s="3" t="str">
        <f>_xlfn.IFNA(INDEX(FieldDisagreements!D2:D999, MATCH(C1533,FieldDisagreements!A2:A999, 0)), "")</f>
        <v>ProcedureVersions.HasUnwitnessedChange</v>
      </c>
      <c r="J1533" s="2" t="s">
        <v>1906</v>
      </c>
    </row>
    <row r="1534">
      <c r="A1534" s="2" t="s">
        <v>16801</v>
      </c>
      <c r="B1534" s="3" t="str">
        <f>_xlfn.CONCAT(C1534, " @ ", D1534)</f>
        <v>effortless-python|Requirements.IsUntestedWitness @ req-close-balance</v>
      </c>
      <c r="C1534" s="2" t="s">
        <v>14937</v>
      </c>
      <c r="D1534" s="2" t="s">
        <v>827</v>
      </c>
      <c r="E1534" s="2" t="s">
        <v>15035</v>
      </c>
      <c r="F1534" s="2" t="s">
        <v>15036</v>
      </c>
      <c r="G1534" s="2" t="s">
        <v>14591</v>
      </c>
      <c r="H1534" s="3" t="str">
        <f>_xlfn.IFNA(INDEX(FieldDisagreements!C2:C999, MATCH(C1534,FieldDisagreements!A2:A999, 0)), "")</f>
        <v>effortless-python</v>
      </c>
      <c r="I1534" s="3" t="str">
        <f>_xlfn.IFNA(INDEX(FieldDisagreements!D2:D999, MATCH(C1534,FieldDisagreements!A2:A999, 0)), "")</f>
        <v>Requirements.IsUntestedWitness</v>
      </c>
      <c r="J1534" s="2" t="s">
        <v>1906</v>
      </c>
    </row>
    <row r="1535">
      <c r="A1535" s="2" t="s">
        <v>16802</v>
      </c>
      <c r="B1535" s="3" t="str">
        <f>_xlfn.CONCAT(C1535, " @ ", D1535)</f>
        <v>effortless-python|Requirements.IsUntestedWitness @ req-close-cutoff</v>
      </c>
      <c r="C1535" s="2" t="s">
        <v>14937</v>
      </c>
      <c r="D1535" s="2" t="s">
        <v>819</v>
      </c>
      <c r="E1535" s="2" t="s">
        <v>15035</v>
      </c>
      <c r="F1535" s="2" t="s">
        <v>15036</v>
      </c>
      <c r="G1535" s="2" t="s">
        <v>14591</v>
      </c>
      <c r="H1535" s="3" t="str">
        <f>_xlfn.IFNA(INDEX(FieldDisagreements!C2:C999, MATCH(C1535,FieldDisagreements!A2:A999, 0)), "")</f>
        <v>effortless-python</v>
      </c>
      <c r="I1535" s="3" t="str">
        <f>_xlfn.IFNA(INDEX(FieldDisagreements!D2:D999, MATCH(C1535,FieldDisagreements!A2:A999, 0)), "")</f>
        <v>Requirements.IsUntestedWitness</v>
      </c>
      <c r="J1535" s="2" t="s">
        <v>1906</v>
      </c>
    </row>
    <row r="1536">
      <c r="A1536" s="2" t="s">
        <v>16803</v>
      </c>
      <c r="B1536" s="3" t="str">
        <f>_xlfn.CONCAT(C1536, " @ ", D1536)</f>
        <v>effortless-python|Requirements.IsUntestedWitness @ req-close-separation</v>
      </c>
      <c r="C1536" s="2" t="s">
        <v>14937</v>
      </c>
      <c r="D1536" s="2" t="s">
        <v>833</v>
      </c>
      <c r="E1536" s="2" t="s">
        <v>15035</v>
      </c>
      <c r="F1536" s="2" t="s">
        <v>15036</v>
      </c>
      <c r="G1536" s="2" t="s">
        <v>14591</v>
      </c>
      <c r="H1536" s="3" t="str">
        <f>_xlfn.IFNA(INDEX(FieldDisagreements!C2:C999, MATCH(C1536,FieldDisagreements!A2:A999, 0)), "")</f>
        <v>effortless-python</v>
      </c>
      <c r="I1536" s="3" t="str">
        <f>_xlfn.IFNA(INDEX(FieldDisagreements!D2:D999, MATCH(C1536,FieldDisagreements!A2:A999, 0)), "")</f>
        <v>Requirements.IsUntestedWitness</v>
      </c>
      <c r="J1536" s="2" t="s">
        <v>1906</v>
      </c>
    </row>
    <row r="1537">
      <c r="A1537" s="2" t="s">
        <v>16804</v>
      </c>
      <c r="B1537" s="3" t="str">
        <f>_xlfn.CONCAT(C1537, " @ ", D1537)</f>
        <v>effortless-python|ElicitationSessions.Name @ elicit-close-shadow</v>
      </c>
      <c r="C1537" s="2" t="s">
        <v>14938</v>
      </c>
      <c r="D1537" s="2" t="s">
        <v>1073</v>
      </c>
      <c r="E1537" s="2" t="s">
        <v>15065</v>
      </c>
      <c r="F1537" s="2" t="s">
        <v>15066</v>
      </c>
      <c r="G1537" s="2" t="s">
        <v>14591</v>
      </c>
      <c r="H1537" s="3" t="str">
        <f>_xlfn.IFNA(INDEX(FieldDisagreements!C2:C999, MATCH(C1537,FieldDisagreements!A2:A999, 0)), "")</f>
        <v>effortless-python</v>
      </c>
      <c r="I1537" s="3" t="str">
        <f>_xlfn.IFNA(INDEX(FieldDisagreements!D2:D999, MATCH(C1537,FieldDisagreements!A2:A999, 0)), "")</f>
        <v>ElicitationSessions.Name</v>
      </c>
      <c r="J1537" s="2" t="s">
        <v>1906</v>
      </c>
    </row>
    <row r="1538">
      <c r="A1538" s="2" t="s">
        <v>16805</v>
      </c>
      <c r="B1538" s="3" t="str">
        <f>_xlfn.CONCAT(C1538, " @ ", D1538)</f>
        <v>effortless-python|ElicitationSessions.Name @ elicit-policy-interview</v>
      </c>
      <c r="C1538" s="2" t="s">
        <v>14938</v>
      </c>
      <c r="D1538" s="2" t="s">
        <v>1080</v>
      </c>
      <c r="E1538" s="2" t="s">
        <v>15068</v>
      </c>
      <c r="F1538" s="2" t="s">
        <v>15069</v>
      </c>
      <c r="G1538" s="2" t="s">
        <v>14591</v>
      </c>
      <c r="H1538" s="3" t="str">
        <f>_xlfn.IFNA(INDEX(FieldDisagreements!C2:C999, MATCH(C1538,FieldDisagreements!A2:A999, 0)), "")</f>
        <v>effortless-python</v>
      </c>
      <c r="I1538" s="3" t="str">
        <f>_xlfn.IFNA(INDEX(FieldDisagreements!D2:D999, MATCH(C1538,FieldDisagreements!A2:A999, 0)), "")</f>
        <v>ElicitationSessions.Name</v>
      </c>
      <c r="J1538" s="2" t="s">
        <v>1906</v>
      </c>
    </row>
    <row r="1539">
      <c r="A1539" s="2" t="s">
        <v>16806</v>
      </c>
      <c r="B1539" s="3" t="str">
        <f>_xlfn.CONCAT(C1539, " @ ", D1539)</f>
        <v>effortless-python|ElicitationSessions.Name @ elicit-policy-workshop</v>
      </c>
      <c r="C1539" s="2" t="s">
        <v>14938</v>
      </c>
      <c r="D1539" s="2" t="s">
        <v>1077</v>
      </c>
      <c r="E1539" s="2" t="s">
        <v>15071</v>
      </c>
      <c r="F1539" s="2" t="s">
        <v>15072</v>
      </c>
      <c r="G1539" s="2" t="s">
        <v>14591</v>
      </c>
      <c r="H1539" s="3" t="str">
        <f>_xlfn.IFNA(INDEX(FieldDisagreements!C2:C999, MATCH(C1539,FieldDisagreements!A2:A999, 0)), "")</f>
        <v>effortless-python</v>
      </c>
      <c r="I1539" s="3" t="str">
        <f>_xlfn.IFNA(INDEX(FieldDisagreements!D2:D999, MATCH(C1539,FieldDisagreements!A2:A999, 0)), "")</f>
        <v>ElicitationSessions.Name</v>
      </c>
      <c r="J1539" s="2" t="s">
        <v>1906</v>
      </c>
    </row>
    <row r="1540">
      <c r="A1540" s="2" t="s">
        <v>16807</v>
      </c>
      <c r="B1540" s="3" t="str">
        <f>_xlfn.CONCAT(C1540, " @ ", D1540)</f>
        <v>effortless-python|ElicitationSessions.DaysSinceElicited @ elicit-policy-interview</v>
      </c>
      <c r="C1540" s="2" t="s">
        <v>14939</v>
      </c>
      <c r="D1540" s="2" t="s">
        <v>1080</v>
      </c>
      <c r="E1540" s="2" t="s">
        <v>15074</v>
      </c>
      <c r="F1540" s="2" t="s">
        <v>15075</v>
      </c>
      <c r="G1540" s="2" t="s">
        <v>14591</v>
      </c>
      <c r="H1540" s="3" t="str">
        <f>_xlfn.IFNA(INDEX(FieldDisagreements!C2:C999, MATCH(C1540,FieldDisagreements!A2:A999, 0)), "")</f>
        <v>effortless-python</v>
      </c>
      <c r="I1540" s="3" t="str">
        <f>_xlfn.IFNA(INDEX(FieldDisagreements!D2:D999, MATCH(C1540,FieldDisagreements!A2:A999, 0)), "")</f>
        <v>ElicitationSessions.DaysSinceElicited</v>
      </c>
      <c r="J1540" s="2" t="s">
        <v>1906</v>
      </c>
    </row>
    <row r="1541">
      <c r="A1541" s="2" t="s">
        <v>16808</v>
      </c>
      <c r="B1541" s="3" t="str">
        <f>_xlfn.CONCAT(C1541, " @ ", D1541)</f>
        <v>effortless-python|ElicitationSessions.DaysSinceElicited @ elicit-policy-workshop</v>
      </c>
      <c r="C1541" s="2" t="s">
        <v>14939</v>
      </c>
      <c r="D1541" s="2" t="s">
        <v>1077</v>
      </c>
      <c r="E1541" s="2" t="s">
        <v>15077</v>
      </c>
      <c r="F1541" s="2" t="s">
        <v>15078</v>
      </c>
      <c r="G1541" s="2" t="s">
        <v>14591</v>
      </c>
      <c r="H1541" s="3" t="str">
        <f>_xlfn.IFNA(INDEX(FieldDisagreements!C2:C999, MATCH(C1541,FieldDisagreements!A2:A999, 0)), "")</f>
        <v>effortless-python</v>
      </c>
      <c r="I1541" s="3" t="str">
        <f>_xlfn.IFNA(INDEX(FieldDisagreements!D2:D999, MATCH(C1541,FieldDisagreements!A2:A999, 0)), "")</f>
        <v>ElicitationSessions.DaysSinceElicited</v>
      </c>
      <c r="J1541" s="2" t="s">
        <v>1906</v>
      </c>
    </row>
    <row r="1542">
      <c r="A1542" s="2" t="s">
        <v>16809</v>
      </c>
      <c r="B1542" s="3" t="str">
        <f>_xlfn.CONCAT(C1542, " @ ", D1542)</f>
        <v>effortless-python|KnowledgeFragments.DaysSinceActualReview @ kf-close-fx-time</v>
      </c>
      <c r="C1542" s="2" t="s">
        <v>14940</v>
      </c>
      <c r="D1542" s="2" t="s">
        <v>1152</v>
      </c>
      <c r="E1542" s="2" t="s">
        <v>15054</v>
      </c>
      <c r="F1542" s="2" t="s">
        <v>8195</v>
      </c>
      <c r="G1542" s="2" t="s">
        <v>14591</v>
      </c>
      <c r="H1542" s="3" t="str">
        <f>_xlfn.IFNA(INDEX(FieldDisagreements!C2:C999, MATCH(C1542,FieldDisagreements!A2:A999, 0)), "")</f>
        <v>effortless-python</v>
      </c>
      <c r="I1542" s="3" t="str">
        <f>_xlfn.IFNA(INDEX(FieldDisagreements!D2:D999, MATCH(C1542,FieldDisagreements!A2:A999, 0)), "")</f>
        <v>KnowledgeFragments.DaysSinceActualReview</v>
      </c>
      <c r="J1542" s="2" t="s">
        <v>1906</v>
      </c>
    </row>
    <row r="1543">
      <c r="A1543" s="2" t="s">
        <v>16810</v>
      </c>
      <c r="B1543" s="3" t="str">
        <f>_xlfn.CONCAT(C1543, " @ ", D1543)</f>
        <v>effortless-python|KnowledgeFragments.DaysSinceActualReview @ kf-close-top-ten</v>
      </c>
      <c r="C1543" s="2" t="s">
        <v>14940</v>
      </c>
      <c r="D1543" s="2" t="s">
        <v>1157</v>
      </c>
      <c r="E1543" s="2" t="s">
        <v>15054</v>
      </c>
      <c r="F1543" s="2" t="s">
        <v>8195</v>
      </c>
      <c r="G1543" s="2" t="s">
        <v>14591</v>
      </c>
      <c r="H1543" s="3" t="str">
        <f>_xlfn.IFNA(INDEX(FieldDisagreements!C2:C999, MATCH(C1543,FieldDisagreements!A2:A999, 0)), "")</f>
        <v>effortless-python</v>
      </c>
      <c r="I1543" s="3" t="str">
        <f>_xlfn.IFNA(INDEX(FieldDisagreements!D2:D999, MATCH(C1543,FieldDisagreements!A2:A999, 0)), "")</f>
        <v>KnowledgeFragments.DaysSinceActualReview</v>
      </c>
      <c r="J1543" s="2" t="s">
        <v>1906</v>
      </c>
    </row>
    <row r="1544">
      <c r="A1544" s="2" t="s">
        <v>16811</v>
      </c>
      <c r="B1544" s="3" t="str">
        <f>_xlfn.CONCAT(C1544, " @ ", D1544)</f>
        <v>effortless-python|KnowledgeFragments.DaysSinceActualReview @ kf-policy-channel</v>
      </c>
      <c r="C1544" s="2" t="s">
        <v>14940</v>
      </c>
      <c r="D1544" s="2" t="s">
        <v>1169</v>
      </c>
      <c r="E1544" s="2" t="s">
        <v>935</v>
      </c>
      <c r="F1544" s="2" t="s">
        <v>37</v>
      </c>
      <c r="G1544" s="2" t="s">
        <v>14591</v>
      </c>
      <c r="H1544" s="3" t="str">
        <f>_xlfn.IFNA(INDEX(FieldDisagreements!C2:C999, MATCH(C1544,FieldDisagreements!A2:A999, 0)), "")</f>
        <v>effortless-python</v>
      </c>
      <c r="I1544" s="3" t="str">
        <f>_xlfn.IFNA(INDEX(FieldDisagreements!D2:D999, MATCH(C1544,FieldDisagreements!A2:A999, 0)), "")</f>
        <v>KnowledgeFragments.DaysSinceActualReview</v>
      </c>
      <c r="J1544" s="2" t="s">
        <v>1906</v>
      </c>
    </row>
    <row r="1545">
      <c r="A1545" s="2" t="s">
        <v>16812</v>
      </c>
      <c r="B1545" s="3" t="str">
        <f>_xlfn.CONCAT(C1545, " @ ", D1545)</f>
        <v>effortless-python|KnowledgeFragments.EvidenceAgeDays @ kf-policy-ai-boundary</v>
      </c>
      <c r="C1545" s="2" t="s">
        <v>14941</v>
      </c>
      <c r="D1545" s="2" t="s">
        <v>1167</v>
      </c>
      <c r="E1545" s="2" t="s">
        <v>15074</v>
      </c>
      <c r="F1545" s="2" t="s">
        <v>15075</v>
      </c>
      <c r="G1545" s="2" t="s">
        <v>14591</v>
      </c>
      <c r="H1545" s="3" t="str">
        <f>_xlfn.IFNA(INDEX(FieldDisagreements!C2:C999, MATCH(C1545,FieldDisagreements!A2:A999, 0)), "")</f>
        <v>effortless-python</v>
      </c>
      <c r="I1545" s="3" t="str">
        <f>_xlfn.IFNA(INDEX(FieldDisagreements!D2:D999, MATCH(C1545,FieldDisagreements!A2:A999, 0)), "")</f>
        <v>KnowledgeFragments.EvidenceAgeDays</v>
      </c>
      <c r="J1545" s="2" t="s">
        <v>1906</v>
      </c>
    </row>
    <row r="1546">
      <c r="A1546" s="2" t="s">
        <v>16813</v>
      </c>
      <c r="B1546" s="3" t="str">
        <f>_xlfn.CONCAT(C1546, " @ ", D1546)</f>
        <v>effortless-python|KnowledgeFragments.EvidenceAgeDays @ kf-policy-channel</v>
      </c>
      <c r="C1546" s="2" t="s">
        <v>14941</v>
      </c>
      <c r="D1546" s="2" t="s">
        <v>1169</v>
      </c>
      <c r="E1546" s="2" t="s">
        <v>15077</v>
      </c>
      <c r="F1546" s="2" t="s">
        <v>15078</v>
      </c>
      <c r="G1546" s="2" t="s">
        <v>14591</v>
      </c>
      <c r="H1546" s="3" t="str">
        <f>_xlfn.IFNA(INDEX(FieldDisagreements!C2:C999, MATCH(C1546,FieldDisagreements!A2:A999, 0)), "")</f>
        <v>effortless-python</v>
      </c>
      <c r="I1546" s="3" t="str">
        <f>_xlfn.IFNA(INDEX(FieldDisagreements!D2:D999, MATCH(C1546,FieldDisagreements!A2:A999, 0)), "")</f>
        <v>KnowledgeFragments.EvidenceAgeDays</v>
      </c>
      <c r="J1546" s="2" t="s">
        <v>1906</v>
      </c>
    </row>
    <row r="1547">
      <c r="A1547" s="2" t="s">
        <v>16814</v>
      </c>
      <c r="B1547" s="3" t="str">
        <f>_xlfn.CONCAT(C1547, " @ ", D1547)</f>
        <v>effortless-python|KnowledgeFragments.EvidenceAgeDays @ kf-policy-manager-route</v>
      </c>
      <c r="C1547" s="2" t="s">
        <v>14941</v>
      </c>
      <c r="D1547" s="2" t="s">
        <v>1171</v>
      </c>
      <c r="E1547" s="2" t="s">
        <v>15077</v>
      </c>
      <c r="F1547" s="2" t="s">
        <v>15078</v>
      </c>
      <c r="G1547" s="2" t="s">
        <v>14591</v>
      </c>
      <c r="H1547" s="3" t="str">
        <f>_xlfn.IFNA(INDEX(FieldDisagreements!C2:C999, MATCH(C1547,FieldDisagreements!A2:A999, 0)), "")</f>
        <v>effortless-python</v>
      </c>
      <c r="I1547" s="3" t="str">
        <f>_xlfn.IFNA(INDEX(FieldDisagreements!D2:D999, MATCH(C1547,FieldDisagreements!A2:A999, 0)), "")</f>
        <v>KnowledgeFragments.EvidenceAgeDays</v>
      </c>
      <c r="J1547" s="2" t="s">
        <v>1906</v>
      </c>
    </row>
    <row r="1548">
      <c r="A1548" s="2" t="s">
        <v>16815</v>
      </c>
      <c r="B1548" s="3" t="str">
        <f>_xlfn.CONCAT(C1548, " @ ", D1548)</f>
        <v>effortless-python|KnowledgeFragments.AgeDays @ kf-policy-ai-boundary</v>
      </c>
      <c r="C1548" s="2" t="s">
        <v>14942</v>
      </c>
      <c r="D1548" s="2" t="s">
        <v>1167</v>
      </c>
      <c r="E1548" s="2" t="s">
        <v>15074</v>
      </c>
      <c r="F1548" s="2" t="s">
        <v>15075</v>
      </c>
      <c r="G1548" s="2" t="s">
        <v>14591</v>
      </c>
      <c r="H1548" s="3" t="str">
        <f>_xlfn.IFNA(INDEX(FieldDisagreements!C2:C999, MATCH(C1548,FieldDisagreements!A2:A999, 0)), "")</f>
        <v>effortless-python</v>
      </c>
      <c r="I1548" s="3" t="str">
        <f>_xlfn.IFNA(INDEX(FieldDisagreements!D2:D999, MATCH(C1548,FieldDisagreements!A2:A999, 0)), "")</f>
        <v>KnowledgeFragments.AgeDays</v>
      </c>
      <c r="J1548" s="2" t="s">
        <v>1906</v>
      </c>
    </row>
    <row r="1549">
      <c r="A1549" s="2" t="s">
        <v>16816</v>
      </c>
      <c r="B1549" s="3" t="str">
        <f>_xlfn.CONCAT(C1549, " @ ", D1549)</f>
        <v>effortless-python|KnowledgeFragments.AgeDays @ kf-policy-channel</v>
      </c>
      <c r="C1549" s="2" t="s">
        <v>14942</v>
      </c>
      <c r="D1549" s="2" t="s">
        <v>1169</v>
      </c>
      <c r="E1549" s="2" t="s">
        <v>15077</v>
      </c>
      <c r="F1549" s="2" t="s">
        <v>15078</v>
      </c>
      <c r="G1549" s="2" t="s">
        <v>14591</v>
      </c>
      <c r="H1549" s="3" t="str">
        <f>_xlfn.IFNA(INDEX(FieldDisagreements!C2:C999, MATCH(C1549,FieldDisagreements!A2:A999, 0)), "")</f>
        <v>effortless-python</v>
      </c>
      <c r="I1549" s="3" t="str">
        <f>_xlfn.IFNA(INDEX(FieldDisagreements!D2:D999, MATCH(C1549,FieldDisagreements!A2:A999, 0)), "")</f>
        <v>KnowledgeFragments.AgeDays</v>
      </c>
      <c r="J1549" s="2" t="s">
        <v>1906</v>
      </c>
    </row>
    <row r="1550">
      <c r="A1550" s="2" t="s">
        <v>16817</v>
      </c>
      <c r="B1550" s="3" t="str">
        <f>_xlfn.CONCAT(C1550, " @ ", D1550)</f>
        <v>effortless-python|KnowledgeFragments.AgeDays @ kf-policy-manager-route</v>
      </c>
      <c r="C1550" s="2" t="s">
        <v>14942</v>
      </c>
      <c r="D1550" s="2" t="s">
        <v>1171</v>
      </c>
      <c r="E1550" s="2" t="s">
        <v>15077</v>
      </c>
      <c r="F1550" s="2" t="s">
        <v>15078</v>
      </c>
      <c r="G1550" s="2" t="s">
        <v>14591</v>
      </c>
      <c r="H1550" s="3" t="str">
        <f>_xlfn.IFNA(INDEX(FieldDisagreements!C2:C999, MATCH(C1550,FieldDisagreements!A2:A999, 0)), "")</f>
        <v>effortless-python</v>
      </c>
      <c r="I1550" s="3" t="str">
        <f>_xlfn.IFNA(INDEX(FieldDisagreements!D2:D999, MATCH(C1550,FieldDisagreements!A2:A999, 0)), "")</f>
        <v>KnowledgeFragments.AgeDays</v>
      </c>
      <c r="J1550" s="2" t="s">
        <v>1906</v>
      </c>
    </row>
    <row r="1551">
      <c r="A1551" s="2" t="s">
        <v>16818</v>
      </c>
      <c r="B1551" s="3" t="str">
        <f>_xlfn.CONCAT(C1551, " @ ", D1551)</f>
        <v>effortless-python|KnowledgeFragments.DaysAwaitingMyApproval @ kf-policy-manager-route</v>
      </c>
      <c r="C1551" s="2" t="s">
        <v>14943</v>
      </c>
      <c r="D1551" s="2" t="s">
        <v>1171</v>
      </c>
      <c r="E1551" s="2" t="s">
        <v>15077</v>
      </c>
      <c r="F1551" s="2" t="s">
        <v>15078</v>
      </c>
      <c r="G1551" s="2" t="s">
        <v>14591</v>
      </c>
      <c r="H1551" s="3" t="str">
        <f>_xlfn.IFNA(INDEX(FieldDisagreements!C2:C999, MATCH(C1551,FieldDisagreements!A2:A999, 0)), "")</f>
        <v>effortless-python</v>
      </c>
      <c r="I1551" s="3" t="str">
        <f>_xlfn.IFNA(INDEX(FieldDisagreements!D2:D999, MATCH(C1551,FieldDisagreements!A2:A999, 0)), "")</f>
        <v>KnowledgeFragments.DaysAwaitingMyApproval</v>
      </c>
      <c r="J1551" s="2" t="s">
        <v>1906</v>
      </c>
    </row>
    <row r="1552">
      <c r="A1552" s="2" t="s">
        <v>16819</v>
      </c>
      <c r="B1552" s="3" t="str">
        <f>_xlfn.CONCAT(C1552, " @ ", D1552)</f>
        <v>effortless-python|KnowledgeGaps.DaysOpen @ gap-policy-delivery-receipts</v>
      </c>
      <c r="C1552" s="2" t="s">
        <v>14944</v>
      </c>
      <c r="D1552" s="2" t="s">
        <v>1196</v>
      </c>
      <c r="E1552" s="2" t="s">
        <v>935</v>
      </c>
      <c r="F1552" s="2" t="s">
        <v>37</v>
      </c>
      <c r="G1552" s="2" t="s">
        <v>14591</v>
      </c>
      <c r="H1552" s="3" t="str">
        <f>_xlfn.IFNA(INDEX(FieldDisagreements!C2:C999, MATCH(C1552,FieldDisagreements!A2:A999, 0)), "")</f>
        <v>effortless-python</v>
      </c>
      <c r="I1552" s="3" t="str">
        <f>_xlfn.IFNA(INDEX(FieldDisagreements!D2:D999, MATCH(C1552,FieldDisagreements!A2:A999, 0)), "")</f>
        <v>KnowledgeGaps.DaysOpen</v>
      </c>
      <c r="J1552" s="2" t="s">
        <v>1906</v>
      </c>
    </row>
    <row r="1553">
      <c r="A1553" s="2" t="s">
        <v>16820</v>
      </c>
      <c r="B1553" s="3" t="str">
        <f>_xlfn.CONCAT(C1553, " @ ", D1553)</f>
        <v>effortless-python|IssueOccurrences.Name @ issue-close-feed</v>
      </c>
      <c r="C1553" s="2" t="s">
        <v>14945</v>
      </c>
      <c r="D1553" s="2" t="s">
        <v>1527</v>
      </c>
      <c r="E1553" s="2" t="s">
        <v>15094</v>
      </c>
      <c r="F1553" s="2" t="s">
        <v>15095</v>
      </c>
      <c r="G1553" s="2" t="s">
        <v>14591</v>
      </c>
      <c r="H1553" s="3" t="str">
        <f>_xlfn.IFNA(INDEX(FieldDisagreements!C2:C999, MATCH(C1553,FieldDisagreements!A2:A999, 0)), "")</f>
        <v>effortless-python</v>
      </c>
      <c r="I1553" s="3" t="str">
        <f>_xlfn.IFNA(INDEX(FieldDisagreements!D2:D999, MATCH(C1553,FieldDisagreements!A2:A999, 0)), "")</f>
        <v>IssueOccurrences.Name</v>
      </c>
      <c r="J1553" s="2" t="s">
        <v>1906</v>
      </c>
    </row>
    <row r="1554">
      <c r="A1554" s="2" t="s">
        <v>16821</v>
      </c>
      <c r="B1554" s="3" t="str">
        <f>_xlfn.CONCAT(C1554, " @ ", D1554)</f>
        <v>effortless-python|IssueOccurrences.Name @ issue-policy-sms</v>
      </c>
      <c r="C1554" s="2" t="s">
        <v>14945</v>
      </c>
      <c r="D1554" s="2" t="s">
        <v>1531</v>
      </c>
      <c r="E1554" s="2" t="s">
        <v>15097</v>
      </c>
      <c r="F1554" s="2" t="s">
        <v>15098</v>
      </c>
      <c r="G1554" s="2" t="s">
        <v>14591</v>
      </c>
      <c r="H1554" s="3" t="str">
        <f>_xlfn.IFNA(INDEX(FieldDisagreements!C2:C999, MATCH(C1554,FieldDisagreements!A2:A999, 0)), "")</f>
        <v>effortless-python</v>
      </c>
      <c r="I1554" s="3" t="str">
        <f>_xlfn.IFNA(INDEX(FieldDisagreements!D2:D999, MATCH(C1554,FieldDisagreements!A2:A999, 0)), "")</f>
        <v>IssueOccurrences.Name</v>
      </c>
      <c r="J1554" s="2" t="s">
        <v>1906</v>
      </c>
    </row>
    <row r="1555">
      <c r="A1555" s="2" t="s">
        <v>16822</v>
      </c>
      <c r="B1555" s="3" t="str">
        <f>_xlfn.CONCAT(C1555, " @ ", D1555)</f>
        <v>effortless-python|ChangeRequests.DaysPending @ cr-close-timestamp</v>
      </c>
      <c r="C1555" s="2" t="s">
        <v>14946</v>
      </c>
      <c r="D1555" s="2" t="s">
        <v>1556</v>
      </c>
      <c r="E1555" s="2" t="s">
        <v>935</v>
      </c>
      <c r="F1555" s="2" t="s">
        <v>37</v>
      </c>
      <c r="G1555" s="2" t="s">
        <v>14591</v>
      </c>
      <c r="H1555" s="3" t="str">
        <f>_xlfn.IFNA(INDEX(FieldDisagreements!C2:C999, MATCH(C1555,FieldDisagreements!A2:A999, 0)), "")</f>
        <v>effortless-python</v>
      </c>
      <c r="I1555" s="3" t="str">
        <f>_xlfn.IFNA(INDEX(FieldDisagreements!D2:D999, MATCH(C1555,FieldDisagreements!A2:A999, 0)), "")</f>
        <v>ChangeRequests.DaysPending</v>
      </c>
      <c r="J1555" s="2" t="s">
        <v>1906</v>
      </c>
    </row>
    <row r="1556">
      <c r="A1556" s="2" t="s">
        <v>16823</v>
      </c>
      <c r="B1556" s="3" t="str">
        <f>_xlfn.CONCAT(C1556, " @ ", D1556)</f>
        <v>effortless-python|ChangeRequests.DecisionLatencyDays @ cr-close-timestamp</v>
      </c>
      <c r="C1556" s="2" t="s">
        <v>14947</v>
      </c>
      <c r="D1556" s="2" t="s">
        <v>1556</v>
      </c>
      <c r="E1556" s="2" t="s">
        <v>935</v>
      </c>
      <c r="F1556" s="2" t="s">
        <v>37</v>
      </c>
      <c r="G1556" s="2" t="s">
        <v>14591</v>
      </c>
      <c r="H1556" s="3" t="str">
        <f>_xlfn.IFNA(INDEX(FieldDisagreements!C2:C999, MATCH(C1556,FieldDisagreements!A2:A999, 0)), "")</f>
        <v>effortless-python</v>
      </c>
      <c r="I1556" s="3" t="str">
        <f>_xlfn.IFNA(INDEX(FieldDisagreements!D2:D999, MATCH(C1556,FieldDisagreements!A2:A999, 0)), "")</f>
        <v>ChangeRequests.DecisionLatencyDays</v>
      </c>
      <c r="J1556" s="2" t="s">
        <v>1906</v>
      </c>
    </row>
    <row r="1557">
      <c r="A1557" s="2" t="s">
        <v>16824</v>
      </c>
      <c r="B1557" s="3" t="str">
        <f>_xlfn.CONCAT(C1557, " @ ", D1557)</f>
        <v>effortless-python|ReviewEvents.DaysSinceReviewed @ review-close-q1</v>
      </c>
      <c r="C1557" s="2" t="s">
        <v>14948</v>
      </c>
      <c r="D1557" s="2" t="s">
        <v>1626</v>
      </c>
      <c r="E1557" s="2" t="s">
        <v>15102</v>
      </c>
      <c r="F1557" s="2" t="s">
        <v>15103</v>
      </c>
      <c r="G1557" s="2" t="s">
        <v>14591</v>
      </c>
      <c r="H1557" s="3" t="str">
        <f>_xlfn.IFNA(INDEX(FieldDisagreements!C2:C999, MATCH(C1557,FieldDisagreements!A2:A999, 0)), "")</f>
        <v>effortless-python</v>
      </c>
      <c r="I1557" s="3" t="str">
        <f>_xlfn.IFNA(INDEX(FieldDisagreements!D2:D999, MATCH(C1557,FieldDisagreements!A2:A999, 0)), "")</f>
        <v>ReviewEvents.DaysSinceReviewed</v>
      </c>
      <c r="J1557" s="2" t="s">
        <v>1906</v>
      </c>
    </row>
    <row r="1558">
      <c r="A1558" s="2" t="s">
        <v>16825</v>
      </c>
      <c r="B1558" s="3" t="str">
        <f>_xlfn.CONCAT(C1558, " @ ", D1558)</f>
        <v>effortless-python|ReviewEvents.DaysSinceReviewed @ review-close-q2</v>
      </c>
      <c r="C1558" s="2" t="s">
        <v>14948</v>
      </c>
      <c r="D1558" s="2" t="s">
        <v>1630</v>
      </c>
      <c r="E1558" s="2" t="s">
        <v>15054</v>
      </c>
      <c r="F1558" s="2" t="s">
        <v>8195</v>
      </c>
      <c r="G1558" s="2" t="s">
        <v>14591</v>
      </c>
      <c r="H1558" s="3" t="str">
        <f>_xlfn.IFNA(INDEX(FieldDisagreements!C2:C999, MATCH(C1558,FieldDisagreements!A2:A999, 0)), "")</f>
        <v>effortless-python</v>
      </c>
      <c r="I1558" s="3" t="str">
        <f>_xlfn.IFNA(INDEX(FieldDisagreements!D2:D999, MATCH(C1558,FieldDisagreements!A2:A999, 0)), "")</f>
        <v>ReviewEvents.DaysSinceReviewed</v>
      </c>
      <c r="J1558" s="2" t="s">
        <v>1906</v>
      </c>
    </row>
    <row r="1559">
      <c r="A1559" s="2" t="s">
        <v>16826</v>
      </c>
      <c r="B1559" s="3" t="str">
        <f>_xlfn.CONCAT(C1559, " @ ", D1559)</f>
        <v>effortless-python|ReviewEvents.DaysSinceReviewed @ review-policy-prelaunch</v>
      </c>
      <c r="C1559" s="2" t="s">
        <v>14948</v>
      </c>
      <c r="D1559" s="2" t="s">
        <v>1632</v>
      </c>
      <c r="E1559" s="2" t="s">
        <v>935</v>
      </c>
      <c r="F1559" s="2" t="s">
        <v>37</v>
      </c>
      <c r="G1559" s="2" t="s">
        <v>14591</v>
      </c>
      <c r="H1559" s="3" t="str">
        <f>_xlfn.IFNA(INDEX(FieldDisagreements!C2:C999, MATCH(C1559,FieldDisagreements!A2:A999, 0)), "")</f>
        <v>effortless-python</v>
      </c>
      <c r="I1559" s="3" t="str">
        <f>_xlfn.IFNA(INDEX(FieldDisagreements!D2:D999, MATCH(C1559,FieldDisagreements!A2:A999, 0)), "")</f>
        <v>ReviewEvents.DaysSinceReviewed</v>
      </c>
      <c r="J1559" s="2" t="s">
        <v>1906</v>
      </c>
    </row>
    <row r="1560">
      <c r="A1560" s="2" t="s">
        <v>16827</v>
      </c>
      <c r="B1560" s="3" t="str">
        <f>_xlfn.CONCAT(C1560, " @ ", D1560)</f>
        <v>effortless-python|ReviewEvents.CadenceDriftDays @ review-close-q1</v>
      </c>
      <c r="C1560" s="2" t="s">
        <v>14949</v>
      </c>
      <c r="D1560" s="2" t="s">
        <v>1626</v>
      </c>
      <c r="E1560" s="2" t="s">
        <v>15107</v>
      </c>
      <c r="F1560" s="2" t="s">
        <v>15108</v>
      </c>
      <c r="G1560" s="2" t="s">
        <v>14591</v>
      </c>
      <c r="H1560" s="3" t="str">
        <f>_xlfn.IFNA(INDEX(FieldDisagreements!C2:C999, MATCH(C1560,FieldDisagreements!A2:A999, 0)), "")</f>
        <v>effortless-python</v>
      </c>
      <c r="I1560" s="3" t="str">
        <f>_xlfn.IFNA(INDEX(FieldDisagreements!D2:D999, MATCH(C1560,FieldDisagreements!A2:A999, 0)), "")</f>
        <v>ReviewEvents.CadenceDriftDays</v>
      </c>
      <c r="J1560" s="2" t="s">
        <v>1906</v>
      </c>
    </row>
    <row r="1561">
      <c r="A1561" s="2" t="s">
        <v>16828</v>
      </c>
      <c r="B1561" s="3" t="str">
        <f>_xlfn.CONCAT(C1561, " @ ", D1561)</f>
        <v>effortless-python|ReviewEvents.CadenceDriftDays @ review-close-q2</v>
      </c>
      <c r="C1561" s="2" t="s">
        <v>14949</v>
      </c>
      <c r="D1561" s="2" t="s">
        <v>1630</v>
      </c>
      <c r="E1561" s="2" t="s">
        <v>15110</v>
      </c>
      <c r="F1561" s="2" t="s">
        <v>15111</v>
      </c>
      <c r="G1561" s="2" t="s">
        <v>14591</v>
      </c>
      <c r="H1561" s="3" t="str">
        <f>_xlfn.IFNA(INDEX(FieldDisagreements!C2:C999, MATCH(C1561,FieldDisagreements!A2:A999, 0)), "")</f>
        <v>effortless-python</v>
      </c>
      <c r="I1561" s="3" t="str">
        <f>_xlfn.IFNA(INDEX(FieldDisagreements!D2:D999, MATCH(C1561,FieldDisagreements!A2:A999, 0)), "")</f>
        <v>ReviewEvents.CadenceDriftDays</v>
      </c>
      <c r="J1561" s="2" t="s">
        <v>1906</v>
      </c>
    </row>
    <row r="1562">
      <c r="A1562" s="2" t="s">
        <v>16829</v>
      </c>
      <c r="B1562" s="3" t="str">
        <f>_xlfn.CONCAT(C1562, " @ ", D1562)</f>
        <v>effortless-python|ReviewEvents.CadenceDriftDays @ review-policy-prelaunch</v>
      </c>
      <c r="C1562" s="2" t="s">
        <v>14949</v>
      </c>
      <c r="D1562" s="2" t="s">
        <v>1632</v>
      </c>
      <c r="E1562" s="2" t="s">
        <v>15113</v>
      </c>
      <c r="F1562" s="2" t="s">
        <v>15114</v>
      </c>
      <c r="G1562" s="2" t="s">
        <v>14591</v>
      </c>
      <c r="H1562" s="3" t="str">
        <f>_xlfn.IFNA(INDEX(FieldDisagreements!C2:C999, MATCH(C1562,FieldDisagreements!A2:A999, 0)), "")</f>
        <v>effortless-python</v>
      </c>
      <c r="I1562" s="3" t="str">
        <f>_xlfn.IFNA(INDEX(FieldDisagreements!D2:D999, MATCH(C1562,FieldDisagreements!A2:A999, 0)), "")</f>
        <v>ReviewEvents.CadenceDriftDays</v>
      </c>
      <c r="J1562" s="2" t="s">
        <v>1906</v>
      </c>
    </row>
    <row r="1563">
      <c r="A1563" s="2" t="s">
        <v>16830</v>
      </c>
      <c r="B1563" s="3" t="str">
        <f>_xlfn.CONCAT(C1563, " @ ", D1563)</f>
        <v>effortless-python|LearningActivities.Name @ learn-close-retro</v>
      </c>
      <c r="C1563" s="2" t="s">
        <v>14950</v>
      </c>
      <c r="D1563" s="2" t="s">
        <v>1637</v>
      </c>
      <c r="E1563" s="2" t="s">
        <v>15116</v>
      </c>
      <c r="F1563" s="2" t="s">
        <v>15117</v>
      </c>
      <c r="G1563" s="2" t="s">
        <v>14591</v>
      </c>
      <c r="H1563" s="3" t="str">
        <f>_xlfn.IFNA(INDEX(FieldDisagreements!C2:C999, MATCH(C1563,FieldDisagreements!A2:A999, 0)), "")</f>
        <v>effortless-python</v>
      </c>
      <c r="I1563" s="3" t="str">
        <f>_xlfn.IFNA(INDEX(FieldDisagreements!D2:D999, MATCH(C1563,FieldDisagreements!A2:A999, 0)), "")</f>
        <v>LearningActivities.Name</v>
      </c>
      <c r="J1563" s="2" t="s">
        <v>1906</v>
      </c>
    </row>
    <row r="1564">
      <c r="A1564" s="2" t="s">
        <v>16831</v>
      </c>
      <c r="B1564" s="3" t="str">
        <f>_xlfn.CONCAT(C1564, " @ ", D1564)</f>
        <v>effortless-python|LearningActivities.Name @ learn-policy-tabletop</v>
      </c>
      <c r="C1564" s="2" t="s">
        <v>14950</v>
      </c>
      <c r="D1564" s="2" t="s">
        <v>1639</v>
      </c>
      <c r="E1564" s="2" t="s">
        <v>15119</v>
      </c>
      <c r="F1564" s="2" t="s">
        <v>15120</v>
      </c>
      <c r="G1564" s="2" t="s">
        <v>14591</v>
      </c>
      <c r="H1564" s="3" t="str">
        <f>_xlfn.IFNA(INDEX(FieldDisagreements!C2:C999, MATCH(C1564,FieldDisagreements!A2:A999, 0)), "")</f>
        <v>effortless-python</v>
      </c>
      <c r="I1564" s="3" t="str">
        <f>_xlfn.IFNA(INDEX(FieldDisagreements!D2:D999, MATCH(C1564,FieldDisagreements!A2:A999, 0)), "")</f>
        <v>LearningActivities.Name</v>
      </c>
      <c r="J1564" s="2" t="s">
        <v>1906</v>
      </c>
    </row>
    <row r="1565">
      <c r="A1565" s="2" t="s">
        <v>16832</v>
      </c>
      <c r="B1565" s="3" t="str">
        <f>_xlfn.CONCAT(C1565, " @ ", D1565)</f>
        <v>effortless-python|ObservedTransitions.Name @ obs-close-01-02-q2</v>
      </c>
      <c r="C1565" s="2" t="s">
        <v>14951</v>
      </c>
      <c r="D1565" s="2" t="s">
        <v>8200</v>
      </c>
      <c r="E1565" s="2" t="s">
        <v>15122</v>
      </c>
      <c r="F1565" s="2" t="s">
        <v>15123</v>
      </c>
      <c r="G1565" s="2" t="s">
        <v>14591</v>
      </c>
      <c r="H1565" s="3" t="str">
        <f>_xlfn.IFNA(INDEX(FieldDisagreements!C2:C999, MATCH(C1565,FieldDisagreements!A2:A999, 0)), "")</f>
        <v>effortless-python</v>
      </c>
      <c r="I1565" s="3" t="str">
        <f>_xlfn.IFNA(INDEX(FieldDisagreements!D2:D999, MATCH(C1565,FieldDisagreements!A2:A999, 0)), "")</f>
        <v>ObservedTransitions.Name</v>
      </c>
      <c r="J1565" s="2" t="s">
        <v>1906</v>
      </c>
    </row>
    <row r="1566">
      <c r="A1566" s="2" t="s">
        <v>16833</v>
      </c>
      <c r="B1566" s="3" t="str">
        <f>_xlfn.CONCAT(C1566, " @ ", D1566)</f>
        <v>effortless-python|ObservedTransitions.Name @ obs-close-02-03-q2</v>
      </c>
      <c r="C1566" s="2" t="s">
        <v>14951</v>
      </c>
      <c r="D1566" s="2" t="s">
        <v>8202</v>
      </c>
      <c r="E1566" s="2" t="s">
        <v>15125</v>
      </c>
      <c r="F1566" s="2" t="s">
        <v>15126</v>
      </c>
      <c r="G1566" s="2" t="s">
        <v>14591</v>
      </c>
      <c r="H1566" s="3" t="str">
        <f>_xlfn.IFNA(INDEX(FieldDisagreements!C2:C999, MATCH(C1566,FieldDisagreements!A2:A999, 0)), "")</f>
        <v>effortless-python</v>
      </c>
      <c r="I1566" s="3" t="str">
        <f>_xlfn.IFNA(INDEX(FieldDisagreements!D2:D999, MATCH(C1566,FieldDisagreements!A2:A999, 0)), "")</f>
        <v>ObservedTransitions.Name</v>
      </c>
      <c r="J1566" s="2" t="s">
        <v>1906</v>
      </c>
    </row>
    <row r="1567">
      <c r="A1567" s="2" t="s">
        <v>16834</v>
      </c>
      <c r="B1567" s="3" t="str">
        <f>_xlfn.CONCAT(C1567, " @ ", D1567)</f>
        <v>effortless-python|ObservedTransitions.Name @ obs-close-03-04-q2</v>
      </c>
      <c r="C1567" s="2" t="s">
        <v>14951</v>
      </c>
      <c r="D1567" s="2" t="s">
        <v>8203</v>
      </c>
      <c r="E1567" s="2" t="s">
        <v>15128</v>
      </c>
      <c r="F1567" s="2" t="s">
        <v>15129</v>
      </c>
      <c r="G1567" s="2" t="s">
        <v>14591</v>
      </c>
      <c r="H1567" s="3" t="str">
        <f>_xlfn.IFNA(INDEX(FieldDisagreements!C2:C999, MATCH(C1567,FieldDisagreements!A2:A999, 0)), "")</f>
        <v>effortless-python</v>
      </c>
      <c r="I1567" s="3" t="str">
        <f>_xlfn.IFNA(INDEX(FieldDisagreements!D2:D999, MATCH(C1567,FieldDisagreements!A2:A999, 0)), "")</f>
        <v>ObservedTransitions.Name</v>
      </c>
      <c r="J1567" s="2" t="s">
        <v>1906</v>
      </c>
    </row>
    <row r="1568">
      <c r="A1568" s="2" t="s">
        <v>16835</v>
      </c>
      <c r="B1568" s="3" t="str">
        <f>_xlfn.CONCAT(C1568, " @ ", D1568)</f>
        <v>effortless-python|ObservedTransitions.Name @ obs-close-04-05-q2</v>
      </c>
      <c r="C1568" s="2" t="s">
        <v>14951</v>
      </c>
      <c r="D1568" s="2" t="s">
        <v>8204</v>
      </c>
      <c r="E1568" s="2" t="s">
        <v>15131</v>
      </c>
      <c r="F1568" s="2" t="s">
        <v>15132</v>
      </c>
      <c r="G1568" s="2" t="s">
        <v>14591</v>
      </c>
      <c r="H1568" s="3" t="str">
        <f>_xlfn.IFNA(INDEX(FieldDisagreements!C2:C999, MATCH(C1568,FieldDisagreements!A2:A999, 0)), "")</f>
        <v>effortless-python</v>
      </c>
      <c r="I1568" s="3" t="str">
        <f>_xlfn.IFNA(INDEX(FieldDisagreements!D2:D999, MATCH(C1568,FieldDisagreements!A2:A999, 0)), "")</f>
        <v>ObservedTransitions.Name</v>
      </c>
      <c r="J1568" s="2" t="s">
        <v>1906</v>
      </c>
    </row>
    <row r="1569">
      <c r="A1569" s="2" t="s">
        <v>16836</v>
      </c>
      <c r="B1569" s="3" t="str">
        <f>_xlfn.CONCAT(C1569, " @ ", D1569)</f>
        <v>effortless-python|ObservedTransitions.Name @ obs-close-05-06-q2</v>
      </c>
      <c r="C1569" s="2" t="s">
        <v>14951</v>
      </c>
      <c r="D1569" s="2" t="s">
        <v>8205</v>
      </c>
      <c r="E1569" s="2" t="s">
        <v>15134</v>
      </c>
      <c r="F1569" s="2" t="s">
        <v>15135</v>
      </c>
      <c r="G1569" s="2" t="s">
        <v>14591</v>
      </c>
      <c r="H1569" s="3" t="str">
        <f>_xlfn.IFNA(INDEX(FieldDisagreements!C2:C999, MATCH(C1569,FieldDisagreements!A2:A999, 0)), "")</f>
        <v>effortless-python</v>
      </c>
      <c r="I1569" s="3" t="str">
        <f>_xlfn.IFNA(INDEX(FieldDisagreements!D2:D999, MATCH(C1569,FieldDisagreements!A2:A999, 0)), "")</f>
        <v>ObservedTransitions.Name</v>
      </c>
      <c r="J1569" s="2" t="s">
        <v>1906</v>
      </c>
    </row>
    <row r="1570">
      <c r="A1570" s="2" t="s">
        <v>16837</v>
      </c>
      <c r="B1570" s="3" t="str">
        <f>_xlfn.CONCAT(C1570, " @ ", D1570)</f>
        <v>effortless-python|ObservedTransitions.Name @ obs-close-06-07-q2</v>
      </c>
      <c r="C1570" s="2" t="s">
        <v>14951</v>
      </c>
      <c r="D1570" s="2" t="s">
        <v>8206</v>
      </c>
      <c r="E1570" s="2" t="s">
        <v>15137</v>
      </c>
      <c r="F1570" s="2" t="s">
        <v>15138</v>
      </c>
      <c r="G1570" s="2" t="s">
        <v>14591</v>
      </c>
      <c r="H1570" s="3" t="str">
        <f>_xlfn.IFNA(INDEX(FieldDisagreements!C2:C999, MATCH(C1570,FieldDisagreements!A2:A999, 0)), "")</f>
        <v>effortless-python</v>
      </c>
      <c r="I1570" s="3" t="str">
        <f>_xlfn.IFNA(INDEX(FieldDisagreements!D2:D999, MATCH(C1570,FieldDisagreements!A2:A999, 0)), "")</f>
        <v>ObservedTransitions.Name</v>
      </c>
      <c r="J1570" s="2" t="s">
        <v>1906</v>
      </c>
    </row>
    <row r="1571">
      <c r="A1571" s="2" t="s">
        <v>16838</v>
      </c>
      <c r="B1571" s="3" t="str">
        <f>_xlfn.CONCAT(C1571, " @ ", D1571)</f>
        <v>effortless-python|ObservedTransitions.Name @ obs-close-07-08-q2</v>
      </c>
      <c r="C1571" s="2" t="s">
        <v>14951</v>
      </c>
      <c r="D1571" s="2" t="s">
        <v>8207</v>
      </c>
      <c r="E1571" s="2" t="s">
        <v>15140</v>
      </c>
      <c r="F1571" s="2" t="s">
        <v>15141</v>
      </c>
      <c r="G1571" s="2" t="s">
        <v>14591</v>
      </c>
      <c r="H1571" s="3" t="str">
        <f>_xlfn.IFNA(INDEX(FieldDisagreements!C2:C999, MATCH(C1571,FieldDisagreements!A2:A999, 0)), "")</f>
        <v>effortless-python</v>
      </c>
      <c r="I1571" s="3" t="str">
        <f>_xlfn.IFNA(INDEX(FieldDisagreements!D2:D999, MATCH(C1571,FieldDisagreements!A2:A999, 0)), "")</f>
        <v>ObservedTransitions.Name</v>
      </c>
      <c r="J1571" s="2" t="s">
        <v>1906</v>
      </c>
    </row>
    <row r="1572">
      <c r="A1572" s="2" t="s">
        <v>16839</v>
      </c>
      <c r="B1572" s="3" t="str">
        <f>_xlfn.CONCAT(C1572, " @ ", D1572)</f>
        <v>effortless-python|ObservedTransitions.Name @ obs-policy-01-02-hr4821</v>
      </c>
      <c r="C1572" s="2" t="s">
        <v>14951</v>
      </c>
      <c r="D1572" s="2" t="s">
        <v>8208</v>
      </c>
      <c r="E1572" s="2" t="s">
        <v>15143</v>
      </c>
      <c r="F1572" s="2" t="s">
        <v>15144</v>
      </c>
      <c r="G1572" s="2" t="s">
        <v>14591</v>
      </c>
      <c r="H1572" s="3" t="str">
        <f>_xlfn.IFNA(INDEX(FieldDisagreements!C2:C999, MATCH(C1572,FieldDisagreements!A2:A999, 0)), "")</f>
        <v>effortless-python</v>
      </c>
      <c r="I1572" s="3" t="str">
        <f>_xlfn.IFNA(INDEX(FieldDisagreements!D2:D999, MATCH(C1572,FieldDisagreements!A2:A999, 0)), "")</f>
        <v>ObservedTransitions.Name</v>
      </c>
      <c r="J1572" s="2" t="s">
        <v>1906</v>
      </c>
    </row>
    <row r="1573">
      <c r="A1573" s="2" t="s">
        <v>16840</v>
      </c>
      <c r="B1573" s="3" t="str">
        <f>_xlfn.CONCAT(C1573, " @ ", D1573)</f>
        <v>effortless-python|ObservedTransitions.Name @ obs-policy-02-03-hr4821</v>
      </c>
      <c r="C1573" s="2" t="s">
        <v>14951</v>
      </c>
      <c r="D1573" s="2" t="s">
        <v>8209</v>
      </c>
      <c r="E1573" s="2" t="s">
        <v>15146</v>
      </c>
      <c r="F1573" s="2" t="s">
        <v>15147</v>
      </c>
      <c r="G1573" s="2" t="s">
        <v>14591</v>
      </c>
      <c r="H1573" s="3" t="str">
        <f>_xlfn.IFNA(INDEX(FieldDisagreements!C2:C999, MATCH(C1573,FieldDisagreements!A2:A999, 0)), "")</f>
        <v>effortless-python</v>
      </c>
      <c r="I1573" s="3" t="str">
        <f>_xlfn.IFNA(INDEX(FieldDisagreements!D2:D999, MATCH(C1573,FieldDisagreements!A2:A999, 0)), "")</f>
        <v>ObservedTransitions.Name</v>
      </c>
      <c r="J1573" s="2" t="s">
        <v>1906</v>
      </c>
    </row>
    <row r="1574">
      <c r="A1574" s="2" t="s">
        <v>16841</v>
      </c>
      <c r="B1574" s="3" t="str">
        <f>_xlfn.CONCAT(C1574, " @ ", D1574)</f>
        <v>effortless-python|ObservedTransitions.Name @ obs-policy-03-04-hr4821</v>
      </c>
      <c r="C1574" s="2" t="s">
        <v>14951</v>
      </c>
      <c r="D1574" s="2" t="s">
        <v>8210</v>
      </c>
      <c r="E1574" s="2" t="s">
        <v>15149</v>
      </c>
      <c r="F1574" s="2" t="s">
        <v>15150</v>
      </c>
      <c r="G1574" s="2" t="s">
        <v>14591</v>
      </c>
      <c r="H1574" s="3" t="str">
        <f>_xlfn.IFNA(INDEX(FieldDisagreements!C2:C999, MATCH(C1574,FieldDisagreements!A2:A999, 0)), "")</f>
        <v>effortless-python</v>
      </c>
      <c r="I1574" s="3" t="str">
        <f>_xlfn.IFNA(INDEX(FieldDisagreements!D2:D999, MATCH(C1574,FieldDisagreements!A2:A999, 0)), "")</f>
        <v>ObservedTransitions.Name</v>
      </c>
      <c r="J1574" s="2" t="s">
        <v>1906</v>
      </c>
    </row>
    <row r="1575">
      <c r="A1575" s="2" t="s">
        <v>16842</v>
      </c>
      <c r="B1575" s="3" t="str">
        <f>_xlfn.CONCAT(C1575, " @ ", D1575)</f>
        <v>effortless-python|MessageDeliveries.Name @ md-001</v>
      </c>
      <c r="C1575" s="2" t="s">
        <v>14952</v>
      </c>
      <c r="D1575" s="2" t="s">
        <v>8234</v>
      </c>
      <c r="E1575" s="2" t="s">
        <v>15152</v>
      </c>
      <c r="F1575" s="2" t="s">
        <v>15153</v>
      </c>
      <c r="G1575" s="2" t="s">
        <v>14591</v>
      </c>
      <c r="H1575" s="3" t="str">
        <f>_xlfn.IFNA(INDEX(FieldDisagreements!C2:C999, MATCH(C1575,FieldDisagreements!A2:A999, 0)), "")</f>
        <v>effortless-python</v>
      </c>
      <c r="I1575" s="3" t="str">
        <f>_xlfn.IFNA(INDEX(FieldDisagreements!D2:D999, MATCH(C1575,FieldDisagreements!A2:A999, 0)), "")</f>
        <v>MessageDeliveries.Name</v>
      </c>
      <c r="J1575" s="2" t="s">
        <v>1906</v>
      </c>
    </row>
    <row r="1576">
      <c r="A1576" s="2" t="s">
        <v>16843</v>
      </c>
      <c r="B1576" s="3" t="str">
        <f>_xlfn.CONCAT(C1576, " @ ", D1576)</f>
        <v>effortless-python|MessageDeliveries.Name @ md-002</v>
      </c>
      <c r="C1576" s="2" t="s">
        <v>14952</v>
      </c>
      <c r="D1576" s="2" t="s">
        <v>8238</v>
      </c>
      <c r="E1576" s="2" t="s">
        <v>15155</v>
      </c>
      <c r="F1576" s="2" t="s">
        <v>15156</v>
      </c>
      <c r="G1576" s="2" t="s">
        <v>14591</v>
      </c>
      <c r="H1576" s="3" t="str">
        <f>_xlfn.IFNA(INDEX(FieldDisagreements!C2:C999, MATCH(C1576,FieldDisagreements!A2:A999, 0)), "")</f>
        <v>effortless-python</v>
      </c>
      <c r="I1576" s="3" t="str">
        <f>_xlfn.IFNA(INDEX(FieldDisagreements!D2:D999, MATCH(C1576,FieldDisagreements!A2:A999, 0)), "")</f>
        <v>MessageDeliveries.Name</v>
      </c>
      <c r="J1576" s="2" t="s">
        <v>1906</v>
      </c>
    </row>
    <row r="1577">
      <c r="A1577" s="2" t="s">
        <v>16844</v>
      </c>
      <c r="B1577" s="3" t="str">
        <f>_xlfn.CONCAT(C1577, " @ ", D1577)</f>
        <v>effortless-python|MessageDeliveries.Name @ md-003</v>
      </c>
      <c r="C1577" s="2" t="s">
        <v>14952</v>
      </c>
      <c r="D1577" s="2" t="s">
        <v>8239</v>
      </c>
      <c r="E1577" s="2" t="s">
        <v>15158</v>
      </c>
      <c r="F1577" s="2" t="s">
        <v>15159</v>
      </c>
      <c r="G1577" s="2" t="s">
        <v>14591</v>
      </c>
      <c r="H1577" s="3" t="str">
        <f>_xlfn.IFNA(INDEX(FieldDisagreements!C2:C999, MATCH(C1577,FieldDisagreements!A2:A999, 0)), "")</f>
        <v>effortless-python</v>
      </c>
      <c r="I1577" s="3" t="str">
        <f>_xlfn.IFNA(INDEX(FieldDisagreements!D2:D999, MATCH(C1577,FieldDisagreements!A2:A999, 0)), "")</f>
        <v>MessageDeliveries.Name</v>
      </c>
      <c r="J1577" s="2" t="s">
        <v>1906</v>
      </c>
    </row>
    <row r="1578">
      <c r="A1578" s="2" t="s">
        <v>16845</v>
      </c>
      <c r="B1578" s="3" t="str">
        <f>_xlfn.CONCAT(C1578, " @ ", D1578)</f>
        <v>effortless-python|MessageDeliveries.Name @ md-004</v>
      </c>
      <c r="C1578" s="2" t="s">
        <v>14952</v>
      </c>
      <c r="D1578" s="2" t="s">
        <v>8241</v>
      </c>
      <c r="E1578" s="2" t="s">
        <v>15161</v>
      </c>
      <c r="F1578" s="2" t="s">
        <v>15162</v>
      </c>
      <c r="G1578" s="2" t="s">
        <v>14591</v>
      </c>
      <c r="H1578" s="3" t="str">
        <f>_xlfn.IFNA(INDEX(FieldDisagreements!C2:C999, MATCH(C1578,FieldDisagreements!A2:A999, 0)), "")</f>
        <v>effortless-python</v>
      </c>
      <c r="I1578" s="3" t="str">
        <f>_xlfn.IFNA(INDEX(FieldDisagreements!D2:D999, MATCH(C1578,FieldDisagreements!A2:A999, 0)), "")</f>
        <v>MessageDeliveries.Name</v>
      </c>
      <c r="J1578" s="2" t="s">
        <v>1906</v>
      </c>
    </row>
    <row r="1579">
      <c r="A1579" s="2" t="s">
        <v>16846</v>
      </c>
      <c r="B1579" s="3" t="str">
        <f>_xlfn.CONCAT(C1579, " @ ", D1579)</f>
        <v>effortless-python|MessageDeliveries.Name @ md-005</v>
      </c>
      <c r="C1579" s="2" t="s">
        <v>14952</v>
      </c>
      <c r="D1579" s="2" t="s">
        <v>8244</v>
      </c>
      <c r="E1579" s="2" t="s">
        <v>15164</v>
      </c>
      <c r="F1579" s="2" t="s">
        <v>15165</v>
      </c>
      <c r="G1579" s="2" t="s">
        <v>14591</v>
      </c>
      <c r="H1579" s="3" t="str">
        <f>_xlfn.IFNA(INDEX(FieldDisagreements!C2:C999, MATCH(C1579,FieldDisagreements!A2:A999, 0)), "")</f>
        <v>effortless-python</v>
      </c>
      <c r="I1579" s="3" t="str">
        <f>_xlfn.IFNA(INDEX(FieldDisagreements!D2:D999, MATCH(C1579,FieldDisagreements!A2:A999, 0)), "")</f>
        <v>MessageDeliveries.Name</v>
      </c>
      <c r="J1579" s="2" t="s">
        <v>1906</v>
      </c>
    </row>
    <row r="1580">
      <c r="A1580" s="2" t="s">
        <v>16847</v>
      </c>
      <c r="B1580" s="3" t="str">
        <f>_xlfn.CONCAT(C1580, " @ ", D1580)</f>
        <v>effortless-python|MessageDeliveries.Name @ md-006</v>
      </c>
      <c r="C1580" s="2" t="s">
        <v>14952</v>
      </c>
      <c r="D1580" s="2" t="s">
        <v>8247</v>
      </c>
      <c r="E1580" s="2" t="s">
        <v>15167</v>
      </c>
      <c r="F1580" s="2" t="s">
        <v>15168</v>
      </c>
      <c r="G1580" s="2" t="s">
        <v>14591</v>
      </c>
      <c r="H1580" s="3" t="str">
        <f>_xlfn.IFNA(INDEX(FieldDisagreements!C2:C999, MATCH(C1580,FieldDisagreements!A2:A999, 0)), "")</f>
        <v>effortless-python</v>
      </c>
      <c r="I1580" s="3" t="str">
        <f>_xlfn.IFNA(INDEX(FieldDisagreements!D2:D999, MATCH(C1580,FieldDisagreements!A2:A999, 0)), "")</f>
        <v>MessageDeliveries.Name</v>
      </c>
      <c r="J1580" s="2" t="s">
        <v>1906</v>
      </c>
    </row>
    <row r="1581">
      <c r="A1581" s="2" t="s">
        <v>16848</v>
      </c>
      <c r="B1581" s="3" t="str">
        <f>_xlfn.CONCAT(C1581, " @ ", D1581)</f>
        <v>effortless-python|MessageDeliveries.AgeDays @ md-001</v>
      </c>
      <c r="C1581" s="2" t="s">
        <v>14953</v>
      </c>
      <c r="D1581" s="2" t="s">
        <v>8234</v>
      </c>
      <c r="E1581" s="2" t="s">
        <v>935</v>
      </c>
      <c r="F1581" s="2" t="s">
        <v>37</v>
      </c>
      <c r="G1581" s="2" t="s">
        <v>14591</v>
      </c>
      <c r="H1581" s="3" t="str">
        <f>_xlfn.IFNA(INDEX(FieldDisagreements!C2:C999, MATCH(C1581,FieldDisagreements!A2:A999, 0)), "")</f>
        <v>effortless-python</v>
      </c>
      <c r="I1581" s="3" t="str">
        <f>_xlfn.IFNA(INDEX(FieldDisagreements!D2:D999, MATCH(C1581,FieldDisagreements!A2:A999, 0)), "")</f>
        <v>MessageDeliveries.AgeDays</v>
      </c>
      <c r="J1581" s="2" t="s">
        <v>1906</v>
      </c>
    </row>
    <row r="1582">
      <c r="A1582" s="2" t="s">
        <v>16849</v>
      </c>
      <c r="B1582" s="3" t="str">
        <f>_xlfn.CONCAT(C1582, " @ ", D1582)</f>
        <v>effortless-python|MessageDeliveries.AgeDays @ md-002</v>
      </c>
      <c r="C1582" s="2" t="s">
        <v>14953</v>
      </c>
      <c r="D1582" s="2" t="s">
        <v>8238</v>
      </c>
      <c r="E1582" s="2" t="s">
        <v>935</v>
      </c>
      <c r="F1582" s="2" t="s">
        <v>37</v>
      </c>
      <c r="G1582" s="2" t="s">
        <v>14591</v>
      </c>
      <c r="H1582" s="3" t="str">
        <f>_xlfn.IFNA(INDEX(FieldDisagreements!C2:C999, MATCH(C1582,FieldDisagreements!A2:A999, 0)), "")</f>
        <v>effortless-python</v>
      </c>
      <c r="I1582" s="3" t="str">
        <f>_xlfn.IFNA(INDEX(FieldDisagreements!D2:D999, MATCH(C1582,FieldDisagreements!A2:A999, 0)), "")</f>
        <v>MessageDeliveries.AgeDays</v>
      </c>
      <c r="J1582" s="2" t="s">
        <v>1906</v>
      </c>
    </row>
    <row r="1583">
      <c r="A1583" s="2" t="s">
        <v>16850</v>
      </c>
      <c r="B1583" s="3" t="str">
        <f>_xlfn.CONCAT(C1583, " @ ", D1583)</f>
        <v>effortless-python|MessageDeliveries.AgeDays @ md-003</v>
      </c>
      <c r="C1583" s="2" t="s">
        <v>14953</v>
      </c>
      <c r="D1583" s="2" t="s">
        <v>8239</v>
      </c>
      <c r="E1583" s="2" t="s">
        <v>935</v>
      </c>
      <c r="F1583" s="2" t="s">
        <v>37</v>
      </c>
      <c r="G1583" s="2" t="s">
        <v>14591</v>
      </c>
      <c r="H1583" s="3" t="str">
        <f>_xlfn.IFNA(INDEX(FieldDisagreements!C2:C999, MATCH(C1583,FieldDisagreements!A2:A999, 0)), "")</f>
        <v>effortless-python</v>
      </c>
      <c r="I1583" s="3" t="str">
        <f>_xlfn.IFNA(INDEX(FieldDisagreements!D2:D999, MATCH(C1583,FieldDisagreements!A2:A999, 0)), "")</f>
        <v>MessageDeliveries.AgeDays</v>
      </c>
      <c r="J1583" s="2" t="s">
        <v>1906</v>
      </c>
    </row>
    <row r="1584">
      <c r="A1584" s="2" t="s">
        <v>16851</v>
      </c>
      <c r="B1584" s="3" t="str">
        <f>_xlfn.CONCAT(C1584, " @ ", D1584)</f>
        <v>effortless-python|MessageDeliveries.AgeDays @ md-004</v>
      </c>
      <c r="C1584" s="2" t="s">
        <v>14953</v>
      </c>
      <c r="D1584" s="2" t="s">
        <v>8241</v>
      </c>
      <c r="E1584" s="2" t="s">
        <v>935</v>
      </c>
      <c r="F1584" s="2" t="s">
        <v>37</v>
      </c>
      <c r="G1584" s="2" t="s">
        <v>14591</v>
      </c>
      <c r="H1584" s="3" t="str">
        <f>_xlfn.IFNA(INDEX(FieldDisagreements!C2:C999, MATCH(C1584,FieldDisagreements!A2:A999, 0)), "")</f>
        <v>effortless-python</v>
      </c>
      <c r="I1584" s="3" t="str">
        <f>_xlfn.IFNA(INDEX(FieldDisagreements!D2:D999, MATCH(C1584,FieldDisagreements!A2:A999, 0)), "")</f>
        <v>MessageDeliveries.AgeDays</v>
      </c>
      <c r="J1584" s="2" t="s">
        <v>1906</v>
      </c>
    </row>
    <row r="1585">
      <c r="A1585" s="2" t="s">
        <v>16852</v>
      </c>
      <c r="B1585" s="3" t="str">
        <f>_xlfn.CONCAT(C1585, " @ ", D1585)</f>
        <v>effortless-python|MessageDeliveries.AgeDays @ md-005</v>
      </c>
      <c r="C1585" s="2" t="s">
        <v>14953</v>
      </c>
      <c r="D1585" s="2" t="s">
        <v>8244</v>
      </c>
      <c r="E1585" s="2" t="s">
        <v>935</v>
      </c>
      <c r="F1585" s="2" t="s">
        <v>37</v>
      </c>
      <c r="G1585" s="2" t="s">
        <v>14591</v>
      </c>
      <c r="H1585" s="3" t="str">
        <f>_xlfn.IFNA(INDEX(FieldDisagreements!C2:C999, MATCH(C1585,FieldDisagreements!A2:A999, 0)), "")</f>
        <v>effortless-python</v>
      </c>
      <c r="I1585" s="3" t="str">
        <f>_xlfn.IFNA(INDEX(FieldDisagreements!D2:D999, MATCH(C1585,FieldDisagreements!A2:A999, 0)), "")</f>
        <v>MessageDeliveries.AgeDays</v>
      </c>
      <c r="J1585" s="2" t="s">
        <v>1906</v>
      </c>
    </row>
    <row r="1586">
      <c r="A1586" s="2" t="s">
        <v>16853</v>
      </c>
      <c r="B1586" s="3" t="str">
        <f>_xlfn.CONCAT(C1586, " @ ", D1586)</f>
        <v>effortless-python|MessageDeliveries.AgeDays @ md-006</v>
      </c>
      <c r="C1586" s="2" t="s">
        <v>14953</v>
      </c>
      <c r="D1586" s="2" t="s">
        <v>8247</v>
      </c>
      <c r="E1586" s="2" t="s">
        <v>935</v>
      </c>
      <c r="F1586" s="2" t="s">
        <v>37</v>
      </c>
      <c r="G1586" s="2" t="s">
        <v>14591</v>
      </c>
      <c r="H1586" s="3" t="str">
        <f>_xlfn.IFNA(INDEX(FieldDisagreements!C2:C999, MATCH(C1586,FieldDisagreements!A2:A999, 0)), "")</f>
        <v>effortless-python</v>
      </c>
      <c r="I1586" s="3" t="str">
        <f>_xlfn.IFNA(INDEX(FieldDisagreements!D2:D999, MATCH(C1586,FieldDisagreements!A2:A999, 0)), "")</f>
        <v>MessageDeliveries.AgeDays</v>
      </c>
      <c r="J1586" s="2" t="s">
        <v>1906</v>
      </c>
    </row>
    <row r="1587">
      <c r="A1587" s="2" t="s">
        <v>16854</v>
      </c>
      <c r="B1587" s="3" t="str">
        <f>_xlfn.CONCAT(C1587, " @ ", D1587)</f>
        <v>effortless-python|MessageDeliveries.SegmentCount @ md-001</v>
      </c>
      <c r="C1587" s="2" t="s">
        <v>14954</v>
      </c>
      <c r="D1587" s="2" t="s">
        <v>8234</v>
      </c>
      <c r="E1587" s="2" t="s">
        <v>15036</v>
      </c>
      <c r="F1587" s="2" t="s">
        <v>37</v>
      </c>
      <c r="G1587" s="2" t="s">
        <v>14591</v>
      </c>
      <c r="H1587" s="3" t="str">
        <f>_xlfn.IFNA(INDEX(FieldDisagreements!C2:C999, MATCH(C1587,FieldDisagreements!A2:A999, 0)), "")</f>
        <v>effortless-python</v>
      </c>
      <c r="I1587" s="3" t="str">
        <f>_xlfn.IFNA(INDEX(FieldDisagreements!D2:D999, MATCH(C1587,FieldDisagreements!A2:A999, 0)), "")</f>
        <v>MessageDeliveries.SegmentCount</v>
      </c>
      <c r="J1587" s="2" t="s">
        <v>1906</v>
      </c>
    </row>
    <row r="1588">
      <c r="A1588" s="2" t="s">
        <v>16855</v>
      </c>
      <c r="B1588" s="3" t="str">
        <f>_xlfn.CONCAT(C1588, " @ ", D1588)</f>
        <v>effortless-python|MessageDeliveries.SegmentCount @ md-002</v>
      </c>
      <c r="C1588" s="2" t="s">
        <v>14954</v>
      </c>
      <c r="D1588" s="2" t="s">
        <v>8238</v>
      </c>
      <c r="E1588" s="2" t="s">
        <v>15036</v>
      </c>
      <c r="F1588" s="2" t="s">
        <v>37</v>
      </c>
      <c r="G1588" s="2" t="s">
        <v>14591</v>
      </c>
      <c r="H1588" s="3" t="str">
        <f>_xlfn.IFNA(INDEX(FieldDisagreements!C2:C999, MATCH(C1588,FieldDisagreements!A2:A999, 0)), "")</f>
        <v>effortless-python</v>
      </c>
      <c r="I1588" s="3" t="str">
        <f>_xlfn.IFNA(INDEX(FieldDisagreements!D2:D999, MATCH(C1588,FieldDisagreements!A2:A999, 0)), "")</f>
        <v>MessageDeliveries.SegmentCount</v>
      </c>
      <c r="J1588" s="2" t="s">
        <v>1906</v>
      </c>
    </row>
    <row r="1589">
      <c r="A1589" s="2" t="s">
        <v>16856</v>
      </c>
      <c r="B1589" s="3" t="str">
        <f>_xlfn.CONCAT(C1589, " @ ", D1589)</f>
        <v>effortless-python|MessageDeliveries.SegmentCount @ md-003</v>
      </c>
      <c r="C1589" s="2" t="s">
        <v>14954</v>
      </c>
      <c r="D1589" s="2" t="s">
        <v>8239</v>
      </c>
      <c r="E1589" s="2" t="s">
        <v>15036</v>
      </c>
      <c r="F1589" s="2" t="s">
        <v>37</v>
      </c>
      <c r="G1589" s="2" t="s">
        <v>14591</v>
      </c>
      <c r="H1589" s="3" t="str">
        <f>_xlfn.IFNA(INDEX(FieldDisagreements!C2:C999, MATCH(C1589,FieldDisagreements!A2:A999, 0)), "")</f>
        <v>effortless-python</v>
      </c>
      <c r="I1589" s="3" t="str">
        <f>_xlfn.IFNA(INDEX(FieldDisagreements!D2:D999, MATCH(C1589,FieldDisagreements!A2:A999, 0)), "")</f>
        <v>MessageDeliveries.SegmentCount</v>
      </c>
      <c r="J1589" s="2" t="s">
        <v>1906</v>
      </c>
    </row>
    <row r="1590">
      <c r="A1590" s="2" t="s">
        <v>16857</v>
      </c>
      <c r="B1590" s="3" t="str">
        <f>_xlfn.CONCAT(C1590, " @ ", D1590)</f>
        <v>effortless-python|MessageDeliveries.SegmentCount @ md-004</v>
      </c>
      <c r="C1590" s="2" t="s">
        <v>14954</v>
      </c>
      <c r="D1590" s="2" t="s">
        <v>8241</v>
      </c>
      <c r="E1590" s="2" t="s">
        <v>15036</v>
      </c>
      <c r="F1590" s="2" t="s">
        <v>37</v>
      </c>
      <c r="G1590" s="2" t="s">
        <v>14591</v>
      </c>
      <c r="H1590" s="3" t="str">
        <f>_xlfn.IFNA(INDEX(FieldDisagreements!C2:C999, MATCH(C1590,FieldDisagreements!A2:A999, 0)), "")</f>
        <v>effortless-python</v>
      </c>
      <c r="I1590" s="3" t="str">
        <f>_xlfn.IFNA(INDEX(FieldDisagreements!D2:D999, MATCH(C1590,FieldDisagreements!A2:A999, 0)), "")</f>
        <v>MessageDeliveries.SegmentCount</v>
      </c>
      <c r="J1590" s="2" t="s">
        <v>1906</v>
      </c>
    </row>
    <row r="1591">
      <c r="A1591" s="2" t="s">
        <v>16858</v>
      </c>
      <c r="B1591" s="3" t="str">
        <f>_xlfn.CONCAT(C1591, " @ ", D1591)</f>
        <v>effortless-python|MessageDeliveries.SegmentCount @ md-005</v>
      </c>
      <c r="C1591" s="2" t="s">
        <v>14954</v>
      </c>
      <c r="D1591" s="2" t="s">
        <v>8244</v>
      </c>
      <c r="E1591" s="2" t="s">
        <v>15036</v>
      </c>
      <c r="F1591" s="2" t="s">
        <v>37</v>
      </c>
      <c r="G1591" s="2" t="s">
        <v>14591</v>
      </c>
      <c r="H1591" s="3" t="str">
        <f>_xlfn.IFNA(INDEX(FieldDisagreements!C2:C999, MATCH(C1591,FieldDisagreements!A2:A999, 0)), "")</f>
        <v>effortless-python</v>
      </c>
      <c r="I1591" s="3" t="str">
        <f>_xlfn.IFNA(INDEX(FieldDisagreements!D2:D999, MATCH(C1591,FieldDisagreements!A2:A999, 0)), "")</f>
        <v>MessageDeliveries.SegmentCount</v>
      </c>
      <c r="J1591" s="2" t="s">
        <v>1906</v>
      </c>
    </row>
    <row r="1592">
      <c r="A1592" s="2" t="s">
        <v>16859</v>
      </c>
      <c r="B1592" s="3" t="str">
        <f>_xlfn.CONCAT(C1592, " @ ", D1592)</f>
        <v>effortless-python|MessageDeliveries.SegmentCount @ md-006</v>
      </c>
      <c r="C1592" s="2" t="s">
        <v>14954</v>
      </c>
      <c r="D1592" s="2" t="s">
        <v>8247</v>
      </c>
      <c r="E1592" s="2" t="s">
        <v>15036</v>
      </c>
      <c r="F1592" s="2" t="s">
        <v>37</v>
      </c>
      <c r="G1592" s="2" t="s">
        <v>14591</v>
      </c>
      <c r="H1592" s="3" t="str">
        <f>_xlfn.IFNA(INDEX(FieldDisagreements!C2:C999, MATCH(C1592,FieldDisagreements!A2:A999, 0)), "")</f>
        <v>effortless-python</v>
      </c>
      <c r="I1592" s="3" t="str">
        <f>_xlfn.IFNA(INDEX(FieldDisagreements!D2:D999, MATCH(C1592,FieldDisagreements!A2:A999, 0)), "")</f>
        <v>MessageDeliveries.SegmentCount</v>
      </c>
      <c r="J1592" s="2" t="s">
        <v>1906</v>
      </c>
    </row>
    <row r="1593">
      <c r="A1593" s="2" t="s">
        <v>16860</v>
      </c>
      <c r="B1593" s="3" t="str">
        <f>_xlfn.CONCAT(C1593, " @ ", D1593)</f>
        <v>effortless-python|MessageDeliveries.OutstandingAgeDays @ md-002</v>
      </c>
      <c r="C1593" s="2" t="s">
        <v>14955</v>
      </c>
      <c r="D1593" s="2" t="s">
        <v>8238</v>
      </c>
      <c r="E1593" s="2" t="s">
        <v>935</v>
      </c>
      <c r="F1593" s="2" t="s">
        <v>37</v>
      </c>
      <c r="G1593" s="2" t="s">
        <v>14591</v>
      </c>
      <c r="H1593" s="3" t="str">
        <f>_xlfn.IFNA(INDEX(FieldDisagreements!C2:C999, MATCH(C1593,FieldDisagreements!A2:A999, 0)), "")</f>
        <v>effortless-python</v>
      </c>
      <c r="I1593" s="3" t="str">
        <f>_xlfn.IFNA(INDEX(FieldDisagreements!D2:D999, MATCH(C1593,FieldDisagreements!A2:A999, 0)), "")</f>
        <v>MessageDeliveries.OutstandingAgeDays</v>
      </c>
      <c r="J1593" s="2" t="s">
        <v>1906</v>
      </c>
    </row>
    <row r="1594">
      <c r="A1594" s="2" t="s">
        <v>16861</v>
      </c>
      <c r="B1594" s="3" t="str">
        <f>_xlfn.CONCAT(C1594, " @ ", D1594)</f>
        <v>effortless-python|MessageDeliveries.OutstandingAgeDays @ md-003</v>
      </c>
      <c r="C1594" s="2" t="s">
        <v>14955</v>
      </c>
      <c r="D1594" s="2" t="s">
        <v>8239</v>
      </c>
      <c r="E1594" s="2" t="s">
        <v>935</v>
      </c>
      <c r="F1594" s="2" t="s">
        <v>37</v>
      </c>
      <c r="G1594" s="2" t="s">
        <v>14591</v>
      </c>
      <c r="H1594" s="3" t="str">
        <f>_xlfn.IFNA(INDEX(FieldDisagreements!C2:C999, MATCH(C1594,FieldDisagreements!A2:A999, 0)), "")</f>
        <v>effortless-python</v>
      </c>
      <c r="I1594" s="3" t="str">
        <f>_xlfn.IFNA(INDEX(FieldDisagreements!D2:D999, MATCH(C1594,FieldDisagreements!A2:A999, 0)), "")</f>
        <v>MessageDeliveries.OutstandingAgeDays</v>
      </c>
      <c r="J1594" s="2" t="s">
        <v>1906</v>
      </c>
    </row>
    <row r="1595">
      <c r="A1595" s="2" t="s">
        <v>16862</v>
      </c>
      <c r="B1595" s="3" t="str">
        <f>_xlfn.CONCAT(C1595, " @ ", D1595)</f>
        <v>effortless-python|MessageDeliveries.OutstandingAgeDays @ md-005</v>
      </c>
      <c r="C1595" s="2" t="s">
        <v>14955</v>
      </c>
      <c r="D1595" s="2" t="s">
        <v>8244</v>
      </c>
      <c r="E1595" s="2" t="s">
        <v>935</v>
      </c>
      <c r="F1595" s="2" t="s">
        <v>37</v>
      </c>
      <c r="G1595" s="2" t="s">
        <v>14591</v>
      </c>
      <c r="H1595" s="3" t="str">
        <f>_xlfn.IFNA(INDEX(FieldDisagreements!C2:C999, MATCH(C1595,FieldDisagreements!A2:A999, 0)), "")</f>
        <v>effortless-python</v>
      </c>
      <c r="I1595" s="3" t="str">
        <f>_xlfn.IFNA(INDEX(FieldDisagreements!D2:D999, MATCH(C1595,FieldDisagreements!A2:A999, 0)), "")</f>
        <v>MessageDeliveries.OutstandingAgeDays</v>
      </c>
      <c r="J1595" s="2" t="s">
        <v>1906</v>
      </c>
    </row>
    <row r="1596">
      <c r="A1596" s="2" t="s">
        <v>16863</v>
      </c>
      <c r="B1596" s="3" t="str">
        <f>_xlfn.CONCAT(C1596, " @ ", D1596)</f>
        <v>effortless-python|MessageDeliveries.OptOutPhrasePosition @ md-003</v>
      </c>
      <c r="C1596" s="2" t="s">
        <v>14956</v>
      </c>
      <c r="D1596" s="2" t="s">
        <v>8239</v>
      </c>
      <c r="E1596" s="2" t="s">
        <v>15035</v>
      </c>
      <c r="F1596" s="2" t="s">
        <v>15185</v>
      </c>
      <c r="G1596" s="2" t="s">
        <v>14591</v>
      </c>
      <c r="H1596" s="3" t="str">
        <f>_xlfn.IFNA(INDEX(FieldDisagreements!C2:C999, MATCH(C1596,FieldDisagreements!A2:A999, 0)), "")</f>
        <v>effortless-python</v>
      </c>
      <c r="I1596" s="3" t="str">
        <f>_xlfn.IFNA(INDEX(FieldDisagreements!D2:D999, MATCH(C1596,FieldDisagreements!A2:A999, 0)), "")</f>
        <v>MessageDeliveries.OptOutPhrasePosition</v>
      </c>
      <c r="J1596" s="2" t="s">
        <v>1906</v>
      </c>
    </row>
    <row r="1597">
      <c r="A1597" s="2" t="s">
        <v>16864</v>
      </c>
      <c r="B1597" s="3" t="str">
        <f>_xlfn.CONCAT(C1597, " @ ", D1597)</f>
        <v>effortless-python|MessageDeliveries.OptOutPhrasePosition @ md-004</v>
      </c>
      <c r="C1597" s="2" t="s">
        <v>14956</v>
      </c>
      <c r="D1597" s="2" t="s">
        <v>8241</v>
      </c>
      <c r="E1597" s="2" t="s">
        <v>15035</v>
      </c>
      <c r="F1597" s="2" t="s">
        <v>15185</v>
      </c>
      <c r="G1597" s="2" t="s">
        <v>14591</v>
      </c>
      <c r="H1597" s="3" t="str">
        <f>_xlfn.IFNA(INDEX(FieldDisagreements!C2:C999, MATCH(C1597,FieldDisagreements!A2:A999, 0)), "")</f>
        <v>effortless-python</v>
      </c>
      <c r="I1597" s="3" t="str">
        <f>_xlfn.IFNA(INDEX(FieldDisagreements!D2:D999, MATCH(C1597,FieldDisagreements!A2:A999, 0)), "")</f>
        <v>MessageDeliveries.OptOutPhrasePosition</v>
      </c>
      <c r="J1597" s="2" t="s">
        <v>1906</v>
      </c>
    </row>
    <row r="1598">
      <c r="A1598" s="2" t="s">
        <v>16865</v>
      </c>
      <c r="B1598" s="3" t="str">
        <f>_xlfn.CONCAT(C1598, " @ ", D1598)</f>
        <v>effortless-python|MessageDeliveries.OptOutPhrasePosition @ md-006</v>
      </c>
      <c r="C1598" s="2" t="s">
        <v>14956</v>
      </c>
      <c r="D1598" s="2" t="s">
        <v>8247</v>
      </c>
      <c r="E1598" s="2" t="s">
        <v>15035</v>
      </c>
      <c r="F1598" s="2" t="s">
        <v>15185</v>
      </c>
      <c r="G1598" s="2" t="s">
        <v>14591</v>
      </c>
      <c r="H1598" s="3" t="str">
        <f>_xlfn.IFNA(INDEX(FieldDisagreements!C2:C999, MATCH(C1598,FieldDisagreements!A2:A999, 0)), "")</f>
        <v>effortless-python</v>
      </c>
      <c r="I1598" s="3" t="str">
        <f>_xlfn.IFNA(INDEX(FieldDisagreements!D2:D999, MATCH(C1598,FieldDisagreements!A2:A999, 0)), "")</f>
        <v>MessageDeliveries.OptOutPhrasePosition</v>
      </c>
      <c r="J1598" s="2" t="s">
        <v>1906</v>
      </c>
    </row>
    <row r="1599">
      <c r="A1599" s="2" t="s">
        <v>16866</v>
      </c>
      <c r="B1599" s="3" t="str">
        <f>_xlfn.CONCAT(C1599, " @ ", D1599)</f>
        <v>effortless-python|TemplateApprovals.Name @ tap-email-001</v>
      </c>
      <c r="C1599" s="2" t="s">
        <v>14957</v>
      </c>
      <c r="D1599" s="2" t="s">
        <v>1729</v>
      </c>
      <c r="E1599" s="2" t="s">
        <v>15189</v>
      </c>
      <c r="F1599" s="2" t="s">
        <v>15190</v>
      </c>
      <c r="G1599" s="2" t="s">
        <v>14591</v>
      </c>
      <c r="H1599" s="3" t="str">
        <f>_xlfn.IFNA(INDEX(FieldDisagreements!C2:C999, MATCH(C1599,FieldDisagreements!A2:A999, 0)), "")</f>
        <v>effortless-python</v>
      </c>
      <c r="I1599" s="3" t="str">
        <f>_xlfn.IFNA(INDEX(FieldDisagreements!D2:D999, MATCH(C1599,FieldDisagreements!A2:A999, 0)), "")</f>
        <v>TemplateApprovals.Name</v>
      </c>
      <c r="J1599" s="2" t="s">
        <v>1906</v>
      </c>
    </row>
    <row r="1600">
      <c r="A1600" s="2" t="s">
        <v>16867</v>
      </c>
      <c r="B1600" s="3" t="str">
        <f>_xlfn.CONCAT(C1600, " @ ", D1600)</f>
        <v>effortless-python|TemplateApprovals.Name @ tap-sms-001</v>
      </c>
      <c r="C1600" s="2" t="s">
        <v>14957</v>
      </c>
      <c r="D1600" s="2" t="s">
        <v>1733</v>
      </c>
      <c r="E1600" s="2" t="s">
        <v>15192</v>
      </c>
      <c r="F1600" s="2" t="s">
        <v>15193</v>
      </c>
      <c r="G1600" s="2" t="s">
        <v>14591</v>
      </c>
      <c r="H1600" s="3" t="str">
        <f>_xlfn.IFNA(INDEX(FieldDisagreements!C2:C999, MATCH(C1600,FieldDisagreements!A2:A999, 0)), "")</f>
        <v>effortless-python</v>
      </c>
      <c r="I1600" s="3" t="str">
        <f>_xlfn.IFNA(INDEX(FieldDisagreements!D2:D999, MATCH(C1600,FieldDisagreements!A2:A999, 0)), "")</f>
        <v>TemplateApprovals.Name</v>
      </c>
      <c r="J1600" s="2" t="s">
        <v>1906</v>
      </c>
    </row>
    <row r="1601">
      <c r="A1601" s="2" t="s">
        <v>16868</v>
      </c>
      <c r="B1601" s="3" t="str">
        <f>_xlfn.CONCAT(C1601, " @ ", D1601)</f>
        <v>effortless-python|SendIntents.DeferralAgeHours @ si-001</v>
      </c>
      <c r="C1601" s="2" t="s">
        <v>14958</v>
      </c>
      <c r="D1601" s="2" t="s">
        <v>8253</v>
      </c>
      <c r="E1601" s="2" t="s">
        <v>15195</v>
      </c>
      <c r="F1601" s="2" t="s">
        <v>15196</v>
      </c>
      <c r="G1601" s="2" t="s">
        <v>14591</v>
      </c>
      <c r="H1601" s="3" t="str">
        <f>_xlfn.IFNA(INDEX(FieldDisagreements!C2:C999, MATCH(C1601,FieldDisagreements!A2:A999, 0)), "")</f>
        <v>effortless-python</v>
      </c>
      <c r="I1601" s="3" t="str">
        <f>_xlfn.IFNA(INDEX(FieldDisagreements!D2:D999, MATCH(C1601,FieldDisagreements!A2:A999, 0)), "")</f>
        <v>SendIntents.DeferralAgeHours</v>
      </c>
      <c r="J1601" s="2" t="s">
        <v>1906</v>
      </c>
    </row>
    <row r="1602">
      <c r="A1602" s="2" t="s">
        <v>16869</v>
      </c>
      <c r="B1602" s="3" t="str">
        <f>_xlfn.CONCAT(C1602, " @ ", D1602)</f>
        <v>effortless-python|SendIntents.DeferralAgeHours @ si-002</v>
      </c>
      <c r="C1602" s="2" t="s">
        <v>14958</v>
      </c>
      <c r="D1602" s="2" t="s">
        <v>8256</v>
      </c>
      <c r="E1602" s="2" t="s">
        <v>15195</v>
      </c>
      <c r="F1602" s="2" t="s">
        <v>15196</v>
      </c>
      <c r="G1602" s="2" t="s">
        <v>14591</v>
      </c>
      <c r="H1602" s="3" t="str">
        <f>_xlfn.IFNA(INDEX(FieldDisagreements!C2:C999, MATCH(C1602,FieldDisagreements!A2:A999, 0)), "")</f>
        <v>effortless-python</v>
      </c>
      <c r="I1602" s="3" t="str">
        <f>_xlfn.IFNA(INDEX(FieldDisagreements!D2:D999, MATCH(C1602,FieldDisagreements!A2:A999, 0)), "")</f>
        <v>SendIntents.DeferralAgeHours</v>
      </c>
      <c r="J1602" s="2" t="s">
        <v>1906</v>
      </c>
    </row>
    <row r="1603">
      <c r="A1603" s="2" t="s">
        <v>16870</v>
      </c>
      <c r="B1603" s="3" t="str">
        <f>_xlfn.CONCAT(C1603, " @ ", D1603)</f>
        <v>effortless-python|SendIntents.DeferralAgeHours @ si-003</v>
      </c>
      <c r="C1603" s="2" t="s">
        <v>14958</v>
      </c>
      <c r="D1603" s="2" t="s">
        <v>8257</v>
      </c>
      <c r="E1603" s="2" t="s">
        <v>15195</v>
      </c>
      <c r="F1603" s="2" t="s">
        <v>15196</v>
      </c>
      <c r="G1603" s="2" t="s">
        <v>14591</v>
      </c>
      <c r="H1603" s="3" t="str">
        <f>_xlfn.IFNA(INDEX(FieldDisagreements!C2:C999, MATCH(C1603,FieldDisagreements!A2:A999, 0)), "")</f>
        <v>effortless-python</v>
      </c>
      <c r="I1603" s="3" t="str">
        <f>_xlfn.IFNA(INDEX(FieldDisagreements!D2:D999, MATCH(C1603,FieldDisagreements!A2:A999, 0)), "")</f>
        <v>SendIntents.DeferralAgeHours</v>
      </c>
      <c r="J1603" s="2" t="s">
        <v>1906</v>
      </c>
    </row>
    <row r="1604">
      <c r="A1604" s="2" t="s">
        <v>16871</v>
      </c>
      <c r="B1604" s="3" t="str">
        <f>_xlfn.CONCAT(C1604, " @ ", D1604)</f>
        <v>effortless-python|SendIntents.DeferralAgeHours @ si-004</v>
      </c>
      <c r="C1604" s="2" t="s">
        <v>14958</v>
      </c>
      <c r="D1604" s="2" t="s">
        <v>8258</v>
      </c>
      <c r="E1604" s="2" t="s">
        <v>15195</v>
      </c>
      <c r="F1604" s="2" t="s">
        <v>15196</v>
      </c>
      <c r="G1604" s="2" t="s">
        <v>14591</v>
      </c>
      <c r="H1604" s="3" t="str">
        <f>_xlfn.IFNA(INDEX(FieldDisagreements!C2:C999, MATCH(C1604,FieldDisagreements!A2:A999, 0)), "")</f>
        <v>effortless-python</v>
      </c>
      <c r="I1604" s="3" t="str">
        <f>_xlfn.IFNA(INDEX(FieldDisagreements!D2:D999, MATCH(C1604,FieldDisagreements!A2:A999, 0)), "")</f>
        <v>SendIntents.DeferralAgeHours</v>
      </c>
      <c r="J1604" s="2" t="s">
        <v>1906</v>
      </c>
    </row>
    <row r="1605">
      <c r="A1605" s="2" t="s">
        <v>16872</v>
      </c>
      <c r="B1605" s="3" t="str">
        <f>_xlfn.CONCAT(C1605, " @ ", D1605)</f>
        <v>effortless-python|SendIntents.DeferralAgeHours @ si-005</v>
      </c>
      <c r="C1605" s="2" t="s">
        <v>14958</v>
      </c>
      <c r="D1605" s="2" t="s">
        <v>8260</v>
      </c>
      <c r="E1605" s="2" t="s">
        <v>15195</v>
      </c>
      <c r="F1605" s="2" t="s">
        <v>15196</v>
      </c>
      <c r="G1605" s="2" t="s">
        <v>14591</v>
      </c>
      <c r="H1605" s="3" t="str">
        <f>_xlfn.IFNA(INDEX(FieldDisagreements!C2:C999, MATCH(C1605,FieldDisagreements!A2:A999, 0)), "")</f>
        <v>effortless-python</v>
      </c>
      <c r="I1605" s="3" t="str">
        <f>_xlfn.IFNA(INDEX(FieldDisagreements!D2:D999, MATCH(C1605,FieldDisagreements!A2:A999, 0)), "")</f>
        <v>SendIntents.DeferralAgeHours</v>
      </c>
      <c r="J1605" s="2" t="s">
        <v>1906</v>
      </c>
    </row>
    <row r="1606">
      <c r="A1606" s="2" t="s">
        <v>16873</v>
      </c>
      <c r="B1606" s="3" t="str">
        <f>_xlfn.CONCAT(C1606, " @ ", D1606)</f>
        <v>effortless-python|SendIntents.DeferralAgeHours @ si-006</v>
      </c>
      <c r="C1606" s="2" t="s">
        <v>14958</v>
      </c>
      <c r="D1606" s="2" t="s">
        <v>8262</v>
      </c>
      <c r="E1606" s="2" t="s">
        <v>15195</v>
      </c>
      <c r="F1606" s="2" t="s">
        <v>15196</v>
      </c>
      <c r="G1606" s="2" t="s">
        <v>14591</v>
      </c>
      <c r="H1606" s="3" t="str">
        <f>_xlfn.IFNA(INDEX(FieldDisagreements!C2:C999, MATCH(C1606,FieldDisagreements!A2:A999, 0)), "")</f>
        <v>effortless-python</v>
      </c>
      <c r="I1606" s="3" t="str">
        <f>_xlfn.IFNA(INDEX(FieldDisagreements!D2:D999, MATCH(C1606,FieldDisagreements!A2:A999, 0)), "")</f>
        <v>SendIntents.DeferralAgeHours</v>
      </c>
      <c r="J1606" s="2" t="s">
        <v>1906</v>
      </c>
    </row>
    <row r="1607">
      <c r="A1607" s="2" t="s">
        <v>16874</v>
      </c>
      <c r="B1607" s="3" t="str">
        <f>_xlfn.CONCAT(C1607, " @ ", D1607)</f>
        <v>effortless-python|SendIntents.DeferralAgeHours @ si-007</v>
      </c>
      <c r="C1607" s="2" t="s">
        <v>14958</v>
      </c>
      <c r="D1607" s="2" t="s">
        <v>8263</v>
      </c>
      <c r="E1607" s="2" t="s">
        <v>15195</v>
      </c>
      <c r="F1607" s="2" t="s">
        <v>15196</v>
      </c>
      <c r="G1607" s="2" t="s">
        <v>14591</v>
      </c>
      <c r="H1607" s="3" t="str">
        <f>_xlfn.IFNA(INDEX(FieldDisagreements!C2:C999, MATCH(C1607,FieldDisagreements!A2:A999, 0)), "")</f>
        <v>effortless-python</v>
      </c>
      <c r="I1607" s="3" t="str">
        <f>_xlfn.IFNA(INDEX(FieldDisagreements!D2:D999, MATCH(C1607,FieldDisagreements!A2:A999, 0)), "")</f>
        <v>SendIntents.DeferralAgeHours</v>
      </c>
      <c r="J1607" s="2" t="s">
        <v>1906</v>
      </c>
    </row>
    <row r="1608">
      <c r="A1608" s="2" t="s">
        <v>16875</v>
      </c>
      <c r="B1608" s="3" t="str">
        <f>_xlfn.CONCAT(C1608, " @ ", D1608)</f>
        <v>effortless-python|DeliveredCommunications.ContentMatchesApproval @ dc-hr4821-email-001</v>
      </c>
      <c r="C1608" s="2" t="s">
        <v>14959</v>
      </c>
      <c r="D1608" s="2" t="s">
        <v>8274</v>
      </c>
      <c r="E1608" s="2" t="s">
        <v>15035</v>
      </c>
      <c r="F1608" s="2" t="s">
        <v>15036</v>
      </c>
      <c r="G1608" s="2" t="s">
        <v>14591</v>
      </c>
      <c r="H1608" s="3" t="str">
        <f>_xlfn.IFNA(INDEX(FieldDisagreements!C2:C999, MATCH(C1608,FieldDisagreements!A2:A999, 0)), "")</f>
        <v>effortless-python</v>
      </c>
      <c r="I1608" s="3" t="str">
        <f>_xlfn.IFNA(INDEX(FieldDisagreements!D2:D999, MATCH(C1608,FieldDisagreements!A2:A999, 0)), "")</f>
        <v>DeliveredCommunications.ContentMatchesApproval</v>
      </c>
      <c r="J1608" s="2" t="s">
        <v>1906</v>
      </c>
    </row>
    <row r="1609">
      <c r="A1609" s="2" t="s">
        <v>16876</v>
      </c>
      <c r="B1609" s="3" t="str">
        <f>_xlfn.CONCAT(C1609, " @ ", D1609)</f>
        <v>effortless-python|ProcessMiningRuns.Name @ pmr-close-v10-archived</v>
      </c>
      <c r="C1609" s="2" t="s">
        <v>14960</v>
      </c>
      <c r="D1609" s="2" t="s">
        <v>13897</v>
      </c>
      <c r="E1609" s="2" t="s">
        <v>15205</v>
      </c>
      <c r="F1609" s="2" t="s">
        <v>16339</v>
      </c>
      <c r="G1609" s="2" t="s">
        <v>14591</v>
      </c>
      <c r="H1609" s="3" t="str">
        <f>_xlfn.IFNA(INDEX(FieldDisagreements!C2:C999, MATCH(C1609,FieldDisagreements!A2:A999, 0)), "")</f>
        <v>effortless-python</v>
      </c>
      <c r="I1609" s="3" t="str">
        <f>_xlfn.IFNA(INDEX(FieldDisagreements!D2:D999, MATCH(C1609,FieldDisagreements!A2:A999, 0)), "")</f>
        <v>ProcessMiningRuns.Name</v>
      </c>
      <c r="J1609" s="2" t="s">
        <v>1906</v>
      </c>
    </row>
    <row r="1610">
      <c r="A1610" s="2" t="s">
        <v>16877</v>
      </c>
      <c r="B1610" s="3" t="str">
        <f>_xlfn.CONCAT(C1610, " @ ", D1610)</f>
        <v>effortless-python|ProcessMiningRuns.Name @ pmr-close-v11-cutoff-bypass</v>
      </c>
      <c r="C1610" s="2" t="s">
        <v>14960</v>
      </c>
      <c r="D1610" s="2" t="s">
        <v>13893</v>
      </c>
      <c r="E1610" s="2" t="s">
        <v>15208</v>
      </c>
      <c r="F1610" s="2" t="s">
        <v>15209</v>
      </c>
      <c r="G1610" s="2" t="s">
        <v>14591</v>
      </c>
      <c r="H1610" s="3" t="str">
        <f>_xlfn.IFNA(INDEX(FieldDisagreements!C2:C999, MATCH(C1610,FieldDisagreements!A2:A999, 0)), "")</f>
        <v>effortless-python</v>
      </c>
      <c r="I1610" s="3" t="str">
        <f>_xlfn.IFNA(INDEX(FieldDisagreements!D2:D999, MATCH(C1610,FieldDisagreements!A2:A999, 0)), "")</f>
        <v>ProcessMiningRuns.Name</v>
      </c>
      <c r="J1610" s="2" t="s">
        <v>1906</v>
      </c>
    </row>
    <row r="1611">
      <c r="A1611" s="2" t="s">
        <v>16878</v>
      </c>
      <c r="B1611" s="3" t="str">
        <f>_xlfn.CONCAT(C1611, " @ ", D1611)</f>
        <v>effortless-python|ProcessMiningRuns.Name @ pmr-close-v11-q3</v>
      </c>
      <c r="C1611" s="2" t="s">
        <v>14960</v>
      </c>
      <c r="D1611" s="2" t="s">
        <v>13890</v>
      </c>
      <c r="E1611" s="2" t="s">
        <v>15211</v>
      </c>
      <c r="F1611" s="2" t="s">
        <v>15212</v>
      </c>
      <c r="G1611" s="2" t="s">
        <v>14591</v>
      </c>
      <c r="H1611" s="3" t="str">
        <f>_xlfn.IFNA(INDEX(FieldDisagreements!C2:C999, MATCH(C1611,FieldDisagreements!A2:A999, 0)), "")</f>
        <v>effortless-python</v>
      </c>
      <c r="I1611" s="3" t="str">
        <f>_xlfn.IFNA(INDEX(FieldDisagreements!D2:D999, MATCH(C1611,FieldDisagreements!A2:A999, 0)), "")</f>
        <v>ProcessMiningRuns.Name</v>
      </c>
      <c r="J1611" s="2" t="s">
        <v>1906</v>
      </c>
    </row>
    <row r="1612">
      <c r="A1612" s="2" t="s">
        <v>16879</v>
      </c>
      <c r="B1612" s="3" t="str">
        <f>_xlfn.CONCAT(C1612, " @ ", D1612)</f>
        <v>effortless-python|ProcessMiningRuns.Name @ pmr-policy-v1-notify</v>
      </c>
      <c r="C1612" s="2" t="s">
        <v>14960</v>
      </c>
      <c r="D1612" s="2" t="s">
        <v>13895</v>
      </c>
      <c r="E1612" s="2" t="s">
        <v>15214</v>
      </c>
      <c r="F1612" s="2" t="s">
        <v>16343</v>
      </c>
      <c r="G1612" s="2" t="s">
        <v>14591</v>
      </c>
      <c r="H1612" s="3" t="str">
        <f>_xlfn.IFNA(INDEX(FieldDisagreements!C2:C999, MATCH(C1612,FieldDisagreements!A2:A999, 0)), "")</f>
        <v>effortless-python</v>
      </c>
      <c r="I1612" s="3" t="str">
        <f>_xlfn.IFNA(INDEX(FieldDisagreements!D2:D999, MATCH(C1612,FieldDisagreements!A2:A999, 0)), "")</f>
        <v>ProcessMiningRuns.Name</v>
      </c>
      <c r="J1612" s="2" t="s">
        <v>1906</v>
      </c>
    </row>
    <row r="1613">
      <c r="A1613" s="2" t="s">
        <v>16880</v>
      </c>
      <c r="B1613" s="3" t="str">
        <f>_xlfn.CONCAT(C1613, " @ ", D1613)</f>
        <v>effortless-typescript|EvaluationContexts.Name @ eval-current</v>
      </c>
      <c r="C1613" s="2" t="s">
        <v>14961</v>
      </c>
      <c r="D1613" s="2" t="s">
        <v>95</v>
      </c>
      <c r="E1613" s="2" t="s">
        <v>14993</v>
      </c>
      <c r="F1613" s="2" t="s">
        <v>14994</v>
      </c>
      <c r="G1613" s="2" t="s">
        <v>14591</v>
      </c>
      <c r="H1613" s="3" t="str">
        <f>_xlfn.IFNA(INDEX(FieldDisagreements!C2:C999, MATCH(C1613,FieldDisagreements!A2:A999, 0)), "")</f>
        <v>effortless-typescript</v>
      </c>
      <c r="I1613" s="3" t="str">
        <f>_xlfn.IFNA(INDEX(FieldDisagreements!D2:D999, MATCH(C1613,FieldDisagreements!A2:A999, 0)), "")</f>
        <v>EvaluationContexts.Name</v>
      </c>
      <c r="J1613" s="2" t="s">
        <v>1906</v>
      </c>
    </row>
    <row r="1614">
      <c r="A1614" s="2" t="s">
        <v>16881</v>
      </c>
      <c r="B1614" s="3" t="str">
        <f>_xlfn.CONCAT(C1614, " @ ", D1614)</f>
        <v>effortless-typescript|RoleAssignments.Name @ ra-authority-2026</v>
      </c>
      <c r="C1614" s="2" t="s">
        <v>14962</v>
      </c>
      <c r="D1614" s="2" t="s">
        <v>251</v>
      </c>
      <c r="E1614" s="2" t="s">
        <v>14996</v>
      </c>
      <c r="F1614" s="2" t="s">
        <v>14997</v>
      </c>
      <c r="G1614" s="2" t="s">
        <v>14591</v>
      </c>
      <c r="H1614" s="3" t="str">
        <f>_xlfn.IFNA(INDEX(FieldDisagreements!C2:C999, MATCH(C1614,FieldDisagreements!A2:A999, 0)), "")</f>
        <v>effortless-typescript</v>
      </c>
      <c r="I1614" s="3" t="str">
        <f>_xlfn.IFNA(INDEX(FieldDisagreements!D2:D999, MATCH(C1614,FieldDisagreements!A2:A999, 0)), "")</f>
        <v>RoleAssignments.Name</v>
      </c>
      <c r="J1614" s="2" t="s">
        <v>1906</v>
      </c>
    </row>
    <row r="1615">
      <c r="A1615" s="2" t="s">
        <v>16882</v>
      </c>
      <c r="B1615" s="3" t="str">
        <f>_xlfn.CONCAT(C1615, " @ ", D1615)</f>
        <v>effortless-typescript|RoleAssignments.Name @ ra-cfo-2026</v>
      </c>
      <c r="C1615" s="2" t="s">
        <v>14962</v>
      </c>
      <c r="D1615" s="2" t="s">
        <v>215</v>
      </c>
      <c r="E1615" s="2" t="s">
        <v>14999</v>
      </c>
      <c r="F1615" s="2" t="s">
        <v>15000</v>
      </c>
      <c r="G1615" s="2" t="s">
        <v>14591</v>
      </c>
      <c r="H1615" s="3" t="str">
        <f>_xlfn.IFNA(INDEX(FieldDisagreements!C2:C999, MATCH(C1615,FieldDisagreements!A2:A999, 0)), "")</f>
        <v>effortless-typescript</v>
      </c>
      <c r="I1615" s="3" t="str">
        <f>_xlfn.IFNA(INDEX(FieldDisagreements!D2:D999, MATCH(C1615,FieldDisagreements!A2:A999, 0)), "")</f>
        <v>RoleAssignments.Name</v>
      </c>
      <c r="J1615" s="2" t="s">
        <v>1906</v>
      </c>
    </row>
    <row r="1616">
      <c r="A1616" s="2" t="s">
        <v>16883</v>
      </c>
      <c r="B1616" s="3" t="str">
        <f>_xlfn.CONCAT(C1616, " @ ", D1616)</f>
        <v>effortless-typescript|RoleAssignments.Name @ ra-close-pipeline-2026</v>
      </c>
      <c r="C1616" s="2" t="s">
        <v>14962</v>
      </c>
      <c r="D1616" s="2" t="s">
        <v>231</v>
      </c>
      <c r="E1616" s="2" t="s">
        <v>15002</v>
      </c>
      <c r="F1616" s="2" t="s">
        <v>15003</v>
      </c>
      <c r="G1616" s="2" t="s">
        <v>14591</v>
      </c>
      <c r="H1616" s="3" t="str">
        <f>_xlfn.IFNA(INDEX(FieldDisagreements!C2:C999, MATCH(C1616,FieldDisagreements!A2:A999, 0)), "")</f>
        <v>effortless-typescript</v>
      </c>
      <c r="I1616" s="3" t="str">
        <f>_xlfn.IFNA(INDEX(FieldDisagreements!D2:D999, MATCH(C1616,FieldDisagreements!A2:A999, 0)), "")</f>
        <v>RoleAssignments.Name</v>
      </c>
      <c r="J1616" s="2" t="s">
        <v>1906</v>
      </c>
    </row>
    <row r="1617">
      <c r="A1617" s="2" t="s">
        <v>16884</v>
      </c>
      <c r="B1617" s="3" t="str">
        <f>_xlfn.CONCAT(C1617, " @ ", D1617)</f>
        <v>effortless-typescript|RoleAssignments.Name @ ra-comms-2026</v>
      </c>
      <c r="C1617" s="2" t="s">
        <v>14962</v>
      </c>
      <c r="D1617" s="2" t="s">
        <v>227</v>
      </c>
      <c r="E1617" s="2" t="s">
        <v>15005</v>
      </c>
      <c r="F1617" s="2" t="s">
        <v>15006</v>
      </c>
      <c r="G1617" s="2" t="s">
        <v>14591</v>
      </c>
      <c r="H1617" s="3" t="str">
        <f>_xlfn.IFNA(INDEX(FieldDisagreements!C2:C999, MATCH(C1617,FieldDisagreements!A2:A999, 0)), "")</f>
        <v>effortless-typescript</v>
      </c>
      <c r="I1617" s="3" t="str">
        <f>_xlfn.IFNA(INDEX(FieldDisagreements!D2:D999, MATCH(C1617,FieldDisagreements!A2:A999, 0)), "")</f>
        <v>RoleAssignments.Name</v>
      </c>
      <c r="J1617" s="2" t="s">
        <v>1906</v>
      </c>
    </row>
    <row r="1618">
      <c r="A1618" s="2" t="s">
        <v>16885</v>
      </c>
      <c r="B1618" s="3" t="str">
        <f>_xlfn.CONCAT(C1618, " @ ", D1618)</f>
        <v>effortless-typescript|RoleAssignments.Name @ ra-controller-2026</v>
      </c>
      <c r="C1618" s="2" t="s">
        <v>14962</v>
      </c>
      <c r="D1618" s="2" t="s">
        <v>211</v>
      </c>
      <c r="E1618" s="2" t="s">
        <v>15008</v>
      </c>
      <c r="F1618" s="2" t="s">
        <v>15009</v>
      </c>
      <c r="G1618" s="2" t="s">
        <v>14591</v>
      </c>
      <c r="H1618" s="3" t="str">
        <f>_xlfn.IFNA(INDEX(FieldDisagreements!C2:C999, MATCH(C1618,FieldDisagreements!A2:A999, 0)), "")</f>
        <v>effortless-typescript</v>
      </c>
      <c r="I1618" s="3" t="str">
        <f>_xlfn.IFNA(INDEX(FieldDisagreements!D2:D999, MATCH(C1618,FieldDisagreements!A2:A999, 0)), "")</f>
        <v>RoleAssignments.Name</v>
      </c>
      <c r="J1618" s="2" t="s">
        <v>1906</v>
      </c>
    </row>
    <row r="1619">
      <c r="A1619" s="2" t="s">
        <v>16886</v>
      </c>
      <c r="B1619" s="3" t="str">
        <f>_xlfn.CONCAT(C1619, " @ ", D1619)</f>
        <v>effortless-typescript|RoleAssignments.Name @ ra-counsel-2026</v>
      </c>
      <c r="C1619" s="2" t="s">
        <v>14962</v>
      </c>
      <c r="D1619" s="2" t="s">
        <v>223</v>
      </c>
      <c r="E1619" s="2" t="s">
        <v>15011</v>
      </c>
      <c r="F1619" s="2" t="s">
        <v>15012</v>
      </c>
      <c r="G1619" s="2" t="s">
        <v>14591</v>
      </c>
      <c r="H1619" s="3" t="str">
        <f>_xlfn.IFNA(INDEX(FieldDisagreements!C2:C999, MATCH(C1619,FieldDisagreements!A2:A999, 0)), "")</f>
        <v>effortless-typescript</v>
      </c>
      <c r="I1619" s="3" t="str">
        <f>_xlfn.IFNA(INDEX(FieldDisagreements!D2:D999, MATCH(C1619,FieldDisagreements!A2:A999, 0)), "")</f>
        <v>RoleAssignments.Name</v>
      </c>
      <c r="J1619" s="2" t="s">
        <v>1906</v>
      </c>
    </row>
    <row r="1620">
      <c r="A1620" s="2" t="s">
        <v>16887</v>
      </c>
      <c r="B1620" s="3" t="str">
        <f>_xlfn.CONCAT(C1620, " @ ", D1620)</f>
        <v>effortless-typescript|RoleAssignments.Name @ ra-finance-2026</v>
      </c>
      <c r="C1620" s="2" t="s">
        <v>14962</v>
      </c>
      <c r="D1620" s="2" t="s">
        <v>206</v>
      </c>
      <c r="E1620" s="2" t="s">
        <v>15014</v>
      </c>
      <c r="F1620" s="2" t="s">
        <v>15015</v>
      </c>
      <c r="G1620" s="2" t="s">
        <v>14591</v>
      </c>
      <c r="H1620" s="3" t="str">
        <f>_xlfn.IFNA(INDEX(FieldDisagreements!C2:C999, MATCH(C1620,FieldDisagreements!A2:A999, 0)), "")</f>
        <v>effortless-typescript</v>
      </c>
      <c r="I1620" s="3" t="str">
        <f>_xlfn.IFNA(INDEX(FieldDisagreements!D2:D999, MATCH(C1620,FieldDisagreements!A2:A999, 0)), "")</f>
        <v>RoleAssignments.Name</v>
      </c>
      <c r="J1620" s="2" t="s">
        <v>1906</v>
      </c>
    </row>
    <row r="1621">
      <c r="A1621" s="2" t="s">
        <v>16888</v>
      </c>
      <c r="B1621" s="3" t="str">
        <f>_xlfn.CONCAT(C1621, " @ ", D1621)</f>
        <v>effortless-typescript|RoleAssignments.Name @ ra-new-variance</v>
      </c>
      <c r="C1621" s="2" t="s">
        <v>14962</v>
      </c>
      <c r="D1621" s="2" t="s">
        <v>235</v>
      </c>
      <c r="E1621" s="2" t="s">
        <v>15017</v>
      </c>
      <c r="F1621" s="2" t="s">
        <v>15018</v>
      </c>
      <c r="G1621" s="2" t="s">
        <v>14591</v>
      </c>
      <c r="H1621" s="3" t="str">
        <f>_xlfn.IFNA(INDEX(FieldDisagreements!C2:C999, MATCH(C1621,FieldDisagreements!A2:A999, 0)), "")</f>
        <v>effortless-typescript</v>
      </c>
      <c r="I1621" s="3" t="str">
        <f>_xlfn.IFNA(INDEX(FieldDisagreements!D2:D999, MATCH(C1621,FieldDisagreements!A2:A999, 0)), "")</f>
        <v>RoleAssignments.Name</v>
      </c>
      <c r="J1621" s="2" t="s">
        <v>1906</v>
      </c>
    </row>
    <row r="1622">
      <c r="A1622" s="2" t="s">
        <v>16889</v>
      </c>
      <c r="B1622" s="3" t="str">
        <f>_xlfn.CONCAT(C1622, " @ ", D1622)</f>
        <v>effortless-typescript|RoleAssignments.Name @ ra-notify-pipeline-2026</v>
      </c>
      <c r="C1622" s="2" t="s">
        <v>14962</v>
      </c>
      <c r="D1622" s="2" t="s">
        <v>243</v>
      </c>
      <c r="E1622" s="2" t="s">
        <v>15020</v>
      </c>
      <c r="F1622" s="2" t="s">
        <v>15021</v>
      </c>
      <c r="G1622" s="2" t="s">
        <v>14591</v>
      </c>
      <c r="H1622" s="3" t="str">
        <f>_xlfn.IFNA(INDEX(FieldDisagreements!C2:C999, MATCH(C1622,FieldDisagreements!A2:A999, 0)), "")</f>
        <v>effortless-typescript</v>
      </c>
      <c r="I1622" s="3" t="str">
        <f>_xlfn.IFNA(INDEX(FieldDisagreements!D2:D999, MATCH(C1622,FieldDisagreements!A2:A999, 0)), "")</f>
        <v>RoleAssignments.Name</v>
      </c>
      <c r="J1622" s="2" t="s">
        <v>1906</v>
      </c>
    </row>
    <row r="1623">
      <c r="A1623" s="2" t="s">
        <v>16890</v>
      </c>
      <c r="B1623" s="3" t="str">
        <f>_xlfn.CONCAT(C1623, " @ ", D1623)</f>
        <v>effortless-typescript|RoleAssignments.Name @ ra-old-variance</v>
      </c>
      <c r="C1623" s="2" t="s">
        <v>14962</v>
      </c>
      <c r="D1623" s="2" t="s">
        <v>316</v>
      </c>
      <c r="E1623" s="2" t="s">
        <v>15023</v>
      </c>
      <c r="F1623" s="2" t="s">
        <v>15024</v>
      </c>
      <c r="G1623" s="2" t="s">
        <v>14591</v>
      </c>
      <c r="H1623" s="3" t="str">
        <f>_xlfn.IFNA(INDEX(FieldDisagreements!C2:C999, MATCH(C1623,FieldDisagreements!A2:A999, 0)), "")</f>
        <v>effortless-typescript</v>
      </c>
      <c r="I1623" s="3" t="str">
        <f>_xlfn.IFNA(INDEX(FieldDisagreements!D2:D999, MATCH(C1623,FieldDisagreements!A2:A999, 0)), "")</f>
        <v>RoleAssignments.Name</v>
      </c>
      <c r="J1623" s="2" t="s">
        <v>1906</v>
      </c>
    </row>
    <row r="1624">
      <c r="A1624" s="2" t="s">
        <v>16891</v>
      </c>
      <c r="B1624" s="3" t="str">
        <f>_xlfn.CONCAT(C1624, " @ ", D1624)</f>
        <v>effortless-typescript|RoleAssignments.Name @ ra-policy-ai-2026</v>
      </c>
      <c r="C1624" s="2" t="s">
        <v>14962</v>
      </c>
      <c r="D1624" s="2" t="s">
        <v>239</v>
      </c>
      <c r="E1624" s="2" t="s">
        <v>15026</v>
      </c>
      <c r="F1624" s="2" t="s">
        <v>15027</v>
      </c>
      <c r="G1624" s="2" t="s">
        <v>14591</v>
      </c>
      <c r="H1624" s="3" t="str">
        <f>_xlfn.IFNA(INDEX(FieldDisagreements!C2:C999, MATCH(C1624,FieldDisagreements!A2:A999, 0)), "")</f>
        <v>effortless-typescript</v>
      </c>
      <c r="I1624" s="3" t="str">
        <f>_xlfn.IFNA(INDEX(FieldDisagreements!D2:D999, MATCH(C1624,FieldDisagreements!A2:A999, 0)), "")</f>
        <v>RoleAssignments.Name</v>
      </c>
      <c r="J1624" s="2" t="s">
        <v>1906</v>
      </c>
    </row>
    <row r="1625">
      <c r="A1625" s="2" t="s">
        <v>16892</v>
      </c>
      <c r="B1625" s="3" t="str">
        <f>_xlfn.CONCAT(C1625, " @ ", D1625)</f>
        <v>effortless-typescript|RoleAssignments.Name @ ra-policy-owner-2026</v>
      </c>
      <c r="C1625" s="2" t="s">
        <v>14962</v>
      </c>
      <c r="D1625" s="2" t="s">
        <v>219</v>
      </c>
      <c r="E1625" s="2" t="s">
        <v>15029</v>
      </c>
      <c r="F1625" s="2" t="s">
        <v>15030</v>
      </c>
      <c r="G1625" s="2" t="s">
        <v>14591</v>
      </c>
      <c r="H1625" s="3" t="str">
        <f>_xlfn.IFNA(INDEX(FieldDisagreements!C2:C999, MATCH(C1625,FieldDisagreements!A2:A999, 0)), "")</f>
        <v>effortless-typescript</v>
      </c>
      <c r="I1625" s="3" t="str">
        <f>_xlfn.IFNA(INDEX(FieldDisagreements!D2:D999, MATCH(C1625,FieldDisagreements!A2:A999, 0)), "")</f>
        <v>RoleAssignments.Name</v>
      </c>
      <c r="J1625" s="2" t="s">
        <v>1906</v>
      </c>
    </row>
    <row r="1626">
      <c r="A1626" s="2" t="s">
        <v>16893</v>
      </c>
      <c r="B1626" s="3" t="str">
        <f>_xlfn.CONCAT(C1626, " @ ", D1626)</f>
        <v>effortless-typescript|RoleAssignments.Name @ ra-steward-2026</v>
      </c>
      <c r="C1626" s="2" t="s">
        <v>14962</v>
      </c>
      <c r="D1626" s="2" t="s">
        <v>247</v>
      </c>
      <c r="E1626" s="2" t="s">
        <v>15032</v>
      </c>
      <c r="F1626" s="2" t="s">
        <v>15033</v>
      </c>
      <c r="G1626" s="2" t="s">
        <v>14591</v>
      </c>
      <c r="H1626" s="3" t="str">
        <f>_xlfn.IFNA(INDEX(FieldDisagreements!C2:C999, MATCH(C1626,FieldDisagreements!A2:A999, 0)), "")</f>
        <v>effortless-typescript</v>
      </c>
      <c r="I1626" s="3" t="str">
        <f>_xlfn.IFNA(INDEX(FieldDisagreements!D2:D999, MATCH(C1626,FieldDisagreements!A2:A999, 0)), "")</f>
        <v>RoleAssignments.Name</v>
      </c>
      <c r="J1626" s="2" t="s">
        <v>1906</v>
      </c>
    </row>
    <row r="1627">
      <c r="A1627" s="2" t="s">
        <v>16894</v>
      </c>
      <c r="B1627" s="3" t="str">
        <f>_xlfn.CONCAT(C1627, " @ ", D1627)</f>
        <v>effortless-typescript|RoleAssignments.QualityVerdictIsUnsupported @ ra-authority-2026</v>
      </c>
      <c r="C1627" s="2" t="s">
        <v>14963</v>
      </c>
      <c r="D1627" s="2" t="s">
        <v>251</v>
      </c>
      <c r="E1627" s="2" t="s">
        <v>15035</v>
      </c>
      <c r="F1627" s="2" t="s">
        <v>15036</v>
      </c>
      <c r="G1627" s="2" t="s">
        <v>14591</v>
      </c>
      <c r="H1627" s="3" t="str">
        <f>_xlfn.IFNA(INDEX(FieldDisagreements!C2:C999, MATCH(C1627,FieldDisagreements!A2:A999, 0)), "")</f>
        <v>effortless-typescript</v>
      </c>
      <c r="I1627" s="3" t="str">
        <f>_xlfn.IFNA(INDEX(FieldDisagreements!D2:D999, MATCH(C1627,FieldDisagreements!A2:A999, 0)), "")</f>
        <v>RoleAssignments.QualityVerdictIsUnsupported</v>
      </c>
      <c r="J1627" s="2" t="s">
        <v>1906</v>
      </c>
    </row>
    <row r="1628">
      <c r="A1628" s="2" t="s">
        <v>16895</v>
      </c>
      <c r="B1628" s="3" t="str">
        <f>_xlfn.CONCAT(C1628, " @ ", D1628)</f>
        <v>effortless-typescript|RoleAssignments.QualityVerdictIsUnsupported @ ra-cfo-2026</v>
      </c>
      <c r="C1628" s="2" t="s">
        <v>14963</v>
      </c>
      <c r="D1628" s="2" t="s">
        <v>215</v>
      </c>
      <c r="E1628" s="2" t="s">
        <v>15035</v>
      </c>
      <c r="F1628" s="2" t="s">
        <v>15036</v>
      </c>
      <c r="G1628" s="2" t="s">
        <v>14591</v>
      </c>
      <c r="H1628" s="3" t="str">
        <f>_xlfn.IFNA(INDEX(FieldDisagreements!C2:C999, MATCH(C1628,FieldDisagreements!A2:A999, 0)), "")</f>
        <v>effortless-typescript</v>
      </c>
      <c r="I1628" s="3" t="str">
        <f>_xlfn.IFNA(INDEX(FieldDisagreements!D2:D999, MATCH(C1628,FieldDisagreements!A2:A999, 0)), "")</f>
        <v>RoleAssignments.QualityVerdictIsUnsupported</v>
      </c>
      <c r="J1628" s="2" t="s">
        <v>1906</v>
      </c>
    </row>
    <row r="1629">
      <c r="A1629" s="2" t="s">
        <v>16896</v>
      </c>
      <c r="B1629" s="3" t="str">
        <f>_xlfn.CONCAT(C1629, " @ ", D1629)</f>
        <v>effortless-typescript|RoleAssignments.QualityVerdictIsUnsupported @ ra-close-pipeline-2026</v>
      </c>
      <c r="C1629" s="2" t="s">
        <v>14963</v>
      </c>
      <c r="D1629" s="2" t="s">
        <v>231</v>
      </c>
      <c r="E1629" s="2" t="s">
        <v>15035</v>
      </c>
      <c r="F1629" s="2" t="s">
        <v>15036</v>
      </c>
      <c r="G1629" s="2" t="s">
        <v>14591</v>
      </c>
      <c r="H1629" s="3" t="str">
        <f>_xlfn.IFNA(INDEX(FieldDisagreements!C2:C999, MATCH(C1629,FieldDisagreements!A2:A999, 0)), "")</f>
        <v>effortless-typescript</v>
      </c>
      <c r="I1629" s="3" t="str">
        <f>_xlfn.IFNA(INDEX(FieldDisagreements!D2:D999, MATCH(C1629,FieldDisagreements!A2:A999, 0)), "")</f>
        <v>RoleAssignments.QualityVerdictIsUnsupported</v>
      </c>
      <c r="J1629" s="2" t="s">
        <v>1906</v>
      </c>
    </row>
    <row r="1630">
      <c r="A1630" s="2" t="s">
        <v>16897</v>
      </c>
      <c r="B1630" s="3" t="str">
        <f>_xlfn.CONCAT(C1630, " @ ", D1630)</f>
        <v>effortless-typescript|RoleAssignments.QualityVerdictIsUnsupported @ ra-comms-2026</v>
      </c>
      <c r="C1630" s="2" t="s">
        <v>14963</v>
      </c>
      <c r="D1630" s="2" t="s">
        <v>227</v>
      </c>
      <c r="E1630" s="2" t="s">
        <v>15035</v>
      </c>
      <c r="F1630" s="2" t="s">
        <v>15036</v>
      </c>
      <c r="G1630" s="2" t="s">
        <v>14591</v>
      </c>
      <c r="H1630" s="3" t="str">
        <f>_xlfn.IFNA(INDEX(FieldDisagreements!C2:C999, MATCH(C1630,FieldDisagreements!A2:A999, 0)), "")</f>
        <v>effortless-typescript</v>
      </c>
      <c r="I1630" s="3" t="str">
        <f>_xlfn.IFNA(INDEX(FieldDisagreements!D2:D999, MATCH(C1630,FieldDisagreements!A2:A999, 0)), "")</f>
        <v>RoleAssignments.QualityVerdictIsUnsupported</v>
      </c>
      <c r="J1630" s="2" t="s">
        <v>1906</v>
      </c>
    </row>
    <row r="1631">
      <c r="A1631" s="2" t="s">
        <v>16898</v>
      </c>
      <c r="B1631" s="3" t="str">
        <f>_xlfn.CONCAT(C1631, " @ ", D1631)</f>
        <v>effortless-typescript|RoleAssignments.QualityVerdictIsUnsupported @ ra-controller-2026</v>
      </c>
      <c r="C1631" s="2" t="s">
        <v>14963</v>
      </c>
      <c r="D1631" s="2" t="s">
        <v>211</v>
      </c>
      <c r="E1631" s="2" t="s">
        <v>15035</v>
      </c>
      <c r="F1631" s="2" t="s">
        <v>15036</v>
      </c>
      <c r="G1631" s="2" t="s">
        <v>14591</v>
      </c>
      <c r="H1631" s="3" t="str">
        <f>_xlfn.IFNA(INDEX(FieldDisagreements!C2:C999, MATCH(C1631,FieldDisagreements!A2:A999, 0)), "")</f>
        <v>effortless-typescript</v>
      </c>
      <c r="I1631" s="3" t="str">
        <f>_xlfn.IFNA(INDEX(FieldDisagreements!D2:D999, MATCH(C1631,FieldDisagreements!A2:A999, 0)), "")</f>
        <v>RoleAssignments.QualityVerdictIsUnsupported</v>
      </c>
      <c r="J1631" s="2" t="s">
        <v>1906</v>
      </c>
    </row>
    <row r="1632">
      <c r="A1632" s="2" t="s">
        <v>16899</v>
      </c>
      <c r="B1632" s="3" t="str">
        <f>_xlfn.CONCAT(C1632, " @ ", D1632)</f>
        <v>effortless-typescript|RoleAssignments.QualityVerdictIsUnsupported @ ra-counsel-2026</v>
      </c>
      <c r="C1632" s="2" t="s">
        <v>14963</v>
      </c>
      <c r="D1632" s="2" t="s">
        <v>223</v>
      </c>
      <c r="E1632" s="2" t="s">
        <v>15035</v>
      </c>
      <c r="F1632" s="2" t="s">
        <v>15036</v>
      </c>
      <c r="G1632" s="2" t="s">
        <v>14591</v>
      </c>
      <c r="H1632" s="3" t="str">
        <f>_xlfn.IFNA(INDEX(FieldDisagreements!C2:C999, MATCH(C1632,FieldDisagreements!A2:A999, 0)), "")</f>
        <v>effortless-typescript</v>
      </c>
      <c r="I1632" s="3" t="str">
        <f>_xlfn.IFNA(INDEX(FieldDisagreements!D2:D999, MATCH(C1632,FieldDisagreements!A2:A999, 0)), "")</f>
        <v>RoleAssignments.QualityVerdictIsUnsupported</v>
      </c>
      <c r="J1632" s="2" t="s">
        <v>1906</v>
      </c>
    </row>
    <row r="1633">
      <c r="A1633" s="2" t="s">
        <v>16900</v>
      </c>
      <c r="B1633" s="3" t="str">
        <f>_xlfn.CONCAT(C1633, " @ ", D1633)</f>
        <v>effortless-typescript|RoleAssignments.QualityVerdictIsUnsupported @ ra-finance-2026</v>
      </c>
      <c r="C1633" s="2" t="s">
        <v>14963</v>
      </c>
      <c r="D1633" s="2" t="s">
        <v>206</v>
      </c>
      <c r="E1633" s="2" t="s">
        <v>15035</v>
      </c>
      <c r="F1633" s="2" t="s">
        <v>15036</v>
      </c>
      <c r="G1633" s="2" t="s">
        <v>14591</v>
      </c>
      <c r="H1633" s="3" t="str">
        <f>_xlfn.IFNA(INDEX(FieldDisagreements!C2:C999, MATCH(C1633,FieldDisagreements!A2:A999, 0)), "")</f>
        <v>effortless-typescript</v>
      </c>
      <c r="I1633" s="3" t="str">
        <f>_xlfn.IFNA(INDEX(FieldDisagreements!D2:D999, MATCH(C1633,FieldDisagreements!A2:A999, 0)), "")</f>
        <v>RoleAssignments.QualityVerdictIsUnsupported</v>
      </c>
      <c r="J1633" s="2" t="s">
        <v>1906</v>
      </c>
    </row>
    <row r="1634">
      <c r="A1634" s="2" t="s">
        <v>16901</v>
      </c>
      <c r="B1634" s="3" t="str">
        <f>_xlfn.CONCAT(C1634, " @ ", D1634)</f>
        <v>effortless-typescript|RoleAssignments.QualityVerdictIsUnsupported @ ra-new-variance</v>
      </c>
      <c r="C1634" s="2" t="s">
        <v>14963</v>
      </c>
      <c r="D1634" s="2" t="s">
        <v>235</v>
      </c>
      <c r="E1634" s="2" t="s">
        <v>15035</v>
      </c>
      <c r="F1634" s="2" t="s">
        <v>15036</v>
      </c>
      <c r="G1634" s="2" t="s">
        <v>14591</v>
      </c>
      <c r="H1634" s="3" t="str">
        <f>_xlfn.IFNA(INDEX(FieldDisagreements!C2:C999, MATCH(C1634,FieldDisagreements!A2:A999, 0)), "")</f>
        <v>effortless-typescript</v>
      </c>
      <c r="I1634" s="3" t="str">
        <f>_xlfn.IFNA(INDEX(FieldDisagreements!D2:D999, MATCH(C1634,FieldDisagreements!A2:A999, 0)), "")</f>
        <v>RoleAssignments.QualityVerdictIsUnsupported</v>
      </c>
      <c r="J1634" s="2" t="s">
        <v>1906</v>
      </c>
    </row>
    <row r="1635">
      <c r="A1635" s="2" t="s">
        <v>16902</v>
      </c>
      <c r="B1635" s="3" t="str">
        <f>_xlfn.CONCAT(C1635, " @ ", D1635)</f>
        <v>effortless-typescript|RoleAssignments.QualityVerdictIsUnsupported @ ra-notify-pipeline-2026</v>
      </c>
      <c r="C1635" s="2" t="s">
        <v>14963</v>
      </c>
      <c r="D1635" s="2" t="s">
        <v>243</v>
      </c>
      <c r="E1635" s="2" t="s">
        <v>15035</v>
      </c>
      <c r="F1635" s="2" t="s">
        <v>15036</v>
      </c>
      <c r="G1635" s="2" t="s">
        <v>14591</v>
      </c>
      <c r="H1635" s="3" t="str">
        <f>_xlfn.IFNA(INDEX(FieldDisagreements!C2:C999, MATCH(C1635,FieldDisagreements!A2:A999, 0)), "")</f>
        <v>effortless-typescript</v>
      </c>
      <c r="I1635" s="3" t="str">
        <f>_xlfn.IFNA(INDEX(FieldDisagreements!D2:D999, MATCH(C1635,FieldDisagreements!A2:A999, 0)), "")</f>
        <v>RoleAssignments.QualityVerdictIsUnsupported</v>
      </c>
      <c r="J1635" s="2" t="s">
        <v>1906</v>
      </c>
    </row>
    <row r="1636">
      <c r="A1636" s="2" t="s">
        <v>16903</v>
      </c>
      <c r="B1636" s="3" t="str">
        <f>_xlfn.CONCAT(C1636, " @ ", D1636)</f>
        <v>effortless-typescript|RoleAssignments.QualityVerdictIsUnsupported @ ra-old-variance</v>
      </c>
      <c r="C1636" s="2" t="s">
        <v>14963</v>
      </c>
      <c r="D1636" s="2" t="s">
        <v>316</v>
      </c>
      <c r="E1636" s="2" t="s">
        <v>15035</v>
      </c>
      <c r="F1636" s="2" t="s">
        <v>15036</v>
      </c>
      <c r="G1636" s="2" t="s">
        <v>14591</v>
      </c>
      <c r="H1636" s="3" t="str">
        <f>_xlfn.IFNA(INDEX(FieldDisagreements!C2:C999, MATCH(C1636,FieldDisagreements!A2:A999, 0)), "")</f>
        <v>effortless-typescript</v>
      </c>
      <c r="I1636" s="3" t="str">
        <f>_xlfn.IFNA(INDEX(FieldDisagreements!D2:D999, MATCH(C1636,FieldDisagreements!A2:A999, 0)), "")</f>
        <v>RoleAssignments.QualityVerdictIsUnsupported</v>
      </c>
      <c r="J1636" s="2" t="s">
        <v>1906</v>
      </c>
    </row>
    <row r="1637">
      <c r="A1637" s="2" t="s">
        <v>16904</v>
      </c>
      <c r="B1637" s="3" t="str">
        <f>_xlfn.CONCAT(C1637, " @ ", D1637)</f>
        <v>effortless-typescript|RoleAssignments.QualityVerdictIsUnsupported @ ra-policy-ai-2026</v>
      </c>
      <c r="C1637" s="2" t="s">
        <v>14963</v>
      </c>
      <c r="D1637" s="2" t="s">
        <v>239</v>
      </c>
      <c r="E1637" s="2" t="s">
        <v>15035</v>
      </c>
      <c r="F1637" s="2" t="s">
        <v>15036</v>
      </c>
      <c r="G1637" s="2" t="s">
        <v>14591</v>
      </c>
      <c r="H1637" s="3" t="str">
        <f>_xlfn.IFNA(INDEX(FieldDisagreements!C2:C999, MATCH(C1637,FieldDisagreements!A2:A999, 0)), "")</f>
        <v>effortless-typescript</v>
      </c>
      <c r="I1637" s="3" t="str">
        <f>_xlfn.IFNA(INDEX(FieldDisagreements!D2:D999, MATCH(C1637,FieldDisagreements!A2:A999, 0)), "")</f>
        <v>RoleAssignments.QualityVerdictIsUnsupported</v>
      </c>
      <c r="J1637" s="2" t="s">
        <v>1906</v>
      </c>
    </row>
    <row r="1638">
      <c r="A1638" s="2" t="s">
        <v>16905</v>
      </c>
      <c r="B1638" s="3" t="str">
        <f>_xlfn.CONCAT(C1638, " @ ", D1638)</f>
        <v>effortless-typescript|RoleAssignments.QualityVerdictIsUnsupported @ ra-policy-owner-2026</v>
      </c>
      <c r="C1638" s="2" t="s">
        <v>14963</v>
      </c>
      <c r="D1638" s="2" t="s">
        <v>219</v>
      </c>
      <c r="E1638" s="2" t="s">
        <v>15035</v>
      </c>
      <c r="F1638" s="2" t="s">
        <v>15036</v>
      </c>
      <c r="G1638" s="2" t="s">
        <v>14591</v>
      </c>
      <c r="H1638" s="3" t="str">
        <f>_xlfn.IFNA(INDEX(FieldDisagreements!C2:C999, MATCH(C1638,FieldDisagreements!A2:A999, 0)), "")</f>
        <v>effortless-typescript</v>
      </c>
      <c r="I1638" s="3" t="str">
        <f>_xlfn.IFNA(INDEX(FieldDisagreements!D2:D999, MATCH(C1638,FieldDisagreements!A2:A999, 0)), "")</f>
        <v>RoleAssignments.QualityVerdictIsUnsupported</v>
      </c>
      <c r="J1638" s="2" t="s">
        <v>1906</v>
      </c>
    </row>
    <row r="1639">
      <c r="A1639" s="2" t="s">
        <v>16906</v>
      </c>
      <c r="B1639" s="3" t="str">
        <f>_xlfn.CONCAT(C1639, " @ ", D1639)</f>
        <v>effortless-typescript|RoleAssignments.QualityVerdictIsUnsupported @ ra-steward-2026</v>
      </c>
      <c r="C1639" s="2" t="s">
        <v>14963</v>
      </c>
      <c r="D1639" s="2" t="s">
        <v>247</v>
      </c>
      <c r="E1639" s="2" t="s">
        <v>15035</v>
      </c>
      <c r="F1639" s="2" t="s">
        <v>15036</v>
      </c>
      <c r="G1639" s="2" t="s">
        <v>14591</v>
      </c>
      <c r="H1639" s="3" t="str">
        <f>_xlfn.IFNA(INDEX(FieldDisagreements!C2:C999, MATCH(C1639,FieldDisagreements!A2:A999, 0)), "")</f>
        <v>effortless-typescript</v>
      </c>
      <c r="I1639" s="3" t="str">
        <f>_xlfn.IFNA(INDEX(FieldDisagreements!D2:D999, MATCH(C1639,FieldDisagreements!A2:A999, 0)), "")</f>
        <v>RoleAssignments.QualityVerdictIsUnsupported</v>
      </c>
      <c r="J1639" s="2" t="s">
        <v>1906</v>
      </c>
    </row>
    <row r="1640">
      <c r="A1640" s="2" t="s">
        <v>16907</v>
      </c>
      <c r="B1640" s="3" t="str">
        <f>_xlfn.CONCAT(C1640, " @ ", D1640)</f>
        <v>effortless-typescript|RoleAssignments.IsUnmeasuredAutomationHandover @ ra-new-variance</v>
      </c>
      <c r="C1640" s="2" t="s">
        <v>14964</v>
      </c>
      <c r="D1640" s="2" t="s">
        <v>235</v>
      </c>
      <c r="E1640" s="2" t="s">
        <v>15035</v>
      </c>
      <c r="F1640" s="2" t="s">
        <v>15036</v>
      </c>
      <c r="G1640" s="2" t="s">
        <v>14591</v>
      </c>
      <c r="H1640" s="3" t="str">
        <f>_xlfn.IFNA(INDEX(FieldDisagreements!C2:C999, MATCH(C1640,FieldDisagreements!A2:A999, 0)), "")</f>
        <v>effortless-typescript</v>
      </c>
      <c r="I1640" s="3" t="str">
        <f>_xlfn.IFNA(INDEX(FieldDisagreements!D2:D999, MATCH(C1640,FieldDisagreements!A2:A999, 0)), "")</f>
        <v>RoleAssignments.IsUnmeasuredAutomationHandover</v>
      </c>
      <c r="J1640" s="2" t="s">
        <v>1906</v>
      </c>
    </row>
    <row r="1641">
      <c r="A1641" s="2" t="s">
        <v>16908</v>
      </c>
      <c r="B1641" s="3" t="str">
        <f>_xlfn.CONCAT(C1641, " @ ", D1641)</f>
        <v>effortless-typescript|ProcedureVersions.DaysSinceModified @ close-v1.0.0</v>
      </c>
      <c r="C1641" s="2" t="s">
        <v>14965</v>
      </c>
      <c r="D1641" s="2" t="s">
        <v>454</v>
      </c>
      <c r="E1641" s="2" t="s">
        <v>15051</v>
      </c>
      <c r="F1641" s="2" t="s">
        <v>15052</v>
      </c>
      <c r="G1641" s="2" t="s">
        <v>14591</v>
      </c>
      <c r="H1641" s="3" t="str">
        <f>_xlfn.IFNA(INDEX(FieldDisagreements!C2:C999, MATCH(C1641,FieldDisagreements!A2:A999, 0)), "")</f>
        <v>effortless-typescript</v>
      </c>
      <c r="I1641" s="3" t="str">
        <f>_xlfn.IFNA(INDEX(FieldDisagreements!D2:D999, MATCH(C1641,FieldDisagreements!A2:A999, 0)), "")</f>
        <v>ProcedureVersions.DaysSinceModified</v>
      </c>
      <c r="J1641" s="2" t="s">
        <v>1906</v>
      </c>
    </row>
    <row r="1642">
      <c r="A1642" s="2" t="s">
        <v>16909</v>
      </c>
      <c r="B1642" s="3" t="str">
        <f>_xlfn.CONCAT(C1642, " @ ", D1642)</f>
        <v>effortless-typescript|ProcedureVersions.DaysSinceModified @ close-v1.1.0</v>
      </c>
      <c r="C1642" s="2" t="s">
        <v>14965</v>
      </c>
      <c r="D1642" s="2" t="s">
        <v>369</v>
      </c>
      <c r="E1642" s="2" t="s">
        <v>15054</v>
      </c>
      <c r="F1642" s="2" t="s">
        <v>8195</v>
      </c>
      <c r="G1642" s="2" t="s">
        <v>14591</v>
      </c>
      <c r="H1642" s="3" t="str">
        <f>_xlfn.IFNA(INDEX(FieldDisagreements!C2:C999, MATCH(C1642,FieldDisagreements!A2:A999, 0)), "")</f>
        <v>effortless-typescript</v>
      </c>
      <c r="I1642" s="3" t="str">
        <f>_xlfn.IFNA(INDEX(FieldDisagreements!D2:D999, MATCH(C1642,FieldDisagreements!A2:A999, 0)), "")</f>
        <v>ProcedureVersions.DaysSinceModified</v>
      </c>
      <c r="J1642" s="2" t="s">
        <v>1906</v>
      </c>
    </row>
    <row r="1643">
      <c r="A1643" s="2" t="s">
        <v>16910</v>
      </c>
      <c r="B1643" s="3" t="str">
        <f>_xlfn.CONCAT(C1643, " @ ", D1643)</f>
        <v>effortless-typescript|ProcedureVersions.DaysSinceModified @ policy-v1.0.0</v>
      </c>
      <c r="C1643" s="2" t="s">
        <v>14965</v>
      </c>
      <c r="D1643" s="2" t="s">
        <v>375</v>
      </c>
      <c r="E1643" s="2" t="s">
        <v>935</v>
      </c>
      <c r="F1643" s="2" t="s">
        <v>37</v>
      </c>
      <c r="G1643" s="2" t="s">
        <v>14591</v>
      </c>
      <c r="H1643" s="3" t="str">
        <f>_xlfn.IFNA(INDEX(FieldDisagreements!C2:C999, MATCH(C1643,FieldDisagreements!A2:A999, 0)), "")</f>
        <v>effortless-typescript</v>
      </c>
      <c r="I1643" s="3" t="str">
        <f>_xlfn.IFNA(INDEX(FieldDisagreements!D2:D999, MATCH(C1643,FieldDisagreements!A2:A999, 0)), "")</f>
        <v>ProcedureVersions.DaysSinceModified</v>
      </c>
      <c r="J1643" s="2" t="s">
        <v>1906</v>
      </c>
    </row>
    <row r="1644">
      <c r="A1644" s="2" t="s">
        <v>16911</v>
      </c>
      <c r="B1644" s="3" t="str">
        <f>_xlfn.CONCAT(C1644, " @ ", D1644)</f>
        <v>effortless-typescript|ProcedureVersions.WasModifiedSinceLastReview @ close-v1.1.0</v>
      </c>
      <c r="C1644" s="2" t="s">
        <v>14966</v>
      </c>
      <c r="D1644" s="2" t="s">
        <v>369</v>
      </c>
      <c r="E1644" s="2" t="s">
        <v>15035</v>
      </c>
      <c r="F1644" s="2" t="s">
        <v>15057</v>
      </c>
      <c r="G1644" s="2" t="s">
        <v>14591</v>
      </c>
      <c r="H1644" s="3" t="str">
        <f>_xlfn.IFNA(INDEX(FieldDisagreements!C2:C999, MATCH(C1644,FieldDisagreements!A2:A999, 0)), "")</f>
        <v>effortless-typescript</v>
      </c>
      <c r="I1644" s="3" t="str">
        <f>_xlfn.IFNA(INDEX(FieldDisagreements!D2:D999, MATCH(C1644,FieldDisagreements!A2:A999, 0)), "")</f>
        <v>ProcedureVersions.WasModifiedSinceLastReview</v>
      </c>
      <c r="J1644" s="2" t="s">
        <v>1906</v>
      </c>
    </row>
    <row r="1645">
      <c r="A1645" s="2" t="s">
        <v>16912</v>
      </c>
      <c r="B1645" s="3" t="str">
        <f>_xlfn.CONCAT(C1645, " @ ", D1645)</f>
        <v>effortless-typescript|ProcedureVersions.WasModifiedSinceLastReview @ policy-v1.0.0</v>
      </c>
      <c r="C1645" s="2" t="s">
        <v>14966</v>
      </c>
      <c r="D1645" s="2" t="s">
        <v>375</v>
      </c>
      <c r="E1645" s="2" t="s">
        <v>15035</v>
      </c>
      <c r="F1645" s="2" t="s">
        <v>15057</v>
      </c>
      <c r="G1645" s="2" t="s">
        <v>14591</v>
      </c>
      <c r="H1645" s="3" t="str">
        <f>_xlfn.IFNA(INDEX(FieldDisagreements!C2:C999, MATCH(C1645,FieldDisagreements!A2:A999, 0)), "")</f>
        <v>effortless-typescript</v>
      </c>
      <c r="I1645" s="3" t="str">
        <f>_xlfn.IFNA(INDEX(FieldDisagreements!D2:D999, MATCH(C1645,FieldDisagreements!A2:A999, 0)), "")</f>
        <v>ProcedureVersions.WasModifiedSinceLastReview</v>
      </c>
      <c r="J1645" s="2" t="s">
        <v>1906</v>
      </c>
    </row>
    <row r="1646">
      <c r="A1646" s="2" t="s">
        <v>16913</v>
      </c>
      <c r="B1646" s="3" t="str">
        <f>_xlfn.CONCAT(C1646, " @ ", D1646)</f>
        <v>effortless-typescript|ProcedureVersions.HasUnwitnessedChange @ close-v1.1.0</v>
      </c>
      <c r="C1646" s="2" t="s">
        <v>14967</v>
      </c>
      <c r="D1646" s="2" t="s">
        <v>369</v>
      </c>
      <c r="E1646" s="2" t="s">
        <v>15035</v>
      </c>
      <c r="F1646" s="2" t="s">
        <v>15057</v>
      </c>
      <c r="G1646" s="2" t="s">
        <v>14591</v>
      </c>
      <c r="H1646" s="3" t="str">
        <f>_xlfn.IFNA(INDEX(FieldDisagreements!C2:C999, MATCH(C1646,FieldDisagreements!A2:A999, 0)), "")</f>
        <v>effortless-typescript</v>
      </c>
      <c r="I1646" s="3" t="str">
        <f>_xlfn.IFNA(INDEX(FieldDisagreements!D2:D999, MATCH(C1646,FieldDisagreements!A2:A999, 0)), "")</f>
        <v>ProcedureVersions.HasUnwitnessedChange</v>
      </c>
      <c r="J1646" s="2" t="s">
        <v>1906</v>
      </c>
    </row>
    <row r="1647">
      <c r="A1647" s="2" t="s">
        <v>16914</v>
      </c>
      <c r="B1647" s="3" t="str">
        <f>_xlfn.CONCAT(C1647, " @ ", D1647)</f>
        <v>effortless-typescript|ProcedureVersions.HasUnwitnessedChange @ policy-v1.0.0</v>
      </c>
      <c r="C1647" s="2" t="s">
        <v>14967</v>
      </c>
      <c r="D1647" s="2" t="s">
        <v>375</v>
      </c>
      <c r="E1647" s="2" t="s">
        <v>15035</v>
      </c>
      <c r="F1647" s="2" t="s">
        <v>15057</v>
      </c>
      <c r="G1647" s="2" t="s">
        <v>14591</v>
      </c>
      <c r="H1647" s="3" t="str">
        <f>_xlfn.IFNA(INDEX(FieldDisagreements!C2:C999, MATCH(C1647,FieldDisagreements!A2:A999, 0)), "")</f>
        <v>effortless-typescript</v>
      </c>
      <c r="I1647" s="3" t="str">
        <f>_xlfn.IFNA(INDEX(FieldDisagreements!D2:D999, MATCH(C1647,FieldDisagreements!A2:A999, 0)), "")</f>
        <v>ProcedureVersions.HasUnwitnessedChange</v>
      </c>
      <c r="J1647" s="2" t="s">
        <v>1906</v>
      </c>
    </row>
    <row r="1648">
      <c r="A1648" s="2" t="s">
        <v>16915</v>
      </c>
      <c r="B1648" s="3" t="str">
        <f>_xlfn.CONCAT(C1648, " @ ", D1648)</f>
        <v>effortless-typescript|Requirements.IsUntestedWitness @ req-close-balance</v>
      </c>
      <c r="C1648" s="2" t="s">
        <v>14968</v>
      </c>
      <c r="D1648" s="2" t="s">
        <v>827</v>
      </c>
      <c r="E1648" s="2" t="s">
        <v>15035</v>
      </c>
      <c r="F1648" s="2" t="s">
        <v>15036</v>
      </c>
      <c r="G1648" s="2" t="s">
        <v>14591</v>
      </c>
      <c r="H1648" s="3" t="str">
        <f>_xlfn.IFNA(INDEX(FieldDisagreements!C2:C999, MATCH(C1648,FieldDisagreements!A2:A999, 0)), "")</f>
        <v>effortless-typescript</v>
      </c>
      <c r="I1648" s="3" t="str">
        <f>_xlfn.IFNA(INDEX(FieldDisagreements!D2:D999, MATCH(C1648,FieldDisagreements!A2:A999, 0)), "")</f>
        <v>Requirements.IsUntestedWitness</v>
      </c>
      <c r="J1648" s="2" t="s">
        <v>1906</v>
      </c>
    </row>
    <row r="1649">
      <c r="A1649" s="2" t="s">
        <v>16916</v>
      </c>
      <c r="B1649" s="3" t="str">
        <f>_xlfn.CONCAT(C1649, " @ ", D1649)</f>
        <v>effortless-typescript|Requirements.IsUntestedWitness @ req-close-cutoff</v>
      </c>
      <c r="C1649" s="2" t="s">
        <v>14968</v>
      </c>
      <c r="D1649" s="2" t="s">
        <v>819</v>
      </c>
      <c r="E1649" s="2" t="s">
        <v>15035</v>
      </c>
      <c r="F1649" s="2" t="s">
        <v>15036</v>
      </c>
      <c r="G1649" s="2" t="s">
        <v>14591</v>
      </c>
      <c r="H1649" s="3" t="str">
        <f>_xlfn.IFNA(INDEX(FieldDisagreements!C2:C999, MATCH(C1649,FieldDisagreements!A2:A999, 0)), "")</f>
        <v>effortless-typescript</v>
      </c>
      <c r="I1649" s="3" t="str">
        <f>_xlfn.IFNA(INDEX(FieldDisagreements!D2:D999, MATCH(C1649,FieldDisagreements!A2:A999, 0)), "")</f>
        <v>Requirements.IsUntestedWitness</v>
      </c>
      <c r="J1649" s="2" t="s">
        <v>1906</v>
      </c>
    </row>
    <row r="1650">
      <c r="A1650" s="2" t="s">
        <v>16917</v>
      </c>
      <c r="B1650" s="3" t="str">
        <f>_xlfn.CONCAT(C1650, " @ ", D1650)</f>
        <v>effortless-typescript|Requirements.IsUntestedWitness @ req-close-separation</v>
      </c>
      <c r="C1650" s="2" t="s">
        <v>14968</v>
      </c>
      <c r="D1650" s="2" t="s">
        <v>833</v>
      </c>
      <c r="E1650" s="2" t="s">
        <v>15035</v>
      </c>
      <c r="F1650" s="2" t="s">
        <v>15036</v>
      </c>
      <c r="G1650" s="2" t="s">
        <v>14591</v>
      </c>
      <c r="H1650" s="3" t="str">
        <f>_xlfn.IFNA(INDEX(FieldDisagreements!C2:C999, MATCH(C1650,FieldDisagreements!A2:A999, 0)), "")</f>
        <v>effortless-typescript</v>
      </c>
      <c r="I1650" s="3" t="str">
        <f>_xlfn.IFNA(INDEX(FieldDisagreements!D2:D999, MATCH(C1650,FieldDisagreements!A2:A999, 0)), "")</f>
        <v>Requirements.IsUntestedWitness</v>
      </c>
      <c r="J1650" s="2" t="s">
        <v>1906</v>
      </c>
    </row>
    <row r="1651">
      <c r="A1651" s="2" t="s">
        <v>16918</v>
      </c>
      <c r="B1651" s="3" t="str">
        <f>_xlfn.CONCAT(C1651, " @ ", D1651)</f>
        <v>effortless-typescript|ElicitationSessions.Name @ elicit-close-shadow</v>
      </c>
      <c r="C1651" s="2" t="s">
        <v>14969</v>
      </c>
      <c r="D1651" s="2" t="s">
        <v>1073</v>
      </c>
      <c r="E1651" s="2" t="s">
        <v>15065</v>
      </c>
      <c r="F1651" s="2" t="s">
        <v>15066</v>
      </c>
      <c r="G1651" s="2" t="s">
        <v>14591</v>
      </c>
      <c r="H1651" s="3" t="str">
        <f>_xlfn.IFNA(INDEX(FieldDisagreements!C2:C999, MATCH(C1651,FieldDisagreements!A2:A999, 0)), "")</f>
        <v>effortless-typescript</v>
      </c>
      <c r="I1651" s="3" t="str">
        <f>_xlfn.IFNA(INDEX(FieldDisagreements!D2:D999, MATCH(C1651,FieldDisagreements!A2:A999, 0)), "")</f>
        <v>ElicitationSessions.Name</v>
      </c>
      <c r="J1651" s="2" t="s">
        <v>1906</v>
      </c>
    </row>
    <row r="1652">
      <c r="A1652" s="2" t="s">
        <v>16919</v>
      </c>
      <c r="B1652" s="3" t="str">
        <f>_xlfn.CONCAT(C1652, " @ ", D1652)</f>
        <v>effortless-typescript|ElicitationSessions.Name @ elicit-policy-interview</v>
      </c>
      <c r="C1652" s="2" t="s">
        <v>14969</v>
      </c>
      <c r="D1652" s="2" t="s">
        <v>1080</v>
      </c>
      <c r="E1652" s="2" t="s">
        <v>15068</v>
      </c>
      <c r="F1652" s="2" t="s">
        <v>15069</v>
      </c>
      <c r="G1652" s="2" t="s">
        <v>14591</v>
      </c>
      <c r="H1652" s="3" t="str">
        <f>_xlfn.IFNA(INDEX(FieldDisagreements!C2:C999, MATCH(C1652,FieldDisagreements!A2:A999, 0)), "")</f>
        <v>effortless-typescript</v>
      </c>
      <c r="I1652" s="3" t="str">
        <f>_xlfn.IFNA(INDEX(FieldDisagreements!D2:D999, MATCH(C1652,FieldDisagreements!A2:A999, 0)), "")</f>
        <v>ElicitationSessions.Name</v>
      </c>
      <c r="J1652" s="2" t="s">
        <v>1906</v>
      </c>
    </row>
    <row r="1653">
      <c r="A1653" s="2" t="s">
        <v>16920</v>
      </c>
      <c r="B1653" s="3" t="str">
        <f>_xlfn.CONCAT(C1653, " @ ", D1653)</f>
        <v>effortless-typescript|ElicitationSessions.Name @ elicit-policy-workshop</v>
      </c>
      <c r="C1653" s="2" t="s">
        <v>14969</v>
      </c>
      <c r="D1653" s="2" t="s">
        <v>1077</v>
      </c>
      <c r="E1653" s="2" t="s">
        <v>15071</v>
      </c>
      <c r="F1653" s="2" t="s">
        <v>15072</v>
      </c>
      <c r="G1653" s="2" t="s">
        <v>14591</v>
      </c>
      <c r="H1653" s="3" t="str">
        <f>_xlfn.IFNA(INDEX(FieldDisagreements!C2:C999, MATCH(C1653,FieldDisagreements!A2:A999, 0)), "")</f>
        <v>effortless-typescript</v>
      </c>
      <c r="I1653" s="3" t="str">
        <f>_xlfn.IFNA(INDEX(FieldDisagreements!D2:D999, MATCH(C1653,FieldDisagreements!A2:A999, 0)), "")</f>
        <v>ElicitationSessions.Name</v>
      </c>
      <c r="J1653" s="2" t="s">
        <v>1906</v>
      </c>
    </row>
    <row r="1654">
      <c r="A1654" s="2" t="s">
        <v>16921</v>
      </c>
      <c r="B1654" s="3" t="str">
        <f>_xlfn.CONCAT(C1654, " @ ", D1654)</f>
        <v>effortless-typescript|ElicitationSessions.DaysSinceElicited @ elicit-policy-interview</v>
      </c>
      <c r="C1654" s="2" t="s">
        <v>14970</v>
      </c>
      <c r="D1654" s="2" t="s">
        <v>1080</v>
      </c>
      <c r="E1654" s="2" t="s">
        <v>15074</v>
      </c>
      <c r="F1654" s="2" t="s">
        <v>15075</v>
      </c>
      <c r="G1654" s="2" t="s">
        <v>14591</v>
      </c>
      <c r="H1654" s="3" t="str">
        <f>_xlfn.IFNA(INDEX(FieldDisagreements!C2:C999, MATCH(C1654,FieldDisagreements!A2:A999, 0)), "")</f>
        <v>effortless-typescript</v>
      </c>
      <c r="I1654" s="3" t="str">
        <f>_xlfn.IFNA(INDEX(FieldDisagreements!D2:D999, MATCH(C1654,FieldDisagreements!A2:A999, 0)), "")</f>
        <v>ElicitationSessions.DaysSinceElicited</v>
      </c>
      <c r="J1654" s="2" t="s">
        <v>1906</v>
      </c>
    </row>
    <row r="1655">
      <c r="A1655" s="2" t="s">
        <v>16922</v>
      </c>
      <c r="B1655" s="3" t="str">
        <f>_xlfn.CONCAT(C1655, " @ ", D1655)</f>
        <v>effortless-typescript|ElicitationSessions.DaysSinceElicited @ elicit-policy-workshop</v>
      </c>
      <c r="C1655" s="2" t="s">
        <v>14970</v>
      </c>
      <c r="D1655" s="2" t="s">
        <v>1077</v>
      </c>
      <c r="E1655" s="2" t="s">
        <v>15077</v>
      </c>
      <c r="F1655" s="2" t="s">
        <v>15078</v>
      </c>
      <c r="G1655" s="2" t="s">
        <v>14591</v>
      </c>
      <c r="H1655" s="3" t="str">
        <f>_xlfn.IFNA(INDEX(FieldDisagreements!C2:C999, MATCH(C1655,FieldDisagreements!A2:A999, 0)), "")</f>
        <v>effortless-typescript</v>
      </c>
      <c r="I1655" s="3" t="str">
        <f>_xlfn.IFNA(INDEX(FieldDisagreements!D2:D999, MATCH(C1655,FieldDisagreements!A2:A999, 0)), "")</f>
        <v>ElicitationSessions.DaysSinceElicited</v>
      </c>
      <c r="J1655" s="2" t="s">
        <v>1906</v>
      </c>
    </row>
    <row r="1656">
      <c r="A1656" s="2" t="s">
        <v>16923</v>
      </c>
      <c r="B1656" s="3" t="str">
        <f>_xlfn.CONCAT(C1656, " @ ", D1656)</f>
        <v>effortless-typescript|KnowledgeFragments.DaysSinceActualReview @ kf-close-fx-time</v>
      </c>
      <c r="C1656" s="2" t="s">
        <v>14971</v>
      </c>
      <c r="D1656" s="2" t="s">
        <v>1152</v>
      </c>
      <c r="E1656" s="2" t="s">
        <v>15054</v>
      </c>
      <c r="F1656" s="2" t="s">
        <v>8195</v>
      </c>
      <c r="G1656" s="2" t="s">
        <v>14591</v>
      </c>
      <c r="H1656" s="3" t="str">
        <f>_xlfn.IFNA(INDEX(FieldDisagreements!C2:C999, MATCH(C1656,FieldDisagreements!A2:A999, 0)), "")</f>
        <v>effortless-typescript</v>
      </c>
      <c r="I1656" s="3" t="str">
        <f>_xlfn.IFNA(INDEX(FieldDisagreements!D2:D999, MATCH(C1656,FieldDisagreements!A2:A999, 0)), "")</f>
        <v>KnowledgeFragments.DaysSinceActualReview</v>
      </c>
      <c r="J1656" s="2" t="s">
        <v>1906</v>
      </c>
    </row>
    <row r="1657">
      <c r="A1657" s="2" t="s">
        <v>16924</v>
      </c>
      <c r="B1657" s="3" t="str">
        <f>_xlfn.CONCAT(C1657, " @ ", D1657)</f>
        <v>effortless-typescript|KnowledgeFragments.DaysSinceActualReview @ kf-close-top-ten</v>
      </c>
      <c r="C1657" s="2" t="s">
        <v>14971</v>
      </c>
      <c r="D1657" s="2" t="s">
        <v>1157</v>
      </c>
      <c r="E1657" s="2" t="s">
        <v>15054</v>
      </c>
      <c r="F1657" s="2" t="s">
        <v>8195</v>
      </c>
      <c r="G1657" s="2" t="s">
        <v>14591</v>
      </c>
      <c r="H1657" s="3" t="str">
        <f>_xlfn.IFNA(INDEX(FieldDisagreements!C2:C999, MATCH(C1657,FieldDisagreements!A2:A999, 0)), "")</f>
        <v>effortless-typescript</v>
      </c>
      <c r="I1657" s="3" t="str">
        <f>_xlfn.IFNA(INDEX(FieldDisagreements!D2:D999, MATCH(C1657,FieldDisagreements!A2:A999, 0)), "")</f>
        <v>KnowledgeFragments.DaysSinceActualReview</v>
      </c>
      <c r="J1657" s="2" t="s">
        <v>1906</v>
      </c>
    </row>
    <row r="1658">
      <c r="A1658" s="2" t="s">
        <v>16925</v>
      </c>
      <c r="B1658" s="3" t="str">
        <f>_xlfn.CONCAT(C1658, " @ ", D1658)</f>
        <v>effortless-typescript|KnowledgeFragments.DaysSinceActualReview @ kf-policy-channel</v>
      </c>
      <c r="C1658" s="2" t="s">
        <v>14971</v>
      </c>
      <c r="D1658" s="2" t="s">
        <v>1169</v>
      </c>
      <c r="E1658" s="2" t="s">
        <v>935</v>
      </c>
      <c r="F1658" s="2" t="s">
        <v>37</v>
      </c>
      <c r="G1658" s="2" t="s">
        <v>14591</v>
      </c>
      <c r="H1658" s="3" t="str">
        <f>_xlfn.IFNA(INDEX(FieldDisagreements!C2:C999, MATCH(C1658,FieldDisagreements!A2:A999, 0)), "")</f>
        <v>effortless-typescript</v>
      </c>
      <c r="I1658" s="3" t="str">
        <f>_xlfn.IFNA(INDEX(FieldDisagreements!D2:D999, MATCH(C1658,FieldDisagreements!A2:A999, 0)), "")</f>
        <v>KnowledgeFragments.DaysSinceActualReview</v>
      </c>
      <c r="J1658" s="2" t="s">
        <v>1906</v>
      </c>
    </row>
    <row r="1659">
      <c r="A1659" s="2" t="s">
        <v>16926</v>
      </c>
      <c r="B1659" s="3" t="str">
        <f>_xlfn.CONCAT(C1659, " @ ", D1659)</f>
        <v>effortless-typescript|KnowledgeFragments.EvidenceAgeDays @ kf-policy-ai-boundary</v>
      </c>
      <c r="C1659" s="2" t="s">
        <v>14972</v>
      </c>
      <c r="D1659" s="2" t="s">
        <v>1167</v>
      </c>
      <c r="E1659" s="2" t="s">
        <v>15074</v>
      </c>
      <c r="F1659" s="2" t="s">
        <v>15075</v>
      </c>
      <c r="G1659" s="2" t="s">
        <v>14591</v>
      </c>
      <c r="H1659" s="3" t="str">
        <f>_xlfn.IFNA(INDEX(FieldDisagreements!C2:C999, MATCH(C1659,FieldDisagreements!A2:A999, 0)), "")</f>
        <v>effortless-typescript</v>
      </c>
      <c r="I1659" s="3" t="str">
        <f>_xlfn.IFNA(INDEX(FieldDisagreements!D2:D999, MATCH(C1659,FieldDisagreements!A2:A999, 0)), "")</f>
        <v>KnowledgeFragments.EvidenceAgeDays</v>
      </c>
      <c r="J1659" s="2" t="s">
        <v>1906</v>
      </c>
    </row>
    <row r="1660">
      <c r="A1660" s="2" t="s">
        <v>16927</v>
      </c>
      <c r="B1660" s="3" t="str">
        <f>_xlfn.CONCAT(C1660, " @ ", D1660)</f>
        <v>effortless-typescript|KnowledgeFragments.EvidenceAgeDays @ kf-policy-channel</v>
      </c>
      <c r="C1660" s="2" t="s">
        <v>14972</v>
      </c>
      <c r="D1660" s="2" t="s">
        <v>1169</v>
      </c>
      <c r="E1660" s="2" t="s">
        <v>15077</v>
      </c>
      <c r="F1660" s="2" t="s">
        <v>15078</v>
      </c>
      <c r="G1660" s="2" t="s">
        <v>14591</v>
      </c>
      <c r="H1660" s="3" t="str">
        <f>_xlfn.IFNA(INDEX(FieldDisagreements!C2:C999, MATCH(C1660,FieldDisagreements!A2:A999, 0)), "")</f>
        <v>effortless-typescript</v>
      </c>
      <c r="I1660" s="3" t="str">
        <f>_xlfn.IFNA(INDEX(FieldDisagreements!D2:D999, MATCH(C1660,FieldDisagreements!A2:A999, 0)), "")</f>
        <v>KnowledgeFragments.EvidenceAgeDays</v>
      </c>
      <c r="J1660" s="2" t="s">
        <v>1906</v>
      </c>
    </row>
    <row r="1661">
      <c r="A1661" s="2" t="s">
        <v>16928</v>
      </c>
      <c r="B1661" s="3" t="str">
        <f>_xlfn.CONCAT(C1661, " @ ", D1661)</f>
        <v>effortless-typescript|KnowledgeFragments.EvidenceAgeDays @ kf-policy-manager-route</v>
      </c>
      <c r="C1661" s="2" t="s">
        <v>14972</v>
      </c>
      <c r="D1661" s="2" t="s">
        <v>1171</v>
      </c>
      <c r="E1661" s="2" t="s">
        <v>15077</v>
      </c>
      <c r="F1661" s="2" t="s">
        <v>15078</v>
      </c>
      <c r="G1661" s="2" t="s">
        <v>14591</v>
      </c>
      <c r="H1661" s="3" t="str">
        <f>_xlfn.IFNA(INDEX(FieldDisagreements!C2:C999, MATCH(C1661,FieldDisagreements!A2:A999, 0)), "")</f>
        <v>effortless-typescript</v>
      </c>
      <c r="I1661" s="3" t="str">
        <f>_xlfn.IFNA(INDEX(FieldDisagreements!D2:D999, MATCH(C1661,FieldDisagreements!A2:A999, 0)), "")</f>
        <v>KnowledgeFragments.EvidenceAgeDays</v>
      </c>
      <c r="J1661" s="2" t="s">
        <v>1906</v>
      </c>
    </row>
    <row r="1662">
      <c r="A1662" s="2" t="s">
        <v>16929</v>
      </c>
      <c r="B1662" s="3" t="str">
        <f>_xlfn.CONCAT(C1662, " @ ", D1662)</f>
        <v>effortless-typescript|KnowledgeFragments.AgeDays @ kf-policy-ai-boundary</v>
      </c>
      <c r="C1662" s="2" t="s">
        <v>14973</v>
      </c>
      <c r="D1662" s="2" t="s">
        <v>1167</v>
      </c>
      <c r="E1662" s="2" t="s">
        <v>15074</v>
      </c>
      <c r="F1662" s="2" t="s">
        <v>15075</v>
      </c>
      <c r="G1662" s="2" t="s">
        <v>14591</v>
      </c>
      <c r="H1662" s="3" t="str">
        <f>_xlfn.IFNA(INDEX(FieldDisagreements!C2:C999, MATCH(C1662,FieldDisagreements!A2:A999, 0)), "")</f>
        <v>effortless-typescript</v>
      </c>
      <c r="I1662" s="3" t="str">
        <f>_xlfn.IFNA(INDEX(FieldDisagreements!D2:D999, MATCH(C1662,FieldDisagreements!A2:A999, 0)), "")</f>
        <v>KnowledgeFragments.AgeDays</v>
      </c>
      <c r="J1662" s="2" t="s">
        <v>1906</v>
      </c>
    </row>
    <row r="1663">
      <c r="A1663" s="2" t="s">
        <v>16930</v>
      </c>
      <c r="B1663" s="3" t="str">
        <f>_xlfn.CONCAT(C1663, " @ ", D1663)</f>
        <v>effortless-typescript|KnowledgeFragments.AgeDays @ kf-policy-channel</v>
      </c>
      <c r="C1663" s="2" t="s">
        <v>14973</v>
      </c>
      <c r="D1663" s="2" t="s">
        <v>1169</v>
      </c>
      <c r="E1663" s="2" t="s">
        <v>15077</v>
      </c>
      <c r="F1663" s="2" t="s">
        <v>15078</v>
      </c>
      <c r="G1663" s="2" t="s">
        <v>14591</v>
      </c>
      <c r="H1663" s="3" t="str">
        <f>_xlfn.IFNA(INDEX(FieldDisagreements!C2:C999, MATCH(C1663,FieldDisagreements!A2:A999, 0)), "")</f>
        <v>effortless-typescript</v>
      </c>
      <c r="I1663" s="3" t="str">
        <f>_xlfn.IFNA(INDEX(FieldDisagreements!D2:D999, MATCH(C1663,FieldDisagreements!A2:A999, 0)), "")</f>
        <v>KnowledgeFragments.AgeDays</v>
      </c>
      <c r="J1663" s="2" t="s">
        <v>1906</v>
      </c>
    </row>
    <row r="1664">
      <c r="A1664" s="2" t="s">
        <v>16931</v>
      </c>
      <c r="B1664" s="3" t="str">
        <f>_xlfn.CONCAT(C1664, " @ ", D1664)</f>
        <v>effortless-typescript|KnowledgeFragments.AgeDays @ kf-policy-manager-route</v>
      </c>
      <c r="C1664" s="2" t="s">
        <v>14973</v>
      </c>
      <c r="D1664" s="2" t="s">
        <v>1171</v>
      </c>
      <c r="E1664" s="2" t="s">
        <v>15077</v>
      </c>
      <c r="F1664" s="2" t="s">
        <v>15078</v>
      </c>
      <c r="G1664" s="2" t="s">
        <v>14591</v>
      </c>
      <c r="H1664" s="3" t="str">
        <f>_xlfn.IFNA(INDEX(FieldDisagreements!C2:C999, MATCH(C1664,FieldDisagreements!A2:A999, 0)), "")</f>
        <v>effortless-typescript</v>
      </c>
      <c r="I1664" s="3" t="str">
        <f>_xlfn.IFNA(INDEX(FieldDisagreements!D2:D999, MATCH(C1664,FieldDisagreements!A2:A999, 0)), "")</f>
        <v>KnowledgeFragments.AgeDays</v>
      </c>
      <c r="J1664" s="2" t="s">
        <v>1906</v>
      </c>
    </row>
    <row r="1665">
      <c r="A1665" s="2" t="s">
        <v>16932</v>
      </c>
      <c r="B1665" s="3" t="str">
        <f>_xlfn.CONCAT(C1665, " @ ", D1665)</f>
        <v>effortless-typescript|KnowledgeFragments.DaysAwaitingMyApproval @ kf-policy-manager-route</v>
      </c>
      <c r="C1665" s="2" t="s">
        <v>14974</v>
      </c>
      <c r="D1665" s="2" t="s">
        <v>1171</v>
      </c>
      <c r="E1665" s="2" t="s">
        <v>15077</v>
      </c>
      <c r="F1665" s="2" t="s">
        <v>15078</v>
      </c>
      <c r="G1665" s="2" t="s">
        <v>14591</v>
      </c>
      <c r="H1665" s="3" t="str">
        <f>_xlfn.IFNA(INDEX(FieldDisagreements!C2:C999, MATCH(C1665,FieldDisagreements!A2:A999, 0)), "")</f>
        <v>effortless-typescript</v>
      </c>
      <c r="I1665" s="3" t="str">
        <f>_xlfn.IFNA(INDEX(FieldDisagreements!D2:D999, MATCH(C1665,FieldDisagreements!A2:A999, 0)), "")</f>
        <v>KnowledgeFragments.DaysAwaitingMyApproval</v>
      </c>
      <c r="J1665" s="2" t="s">
        <v>1906</v>
      </c>
    </row>
    <row r="1666">
      <c r="A1666" s="2" t="s">
        <v>16933</v>
      </c>
      <c r="B1666" s="3" t="str">
        <f>_xlfn.CONCAT(C1666, " @ ", D1666)</f>
        <v>effortless-typescript|KnowledgeGaps.DaysOpen @ gap-policy-delivery-receipts</v>
      </c>
      <c r="C1666" s="2" t="s">
        <v>14975</v>
      </c>
      <c r="D1666" s="2" t="s">
        <v>1196</v>
      </c>
      <c r="E1666" s="2" t="s">
        <v>935</v>
      </c>
      <c r="F1666" s="2" t="s">
        <v>37</v>
      </c>
      <c r="G1666" s="2" t="s">
        <v>14591</v>
      </c>
      <c r="H1666" s="3" t="str">
        <f>_xlfn.IFNA(INDEX(FieldDisagreements!C2:C999, MATCH(C1666,FieldDisagreements!A2:A999, 0)), "")</f>
        <v>effortless-typescript</v>
      </c>
      <c r="I1666" s="3" t="str">
        <f>_xlfn.IFNA(INDEX(FieldDisagreements!D2:D999, MATCH(C1666,FieldDisagreements!A2:A999, 0)), "")</f>
        <v>KnowledgeGaps.DaysOpen</v>
      </c>
      <c r="J1666" s="2" t="s">
        <v>1906</v>
      </c>
    </row>
    <row r="1667">
      <c r="A1667" s="2" t="s">
        <v>16934</v>
      </c>
      <c r="B1667" s="3" t="str">
        <f>_xlfn.CONCAT(C1667, " @ ", D1667)</f>
        <v>effortless-typescript|IssueOccurrences.Name @ issue-close-feed</v>
      </c>
      <c r="C1667" s="2" t="s">
        <v>14976</v>
      </c>
      <c r="D1667" s="2" t="s">
        <v>1527</v>
      </c>
      <c r="E1667" s="2" t="s">
        <v>15094</v>
      </c>
      <c r="F1667" s="2" t="s">
        <v>15095</v>
      </c>
      <c r="G1667" s="2" t="s">
        <v>14591</v>
      </c>
      <c r="H1667" s="3" t="str">
        <f>_xlfn.IFNA(INDEX(FieldDisagreements!C2:C999, MATCH(C1667,FieldDisagreements!A2:A999, 0)), "")</f>
        <v>effortless-typescript</v>
      </c>
      <c r="I1667" s="3" t="str">
        <f>_xlfn.IFNA(INDEX(FieldDisagreements!D2:D999, MATCH(C1667,FieldDisagreements!A2:A999, 0)), "")</f>
        <v>IssueOccurrences.Name</v>
      </c>
      <c r="J1667" s="2" t="s">
        <v>1906</v>
      </c>
    </row>
    <row r="1668">
      <c r="A1668" s="2" t="s">
        <v>16935</v>
      </c>
      <c r="B1668" s="3" t="str">
        <f>_xlfn.CONCAT(C1668, " @ ", D1668)</f>
        <v>effortless-typescript|IssueOccurrences.Name @ issue-policy-sms</v>
      </c>
      <c r="C1668" s="2" t="s">
        <v>14976</v>
      </c>
      <c r="D1668" s="2" t="s">
        <v>1531</v>
      </c>
      <c r="E1668" s="2" t="s">
        <v>15097</v>
      </c>
      <c r="F1668" s="2" t="s">
        <v>15098</v>
      </c>
      <c r="G1668" s="2" t="s">
        <v>14591</v>
      </c>
      <c r="H1668" s="3" t="str">
        <f>_xlfn.IFNA(INDEX(FieldDisagreements!C2:C999, MATCH(C1668,FieldDisagreements!A2:A999, 0)), "")</f>
        <v>effortless-typescript</v>
      </c>
      <c r="I1668" s="3" t="str">
        <f>_xlfn.IFNA(INDEX(FieldDisagreements!D2:D999, MATCH(C1668,FieldDisagreements!A2:A999, 0)), "")</f>
        <v>IssueOccurrences.Name</v>
      </c>
      <c r="J1668" s="2" t="s">
        <v>1906</v>
      </c>
    </row>
    <row r="1669">
      <c r="A1669" s="2" t="s">
        <v>16936</v>
      </c>
      <c r="B1669" s="3" t="str">
        <f>_xlfn.CONCAT(C1669, " @ ", D1669)</f>
        <v>effortless-typescript|ChangeRequests.DaysPending @ cr-close-timestamp</v>
      </c>
      <c r="C1669" s="2" t="s">
        <v>14977</v>
      </c>
      <c r="D1669" s="2" t="s">
        <v>1556</v>
      </c>
      <c r="E1669" s="2" t="s">
        <v>935</v>
      </c>
      <c r="F1669" s="2" t="s">
        <v>37</v>
      </c>
      <c r="G1669" s="2" t="s">
        <v>14591</v>
      </c>
      <c r="H1669" s="3" t="str">
        <f>_xlfn.IFNA(INDEX(FieldDisagreements!C2:C999, MATCH(C1669,FieldDisagreements!A2:A999, 0)), "")</f>
        <v>effortless-typescript</v>
      </c>
      <c r="I1669" s="3" t="str">
        <f>_xlfn.IFNA(INDEX(FieldDisagreements!D2:D999, MATCH(C1669,FieldDisagreements!A2:A999, 0)), "")</f>
        <v>ChangeRequests.DaysPending</v>
      </c>
      <c r="J1669" s="2" t="s">
        <v>1906</v>
      </c>
    </row>
    <row r="1670">
      <c r="A1670" s="2" t="s">
        <v>16937</v>
      </c>
      <c r="B1670" s="3" t="str">
        <f>_xlfn.CONCAT(C1670, " @ ", D1670)</f>
        <v>effortless-typescript|ChangeRequests.DecisionLatencyDays @ cr-close-timestamp</v>
      </c>
      <c r="C1670" s="2" t="s">
        <v>14978</v>
      </c>
      <c r="D1670" s="2" t="s">
        <v>1556</v>
      </c>
      <c r="E1670" s="2" t="s">
        <v>935</v>
      </c>
      <c r="F1670" s="2" t="s">
        <v>37</v>
      </c>
      <c r="G1670" s="2" t="s">
        <v>14591</v>
      </c>
      <c r="H1670" s="3" t="str">
        <f>_xlfn.IFNA(INDEX(FieldDisagreements!C2:C999, MATCH(C1670,FieldDisagreements!A2:A999, 0)), "")</f>
        <v>effortless-typescript</v>
      </c>
      <c r="I1670" s="3" t="str">
        <f>_xlfn.IFNA(INDEX(FieldDisagreements!D2:D999, MATCH(C1670,FieldDisagreements!A2:A999, 0)), "")</f>
        <v>ChangeRequests.DecisionLatencyDays</v>
      </c>
      <c r="J1670" s="2" t="s">
        <v>1906</v>
      </c>
    </row>
    <row r="1671">
      <c r="A1671" s="2" t="s">
        <v>16938</v>
      </c>
      <c r="B1671" s="3" t="str">
        <f>_xlfn.CONCAT(C1671, " @ ", D1671)</f>
        <v>effortless-typescript|ReviewEvents.DaysSinceReviewed @ review-close-q1</v>
      </c>
      <c r="C1671" s="2" t="s">
        <v>14979</v>
      </c>
      <c r="D1671" s="2" t="s">
        <v>1626</v>
      </c>
      <c r="E1671" s="2" t="s">
        <v>15102</v>
      </c>
      <c r="F1671" s="2" t="s">
        <v>15103</v>
      </c>
      <c r="G1671" s="2" t="s">
        <v>14591</v>
      </c>
      <c r="H1671" s="3" t="str">
        <f>_xlfn.IFNA(INDEX(FieldDisagreements!C2:C999, MATCH(C1671,FieldDisagreements!A2:A999, 0)), "")</f>
        <v>effortless-typescript</v>
      </c>
      <c r="I1671" s="3" t="str">
        <f>_xlfn.IFNA(INDEX(FieldDisagreements!D2:D999, MATCH(C1671,FieldDisagreements!A2:A999, 0)), "")</f>
        <v>ReviewEvents.DaysSinceReviewed</v>
      </c>
      <c r="J1671" s="2" t="s">
        <v>1906</v>
      </c>
    </row>
    <row r="1672">
      <c r="A1672" s="2" t="s">
        <v>16939</v>
      </c>
      <c r="B1672" s="3" t="str">
        <f>_xlfn.CONCAT(C1672, " @ ", D1672)</f>
        <v>effortless-typescript|ReviewEvents.DaysSinceReviewed @ review-close-q2</v>
      </c>
      <c r="C1672" s="2" t="s">
        <v>14979</v>
      </c>
      <c r="D1672" s="2" t="s">
        <v>1630</v>
      </c>
      <c r="E1672" s="2" t="s">
        <v>15054</v>
      </c>
      <c r="F1672" s="2" t="s">
        <v>8195</v>
      </c>
      <c r="G1672" s="2" t="s">
        <v>14591</v>
      </c>
      <c r="H1672" s="3" t="str">
        <f>_xlfn.IFNA(INDEX(FieldDisagreements!C2:C999, MATCH(C1672,FieldDisagreements!A2:A999, 0)), "")</f>
        <v>effortless-typescript</v>
      </c>
      <c r="I1672" s="3" t="str">
        <f>_xlfn.IFNA(INDEX(FieldDisagreements!D2:D999, MATCH(C1672,FieldDisagreements!A2:A999, 0)), "")</f>
        <v>ReviewEvents.DaysSinceReviewed</v>
      </c>
      <c r="J1672" s="2" t="s">
        <v>1906</v>
      </c>
    </row>
    <row r="1673">
      <c r="A1673" s="2" t="s">
        <v>16940</v>
      </c>
      <c r="B1673" s="3" t="str">
        <f>_xlfn.CONCAT(C1673, " @ ", D1673)</f>
        <v>effortless-typescript|ReviewEvents.DaysSinceReviewed @ review-policy-prelaunch</v>
      </c>
      <c r="C1673" s="2" t="s">
        <v>14979</v>
      </c>
      <c r="D1673" s="2" t="s">
        <v>1632</v>
      </c>
      <c r="E1673" s="2" t="s">
        <v>935</v>
      </c>
      <c r="F1673" s="2" t="s">
        <v>37</v>
      </c>
      <c r="G1673" s="2" t="s">
        <v>14591</v>
      </c>
      <c r="H1673" s="3" t="str">
        <f>_xlfn.IFNA(INDEX(FieldDisagreements!C2:C999, MATCH(C1673,FieldDisagreements!A2:A999, 0)), "")</f>
        <v>effortless-typescript</v>
      </c>
      <c r="I1673" s="3" t="str">
        <f>_xlfn.IFNA(INDEX(FieldDisagreements!D2:D999, MATCH(C1673,FieldDisagreements!A2:A999, 0)), "")</f>
        <v>ReviewEvents.DaysSinceReviewed</v>
      </c>
      <c r="J1673" s="2" t="s">
        <v>1906</v>
      </c>
    </row>
    <row r="1674">
      <c r="A1674" s="2" t="s">
        <v>16941</v>
      </c>
      <c r="B1674" s="3" t="str">
        <f>_xlfn.CONCAT(C1674, " @ ", D1674)</f>
        <v>effortless-typescript|ReviewEvents.CadenceDriftDays @ review-close-q1</v>
      </c>
      <c r="C1674" s="2" t="s">
        <v>14980</v>
      </c>
      <c r="D1674" s="2" t="s">
        <v>1626</v>
      </c>
      <c r="E1674" s="2" t="s">
        <v>15107</v>
      </c>
      <c r="F1674" s="2" t="s">
        <v>15108</v>
      </c>
      <c r="G1674" s="2" t="s">
        <v>14591</v>
      </c>
      <c r="H1674" s="3" t="str">
        <f>_xlfn.IFNA(INDEX(FieldDisagreements!C2:C999, MATCH(C1674,FieldDisagreements!A2:A999, 0)), "")</f>
        <v>effortless-typescript</v>
      </c>
      <c r="I1674" s="3" t="str">
        <f>_xlfn.IFNA(INDEX(FieldDisagreements!D2:D999, MATCH(C1674,FieldDisagreements!A2:A999, 0)), "")</f>
        <v>ReviewEvents.CadenceDriftDays</v>
      </c>
      <c r="J1674" s="2" t="s">
        <v>1906</v>
      </c>
    </row>
    <row r="1675">
      <c r="A1675" s="2" t="s">
        <v>16942</v>
      </c>
      <c r="B1675" s="3" t="str">
        <f>_xlfn.CONCAT(C1675, " @ ", D1675)</f>
        <v>effortless-typescript|ReviewEvents.CadenceDriftDays @ review-close-q2</v>
      </c>
      <c r="C1675" s="2" t="s">
        <v>14980</v>
      </c>
      <c r="D1675" s="2" t="s">
        <v>1630</v>
      </c>
      <c r="E1675" s="2" t="s">
        <v>15110</v>
      </c>
      <c r="F1675" s="2" t="s">
        <v>15111</v>
      </c>
      <c r="G1675" s="2" t="s">
        <v>14591</v>
      </c>
      <c r="H1675" s="3" t="str">
        <f>_xlfn.IFNA(INDEX(FieldDisagreements!C2:C999, MATCH(C1675,FieldDisagreements!A2:A999, 0)), "")</f>
        <v>effortless-typescript</v>
      </c>
      <c r="I1675" s="3" t="str">
        <f>_xlfn.IFNA(INDEX(FieldDisagreements!D2:D999, MATCH(C1675,FieldDisagreements!A2:A999, 0)), "")</f>
        <v>ReviewEvents.CadenceDriftDays</v>
      </c>
      <c r="J1675" s="2" t="s">
        <v>1906</v>
      </c>
    </row>
    <row r="1676">
      <c r="A1676" s="2" t="s">
        <v>16943</v>
      </c>
      <c r="B1676" s="3" t="str">
        <f>_xlfn.CONCAT(C1676, " @ ", D1676)</f>
        <v>effortless-typescript|ReviewEvents.CadenceDriftDays @ review-policy-prelaunch</v>
      </c>
      <c r="C1676" s="2" t="s">
        <v>14980</v>
      </c>
      <c r="D1676" s="2" t="s">
        <v>1632</v>
      </c>
      <c r="E1676" s="2" t="s">
        <v>15113</v>
      </c>
      <c r="F1676" s="2" t="s">
        <v>15114</v>
      </c>
      <c r="G1676" s="2" t="s">
        <v>14591</v>
      </c>
      <c r="H1676" s="3" t="str">
        <f>_xlfn.IFNA(INDEX(FieldDisagreements!C2:C999, MATCH(C1676,FieldDisagreements!A2:A999, 0)), "")</f>
        <v>effortless-typescript</v>
      </c>
      <c r="I1676" s="3" t="str">
        <f>_xlfn.IFNA(INDEX(FieldDisagreements!D2:D999, MATCH(C1676,FieldDisagreements!A2:A999, 0)), "")</f>
        <v>ReviewEvents.CadenceDriftDays</v>
      </c>
      <c r="J1676" s="2" t="s">
        <v>1906</v>
      </c>
    </row>
    <row r="1677">
      <c r="A1677" s="2" t="s">
        <v>16944</v>
      </c>
      <c r="B1677" s="3" t="str">
        <f>_xlfn.CONCAT(C1677, " @ ", D1677)</f>
        <v>effortless-typescript|LearningActivities.Name @ learn-close-retro</v>
      </c>
      <c r="C1677" s="2" t="s">
        <v>14981</v>
      </c>
      <c r="D1677" s="2" t="s">
        <v>1637</v>
      </c>
      <c r="E1677" s="2" t="s">
        <v>15116</v>
      </c>
      <c r="F1677" s="2" t="s">
        <v>15117</v>
      </c>
      <c r="G1677" s="2" t="s">
        <v>14591</v>
      </c>
      <c r="H1677" s="3" t="str">
        <f>_xlfn.IFNA(INDEX(FieldDisagreements!C2:C999, MATCH(C1677,FieldDisagreements!A2:A999, 0)), "")</f>
        <v>effortless-typescript</v>
      </c>
      <c r="I1677" s="3" t="str">
        <f>_xlfn.IFNA(INDEX(FieldDisagreements!D2:D999, MATCH(C1677,FieldDisagreements!A2:A999, 0)), "")</f>
        <v>LearningActivities.Name</v>
      </c>
      <c r="J1677" s="2" t="s">
        <v>1906</v>
      </c>
    </row>
    <row r="1678">
      <c r="A1678" s="2" t="s">
        <v>16945</v>
      </c>
      <c r="B1678" s="3" t="str">
        <f>_xlfn.CONCAT(C1678, " @ ", D1678)</f>
        <v>effortless-typescript|LearningActivities.Name @ learn-policy-tabletop</v>
      </c>
      <c r="C1678" s="2" t="s">
        <v>14981</v>
      </c>
      <c r="D1678" s="2" t="s">
        <v>1639</v>
      </c>
      <c r="E1678" s="2" t="s">
        <v>15119</v>
      </c>
      <c r="F1678" s="2" t="s">
        <v>15120</v>
      </c>
      <c r="G1678" s="2" t="s">
        <v>14591</v>
      </c>
      <c r="H1678" s="3" t="str">
        <f>_xlfn.IFNA(INDEX(FieldDisagreements!C2:C999, MATCH(C1678,FieldDisagreements!A2:A999, 0)), "")</f>
        <v>effortless-typescript</v>
      </c>
      <c r="I1678" s="3" t="str">
        <f>_xlfn.IFNA(INDEX(FieldDisagreements!D2:D999, MATCH(C1678,FieldDisagreements!A2:A999, 0)), "")</f>
        <v>LearningActivities.Name</v>
      </c>
      <c r="J1678" s="2" t="s">
        <v>1906</v>
      </c>
    </row>
    <row r="1679">
      <c r="A1679" s="2" t="s">
        <v>16946</v>
      </c>
      <c r="B1679" s="3" t="str">
        <f>_xlfn.CONCAT(C1679, " @ ", D1679)</f>
        <v>effortless-typescript|ObservedTransitions.Name @ obs-close-01-02-q2</v>
      </c>
      <c r="C1679" s="2" t="s">
        <v>14982</v>
      </c>
      <c r="D1679" s="2" t="s">
        <v>8200</v>
      </c>
      <c r="E1679" s="2" t="s">
        <v>15122</v>
      </c>
      <c r="F1679" s="2" t="s">
        <v>15123</v>
      </c>
      <c r="G1679" s="2" t="s">
        <v>14591</v>
      </c>
      <c r="H1679" s="3" t="str">
        <f>_xlfn.IFNA(INDEX(FieldDisagreements!C2:C999, MATCH(C1679,FieldDisagreements!A2:A999, 0)), "")</f>
        <v>effortless-typescript</v>
      </c>
      <c r="I1679" s="3" t="str">
        <f>_xlfn.IFNA(INDEX(FieldDisagreements!D2:D999, MATCH(C1679,FieldDisagreements!A2:A999, 0)), "")</f>
        <v>ObservedTransitions.Name</v>
      </c>
      <c r="J1679" s="2" t="s">
        <v>1906</v>
      </c>
    </row>
    <row r="1680">
      <c r="A1680" s="2" t="s">
        <v>16947</v>
      </c>
      <c r="B1680" s="3" t="str">
        <f>_xlfn.CONCAT(C1680, " @ ", D1680)</f>
        <v>effortless-typescript|ObservedTransitions.Name @ obs-close-02-03-q2</v>
      </c>
      <c r="C1680" s="2" t="s">
        <v>14982</v>
      </c>
      <c r="D1680" s="2" t="s">
        <v>8202</v>
      </c>
      <c r="E1680" s="2" t="s">
        <v>15125</v>
      </c>
      <c r="F1680" s="2" t="s">
        <v>15126</v>
      </c>
      <c r="G1680" s="2" t="s">
        <v>14591</v>
      </c>
      <c r="H1680" s="3" t="str">
        <f>_xlfn.IFNA(INDEX(FieldDisagreements!C2:C999, MATCH(C1680,FieldDisagreements!A2:A999, 0)), "")</f>
        <v>effortless-typescript</v>
      </c>
      <c r="I1680" s="3" t="str">
        <f>_xlfn.IFNA(INDEX(FieldDisagreements!D2:D999, MATCH(C1680,FieldDisagreements!A2:A999, 0)), "")</f>
        <v>ObservedTransitions.Name</v>
      </c>
      <c r="J1680" s="2" t="s">
        <v>1906</v>
      </c>
    </row>
    <row r="1681">
      <c r="A1681" s="2" t="s">
        <v>16948</v>
      </c>
      <c r="B1681" s="3" t="str">
        <f>_xlfn.CONCAT(C1681, " @ ", D1681)</f>
        <v>effortless-typescript|ObservedTransitions.Name @ obs-close-03-04-q2</v>
      </c>
      <c r="C1681" s="2" t="s">
        <v>14982</v>
      </c>
      <c r="D1681" s="2" t="s">
        <v>8203</v>
      </c>
      <c r="E1681" s="2" t="s">
        <v>15128</v>
      </c>
      <c r="F1681" s="2" t="s">
        <v>15129</v>
      </c>
      <c r="G1681" s="2" t="s">
        <v>14591</v>
      </c>
      <c r="H1681" s="3" t="str">
        <f>_xlfn.IFNA(INDEX(FieldDisagreements!C2:C999, MATCH(C1681,FieldDisagreements!A2:A999, 0)), "")</f>
        <v>effortless-typescript</v>
      </c>
      <c r="I1681" s="3" t="str">
        <f>_xlfn.IFNA(INDEX(FieldDisagreements!D2:D999, MATCH(C1681,FieldDisagreements!A2:A999, 0)), "")</f>
        <v>ObservedTransitions.Name</v>
      </c>
      <c r="J1681" s="2" t="s">
        <v>1906</v>
      </c>
    </row>
    <row r="1682">
      <c r="A1682" s="2" t="s">
        <v>16949</v>
      </c>
      <c r="B1682" s="3" t="str">
        <f>_xlfn.CONCAT(C1682, " @ ", D1682)</f>
        <v>effortless-typescript|ObservedTransitions.Name @ obs-close-04-05-q2</v>
      </c>
      <c r="C1682" s="2" t="s">
        <v>14982</v>
      </c>
      <c r="D1682" s="2" t="s">
        <v>8204</v>
      </c>
      <c r="E1682" s="2" t="s">
        <v>15131</v>
      </c>
      <c r="F1682" s="2" t="s">
        <v>15132</v>
      </c>
      <c r="G1682" s="2" t="s">
        <v>14591</v>
      </c>
      <c r="H1682" s="3" t="str">
        <f>_xlfn.IFNA(INDEX(FieldDisagreements!C2:C999, MATCH(C1682,FieldDisagreements!A2:A999, 0)), "")</f>
        <v>effortless-typescript</v>
      </c>
      <c r="I1682" s="3" t="str">
        <f>_xlfn.IFNA(INDEX(FieldDisagreements!D2:D999, MATCH(C1682,FieldDisagreements!A2:A999, 0)), "")</f>
        <v>ObservedTransitions.Name</v>
      </c>
      <c r="J1682" s="2" t="s">
        <v>1906</v>
      </c>
    </row>
    <row r="1683">
      <c r="A1683" s="2" t="s">
        <v>16950</v>
      </c>
      <c r="B1683" s="3" t="str">
        <f>_xlfn.CONCAT(C1683, " @ ", D1683)</f>
        <v>effortless-typescript|ObservedTransitions.Name @ obs-close-05-06-q2</v>
      </c>
      <c r="C1683" s="2" t="s">
        <v>14982</v>
      </c>
      <c r="D1683" s="2" t="s">
        <v>8205</v>
      </c>
      <c r="E1683" s="2" t="s">
        <v>15134</v>
      </c>
      <c r="F1683" s="2" t="s">
        <v>15135</v>
      </c>
      <c r="G1683" s="2" t="s">
        <v>14591</v>
      </c>
      <c r="H1683" s="3" t="str">
        <f>_xlfn.IFNA(INDEX(FieldDisagreements!C2:C999, MATCH(C1683,FieldDisagreements!A2:A999, 0)), "")</f>
        <v>effortless-typescript</v>
      </c>
      <c r="I1683" s="3" t="str">
        <f>_xlfn.IFNA(INDEX(FieldDisagreements!D2:D999, MATCH(C1683,FieldDisagreements!A2:A999, 0)), "")</f>
        <v>ObservedTransitions.Name</v>
      </c>
      <c r="J1683" s="2" t="s">
        <v>1906</v>
      </c>
    </row>
    <row r="1684">
      <c r="A1684" s="2" t="s">
        <v>16951</v>
      </c>
      <c r="B1684" s="3" t="str">
        <f>_xlfn.CONCAT(C1684, " @ ", D1684)</f>
        <v>effortless-typescript|ObservedTransitions.Name @ obs-close-06-07-q2</v>
      </c>
      <c r="C1684" s="2" t="s">
        <v>14982</v>
      </c>
      <c r="D1684" s="2" t="s">
        <v>8206</v>
      </c>
      <c r="E1684" s="2" t="s">
        <v>15137</v>
      </c>
      <c r="F1684" s="2" t="s">
        <v>15138</v>
      </c>
      <c r="G1684" s="2" t="s">
        <v>14591</v>
      </c>
      <c r="H1684" s="3" t="str">
        <f>_xlfn.IFNA(INDEX(FieldDisagreements!C2:C999, MATCH(C1684,FieldDisagreements!A2:A999, 0)), "")</f>
        <v>effortless-typescript</v>
      </c>
      <c r="I1684" s="3" t="str">
        <f>_xlfn.IFNA(INDEX(FieldDisagreements!D2:D999, MATCH(C1684,FieldDisagreements!A2:A999, 0)), "")</f>
        <v>ObservedTransitions.Name</v>
      </c>
      <c r="J1684" s="2" t="s">
        <v>1906</v>
      </c>
    </row>
    <row r="1685">
      <c r="A1685" s="2" t="s">
        <v>16952</v>
      </c>
      <c r="B1685" s="3" t="str">
        <f>_xlfn.CONCAT(C1685, " @ ", D1685)</f>
        <v>effortless-typescript|ObservedTransitions.Name @ obs-close-07-08-q2</v>
      </c>
      <c r="C1685" s="2" t="s">
        <v>14982</v>
      </c>
      <c r="D1685" s="2" t="s">
        <v>8207</v>
      </c>
      <c r="E1685" s="2" t="s">
        <v>15140</v>
      </c>
      <c r="F1685" s="2" t="s">
        <v>15141</v>
      </c>
      <c r="G1685" s="2" t="s">
        <v>14591</v>
      </c>
      <c r="H1685" s="3" t="str">
        <f>_xlfn.IFNA(INDEX(FieldDisagreements!C2:C999, MATCH(C1685,FieldDisagreements!A2:A999, 0)), "")</f>
        <v>effortless-typescript</v>
      </c>
      <c r="I1685" s="3" t="str">
        <f>_xlfn.IFNA(INDEX(FieldDisagreements!D2:D999, MATCH(C1685,FieldDisagreements!A2:A999, 0)), "")</f>
        <v>ObservedTransitions.Name</v>
      </c>
      <c r="J1685" s="2" t="s">
        <v>1906</v>
      </c>
    </row>
    <row r="1686">
      <c r="A1686" s="2" t="s">
        <v>16953</v>
      </c>
      <c r="B1686" s="3" t="str">
        <f>_xlfn.CONCAT(C1686, " @ ", D1686)</f>
        <v>effortless-typescript|ObservedTransitions.Name @ obs-policy-01-02-hr4821</v>
      </c>
      <c r="C1686" s="2" t="s">
        <v>14982</v>
      </c>
      <c r="D1686" s="2" t="s">
        <v>8208</v>
      </c>
      <c r="E1686" s="2" t="s">
        <v>15143</v>
      </c>
      <c r="F1686" s="2" t="s">
        <v>15144</v>
      </c>
      <c r="G1686" s="2" t="s">
        <v>14591</v>
      </c>
      <c r="H1686" s="3" t="str">
        <f>_xlfn.IFNA(INDEX(FieldDisagreements!C2:C999, MATCH(C1686,FieldDisagreements!A2:A999, 0)), "")</f>
        <v>effortless-typescript</v>
      </c>
      <c r="I1686" s="3" t="str">
        <f>_xlfn.IFNA(INDEX(FieldDisagreements!D2:D999, MATCH(C1686,FieldDisagreements!A2:A999, 0)), "")</f>
        <v>ObservedTransitions.Name</v>
      </c>
      <c r="J1686" s="2" t="s">
        <v>1906</v>
      </c>
    </row>
    <row r="1687">
      <c r="A1687" s="2" t="s">
        <v>16954</v>
      </c>
      <c r="B1687" s="3" t="str">
        <f>_xlfn.CONCAT(C1687, " @ ", D1687)</f>
        <v>effortless-typescript|ObservedTransitions.Name @ obs-policy-02-03-hr4821</v>
      </c>
      <c r="C1687" s="2" t="s">
        <v>14982</v>
      </c>
      <c r="D1687" s="2" t="s">
        <v>8209</v>
      </c>
      <c r="E1687" s="2" t="s">
        <v>15146</v>
      </c>
      <c r="F1687" s="2" t="s">
        <v>15147</v>
      </c>
      <c r="G1687" s="2" t="s">
        <v>14591</v>
      </c>
      <c r="H1687" s="3" t="str">
        <f>_xlfn.IFNA(INDEX(FieldDisagreements!C2:C999, MATCH(C1687,FieldDisagreements!A2:A999, 0)), "")</f>
        <v>effortless-typescript</v>
      </c>
      <c r="I1687" s="3" t="str">
        <f>_xlfn.IFNA(INDEX(FieldDisagreements!D2:D999, MATCH(C1687,FieldDisagreements!A2:A999, 0)), "")</f>
        <v>ObservedTransitions.Name</v>
      </c>
      <c r="J1687" s="2" t="s">
        <v>1906</v>
      </c>
    </row>
    <row r="1688">
      <c r="A1688" s="2" t="s">
        <v>16955</v>
      </c>
      <c r="B1688" s="3" t="str">
        <f>_xlfn.CONCAT(C1688, " @ ", D1688)</f>
        <v>effortless-typescript|ObservedTransitions.Name @ obs-policy-03-04-hr4821</v>
      </c>
      <c r="C1688" s="2" t="s">
        <v>14982</v>
      </c>
      <c r="D1688" s="2" t="s">
        <v>8210</v>
      </c>
      <c r="E1688" s="2" t="s">
        <v>15149</v>
      </c>
      <c r="F1688" s="2" t="s">
        <v>15150</v>
      </c>
      <c r="G1688" s="2" t="s">
        <v>14591</v>
      </c>
      <c r="H1688" s="3" t="str">
        <f>_xlfn.IFNA(INDEX(FieldDisagreements!C2:C999, MATCH(C1688,FieldDisagreements!A2:A999, 0)), "")</f>
        <v>effortless-typescript</v>
      </c>
      <c r="I1688" s="3" t="str">
        <f>_xlfn.IFNA(INDEX(FieldDisagreements!D2:D999, MATCH(C1688,FieldDisagreements!A2:A999, 0)), "")</f>
        <v>ObservedTransitions.Name</v>
      </c>
      <c r="J1688" s="2" t="s">
        <v>1906</v>
      </c>
    </row>
    <row r="1689">
      <c r="A1689" s="2" t="s">
        <v>16956</v>
      </c>
      <c r="B1689" s="3" t="str">
        <f>_xlfn.CONCAT(C1689, " @ ", D1689)</f>
        <v>effortless-typescript|MessageDeliveries.Name @ md-001</v>
      </c>
      <c r="C1689" s="2" t="s">
        <v>14983</v>
      </c>
      <c r="D1689" s="2" t="s">
        <v>8234</v>
      </c>
      <c r="E1689" s="2" t="s">
        <v>15152</v>
      </c>
      <c r="F1689" s="2" t="s">
        <v>15153</v>
      </c>
      <c r="G1689" s="2" t="s">
        <v>14591</v>
      </c>
      <c r="H1689" s="3" t="str">
        <f>_xlfn.IFNA(INDEX(FieldDisagreements!C2:C999, MATCH(C1689,FieldDisagreements!A2:A999, 0)), "")</f>
        <v>effortless-typescript</v>
      </c>
      <c r="I1689" s="3" t="str">
        <f>_xlfn.IFNA(INDEX(FieldDisagreements!D2:D999, MATCH(C1689,FieldDisagreements!A2:A999, 0)), "")</f>
        <v>MessageDeliveries.Name</v>
      </c>
      <c r="J1689" s="2" t="s">
        <v>1906</v>
      </c>
    </row>
    <row r="1690">
      <c r="A1690" s="2" t="s">
        <v>16957</v>
      </c>
      <c r="B1690" s="3" t="str">
        <f>_xlfn.CONCAT(C1690, " @ ", D1690)</f>
        <v>effortless-typescript|MessageDeliveries.Name @ md-002</v>
      </c>
      <c r="C1690" s="2" t="s">
        <v>14983</v>
      </c>
      <c r="D1690" s="2" t="s">
        <v>8238</v>
      </c>
      <c r="E1690" s="2" t="s">
        <v>15155</v>
      </c>
      <c r="F1690" s="2" t="s">
        <v>15156</v>
      </c>
      <c r="G1690" s="2" t="s">
        <v>14591</v>
      </c>
      <c r="H1690" s="3" t="str">
        <f>_xlfn.IFNA(INDEX(FieldDisagreements!C2:C999, MATCH(C1690,FieldDisagreements!A2:A999, 0)), "")</f>
        <v>effortless-typescript</v>
      </c>
      <c r="I1690" s="3" t="str">
        <f>_xlfn.IFNA(INDEX(FieldDisagreements!D2:D999, MATCH(C1690,FieldDisagreements!A2:A999, 0)), "")</f>
        <v>MessageDeliveries.Name</v>
      </c>
      <c r="J1690" s="2" t="s">
        <v>1906</v>
      </c>
    </row>
    <row r="1691">
      <c r="A1691" s="2" t="s">
        <v>16958</v>
      </c>
      <c r="B1691" s="3" t="str">
        <f>_xlfn.CONCAT(C1691, " @ ", D1691)</f>
        <v>effortless-typescript|MessageDeliveries.Name @ md-003</v>
      </c>
      <c r="C1691" s="2" t="s">
        <v>14983</v>
      </c>
      <c r="D1691" s="2" t="s">
        <v>8239</v>
      </c>
      <c r="E1691" s="2" t="s">
        <v>15158</v>
      </c>
      <c r="F1691" s="2" t="s">
        <v>15159</v>
      </c>
      <c r="G1691" s="2" t="s">
        <v>14591</v>
      </c>
      <c r="H1691" s="3" t="str">
        <f>_xlfn.IFNA(INDEX(FieldDisagreements!C2:C999, MATCH(C1691,FieldDisagreements!A2:A999, 0)), "")</f>
        <v>effortless-typescript</v>
      </c>
      <c r="I1691" s="3" t="str">
        <f>_xlfn.IFNA(INDEX(FieldDisagreements!D2:D999, MATCH(C1691,FieldDisagreements!A2:A999, 0)), "")</f>
        <v>MessageDeliveries.Name</v>
      </c>
      <c r="J1691" s="2" t="s">
        <v>1906</v>
      </c>
    </row>
    <row r="1692">
      <c r="A1692" s="2" t="s">
        <v>16959</v>
      </c>
      <c r="B1692" s="3" t="str">
        <f>_xlfn.CONCAT(C1692, " @ ", D1692)</f>
        <v>effortless-typescript|MessageDeliveries.Name @ md-004</v>
      </c>
      <c r="C1692" s="2" t="s">
        <v>14983</v>
      </c>
      <c r="D1692" s="2" t="s">
        <v>8241</v>
      </c>
      <c r="E1692" s="2" t="s">
        <v>15161</v>
      </c>
      <c r="F1692" s="2" t="s">
        <v>15162</v>
      </c>
      <c r="G1692" s="2" t="s">
        <v>14591</v>
      </c>
      <c r="H1692" s="3" t="str">
        <f>_xlfn.IFNA(INDEX(FieldDisagreements!C2:C999, MATCH(C1692,FieldDisagreements!A2:A999, 0)), "")</f>
        <v>effortless-typescript</v>
      </c>
      <c r="I1692" s="3" t="str">
        <f>_xlfn.IFNA(INDEX(FieldDisagreements!D2:D999, MATCH(C1692,FieldDisagreements!A2:A999, 0)), "")</f>
        <v>MessageDeliveries.Name</v>
      </c>
      <c r="J1692" s="2" t="s">
        <v>1906</v>
      </c>
    </row>
    <row r="1693">
      <c r="A1693" s="2" t="s">
        <v>16960</v>
      </c>
      <c r="B1693" s="3" t="str">
        <f>_xlfn.CONCAT(C1693, " @ ", D1693)</f>
        <v>effortless-typescript|MessageDeliveries.Name @ md-005</v>
      </c>
      <c r="C1693" s="2" t="s">
        <v>14983</v>
      </c>
      <c r="D1693" s="2" t="s">
        <v>8244</v>
      </c>
      <c r="E1693" s="2" t="s">
        <v>15164</v>
      </c>
      <c r="F1693" s="2" t="s">
        <v>15165</v>
      </c>
      <c r="G1693" s="2" t="s">
        <v>14591</v>
      </c>
      <c r="H1693" s="3" t="str">
        <f>_xlfn.IFNA(INDEX(FieldDisagreements!C2:C999, MATCH(C1693,FieldDisagreements!A2:A999, 0)), "")</f>
        <v>effortless-typescript</v>
      </c>
      <c r="I1693" s="3" t="str">
        <f>_xlfn.IFNA(INDEX(FieldDisagreements!D2:D999, MATCH(C1693,FieldDisagreements!A2:A999, 0)), "")</f>
        <v>MessageDeliveries.Name</v>
      </c>
      <c r="J1693" s="2" t="s">
        <v>1906</v>
      </c>
    </row>
    <row r="1694">
      <c r="A1694" s="2" t="s">
        <v>16961</v>
      </c>
      <c r="B1694" s="3" t="str">
        <f>_xlfn.CONCAT(C1694, " @ ", D1694)</f>
        <v>effortless-typescript|MessageDeliveries.Name @ md-006</v>
      </c>
      <c r="C1694" s="2" t="s">
        <v>14983</v>
      </c>
      <c r="D1694" s="2" t="s">
        <v>8247</v>
      </c>
      <c r="E1694" s="2" t="s">
        <v>15167</v>
      </c>
      <c r="F1694" s="2" t="s">
        <v>15168</v>
      </c>
      <c r="G1694" s="2" t="s">
        <v>14591</v>
      </c>
      <c r="H1694" s="3" t="str">
        <f>_xlfn.IFNA(INDEX(FieldDisagreements!C2:C999, MATCH(C1694,FieldDisagreements!A2:A999, 0)), "")</f>
        <v>effortless-typescript</v>
      </c>
      <c r="I1694" s="3" t="str">
        <f>_xlfn.IFNA(INDEX(FieldDisagreements!D2:D999, MATCH(C1694,FieldDisagreements!A2:A999, 0)), "")</f>
        <v>MessageDeliveries.Name</v>
      </c>
      <c r="J1694" s="2" t="s">
        <v>1906</v>
      </c>
    </row>
    <row r="1695">
      <c r="A1695" s="2" t="s">
        <v>16962</v>
      </c>
      <c r="B1695" s="3" t="str">
        <f>_xlfn.CONCAT(C1695, " @ ", D1695)</f>
        <v>effortless-typescript|MessageDeliveries.AgeDays @ md-001</v>
      </c>
      <c r="C1695" s="2" t="s">
        <v>14984</v>
      </c>
      <c r="D1695" s="2" t="s">
        <v>8234</v>
      </c>
      <c r="E1695" s="2" t="s">
        <v>935</v>
      </c>
      <c r="F1695" s="2" t="s">
        <v>37</v>
      </c>
      <c r="G1695" s="2" t="s">
        <v>14591</v>
      </c>
      <c r="H1695" s="3" t="str">
        <f>_xlfn.IFNA(INDEX(FieldDisagreements!C2:C999, MATCH(C1695,FieldDisagreements!A2:A999, 0)), "")</f>
        <v>effortless-typescript</v>
      </c>
      <c r="I1695" s="3" t="str">
        <f>_xlfn.IFNA(INDEX(FieldDisagreements!D2:D999, MATCH(C1695,FieldDisagreements!A2:A999, 0)), "")</f>
        <v>MessageDeliveries.AgeDays</v>
      </c>
      <c r="J1695" s="2" t="s">
        <v>1906</v>
      </c>
    </row>
    <row r="1696">
      <c r="A1696" s="2" t="s">
        <v>16963</v>
      </c>
      <c r="B1696" s="3" t="str">
        <f>_xlfn.CONCAT(C1696, " @ ", D1696)</f>
        <v>effortless-typescript|MessageDeliveries.AgeDays @ md-002</v>
      </c>
      <c r="C1696" s="2" t="s">
        <v>14984</v>
      </c>
      <c r="D1696" s="2" t="s">
        <v>8238</v>
      </c>
      <c r="E1696" s="2" t="s">
        <v>935</v>
      </c>
      <c r="F1696" s="2" t="s">
        <v>37</v>
      </c>
      <c r="G1696" s="2" t="s">
        <v>14591</v>
      </c>
      <c r="H1696" s="3" t="str">
        <f>_xlfn.IFNA(INDEX(FieldDisagreements!C2:C999, MATCH(C1696,FieldDisagreements!A2:A999, 0)), "")</f>
        <v>effortless-typescript</v>
      </c>
      <c r="I1696" s="3" t="str">
        <f>_xlfn.IFNA(INDEX(FieldDisagreements!D2:D999, MATCH(C1696,FieldDisagreements!A2:A999, 0)), "")</f>
        <v>MessageDeliveries.AgeDays</v>
      </c>
      <c r="J1696" s="2" t="s">
        <v>1906</v>
      </c>
    </row>
    <row r="1697">
      <c r="A1697" s="2" t="s">
        <v>16964</v>
      </c>
      <c r="B1697" s="3" t="str">
        <f>_xlfn.CONCAT(C1697, " @ ", D1697)</f>
        <v>effortless-typescript|MessageDeliveries.AgeDays @ md-003</v>
      </c>
      <c r="C1697" s="2" t="s">
        <v>14984</v>
      </c>
      <c r="D1697" s="2" t="s">
        <v>8239</v>
      </c>
      <c r="E1697" s="2" t="s">
        <v>935</v>
      </c>
      <c r="F1697" s="2" t="s">
        <v>37</v>
      </c>
      <c r="G1697" s="2" t="s">
        <v>14591</v>
      </c>
      <c r="H1697" s="3" t="str">
        <f>_xlfn.IFNA(INDEX(FieldDisagreements!C2:C999, MATCH(C1697,FieldDisagreements!A2:A999, 0)), "")</f>
        <v>effortless-typescript</v>
      </c>
      <c r="I1697" s="3" t="str">
        <f>_xlfn.IFNA(INDEX(FieldDisagreements!D2:D999, MATCH(C1697,FieldDisagreements!A2:A999, 0)), "")</f>
        <v>MessageDeliveries.AgeDays</v>
      </c>
      <c r="J1697" s="2" t="s">
        <v>1906</v>
      </c>
    </row>
    <row r="1698">
      <c r="A1698" s="2" t="s">
        <v>16965</v>
      </c>
      <c r="B1698" s="3" t="str">
        <f>_xlfn.CONCAT(C1698, " @ ", D1698)</f>
        <v>effortless-typescript|MessageDeliveries.AgeDays @ md-004</v>
      </c>
      <c r="C1698" s="2" t="s">
        <v>14984</v>
      </c>
      <c r="D1698" s="2" t="s">
        <v>8241</v>
      </c>
      <c r="E1698" s="2" t="s">
        <v>935</v>
      </c>
      <c r="F1698" s="2" t="s">
        <v>37</v>
      </c>
      <c r="G1698" s="2" t="s">
        <v>14591</v>
      </c>
      <c r="H1698" s="3" t="str">
        <f>_xlfn.IFNA(INDEX(FieldDisagreements!C2:C999, MATCH(C1698,FieldDisagreements!A2:A999, 0)), "")</f>
        <v>effortless-typescript</v>
      </c>
      <c r="I1698" s="3" t="str">
        <f>_xlfn.IFNA(INDEX(FieldDisagreements!D2:D999, MATCH(C1698,FieldDisagreements!A2:A999, 0)), "")</f>
        <v>MessageDeliveries.AgeDays</v>
      </c>
      <c r="J1698" s="2" t="s">
        <v>1906</v>
      </c>
    </row>
    <row r="1699">
      <c r="A1699" s="2" t="s">
        <v>16966</v>
      </c>
      <c r="B1699" s="3" t="str">
        <f>_xlfn.CONCAT(C1699, " @ ", D1699)</f>
        <v>effortless-typescript|MessageDeliveries.AgeDays @ md-005</v>
      </c>
      <c r="C1699" s="2" t="s">
        <v>14984</v>
      </c>
      <c r="D1699" s="2" t="s">
        <v>8244</v>
      </c>
      <c r="E1699" s="2" t="s">
        <v>935</v>
      </c>
      <c r="F1699" s="2" t="s">
        <v>37</v>
      </c>
      <c r="G1699" s="2" t="s">
        <v>14591</v>
      </c>
      <c r="H1699" s="3" t="str">
        <f>_xlfn.IFNA(INDEX(FieldDisagreements!C2:C999, MATCH(C1699,FieldDisagreements!A2:A999, 0)), "")</f>
        <v>effortless-typescript</v>
      </c>
      <c r="I1699" s="3" t="str">
        <f>_xlfn.IFNA(INDEX(FieldDisagreements!D2:D999, MATCH(C1699,FieldDisagreements!A2:A999, 0)), "")</f>
        <v>MessageDeliveries.AgeDays</v>
      </c>
      <c r="J1699" s="2" t="s">
        <v>1906</v>
      </c>
    </row>
    <row r="1700">
      <c r="A1700" s="2" t="s">
        <v>16967</v>
      </c>
      <c r="B1700" s="3" t="str">
        <f>_xlfn.CONCAT(C1700, " @ ", D1700)</f>
        <v>effortless-typescript|MessageDeliveries.AgeDays @ md-006</v>
      </c>
      <c r="C1700" s="2" t="s">
        <v>14984</v>
      </c>
      <c r="D1700" s="2" t="s">
        <v>8247</v>
      </c>
      <c r="E1700" s="2" t="s">
        <v>935</v>
      </c>
      <c r="F1700" s="2" t="s">
        <v>37</v>
      </c>
      <c r="G1700" s="2" t="s">
        <v>14591</v>
      </c>
      <c r="H1700" s="3" t="str">
        <f>_xlfn.IFNA(INDEX(FieldDisagreements!C2:C999, MATCH(C1700,FieldDisagreements!A2:A999, 0)), "")</f>
        <v>effortless-typescript</v>
      </c>
      <c r="I1700" s="3" t="str">
        <f>_xlfn.IFNA(INDEX(FieldDisagreements!D2:D999, MATCH(C1700,FieldDisagreements!A2:A999, 0)), "")</f>
        <v>MessageDeliveries.AgeDays</v>
      </c>
      <c r="J1700" s="2" t="s">
        <v>1906</v>
      </c>
    </row>
    <row r="1701">
      <c r="A1701" s="2" t="s">
        <v>16968</v>
      </c>
      <c r="B1701" s="3" t="str">
        <f>_xlfn.CONCAT(C1701, " @ ", D1701)</f>
        <v>effortless-typescript|MessageDeliveries.SegmentCount @ md-001</v>
      </c>
      <c r="C1701" s="2" t="s">
        <v>14985</v>
      </c>
      <c r="D1701" s="2" t="s">
        <v>8234</v>
      </c>
      <c r="E1701" s="2" t="s">
        <v>15036</v>
      </c>
      <c r="F1701" s="2" t="s">
        <v>37</v>
      </c>
      <c r="G1701" s="2" t="s">
        <v>14591</v>
      </c>
      <c r="H1701" s="3" t="str">
        <f>_xlfn.IFNA(INDEX(FieldDisagreements!C2:C999, MATCH(C1701,FieldDisagreements!A2:A999, 0)), "")</f>
        <v>effortless-typescript</v>
      </c>
      <c r="I1701" s="3" t="str">
        <f>_xlfn.IFNA(INDEX(FieldDisagreements!D2:D999, MATCH(C1701,FieldDisagreements!A2:A999, 0)), "")</f>
        <v>MessageDeliveries.SegmentCount</v>
      </c>
      <c r="J1701" s="2" t="s">
        <v>1906</v>
      </c>
    </row>
    <row r="1702">
      <c r="A1702" s="2" t="s">
        <v>16969</v>
      </c>
      <c r="B1702" s="3" t="str">
        <f>_xlfn.CONCAT(C1702, " @ ", D1702)</f>
        <v>effortless-typescript|MessageDeliveries.SegmentCount @ md-002</v>
      </c>
      <c r="C1702" s="2" t="s">
        <v>14985</v>
      </c>
      <c r="D1702" s="2" t="s">
        <v>8238</v>
      </c>
      <c r="E1702" s="2" t="s">
        <v>15036</v>
      </c>
      <c r="F1702" s="2" t="s">
        <v>37</v>
      </c>
      <c r="G1702" s="2" t="s">
        <v>14591</v>
      </c>
      <c r="H1702" s="3" t="str">
        <f>_xlfn.IFNA(INDEX(FieldDisagreements!C2:C999, MATCH(C1702,FieldDisagreements!A2:A999, 0)), "")</f>
        <v>effortless-typescript</v>
      </c>
      <c r="I1702" s="3" t="str">
        <f>_xlfn.IFNA(INDEX(FieldDisagreements!D2:D999, MATCH(C1702,FieldDisagreements!A2:A999, 0)), "")</f>
        <v>MessageDeliveries.SegmentCount</v>
      </c>
      <c r="J1702" s="2" t="s">
        <v>1906</v>
      </c>
    </row>
    <row r="1703">
      <c r="A1703" s="2" t="s">
        <v>16970</v>
      </c>
      <c r="B1703" s="3" t="str">
        <f>_xlfn.CONCAT(C1703, " @ ", D1703)</f>
        <v>effortless-typescript|MessageDeliveries.SegmentCount @ md-003</v>
      </c>
      <c r="C1703" s="2" t="s">
        <v>14985</v>
      </c>
      <c r="D1703" s="2" t="s">
        <v>8239</v>
      </c>
      <c r="E1703" s="2" t="s">
        <v>15036</v>
      </c>
      <c r="F1703" s="2" t="s">
        <v>37</v>
      </c>
      <c r="G1703" s="2" t="s">
        <v>14591</v>
      </c>
      <c r="H1703" s="3" t="str">
        <f>_xlfn.IFNA(INDEX(FieldDisagreements!C2:C999, MATCH(C1703,FieldDisagreements!A2:A999, 0)), "")</f>
        <v>effortless-typescript</v>
      </c>
      <c r="I1703" s="3" t="str">
        <f>_xlfn.IFNA(INDEX(FieldDisagreements!D2:D999, MATCH(C1703,FieldDisagreements!A2:A999, 0)), "")</f>
        <v>MessageDeliveries.SegmentCount</v>
      </c>
      <c r="J1703" s="2" t="s">
        <v>1906</v>
      </c>
    </row>
    <row r="1704">
      <c r="A1704" s="2" t="s">
        <v>16971</v>
      </c>
      <c r="B1704" s="3" t="str">
        <f>_xlfn.CONCAT(C1704, " @ ", D1704)</f>
        <v>effortless-typescript|MessageDeliveries.SegmentCount @ md-004</v>
      </c>
      <c r="C1704" s="2" t="s">
        <v>14985</v>
      </c>
      <c r="D1704" s="2" t="s">
        <v>8241</v>
      </c>
      <c r="E1704" s="2" t="s">
        <v>15036</v>
      </c>
      <c r="F1704" s="2" t="s">
        <v>37</v>
      </c>
      <c r="G1704" s="2" t="s">
        <v>14591</v>
      </c>
      <c r="H1704" s="3" t="str">
        <f>_xlfn.IFNA(INDEX(FieldDisagreements!C2:C999, MATCH(C1704,FieldDisagreements!A2:A999, 0)), "")</f>
        <v>effortless-typescript</v>
      </c>
      <c r="I1704" s="3" t="str">
        <f>_xlfn.IFNA(INDEX(FieldDisagreements!D2:D999, MATCH(C1704,FieldDisagreements!A2:A999, 0)), "")</f>
        <v>MessageDeliveries.SegmentCount</v>
      </c>
      <c r="J1704" s="2" t="s">
        <v>1906</v>
      </c>
    </row>
    <row r="1705">
      <c r="A1705" s="2" t="s">
        <v>16972</v>
      </c>
      <c r="B1705" s="3" t="str">
        <f>_xlfn.CONCAT(C1705, " @ ", D1705)</f>
        <v>effortless-typescript|MessageDeliveries.SegmentCount @ md-005</v>
      </c>
      <c r="C1705" s="2" t="s">
        <v>14985</v>
      </c>
      <c r="D1705" s="2" t="s">
        <v>8244</v>
      </c>
      <c r="E1705" s="2" t="s">
        <v>15036</v>
      </c>
      <c r="F1705" s="2" t="s">
        <v>37</v>
      </c>
      <c r="G1705" s="2" t="s">
        <v>14591</v>
      </c>
      <c r="H1705" s="3" t="str">
        <f>_xlfn.IFNA(INDEX(FieldDisagreements!C2:C999, MATCH(C1705,FieldDisagreements!A2:A999, 0)), "")</f>
        <v>effortless-typescript</v>
      </c>
      <c r="I1705" s="3" t="str">
        <f>_xlfn.IFNA(INDEX(FieldDisagreements!D2:D999, MATCH(C1705,FieldDisagreements!A2:A999, 0)), "")</f>
        <v>MessageDeliveries.SegmentCount</v>
      </c>
      <c r="J1705" s="2" t="s">
        <v>1906</v>
      </c>
    </row>
    <row r="1706">
      <c r="A1706" s="2" t="s">
        <v>16973</v>
      </c>
      <c r="B1706" s="3" t="str">
        <f>_xlfn.CONCAT(C1706, " @ ", D1706)</f>
        <v>effortless-typescript|MessageDeliveries.SegmentCount @ md-006</v>
      </c>
      <c r="C1706" s="2" t="s">
        <v>14985</v>
      </c>
      <c r="D1706" s="2" t="s">
        <v>8247</v>
      </c>
      <c r="E1706" s="2" t="s">
        <v>15036</v>
      </c>
      <c r="F1706" s="2" t="s">
        <v>37</v>
      </c>
      <c r="G1706" s="2" t="s">
        <v>14591</v>
      </c>
      <c r="H1706" s="3" t="str">
        <f>_xlfn.IFNA(INDEX(FieldDisagreements!C2:C999, MATCH(C1706,FieldDisagreements!A2:A999, 0)), "")</f>
        <v>effortless-typescript</v>
      </c>
      <c r="I1706" s="3" t="str">
        <f>_xlfn.IFNA(INDEX(FieldDisagreements!D2:D999, MATCH(C1706,FieldDisagreements!A2:A999, 0)), "")</f>
        <v>MessageDeliveries.SegmentCount</v>
      </c>
      <c r="J1706" s="2" t="s">
        <v>1906</v>
      </c>
    </row>
    <row r="1707">
      <c r="A1707" s="2" t="s">
        <v>16974</v>
      </c>
      <c r="B1707" s="3" t="str">
        <f>_xlfn.CONCAT(C1707, " @ ", D1707)</f>
        <v>effortless-typescript|MessageDeliveries.OutstandingAgeDays @ md-002</v>
      </c>
      <c r="C1707" s="2" t="s">
        <v>14986</v>
      </c>
      <c r="D1707" s="2" t="s">
        <v>8238</v>
      </c>
      <c r="E1707" s="2" t="s">
        <v>935</v>
      </c>
      <c r="F1707" s="2" t="s">
        <v>37</v>
      </c>
      <c r="G1707" s="2" t="s">
        <v>14591</v>
      </c>
      <c r="H1707" s="3" t="str">
        <f>_xlfn.IFNA(INDEX(FieldDisagreements!C2:C999, MATCH(C1707,FieldDisagreements!A2:A999, 0)), "")</f>
        <v>effortless-typescript</v>
      </c>
      <c r="I1707" s="3" t="str">
        <f>_xlfn.IFNA(INDEX(FieldDisagreements!D2:D999, MATCH(C1707,FieldDisagreements!A2:A999, 0)), "")</f>
        <v>MessageDeliveries.OutstandingAgeDays</v>
      </c>
      <c r="J1707" s="2" t="s">
        <v>1906</v>
      </c>
    </row>
    <row r="1708">
      <c r="A1708" s="2" t="s">
        <v>16975</v>
      </c>
      <c r="B1708" s="3" t="str">
        <f>_xlfn.CONCAT(C1708, " @ ", D1708)</f>
        <v>effortless-typescript|MessageDeliveries.OutstandingAgeDays @ md-003</v>
      </c>
      <c r="C1708" s="2" t="s">
        <v>14986</v>
      </c>
      <c r="D1708" s="2" t="s">
        <v>8239</v>
      </c>
      <c r="E1708" s="2" t="s">
        <v>935</v>
      </c>
      <c r="F1708" s="2" t="s">
        <v>37</v>
      </c>
      <c r="G1708" s="2" t="s">
        <v>14591</v>
      </c>
      <c r="H1708" s="3" t="str">
        <f>_xlfn.IFNA(INDEX(FieldDisagreements!C2:C999, MATCH(C1708,FieldDisagreements!A2:A999, 0)), "")</f>
        <v>effortless-typescript</v>
      </c>
      <c r="I1708" s="3" t="str">
        <f>_xlfn.IFNA(INDEX(FieldDisagreements!D2:D999, MATCH(C1708,FieldDisagreements!A2:A999, 0)), "")</f>
        <v>MessageDeliveries.OutstandingAgeDays</v>
      </c>
      <c r="J1708" s="2" t="s">
        <v>1906</v>
      </c>
    </row>
    <row r="1709">
      <c r="A1709" s="2" t="s">
        <v>16976</v>
      </c>
      <c r="B1709" s="3" t="str">
        <f>_xlfn.CONCAT(C1709, " @ ", D1709)</f>
        <v>effortless-typescript|MessageDeliveries.OutstandingAgeDays @ md-005</v>
      </c>
      <c r="C1709" s="2" t="s">
        <v>14986</v>
      </c>
      <c r="D1709" s="2" t="s">
        <v>8244</v>
      </c>
      <c r="E1709" s="2" t="s">
        <v>935</v>
      </c>
      <c r="F1709" s="2" t="s">
        <v>37</v>
      </c>
      <c r="G1709" s="2" t="s">
        <v>14591</v>
      </c>
      <c r="H1709" s="3" t="str">
        <f>_xlfn.IFNA(INDEX(FieldDisagreements!C2:C999, MATCH(C1709,FieldDisagreements!A2:A999, 0)), "")</f>
        <v>effortless-typescript</v>
      </c>
      <c r="I1709" s="3" t="str">
        <f>_xlfn.IFNA(INDEX(FieldDisagreements!D2:D999, MATCH(C1709,FieldDisagreements!A2:A999, 0)), "")</f>
        <v>MessageDeliveries.OutstandingAgeDays</v>
      </c>
      <c r="J1709" s="2" t="s">
        <v>1906</v>
      </c>
    </row>
    <row r="1710">
      <c r="A1710" s="2" t="s">
        <v>16977</v>
      </c>
      <c r="B1710" s="3" t="str">
        <f>_xlfn.CONCAT(C1710, " @ ", D1710)</f>
        <v>effortless-typescript|MessageDeliveries.OptOutPhrasePosition @ md-003</v>
      </c>
      <c r="C1710" s="2" t="s">
        <v>14987</v>
      </c>
      <c r="D1710" s="2" t="s">
        <v>8239</v>
      </c>
      <c r="E1710" s="2" t="s">
        <v>15035</v>
      </c>
      <c r="F1710" s="2" t="s">
        <v>15185</v>
      </c>
      <c r="G1710" s="2" t="s">
        <v>14591</v>
      </c>
      <c r="H1710" s="3" t="str">
        <f>_xlfn.IFNA(INDEX(FieldDisagreements!C2:C999, MATCH(C1710,FieldDisagreements!A2:A999, 0)), "")</f>
        <v>effortless-typescript</v>
      </c>
      <c r="I1710" s="3" t="str">
        <f>_xlfn.IFNA(INDEX(FieldDisagreements!D2:D999, MATCH(C1710,FieldDisagreements!A2:A999, 0)), "")</f>
        <v>MessageDeliveries.OptOutPhrasePosition</v>
      </c>
      <c r="J1710" s="2" t="s">
        <v>1906</v>
      </c>
    </row>
    <row r="1711">
      <c r="A1711" s="2" t="s">
        <v>16978</v>
      </c>
      <c r="B1711" s="3" t="str">
        <f>_xlfn.CONCAT(C1711, " @ ", D1711)</f>
        <v>effortless-typescript|MessageDeliveries.OptOutPhrasePosition @ md-004</v>
      </c>
      <c r="C1711" s="2" t="s">
        <v>14987</v>
      </c>
      <c r="D1711" s="2" t="s">
        <v>8241</v>
      </c>
      <c r="E1711" s="2" t="s">
        <v>15035</v>
      </c>
      <c r="F1711" s="2" t="s">
        <v>15185</v>
      </c>
      <c r="G1711" s="2" t="s">
        <v>14591</v>
      </c>
      <c r="H1711" s="3" t="str">
        <f>_xlfn.IFNA(INDEX(FieldDisagreements!C2:C999, MATCH(C1711,FieldDisagreements!A2:A999, 0)), "")</f>
        <v>effortless-typescript</v>
      </c>
      <c r="I1711" s="3" t="str">
        <f>_xlfn.IFNA(INDEX(FieldDisagreements!D2:D999, MATCH(C1711,FieldDisagreements!A2:A999, 0)), "")</f>
        <v>MessageDeliveries.OptOutPhrasePosition</v>
      </c>
      <c r="J1711" s="2" t="s">
        <v>1906</v>
      </c>
    </row>
    <row r="1712">
      <c r="A1712" s="2" t="s">
        <v>16979</v>
      </c>
      <c r="B1712" s="3" t="str">
        <f>_xlfn.CONCAT(C1712, " @ ", D1712)</f>
        <v>effortless-typescript|MessageDeliveries.OptOutPhrasePosition @ md-006</v>
      </c>
      <c r="C1712" s="2" t="s">
        <v>14987</v>
      </c>
      <c r="D1712" s="2" t="s">
        <v>8247</v>
      </c>
      <c r="E1712" s="2" t="s">
        <v>15035</v>
      </c>
      <c r="F1712" s="2" t="s">
        <v>15185</v>
      </c>
      <c r="G1712" s="2" t="s">
        <v>14591</v>
      </c>
      <c r="H1712" s="3" t="str">
        <f>_xlfn.IFNA(INDEX(FieldDisagreements!C2:C999, MATCH(C1712,FieldDisagreements!A2:A999, 0)), "")</f>
        <v>effortless-typescript</v>
      </c>
      <c r="I1712" s="3" t="str">
        <f>_xlfn.IFNA(INDEX(FieldDisagreements!D2:D999, MATCH(C1712,FieldDisagreements!A2:A999, 0)), "")</f>
        <v>MessageDeliveries.OptOutPhrasePosition</v>
      </c>
      <c r="J1712" s="2" t="s">
        <v>1906</v>
      </c>
    </row>
    <row r="1713">
      <c r="A1713" s="2" t="s">
        <v>16980</v>
      </c>
      <c r="B1713" s="3" t="str">
        <f>_xlfn.CONCAT(C1713, " @ ", D1713)</f>
        <v>effortless-typescript|TemplateApprovals.Name @ tap-email-001</v>
      </c>
      <c r="C1713" s="2" t="s">
        <v>14988</v>
      </c>
      <c r="D1713" s="2" t="s">
        <v>1729</v>
      </c>
      <c r="E1713" s="2" t="s">
        <v>15189</v>
      </c>
      <c r="F1713" s="2" t="s">
        <v>15190</v>
      </c>
      <c r="G1713" s="2" t="s">
        <v>14591</v>
      </c>
      <c r="H1713" s="3" t="str">
        <f>_xlfn.IFNA(INDEX(FieldDisagreements!C2:C999, MATCH(C1713,FieldDisagreements!A2:A999, 0)), "")</f>
        <v>effortless-typescript</v>
      </c>
      <c r="I1713" s="3" t="str">
        <f>_xlfn.IFNA(INDEX(FieldDisagreements!D2:D999, MATCH(C1713,FieldDisagreements!A2:A999, 0)), "")</f>
        <v>TemplateApprovals.Name</v>
      </c>
      <c r="J1713" s="2" t="s">
        <v>1906</v>
      </c>
    </row>
    <row r="1714">
      <c r="A1714" s="2" t="s">
        <v>16981</v>
      </c>
      <c r="B1714" s="3" t="str">
        <f>_xlfn.CONCAT(C1714, " @ ", D1714)</f>
        <v>effortless-typescript|TemplateApprovals.Name @ tap-sms-001</v>
      </c>
      <c r="C1714" s="2" t="s">
        <v>14988</v>
      </c>
      <c r="D1714" s="2" t="s">
        <v>1733</v>
      </c>
      <c r="E1714" s="2" t="s">
        <v>15192</v>
      </c>
      <c r="F1714" s="2" t="s">
        <v>15193</v>
      </c>
      <c r="G1714" s="2" t="s">
        <v>14591</v>
      </c>
      <c r="H1714" s="3" t="str">
        <f>_xlfn.IFNA(INDEX(FieldDisagreements!C2:C999, MATCH(C1714,FieldDisagreements!A2:A999, 0)), "")</f>
        <v>effortless-typescript</v>
      </c>
      <c r="I1714" s="3" t="str">
        <f>_xlfn.IFNA(INDEX(FieldDisagreements!D2:D999, MATCH(C1714,FieldDisagreements!A2:A999, 0)), "")</f>
        <v>TemplateApprovals.Name</v>
      </c>
      <c r="J1714" s="2" t="s">
        <v>1906</v>
      </c>
    </row>
    <row r="1715">
      <c r="A1715" s="2" t="s">
        <v>16982</v>
      </c>
      <c r="B1715" s="3" t="str">
        <f>_xlfn.CONCAT(C1715, " @ ", D1715)</f>
        <v>effortless-typescript|SendIntents.DeferralAgeHours @ si-001</v>
      </c>
      <c r="C1715" s="2" t="s">
        <v>14989</v>
      </c>
      <c r="D1715" s="2" t="s">
        <v>8253</v>
      </c>
      <c r="E1715" s="2" t="s">
        <v>15195</v>
      </c>
      <c r="F1715" s="2" t="s">
        <v>15196</v>
      </c>
      <c r="G1715" s="2" t="s">
        <v>14591</v>
      </c>
      <c r="H1715" s="3" t="str">
        <f>_xlfn.IFNA(INDEX(FieldDisagreements!C2:C999, MATCH(C1715,FieldDisagreements!A2:A999, 0)), "")</f>
        <v>effortless-typescript</v>
      </c>
      <c r="I1715" s="3" t="str">
        <f>_xlfn.IFNA(INDEX(FieldDisagreements!D2:D999, MATCH(C1715,FieldDisagreements!A2:A999, 0)), "")</f>
        <v>SendIntents.DeferralAgeHours</v>
      </c>
      <c r="J1715" s="2" t="s">
        <v>1906</v>
      </c>
    </row>
    <row r="1716">
      <c r="A1716" s="2" t="s">
        <v>16983</v>
      </c>
      <c r="B1716" s="3" t="str">
        <f>_xlfn.CONCAT(C1716, " @ ", D1716)</f>
        <v>effortless-typescript|SendIntents.DeferralAgeHours @ si-002</v>
      </c>
      <c r="C1716" s="2" t="s">
        <v>14989</v>
      </c>
      <c r="D1716" s="2" t="s">
        <v>8256</v>
      </c>
      <c r="E1716" s="2" t="s">
        <v>15195</v>
      </c>
      <c r="F1716" s="2" t="s">
        <v>15196</v>
      </c>
      <c r="G1716" s="2" t="s">
        <v>14591</v>
      </c>
      <c r="H1716" s="3" t="str">
        <f>_xlfn.IFNA(INDEX(FieldDisagreements!C2:C999, MATCH(C1716,FieldDisagreements!A2:A999, 0)), "")</f>
        <v>effortless-typescript</v>
      </c>
      <c r="I1716" s="3" t="str">
        <f>_xlfn.IFNA(INDEX(FieldDisagreements!D2:D999, MATCH(C1716,FieldDisagreements!A2:A999, 0)), "")</f>
        <v>SendIntents.DeferralAgeHours</v>
      </c>
      <c r="J1716" s="2" t="s">
        <v>1906</v>
      </c>
    </row>
    <row r="1717">
      <c r="A1717" s="2" t="s">
        <v>16984</v>
      </c>
      <c r="B1717" s="3" t="str">
        <f>_xlfn.CONCAT(C1717, " @ ", D1717)</f>
        <v>effortless-typescript|SendIntents.DeferralAgeHours @ si-003</v>
      </c>
      <c r="C1717" s="2" t="s">
        <v>14989</v>
      </c>
      <c r="D1717" s="2" t="s">
        <v>8257</v>
      </c>
      <c r="E1717" s="2" t="s">
        <v>15195</v>
      </c>
      <c r="F1717" s="2" t="s">
        <v>15196</v>
      </c>
      <c r="G1717" s="2" t="s">
        <v>14591</v>
      </c>
      <c r="H1717" s="3" t="str">
        <f>_xlfn.IFNA(INDEX(FieldDisagreements!C2:C999, MATCH(C1717,FieldDisagreements!A2:A999, 0)), "")</f>
        <v>effortless-typescript</v>
      </c>
      <c r="I1717" s="3" t="str">
        <f>_xlfn.IFNA(INDEX(FieldDisagreements!D2:D999, MATCH(C1717,FieldDisagreements!A2:A999, 0)), "")</f>
        <v>SendIntents.DeferralAgeHours</v>
      </c>
      <c r="J1717" s="2" t="s">
        <v>1906</v>
      </c>
    </row>
    <row r="1718">
      <c r="A1718" s="2" t="s">
        <v>16985</v>
      </c>
      <c r="B1718" s="3" t="str">
        <f>_xlfn.CONCAT(C1718, " @ ", D1718)</f>
        <v>effortless-typescript|SendIntents.DeferralAgeHours @ si-004</v>
      </c>
      <c r="C1718" s="2" t="s">
        <v>14989</v>
      </c>
      <c r="D1718" s="2" t="s">
        <v>8258</v>
      </c>
      <c r="E1718" s="2" t="s">
        <v>15195</v>
      </c>
      <c r="F1718" s="2" t="s">
        <v>15196</v>
      </c>
      <c r="G1718" s="2" t="s">
        <v>14591</v>
      </c>
      <c r="H1718" s="3" t="str">
        <f>_xlfn.IFNA(INDEX(FieldDisagreements!C2:C999, MATCH(C1718,FieldDisagreements!A2:A999, 0)), "")</f>
        <v>effortless-typescript</v>
      </c>
      <c r="I1718" s="3" t="str">
        <f>_xlfn.IFNA(INDEX(FieldDisagreements!D2:D999, MATCH(C1718,FieldDisagreements!A2:A999, 0)), "")</f>
        <v>SendIntents.DeferralAgeHours</v>
      </c>
      <c r="J1718" s="2" t="s">
        <v>1906</v>
      </c>
    </row>
    <row r="1719">
      <c r="A1719" s="2" t="s">
        <v>16986</v>
      </c>
      <c r="B1719" s="3" t="str">
        <f>_xlfn.CONCAT(C1719, " @ ", D1719)</f>
        <v>effortless-typescript|SendIntents.DeferralAgeHours @ si-005</v>
      </c>
      <c r="C1719" s="2" t="s">
        <v>14989</v>
      </c>
      <c r="D1719" s="2" t="s">
        <v>8260</v>
      </c>
      <c r="E1719" s="2" t="s">
        <v>15195</v>
      </c>
      <c r="F1719" s="2" t="s">
        <v>15196</v>
      </c>
      <c r="G1719" s="2" t="s">
        <v>14591</v>
      </c>
      <c r="H1719" s="3" t="str">
        <f>_xlfn.IFNA(INDEX(FieldDisagreements!C2:C999, MATCH(C1719,FieldDisagreements!A2:A999, 0)), "")</f>
        <v>effortless-typescript</v>
      </c>
      <c r="I1719" s="3" t="str">
        <f>_xlfn.IFNA(INDEX(FieldDisagreements!D2:D999, MATCH(C1719,FieldDisagreements!A2:A999, 0)), "")</f>
        <v>SendIntents.DeferralAgeHours</v>
      </c>
      <c r="J1719" s="2" t="s">
        <v>1906</v>
      </c>
    </row>
    <row r="1720">
      <c r="A1720" s="2" t="s">
        <v>16987</v>
      </c>
      <c r="B1720" s="3" t="str">
        <f>_xlfn.CONCAT(C1720, " @ ", D1720)</f>
        <v>effortless-typescript|SendIntents.DeferralAgeHours @ si-006</v>
      </c>
      <c r="C1720" s="2" t="s">
        <v>14989</v>
      </c>
      <c r="D1720" s="2" t="s">
        <v>8262</v>
      </c>
      <c r="E1720" s="2" t="s">
        <v>15195</v>
      </c>
      <c r="F1720" s="2" t="s">
        <v>15196</v>
      </c>
      <c r="G1720" s="2" t="s">
        <v>14591</v>
      </c>
      <c r="H1720" s="3" t="str">
        <f>_xlfn.IFNA(INDEX(FieldDisagreements!C2:C999, MATCH(C1720,FieldDisagreements!A2:A999, 0)), "")</f>
        <v>effortless-typescript</v>
      </c>
      <c r="I1720" s="3" t="str">
        <f>_xlfn.IFNA(INDEX(FieldDisagreements!D2:D999, MATCH(C1720,FieldDisagreements!A2:A999, 0)), "")</f>
        <v>SendIntents.DeferralAgeHours</v>
      </c>
      <c r="J1720" s="2" t="s">
        <v>1906</v>
      </c>
    </row>
    <row r="1721">
      <c r="A1721" s="2" t="s">
        <v>16988</v>
      </c>
      <c r="B1721" s="3" t="str">
        <f>_xlfn.CONCAT(C1721, " @ ", D1721)</f>
        <v>effortless-typescript|SendIntents.DeferralAgeHours @ si-007</v>
      </c>
      <c r="C1721" s="2" t="s">
        <v>14989</v>
      </c>
      <c r="D1721" s="2" t="s">
        <v>8263</v>
      </c>
      <c r="E1721" s="2" t="s">
        <v>15195</v>
      </c>
      <c r="F1721" s="2" t="s">
        <v>15196</v>
      </c>
      <c r="G1721" s="2" t="s">
        <v>14591</v>
      </c>
      <c r="H1721" s="3" t="str">
        <f>_xlfn.IFNA(INDEX(FieldDisagreements!C2:C999, MATCH(C1721,FieldDisagreements!A2:A999, 0)), "")</f>
        <v>effortless-typescript</v>
      </c>
      <c r="I1721" s="3" t="str">
        <f>_xlfn.IFNA(INDEX(FieldDisagreements!D2:D999, MATCH(C1721,FieldDisagreements!A2:A999, 0)), "")</f>
        <v>SendIntents.DeferralAgeHours</v>
      </c>
      <c r="J1721" s="2" t="s">
        <v>1906</v>
      </c>
    </row>
    <row r="1722">
      <c r="A1722" s="2" t="s">
        <v>16989</v>
      </c>
      <c r="B1722" s="3" t="str">
        <f>_xlfn.CONCAT(C1722, " @ ", D1722)</f>
        <v>effortless-typescript|DeliveredCommunications.ContentMatchesApproval @ dc-hr4821-email-001</v>
      </c>
      <c r="C1722" s="2" t="s">
        <v>14990</v>
      </c>
      <c r="D1722" s="2" t="s">
        <v>8274</v>
      </c>
      <c r="E1722" s="2" t="s">
        <v>15035</v>
      </c>
      <c r="F1722" s="2" t="s">
        <v>15036</v>
      </c>
      <c r="G1722" s="2" t="s">
        <v>14591</v>
      </c>
      <c r="H1722" s="3" t="str">
        <f>_xlfn.IFNA(INDEX(FieldDisagreements!C2:C999, MATCH(C1722,FieldDisagreements!A2:A999, 0)), "")</f>
        <v>effortless-typescript</v>
      </c>
      <c r="I1722" s="3" t="str">
        <f>_xlfn.IFNA(INDEX(FieldDisagreements!D2:D999, MATCH(C1722,FieldDisagreements!A2:A999, 0)), "")</f>
        <v>DeliveredCommunications.ContentMatchesApproval</v>
      </c>
      <c r="J1722" s="2" t="s">
        <v>1906</v>
      </c>
    </row>
    <row r="1723">
      <c r="A1723" s="2" t="s">
        <v>16990</v>
      </c>
      <c r="B1723" s="3" t="str">
        <f>_xlfn.CONCAT(C1723, " @ ", D1723)</f>
        <v>effortless-typescript|ProcessMiningRuns.Name @ pmr-close-v10-archived</v>
      </c>
      <c r="C1723" s="2" t="s">
        <v>14991</v>
      </c>
      <c r="D1723" s="2" t="s">
        <v>13897</v>
      </c>
      <c r="E1723" s="2" t="s">
        <v>15205</v>
      </c>
      <c r="F1723" s="2" t="s">
        <v>16339</v>
      </c>
      <c r="G1723" s="2" t="s">
        <v>14591</v>
      </c>
      <c r="H1723" s="3" t="str">
        <f>_xlfn.IFNA(INDEX(FieldDisagreements!C2:C999, MATCH(C1723,FieldDisagreements!A2:A999, 0)), "")</f>
        <v>effortless-typescript</v>
      </c>
      <c r="I1723" s="3" t="str">
        <f>_xlfn.IFNA(INDEX(FieldDisagreements!D2:D999, MATCH(C1723,FieldDisagreements!A2:A999, 0)), "")</f>
        <v>ProcessMiningRuns.Name</v>
      </c>
      <c r="J1723" s="2" t="s">
        <v>1906</v>
      </c>
    </row>
    <row r="1724">
      <c r="A1724" s="2" t="s">
        <v>16991</v>
      </c>
      <c r="B1724" s="3" t="str">
        <f>_xlfn.CONCAT(C1724, " @ ", D1724)</f>
        <v>effortless-typescript|ProcessMiningRuns.Name @ pmr-close-v11-cutoff-bypass</v>
      </c>
      <c r="C1724" s="2" t="s">
        <v>14991</v>
      </c>
      <c r="D1724" s="2" t="s">
        <v>13893</v>
      </c>
      <c r="E1724" s="2" t="s">
        <v>15208</v>
      </c>
      <c r="F1724" s="2" t="s">
        <v>15209</v>
      </c>
      <c r="G1724" s="2" t="s">
        <v>14591</v>
      </c>
      <c r="H1724" s="3" t="str">
        <f>_xlfn.IFNA(INDEX(FieldDisagreements!C2:C999, MATCH(C1724,FieldDisagreements!A2:A999, 0)), "")</f>
        <v>effortless-typescript</v>
      </c>
      <c r="I1724" s="3" t="str">
        <f>_xlfn.IFNA(INDEX(FieldDisagreements!D2:D999, MATCH(C1724,FieldDisagreements!A2:A999, 0)), "")</f>
        <v>ProcessMiningRuns.Name</v>
      </c>
      <c r="J1724" s="2" t="s">
        <v>1906</v>
      </c>
    </row>
    <row r="1725">
      <c r="A1725" s="2" t="s">
        <v>16992</v>
      </c>
      <c r="B1725" s="3" t="str">
        <f>_xlfn.CONCAT(C1725, " @ ", D1725)</f>
        <v>effortless-typescript|ProcessMiningRuns.Name @ pmr-close-v11-q3</v>
      </c>
      <c r="C1725" s="2" t="s">
        <v>14991</v>
      </c>
      <c r="D1725" s="2" t="s">
        <v>13890</v>
      </c>
      <c r="E1725" s="2" t="s">
        <v>15211</v>
      </c>
      <c r="F1725" s="2" t="s">
        <v>15212</v>
      </c>
      <c r="G1725" s="2" t="s">
        <v>14591</v>
      </c>
      <c r="H1725" s="3" t="str">
        <f>_xlfn.IFNA(INDEX(FieldDisagreements!C2:C999, MATCH(C1725,FieldDisagreements!A2:A999, 0)), "")</f>
        <v>effortless-typescript</v>
      </c>
      <c r="I1725" s="3" t="str">
        <f>_xlfn.IFNA(INDEX(FieldDisagreements!D2:D999, MATCH(C1725,FieldDisagreements!A2:A999, 0)), "")</f>
        <v>ProcessMiningRuns.Name</v>
      </c>
      <c r="J1725" s="2" t="s">
        <v>1906</v>
      </c>
    </row>
    <row r="1726">
      <c r="A1726" s="2" t="s">
        <v>16993</v>
      </c>
      <c r="B1726" s="3" t="str">
        <f>_xlfn.CONCAT(C1726, " @ ", D1726)</f>
        <v>effortless-typescript|ProcessMiningRuns.Name @ pmr-policy-v1-notify</v>
      </c>
      <c r="C1726" s="2" t="s">
        <v>14991</v>
      </c>
      <c r="D1726" s="2" t="s">
        <v>13895</v>
      </c>
      <c r="E1726" s="2" t="s">
        <v>15214</v>
      </c>
      <c r="F1726" s="2" t="s">
        <v>16343</v>
      </c>
      <c r="G1726" s="2" t="s">
        <v>14591</v>
      </c>
      <c r="H1726" s="3" t="str">
        <f>_xlfn.IFNA(INDEX(FieldDisagreements!C2:C999, MATCH(C1726,FieldDisagreements!A2:A999, 0)), "")</f>
        <v>effortless-typescript</v>
      </c>
      <c r="I1726" s="3" t="str">
        <f>_xlfn.IFNA(INDEX(FieldDisagreements!D2:D999, MATCH(C1726,FieldDisagreements!A2:A999, 0)), "")</f>
        <v>ProcessMiningRuns.Name</v>
      </c>
      <c r="J1726" s="2" t="s">
        <v>1906</v>
      </c>
    </row>
  </sheetData>
  <autoFilter ref="A1:J1"/>
  <headerFooter/>
  <legacyDrawing r:id="rId1"/>
</worksheet>
</file>

<file path=xl/worksheets/sheet9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7"/>
  <sheetViews>
    <sheetView workbookViewId="0"/>
  </sheetViews>
  <sheetFormatPr defaultRowHeight="15"/>
  <sheetData>
    <row r="1">
      <c r="A1" s="0" t="s">
        <v>16994</v>
      </c>
      <c r="Z1" s="0">
        <v>257</v>
      </c>
    </row>
    <row r="2">
      <c r="A2" s="0" t="s">
        <v>16995</v>
      </c>
    </row>
    <row r="3">
      <c r="A3" s="0" t="s">
        <v>16996</v>
      </c>
    </row>
    <row r="4">
      <c r="A4" s="0" t="s">
        <v>16997</v>
      </c>
    </row>
    <row r="5">
      <c r="A5" s="0" t="s">
        <v>16998</v>
      </c>
    </row>
    <row r="6">
      <c r="A6" s="0" t="s">
        <v>16999</v>
      </c>
    </row>
    <row r="7">
      <c r="A7" s="0" t="s">
        <v>17000</v>
      </c>
    </row>
    <row r="8">
      <c r="A8" s="0" t="s">
        <v>17001</v>
      </c>
    </row>
    <row r="9">
      <c r="A9" s="0" t="s">
        <v>17002</v>
      </c>
    </row>
    <row r="10">
      <c r="A10" s="0" t="s">
        <v>17003</v>
      </c>
    </row>
    <row r="11">
      <c r="A11" s="0" t="s">
        <v>17004</v>
      </c>
    </row>
    <row r="12">
      <c r="A12" s="0" t="s">
        <v>17005</v>
      </c>
    </row>
    <row r="13">
      <c r="A13" s="0" t="s">
        <v>17006</v>
      </c>
    </row>
    <row r="14">
      <c r="A14" s="0" t="s">
        <v>17007</v>
      </c>
    </row>
    <row r="15">
      <c r="A15" s="0" t="s">
        <v>17008</v>
      </c>
    </row>
    <row r="16">
      <c r="A16" s="0" t="s">
        <v>17009</v>
      </c>
    </row>
    <row r="17">
      <c r="A17" s="0" t="s">
        <v>17010</v>
      </c>
    </row>
    <row r="18">
      <c r="A18" s="0" t="s">
        <v>17011</v>
      </c>
    </row>
    <row r="19">
      <c r="A19" s="0" t="s">
        <v>17012</v>
      </c>
    </row>
    <row r="20">
      <c r="A20" s="0" t="s">
        <v>17013</v>
      </c>
    </row>
    <row r="21">
      <c r="A21" s="0" t="s">
        <v>17014</v>
      </c>
    </row>
    <row r="22">
      <c r="A22" s="0" t="s">
        <v>17015</v>
      </c>
    </row>
    <row r="23">
      <c r="A23" s="0" t="s">
        <v>17016</v>
      </c>
    </row>
    <row r="24">
      <c r="A24" s="0" t="s">
        <v>17017</v>
      </c>
    </row>
    <row r="25">
      <c r="A25" s="0" t="s">
        <v>17018</v>
      </c>
    </row>
    <row r="26">
      <c r="A26" s="0" t="s">
        <v>17019</v>
      </c>
    </row>
    <row r="27">
      <c r="A27" s="0" t="s">
        <v>17020</v>
      </c>
    </row>
    <row r="28">
      <c r="A28" s="0" t="s">
        <v>17021</v>
      </c>
    </row>
    <row r="29">
      <c r="A29" s="0" t="s">
        <v>17022</v>
      </c>
    </row>
    <row r="30">
      <c r="A30" s="0" t="s">
        <v>17023</v>
      </c>
    </row>
    <row r="31">
      <c r="A31" s="0" t="s">
        <v>17024</v>
      </c>
    </row>
    <row r="32">
      <c r="A32" s="0" t="s">
        <v>17025</v>
      </c>
    </row>
    <row r="33">
      <c r="A33" s="0" t="s">
        <v>17026</v>
      </c>
    </row>
    <row r="34">
      <c r="A34" s="0" t="s">
        <v>17027</v>
      </c>
    </row>
    <row r="35">
      <c r="A35" s="0" t="s">
        <v>17028</v>
      </c>
    </row>
    <row r="36">
      <c r="A36" s="0" t="s">
        <v>17029</v>
      </c>
    </row>
    <row r="37">
      <c r="A37" s="0" t="s">
        <v>17030</v>
      </c>
    </row>
    <row r="38">
      <c r="A38" s="0" t="s">
        <v>17031</v>
      </c>
    </row>
    <row r="39">
      <c r="A39" s="0" t="s">
        <v>17032</v>
      </c>
    </row>
    <row r="40">
      <c r="A40" s="0" t="s">
        <v>17033</v>
      </c>
    </row>
    <row r="41">
      <c r="A41" s="0" t="s">
        <v>17034</v>
      </c>
    </row>
    <row r="42">
      <c r="A42" s="0" t="s">
        <v>17035</v>
      </c>
    </row>
    <row r="43">
      <c r="A43" s="0" t="s">
        <v>17036</v>
      </c>
    </row>
    <row r="44">
      <c r="A44" s="0" t="s">
        <v>17037</v>
      </c>
    </row>
    <row r="45">
      <c r="A45" s="0" t="s">
        <v>17038</v>
      </c>
    </row>
    <row r="46">
      <c r="A46" s="0" t="s">
        <v>17039</v>
      </c>
    </row>
    <row r="47">
      <c r="A47" s="0" t="s">
        <v>17040</v>
      </c>
    </row>
    <row r="48">
      <c r="A48" s="0" t="s">
        <v>17041</v>
      </c>
    </row>
    <row r="49">
      <c r="A49" s="0" t="s">
        <v>17042</v>
      </c>
    </row>
    <row r="50">
      <c r="A50" s="0" t="s">
        <v>17043</v>
      </c>
    </row>
    <row r="51">
      <c r="A51" s="0" t="s">
        <v>17044</v>
      </c>
    </row>
    <row r="52">
      <c r="A52" s="0" t="s">
        <v>17045</v>
      </c>
    </row>
    <row r="53">
      <c r="A53" s="0" t="s">
        <v>17046</v>
      </c>
    </row>
    <row r="54">
      <c r="A54" s="0" t="s">
        <v>17047</v>
      </c>
    </row>
    <row r="55">
      <c r="A55" s="0" t="s">
        <v>17048</v>
      </c>
    </row>
    <row r="56">
      <c r="A56" s="0" t="s">
        <v>17049</v>
      </c>
    </row>
    <row r="57">
      <c r="A57" s="0" t="s">
        <v>17050</v>
      </c>
    </row>
    <row r="58">
      <c r="A58" s="0" t="s">
        <v>17051</v>
      </c>
    </row>
    <row r="59">
      <c r="A59" s="0" t="s">
        <v>17052</v>
      </c>
    </row>
    <row r="60">
      <c r="A60" s="0" t="s">
        <v>17053</v>
      </c>
    </row>
    <row r="61">
      <c r="A61" s="0" t="s">
        <v>17054</v>
      </c>
    </row>
    <row r="62">
      <c r="A62" s="0" t="s">
        <v>17055</v>
      </c>
    </row>
    <row r="63">
      <c r="A63" s="0" t="s">
        <v>17056</v>
      </c>
    </row>
    <row r="64">
      <c r="A64" s="0" t="s">
        <v>17057</v>
      </c>
    </row>
    <row r="65">
      <c r="A65" s="0" t="s">
        <v>17058</v>
      </c>
    </row>
    <row r="66">
      <c r="A66" s="0" t="s">
        <v>17059</v>
      </c>
    </row>
    <row r="67">
      <c r="A67" s="0" t="s">
        <v>17060</v>
      </c>
    </row>
    <row r="68">
      <c r="A68" s="0" t="s">
        <v>17061</v>
      </c>
    </row>
    <row r="69">
      <c r="A69" s="0" t="s">
        <v>17062</v>
      </c>
    </row>
    <row r="70">
      <c r="A70" s="0" t="s">
        <v>17063</v>
      </c>
    </row>
    <row r="71">
      <c r="A71" s="0" t="s">
        <v>17064</v>
      </c>
    </row>
    <row r="72">
      <c r="A72" s="0" t="s">
        <v>17065</v>
      </c>
    </row>
    <row r="73">
      <c r="A73" s="0" t="s">
        <v>17066</v>
      </c>
    </row>
    <row r="74">
      <c r="A74" s="0" t="s">
        <v>17067</v>
      </c>
    </row>
    <row r="75">
      <c r="A75" s="0" t="s">
        <v>17068</v>
      </c>
    </row>
    <row r="76">
      <c r="A76" s="0" t="s">
        <v>17069</v>
      </c>
    </row>
    <row r="77">
      <c r="A77" s="0" t="s">
        <v>17070</v>
      </c>
    </row>
    <row r="78">
      <c r="A78" s="0" t="s">
        <v>17071</v>
      </c>
    </row>
    <row r="79">
      <c r="A79" s="0" t="s">
        <v>17072</v>
      </c>
    </row>
    <row r="80">
      <c r="A80" s="0" t="s">
        <v>17073</v>
      </c>
    </row>
    <row r="81">
      <c r="A81" s="0" t="s">
        <v>17074</v>
      </c>
    </row>
    <row r="82">
      <c r="A82" s="0" t="s">
        <v>17075</v>
      </c>
    </row>
    <row r="83">
      <c r="A83" s="0" t="s">
        <v>17076</v>
      </c>
    </row>
    <row r="84">
      <c r="A84" s="0" t="s">
        <v>17077</v>
      </c>
    </row>
    <row r="85">
      <c r="A85" s="0" t="s">
        <v>17078</v>
      </c>
    </row>
    <row r="86">
      <c r="A86" s="0" t="s">
        <v>17079</v>
      </c>
    </row>
    <row r="87">
      <c r="A87" s="0" t="s">
        <v>17080</v>
      </c>
    </row>
    <row r="88">
      <c r="A88" s="0" t="s">
        <v>17081</v>
      </c>
    </row>
    <row r="89">
      <c r="A89" s="0" t="s">
        <v>17082</v>
      </c>
    </row>
    <row r="90">
      <c r="A90" s="0" t="s">
        <v>17083</v>
      </c>
    </row>
    <row r="91">
      <c r="A91" s="0" t="s">
        <v>17084</v>
      </c>
    </row>
    <row r="92">
      <c r="A92" s="0" t="s">
        <v>17085</v>
      </c>
    </row>
    <row r="93">
      <c r="A93" s="0" t="s">
        <v>17086</v>
      </c>
    </row>
    <row r="94">
      <c r="A94" s="0" t="s">
        <v>17087</v>
      </c>
    </row>
    <row r="95">
      <c r="A95" s="0" t="s">
        <v>17088</v>
      </c>
    </row>
    <row r="96">
      <c r="A96" s="0" t="s">
        <v>17089</v>
      </c>
    </row>
    <row r="97">
      <c r="A97" s="0" t="s">
        <v>17090</v>
      </c>
    </row>
    <row r="98">
      <c r="A98" s="0" t="s">
        <v>17091</v>
      </c>
    </row>
    <row r="99">
      <c r="A99" s="0" t="s">
        <v>17092</v>
      </c>
    </row>
    <row r="100">
      <c r="A100" s="0" t="s">
        <v>17093</v>
      </c>
    </row>
    <row r="101">
      <c r="A101" s="0" t="s">
        <v>17094</v>
      </c>
    </row>
    <row r="102">
      <c r="A102" s="0" t="s">
        <v>17095</v>
      </c>
    </row>
    <row r="103">
      <c r="A103" s="0" t="s">
        <v>17096</v>
      </c>
    </row>
    <row r="104">
      <c r="A104" s="0" t="s">
        <v>17097</v>
      </c>
    </row>
    <row r="105">
      <c r="A105" s="0" t="s">
        <v>17098</v>
      </c>
    </row>
    <row r="106">
      <c r="A106" s="0" t="s">
        <v>17099</v>
      </c>
    </row>
    <row r="107">
      <c r="A107" s="0" t="s">
        <v>17100</v>
      </c>
    </row>
    <row r="108">
      <c r="A108" s="0" t="s">
        <v>17101</v>
      </c>
    </row>
    <row r="109">
      <c r="A109" s="0" t="s">
        <v>17102</v>
      </c>
    </row>
    <row r="110">
      <c r="A110" s="0" t="s">
        <v>17103</v>
      </c>
    </row>
    <row r="111">
      <c r="A111" s="0" t="s">
        <v>17104</v>
      </c>
    </row>
    <row r="112">
      <c r="A112" s="0" t="s">
        <v>17105</v>
      </c>
    </row>
    <row r="113">
      <c r="A113" s="0" t="s">
        <v>17106</v>
      </c>
    </row>
    <row r="114">
      <c r="A114" s="0" t="s">
        <v>17107</v>
      </c>
    </row>
    <row r="115">
      <c r="A115" s="0" t="s">
        <v>17108</v>
      </c>
    </row>
    <row r="116">
      <c r="A116" s="0" t="s">
        <v>17109</v>
      </c>
    </row>
    <row r="117">
      <c r="A117" s="0" t="s">
        <v>17110</v>
      </c>
    </row>
    <row r="118">
      <c r="A118" s="0" t="s">
        <v>17111</v>
      </c>
    </row>
    <row r="119">
      <c r="A119" s="0" t="s">
        <v>17112</v>
      </c>
    </row>
    <row r="120">
      <c r="A120" s="0" t="s">
        <v>17113</v>
      </c>
    </row>
    <row r="121">
      <c r="A121" s="0" t="s">
        <v>17114</v>
      </c>
    </row>
    <row r="122">
      <c r="A122" s="0" t="s">
        <v>17115</v>
      </c>
    </row>
    <row r="123">
      <c r="A123" s="0" t="s">
        <v>17116</v>
      </c>
    </row>
    <row r="124">
      <c r="A124" s="0" t="s">
        <v>17117</v>
      </c>
    </row>
    <row r="125">
      <c r="A125" s="0" t="s">
        <v>17118</v>
      </c>
    </row>
    <row r="126">
      <c r="A126" s="0" t="s">
        <v>17119</v>
      </c>
    </row>
    <row r="127">
      <c r="A127" s="0" t="s">
        <v>17120</v>
      </c>
    </row>
    <row r="128">
      <c r="A128" s="0" t="s">
        <v>17121</v>
      </c>
    </row>
    <row r="129">
      <c r="A129" s="0" t="s">
        <v>17122</v>
      </c>
    </row>
    <row r="130">
      <c r="A130" s="0" t="s">
        <v>17123</v>
      </c>
    </row>
    <row r="131">
      <c r="A131" s="0" t="s">
        <v>17124</v>
      </c>
    </row>
    <row r="132">
      <c r="A132" s="0" t="s">
        <v>17125</v>
      </c>
    </row>
    <row r="133">
      <c r="A133" s="0" t="s">
        <v>17126</v>
      </c>
    </row>
    <row r="134">
      <c r="A134" s="0" t="s">
        <v>17127</v>
      </c>
    </row>
    <row r="135">
      <c r="A135" s="0" t="s">
        <v>17128</v>
      </c>
    </row>
    <row r="136">
      <c r="A136" s="0" t="s">
        <v>17129</v>
      </c>
    </row>
    <row r="137">
      <c r="A137" s="0" t="s">
        <v>17130</v>
      </c>
    </row>
    <row r="138">
      <c r="A138" s="0" t="s">
        <v>17131</v>
      </c>
    </row>
    <row r="139">
      <c r="A139" s="0" t="s">
        <v>17132</v>
      </c>
    </row>
    <row r="140">
      <c r="A140" s="0" t="s">
        <v>17133</v>
      </c>
    </row>
    <row r="141">
      <c r="A141" s="0" t="s">
        <v>17134</v>
      </c>
    </row>
    <row r="142">
      <c r="A142" s="0" t="s">
        <v>17135</v>
      </c>
    </row>
    <row r="143">
      <c r="A143" s="0" t="s">
        <v>17136</v>
      </c>
    </row>
    <row r="144">
      <c r="A144" s="0" t="s">
        <v>17137</v>
      </c>
    </row>
    <row r="145">
      <c r="A145" s="0" t="s">
        <v>17138</v>
      </c>
    </row>
    <row r="146">
      <c r="A146" s="0" t="s">
        <v>17139</v>
      </c>
    </row>
    <row r="147">
      <c r="A147" s="0" t="s">
        <v>17140</v>
      </c>
    </row>
    <row r="148">
      <c r="A148" s="0" t="s">
        <v>17141</v>
      </c>
    </row>
    <row r="149">
      <c r="A149" s="0" t="s">
        <v>17142</v>
      </c>
    </row>
    <row r="150">
      <c r="A150" s="0" t="s">
        <v>17143</v>
      </c>
    </row>
    <row r="151">
      <c r="A151" s="0" t="s">
        <v>17144</v>
      </c>
    </row>
    <row r="152">
      <c r="A152" s="0" t="s">
        <v>17145</v>
      </c>
    </row>
    <row r="153">
      <c r="A153" s="0" t="s">
        <v>17146</v>
      </c>
    </row>
    <row r="154">
      <c r="A154" s="0" t="s">
        <v>17147</v>
      </c>
    </row>
    <row r="155">
      <c r="A155" s="0" t="s">
        <v>17148</v>
      </c>
    </row>
    <row r="156">
      <c r="A156" s="0" t="s">
        <v>17149</v>
      </c>
    </row>
    <row r="157">
      <c r="A157" s="0" t="s">
        <v>17150</v>
      </c>
    </row>
    <row r="158">
      <c r="A158" s="0" t="s">
        <v>17151</v>
      </c>
    </row>
    <row r="159">
      <c r="A159" s="0" t="s">
        <v>17152</v>
      </c>
    </row>
    <row r="160">
      <c r="A160" s="0" t="s">
        <v>17153</v>
      </c>
    </row>
    <row r="161">
      <c r="A161" s="0" t="s">
        <v>17154</v>
      </c>
    </row>
    <row r="162">
      <c r="A162" s="0" t="s">
        <v>17155</v>
      </c>
    </row>
    <row r="163">
      <c r="A163" s="0" t="s">
        <v>17156</v>
      </c>
    </row>
    <row r="164">
      <c r="A164" s="0" t="s">
        <v>17157</v>
      </c>
    </row>
    <row r="165">
      <c r="A165" s="0" t="s">
        <v>17158</v>
      </c>
    </row>
    <row r="166">
      <c r="A166" s="0" t="s">
        <v>17159</v>
      </c>
    </row>
    <row r="167">
      <c r="A167" s="0" t="s">
        <v>17160</v>
      </c>
    </row>
    <row r="168">
      <c r="A168" s="0" t="s">
        <v>17161</v>
      </c>
    </row>
    <row r="169">
      <c r="A169" s="0" t="s">
        <v>17162</v>
      </c>
    </row>
    <row r="170">
      <c r="A170" s="0" t="s">
        <v>17163</v>
      </c>
    </row>
    <row r="171">
      <c r="A171" s="0" t="s">
        <v>17164</v>
      </c>
    </row>
    <row r="172">
      <c r="A172" s="0" t="s">
        <v>17165</v>
      </c>
    </row>
    <row r="173">
      <c r="A173" s="0" t="s">
        <v>17166</v>
      </c>
    </row>
    <row r="174">
      <c r="A174" s="0" t="s">
        <v>17167</v>
      </c>
    </row>
    <row r="175">
      <c r="A175" s="0" t="s">
        <v>17168</v>
      </c>
    </row>
    <row r="176">
      <c r="A176" s="0" t="s">
        <v>17169</v>
      </c>
    </row>
    <row r="177">
      <c r="A177" s="0" t="s">
        <v>17170</v>
      </c>
    </row>
    <row r="178">
      <c r="A178" s="0" t="s">
        <v>17171</v>
      </c>
    </row>
    <row r="179">
      <c r="A179" s="0" t="s">
        <v>17172</v>
      </c>
    </row>
    <row r="180">
      <c r="A180" s="0" t="s">
        <v>17173</v>
      </c>
    </row>
    <row r="181">
      <c r="A181" s="0" t="s">
        <v>17174</v>
      </c>
    </row>
    <row r="182">
      <c r="A182" s="0" t="s">
        <v>17175</v>
      </c>
    </row>
    <row r="183">
      <c r="A183" s="0" t="s">
        <v>17176</v>
      </c>
    </row>
    <row r="184">
      <c r="A184" s="0" t="s">
        <v>17177</v>
      </c>
    </row>
    <row r="185">
      <c r="A185" s="0" t="s">
        <v>17178</v>
      </c>
    </row>
    <row r="186">
      <c r="A186" s="0" t="s">
        <v>17179</v>
      </c>
    </row>
    <row r="187">
      <c r="A187" s="0" t="s">
        <v>17180</v>
      </c>
    </row>
    <row r="188">
      <c r="A188" s="0" t="s">
        <v>17181</v>
      </c>
    </row>
    <row r="189">
      <c r="A189" s="0" t="s">
        <v>17182</v>
      </c>
    </row>
    <row r="190">
      <c r="A190" s="0" t="s">
        <v>17183</v>
      </c>
    </row>
    <row r="191">
      <c r="A191" s="0" t="s">
        <v>17184</v>
      </c>
    </row>
    <row r="192">
      <c r="A192" s="0" t="s">
        <v>17185</v>
      </c>
    </row>
    <row r="193">
      <c r="A193" s="0" t="s">
        <v>17186</v>
      </c>
    </row>
    <row r="194">
      <c r="A194" s="0" t="s">
        <v>17187</v>
      </c>
    </row>
    <row r="195">
      <c r="A195" s="0" t="s">
        <v>17188</v>
      </c>
    </row>
    <row r="196">
      <c r="A196" s="0" t="s">
        <v>17189</v>
      </c>
    </row>
    <row r="197">
      <c r="A197" s="0" t="s">
        <v>17190</v>
      </c>
    </row>
    <row r="198">
      <c r="A198" s="0" t="s">
        <v>17191</v>
      </c>
    </row>
    <row r="199">
      <c r="A199" s="0" t="s">
        <v>17192</v>
      </c>
    </row>
    <row r="200">
      <c r="A200" s="0" t="s">
        <v>17193</v>
      </c>
    </row>
    <row r="201">
      <c r="A201" s="0" t="s">
        <v>17194</v>
      </c>
    </row>
    <row r="202">
      <c r="A202" s="0" t="s">
        <v>17195</v>
      </c>
    </row>
    <row r="203">
      <c r="A203" s="0" t="s">
        <v>17196</v>
      </c>
    </row>
    <row r="204">
      <c r="A204" s="0" t="s">
        <v>17197</v>
      </c>
    </row>
    <row r="205">
      <c r="A205" s="0" t="s">
        <v>17198</v>
      </c>
    </row>
    <row r="206">
      <c r="A206" s="0" t="s">
        <v>17199</v>
      </c>
    </row>
    <row r="207">
      <c r="A207" s="0" t="s">
        <v>17200</v>
      </c>
    </row>
    <row r="208">
      <c r="A208" s="0" t="s">
        <v>17201</v>
      </c>
    </row>
    <row r="209">
      <c r="A209" s="0" t="s">
        <v>17202</v>
      </c>
    </row>
    <row r="210">
      <c r="A210" s="0" t="s">
        <v>17203</v>
      </c>
    </row>
    <row r="211">
      <c r="A211" s="0" t="s">
        <v>17204</v>
      </c>
    </row>
    <row r="212">
      <c r="A212" s="0" t="s">
        <v>17205</v>
      </c>
    </row>
    <row r="213">
      <c r="A213" s="0" t="s">
        <v>17206</v>
      </c>
    </row>
    <row r="214">
      <c r="A214" s="0" t="s">
        <v>17207</v>
      </c>
    </row>
    <row r="215">
      <c r="A215" s="0" t="s">
        <v>17208</v>
      </c>
    </row>
    <row r="216">
      <c r="A216" s="0" t="s">
        <v>17209</v>
      </c>
    </row>
    <row r="217">
      <c r="A217" s="0" t="s">
        <v>17210</v>
      </c>
    </row>
    <row r="218">
      <c r="A218" s="0" t="s">
        <v>17211</v>
      </c>
    </row>
    <row r="219">
      <c r="A219" s="0" t="s">
        <v>17212</v>
      </c>
    </row>
    <row r="220">
      <c r="A220" s="0" t="s">
        <v>17213</v>
      </c>
    </row>
    <row r="221">
      <c r="A221" s="0" t="s">
        <v>17214</v>
      </c>
    </row>
    <row r="222">
      <c r="A222" s="0" t="s">
        <v>17215</v>
      </c>
    </row>
    <row r="223">
      <c r="A223" s="0" t="s">
        <v>17216</v>
      </c>
    </row>
    <row r="224">
      <c r="A224" s="0" t="s">
        <v>17217</v>
      </c>
    </row>
    <row r="225">
      <c r="A225" s="0" t="s">
        <v>17218</v>
      </c>
    </row>
    <row r="226">
      <c r="A226" s="0" t="s">
        <v>17219</v>
      </c>
    </row>
    <row r="227">
      <c r="A227" s="0" t="s">
        <v>17220</v>
      </c>
    </row>
    <row r="228">
      <c r="A228" s="0" t="s">
        <v>17221</v>
      </c>
    </row>
    <row r="229">
      <c r="A229" s="0" t="s">
        <v>17222</v>
      </c>
    </row>
    <row r="230">
      <c r="A230" s="0" t="s">
        <v>17223</v>
      </c>
    </row>
    <row r="231">
      <c r="A231" s="0" t="s">
        <v>17224</v>
      </c>
    </row>
    <row r="232">
      <c r="A232" s="0" t="s">
        <v>17225</v>
      </c>
    </row>
    <row r="233">
      <c r="A233" s="0" t="s">
        <v>17226</v>
      </c>
    </row>
    <row r="234">
      <c r="A234" s="0" t="s">
        <v>17227</v>
      </c>
    </row>
    <row r="235">
      <c r="A235" s="0" t="s">
        <v>17228</v>
      </c>
    </row>
    <row r="236">
      <c r="A236" s="0" t="s">
        <v>17229</v>
      </c>
    </row>
    <row r="237">
      <c r="A237" s="0" t="s">
        <v>17230</v>
      </c>
    </row>
    <row r="238">
      <c r="A238" s="0" t="s">
        <v>17231</v>
      </c>
    </row>
    <row r="239">
      <c r="A239" s="0" t="s">
        <v>17232</v>
      </c>
    </row>
    <row r="240">
      <c r="A240" s="0" t="s">
        <v>17233</v>
      </c>
    </row>
    <row r="241">
      <c r="A241" s="0" t="s">
        <v>17234</v>
      </c>
    </row>
    <row r="242">
      <c r="A242" s="0" t="s">
        <v>17235</v>
      </c>
    </row>
    <row r="243">
      <c r="A243" s="0" t="s">
        <v>17236</v>
      </c>
    </row>
    <row r="244">
      <c r="A244" s="0" t="s">
        <v>17237</v>
      </c>
    </row>
    <row r="245">
      <c r="A245" s="0" t="s">
        <v>17238</v>
      </c>
    </row>
    <row r="246">
      <c r="A246" s="0" t="s">
        <v>17239</v>
      </c>
    </row>
    <row r="247">
      <c r="A247" s="0" t="s">
        <v>17240</v>
      </c>
    </row>
    <row r="248">
      <c r="A248" s="0" t="s">
        <v>17241</v>
      </c>
    </row>
    <row r="249">
      <c r="A249" s="0" t="s">
        <v>17242</v>
      </c>
    </row>
    <row r="250">
      <c r="A250" s="0" t="s">
        <v>17243</v>
      </c>
    </row>
    <row r="251">
      <c r="A251" s="0" t="s">
        <v>17244</v>
      </c>
    </row>
    <row r="252">
      <c r="A252" s="0" t="s">
        <v>17245</v>
      </c>
    </row>
    <row r="253">
      <c r="A253" s="0" t="s">
        <v>17246</v>
      </c>
    </row>
    <row r="254">
      <c r="A254" s="0" t="s">
        <v>17247</v>
      </c>
    </row>
    <row r="255">
      <c r="A255" s="0" t="s">
        <v>17248</v>
      </c>
    </row>
    <row r="256">
      <c r="A256" s="0" t="s">
        <v>17249</v>
      </c>
    </row>
    <row r="257">
      <c r="A257" s="0" t="s">
        <v>17250</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property fmtid="{D5CDD505-2E9C-101B-9397-08002B2CF9AE}" pid="2" name="erb.formula.RulebookReleases.Name">
    <vt:lpwstr>C2 &amp; " / PKO " &amp; F2</vt:lpwstr>
  </property>
  <property fmtid="{D5CDD505-2E9C-101B-9397-08002B2CF9AE}" pid="3" name="erb.table.RulebookReleases.description">
    <vt:lpwstr>Version ledger for the canonical ERB-PKO rulebook itself. This is distinct from PKO Procedure versioning.</vt:lpwstr>
  </property>
  <property fmtid="{D5CDD505-2E9C-101B-9397-08002B2CF9AE}" pid="4" name="erb.formula.OntologyProfiles.Name">
    <vt:lpwstr>C2 &amp; " " &amp; D2</vt:lpwstr>
  </property>
  <property fmtid="{D5CDD505-2E9C-101B-9397-08002B2CF9AE}" pid="5" name="erb.table.OntologyProfiles.description">
    <vt:lpwstr>Versioned ontology and vocabulary dependencies. PKO mappings always identify the exact profile and version.</vt:lpwstr>
  </property>
  <property fmtid="{D5CDD505-2E9C-101B-9397-08002B2CF9AE}" pid="6" name="erb.formula.EvaluationContexts.Name">
    <vt:lpwstr>C2 &amp; " @ " &amp; TEXT(D2, "yyyy-mm-dd hh:mm:ss")&amp;"+00"</vt:lpwstr>
  </property>
  <property fmtid="{D5CDD505-2E9C-101B-9397-08002B2CF9AE}" pid="7" name="erb.table.EvaluationContexts.description#1">
    <vt:lpwstr>The instant this rulebook's time-dependent witnesses are evaluated against. Modeled as data rather than wall-clock so every freshness, overdue, and validity answer is reproducible and auditable: asking the same question tomorrow yields the same answe</vt:lpwstr>
  </property>
  <property fmtid="{D5CDD505-2E9C-101B-9397-08002B2CF9AE}" pid="8" name="erb.table.EvaluationContexts.description#2">
    <vt:lpwstr>r. Exactly one row carries IsCurrent.</vt:lpwstr>
  </property>
  <property fmtid="{D5CDD505-2E9C-101B-9397-08002B2CF9AE}" pid="9" name="erb.formula.Organizations.Name">
    <vt:lpwstr>C2</vt:lpwstr>
  </property>
  <property fmtid="{D5CDD505-2E9C-101B-9397-08002B2CF9AE}" pid="10" name="erb.table.Organizations.description">
    <vt:lpwstr>Organizations that own, adopt, govern, or execute procedures. Maps to prov:Organization.</vt:lpwstr>
  </property>
  <property fmtid="{D5CDD505-2E9C-101B-9397-08002B2CF9AE}" pid="11" name="erb.formula.Agents.Name">
    <vt:lpwstr>C2</vt:lpwstr>
  </property>
  <property fmtid="{D5CDD505-2E9C-101B-9397-08002B2CF9AE}" pid="12" name="erb.formula.Agents.CountOfCurrentRoleAssignments">
    <vt:lpwstr>COUNTIFS(RoleAssignments!L2:L999, A2)</vt:lpwstr>
  </property>
  <property fmtid="{D5CDD505-2E9C-101B-9397-08002B2CF9AE}" pid="13" name="erb.formula.Agents.IsStillEngaged">
    <vt:lpwstr>H2 &gt; 0</vt:lpwstr>
  </property>
  <property fmtid="{D5CDD505-2E9C-101B-9397-08002B2CF9AE}" pid="14" name="erb.formula.Agents.DecisionCount">
    <vt:lpwstr>COUNTIFS(AgentDecisionRecords!D2:D999, A2)</vt:lpwstr>
  </property>
  <property fmtid="{D5CDD505-2E9C-101B-9397-08002B2CF9AE}" pid="15" name="erb.formula.Agents.OverriddenDecisionCount">
    <vt:lpwstr>COUNTIFS(AgentDecisionRecords!O2:O999, A2)</vt:lpwstr>
  </property>
  <property fmtid="{D5CDD505-2E9C-101B-9397-08002B2CF9AE}" pid="16" name="erb.formula.Agents.OverrideRatePercent">
    <vt:lpwstr>IF(J2 = 0, 0, (K2 * 100) / J2)</vt:lpwstr>
  </property>
  <property fmtid="{D5CDD505-2E9C-101B-9397-08002B2CF9AE}" pid="17" name="erb.formula.Agents.IsNonHuman">
    <vt:lpwstr>NOT(D2 = "Human")</vt:lpwstr>
  </property>
  <property fmtid="{D5CDD505-2E9C-101B-9397-08002B2CF9AE}" pid="18" name="erb.formula.Agents.BoundaryViolationCount">
    <vt:lpwstr>COUNTIFS(AgentDecisionRecords!AB2:AB999, A2)</vt:lpwstr>
  </property>
  <property fmtid="{D5CDD505-2E9C-101B-9397-08002B2CF9AE}" pid="19" name="erb.formula.Agents.IsOperatingOutsideBoundary">
    <vt:lpwstr>N2 &gt; 0</vt:lpwstr>
  </property>
  <property fmtid="{D5CDD505-2E9C-101B-9397-08002B2CF9AE}" pid="20" name="erb.formula.Agents.DraftDecisionCount">
    <vt:lpwstr>COUNTIFS(AgentDecisionRecords!AF2:AF999, A2)</vt:lpwstr>
  </property>
  <property fmtid="{D5CDD505-2E9C-101B-9397-08002B2CF9AE}" pid="21" name="erb.formula.Agents.OverriddenDraftCount">
    <vt:lpwstr>COUNTIFS(AgentDecisionRecords!AE2:AE999, A2)</vt:lpwstr>
  </property>
  <property fmtid="{D5CDD505-2E9C-101B-9397-08002B2CF9AE}" pid="22" name="erb.formula.Agents.DraftRewriteRatePercent">
    <vt:lpwstr>IF(P2 = 0, 0, (Q2 * 100) / P2)</vt:lpwstr>
  </property>
  <property fmtid="{D5CDD505-2E9C-101B-9397-08002B2CF9AE}" pid="23" name="erb.formula.Agents.TimesNamedAsBroker">
    <vt:lpwstr>COUNTIFS(KnowledgeBrokerLinks!N2:N999, A2)</vt:lpwstr>
  </property>
  <property fmtid="{D5CDD505-2E9C-101B-9397-08002B2CF9AE}" pid="24" name="erb.formula.Agents.IsRecognizedBroker">
    <vt:lpwstr>S2 &gt;= 3</vt:lpwstr>
  </property>
  <property fmtid="{D5CDD505-2E9C-101B-9397-08002B2CF9AE}" pid="25" name="erb.formula.Agents.AtRiskRelianceCount">
    <vt:lpwstr>COUNTIFS(KnowledgeBrokerLinks!O2:O999, A2)</vt:lpwstr>
  </property>
  <property fmtid="{D5CDD505-2E9C-101B-9397-08002B2CF9AE}" pid="26" name="erb.formula.Agents.HasAtRiskKnowledgeReliance">
    <vt:lpwstr>U2 &gt; 0</vt:lpwstr>
  </property>
  <property fmtid="{D5CDD505-2E9C-101B-9397-08002B2CF9AE}" pid="27" name="erb.table.Agents.description">
    <vt:lpwstr>Human and software agents that create, modify, approve, or execute procedural knowledge. Maps to prov:Agent.</vt:lpwstr>
  </property>
  <property fmtid="{D5CDD505-2E9C-101B-9397-08002B2CF9AE}" pid="28" name="erb.formula.Roles.Name">
    <vt:lpwstr>C2</vt:lpwstr>
  </property>
  <property fmtid="{D5CDD505-2E9C-101B-9397-08002B2CF9AE}" pid="29" name="erb.formula.Roles.CurrentAgentKind">
    <vt:lpwstr>IFNA(INDEX(Agents!D2:D999, MATCH(E2,Agents!A2:A999, 0)), "")</vt:lpwstr>
  </property>
  <property fmtid="{D5CDD505-2E9C-101B-9397-08002B2CF9AE}" pid="30" name="erb.formula.Roles.ActiveAssignmentCount">
    <vt:lpwstr>COUNTIFS(RoleAssignments!C2:C999, A2)</vt:lpwstr>
  </property>
  <property fmtid="{D5CDD505-2E9C-101B-9397-08002B2CF9AE}" pid="31" name="erb.formula.Roles.CurrentlyCoveredAssignmentCount">
    <vt:lpwstr>COUNTIFS(RoleAssignments!Q2:Q999, A2)</vt:lpwstr>
  </property>
  <property fmtid="{D5CDD505-2E9C-101B-9397-08002B2CF9AE}" pid="32" name="erb.formula.Roles.HasNoCurrentHolder">
    <vt:lpwstr>I2 = 0</vt:lpwstr>
  </property>
  <property fmtid="{D5CDD505-2E9C-101B-9397-08002B2CF9AE}" pid="33" name="erb.formula.Roles.CountOfAwaitedDecisions">
    <vt:lpwstr>COUNTIFS(ChangeRequests!H2:H999,A2)</vt:lpwstr>
  </property>
  <property fmtid="{D5CDD505-2E9C-101B-9397-08002B2CF9AE}" pid="34" name="erb.formula.Roles.CurrentAssignmentValidFrom">
    <vt:lpwstr>IFNA(INDEX(RoleAssignments!E2:E999, MATCH(L2,RoleAssignments!A2:A999, 0)), "")</vt:lpwstr>
  </property>
  <property fmtid="{D5CDD505-2E9C-101B-9397-08002B2CF9AE}" pid="35" name="erb.formula.Roles.IsNonHumanHeld">
    <vt:lpwstr>NOT(F2 = "Human")</vt:lpwstr>
  </property>
  <property fmtid="{D5CDD505-2E9C-101B-9397-08002B2CF9AE}" pid="36" name="erb.formula.Roles.IsUngovernedNonHumanRole">
    <vt:lpwstr>AND(N2, J2)</vt:lpwstr>
  </property>
  <property fmtid="{D5CDD505-2E9C-101B-9397-08002B2CF9AE}" pid="37" name="erb.formula.Roles.DepartedAssignmentCount">
    <vt:lpwstr>COUNTIFS(RoleAssignments!AF2:AF999, A2)</vt:lpwstr>
  </property>
  <property fmtid="{D5CDD505-2E9C-101B-9397-08002B2CF9AE}" pid="38" name="erb.formula.Roles.HasLostAHolder">
    <vt:lpwstr>P2 &gt; 0</vt:lpwstr>
  </property>
  <property fmtid="{D5CDD505-2E9C-101B-9397-08002B2CF9AE}" pid="39" name="erb.formula.Roles.IsVacatedRole">
    <vt:lpwstr>AND(Q2, J2)</vt:lpwstr>
  </property>
  <property fmtid="{D5CDD505-2E9C-101B-9397-08002B2CF9AE}" pid="40" name="erb.formula.Roles.UngroundedBoundaryCount">
    <vt:lpwstr>COUNTIFS(AuthorityBoundaries!AF2:AF999, A2)</vt:lpwstr>
  </property>
  <property fmtid="{D5CDD505-2E9C-101B-9397-08002B2CF9AE}" pid="41" name="erb.formula.Roles.IsGovernedByLapsedAuthority">
    <vt:lpwstr>(S2 &gt; 0)</vt:lpwstr>
  </property>
  <property fmtid="{D5CDD505-2E9C-101B-9397-08002B2CF9AE}" pid="42" name="erb.formula.Roles.UnescalatedRefusalCount">
    <vt:lpwstr>COUNTIFS(SendIntents!BY2:BY999, A2)</vt:lpwstr>
  </property>
  <property fmtid="{D5CDD505-2E9C-101B-9397-08002B2CF9AE}" pid="43" name="erb.formula.Roles.UnauthorizedEnforcementAssignmentCount">
    <vt:lpwstr>COUNTIFS(RoleAssignments!BL2:BL999, A2)</vt:lpwstr>
  </property>
  <property fmtid="{D5CDD505-2E9C-101B-9397-08002B2CF9AE}" pid="44" name="erb.formula.Roles.IsUngovernedEnforcementRole">
    <vt:lpwstr>(V2 &gt; 0)</vt:lpwstr>
  </property>
  <property fmtid="{D5CDD505-2E9C-101B-9397-08002B2CF9AE}" pid="45" name="erb.table.Roles.description">
    <vt:lpwstr>Stable organizational functions separated from the agents that currently fill them. Maps to pro:Role.</vt:lpwstr>
  </property>
  <property fmtid="{D5CDD505-2E9C-101B-9397-08002B2CF9AE}" pid="46" name="erb.formula.RoleAssignments.Name">
    <vt:lpwstr>C2 &amp; " @ " &amp; TEXT(E2, "yyyy-mm-dd hh:mm:ss")&amp;"+00"</vt:lpwstr>
  </property>
  <property fmtid="{D5CDD505-2E9C-101B-9397-08002B2CF9AE}" pid="47" name="erb.formula.RoleAssignments.AsOfInstant">
    <vt:lpwstr>IFNA(INDEX(EvaluationContexts!D2:D999, MATCH(I2,EvaluationContexts!A2:A999, 0)), "")</vt:lpwstr>
  </property>
  <property fmtid="{D5CDD505-2E9C-101B-9397-08002B2CF9AE}" pid="48" name="erb.formula.RoleAssignments.IsCurrent">
    <vt:lpwstr>AND(E2 &lt;= J2, OR(F2 = "", F2 &gt; J2))</vt:lpwstr>
  </property>
  <property fmtid="{D5CDD505-2E9C-101B-9397-08002B2CF9AE}" pid="49" name="erb.formula.RoleAssignments.CurrentAgentKey">
    <vt:lpwstr>IF(K2, D2, "")</vt:lpwstr>
  </property>
  <property fmtid="{D5CDD505-2E9C-101B-9397-08002B2CF9AE}" pid="50" name="erb.formula.RoleAssignments.IsCurrentlyValid">
    <vt:lpwstr>AND(H2 = "Active", OR(F2 = "", F2 &gt; J2))</vt:lpwstr>
  </property>
  <property fmtid="{D5CDD505-2E9C-101B-9397-08002B2CF9AE}" pid="51" name="erb.formula.RoleAssignments.AgentRoleKey">
    <vt:lpwstr>IF(M2, D2 &amp; "|" &amp; C2, "")</vt:lpwstr>
  </property>
  <property fmtid="{D5CDD505-2E9C-101B-9397-08002B2CF9AE}" pid="52" name="erb.formula.RoleAssignments.HasDeparted">
    <vt:lpwstr>AND(F2 &lt;&gt; "", F2 &lt;= J2)</vt:lpwstr>
  </property>
  <property fmtid="{D5CDD505-2E9C-101B-9397-08002B2CF9AE}" pid="53" name="erb.formula.RoleAssignments.CoversNow">
    <vt:lpwstr>AND(H2 = "Active", E2 &lt;= J2, OR(F2 = "", F2 &gt; J2))</vt:lpwstr>
  </property>
  <property fmtid="{D5CDD505-2E9C-101B-9397-08002B2CF9AE}" pid="54" name="erb.formula.RoleAssignments.RoleWhenCovering">
    <vt:lpwstr>IF(P2, C2, "")</vt:lpwstr>
  </property>
  <property fmtid="{D5CDD505-2E9C-101B-9397-08002B2CF9AE}" pid="55" name="erb.formula.RoleAssignments.AgentKind">
    <vt:lpwstr>IFNA(INDEX(Agents!D2:D999, MATCH(D2,Agents!A2:A999, 0)), "")</vt:lpwstr>
  </property>
  <property fmtid="{D5CDD505-2E9C-101B-9397-08002B2CF9AE}" pid="56" name="erb.formula.RoleAssignments.IsNonHumanAssignment">
    <vt:lpwstr>NOT(R2 = "Human")</vt:lpwstr>
  </property>
  <property fmtid="{D5CDD505-2E9C-101B-9397-08002B2CF9AE}" pid="57" name="erb.formula.RoleAssignments.PredecessorAgentKind">
    <vt:lpwstr>IFNA(INDEX(R2, MATCH(T2,A2, 0)), "")</vt:lpwstr>
  </property>
  <property fmtid="{D5CDD505-2E9C-101B-9397-08002B2CF9AE}" pid="58" name="erb.formula.RoleAssignments.IsHumanToNonHumanHandover">
    <vt:lpwstr>AND(U2 = "Human", S2)</vt:lpwstr>
  </property>
  <property fmtid="{D5CDD505-2E9C-101B-9397-08002B2CF9AE}" pid="59" name="erb.formula.RoleAssignments.IsUnauthorizedNonHumanAssignment">
    <vt:lpwstr>AND(S2, NOT(BG2))</vt:lpwstr>
  </property>
  <property fmtid="{D5CDD505-2E9C-101B-9397-08002B2CF9AE}" pid="60" name="erb.formula.RoleAssignments.WasAuthorizedByChangeRequest">
    <vt:lpwstr>AND(BG2, X2 &lt;&gt; "")</vt:lpwstr>
  </property>
  <property fmtid="{D5CDD505-2E9C-101B-9397-08002B2CF9AE}" pid="61" name="erb.formula.RoleAssignments.DecisionCount">
    <vt:lpwstr>COUNTIFS(AgentDecisionRecords!Q2:Q999, A2)</vt:lpwstr>
  </property>
  <property fmtid="{D5CDD505-2E9C-101B-9397-08002B2CF9AE}" pid="62" name="erb.formula.RoleAssignments.OverriddenDecisionCount">
    <vt:lpwstr>COUNTIFS(AgentDecisionRecords!R2:R999, A2)</vt:lpwstr>
  </property>
  <property fmtid="{D5CDD505-2E9C-101B-9397-08002B2CF9AE}" pid="63" name="erb.formula.RoleAssignments.OverrideRatePercent">
    <vt:lpwstr>IF(AA2 = 0, 0, (AB2 * 100) / AA2)</vt:lpwstr>
  </property>
  <property fmtid="{D5CDD505-2E9C-101B-9397-08002B2CF9AE}" pid="64" name="erb.formula.RoleAssignments.PredecessorOverrideRatePercent">
    <vt:lpwstr>IFNA(INDEX(AC2, MATCH(T2,A2, 0)), "")</vt:lpwstr>
  </property>
  <property fmtid="{D5CDD505-2E9C-101B-9397-08002B2CF9AE}" pid="65" name="erb.formula.RoleAssignments.QualityRegressedVsPredecessor">
    <vt:lpwstr>AND(T2 &lt;&gt; "", AC2 &gt; AD2)</vt:lpwstr>
  </property>
  <property fmtid="{D5CDD505-2E9C-101B-9397-08002B2CF9AE}" pid="66" name="erb.formula.RoleAssignments.DepartedRoleKey">
    <vt:lpwstr>IF(O2, C2, "")</vt:lpwstr>
  </property>
  <property fmtid="{D5CDD505-2E9C-101B-9397-08002B2CF9AE}" pid="67" name="erb.formula.RoleAssignments.PredecessorDecisionCount">
    <vt:lpwstr>IFNA(INDEX(AA2, MATCH(T2,A2, 0)), "")</vt:lpwstr>
  </property>
  <property fmtid="{D5CDD505-2E9C-101B-9397-08002B2CF9AE}" pid="68" name="erb.formula.RoleAssignments.HasSufficientSample">
    <vt:lpwstr>AA2 &gt;= AG2</vt:lpwstr>
  </property>
  <property fmtid="{D5CDD505-2E9C-101B-9397-08002B2CF9AE}" pid="69" name="erb.formula.RoleAssignments.PredecessorHasSufficientSample">
    <vt:lpwstr>AH2 &gt;= AG2</vt:lpwstr>
  </property>
  <property fmtid="{D5CDD505-2E9C-101B-9397-08002B2CF9AE}" pid="70" name="erb.formula.RoleAssignments.ComparisonIsEvidentiallySound">
    <vt:lpwstr>AND(AI2, AJ2)</vt:lpwstr>
  </property>
  <property fmtid="{D5CDD505-2E9C-101B-9397-08002B2CF9AE}" pid="71" name="erb.formula.RoleAssignments.SingleOverrideSwingPercent">
    <vt:lpwstr>IF(AA2 &gt; 0, 100 / AA2, 0)</vt:lpwstr>
  </property>
  <property fmtid="{D5CDD505-2E9C-101B-9397-08002B2CF9AE}" pid="72" name="erb.formula.RoleAssignments.QualityVerdictIsUnsupported">
    <vt:lpwstr>AND(NOT(AK2), NOT(AE2))</vt:lpwstr>
  </property>
  <property fmtid="{D5CDD505-2E9C-101B-9397-08002B2CF9AE}" pid="73" name="erb.formula.RoleAssignments.IsUnmeasuredAutomationHandover">
    <vt:lpwstr>AND(V2, NOT(AK2))</vt:lpwstr>
  </property>
  <property fmtid="{D5CDD505-2E9C-101B-9397-08002B2CF9AE}" pid="74" name="erb.formula.RoleAssignments.ErrorCorrectionCount">
    <vt:lpwstr>COUNTIFS(AgentDecisionRecords!AL2:AL999, A2)</vt:lpwstr>
  </property>
  <property fmtid="{D5CDD505-2E9C-101B-9397-08002B2CF9AE}" pid="75" name="erb.formula.RoleAssignments.ErrorRatePercent">
    <vt:lpwstr>IF(AA2 &gt; 0, AO2 * 100 / AA2, 0)</vt:lpwstr>
  </property>
  <property fmtid="{D5CDD505-2E9C-101B-9397-08002B2CF9AE}" pid="76" name="erb.formula.RoleAssignments.HasDatedAuthorization">
    <vt:lpwstr>AND(W2 &lt;&gt; "", AQ2 &lt;&gt; "")</vt:lpwstr>
  </property>
  <property fmtid="{D5CDD505-2E9C-101B-9397-08002B2CF9AE}" pid="77" name="erb.formula.RoleAssignments.DaysSinceAuthorizationReview">
    <vt:lpwstr>IF(AR2 &lt;&gt; "", (INT(J2) - INT(AR2)), (INT(J2) - INT(E2)))</vt:lpwstr>
  </property>
  <property fmtid="{D5CDD505-2E9C-101B-9397-08002B2CF9AE}" pid="78" name="erb.formula.RoleAssignments.AuthorizationIsOverdueForReview">
    <vt:lpwstr>AND(AS2 &gt; 0, AU2 &gt; AS2)</vt:lpwstr>
  </property>
  <property fmtid="{D5CDD505-2E9C-101B-9397-08002B2CF9AE}" pid="79" name="erb.formula.RoleAssignments.IsStandingUnreviewedAutomation">
    <vt:lpwstr>AND(P2, AND(S2, AV2))</vt:lpwstr>
  </property>
  <property fmtid="{D5CDD505-2E9C-101B-9397-08002B2CF9AE}" pid="80" name="erb.formula.RoleAssignments.IsUnconditionedAutomationHandover">
    <vt:lpwstr>AND(V2, AS2 = 0)</vt:lpwstr>
  </property>
  <property fmtid="{D5CDD505-2E9C-101B-9397-08002B2CF9AE}" pid="81" name="erb.formula.RoleAssignments.ExceedsTolerableErrorRate">
    <vt:lpwstr>AND(AY2 &gt; 0, AP2 &gt;= AY2)</vt:lpwstr>
  </property>
  <property fmtid="{D5CDD505-2E9C-101B-9397-08002B2CF9AE}" pid="82" name="erb.formula.RoleAssignments.BoundaryViolationCountForAssignment">
    <vt:lpwstr>COUNTIFS(AgentDecisionRecords!AM2:AM999, A2)</vt:lpwstr>
  </property>
  <property fmtid="{D5CDD505-2E9C-101B-9397-08002B2CF9AE}" pid="83" name="erb.formula.RoleAssignments.HasAnyBoundaryViolation">
    <vt:lpwstr>(BA2 &gt; 0)</vt:lpwstr>
  </property>
  <property fmtid="{D5CDD505-2E9C-101B-9397-08002B2CF9AE}" pid="84" name="erb.formula.RoleAssignments.HasUngroundedGoverningBoundary">
    <vt:lpwstr>IFNA(INDEX(Roles!T2:T999, MATCH(C2,Roles!A2:A999, 0)), "")</vt:lpwstr>
  </property>
  <property fmtid="{D5CDD505-2E9C-101B-9397-08002B2CF9AE}" pid="85" name="erb.formula.RoleAssignments.SuspensionConditionMet">
    <vt:lpwstr>OR(AZ2, OR(BB2, BC2))</vt:lpwstr>
  </property>
  <property fmtid="{D5CDD505-2E9C-101B-9397-08002B2CF9AE}" pid="86" name="erb.formula.RoleAssignments.IsOperatingUnderMetSuspensionCondition">
    <vt:lpwstr>AND(BD2, AND(P2, S2))</vt:lpwstr>
  </property>
  <property fmtid="{D5CDD505-2E9C-101B-9397-08002B2CF9AE}" pid="87" name="erb.formula.RoleAssignments.HasDeclaredSuspensionCondition">
    <vt:lpwstr>AY2 &gt; 0</vt:lpwstr>
  </property>
  <property fmtid="{D5CDD505-2E9C-101B-9397-08002B2CF9AE}" pid="88" name="erb.formula.RoleAssignments.HasApprovingAuthority">
    <vt:lpwstr>W2 &lt;&gt; ""</vt:lpwstr>
  </property>
  <property fmtid="{D5CDD505-2E9C-101B-9397-08002B2CF9AE}" pid="89" name="erb.formula.RoleAssignments.HasAuthorizingChangeRequest">
    <vt:lpwstr>X2 &lt;&gt; ""</vt:lpwstr>
  </property>
  <property fmtid="{D5CDD505-2E9C-101B-9397-08002B2CF9AE}" pid="90" name="erb.formula.RoleAssignments.IsUnauthorizedEnforcementAgent">
    <vt:lpwstr>AND(BI2, Y2)</vt:lpwstr>
  </property>
  <property fmtid="{D5CDD505-2E9C-101B-9397-08002B2CF9AE}" pid="91" name="erb.formula.RoleAssignments.GovernanceEvidenceCount">
    <vt:lpwstr>IF(BG2, 1, 0) + IF(BH2, 1, 0)</vt:lpwstr>
  </property>
  <property fmtid="{D5CDD505-2E9C-101B-9397-08002B2CF9AE}" pid="92" name="erb.formula.RoleAssignments.UnauthorizedEnforcementRoleKey">
    <vt:lpwstr>IF(Y2, C2, "")</vt:lpwstr>
  </property>
  <property fmtid="{D5CDD505-2E9C-101B-9397-08002B2CF9AE}" pid="93" name="erb.table.RoleAssignments.description">
    <vt:lpwstr>Time-bounded records of agents holding roles. Maps to pro:RoleInTime and preserves assignment history instead of overwriting it.</vt:lpwstr>
  </property>
  <property fmtid="{D5CDD505-2E9C-101B-9397-08002B2CF9AE}" pid="94" name="erb.formula.CommunitiesOfPractice.Name">
    <vt:lpwstr>C2</vt:lpwstr>
  </property>
  <property fmtid="{D5CDD505-2E9C-101B-9397-08002B2CF9AE}" pid="95" name="erb.table.CommunitiesOfPractice.description">
    <vt:lpwstr>Socio-technical communities that transmit and maintain procedural knowledge. Explicit ERB-PKO extension.</vt:lpwstr>
  </property>
  <property fmtid="{D5CDD505-2E9C-101B-9397-08002B2CF9AE}" pid="96" name="erb.formula.Mentorships.Name">
    <vt:lpwstr>D2 &amp; " -&gt; " &amp; E2</vt:lpwstr>
  </property>
  <property fmtid="{D5CDD505-2E9C-101B-9397-08002B2CF9AE}" pid="97" name="erb.table.Mentorships.description">
    <vt:lpwstr>Time-bounded apprenticeship relationships that intentionally transfer situated procedural knowledge. Explicit ERB-PKO extension.</vt:lpwstr>
  </property>
  <property fmtid="{D5CDD505-2E9C-101B-9397-08002B2CF9AE}" pid="98" name="erb.formula.ProcedureTypes.Name">
    <vt:lpwstr>C2</vt:lpwstr>
  </property>
  <property fmtid="{D5CDD505-2E9C-101B-9397-08002B2CF9AE}" pid="99" name="erb.table.ProcedureTypes.description">
    <vt:lpwstr>Controlled values used by pko:hasProcedureType.</vt:lpwstr>
  </property>
  <property fmtid="{D5CDD505-2E9C-101B-9397-08002B2CF9AE}" pid="100" name="erb.formula.Procedures.Name">
    <vt:lpwstr>C2</vt:lpwstr>
  </property>
  <property fmtid="{D5CDD505-2E9C-101B-9397-08002B2CF9AE}" pid="101" name="erb.table.Procedures.description">
    <vt:lpwstr>Abstract, discoverable procedures. Each version is represented separately in ProcedureVersions. Maps to pko:Procedure and dcat:Resource.</vt:lpwstr>
  </property>
  <property fmtid="{D5CDD505-2E9C-101B-9397-08002B2CF9AE}" pid="102" name="erb.formula.ProcedureVersions.Name">
    <vt:lpwstr>E2</vt:lpwstr>
  </property>
  <property fmtid="{D5CDD505-2E9C-101B-9397-08002B2CF9AE}" pid="103" name="erb.formula.ProcedureVersions.CountOfSteps">
    <vt:lpwstr>COUNTIFS(Steps!C2:C999,A2)</vt:lpwstr>
  </property>
  <property fmtid="{D5CDD505-2E9C-101B-9397-08002B2CF9AE}" pid="104" name="erb.formula.ProcedureVersions.CountOfOpenKnowledgeGaps">
    <vt:lpwstr>COUNTIFS(KnowledgeGaps!C2:C999,A2,KnowledgeGaps!H2:H999, "Open")</vt:lpwstr>
  </property>
  <property fmtid="{D5CDD505-2E9C-101B-9397-08002B2CF9AE}" pid="105" name="erb.formula.ProcedureVersions.IsReadyForExecution">
    <vt:lpwstr>AND(F2 = "Approved", N2 &gt; 0, O2 = 0)</vt:lpwstr>
  </property>
  <property fmtid="{D5CDD505-2E9C-101B-9397-08002B2CF9AE}" pid="106" name="erb.formula.ProcedureVersions.SpecifiedStepCount">
    <vt:lpwstr>COUNTIFS(Steps!C2:C999, A2)</vt:lpwstr>
  </property>
  <property fmtid="{D5CDD505-2E9C-101B-9397-08002B2CF9AE}" pid="107" name="erb.formula.ProcedureVersions.OverdueReviewCount">
    <vt:lpwstr>COUNTIFS(ReviewEvents!M2:M999, A2)</vt:lpwstr>
  </property>
  <property fmtid="{D5CDD505-2E9C-101B-9397-08002B2CF9AE}" pid="108" name="erb.formula.ProcedureVersions.OpenChangeRequestCount">
    <vt:lpwstr>COUNTIFS(ChangeRequests!M2:M999, A2)</vt:lpwstr>
  </property>
  <property fmtid="{D5CDD505-2E9C-101B-9397-08002B2CF9AE}" pid="109" name="erb.formula.ProcedureVersions.OpenHighSeverityGapCount">
    <vt:lpwstr>COUNTIFS(KnowledgeGaps!M2:M999, A2)</vt:lpwstr>
  </property>
  <property fmtid="{D5CDD505-2E9C-101B-9397-08002B2CF9AE}" pid="110" name="erb.formula.ProcedureVersions.IsFitToExecute">
    <vt:lpwstr>AND(F2 = "Approved", R2 = 0, S2 = 0, T2 = 0)</vt:lpwstr>
  </property>
  <property fmtid="{D5CDD505-2E9C-101B-9397-08002B2CF9AE}" pid="111" name="erb.formula.ProcedureVersions.StewardReviewCadenceDays">
    <vt:lpwstr>SUMIFS(StewardshipAssignments!H2:H999,StewardshipAssignments!C2:C999, A2)</vt:lpwstr>
  </property>
  <property fmtid="{D5CDD505-2E9C-101B-9397-08002B2CF9AE}" pid="112" name="erb.formula.ProcedureVersions.CountOfStewardshipAssignments">
    <vt:lpwstr>COUNTIFS(StewardshipAssignments!C2:C999,A2)</vt:lpwstr>
  </property>
  <property fmtid="{D5CDD505-2E9C-101B-9397-08002B2CF9AE}" pid="113" name="erb.formula.ProcedureVersions.HasAnySteward">
    <vt:lpwstr>W2 &gt; 0</vt:lpwstr>
  </property>
  <property fmtid="{D5CDD505-2E9C-101B-9397-08002B2CF9AE}" pid="114" name="erb.formula.ProcedureVersions.IsLive">
    <vt:lpwstr>OR(F2 = "Approved", F2 = "Published")</vt:lpwstr>
  </property>
  <property fmtid="{D5CDD505-2E9C-101B-9397-08002B2CF9AE}" pid="115" name="erb.formula.ProcedureVersions.IsUnstewarded">
    <vt:lpwstr>NOT(X2)</vt:lpwstr>
  </property>
  <property fmtid="{D5CDD505-2E9C-101B-9397-08002B2CF9AE}" pid="116" name="erb.formula.ProcedureVersions.IsLiveAndUnstewarded">
    <vt:lpwstr>AND(Y2, Z2)</vt:lpwstr>
  </property>
  <property fmtid="{D5CDD505-2E9C-101B-9397-08002B2CF9AE}" pid="117" name="erb.formula.ProcedureVersions.CountOfOpenBlockingGaps">
    <vt:lpwstr>COUNTIFS(KnowledgeGaps!O2:O999, TRUE)</vt:lpwstr>
  </property>
  <property fmtid="{D5CDD505-2E9C-101B-9397-08002B2CF9AE}" pid="118" name="erb.formula.ProcedureVersions.HasOpenBlockingGap">
    <vt:lpwstr>AB2 &gt; 0</vt:lpwstr>
  </property>
  <property fmtid="{D5CDD505-2E9C-101B-9397-08002B2CF9AE}" pid="119" name="erb.formula.ProcedureVersions.IsLiveWithBlockingGap">
    <vt:lpwstr>AND(Y2, AC2)</vt:lpwstr>
  </property>
  <property fmtid="{D5CDD505-2E9C-101B-9397-08002B2CF9AE}" pid="120" name="erb.formula.ProcedureVersions.ShouldNotBeExecutable">
    <vt:lpwstr>AND(P2, AC2)</vt:lpwstr>
  </property>
  <property fmtid="{D5CDD505-2E9C-101B-9397-08002B2CF9AE}" pid="121" name="erb.formula.ProcedureVersions.CountOfUnapprovedRelianceFragments">
    <vt:lpwstr>COUNTIFS(KnowledgeFragments!AA2:AA999, TRUE)</vt:lpwstr>
  </property>
  <property fmtid="{D5CDD505-2E9C-101B-9397-08002B2CF9AE}" pid="122" name="erb.formula.ProcedureVersions.RunsOnUnapprovedKnowledge">
    <vt:lpwstr>AF2 &gt; 0</vt:lpwstr>
  </property>
  <property fmtid="{D5CDD505-2E9C-101B-9397-08002B2CF9AE}" pid="123" name="erb.formula.ProcedureVersions.CountOfOverdueGaps">
    <vt:lpwstr>COUNTIFS(KnowledgeGaps!T2:T999, TRUE)</vt:lpwstr>
  </property>
  <property fmtid="{D5CDD505-2E9C-101B-9397-08002B2CF9AE}" pid="124" name="erb.formula.ProcedureVersions.CountOfChangeRequests">
    <vt:lpwstr>COUNTIFS(ChangeRequests!C2:C999,A2)</vt:lpwstr>
  </property>
  <property fmtid="{D5CDD505-2E9C-101B-9397-08002B2CF9AE}" pid="125" name="erb.formula.ProcedureVersions.CountOfReviewEvents">
    <vt:lpwstr>COUNTIFS(ReviewEvents!C2:C999,A2)</vt:lpwstr>
  </property>
  <property fmtid="{D5CDD505-2E9C-101B-9397-08002B2CF9AE}" pid="126" name="erb.formula.ProcedureVersions.HasGovernanceRecord">
    <vt:lpwstr>OR(AI2 &gt; 0, AJ2 &gt; 0)</vt:lpwstr>
  </property>
  <property fmtid="{D5CDD505-2E9C-101B-9397-08002B2CF9AE}" pid="127" name="erb.formula.ProcedureVersions.AsOfInstant">
    <vt:lpwstr>IFNA(INDEX(EvaluationContexts!D2:D999, MATCH(AL2,EvaluationContexts!A2:A999, 0)), "")</vt:lpwstr>
  </property>
  <property fmtid="{D5CDD505-2E9C-101B-9397-08002B2CF9AE}" pid="128" name="erb.formula.ProcedureVersions.DaysSinceModified">
    <vt:lpwstr>(INT(AM2) - INT(H2))</vt:lpwstr>
  </property>
  <property fmtid="{D5CDD505-2E9C-101B-9397-08002B2CF9AE}" pid="129" name="erb.formula.ProcedureVersions.DaysSinceLastReview">
    <vt:lpwstr>(INT(AM2) - INT(MAXIFS(ReviewEvents!E2:E999,ReviewEvents!C2:C999,A2)))</vt:lpwstr>
  </property>
  <property fmtid="{D5CDD505-2E9C-101B-9397-08002B2CF9AE}" pid="130" name="erb.formula.ProcedureVersions.WasModifiedSinceLastReview">
    <vt:lpwstr>AN2 &lt; AO2</vt:lpwstr>
  </property>
  <property fmtid="{D5CDD505-2E9C-101B-9397-08002B2CF9AE}" pid="131" name="erb.formula.ProcedureVersions.ModifierIsAuthority">
    <vt:lpwstr>IFNA(INDEX(Agents!D2:D999, MATCH(J2,Agents!A2:A999, 0)), "")</vt:lpwstr>
  </property>
  <property fmtid="{D5CDD505-2E9C-101B-9397-08002B2CF9AE}" pid="132" name="erb.formula.ProcedureVersions.HasUnwitnessedChange">
    <vt:lpwstr>AND(Y2, AP2)</vt:lpwstr>
  </property>
  <property fmtid="{D5CDD505-2E9C-101B-9397-08002B2CF9AE}" pid="133" name="erb.formula.ProcedureVersions.CountOfStaleFragments">
    <vt:lpwstr>COUNTIFS(KnowledgeFragments!AQ2:AQ999, TRUE)</vt:lpwstr>
  </property>
  <property fmtid="{D5CDD505-2E9C-101B-9397-08002B2CF9AE}" pid="134" name="erb.formula.ProcedureVersions.KnowledgeIsStalerThanCadence">
    <vt:lpwstr>AS2 &gt; 0</vt:lpwstr>
  </property>
  <property fmtid="{D5CDD505-2E9C-101B-9397-08002B2CF9AE}" pid="135" name="erb.formula.ProcedureVersions.CompoundFragileFragmentCount">
    <vt:lpwstr>COUNTIFS(KnowledgeFragments!BE2:BE999, A2)</vt:lpwstr>
  </property>
  <property fmtid="{D5CDD505-2E9C-101B-9397-08002B2CF9AE}" pid="136" name="erb.formula.ProcedureVersions.RestsOnCompoundFragileKnowledge">
    <vt:lpwstr>AND(Y2, AU2 &gt; 0)</vt:lpwstr>
  </property>
  <property fmtid="{D5CDD505-2E9C-101B-9397-08002B2CF9AE}" pid="137" name="erb.formula.ProcedureVersions.ConcentratedWitnessSessionCount">
    <vt:lpwstr>COUNTIFS(ElicitationSessions!T2:T999, A2)</vt:lpwstr>
  </property>
  <property fmtid="{D5CDD505-2E9C-101B-9397-08002B2CF9AE}" pid="138" name="erb.formula.ProcedureVersions.KnowledgeBaseIsConcentrated">
    <vt:lpwstr>AND(Y2, AW2 &gt; 0)</vt:lpwstr>
  </property>
  <property fmtid="{D5CDD505-2E9C-101B-9397-08002B2CF9AE}" pid="139" name="erb.formula.ProcedureVersions.MachineConsumedUnapprovedCount">
    <vt:lpwstr>COUNTIFS(KnowledgeFragments!BK2:BK999, A2)</vt:lpwstr>
  </property>
  <property fmtid="{D5CDD505-2E9C-101B-9397-08002B2CF9AE}" pid="140" name="erb.formula.ProcedureVersions.FeedsUnapprovedKnowledgeToMachines">
    <vt:lpwstr>AND(Y2, AY2 &gt; 0)</vt:lpwstr>
  </property>
  <property fmtid="{D5CDD505-2E9C-101B-9397-08002B2CF9AE}" pid="141" name="erb.formula.ProcedureVersions.GenuinelyOverdueFragmentCount">
    <vt:lpwstr>COUNTIFS(KnowledgeFragments!BR2:BR999, A2)</vt:lpwstr>
  </property>
  <property fmtid="{D5CDD505-2E9C-101B-9397-08002B2CF9AE}" pid="142" name="erb.formula.ProcedureVersions.AwaitedDecisionCount">
    <vt:lpwstr>COUNTIFS(ChangeRequests!AB2:AB999, A2)</vt:lpwstr>
  </property>
  <property fmtid="{D5CDD505-2E9C-101B-9397-08002B2CF9AE}" pid="143" name="erb.formula.ProcedureVersions.ScopedOpenBlockingGapCount">
    <vt:lpwstr>COUNTIFS(KnowledgeGaps!Y2:Y999, A2)</vt:lpwstr>
  </property>
  <property fmtid="{D5CDD505-2E9C-101B-9397-08002B2CF9AE}" pid="144" name="erb.formula.ProcedureVersions.IsBlockedOnPendingDecision">
    <vt:lpwstr>AND(BB2 &gt; 0, BC2 &gt; 0)</vt:lpwstr>
  </property>
  <property fmtid="{D5CDD505-2E9C-101B-9397-08002B2CF9AE}" pid="145" name="erb.formula.ProcedureVersions.UnexercisedHumanGateCount">
    <vt:lpwstr>COUNTIFS(Steps!AK2:AK999, A2)</vt:lpwstr>
  </property>
  <property fmtid="{D5CDD505-2E9C-101B-9397-08002B2CF9AE}" pid="146" name="erb.formula.ProcedureVersions.AiBoundaryIsUnevidenced">
    <vt:lpwstr>AND(Y2, BE2 &gt; 0)</vt:lpwstr>
  </property>
  <property fmtid="{D5CDD505-2E9C-101B-9397-08002B2CF9AE}" pid="147" name="erb.formula.ProcedureVersions.LoadBearingUnapprovedCount">
    <vt:lpwstr>COUNTIFS(KnowledgeFragments!BX2:BX999, A2)</vt:lpwstr>
  </property>
  <property fmtid="{D5CDD505-2E9C-101B-9397-08002B2CF9AE}" pid="148" name="erb.formula.ProcedureVersions.UnlandedDecisionCount">
    <vt:lpwstr>COUNTIFS(ChangeRequests!AL2:AL999, A2)</vt:lpwstr>
  </property>
  <property fmtid="{D5CDD505-2E9C-101B-9397-08002B2CF9AE}" pid="149" name="erb.formula.ProcedureVersions.UnrehearsedControlEntryCount">
    <vt:lpwstr>COUNTIFS(StepTransitions!V2:V999, A2)</vt:lpwstr>
  </property>
  <property fmtid="{D5CDD505-2E9C-101B-9397-08002B2CF9AE}" pid="150" name="erb.formula.ProcedureVersions.HasUnrehearsedControlEntry">
    <vt:lpwstr>BI2 &gt; 0</vt:lpwstr>
  </property>
  <property fmtid="{D5CDD505-2E9C-101B-9397-08002B2CF9AE}" pid="151" name="erb.formula.ProcedureVersions.IsLiveWithUnrehearsedControl">
    <vt:lpwstr>AND(Y2, BJ2)</vt:lpwstr>
  </property>
  <property fmtid="{D5CDD505-2E9C-101B-9397-08002B2CF9AE}" pid="152" name="erb.formula.ProcedureVersions.CadenceBreachCount">
    <vt:lpwstr>COUNTIFS(ReviewEvents!S2:S999, A2)</vt:lpwstr>
  </property>
  <property fmtid="{D5CDD505-2E9C-101B-9397-08002B2CF9AE}" pid="153" name="erb.formula.ProcedureVersions.IsInCadenceBreach">
    <vt:lpwstr>BL2 &gt; 0</vt:lpwstr>
  </property>
  <property fmtid="{D5CDD505-2E9C-101B-9397-08002B2CF9AE}" pid="154" name="erb.formula.ProcedureVersions.HasDecisionInFlight">
    <vt:lpwstr>S2 &gt; 0</vt:lpwstr>
  </property>
  <property fmtid="{D5CDD505-2E9C-101B-9397-08002B2CF9AE}" pid="155" name="erb.formula.ProcedureVersions.IsUnremediatedCadenceBreach">
    <vt:lpwstr>AND(BM2, NOT(BN2))</vt:lpwstr>
  </property>
  <property fmtid="{D5CDD505-2E9C-101B-9397-08002B2CF9AE}" pid="156" name="erb.formula.ProcedureVersions.IsManagedCadenceBreach">
    <vt:lpwstr>AND(BM2, BN2)</vt:lpwstr>
  </property>
  <property fmtid="{D5CDD505-2E9C-101B-9397-08002B2CF9AE}" pid="157" name="erb.formula.ProcedureVersions.GovernanceIsSilent">
    <vt:lpwstr>AND(Y2, NOT(AK2))</vt:lpwstr>
  </property>
  <property fmtid="{D5CDD505-2E9C-101B-9397-08002B2CF9AE}" pid="158" name="erb.formula.ProcedureVersions.ValidFragmentCount">
    <vt:lpwstr>COUNTIFS(KnowledgeFragments!CA2:CA999, A2)</vt:lpwstr>
  </property>
  <property fmtid="{D5CDD505-2E9C-101B-9397-08002B2CF9AE}" pid="159" name="erb.formula.ProcedureVersions.StillOwnsValidKnowledge">
    <vt:lpwstr>BR2 &gt; 0</vt:lpwstr>
  </property>
  <property fmtid="{D5CDD505-2E9C-101B-9397-08002B2CF9AE}" pid="160" name="erb.formula.ProcedureVersions.IncomingSupersessionCount">
    <vt:lpwstr>COUNTIFS(ProcedureVersionLinks!G2:G999, A2)</vt:lpwstr>
  </property>
  <property fmtid="{D5CDD505-2E9C-101B-9397-08002B2CF9AE}" pid="161" name="erb.formula.ProcedureVersions.IsStillReferenced">
    <vt:lpwstr>BT2 &gt; 0</vt:lpwstr>
  </property>
  <property fmtid="{D5CDD505-2E9C-101B-9397-08002B2CF9AE}" pid="162" name="erb.formula.ProcedureVersions.IsLoadBearingOrphan">
    <vt:lpwstr>AND(Z2, OR(BS2, BU2))</vt:lpwstr>
  </property>
  <property fmtid="{D5CDD505-2E9C-101B-9397-08002B2CF9AE}" pid="163" name="erb.formula.ProcedureVersions.IsCleanlyRetired">
    <vt:lpwstr>AND(Z2, NOT(BS2), NOT(BU2))</vt:lpwstr>
  </property>
  <property fmtid="{D5CDD505-2E9C-101B-9397-08002B2CF9AE}" pid="164" name="erb.formula.ProcedureVersions.StalledImplementationCount">
    <vt:lpwstr>COUNTIFS(ChangeRequests!AP2:AP999, A2)</vt:lpwstr>
  </property>
  <property fmtid="{D5CDD505-2E9C-101B-9397-08002B2CF9AE}" pid="165" name="erb.formula.ProcedureVersions.IsHeldUnfitByLandedDecisions">
    <vt:lpwstr>AND(NOT(U2), BX2 &gt; 0)</vt:lpwstr>
  </property>
  <property fmtid="{D5CDD505-2E9C-101B-9397-08002B2CF9AE}" pid="166" name="erb.formula.ProcedureVersions.UndeclaredControlKindCount">
    <vt:lpwstr>COUNTIFS(Steps!AM2:AM999, A2)</vt:lpwstr>
  </property>
  <property fmtid="{D5CDD505-2E9C-101B-9397-08002B2CF9AE}" pid="167" name="erb.formula.ProcedureVersions.ControlTaxonomyIsIncomplete">
    <vt:lpwstr>BZ2 &gt; 0</vt:lpwstr>
  </property>
  <property fmtid="{D5CDD505-2E9C-101B-9397-08002B2CF9AE}" pid="168" name="erb.formula.ProcedureVersions.HasApprovedChangeRequest">
    <vt:lpwstr>CC2 &gt; 0</vt:lpwstr>
  </property>
  <property fmtid="{D5CDD505-2E9C-101B-9397-08002B2CF9AE}" pid="169" name="erb.formula.ProcedureVersions.ApprovedChangeRequestCount">
    <vt:lpwstr>COUNTIFS(ChangeRequests!AQ2:AQ999, A2)</vt:lpwstr>
  </property>
  <property fmtid="{D5CDD505-2E9C-101B-9397-08002B2CF9AE}" pid="170" name="erb.formula.ProcedureVersions.UnwatchedUnownedControlCount">
    <vt:lpwstr>COUNTIFS(Requirements!AN2:AN999, "unwatched-unowned")</vt:lpwstr>
  </property>
  <property fmtid="{D5CDD505-2E9C-101B-9397-08002B2CF9AE}" pid="171" name="erb.formula.ProcedureVersions.MiningRunCount">
    <vt:lpwstr>COUNTIFS(ProcessMiningRuns!C2:C999, A2)</vt:lpwstr>
  </property>
  <property fmtid="{D5CDD505-2E9C-101B-9397-08002B2CF9AE}" pid="172" name="erb.formula.ProcedureVersions.DriftedMiningRunCount">
    <vt:lpwstr>COUNTIFS(ProcessMiningRuns!R2:R999, A2)</vt:lpwstr>
  </property>
  <property fmtid="{D5CDD505-2E9C-101B-9397-08002B2CF9AE}" pid="173" name="erb.formula.ProcedureVersions.HasUnresolvedMiningDrift">
    <vt:lpwstr>CF2 &gt; 0</vt:lpwstr>
  </property>
  <property fmtid="{D5CDD505-2E9C-101B-9397-08002B2CF9AE}" pid="174" name="erb.table.ProcedureVersions.description">
    <vt:lpwstr>Versioned procedure specifications. Maps to pko:Procedure plus DCAT version relations and PKO versionNumber/newVersionMotivation/changelogDescription.</vt:lpwstr>
  </property>
  <property fmtid="{D5CDD505-2E9C-101B-9397-08002B2CF9AE}" pid="175" name="erb.formula.ProcedureVersionLinks.Name">
    <vt:lpwstr>C2 &amp; " -&gt; " &amp; D2</vt:lpwstr>
  </property>
  <property fmtid="{D5CDD505-2E9C-101B-9397-08002B2CF9AE}" pid="176" name="erb.formula.ProcedureVersionLinks.SupersededVersionKey">
    <vt:lpwstr>IF(E2 = "https://w3id.org/pko#nextVersion", C2, "")</vt:lpwstr>
  </property>
  <property fmtid="{D5CDD505-2E9C-101B-9397-08002B2CF9AE}" pid="177" name="erb.table.ProcedureVersionLinks.description">
    <vt:lpwstr>Directed links between versioned procedures. Maps to dcat:previousVersion/dcat:hasVersion and pko:nextVersion.</vt:lpwstr>
  </property>
  <property fmtid="{D5CDD505-2E9C-101B-9397-08002B2CF9AE}" pid="178" name="erb.formula.ProcedureStatusChanges.Name">
    <vt:lpwstr>C2 &amp; ": " &amp; D2 &amp; " -&gt; " &amp; E2</vt:lpwstr>
  </property>
  <property fmtid="{D5CDD505-2E9C-101B-9397-08002B2CF9AE}" pid="179" name="erb.table.ProcedureStatusChanges.description">
    <vt:lpwstr>Lifecycle events that move a procedure version between PKO statuses. Maps to pko:ChangeOfStatus, fromStatus, toStatus, and prov:atTime.</vt:lpwstr>
  </property>
  <property fmtid="{D5CDD505-2E9C-101B-9397-08002B2CF9AE}" pid="180" name="erb.formula.Steps.Name">
    <vt:lpwstr>D2 &amp; ". " &amp; E2</vt:lpwstr>
  </property>
  <property fmtid="{D5CDD505-2E9C-101B-9397-08002B2CF9AE}" pid="181" name="erb.formula.Steps.AssignedRoleLabel">
    <vt:lpwstr>IFNA(INDEX(Roles!C2:C999, MATCH(G2,Roles!A2:A999, 0)), "")</vt:lpwstr>
  </property>
  <property fmtid="{D5CDD505-2E9C-101B-9397-08002B2CF9AE}" pid="182" name="erb.formula.Steps.AssignedAgentKind">
    <vt:lpwstr>IFNA(INDEX(Roles!F2:F999, MATCH(G2,Roles!A2:A999, 0)), "")</vt:lpwstr>
  </property>
  <property fmtid="{D5CDD505-2E9C-101B-9397-08002B2CF9AE}" pid="183" name="erb.formula.Steps.BlockingRequirementCount">
    <vt:lpwstr>COUNTIFS(StepRequirements!F2:F999, A2)</vt:lpwstr>
  </property>
  <property fmtid="{D5CDD505-2E9C-101B-9397-08002B2CF9AE}" pid="184" name="erb.formula.Steps.StaleBindingCount">
    <vt:lpwstr>COUNTIFS(OperationalBindings!O2:O999, A2)</vt:lpwstr>
  </property>
  <property fmtid="{D5CDD505-2E9C-101B-9397-08002B2CF9AE}" pid="185" name="erb.formula.Steps.AuthoritativeStaleCount">
    <vt:lpwstr>COUNTIFS(OperationalBindings!P2:P999, A2)</vt:lpwstr>
  </property>
  <property fmtid="{D5CDD505-2E9C-101B-9397-08002B2CF9AE}" pid="186" name="erb.formula.Steps.AvailableExceptionCount">
    <vt:lpwstr>COUNTIFS(Exceptions!J2:J999, A2)</vt:lpwstr>
  </property>
  <property fmtid="{D5CDD505-2E9C-101B-9397-08002B2CF9AE}" pid="187" name="erb.formula.Steps.DeclaredVerificationCount">
    <vt:lpwstr>COUNTIFS(StepVerifications!C2:C999, A2)</vt:lpwstr>
  </property>
  <property fmtid="{D5CDD505-2E9C-101B-9397-08002B2CF9AE}" pid="188" name="erb.formula.Steps.IsPreparationStep">
    <vt:lpwstr>OR(G2 = "finance-analyst", G2 = "variance-review-agent")</vt:lpwstr>
  </property>
  <property fmtid="{D5CDD505-2E9C-101B-9397-08002B2CF9AE}" pid="189" name="erb.formula.Steps.IsApprovalStep">
    <vt:lpwstr>OR(G2 = "controller", G2 = "cfo")</vt:lpwstr>
  </property>
  <property fmtid="{D5CDD505-2E9C-101B-9397-08002B2CF9AE}" pid="190" name="erb.formula.Steps.StaleAuthoritativeBindingCount">
    <vt:lpwstr>COUNTIFS(OperationalBindings!R2:R999, A2)</vt:lpwstr>
  </property>
  <property fmtid="{D5CDD505-2E9C-101B-9397-08002B2CF9AE}" pid="191" name="erb.formula.Steps.InputsAreFresh">
    <vt:lpwstr>U2 = 0</vt:lpwstr>
  </property>
  <property fmtid="{D5CDD505-2E9C-101B-9397-08002B2CF9AE}" pid="192" name="erb.formula.Steps.IsSoftwareAssigned">
    <vt:lpwstr>OR(I2 = "AIAgent", I2 = "AutomatedPipeline")</vt:lpwstr>
  </property>
  <property fmtid="{D5CDD505-2E9C-101B-9397-08002B2CF9AE}" pid="193" name="erb.formula.Steps.IsHumanApprovalGate">
    <vt:lpwstr>AND(NOT(W2), OR(A2 = "policy-05", A2 = "close-06"))</vt:lpwstr>
  </property>
  <property fmtid="{D5CDD505-2E9C-101B-9397-08002B2CF9AE}" pid="194" name="erb.formula.Steps.GateHeldByHuman">
    <vt:lpwstr>AND(X2, I2 = "Human")</vt:lpwstr>
  </property>
  <property fmtid="{D5CDD505-2E9C-101B-9397-08002B2CF9AE}" pid="195" name="erb.formula.Steps.BindingBoundaryCount">
    <vt:lpwstr>COUNTIFS(AuthorityBoundaries!P2:P999, A2)</vt:lpwstr>
  </property>
  <property fmtid="{D5CDD505-2E9C-101B-9397-08002B2CF9AE}" pid="196" name="erb.formula.Steps.AssignedRoleIsUngoverned">
    <vt:lpwstr>IFNA(INDEX(Roles!O2:O999, MATCH(G2,Roles!A2:A999, 0)), "")</vt:lpwstr>
  </property>
  <property fmtid="{D5CDD505-2E9C-101B-9397-08002B2CF9AE}" pid="197" name="erb.formula.Steps.UnusableBindingCount">
    <vt:lpwstr>COUNTIFS(OperationalBindings!U2:U999, A2)</vt:lpwstr>
  </property>
  <property fmtid="{D5CDD505-2E9C-101B-9397-08002B2CF9AE}" pid="198" name="erb.formula.Steps.AllSourcesUsable">
    <vt:lpwstr>AB2 = 0</vt:lpwstr>
  </property>
  <property fmtid="{D5CDD505-2E9C-101B-9397-08002B2CF9AE}" pid="199" name="erb.formula.Steps.UnwarrantedBoundaryCount">
    <vt:lpwstr>COUNTIFS(AuthorityBoundaries!Z2:Z999, A2)</vt:lpwstr>
  </property>
  <property fmtid="{D5CDD505-2E9C-101B-9397-08002B2CF9AE}" pid="200" name="erb.formula.Steps.IsGovernedByUnwarrantedBoundary">
    <vt:lpwstr>AE2 &gt; 0</vt:lpwstr>
  </property>
  <property fmtid="{D5CDD505-2E9C-101B-9397-08002B2CF9AE}" pid="201" name="erb.formula.Steps.SoftwareExecutionCount">
    <vt:lpwstr>COUNTIFS(StepExecutions!CG2:CG999, A2)</vt:lpwstr>
  </property>
  <property fmtid="{D5CDD505-2E9C-101B-9397-08002B2CF9AE}" pid="202" name="erb.formula.Steps.HasBeenApproachedBySoftware">
    <vt:lpwstr>AG2 &gt; 0</vt:lpwstr>
  </property>
  <property fmtid="{D5CDD505-2E9C-101B-9397-08002B2CF9AE}" pid="203" name="erb.formula.Steps.IsUnexercisedHumanGate">
    <vt:lpwstr>AND(X2, NOT(AH2))</vt:lpwstr>
  </property>
  <property fmtid="{D5CDD505-2E9C-101B-9397-08002B2CF9AE}" pid="204" name="erb.formula.Steps.IsDemonstratedHumanGate">
    <vt:lpwstr>AND(X2, AH2, Y2)</vt:lpwstr>
  </property>
  <property fmtid="{D5CDD505-2E9C-101B-9397-08002B2CF9AE}" pid="205" name="erb.formula.Steps.UnexercisedGateVersionKey">
    <vt:lpwstr>IF(AI2, C2, "")</vt:lpwstr>
  </property>
  <property fmtid="{D5CDD505-2E9C-101B-9397-08002B2CF9AE}" pid="206" name="erb.formula.Steps.HasDeclaredControlKind">
    <vt:lpwstr>AD2 &lt;&gt; ""</vt:lpwstr>
  </property>
  <property fmtid="{D5CDD505-2E9C-101B-9397-08002B2CF9AE}" pid="207" name="erb.formula.Steps.UndeclaredControlVersionKey">
    <vt:lpwstr>IF(AL2, "", C2)</vt:lpwstr>
  </property>
  <property fmtid="{D5CDD505-2E9C-101B-9397-08002B2CF9AE}" pid="208" name="erb.formula.Steps.ApprovalStepIsSoftwareAssigned">
    <vt:lpwstr>AND(AD2 = "Approval", W2)</vt:lpwstr>
  </property>
  <property fmtid="{D5CDD505-2E9C-101B-9397-08002B2CF9AE}" pid="209" name="erb.formula.Steps.UnwitnessedBlockingCount">
    <vt:lpwstr>COUNTIFS(StepRequirements!I2:I999, A2)</vt:lpwstr>
  </property>
  <property fmtid="{D5CDD505-2E9C-101B-9397-08002B2CF9AE}" pid="210" name="erb.table.Steps.description">
    <vt:lpwstr>Version-scoped units of work. Atomic steps map to pplan:Step; composite steps map to pplan:MultiStep. The specification is never conflated with execution.</vt:lpwstr>
  </property>
  <property fmtid="{D5CDD505-2E9C-101B-9397-08002B2CF9AE}" pid="211" name="erb.formula.StepTransitions.Name">
    <vt:lpwstr>D2 &amp; " -&gt; " &amp; E2</vt:lpwstr>
  </property>
  <property fmtid="{D5CDD505-2E9C-101B-9397-08002B2CF9AE}" pid="212" name="erb.formula.StepTransitions.IsRecoveryPath">
    <vt:lpwstr>OR(F2 = "Fallback", F2 = "Alternative")</vt:lpwstr>
  </property>
  <property fmtid="{D5CDD505-2E9C-101B-9397-08002B2CF9AE}" pid="213" name="erb.formula.StepTransitions.CountOfFromStepExecutions">
    <vt:lpwstr>COUNTIFS(StepExecutions!D2:D999,D2)</vt:lpwstr>
  </property>
  <property fmtid="{D5CDD505-2E9C-101B-9397-08002B2CF9AE}" pid="214" name="erb.formula.StepTransitions.CountOfToStepExecutions">
    <vt:lpwstr>COUNTIFS(StepExecutions!D2:D999,E2)</vt:lpwstr>
  </property>
  <property fmtid="{D5CDD505-2E9C-101B-9397-08002B2CF9AE}" pid="215" name="erb.formula.StepTransitions.HasReachableOrigin">
    <vt:lpwstr>J2 &gt; 0</vt:lpwstr>
  </property>
  <property fmtid="{D5CDD505-2E9C-101B-9397-08002B2CF9AE}" pid="216" name="erb.formula.StepTransitions.HasReachableTarget">
    <vt:lpwstr>K2 &gt; 0</vt:lpwstr>
  </property>
  <property fmtid="{D5CDD505-2E9C-101B-9397-08002B2CF9AE}" pid="217" name="erb.formula.StepTransitions.IsNeverExercised">
    <vt:lpwstr>NOT(AND(L2, M2))</vt:lpwstr>
  </property>
  <property fmtid="{D5CDD505-2E9C-101B-9397-08002B2CF9AE}" pid="218" name="erb.formula.StepTransitions.IsUntestedRecoveryPath">
    <vt:lpwstr>AND(I2, N2)</vt:lpwstr>
  </property>
  <property fmtid="{D5CDD505-2E9C-101B-9397-08002B2CF9AE}" pid="219" name="erb.formula.StepTransitions.CountOfObservedTraversals">
    <vt:lpwstr>COUNTIFS(ObservedTransitions!D2:D999,A2)</vt:lpwstr>
  </property>
  <property fmtid="{D5CDD505-2E9C-101B-9397-08002B2CF9AE}" pid="220" name="erb.formula.StepTransitions.HasBeenTraversed">
    <vt:lpwstr>P2 &gt; 0</vt:lpwstr>
  </property>
  <property fmtid="{D5CDD505-2E9C-101B-9397-08002B2CF9AE}" pid="221" name="erb.formula.StepTransitions.IsUnwalkedRecoveryPath">
    <vt:lpwstr>AND(I2, NOT(Q2))</vt:lpwstr>
  </property>
  <property fmtid="{D5CDD505-2E9C-101B-9397-08002B2CF9AE}" pid="222" name="erb.formula.StepTransitions.TargetBlockingRequirementCount">
    <vt:lpwstr>IFNA(INDEX(Steps!N2:N999, MATCH(E2,Steps!A2:A999, 0)), "")</vt:lpwstr>
  </property>
  <property fmtid="{D5CDD505-2E9C-101B-9397-08002B2CF9AE}" pid="223" name="erb.formula.StepTransitions.TargetCarriesBlockingControl">
    <vt:lpwstr>S2 &gt; 0</vt:lpwstr>
  </property>
  <property fmtid="{D5CDD505-2E9C-101B-9397-08002B2CF9AE}" pid="224" name="erb.formula.StepTransitions.IsUnrehearsedControlEntry">
    <vt:lpwstr>AND(R2, T2)</vt:lpwstr>
  </property>
  <property fmtid="{D5CDD505-2E9C-101B-9397-08002B2CF9AE}" pid="225" name="erb.formula.StepTransitions.UnrehearsedControlVersionKey">
    <vt:lpwstr>IF(U2, C2, "")</vt:lpwstr>
  </property>
  <property fmtid="{D5CDD505-2E9C-101B-9397-08002B2CF9AE}" pid="226" name="erb.table.StepTransitions.description">
    <vt:lpwstr>Directed control-flow edges represented as first-class pko:Transition instances with fromStep/toStep and next/alternative/fallback semantics.</vt:lpwstr>
  </property>
  <property fmtid="{D5CDD505-2E9C-101B-9397-08002B2CF9AE}" pid="227" name="erb.formula.Actions.Name">
    <vt:lpwstr>C2</vt:lpwstr>
  </property>
  <property fmtid="{D5CDD505-2E9C-101B-9397-08002B2CF9AE}" pid="228" name="erb.table.Actions.description">
    <vt:lpwstr>Human actions required by steps. Maps to pko:Action and pko:requiresAction.</vt:lpwstr>
  </property>
  <property fmtid="{D5CDD505-2E9C-101B-9397-08002B2CF9AE}" pid="229" name="erb.formula.Functions.Name">
    <vt:lpwstr>C2</vt:lpwstr>
  </property>
  <property fmtid="{D5CDD505-2E9C-101B-9397-08002B2CF9AE}" pid="230" name="erb.table.Functions.description">
    <vt:lpwstr>Software or algorithmic functions required by steps. Maps to pko:Function and pko:requiresFunction.</vt:lpwstr>
  </property>
  <property fmtid="{D5CDD505-2E9C-101B-9397-08002B2CF9AE}" pid="231" name="erb.formula.Tools.Name">
    <vt:lpwstr>C2</vt:lpwstr>
  </property>
  <property fmtid="{D5CDD505-2E9C-101B-9397-08002B2CF9AE}" pid="232" name="erb.table.Tools.description">
    <vt:lpwstr>Tools required to execute steps. Maps to m4ing:Tool and pko:requiresTool.</vt:lpwstr>
  </property>
  <property fmtid="{D5CDD505-2E9C-101B-9397-08002B2CF9AE}" pid="233" name="erb.formula.StepActions.Name">
    <vt:lpwstr>C2 &amp; " / " &amp; D2</vt:lpwstr>
  </property>
  <property fmtid="{D5CDD505-2E9C-101B-9397-08002B2CF9AE}" pid="234" name="erb.table.StepActions.description">
    <vt:lpwstr>Many-to-many Step/Action semantics normalized into a first-class ERB junction table.</vt:lpwstr>
  </property>
  <property fmtid="{D5CDD505-2E9C-101B-9397-08002B2CF9AE}" pid="235" name="erb.formula.StepFunctions.Name">
    <vt:lpwstr>C2 &amp; " / " &amp; D2</vt:lpwstr>
  </property>
  <property fmtid="{D5CDD505-2E9C-101B-9397-08002B2CF9AE}" pid="236" name="erb.table.StepFunctions.description">
    <vt:lpwstr>Many-to-many Step/Function semantics normalized into an ERB junction table.</vt:lpwstr>
  </property>
  <property fmtid="{D5CDD505-2E9C-101B-9397-08002B2CF9AE}" pid="237" name="erb.formula.StepTools.Name">
    <vt:lpwstr>C2 &amp; " / " &amp; D2</vt:lpwstr>
  </property>
  <property fmtid="{D5CDD505-2E9C-101B-9397-08002B2CF9AE}" pid="238" name="erb.table.StepTools.description">
    <vt:lpwstr>Many-to-many Step/Tool semantics normalized into an ERB junction table.</vt:lpwstr>
  </property>
  <property fmtid="{D5CDD505-2E9C-101B-9397-08002B2CF9AE}" pid="239" name="erb.formula.Requirements.Name">
    <vt:lpwstr>C2</vt:lpwstr>
  </property>
  <property fmtid="{D5CDD505-2E9C-101B-9397-08002B2CF9AE}" pid="240" name="erb.formula.Requirements.SatisfactionRecordCount">
    <vt:lpwstr>COUNTIFS(RequirementSatisfactions!D2:D999, A2)</vt:lpwstr>
  </property>
  <property fmtid="{D5CDD505-2E9C-101B-9397-08002B2CF9AE}" pid="241" name="erb.formula.Requirements.StepBindingCount">
    <vt:lpwstr>COUNTIFS(StepRequirements!D2:D999, A2)</vt:lpwstr>
  </property>
  <property fmtid="{D5CDD505-2E9C-101B-9397-08002B2CF9AE}" pid="242" name="erb.formula.Requirements.IsBoundToAnyStep">
    <vt:lpwstr>I2 &gt; 0</vt:lpwstr>
  </property>
  <property fmtid="{D5CDD505-2E9C-101B-9397-08002B2CF9AE}" pid="243" name="erb.formula.Requirements.HasEverBeenEvaluated">
    <vt:lpwstr>H2 &gt; 0</vt:lpwstr>
  </property>
  <property fmtid="{D5CDD505-2E9C-101B-9397-08002B2CF9AE}" pid="244" name="erb.formula.Requirements.NegativeOutcomeCount">
    <vt:lpwstr>COUNTIFS(RequirementSatisfactions!N2:N999, A2)</vt:lpwstr>
  </property>
  <property fmtid="{D5CDD505-2E9C-101B-9397-08002B2CF9AE}" pid="245" name="erb.formula.Requirements.IsInoperativeControl">
    <vt:lpwstr>AND(G2, J2, NOT(K2))</vt:lpwstr>
  </property>
  <property fmtid="{D5CDD505-2E9C-101B-9397-08002B2CF9AE}" pid="246" name="erb.formula.Requirements.IsDecorativeControl">
    <vt:lpwstr>AND(G2, NOT(J2))</vt:lpwstr>
  </property>
  <property fmtid="{D5CDD505-2E9C-101B-9397-08002B2CF9AE}" pid="247" name="erb.formula.Requirements.HasEverProducedNegative">
    <vt:lpwstr>L2 &gt; 0</vt:lpwstr>
  </property>
  <property fmtid="{D5CDD505-2E9C-101B-9397-08002B2CF9AE}" pid="248" name="erb.formula.Requirements.IsUnfalsifiedControl">
    <vt:lpwstr>AND(G2, K2, NOT(Q2))</vt:lpwstr>
  </property>
  <property fmtid="{D5CDD505-2E9C-101B-9397-08002B2CF9AE}" pid="249" name="erb.formula.Requirements.ClaimsAWitnessField">
    <vt:lpwstr>P2 &lt;&gt; ""</vt:lpwstr>
  </property>
  <property fmtid="{D5CDD505-2E9C-101B-9397-08002B2CF9AE}" pid="250" name="erb.formula.Requirements.NamedWitnessFieldExists">
    <vt:lpwstr>IFNA(INDEX(RulebookFields!I2:I999, MATCH(P2,RulebookFields!A2:A999, 0)), "")</vt:lpwstr>
  </property>
  <property fmtid="{D5CDD505-2E9C-101B-9397-08002B2CF9AE}" pid="251" name="erb.formula.Requirements.DerivedHasComputedWitness">
    <vt:lpwstr>AND(S2, T2)</vt:lpwstr>
  </property>
  <property fmtid="{D5CDD505-2E9C-101B-9397-08002B2CF9AE}" pid="252" name="erb.formula.Requirements.WitnessClaimIsUnverified">
    <vt:lpwstr>NOT(O2 = U2)</vt:lpwstr>
  </property>
  <property fmtid="{D5CDD505-2E9C-101B-9397-08002B2CF9AE}" pid="253" name="erb.formula.Requirements.IsUnwitnessedBlockingControl">
    <vt:lpwstr>AND(G2, NOT(U2))</vt:lpwstr>
  </property>
  <property fmtid="{D5CDD505-2E9C-101B-9397-08002B2CF9AE}" pid="254" name="erb.formula.Requirements.WitnessFireCount">
    <vt:lpwstr>L2</vt:lpwstr>
  </property>
  <property fmtid="{D5CDD505-2E9C-101B-9397-08002B2CF9AE}" pid="255" name="erb.formula.Requirements.WitnessHasNeverFired">
    <vt:lpwstr>AND(O2, X2 = 0)</vt:lpwstr>
  </property>
  <property fmtid="{D5CDD505-2E9C-101B-9397-08002B2CF9AE}" pid="256" name="erb.formula.Requirements.EvaluationSampleSize">
    <vt:lpwstr>H2</vt:lpwstr>
  </property>
  <property fmtid="{D5CDD505-2E9C-101B-9397-08002B2CF9AE}" pid="257" name="erb.formula.Requirements.HasMeaningfulSample">
    <vt:lpwstr>Z2 &gt;= AB2</vt:lpwstr>
  </property>
  <property fmtid="{D5CDD505-2E9C-101B-9397-08002B2CF9AE}" pid="258" name="erb.formula.Requirements.IsUntestedWitness">
    <vt:lpwstr>AND(Y2, NOT(AA2))</vt:lpwstr>
  </property>
  <property fmtid="{D5CDD505-2E9C-101B-9397-08002B2CF9AE}" pid="259" name="erb.formula.Requirements.IsEvidencedHoldingControl">
    <vt:lpwstr>AND(Y2, AA2)</vt:lpwstr>
  </property>
  <property fmtid="{D5CDD505-2E9C-101B-9397-08002B2CF9AE}" pid="260" name="erb.formula.Requirements.ControlAssuranceState">
    <vt:lpwstr>IF(NOT(J2), "Decorative", IF(NOT(K2), "Inoperative", IF(NOT(O2), "Asserted", IF(X2 &gt; 0, "Demonstrated", IF(AA2, "Holding", "Untested")))))</vt:lpwstr>
  </property>
  <property fmtid="{D5CDD505-2E9C-101B-9397-08002B2CF9AE}" pid="261" name="erb.formula.Requirements.UnexercisedBindingCount">
    <vt:lpwstr>COUNTIFS(StepRequirements!M2:M999, A2)</vt:lpwstr>
  </property>
  <property fmtid="{D5CDD505-2E9C-101B-9397-08002B2CF9AE}" pid="262" name="erb.formula.Requirements.WitnessIsPartiallyScoped">
    <vt:lpwstr>AND(O2, AF2 &gt; 0)</vt:lpwstr>
  </property>
  <property fmtid="{D5CDD505-2E9C-101B-9397-08002B2CF9AE}" pid="263" name="erb.formula.Requirements.AccountableAgent">
    <vt:lpwstr>IFNA(INDEX(Roles!E2:E999, MATCH(AH2,Roles!A2:A999, 0)), "")</vt:lpwstr>
  </property>
  <property fmtid="{D5CDD505-2E9C-101B-9397-08002B2CF9AE}" pid="264" name="erb.formula.Requirements.HasNamedOwner">
    <vt:lpwstr>AH2 &lt;&gt; ""</vt:lpwstr>
  </property>
  <property fmtid="{D5CDD505-2E9C-101B-9397-08002B2CF9AE}" pid="265" name="erb.formula.Requirements.IsOrphanedBlockingControl">
    <vt:lpwstr>AND(G2, NOT(AJ2))</vt:lpwstr>
  </property>
  <property fmtid="{D5CDD505-2E9C-101B-9397-08002B2CF9AE}" pid="266" name="erb.formula.Requirements.IsUnwatchedAndUnowned">
    <vt:lpwstr>AND(G2, NOT(O2), NOT(AJ2))</vt:lpwstr>
  </property>
  <property fmtid="{D5CDD505-2E9C-101B-9397-08002B2CF9AE}" pid="267" name="erb.formula.Requirements.AttestationExposureNote">
    <vt:lpwstr>IF(NOT(G2), "", IF(AL2, "Unwatched and unowned: exposure defaults to the signatory.", IF(AK2, "Witnessed but unowned: no named accountability.", IF(NOT(O2), "Owned but unwitnessed: rests on human judgement.", ""))))</vt:lpwstr>
  </property>
  <property fmtid="{D5CDD505-2E9C-101B-9397-08002B2CF9AE}" pid="268" name="erb.formula.Requirements.UnwatchedUnownedFlag">
    <vt:lpwstr>IF(AL2, "unwatched-unowned", "")</vt:lpwstr>
  </property>
  <property fmtid="{D5CDD505-2E9C-101B-9397-08002B2CF9AE}" pid="269" name="erb.formula.Requirements.UsesControlledVocabulary">
    <vt:lpwstr>AO2 &lt;&gt; ""</vt:lpwstr>
  </property>
  <property fmtid="{D5CDD505-2E9C-101B-9397-08002B2CF9AE}" pid="270" name="erb.table.Requirements.description">
    <vt:lpwstr>Normative requirements applied to procedures, steps, or transitions. Maps to pko:Requirement and pko:hasRequirement.</vt:lpwstr>
  </property>
  <property fmtid="{D5CDD505-2E9C-101B-9397-08002B2CF9AE}" pid="271" name="erb.formula.StepRequirements.Name">
    <vt:lpwstr>C2 &amp; " / " &amp; D2</vt:lpwstr>
  </property>
  <property fmtid="{D5CDD505-2E9C-101B-9397-08002B2CF9AE}" pid="272" name="erb.formula.StepRequirements.RequirementIsBlocking">
    <vt:lpwstr>IFNA(INDEX(Requirements!G2:G999, MATCH(D2,Requirements!A2:A999, 0)), "")</vt:lpwstr>
  </property>
  <property fmtid="{D5CDD505-2E9C-101B-9397-08002B2CF9AE}" pid="273" name="erb.formula.StepRequirements.BlockingStepKey">
    <vt:lpwstr>IF(E2, C2, "")</vt:lpwstr>
  </property>
  <property fmtid="{D5CDD505-2E9C-101B-9397-08002B2CF9AE}" pid="274" name="erb.formula.StepRequirements.StepWhenBlocking">
    <vt:lpwstr>IF(E2, C2, "")</vt:lpwstr>
  </property>
  <property fmtid="{D5CDD505-2E9C-101B-9397-08002B2CF9AE}" pid="275" name="erb.formula.StepRequirements.RequirementLacksWitness">
    <vt:lpwstr>IFNA(INDEX(Requirements!W2:W999, MATCH(D2,Requirements!A2:A999, 0)), "")</vt:lpwstr>
  </property>
  <property fmtid="{D5CDD505-2E9C-101B-9397-08002B2CF9AE}" pid="276" name="erb.formula.StepRequirements.UnwitnessedStepKey">
    <vt:lpwstr>IF(H2, C2, "")</vt:lpwstr>
  </property>
  <property fmtid="{D5CDD505-2E9C-101B-9397-08002B2CF9AE}" pid="277" name="erb.formula.StepRequirements.SatisfactionCountForBinding">
    <vt:lpwstr>COUNTIFS(RequirementSatisfactions!AE2:AE999, A2)</vt:lpwstr>
  </property>
  <property fmtid="{D5CDD505-2E9C-101B-9397-08002B2CF9AE}" pid="278" name="erb.formula.StepRequirements.BindingWasEverExercised">
    <vt:lpwstr>J2 &gt; 0</vt:lpwstr>
  </property>
  <property fmtid="{D5CDD505-2E9C-101B-9397-08002B2CF9AE}" pid="279" name="erb.formula.StepRequirements.IsUnexercisedBlockingBinding">
    <vt:lpwstr>AND(E2, NOT(K2))</vt:lpwstr>
  </property>
  <property fmtid="{D5CDD505-2E9C-101B-9397-08002B2CF9AE}" pid="280" name="erb.formula.StepRequirements.UnexercisedBindingRequirementKey">
    <vt:lpwstr>IF(L2, D2, "")</vt:lpwstr>
  </property>
  <property fmtid="{D5CDD505-2E9C-101B-9397-08002B2CF9AE}" pid="281" name="erb.table.StepRequirements.description">
    <vt:lpwstr>Many-to-many Step/Requirement semantics normalized into an ERB junction table.</vt:lpwstr>
  </property>
  <property fmtid="{D5CDD505-2E9C-101B-9397-08002B2CF9AE}" pid="282" name="erb.formula.StepVerifications.Name">
    <vt:lpwstr>C2 &amp; " / " &amp; D2</vt:lpwstr>
  </property>
  <property fmtid="{D5CDD505-2E9C-101B-9397-08002B2CF9AE}" pid="283" name="erb.table.StepVerifications.description">
    <vt:lpwstr>Verification definitions attached to steps. Maps to pko:StepVerification and pko:SignalVerification.</vt:lpwstr>
  </property>
  <property fmtid="{D5CDD505-2E9C-101B-9397-08002B2CF9AE}" pid="284" name="erb.formula.Rationales.Name">
    <vt:lpwstr>E2</vt:lpwstr>
  </property>
  <property fmtid="{D5CDD505-2E9C-101B-9397-08002B2CF9AE}" pid="285" name="erb.table.Rationales.description">
    <vt:lpwstr>First-class rationale statements explaining why procedural commitments and design decisions exist. Explicit ERB-PKO extension, represented as prov:Entity/dcat:Resource in projections.</vt:lpwstr>
  </property>
  <property fmtid="{D5CDD505-2E9C-101B-9397-08002B2CF9AE}" pid="286" name="erb.formula.Exceptions.Name">
    <vt:lpwstr>E2</vt:lpwstr>
  </property>
  <property fmtid="{D5CDD505-2E9C-101B-9397-08002B2CF9AE}" pid="287" name="erb.formula.Exceptions.ActiveExceptionStepKey">
    <vt:lpwstr>IF(I2 = "Active", D2, "")</vt:lpwstr>
  </property>
  <property fmtid="{D5CDD505-2E9C-101B-9397-08002B2CF9AE}" pid="288" name="erb.table.Exceptions.description">
    <vt:lpwstr>Documented exceptions, fallbacks, and alternative handling. Aligns structurally with PKO fallback/alternative steps and requirements; the exception record itself is an ERB-PKO extension.</vt:lpwstr>
  </property>
  <property fmtid="{D5CDD505-2E9C-101B-9397-08002B2CF9AE}" pid="289" name="erb.formula.Resources.Name">
    <vt:lpwstr>C2</vt:lpwstr>
  </property>
  <property fmtid="{D5CDD505-2E9C-101B-9397-08002B2CF9AE}" pid="290" name="erb.formula.Resources.IsApprovedSource">
    <vt:lpwstr>I2 = "Approved"</vt:lpwstr>
  </property>
  <property fmtid="{D5CDD505-2E9C-101B-9397-08002B2CF9AE}" pid="291" name="erb.table.Resources.description">
    <vt:lpwstr>Documents, datasets, APIs, templates, images, manuals, and operational records referenced by procedures. Maps to dcat:Resource.</vt:lpwstr>
  </property>
  <property fmtid="{D5CDD505-2E9C-101B-9397-08002B2CF9AE}" pid="292" name="erb.formula.ProcedureResources.Name">
    <vt:lpwstr>C2 &amp; " / " &amp; D2</vt:lpwstr>
  </property>
  <property fmtid="{D5CDD505-2E9C-101B-9397-08002B2CF9AE}" pid="293" name="erb.formula.ProcedureResources.RelationIri">
    <vt:lpwstr>IF(E2 = "wasExtractedFrom", "https://w3id.org/pko#wasExtractedFrom", "http://purl.org/dc/terms/references")</vt:lpwstr>
  </property>
  <property fmtid="{D5CDD505-2E9C-101B-9397-08002B2CF9AE}" pid="294" name="erb.table.ProcedureResources.description">
    <vt:lpwstr>Links versioned procedures to supporting resources using PKO/dcterms provenance relations.</vt:lpwstr>
  </property>
  <property fmtid="{D5CDD505-2E9C-101B-9397-08002B2CF9AE}" pid="295" name="erb.formula.ElicitationSessions.Name">
    <vt:lpwstr>D2 &amp; " / " &amp; TEXT(E2, "yyyy-mm-dd hh:mm:ss")&amp;"+00"</vt:lpwstr>
  </property>
  <property fmtid="{D5CDD505-2E9C-101B-9397-08002B2CF9AE}" pid="296" name="erb.formula.ElicitationSessions.AsOfInstant">
    <vt:lpwstr>IFNA(INDEX(EvaluationContexts!D2:D999, MATCH(K2,EvaluationContexts!A2:A999, 0)), "")</vt:lpwstr>
  </property>
  <property fmtid="{D5CDD505-2E9C-101B-9397-08002B2CF9AE}" pid="297" name="erb.formula.ElicitationSessions.DaysSinceElicited">
    <vt:lpwstr>(INT(L2) - INT(F2))</vt:lpwstr>
  </property>
  <property fmtid="{D5CDD505-2E9C-101B-9397-08002B2CF9AE}" pid="298" name="erb.formula.ElicitationSessions.IsSingleWitnessMethod">
    <vt:lpwstr>OR(D2 = "Shadowing", D2 = "PractitionerInterview")</vt:lpwstr>
  </property>
  <property fmtid="{D5CDD505-2E9C-101B-9397-08002B2CF9AE}" pid="299" name="erb.formula.ElicitationSessions.PractitionerIsStillEngaged">
    <vt:lpwstr>IFNA(INDEX(Agents!I2:I999, MATCH(G2,Agents!A2:A999, 0)), "")</vt:lpwstr>
  </property>
  <property fmtid="{D5CDD505-2E9C-101B-9397-08002B2CF9AE}" pid="300" name="erb.formula.ElicitationSessions.ValidFragmentsProduced">
    <vt:lpwstr>COUNTIFS(KnowledgeFragments!BF2:BF999, A2)</vt:lpwstr>
  </property>
  <property fmtid="{D5CDD505-2E9C-101B-9397-08002B2CF9AE}" pid="301" name="erb.formula.ElicitationSessions.IsHighYieldSession">
    <vt:lpwstr>P2 &gt;= 3</vt:lpwstr>
  </property>
  <property fmtid="{D5CDD505-2E9C-101B-9397-08002B2CF9AE}" pid="302" name="erb.formula.ElicitationSessions.IsConcentratedSingleWitness">
    <vt:lpwstr>AND(N2, Q2)</vt:lpwstr>
  </property>
  <property fmtid="{D5CDD505-2E9C-101B-9397-08002B2CF9AE}" pid="303" name="erb.formula.ElicitationSessions.IsStaleConcentratedWitness">
    <vt:lpwstr>AND(R2, M2 &gt; 180)</vt:lpwstr>
  </property>
  <property fmtid="{D5CDD505-2E9C-101B-9397-08002B2CF9AE}" pid="304" name="erb.formula.ElicitationSessions.ConcentratedSessionVersionKey">
    <vt:lpwstr>IF(R2, C2, "")</vt:lpwstr>
  </property>
  <property fmtid="{D5CDD505-2E9C-101B-9397-08002B2CF9AE}" pid="305" name="erb.table.ElicitationSessions.description">
    <vt:lpwstr>Structured knowledge-elicitation events involving practitioners and knowledge engineers. Explicit ERB-PKO extension, modeled as prov:Activity.</vt:lpwstr>
  </property>
  <property fmtid="{D5CDD505-2E9C-101B-9397-08002B2CF9AE}" pid="306" name="erb.formula.KnowledgeFragments.Name">
    <vt:lpwstr>E2 &amp; ": " &amp; LEFT(F2, 60)</vt:lpwstr>
  </property>
  <property fmtid="{D5CDD505-2E9C-101B-9397-08002B2CF9AE}" pid="307" name="erb.formula.KnowledgeFragments.AsOfInstant">
    <vt:lpwstr>IFNA(INDEX(EvaluationContexts!D2:D999, MATCH(N2,EvaluationContexts!A2:A999, 0)), "")</vt:lpwstr>
  </property>
  <property fmtid="{D5CDD505-2E9C-101B-9397-08002B2CF9AE}" pid="308" name="erb.formula.KnowledgeFragments.IsCurrentlyValid">
    <vt:lpwstr>AND(J2 &lt;= O2, OR(K2 = "", K2 &gt; O2), L2 = "Approved")</vt:lpwstr>
  </property>
  <property fmtid="{D5CDD505-2E9C-101B-9397-08002B2CF9AE}" pid="309" name="erb.formula.KnowledgeFragments.SourceAgentIsStillEngaged">
    <vt:lpwstr>IFNA(INDEX(Agents!I2:I999, MATCH(H2,Agents!A2:A999, 0)), "")</vt:lpwstr>
  </property>
  <property fmtid="{D5CDD505-2E9C-101B-9397-08002B2CF9AE}" pid="310" name="erb.formula.KnowledgeFragments.SourceAgentKind">
    <vt:lpwstr>IFNA(INDEX(Agents!D2:D999, MATCH(H2,Agents!A2:A999, 0)), "")</vt:lpwstr>
  </property>
  <property fmtid="{D5CDD505-2E9C-101B-9397-08002B2CF9AE}" pid="311" name="erb.formula.KnowledgeFragments.HasHumanSource">
    <vt:lpwstr>R2 = "Human"</vt:lpwstr>
  </property>
  <property fmtid="{D5CDD505-2E9C-101B-9397-08002B2CF9AE}" pid="312" name="erb.formula.KnowledgeFragments.HasOrphanedProvenance">
    <vt:lpwstr>AND(P2, NOT(Q2))</vt:lpwstr>
  </property>
  <property fmtid="{D5CDD505-2E9C-101B-9397-08002B2CF9AE}" pid="313" name="erb.formula.KnowledgeFragments.IsUndefendableTacitClaim">
    <vt:lpwstr>AND(T2, OR(E2 = "Tacit", E2 = "SituatedJudgment"))</vt:lpwstr>
  </property>
  <property fmtid="{D5CDD505-2E9C-101B-9397-08002B2CF9AE}" pid="314" name="erb.formula.KnowledgeFragments.IsApproved">
    <vt:lpwstr>L2 = "Approved"</vt:lpwstr>
  </property>
  <property fmtid="{D5CDD505-2E9C-101B-9397-08002B2CF9AE}" pid="315" name="erb.formula.KnowledgeFragments.IsWithinValidityWindow">
    <vt:lpwstr>AND(J2 &lt;= O2, OR(K2 = "", K2 &gt; O2))</vt:lpwstr>
  </property>
  <property fmtid="{D5CDD505-2E9C-101B-9397-08002B2CF9AE}" pid="316" name="erb.formula.KnowledgeFragments.IsReliedUpon">
    <vt:lpwstr>AND(D2 &lt;&gt; "", W2)</vt:lpwstr>
  </property>
  <property fmtid="{D5CDD505-2E9C-101B-9397-08002B2CF9AE}" pid="317" name="erb.formula.KnowledgeFragments.StepProcedureVersionStatus">
    <vt:lpwstr>IFNA(INDEX(Steps!C2:C999, MATCH(D2,Steps!A2:A999, 0)), "")</vt:lpwstr>
  </property>
  <property fmtid="{D5CDD505-2E9C-101B-9397-08002B2CF9AE}" pid="318" name="erb.formula.KnowledgeFragments.IsAttachedToLiveVersion">
    <vt:lpwstr>IFNA(INDEX(ProcedureVersions!Y2:Y999, MATCH(C2,ProcedureVersions!A2:A999, 0)), "")</vt:lpwstr>
  </property>
  <property fmtid="{D5CDD505-2E9C-101B-9397-08002B2CF9AE}" pid="319" name="erb.formula.KnowledgeFragments.IsUnapprovedButReliedOn">
    <vt:lpwstr>AND(X2, Z2, NOT(V2))</vt:lpwstr>
  </property>
  <property fmtid="{D5CDD505-2E9C-101B-9397-08002B2CF9AE}" pid="320" name="erb.formula.KnowledgeFragments.EvidenceAgeDays">
    <vt:lpwstr>IFNA(INDEX(ElicitationSessions!M2:M999, MATCH(G2,ElicitationSessions!A2:A999, 0)), "")</vt:lpwstr>
  </property>
  <property fmtid="{D5CDD505-2E9C-101B-9397-08002B2CF9AE}" pid="321" name="erb.formula.KnowledgeFragments.HasRecordedElicitation">
    <vt:lpwstr>G2 &lt;&gt; ""</vt:lpwstr>
  </property>
  <property fmtid="{D5CDD505-2E9C-101B-9397-08002B2CF9AE}" pid="322" name="erb.formula.KnowledgeFragments.IsFromSingleWitness">
    <vt:lpwstr>IFNA(INDEX(ElicitationSessions!N2:N999, MATCH(G2,ElicitationSessions!A2:A999, 0)), "")</vt:lpwstr>
  </property>
  <property fmtid="{D5CDD505-2E9C-101B-9397-08002B2CF9AE}" pid="323" name="erb.formula.KnowledgeFragments.EvidenceExpiryDays">
    <vt:lpwstr>IF(AD2, 180, 365)</vt:lpwstr>
  </property>
  <property fmtid="{D5CDD505-2E9C-101B-9397-08002B2CF9AE}" pid="324" name="erb.formula.KnowledgeFragments.EvidenceHasExpired">
    <vt:lpwstr>AND(AC2, AB2 &gt; AE2)</vt:lpwstr>
  </property>
  <property fmtid="{D5CDD505-2E9C-101B-9397-08002B2CF9AE}" pid="325" name="erb.formula.KnowledgeFragments.OwnerAgent">
    <vt:lpwstr>IFNA(INDEX(Roles!E2:E999, MATCH(M2,Roles!A2:A999, 0)), "")</vt:lpwstr>
  </property>
  <property fmtid="{D5CDD505-2E9C-101B-9397-08002B2CF9AE}" pid="326" name="erb.formula.KnowledgeFragments.IsAwaitingApproval">
    <vt:lpwstr>L2 = "Reviewed"</vt:lpwstr>
  </property>
  <property fmtid="{D5CDD505-2E9C-101B-9397-08002B2CF9AE}" pid="327" name="erb.formula.KnowledgeFragments.OwnerIsMe">
    <vt:lpwstr>M2 = "hr-policy-owner"</vt:lpwstr>
  </property>
  <property fmtid="{D5CDD505-2E9C-101B-9397-08002B2CF9AE}" pid="328" name="erb.formula.KnowledgeFragments.IsMyUnfinishedApproval">
    <vt:lpwstr>AND(AI2, AH2)</vt:lpwstr>
  </property>
  <property fmtid="{D5CDD505-2E9C-101B-9397-08002B2CF9AE}" pid="329" name="erb.formula.KnowledgeFragments.IsInvokedByAnException">
    <vt:lpwstr>COUNTIFS(Exceptions!D2:D999,D2)</vt:lpwstr>
  </property>
  <property fmtid="{D5CDD505-2E9C-101B-9397-08002B2CF9AE}" pid="330" name="erb.formula.KnowledgeFragments.HasOperationalReliance">
    <vt:lpwstr>AK2 &gt; 0</vt:lpwstr>
  </property>
  <property fmtid="{D5CDD505-2E9C-101B-9397-08002B2CF9AE}" pid="331" name="erb.formula.KnowledgeFragments.IsUnapprovedAndOperationallyLive">
    <vt:lpwstr>AND(AJ2, AL2)</vt:lpwstr>
  </property>
  <property fmtid="{D5CDD505-2E9C-101B-9397-08002B2CF9AE}" pid="332" name="erb.formula.KnowledgeFragments.AgeDays">
    <vt:lpwstr>(INT(O2) - INT(J2))</vt:lpwstr>
  </property>
  <property fmtid="{D5CDD505-2E9C-101B-9397-08002B2CF9AE}" pid="333" name="erb.formula.KnowledgeFragments.IsLowConfidence">
    <vt:lpwstr>OR(I2 = "Medium", I2 = "Low")</vt:lpwstr>
  </property>
  <property fmtid="{D5CDD505-2E9C-101B-9397-08002B2CF9AE}" pid="334" name="erb.formula.KnowledgeFragments.OwningVersionCadenceDays">
    <vt:lpwstr>IFNA(INDEX(ProcedureVersions!V2:V999, MATCH(C2,ProcedureVersions!A2:A999, 0)), "")</vt:lpwstr>
  </property>
  <property fmtid="{D5CDD505-2E9C-101B-9397-08002B2CF9AE}" pid="335" name="erb.formula.KnowledgeFragments.ExceedsOwningCadence">
    <vt:lpwstr>AN2 &gt; AP2</vt:lpwstr>
  </property>
  <property fmtid="{D5CDD505-2E9C-101B-9397-08002B2CF9AE}" pid="336" name="erb.formula.KnowledgeFragments.IsAgingLowConfidenceClaim">
    <vt:lpwstr>AND(AQ2, AO2)</vt:lpwstr>
  </property>
  <property fmtid="{D5CDD505-2E9C-101B-9397-08002B2CF9AE}" pid="337" name="erb.formula.KnowledgeFragments.OwnerRoleAgentKind">
    <vt:lpwstr>IFNA(INDEX(Roles!F2:F999, MATCH(M2,Roles!A2:A999, 0)), "")</vt:lpwstr>
  </property>
  <property fmtid="{D5CDD505-2E9C-101B-9397-08002B2CF9AE}" pid="338" name="erb.formula.KnowledgeFragments.IsHumanOwned">
    <vt:lpwstr>AS2 = "Human"</vt:lpwstr>
  </property>
  <property fmtid="{D5CDD505-2E9C-101B-9397-08002B2CF9AE}" pid="339" name="erb.formula.KnowledgeFragments.IsAiValidatedByAi">
    <vt:lpwstr>AND(NOT(R2 = "Human"), NOT(AT2))</vt:lpwstr>
  </property>
  <property fmtid="{D5CDD505-2E9C-101B-9397-08002B2CF9AE}" pid="340" name="erb.formula.KnowledgeFragments.ReviewCadenceDays">
    <vt:lpwstr>IFNA(INDEX(ProcedureVersions!V2:V999, MATCH(C2,ProcedureVersions!A2:A999, 0)), "")</vt:lpwstr>
  </property>
  <property fmtid="{D5CDD505-2E9C-101B-9397-08002B2CF9AE}" pid="341" name="erb.formula.KnowledgeFragments.IsOverdueForReview">
    <vt:lpwstr>AND(P2, AN2 &gt; AV2)</vt:lpwstr>
  </property>
  <property fmtid="{D5CDD505-2E9C-101B-9397-08002B2CF9AE}" pid="342" name="erb.formula.KnowledgeFragments.PredatesCurrentRoleHolder">
    <vt:lpwstr>AND(AS2 &lt;&gt; "", J2 &lt; AY2)</vt:lpwstr>
  </property>
  <property fmtid="{D5CDD505-2E9C-101B-9397-08002B2CF9AE}" pid="343" name="erb.formula.KnowledgeFragments.OwnerRoleAssignmentValidFrom">
    <vt:lpwstr>IFNA(INDEX(Roles!M2:M999, MATCH(M2,Roles!A2:A999, 0)), "")</vt:lpwstr>
  </property>
  <property fmtid="{D5CDD505-2E9C-101B-9397-08002B2CF9AE}" pid="344" name="erb.formula.KnowledgeFragments.FragilitySignalCount">
    <vt:lpwstr>IF(AD2, 1, 0) + IF(AW2, 1, 0) + IF(AO2, 1, 0) + IF(AL2, 1, 0)</vt:lpwstr>
  </property>
  <property fmtid="{D5CDD505-2E9C-101B-9397-08002B2CF9AE}" pid="345" name="erb.formula.KnowledgeFragments.IsCompoundFragile">
    <vt:lpwstr>BA2 &gt;= 3</vt:lpwstr>
  </property>
  <property fmtid="{D5CDD505-2E9C-101B-9397-08002B2CF9AE}" pid="346" name="erb.formula.KnowledgeFragments.IsSinglePointOfFailure">
    <vt:lpwstr>AND(AD2, AL2)</vt:lpwstr>
  </property>
  <property fmtid="{D5CDD505-2E9C-101B-9397-08002B2CF9AE}" pid="347" name="erb.formula.KnowledgeFragments.IsExpiringSinglePointOfFailure">
    <vt:lpwstr>AND(BC2, AW2)</vt:lpwstr>
  </property>
  <property fmtid="{D5CDD505-2E9C-101B-9397-08002B2CF9AE}" pid="348" name="erb.formula.KnowledgeFragments.CompoundFragileVersionKey">
    <vt:lpwstr>IF(BB2, C2, "")</vt:lpwstr>
  </property>
  <property fmtid="{D5CDD505-2E9C-101B-9397-08002B2CF9AE}" pid="349" name="erb.formula.KnowledgeFragments.ValidFragmentSessionKey">
    <vt:lpwstr>IF(P2, G2, "")</vt:lpwstr>
  </property>
  <property fmtid="{D5CDD505-2E9C-101B-9397-08002B2CF9AE}" pid="350" name="erb.formula.KnowledgeFragments.ConsumingStepIsSoftwareAssigned">
    <vt:lpwstr>IFNA(INDEX(Steps!W2:W999, MATCH(D2,Steps!A2:A999, 0)), "")</vt:lpwstr>
  </property>
  <property fmtid="{D5CDD505-2E9C-101B-9397-08002B2CF9AE}" pid="351" name="erb.formula.KnowledgeFragments.ConsumingStepAgentKind">
    <vt:lpwstr>IFNA(INDEX(Steps!I2:I999, MATCH(D2,Steps!A2:A999, 0)), "")</vt:lpwstr>
  </property>
  <property fmtid="{D5CDD505-2E9C-101B-9397-08002B2CF9AE}" pid="352" name="erb.formula.KnowledgeFragments.IsUnapprovedAndMachineConsumed">
    <vt:lpwstr>AND(AA2, BG2)</vt:lpwstr>
  </property>
  <property fmtid="{D5CDD505-2E9C-101B-9397-08002B2CF9AE}" pid="353" name="erb.formula.KnowledgeFragments.IsUnapprovedAndHumanConsumed">
    <vt:lpwstr>AND(AA2, NOT(BG2))</vt:lpwstr>
  </property>
  <property fmtid="{D5CDD505-2E9C-101B-9397-08002B2CF9AE}" pid="354" name="erb.formula.KnowledgeFragments.MachineConsumedUnapprovedVersionKey">
    <vt:lpwstr>IF(BI2, C2, "")</vt:lpwstr>
  </property>
  <property fmtid="{D5CDD505-2E9C-101B-9397-08002B2CF9AE}" pid="355" name="erb.formula.KnowledgeFragments.HasReviewRecord">
    <vt:lpwstr>AZ2 &lt;&gt; ""</vt:lpwstr>
  </property>
  <property fmtid="{D5CDD505-2E9C-101B-9397-08002B2CF9AE}" pid="356" name="erb.formula.KnowledgeFragments.DaysSinceActualReview">
    <vt:lpwstr>IF(BL2, (INT(O2) - INT(AZ2)), 0)</vt:lpwstr>
  </property>
  <property fmtid="{D5CDD505-2E9C-101B-9397-08002B2CF9AE}" pid="357" name="erb.formula.KnowledgeFragments.IsUnreviewedSinceAuthoring">
    <vt:lpwstr>AND(P2, NOT(BL2))</vt:lpwstr>
  </property>
  <property fmtid="{D5CDD505-2E9C-101B-9397-08002B2CF9AE}" pid="358" name="erb.formula.KnowledgeFragments.IsGenuinelyOverdue">
    <vt:lpwstr>AND(P2, BL2, BM2 &gt; AV2)</vt:lpwstr>
  </property>
  <property fmtid="{D5CDD505-2E9C-101B-9397-08002B2CF9AE}" pid="359" name="erb.formula.KnowledgeFragments.ReviewRecencyIsInferred">
    <vt:lpwstr>AND(AW2, NOT(BL2))</vt:lpwstr>
  </property>
  <property fmtid="{D5CDD505-2E9C-101B-9397-08002B2CF9AE}" pid="360" name="erb.formula.KnowledgeFragments.InferenceDisagreesWithRecord">
    <vt:lpwstr>AND(BL2, AW2, NOT(BO2))</vt:lpwstr>
  </property>
  <property fmtid="{D5CDD505-2E9C-101B-9397-08002B2CF9AE}" pid="361" name="erb.formula.KnowledgeFragments.GenuinelyOverdueVersionKey">
    <vt:lpwstr>IF(BO2, C2, "")</vt:lpwstr>
  </property>
  <property fmtid="{D5CDD505-2E9C-101B-9397-08002B2CF9AE}" pid="362" name="erb.formula.KnowledgeFragments.RatifiedBoundaryCount">
    <vt:lpwstr>COUNTIFS(AuthorityBoundaries!AA2:AA999, A2)</vt:lpwstr>
  </property>
  <property fmtid="{D5CDD505-2E9C-101B-9397-08002B2CF9AE}" pid="363" name="erb.formula.KnowledgeFragments.RelianceSurfaceCount">
    <vt:lpwstr>AK2 + BS2</vt:lpwstr>
  </property>
  <property fmtid="{D5CDD505-2E9C-101B-9397-08002B2CF9AE}" pid="364" name="erb.formula.KnowledgeFragments.DaysAwaitingMyApproval">
    <vt:lpwstr>IF(AJ2, (INT(O2) - INT(J2)), 0)</vt:lpwstr>
  </property>
  <property fmtid="{D5CDD505-2E9C-101B-9397-08002B2CF9AE}" pid="365" name="erb.formula.KnowledgeFragments.IsHighBlastRadiusUnapproved">
    <vt:lpwstr>AND(AM2, BT2 &gt; 1)</vt:lpwstr>
  </property>
  <property fmtid="{D5CDD505-2E9C-101B-9397-08002B2CF9AE}" pid="366" name="erb.formula.KnowledgeFragments.IsLongUnapproved">
    <vt:lpwstr>AND(AJ2, BU2 &gt; 30)</vt:lpwstr>
  </property>
  <property fmtid="{D5CDD505-2E9C-101B-9397-08002B2CF9AE}" pid="367" name="erb.formula.KnowledgeFragments.UnapprovedLoadBearingVersionKey">
    <vt:lpwstr>IF(BV2, C2, "")</vt:lpwstr>
  </property>
  <property fmtid="{D5CDD505-2E9C-101B-9397-08002B2CF9AE}" pid="368" name="erb.formula.KnowledgeFragments.OwnerRoleIsVacated">
    <vt:lpwstr>IFNA(INDEX(Roles!R2:R999, MATCH(M2,Roles!A2:A999, 0)), "")</vt:lpwstr>
  </property>
  <property fmtid="{D5CDD505-2E9C-101B-9397-08002B2CF9AE}" pid="369" name="erb.formula.KnowledgeFragments.IsOrphanedByRole">
    <vt:lpwstr>AND(P2, BY2)</vt:lpwstr>
  </property>
  <property fmtid="{D5CDD505-2E9C-101B-9397-08002B2CF9AE}" pid="370" name="erb.formula.KnowledgeFragments.ValidFragmentVersionKey">
    <vt:lpwstr>IF(P2, C2, "")</vt:lpwstr>
  </property>
  <property fmtid="{D5CDD505-2E9C-101B-9397-08002B2CF9AE}" pid="371" name="erb.table.KnowledgeFragments.description">
    <vt:lpwstr>Explicit records of tacit, implicit, explicit, and situated procedural knowledge. This is an ERB-PKO extension represented as provenance-bearing dcat:Resource instances.</vt:lpwstr>
  </property>
  <property fmtid="{D5CDD505-2E9C-101B-9397-08002B2CF9AE}" pid="372" name="erb.formula.KnowledgeGaps.Name">
    <vt:lpwstr>F2 &amp; ": " &amp; LEFT(E2, 60)</vt:lpwstr>
  </property>
  <property fmtid="{D5CDD505-2E9C-101B-9397-08002B2CF9AE}" pid="373" name="erb.formula.KnowledgeGaps.IsOpen">
    <vt:lpwstr>OR(H2 = "Open", H2 = "Investigating")</vt:lpwstr>
  </property>
  <property fmtid="{D5CDD505-2E9C-101B-9397-08002B2CF9AE}" pid="374" name="erb.formula.KnowledgeGaps.OpenGapVersionKey">
    <vt:lpwstr>IF(AND(L2, F2 = "High"), C2, "")</vt:lpwstr>
  </property>
  <property fmtid="{D5CDD505-2E9C-101B-9397-08002B2CF9AE}" pid="375" name="erb.formula.KnowledgeGaps.IsBlocking">
    <vt:lpwstr>G2 = "Blocking"</vt:lpwstr>
  </property>
  <property fmtid="{D5CDD505-2E9C-101B-9397-08002B2CF9AE}" pid="376" name="erb.formula.KnowledgeGaps.IsOpenAndBlocking">
    <vt:lpwstr>AND(L2, N2)</vt:lpwstr>
  </property>
  <property fmtid="{D5CDD505-2E9C-101B-9397-08002B2CF9AE}" pid="377" name="erb.formula.KnowledgeGaps.AsOfInstant">
    <vt:lpwstr>IFNA(INDEX(EvaluationContexts!D2:D999, MATCH(P2,EvaluationContexts!A2:A999, 0)), "")</vt:lpwstr>
  </property>
  <property fmtid="{D5CDD505-2E9C-101B-9397-08002B2CF9AE}" pid="378" name="erb.formula.KnowledgeGaps.DaysOpen">
    <vt:lpwstr>IF(L2, (INT(Q2) - INT(J2)), 0)</vt:lpwstr>
  </property>
  <property fmtid="{D5CDD505-2E9C-101B-9397-08002B2CF9AE}" pid="379" name="erb.formula.KnowledgeGaps.ToleranceDays">
    <vt:lpwstr>IF(F2 = "High", 30, IF(F2 = "Medium", 90, 180))</vt:lpwstr>
  </property>
  <property fmtid="{D5CDD505-2E9C-101B-9397-08002B2CF9AE}" pid="380" name="erb.formula.KnowledgeGaps.IsOverdueGap">
    <vt:lpwstr>R2 &gt; S2</vt:lpwstr>
  </property>
  <property fmtid="{D5CDD505-2E9C-101B-9397-08002B2CF9AE}" pid="381" name="erb.formula.KnowledgeGaps.OwnerAgent">
    <vt:lpwstr>IFNA(INDEX(Roles!E2:E999, MATCH(I2,Roles!A2:A999, 0)), "")</vt:lpwstr>
  </property>
  <property fmtid="{D5CDD505-2E9C-101B-9397-08002B2CF9AE}" pid="382" name="erb.formula.KnowledgeGaps.OwnerIsStillEngaged">
    <vt:lpwstr>IFNA(INDEX(Agents!I2:I999, MATCH(U2,Agents!A2:A999, 0)), "")</vt:lpwstr>
  </property>
  <property fmtid="{D5CDD505-2E9C-101B-9397-08002B2CF9AE}" pid="383" name="erb.formula.KnowledgeGaps.HasResolutionPlan">
    <vt:lpwstr>K2 &lt;&gt; ""</vt:lpwstr>
  </property>
  <property fmtid="{D5CDD505-2E9C-101B-9397-08002B2CF9AE}" pid="384" name="erb.formula.KnowledgeGaps.IsAbandonedUnknown">
    <vt:lpwstr>AND(T2, OR(NOT(W2), NOT(V2)))</vt:lpwstr>
  </property>
  <property fmtid="{D5CDD505-2E9C-101B-9397-08002B2CF9AE}" pid="385" name="erb.formula.KnowledgeGaps.OpenBlockingGapVersionKey">
    <vt:lpwstr>IF(O2, C2, "")</vt:lpwstr>
  </property>
  <property fmtid="{D5CDD505-2E9C-101B-9397-08002B2CF9AE}" pid="386" name="erb.formula.KnowledgeGaps.OwnerRoleIsVacated">
    <vt:lpwstr>IFNA(INDEX(Roles!R2:R999, MATCH(I2,Roles!A2:A999, 0)), "")</vt:lpwstr>
  </property>
  <property fmtid="{D5CDD505-2E9C-101B-9397-08002B2CF9AE}" pid="387" name="erb.formula.KnowledgeGaps.IsOwnerlessOpenGap">
    <vt:lpwstr>AND(L2, Z2)</vt:lpwstr>
  </property>
  <property fmtid="{D5CDD505-2E9C-101B-9397-08002B2CF9AE}" pid="388" name="erb.table.KnowledgeGaps.description">
    <vt:lpwstr>Known unknowns and missing procedural coverage. Explicit ERB-PKO extension used to govern scope and prevent silent incompleteness.</vt:lpwstr>
  </property>
  <property fmtid="{D5CDD505-2E9C-101B-9397-08002B2CF9AE}" pid="389" name="erb.formula.FAQs.Name">
    <vt:lpwstr>G2</vt:lpwstr>
  </property>
  <property fmtid="{D5CDD505-2E9C-101B-9397-08002B2CF9AE}" pid="390" name="erb.table.FAQs.description">
    <vt:lpwstr>Frequently asked procedural questions. Maps to pko:FrequentlyAskedQuestion, question, answer, hasFAQCategory, and hasFAQTarget.</vt:lpwstr>
  </property>
  <property fmtid="{D5CDD505-2E9C-101B-9397-08002B2CF9AE}" pid="391" name="erb.formula.Explanations.Name">
    <vt:lpwstr>E2</vt:lpwstr>
  </property>
  <property fmtid="{D5CDD505-2E9C-101B-9397-08002B2CF9AE}" pid="392" name="erb.table.Explanations.description">
    <vt:lpwstr>Explainable derivation artifacts associated with procedural decisions. Maps to pko:Explanation and pko:hasExplanation.</vt:lpwstr>
  </property>
  <property fmtid="{D5CDD505-2E9C-101B-9397-08002B2CF9AE}" pid="393" name="erb.formula.ProcedureExecutions.Name">
    <vt:lpwstr>C2 &amp; " / " &amp; H2</vt:lpwstr>
  </property>
  <property fmtid="{D5CDD505-2E9C-101B-9397-08002B2CF9AE}" pid="394" name="erb.formula.ProcedureExecutions.ExpectedStepCount">
    <vt:lpwstr>IFNA(INDEX(ProcedureVersions!Q2:Q999, MATCH(C2,ProcedureVersions!A2:A999, 0)), "")</vt:lpwstr>
  </property>
  <property fmtid="{D5CDD505-2E9C-101B-9397-08002B2CF9AE}" pid="395" name="erb.formula.ProcedureExecutions.CompletedStepCount">
    <vt:lpwstr>COUNTIFS(StepExecutions!AQ2:AQ999, A2)</vt:lpwstr>
  </property>
  <property fmtid="{D5CDD505-2E9C-101B-9397-08002B2CF9AE}" pid="396" name="erb.formula.ProcedureExecutions.ControlBreachCount">
    <vt:lpwstr>COUNTIFS(StepExecutions!AR2:AR999, A2)</vt:lpwstr>
  </property>
  <property fmtid="{D5CDD505-2E9C-101B-9397-08002B2CF9AE}" pid="397" name="erb.formula.ProcedureExecutions.LateStepCount">
    <vt:lpwstr>COUNTIFS(StepExecutions!AS2:AS999, A2)</vt:lpwstr>
  </property>
  <property fmtid="{D5CDD505-2E9C-101B-9397-08002B2CF9AE}" pid="398" name="erb.formula.ProcedureExecutions.IsStructurallyComplete">
    <vt:lpwstr>K2 &gt;= J2</vt:lpwstr>
  </property>
  <property fmtid="{D5CDD505-2E9C-101B-9397-08002B2CF9AE}" pid="399" name="erb.formula.ProcedureExecutions.DivergedFromSpecification">
    <vt:lpwstr>OR(NOT(N2), L2 &gt; 0)</vt:lpwstr>
  </property>
  <property fmtid="{D5CDD505-2E9C-101B-9397-08002B2CF9AE}" pid="400" name="erb.formula.ProcedureExecutions.AllBlockingControlsEvaluated">
    <vt:lpwstr>Q2 = 0</vt:lpwstr>
  </property>
  <property fmtid="{D5CDD505-2E9C-101B-9397-08002B2CF9AE}" pid="401" name="erb.formula.ProcedureExecutions.UnevaluatedBlockingTotal">
    <vt:lpwstr>COUNTIFS(StepExecutions!AY2:AY999, A2)</vt:lpwstr>
  </property>
  <property fmtid="{D5CDD505-2E9C-101B-9397-08002B2CF9AE}" pid="402" name="erb.formula.ProcedureExecutions.SeparationOfDutiesHeld">
    <vt:lpwstr>S2 = 0</vt:lpwstr>
  </property>
  <property fmtid="{D5CDD505-2E9C-101B-9397-08002B2CF9AE}" pid="403" name="erb.formula.ProcedureExecutions.SeparationViolationCount">
    <vt:lpwstr>COUNTIFS(StepExecutions!AZ2:AZ999, A2)</vt:lpwstr>
  </property>
  <property fmtid="{D5CDD505-2E9C-101B-9397-08002B2CF9AE}" pid="404" name="erb.formula.ProcedureExecutions.IsAttestationReady">
    <vt:lpwstr>AND(N2, NOT(O2), P2, R2)</vt:lpwstr>
  </property>
  <property fmtid="{D5CDD505-2E9C-101B-9397-08002B2CF9AE}" pid="405" name="erb.formula.ProcedureExecutions.AttestationBlockerSummary">
    <vt:lpwstr>IF(T2, "", IF(NOT(N2), "Incomplete: specified steps did not all complete.", IF(S2 &gt; 0, "Segregation of duties violated.", IF(Q2 &gt; 0, "Blocking controls were never evaluated.", "Control breach recorded on one or more steps."))))</vt:lpwstr>
  </property>
  <property fmtid="{D5CDD505-2E9C-101B-9397-08002B2CF9AE}" pid="406" name="erb.formula.ProcedureExecutions.ExecutedVersionIsFit">
    <vt:lpwstr>IFNA(INDEX(ProcedureVersions!U2:U999, MATCH(C2,ProcedureVersions!A2:A999, 0)), "")</vt:lpwstr>
  </property>
  <property fmtid="{D5CDD505-2E9C-101B-9397-08002B2CF9AE}" pid="407" name="erb.formula.ProcedureExecutions.SignedAgainstUnfitVersion">
    <vt:lpwstr>AND(D2 = "Completed", NOT(V2))</vt:lpwstr>
  </property>
  <property fmtid="{D5CDD505-2E9C-101B-9397-08002B2CF9AE}" pid="408" name="erb.formula.ProcedureExecutions.AssertedOnlyControlCount">
    <vt:lpwstr>COUNTIFS(RequirementSatisfactions!S2:S999, A2)</vt:lpwstr>
  </property>
  <property fmtid="{D5CDD505-2E9C-101B-9397-08002B2CF9AE}" pid="409" name="erb.formula.ProcedureExecutions.AssuranceIsMostlyAsserted">
    <vt:lpwstr>X2 &gt; 0</vt:lpwstr>
  </property>
  <property fmtid="{D5CDD505-2E9C-101B-9397-08002B2CF9AE}" pid="410" name="erb.formula.ProcedureExecutions.UnreachableHandlingFailureCount">
    <vt:lpwstr>COUNTIFS(MessageDeliveries!AI2:AI999, A2)</vt:lpwstr>
  </property>
  <property fmtid="{D5CDD505-2E9C-101B-9397-08002B2CF9AE}" pid="411" name="erb.formula.ProcedureExecutions.RetentionBreachCount">
    <vt:lpwstr>COUNTIFS(MessageDeliveries!AR2:AR999, A2)</vt:lpwstr>
  </property>
  <property fmtid="{D5CDD505-2E9C-101B-9397-08002B2CF9AE}" pid="412" name="erb.formula.ProcedureExecutions.ClearedLegalReviewCount">
    <vt:lpwstr>COUNTIFS(StepExecutions!BI2:BI999, A2)</vt:lpwstr>
  </property>
  <property fmtid="{D5CDD505-2E9C-101B-9397-08002B2CF9AE}" pid="413" name="erb.formula.ProcedureExecutions.HasClearedLegalReview">
    <vt:lpwstr>AB2 &gt; 0</vt:lpwstr>
  </property>
  <property fmtid="{D5CDD505-2E9C-101B-9397-08002B2CF9AE}" pid="414" name="erb.formula.ProcedureExecutions.AbandonedFailureCount">
    <vt:lpwstr>COUNTIFS(MessageDeliveries!BN2:BN999, A2)</vt:lpwstr>
  </property>
  <property fmtid="{D5CDD505-2E9C-101B-9397-08002B2CF9AE}" pid="415" name="erb.formula.ProcedureExecutions.DeliveredCount">
    <vt:lpwstr>COUNTIFS(MessageDeliveries!BO2:BO999, A2)</vt:lpwstr>
  </property>
  <property fmtid="{D5CDD505-2E9C-101B-9397-08002B2CF9AE}" pid="416" name="erb.formula.ProcedureExecutions.TotalDeliveryAttemptCount">
    <vt:lpwstr>COUNTIFS(MessageDeliveries!C2:C999, A2)</vt:lpwstr>
  </property>
  <property fmtid="{D5CDD505-2E9C-101B-9397-08002B2CF9AE}" pid="417" name="erb.formula.ProcedureExecutions.HasAbandonedFailures">
    <vt:lpwstr>AD2 &gt; 0</vt:lpwstr>
  </property>
  <property fmtid="{D5CDD505-2E9C-101B-9397-08002B2CF9AE}" pid="418" name="erb.formula.ProcedureExecutions.MishandledRefusalCount">
    <vt:lpwstr>COUNTIFS(SendIntents!AZ2:AZ999, A2)</vt:lpwstr>
  </property>
  <property fmtid="{D5CDD505-2E9C-101B-9397-08002B2CF9AE}" pid="419" name="erb.formula.ProcedureExecutions.UncleanStepCount">
    <vt:lpwstr>COUNTIFS(StepExecutions!BR2:BR999, A2)</vt:lpwstr>
  </property>
  <property fmtid="{D5CDD505-2E9C-101B-9397-08002B2CF9AE}" pid="420" name="erb.formula.ProcedureExecutions.RanClean">
    <vt:lpwstr>AI2 = 0</vt:lpwstr>
  </property>
  <property fmtid="{D5CDD505-2E9C-101B-9397-08002B2CF9AE}" pid="421" name="erb.formula.ProcedureExecutions.CountOfApprovalExecutions">
    <vt:lpwstr>COUNTIFS(StepExecutions!BZ2:BZ999, TRUE)</vt:lpwstr>
  </property>
  <property fmtid="{D5CDD505-2E9C-101B-9397-08002B2CF9AE}" pid="422" name="erb.formula.ProcedureExecutions.HasHumanApproval">
    <vt:lpwstr>AK2 &gt; 0</vt:lpwstr>
  </property>
  <property fmtid="{D5CDD505-2E9C-101B-9397-08002B2CF9AE}" pid="423" name="erb.formula.ProcedureExecutions.CountOfDeliveryExecutions">
    <vt:lpwstr>COUNTIFS(StepExecutions!D2:D999, "policy-07")</vt:lpwstr>
  </property>
  <property fmtid="{D5CDD505-2E9C-101B-9397-08002B2CF9AE}" pid="424" name="erb.formula.ProcedureExecutions.HasDelivered">
    <vt:lpwstr>AM2 &gt; 0</vt:lpwstr>
  </property>
  <property fmtid="{D5CDD505-2E9C-101B-9397-08002B2CF9AE}" pid="425" name="erb.formula.ProcedureExecutions.DeliveredWithoutApproval">
    <vt:lpwstr>AND(AN2, NOT(AL2))</vt:lpwstr>
  </property>
  <property fmtid="{D5CDD505-2E9C-101B-9397-08002B2CF9AE}" pid="426" name="erb.formula.ProcedureExecutions.InvalidApprovalCount">
    <vt:lpwstr>COUNTIFS(RequirementSatisfactions!Z2:Z999, A2)</vt:lpwstr>
  </property>
  <property fmtid="{D5CDD505-2E9C-101B-9397-08002B2CF9AE}" pid="427" name="erb.formula.ProcedureExecutions.ApprovalChainIsComplete">
    <vt:lpwstr>AP2 = 0</vt:lpwstr>
  </property>
  <property fmtid="{D5CDD505-2E9C-101B-9397-08002B2CF9AE}" pid="428" name="erb.formula.ProcedureExecutions.VacuouslyCleanStepCount">
    <vt:lpwstr>COUNTIFS(StepExecutions!CT2:CT999, A2)</vt:lpwstr>
  </property>
  <property fmtid="{D5CDD505-2E9C-101B-9397-08002B2CF9AE}" pid="429" name="erb.formula.ProcedureExecutions.PreparationStepCount">
    <vt:lpwstr>COUNTIFS(StepExecutions!CW2:CW999, A2)</vt:lpwstr>
  </property>
  <property fmtid="{D5CDD505-2E9C-101B-9397-08002B2CF9AE}" pid="430" name="erb.formula.ProcedureExecutions.ApprovalStepCount">
    <vt:lpwstr>COUNTIFS(StepExecutions!CX2:CX999, A2)</vt:lpwstr>
  </property>
  <property fmtid="{D5CDD505-2E9C-101B-9397-08002B2CF9AE}" pid="431" name="erb.formula.ProcedureExecutions.SeparationWasTestable">
    <vt:lpwstr>AND(AS2 &gt; 0, AT2 &gt; 0)</vt:lpwstr>
  </property>
  <property fmtid="{D5CDD505-2E9C-101B-9397-08002B2CF9AE}" pid="432" name="erb.formula.ProcedureExecutions.SeparationHeldUnderTest">
    <vt:lpwstr>AND(AU2, R2)</vt:lpwstr>
  </property>
  <property fmtid="{D5CDD505-2E9C-101B-9397-08002B2CF9AE}" pid="433" name="erb.formula.ProcedureExecutions.SeparationIsVacuouslyGreen">
    <vt:lpwstr>AND(R2, NOT(AU2))</vt:lpwstr>
  </property>
  <property fmtid="{D5CDD505-2E9C-101B-9397-08002B2CF9AE}" pid="434" name="erb.formula.ProcedureExecutions.SeparationAssuranceNote">
    <vt:lpwstr>IF(S2 &gt; 0, "Violated: same agent prepared and approved.", IF(AW2, "Not tested: this run had no preparation/approval pair.", "Held under test."))</vt:lpwstr>
  </property>
  <property fmtid="{D5CDD505-2E9C-101B-9397-08002B2CF9AE}" pid="435" name="erb.formula.ProcedureExecutions.UngovernedDivergenceCount">
    <vt:lpwstr>COUNTIFS(StepExecutions!DC2:DC999, A2)</vt:lpwstr>
  </property>
  <property fmtid="{D5CDD505-2E9C-101B-9397-08002B2CF9AE}" pid="436" name="erb.formula.ProcedureExecutions.DivergenceWasFullyGoverned">
    <vt:lpwstr>AND(O2, AY2 = 0)</vt:lpwstr>
  </property>
  <property fmtid="{D5CDD505-2E9C-101B-9397-08002B2CF9AE}" pid="437" name="erb.formula.ProcedureExecutions.ComputedlyWitnessedControlCount">
    <vt:lpwstr>COUNTIFS(RequirementSatisfactions!AO2:AO999, A2)</vt:lpwstr>
  </property>
  <property fmtid="{D5CDD505-2E9C-101B-9397-08002B2CF9AE}" pid="438" name="erb.formula.ProcedureExecutions.EvaluatedControlCount">
    <vt:lpwstr>BA2 + X2</vt:lpwstr>
  </property>
  <property fmtid="{D5CDD505-2E9C-101B-9397-08002B2CF9AE}" pid="439" name="erb.formula.ProcedureExecutions.ComputedAssuranceRatio">
    <vt:lpwstr>IF(BB2 = 0, 0, BA2 / BB2)</vt:lpwstr>
  </property>
  <property fmtid="{D5CDD505-2E9C-101B-9397-08002B2CF9AE}" pid="440" name="erb.formula.ProcedureExecutions.InterestedPartyAssertionCount">
    <vt:lpwstr>COUNTIFS(RequirementSatisfactions!AM2:AM999, A2)</vt:lpwstr>
  </property>
  <property fmtid="{D5CDD505-2E9C-101B-9397-08002B2CF9AE}" pid="441" name="erb.formula.ProcedureExecutions.AssuranceGrade#1">
    <vt:lpwstr>IF(BB2 = 0, "None: no blocking control was evaluated.", IF(BD2 &gt; 0, "Weak: at least one control rests on an interested-party assertion.", IF(BC2 &lt; 0.5, "Thin: most controls rest on human assertion.", IF(BC2 &lt; 1, "Mixed: computed and asserted controls</vt:lpwstr>
  </property>
  <property fmtid="{D5CDD505-2E9C-101B-9397-08002B2CF9AE}" pid="442" name="erb.formula.ProcedureExecutions.AssuranceGrade#2">
    <vt:lpwstr>.", "Computed: every evaluated control has a witness."))))</vt:lpwstr>
  </property>
  <property fmtid="{D5CDD505-2E9C-101B-9397-08002B2CF9AE}" pid="443" name="erb.formula.ProcedureExecutions.AttestationWouldBeWeaklyBased">
    <vt:lpwstr>AND(T2, OR(BD2 &gt; 0, BC2 &lt; 0.5))</vt:lpwstr>
  </property>
  <property fmtid="{D5CDD505-2E9C-101B-9397-08002B2CF9AE}" pid="444" name="erb.formula.ProcedureExecutions.IndependentHumanObservationCount">
    <vt:lpwstr>COUNTIFS(VerificationOutcomes!X2:X999, A2)</vt:lpwstr>
  </property>
  <property fmtid="{D5CDD505-2E9C-101B-9397-08002B2CF9AE}" pid="445" name="erb.formula.ProcedureExecutions.HasAnyIndependentObservation">
    <vt:lpwstr>BG2 &gt; 0</vt:lpwstr>
  </property>
  <property fmtid="{D5CDD505-2E9C-101B-9397-08002B2CF9AE}" pid="446" name="erb.formula.ProcedureExecutions.SelfAttestedApprovalCount">
    <vt:lpwstr>COUNTIFS(StepExecutions!DD2:DD999, A2)</vt:lpwstr>
  </property>
  <property fmtid="{D5CDD505-2E9C-101B-9397-08002B2CF9AE}" pid="447" name="erb.formula.ProcedureExecutions.AssuranceChainIsCircular">
    <vt:lpwstr>AND(BI2 &gt; 0, NOT(BH2))</vt:lpwstr>
  </property>
  <property fmtid="{D5CDD505-2E9C-101B-9397-08002B2CF9AE}" pid="448" name="erb.formula.ProcedureExecutions.LatestAttestationInstant">
    <vt:lpwstr>MAXIFS(Attestations!E2:E999,Attestations!C2:C999, A2)</vt:lpwstr>
  </property>
  <property fmtid="{D5CDD505-2E9C-101B-9397-08002B2CF9AE}" pid="449" name="erb.formula.ProcedureExecutions.HasBeenAttested">
    <vt:lpwstr>BM2 &gt; 0</vt:lpwstr>
  </property>
  <property fmtid="{D5CDD505-2E9C-101B-9397-08002B2CF9AE}" pid="450" name="erb.formula.ProcedureExecutions.AttestationCount">
    <vt:lpwstr>COUNTIFS(Attestations!C2:C999, A2)</vt:lpwstr>
  </property>
  <property fmtid="{D5CDD505-2E9C-101B-9397-08002B2CF9AE}" pid="451" name="erb.formula.ProcedureExecutions.PostAttestationScoreCount">
    <vt:lpwstr>COUNTIFS(RequirementSatisfactions!AS2:AS999, A2)</vt:lpwstr>
  </property>
  <property fmtid="{D5CDD505-2E9C-101B-9397-08002B2CF9AE}" pid="452" name="erb.formula.ProcedureExecutions.BasisChangedAfterSignature">
    <vt:lpwstr>AND(BL2, BN2 &gt; 0)</vt:lpwstr>
  </property>
  <property fmtid="{D5CDD505-2E9C-101B-9397-08002B2CF9AE}" pid="453" name="erb.formula.ProcedureExecutions.RequiresReAttestation">
    <vt:lpwstr>AND(BO2, NOT(T2))</vt:lpwstr>
  </property>
  <property fmtid="{D5CDD505-2E9C-101B-9397-08002B2CF9AE}" pid="454" name="erb.formula.ProcedureExecutions.IntendedRecipientCount">
    <vt:lpwstr>COUNTIFS(SendIntents!BA2:BA999, A2)</vt:lpwstr>
  </property>
  <property fmtid="{D5CDD505-2E9C-101B-9397-08002B2CF9AE}" pid="455" name="erb.formula.ProcedureExecutions.ReachedRecipientCount">
    <vt:lpwstr>COUNTIFS(SendIntents!BB2:BB999, A2)</vt:lpwstr>
  </property>
  <property fmtid="{D5CDD505-2E9C-101B-9397-08002B2CF9AE}" pid="456" name="erb.formula.ProcedureExecutions.SilentlyDroppedCount">
    <vt:lpwstr>COUNTIFS(SendIntents!BC2:BC999, A2)</vt:lpwstr>
  </property>
  <property fmtid="{D5CDD505-2E9C-101B-9397-08002B2CF9AE}" pid="457" name="erb.formula.ProcedureExecutions.DeliveryYieldPercent">
    <vt:lpwstr>IF(BQ2 &gt; 0, BR2 * 100 / BQ2, 0)</vt:lpwstr>
  </property>
  <property fmtid="{D5CDD505-2E9C-101B-9397-08002B2CF9AE}" pid="458" name="erb.formula.ProcedureExecutions.CampaignSilentlyLostAudience">
    <vt:lpwstr>(BS2 &gt; 0)</vt:lpwstr>
  </property>
  <property fmtid="{D5CDD505-2E9C-101B-9397-08002B2CF9AE}" pid="459" name="erb.formula.ProcedureExecutions.UnrecordedRefusalCount">
    <vt:lpwstr>COUNTIFS(SendIntents!BZ2:BZ999, A2)</vt:lpwstr>
  </property>
  <property fmtid="{D5CDD505-2E9C-101B-9397-08002B2CF9AE}" pid="460" name="erb.formula.ProcedureExecutions.HasUnrecordedRefusals">
    <vt:lpwstr>(BV2 &gt; 0)</vt:lpwstr>
  </property>
  <property fmtid="{D5CDD505-2E9C-101B-9397-08002B2CF9AE}" pid="461" name="erb.formula.ProcedureExecutions.IndependentlyConfirmedIntentCount">
    <vt:lpwstr>COUNTIFS(SendIntents!CU2:CU999, A2)</vt:lpwstr>
  </property>
  <property fmtid="{D5CDD505-2E9C-101B-9397-08002B2CF9AE}" pid="462" name="erb.formula.ProcedureExecutions.SendDecisionsAreEntirelySelfWitnessed">
    <vt:lpwstr>AND(BQ2 &gt; 0, BX2 = 0)</vt:lpwstr>
  </property>
  <property fmtid="{D5CDD505-2E9C-101B-9397-08002B2CF9AE}" pid="463" name="erb.table.ProcedureExecutions.description">
    <vt:lpwstr>Concrete enactments of procedure specifications. Maps to pko:ProcedureExecution and remains separate from ProcedureVersions.</vt:lpwstr>
  </property>
  <property fmtid="{D5CDD505-2E9C-101B-9397-08002B2CF9AE}" pid="464" name="erb.formula.StepExecutions.Name">
    <vt:lpwstr>C2 &amp; " / " &amp; D2</vt:lpwstr>
  </property>
  <property fmtid="{D5CDD505-2E9C-101B-9397-08002B2CF9AE}" pid="465" name="erb.formula.StepExecutions.ActualDurationMinutes">
    <vt:lpwstr>IF(H2 = "", 0, DATETIME_DIFF(H2, G2, "minutes"))</vt:lpwstr>
  </property>
  <property fmtid="{D5CDD505-2E9C-101B-9397-08002B2CF9AE}" pid="466" name="erb.formula.StepExecutions.ExpectedDurationMinutes">
    <vt:lpwstr>IFNA(INDEX(Steps!K2:K999, MATCH(D2,Steps!A2:A999, 0)), "")</vt:lpwstr>
  </property>
  <property fmtid="{D5CDD505-2E9C-101B-9397-08002B2CF9AE}" pid="467" name="erb.formula.StepExecutions.IsLate">
    <vt:lpwstr>K2 &gt; L2</vt:lpwstr>
  </property>
  <property fmtid="{D5CDD505-2E9C-101B-9397-08002B2CF9AE}" pid="468" name="erb.formula.StepExecutions.BlockingUnmetCount">
    <vt:lpwstr>COUNTIFS(RequirementSatisfactions!C2:C999, A2,RequirementSatisfactions!K2:K999, TRUE)</vt:lpwstr>
  </property>
  <property fmtid="{D5CDD505-2E9C-101B-9397-08002B2CF9AE}" pid="469" name="erb.formula.StepExecutions.BlockingUnmetCountSafe">
    <vt:lpwstr>COUNTIFS(RequirementSatisfactions!L2:L999, A2)</vt:lpwstr>
  </property>
  <property fmtid="{D5CDD505-2E9C-101B-9397-08002B2CF9AE}" pid="470" name="erb.formula.StepExecutions.ProceededPastBlockingControl">
    <vt:lpwstr>AND(F2 = "Completed", O2 &gt; 0)</vt:lpwstr>
  </property>
  <property fmtid="{D5CDD505-2E9C-101B-9397-08002B2CF9AE}" pid="471" name="erb.formula.StepExecutions.ExpectedBlockingCount">
    <vt:lpwstr>IFNA(INDEX(Steps!N2:N999, MATCH(D2,Steps!A2:A999, 0)), "")</vt:lpwstr>
  </property>
  <property fmtid="{D5CDD505-2E9C-101B-9397-08002B2CF9AE}" pid="472" name="erb.formula.StepExecutions.EvaluatedBlockingCount">
    <vt:lpwstr>COUNTIFS(RequirementSatisfactions!M2:M999, A2)</vt:lpwstr>
  </property>
  <property fmtid="{D5CDD505-2E9C-101B-9397-08002B2CF9AE}" pid="473" name="erb.formula.StepExecutions.UnevaluatedBlockingCount">
    <vt:lpwstr>Q2 - R2</vt:lpwstr>
  </property>
  <property fmtid="{D5CDD505-2E9C-101B-9397-08002B2CF9AE}" pid="474" name="erb.formula.StepExecutions.HasUnevaluatedBlockingControl">
    <vt:lpwstr>S2 &gt; 0</vt:lpwstr>
  </property>
  <property fmtid="{D5CDD505-2E9C-101B-9397-08002B2CF9AE}" pid="475" name="erb.formula.StepExecutions.StaleAuthoritativeSourceCount">
    <vt:lpwstr>IFNA(INDEX(Steps!P2:P999, MATCH(D2,Steps!A2:A999, 0)), "")</vt:lpwstr>
  </property>
  <property fmtid="{D5CDD505-2E9C-101B-9397-08002B2CF9AE}" pid="476" name="erb.formula.StepExecutions.RanOnStaleAuthoritativeSource">
    <vt:lpwstr>U2 &gt; 0</vt:lpwstr>
  </property>
  <property fmtid="{D5CDD505-2E9C-101B-9397-08002B2CF9AE}" pid="477" name="erb.formula.StepExecutions.HasDeviationNote">
    <vt:lpwstr>J2 &lt;&gt; ""</vt:lpwstr>
  </property>
  <property fmtid="{D5CDD505-2E9C-101B-9397-08002B2CF9AE}" pid="478" name="erb.formula.StepExecutions.IsLateAndUnexplained">
    <vt:lpwstr>AND(M2, NOT(W2))</vt:lpwstr>
  </property>
  <property fmtid="{D5CDD505-2E9C-101B-9397-08002B2CF9AE}" pid="479" name="erb.formula.StepExecutions.AvailableExceptionCountForStep">
    <vt:lpwstr>IFNA(INDEX(Steps!Q2:Q999, MATCH(D2,Steps!A2:A999, 0)), "")</vt:lpwstr>
  </property>
  <property fmtid="{D5CDD505-2E9C-101B-9397-08002B2CF9AE}" pid="480" name="erb.formula.StepExecutions.HadUninvokedExceptionAvailable">
    <vt:lpwstr>AND(X2, Y2 &gt; 0)</vt:lpwstr>
  </property>
  <property fmtid="{D5CDD505-2E9C-101B-9397-08002B2CF9AE}" pid="481" name="erb.formula.StepExecutions.ExpectedVerificationCount">
    <vt:lpwstr>IFNA(INDEX(Steps!R2:R999, MATCH(D2,Steps!A2:A999, 0)), "")</vt:lpwstr>
  </property>
  <property fmtid="{D5CDD505-2E9C-101B-9397-08002B2CF9AE}" pid="482" name="erb.formula.StepExecutions.PerformedVerificationCount">
    <vt:lpwstr>COUNTIFS(VerificationOutcomes!C2:C999, A2)</vt:lpwstr>
  </property>
  <property fmtid="{D5CDD505-2E9C-101B-9397-08002B2CF9AE}" pid="483" name="erb.formula.StepExecutions.SkippedVerificationCount">
    <vt:lpwstr>AA2 - AB2</vt:lpwstr>
  </property>
  <property fmtid="{D5CDD505-2E9C-101B-9397-08002B2CF9AE}" pid="484" name="erb.formula.StepExecutions.HasSkippedVerification">
    <vt:lpwstr>AC2 &gt; 0</vt:lpwstr>
  </property>
  <property fmtid="{D5CDD505-2E9C-101B-9397-08002B2CF9AE}" pid="485" name="erb.formula.StepExecutions.ClaimsPassWithoutEvidence">
    <vt:lpwstr>AND(I2 = "PASS", AD2)</vt:lpwstr>
  </property>
  <property fmtid="{D5CDD505-2E9C-101B-9397-08002B2CF9AE}" pid="486" name="erb.formula.StepExecutions.StepIsPreparation">
    <vt:lpwstr>IFNA(INDEX(Steps!S2:S999, MATCH(D2,Steps!A2:A999, 0)), "")</vt:lpwstr>
  </property>
  <property fmtid="{D5CDD505-2E9C-101B-9397-08002B2CF9AE}" pid="487" name="erb.formula.StepExecutions.StepIsApproval">
    <vt:lpwstr>IFNA(INDEX(Steps!T2:T999, MATCH(D2,Steps!A2:A999, 0)), "")</vt:lpwstr>
  </property>
  <property fmtid="{D5CDD505-2E9C-101B-9397-08002B2CF9AE}" pid="488" name="erb.formula.StepExecutions.PreparerAgentKey">
    <vt:lpwstr>IF(AF2, C2 &amp; "|" &amp; E2, "")</vt:lpwstr>
  </property>
  <property fmtid="{D5CDD505-2E9C-101B-9397-08002B2CF9AE}" pid="489" name="erb.formula.StepExecutions.ApproverAgentKey">
    <vt:lpwstr>IF(AG2, C2 &amp; "|" &amp; E2, "")</vt:lpwstr>
  </property>
  <property fmtid="{D5CDD505-2E9C-101B-9397-08002B2CF9AE}" pid="490" name="erb.formula.StepExecutions.PreparedByThisAgentCount">
    <vt:lpwstr>COUNTIFS(AH2:AH999, AI2)</vt:lpwstr>
  </property>
  <property fmtid="{D5CDD505-2E9C-101B-9397-08002B2CF9AE}" pid="491" name="erb.formula.StepExecutions.ViolatesSeparationOfDuties">
    <vt:lpwstr>AND(AG2, AJ2 &gt; 0)</vt:lpwstr>
  </property>
  <property fmtid="{D5CDD505-2E9C-101B-9397-08002B2CF9AE}" pid="492" name="erb.formula.StepExecutions.RequiredRoleForStep">
    <vt:lpwstr>IFNA(INDEX(Steps!G2:G999, MATCH(D2,Steps!A2:A999, 0)), "")</vt:lpwstr>
  </property>
  <property fmtid="{D5CDD505-2E9C-101B-9397-08002B2CF9AE}" pid="493" name="erb.formula.StepExecutions.ExecutorRoleKey">
    <vt:lpwstr>E2 &amp; "|" &amp; AL2</vt:lpwstr>
  </property>
  <property fmtid="{D5CDD505-2E9C-101B-9397-08002B2CF9AE}" pid="494" name="erb.formula.StepExecutions.ExecutorAuthorityCount">
    <vt:lpwstr>COUNTIFS(RoleAssignments!N2:N999, AM2)</vt:lpwstr>
  </property>
  <property fmtid="{D5CDD505-2E9C-101B-9397-08002B2CF9AE}" pid="495" name="erb.formula.StepExecutions.ExecutorHeldRequiredRole">
    <vt:lpwstr>AN2 &gt; 0</vt:lpwstr>
  </property>
  <property fmtid="{D5CDD505-2E9C-101B-9397-08002B2CF9AE}" pid="496" name="erb.formula.StepExecutions.IsUnauthorizedApproval">
    <vt:lpwstr>AND(AG2, NOT(AO2))</vt:lpwstr>
  </property>
  <property fmtid="{D5CDD505-2E9C-101B-9397-08002B2CF9AE}" pid="497" name="erb.formula.StepExecutions.CompletedExecutionKey">
    <vt:lpwstr>IF(F2 = "Completed", C2, "")</vt:lpwstr>
  </property>
  <property fmtid="{D5CDD505-2E9C-101B-9397-08002B2CF9AE}" pid="498" name="erb.formula.StepExecutions.ControlBreachExecutionKey">
    <vt:lpwstr>IF(OR(P2, AK2, AP2, AE2), C2, "")</vt:lpwstr>
  </property>
  <property fmtid="{D5CDD505-2E9C-101B-9397-08002B2CF9AE}" pid="499" name="erb.formula.StepExecutions.LateExecutionKey">
    <vt:lpwstr>IF(M2, C2, "")</vt:lpwstr>
  </property>
  <property fmtid="{D5CDD505-2E9C-101B-9397-08002B2CF9AE}" pid="500" name="erb.formula.StepExecutions.ExecutorAgentKind">
    <vt:lpwstr>IFNA(INDEX(Agents!D2:D999, MATCH(E2,Agents!A2:A999, 0)), "")</vt:lpwstr>
  </property>
  <property fmtid="{D5CDD505-2E9C-101B-9397-08002B2CF9AE}" pid="501" name="erb.formula.StepExecutions.ExecutorIsHuman">
    <vt:lpwstr>AT2 = "Human"</vt:lpwstr>
  </property>
  <property fmtid="{D5CDD505-2E9C-101B-9397-08002B2CF9AE}" pid="502" name="erb.formula.StepExecutions.StepRequiresHumanConfirmation">
    <vt:lpwstr>IFNA(INDEX(Steps!M2:M999, MATCH(D2,Steps!A2:A999, 0)), "")</vt:lpwstr>
  </property>
  <property fmtid="{D5CDD505-2E9C-101B-9397-08002B2CF9AE}" pid="503" name="erb.formula.StepExecutions.NonHumanRanHumanStep">
    <vt:lpwstr>AND(AV2, NOT(AU2))</vt:lpwstr>
  </property>
  <property fmtid="{D5CDD505-2E9C-101B-9397-08002B2CF9AE}" pid="504" name="erb.formula.StepExecutions.NonHumanApproval">
    <vt:lpwstr>AND(AG2, NOT(AU2))</vt:lpwstr>
  </property>
  <property fmtid="{D5CDD505-2E9C-101B-9397-08002B2CF9AE}" pid="505" name="erb.formula.StepExecutions.UnevaluatedBlockingExecutionKey">
    <vt:lpwstr>IF(T2, C2, "")</vt:lpwstr>
  </property>
  <property fmtid="{D5CDD505-2E9C-101B-9397-08002B2CF9AE}" pid="506" name="erb.formula.StepExecutions.SeparationViolationExecutionKey">
    <vt:lpwstr>IF(AK2, C2, "")</vt:lpwstr>
  </property>
  <property fmtid="{D5CDD505-2E9C-101B-9397-08002B2CF9AE}" pid="507" name="erb.formula.StepExecutions.SelfWitnessedVerificationCount">
    <vt:lpwstr>COUNTIFS(VerificationOutcomes!P2:P999, A2)</vt:lpwstr>
  </property>
  <property fmtid="{D5CDD505-2E9C-101B-9397-08002B2CF9AE}" pid="508" name="erb.formula.StepExecutions.UnbackedVerificationCount">
    <vt:lpwstr>COUNTIFS(VerificationOutcomes!Q2:Q999, A2)</vt:lpwstr>
  </property>
  <property fmtid="{D5CDD505-2E9C-101B-9397-08002B2CF9AE}" pid="509" name="erb.formula.StepExecutions.ApprovalRestsOnSelfAttestation">
    <vt:lpwstr>AND(AG2, OR(BA2 &gt; 0, AD2))</vt:lpwstr>
  </property>
  <property fmtid="{D5CDD505-2E9C-101B-9397-08002B2CF9AE}" pid="510" name="erb.formula.StepExecutions.ExceptionInvocationCount">
    <vt:lpwstr>COUNTIFS(ExceptionInvocations!C2:C999, A2)</vt:lpwstr>
  </property>
  <property fmtid="{D5CDD505-2E9C-101B-9397-08002B2CF9AE}" pid="511" name="erb.formula.StepExecutions.RanUnderException">
    <vt:lpwstr>BD2 &gt; 0</vt:lpwstr>
  </property>
  <property fmtid="{D5CDD505-2E9C-101B-9397-08002B2CF9AE}" pid="512" name="erb.formula.StepExecutions.IsCompleted">
    <vt:lpwstr>F2 = "Completed"</vt:lpwstr>
  </property>
  <property fmtid="{D5CDD505-2E9C-101B-9397-08002B2CF9AE}" pid="513" name="erb.formula.StepExecutions.IsVerificationPassed">
    <vt:lpwstr>I2 = "PASS"</vt:lpwstr>
  </property>
  <property fmtid="{D5CDD505-2E9C-101B-9397-08002B2CF9AE}" pid="514" name="erb.formula.StepExecutions.IsLegalReviewStep">
    <vt:lpwstr>D2 = "policy-04"</vt:lpwstr>
  </property>
  <property fmtid="{D5CDD505-2E9C-101B-9397-08002B2CF9AE}" pid="515" name="erb.formula.StepExecutions.ClearedLegalReviewKey">
    <vt:lpwstr>IF(AND(BH2, BG2), C2, "")</vt:lpwstr>
  </property>
  <property fmtid="{D5CDD505-2E9C-101B-9397-08002B2CF9AE}" pid="516" name="erb.formula.StepExecutions.AssignedRole">
    <vt:lpwstr>IFNA(INDEX(Steps!G2:G999, MATCH(D2,Steps!A2:A999, 0)), "")</vt:lpwstr>
  </property>
  <property fmtid="{D5CDD505-2E9C-101B-9397-08002B2CF9AE}" pid="517" name="erb.formula.StepExecutions.RoleCurrentAgent">
    <vt:lpwstr>IFNA(INDEX(Roles!E2:E999, MATCH(BJ2,Roles!A2:A999, 0)), "")</vt:lpwstr>
  </property>
  <property fmtid="{D5CDD505-2E9C-101B-9397-08002B2CF9AE}" pid="518" name="erb.formula.StepExecutions.ExecutorIsDesignatedAgent">
    <vt:lpwstr>E2 = BK2</vt:lpwstr>
  </property>
  <property fmtid="{D5CDD505-2E9C-101B-9397-08002B2CF9AE}" pid="519" name="erb.formula.StepExecutions.InputsWereFreshAtRun">
    <vt:lpwstr>IFNA(INDEX(Steps!V2:V999, MATCH(D2,Steps!A2:A999, 0)), "")</vt:lpwstr>
  </property>
  <property fmtid="{D5CDD505-2E9C-101B-9397-08002B2CF9AE}" pid="520" name="erb.formula.StepExecutions.RanOnStaleInputs">
    <vt:lpwstr>AND(F2 = "Completed", NOT(BM2))</vt:lpwstr>
  </property>
  <property fmtid="{D5CDD505-2E9C-101B-9397-08002B2CF9AE}" pid="521" name="erb.formula.StepExecutions.UnresolvedIssueCount">
    <vt:lpwstr>COUNTIFS(IssueOccurrences!K2:K999, A2)</vt:lpwstr>
  </property>
  <property fmtid="{D5CDD505-2E9C-101B-9397-08002B2CF9AE}" pid="522" name="erb.formula.StepExecutions.HasDeviation">
    <vt:lpwstr>J2 &lt;&gt; ""</vt:lpwstr>
  </property>
  <property fmtid="{D5CDD505-2E9C-101B-9397-08002B2CF9AE}" pid="523" name="erb.formula.StepExecutions.IsClean">
    <vt:lpwstr>AND(I2 = "PASS", NOT(BP2), BO2 = 0, NOT(M2))</vt:lpwstr>
  </property>
  <property fmtid="{D5CDD505-2E9C-101B-9397-08002B2CF9AE}" pid="524" name="erb.formula.StepExecutions.ProcedureExecutionWhenUnclean">
    <vt:lpwstr>IF(BQ2, "", C2)</vt:lpwstr>
  </property>
  <property fmtid="{D5CDD505-2E9C-101B-9397-08002B2CF9AE}" pid="525" name="erb.formula.StepExecutions.EvaluatedRequirementCount">
    <vt:lpwstr>COUNTIFS(RequirementSatisfactions!U2:U999, A2)</vt:lpwstr>
  </property>
  <property fmtid="{D5CDD505-2E9C-101B-9397-08002B2CF9AE}" pid="526" name="erb.formula.StepExecutions.RequiredBlockingCount">
    <vt:lpwstr>IFNA(INDEX(Steps!N2:N999, MATCH(D2,Steps!A2:A999, 0)), "")</vt:lpwstr>
  </property>
  <property fmtid="{D5CDD505-2E9C-101B-9397-08002B2CF9AE}" pid="527" name="erb.formula.StepExecutions.HasUnevaluatedBlockingRequirement">
    <vt:lpwstr>BS2 &lt; BT2</vt:lpwstr>
  </property>
  <property fmtid="{D5CDD505-2E9C-101B-9397-08002B2CF9AE}" pid="528" name="erb.formula.StepExecutions.ExecutingAgentKind">
    <vt:lpwstr>IFNA(INDEX(Agents!D2:D999, MATCH(E2,Agents!A2:A999, 0)), "")</vt:lpwstr>
  </property>
  <property fmtid="{D5CDD505-2E9C-101B-9397-08002B2CF9AE}" pid="529" name="erb.formula.StepExecutions.WasExecutedBySoftware">
    <vt:lpwstr>OR(BV2 = "AIAgent", BV2 = "AutomatedPipeline")</vt:lpwstr>
  </property>
  <property fmtid="{D5CDD505-2E9C-101B-9397-08002B2CF9AE}" pid="530" name="erb.formula.StepExecutions.StepIsSoftwareAssigned">
    <vt:lpwstr>IFNA(INDEX(Steps!W2:W999, MATCH(D2,Steps!A2:A999, 0)), "")</vt:lpwstr>
  </property>
  <property fmtid="{D5CDD505-2E9C-101B-9397-08002B2CF9AE}" pid="531" name="erb.formula.StepExecutions.SoftwareDidHumanWork">
    <vt:lpwstr>AND(BW2, NOT(BX2))</vt:lpwstr>
  </property>
  <property fmtid="{D5CDD505-2E9C-101B-9397-08002B2CF9AE}" pid="532" name="erb.formula.StepExecutions.IsApprovalExecution">
    <vt:lpwstr>IFNA(INDEX(Steps!X2:X999, MATCH(D2,Steps!A2:A999, 0)), "")</vt:lpwstr>
  </property>
  <property fmtid="{D5CDD505-2E9C-101B-9397-08002B2CF9AE}" pid="533" name="erb.formula.StepExecutions.IsVerified">
    <vt:lpwstr>AND(I2 &lt;&gt; "", I2 &lt;&gt; "PENDING", I2 &lt;&gt; "FAIL")</vt:lpwstr>
  </property>
  <property fmtid="{D5CDD505-2E9C-101B-9397-08002B2CF9AE}" pid="534" name="erb.formula.StepExecutions.UnconfirmedNonHumanDecisionCount">
    <vt:lpwstr>COUNTIFS(AgentDecisionRecords!AA2:AA999, A2)</vt:lpwstr>
  </property>
  <property fmtid="{D5CDD505-2E9C-101B-9397-08002B2CF9AE}" pid="535" name="erb.formula.StepExecutions.RequiresHumanConfirmation">
    <vt:lpwstr>IFNA(INDEX(Steps!M2:M999, MATCH(D2,Steps!A2:A999, 0)), "")</vt:lpwstr>
  </property>
  <property fmtid="{D5CDD505-2E9C-101B-9397-08002B2CF9AE}" pid="536" name="erb.formula.StepExecutions.HumanConfirmationMissing">
    <vt:lpwstr>AND(CC2, CB2 &gt; 0)</vt:lpwstr>
  </property>
  <property fmtid="{D5CDD505-2E9C-101B-9397-08002B2CF9AE}" pid="537" name="erb.formula.StepExecutions.DraftedFromUnusableSource">
    <vt:lpwstr>AND(F2 = "Completed", NOT(CF2))</vt:lpwstr>
  </property>
  <property fmtid="{D5CDD505-2E9C-101B-9397-08002B2CF9AE}" pid="538" name="erb.formula.StepExecutions.InputsWereUsable">
    <vt:lpwstr>IFNA(INDEX(Steps!AC2:AC999, MATCH(D2,Steps!A2:A999, 0)), "")</vt:lpwstr>
  </property>
  <property fmtid="{D5CDD505-2E9C-101B-9397-08002B2CF9AE}" pid="539" name="erb.formula.StepExecutions.SoftwareExecutionStepKey">
    <vt:lpwstr>IF(BW2, D2, "")</vt:lpwstr>
  </property>
  <property fmtid="{D5CDD505-2E9C-101B-9397-08002B2CF9AE}" pid="540" name="erb.formula.StepExecutions.StepControlKind">
    <vt:lpwstr>IFNA(INDEX(Steps!AD2:AD999, MATCH(D2,Steps!A2:A999, 0)), "")</vt:lpwstr>
  </property>
  <property fmtid="{D5CDD505-2E9C-101B-9397-08002B2CF9AE}" pid="541" name="erb.formula.StepExecutions.UnfalsifiedClearanceCount">
    <vt:lpwstr>COUNTIFS(RequirementSatisfactions!AC2:AC999, A2)</vt:lpwstr>
  </property>
  <property fmtid="{D5CDD505-2E9C-101B-9397-08002B2CF9AE}" pid="542" name="erb.formula.StepExecutions.AllClearancesAreUnfalsified">
    <vt:lpwstr>AND(R2 &gt; 0, CI2 &gt;= R2)</vt:lpwstr>
  </property>
  <property fmtid="{D5CDD505-2E9C-101B-9397-08002B2CF9AE}" pid="543" name="erb.formula.StepExecutions.StaleAtRunCount">
    <vt:lpwstr>COUNTIFS(BindingObservations!K2:K999, A2)</vt:lpwstr>
  </property>
  <property fmtid="{D5CDD505-2E9C-101B-9397-08002B2CF9AE}" pid="544" name="erb.formula.StepExecutions.WasStaleWhenIRanIt">
    <vt:lpwstr>CK2 &gt; 0</vt:lpwstr>
  </property>
  <property fmtid="{D5CDD505-2E9C-101B-9397-08002B2CF9AE}" pid="545" name="erb.formula.StepExecutions.StalenessAnswerIsTenseDependent">
    <vt:lpwstr>NOT(CL2 = V2)</vt:lpwstr>
  </property>
  <property fmtid="{D5CDD505-2E9C-101B-9397-08002B2CF9AE}" pid="546" name="erb.formula.StepExecutions.HasAnyDeclaredCheck">
    <vt:lpwstr>OR(AA2 &gt; 0, Q2 &gt; 0)</vt:lpwstr>
  </property>
  <property fmtid="{D5CDD505-2E9C-101B-9397-08002B2CF9AE}" pid="547" name="erb.formula.StepExecutions.PerformedCheckCount">
    <vt:lpwstr>AB2 + R2</vt:lpwstr>
  </property>
  <property fmtid="{D5CDD505-2E9C-101B-9397-08002B2CF9AE}" pid="548" name="erb.formula.StepExecutions.DeclaredCheckCount">
    <vt:lpwstr>AA2 + Q2</vt:lpwstr>
  </property>
  <property fmtid="{D5CDD505-2E9C-101B-9397-08002B2CF9AE}" pid="549" name="erb.formula.StepExecutions.IsUncheckedByDesign">
    <vt:lpwstr>CP2 = 0</vt:lpwstr>
  </property>
  <property fmtid="{D5CDD505-2E9C-101B-9397-08002B2CF9AE}" pid="550" name="erb.formula.StepExecutions.IsVacuouslyClean">
    <vt:lpwstr>AND(BQ2, CQ2)</vt:lpwstr>
  </property>
  <property fmtid="{D5CDD505-2E9C-101B-9397-08002B2CF9AE}" pid="551" name="erb.formula.StepExecutions.IsSubstantivelyClean">
    <vt:lpwstr>AND(BQ2, CO2 &gt;= CP2, CP2 &gt; 0)</vt:lpwstr>
  </property>
  <property fmtid="{D5CDD505-2E9C-101B-9397-08002B2CF9AE}" pid="552" name="erb.formula.StepExecutions.VacuouslyCleanExecutionKey">
    <vt:lpwstr>IF(CR2, C2, "")</vt:lpwstr>
  </property>
  <property fmtid="{D5CDD505-2E9C-101B-9397-08002B2CF9AE}" pid="553" name="erb.formula.StepExecutions.UncorroboratedPassCount">
    <vt:lpwstr>COUNTIFS(VerificationOutcomes!T2:T999, A2)</vt:lpwstr>
  </property>
  <property fmtid="{D5CDD505-2E9C-101B-9397-08002B2CF9AE}" pid="554" name="erb.formula.StepExecutions.EvidencePositionIsWeak">
    <vt:lpwstr>AND(AB2 &gt; 0, CU2 &gt;= AB2)</vt:lpwstr>
  </property>
  <property fmtid="{D5CDD505-2E9C-101B-9397-08002B2CF9AE}" pid="555" name="erb.formula.StepExecutions.PreparationExecutionKey">
    <vt:lpwstr>IF(AF2, C2, "")</vt:lpwstr>
  </property>
  <property fmtid="{D5CDD505-2E9C-101B-9397-08002B2CF9AE}" pid="556" name="erb.formula.StepExecutions.ApprovalExecutionKey">
    <vt:lpwstr>IF(AG2, C2, "")</vt:lpwstr>
  </property>
  <property fmtid="{D5CDD505-2E9C-101B-9397-08002B2CF9AE}" pid="557" name="erb.formula.StepExecutions.HasGoverningInstrument">
    <vt:lpwstr>OR(BE2, CZ2)</vt:lpwstr>
  </property>
  <property fmtid="{D5CDD505-2E9C-101B-9397-08002B2CF9AE}" pid="558" name="erb.formula.StepExecutions.HasApprovedChangeCoverage">
    <vt:lpwstr>IFNA(INDEX(ProcedureVersions!CB2:CB999, MATCH(DA2,ProcedureVersions!A2:A999, 0)), "")</vt:lpwstr>
  </property>
  <property fmtid="{D5CDD505-2E9C-101B-9397-08002B2CF9AE}" pid="559" name="erb.formula.StepExecutions.VersionOfStep">
    <vt:lpwstr>IFNA(INDEX(Steps!C2:C999, MATCH(D2,Steps!A2:A999, 0)), "")</vt:lpwstr>
  </property>
  <property fmtid="{D5CDD505-2E9C-101B-9397-08002B2CF9AE}" pid="560" name="erb.formula.StepExecutions.IsUngovernedDivergence">
    <vt:lpwstr>AND(OR(BP2, M2, P2), NOT(CY2))</vt:lpwstr>
  </property>
  <property fmtid="{D5CDD505-2E9C-101B-9397-08002B2CF9AE}" pid="561" name="erb.formula.StepExecutions.UngovernedDivergenceExecutionKey">
    <vt:lpwstr>IF(DB2, C2, "")</vt:lpwstr>
  </property>
  <property fmtid="{D5CDD505-2E9C-101B-9397-08002B2CF9AE}" pid="562" name="erb.formula.StepExecutions.SelfAttestedApprovalExecutionKey">
    <vt:lpwstr>IF(BC2, C2, "")</vt:lpwstr>
  </property>
  <property fmtid="{D5CDD505-2E9C-101B-9397-08002B2CF9AE}" pid="563" name="erb.table.StepExecutions.description">
    <vt:lpwstr>Concrete executions of specified steps. Maps to pko:StepExecution, hasExecutedStep, includesStepExecution, and nextStepExecution.</vt:lpwstr>
  </property>
  <property fmtid="{D5CDD505-2E9C-101B-9397-08002B2CF9AE}" pid="564" name="erb.formula.RequirementSatisfactions.Name">
    <vt:lpwstr>D2 &amp; " / " &amp; E2</vt:lpwstr>
  </property>
  <property fmtid="{D5CDD505-2E9C-101B-9397-08002B2CF9AE}" pid="565" name="erb.formula.RequirementSatisfactions.RequirementIsBlocking">
    <vt:lpwstr>IFNA(INDEX(Requirements!G2:G999, MATCH(D2,Requirements!A2:A999, 0)), "")</vt:lpwstr>
  </property>
  <property fmtid="{D5CDD505-2E9C-101B-9397-08002B2CF9AE}" pid="566" name="erb.formula.RequirementSatisfactions.IsFullySatisfied">
    <vt:lpwstr>E2 = "Satisfied"</vt:lpwstr>
  </property>
  <property fmtid="{D5CDD505-2E9C-101B-9397-08002B2CF9AE}" pid="567" name="erb.formula.RequirementSatisfactions.IsBlockingAndUnmet">
    <vt:lpwstr>AND(I2, NOT(J2))</vt:lpwstr>
  </property>
  <property fmtid="{D5CDD505-2E9C-101B-9397-08002B2CF9AE}" pid="568" name="erb.formula.RequirementSatisfactions.BlockingUnmetStepKey">
    <vt:lpwstr>IF(K2, C2, "")</vt:lpwstr>
  </property>
  <property fmtid="{D5CDD505-2E9C-101B-9397-08002B2CF9AE}" pid="569" name="erb.formula.RequirementSatisfactions.BlockingSatisfactionStepKey">
    <vt:lpwstr>IF(I2, C2, "")</vt:lpwstr>
  </property>
  <property fmtid="{D5CDD505-2E9C-101B-9397-08002B2CF9AE}" pid="570" name="erb.formula.RequirementSatisfactions.NegativeOutcomeRequirementKey">
    <vt:lpwstr>IF(NOT(J2), D2, "")</vt:lpwstr>
  </property>
  <property fmtid="{D5CDD505-2E9C-101B-9397-08002B2CF9AE}" pid="571" name="erb.formula.RequirementSatisfactions.EvaluatorAgentKind">
    <vt:lpwstr>IFNA(INDEX(Agents!D2:D999, MATCH(G2,Agents!A2:A999, 0)), "")</vt:lpwstr>
  </property>
  <property fmtid="{D5CDD505-2E9C-101B-9397-08002B2CF9AE}" pid="572" name="erb.formula.RequirementSatisfactions.NonHumanEvaluatedHumanControl">
    <vt:lpwstr>AND(I2, O2 &lt;&gt; "Human")</vt:lpwstr>
  </property>
  <property fmtid="{D5CDD505-2E9C-101B-9397-08002B2CF9AE}" pid="573" name="erb.formula.RequirementSatisfactions.RequirementHasComputedWitness">
    <vt:lpwstr>IFNA(INDEX(Requirements!O2:O999, MATCH(D2,Requirements!A2:A999, 0)), "")</vt:lpwstr>
  </property>
  <property fmtid="{D5CDD505-2E9C-101B-9397-08002B2CF9AE}" pid="574" name="erb.formula.RequirementSatisfactions.IsAssertedOnly">
    <vt:lpwstr>AND(I2, J2, NOT(Q2))</vt:lpwstr>
  </property>
  <property fmtid="{D5CDD505-2E9C-101B-9397-08002B2CF9AE}" pid="575" name="erb.formula.RequirementSatisfactions.AssertedOnlyExecutionKey">
    <vt:lpwstr>IF(R2, T2, "")</vt:lpwstr>
  </property>
  <property fmtid="{D5CDD505-2E9C-101B-9397-08002B2CF9AE}" pid="576" name="erb.formula.RequirementSatisfactions.ParentProcedureExecution">
    <vt:lpwstr>IFNA(INDEX(StepExecutions!C2:C999, MATCH(C2,StepExecutions!A2:A999, 0)), "")</vt:lpwstr>
  </property>
  <property fmtid="{D5CDD505-2E9C-101B-9397-08002B2CF9AE}" pid="577" name="erb.formula.RequirementSatisfactions.StepExecutionWhenScored">
    <vt:lpwstr>IF(E2 &lt;&gt; "", C2, "")</vt:lpwstr>
  </property>
  <property fmtid="{D5CDD505-2E9C-101B-9397-08002B2CF9AE}" pid="578" name="erb.formula.RequirementSatisfactions.IsHumanEvaluated">
    <vt:lpwstr>O2 = "Human"</vt:lpwstr>
  </property>
  <property fmtid="{D5CDD505-2E9C-101B-9397-08002B2CF9AE}" pid="579" name="erb.formula.RequirementSatisfactions.RequirementIsApprovalType">
    <vt:lpwstr>IFNA(INDEX(Requirements!D2:D999, MATCH(D2,Requirements!A2:A999, 0)), "")</vt:lpwstr>
  </property>
  <property fmtid="{D5CDD505-2E9C-101B-9397-08002B2CF9AE}" pid="580" name="erb.formula.RequirementSatisfactions.IsInvalidApproval">
    <vt:lpwstr>AND(W2 = "Approval", OR(NOT(J2), NOT(V2)))</vt:lpwstr>
  </property>
  <property fmtid="{D5CDD505-2E9C-101B-9397-08002B2CF9AE}" pid="581" name="erb.formula.RequirementSatisfactions.ProcedureExecutionOfSatisfaction">
    <vt:lpwstr>IFNA(INDEX(StepExecutions!C2:C999, MATCH(C2,StepExecutions!A2:A999, 0)), "")</vt:lpwstr>
  </property>
  <property fmtid="{D5CDD505-2E9C-101B-9397-08002B2CF9AE}" pid="582" name="erb.formula.RequirementSatisfactions.RunWhenInvalidApproval">
    <vt:lpwstr>IF(X2, Y2, "")</vt:lpwstr>
  </property>
  <property fmtid="{D5CDD505-2E9C-101B-9397-08002B2CF9AE}" pid="583" name="erb.formula.RequirementSatisfactions.RequirementIsUnfalsified">
    <vt:lpwstr>IFNA(INDEX(Requirements!R2:R999, MATCH(D2,Requirements!A2:A999, 0)), "")</vt:lpwstr>
  </property>
  <property fmtid="{D5CDD505-2E9C-101B-9397-08002B2CF9AE}" pid="584" name="erb.formula.RequirementSatisfactions.IsClearanceByUnfalsifiedControl">
    <vt:lpwstr>AND(J2, I2, AA2)</vt:lpwstr>
  </property>
  <property fmtid="{D5CDD505-2E9C-101B-9397-08002B2CF9AE}" pid="585" name="erb.formula.RequirementSatisfactions.UnfalsifiedClearanceStepKey">
    <vt:lpwstr>IF(AB2, C2, "")</vt:lpwstr>
  </property>
  <property fmtid="{D5CDD505-2E9C-101B-9397-08002B2CF9AE}" pid="586" name="erb.formula.RequirementSatisfactions.SpecStepOfExecution">
    <vt:lpwstr>IFNA(INDEX(StepExecutions!D2:D999, MATCH(C2,StepExecutions!A2:A999, 0)), "")</vt:lpwstr>
  </property>
  <property fmtid="{D5CDD505-2E9C-101B-9397-08002B2CF9AE}" pid="587" name="erb.formula.RequirementSatisfactions.BindingKey">
    <vt:lpwstr>IFNA(INDEX(StepRequirements!A2:A999, MATCH(A2,StepRequirements!A2:A999, 0)), "")</vt:lpwstr>
  </property>
  <property fmtid="{D5CDD505-2E9C-101B-9397-08002B2CF9AE}" pid="588" name="erb.formula.RequirementSatisfactions.ScoredStepExecutorAgent">
    <vt:lpwstr>IFNA(INDEX(StepExecutions!E2:E999, MATCH(C2,StepExecutions!A2:A999, 0)), "")</vt:lpwstr>
  </property>
  <property fmtid="{D5CDD505-2E9C-101B-9397-08002B2CF9AE}" pid="589" name="erb.formula.RequirementSatisfactions.EvaluatorIsStepExecutor">
    <vt:lpwstr>G2 = AF2</vt:lpwstr>
  </property>
  <property fmtid="{D5CDD505-2E9C-101B-9397-08002B2CF9AE}" pid="590" name="erb.formula.RequirementSatisfactions.RunOwnerAgent">
    <vt:lpwstr>IFNA(INDEX(ProcedureExecutions!G2:G999, MATCH(T2,ProcedureExecutions!A2:A999, 0)), "")</vt:lpwstr>
  </property>
  <property fmtid="{D5CDD505-2E9C-101B-9397-08002B2CF9AE}" pid="591" name="erb.formula.RequirementSatisfactions.EvaluatorOwnsTheRun">
    <vt:lpwstr>G2 = AH2</vt:lpwstr>
  </property>
  <property fmtid="{D5CDD505-2E9C-101B-9397-08002B2CF9AE}" pid="592" name="erb.formula.RequirementSatisfactions.IsInterestedPartyAssertion">
    <vt:lpwstr>AND(R2, OR(AG2, AI2))</vt:lpwstr>
  </property>
  <property fmtid="{D5CDD505-2E9C-101B-9397-08002B2CF9AE}" pid="593" name="erb.formula.RequirementSatisfactions.HasWrittenEvidence">
    <vt:lpwstr>F2 &lt;&gt; ""</vt:lpwstr>
  </property>
  <property fmtid="{D5CDD505-2E9C-101B-9397-08002B2CF9AE}" pid="594" name="erb.formula.RequirementSatisfactions.IsBareAssertion">
    <vt:lpwstr>AND(R2, NOT(AK2))</vt:lpwstr>
  </property>
  <property fmtid="{D5CDD505-2E9C-101B-9397-08002B2CF9AE}" pid="595" name="erb.formula.RequirementSatisfactions.InterestedAssertionExecutionKey">
    <vt:lpwstr>IF(AJ2, T2, "")</vt:lpwstr>
  </property>
  <property fmtid="{D5CDD505-2E9C-101B-9397-08002B2CF9AE}" pid="596" name="erb.formula.RequirementSatisfactions.IsComputedlyWitnessed">
    <vt:lpwstr>AND(I2, Q2)</vt:lpwstr>
  </property>
  <property fmtid="{D5CDD505-2E9C-101B-9397-08002B2CF9AE}" pid="597" name="erb.formula.RequirementSatisfactions.ComputedWitnessExecutionKey">
    <vt:lpwstr>IF(AN2, T2, "")</vt:lpwstr>
  </property>
  <property fmtid="{D5CDD505-2E9C-101B-9397-08002B2CF9AE}" pid="598" name="erb.formula.RequirementSatisfactions.StepExecutorAgent">
    <vt:lpwstr>IFNA(INDEX(StepExecutions!E2:E999, MATCH(C2,StepExecutions!A2:A999, 0)), "")</vt:lpwstr>
  </property>
  <property fmtid="{D5CDD505-2E9C-101B-9397-08002B2CF9AE}" pid="599" name="erb.formula.RequirementSatisfactions.WasScoredAfterAttestation">
    <vt:lpwstr>DATETIME_DIFF(H2, AR2, "minutes") &gt; 0</vt:lpwstr>
  </property>
  <property fmtid="{D5CDD505-2E9C-101B-9397-08002B2CF9AE}" pid="600" name="erb.formula.RequirementSatisfactions.AttestationInstantForRun">
    <vt:lpwstr>IFNA(INDEX(ProcedureExecutions!BK2:BK999, MATCH(T2,ProcedureExecutions!A2:A999, 0)), "")</vt:lpwstr>
  </property>
  <property fmtid="{D5CDD505-2E9C-101B-9397-08002B2CF9AE}" pid="601" name="erb.formula.RequirementSatisfactions.PostAttestationScoreExecutionKey">
    <vt:lpwstr>IF(AQ2, T2, "")</vt:lpwstr>
  </property>
  <property fmtid="{D5CDD505-2E9C-101B-9397-08002B2CF9AE}" pid="602" name="erb.table.RequirementSatisfactions.description">
    <vt:lpwstr>Execution-time evaluations of requirements. Maps to pko:RequirementSatisfaction, refersToRequirement, and hasRequirementSatisfactionLevel.</vt:lpwstr>
  </property>
  <property fmtid="{D5CDD505-2E9C-101B-9397-08002B2CF9AE}" pid="603" name="erb.formula.Errors.Name">
    <vt:lpwstr>D2 &amp; " - " &amp; C2</vt:lpwstr>
  </property>
  <property fmtid="{D5CDD505-2E9C-101B-9397-08002B2CF9AE}" pid="604" name="erb.table.Errors.description">
    <vt:lpwstr>Reusable error definitions encountered during execution. Maps to pko:Error, errorCode, and errorCause.</vt:lpwstr>
  </property>
  <property fmtid="{D5CDD505-2E9C-101B-9397-08002B2CF9AE}" pid="605" name="erb.formula.IssueOccurrences.Name">
    <vt:lpwstr>D2 &amp; " @ " &amp; TEXT(F2, "yyyy-mm-dd hh:mm:ss")&amp;"+00"</vt:lpwstr>
  </property>
  <property fmtid="{D5CDD505-2E9C-101B-9397-08002B2CF9AE}" pid="606" name="erb.formula.IssueOccurrences.IsUnresolved">
    <vt:lpwstr>OR(I2 = "Open", I2 = "Investigating", I2 = "Monitoring")</vt:lpwstr>
  </property>
  <property fmtid="{D5CDD505-2E9C-101B-9397-08002B2CF9AE}" pid="607" name="erb.formula.IssueOccurrences.StepExecutionWhenUnresolved">
    <vt:lpwstr>IF(J2, C2, "")</vt:lpwstr>
  </property>
  <property fmtid="{D5CDD505-2E9C-101B-9397-08002B2CF9AE}" pid="608" name="erb.table.IssueOccurrences.description">
    <vt:lpwstr>Concrete issue events during execution. Maps to pko:IssueOccurrence, hasEncounteredError, wasEncounteredBy, issueCause, and issueSolution.</vt:lpwstr>
  </property>
  <property fmtid="{D5CDD505-2E9C-101B-9397-08002B2CF9AE}" pid="609" name="erb.formula.UserQuestions.Name">
    <vt:lpwstr>LEFT(F2, 70)</vt:lpwstr>
  </property>
  <property fmtid="{D5CDD505-2E9C-101B-9397-08002B2CF9AE}" pid="610" name="erb.table.UserQuestions.description">
    <vt:lpwstr>Questions asked by agents during execution. Maps to pko:UserQuestionOccurrence, questionByUser, wasAskedBy, and isQuestionAddressedBy.</vt:lpwstr>
  </property>
  <property fmtid="{D5CDD505-2E9C-101B-9397-08002B2CF9AE}" pid="611" name="erb.formula.UserFeedback.Name">
    <vt:lpwstr>G2 &amp; ": " &amp; LEFT(F2, 60)</vt:lpwstr>
  </property>
  <property fmtid="{D5CDD505-2E9C-101B-9397-08002B2CF9AE}" pid="612" name="erb.table.UserFeedback.description">
    <vt:lpwstr>Feedback supplied by users about a procedure or execution. Maps to pko:UserFeedbackOccurrence, feedbackOnProcedureExecution, and wasProvidedBy.</vt:lpwstr>
  </property>
  <property fmtid="{D5CDD505-2E9C-101B-9397-08002B2CF9AE}" pid="613" name="erb.formula.StewardshipAssignments.Name">
    <vt:lpwstr>C2 &amp; " / steward=" &amp; D2</vt:lpwstr>
  </property>
  <property fmtid="{D5CDD505-2E9C-101B-9397-08002B2CF9AE}" pid="614" name="erb.formula.StewardshipAssignments.CountOfReviewEvents">
    <vt:lpwstr>COUNTIFS(ReviewEvents!C2:C999,C2)</vt:lpwstr>
  </property>
  <property fmtid="{D5CDD505-2E9C-101B-9397-08002B2CF9AE}" pid="615" name="erb.formula.StewardshipAssignments.HasEverBeenReviewed">
    <vt:lpwstr>I2 &gt; 0</vt:lpwstr>
  </property>
  <property fmtid="{D5CDD505-2E9C-101B-9397-08002B2CF9AE}" pid="616" name="erb.formula.StewardshipAssignments.AsOfInstant">
    <vt:lpwstr>IFNA(INDEX(EvaluationContexts!D2:D999, MATCH(K2,EvaluationContexts!A2:A999, 0)), "")</vt:lpwstr>
  </property>
  <property fmtid="{D5CDD505-2E9C-101B-9397-08002B2CF9AE}" pid="617" name="erb.formula.StewardshipAssignments.IsCurrentAssignment">
    <vt:lpwstr>AND(F2 &lt;= L2, OR(G2 = "", G2 &gt; L2))</vt:lpwstr>
  </property>
  <property fmtid="{D5CDD505-2E9C-101B-9397-08002B2CF9AE}" pid="618" name="erb.table.StewardshipAssignments.description">
    <vt:lpwstr>Separates ongoing stewardship from authority to approve semantic commitments. Explicit ERB-PKO governance extension.</vt:lpwstr>
  </property>
  <property fmtid="{D5CDD505-2E9C-101B-9397-08002B2CF9AE}" pid="619" name="erb.formula.ChangeRequests.Name">
    <vt:lpwstr>D2</vt:lpwstr>
  </property>
  <property fmtid="{D5CDD505-2E9C-101B-9397-08002B2CF9AE}" pid="620" name="erb.formula.ChangeRequests.IsOpen">
    <vt:lpwstr>AND(OR(F2 = "Draft", F2 = "UnderReview", F2 = "Approved"), AA2 = "")</vt:lpwstr>
  </property>
  <property fmtid="{D5CDD505-2E9C-101B-9397-08002B2CF9AE}" pid="621" name="erb.formula.ChangeRequests.OpenChangeVersionKey">
    <vt:lpwstr>IF(L2, C2, "")</vt:lpwstr>
  </property>
  <property fmtid="{D5CDD505-2E9C-101B-9397-08002B2CF9AE}" pid="622" name="erb.formula.ChangeRequests.IsDecided">
    <vt:lpwstr>J2 &lt;&gt; ""</vt:lpwstr>
  </property>
  <property fmtid="{D5CDD505-2E9C-101B-9397-08002B2CF9AE}" pid="623" name="erb.formula.ChangeRequests.AsOfInstant">
    <vt:lpwstr>IFNA(INDEX(EvaluationContexts!D2:D999, MATCH(O2,EvaluationContexts!A2:A999, 0)), "")</vt:lpwstr>
  </property>
  <property fmtid="{D5CDD505-2E9C-101B-9397-08002B2CF9AE}" pid="624" name="erb.formula.ChangeRequests.DaysPending">
    <vt:lpwstr>IF(N2, (INT(J2) - INT(I2)), (INT(P2) - INT(I2)))</vt:lpwstr>
  </property>
  <property fmtid="{D5CDD505-2E9C-101B-9397-08002B2CF9AE}" pid="625" name="erb.formula.ChangeRequests.IsStillPending">
    <vt:lpwstr>AND(L2, NOT(N2))</vt:lpwstr>
  </property>
  <property fmtid="{D5CDD505-2E9C-101B-9397-08002B2CF9AE}" pid="626" name="erb.formula.ChangeRequests.IsStalled">
    <vt:lpwstr>AND(R2, Q2 &gt; 14)</vt:lpwstr>
  </property>
  <property fmtid="{D5CDD505-2E9C-101B-9397-08002B2CF9AE}" pid="627" name="erb.formula.ChangeRequests.AuthorityAgent">
    <vt:lpwstr>IFNA(INDEX(Roles!E2:E999, MATCH(H2,Roles!A2:A999, 0)), "")</vt:lpwstr>
  </property>
  <property fmtid="{D5CDD505-2E9C-101B-9397-08002B2CF9AE}" pid="628" name="erb.formula.ChangeRequests.RequesterIsAuthority">
    <vt:lpwstr>G2 = T2</vt:lpwstr>
  </property>
  <property fmtid="{D5CDD505-2E9C-101B-9397-08002B2CF9AE}" pid="629" name="erb.formula.ChangeRequests.AwaitsAuthorityDecision">
    <vt:lpwstr>AND(F2 = "UnderReview", NOT(N2))</vt:lpwstr>
  </property>
  <property fmtid="{D5CDD505-2E9C-101B-9397-08002B2CF9AE}" pid="630" name="erb.formula.ChangeRequests.AuthorityRoleLabel">
    <vt:lpwstr>IFNA(INDEX(Roles!C2:C999, MATCH(H2,Roles!A2:A999, 0)), "")</vt:lpwstr>
  </property>
  <property fmtid="{D5CDD505-2E9C-101B-9397-08002B2CF9AE}" pid="631" name="erb.formula.ChangeRequests.TouchesLiveVersion">
    <vt:lpwstr>IFNA(INDEX(ProcedureVersions!Y2:Y999, MATCH(C2,ProcedureVersions!A2:A999, 0)), "")</vt:lpwstr>
  </property>
  <property fmtid="{D5CDD505-2E9C-101B-9397-08002B2CF9AE}" pid="632" name="erb.formula.ChangeRequests.IsLiveDecisionBacklog">
    <vt:lpwstr>AND(V2, X2)</vt:lpwstr>
  </property>
  <property fmtid="{D5CDD505-2E9C-101B-9397-08002B2CF9AE}" pid="633" name="erb.formula.ChangeRequests.BlocksAnOpenGap">
    <vt:lpwstr>AND(Y2, E2 = "Enhancement")</vt:lpwstr>
  </property>
  <property fmtid="{D5CDD505-2E9C-101B-9397-08002B2CF9AE}" pid="634" name="erb.formula.ChangeRequests.BacklogVersionKey">
    <vt:lpwstr>IF(Y2, C2, "")</vt:lpwstr>
  </property>
  <property fmtid="{D5CDD505-2E9C-101B-9397-08002B2CF9AE}" pid="635" name="erb.formula.ChangeRequests.IsMyPendingDecision">
    <vt:lpwstr>AND(H2 = "hr-policy-owner", V2)</vt:lpwstr>
  </property>
  <property fmtid="{D5CDD505-2E9C-101B-9397-08002B2CF9AE}" pid="636" name="erb.formula.ChangeRequests.IsMyBlockingBacklog">
    <vt:lpwstr>AND(AC2, Z2)</vt:lpwstr>
  </property>
  <property fmtid="{D5CDD505-2E9C-101B-9397-08002B2CF9AE}" pid="637" name="erb.formula.ChangeRequests.IsMyOverdueBacklog">
    <vt:lpwstr>AND(AD2, Q2 &gt; 14)</vt:lpwstr>
  </property>
  <property fmtid="{D5CDD505-2E9C-101B-9397-08002B2CF9AE}" pid="638" name="erb.formula.ChangeRequests.IsImplemented">
    <vt:lpwstr>AA2 &lt;&gt; ""</vt:lpwstr>
  </property>
  <property fmtid="{D5CDD505-2E9C-101B-9397-08002B2CF9AE}" pid="639" name="erb.formula.ChangeRequests.IsMyDecidedRequest">
    <vt:lpwstr>AND(H2 = "hr-policy-owner", N2)</vt:lpwstr>
  </property>
  <property fmtid="{D5CDD505-2E9C-101B-9397-08002B2CF9AE}" pid="640" name="erb.formula.ChangeRequests.IsMyDecidedButUnlanded">
    <vt:lpwstr>AND(AG2, NOT(AF2))</vt:lpwstr>
  </property>
  <property fmtid="{D5CDD505-2E9C-101B-9397-08002B2CF9AE}" pid="641" name="erb.formula.ChangeRequests.DecisionLatencyDays">
    <vt:lpwstr>IF(N2, (INT(J2) - INT(I2)), 0)</vt:lpwstr>
  </property>
  <property fmtid="{D5CDD505-2E9C-101B-9397-08002B2CF9AE}" pid="642" name="erb.formula.ChangeRequests.ImplementationLatencyDays">
    <vt:lpwstr>IF(AF2, (INT(AA2) - INT(J2)), 0)</vt:lpwstr>
  </property>
  <property fmtid="{D5CDD505-2E9C-101B-9397-08002B2CF9AE}" pid="643" name="erb.formula.ChangeRequests.DelayIsDownstreamOfMe">
    <vt:lpwstr>AND(AH2, AI2 &lt;= 14)</vt:lpwstr>
  </property>
  <property fmtid="{D5CDD505-2E9C-101B-9397-08002B2CF9AE}" pid="644" name="erb.formula.ChangeRequests.UnlandedVersionKey">
    <vt:lpwstr>IF(AH2, C2, "")</vt:lpwstr>
  </property>
  <property fmtid="{D5CDD505-2E9C-101B-9397-08002B2CF9AE}" pid="645" name="erb.formula.ChangeRequests.IsApprovedNotImplemented">
    <vt:lpwstr>AND(F2 = "Approved", NOT(AF2))</vt:lpwstr>
  </property>
  <property fmtid="{D5CDD505-2E9C-101B-9397-08002B2CF9AE}" pid="646" name="erb.formula.ChangeRequests.DaysSinceApproval">
    <vt:lpwstr>IF(N2, (INT(P2) - INT(J2)), 0)</vt:lpwstr>
  </property>
  <property fmtid="{D5CDD505-2E9C-101B-9397-08002B2CF9AE}" pid="647" name="erb.formula.ChangeRequests.IsStalledImplementation">
    <vt:lpwstr>AND(AM2, AN2 &gt; 14)</vt:lpwstr>
  </property>
  <property fmtid="{D5CDD505-2E9C-101B-9397-08002B2CF9AE}" pid="648" name="erb.formula.ChangeRequests.StalledImplementationVersionKey">
    <vt:lpwstr>IF(AO2, C2, "")</vt:lpwstr>
  </property>
  <property fmtid="{D5CDD505-2E9C-101B-9397-08002B2CF9AE}" pid="649" name="erb.formula.ChangeRequests.ApprovedVersionKey">
    <vt:lpwstr>IF(AR2, C2, "")</vt:lpwstr>
  </property>
  <property fmtid="{D5CDD505-2E9C-101B-9397-08002B2CF9AE}" pid="650" name="erb.formula.ChangeRequests.IsApprovedDecision">
    <vt:lpwstr>F2 = "Approved"</vt:lpwstr>
  </property>
  <property fmtid="{D5CDD505-2E9C-101B-9397-08002B2CF9AE}" pid="651" name="erb.table.ChangeRequests.description">
    <vt:lpwstr>Governed requests for semantic or operational change, anchored to a procedure version and authority. Explicit ERB-PKO extension.</vt:lpwstr>
  </property>
  <property fmtid="{D5CDD505-2E9C-101B-9397-08002B2CF9AE}" pid="652" name="erb.formula.ReviewEvents.Name">
    <vt:lpwstr>C2 &amp; " / " &amp; D2</vt:lpwstr>
  </property>
  <property fmtid="{D5CDD505-2E9C-101B-9397-08002B2CF9AE}" pid="653" name="erb.formula.ReviewEvents.AsOfInstant">
    <vt:lpwstr>IFNA(INDEX(EvaluationContexts!D2:D999, MATCH(J2,EvaluationContexts!A2:A999, 0)), "")</vt:lpwstr>
  </property>
  <property fmtid="{D5CDD505-2E9C-101B-9397-08002B2CF9AE}" pid="654" name="erb.formula.ReviewEvents.IsOverdue">
    <vt:lpwstr>I2 &lt; K2</vt:lpwstr>
  </property>
  <property fmtid="{D5CDD505-2E9C-101B-9397-08002B2CF9AE}" pid="655" name="erb.formula.ReviewEvents.OverdueVersionKey">
    <vt:lpwstr>IF(L2, C2, "")</vt:lpwstr>
  </property>
  <property fmtid="{D5CDD505-2E9C-101B-9397-08002B2CF9AE}" pid="656" name="erb.formula.ReviewEvents.PromisedCadenceDays">
    <vt:lpwstr>IFNA(INDEX(ProcedureVersions!V2:V999, MATCH(C2,ProcedureVersions!A2:A999, 0)), "")</vt:lpwstr>
  </property>
  <property fmtid="{D5CDD505-2E9C-101B-9397-08002B2CF9AE}" pid="657" name="erb.formula.ReviewEvents.DaysSinceReviewed">
    <vt:lpwstr>(INT(K2) - INT(E2))</vt:lpwstr>
  </property>
  <property fmtid="{D5CDD505-2E9C-101B-9397-08002B2CF9AE}" pid="658" name="erb.formula.ReviewEvents.ExceedsPromisedCadence">
    <vt:lpwstr>O2 &gt; N2</vt:lpwstr>
  </property>
  <property fmtid="{D5CDD505-2E9C-101B-9397-08002B2CF9AE}" pid="659" name="erb.formula.ReviewEvents.CadenceDriftDays">
    <vt:lpwstr>O2 - N2</vt:lpwstr>
  </property>
  <property fmtid="{D5CDD505-2E9C-101B-9397-08002B2CF9AE}" pid="660" name="erb.formula.ReviewEvents.PromiseAndBehaviorDisagree">
    <vt:lpwstr>AND(P2, NOT(L2))</vt:lpwstr>
  </property>
  <property fmtid="{D5CDD505-2E9C-101B-9397-08002B2CF9AE}" pid="661" name="erb.formula.ReviewEvents.CadenceBreachVersionKey">
    <vt:lpwstr>IF(P2, C2, "")</vt:lpwstr>
  </property>
  <property fmtid="{D5CDD505-2E9C-101B-9397-08002B2CF9AE}" pid="662" name="erb.table.ReviewEvents.description">
    <vt:lpwstr>Periodic governance reviews that test competency coverage, staleness, and semantic integrity. Explicit ERB-PKO extension represented as prov:Activity.</vt:lpwstr>
  </property>
  <property fmtid="{D5CDD505-2E9C-101B-9397-08002B2CF9AE}" pid="663" name="erb.formula.LearningActivities.Name">
    <vt:lpwstr>E2 &amp; " / " &amp; TEXT(F2, "yyyy-mm-dd hh:mm:ss")&amp;"+00"</vt:lpwstr>
  </property>
  <property fmtid="{D5CDD505-2E9C-101B-9397-08002B2CF9AE}" pid="664" name="erb.table.LearningActivities.description">
    <vt:lpwstr>Learning, retrospective, tabletop, and onboarding activities that convert execution experience into maintained knowledge. Explicit ERB-PKO extension represented as prov:Activity.</vt:lpwstr>
  </property>
  <property fmtid="{D5CDD505-2E9C-101B-9397-08002B2CF9AE}" pid="665" name="erb.formula.OperationalBindings.Name">
    <vt:lpwstr>D2 &amp; " / " &amp; G2</vt:lpwstr>
  </property>
  <property fmtid="{D5CDD505-2E9C-101B-9397-08002B2CF9AE}" pid="666" name="erb.formula.OperationalBindings.AsOfInstant">
    <vt:lpwstr>IFNA(INDEX(EvaluationContexts!D2:D999, MATCH(K2,EvaluationContexts!A2:A999, 0)), "")</vt:lpwstr>
  </property>
  <property fmtid="{D5CDD505-2E9C-101B-9397-08002B2CF9AE}" pid="667" name="erb.formula.OperationalBindings.AgeMinutes">
    <vt:lpwstr>DATETIME_DIFF(L2, H2, "minutes")</vt:lpwstr>
  </property>
  <property fmtid="{D5CDD505-2E9C-101B-9397-08002B2CF9AE}" pid="668" name="erb.formula.OperationalBindings.IsFresh">
    <vt:lpwstr>M2 &lt;= I2</vt:lpwstr>
  </property>
  <property fmtid="{D5CDD505-2E9C-101B-9397-08002B2CF9AE}" pid="669" name="erb.formula.OperationalBindings.StaleBindingStepKey">
    <vt:lpwstr>IF(NOT(N2), D2, "")</vt:lpwstr>
  </property>
  <property fmtid="{D5CDD505-2E9C-101B-9397-08002B2CF9AE}" pid="670" name="erb.formula.OperationalBindings.AuthoritativeStaleStepKey">
    <vt:lpwstr>IF(AND(NOT(N2), J2), D2, "")</vt:lpwstr>
  </property>
  <property fmtid="{D5CDD505-2E9C-101B-9397-08002B2CF9AE}" pid="671" name="erb.formula.OperationalBindings.IsStaleAndAuthoritative">
    <vt:lpwstr>AND(J2, NOT(N2))</vt:lpwstr>
  </property>
  <property fmtid="{D5CDD505-2E9C-101B-9397-08002B2CF9AE}" pid="672" name="erb.formula.OperationalBindings.StepWhenStale">
    <vt:lpwstr>IF(Q2, D2, "")</vt:lpwstr>
  </property>
  <property fmtid="{D5CDD505-2E9C-101B-9397-08002B2CF9AE}" pid="673" name="erb.formula.OperationalBindings.ResourceIsApproved">
    <vt:lpwstr>IFNA(INDEX(Resources!J2:J999, MATCH(E2,Resources!A2:A999, 0)), "")</vt:lpwstr>
  </property>
  <property fmtid="{D5CDD505-2E9C-101B-9397-08002B2CF9AE}" pid="674" name="erb.formula.OperationalBindings.IsUsableForDrafting">
    <vt:lpwstr>AND(S2, N2)</vt:lpwstr>
  </property>
  <property fmtid="{D5CDD505-2E9C-101B-9397-08002B2CF9AE}" pid="675" name="erb.formula.OperationalBindings.StepWhenUnusable">
    <vt:lpwstr>IF(T2, "", D2)</vt:lpwstr>
  </property>
  <property fmtid="{D5CDD505-2E9C-101B-9397-08002B2CF9AE}" pid="676" name="erb.table.OperationalBindings.description">
    <vt:lpwstr>Live bindings between procedural semantics and operational data/resources. Explicit ERB-PKO extension using DCAT/DCMI/PROV identifiers.</vt:lpwstr>
  </property>
  <property fmtid="{D5CDD505-2E9C-101B-9397-08002B2CF9AE}" pid="677" name="erb.formula.CommunicationPolicies.Name">
    <vt:lpwstr>D2 &amp; " policy / " &amp; C2</vt:lpwstr>
  </property>
  <property fmtid="{D5CDD505-2E9C-101B-9397-08002B2CF9AE}" pid="678" name="erb.formula.CommunicationPolicies.ConsentViolationCount">
    <vt:lpwstr>COUNTIFS(MessageDeliveries!O2:O999, A2,MessageDeliveries!T2:T999, TRUE)</vt:lpwstr>
  </property>
  <property fmtid="{D5CDD505-2E9C-101B-9397-08002B2CF9AE}" pid="679" name="erb.formula.CommunicationPolicies.QuietHoursViolationCount">
    <vt:lpwstr>COUNTIFS(MessageDeliveries!AB2:AB999, A2)</vt:lpwstr>
  </property>
  <property fmtid="{D5CDD505-2E9C-101B-9397-08002B2CF9AE}" pid="680" name="erb.formula.CommunicationPolicies.IsActivePolicy">
    <vt:lpwstr>O2 = "Active"</vt:lpwstr>
  </property>
  <property fmtid="{D5CDD505-2E9C-101B-9397-08002B2CF9AE}" pid="681" name="erb.table.CommunicationPolicies.description">
    <vt:lpwstr>Channel-specific communication policy projected from the same canonical procedure. Uses ODRL-style policy semantics plus ERB-PKO channel constraints.</vt:lpwstr>
  </property>
  <property fmtid="{D5CDD505-2E9C-101B-9397-08002B2CF9AE}" pid="682" name="erb.formula.MessageTemplates.Name">
    <vt:lpwstr>C2 &amp; " / " &amp; G2</vt:lpwstr>
  </property>
  <property fmtid="{D5CDD505-2E9C-101B-9397-08002B2CF9AE}" pid="683" name="erb.formula.MessageTemplates.PolicyMaxMessageLength">
    <vt:lpwstr>IFNA(INDEX(CommunicationPolicies!I2:I999, MATCH(C2,CommunicationPolicies!A2:A999, 0)), "")</vt:lpwstr>
  </property>
  <property fmtid="{D5CDD505-2E9C-101B-9397-08002B2CF9AE}" pid="684" name="erb.formula.MessageTemplates.PolicyMaxSegments">
    <vt:lpwstr>IFNA(INDEX(CommunicationPolicies!J2:J999, MATCH(C2,CommunicationPolicies!A2:A999, 0)), "")</vt:lpwstr>
  </property>
  <property fmtid="{D5CDD505-2E9C-101B-9397-08002B2CF9AE}" pid="685" name="erb.formula.MessageTemplates.BodyTemplateLength">
    <vt:lpwstr>LEN(F2)</vt:lpwstr>
  </property>
  <property fmtid="{D5CDD505-2E9C-101B-9397-08002B2CF9AE}" pid="686" name="erb.formula.MessageTemplates.IsTemplateOverLength">
    <vt:lpwstr>K2 &gt; I2</vt:lpwstr>
  </property>
  <property fmtid="{D5CDD505-2E9C-101B-9397-08002B2CF9AE}" pid="687" name="erb.formula.MessageTemplates.ValidApprovalCount">
    <vt:lpwstr>COUNTIFS(TemplateApprovals!N2:N999, A2)</vt:lpwstr>
  </property>
  <property fmtid="{D5CDD505-2E9C-101B-9397-08002B2CF9AE}" pid="688" name="erb.formula.MessageTemplates.HasValidApproval">
    <vt:lpwstr>M2 &gt; 0</vt:lpwstr>
  </property>
  <property fmtid="{D5CDD505-2E9C-101B-9397-08002B2CF9AE}" pid="689" name="erb.formula.MessageTemplates.IsClaimingUnbackedApproval">
    <vt:lpwstr>AND(H2 = "Approved", NOT(N2))</vt:lpwstr>
  </property>
  <property fmtid="{D5CDD505-2E9C-101B-9397-08002B2CF9AE}" pid="690" name="erb.formula.MessageTemplates.LastApprovedBodyHash">
    <vt:lpwstr>IFNA(INDEX(TemplateApprovals!H2:H999, MATCH(R2,TemplateApprovals!A2:A999, 0)), "")</vt:lpwstr>
  </property>
  <property fmtid="{D5CDD505-2E9C-101B-9397-08002B2CF9AE}" pid="691" name="erb.formula.MessageTemplates.HasBodyDrifted">
    <vt:lpwstr>AND(Q2 &lt;&gt; "", P2 &lt;&gt; Q2)</vt:lpwstr>
  </property>
  <property fmtid="{D5CDD505-2E9C-101B-9397-08002B2CF9AE}" pid="692" name="erb.formula.MessageTemplates.IsSendableUnderApproval">
    <vt:lpwstr>AND(H2 = "Approved", AND(N2, NOT(S2)))</vt:lpwstr>
  </property>
  <property fmtid="{D5CDD505-2E9C-101B-9397-08002B2CF9AE}" pid="693" name="erb.formula.MessageTemplates.DriftedSendCount">
    <vt:lpwstr>COUNTIFS(MessageDeliveries!BR2:BR999, A2)</vt:lpwstr>
  </property>
  <property fmtid="{D5CDD505-2E9C-101B-9397-08002B2CF9AE}" pid="694" name="erb.formula.MessageTemplates.UnansweredDeliveryCount">
    <vt:lpwstr>COUNTIFS(MessageDeliveries!BW2:BW999, A2)</vt:lpwstr>
  </property>
  <property fmtid="{D5CDD505-2E9C-101B-9397-08002B2CF9AE}" pid="695" name="erb.formula.MessageTemplates.TransmittedDeliveryCount">
    <vt:lpwstr>COUNTIFS(MessageDeliveries!BX2:BX999, A2)</vt:lpwstr>
  </property>
  <property fmtid="{D5CDD505-2E9C-101B-9397-08002B2CF9AE}" pid="696" name="erb.formula.MessageTemplates.TemplateDrawsNoResponse">
    <vt:lpwstr>AND(W2 &gt; 0, V2 = W2)</vt:lpwstr>
  </property>
  <property fmtid="{D5CDD505-2E9C-101B-9397-08002B2CF9AE}" pid="697" name="erb.formula.MessageTemplates.LastApprovalAt">
    <vt:lpwstr>IFNA(INDEX(TemplateApprovals!G2:G999, MATCH(R2,TemplateApprovals!A2:A999, 0)), "")</vt:lpwstr>
  </property>
  <property fmtid="{D5CDD505-2E9C-101B-9397-08002B2CF9AE}" pid="698" name="erb.table.MessageTemplates.description">
    <vt:lpwstr>Approved channel templates projected from the canonical rulebook without becoming a second source of policy meaning.</vt:lpwstr>
  </property>
  <property fmtid="{D5CDD505-2E9C-101B-9397-08002B2CF9AE}" pid="699" name="erb.formula.SemanticMappings.Name">
    <vt:lpwstr>C2 &amp; " -&gt; " &amp; E2</vt:lpwstr>
  </property>
  <property fmtid="{D5CDD505-2E9C-101B-9397-08002B2CF9AE}" pid="700" name="erb.table.SemanticMappings.description">
    <vt:lpwstr>Machine-readable alignment from ERB table/field paths to exact PKO or reused ontology terms. Extension mappings are never presented as native PKO.</vt:lpwstr>
  </property>
  <property fmtid="{D5CDD505-2E9C-101B-9397-08002B2CF9AE}" pid="701" name="erb.formula.WitnessLoops.Name">
    <vt:lpwstr>"Loop " &amp; C2 &amp; ": " &amp; D2</vt:lpwstr>
  </property>
  <property fmtid="{D5CDD505-2E9C-101B-9397-08002B2CF9AE}" pid="702" name="erb.formula.WitnessLoops.QuestionCount">
    <vt:lpwstr>COUNTIFS(RoleQuestions!D2:D999, A2)</vt:lpwstr>
  </property>
  <property fmtid="{D5CDD505-2E9C-101B-9397-08002B2CF9AE}" pid="703" name="erb.formula.WitnessLoops.IsComplete">
    <vt:lpwstr>G2 &lt;&gt; ""</vt:lpwstr>
  </property>
  <property fmtid="{D5CDD505-2E9C-101B-9397-08002B2CF9AE}" pid="704" name="erb.table.WitnessLoops.description">
    <vt:lpwstr>One row per role-question expansion loop. Each loop poses questions that only became askable because of the previous loop's predicates.</vt:lpwstr>
  </property>
  <property fmtid="{D5CDD505-2E9C-101B-9397-08002B2CF9AE}" pid="705" name="erb.formula.RoleQuestions.Name">
    <vt:lpwstr>C2 &amp; ": " &amp; LEFT(E2, 60)</vt:lpwstr>
  </property>
  <property fmtid="{D5CDD505-2E9C-101B-9397-08002B2CF9AE}" pid="706" name="erb.formula.RoleQuestions.PredicateCount">
    <vt:lpwstr>COUNTIFS(RulebookFields!H2:H999, A2)</vt:lpwstr>
  </property>
  <property fmtid="{D5CDD505-2E9C-101B-9397-08002B2CF9AE}" pid="707" name="erb.formula.RoleQuestions.IsAnswered">
    <vt:lpwstr>H2 &gt; 0</vt:lpwstr>
  </property>
  <property fmtid="{D5CDD505-2E9C-101B-9397-08002B2CF9AE}" pid="708" name="erb.table.RoleQuestions.description">
    <vt:lpwstr>One row per question a named role wants answered. Every invented predicate in this rulebook traces back to one of these.</vt:lpwstr>
  </property>
  <property fmtid="{D5CDD505-2E9C-101B-9397-08002B2CF9AE}" pid="709" name="erb.formula.RulebookFields.Name">
    <vt:lpwstr>C2 &amp; "." &amp; D2</vt:lpwstr>
  </property>
  <property fmtid="{D5CDD505-2E9C-101B-9397-08002B2CF9AE}" pid="710" name="erb.formula.RulebookFields.IsDerived">
    <vt:lpwstr>OR(E2 = "calculated", E2 = "lookup", E2 = "aggregation")</vt:lpwstr>
  </property>
  <property fmtid="{D5CDD505-2E9C-101B-9397-08002B2CF9AE}" pid="711" name="erb.formula.RulebookFields.IsWitness">
    <vt:lpwstr>H2 &lt;&gt; ""</vt:lpwstr>
  </property>
  <property fmtid="{D5CDD505-2E9C-101B-9397-08002B2CF9AE}" pid="712" name="erb.formula.RulebookFields.DisagreeingSubstrateCount">
    <vt:lpwstr>COUNTIFS(FieldDisagreements!D2:D999, A2)</vt:lpwstr>
  </property>
  <property fmtid="{D5CDD505-2E9C-101B-9397-08002B2CF9AE}" pid="713" name="erb.formula.RulebookFields.IsSubstrateContested">
    <vt:lpwstr>K2 &gt; 0</vt:lpwstr>
  </property>
  <property fmtid="{D5CDD505-2E9C-101B-9397-08002B2CF9AE}" pid="714" name="erb.table.RulebookFields.description">
    <vt:lpwstr>A complete census of every field in this rulebook. Reconciled from the real schemas by tools/reconcile_field_catalog.py — never hand-maintained. Fields invented by a witness loop carry an InventedForQuestion FK.</vt:lpwstr>
  </property>
  <property fmtid="{D5CDD505-2E9C-101B-9397-08002B2CF9AE}" pid="715" name="erb.formula.TestSuites.Name">
    <vt:lpwstr>C2</vt:lpwstr>
  </property>
  <property fmtid="{D5CDD505-2E9C-101B-9397-08002B2CF9AE}" pid="716" name="erb.formula.TestSuites.TestCount">
    <vt:lpwstr>COUNTIFS(TestCases!I2:I999, A2)</vt:lpwstr>
  </property>
  <property fmtid="{D5CDD505-2E9C-101B-9397-08002B2CF9AE}" pid="717" name="erb.formula.TestSuites.PassCount">
    <vt:lpwstr>COUNTIFS(TestCases!R2:R999, A2)</vt:lpwstr>
  </property>
  <property fmtid="{D5CDD505-2E9C-101B-9397-08002B2CF9AE}" pid="718" name="erb.formula.TestSuites.BlockingFailCount">
    <vt:lpwstr>COUNTIFS(TestCases!S2:S999, A2)</vt:lpwstr>
  </property>
  <property fmtid="{D5CDD505-2E9C-101B-9397-08002B2CF9AE}" pid="719" name="erb.formula.TestSuites.IsGreen">
    <vt:lpwstr>F2 = 0</vt:lpwstr>
  </property>
  <property fmtid="{D5CDD505-2E9C-101B-9397-08002B2CF9AE}" pid="720" name="erb.table.TestSuites.description">
    <vt:lpwstr>Groups of conformance checks. Rollups here are computed from TestCases, so the board's headline is itself a derived field.</vt:lpwstr>
  </property>
  <property fmtid="{D5CDD505-2E9C-101B-9397-08002B2CF9AE}" pid="721" name="erb.formula.TestCases.Name">
    <vt:lpwstr>C2 &amp; ": " &amp; D2</vt:lpwstr>
  </property>
  <property fmtid="{D5CDD505-2E9C-101B-9397-08002B2CF9AE}" pid="722" name="erb.formula.TestCases.IsBlocking">
    <vt:lpwstr>J2 = "blocking"</vt:lpwstr>
  </property>
  <property fmtid="{D5CDD505-2E9C-101B-9397-08002B2CF9AE}" pid="723" name="erb.formula.TestCases.IsPassing">
    <vt:lpwstr>L2 = "PASS"</vt:lpwstr>
  </property>
  <property fmtid="{D5CDD505-2E9C-101B-9397-08002B2CF9AE}" pid="724" name="erb.formula.TestCases.IsFailing">
    <vt:lpwstr>L2 = "FAIL"</vt:lpwstr>
  </property>
  <property fmtid="{D5CDD505-2E9C-101B-9397-08002B2CF9AE}" pid="725" name="erb.formula.TestCases.NeedsAttention">
    <vt:lpwstr>AND(P2, K2)</vt:lpwstr>
  </property>
  <property fmtid="{D5CDD505-2E9C-101B-9397-08002B2CF9AE}" pid="726" name="erb.formula.TestCases.PassingSuiteKey">
    <vt:lpwstr>IF(O2, I2, "")</vt:lpwstr>
  </property>
  <property fmtid="{D5CDD505-2E9C-101B-9397-08002B2CF9AE}" pid="727" name="erb.formula.TestCases.NeedsAttentionSuiteKey">
    <vt:lpwstr>IF(Q2, I2, "")</vt:lpwstr>
  </property>
  <property fmtid="{D5CDD505-2E9C-101B-9397-08002B2CF9AE}" pid="728" name="erb.table.TestCases.description">
    <vt:lpwstr>The conformance suite, as data. One row per check, naming what it checks and — where applicable — the role question whose answer it defends. tools/run_test_suite.py executes these rows and writes the outcome back; it invents no checks of its own.</vt:lpwstr>
  </property>
  <property fmtid="{D5CDD505-2E9C-101B-9397-08002B2CF9AE}" pid="729" name="erb.table.ERBVersions.description">
    <vt:lpwstr>Standard ERB semantic version history.</vt:lpwstr>
  </property>
  <property fmtid="{D5CDD505-2E9C-101B-9397-08002B2CF9AE}" pid="730" name="erb.table.ERBCustomizations.description">
    <vt:lpwstr>Explicit customization seams; empty because the canonical model is expressed in the rulebook.</vt:lpwstr>
  </property>
  <property fmtid="{D5CDD505-2E9C-101B-9397-08002B2CF9AE}" pid="731" name="erb.formula.ExceptionInvocations.Name">
    <vt:lpwstr>C2 &amp; " / " &amp; D2</vt:lpwstr>
  </property>
  <property fmtid="{D5CDD505-2E9C-101B-9397-08002B2CF9AE}" pid="732" name="erb.formula.ExceptionInvocations.ExpectedHandling">
    <vt:lpwstr>IFNA(INDEX(Exceptions!F2:F999, MATCH(D2,Exceptions!A2:A999, 0)), "")</vt:lpwstr>
  </property>
  <property fmtid="{D5CDD505-2E9C-101B-9397-08002B2CF9AE}" pid="733" name="erb.formula.ExceptionInvocations.RequiredApprovalRole">
    <vt:lpwstr>IFNA(INDEX(Exceptions!G2:G999, MATCH(D2,Exceptions!A2:A999, 0)), "")</vt:lpwstr>
  </property>
  <property fmtid="{D5CDD505-2E9C-101B-9397-08002B2CF9AE}" pid="734" name="erb.formula.ExceptionInvocations.RequiredApprovalRoleHolder">
    <vt:lpwstr>IFNA(INDEX(Roles!E2:E999, MATCH(J2,Roles!A2:A999, 0)), "")</vt:lpwstr>
  </property>
  <property fmtid="{D5CDD505-2E9C-101B-9397-08002B2CF9AE}" pid="735" name="erb.formula.ExceptionInvocations.ApprovalRoleMatches">
    <vt:lpwstr>F2 = K2</vt:lpwstr>
  </property>
  <property fmtid="{D5CDD505-2E9C-101B-9397-08002B2CF9AE}" pid="736" name="erb.formula.ExceptionInvocations.IsApproved">
    <vt:lpwstr>F2 &lt;&gt; ""</vt:lpwstr>
  </property>
  <property fmtid="{D5CDD505-2E9C-101B-9397-08002B2CF9AE}" pid="737" name="erb.formula.ExceptionInvocations.IsImproperlyApproved">
    <vt:lpwstr>OR(NOT(M2), NOT(L2))</vt:lpwstr>
  </property>
  <property fmtid="{D5CDD505-2E9C-101B-9397-08002B2CF9AE}" pid="738" name="erb.formula.ExceptionInvocations.InvokerAgentKind">
    <vt:lpwstr>IFNA(INDEX(Agents!D2:D999, MATCH(E2,Agents!A2:A999, 0)), "")</vt:lpwstr>
  </property>
  <property fmtid="{D5CDD505-2E9C-101B-9397-08002B2CF9AE}" pid="739" name="erb.formula.ExceptionInvocations.InvokerAlsoPreparedKey">
    <vt:lpwstr>Q2 &amp; "|" &amp; F2</vt:lpwstr>
  </property>
  <property fmtid="{D5CDD505-2E9C-101B-9397-08002B2CF9AE}" pid="740" name="erb.formula.ExceptionInvocations.ParentProcedureExecution">
    <vt:lpwstr>IFNA(INDEX(StepExecutions!C2:C999, MATCH(C2,StepExecutions!A2:A999, 0)), "")</vt:lpwstr>
  </property>
  <property fmtid="{D5CDD505-2E9C-101B-9397-08002B2CF9AE}" pid="741" name="erb.formula.ExceptionInvocations.ApproverPreparedCount">
    <vt:lpwstr>COUNTIFS(StepExecutions!AH2:AH999, P2)</vt:lpwstr>
  </property>
  <property fmtid="{D5CDD505-2E9C-101B-9397-08002B2CF9AE}" pid="742" name="erb.formula.ExceptionInvocations.DelegatedToPreparer">
    <vt:lpwstr>R2 &gt; 0</vt:lpwstr>
  </property>
  <property fmtid="{D5CDD505-2E9C-101B-9397-08002B2CF9AE}" pid="743" name="erb.formula.ExceptionInvocations.IsUngovernedInvocation">
    <vt:lpwstr>OR(N2, S2)</vt:lpwstr>
  </property>
  <property fmtid="{D5CDD505-2E9C-101B-9397-08002B2CF9AE}" pid="744" name="erb.table.ExceptionInvocations.description">
    <vt:lpwstr>ExceptionInvocations (added by witness loop 1).</vt:lpwstr>
  </property>
  <property fmtid="{D5CDD505-2E9C-101B-9397-08002B2CF9AE}" pid="745" name="erb.formula.VerificationOutcomes.Name">
    <vt:lpwstr>C2 &amp; " / " &amp; D2</vt:lpwstr>
  </property>
  <property fmtid="{D5CDD505-2E9C-101B-9397-08002B2CF9AE}" pid="746" name="erb.formula.VerificationOutcomes.ExpectedSignalValue">
    <vt:lpwstr>IFNA(INDEX(StepVerifications!F2:F999, MATCH(D2,StepVerifications!A2:A999, 0)), "")</vt:lpwstr>
  </property>
  <property fmtid="{D5CDD505-2E9C-101B-9397-08002B2CF9AE}" pid="747" name="erb.formula.VerificationOutcomes.SignalIdentifier">
    <vt:lpwstr>IFNA(INDEX(StepVerifications!E2:E999, MATCH(D2,StepVerifications!A2:A999, 0)), "")</vt:lpwstr>
  </property>
  <property fmtid="{D5CDD505-2E9C-101B-9397-08002B2CF9AE}" pid="748" name="erb.formula.VerificationOutcomes.SignalMatchesExpected">
    <vt:lpwstr>E2 = I2</vt:lpwstr>
  </property>
  <property fmtid="{D5CDD505-2E9C-101B-9397-08002B2CF9AE}" pid="749" name="erb.formula.VerificationOutcomes.HasEvidence">
    <vt:lpwstr>H2 &lt;&gt; ""</vt:lpwstr>
  </property>
  <property fmtid="{D5CDD505-2E9C-101B-9397-08002B2CF9AE}" pid="750" name="erb.formula.VerificationOutcomes.IsUnbackedObservation">
    <vt:lpwstr>AND(K2, NOT(L2))</vt:lpwstr>
  </property>
  <property fmtid="{D5CDD505-2E9C-101B-9397-08002B2CF9AE}" pid="751" name="erb.formula.VerificationOutcomes.IsSelfWitnessed">
    <vt:lpwstr>F2 = O2</vt:lpwstr>
  </property>
  <property fmtid="{D5CDD505-2E9C-101B-9397-08002B2CF9AE}" pid="752" name="erb.formula.VerificationOutcomes.StepExecutorAgent">
    <vt:lpwstr>IFNA(INDEX(StepExecutions!E2:E999, MATCH(C2,StepExecutions!A2:A999, 0)), "")</vt:lpwstr>
  </property>
  <property fmtid="{D5CDD505-2E9C-101B-9397-08002B2CF9AE}" pid="753" name="erb.formula.VerificationOutcomes.SelfWitnessedStepKey">
    <vt:lpwstr>IF(N2, C2, "")</vt:lpwstr>
  </property>
  <property fmtid="{D5CDD505-2E9C-101B-9397-08002B2CF9AE}" pid="754" name="erb.formula.VerificationOutcomes.UnbackedStepKey">
    <vt:lpwstr>IF(M2, C2, "")</vt:lpwstr>
  </property>
  <property fmtid="{D5CDD505-2E9C-101B-9397-08002B2CF9AE}" pid="755" name="erb.formula.VerificationOutcomes.IsSelfWitnessedAndUnbacked">
    <vt:lpwstr>AND(N2, NOT(L2))</vt:lpwstr>
  </property>
  <property fmtid="{D5CDD505-2E9C-101B-9397-08002B2CF9AE}" pid="756" name="erb.formula.VerificationOutcomes.IsUncorroboratedPass">
    <vt:lpwstr>AND(K2, R2)</vt:lpwstr>
  </property>
  <property fmtid="{D5CDD505-2E9C-101B-9397-08002B2CF9AE}" pid="757" name="erb.formula.VerificationOutcomes.UncorroboratedPassStepKey">
    <vt:lpwstr>IF(S2, C2, "")</vt:lpwstr>
  </property>
  <property fmtid="{D5CDD505-2E9C-101B-9397-08002B2CF9AE}" pid="758" name="erb.formula.VerificationOutcomes.ObserverIsNonHuman">
    <vt:lpwstr>IFNA(INDEX(Agents!M2:M999, MATCH(F2,Agents!A2:A999, 0)), "")</vt:lpwstr>
  </property>
  <property fmtid="{D5CDD505-2E9C-101B-9397-08002B2CF9AE}" pid="759" name="erb.formula.VerificationOutcomes.ObserverIsIndependentOfExecutor">
    <vt:lpwstr>NOT(N2)</vt:lpwstr>
  </property>
  <property fmtid="{D5CDD505-2E9C-101B-9397-08002B2CF9AE}" pid="760" name="erb.formula.VerificationOutcomes.IsIndependentHumanObservation">
    <vt:lpwstr>AND(NOT(U2), NOT(N2), L2)</vt:lpwstr>
  </property>
  <property fmtid="{D5CDD505-2E9C-101B-9397-08002B2CF9AE}" pid="761" name="erb.formula.VerificationOutcomes.IndependentObservationExecutionKey">
    <vt:lpwstr>IF(W2, Y2, "")</vt:lpwstr>
  </property>
  <property fmtid="{D5CDD505-2E9C-101B-9397-08002B2CF9AE}" pid="762" name="erb.formula.VerificationOutcomes.ParentProcedureExecutionOfOutcome">
    <vt:lpwstr>IFNA(INDEX(StepExecutions!C2:C999, MATCH(C2,StepExecutions!A2:A999, 0)), "")</vt:lpwstr>
  </property>
  <property fmtid="{D5CDD505-2E9C-101B-9397-08002B2CF9AE}" pid="763" name="erb.table.VerificationOutcomes.description">
    <vt:lpwstr>VerificationOutcomes (added by witness loop 1).</vt:lpwstr>
  </property>
  <property fmtid="{D5CDD505-2E9C-101B-9397-08002B2CF9AE}" pid="764" name="erb.formula.ObservedTransitions.Name">
    <vt:lpwstr>D2 &amp; " @ " &amp; TEXT(F2, "yyyy-mm-dd hh:mm:ss")&amp;"+00"</vt:lpwstr>
  </property>
  <property fmtid="{D5CDD505-2E9C-101B-9397-08002B2CF9AE}" pid="765" name="erb.table.ObservedTransitions.description#1">
    <vt:lpwstr>The proxy above cannot tell a walked fallback from a happy-path step that happens to share an endpoint. PKO models Transition as a first-class thing; its execution counterpart is missing. Without a table that records WHICH transition a step execution</vt:lpwstr>
  </property>
  <property fmtid="{D5CDD505-2E9C-101B-9397-08002B2CF9AE}" pid="766" name="erb.table.ObservedTransitions.description#2">
    <vt:lpwstr> arrived by, 'has this fallback ever been walked' is permanently unanswerable rather than merely unanswered. This is an extension (urn:effortless:pko-extension#ObservedTransition), not a native PKO term.</vt:lpwstr>
  </property>
  <property fmtid="{D5CDD505-2E9C-101B-9397-08002B2CF9AE}" pid="767" name="erb.formula.Recipients.Name">
    <vt:lpwstr>C2</vt:lpwstr>
  </property>
  <property fmtid="{D5CDD505-2E9C-101B-9397-08002B2CF9AE}" pid="768" name="erb.formula.Recipients.HasSmsConsent">
    <vt:lpwstr>G2 = "Granted"</vt:lpwstr>
  </property>
  <property fmtid="{D5CDD505-2E9C-101B-9397-08002B2CF9AE}" pid="769" name="erb.formula.Recipients.IsEmailReachable">
    <vt:lpwstr>E2 &lt;&gt; ""</vt:lpwstr>
  </property>
  <property fmtid="{D5CDD505-2E9C-101B-9397-08002B2CF9AE}" pid="770" name="erb.formula.Recipients.IsSmsReachable">
    <vt:lpwstr>F2 &lt;&gt; ""</vt:lpwstr>
  </property>
  <property fmtid="{D5CDD505-2E9C-101B-9397-08002B2CF9AE}" pid="771" name="erb.formula.Recipients.IsUnreachable">
    <vt:lpwstr>AND(NOT(K2), NOT(L2))</vt:lpwstr>
  </property>
  <property fmtid="{D5CDD505-2E9C-101B-9397-08002B2CF9AE}" pid="772" name="erb.formula.Recipients.IsCommunicationallyStranded">
    <vt:lpwstr>AND(NOT(L2), NOT(K2))</vt:lpwstr>
  </property>
  <property fmtid="{D5CDD505-2E9C-101B-9397-08002B2CF9AE}" pid="773" name="erb.table.Recipients.description">
    <vt:lpwstr>Recipients (added by witness loop 1).</vt:lpwstr>
  </property>
  <property fmtid="{D5CDD505-2E9C-101B-9397-08002B2CF9AE}" pid="774" name="erb.formula.MessageDeliveries.Name">
    <vt:lpwstr>E2 &amp; " / " &amp; F2 &amp; " / " &amp; TEXT(I2, "yyyy-mm-dd hh:mm:ss")&amp;"+00"</vt:lpwstr>
  </property>
  <property fmtid="{D5CDD505-2E9C-101B-9397-08002B2CF9AE}" pid="775" name="erb.formula.MessageDeliveries.PolicyChannel">
    <vt:lpwstr>IFNA(INDEX(MessageTemplates!C2:C999, MATCH(F2,MessageTemplates!A2:A999, 0)), "")</vt:lpwstr>
  </property>
  <property fmtid="{D5CDD505-2E9C-101B-9397-08002B2CF9AE}" pid="776" name="erb.formula.MessageDeliveries.ChannelName">
    <vt:lpwstr>IFNA(INDEX(CommunicationPolicies!D2:D999, MATCH(O2,CommunicationPolicies!A2:A999, 0)), "")</vt:lpwstr>
  </property>
  <property fmtid="{D5CDD505-2E9C-101B-9397-08002B2CF9AE}" pid="777" name="erb.formula.MessageDeliveries.PolicyRequiresConsent">
    <vt:lpwstr>IFNA(INDEX(CommunicationPolicies!F2:F999, MATCH(O2,CommunicationPolicies!A2:A999, 0)), "")</vt:lpwstr>
  </property>
  <property fmtid="{D5CDD505-2E9C-101B-9397-08002B2CF9AE}" pid="778" name="erb.formula.MessageDeliveries.RecipientHasSmsConsent">
    <vt:lpwstr>IFNA(INDEX(Recipients!J2:J999, MATCH(E2,Recipients!A2:A999, 0)), "")</vt:lpwstr>
  </property>
  <property fmtid="{D5CDD505-2E9C-101B-9397-08002B2CF9AE}" pid="779" name="erb.formula.MessageDeliveries.WasActuallyTransmitted">
    <vt:lpwstr>OR(K2 = "Sent", OR(K2 = "Delivered", K2 = "Bounced"))</vt:lpwstr>
  </property>
  <property fmtid="{D5CDD505-2E9C-101B-9397-08002B2CF9AE}" pid="780" name="erb.formula.MessageDeliveries.IsConsentViolation">
    <vt:lpwstr>AND(S2, AND(Q2, NOT(R2)))</vt:lpwstr>
  </property>
  <property fmtid="{D5CDD505-2E9C-101B-9397-08002B2CF9AE}" pid="781" name="erb.formula.MessageDeliveries.ConsentViolationPolicyKey">
    <vt:lpwstr>IF(T2, O2, "")</vt:lpwstr>
  </property>
  <property fmtid="{D5CDD505-2E9C-101B-9397-08002B2CF9AE}" pid="782" name="erb.formula.MessageDeliveries.PolicyQuietHoursStartHour">
    <vt:lpwstr>IFNA(INDEX(CommunicationPolicies!Q2:Q999, MATCH(O2,CommunicationPolicies!A2:A999, 0)), "")</vt:lpwstr>
  </property>
  <property fmtid="{D5CDD505-2E9C-101B-9397-08002B2CF9AE}" pid="783" name="erb.formula.MessageDeliveries.PolicyQuietHoursEndHour">
    <vt:lpwstr>IFNA(INDEX(CommunicationPolicies!R2:R999, MATCH(O2,CommunicationPolicies!A2:A999, 0)), "")</vt:lpwstr>
  </property>
  <property fmtid="{D5CDD505-2E9C-101B-9397-08002B2CF9AE}" pid="784" name="erb.formula.MessageDeliveries.PolicyHasQuietHours">
    <vt:lpwstr>V2 &lt;&gt; W2</vt:lpwstr>
  </property>
  <property fmtid="{D5CDD505-2E9C-101B-9397-08002B2CF9AE}" pid="785" name="erb.formula.MessageDeliveries.QuietWindowWrapsMidnight">
    <vt:lpwstr>V2 &gt; W2</vt:lpwstr>
  </property>
  <property fmtid="{D5CDD505-2E9C-101B-9397-08002B2CF9AE}" pid="786" name="erb.formula.MessageDeliveries.IsInsideQuietWindow">
    <vt:lpwstr>IF(Y2, OR(J2 &gt;= V2, J2 &lt; W2), AND(J2 &gt;= V2, J2 &lt; W2))</vt:lpwstr>
  </property>
  <property fmtid="{D5CDD505-2E9C-101B-9397-08002B2CF9AE}" pid="787" name="erb.formula.MessageDeliveries.IsQuietHoursViolation">
    <vt:lpwstr>AND(S2, AND(X2, Z2))</vt:lpwstr>
  </property>
  <property fmtid="{D5CDD505-2E9C-101B-9397-08002B2CF9AE}" pid="788" name="erb.formula.MessageDeliveries.QuietHoursViolationPolicyKey">
    <vt:lpwstr>IF(AA2, O2, "")</vt:lpwstr>
  </property>
  <property fmtid="{D5CDD505-2E9C-101B-9397-08002B2CF9AE}" pid="789" name="erb.formula.MessageDeliveries.RecipientIsUnreachable">
    <vt:lpwstr>IFNA(INDEX(Recipients!M2:M999, MATCH(E2,Recipients!A2:A999, 0)), "")</vt:lpwstr>
  </property>
  <property fmtid="{D5CDD505-2E9C-101B-9397-08002B2CF9AE}" pid="790" name="erb.formula.MessageDeliveries.IsAcknowledged">
    <vt:lpwstr>N2 &lt;&gt; ""</vt:lpwstr>
  </property>
  <property fmtid="{D5CDD505-2E9C-101B-9397-08002B2CF9AE}" pid="791" name="erb.formula.MessageDeliveries.InvokedExceptionCondition">
    <vt:lpwstr>IFNA(INDEX(Exceptions!E2:E999, MATCH(M2,Exceptions!A2:A999, 0)), "")</vt:lpwstr>
  </property>
  <property fmtid="{D5CDD505-2E9C-101B-9397-08002B2CF9AE}" pid="792" name="erb.formula.MessageDeliveries.HasUnreachableExceptionInvoked">
    <vt:lpwstr>M2 = "exc-unreachable"</vt:lpwstr>
  </property>
  <property fmtid="{D5CDD505-2E9C-101B-9397-08002B2CF9AE}" pid="793" name="erb.formula.MessageDeliveries.IsFabricatedAcknowledgement">
    <vt:lpwstr>AND(AC2, AD2)</vt:lpwstr>
  </property>
  <property fmtid="{D5CDD505-2E9C-101B-9397-08002B2CF9AE}" pid="794" name="erb.formula.MessageDeliveries.IsUnhandledUnreachable">
    <vt:lpwstr>AND(AC2, NOT(AF2))</vt:lpwstr>
  </property>
  <property fmtid="{D5CDD505-2E9C-101B-9397-08002B2CF9AE}" pid="795" name="erb.formula.MessageDeliveries.UnreachableFailureKey">
    <vt:lpwstr>IF(OR(AG2, AH2), C2, "")</vt:lpwstr>
  </property>
  <property fmtid="{D5CDD505-2E9C-101B-9397-08002B2CF9AE}" pid="796" name="erb.formula.MessageDeliveries.PolicyRetentionDays">
    <vt:lpwstr>IFNA(INDEX(CommunicationPolicies!K2:K999, MATCH(O2,CommunicationPolicies!A2:A999, 0)), "")</vt:lpwstr>
  </property>
  <property fmtid="{D5CDD505-2E9C-101B-9397-08002B2CF9AE}" pid="797" name="erb.formula.MessageDeliveries.AsOfInstant">
    <vt:lpwstr>IFNA(INDEX(EvaluationContexts!D2:D999, MATCH(AK2,EvaluationContexts!A2:A999, 0)), "")</vt:lpwstr>
  </property>
  <property fmtid="{D5CDD505-2E9C-101B-9397-08002B2CF9AE}" pid="798" name="erb.formula.MessageDeliveries.AgeDays">
    <vt:lpwstr>(INT(AL2) - INT(I2))</vt:lpwstr>
  </property>
  <property fmtid="{D5CDD505-2E9C-101B-9397-08002B2CF9AE}" pid="799" name="erb.formula.MessageDeliveries.IsWithinRetentionWindow">
    <vt:lpwstr>AM2 &lt;= AJ2</vt:lpwstr>
  </property>
  <property fmtid="{D5CDD505-2E9C-101B-9397-08002B2CF9AE}" pid="800" name="erb.formula.MessageDeliveries.HasRenderedBody">
    <vt:lpwstr>H2 &lt;&gt; ""</vt:lpwstr>
  </property>
  <property fmtid="{D5CDD505-2E9C-101B-9397-08002B2CF9AE}" pid="801" name="erb.formula.MessageDeliveries.IsEvidenceRequired">
    <vt:lpwstr>AND(S2, AN2)</vt:lpwstr>
  </property>
  <property fmtid="{D5CDD505-2E9C-101B-9397-08002B2CF9AE}" pid="802" name="erb.formula.MessageDeliveries.IsRetentionBreach">
    <vt:lpwstr>AND(AP2, NOT(AO2))</vt:lpwstr>
  </property>
  <property fmtid="{D5CDD505-2E9C-101B-9397-08002B2CF9AE}" pid="803" name="erb.formula.MessageDeliveries.RetentionBreachExecutionKey">
    <vt:lpwstr>IF(AQ2, C2, "")</vt:lpwstr>
  </property>
  <property fmtid="{D5CDD505-2E9C-101B-9397-08002B2CF9AE}" pid="804" name="erb.formula.MessageDeliveries.SendingStepExecutionStep">
    <vt:lpwstr>IFNA(INDEX(StepExecutions!D2:D999, MATCH(D2,StepExecutions!A2:A999, 0)), "")</vt:lpwstr>
  </property>
  <property fmtid="{D5CDD505-2E9C-101B-9397-08002B2CF9AE}" pid="805" name="erb.formula.MessageDeliveries.ExecutionHasClearedLegalReview">
    <vt:lpwstr>IFNA(INDEX(ProcedureExecutions!AC2:AC999, MATCH(C2,ProcedureExecutions!A2:A999, 0)), "")</vt:lpwstr>
  </property>
  <property fmtid="{D5CDD505-2E9C-101B-9397-08002B2CF9AE}" pid="806" name="erb.formula.MessageDeliveries.IsUnreviewedSend">
    <vt:lpwstr>AND(S2, NOT(AT2))</vt:lpwstr>
  </property>
  <property fmtid="{D5CDD505-2E9C-101B-9397-08002B2CF9AE}" pid="807" name="erb.formula.MessageDeliveries.RenderedBodyLength">
    <vt:lpwstr>LEN(H2)</vt:lpwstr>
  </property>
  <property fmtid="{D5CDD505-2E9C-101B-9397-08002B2CF9AE}" pid="808" name="erb.formula.MessageDeliveries.PolicyMaxMessageLengthAtSend">
    <vt:lpwstr>IFNA(INDEX(CommunicationPolicies!I2:I999, MATCH(O2,CommunicationPolicies!A2:A999, 0)), "")</vt:lpwstr>
  </property>
  <property fmtid="{D5CDD505-2E9C-101B-9397-08002B2CF9AE}" pid="809" name="erb.formula.MessageDeliveries.SegmentCount">
    <vt:lpwstr>IF(AV2 = 0, 0, IF(AV2 &lt;= AW2, 1, ROUNDUP(AV2 / AW2, 0)))</vt:lpwstr>
  </property>
  <property fmtid="{D5CDD505-2E9C-101B-9397-08002B2CF9AE}" pid="810" name="erb.formula.MessageDeliveries.PolicyMaxSegmentsAtSend">
    <vt:lpwstr>IFNA(INDEX(CommunicationPolicies!J2:J999, MATCH(O2,CommunicationPolicies!A2:A999, 0)), "")</vt:lpwstr>
  </property>
  <property fmtid="{D5CDD505-2E9C-101B-9397-08002B2CF9AE}" pid="811" name="erb.formula.MessageDeliveries.IsOverSegmentLimit">
    <vt:lpwstr>AND(S2, AX2 &gt; AY2)</vt:lpwstr>
  </property>
  <property fmtid="{D5CDD505-2E9C-101B-9397-08002B2CF9AE}" pid="812" name="erb.formula.MessageDeliveries.TemplateHasValidApproval">
    <vt:lpwstr>IFNA(INDEX(MessageTemplates!N2:N999, MATCH(F2,MessageTemplates!A2:A999, 0)), "")</vt:lpwstr>
  </property>
  <property fmtid="{D5CDD505-2E9C-101B-9397-08002B2CF9AE}" pid="813" name="erb.formula.MessageDeliveries.IsUnapprovedSend">
    <vt:lpwstr>AND(S2, NOT(BA2))</vt:lpwstr>
  </property>
  <property fmtid="{D5CDD505-2E9C-101B-9397-08002B2CF9AE}" pid="814" name="erb.formula.MessageDeliveries.PolicyRequiredOptOutPhrase">
    <vt:lpwstr>IFNA(INDEX(CommunicationPolicies!T2:T999, MATCH(O2,CommunicationPolicies!A2:A999, 0)), "")</vt:lpwstr>
  </property>
  <property fmtid="{D5CDD505-2E9C-101B-9397-08002B2CF9AE}" pid="815" name="erb.formula.MessageDeliveries.PolicyRequiresOptOut">
    <vt:lpwstr>BC2 &lt;&gt; ""</vt:lpwstr>
  </property>
  <property fmtid="{D5CDD505-2E9C-101B-9397-08002B2CF9AE}" pid="816" name="erb.formula.MessageDeliveries.OptOutPhrasePosition">
    <vt:lpwstr>FIND(BC2, H2)</vt:lpwstr>
  </property>
  <property fmtid="{D5CDD505-2E9C-101B-9397-08002B2CF9AE}" pid="817" name="erb.formula.MessageDeliveries.HasOptOutPhrase">
    <vt:lpwstr>BE2 &gt; 0</vt:lpwstr>
  </property>
  <property fmtid="{D5CDD505-2E9C-101B-9397-08002B2CF9AE}" pid="818" name="erb.formula.MessageDeliveries.IsOptOutInFirstSegment">
    <vt:lpwstr>AND(BF2, BE2 &lt;= AW2)</vt:lpwstr>
  </property>
  <property fmtid="{D5CDD505-2E9C-101B-9397-08002B2CF9AE}" pid="819" name="erb.formula.MessageDeliveries.IsMissingRequiredOptOut">
    <vt:lpwstr>AND(S2, AND(BD2, NOT(BF2)))</vt:lpwstr>
  </property>
  <property fmtid="{D5CDD505-2E9C-101B-9397-08002B2CF9AE}" pid="820" name="erb.formula.MessageDeliveries.IsOptOutAtRiskOfTruncation">
    <vt:lpwstr>AND(S2, AND(BD2, AND(BF2, NOT(BG2))))</vt:lpwstr>
  </property>
  <property fmtid="{D5CDD505-2E9C-101B-9397-08002B2CF9AE}" pid="821" name="erb.formula.MessageDeliveries.IsFailedDelivery">
    <vt:lpwstr>OR(K2 = "Failed", K2 = "Bounced")</vt:lpwstr>
  </property>
  <property fmtid="{D5CDD505-2E9C-101B-9397-08002B2CF9AE}" pid="822" name="erb.formula.MessageDeliveries.IsSuppressed">
    <vt:lpwstr>K2 = "Suppressed"</vt:lpwstr>
  </property>
  <property fmtid="{D5CDD505-2E9C-101B-9397-08002B2CF9AE}" pid="823" name="erb.formula.MessageDeliveries.IsTriaged">
    <vt:lpwstr>M2 &lt;&gt; ""</vt:lpwstr>
  </property>
  <property fmtid="{D5CDD505-2E9C-101B-9397-08002B2CF9AE}" pid="824" name="erb.formula.MessageDeliveries.IsAbandonedFailure">
    <vt:lpwstr>AND(BJ2, NOT(BL2))</vt:lpwstr>
  </property>
  <property fmtid="{D5CDD505-2E9C-101B-9397-08002B2CF9AE}" pid="825" name="erb.formula.MessageDeliveries.AbandonedFailureExecutionKey">
    <vt:lpwstr>IF(BM2, C2, "")</vt:lpwstr>
  </property>
  <property fmtid="{D5CDD505-2E9C-101B-9397-08002B2CF9AE}" pid="826" name="erb.formula.MessageDeliveries.ReachedExecutionKey">
    <vt:lpwstr>IF(K2 = "Delivered", C2, "")</vt:lpwstr>
  </property>
  <property fmtid="{D5CDD505-2E9C-101B-9397-08002B2CF9AE}" pid="827" name="erb.formula.MessageDeliveries.TemplateWasSendable">
    <vt:lpwstr>IFNA(INDEX(MessageTemplates!T2:T999, MATCH(F2,MessageTemplates!A2:A999, 0)), "")</vt:lpwstr>
  </property>
  <property fmtid="{D5CDD505-2E9C-101B-9397-08002B2CF9AE}" pid="828" name="erb.formula.MessageDeliveries.IsDriftedSend">
    <vt:lpwstr>AND(S2, NOT(BP2))</vt:lpwstr>
  </property>
  <property fmtid="{D5CDD505-2E9C-101B-9397-08002B2CF9AE}" pid="829" name="erb.formula.MessageDeliveries.DriftedSendTemplateKey">
    <vt:lpwstr>IF(BQ2, F2, "")</vt:lpwstr>
  </property>
  <property fmtid="{D5CDD505-2E9C-101B-9397-08002B2CF9AE}" pid="830" name="erb.formula.MessageDeliveries.WasSentOutsideBusinessHours">
    <vt:lpwstr>OR(J2 &lt; 8, J2 &gt; 18)</vt:lpwstr>
  </property>
  <property fmtid="{D5CDD505-2E9C-101B-9397-08002B2CF9AE}" pid="831" name="erb.formula.MessageDeliveries.WasDeliveredAndUnanswered">
    <vt:lpwstr>AND(S2, NOT(AD2))</vt:lpwstr>
  </property>
  <property fmtid="{D5CDD505-2E9C-101B-9397-08002B2CF9AE}" pid="832" name="erb.formula.MessageDeliveries.IsPoorlyTimedUnanswered">
    <vt:lpwstr>AND(BT2, BS2)</vt:lpwstr>
  </property>
  <property fmtid="{D5CDD505-2E9C-101B-9397-08002B2CF9AE}" pid="833" name="erb.formula.MessageDeliveries.IsWellTimedUnanswered">
    <vt:lpwstr>AND(BT2, NOT(BS2))</vt:lpwstr>
  </property>
  <property fmtid="{D5CDD505-2E9C-101B-9397-08002B2CF9AE}" pid="834" name="erb.formula.MessageDeliveries.UnansweredTemplateKey">
    <vt:lpwstr>IF(BT2, F2, "")</vt:lpwstr>
  </property>
  <property fmtid="{D5CDD505-2E9C-101B-9397-08002B2CF9AE}" pid="835" name="erb.formula.MessageDeliveries.TransmittedTemplateKey">
    <vt:lpwstr>IF(S2, F2, "")</vt:lpwstr>
  </property>
  <property fmtid="{D5CDD505-2E9C-101B-9397-08002B2CF9AE}" pid="836" name="erb.formula.MessageDeliveries.ApprovalPrecededSend">
    <vt:lpwstr>AND(CA2 &lt;&gt; "", I2 &gt; CA2)</vt:lpwstr>
  </property>
  <property fmtid="{D5CDD505-2E9C-101B-9397-08002B2CF9AE}" pid="837" name="erb.formula.MessageDeliveries.HasFrozenApprovalEvidence">
    <vt:lpwstr>AND(BY2 &lt;&gt; "", CA2 &lt;&gt; "")</vt:lpwstr>
  </property>
  <property fmtid="{D5CDD505-2E9C-101B-9397-08002B2CF9AE}" pid="838" name="erb.formula.MessageDeliveries.ProvenanceIsLiveDerived">
    <vt:lpwstr>NOT(CC2)</vt:lpwstr>
  </property>
  <property fmtid="{D5CDD505-2E9C-101B-9397-08002B2CF9AE}" pid="839" name="erb.formula.MessageDeliveries.CurrentLastApprovalAt">
    <vt:lpwstr>IFNA(INDEX(MessageTemplates!Y2:Y999, MATCH(F2,MessageTemplates!A2:A999, 0)), "")</vt:lpwstr>
  </property>
  <property fmtid="{D5CDD505-2E9C-101B-9397-08002B2CF9AE}" pid="840" name="erb.formula.MessageDeliveries.TemplateReapprovedSinceSend">
    <vt:lpwstr>AND(CE2 &lt;&gt; "", CE2 &gt; I2)</vt:lpwstr>
  </property>
  <property fmtid="{D5CDD505-2E9C-101B-9397-08002B2CF9AE}" pid="841" name="erb.formula.MessageDeliveries.IsUnprovableApprovalClaim">
    <vt:lpwstr>AND(CD2, AND(CF2, BA2))</vt:lpwstr>
  </property>
  <property fmtid="{D5CDD505-2E9C-101B-9397-08002B2CF9AE}" pid="842" name="erb.formula.MessageDeliveries.HasSentReminder">
    <vt:lpwstr>CI2 &gt; 0</vt:lpwstr>
  </property>
  <property fmtid="{D5CDD505-2E9C-101B-9397-08002B2CF9AE}" pid="843" name="erb.formula.MessageDeliveries.AcknowledgementIsOutstanding">
    <vt:lpwstr>AND(S2, AND(AP2, NOT(AD2)))</vt:lpwstr>
  </property>
  <property fmtid="{D5CDD505-2E9C-101B-9397-08002B2CF9AE}" pid="844" name="erb.formula.MessageDeliveries.OutstandingAgeDays">
    <vt:lpwstr>IF(CK2, (INT(AL2) - INT(I2)), 0)</vt:lpwstr>
  </property>
  <property fmtid="{D5CDD505-2E9C-101B-9397-08002B2CF9AE}" pid="845" name="erb.formula.MessageDeliveries.IsUnchasedAcknowledgement">
    <vt:lpwstr>AND(CK2, AND(CL2 &gt; 7, NOT(CJ2)))</vt:lpwstr>
  </property>
  <property fmtid="{D5CDD505-2E9C-101B-9397-08002B2CF9AE}" pid="846" name="erb.formula.MessageDeliveries.IsExhaustedFollowUp">
    <vt:lpwstr>AND(CK2, CI2 &gt;= 3)</vt:lpwstr>
  </property>
  <property fmtid="{D5CDD505-2E9C-101B-9397-08002B2CF9AE}" pid="847" name="erb.formula.MessageDeliveries.NeedsHumanEscalation">
    <vt:lpwstr>AND(CN2, NOT(AF2))</vt:lpwstr>
  </property>
  <property fmtid="{D5CDD505-2E9C-101B-9397-08002B2CF9AE}" pid="848" name="erb.table.MessageDeliveries.description">
    <vt:lpwstr>MessageDeliveries (added by witness loop 1).</vt:lpwstr>
  </property>
  <property fmtid="{D5CDD505-2E9C-101B-9397-08002B2CF9AE}" pid="849" name="erb.formula.TemplateApprovals.Name">
    <vt:lpwstr>C2 &amp; " / " &amp; F2 &amp; " / " &amp; TEXT(G2, "yyyy-mm-dd hh:mm:ss")&amp;"+00"</vt:lpwstr>
  </property>
  <property fmtid="{D5CDD505-2E9C-101B-9397-08002B2CF9AE}" pid="850" name="erb.formula.TemplateApprovals.IsApprovalDecision">
    <vt:lpwstr>F2 = "Approved"</vt:lpwstr>
  </property>
  <property fmtid="{D5CDD505-2E9C-101B-9397-08002B2CF9AE}" pid="851" name="erb.formula.TemplateApprovals.TemplatePolicy">
    <vt:lpwstr>IFNA(INDEX(MessageTemplates!C2:C999, MATCH(C2,MessageTemplates!A2:A999, 0)), "")</vt:lpwstr>
  </property>
  <property fmtid="{D5CDD505-2E9C-101B-9397-08002B2CF9AE}" pid="852" name="erb.formula.TemplateApprovals.RequiredApprovalRole">
    <vt:lpwstr>IFNA(INDEX(CommunicationPolicies!L2:L999, MATCH(K2,CommunicationPolicies!A2:A999, 0)), "")</vt:lpwstr>
  </property>
  <property fmtid="{D5CDD505-2E9C-101B-9397-08002B2CF9AE}" pid="853" name="erb.formula.TemplateApprovals.IsDecidedByRequiredRole">
    <vt:lpwstr>E2 = L2</vt:lpwstr>
  </property>
  <property fmtid="{D5CDD505-2E9C-101B-9397-08002B2CF9AE}" pid="854" name="erb.formula.TemplateApprovals.ValidApprovalTemplateKey">
    <vt:lpwstr>IF(AND(J2, M2), C2, "")</vt:lpwstr>
  </property>
  <property fmtid="{D5CDD505-2E9C-101B-9397-08002B2CF9AE}" pid="855" name="erb.table.TemplateApprovals.description">
    <vt:lpwstr>TemplateApprovals (added by witness loop 1).</vt:lpwstr>
  </property>
  <property fmtid="{D5CDD505-2E9C-101B-9397-08002B2CF9AE}" pid="856" name="erb.formula.SendIntents.Name">
    <vt:lpwstr>E2 &amp; " / " &amp; F2 &amp; " / intent"</vt:lpwstr>
  </property>
  <property fmtid="{D5CDD505-2E9C-101B-9397-08002B2CF9AE}" pid="857" name="erb.formula.SendIntents.IntentPolicy">
    <vt:lpwstr>IFNA(INDEX(MessageTemplates!C2:C999, MATCH(F2,MessageTemplates!A2:A999, 0)), "")</vt:lpwstr>
  </property>
  <property fmtid="{D5CDD505-2E9C-101B-9397-08002B2CF9AE}" pid="858" name="erb.formula.SendIntents.IntentChannel">
    <vt:lpwstr>IFNA(INDEX(CommunicationPolicies!D2:D999, MATCH(K2,CommunicationPolicies!A2:A999, 0)), "")</vt:lpwstr>
  </property>
  <property fmtid="{D5CDD505-2E9C-101B-9397-08002B2CF9AE}" pid="859" name="erb.formula.SendIntents.PolicyIsActive">
    <vt:lpwstr>IFNA(INDEX(CommunicationPolicies!U2:U999, MATCH(K2,CommunicationPolicies!A2:A999, 0)), "")</vt:lpwstr>
  </property>
  <property fmtid="{D5CDD505-2E9C-101B-9397-08002B2CF9AE}" pid="860" name="erb.formula.SendIntents.IntentRequiresConsent">
    <vt:lpwstr>IFNA(INDEX(CommunicationPolicies!F2:F999, MATCH(K2,CommunicationPolicies!A2:A999, 0)), "")</vt:lpwstr>
  </property>
  <property fmtid="{D5CDD505-2E9C-101B-9397-08002B2CF9AE}" pid="861" name="erb.formula.SendIntents.RecipientHasChannelConsent">
    <vt:lpwstr>IFNA(INDEX(Recipients!J2:J999, MATCH(E2,Recipients!A2:A999, 0)), "")</vt:lpwstr>
  </property>
  <property fmtid="{D5CDD505-2E9C-101B-9397-08002B2CF9AE}" pid="862" name="erb.formula.SendIntents.ConsentGatePassed">
    <vt:lpwstr>OR(NOT(N2), O2)</vt:lpwstr>
  </property>
  <property fmtid="{D5CDD505-2E9C-101B-9397-08002B2CF9AE}" pid="863" name="erb.formula.SendIntents.RecipientIsSmsReachable">
    <vt:lpwstr>IFNA(INDEX(Recipients!L2:L999, MATCH(E2,Recipients!A2:A999, 0)), "")</vt:lpwstr>
  </property>
  <property fmtid="{D5CDD505-2E9C-101B-9397-08002B2CF9AE}" pid="864" name="erb.formula.SendIntents.RecipientIsEmailReachable">
    <vt:lpwstr>IFNA(INDEX(Recipients!K2:K999, MATCH(E2,Recipients!A2:A999, 0)), "")</vt:lpwstr>
  </property>
  <property fmtid="{D5CDD505-2E9C-101B-9397-08002B2CF9AE}" pid="865" name="erb.formula.SendIntents.ReachabilityGatePassed">
    <vt:lpwstr>IF(L2 = "SMS", Q2, R2)</vt:lpwstr>
  </property>
  <property fmtid="{D5CDD505-2E9C-101B-9397-08002B2CF9AE}" pid="866" name="erb.formula.SendIntents.PermissionGatePassed">
    <vt:lpwstr>AND(M2, AND(P2, S2))</vt:lpwstr>
  </property>
  <property fmtid="{D5CDD505-2E9C-101B-9397-08002B2CF9AE}" pid="867" name="erb.formula.SendIntents.IntentQuietStartHour">
    <vt:lpwstr>IFNA(INDEX(CommunicationPolicies!Q2:Q999, MATCH(K2,CommunicationPolicies!A2:A999, 0)), "")</vt:lpwstr>
  </property>
  <property fmtid="{D5CDD505-2E9C-101B-9397-08002B2CF9AE}" pid="868" name="erb.formula.SendIntents.IntentQuietEndHour">
    <vt:lpwstr>IFNA(INDEX(CommunicationPolicies!R2:R999, MATCH(K2,CommunicationPolicies!A2:A999, 0)), "")</vt:lpwstr>
  </property>
  <property fmtid="{D5CDD505-2E9C-101B-9397-08002B2CF9AE}" pid="869" name="erb.formula.SendIntents.IntentPolicyHasQuietHours">
    <vt:lpwstr>U2 &lt;&gt; V2</vt:lpwstr>
  </property>
  <property fmtid="{D5CDD505-2E9C-101B-9397-08002B2CF9AE}" pid="870" name="erb.formula.SendIntents.IntentQuietWindowWraps">
    <vt:lpwstr>U2 &gt; V2</vt:lpwstr>
  </property>
  <property fmtid="{D5CDD505-2E9C-101B-9397-08002B2CF9AE}" pid="871" name="erb.formula.SendIntents.IntentIsInsideQuietWindow">
    <vt:lpwstr>IF(X2, OR(H2 &gt;= U2, H2 &lt; V2), AND(H2 &gt;= U2, H2 &lt; V2))</vt:lpwstr>
  </property>
  <property fmtid="{D5CDD505-2E9C-101B-9397-08002B2CF9AE}" pid="872" name="erb.formula.SendIntents.TimingGatePassed">
    <vt:lpwstr>OR(NOT(W2), NOT(Y2))</vt:lpwstr>
  </property>
  <property fmtid="{D5CDD505-2E9C-101B-9397-08002B2CF9AE}" pid="873" name="erb.formula.SendIntents.HoursUntilWindowOpens">
    <vt:lpwstr>IF(Z2, 0, IF(H2 &lt; V2, V2 - H2, 24 - H2 + V2))</vt:lpwstr>
  </property>
  <property fmtid="{D5CDD505-2E9C-101B-9397-08002B2CF9AE}" pid="874" name="erb.formula.SendIntents.IntentMaxMessageLength">
    <vt:lpwstr>IFNA(INDEX(CommunicationPolicies!I2:I999, MATCH(K2,CommunicationPolicies!A2:A999, 0)), "")</vt:lpwstr>
  </property>
  <property fmtid="{D5CDD505-2E9C-101B-9397-08002B2CF9AE}" pid="875" name="erb.formula.SendIntents.IntentMaxSegments">
    <vt:lpwstr>IFNA(INDEX(CommunicationPolicies!J2:J999, MATCH(K2,CommunicationPolicies!A2:A999, 0)), "")</vt:lpwstr>
  </property>
  <property fmtid="{D5CDD505-2E9C-101B-9397-08002B2CF9AE}" pid="876" name="erb.formula.SendIntents.LengthGatePassed">
    <vt:lpwstr>AND(AD2 &gt; 0, AE2 &lt;= AC2)</vt:lpwstr>
  </property>
  <property fmtid="{D5CDD505-2E9C-101B-9397-08002B2CF9AE}" pid="877" name="erb.formula.SendIntents.IntentRequiredOptOutPhrase">
    <vt:lpwstr>IFNA(INDEX(CommunicationPolicies!T2:T999, MATCH(K2,CommunicationPolicies!A2:A999, 0)), "")</vt:lpwstr>
  </property>
  <property fmtid="{D5CDD505-2E9C-101B-9397-08002B2CF9AE}" pid="878" name="erb.formula.SendIntents.OptOutGatePassed">
    <vt:lpwstr>OR(AG2 = "", AND(AH2 &gt; 0, AH2 &lt;= AB2))</vt:lpwstr>
  </property>
  <property fmtid="{D5CDD505-2E9C-101B-9397-08002B2CF9AE}" pid="879" name="erb.formula.SendIntents.ContentGatePassed">
    <vt:lpwstr>AND(AF2, AI2)</vt:lpwstr>
  </property>
  <property fmtid="{D5CDD505-2E9C-101B-9397-08002B2CF9AE}" pid="880" name="erb.formula.SendIntents.TemplateIsSendable">
    <vt:lpwstr>IFNA(INDEX(MessageTemplates!T2:T999, MATCH(F2,MessageTemplates!A2:A999, 0)), "")</vt:lpwstr>
  </property>
  <property fmtid="{D5CDD505-2E9C-101B-9397-08002B2CF9AE}" pid="881" name="erb.formula.SendIntents.ExecutionHasLegalClearance">
    <vt:lpwstr>IFNA(INDEX(ProcedureExecutions!AC2:AC999, MATCH(C2,ProcedureExecutions!A2:A999, 0)), "")</vt:lpwstr>
  </property>
  <property fmtid="{D5CDD505-2E9C-101B-9397-08002B2CF9AE}" pid="882" name="erb.formula.SendIntents.IntentApprovalRole">
    <vt:lpwstr>IFNA(INDEX(CommunicationPolicies!L2:L999, MATCH(K2,CommunicationPolicies!A2:A999, 0)), "")</vt:lpwstr>
  </property>
  <property fmtid="{D5CDD505-2E9C-101B-9397-08002B2CF9AE}" pid="883" name="erb.formula.SendIntents.ApprovalRoleAgentKind">
    <vt:lpwstr>IFNA(INDEX(Roles!F2:F999, MATCH(AM2,Roles!A2:A999, 0)), "")</vt:lpwstr>
  </property>
  <property fmtid="{D5CDD505-2E9C-101B-9397-08002B2CF9AE}" pid="884" name="erb.formula.SendIntents.ApprovalIsHuman">
    <vt:lpwstr>AN2 = "Human"</vt:lpwstr>
  </property>
  <property fmtid="{D5CDD505-2E9C-101B-9397-08002B2CF9AE}" pid="885" name="erb.formula.SendIntents.AuthorizationGatePassed">
    <vt:lpwstr>AND(AK2, AND(AL2, AO2))</vt:lpwstr>
  </property>
  <property fmtid="{D5CDD505-2E9C-101B-9397-08002B2CF9AE}" pid="886" name="erb.formula.SendIntents.IsClearedToSend">
    <vt:lpwstr>AND(T2, AND(Z2, AND(AJ2, AP2)))</vt:lpwstr>
  </property>
  <property fmtid="{D5CDD505-2E9C-101B-9397-08002B2CF9AE}" pid="887" name="erb.formula.SendIntents.BlockingGateName">
    <vt:lpwstr>IF(AQ2, "", IF(NOT(T2), "Permission", IF(NOT(Z2), "Timing", IF(NOT(AJ2), "Content", "Authorization"))))</vt:lpwstr>
  </property>
  <property fmtid="{D5CDD505-2E9C-101B-9397-08002B2CF9AE}" pid="888" name="erb.formula.SendIntents.HasResultingDelivery">
    <vt:lpwstr>J2 &lt;&gt; ""</vt:lpwstr>
  </property>
  <property fmtid="{D5CDD505-2E9C-101B-9397-08002B2CF9AE}" pid="889" name="erb.formula.SendIntents.ResultingDeliveryWasTransmitted">
    <vt:lpwstr>IFNA(INDEX(MessageDeliveries!S2:S999, MATCH(J2,MessageDeliveries!A2:A999, 0)), "")</vt:lpwstr>
  </property>
  <property fmtid="{D5CDD505-2E9C-101B-9397-08002B2CF9AE}" pid="890" name="erb.formula.SendIntents.IsOverriddenRefusal">
    <vt:lpwstr>AND(NOT(AQ2), AND(AS2, AT2))</vt:lpwstr>
  </property>
  <property fmtid="{D5CDD505-2E9C-101B-9397-08002B2CF9AE}" pid="891" name="erb.formula.SendIntents.IsSilentlyDropped">
    <vt:lpwstr>AND(NOT(AQ2), NOT(AS2))</vt:lpwstr>
  </property>
  <property fmtid="{D5CDD505-2E9C-101B-9397-08002B2CF9AE}" pid="892" name="erb.formula.SendIntents.ResultingDeliveryException">
    <vt:lpwstr>IFNA(INDEX(MessageDeliveries!M2:M999, MATCH(J2,MessageDeliveries!A2:A999, 0)), "")</vt:lpwstr>
  </property>
  <property fmtid="{D5CDD505-2E9C-101B-9397-08002B2CF9AE}" pid="893" name="erb.formula.SendIntents.RefusalCitedAnException">
    <vt:lpwstr>AW2 &lt;&gt; ""</vt:lpwstr>
  </property>
  <property fmtid="{D5CDD505-2E9C-101B-9397-08002B2CF9AE}" pid="894" name="erb.formula.SendIntents.IsProperlyHandledRefusal">
    <vt:lpwstr>AND(NOT(AQ2), AND(AS2, AND(NOT(AT2), AX2)))</vt:lpwstr>
  </property>
  <property fmtid="{D5CDD505-2E9C-101B-9397-08002B2CF9AE}" pid="895" name="erb.formula.SendIntents.RefusalFailureExecutionKey">
    <vt:lpwstr>IF(OR(AU2, AV2), C2, "")</vt:lpwstr>
  </property>
  <property fmtid="{D5CDD505-2E9C-101B-9397-08002B2CF9AE}" pid="896" name="erb.formula.SendIntents.IntentExecutionKey">
    <vt:lpwstr>C2</vt:lpwstr>
  </property>
  <property fmtid="{D5CDD505-2E9C-101B-9397-08002B2CF9AE}" pid="897" name="erb.formula.SendIntents.DeliveredIntentExecutionKey">
    <vt:lpwstr>IF(AND(AS2, AT2), C2, "")</vt:lpwstr>
  </property>
  <property fmtid="{D5CDD505-2E9C-101B-9397-08002B2CF9AE}" pid="898" name="erb.formula.SendIntents.DroppedIntentExecutionKey">
    <vt:lpwstr>IF(AV2, C2, "")</vt:lpwstr>
  </property>
  <property fmtid="{D5CDD505-2E9C-101B-9397-08002B2CF9AE}" pid="899" name="erb.formula.SendIntents.MyApprovalWasInForce">
    <vt:lpwstr>AK2</vt:lpwstr>
  </property>
  <property fmtid="{D5CDD505-2E9C-101B-9397-08002B2CF9AE}" pid="900" name="erb.formula.SendIntents.RefusedOnApprovedContent">
    <vt:lpwstr>AND(BD2, NOT(AJ2))</vt:lpwstr>
  </property>
  <property fmtid="{D5CDD505-2E9C-101B-9397-08002B2CF9AE}" pid="901" name="erb.formula.SendIntents.RefusedOnOptOutOnly">
    <vt:lpwstr>AND(NOT(AI2), AF2)</vt:lpwstr>
  </property>
  <property fmtid="{D5CDD505-2E9C-101B-9397-08002B2CF9AE}" pid="902" name="erb.formula.SendIntents.RefusalWasOnMyRules">
    <vt:lpwstr>AND(NOT(AQ2), OR(NOT(AJ2), NOT(Z2)))</vt:lpwstr>
  </property>
  <property fmtid="{D5CDD505-2E9C-101B-9397-08002B2CF9AE}" pid="903" name="erb.formula.SendIntents.RefusalWasOutsideMyControl">
    <vt:lpwstr>AND(NOT(AQ2), OR(NOT(T2), NOT(AP2)))</vt:lpwstr>
  </property>
  <property fmtid="{D5CDD505-2E9C-101B-9397-08002B2CF9AE}" pid="904" name="erb.formula.SendIntents.IsUnreportedRefusalOnMyRules">
    <vt:lpwstr>AND(BG2, NOT(BI2))</vt:lpwstr>
  </property>
  <property fmtid="{D5CDD505-2E9C-101B-9397-08002B2CF9AE}" pid="905" name="erb.formula.SendIntents.IsApprovalOverriddenSilently">
    <vt:lpwstr>AND(BE2, NOT(BI2))</vt:lpwstr>
  </property>
  <property fmtid="{D5CDD505-2E9C-101B-9397-08002B2CF9AE}" pid="906" name="erb.formula.SendIntents.HasAlternateChannelAttempt">
    <vt:lpwstr>BL2 &lt;&gt; ""</vt:lpwstr>
  </property>
  <property fmtid="{D5CDD505-2E9C-101B-9397-08002B2CF9AE}" pid="907" name="erb.formula.SendIntents.AlternateAttemptWasCleared">
    <vt:lpwstr>IFNA(INDEX(AQ2, MATCH(BL2,A2, 0)), "")</vt:lpwstr>
  </property>
  <property fmtid="{D5CDD505-2E9C-101B-9397-08002B2CF9AE}" pid="908" name="erb.formula.SendIntents.IsRefusedWithNoAlternative">
    <vt:lpwstr>AND(NOT(AQ2), NOT(BM2))</vt:lpwstr>
  </property>
  <property fmtid="{D5CDD505-2E9C-101B-9397-08002B2CF9AE}" pid="909" name="erb.formula.SendIntents.ExceptionPrescribedAnAlternative">
    <vt:lpwstr>AND(AX2, AW2 &lt;&gt; "")</vt:lpwstr>
  </property>
  <property fmtid="{D5CDD505-2E9C-101B-9397-08002B2CF9AE}" pid="910" name="erb.formula.SendIntents.PrescribedHandlingWasPerformed">
    <vt:lpwstr>AND(BP2, AND(BM2, BN2))</vt:lpwstr>
  </property>
  <property fmtid="{D5CDD505-2E9C-101B-9397-08002B2CF9AE}" pid="911" name="erb.formula.SendIntents.IsSuppressionWithoutRemedy">
    <vt:lpwstr>AND(BP2, NOT(BQ2))</vt:lpwstr>
  </property>
  <property fmtid="{D5CDD505-2E9C-101B-9397-08002B2CF9AE}" pid="912" name="erb.formula.SendIntents.HasDurableRefusalRecord">
    <vt:lpwstr>BS2 &lt;&gt; ""</vt:lpwstr>
  </property>
  <property fmtid="{D5CDD505-2E9C-101B-9397-08002B2CF9AE}" pid="913" name="erb.formula.SendIntents.RefusalWasEscalated">
    <vt:lpwstr>BT2 &lt;&gt; ""</vt:lpwstr>
  </property>
  <property fmtid="{D5CDD505-2E9C-101B-9397-08002B2CF9AE}" pid="914" name="erb.formula.SendIntents.IsUnrecordedRefusal">
    <vt:lpwstr>AND(AV2, AND(NOT(BU2), NOT(AX2)))</vt:lpwstr>
  </property>
  <property fmtid="{D5CDD505-2E9C-101B-9397-08002B2CF9AE}" pid="915" name="erb.formula.SendIntents.IsUnescalatedRefusal">
    <vt:lpwstr>AND(NOT(AQ2), NOT(BV2))</vt:lpwstr>
  </property>
  <property fmtid="{D5CDD505-2E9C-101B-9397-08002B2CF9AE}" pid="916" name="erb.formula.SendIntents.UnescalatedRefusalRoleKey">
    <vt:lpwstr>IF(BW2, BT2, "")</vt:lpwstr>
  </property>
  <property fmtid="{D5CDD505-2E9C-101B-9397-08002B2CF9AE}" pid="917" name="erb.formula.SendIntents.UnrecordedRefusalExecutionKey">
    <vt:lpwstr>IF(BW2, C2, "")</vt:lpwstr>
  </property>
  <property fmtid="{D5CDD505-2E9C-101B-9397-08002B2CF9AE}" pid="918" name="erb.formula.SendIntents.WasDeferredOnTiming">
    <vt:lpwstr>AND(NOT(Z2), AND(T2, AJ2))</vt:lpwstr>
  </property>
  <property fmtid="{D5CDD505-2E9C-101B-9397-08002B2CF9AE}" pid="919" name="erb.formula.SendIntents.AsOfInstant">
    <vt:lpwstr>IFNA(INDEX(EvaluationContexts!D2:D999, MATCH(CC2,EvaluationContexts!A2:A999, 0)), "")</vt:lpwstr>
  </property>
  <property fmtid="{D5CDD505-2E9C-101B-9397-08002B2CF9AE}" pid="920" name="erb.formula.SendIntents.WindowHasSinceReopened">
    <vt:lpwstr>AND(AA2 &gt; 0, DATETIME_DIFF(CD2, I2, "hours") &gt; AA2)</vt:lpwstr>
  </property>
  <property fmtid="{D5CDD505-2E9C-101B-9397-08002B2CF9AE}" pid="921" name="erb.formula.SendIntents.HasRetryAttempt">
    <vt:lpwstr>CA2 &lt;&gt; ""</vt:lpwstr>
  </property>
  <property fmtid="{D5CDD505-2E9C-101B-9397-08002B2CF9AE}" pid="922" name="erb.formula.SendIntents.RetryWasCleared">
    <vt:lpwstr>IFNA(INDEX(AQ2, MATCH(CA2,A2, 0)), "")</vt:lpwstr>
  </property>
  <property fmtid="{D5CDD505-2E9C-101B-9397-08002B2CF9AE}" pid="923" name="erb.formula.SendIntents.IsAbandonedDeferral">
    <vt:lpwstr>AND(CB2, AND(CE2, NOT(CF2)))</vt:lpwstr>
  </property>
  <property fmtid="{D5CDD505-2E9C-101B-9397-08002B2CF9AE}" pid="924" name="erb.formula.SendIntents.DeferralAgeHours">
    <vt:lpwstr>DATETIME_DIFF(CD2, I2, "hours")</vt:lpwstr>
  </property>
  <property fmtid="{D5CDD505-2E9C-101B-9397-08002B2CF9AE}" pid="925" name="erb.formula.SendIntents.IsStaleDeferral">
    <vt:lpwstr>AND(CB2, CI2 &gt; 24)</vt:lpwstr>
  </property>
  <property fmtid="{D5CDD505-2E9C-101B-9397-08002B2CF9AE}" pid="926" name="erb.formula.SendIntents.EnforcedByUnauthorizedAgent">
    <vt:lpwstr>IFNA(INDEX(RoleAssignments!BJ2:BJ999, MATCH(CK2,RoleAssignments!A2:A999, 0)), "")</vt:lpwstr>
  </property>
  <property fmtid="{D5CDD505-2E9C-101B-9397-08002B2CF9AE}" pid="927" name="erb.formula.SendIntents.ConsentInputWasResolvable">
    <vt:lpwstr>CN2 &lt;&gt; ""</vt:lpwstr>
  </property>
  <property fmtid="{D5CDD505-2E9C-101B-9397-08002B2CF9AE}" pid="928" name="erb.formula.SendIntents.RecipientConsentStatusRaw">
    <vt:lpwstr>IFNA(INDEX(Recipients!G2:G999, MATCH(E2,Recipients!A2:A999, 0)), "")</vt:lpwstr>
  </property>
  <property fmtid="{D5CDD505-2E9C-101B-9397-08002B2CF9AE}" pid="929" name="erb.formula.SendIntents.PolicyInputWasResolvable">
    <vt:lpwstr>K2 &lt;&gt; ""</vt:lpwstr>
  </property>
  <property fmtid="{D5CDD505-2E9C-101B-9397-08002B2CF9AE}" pid="930" name="erb.formula.SendIntents.AllGateInputsResolved">
    <vt:lpwstr>AND(CM2, CO2)</vt:lpwstr>
  </property>
  <property fmtid="{D5CDD505-2E9C-101B-9397-08002B2CF9AE}" pid="931" name="erb.formula.SendIntents.IsUnevaluableRefusal">
    <vt:lpwstr>AND(NOT(AQ2), NOT(CP2))</vt:lpwstr>
  </property>
  <property fmtid="{D5CDD505-2E9C-101B-9397-08002B2CF9AE}" pid="932" name="erb.formula.SendIntents.IsSelfWitnessedDecision">
    <vt:lpwstr>NOT(CR2)</vt:lpwstr>
  </property>
  <property fmtid="{D5CDD505-2E9C-101B-9397-08002B2CF9AE}" pid="933" name="erb.formula.SendIntents.IsIndependentlyConfirmed">
    <vt:lpwstr>AND(AS2, AT2)</vt:lpwstr>
  </property>
  <property fmtid="{D5CDD505-2E9C-101B-9397-08002B2CF9AE}" pid="934" name="erb.formula.SendIntents.IndependentlyConfirmedExecutionKey">
    <vt:lpwstr>IF(CT2, C2, "")</vt:lpwstr>
  </property>
  <property fmtid="{D5CDD505-2E9C-101B-9397-08002B2CF9AE}" pid="935" name="erb.table.SendIntents.description">
    <vt:lpwstr>SendIntents (added by witness loop 1).</vt:lpwstr>
  </property>
  <property fmtid="{D5CDD505-2E9C-101B-9397-08002B2CF9AE}" pid="936" name="erb.formula.AgentDecisionRecords.Name">
    <vt:lpwstr>D2 &amp; ": " &amp; LEFT(F2, 60)</vt:lpwstr>
  </property>
  <property fmtid="{D5CDD505-2E9C-101B-9397-08002B2CF9AE}" pid="937" name="erb.formula.AgentDecisionRecords.WasOverridden">
    <vt:lpwstr>OR(I2 = "Corrected", I2 = "Reversed")</vt:lpwstr>
  </property>
  <property fmtid="{D5CDD505-2E9C-101B-9397-08002B2CF9AE}" pid="938" name="erb.formula.AgentDecisionRecords.WasReviewed">
    <vt:lpwstr>AND(I2 &lt;&gt; "", I2 &lt;&gt; "NotReviewed")</vt:lpwstr>
  </property>
  <property fmtid="{D5CDD505-2E9C-101B-9397-08002B2CF9AE}" pid="939" name="erb.formula.AgentDecisionRecords.DecidingAgentKind">
    <vt:lpwstr>IFNA(INDEX(Agents!D2:D999, MATCH(D2,Agents!A2:A999, 0)), "")</vt:lpwstr>
  </property>
  <property fmtid="{D5CDD505-2E9C-101B-9397-08002B2CF9AE}" pid="940" name="erb.formula.AgentDecisionRecords.DecidingAgentWhenOverridden">
    <vt:lpwstr>IF(L2, D2, "")</vt:lpwstr>
  </property>
  <property fmtid="{D5CDD505-2E9C-101B-9397-08002B2CF9AE}" pid="941" name="erb.formula.AgentDecisionRecords.RoleAssignmentWhenScored">
    <vt:lpwstr>IF(P2 &lt;&gt; "", P2, "")</vt:lpwstr>
  </property>
  <property fmtid="{D5CDD505-2E9C-101B-9397-08002B2CF9AE}" pid="942" name="erb.formula.AgentDecisionRecords.RoleAssignmentWhenOverridden">
    <vt:lpwstr>IF(L2, P2, "")</vt:lpwstr>
  </property>
  <property fmtid="{D5CDD505-2E9C-101B-9397-08002B2CF9AE}" pid="943" name="erb.formula.AgentDecisionRecords.StepOfDecision">
    <vt:lpwstr>IFNA(INDEX(StepExecutions!D2:D999, MATCH(C2,StepExecutions!A2:A999, 0)), "")</vt:lpwstr>
  </property>
  <property fmtid="{D5CDD505-2E9C-101B-9397-08002B2CF9AE}" pid="944" name="erb.formula.AgentDecisionRecords.BoundaryMatchKey">
    <vt:lpwstr>S2 &amp; "|" &amp; N2 &amp; "|" &amp; E2</vt:lpwstr>
  </property>
  <property fmtid="{D5CDD505-2E9C-101B-9397-08002B2CF9AE}" pid="945" name="erb.formula.AgentDecisionRecords.MatchingBoundaryCount">
    <vt:lpwstr>COUNTIFS(AuthorityBoundaries!Q2:Q999, T2)</vt:lpwstr>
  </property>
  <property fmtid="{D5CDD505-2E9C-101B-9397-08002B2CF9AE}" pid="946" name="erb.formula.AgentDecisionRecords.ViolatedAuthorityBoundary">
    <vt:lpwstr>U2 &gt; 0</vt:lpwstr>
  </property>
  <property fmtid="{D5CDD505-2E9C-101B-9397-08002B2CF9AE}" pid="947" name="erb.formula.AgentDecisionRecords.ReviewerAgentKind">
    <vt:lpwstr>IFNA(INDEX(Agents!D2:D999, MATCH(J2,Agents!A2:A999, 0)), "")</vt:lpwstr>
  </property>
  <property fmtid="{D5CDD505-2E9C-101B-9397-08002B2CF9AE}" pid="948" name="erb.formula.AgentDecisionRecords.HasHumanConfirmation">
    <vt:lpwstr>AND(W2 = "Human", I2 &lt;&gt; "", I2 &lt;&gt; "NotReviewed")</vt:lpwstr>
  </property>
  <property fmtid="{D5CDD505-2E9C-101B-9397-08002B2CF9AE}" pid="949" name="erb.formula.AgentDecisionRecords.NeedsHumanConfirmation">
    <vt:lpwstr>AND(NOT(N2 = "Human"), OR(H2 = "Material", H2 = "Escalated"))</vt:lpwstr>
  </property>
  <property fmtid="{D5CDD505-2E9C-101B-9397-08002B2CF9AE}" pid="950" name="erb.formula.AgentDecisionRecords.IsUnconfirmedNonHumanDecision">
    <vt:lpwstr>AND(Y2, NOT(X2))</vt:lpwstr>
  </property>
  <property fmtid="{D5CDD505-2E9C-101B-9397-08002B2CF9AE}" pid="951" name="erb.formula.AgentDecisionRecords.StepExecutionWhenUnconfirmed">
    <vt:lpwstr>IF(Z2, C2, "")</vt:lpwstr>
  </property>
  <property fmtid="{D5CDD505-2E9C-101B-9397-08002B2CF9AE}" pid="952" name="erb.formula.AgentDecisionRecords.AgentWhenBoundaryViolated">
    <vt:lpwstr>IF(V2, D2, "")</vt:lpwstr>
  </property>
  <property fmtid="{D5CDD505-2E9C-101B-9397-08002B2CF9AE}" pid="953" name="erb.formula.AgentDecisionRecords.ReviewLatencyMinutes">
    <vt:lpwstr>IF(K2 = "", 0, DATETIME_DIFF(K2, G2, "minutes"))</vt:lpwstr>
  </property>
  <property fmtid="{D5CDD505-2E9C-101B-9397-08002B2CF9AE}" pid="954" name="erb.formula.AgentDecisionRecords.IsDraftKind">
    <vt:lpwstr>OR(E2 = "Draft", E2 = "Commitment")</vt:lpwstr>
  </property>
  <property fmtid="{D5CDD505-2E9C-101B-9397-08002B2CF9AE}" pid="955" name="erb.formula.AgentDecisionRecords.AgentWhenDraftOverridden">
    <vt:lpwstr>IF(AND(AD2, L2), D2, "")</vt:lpwstr>
  </property>
  <property fmtid="{D5CDD505-2E9C-101B-9397-08002B2CF9AE}" pid="956" name="erb.formula.AgentDecisionRecords.AgentWhenDraft">
    <vt:lpwstr>IF(AD2, D2, "")</vt:lpwstr>
  </property>
  <property fmtid="{D5CDD505-2E9C-101B-9397-08002B2CF9AE}" pid="957" name="erb.formula.AgentDecisionRecords.IsErrorCorrection">
    <vt:lpwstr>AND(L2, AG2 = "ErrorCorrection")</vt:lpwstr>
  </property>
  <property fmtid="{D5CDD505-2E9C-101B-9397-08002B2CF9AE}" pid="958" name="erb.formula.AgentDecisionRecords.IsReservedJudgmentOverride">
    <vt:lpwstr>AND(L2, AG2 = "JudgmentReserved")</vt:lpwstr>
  </property>
  <property fmtid="{D5CDD505-2E9C-101B-9397-08002B2CF9AE}" pid="959" name="erb.formula.AgentDecisionRecords.OverrideReasonIsRecorded">
    <vt:lpwstr>AND(L2, AG2 &lt;&gt; "")</vt:lpwstr>
  </property>
  <property fmtid="{D5CDD505-2E9C-101B-9397-08002B2CF9AE}" pid="960" name="erb.formula.AgentDecisionRecords.IsUnexplainedOverride">
    <vt:lpwstr>AND(L2, NOT(AJ2))</vt:lpwstr>
  </property>
  <property fmtid="{D5CDD505-2E9C-101B-9397-08002B2CF9AE}" pid="961" name="erb.formula.AgentDecisionRecords.ErrorCorrectionRoleAssignmentKey">
    <vt:lpwstr>IF(AH2, P2, "")</vt:lpwstr>
  </property>
  <property fmtid="{D5CDD505-2E9C-101B-9397-08002B2CF9AE}" pid="962" name="erb.formula.AgentDecisionRecords.BoundaryViolationRoleAssignmentKey">
    <vt:lpwstr>IF(V2, P2, "")</vt:lpwstr>
  </property>
  <property fmtid="{D5CDD505-2E9C-101B-9397-08002B2CF9AE}" pid="963" name="erb.table.AgentDecisionRecords.description">
    <vt:lpwstr>AgentDecisionRecords (added by witness loop 1).</vt:lpwstr>
  </property>
  <property fmtid="{D5CDD505-2E9C-101B-9397-08002B2CF9AE}" pid="964" name="erb.formula.DeliveredCommunications.Name">
    <vt:lpwstr>G2 &amp; " -&gt; " &amp; H2 &amp; " @ " &amp; TEXT(I2, "yyyy-mm-dd hh:mm:ss")&amp;"+00"</vt:lpwstr>
  </property>
  <property fmtid="{D5CDD505-2E9C-101B-9397-08002B2CF9AE}" pid="965" name="erb.formula.DeliveredCommunications.HasAuthorization">
    <vt:lpwstr>E2 &lt;&gt; ""</vt:lpwstr>
  </property>
  <property fmtid="{D5CDD505-2E9C-101B-9397-08002B2CF9AE}" pid="966" name="erb.formula.DeliveredCommunications.ContentMatchesApproval">
    <vt:lpwstr>J2 = K2</vt:lpwstr>
  </property>
  <property fmtid="{D5CDD505-2E9C-101B-9397-08002B2CF9AE}" pid="967" name="erb.formula.DeliveredCommunications.AuthorizedAt">
    <vt:lpwstr>IFNA(INDEX(StepExecutions!H2:H999, MATCH(E2,StepExecutions!A2:A999, 0)), "")</vt:lpwstr>
  </property>
  <property fmtid="{D5CDD505-2E9C-101B-9397-08002B2CF9AE}" pid="968" name="erb.formula.DeliveredCommunications.WasApprovedBeforeSending">
    <vt:lpwstr>P2 &lt;= I2</vt:lpwstr>
  </property>
  <property fmtid="{D5CDD505-2E9C-101B-9397-08002B2CF9AE}" pid="969" name="erb.formula.DeliveredCommunications.IsDefensible">
    <vt:lpwstr>AND(N2, O2, Q2)</vt:lpwstr>
  </property>
  <property fmtid="{D5CDD505-2E9C-101B-9397-08002B2CF9AE}" pid="970" name="erb.table.DeliveredCommunications.description#1">
    <vt:lpwstr>Everything above is a proxy for the real question, which is instance-level: THIS message, to THIS recipient, rendered from THIS template, authorized by THIS approval. The model has MessageTemplates and CommunicationPolicies as specifications and no r</vt:lpwstr>
  </property>
  <property fmtid="{D5CDD505-2E9C-101B-9397-08002B2CF9AE}" pid="971" name="erb.table.DeliveredCommunications.description#2">
    <vt:lpwstr>ecord of a single thing ever sent. Without an instance table, 'can I show that what was sent matched what I approved' is permanently unanswerable rather than merely unanswered — and it is the question a disputing employee actually asks. Extension ter</vt:lpwstr>
  </property>
  <property fmtid="{D5CDD505-2E9C-101B-9397-08002B2CF9AE}" pid="972" name="erb.table.DeliveredCommunications.description#3">
    <vt:lpwstr>m (urn:effortless:pko-extension#DeliveredCommunication); PKO has no native class for a delivered artifact instance.</vt:lpwstr>
  </property>
  <property fmtid="{D5CDD505-2E9C-101B-9397-08002B2CF9AE}" pid="973" name="erb.formula.AuthorityBoundaries.Name">
    <vt:lpwstr>D2 &amp; " may not " &amp; E2</vt:lpwstr>
  </property>
  <property fmtid="{D5CDD505-2E9C-101B-9397-08002B2CF9AE}" pid="974" name="erb.formula.AuthorityBoundaries.AsOfInstant">
    <vt:lpwstr>IFNA(INDEX(EvaluationContexts!D2:D999, MATCH(L2,EvaluationContexts!A2:A999, 0)), "")</vt:lpwstr>
  </property>
  <property fmtid="{D5CDD505-2E9C-101B-9397-08002B2CF9AE}" pid="975" name="erb.formula.AuthorityBoundaries.IsCurrentlyBinding">
    <vt:lpwstr>AND(K2 = "Approved", I2 &lt;= M2, OR(J2 = "", J2 &gt; M2))</vt:lpwstr>
  </property>
  <property fmtid="{D5CDD505-2E9C-101B-9397-08002B2CF9AE}" pid="976" name="erb.formula.AuthorityBoundaries.RatifyingFragmentIsValid">
    <vt:lpwstr>IFNA(INDEX(KnowledgeFragments!P2:P999, MATCH(F2,KnowledgeFragments!A2:A999, 0)), "")</vt:lpwstr>
  </property>
  <property fmtid="{D5CDD505-2E9C-101B-9397-08002B2CF9AE}" pid="977" name="erb.formula.AuthorityBoundaries.StepWhenBinding">
    <vt:lpwstr>IF(N2, C2, "")</vt:lpwstr>
  </property>
  <property fmtid="{D5CDD505-2E9C-101B-9397-08002B2CF9AE}" pid="978" name="erb.formula.AuthorityBoundaries.BoundaryMatchKey">
    <vt:lpwstr>C2 &amp; "|" &amp; D2 &amp; "|" &amp; E2</vt:lpwstr>
  </property>
  <property fmtid="{D5CDD505-2E9C-101B-9397-08002B2CF9AE}" pid="979" name="erb.formula.AuthorityBoundaries.ViolationCount">
    <vt:lpwstr>COUNTIFS(AgentDecisionRecords!T2:T999, Q2)</vt:lpwstr>
  </property>
  <property fmtid="{D5CDD505-2E9C-101B-9397-08002B2CF9AE}" pid="980" name="erb.formula.AuthorityBoundaries.IsUntested">
    <vt:lpwstr>AND(N2, R2 = 0)</vt:lpwstr>
  </property>
  <property fmtid="{D5CDD505-2E9C-101B-9397-08002B2CF9AE}" pid="981" name="erb.formula.AuthorityBoundaries.HasRatifyingFragment">
    <vt:lpwstr>F2 &lt;&gt; ""</vt:lpwstr>
  </property>
  <property fmtid="{D5CDD505-2E9C-101B-9397-08002B2CF9AE}" pid="982" name="erb.formula.AuthorityBoundaries.IsUnwarranted">
    <vt:lpwstr>AND(N2, OR(NOT(T2), NOT(O2)))</vt:lpwstr>
  </property>
  <property fmtid="{D5CDD505-2E9C-101B-9397-08002B2CF9AE}" pid="983" name="erb.formula.AuthorityBoundaries.RatifyingFragmentIsOverdue">
    <vt:lpwstr>IFNA(INDEX(KnowledgeFragments!AW2:AW999, MATCH(F2,KnowledgeFragments!A2:A999, 0)), "")</vt:lpwstr>
  </property>
  <property fmtid="{D5CDD505-2E9C-101B-9397-08002B2CF9AE}" pid="984" name="erb.formula.AuthorityBoundaries.RatifyingFragmentIsSingleWitness">
    <vt:lpwstr>IFNA(INDEX(KnowledgeFragments!AD2:AD999, MATCH(F2,KnowledgeFragments!A2:A999, 0)), "")</vt:lpwstr>
  </property>
  <property fmtid="{D5CDD505-2E9C-101B-9397-08002B2CF9AE}" pid="985" name="erb.formula.AuthorityBoundaries.WarrantIsThin">
    <vt:lpwstr>AND(N2, OR(V2, W2))</vt:lpwstr>
  </property>
  <property fmtid="{D5CDD505-2E9C-101B-9397-08002B2CF9AE}" pid="986" name="erb.formula.AuthorityBoundaries.IsUnwarrantedAndUntested">
    <vt:lpwstr>AND(U2, S2)</vt:lpwstr>
  </property>
  <property fmtid="{D5CDD505-2E9C-101B-9397-08002B2CF9AE}" pid="987" name="erb.formula.AuthorityBoundaries.UnwarrantedBoundaryStepKey">
    <vt:lpwstr>IF(U2, C2, "")</vt:lpwstr>
  </property>
  <property fmtid="{D5CDD505-2E9C-101B-9397-08002B2CF9AE}" pid="988" name="erb.formula.AuthorityBoundaries.RatifyingFragmentKey">
    <vt:lpwstr>IF(N2, F2, "")</vt:lpwstr>
  </property>
  <property fmtid="{D5CDD505-2E9C-101B-9397-08002B2CF9AE}" pid="989" name="erb.formula.AuthorityBoundaries.RatifyingFragmentStatus">
    <vt:lpwstr>IFNA(INDEX(KnowledgeFragments!L2:L999, MATCH(F2,KnowledgeFragments!A2:A999, 0)), "")</vt:lpwstr>
  </property>
  <property fmtid="{D5CDD505-2E9C-101B-9397-08002B2CF9AE}" pid="990" name="erb.formula.AuthorityBoundaries.RatificationLapsed">
    <vt:lpwstr>AND(T2, NOT(O2))</vt:lpwstr>
  </property>
  <property fmtid="{D5CDD505-2E9C-101B-9397-08002B2CF9AE}" pid="991" name="erb.formula.AuthorityBoundaries.BindsDespiteLapsedRatification">
    <vt:lpwstr>AND(N2, AC2)</vt:lpwstr>
  </property>
  <property fmtid="{D5CDD505-2E9C-101B-9397-08002B2CF9AE}" pid="992" name="erb.formula.AuthorityBoundaries.IsUngroundedAndUntested">
    <vt:lpwstr>AND(AD2, S2)</vt:lpwstr>
  </property>
  <property fmtid="{D5CDD505-2E9C-101B-9397-08002B2CF9AE}" pid="993" name="erb.formula.AuthorityBoundaries.ConstrainedRoleAssignmentKey">
    <vt:lpwstr>IF(AD2, H2, "")</vt:lpwstr>
  </property>
  <property fmtid="{D5CDD505-2E9C-101B-9397-08002B2CF9AE}" pid="994" name="erb.table.AuthorityBoundaries.description">
    <vt:lpwstr>AuthorityBoundaries (added by witness loop 1).</vt:lpwstr>
  </property>
  <property fmtid="{D5CDD505-2E9C-101B-9397-08002B2CF9AE}" pid="995" name="erb.table.BindingObservations.description">
    <vt:lpwstr>BindingObservations (added by witness loop 2).</vt:lpwstr>
  </property>
  <property fmtid="{D5CDD505-2E9C-101B-9397-08002B2CF9AE}" pid="996" name="erb.table.Attestations.description">
    <vt:lpwstr>Attestations (added by witness loop 2).</vt:lpwstr>
  </property>
  <property fmtid="{D5CDD505-2E9C-101B-9397-08002B2CF9AE}" pid="997" name="erb.formula.AppRoleProfiles.Name">
    <vt:lpwstr>D2 &amp; " (" &amp; E2 &amp; ")"</vt:lpwstr>
  </property>
  <property fmtid="{D5CDD505-2E9C-101B-9397-08002B2CF9AE}" pid="998" name="erb.formula.AppRoleProfiles.RouteCount">
    <vt:lpwstr>COUNTIFS(AppRoutes!F2:F999, C2)</vt:lpwstr>
  </property>
  <property fmtid="{D5CDD505-2E9C-101B-9397-08002B2CF9AE}" pid="999" name="erb.table.AppRoleProfiles.description">
    <vt:lpwstr>One row per role, carrying how that role is presented: its accent colour, its 128x128 icon, and the login-card copy. Presentation is data, so the app never hardcodes a colour or a label per role.</vt:lpwstr>
  </property>
  <property fmtid="{D5CDD505-2E9C-101B-9397-08002B2CF9AE}" pid="1000" name="erb.formula.AppNavGroups.Name">
    <vt:lpwstr>C2</vt:lpwstr>
  </property>
  <property fmtid="{D5CDD505-2E9C-101B-9397-08002B2CF9AE}" pid="1001" name="erb.formula.AppNavGroups.RouteCount">
    <vt:lpwstr>COUNTIFS(AppRoutes!G2:G999, A2)</vt:lpwstr>
  </property>
  <property fmtid="{D5CDD505-2E9C-101B-9397-08002B2CF9AE}" pid="1002" name="erb.table.AppNavGroups.description">
    <vt:lpwstr>The left-navigation section headers. A route names the group it appears under; the nav renders the groups its active role actually uses.</vt:lpwstr>
  </property>
  <property fmtid="{D5CDD505-2E9C-101B-9397-08002B2CF9AE}" pid="1003" name="erb.formula.AppRoutes.Name">
    <vt:lpwstr>D2 &amp; " — " &amp; C2</vt:lpwstr>
  </property>
  <property fmtid="{D5CDD505-2E9C-101B-9397-08002B2CF9AE}" pid="1004" name="erb.formula.AppRoutes.IsInNav">
    <vt:lpwstr>G2 &lt;&gt; ""</vt:lpwstr>
  </property>
  <property fmtid="{D5CDD505-2E9C-101B-9397-08002B2CF9AE}" pid="1005" name="erb.formula.AppRoutes.IsShared">
    <vt:lpwstr>AND(F2 = "", E2 = "domain")</vt:lpwstr>
  </property>
  <property fmtid="{D5CDD505-2E9C-101B-9397-08002B2CF9AE}" pid="1006" name="erb.formula.AppRoutes.IsMaintainer">
    <vt:lpwstr>E2 = "maintainer"</vt:lpwstr>
  </property>
  <property fmtid="{D5CDD505-2E9C-101B-9397-08002B2CF9AE}" pid="1007" name="erb.formula.AppRoutes.QuestionCount">
    <vt:lpwstr>COUNTIFS(AppRouteQuestions!C2:C999, A2)</vt:lpwstr>
  </property>
  <property fmtid="{D5CDD505-2E9C-101B-9397-08002B2CF9AE}" pid="1008" name="erb.formula.AppRoutes.ReferenceCount">
    <vt:lpwstr>COUNTIFS(AppRouteReferences!C2:C999, A2)</vt:lpwstr>
  </property>
  <property fmtid="{D5CDD505-2E9C-101B-9397-08002B2CF9AE}" pid="1009" name="erb.formula.AppRoutes.AnswersNoQuestion">
    <vt:lpwstr>AND(O2 = 0, M2 = FALSE, N2 = FALSE, I2 &lt;&gt; "index")</vt:lpwstr>
  </property>
  <property fmtid="{D5CDD505-2E9C-101B-9397-08002B2CF9AE}" pid="1010" name="erb.table.AppRoutes.description#1">
    <vt:lpwstr>One row per screen in the role-navigated application, as /{role}/{dashboard}/{entity...}. Each carries its purpose in the owning role's voice and brief layout hints, so a later build session has the brief without re-deriving it. Shared detail routes </vt:lpwstr>
  </property>
  <property fmtid="{D5CDD505-2E9C-101B-9397-08002B2CF9AE}" pid="1011" name="erb.table.AppRoutes.description#2">
    <vt:lpwstr>have no owning role.</vt:lpwstr>
  </property>
  <property fmtid="{D5CDD505-2E9C-101B-9397-08002B2CF9AE}" pid="1012" name="erb.formula.AppRouteQuestions.Name">
    <vt:lpwstr>C2 &amp; " answers " &amp; D2</vt:lpwstr>
  </property>
  <property fmtid="{D5CDD505-2E9C-101B-9397-08002B2CF9AE}" pid="1013" name="erb.table.AppRouteQuestions.description">
    <vt:lpwstr>Junction: which RoleQuestions each route helps answer. Deliberately many-to-many — a question is answered across several routes and a route serves several questions. It is not, and should not become, 1:1.</vt:lpwstr>
  </property>
  <property fmtid="{D5CDD505-2E9C-101B-9397-08002B2CF9AE}" pid="1014" name="erb.formula.AppRouteReferences.Name">
    <vt:lpwstr>C2 &amp; " -&gt; " &amp; D2</vt:lpwstr>
  </property>
  <property fmtid="{D5CDD505-2E9C-101B-9397-08002B2CF9AE}" pid="1015" name="erb.table.AppRouteReferences.description">
    <vt:lpwstr>Junction: which other routes a route links to. This is the navigation graph between screens, kept as rows rather than embedded lists so the canonical model stays a DAG.</vt:lpwstr>
  </property>
  <property fmtid="{D5CDD505-2E9C-101B-9397-08002B2CF9AE}" pid="1016" name="erb.formula.RulebookTables.Name">
    <vt:lpwstr>B2</vt:lpwstr>
  </property>
  <property fmtid="{D5CDD505-2E9C-101B-9397-08002B2CF9AE}" pid="1017" name="erb.formula.RulebookTables.FieldCount">
    <vt:lpwstr>COUNTIFS(RulebookFields!C2:C999, A2)</vt:lpwstr>
  </property>
  <property fmtid="{D5CDD505-2E9C-101B-9397-08002B2CF9AE}" pid="1018" name="erb.formula.RulebookTables.PolicyCount">
    <vt:lpwstr>COUNTIFS(AccessPolicies!D2:D999, A2)</vt:lpwstr>
  </property>
  <property fmtid="{D5CDD505-2E9C-101B-9397-08002B2CF9AE}" pid="1019" name="erb.formula.RulebookTables.IsUnsecured">
    <vt:lpwstr>I2 = 0</vt:lpwstr>
  </property>
  <property fmtid="{D5CDD505-2E9C-101B-9397-08002B2CF9AE}" pid="1020" name="erb.formula.RulebookTables.DisagreeingSubstrateCount">
    <vt:lpwstr>COUNTIFS(TableConformance!O2:O999, A2)</vt:lpwstr>
  </property>
  <property fmtid="{D5CDD505-2E9C-101B-9397-08002B2CF9AE}" pid="1021" name="erb.table.RulebookTables.description">
    <vt:lpwstr>Census of every table in this rulebook. The table-level counterpart to RulebookFields, and the anchor every access policy points at. Derived by tools/reconcile_field_catalog.py -- never hand-maintained.</vt:lpwstr>
  </property>
  <property fmtid="{D5CDD505-2E9C-101B-9397-08002B2CF9AE}" pid="1022" name="erb.formula.AccessPrincipals.Name">
    <vt:lpwstr>C2</vt:lpwstr>
  </property>
  <property fmtid="{D5CDD505-2E9C-101B-9397-08002B2CF9AE}" pid="1023" name="erb.formula.AccessPrincipals.OrganizationScope">
    <vt:lpwstr>IFNA(INDEX(Roles!D2:D999, MATCH(D2,Roles!A2:A999, 0)), "")</vt:lpwstr>
  </property>
  <property fmtid="{D5CDD505-2E9C-101B-9397-08002B2CF9AE}" pid="1024" name="erb.formula.AccessPrincipals.RoleLabel">
    <vt:lpwstr>IFNA(INDEX(Roles!C2:C999, MATCH(D2,Roles!A2:A999, 0)), "")</vt:lpwstr>
  </property>
  <property fmtid="{D5CDD505-2E9C-101B-9397-08002B2CF9AE}" pid="1025" name="erb.formula.AccessPrincipals.PolicyCount">
    <vt:lpwstr>COUNTIFS(AccessPolicies!C2:C999, A2)</vt:lpwstr>
  </property>
  <property fmtid="{D5CDD505-2E9C-101B-9397-08002B2CF9AE}" pid="1026" name="erb.formula.AccessPrincipals.GrantCount">
    <vt:lpwstr>COUNTIFS(FieldGrants!C2:C999, A2)</vt:lpwstr>
  </property>
  <property fmtid="{D5CDD505-2E9C-101B-9397-08002B2CF9AE}" pid="1027" name="erb.formula.AccessPrincipals.VisibleTableCount">
    <vt:lpwstr>COUNTIFS(RoleSchemaViews!D2:D999, A2)</vt:lpwstr>
  </property>
  <property fmtid="{D5CDD505-2E9C-101B-9397-08002B2CF9AE}" pid="1028" name="erb.formula.AccessPrincipals.HasNoAccess">
    <vt:lpwstr>J2 = 0</vt:lpwstr>
  </property>
  <property fmtid="{D5CDD505-2E9C-101B-9397-08002B2CF9AE}" pid="1029" name="erb.formula.AccessPrincipals.IsOverPrivileged">
    <vt:lpwstr>AND(NOT(G2), L2 &gt;= 74)</vt:lpwstr>
  </property>
  <property fmtid="{D5CDD505-2E9C-101B-9397-08002B2CF9AE}" pid="1030" name="erb.table.AccessPrincipals.description#1">
    <vt:lpwstr>Security principals -- the identities policies attach to. A principal is the console persona a person logs in as; it maps many-to-one onto a domain Role, so 'who may see this row' is expressed once against the domain vocabulary while the UI keeps its</vt:lpwstr>
  </property>
  <property fmtid="{D5CDD505-2E9C-101B-9397-08002B2CF9AE}" pid="1031" name="erb.table.AccessPrincipals.description#2">
    <vt:lpwstr> own persona names. Each principal owns exactly one Postgres role and one Postgres schema.</vt:lpwstr>
  </property>
  <property fmtid="{D5CDD505-2E9C-101B-9397-08002B2CF9AE}" pid="1032" name="erb.formula.AccessPolicies.Name">
    <vt:lpwstr>C2 &amp; " " &amp; E2 &amp; " " &amp; D2</vt:lpwstr>
  </property>
  <property fmtid="{D5CDD505-2E9C-101B-9397-08002B2CF9AE}" pid="1033" name="erb.formula.AccessPolicies.IsWriteCommand">
    <vt:lpwstr>OR(E2 = "INSERT", E2 = "UPDATE", E2 = "DELETE", E2 = "ALL")</vt:lpwstr>
  </property>
  <property fmtid="{D5CDD505-2E9C-101B-9397-08002B2CF9AE}" pid="1034" name="erb.formula.AccessPolicies.IsUnrestricted">
    <vt:lpwstr>F2 = ""</vt:lpwstr>
  </property>
  <property fmtid="{D5CDD505-2E9C-101B-9397-08002B2CF9AE}" pid="1035" name="erb.formula.AccessPolicies.PrincipalIsAdmin">
    <vt:lpwstr>IFNA(INDEX(AccessPrincipals!G2:G999, MATCH(C2,AccessPrincipals!A2:A999, 0)), "")</vt:lpwstr>
  </property>
  <property fmtid="{D5CDD505-2E9C-101B-9397-08002B2CF9AE}" pid="1036" name="erb.formula.AccessPolicies.IsUnrestrictedNonAdminGrant">
    <vt:lpwstr>AND(K2, NOT(L2))</vt:lpwstr>
  </property>
  <property fmtid="{D5CDD505-2E9C-101B-9397-08002B2CF9AE}" pid="1037" name="erb.formula.AccessPolicies.IsUnwitnessedWrite">
    <vt:lpwstr>AND(J2, O2 = 0)</vt:lpwstr>
  </property>
  <property fmtid="{D5CDD505-2E9C-101B-9397-08002B2CF9AE}" pid="1038" name="erb.formula.AccessPolicies.DenialTestCount">
    <vt:lpwstr>COUNTIFS(AccessDenialTests!C2:C999, A2)</vt:lpwstr>
  </property>
  <property fmtid="{D5CDD505-2E9C-101B-9397-08002B2CF9AE}" pid="1039" name="erb.table.AccessPolicies.description#1">
    <vt:lpwstr>Row-level security policies: the VERTICAL cut. One row per principal x table x command, carrying the predicate that decides which rows are visible. RowPredicate is emitted verbatim into a Postgres USING clause, so it may call any SECURITY DEFINER cal</vt:lpwstr>
  </property>
  <property fmtid="{D5CDD505-2E9C-101B-9397-08002B2CF9AE}" pid="1040" name="erb.table.AccessPolicies.description#2">
    <vt:lpwstr>c_* function and therefore reference inference fields many hops down the DAG.</vt:lpwstr>
  </property>
  <property fmtid="{D5CDD505-2E9C-101B-9397-08002B2CF9AE}" pid="1041" name="erb.formula.FieldGrants.Name">
    <vt:lpwstr>C2 &amp; " -&gt; " &amp; D2</vt:lpwstr>
  </property>
  <property fmtid="{D5CDD505-2E9C-101B-9397-08002B2CF9AE}" pid="1042" name="erb.formula.FieldGrants.FieldTable">
    <vt:lpwstr>IFNA(INDEX(RulebookFields!C2:C999, MATCH(D2,RulebookFields!A2:A999, 0)), "")</vt:lpwstr>
  </property>
  <property fmtid="{D5CDD505-2E9C-101B-9397-08002B2CF9AE}" pid="1043" name="erb.formula.FieldGrants.FieldName">
    <vt:lpwstr>IFNA(INDEX(RulebookFields!D2:D999, MATCH(D2,RulebookFields!A2:A999, 0)), "")</vt:lpwstr>
  </property>
  <property fmtid="{D5CDD505-2E9C-101B-9397-08002B2CF9AE}" pid="1044" name="erb.formula.FieldGrants.FieldIsDerived">
    <vt:lpwstr>IFNA(INDEX(RulebookFields!I2:I999, MATCH(D2,RulebookFields!A2:A999, 0)), "")</vt:lpwstr>
  </property>
  <property fmtid="{D5CDD505-2E9C-101B-9397-08002B2CF9AE}" pid="1045" name="erb.formula.FieldGrants.IsWritableDerivedField">
    <vt:lpwstr>AND(F2, J2)</vt:lpwstr>
  </property>
  <property fmtid="{D5CDD505-2E9C-101B-9397-08002B2CF9AE}" pid="1046" name="erb.formula.FieldGrants.IsMasked">
    <vt:lpwstr>AND(G2 &lt;&gt; "plain", G2 &lt;&gt; "")</vt:lpwstr>
  </property>
  <property fmtid="{D5CDD505-2E9C-101B-9397-08002B2CF9AE}" pid="1047" name="erb.formula.FieldGrants.GrantKeyWhenReadable">
    <vt:lpwstr>IF(E2, C2 &amp; "|" &amp; H2, "")</vt:lpwstr>
  </property>
  <property fmtid="{D5CDD505-2E9C-101B-9397-08002B2CF9AE}" pid="1048" name="erb.table.FieldGrants.description">
    <vt:lpwstr>Field-level grants: the HORIZONTAL cut. One row per principal x field. A field with no grant row is not filtered from the principal's view -- it is absent from it, so the column does not exist as far as that principal's SQL is concerned.</vt:lpwstr>
  </property>
  <property fmtid="{D5CDD505-2E9C-101B-9397-08002B2CF9AE}" pid="1049" name="erb.formula.RoleSchemas.Name">
    <vt:lpwstr>D2</vt:lpwstr>
  </property>
  <property fmtid="{D5CDD505-2E9C-101B-9397-08002B2CF9AE}" pid="1050" name="erb.formula.RoleSchemas.SearchPath">
    <vt:lpwstr>D2</vt:lpwstr>
  </property>
  <property fmtid="{D5CDD505-2E9C-101B-9397-08002B2CF9AE}" pid="1051" name="erb.formula.RoleSchemas.ViewCount">
    <vt:lpwstr>COUNTIFS(RoleSchemaViews!C2:C999, A2)</vt:lpwstr>
  </property>
  <property fmtid="{D5CDD505-2E9C-101B-9397-08002B2CF9AE}" pid="1052" name="erb.formula.RoleSchemas.IsEmptySchema">
    <vt:lpwstr>G2 = 0</vt:lpwstr>
  </property>
  <property fmtid="{D5CDD505-2E9C-101B-9397-08002B2CF9AE}" pid="1053" name="erb.table.RoleSchemas.description">
    <vt:lpwstr>One Postgres schema per principal -- the principal's entire visible world. The schema is the only entry on that principal's search_path, so a table absent from it cannot be named at all.</vt:lpwstr>
  </property>
  <property fmtid="{D5CDD505-2E9C-101B-9397-08002B2CF9AE}" pid="1054" name="erb.formula.RoleSchemaViews.Name">
    <vt:lpwstr>G2 &amp; "." &amp; F2</vt:lpwstr>
  </property>
  <property fmtid="{D5CDD505-2E9C-101B-9397-08002B2CF9AE}" pid="1055" name="erb.formula.RoleSchemaViews.SchemaName">
    <vt:lpwstr>IFNA(INDEX(RoleSchemas!D2:D999, MATCH(C2,RoleSchemas!A2:A999, 0)), "")</vt:lpwstr>
  </property>
  <property fmtid="{D5CDD505-2E9C-101B-9397-08002B2CF9AE}" pid="1056" name="erb.formula.RoleSchemaViews.SourceView">
    <vt:lpwstr>IFNA(INDEX(RulebookTables!E2:E999, MATCH(E2,RulebookTables!A2:A999, 0)), "")</vt:lpwstr>
  </property>
  <property fmtid="{D5CDD505-2E9C-101B-9397-08002B2CF9AE}" pid="1057" name="erb.formula.RoleSchemaViews.GrantKey">
    <vt:lpwstr>D2 &amp; "|" &amp; E2</vt:lpwstr>
  </property>
  <property fmtid="{D5CDD505-2E9C-101B-9397-08002B2CF9AE}" pid="1058" name="erb.formula.RoleSchemaViews.ColumnCount">
    <vt:lpwstr>COUNTIFS(FieldGrants!M2:M999, I2)</vt:lpwstr>
  </property>
  <property fmtid="{D5CDD505-2E9C-101B-9397-08002B2CF9AE}" pid="1059" name="erb.formula.RoleSchemaViews.TableFieldCount">
    <vt:lpwstr>IFNA(INDEX(RulebookTables!H2:H999, MATCH(E2,RulebookTables!A2:A999, 0)), "")</vt:lpwstr>
  </property>
  <property fmtid="{D5CDD505-2E9C-101B-9397-08002B2CF9AE}" pid="1060" name="erb.formula.RoleSchemaViews.IsFullWidth">
    <vt:lpwstr>AND(J2 &gt; 0, J2 &gt;= K2)</vt:lpwstr>
  </property>
  <property fmtid="{D5CDD505-2E9C-101B-9397-08002B2CF9AE}" pid="1061" name="erb.formula.RoleSchemaViews.IsDegenerateView">
    <vt:lpwstr>J2 = 0</vt:lpwstr>
  </property>
  <property fmtid="{D5CDD505-2E9C-101B-9397-08002B2CF9AE}" pid="1062" name="erb.table.RoleSchemaViews.description">
    <vt:lpwstr>The emitted views: one per principal x table. ColumnList is DERIVED from FieldGrants, so toggling a single grant changes the emitted DDL with no second edit anywhere. This is what makes an admin's save reshape the database without touching UI code.</vt:lpwstr>
  </property>
  <property fmtid="{D5CDD505-2E9C-101B-9397-08002B2CF9AE}" pid="1063" name="erb.formula.JwtClaimMappings.Name">
    <vt:lpwstr>C2 &amp; " -&gt; " &amp; D2</vt:lpwstr>
  </property>
  <property fmtid="{D5CDD505-2E9C-101B-9397-08002B2CF9AE}" pid="1064" name="erb.formula.JwtClaimMappings.UsageCount">
    <vt:lpwstr>COUNTIFS(AccessPolicies!F2:F999, D2)</vt:lpwstr>
  </property>
  <property fmtid="{D5CDD505-2E9C-101B-9397-08002B2CF9AE}" pid="1065" name="erb.table.JwtClaimMappings.description#1">
    <vt:lpwstr>Maps verified JWT claims onto the SQL accessors row predicates call. Magic-links is the notary: it asserts only that the bearer controls an email address. This table records how that verified email, and any additional claims, become values a policy c</vt:lpwstr>
  </property>
  <property fmtid="{D5CDD505-2E9C-101B-9397-08002B2CF9AE}" pid="1066" name="erb.table.JwtClaimMappings.description#2">
    <vt:lpwstr>an test.</vt:lpwstr>
  </property>
  <property fmtid="{D5CDD505-2E9C-101B-9397-08002B2CF9AE}" pid="1067" name="erb.formula.AccessDenialTests.Name">
    <vt:lpwstr>D2 &amp; " must not see " &amp; F2</vt:lpwstr>
  </property>
  <property fmtid="{D5CDD505-2E9C-101B-9397-08002B2CF9AE}" pid="1068" name="erb.formula.AccessDenialTests.HasRun">
    <vt:lpwstr>I2 &lt;&gt; ""</vt:lpwstr>
  </property>
  <property fmtid="{D5CDD505-2E9C-101B-9397-08002B2CF9AE}" pid="1069" name="erb.formula.AccessDenialTests.IsPassing">
    <vt:lpwstr>H2 = G2</vt:lpwstr>
  </property>
  <property fmtid="{D5CDD505-2E9C-101B-9397-08002B2CF9AE}" pid="1070" name="erb.formula.AccessDenialTests.IsLeak">
    <vt:lpwstr>AND(NOT(G2), H2)</vt:lpwstr>
  </property>
  <property fmtid="{D5CDD505-2E9C-101B-9397-08002B2CF9AE}" pid="1071" name="erb.formula.AccessDenialTests.IsUnproven">
    <vt:lpwstr>NOT(J2)</vt:lpwstr>
  </property>
  <property fmtid="{D5CDD505-2E9C-101B-9397-08002B2CF9AE}" pid="1072" name="erb.formula.AccessDenialTests.IsPositiveControl">
    <vt:lpwstr>G2</vt:lpwstr>
  </property>
  <property fmtid="{D5CDD505-2E9C-101B-9397-08002B2CF9AE}" pid="1073" name="erb.table.AccessDenialTests.description#1">
    <vt:lpwstr>Denial witnesses. A policy with no failing case seeded against it is an assertion, not evidence -- the same acceptance bar the rest of this rulebook holds. Each row names a principal, a query, and the row that MUST NOT come back, so a policy that sil</vt:lpwstr>
  </property>
  <property fmtid="{D5CDD505-2E9C-101B-9397-08002B2CF9AE}" pid="1074" name="erb.table.AccessDenialTests.description#2">
    <vt:lpwstr>ently stops enforcing is caught by a red test rather than by an incident.</vt:lpwstr>
  </property>
  <property fmtid="{D5CDD505-2E9C-101B-9397-08002B2CF9AE}" pid="1075" name="erb.formula.AppUsers.Name">
    <vt:lpwstr>D2</vt:lpwstr>
  </property>
  <property fmtid="{D5CDD505-2E9C-101B-9397-08002B2CF9AE}" pid="1076" name="erb.formula.AppUsers.AgentKind">
    <vt:lpwstr>IFNA(INDEX(Agents!D2:D999, MATCH(E2,Agents!A2:A999, 0)), "")</vt:lpwstr>
  </property>
  <property fmtid="{D5CDD505-2E9C-101B-9397-08002B2CF9AE}" pid="1077" name="erb.formula.AppUsers.Organization">
    <vt:lpwstr>IFNA(INDEX(Agents!E2:E999, MATCH(E2,Agents!A2:A999, 0)), "")</vt:lpwstr>
  </property>
  <property fmtid="{D5CDD505-2E9C-101B-9397-08002B2CF9AE}" pid="1078" name="erb.formula.AppUsers.AssignmentCount">
    <vt:lpwstr>COUNTIFS(PrincipalAssignments!C2:C999, A2)</vt:lpwstr>
  </property>
  <property fmtid="{D5CDD505-2E9C-101B-9397-08002B2CF9AE}" pid="1079" name="erb.formula.AppUsers.HasNoPrincipal">
    <vt:lpwstr>I2 = 0</vt:lpwstr>
  </property>
  <property fmtid="{D5CDD505-2E9C-101B-9397-08002B2CF9AE}" pid="1080" name="erb.formula.AppUsers.HoldsMultiplePrincipals">
    <vt:lpwstr>I2 &gt; 1</vt:lpwstr>
  </property>
  <property fmtid="{D5CDD505-2E9C-101B-9397-08002B2CF9AE}" pid="1081" name="erb.formula.AppUsers.IsNonHumanSignIn">
    <vt:lpwstr>OR(G2 = "AIAgent", G2 = "AutomatedPipeline")</vt:lpwstr>
  </property>
  <property fmtid="{D5CDD505-2E9C-101B-9397-08002B2CF9AE}" pid="1082" name="erb.table.AppUsers.description">
    <vt:lpwstr>Sign-in identities. One row per person or automation that can authenticate. EmailAddress is what a verified token asserts; everything else about the caller is resolved from here inside the database, never trusted from the token.</vt:lpwstr>
  </property>
  <property fmtid="{D5CDD505-2E9C-101B-9397-08002B2CF9AE}" pid="1083" name="erb.formula.PrincipalAssignments.Name">
    <vt:lpwstr>C2 &amp; " as " &amp; D2</vt:lpwstr>
  </property>
  <property fmtid="{D5CDD505-2E9C-101B-9397-08002B2CF9AE}" pid="1084" name="erb.formula.PrincipalAssignments.PrincipalIsAdmin">
    <vt:lpwstr>IFNA(INDEX(AccessPrincipals!G2:G999, MATCH(D2,AccessPrincipals!A2:A999, 0)), "")</vt:lpwstr>
  </property>
  <property fmtid="{D5CDD505-2E9C-101B-9397-08002B2CF9AE}" pid="1085" name="erb.formula.PrincipalAssignments.UserOrganization">
    <vt:lpwstr>IFNA(INDEX(AppUsers!H2:H999, MATCH(C2,AppUsers!A2:A999, 0)), "")</vt:lpwstr>
  </property>
  <property fmtid="{D5CDD505-2E9C-101B-9397-08002B2CF9AE}" pid="1086" name="erb.formula.PrincipalAssignments.PrincipalOrganization">
    <vt:lpwstr>IFNA(INDEX(AccessPrincipals!H2:H999, MATCH(D2,AccessPrincipals!A2:A999, 0)), "")</vt:lpwstr>
  </property>
  <property fmtid="{D5CDD505-2E9C-101B-9397-08002B2CF9AE}" pid="1087" name="erb.formula.PrincipalAssignments.IsCrossOrganizationGrant">
    <vt:lpwstr>AND(H2 &lt;&gt; "", I2 &lt;&gt; "", H2 &lt;&gt; I2)</vt:lpwstr>
  </property>
  <property fmtid="{D5CDD505-2E9C-101B-9397-08002B2CF9AE}" pid="1088" name="erb.table.PrincipalAssignments.description#1">
    <vt:lpwstr>Which principals a user may act as. The authorization half of sign-in: a verified email proves who you are, this table decides what you may become. A user with two assignments picks one at sign-in, and the choice is verified here rather than accepted</vt:lpwstr>
  </property>
  <property fmtid="{D5CDD505-2E9C-101B-9397-08002B2CF9AE}" pid="1089" name="erb.table.PrincipalAssignments.description#2">
    <vt:lpwstr> from the client.</vt:lpwstr>
  </property>
  <property fmtid="{D5CDD505-2E9C-101B-9397-08002B2CF9AE}" pid="1090" name="erb.table.IssuedTokens.description#1">
    <vt:lpwstr>Audit trail of every token minted. A token records which user signed in, which principal they chose, and the claims that were joined from the database at mint time -- so a later question of 'what could this session see' is answerable from data rather</vt:lpwstr>
  </property>
  <property fmtid="{D5CDD505-2E9C-101B-9397-08002B2CF9AE}" pid="1091" name="erb.table.IssuedTokens.description#2">
    <vt:lpwstr> than reconstruction.</vt:lpwstr>
  </property>
  <property fmtid="{D5CDD505-2E9C-101B-9397-08002B2CF9AE}" pid="1092" name="erb.formula.ProcessMiningRuns.Name">
    <vt:lpwstr>D2 &amp; " / " &amp; TEXT(E2, "yyyy-mm-dd hh:mm:ss")&amp;"+00"</vt:lpwstr>
  </property>
  <property fmtid="{D5CDD505-2E9C-101B-9397-08002B2CF9AE}" pid="1093" name="erb.formula.ProcessMiningRuns.AsOfInstant">
    <vt:lpwstr>IFNA(INDEX(EvaluationContexts!D2:D999, MATCH(I2,EvaluationContexts!A2:A999, 0)), "")</vt:lpwstr>
  </property>
  <property fmtid="{D5CDD505-2E9C-101B-9397-08002B2CF9AE}" pid="1094" name="erb.formula.ProcessMiningRuns.ConformanceRate">
    <vt:lpwstr>IF(F2 = 0, 0, G2 / F2)</vt:lpwstr>
  </property>
  <property fmtid="{D5CDD505-2E9C-101B-9397-08002B2CF9AE}" pid="1095" name="erb.formula.ProcessMiningRuns.IsConformant">
    <vt:lpwstr>K2 &gt;= 0.8</vt:lpwstr>
  </property>
  <property fmtid="{D5CDD505-2E9C-101B-9397-08002B2CF9AE}" pid="1096" name="erb.formula.ProcessMiningRuns.HasMajorDriftFromDocumentation">
    <vt:lpwstr>K2 &lt; 0.5</vt:lpwstr>
  </property>
  <property fmtid="{D5CDD505-2E9C-101B-9397-08002B2CF9AE}" pid="1097" name="erb.formula.ProcessMiningRuns.DaysSinceMined">
    <vt:lpwstr>(INT(J2) - INT(E2))</vt:lpwstr>
  </property>
  <property fmtid="{D5CDD505-2E9C-101B-9397-08002B2CF9AE}" pid="1098" name="erb.formula.ProcessMiningRuns.IsStaleMiningEvidence">
    <vt:lpwstr>N2 &gt; 180</vt:lpwstr>
  </property>
  <property fmtid="{D5CDD505-2E9C-101B-9397-08002B2CF9AE}" pid="1099" name="erb.formula.ProcessMiningRuns.ProcedureVersionIsLive">
    <vt:lpwstr>IFNA(INDEX(ProcedureVersions!Y2:Y999, MATCH(C2,ProcedureVersions!A2:A999, 0)), "")</vt:lpwstr>
  </property>
  <property fmtid="{D5CDD505-2E9C-101B-9397-08002B2CF9AE}" pid="1100" name="erb.formula.ProcessMiningRuns.IsDriftOnLiveVersion">
    <vt:lpwstr>AND(M2, P2)</vt:lpwstr>
  </property>
  <property fmtid="{D5CDD505-2E9C-101B-9397-08002B2CF9AE}" pid="1101" name="erb.formula.ProcessMiningRuns.DriftedMiningRunKey">
    <vt:lpwstr>IF(Q2, C2, "")</vt:lpwstr>
  </property>
  <property fmtid="{D5CDD505-2E9C-101B-9397-08002B2CF9AE}" pid="1102" name="erb.table.ProcessMiningRuns.description#1">
    <vt:lpwstr>One conformance-checking run of a mined event log against a documented procedure version — a third kind of evidence, distinct from an elicitation session (someone's account) or a knowledge fragment (a claim): what the system of record actually did, d</vt:lpwstr>
  </property>
  <property fmtid="{D5CDD505-2E9C-101B-9397-08002B2CF9AE}" pid="1103" name="erb.table.ProcessMiningRuns.description#2">
    <vt:lpwstr>iscovered by process mining rather than told to us.</vt:lpwstr>
  </property>
  <property fmtid="{D5CDD505-2E9C-101B-9397-08002B2CF9AE}" pid="1104" name="erb.formula.Vocabularies.Name">
    <vt:lpwstr>C2</vt:lpwstr>
  </property>
  <property fmtid="{D5CDD505-2E9C-101B-9397-08002B2CF9AE}" pid="1105" name="erb.formula.Vocabularies.TermCount">
    <vt:lpwstr>COUNTIFS(VocabularyTerms!C2:C999, A2)</vt:lpwstr>
  </property>
  <property fmtid="{D5CDD505-2E9C-101B-9397-08002B2CF9AE}" pid="1106" name="erb.formula.Vocabularies.OrphanTermCount">
    <vt:lpwstr>COUNTIFS(VocabularyTerms!J2:J999, A2)</vt:lpwstr>
  </property>
  <property fmtid="{D5CDD505-2E9C-101B-9397-08002B2CF9AE}" pid="1107" name="erb.formula.Vocabularies.HasOrphanTerms">
    <vt:lpwstr>G2 &gt; 0</vt:lpwstr>
  </property>
  <property fmtid="{D5CDD505-2E9C-101B-9397-08002B2CF9AE}" pid="1108" name="erb.table.Vocabularies.description">
    <vt:lpwstr>A controlled vocabulary / SKOS-style concept scheme — one facet of standardized terminology (e.g. a family of control categories) that Requirements and other rows can point at instead of restating the concept in free text each time.</vt:lpwstr>
  </property>
  <property fmtid="{D5CDD505-2E9C-101B-9397-08002B2CF9AE}" pid="1109" name="erb.formula.VocabularyTerms.Name">
    <vt:lpwstr>D2</vt:lpwstr>
  </property>
  <property fmtid="{D5CDD505-2E9C-101B-9397-08002B2CF9AE}" pid="1110" name="erb.formula.VocabularyTerms.UsageCount">
    <vt:lpwstr>COUNTIFS(Requirements!AO2:AO999, A2)</vt:lpwstr>
  </property>
  <property fmtid="{D5CDD505-2E9C-101B-9397-08002B2CF9AE}" pid="1111" name="erb.formula.VocabularyTerms.IsOrphanTerm">
    <vt:lpwstr>G2 = 0</vt:lpwstr>
  </property>
  <property fmtid="{D5CDD505-2E9C-101B-9397-08002B2CF9AE}" pid="1112" name="erb.formula.VocabularyTerms.IsWidelyAdoptedTerm">
    <vt:lpwstr>G2 &gt;= 2</vt:lpwstr>
  </property>
  <property fmtid="{D5CDD505-2E9C-101B-9397-08002B2CF9AE}" pid="1113" name="erb.formula.VocabularyTerms.OrphanTermVocabularyKey">
    <vt:lpwstr>IF(H2, C2, "")</vt:lpwstr>
  </property>
  <property fmtid="{D5CDD505-2E9C-101B-9397-08002B2CF9AE}" pid="1114" name="erb.table.VocabularyTerms.description">
    <vt:lpwstr>One controlled, defined term (a SKOS Concept) within a Vocabulary. Requirements point at a VocabularyTerm instead of free-texting the same concept in a new Statement every time.</vt:lpwstr>
  </property>
  <property fmtid="{D5CDD505-2E9C-101B-9397-08002B2CF9AE}" pid="1115" name="erb.formula.KnowledgeBrokerLinks.Name">
    <vt:lpwstr>C2 &amp; " -&gt; " &amp; D2</vt:lpwstr>
  </property>
  <property fmtid="{D5CDD505-2E9C-101B-9397-08002B2CF9AE}" pid="1116" name="erb.formula.KnowledgeBrokerLinks.AsOfInstant">
    <vt:lpwstr>IFNA(INDEX(EvaluationContexts!D2:D999, MATCH(H2,EvaluationContexts!A2:A999, 0)), "")</vt:lpwstr>
  </property>
  <property fmtid="{D5CDD505-2E9C-101B-9397-08002B2CF9AE}" pid="1117" name="erb.formula.KnowledgeBrokerLinks.DaysSinceConsulted">
    <vt:lpwstr>(INT(I2) - INT(G2))</vt:lpwstr>
  </property>
  <property fmtid="{D5CDD505-2E9C-101B-9397-08002B2CF9AE}" pid="1118" name="erb.formula.KnowledgeBrokerLinks.IsActiveReliance">
    <vt:lpwstr>AND(NOT(F2 = "Rarely"), J2 &lt;= 180)</vt:lpwstr>
  </property>
  <property fmtid="{D5CDD505-2E9C-101B-9397-08002B2CF9AE}" pid="1119" name="erb.formula.KnowledgeBrokerLinks.BrokerIsStillEngaged">
    <vt:lpwstr>IFNA(INDEX(Agents!I2:I999, MATCH(D2,Agents!A2:A999, 0)), "")</vt:lpwstr>
  </property>
  <property fmtid="{D5CDD505-2E9C-101B-9397-08002B2CF9AE}" pid="1120" name="erb.formula.KnowledgeBrokerLinks.IsAtRiskReliance">
    <vt:lpwstr>AND(K2, NOT(L2))</vt:lpwstr>
  </property>
  <property fmtid="{D5CDD505-2E9C-101B-9397-08002B2CF9AE}" pid="1121" name="erb.formula.KnowledgeBrokerLinks.ActiveRelianceBrokerKey">
    <vt:lpwstr>IF(K2, D2, "")</vt:lpwstr>
  </property>
  <property fmtid="{D5CDD505-2E9C-101B-9397-08002B2CF9AE}" pid="1122" name="erb.formula.KnowledgeBrokerLinks.AtRiskBrokerKey">
    <vt:lpwstr>IF(M2, D2, "")</vt:lpwstr>
  </property>
  <property fmtid="{D5CDD505-2E9C-101B-9397-08002B2CF9AE}" pid="1123" name="erb.table.KnowledgeBrokerLinks.description#1">
    <vt:lpwstr>An informal expertise-network edge: one agent naming another as who they actually go to for a topic, independent of any formal Role or RoleAssignment. RoleAssignments and CommunitiesOfPractice record who is SUPPOSED to know something; this records wh</vt:lpwstr>
  </property>
  <property fmtid="{D5CDD505-2E9C-101B-9397-08002B2CF9AE}" pid="1124" name="erb.table.KnowledgeBrokerLinks.description#2">
    <vt:lpwstr>o people ACTUALLY rely on.</vt:lpwstr>
  </property>
  <property fmtid="{D5CDD505-2E9C-101B-9397-08002B2CF9AE}" pid="1125" name="erb.formula.ConformanceSubstrates.Name">
    <vt:lpwstr>C2</vt:lpwstr>
  </property>
  <property fmtid="{D5CDD505-2E9C-101B-9397-08002B2CF9AE}" pid="1126" name="erb.formula.ConformanceSubstrates.IsGraded">
    <vt:lpwstr>H2 = "graded"</vt:lpwstr>
  </property>
  <property fmtid="{D5CDD505-2E9C-101B-9397-08002B2CF9AE}" pid="1127" name="erb.formula.ConformanceSubstrates.RunCount">
    <vt:lpwstr>COUNTIFS(SubstrateRunScores!D2:D999, A2)</vt:lpwstr>
  </property>
  <property fmtid="{D5CDD505-2E9C-101B-9397-08002B2CF9AE}" pid="1128" name="erb.formula.ConformanceSubstrates.LatestCellsTested">
    <vt:lpwstr>SUMIFS(SubstrateRunScores!W2:W999,SubstrateRunScores!D2:D999, A2)</vt:lpwstr>
  </property>
  <property fmtid="{D5CDD505-2E9C-101B-9397-08002B2CF9AE}" pid="1129" name="erb.formula.ConformanceSubstrates.LatestCellsPassed">
    <vt:lpwstr>SUMIFS(SubstrateRunScores!X2:X999,SubstrateRunScores!D2:D999, A2)</vt:lpwstr>
  </property>
  <property fmtid="{D5CDD505-2E9C-101B-9397-08002B2CF9AE}" pid="1130" name="erb.formula.ConformanceSubstrates.LatestHarnessErrors">
    <vt:lpwstr>SUMIFS(SubstrateRunScores!Y2:Y999,SubstrateRunScores!D2:D999, A2)</vt:lpwstr>
  </property>
  <property fmtid="{D5CDD505-2E9C-101B-9397-08002B2CF9AE}" pid="1131" name="erb.formula.ConformanceSubstrates.LatestCellsFailed">
    <vt:lpwstr>L2 - M2</vt:lpwstr>
  </property>
  <property fmtid="{D5CDD505-2E9C-101B-9397-08002B2CF9AE}" pid="1132" name="erb.formula.ConformanceSubstrates.LatestScore">
    <vt:lpwstr>IF(L2 = 0, 0, ROUND(100 * M2 / L2, 2))</vt:lpwstr>
  </property>
  <property fmtid="{D5CDD505-2E9C-101B-9397-08002B2CF9AE}" pid="1133" name="erb.formula.ConformanceSubstrates.DisagreeingFieldCount">
    <vt:lpwstr>COUNTIFS(FieldDisagreements!C2:C999, A2)</vt:lpwstr>
  </property>
  <property fmtid="{D5CDD505-2E9C-101B-9397-08002B2CF9AE}" pid="1134" name="erb.formula.ConformanceSubstrates.DisagreeingTableCount">
    <vt:lpwstr>COUNTIFS(TableConformance!N2:N999, A2)</vt:lpwstr>
  </property>
  <property fmtid="{D5CDD505-2E9C-101B-9397-08002B2CF9AE}" pid="1135" name="erb.formula.ConformanceSubstrates.IsFullyConformant">
    <vt:lpwstr>AND(L2 &gt; 0, O2 = 0, N2 = 0)</vt:lpwstr>
  </property>
  <property fmtid="{D5CDD505-2E9C-101B-9397-08002B2CF9AE}" pid="1136" name="erb.table.ConformanceSubstrates.description#1">
    <vt:lpwstr>Every tool that compiles this rulebook into something that computes. One is the answer-key author (compile-rulebook bakes derived values into the rulebook's own rows); the rest are graded substrates that re-derive those values natively and are scored</vt:lpwstr>
  </property>
  <property fmtid="{D5CDD505-2E9C-101B-9397-08002B2CF9AE}" pid="1137" name="erb.table.ConformanceSubstrates.description#2">
    <vt:lpwstr> cell by cell against them.</vt:lpwstr>
  </property>
  <property fmtid="{D5CDD505-2E9C-101B-9397-08002B2CF9AE}" pid="1138" name="erb.formula.ConformanceRuns.Name">
    <vt:lpwstr>A2</vt:lpwstr>
  </property>
  <property fmtid="{D5CDD505-2E9C-101B-9397-08002B2CF9AE}" pid="1139" name="erb.formula.ConformanceRuns.SubstrateCount">
    <vt:lpwstr>COUNTIFS(SubstrateRunScores!C2:C999, A2)</vt:lpwstr>
  </property>
  <property fmtid="{D5CDD505-2E9C-101B-9397-08002B2CF9AE}" pid="1140" name="erb.formula.ConformanceRuns.PerfectSubstrateCount">
    <vt:lpwstr>COUNTIFS(SubstrateRunScores!U2:U999, A2)</vt:lpwstr>
  </property>
  <property fmtid="{D5CDD505-2E9C-101B-9397-08002B2CF9AE}" pid="1141" name="erb.formula.ConformanceRuns.CellsTested">
    <vt:lpwstr>SUMIFS(SubstrateRunScores!G2:G999,SubstrateRunScores!C2:C999, A2)</vt:lpwstr>
  </property>
  <property fmtid="{D5CDD505-2E9C-101B-9397-08002B2CF9AE}" pid="1142" name="erb.formula.ConformanceRuns.CellsPassed">
    <vt:lpwstr>SUMIFS(SubstrateRunScores!H2:H999,SubstrateRunScores!C2:C999, A2)</vt:lpwstr>
  </property>
  <property fmtid="{D5CDD505-2E9C-101B-9397-08002B2CF9AE}" pid="1143" name="erb.formula.ConformanceRuns.CellsFailed">
    <vt:lpwstr>J2 - K2</vt:lpwstr>
  </property>
  <property fmtid="{D5CDD505-2E9C-101B-9397-08002B2CF9AE}" pid="1144" name="erb.formula.ConformanceRuns.OverallScore">
    <vt:lpwstr>IF(J2 = 0, 0, ROUND(100 * K2 / J2, 2))</vt:lpwstr>
  </property>
  <property fmtid="{D5CDD505-2E9C-101B-9397-08002B2CF9AE}" pid="1145" name="erb.formula.ConformanceRuns.ImperfectSubstrateCount">
    <vt:lpwstr>H2 - I2</vt:lpwstr>
  </property>
  <property fmtid="{D5CDD505-2E9C-101B-9397-08002B2CF9AE}" pid="1146" name="erb.formula.ConformanceRuns.IsFullyConformant">
    <vt:lpwstr>AND(H2 &gt; 0, N2 = 0)</vt:lpwstr>
  </property>
  <property fmtid="{D5CDD505-2E9C-101B-9397-08002B2CF9AE}" pid="1147" name="erb.table.ConformanceRuns.description">
    <vt:lpwstr>One execution of the conformance harness over every graded substrate. Kept as history; exactly one run is marked IsLatest, and the per-table, per-field and per-cell detail tables describe that run.</vt:lpwstr>
  </property>
  <property fmtid="{D5CDD505-2E9C-101B-9397-08002B2CF9AE}" pid="1148" name="erb.formula.SubstrateRunScores.Name">
    <vt:lpwstr>CONCAT(C2, " / ", D2)</vt:lpwstr>
  </property>
  <property fmtid="{D5CDD505-2E9C-101B-9397-08002B2CF9AE}" pid="1149" name="erb.formula.SubstrateRunScores.CellsFailed">
    <vt:lpwstr>G2 - H2</vt:lpwstr>
  </property>
  <property fmtid="{D5CDD505-2E9C-101B-9397-08002B2CF9AE}" pid="1150" name="erb.formula.SubstrateRunScores.Score">
    <vt:lpwstr>IF(G2 = 0, 0, ROUND(100 * H2 / G2, 2))</vt:lpwstr>
  </property>
  <property fmtid="{D5CDD505-2E9C-101B-9397-08002B2CF9AE}" pid="1151" name="erb.formula.SubstrateRunScores.CalculatedScore">
    <vt:lpwstr>IF(I2 = 0, 0, ROUND(100 * J2 / I2, 2))</vt:lpwstr>
  </property>
  <property fmtid="{D5CDD505-2E9C-101B-9397-08002B2CF9AE}" pid="1152" name="erb.formula.SubstrateRunScores.LookupScore">
    <vt:lpwstr>IF(K2 = 0, 0, ROUND(100 * L2 / K2, 2))</vt:lpwstr>
  </property>
  <property fmtid="{D5CDD505-2E9C-101B-9397-08002B2CF9AE}" pid="1153" name="erb.formula.SubstrateRunScores.AggregationScore">
    <vt:lpwstr>IF(M2 = 0, 0, ROUND(100 * N2 / M2, 2))</vt:lpwstr>
  </property>
  <property fmtid="{D5CDD505-2E9C-101B-9397-08002B2CF9AE}" pid="1154" name="erb.formula.SubstrateRunScores.IsPerfect">
    <vt:lpwstr>AND(E2 = "", G2 &gt; 0, O2 = 0)</vt:lpwstr>
  </property>
  <property fmtid="{D5CDD505-2E9C-101B-9397-08002B2CF9AE}" pid="1155" name="erb.formula.SubstrateRunScores.PerfectRunKey">
    <vt:lpwstr>IF(T2, C2, "")</vt:lpwstr>
  </property>
  <property fmtid="{D5CDD505-2E9C-101B-9397-08002B2CF9AE}" pid="1156" name="erb.formula.SubstrateRunScores.IsInLatestRun">
    <vt:lpwstr>IFNA(INDEX(ConformanceRuns!F2:F999, MATCH(C2,ConformanceRuns!A2:A999, 0)), "")</vt:lpwstr>
  </property>
  <property fmtid="{D5CDD505-2E9C-101B-9397-08002B2CF9AE}" pid="1157" name="erb.formula.SubstrateRunScores.LatestCellsTested">
    <vt:lpwstr>IF(V2, G2, 0)</vt:lpwstr>
  </property>
  <property fmtid="{D5CDD505-2E9C-101B-9397-08002B2CF9AE}" pid="1158" name="erb.formula.SubstrateRunScores.LatestCellsPassed">
    <vt:lpwstr>IF(V2, H2, 0)</vt:lpwstr>
  </property>
  <property fmtid="{D5CDD505-2E9C-101B-9397-08002B2CF9AE}" pid="1159" name="erb.formula.SubstrateRunScores.LatestErrorFlag">
    <vt:lpwstr>IF(AND(V2, E2 &lt;&gt; ""), 1, 0)</vt:lpwstr>
  </property>
  <property fmtid="{D5CDD505-2E9C-101B-9397-08002B2CF9AE}" pid="1160" name="erb.formula.SubstrateRunScores.SubstrateLabel">
    <vt:lpwstr>IFNA(INDEX(ConformanceSubstrates!C2:C999, MATCH(D2,ConformanceSubstrates!A2:A999, 0)), "")</vt:lpwstr>
  </property>
  <property fmtid="{D5CDD505-2E9C-101B-9397-08002B2CF9AE}" pid="1161" name="erb.table.SubstrateRunScores.description">
    <vt:lpwstr>One substrate's grade in one conformance run, split by field class so a substrate that does scalar math natively but not cross-table joins reads as exactly that.</vt:lpwstr>
  </property>
  <property fmtid="{D5CDD505-2E9C-101B-9397-08002B2CF9AE}" pid="1162" name="erb.formula.TableConformance.Name">
    <vt:lpwstr>CONCAT(D2, " / ", E2)</vt:lpwstr>
  </property>
  <property fmtid="{D5CDD505-2E9C-101B-9397-08002B2CF9AE}" pid="1163" name="erb.formula.TableConformance.CellsFailed">
    <vt:lpwstr>H2 - I2</vt:lpwstr>
  </property>
  <property fmtid="{D5CDD505-2E9C-101B-9397-08002B2CF9AE}" pid="1164" name="erb.formula.TableConformance.Score">
    <vt:lpwstr>IF(H2 = 0, 0, ROUND(100 * I2 / H2, 2))</vt:lpwstr>
  </property>
  <property fmtid="{D5CDD505-2E9C-101B-9397-08002B2CF9AE}" pid="1165" name="erb.formula.TableConformance.IsPerfect">
    <vt:lpwstr>K2 = 0</vt:lpwstr>
  </property>
  <property fmtid="{D5CDD505-2E9C-101B-9397-08002B2CF9AE}" pid="1166" name="erb.formula.TableConformance.ImperfectSubstrateKey">
    <vt:lpwstr>IF(M2, "", D2)</vt:lpwstr>
  </property>
  <property fmtid="{D5CDD505-2E9C-101B-9397-08002B2CF9AE}" pid="1167" name="erb.formula.TableConformance.ImperfectTableKey">
    <vt:lpwstr>IF(M2, "", E2)</vt:lpwstr>
  </property>
  <property fmtid="{D5CDD505-2E9C-101B-9397-08002B2CF9AE}" pid="1168" name="erb.formula.TableConformance.DisagreeingFieldCount">
    <vt:lpwstr>COUNTIFS(FieldDisagreements!E2:E999, A2)</vt:lpwstr>
  </property>
  <property fmtid="{D5CDD505-2E9C-101B-9397-08002B2CF9AE}" pid="1169" name="erb.formula.TableConformance.SubstrateLabel">
    <vt:lpwstr>IFNA(INDEX(ConformanceSubstrates!C2:C999, MATCH(D2,ConformanceSubstrates!A2:A999, 0)), "")</vt:lpwstr>
  </property>
  <property fmtid="{D5CDD505-2E9C-101B-9397-08002B2CF9AE}" pid="1170" name="erb.formula.TableConformance.SubjectArea">
    <vt:lpwstr>IFNA(INDEX(RulebookTables!F2:F999, MATCH(E2,RulebookTables!A2:A999, 0)), "")</vt:lpwstr>
  </property>
  <property fmtid="{D5CDD505-2E9C-101B-9397-08002B2CF9AE}" pid="1171" name="erb.table.TableConformance.description">
    <vt:lpwstr>Latest run only: how one substrate did on one table. The grid of these rows is the substrate-by-table heatmap.</vt:lpwstr>
  </property>
  <property fmtid="{D5CDD505-2E9C-101B-9397-08002B2CF9AE}" pid="1172" name="erb.formula.FieldDisagreements.Name">
    <vt:lpwstr>CONCAT(C2, " / ", D2)</vt:lpwstr>
  </property>
  <property fmtid="{D5CDD505-2E9C-101B-9397-08002B2CF9AE}" pid="1173" name="erb.formula.FieldDisagreements.SampledCellCount">
    <vt:lpwstr>COUNTIFS(CellDisagreements!C2:C999, A2)</vt:lpwstr>
  </property>
  <property fmtid="{D5CDD505-2E9C-101B-9397-08002B2CF9AE}" pid="1174" name="erb.formula.FieldDisagreements.IsFullySampled">
    <vt:lpwstr>I2 = G2</vt:lpwstr>
  </property>
  <property fmtid="{D5CDD505-2E9C-101B-9397-08002B2CF9AE}" pid="1175" name="erb.formula.FieldDisagreements.Formula">
    <vt:lpwstr>IFNA(INDEX(RulebookFields!G2:G999, MATCH(D2,RulebookFields!A2:A999, 0)), "")</vt:lpwstr>
  </property>
  <property fmtid="{D5CDD505-2E9C-101B-9397-08002B2CF9AE}" pid="1176" name="erb.formula.FieldDisagreements.SubstrateLabel">
    <vt:lpwstr>IFNA(INDEX(ConformanceSubstrates!C2:C999, MATCH(C2,ConformanceSubstrates!A2:A999, 0)), "")</vt:lpwstr>
  </property>
  <property fmtid="{D5CDD505-2E9C-101B-9397-08002B2CF9AE}" pid="1177" name="erb.table.FieldDisagreements.description">
    <vt:lpwstr>Latest run only: a derived field on which one substrate got at least one cell wrong. A field with no row here agreed everywhere. CellsFailed is the true count; CellDisagreements holds a sample of the cells.</vt:lpwstr>
  </property>
  <property fmtid="{D5CDD505-2E9C-101B-9397-08002B2CF9AE}" pid="1178" name="erb.formula.CellDisagreements.Name">
    <vt:lpwstr>CONCAT(C2, " @ ", D2)</vt:lpwstr>
  </property>
  <property fmtid="{D5CDD505-2E9C-101B-9397-08002B2CF9AE}" pid="1179" name="erb.formula.CellDisagreements.Substrate">
    <vt:lpwstr>IFNA(INDEX(FieldDisagreements!C2:C999, MATCH(C2,FieldDisagreements!A2:A999, 0)), "")</vt:lpwstr>
  </property>
  <property fmtid="{D5CDD505-2E9C-101B-9397-08002B2CF9AE}" pid="1180" name="erb.formula.CellDisagreements.RulebookField">
    <vt:lpwstr>IFNA(INDEX(FieldDisagreements!D2:D999, MATCH(C2,FieldDisagreements!A2:A999, 0)), "")</vt:lpwstr>
  </property>
  <property fmtid="{D5CDD505-2E9C-101B-9397-08002B2CF9AE}" pid="1181" name="erb.table.CellDisagreements.description">
    <vt:lpwstr>Latest run only: one cell a substrate computed differently from the answer key, with both values verbatim. Sampled per field; see FieldDisagreements.IsFullySampled.</vt:lpwstr>
  </property>
</Properties>
</file>